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mc:AlternateContent xmlns:mc="http://schemas.openxmlformats.org/markup-compatibility/2006">
    <mc:Choice Requires="x15">
      <x15ac:absPath xmlns:x15ac="http://schemas.microsoft.com/office/spreadsheetml/2010/11/ac" url="/Users/starrio/Developer/mba_matching/data/"/>
    </mc:Choice>
  </mc:AlternateContent>
  <xr:revisionPtr revIDLastSave="0" documentId="8_{602628B7-7A3A-2C4D-95B1-9A40C64CFCE5}" xr6:coauthVersionLast="47" xr6:coauthVersionMax="47" xr10:uidLastSave="{00000000-0000-0000-0000-000000000000}"/>
  <bookViews>
    <workbookView xWindow="0" yWindow="760" windowWidth="30240" windowHeight="18880" activeTab="3" xr2:uid="{00000000-000D-0000-FFFF-FFFF00000000}"/>
  </bookViews>
  <sheets>
    <sheet name="Totals" sheetId="1" r:id="rId1"/>
    <sheet name="Final Review" sheetId="2" r:id="rId2"/>
    <sheet name="MASTER - Applications Review" sheetId="3" r:id="rId3"/>
    <sheet name="For Lookup" sheetId="4" r:id="rId4"/>
    <sheet name="Sheet24" sheetId="5" state="hidden" r:id="rId5"/>
    <sheet name="Import" sheetId="6" r:id="rId6"/>
    <sheet name="query" sheetId="7" state="hidden" r:id="rId7"/>
    <sheet name="Final LS-DT-DiT" sheetId="8" state="hidden" r:id="rId8"/>
    <sheet name="2022-2023 Applications Review" sheetId="9" state="hidden" r:id="rId9"/>
    <sheet name="NOTES ONLY" sheetId="10" state="hidden" r:id="rId10"/>
    <sheet name="DT Short List" sheetId="11" r:id="rId11"/>
    <sheet name="LS Shortlist" sheetId="12" r:id="rId12"/>
    <sheet name="For DeepNote Upload- Dev Team U" sheetId="13" r:id="rId13"/>
    <sheet name="Copy of For DeepNote Upload- De" sheetId="14" r:id="rId14"/>
    <sheet name="DiT - Shortlist" sheetId="15" r:id="rId15"/>
    <sheet name="2022-2023 Third Reviews" sheetId="16" state="hidden" r:id="rId16"/>
    <sheet name="SF INVITES" sheetId="17" state="hidden" r:id="rId17"/>
    <sheet name="Form Import" sheetId="18" state="hidden" r:id="rId18"/>
    <sheet name="8.9" sheetId="19" state="hidden" r:id="rId19"/>
    <sheet name="Remaining Apps" sheetId="20" state="hidden" r:id="rId20"/>
    <sheet name="DT- KM 2022-2023 Applications" sheetId="21" state="hidden" r:id="rId21"/>
    <sheet name="DiT - 2022-2023 Applications Re" sheetId="22" state="hidden" r:id="rId22"/>
    <sheet name="Asking for transfer to DiT" sheetId="23" state="hidden" r:id="rId23"/>
    <sheet name="Key Metrics" sheetId="24" r:id="rId24"/>
    <sheet name="Notes" sheetId="25" state="hidden" r:id="rId25"/>
  </sheets>
  <definedNames>
    <definedName name="_xlnm._FilterDatabase" localSheetId="8" hidden="1">'2022-2023 Applications Review'!$A$1:$Z$1126</definedName>
    <definedName name="_xlnm._FilterDatabase" localSheetId="15" hidden="1">'2022-2023 Third Reviews'!$A$1:$S$297</definedName>
    <definedName name="_xlnm._FilterDatabase" localSheetId="18" hidden="1">'8.9'!$A$1:$V$144</definedName>
    <definedName name="_xlnm._FilterDatabase" localSheetId="21" hidden="1">'DiT - 2022-2023 Applications Re'!$A$1:$AC$1476</definedName>
    <definedName name="_xlnm._FilterDatabase" localSheetId="14" hidden="1">'DiT - Shortlist'!$A$1:$AC$133</definedName>
    <definedName name="_xlnm._FilterDatabase" localSheetId="10" hidden="1">'DT Short List'!$A$1:$V$91</definedName>
    <definedName name="_xlnm._FilterDatabase" localSheetId="20" hidden="1">'DT- KM 2022-2023 Applications'!$A$1:$AB$1446</definedName>
    <definedName name="_xlnm._FilterDatabase" localSheetId="7" hidden="1">'Final LS-DT-DiT'!$A$1:$C$446</definedName>
    <definedName name="_xlnm._FilterDatabase" localSheetId="1" hidden="1">'Final Review'!$A$1:$Y$347</definedName>
    <definedName name="_xlnm._FilterDatabase" localSheetId="3" hidden="1">'For Lookup'!$A$1:$Y$136</definedName>
    <definedName name="_xlnm._FilterDatabase" localSheetId="5" hidden="1">Import!$A$1:$AA$1128</definedName>
    <definedName name="_xlnm._FilterDatabase" localSheetId="11" hidden="1">'LS Shortlist'!$A$1:$AD$225</definedName>
    <definedName name="_xlnm._FilterDatabase" localSheetId="2" hidden="1">'MASTER - Applications Review'!$A$1:$AA$1123</definedName>
    <definedName name="_xlnm._FilterDatabase" localSheetId="9" hidden="1">'NOTES ONLY'!$A$1:$J$289</definedName>
    <definedName name="_xlnm._FilterDatabase" localSheetId="16" hidden="1">'SF INVITES'!$A$1:$C$370</definedName>
    <definedName name="_xlnm._FilterDatabase" localSheetId="4" hidden="1">Sheet24!$A$1:$A$1000</definedName>
    <definedName name="Affiliations">Import!$P:$P</definedName>
    <definedName name="AppNotes">Import!$S:$S</definedName>
    <definedName name="CurrentFundAmount">Import!$N:$N</definedName>
    <definedName name="CurrentFundLabel">Import!$M:$M</definedName>
    <definedName name="Date">Import!$A:$A</definedName>
    <definedName name="Founder1">'Key Metrics'!$F:$F</definedName>
    <definedName name="Interview">Import!$R:$R</definedName>
    <definedName name="Name">Import!$C:$C</definedName>
    <definedName name="NYUAffilliation">'Key Metrics'!$L:$L</definedName>
    <definedName name="NYUAfillType">'Key Metrics'!$M:$M</definedName>
    <definedName name="Referral">Import!$Q:$Q</definedName>
    <definedName name="Reviewer1">Import!$G:$G</definedName>
    <definedName name="Reviewer2">Import!$J:$J</definedName>
    <definedName name="Score">Import!$D:$D</definedName>
    <definedName name="Team">'Key Metrics'!$A:$A</definedName>
    <definedName name="TeamSize">'Key Metrics'!$R:$R</definedName>
    <definedName name="Track">Import!$F:$F</definedName>
  </definedName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D65" i="25" l="1" a="1"/>
  <c r="D65" i="25" s="1"/>
  <c r="D54" i="25" a="1"/>
  <c r="D54" i="25" s="1"/>
  <c r="D49" i="25" a="1"/>
  <c r="D49" i="25" s="1"/>
  <c r="D48" i="25" a="1"/>
  <c r="D48" i="25" s="1"/>
  <c r="D47" i="25" a="1"/>
  <c r="D47" i="25" s="1"/>
  <c r="D45" i="25" a="1"/>
  <c r="D45" i="25" s="1"/>
  <c r="D43" i="25" a="1"/>
  <c r="D43" i="25" s="1"/>
  <c r="D41" i="25" a="1"/>
  <c r="D41" i="25" s="1"/>
  <c r="D38" i="25" a="1"/>
  <c r="D38" i="25" s="1"/>
  <c r="D37" i="25" a="1"/>
  <c r="D37" i="25" s="1"/>
  <c r="D36" i="25" a="1"/>
  <c r="D36" i="25" s="1"/>
  <c r="D34" i="25" a="1"/>
  <c r="D34" i="25" s="1"/>
  <c r="D33" i="25" a="1"/>
  <c r="D33" i="25" s="1"/>
  <c r="D32" i="25" a="1"/>
  <c r="D32" i="25" s="1"/>
  <c r="D31" i="25" a="1"/>
  <c r="D31" i="25" s="1"/>
  <c r="D30" i="25" a="1"/>
  <c r="D30" i="25" s="1"/>
  <c r="D29" i="25" a="1"/>
  <c r="D29" i="25" s="1"/>
  <c r="D27" i="25" a="1"/>
  <c r="D27" i="25" s="1"/>
  <c r="D26" i="25" a="1"/>
  <c r="D26" i="25" s="1"/>
  <c r="D24" i="25" a="1"/>
  <c r="D24" i="25" s="1"/>
  <c r="D21" i="25" a="1"/>
  <c r="D21" i="25" s="1"/>
  <c r="D17" i="25" a="1"/>
  <c r="D17" i="25" s="1"/>
  <c r="D16" i="25" a="1"/>
  <c r="D16" i="25" s="1"/>
  <c r="D14" i="25" a="1"/>
  <c r="D14" i="25" s="1"/>
  <c r="D6" i="25" a="1"/>
  <c r="D6" i="25" s="1"/>
  <c r="D2" i="25" a="1"/>
  <c r="D2" i="25" s="1"/>
  <c r="W1123" i="24"/>
  <c r="V1123" i="24"/>
  <c r="U1123" i="24"/>
  <c r="T1123" i="24"/>
  <c r="S1123" i="24"/>
  <c r="R1123" i="24"/>
  <c r="Q1123" i="24"/>
  <c r="O1123" i="24"/>
  <c r="M1123" i="24"/>
  <c r="L1123" i="24"/>
  <c r="F1123" i="24"/>
  <c r="E1123" i="24"/>
  <c r="D1123" i="24"/>
  <c r="C1123" i="24"/>
  <c r="B1123" i="24"/>
  <c r="A1123" i="24"/>
  <c r="W1122" i="24"/>
  <c r="U1122" i="24"/>
  <c r="T1122" i="24"/>
  <c r="S1122" i="24"/>
  <c r="R1122" i="24"/>
  <c r="Q1122" i="24"/>
  <c r="O1122" i="24"/>
  <c r="L1122" i="24"/>
  <c r="F1122" i="24"/>
  <c r="E1122" i="24"/>
  <c r="D1122" i="24"/>
  <c r="C1122" i="24"/>
  <c r="B1122" i="24"/>
  <c r="A1122" i="24"/>
  <c r="W1121" i="24"/>
  <c r="U1121" i="24"/>
  <c r="T1121" i="24"/>
  <c r="S1121" i="24"/>
  <c r="R1121" i="24"/>
  <c r="Q1121" i="24"/>
  <c r="O1121" i="24"/>
  <c r="L1121" i="24"/>
  <c r="F1121" i="24"/>
  <c r="E1121" i="24"/>
  <c r="D1121" i="24"/>
  <c r="C1121" i="24"/>
  <c r="B1121" i="24"/>
  <c r="A1121" i="24"/>
  <c r="W1120" i="24"/>
  <c r="U1120" i="24"/>
  <c r="T1120" i="24"/>
  <c r="S1120" i="24"/>
  <c r="R1120" i="24"/>
  <c r="Q1120" i="24"/>
  <c r="O1120" i="24"/>
  <c r="L1120" i="24"/>
  <c r="G1120" i="24"/>
  <c r="F1120" i="24"/>
  <c r="E1120" i="24"/>
  <c r="D1120" i="24"/>
  <c r="C1120" i="24"/>
  <c r="B1120" i="24"/>
  <c r="A1120" i="24"/>
  <c r="W1119" i="24"/>
  <c r="U1119" i="24"/>
  <c r="T1119" i="24"/>
  <c r="S1119" i="24"/>
  <c r="R1119" i="24"/>
  <c r="Q1119" i="24"/>
  <c r="O1119" i="24"/>
  <c r="L1119" i="24"/>
  <c r="H1119" i="24"/>
  <c r="G1119" i="24"/>
  <c r="F1119" i="24"/>
  <c r="E1119" i="24"/>
  <c r="D1119" i="24"/>
  <c r="C1119" i="24"/>
  <c r="B1119" i="24"/>
  <c r="A1119" i="24"/>
  <c r="W1118" i="24"/>
  <c r="U1118" i="24"/>
  <c r="T1118" i="24"/>
  <c r="S1118" i="24"/>
  <c r="R1118" i="24"/>
  <c r="Q1118" i="24"/>
  <c r="O1118" i="24"/>
  <c r="L1118" i="24"/>
  <c r="G1118" i="24"/>
  <c r="F1118" i="24"/>
  <c r="E1118" i="24"/>
  <c r="D1118" i="24"/>
  <c r="C1118" i="24"/>
  <c r="B1118" i="24"/>
  <c r="A1118" i="24"/>
  <c r="W1117" i="24"/>
  <c r="V1117" i="24"/>
  <c r="U1117" i="24"/>
  <c r="T1117" i="24"/>
  <c r="S1117" i="24"/>
  <c r="R1117" i="24"/>
  <c r="Q1117" i="24"/>
  <c r="O1117" i="24"/>
  <c r="L1117" i="24"/>
  <c r="G1117" i="24"/>
  <c r="F1117" i="24"/>
  <c r="E1117" i="24"/>
  <c r="D1117" i="24"/>
  <c r="C1117" i="24"/>
  <c r="B1117" i="24"/>
  <c r="A1117" i="24"/>
  <c r="W1116" i="24"/>
  <c r="U1116" i="24"/>
  <c r="T1116" i="24"/>
  <c r="S1116" i="24"/>
  <c r="R1116" i="24"/>
  <c r="Q1116" i="24"/>
  <c r="O1116" i="24"/>
  <c r="L1116" i="24"/>
  <c r="F1116" i="24"/>
  <c r="E1116" i="24"/>
  <c r="D1116" i="24"/>
  <c r="C1116" i="24"/>
  <c r="B1116" i="24"/>
  <c r="A1116" i="24"/>
  <c r="W1115" i="24"/>
  <c r="U1115" i="24"/>
  <c r="T1115" i="24"/>
  <c r="S1115" i="24"/>
  <c r="R1115" i="24"/>
  <c r="Q1115" i="24"/>
  <c r="O1115" i="24"/>
  <c r="L1115" i="24"/>
  <c r="F1115" i="24"/>
  <c r="E1115" i="24"/>
  <c r="D1115" i="24"/>
  <c r="C1115" i="24"/>
  <c r="B1115" i="24"/>
  <c r="A1115" i="24"/>
  <c r="W1114" i="24"/>
  <c r="U1114" i="24"/>
  <c r="T1114" i="24"/>
  <c r="S1114" i="24"/>
  <c r="R1114" i="24"/>
  <c r="Q1114" i="24"/>
  <c r="O1114" i="24"/>
  <c r="L1114" i="24"/>
  <c r="F1114" i="24"/>
  <c r="E1114" i="24"/>
  <c r="D1114" i="24"/>
  <c r="C1114" i="24"/>
  <c r="B1114" i="24"/>
  <c r="A1114" i="24"/>
  <c r="W1113" i="24"/>
  <c r="U1113" i="24"/>
  <c r="T1113" i="24"/>
  <c r="S1113" i="24"/>
  <c r="R1113" i="24"/>
  <c r="Q1113" i="24"/>
  <c r="O1113" i="24"/>
  <c r="L1113" i="24"/>
  <c r="F1113" i="24"/>
  <c r="E1113" i="24"/>
  <c r="D1113" i="24"/>
  <c r="C1113" i="24"/>
  <c r="B1113" i="24"/>
  <c r="A1113" i="24"/>
  <c r="W1112" i="24"/>
  <c r="U1112" i="24"/>
  <c r="T1112" i="24"/>
  <c r="S1112" i="24"/>
  <c r="R1112" i="24"/>
  <c r="Q1112" i="24"/>
  <c r="O1112" i="24"/>
  <c r="M1112" i="24"/>
  <c r="L1112" i="24"/>
  <c r="F1112" i="24"/>
  <c r="E1112" i="24"/>
  <c r="D1112" i="24"/>
  <c r="C1112" i="24"/>
  <c r="B1112" i="24"/>
  <c r="A1112" i="24"/>
  <c r="W1111" i="24"/>
  <c r="U1111" i="24"/>
  <c r="T1111" i="24"/>
  <c r="S1111" i="24"/>
  <c r="R1111" i="24"/>
  <c r="Q1111" i="24"/>
  <c r="O1111" i="24"/>
  <c r="L1111" i="24"/>
  <c r="K1111" i="24"/>
  <c r="J1111" i="24"/>
  <c r="I1111" i="24"/>
  <c r="H1111" i="24"/>
  <c r="G1111" i="24"/>
  <c r="F1111" i="24"/>
  <c r="E1111" i="24"/>
  <c r="D1111" i="24"/>
  <c r="C1111" i="24"/>
  <c r="B1111" i="24"/>
  <c r="A1111" i="24"/>
  <c r="W1110" i="24"/>
  <c r="U1110" i="24"/>
  <c r="T1110" i="24"/>
  <c r="S1110" i="24"/>
  <c r="R1110" i="24"/>
  <c r="Q1110" i="24"/>
  <c r="O1110" i="24"/>
  <c r="L1110" i="24"/>
  <c r="G1110" i="24"/>
  <c r="F1110" i="24"/>
  <c r="E1110" i="24"/>
  <c r="D1110" i="24"/>
  <c r="C1110" i="24"/>
  <c r="B1110" i="24"/>
  <c r="A1110" i="24"/>
  <c r="W1109" i="24"/>
  <c r="U1109" i="24"/>
  <c r="T1109" i="24"/>
  <c r="S1109" i="24"/>
  <c r="R1109" i="24"/>
  <c r="Q1109" i="24"/>
  <c r="O1109" i="24"/>
  <c r="L1109" i="24"/>
  <c r="G1109" i="24"/>
  <c r="F1109" i="24"/>
  <c r="E1109" i="24"/>
  <c r="D1109" i="24"/>
  <c r="C1109" i="24"/>
  <c r="B1109" i="24"/>
  <c r="A1109" i="24"/>
  <c r="W1108" i="24"/>
  <c r="U1108" i="24"/>
  <c r="T1108" i="24"/>
  <c r="S1108" i="24"/>
  <c r="R1108" i="24"/>
  <c r="Q1108" i="24"/>
  <c r="O1108" i="24"/>
  <c r="L1108" i="24"/>
  <c r="G1108" i="24"/>
  <c r="F1108" i="24"/>
  <c r="E1108" i="24"/>
  <c r="D1108" i="24"/>
  <c r="C1108" i="24"/>
  <c r="B1108" i="24"/>
  <c r="A1108" i="24"/>
  <c r="W1107" i="24"/>
  <c r="U1107" i="24"/>
  <c r="T1107" i="24"/>
  <c r="S1107" i="24"/>
  <c r="R1107" i="24"/>
  <c r="Q1107" i="24"/>
  <c r="O1107" i="24"/>
  <c r="L1107" i="24"/>
  <c r="H1107" i="24"/>
  <c r="G1107" i="24"/>
  <c r="F1107" i="24"/>
  <c r="E1107" i="24"/>
  <c r="D1107" i="24"/>
  <c r="C1107" i="24"/>
  <c r="B1107" i="24"/>
  <c r="A1107" i="24"/>
  <c r="W1106" i="24"/>
  <c r="U1106" i="24"/>
  <c r="T1106" i="24"/>
  <c r="S1106" i="24"/>
  <c r="R1106" i="24"/>
  <c r="Q1106" i="24"/>
  <c r="O1106" i="24"/>
  <c r="L1106" i="24"/>
  <c r="I1106" i="24"/>
  <c r="H1106" i="24"/>
  <c r="G1106" i="24"/>
  <c r="F1106" i="24"/>
  <c r="E1106" i="24"/>
  <c r="D1106" i="24"/>
  <c r="C1106" i="24"/>
  <c r="B1106" i="24"/>
  <c r="A1106" i="24"/>
  <c r="W1105" i="24"/>
  <c r="U1105" i="24"/>
  <c r="T1105" i="24"/>
  <c r="S1105" i="24"/>
  <c r="R1105" i="24"/>
  <c r="Q1105" i="24"/>
  <c r="O1105" i="24"/>
  <c r="L1105" i="24"/>
  <c r="G1105" i="24"/>
  <c r="F1105" i="24"/>
  <c r="E1105" i="24"/>
  <c r="D1105" i="24"/>
  <c r="C1105" i="24"/>
  <c r="B1105" i="24"/>
  <c r="A1105" i="24"/>
  <c r="W1104" i="24"/>
  <c r="U1104" i="24"/>
  <c r="T1104" i="24"/>
  <c r="S1104" i="24"/>
  <c r="R1104" i="24"/>
  <c r="Q1104" i="24"/>
  <c r="O1104" i="24"/>
  <c r="L1104" i="24"/>
  <c r="G1104" i="24"/>
  <c r="F1104" i="24"/>
  <c r="E1104" i="24"/>
  <c r="D1104" i="24"/>
  <c r="C1104" i="24"/>
  <c r="B1104" i="24"/>
  <c r="A1104" i="24"/>
  <c r="W1103" i="24"/>
  <c r="U1103" i="24"/>
  <c r="T1103" i="24"/>
  <c r="S1103" i="24"/>
  <c r="R1103" i="24"/>
  <c r="Q1103" i="24"/>
  <c r="O1103" i="24"/>
  <c r="L1103" i="24"/>
  <c r="G1103" i="24"/>
  <c r="F1103" i="24"/>
  <c r="E1103" i="24"/>
  <c r="D1103" i="24"/>
  <c r="C1103" i="24"/>
  <c r="B1103" i="24"/>
  <c r="A1103" i="24"/>
  <c r="W1102" i="24"/>
  <c r="U1102" i="24"/>
  <c r="T1102" i="24"/>
  <c r="S1102" i="24"/>
  <c r="R1102" i="24"/>
  <c r="Q1102" i="24"/>
  <c r="O1102" i="24"/>
  <c r="L1102" i="24"/>
  <c r="I1102" i="24"/>
  <c r="H1102" i="24"/>
  <c r="G1102" i="24"/>
  <c r="F1102" i="24"/>
  <c r="E1102" i="24"/>
  <c r="D1102" i="24"/>
  <c r="C1102" i="24"/>
  <c r="B1102" i="24"/>
  <c r="A1102" i="24"/>
  <c r="W1101" i="24"/>
  <c r="U1101" i="24"/>
  <c r="T1101" i="24"/>
  <c r="S1101" i="24"/>
  <c r="R1101" i="24"/>
  <c r="Q1101" i="24"/>
  <c r="O1101" i="24"/>
  <c r="L1101" i="24"/>
  <c r="G1101" i="24"/>
  <c r="F1101" i="24"/>
  <c r="E1101" i="24"/>
  <c r="D1101" i="24"/>
  <c r="C1101" i="24"/>
  <c r="B1101" i="24"/>
  <c r="A1101" i="24"/>
  <c r="W1100" i="24"/>
  <c r="U1100" i="24"/>
  <c r="T1100" i="24"/>
  <c r="S1100" i="24"/>
  <c r="R1100" i="24"/>
  <c r="Q1100" i="24"/>
  <c r="O1100" i="24"/>
  <c r="L1100" i="24"/>
  <c r="H1100" i="24"/>
  <c r="G1100" i="24"/>
  <c r="F1100" i="24"/>
  <c r="E1100" i="24"/>
  <c r="D1100" i="24"/>
  <c r="C1100" i="24"/>
  <c r="B1100" i="24"/>
  <c r="A1100" i="24"/>
  <c r="W1099" i="24"/>
  <c r="U1099" i="24"/>
  <c r="T1099" i="24"/>
  <c r="S1099" i="24"/>
  <c r="R1099" i="24"/>
  <c r="Q1099" i="24"/>
  <c r="O1099" i="24"/>
  <c r="L1099" i="24"/>
  <c r="G1099" i="24"/>
  <c r="F1099" i="24"/>
  <c r="E1099" i="24"/>
  <c r="D1099" i="24"/>
  <c r="C1099" i="24"/>
  <c r="B1099" i="24"/>
  <c r="A1099" i="24"/>
  <c r="W1098" i="24"/>
  <c r="U1098" i="24"/>
  <c r="T1098" i="24"/>
  <c r="S1098" i="24"/>
  <c r="R1098" i="24"/>
  <c r="Q1098" i="24"/>
  <c r="O1098" i="24"/>
  <c r="L1098" i="24"/>
  <c r="H1098" i="24"/>
  <c r="G1098" i="24"/>
  <c r="F1098" i="24"/>
  <c r="E1098" i="24"/>
  <c r="D1098" i="24"/>
  <c r="C1098" i="24"/>
  <c r="B1098" i="24"/>
  <c r="A1098" i="24"/>
  <c r="W1097" i="24"/>
  <c r="U1097" i="24"/>
  <c r="T1097" i="24"/>
  <c r="S1097" i="24"/>
  <c r="R1097" i="24"/>
  <c r="Q1097" i="24"/>
  <c r="O1097" i="24"/>
  <c r="M1097" i="24"/>
  <c r="L1097" i="24"/>
  <c r="H1097" i="24"/>
  <c r="G1097" i="24"/>
  <c r="F1097" i="24"/>
  <c r="E1097" i="24"/>
  <c r="D1097" i="24"/>
  <c r="C1097" i="24"/>
  <c r="B1097" i="24"/>
  <c r="A1097" i="24"/>
  <c r="W1096" i="24"/>
  <c r="U1096" i="24"/>
  <c r="T1096" i="24"/>
  <c r="S1096" i="24"/>
  <c r="R1096" i="24"/>
  <c r="Q1096" i="24"/>
  <c r="O1096" i="24"/>
  <c r="L1096" i="24"/>
  <c r="F1096" i="24"/>
  <c r="E1096" i="24"/>
  <c r="D1096" i="24"/>
  <c r="C1096" i="24"/>
  <c r="B1096" i="24"/>
  <c r="A1096" i="24"/>
  <c r="W1095" i="24"/>
  <c r="U1095" i="24"/>
  <c r="T1095" i="24"/>
  <c r="S1095" i="24"/>
  <c r="R1095" i="24"/>
  <c r="Q1095" i="24"/>
  <c r="O1095" i="24"/>
  <c r="L1095" i="24"/>
  <c r="G1095" i="24"/>
  <c r="F1095" i="24"/>
  <c r="E1095" i="24"/>
  <c r="D1095" i="24"/>
  <c r="C1095" i="24"/>
  <c r="B1095" i="24"/>
  <c r="A1095" i="24"/>
  <c r="W1094" i="24"/>
  <c r="U1094" i="24"/>
  <c r="T1094" i="24"/>
  <c r="S1094" i="24"/>
  <c r="R1094" i="24"/>
  <c r="Q1094" i="24"/>
  <c r="O1094" i="24"/>
  <c r="L1094" i="24"/>
  <c r="F1094" i="24"/>
  <c r="E1094" i="24"/>
  <c r="D1094" i="24"/>
  <c r="C1094" i="24"/>
  <c r="B1094" i="24"/>
  <c r="A1094" i="24"/>
  <c r="W1093" i="24"/>
  <c r="U1093" i="24"/>
  <c r="T1093" i="24"/>
  <c r="S1093" i="24"/>
  <c r="R1093" i="24"/>
  <c r="Q1093" i="24"/>
  <c r="O1093" i="24"/>
  <c r="L1093" i="24"/>
  <c r="I1093" i="24"/>
  <c r="H1093" i="24"/>
  <c r="G1093" i="24"/>
  <c r="F1093" i="24"/>
  <c r="E1093" i="24"/>
  <c r="D1093" i="24"/>
  <c r="C1093" i="24"/>
  <c r="B1093" i="24"/>
  <c r="A1093" i="24"/>
  <c r="W1092" i="24"/>
  <c r="U1092" i="24"/>
  <c r="T1092" i="24"/>
  <c r="S1092" i="24"/>
  <c r="R1092" i="24"/>
  <c r="Q1092" i="24"/>
  <c r="O1092" i="24"/>
  <c r="L1092" i="24"/>
  <c r="G1092" i="24"/>
  <c r="F1092" i="24"/>
  <c r="E1092" i="24"/>
  <c r="D1092" i="24"/>
  <c r="C1092" i="24"/>
  <c r="B1092" i="24"/>
  <c r="A1092" i="24"/>
  <c r="W1091" i="24"/>
  <c r="U1091" i="24"/>
  <c r="T1091" i="24"/>
  <c r="S1091" i="24"/>
  <c r="R1091" i="24"/>
  <c r="Q1091" i="24"/>
  <c r="O1091" i="24"/>
  <c r="I1091" i="24"/>
  <c r="H1091" i="24"/>
  <c r="G1091" i="24"/>
  <c r="F1091" i="24"/>
  <c r="E1091" i="24"/>
  <c r="D1091" i="24"/>
  <c r="C1091" i="24"/>
  <c r="B1091" i="24"/>
  <c r="A1091" i="24"/>
  <c r="W1090" i="24"/>
  <c r="U1090" i="24"/>
  <c r="T1090" i="24"/>
  <c r="S1090" i="24"/>
  <c r="R1090" i="24"/>
  <c r="Q1090" i="24"/>
  <c r="O1090" i="24"/>
  <c r="L1090" i="24"/>
  <c r="F1090" i="24"/>
  <c r="E1090" i="24"/>
  <c r="D1090" i="24"/>
  <c r="C1090" i="24"/>
  <c r="B1090" i="24"/>
  <c r="A1090" i="24"/>
  <c r="W1089" i="24"/>
  <c r="U1089" i="24"/>
  <c r="T1089" i="24"/>
  <c r="S1089" i="24"/>
  <c r="R1089" i="24"/>
  <c r="Q1089" i="24"/>
  <c r="O1089" i="24"/>
  <c r="L1089" i="24"/>
  <c r="H1089" i="24"/>
  <c r="G1089" i="24"/>
  <c r="F1089" i="24"/>
  <c r="E1089" i="24"/>
  <c r="D1089" i="24"/>
  <c r="C1089" i="24"/>
  <c r="B1089" i="24"/>
  <c r="A1089" i="24"/>
  <c r="W1088" i="24"/>
  <c r="U1088" i="24"/>
  <c r="T1088" i="24"/>
  <c r="S1088" i="24"/>
  <c r="R1088" i="24"/>
  <c r="Q1088" i="24"/>
  <c r="O1088" i="24"/>
  <c r="L1088" i="24"/>
  <c r="I1088" i="24"/>
  <c r="H1088" i="24"/>
  <c r="G1088" i="24"/>
  <c r="F1088" i="24"/>
  <c r="E1088" i="24"/>
  <c r="D1088" i="24"/>
  <c r="C1088" i="24"/>
  <c r="B1088" i="24"/>
  <c r="A1088" i="24"/>
  <c r="W1087" i="24"/>
  <c r="U1087" i="24"/>
  <c r="T1087" i="24"/>
  <c r="S1087" i="24"/>
  <c r="R1087" i="24"/>
  <c r="Q1087" i="24"/>
  <c r="O1087" i="24"/>
  <c r="L1087" i="24"/>
  <c r="I1087" i="24"/>
  <c r="H1087" i="24"/>
  <c r="G1087" i="24"/>
  <c r="F1087" i="24"/>
  <c r="E1087" i="24"/>
  <c r="D1087" i="24"/>
  <c r="C1087" i="24"/>
  <c r="B1087" i="24"/>
  <c r="A1087" i="24"/>
  <c r="W1086" i="24"/>
  <c r="U1086" i="24"/>
  <c r="T1086" i="24"/>
  <c r="S1086" i="24"/>
  <c r="R1086" i="24"/>
  <c r="Q1086" i="24"/>
  <c r="O1086" i="24"/>
  <c r="L1086" i="24"/>
  <c r="I1086" i="24"/>
  <c r="H1086" i="24"/>
  <c r="G1086" i="24"/>
  <c r="F1086" i="24"/>
  <c r="E1086" i="24"/>
  <c r="D1086" i="24"/>
  <c r="C1086" i="24"/>
  <c r="B1086" i="24"/>
  <c r="A1086" i="24"/>
  <c r="W1085" i="24"/>
  <c r="U1085" i="24"/>
  <c r="T1085" i="24"/>
  <c r="S1085" i="24"/>
  <c r="R1085" i="24"/>
  <c r="Q1085" i="24"/>
  <c r="O1085" i="24"/>
  <c r="L1085" i="24"/>
  <c r="F1085" i="24"/>
  <c r="E1085" i="24"/>
  <c r="D1085" i="24"/>
  <c r="C1085" i="24"/>
  <c r="B1085" i="24"/>
  <c r="A1085" i="24"/>
  <c r="W1084" i="24"/>
  <c r="U1084" i="24"/>
  <c r="T1084" i="24"/>
  <c r="S1084" i="24"/>
  <c r="R1084" i="24"/>
  <c r="Q1084" i="24"/>
  <c r="O1084" i="24"/>
  <c r="M1084" i="24"/>
  <c r="L1084" i="24"/>
  <c r="H1084" i="24"/>
  <c r="G1084" i="24"/>
  <c r="F1084" i="24"/>
  <c r="E1084" i="24"/>
  <c r="D1084" i="24"/>
  <c r="C1084" i="24"/>
  <c r="B1084" i="24"/>
  <c r="A1084" i="24"/>
  <c r="W1083" i="24"/>
  <c r="U1083" i="24"/>
  <c r="T1083" i="24"/>
  <c r="S1083" i="24"/>
  <c r="R1083" i="24"/>
  <c r="Q1083" i="24"/>
  <c r="O1083" i="24"/>
  <c r="L1083" i="24"/>
  <c r="G1083" i="24"/>
  <c r="F1083" i="24"/>
  <c r="E1083" i="24"/>
  <c r="D1083" i="24"/>
  <c r="C1083" i="24"/>
  <c r="B1083" i="24"/>
  <c r="A1083" i="24"/>
  <c r="W1082" i="24"/>
  <c r="U1082" i="24"/>
  <c r="T1082" i="24"/>
  <c r="S1082" i="24"/>
  <c r="R1082" i="24"/>
  <c r="Q1082" i="24"/>
  <c r="O1082" i="24"/>
  <c r="L1082" i="24"/>
  <c r="G1082" i="24"/>
  <c r="F1082" i="24"/>
  <c r="E1082" i="24"/>
  <c r="D1082" i="24"/>
  <c r="C1082" i="24"/>
  <c r="B1082" i="24"/>
  <c r="A1082" i="24"/>
  <c r="W1081" i="24"/>
  <c r="U1081" i="24"/>
  <c r="T1081" i="24"/>
  <c r="S1081" i="24"/>
  <c r="R1081" i="24"/>
  <c r="Q1081" i="24"/>
  <c r="O1081" i="24"/>
  <c r="L1081" i="24"/>
  <c r="H1081" i="24"/>
  <c r="G1081" i="24"/>
  <c r="F1081" i="24"/>
  <c r="E1081" i="24"/>
  <c r="D1081" i="24"/>
  <c r="C1081" i="24"/>
  <c r="B1081" i="24"/>
  <c r="A1081" i="24"/>
  <c r="W1080" i="24"/>
  <c r="U1080" i="24"/>
  <c r="T1080" i="24"/>
  <c r="S1080" i="24"/>
  <c r="R1080" i="24"/>
  <c r="Q1080" i="24"/>
  <c r="O1080" i="24"/>
  <c r="N1080" i="24"/>
  <c r="M1080" i="24"/>
  <c r="L1080" i="24"/>
  <c r="G1080" i="24"/>
  <c r="F1080" i="24"/>
  <c r="E1080" i="24"/>
  <c r="D1080" i="24"/>
  <c r="C1080" i="24"/>
  <c r="B1080" i="24"/>
  <c r="A1080" i="24"/>
  <c r="W1079" i="24"/>
  <c r="U1079" i="24"/>
  <c r="T1079" i="24"/>
  <c r="S1079" i="24"/>
  <c r="R1079" i="24"/>
  <c r="Q1079" i="24"/>
  <c r="O1079" i="24"/>
  <c r="L1079" i="24"/>
  <c r="F1079" i="24"/>
  <c r="E1079" i="24"/>
  <c r="D1079" i="24"/>
  <c r="C1079" i="24"/>
  <c r="B1079" i="24"/>
  <c r="A1079" i="24"/>
  <c r="W1078" i="24"/>
  <c r="U1078" i="24"/>
  <c r="T1078" i="24"/>
  <c r="S1078" i="24"/>
  <c r="R1078" i="24"/>
  <c r="Q1078" i="24"/>
  <c r="O1078" i="24"/>
  <c r="L1078" i="24"/>
  <c r="F1078" i="24"/>
  <c r="E1078" i="24"/>
  <c r="D1078" i="24"/>
  <c r="C1078" i="24"/>
  <c r="B1078" i="24"/>
  <c r="A1078" i="24"/>
  <c r="W1077" i="24"/>
  <c r="U1077" i="24"/>
  <c r="T1077" i="24"/>
  <c r="S1077" i="24"/>
  <c r="R1077" i="24"/>
  <c r="Q1077" i="24"/>
  <c r="O1077" i="24"/>
  <c r="L1077" i="24"/>
  <c r="F1077" i="24"/>
  <c r="E1077" i="24"/>
  <c r="D1077" i="24"/>
  <c r="C1077" i="24"/>
  <c r="B1077" i="24"/>
  <c r="A1077" i="24"/>
  <c r="W1076" i="24"/>
  <c r="U1076" i="24"/>
  <c r="T1076" i="24"/>
  <c r="S1076" i="24"/>
  <c r="R1076" i="24"/>
  <c r="Q1076" i="24"/>
  <c r="O1076" i="24"/>
  <c r="M1076" i="24"/>
  <c r="L1076" i="24"/>
  <c r="J1076" i="24"/>
  <c r="I1076" i="24"/>
  <c r="H1076" i="24"/>
  <c r="G1076" i="24"/>
  <c r="F1076" i="24"/>
  <c r="E1076" i="24"/>
  <c r="D1076" i="24"/>
  <c r="C1076" i="24"/>
  <c r="B1076" i="24"/>
  <c r="A1076" i="24"/>
  <c r="W1075" i="24"/>
  <c r="U1075" i="24"/>
  <c r="T1075" i="24"/>
  <c r="S1075" i="24"/>
  <c r="R1075" i="24"/>
  <c r="Q1075" i="24"/>
  <c r="O1075" i="24"/>
  <c r="L1075" i="24"/>
  <c r="G1075" i="24"/>
  <c r="F1075" i="24"/>
  <c r="E1075" i="24"/>
  <c r="D1075" i="24"/>
  <c r="C1075" i="24"/>
  <c r="B1075" i="24"/>
  <c r="A1075" i="24"/>
  <c r="W1074" i="24"/>
  <c r="U1074" i="24"/>
  <c r="T1074" i="24"/>
  <c r="S1074" i="24"/>
  <c r="R1074" i="24"/>
  <c r="Q1074" i="24"/>
  <c r="O1074" i="24"/>
  <c r="L1074" i="24"/>
  <c r="H1074" i="24"/>
  <c r="G1074" i="24"/>
  <c r="F1074" i="24"/>
  <c r="E1074" i="24"/>
  <c r="D1074" i="24"/>
  <c r="C1074" i="24"/>
  <c r="B1074" i="24"/>
  <c r="A1074" i="24"/>
  <c r="W1073" i="24"/>
  <c r="U1073" i="24"/>
  <c r="T1073" i="24"/>
  <c r="S1073" i="24"/>
  <c r="R1073" i="24"/>
  <c r="Q1073" i="24"/>
  <c r="O1073" i="24"/>
  <c r="L1073" i="24"/>
  <c r="F1073" i="24"/>
  <c r="E1073" i="24"/>
  <c r="D1073" i="24"/>
  <c r="C1073" i="24"/>
  <c r="B1073" i="24"/>
  <c r="A1073" i="24"/>
  <c r="W1072" i="24"/>
  <c r="U1072" i="24"/>
  <c r="T1072" i="24"/>
  <c r="S1072" i="24"/>
  <c r="R1072" i="24"/>
  <c r="Q1072" i="24"/>
  <c r="O1072" i="24"/>
  <c r="M1072" i="24"/>
  <c r="L1072" i="24"/>
  <c r="J1072" i="24"/>
  <c r="I1072" i="24"/>
  <c r="H1072" i="24"/>
  <c r="G1072" i="24"/>
  <c r="F1072" i="24"/>
  <c r="E1072" i="24"/>
  <c r="D1072" i="24"/>
  <c r="C1072" i="24"/>
  <c r="B1072" i="24"/>
  <c r="A1072" i="24"/>
  <c r="W1071" i="24"/>
  <c r="U1071" i="24"/>
  <c r="T1071" i="24"/>
  <c r="S1071" i="24"/>
  <c r="R1071" i="24"/>
  <c r="Q1071" i="24"/>
  <c r="O1071" i="24"/>
  <c r="L1071" i="24"/>
  <c r="F1071" i="24"/>
  <c r="E1071" i="24"/>
  <c r="D1071" i="24"/>
  <c r="C1071" i="24"/>
  <c r="B1071" i="24"/>
  <c r="A1071" i="24"/>
  <c r="W1070" i="24"/>
  <c r="U1070" i="24"/>
  <c r="T1070" i="24"/>
  <c r="S1070" i="24"/>
  <c r="R1070" i="24"/>
  <c r="Q1070" i="24"/>
  <c r="O1070" i="24"/>
  <c r="L1070" i="24"/>
  <c r="G1070" i="24"/>
  <c r="F1070" i="24"/>
  <c r="E1070" i="24"/>
  <c r="D1070" i="24"/>
  <c r="C1070" i="24"/>
  <c r="B1070" i="24"/>
  <c r="A1070" i="24"/>
  <c r="W1069" i="24"/>
  <c r="U1069" i="24"/>
  <c r="T1069" i="24"/>
  <c r="S1069" i="24"/>
  <c r="R1069" i="24"/>
  <c r="Q1069" i="24"/>
  <c r="O1069" i="24"/>
  <c r="M1069" i="24"/>
  <c r="L1069" i="24"/>
  <c r="F1069" i="24"/>
  <c r="E1069" i="24"/>
  <c r="D1069" i="24"/>
  <c r="C1069" i="24"/>
  <c r="B1069" i="24"/>
  <c r="A1069" i="24"/>
  <c r="W1068" i="24"/>
  <c r="U1068" i="24"/>
  <c r="T1068" i="24"/>
  <c r="S1068" i="24"/>
  <c r="R1068" i="24"/>
  <c r="Q1068" i="24"/>
  <c r="O1068" i="24"/>
  <c r="L1068" i="24"/>
  <c r="F1068" i="24"/>
  <c r="E1068" i="24"/>
  <c r="D1068" i="24"/>
  <c r="C1068" i="24"/>
  <c r="B1068" i="24"/>
  <c r="A1068" i="24"/>
  <c r="W1067" i="24"/>
  <c r="U1067" i="24"/>
  <c r="T1067" i="24"/>
  <c r="S1067" i="24"/>
  <c r="R1067" i="24"/>
  <c r="Q1067" i="24"/>
  <c r="O1067" i="24"/>
  <c r="M1067" i="24"/>
  <c r="L1067" i="24"/>
  <c r="F1067" i="24"/>
  <c r="E1067" i="24"/>
  <c r="D1067" i="24"/>
  <c r="C1067" i="24"/>
  <c r="B1067" i="24"/>
  <c r="A1067" i="24"/>
  <c r="W1066" i="24"/>
  <c r="U1066" i="24"/>
  <c r="T1066" i="24"/>
  <c r="S1066" i="24"/>
  <c r="R1066" i="24"/>
  <c r="Q1066" i="24"/>
  <c r="O1066" i="24"/>
  <c r="L1066" i="24"/>
  <c r="F1066" i="24"/>
  <c r="E1066" i="24"/>
  <c r="D1066" i="24"/>
  <c r="C1066" i="24"/>
  <c r="B1066" i="24"/>
  <c r="A1066" i="24"/>
  <c r="W1065" i="24"/>
  <c r="U1065" i="24"/>
  <c r="T1065" i="24"/>
  <c r="S1065" i="24"/>
  <c r="R1065" i="24"/>
  <c r="Q1065" i="24"/>
  <c r="O1065" i="24"/>
  <c r="L1065" i="24"/>
  <c r="G1065" i="24"/>
  <c r="F1065" i="24"/>
  <c r="E1065" i="24"/>
  <c r="D1065" i="24"/>
  <c r="C1065" i="24"/>
  <c r="B1065" i="24"/>
  <c r="A1065" i="24"/>
  <c r="W1064" i="24"/>
  <c r="U1064" i="24"/>
  <c r="T1064" i="24"/>
  <c r="S1064" i="24"/>
  <c r="R1064" i="24"/>
  <c r="Q1064" i="24"/>
  <c r="O1064" i="24"/>
  <c r="L1064" i="24"/>
  <c r="F1064" i="24"/>
  <c r="E1064" i="24"/>
  <c r="D1064" i="24"/>
  <c r="C1064" i="24"/>
  <c r="B1064" i="24"/>
  <c r="A1064" i="24"/>
  <c r="W1063" i="24"/>
  <c r="U1063" i="24"/>
  <c r="T1063" i="24"/>
  <c r="S1063" i="24"/>
  <c r="R1063" i="24"/>
  <c r="Q1063" i="24"/>
  <c r="O1063" i="24"/>
  <c r="N1063" i="24"/>
  <c r="M1063" i="24"/>
  <c r="L1063" i="24"/>
  <c r="F1063" i="24"/>
  <c r="E1063" i="24"/>
  <c r="D1063" i="24"/>
  <c r="C1063" i="24"/>
  <c r="B1063" i="24"/>
  <c r="A1063" i="24"/>
  <c r="W1062" i="24"/>
  <c r="U1062" i="24"/>
  <c r="T1062" i="24"/>
  <c r="S1062" i="24"/>
  <c r="R1062" i="24"/>
  <c r="Q1062" i="24"/>
  <c r="O1062" i="24"/>
  <c r="M1062" i="24"/>
  <c r="L1062" i="24"/>
  <c r="F1062" i="24"/>
  <c r="E1062" i="24"/>
  <c r="D1062" i="24"/>
  <c r="C1062" i="24"/>
  <c r="B1062" i="24"/>
  <c r="A1062" i="24"/>
  <c r="W1061" i="24"/>
  <c r="U1061" i="24"/>
  <c r="T1061" i="24"/>
  <c r="S1061" i="24"/>
  <c r="R1061" i="24"/>
  <c r="Q1061" i="24"/>
  <c r="O1061" i="24"/>
  <c r="L1061" i="24"/>
  <c r="I1061" i="24"/>
  <c r="H1061" i="24"/>
  <c r="G1061" i="24"/>
  <c r="F1061" i="24"/>
  <c r="E1061" i="24"/>
  <c r="D1061" i="24"/>
  <c r="C1061" i="24"/>
  <c r="B1061" i="24"/>
  <c r="A1061" i="24"/>
  <c r="W1060" i="24"/>
  <c r="U1060" i="24"/>
  <c r="T1060" i="24"/>
  <c r="S1060" i="24"/>
  <c r="R1060" i="24"/>
  <c r="Q1060" i="24"/>
  <c r="O1060" i="24"/>
  <c r="L1060" i="24"/>
  <c r="G1060" i="24"/>
  <c r="F1060" i="24"/>
  <c r="E1060" i="24"/>
  <c r="D1060" i="24"/>
  <c r="C1060" i="24"/>
  <c r="B1060" i="24"/>
  <c r="A1060" i="24"/>
  <c r="W1059" i="24"/>
  <c r="U1059" i="24"/>
  <c r="T1059" i="24"/>
  <c r="S1059" i="24"/>
  <c r="R1059" i="24"/>
  <c r="Q1059" i="24"/>
  <c r="O1059" i="24"/>
  <c r="M1059" i="24"/>
  <c r="L1059" i="24"/>
  <c r="F1059" i="24"/>
  <c r="E1059" i="24"/>
  <c r="D1059" i="24"/>
  <c r="C1059" i="24"/>
  <c r="B1059" i="24"/>
  <c r="A1059" i="24"/>
  <c r="W1058" i="24"/>
  <c r="U1058" i="24"/>
  <c r="T1058" i="24"/>
  <c r="S1058" i="24"/>
  <c r="R1058" i="24"/>
  <c r="Q1058" i="24"/>
  <c r="O1058" i="24"/>
  <c r="L1058" i="24"/>
  <c r="F1058" i="24"/>
  <c r="E1058" i="24"/>
  <c r="D1058" i="24"/>
  <c r="C1058" i="24"/>
  <c r="B1058" i="24"/>
  <c r="A1058" i="24"/>
  <c r="W1057" i="24"/>
  <c r="U1057" i="24"/>
  <c r="T1057" i="24"/>
  <c r="S1057" i="24"/>
  <c r="R1057" i="24"/>
  <c r="Q1057" i="24"/>
  <c r="O1057" i="24"/>
  <c r="L1057" i="24"/>
  <c r="I1057" i="24"/>
  <c r="H1057" i="24"/>
  <c r="G1057" i="24"/>
  <c r="F1057" i="24"/>
  <c r="E1057" i="24"/>
  <c r="D1057" i="24"/>
  <c r="C1057" i="24"/>
  <c r="B1057" i="24"/>
  <c r="A1057" i="24"/>
  <c r="W1056" i="24"/>
  <c r="U1056" i="24"/>
  <c r="T1056" i="24"/>
  <c r="S1056" i="24"/>
  <c r="R1056" i="24"/>
  <c r="Q1056" i="24"/>
  <c r="O1056" i="24"/>
  <c r="L1056" i="24"/>
  <c r="H1056" i="24"/>
  <c r="G1056" i="24"/>
  <c r="F1056" i="24"/>
  <c r="E1056" i="24"/>
  <c r="D1056" i="24"/>
  <c r="C1056" i="24"/>
  <c r="B1056" i="24"/>
  <c r="A1056" i="24"/>
  <c r="W1055" i="24"/>
  <c r="U1055" i="24"/>
  <c r="T1055" i="24"/>
  <c r="S1055" i="24"/>
  <c r="R1055" i="24"/>
  <c r="Q1055" i="24"/>
  <c r="O1055" i="24"/>
  <c r="L1055" i="24"/>
  <c r="H1055" i="24"/>
  <c r="G1055" i="24"/>
  <c r="F1055" i="24"/>
  <c r="E1055" i="24"/>
  <c r="D1055" i="24"/>
  <c r="C1055" i="24"/>
  <c r="B1055" i="24"/>
  <c r="A1055" i="24"/>
  <c r="W1054" i="24"/>
  <c r="U1054" i="24"/>
  <c r="T1054" i="24"/>
  <c r="S1054" i="24"/>
  <c r="R1054" i="24"/>
  <c r="Q1054" i="24"/>
  <c r="O1054" i="24"/>
  <c r="L1054" i="24"/>
  <c r="G1054" i="24"/>
  <c r="F1054" i="24"/>
  <c r="E1054" i="24"/>
  <c r="D1054" i="24"/>
  <c r="C1054" i="24"/>
  <c r="B1054" i="24"/>
  <c r="A1054" i="24"/>
  <c r="W1053" i="24"/>
  <c r="U1053" i="24"/>
  <c r="T1053" i="24"/>
  <c r="S1053" i="24"/>
  <c r="R1053" i="24"/>
  <c r="Q1053" i="24"/>
  <c r="O1053" i="24"/>
  <c r="L1053" i="24"/>
  <c r="G1053" i="24"/>
  <c r="F1053" i="24"/>
  <c r="E1053" i="24"/>
  <c r="D1053" i="24"/>
  <c r="C1053" i="24"/>
  <c r="B1053" i="24"/>
  <c r="A1053" i="24"/>
  <c r="W1052" i="24"/>
  <c r="U1052" i="24"/>
  <c r="T1052" i="24"/>
  <c r="S1052" i="24"/>
  <c r="R1052" i="24"/>
  <c r="Q1052" i="24"/>
  <c r="O1052" i="24"/>
  <c r="L1052" i="24"/>
  <c r="I1052" i="24"/>
  <c r="H1052" i="24"/>
  <c r="G1052" i="24"/>
  <c r="F1052" i="24"/>
  <c r="E1052" i="24"/>
  <c r="D1052" i="24"/>
  <c r="C1052" i="24"/>
  <c r="B1052" i="24"/>
  <c r="A1052" i="24"/>
  <c r="W1051" i="24"/>
  <c r="U1051" i="24"/>
  <c r="T1051" i="24"/>
  <c r="S1051" i="24"/>
  <c r="R1051" i="24"/>
  <c r="Q1051" i="24"/>
  <c r="O1051" i="24"/>
  <c r="L1051" i="24"/>
  <c r="K1051" i="24"/>
  <c r="J1051" i="24"/>
  <c r="I1051" i="24"/>
  <c r="H1051" i="24"/>
  <c r="G1051" i="24"/>
  <c r="F1051" i="24"/>
  <c r="E1051" i="24"/>
  <c r="D1051" i="24"/>
  <c r="C1051" i="24"/>
  <c r="B1051" i="24"/>
  <c r="A1051" i="24"/>
  <c r="W1050" i="24"/>
  <c r="U1050" i="24"/>
  <c r="T1050" i="24"/>
  <c r="S1050" i="24"/>
  <c r="R1050" i="24"/>
  <c r="Q1050" i="24"/>
  <c r="O1050" i="24"/>
  <c r="L1050" i="24"/>
  <c r="I1050" i="24"/>
  <c r="H1050" i="24"/>
  <c r="G1050" i="24"/>
  <c r="F1050" i="24"/>
  <c r="E1050" i="24"/>
  <c r="D1050" i="24"/>
  <c r="C1050" i="24"/>
  <c r="B1050" i="24"/>
  <c r="A1050" i="24"/>
  <c r="W1049" i="24"/>
  <c r="U1049" i="24"/>
  <c r="T1049" i="24"/>
  <c r="S1049" i="24"/>
  <c r="R1049" i="24"/>
  <c r="Q1049" i="24"/>
  <c r="O1049" i="24"/>
  <c r="L1049" i="24"/>
  <c r="H1049" i="24"/>
  <c r="G1049" i="24"/>
  <c r="F1049" i="24"/>
  <c r="E1049" i="24"/>
  <c r="D1049" i="24"/>
  <c r="C1049" i="24"/>
  <c r="B1049" i="24"/>
  <c r="A1049" i="24"/>
  <c r="W1048" i="24"/>
  <c r="U1048" i="24"/>
  <c r="T1048" i="24"/>
  <c r="S1048" i="24"/>
  <c r="R1048" i="24"/>
  <c r="Q1048" i="24"/>
  <c r="O1048" i="24"/>
  <c r="M1048" i="24"/>
  <c r="L1048" i="24"/>
  <c r="I1048" i="24"/>
  <c r="H1048" i="24"/>
  <c r="G1048" i="24"/>
  <c r="F1048" i="24"/>
  <c r="E1048" i="24"/>
  <c r="D1048" i="24"/>
  <c r="C1048" i="24"/>
  <c r="B1048" i="24"/>
  <c r="A1048" i="24"/>
  <c r="W1047" i="24"/>
  <c r="U1047" i="24"/>
  <c r="T1047" i="24"/>
  <c r="S1047" i="24"/>
  <c r="R1047" i="24"/>
  <c r="Q1047" i="24"/>
  <c r="O1047" i="24"/>
  <c r="N1047" i="24"/>
  <c r="M1047" i="24"/>
  <c r="L1047" i="24"/>
  <c r="H1047" i="24"/>
  <c r="G1047" i="24"/>
  <c r="F1047" i="24"/>
  <c r="E1047" i="24"/>
  <c r="D1047" i="24"/>
  <c r="C1047" i="24"/>
  <c r="B1047" i="24"/>
  <c r="A1047" i="24"/>
  <c r="W1046" i="24"/>
  <c r="U1046" i="24"/>
  <c r="T1046" i="24"/>
  <c r="S1046" i="24"/>
  <c r="R1046" i="24"/>
  <c r="Q1046" i="24"/>
  <c r="O1046" i="24"/>
  <c r="L1046" i="24"/>
  <c r="H1046" i="24"/>
  <c r="G1046" i="24"/>
  <c r="F1046" i="24"/>
  <c r="E1046" i="24"/>
  <c r="D1046" i="24"/>
  <c r="C1046" i="24"/>
  <c r="B1046" i="24"/>
  <c r="A1046" i="24"/>
  <c r="W1045" i="24"/>
  <c r="V1045" i="24"/>
  <c r="U1045" i="24"/>
  <c r="T1045" i="24"/>
  <c r="S1045" i="24"/>
  <c r="R1045" i="24"/>
  <c r="Q1045" i="24"/>
  <c r="O1045" i="24"/>
  <c r="L1045" i="24"/>
  <c r="H1045" i="24"/>
  <c r="G1045" i="24"/>
  <c r="F1045" i="24"/>
  <c r="E1045" i="24"/>
  <c r="D1045" i="24"/>
  <c r="C1045" i="24"/>
  <c r="B1045" i="24"/>
  <c r="A1045" i="24"/>
  <c r="W1044" i="24"/>
  <c r="U1044" i="24"/>
  <c r="T1044" i="24"/>
  <c r="S1044" i="24"/>
  <c r="R1044" i="24"/>
  <c r="Q1044" i="24"/>
  <c r="O1044" i="24"/>
  <c r="L1044" i="24"/>
  <c r="F1044" i="24"/>
  <c r="E1044" i="24"/>
  <c r="D1044" i="24"/>
  <c r="C1044" i="24"/>
  <c r="B1044" i="24"/>
  <c r="A1044" i="24"/>
  <c r="W1043" i="24"/>
  <c r="U1043" i="24"/>
  <c r="T1043" i="24"/>
  <c r="S1043" i="24"/>
  <c r="R1043" i="24"/>
  <c r="Q1043" i="24"/>
  <c r="O1043" i="24"/>
  <c r="L1043" i="24"/>
  <c r="F1043" i="24"/>
  <c r="E1043" i="24"/>
  <c r="D1043" i="24"/>
  <c r="C1043" i="24"/>
  <c r="B1043" i="24"/>
  <c r="A1043" i="24"/>
  <c r="W1042" i="24"/>
  <c r="V1042" i="24"/>
  <c r="U1042" i="24"/>
  <c r="T1042" i="24"/>
  <c r="S1042" i="24"/>
  <c r="R1042" i="24"/>
  <c r="Q1042" i="24"/>
  <c r="O1042" i="24"/>
  <c r="L1042" i="24"/>
  <c r="G1042" i="24"/>
  <c r="F1042" i="24"/>
  <c r="E1042" i="24"/>
  <c r="D1042" i="24"/>
  <c r="C1042" i="24"/>
  <c r="B1042" i="24"/>
  <c r="A1042" i="24"/>
  <c r="W1041" i="24"/>
  <c r="U1041" i="24"/>
  <c r="T1041" i="24"/>
  <c r="S1041" i="24"/>
  <c r="R1041" i="24"/>
  <c r="Q1041" i="24"/>
  <c r="O1041" i="24"/>
  <c r="L1041" i="24"/>
  <c r="G1041" i="24"/>
  <c r="F1041" i="24"/>
  <c r="E1041" i="24"/>
  <c r="D1041" i="24"/>
  <c r="C1041" i="24"/>
  <c r="B1041" i="24"/>
  <c r="A1041" i="24"/>
  <c r="W1040" i="24"/>
  <c r="U1040" i="24"/>
  <c r="T1040" i="24"/>
  <c r="S1040" i="24"/>
  <c r="R1040" i="24"/>
  <c r="Q1040" i="24"/>
  <c r="O1040" i="24"/>
  <c r="M1040" i="24"/>
  <c r="L1040" i="24"/>
  <c r="H1040" i="24"/>
  <c r="G1040" i="24"/>
  <c r="F1040" i="24"/>
  <c r="E1040" i="24"/>
  <c r="D1040" i="24"/>
  <c r="C1040" i="24"/>
  <c r="B1040" i="24"/>
  <c r="A1040" i="24"/>
  <c r="W1039" i="24"/>
  <c r="U1039" i="24"/>
  <c r="T1039" i="24"/>
  <c r="S1039" i="24"/>
  <c r="R1039" i="24"/>
  <c r="Q1039" i="24"/>
  <c r="O1039" i="24"/>
  <c r="L1039" i="24"/>
  <c r="I1039" i="24"/>
  <c r="H1039" i="24"/>
  <c r="G1039" i="24"/>
  <c r="F1039" i="24"/>
  <c r="E1039" i="24"/>
  <c r="D1039" i="24"/>
  <c r="C1039" i="24"/>
  <c r="B1039" i="24"/>
  <c r="A1039" i="24"/>
  <c r="W1038" i="24"/>
  <c r="U1038" i="24"/>
  <c r="T1038" i="24"/>
  <c r="S1038" i="24"/>
  <c r="R1038" i="24"/>
  <c r="Q1038" i="24"/>
  <c r="O1038" i="24"/>
  <c r="L1038" i="24"/>
  <c r="G1038" i="24"/>
  <c r="F1038" i="24"/>
  <c r="E1038" i="24"/>
  <c r="D1038" i="24"/>
  <c r="C1038" i="24"/>
  <c r="B1038" i="24"/>
  <c r="A1038" i="24"/>
  <c r="W1037" i="24"/>
  <c r="U1037" i="24"/>
  <c r="T1037" i="24"/>
  <c r="S1037" i="24"/>
  <c r="R1037" i="24"/>
  <c r="Q1037" i="24"/>
  <c r="O1037" i="24"/>
  <c r="L1037" i="24"/>
  <c r="F1037" i="24"/>
  <c r="E1037" i="24"/>
  <c r="D1037" i="24"/>
  <c r="C1037" i="24"/>
  <c r="B1037" i="24"/>
  <c r="A1037" i="24"/>
  <c r="W1036" i="24"/>
  <c r="U1036" i="24"/>
  <c r="T1036" i="24"/>
  <c r="S1036" i="24"/>
  <c r="R1036" i="24"/>
  <c r="Q1036" i="24"/>
  <c r="O1036" i="24"/>
  <c r="L1036" i="24"/>
  <c r="G1036" i="24"/>
  <c r="F1036" i="24"/>
  <c r="E1036" i="24"/>
  <c r="D1036" i="24"/>
  <c r="C1036" i="24"/>
  <c r="B1036" i="24"/>
  <c r="A1036" i="24"/>
  <c r="W1035" i="24"/>
  <c r="V1035" i="24"/>
  <c r="U1035" i="24"/>
  <c r="T1035" i="24"/>
  <c r="S1035" i="24"/>
  <c r="R1035" i="24"/>
  <c r="Q1035" i="24"/>
  <c r="O1035" i="24"/>
  <c r="L1035" i="24"/>
  <c r="F1035" i="24"/>
  <c r="E1035" i="24"/>
  <c r="D1035" i="24"/>
  <c r="C1035" i="24"/>
  <c r="B1035" i="24"/>
  <c r="A1035" i="24"/>
  <c r="W1034" i="24"/>
  <c r="U1034" i="24"/>
  <c r="T1034" i="24"/>
  <c r="S1034" i="24"/>
  <c r="R1034" i="24"/>
  <c r="Q1034" i="24"/>
  <c r="O1034" i="24"/>
  <c r="M1034" i="24"/>
  <c r="L1034" i="24"/>
  <c r="G1034" i="24"/>
  <c r="F1034" i="24"/>
  <c r="E1034" i="24"/>
  <c r="D1034" i="24"/>
  <c r="C1034" i="24"/>
  <c r="B1034" i="24"/>
  <c r="A1034" i="24"/>
  <c r="W1033" i="24"/>
  <c r="U1033" i="24"/>
  <c r="T1033" i="24"/>
  <c r="S1033" i="24"/>
  <c r="R1033" i="24"/>
  <c r="Q1033" i="24"/>
  <c r="O1033" i="24"/>
  <c r="L1033" i="24"/>
  <c r="G1033" i="24"/>
  <c r="F1033" i="24"/>
  <c r="E1033" i="24"/>
  <c r="D1033" i="24"/>
  <c r="C1033" i="24"/>
  <c r="B1033" i="24"/>
  <c r="A1033" i="24"/>
  <c r="W1032" i="24"/>
  <c r="U1032" i="24"/>
  <c r="T1032" i="24"/>
  <c r="S1032" i="24"/>
  <c r="R1032" i="24"/>
  <c r="Q1032" i="24"/>
  <c r="O1032" i="24"/>
  <c r="L1032" i="24"/>
  <c r="F1032" i="24"/>
  <c r="E1032" i="24"/>
  <c r="D1032" i="24"/>
  <c r="C1032" i="24"/>
  <c r="B1032" i="24"/>
  <c r="A1032" i="24"/>
  <c r="W1031" i="24"/>
  <c r="U1031" i="24"/>
  <c r="T1031" i="24"/>
  <c r="S1031" i="24"/>
  <c r="R1031" i="24"/>
  <c r="Q1031" i="24"/>
  <c r="O1031" i="24"/>
  <c r="L1031" i="24"/>
  <c r="G1031" i="24"/>
  <c r="F1031" i="24"/>
  <c r="E1031" i="24"/>
  <c r="D1031" i="24"/>
  <c r="C1031" i="24"/>
  <c r="B1031" i="24"/>
  <c r="A1031" i="24"/>
  <c r="W1030" i="24"/>
  <c r="U1030" i="24"/>
  <c r="T1030" i="24"/>
  <c r="S1030" i="24"/>
  <c r="R1030" i="24"/>
  <c r="Q1030" i="24"/>
  <c r="O1030" i="24"/>
  <c r="L1030" i="24"/>
  <c r="G1030" i="24"/>
  <c r="F1030" i="24"/>
  <c r="E1030" i="24"/>
  <c r="D1030" i="24"/>
  <c r="C1030" i="24"/>
  <c r="B1030" i="24"/>
  <c r="A1030" i="24"/>
  <c r="W1029" i="24"/>
  <c r="U1029" i="24"/>
  <c r="T1029" i="24"/>
  <c r="S1029" i="24"/>
  <c r="R1029" i="24"/>
  <c r="Q1029" i="24"/>
  <c r="O1029" i="24"/>
  <c r="M1029" i="24"/>
  <c r="L1029" i="24"/>
  <c r="H1029" i="24"/>
  <c r="G1029" i="24"/>
  <c r="F1029" i="24"/>
  <c r="E1029" i="24"/>
  <c r="D1029" i="24"/>
  <c r="C1029" i="24"/>
  <c r="B1029" i="24"/>
  <c r="A1029" i="24"/>
  <c r="W1028" i="24"/>
  <c r="U1028" i="24"/>
  <c r="T1028" i="24"/>
  <c r="S1028" i="24"/>
  <c r="R1028" i="24"/>
  <c r="Q1028" i="24"/>
  <c r="O1028" i="24"/>
  <c r="L1028" i="24"/>
  <c r="I1028" i="24"/>
  <c r="H1028" i="24"/>
  <c r="G1028" i="24"/>
  <c r="F1028" i="24"/>
  <c r="E1028" i="24"/>
  <c r="D1028" i="24"/>
  <c r="C1028" i="24"/>
  <c r="B1028" i="24"/>
  <c r="A1028" i="24"/>
  <c r="W1027" i="24"/>
  <c r="U1027" i="24"/>
  <c r="T1027" i="24"/>
  <c r="S1027" i="24"/>
  <c r="R1027" i="24"/>
  <c r="Q1027" i="24"/>
  <c r="O1027" i="24"/>
  <c r="L1027" i="24"/>
  <c r="G1027" i="24"/>
  <c r="F1027" i="24"/>
  <c r="E1027" i="24"/>
  <c r="D1027" i="24"/>
  <c r="C1027" i="24"/>
  <c r="B1027" i="24"/>
  <c r="A1027" i="24"/>
  <c r="W1026" i="24"/>
  <c r="U1026" i="24"/>
  <c r="T1026" i="24"/>
  <c r="S1026" i="24"/>
  <c r="R1026" i="24"/>
  <c r="Q1026" i="24"/>
  <c r="O1026" i="24"/>
  <c r="L1026" i="24"/>
  <c r="G1026" i="24"/>
  <c r="F1026" i="24"/>
  <c r="E1026" i="24"/>
  <c r="D1026" i="24"/>
  <c r="C1026" i="24"/>
  <c r="B1026" i="24"/>
  <c r="A1026" i="24"/>
  <c r="W1025" i="24"/>
  <c r="U1025" i="24"/>
  <c r="T1025" i="24"/>
  <c r="S1025" i="24"/>
  <c r="R1025" i="24"/>
  <c r="Q1025" i="24"/>
  <c r="O1025" i="24"/>
  <c r="L1025" i="24"/>
  <c r="F1025" i="24"/>
  <c r="E1025" i="24"/>
  <c r="D1025" i="24"/>
  <c r="C1025" i="24"/>
  <c r="B1025" i="24"/>
  <c r="A1025" i="24"/>
  <c r="W1024" i="24"/>
  <c r="U1024" i="24"/>
  <c r="T1024" i="24"/>
  <c r="S1024" i="24"/>
  <c r="R1024" i="24"/>
  <c r="Q1024" i="24"/>
  <c r="O1024" i="24"/>
  <c r="L1024" i="24"/>
  <c r="H1024" i="24"/>
  <c r="G1024" i="24"/>
  <c r="F1024" i="24"/>
  <c r="E1024" i="24"/>
  <c r="D1024" i="24"/>
  <c r="C1024" i="24"/>
  <c r="B1024" i="24"/>
  <c r="A1024" i="24"/>
  <c r="W1023" i="24"/>
  <c r="U1023" i="24"/>
  <c r="T1023" i="24"/>
  <c r="S1023" i="24"/>
  <c r="R1023" i="24"/>
  <c r="Q1023" i="24"/>
  <c r="O1023" i="24"/>
  <c r="L1023" i="24"/>
  <c r="H1023" i="24"/>
  <c r="G1023" i="24"/>
  <c r="F1023" i="24"/>
  <c r="E1023" i="24"/>
  <c r="D1023" i="24"/>
  <c r="C1023" i="24"/>
  <c r="B1023" i="24"/>
  <c r="A1023" i="24"/>
  <c r="W1022" i="24"/>
  <c r="U1022" i="24"/>
  <c r="T1022" i="24"/>
  <c r="S1022" i="24"/>
  <c r="R1022" i="24"/>
  <c r="Q1022" i="24"/>
  <c r="O1022" i="24"/>
  <c r="L1022" i="24"/>
  <c r="G1022" i="24"/>
  <c r="F1022" i="24"/>
  <c r="E1022" i="24"/>
  <c r="D1022" i="24"/>
  <c r="C1022" i="24"/>
  <c r="B1022" i="24"/>
  <c r="A1022" i="24"/>
  <c r="W1021" i="24"/>
  <c r="U1021" i="24"/>
  <c r="T1021" i="24"/>
  <c r="S1021" i="24"/>
  <c r="R1021" i="24"/>
  <c r="Q1021" i="24"/>
  <c r="O1021" i="24"/>
  <c r="L1021" i="24"/>
  <c r="J1021" i="24"/>
  <c r="I1021" i="24"/>
  <c r="H1021" i="24"/>
  <c r="G1021" i="24"/>
  <c r="F1021" i="24"/>
  <c r="E1021" i="24"/>
  <c r="D1021" i="24"/>
  <c r="C1021" i="24"/>
  <c r="B1021" i="24"/>
  <c r="A1021" i="24"/>
  <c r="W1020" i="24"/>
  <c r="U1020" i="24"/>
  <c r="T1020" i="24"/>
  <c r="S1020" i="24"/>
  <c r="R1020" i="24"/>
  <c r="Q1020" i="24"/>
  <c r="O1020" i="24"/>
  <c r="L1020" i="24"/>
  <c r="K1020" i="24"/>
  <c r="J1020" i="24"/>
  <c r="I1020" i="24"/>
  <c r="H1020" i="24"/>
  <c r="G1020" i="24"/>
  <c r="F1020" i="24"/>
  <c r="E1020" i="24"/>
  <c r="D1020" i="24"/>
  <c r="C1020" i="24"/>
  <c r="B1020" i="24"/>
  <c r="A1020" i="24"/>
  <c r="W1019" i="24"/>
  <c r="U1019" i="24"/>
  <c r="T1019" i="24"/>
  <c r="S1019" i="24"/>
  <c r="R1019" i="24"/>
  <c r="Q1019" i="24"/>
  <c r="O1019" i="24"/>
  <c r="L1019" i="24"/>
  <c r="G1019" i="24"/>
  <c r="F1019" i="24"/>
  <c r="E1019" i="24"/>
  <c r="D1019" i="24"/>
  <c r="C1019" i="24"/>
  <c r="B1019" i="24"/>
  <c r="A1019" i="24"/>
  <c r="W1018" i="24"/>
  <c r="U1018" i="24"/>
  <c r="T1018" i="24"/>
  <c r="S1018" i="24"/>
  <c r="R1018" i="24"/>
  <c r="Q1018" i="24"/>
  <c r="O1018" i="24"/>
  <c r="L1018" i="24"/>
  <c r="F1018" i="24"/>
  <c r="E1018" i="24"/>
  <c r="D1018" i="24"/>
  <c r="C1018" i="24"/>
  <c r="B1018" i="24"/>
  <c r="A1018" i="24"/>
  <c r="W1017" i="24"/>
  <c r="U1017" i="24"/>
  <c r="T1017" i="24"/>
  <c r="S1017" i="24"/>
  <c r="R1017" i="24"/>
  <c r="Q1017" i="24"/>
  <c r="O1017" i="24"/>
  <c r="L1017" i="24"/>
  <c r="G1017" i="24"/>
  <c r="F1017" i="24"/>
  <c r="E1017" i="24"/>
  <c r="D1017" i="24"/>
  <c r="C1017" i="24"/>
  <c r="B1017" i="24"/>
  <c r="A1017" i="24"/>
  <c r="W1016" i="24"/>
  <c r="U1016" i="24"/>
  <c r="T1016" i="24"/>
  <c r="S1016" i="24"/>
  <c r="R1016" i="24"/>
  <c r="Q1016" i="24"/>
  <c r="O1016" i="24"/>
  <c r="L1016" i="24"/>
  <c r="G1016" i="24"/>
  <c r="F1016" i="24"/>
  <c r="E1016" i="24"/>
  <c r="D1016" i="24"/>
  <c r="C1016" i="24"/>
  <c r="B1016" i="24"/>
  <c r="A1016" i="24"/>
  <c r="W1015" i="24"/>
  <c r="V1015" i="24"/>
  <c r="U1015" i="24"/>
  <c r="T1015" i="24"/>
  <c r="S1015" i="24"/>
  <c r="R1015" i="24"/>
  <c r="Q1015" i="24"/>
  <c r="O1015" i="24"/>
  <c r="L1015" i="24"/>
  <c r="F1015" i="24"/>
  <c r="E1015" i="24"/>
  <c r="D1015" i="24"/>
  <c r="C1015" i="24"/>
  <c r="B1015" i="24"/>
  <c r="A1015" i="24"/>
  <c r="W1014" i="24"/>
  <c r="U1014" i="24"/>
  <c r="T1014" i="24"/>
  <c r="S1014" i="24"/>
  <c r="R1014" i="24"/>
  <c r="Q1014" i="24"/>
  <c r="O1014" i="24"/>
  <c r="L1014" i="24"/>
  <c r="G1014" i="24"/>
  <c r="F1014" i="24"/>
  <c r="E1014" i="24"/>
  <c r="D1014" i="24"/>
  <c r="C1014" i="24"/>
  <c r="B1014" i="24"/>
  <c r="A1014" i="24"/>
  <c r="W1013" i="24"/>
  <c r="U1013" i="24"/>
  <c r="T1013" i="24"/>
  <c r="S1013" i="24"/>
  <c r="R1013" i="24"/>
  <c r="Q1013" i="24"/>
  <c r="O1013" i="24"/>
  <c r="L1013" i="24"/>
  <c r="F1013" i="24"/>
  <c r="E1013" i="24"/>
  <c r="D1013" i="24"/>
  <c r="C1013" i="24"/>
  <c r="B1013" i="24"/>
  <c r="A1013" i="24"/>
  <c r="W1012" i="24"/>
  <c r="U1012" i="24"/>
  <c r="T1012" i="24"/>
  <c r="S1012" i="24"/>
  <c r="R1012" i="24"/>
  <c r="Q1012" i="24"/>
  <c r="O1012" i="24"/>
  <c r="L1012" i="24"/>
  <c r="G1012" i="24"/>
  <c r="F1012" i="24"/>
  <c r="E1012" i="24"/>
  <c r="D1012" i="24"/>
  <c r="C1012" i="24"/>
  <c r="B1012" i="24"/>
  <c r="A1012" i="24"/>
  <c r="W1011" i="24"/>
  <c r="U1011" i="24"/>
  <c r="T1011" i="24"/>
  <c r="S1011" i="24"/>
  <c r="R1011" i="24"/>
  <c r="Q1011" i="24"/>
  <c r="O1011" i="24"/>
  <c r="L1011" i="24"/>
  <c r="G1011" i="24"/>
  <c r="F1011" i="24"/>
  <c r="E1011" i="24"/>
  <c r="D1011" i="24"/>
  <c r="C1011" i="24"/>
  <c r="B1011" i="24"/>
  <c r="A1011" i="24"/>
  <c r="W1010" i="24"/>
  <c r="U1010" i="24"/>
  <c r="T1010" i="24"/>
  <c r="S1010" i="24"/>
  <c r="R1010" i="24"/>
  <c r="Q1010" i="24"/>
  <c r="O1010" i="24"/>
  <c r="L1010" i="24"/>
  <c r="G1010" i="24"/>
  <c r="F1010" i="24"/>
  <c r="E1010" i="24"/>
  <c r="D1010" i="24"/>
  <c r="C1010" i="24"/>
  <c r="B1010" i="24"/>
  <c r="A1010" i="24"/>
  <c r="W1009" i="24"/>
  <c r="U1009" i="24"/>
  <c r="T1009" i="24"/>
  <c r="S1009" i="24"/>
  <c r="R1009" i="24"/>
  <c r="Q1009" i="24"/>
  <c r="O1009" i="24"/>
  <c r="L1009" i="24"/>
  <c r="H1009" i="24"/>
  <c r="G1009" i="24"/>
  <c r="F1009" i="24"/>
  <c r="E1009" i="24"/>
  <c r="D1009" i="24"/>
  <c r="C1009" i="24"/>
  <c r="B1009" i="24"/>
  <c r="A1009" i="24"/>
  <c r="W1008" i="24"/>
  <c r="U1008" i="24"/>
  <c r="T1008" i="24"/>
  <c r="S1008" i="24"/>
  <c r="R1008" i="24"/>
  <c r="Q1008" i="24"/>
  <c r="O1008" i="24"/>
  <c r="L1008" i="24"/>
  <c r="J1008" i="24"/>
  <c r="I1008" i="24"/>
  <c r="H1008" i="24"/>
  <c r="G1008" i="24"/>
  <c r="F1008" i="24"/>
  <c r="E1008" i="24"/>
  <c r="D1008" i="24"/>
  <c r="C1008" i="24"/>
  <c r="B1008" i="24"/>
  <c r="A1008" i="24"/>
  <c r="W1007" i="24"/>
  <c r="U1007" i="24"/>
  <c r="T1007" i="24"/>
  <c r="S1007" i="24"/>
  <c r="R1007" i="24"/>
  <c r="Q1007" i="24"/>
  <c r="O1007" i="24"/>
  <c r="L1007" i="24"/>
  <c r="H1007" i="24"/>
  <c r="G1007" i="24"/>
  <c r="F1007" i="24"/>
  <c r="E1007" i="24"/>
  <c r="D1007" i="24"/>
  <c r="C1007" i="24"/>
  <c r="B1007" i="24"/>
  <c r="A1007" i="24"/>
  <c r="W1006" i="24"/>
  <c r="U1006" i="24"/>
  <c r="T1006" i="24"/>
  <c r="S1006" i="24"/>
  <c r="R1006" i="24"/>
  <c r="Q1006" i="24"/>
  <c r="O1006" i="24"/>
  <c r="L1006" i="24"/>
  <c r="I1006" i="24"/>
  <c r="H1006" i="24"/>
  <c r="G1006" i="24"/>
  <c r="F1006" i="24"/>
  <c r="E1006" i="24"/>
  <c r="D1006" i="24"/>
  <c r="C1006" i="24"/>
  <c r="B1006" i="24"/>
  <c r="A1006" i="24"/>
  <c r="W1005" i="24"/>
  <c r="V1005" i="24"/>
  <c r="U1005" i="24"/>
  <c r="T1005" i="24"/>
  <c r="S1005" i="24"/>
  <c r="R1005" i="24"/>
  <c r="Q1005" i="24"/>
  <c r="O1005" i="24"/>
  <c r="L1005" i="24"/>
  <c r="G1005" i="24"/>
  <c r="F1005" i="24"/>
  <c r="E1005" i="24"/>
  <c r="D1005" i="24"/>
  <c r="C1005" i="24"/>
  <c r="B1005" i="24"/>
  <c r="A1005" i="24"/>
  <c r="W1004" i="24"/>
  <c r="U1004" i="24"/>
  <c r="T1004" i="24"/>
  <c r="S1004" i="24"/>
  <c r="R1004" i="24"/>
  <c r="Q1004" i="24"/>
  <c r="O1004" i="24"/>
  <c r="L1004" i="24"/>
  <c r="F1004" i="24"/>
  <c r="E1004" i="24"/>
  <c r="D1004" i="24"/>
  <c r="C1004" i="24"/>
  <c r="B1004" i="24"/>
  <c r="A1004" i="24"/>
  <c r="W1003" i="24"/>
  <c r="U1003" i="24"/>
  <c r="T1003" i="24"/>
  <c r="S1003" i="24"/>
  <c r="R1003" i="24"/>
  <c r="Q1003" i="24"/>
  <c r="O1003" i="24"/>
  <c r="L1003" i="24"/>
  <c r="H1003" i="24"/>
  <c r="G1003" i="24"/>
  <c r="F1003" i="24"/>
  <c r="E1003" i="24"/>
  <c r="D1003" i="24"/>
  <c r="C1003" i="24"/>
  <c r="B1003" i="24"/>
  <c r="A1003" i="24"/>
  <c r="W1002" i="24"/>
  <c r="U1002" i="24"/>
  <c r="T1002" i="24"/>
  <c r="S1002" i="24"/>
  <c r="R1002" i="24"/>
  <c r="Q1002" i="24"/>
  <c r="O1002" i="24"/>
  <c r="L1002" i="24"/>
  <c r="G1002" i="24"/>
  <c r="F1002" i="24"/>
  <c r="E1002" i="24"/>
  <c r="D1002" i="24"/>
  <c r="C1002" i="24"/>
  <c r="B1002" i="24"/>
  <c r="A1002" i="24"/>
  <c r="W1001" i="24"/>
  <c r="U1001" i="24"/>
  <c r="T1001" i="24"/>
  <c r="S1001" i="24"/>
  <c r="R1001" i="24"/>
  <c r="Q1001" i="24"/>
  <c r="O1001" i="24"/>
  <c r="L1001" i="24"/>
  <c r="F1001" i="24"/>
  <c r="E1001" i="24"/>
  <c r="D1001" i="24"/>
  <c r="C1001" i="24"/>
  <c r="B1001" i="24"/>
  <c r="A1001" i="24"/>
  <c r="W1000" i="24"/>
  <c r="U1000" i="24"/>
  <c r="T1000" i="24"/>
  <c r="S1000" i="24"/>
  <c r="R1000" i="24"/>
  <c r="Q1000" i="24"/>
  <c r="O1000" i="24"/>
  <c r="L1000" i="24"/>
  <c r="G1000" i="24"/>
  <c r="F1000" i="24"/>
  <c r="E1000" i="24"/>
  <c r="D1000" i="24"/>
  <c r="C1000" i="24"/>
  <c r="B1000" i="24"/>
  <c r="A1000" i="24"/>
  <c r="W999" i="24"/>
  <c r="U999" i="24"/>
  <c r="T999" i="24"/>
  <c r="S999" i="24"/>
  <c r="R999" i="24"/>
  <c r="Q999" i="24"/>
  <c r="O999" i="24"/>
  <c r="M999" i="24"/>
  <c r="L999" i="24"/>
  <c r="G999" i="24"/>
  <c r="F999" i="24"/>
  <c r="E999" i="24"/>
  <c r="D999" i="24"/>
  <c r="C999" i="24"/>
  <c r="B999" i="24"/>
  <c r="A999" i="24"/>
  <c r="W998" i="24"/>
  <c r="V998" i="24"/>
  <c r="U998" i="24"/>
  <c r="T998" i="24"/>
  <c r="S998" i="24"/>
  <c r="R998" i="24"/>
  <c r="Q998" i="24"/>
  <c r="O998" i="24"/>
  <c r="N998" i="24"/>
  <c r="M998" i="24"/>
  <c r="L998" i="24"/>
  <c r="F998" i="24"/>
  <c r="E998" i="24"/>
  <c r="D998" i="24"/>
  <c r="C998" i="24"/>
  <c r="B998" i="24"/>
  <c r="A998" i="24"/>
  <c r="W997" i="24"/>
  <c r="U997" i="24"/>
  <c r="T997" i="24"/>
  <c r="S997" i="24"/>
  <c r="R997" i="24"/>
  <c r="Q997" i="24"/>
  <c r="O997" i="24"/>
  <c r="L997" i="24"/>
  <c r="G997" i="24"/>
  <c r="F997" i="24"/>
  <c r="E997" i="24"/>
  <c r="D997" i="24"/>
  <c r="C997" i="24"/>
  <c r="B997" i="24"/>
  <c r="A997" i="24"/>
  <c r="W996" i="24"/>
  <c r="U996" i="24"/>
  <c r="T996" i="24"/>
  <c r="S996" i="24"/>
  <c r="R996" i="24"/>
  <c r="Q996" i="24"/>
  <c r="O996" i="24"/>
  <c r="N996" i="24"/>
  <c r="M996" i="24"/>
  <c r="L996" i="24"/>
  <c r="H996" i="24"/>
  <c r="G996" i="24"/>
  <c r="F996" i="24"/>
  <c r="E996" i="24"/>
  <c r="D996" i="24"/>
  <c r="C996" i="24"/>
  <c r="B996" i="24"/>
  <c r="A996" i="24"/>
  <c r="W995" i="24"/>
  <c r="U995" i="24"/>
  <c r="T995" i="24"/>
  <c r="S995" i="24"/>
  <c r="R995" i="24"/>
  <c r="Q995" i="24"/>
  <c r="O995" i="24"/>
  <c r="L995" i="24"/>
  <c r="G995" i="24"/>
  <c r="F995" i="24"/>
  <c r="E995" i="24"/>
  <c r="D995" i="24"/>
  <c r="C995" i="24"/>
  <c r="B995" i="24"/>
  <c r="A995" i="24"/>
  <c r="W994" i="24"/>
  <c r="U994" i="24"/>
  <c r="T994" i="24"/>
  <c r="S994" i="24"/>
  <c r="R994" i="24"/>
  <c r="Q994" i="24"/>
  <c r="O994" i="24"/>
  <c r="L994" i="24"/>
  <c r="G994" i="24"/>
  <c r="F994" i="24"/>
  <c r="E994" i="24"/>
  <c r="D994" i="24"/>
  <c r="C994" i="24"/>
  <c r="B994" i="24"/>
  <c r="A994" i="24"/>
  <c r="W993" i="24"/>
  <c r="U993" i="24"/>
  <c r="T993" i="24"/>
  <c r="S993" i="24"/>
  <c r="R993" i="24"/>
  <c r="Q993" i="24"/>
  <c r="O993" i="24"/>
  <c r="L993" i="24"/>
  <c r="F993" i="24"/>
  <c r="E993" i="24"/>
  <c r="D993" i="24"/>
  <c r="C993" i="24"/>
  <c r="B993" i="24"/>
  <c r="A993" i="24"/>
  <c r="W992" i="24"/>
  <c r="U992" i="24"/>
  <c r="T992" i="24"/>
  <c r="S992" i="24"/>
  <c r="R992" i="24"/>
  <c r="Q992" i="24"/>
  <c r="O992" i="24"/>
  <c r="L992" i="24"/>
  <c r="G992" i="24"/>
  <c r="F992" i="24"/>
  <c r="E992" i="24"/>
  <c r="D992" i="24"/>
  <c r="C992" i="24"/>
  <c r="B992" i="24"/>
  <c r="A992" i="24"/>
  <c r="W991" i="24"/>
  <c r="U991" i="24"/>
  <c r="T991" i="24"/>
  <c r="S991" i="24"/>
  <c r="R991" i="24"/>
  <c r="Q991" i="24"/>
  <c r="O991" i="24"/>
  <c r="L991" i="24"/>
  <c r="F991" i="24"/>
  <c r="E991" i="24"/>
  <c r="D991" i="24"/>
  <c r="C991" i="24"/>
  <c r="B991" i="24"/>
  <c r="A991" i="24"/>
  <c r="W990" i="24"/>
  <c r="U990" i="24"/>
  <c r="T990" i="24"/>
  <c r="S990" i="24"/>
  <c r="R990" i="24"/>
  <c r="Q990" i="24"/>
  <c r="O990" i="24"/>
  <c r="L990" i="24"/>
  <c r="F990" i="24"/>
  <c r="E990" i="24"/>
  <c r="D990" i="24"/>
  <c r="C990" i="24"/>
  <c r="B990" i="24"/>
  <c r="A990" i="24"/>
  <c r="W989" i="24"/>
  <c r="U989" i="24"/>
  <c r="T989" i="24"/>
  <c r="S989" i="24"/>
  <c r="R989" i="24"/>
  <c r="Q989" i="24"/>
  <c r="O989" i="24"/>
  <c r="L989" i="24"/>
  <c r="F989" i="24"/>
  <c r="E989" i="24"/>
  <c r="D989" i="24"/>
  <c r="C989" i="24"/>
  <c r="B989" i="24"/>
  <c r="A989" i="24"/>
  <c r="W988" i="24"/>
  <c r="U988" i="24"/>
  <c r="T988" i="24"/>
  <c r="S988" i="24"/>
  <c r="R988" i="24"/>
  <c r="Q988" i="24"/>
  <c r="O988" i="24"/>
  <c r="L988" i="24"/>
  <c r="F988" i="24"/>
  <c r="E988" i="24"/>
  <c r="D988" i="24"/>
  <c r="C988" i="24"/>
  <c r="B988" i="24"/>
  <c r="A988" i="24"/>
  <c r="W987" i="24"/>
  <c r="U987" i="24"/>
  <c r="T987" i="24"/>
  <c r="S987" i="24"/>
  <c r="R987" i="24"/>
  <c r="Q987" i="24"/>
  <c r="O987" i="24"/>
  <c r="L987" i="24"/>
  <c r="I987" i="24"/>
  <c r="H987" i="24"/>
  <c r="G987" i="24"/>
  <c r="F987" i="24"/>
  <c r="E987" i="24"/>
  <c r="D987" i="24"/>
  <c r="C987" i="24"/>
  <c r="B987" i="24"/>
  <c r="A987" i="24"/>
  <c r="W986" i="24"/>
  <c r="U986" i="24"/>
  <c r="T986" i="24"/>
  <c r="S986" i="24"/>
  <c r="R986" i="24"/>
  <c r="Q986" i="24"/>
  <c r="O986" i="24"/>
  <c r="L986" i="24"/>
  <c r="F986" i="24"/>
  <c r="E986" i="24"/>
  <c r="D986" i="24"/>
  <c r="C986" i="24"/>
  <c r="B986" i="24"/>
  <c r="A986" i="24"/>
  <c r="W985" i="24"/>
  <c r="U985" i="24"/>
  <c r="T985" i="24"/>
  <c r="S985" i="24"/>
  <c r="R985" i="24"/>
  <c r="Q985" i="24"/>
  <c r="O985" i="24"/>
  <c r="L985" i="24"/>
  <c r="G985" i="24"/>
  <c r="F985" i="24"/>
  <c r="E985" i="24"/>
  <c r="D985" i="24"/>
  <c r="C985" i="24"/>
  <c r="B985" i="24"/>
  <c r="A985" i="24"/>
  <c r="W984" i="24"/>
  <c r="U984" i="24"/>
  <c r="T984" i="24"/>
  <c r="S984" i="24"/>
  <c r="R984" i="24"/>
  <c r="Q984" i="24"/>
  <c r="O984" i="24"/>
  <c r="L984" i="24"/>
  <c r="G984" i="24"/>
  <c r="F984" i="24"/>
  <c r="E984" i="24"/>
  <c r="D984" i="24"/>
  <c r="C984" i="24"/>
  <c r="B984" i="24"/>
  <c r="A984" i="24"/>
  <c r="W983" i="24"/>
  <c r="U983" i="24"/>
  <c r="T983" i="24"/>
  <c r="S983" i="24"/>
  <c r="R983" i="24"/>
  <c r="Q983" i="24"/>
  <c r="O983" i="24"/>
  <c r="L983" i="24"/>
  <c r="I983" i="24"/>
  <c r="H983" i="24"/>
  <c r="G983" i="24"/>
  <c r="F983" i="24"/>
  <c r="E983" i="24"/>
  <c r="D983" i="24"/>
  <c r="C983" i="24"/>
  <c r="B983" i="24"/>
  <c r="A983" i="24"/>
  <c r="W982" i="24"/>
  <c r="U982" i="24"/>
  <c r="T982" i="24"/>
  <c r="S982" i="24"/>
  <c r="R982" i="24"/>
  <c r="Q982" i="24"/>
  <c r="O982" i="24"/>
  <c r="L982" i="24"/>
  <c r="G982" i="24"/>
  <c r="F982" i="24"/>
  <c r="E982" i="24"/>
  <c r="D982" i="24"/>
  <c r="C982" i="24"/>
  <c r="B982" i="24"/>
  <c r="A982" i="24"/>
  <c r="W981" i="24"/>
  <c r="U981" i="24"/>
  <c r="T981" i="24"/>
  <c r="S981" i="24"/>
  <c r="R981" i="24"/>
  <c r="Q981" i="24"/>
  <c r="O981" i="24"/>
  <c r="L981" i="24"/>
  <c r="H981" i="24"/>
  <c r="G981" i="24"/>
  <c r="F981" i="24"/>
  <c r="E981" i="24"/>
  <c r="D981" i="24"/>
  <c r="C981" i="24"/>
  <c r="B981" i="24"/>
  <c r="A981" i="24"/>
  <c r="W980" i="24"/>
  <c r="U980" i="24"/>
  <c r="T980" i="24"/>
  <c r="S980" i="24"/>
  <c r="R980" i="24"/>
  <c r="Q980" i="24"/>
  <c r="O980" i="24"/>
  <c r="L980" i="24"/>
  <c r="G980" i="24"/>
  <c r="F980" i="24"/>
  <c r="E980" i="24"/>
  <c r="D980" i="24"/>
  <c r="C980" i="24"/>
  <c r="B980" i="24"/>
  <c r="A980" i="24"/>
  <c r="W979" i="24"/>
  <c r="U979" i="24"/>
  <c r="T979" i="24"/>
  <c r="S979" i="24"/>
  <c r="R979" i="24"/>
  <c r="Q979" i="24"/>
  <c r="O979" i="24"/>
  <c r="L979" i="24"/>
  <c r="G979" i="24"/>
  <c r="F979" i="24"/>
  <c r="E979" i="24"/>
  <c r="D979" i="24"/>
  <c r="C979" i="24"/>
  <c r="B979" i="24"/>
  <c r="A979" i="24"/>
  <c r="W978" i="24"/>
  <c r="U978" i="24"/>
  <c r="T978" i="24"/>
  <c r="S978" i="24"/>
  <c r="R978" i="24"/>
  <c r="Q978" i="24"/>
  <c r="O978" i="24"/>
  <c r="L978" i="24"/>
  <c r="F978" i="24"/>
  <c r="E978" i="24"/>
  <c r="D978" i="24"/>
  <c r="C978" i="24"/>
  <c r="B978" i="24"/>
  <c r="A978" i="24"/>
  <c r="W977" i="24"/>
  <c r="U977" i="24"/>
  <c r="T977" i="24"/>
  <c r="S977" i="24"/>
  <c r="R977" i="24"/>
  <c r="Q977" i="24"/>
  <c r="O977" i="24"/>
  <c r="L977" i="24"/>
  <c r="F977" i="24"/>
  <c r="E977" i="24"/>
  <c r="D977" i="24"/>
  <c r="C977" i="24"/>
  <c r="B977" i="24"/>
  <c r="A977" i="24"/>
  <c r="W976" i="24"/>
  <c r="U976" i="24"/>
  <c r="T976" i="24"/>
  <c r="S976" i="24"/>
  <c r="R976" i="24"/>
  <c r="Q976" i="24"/>
  <c r="O976" i="24"/>
  <c r="L976" i="24"/>
  <c r="G976" i="24"/>
  <c r="F976" i="24"/>
  <c r="E976" i="24"/>
  <c r="D976" i="24"/>
  <c r="C976" i="24"/>
  <c r="B976" i="24"/>
  <c r="A976" i="24"/>
  <c r="W975" i="24"/>
  <c r="U975" i="24"/>
  <c r="T975" i="24"/>
  <c r="S975" i="24"/>
  <c r="R975" i="24"/>
  <c r="Q975" i="24"/>
  <c r="O975" i="24"/>
  <c r="L975" i="24"/>
  <c r="G975" i="24"/>
  <c r="F975" i="24"/>
  <c r="E975" i="24"/>
  <c r="D975" i="24"/>
  <c r="C975" i="24"/>
  <c r="B975" i="24"/>
  <c r="A975" i="24"/>
  <c r="W974" i="24"/>
  <c r="U974" i="24"/>
  <c r="T974" i="24"/>
  <c r="S974" i="24"/>
  <c r="R974" i="24"/>
  <c r="Q974" i="24"/>
  <c r="O974" i="24"/>
  <c r="L974" i="24"/>
  <c r="H974" i="24"/>
  <c r="G974" i="24"/>
  <c r="F974" i="24"/>
  <c r="E974" i="24"/>
  <c r="D974" i="24"/>
  <c r="C974" i="24"/>
  <c r="B974" i="24"/>
  <c r="A974" i="24"/>
  <c r="W973" i="24"/>
  <c r="U973" i="24"/>
  <c r="T973" i="24"/>
  <c r="S973" i="24"/>
  <c r="R973" i="24"/>
  <c r="Q973" i="24"/>
  <c r="O973" i="24"/>
  <c r="M973" i="24"/>
  <c r="L973" i="24"/>
  <c r="G973" i="24"/>
  <c r="F973" i="24"/>
  <c r="E973" i="24"/>
  <c r="D973" i="24"/>
  <c r="C973" i="24"/>
  <c r="B973" i="24"/>
  <c r="A973" i="24"/>
  <c r="W972" i="24"/>
  <c r="U972" i="24"/>
  <c r="T972" i="24"/>
  <c r="S972" i="24"/>
  <c r="R972" i="24"/>
  <c r="Q972" i="24"/>
  <c r="O972" i="24"/>
  <c r="L972" i="24"/>
  <c r="I972" i="24"/>
  <c r="H972" i="24"/>
  <c r="G972" i="24"/>
  <c r="F972" i="24"/>
  <c r="E972" i="24"/>
  <c r="D972" i="24"/>
  <c r="C972" i="24"/>
  <c r="B972" i="24"/>
  <c r="A972" i="24"/>
  <c r="W971" i="24"/>
  <c r="U971" i="24"/>
  <c r="T971" i="24"/>
  <c r="S971" i="24"/>
  <c r="R971" i="24"/>
  <c r="Q971" i="24"/>
  <c r="O971" i="24"/>
  <c r="M971" i="24"/>
  <c r="L971" i="24"/>
  <c r="G971" i="24"/>
  <c r="F971" i="24"/>
  <c r="E971" i="24"/>
  <c r="D971" i="24"/>
  <c r="C971" i="24"/>
  <c r="B971" i="24"/>
  <c r="A971" i="24"/>
  <c r="W970" i="24"/>
  <c r="U970" i="24"/>
  <c r="T970" i="24"/>
  <c r="S970" i="24"/>
  <c r="R970" i="24"/>
  <c r="Q970" i="24"/>
  <c r="O970" i="24"/>
  <c r="L970" i="24"/>
  <c r="F970" i="24"/>
  <c r="E970" i="24"/>
  <c r="D970" i="24"/>
  <c r="C970" i="24"/>
  <c r="B970" i="24"/>
  <c r="A970" i="24"/>
  <c r="W969" i="24"/>
  <c r="U969" i="24"/>
  <c r="T969" i="24"/>
  <c r="S969" i="24"/>
  <c r="R969" i="24"/>
  <c r="Q969" i="24"/>
  <c r="O969" i="24"/>
  <c r="L969" i="24"/>
  <c r="F969" i="24"/>
  <c r="E969" i="24"/>
  <c r="D969" i="24"/>
  <c r="C969" i="24"/>
  <c r="B969" i="24"/>
  <c r="A969" i="24"/>
  <c r="W968" i="24"/>
  <c r="U968" i="24"/>
  <c r="T968" i="24"/>
  <c r="S968" i="24"/>
  <c r="R968" i="24"/>
  <c r="Q968" i="24"/>
  <c r="O968" i="24"/>
  <c r="L968" i="24"/>
  <c r="H968" i="24"/>
  <c r="G968" i="24"/>
  <c r="F968" i="24"/>
  <c r="E968" i="24"/>
  <c r="D968" i="24"/>
  <c r="C968" i="24"/>
  <c r="B968" i="24"/>
  <c r="A968" i="24"/>
  <c r="W967" i="24"/>
  <c r="U967" i="24"/>
  <c r="T967" i="24"/>
  <c r="S967" i="24"/>
  <c r="R967" i="24"/>
  <c r="Q967" i="24"/>
  <c r="O967" i="24"/>
  <c r="L967" i="24"/>
  <c r="G967" i="24"/>
  <c r="F967" i="24"/>
  <c r="E967" i="24"/>
  <c r="D967" i="24"/>
  <c r="C967" i="24"/>
  <c r="B967" i="24"/>
  <c r="A967" i="24"/>
  <c r="W966" i="24"/>
  <c r="U966" i="24"/>
  <c r="T966" i="24"/>
  <c r="S966" i="24"/>
  <c r="R966" i="24"/>
  <c r="Q966" i="24"/>
  <c r="O966" i="24"/>
  <c r="L966" i="24"/>
  <c r="F966" i="24"/>
  <c r="E966" i="24"/>
  <c r="D966" i="24"/>
  <c r="C966" i="24"/>
  <c r="B966" i="24"/>
  <c r="A966" i="24"/>
  <c r="W965" i="24"/>
  <c r="U965" i="24"/>
  <c r="T965" i="24"/>
  <c r="S965" i="24"/>
  <c r="R965" i="24"/>
  <c r="Q965" i="24"/>
  <c r="O965" i="24"/>
  <c r="L965" i="24"/>
  <c r="G965" i="24"/>
  <c r="F965" i="24"/>
  <c r="E965" i="24"/>
  <c r="D965" i="24"/>
  <c r="C965" i="24"/>
  <c r="B965" i="24"/>
  <c r="A965" i="24"/>
  <c r="W964" i="24"/>
  <c r="U964" i="24"/>
  <c r="T964" i="24"/>
  <c r="S964" i="24"/>
  <c r="R964" i="24"/>
  <c r="Q964" i="24"/>
  <c r="O964" i="24"/>
  <c r="L964" i="24"/>
  <c r="G964" i="24"/>
  <c r="F964" i="24"/>
  <c r="E964" i="24"/>
  <c r="D964" i="24"/>
  <c r="C964" i="24"/>
  <c r="B964" i="24"/>
  <c r="A964" i="24"/>
  <c r="W963" i="24"/>
  <c r="U963" i="24"/>
  <c r="T963" i="24"/>
  <c r="S963" i="24"/>
  <c r="R963" i="24"/>
  <c r="Q963" i="24"/>
  <c r="O963" i="24"/>
  <c r="L963" i="24"/>
  <c r="I963" i="24"/>
  <c r="H963" i="24"/>
  <c r="G963" i="24"/>
  <c r="F963" i="24"/>
  <c r="E963" i="24"/>
  <c r="D963" i="24"/>
  <c r="C963" i="24"/>
  <c r="B963" i="24"/>
  <c r="A963" i="24"/>
  <c r="W962" i="24"/>
  <c r="U962" i="24"/>
  <c r="T962" i="24"/>
  <c r="S962" i="24"/>
  <c r="R962" i="24"/>
  <c r="Q962" i="24"/>
  <c r="O962" i="24"/>
  <c r="L962" i="24"/>
  <c r="H962" i="24"/>
  <c r="G962" i="24"/>
  <c r="F962" i="24"/>
  <c r="E962" i="24"/>
  <c r="D962" i="24"/>
  <c r="C962" i="24"/>
  <c r="B962" i="24"/>
  <c r="A962" i="24"/>
  <c r="W961" i="24"/>
  <c r="U961" i="24"/>
  <c r="T961" i="24"/>
  <c r="S961" i="24"/>
  <c r="R961" i="24"/>
  <c r="Q961" i="24"/>
  <c r="O961" i="24"/>
  <c r="L961" i="24"/>
  <c r="F961" i="24"/>
  <c r="E961" i="24"/>
  <c r="D961" i="24"/>
  <c r="C961" i="24"/>
  <c r="B961" i="24"/>
  <c r="A961" i="24"/>
  <c r="W960" i="24"/>
  <c r="U960" i="24"/>
  <c r="T960" i="24"/>
  <c r="S960" i="24"/>
  <c r="R960" i="24"/>
  <c r="Q960" i="24"/>
  <c r="O960" i="24"/>
  <c r="L960" i="24"/>
  <c r="G960" i="24"/>
  <c r="F960" i="24"/>
  <c r="E960" i="24"/>
  <c r="D960" i="24"/>
  <c r="C960" i="24"/>
  <c r="B960" i="24"/>
  <c r="A960" i="24"/>
  <c r="W959" i="24"/>
  <c r="U959" i="24"/>
  <c r="T959" i="24"/>
  <c r="S959" i="24"/>
  <c r="R959" i="24"/>
  <c r="Q959" i="24"/>
  <c r="O959" i="24"/>
  <c r="L959" i="24"/>
  <c r="G959" i="24"/>
  <c r="F959" i="24"/>
  <c r="E959" i="24"/>
  <c r="D959" i="24"/>
  <c r="C959" i="24"/>
  <c r="B959" i="24"/>
  <c r="A959" i="24"/>
  <c r="W958" i="24"/>
  <c r="U958" i="24"/>
  <c r="T958" i="24"/>
  <c r="S958" i="24"/>
  <c r="R958" i="24"/>
  <c r="Q958" i="24"/>
  <c r="O958" i="24"/>
  <c r="M958" i="24"/>
  <c r="L958" i="24"/>
  <c r="F958" i="24"/>
  <c r="E958" i="24"/>
  <c r="D958" i="24"/>
  <c r="C958" i="24"/>
  <c r="B958" i="24"/>
  <c r="A958" i="24"/>
  <c r="W957" i="24"/>
  <c r="U957" i="24"/>
  <c r="T957" i="24"/>
  <c r="S957" i="24"/>
  <c r="R957" i="24"/>
  <c r="Q957" i="24"/>
  <c r="O957" i="24"/>
  <c r="L957" i="24"/>
  <c r="I957" i="24"/>
  <c r="H957" i="24"/>
  <c r="G957" i="24"/>
  <c r="F957" i="24"/>
  <c r="E957" i="24"/>
  <c r="D957" i="24"/>
  <c r="C957" i="24"/>
  <c r="B957" i="24"/>
  <c r="A957" i="24"/>
  <c r="W956" i="24"/>
  <c r="U956" i="24"/>
  <c r="T956" i="24"/>
  <c r="S956" i="24"/>
  <c r="R956" i="24"/>
  <c r="Q956" i="24"/>
  <c r="O956" i="24"/>
  <c r="L956" i="24"/>
  <c r="G956" i="24"/>
  <c r="F956" i="24"/>
  <c r="E956" i="24"/>
  <c r="D956" i="24"/>
  <c r="C956" i="24"/>
  <c r="B956" i="24"/>
  <c r="A956" i="24"/>
  <c r="W955" i="24"/>
  <c r="U955" i="24"/>
  <c r="T955" i="24"/>
  <c r="S955" i="24"/>
  <c r="R955" i="24"/>
  <c r="Q955" i="24"/>
  <c r="O955" i="24"/>
  <c r="L955" i="24"/>
  <c r="F955" i="24"/>
  <c r="E955" i="24"/>
  <c r="D955" i="24"/>
  <c r="C955" i="24"/>
  <c r="B955" i="24"/>
  <c r="A955" i="24"/>
  <c r="W954" i="24"/>
  <c r="U954" i="24"/>
  <c r="T954" i="24"/>
  <c r="S954" i="24"/>
  <c r="R954" i="24"/>
  <c r="Q954" i="24"/>
  <c r="O954" i="24"/>
  <c r="L954" i="24"/>
  <c r="F954" i="24"/>
  <c r="E954" i="24"/>
  <c r="D954" i="24"/>
  <c r="C954" i="24"/>
  <c r="B954" i="24"/>
  <c r="A954" i="24"/>
  <c r="W953" i="24"/>
  <c r="U953" i="24"/>
  <c r="T953" i="24"/>
  <c r="S953" i="24"/>
  <c r="R953" i="24"/>
  <c r="Q953" i="24"/>
  <c r="O953" i="24"/>
  <c r="L953" i="24"/>
  <c r="G953" i="24"/>
  <c r="F953" i="24"/>
  <c r="E953" i="24"/>
  <c r="D953" i="24"/>
  <c r="C953" i="24"/>
  <c r="B953" i="24"/>
  <c r="A953" i="24"/>
  <c r="W952" i="24"/>
  <c r="U952" i="24"/>
  <c r="T952" i="24"/>
  <c r="S952" i="24"/>
  <c r="R952" i="24"/>
  <c r="Q952" i="24"/>
  <c r="O952" i="24"/>
  <c r="L952" i="24"/>
  <c r="G952" i="24"/>
  <c r="F952" i="24"/>
  <c r="E952" i="24"/>
  <c r="D952" i="24"/>
  <c r="C952" i="24"/>
  <c r="B952" i="24"/>
  <c r="A952" i="24"/>
  <c r="W951" i="24"/>
  <c r="U951" i="24"/>
  <c r="T951" i="24"/>
  <c r="S951" i="24"/>
  <c r="R951" i="24"/>
  <c r="Q951" i="24"/>
  <c r="O951" i="24"/>
  <c r="L951" i="24"/>
  <c r="F951" i="24"/>
  <c r="E951" i="24"/>
  <c r="D951" i="24"/>
  <c r="C951" i="24"/>
  <c r="B951" i="24"/>
  <c r="A951" i="24"/>
  <c r="W950" i="24"/>
  <c r="U950" i="24"/>
  <c r="T950" i="24"/>
  <c r="S950" i="24"/>
  <c r="R950" i="24"/>
  <c r="Q950" i="24"/>
  <c r="O950" i="24"/>
  <c r="L950" i="24"/>
  <c r="F950" i="24"/>
  <c r="E950" i="24"/>
  <c r="D950" i="24"/>
  <c r="C950" i="24"/>
  <c r="B950" i="24"/>
  <c r="A950" i="24"/>
  <c r="W949" i="24"/>
  <c r="U949" i="24"/>
  <c r="T949" i="24"/>
  <c r="S949" i="24"/>
  <c r="R949" i="24"/>
  <c r="Q949" i="24"/>
  <c r="O949" i="24"/>
  <c r="L949" i="24"/>
  <c r="G949" i="24"/>
  <c r="F949" i="24"/>
  <c r="E949" i="24"/>
  <c r="D949" i="24"/>
  <c r="C949" i="24"/>
  <c r="B949" i="24"/>
  <c r="A949" i="24"/>
  <c r="W948" i="24"/>
  <c r="U948" i="24"/>
  <c r="T948" i="24"/>
  <c r="S948" i="24"/>
  <c r="R948" i="24"/>
  <c r="Q948" i="24"/>
  <c r="O948" i="24"/>
  <c r="L948" i="24"/>
  <c r="G948" i="24"/>
  <c r="F948" i="24"/>
  <c r="E948" i="24"/>
  <c r="D948" i="24"/>
  <c r="C948" i="24"/>
  <c r="B948" i="24"/>
  <c r="A948" i="24"/>
  <c r="W947" i="24"/>
  <c r="U947" i="24"/>
  <c r="T947" i="24"/>
  <c r="S947" i="24"/>
  <c r="R947" i="24"/>
  <c r="Q947" i="24"/>
  <c r="O947" i="24"/>
  <c r="L947" i="24"/>
  <c r="K947" i="24"/>
  <c r="J947" i="24"/>
  <c r="I947" i="24"/>
  <c r="H947" i="24"/>
  <c r="G947" i="24"/>
  <c r="F947" i="24"/>
  <c r="E947" i="24"/>
  <c r="D947" i="24"/>
  <c r="C947" i="24"/>
  <c r="B947" i="24"/>
  <c r="A947" i="24"/>
  <c r="W946" i="24"/>
  <c r="U946" i="24"/>
  <c r="T946" i="24"/>
  <c r="S946" i="24"/>
  <c r="R946" i="24"/>
  <c r="Q946" i="24"/>
  <c r="O946" i="24"/>
  <c r="L946" i="24"/>
  <c r="I946" i="24"/>
  <c r="H946" i="24"/>
  <c r="G946" i="24"/>
  <c r="F946" i="24"/>
  <c r="E946" i="24"/>
  <c r="D946" i="24"/>
  <c r="C946" i="24"/>
  <c r="B946" i="24"/>
  <c r="A946" i="24"/>
  <c r="W945" i="24"/>
  <c r="U945" i="24"/>
  <c r="T945" i="24"/>
  <c r="S945" i="24"/>
  <c r="R945" i="24"/>
  <c r="Q945" i="24"/>
  <c r="O945" i="24"/>
  <c r="L945" i="24"/>
  <c r="G945" i="24"/>
  <c r="F945" i="24"/>
  <c r="E945" i="24"/>
  <c r="D945" i="24"/>
  <c r="C945" i="24"/>
  <c r="B945" i="24"/>
  <c r="A945" i="24"/>
  <c r="W944" i="24"/>
  <c r="U944" i="24"/>
  <c r="T944" i="24"/>
  <c r="S944" i="24"/>
  <c r="R944" i="24"/>
  <c r="Q944" i="24"/>
  <c r="O944" i="24"/>
  <c r="L944" i="24"/>
  <c r="G944" i="24"/>
  <c r="F944" i="24"/>
  <c r="E944" i="24"/>
  <c r="D944" i="24"/>
  <c r="C944" i="24"/>
  <c r="B944" i="24"/>
  <c r="A944" i="24"/>
  <c r="W943" i="24"/>
  <c r="U943" i="24"/>
  <c r="T943" i="24"/>
  <c r="S943" i="24"/>
  <c r="R943" i="24"/>
  <c r="Q943" i="24"/>
  <c r="O943" i="24"/>
  <c r="L943" i="24"/>
  <c r="I943" i="24"/>
  <c r="H943" i="24"/>
  <c r="G943" i="24"/>
  <c r="F943" i="24"/>
  <c r="E943" i="24"/>
  <c r="D943" i="24"/>
  <c r="C943" i="24"/>
  <c r="B943" i="24"/>
  <c r="A943" i="24"/>
  <c r="W942" i="24"/>
  <c r="V942" i="24"/>
  <c r="U942" i="24"/>
  <c r="T942" i="24"/>
  <c r="S942" i="24"/>
  <c r="R942" i="24"/>
  <c r="Q942" i="24"/>
  <c r="O942" i="24"/>
  <c r="L942" i="24"/>
  <c r="F942" i="24"/>
  <c r="E942" i="24"/>
  <c r="D942" i="24"/>
  <c r="C942" i="24"/>
  <c r="B942" i="24"/>
  <c r="A942" i="24"/>
  <c r="W941" i="24"/>
  <c r="U941" i="24"/>
  <c r="T941" i="24"/>
  <c r="S941" i="24"/>
  <c r="R941" i="24"/>
  <c r="Q941" i="24"/>
  <c r="O941" i="24"/>
  <c r="L941" i="24"/>
  <c r="H941" i="24"/>
  <c r="G941" i="24"/>
  <c r="F941" i="24"/>
  <c r="E941" i="24"/>
  <c r="D941" i="24"/>
  <c r="C941" i="24"/>
  <c r="B941" i="24"/>
  <c r="A941" i="24"/>
  <c r="W940" i="24"/>
  <c r="U940" i="24"/>
  <c r="T940" i="24"/>
  <c r="S940" i="24"/>
  <c r="R940" i="24"/>
  <c r="Q940" i="24"/>
  <c r="O940" i="24"/>
  <c r="L940" i="24"/>
  <c r="G940" i="24"/>
  <c r="F940" i="24"/>
  <c r="E940" i="24"/>
  <c r="D940" i="24"/>
  <c r="C940" i="24"/>
  <c r="B940" i="24"/>
  <c r="A940" i="24"/>
  <c r="W939" i="24"/>
  <c r="U939" i="24"/>
  <c r="T939" i="24"/>
  <c r="S939" i="24"/>
  <c r="R939" i="24"/>
  <c r="Q939" i="24"/>
  <c r="O939" i="24"/>
  <c r="M939" i="24"/>
  <c r="L939" i="24"/>
  <c r="F939" i="24"/>
  <c r="E939" i="24"/>
  <c r="D939" i="24"/>
  <c r="C939" i="24"/>
  <c r="B939" i="24"/>
  <c r="A939" i="24"/>
  <c r="W938" i="24"/>
  <c r="U938" i="24"/>
  <c r="T938" i="24"/>
  <c r="S938" i="24"/>
  <c r="R938" i="24"/>
  <c r="Q938" i="24"/>
  <c r="O938" i="24"/>
  <c r="L938" i="24"/>
  <c r="F938" i="24"/>
  <c r="E938" i="24"/>
  <c r="D938" i="24"/>
  <c r="C938" i="24"/>
  <c r="B938" i="24"/>
  <c r="A938" i="24"/>
  <c r="W937" i="24"/>
  <c r="U937" i="24"/>
  <c r="T937" i="24"/>
  <c r="S937" i="24"/>
  <c r="R937" i="24"/>
  <c r="Q937" i="24"/>
  <c r="O937" i="24"/>
  <c r="L937" i="24"/>
  <c r="H937" i="24"/>
  <c r="G937" i="24"/>
  <c r="F937" i="24"/>
  <c r="E937" i="24"/>
  <c r="D937" i="24"/>
  <c r="C937" i="24"/>
  <c r="B937" i="24"/>
  <c r="A937" i="24"/>
  <c r="W936" i="24"/>
  <c r="U936" i="24"/>
  <c r="T936" i="24"/>
  <c r="S936" i="24"/>
  <c r="R936" i="24"/>
  <c r="Q936" i="24"/>
  <c r="O936" i="24"/>
  <c r="M936" i="24"/>
  <c r="L936" i="24"/>
  <c r="G936" i="24"/>
  <c r="F936" i="24"/>
  <c r="E936" i="24"/>
  <c r="D936" i="24"/>
  <c r="C936" i="24"/>
  <c r="B936" i="24"/>
  <c r="A936" i="24"/>
  <c r="W935" i="24"/>
  <c r="U935" i="24"/>
  <c r="T935" i="24"/>
  <c r="S935" i="24"/>
  <c r="R935" i="24"/>
  <c r="Q935" i="24"/>
  <c r="O935" i="24"/>
  <c r="L935" i="24"/>
  <c r="G935" i="24"/>
  <c r="F935" i="24"/>
  <c r="E935" i="24"/>
  <c r="D935" i="24"/>
  <c r="C935" i="24"/>
  <c r="B935" i="24"/>
  <c r="A935" i="24"/>
  <c r="W934" i="24"/>
  <c r="U934" i="24"/>
  <c r="T934" i="24"/>
  <c r="S934" i="24"/>
  <c r="R934" i="24"/>
  <c r="Q934" i="24"/>
  <c r="O934" i="24"/>
  <c r="L934" i="24"/>
  <c r="F934" i="24"/>
  <c r="E934" i="24"/>
  <c r="D934" i="24"/>
  <c r="C934" i="24"/>
  <c r="B934" i="24"/>
  <c r="A934" i="24"/>
  <c r="W933" i="24"/>
  <c r="U933" i="24"/>
  <c r="T933" i="24"/>
  <c r="S933" i="24"/>
  <c r="R933" i="24"/>
  <c r="Q933" i="24"/>
  <c r="O933" i="24"/>
  <c r="L933" i="24"/>
  <c r="I933" i="24"/>
  <c r="H933" i="24"/>
  <c r="G933" i="24"/>
  <c r="F933" i="24"/>
  <c r="E933" i="24"/>
  <c r="D933" i="24"/>
  <c r="C933" i="24"/>
  <c r="B933" i="24"/>
  <c r="A933" i="24"/>
  <c r="W932" i="24"/>
  <c r="U932" i="24"/>
  <c r="T932" i="24"/>
  <c r="S932" i="24"/>
  <c r="R932" i="24"/>
  <c r="Q932" i="24"/>
  <c r="O932" i="24"/>
  <c r="L932" i="24"/>
  <c r="H932" i="24"/>
  <c r="G932" i="24"/>
  <c r="F932" i="24"/>
  <c r="E932" i="24"/>
  <c r="D932" i="24"/>
  <c r="C932" i="24"/>
  <c r="B932" i="24"/>
  <c r="A932" i="24"/>
  <c r="W931" i="24"/>
  <c r="U931" i="24"/>
  <c r="T931" i="24"/>
  <c r="S931" i="24"/>
  <c r="R931" i="24"/>
  <c r="Q931" i="24"/>
  <c r="O931" i="24"/>
  <c r="L931" i="24"/>
  <c r="F931" i="24"/>
  <c r="E931" i="24"/>
  <c r="D931" i="24"/>
  <c r="C931" i="24"/>
  <c r="B931" i="24"/>
  <c r="A931" i="24"/>
  <c r="W930" i="24"/>
  <c r="U930" i="24"/>
  <c r="T930" i="24"/>
  <c r="S930" i="24"/>
  <c r="R930" i="24"/>
  <c r="Q930" i="24"/>
  <c r="O930" i="24"/>
  <c r="M930" i="24"/>
  <c r="L930" i="24"/>
  <c r="H930" i="24"/>
  <c r="G930" i="24"/>
  <c r="F930" i="24"/>
  <c r="E930" i="24"/>
  <c r="D930" i="24"/>
  <c r="C930" i="24"/>
  <c r="B930" i="24"/>
  <c r="A930" i="24"/>
  <c r="W929" i="24"/>
  <c r="U929" i="24"/>
  <c r="T929" i="24"/>
  <c r="S929" i="24"/>
  <c r="R929" i="24"/>
  <c r="Q929" i="24"/>
  <c r="O929" i="24"/>
  <c r="L929" i="24"/>
  <c r="F929" i="24"/>
  <c r="E929" i="24"/>
  <c r="D929" i="24"/>
  <c r="C929" i="24"/>
  <c r="B929" i="24"/>
  <c r="A929" i="24"/>
  <c r="W928" i="24"/>
  <c r="U928" i="24"/>
  <c r="T928" i="24"/>
  <c r="S928" i="24"/>
  <c r="R928" i="24"/>
  <c r="Q928" i="24"/>
  <c r="O928" i="24"/>
  <c r="L928" i="24"/>
  <c r="G928" i="24"/>
  <c r="F928" i="24"/>
  <c r="E928" i="24"/>
  <c r="D928" i="24"/>
  <c r="C928" i="24"/>
  <c r="B928" i="24"/>
  <c r="A928" i="24"/>
  <c r="W927" i="24"/>
  <c r="U927" i="24"/>
  <c r="T927" i="24"/>
  <c r="S927" i="24"/>
  <c r="R927" i="24"/>
  <c r="Q927" i="24"/>
  <c r="O927" i="24"/>
  <c r="L927" i="24"/>
  <c r="I927" i="24"/>
  <c r="H927" i="24"/>
  <c r="G927" i="24"/>
  <c r="F927" i="24"/>
  <c r="E927" i="24"/>
  <c r="D927" i="24"/>
  <c r="C927" i="24"/>
  <c r="B927" i="24"/>
  <c r="A927" i="24"/>
  <c r="W926" i="24"/>
  <c r="U926" i="24"/>
  <c r="T926" i="24"/>
  <c r="S926" i="24"/>
  <c r="R926" i="24"/>
  <c r="Q926" i="24"/>
  <c r="O926" i="24"/>
  <c r="L926" i="24"/>
  <c r="F926" i="24"/>
  <c r="E926" i="24"/>
  <c r="D926" i="24"/>
  <c r="C926" i="24"/>
  <c r="B926" i="24"/>
  <c r="A926" i="24"/>
  <c r="W925" i="24"/>
  <c r="U925" i="24"/>
  <c r="T925" i="24"/>
  <c r="S925" i="24"/>
  <c r="R925" i="24"/>
  <c r="Q925" i="24"/>
  <c r="O925" i="24"/>
  <c r="L925" i="24"/>
  <c r="H925" i="24"/>
  <c r="G925" i="24"/>
  <c r="F925" i="24"/>
  <c r="E925" i="24"/>
  <c r="D925" i="24"/>
  <c r="C925" i="24"/>
  <c r="B925" i="24"/>
  <c r="A925" i="24"/>
  <c r="W924" i="24"/>
  <c r="U924" i="24"/>
  <c r="T924" i="24"/>
  <c r="S924" i="24"/>
  <c r="R924" i="24"/>
  <c r="Q924" i="24"/>
  <c r="O924" i="24"/>
  <c r="M924" i="24"/>
  <c r="L924" i="24"/>
  <c r="G924" i="24"/>
  <c r="F924" i="24"/>
  <c r="E924" i="24"/>
  <c r="D924" i="24"/>
  <c r="C924" i="24"/>
  <c r="B924" i="24"/>
  <c r="A924" i="24"/>
  <c r="W923" i="24"/>
  <c r="U923" i="24"/>
  <c r="T923" i="24"/>
  <c r="S923" i="24"/>
  <c r="R923" i="24"/>
  <c r="Q923" i="24"/>
  <c r="O923" i="24"/>
  <c r="L923" i="24"/>
  <c r="F923" i="24"/>
  <c r="E923" i="24"/>
  <c r="D923" i="24"/>
  <c r="C923" i="24"/>
  <c r="B923" i="24"/>
  <c r="A923" i="24"/>
  <c r="W922" i="24"/>
  <c r="U922" i="24"/>
  <c r="T922" i="24"/>
  <c r="S922" i="24"/>
  <c r="R922" i="24"/>
  <c r="Q922" i="24"/>
  <c r="O922" i="24"/>
  <c r="L922" i="24"/>
  <c r="G922" i="24"/>
  <c r="F922" i="24"/>
  <c r="E922" i="24"/>
  <c r="D922" i="24"/>
  <c r="C922" i="24"/>
  <c r="B922" i="24"/>
  <c r="A922" i="24"/>
  <c r="W921" i="24"/>
  <c r="U921" i="24"/>
  <c r="T921" i="24"/>
  <c r="S921" i="24"/>
  <c r="R921" i="24"/>
  <c r="Q921" i="24"/>
  <c r="O921" i="24"/>
  <c r="L921" i="24"/>
  <c r="F921" i="24"/>
  <c r="E921" i="24"/>
  <c r="D921" i="24"/>
  <c r="C921" i="24"/>
  <c r="B921" i="24"/>
  <c r="A921" i="24"/>
  <c r="W920" i="24"/>
  <c r="U920" i="24"/>
  <c r="T920" i="24"/>
  <c r="S920" i="24"/>
  <c r="R920" i="24"/>
  <c r="Q920" i="24"/>
  <c r="O920" i="24"/>
  <c r="L920" i="24"/>
  <c r="H920" i="24"/>
  <c r="G920" i="24"/>
  <c r="F920" i="24"/>
  <c r="E920" i="24"/>
  <c r="D920" i="24"/>
  <c r="C920" i="24"/>
  <c r="B920" i="24"/>
  <c r="A920" i="24"/>
  <c r="W919" i="24"/>
  <c r="U919" i="24"/>
  <c r="T919" i="24"/>
  <c r="S919" i="24"/>
  <c r="R919" i="24"/>
  <c r="Q919" i="24"/>
  <c r="O919" i="24"/>
  <c r="L919" i="24"/>
  <c r="G919" i="24"/>
  <c r="F919" i="24"/>
  <c r="E919" i="24"/>
  <c r="D919" i="24"/>
  <c r="C919" i="24"/>
  <c r="B919" i="24"/>
  <c r="A919" i="24"/>
  <c r="W918" i="24"/>
  <c r="U918" i="24"/>
  <c r="T918" i="24"/>
  <c r="S918" i="24"/>
  <c r="R918" i="24"/>
  <c r="Q918" i="24"/>
  <c r="O918" i="24"/>
  <c r="M918" i="24"/>
  <c r="L918" i="24"/>
  <c r="G918" i="24"/>
  <c r="F918" i="24"/>
  <c r="E918" i="24"/>
  <c r="D918" i="24"/>
  <c r="C918" i="24"/>
  <c r="B918" i="24"/>
  <c r="A918" i="24"/>
  <c r="W917" i="24"/>
  <c r="U917" i="24"/>
  <c r="T917" i="24"/>
  <c r="S917" i="24"/>
  <c r="R917" i="24"/>
  <c r="Q917" i="24"/>
  <c r="O917" i="24"/>
  <c r="L917" i="24"/>
  <c r="G917" i="24"/>
  <c r="F917" i="24"/>
  <c r="E917" i="24"/>
  <c r="D917" i="24"/>
  <c r="C917" i="24"/>
  <c r="B917" i="24"/>
  <c r="A917" i="24"/>
  <c r="W916" i="24"/>
  <c r="U916" i="24"/>
  <c r="T916" i="24"/>
  <c r="S916" i="24"/>
  <c r="R916" i="24"/>
  <c r="Q916" i="24"/>
  <c r="O916" i="24"/>
  <c r="L916" i="24"/>
  <c r="F916" i="24"/>
  <c r="E916" i="24"/>
  <c r="D916" i="24"/>
  <c r="C916" i="24"/>
  <c r="B916" i="24"/>
  <c r="A916" i="24"/>
  <c r="W915" i="24"/>
  <c r="U915" i="24"/>
  <c r="T915" i="24"/>
  <c r="S915" i="24"/>
  <c r="R915" i="24"/>
  <c r="Q915" i="24"/>
  <c r="O915" i="24"/>
  <c r="L915" i="24"/>
  <c r="G915" i="24"/>
  <c r="F915" i="24"/>
  <c r="E915" i="24"/>
  <c r="D915" i="24"/>
  <c r="C915" i="24"/>
  <c r="B915" i="24"/>
  <c r="A915" i="24"/>
  <c r="W914" i="24"/>
  <c r="U914" i="24"/>
  <c r="T914" i="24"/>
  <c r="S914" i="24"/>
  <c r="R914" i="24"/>
  <c r="Q914" i="24"/>
  <c r="O914" i="24"/>
  <c r="L914" i="24"/>
  <c r="I914" i="24"/>
  <c r="H914" i="24"/>
  <c r="G914" i="24"/>
  <c r="F914" i="24"/>
  <c r="E914" i="24"/>
  <c r="D914" i="24"/>
  <c r="C914" i="24"/>
  <c r="B914" i="24"/>
  <c r="A914" i="24"/>
  <c r="W913" i="24"/>
  <c r="U913" i="24"/>
  <c r="T913" i="24"/>
  <c r="S913" i="24"/>
  <c r="R913" i="24"/>
  <c r="Q913" i="24"/>
  <c r="O913" i="24"/>
  <c r="L913" i="24"/>
  <c r="G913" i="24"/>
  <c r="F913" i="24"/>
  <c r="E913" i="24"/>
  <c r="D913" i="24"/>
  <c r="C913" i="24"/>
  <c r="B913" i="24"/>
  <c r="A913" i="24"/>
  <c r="W912" i="24"/>
  <c r="U912" i="24"/>
  <c r="T912" i="24"/>
  <c r="S912" i="24"/>
  <c r="R912" i="24"/>
  <c r="Q912" i="24"/>
  <c r="O912" i="24"/>
  <c r="M912" i="24"/>
  <c r="L912" i="24"/>
  <c r="F912" i="24"/>
  <c r="E912" i="24"/>
  <c r="D912" i="24"/>
  <c r="C912" i="24"/>
  <c r="B912" i="24"/>
  <c r="A912" i="24"/>
  <c r="W911" i="24"/>
  <c r="U911" i="24"/>
  <c r="T911" i="24"/>
  <c r="S911" i="24"/>
  <c r="R911" i="24"/>
  <c r="Q911" i="24"/>
  <c r="O911" i="24"/>
  <c r="L911" i="24"/>
  <c r="H911" i="24"/>
  <c r="G911" i="24"/>
  <c r="F911" i="24"/>
  <c r="E911" i="24"/>
  <c r="D911" i="24"/>
  <c r="C911" i="24"/>
  <c r="B911" i="24"/>
  <c r="A911" i="24"/>
  <c r="W910" i="24"/>
  <c r="U910" i="24"/>
  <c r="T910" i="24"/>
  <c r="S910" i="24"/>
  <c r="R910" i="24"/>
  <c r="Q910" i="24"/>
  <c r="O910" i="24"/>
  <c r="L910" i="24"/>
  <c r="J910" i="24"/>
  <c r="I910" i="24"/>
  <c r="H910" i="24"/>
  <c r="G910" i="24"/>
  <c r="F910" i="24"/>
  <c r="E910" i="24"/>
  <c r="D910" i="24"/>
  <c r="C910" i="24"/>
  <c r="B910" i="24"/>
  <c r="A910" i="24"/>
  <c r="W909" i="24"/>
  <c r="U909" i="24"/>
  <c r="T909" i="24"/>
  <c r="S909" i="24"/>
  <c r="R909" i="24"/>
  <c r="Q909" i="24"/>
  <c r="O909" i="24"/>
  <c r="L909" i="24"/>
  <c r="F909" i="24"/>
  <c r="E909" i="24"/>
  <c r="D909" i="24"/>
  <c r="C909" i="24"/>
  <c r="B909" i="24"/>
  <c r="A909" i="24"/>
  <c r="W908" i="24"/>
  <c r="U908" i="24"/>
  <c r="T908" i="24"/>
  <c r="S908" i="24"/>
  <c r="R908" i="24"/>
  <c r="Q908" i="24"/>
  <c r="O908" i="24"/>
  <c r="L908" i="24"/>
  <c r="G908" i="24"/>
  <c r="F908" i="24"/>
  <c r="E908" i="24"/>
  <c r="D908" i="24"/>
  <c r="C908" i="24"/>
  <c r="B908" i="24"/>
  <c r="A908" i="24"/>
  <c r="W907" i="24"/>
  <c r="U907" i="24"/>
  <c r="T907" i="24"/>
  <c r="S907" i="24"/>
  <c r="R907" i="24"/>
  <c r="Q907" i="24"/>
  <c r="O907" i="24"/>
  <c r="L907" i="24"/>
  <c r="H907" i="24"/>
  <c r="G907" i="24"/>
  <c r="F907" i="24"/>
  <c r="E907" i="24"/>
  <c r="D907" i="24"/>
  <c r="C907" i="24"/>
  <c r="B907" i="24"/>
  <c r="A907" i="24"/>
  <c r="W906" i="24"/>
  <c r="U906" i="24"/>
  <c r="T906" i="24"/>
  <c r="S906" i="24"/>
  <c r="R906" i="24"/>
  <c r="Q906" i="24"/>
  <c r="O906" i="24"/>
  <c r="L906" i="24"/>
  <c r="F906" i="24"/>
  <c r="E906" i="24"/>
  <c r="D906" i="24"/>
  <c r="C906" i="24"/>
  <c r="B906" i="24"/>
  <c r="A906" i="24"/>
  <c r="W905" i="24"/>
  <c r="U905" i="24"/>
  <c r="T905" i="24"/>
  <c r="S905" i="24"/>
  <c r="R905" i="24"/>
  <c r="Q905" i="24"/>
  <c r="O905" i="24"/>
  <c r="L905" i="24"/>
  <c r="G905" i="24"/>
  <c r="F905" i="24"/>
  <c r="E905" i="24"/>
  <c r="D905" i="24"/>
  <c r="C905" i="24"/>
  <c r="B905" i="24"/>
  <c r="A905" i="24"/>
  <c r="W904" i="24"/>
  <c r="U904" i="24"/>
  <c r="T904" i="24"/>
  <c r="S904" i="24"/>
  <c r="R904" i="24"/>
  <c r="Q904" i="24"/>
  <c r="O904" i="24"/>
  <c r="L904" i="24"/>
  <c r="F904" i="24"/>
  <c r="E904" i="24"/>
  <c r="D904" i="24"/>
  <c r="C904" i="24"/>
  <c r="B904" i="24"/>
  <c r="A904" i="24"/>
  <c r="W903" i="24"/>
  <c r="U903" i="24"/>
  <c r="T903" i="24"/>
  <c r="S903" i="24"/>
  <c r="R903" i="24"/>
  <c r="Q903" i="24"/>
  <c r="O903" i="24"/>
  <c r="L903" i="24"/>
  <c r="G903" i="24"/>
  <c r="F903" i="24"/>
  <c r="E903" i="24"/>
  <c r="D903" i="24"/>
  <c r="C903" i="24"/>
  <c r="B903" i="24"/>
  <c r="A903" i="24"/>
  <c r="W902" i="24"/>
  <c r="U902" i="24"/>
  <c r="T902" i="24"/>
  <c r="S902" i="24"/>
  <c r="R902" i="24"/>
  <c r="Q902" i="24"/>
  <c r="O902" i="24"/>
  <c r="L902" i="24"/>
  <c r="F902" i="24"/>
  <c r="E902" i="24"/>
  <c r="D902" i="24"/>
  <c r="C902" i="24"/>
  <c r="B902" i="24"/>
  <c r="A902" i="24"/>
  <c r="W901" i="24"/>
  <c r="U901" i="24"/>
  <c r="T901" i="24"/>
  <c r="S901" i="24"/>
  <c r="R901" i="24"/>
  <c r="Q901" i="24"/>
  <c r="O901" i="24"/>
  <c r="L901" i="24"/>
  <c r="G901" i="24"/>
  <c r="F901" i="24"/>
  <c r="E901" i="24"/>
  <c r="D901" i="24"/>
  <c r="C901" i="24"/>
  <c r="B901" i="24"/>
  <c r="A901" i="24"/>
  <c r="W900" i="24"/>
  <c r="U900" i="24"/>
  <c r="T900" i="24"/>
  <c r="S900" i="24"/>
  <c r="R900" i="24"/>
  <c r="Q900" i="24"/>
  <c r="O900" i="24"/>
  <c r="L900" i="24"/>
  <c r="G900" i="24"/>
  <c r="F900" i="24"/>
  <c r="E900" i="24"/>
  <c r="D900" i="24"/>
  <c r="C900" i="24"/>
  <c r="B900" i="24"/>
  <c r="A900" i="24"/>
  <c r="W899" i="24"/>
  <c r="U899" i="24"/>
  <c r="T899" i="24"/>
  <c r="S899" i="24"/>
  <c r="R899" i="24"/>
  <c r="Q899" i="24"/>
  <c r="O899" i="24"/>
  <c r="L899" i="24"/>
  <c r="G899" i="24"/>
  <c r="F899" i="24"/>
  <c r="E899" i="24"/>
  <c r="D899" i="24"/>
  <c r="C899" i="24"/>
  <c r="B899" i="24"/>
  <c r="A899" i="24"/>
  <c r="W898" i="24"/>
  <c r="U898" i="24"/>
  <c r="T898" i="24"/>
  <c r="S898" i="24"/>
  <c r="R898" i="24"/>
  <c r="Q898" i="24"/>
  <c r="O898" i="24"/>
  <c r="L898" i="24"/>
  <c r="F898" i="24"/>
  <c r="E898" i="24"/>
  <c r="D898" i="24"/>
  <c r="C898" i="24"/>
  <c r="B898" i="24"/>
  <c r="A898" i="24"/>
  <c r="W897" i="24"/>
  <c r="U897" i="24"/>
  <c r="T897" i="24"/>
  <c r="S897" i="24"/>
  <c r="R897" i="24"/>
  <c r="Q897" i="24"/>
  <c r="O897" i="24"/>
  <c r="L897" i="24"/>
  <c r="I897" i="24"/>
  <c r="H897" i="24"/>
  <c r="G897" i="24"/>
  <c r="F897" i="24"/>
  <c r="E897" i="24"/>
  <c r="D897" i="24"/>
  <c r="C897" i="24"/>
  <c r="B897" i="24"/>
  <c r="A897" i="24"/>
  <c r="W896" i="24"/>
  <c r="U896" i="24"/>
  <c r="T896" i="24"/>
  <c r="S896" i="24"/>
  <c r="R896" i="24"/>
  <c r="Q896" i="24"/>
  <c r="O896" i="24"/>
  <c r="L896" i="24"/>
  <c r="G896" i="24"/>
  <c r="F896" i="24"/>
  <c r="E896" i="24"/>
  <c r="D896" i="24"/>
  <c r="C896" i="24"/>
  <c r="B896" i="24"/>
  <c r="A896" i="24"/>
  <c r="W895" i="24"/>
  <c r="U895" i="24"/>
  <c r="T895" i="24"/>
  <c r="S895" i="24"/>
  <c r="R895" i="24"/>
  <c r="Q895" i="24"/>
  <c r="O895" i="24"/>
  <c r="L895" i="24"/>
  <c r="F895" i="24"/>
  <c r="E895" i="24"/>
  <c r="D895" i="24"/>
  <c r="C895" i="24"/>
  <c r="B895" i="24"/>
  <c r="A895" i="24"/>
  <c r="W894" i="24"/>
  <c r="V894" i="24"/>
  <c r="U894" i="24"/>
  <c r="T894" i="24"/>
  <c r="S894" i="24"/>
  <c r="R894" i="24"/>
  <c r="Q894" i="24"/>
  <c r="O894" i="24"/>
  <c r="L894" i="24"/>
  <c r="F894" i="24"/>
  <c r="E894" i="24"/>
  <c r="D894" i="24"/>
  <c r="C894" i="24"/>
  <c r="B894" i="24"/>
  <c r="A894" i="24"/>
  <c r="W893" i="24"/>
  <c r="U893" i="24"/>
  <c r="T893" i="24"/>
  <c r="S893" i="24"/>
  <c r="R893" i="24"/>
  <c r="Q893" i="24"/>
  <c r="O893" i="24"/>
  <c r="L893" i="24"/>
  <c r="G893" i="24"/>
  <c r="F893" i="24"/>
  <c r="E893" i="24"/>
  <c r="D893" i="24"/>
  <c r="C893" i="24"/>
  <c r="B893" i="24"/>
  <c r="A893" i="24"/>
  <c r="W892" i="24"/>
  <c r="U892" i="24"/>
  <c r="T892" i="24"/>
  <c r="S892" i="24"/>
  <c r="R892" i="24"/>
  <c r="Q892" i="24"/>
  <c r="O892" i="24"/>
  <c r="L892" i="24"/>
  <c r="H892" i="24"/>
  <c r="G892" i="24"/>
  <c r="F892" i="24"/>
  <c r="E892" i="24"/>
  <c r="D892" i="24"/>
  <c r="C892" i="24"/>
  <c r="B892" i="24"/>
  <c r="A892" i="24"/>
  <c r="W891" i="24"/>
  <c r="U891" i="24"/>
  <c r="T891" i="24"/>
  <c r="S891" i="24"/>
  <c r="R891" i="24"/>
  <c r="Q891" i="24"/>
  <c r="O891" i="24"/>
  <c r="L891" i="24"/>
  <c r="F891" i="24"/>
  <c r="E891" i="24"/>
  <c r="D891" i="24"/>
  <c r="C891" i="24"/>
  <c r="B891" i="24"/>
  <c r="A891" i="24"/>
  <c r="W890" i="24"/>
  <c r="U890" i="24"/>
  <c r="T890" i="24"/>
  <c r="S890" i="24"/>
  <c r="R890" i="24"/>
  <c r="Q890" i="24"/>
  <c r="O890" i="24"/>
  <c r="L890" i="24"/>
  <c r="F890" i="24"/>
  <c r="E890" i="24"/>
  <c r="D890" i="24"/>
  <c r="C890" i="24"/>
  <c r="B890" i="24"/>
  <c r="A890" i="24"/>
  <c r="W889" i="24"/>
  <c r="U889" i="24"/>
  <c r="T889" i="24"/>
  <c r="S889" i="24"/>
  <c r="R889" i="24"/>
  <c r="Q889" i="24"/>
  <c r="O889" i="24"/>
  <c r="L889" i="24"/>
  <c r="G889" i="24"/>
  <c r="F889" i="24"/>
  <c r="E889" i="24"/>
  <c r="D889" i="24"/>
  <c r="C889" i="24"/>
  <c r="B889" i="24"/>
  <c r="A889" i="24"/>
  <c r="W888" i="24"/>
  <c r="U888" i="24"/>
  <c r="T888" i="24"/>
  <c r="S888" i="24"/>
  <c r="R888" i="24"/>
  <c r="Q888" i="24"/>
  <c r="O888" i="24"/>
  <c r="L888" i="24"/>
  <c r="H888" i="24"/>
  <c r="G888" i="24"/>
  <c r="F888" i="24"/>
  <c r="E888" i="24"/>
  <c r="D888" i="24"/>
  <c r="C888" i="24"/>
  <c r="B888" i="24"/>
  <c r="A888" i="24"/>
  <c r="W887" i="24"/>
  <c r="U887" i="24"/>
  <c r="T887" i="24"/>
  <c r="S887" i="24"/>
  <c r="R887" i="24"/>
  <c r="Q887" i="24"/>
  <c r="O887" i="24"/>
  <c r="L887" i="24"/>
  <c r="F887" i="24"/>
  <c r="E887" i="24"/>
  <c r="D887" i="24"/>
  <c r="C887" i="24"/>
  <c r="B887" i="24"/>
  <c r="A887" i="24"/>
  <c r="W886" i="24"/>
  <c r="U886" i="24"/>
  <c r="T886" i="24"/>
  <c r="S886" i="24"/>
  <c r="R886" i="24"/>
  <c r="Q886" i="24"/>
  <c r="O886" i="24"/>
  <c r="L886" i="24"/>
  <c r="G886" i="24"/>
  <c r="F886" i="24"/>
  <c r="E886" i="24"/>
  <c r="D886" i="24"/>
  <c r="C886" i="24"/>
  <c r="B886" i="24"/>
  <c r="A886" i="24"/>
  <c r="W885" i="24"/>
  <c r="U885" i="24"/>
  <c r="T885" i="24"/>
  <c r="S885" i="24"/>
  <c r="R885" i="24"/>
  <c r="Q885" i="24"/>
  <c r="O885" i="24"/>
  <c r="L885" i="24"/>
  <c r="G885" i="24"/>
  <c r="F885" i="24"/>
  <c r="E885" i="24"/>
  <c r="D885" i="24"/>
  <c r="C885" i="24"/>
  <c r="B885" i="24"/>
  <c r="A885" i="24"/>
  <c r="W884" i="24"/>
  <c r="U884" i="24"/>
  <c r="T884" i="24"/>
  <c r="S884" i="24"/>
  <c r="R884" i="24"/>
  <c r="Q884" i="24"/>
  <c r="O884" i="24"/>
  <c r="L884" i="24"/>
  <c r="G884" i="24"/>
  <c r="F884" i="24"/>
  <c r="E884" i="24"/>
  <c r="D884" i="24"/>
  <c r="C884" i="24"/>
  <c r="B884" i="24"/>
  <c r="A884" i="24"/>
  <c r="W883" i="24"/>
  <c r="U883" i="24"/>
  <c r="T883" i="24"/>
  <c r="S883" i="24"/>
  <c r="R883" i="24"/>
  <c r="Q883" i="24"/>
  <c r="O883" i="24"/>
  <c r="L883" i="24"/>
  <c r="F883" i="24"/>
  <c r="E883" i="24"/>
  <c r="D883" i="24"/>
  <c r="C883" i="24"/>
  <c r="B883" i="24"/>
  <c r="A883" i="24"/>
  <c r="W882" i="24"/>
  <c r="U882" i="24"/>
  <c r="T882" i="24"/>
  <c r="S882" i="24"/>
  <c r="R882" i="24"/>
  <c r="Q882" i="24"/>
  <c r="O882" i="24"/>
  <c r="L882" i="24"/>
  <c r="H882" i="24"/>
  <c r="G882" i="24"/>
  <c r="F882" i="24"/>
  <c r="E882" i="24"/>
  <c r="D882" i="24"/>
  <c r="C882" i="24"/>
  <c r="B882" i="24"/>
  <c r="A882" i="24"/>
  <c r="W881" i="24"/>
  <c r="U881" i="24"/>
  <c r="T881" i="24"/>
  <c r="S881" i="24"/>
  <c r="R881" i="24"/>
  <c r="Q881" i="24"/>
  <c r="O881" i="24"/>
  <c r="L881" i="24"/>
  <c r="H881" i="24"/>
  <c r="G881" i="24"/>
  <c r="F881" i="24"/>
  <c r="E881" i="24"/>
  <c r="D881" i="24"/>
  <c r="C881" i="24"/>
  <c r="B881" i="24"/>
  <c r="A881" i="24"/>
  <c r="W880" i="24"/>
  <c r="U880" i="24"/>
  <c r="T880" i="24"/>
  <c r="S880" i="24"/>
  <c r="R880" i="24"/>
  <c r="Q880" i="24"/>
  <c r="O880" i="24"/>
  <c r="M880" i="24"/>
  <c r="L880" i="24"/>
  <c r="G880" i="24"/>
  <c r="F880" i="24"/>
  <c r="E880" i="24"/>
  <c r="D880" i="24"/>
  <c r="C880" i="24"/>
  <c r="B880" i="24"/>
  <c r="A880" i="24"/>
  <c r="W879" i="24"/>
  <c r="U879" i="24"/>
  <c r="T879" i="24"/>
  <c r="S879" i="24"/>
  <c r="R879" i="24"/>
  <c r="Q879" i="24"/>
  <c r="O879" i="24"/>
  <c r="L879" i="24"/>
  <c r="G879" i="24"/>
  <c r="F879" i="24"/>
  <c r="E879" i="24"/>
  <c r="D879" i="24"/>
  <c r="C879" i="24"/>
  <c r="B879" i="24"/>
  <c r="A879" i="24"/>
  <c r="W878" i="24"/>
  <c r="V878" i="24"/>
  <c r="U878" i="24"/>
  <c r="T878" i="24"/>
  <c r="S878" i="24"/>
  <c r="R878" i="24"/>
  <c r="Q878" i="24"/>
  <c r="O878" i="24"/>
  <c r="L878" i="24"/>
  <c r="F878" i="24"/>
  <c r="E878" i="24"/>
  <c r="D878" i="24"/>
  <c r="C878" i="24"/>
  <c r="B878" i="24"/>
  <c r="A878" i="24"/>
  <c r="W877" i="24"/>
  <c r="U877" i="24"/>
  <c r="T877" i="24"/>
  <c r="S877" i="24"/>
  <c r="R877" i="24"/>
  <c r="Q877" i="24"/>
  <c r="O877" i="24"/>
  <c r="L877" i="24"/>
  <c r="G877" i="24"/>
  <c r="F877" i="24"/>
  <c r="E877" i="24"/>
  <c r="D877" i="24"/>
  <c r="C877" i="24"/>
  <c r="B877" i="24"/>
  <c r="A877" i="24"/>
  <c r="W876" i="24"/>
  <c r="U876" i="24"/>
  <c r="T876" i="24"/>
  <c r="S876" i="24"/>
  <c r="R876" i="24"/>
  <c r="Q876" i="24"/>
  <c r="O876" i="24"/>
  <c r="L876" i="24"/>
  <c r="I876" i="24"/>
  <c r="H876" i="24"/>
  <c r="G876" i="24"/>
  <c r="F876" i="24"/>
  <c r="E876" i="24"/>
  <c r="D876" i="24"/>
  <c r="C876" i="24"/>
  <c r="B876" i="24"/>
  <c r="A876" i="24"/>
  <c r="W875" i="24"/>
  <c r="V875" i="24"/>
  <c r="U875" i="24"/>
  <c r="T875" i="24"/>
  <c r="S875" i="24"/>
  <c r="R875" i="24"/>
  <c r="Q875" i="24"/>
  <c r="O875" i="24"/>
  <c r="L875" i="24"/>
  <c r="H875" i="24"/>
  <c r="G875" i="24"/>
  <c r="F875" i="24"/>
  <c r="E875" i="24"/>
  <c r="D875" i="24"/>
  <c r="C875" i="24"/>
  <c r="B875" i="24"/>
  <c r="A875" i="24"/>
  <c r="W874" i="24"/>
  <c r="U874" i="24"/>
  <c r="T874" i="24"/>
  <c r="S874" i="24"/>
  <c r="R874" i="24"/>
  <c r="Q874" i="24"/>
  <c r="O874" i="24"/>
  <c r="L874" i="24"/>
  <c r="G874" i="24"/>
  <c r="F874" i="24"/>
  <c r="E874" i="24"/>
  <c r="D874" i="24"/>
  <c r="C874" i="24"/>
  <c r="B874" i="24"/>
  <c r="A874" i="24"/>
  <c r="W873" i="24"/>
  <c r="U873" i="24"/>
  <c r="T873" i="24"/>
  <c r="S873" i="24"/>
  <c r="R873" i="24"/>
  <c r="Q873" i="24"/>
  <c r="O873" i="24"/>
  <c r="L873" i="24"/>
  <c r="G873" i="24"/>
  <c r="F873" i="24"/>
  <c r="E873" i="24"/>
  <c r="D873" i="24"/>
  <c r="C873" i="24"/>
  <c r="B873" i="24"/>
  <c r="A873" i="24"/>
  <c r="W872" i="24"/>
  <c r="U872" i="24"/>
  <c r="T872" i="24"/>
  <c r="S872" i="24"/>
  <c r="R872" i="24"/>
  <c r="Q872" i="24"/>
  <c r="O872" i="24"/>
  <c r="M872" i="24"/>
  <c r="L872" i="24"/>
  <c r="I872" i="24"/>
  <c r="H872" i="24"/>
  <c r="G872" i="24"/>
  <c r="F872" i="24"/>
  <c r="E872" i="24"/>
  <c r="D872" i="24"/>
  <c r="C872" i="24"/>
  <c r="B872" i="24"/>
  <c r="A872" i="24"/>
  <c r="W871" i="24"/>
  <c r="U871" i="24"/>
  <c r="T871" i="24"/>
  <c r="S871" i="24"/>
  <c r="R871" i="24"/>
  <c r="Q871" i="24"/>
  <c r="O871" i="24"/>
  <c r="M871" i="24"/>
  <c r="L871" i="24"/>
  <c r="F871" i="24"/>
  <c r="E871" i="24"/>
  <c r="D871" i="24"/>
  <c r="C871" i="24"/>
  <c r="B871" i="24"/>
  <c r="A871" i="24"/>
  <c r="W870" i="24"/>
  <c r="U870" i="24"/>
  <c r="T870" i="24"/>
  <c r="S870" i="24"/>
  <c r="R870" i="24"/>
  <c r="Q870" i="24"/>
  <c r="O870" i="24"/>
  <c r="L870" i="24"/>
  <c r="G870" i="24"/>
  <c r="F870" i="24"/>
  <c r="E870" i="24"/>
  <c r="D870" i="24"/>
  <c r="C870" i="24"/>
  <c r="B870" i="24"/>
  <c r="A870" i="24"/>
  <c r="W869" i="24"/>
  <c r="U869" i="24"/>
  <c r="T869" i="24"/>
  <c r="S869" i="24"/>
  <c r="R869" i="24"/>
  <c r="Q869" i="24"/>
  <c r="O869" i="24"/>
  <c r="L869" i="24"/>
  <c r="F869" i="24"/>
  <c r="E869" i="24"/>
  <c r="D869" i="24"/>
  <c r="C869" i="24"/>
  <c r="B869" i="24"/>
  <c r="A869" i="24"/>
  <c r="W868" i="24"/>
  <c r="U868" i="24"/>
  <c r="T868" i="24"/>
  <c r="S868" i="24"/>
  <c r="R868" i="24"/>
  <c r="Q868" i="24"/>
  <c r="O868" i="24"/>
  <c r="L868" i="24"/>
  <c r="I868" i="24"/>
  <c r="H868" i="24"/>
  <c r="G868" i="24"/>
  <c r="F868" i="24"/>
  <c r="E868" i="24"/>
  <c r="D868" i="24"/>
  <c r="C868" i="24"/>
  <c r="B868" i="24"/>
  <c r="A868" i="24"/>
  <c r="W867" i="24"/>
  <c r="U867" i="24"/>
  <c r="T867" i="24"/>
  <c r="S867" i="24"/>
  <c r="R867" i="24"/>
  <c r="Q867" i="24"/>
  <c r="O867" i="24"/>
  <c r="L867" i="24"/>
  <c r="F867" i="24"/>
  <c r="E867" i="24"/>
  <c r="D867" i="24"/>
  <c r="C867" i="24"/>
  <c r="B867" i="24"/>
  <c r="A867" i="24"/>
  <c r="W866" i="24"/>
  <c r="U866" i="24"/>
  <c r="T866" i="24"/>
  <c r="S866" i="24"/>
  <c r="R866" i="24"/>
  <c r="Q866" i="24"/>
  <c r="O866" i="24"/>
  <c r="L866" i="24"/>
  <c r="G866" i="24"/>
  <c r="F866" i="24"/>
  <c r="E866" i="24"/>
  <c r="D866" i="24"/>
  <c r="C866" i="24"/>
  <c r="B866" i="24"/>
  <c r="A866" i="24"/>
  <c r="W865" i="24"/>
  <c r="U865" i="24"/>
  <c r="T865" i="24"/>
  <c r="S865" i="24"/>
  <c r="R865" i="24"/>
  <c r="Q865" i="24"/>
  <c r="O865" i="24"/>
  <c r="L865" i="24"/>
  <c r="G865" i="24"/>
  <c r="F865" i="24"/>
  <c r="E865" i="24"/>
  <c r="D865" i="24"/>
  <c r="C865" i="24"/>
  <c r="B865" i="24"/>
  <c r="A865" i="24"/>
  <c r="W864" i="24"/>
  <c r="U864" i="24"/>
  <c r="T864" i="24"/>
  <c r="S864" i="24"/>
  <c r="R864" i="24"/>
  <c r="Q864" i="24"/>
  <c r="O864" i="24"/>
  <c r="L864" i="24"/>
  <c r="I864" i="24"/>
  <c r="H864" i="24"/>
  <c r="G864" i="24"/>
  <c r="F864" i="24"/>
  <c r="E864" i="24"/>
  <c r="D864" i="24"/>
  <c r="C864" i="24"/>
  <c r="B864" i="24"/>
  <c r="A864" i="24"/>
  <c r="W863" i="24"/>
  <c r="U863" i="24"/>
  <c r="T863" i="24"/>
  <c r="S863" i="24"/>
  <c r="R863" i="24"/>
  <c r="Q863" i="24"/>
  <c r="O863" i="24"/>
  <c r="L863" i="24"/>
  <c r="G863" i="24"/>
  <c r="F863" i="24"/>
  <c r="E863" i="24"/>
  <c r="D863" i="24"/>
  <c r="C863" i="24"/>
  <c r="B863" i="24"/>
  <c r="A863" i="24"/>
  <c r="W862" i="24"/>
  <c r="U862" i="24"/>
  <c r="T862" i="24"/>
  <c r="S862" i="24"/>
  <c r="R862" i="24"/>
  <c r="Q862" i="24"/>
  <c r="O862" i="24"/>
  <c r="L862" i="24"/>
  <c r="H862" i="24"/>
  <c r="G862" i="24"/>
  <c r="F862" i="24"/>
  <c r="E862" i="24"/>
  <c r="D862" i="24"/>
  <c r="C862" i="24"/>
  <c r="B862" i="24"/>
  <c r="A862" i="24"/>
  <c r="W861" i="24"/>
  <c r="U861" i="24"/>
  <c r="T861" i="24"/>
  <c r="S861" i="24"/>
  <c r="R861" i="24"/>
  <c r="Q861" i="24"/>
  <c r="O861" i="24"/>
  <c r="L861" i="24"/>
  <c r="F861" i="24"/>
  <c r="E861" i="24"/>
  <c r="D861" i="24"/>
  <c r="C861" i="24"/>
  <c r="B861" i="24"/>
  <c r="A861" i="24"/>
  <c r="W860" i="24"/>
  <c r="U860" i="24"/>
  <c r="T860" i="24"/>
  <c r="S860" i="24"/>
  <c r="R860" i="24"/>
  <c r="Q860" i="24"/>
  <c r="O860" i="24"/>
  <c r="L860" i="24"/>
  <c r="F860" i="24"/>
  <c r="E860" i="24"/>
  <c r="D860" i="24"/>
  <c r="C860" i="24"/>
  <c r="B860" i="24"/>
  <c r="A860" i="24"/>
  <c r="W859" i="24"/>
  <c r="U859" i="24"/>
  <c r="T859" i="24"/>
  <c r="S859" i="24"/>
  <c r="R859" i="24"/>
  <c r="Q859" i="24"/>
  <c r="O859" i="24"/>
  <c r="M859" i="24"/>
  <c r="L859" i="24"/>
  <c r="H859" i="24"/>
  <c r="G859" i="24"/>
  <c r="F859" i="24"/>
  <c r="E859" i="24"/>
  <c r="D859" i="24"/>
  <c r="C859" i="24"/>
  <c r="B859" i="24"/>
  <c r="A859" i="24"/>
  <c r="W858" i="24"/>
  <c r="U858" i="24"/>
  <c r="T858" i="24"/>
  <c r="S858" i="24"/>
  <c r="R858" i="24"/>
  <c r="Q858" i="24"/>
  <c r="O858" i="24"/>
  <c r="L858" i="24"/>
  <c r="F858" i="24"/>
  <c r="E858" i="24"/>
  <c r="D858" i="24"/>
  <c r="C858" i="24"/>
  <c r="B858" i="24"/>
  <c r="A858" i="24"/>
  <c r="W857" i="24"/>
  <c r="V857" i="24"/>
  <c r="U857" i="24"/>
  <c r="T857" i="24"/>
  <c r="S857" i="24"/>
  <c r="R857" i="24"/>
  <c r="Q857" i="24"/>
  <c r="O857" i="24"/>
  <c r="L857" i="24"/>
  <c r="G857" i="24"/>
  <c r="F857" i="24"/>
  <c r="E857" i="24"/>
  <c r="D857" i="24"/>
  <c r="C857" i="24"/>
  <c r="B857" i="24"/>
  <c r="A857" i="24"/>
  <c r="W856" i="24"/>
  <c r="U856" i="24"/>
  <c r="T856" i="24"/>
  <c r="S856" i="24"/>
  <c r="R856" i="24"/>
  <c r="Q856" i="24"/>
  <c r="O856" i="24"/>
  <c r="M856" i="24"/>
  <c r="L856" i="24"/>
  <c r="F856" i="24"/>
  <c r="E856" i="24"/>
  <c r="D856" i="24"/>
  <c r="C856" i="24"/>
  <c r="B856" i="24"/>
  <c r="A856" i="24"/>
  <c r="W855" i="24"/>
  <c r="U855" i="24"/>
  <c r="T855" i="24"/>
  <c r="S855" i="24"/>
  <c r="R855" i="24"/>
  <c r="Q855" i="24"/>
  <c r="O855" i="24"/>
  <c r="L855" i="24"/>
  <c r="H855" i="24"/>
  <c r="G855" i="24"/>
  <c r="F855" i="24"/>
  <c r="E855" i="24"/>
  <c r="D855" i="24"/>
  <c r="C855" i="24"/>
  <c r="B855" i="24"/>
  <c r="A855" i="24"/>
  <c r="W854" i="24"/>
  <c r="U854" i="24"/>
  <c r="T854" i="24"/>
  <c r="S854" i="24"/>
  <c r="R854" i="24"/>
  <c r="Q854" i="24"/>
  <c r="O854" i="24"/>
  <c r="L854" i="24"/>
  <c r="G854" i="24"/>
  <c r="F854" i="24"/>
  <c r="E854" i="24"/>
  <c r="D854" i="24"/>
  <c r="C854" i="24"/>
  <c r="B854" i="24"/>
  <c r="A854" i="24"/>
  <c r="W853" i="24"/>
  <c r="V853" i="24"/>
  <c r="U853" i="24"/>
  <c r="T853" i="24"/>
  <c r="S853" i="24"/>
  <c r="R853" i="24"/>
  <c r="Q853" i="24"/>
  <c r="O853" i="24"/>
  <c r="L853" i="24"/>
  <c r="F853" i="24"/>
  <c r="E853" i="24"/>
  <c r="D853" i="24"/>
  <c r="C853" i="24"/>
  <c r="B853" i="24"/>
  <c r="A853" i="24"/>
  <c r="W852" i="24"/>
  <c r="U852" i="24"/>
  <c r="T852" i="24"/>
  <c r="S852" i="24"/>
  <c r="R852" i="24"/>
  <c r="Q852" i="24"/>
  <c r="O852" i="24"/>
  <c r="L852" i="24"/>
  <c r="G852" i="24"/>
  <c r="F852" i="24"/>
  <c r="E852" i="24"/>
  <c r="D852" i="24"/>
  <c r="C852" i="24"/>
  <c r="B852" i="24"/>
  <c r="A852" i="24"/>
  <c r="W851" i="24"/>
  <c r="U851" i="24"/>
  <c r="T851" i="24"/>
  <c r="S851" i="24"/>
  <c r="R851" i="24"/>
  <c r="Q851" i="24"/>
  <c r="O851" i="24"/>
  <c r="L851" i="24"/>
  <c r="H851" i="24"/>
  <c r="G851" i="24"/>
  <c r="F851" i="24"/>
  <c r="E851" i="24"/>
  <c r="D851" i="24"/>
  <c r="C851" i="24"/>
  <c r="B851" i="24"/>
  <c r="A851" i="24"/>
  <c r="W850" i="24"/>
  <c r="U850" i="24"/>
  <c r="T850" i="24"/>
  <c r="S850" i="24"/>
  <c r="R850" i="24"/>
  <c r="Q850" i="24"/>
  <c r="O850" i="24"/>
  <c r="L850" i="24"/>
  <c r="F850" i="24"/>
  <c r="E850" i="24"/>
  <c r="D850" i="24"/>
  <c r="C850" i="24"/>
  <c r="B850" i="24"/>
  <c r="A850" i="24"/>
  <c r="W849" i="24"/>
  <c r="U849" i="24"/>
  <c r="T849" i="24"/>
  <c r="S849" i="24"/>
  <c r="R849" i="24"/>
  <c r="Q849" i="24"/>
  <c r="O849" i="24"/>
  <c r="M849" i="24"/>
  <c r="L849" i="24"/>
  <c r="H849" i="24"/>
  <c r="G849" i="24"/>
  <c r="F849" i="24"/>
  <c r="E849" i="24"/>
  <c r="D849" i="24"/>
  <c r="C849" i="24"/>
  <c r="B849" i="24"/>
  <c r="A849" i="24"/>
  <c r="W848" i="24"/>
  <c r="U848" i="24"/>
  <c r="T848" i="24"/>
  <c r="S848" i="24"/>
  <c r="R848" i="24"/>
  <c r="Q848" i="24"/>
  <c r="O848" i="24"/>
  <c r="L848" i="24"/>
  <c r="F848" i="24"/>
  <c r="E848" i="24"/>
  <c r="D848" i="24"/>
  <c r="C848" i="24"/>
  <c r="B848" i="24"/>
  <c r="A848" i="24"/>
  <c r="W847" i="24"/>
  <c r="U847" i="24"/>
  <c r="T847" i="24"/>
  <c r="S847" i="24"/>
  <c r="R847" i="24"/>
  <c r="Q847" i="24"/>
  <c r="O847" i="24"/>
  <c r="M847" i="24"/>
  <c r="L847" i="24"/>
  <c r="I847" i="24"/>
  <c r="H847" i="24"/>
  <c r="G847" i="24"/>
  <c r="F847" i="24"/>
  <c r="E847" i="24"/>
  <c r="D847" i="24"/>
  <c r="C847" i="24"/>
  <c r="B847" i="24"/>
  <c r="A847" i="24"/>
  <c r="W846" i="24"/>
  <c r="U846" i="24"/>
  <c r="T846" i="24"/>
  <c r="S846" i="24"/>
  <c r="R846" i="24"/>
  <c r="Q846" i="24"/>
  <c r="O846" i="24"/>
  <c r="L846" i="24"/>
  <c r="H846" i="24"/>
  <c r="G846" i="24"/>
  <c r="F846" i="24"/>
  <c r="E846" i="24"/>
  <c r="D846" i="24"/>
  <c r="C846" i="24"/>
  <c r="B846" i="24"/>
  <c r="A846" i="24"/>
  <c r="W845" i="24"/>
  <c r="U845" i="24"/>
  <c r="T845" i="24"/>
  <c r="S845" i="24"/>
  <c r="R845" i="24"/>
  <c r="Q845" i="24"/>
  <c r="O845" i="24"/>
  <c r="L845" i="24"/>
  <c r="F845" i="24"/>
  <c r="E845" i="24"/>
  <c r="D845" i="24"/>
  <c r="C845" i="24"/>
  <c r="B845" i="24"/>
  <c r="A845" i="24"/>
  <c r="W844" i="24"/>
  <c r="U844" i="24"/>
  <c r="T844" i="24"/>
  <c r="S844" i="24"/>
  <c r="R844" i="24"/>
  <c r="Q844" i="24"/>
  <c r="O844" i="24"/>
  <c r="L844" i="24"/>
  <c r="F844" i="24"/>
  <c r="E844" i="24"/>
  <c r="D844" i="24"/>
  <c r="C844" i="24"/>
  <c r="B844" i="24"/>
  <c r="A844" i="24"/>
  <c r="W843" i="24"/>
  <c r="U843" i="24"/>
  <c r="T843" i="24"/>
  <c r="S843" i="24"/>
  <c r="R843" i="24"/>
  <c r="Q843" i="24"/>
  <c r="O843" i="24"/>
  <c r="L843" i="24"/>
  <c r="G843" i="24"/>
  <c r="F843" i="24"/>
  <c r="E843" i="24"/>
  <c r="D843" i="24"/>
  <c r="C843" i="24"/>
  <c r="B843" i="24"/>
  <c r="A843" i="24"/>
  <c r="W842" i="24"/>
  <c r="U842" i="24"/>
  <c r="T842" i="24"/>
  <c r="S842" i="24"/>
  <c r="R842" i="24"/>
  <c r="Q842" i="24"/>
  <c r="O842" i="24"/>
  <c r="L842" i="24"/>
  <c r="I842" i="24"/>
  <c r="H842" i="24"/>
  <c r="G842" i="24"/>
  <c r="F842" i="24"/>
  <c r="E842" i="24"/>
  <c r="D842" i="24"/>
  <c r="C842" i="24"/>
  <c r="B842" i="24"/>
  <c r="A842" i="24"/>
  <c r="W841" i="24"/>
  <c r="U841" i="24"/>
  <c r="T841" i="24"/>
  <c r="S841" i="24"/>
  <c r="R841" i="24"/>
  <c r="Q841" i="24"/>
  <c r="O841" i="24"/>
  <c r="L841" i="24"/>
  <c r="H841" i="24"/>
  <c r="G841" i="24"/>
  <c r="F841" i="24"/>
  <c r="E841" i="24"/>
  <c r="D841" i="24"/>
  <c r="C841" i="24"/>
  <c r="B841" i="24"/>
  <c r="A841" i="24"/>
  <c r="W840" i="24"/>
  <c r="U840" i="24"/>
  <c r="T840" i="24"/>
  <c r="S840" i="24"/>
  <c r="R840" i="24"/>
  <c r="Q840" i="24"/>
  <c r="O840" i="24"/>
  <c r="L840" i="24"/>
  <c r="H840" i="24"/>
  <c r="G840" i="24"/>
  <c r="F840" i="24"/>
  <c r="E840" i="24"/>
  <c r="D840" i="24"/>
  <c r="C840" i="24"/>
  <c r="B840" i="24"/>
  <c r="A840" i="24"/>
  <c r="W839" i="24"/>
  <c r="U839" i="24"/>
  <c r="T839" i="24"/>
  <c r="S839" i="24"/>
  <c r="R839" i="24"/>
  <c r="Q839" i="24"/>
  <c r="O839" i="24"/>
  <c r="L839" i="24"/>
  <c r="I839" i="24"/>
  <c r="H839" i="24"/>
  <c r="G839" i="24"/>
  <c r="F839" i="24"/>
  <c r="E839" i="24"/>
  <c r="D839" i="24"/>
  <c r="C839" i="24"/>
  <c r="B839" i="24"/>
  <c r="A839" i="24"/>
  <c r="W838" i="24"/>
  <c r="U838" i="24"/>
  <c r="T838" i="24"/>
  <c r="S838" i="24"/>
  <c r="R838" i="24"/>
  <c r="Q838" i="24"/>
  <c r="O838" i="24"/>
  <c r="L838" i="24"/>
  <c r="G838" i="24"/>
  <c r="F838" i="24"/>
  <c r="E838" i="24"/>
  <c r="D838" i="24"/>
  <c r="C838" i="24"/>
  <c r="B838" i="24"/>
  <c r="A838" i="24"/>
  <c r="W837" i="24"/>
  <c r="U837" i="24"/>
  <c r="T837" i="24"/>
  <c r="S837" i="24"/>
  <c r="R837" i="24"/>
  <c r="Q837" i="24"/>
  <c r="O837" i="24"/>
  <c r="M837" i="24"/>
  <c r="L837" i="24"/>
  <c r="G837" i="24"/>
  <c r="F837" i="24"/>
  <c r="E837" i="24"/>
  <c r="D837" i="24"/>
  <c r="C837" i="24"/>
  <c r="B837" i="24"/>
  <c r="A837" i="24"/>
  <c r="W836" i="24"/>
  <c r="U836" i="24"/>
  <c r="T836" i="24"/>
  <c r="S836" i="24"/>
  <c r="R836" i="24"/>
  <c r="Q836" i="24"/>
  <c r="O836" i="24"/>
  <c r="L836" i="24"/>
  <c r="G836" i="24"/>
  <c r="F836" i="24"/>
  <c r="E836" i="24"/>
  <c r="D836" i="24"/>
  <c r="C836" i="24"/>
  <c r="B836" i="24"/>
  <c r="A836" i="24"/>
  <c r="W835" i="24"/>
  <c r="U835" i="24"/>
  <c r="T835" i="24"/>
  <c r="S835" i="24"/>
  <c r="R835" i="24"/>
  <c r="Q835" i="24"/>
  <c r="O835" i="24"/>
  <c r="L835" i="24"/>
  <c r="G835" i="24"/>
  <c r="F835" i="24"/>
  <c r="E835" i="24"/>
  <c r="D835" i="24"/>
  <c r="C835" i="24"/>
  <c r="B835" i="24"/>
  <c r="A835" i="24"/>
  <c r="W834" i="24"/>
  <c r="U834" i="24"/>
  <c r="T834" i="24"/>
  <c r="S834" i="24"/>
  <c r="R834" i="24"/>
  <c r="Q834" i="24"/>
  <c r="O834" i="24"/>
  <c r="L834" i="24"/>
  <c r="G834" i="24"/>
  <c r="F834" i="24"/>
  <c r="E834" i="24"/>
  <c r="D834" i="24"/>
  <c r="C834" i="24"/>
  <c r="B834" i="24"/>
  <c r="A834" i="24"/>
  <c r="W833" i="24"/>
  <c r="U833" i="24"/>
  <c r="T833" i="24"/>
  <c r="S833" i="24"/>
  <c r="R833" i="24"/>
  <c r="Q833" i="24"/>
  <c r="O833" i="24"/>
  <c r="L833" i="24"/>
  <c r="G833" i="24"/>
  <c r="F833" i="24"/>
  <c r="E833" i="24"/>
  <c r="D833" i="24"/>
  <c r="C833" i="24"/>
  <c r="B833" i="24"/>
  <c r="A833" i="24"/>
  <c r="W832" i="24"/>
  <c r="U832" i="24"/>
  <c r="T832" i="24"/>
  <c r="S832" i="24"/>
  <c r="R832" i="24"/>
  <c r="Q832" i="24"/>
  <c r="O832" i="24"/>
  <c r="M832" i="24"/>
  <c r="L832" i="24"/>
  <c r="F832" i="24"/>
  <c r="E832" i="24"/>
  <c r="D832" i="24"/>
  <c r="C832" i="24"/>
  <c r="B832" i="24"/>
  <c r="A832" i="24"/>
  <c r="W831" i="24"/>
  <c r="U831" i="24"/>
  <c r="T831" i="24"/>
  <c r="S831" i="24"/>
  <c r="R831" i="24"/>
  <c r="Q831" i="24"/>
  <c r="O831" i="24"/>
  <c r="L831" i="24"/>
  <c r="H831" i="24"/>
  <c r="G831" i="24"/>
  <c r="F831" i="24"/>
  <c r="E831" i="24"/>
  <c r="D831" i="24"/>
  <c r="C831" i="24"/>
  <c r="B831" i="24"/>
  <c r="A831" i="24"/>
  <c r="W830" i="24"/>
  <c r="U830" i="24"/>
  <c r="T830" i="24"/>
  <c r="S830" i="24"/>
  <c r="R830" i="24"/>
  <c r="Q830" i="24"/>
  <c r="O830" i="24"/>
  <c r="L830" i="24"/>
  <c r="H830" i="24"/>
  <c r="G830" i="24"/>
  <c r="F830" i="24"/>
  <c r="E830" i="24"/>
  <c r="D830" i="24"/>
  <c r="C830" i="24"/>
  <c r="B830" i="24"/>
  <c r="A830" i="24"/>
  <c r="W829" i="24"/>
  <c r="U829" i="24"/>
  <c r="T829" i="24"/>
  <c r="S829" i="24"/>
  <c r="R829" i="24"/>
  <c r="Q829" i="24"/>
  <c r="O829" i="24"/>
  <c r="L829" i="24"/>
  <c r="G829" i="24"/>
  <c r="F829" i="24"/>
  <c r="E829" i="24"/>
  <c r="D829" i="24"/>
  <c r="C829" i="24"/>
  <c r="B829" i="24"/>
  <c r="A829" i="24"/>
  <c r="W828" i="24"/>
  <c r="U828" i="24"/>
  <c r="T828" i="24"/>
  <c r="S828" i="24"/>
  <c r="R828" i="24"/>
  <c r="Q828" i="24"/>
  <c r="O828" i="24"/>
  <c r="L828" i="24"/>
  <c r="I828" i="24"/>
  <c r="H828" i="24"/>
  <c r="G828" i="24"/>
  <c r="F828" i="24"/>
  <c r="E828" i="24"/>
  <c r="D828" i="24"/>
  <c r="C828" i="24"/>
  <c r="B828" i="24"/>
  <c r="A828" i="24"/>
  <c r="W827" i="24"/>
  <c r="U827" i="24"/>
  <c r="T827" i="24"/>
  <c r="S827" i="24"/>
  <c r="R827" i="24"/>
  <c r="Q827" i="24"/>
  <c r="O827" i="24"/>
  <c r="L827" i="24"/>
  <c r="F827" i="24"/>
  <c r="E827" i="24"/>
  <c r="D827" i="24"/>
  <c r="C827" i="24"/>
  <c r="B827" i="24"/>
  <c r="A827" i="24"/>
  <c r="W826" i="24"/>
  <c r="U826" i="24"/>
  <c r="T826" i="24"/>
  <c r="S826" i="24"/>
  <c r="R826" i="24"/>
  <c r="Q826" i="24"/>
  <c r="O826" i="24"/>
  <c r="L826" i="24"/>
  <c r="J826" i="24"/>
  <c r="I826" i="24"/>
  <c r="H826" i="24"/>
  <c r="G826" i="24"/>
  <c r="F826" i="24"/>
  <c r="E826" i="24"/>
  <c r="D826" i="24"/>
  <c r="C826" i="24"/>
  <c r="B826" i="24"/>
  <c r="A826" i="24"/>
  <c r="W825" i="24"/>
  <c r="U825" i="24"/>
  <c r="T825" i="24"/>
  <c r="S825" i="24"/>
  <c r="R825" i="24"/>
  <c r="Q825" i="24"/>
  <c r="O825" i="24"/>
  <c r="L825" i="24"/>
  <c r="I825" i="24"/>
  <c r="H825" i="24"/>
  <c r="G825" i="24"/>
  <c r="F825" i="24"/>
  <c r="E825" i="24"/>
  <c r="D825" i="24"/>
  <c r="C825" i="24"/>
  <c r="B825" i="24"/>
  <c r="A825" i="24"/>
  <c r="W824" i="24"/>
  <c r="V824" i="24"/>
  <c r="U824" i="24"/>
  <c r="T824" i="24"/>
  <c r="S824" i="24"/>
  <c r="R824" i="24"/>
  <c r="Q824" i="24"/>
  <c r="O824" i="24"/>
  <c r="L824" i="24"/>
  <c r="G824" i="24"/>
  <c r="F824" i="24"/>
  <c r="E824" i="24"/>
  <c r="D824" i="24"/>
  <c r="C824" i="24"/>
  <c r="B824" i="24"/>
  <c r="A824" i="24"/>
  <c r="W823" i="24"/>
  <c r="U823" i="24"/>
  <c r="T823" i="24"/>
  <c r="S823" i="24"/>
  <c r="R823" i="24"/>
  <c r="Q823" i="24"/>
  <c r="O823" i="24"/>
  <c r="L823" i="24"/>
  <c r="H823" i="24"/>
  <c r="G823" i="24"/>
  <c r="F823" i="24"/>
  <c r="E823" i="24"/>
  <c r="D823" i="24"/>
  <c r="C823" i="24"/>
  <c r="B823" i="24"/>
  <c r="A823" i="24"/>
  <c r="W822" i="24"/>
  <c r="U822" i="24"/>
  <c r="T822" i="24"/>
  <c r="S822" i="24"/>
  <c r="R822" i="24"/>
  <c r="Q822" i="24"/>
  <c r="O822" i="24"/>
  <c r="M822" i="24"/>
  <c r="L822" i="24"/>
  <c r="F822" i="24"/>
  <c r="E822" i="24"/>
  <c r="D822" i="24"/>
  <c r="C822" i="24"/>
  <c r="B822" i="24"/>
  <c r="A822" i="24"/>
  <c r="W821" i="24"/>
  <c r="U821" i="24"/>
  <c r="T821" i="24"/>
  <c r="S821" i="24"/>
  <c r="R821" i="24"/>
  <c r="Q821" i="24"/>
  <c r="O821" i="24"/>
  <c r="L821" i="24"/>
  <c r="H821" i="24"/>
  <c r="G821" i="24"/>
  <c r="F821" i="24"/>
  <c r="E821" i="24"/>
  <c r="D821" i="24"/>
  <c r="C821" i="24"/>
  <c r="B821" i="24"/>
  <c r="A821" i="24"/>
  <c r="W820" i="24"/>
  <c r="U820" i="24"/>
  <c r="T820" i="24"/>
  <c r="S820" i="24"/>
  <c r="R820" i="24"/>
  <c r="Q820" i="24"/>
  <c r="O820" i="24"/>
  <c r="L820" i="24"/>
  <c r="H820" i="24"/>
  <c r="G820" i="24"/>
  <c r="F820" i="24"/>
  <c r="E820" i="24"/>
  <c r="D820" i="24"/>
  <c r="C820" i="24"/>
  <c r="B820" i="24"/>
  <c r="A820" i="24"/>
  <c r="W819" i="24"/>
  <c r="U819" i="24"/>
  <c r="T819" i="24"/>
  <c r="S819" i="24"/>
  <c r="R819" i="24"/>
  <c r="Q819" i="24"/>
  <c r="O819" i="24"/>
  <c r="L819" i="24"/>
  <c r="G819" i="24"/>
  <c r="F819" i="24"/>
  <c r="E819" i="24"/>
  <c r="D819" i="24"/>
  <c r="C819" i="24"/>
  <c r="B819" i="24"/>
  <c r="A819" i="24"/>
  <c r="W818" i="24"/>
  <c r="U818" i="24"/>
  <c r="T818" i="24"/>
  <c r="S818" i="24"/>
  <c r="R818" i="24"/>
  <c r="Q818" i="24"/>
  <c r="O818" i="24"/>
  <c r="L818" i="24"/>
  <c r="G818" i="24"/>
  <c r="F818" i="24"/>
  <c r="E818" i="24"/>
  <c r="D818" i="24"/>
  <c r="C818" i="24"/>
  <c r="B818" i="24"/>
  <c r="A818" i="24"/>
  <c r="W817" i="24"/>
  <c r="U817" i="24"/>
  <c r="T817" i="24"/>
  <c r="S817" i="24"/>
  <c r="R817" i="24"/>
  <c r="Q817" i="24"/>
  <c r="O817" i="24"/>
  <c r="L817" i="24"/>
  <c r="G817" i="24"/>
  <c r="F817" i="24"/>
  <c r="E817" i="24"/>
  <c r="D817" i="24"/>
  <c r="C817" i="24"/>
  <c r="B817" i="24"/>
  <c r="A817" i="24"/>
  <c r="W816" i="24"/>
  <c r="V816" i="24"/>
  <c r="U816" i="24"/>
  <c r="T816" i="24"/>
  <c r="S816" i="24"/>
  <c r="R816" i="24"/>
  <c r="Q816" i="24"/>
  <c r="O816" i="24"/>
  <c r="L816" i="24"/>
  <c r="I816" i="24"/>
  <c r="H816" i="24"/>
  <c r="G816" i="24"/>
  <c r="F816" i="24"/>
  <c r="E816" i="24"/>
  <c r="D816" i="24"/>
  <c r="C816" i="24"/>
  <c r="B816" i="24"/>
  <c r="A816" i="24"/>
  <c r="W815" i="24"/>
  <c r="U815" i="24"/>
  <c r="T815" i="24"/>
  <c r="S815" i="24"/>
  <c r="R815" i="24"/>
  <c r="Q815" i="24"/>
  <c r="O815" i="24"/>
  <c r="L815" i="24"/>
  <c r="H815" i="24"/>
  <c r="G815" i="24"/>
  <c r="F815" i="24"/>
  <c r="E815" i="24"/>
  <c r="D815" i="24"/>
  <c r="C815" i="24"/>
  <c r="B815" i="24"/>
  <c r="A815" i="24"/>
  <c r="W814" i="24"/>
  <c r="U814" i="24"/>
  <c r="T814" i="24"/>
  <c r="S814" i="24"/>
  <c r="R814" i="24"/>
  <c r="Q814" i="24"/>
  <c r="O814" i="24"/>
  <c r="L814" i="24"/>
  <c r="H814" i="24"/>
  <c r="G814" i="24"/>
  <c r="F814" i="24"/>
  <c r="E814" i="24"/>
  <c r="D814" i="24"/>
  <c r="C814" i="24"/>
  <c r="B814" i="24"/>
  <c r="A814" i="24"/>
  <c r="W813" i="24"/>
  <c r="U813" i="24"/>
  <c r="T813" i="24"/>
  <c r="S813" i="24"/>
  <c r="R813" i="24"/>
  <c r="Q813" i="24"/>
  <c r="O813" i="24"/>
  <c r="L813" i="24"/>
  <c r="H813" i="24"/>
  <c r="G813" i="24"/>
  <c r="F813" i="24"/>
  <c r="E813" i="24"/>
  <c r="D813" i="24"/>
  <c r="C813" i="24"/>
  <c r="B813" i="24"/>
  <c r="A813" i="24"/>
  <c r="W812" i="24"/>
  <c r="U812" i="24"/>
  <c r="T812" i="24"/>
  <c r="S812" i="24"/>
  <c r="R812" i="24"/>
  <c r="Q812" i="24"/>
  <c r="O812" i="24"/>
  <c r="M812" i="24"/>
  <c r="L812" i="24"/>
  <c r="G812" i="24"/>
  <c r="F812" i="24"/>
  <c r="E812" i="24"/>
  <c r="D812" i="24"/>
  <c r="C812" i="24"/>
  <c r="B812" i="24"/>
  <c r="A812" i="24"/>
  <c r="W811" i="24"/>
  <c r="U811" i="24"/>
  <c r="T811" i="24"/>
  <c r="S811" i="24"/>
  <c r="R811" i="24"/>
  <c r="Q811" i="24"/>
  <c r="O811" i="24"/>
  <c r="L811" i="24"/>
  <c r="F811" i="24"/>
  <c r="E811" i="24"/>
  <c r="D811" i="24"/>
  <c r="C811" i="24"/>
  <c r="B811" i="24"/>
  <c r="A811" i="24"/>
  <c r="W810" i="24"/>
  <c r="U810" i="24"/>
  <c r="T810" i="24"/>
  <c r="S810" i="24"/>
  <c r="R810" i="24"/>
  <c r="Q810" i="24"/>
  <c r="O810" i="24"/>
  <c r="L810" i="24"/>
  <c r="H810" i="24"/>
  <c r="G810" i="24"/>
  <c r="F810" i="24"/>
  <c r="E810" i="24"/>
  <c r="D810" i="24"/>
  <c r="C810" i="24"/>
  <c r="B810" i="24"/>
  <c r="A810" i="24"/>
  <c r="W809" i="24"/>
  <c r="U809" i="24"/>
  <c r="T809" i="24"/>
  <c r="S809" i="24"/>
  <c r="R809" i="24"/>
  <c r="Q809" i="24"/>
  <c r="O809" i="24"/>
  <c r="L809" i="24"/>
  <c r="G809" i="24"/>
  <c r="F809" i="24"/>
  <c r="E809" i="24"/>
  <c r="D809" i="24"/>
  <c r="C809" i="24"/>
  <c r="B809" i="24"/>
  <c r="A809" i="24"/>
  <c r="W808" i="24"/>
  <c r="U808" i="24"/>
  <c r="T808" i="24"/>
  <c r="S808" i="24"/>
  <c r="R808" i="24"/>
  <c r="Q808" i="24"/>
  <c r="O808" i="24"/>
  <c r="L808" i="24"/>
  <c r="F808" i="24"/>
  <c r="E808" i="24"/>
  <c r="D808" i="24"/>
  <c r="C808" i="24"/>
  <c r="B808" i="24"/>
  <c r="A808" i="24"/>
  <c r="W807" i="24"/>
  <c r="U807" i="24"/>
  <c r="T807" i="24"/>
  <c r="S807" i="24"/>
  <c r="R807" i="24"/>
  <c r="Q807" i="24"/>
  <c r="O807" i="24"/>
  <c r="L807" i="24"/>
  <c r="H807" i="24"/>
  <c r="G807" i="24"/>
  <c r="F807" i="24"/>
  <c r="E807" i="24"/>
  <c r="D807" i="24"/>
  <c r="C807" i="24"/>
  <c r="B807" i="24"/>
  <c r="A807" i="24"/>
  <c r="W806" i="24"/>
  <c r="U806" i="24"/>
  <c r="T806" i="24"/>
  <c r="S806" i="24"/>
  <c r="R806" i="24"/>
  <c r="Q806" i="24"/>
  <c r="O806" i="24"/>
  <c r="L806" i="24"/>
  <c r="H806" i="24"/>
  <c r="G806" i="24"/>
  <c r="F806" i="24"/>
  <c r="E806" i="24"/>
  <c r="D806" i="24"/>
  <c r="C806" i="24"/>
  <c r="B806" i="24"/>
  <c r="A806" i="24"/>
  <c r="W805" i="24"/>
  <c r="U805" i="24"/>
  <c r="T805" i="24"/>
  <c r="S805" i="24"/>
  <c r="R805" i="24"/>
  <c r="Q805" i="24"/>
  <c r="O805" i="24"/>
  <c r="L805" i="24"/>
  <c r="G805" i="24"/>
  <c r="F805" i="24"/>
  <c r="E805" i="24"/>
  <c r="D805" i="24"/>
  <c r="C805" i="24"/>
  <c r="B805" i="24"/>
  <c r="A805" i="24"/>
  <c r="W804" i="24"/>
  <c r="U804" i="24"/>
  <c r="T804" i="24"/>
  <c r="S804" i="24"/>
  <c r="R804" i="24"/>
  <c r="Q804" i="24"/>
  <c r="O804" i="24"/>
  <c r="M804" i="24"/>
  <c r="L804" i="24"/>
  <c r="G804" i="24"/>
  <c r="F804" i="24"/>
  <c r="E804" i="24"/>
  <c r="D804" i="24"/>
  <c r="C804" i="24"/>
  <c r="B804" i="24"/>
  <c r="A804" i="24"/>
  <c r="W803" i="24"/>
  <c r="U803" i="24"/>
  <c r="T803" i="24"/>
  <c r="S803" i="24"/>
  <c r="R803" i="24"/>
  <c r="Q803" i="24"/>
  <c r="O803" i="24"/>
  <c r="L803" i="24"/>
  <c r="G803" i="24"/>
  <c r="F803" i="24"/>
  <c r="E803" i="24"/>
  <c r="D803" i="24"/>
  <c r="C803" i="24"/>
  <c r="B803" i="24"/>
  <c r="A803" i="24"/>
  <c r="W802" i="24"/>
  <c r="U802" i="24"/>
  <c r="T802" i="24"/>
  <c r="S802" i="24"/>
  <c r="R802" i="24"/>
  <c r="Q802" i="24"/>
  <c r="O802" i="24"/>
  <c r="L802" i="24"/>
  <c r="F802" i="24"/>
  <c r="E802" i="24"/>
  <c r="D802" i="24"/>
  <c r="C802" i="24"/>
  <c r="B802" i="24"/>
  <c r="A802" i="24"/>
  <c r="W801" i="24"/>
  <c r="U801" i="24"/>
  <c r="T801" i="24"/>
  <c r="S801" i="24"/>
  <c r="R801" i="24"/>
  <c r="Q801" i="24"/>
  <c r="O801" i="24"/>
  <c r="L801" i="24"/>
  <c r="H801" i="24"/>
  <c r="G801" i="24"/>
  <c r="F801" i="24"/>
  <c r="E801" i="24"/>
  <c r="D801" i="24"/>
  <c r="C801" i="24"/>
  <c r="B801" i="24"/>
  <c r="A801" i="24"/>
  <c r="W800" i="24"/>
  <c r="U800" i="24"/>
  <c r="T800" i="24"/>
  <c r="S800" i="24"/>
  <c r="R800" i="24"/>
  <c r="Q800" i="24"/>
  <c r="O800" i="24"/>
  <c r="L800" i="24"/>
  <c r="I800" i="24"/>
  <c r="H800" i="24"/>
  <c r="G800" i="24"/>
  <c r="F800" i="24"/>
  <c r="E800" i="24"/>
  <c r="D800" i="24"/>
  <c r="C800" i="24"/>
  <c r="B800" i="24"/>
  <c r="A800" i="24"/>
  <c r="W799" i="24"/>
  <c r="U799" i="24"/>
  <c r="T799" i="24"/>
  <c r="S799" i="24"/>
  <c r="R799" i="24"/>
  <c r="Q799" i="24"/>
  <c r="O799" i="24"/>
  <c r="M799" i="24"/>
  <c r="L799" i="24"/>
  <c r="F799" i="24"/>
  <c r="E799" i="24"/>
  <c r="D799" i="24"/>
  <c r="C799" i="24"/>
  <c r="B799" i="24"/>
  <c r="A799" i="24"/>
  <c r="W798" i="24"/>
  <c r="U798" i="24"/>
  <c r="T798" i="24"/>
  <c r="S798" i="24"/>
  <c r="R798" i="24"/>
  <c r="Q798" i="24"/>
  <c r="O798" i="24"/>
  <c r="L798" i="24"/>
  <c r="H798" i="24"/>
  <c r="G798" i="24"/>
  <c r="F798" i="24"/>
  <c r="E798" i="24"/>
  <c r="D798" i="24"/>
  <c r="C798" i="24"/>
  <c r="B798" i="24"/>
  <c r="A798" i="24"/>
  <c r="W797" i="24"/>
  <c r="U797" i="24"/>
  <c r="T797" i="24"/>
  <c r="S797" i="24"/>
  <c r="R797" i="24"/>
  <c r="Q797" i="24"/>
  <c r="O797" i="24"/>
  <c r="L797" i="24"/>
  <c r="F797" i="24"/>
  <c r="E797" i="24"/>
  <c r="D797" i="24"/>
  <c r="C797" i="24"/>
  <c r="B797" i="24"/>
  <c r="A797" i="24"/>
  <c r="W796" i="24"/>
  <c r="U796" i="24"/>
  <c r="T796" i="24"/>
  <c r="S796" i="24"/>
  <c r="R796" i="24"/>
  <c r="Q796" i="24"/>
  <c r="O796" i="24"/>
  <c r="L796" i="24"/>
  <c r="G796" i="24"/>
  <c r="F796" i="24"/>
  <c r="E796" i="24"/>
  <c r="D796" i="24"/>
  <c r="C796" i="24"/>
  <c r="B796" i="24"/>
  <c r="A796" i="24"/>
  <c r="W795" i="24"/>
  <c r="V795" i="24"/>
  <c r="U795" i="24"/>
  <c r="T795" i="24"/>
  <c r="S795" i="24"/>
  <c r="R795" i="24"/>
  <c r="Q795" i="24"/>
  <c r="O795" i="24"/>
  <c r="N795" i="24"/>
  <c r="M795" i="24"/>
  <c r="L795" i="24"/>
  <c r="G795" i="24"/>
  <c r="F795" i="24"/>
  <c r="E795" i="24"/>
  <c r="D795" i="24"/>
  <c r="C795" i="24"/>
  <c r="B795" i="24"/>
  <c r="A795" i="24"/>
  <c r="W794" i="24"/>
  <c r="U794" i="24"/>
  <c r="T794" i="24"/>
  <c r="S794" i="24"/>
  <c r="R794" i="24"/>
  <c r="Q794" i="24"/>
  <c r="O794" i="24"/>
  <c r="L794" i="24"/>
  <c r="G794" i="24"/>
  <c r="F794" i="24"/>
  <c r="E794" i="24"/>
  <c r="D794" i="24"/>
  <c r="C794" i="24"/>
  <c r="B794" i="24"/>
  <c r="A794" i="24"/>
  <c r="W793" i="24"/>
  <c r="U793" i="24"/>
  <c r="T793" i="24"/>
  <c r="S793" i="24"/>
  <c r="R793" i="24"/>
  <c r="Q793" i="24"/>
  <c r="O793" i="24"/>
  <c r="L793" i="24"/>
  <c r="G793" i="24"/>
  <c r="F793" i="24"/>
  <c r="E793" i="24"/>
  <c r="D793" i="24"/>
  <c r="C793" i="24"/>
  <c r="B793" i="24"/>
  <c r="A793" i="24"/>
  <c r="W792" i="24"/>
  <c r="U792" i="24"/>
  <c r="T792" i="24"/>
  <c r="S792" i="24"/>
  <c r="R792" i="24"/>
  <c r="Q792" i="24"/>
  <c r="O792" i="24"/>
  <c r="L792" i="24"/>
  <c r="I792" i="24"/>
  <c r="H792" i="24"/>
  <c r="G792" i="24"/>
  <c r="F792" i="24"/>
  <c r="E792" i="24"/>
  <c r="D792" i="24"/>
  <c r="C792" i="24"/>
  <c r="B792" i="24"/>
  <c r="A792" i="24"/>
  <c r="W791" i="24"/>
  <c r="U791" i="24"/>
  <c r="T791" i="24"/>
  <c r="S791" i="24"/>
  <c r="R791" i="24"/>
  <c r="Q791" i="24"/>
  <c r="O791" i="24"/>
  <c r="L791" i="24"/>
  <c r="H791" i="24"/>
  <c r="G791" i="24"/>
  <c r="F791" i="24"/>
  <c r="E791" i="24"/>
  <c r="D791" i="24"/>
  <c r="C791" i="24"/>
  <c r="B791" i="24"/>
  <c r="A791" i="24"/>
  <c r="W790" i="24"/>
  <c r="U790" i="24"/>
  <c r="T790" i="24"/>
  <c r="S790" i="24"/>
  <c r="R790" i="24"/>
  <c r="Q790" i="24"/>
  <c r="O790" i="24"/>
  <c r="M790" i="24"/>
  <c r="L790" i="24"/>
  <c r="G790" i="24"/>
  <c r="F790" i="24"/>
  <c r="E790" i="24"/>
  <c r="D790" i="24"/>
  <c r="C790" i="24"/>
  <c r="B790" i="24"/>
  <c r="A790" i="24"/>
  <c r="W789" i="24"/>
  <c r="U789" i="24"/>
  <c r="T789" i="24"/>
  <c r="S789" i="24"/>
  <c r="R789" i="24"/>
  <c r="Q789" i="24"/>
  <c r="O789" i="24"/>
  <c r="L789" i="24"/>
  <c r="I789" i="24"/>
  <c r="H789" i="24"/>
  <c r="G789" i="24"/>
  <c r="F789" i="24"/>
  <c r="E789" i="24"/>
  <c r="D789" i="24"/>
  <c r="C789" i="24"/>
  <c r="B789" i="24"/>
  <c r="A789" i="24"/>
  <c r="W788" i="24"/>
  <c r="U788" i="24"/>
  <c r="T788" i="24"/>
  <c r="S788" i="24"/>
  <c r="R788" i="24"/>
  <c r="Q788" i="24"/>
  <c r="O788" i="24"/>
  <c r="M788" i="24"/>
  <c r="L788" i="24"/>
  <c r="F788" i="24"/>
  <c r="E788" i="24"/>
  <c r="D788" i="24"/>
  <c r="C788" i="24"/>
  <c r="B788" i="24"/>
  <c r="A788" i="24"/>
  <c r="W787" i="24"/>
  <c r="U787" i="24"/>
  <c r="T787" i="24"/>
  <c r="S787" i="24"/>
  <c r="R787" i="24"/>
  <c r="Q787" i="24"/>
  <c r="O787" i="24"/>
  <c r="L787" i="24"/>
  <c r="G787" i="24"/>
  <c r="F787" i="24"/>
  <c r="E787" i="24"/>
  <c r="D787" i="24"/>
  <c r="C787" i="24"/>
  <c r="B787" i="24"/>
  <c r="A787" i="24"/>
  <c r="W786" i="24"/>
  <c r="U786" i="24"/>
  <c r="T786" i="24"/>
  <c r="S786" i="24"/>
  <c r="R786" i="24"/>
  <c r="Q786" i="24"/>
  <c r="O786" i="24"/>
  <c r="L786" i="24"/>
  <c r="I786" i="24"/>
  <c r="H786" i="24"/>
  <c r="G786" i="24"/>
  <c r="F786" i="24"/>
  <c r="E786" i="24"/>
  <c r="D786" i="24"/>
  <c r="C786" i="24"/>
  <c r="B786" i="24"/>
  <c r="A786" i="24"/>
  <c r="W785" i="24"/>
  <c r="U785" i="24"/>
  <c r="T785" i="24"/>
  <c r="S785" i="24"/>
  <c r="R785" i="24"/>
  <c r="Q785" i="24"/>
  <c r="O785" i="24"/>
  <c r="L785" i="24"/>
  <c r="G785" i="24"/>
  <c r="F785" i="24"/>
  <c r="E785" i="24"/>
  <c r="D785" i="24"/>
  <c r="C785" i="24"/>
  <c r="B785" i="24"/>
  <c r="A785" i="24"/>
  <c r="W784" i="24"/>
  <c r="V784" i="24"/>
  <c r="U784" i="24"/>
  <c r="T784" i="24"/>
  <c r="S784" i="24"/>
  <c r="R784" i="24"/>
  <c r="Q784" i="24"/>
  <c r="O784" i="24"/>
  <c r="L784" i="24"/>
  <c r="K784" i="24"/>
  <c r="J784" i="24"/>
  <c r="I784" i="24"/>
  <c r="H784" i="24"/>
  <c r="G784" i="24"/>
  <c r="F784" i="24"/>
  <c r="E784" i="24"/>
  <c r="D784" i="24"/>
  <c r="C784" i="24"/>
  <c r="B784" i="24"/>
  <c r="A784" i="24"/>
  <c r="W783" i="24"/>
  <c r="U783" i="24"/>
  <c r="T783" i="24"/>
  <c r="S783" i="24"/>
  <c r="R783" i="24"/>
  <c r="Q783" i="24"/>
  <c r="O783" i="24"/>
  <c r="L783" i="24"/>
  <c r="H783" i="24"/>
  <c r="G783" i="24"/>
  <c r="F783" i="24"/>
  <c r="E783" i="24"/>
  <c r="D783" i="24"/>
  <c r="C783" i="24"/>
  <c r="B783" i="24"/>
  <c r="A783" i="24"/>
  <c r="W782" i="24"/>
  <c r="U782" i="24"/>
  <c r="T782" i="24"/>
  <c r="S782" i="24"/>
  <c r="R782" i="24"/>
  <c r="Q782" i="24"/>
  <c r="O782" i="24"/>
  <c r="L782" i="24"/>
  <c r="F782" i="24"/>
  <c r="E782" i="24"/>
  <c r="D782" i="24"/>
  <c r="C782" i="24"/>
  <c r="B782" i="24"/>
  <c r="A782" i="24"/>
  <c r="W781" i="24"/>
  <c r="U781" i="24"/>
  <c r="T781" i="24"/>
  <c r="S781" i="24"/>
  <c r="R781" i="24"/>
  <c r="Q781" i="24"/>
  <c r="O781" i="24"/>
  <c r="L781" i="24"/>
  <c r="H781" i="24"/>
  <c r="G781" i="24"/>
  <c r="F781" i="24"/>
  <c r="E781" i="24"/>
  <c r="D781" i="24"/>
  <c r="C781" i="24"/>
  <c r="B781" i="24"/>
  <c r="A781" i="24"/>
  <c r="W780" i="24"/>
  <c r="U780" i="24"/>
  <c r="T780" i="24"/>
  <c r="S780" i="24"/>
  <c r="R780" i="24"/>
  <c r="Q780" i="24"/>
  <c r="O780" i="24"/>
  <c r="M780" i="24"/>
  <c r="L780" i="24"/>
  <c r="H780" i="24"/>
  <c r="G780" i="24"/>
  <c r="F780" i="24"/>
  <c r="E780" i="24"/>
  <c r="D780" i="24"/>
  <c r="C780" i="24"/>
  <c r="B780" i="24"/>
  <c r="A780" i="24"/>
  <c r="W779" i="24"/>
  <c r="U779" i="24"/>
  <c r="T779" i="24"/>
  <c r="S779" i="24"/>
  <c r="R779" i="24"/>
  <c r="Q779" i="24"/>
  <c r="O779" i="24"/>
  <c r="L779" i="24"/>
  <c r="H779" i="24"/>
  <c r="G779" i="24"/>
  <c r="F779" i="24"/>
  <c r="E779" i="24"/>
  <c r="D779" i="24"/>
  <c r="C779" i="24"/>
  <c r="B779" i="24"/>
  <c r="A779" i="24"/>
  <c r="W778" i="24"/>
  <c r="U778" i="24"/>
  <c r="T778" i="24"/>
  <c r="S778" i="24"/>
  <c r="R778" i="24"/>
  <c r="Q778" i="24"/>
  <c r="O778" i="24"/>
  <c r="L778" i="24"/>
  <c r="F778" i="24"/>
  <c r="E778" i="24"/>
  <c r="D778" i="24"/>
  <c r="C778" i="24"/>
  <c r="B778" i="24"/>
  <c r="A778" i="24"/>
  <c r="W777" i="24"/>
  <c r="U777" i="24"/>
  <c r="T777" i="24"/>
  <c r="S777" i="24"/>
  <c r="R777" i="24"/>
  <c r="Q777" i="24"/>
  <c r="O777" i="24"/>
  <c r="L777" i="24"/>
  <c r="I777" i="24"/>
  <c r="H777" i="24"/>
  <c r="G777" i="24"/>
  <c r="F777" i="24"/>
  <c r="E777" i="24"/>
  <c r="D777" i="24"/>
  <c r="C777" i="24"/>
  <c r="B777" i="24"/>
  <c r="A777" i="24"/>
  <c r="W776" i="24"/>
  <c r="V776" i="24"/>
  <c r="U776" i="24"/>
  <c r="T776" i="24"/>
  <c r="S776" i="24"/>
  <c r="R776" i="24"/>
  <c r="Q776" i="24"/>
  <c r="O776" i="24"/>
  <c r="L776" i="24"/>
  <c r="H776" i="24"/>
  <c r="G776" i="24"/>
  <c r="F776" i="24"/>
  <c r="E776" i="24"/>
  <c r="D776" i="24"/>
  <c r="C776" i="24"/>
  <c r="B776" i="24"/>
  <c r="A776" i="24"/>
  <c r="W775" i="24"/>
  <c r="U775" i="24"/>
  <c r="T775" i="24"/>
  <c r="S775" i="24"/>
  <c r="R775" i="24"/>
  <c r="Q775" i="24"/>
  <c r="O775" i="24"/>
  <c r="L775" i="24"/>
  <c r="F775" i="24"/>
  <c r="E775" i="24"/>
  <c r="D775" i="24"/>
  <c r="C775" i="24"/>
  <c r="B775" i="24"/>
  <c r="A775" i="24"/>
  <c r="W774" i="24"/>
  <c r="U774" i="24"/>
  <c r="T774" i="24"/>
  <c r="S774" i="24"/>
  <c r="R774" i="24"/>
  <c r="Q774" i="24"/>
  <c r="O774" i="24"/>
  <c r="L774" i="24"/>
  <c r="H774" i="24"/>
  <c r="G774" i="24"/>
  <c r="F774" i="24"/>
  <c r="E774" i="24"/>
  <c r="D774" i="24"/>
  <c r="C774" i="24"/>
  <c r="B774" i="24"/>
  <c r="A774" i="24"/>
  <c r="W773" i="24"/>
  <c r="U773" i="24"/>
  <c r="T773" i="24"/>
  <c r="S773" i="24"/>
  <c r="R773" i="24"/>
  <c r="Q773" i="24"/>
  <c r="O773" i="24"/>
  <c r="L773" i="24"/>
  <c r="G773" i="24"/>
  <c r="F773" i="24"/>
  <c r="E773" i="24"/>
  <c r="D773" i="24"/>
  <c r="C773" i="24"/>
  <c r="B773" i="24"/>
  <c r="A773" i="24"/>
  <c r="W772" i="24"/>
  <c r="U772" i="24"/>
  <c r="T772" i="24"/>
  <c r="S772" i="24"/>
  <c r="R772" i="24"/>
  <c r="Q772" i="24"/>
  <c r="O772" i="24"/>
  <c r="L772" i="24"/>
  <c r="G772" i="24"/>
  <c r="F772" i="24"/>
  <c r="E772" i="24"/>
  <c r="D772" i="24"/>
  <c r="C772" i="24"/>
  <c r="B772" i="24"/>
  <c r="A772" i="24"/>
  <c r="W771" i="24"/>
  <c r="U771" i="24"/>
  <c r="T771" i="24"/>
  <c r="S771" i="24"/>
  <c r="R771" i="24"/>
  <c r="Q771" i="24"/>
  <c r="O771" i="24"/>
  <c r="L771" i="24"/>
  <c r="G771" i="24"/>
  <c r="F771" i="24"/>
  <c r="E771" i="24"/>
  <c r="D771" i="24"/>
  <c r="C771" i="24"/>
  <c r="B771" i="24"/>
  <c r="A771" i="24"/>
  <c r="W770" i="24"/>
  <c r="U770" i="24"/>
  <c r="T770" i="24"/>
  <c r="S770" i="24"/>
  <c r="R770" i="24"/>
  <c r="Q770" i="24"/>
  <c r="O770" i="24"/>
  <c r="L770" i="24"/>
  <c r="F770" i="24"/>
  <c r="E770" i="24"/>
  <c r="D770" i="24"/>
  <c r="C770" i="24"/>
  <c r="B770" i="24"/>
  <c r="A770" i="24"/>
  <c r="W769" i="24"/>
  <c r="U769" i="24"/>
  <c r="T769" i="24"/>
  <c r="S769" i="24"/>
  <c r="R769" i="24"/>
  <c r="Q769" i="24"/>
  <c r="O769" i="24"/>
  <c r="L769" i="24"/>
  <c r="G769" i="24"/>
  <c r="F769" i="24"/>
  <c r="E769" i="24"/>
  <c r="D769" i="24"/>
  <c r="C769" i="24"/>
  <c r="B769" i="24"/>
  <c r="A769" i="24"/>
  <c r="W768" i="24"/>
  <c r="U768" i="24"/>
  <c r="T768" i="24"/>
  <c r="S768" i="24"/>
  <c r="R768" i="24"/>
  <c r="Q768" i="24"/>
  <c r="O768" i="24"/>
  <c r="L768" i="24"/>
  <c r="F768" i="24"/>
  <c r="E768" i="24"/>
  <c r="D768" i="24"/>
  <c r="C768" i="24"/>
  <c r="B768" i="24"/>
  <c r="A768" i="24"/>
  <c r="W767" i="24"/>
  <c r="U767" i="24"/>
  <c r="T767" i="24"/>
  <c r="S767" i="24"/>
  <c r="R767" i="24"/>
  <c r="Q767" i="24"/>
  <c r="O767" i="24"/>
  <c r="L767" i="24"/>
  <c r="F767" i="24"/>
  <c r="E767" i="24"/>
  <c r="D767" i="24"/>
  <c r="C767" i="24"/>
  <c r="B767" i="24"/>
  <c r="A767" i="24"/>
  <c r="W766" i="24"/>
  <c r="U766" i="24"/>
  <c r="T766" i="24"/>
  <c r="S766" i="24"/>
  <c r="R766" i="24"/>
  <c r="Q766" i="24"/>
  <c r="O766" i="24"/>
  <c r="L766" i="24"/>
  <c r="G766" i="24"/>
  <c r="F766" i="24"/>
  <c r="E766" i="24"/>
  <c r="D766" i="24"/>
  <c r="C766" i="24"/>
  <c r="B766" i="24"/>
  <c r="A766" i="24"/>
  <c r="W765" i="24"/>
  <c r="U765" i="24"/>
  <c r="T765" i="24"/>
  <c r="S765" i="24"/>
  <c r="R765" i="24"/>
  <c r="Q765" i="24"/>
  <c r="O765" i="24"/>
  <c r="L765" i="24"/>
  <c r="G765" i="24"/>
  <c r="F765" i="24"/>
  <c r="E765" i="24"/>
  <c r="D765" i="24"/>
  <c r="C765" i="24"/>
  <c r="B765" i="24"/>
  <c r="A765" i="24"/>
  <c r="W764" i="24"/>
  <c r="U764" i="24"/>
  <c r="T764" i="24"/>
  <c r="S764" i="24"/>
  <c r="R764" i="24"/>
  <c r="Q764" i="24"/>
  <c r="O764" i="24"/>
  <c r="L764" i="24"/>
  <c r="K764" i="24"/>
  <c r="J764" i="24"/>
  <c r="I764" i="24"/>
  <c r="H764" i="24"/>
  <c r="G764" i="24"/>
  <c r="F764" i="24"/>
  <c r="E764" i="24"/>
  <c r="D764" i="24"/>
  <c r="C764" i="24"/>
  <c r="B764" i="24"/>
  <c r="A764" i="24"/>
  <c r="W763" i="24"/>
  <c r="U763" i="24"/>
  <c r="T763" i="24"/>
  <c r="S763" i="24"/>
  <c r="R763" i="24"/>
  <c r="Q763" i="24"/>
  <c r="O763" i="24"/>
  <c r="L763" i="24"/>
  <c r="H763" i="24"/>
  <c r="G763" i="24"/>
  <c r="F763" i="24"/>
  <c r="E763" i="24"/>
  <c r="D763" i="24"/>
  <c r="C763" i="24"/>
  <c r="B763" i="24"/>
  <c r="A763" i="24"/>
  <c r="W762" i="24"/>
  <c r="U762" i="24"/>
  <c r="T762" i="24"/>
  <c r="S762" i="24"/>
  <c r="R762" i="24"/>
  <c r="Q762" i="24"/>
  <c r="O762" i="24"/>
  <c r="M762" i="24"/>
  <c r="L762" i="24"/>
  <c r="F762" i="24"/>
  <c r="E762" i="24"/>
  <c r="D762" i="24"/>
  <c r="C762" i="24"/>
  <c r="B762" i="24"/>
  <c r="A762" i="24"/>
  <c r="W761" i="24"/>
  <c r="U761" i="24"/>
  <c r="T761" i="24"/>
  <c r="S761" i="24"/>
  <c r="R761" i="24"/>
  <c r="Q761" i="24"/>
  <c r="O761" i="24"/>
  <c r="L761" i="24"/>
  <c r="I761" i="24"/>
  <c r="H761" i="24"/>
  <c r="G761" i="24"/>
  <c r="F761" i="24"/>
  <c r="E761" i="24"/>
  <c r="D761" i="24"/>
  <c r="C761" i="24"/>
  <c r="B761" i="24"/>
  <c r="A761" i="24"/>
  <c r="W760" i="24"/>
  <c r="U760" i="24"/>
  <c r="T760" i="24"/>
  <c r="S760" i="24"/>
  <c r="R760" i="24"/>
  <c r="Q760" i="24"/>
  <c r="O760" i="24"/>
  <c r="L760" i="24"/>
  <c r="I760" i="24"/>
  <c r="H760" i="24"/>
  <c r="G760" i="24"/>
  <c r="F760" i="24"/>
  <c r="E760" i="24"/>
  <c r="D760" i="24"/>
  <c r="C760" i="24"/>
  <c r="B760" i="24"/>
  <c r="A760" i="24"/>
  <c r="W759" i="24"/>
  <c r="U759" i="24"/>
  <c r="T759" i="24"/>
  <c r="S759" i="24"/>
  <c r="R759" i="24"/>
  <c r="Q759" i="24"/>
  <c r="O759" i="24"/>
  <c r="L759" i="24"/>
  <c r="F759" i="24"/>
  <c r="E759" i="24"/>
  <c r="D759" i="24"/>
  <c r="C759" i="24"/>
  <c r="B759" i="24"/>
  <c r="A759" i="24"/>
  <c r="W758" i="24"/>
  <c r="U758" i="24"/>
  <c r="T758" i="24"/>
  <c r="S758" i="24"/>
  <c r="R758" i="24"/>
  <c r="Q758" i="24"/>
  <c r="O758" i="24"/>
  <c r="L758" i="24"/>
  <c r="G758" i="24"/>
  <c r="F758" i="24"/>
  <c r="E758" i="24"/>
  <c r="D758" i="24"/>
  <c r="C758" i="24"/>
  <c r="B758" i="24"/>
  <c r="A758" i="24"/>
  <c r="W757" i="24"/>
  <c r="U757" i="24"/>
  <c r="T757" i="24"/>
  <c r="S757" i="24"/>
  <c r="R757" i="24"/>
  <c r="Q757" i="24"/>
  <c r="O757" i="24"/>
  <c r="N757" i="24"/>
  <c r="M757" i="24"/>
  <c r="L757" i="24"/>
  <c r="I757" i="24"/>
  <c r="H757" i="24"/>
  <c r="G757" i="24"/>
  <c r="F757" i="24"/>
  <c r="E757" i="24"/>
  <c r="D757" i="24"/>
  <c r="C757" i="24"/>
  <c r="B757" i="24"/>
  <c r="A757" i="24"/>
  <c r="W756" i="24"/>
  <c r="U756" i="24"/>
  <c r="T756" i="24"/>
  <c r="S756" i="24"/>
  <c r="R756" i="24"/>
  <c r="Q756" i="24"/>
  <c r="O756" i="24"/>
  <c r="L756" i="24"/>
  <c r="G756" i="24"/>
  <c r="F756" i="24"/>
  <c r="E756" i="24"/>
  <c r="D756" i="24"/>
  <c r="C756" i="24"/>
  <c r="B756" i="24"/>
  <c r="A756" i="24"/>
  <c r="W755" i="24"/>
  <c r="U755" i="24"/>
  <c r="T755" i="24"/>
  <c r="S755" i="24"/>
  <c r="R755" i="24"/>
  <c r="Q755" i="24"/>
  <c r="O755" i="24"/>
  <c r="L755" i="24"/>
  <c r="H755" i="24"/>
  <c r="G755" i="24"/>
  <c r="F755" i="24"/>
  <c r="E755" i="24"/>
  <c r="D755" i="24"/>
  <c r="C755" i="24"/>
  <c r="B755" i="24"/>
  <c r="A755" i="24"/>
  <c r="W754" i="24"/>
  <c r="U754" i="24"/>
  <c r="T754" i="24"/>
  <c r="S754" i="24"/>
  <c r="R754" i="24"/>
  <c r="Q754" i="24"/>
  <c r="O754" i="24"/>
  <c r="L754" i="24"/>
  <c r="G754" i="24"/>
  <c r="F754" i="24"/>
  <c r="E754" i="24"/>
  <c r="D754" i="24"/>
  <c r="C754" i="24"/>
  <c r="B754" i="24"/>
  <c r="A754" i="24"/>
  <c r="W753" i="24"/>
  <c r="U753" i="24"/>
  <c r="T753" i="24"/>
  <c r="S753" i="24"/>
  <c r="R753" i="24"/>
  <c r="Q753" i="24"/>
  <c r="O753" i="24"/>
  <c r="L753" i="24"/>
  <c r="G753" i="24"/>
  <c r="F753" i="24"/>
  <c r="E753" i="24"/>
  <c r="D753" i="24"/>
  <c r="C753" i="24"/>
  <c r="B753" i="24"/>
  <c r="A753" i="24"/>
  <c r="W752" i="24"/>
  <c r="U752" i="24"/>
  <c r="T752" i="24"/>
  <c r="S752" i="24"/>
  <c r="R752" i="24"/>
  <c r="Q752" i="24"/>
  <c r="O752" i="24"/>
  <c r="L752" i="24"/>
  <c r="F752" i="24"/>
  <c r="E752" i="24"/>
  <c r="D752" i="24"/>
  <c r="C752" i="24"/>
  <c r="B752" i="24"/>
  <c r="A752" i="24"/>
  <c r="W751" i="24"/>
  <c r="U751" i="24"/>
  <c r="T751" i="24"/>
  <c r="S751" i="24"/>
  <c r="R751" i="24"/>
  <c r="Q751" i="24"/>
  <c r="O751" i="24"/>
  <c r="L751" i="24"/>
  <c r="F751" i="24"/>
  <c r="E751" i="24"/>
  <c r="D751" i="24"/>
  <c r="C751" i="24"/>
  <c r="B751" i="24"/>
  <c r="A751" i="24"/>
  <c r="W750" i="24"/>
  <c r="U750" i="24"/>
  <c r="T750" i="24"/>
  <c r="S750" i="24"/>
  <c r="R750" i="24"/>
  <c r="Q750" i="24"/>
  <c r="O750" i="24"/>
  <c r="L750" i="24"/>
  <c r="G750" i="24"/>
  <c r="F750" i="24"/>
  <c r="E750" i="24"/>
  <c r="D750" i="24"/>
  <c r="C750" i="24"/>
  <c r="B750" i="24"/>
  <c r="A750" i="24"/>
  <c r="W749" i="24"/>
  <c r="U749" i="24"/>
  <c r="T749" i="24"/>
  <c r="S749" i="24"/>
  <c r="R749" i="24"/>
  <c r="Q749" i="24"/>
  <c r="O749" i="24"/>
  <c r="L749" i="24"/>
  <c r="G749" i="24"/>
  <c r="F749" i="24"/>
  <c r="E749" i="24"/>
  <c r="D749" i="24"/>
  <c r="C749" i="24"/>
  <c r="B749" i="24"/>
  <c r="A749" i="24"/>
  <c r="W748" i="24"/>
  <c r="V748" i="24"/>
  <c r="U748" i="24"/>
  <c r="T748" i="24"/>
  <c r="S748" i="24"/>
  <c r="R748" i="24"/>
  <c r="Q748" i="24"/>
  <c r="O748" i="24"/>
  <c r="L748" i="24"/>
  <c r="I748" i="24"/>
  <c r="H748" i="24"/>
  <c r="G748" i="24"/>
  <c r="F748" i="24"/>
  <c r="E748" i="24"/>
  <c r="D748" i="24"/>
  <c r="C748" i="24"/>
  <c r="B748" i="24"/>
  <c r="A748" i="24"/>
  <c r="W747" i="24"/>
  <c r="U747" i="24"/>
  <c r="T747" i="24"/>
  <c r="S747" i="24"/>
  <c r="R747" i="24"/>
  <c r="Q747" i="24"/>
  <c r="O747" i="24"/>
  <c r="M747" i="24"/>
  <c r="L747" i="24"/>
  <c r="H747" i="24"/>
  <c r="G747" i="24"/>
  <c r="F747" i="24"/>
  <c r="E747" i="24"/>
  <c r="D747" i="24"/>
  <c r="C747" i="24"/>
  <c r="B747" i="24"/>
  <c r="A747" i="24"/>
  <c r="W746" i="24"/>
  <c r="U746" i="24"/>
  <c r="T746" i="24"/>
  <c r="S746" i="24"/>
  <c r="R746" i="24"/>
  <c r="Q746" i="24"/>
  <c r="O746" i="24"/>
  <c r="L746" i="24"/>
  <c r="G746" i="24"/>
  <c r="F746" i="24"/>
  <c r="E746" i="24"/>
  <c r="D746" i="24"/>
  <c r="C746" i="24"/>
  <c r="B746" i="24"/>
  <c r="A746" i="24"/>
  <c r="W745" i="24"/>
  <c r="U745" i="24"/>
  <c r="T745" i="24"/>
  <c r="S745" i="24"/>
  <c r="R745" i="24"/>
  <c r="Q745" i="24"/>
  <c r="O745" i="24"/>
  <c r="L745" i="24"/>
  <c r="I745" i="24"/>
  <c r="H745" i="24"/>
  <c r="G745" i="24"/>
  <c r="F745" i="24"/>
  <c r="E745" i="24"/>
  <c r="D745" i="24"/>
  <c r="C745" i="24"/>
  <c r="B745" i="24"/>
  <c r="A745" i="24"/>
  <c r="W744" i="24"/>
  <c r="U744" i="24"/>
  <c r="T744" i="24"/>
  <c r="S744" i="24"/>
  <c r="R744" i="24"/>
  <c r="Q744" i="24"/>
  <c r="O744" i="24"/>
  <c r="L744" i="24"/>
  <c r="G744" i="24"/>
  <c r="F744" i="24"/>
  <c r="E744" i="24"/>
  <c r="D744" i="24"/>
  <c r="C744" i="24"/>
  <c r="B744" i="24"/>
  <c r="A744" i="24"/>
  <c r="W743" i="24"/>
  <c r="U743" i="24"/>
  <c r="T743" i="24"/>
  <c r="S743" i="24"/>
  <c r="R743" i="24"/>
  <c r="Q743" i="24"/>
  <c r="O743" i="24"/>
  <c r="L743" i="24"/>
  <c r="H743" i="24"/>
  <c r="G743" i="24"/>
  <c r="F743" i="24"/>
  <c r="E743" i="24"/>
  <c r="D743" i="24"/>
  <c r="C743" i="24"/>
  <c r="B743" i="24"/>
  <c r="A743" i="24"/>
  <c r="W742" i="24"/>
  <c r="U742" i="24"/>
  <c r="T742" i="24"/>
  <c r="S742" i="24"/>
  <c r="R742" i="24"/>
  <c r="Q742" i="24"/>
  <c r="O742" i="24"/>
  <c r="L742" i="24"/>
  <c r="G742" i="24"/>
  <c r="F742" i="24"/>
  <c r="E742" i="24"/>
  <c r="D742" i="24"/>
  <c r="C742" i="24"/>
  <c r="B742" i="24"/>
  <c r="A742" i="24"/>
  <c r="W741" i="24"/>
  <c r="U741" i="24"/>
  <c r="T741" i="24"/>
  <c r="S741" i="24"/>
  <c r="R741" i="24"/>
  <c r="Q741" i="24"/>
  <c r="O741" i="24"/>
  <c r="L741" i="24"/>
  <c r="F741" i="24"/>
  <c r="E741" i="24"/>
  <c r="D741" i="24"/>
  <c r="C741" i="24"/>
  <c r="B741" i="24"/>
  <c r="A741" i="24"/>
  <c r="W740" i="24"/>
  <c r="U740" i="24"/>
  <c r="T740" i="24"/>
  <c r="S740" i="24"/>
  <c r="R740" i="24"/>
  <c r="Q740" i="24"/>
  <c r="O740" i="24"/>
  <c r="L740" i="24"/>
  <c r="G740" i="24"/>
  <c r="F740" i="24"/>
  <c r="E740" i="24"/>
  <c r="D740" i="24"/>
  <c r="C740" i="24"/>
  <c r="B740" i="24"/>
  <c r="A740" i="24"/>
  <c r="W739" i="24"/>
  <c r="V739" i="24"/>
  <c r="U739" i="24"/>
  <c r="T739" i="24"/>
  <c r="S739" i="24"/>
  <c r="R739" i="24"/>
  <c r="Q739" i="24"/>
  <c r="O739" i="24"/>
  <c r="L739" i="24"/>
  <c r="F739" i="24"/>
  <c r="E739" i="24"/>
  <c r="D739" i="24"/>
  <c r="C739" i="24"/>
  <c r="B739" i="24"/>
  <c r="A739" i="24"/>
  <c r="W738" i="24"/>
  <c r="U738" i="24"/>
  <c r="T738" i="24"/>
  <c r="S738" i="24"/>
  <c r="R738" i="24"/>
  <c r="Q738" i="24"/>
  <c r="O738" i="24"/>
  <c r="L738" i="24"/>
  <c r="G738" i="24"/>
  <c r="F738" i="24"/>
  <c r="E738" i="24"/>
  <c r="D738" i="24"/>
  <c r="C738" i="24"/>
  <c r="B738" i="24"/>
  <c r="A738" i="24"/>
  <c r="W737" i="24"/>
  <c r="U737" i="24"/>
  <c r="T737" i="24"/>
  <c r="S737" i="24"/>
  <c r="R737" i="24"/>
  <c r="Q737" i="24"/>
  <c r="O737" i="24"/>
  <c r="L737" i="24"/>
  <c r="I737" i="24"/>
  <c r="H737" i="24"/>
  <c r="G737" i="24"/>
  <c r="F737" i="24"/>
  <c r="E737" i="24"/>
  <c r="D737" i="24"/>
  <c r="C737" i="24"/>
  <c r="B737" i="24"/>
  <c r="A737" i="24"/>
  <c r="W736" i="24"/>
  <c r="U736" i="24"/>
  <c r="T736" i="24"/>
  <c r="S736" i="24"/>
  <c r="R736" i="24"/>
  <c r="Q736" i="24"/>
  <c r="O736" i="24"/>
  <c r="L736" i="24"/>
  <c r="H736" i="24"/>
  <c r="G736" i="24"/>
  <c r="F736" i="24"/>
  <c r="E736" i="24"/>
  <c r="D736" i="24"/>
  <c r="C736" i="24"/>
  <c r="B736" i="24"/>
  <c r="A736" i="24"/>
  <c r="W735" i="24"/>
  <c r="U735" i="24"/>
  <c r="T735" i="24"/>
  <c r="S735" i="24"/>
  <c r="R735" i="24"/>
  <c r="Q735" i="24"/>
  <c r="O735" i="24"/>
  <c r="L735" i="24"/>
  <c r="H735" i="24"/>
  <c r="G735" i="24"/>
  <c r="F735" i="24"/>
  <c r="E735" i="24"/>
  <c r="D735" i="24"/>
  <c r="C735" i="24"/>
  <c r="B735" i="24"/>
  <c r="A735" i="24"/>
  <c r="W734" i="24"/>
  <c r="U734" i="24"/>
  <c r="T734" i="24"/>
  <c r="S734" i="24"/>
  <c r="R734" i="24"/>
  <c r="Q734" i="24"/>
  <c r="O734" i="24"/>
  <c r="L734" i="24"/>
  <c r="H734" i="24"/>
  <c r="G734" i="24"/>
  <c r="F734" i="24"/>
  <c r="E734" i="24"/>
  <c r="D734" i="24"/>
  <c r="C734" i="24"/>
  <c r="B734" i="24"/>
  <c r="A734" i="24"/>
  <c r="W733" i="24"/>
  <c r="U733" i="24"/>
  <c r="T733" i="24"/>
  <c r="S733" i="24"/>
  <c r="R733" i="24"/>
  <c r="Q733" i="24"/>
  <c r="O733" i="24"/>
  <c r="L733" i="24"/>
  <c r="G733" i="24"/>
  <c r="F733" i="24"/>
  <c r="E733" i="24"/>
  <c r="D733" i="24"/>
  <c r="C733" i="24"/>
  <c r="B733" i="24"/>
  <c r="A733" i="24"/>
  <c r="W732" i="24"/>
  <c r="U732" i="24"/>
  <c r="T732" i="24"/>
  <c r="S732" i="24"/>
  <c r="R732" i="24"/>
  <c r="Q732" i="24"/>
  <c r="O732" i="24"/>
  <c r="L732" i="24"/>
  <c r="F732" i="24"/>
  <c r="E732" i="24"/>
  <c r="D732" i="24"/>
  <c r="C732" i="24"/>
  <c r="B732" i="24"/>
  <c r="A732" i="24"/>
  <c r="W731" i="24"/>
  <c r="U731" i="24"/>
  <c r="T731" i="24"/>
  <c r="S731" i="24"/>
  <c r="R731" i="24"/>
  <c r="Q731" i="24"/>
  <c r="O731" i="24"/>
  <c r="L731" i="24"/>
  <c r="F731" i="24"/>
  <c r="E731" i="24"/>
  <c r="D731" i="24"/>
  <c r="C731" i="24"/>
  <c r="B731" i="24"/>
  <c r="A731" i="24"/>
  <c r="W730" i="24"/>
  <c r="U730" i="24"/>
  <c r="T730" i="24"/>
  <c r="S730" i="24"/>
  <c r="R730" i="24"/>
  <c r="Q730" i="24"/>
  <c r="O730" i="24"/>
  <c r="L730" i="24"/>
  <c r="I730" i="24"/>
  <c r="H730" i="24"/>
  <c r="G730" i="24"/>
  <c r="F730" i="24"/>
  <c r="E730" i="24"/>
  <c r="D730" i="24"/>
  <c r="C730" i="24"/>
  <c r="B730" i="24"/>
  <c r="A730" i="24"/>
  <c r="W729" i="24"/>
  <c r="U729" i="24"/>
  <c r="T729" i="24"/>
  <c r="S729" i="24"/>
  <c r="R729" i="24"/>
  <c r="Q729" i="24"/>
  <c r="O729" i="24"/>
  <c r="L729" i="24"/>
  <c r="H729" i="24"/>
  <c r="G729" i="24"/>
  <c r="F729" i="24"/>
  <c r="E729" i="24"/>
  <c r="D729" i="24"/>
  <c r="C729" i="24"/>
  <c r="B729" i="24"/>
  <c r="A729" i="24"/>
  <c r="W728" i="24"/>
  <c r="U728" i="24"/>
  <c r="T728" i="24"/>
  <c r="S728" i="24"/>
  <c r="R728" i="24"/>
  <c r="Q728" i="24"/>
  <c r="O728" i="24"/>
  <c r="L728" i="24"/>
  <c r="G728" i="24"/>
  <c r="F728" i="24"/>
  <c r="E728" i="24"/>
  <c r="D728" i="24"/>
  <c r="C728" i="24"/>
  <c r="B728" i="24"/>
  <c r="A728" i="24"/>
  <c r="W727" i="24"/>
  <c r="U727" i="24"/>
  <c r="T727" i="24"/>
  <c r="S727" i="24"/>
  <c r="R727" i="24"/>
  <c r="Q727" i="24"/>
  <c r="O727" i="24"/>
  <c r="M727" i="24"/>
  <c r="L727" i="24"/>
  <c r="F727" i="24"/>
  <c r="E727" i="24"/>
  <c r="D727" i="24"/>
  <c r="C727" i="24"/>
  <c r="B727" i="24"/>
  <c r="A727" i="24"/>
  <c r="W726" i="24"/>
  <c r="U726" i="24"/>
  <c r="T726" i="24"/>
  <c r="S726" i="24"/>
  <c r="R726" i="24"/>
  <c r="Q726" i="24"/>
  <c r="O726" i="24"/>
  <c r="L726" i="24"/>
  <c r="H726" i="24"/>
  <c r="G726" i="24"/>
  <c r="F726" i="24"/>
  <c r="E726" i="24"/>
  <c r="D726" i="24"/>
  <c r="C726" i="24"/>
  <c r="B726" i="24"/>
  <c r="A726" i="24"/>
  <c r="W725" i="24"/>
  <c r="U725" i="24"/>
  <c r="T725" i="24"/>
  <c r="S725" i="24"/>
  <c r="R725" i="24"/>
  <c r="Q725" i="24"/>
  <c r="O725" i="24"/>
  <c r="L725" i="24"/>
  <c r="G725" i="24"/>
  <c r="F725" i="24"/>
  <c r="E725" i="24"/>
  <c r="D725" i="24"/>
  <c r="C725" i="24"/>
  <c r="B725" i="24"/>
  <c r="A725" i="24"/>
  <c r="W724" i="24"/>
  <c r="U724" i="24"/>
  <c r="T724" i="24"/>
  <c r="S724" i="24"/>
  <c r="R724" i="24"/>
  <c r="Q724" i="24"/>
  <c r="O724" i="24"/>
  <c r="L724" i="24"/>
  <c r="G724" i="24"/>
  <c r="F724" i="24"/>
  <c r="E724" i="24"/>
  <c r="D724" i="24"/>
  <c r="C724" i="24"/>
  <c r="B724" i="24"/>
  <c r="A724" i="24"/>
  <c r="W723" i="24"/>
  <c r="U723" i="24"/>
  <c r="T723" i="24"/>
  <c r="S723" i="24"/>
  <c r="R723" i="24"/>
  <c r="Q723" i="24"/>
  <c r="O723" i="24"/>
  <c r="L723" i="24"/>
  <c r="G723" i="24"/>
  <c r="F723" i="24"/>
  <c r="E723" i="24"/>
  <c r="D723" i="24"/>
  <c r="C723" i="24"/>
  <c r="B723" i="24"/>
  <c r="A723" i="24"/>
  <c r="W722" i="24"/>
  <c r="U722" i="24"/>
  <c r="T722" i="24"/>
  <c r="S722" i="24"/>
  <c r="R722" i="24"/>
  <c r="Q722" i="24"/>
  <c r="O722" i="24"/>
  <c r="M722" i="24"/>
  <c r="L722" i="24"/>
  <c r="J722" i="24"/>
  <c r="I722" i="24"/>
  <c r="H722" i="24"/>
  <c r="G722" i="24"/>
  <c r="F722" i="24"/>
  <c r="E722" i="24"/>
  <c r="D722" i="24"/>
  <c r="C722" i="24"/>
  <c r="B722" i="24"/>
  <c r="A722" i="24"/>
  <c r="W721" i="24"/>
  <c r="U721" i="24"/>
  <c r="T721" i="24"/>
  <c r="S721" i="24"/>
  <c r="R721" i="24"/>
  <c r="Q721" i="24"/>
  <c r="O721" i="24"/>
  <c r="L721" i="24"/>
  <c r="F721" i="24"/>
  <c r="E721" i="24"/>
  <c r="D721" i="24"/>
  <c r="C721" i="24"/>
  <c r="B721" i="24"/>
  <c r="A721" i="24"/>
  <c r="W720" i="24"/>
  <c r="U720" i="24"/>
  <c r="T720" i="24"/>
  <c r="S720" i="24"/>
  <c r="R720" i="24"/>
  <c r="Q720" i="24"/>
  <c r="O720" i="24"/>
  <c r="L720" i="24"/>
  <c r="H720" i="24"/>
  <c r="G720" i="24"/>
  <c r="F720" i="24"/>
  <c r="E720" i="24"/>
  <c r="D720" i="24"/>
  <c r="C720" i="24"/>
  <c r="B720" i="24"/>
  <c r="A720" i="24"/>
  <c r="W719" i="24"/>
  <c r="U719" i="24"/>
  <c r="T719" i="24"/>
  <c r="S719" i="24"/>
  <c r="R719" i="24"/>
  <c r="Q719" i="24"/>
  <c r="O719" i="24"/>
  <c r="L719" i="24"/>
  <c r="G719" i="24"/>
  <c r="F719" i="24"/>
  <c r="E719" i="24"/>
  <c r="D719" i="24"/>
  <c r="C719" i="24"/>
  <c r="B719" i="24"/>
  <c r="A719" i="24"/>
  <c r="W718" i="24"/>
  <c r="U718" i="24"/>
  <c r="T718" i="24"/>
  <c r="S718" i="24"/>
  <c r="R718" i="24"/>
  <c r="Q718" i="24"/>
  <c r="O718" i="24"/>
  <c r="L718" i="24"/>
  <c r="F718" i="24"/>
  <c r="E718" i="24"/>
  <c r="D718" i="24"/>
  <c r="C718" i="24"/>
  <c r="B718" i="24"/>
  <c r="A718" i="24"/>
  <c r="W717" i="24"/>
  <c r="U717" i="24"/>
  <c r="T717" i="24"/>
  <c r="S717" i="24"/>
  <c r="R717" i="24"/>
  <c r="Q717" i="24"/>
  <c r="O717" i="24"/>
  <c r="L717" i="24"/>
  <c r="H717" i="24"/>
  <c r="G717" i="24"/>
  <c r="F717" i="24"/>
  <c r="E717" i="24"/>
  <c r="D717" i="24"/>
  <c r="C717" i="24"/>
  <c r="B717" i="24"/>
  <c r="A717" i="24"/>
  <c r="W716" i="24"/>
  <c r="U716" i="24"/>
  <c r="T716" i="24"/>
  <c r="S716" i="24"/>
  <c r="R716" i="24"/>
  <c r="Q716" i="24"/>
  <c r="O716" i="24"/>
  <c r="L716" i="24"/>
  <c r="F716" i="24"/>
  <c r="E716" i="24"/>
  <c r="D716" i="24"/>
  <c r="C716" i="24"/>
  <c r="B716" i="24"/>
  <c r="A716" i="24"/>
  <c r="W715" i="24"/>
  <c r="U715" i="24"/>
  <c r="T715" i="24"/>
  <c r="S715" i="24"/>
  <c r="R715" i="24"/>
  <c r="Q715" i="24"/>
  <c r="O715" i="24"/>
  <c r="L715" i="24"/>
  <c r="G715" i="24"/>
  <c r="F715" i="24"/>
  <c r="E715" i="24"/>
  <c r="D715" i="24"/>
  <c r="C715" i="24"/>
  <c r="B715" i="24"/>
  <c r="A715" i="24"/>
  <c r="W714" i="24"/>
  <c r="U714" i="24"/>
  <c r="T714" i="24"/>
  <c r="S714" i="24"/>
  <c r="R714" i="24"/>
  <c r="Q714" i="24"/>
  <c r="O714" i="24"/>
  <c r="L714" i="24"/>
  <c r="I714" i="24"/>
  <c r="H714" i="24"/>
  <c r="G714" i="24"/>
  <c r="F714" i="24"/>
  <c r="E714" i="24"/>
  <c r="D714" i="24"/>
  <c r="C714" i="24"/>
  <c r="B714" i="24"/>
  <c r="A714" i="24"/>
  <c r="W713" i="24"/>
  <c r="U713" i="24"/>
  <c r="T713" i="24"/>
  <c r="S713" i="24"/>
  <c r="R713" i="24"/>
  <c r="Q713" i="24"/>
  <c r="O713" i="24"/>
  <c r="L713" i="24"/>
  <c r="H713" i="24"/>
  <c r="G713" i="24"/>
  <c r="F713" i="24"/>
  <c r="E713" i="24"/>
  <c r="D713" i="24"/>
  <c r="C713" i="24"/>
  <c r="B713" i="24"/>
  <c r="A713" i="24"/>
  <c r="W712" i="24"/>
  <c r="U712" i="24"/>
  <c r="T712" i="24"/>
  <c r="S712" i="24"/>
  <c r="R712" i="24"/>
  <c r="Q712" i="24"/>
  <c r="O712" i="24"/>
  <c r="L712" i="24"/>
  <c r="G712" i="24"/>
  <c r="F712" i="24"/>
  <c r="E712" i="24"/>
  <c r="D712" i="24"/>
  <c r="C712" i="24"/>
  <c r="B712" i="24"/>
  <c r="A712" i="24"/>
  <c r="W711" i="24"/>
  <c r="U711" i="24"/>
  <c r="T711" i="24"/>
  <c r="S711" i="24"/>
  <c r="R711" i="24"/>
  <c r="Q711" i="24"/>
  <c r="O711" i="24"/>
  <c r="L711" i="24"/>
  <c r="I711" i="24"/>
  <c r="H711" i="24"/>
  <c r="G711" i="24"/>
  <c r="F711" i="24"/>
  <c r="E711" i="24"/>
  <c r="D711" i="24"/>
  <c r="C711" i="24"/>
  <c r="B711" i="24"/>
  <c r="A711" i="24"/>
  <c r="W710" i="24"/>
  <c r="U710" i="24"/>
  <c r="T710" i="24"/>
  <c r="S710" i="24"/>
  <c r="R710" i="24"/>
  <c r="Q710" i="24"/>
  <c r="O710" i="24"/>
  <c r="L710" i="24"/>
  <c r="F710" i="24"/>
  <c r="E710" i="24"/>
  <c r="D710" i="24"/>
  <c r="C710" i="24"/>
  <c r="B710" i="24"/>
  <c r="A710" i="24"/>
  <c r="W709" i="24"/>
  <c r="U709" i="24"/>
  <c r="T709" i="24"/>
  <c r="S709" i="24"/>
  <c r="R709" i="24"/>
  <c r="Q709" i="24"/>
  <c r="O709" i="24"/>
  <c r="L709" i="24"/>
  <c r="F709" i="24"/>
  <c r="E709" i="24"/>
  <c r="D709" i="24"/>
  <c r="C709" i="24"/>
  <c r="B709" i="24"/>
  <c r="A709" i="24"/>
  <c r="W708" i="24"/>
  <c r="U708" i="24"/>
  <c r="T708" i="24"/>
  <c r="S708" i="24"/>
  <c r="R708" i="24"/>
  <c r="Q708" i="24"/>
  <c r="O708" i="24"/>
  <c r="L708" i="24"/>
  <c r="G708" i="24"/>
  <c r="F708" i="24"/>
  <c r="E708" i="24"/>
  <c r="D708" i="24"/>
  <c r="C708" i="24"/>
  <c r="B708" i="24"/>
  <c r="A708" i="24"/>
  <c r="W707" i="24"/>
  <c r="U707" i="24"/>
  <c r="T707" i="24"/>
  <c r="S707" i="24"/>
  <c r="R707" i="24"/>
  <c r="Q707" i="24"/>
  <c r="O707" i="24"/>
  <c r="L707" i="24"/>
  <c r="G707" i="24"/>
  <c r="F707" i="24"/>
  <c r="E707" i="24"/>
  <c r="D707" i="24"/>
  <c r="C707" i="24"/>
  <c r="B707" i="24"/>
  <c r="A707" i="24"/>
  <c r="W706" i="24"/>
  <c r="U706" i="24"/>
  <c r="T706" i="24"/>
  <c r="S706" i="24"/>
  <c r="R706" i="24"/>
  <c r="Q706" i="24"/>
  <c r="O706" i="24"/>
  <c r="L706" i="24"/>
  <c r="J706" i="24"/>
  <c r="I706" i="24"/>
  <c r="H706" i="24"/>
  <c r="G706" i="24"/>
  <c r="F706" i="24"/>
  <c r="E706" i="24"/>
  <c r="D706" i="24"/>
  <c r="C706" i="24"/>
  <c r="B706" i="24"/>
  <c r="A706" i="24"/>
  <c r="W705" i="24"/>
  <c r="U705" i="24"/>
  <c r="T705" i="24"/>
  <c r="S705" i="24"/>
  <c r="R705" i="24"/>
  <c r="Q705" i="24"/>
  <c r="O705" i="24"/>
  <c r="L705" i="24"/>
  <c r="H705" i="24"/>
  <c r="G705" i="24"/>
  <c r="F705" i="24"/>
  <c r="E705" i="24"/>
  <c r="D705" i="24"/>
  <c r="C705" i="24"/>
  <c r="B705" i="24"/>
  <c r="A705" i="24"/>
  <c r="W704" i="24"/>
  <c r="U704" i="24"/>
  <c r="T704" i="24"/>
  <c r="S704" i="24"/>
  <c r="R704" i="24"/>
  <c r="Q704" i="24"/>
  <c r="O704" i="24"/>
  <c r="L704" i="24"/>
  <c r="G704" i="24"/>
  <c r="F704" i="24"/>
  <c r="E704" i="24"/>
  <c r="D704" i="24"/>
  <c r="C704" i="24"/>
  <c r="B704" i="24"/>
  <c r="A704" i="24"/>
  <c r="W703" i="24"/>
  <c r="U703" i="24"/>
  <c r="T703" i="24"/>
  <c r="S703" i="24"/>
  <c r="R703" i="24"/>
  <c r="Q703" i="24"/>
  <c r="O703" i="24"/>
  <c r="L703" i="24"/>
  <c r="I703" i="24"/>
  <c r="H703" i="24"/>
  <c r="G703" i="24"/>
  <c r="F703" i="24"/>
  <c r="E703" i="24"/>
  <c r="D703" i="24"/>
  <c r="C703" i="24"/>
  <c r="B703" i="24"/>
  <c r="A703" i="24"/>
  <c r="W702" i="24"/>
  <c r="U702" i="24"/>
  <c r="T702" i="24"/>
  <c r="S702" i="24"/>
  <c r="R702" i="24"/>
  <c r="Q702" i="24"/>
  <c r="O702" i="24"/>
  <c r="L702" i="24"/>
  <c r="G702" i="24"/>
  <c r="F702" i="24"/>
  <c r="E702" i="24"/>
  <c r="D702" i="24"/>
  <c r="C702" i="24"/>
  <c r="B702" i="24"/>
  <c r="A702" i="24"/>
  <c r="W701" i="24"/>
  <c r="U701" i="24"/>
  <c r="T701" i="24"/>
  <c r="S701" i="24"/>
  <c r="R701" i="24"/>
  <c r="Q701" i="24"/>
  <c r="O701" i="24"/>
  <c r="L701" i="24"/>
  <c r="F701" i="24"/>
  <c r="E701" i="24"/>
  <c r="D701" i="24"/>
  <c r="C701" i="24"/>
  <c r="B701" i="24"/>
  <c r="A701" i="24"/>
  <c r="W700" i="24"/>
  <c r="U700" i="24"/>
  <c r="T700" i="24"/>
  <c r="S700" i="24"/>
  <c r="R700" i="24"/>
  <c r="Q700" i="24"/>
  <c r="O700" i="24"/>
  <c r="L700" i="24"/>
  <c r="F700" i="24"/>
  <c r="E700" i="24"/>
  <c r="D700" i="24"/>
  <c r="C700" i="24"/>
  <c r="B700" i="24"/>
  <c r="A700" i="24"/>
  <c r="W699" i="24"/>
  <c r="U699" i="24"/>
  <c r="T699" i="24"/>
  <c r="S699" i="24"/>
  <c r="R699" i="24"/>
  <c r="Q699" i="24"/>
  <c r="O699" i="24"/>
  <c r="L699" i="24"/>
  <c r="H699" i="24"/>
  <c r="G699" i="24"/>
  <c r="F699" i="24"/>
  <c r="E699" i="24"/>
  <c r="D699" i="24"/>
  <c r="C699" i="24"/>
  <c r="B699" i="24"/>
  <c r="A699" i="24"/>
  <c r="W698" i="24"/>
  <c r="U698" i="24"/>
  <c r="T698" i="24"/>
  <c r="S698" i="24"/>
  <c r="R698" i="24"/>
  <c r="Q698" i="24"/>
  <c r="O698" i="24"/>
  <c r="L698" i="24"/>
  <c r="H698" i="24"/>
  <c r="G698" i="24"/>
  <c r="F698" i="24"/>
  <c r="E698" i="24"/>
  <c r="D698" i="24"/>
  <c r="C698" i="24"/>
  <c r="B698" i="24"/>
  <c r="A698" i="24"/>
  <c r="W697" i="24"/>
  <c r="U697" i="24"/>
  <c r="T697" i="24"/>
  <c r="S697" i="24"/>
  <c r="R697" i="24"/>
  <c r="Q697" i="24"/>
  <c r="O697" i="24"/>
  <c r="M697" i="24"/>
  <c r="L697" i="24"/>
  <c r="H697" i="24"/>
  <c r="G697" i="24"/>
  <c r="F697" i="24"/>
  <c r="E697" i="24"/>
  <c r="D697" i="24"/>
  <c r="C697" i="24"/>
  <c r="B697" i="24"/>
  <c r="A697" i="24"/>
  <c r="W696" i="24"/>
  <c r="U696" i="24"/>
  <c r="T696" i="24"/>
  <c r="S696" i="24"/>
  <c r="R696" i="24"/>
  <c r="Q696" i="24"/>
  <c r="O696" i="24"/>
  <c r="L696" i="24"/>
  <c r="G696" i="24"/>
  <c r="F696" i="24"/>
  <c r="E696" i="24"/>
  <c r="D696" i="24"/>
  <c r="C696" i="24"/>
  <c r="B696" i="24"/>
  <c r="A696" i="24"/>
  <c r="W695" i="24"/>
  <c r="U695" i="24"/>
  <c r="T695" i="24"/>
  <c r="S695" i="24"/>
  <c r="R695" i="24"/>
  <c r="Q695" i="24"/>
  <c r="O695" i="24"/>
  <c r="L695" i="24"/>
  <c r="H695" i="24"/>
  <c r="G695" i="24"/>
  <c r="F695" i="24"/>
  <c r="E695" i="24"/>
  <c r="D695" i="24"/>
  <c r="C695" i="24"/>
  <c r="B695" i="24"/>
  <c r="A695" i="24"/>
  <c r="W694" i="24"/>
  <c r="U694" i="24"/>
  <c r="T694" i="24"/>
  <c r="S694" i="24"/>
  <c r="R694" i="24"/>
  <c r="Q694" i="24"/>
  <c r="O694" i="24"/>
  <c r="L694" i="24"/>
  <c r="G694" i="24"/>
  <c r="F694" i="24"/>
  <c r="E694" i="24"/>
  <c r="D694" i="24"/>
  <c r="C694" i="24"/>
  <c r="B694" i="24"/>
  <c r="A694" i="24"/>
  <c r="W693" i="24"/>
  <c r="U693" i="24"/>
  <c r="T693" i="24"/>
  <c r="S693" i="24"/>
  <c r="R693" i="24"/>
  <c r="Q693" i="24"/>
  <c r="O693" i="24"/>
  <c r="L693" i="24"/>
  <c r="H693" i="24"/>
  <c r="G693" i="24"/>
  <c r="F693" i="24"/>
  <c r="E693" i="24"/>
  <c r="D693" i="24"/>
  <c r="C693" i="24"/>
  <c r="B693" i="24"/>
  <c r="A693" i="24"/>
  <c r="W692" i="24"/>
  <c r="U692" i="24"/>
  <c r="T692" i="24"/>
  <c r="S692" i="24"/>
  <c r="R692" i="24"/>
  <c r="Q692" i="24"/>
  <c r="O692" i="24"/>
  <c r="M692" i="24"/>
  <c r="L692" i="24"/>
  <c r="G692" i="24"/>
  <c r="F692" i="24"/>
  <c r="E692" i="24"/>
  <c r="D692" i="24"/>
  <c r="C692" i="24"/>
  <c r="B692" i="24"/>
  <c r="A692" i="24"/>
  <c r="W691" i="24"/>
  <c r="U691" i="24"/>
  <c r="T691" i="24"/>
  <c r="S691" i="24"/>
  <c r="R691" i="24"/>
  <c r="Q691" i="24"/>
  <c r="O691" i="24"/>
  <c r="L691" i="24"/>
  <c r="I691" i="24"/>
  <c r="H691" i="24"/>
  <c r="G691" i="24"/>
  <c r="F691" i="24"/>
  <c r="E691" i="24"/>
  <c r="D691" i="24"/>
  <c r="C691" i="24"/>
  <c r="B691" i="24"/>
  <c r="A691" i="24"/>
  <c r="W690" i="24"/>
  <c r="U690" i="24"/>
  <c r="T690" i="24"/>
  <c r="S690" i="24"/>
  <c r="R690" i="24"/>
  <c r="Q690" i="24"/>
  <c r="O690" i="24"/>
  <c r="L690" i="24"/>
  <c r="H690" i="24"/>
  <c r="G690" i="24"/>
  <c r="F690" i="24"/>
  <c r="E690" i="24"/>
  <c r="D690" i="24"/>
  <c r="C690" i="24"/>
  <c r="B690" i="24"/>
  <c r="A690" i="24"/>
  <c r="W689" i="24"/>
  <c r="U689" i="24"/>
  <c r="T689" i="24"/>
  <c r="S689" i="24"/>
  <c r="R689" i="24"/>
  <c r="Q689" i="24"/>
  <c r="O689" i="24"/>
  <c r="L689" i="24"/>
  <c r="G689" i="24"/>
  <c r="F689" i="24"/>
  <c r="E689" i="24"/>
  <c r="D689" i="24"/>
  <c r="C689" i="24"/>
  <c r="B689" i="24"/>
  <c r="A689" i="24"/>
  <c r="W688" i="24"/>
  <c r="U688" i="24"/>
  <c r="T688" i="24"/>
  <c r="S688" i="24"/>
  <c r="R688" i="24"/>
  <c r="Q688" i="24"/>
  <c r="O688" i="24"/>
  <c r="M688" i="24"/>
  <c r="L688" i="24"/>
  <c r="H688" i="24"/>
  <c r="G688" i="24"/>
  <c r="F688" i="24"/>
  <c r="E688" i="24"/>
  <c r="D688" i="24"/>
  <c r="C688" i="24"/>
  <c r="B688" i="24"/>
  <c r="A688" i="24"/>
  <c r="W687" i="24"/>
  <c r="U687" i="24"/>
  <c r="T687" i="24"/>
  <c r="S687" i="24"/>
  <c r="R687" i="24"/>
  <c r="Q687" i="24"/>
  <c r="O687" i="24"/>
  <c r="L687" i="24"/>
  <c r="G687" i="24"/>
  <c r="F687" i="24"/>
  <c r="E687" i="24"/>
  <c r="D687" i="24"/>
  <c r="C687" i="24"/>
  <c r="B687" i="24"/>
  <c r="A687" i="24"/>
  <c r="W686" i="24"/>
  <c r="U686" i="24"/>
  <c r="T686" i="24"/>
  <c r="S686" i="24"/>
  <c r="R686" i="24"/>
  <c r="Q686" i="24"/>
  <c r="O686" i="24"/>
  <c r="L686" i="24"/>
  <c r="G686" i="24"/>
  <c r="F686" i="24"/>
  <c r="E686" i="24"/>
  <c r="D686" i="24"/>
  <c r="C686" i="24"/>
  <c r="B686" i="24"/>
  <c r="A686" i="24"/>
  <c r="W685" i="24"/>
  <c r="U685" i="24"/>
  <c r="T685" i="24"/>
  <c r="S685" i="24"/>
  <c r="R685" i="24"/>
  <c r="Q685" i="24"/>
  <c r="O685" i="24"/>
  <c r="N685" i="24"/>
  <c r="M685" i="24"/>
  <c r="L685" i="24"/>
  <c r="G685" i="24"/>
  <c r="F685" i="24"/>
  <c r="E685" i="24"/>
  <c r="D685" i="24"/>
  <c r="C685" i="24"/>
  <c r="B685" i="24"/>
  <c r="A685" i="24"/>
  <c r="W684" i="24"/>
  <c r="U684" i="24"/>
  <c r="T684" i="24"/>
  <c r="S684" i="24"/>
  <c r="R684" i="24"/>
  <c r="Q684" i="24"/>
  <c r="O684" i="24"/>
  <c r="L684" i="24"/>
  <c r="G684" i="24"/>
  <c r="F684" i="24"/>
  <c r="E684" i="24"/>
  <c r="D684" i="24"/>
  <c r="C684" i="24"/>
  <c r="B684" i="24"/>
  <c r="A684" i="24"/>
  <c r="W683" i="24"/>
  <c r="U683" i="24"/>
  <c r="T683" i="24"/>
  <c r="S683" i="24"/>
  <c r="R683" i="24"/>
  <c r="Q683" i="24"/>
  <c r="O683" i="24"/>
  <c r="M683" i="24"/>
  <c r="L683" i="24"/>
  <c r="H683" i="24"/>
  <c r="G683" i="24"/>
  <c r="F683" i="24"/>
  <c r="E683" i="24"/>
  <c r="D683" i="24"/>
  <c r="C683" i="24"/>
  <c r="B683" i="24"/>
  <c r="A683" i="24"/>
  <c r="W682" i="24"/>
  <c r="U682" i="24"/>
  <c r="T682" i="24"/>
  <c r="S682" i="24"/>
  <c r="R682" i="24"/>
  <c r="Q682" i="24"/>
  <c r="O682" i="24"/>
  <c r="M682" i="24"/>
  <c r="L682" i="24"/>
  <c r="I682" i="24"/>
  <c r="H682" i="24"/>
  <c r="G682" i="24"/>
  <c r="F682" i="24"/>
  <c r="E682" i="24"/>
  <c r="D682" i="24"/>
  <c r="C682" i="24"/>
  <c r="B682" i="24"/>
  <c r="A682" i="24"/>
  <c r="W681" i="24"/>
  <c r="V681" i="24"/>
  <c r="U681" i="24"/>
  <c r="T681" i="24"/>
  <c r="S681" i="24"/>
  <c r="R681" i="24"/>
  <c r="Q681" i="24"/>
  <c r="O681" i="24"/>
  <c r="L681" i="24"/>
  <c r="G681" i="24"/>
  <c r="F681" i="24"/>
  <c r="E681" i="24"/>
  <c r="D681" i="24"/>
  <c r="C681" i="24"/>
  <c r="B681" i="24"/>
  <c r="A681" i="24"/>
  <c r="W680" i="24"/>
  <c r="V680" i="24"/>
  <c r="U680" i="24"/>
  <c r="T680" i="24"/>
  <c r="S680" i="24"/>
  <c r="R680" i="24"/>
  <c r="Q680" i="24"/>
  <c r="O680" i="24"/>
  <c r="L680" i="24"/>
  <c r="G680" i="24"/>
  <c r="F680" i="24"/>
  <c r="E680" i="24"/>
  <c r="D680" i="24"/>
  <c r="C680" i="24"/>
  <c r="B680" i="24"/>
  <c r="A680" i="24"/>
  <c r="W679" i="24"/>
  <c r="U679" i="24"/>
  <c r="T679" i="24"/>
  <c r="S679" i="24"/>
  <c r="R679" i="24"/>
  <c r="Q679" i="24"/>
  <c r="O679" i="24"/>
  <c r="L679" i="24"/>
  <c r="F679" i="24"/>
  <c r="E679" i="24"/>
  <c r="D679" i="24"/>
  <c r="C679" i="24"/>
  <c r="B679" i="24"/>
  <c r="A679" i="24"/>
  <c r="W678" i="24"/>
  <c r="U678" i="24"/>
  <c r="T678" i="24"/>
  <c r="S678" i="24"/>
  <c r="R678" i="24"/>
  <c r="Q678" i="24"/>
  <c r="O678" i="24"/>
  <c r="L678" i="24"/>
  <c r="G678" i="24"/>
  <c r="F678" i="24"/>
  <c r="E678" i="24"/>
  <c r="D678" i="24"/>
  <c r="C678" i="24"/>
  <c r="B678" i="24"/>
  <c r="A678" i="24"/>
  <c r="W677" i="24"/>
  <c r="U677" i="24"/>
  <c r="T677" i="24"/>
  <c r="S677" i="24"/>
  <c r="R677" i="24"/>
  <c r="Q677" i="24"/>
  <c r="O677" i="24"/>
  <c r="L677" i="24"/>
  <c r="G677" i="24"/>
  <c r="F677" i="24"/>
  <c r="E677" i="24"/>
  <c r="D677" i="24"/>
  <c r="C677" i="24"/>
  <c r="B677" i="24"/>
  <c r="A677" i="24"/>
  <c r="W676" i="24"/>
  <c r="U676" i="24"/>
  <c r="T676" i="24"/>
  <c r="S676" i="24"/>
  <c r="R676" i="24"/>
  <c r="Q676" i="24"/>
  <c r="O676" i="24"/>
  <c r="L676" i="24"/>
  <c r="H676" i="24"/>
  <c r="G676" i="24"/>
  <c r="F676" i="24"/>
  <c r="E676" i="24"/>
  <c r="D676" i="24"/>
  <c r="C676" i="24"/>
  <c r="B676" i="24"/>
  <c r="A676" i="24"/>
  <c r="W675" i="24"/>
  <c r="U675" i="24"/>
  <c r="T675" i="24"/>
  <c r="S675" i="24"/>
  <c r="R675" i="24"/>
  <c r="Q675" i="24"/>
  <c r="O675" i="24"/>
  <c r="L675" i="24"/>
  <c r="G675" i="24"/>
  <c r="F675" i="24"/>
  <c r="E675" i="24"/>
  <c r="D675" i="24"/>
  <c r="C675" i="24"/>
  <c r="B675" i="24"/>
  <c r="A675" i="24"/>
  <c r="W674" i="24"/>
  <c r="U674" i="24"/>
  <c r="T674" i="24"/>
  <c r="S674" i="24"/>
  <c r="R674" i="24"/>
  <c r="Q674" i="24"/>
  <c r="O674" i="24"/>
  <c r="L674" i="24"/>
  <c r="H674" i="24"/>
  <c r="G674" i="24"/>
  <c r="F674" i="24"/>
  <c r="E674" i="24"/>
  <c r="D674" i="24"/>
  <c r="C674" i="24"/>
  <c r="B674" i="24"/>
  <c r="A674" i="24"/>
  <c r="W673" i="24"/>
  <c r="U673" i="24"/>
  <c r="T673" i="24"/>
  <c r="S673" i="24"/>
  <c r="R673" i="24"/>
  <c r="Q673" i="24"/>
  <c r="O673" i="24"/>
  <c r="L673" i="24"/>
  <c r="J673" i="24"/>
  <c r="I673" i="24"/>
  <c r="H673" i="24"/>
  <c r="G673" i="24"/>
  <c r="F673" i="24"/>
  <c r="E673" i="24"/>
  <c r="D673" i="24"/>
  <c r="C673" i="24"/>
  <c r="B673" i="24"/>
  <c r="A673" i="24"/>
  <c r="W672" i="24"/>
  <c r="U672" i="24"/>
  <c r="T672" i="24"/>
  <c r="S672" i="24"/>
  <c r="R672" i="24"/>
  <c r="Q672" i="24"/>
  <c r="O672" i="24"/>
  <c r="L672" i="24"/>
  <c r="H672" i="24"/>
  <c r="G672" i="24"/>
  <c r="F672" i="24"/>
  <c r="E672" i="24"/>
  <c r="D672" i="24"/>
  <c r="C672" i="24"/>
  <c r="B672" i="24"/>
  <c r="A672" i="24"/>
  <c r="W671" i="24"/>
  <c r="U671" i="24"/>
  <c r="T671" i="24"/>
  <c r="S671" i="24"/>
  <c r="R671" i="24"/>
  <c r="Q671" i="24"/>
  <c r="O671" i="24"/>
  <c r="L671" i="24"/>
  <c r="H671" i="24"/>
  <c r="G671" i="24"/>
  <c r="F671" i="24"/>
  <c r="E671" i="24"/>
  <c r="D671" i="24"/>
  <c r="C671" i="24"/>
  <c r="B671" i="24"/>
  <c r="A671" i="24"/>
  <c r="W670" i="24"/>
  <c r="U670" i="24"/>
  <c r="T670" i="24"/>
  <c r="S670" i="24"/>
  <c r="R670" i="24"/>
  <c r="Q670" i="24"/>
  <c r="O670" i="24"/>
  <c r="M670" i="24"/>
  <c r="L670" i="24"/>
  <c r="H670" i="24"/>
  <c r="G670" i="24"/>
  <c r="F670" i="24"/>
  <c r="E670" i="24"/>
  <c r="D670" i="24"/>
  <c r="C670" i="24"/>
  <c r="B670" i="24"/>
  <c r="A670" i="24"/>
  <c r="W669" i="24"/>
  <c r="U669" i="24"/>
  <c r="T669" i="24"/>
  <c r="S669" i="24"/>
  <c r="R669" i="24"/>
  <c r="Q669" i="24"/>
  <c r="O669" i="24"/>
  <c r="L669" i="24"/>
  <c r="G669" i="24"/>
  <c r="F669" i="24"/>
  <c r="E669" i="24"/>
  <c r="D669" i="24"/>
  <c r="C669" i="24"/>
  <c r="B669" i="24"/>
  <c r="A669" i="24"/>
  <c r="W668" i="24"/>
  <c r="U668" i="24"/>
  <c r="T668" i="24"/>
  <c r="S668" i="24"/>
  <c r="R668" i="24"/>
  <c r="Q668" i="24"/>
  <c r="O668" i="24"/>
  <c r="L668" i="24"/>
  <c r="I668" i="24"/>
  <c r="H668" i="24"/>
  <c r="G668" i="24"/>
  <c r="F668" i="24"/>
  <c r="E668" i="24"/>
  <c r="D668" i="24"/>
  <c r="C668" i="24"/>
  <c r="B668" i="24"/>
  <c r="A668" i="24"/>
  <c r="W667" i="24"/>
  <c r="U667" i="24"/>
  <c r="T667" i="24"/>
  <c r="S667" i="24"/>
  <c r="R667" i="24"/>
  <c r="Q667" i="24"/>
  <c r="O667" i="24"/>
  <c r="M667" i="24"/>
  <c r="L667" i="24"/>
  <c r="G667" i="24"/>
  <c r="F667" i="24"/>
  <c r="E667" i="24"/>
  <c r="D667" i="24"/>
  <c r="C667" i="24"/>
  <c r="B667" i="24"/>
  <c r="A667" i="24"/>
  <c r="W666" i="24"/>
  <c r="U666" i="24"/>
  <c r="T666" i="24"/>
  <c r="S666" i="24"/>
  <c r="R666" i="24"/>
  <c r="Q666" i="24"/>
  <c r="O666" i="24"/>
  <c r="L666" i="24"/>
  <c r="G666" i="24"/>
  <c r="F666" i="24"/>
  <c r="E666" i="24"/>
  <c r="D666" i="24"/>
  <c r="C666" i="24"/>
  <c r="B666" i="24"/>
  <c r="A666" i="24"/>
  <c r="W665" i="24"/>
  <c r="U665" i="24"/>
  <c r="T665" i="24"/>
  <c r="S665" i="24"/>
  <c r="R665" i="24"/>
  <c r="Q665" i="24"/>
  <c r="O665" i="24"/>
  <c r="L665" i="24"/>
  <c r="H665" i="24"/>
  <c r="G665" i="24"/>
  <c r="F665" i="24"/>
  <c r="E665" i="24"/>
  <c r="D665" i="24"/>
  <c r="C665" i="24"/>
  <c r="B665" i="24"/>
  <c r="A665" i="24"/>
  <c r="W664" i="24"/>
  <c r="U664" i="24"/>
  <c r="T664" i="24"/>
  <c r="S664" i="24"/>
  <c r="R664" i="24"/>
  <c r="Q664" i="24"/>
  <c r="O664" i="24"/>
  <c r="M664" i="24"/>
  <c r="L664" i="24"/>
  <c r="F664" i="24"/>
  <c r="E664" i="24"/>
  <c r="D664" i="24"/>
  <c r="C664" i="24"/>
  <c r="B664" i="24"/>
  <c r="A664" i="24"/>
  <c r="W663" i="24"/>
  <c r="U663" i="24"/>
  <c r="T663" i="24"/>
  <c r="S663" i="24"/>
  <c r="R663" i="24"/>
  <c r="Q663" i="24"/>
  <c r="O663" i="24"/>
  <c r="L663" i="24"/>
  <c r="F663" i="24"/>
  <c r="E663" i="24"/>
  <c r="D663" i="24"/>
  <c r="C663" i="24"/>
  <c r="B663" i="24"/>
  <c r="A663" i="24"/>
  <c r="W662" i="24"/>
  <c r="U662" i="24"/>
  <c r="T662" i="24"/>
  <c r="S662" i="24"/>
  <c r="R662" i="24"/>
  <c r="Q662" i="24"/>
  <c r="O662" i="24"/>
  <c r="L662" i="24"/>
  <c r="F662" i="24"/>
  <c r="E662" i="24"/>
  <c r="D662" i="24"/>
  <c r="C662" i="24"/>
  <c r="B662" i="24"/>
  <c r="A662" i="24"/>
  <c r="W661" i="24"/>
  <c r="U661" i="24"/>
  <c r="T661" i="24"/>
  <c r="S661" i="24"/>
  <c r="R661" i="24"/>
  <c r="Q661" i="24"/>
  <c r="O661" i="24"/>
  <c r="L661" i="24"/>
  <c r="G661" i="24"/>
  <c r="F661" i="24"/>
  <c r="E661" i="24"/>
  <c r="D661" i="24"/>
  <c r="C661" i="24"/>
  <c r="B661" i="24"/>
  <c r="A661" i="24"/>
  <c r="W660" i="24"/>
  <c r="U660" i="24"/>
  <c r="T660" i="24"/>
  <c r="S660" i="24"/>
  <c r="R660" i="24"/>
  <c r="Q660" i="24"/>
  <c r="O660" i="24"/>
  <c r="L660" i="24"/>
  <c r="G660" i="24"/>
  <c r="F660" i="24"/>
  <c r="E660" i="24"/>
  <c r="D660" i="24"/>
  <c r="C660" i="24"/>
  <c r="B660" i="24"/>
  <c r="A660" i="24"/>
  <c r="W659" i="24"/>
  <c r="U659" i="24"/>
  <c r="T659" i="24"/>
  <c r="S659" i="24"/>
  <c r="R659" i="24"/>
  <c r="Q659" i="24"/>
  <c r="O659" i="24"/>
  <c r="L659" i="24"/>
  <c r="G659" i="24"/>
  <c r="F659" i="24"/>
  <c r="E659" i="24"/>
  <c r="D659" i="24"/>
  <c r="C659" i="24"/>
  <c r="B659" i="24"/>
  <c r="A659" i="24"/>
  <c r="W658" i="24"/>
  <c r="U658" i="24"/>
  <c r="T658" i="24"/>
  <c r="S658" i="24"/>
  <c r="R658" i="24"/>
  <c r="Q658" i="24"/>
  <c r="O658" i="24"/>
  <c r="L658" i="24"/>
  <c r="I658" i="24"/>
  <c r="H658" i="24"/>
  <c r="G658" i="24"/>
  <c r="F658" i="24"/>
  <c r="E658" i="24"/>
  <c r="D658" i="24"/>
  <c r="C658" i="24"/>
  <c r="B658" i="24"/>
  <c r="A658" i="24"/>
  <c r="W657" i="24"/>
  <c r="U657" i="24"/>
  <c r="T657" i="24"/>
  <c r="S657" i="24"/>
  <c r="R657" i="24"/>
  <c r="Q657" i="24"/>
  <c r="O657" i="24"/>
  <c r="L657" i="24"/>
  <c r="F657" i="24"/>
  <c r="E657" i="24"/>
  <c r="D657" i="24"/>
  <c r="C657" i="24"/>
  <c r="B657" i="24"/>
  <c r="A657" i="24"/>
  <c r="W656" i="24"/>
  <c r="U656" i="24"/>
  <c r="T656" i="24"/>
  <c r="S656" i="24"/>
  <c r="R656" i="24"/>
  <c r="Q656" i="24"/>
  <c r="O656" i="24"/>
  <c r="M656" i="24"/>
  <c r="L656" i="24"/>
  <c r="F656" i="24"/>
  <c r="E656" i="24"/>
  <c r="D656" i="24"/>
  <c r="C656" i="24"/>
  <c r="B656" i="24"/>
  <c r="A656" i="24"/>
  <c r="W655" i="24"/>
  <c r="U655" i="24"/>
  <c r="T655" i="24"/>
  <c r="S655" i="24"/>
  <c r="R655" i="24"/>
  <c r="Q655" i="24"/>
  <c r="O655" i="24"/>
  <c r="L655" i="24"/>
  <c r="H655" i="24"/>
  <c r="G655" i="24"/>
  <c r="F655" i="24"/>
  <c r="E655" i="24"/>
  <c r="D655" i="24"/>
  <c r="C655" i="24"/>
  <c r="B655" i="24"/>
  <c r="A655" i="24"/>
  <c r="W654" i="24"/>
  <c r="U654" i="24"/>
  <c r="T654" i="24"/>
  <c r="S654" i="24"/>
  <c r="R654" i="24"/>
  <c r="Q654" i="24"/>
  <c r="O654" i="24"/>
  <c r="L654" i="24"/>
  <c r="G654" i="24"/>
  <c r="F654" i="24"/>
  <c r="E654" i="24"/>
  <c r="D654" i="24"/>
  <c r="C654" i="24"/>
  <c r="B654" i="24"/>
  <c r="A654" i="24"/>
  <c r="W653" i="24"/>
  <c r="U653" i="24"/>
  <c r="T653" i="24"/>
  <c r="S653" i="24"/>
  <c r="R653" i="24"/>
  <c r="Q653" i="24"/>
  <c r="O653" i="24"/>
  <c r="L653" i="24"/>
  <c r="G653" i="24"/>
  <c r="F653" i="24"/>
  <c r="E653" i="24"/>
  <c r="D653" i="24"/>
  <c r="C653" i="24"/>
  <c r="B653" i="24"/>
  <c r="A653" i="24"/>
  <c r="W652" i="24"/>
  <c r="U652" i="24"/>
  <c r="T652" i="24"/>
  <c r="S652" i="24"/>
  <c r="R652" i="24"/>
  <c r="Q652" i="24"/>
  <c r="O652" i="24"/>
  <c r="L652" i="24"/>
  <c r="G652" i="24"/>
  <c r="F652" i="24"/>
  <c r="E652" i="24"/>
  <c r="D652" i="24"/>
  <c r="C652" i="24"/>
  <c r="B652" i="24"/>
  <c r="A652" i="24"/>
  <c r="W651" i="24"/>
  <c r="U651" i="24"/>
  <c r="T651" i="24"/>
  <c r="S651" i="24"/>
  <c r="R651" i="24"/>
  <c r="Q651" i="24"/>
  <c r="O651" i="24"/>
  <c r="M651" i="24"/>
  <c r="L651" i="24"/>
  <c r="I651" i="24"/>
  <c r="H651" i="24"/>
  <c r="G651" i="24"/>
  <c r="F651" i="24"/>
  <c r="E651" i="24"/>
  <c r="D651" i="24"/>
  <c r="C651" i="24"/>
  <c r="B651" i="24"/>
  <c r="A651" i="24"/>
  <c r="W650" i="24"/>
  <c r="U650" i="24"/>
  <c r="T650" i="24"/>
  <c r="S650" i="24"/>
  <c r="R650" i="24"/>
  <c r="Q650" i="24"/>
  <c r="O650" i="24"/>
  <c r="L650" i="24"/>
  <c r="F650" i="24"/>
  <c r="E650" i="24"/>
  <c r="D650" i="24"/>
  <c r="C650" i="24"/>
  <c r="B650" i="24"/>
  <c r="A650" i="24"/>
  <c r="W649" i="24"/>
  <c r="U649" i="24"/>
  <c r="T649" i="24"/>
  <c r="S649" i="24"/>
  <c r="R649" i="24"/>
  <c r="Q649" i="24"/>
  <c r="O649" i="24"/>
  <c r="L649" i="24"/>
  <c r="H649" i="24"/>
  <c r="G649" i="24"/>
  <c r="F649" i="24"/>
  <c r="E649" i="24"/>
  <c r="D649" i="24"/>
  <c r="C649" i="24"/>
  <c r="B649" i="24"/>
  <c r="A649" i="24"/>
  <c r="W648" i="24"/>
  <c r="V648" i="24"/>
  <c r="U648" i="24"/>
  <c r="T648" i="24"/>
  <c r="S648" i="24"/>
  <c r="R648" i="24"/>
  <c r="Q648" i="24"/>
  <c r="O648" i="24"/>
  <c r="L648" i="24"/>
  <c r="G648" i="24"/>
  <c r="F648" i="24"/>
  <c r="E648" i="24"/>
  <c r="D648" i="24"/>
  <c r="C648" i="24"/>
  <c r="B648" i="24"/>
  <c r="A648" i="24"/>
  <c r="W647" i="24"/>
  <c r="V647" i="24"/>
  <c r="U647" i="24"/>
  <c r="T647" i="24"/>
  <c r="S647" i="24"/>
  <c r="R647" i="24"/>
  <c r="Q647" i="24"/>
  <c r="O647" i="24"/>
  <c r="L647" i="24"/>
  <c r="G647" i="24"/>
  <c r="F647" i="24"/>
  <c r="E647" i="24"/>
  <c r="D647" i="24"/>
  <c r="C647" i="24"/>
  <c r="B647" i="24"/>
  <c r="A647" i="24"/>
  <c r="W646" i="24"/>
  <c r="U646" i="24"/>
  <c r="T646" i="24"/>
  <c r="S646" i="24"/>
  <c r="R646" i="24"/>
  <c r="Q646" i="24"/>
  <c r="O646" i="24"/>
  <c r="L646" i="24"/>
  <c r="G646" i="24"/>
  <c r="F646" i="24"/>
  <c r="E646" i="24"/>
  <c r="D646" i="24"/>
  <c r="C646" i="24"/>
  <c r="B646" i="24"/>
  <c r="A646" i="24"/>
  <c r="W645" i="24"/>
  <c r="U645" i="24"/>
  <c r="T645" i="24"/>
  <c r="S645" i="24"/>
  <c r="R645" i="24"/>
  <c r="Q645" i="24"/>
  <c r="O645" i="24"/>
  <c r="L645" i="24"/>
  <c r="G645" i="24"/>
  <c r="F645" i="24"/>
  <c r="E645" i="24"/>
  <c r="D645" i="24"/>
  <c r="C645" i="24"/>
  <c r="B645" i="24"/>
  <c r="A645" i="24"/>
  <c r="W644" i="24"/>
  <c r="U644" i="24"/>
  <c r="T644" i="24"/>
  <c r="S644" i="24"/>
  <c r="R644" i="24"/>
  <c r="Q644" i="24"/>
  <c r="O644" i="24"/>
  <c r="L644" i="24"/>
  <c r="G644" i="24"/>
  <c r="F644" i="24"/>
  <c r="E644" i="24"/>
  <c r="D644" i="24"/>
  <c r="C644" i="24"/>
  <c r="B644" i="24"/>
  <c r="A644" i="24"/>
  <c r="W643" i="24"/>
  <c r="U643" i="24"/>
  <c r="T643" i="24"/>
  <c r="S643" i="24"/>
  <c r="R643" i="24"/>
  <c r="Q643" i="24"/>
  <c r="O643" i="24"/>
  <c r="L643" i="24"/>
  <c r="H643" i="24"/>
  <c r="G643" i="24"/>
  <c r="F643" i="24"/>
  <c r="E643" i="24"/>
  <c r="D643" i="24"/>
  <c r="C643" i="24"/>
  <c r="B643" i="24"/>
  <c r="A643" i="24"/>
  <c r="W642" i="24"/>
  <c r="U642" i="24"/>
  <c r="T642" i="24"/>
  <c r="S642" i="24"/>
  <c r="R642" i="24"/>
  <c r="Q642" i="24"/>
  <c r="O642" i="24"/>
  <c r="L642" i="24"/>
  <c r="H642" i="24"/>
  <c r="G642" i="24"/>
  <c r="F642" i="24"/>
  <c r="E642" i="24"/>
  <c r="D642" i="24"/>
  <c r="C642" i="24"/>
  <c r="B642" i="24"/>
  <c r="A642" i="24"/>
  <c r="W641" i="24"/>
  <c r="U641" i="24"/>
  <c r="T641" i="24"/>
  <c r="S641" i="24"/>
  <c r="R641" i="24"/>
  <c r="Q641" i="24"/>
  <c r="O641" i="24"/>
  <c r="L641" i="24"/>
  <c r="G641" i="24"/>
  <c r="F641" i="24"/>
  <c r="E641" i="24"/>
  <c r="D641" i="24"/>
  <c r="C641" i="24"/>
  <c r="B641" i="24"/>
  <c r="A641" i="24"/>
  <c r="W640" i="24"/>
  <c r="U640" i="24"/>
  <c r="T640" i="24"/>
  <c r="S640" i="24"/>
  <c r="R640" i="24"/>
  <c r="Q640" i="24"/>
  <c r="O640" i="24"/>
  <c r="M640" i="24"/>
  <c r="L640" i="24"/>
  <c r="F640" i="24"/>
  <c r="E640" i="24"/>
  <c r="D640" i="24"/>
  <c r="C640" i="24"/>
  <c r="B640" i="24"/>
  <c r="A640" i="24"/>
  <c r="W639" i="24"/>
  <c r="U639" i="24"/>
  <c r="T639" i="24"/>
  <c r="S639" i="24"/>
  <c r="R639" i="24"/>
  <c r="Q639" i="24"/>
  <c r="O639" i="24"/>
  <c r="L639" i="24"/>
  <c r="H639" i="24"/>
  <c r="G639" i="24"/>
  <c r="F639" i="24"/>
  <c r="E639" i="24"/>
  <c r="D639" i="24"/>
  <c r="C639" i="24"/>
  <c r="B639" i="24"/>
  <c r="A639" i="24"/>
  <c r="W638" i="24"/>
  <c r="U638" i="24"/>
  <c r="T638" i="24"/>
  <c r="S638" i="24"/>
  <c r="R638" i="24"/>
  <c r="Q638" i="24"/>
  <c r="O638" i="24"/>
  <c r="L638" i="24"/>
  <c r="F638" i="24"/>
  <c r="E638" i="24"/>
  <c r="D638" i="24"/>
  <c r="C638" i="24"/>
  <c r="B638" i="24"/>
  <c r="A638" i="24"/>
  <c r="W637" i="24"/>
  <c r="U637" i="24"/>
  <c r="T637" i="24"/>
  <c r="S637" i="24"/>
  <c r="R637" i="24"/>
  <c r="Q637" i="24"/>
  <c r="O637" i="24"/>
  <c r="L637" i="24"/>
  <c r="F637" i="24"/>
  <c r="E637" i="24"/>
  <c r="D637" i="24"/>
  <c r="C637" i="24"/>
  <c r="B637" i="24"/>
  <c r="A637" i="24"/>
  <c r="W636" i="24"/>
  <c r="U636" i="24"/>
  <c r="T636" i="24"/>
  <c r="S636" i="24"/>
  <c r="R636" i="24"/>
  <c r="Q636" i="24"/>
  <c r="O636" i="24"/>
  <c r="M636" i="24"/>
  <c r="L636" i="24"/>
  <c r="G636" i="24"/>
  <c r="F636" i="24"/>
  <c r="E636" i="24"/>
  <c r="D636" i="24"/>
  <c r="C636" i="24"/>
  <c r="B636" i="24"/>
  <c r="A636" i="24"/>
  <c r="W635" i="24"/>
  <c r="U635" i="24"/>
  <c r="T635" i="24"/>
  <c r="S635" i="24"/>
  <c r="R635" i="24"/>
  <c r="Q635" i="24"/>
  <c r="O635" i="24"/>
  <c r="L635" i="24"/>
  <c r="H635" i="24"/>
  <c r="G635" i="24"/>
  <c r="F635" i="24"/>
  <c r="E635" i="24"/>
  <c r="D635" i="24"/>
  <c r="C635" i="24"/>
  <c r="B635" i="24"/>
  <c r="A635" i="24"/>
  <c r="W634" i="24"/>
  <c r="U634" i="24"/>
  <c r="T634" i="24"/>
  <c r="S634" i="24"/>
  <c r="R634" i="24"/>
  <c r="Q634" i="24"/>
  <c r="O634" i="24"/>
  <c r="L634" i="24"/>
  <c r="G634" i="24"/>
  <c r="F634" i="24"/>
  <c r="E634" i="24"/>
  <c r="D634" i="24"/>
  <c r="C634" i="24"/>
  <c r="B634" i="24"/>
  <c r="A634" i="24"/>
  <c r="W633" i="24"/>
  <c r="U633" i="24"/>
  <c r="T633" i="24"/>
  <c r="S633" i="24"/>
  <c r="R633" i="24"/>
  <c r="Q633" i="24"/>
  <c r="O633" i="24"/>
  <c r="L633" i="24"/>
  <c r="H633" i="24"/>
  <c r="G633" i="24"/>
  <c r="F633" i="24"/>
  <c r="E633" i="24"/>
  <c r="D633" i="24"/>
  <c r="C633" i="24"/>
  <c r="B633" i="24"/>
  <c r="A633" i="24"/>
  <c r="W632" i="24"/>
  <c r="U632" i="24"/>
  <c r="T632" i="24"/>
  <c r="S632" i="24"/>
  <c r="R632" i="24"/>
  <c r="Q632" i="24"/>
  <c r="O632" i="24"/>
  <c r="L632" i="24"/>
  <c r="H632" i="24"/>
  <c r="G632" i="24"/>
  <c r="F632" i="24"/>
  <c r="E632" i="24"/>
  <c r="D632" i="24"/>
  <c r="C632" i="24"/>
  <c r="B632" i="24"/>
  <c r="A632" i="24"/>
  <c r="W631" i="24"/>
  <c r="U631" i="24"/>
  <c r="T631" i="24"/>
  <c r="S631" i="24"/>
  <c r="R631" i="24"/>
  <c r="Q631" i="24"/>
  <c r="O631" i="24"/>
  <c r="L631" i="24"/>
  <c r="H631" i="24"/>
  <c r="G631" i="24"/>
  <c r="F631" i="24"/>
  <c r="E631" i="24"/>
  <c r="D631" i="24"/>
  <c r="C631" i="24"/>
  <c r="B631" i="24"/>
  <c r="A631" i="24"/>
  <c r="W630" i="24"/>
  <c r="U630" i="24"/>
  <c r="T630" i="24"/>
  <c r="S630" i="24"/>
  <c r="R630" i="24"/>
  <c r="Q630" i="24"/>
  <c r="O630" i="24"/>
  <c r="L630" i="24"/>
  <c r="J630" i="24"/>
  <c r="I630" i="24"/>
  <c r="H630" i="24"/>
  <c r="G630" i="24"/>
  <c r="F630" i="24"/>
  <c r="E630" i="24"/>
  <c r="D630" i="24"/>
  <c r="C630" i="24"/>
  <c r="B630" i="24"/>
  <c r="A630" i="24"/>
  <c r="W629" i="24"/>
  <c r="U629" i="24"/>
  <c r="T629" i="24"/>
  <c r="S629" i="24"/>
  <c r="R629" i="24"/>
  <c r="Q629" i="24"/>
  <c r="O629" i="24"/>
  <c r="L629" i="24"/>
  <c r="H629" i="24"/>
  <c r="G629" i="24"/>
  <c r="F629" i="24"/>
  <c r="E629" i="24"/>
  <c r="D629" i="24"/>
  <c r="C629" i="24"/>
  <c r="B629" i="24"/>
  <c r="A629" i="24"/>
  <c r="W628" i="24"/>
  <c r="U628" i="24"/>
  <c r="T628" i="24"/>
  <c r="S628" i="24"/>
  <c r="R628" i="24"/>
  <c r="Q628" i="24"/>
  <c r="O628" i="24"/>
  <c r="L628" i="24"/>
  <c r="I628" i="24"/>
  <c r="H628" i="24"/>
  <c r="G628" i="24"/>
  <c r="F628" i="24"/>
  <c r="E628" i="24"/>
  <c r="D628" i="24"/>
  <c r="C628" i="24"/>
  <c r="B628" i="24"/>
  <c r="A628" i="24"/>
  <c r="W627" i="24"/>
  <c r="U627" i="24"/>
  <c r="T627" i="24"/>
  <c r="S627" i="24"/>
  <c r="R627" i="24"/>
  <c r="Q627" i="24"/>
  <c r="O627" i="24"/>
  <c r="L627" i="24"/>
  <c r="J627" i="24"/>
  <c r="I627" i="24"/>
  <c r="H627" i="24"/>
  <c r="G627" i="24"/>
  <c r="F627" i="24"/>
  <c r="E627" i="24"/>
  <c r="D627" i="24"/>
  <c r="C627" i="24"/>
  <c r="B627" i="24"/>
  <c r="A627" i="24"/>
  <c r="W626" i="24"/>
  <c r="U626" i="24"/>
  <c r="T626" i="24"/>
  <c r="S626" i="24"/>
  <c r="R626" i="24"/>
  <c r="Q626" i="24"/>
  <c r="O626" i="24"/>
  <c r="L626" i="24"/>
  <c r="G626" i="24"/>
  <c r="F626" i="24"/>
  <c r="E626" i="24"/>
  <c r="D626" i="24"/>
  <c r="C626" i="24"/>
  <c r="B626" i="24"/>
  <c r="A626" i="24"/>
  <c r="W625" i="24"/>
  <c r="U625" i="24"/>
  <c r="T625" i="24"/>
  <c r="S625" i="24"/>
  <c r="R625" i="24"/>
  <c r="Q625" i="24"/>
  <c r="O625" i="24"/>
  <c r="L625" i="24"/>
  <c r="G625" i="24"/>
  <c r="F625" i="24"/>
  <c r="E625" i="24"/>
  <c r="D625" i="24"/>
  <c r="C625" i="24"/>
  <c r="B625" i="24"/>
  <c r="A625" i="24"/>
  <c r="W624" i="24"/>
  <c r="U624" i="24"/>
  <c r="T624" i="24"/>
  <c r="S624" i="24"/>
  <c r="R624" i="24"/>
  <c r="Q624" i="24"/>
  <c r="O624" i="24"/>
  <c r="L624" i="24"/>
  <c r="G624" i="24"/>
  <c r="F624" i="24"/>
  <c r="E624" i="24"/>
  <c r="D624" i="24"/>
  <c r="C624" i="24"/>
  <c r="B624" i="24"/>
  <c r="A624" i="24"/>
  <c r="W623" i="24"/>
  <c r="U623" i="24"/>
  <c r="T623" i="24"/>
  <c r="S623" i="24"/>
  <c r="R623" i="24"/>
  <c r="Q623" i="24"/>
  <c r="O623" i="24"/>
  <c r="L623" i="24"/>
  <c r="G623" i="24"/>
  <c r="F623" i="24"/>
  <c r="E623" i="24"/>
  <c r="D623" i="24"/>
  <c r="C623" i="24"/>
  <c r="B623" i="24"/>
  <c r="A623" i="24"/>
  <c r="W622" i="24"/>
  <c r="U622" i="24"/>
  <c r="T622" i="24"/>
  <c r="S622" i="24"/>
  <c r="R622" i="24"/>
  <c r="Q622" i="24"/>
  <c r="O622" i="24"/>
  <c r="M622" i="24"/>
  <c r="L622" i="24"/>
  <c r="H622" i="24"/>
  <c r="G622" i="24"/>
  <c r="F622" i="24"/>
  <c r="E622" i="24"/>
  <c r="D622" i="24"/>
  <c r="C622" i="24"/>
  <c r="B622" i="24"/>
  <c r="A622" i="24"/>
  <c r="W621" i="24"/>
  <c r="U621" i="24"/>
  <c r="T621" i="24"/>
  <c r="S621" i="24"/>
  <c r="R621" i="24"/>
  <c r="Q621" i="24"/>
  <c r="O621" i="24"/>
  <c r="M621" i="24"/>
  <c r="L621" i="24"/>
  <c r="F621" i="24"/>
  <c r="E621" i="24"/>
  <c r="D621" i="24"/>
  <c r="C621" i="24"/>
  <c r="B621" i="24"/>
  <c r="A621" i="24"/>
  <c r="W620" i="24"/>
  <c r="U620" i="24"/>
  <c r="T620" i="24"/>
  <c r="S620" i="24"/>
  <c r="R620" i="24"/>
  <c r="Q620" i="24"/>
  <c r="O620" i="24"/>
  <c r="L620" i="24"/>
  <c r="G620" i="24"/>
  <c r="F620" i="24"/>
  <c r="E620" i="24"/>
  <c r="D620" i="24"/>
  <c r="C620" i="24"/>
  <c r="B620" i="24"/>
  <c r="A620" i="24"/>
  <c r="W619" i="24"/>
  <c r="U619" i="24"/>
  <c r="T619" i="24"/>
  <c r="S619" i="24"/>
  <c r="R619" i="24"/>
  <c r="Q619" i="24"/>
  <c r="O619" i="24"/>
  <c r="M619" i="24"/>
  <c r="L619" i="24"/>
  <c r="G619" i="24"/>
  <c r="F619" i="24"/>
  <c r="E619" i="24"/>
  <c r="D619" i="24"/>
  <c r="C619" i="24"/>
  <c r="B619" i="24"/>
  <c r="A619" i="24"/>
  <c r="W618" i="24"/>
  <c r="U618" i="24"/>
  <c r="T618" i="24"/>
  <c r="S618" i="24"/>
  <c r="R618" i="24"/>
  <c r="Q618" i="24"/>
  <c r="O618" i="24"/>
  <c r="L618" i="24"/>
  <c r="H618" i="24"/>
  <c r="G618" i="24"/>
  <c r="F618" i="24"/>
  <c r="E618" i="24"/>
  <c r="D618" i="24"/>
  <c r="C618" i="24"/>
  <c r="B618" i="24"/>
  <c r="A618" i="24"/>
  <c r="W617" i="24"/>
  <c r="U617" i="24"/>
  <c r="T617" i="24"/>
  <c r="S617" i="24"/>
  <c r="R617" i="24"/>
  <c r="Q617" i="24"/>
  <c r="O617" i="24"/>
  <c r="L617" i="24"/>
  <c r="H617" i="24"/>
  <c r="G617" i="24"/>
  <c r="F617" i="24"/>
  <c r="E617" i="24"/>
  <c r="D617" i="24"/>
  <c r="C617" i="24"/>
  <c r="B617" i="24"/>
  <c r="A617" i="24"/>
  <c r="W616" i="24"/>
  <c r="V616" i="24"/>
  <c r="U616" i="24"/>
  <c r="T616" i="24"/>
  <c r="S616" i="24"/>
  <c r="R616" i="24"/>
  <c r="Q616" i="24"/>
  <c r="O616" i="24"/>
  <c r="L616" i="24"/>
  <c r="G616" i="24"/>
  <c r="F616" i="24"/>
  <c r="E616" i="24"/>
  <c r="D616" i="24"/>
  <c r="C616" i="24"/>
  <c r="B616" i="24"/>
  <c r="A616" i="24"/>
  <c r="W615" i="24"/>
  <c r="U615" i="24"/>
  <c r="T615" i="24"/>
  <c r="S615" i="24"/>
  <c r="R615" i="24"/>
  <c r="Q615" i="24"/>
  <c r="O615" i="24"/>
  <c r="L615" i="24"/>
  <c r="F615" i="24"/>
  <c r="E615" i="24"/>
  <c r="D615" i="24"/>
  <c r="C615" i="24"/>
  <c r="B615" i="24"/>
  <c r="A615" i="24"/>
  <c r="W614" i="24"/>
  <c r="U614" i="24"/>
  <c r="T614" i="24"/>
  <c r="S614" i="24"/>
  <c r="R614" i="24"/>
  <c r="Q614" i="24"/>
  <c r="O614" i="24"/>
  <c r="L614" i="24"/>
  <c r="J614" i="24"/>
  <c r="I614" i="24"/>
  <c r="H614" i="24"/>
  <c r="G614" i="24"/>
  <c r="F614" i="24"/>
  <c r="E614" i="24"/>
  <c r="D614" i="24"/>
  <c r="C614" i="24"/>
  <c r="B614" i="24"/>
  <c r="A614" i="24"/>
  <c r="W613" i="24"/>
  <c r="U613" i="24"/>
  <c r="T613" i="24"/>
  <c r="S613" i="24"/>
  <c r="R613" i="24"/>
  <c r="Q613" i="24"/>
  <c r="O613" i="24"/>
  <c r="L613" i="24"/>
  <c r="I613" i="24"/>
  <c r="H613" i="24"/>
  <c r="G613" i="24"/>
  <c r="F613" i="24"/>
  <c r="E613" i="24"/>
  <c r="D613" i="24"/>
  <c r="C613" i="24"/>
  <c r="B613" i="24"/>
  <c r="A613" i="24"/>
  <c r="W612" i="24"/>
  <c r="U612" i="24"/>
  <c r="T612" i="24"/>
  <c r="S612" i="24"/>
  <c r="R612" i="24"/>
  <c r="Q612" i="24"/>
  <c r="O612" i="24"/>
  <c r="L612" i="24"/>
  <c r="G612" i="24"/>
  <c r="F612" i="24"/>
  <c r="E612" i="24"/>
  <c r="D612" i="24"/>
  <c r="C612" i="24"/>
  <c r="B612" i="24"/>
  <c r="A612" i="24"/>
  <c r="W611" i="24"/>
  <c r="U611" i="24"/>
  <c r="T611" i="24"/>
  <c r="S611" i="24"/>
  <c r="R611" i="24"/>
  <c r="Q611" i="24"/>
  <c r="O611" i="24"/>
  <c r="L611" i="24"/>
  <c r="I611" i="24"/>
  <c r="H611" i="24"/>
  <c r="G611" i="24"/>
  <c r="F611" i="24"/>
  <c r="E611" i="24"/>
  <c r="D611" i="24"/>
  <c r="C611" i="24"/>
  <c r="B611" i="24"/>
  <c r="A611" i="24"/>
  <c r="W610" i="24"/>
  <c r="U610" i="24"/>
  <c r="T610" i="24"/>
  <c r="S610" i="24"/>
  <c r="R610" i="24"/>
  <c r="Q610" i="24"/>
  <c r="O610" i="24"/>
  <c r="L610" i="24"/>
  <c r="H610" i="24"/>
  <c r="G610" i="24"/>
  <c r="F610" i="24"/>
  <c r="E610" i="24"/>
  <c r="D610" i="24"/>
  <c r="C610" i="24"/>
  <c r="B610" i="24"/>
  <c r="A610" i="24"/>
  <c r="W609" i="24"/>
  <c r="U609" i="24"/>
  <c r="T609" i="24"/>
  <c r="S609" i="24"/>
  <c r="R609" i="24"/>
  <c r="Q609" i="24"/>
  <c r="O609" i="24"/>
  <c r="L609" i="24"/>
  <c r="H609" i="24"/>
  <c r="G609" i="24"/>
  <c r="F609" i="24"/>
  <c r="E609" i="24"/>
  <c r="D609" i="24"/>
  <c r="C609" i="24"/>
  <c r="B609" i="24"/>
  <c r="A609" i="24"/>
  <c r="W608" i="24"/>
  <c r="U608" i="24"/>
  <c r="T608" i="24"/>
  <c r="S608" i="24"/>
  <c r="R608" i="24"/>
  <c r="Q608" i="24"/>
  <c r="O608" i="24"/>
  <c r="L608" i="24"/>
  <c r="G608" i="24"/>
  <c r="F608" i="24"/>
  <c r="E608" i="24"/>
  <c r="D608" i="24"/>
  <c r="C608" i="24"/>
  <c r="B608" i="24"/>
  <c r="A608" i="24"/>
  <c r="W607" i="24"/>
  <c r="U607" i="24"/>
  <c r="T607" i="24"/>
  <c r="S607" i="24"/>
  <c r="R607" i="24"/>
  <c r="Q607" i="24"/>
  <c r="O607" i="24"/>
  <c r="L607" i="24"/>
  <c r="G607" i="24"/>
  <c r="F607" i="24"/>
  <c r="E607" i="24"/>
  <c r="D607" i="24"/>
  <c r="C607" i="24"/>
  <c r="B607" i="24"/>
  <c r="A607" i="24"/>
  <c r="W606" i="24"/>
  <c r="U606" i="24"/>
  <c r="T606" i="24"/>
  <c r="S606" i="24"/>
  <c r="R606" i="24"/>
  <c r="Q606" i="24"/>
  <c r="O606" i="24"/>
  <c r="L606" i="24"/>
  <c r="H606" i="24"/>
  <c r="G606" i="24"/>
  <c r="F606" i="24"/>
  <c r="E606" i="24"/>
  <c r="D606" i="24"/>
  <c r="C606" i="24"/>
  <c r="B606" i="24"/>
  <c r="A606" i="24"/>
  <c r="W605" i="24"/>
  <c r="U605" i="24"/>
  <c r="T605" i="24"/>
  <c r="S605" i="24"/>
  <c r="R605" i="24"/>
  <c r="Q605" i="24"/>
  <c r="O605" i="24"/>
  <c r="L605" i="24"/>
  <c r="G605" i="24"/>
  <c r="F605" i="24"/>
  <c r="E605" i="24"/>
  <c r="D605" i="24"/>
  <c r="C605" i="24"/>
  <c r="B605" i="24"/>
  <c r="A605" i="24"/>
  <c r="W604" i="24"/>
  <c r="U604" i="24"/>
  <c r="T604" i="24"/>
  <c r="S604" i="24"/>
  <c r="R604" i="24"/>
  <c r="Q604" i="24"/>
  <c r="O604" i="24"/>
  <c r="L604" i="24"/>
  <c r="G604" i="24"/>
  <c r="F604" i="24"/>
  <c r="E604" i="24"/>
  <c r="D604" i="24"/>
  <c r="C604" i="24"/>
  <c r="B604" i="24"/>
  <c r="A604" i="24"/>
  <c r="W603" i="24"/>
  <c r="U603" i="24"/>
  <c r="T603" i="24"/>
  <c r="S603" i="24"/>
  <c r="R603" i="24"/>
  <c r="Q603" i="24"/>
  <c r="O603" i="24"/>
  <c r="L603" i="24"/>
  <c r="G603" i="24"/>
  <c r="F603" i="24"/>
  <c r="E603" i="24"/>
  <c r="D603" i="24"/>
  <c r="C603" i="24"/>
  <c r="B603" i="24"/>
  <c r="A603" i="24"/>
  <c r="W602" i="24"/>
  <c r="U602" i="24"/>
  <c r="T602" i="24"/>
  <c r="S602" i="24"/>
  <c r="R602" i="24"/>
  <c r="Q602" i="24"/>
  <c r="O602" i="24"/>
  <c r="L602" i="24"/>
  <c r="G602" i="24"/>
  <c r="F602" i="24"/>
  <c r="E602" i="24"/>
  <c r="D602" i="24"/>
  <c r="C602" i="24"/>
  <c r="B602" i="24"/>
  <c r="A602" i="24"/>
  <c r="W601" i="24"/>
  <c r="U601" i="24"/>
  <c r="T601" i="24"/>
  <c r="S601" i="24"/>
  <c r="R601" i="24"/>
  <c r="Q601" i="24"/>
  <c r="O601" i="24"/>
  <c r="L601" i="24"/>
  <c r="G601" i="24"/>
  <c r="F601" i="24"/>
  <c r="E601" i="24"/>
  <c r="D601" i="24"/>
  <c r="C601" i="24"/>
  <c r="B601" i="24"/>
  <c r="A601" i="24"/>
  <c r="W600" i="24"/>
  <c r="U600" i="24"/>
  <c r="T600" i="24"/>
  <c r="S600" i="24"/>
  <c r="R600" i="24"/>
  <c r="Q600" i="24"/>
  <c r="O600" i="24"/>
  <c r="L600" i="24"/>
  <c r="H600" i="24"/>
  <c r="G600" i="24"/>
  <c r="F600" i="24"/>
  <c r="E600" i="24"/>
  <c r="D600" i="24"/>
  <c r="C600" i="24"/>
  <c r="B600" i="24"/>
  <c r="A600" i="24"/>
  <c r="W599" i="24"/>
  <c r="U599" i="24"/>
  <c r="T599" i="24"/>
  <c r="S599" i="24"/>
  <c r="R599" i="24"/>
  <c r="Q599" i="24"/>
  <c r="O599" i="24"/>
  <c r="L599" i="24"/>
  <c r="H599" i="24"/>
  <c r="G599" i="24"/>
  <c r="F599" i="24"/>
  <c r="E599" i="24"/>
  <c r="D599" i="24"/>
  <c r="C599" i="24"/>
  <c r="B599" i="24"/>
  <c r="A599" i="24"/>
  <c r="W598" i="24"/>
  <c r="U598" i="24"/>
  <c r="T598" i="24"/>
  <c r="S598" i="24"/>
  <c r="R598" i="24"/>
  <c r="Q598" i="24"/>
  <c r="O598" i="24"/>
  <c r="L598" i="24"/>
  <c r="G598" i="24"/>
  <c r="F598" i="24"/>
  <c r="E598" i="24"/>
  <c r="D598" i="24"/>
  <c r="C598" i="24"/>
  <c r="B598" i="24"/>
  <c r="A598" i="24"/>
  <c r="W597" i="24"/>
  <c r="U597" i="24"/>
  <c r="T597" i="24"/>
  <c r="S597" i="24"/>
  <c r="R597" i="24"/>
  <c r="Q597" i="24"/>
  <c r="O597" i="24"/>
  <c r="L597" i="24"/>
  <c r="G597" i="24"/>
  <c r="F597" i="24"/>
  <c r="E597" i="24"/>
  <c r="D597" i="24"/>
  <c r="C597" i="24"/>
  <c r="B597" i="24"/>
  <c r="A597" i="24"/>
  <c r="W596" i="24"/>
  <c r="U596" i="24"/>
  <c r="T596" i="24"/>
  <c r="S596" i="24"/>
  <c r="R596" i="24"/>
  <c r="Q596" i="24"/>
  <c r="O596" i="24"/>
  <c r="L596" i="24"/>
  <c r="G596" i="24"/>
  <c r="F596" i="24"/>
  <c r="E596" i="24"/>
  <c r="D596" i="24"/>
  <c r="C596" i="24"/>
  <c r="B596" i="24"/>
  <c r="A596" i="24"/>
  <c r="W595" i="24"/>
  <c r="U595" i="24"/>
  <c r="T595" i="24"/>
  <c r="S595" i="24"/>
  <c r="R595" i="24"/>
  <c r="Q595" i="24"/>
  <c r="O595" i="24"/>
  <c r="M595" i="24"/>
  <c r="L595" i="24"/>
  <c r="J595" i="24"/>
  <c r="I595" i="24"/>
  <c r="H595" i="24"/>
  <c r="G595" i="24"/>
  <c r="F595" i="24"/>
  <c r="E595" i="24"/>
  <c r="D595" i="24"/>
  <c r="C595" i="24"/>
  <c r="B595" i="24"/>
  <c r="A595" i="24"/>
  <c r="W594" i="24"/>
  <c r="U594" i="24"/>
  <c r="T594" i="24"/>
  <c r="S594" i="24"/>
  <c r="R594" i="24"/>
  <c r="Q594" i="24"/>
  <c r="O594" i="24"/>
  <c r="L594" i="24"/>
  <c r="G594" i="24"/>
  <c r="F594" i="24"/>
  <c r="E594" i="24"/>
  <c r="D594" i="24"/>
  <c r="C594" i="24"/>
  <c r="B594" i="24"/>
  <c r="A594" i="24"/>
  <c r="W593" i="24"/>
  <c r="U593" i="24"/>
  <c r="T593" i="24"/>
  <c r="S593" i="24"/>
  <c r="R593" i="24"/>
  <c r="Q593" i="24"/>
  <c r="O593" i="24"/>
  <c r="L593" i="24"/>
  <c r="F593" i="24"/>
  <c r="E593" i="24"/>
  <c r="D593" i="24"/>
  <c r="C593" i="24"/>
  <c r="B593" i="24"/>
  <c r="A593" i="24"/>
  <c r="W592" i="24"/>
  <c r="U592" i="24"/>
  <c r="T592" i="24"/>
  <c r="S592" i="24"/>
  <c r="R592" i="24"/>
  <c r="Q592" i="24"/>
  <c r="O592" i="24"/>
  <c r="L592" i="24"/>
  <c r="I592" i="24"/>
  <c r="H592" i="24"/>
  <c r="G592" i="24"/>
  <c r="F592" i="24"/>
  <c r="E592" i="24"/>
  <c r="D592" i="24"/>
  <c r="C592" i="24"/>
  <c r="B592" i="24"/>
  <c r="A592" i="24"/>
  <c r="W591" i="24"/>
  <c r="U591" i="24"/>
  <c r="T591" i="24"/>
  <c r="S591" i="24"/>
  <c r="R591" i="24"/>
  <c r="Q591" i="24"/>
  <c r="O591" i="24"/>
  <c r="M591" i="24"/>
  <c r="L591" i="24"/>
  <c r="F591" i="24"/>
  <c r="E591" i="24"/>
  <c r="D591" i="24"/>
  <c r="C591" i="24"/>
  <c r="B591" i="24"/>
  <c r="A591" i="24"/>
  <c r="W590" i="24"/>
  <c r="U590" i="24"/>
  <c r="T590" i="24"/>
  <c r="S590" i="24"/>
  <c r="R590" i="24"/>
  <c r="Q590" i="24"/>
  <c r="O590" i="24"/>
  <c r="L590" i="24"/>
  <c r="H590" i="24"/>
  <c r="G590" i="24"/>
  <c r="F590" i="24"/>
  <c r="E590" i="24"/>
  <c r="D590" i="24"/>
  <c r="C590" i="24"/>
  <c r="B590" i="24"/>
  <c r="A590" i="24"/>
  <c r="W589" i="24"/>
  <c r="U589" i="24"/>
  <c r="T589" i="24"/>
  <c r="S589" i="24"/>
  <c r="R589" i="24"/>
  <c r="Q589" i="24"/>
  <c r="O589" i="24"/>
  <c r="L589" i="24"/>
  <c r="J589" i="24"/>
  <c r="I589" i="24"/>
  <c r="H589" i="24"/>
  <c r="G589" i="24"/>
  <c r="F589" i="24"/>
  <c r="E589" i="24"/>
  <c r="D589" i="24"/>
  <c r="C589" i="24"/>
  <c r="B589" i="24"/>
  <c r="A589" i="24"/>
  <c r="W588" i="24"/>
  <c r="U588" i="24"/>
  <c r="T588" i="24"/>
  <c r="S588" i="24"/>
  <c r="R588" i="24"/>
  <c r="Q588" i="24"/>
  <c r="O588" i="24"/>
  <c r="L588" i="24"/>
  <c r="G588" i="24"/>
  <c r="F588" i="24"/>
  <c r="E588" i="24"/>
  <c r="D588" i="24"/>
  <c r="C588" i="24"/>
  <c r="B588" i="24"/>
  <c r="A588" i="24"/>
  <c r="W587" i="24"/>
  <c r="V587" i="24"/>
  <c r="U587" i="24"/>
  <c r="T587" i="24"/>
  <c r="S587" i="24"/>
  <c r="R587" i="24"/>
  <c r="Q587" i="24"/>
  <c r="O587" i="24"/>
  <c r="L587" i="24"/>
  <c r="F587" i="24"/>
  <c r="E587" i="24"/>
  <c r="D587" i="24"/>
  <c r="C587" i="24"/>
  <c r="B587" i="24"/>
  <c r="A587" i="24"/>
  <c r="W586" i="24"/>
  <c r="U586" i="24"/>
  <c r="T586" i="24"/>
  <c r="S586" i="24"/>
  <c r="R586" i="24"/>
  <c r="Q586" i="24"/>
  <c r="O586" i="24"/>
  <c r="M586" i="24"/>
  <c r="L586" i="24"/>
  <c r="G586" i="24"/>
  <c r="F586" i="24"/>
  <c r="E586" i="24"/>
  <c r="D586" i="24"/>
  <c r="C586" i="24"/>
  <c r="B586" i="24"/>
  <c r="A586" i="24"/>
  <c r="W585" i="24"/>
  <c r="V585" i="24"/>
  <c r="U585" i="24"/>
  <c r="T585" i="24"/>
  <c r="S585" i="24"/>
  <c r="R585" i="24"/>
  <c r="Q585" i="24"/>
  <c r="O585" i="24"/>
  <c r="L585" i="24"/>
  <c r="I585" i="24"/>
  <c r="H585" i="24"/>
  <c r="G585" i="24"/>
  <c r="F585" i="24"/>
  <c r="E585" i="24"/>
  <c r="D585" i="24"/>
  <c r="C585" i="24"/>
  <c r="B585" i="24"/>
  <c r="A585" i="24"/>
  <c r="W584" i="24"/>
  <c r="U584" i="24"/>
  <c r="T584" i="24"/>
  <c r="S584" i="24"/>
  <c r="R584" i="24"/>
  <c r="Q584" i="24"/>
  <c r="O584" i="24"/>
  <c r="L584" i="24"/>
  <c r="K584" i="24"/>
  <c r="J584" i="24"/>
  <c r="I584" i="24"/>
  <c r="H584" i="24"/>
  <c r="G584" i="24"/>
  <c r="F584" i="24"/>
  <c r="E584" i="24"/>
  <c r="D584" i="24"/>
  <c r="C584" i="24"/>
  <c r="B584" i="24"/>
  <c r="A584" i="24"/>
  <c r="W583" i="24"/>
  <c r="U583" i="24"/>
  <c r="T583" i="24"/>
  <c r="S583" i="24"/>
  <c r="R583" i="24"/>
  <c r="Q583" i="24"/>
  <c r="O583" i="24"/>
  <c r="L583" i="24"/>
  <c r="F583" i="24"/>
  <c r="E583" i="24"/>
  <c r="D583" i="24"/>
  <c r="C583" i="24"/>
  <c r="B583" i="24"/>
  <c r="A583" i="24"/>
  <c r="W582" i="24"/>
  <c r="U582" i="24"/>
  <c r="T582" i="24"/>
  <c r="S582" i="24"/>
  <c r="R582" i="24"/>
  <c r="Q582" i="24"/>
  <c r="O582" i="24"/>
  <c r="L582" i="24"/>
  <c r="H582" i="24"/>
  <c r="G582" i="24"/>
  <c r="F582" i="24"/>
  <c r="E582" i="24"/>
  <c r="D582" i="24"/>
  <c r="C582" i="24"/>
  <c r="B582" i="24"/>
  <c r="A582" i="24"/>
  <c r="W581" i="24"/>
  <c r="U581" i="24"/>
  <c r="T581" i="24"/>
  <c r="S581" i="24"/>
  <c r="R581" i="24"/>
  <c r="Q581" i="24"/>
  <c r="O581" i="24"/>
  <c r="L581" i="24"/>
  <c r="G581" i="24"/>
  <c r="F581" i="24"/>
  <c r="E581" i="24"/>
  <c r="D581" i="24"/>
  <c r="C581" i="24"/>
  <c r="B581" i="24"/>
  <c r="A581" i="24"/>
  <c r="W580" i="24"/>
  <c r="U580" i="24"/>
  <c r="T580" i="24"/>
  <c r="S580" i="24"/>
  <c r="R580" i="24"/>
  <c r="Q580" i="24"/>
  <c r="O580" i="24"/>
  <c r="L580" i="24"/>
  <c r="G580" i="24"/>
  <c r="F580" i="24"/>
  <c r="E580" i="24"/>
  <c r="D580" i="24"/>
  <c r="C580" i="24"/>
  <c r="B580" i="24"/>
  <c r="A580" i="24"/>
  <c r="W579" i="24"/>
  <c r="U579" i="24"/>
  <c r="T579" i="24"/>
  <c r="S579" i="24"/>
  <c r="R579" i="24"/>
  <c r="Q579" i="24"/>
  <c r="O579" i="24"/>
  <c r="L579" i="24"/>
  <c r="F579" i="24"/>
  <c r="E579" i="24"/>
  <c r="D579" i="24"/>
  <c r="C579" i="24"/>
  <c r="B579" i="24"/>
  <c r="A579" i="24"/>
  <c r="W578" i="24"/>
  <c r="U578" i="24"/>
  <c r="T578" i="24"/>
  <c r="S578" i="24"/>
  <c r="R578" i="24"/>
  <c r="Q578" i="24"/>
  <c r="O578" i="24"/>
  <c r="L578" i="24"/>
  <c r="H578" i="24"/>
  <c r="G578" i="24"/>
  <c r="F578" i="24"/>
  <c r="E578" i="24"/>
  <c r="D578" i="24"/>
  <c r="C578" i="24"/>
  <c r="B578" i="24"/>
  <c r="A578" i="24"/>
  <c r="W577" i="24"/>
  <c r="U577" i="24"/>
  <c r="T577" i="24"/>
  <c r="S577" i="24"/>
  <c r="R577" i="24"/>
  <c r="Q577" i="24"/>
  <c r="O577" i="24"/>
  <c r="L577" i="24"/>
  <c r="H577" i="24"/>
  <c r="G577" i="24"/>
  <c r="F577" i="24"/>
  <c r="E577" i="24"/>
  <c r="D577" i="24"/>
  <c r="C577" i="24"/>
  <c r="B577" i="24"/>
  <c r="A577" i="24"/>
  <c r="W576" i="24"/>
  <c r="U576" i="24"/>
  <c r="T576" i="24"/>
  <c r="S576" i="24"/>
  <c r="R576" i="24"/>
  <c r="Q576" i="24"/>
  <c r="O576" i="24"/>
  <c r="L576" i="24"/>
  <c r="G576" i="24"/>
  <c r="F576" i="24"/>
  <c r="E576" i="24"/>
  <c r="D576" i="24"/>
  <c r="C576" i="24"/>
  <c r="B576" i="24"/>
  <c r="A576" i="24"/>
  <c r="W575" i="24"/>
  <c r="U575" i="24"/>
  <c r="T575" i="24"/>
  <c r="S575" i="24"/>
  <c r="R575" i="24"/>
  <c r="Q575" i="24"/>
  <c r="O575" i="24"/>
  <c r="L575" i="24"/>
  <c r="K575" i="24"/>
  <c r="J575" i="24"/>
  <c r="I575" i="24"/>
  <c r="H575" i="24"/>
  <c r="G575" i="24"/>
  <c r="F575" i="24"/>
  <c r="E575" i="24"/>
  <c r="D575" i="24"/>
  <c r="C575" i="24"/>
  <c r="B575" i="24"/>
  <c r="A575" i="24"/>
  <c r="W574" i="24"/>
  <c r="U574" i="24"/>
  <c r="T574" i="24"/>
  <c r="S574" i="24"/>
  <c r="R574" i="24"/>
  <c r="Q574" i="24"/>
  <c r="O574" i="24"/>
  <c r="L574" i="24"/>
  <c r="F574" i="24"/>
  <c r="E574" i="24"/>
  <c r="D574" i="24"/>
  <c r="C574" i="24"/>
  <c r="B574" i="24"/>
  <c r="A574" i="24"/>
  <c r="W573" i="24"/>
  <c r="U573" i="24"/>
  <c r="T573" i="24"/>
  <c r="S573" i="24"/>
  <c r="R573" i="24"/>
  <c r="Q573" i="24"/>
  <c r="O573" i="24"/>
  <c r="L573" i="24"/>
  <c r="F573" i="24"/>
  <c r="E573" i="24"/>
  <c r="D573" i="24"/>
  <c r="C573" i="24"/>
  <c r="B573" i="24"/>
  <c r="A573" i="24"/>
  <c r="W572" i="24"/>
  <c r="U572" i="24"/>
  <c r="T572" i="24"/>
  <c r="S572" i="24"/>
  <c r="R572" i="24"/>
  <c r="Q572" i="24"/>
  <c r="O572" i="24"/>
  <c r="L572" i="24"/>
  <c r="H572" i="24"/>
  <c r="G572" i="24"/>
  <c r="F572" i="24"/>
  <c r="E572" i="24"/>
  <c r="D572" i="24"/>
  <c r="C572" i="24"/>
  <c r="B572" i="24"/>
  <c r="A572" i="24"/>
  <c r="W571" i="24"/>
  <c r="U571" i="24"/>
  <c r="T571" i="24"/>
  <c r="S571" i="24"/>
  <c r="R571" i="24"/>
  <c r="Q571" i="24"/>
  <c r="O571" i="24"/>
  <c r="L571" i="24"/>
  <c r="F571" i="24"/>
  <c r="E571" i="24"/>
  <c r="D571" i="24"/>
  <c r="C571" i="24"/>
  <c r="B571" i="24"/>
  <c r="A571" i="24"/>
  <c r="W570" i="24"/>
  <c r="U570" i="24"/>
  <c r="T570" i="24"/>
  <c r="S570" i="24"/>
  <c r="R570" i="24"/>
  <c r="Q570" i="24"/>
  <c r="O570" i="24"/>
  <c r="M570" i="24"/>
  <c r="L570" i="24"/>
  <c r="J570" i="24"/>
  <c r="I570" i="24"/>
  <c r="H570" i="24"/>
  <c r="G570" i="24"/>
  <c r="F570" i="24"/>
  <c r="E570" i="24"/>
  <c r="D570" i="24"/>
  <c r="C570" i="24"/>
  <c r="B570" i="24"/>
  <c r="A570" i="24"/>
  <c r="W569" i="24"/>
  <c r="U569" i="24"/>
  <c r="T569" i="24"/>
  <c r="S569" i="24"/>
  <c r="R569" i="24"/>
  <c r="Q569" i="24"/>
  <c r="O569" i="24"/>
  <c r="M569" i="24"/>
  <c r="L569" i="24"/>
  <c r="H569" i="24"/>
  <c r="G569" i="24"/>
  <c r="F569" i="24"/>
  <c r="E569" i="24"/>
  <c r="D569" i="24"/>
  <c r="C569" i="24"/>
  <c r="B569" i="24"/>
  <c r="A569" i="24"/>
  <c r="W568" i="24"/>
  <c r="U568" i="24"/>
  <c r="T568" i="24"/>
  <c r="S568" i="24"/>
  <c r="R568" i="24"/>
  <c r="Q568" i="24"/>
  <c r="O568" i="24"/>
  <c r="L568" i="24"/>
  <c r="G568" i="24"/>
  <c r="F568" i="24"/>
  <c r="E568" i="24"/>
  <c r="D568" i="24"/>
  <c r="C568" i="24"/>
  <c r="B568" i="24"/>
  <c r="A568" i="24"/>
  <c r="W567" i="24"/>
  <c r="U567" i="24"/>
  <c r="T567" i="24"/>
  <c r="S567" i="24"/>
  <c r="R567" i="24"/>
  <c r="Q567" i="24"/>
  <c r="O567" i="24"/>
  <c r="L567" i="24"/>
  <c r="I567" i="24"/>
  <c r="H567" i="24"/>
  <c r="G567" i="24"/>
  <c r="F567" i="24"/>
  <c r="E567" i="24"/>
  <c r="D567" i="24"/>
  <c r="C567" i="24"/>
  <c r="B567" i="24"/>
  <c r="A567" i="24"/>
  <c r="W566" i="24"/>
  <c r="U566" i="24"/>
  <c r="T566" i="24"/>
  <c r="S566" i="24"/>
  <c r="R566" i="24"/>
  <c r="Q566" i="24"/>
  <c r="O566" i="24"/>
  <c r="L566" i="24"/>
  <c r="H566" i="24"/>
  <c r="G566" i="24"/>
  <c r="F566" i="24"/>
  <c r="E566" i="24"/>
  <c r="D566" i="24"/>
  <c r="C566" i="24"/>
  <c r="B566" i="24"/>
  <c r="A566" i="24"/>
  <c r="W565" i="24"/>
  <c r="U565" i="24"/>
  <c r="T565" i="24"/>
  <c r="S565" i="24"/>
  <c r="R565" i="24"/>
  <c r="Q565" i="24"/>
  <c r="O565" i="24"/>
  <c r="L565" i="24"/>
  <c r="G565" i="24"/>
  <c r="F565" i="24"/>
  <c r="E565" i="24"/>
  <c r="D565" i="24"/>
  <c r="C565" i="24"/>
  <c r="B565" i="24"/>
  <c r="A565" i="24"/>
  <c r="W564" i="24"/>
  <c r="U564" i="24"/>
  <c r="T564" i="24"/>
  <c r="S564" i="24"/>
  <c r="R564" i="24"/>
  <c r="Q564" i="24"/>
  <c r="O564" i="24"/>
  <c r="N564" i="24"/>
  <c r="M564" i="24"/>
  <c r="L564" i="24"/>
  <c r="F564" i="24"/>
  <c r="E564" i="24"/>
  <c r="D564" i="24"/>
  <c r="C564" i="24"/>
  <c r="B564" i="24"/>
  <c r="A564" i="24"/>
  <c r="W563" i="24"/>
  <c r="U563" i="24"/>
  <c r="T563" i="24"/>
  <c r="S563" i="24"/>
  <c r="R563" i="24"/>
  <c r="Q563" i="24"/>
  <c r="O563" i="24"/>
  <c r="M563" i="24"/>
  <c r="L563" i="24"/>
  <c r="H563" i="24"/>
  <c r="G563" i="24"/>
  <c r="F563" i="24"/>
  <c r="E563" i="24"/>
  <c r="D563" i="24"/>
  <c r="C563" i="24"/>
  <c r="B563" i="24"/>
  <c r="A563" i="24"/>
  <c r="W562" i="24"/>
  <c r="U562" i="24"/>
  <c r="T562" i="24"/>
  <c r="S562" i="24"/>
  <c r="R562" i="24"/>
  <c r="Q562" i="24"/>
  <c r="O562" i="24"/>
  <c r="L562" i="24"/>
  <c r="H562" i="24"/>
  <c r="G562" i="24"/>
  <c r="F562" i="24"/>
  <c r="E562" i="24"/>
  <c r="D562" i="24"/>
  <c r="C562" i="24"/>
  <c r="B562" i="24"/>
  <c r="A562" i="24"/>
  <c r="W561" i="24"/>
  <c r="U561" i="24"/>
  <c r="T561" i="24"/>
  <c r="S561" i="24"/>
  <c r="R561" i="24"/>
  <c r="Q561" i="24"/>
  <c r="O561" i="24"/>
  <c r="L561" i="24"/>
  <c r="G561" i="24"/>
  <c r="F561" i="24"/>
  <c r="E561" i="24"/>
  <c r="D561" i="24"/>
  <c r="C561" i="24"/>
  <c r="B561" i="24"/>
  <c r="A561" i="24"/>
  <c r="W560" i="24"/>
  <c r="U560" i="24"/>
  <c r="T560" i="24"/>
  <c r="S560" i="24"/>
  <c r="R560" i="24"/>
  <c r="Q560" i="24"/>
  <c r="O560" i="24"/>
  <c r="L560" i="24"/>
  <c r="G560" i="24"/>
  <c r="F560" i="24"/>
  <c r="E560" i="24"/>
  <c r="D560" i="24"/>
  <c r="C560" i="24"/>
  <c r="B560" i="24"/>
  <c r="A560" i="24"/>
  <c r="W559" i="24"/>
  <c r="U559" i="24"/>
  <c r="T559" i="24"/>
  <c r="S559" i="24"/>
  <c r="R559" i="24"/>
  <c r="Q559" i="24"/>
  <c r="O559" i="24"/>
  <c r="M559" i="24"/>
  <c r="L559" i="24"/>
  <c r="H559" i="24"/>
  <c r="G559" i="24"/>
  <c r="F559" i="24"/>
  <c r="E559" i="24"/>
  <c r="D559" i="24"/>
  <c r="C559" i="24"/>
  <c r="B559" i="24"/>
  <c r="A559" i="24"/>
  <c r="W558" i="24"/>
  <c r="U558" i="24"/>
  <c r="T558" i="24"/>
  <c r="S558" i="24"/>
  <c r="R558" i="24"/>
  <c r="Q558" i="24"/>
  <c r="O558" i="24"/>
  <c r="L558" i="24"/>
  <c r="G558" i="24"/>
  <c r="F558" i="24"/>
  <c r="E558" i="24"/>
  <c r="D558" i="24"/>
  <c r="C558" i="24"/>
  <c r="B558" i="24"/>
  <c r="A558" i="24"/>
  <c r="W557" i="24"/>
  <c r="U557" i="24"/>
  <c r="T557" i="24"/>
  <c r="S557" i="24"/>
  <c r="R557" i="24"/>
  <c r="Q557" i="24"/>
  <c r="O557" i="24"/>
  <c r="L557" i="24"/>
  <c r="I557" i="24"/>
  <c r="H557" i="24"/>
  <c r="G557" i="24"/>
  <c r="F557" i="24"/>
  <c r="E557" i="24"/>
  <c r="D557" i="24"/>
  <c r="C557" i="24"/>
  <c r="B557" i="24"/>
  <c r="A557" i="24"/>
  <c r="W556" i="24"/>
  <c r="U556" i="24"/>
  <c r="T556" i="24"/>
  <c r="S556" i="24"/>
  <c r="R556" i="24"/>
  <c r="Q556" i="24"/>
  <c r="O556" i="24"/>
  <c r="L556" i="24"/>
  <c r="H556" i="24"/>
  <c r="G556" i="24"/>
  <c r="F556" i="24"/>
  <c r="E556" i="24"/>
  <c r="D556" i="24"/>
  <c r="C556" i="24"/>
  <c r="B556" i="24"/>
  <c r="A556" i="24"/>
  <c r="W555" i="24"/>
  <c r="U555" i="24"/>
  <c r="T555" i="24"/>
  <c r="S555" i="24"/>
  <c r="R555" i="24"/>
  <c r="Q555" i="24"/>
  <c r="O555" i="24"/>
  <c r="L555" i="24"/>
  <c r="H555" i="24"/>
  <c r="G555" i="24"/>
  <c r="F555" i="24"/>
  <c r="E555" i="24"/>
  <c r="D555" i="24"/>
  <c r="C555" i="24"/>
  <c r="B555" i="24"/>
  <c r="A555" i="24"/>
  <c r="W554" i="24"/>
  <c r="U554" i="24"/>
  <c r="T554" i="24"/>
  <c r="S554" i="24"/>
  <c r="R554" i="24"/>
  <c r="Q554" i="24"/>
  <c r="O554" i="24"/>
  <c r="L554" i="24"/>
  <c r="H554" i="24"/>
  <c r="G554" i="24"/>
  <c r="F554" i="24"/>
  <c r="E554" i="24"/>
  <c r="D554" i="24"/>
  <c r="C554" i="24"/>
  <c r="B554" i="24"/>
  <c r="A554" i="24"/>
  <c r="W553" i="24"/>
  <c r="U553" i="24"/>
  <c r="T553" i="24"/>
  <c r="S553" i="24"/>
  <c r="R553" i="24"/>
  <c r="Q553" i="24"/>
  <c r="O553" i="24"/>
  <c r="L553" i="24"/>
  <c r="F553" i="24"/>
  <c r="E553" i="24"/>
  <c r="D553" i="24"/>
  <c r="C553" i="24"/>
  <c r="B553" i="24"/>
  <c r="A553" i="24"/>
  <c r="W552" i="24"/>
  <c r="U552" i="24"/>
  <c r="T552" i="24"/>
  <c r="S552" i="24"/>
  <c r="R552" i="24"/>
  <c r="Q552" i="24"/>
  <c r="O552" i="24"/>
  <c r="L552" i="24"/>
  <c r="G552" i="24"/>
  <c r="F552" i="24"/>
  <c r="E552" i="24"/>
  <c r="D552" i="24"/>
  <c r="C552" i="24"/>
  <c r="B552" i="24"/>
  <c r="A552" i="24"/>
  <c r="W551" i="24"/>
  <c r="U551" i="24"/>
  <c r="T551" i="24"/>
  <c r="S551" i="24"/>
  <c r="R551" i="24"/>
  <c r="Q551" i="24"/>
  <c r="O551" i="24"/>
  <c r="L551" i="24"/>
  <c r="G551" i="24"/>
  <c r="F551" i="24"/>
  <c r="E551" i="24"/>
  <c r="D551" i="24"/>
  <c r="C551" i="24"/>
  <c r="B551" i="24"/>
  <c r="A551" i="24"/>
  <c r="W550" i="24"/>
  <c r="U550" i="24"/>
  <c r="T550" i="24"/>
  <c r="S550" i="24"/>
  <c r="R550" i="24"/>
  <c r="Q550" i="24"/>
  <c r="O550" i="24"/>
  <c r="L550" i="24"/>
  <c r="H550" i="24"/>
  <c r="G550" i="24"/>
  <c r="F550" i="24"/>
  <c r="E550" i="24"/>
  <c r="D550" i="24"/>
  <c r="C550" i="24"/>
  <c r="B550" i="24"/>
  <c r="A550" i="24"/>
  <c r="W549" i="24"/>
  <c r="U549" i="24"/>
  <c r="T549" i="24"/>
  <c r="S549" i="24"/>
  <c r="R549" i="24"/>
  <c r="Q549" i="24"/>
  <c r="O549" i="24"/>
  <c r="L549" i="24"/>
  <c r="H549" i="24"/>
  <c r="G549" i="24"/>
  <c r="F549" i="24"/>
  <c r="E549" i="24"/>
  <c r="D549" i="24"/>
  <c r="C549" i="24"/>
  <c r="B549" i="24"/>
  <c r="A549" i="24"/>
  <c r="W548" i="24"/>
  <c r="U548" i="24"/>
  <c r="T548" i="24"/>
  <c r="S548" i="24"/>
  <c r="R548" i="24"/>
  <c r="Q548" i="24"/>
  <c r="O548" i="24"/>
  <c r="L548" i="24"/>
  <c r="G548" i="24"/>
  <c r="F548" i="24"/>
  <c r="E548" i="24"/>
  <c r="D548" i="24"/>
  <c r="C548" i="24"/>
  <c r="B548" i="24"/>
  <c r="A548" i="24"/>
  <c r="W547" i="24"/>
  <c r="U547" i="24"/>
  <c r="T547" i="24"/>
  <c r="S547" i="24"/>
  <c r="R547" i="24"/>
  <c r="Q547" i="24"/>
  <c r="O547" i="24"/>
  <c r="L547" i="24"/>
  <c r="H547" i="24"/>
  <c r="G547" i="24"/>
  <c r="F547" i="24"/>
  <c r="E547" i="24"/>
  <c r="D547" i="24"/>
  <c r="C547" i="24"/>
  <c r="B547" i="24"/>
  <c r="A547" i="24"/>
  <c r="W546" i="24"/>
  <c r="U546" i="24"/>
  <c r="T546" i="24"/>
  <c r="S546" i="24"/>
  <c r="R546" i="24"/>
  <c r="Q546" i="24"/>
  <c r="O546" i="24"/>
  <c r="L546" i="24"/>
  <c r="G546" i="24"/>
  <c r="F546" i="24"/>
  <c r="E546" i="24"/>
  <c r="D546" i="24"/>
  <c r="C546" i="24"/>
  <c r="B546" i="24"/>
  <c r="A546" i="24"/>
  <c r="W545" i="24"/>
  <c r="U545" i="24"/>
  <c r="T545" i="24"/>
  <c r="S545" i="24"/>
  <c r="R545" i="24"/>
  <c r="Q545" i="24"/>
  <c r="O545" i="24"/>
  <c r="M545" i="24"/>
  <c r="L545" i="24"/>
  <c r="F545" i="24"/>
  <c r="E545" i="24"/>
  <c r="D545" i="24"/>
  <c r="C545" i="24"/>
  <c r="B545" i="24"/>
  <c r="A545" i="24"/>
  <c r="W544" i="24"/>
  <c r="U544" i="24"/>
  <c r="T544" i="24"/>
  <c r="S544" i="24"/>
  <c r="R544" i="24"/>
  <c r="Q544" i="24"/>
  <c r="O544" i="24"/>
  <c r="L544" i="24"/>
  <c r="G544" i="24"/>
  <c r="F544" i="24"/>
  <c r="E544" i="24"/>
  <c r="D544" i="24"/>
  <c r="C544" i="24"/>
  <c r="B544" i="24"/>
  <c r="A544" i="24"/>
  <c r="W543" i="24"/>
  <c r="U543" i="24"/>
  <c r="T543" i="24"/>
  <c r="S543" i="24"/>
  <c r="R543" i="24"/>
  <c r="Q543" i="24"/>
  <c r="O543" i="24"/>
  <c r="L543" i="24"/>
  <c r="G543" i="24"/>
  <c r="F543" i="24"/>
  <c r="E543" i="24"/>
  <c r="D543" i="24"/>
  <c r="C543" i="24"/>
  <c r="B543" i="24"/>
  <c r="A543" i="24"/>
  <c r="W542" i="24"/>
  <c r="U542" i="24"/>
  <c r="T542" i="24"/>
  <c r="S542" i="24"/>
  <c r="R542" i="24"/>
  <c r="Q542" i="24"/>
  <c r="O542" i="24"/>
  <c r="L542" i="24"/>
  <c r="G542" i="24"/>
  <c r="F542" i="24"/>
  <c r="E542" i="24"/>
  <c r="D542" i="24"/>
  <c r="C542" i="24"/>
  <c r="B542" i="24"/>
  <c r="A542" i="24"/>
  <c r="W541" i="24"/>
  <c r="U541" i="24"/>
  <c r="T541" i="24"/>
  <c r="S541" i="24"/>
  <c r="R541" i="24"/>
  <c r="Q541" i="24"/>
  <c r="O541" i="24"/>
  <c r="L541" i="24"/>
  <c r="G541" i="24"/>
  <c r="F541" i="24"/>
  <c r="E541" i="24"/>
  <c r="D541" i="24"/>
  <c r="C541" i="24"/>
  <c r="B541" i="24"/>
  <c r="A541" i="24"/>
  <c r="W540" i="24"/>
  <c r="U540" i="24"/>
  <c r="T540" i="24"/>
  <c r="S540" i="24"/>
  <c r="R540" i="24"/>
  <c r="Q540" i="24"/>
  <c r="O540" i="24"/>
  <c r="L540" i="24"/>
  <c r="G540" i="24"/>
  <c r="F540" i="24"/>
  <c r="E540" i="24"/>
  <c r="D540" i="24"/>
  <c r="C540" i="24"/>
  <c r="B540" i="24"/>
  <c r="A540" i="24"/>
  <c r="W539" i="24"/>
  <c r="U539" i="24"/>
  <c r="T539" i="24"/>
  <c r="S539" i="24"/>
  <c r="R539" i="24"/>
  <c r="Q539" i="24"/>
  <c r="O539" i="24"/>
  <c r="L539" i="24"/>
  <c r="F539" i="24"/>
  <c r="E539" i="24"/>
  <c r="D539" i="24"/>
  <c r="C539" i="24"/>
  <c r="B539" i="24"/>
  <c r="A539" i="24"/>
  <c r="W538" i="24"/>
  <c r="U538" i="24"/>
  <c r="T538" i="24"/>
  <c r="S538" i="24"/>
  <c r="R538" i="24"/>
  <c r="Q538" i="24"/>
  <c r="O538" i="24"/>
  <c r="L538" i="24"/>
  <c r="H538" i="24"/>
  <c r="G538" i="24"/>
  <c r="F538" i="24"/>
  <c r="E538" i="24"/>
  <c r="D538" i="24"/>
  <c r="C538" i="24"/>
  <c r="B538" i="24"/>
  <c r="A538" i="24"/>
  <c r="W537" i="24"/>
  <c r="U537" i="24"/>
  <c r="T537" i="24"/>
  <c r="S537" i="24"/>
  <c r="R537" i="24"/>
  <c r="Q537" i="24"/>
  <c r="O537" i="24"/>
  <c r="L537" i="24"/>
  <c r="H537" i="24"/>
  <c r="G537" i="24"/>
  <c r="F537" i="24"/>
  <c r="E537" i="24"/>
  <c r="D537" i="24"/>
  <c r="C537" i="24"/>
  <c r="B537" i="24"/>
  <c r="A537" i="24"/>
  <c r="W536" i="24"/>
  <c r="U536" i="24"/>
  <c r="T536" i="24"/>
  <c r="S536" i="24"/>
  <c r="R536" i="24"/>
  <c r="Q536" i="24"/>
  <c r="O536" i="24"/>
  <c r="M536" i="24"/>
  <c r="L536" i="24"/>
  <c r="F536" i="24"/>
  <c r="E536" i="24"/>
  <c r="D536" i="24"/>
  <c r="C536" i="24"/>
  <c r="B536" i="24"/>
  <c r="A536" i="24"/>
  <c r="W535" i="24"/>
  <c r="U535" i="24"/>
  <c r="T535" i="24"/>
  <c r="S535" i="24"/>
  <c r="R535" i="24"/>
  <c r="Q535" i="24"/>
  <c r="O535" i="24"/>
  <c r="L535" i="24"/>
  <c r="H535" i="24"/>
  <c r="G535" i="24"/>
  <c r="F535" i="24"/>
  <c r="E535" i="24"/>
  <c r="D535" i="24"/>
  <c r="C535" i="24"/>
  <c r="B535" i="24"/>
  <c r="A535" i="24"/>
  <c r="W534" i="24"/>
  <c r="V534" i="24"/>
  <c r="U534" i="24"/>
  <c r="T534" i="24"/>
  <c r="S534" i="24"/>
  <c r="R534" i="24"/>
  <c r="Q534" i="24"/>
  <c r="O534" i="24"/>
  <c r="M534" i="24"/>
  <c r="L534" i="24"/>
  <c r="G534" i="24"/>
  <c r="F534" i="24"/>
  <c r="E534" i="24"/>
  <c r="D534" i="24"/>
  <c r="C534" i="24"/>
  <c r="B534" i="24"/>
  <c r="A534" i="24"/>
  <c r="W533" i="24"/>
  <c r="U533" i="24"/>
  <c r="T533" i="24"/>
  <c r="S533" i="24"/>
  <c r="R533" i="24"/>
  <c r="Q533" i="24"/>
  <c r="O533" i="24"/>
  <c r="L533" i="24"/>
  <c r="G533" i="24"/>
  <c r="F533" i="24"/>
  <c r="E533" i="24"/>
  <c r="D533" i="24"/>
  <c r="C533" i="24"/>
  <c r="B533" i="24"/>
  <c r="A533" i="24"/>
  <c r="W532" i="24"/>
  <c r="U532" i="24"/>
  <c r="T532" i="24"/>
  <c r="S532" i="24"/>
  <c r="R532" i="24"/>
  <c r="Q532" i="24"/>
  <c r="O532" i="24"/>
  <c r="L532" i="24"/>
  <c r="G532" i="24"/>
  <c r="F532" i="24"/>
  <c r="E532" i="24"/>
  <c r="D532" i="24"/>
  <c r="C532" i="24"/>
  <c r="B532" i="24"/>
  <c r="A532" i="24"/>
  <c r="W531" i="24"/>
  <c r="U531" i="24"/>
  <c r="T531" i="24"/>
  <c r="S531" i="24"/>
  <c r="R531" i="24"/>
  <c r="Q531" i="24"/>
  <c r="O531" i="24"/>
  <c r="M531" i="24"/>
  <c r="L531" i="24"/>
  <c r="H531" i="24"/>
  <c r="G531" i="24"/>
  <c r="F531" i="24"/>
  <c r="E531" i="24"/>
  <c r="D531" i="24"/>
  <c r="C531" i="24"/>
  <c r="B531" i="24"/>
  <c r="A531" i="24"/>
  <c r="W530" i="24"/>
  <c r="V530" i="24"/>
  <c r="U530" i="24"/>
  <c r="T530" i="24"/>
  <c r="S530" i="24"/>
  <c r="R530" i="24"/>
  <c r="Q530" i="24"/>
  <c r="O530" i="24"/>
  <c r="N530" i="24"/>
  <c r="M530" i="24"/>
  <c r="L530" i="24"/>
  <c r="I530" i="24"/>
  <c r="H530" i="24"/>
  <c r="G530" i="24"/>
  <c r="F530" i="24"/>
  <c r="E530" i="24"/>
  <c r="D530" i="24"/>
  <c r="C530" i="24"/>
  <c r="B530" i="24"/>
  <c r="A530" i="24"/>
  <c r="W529" i="24"/>
  <c r="U529" i="24"/>
  <c r="T529" i="24"/>
  <c r="S529" i="24"/>
  <c r="R529" i="24"/>
  <c r="Q529" i="24"/>
  <c r="O529" i="24"/>
  <c r="L529" i="24"/>
  <c r="G529" i="24"/>
  <c r="F529" i="24"/>
  <c r="E529" i="24"/>
  <c r="D529" i="24"/>
  <c r="C529" i="24"/>
  <c r="B529" i="24"/>
  <c r="A529" i="24"/>
  <c r="W528" i="24"/>
  <c r="U528" i="24"/>
  <c r="T528" i="24"/>
  <c r="S528" i="24"/>
  <c r="R528" i="24"/>
  <c r="Q528" i="24"/>
  <c r="O528" i="24"/>
  <c r="L528" i="24"/>
  <c r="I528" i="24"/>
  <c r="H528" i="24"/>
  <c r="G528" i="24"/>
  <c r="F528" i="24"/>
  <c r="E528" i="24"/>
  <c r="D528" i="24"/>
  <c r="C528" i="24"/>
  <c r="B528" i="24"/>
  <c r="A528" i="24"/>
  <c r="W527" i="24"/>
  <c r="U527" i="24"/>
  <c r="T527" i="24"/>
  <c r="S527" i="24"/>
  <c r="R527" i="24"/>
  <c r="Q527" i="24"/>
  <c r="O527" i="24"/>
  <c r="L527" i="24"/>
  <c r="I527" i="24"/>
  <c r="H527" i="24"/>
  <c r="G527" i="24"/>
  <c r="F527" i="24"/>
  <c r="E527" i="24"/>
  <c r="D527" i="24"/>
  <c r="C527" i="24"/>
  <c r="B527" i="24"/>
  <c r="A527" i="24"/>
  <c r="W526" i="24"/>
  <c r="U526" i="24"/>
  <c r="T526" i="24"/>
  <c r="S526" i="24"/>
  <c r="R526" i="24"/>
  <c r="Q526" i="24"/>
  <c r="O526" i="24"/>
  <c r="L526" i="24"/>
  <c r="F526" i="24"/>
  <c r="E526" i="24"/>
  <c r="D526" i="24"/>
  <c r="C526" i="24"/>
  <c r="B526" i="24"/>
  <c r="A526" i="24"/>
  <c r="W525" i="24"/>
  <c r="V525" i="24"/>
  <c r="U525" i="24"/>
  <c r="T525" i="24"/>
  <c r="S525" i="24"/>
  <c r="R525" i="24"/>
  <c r="Q525" i="24"/>
  <c r="O525" i="24"/>
  <c r="L525" i="24"/>
  <c r="I525" i="24"/>
  <c r="H525" i="24"/>
  <c r="G525" i="24"/>
  <c r="F525" i="24"/>
  <c r="E525" i="24"/>
  <c r="D525" i="24"/>
  <c r="C525" i="24"/>
  <c r="B525" i="24"/>
  <c r="A525" i="24"/>
  <c r="W524" i="24"/>
  <c r="U524" i="24"/>
  <c r="T524" i="24"/>
  <c r="S524" i="24"/>
  <c r="R524" i="24"/>
  <c r="Q524" i="24"/>
  <c r="O524" i="24"/>
  <c r="M524" i="24"/>
  <c r="L524" i="24"/>
  <c r="I524" i="24"/>
  <c r="H524" i="24"/>
  <c r="G524" i="24"/>
  <c r="F524" i="24"/>
  <c r="E524" i="24"/>
  <c r="D524" i="24"/>
  <c r="C524" i="24"/>
  <c r="B524" i="24"/>
  <c r="A524" i="24"/>
  <c r="W523" i="24"/>
  <c r="U523" i="24"/>
  <c r="T523" i="24"/>
  <c r="S523" i="24"/>
  <c r="R523" i="24"/>
  <c r="Q523" i="24"/>
  <c r="O523" i="24"/>
  <c r="L523" i="24"/>
  <c r="I523" i="24"/>
  <c r="H523" i="24"/>
  <c r="G523" i="24"/>
  <c r="F523" i="24"/>
  <c r="E523" i="24"/>
  <c r="D523" i="24"/>
  <c r="C523" i="24"/>
  <c r="B523" i="24"/>
  <c r="A523" i="24"/>
  <c r="W522" i="24"/>
  <c r="U522" i="24"/>
  <c r="T522" i="24"/>
  <c r="S522" i="24"/>
  <c r="R522" i="24"/>
  <c r="Q522" i="24"/>
  <c r="O522" i="24"/>
  <c r="M522" i="24"/>
  <c r="L522" i="24"/>
  <c r="G522" i="24"/>
  <c r="F522" i="24"/>
  <c r="E522" i="24"/>
  <c r="D522" i="24"/>
  <c r="C522" i="24"/>
  <c r="B522" i="24"/>
  <c r="A522" i="24"/>
  <c r="W521" i="24"/>
  <c r="U521" i="24"/>
  <c r="T521" i="24"/>
  <c r="S521" i="24"/>
  <c r="R521" i="24"/>
  <c r="Q521" i="24"/>
  <c r="O521" i="24"/>
  <c r="L521" i="24"/>
  <c r="F521" i="24"/>
  <c r="E521" i="24"/>
  <c r="D521" i="24"/>
  <c r="C521" i="24"/>
  <c r="B521" i="24"/>
  <c r="A521" i="24"/>
  <c r="W520" i="24"/>
  <c r="U520" i="24"/>
  <c r="T520" i="24"/>
  <c r="S520" i="24"/>
  <c r="R520" i="24"/>
  <c r="Q520" i="24"/>
  <c r="O520" i="24"/>
  <c r="M520" i="24"/>
  <c r="L520" i="24"/>
  <c r="H520" i="24"/>
  <c r="G520" i="24"/>
  <c r="F520" i="24"/>
  <c r="E520" i="24"/>
  <c r="D520" i="24"/>
  <c r="C520" i="24"/>
  <c r="B520" i="24"/>
  <c r="A520" i="24"/>
  <c r="W519" i="24"/>
  <c r="U519" i="24"/>
  <c r="T519" i="24"/>
  <c r="S519" i="24"/>
  <c r="R519" i="24"/>
  <c r="Q519" i="24"/>
  <c r="O519" i="24"/>
  <c r="L519" i="24"/>
  <c r="H519" i="24"/>
  <c r="G519" i="24"/>
  <c r="F519" i="24"/>
  <c r="E519" i="24"/>
  <c r="D519" i="24"/>
  <c r="C519" i="24"/>
  <c r="B519" i="24"/>
  <c r="A519" i="24"/>
  <c r="W518" i="24"/>
  <c r="U518" i="24"/>
  <c r="T518" i="24"/>
  <c r="S518" i="24"/>
  <c r="R518" i="24"/>
  <c r="Q518" i="24"/>
  <c r="O518" i="24"/>
  <c r="L518" i="24"/>
  <c r="G518" i="24"/>
  <c r="F518" i="24"/>
  <c r="E518" i="24"/>
  <c r="D518" i="24"/>
  <c r="C518" i="24"/>
  <c r="B518" i="24"/>
  <c r="A518" i="24"/>
  <c r="W517" i="24"/>
  <c r="V517" i="24"/>
  <c r="U517" i="24"/>
  <c r="T517" i="24"/>
  <c r="S517" i="24"/>
  <c r="R517" i="24"/>
  <c r="Q517" i="24"/>
  <c r="O517" i="24"/>
  <c r="L517" i="24"/>
  <c r="F517" i="24"/>
  <c r="E517" i="24"/>
  <c r="D517" i="24"/>
  <c r="C517" i="24"/>
  <c r="B517" i="24"/>
  <c r="A517" i="24"/>
  <c r="W516" i="24"/>
  <c r="U516" i="24"/>
  <c r="T516" i="24"/>
  <c r="S516" i="24"/>
  <c r="R516" i="24"/>
  <c r="Q516" i="24"/>
  <c r="O516" i="24"/>
  <c r="L516" i="24"/>
  <c r="G516" i="24"/>
  <c r="F516" i="24"/>
  <c r="E516" i="24"/>
  <c r="D516" i="24"/>
  <c r="C516" i="24"/>
  <c r="B516" i="24"/>
  <c r="A516" i="24"/>
  <c r="W515" i="24"/>
  <c r="U515" i="24"/>
  <c r="T515" i="24"/>
  <c r="S515" i="24"/>
  <c r="R515" i="24"/>
  <c r="Q515" i="24"/>
  <c r="O515" i="24"/>
  <c r="L515" i="24"/>
  <c r="F515" i="24"/>
  <c r="E515" i="24"/>
  <c r="D515" i="24"/>
  <c r="C515" i="24"/>
  <c r="B515" i="24"/>
  <c r="A515" i="24"/>
  <c r="W514" i="24"/>
  <c r="U514" i="24"/>
  <c r="T514" i="24"/>
  <c r="S514" i="24"/>
  <c r="R514" i="24"/>
  <c r="Q514" i="24"/>
  <c r="O514" i="24"/>
  <c r="L514" i="24"/>
  <c r="G514" i="24"/>
  <c r="F514" i="24"/>
  <c r="E514" i="24"/>
  <c r="D514" i="24"/>
  <c r="C514" i="24"/>
  <c r="B514" i="24"/>
  <c r="A514" i="24"/>
  <c r="W513" i="24"/>
  <c r="U513" i="24"/>
  <c r="T513" i="24"/>
  <c r="S513" i="24"/>
  <c r="R513" i="24"/>
  <c r="Q513" i="24"/>
  <c r="O513" i="24"/>
  <c r="L513" i="24"/>
  <c r="H513" i="24"/>
  <c r="G513" i="24"/>
  <c r="F513" i="24"/>
  <c r="E513" i="24"/>
  <c r="D513" i="24"/>
  <c r="C513" i="24"/>
  <c r="B513" i="24"/>
  <c r="A513" i="24"/>
  <c r="W512" i="24"/>
  <c r="U512" i="24"/>
  <c r="T512" i="24"/>
  <c r="S512" i="24"/>
  <c r="R512" i="24"/>
  <c r="Q512" i="24"/>
  <c r="O512" i="24"/>
  <c r="L512" i="24"/>
  <c r="G512" i="24"/>
  <c r="F512" i="24"/>
  <c r="E512" i="24"/>
  <c r="D512" i="24"/>
  <c r="C512" i="24"/>
  <c r="B512" i="24"/>
  <c r="A512" i="24"/>
  <c r="W511" i="24"/>
  <c r="U511" i="24"/>
  <c r="T511" i="24"/>
  <c r="S511" i="24"/>
  <c r="R511" i="24"/>
  <c r="Q511" i="24"/>
  <c r="O511" i="24"/>
  <c r="M511" i="24"/>
  <c r="L511" i="24"/>
  <c r="G511" i="24"/>
  <c r="F511" i="24"/>
  <c r="E511" i="24"/>
  <c r="D511" i="24"/>
  <c r="C511" i="24"/>
  <c r="B511" i="24"/>
  <c r="A511" i="24"/>
  <c r="W510" i="24"/>
  <c r="U510" i="24"/>
  <c r="T510" i="24"/>
  <c r="S510" i="24"/>
  <c r="R510" i="24"/>
  <c r="Q510" i="24"/>
  <c r="O510" i="24"/>
  <c r="L510" i="24"/>
  <c r="G510" i="24"/>
  <c r="F510" i="24"/>
  <c r="E510" i="24"/>
  <c r="D510" i="24"/>
  <c r="C510" i="24"/>
  <c r="B510" i="24"/>
  <c r="A510" i="24"/>
  <c r="W509" i="24"/>
  <c r="U509" i="24"/>
  <c r="T509" i="24"/>
  <c r="S509" i="24"/>
  <c r="R509" i="24"/>
  <c r="Q509" i="24"/>
  <c r="O509" i="24"/>
  <c r="L509" i="24"/>
  <c r="F509" i="24"/>
  <c r="E509" i="24"/>
  <c r="D509" i="24"/>
  <c r="C509" i="24"/>
  <c r="B509" i="24"/>
  <c r="A509" i="24"/>
  <c r="W508" i="24"/>
  <c r="U508" i="24"/>
  <c r="T508" i="24"/>
  <c r="S508" i="24"/>
  <c r="R508" i="24"/>
  <c r="Q508" i="24"/>
  <c r="O508" i="24"/>
  <c r="L508" i="24"/>
  <c r="F508" i="24"/>
  <c r="E508" i="24"/>
  <c r="D508" i="24"/>
  <c r="C508" i="24"/>
  <c r="B508" i="24"/>
  <c r="A508" i="24"/>
  <c r="W507" i="24"/>
  <c r="U507" i="24"/>
  <c r="T507" i="24"/>
  <c r="S507" i="24"/>
  <c r="R507" i="24"/>
  <c r="Q507" i="24"/>
  <c r="O507" i="24"/>
  <c r="L507" i="24"/>
  <c r="J507" i="24"/>
  <c r="I507" i="24"/>
  <c r="H507" i="24"/>
  <c r="G507" i="24"/>
  <c r="F507" i="24"/>
  <c r="E507" i="24"/>
  <c r="D507" i="24"/>
  <c r="C507" i="24"/>
  <c r="B507" i="24"/>
  <c r="A507" i="24"/>
  <c r="W506" i="24"/>
  <c r="U506" i="24"/>
  <c r="T506" i="24"/>
  <c r="S506" i="24"/>
  <c r="R506" i="24"/>
  <c r="Q506" i="24"/>
  <c r="O506" i="24"/>
  <c r="L506" i="24"/>
  <c r="G506" i="24"/>
  <c r="F506" i="24"/>
  <c r="E506" i="24"/>
  <c r="D506" i="24"/>
  <c r="C506" i="24"/>
  <c r="B506" i="24"/>
  <c r="A506" i="24"/>
  <c r="W505" i="24"/>
  <c r="U505" i="24"/>
  <c r="T505" i="24"/>
  <c r="S505" i="24"/>
  <c r="R505" i="24"/>
  <c r="Q505" i="24"/>
  <c r="O505" i="24"/>
  <c r="M505" i="24"/>
  <c r="L505" i="24"/>
  <c r="G505" i="24"/>
  <c r="F505" i="24"/>
  <c r="E505" i="24"/>
  <c r="D505" i="24"/>
  <c r="C505" i="24"/>
  <c r="B505" i="24"/>
  <c r="A505" i="24"/>
  <c r="W504" i="24"/>
  <c r="U504" i="24"/>
  <c r="T504" i="24"/>
  <c r="S504" i="24"/>
  <c r="R504" i="24"/>
  <c r="Q504" i="24"/>
  <c r="O504" i="24"/>
  <c r="L504" i="24"/>
  <c r="G504" i="24"/>
  <c r="F504" i="24"/>
  <c r="E504" i="24"/>
  <c r="D504" i="24"/>
  <c r="C504" i="24"/>
  <c r="B504" i="24"/>
  <c r="A504" i="24"/>
  <c r="W503" i="24"/>
  <c r="V503" i="24"/>
  <c r="U503" i="24"/>
  <c r="T503" i="24"/>
  <c r="S503" i="24"/>
  <c r="R503" i="24"/>
  <c r="Q503" i="24"/>
  <c r="O503" i="24"/>
  <c r="L503" i="24"/>
  <c r="F503" i="24"/>
  <c r="E503" i="24"/>
  <c r="D503" i="24"/>
  <c r="C503" i="24"/>
  <c r="B503" i="24"/>
  <c r="A503" i="24"/>
  <c r="W502" i="24"/>
  <c r="U502" i="24"/>
  <c r="T502" i="24"/>
  <c r="S502" i="24"/>
  <c r="R502" i="24"/>
  <c r="Q502" i="24"/>
  <c r="O502" i="24"/>
  <c r="M502" i="24"/>
  <c r="L502" i="24"/>
  <c r="H502" i="24"/>
  <c r="G502" i="24"/>
  <c r="F502" i="24"/>
  <c r="E502" i="24"/>
  <c r="D502" i="24"/>
  <c r="C502" i="24"/>
  <c r="B502" i="24"/>
  <c r="A502" i="24"/>
  <c r="W501" i="24"/>
  <c r="U501" i="24"/>
  <c r="T501" i="24"/>
  <c r="S501" i="24"/>
  <c r="R501" i="24"/>
  <c r="Q501" i="24"/>
  <c r="O501" i="24"/>
  <c r="L501" i="24"/>
  <c r="G501" i="24"/>
  <c r="F501" i="24"/>
  <c r="E501" i="24"/>
  <c r="D501" i="24"/>
  <c r="C501" i="24"/>
  <c r="B501" i="24"/>
  <c r="A501" i="24"/>
  <c r="W500" i="24"/>
  <c r="U500" i="24"/>
  <c r="T500" i="24"/>
  <c r="S500" i="24"/>
  <c r="R500" i="24"/>
  <c r="Q500" i="24"/>
  <c r="O500" i="24"/>
  <c r="L500" i="24"/>
  <c r="F500" i="24"/>
  <c r="E500" i="24"/>
  <c r="D500" i="24"/>
  <c r="C500" i="24"/>
  <c r="B500" i="24"/>
  <c r="A500" i="24"/>
  <c r="W499" i="24"/>
  <c r="U499" i="24"/>
  <c r="T499" i="24"/>
  <c r="S499" i="24"/>
  <c r="R499" i="24"/>
  <c r="Q499" i="24"/>
  <c r="O499" i="24"/>
  <c r="L499" i="24"/>
  <c r="I499" i="24"/>
  <c r="H499" i="24"/>
  <c r="G499" i="24"/>
  <c r="F499" i="24"/>
  <c r="E499" i="24"/>
  <c r="D499" i="24"/>
  <c r="C499" i="24"/>
  <c r="B499" i="24"/>
  <c r="A499" i="24"/>
  <c r="W498" i="24"/>
  <c r="U498" i="24"/>
  <c r="T498" i="24"/>
  <c r="S498" i="24"/>
  <c r="R498" i="24"/>
  <c r="Q498" i="24"/>
  <c r="O498" i="24"/>
  <c r="L498" i="24"/>
  <c r="F498" i="24"/>
  <c r="E498" i="24"/>
  <c r="D498" i="24"/>
  <c r="C498" i="24"/>
  <c r="B498" i="24"/>
  <c r="A498" i="24"/>
  <c r="W497" i="24"/>
  <c r="U497" i="24"/>
  <c r="T497" i="24"/>
  <c r="S497" i="24"/>
  <c r="R497" i="24"/>
  <c r="Q497" i="24"/>
  <c r="O497" i="24"/>
  <c r="L497" i="24"/>
  <c r="I497" i="24"/>
  <c r="H497" i="24"/>
  <c r="G497" i="24"/>
  <c r="F497" i="24"/>
  <c r="E497" i="24"/>
  <c r="D497" i="24"/>
  <c r="C497" i="24"/>
  <c r="B497" i="24"/>
  <c r="A497" i="24"/>
  <c r="W496" i="24"/>
  <c r="U496" i="24"/>
  <c r="T496" i="24"/>
  <c r="S496" i="24"/>
  <c r="R496" i="24"/>
  <c r="Q496" i="24"/>
  <c r="O496" i="24"/>
  <c r="L496" i="24"/>
  <c r="F496" i="24"/>
  <c r="E496" i="24"/>
  <c r="D496" i="24"/>
  <c r="C496" i="24"/>
  <c r="B496" i="24"/>
  <c r="A496" i="24"/>
  <c r="W495" i="24"/>
  <c r="U495" i="24"/>
  <c r="T495" i="24"/>
  <c r="S495" i="24"/>
  <c r="R495" i="24"/>
  <c r="Q495" i="24"/>
  <c r="O495" i="24"/>
  <c r="L495" i="24"/>
  <c r="H495" i="24"/>
  <c r="G495" i="24"/>
  <c r="F495" i="24"/>
  <c r="E495" i="24"/>
  <c r="D495" i="24"/>
  <c r="C495" i="24"/>
  <c r="B495" i="24"/>
  <c r="A495" i="24"/>
  <c r="W494" i="24"/>
  <c r="V494" i="24"/>
  <c r="U494" i="24"/>
  <c r="T494" i="24"/>
  <c r="S494" i="24"/>
  <c r="R494" i="24"/>
  <c r="Q494" i="24"/>
  <c r="O494" i="24"/>
  <c r="L494" i="24"/>
  <c r="F494" i="24"/>
  <c r="E494" i="24"/>
  <c r="D494" i="24"/>
  <c r="C494" i="24"/>
  <c r="B494" i="24"/>
  <c r="A494" i="24"/>
  <c r="W493" i="24"/>
  <c r="U493" i="24"/>
  <c r="T493" i="24"/>
  <c r="S493" i="24"/>
  <c r="R493" i="24"/>
  <c r="Q493" i="24"/>
  <c r="O493" i="24"/>
  <c r="L493" i="24"/>
  <c r="H493" i="24"/>
  <c r="G493" i="24"/>
  <c r="F493" i="24"/>
  <c r="E493" i="24"/>
  <c r="D493" i="24"/>
  <c r="C493" i="24"/>
  <c r="B493" i="24"/>
  <c r="A493" i="24"/>
  <c r="W492" i="24"/>
  <c r="U492" i="24"/>
  <c r="T492" i="24"/>
  <c r="S492" i="24"/>
  <c r="R492" i="24"/>
  <c r="Q492" i="24"/>
  <c r="O492" i="24"/>
  <c r="L492" i="24"/>
  <c r="G492" i="24"/>
  <c r="F492" i="24"/>
  <c r="E492" i="24"/>
  <c r="D492" i="24"/>
  <c r="C492" i="24"/>
  <c r="B492" i="24"/>
  <c r="A492" i="24"/>
  <c r="W491" i="24"/>
  <c r="U491" i="24"/>
  <c r="T491" i="24"/>
  <c r="S491" i="24"/>
  <c r="R491" i="24"/>
  <c r="Q491" i="24"/>
  <c r="O491" i="24"/>
  <c r="L491" i="24"/>
  <c r="H491" i="24"/>
  <c r="G491" i="24"/>
  <c r="F491" i="24"/>
  <c r="E491" i="24"/>
  <c r="D491" i="24"/>
  <c r="C491" i="24"/>
  <c r="B491" i="24"/>
  <c r="A491" i="24"/>
  <c r="W490" i="24"/>
  <c r="U490" i="24"/>
  <c r="T490" i="24"/>
  <c r="S490" i="24"/>
  <c r="R490" i="24"/>
  <c r="Q490" i="24"/>
  <c r="O490" i="24"/>
  <c r="L490" i="24"/>
  <c r="G490" i="24"/>
  <c r="F490" i="24"/>
  <c r="E490" i="24"/>
  <c r="D490" i="24"/>
  <c r="C490" i="24"/>
  <c r="B490" i="24"/>
  <c r="A490" i="24"/>
  <c r="W489" i="24"/>
  <c r="U489" i="24"/>
  <c r="T489" i="24"/>
  <c r="S489" i="24"/>
  <c r="R489" i="24"/>
  <c r="Q489" i="24"/>
  <c r="O489" i="24"/>
  <c r="L489" i="24"/>
  <c r="G489" i="24"/>
  <c r="F489" i="24"/>
  <c r="E489" i="24"/>
  <c r="D489" i="24"/>
  <c r="C489" i="24"/>
  <c r="B489" i="24"/>
  <c r="A489" i="24"/>
  <c r="W488" i="24"/>
  <c r="U488" i="24"/>
  <c r="T488" i="24"/>
  <c r="S488" i="24"/>
  <c r="R488" i="24"/>
  <c r="Q488" i="24"/>
  <c r="O488" i="24"/>
  <c r="L488" i="24"/>
  <c r="G488" i="24"/>
  <c r="F488" i="24"/>
  <c r="E488" i="24"/>
  <c r="D488" i="24"/>
  <c r="C488" i="24"/>
  <c r="B488" i="24"/>
  <c r="A488" i="24"/>
  <c r="W487" i="24"/>
  <c r="U487" i="24"/>
  <c r="T487" i="24"/>
  <c r="S487" i="24"/>
  <c r="R487" i="24"/>
  <c r="Q487" i="24"/>
  <c r="O487" i="24"/>
  <c r="L487" i="24"/>
  <c r="F487" i="24"/>
  <c r="E487" i="24"/>
  <c r="D487" i="24"/>
  <c r="C487" i="24"/>
  <c r="B487" i="24"/>
  <c r="A487" i="24"/>
  <c r="W486" i="24"/>
  <c r="V486" i="24"/>
  <c r="U486" i="24"/>
  <c r="T486" i="24"/>
  <c r="S486" i="24"/>
  <c r="R486" i="24"/>
  <c r="Q486" i="24"/>
  <c r="O486" i="24"/>
  <c r="L486" i="24"/>
  <c r="H486" i="24"/>
  <c r="G486" i="24"/>
  <c r="F486" i="24"/>
  <c r="E486" i="24"/>
  <c r="D486" i="24"/>
  <c r="C486" i="24"/>
  <c r="B486" i="24"/>
  <c r="A486" i="24"/>
  <c r="W485" i="24"/>
  <c r="U485" i="24"/>
  <c r="T485" i="24"/>
  <c r="S485" i="24"/>
  <c r="R485" i="24"/>
  <c r="Q485" i="24"/>
  <c r="O485" i="24"/>
  <c r="L485" i="24"/>
  <c r="G485" i="24"/>
  <c r="F485" i="24"/>
  <c r="E485" i="24"/>
  <c r="D485" i="24"/>
  <c r="C485" i="24"/>
  <c r="B485" i="24"/>
  <c r="A485" i="24"/>
  <c r="W484" i="24"/>
  <c r="U484" i="24"/>
  <c r="T484" i="24"/>
  <c r="S484" i="24"/>
  <c r="R484" i="24"/>
  <c r="Q484" i="24"/>
  <c r="O484" i="24"/>
  <c r="L484" i="24"/>
  <c r="G484" i="24"/>
  <c r="F484" i="24"/>
  <c r="E484" i="24"/>
  <c r="D484" i="24"/>
  <c r="C484" i="24"/>
  <c r="B484" i="24"/>
  <c r="A484" i="24"/>
  <c r="W483" i="24"/>
  <c r="U483" i="24"/>
  <c r="T483" i="24"/>
  <c r="S483" i="24"/>
  <c r="R483" i="24"/>
  <c r="Q483" i="24"/>
  <c r="O483" i="24"/>
  <c r="L483" i="24"/>
  <c r="H483" i="24"/>
  <c r="G483" i="24"/>
  <c r="F483" i="24"/>
  <c r="E483" i="24"/>
  <c r="D483" i="24"/>
  <c r="C483" i="24"/>
  <c r="B483" i="24"/>
  <c r="A483" i="24"/>
  <c r="W482" i="24"/>
  <c r="U482" i="24"/>
  <c r="T482" i="24"/>
  <c r="S482" i="24"/>
  <c r="R482" i="24"/>
  <c r="Q482" i="24"/>
  <c r="O482" i="24"/>
  <c r="L482" i="24"/>
  <c r="K482" i="24"/>
  <c r="J482" i="24"/>
  <c r="I482" i="24"/>
  <c r="H482" i="24"/>
  <c r="G482" i="24"/>
  <c r="F482" i="24"/>
  <c r="E482" i="24"/>
  <c r="D482" i="24"/>
  <c r="C482" i="24"/>
  <c r="B482" i="24"/>
  <c r="A482" i="24"/>
  <c r="W481" i="24"/>
  <c r="U481" i="24"/>
  <c r="T481" i="24"/>
  <c r="S481" i="24"/>
  <c r="R481" i="24"/>
  <c r="Q481" i="24"/>
  <c r="O481" i="24"/>
  <c r="L481" i="24"/>
  <c r="G481" i="24"/>
  <c r="F481" i="24"/>
  <c r="E481" i="24"/>
  <c r="D481" i="24"/>
  <c r="C481" i="24"/>
  <c r="B481" i="24"/>
  <c r="A481" i="24"/>
  <c r="W480" i="24"/>
  <c r="U480" i="24"/>
  <c r="T480" i="24"/>
  <c r="S480" i="24"/>
  <c r="R480" i="24"/>
  <c r="Q480" i="24"/>
  <c r="O480" i="24"/>
  <c r="L480" i="24"/>
  <c r="F480" i="24"/>
  <c r="E480" i="24"/>
  <c r="D480" i="24"/>
  <c r="C480" i="24"/>
  <c r="B480" i="24"/>
  <c r="A480" i="24"/>
  <c r="W479" i="24"/>
  <c r="U479" i="24"/>
  <c r="T479" i="24"/>
  <c r="S479" i="24"/>
  <c r="R479" i="24"/>
  <c r="Q479" i="24"/>
  <c r="O479" i="24"/>
  <c r="L479" i="24"/>
  <c r="H479" i="24"/>
  <c r="G479" i="24"/>
  <c r="F479" i="24"/>
  <c r="E479" i="24"/>
  <c r="D479" i="24"/>
  <c r="C479" i="24"/>
  <c r="B479" i="24"/>
  <c r="A479" i="24"/>
  <c r="W478" i="24"/>
  <c r="U478" i="24"/>
  <c r="T478" i="24"/>
  <c r="S478" i="24"/>
  <c r="R478" i="24"/>
  <c r="Q478" i="24"/>
  <c r="O478" i="24"/>
  <c r="L478" i="24"/>
  <c r="G478" i="24"/>
  <c r="F478" i="24"/>
  <c r="E478" i="24"/>
  <c r="D478" i="24"/>
  <c r="C478" i="24"/>
  <c r="B478" i="24"/>
  <c r="A478" i="24"/>
  <c r="W477" i="24"/>
  <c r="U477" i="24"/>
  <c r="T477" i="24"/>
  <c r="S477" i="24"/>
  <c r="R477" i="24"/>
  <c r="Q477" i="24"/>
  <c r="O477" i="24"/>
  <c r="L477" i="24"/>
  <c r="G477" i="24"/>
  <c r="F477" i="24"/>
  <c r="E477" i="24"/>
  <c r="D477" i="24"/>
  <c r="C477" i="24"/>
  <c r="B477" i="24"/>
  <c r="A477" i="24"/>
  <c r="W476" i="24"/>
  <c r="U476" i="24"/>
  <c r="T476" i="24"/>
  <c r="S476" i="24"/>
  <c r="R476" i="24"/>
  <c r="Q476" i="24"/>
  <c r="O476" i="24"/>
  <c r="L476" i="24"/>
  <c r="H476" i="24"/>
  <c r="G476" i="24"/>
  <c r="F476" i="24"/>
  <c r="E476" i="24"/>
  <c r="D476" i="24"/>
  <c r="C476" i="24"/>
  <c r="B476" i="24"/>
  <c r="A476" i="24"/>
  <c r="W475" i="24"/>
  <c r="U475" i="24"/>
  <c r="T475" i="24"/>
  <c r="S475" i="24"/>
  <c r="R475" i="24"/>
  <c r="Q475" i="24"/>
  <c r="O475" i="24"/>
  <c r="L475" i="24"/>
  <c r="I475" i="24"/>
  <c r="H475" i="24"/>
  <c r="G475" i="24"/>
  <c r="F475" i="24"/>
  <c r="E475" i="24"/>
  <c r="D475" i="24"/>
  <c r="C475" i="24"/>
  <c r="B475" i="24"/>
  <c r="A475" i="24"/>
  <c r="W474" i="24"/>
  <c r="U474" i="24"/>
  <c r="T474" i="24"/>
  <c r="S474" i="24"/>
  <c r="R474" i="24"/>
  <c r="Q474" i="24"/>
  <c r="O474" i="24"/>
  <c r="L474" i="24"/>
  <c r="G474" i="24"/>
  <c r="F474" i="24"/>
  <c r="E474" i="24"/>
  <c r="D474" i="24"/>
  <c r="C474" i="24"/>
  <c r="B474" i="24"/>
  <c r="A474" i="24"/>
  <c r="W473" i="24"/>
  <c r="U473" i="24"/>
  <c r="T473" i="24"/>
  <c r="S473" i="24"/>
  <c r="R473" i="24"/>
  <c r="Q473" i="24"/>
  <c r="O473" i="24"/>
  <c r="L473" i="24"/>
  <c r="G473" i="24"/>
  <c r="F473" i="24"/>
  <c r="E473" i="24"/>
  <c r="D473" i="24"/>
  <c r="C473" i="24"/>
  <c r="B473" i="24"/>
  <c r="A473" i="24"/>
  <c r="W472" i="24"/>
  <c r="U472" i="24"/>
  <c r="T472" i="24"/>
  <c r="S472" i="24"/>
  <c r="R472" i="24"/>
  <c r="Q472" i="24"/>
  <c r="O472" i="24"/>
  <c r="L472" i="24"/>
  <c r="K472" i="24"/>
  <c r="J472" i="24"/>
  <c r="I472" i="24"/>
  <c r="H472" i="24"/>
  <c r="G472" i="24"/>
  <c r="F472" i="24"/>
  <c r="E472" i="24"/>
  <c r="D472" i="24"/>
  <c r="C472" i="24"/>
  <c r="B472" i="24"/>
  <c r="A472" i="24"/>
  <c r="W471" i="24"/>
  <c r="U471" i="24"/>
  <c r="T471" i="24"/>
  <c r="S471" i="24"/>
  <c r="R471" i="24"/>
  <c r="Q471" i="24"/>
  <c r="O471" i="24"/>
  <c r="M471" i="24"/>
  <c r="L471" i="24"/>
  <c r="H471" i="24"/>
  <c r="G471" i="24"/>
  <c r="F471" i="24"/>
  <c r="E471" i="24"/>
  <c r="D471" i="24"/>
  <c r="C471" i="24"/>
  <c r="B471" i="24"/>
  <c r="A471" i="24"/>
  <c r="W470" i="24"/>
  <c r="U470" i="24"/>
  <c r="T470" i="24"/>
  <c r="S470" i="24"/>
  <c r="R470" i="24"/>
  <c r="Q470" i="24"/>
  <c r="O470" i="24"/>
  <c r="L470" i="24"/>
  <c r="G470" i="24"/>
  <c r="F470" i="24"/>
  <c r="E470" i="24"/>
  <c r="D470" i="24"/>
  <c r="C470" i="24"/>
  <c r="B470" i="24"/>
  <c r="A470" i="24"/>
  <c r="W469" i="24"/>
  <c r="U469" i="24"/>
  <c r="T469" i="24"/>
  <c r="S469" i="24"/>
  <c r="R469" i="24"/>
  <c r="Q469" i="24"/>
  <c r="O469" i="24"/>
  <c r="L469" i="24"/>
  <c r="G469" i="24"/>
  <c r="F469" i="24"/>
  <c r="E469" i="24"/>
  <c r="D469" i="24"/>
  <c r="C469" i="24"/>
  <c r="B469" i="24"/>
  <c r="A469" i="24"/>
  <c r="W468" i="24"/>
  <c r="U468" i="24"/>
  <c r="T468" i="24"/>
  <c r="S468" i="24"/>
  <c r="R468" i="24"/>
  <c r="Q468" i="24"/>
  <c r="O468" i="24"/>
  <c r="L468" i="24"/>
  <c r="G468" i="24"/>
  <c r="F468" i="24"/>
  <c r="E468" i="24"/>
  <c r="D468" i="24"/>
  <c r="C468" i="24"/>
  <c r="B468" i="24"/>
  <c r="A468" i="24"/>
  <c r="W467" i="24"/>
  <c r="U467" i="24"/>
  <c r="T467" i="24"/>
  <c r="S467" i="24"/>
  <c r="R467" i="24"/>
  <c r="Q467" i="24"/>
  <c r="O467" i="24"/>
  <c r="M467" i="24"/>
  <c r="L467" i="24"/>
  <c r="G467" i="24"/>
  <c r="F467" i="24"/>
  <c r="E467" i="24"/>
  <c r="D467" i="24"/>
  <c r="C467" i="24"/>
  <c r="B467" i="24"/>
  <c r="A467" i="24"/>
  <c r="W466" i="24"/>
  <c r="U466" i="24"/>
  <c r="T466" i="24"/>
  <c r="S466" i="24"/>
  <c r="R466" i="24"/>
  <c r="Q466" i="24"/>
  <c r="O466" i="24"/>
  <c r="L466" i="24"/>
  <c r="G466" i="24"/>
  <c r="F466" i="24"/>
  <c r="E466" i="24"/>
  <c r="D466" i="24"/>
  <c r="C466" i="24"/>
  <c r="B466" i="24"/>
  <c r="A466" i="24"/>
  <c r="W465" i="24"/>
  <c r="U465" i="24"/>
  <c r="T465" i="24"/>
  <c r="S465" i="24"/>
  <c r="R465" i="24"/>
  <c r="Q465" i="24"/>
  <c r="O465" i="24"/>
  <c r="L465" i="24"/>
  <c r="F465" i="24"/>
  <c r="E465" i="24"/>
  <c r="D465" i="24"/>
  <c r="C465" i="24"/>
  <c r="B465" i="24"/>
  <c r="A465" i="24"/>
  <c r="W464" i="24"/>
  <c r="U464" i="24"/>
  <c r="T464" i="24"/>
  <c r="S464" i="24"/>
  <c r="R464" i="24"/>
  <c r="Q464" i="24"/>
  <c r="O464" i="24"/>
  <c r="L464" i="24"/>
  <c r="F464" i="24"/>
  <c r="E464" i="24"/>
  <c r="D464" i="24"/>
  <c r="C464" i="24"/>
  <c r="B464" i="24"/>
  <c r="A464" i="24"/>
  <c r="W463" i="24"/>
  <c r="U463" i="24"/>
  <c r="T463" i="24"/>
  <c r="S463" i="24"/>
  <c r="R463" i="24"/>
  <c r="Q463" i="24"/>
  <c r="O463" i="24"/>
  <c r="M463" i="24"/>
  <c r="L463" i="24"/>
  <c r="H463" i="24"/>
  <c r="G463" i="24"/>
  <c r="F463" i="24"/>
  <c r="E463" i="24"/>
  <c r="D463" i="24"/>
  <c r="C463" i="24"/>
  <c r="B463" i="24"/>
  <c r="A463" i="24"/>
  <c r="W462" i="24"/>
  <c r="U462" i="24"/>
  <c r="T462" i="24"/>
  <c r="S462" i="24"/>
  <c r="R462" i="24"/>
  <c r="Q462" i="24"/>
  <c r="O462" i="24"/>
  <c r="L462" i="24"/>
  <c r="G462" i="24"/>
  <c r="F462" i="24"/>
  <c r="E462" i="24"/>
  <c r="D462" i="24"/>
  <c r="C462" i="24"/>
  <c r="B462" i="24"/>
  <c r="A462" i="24"/>
  <c r="W461" i="24"/>
  <c r="U461" i="24"/>
  <c r="T461" i="24"/>
  <c r="S461" i="24"/>
  <c r="R461" i="24"/>
  <c r="Q461" i="24"/>
  <c r="O461" i="24"/>
  <c r="L461" i="24"/>
  <c r="G461" i="24"/>
  <c r="F461" i="24"/>
  <c r="E461" i="24"/>
  <c r="D461" i="24"/>
  <c r="C461" i="24"/>
  <c r="B461" i="24"/>
  <c r="A461" i="24"/>
  <c r="W460" i="24"/>
  <c r="U460" i="24"/>
  <c r="T460" i="24"/>
  <c r="S460" i="24"/>
  <c r="R460" i="24"/>
  <c r="Q460" i="24"/>
  <c r="O460" i="24"/>
  <c r="L460" i="24"/>
  <c r="G460" i="24"/>
  <c r="F460" i="24"/>
  <c r="E460" i="24"/>
  <c r="D460" i="24"/>
  <c r="C460" i="24"/>
  <c r="B460" i="24"/>
  <c r="A460" i="24"/>
  <c r="W459" i="24"/>
  <c r="V459" i="24"/>
  <c r="U459" i="24"/>
  <c r="T459" i="24"/>
  <c r="S459" i="24"/>
  <c r="R459" i="24"/>
  <c r="Q459" i="24"/>
  <c r="O459" i="24"/>
  <c r="L459" i="24"/>
  <c r="H459" i="24"/>
  <c r="G459" i="24"/>
  <c r="F459" i="24"/>
  <c r="E459" i="24"/>
  <c r="D459" i="24"/>
  <c r="C459" i="24"/>
  <c r="B459" i="24"/>
  <c r="A459" i="24"/>
  <c r="W458" i="24"/>
  <c r="U458" i="24"/>
  <c r="T458" i="24"/>
  <c r="S458" i="24"/>
  <c r="R458" i="24"/>
  <c r="Q458" i="24"/>
  <c r="O458" i="24"/>
  <c r="M458" i="24"/>
  <c r="L458" i="24"/>
  <c r="I458" i="24"/>
  <c r="H458" i="24"/>
  <c r="G458" i="24"/>
  <c r="F458" i="24"/>
  <c r="E458" i="24"/>
  <c r="D458" i="24"/>
  <c r="C458" i="24"/>
  <c r="B458" i="24"/>
  <c r="A458" i="24"/>
  <c r="W457" i="24"/>
  <c r="U457" i="24"/>
  <c r="T457" i="24"/>
  <c r="S457" i="24"/>
  <c r="R457" i="24"/>
  <c r="Q457" i="24"/>
  <c r="O457" i="24"/>
  <c r="L457" i="24"/>
  <c r="G457" i="24"/>
  <c r="F457" i="24"/>
  <c r="E457" i="24"/>
  <c r="D457" i="24"/>
  <c r="C457" i="24"/>
  <c r="B457" i="24"/>
  <c r="A457" i="24"/>
  <c r="W456" i="24"/>
  <c r="U456" i="24"/>
  <c r="T456" i="24"/>
  <c r="S456" i="24"/>
  <c r="R456" i="24"/>
  <c r="Q456" i="24"/>
  <c r="O456" i="24"/>
  <c r="M456" i="24"/>
  <c r="L456" i="24"/>
  <c r="F456" i="24"/>
  <c r="E456" i="24"/>
  <c r="D456" i="24"/>
  <c r="C456" i="24"/>
  <c r="B456" i="24"/>
  <c r="A456" i="24"/>
  <c r="W455" i="24"/>
  <c r="U455" i="24"/>
  <c r="T455" i="24"/>
  <c r="S455" i="24"/>
  <c r="R455" i="24"/>
  <c r="Q455" i="24"/>
  <c r="O455" i="24"/>
  <c r="L455" i="24"/>
  <c r="G455" i="24"/>
  <c r="F455" i="24"/>
  <c r="E455" i="24"/>
  <c r="D455" i="24"/>
  <c r="C455" i="24"/>
  <c r="B455" i="24"/>
  <c r="A455" i="24"/>
  <c r="W454" i="24"/>
  <c r="U454" i="24"/>
  <c r="T454" i="24"/>
  <c r="S454" i="24"/>
  <c r="R454" i="24"/>
  <c r="Q454" i="24"/>
  <c r="O454" i="24"/>
  <c r="L454" i="24"/>
  <c r="H454" i="24"/>
  <c r="G454" i="24"/>
  <c r="F454" i="24"/>
  <c r="E454" i="24"/>
  <c r="D454" i="24"/>
  <c r="C454" i="24"/>
  <c r="B454" i="24"/>
  <c r="A454" i="24"/>
  <c r="W453" i="24"/>
  <c r="U453" i="24"/>
  <c r="T453" i="24"/>
  <c r="S453" i="24"/>
  <c r="R453" i="24"/>
  <c r="Q453" i="24"/>
  <c r="O453" i="24"/>
  <c r="L453" i="24"/>
  <c r="G453" i="24"/>
  <c r="F453" i="24"/>
  <c r="E453" i="24"/>
  <c r="D453" i="24"/>
  <c r="C453" i="24"/>
  <c r="B453" i="24"/>
  <c r="A453" i="24"/>
  <c r="W452" i="24"/>
  <c r="U452" i="24"/>
  <c r="T452" i="24"/>
  <c r="S452" i="24"/>
  <c r="R452" i="24"/>
  <c r="Q452" i="24"/>
  <c r="O452" i="24"/>
  <c r="L452" i="24"/>
  <c r="H452" i="24"/>
  <c r="G452" i="24"/>
  <c r="F452" i="24"/>
  <c r="E452" i="24"/>
  <c r="D452" i="24"/>
  <c r="C452" i="24"/>
  <c r="B452" i="24"/>
  <c r="A452" i="24"/>
  <c r="W451" i="24"/>
  <c r="U451" i="24"/>
  <c r="T451" i="24"/>
  <c r="S451" i="24"/>
  <c r="R451" i="24"/>
  <c r="Q451" i="24"/>
  <c r="O451" i="24"/>
  <c r="L451" i="24"/>
  <c r="I451" i="24"/>
  <c r="H451" i="24"/>
  <c r="G451" i="24"/>
  <c r="F451" i="24"/>
  <c r="E451" i="24"/>
  <c r="D451" i="24"/>
  <c r="C451" i="24"/>
  <c r="B451" i="24"/>
  <c r="A451" i="24"/>
  <c r="W450" i="24"/>
  <c r="U450" i="24"/>
  <c r="T450" i="24"/>
  <c r="S450" i="24"/>
  <c r="R450" i="24"/>
  <c r="Q450" i="24"/>
  <c r="O450" i="24"/>
  <c r="L450" i="24"/>
  <c r="H450" i="24"/>
  <c r="G450" i="24"/>
  <c r="F450" i="24"/>
  <c r="E450" i="24"/>
  <c r="D450" i="24"/>
  <c r="C450" i="24"/>
  <c r="B450" i="24"/>
  <c r="A450" i="24"/>
  <c r="W449" i="24"/>
  <c r="U449" i="24"/>
  <c r="T449" i="24"/>
  <c r="S449" i="24"/>
  <c r="R449" i="24"/>
  <c r="Q449" i="24"/>
  <c r="O449" i="24"/>
  <c r="L449" i="24"/>
  <c r="G449" i="24"/>
  <c r="F449" i="24"/>
  <c r="E449" i="24"/>
  <c r="D449" i="24"/>
  <c r="C449" i="24"/>
  <c r="B449" i="24"/>
  <c r="A449" i="24"/>
  <c r="W448" i="24"/>
  <c r="U448" i="24"/>
  <c r="T448" i="24"/>
  <c r="S448" i="24"/>
  <c r="R448" i="24"/>
  <c r="Q448" i="24"/>
  <c r="O448" i="24"/>
  <c r="L448" i="24"/>
  <c r="G448" i="24"/>
  <c r="F448" i="24"/>
  <c r="E448" i="24"/>
  <c r="D448" i="24"/>
  <c r="C448" i="24"/>
  <c r="B448" i="24"/>
  <c r="A448" i="24"/>
  <c r="W447" i="24"/>
  <c r="U447" i="24"/>
  <c r="T447" i="24"/>
  <c r="S447" i="24"/>
  <c r="R447" i="24"/>
  <c r="Q447" i="24"/>
  <c r="O447" i="24"/>
  <c r="L447" i="24"/>
  <c r="H447" i="24"/>
  <c r="G447" i="24"/>
  <c r="F447" i="24"/>
  <c r="E447" i="24"/>
  <c r="D447" i="24"/>
  <c r="C447" i="24"/>
  <c r="B447" i="24"/>
  <c r="A447" i="24"/>
  <c r="W446" i="24"/>
  <c r="U446" i="24"/>
  <c r="T446" i="24"/>
  <c r="S446" i="24"/>
  <c r="R446" i="24"/>
  <c r="Q446" i="24"/>
  <c r="O446" i="24"/>
  <c r="L446" i="24"/>
  <c r="H446" i="24"/>
  <c r="G446" i="24"/>
  <c r="F446" i="24"/>
  <c r="E446" i="24"/>
  <c r="D446" i="24"/>
  <c r="C446" i="24"/>
  <c r="B446" i="24"/>
  <c r="A446" i="24"/>
  <c r="W445" i="24"/>
  <c r="U445" i="24"/>
  <c r="T445" i="24"/>
  <c r="S445" i="24"/>
  <c r="R445" i="24"/>
  <c r="Q445" i="24"/>
  <c r="O445" i="24"/>
  <c r="L445" i="24"/>
  <c r="G445" i="24"/>
  <c r="F445" i="24"/>
  <c r="E445" i="24"/>
  <c r="D445" i="24"/>
  <c r="C445" i="24"/>
  <c r="B445" i="24"/>
  <c r="A445" i="24"/>
  <c r="W444" i="24"/>
  <c r="U444" i="24"/>
  <c r="T444" i="24"/>
  <c r="S444" i="24"/>
  <c r="R444" i="24"/>
  <c r="Q444" i="24"/>
  <c r="O444" i="24"/>
  <c r="L444" i="24"/>
  <c r="H444" i="24"/>
  <c r="G444" i="24"/>
  <c r="F444" i="24"/>
  <c r="E444" i="24"/>
  <c r="D444" i="24"/>
  <c r="C444" i="24"/>
  <c r="B444" i="24"/>
  <c r="A444" i="24"/>
  <c r="W443" i="24"/>
  <c r="U443" i="24"/>
  <c r="T443" i="24"/>
  <c r="S443" i="24"/>
  <c r="R443" i="24"/>
  <c r="Q443" i="24"/>
  <c r="O443" i="24"/>
  <c r="L443" i="24"/>
  <c r="I443" i="24"/>
  <c r="H443" i="24"/>
  <c r="G443" i="24"/>
  <c r="F443" i="24"/>
  <c r="E443" i="24"/>
  <c r="D443" i="24"/>
  <c r="C443" i="24"/>
  <c r="B443" i="24"/>
  <c r="A443" i="24"/>
  <c r="W442" i="24"/>
  <c r="U442" i="24"/>
  <c r="T442" i="24"/>
  <c r="S442" i="24"/>
  <c r="R442" i="24"/>
  <c r="Q442" i="24"/>
  <c r="O442" i="24"/>
  <c r="L442" i="24"/>
  <c r="G442" i="24"/>
  <c r="F442" i="24"/>
  <c r="E442" i="24"/>
  <c r="D442" i="24"/>
  <c r="C442" i="24"/>
  <c r="B442" i="24"/>
  <c r="A442" i="24"/>
  <c r="W441" i="24"/>
  <c r="U441" i="24"/>
  <c r="T441" i="24"/>
  <c r="S441" i="24"/>
  <c r="R441" i="24"/>
  <c r="Q441" i="24"/>
  <c r="O441" i="24"/>
  <c r="L441" i="24"/>
  <c r="F441" i="24"/>
  <c r="E441" i="24"/>
  <c r="D441" i="24"/>
  <c r="C441" i="24"/>
  <c r="B441" i="24"/>
  <c r="A441" i="24"/>
  <c r="W440" i="24"/>
  <c r="U440" i="24"/>
  <c r="T440" i="24"/>
  <c r="S440" i="24"/>
  <c r="R440" i="24"/>
  <c r="Q440" i="24"/>
  <c r="O440" i="24"/>
  <c r="L440" i="24"/>
  <c r="F440" i="24"/>
  <c r="E440" i="24"/>
  <c r="D440" i="24"/>
  <c r="C440" i="24"/>
  <c r="B440" i="24"/>
  <c r="A440" i="24"/>
  <c r="W439" i="24"/>
  <c r="U439" i="24"/>
  <c r="T439" i="24"/>
  <c r="S439" i="24"/>
  <c r="R439" i="24"/>
  <c r="Q439" i="24"/>
  <c r="O439" i="24"/>
  <c r="L439" i="24"/>
  <c r="F439" i="24"/>
  <c r="E439" i="24"/>
  <c r="D439" i="24"/>
  <c r="C439" i="24"/>
  <c r="B439" i="24"/>
  <c r="A439" i="24"/>
  <c r="W438" i="24"/>
  <c r="U438" i="24"/>
  <c r="T438" i="24"/>
  <c r="S438" i="24"/>
  <c r="R438" i="24"/>
  <c r="Q438" i="24"/>
  <c r="O438" i="24"/>
  <c r="L438" i="24"/>
  <c r="K438" i="24"/>
  <c r="J438" i="24"/>
  <c r="I438" i="24"/>
  <c r="H438" i="24"/>
  <c r="G438" i="24"/>
  <c r="F438" i="24"/>
  <c r="E438" i="24"/>
  <c r="D438" i="24"/>
  <c r="C438" i="24"/>
  <c r="B438" i="24"/>
  <c r="A438" i="24"/>
  <c r="W437" i="24"/>
  <c r="U437" i="24"/>
  <c r="T437" i="24"/>
  <c r="S437" i="24"/>
  <c r="R437" i="24"/>
  <c r="Q437" i="24"/>
  <c r="O437" i="24"/>
  <c r="L437" i="24"/>
  <c r="I437" i="24"/>
  <c r="H437" i="24"/>
  <c r="G437" i="24"/>
  <c r="F437" i="24"/>
  <c r="E437" i="24"/>
  <c r="D437" i="24"/>
  <c r="C437" i="24"/>
  <c r="B437" i="24"/>
  <c r="A437" i="24"/>
  <c r="W436" i="24"/>
  <c r="U436" i="24"/>
  <c r="T436" i="24"/>
  <c r="S436" i="24"/>
  <c r="R436" i="24"/>
  <c r="Q436" i="24"/>
  <c r="O436" i="24"/>
  <c r="L436" i="24"/>
  <c r="H436" i="24"/>
  <c r="G436" i="24"/>
  <c r="F436" i="24"/>
  <c r="E436" i="24"/>
  <c r="D436" i="24"/>
  <c r="C436" i="24"/>
  <c r="B436" i="24"/>
  <c r="A436" i="24"/>
  <c r="W435" i="24"/>
  <c r="U435" i="24"/>
  <c r="T435" i="24"/>
  <c r="S435" i="24"/>
  <c r="R435" i="24"/>
  <c r="Q435" i="24"/>
  <c r="O435" i="24"/>
  <c r="L435" i="24"/>
  <c r="H435" i="24"/>
  <c r="G435" i="24"/>
  <c r="F435" i="24"/>
  <c r="E435" i="24"/>
  <c r="D435" i="24"/>
  <c r="C435" i="24"/>
  <c r="B435" i="24"/>
  <c r="A435" i="24"/>
  <c r="W434" i="24"/>
  <c r="U434" i="24"/>
  <c r="T434" i="24"/>
  <c r="S434" i="24"/>
  <c r="R434" i="24"/>
  <c r="Q434" i="24"/>
  <c r="O434" i="24"/>
  <c r="L434" i="24"/>
  <c r="F434" i="24"/>
  <c r="E434" i="24"/>
  <c r="D434" i="24"/>
  <c r="C434" i="24"/>
  <c r="B434" i="24"/>
  <c r="A434" i="24"/>
  <c r="W433" i="24"/>
  <c r="U433" i="24"/>
  <c r="T433" i="24"/>
  <c r="S433" i="24"/>
  <c r="R433" i="24"/>
  <c r="Q433" i="24"/>
  <c r="O433" i="24"/>
  <c r="L433" i="24"/>
  <c r="G433" i="24"/>
  <c r="F433" i="24"/>
  <c r="E433" i="24"/>
  <c r="D433" i="24"/>
  <c r="C433" i="24"/>
  <c r="B433" i="24"/>
  <c r="A433" i="24"/>
  <c r="W432" i="24"/>
  <c r="U432" i="24"/>
  <c r="T432" i="24"/>
  <c r="S432" i="24"/>
  <c r="R432" i="24"/>
  <c r="Q432" i="24"/>
  <c r="O432" i="24"/>
  <c r="L432" i="24"/>
  <c r="G432" i="24"/>
  <c r="F432" i="24"/>
  <c r="E432" i="24"/>
  <c r="D432" i="24"/>
  <c r="C432" i="24"/>
  <c r="B432" i="24"/>
  <c r="A432" i="24"/>
  <c r="W431" i="24"/>
  <c r="U431" i="24"/>
  <c r="T431" i="24"/>
  <c r="S431" i="24"/>
  <c r="R431" i="24"/>
  <c r="Q431" i="24"/>
  <c r="O431" i="24"/>
  <c r="L431" i="24"/>
  <c r="G431" i="24"/>
  <c r="F431" i="24"/>
  <c r="E431" i="24"/>
  <c r="D431" i="24"/>
  <c r="C431" i="24"/>
  <c r="B431" i="24"/>
  <c r="A431" i="24"/>
  <c r="W430" i="24"/>
  <c r="U430" i="24"/>
  <c r="T430" i="24"/>
  <c r="S430" i="24"/>
  <c r="R430" i="24"/>
  <c r="Q430" i="24"/>
  <c r="O430" i="24"/>
  <c r="L430" i="24"/>
  <c r="G430" i="24"/>
  <c r="F430" i="24"/>
  <c r="E430" i="24"/>
  <c r="D430" i="24"/>
  <c r="C430" i="24"/>
  <c r="B430" i="24"/>
  <c r="A430" i="24"/>
  <c r="W429" i="24"/>
  <c r="U429" i="24"/>
  <c r="T429" i="24"/>
  <c r="S429" i="24"/>
  <c r="R429" i="24"/>
  <c r="Q429" i="24"/>
  <c r="O429" i="24"/>
  <c r="L429" i="24"/>
  <c r="K429" i="24"/>
  <c r="J429" i="24"/>
  <c r="I429" i="24"/>
  <c r="H429" i="24"/>
  <c r="G429" i="24"/>
  <c r="F429" i="24"/>
  <c r="E429" i="24"/>
  <c r="D429" i="24"/>
  <c r="C429" i="24"/>
  <c r="B429" i="24"/>
  <c r="A429" i="24"/>
  <c r="W428" i="24"/>
  <c r="U428" i="24"/>
  <c r="T428" i="24"/>
  <c r="S428" i="24"/>
  <c r="R428" i="24"/>
  <c r="Q428" i="24"/>
  <c r="O428" i="24"/>
  <c r="L428" i="24"/>
  <c r="G428" i="24"/>
  <c r="F428" i="24"/>
  <c r="E428" i="24"/>
  <c r="D428" i="24"/>
  <c r="C428" i="24"/>
  <c r="B428" i="24"/>
  <c r="A428" i="24"/>
  <c r="W427" i="24"/>
  <c r="U427" i="24"/>
  <c r="T427" i="24"/>
  <c r="S427" i="24"/>
  <c r="R427" i="24"/>
  <c r="Q427" i="24"/>
  <c r="O427" i="24"/>
  <c r="L427" i="24"/>
  <c r="H427" i="24"/>
  <c r="G427" i="24"/>
  <c r="F427" i="24"/>
  <c r="E427" i="24"/>
  <c r="D427" i="24"/>
  <c r="C427" i="24"/>
  <c r="B427" i="24"/>
  <c r="A427" i="24"/>
  <c r="W426" i="24"/>
  <c r="U426" i="24"/>
  <c r="T426" i="24"/>
  <c r="S426" i="24"/>
  <c r="R426" i="24"/>
  <c r="Q426" i="24"/>
  <c r="O426" i="24"/>
  <c r="M426" i="24"/>
  <c r="L426" i="24"/>
  <c r="F426" i="24"/>
  <c r="E426" i="24"/>
  <c r="D426" i="24"/>
  <c r="C426" i="24"/>
  <c r="B426" i="24"/>
  <c r="A426" i="24"/>
  <c r="W425" i="24"/>
  <c r="U425" i="24"/>
  <c r="T425" i="24"/>
  <c r="S425" i="24"/>
  <c r="R425" i="24"/>
  <c r="Q425" i="24"/>
  <c r="O425" i="24"/>
  <c r="L425" i="24"/>
  <c r="H425" i="24"/>
  <c r="G425" i="24"/>
  <c r="F425" i="24"/>
  <c r="E425" i="24"/>
  <c r="D425" i="24"/>
  <c r="C425" i="24"/>
  <c r="B425" i="24"/>
  <c r="A425" i="24"/>
  <c r="W424" i="24"/>
  <c r="U424" i="24"/>
  <c r="T424" i="24"/>
  <c r="S424" i="24"/>
  <c r="R424" i="24"/>
  <c r="Q424" i="24"/>
  <c r="O424" i="24"/>
  <c r="L424" i="24"/>
  <c r="H424" i="24"/>
  <c r="G424" i="24"/>
  <c r="F424" i="24"/>
  <c r="E424" i="24"/>
  <c r="D424" i="24"/>
  <c r="C424" i="24"/>
  <c r="B424" i="24"/>
  <c r="A424" i="24"/>
  <c r="W423" i="24"/>
  <c r="U423" i="24"/>
  <c r="T423" i="24"/>
  <c r="S423" i="24"/>
  <c r="R423" i="24"/>
  <c r="Q423" i="24"/>
  <c r="O423" i="24"/>
  <c r="L423" i="24"/>
  <c r="F423" i="24"/>
  <c r="E423" i="24"/>
  <c r="D423" i="24"/>
  <c r="C423" i="24"/>
  <c r="B423" i="24"/>
  <c r="A423" i="24"/>
  <c r="W422" i="24"/>
  <c r="U422" i="24"/>
  <c r="T422" i="24"/>
  <c r="S422" i="24"/>
  <c r="R422" i="24"/>
  <c r="Q422" i="24"/>
  <c r="O422" i="24"/>
  <c r="L422" i="24"/>
  <c r="G422" i="24"/>
  <c r="F422" i="24"/>
  <c r="E422" i="24"/>
  <c r="D422" i="24"/>
  <c r="C422" i="24"/>
  <c r="B422" i="24"/>
  <c r="A422" i="24"/>
  <c r="W421" i="24"/>
  <c r="U421" i="24"/>
  <c r="T421" i="24"/>
  <c r="S421" i="24"/>
  <c r="R421" i="24"/>
  <c r="Q421" i="24"/>
  <c r="O421" i="24"/>
  <c r="L421" i="24"/>
  <c r="G421" i="24"/>
  <c r="F421" i="24"/>
  <c r="E421" i="24"/>
  <c r="D421" i="24"/>
  <c r="C421" i="24"/>
  <c r="B421" i="24"/>
  <c r="A421" i="24"/>
  <c r="W420" i="24"/>
  <c r="U420" i="24"/>
  <c r="T420" i="24"/>
  <c r="S420" i="24"/>
  <c r="R420" i="24"/>
  <c r="Q420" i="24"/>
  <c r="O420" i="24"/>
  <c r="L420" i="24"/>
  <c r="I420" i="24"/>
  <c r="H420" i="24"/>
  <c r="G420" i="24"/>
  <c r="F420" i="24"/>
  <c r="E420" i="24"/>
  <c r="D420" i="24"/>
  <c r="C420" i="24"/>
  <c r="B420" i="24"/>
  <c r="A420" i="24"/>
  <c r="W419" i="24"/>
  <c r="U419" i="24"/>
  <c r="T419" i="24"/>
  <c r="S419" i="24"/>
  <c r="R419" i="24"/>
  <c r="Q419" i="24"/>
  <c r="O419" i="24"/>
  <c r="L419" i="24"/>
  <c r="F419" i="24"/>
  <c r="E419" i="24"/>
  <c r="D419" i="24"/>
  <c r="C419" i="24"/>
  <c r="B419" i="24"/>
  <c r="A419" i="24"/>
  <c r="W418" i="24"/>
  <c r="U418" i="24"/>
  <c r="T418" i="24"/>
  <c r="S418" i="24"/>
  <c r="R418" i="24"/>
  <c r="Q418" i="24"/>
  <c r="O418" i="24"/>
  <c r="L418" i="24"/>
  <c r="G418" i="24"/>
  <c r="F418" i="24"/>
  <c r="E418" i="24"/>
  <c r="D418" i="24"/>
  <c r="C418" i="24"/>
  <c r="B418" i="24"/>
  <c r="A418" i="24"/>
  <c r="W417" i="24"/>
  <c r="U417" i="24"/>
  <c r="T417" i="24"/>
  <c r="S417" i="24"/>
  <c r="R417" i="24"/>
  <c r="Q417" i="24"/>
  <c r="O417" i="24"/>
  <c r="M417" i="24"/>
  <c r="L417" i="24"/>
  <c r="J417" i="24"/>
  <c r="I417" i="24"/>
  <c r="H417" i="24"/>
  <c r="G417" i="24"/>
  <c r="F417" i="24"/>
  <c r="E417" i="24"/>
  <c r="D417" i="24"/>
  <c r="C417" i="24"/>
  <c r="B417" i="24"/>
  <c r="A417" i="24"/>
  <c r="W416" i="24"/>
  <c r="U416" i="24"/>
  <c r="T416" i="24"/>
  <c r="S416" i="24"/>
  <c r="R416" i="24"/>
  <c r="Q416" i="24"/>
  <c r="O416" i="24"/>
  <c r="L416" i="24"/>
  <c r="F416" i="24"/>
  <c r="E416" i="24"/>
  <c r="D416" i="24"/>
  <c r="C416" i="24"/>
  <c r="B416" i="24"/>
  <c r="A416" i="24"/>
  <c r="W415" i="24"/>
  <c r="U415" i="24"/>
  <c r="T415" i="24"/>
  <c r="S415" i="24"/>
  <c r="R415" i="24"/>
  <c r="Q415" i="24"/>
  <c r="O415" i="24"/>
  <c r="L415" i="24"/>
  <c r="H415" i="24"/>
  <c r="G415" i="24"/>
  <c r="F415" i="24"/>
  <c r="E415" i="24"/>
  <c r="D415" i="24"/>
  <c r="C415" i="24"/>
  <c r="B415" i="24"/>
  <c r="A415" i="24"/>
  <c r="W414" i="24"/>
  <c r="U414" i="24"/>
  <c r="T414" i="24"/>
  <c r="S414" i="24"/>
  <c r="R414" i="24"/>
  <c r="Q414" i="24"/>
  <c r="O414" i="24"/>
  <c r="L414" i="24"/>
  <c r="H414" i="24"/>
  <c r="G414" i="24"/>
  <c r="F414" i="24"/>
  <c r="E414" i="24"/>
  <c r="D414" i="24"/>
  <c r="C414" i="24"/>
  <c r="B414" i="24"/>
  <c r="A414" i="24"/>
  <c r="W413" i="24"/>
  <c r="U413" i="24"/>
  <c r="T413" i="24"/>
  <c r="S413" i="24"/>
  <c r="R413" i="24"/>
  <c r="Q413" i="24"/>
  <c r="O413" i="24"/>
  <c r="L413" i="24"/>
  <c r="G413" i="24"/>
  <c r="F413" i="24"/>
  <c r="E413" i="24"/>
  <c r="D413" i="24"/>
  <c r="C413" i="24"/>
  <c r="B413" i="24"/>
  <c r="A413" i="24"/>
  <c r="W412" i="24"/>
  <c r="U412" i="24"/>
  <c r="T412" i="24"/>
  <c r="S412" i="24"/>
  <c r="R412" i="24"/>
  <c r="Q412" i="24"/>
  <c r="O412" i="24"/>
  <c r="M412" i="24"/>
  <c r="L412" i="24"/>
  <c r="H412" i="24"/>
  <c r="G412" i="24"/>
  <c r="F412" i="24"/>
  <c r="E412" i="24"/>
  <c r="D412" i="24"/>
  <c r="C412" i="24"/>
  <c r="B412" i="24"/>
  <c r="A412" i="24"/>
  <c r="W411" i="24"/>
  <c r="U411" i="24"/>
  <c r="T411" i="24"/>
  <c r="S411" i="24"/>
  <c r="R411" i="24"/>
  <c r="Q411" i="24"/>
  <c r="O411" i="24"/>
  <c r="L411" i="24"/>
  <c r="G411" i="24"/>
  <c r="F411" i="24"/>
  <c r="E411" i="24"/>
  <c r="D411" i="24"/>
  <c r="C411" i="24"/>
  <c r="B411" i="24"/>
  <c r="A411" i="24"/>
  <c r="W410" i="24"/>
  <c r="U410" i="24"/>
  <c r="T410" i="24"/>
  <c r="S410" i="24"/>
  <c r="R410" i="24"/>
  <c r="Q410" i="24"/>
  <c r="O410" i="24"/>
  <c r="L410" i="24"/>
  <c r="H410" i="24"/>
  <c r="G410" i="24"/>
  <c r="F410" i="24"/>
  <c r="E410" i="24"/>
  <c r="D410" i="24"/>
  <c r="C410" i="24"/>
  <c r="B410" i="24"/>
  <c r="A410" i="24"/>
  <c r="W409" i="24"/>
  <c r="U409" i="24"/>
  <c r="T409" i="24"/>
  <c r="S409" i="24"/>
  <c r="R409" i="24"/>
  <c r="Q409" i="24"/>
  <c r="O409" i="24"/>
  <c r="L409" i="24"/>
  <c r="G409" i="24"/>
  <c r="F409" i="24"/>
  <c r="E409" i="24"/>
  <c r="D409" i="24"/>
  <c r="C409" i="24"/>
  <c r="B409" i="24"/>
  <c r="A409" i="24"/>
  <c r="W408" i="24"/>
  <c r="U408" i="24"/>
  <c r="T408" i="24"/>
  <c r="S408" i="24"/>
  <c r="R408" i="24"/>
  <c r="Q408" i="24"/>
  <c r="O408" i="24"/>
  <c r="L408" i="24"/>
  <c r="H408" i="24"/>
  <c r="G408" i="24"/>
  <c r="F408" i="24"/>
  <c r="E408" i="24"/>
  <c r="D408" i="24"/>
  <c r="C408" i="24"/>
  <c r="B408" i="24"/>
  <c r="A408" i="24"/>
  <c r="W407" i="24"/>
  <c r="U407" i="24"/>
  <c r="T407" i="24"/>
  <c r="S407" i="24"/>
  <c r="R407" i="24"/>
  <c r="Q407" i="24"/>
  <c r="O407" i="24"/>
  <c r="L407" i="24"/>
  <c r="G407" i="24"/>
  <c r="F407" i="24"/>
  <c r="E407" i="24"/>
  <c r="D407" i="24"/>
  <c r="C407" i="24"/>
  <c r="B407" i="24"/>
  <c r="A407" i="24"/>
  <c r="W406" i="24"/>
  <c r="U406" i="24"/>
  <c r="T406" i="24"/>
  <c r="S406" i="24"/>
  <c r="R406" i="24"/>
  <c r="Q406" i="24"/>
  <c r="O406" i="24"/>
  <c r="L406" i="24"/>
  <c r="G406" i="24"/>
  <c r="F406" i="24"/>
  <c r="E406" i="24"/>
  <c r="D406" i="24"/>
  <c r="C406" i="24"/>
  <c r="B406" i="24"/>
  <c r="A406" i="24"/>
  <c r="W405" i="24"/>
  <c r="U405" i="24"/>
  <c r="T405" i="24"/>
  <c r="S405" i="24"/>
  <c r="R405" i="24"/>
  <c r="Q405" i="24"/>
  <c r="O405" i="24"/>
  <c r="L405" i="24"/>
  <c r="G405" i="24"/>
  <c r="F405" i="24"/>
  <c r="E405" i="24"/>
  <c r="D405" i="24"/>
  <c r="C405" i="24"/>
  <c r="B405" i="24"/>
  <c r="A405" i="24"/>
  <c r="W404" i="24"/>
  <c r="U404" i="24"/>
  <c r="T404" i="24"/>
  <c r="S404" i="24"/>
  <c r="R404" i="24"/>
  <c r="Q404" i="24"/>
  <c r="O404" i="24"/>
  <c r="L404" i="24"/>
  <c r="I404" i="24"/>
  <c r="H404" i="24"/>
  <c r="G404" i="24"/>
  <c r="F404" i="24"/>
  <c r="E404" i="24"/>
  <c r="D404" i="24"/>
  <c r="C404" i="24"/>
  <c r="B404" i="24"/>
  <c r="A404" i="24"/>
  <c r="W403" i="24"/>
  <c r="U403" i="24"/>
  <c r="T403" i="24"/>
  <c r="S403" i="24"/>
  <c r="R403" i="24"/>
  <c r="Q403" i="24"/>
  <c r="O403" i="24"/>
  <c r="M403" i="24"/>
  <c r="L403" i="24"/>
  <c r="G403" i="24"/>
  <c r="F403" i="24"/>
  <c r="E403" i="24"/>
  <c r="D403" i="24"/>
  <c r="C403" i="24"/>
  <c r="B403" i="24"/>
  <c r="A403" i="24"/>
  <c r="W402" i="24"/>
  <c r="U402" i="24"/>
  <c r="T402" i="24"/>
  <c r="S402" i="24"/>
  <c r="R402" i="24"/>
  <c r="Q402" i="24"/>
  <c r="O402" i="24"/>
  <c r="L402" i="24"/>
  <c r="G402" i="24"/>
  <c r="F402" i="24"/>
  <c r="E402" i="24"/>
  <c r="D402" i="24"/>
  <c r="C402" i="24"/>
  <c r="B402" i="24"/>
  <c r="A402" i="24"/>
  <c r="W401" i="24"/>
  <c r="U401" i="24"/>
  <c r="T401" i="24"/>
  <c r="S401" i="24"/>
  <c r="R401" i="24"/>
  <c r="Q401" i="24"/>
  <c r="O401" i="24"/>
  <c r="L401" i="24"/>
  <c r="I401" i="24"/>
  <c r="H401" i="24"/>
  <c r="G401" i="24"/>
  <c r="F401" i="24"/>
  <c r="E401" i="24"/>
  <c r="D401" i="24"/>
  <c r="C401" i="24"/>
  <c r="B401" i="24"/>
  <c r="A401" i="24"/>
  <c r="W400" i="24"/>
  <c r="U400" i="24"/>
  <c r="T400" i="24"/>
  <c r="S400" i="24"/>
  <c r="R400" i="24"/>
  <c r="Q400" i="24"/>
  <c r="O400" i="24"/>
  <c r="L400" i="24"/>
  <c r="H400" i="24"/>
  <c r="G400" i="24"/>
  <c r="F400" i="24"/>
  <c r="E400" i="24"/>
  <c r="D400" i="24"/>
  <c r="C400" i="24"/>
  <c r="B400" i="24"/>
  <c r="A400" i="24"/>
  <c r="W399" i="24"/>
  <c r="U399" i="24"/>
  <c r="T399" i="24"/>
  <c r="S399" i="24"/>
  <c r="R399" i="24"/>
  <c r="Q399" i="24"/>
  <c r="O399" i="24"/>
  <c r="L399" i="24"/>
  <c r="G399" i="24"/>
  <c r="F399" i="24"/>
  <c r="E399" i="24"/>
  <c r="D399" i="24"/>
  <c r="C399" i="24"/>
  <c r="B399" i="24"/>
  <c r="A399" i="24"/>
  <c r="W398" i="24"/>
  <c r="U398" i="24"/>
  <c r="T398" i="24"/>
  <c r="S398" i="24"/>
  <c r="R398" i="24"/>
  <c r="Q398" i="24"/>
  <c r="O398" i="24"/>
  <c r="L398" i="24"/>
  <c r="H398" i="24"/>
  <c r="G398" i="24"/>
  <c r="F398" i="24"/>
  <c r="E398" i="24"/>
  <c r="D398" i="24"/>
  <c r="C398" i="24"/>
  <c r="B398" i="24"/>
  <c r="A398" i="24"/>
  <c r="W397" i="24"/>
  <c r="V397" i="24"/>
  <c r="U397" i="24"/>
  <c r="T397" i="24"/>
  <c r="S397" i="24"/>
  <c r="R397" i="24"/>
  <c r="Q397" i="24"/>
  <c r="O397" i="24"/>
  <c r="L397" i="24"/>
  <c r="G397" i="24"/>
  <c r="F397" i="24"/>
  <c r="E397" i="24"/>
  <c r="D397" i="24"/>
  <c r="C397" i="24"/>
  <c r="B397" i="24"/>
  <c r="A397" i="24"/>
  <c r="W396" i="24"/>
  <c r="U396" i="24"/>
  <c r="T396" i="24"/>
  <c r="S396" i="24"/>
  <c r="R396" i="24"/>
  <c r="Q396" i="24"/>
  <c r="O396" i="24"/>
  <c r="L396" i="24"/>
  <c r="H396" i="24"/>
  <c r="G396" i="24"/>
  <c r="F396" i="24"/>
  <c r="E396" i="24"/>
  <c r="D396" i="24"/>
  <c r="C396" i="24"/>
  <c r="B396" i="24"/>
  <c r="A396" i="24"/>
  <c r="W395" i="24"/>
  <c r="U395" i="24"/>
  <c r="T395" i="24"/>
  <c r="S395" i="24"/>
  <c r="R395" i="24"/>
  <c r="Q395" i="24"/>
  <c r="O395" i="24"/>
  <c r="L395" i="24"/>
  <c r="G395" i="24"/>
  <c r="F395" i="24"/>
  <c r="E395" i="24"/>
  <c r="D395" i="24"/>
  <c r="C395" i="24"/>
  <c r="B395" i="24"/>
  <c r="A395" i="24"/>
  <c r="W394" i="24"/>
  <c r="U394" i="24"/>
  <c r="T394" i="24"/>
  <c r="S394" i="24"/>
  <c r="R394" i="24"/>
  <c r="Q394" i="24"/>
  <c r="O394" i="24"/>
  <c r="L394" i="24"/>
  <c r="H394" i="24"/>
  <c r="G394" i="24"/>
  <c r="F394" i="24"/>
  <c r="E394" i="24"/>
  <c r="D394" i="24"/>
  <c r="C394" i="24"/>
  <c r="B394" i="24"/>
  <c r="A394" i="24"/>
  <c r="W393" i="24"/>
  <c r="U393" i="24"/>
  <c r="T393" i="24"/>
  <c r="S393" i="24"/>
  <c r="R393" i="24"/>
  <c r="Q393" i="24"/>
  <c r="O393" i="24"/>
  <c r="L393" i="24"/>
  <c r="F393" i="24"/>
  <c r="E393" i="24"/>
  <c r="D393" i="24"/>
  <c r="C393" i="24"/>
  <c r="B393" i="24"/>
  <c r="A393" i="24"/>
  <c r="W392" i="24"/>
  <c r="U392" i="24"/>
  <c r="T392" i="24"/>
  <c r="S392" i="24"/>
  <c r="R392" i="24"/>
  <c r="Q392" i="24"/>
  <c r="O392" i="24"/>
  <c r="L392" i="24"/>
  <c r="G392" i="24"/>
  <c r="F392" i="24"/>
  <c r="E392" i="24"/>
  <c r="D392" i="24"/>
  <c r="C392" i="24"/>
  <c r="B392" i="24"/>
  <c r="A392" i="24"/>
  <c r="W391" i="24"/>
  <c r="V391" i="24"/>
  <c r="U391" i="24"/>
  <c r="T391" i="24"/>
  <c r="S391" i="24"/>
  <c r="R391" i="24"/>
  <c r="Q391" i="24"/>
  <c r="O391" i="24"/>
  <c r="L391" i="24"/>
  <c r="G391" i="24"/>
  <c r="F391" i="24"/>
  <c r="E391" i="24"/>
  <c r="D391" i="24"/>
  <c r="C391" i="24"/>
  <c r="B391" i="24"/>
  <c r="A391" i="24"/>
  <c r="W390" i="24"/>
  <c r="U390" i="24"/>
  <c r="T390" i="24"/>
  <c r="S390" i="24"/>
  <c r="R390" i="24"/>
  <c r="Q390" i="24"/>
  <c r="O390" i="24"/>
  <c r="N390" i="24"/>
  <c r="M390" i="24"/>
  <c r="L390" i="24"/>
  <c r="F390" i="24"/>
  <c r="E390" i="24"/>
  <c r="D390" i="24"/>
  <c r="C390" i="24"/>
  <c r="B390" i="24"/>
  <c r="A390" i="24"/>
  <c r="W389" i="24"/>
  <c r="U389" i="24"/>
  <c r="T389" i="24"/>
  <c r="S389" i="24"/>
  <c r="R389" i="24"/>
  <c r="Q389" i="24"/>
  <c r="O389" i="24"/>
  <c r="L389" i="24"/>
  <c r="F389" i="24"/>
  <c r="E389" i="24"/>
  <c r="D389" i="24"/>
  <c r="C389" i="24"/>
  <c r="B389" i="24"/>
  <c r="A389" i="24"/>
  <c r="W388" i="24"/>
  <c r="U388" i="24"/>
  <c r="T388" i="24"/>
  <c r="S388" i="24"/>
  <c r="R388" i="24"/>
  <c r="Q388" i="24"/>
  <c r="O388" i="24"/>
  <c r="L388" i="24"/>
  <c r="F388" i="24"/>
  <c r="E388" i="24"/>
  <c r="D388" i="24"/>
  <c r="C388" i="24"/>
  <c r="B388" i="24"/>
  <c r="A388" i="24"/>
  <c r="W387" i="24"/>
  <c r="U387" i="24"/>
  <c r="T387" i="24"/>
  <c r="S387" i="24"/>
  <c r="R387" i="24"/>
  <c r="Q387" i="24"/>
  <c r="O387" i="24"/>
  <c r="L387" i="24"/>
  <c r="G387" i="24"/>
  <c r="F387" i="24"/>
  <c r="E387" i="24"/>
  <c r="D387" i="24"/>
  <c r="C387" i="24"/>
  <c r="B387" i="24"/>
  <c r="A387" i="24"/>
  <c r="W386" i="24"/>
  <c r="U386" i="24"/>
  <c r="T386" i="24"/>
  <c r="S386" i="24"/>
  <c r="R386" i="24"/>
  <c r="Q386" i="24"/>
  <c r="O386" i="24"/>
  <c r="L386" i="24"/>
  <c r="H386" i="24"/>
  <c r="G386" i="24"/>
  <c r="F386" i="24"/>
  <c r="E386" i="24"/>
  <c r="D386" i="24"/>
  <c r="C386" i="24"/>
  <c r="B386" i="24"/>
  <c r="A386" i="24"/>
  <c r="W385" i="24"/>
  <c r="U385" i="24"/>
  <c r="T385" i="24"/>
  <c r="S385" i="24"/>
  <c r="R385" i="24"/>
  <c r="Q385" i="24"/>
  <c r="O385" i="24"/>
  <c r="L385" i="24"/>
  <c r="H385" i="24"/>
  <c r="G385" i="24"/>
  <c r="F385" i="24"/>
  <c r="E385" i="24"/>
  <c r="D385" i="24"/>
  <c r="C385" i="24"/>
  <c r="B385" i="24"/>
  <c r="A385" i="24"/>
  <c r="W384" i="24"/>
  <c r="U384" i="24"/>
  <c r="T384" i="24"/>
  <c r="S384" i="24"/>
  <c r="R384" i="24"/>
  <c r="Q384" i="24"/>
  <c r="O384" i="24"/>
  <c r="L384" i="24"/>
  <c r="G384" i="24"/>
  <c r="F384" i="24"/>
  <c r="E384" i="24"/>
  <c r="D384" i="24"/>
  <c r="C384" i="24"/>
  <c r="B384" i="24"/>
  <c r="A384" i="24"/>
  <c r="W383" i="24"/>
  <c r="U383" i="24"/>
  <c r="T383" i="24"/>
  <c r="S383" i="24"/>
  <c r="R383" i="24"/>
  <c r="Q383" i="24"/>
  <c r="O383" i="24"/>
  <c r="L383" i="24"/>
  <c r="F383" i="24"/>
  <c r="E383" i="24"/>
  <c r="D383" i="24"/>
  <c r="C383" i="24"/>
  <c r="B383" i="24"/>
  <c r="A383" i="24"/>
  <c r="W382" i="24"/>
  <c r="U382" i="24"/>
  <c r="T382" i="24"/>
  <c r="S382" i="24"/>
  <c r="R382" i="24"/>
  <c r="Q382" i="24"/>
  <c r="O382" i="24"/>
  <c r="M382" i="24"/>
  <c r="L382" i="24"/>
  <c r="G382" i="24"/>
  <c r="F382" i="24"/>
  <c r="E382" i="24"/>
  <c r="D382" i="24"/>
  <c r="C382" i="24"/>
  <c r="B382" i="24"/>
  <c r="A382" i="24"/>
  <c r="W381" i="24"/>
  <c r="U381" i="24"/>
  <c r="T381" i="24"/>
  <c r="S381" i="24"/>
  <c r="R381" i="24"/>
  <c r="Q381" i="24"/>
  <c r="O381" i="24"/>
  <c r="L381" i="24"/>
  <c r="F381" i="24"/>
  <c r="E381" i="24"/>
  <c r="D381" i="24"/>
  <c r="C381" i="24"/>
  <c r="B381" i="24"/>
  <c r="A381" i="24"/>
  <c r="W380" i="24"/>
  <c r="U380" i="24"/>
  <c r="T380" i="24"/>
  <c r="S380" i="24"/>
  <c r="R380" i="24"/>
  <c r="Q380" i="24"/>
  <c r="O380" i="24"/>
  <c r="L380" i="24"/>
  <c r="H380" i="24"/>
  <c r="G380" i="24"/>
  <c r="F380" i="24"/>
  <c r="E380" i="24"/>
  <c r="D380" i="24"/>
  <c r="C380" i="24"/>
  <c r="B380" i="24"/>
  <c r="A380" i="24"/>
  <c r="W379" i="24"/>
  <c r="U379" i="24"/>
  <c r="T379" i="24"/>
  <c r="S379" i="24"/>
  <c r="R379" i="24"/>
  <c r="Q379" i="24"/>
  <c r="O379" i="24"/>
  <c r="L379" i="24"/>
  <c r="G379" i="24"/>
  <c r="F379" i="24"/>
  <c r="E379" i="24"/>
  <c r="D379" i="24"/>
  <c r="C379" i="24"/>
  <c r="B379" i="24"/>
  <c r="A379" i="24"/>
  <c r="W378" i="24"/>
  <c r="U378" i="24"/>
  <c r="T378" i="24"/>
  <c r="S378" i="24"/>
  <c r="R378" i="24"/>
  <c r="Q378" i="24"/>
  <c r="O378" i="24"/>
  <c r="L378" i="24"/>
  <c r="I378" i="24"/>
  <c r="H378" i="24"/>
  <c r="G378" i="24"/>
  <c r="F378" i="24"/>
  <c r="E378" i="24"/>
  <c r="D378" i="24"/>
  <c r="C378" i="24"/>
  <c r="B378" i="24"/>
  <c r="A378" i="24"/>
  <c r="W377" i="24"/>
  <c r="U377" i="24"/>
  <c r="T377" i="24"/>
  <c r="S377" i="24"/>
  <c r="R377" i="24"/>
  <c r="Q377" i="24"/>
  <c r="O377" i="24"/>
  <c r="L377" i="24"/>
  <c r="H377" i="24"/>
  <c r="G377" i="24"/>
  <c r="F377" i="24"/>
  <c r="E377" i="24"/>
  <c r="D377" i="24"/>
  <c r="C377" i="24"/>
  <c r="B377" i="24"/>
  <c r="A377" i="24"/>
  <c r="W376" i="24"/>
  <c r="U376" i="24"/>
  <c r="T376" i="24"/>
  <c r="S376" i="24"/>
  <c r="R376" i="24"/>
  <c r="Q376" i="24"/>
  <c r="O376" i="24"/>
  <c r="L376" i="24"/>
  <c r="F376" i="24"/>
  <c r="E376" i="24"/>
  <c r="D376" i="24"/>
  <c r="C376" i="24"/>
  <c r="B376" i="24"/>
  <c r="A376" i="24"/>
  <c r="W375" i="24"/>
  <c r="U375" i="24"/>
  <c r="T375" i="24"/>
  <c r="S375" i="24"/>
  <c r="R375" i="24"/>
  <c r="Q375" i="24"/>
  <c r="O375" i="24"/>
  <c r="L375" i="24"/>
  <c r="F375" i="24"/>
  <c r="E375" i="24"/>
  <c r="D375" i="24"/>
  <c r="C375" i="24"/>
  <c r="B375" i="24"/>
  <c r="A375" i="24"/>
  <c r="W374" i="24"/>
  <c r="U374" i="24"/>
  <c r="T374" i="24"/>
  <c r="S374" i="24"/>
  <c r="R374" i="24"/>
  <c r="Q374" i="24"/>
  <c r="O374" i="24"/>
  <c r="L374" i="24"/>
  <c r="G374" i="24"/>
  <c r="F374" i="24"/>
  <c r="E374" i="24"/>
  <c r="D374" i="24"/>
  <c r="C374" i="24"/>
  <c r="B374" i="24"/>
  <c r="A374" i="24"/>
  <c r="W373" i="24"/>
  <c r="U373" i="24"/>
  <c r="T373" i="24"/>
  <c r="S373" i="24"/>
  <c r="R373" i="24"/>
  <c r="Q373" i="24"/>
  <c r="O373" i="24"/>
  <c r="L373" i="24"/>
  <c r="I373" i="24"/>
  <c r="H373" i="24"/>
  <c r="G373" i="24"/>
  <c r="F373" i="24"/>
  <c r="E373" i="24"/>
  <c r="D373" i="24"/>
  <c r="C373" i="24"/>
  <c r="B373" i="24"/>
  <c r="A373" i="24"/>
  <c r="W372" i="24"/>
  <c r="U372" i="24"/>
  <c r="T372" i="24"/>
  <c r="S372" i="24"/>
  <c r="R372" i="24"/>
  <c r="Q372" i="24"/>
  <c r="O372" i="24"/>
  <c r="L372" i="24"/>
  <c r="F372" i="24"/>
  <c r="E372" i="24"/>
  <c r="D372" i="24"/>
  <c r="C372" i="24"/>
  <c r="B372" i="24"/>
  <c r="A372" i="24"/>
  <c r="W371" i="24"/>
  <c r="U371" i="24"/>
  <c r="T371" i="24"/>
  <c r="S371" i="24"/>
  <c r="R371" i="24"/>
  <c r="Q371" i="24"/>
  <c r="O371" i="24"/>
  <c r="M371" i="24"/>
  <c r="L371" i="24"/>
  <c r="I371" i="24"/>
  <c r="H371" i="24"/>
  <c r="G371" i="24"/>
  <c r="F371" i="24"/>
  <c r="E371" i="24"/>
  <c r="D371" i="24"/>
  <c r="C371" i="24"/>
  <c r="B371" i="24"/>
  <c r="A371" i="24"/>
  <c r="W370" i="24"/>
  <c r="U370" i="24"/>
  <c r="T370" i="24"/>
  <c r="S370" i="24"/>
  <c r="R370" i="24"/>
  <c r="Q370" i="24"/>
  <c r="O370" i="24"/>
  <c r="L370" i="24"/>
  <c r="G370" i="24"/>
  <c r="F370" i="24"/>
  <c r="E370" i="24"/>
  <c r="D370" i="24"/>
  <c r="C370" i="24"/>
  <c r="B370" i="24"/>
  <c r="A370" i="24"/>
  <c r="W369" i="24"/>
  <c r="U369" i="24"/>
  <c r="T369" i="24"/>
  <c r="S369" i="24"/>
  <c r="R369" i="24"/>
  <c r="Q369" i="24"/>
  <c r="O369" i="24"/>
  <c r="L369" i="24"/>
  <c r="H369" i="24"/>
  <c r="G369" i="24"/>
  <c r="F369" i="24"/>
  <c r="E369" i="24"/>
  <c r="D369" i="24"/>
  <c r="C369" i="24"/>
  <c r="B369" i="24"/>
  <c r="A369" i="24"/>
  <c r="W368" i="24"/>
  <c r="U368" i="24"/>
  <c r="T368" i="24"/>
  <c r="S368" i="24"/>
  <c r="R368" i="24"/>
  <c r="Q368" i="24"/>
  <c r="O368" i="24"/>
  <c r="L368" i="24"/>
  <c r="F368" i="24"/>
  <c r="E368" i="24"/>
  <c r="D368" i="24"/>
  <c r="C368" i="24"/>
  <c r="B368" i="24"/>
  <c r="A368" i="24"/>
  <c r="W367" i="24"/>
  <c r="U367" i="24"/>
  <c r="T367" i="24"/>
  <c r="S367" i="24"/>
  <c r="R367" i="24"/>
  <c r="Q367" i="24"/>
  <c r="O367" i="24"/>
  <c r="M367" i="24"/>
  <c r="L367" i="24"/>
  <c r="G367" i="24"/>
  <c r="F367" i="24"/>
  <c r="E367" i="24"/>
  <c r="D367" i="24"/>
  <c r="C367" i="24"/>
  <c r="B367" i="24"/>
  <c r="A367" i="24"/>
  <c r="W366" i="24"/>
  <c r="U366" i="24"/>
  <c r="T366" i="24"/>
  <c r="S366" i="24"/>
  <c r="R366" i="24"/>
  <c r="Q366" i="24"/>
  <c r="O366" i="24"/>
  <c r="L366" i="24"/>
  <c r="G366" i="24"/>
  <c r="F366" i="24"/>
  <c r="E366" i="24"/>
  <c r="D366" i="24"/>
  <c r="C366" i="24"/>
  <c r="B366" i="24"/>
  <c r="A366" i="24"/>
  <c r="W365" i="24"/>
  <c r="U365" i="24"/>
  <c r="T365" i="24"/>
  <c r="S365" i="24"/>
  <c r="R365" i="24"/>
  <c r="Q365" i="24"/>
  <c r="O365" i="24"/>
  <c r="L365" i="24"/>
  <c r="J365" i="24"/>
  <c r="I365" i="24"/>
  <c r="H365" i="24"/>
  <c r="G365" i="24"/>
  <c r="F365" i="24"/>
  <c r="E365" i="24"/>
  <c r="D365" i="24"/>
  <c r="C365" i="24"/>
  <c r="B365" i="24"/>
  <c r="A365" i="24"/>
  <c r="W364" i="24"/>
  <c r="U364" i="24"/>
  <c r="T364" i="24"/>
  <c r="S364" i="24"/>
  <c r="R364" i="24"/>
  <c r="Q364" i="24"/>
  <c r="O364" i="24"/>
  <c r="L364" i="24"/>
  <c r="G364" i="24"/>
  <c r="F364" i="24"/>
  <c r="E364" i="24"/>
  <c r="D364" i="24"/>
  <c r="C364" i="24"/>
  <c r="B364" i="24"/>
  <c r="A364" i="24"/>
  <c r="W363" i="24"/>
  <c r="U363" i="24"/>
  <c r="T363" i="24"/>
  <c r="S363" i="24"/>
  <c r="R363" i="24"/>
  <c r="Q363" i="24"/>
  <c r="O363" i="24"/>
  <c r="L363" i="24"/>
  <c r="F363" i="24"/>
  <c r="E363" i="24"/>
  <c r="D363" i="24"/>
  <c r="C363" i="24"/>
  <c r="B363" i="24"/>
  <c r="A363" i="24"/>
  <c r="W362" i="24"/>
  <c r="U362" i="24"/>
  <c r="T362" i="24"/>
  <c r="S362" i="24"/>
  <c r="R362" i="24"/>
  <c r="Q362" i="24"/>
  <c r="O362" i="24"/>
  <c r="L362" i="24"/>
  <c r="H362" i="24"/>
  <c r="G362" i="24"/>
  <c r="F362" i="24"/>
  <c r="E362" i="24"/>
  <c r="D362" i="24"/>
  <c r="C362" i="24"/>
  <c r="B362" i="24"/>
  <c r="A362" i="24"/>
  <c r="W361" i="24"/>
  <c r="U361" i="24"/>
  <c r="T361" i="24"/>
  <c r="S361" i="24"/>
  <c r="R361" i="24"/>
  <c r="Q361" i="24"/>
  <c r="O361" i="24"/>
  <c r="L361" i="24"/>
  <c r="H361" i="24"/>
  <c r="G361" i="24"/>
  <c r="F361" i="24"/>
  <c r="E361" i="24"/>
  <c r="D361" i="24"/>
  <c r="C361" i="24"/>
  <c r="B361" i="24"/>
  <c r="A361" i="24"/>
  <c r="W360" i="24"/>
  <c r="U360" i="24"/>
  <c r="T360" i="24"/>
  <c r="S360" i="24"/>
  <c r="R360" i="24"/>
  <c r="Q360" i="24"/>
  <c r="O360" i="24"/>
  <c r="L360" i="24"/>
  <c r="G360" i="24"/>
  <c r="F360" i="24"/>
  <c r="E360" i="24"/>
  <c r="D360" i="24"/>
  <c r="C360" i="24"/>
  <c r="B360" i="24"/>
  <c r="A360" i="24"/>
  <c r="W359" i="24"/>
  <c r="U359" i="24"/>
  <c r="T359" i="24"/>
  <c r="S359" i="24"/>
  <c r="R359" i="24"/>
  <c r="Q359" i="24"/>
  <c r="O359" i="24"/>
  <c r="L359" i="24"/>
  <c r="H359" i="24"/>
  <c r="G359" i="24"/>
  <c r="F359" i="24"/>
  <c r="E359" i="24"/>
  <c r="D359" i="24"/>
  <c r="C359" i="24"/>
  <c r="B359" i="24"/>
  <c r="A359" i="24"/>
  <c r="W358" i="24"/>
  <c r="U358" i="24"/>
  <c r="T358" i="24"/>
  <c r="S358" i="24"/>
  <c r="R358" i="24"/>
  <c r="Q358" i="24"/>
  <c r="O358" i="24"/>
  <c r="L358" i="24"/>
  <c r="F358" i="24"/>
  <c r="E358" i="24"/>
  <c r="D358" i="24"/>
  <c r="C358" i="24"/>
  <c r="B358" i="24"/>
  <c r="A358" i="24"/>
  <c r="W357" i="24"/>
  <c r="U357" i="24"/>
  <c r="T357" i="24"/>
  <c r="S357" i="24"/>
  <c r="R357" i="24"/>
  <c r="Q357" i="24"/>
  <c r="O357" i="24"/>
  <c r="L357" i="24"/>
  <c r="I357" i="24"/>
  <c r="H357" i="24"/>
  <c r="G357" i="24"/>
  <c r="F357" i="24"/>
  <c r="E357" i="24"/>
  <c r="D357" i="24"/>
  <c r="C357" i="24"/>
  <c r="B357" i="24"/>
  <c r="A357" i="24"/>
  <c r="W356" i="24"/>
  <c r="U356" i="24"/>
  <c r="T356" i="24"/>
  <c r="S356" i="24"/>
  <c r="R356" i="24"/>
  <c r="Q356" i="24"/>
  <c r="O356" i="24"/>
  <c r="L356" i="24"/>
  <c r="K356" i="24"/>
  <c r="J356" i="24"/>
  <c r="I356" i="24"/>
  <c r="H356" i="24"/>
  <c r="G356" i="24"/>
  <c r="F356" i="24"/>
  <c r="E356" i="24"/>
  <c r="D356" i="24"/>
  <c r="C356" i="24"/>
  <c r="B356" i="24"/>
  <c r="A356" i="24"/>
  <c r="W355" i="24"/>
  <c r="U355" i="24"/>
  <c r="T355" i="24"/>
  <c r="S355" i="24"/>
  <c r="R355" i="24"/>
  <c r="Q355" i="24"/>
  <c r="O355" i="24"/>
  <c r="L355" i="24"/>
  <c r="F355" i="24"/>
  <c r="E355" i="24"/>
  <c r="D355" i="24"/>
  <c r="C355" i="24"/>
  <c r="B355" i="24"/>
  <c r="A355" i="24"/>
  <c r="W354" i="24"/>
  <c r="U354" i="24"/>
  <c r="T354" i="24"/>
  <c r="S354" i="24"/>
  <c r="R354" i="24"/>
  <c r="Q354" i="24"/>
  <c r="O354" i="24"/>
  <c r="L354" i="24"/>
  <c r="G354" i="24"/>
  <c r="F354" i="24"/>
  <c r="E354" i="24"/>
  <c r="D354" i="24"/>
  <c r="C354" i="24"/>
  <c r="B354" i="24"/>
  <c r="A354" i="24"/>
  <c r="W353" i="24"/>
  <c r="U353" i="24"/>
  <c r="T353" i="24"/>
  <c r="S353" i="24"/>
  <c r="R353" i="24"/>
  <c r="Q353" i="24"/>
  <c r="O353" i="24"/>
  <c r="L353" i="24"/>
  <c r="G353" i="24"/>
  <c r="F353" i="24"/>
  <c r="E353" i="24"/>
  <c r="D353" i="24"/>
  <c r="C353" i="24"/>
  <c r="B353" i="24"/>
  <c r="A353" i="24"/>
  <c r="W352" i="24"/>
  <c r="U352" i="24"/>
  <c r="T352" i="24"/>
  <c r="S352" i="24"/>
  <c r="R352" i="24"/>
  <c r="Q352" i="24"/>
  <c r="O352" i="24"/>
  <c r="L352" i="24"/>
  <c r="H352" i="24"/>
  <c r="G352" i="24"/>
  <c r="F352" i="24"/>
  <c r="E352" i="24"/>
  <c r="D352" i="24"/>
  <c r="C352" i="24"/>
  <c r="B352" i="24"/>
  <c r="A352" i="24"/>
  <c r="W351" i="24"/>
  <c r="V351" i="24"/>
  <c r="U351" i="24"/>
  <c r="T351" i="24"/>
  <c r="S351" i="24"/>
  <c r="R351" i="24"/>
  <c r="Q351" i="24"/>
  <c r="O351" i="24"/>
  <c r="L351" i="24"/>
  <c r="G351" i="24"/>
  <c r="F351" i="24"/>
  <c r="E351" i="24"/>
  <c r="D351" i="24"/>
  <c r="C351" i="24"/>
  <c r="B351" i="24"/>
  <c r="A351" i="24"/>
  <c r="W350" i="24"/>
  <c r="U350" i="24"/>
  <c r="T350" i="24"/>
  <c r="S350" i="24"/>
  <c r="R350" i="24"/>
  <c r="Q350" i="24"/>
  <c r="O350" i="24"/>
  <c r="L350" i="24"/>
  <c r="F350" i="24"/>
  <c r="E350" i="24"/>
  <c r="D350" i="24"/>
  <c r="C350" i="24"/>
  <c r="B350" i="24"/>
  <c r="A350" i="24"/>
  <c r="W349" i="24"/>
  <c r="U349" i="24"/>
  <c r="T349" i="24"/>
  <c r="S349" i="24"/>
  <c r="R349" i="24"/>
  <c r="Q349" i="24"/>
  <c r="O349" i="24"/>
  <c r="L349" i="24"/>
  <c r="F349" i="24"/>
  <c r="E349" i="24"/>
  <c r="D349" i="24"/>
  <c r="C349" i="24"/>
  <c r="B349" i="24"/>
  <c r="A349" i="24"/>
  <c r="W348" i="24"/>
  <c r="U348" i="24"/>
  <c r="T348" i="24"/>
  <c r="S348" i="24"/>
  <c r="R348" i="24"/>
  <c r="Q348" i="24"/>
  <c r="O348" i="24"/>
  <c r="L348" i="24"/>
  <c r="H348" i="24"/>
  <c r="G348" i="24"/>
  <c r="F348" i="24"/>
  <c r="E348" i="24"/>
  <c r="D348" i="24"/>
  <c r="C348" i="24"/>
  <c r="B348" i="24"/>
  <c r="A348" i="24"/>
  <c r="W347" i="24"/>
  <c r="U347" i="24"/>
  <c r="T347" i="24"/>
  <c r="S347" i="24"/>
  <c r="R347" i="24"/>
  <c r="Q347" i="24"/>
  <c r="O347" i="24"/>
  <c r="L347" i="24"/>
  <c r="H347" i="24"/>
  <c r="G347" i="24"/>
  <c r="F347" i="24"/>
  <c r="E347" i="24"/>
  <c r="D347" i="24"/>
  <c r="C347" i="24"/>
  <c r="B347" i="24"/>
  <c r="A347" i="24"/>
  <c r="W346" i="24"/>
  <c r="U346" i="24"/>
  <c r="T346" i="24"/>
  <c r="S346" i="24"/>
  <c r="R346" i="24"/>
  <c r="Q346" i="24"/>
  <c r="O346" i="24"/>
  <c r="L346" i="24"/>
  <c r="I346" i="24"/>
  <c r="H346" i="24"/>
  <c r="G346" i="24"/>
  <c r="F346" i="24"/>
  <c r="E346" i="24"/>
  <c r="D346" i="24"/>
  <c r="C346" i="24"/>
  <c r="B346" i="24"/>
  <c r="A346" i="24"/>
  <c r="W345" i="24"/>
  <c r="U345" i="24"/>
  <c r="T345" i="24"/>
  <c r="S345" i="24"/>
  <c r="R345" i="24"/>
  <c r="Q345" i="24"/>
  <c r="O345" i="24"/>
  <c r="L345" i="24"/>
  <c r="G345" i="24"/>
  <c r="F345" i="24"/>
  <c r="E345" i="24"/>
  <c r="D345" i="24"/>
  <c r="C345" i="24"/>
  <c r="B345" i="24"/>
  <c r="A345" i="24"/>
  <c r="W344" i="24"/>
  <c r="U344" i="24"/>
  <c r="T344" i="24"/>
  <c r="S344" i="24"/>
  <c r="R344" i="24"/>
  <c r="Q344" i="24"/>
  <c r="O344" i="24"/>
  <c r="L344" i="24"/>
  <c r="H344" i="24"/>
  <c r="G344" i="24"/>
  <c r="F344" i="24"/>
  <c r="E344" i="24"/>
  <c r="D344" i="24"/>
  <c r="C344" i="24"/>
  <c r="B344" i="24"/>
  <c r="A344" i="24"/>
  <c r="W343" i="24"/>
  <c r="U343" i="24"/>
  <c r="T343" i="24"/>
  <c r="S343" i="24"/>
  <c r="R343" i="24"/>
  <c r="Q343" i="24"/>
  <c r="O343" i="24"/>
  <c r="L343" i="24"/>
  <c r="F343" i="24"/>
  <c r="E343" i="24"/>
  <c r="D343" i="24"/>
  <c r="C343" i="24"/>
  <c r="B343" i="24"/>
  <c r="A343" i="24"/>
  <c r="W342" i="24"/>
  <c r="V342" i="24"/>
  <c r="U342" i="24"/>
  <c r="T342" i="24"/>
  <c r="S342" i="24"/>
  <c r="R342" i="24"/>
  <c r="Q342" i="24"/>
  <c r="O342" i="24"/>
  <c r="L342" i="24"/>
  <c r="F342" i="24"/>
  <c r="E342" i="24"/>
  <c r="D342" i="24"/>
  <c r="C342" i="24"/>
  <c r="B342" i="24"/>
  <c r="A342" i="24"/>
  <c r="W341" i="24"/>
  <c r="U341" i="24"/>
  <c r="T341" i="24"/>
  <c r="S341" i="24"/>
  <c r="R341" i="24"/>
  <c r="Q341" i="24"/>
  <c r="O341" i="24"/>
  <c r="L341" i="24"/>
  <c r="G341" i="24"/>
  <c r="F341" i="24"/>
  <c r="E341" i="24"/>
  <c r="D341" i="24"/>
  <c r="C341" i="24"/>
  <c r="B341" i="24"/>
  <c r="A341" i="24"/>
  <c r="W340" i="24"/>
  <c r="U340" i="24"/>
  <c r="T340" i="24"/>
  <c r="S340" i="24"/>
  <c r="R340" i="24"/>
  <c r="Q340" i="24"/>
  <c r="O340" i="24"/>
  <c r="L340" i="24"/>
  <c r="H340" i="24"/>
  <c r="G340" i="24"/>
  <c r="F340" i="24"/>
  <c r="E340" i="24"/>
  <c r="D340" i="24"/>
  <c r="C340" i="24"/>
  <c r="B340" i="24"/>
  <c r="A340" i="24"/>
  <c r="W339" i="24"/>
  <c r="U339" i="24"/>
  <c r="T339" i="24"/>
  <c r="S339" i="24"/>
  <c r="R339" i="24"/>
  <c r="Q339" i="24"/>
  <c r="O339" i="24"/>
  <c r="L339" i="24"/>
  <c r="F339" i="24"/>
  <c r="E339" i="24"/>
  <c r="D339" i="24"/>
  <c r="C339" i="24"/>
  <c r="B339" i="24"/>
  <c r="A339" i="24"/>
  <c r="W338" i="24"/>
  <c r="U338" i="24"/>
  <c r="T338" i="24"/>
  <c r="S338" i="24"/>
  <c r="R338" i="24"/>
  <c r="Q338" i="24"/>
  <c r="O338" i="24"/>
  <c r="M338" i="24"/>
  <c r="L338" i="24"/>
  <c r="F338" i="24"/>
  <c r="E338" i="24"/>
  <c r="D338" i="24"/>
  <c r="C338" i="24"/>
  <c r="B338" i="24"/>
  <c r="A338" i="24"/>
  <c r="W337" i="24"/>
  <c r="U337" i="24"/>
  <c r="T337" i="24"/>
  <c r="S337" i="24"/>
  <c r="R337" i="24"/>
  <c r="Q337" i="24"/>
  <c r="O337" i="24"/>
  <c r="L337" i="24"/>
  <c r="F337" i="24"/>
  <c r="E337" i="24"/>
  <c r="D337" i="24"/>
  <c r="C337" i="24"/>
  <c r="B337" i="24"/>
  <c r="A337" i="24"/>
  <c r="W336" i="24"/>
  <c r="U336" i="24"/>
  <c r="T336" i="24"/>
  <c r="S336" i="24"/>
  <c r="R336" i="24"/>
  <c r="Q336" i="24"/>
  <c r="O336" i="24"/>
  <c r="M336" i="24"/>
  <c r="L336" i="24"/>
  <c r="H336" i="24"/>
  <c r="G336" i="24"/>
  <c r="F336" i="24"/>
  <c r="E336" i="24"/>
  <c r="D336" i="24"/>
  <c r="C336" i="24"/>
  <c r="B336" i="24"/>
  <c r="A336" i="24"/>
  <c r="W335" i="24"/>
  <c r="U335" i="24"/>
  <c r="T335" i="24"/>
  <c r="S335" i="24"/>
  <c r="R335" i="24"/>
  <c r="Q335" i="24"/>
  <c r="O335" i="24"/>
  <c r="L335" i="24"/>
  <c r="H335" i="24"/>
  <c r="G335" i="24"/>
  <c r="F335" i="24"/>
  <c r="E335" i="24"/>
  <c r="D335" i="24"/>
  <c r="C335" i="24"/>
  <c r="B335" i="24"/>
  <c r="A335" i="24"/>
  <c r="W334" i="24"/>
  <c r="U334" i="24"/>
  <c r="T334" i="24"/>
  <c r="S334" i="24"/>
  <c r="R334" i="24"/>
  <c r="Q334" i="24"/>
  <c r="O334" i="24"/>
  <c r="L334" i="24"/>
  <c r="F334" i="24"/>
  <c r="E334" i="24"/>
  <c r="D334" i="24"/>
  <c r="C334" i="24"/>
  <c r="B334" i="24"/>
  <c r="A334" i="24"/>
  <c r="W333" i="24"/>
  <c r="U333" i="24"/>
  <c r="T333" i="24"/>
  <c r="S333" i="24"/>
  <c r="R333" i="24"/>
  <c r="Q333" i="24"/>
  <c r="O333" i="24"/>
  <c r="L333" i="24"/>
  <c r="G333" i="24"/>
  <c r="F333" i="24"/>
  <c r="E333" i="24"/>
  <c r="D333" i="24"/>
  <c r="C333" i="24"/>
  <c r="B333" i="24"/>
  <c r="A333" i="24"/>
  <c r="W332" i="24"/>
  <c r="U332" i="24"/>
  <c r="T332" i="24"/>
  <c r="S332" i="24"/>
  <c r="R332" i="24"/>
  <c r="Q332" i="24"/>
  <c r="O332" i="24"/>
  <c r="L332" i="24"/>
  <c r="H332" i="24"/>
  <c r="G332" i="24"/>
  <c r="F332" i="24"/>
  <c r="E332" i="24"/>
  <c r="D332" i="24"/>
  <c r="C332" i="24"/>
  <c r="B332" i="24"/>
  <c r="A332" i="24"/>
  <c r="W331" i="24"/>
  <c r="U331" i="24"/>
  <c r="T331" i="24"/>
  <c r="S331" i="24"/>
  <c r="R331" i="24"/>
  <c r="Q331" i="24"/>
  <c r="O331" i="24"/>
  <c r="L331" i="24"/>
  <c r="F331" i="24"/>
  <c r="E331" i="24"/>
  <c r="D331" i="24"/>
  <c r="C331" i="24"/>
  <c r="B331" i="24"/>
  <c r="A331" i="24"/>
  <c r="W330" i="24"/>
  <c r="U330" i="24"/>
  <c r="T330" i="24"/>
  <c r="S330" i="24"/>
  <c r="R330" i="24"/>
  <c r="Q330" i="24"/>
  <c r="O330" i="24"/>
  <c r="L330" i="24"/>
  <c r="G330" i="24"/>
  <c r="F330" i="24"/>
  <c r="E330" i="24"/>
  <c r="D330" i="24"/>
  <c r="C330" i="24"/>
  <c r="B330" i="24"/>
  <c r="A330" i="24"/>
  <c r="W329" i="24"/>
  <c r="U329" i="24"/>
  <c r="T329" i="24"/>
  <c r="S329" i="24"/>
  <c r="R329" i="24"/>
  <c r="Q329" i="24"/>
  <c r="O329" i="24"/>
  <c r="M329" i="24"/>
  <c r="L329" i="24"/>
  <c r="G329" i="24"/>
  <c r="F329" i="24"/>
  <c r="E329" i="24"/>
  <c r="D329" i="24"/>
  <c r="C329" i="24"/>
  <c r="B329" i="24"/>
  <c r="A329" i="24"/>
  <c r="W328" i="24"/>
  <c r="U328" i="24"/>
  <c r="T328" i="24"/>
  <c r="S328" i="24"/>
  <c r="R328" i="24"/>
  <c r="Q328" i="24"/>
  <c r="O328" i="24"/>
  <c r="L328" i="24"/>
  <c r="G328" i="24"/>
  <c r="F328" i="24"/>
  <c r="E328" i="24"/>
  <c r="D328" i="24"/>
  <c r="C328" i="24"/>
  <c r="B328" i="24"/>
  <c r="A328" i="24"/>
  <c r="W327" i="24"/>
  <c r="U327" i="24"/>
  <c r="T327" i="24"/>
  <c r="S327" i="24"/>
  <c r="R327" i="24"/>
  <c r="Q327" i="24"/>
  <c r="O327" i="24"/>
  <c r="L327" i="24"/>
  <c r="K327" i="24"/>
  <c r="J327" i="24"/>
  <c r="I327" i="24"/>
  <c r="H327" i="24"/>
  <c r="G327" i="24"/>
  <c r="F327" i="24"/>
  <c r="E327" i="24"/>
  <c r="D327" i="24"/>
  <c r="C327" i="24"/>
  <c r="B327" i="24"/>
  <c r="A327" i="24"/>
  <c r="W326" i="24"/>
  <c r="U326" i="24"/>
  <c r="T326" i="24"/>
  <c r="S326" i="24"/>
  <c r="R326" i="24"/>
  <c r="Q326" i="24"/>
  <c r="O326" i="24"/>
  <c r="N326" i="24"/>
  <c r="M326" i="24"/>
  <c r="L326" i="24"/>
  <c r="H326" i="24"/>
  <c r="G326" i="24"/>
  <c r="F326" i="24"/>
  <c r="E326" i="24"/>
  <c r="D326" i="24"/>
  <c r="C326" i="24"/>
  <c r="B326" i="24"/>
  <c r="A326" i="24"/>
  <c r="W325" i="24"/>
  <c r="U325" i="24"/>
  <c r="T325" i="24"/>
  <c r="S325" i="24"/>
  <c r="R325" i="24"/>
  <c r="Q325" i="24"/>
  <c r="O325" i="24"/>
  <c r="L325" i="24"/>
  <c r="H325" i="24"/>
  <c r="G325" i="24"/>
  <c r="F325" i="24"/>
  <c r="E325" i="24"/>
  <c r="D325" i="24"/>
  <c r="C325" i="24"/>
  <c r="B325" i="24"/>
  <c r="A325" i="24"/>
  <c r="W324" i="24"/>
  <c r="U324" i="24"/>
  <c r="T324" i="24"/>
  <c r="S324" i="24"/>
  <c r="R324" i="24"/>
  <c r="Q324" i="24"/>
  <c r="O324" i="24"/>
  <c r="L324" i="24"/>
  <c r="G324" i="24"/>
  <c r="F324" i="24"/>
  <c r="E324" i="24"/>
  <c r="D324" i="24"/>
  <c r="C324" i="24"/>
  <c r="B324" i="24"/>
  <c r="A324" i="24"/>
  <c r="W323" i="24"/>
  <c r="U323" i="24"/>
  <c r="T323" i="24"/>
  <c r="S323" i="24"/>
  <c r="R323" i="24"/>
  <c r="Q323" i="24"/>
  <c r="O323" i="24"/>
  <c r="L323" i="24"/>
  <c r="G323" i="24"/>
  <c r="F323" i="24"/>
  <c r="E323" i="24"/>
  <c r="D323" i="24"/>
  <c r="C323" i="24"/>
  <c r="B323" i="24"/>
  <c r="A323" i="24"/>
  <c r="W322" i="24"/>
  <c r="U322" i="24"/>
  <c r="T322" i="24"/>
  <c r="S322" i="24"/>
  <c r="R322" i="24"/>
  <c r="Q322" i="24"/>
  <c r="O322" i="24"/>
  <c r="L322" i="24"/>
  <c r="F322" i="24"/>
  <c r="E322" i="24"/>
  <c r="D322" i="24"/>
  <c r="C322" i="24"/>
  <c r="B322" i="24"/>
  <c r="A322" i="24"/>
  <c r="W321" i="24"/>
  <c r="U321" i="24"/>
  <c r="T321" i="24"/>
  <c r="S321" i="24"/>
  <c r="R321" i="24"/>
  <c r="Q321" i="24"/>
  <c r="O321" i="24"/>
  <c r="L321" i="24"/>
  <c r="J321" i="24"/>
  <c r="I321" i="24"/>
  <c r="H321" i="24"/>
  <c r="G321" i="24"/>
  <c r="F321" i="24"/>
  <c r="E321" i="24"/>
  <c r="D321" i="24"/>
  <c r="C321" i="24"/>
  <c r="B321" i="24"/>
  <c r="A321" i="24"/>
  <c r="W320" i="24"/>
  <c r="U320" i="24"/>
  <c r="T320" i="24"/>
  <c r="S320" i="24"/>
  <c r="R320" i="24"/>
  <c r="Q320" i="24"/>
  <c r="O320" i="24"/>
  <c r="L320" i="24"/>
  <c r="H320" i="24"/>
  <c r="G320" i="24"/>
  <c r="F320" i="24"/>
  <c r="E320" i="24"/>
  <c r="D320" i="24"/>
  <c r="C320" i="24"/>
  <c r="B320" i="24"/>
  <c r="A320" i="24"/>
  <c r="W319" i="24"/>
  <c r="U319" i="24"/>
  <c r="T319" i="24"/>
  <c r="S319" i="24"/>
  <c r="R319" i="24"/>
  <c r="Q319" i="24"/>
  <c r="O319" i="24"/>
  <c r="L319" i="24"/>
  <c r="F319" i="24"/>
  <c r="E319" i="24"/>
  <c r="D319" i="24"/>
  <c r="C319" i="24"/>
  <c r="B319" i="24"/>
  <c r="A319" i="24"/>
  <c r="W318" i="24"/>
  <c r="U318" i="24"/>
  <c r="T318" i="24"/>
  <c r="S318" i="24"/>
  <c r="R318" i="24"/>
  <c r="Q318" i="24"/>
  <c r="O318" i="24"/>
  <c r="L318" i="24"/>
  <c r="G318" i="24"/>
  <c r="F318" i="24"/>
  <c r="E318" i="24"/>
  <c r="D318" i="24"/>
  <c r="C318" i="24"/>
  <c r="B318" i="24"/>
  <c r="A318" i="24"/>
  <c r="W317" i="24"/>
  <c r="U317" i="24"/>
  <c r="T317" i="24"/>
  <c r="S317" i="24"/>
  <c r="R317" i="24"/>
  <c r="Q317" i="24"/>
  <c r="O317" i="24"/>
  <c r="M317" i="24"/>
  <c r="L317" i="24"/>
  <c r="F317" i="24"/>
  <c r="E317" i="24"/>
  <c r="D317" i="24"/>
  <c r="C317" i="24"/>
  <c r="B317" i="24"/>
  <c r="A317" i="24"/>
  <c r="W316" i="24"/>
  <c r="U316" i="24"/>
  <c r="T316" i="24"/>
  <c r="S316" i="24"/>
  <c r="R316" i="24"/>
  <c r="Q316" i="24"/>
  <c r="O316" i="24"/>
  <c r="L316" i="24"/>
  <c r="K316" i="24"/>
  <c r="J316" i="24"/>
  <c r="I316" i="24"/>
  <c r="H316" i="24"/>
  <c r="G316" i="24"/>
  <c r="F316" i="24"/>
  <c r="E316" i="24"/>
  <c r="D316" i="24"/>
  <c r="C316" i="24"/>
  <c r="B316" i="24"/>
  <c r="A316" i="24"/>
  <c r="W315" i="24"/>
  <c r="U315" i="24"/>
  <c r="T315" i="24"/>
  <c r="S315" i="24"/>
  <c r="R315" i="24"/>
  <c r="Q315" i="24"/>
  <c r="O315" i="24"/>
  <c r="L315" i="24"/>
  <c r="H315" i="24"/>
  <c r="G315" i="24"/>
  <c r="F315" i="24"/>
  <c r="E315" i="24"/>
  <c r="D315" i="24"/>
  <c r="C315" i="24"/>
  <c r="B315" i="24"/>
  <c r="A315" i="24"/>
  <c r="W314" i="24"/>
  <c r="U314" i="24"/>
  <c r="T314" i="24"/>
  <c r="S314" i="24"/>
  <c r="R314" i="24"/>
  <c r="Q314" i="24"/>
  <c r="O314" i="24"/>
  <c r="L314" i="24"/>
  <c r="G314" i="24"/>
  <c r="F314" i="24"/>
  <c r="E314" i="24"/>
  <c r="D314" i="24"/>
  <c r="C314" i="24"/>
  <c r="B314" i="24"/>
  <c r="A314" i="24"/>
  <c r="W313" i="24"/>
  <c r="U313" i="24"/>
  <c r="T313" i="24"/>
  <c r="S313" i="24"/>
  <c r="R313" i="24"/>
  <c r="Q313" i="24"/>
  <c r="O313" i="24"/>
  <c r="L313" i="24"/>
  <c r="G313" i="24"/>
  <c r="F313" i="24"/>
  <c r="E313" i="24"/>
  <c r="D313" i="24"/>
  <c r="C313" i="24"/>
  <c r="B313" i="24"/>
  <c r="A313" i="24"/>
  <c r="W312" i="24"/>
  <c r="U312" i="24"/>
  <c r="T312" i="24"/>
  <c r="S312" i="24"/>
  <c r="R312" i="24"/>
  <c r="Q312" i="24"/>
  <c r="O312" i="24"/>
  <c r="L312" i="24"/>
  <c r="J312" i="24"/>
  <c r="I312" i="24"/>
  <c r="H312" i="24"/>
  <c r="G312" i="24"/>
  <c r="F312" i="24"/>
  <c r="E312" i="24"/>
  <c r="D312" i="24"/>
  <c r="C312" i="24"/>
  <c r="B312" i="24"/>
  <c r="A312" i="24"/>
  <c r="W311" i="24"/>
  <c r="U311" i="24"/>
  <c r="T311" i="24"/>
  <c r="S311" i="24"/>
  <c r="R311" i="24"/>
  <c r="Q311" i="24"/>
  <c r="O311" i="24"/>
  <c r="L311" i="24"/>
  <c r="I311" i="24"/>
  <c r="H311" i="24"/>
  <c r="G311" i="24"/>
  <c r="F311" i="24"/>
  <c r="E311" i="24"/>
  <c r="D311" i="24"/>
  <c r="C311" i="24"/>
  <c r="B311" i="24"/>
  <c r="A311" i="24"/>
  <c r="W310" i="24"/>
  <c r="U310" i="24"/>
  <c r="T310" i="24"/>
  <c r="S310" i="24"/>
  <c r="R310" i="24"/>
  <c r="Q310" i="24"/>
  <c r="O310" i="24"/>
  <c r="L310" i="24"/>
  <c r="F310" i="24"/>
  <c r="E310" i="24"/>
  <c r="D310" i="24"/>
  <c r="C310" i="24"/>
  <c r="B310" i="24"/>
  <c r="A310" i="24"/>
  <c r="W309" i="24"/>
  <c r="U309" i="24"/>
  <c r="T309" i="24"/>
  <c r="S309" i="24"/>
  <c r="R309" i="24"/>
  <c r="Q309" i="24"/>
  <c r="O309" i="24"/>
  <c r="L309" i="24"/>
  <c r="F309" i="24"/>
  <c r="E309" i="24"/>
  <c r="D309" i="24"/>
  <c r="C309" i="24"/>
  <c r="B309" i="24"/>
  <c r="A309" i="24"/>
  <c r="W308" i="24"/>
  <c r="U308" i="24"/>
  <c r="T308" i="24"/>
  <c r="S308" i="24"/>
  <c r="R308" i="24"/>
  <c r="Q308" i="24"/>
  <c r="O308" i="24"/>
  <c r="L308" i="24"/>
  <c r="G308" i="24"/>
  <c r="F308" i="24"/>
  <c r="E308" i="24"/>
  <c r="D308" i="24"/>
  <c r="C308" i="24"/>
  <c r="B308" i="24"/>
  <c r="A308" i="24"/>
  <c r="W307" i="24"/>
  <c r="U307" i="24"/>
  <c r="T307" i="24"/>
  <c r="S307" i="24"/>
  <c r="R307" i="24"/>
  <c r="Q307" i="24"/>
  <c r="O307" i="24"/>
  <c r="L307" i="24"/>
  <c r="F307" i="24"/>
  <c r="E307" i="24"/>
  <c r="D307" i="24"/>
  <c r="C307" i="24"/>
  <c r="B307" i="24"/>
  <c r="A307" i="24"/>
  <c r="W306" i="24"/>
  <c r="U306" i="24"/>
  <c r="T306" i="24"/>
  <c r="S306" i="24"/>
  <c r="R306" i="24"/>
  <c r="Q306" i="24"/>
  <c r="O306" i="24"/>
  <c r="L306" i="24"/>
  <c r="G306" i="24"/>
  <c r="F306" i="24"/>
  <c r="E306" i="24"/>
  <c r="D306" i="24"/>
  <c r="C306" i="24"/>
  <c r="B306" i="24"/>
  <c r="A306" i="24"/>
  <c r="W305" i="24"/>
  <c r="U305" i="24"/>
  <c r="T305" i="24"/>
  <c r="S305" i="24"/>
  <c r="R305" i="24"/>
  <c r="Q305" i="24"/>
  <c r="O305" i="24"/>
  <c r="L305" i="24"/>
  <c r="H305" i="24"/>
  <c r="G305" i="24"/>
  <c r="F305" i="24"/>
  <c r="E305" i="24"/>
  <c r="D305" i="24"/>
  <c r="C305" i="24"/>
  <c r="B305" i="24"/>
  <c r="A305" i="24"/>
  <c r="W304" i="24"/>
  <c r="U304" i="24"/>
  <c r="T304" i="24"/>
  <c r="S304" i="24"/>
  <c r="R304" i="24"/>
  <c r="Q304" i="24"/>
  <c r="O304" i="24"/>
  <c r="L304" i="24"/>
  <c r="F304" i="24"/>
  <c r="E304" i="24"/>
  <c r="D304" i="24"/>
  <c r="C304" i="24"/>
  <c r="B304" i="24"/>
  <c r="A304" i="24"/>
  <c r="W303" i="24"/>
  <c r="U303" i="24"/>
  <c r="T303" i="24"/>
  <c r="S303" i="24"/>
  <c r="R303" i="24"/>
  <c r="Q303" i="24"/>
  <c r="O303" i="24"/>
  <c r="M303" i="24"/>
  <c r="L303" i="24"/>
  <c r="G303" i="24"/>
  <c r="F303" i="24"/>
  <c r="E303" i="24"/>
  <c r="D303" i="24"/>
  <c r="C303" i="24"/>
  <c r="B303" i="24"/>
  <c r="A303" i="24"/>
  <c r="W302" i="24"/>
  <c r="U302" i="24"/>
  <c r="T302" i="24"/>
  <c r="S302" i="24"/>
  <c r="R302" i="24"/>
  <c r="Q302" i="24"/>
  <c r="O302" i="24"/>
  <c r="L302" i="24"/>
  <c r="H302" i="24"/>
  <c r="G302" i="24"/>
  <c r="F302" i="24"/>
  <c r="E302" i="24"/>
  <c r="D302" i="24"/>
  <c r="C302" i="24"/>
  <c r="B302" i="24"/>
  <c r="A302" i="24"/>
  <c r="W301" i="24"/>
  <c r="U301" i="24"/>
  <c r="T301" i="24"/>
  <c r="S301" i="24"/>
  <c r="R301" i="24"/>
  <c r="Q301" i="24"/>
  <c r="O301" i="24"/>
  <c r="L301" i="24"/>
  <c r="F301" i="24"/>
  <c r="E301" i="24"/>
  <c r="D301" i="24"/>
  <c r="C301" i="24"/>
  <c r="B301" i="24"/>
  <c r="A301" i="24"/>
  <c r="W300" i="24"/>
  <c r="U300" i="24"/>
  <c r="T300" i="24"/>
  <c r="S300" i="24"/>
  <c r="R300" i="24"/>
  <c r="Q300" i="24"/>
  <c r="O300" i="24"/>
  <c r="L300" i="24"/>
  <c r="G300" i="24"/>
  <c r="F300" i="24"/>
  <c r="E300" i="24"/>
  <c r="D300" i="24"/>
  <c r="C300" i="24"/>
  <c r="B300" i="24"/>
  <c r="A300" i="24"/>
  <c r="W299" i="24"/>
  <c r="U299" i="24"/>
  <c r="T299" i="24"/>
  <c r="S299" i="24"/>
  <c r="R299" i="24"/>
  <c r="Q299" i="24"/>
  <c r="O299" i="24"/>
  <c r="L299" i="24"/>
  <c r="G299" i="24"/>
  <c r="F299" i="24"/>
  <c r="E299" i="24"/>
  <c r="D299" i="24"/>
  <c r="C299" i="24"/>
  <c r="B299" i="24"/>
  <c r="A299" i="24"/>
  <c r="W298" i="24"/>
  <c r="U298" i="24"/>
  <c r="T298" i="24"/>
  <c r="S298" i="24"/>
  <c r="R298" i="24"/>
  <c r="Q298" i="24"/>
  <c r="O298" i="24"/>
  <c r="L298" i="24"/>
  <c r="H298" i="24"/>
  <c r="G298" i="24"/>
  <c r="F298" i="24"/>
  <c r="E298" i="24"/>
  <c r="D298" i="24"/>
  <c r="C298" i="24"/>
  <c r="B298" i="24"/>
  <c r="A298" i="24"/>
  <c r="W297" i="24"/>
  <c r="U297" i="24"/>
  <c r="T297" i="24"/>
  <c r="S297" i="24"/>
  <c r="R297" i="24"/>
  <c r="Q297" i="24"/>
  <c r="O297" i="24"/>
  <c r="L297" i="24"/>
  <c r="F297" i="24"/>
  <c r="E297" i="24"/>
  <c r="D297" i="24"/>
  <c r="C297" i="24"/>
  <c r="B297" i="24"/>
  <c r="A297" i="24"/>
  <c r="W296" i="24"/>
  <c r="U296" i="24"/>
  <c r="T296" i="24"/>
  <c r="S296" i="24"/>
  <c r="R296" i="24"/>
  <c r="Q296" i="24"/>
  <c r="O296" i="24"/>
  <c r="L296" i="24"/>
  <c r="H296" i="24"/>
  <c r="G296" i="24"/>
  <c r="F296" i="24"/>
  <c r="E296" i="24"/>
  <c r="D296" i="24"/>
  <c r="C296" i="24"/>
  <c r="B296" i="24"/>
  <c r="A296" i="24"/>
  <c r="W295" i="24"/>
  <c r="U295" i="24"/>
  <c r="T295" i="24"/>
  <c r="S295" i="24"/>
  <c r="R295" i="24"/>
  <c r="Q295" i="24"/>
  <c r="O295" i="24"/>
  <c r="L295" i="24"/>
  <c r="F295" i="24"/>
  <c r="E295" i="24"/>
  <c r="D295" i="24"/>
  <c r="C295" i="24"/>
  <c r="B295" i="24"/>
  <c r="A295" i="24"/>
  <c r="W294" i="24"/>
  <c r="U294" i="24"/>
  <c r="T294" i="24"/>
  <c r="S294" i="24"/>
  <c r="R294" i="24"/>
  <c r="Q294" i="24"/>
  <c r="O294" i="24"/>
  <c r="L294" i="24"/>
  <c r="G294" i="24"/>
  <c r="F294" i="24"/>
  <c r="E294" i="24"/>
  <c r="D294" i="24"/>
  <c r="C294" i="24"/>
  <c r="B294" i="24"/>
  <c r="A294" i="24"/>
  <c r="W293" i="24"/>
  <c r="U293" i="24"/>
  <c r="T293" i="24"/>
  <c r="S293" i="24"/>
  <c r="R293" i="24"/>
  <c r="Q293" i="24"/>
  <c r="O293" i="24"/>
  <c r="L293" i="24"/>
  <c r="G293" i="24"/>
  <c r="F293" i="24"/>
  <c r="E293" i="24"/>
  <c r="D293" i="24"/>
  <c r="C293" i="24"/>
  <c r="B293" i="24"/>
  <c r="A293" i="24"/>
  <c r="W292" i="24"/>
  <c r="U292" i="24"/>
  <c r="T292" i="24"/>
  <c r="S292" i="24"/>
  <c r="R292" i="24"/>
  <c r="Q292" i="24"/>
  <c r="O292" i="24"/>
  <c r="L292" i="24"/>
  <c r="I292" i="24"/>
  <c r="H292" i="24"/>
  <c r="G292" i="24"/>
  <c r="F292" i="24"/>
  <c r="E292" i="24"/>
  <c r="D292" i="24"/>
  <c r="C292" i="24"/>
  <c r="B292" i="24"/>
  <c r="A292" i="24"/>
  <c r="W291" i="24"/>
  <c r="U291" i="24"/>
  <c r="T291" i="24"/>
  <c r="S291" i="24"/>
  <c r="R291" i="24"/>
  <c r="Q291" i="24"/>
  <c r="O291" i="24"/>
  <c r="L291" i="24"/>
  <c r="G291" i="24"/>
  <c r="F291" i="24"/>
  <c r="E291" i="24"/>
  <c r="D291" i="24"/>
  <c r="C291" i="24"/>
  <c r="B291" i="24"/>
  <c r="A291" i="24"/>
  <c r="W290" i="24"/>
  <c r="U290" i="24"/>
  <c r="T290" i="24"/>
  <c r="S290" i="24"/>
  <c r="R290" i="24"/>
  <c r="Q290" i="24"/>
  <c r="O290" i="24"/>
  <c r="L290" i="24"/>
  <c r="I290" i="24"/>
  <c r="H290" i="24"/>
  <c r="G290" i="24"/>
  <c r="F290" i="24"/>
  <c r="E290" i="24"/>
  <c r="D290" i="24"/>
  <c r="C290" i="24"/>
  <c r="B290" i="24"/>
  <c r="A290" i="24"/>
  <c r="W289" i="24"/>
  <c r="U289" i="24"/>
  <c r="T289" i="24"/>
  <c r="S289" i="24"/>
  <c r="R289" i="24"/>
  <c r="Q289" i="24"/>
  <c r="O289" i="24"/>
  <c r="L289" i="24"/>
  <c r="H289" i="24"/>
  <c r="G289" i="24"/>
  <c r="F289" i="24"/>
  <c r="E289" i="24"/>
  <c r="D289" i="24"/>
  <c r="C289" i="24"/>
  <c r="B289" i="24"/>
  <c r="A289" i="24"/>
  <c r="W288" i="24"/>
  <c r="U288" i="24"/>
  <c r="T288" i="24"/>
  <c r="S288" i="24"/>
  <c r="R288" i="24"/>
  <c r="Q288" i="24"/>
  <c r="O288" i="24"/>
  <c r="L288" i="24"/>
  <c r="G288" i="24"/>
  <c r="F288" i="24"/>
  <c r="E288" i="24"/>
  <c r="D288" i="24"/>
  <c r="C288" i="24"/>
  <c r="B288" i="24"/>
  <c r="A288" i="24"/>
  <c r="W287" i="24"/>
  <c r="U287" i="24"/>
  <c r="T287" i="24"/>
  <c r="S287" i="24"/>
  <c r="R287" i="24"/>
  <c r="Q287" i="24"/>
  <c r="O287" i="24"/>
  <c r="L287" i="24"/>
  <c r="H287" i="24"/>
  <c r="G287" i="24"/>
  <c r="F287" i="24"/>
  <c r="E287" i="24"/>
  <c r="D287" i="24"/>
  <c r="C287" i="24"/>
  <c r="B287" i="24"/>
  <c r="A287" i="24"/>
  <c r="W286" i="24"/>
  <c r="U286" i="24"/>
  <c r="T286" i="24"/>
  <c r="S286" i="24"/>
  <c r="R286" i="24"/>
  <c r="Q286" i="24"/>
  <c r="O286" i="24"/>
  <c r="L286" i="24"/>
  <c r="H286" i="24"/>
  <c r="G286" i="24"/>
  <c r="F286" i="24"/>
  <c r="E286" i="24"/>
  <c r="D286" i="24"/>
  <c r="C286" i="24"/>
  <c r="B286" i="24"/>
  <c r="A286" i="24"/>
  <c r="W285" i="24"/>
  <c r="U285" i="24"/>
  <c r="T285" i="24"/>
  <c r="S285" i="24"/>
  <c r="R285" i="24"/>
  <c r="Q285" i="24"/>
  <c r="O285" i="24"/>
  <c r="L285" i="24"/>
  <c r="I285" i="24"/>
  <c r="H285" i="24"/>
  <c r="G285" i="24"/>
  <c r="F285" i="24"/>
  <c r="E285" i="24"/>
  <c r="D285" i="24"/>
  <c r="C285" i="24"/>
  <c r="B285" i="24"/>
  <c r="A285" i="24"/>
  <c r="W284" i="24"/>
  <c r="U284" i="24"/>
  <c r="T284" i="24"/>
  <c r="S284" i="24"/>
  <c r="R284" i="24"/>
  <c r="Q284" i="24"/>
  <c r="O284" i="24"/>
  <c r="L284" i="24"/>
  <c r="G284" i="24"/>
  <c r="F284" i="24"/>
  <c r="E284" i="24"/>
  <c r="D284" i="24"/>
  <c r="C284" i="24"/>
  <c r="B284" i="24"/>
  <c r="A284" i="24"/>
  <c r="W283" i="24"/>
  <c r="U283" i="24"/>
  <c r="T283" i="24"/>
  <c r="S283" i="24"/>
  <c r="R283" i="24"/>
  <c r="Q283" i="24"/>
  <c r="O283" i="24"/>
  <c r="L283" i="24"/>
  <c r="F283" i="24"/>
  <c r="E283" i="24"/>
  <c r="D283" i="24"/>
  <c r="C283" i="24"/>
  <c r="B283" i="24"/>
  <c r="A283" i="24"/>
  <c r="W282" i="24"/>
  <c r="U282" i="24"/>
  <c r="T282" i="24"/>
  <c r="S282" i="24"/>
  <c r="R282" i="24"/>
  <c r="Q282" i="24"/>
  <c r="O282" i="24"/>
  <c r="L282" i="24"/>
  <c r="G282" i="24"/>
  <c r="F282" i="24"/>
  <c r="E282" i="24"/>
  <c r="D282" i="24"/>
  <c r="C282" i="24"/>
  <c r="B282" i="24"/>
  <c r="A282" i="24"/>
  <c r="W281" i="24"/>
  <c r="U281" i="24"/>
  <c r="T281" i="24"/>
  <c r="S281" i="24"/>
  <c r="R281" i="24"/>
  <c r="Q281" i="24"/>
  <c r="O281" i="24"/>
  <c r="L281" i="24"/>
  <c r="G281" i="24"/>
  <c r="F281" i="24"/>
  <c r="E281" i="24"/>
  <c r="D281" i="24"/>
  <c r="C281" i="24"/>
  <c r="B281" i="24"/>
  <c r="A281" i="24"/>
  <c r="W280" i="24"/>
  <c r="U280" i="24"/>
  <c r="T280" i="24"/>
  <c r="S280" i="24"/>
  <c r="R280" i="24"/>
  <c r="Q280" i="24"/>
  <c r="O280" i="24"/>
  <c r="M280" i="24"/>
  <c r="L280" i="24"/>
  <c r="H280" i="24"/>
  <c r="G280" i="24"/>
  <c r="F280" i="24"/>
  <c r="E280" i="24"/>
  <c r="D280" i="24"/>
  <c r="C280" i="24"/>
  <c r="B280" i="24"/>
  <c r="A280" i="24"/>
  <c r="W279" i="24"/>
  <c r="U279" i="24"/>
  <c r="T279" i="24"/>
  <c r="S279" i="24"/>
  <c r="R279" i="24"/>
  <c r="Q279" i="24"/>
  <c r="O279" i="24"/>
  <c r="L279" i="24"/>
  <c r="G279" i="24"/>
  <c r="F279" i="24"/>
  <c r="E279" i="24"/>
  <c r="D279" i="24"/>
  <c r="C279" i="24"/>
  <c r="B279" i="24"/>
  <c r="A279" i="24"/>
  <c r="W278" i="24"/>
  <c r="U278" i="24"/>
  <c r="T278" i="24"/>
  <c r="S278" i="24"/>
  <c r="R278" i="24"/>
  <c r="Q278" i="24"/>
  <c r="O278" i="24"/>
  <c r="L278" i="24"/>
  <c r="H278" i="24"/>
  <c r="G278" i="24"/>
  <c r="F278" i="24"/>
  <c r="E278" i="24"/>
  <c r="D278" i="24"/>
  <c r="C278" i="24"/>
  <c r="B278" i="24"/>
  <c r="A278" i="24"/>
  <c r="W277" i="24"/>
  <c r="U277" i="24"/>
  <c r="T277" i="24"/>
  <c r="S277" i="24"/>
  <c r="R277" i="24"/>
  <c r="Q277" i="24"/>
  <c r="O277" i="24"/>
  <c r="L277" i="24"/>
  <c r="G277" i="24"/>
  <c r="F277" i="24"/>
  <c r="E277" i="24"/>
  <c r="D277" i="24"/>
  <c r="C277" i="24"/>
  <c r="B277" i="24"/>
  <c r="A277" i="24"/>
  <c r="W276" i="24"/>
  <c r="U276" i="24"/>
  <c r="T276" i="24"/>
  <c r="S276" i="24"/>
  <c r="R276" i="24"/>
  <c r="Q276" i="24"/>
  <c r="O276" i="24"/>
  <c r="L276" i="24"/>
  <c r="G276" i="24"/>
  <c r="F276" i="24"/>
  <c r="E276" i="24"/>
  <c r="D276" i="24"/>
  <c r="C276" i="24"/>
  <c r="B276" i="24"/>
  <c r="A276" i="24"/>
  <c r="W275" i="24"/>
  <c r="U275" i="24"/>
  <c r="T275" i="24"/>
  <c r="S275" i="24"/>
  <c r="R275" i="24"/>
  <c r="Q275" i="24"/>
  <c r="O275" i="24"/>
  <c r="L275" i="24"/>
  <c r="F275" i="24"/>
  <c r="E275" i="24"/>
  <c r="D275" i="24"/>
  <c r="C275" i="24"/>
  <c r="B275" i="24"/>
  <c r="A275" i="24"/>
  <c r="W274" i="24"/>
  <c r="U274" i="24"/>
  <c r="T274" i="24"/>
  <c r="S274" i="24"/>
  <c r="R274" i="24"/>
  <c r="Q274" i="24"/>
  <c r="O274" i="24"/>
  <c r="L274" i="24"/>
  <c r="G274" i="24"/>
  <c r="F274" i="24"/>
  <c r="E274" i="24"/>
  <c r="D274" i="24"/>
  <c r="C274" i="24"/>
  <c r="B274" i="24"/>
  <c r="A274" i="24"/>
  <c r="W273" i="24"/>
  <c r="U273" i="24"/>
  <c r="T273" i="24"/>
  <c r="S273" i="24"/>
  <c r="R273" i="24"/>
  <c r="Q273" i="24"/>
  <c r="O273" i="24"/>
  <c r="L273" i="24"/>
  <c r="I273" i="24"/>
  <c r="H273" i="24"/>
  <c r="G273" i="24"/>
  <c r="F273" i="24"/>
  <c r="E273" i="24"/>
  <c r="D273" i="24"/>
  <c r="C273" i="24"/>
  <c r="B273" i="24"/>
  <c r="A273" i="24"/>
  <c r="W272" i="24"/>
  <c r="U272" i="24"/>
  <c r="T272" i="24"/>
  <c r="S272" i="24"/>
  <c r="R272" i="24"/>
  <c r="Q272" i="24"/>
  <c r="O272" i="24"/>
  <c r="M272" i="24"/>
  <c r="L272" i="24"/>
  <c r="F272" i="24"/>
  <c r="E272" i="24"/>
  <c r="D272" i="24"/>
  <c r="C272" i="24"/>
  <c r="B272" i="24"/>
  <c r="A272" i="24"/>
  <c r="W271" i="24"/>
  <c r="U271" i="24"/>
  <c r="T271" i="24"/>
  <c r="S271" i="24"/>
  <c r="R271" i="24"/>
  <c r="Q271" i="24"/>
  <c r="O271" i="24"/>
  <c r="L271" i="24"/>
  <c r="F271" i="24"/>
  <c r="E271" i="24"/>
  <c r="D271" i="24"/>
  <c r="C271" i="24"/>
  <c r="B271" i="24"/>
  <c r="A271" i="24"/>
  <c r="W270" i="24"/>
  <c r="U270" i="24"/>
  <c r="T270" i="24"/>
  <c r="S270" i="24"/>
  <c r="R270" i="24"/>
  <c r="Q270" i="24"/>
  <c r="O270" i="24"/>
  <c r="L270" i="24"/>
  <c r="G270" i="24"/>
  <c r="F270" i="24"/>
  <c r="E270" i="24"/>
  <c r="D270" i="24"/>
  <c r="C270" i="24"/>
  <c r="B270" i="24"/>
  <c r="A270" i="24"/>
  <c r="W269" i="24"/>
  <c r="U269" i="24"/>
  <c r="T269" i="24"/>
  <c r="S269" i="24"/>
  <c r="R269" i="24"/>
  <c r="Q269" i="24"/>
  <c r="O269" i="24"/>
  <c r="L269" i="24"/>
  <c r="J269" i="24"/>
  <c r="I269" i="24"/>
  <c r="H269" i="24"/>
  <c r="G269" i="24"/>
  <c r="F269" i="24"/>
  <c r="E269" i="24"/>
  <c r="D269" i="24"/>
  <c r="C269" i="24"/>
  <c r="B269" i="24"/>
  <c r="A269" i="24"/>
  <c r="W268" i="24"/>
  <c r="U268" i="24"/>
  <c r="T268" i="24"/>
  <c r="S268" i="24"/>
  <c r="R268" i="24"/>
  <c r="Q268" i="24"/>
  <c r="O268" i="24"/>
  <c r="L268" i="24"/>
  <c r="H268" i="24"/>
  <c r="G268" i="24"/>
  <c r="F268" i="24"/>
  <c r="E268" i="24"/>
  <c r="D268" i="24"/>
  <c r="C268" i="24"/>
  <c r="B268" i="24"/>
  <c r="A268" i="24"/>
  <c r="W267" i="24"/>
  <c r="U267" i="24"/>
  <c r="T267" i="24"/>
  <c r="S267" i="24"/>
  <c r="R267" i="24"/>
  <c r="Q267" i="24"/>
  <c r="O267" i="24"/>
  <c r="L267" i="24"/>
  <c r="G267" i="24"/>
  <c r="F267" i="24"/>
  <c r="E267" i="24"/>
  <c r="D267" i="24"/>
  <c r="C267" i="24"/>
  <c r="B267" i="24"/>
  <c r="A267" i="24"/>
  <c r="W266" i="24"/>
  <c r="U266" i="24"/>
  <c r="T266" i="24"/>
  <c r="S266" i="24"/>
  <c r="R266" i="24"/>
  <c r="Q266" i="24"/>
  <c r="O266" i="24"/>
  <c r="L266" i="24"/>
  <c r="H266" i="24"/>
  <c r="G266" i="24"/>
  <c r="F266" i="24"/>
  <c r="E266" i="24"/>
  <c r="D266" i="24"/>
  <c r="C266" i="24"/>
  <c r="B266" i="24"/>
  <c r="A266" i="24"/>
  <c r="W265" i="24"/>
  <c r="U265" i="24"/>
  <c r="T265" i="24"/>
  <c r="S265" i="24"/>
  <c r="R265" i="24"/>
  <c r="Q265" i="24"/>
  <c r="O265" i="24"/>
  <c r="L265" i="24"/>
  <c r="F265" i="24"/>
  <c r="E265" i="24"/>
  <c r="D265" i="24"/>
  <c r="C265" i="24"/>
  <c r="B265" i="24"/>
  <c r="A265" i="24"/>
  <c r="W264" i="24"/>
  <c r="U264" i="24"/>
  <c r="T264" i="24"/>
  <c r="S264" i="24"/>
  <c r="R264" i="24"/>
  <c r="Q264" i="24"/>
  <c r="O264" i="24"/>
  <c r="L264" i="24"/>
  <c r="I264" i="24"/>
  <c r="H264" i="24"/>
  <c r="G264" i="24"/>
  <c r="F264" i="24"/>
  <c r="E264" i="24"/>
  <c r="D264" i="24"/>
  <c r="C264" i="24"/>
  <c r="B264" i="24"/>
  <c r="A264" i="24"/>
  <c r="W263" i="24"/>
  <c r="U263" i="24"/>
  <c r="T263" i="24"/>
  <c r="S263" i="24"/>
  <c r="R263" i="24"/>
  <c r="Q263" i="24"/>
  <c r="O263" i="24"/>
  <c r="M263" i="24"/>
  <c r="L263" i="24"/>
  <c r="G263" i="24"/>
  <c r="F263" i="24"/>
  <c r="E263" i="24"/>
  <c r="D263" i="24"/>
  <c r="C263" i="24"/>
  <c r="B263" i="24"/>
  <c r="A263" i="24"/>
  <c r="W262" i="24"/>
  <c r="U262" i="24"/>
  <c r="T262" i="24"/>
  <c r="S262" i="24"/>
  <c r="R262" i="24"/>
  <c r="Q262" i="24"/>
  <c r="O262" i="24"/>
  <c r="L262" i="24"/>
  <c r="G262" i="24"/>
  <c r="F262" i="24"/>
  <c r="E262" i="24"/>
  <c r="D262" i="24"/>
  <c r="C262" i="24"/>
  <c r="B262" i="24"/>
  <c r="A262" i="24"/>
  <c r="W261" i="24"/>
  <c r="U261" i="24"/>
  <c r="T261" i="24"/>
  <c r="S261" i="24"/>
  <c r="R261" i="24"/>
  <c r="Q261" i="24"/>
  <c r="O261" i="24"/>
  <c r="L261" i="24"/>
  <c r="H261" i="24"/>
  <c r="G261" i="24"/>
  <c r="F261" i="24"/>
  <c r="E261" i="24"/>
  <c r="D261" i="24"/>
  <c r="C261" i="24"/>
  <c r="B261" i="24"/>
  <c r="A261" i="24"/>
  <c r="W260" i="24"/>
  <c r="U260" i="24"/>
  <c r="T260" i="24"/>
  <c r="S260" i="24"/>
  <c r="R260" i="24"/>
  <c r="Q260" i="24"/>
  <c r="O260" i="24"/>
  <c r="L260" i="24"/>
  <c r="G260" i="24"/>
  <c r="F260" i="24"/>
  <c r="E260" i="24"/>
  <c r="D260" i="24"/>
  <c r="C260" i="24"/>
  <c r="B260" i="24"/>
  <c r="A260" i="24"/>
  <c r="W259" i="24"/>
  <c r="V259" i="24"/>
  <c r="U259" i="24"/>
  <c r="T259" i="24"/>
  <c r="S259" i="24"/>
  <c r="R259" i="24"/>
  <c r="Q259" i="24"/>
  <c r="O259" i="24"/>
  <c r="L259" i="24"/>
  <c r="I259" i="24"/>
  <c r="H259" i="24"/>
  <c r="G259" i="24"/>
  <c r="F259" i="24"/>
  <c r="E259" i="24"/>
  <c r="D259" i="24"/>
  <c r="C259" i="24"/>
  <c r="B259" i="24"/>
  <c r="A259" i="24"/>
  <c r="W258" i="24"/>
  <c r="U258" i="24"/>
  <c r="T258" i="24"/>
  <c r="S258" i="24"/>
  <c r="R258" i="24"/>
  <c r="Q258" i="24"/>
  <c r="O258" i="24"/>
  <c r="L258" i="24"/>
  <c r="F258" i="24"/>
  <c r="E258" i="24"/>
  <c r="D258" i="24"/>
  <c r="C258" i="24"/>
  <c r="B258" i="24"/>
  <c r="A258" i="24"/>
  <c r="W257" i="24"/>
  <c r="U257" i="24"/>
  <c r="T257" i="24"/>
  <c r="S257" i="24"/>
  <c r="R257" i="24"/>
  <c r="Q257" i="24"/>
  <c r="O257" i="24"/>
  <c r="L257" i="24"/>
  <c r="H257" i="24"/>
  <c r="G257" i="24"/>
  <c r="F257" i="24"/>
  <c r="E257" i="24"/>
  <c r="D257" i="24"/>
  <c r="C257" i="24"/>
  <c r="B257" i="24"/>
  <c r="A257" i="24"/>
  <c r="W256" i="24"/>
  <c r="U256" i="24"/>
  <c r="T256" i="24"/>
  <c r="S256" i="24"/>
  <c r="R256" i="24"/>
  <c r="Q256" i="24"/>
  <c r="O256" i="24"/>
  <c r="L256" i="24"/>
  <c r="H256" i="24"/>
  <c r="G256" i="24"/>
  <c r="F256" i="24"/>
  <c r="E256" i="24"/>
  <c r="D256" i="24"/>
  <c r="C256" i="24"/>
  <c r="B256" i="24"/>
  <c r="A256" i="24"/>
  <c r="W255" i="24"/>
  <c r="V255" i="24"/>
  <c r="U255" i="24"/>
  <c r="T255" i="24"/>
  <c r="S255" i="24"/>
  <c r="R255" i="24"/>
  <c r="Q255" i="24"/>
  <c r="O255" i="24"/>
  <c r="L255" i="24"/>
  <c r="F255" i="24"/>
  <c r="E255" i="24"/>
  <c r="D255" i="24"/>
  <c r="C255" i="24"/>
  <c r="B255" i="24"/>
  <c r="A255" i="24"/>
  <c r="W254" i="24"/>
  <c r="U254" i="24"/>
  <c r="T254" i="24"/>
  <c r="S254" i="24"/>
  <c r="R254" i="24"/>
  <c r="Q254" i="24"/>
  <c r="O254" i="24"/>
  <c r="L254" i="24"/>
  <c r="F254" i="24"/>
  <c r="E254" i="24"/>
  <c r="D254" i="24"/>
  <c r="C254" i="24"/>
  <c r="B254" i="24"/>
  <c r="A254" i="24"/>
  <c r="W253" i="24"/>
  <c r="U253" i="24"/>
  <c r="T253" i="24"/>
  <c r="S253" i="24"/>
  <c r="R253" i="24"/>
  <c r="Q253" i="24"/>
  <c r="O253" i="24"/>
  <c r="L253" i="24"/>
  <c r="G253" i="24"/>
  <c r="F253" i="24"/>
  <c r="E253" i="24"/>
  <c r="D253" i="24"/>
  <c r="C253" i="24"/>
  <c r="B253" i="24"/>
  <c r="A253" i="24"/>
  <c r="W252" i="24"/>
  <c r="U252" i="24"/>
  <c r="T252" i="24"/>
  <c r="S252" i="24"/>
  <c r="R252" i="24"/>
  <c r="Q252" i="24"/>
  <c r="O252" i="24"/>
  <c r="L252" i="24"/>
  <c r="I252" i="24"/>
  <c r="H252" i="24"/>
  <c r="G252" i="24"/>
  <c r="F252" i="24"/>
  <c r="E252" i="24"/>
  <c r="D252" i="24"/>
  <c r="C252" i="24"/>
  <c r="B252" i="24"/>
  <c r="A252" i="24"/>
  <c r="W251" i="24"/>
  <c r="U251" i="24"/>
  <c r="T251" i="24"/>
  <c r="S251" i="24"/>
  <c r="R251" i="24"/>
  <c r="Q251" i="24"/>
  <c r="O251" i="24"/>
  <c r="L251" i="24"/>
  <c r="G251" i="24"/>
  <c r="F251" i="24"/>
  <c r="E251" i="24"/>
  <c r="D251" i="24"/>
  <c r="C251" i="24"/>
  <c r="B251" i="24"/>
  <c r="A251" i="24"/>
  <c r="W250" i="24"/>
  <c r="U250" i="24"/>
  <c r="T250" i="24"/>
  <c r="S250" i="24"/>
  <c r="R250" i="24"/>
  <c r="Q250" i="24"/>
  <c r="O250" i="24"/>
  <c r="L250" i="24"/>
  <c r="F250" i="24"/>
  <c r="E250" i="24"/>
  <c r="D250" i="24"/>
  <c r="C250" i="24"/>
  <c r="B250" i="24"/>
  <c r="A250" i="24"/>
  <c r="W249" i="24"/>
  <c r="U249" i="24"/>
  <c r="T249" i="24"/>
  <c r="S249" i="24"/>
  <c r="R249" i="24"/>
  <c r="Q249" i="24"/>
  <c r="O249" i="24"/>
  <c r="M249" i="24"/>
  <c r="L249" i="24"/>
  <c r="G249" i="24"/>
  <c r="F249" i="24"/>
  <c r="E249" i="24"/>
  <c r="D249" i="24"/>
  <c r="C249" i="24"/>
  <c r="B249" i="24"/>
  <c r="A249" i="24"/>
  <c r="W248" i="24"/>
  <c r="U248" i="24"/>
  <c r="T248" i="24"/>
  <c r="S248" i="24"/>
  <c r="R248" i="24"/>
  <c r="Q248" i="24"/>
  <c r="O248" i="24"/>
  <c r="L248" i="24"/>
  <c r="K248" i="24"/>
  <c r="J248" i="24"/>
  <c r="I248" i="24"/>
  <c r="H248" i="24"/>
  <c r="G248" i="24"/>
  <c r="F248" i="24"/>
  <c r="E248" i="24"/>
  <c r="D248" i="24"/>
  <c r="C248" i="24"/>
  <c r="B248" i="24"/>
  <c r="A248" i="24"/>
  <c r="W247" i="24"/>
  <c r="U247" i="24"/>
  <c r="T247" i="24"/>
  <c r="S247" i="24"/>
  <c r="R247" i="24"/>
  <c r="Q247" i="24"/>
  <c r="O247" i="24"/>
  <c r="L247" i="24"/>
  <c r="H247" i="24"/>
  <c r="G247" i="24"/>
  <c r="F247" i="24"/>
  <c r="E247" i="24"/>
  <c r="D247" i="24"/>
  <c r="C247" i="24"/>
  <c r="B247" i="24"/>
  <c r="A247" i="24"/>
  <c r="W246" i="24"/>
  <c r="U246" i="24"/>
  <c r="T246" i="24"/>
  <c r="S246" i="24"/>
  <c r="R246" i="24"/>
  <c r="Q246" i="24"/>
  <c r="O246" i="24"/>
  <c r="L246" i="24"/>
  <c r="G246" i="24"/>
  <c r="F246" i="24"/>
  <c r="E246" i="24"/>
  <c r="D246" i="24"/>
  <c r="C246" i="24"/>
  <c r="B246" i="24"/>
  <c r="A246" i="24"/>
  <c r="W245" i="24"/>
  <c r="U245" i="24"/>
  <c r="T245" i="24"/>
  <c r="S245" i="24"/>
  <c r="R245" i="24"/>
  <c r="Q245" i="24"/>
  <c r="O245" i="24"/>
  <c r="L245" i="24"/>
  <c r="F245" i="24"/>
  <c r="E245" i="24"/>
  <c r="D245" i="24"/>
  <c r="C245" i="24"/>
  <c r="B245" i="24"/>
  <c r="A245" i="24"/>
  <c r="W244" i="24"/>
  <c r="U244" i="24"/>
  <c r="T244" i="24"/>
  <c r="S244" i="24"/>
  <c r="R244" i="24"/>
  <c r="Q244" i="24"/>
  <c r="O244" i="24"/>
  <c r="L244" i="24"/>
  <c r="G244" i="24"/>
  <c r="F244" i="24"/>
  <c r="E244" i="24"/>
  <c r="D244" i="24"/>
  <c r="C244" i="24"/>
  <c r="B244" i="24"/>
  <c r="A244" i="24"/>
  <c r="W243" i="24"/>
  <c r="U243" i="24"/>
  <c r="T243" i="24"/>
  <c r="S243" i="24"/>
  <c r="R243" i="24"/>
  <c r="Q243" i="24"/>
  <c r="O243" i="24"/>
  <c r="L243" i="24"/>
  <c r="H243" i="24"/>
  <c r="G243" i="24"/>
  <c r="F243" i="24"/>
  <c r="E243" i="24"/>
  <c r="D243" i="24"/>
  <c r="C243" i="24"/>
  <c r="B243" i="24"/>
  <c r="A243" i="24"/>
  <c r="W242" i="24"/>
  <c r="U242" i="24"/>
  <c r="T242" i="24"/>
  <c r="S242" i="24"/>
  <c r="R242" i="24"/>
  <c r="Q242" i="24"/>
  <c r="O242" i="24"/>
  <c r="L242" i="24"/>
  <c r="J242" i="24"/>
  <c r="I242" i="24"/>
  <c r="H242" i="24"/>
  <c r="G242" i="24"/>
  <c r="F242" i="24"/>
  <c r="E242" i="24"/>
  <c r="D242" i="24"/>
  <c r="C242" i="24"/>
  <c r="B242" i="24"/>
  <c r="A242" i="24"/>
  <c r="W241" i="24"/>
  <c r="U241" i="24"/>
  <c r="T241" i="24"/>
  <c r="S241" i="24"/>
  <c r="R241" i="24"/>
  <c r="Q241" i="24"/>
  <c r="O241" i="24"/>
  <c r="L241" i="24"/>
  <c r="H241" i="24"/>
  <c r="G241" i="24"/>
  <c r="F241" i="24"/>
  <c r="E241" i="24"/>
  <c r="D241" i="24"/>
  <c r="C241" i="24"/>
  <c r="B241" i="24"/>
  <c r="A241" i="24"/>
  <c r="W240" i="24"/>
  <c r="U240" i="24"/>
  <c r="T240" i="24"/>
  <c r="S240" i="24"/>
  <c r="R240" i="24"/>
  <c r="Q240" i="24"/>
  <c r="O240" i="24"/>
  <c r="L240" i="24"/>
  <c r="G240" i="24"/>
  <c r="F240" i="24"/>
  <c r="E240" i="24"/>
  <c r="D240" i="24"/>
  <c r="C240" i="24"/>
  <c r="B240" i="24"/>
  <c r="A240" i="24"/>
  <c r="W239" i="24"/>
  <c r="U239" i="24"/>
  <c r="T239" i="24"/>
  <c r="S239" i="24"/>
  <c r="R239" i="24"/>
  <c r="Q239" i="24"/>
  <c r="O239" i="24"/>
  <c r="L239" i="24"/>
  <c r="G239" i="24"/>
  <c r="F239" i="24"/>
  <c r="E239" i="24"/>
  <c r="D239" i="24"/>
  <c r="C239" i="24"/>
  <c r="B239" i="24"/>
  <c r="A239" i="24"/>
  <c r="W238" i="24"/>
  <c r="U238" i="24"/>
  <c r="T238" i="24"/>
  <c r="S238" i="24"/>
  <c r="R238" i="24"/>
  <c r="Q238" i="24"/>
  <c r="O238" i="24"/>
  <c r="L238" i="24"/>
  <c r="H238" i="24"/>
  <c r="G238" i="24"/>
  <c r="F238" i="24"/>
  <c r="E238" i="24"/>
  <c r="D238" i="24"/>
  <c r="C238" i="24"/>
  <c r="B238" i="24"/>
  <c r="A238" i="24"/>
  <c r="W237" i="24"/>
  <c r="U237" i="24"/>
  <c r="T237" i="24"/>
  <c r="S237" i="24"/>
  <c r="R237" i="24"/>
  <c r="Q237" i="24"/>
  <c r="O237" i="24"/>
  <c r="L237" i="24"/>
  <c r="G237" i="24"/>
  <c r="F237" i="24"/>
  <c r="E237" i="24"/>
  <c r="D237" i="24"/>
  <c r="C237" i="24"/>
  <c r="B237" i="24"/>
  <c r="A237" i="24"/>
  <c r="W236" i="24"/>
  <c r="U236" i="24"/>
  <c r="T236" i="24"/>
  <c r="S236" i="24"/>
  <c r="R236" i="24"/>
  <c r="Q236" i="24"/>
  <c r="O236" i="24"/>
  <c r="L236" i="24"/>
  <c r="F236" i="24"/>
  <c r="E236" i="24"/>
  <c r="D236" i="24"/>
  <c r="C236" i="24"/>
  <c r="B236" i="24"/>
  <c r="A236" i="24"/>
  <c r="W235" i="24"/>
  <c r="U235" i="24"/>
  <c r="T235" i="24"/>
  <c r="S235" i="24"/>
  <c r="R235" i="24"/>
  <c r="Q235" i="24"/>
  <c r="O235" i="24"/>
  <c r="L235" i="24"/>
  <c r="H235" i="24"/>
  <c r="G235" i="24"/>
  <c r="F235" i="24"/>
  <c r="E235" i="24"/>
  <c r="D235" i="24"/>
  <c r="C235" i="24"/>
  <c r="B235" i="24"/>
  <c r="A235" i="24"/>
  <c r="W234" i="24"/>
  <c r="U234" i="24"/>
  <c r="T234" i="24"/>
  <c r="S234" i="24"/>
  <c r="R234" i="24"/>
  <c r="Q234" i="24"/>
  <c r="O234" i="24"/>
  <c r="L234" i="24"/>
  <c r="H234" i="24"/>
  <c r="G234" i="24"/>
  <c r="F234" i="24"/>
  <c r="E234" i="24"/>
  <c r="D234" i="24"/>
  <c r="C234" i="24"/>
  <c r="B234" i="24"/>
  <c r="A234" i="24"/>
  <c r="W233" i="24"/>
  <c r="U233" i="24"/>
  <c r="T233" i="24"/>
  <c r="S233" i="24"/>
  <c r="R233" i="24"/>
  <c r="Q233" i="24"/>
  <c r="O233" i="24"/>
  <c r="L233" i="24"/>
  <c r="H233" i="24"/>
  <c r="G233" i="24"/>
  <c r="F233" i="24"/>
  <c r="E233" i="24"/>
  <c r="D233" i="24"/>
  <c r="C233" i="24"/>
  <c r="B233" i="24"/>
  <c r="A233" i="24"/>
  <c r="W232" i="24"/>
  <c r="U232" i="24"/>
  <c r="T232" i="24"/>
  <c r="S232" i="24"/>
  <c r="R232" i="24"/>
  <c r="Q232" i="24"/>
  <c r="O232" i="24"/>
  <c r="L232" i="24"/>
  <c r="F232" i="24"/>
  <c r="E232" i="24"/>
  <c r="D232" i="24"/>
  <c r="C232" i="24"/>
  <c r="B232" i="24"/>
  <c r="A232" i="24"/>
  <c r="W231" i="24"/>
  <c r="V231" i="24"/>
  <c r="U231" i="24"/>
  <c r="T231" i="24"/>
  <c r="S231" i="24"/>
  <c r="R231" i="24"/>
  <c r="Q231" i="24"/>
  <c r="O231" i="24"/>
  <c r="L231" i="24"/>
  <c r="I231" i="24"/>
  <c r="H231" i="24"/>
  <c r="G231" i="24"/>
  <c r="F231" i="24"/>
  <c r="E231" i="24"/>
  <c r="D231" i="24"/>
  <c r="C231" i="24"/>
  <c r="B231" i="24"/>
  <c r="A231" i="24"/>
  <c r="W230" i="24"/>
  <c r="U230" i="24"/>
  <c r="T230" i="24"/>
  <c r="S230" i="24"/>
  <c r="R230" i="24"/>
  <c r="Q230" i="24"/>
  <c r="O230" i="24"/>
  <c r="L230" i="24"/>
  <c r="J230" i="24"/>
  <c r="I230" i="24"/>
  <c r="H230" i="24"/>
  <c r="G230" i="24"/>
  <c r="F230" i="24"/>
  <c r="E230" i="24"/>
  <c r="D230" i="24"/>
  <c r="C230" i="24"/>
  <c r="B230" i="24"/>
  <c r="A230" i="24"/>
  <c r="W229" i="24"/>
  <c r="U229" i="24"/>
  <c r="T229" i="24"/>
  <c r="S229" i="24"/>
  <c r="R229" i="24"/>
  <c r="Q229" i="24"/>
  <c r="O229" i="24"/>
  <c r="N229" i="24"/>
  <c r="M229" i="24"/>
  <c r="L229" i="24"/>
  <c r="G229" i="24"/>
  <c r="F229" i="24"/>
  <c r="E229" i="24"/>
  <c r="D229" i="24"/>
  <c r="C229" i="24"/>
  <c r="B229" i="24"/>
  <c r="A229" i="24"/>
  <c r="W228" i="24"/>
  <c r="U228" i="24"/>
  <c r="T228" i="24"/>
  <c r="S228" i="24"/>
  <c r="R228" i="24"/>
  <c r="Q228" i="24"/>
  <c r="O228" i="24"/>
  <c r="L228" i="24"/>
  <c r="H228" i="24"/>
  <c r="G228" i="24"/>
  <c r="F228" i="24"/>
  <c r="E228" i="24"/>
  <c r="D228" i="24"/>
  <c r="C228" i="24"/>
  <c r="B228" i="24"/>
  <c r="A228" i="24"/>
  <c r="W227" i="24"/>
  <c r="U227" i="24"/>
  <c r="T227" i="24"/>
  <c r="S227" i="24"/>
  <c r="R227" i="24"/>
  <c r="Q227" i="24"/>
  <c r="O227" i="24"/>
  <c r="L227" i="24"/>
  <c r="H227" i="24"/>
  <c r="G227" i="24"/>
  <c r="F227" i="24"/>
  <c r="E227" i="24"/>
  <c r="D227" i="24"/>
  <c r="C227" i="24"/>
  <c r="B227" i="24"/>
  <c r="A227" i="24"/>
  <c r="W226" i="24"/>
  <c r="U226" i="24"/>
  <c r="T226" i="24"/>
  <c r="S226" i="24"/>
  <c r="R226" i="24"/>
  <c r="Q226" i="24"/>
  <c r="O226" i="24"/>
  <c r="L226" i="24"/>
  <c r="G226" i="24"/>
  <c r="F226" i="24"/>
  <c r="E226" i="24"/>
  <c r="D226" i="24"/>
  <c r="C226" i="24"/>
  <c r="B226" i="24"/>
  <c r="A226" i="24"/>
  <c r="W225" i="24"/>
  <c r="U225" i="24"/>
  <c r="T225" i="24"/>
  <c r="S225" i="24"/>
  <c r="R225" i="24"/>
  <c r="Q225" i="24"/>
  <c r="O225" i="24"/>
  <c r="L225" i="24"/>
  <c r="H225" i="24"/>
  <c r="G225" i="24"/>
  <c r="F225" i="24"/>
  <c r="E225" i="24"/>
  <c r="D225" i="24"/>
  <c r="C225" i="24"/>
  <c r="B225" i="24"/>
  <c r="A225" i="24"/>
  <c r="W224" i="24"/>
  <c r="U224" i="24"/>
  <c r="T224" i="24"/>
  <c r="S224" i="24"/>
  <c r="R224" i="24"/>
  <c r="Q224" i="24"/>
  <c r="O224" i="24"/>
  <c r="L224" i="24"/>
  <c r="F224" i="24"/>
  <c r="E224" i="24"/>
  <c r="D224" i="24"/>
  <c r="C224" i="24"/>
  <c r="B224" i="24"/>
  <c r="A224" i="24"/>
  <c r="W223" i="24"/>
  <c r="U223" i="24"/>
  <c r="T223" i="24"/>
  <c r="S223" i="24"/>
  <c r="R223" i="24"/>
  <c r="Q223" i="24"/>
  <c r="O223" i="24"/>
  <c r="L223" i="24"/>
  <c r="H223" i="24"/>
  <c r="G223" i="24"/>
  <c r="F223" i="24"/>
  <c r="E223" i="24"/>
  <c r="D223" i="24"/>
  <c r="C223" i="24"/>
  <c r="B223" i="24"/>
  <c r="A223" i="24"/>
  <c r="W222" i="24"/>
  <c r="U222" i="24"/>
  <c r="T222" i="24"/>
  <c r="S222" i="24"/>
  <c r="R222" i="24"/>
  <c r="Q222" i="24"/>
  <c r="O222" i="24"/>
  <c r="L222" i="24"/>
  <c r="H222" i="24"/>
  <c r="G222" i="24"/>
  <c r="F222" i="24"/>
  <c r="E222" i="24"/>
  <c r="D222" i="24"/>
  <c r="C222" i="24"/>
  <c r="B222" i="24"/>
  <c r="A222" i="24"/>
  <c r="W221" i="24"/>
  <c r="U221" i="24"/>
  <c r="T221" i="24"/>
  <c r="S221" i="24"/>
  <c r="R221" i="24"/>
  <c r="Q221" i="24"/>
  <c r="O221" i="24"/>
  <c r="L221" i="24"/>
  <c r="H221" i="24"/>
  <c r="G221" i="24"/>
  <c r="F221" i="24"/>
  <c r="E221" i="24"/>
  <c r="D221" i="24"/>
  <c r="C221" i="24"/>
  <c r="B221" i="24"/>
  <c r="A221" i="24"/>
  <c r="W220" i="24"/>
  <c r="V220" i="24"/>
  <c r="U220" i="24"/>
  <c r="T220" i="24"/>
  <c r="S220" i="24"/>
  <c r="R220" i="24"/>
  <c r="Q220" i="24"/>
  <c r="O220" i="24"/>
  <c r="L220" i="24"/>
  <c r="F220" i="24"/>
  <c r="E220" i="24"/>
  <c r="D220" i="24"/>
  <c r="C220" i="24"/>
  <c r="B220" i="24"/>
  <c r="A220" i="24"/>
  <c r="W219" i="24"/>
  <c r="U219" i="24"/>
  <c r="T219" i="24"/>
  <c r="S219" i="24"/>
  <c r="R219" i="24"/>
  <c r="Q219" i="24"/>
  <c r="O219" i="24"/>
  <c r="L219" i="24"/>
  <c r="G219" i="24"/>
  <c r="F219" i="24"/>
  <c r="E219" i="24"/>
  <c r="D219" i="24"/>
  <c r="C219" i="24"/>
  <c r="B219" i="24"/>
  <c r="A219" i="24"/>
  <c r="W218" i="24"/>
  <c r="U218" i="24"/>
  <c r="T218" i="24"/>
  <c r="S218" i="24"/>
  <c r="R218" i="24"/>
  <c r="Q218" i="24"/>
  <c r="O218" i="24"/>
  <c r="L218" i="24"/>
  <c r="G218" i="24"/>
  <c r="F218" i="24"/>
  <c r="E218" i="24"/>
  <c r="D218" i="24"/>
  <c r="C218" i="24"/>
  <c r="B218" i="24"/>
  <c r="A218" i="24"/>
  <c r="W217" i="24"/>
  <c r="U217" i="24"/>
  <c r="T217" i="24"/>
  <c r="S217" i="24"/>
  <c r="R217" i="24"/>
  <c r="Q217" i="24"/>
  <c r="O217" i="24"/>
  <c r="L217" i="24"/>
  <c r="F217" i="24"/>
  <c r="E217" i="24"/>
  <c r="D217" i="24"/>
  <c r="C217" i="24"/>
  <c r="B217" i="24"/>
  <c r="A217" i="24"/>
  <c r="W216" i="24"/>
  <c r="U216" i="24"/>
  <c r="T216" i="24"/>
  <c r="S216" i="24"/>
  <c r="R216" i="24"/>
  <c r="Q216" i="24"/>
  <c r="O216" i="24"/>
  <c r="L216" i="24"/>
  <c r="F216" i="24"/>
  <c r="E216" i="24"/>
  <c r="D216" i="24"/>
  <c r="C216" i="24"/>
  <c r="B216" i="24"/>
  <c r="A216" i="24"/>
  <c r="W215" i="24"/>
  <c r="U215" i="24"/>
  <c r="T215" i="24"/>
  <c r="S215" i="24"/>
  <c r="R215" i="24"/>
  <c r="Q215" i="24"/>
  <c r="O215" i="24"/>
  <c r="L215" i="24"/>
  <c r="G215" i="24"/>
  <c r="F215" i="24"/>
  <c r="E215" i="24"/>
  <c r="D215" i="24"/>
  <c r="C215" i="24"/>
  <c r="B215" i="24"/>
  <c r="A215" i="24"/>
  <c r="W214" i="24"/>
  <c r="U214" i="24"/>
  <c r="T214" i="24"/>
  <c r="S214" i="24"/>
  <c r="R214" i="24"/>
  <c r="Q214" i="24"/>
  <c r="O214" i="24"/>
  <c r="L214" i="24"/>
  <c r="F214" i="24"/>
  <c r="E214" i="24"/>
  <c r="D214" i="24"/>
  <c r="C214" i="24"/>
  <c r="B214" i="24"/>
  <c r="A214" i="24"/>
  <c r="W213" i="24"/>
  <c r="U213" i="24"/>
  <c r="T213" i="24"/>
  <c r="S213" i="24"/>
  <c r="R213" i="24"/>
  <c r="Q213" i="24"/>
  <c r="O213" i="24"/>
  <c r="L213" i="24"/>
  <c r="I213" i="24"/>
  <c r="H213" i="24"/>
  <c r="G213" i="24"/>
  <c r="F213" i="24"/>
  <c r="E213" i="24"/>
  <c r="D213" i="24"/>
  <c r="C213" i="24"/>
  <c r="B213" i="24"/>
  <c r="A213" i="24"/>
  <c r="W212" i="24"/>
  <c r="U212" i="24"/>
  <c r="T212" i="24"/>
  <c r="S212" i="24"/>
  <c r="R212" i="24"/>
  <c r="Q212" i="24"/>
  <c r="O212" i="24"/>
  <c r="L212" i="24"/>
  <c r="F212" i="24"/>
  <c r="E212" i="24"/>
  <c r="D212" i="24"/>
  <c r="C212" i="24"/>
  <c r="B212" i="24"/>
  <c r="A212" i="24"/>
  <c r="W211" i="24"/>
  <c r="U211" i="24"/>
  <c r="T211" i="24"/>
  <c r="S211" i="24"/>
  <c r="R211" i="24"/>
  <c r="Q211" i="24"/>
  <c r="O211" i="24"/>
  <c r="L211" i="24"/>
  <c r="H211" i="24"/>
  <c r="G211" i="24"/>
  <c r="F211" i="24"/>
  <c r="E211" i="24"/>
  <c r="D211" i="24"/>
  <c r="C211" i="24"/>
  <c r="B211" i="24"/>
  <c r="A211" i="24"/>
  <c r="W210" i="24"/>
  <c r="U210" i="24"/>
  <c r="T210" i="24"/>
  <c r="S210" i="24"/>
  <c r="R210" i="24"/>
  <c r="Q210" i="24"/>
  <c r="O210" i="24"/>
  <c r="L210" i="24"/>
  <c r="G210" i="24"/>
  <c r="F210" i="24"/>
  <c r="E210" i="24"/>
  <c r="D210" i="24"/>
  <c r="C210" i="24"/>
  <c r="B210" i="24"/>
  <c r="A210" i="24"/>
  <c r="W209" i="24"/>
  <c r="U209" i="24"/>
  <c r="T209" i="24"/>
  <c r="S209" i="24"/>
  <c r="R209" i="24"/>
  <c r="Q209" i="24"/>
  <c r="O209" i="24"/>
  <c r="L209" i="24"/>
  <c r="F209" i="24"/>
  <c r="E209" i="24"/>
  <c r="D209" i="24"/>
  <c r="C209" i="24"/>
  <c r="B209" i="24"/>
  <c r="A209" i="24"/>
  <c r="W208" i="24"/>
  <c r="U208" i="24"/>
  <c r="T208" i="24"/>
  <c r="S208" i="24"/>
  <c r="R208" i="24"/>
  <c r="Q208" i="24"/>
  <c r="O208" i="24"/>
  <c r="L208" i="24"/>
  <c r="I208" i="24"/>
  <c r="H208" i="24"/>
  <c r="G208" i="24"/>
  <c r="F208" i="24"/>
  <c r="E208" i="24"/>
  <c r="D208" i="24"/>
  <c r="C208" i="24"/>
  <c r="B208" i="24"/>
  <c r="A208" i="24"/>
  <c r="W207" i="24"/>
  <c r="U207" i="24"/>
  <c r="T207" i="24"/>
  <c r="S207" i="24"/>
  <c r="R207" i="24"/>
  <c r="Q207" i="24"/>
  <c r="O207" i="24"/>
  <c r="M207" i="24"/>
  <c r="L207" i="24"/>
  <c r="I207" i="24"/>
  <c r="H207" i="24"/>
  <c r="G207" i="24"/>
  <c r="F207" i="24"/>
  <c r="E207" i="24"/>
  <c r="D207" i="24"/>
  <c r="C207" i="24"/>
  <c r="B207" i="24"/>
  <c r="A207" i="24"/>
  <c r="W206" i="24"/>
  <c r="U206" i="24"/>
  <c r="T206" i="24"/>
  <c r="S206" i="24"/>
  <c r="R206" i="24"/>
  <c r="Q206" i="24"/>
  <c r="O206" i="24"/>
  <c r="M206" i="24"/>
  <c r="L206" i="24"/>
  <c r="G206" i="24"/>
  <c r="F206" i="24"/>
  <c r="E206" i="24"/>
  <c r="D206" i="24"/>
  <c r="C206" i="24"/>
  <c r="B206" i="24"/>
  <c r="A206" i="24"/>
  <c r="W205" i="24"/>
  <c r="U205" i="24"/>
  <c r="T205" i="24"/>
  <c r="S205" i="24"/>
  <c r="R205" i="24"/>
  <c r="Q205" i="24"/>
  <c r="O205" i="24"/>
  <c r="L205" i="24"/>
  <c r="G205" i="24"/>
  <c r="F205" i="24"/>
  <c r="E205" i="24"/>
  <c r="D205" i="24"/>
  <c r="C205" i="24"/>
  <c r="B205" i="24"/>
  <c r="A205" i="24"/>
  <c r="W204" i="24"/>
  <c r="U204" i="24"/>
  <c r="T204" i="24"/>
  <c r="S204" i="24"/>
  <c r="R204" i="24"/>
  <c r="Q204" i="24"/>
  <c r="O204" i="24"/>
  <c r="L204" i="24"/>
  <c r="H204" i="24"/>
  <c r="G204" i="24"/>
  <c r="F204" i="24"/>
  <c r="E204" i="24"/>
  <c r="D204" i="24"/>
  <c r="C204" i="24"/>
  <c r="B204" i="24"/>
  <c r="A204" i="24"/>
  <c r="W203" i="24"/>
  <c r="V203" i="24"/>
  <c r="U203" i="24"/>
  <c r="T203" i="24"/>
  <c r="S203" i="24"/>
  <c r="R203" i="24"/>
  <c r="Q203" i="24"/>
  <c r="O203" i="24"/>
  <c r="L203" i="24"/>
  <c r="G203" i="24"/>
  <c r="F203" i="24"/>
  <c r="E203" i="24"/>
  <c r="D203" i="24"/>
  <c r="C203" i="24"/>
  <c r="B203" i="24"/>
  <c r="A203" i="24"/>
  <c r="W202" i="24"/>
  <c r="U202" i="24"/>
  <c r="T202" i="24"/>
  <c r="S202" i="24"/>
  <c r="R202" i="24"/>
  <c r="Q202" i="24"/>
  <c r="O202" i="24"/>
  <c r="L202" i="24"/>
  <c r="H202" i="24"/>
  <c r="G202" i="24"/>
  <c r="F202" i="24"/>
  <c r="E202" i="24"/>
  <c r="D202" i="24"/>
  <c r="C202" i="24"/>
  <c r="B202" i="24"/>
  <c r="A202" i="24"/>
  <c r="W201" i="24"/>
  <c r="U201" i="24"/>
  <c r="T201" i="24"/>
  <c r="S201" i="24"/>
  <c r="R201" i="24"/>
  <c r="Q201" i="24"/>
  <c r="O201" i="24"/>
  <c r="M201" i="24"/>
  <c r="L201" i="24"/>
  <c r="F201" i="24"/>
  <c r="E201" i="24"/>
  <c r="D201" i="24"/>
  <c r="C201" i="24"/>
  <c r="B201" i="24"/>
  <c r="A201" i="24"/>
  <c r="W200" i="24"/>
  <c r="U200" i="24"/>
  <c r="T200" i="24"/>
  <c r="S200" i="24"/>
  <c r="R200" i="24"/>
  <c r="Q200" i="24"/>
  <c r="O200" i="24"/>
  <c r="L200" i="24"/>
  <c r="F200" i="24"/>
  <c r="E200" i="24"/>
  <c r="D200" i="24"/>
  <c r="C200" i="24"/>
  <c r="B200" i="24"/>
  <c r="A200" i="24"/>
  <c r="W199" i="24"/>
  <c r="U199" i="24"/>
  <c r="T199" i="24"/>
  <c r="S199" i="24"/>
  <c r="R199" i="24"/>
  <c r="Q199" i="24"/>
  <c r="O199" i="24"/>
  <c r="L199" i="24"/>
  <c r="G199" i="24"/>
  <c r="F199" i="24"/>
  <c r="E199" i="24"/>
  <c r="D199" i="24"/>
  <c r="C199" i="24"/>
  <c r="B199" i="24"/>
  <c r="A199" i="24"/>
  <c r="W198" i="24"/>
  <c r="U198" i="24"/>
  <c r="T198" i="24"/>
  <c r="S198" i="24"/>
  <c r="R198" i="24"/>
  <c r="Q198" i="24"/>
  <c r="O198" i="24"/>
  <c r="L198" i="24"/>
  <c r="H198" i="24"/>
  <c r="G198" i="24"/>
  <c r="F198" i="24"/>
  <c r="E198" i="24"/>
  <c r="D198" i="24"/>
  <c r="C198" i="24"/>
  <c r="B198" i="24"/>
  <c r="A198" i="24"/>
  <c r="W197" i="24"/>
  <c r="U197" i="24"/>
  <c r="T197" i="24"/>
  <c r="S197" i="24"/>
  <c r="R197" i="24"/>
  <c r="Q197" i="24"/>
  <c r="O197" i="24"/>
  <c r="L197" i="24"/>
  <c r="G197" i="24"/>
  <c r="F197" i="24"/>
  <c r="E197" i="24"/>
  <c r="D197" i="24"/>
  <c r="C197" i="24"/>
  <c r="B197" i="24"/>
  <c r="A197" i="24"/>
  <c r="W196" i="24"/>
  <c r="U196" i="24"/>
  <c r="T196" i="24"/>
  <c r="S196" i="24"/>
  <c r="R196" i="24"/>
  <c r="Q196" i="24"/>
  <c r="O196" i="24"/>
  <c r="L196" i="24"/>
  <c r="K196" i="24"/>
  <c r="J196" i="24"/>
  <c r="I196" i="24"/>
  <c r="H196" i="24"/>
  <c r="G196" i="24"/>
  <c r="F196" i="24"/>
  <c r="E196" i="24"/>
  <c r="D196" i="24"/>
  <c r="C196" i="24"/>
  <c r="B196" i="24"/>
  <c r="A196" i="24"/>
  <c r="W195" i="24"/>
  <c r="U195" i="24"/>
  <c r="T195" i="24"/>
  <c r="S195" i="24"/>
  <c r="R195" i="24"/>
  <c r="Q195" i="24"/>
  <c r="O195" i="24"/>
  <c r="L195" i="24"/>
  <c r="G195" i="24"/>
  <c r="F195" i="24"/>
  <c r="E195" i="24"/>
  <c r="D195" i="24"/>
  <c r="C195" i="24"/>
  <c r="B195" i="24"/>
  <c r="A195" i="24"/>
  <c r="W194" i="24"/>
  <c r="U194" i="24"/>
  <c r="T194" i="24"/>
  <c r="S194" i="24"/>
  <c r="R194" i="24"/>
  <c r="Q194" i="24"/>
  <c r="O194" i="24"/>
  <c r="L194" i="24"/>
  <c r="F194" i="24"/>
  <c r="E194" i="24"/>
  <c r="D194" i="24"/>
  <c r="C194" i="24"/>
  <c r="B194" i="24"/>
  <c r="A194" i="24"/>
  <c r="W193" i="24"/>
  <c r="U193" i="24"/>
  <c r="T193" i="24"/>
  <c r="S193" i="24"/>
  <c r="R193" i="24"/>
  <c r="Q193" i="24"/>
  <c r="O193" i="24"/>
  <c r="L193" i="24"/>
  <c r="G193" i="24"/>
  <c r="F193" i="24"/>
  <c r="E193" i="24"/>
  <c r="D193" i="24"/>
  <c r="C193" i="24"/>
  <c r="B193" i="24"/>
  <c r="A193" i="24"/>
  <c r="W192" i="24"/>
  <c r="U192" i="24"/>
  <c r="T192" i="24"/>
  <c r="S192" i="24"/>
  <c r="R192" i="24"/>
  <c r="Q192" i="24"/>
  <c r="O192" i="24"/>
  <c r="L192" i="24"/>
  <c r="G192" i="24"/>
  <c r="F192" i="24"/>
  <c r="E192" i="24"/>
  <c r="D192" i="24"/>
  <c r="C192" i="24"/>
  <c r="B192" i="24"/>
  <c r="A192" i="24"/>
  <c r="W191" i="24"/>
  <c r="U191" i="24"/>
  <c r="T191" i="24"/>
  <c r="S191" i="24"/>
  <c r="R191" i="24"/>
  <c r="Q191" i="24"/>
  <c r="O191" i="24"/>
  <c r="L191" i="24"/>
  <c r="G191" i="24"/>
  <c r="F191" i="24"/>
  <c r="E191" i="24"/>
  <c r="D191" i="24"/>
  <c r="C191" i="24"/>
  <c r="B191" i="24"/>
  <c r="A191" i="24"/>
  <c r="W190" i="24"/>
  <c r="U190" i="24"/>
  <c r="T190" i="24"/>
  <c r="S190" i="24"/>
  <c r="R190" i="24"/>
  <c r="Q190" i="24"/>
  <c r="O190" i="24"/>
  <c r="L190" i="24"/>
  <c r="H190" i="24"/>
  <c r="G190" i="24"/>
  <c r="F190" i="24"/>
  <c r="E190" i="24"/>
  <c r="D190" i="24"/>
  <c r="C190" i="24"/>
  <c r="B190" i="24"/>
  <c r="A190" i="24"/>
  <c r="W189" i="24"/>
  <c r="U189" i="24"/>
  <c r="T189" i="24"/>
  <c r="S189" i="24"/>
  <c r="R189" i="24"/>
  <c r="Q189" i="24"/>
  <c r="O189" i="24"/>
  <c r="L189" i="24"/>
  <c r="F189" i="24"/>
  <c r="E189" i="24"/>
  <c r="D189" i="24"/>
  <c r="C189" i="24"/>
  <c r="B189" i="24"/>
  <c r="A189" i="24"/>
  <c r="W188" i="24"/>
  <c r="U188" i="24"/>
  <c r="T188" i="24"/>
  <c r="S188" i="24"/>
  <c r="R188" i="24"/>
  <c r="Q188" i="24"/>
  <c r="O188" i="24"/>
  <c r="L188" i="24"/>
  <c r="F188" i="24"/>
  <c r="E188" i="24"/>
  <c r="D188" i="24"/>
  <c r="C188" i="24"/>
  <c r="B188" i="24"/>
  <c r="A188" i="24"/>
  <c r="W187" i="24"/>
  <c r="U187" i="24"/>
  <c r="T187" i="24"/>
  <c r="S187" i="24"/>
  <c r="R187" i="24"/>
  <c r="Q187" i="24"/>
  <c r="O187" i="24"/>
  <c r="L187" i="24"/>
  <c r="F187" i="24"/>
  <c r="E187" i="24"/>
  <c r="D187" i="24"/>
  <c r="C187" i="24"/>
  <c r="B187" i="24"/>
  <c r="A187" i="24"/>
  <c r="W186" i="24"/>
  <c r="U186" i="24"/>
  <c r="T186" i="24"/>
  <c r="S186" i="24"/>
  <c r="R186" i="24"/>
  <c r="Q186" i="24"/>
  <c r="O186" i="24"/>
  <c r="L186" i="24"/>
  <c r="G186" i="24"/>
  <c r="F186" i="24"/>
  <c r="E186" i="24"/>
  <c r="D186" i="24"/>
  <c r="C186" i="24"/>
  <c r="B186" i="24"/>
  <c r="A186" i="24"/>
  <c r="W185" i="24"/>
  <c r="U185" i="24"/>
  <c r="T185" i="24"/>
  <c r="S185" i="24"/>
  <c r="R185" i="24"/>
  <c r="Q185" i="24"/>
  <c r="O185" i="24"/>
  <c r="L185" i="24"/>
  <c r="F185" i="24"/>
  <c r="E185" i="24"/>
  <c r="D185" i="24"/>
  <c r="C185" i="24"/>
  <c r="B185" i="24"/>
  <c r="A185" i="24"/>
  <c r="W184" i="24"/>
  <c r="U184" i="24"/>
  <c r="T184" i="24"/>
  <c r="S184" i="24"/>
  <c r="R184" i="24"/>
  <c r="Q184" i="24"/>
  <c r="O184" i="24"/>
  <c r="L184" i="24"/>
  <c r="G184" i="24"/>
  <c r="F184" i="24"/>
  <c r="E184" i="24"/>
  <c r="D184" i="24"/>
  <c r="C184" i="24"/>
  <c r="B184" i="24"/>
  <c r="A184" i="24"/>
  <c r="W183" i="24"/>
  <c r="U183" i="24"/>
  <c r="T183" i="24"/>
  <c r="S183" i="24"/>
  <c r="R183" i="24"/>
  <c r="Q183" i="24"/>
  <c r="O183" i="24"/>
  <c r="L183" i="24"/>
  <c r="H183" i="24"/>
  <c r="G183" i="24"/>
  <c r="F183" i="24"/>
  <c r="E183" i="24"/>
  <c r="D183" i="24"/>
  <c r="C183" i="24"/>
  <c r="B183" i="24"/>
  <c r="A183" i="24"/>
  <c r="W182" i="24"/>
  <c r="U182" i="24"/>
  <c r="T182" i="24"/>
  <c r="S182" i="24"/>
  <c r="R182" i="24"/>
  <c r="Q182" i="24"/>
  <c r="O182" i="24"/>
  <c r="L182" i="24"/>
  <c r="H182" i="24"/>
  <c r="G182" i="24"/>
  <c r="F182" i="24"/>
  <c r="E182" i="24"/>
  <c r="D182" i="24"/>
  <c r="C182" i="24"/>
  <c r="B182" i="24"/>
  <c r="A182" i="24"/>
  <c r="W181" i="24"/>
  <c r="U181" i="24"/>
  <c r="T181" i="24"/>
  <c r="S181" i="24"/>
  <c r="R181" i="24"/>
  <c r="Q181" i="24"/>
  <c r="O181" i="24"/>
  <c r="L181" i="24"/>
  <c r="H181" i="24"/>
  <c r="G181" i="24"/>
  <c r="F181" i="24"/>
  <c r="E181" i="24"/>
  <c r="D181" i="24"/>
  <c r="C181" i="24"/>
  <c r="B181" i="24"/>
  <c r="A181" i="24"/>
  <c r="W180" i="24"/>
  <c r="U180" i="24"/>
  <c r="T180" i="24"/>
  <c r="S180" i="24"/>
  <c r="R180" i="24"/>
  <c r="Q180" i="24"/>
  <c r="O180" i="24"/>
  <c r="L180" i="24"/>
  <c r="G180" i="24"/>
  <c r="F180" i="24"/>
  <c r="E180" i="24"/>
  <c r="D180" i="24"/>
  <c r="C180" i="24"/>
  <c r="B180" i="24"/>
  <c r="A180" i="24"/>
  <c r="W179" i="24"/>
  <c r="U179" i="24"/>
  <c r="T179" i="24"/>
  <c r="S179" i="24"/>
  <c r="R179" i="24"/>
  <c r="Q179" i="24"/>
  <c r="O179" i="24"/>
  <c r="L179" i="24"/>
  <c r="G179" i="24"/>
  <c r="F179" i="24"/>
  <c r="E179" i="24"/>
  <c r="D179" i="24"/>
  <c r="C179" i="24"/>
  <c r="B179" i="24"/>
  <c r="A179" i="24"/>
  <c r="W178" i="24"/>
  <c r="U178" i="24"/>
  <c r="T178" i="24"/>
  <c r="S178" i="24"/>
  <c r="R178" i="24"/>
  <c r="Q178" i="24"/>
  <c r="O178" i="24"/>
  <c r="L178" i="24"/>
  <c r="G178" i="24"/>
  <c r="F178" i="24"/>
  <c r="E178" i="24"/>
  <c r="D178" i="24"/>
  <c r="C178" i="24"/>
  <c r="B178" i="24"/>
  <c r="A178" i="24"/>
  <c r="W177" i="24"/>
  <c r="U177" i="24"/>
  <c r="T177" i="24"/>
  <c r="S177" i="24"/>
  <c r="R177" i="24"/>
  <c r="Q177" i="24"/>
  <c r="O177" i="24"/>
  <c r="L177" i="24"/>
  <c r="J177" i="24"/>
  <c r="I177" i="24"/>
  <c r="H177" i="24"/>
  <c r="G177" i="24"/>
  <c r="F177" i="24"/>
  <c r="E177" i="24"/>
  <c r="D177" i="24"/>
  <c r="C177" i="24"/>
  <c r="B177" i="24"/>
  <c r="A177" i="24"/>
  <c r="W176" i="24"/>
  <c r="U176" i="24"/>
  <c r="T176" i="24"/>
  <c r="S176" i="24"/>
  <c r="R176" i="24"/>
  <c r="Q176" i="24"/>
  <c r="O176" i="24"/>
  <c r="L176" i="24"/>
  <c r="H176" i="24"/>
  <c r="G176" i="24"/>
  <c r="F176" i="24"/>
  <c r="E176" i="24"/>
  <c r="D176" i="24"/>
  <c r="C176" i="24"/>
  <c r="B176" i="24"/>
  <c r="A176" i="24"/>
  <c r="W175" i="24"/>
  <c r="U175" i="24"/>
  <c r="T175" i="24"/>
  <c r="S175" i="24"/>
  <c r="R175" i="24"/>
  <c r="Q175" i="24"/>
  <c r="O175" i="24"/>
  <c r="L175" i="24"/>
  <c r="F175" i="24"/>
  <c r="E175" i="24"/>
  <c r="D175" i="24"/>
  <c r="C175" i="24"/>
  <c r="B175" i="24"/>
  <c r="A175" i="24"/>
  <c r="W174" i="24"/>
  <c r="U174" i="24"/>
  <c r="T174" i="24"/>
  <c r="S174" i="24"/>
  <c r="R174" i="24"/>
  <c r="Q174" i="24"/>
  <c r="O174" i="24"/>
  <c r="L174" i="24"/>
  <c r="G174" i="24"/>
  <c r="F174" i="24"/>
  <c r="E174" i="24"/>
  <c r="D174" i="24"/>
  <c r="C174" i="24"/>
  <c r="B174" i="24"/>
  <c r="A174" i="24"/>
  <c r="W173" i="24"/>
  <c r="U173" i="24"/>
  <c r="T173" i="24"/>
  <c r="S173" i="24"/>
  <c r="R173" i="24"/>
  <c r="Q173" i="24"/>
  <c r="O173" i="24"/>
  <c r="L173" i="24"/>
  <c r="H173" i="24"/>
  <c r="G173" i="24"/>
  <c r="F173" i="24"/>
  <c r="E173" i="24"/>
  <c r="D173" i="24"/>
  <c r="C173" i="24"/>
  <c r="B173" i="24"/>
  <c r="A173" i="24"/>
  <c r="W172" i="24"/>
  <c r="U172" i="24"/>
  <c r="T172" i="24"/>
  <c r="S172" i="24"/>
  <c r="R172" i="24"/>
  <c r="Q172" i="24"/>
  <c r="O172" i="24"/>
  <c r="L172" i="24"/>
  <c r="I172" i="24"/>
  <c r="H172" i="24"/>
  <c r="G172" i="24"/>
  <c r="F172" i="24"/>
  <c r="E172" i="24"/>
  <c r="D172" i="24"/>
  <c r="C172" i="24"/>
  <c r="B172" i="24"/>
  <c r="A172" i="24"/>
  <c r="W171" i="24"/>
  <c r="U171" i="24"/>
  <c r="T171" i="24"/>
  <c r="S171" i="24"/>
  <c r="R171" i="24"/>
  <c r="Q171" i="24"/>
  <c r="O171" i="24"/>
  <c r="L171" i="24"/>
  <c r="I171" i="24"/>
  <c r="H171" i="24"/>
  <c r="G171" i="24"/>
  <c r="F171" i="24"/>
  <c r="E171" i="24"/>
  <c r="D171" i="24"/>
  <c r="C171" i="24"/>
  <c r="B171" i="24"/>
  <c r="A171" i="24"/>
  <c r="W170" i="24"/>
  <c r="U170" i="24"/>
  <c r="T170" i="24"/>
  <c r="S170" i="24"/>
  <c r="R170" i="24"/>
  <c r="Q170" i="24"/>
  <c r="O170" i="24"/>
  <c r="L170" i="24"/>
  <c r="F170" i="24"/>
  <c r="E170" i="24"/>
  <c r="D170" i="24"/>
  <c r="C170" i="24"/>
  <c r="B170" i="24"/>
  <c r="A170" i="24"/>
  <c r="W169" i="24"/>
  <c r="U169" i="24"/>
  <c r="T169" i="24"/>
  <c r="S169" i="24"/>
  <c r="R169" i="24"/>
  <c r="Q169" i="24"/>
  <c r="O169" i="24"/>
  <c r="L169" i="24"/>
  <c r="F169" i="24"/>
  <c r="E169" i="24"/>
  <c r="D169" i="24"/>
  <c r="C169" i="24"/>
  <c r="B169" i="24"/>
  <c r="A169" i="24"/>
  <c r="W168" i="24"/>
  <c r="U168" i="24"/>
  <c r="T168" i="24"/>
  <c r="S168" i="24"/>
  <c r="R168" i="24"/>
  <c r="Q168" i="24"/>
  <c r="O168" i="24"/>
  <c r="L168" i="24"/>
  <c r="F168" i="24"/>
  <c r="E168" i="24"/>
  <c r="D168" i="24"/>
  <c r="C168" i="24"/>
  <c r="B168" i="24"/>
  <c r="A168" i="24"/>
  <c r="W167" i="24"/>
  <c r="U167" i="24"/>
  <c r="T167" i="24"/>
  <c r="S167" i="24"/>
  <c r="R167" i="24"/>
  <c r="Q167" i="24"/>
  <c r="O167" i="24"/>
  <c r="L167" i="24"/>
  <c r="G167" i="24"/>
  <c r="F167" i="24"/>
  <c r="E167" i="24"/>
  <c r="D167" i="24"/>
  <c r="C167" i="24"/>
  <c r="B167" i="24"/>
  <c r="A167" i="24"/>
  <c r="W166" i="24"/>
  <c r="U166" i="24"/>
  <c r="T166" i="24"/>
  <c r="S166" i="24"/>
  <c r="R166" i="24"/>
  <c r="Q166" i="24"/>
  <c r="O166" i="24"/>
  <c r="L166" i="24"/>
  <c r="F166" i="24"/>
  <c r="E166" i="24"/>
  <c r="D166" i="24"/>
  <c r="C166" i="24"/>
  <c r="B166" i="24"/>
  <c r="A166" i="24"/>
  <c r="W165" i="24"/>
  <c r="U165" i="24"/>
  <c r="T165" i="24"/>
  <c r="S165" i="24"/>
  <c r="R165" i="24"/>
  <c r="Q165" i="24"/>
  <c r="O165" i="24"/>
  <c r="L165" i="24"/>
  <c r="G165" i="24"/>
  <c r="F165" i="24"/>
  <c r="E165" i="24"/>
  <c r="D165" i="24"/>
  <c r="C165" i="24"/>
  <c r="B165" i="24"/>
  <c r="A165" i="24"/>
  <c r="W164" i="24"/>
  <c r="U164" i="24"/>
  <c r="T164" i="24"/>
  <c r="S164" i="24"/>
  <c r="R164" i="24"/>
  <c r="Q164" i="24"/>
  <c r="O164" i="24"/>
  <c r="L164" i="24"/>
  <c r="F164" i="24"/>
  <c r="E164" i="24"/>
  <c r="D164" i="24"/>
  <c r="C164" i="24"/>
  <c r="B164" i="24"/>
  <c r="A164" i="24"/>
  <c r="W163" i="24"/>
  <c r="U163" i="24"/>
  <c r="T163" i="24"/>
  <c r="S163" i="24"/>
  <c r="R163" i="24"/>
  <c r="Q163" i="24"/>
  <c r="O163" i="24"/>
  <c r="L163" i="24"/>
  <c r="F163" i="24"/>
  <c r="E163" i="24"/>
  <c r="D163" i="24"/>
  <c r="C163" i="24"/>
  <c r="B163" i="24"/>
  <c r="A163" i="24"/>
  <c r="W162" i="24"/>
  <c r="U162" i="24"/>
  <c r="T162" i="24"/>
  <c r="S162" i="24"/>
  <c r="R162" i="24"/>
  <c r="Q162" i="24"/>
  <c r="O162" i="24"/>
  <c r="M162" i="24"/>
  <c r="L162" i="24"/>
  <c r="G162" i="24"/>
  <c r="F162" i="24"/>
  <c r="E162" i="24"/>
  <c r="D162" i="24"/>
  <c r="C162" i="24"/>
  <c r="B162" i="24"/>
  <c r="A162" i="24"/>
  <c r="W161" i="24"/>
  <c r="U161" i="24"/>
  <c r="T161" i="24"/>
  <c r="S161" i="24"/>
  <c r="R161" i="24"/>
  <c r="Q161" i="24"/>
  <c r="O161" i="24"/>
  <c r="L161" i="24"/>
  <c r="F161" i="24"/>
  <c r="E161" i="24"/>
  <c r="D161" i="24"/>
  <c r="C161" i="24"/>
  <c r="B161" i="24"/>
  <c r="A161" i="24"/>
  <c r="W160" i="24"/>
  <c r="U160" i="24"/>
  <c r="T160" i="24"/>
  <c r="S160" i="24"/>
  <c r="R160" i="24"/>
  <c r="Q160" i="24"/>
  <c r="O160" i="24"/>
  <c r="L160" i="24"/>
  <c r="H160" i="24"/>
  <c r="G160" i="24"/>
  <c r="F160" i="24"/>
  <c r="E160" i="24"/>
  <c r="D160" i="24"/>
  <c r="C160" i="24"/>
  <c r="B160" i="24"/>
  <c r="A160" i="24"/>
  <c r="W159" i="24"/>
  <c r="U159" i="24"/>
  <c r="T159" i="24"/>
  <c r="S159" i="24"/>
  <c r="R159" i="24"/>
  <c r="Q159" i="24"/>
  <c r="O159" i="24"/>
  <c r="L159" i="24"/>
  <c r="G159" i="24"/>
  <c r="F159" i="24"/>
  <c r="E159" i="24"/>
  <c r="D159" i="24"/>
  <c r="C159" i="24"/>
  <c r="B159" i="24"/>
  <c r="A159" i="24"/>
  <c r="W158" i="24"/>
  <c r="U158" i="24"/>
  <c r="T158" i="24"/>
  <c r="S158" i="24"/>
  <c r="R158" i="24"/>
  <c r="Q158" i="24"/>
  <c r="O158" i="24"/>
  <c r="L158" i="24"/>
  <c r="H158" i="24"/>
  <c r="G158" i="24"/>
  <c r="F158" i="24"/>
  <c r="E158" i="24"/>
  <c r="D158" i="24"/>
  <c r="C158" i="24"/>
  <c r="B158" i="24"/>
  <c r="A158" i="24"/>
  <c r="W157" i="24"/>
  <c r="U157" i="24"/>
  <c r="T157" i="24"/>
  <c r="S157" i="24"/>
  <c r="R157" i="24"/>
  <c r="Q157" i="24"/>
  <c r="O157" i="24"/>
  <c r="L157" i="24"/>
  <c r="F157" i="24"/>
  <c r="E157" i="24"/>
  <c r="D157" i="24"/>
  <c r="C157" i="24"/>
  <c r="B157" i="24"/>
  <c r="A157" i="24"/>
  <c r="W156" i="24"/>
  <c r="U156" i="24"/>
  <c r="T156" i="24"/>
  <c r="S156" i="24"/>
  <c r="R156" i="24"/>
  <c r="Q156" i="24"/>
  <c r="O156" i="24"/>
  <c r="L156" i="24"/>
  <c r="F156" i="24"/>
  <c r="E156" i="24"/>
  <c r="D156" i="24"/>
  <c r="C156" i="24"/>
  <c r="B156" i="24"/>
  <c r="A156" i="24"/>
  <c r="W155" i="24"/>
  <c r="U155" i="24"/>
  <c r="T155" i="24"/>
  <c r="S155" i="24"/>
  <c r="R155" i="24"/>
  <c r="Q155" i="24"/>
  <c r="O155" i="24"/>
  <c r="M155" i="24"/>
  <c r="L155" i="24"/>
  <c r="G155" i="24"/>
  <c r="F155" i="24"/>
  <c r="E155" i="24"/>
  <c r="D155" i="24"/>
  <c r="C155" i="24"/>
  <c r="B155" i="24"/>
  <c r="A155" i="24"/>
  <c r="W154" i="24"/>
  <c r="U154" i="24"/>
  <c r="T154" i="24"/>
  <c r="S154" i="24"/>
  <c r="R154" i="24"/>
  <c r="Q154" i="24"/>
  <c r="O154" i="24"/>
  <c r="L154" i="24"/>
  <c r="K154" i="24"/>
  <c r="J154" i="24"/>
  <c r="I154" i="24"/>
  <c r="H154" i="24"/>
  <c r="G154" i="24"/>
  <c r="F154" i="24"/>
  <c r="E154" i="24"/>
  <c r="D154" i="24"/>
  <c r="C154" i="24"/>
  <c r="B154" i="24"/>
  <c r="A154" i="24"/>
  <c r="W153" i="24"/>
  <c r="U153" i="24"/>
  <c r="T153" i="24"/>
  <c r="S153" i="24"/>
  <c r="R153" i="24"/>
  <c r="Q153" i="24"/>
  <c r="O153" i="24"/>
  <c r="L153" i="24"/>
  <c r="G153" i="24"/>
  <c r="F153" i="24"/>
  <c r="E153" i="24"/>
  <c r="D153" i="24"/>
  <c r="C153" i="24"/>
  <c r="B153" i="24"/>
  <c r="A153" i="24"/>
  <c r="W152" i="24"/>
  <c r="U152" i="24"/>
  <c r="T152" i="24"/>
  <c r="S152" i="24"/>
  <c r="R152" i="24"/>
  <c r="Q152" i="24"/>
  <c r="O152" i="24"/>
  <c r="M152" i="24"/>
  <c r="L152" i="24"/>
  <c r="G152" i="24"/>
  <c r="F152" i="24"/>
  <c r="E152" i="24"/>
  <c r="D152" i="24"/>
  <c r="C152" i="24"/>
  <c r="B152" i="24"/>
  <c r="A152" i="24"/>
  <c r="W151" i="24"/>
  <c r="U151" i="24"/>
  <c r="T151" i="24"/>
  <c r="S151" i="24"/>
  <c r="R151" i="24"/>
  <c r="Q151" i="24"/>
  <c r="O151" i="24"/>
  <c r="L151" i="24"/>
  <c r="G151" i="24"/>
  <c r="F151" i="24"/>
  <c r="E151" i="24"/>
  <c r="D151" i="24"/>
  <c r="C151" i="24"/>
  <c r="B151" i="24"/>
  <c r="A151" i="24"/>
  <c r="W150" i="24"/>
  <c r="U150" i="24"/>
  <c r="T150" i="24"/>
  <c r="S150" i="24"/>
  <c r="R150" i="24"/>
  <c r="Q150" i="24"/>
  <c r="O150" i="24"/>
  <c r="L150" i="24"/>
  <c r="F150" i="24"/>
  <c r="E150" i="24"/>
  <c r="D150" i="24"/>
  <c r="C150" i="24"/>
  <c r="B150" i="24"/>
  <c r="A150" i="24"/>
  <c r="W149" i="24"/>
  <c r="U149" i="24"/>
  <c r="T149" i="24"/>
  <c r="S149" i="24"/>
  <c r="R149" i="24"/>
  <c r="Q149" i="24"/>
  <c r="O149" i="24"/>
  <c r="L149" i="24"/>
  <c r="H149" i="24"/>
  <c r="G149" i="24"/>
  <c r="F149" i="24"/>
  <c r="E149" i="24"/>
  <c r="D149" i="24"/>
  <c r="C149" i="24"/>
  <c r="B149" i="24"/>
  <c r="A149" i="24"/>
  <c r="W148" i="24"/>
  <c r="U148" i="24"/>
  <c r="T148" i="24"/>
  <c r="S148" i="24"/>
  <c r="R148" i="24"/>
  <c r="Q148" i="24"/>
  <c r="O148" i="24"/>
  <c r="L148" i="24"/>
  <c r="G148" i="24"/>
  <c r="F148" i="24"/>
  <c r="E148" i="24"/>
  <c r="D148" i="24"/>
  <c r="C148" i="24"/>
  <c r="B148" i="24"/>
  <c r="A148" i="24"/>
  <c r="W147" i="24"/>
  <c r="U147" i="24"/>
  <c r="T147" i="24"/>
  <c r="S147" i="24"/>
  <c r="R147" i="24"/>
  <c r="Q147" i="24"/>
  <c r="O147" i="24"/>
  <c r="L147" i="24"/>
  <c r="I147" i="24"/>
  <c r="H147" i="24"/>
  <c r="G147" i="24"/>
  <c r="F147" i="24"/>
  <c r="E147" i="24"/>
  <c r="D147" i="24"/>
  <c r="C147" i="24"/>
  <c r="B147" i="24"/>
  <c r="A147" i="24"/>
  <c r="W146" i="24"/>
  <c r="V146" i="24"/>
  <c r="U146" i="24"/>
  <c r="T146" i="24"/>
  <c r="S146" i="24"/>
  <c r="R146" i="24"/>
  <c r="Q146" i="24"/>
  <c r="O146" i="24"/>
  <c r="L146" i="24"/>
  <c r="F146" i="24"/>
  <c r="E146" i="24"/>
  <c r="D146" i="24"/>
  <c r="C146" i="24"/>
  <c r="B146" i="24"/>
  <c r="A146" i="24"/>
  <c r="W145" i="24"/>
  <c r="U145" i="24"/>
  <c r="T145" i="24"/>
  <c r="S145" i="24"/>
  <c r="R145" i="24"/>
  <c r="Q145" i="24"/>
  <c r="O145" i="24"/>
  <c r="L145" i="24"/>
  <c r="K145" i="24"/>
  <c r="J145" i="24"/>
  <c r="I145" i="24"/>
  <c r="H145" i="24"/>
  <c r="G145" i="24"/>
  <c r="F145" i="24"/>
  <c r="E145" i="24"/>
  <c r="D145" i="24"/>
  <c r="C145" i="24"/>
  <c r="B145" i="24"/>
  <c r="A145" i="24"/>
  <c r="W144" i="24"/>
  <c r="U144" i="24"/>
  <c r="T144" i="24"/>
  <c r="S144" i="24"/>
  <c r="R144" i="24"/>
  <c r="Q144" i="24"/>
  <c r="O144" i="24"/>
  <c r="L144" i="24"/>
  <c r="F144" i="24"/>
  <c r="E144" i="24"/>
  <c r="D144" i="24"/>
  <c r="C144" i="24"/>
  <c r="B144" i="24"/>
  <c r="A144" i="24"/>
  <c r="W143" i="24"/>
  <c r="U143" i="24"/>
  <c r="T143" i="24"/>
  <c r="S143" i="24"/>
  <c r="R143" i="24"/>
  <c r="Q143" i="24"/>
  <c r="O143" i="24"/>
  <c r="M143" i="24"/>
  <c r="L143" i="24"/>
  <c r="G143" i="24"/>
  <c r="F143" i="24"/>
  <c r="E143" i="24"/>
  <c r="D143" i="24"/>
  <c r="C143" i="24"/>
  <c r="B143" i="24"/>
  <c r="A143" i="24"/>
  <c r="W142" i="24"/>
  <c r="U142" i="24"/>
  <c r="T142" i="24"/>
  <c r="S142" i="24"/>
  <c r="R142" i="24"/>
  <c r="Q142" i="24"/>
  <c r="O142" i="24"/>
  <c r="L142" i="24"/>
  <c r="F142" i="24"/>
  <c r="E142" i="24"/>
  <c r="D142" i="24"/>
  <c r="C142" i="24"/>
  <c r="B142" i="24"/>
  <c r="A142" i="24"/>
  <c r="W141" i="24"/>
  <c r="U141" i="24"/>
  <c r="T141" i="24"/>
  <c r="S141" i="24"/>
  <c r="R141" i="24"/>
  <c r="Q141" i="24"/>
  <c r="O141" i="24"/>
  <c r="L141" i="24"/>
  <c r="G141" i="24"/>
  <c r="F141" i="24"/>
  <c r="E141" i="24"/>
  <c r="D141" i="24"/>
  <c r="C141" i="24"/>
  <c r="B141" i="24"/>
  <c r="A141" i="24"/>
  <c r="W140" i="24"/>
  <c r="U140" i="24"/>
  <c r="T140" i="24"/>
  <c r="S140" i="24"/>
  <c r="R140" i="24"/>
  <c r="Q140" i="24"/>
  <c r="O140" i="24"/>
  <c r="L140" i="24"/>
  <c r="H140" i="24"/>
  <c r="G140" i="24"/>
  <c r="F140" i="24"/>
  <c r="E140" i="24"/>
  <c r="D140" i="24"/>
  <c r="C140" i="24"/>
  <c r="B140" i="24"/>
  <c r="A140" i="24"/>
  <c r="W139" i="24"/>
  <c r="U139" i="24"/>
  <c r="T139" i="24"/>
  <c r="S139" i="24"/>
  <c r="R139" i="24"/>
  <c r="Q139" i="24"/>
  <c r="O139" i="24"/>
  <c r="N139" i="24"/>
  <c r="M139" i="24"/>
  <c r="L139" i="24"/>
  <c r="F139" i="24"/>
  <c r="E139" i="24"/>
  <c r="D139" i="24"/>
  <c r="C139" i="24"/>
  <c r="B139" i="24"/>
  <c r="A139" i="24"/>
  <c r="W138" i="24"/>
  <c r="U138" i="24"/>
  <c r="T138" i="24"/>
  <c r="S138" i="24"/>
  <c r="R138" i="24"/>
  <c r="Q138" i="24"/>
  <c r="O138" i="24"/>
  <c r="L138" i="24"/>
  <c r="G138" i="24"/>
  <c r="F138" i="24"/>
  <c r="E138" i="24"/>
  <c r="D138" i="24"/>
  <c r="C138" i="24"/>
  <c r="B138" i="24"/>
  <c r="A138" i="24"/>
  <c r="W137" i="24"/>
  <c r="U137" i="24"/>
  <c r="T137" i="24"/>
  <c r="S137" i="24"/>
  <c r="R137" i="24"/>
  <c r="Q137" i="24"/>
  <c r="O137" i="24"/>
  <c r="L137" i="24"/>
  <c r="G137" i="24"/>
  <c r="F137" i="24"/>
  <c r="E137" i="24"/>
  <c r="D137" i="24"/>
  <c r="C137" i="24"/>
  <c r="B137" i="24"/>
  <c r="A137" i="24"/>
  <c r="W136" i="24"/>
  <c r="U136" i="24"/>
  <c r="T136" i="24"/>
  <c r="S136" i="24"/>
  <c r="R136" i="24"/>
  <c r="Q136" i="24"/>
  <c r="O136" i="24"/>
  <c r="L136" i="24"/>
  <c r="G136" i="24"/>
  <c r="F136" i="24"/>
  <c r="E136" i="24"/>
  <c r="D136" i="24"/>
  <c r="C136" i="24"/>
  <c r="B136" i="24"/>
  <c r="A136" i="24"/>
  <c r="W135" i="24"/>
  <c r="U135" i="24"/>
  <c r="T135" i="24"/>
  <c r="S135" i="24"/>
  <c r="R135" i="24"/>
  <c r="Q135" i="24"/>
  <c r="O135" i="24"/>
  <c r="L135" i="24"/>
  <c r="G135" i="24"/>
  <c r="F135" i="24"/>
  <c r="E135" i="24"/>
  <c r="D135" i="24"/>
  <c r="C135" i="24"/>
  <c r="B135" i="24"/>
  <c r="A135" i="24"/>
  <c r="W134" i="24"/>
  <c r="U134" i="24"/>
  <c r="T134" i="24"/>
  <c r="S134" i="24"/>
  <c r="R134" i="24"/>
  <c r="Q134" i="24"/>
  <c r="O134" i="24"/>
  <c r="M134" i="24"/>
  <c r="L134" i="24"/>
  <c r="G134" i="24"/>
  <c r="F134" i="24"/>
  <c r="E134" i="24"/>
  <c r="D134" i="24"/>
  <c r="C134" i="24"/>
  <c r="B134" i="24"/>
  <c r="A134" i="24"/>
  <c r="W133" i="24"/>
  <c r="U133" i="24"/>
  <c r="T133" i="24"/>
  <c r="S133" i="24"/>
  <c r="R133" i="24"/>
  <c r="Q133" i="24"/>
  <c r="O133" i="24"/>
  <c r="L133" i="24"/>
  <c r="J133" i="24"/>
  <c r="I133" i="24"/>
  <c r="H133" i="24"/>
  <c r="G133" i="24"/>
  <c r="F133" i="24"/>
  <c r="E133" i="24"/>
  <c r="D133" i="24"/>
  <c r="C133" i="24"/>
  <c r="B133" i="24"/>
  <c r="A133" i="24"/>
  <c r="W132" i="24"/>
  <c r="U132" i="24"/>
  <c r="T132" i="24"/>
  <c r="S132" i="24"/>
  <c r="R132" i="24"/>
  <c r="Q132" i="24"/>
  <c r="O132" i="24"/>
  <c r="L132" i="24"/>
  <c r="H132" i="24"/>
  <c r="G132" i="24"/>
  <c r="F132" i="24"/>
  <c r="E132" i="24"/>
  <c r="D132" i="24"/>
  <c r="C132" i="24"/>
  <c r="B132" i="24"/>
  <c r="A132" i="24"/>
  <c r="W131" i="24"/>
  <c r="U131" i="24"/>
  <c r="T131" i="24"/>
  <c r="S131" i="24"/>
  <c r="R131" i="24"/>
  <c r="Q131" i="24"/>
  <c r="O131" i="24"/>
  <c r="L131" i="24"/>
  <c r="G131" i="24"/>
  <c r="F131" i="24"/>
  <c r="E131" i="24"/>
  <c r="D131" i="24"/>
  <c r="C131" i="24"/>
  <c r="B131" i="24"/>
  <c r="A131" i="24"/>
  <c r="W130" i="24"/>
  <c r="U130" i="24"/>
  <c r="T130" i="24"/>
  <c r="S130" i="24"/>
  <c r="R130" i="24"/>
  <c r="Q130" i="24"/>
  <c r="O130" i="24"/>
  <c r="L130" i="24"/>
  <c r="G130" i="24"/>
  <c r="F130" i="24"/>
  <c r="E130" i="24"/>
  <c r="D130" i="24"/>
  <c r="C130" i="24"/>
  <c r="B130" i="24"/>
  <c r="A130" i="24"/>
  <c r="W129" i="24"/>
  <c r="U129" i="24"/>
  <c r="T129" i="24"/>
  <c r="S129" i="24"/>
  <c r="R129" i="24"/>
  <c r="Q129" i="24"/>
  <c r="O129" i="24"/>
  <c r="L129" i="24"/>
  <c r="H129" i="24"/>
  <c r="G129" i="24"/>
  <c r="F129" i="24"/>
  <c r="E129" i="24"/>
  <c r="D129" i="24"/>
  <c r="C129" i="24"/>
  <c r="B129" i="24"/>
  <c r="A129" i="24"/>
  <c r="W128" i="24"/>
  <c r="U128" i="24"/>
  <c r="T128" i="24"/>
  <c r="S128" i="24"/>
  <c r="R128" i="24"/>
  <c r="Q128" i="24"/>
  <c r="O128" i="24"/>
  <c r="L128" i="24"/>
  <c r="H128" i="24"/>
  <c r="G128" i="24"/>
  <c r="F128" i="24"/>
  <c r="E128" i="24"/>
  <c r="D128" i="24"/>
  <c r="C128" i="24"/>
  <c r="B128" i="24"/>
  <c r="A128" i="24"/>
  <c r="W127" i="24"/>
  <c r="V127" i="24"/>
  <c r="U127" i="24"/>
  <c r="T127" i="24"/>
  <c r="S127" i="24"/>
  <c r="R127" i="24"/>
  <c r="Q127" i="24"/>
  <c r="O127" i="24"/>
  <c r="L127" i="24"/>
  <c r="G127" i="24"/>
  <c r="F127" i="24"/>
  <c r="E127" i="24"/>
  <c r="D127" i="24"/>
  <c r="C127" i="24"/>
  <c r="B127" i="24"/>
  <c r="A127" i="24"/>
  <c r="W126" i="24"/>
  <c r="U126" i="24"/>
  <c r="T126" i="24"/>
  <c r="S126" i="24"/>
  <c r="R126" i="24"/>
  <c r="Q126" i="24"/>
  <c r="O126" i="24"/>
  <c r="L126" i="24"/>
  <c r="F126" i="24"/>
  <c r="E126" i="24"/>
  <c r="D126" i="24"/>
  <c r="C126" i="24"/>
  <c r="B126" i="24"/>
  <c r="A126" i="24"/>
  <c r="W125" i="24"/>
  <c r="U125" i="24"/>
  <c r="T125" i="24"/>
  <c r="S125" i="24"/>
  <c r="R125" i="24"/>
  <c r="Q125" i="24"/>
  <c r="O125" i="24"/>
  <c r="L125" i="24"/>
  <c r="J125" i="24"/>
  <c r="I125" i="24"/>
  <c r="H125" i="24"/>
  <c r="G125" i="24"/>
  <c r="F125" i="24"/>
  <c r="E125" i="24"/>
  <c r="D125" i="24"/>
  <c r="C125" i="24"/>
  <c r="B125" i="24"/>
  <c r="A125" i="24"/>
  <c r="W124" i="24"/>
  <c r="U124" i="24"/>
  <c r="T124" i="24"/>
  <c r="S124" i="24"/>
  <c r="R124" i="24"/>
  <c r="Q124" i="24"/>
  <c r="O124" i="24"/>
  <c r="L124" i="24"/>
  <c r="F124" i="24"/>
  <c r="E124" i="24"/>
  <c r="D124" i="24"/>
  <c r="C124" i="24"/>
  <c r="B124" i="24"/>
  <c r="A124" i="24"/>
  <c r="W123" i="24"/>
  <c r="U123" i="24"/>
  <c r="T123" i="24"/>
  <c r="S123" i="24"/>
  <c r="R123" i="24"/>
  <c r="Q123" i="24"/>
  <c r="O123" i="24"/>
  <c r="L123" i="24"/>
  <c r="G123" i="24"/>
  <c r="F123" i="24"/>
  <c r="E123" i="24"/>
  <c r="D123" i="24"/>
  <c r="C123" i="24"/>
  <c r="B123" i="24"/>
  <c r="A123" i="24"/>
  <c r="W122" i="24"/>
  <c r="U122" i="24"/>
  <c r="T122" i="24"/>
  <c r="S122" i="24"/>
  <c r="R122" i="24"/>
  <c r="Q122" i="24"/>
  <c r="O122" i="24"/>
  <c r="L122" i="24"/>
  <c r="H122" i="24"/>
  <c r="G122" i="24"/>
  <c r="F122" i="24"/>
  <c r="E122" i="24"/>
  <c r="D122" i="24"/>
  <c r="C122" i="24"/>
  <c r="B122" i="24"/>
  <c r="A122" i="24"/>
  <c r="W121" i="24"/>
  <c r="U121" i="24"/>
  <c r="T121" i="24"/>
  <c r="S121" i="24"/>
  <c r="R121" i="24"/>
  <c r="Q121" i="24"/>
  <c r="O121" i="24"/>
  <c r="M121" i="24"/>
  <c r="L121" i="24"/>
  <c r="F121" i="24"/>
  <c r="E121" i="24"/>
  <c r="D121" i="24"/>
  <c r="C121" i="24"/>
  <c r="B121" i="24"/>
  <c r="A121" i="24"/>
  <c r="W120" i="24"/>
  <c r="U120" i="24"/>
  <c r="T120" i="24"/>
  <c r="S120" i="24"/>
  <c r="R120" i="24"/>
  <c r="Q120" i="24"/>
  <c r="O120" i="24"/>
  <c r="L120" i="24"/>
  <c r="G120" i="24"/>
  <c r="F120" i="24"/>
  <c r="E120" i="24"/>
  <c r="D120" i="24"/>
  <c r="C120" i="24"/>
  <c r="B120" i="24"/>
  <c r="A120" i="24"/>
  <c r="W119" i="24"/>
  <c r="U119" i="24"/>
  <c r="T119" i="24"/>
  <c r="S119" i="24"/>
  <c r="R119" i="24"/>
  <c r="Q119" i="24"/>
  <c r="O119" i="24"/>
  <c r="L119" i="24"/>
  <c r="G119" i="24"/>
  <c r="F119" i="24"/>
  <c r="E119" i="24"/>
  <c r="D119" i="24"/>
  <c r="C119" i="24"/>
  <c r="B119" i="24"/>
  <c r="A119" i="24"/>
  <c r="W118" i="24"/>
  <c r="U118" i="24"/>
  <c r="T118" i="24"/>
  <c r="S118" i="24"/>
  <c r="R118" i="24"/>
  <c r="Q118" i="24"/>
  <c r="O118" i="24"/>
  <c r="L118" i="24"/>
  <c r="G118" i="24"/>
  <c r="F118" i="24"/>
  <c r="E118" i="24"/>
  <c r="D118" i="24"/>
  <c r="C118" i="24"/>
  <c r="B118" i="24"/>
  <c r="A118" i="24"/>
  <c r="W117" i="24"/>
  <c r="V117" i="24"/>
  <c r="U117" i="24"/>
  <c r="T117" i="24"/>
  <c r="S117" i="24"/>
  <c r="R117" i="24"/>
  <c r="Q117" i="24"/>
  <c r="O117" i="24"/>
  <c r="L117" i="24"/>
  <c r="F117" i="24"/>
  <c r="E117" i="24"/>
  <c r="D117" i="24"/>
  <c r="C117" i="24"/>
  <c r="B117" i="24"/>
  <c r="A117" i="24"/>
  <c r="W116" i="24"/>
  <c r="U116" i="24"/>
  <c r="T116" i="24"/>
  <c r="S116" i="24"/>
  <c r="R116" i="24"/>
  <c r="Q116" i="24"/>
  <c r="O116" i="24"/>
  <c r="L116" i="24"/>
  <c r="H116" i="24"/>
  <c r="G116" i="24"/>
  <c r="F116" i="24"/>
  <c r="E116" i="24"/>
  <c r="D116" i="24"/>
  <c r="C116" i="24"/>
  <c r="B116" i="24"/>
  <c r="A116" i="24"/>
  <c r="W115" i="24"/>
  <c r="U115" i="24"/>
  <c r="T115" i="24"/>
  <c r="S115" i="24"/>
  <c r="R115" i="24"/>
  <c r="Q115" i="24"/>
  <c r="O115" i="24"/>
  <c r="L115" i="24"/>
  <c r="G115" i="24"/>
  <c r="F115" i="24"/>
  <c r="E115" i="24"/>
  <c r="D115" i="24"/>
  <c r="C115" i="24"/>
  <c r="B115" i="24"/>
  <c r="A115" i="24"/>
  <c r="W114" i="24"/>
  <c r="U114" i="24"/>
  <c r="T114" i="24"/>
  <c r="S114" i="24"/>
  <c r="R114" i="24"/>
  <c r="Q114" i="24"/>
  <c r="O114" i="24"/>
  <c r="L114" i="24"/>
  <c r="G114" i="24"/>
  <c r="F114" i="24"/>
  <c r="E114" i="24"/>
  <c r="D114" i="24"/>
  <c r="C114" i="24"/>
  <c r="B114" i="24"/>
  <c r="A114" i="24"/>
  <c r="W113" i="24"/>
  <c r="U113" i="24"/>
  <c r="T113" i="24"/>
  <c r="S113" i="24"/>
  <c r="R113" i="24"/>
  <c r="Q113" i="24"/>
  <c r="O113" i="24"/>
  <c r="L113" i="24"/>
  <c r="F113" i="24"/>
  <c r="E113" i="24"/>
  <c r="D113" i="24"/>
  <c r="C113" i="24"/>
  <c r="B113" i="24"/>
  <c r="A113" i="24"/>
  <c r="W112" i="24"/>
  <c r="U112" i="24"/>
  <c r="T112" i="24"/>
  <c r="S112" i="24"/>
  <c r="R112" i="24"/>
  <c r="Q112" i="24"/>
  <c r="O112" i="24"/>
  <c r="N112" i="24"/>
  <c r="M112" i="24"/>
  <c r="L112" i="24"/>
  <c r="G112" i="24"/>
  <c r="F112" i="24"/>
  <c r="E112" i="24"/>
  <c r="D112" i="24"/>
  <c r="C112" i="24"/>
  <c r="B112" i="24"/>
  <c r="A112" i="24"/>
  <c r="W111" i="24"/>
  <c r="U111" i="24"/>
  <c r="T111" i="24"/>
  <c r="S111" i="24"/>
  <c r="R111" i="24"/>
  <c r="Q111" i="24"/>
  <c r="O111" i="24"/>
  <c r="L111" i="24"/>
  <c r="G111" i="24"/>
  <c r="F111" i="24"/>
  <c r="E111" i="24"/>
  <c r="D111" i="24"/>
  <c r="C111" i="24"/>
  <c r="B111" i="24"/>
  <c r="A111" i="24"/>
  <c r="W110" i="24"/>
  <c r="U110" i="24"/>
  <c r="T110" i="24"/>
  <c r="S110" i="24"/>
  <c r="R110" i="24"/>
  <c r="Q110" i="24"/>
  <c r="O110" i="24"/>
  <c r="L110" i="24"/>
  <c r="F110" i="24"/>
  <c r="E110" i="24"/>
  <c r="D110" i="24"/>
  <c r="C110" i="24"/>
  <c r="B110" i="24"/>
  <c r="A110" i="24"/>
  <c r="W109" i="24"/>
  <c r="U109" i="24"/>
  <c r="T109" i="24"/>
  <c r="S109" i="24"/>
  <c r="R109" i="24"/>
  <c r="Q109" i="24"/>
  <c r="O109" i="24"/>
  <c r="L109" i="24"/>
  <c r="G109" i="24"/>
  <c r="F109" i="24"/>
  <c r="E109" i="24"/>
  <c r="D109" i="24"/>
  <c r="C109" i="24"/>
  <c r="B109" i="24"/>
  <c r="A109" i="24"/>
  <c r="W108" i="24"/>
  <c r="U108" i="24"/>
  <c r="T108" i="24"/>
  <c r="S108" i="24"/>
  <c r="R108" i="24"/>
  <c r="Q108" i="24"/>
  <c r="O108" i="24"/>
  <c r="M108" i="24"/>
  <c r="L108" i="24"/>
  <c r="I108" i="24"/>
  <c r="H108" i="24"/>
  <c r="G108" i="24"/>
  <c r="F108" i="24"/>
  <c r="E108" i="24"/>
  <c r="D108" i="24"/>
  <c r="C108" i="24"/>
  <c r="B108" i="24"/>
  <c r="A108" i="24"/>
  <c r="W107" i="24"/>
  <c r="U107" i="24"/>
  <c r="T107" i="24"/>
  <c r="S107" i="24"/>
  <c r="R107" i="24"/>
  <c r="Q107" i="24"/>
  <c r="O107" i="24"/>
  <c r="L107" i="24"/>
  <c r="I107" i="24"/>
  <c r="H107" i="24"/>
  <c r="G107" i="24"/>
  <c r="F107" i="24"/>
  <c r="E107" i="24"/>
  <c r="D107" i="24"/>
  <c r="C107" i="24"/>
  <c r="B107" i="24"/>
  <c r="A107" i="24"/>
  <c r="W106" i="24"/>
  <c r="U106" i="24"/>
  <c r="T106" i="24"/>
  <c r="S106" i="24"/>
  <c r="R106" i="24"/>
  <c r="Q106" i="24"/>
  <c r="O106" i="24"/>
  <c r="L106" i="24"/>
  <c r="G106" i="24"/>
  <c r="F106" i="24"/>
  <c r="E106" i="24"/>
  <c r="D106" i="24"/>
  <c r="C106" i="24"/>
  <c r="B106" i="24"/>
  <c r="A106" i="24"/>
  <c r="W105" i="24"/>
  <c r="U105" i="24"/>
  <c r="T105" i="24"/>
  <c r="S105" i="24"/>
  <c r="R105" i="24"/>
  <c r="Q105" i="24"/>
  <c r="O105" i="24"/>
  <c r="L105" i="24"/>
  <c r="G105" i="24"/>
  <c r="F105" i="24"/>
  <c r="E105" i="24"/>
  <c r="D105" i="24"/>
  <c r="C105" i="24"/>
  <c r="B105" i="24"/>
  <c r="A105" i="24"/>
  <c r="W104" i="24"/>
  <c r="U104" i="24"/>
  <c r="T104" i="24"/>
  <c r="S104" i="24"/>
  <c r="R104" i="24"/>
  <c r="Q104" i="24"/>
  <c r="O104" i="24"/>
  <c r="L104" i="24"/>
  <c r="G104" i="24"/>
  <c r="F104" i="24"/>
  <c r="E104" i="24"/>
  <c r="D104" i="24"/>
  <c r="C104" i="24"/>
  <c r="B104" i="24"/>
  <c r="A104" i="24"/>
  <c r="W103" i="24"/>
  <c r="U103" i="24"/>
  <c r="T103" i="24"/>
  <c r="S103" i="24"/>
  <c r="R103" i="24"/>
  <c r="Q103" i="24"/>
  <c r="O103" i="24"/>
  <c r="L103" i="24"/>
  <c r="G103" i="24"/>
  <c r="F103" i="24"/>
  <c r="E103" i="24"/>
  <c r="D103" i="24"/>
  <c r="C103" i="24"/>
  <c r="B103" i="24"/>
  <c r="A103" i="24"/>
  <c r="W102" i="24"/>
  <c r="U102" i="24"/>
  <c r="T102" i="24"/>
  <c r="S102" i="24"/>
  <c r="R102" i="24"/>
  <c r="Q102" i="24"/>
  <c r="O102" i="24"/>
  <c r="L102" i="24"/>
  <c r="G102" i="24"/>
  <c r="F102" i="24"/>
  <c r="E102" i="24"/>
  <c r="D102" i="24"/>
  <c r="C102" i="24"/>
  <c r="B102" i="24"/>
  <c r="A102" i="24"/>
  <c r="W101" i="24"/>
  <c r="U101" i="24"/>
  <c r="T101" i="24"/>
  <c r="S101" i="24"/>
  <c r="R101" i="24"/>
  <c r="Q101" i="24"/>
  <c r="O101" i="24"/>
  <c r="N101" i="24"/>
  <c r="M101" i="24"/>
  <c r="L101" i="24"/>
  <c r="F101" i="24"/>
  <c r="E101" i="24"/>
  <c r="D101" i="24"/>
  <c r="C101" i="24"/>
  <c r="B101" i="24"/>
  <c r="A101" i="24"/>
  <c r="W100" i="24"/>
  <c r="U100" i="24"/>
  <c r="T100" i="24"/>
  <c r="S100" i="24"/>
  <c r="R100" i="24"/>
  <c r="Q100" i="24"/>
  <c r="O100" i="24"/>
  <c r="L100" i="24"/>
  <c r="H100" i="24"/>
  <c r="G100" i="24"/>
  <c r="F100" i="24"/>
  <c r="E100" i="24"/>
  <c r="D100" i="24"/>
  <c r="C100" i="24"/>
  <c r="B100" i="24"/>
  <c r="A100" i="24"/>
  <c r="W99" i="24"/>
  <c r="U99" i="24"/>
  <c r="T99" i="24"/>
  <c r="S99" i="24"/>
  <c r="R99" i="24"/>
  <c r="Q99" i="24"/>
  <c r="O99" i="24"/>
  <c r="L99" i="24"/>
  <c r="J99" i="24"/>
  <c r="I99" i="24"/>
  <c r="H99" i="24"/>
  <c r="G99" i="24"/>
  <c r="F99" i="24"/>
  <c r="E99" i="24"/>
  <c r="D99" i="24"/>
  <c r="C99" i="24"/>
  <c r="B99" i="24"/>
  <c r="A99" i="24"/>
  <c r="W98" i="24"/>
  <c r="V98" i="24"/>
  <c r="U98" i="24"/>
  <c r="T98" i="24"/>
  <c r="S98" i="24"/>
  <c r="R98" i="24"/>
  <c r="Q98" i="24"/>
  <c r="O98" i="24"/>
  <c r="L98" i="24"/>
  <c r="G98" i="24"/>
  <c r="F98" i="24"/>
  <c r="E98" i="24"/>
  <c r="D98" i="24"/>
  <c r="C98" i="24"/>
  <c r="B98" i="24"/>
  <c r="A98" i="24"/>
  <c r="W97" i="24"/>
  <c r="U97" i="24"/>
  <c r="T97" i="24"/>
  <c r="S97" i="24"/>
  <c r="R97" i="24"/>
  <c r="Q97" i="24"/>
  <c r="O97" i="24"/>
  <c r="M97" i="24"/>
  <c r="L97" i="24"/>
  <c r="G97" i="24"/>
  <c r="F97" i="24"/>
  <c r="E97" i="24"/>
  <c r="D97" i="24"/>
  <c r="C97" i="24"/>
  <c r="B97" i="24"/>
  <c r="A97" i="24"/>
  <c r="W96" i="24"/>
  <c r="U96" i="24"/>
  <c r="T96" i="24"/>
  <c r="S96" i="24"/>
  <c r="R96" i="24"/>
  <c r="Q96" i="24"/>
  <c r="O96" i="24"/>
  <c r="L96" i="24"/>
  <c r="H96" i="24"/>
  <c r="G96" i="24"/>
  <c r="F96" i="24"/>
  <c r="E96" i="24"/>
  <c r="D96" i="24"/>
  <c r="C96" i="24"/>
  <c r="B96" i="24"/>
  <c r="A96" i="24"/>
  <c r="W95" i="24"/>
  <c r="U95" i="24"/>
  <c r="T95" i="24"/>
  <c r="S95" i="24"/>
  <c r="R95" i="24"/>
  <c r="Q95" i="24"/>
  <c r="O95" i="24"/>
  <c r="M95" i="24"/>
  <c r="L95" i="24"/>
  <c r="I95" i="24"/>
  <c r="H95" i="24"/>
  <c r="G95" i="24"/>
  <c r="F95" i="24"/>
  <c r="E95" i="24"/>
  <c r="D95" i="24"/>
  <c r="C95" i="24"/>
  <c r="B95" i="24"/>
  <c r="A95" i="24"/>
  <c r="W94" i="24"/>
  <c r="U94" i="24"/>
  <c r="T94" i="24"/>
  <c r="S94" i="24"/>
  <c r="R94" i="24"/>
  <c r="Q94" i="24"/>
  <c r="O94" i="24"/>
  <c r="L94" i="24"/>
  <c r="G94" i="24"/>
  <c r="F94" i="24"/>
  <c r="E94" i="24"/>
  <c r="D94" i="24"/>
  <c r="C94" i="24"/>
  <c r="B94" i="24"/>
  <c r="A94" i="24"/>
  <c r="W93" i="24"/>
  <c r="U93" i="24"/>
  <c r="T93" i="24"/>
  <c r="S93" i="24"/>
  <c r="R93" i="24"/>
  <c r="Q93" i="24"/>
  <c r="O93" i="24"/>
  <c r="L93" i="24"/>
  <c r="G93" i="24"/>
  <c r="F93" i="24"/>
  <c r="E93" i="24"/>
  <c r="D93" i="24"/>
  <c r="C93" i="24"/>
  <c r="B93" i="24"/>
  <c r="A93" i="24"/>
  <c r="W92" i="24"/>
  <c r="U92" i="24"/>
  <c r="T92" i="24"/>
  <c r="S92" i="24"/>
  <c r="R92" i="24"/>
  <c r="Q92" i="24"/>
  <c r="O92" i="24"/>
  <c r="L92" i="24"/>
  <c r="G92" i="24"/>
  <c r="F92" i="24"/>
  <c r="E92" i="24"/>
  <c r="D92" i="24"/>
  <c r="C92" i="24"/>
  <c r="B92" i="24"/>
  <c r="A92" i="24"/>
  <c r="W91" i="24"/>
  <c r="U91" i="24"/>
  <c r="T91" i="24"/>
  <c r="S91" i="24"/>
  <c r="R91" i="24"/>
  <c r="Q91" i="24"/>
  <c r="O91" i="24"/>
  <c r="L91" i="24"/>
  <c r="G91" i="24"/>
  <c r="F91" i="24"/>
  <c r="E91" i="24"/>
  <c r="D91" i="24"/>
  <c r="C91" i="24"/>
  <c r="B91" i="24"/>
  <c r="A91" i="24"/>
  <c r="W90" i="24"/>
  <c r="U90" i="24"/>
  <c r="T90" i="24"/>
  <c r="S90" i="24"/>
  <c r="R90" i="24"/>
  <c r="Q90" i="24"/>
  <c r="O90" i="24"/>
  <c r="L90" i="24"/>
  <c r="G90" i="24"/>
  <c r="F90" i="24"/>
  <c r="E90" i="24"/>
  <c r="D90" i="24"/>
  <c r="C90" i="24"/>
  <c r="B90" i="24"/>
  <c r="A90" i="24"/>
  <c r="W89" i="24"/>
  <c r="U89" i="24"/>
  <c r="T89" i="24"/>
  <c r="S89" i="24"/>
  <c r="R89" i="24"/>
  <c r="Q89" i="24"/>
  <c r="O89" i="24"/>
  <c r="M89" i="24"/>
  <c r="L89" i="24"/>
  <c r="I89" i="24"/>
  <c r="H89" i="24"/>
  <c r="G89" i="24"/>
  <c r="F89" i="24"/>
  <c r="E89" i="24"/>
  <c r="D89" i="24"/>
  <c r="C89" i="24"/>
  <c r="B89" i="24"/>
  <c r="A89" i="24"/>
  <c r="W88" i="24"/>
  <c r="U88" i="24"/>
  <c r="T88" i="24"/>
  <c r="S88" i="24"/>
  <c r="R88" i="24"/>
  <c r="Q88" i="24"/>
  <c r="O88" i="24"/>
  <c r="L88" i="24"/>
  <c r="I88" i="24"/>
  <c r="H88" i="24"/>
  <c r="G88" i="24"/>
  <c r="F88" i="24"/>
  <c r="E88" i="24"/>
  <c r="D88" i="24"/>
  <c r="C88" i="24"/>
  <c r="B88" i="24"/>
  <c r="A88" i="24"/>
  <c r="W87" i="24"/>
  <c r="V87" i="24"/>
  <c r="U87" i="24"/>
  <c r="T87" i="24"/>
  <c r="S87" i="24"/>
  <c r="R87" i="24"/>
  <c r="Q87" i="24"/>
  <c r="O87" i="24"/>
  <c r="L87" i="24"/>
  <c r="G87" i="24"/>
  <c r="F87" i="24"/>
  <c r="E87" i="24"/>
  <c r="D87" i="24"/>
  <c r="C87" i="24"/>
  <c r="B87" i="24"/>
  <c r="A87" i="24"/>
  <c r="W86" i="24"/>
  <c r="U86" i="24"/>
  <c r="T86" i="24"/>
  <c r="S86" i="24"/>
  <c r="R86" i="24"/>
  <c r="Q86" i="24"/>
  <c r="O86" i="24"/>
  <c r="L86" i="24"/>
  <c r="G86" i="24"/>
  <c r="F86" i="24"/>
  <c r="E86" i="24"/>
  <c r="D86" i="24"/>
  <c r="C86" i="24"/>
  <c r="B86" i="24"/>
  <c r="A86" i="24"/>
  <c r="W85" i="24"/>
  <c r="U85" i="24"/>
  <c r="T85" i="24"/>
  <c r="S85" i="24"/>
  <c r="R85" i="24"/>
  <c r="Q85" i="24"/>
  <c r="O85" i="24"/>
  <c r="L85" i="24"/>
  <c r="H85" i="24"/>
  <c r="G85" i="24"/>
  <c r="F85" i="24"/>
  <c r="E85" i="24"/>
  <c r="D85" i="24"/>
  <c r="C85" i="24"/>
  <c r="B85" i="24"/>
  <c r="A85" i="24"/>
  <c r="W84" i="24"/>
  <c r="U84" i="24"/>
  <c r="T84" i="24"/>
  <c r="S84" i="24"/>
  <c r="R84" i="24"/>
  <c r="Q84" i="24"/>
  <c r="O84" i="24"/>
  <c r="L84" i="24"/>
  <c r="H84" i="24"/>
  <c r="G84" i="24"/>
  <c r="F84" i="24"/>
  <c r="E84" i="24"/>
  <c r="D84" i="24"/>
  <c r="C84" i="24"/>
  <c r="B84" i="24"/>
  <c r="A84" i="24"/>
  <c r="W83" i="24"/>
  <c r="U83" i="24"/>
  <c r="T83" i="24"/>
  <c r="S83" i="24"/>
  <c r="R83" i="24"/>
  <c r="Q83" i="24"/>
  <c r="O83" i="24"/>
  <c r="L83" i="24"/>
  <c r="H83" i="24"/>
  <c r="G83" i="24"/>
  <c r="F83" i="24"/>
  <c r="E83" i="24"/>
  <c r="D83" i="24"/>
  <c r="C83" i="24"/>
  <c r="B83" i="24"/>
  <c r="A83" i="24"/>
  <c r="W82" i="24"/>
  <c r="U82" i="24"/>
  <c r="T82" i="24"/>
  <c r="S82" i="24"/>
  <c r="R82" i="24"/>
  <c r="Q82" i="24"/>
  <c r="O82" i="24"/>
  <c r="L82" i="24"/>
  <c r="G82" i="24"/>
  <c r="F82" i="24"/>
  <c r="E82" i="24"/>
  <c r="D82" i="24"/>
  <c r="C82" i="24"/>
  <c r="B82" i="24"/>
  <c r="A82" i="24"/>
  <c r="W81" i="24"/>
  <c r="U81" i="24"/>
  <c r="T81" i="24"/>
  <c r="S81" i="24"/>
  <c r="R81" i="24"/>
  <c r="Q81" i="24"/>
  <c r="O81" i="24"/>
  <c r="L81" i="24"/>
  <c r="G81" i="24"/>
  <c r="F81" i="24"/>
  <c r="E81" i="24"/>
  <c r="D81" i="24"/>
  <c r="C81" i="24"/>
  <c r="B81" i="24"/>
  <c r="A81" i="24"/>
  <c r="W80" i="24"/>
  <c r="U80" i="24"/>
  <c r="T80" i="24"/>
  <c r="S80" i="24"/>
  <c r="R80" i="24"/>
  <c r="Q80" i="24"/>
  <c r="O80" i="24"/>
  <c r="L80" i="24"/>
  <c r="H80" i="24"/>
  <c r="G80" i="24"/>
  <c r="F80" i="24"/>
  <c r="E80" i="24"/>
  <c r="D80" i="24"/>
  <c r="C80" i="24"/>
  <c r="B80" i="24"/>
  <c r="A80" i="24"/>
  <c r="W79" i="24"/>
  <c r="U79" i="24"/>
  <c r="T79" i="24"/>
  <c r="S79" i="24"/>
  <c r="R79" i="24"/>
  <c r="Q79" i="24"/>
  <c r="O79" i="24"/>
  <c r="L79" i="24"/>
  <c r="G79" i="24"/>
  <c r="F79" i="24"/>
  <c r="E79" i="24"/>
  <c r="D79" i="24"/>
  <c r="C79" i="24"/>
  <c r="B79" i="24"/>
  <c r="A79" i="24"/>
  <c r="W78" i="24"/>
  <c r="U78" i="24"/>
  <c r="T78" i="24"/>
  <c r="S78" i="24"/>
  <c r="R78" i="24"/>
  <c r="Q78" i="24"/>
  <c r="O78" i="24"/>
  <c r="L78" i="24"/>
  <c r="F78" i="24"/>
  <c r="E78" i="24"/>
  <c r="D78" i="24"/>
  <c r="C78" i="24"/>
  <c r="B78" i="24"/>
  <c r="A78" i="24"/>
  <c r="W77" i="24"/>
  <c r="U77" i="24"/>
  <c r="T77" i="24"/>
  <c r="S77" i="24"/>
  <c r="R77" i="24"/>
  <c r="Q77" i="24"/>
  <c r="O77" i="24"/>
  <c r="L77" i="24"/>
  <c r="H77" i="24"/>
  <c r="G77" i="24"/>
  <c r="F77" i="24"/>
  <c r="E77" i="24"/>
  <c r="D77" i="24"/>
  <c r="C77" i="24"/>
  <c r="B77" i="24"/>
  <c r="A77" i="24"/>
  <c r="W76" i="24"/>
  <c r="U76" i="24"/>
  <c r="T76" i="24"/>
  <c r="S76" i="24"/>
  <c r="R76" i="24"/>
  <c r="Q76" i="24"/>
  <c r="O76" i="24"/>
  <c r="L76" i="24"/>
  <c r="G76" i="24"/>
  <c r="F76" i="24"/>
  <c r="E76" i="24"/>
  <c r="D76" i="24"/>
  <c r="C76" i="24"/>
  <c r="B76" i="24"/>
  <c r="A76" i="24"/>
  <c r="W75" i="24"/>
  <c r="U75" i="24"/>
  <c r="T75" i="24"/>
  <c r="S75" i="24"/>
  <c r="R75" i="24"/>
  <c r="Q75" i="24"/>
  <c r="O75" i="24"/>
  <c r="L75" i="24"/>
  <c r="G75" i="24"/>
  <c r="F75" i="24"/>
  <c r="E75" i="24"/>
  <c r="D75" i="24"/>
  <c r="C75" i="24"/>
  <c r="B75" i="24"/>
  <c r="A75" i="24"/>
  <c r="W74" i="24"/>
  <c r="U74" i="24"/>
  <c r="T74" i="24"/>
  <c r="S74" i="24"/>
  <c r="R74" i="24"/>
  <c r="Q74" i="24"/>
  <c r="O74" i="24"/>
  <c r="L74" i="24"/>
  <c r="G74" i="24"/>
  <c r="F74" i="24"/>
  <c r="E74" i="24"/>
  <c r="D74" i="24"/>
  <c r="C74" i="24"/>
  <c r="B74" i="24"/>
  <c r="A74" i="24"/>
  <c r="W73" i="24"/>
  <c r="U73" i="24"/>
  <c r="T73" i="24"/>
  <c r="S73" i="24"/>
  <c r="R73" i="24"/>
  <c r="Q73" i="24"/>
  <c r="O73" i="24"/>
  <c r="L73" i="24"/>
  <c r="F73" i="24"/>
  <c r="E73" i="24"/>
  <c r="D73" i="24"/>
  <c r="C73" i="24"/>
  <c r="B73" i="24"/>
  <c r="A73" i="24"/>
  <c r="W72" i="24"/>
  <c r="U72" i="24"/>
  <c r="T72" i="24"/>
  <c r="S72" i="24"/>
  <c r="R72" i="24"/>
  <c r="Q72" i="24"/>
  <c r="O72" i="24"/>
  <c r="L72" i="24"/>
  <c r="F72" i="24"/>
  <c r="E72" i="24"/>
  <c r="D72" i="24"/>
  <c r="C72" i="24"/>
  <c r="B72" i="24"/>
  <c r="A72" i="24"/>
  <c r="W71" i="24"/>
  <c r="U71" i="24"/>
  <c r="T71" i="24"/>
  <c r="S71" i="24"/>
  <c r="R71" i="24"/>
  <c r="Q71" i="24"/>
  <c r="O71" i="24"/>
  <c r="L71" i="24"/>
  <c r="G71" i="24"/>
  <c r="F71" i="24"/>
  <c r="E71" i="24"/>
  <c r="D71" i="24"/>
  <c r="C71" i="24"/>
  <c r="B71" i="24"/>
  <c r="A71" i="24"/>
  <c r="W70" i="24"/>
  <c r="U70" i="24"/>
  <c r="T70" i="24"/>
  <c r="S70" i="24"/>
  <c r="R70" i="24"/>
  <c r="Q70" i="24"/>
  <c r="O70" i="24"/>
  <c r="L70" i="24"/>
  <c r="G70" i="24"/>
  <c r="F70" i="24"/>
  <c r="E70" i="24"/>
  <c r="D70" i="24"/>
  <c r="C70" i="24"/>
  <c r="B70" i="24"/>
  <c r="A70" i="24"/>
  <c r="W69" i="24"/>
  <c r="U69" i="24"/>
  <c r="T69" i="24"/>
  <c r="S69" i="24"/>
  <c r="R69" i="24"/>
  <c r="Q69" i="24"/>
  <c r="O69" i="24"/>
  <c r="L69" i="24"/>
  <c r="H69" i="24"/>
  <c r="G69" i="24"/>
  <c r="F69" i="24"/>
  <c r="E69" i="24"/>
  <c r="D69" i="24"/>
  <c r="C69" i="24"/>
  <c r="B69" i="24"/>
  <c r="A69" i="24"/>
  <c r="W68" i="24"/>
  <c r="U68" i="24"/>
  <c r="T68" i="24"/>
  <c r="S68" i="24"/>
  <c r="R68" i="24"/>
  <c r="Q68" i="24"/>
  <c r="O68" i="24"/>
  <c r="L68" i="24"/>
  <c r="G68" i="24"/>
  <c r="F68" i="24"/>
  <c r="E68" i="24"/>
  <c r="D68" i="24"/>
  <c r="C68" i="24"/>
  <c r="B68" i="24"/>
  <c r="A68" i="24"/>
  <c r="W67" i="24"/>
  <c r="U67" i="24"/>
  <c r="T67" i="24"/>
  <c r="S67" i="24"/>
  <c r="R67" i="24"/>
  <c r="Q67" i="24"/>
  <c r="O67" i="24"/>
  <c r="L67" i="24"/>
  <c r="H67" i="24"/>
  <c r="G67" i="24"/>
  <c r="F67" i="24"/>
  <c r="E67" i="24"/>
  <c r="D67" i="24"/>
  <c r="C67" i="24"/>
  <c r="B67" i="24"/>
  <c r="A67" i="24"/>
  <c r="W66" i="24"/>
  <c r="U66" i="24"/>
  <c r="T66" i="24"/>
  <c r="S66" i="24"/>
  <c r="R66" i="24"/>
  <c r="Q66" i="24"/>
  <c r="O66" i="24"/>
  <c r="L66" i="24"/>
  <c r="F66" i="24"/>
  <c r="E66" i="24"/>
  <c r="D66" i="24"/>
  <c r="C66" i="24"/>
  <c r="B66" i="24"/>
  <c r="A66" i="24"/>
  <c r="W65" i="24"/>
  <c r="U65" i="24"/>
  <c r="T65" i="24"/>
  <c r="S65" i="24"/>
  <c r="R65" i="24"/>
  <c r="Q65" i="24"/>
  <c r="O65" i="24"/>
  <c r="L65" i="24"/>
  <c r="H65" i="24"/>
  <c r="G65" i="24"/>
  <c r="F65" i="24"/>
  <c r="E65" i="24"/>
  <c r="D65" i="24"/>
  <c r="C65" i="24"/>
  <c r="B65" i="24"/>
  <c r="A65" i="24"/>
  <c r="W64" i="24"/>
  <c r="U64" i="24"/>
  <c r="T64" i="24"/>
  <c r="S64" i="24"/>
  <c r="R64" i="24"/>
  <c r="Q64" i="24"/>
  <c r="O64" i="24"/>
  <c r="M64" i="24"/>
  <c r="L64" i="24"/>
  <c r="H64" i="24"/>
  <c r="G64" i="24"/>
  <c r="F64" i="24"/>
  <c r="E64" i="24"/>
  <c r="D64" i="24"/>
  <c r="C64" i="24"/>
  <c r="B64" i="24"/>
  <c r="A64" i="24"/>
  <c r="W63" i="24"/>
  <c r="U63" i="24"/>
  <c r="T63" i="24"/>
  <c r="S63" i="24"/>
  <c r="R63" i="24"/>
  <c r="Q63" i="24"/>
  <c r="O63" i="24"/>
  <c r="L63" i="24"/>
  <c r="G63" i="24"/>
  <c r="F63" i="24"/>
  <c r="E63" i="24"/>
  <c r="D63" i="24"/>
  <c r="C63" i="24"/>
  <c r="B63" i="24"/>
  <c r="A63" i="24"/>
  <c r="W62" i="24"/>
  <c r="V62" i="24"/>
  <c r="U62" i="24"/>
  <c r="T62" i="24"/>
  <c r="S62" i="24"/>
  <c r="R62" i="24"/>
  <c r="Q62" i="24"/>
  <c r="P62" i="24"/>
  <c r="O62" i="24"/>
  <c r="L62" i="24"/>
  <c r="I62" i="24"/>
  <c r="H62" i="24"/>
  <c r="G62" i="24"/>
  <c r="F62" i="24"/>
  <c r="E62" i="24"/>
  <c r="D62" i="24"/>
  <c r="C62" i="24"/>
  <c r="B62" i="24"/>
  <c r="A62" i="24"/>
  <c r="W61" i="24"/>
  <c r="U61" i="24"/>
  <c r="T61" i="24"/>
  <c r="S61" i="24"/>
  <c r="R61" i="24"/>
  <c r="Q61" i="24"/>
  <c r="O61" i="24"/>
  <c r="L61" i="24"/>
  <c r="F61" i="24"/>
  <c r="E61" i="24"/>
  <c r="D61" i="24"/>
  <c r="C61" i="24"/>
  <c r="B61" i="24"/>
  <c r="A61" i="24"/>
  <c r="W60" i="24"/>
  <c r="U60" i="24"/>
  <c r="T60" i="24"/>
  <c r="S60" i="24"/>
  <c r="R60" i="24"/>
  <c r="Q60" i="24"/>
  <c r="O60" i="24"/>
  <c r="L60" i="24"/>
  <c r="G60" i="24"/>
  <c r="F60" i="24"/>
  <c r="E60" i="24"/>
  <c r="D60" i="24"/>
  <c r="C60" i="24"/>
  <c r="B60" i="24"/>
  <c r="A60" i="24"/>
  <c r="W59" i="24"/>
  <c r="U59" i="24"/>
  <c r="T59" i="24"/>
  <c r="S59" i="24"/>
  <c r="R59" i="24"/>
  <c r="Q59" i="24"/>
  <c r="O59" i="24"/>
  <c r="L59" i="24"/>
  <c r="G59" i="24"/>
  <c r="F59" i="24"/>
  <c r="E59" i="24"/>
  <c r="D59" i="24"/>
  <c r="C59" i="24"/>
  <c r="B59" i="24"/>
  <c r="A59" i="24"/>
  <c r="W58" i="24"/>
  <c r="U58" i="24"/>
  <c r="T58" i="24"/>
  <c r="S58" i="24"/>
  <c r="R58" i="24"/>
  <c r="Q58" i="24"/>
  <c r="O58" i="24"/>
  <c r="L58" i="24"/>
  <c r="G58" i="24"/>
  <c r="F58" i="24"/>
  <c r="E58" i="24"/>
  <c r="D58" i="24"/>
  <c r="C58" i="24"/>
  <c r="B58" i="24"/>
  <c r="A58" i="24"/>
  <c r="W57" i="24"/>
  <c r="U57" i="24"/>
  <c r="T57" i="24"/>
  <c r="S57" i="24"/>
  <c r="R57" i="24"/>
  <c r="Q57" i="24"/>
  <c r="P57" i="24"/>
  <c r="O57" i="24"/>
  <c r="L57" i="24"/>
  <c r="H57" i="24"/>
  <c r="G57" i="24"/>
  <c r="F57" i="24"/>
  <c r="E57" i="24"/>
  <c r="D57" i="24"/>
  <c r="C57" i="24"/>
  <c r="B57" i="24"/>
  <c r="A57" i="24"/>
  <c r="W56" i="24"/>
  <c r="U56" i="24"/>
  <c r="T56" i="24"/>
  <c r="S56" i="24"/>
  <c r="R56" i="24"/>
  <c r="Q56" i="24"/>
  <c r="O56" i="24"/>
  <c r="L56" i="24"/>
  <c r="H56" i="24"/>
  <c r="G56" i="24"/>
  <c r="F56" i="24"/>
  <c r="E56" i="24"/>
  <c r="D56" i="24"/>
  <c r="C56" i="24"/>
  <c r="B56" i="24"/>
  <c r="A56" i="24"/>
  <c r="W55" i="24"/>
  <c r="U55" i="24"/>
  <c r="T55" i="24"/>
  <c r="S55" i="24"/>
  <c r="R55" i="24"/>
  <c r="Q55" i="24"/>
  <c r="O55" i="24"/>
  <c r="L55" i="24"/>
  <c r="F55" i="24"/>
  <c r="E55" i="24"/>
  <c r="D55" i="24"/>
  <c r="C55" i="24"/>
  <c r="B55" i="24"/>
  <c r="A55" i="24"/>
  <c r="W54" i="24"/>
  <c r="U54" i="24"/>
  <c r="T54" i="24"/>
  <c r="S54" i="24"/>
  <c r="R54" i="24"/>
  <c r="Q54" i="24"/>
  <c r="O54" i="24"/>
  <c r="L54" i="24"/>
  <c r="I54" i="24"/>
  <c r="H54" i="24"/>
  <c r="G54" i="24"/>
  <c r="F54" i="24"/>
  <c r="E54" i="24"/>
  <c r="D54" i="24"/>
  <c r="C54" i="24"/>
  <c r="B54" i="24"/>
  <c r="A54" i="24"/>
  <c r="W53" i="24"/>
  <c r="U53" i="24"/>
  <c r="T53" i="24"/>
  <c r="S53" i="24"/>
  <c r="R53" i="24"/>
  <c r="Q53" i="24"/>
  <c r="O53" i="24"/>
  <c r="L53" i="24"/>
  <c r="F53" i="24"/>
  <c r="E53" i="24"/>
  <c r="D53" i="24"/>
  <c r="C53" i="24"/>
  <c r="B53" i="24"/>
  <c r="A53" i="24"/>
  <c r="W52" i="24"/>
  <c r="U52" i="24"/>
  <c r="T52" i="24"/>
  <c r="S52" i="24"/>
  <c r="R52" i="24"/>
  <c r="Q52" i="24"/>
  <c r="O52" i="24"/>
  <c r="L52" i="24"/>
  <c r="H52" i="24"/>
  <c r="G52" i="24"/>
  <c r="F52" i="24"/>
  <c r="E52" i="24"/>
  <c r="D52" i="24"/>
  <c r="C52" i="24"/>
  <c r="B52" i="24"/>
  <c r="A52" i="24"/>
  <c r="W51" i="24"/>
  <c r="U51" i="24"/>
  <c r="T51" i="24"/>
  <c r="S51" i="24"/>
  <c r="R51" i="24"/>
  <c r="Q51" i="24"/>
  <c r="O51" i="24"/>
  <c r="L51" i="24"/>
  <c r="I51" i="24"/>
  <c r="H51" i="24"/>
  <c r="G51" i="24"/>
  <c r="F51" i="24"/>
  <c r="E51" i="24"/>
  <c r="D51" i="24"/>
  <c r="C51" i="24"/>
  <c r="B51" i="24"/>
  <c r="A51" i="24"/>
  <c r="W50" i="24"/>
  <c r="U50" i="24"/>
  <c r="T50" i="24"/>
  <c r="S50" i="24"/>
  <c r="R50" i="24"/>
  <c r="Q50" i="24"/>
  <c r="O50" i="24"/>
  <c r="L50" i="24"/>
  <c r="F50" i="24"/>
  <c r="E50" i="24"/>
  <c r="D50" i="24"/>
  <c r="C50" i="24"/>
  <c r="B50" i="24"/>
  <c r="A50" i="24"/>
  <c r="W49" i="24"/>
  <c r="U49" i="24"/>
  <c r="T49" i="24"/>
  <c r="S49" i="24"/>
  <c r="R49" i="24"/>
  <c r="Q49" i="24"/>
  <c r="O49" i="24"/>
  <c r="L49" i="24"/>
  <c r="H49" i="24"/>
  <c r="G49" i="24"/>
  <c r="F49" i="24"/>
  <c r="E49" i="24"/>
  <c r="D49" i="24"/>
  <c r="C49" i="24"/>
  <c r="B49" i="24"/>
  <c r="A49" i="24"/>
  <c r="W48" i="24"/>
  <c r="U48" i="24"/>
  <c r="T48" i="24"/>
  <c r="S48" i="24"/>
  <c r="R48" i="24"/>
  <c r="Q48" i="24"/>
  <c r="O48" i="24"/>
  <c r="L48" i="24"/>
  <c r="G48" i="24"/>
  <c r="F48" i="24"/>
  <c r="E48" i="24"/>
  <c r="D48" i="24"/>
  <c r="C48" i="24"/>
  <c r="B48" i="24"/>
  <c r="A48" i="24"/>
  <c r="W47" i="24"/>
  <c r="U47" i="24"/>
  <c r="T47" i="24"/>
  <c r="S47" i="24"/>
  <c r="R47" i="24"/>
  <c r="Q47" i="24"/>
  <c r="O47" i="24"/>
  <c r="L47" i="24"/>
  <c r="H47" i="24"/>
  <c r="G47" i="24"/>
  <c r="F47" i="24"/>
  <c r="E47" i="24"/>
  <c r="D47" i="24"/>
  <c r="C47" i="24"/>
  <c r="B47" i="24"/>
  <c r="A47" i="24"/>
  <c r="W46" i="24"/>
  <c r="U46" i="24"/>
  <c r="T46" i="24"/>
  <c r="S46" i="24"/>
  <c r="R46" i="24"/>
  <c r="Q46" i="24"/>
  <c r="O46" i="24"/>
  <c r="L46" i="24"/>
  <c r="G46" i="24"/>
  <c r="F46" i="24"/>
  <c r="E46" i="24"/>
  <c r="D46" i="24"/>
  <c r="C46" i="24"/>
  <c r="B46" i="24"/>
  <c r="A46" i="24"/>
  <c r="W45" i="24"/>
  <c r="U45" i="24"/>
  <c r="T45" i="24"/>
  <c r="S45" i="24"/>
  <c r="R45" i="24"/>
  <c r="Q45" i="24"/>
  <c r="O45" i="24"/>
  <c r="L45" i="24"/>
  <c r="F45" i="24"/>
  <c r="E45" i="24"/>
  <c r="D45" i="24"/>
  <c r="C45" i="24"/>
  <c r="B45" i="24"/>
  <c r="A45" i="24"/>
  <c r="W44" i="24"/>
  <c r="U44" i="24"/>
  <c r="T44" i="24"/>
  <c r="S44" i="24"/>
  <c r="R44" i="24"/>
  <c r="Q44" i="24"/>
  <c r="O44" i="24"/>
  <c r="L44" i="24"/>
  <c r="G44" i="24"/>
  <c r="F44" i="24"/>
  <c r="E44" i="24"/>
  <c r="D44" i="24"/>
  <c r="C44" i="24"/>
  <c r="B44" i="24"/>
  <c r="A44" i="24"/>
  <c r="W43" i="24"/>
  <c r="U43" i="24"/>
  <c r="T43" i="24"/>
  <c r="S43" i="24"/>
  <c r="R43" i="24"/>
  <c r="Q43" i="24"/>
  <c r="O43" i="24"/>
  <c r="L43" i="24"/>
  <c r="H43" i="24"/>
  <c r="G43" i="24"/>
  <c r="F43" i="24"/>
  <c r="E43" i="24"/>
  <c r="D43" i="24"/>
  <c r="C43" i="24"/>
  <c r="B43" i="24"/>
  <c r="A43" i="24"/>
  <c r="W42" i="24"/>
  <c r="U42" i="24"/>
  <c r="T42" i="24"/>
  <c r="S42" i="24"/>
  <c r="R42" i="24"/>
  <c r="Q42" i="24"/>
  <c r="O42" i="24"/>
  <c r="L42" i="24"/>
  <c r="G42" i="24"/>
  <c r="F42" i="24"/>
  <c r="E42" i="24"/>
  <c r="D42" i="24"/>
  <c r="C42" i="24"/>
  <c r="B42" i="24"/>
  <c r="A42" i="24"/>
  <c r="W41" i="24"/>
  <c r="U41" i="24"/>
  <c r="T41" i="24"/>
  <c r="S41" i="24"/>
  <c r="R41" i="24"/>
  <c r="Q41" i="24"/>
  <c r="O41" i="24"/>
  <c r="L41" i="24"/>
  <c r="I41" i="24"/>
  <c r="H41" i="24"/>
  <c r="G41" i="24"/>
  <c r="F41" i="24"/>
  <c r="E41" i="24"/>
  <c r="D41" i="24"/>
  <c r="C41" i="24"/>
  <c r="B41" i="24"/>
  <c r="A41" i="24"/>
  <c r="W40" i="24"/>
  <c r="U40" i="24"/>
  <c r="T40" i="24"/>
  <c r="S40" i="24"/>
  <c r="R40" i="24"/>
  <c r="Q40" i="24"/>
  <c r="O40" i="24"/>
  <c r="L40" i="24"/>
  <c r="J40" i="24"/>
  <c r="I40" i="24"/>
  <c r="H40" i="24"/>
  <c r="G40" i="24"/>
  <c r="F40" i="24"/>
  <c r="E40" i="24"/>
  <c r="D40" i="24"/>
  <c r="C40" i="24"/>
  <c r="B40" i="24"/>
  <c r="A40" i="24"/>
  <c r="W39" i="24"/>
  <c r="U39" i="24"/>
  <c r="T39" i="24"/>
  <c r="S39" i="24"/>
  <c r="R39" i="24"/>
  <c r="Q39" i="24"/>
  <c r="O39" i="24"/>
  <c r="M39" i="24"/>
  <c r="L39" i="24"/>
  <c r="I39" i="24"/>
  <c r="H39" i="24"/>
  <c r="G39" i="24"/>
  <c r="F39" i="24"/>
  <c r="E39" i="24"/>
  <c r="D39" i="24"/>
  <c r="C39" i="24"/>
  <c r="B39" i="24"/>
  <c r="A39" i="24"/>
  <c r="W38" i="24"/>
  <c r="U38" i="24"/>
  <c r="T38" i="24"/>
  <c r="S38" i="24"/>
  <c r="R38" i="24"/>
  <c r="Q38" i="24"/>
  <c r="O38" i="24"/>
  <c r="L38" i="24"/>
  <c r="I38" i="24"/>
  <c r="H38" i="24"/>
  <c r="G38" i="24"/>
  <c r="F38" i="24"/>
  <c r="E38" i="24"/>
  <c r="D38" i="24"/>
  <c r="C38" i="24"/>
  <c r="B38" i="24"/>
  <c r="A38" i="24"/>
  <c r="W37" i="24"/>
  <c r="U37" i="24"/>
  <c r="T37" i="24"/>
  <c r="S37" i="24"/>
  <c r="R37" i="24"/>
  <c r="Q37" i="24"/>
  <c r="O37" i="24"/>
  <c r="M37" i="24"/>
  <c r="L37" i="24"/>
  <c r="G37" i="24"/>
  <c r="F37" i="24"/>
  <c r="E37" i="24"/>
  <c r="D37" i="24"/>
  <c r="C37" i="24"/>
  <c r="B37" i="24"/>
  <c r="A37" i="24"/>
  <c r="W36" i="24"/>
  <c r="U36" i="24"/>
  <c r="T36" i="24"/>
  <c r="S36" i="24"/>
  <c r="R36" i="24"/>
  <c r="Q36" i="24"/>
  <c r="O36" i="24"/>
  <c r="L36" i="24"/>
  <c r="I36" i="24"/>
  <c r="H36" i="24"/>
  <c r="G36" i="24"/>
  <c r="F36" i="24"/>
  <c r="E36" i="24"/>
  <c r="D36" i="24"/>
  <c r="C36" i="24"/>
  <c r="B36" i="24"/>
  <c r="A36" i="24"/>
  <c r="W35" i="24"/>
  <c r="V35" i="24"/>
  <c r="U35" i="24"/>
  <c r="T35" i="24"/>
  <c r="S35" i="24"/>
  <c r="R35" i="24"/>
  <c r="Q35" i="24"/>
  <c r="O35" i="24"/>
  <c r="L35" i="24"/>
  <c r="H35" i="24"/>
  <c r="G35" i="24"/>
  <c r="F35" i="24"/>
  <c r="E35" i="24"/>
  <c r="D35" i="24"/>
  <c r="C35" i="24"/>
  <c r="B35" i="24"/>
  <c r="A35" i="24"/>
  <c r="W34" i="24"/>
  <c r="U34" i="24"/>
  <c r="T34" i="24"/>
  <c r="S34" i="24"/>
  <c r="R34" i="24"/>
  <c r="Q34" i="24"/>
  <c r="O34" i="24"/>
  <c r="L34" i="24"/>
  <c r="F34" i="24"/>
  <c r="E34" i="24"/>
  <c r="D34" i="24"/>
  <c r="C34" i="24"/>
  <c r="B34" i="24"/>
  <c r="A34" i="24"/>
  <c r="W33" i="24"/>
  <c r="U33" i="24"/>
  <c r="T33" i="24"/>
  <c r="S33" i="24"/>
  <c r="R33" i="24"/>
  <c r="Q33" i="24"/>
  <c r="O33" i="24"/>
  <c r="L33" i="24"/>
  <c r="J33" i="24"/>
  <c r="I33" i="24"/>
  <c r="H33" i="24"/>
  <c r="G33" i="24"/>
  <c r="F33" i="24"/>
  <c r="E33" i="24"/>
  <c r="D33" i="24"/>
  <c r="C33" i="24"/>
  <c r="B33" i="24"/>
  <c r="A33" i="24"/>
  <c r="W32" i="24"/>
  <c r="U32" i="24"/>
  <c r="T32" i="24"/>
  <c r="S32" i="24"/>
  <c r="R32" i="24"/>
  <c r="Q32" i="24"/>
  <c r="O32" i="24"/>
  <c r="M32" i="24"/>
  <c r="L32" i="24"/>
  <c r="H32" i="24"/>
  <c r="G32" i="24"/>
  <c r="F32" i="24"/>
  <c r="E32" i="24"/>
  <c r="D32" i="24"/>
  <c r="C32" i="24"/>
  <c r="B32" i="24"/>
  <c r="A32" i="24"/>
  <c r="W31" i="24"/>
  <c r="U31" i="24"/>
  <c r="T31" i="24"/>
  <c r="S31" i="24"/>
  <c r="R31" i="24"/>
  <c r="Q31" i="24"/>
  <c r="O31" i="24"/>
  <c r="L31" i="24"/>
  <c r="H31" i="24"/>
  <c r="G31" i="24"/>
  <c r="F31" i="24"/>
  <c r="E31" i="24"/>
  <c r="D31" i="24"/>
  <c r="C31" i="24"/>
  <c r="B31" i="24"/>
  <c r="A31" i="24"/>
  <c r="W30" i="24"/>
  <c r="U30" i="24"/>
  <c r="T30" i="24"/>
  <c r="S30" i="24"/>
  <c r="R30" i="24"/>
  <c r="Q30" i="24"/>
  <c r="O30" i="24"/>
  <c r="L30" i="24"/>
  <c r="H30" i="24"/>
  <c r="G30" i="24"/>
  <c r="F30" i="24"/>
  <c r="E30" i="24"/>
  <c r="D30" i="24"/>
  <c r="C30" i="24"/>
  <c r="B30" i="24"/>
  <c r="A30" i="24"/>
  <c r="W29" i="24"/>
  <c r="U29" i="24"/>
  <c r="T29" i="24"/>
  <c r="S29" i="24"/>
  <c r="R29" i="24"/>
  <c r="Q29" i="24"/>
  <c r="O29" i="24"/>
  <c r="L29" i="24"/>
  <c r="G29" i="24"/>
  <c r="F29" i="24"/>
  <c r="E29" i="24"/>
  <c r="D29" i="24"/>
  <c r="C29" i="24"/>
  <c r="B29" i="24"/>
  <c r="A29" i="24"/>
  <c r="W28" i="24"/>
  <c r="U28" i="24"/>
  <c r="T28" i="24"/>
  <c r="S28" i="24"/>
  <c r="R28" i="24"/>
  <c r="Q28" i="24"/>
  <c r="P28" i="24"/>
  <c r="O28" i="24"/>
  <c r="L28" i="24"/>
  <c r="G28" i="24"/>
  <c r="F28" i="24"/>
  <c r="E28" i="24"/>
  <c r="D28" i="24"/>
  <c r="C28" i="24"/>
  <c r="B28" i="24"/>
  <c r="A28" i="24"/>
  <c r="W27" i="24"/>
  <c r="U27" i="24"/>
  <c r="T27" i="24"/>
  <c r="S27" i="24"/>
  <c r="R27" i="24"/>
  <c r="Q27" i="24"/>
  <c r="O27" i="24"/>
  <c r="N27" i="24"/>
  <c r="M27" i="24"/>
  <c r="L27" i="24"/>
  <c r="G27" i="24"/>
  <c r="F27" i="24"/>
  <c r="E27" i="24"/>
  <c r="D27" i="24"/>
  <c r="C27" i="24"/>
  <c r="B27" i="24"/>
  <c r="A27" i="24"/>
  <c r="W26" i="24"/>
  <c r="U26" i="24"/>
  <c r="T26" i="24"/>
  <c r="S26" i="24"/>
  <c r="R26" i="24"/>
  <c r="Q26" i="24"/>
  <c r="O26" i="24"/>
  <c r="M26" i="24"/>
  <c r="L26" i="24"/>
  <c r="I26" i="24"/>
  <c r="H26" i="24"/>
  <c r="G26" i="24"/>
  <c r="F26" i="24"/>
  <c r="E26" i="24"/>
  <c r="D26" i="24"/>
  <c r="C26" i="24"/>
  <c r="B26" i="24"/>
  <c r="A26" i="24"/>
  <c r="W25" i="24"/>
  <c r="U25" i="24"/>
  <c r="T25" i="24"/>
  <c r="S25" i="24"/>
  <c r="R25" i="24"/>
  <c r="Q25" i="24"/>
  <c r="O25" i="24"/>
  <c r="L25" i="24"/>
  <c r="G25" i="24"/>
  <c r="F25" i="24"/>
  <c r="E25" i="24"/>
  <c r="D25" i="24"/>
  <c r="C25" i="24"/>
  <c r="B25" i="24"/>
  <c r="A25" i="24"/>
  <c r="W24" i="24"/>
  <c r="U24" i="24"/>
  <c r="T24" i="24"/>
  <c r="S24" i="24"/>
  <c r="R24" i="24"/>
  <c r="Q24" i="24"/>
  <c r="O24" i="24"/>
  <c r="L24" i="24"/>
  <c r="F24" i="24"/>
  <c r="E24" i="24"/>
  <c r="D24" i="24"/>
  <c r="C24" i="24"/>
  <c r="B24" i="24"/>
  <c r="A24" i="24"/>
  <c r="W23" i="24"/>
  <c r="U23" i="24"/>
  <c r="T23" i="24"/>
  <c r="S23" i="24"/>
  <c r="R23" i="24"/>
  <c r="Q23" i="24"/>
  <c r="O23" i="24"/>
  <c r="L23" i="24"/>
  <c r="F23" i="24"/>
  <c r="E23" i="24"/>
  <c r="D23" i="24"/>
  <c r="C23" i="24"/>
  <c r="B23" i="24"/>
  <c r="A23" i="24"/>
  <c r="W22" i="24"/>
  <c r="U22" i="24"/>
  <c r="T22" i="24"/>
  <c r="S22" i="24"/>
  <c r="R22" i="24"/>
  <c r="Q22" i="24"/>
  <c r="O22" i="24"/>
  <c r="L22" i="24"/>
  <c r="H22" i="24"/>
  <c r="G22" i="24"/>
  <c r="F22" i="24"/>
  <c r="E22" i="24"/>
  <c r="D22" i="24"/>
  <c r="C22" i="24"/>
  <c r="B22" i="24"/>
  <c r="A22" i="24"/>
  <c r="W21" i="24"/>
  <c r="U21" i="24"/>
  <c r="T21" i="24"/>
  <c r="S21" i="24"/>
  <c r="R21" i="24"/>
  <c r="Q21" i="24"/>
  <c r="O21" i="24"/>
  <c r="L21" i="24"/>
  <c r="F21" i="24"/>
  <c r="E21" i="24"/>
  <c r="D21" i="24"/>
  <c r="C21" i="24"/>
  <c r="B21" i="24"/>
  <c r="A21" i="24"/>
  <c r="W20" i="24"/>
  <c r="U20" i="24"/>
  <c r="T20" i="24"/>
  <c r="S20" i="24"/>
  <c r="R20" i="24"/>
  <c r="Q20" i="24"/>
  <c r="O20" i="24"/>
  <c r="L20" i="24"/>
  <c r="H20" i="24"/>
  <c r="G20" i="24"/>
  <c r="F20" i="24"/>
  <c r="E20" i="24"/>
  <c r="D20" i="24"/>
  <c r="C20" i="24"/>
  <c r="B20" i="24"/>
  <c r="A20" i="24"/>
  <c r="W19" i="24"/>
  <c r="U19" i="24"/>
  <c r="T19" i="24"/>
  <c r="S19" i="24"/>
  <c r="R19" i="24"/>
  <c r="Q19" i="24"/>
  <c r="O19" i="24"/>
  <c r="L19" i="24"/>
  <c r="G19" i="24"/>
  <c r="F19" i="24"/>
  <c r="E19" i="24"/>
  <c r="D19" i="24"/>
  <c r="C19" i="24"/>
  <c r="B19" i="24"/>
  <c r="A19" i="24"/>
  <c r="W18" i="24"/>
  <c r="U18" i="24"/>
  <c r="T18" i="24"/>
  <c r="S18" i="24"/>
  <c r="R18" i="24"/>
  <c r="Q18" i="24"/>
  <c r="P18" i="24"/>
  <c r="O18" i="24"/>
  <c r="L18" i="24"/>
  <c r="G18" i="24"/>
  <c r="F18" i="24"/>
  <c r="E18" i="24"/>
  <c r="D18" i="24"/>
  <c r="C18" i="24"/>
  <c r="B18" i="24"/>
  <c r="A18" i="24"/>
  <c r="W17" i="24"/>
  <c r="U17" i="24"/>
  <c r="T17" i="24"/>
  <c r="S17" i="24"/>
  <c r="R17" i="24"/>
  <c r="Q17" i="24"/>
  <c r="O17" i="24"/>
  <c r="M17" i="24"/>
  <c r="L17" i="24"/>
  <c r="G17" i="24"/>
  <c r="F17" i="24"/>
  <c r="E17" i="24"/>
  <c r="D17" i="24"/>
  <c r="C17" i="24"/>
  <c r="B17" i="24"/>
  <c r="A17" i="24"/>
  <c r="W16" i="24"/>
  <c r="U16" i="24"/>
  <c r="T16" i="24"/>
  <c r="S16" i="24"/>
  <c r="R16" i="24"/>
  <c r="Q16" i="24"/>
  <c r="O16" i="24"/>
  <c r="L16" i="24"/>
  <c r="G16" i="24"/>
  <c r="F16" i="24"/>
  <c r="E16" i="24"/>
  <c r="D16" i="24"/>
  <c r="C16" i="24"/>
  <c r="B16" i="24"/>
  <c r="A16" i="24"/>
  <c r="W15" i="24"/>
  <c r="U15" i="24"/>
  <c r="T15" i="24"/>
  <c r="S15" i="24"/>
  <c r="R15" i="24"/>
  <c r="Q15" i="24"/>
  <c r="O15" i="24"/>
  <c r="L15" i="24"/>
  <c r="H15" i="24"/>
  <c r="G15" i="24"/>
  <c r="F15" i="24"/>
  <c r="E15" i="24"/>
  <c r="D15" i="24"/>
  <c r="C15" i="24"/>
  <c r="B15" i="24"/>
  <c r="A15" i="24"/>
  <c r="W14" i="24"/>
  <c r="U14" i="24"/>
  <c r="T14" i="24"/>
  <c r="S14" i="24"/>
  <c r="R14" i="24"/>
  <c r="Q14" i="24"/>
  <c r="O14" i="24"/>
  <c r="L14" i="24"/>
  <c r="G14" i="24"/>
  <c r="F14" i="24"/>
  <c r="E14" i="24"/>
  <c r="D14" i="24"/>
  <c r="C14" i="24"/>
  <c r="B14" i="24"/>
  <c r="A14" i="24"/>
  <c r="W13" i="24"/>
  <c r="U13" i="24"/>
  <c r="T13" i="24"/>
  <c r="S13" i="24"/>
  <c r="R13" i="24"/>
  <c r="Q13" i="24"/>
  <c r="P13" i="24"/>
  <c r="O13" i="24"/>
  <c r="L13" i="24"/>
  <c r="F13" i="24"/>
  <c r="E13" i="24"/>
  <c r="D13" i="24"/>
  <c r="C13" i="24"/>
  <c r="B13" i="24"/>
  <c r="A13" i="24"/>
  <c r="W12" i="24"/>
  <c r="U12" i="24"/>
  <c r="T12" i="24"/>
  <c r="S12" i="24"/>
  <c r="R12" i="24"/>
  <c r="Q12" i="24"/>
  <c r="O12" i="24"/>
  <c r="L12" i="24"/>
  <c r="H12" i="24"/>
  <c r="G12" i="24"/>
  <c r="F12" i="24"/>
  <c r="E12" i="24"/>
  <c r="D12" i="24"/>
  <c r="C12" i="24"/>
  <c r="B12" i="24"/>
  <c r="A12" i="24"/>
  <c r="W11" i="24"/>
  <c r="U11" i="24"/>
  <c r="T11" i="24"/>
  <c r="S11" i="24"/>
  <c r="R11" i="24"/>
  <c r="Q11" i="24"/>
  <c r="O11" i="24"/>
  <c r="L11" i="24"/>
  <c r="F11" i="24"/>
  <c r="E11" i="24"/>
  <c r="D11" i="24"/>
  <c r="C11" i="24"/>
  <c r="B11" i="24"/>
  <c r="A11" i="24"/>
  <c r="W10" i="24"/>
  <c r="U10" i="24"/>
  <c r="T10" i="24"/>
  <c r="S10" i="24"/>
  <c r="R10" i="24"/>
  <c r="Q10" i="24"/>
  <c r="O10" i="24"/>
  <c r="L10" i="24"/>
  <c r="G10" i="24"/>
  <c r="F10" i="24"/>
  <c r="E10" i="24"/>
  <c r="D10" i="24"/>
  <c r="C10" i="24"/>
  <c r="B10" i="24"/>
  <c r="A10" i="24"/>
  <c r="W9" i="24"/>
  <c r="U9" i="24"/>
  <c r="T9" i="24"/>
  <c r="S9" i="24"/>
  <c r="R9" i="24"/>
  <c r="Q9" i="24"/>
  <c r="O9" i="24"/>
  <c r="L9" i="24"/>
  <c r="G9" i="24"/>
  <c r="F9" i="24"/>
  <c r="E9" i="24"/>
  <c r="D9" i="24"/>
  <c r="C9" i="24"/>
  <c r="B9" i="24"/>
  <c r="A9" i="24"/>
  <c r="W8" i="24"/>
  <c r="U8" i="24"/>
  <c r="T8" i="24"/>
  <c r="S8" i="24"/>
  <c r="R8" i="24"/>
  <c r="Q8" i="24"/>
  <c r="O8" i="24"/>
  <c r="L8" i="24"/>
  <c r="F8" i="24"/>
  <c r="E8" i="24"/>
  <c r="D8" i="24"/>
  <c r="C8" i="24"/>
  <c r="B8" i="24"/>
  <c r="A8" i="24"/>
  <c r="W7" i="24"/>
  <c r="U7" i="24"/>
  <c r="T7" i="24"/>
  <c r="S7" i="24"/>
  <c r="R7" i="24"/>
  <c r="Q7" i="24"/>
  <c r="O7" i="24"/>
  <c r="L7" i="24"/>
  <c r="G7" i="24"/>
  <c r="F7" i="24"/>
  <c r="E7" i="24"/>
  <c r="D7" i="24"/>
  <c r="C7" i="24"/>
  <c r="B7" i="24"/>
  <c r="A7" i="24"/>
  <c r="W6" i="24"/>
  <c r="U6" i="24"/>
  <c r="T6" i="24"/>
  <c r="S6" i="24"/>
  <c r="R6" i="24"/>
  <c r="Q6" i="24"/>
  <c r="O6" i="24"/>
  <c r="L6" i="24"/>
  <c r="G6" i="24"/>
  <c r="F6" i="24"/>
  <c r="E6" i="24"/>
  <c r="D6" i="24"/>
  <c r="C6" i="24"/>
  <c r="B6" i="24"/>
  <c r="A6" i="24"/>
  <c r="W5" i="24"/>
  <c r="U5" i="24"/>
  <c r="T5" i="24"/>
  <c r="S5" i="24"/>
  <c r="R5" i="24"/>
  <c r="Q5" i="24"/>
  <c r="O5" i="24"/>
  <c r="L5" i="24"/>
  <c r="F5" i="24"/>
  <c r="E5" i="24"/>
  <c r="D5" i="24"/>
  <c r="C5" i="24"/>
  <c r="B5" i="24"/>
  <c r="A5" i="24"/>
  <c r="W4" i="24"/>
  <c r="U4" i="24"/>
  <c r="T4" i="24"/>
  <c r="S4" i="24"/>
  <c r="R4" i="24"/>
  <c r="Q4" i="24"/>
  <c r="O4" i="24"/>
  <c r="L4" i="24"/>
  <c r="F4" i="24"/>
  <c r="E4" i="24"/>
  <c r="D4" i="24"/>
  <c r="C4" i="24"/>
  <c r="B4" i="24"/>
  <c r="A4" i="24"/>
  <c r="W3" i="24"/>
  <c r="U3" i="24"/>
  <c r="T3" i="24"/>
  <c r="S3" i="24"/>
  <c r="R3" i="24"/>
  <c r="Q3" i="24"/>
  <c r="O3" i="24"/>
  <c r="L3" i="24"/>
  <c r="H3" i="24"/>
  <c r="G3" i="24"/>
  <c r="F3" i="24"/>
  <c r="E3" i="24"/>
  <c r="D3" i="24"/>
  <c r="C3" i="24"/>
  <c r="B3" i="24"/>
  <c r="A3" i="24"/>
  <c r="W2" i="24"/>
  <c r="U2" i="24"/>
  <c r="T2" i="24"/>
  <c r="S2" i="24"/>
  <c r="R2" i="24"/>
  <c r="Q2" i="24"/>
  <c r="O2" i="24"/>
  <c r="L2" i="24"/>
  <c r="H2" i="24"/>
  <c r="G2" i="24"/>
  <c r="F2" i="24"/>
  <c r="E2" i="24"/>
  <c r="D2" i="24"/>
  <c r="C2" i="24"/>
  <c r="B2" i="24"/>
  <c r="A2" i="24"/>
  <c r="W1" i="24"/>
  <c r="U1" i="24"/>
  <c r="S1" i="24"/>
  <c r="R1" i="24"/>
  <c r="Q1" i="24"/>
  <c r="P1" i="24"/>
  <c r="O1" i="24"/>
  <c r="N1" i="24"/>
  <c r="M1" i="24"/>
  <c r="L1" i="24"/>
  <c r="K1" i="24"/>
  <c r="J1" i="24"/>
  <c r="I1" i="24"/>
  <c r="H1" i="24"/>
  <c r="G1" i="24"/>
  <c r="F1" i="24"/>
  <c r="E1" i="24"/>
  <c r="D1" i="24"/>
  <c r="C1" i="24"/>
  <c r="B1" i="24"/>
  <c r="A1" i="24"/>
  <c r="R1476" i="22" a="1"/>
  <c r="R1476" i="22" s="1"/>
  <c r="S1475" i="22"/>
  <c r="S1474" i="22"/>
  <c r="S1470" i="22"/>
  <c r="S1467" i="22"/>
  <c r="S1464" i="22"/>
  <c r="S1463" i="22"/>
  <c r="S1462" i="22"/>
  <c r="S1461" i="22"/>
  <c r="S1459" i="22"/>
  <c r="S1457" i="22"/>
  <c r="S1456" i="22"/>
  <c r="S1455" i="22"/>
  <c r="S1453" i="22"/>
  <c r="S1452" i="22"/>
  <c r="S1450" i="22"/>
  <c r="S1449" i="22"/>
  <c r="R1447" i="22" a="1"/>
  <c r="R1447" i="22"/>
  <c r="S1443" i="22"/>
  <c r="R1441" i="22" a="1"/>
  <c r="R1441" i="22"/>
  <c r="S1439" i="22"/>
  <c r="S1437" i="22"/>
  <c r="S1435" i="22"/>
  <c r="S1434" i="22"/>
  <c r="S1432" i="22"/>
  <c r="S1431" i="22"/>
  <c r="S1429" i="22"/>
  <c r="S1428" i="22"/>
  <c r="S1426" i="22"/>
  <c r="S1425" i="22"/>
  <c r="S1424" i="22"/>
  <c r="S1417" i="22"/>
  <c r="S1412" i="22"/>
  <c r="R1411" i="22" a="1"/>
  <c r="R1411" i="22"/>
  <c r="Q1411" i="22" a="1"/>
  <c r="Q1411" i="22" s="1"/>
  <c r="S1410" i="22"/>
  <c r="S1407" i="22"/>
  <c r="S1406" i="22"/>
  <c r="S1405" i="22"/>
  <c r="S1403" i="22"/>
  <c r="S1400" i="22"/>
  <c r="S1399" i="22"/>
  <c r="S1393" i="22"/>
  <c r="S1392" i="22"/>
  <c r="S1391" i="22"/>
  <c r="S1390" i="22"/>
  <c r="S1389" i="22"/>
  <c r="S1376" i="22"/>
  <c r="S1375" i="22"/>
  <c r="S1374" i="22"/>
  <c r="S1370" i="22"/>
  <c r="S1369" i="22"/>
  <c r="S1365" i="22"/>
  <c r="S1364" i="22"/>
  <c r="S1363" i="22"/>
  <c r="S1356" i="22"/>
  <c r="S1355" i="22"/>
  <c r="S1354" i="22"/>
  <c r="S1353" i="22"/>
  <c r="S1352" i="22"/>
  <c r="S1351" i="22"/>
  <c r="S1350" i="22"/>
  <c r="S1347" i="22"/>
  <c r="S1345" i="22"/>
  <c r="S1342" i="22"/>
  <c r="S1341" i="22"/>
  <c r="R1340" i="22" a="1"/>
  <c r="R1340" i="22" s="1"/>
  <c r="J1340" i="22"/>
  <c r="S1339" i="22"/>
  <c r="J1338" i="22"/>
  <c r="S1337" i="22"/>
  <c r="S1336" i="22"/>
  <c r="S1331" i="22"/>
  <c r="S1330" i="22"/>
  <c r="S1329" i="22"/>
  <c r="S1328" i="22"/>
  <c r="S1327" i="22"/>
  <c r="S1324" i="22"/>
  <c r="S1323" i="22"/>
  <c r="S1320" i="22"/>
  <c r="S1313" i="22"/>
  <c r="S1312" i="22"/>
  <c r="S1311" i="22"/>
  <c r="S1310" i="22"/>
  <c r="S1309" i="22"/>
  <c r="S1307" i="22"/>
  <c r="S1306" i="22"/>
  <c r="S1303" i="22"/>
  <c r="S1302" i="22"/>
  <c r="S1300" i="22"/>
  <c r="S1299" i="22"/>
  <c r="S1298" i="22"/>
  <c r="S1295" i="22"/>
  <c r="S1294" i="22"/>
  <c r="S1293" i="22"/>
  <c r="S1292" i="22"/>
  <c r="S1291" i="22"/>
  <c r="S1290" i="22"/>
  <c r="S1286" i="22"/>
  <c r="S1284" i="22"/>
  <c r="S1283" i="22"/>
  <c r="S1282" i="22"/>
  <c r="S1281" i="22"/>
  <c r="S1277" i="22"/>
  <c r="S1276" i="22"/>
  <c r="S1275" i="22"/>
  <c r="S1273" i="22"/>
  <c r="S1272" i="22"/>
  <c r="S1271" i="22"/>
  <c r="S1270" i="22"/>
  <c r="S1269" i="22"/>
  <c r="S1268" i="22"/>
  <c r="S1267" i="22"/>
  <c r="S1266" i="22"/>
  <c r="S1265" i="22"/>
  <c r="S1264" i="22"/>
  <c r="S1262" i="22"/>
  <c r="J1259" i="22"/>
  <c r="S1258" i="22"/>
  <c r="S1257" i="22"/>
  <c r="S1255" i="22"/>
  <c r="S1254" i="22"/>
  <c r="S1253" i="22"/>
  <c r="S1250" i="22"/>
  <c r="S1249" i="22"/>
  <c r="S1247" i="22"/>
  <c r="S1246" i="22"/>
  <c r="R1245" i="22" a="1"/>
  <c r="R1245" i="22"/>
  <c r="S1244" i="22"/>
  <c r="R1243" i="22" a="1"/>
  <c r="R1243" i="22" s="1"/>
  <c r="S1238" i="22"/>
  <c r="S1237" i="22"/>
  <c r="S1236" i="22"/>
  <c r="S1233" i="22"/>
  <c r="S1232" i="22"/>
  <c r="S1231" i="22"/>
  <c r="S1230" i="22"/>
  <c r="S1229" i="22"/>
  <c r="S1227" i="22"/>
  <c r="S1226" i="22"/>
  <c r="J1224" i="22"/>
  <c r="S1223" i="22"/>
  <c r="S1222" i="22"/>
  <c r="S1213" i="22"/>
  <c r="S1212" i="22"/>
  <c r="S1211" i="22"/>
  <c r="S1210" i="22"/>
  <c r="S1208" i="22"/>
  <c r="S1205" i="22"/>
  <c r="S1204" i="22"/>
  <c r="S1203" i="22"/>
  <c r="S1202" i="22"/>
  <c r="S1201" i="22"/>
  <c r="S1200" i="22"/>
  <c r="S1199" i="22"/>
  <c r="S1198" i="22"/>
  <c r="S1197" i="22"/>
  <c r="S1196" i="22"/>
  <c r="S1194" i="22"/>
  <c r="S1193" i="22"/>
  <c r="S1189" i="22"/>
  <c r="S1188" i="22"/>
  <c r="S1187" i="22"/>
  <c r="S1186" i="22"/>
  <c r="S1185" i="22"/>
  <c r="S1184" i="22"/>
  <c r="S1183" i="22"/>
  <c r="R1182" i="22" a="1"/>
  <c r="R1182" i="22" s="1"/>
  <c r="S1181" i="22"/>
  <c r="S1172" i="22"/>
  <c r="J1170" i="22"/>
  <c r="S1165" i="22"/>
  <c r="S1161" i="22"/>
  <c r="S1157" i="22"/>
  <c r="R1156" i="22" a="1"/>
  <c r="R1156" i="22" s="1"/>
  <c r="S1155" i="22"/>
  <c r="S1154" i="22"/>
  <c r="S1153" i="22"/>
  <c r="S1152" i="22"/>
  <c r="S1151" i="22"/>
  <c r="S1150" i="22"/>
  <c r="S1149" i="22"/>
  <c r="Q1146" i="22" a="1"/>
  <c r="Q1146" i="22" s="1"/>
  <c r="J1146" i="22"/>
  <c r="S1145" i="22"/>
  <c r="S1144" i="22"/>
  <c r="Q1143" i="22" a="1"/>
  <c r="Q1143" i="22"/>
  <c r="G1143" i="22"/>
  <c r="J1141" i="22"/>
  <c r="S1140" i="22"/>
  <c r="S1139" i="22"/>
  <c r="J1138" i="22"/>
  <c r="S1136" i="22"/>
  <c r="S1134" i="22"/>
  <c r="S1133" i="22"/>
  <c r="S1132" i="22"/>
  <c r="S1129" i="22"/>
  <c r="S1128" i="22"/>
  <c r="S1127" i="22"/>
  <c r="S1120" i="22"/>
  <c r="S1118" i="22"/>
  <c r="S1111" i="22"/>
  <c r="S1110" i="22"/>
  <c r="S1106" i="22"/>
  <c r="S1105" i="22"/>
  <c r="S1102" i="22"/>
  <c r="S1098" i="22"/>
  <c r="J1097" i="22"/>
  <c r="J1096" i="22"/>
  <c r="S1092" i="22"/>
  <c r="S1087" i="22"/>
  <c r="S1086" i="22"/>
  <c r="S1085" i="22"/>
  <c r="R1067" i="22" a="1"/>
  <c r="R1067" i="22" s="1"/>
  <c r="J1065" i="22"/>
  <c r="S1064" i="22"/>
  <c r="S1063" i="22"/>
  <c r="S1062" i="22"/>
  <c r="S1061" i="22"/>
  <c r="S1060" i="22"/>
  <c r="S1059" i="22"/>
  <c r="S1053" i="22"/>
  <c r="S1052" i="22"/>
  <c r="S1051" i="22"/>
  <c r="S1049" i="22"/>
  <c r="S1048" i="22"/>
  <c r="S1047" i="22"/>
  <c r="S1046" i="22"/>
  <c r="S1045" i="22"/>
  <c r="S1044" i="22"/>
  <c r="S1043" i="22"/>
  <c r="S1042" i="22"/>
  <c r="J1041" i="22"/>
  <c r="S1039" i="22"/>
  <c r="S1038" i="22"/>
  <c r="S1037" i="22"/>
  <c r="R1037" i="22" a="1"/>
  <c r="R1037" i="22"/>
  <c r="S1036" i="22"/>
  <c r="S1035" i="22"/>
  <c r="S1034" i="22"/>
  <c r="S1029" i="22"/>
  <c r="S1028" i="22"/>
  <c r="S1017" i="22"/>
  <c r="S1016" i="22"/>
  <c r="S1013" i="22"/>
  <c r="S1012" i="22"/>
  <c r="S1011" i="22"/>
  <c r="S1009" i="22"/>
  <c r="S1001" i="22"/>
  <c r="S1000" i="22"/>
  <c r="S999" i="22"/>
  <c r="S996" i="22"/>
  <c r="S995" i="22"/>
  <c r="S994" i="22"/>
  <c r="S993" i="22"/>
  <c r="R989" i="22" a="1"/>
  <c r="R989" i="22"/>
  <c r="Q989" i="22" a="1"/>
  <c r="Q989" i="22" s="1"/>
  <c r="S985" i="22"/>
  <c r="S984" i="22"/>
  <c r="S982" i="22"/>
  <c r="S981" i="22"/>
  <c r="S977" i="22"/>
  <c r="S976" i="22"/>
  <c r="S974" i="22"/>
  <c r="S973" i="22"/>
  <c r="R973" i="22" a="1"/>
  <c r="R973" i="22"/>
  <c r="S972" i="22"/>
  <c r="S971" i="22"/>
  <c r="S967" i="22"/>
  <c r="S958" i="22"/>
  <c r="R957" i="22" a="1"/>
  <c r="R957" i="22" s="1"/>
  <c r="S956" i="22"/>
  <c r="S955" i="22"/>
  <c r="S953" i="22"/>
  <c r="S952" i="22"/>
  <c r="J948" i="22"/>
  <c r="S944" i="22"/>
  <c r="S943" i="22"/>
  <c r="S940" i="22"/>
  <c r="S939" i="22"/>
  <c r="S938" i="22"/>
  <c r="J937" i="22"/>
  <c r="S936" i="22"/>
  <c r="S935" i="22"/>
  <c r="S934" i="22"/>
  <c r="S933" i="22"/>
  <c r="J930" i="22"/>
  <c r="S922" i="22"/>
  <c r="J920" i="22"/>
  <c r="S919" i="22"/>
  <c r="S918" i="22"/>
  <c r="S916" i="22"/>
  <c r="R910" i="22" a="1"/>
  <c r="R910" i="22"/>
  <c r="S909" i="22"/>
  <c r="S908" i="22"/>
  <c r="S907" i="22"/>
  <c r="S903" i="22"/>
  <c r="S902" i="22"/>
  <c r="S901" i="22"/>
  <c r="S900" i="22"/>
  <c r="S899" i="22"/>
  <c r="S895" i="22"/>
  <c r="S894" i="22"/>
  <c r="S893" i="22"/>
  <c r="S887" i="22"/>
  <c r="S883" i="22"/>
  <c r="R882" i="22" a="1"/>
  <c r="R882" i="22" s="1"/>
  <c r="S881" i="22"/>
  <c r="S880" i="22"/>
  <c r="S872" i="22"/>
  <c r="S871" i="22"/>
  <c r="R868" i="22" a="1"/>
  <c r="R868" i="22"/>
  <c r="S867" i="22"/>
  <c r="S866" i="22"/>
  <c r="J865" i="22"/>
  <c r="S864" i="22"/>
  <c r="S863" i="22"/>
  <c r="R862" i="22" a="1"/>
  <c r="R862" i="22"/>
  <c r="R855" i="22" a="1"/>
  <c r="R855" i="22" s="1"/>
  <c r="Q855" i="22" a="1"/>
  <c r="Q855" i="22"/>
  <c r="S853" i="22"/>
  <c r="S852" i="22"/>
  <c r="S851" i="22"/>
  <c r="S850" i="22"/>
  <c r="S849" i="22"/>
  <c r="S848" i="22"/>
  <c r="J847" i="22"/>
  <c r="S845" i="22"/>
  <c r="S844" i="22"/>
  <c r="S843" i="22"/>
  <c r="S842" i="22"/>
  <c r="R842" i="22" a="1"/>
  <c r="R842" i="22"/>
  <c r="S838" i="22"/>
  <c r="S837" i="22"/>
  <c r="S836" i="22"/>
  <c r="S835" i="22"/>
  <c r="S834" i="22"/>
  <c r="S833" i="22"/>
  <c r="S832" i="22"/>
  <c r="S831" i="22"/>
  <c r="S830" i="22"/>
  <c r="S829" i="22"/>
  <c r="S828" i="22"/>
  <c r="S827" i="22"/>
  <c r="S826" i="22"/>
  <c r="R826" i="22" a="1"/>
  <c r="R826" i="22"/>
  <c r="S825" i="22"/>
  <c r="S824" i="22"/>
  <c r="S823" i="22"/>
  <c r="S822" i="22"/>
  <c r="S820" i="22"/>
  <c r="S818" i="22"/>
  <c r="R816" i="22" a="1"/>
  <c r="R816" i="22"/>
  <c r="S814" i="22"/>
  <c r="S813" i="22"/>
  <c r="S808" i="22"/>
  <c r="S807" i="22"/>
  <c r="S805" i="22"/>
  <c r="S803" i="22"/>
  <c r="S800" i="22"/>
  <c r="S799" i="22"/>
  <c r="S792" i="22"/>
  <c r="S788" i="22"/>
  <c r="S787" i="22"/>
  <c r="S781" i="22"/>
  <c r="S780" i="22"/>
  <c r="S779" i="22"/>
  <c r="S778" i="22"/>
  <c r="Q768" i="22" a="1"/>
  <c r="Q768" i="22"/>
  <c r="S766" i="22"/>
  <c r="S765" i="22"/>
  <c r="S764" i="22"/>
  <c r="S762" i="22"/>
  <c r="S761" i="22"/>
  <c r="S754" i="22"/>
  <c r="R754" i="22" a="1"/>
  <c r="R754" i="22"/>
  <c r="S752" i="22"/>
  <c r="S751" i="22"/>
  <c r="S750" i="22"/>
  <c r="S748" i="22"/>
  <c r="S747" i="22"/>
  <c r="S746" i="22"/>
  <c r="S745" i="22"/>
  <c r="S744" i="22"/>
  <c r="S743" i="22"/>
  <c r="J739" i="22"/>
  <c r="S738" i="22"/>
  <c r="S735" i="22"/>
  <c r="S734" i="22"/>
  <c r="S732" i="22"/>
  <c r="S731" i="22"/>
  <c r="S729" i="22"/>
  <c r="S726" i="22"/>
  <c r="S725" i="22"/>
  <c r="S724" i="22"/>
  <c r="S722" i="22"/>
  <c r="S720" i="22"/>
  <c r="S719" i="22"/>
  <c r="S718" i="22"/>
  <c r="S716" i="22"/>
  <c r="S715" i="22"/>
  <c r="S714" i="22"/>
  <c r="S713" i="22"/>
  <c r="S708" i="22"/>
  <c r="S707" i="22"/>
  <c r="S706" i="22"/>
  <c r="S705" i="22"/>
  <c r="R705" i="22" a="1"/>
  <c r="R705" i="22" s="1"/>
  <c r="S704" i="22"/>
  <c r="S703" i="22"/>
  <c r="S702" i="22"/>
  <c r="S699" i="22"/>
  <c r="S698" i="22"/>
  <c r="S692" i="22"/>
  <c r="S689" i="22"/>
  <c r="R683" i="22" a="1"/>
  <c r="R683" i="22" s="1"/>
  <c r="R682" i="22" a="1"/>
  <c r="R682" i="22"/>
  <c r="S676" i="22"/>
  <c r="S675" i="22"/>
  <c r="S673" i="22"/>
  <c r="R673" i="22" a="1"/>
  <c r="R673" i="22" s="1"/>
  <c r="S672" i="22"/>
  <c r="S671" i="22"/>
  <c r="S665" i="22"/>
  <c r="R662" i="22" a="1"/>
  <c r="R662" i="22"/>
  <c r="S661" i="22"/>
  <c r="S660" i="22"/>
  <c r="S654" i="22"/>
  <c r="S653" i="22"/>
  <c r="S652" i="22"/>
  <c r="S648" i="22"/>
  <c r="S647" i="22"/>
  <c r="S646" i="22"/>
  <c r="S645" i="22"/>
  <c r="S642" i="22"/>
  <c r="S641" i="22"/>
  <c r="S640" i="22"/>
  <c r="S639" i="22"/>
  <c r="S635" i="22"/>
  <c r="S633" i="22"/>
  <c r="S632" i="22"/>
  <c r="R630" i="22" a="1"/>
  <c r="R630" i="22" s="1"/>
  <c r="S628" i="22"/>
  <c r="S627" i="22"/>
  <c r="S626" i="22"/>
  <c r="S623" i="22"/>
  <c r="S622" i="22"/>
  <c r="S621" i="22"/>
  <c r="S620" i="22"/>
  <c r="S619" i="22"/>
  <c r="S618" i="22"/>
  <c r="S617" i="22"/>
  <c r="S616" i="22"/>
  <c r="S608" i="22"/>
  <c r="S607" i="22"/>
  <c r="S606" i="22"/>
  <c r="S605" i="22"/>
  <c r="S601" i="22"/>
  <c r="S600" i="22"/>
  <c r="S599" i="22"/>
  <c r="S597" i="22"/>
  <c r="S595" i="22"/>
  <c r="S594" i="22"/>
  <c r="S592" i="22"/>
  <c r="S591" i="22"/>
  <c r="S590" i="22"/>
  <c r="S589" i="22"/>
  <c r="S587" i="22"/>
  <c r="S586" i="22"/>
  <c r="S585" i="22"/>
  <c r="S584" i="22"/>
  <c r="S583" i="22"/>
  <c r="J580" i="22"/>
  <c r="S573" i="22"/>
  <c r="J572" i="22"/>
  <c r="S570" i="22"/>
  <c r="S569" i="22"/>
  <c r="S568" i="22"/>
  <c r="S567" i="22"/>
  <c r="S566" i="22"/>
  <c r="S565" i="22"/>
  <c r="S563" i="22"/>
  <c r="S562" i="22"/>
  <c r="S561" i="22"/>
  <c r="S560" i="22"/>
  <c r="S559" i="22"/>
  <c r="S558" i="22"/>
  <c r="S557" i="22"/>
  <c r="S556" i="22"/>
  <c r="S554" i="22"/>
  <c r="S550" i="22"/>
  <c r="S549" i="22"/>
  <c r="S547" i="22"/>
  <c r="S546" i="22"/>
  <c r="S545" i="22"/>
  <c r="S544" i="22"/>
  <c r="S542" i="22"/>
  <c r="S541" i="22"/>
  <c r="S537" i="22"/>
  <c r="S535" i="22"/>
  <c r="S534" i="22"/>
  <c r="S533" i="22"/>
  <c r="S532" i="22"/>
  <c r="R528" i="22" a="1"/>
  <c r="R528" i="22"/>
  <c r="S527" i="22"/>
  <c r="S521" i="22"/>
  <c r="S520" i="22"/>
  <c r="S517" i="22"/>
  <c r="S514" i="22"/>
  <c r="R514" i="22" a="1"/>
  <c r="R514" i="22" s="1"/>
  <c r="S513" i="22"/>
  <c r="J512" i="22"/>
  <c r="S511" i="22"/>
  <c r="S510" i="22"/>
  <c r="S508" i="22"/>
  <c r="S507" i="22"/>
  <c r="S506" i="22"/>
  <c r="R506" i="22" a="1"/>
  <c r="R506" i="22"/>
  <c r="S505" i="22"/>
  <c r="S502" i="22"/>
  <c r="S498" i="22"/>
  <c r="J497" i="22"/>
  <c r="S494" i="22"/>
  <c r="S485" i="22"/>
  <c r="R485" i="22" a="1"/>
  <c r="R485" i="22"/>
  <c r="R481" i="22" a="1"/>
  <c r="R481" i="22" s="1"/>
  <c r="S480" i="22"/>
  <c r="S479" i="22"/>
  <c r="J478" i="22"/>
  <c r="S475" i="22"/>
  <c r="S474" i="22"/>
  <c r="S473" i="22"/>
  <c r="S470" i="22"/>
  <c r="S463" i="22"/>
  <c r="S462" i="22"/>
  <c r="S461" i="22"/>
  <c r="S460" i="22"/>
  <c r="S459" i="22"/>
  <c r="S455" i="22"/>
  <c r="S452" i="22"/>
  <c r="S451" i="22"/>
  <c r="S450" i="22"/>
  <c r="S448" i="22"/>
  <c r="S447" i="22"/>
  <c r="J446" i="22"/>
  <c r="S445" i="22"/>
  <c r="S444" i="22"/>
  <c r="S443" i="22"/>
  <c r="S442" i="22"/>
  <c r="S438" i="22"/>
  <c r="S437" i="22"/>
  <c r="S436" i="22"/>
  <c r="S435" i="22"/>
  <c r="S434" i="22"/>
  <c r="S433" i="22"/>
  <c r="S432" i="22"/>
  <c r="R430" i="22" a="1"/>
  <c r="R430" i="22"/>
  <c r="Q430" i="22" a="1"/>
  <c r="Q430" i="22" s="1"/>
  <c r="S429" i="22"/>
  <c r="S428" i="22"/>
  <c r="S427" i="22"/>
  <c r="S426" i="22"/>
  <c r="S423" i="22"/>
  <c r="S422" i="22"/>
  <c r="S420" i="22"/>
  <c r="S418" i="22"/>
  <c r="S417" i="22"/>
  <c r="S415" i="22"/>
  <c r="S414" i="22"/>
  <c r="S413" i="22"/>
  <c r="S408" i="22"/>
  <c r="J407" i="22"/>
  <c r="S406" i="22"/>
  <c r="R405" i="22" a="1"/>
  <c r="R405" i="22" s="1"/>
  <c r="S401" i="22"/>
  <c r="S400" i="22"/>
  <c r="R388" i="22" a="1"/>
  <c r="R388" i="22" s="1"/>
  <c r="S387" i="22"/>
  <c r="S386" i="22"/>
  <c r="S385" i="22"/>
  <c r="S379" i="22"/>
  <c r="S378" i="22"/>
  <c r="S375" i="22"/>
  <c r="S374" i="22"/>
  <c r="S373" i="22"/>
  <c r="J372" i="22"/>
  <c r="S369" i="22"/>
  <c r="S368" i="22"/>
  <c r="S367" i="22"/>
  <c r="S366" i="22"/>
  <c r="S359" i="22"/>
  <c r="S358" i="22"/>
  <c r="R355" i="22" a="1"/>
  <c r="R355" i="22"/>
  <c r="J343" i="22"/>
  <c r="S342" i="22"/>
  <c r="S340" i="22"/>
  <c r="G340" i="22"/>
  <c r="S339" i="22"/>
  <c r="Q339" i="22" a="1"/>
  <c r="Q339" i="22" s="1"/>
  <c r="S338" i="22"/>
  <c r="S336" i="22"/>
  <c r="S335" i="22"/>
  <c r="S334" i="22"/>
  <c r="S333" i="22"/>
  <c r="S331" i="22"/>
  <c r="S330" i="22"/>
  <c r="S329" i="22"/>
  <c r="S326" i="22"/>
  <c r="J323" i="22"/>
  <c r="S321" i="22"/>
  <c r="S320" i="22"/>
  <c r="S319" i="22"/>
  <c r="S318" i="22"/>
  <c r="S317" i="22"/>
  <c r="S313" i="22"/>
  <c r="S312" i="22"/>
  <c r="S310" i="22"/>
  <c r="S308" i="22"/>
  <c r="R307" i="22" a="1"/>
  <c r="R307" i="22"/>
  <c r="S306" i="22"/>
  <c r="S305" i="22"/>
  <c r="S301" i="22"/>
  <c r="S300" i="22"/>
  <c r="S299" i="22"/>
  <c r="S298" i="22"/>
  <c r="S297" i="22"/>
  <c r="S295" i="22"/>
  <c r="S292" i="22"/>
  <c r="S291" i="22"/>
  <c r="S290" i="22"/>
  <c r="S288" i="22"/>
  <c r="S287" i="22"/>
  <c r="J285" i="22"/>
  <c r="S279" i="22"/>
  <c r="S277" i="22"/>
  <c r="S276" i="22"/>
  <c r="S275" i="22"/>
  <c r="S274" i="22"/>
  <c r="S273" i="22"/>
  <c r="S272" i="22"/>
  <c r="S271" i="22"/>
  <c r="S270" i="22"/>
  <c r="S269" i="22"/>
  <c r="S265" i="22"/>
  <c r="R264" i="22" a="1"/>
  <c r="R264" i="22"/>
  <c r="S259" i="22"/>
  <c r="S256" i="22"/>
  <c r="S255" i="22"/>
  <c r="R253" i="22" a="1"/>
  <c r="R253" i="22"/>
  <c r="Q253" i="22" a="1"/>
  <c r="Q253" i="22" s="1"/>
  <c r="J253" i="22"/>
  <c r="S252" i="22"/>
  <c r="S251" i="22"/>
  <c r="S250" i="22"/>
  <c r="S249" i="22"/>
  <c r="S245" i="22"/>
  <c r="Q242" i="22" a="1"/>
  <c r="Q242" i="22"/>
  <c r="S239" i="22"/>
  <c r="S233" i="22"/>
  <c r="R229" i="22" a="1"/>
  <c r="R229" i="22"/>
  <c r="Q229" i="22" a="1"/>
  <c r="Q229" i="22" s="1"/>
  <c r="S224" i="22"/>
  <c r="S222" i="22"/>
  <c r="R221" i="22" a="1"/>
  <c r="R221" i="22" s="1"/>
  <c r="G221" i="22"/>
  <c r="S220" i="22"/>
  <c r="S219" i="22"/>
  <c r="S217" i="22"/>
  <c r="S215" i="22"/>
  <c r="S214" i="22"/>
  <c r="S210" i="22"/>
  <c r="S207" i="22"/>
  <c r="S206" i="22"/>
  <c r="S204" i="22"/>
  <c r="Q203" i="22" a="1"/>
  <c r="Q203" i="22" s="1"/>
  <c r="J197" i="22"/>
  <c r="S192" i="22"/>
  <c r="S191" i="22"/>
  <c r="S189" i="22"/>
  <c r="S188" i="22"/>
  <c r="S185" i="22"/>
  <c r="S179" i="22"/>
  <c r="S177" i="22"/>
  <c r="S176" i="22"/>
  <c r="R176" i="22" a="1"/>
  <c r="R176" i="22"/>
  <c r="S174" i="22"/>
  <c r="S173" i="22"/>
  <c r="R172" i="22" a="1"/>
  <c r="R172" i="22"/>
  <c r="S165" i="22"/>
  <c r="S164" i="22"/>
  <c r="S163" i="22"/>
  <c r="J162" i="22"/>
  <c r="S160" i="22"/>
  <c r="S158" i="22"/>
  <c r="S154" i="22"/>
  <c r="S153" i="22"/>
  <c r="R148" i="22" a="1"/>
  <c r="R148" i="22"/>
  <c r="S147" i="22"/>
  <c r="R146" i="22" a="1"/>
  <c r="R146" i="22" s="1"/>
  <c r="S142" i="22"/>
  <c r="S139" i="22"/>
  <c r="S138" i="22"/>
  <c r="S136" i="22"/>
  <c r="S135" i="22"/>
  <c r="S133" i="22"/>
  <c r="S123" i="22"/>
  <c r="S122" i="22"/>
  <c r="S120" i="22"/>
  <c r="S119" i="22"/>
  <c r="S116" i="22"/>
  <c r="S115" i="22"/>
  <c r="S113" i="22"/>
  <c r="S112" i="22"/>
  <c r="S111" i="22"/>
  <c r="S109" i="22"/>
  <c r="S107" i="22"/>
  <c r="S106" i="22"/>
  <c r="S104" i="22"/>
  <c r="S103" i="22"/>
  <c r="S102" i="22"/>
  <c r="S97" i="22"/>
  <c r="S93" i="22"/>
  <c r="S92" i="22"/>
  <c r="S91" i="22"/>
  <c r="S90" i="22"/>
  <c r="S89" i="22"/>
  <c r="S87" i="22"/>
  <c r="S85" i="22"/>
  <c r="S84" i="22"/>
  <c r="S83" i="22"/>
  <c r="S82" i="22"/>
  <c r="S81" i="22"/>
  <c r="S78" i="22"/>
  <c r="S77" i="22"/>
  <c r="S75" i="22"/>
  <c r="S73" i="22"/>
  <c r="Q72" i="22" a="1"/>
  <c r="Q72" i="22" s="1"/>
  <c r="S71" i="22"/>
  <c r="S70" i="22"/>
  <c r="S69" i="22"/>
  <c r="S68" i="22"/>
  <c r="S67" i="22"/>
  <c r="S66" i="22"/>
  <c r="S65" i="22"/>
  <c r="S64" i="22"/>
  <c r="S63" i="22"/>
  <c r="J63" i="22"/>
  <c r="Q62" i="22" a="1"/>
  <c r="Q62" i="22"/>
  <c r="S60" i="22"/>
  <c r="S58" i="22"/>
  <c r="S57" i="22"/>
  <c r="S55" i="22"/>
  <c r="S54" i="22"/>
  <c r="S53" i="22"/>
  <c r="S52" i="22"/>
  <c r="S49" i="22"/>
  <c r="S45" i="22"/>
  <c r="S42" i="22"/>
  <c r="S41" i="22"/>
  <c r="S40" i="22"/>
  <c r="S38" i="22"/>
  <c r="S37" i="22"/>
  <c r="S35" i="22"/>
  <c r="S33" i="22"/>
  <c r="S31" i="22"/>
  <c r="S29" i="22"/>
  <c r="S28" i="22"/>
  <c r="S27" i="22"/>
  <c r="S26" i="22"/>
  <c r="S25" i="22"/>
  <c r="R25" i="22" a="1"/>
  <c r="R25" i="22" s="1"/>
  <c r="Q25" i="22" a="1"/>
  <c r="Q25" i="22"/>
  <c r="S23" i="22"/>
  <c r="S21" i="22"/>
  <c r="R20" i="22" a="1"/>
  <c r="R20" i="22" s="1"/>
  <c r="Q20" i="22" a="1"/>
  <c r="Q20" i="22"/>
  <c r="S18" i="22"/>
  <c r="S17" i="22"/>
  <c r="S16" i="22"/>
  <c r="Q13" i="22" a="1"/>
  <c r="Q13" i="22" s="1"/>
  <c r="S11" i="22"/>
  <c r="S10" i="22"/>
  <c r="S8" i="22"/>
  <c r="S7" i="22"/>
  <c r="S6" i="22"/>
  <c r="S5" i="22"/>
  <c r="S4" i="22"/>
  <c r="A3" i="22"/>
  <c r="S2" i="22"/>
  <c r="S985" i="21" a="1"/>
  <c r="S985" i="21"/>
  <c r="S984" i="21" a="1"/>
  <c r="S984" i="21" s="1"/>
  <c r="S983" i="21" a="1"/>
  <c r="S983" i="21"/>
  <c r="S982" i="21" a="1"/>
  <c r="S982" i="21" s="1"/>
  <c r="S976" i="21" a="1"/>
  <c r="S976" i="21"/>
  <c r="S931" i="21" a="1"/>
  <c r="S931" i="21" s="1"/>
  <c r="S930" i="21" a="1"/>
  <c r="S930" i="21"/>
  <c r="S929" i="21" a="1"/>
  <c r="S929" i="21" s="1"/>
  <c r="S928" i="21" a="1"/>
  <c r="S928" i="21"/>
  <c r="S927" i="21" a="1"/>
  <c r="S927" i="21" s="1"/>
  <c r="K926" i="21"/>
  <c r="S925" i="21" a="1"/>
  <c r="S925" i="21"/>
  <c r="K851" i="21"/>
  <c r="K847" i="21"/>
  <c r="S811" i="21" a="1"/>
  <c r="S811" i="21"/>
  <c r="S810" i="21" a="1"/>
  <c r="S810" i="21" s="1"/>
  <c r="S809" i="21" a="1"/>
  <c r="S809" i="21"/>
  <c r="S808" i="21" a="1"/>
  <c r="S808" i="21" s="1"/>
  <c r="S807" i="21" a="1"/>
  <c r="S807" i="21"/>
  <c r="S806" i="21" a="1"/>
  <c r="S806" i="21" s="1"/>
  <c r="K805" i="21"/>
  <c r="K803" i="21"/>
  <c r="K780" i="21"/>
  <c r="S755" i="21" a="1"/>
  <c r="S755" i="21"/>
  <c r="S681" i="21" a="1"/>
  <c r="S681" i="21" s="1"/>
  <c r="S680" i="21" a="1"/>
  <c r="S680" i="21"/>
  <c r="S678" i="21" a="1"/>
  <c r="S678" i="21" s="1"/>
  <c r="S677" i="21" a="1"/>
  <c r="S677" i="21"/>
  <c r="S676" i="21" a="1"/>
  <c r="S676" i="21" s="1"/>
  <c r="K676" i="21"/>
  <c r="S675" i="21" a="1"/>
  <c r="S675" i="21" s="1"/>
  <c r="K672" i="21"/>
  <c r="K638" i="21"/>
  <c r="S612" i="21" a="1"/>
  <c r="S612" i="21" s="1"/>
  <c r="S611" i="21" a="1"/>
  <c r="S611" i="21"/>
  <c r="K599" i="21"/>
  <c r="K547" i="21"/>
  <c r="K542" i="21"/>
  <c r="K540" i="21"/>
  <c r="K536" i="21"/>
  <c r="D532" i="21"/>
  <c r="S508" i="21" a="1"/>
  <c r="S508" i="21"/>
  <c r="H508" i="21"/>
  <c r="K507" i="21"/>
  <c r="S506" i="21" a="1"/>
  <c r="S506" i="21"/>
  <c r="S504" i="21" a="1"/>
  <c r="S504" i="21"/>
  <c r="S503" i="21" a="1"/>
  <c r="S503" i="21" s="1"/>
  <c r="K499" i="21"/>
  <c r="H490" i="21"/>
  <c r="K488" i="21"/>
  <c r="K486" i="21"/>
  <c r="D474" i="21"/>
  <c r="K448" i="21"/>
  <c r="K446" i="21"/>
  <c r="K440" i="21"/>
  <c r="K439" i="21"/>
  <c r="K436" i="21"/>
  <c r="K435" i="21"/>
  <c r="R407" i="21" a="1"/>
  <c r="R407" i="21"/>
  <c r="K407" i="21"/>
  <c r="S406" i="21" a="1"/>
  <c r="S406" i="21"/>
  <c r="S375" i="21" a="1"/>
  <c r="S375" i="21" s="1"/>
  <c r="R375" i="21" a="1"/>
  <c r="R375" i="21"/>
  <c r="D375" i="21"/>
  <c r="K360" i="21"/>
  <c r="K355" i="21"/>
  <c r="D346" i="21"/>
  <c r="K328" i="21"/>
  <c r="R325" i="21" a="1"/>
  <c r="R325" i="21" s="1"/>
  <c r="D269" i="21"/>
  <c r="D257" i="21"/>
  <c r="D254" i="21"/>
  <c r="D243" i="21"/>
  <c r="S241" i="21" a="1"/>
  <c r="S241" i="21"/>
  <c r="D230" i="21"/>
  <c r="D218" i="21"/>
  <c r="H216" i="21"/>
  <c r="D197" i="21"/>
  <c r="S196" i="21" a="1"/>
  <c r="S196" i="21"/>
  <c r="D185" i="21"/>
  <c r="S184" i="21" a="1"/>
  <c r="S184" i="21" s="1"/>
  <c r="D184" i="21"/>
  <c r="D166" i="21"/>
  <c r="D152" i="21"/>
  <c r="S146" i="21" a="1"/>
  <c r="S146" i="21"/>
  <c r="R146" i="21" a="1"/>
  <c r="R146" i="21" s="1"/>
  <c r="D146" i="21"/>
  <c r="D137" i="21"/>
  <c r="D136" i="21"/>
  <c r="S129" i="21" a="1"/>
  <c r="S129" i="21"/>
  <c r="R129" i="21" a="1"/>
  <c r="R129" i="21" s="1"/>
  <c r="R128" i="21" a="1"/>
  <c r="R128" i="21"/>
  <c r="S127" i="21" a="1"/>
  <c r="S127" i="21"/>
  <c r="D127" i="21"/>
  <c r="R125" i="21" a="1"/>
  <c r="R125" i="21" s="1"/>
  <c r="S124" i="21" a="1"/>
  <c r="S124" i="21"/>
  <c r="D123" i="21"/>
  <c r="R120" i="21" a="1"/>
  <c r="R120" i="21"/>
  <c r="S119" i="21" a="1"/>
  <c r="S119" i="21" s="1"/>
  <c r="S118" i="21" a="1"/>
  <c r="S118" i="21"/>
  <c r="S117" i="21" a="1"/>
  <c r="S117" i="21" s="1"/>
  <c r="S116" i="21" a="1"/>
  <c r="S116" i="21"/>
  <c r="D102" i="21"/>
  <c r="D90" i="21"/>
  <c r="D77" i="21"/>
  <c r="S72" i="21" a="1"/>
  <c r="S72" i="21" s="1"/>
  <c r="R72" i="21" a="1"/>
  <c r="R72" i="21"/>
  <c r="S71" i="21" a="1"/>
  <c r="S71" i="21" s="1"/>
  <c r="R71" i="21" a="1"/>
  <c r="R71" i="21"/>
  <c r="D68" i="21"/>
  <c r="S67" i="21" a="1"/>
  <c r="S67" i="21"/>
  <c r="D67" i="21"/>
  <c r="D64" i="21"/>
  <c r="D63" i="21"/>
  <c r="D47" i="21"/>
  <c r="S42" i="21" a="1"/>
  <c r="S42" i="21" s="1"/>
  <c r="R42" i="21" a="1"/>
  <c r="R42" i="21"/>
  <c r="S41" i="21" a="1"/>
  <c r="S41" i="21" s="1"/>
  <c r="R41" i="21" a="1"/>
  <c r="R41" i="21"/>
  <c r="R40" i="21" a="1"/>
  <c r="R40" i="21" s="1"/>
  <c r="D35" i="21"/>
  <c r="D29" i="21"/>
  <c r="D24" i="21"/>
  <c r="K23" i="21"/>
  <c r="D17" i="21"/>
  <c r="D12" i="21"/>
  <c r="S4" i="21" a="1"/>
  <c r="S4" i="21"/>
  <c r="R4" i="21" a="1"/>
  <c r="R4" i="21"/>
  <c r="R2" i="21" a="1"/>
  <c r="R2" i="21" s="1"/>
  <c r="I26" i="20"/>
  <c r="H26" i="20"/>
  <c r="G26" i="20"/>
  <c r="F26" i="20"/>
  <c r="E26" i="20"/>
  <c r="I25" i="20"/>
  <c r="H25" i="20"/>
  <c r="G25" i="20"/>
  <c r="F25" i="20"/>
  <c r="E25" i="20"/>
  <c r="J24" i="20"/>
  <c r="I24" i="20"/>
  <c r="H24" i="20"/>
  <c r="G24" i="20"/>
  <c r="F24" i="20"/>
  <c r="E24" i="20"/>
  <c r="I23" i="20"/>
  <c r="H23" i="20"/>
  <c r="G23" i="20"/>
  <c r="F23" i="20"/>
  <c r="E23" i="20"/>
  <c r="I22" i="20"/>
  <c r="H22" i="20"/>
  <c r="G22" i="20"/>
  <c r="F22" i="20"/>
  <c r="E22" i="20"/>
  <c r="I21" i="20"/>
  <c r="H21" i="20"/>
  <c r="G21" i="20"/>
  <c r="F21" i="20"/>
  <c r="E21" i="20"/>
  <c r="I20" i="20"/>
  <c r="H20" i="20"/>
  <c r="G20" i="20"/>
  <c r="F20" i="20"/>
  <c r="E20" i="20"/>
  <c r="I19" i="20"/>
  <c r="H19" i="20"/>
  <c r="G19" i="20"/>
  <c r="F19" i="20"/>
  <c r="E19" i="20"/>
  <c r="I18" i="20"/>
  <c r="H18" i="20"/>
  <c r="G18" i="20"/>
  <c r="F18" i="20"/>
  <c r="E18" i="20"/>
  <c r="I17" i="20"/>
  <c r="H17" i="20"/>
  <c r="G17" i="20"/>
  <c r="F17" i="20"/>
  <c r="E17" i="20"/>
  <c r="I16" i="20"/>
  <c r="H16" i="20"/>
  <c r="G16" i="20"/>
  <c r="F16" i="20"/>
  <c r="E16" i="20"/>
  <c r="I15" i="20"/>
  <c r="H15" i="20"/>
  <c r="G15" i="20"/>
  <c r="F15" i="20"/>
  <c r="E15" i="20"/>
  <c r="J12" i="20"/>
  <c r="F12" i="20"/>
  <c r="E12" i="20"/>
  <c r="J11" i="20"/>
  <c r="I11" i="20"/>
  <c r="H11" i="20"/>
  <c r="G11" i="20"/>
  <c r="F11" i="20"/>
  <c r="E11" i="20"/>
  <c r="J10" i="20"/>
  <c r="I10" i="20"/>
  <c r="H10" i="20"/>
  <c r="G10" i="20"/>
  <c r="F10" i="20"/>
  <c r="E10" i="20"/>
  <c r="J9" i="20"/>
  <c r="I9" i="20"/>
  <c r="H9" i="20"/>
  <c r="G9" i="20"/>
  <c r="F9" i="20"/>
  <c r="E9" i="20"/>
  <c r="J8" i="20"/>
  <c r="I8" i="20"/>
  <c r="H8" i="20"/>
  <c r="G8" i="20"/>
  <c r="F8" i="20"/>
  <c r="E8" i="20"/>
  <c r="J7" i="20"/>
  <c r="I7" i="20"/>
  <c r="H7" i="20"/>
  <c r="G7" i="20"/>
  <c r="F7" i="20"/>
  <c r="E7" i="20"/>
  <c r="B7" i="20"/>
  <c r="J6" i="20"/>
  <c r="I6" i="20"/>
  <c r="H6" i="20"/>
  <c r="G6" i="20"/>
  <c r="F6" i="20"/>
  <c r="E6" i="20"/>
  <c r="B6" i="20"/>
  <c r="J5" i="20"/>
  <c r="I5" i="20"/>
  <c r="H5" i="20"/>
  <c r="G5" i="20"/>
  <c r="F5" i="20"/>
  <c r="E5" i="20"/>
  <c r="B5" i="20"/>
  <c r="B4" i="20"/>
  <c r="W292" i="18"/>
  <c r="V292" i="18"/>
  <c r="U292" i="18"/>
  <c r="T292" i="18"/>
  <c r="S292" i="18"/>
  <c r="R292" i="18"/>
  <c r="Q292" i="18"/>
  <c r="P292" i="18"/>
  <c r="O292" i="18"/>
  <c r="N292" i="18"/>
  <c r="M292" i="18"/>
  <c r="L292" i="18"/>
  <c r="K292" i="18"/>
  <c r="J292" i="18"/>
  <c r="I292" i="18"/>
  <c r="H292" i="18"/>
  <c r="G292" i="18"/>
  <c r="F292" i="18"/>
  <c r="E292" i="18"/>
  <c r="D292" i="18"/>
  <c r="C292" i="18"/>
  <c r="B292" i="18"/>
  <c r="A292" i="18"/>
  <c r="W291" i="18"/>
  <c r="V291" i="18"/>
  <c r="U291" i="18"/>
  <c r="T291" i="18"/>
  <c r="S291" i="18"/>
  <c r="R291" i="18"/>
  <c r="Q291" i="18"/>
  <c r="P291" i="18"/>
  <c r="O291" i="18"/>
  <c r="N291" i="18"/>
  <c r="M291" i="18"/>
  <c r="L291" i="18"/>
  <c r="K291" i="18"/>
  <c r="J291" i="18"/>
  <c r="I291" i="18"/>
  <c r="H291" i="18"/>
  <c r="G291" i="18"/>
  <c r="F291" i="18"/>
  <c r="E291" i="18"/>
  <c r="D291" i="18"/>
  <c r="C291" i="18"/>
  <c r="B291" i="18"/>
  <c r="A291" i="18"/>
  <c r="W290" i="18"/>
  <c r="V290" i="18"/>
  <c r="U290" i="18"/>
  <c r="T290" i="18"/>
  <c r="S290" i="18"/>
  <c r="R290" i="18"/>
  <c r="Q290" i="18"/>
  <c r="P290" i="18"/>
  <c r="O290" i="18"/>
  <c r="N290" i="18"/>
  <c r="M290" i="18"/>
  <c r="L290" i="18"/>
  <c r="K290" i="18"/>
  <c r="J290" i="18"/>
  <c r="I290" i="18"/>
  <c r="H290" i="18"/>
  <c r="G290" i="18"/>
  <c r="F290" i="18"/>
  <c r="E290" i="18"/>
  <c r="D290" i="18"/>
  <c r="C290" i="18"/>
  <c r="B290" i="18"/>
  <c r="A290" i="18"/>
  <c r="W289" i="18"/>
  <c r="V289" i="18"/>
  <c r="U289" i="18"/>
  <c r="T289" i="18"/>
  <c r="S289" i="18"/>
  <c r="R289" i="18"/>
  <c r="Q289" i="18"/>
  <c r="P289" i="18"/>
  <c r="O289" i="18"/>
  <c r="N289" i="18"/>
  <c r="M289" i="18"/>
  <c r="L289" i="18"/>
  <c r="K289" i="18"/>
  <c r="J289" i="18"/>
  <c r="I289" i="18"/>
  <c r="H289" i="18"/>
  <c r="G289" i="18"/>
  <c r="F289" i="18"/>
  <c r="E289" i="18"/>
  <c r="D289" i="18"/>
  <c r="C289" i="18"/>
  <c r="B289" i="18"/>
  <c r="A289" i="18"/>
  <c r="W288" i="18"/>
  <c r="V288" i="18"/>
  <c r="U288" i="18"/>
  <c r="T288" i="18"/>
  <c r="S288" i="18"/>
  <c r="R288" i="18"/>
  <c r="Q288" i="18"/>
  <c r="P288" i="18"/>
  <c r="O288" i="18"/>
  <c r="N288" i="18"/>
  <c r="M288" i="18"/>
  <c r="L288" i="18"/>
  <c r="K288" i="18"/>
  <c r="J288" i="18"/>
  <c r="I288" i="18"/>
  <c r="H288" i="18"/>
  <c r="G288" i="18"/>
  <c r="F288" i="18"/>
  <c r="E288" i="18"/>
  <c r="D288" i="18"/>
  <c r="C288" i="18"/>
  <c r="B288" i="18"/>
  <c r="A288" i="18"/>
  <c r="W287" i="18"/>
  <c r="V287" i="18"/>
  <c r="U287" i="18"/>
  <c r="T287" i="18"/>
  <c r="S287" i="18"/>
  <c r="R287" i="18"/>
  <c r="Q287" i="18"/>
  <c r="P287" i="18"/>
  <c r="O287" i="18"/>
  <c r="N287" i="18"/>
  <c r="M287" i="18"/>
  <c r="L287" i="18"/>
  <c r="K287" i="18"/>
  <c r="J287" i="18"/>
  <c r="I287" i="18"/>
  <c r="H287" i="18"/>
  <c r="G287" i="18"/>
  <c r="F287" i="18"/>
  <c r="E287" i="18"/>
  <c r="D287" i="18"/>
  <c r="C287" i="18"/>
  <c r="B287" i="18"/>
  <c r="A287" i="18"/>
  <c r="W286" i="18"/>
  <c r="V286" i="18"/>
  <c r="U286" i="18"/>
  <c r="T286" i="18"/>
  <c r="S286" i="18"/>
  <c r="R286" i="18"/>
  <c r="Q286" i="18"/>
  <c r="P286" i="18"/>
  <c r="O286" i="18"/>
  <c r="N286" i="18"/>
  <c r="M286" i="18"/>
  <c r="L286" i="18"/>
  <c r="K286" i="18"/>
  <c r="J286" i="18"/>
  <c r="I286" i="18"/>
  <c r="H286" i="18"/>
  <c r="G286" i="18"/>
  <c r="F286" i="18"/>
  <c r="E286" i="18"/>
  <c r="D286" i="18"/>
  <c r="C286" i="18"/>
  <c r="B286" i="18"/>
  <c r="A286" i="18"/>
  <c r="W285" i="18"/>
  <c r="V285" i="18"/>
  <c r="U285" i="18"/>
  <c r="T285" i="18"/>
  <c r="S285" i="18"/>
  <c r="R285" i="18"/>
  <c r="Q285" i="18"/>
  <c r="P285" i="18"/>
  <c r="O285" i="18"/>
  <c r="N285" i="18"/>
  <c r="M285" i="18"/>
  <c r="L285" i="18"/>
  <c r="K285" i="18"/>
  <c r="J285" i="18"/>
  <c r="I285" i="18"/>
  <c r="H285" i="18"/>
  <c r="G285" i="18"/>
  <c r="F285" i="18"/>
  <c r="E285" i="18"/>
  <c r="D285" i="18"/>
  <c r="C285" i="18"/>
  <c r="B285" i="18"/>
  <c r="A285" i="18"/>
  <c r="W284" i="18"/>
  <c r="V284" i="18"/>
  <c r="U284" i="18"/>
  <c r="T284" i="18"/>
  <c r="S284" i="18"/>
  <c r="R284" i="18"/>
  <c r="Q284" i="18"/>
  <c r="P284" i="18"/>
  <c r="O284" i="18"/>
  <c r="N284" i="18"/>
  <c r="M284" i="18"/>
  <c r="L284" i="18"/>
  <c r="K284" i="18"/>
  <c r="J284" i="18"/>
  <c r="I284" i="18"/>
  <c r="H284" i="18"/>
  <c r="G284" i="18"/>
  <c r="F284" i="18"/>
  <c r="E284" i="18"/>
  <c r="D284" i="18"/>
  <c r="C284" i="18"/>
  <c r="B284" i="18"/>
  <c r="A284" i="18"/>
  <c r="W283" i="18"/>
  <c r="V283" i="18"/>
  <c r="U283" i="18"/>
  <c r="T283" i="18"/>
  <c r="S283" i="18"/>
  <c r="R283" i="18"/>
  <c r="Q283" i="18"/>
  <c r="P283" i="18"/>
  <c r="O283" i="18"/>
  <c r="N283" i="18"/>
  <c r="M283" i="18"/>
  <c r="L283" i="18"/>
  <c r="K283" i="18"/>
  <c r="J283" i="18"/>
  <c r="I283" i="18"/>
  <c r="H283" i="18"/>
  <c r="G283" i="18"/>
  <c r="F283" i="18"/>
  <c r="E283" i="18"/>
  <c r="D283" i="18"/>
  <c r="C283" i="18"/>
  <c r="B283" i="18"/>
  <c r="A283" i="18"/>
  <c r="W282" i="18"/>
  <c r="V282" i="18"/>
  <c r="U282" i="18"/>
  <c r="T282" i="18"/>
  <c r="S282" i="18"/>
  <c r="R282" i="18"/>
  <c r="Q282" i="18"/>
  <c r="P282" i="18"/>
  <c r="O282" i="18"/>
  <c r="N282" i="18"/>
  <c r="M282" i="18"/>
  <c r="L282" i="18"/>
  <c r="K282" i="18"/>
  <c r="J282" i="18"/>
  <c r="I282" i="18"/>
  <c r="H282" i="18"/>
  <c r="G282" i="18"/>
  <c r="F282" i="18"/>
  <c r="E282" i="18"/>
  <c r="D282" i="18"/>
  <c r="C282" i="18"/>
  <c r="B282" i="18"/>
  <c r="A282" i="18"/>
  <c r="W281" i="18"/>
  <c r="V281" i="18"/>
  <c r="U281" i="18"/>
  <c r="T281" i="18"/>
  <c r="S281" i="18"/>
  <c r="R281" i="18"/>
  <c r="Q281" i="18"/>
  <c r="P281" i="18"/>
  <c r="O281" i="18"/>
  <c r="N281" i="18"/>
  <c r="M281" i="18"/>
  <c r="L281" i="18"/>
  <c r="K281" i="18"/>
  <c r="J281" i="18"/>
  <c r="I281" i="18"/>
  <c r="H281" i="18"/>
  <c r="G281" i="18"/>
  <c r="F281" i="18"/>
  <c r="E281" i="18"/>
  <c r="D281" i="18"/>
  <c r="C281" i="18"/>
  <c r="B281" i="18"/>
  <c r="A281" i="18"/>
  <c r="W280" i="18"/>
  <c r="V280" i="18"/>
  <c r="U280" i="18"/>
  <c r="T280" i="18"/>
  <c r="S280" i="18"/>
  <c r="R280" i="18"/>
  <c r="Q280" i="18"/>
  <c r="P280" i="18"/>
  <c r="O280" i="18"/>
  <c r="N280" i="18"/>
  <c r="M280" i="18"/>
  <c r="L280" i="18"/>
  <c r="K280" i="18"/>
  <c r="J280" i="18"/>
  <c r="I280" i="18"/>
  <c r="H280" i="18"/>
  <c r="G280" i="18"/>
  <c r="F280" i="18"/>
  <c r="E280" i="18"/>
  <c r="D280" i="18"/>
  <c r="C280" i="18"/>
  <c r="B280" i="18"/>
  <c r="A280" i="18"/>
  <c r="W279" i="18"/>
  <c r="V279" i="18"/>
  <c r="U279" i="18"/>
  <c r="T279" i="18"/>
  <c r="S279" i="18"/>
  <c r="R279" i="18"/>
  <c r="Q279" i="18"/>
  <c r="P279" i="18"/>
  <c r="O279" i="18"/>
  <c r="N279" i="18"/>
  <c r="M279" i="18"/>
  <c r="L279" i="18"/>
  <c r="K279" i="18"/>
  <c r="J279" i="18"/>
  <c r="I279" i="18"/>
  <c r="H279" i="18"/>
  <c r="G279" i="18"/>
  <c r="F279" i="18"/>
  <c r="E279" i="18"/>
  <c r="D279" i="18"/>
  <c r="C279" i="18"/>
  <c r="B279" i="18"/>
  <c r="A279" i="18"/>
  <c r="W278" i="18"/>
  <c r="V278" i="18"/>
  <c r="U278" i="18"/>
  <c r="T278" i="18"/>
  <c r="S278" i="18"/>
  <c r="R278" i="18"/>
  <c r="Q278" i="18"/>
  <c r="P278" i="18"/>
  <c r="O278" i="18"/>
  <c r="N278" i="18"/>
  <c r="M278" i="18"/>
  <c r="L278" i="18"/>
  <c r="K278" i="18"/>
  <c r="J278" i="18"/>
  <c r="I278" i="18"/>
  <c r="H278" i="18"/>
  <c r="G278" i="18"/>
  <c r="F278" i="18"/>
  <c r="E278" i="18"/>
  <c r="D278" i="18"/>
  <c r="C278" i="18"/>
  <c r="B278" i="18"/>
  <c r="A278" i="18"/>
  <c r="W277" i="18"/>
  <c r="V277" i="18"/>
  <c r="U277" i="18"/>
  <c r="T277" i="18"/>
  <c r="S277" i="18"/>
  <c r="R277" i="18"/>
  <c r="Q277" i="18"/>
  <c r="P277" i="18"/>
  <c r="O277" i="18"/>
  <c r="N277" i="18"/>
  <c r="M277" i="18"/>
  <c r="L277" i="18"/>
  <c r="K277" i="18"/>
  <c r="J277" i="18"/>
  <c r="I277" i="18"/>
  <c r="H277" i="18"/>
  <c r="G277" i="18"/>
  <c r="F277" i="18"/>
  <c r="E277" i="18"/>
  <c r="D277" i="18"/>
  <c r="C277" i="18"/>
  <c r="B277" i="18"/>
  <c r="A277" i="18"/>
  <c r="W276" i="18"/>
  <c r="V276" i="18"/>
  <c r="U276" i="18"/>
  <c r="T276" i="18"/>
  <c r="S276" i="18"/>
  <c r="R276" i="18"/>
  <c r="Q276" i="18"/>
  <c r="P276" i="18"/>
  <c r="O276" i="18"/>
  <c r="N276" i="18"/>
  <c r="M276" i="18"/>
  <c r="L276" i="18"/>
  <c r="K276" i="18"/>
  <c r="J276" i="18"/>
  <c r="I276" i="18"/>
  <c r="H276" i="18"/>
  <c r="G276" i="18"/>
  <c r="F276" i="18"/>
  <c r="E276" i="18"/>
  <c r="D276" i="18"/>
  <c r="C276" i="18"/>
  <c r="B276" i="18"/>
  <c r="A276" i="18"/>
  <c r="W275" i="18"/>
  <c r="V275" i="18"/>
  <c r="U275" i="18"/>
  <c r="T275" i="18"/>
  <c r="S275" i="18"/>
  <c r="R275" i="18"/>
  <c r="Q275" i="18"/>
  <c r="P275" i="18"/>
  <c r="O275" i="18"/>
  <c r="N275" i="18"/>
  <c r="M275" i="18"/>
  <c r="L275" i="18"/>
  <c r="K275" i="18"/>
  <c r="J275" i="18"/>
  <c r="I275" i="18"/>
  <c r="H275" i="18"/>
  <c r="G275" i="18"/>
  <c r="F275" i="18"/>
  <c r="E275" i="18"/>
  <c r="D275" i="18"/>
  <c r="C275" i="18"/>
  <c r="B275" i="18"/>
  <c r="A275" i="18"/>
  <c r="W274" i="18"/>
  <c r="V274" i="18"/>
  <c r="U274" i="18"/>
  <c r="T274" i="18"/>
  <c r="S274" i="18"/>
  <c r="R274" i="18"/>
  <c r="Q274" i="18"/>
  <c r="P274" i="18"/>
  <c r="O274" i="18"/>
  <c r="N274" i="18"/>
  <c r="M274" i="18"/>
  <c r="L274" i="18"/>
  <c r="K274" i="18"/>
  <c r="J274" i="18"/>
  <c r="I274" i="18"/>
  <c r="H274" i="18"/>
  <c r="G274" i="18"/>
  <c r="F274" i="18"/>
  <c r="E274" i="18"/>
  <c r="D274" i="18"/>
  <c r="C274" i="18"/>
  <c r="B274" i="18"/>
  <c r="A274" i="18"/>
  <c r="W273" i="18"/>
  <c r="V273" i="18"/>
  <c r="U273" i="18"/>
  <c r="T273" i="18"/>
  <c r="S273" i="18"/>
  <c r="R273" i="18"/>
  <c r="Q273" i="18"/>
  <c r="P273" i="18"/>
  <c r="O273" i="18"/>
  <c r="N273" i="18"/>
  <c r="M273" i="18"/>
  <c r="L273" i="18"/>
  <c r="K273" i="18"/>
  <c r="J273" i="18"/>
  <c r="I273" i="18"/>
  <c r="H273" i="18"/>
  <c r="G273" i="18"/>
  <c r="F273" i="18"/>
  <c r="E273" i="18"/>
  <c r="D273" i="18"/>
  <c r="C273" i="18"/>
  <c r="B273" i="18"/>
  <c r="A273" i="18"/>
  <c r="W272" i="18"/>
  <c r="V272" i="18"/>
  <c r="U272" i="18"/>
  <c r="T272" i="18"/>
  <c r="S272" i="18"/>
  <c r="R272" i="18"/>
  <c r="Q272" i="18"/>
  <c r="P272" i="18"/>
  <c r="O272" i="18"/>
  <c r="N272" i="18"/>
  <c r="M272" i="18"/>
  <c r="L272" i="18"/>
  <c r="K272" i="18"/>
  <c r="J272" i="18"/>
  <c r="I272" i="18"/>
  <c r="H272" i="18"/>
  <c r="G272" i="18"/>
  <c r="F272" i="18"/>
  <c r="E272" i="18"/>
  <c r="D272" i="18"/>
  <c r="C272" i="18"/>
  <c r="B272" i="18"/>
  <c r="A272" i="18"/>
  <c r="W271" i="18"/>
  <c r="V271" i="18"/>
  <c r="U271" i="18"/>
  <c r="T271" i="18"/>
  <c r="S271" i="18"/>
  <c r="R271" i="18"/>
  <c r="Q271" i="18"/>
  <c r="P271" i="18"/>
  <c r="O271" i="18"/>
  <c r="N271" i="18"/>
  <c r="M271" i="18"/>
  <c r="L271" i="18"/>
  <c r="K271" i="18"/>
  <c r="J271" i="18"/>
  <c r="I271" i="18"/>
  <c r="H271" i="18"/>
  <c r="G271" i="18"/>
  <c r="F271" i="18"/>
  <c r="E271" i="18"/>
  <c r="D271" i="18"/>
  <c r="C271" i="18"/>
  <c r="B271" i="18"/>
  <c r="A271" i="18"/>
  <c r="W270" i="18"/>
  <c r="V270" i="18"/>
  <c r="U270" i="18"/>
  <c r="T270" i="18"/>
  <c r="S270" i="18"/>
  <c r="R270" i="18"/>
  <c r="Q270" i="18"/>
  <c r="P270" i="18"/>
  <c r="O270" i="18"/>
  <c r="N270" i="18"/>
  <c r="M270" i="18"/>
  <c r="L270" i="18"/>
  <c r="K270" i="18"/>
  <c r="J270" i="18"/>
  <c r="I270" i="18"/>
  <c r="H270" i="18"/>
  <c r="G270" i="18"/>
  <c r="F270" i="18"/>
  <c r="E270" i="18"/>
  <c r="D270" i="18"/>
  <c r="C270" i="18"/>
  <c r="B270" i="18"/>
  <c r="A270" i="18"/>
  <c r="W269" i="18"/>
  <c r="V269" i="18"/>
  <c r="U269" i="18"/>
  <c r="T269" i="18"/>
  <c r="S269" i="18"/>
  <c r="R269" i="18"/>
  <c r="Q269" i="18"/>
  <c r="P269" i="18"/>
  <c r="O269" i="18"/>
  <c r="N269" i="18"/>
  <c r="M269" i="18"/>
  <c r="L269" i="18"/>
  <c r="K269" i="18"/>
  <c r="J269" i="18"/>
  <c r="I269" i="18"/>
  <c r="H269" i="18"/>
  <c r="G269" i="18"/>
  <c r="F269" i="18"/>
  <c r="E269" i="18"/>
  <c r="D269" i="18"/>
  <c r="C269" i="18"/>
  <c r="B269" i="18"/>
  <c r="A269" i="18"/>
  <c r="W268" i="18"/>
  <c r="V268" i="18"/>
  <c r="U268" i="18"/>
  <c r="T268" i="18"/>
  <c r="S268" i="18"/>
  <c r="R268" i="18"/>
  <c r="Q268" i="18"/>
  <c r="P268" i="18"/>
  <c r="O268" i="18"/>
  <c r="N268" i="18"/>
  <c r="M268" i="18"/>
  <c r="L268" i="18"/>
  <c r="K268" i="18"/>
  <c r="J268" i="18"/>
  <c r="I268" i="18"/>
  <c r="H268" i="18"/>
  <c r="G268" i="18"/>
  <c r="F268" i="18"/>
  <c r="E268" i="18"/>
  <c r="D268" i="18"/>
  <c r="C268" i="18"/>
  <c r="B268" i="18"/>
  <c r="A268" i="18"/>
  <c r="W267" i="18"/>
  <c r="V267" i="18"/>
  <c r="U267" i="18"/>
  <c r="T267" i="18"/>
  <c r="S267" i="18"/>
  <c r="R267" i="18"/>
  <c r="Q267" i="18"/>
  <c r="P267" i="18"/>
  <c r="O267" i="18"/>
  <c r="N267" i="18"/>
  <c r="M267" i="18"/>
  <c r="L267" i="18"/>
  <c r="K267" i="18"/>
  <c r="J267" i="18"/>
  <c r="I267" i="18"/>
  <c r="H267" i="18"/>
  <c r="G267" i="18"/>
  <c r="F267" i="18"/>
  <c r="E267" i="18"/>
  <c r="D267" i="18"/>
  <c r="C267" i="18"/>
  <c r="B267" i="18"/>
  <c r="A267" i="18"/>
  <c r="W266" i="18"/>
  <c r="V266" i="18"/>
  <c r="U266" i="18"/>
  <c r="T266" i="18"/>
  <c r="S266" i="18"/>
  <c r="R266" i="18"/>
  <c r="Q266" i="18"/>
  <c r="P266" i="18"/>
  <c r="O266" i="18"/>
  <c r="N266" i="18"/>
  <c r="M266" i="18"/>
  <c r="L266" i="18"/>
  <c r="K266" i="18"/>
  <c r="J266" i="18"/>
  <c r="I266" i="18"/>
  <c r="H266" i="18"/>
  <c r="G266" i="18"/>
  <c r="F266" i="18"/>
  <c r="E266" i="18"/>
  <c r="D266" i="18"/>
  <c r="C266" i="18"/>
  <c r="B266" i="18"/>
  <c r="A266" i="18"/>
  <c r="W265" i="18"/>
  <c r="V265" i="18"/>
  <c r="U265" i="18"/>
  <c r="T265" i="18"/>
  <c r="S265" i="18"/>
  <c r="R265" i="18"/>
  <c r="Q265" i="18"/>
  <c r="P265" i="18"/>
  <c r="O265" i="18"/>
  <c r="N265" i="18"/>
  <c r="M265" i="18"/>
  <c r="L265" i="18"/>
  <c r="K265" i="18"/>
  <c r="J265" i="18"/>
  <c r="I265" i="18"/>
  <c r="H265" i="18"/>
  <c r="G265" i="18"/>
  <c r="F265" i="18"/>
  <c r="E265" i="18"/>
  <c r="D265" i="18"/>
  <c r="C265" i="18"/>
  <c r="B265" i="18"/>
  <c r="A265" i="18"/>
  <c r="W264" i="18"/>
  <c r="V264" i="18"/>
  <c r="U264" i="18"/>
  <c r="S264" i="18"/>
  <c r="R264" i="18"/>
  <c r="Q264" i="18"/>
  <c r="P264" i="18"/>
  <c r="O264" i="18"/>
  <c r="N264" i="18"/>
  <c r="M264" i="18"/>
  <c r="L264" i="18"/>
  <c r="K264" i="18"/>
  <c r="J264" i="18"/>
  <c r="I264" i="18"/>
  <c r="H264" i="18"/>
  <c r="G264" i="18"/>
  <c r="F264" i="18"/>
  <c r="E264" i="18"/>
  <c r="D264" i="18"/>
  <c r="C264" i="18"/>
  <c r="B264" i="18"/>
  <c r="A264" i="18"/>
  <c r="V263" i="18"/>
  <c r="U263" i="18"/>
  <c r="T263" i="18"/>
  <c r="R263" i="18"/>
  <c r="Q263" i="18"/>
  <c r="P263" i="18"/>
  <c r="N263" i="18"/>
  <c r="M263" i="18"/>
  <c r="K263" i="18"/>
  <c r="J263" i="18"/>
  <c r="I263" i="18"/>
  <c r="H263" i="18"/>
  <c r="G263" i="18"/>
  <c r="F263" i="18"/>
  <c r="E263" i="18"/>
  <c r="D263" i="18"/>
  <c r="C263" i="18"/>
  <c r="B263" i="18"/>
  <c r="A263" i="18"/>
  <c r="V262" i="18"/>
  <c r="U262" i="18"/>
  <c r="R262" i="18"/>
  <c r="Q262" i="18"/>
  <c r="P262" i="18"/>
  <c r="N262" i="18"/>
  <c r="M262" i="18"/>
  <c r="K262" i="18"/>
  <c r="J262" i="18"/>
  <c r="I262" i="18"/>
  <c r="H262" i="18"/>
  <c r="G262" i="18"/>
  <c r="F262" i="18"/>
  <c r="E262" i="18"/>
  <c r="D262" i="18"/>
  <c r="C262" i="18"/>
  <c r="B262" i="18"/>
  <c r="A262" i="18"/>
  <c r="W261" i="18"/>
  <c r="V261" i="18"/>
  <c r="U261" i="18"/>
  <c r="S261" i="18"/>
  <c r="R261" i="18"/>
  <c r="Q261" i="18"/>
  <c r="P261" i="18"/>
  <c r="O261" i="18"/>
  <c r="N261" i="18"/>
  <c r="M261" i="18"/>
  <c r="L261" i="18"/>
  <c r="K261" i="18"/>
  <c r="J261" i="18"/>
  <c r="I261" i="18"/>
  <c r="H261" i="18"/>
  <c r="G261" i="18"/>
  <c r="F261" i="18"/>
  <c r="E261" i="18"/>
  <c r="D261" i="18"/>
  <c r="C261" i="18"/>
  <c r="B261" i="18"/>
  <c r="A261" i="18"/>
  <c r="V260" i="18"/>
  <c r="U260" i="18"/>
  <c r="R260" i="18"/>
  <c r="Q260" i="18"/>
  <c r="P260" i="18"/>
  <c r="N260" i="18"/>
  <c r="M260" i="18"/>
  <c r="K260" i="18"/>
  <c r="J260" i="18"/>
  <c r="I260" i="18"/>
  <c r="H260" i="18"/>
  <c r="G260" i="18"/>
  <c r="F260" i="18"/>
  <c r="E260" i="18"/>
  <c r="D260" i="18"/>
  <c r="C260" i="18"/>
  <c r="B260" i="18"/>
  <c r="A260" i="18"/>
  <c r="V259" i="18"/>
  <c r="U259" i="18"/>
  <c r="R259" i="18"/>
  <c r="Q259" i="18"/>
  <c r="P259" i="18"/>
  <c r="N259" i="18"/>
  <c r="M259" i="18"/>
  <c r="K259" i="18"/>
  <c r="J259" i="18"/>
  <c r="I259" i="18"/>
  <c r="H259" i="18"/>
  <c r="G259" i="18"/>
  <c r="F259" i="18"/>
  <c r="E259" i="18"/>
  <c r="D259" i="18"/>
  <c r="C259" i="18"/>
  <c r="B259" i="18"/>
  <c r="A259" i="18"/>
  <c r="V258" i="18"/>
  <c r="U258" i="18"/>
  <c r="T258" i="18"/>
  <c r="R258" i="18"/>
  <c r="Q258" i="18"/>
  <c r="P258" i="18"/>
  <c r="N258" i="18"/>
  <c r="M258" i="18"/>
  <c r="K258" i="18"/>
  <c r="J258" i="18"/>
  <c r="I258" i="18"/>
  <c r="H258" i="18"/>
  <c r="G258" i="18"/>
  <c r="F258" i="18"/>
  <c r="E258" i="18"/>
  <c r="D258" i="18"/>
  <c r="C258" i="18"/>
  <c r="B258" i="18"/>
  <c r="A258" i="18"/>
  <c r="W257" i="18"/>
  <c r="V257" i="18"/>
  <c r="U257" i="18"/>
  <c r="T257" i="18"/>
  <c r="S257" i="18"/>
  <c r="R257" i="18"/>
  <c r="Q257" i="18"/>
  <c r="P257" i="18"/>
  <c r="O257" i="18"/>
  <c r="N257" i="18"/>
  <c r="M257" i="18"/>
  <c r="L257" i="18"/>
  <c r="K257" i="18"/>
  <c r="J257" i="18"/>
  <c r="I257" i="18"/>
  <c r="H257" i="18"/>
  <c r="G257" i="18"/>
  <c r="F257" i="18"/>
  <c r="E257" i="18"/>
  <c r="D257" i="18"/>
  <c r="C257" i="18"/>
  <c r="B257" i="18"/>
  <c r="A257" i="18"/>
  <c r="W256" i="18"/>
  <c r="V256" i="18"/>
  <c r="U256" i="18"/>
  <c r="S256" i="18"/>
  <c r="R256" i="18"/>
  <c r="Q256" i="18"/>
  <c r="P256" i="18"/>
  <c r="O256" i="18"/>
  <c r="N256" i="18"/>
  <c r="M256" i="18"/>
  <c r="L256" i="18"/>
  <c r="K256" i="18"/>
  <c r="J256" i="18"/>
  <c r="I256" i="18"/>
  <c r="H256" i="18"/>
  <c r="G256" i="18"/>
  <c r="F256" i="18"/>
  <c r="E256" i="18"/>
  <c r="D256" i="18"/>
  <c r="C256" i="18"/>
  <c r="B256" i="18"/>
  <c r="A256" i="18"/>
  <c r="W255" i="18"/>
  <c r="V255" i="18"/>
  <c r="U255" i="18"/>
  <c r="S255" i="18"/>
  <c r="R255" i="18"/>
  <c r="Q255" i="18"/>
  <c r="P255" i="18"/>
  <c r="O255" i="18"/>
  <c r="N255" i="18"/>
  <c r="M255" i="18"/>
  <c r="L255" i="18"/>
  <c r="K255" i="18"/>
  <c r="J255" i="18"/>
  <c r="I255" i="18"/>
  <c r="H255" i="18"/>
  <c r="G255" i="18"/>
  <c r="F255" i="18"/>
  <c r="E255" i="18"/>
  <c r="D255" i="18"/>
  <c r="C255" i="18"/>
  <c r="B255" i="18"/>
  <c r="A255" i="18"/>
  <c r="W254" i="18"/>
  <c r="V254" i="18"/>
  <c r="U254" i="18"/>
  <c r="S254" i="18"/>
  <c r="R254" i="18"/>
  <c r="Q254" i="18"/>
  <c r="P254" i="18"/>
  <c r="O254" i="18"/>
  <c r="N254" i="18"/>
  <c r="M254" i="18"/>
  <c r="L254" i="18"/>
  <c r="K254" i="18"/>
  <c r="J254" i="18"/>
  <c r="I254" i="18"/>
  <c r="H254" i="18"/>
  <c r="G254" i="18"/>
  <c r="F254" i="18"/>
  <c r="E254" i="18"/>
  <c r="D254" i="18"/>
  <c r="C254" i="18"/>
  <c r="B254" i="18"/>
  <c r="A254" i="18"/>
  <c r="W253" i="18"/>
  <c r="V253" i="18"/>
  <c r="U253" i="18"/>
  <c r="S253" i="18"/>
  <c r="R253" i="18"/>
  <c r="Q253" i="18"/>
  <c r="P253" i="18"/>
  <c r="O253" i="18"/>
  <c r="N253" i="18"/>
  <c r="M253" i="18"/>
  <c r="L253" i="18"/>
  <c r="K253" i="18"/>
  <c r="J253" i="18"/>
  <c r="I253" i="18"/>
  <c r="H253" i="18"/>
  <c r="G253" i="18"/>
  <c r="F253" i="18"/>
  <c r="E253" i="18"/>
  <c r="D253" i="18"/>
  <c r="C253" i="18"/>
  <c r="B253" i="18"/>
  <c r="A253" i="18"/>
  <c r="V252" i="18"/>
  <c r="U252" i="18"/>
  <c r="R252" i="18"/>
  <c r="Q252" i="18"/>
  <c r="P252" i="18"/>
  <c r="N252" i="18"/>
  <c r="M252" i="18"/>
  <c r="K252" i="18"/>
  <c r="J252" i="18"/>
  <c r="I252" i="18"/>
  <c r="H252" i="18"/>
  <c r="G252" i="18"/>
  <c r="F252" i="18"/>
  <c r="E252" i="18"/>
  <c r="D252" i="18"/>
  <c r="C252" i="18"/>
  <c r="B252" i="18"/>
  <c r="A252" i="18"/>
  <c r="V251" i="18"/>
  <c r="U251" i="18"/>
  <c r="R251" i="18"/>
  <c r="Q251" i="18"/>
  <c r="P251" i="18"/>
  <c r="N251" i="18"/>
  <c r="M251" i="18"/>
  <c r="K251" i="18"/>
  <c r="J251" i="18"/>
  <c r="I251" i="18"/>
  <c r="H251" i="18"/>
  <c r="G251" i="18"/>
  <c r="F251" i="18"/>
  <c r="E251" i="18"/>
  <c r="D251" i="18"/>
  <c r="C251" i="18"/>
  <c r="B251" i="18"/>
  <c r="A251" i="18"/>
  <c r="V250" i="18"/>
  <c r="U250" i="18"/>
  <c r="R250" i="18"/>
  <c r="Q250" i="18"/>
  <c r="P250" i="18"/>
  <c r="N250" i="18"/>
  <c r="M250" i="18"/>
  <c r="K250" i="18"/>
  <c r="J250" i="18"/>
  <c r="I250" i="18"/>
  <c r="H250" i="18"/>
  <c r="G250" i="18"/>
  <c r="F250" i="18"/>
  <c r="E250" i="18"/>
  <c r="D250" i="18"/>
  <c r="C250" i="18"/>
  <c r="B250" i="18"/>
  <c r="A250" i="18"/>
  <c r="V249" i="18"/>
  <c r="U249" i="18"/>
  <c r="R249" i="18"/>
  <c r="Q249" i="18"/>
  <c r="P249" i="18"/>
  <c r="N249" i="18"/>
  <c r="M249" i="18"/>
  <c r="K249" i="18"/>
  <c r="J249" i="18"/>
  <c r="I249" i="18"/>
  <c r="H249" i="18"/>
  <c r="G249" i="18"/>
  <c r="F249" i="18"/>
  <c r="E249" i="18"/>
  <c r="D249" i="18"/>
  <c r="C249" i="18"/>
  <c r="B249" i="18"/>
  <c r="A249" i="18"/>
  <c r="V248" i="18"/>
  <c r="U248" i="18"/>
  <c r="R248" i="18"/>
  <c r="Q248" i="18"/>
  <c r="P248" i="18"/>
  <c r="N248" i="18"/>
  <c r="M248" i="18"/>
  <c r="K248" i="18"/>
  <c r="J248" i="18"/>
  <c r="I248" i="18"/>
  <c r="H248" i="18"/>
  <c r="G248" i="18"/>
  <c r="F248" i="18"/>
  <c r="E248" i="18"/>
  <c r="D248" i="18"/>
  <c r="C248" i="18"/>
  <c r="B248" i="18"/>
  <c r="A248" i="18"/>
  <c r="W247" i="18"/>
  <c r="V247" i="18"/>
  <c r="U247" i="18"/>
  <c r="T247" i="18"/>
  <c r="S247" i="18"/>
  <c r="R247" i="18"/>
  <c r="Q247" i="18"/>
  <c r="P247" i="18"/>
  <c r="O247" i="18"/>
  <c r="N247" i="18"/>
  <c r="M247" i="18"/>
  <c r="L247" i="18"/>
  <c r="K247" i="18"/>
  <c r="J247" i="18"/>
  <c r="I247" i="18"/>
  <c r="H247" i="18"/>
  <c r="G247" i="18"/>
  <c r="F247" i="18"/>
  <c r="E247" i="18"/>
  <c r="D247" i="18"/>
  <c r="C247" i="18"/>
  <c r="B247" i="18"/>
  <c r="A247" i="18"/>
  <c r="W246" i="18"/>
  <c r="V246" i="18"/>
  <c r="U246" i="18"/>
  <c r="T246" i="18"/>
  <c r="S246" i="18"/>
  <c r="R246" i="18"/>
  <c r="Q246" i="18"/>
  <c r="P246" i="18"/>
  <c r="O246" i="18"/>
  <c r="N246" i="18"/>
  <c r="M246" i="18"/>
  <c r="L246" i="18"/>
  <c r="K246" i="18"/>
  <c r="J246" i="18"/>
  <c r="I246" i="18"/>
  <c r="H246" i="18"/>
  <c r="G246" i="18"/>
  <c r="F246" i="18"/>
  <c r="E246" i="18"/>
  <c r="D246" i="18"/>
  <c r="C246" i="18"/>
  <c r="B246" i="18"/>
  <c r="A246" i="18"/>
  <c r="W245" i="18"/>
  <c r="V245" i="18"/>
  <c r="U245" i="18"/>
  <c r="T245" i="18"/>
  <c r="R245" i="18"/>
  <c r="Q245" i="18"/>
  <c r="P245" i="18"/>
  <c r="N245" i="18"/>
  <c r="M245" i="18"/>
  <c r="L245" i="18"/>
  <c r="K245" i="18"/>
  <c r="J245" i="18"/>
  <c r="I245" i="18"/>
  <c r="H245" i="18"/>
  <c r="G245" i="18"/>
  <c r="F245" i="18"/>
  <c r="E245" i="18"/>
  <c r="D245" i="18"/>
  <c r="C245" i="18"/>
  <c r="B245" i="18"/>
  <c r="A245" i="18"/>
  <c r="V244" i="18"/>
  <c r="U244" i="18"/>
  <c r="T244" i="18"/>
  <c r="R244" i="18"/>
  <c r="Q244" i="18"/>
  <c r="P244" i="18"/>
  <c r="N244" i="18"/>
  <c r="M244" i="18"/>
  <c r="L244" i="18"/>
  <c r="K244" i="18"/>
  <c r="J244" i="18"/>
  <c r="I244" i="18"/>
  <c r="H244" i="18"/>
  <c r="G244" i="18"/>
  <c r="F244" i="18"/>
  <c r="E244" i="18"/>
  <c r="D244" i="18"/>
  <c r="C244" i="18"/>
  <c r="B244" i="18"/>
  <c r="A244" i="18"/>
  <c r="W243" i="18"/>
  <c r="V243" i="18"/>
  <c r="U243" i="18"/>
  <c r="T243" i="18"/>
  <c r="R243" i="18"/>
  <c r="Q243" i="18"/>
  <c r="P243" i="18"/>
  <c r="N243" i="18"/>
  <c r="M243" i="18"/>
  <c r="L243" i="18"/>
  <c r="K243" i="18"/>
  <c r="J243" i="18"/>
  <c r="I243" i="18"/>
  <c r="H243" i="18"/>
  <c r="G243" i="18"/>
  <c r="F243" i="18"/>
  <c r="E243" i="18"/>
  <c r="D243" i="18"/>
  <c r="C243" i="18"/>
  <c r="B243" i="18"/>
  <c r="A243" i="18"/>
  <c r="W242" i="18"/>
  <c r="V242" i="18"/>
  <c r="U242" i="18"/>
  <c r="T242" i="18"/>
  <c r="R242" i="18"/>
  <c r="Q242" i="18"/>
  <c r="P242" i="18"/>
  <c r="N242" i="18"/>
  <c r="M242" i="18"/>
  <c r="L242" i="18"/>
  <c r="K242" i="18"/>
  <c r="J242" i="18"/>
  <c r="I242" i="18"/>
  <c r="H242" i="18"/>
  <c r="G242" i="18"/>
  <c r="F242" i="18"/>
  <c r="E242" i="18"/>
  <c r="D242" i="18"/>
  <c r="C242" i="18"/>
  <c r="B242" i="18"/>
  <c r="A242" i="18"/>
  <c r="W241" i="18"/>
  <c r="V241" i="18"/>
  <c r="U241" i="18"/>
  <c r="T241" i="18"/>
  <c r="R241" i="18"/>
  <c r="Q241" i="18"/>
  <c r="P241" i="18"/>
  <c r="N241" i="18"/>
  <c r="M241" i="18"/>
  <c r="K241" i="18"/>
  <c r="J241" i="18"/>
  <c r="I241" i="18"/>
  <c r="H241" i="18"/>
  <c r="G241" i="18"/>
  <c r="F241" i="18"/>
  <c r="E241" i="18"/>
  <c r="D241" i="18"/>
  <c r="C241" i="18"/>
  <c r="B241" i="18"/>
  <c r="A241" i="18"/>
  <c r="W240" i="18"/>
  <c r="V240" i="18"/>
  <c r="U240" i="18"/>
  <c r="T240" i="18"/>
  <c r="R240" i="18"/>
  <c r="Q240" i="18"/>
  <c r="P240" i="18"/>
  <c r="O240" i="18"/>
  <c r="N240" i="18"/>
  <c r="M240" i="18"/>
  <c r="L240" i="18"/>
  <c r="K240" i="18"/>
  <c r="J240" i="18"/>
  <c r="I240" i="18"/>
  <c r="H240" i="18"/>
  <c r="G240" i="18"/>
  <c r="F240" i="18"/>
  <c r="E240" i="18"/>
  <c r="D240" i="18"/>
  <c r="C240" i="18"/>
  <c r="B240" i="18"/>
  <c r="A240" i="18"/>
  <c r="W239" i="18"/>
  <c r="V239" i="18"/>
  <c r="U239" i="18"/>
  <c r="T239" i="18"/>
  <c r="S239" i="18"/>
  <c r="R239" i="18"/>
  <c r="Q239" i="18"/>
  <c r="P239" i="18"/>
  <c r="O239" i="18"/>
  <c r="N239" i="18"/>
  <c r="M239" i="18"/>
  <c r="L239" i="18"/>
  <c r="K239" i="18"/>
  <c r="J239" i="18"/>
  <c r="I239" i="18"/>
  <c r="H239" i="18"/>
  <c r="G239" i="18"/>
  <c r="F239" i="18"/>
  <c r="E239" i="18"/>
  <c r="D239" i="18"/>
  <c r="C239" i="18"/>
  <c r="B239" i="18"/>
  <c r="A239" i="18"/>
  <c r="W238" i="18"/>
  <c r="V238" i="18"/>
  <c r="U238" i="18"/>
  <c r="T238" i="18"/>
  <c r="S238" i="18"/>
  <c r="R238" i="18"/>
  <c r="Q238" i="18"/>
  <c r="P238" i="18"/>
  <c r="O238" i="18"/>
  <c r="N238" i="18"/>
  <c r="M238" i="18"/>
  <c r="L238" i="18"/>
  <c r="K238" i="18"/>
  <c r="J238" i="18"/>
  <c r="I238" i="18"/>
  <c r="H238" i="18"/>
  <c r="G238" i="18"/>
  <c r="F238" i="18"/>
  <c r="E238" i="18"/>
  <c r="D238" i="18"/>
  <c r="C238" i="18"/>
  <c r="B238" i="18"/>
  <c r="A238" i="18"/>
  <c r="W237" i="18"/>
  <c r="V237" i="18"/>
  <c r="U237" i="18"/>
  <c r="T237" i="18"/>
  <c r="S237" i="18"/>
  <c r="R237" i="18"/>
  <c r="Q237" i="18"/>
  <c r="P237" i="18"/>
  <c r="O237" i="18"/>
  <c r="N237" i="18"/>
  <c r="M237" i="18"/>
  <c r="L237" i="18"/>
  <c r="K237" i="18"/>
  <c r="J237" i="18"/>
  <c r="I237" i="18"/>
  <c r="H237" i="18"/>
  <c r="G237" i="18"/>
  <c r="F237" i="18"/>
  <c r="E237" i="18"/>
  <c r="D237" i="18"/>
  <c r="C237" i="18"/>
  <c r="B237" i="18"/>
  <c r="A237" i="18"/>
  <c r="W236" i="18"/>
  <c r="V236" i="18"/>
  <c r="U236" i="18"/>
  <c r="S236" i="18"/>
  <c r="R236" i="18"/>
  <c r="Q236" i="18"/>
  <c r="P236" i="18"/>
  <c r="O236" i="18"/>
  <c r="N236" i="18"/>
  <c r="M236" i="18"/>
  <c r="L236" i="18"/>
  <c r="K236" i="18"/>
  <c r="J236" i="18"/>
  <c r="I236" i="18"/>
  <c r="H236" i="18"/>
  <c r="G236" i="18"/>
  <c r="F236" i="18"/>
  <c r="E236" i="18"/>
  <c r="D236" i="18"/>
  <c r="C236" i="18"/>
  <c r="B236" i="18"/>
  <c r="A236" i="18"/>
  <c r="W235" i="18"/>
  <c r="V235" i="18"/>
  <c r="U235" i="18"/>
  <c r="T235" i="18"/>
  <c r="S235" i="18"/>
  <c r="R235" i="18"/>
  <c r="Q235" i="18"/>
  <c r="P235" i="18"/>
  <c r="O235" i="18"/>
  <c r="N235" i="18"/>
  <c r="M235" i="18"/>
  <c r="L235" i="18"/>
  <c r="K235" i="18"/>
  <c r="J235" i="18"/>
  <c r="I235" i="18"/>
  <c r="H235" i="18"/>
  <c r="G235" i="18"/>
  <c r="F235" i="18"/>
  <c r="E235" i="18"/>
  <c r="D235" i="18"/>
  <c r="C235" i="18"/>
  <c r="B235" i="18"/>
  <c r="A235" i="18"/>
  <c r="W234" i="18"/>
  <c r="V234" i="18"/>
  <c r="U234" i="18"/>
  <c r="T234" i="18"/>
  <c r="S234" i="18"/>
  <c r="R234" i="18"/>
  <c r="Q234" i="18"/>
  <c r="P234" i="18"/>
  <c r="O234" i="18"/>
  <c r="N234" i="18"/>
  <c r="M234" i="18"/>
  <c r="L234" i="18"/>
  <c r="K234" i="18"/>
  <c r="J234" i="18"/>
  <c r="I234" i="18"/>
  <c r="H234" i="18"/>
  <c r="G234" i="18"/>
  <c r="F234" i="18"/>
  <c r="E234" i="18"/>
  <c r="D234" i="18"/>
  <c r="C234" i="18"/>
  <c r="B234" i="18"/>
  <c r="A234" i="18"/>
  <c r="W233" i="18"/>
  <c r="V233" i="18"/>
  <c r="U233" i="18"/>
  <c r="T233" i="18"/>
  <c r="S233" i="18"/>
  <c r="R233" i="18"/>
  <c r="Q233" i="18"/>
  <c r="P233" i="18"/>
  <c r="O233" i="18"/>
  <c r="N233" i="18"/>
  <c r="M233" i="18"/>
  <c r="L233" i="18"/>
  <c r="K233" i="18"/>
  <c r="J233" i="18"/>
  <c r="I233" i="18"/>
  <c r="H233" i="18"/>
  <c r="G233" i="18"/>
  <c r="F233" i="18"/>
  <c r="E233" i="18"/>
  <c r="D233" i="18"/>
  <c r="C233" i="18"/>
  <c r="B233" i="18"/>
  <c r="A233" i="18"/>
  <c r="W232" i="18"/>
  <c r="V232" i="18"/>
  <c r="U232" i="18"/>
  <c r="S232" i="18"/>
  <c r="R232" i="18"/>
  <c r="Q232" i="18"/>
  <c r="P232" i="18"/>
  <c r="O232" i="18"/>
  <c r="N232" i="18"/>
  <c r="M232" i="18"/>
  <c r="L232" i="18"/>
  <c r="K232" i="18"/>
  <c r="J232" i="18"/>
  <c r="I232" i="18"/>
  <c r="H232" i="18"/>
  <c r="G232" i="18"/>
  <c r="F232" i="18"/>
  <c r="E232" i="18"/>
  <c r="D232" i="18"/>
  <c r="C232" i="18"/>
  <c r="B232" i="18"/>
  <c r="A232" i="18"/>
  <c r="W231" i="18"/>
  <c r="V231" i="18"/>
  <c r="U231" i="18"/>
  <c r="T231" i="18"/>
  <c r="R231" i="18"/>
  <c r="Q231" i="18"/>
  <c r="P231" i="18"/>
  <c r="O231" i="18"/>
  <c r="N231" i="18"/>
  <c r="M231" i="18"/>
  <c r="L231" i="18"/>
  <c r="K231" i="18"/>
  <c r="J231" i="18"/>
  <c r="I231" i="18"/>
  <c r="H231" i="18"/>
  <c r="G231" i="18"/>
  <c r="F231" i="18"/>
  <c r="E231" i="18"/>
  <c r="D231" i="18"/>
  <c r="C231" i="18"/>
  <c r="B231" i="18"/>
  <c r="A231" i="18"/>
  <c r="W230" i="18"/>
  <c r="V230" i="18"/>
  <c r="U230" i="18"/>
  <c r="T230" i="18"/>
  <c r="S230" i="18"/>
  <c r="R230" i="18"/>
  <c r="Q230" i="18"/>
  <c r="P230" i="18"/>
  <c r="O230" i="18"/>
  <c r="N230" i="18"/>
  <c r="M230" i="18"/>
  <c r="L230" i="18"/>
  <c r="K230" i="18"/>
  <c r="J230" i="18"/>
  <c r="I230" i="18"/>
  <c r="H230" i="18"/>
  <c r="G230" i="18"/>
  <c r="F230" i="18"/>
  <c r="E230" i="18"/>
  <c r="D230" i="18"/>
  <c r="C230" i="18"/>
  <c r="B230" i="18"/>
  <c r="A230" i="18"/>
  <c r="W229" i="18"/>
  <c r="V229" i="18"/>
  <c r="U229" i="18"/>
  <c r="T229" i="18"/>
  <c r="R229" i="18"/>
  <c r="Q229" i="18"/>
  <c r="P229" i="18"/>
  <c r="O229" i="18"/>
  <c r="N229" i="18"/>
  <c r="M229" i="18"/>
  <c r="L229" i="18"/>
  <c r="K229" i="18"/>
  <c r="J229" i="18"/>
  <c r="I229" i="18"/>
  <c r="H229" i="18"/>
  <c r="G229" i="18"/>
  <c r="F229" i="18"/>
  <c r="E229" i="18"/>
  <c r="D229" i="18"/>
  <c r="C229" i="18"/>
  <c r="B229" i="18"/>
  <c r="A229" i="18"/>
  <c r="W228" i="18"/>
  <c r="V228" i="18"/>
  <c r="U228" i="18"/>
  <c r="T228" i="18"/>
  <c r="R228" i="18"/>
  <c r="Q228" i="18"/>
  <c r="P228" i="18"/>
  <c r="O228" i="18"/>
  <c r="N228" i="18"/>
  <c r="M228" i="18"/>
  <c r="L228" i="18"/>
  <c r="K228" i="18"/>
  <c r="J228" i="18"/>
  <c r="I228" i="18"/>
  <c r="H228" i="18"/>
  <c r="G228" i="18"/>
  <c r="F228" i="18"/>
  <c r="E228" i="18"/>
  <c r="D228" i="18"/>
  <c r="C228" i="18"/>
  <c r="B228" i="18"/>
  <c r="A228" i="18"/>
  <c r="W227" i="18"/>
  <c r="V227" i="18"/>
  <c r="U227" i="18"/>
  <c r="T227" i="18"/>
  <c r="S227" i="18"/>
  <c r="R227" i="18"/>
  <c r="Q227" i="18"/>
  <c r="P227" i="18"/>
  <c r="O227" i="18"/>
  <c r="N227" i="18"/>
  <c r="M227" i="18"/>
  <c r="L227" i="18"/>
  <c r="K227" i="18"/>
  <c r="J227" i="18"/>
  <c r="I227" i="18"/>
  <c r="H227" i="18"/>
  <c r="G227" i="18"/>
  <c r="F227" i="18"/>
  <c r="E227" i="18"/>
  <c r="D227" i="18"/>
  <c r="C227" i="18"/>
  <c r="B227" i="18"/>
  <c r="A227" i="18"/>
  <c r="W226" i="18"/>
  <c r="V226" i="18"/>
  <c r="U226" i="18"/>
  <c r="T226" i="18"/>
  <c r="S226" i="18"/>
  <c r="R226" i="18"/>
  <c r="Q226" i="18"/>
  <c r="P226" i="18"/>
  <c r="O226" i="18"/>
  <c r="N226" i="18"/>
  <c r="M226" i="18"/>
  <c r="L226" i="18"/>
  <c r="K226" i="18"/>
  <c r="J226" i="18"/>
  <c r="I226" i="18"/>
  <c r="H226" i="18"/>
  <c r="G226" i="18"/>
  <c r="F226" i="18"/>
  <c r="E226" i="18"/>
  <c r="D226" i="18"/>
  <c r="C226" i="18"/>
  <c r="B226" i="18"/>
  <c r="A226" i="18"/>
  <c r="W225" i="18"/>
  <c r="V225" i="18"/>
  <c r="U225" i="18"/>
  <c r="T225" i="18"/>
  <c r="S225" i="18"/>
  <c r="R225" i="18"/>
  <c r="Q225" i="18"/>
  <c r="P225" i="18"/>
  <c r="O225" i="18"/>
  <c r="N225" i="18"/>
  <c r="M225" i="18"/>
  <c r="L225" i="18"/>
  <c r="K225" i="18"/>
  <c r="J225" i="18"/>
  <c r="I225" i="18"/>
  <c r="H225" i="18"/>
  <c r="G225" i="18"/>
  <c r="F225" i="18"/>
  <c r="E225" i="18"/>
  <c r="D225" i="18"/>
  <c r="C225" i="18"/>
  <c r="B225" i="18"/>
  <c r="A225" i="18"/>
  <c r="W224" i="18"/>
  <c r="V224" i="18"/>
  <c r="U224" i="18"/>
  <c r="T224" i="18"/>
  <c r="S224" i="18"/>
  <c r="R224" i="18"/>
  <c r="Q224" i="18"/>
  <c r="P224" i="18"/>
  <c r="O224" i="18"/>
  <c r="N224" i="18"/>
  <c r="M224" i="18"/>
  <c r="L224" i="18"/>
  <c r="K224" i="18"/>
  <c r="J224" i="18"/>
  <c r="I224" i="18"/>
  <c r="H224" i="18"/>
  <c r="G224" i="18"/>
  <c r="F224" i="18"/>
  <c r="E224" i="18"/>
  <c r="D224" i="18"/>
  <c r="C224" i="18"/>
  <c r="B224" i="18"/>
  <c r="A224" i="18"/>
  <c r="W223" i="18"/>
  <c r="V223" i="18"/>
  <c r="U223" i="18"/>
  <c r="T223" i="18"/>
  <c r="S223" i="18"/>
  <c r="R223" i="18"/>
  <c r="Q223" i="18"/>
  <c r="P223" i="18"/>
  <c r="O223" i="18"/>
  <c r="N223" i="18"/>
  <c r="M223" i="18"/>
  <c r="L223" i="18"/>
  <c r="K223" i="18"/>
  <c r="J223" i="18"/>
  <c r="I223" i="18"/>
  <c r="H223" i="18"/>
  <c r="G223" i="18"/>
  <c r="F223" i="18"/>
  <c r="E223" i="18"/>
  <c r="D223" i="18"/>
  <c r="C223" i="18"/>
  <c r="B223" i="18"/>
  <c r="A223" i="18"/>
  <c r="W222" i="18"/>
  <c r="V222" i="18"/>
  <c r="U222" i="18"/>
  <c r="T222" i="18"/>
  <c r="S222" i="18"/>
  <c r="R222" i="18"/>
  <c r="Q222" i="18"/>
  <c r="P222" i="18"/>
  <c r="O222" i="18"/>
  <c r="N222" i="18"/>
  <c r="M222" i="18"/>
  <c r="L222" i="18"/>
  <c r="K222" i="18"/>
  <c r="J222" i="18"/>
  <c r="I222" i="18"/>
  <c r="H222" i="18"/>
  <c r="G222" i="18"/>
  <c r="F222" i="18"/>
  <c r="E222" i="18"/>
  <c r="D222" i="18"/>
  <c r="C222" i="18"/>
  <c r="B222" i="18"/>
  <c r="A222" i="18"/>
  <c r="W221" i="18"/>
  <c r="V221" i="18"/>
  <c r="U221" i="18"/>
  <c r="T221" i="18"/>
  <c r="S221" i="18"/>
  <c r="R221" i="18"/>
  <c r="Q221" i="18"/>
  <c r="P221" i="18"/>
  <c r="O221" i="18"/>
  <c r="N221" i="18"/>
  <c r="M221" i="18"/>
  <c r="L221" i="18"/>
  <c r="K221" i="18"/>
  <c r="J221" i="18"/>
  <c r="I221" i="18"/>
  <c r="H221" i="18"/>
  <c r="G221" i="18"/>
  <c r="F221" i="18"/>
  <c r="E221" i="18"/>
  <c r="D221" i="18"/>
  <c r="C221" i="18"/>
  <c r="B221" i="18"/>
  <c r="A221" i="18"/>
  <c r="W220" i="18"/>
  <c r="V220" i="18"/>
  <c r="U220" i="18"/>
  <c r="T220" i="18"/>
  <c r="R220" i="18"/>
  <c r="Q220" i="18"/>
  <c r="P220" i="18"/>
  <c r="O220" i="18"/>
  <c r="N220" i="18"/>
  <c r="M220" i="18"/>
  <c r="L220" i="18"/>
  <c r="K220" i="18"/>
  <c r="J220" i="18"/>
  <c r="I220" i="18"/>
  <c r="H220" i="18"/>
  <c r="G220" i="18"/>
  <c r="F220" i="18"/>
  <c r="E220" i="18"/>
  <c r="D220" i="18"/>
  <c r="C220" i="18"/>
  <c r="B220" i="18"/>
  <c r="A220" i="18"/>
  <c r="W219" i="18"/>
  <c r="V219" i="18"/>
  <c r="U219" i="18"/>
  <c r="T219" i="18"/>
  <c r="S219" i="18"/>
  <c r="R219" i="18"/>
  <c r="Q219" i="18"/>
  <c r="P219" i="18"/>
  <c r="O219" i="18"/>
  <c r="N219" i="18"/>
  <c r="M219" i="18"/>
  <c r="L219" i="18"/>
  <c r="K219" i="18"/>
  <c r="J219" i="18"/>
  <c r="I219" i="18"/>
  <c r="H219" i="18"/>
  <c r="G219" i="18"/>
  <c r="F219" i="18"/>
  <c r="E219" i="18"/>
  <c r="D219" i="18"/>
  <c r="C219" i="18"/>
  <c r="B219" i="18"/>
  <c r="A219" i="18"/>
  <c r="W218" i="18"/>
  <c r="V218" i="18"/>
  <c r="U218" i="18"/>
  <c r="T218" i="18"/>
  <c r="S218" i="18"/>
  <c r="R218" i="18"/>
  <c r="Q218" i="18"/>
  <c r="P218" i="18"/>
  <c r="O218" i="18"/>
  <c r="N218" i="18"/>
  <c r="M218" i="18"/>
  <c r="L218" i="18"/>
  <c r="K218" i="18"/>
  <c r="J218" i="18"/>
  <c r="I218" i="18"/>
  <c r="H218" i="18"/>
  <c r="G218" i="18"/>
  <c r="F218" i="18"/>
  <c r="E218" i="18"/>
  <c r="D218" i="18"/>
  <c r="C218" i="18"/>
  <c r="B218" i="18"/>
  <c r="A218" i="18"/>
  <c r="W217" i="18"/>
  <c r="V217" i="18"/>
  <c r="U217" i="18"/>
  <c r="T217" i="18"/>
  <c r="S217" i="18"/>
  <c r="R217" i="18"/>
  <c r="Q217" i="18"/>
  <c r="P217" i="18"/>
  <c r="O217" i="18"/>
  <c r="N217" i="18"/>
  <c r="M217" i="18"/>
  <c r="L217" i="18"/>
  <c r="K217" i="18"/>
  <c r="J217" i="18"/>
  <c r="I217" i="18"/>
  <c r="H217" i="18"/>
  <c r="G217" i="18"/>
  <c r="F217" i="18"/>
  <c r="E217" i="18"/>
  <c r="D217" i="18"/>
  <c r="C217" i="18"/>
  <c r="B217" i="18"/>
  <c r="A217" i="18"/>
  <c r="W216" i="18"/>
  <c r="V216" i="18"/>
  <c r="U216" i="18"/>
  <c r="T216" i="18"/>
  <c r="S216" i="18"/>
  <c r="R216" i="18"/>
  <c r="Q216" i="18"/>
  <c r="P216" i="18"/>
  <c r="O216" i="18"/>
  <c r="N216" i="18"/>
  <c r="M216" i="18"/>
  <c r="L216" i="18"/>
  <c r="K216" i="18"/>
  <c r="J216" i="18"/>
  <c r="I216" i="18"/>
  <c r="H216" i="18"/>
  <c r="G216" i="18"/>
  <c r="F216" i="18"/>
  <c r="E216" i="18"/>
  <c r="D216" i="18"/>
  <c r="C216" i="18"/>
  <c r="B216" i="18"/>
  <c r="A216" i="18"/>
  <c r="V215" i="18"/>
  <c r="U215" i="18"/>
  <c r="T215" i="18"/>
  <c r="S215" i="18"/>
  <c r="R215" i="18"/>
  <c r="Q215" i="18"/>
  <c r="P215" i="18"/>
  <c r="O215" i="18"/>
  <c r="N215" i="18"/>
  <c r="M215" i="18"/>
  <c r="L215" i="18"/>
  <c r="K215" i="18"/>
  <c r="J215" i="18"/>
  <c r="I215" i="18"/>
  <c r="H215" i="18"/>
  <c r="G215" i="18"/>
  <c r="F215" i="18"/>
  <c r="E215" i="18"/>
  <c r="D215" i="18"/>
  <c r="C215" i="18"/>
  <c r="B215" i="18"/>
  <c r="A215" i="18"/>
  <c r="W214" i="18"/>
  <c r="V214" i="18"/>
  <c r="U214" i="18"/>
  <c r="T214" i="18"/>
  <c r="S214" i="18"/>
  <c r="R214" i="18"/>
  <c r="Q214" i="18"/>
  <c r="P214" i="18"/>
  <c r="O214" i="18"/>
  <c r="N214" i="18"/>
  <c r="M214" i="18"/>
  <c r="L214" i="18"/>
  <c r="K214" i="18"/>
  <c r="J214" i="18"/>
  <c r="I214" i="18"/>
  <c r="H214" i="18"/>
  <c r="G214" i="18"/>
  <c r="F214" i="18"/>
  <c r="E214" i="18"/>
  <c r="D214" i="18"/>
  <c r="C214" i="18"/>
  <c r="B214" i="18"/>
  <c r="A214" i="18"/>
  <c r="W213" i="18"/>
  <c r="V213" i="18"/>
  <c r="U213" i="18"/>
  <c r="T213" i="18"/>
  <c r="S213" i="18"/>
  <c r="R213" i="18"/>
  <c r="Q213" i="18"/>
  <c r="P213" i="18"/>
  <c r="O213" i="18"/>
  <c r="N213" i="18"/>
  <c r="M213" i="18"/>
  <c r="L213" i="18"/>
  <c r="K213" i="18"/>
  <c r="J213" i="18"/>
  <c r="I213" i="18"/>
  <c r="H213" i="18"/>
  <c r="G213" i="18"/>
  <c r="F213" i="18"/>
  <c r="E213" i="18"/>
  <c r="D213" i="18"/>
  <c r="C213" i="18"/>
  <c r="B213" i="18"/>
  <c r="A213" i="18"/>
  <c r="V212" i="18"/>
  <c r="U212" i="18"/>
  <c r="R212" i="18"/>
  <c r="Q212" i="18"/>
  <c r="P212" i="18"/>
  <c r="N212" i="18"/>
  <c r="M212" i="18"/>
  <c r="K212" i="18"/>
  <c r="J212" i="18"/>
  <c r="I212" i="18"/>
  <c r="H212" i="18"/>
  <c r="G212" i="18"/>
  <c r="F212" i="18"/>
  <c r="E212" i="18"/>
  <c r="D212" i="18"/>
  <c r="C212" i="18"/>
  <c r="B212" i="18"/>
  <c r="A212" i="18"/>
  <c r="V211" i="18"/>
  <c r="U211" i="18"/>
  <c r="R211" i="18"/>
  <c r="Q211" i="18"/>
  <c r="P211" i="18"/>
  <c r="N211" i="18"/>
  <c r="M211" i="18"/>
  <c r="K211" i="18"/>
  <c r="J211" i="18"/>
  <c r="I211" i="18"/>
  <c r="H211" i="18"/>
  <c r="G211" i="18"/>
  <c r="F211" i="18"/>
  <c r="E211" i="18"/>
  <c r="D211" i="18"/>
  <c r="C211" i="18"/>
  <c r="B211" i="18"/>
  <c r="A211" i="18"/>
  <c r="V210" i="18"/>
  <c r="U210" i="18"/>
  <c r="R210" i="18"/>
  <c r="Q210" i="18"/>
  <c r="P210" i="18"/>
  <c r="N210" i="18"/>
  <c r="M210" i="18"/>
  <c r="K210" i="18"/>
  <c r="J210" i="18"/>
  <c r="I210" i="18"/>
  <c r="H210" i="18"/>
  <c r="G210" i="18"/>
  <c r="F210" i="18"/>
  <c r="E210" i="18"/>
  <c r="D210" i="18"/>
  <c r="C210" i="18"/>
  <c r="B210" i="18"/>
  <c r="A210" i="18"/>
  <c r="V209" i="18"/>
  <c r="U209" i="18"/>
  <c r="R209" i="18"/>
  <c r="Q209" i="18"/>
  <c r="P209" i="18"/>
  <c r="N209" i="18"/>
  <c r="M209" i="18"/>
  <c r="K209" i="18"/>
  <c r="J209" i="18"/>
  <c r="I209" i="18"/>
  <c r="H209" i="18"/>
  <c r="G209" i="18"/>
  <c r="F209" i="18"/>
  <c r="E209" i="18"/>
  <c r="D209" i="18"/>
  <c r="C209" i="18"/>
  <c r="B209" i="18"/>
  <c r="A209" i="18"/>
  <c r="W208" i="18"/>
  <c r="V208" i="18"/>
  <c r="U208" i="18"/>
  <c r="R208" i="18"/>
  <c r="Q208" i="18"/>
  <c r="P208" i="18"/>
  <c r="N208" i="18"/>
  <c r="M208" i="18"/>
  <c r="K208" i="18"/>
  <c r="J208" i="18"/>
  <c r="I208" i="18"/>
  <c r="H208" i="18"/>
  <c r="G208" i="18"/>
  <c r="F208" i="18"/>
  <c r="E208" i="18"/>
  <c r="D208" i="18"/>
  <c r="C208" i="18"/>
  <c r="B208" i="18"/>
  <c r="A208" i="18"/>
  <c r="V207" i="18"/>
  <c r="U207" i="18"/>
  <c r="R207" i="18"/>
  <c r="Q207" i="18"/>
  <c r="P207" i="18"/>
  <c r="N207" i="18"/>
  <c r="M207" i="18"/>
  <c r="K207" i="18"/>
  <c r="J207" i="18"/>
  <c r="I207" i="18"/>
  <c r="H207" i="18"/>
  <c r="G207" i="18"/>
  <c r="F207" i="18"/>
  <c r="E207" i="18"/>
  <c r="D207" i="18"/>
  <c r="C207" i="18"/>
  <c r="B207" i="18"/>
  <c r="A207" i="18"/>
  <c r="W206" i="18"/>
  <c r="V206" i="18"/>
  <c r="U206" i="18"/>
  <c r="T206" i="18"/>
  <c r="R206" i="18"/>
  <c r="Q206" i="18"/>
  <c r="P206" i="18"/>
  <c r="O206" i="18"/>
  <c r="N206" i="18"/>
  <c r="M206" i="18"/>
  <c r="L206" i="18"/>
  <c r="K206" i="18"/>
  <c r="J206" i="18"/>
  <c r="I206" i="18"/>
  <c r="H206" i="18"/>
  <c r="G206" i="18"/>
  <c r="F206" i="18"/>
  <c r="E206" i="18"/>
  <c r="D206" i="18"/>
  <c r="C206" i="18"/>
  <c r="B206" i="18"/>
  <c r="A206" i="18"/>
  <c r="V205" i="18"/>
  <c r="U205" i="18"/>
  <c r="T205" i="18"/>
  <c r="R205" i="18"/>
  <c r="Q205" i="18"/>
  <c r="P205" i="18"/>
  <c r="N205" i="18"/>
  <c r="M205" i="18"/>
  <c r="K205" i="18"/>
  <c r="J205" i="18"/>
  <c r="I205" i="18"/>
  <c r="H205" i="18"/>
  <c r="G205" i="18"/>
  <c r="F205" i="18"/>
  <c r="E205" i="18"/>
  <c r="D205" i="18"/>
  <c r="C205" i="18"/>
  <c r="B205" i="18"/>
  <c r="A205" i="18"/>
  <c r="V204" i="18"/>
  <c r="U204" i="18"/>
  <c r="R204" i="18"/>
  <c r="Q204" i="18"/>
  <c r="P204" i="18"/>
  <c r="N204" i="18"/>
  <c r="M204" i="18"/>
  <c r="K204" i="18"/>
  <c r="J204" i="18"/>
  <c r="I204" i="18"/>
  <c r="H204" i="18"/>
  <c r="G204" i="18"/>
  <c r="F204" i="18"/>
  <c r="E204" i="18"/>
  <c r="D204" i="18"/>
  <c r="C204" i="18"/>
  <c r="B204" i="18"/>
  <c r="A204" i="18"/>
  <c r="V203" i="18"/>
  <c r="U203" i="18"/>
  <c r="R203" i="18"/>
  <c r="Q203" i="18"/>
  <c r="P203" i="18"/>
  <c r="N203" i="18"/>
  <c r="M203" i="18"/>
  <c r="K203" i="18"/>
  <c r="J203" i="18"/>
  <c r="I203" i="18"/>
  <c r="H203" i="18"/>
  <c r="G203" i="18"/>
  <c r="F203" i="18"/>
  <c r="E203" i="18"/>
  <c r="D203" i="18"/>
  <c r="C203" i="18"/>
  <c r="B203" i="18"/>
  <c r="A203" i="18"/>
  <c r="V202" i="18"/>
  <c r="U202" i="18"/>
  <c r="R202" i="18"/>
  <c r="Q202" i="18"/>
  <c r="P202" i="18"/>
  <c r="N202" i="18"/>
  <c r="M202" i="18"/>
  <c r="K202" i="18"/>
  <c r="J202" i="18"/>
  <c r="I202" i="18"/>
  <c r="H202" i="18"/>
  <c r="G202" i="18"/>
  <c r="F202" i="18"/>
  <c r="E202" i="18"/>
  <c r="D202" i="18"/>
  <c r="C202" i="18"/>
  <c r="B202" i="18"/>
  <c r="A202" i="18"/>
  <c r="V201" i="18"/>
  <c r="U201" i="18"/>
  <c r="R201" i="18"/>
  <c r="Q201" i="18"/>
  <c r="P201" i="18"/>
  <c r="N201" i="18"/>
  <c r="M201" i="18"/>
  <c r="K201" i="18"/>
  <c r="J201" i="18"/>
  <c r="I201" i="18"/>
  <c r="H201" i="18"/>
  <c r="G201" i="18"/>
  <c r="F201" i="18"/>
  <c r="E201" i="18"/>
  <c r="D201" i="18"/>
  <c r="C201" i="18"/>
  <c r="B201" i="18"/>
  <c r="A201" i="18"/>
  <c r="V200" i="18"/>
  <c r="U200" i="18"/>
  <c r="R200" i="18"/>
  <c r="Q200" i="18"/>
  <c r="P200" i="18"/>
  <c r="N200" i="18"/>
  <c r="M200" i="18"/>
  <c r="K200" i="18"/>
  <c r="J200" i="18"/>
  <c r="I200" i="18"/>
  <c r="H200" i="18"/>
  <c r="G200" i="18"/>
  <c r="F200" i="18"/>
  <c r="E200" i="18"/>
  <c r="D200" i="18"/>
  <c r="C200" i="18"/>
  <c r="B200" i="18"/>
  <c r="A200" i="18"/>
  <c r="W199" i="18"/>
  <c r="V199" i="18"/>
  <c r="U199" i="18"/>
  <c r="T199" i="18"/>
  <c r="R199" i="18"/>
  <c r="Q199" i="18"/>
  <c r="P199" i="18"/>
  <c r="O199" i="18"/>
  <c r="N199" i="18"/>
  <c r="M199" i="18"/>
  <c r="L199" i="18"/>
  <c r="K199" i="18"/>
  <c r="J199" i="18"/>
  <c r="I199" i="18"/>
  <c r="H199" i="18"/>
  <c r="G199" i="18"/>
  <c r="F199" i="18"/>
  <c r="E199" i="18"/>
  <c r="D199" i="18"/>
  <c r="C199" i="18"/>
  <c r="B199" i="18"/>
  <c r="A199" i="18"/>
  <c r="W198" i="18"/>
  <c r="V198" i="18"/>
  <c r="U198" i="18"/>
  <c r="T198" i="18"/>
  <c r="S198" i="18"/>
  <c r="R198" i="18"/>
  <c r="Q198" i="18"/>
  <c r="P198" i="18"/>
  <c r="N198" i="18"/>
  <c r="M198" i="18"/>
  <c r="L198" i="18"/>
  <c r="K198" i="18"/>
  <c r="J198" i="18"/>
  <c r="I198" i="18"/>
  <c r="H198" i="18"/>
  <c r="G198" i="18"/>
  <c r="F198" i="18"/>
  <c r="E198" i="18"/>
  <c r="D198" i="18"/>
  <c r="C198" i="18"/>
  <c r="B198" i="18"/>
  <c r="A198" i="18"/>
  <c r="W197" i="18"/>
  <c r="V197" i="18"/>
  <c r="U197" i="18"/>
  <c r="S197" i="18"/>
  <c r="R197" i="18"/>
  <c r="Q197" i="18"/>
  <c r="P197" i="18"/>
  <c r="O197" i="18"/>
  <c r="N197" i="18"/>
  <c r="M197" i="18"/>
  <c r="L197" i="18"/>
  <c r="K197" i="18"/>
  <c r="J197" i="18"/>
  <c r="I197" i="18"/>
  <c r="H197" i="18"/>
  <c r="G197" i="18"/>
  <c r="F197" i="18"/>
  <c r="E197" i="18"/>
  <c r="D197" i="18"/>
  <c r="C197" i="18"/>
  <c r="B197" i="18"/>
  <c r="A197" i="18"/>
  <c r="W196" i="18"/>
  <c r="V196" i="18"/>
  <c r="U196" i="18"/>
  <c r="T196" i="18"/>
  <c r="R196" i="18"/>
  <c r="Q196" i="18"/>
  <c r="P196" i="18"/>
  <c r="O196" i="18"/>
  <c r="N196" i="18"/>
  <c r="M196" i="18"/>
  <c r="L196" i="18"/>
  <c r="K196" i="18"/>
  <c r="J196" i="18"/>
  <c r="I196" i="18"/>
  <c r="H196" i="18"/>
  <c r="G196" i="18"/>
  <c r="F196" i="18"/>
  <c r="E196" i="18"/>
  <c r="D196" i="18"/>
  <c r="C196" i="18"/>
  <c r="B196" i="18"/>
  <c r="A196" i="18"/>
  <c r="W195" i="18"/>
  <c r="V195" i="18"/>
  <c r="U195" i="18"/>
  <c r="T195" i="18"/>
  <c r="S195" i="18"/>
  <c r="R195" i="18"/>
  <c r="Q195" i="18"/>
  <c r="P195" i="18"/>
  <c r="O195" i="18"/>
  <c r="N195" i="18"/>
  <c r="M195" i="18"/>
  <c r="L195" i="18"/>
  <c r="K195" i="18"/>
  <c r="J195" i="18"/>
  <c r="I195" i="18"/>
  <c r="H195" i="18"/>
  <c r="G195" i="18"/>
  <c r="F195" i="18"/>
  <c r="E195" i="18"/>
  <c r="D195" i="18"/>
  <c r="C195" i="18"/>
  <c r="B195" i="18"/>
  <c r="A195" i="18"/>
  <c r="V194" i="18"/>
  <c r="U194" i="18"/>
  <c r="R194" i="18"/>
  <c r="Q194" i="18"/>
  <c r="P194" i="18"/>
  <c r="N194" i="18"/>
  <c r="M194" i="18"/>
  <c r="K194" i="18"/>
  <c r="J194" i="18"/>
  <c r="I194" i="18"/>
  <c r="H194" i="18"/>
  <c r="G194" i="18"/>
  <c r="F194" i="18"/>
  <c r="E194" i="18"/>
  <c r="D194" i="18"/>
  <c r="C194" i="18"/>
  <c r="B194" i="18"/>
  <c r="A194" i="18"/>
  <c r="W193" i="18"/>
  <c r="V193" i="18"/>
  <c r="U193" i="18"/>
  <c r="T193" i="18"/>
  <c r="S193" i="18"/>
  <c r="R193" i="18"/>
  <c r="Q193" i="18"/>
  <c r="P193" i="18"/>
  <c r="O193" i="18"/>
  <c r="N193" i="18"/>
  <c r="M193" i="18"/>
  <c r="L193" i="18"/>
  <c r="K193" i="18"/>
  <c r="J193" i="18"/>
  <c r="I193" i="18"/>
  <c r="H193" i="18"/>
  <c r="G193" i="18"/>
  <c r="F193" i="18"/>
  <c r="E193" i="18"/>
  <c r="D193" i="18"/>
  <c r="C193" i="18"/>
  <c r="B193" i="18"/>
  <c r="A193" i="18"/>
  <c r="W192" i="18"/>
  <c r="V192" i="18"/>
  <c r="U192" i="18"/>
  <c r="T192" i="18"/>
  <c r="S192" i="18"/>
  <c r="R192" i="18"/>
  <c r="Q192" i="18"/>
  <c r="P192" i="18"/>
  <c r="O192" i="18"/>
  <c r="N192" i="18"/>
  <c r="M192" i="18"/>
  <c r="L192" i="18"/>
  <c r="K192" i="18"/>
  <c r="J192" i="18"/>
  <c r="I192" i="18"/>
  <c r="H192" i="18"/>
  <c r="G192" i="18"/>
  <c r="F192" i="18"/>
  <c r="E192" i="18"/>
  <c r="D192" i="18"/>
  <c r="C192" i="18"/>
  <c r="B192" i="18"/>
  <c r="A192" i="18"/>
  <c r="V191" i="18"/>
  <c r="U191" i="18"/>
  <c r="R191" i="18"/>
  <c r="Q191" i="18"/>
  <c r="P191" i="18"/>
  <c r="N191" i="18"/>
  <c r="M191" i="18"/>
  <c r="K191" i="18"/>
  <c r="J191" i="18"/>
  <c r="I191" i="18"/>
  <c r="H191" i="18"/>
  <c r="G191" i="18"/>
  <c r="F191" i="18"/>
  <c r="E191" i="18"/>
  <c r="D191" i="18"/>
  <c r="C191" i="18"/>
  <c r="B191" i="18"/>
  <c r="A191" i="18"/>
  <c r="W190" i="18"/>
  <c r="V190" i="18"/>
  <c r="U190" i="18"/>
  <c r="T190" i="18"/>
  <c r="S190" i="18"/>
  <c r="R190" i="18"/>
  <c r="Q190" i="18"/>
  <c r="P190" i="18"/>
  <c r="O190" i="18"/>
  <c r="N190" i="18"/>
  <c r="M190" i="18"/>
  <c r="L190" i="18"/>
  <c r="K190" i="18"/>
  <c r="J190" i="18"/>
  <c r="I190" i="18"/>
  <c r="H190" i="18"/>
  <c r="G190" i="18"/>
  <c r="F190" i="18"/>
  <c r="E190" i="18"/>
  <c r="D190" i="18"/>
  <c r="C190" i="18"/>
  <c r="B190" i="18"/>
  <c r="A190" i="18"/>
  <c r="V189" i="18"/>
  <c r="U189" i="18"/>
  <c r="R189" i="18"/>
  <c r="Q189" i="18"/>
  <c r="P189" i="18"/>
  <c r="N189" i="18"/>
  <c r="M189" i="18"/>
  <c r="K189" i="18"/>
  <c r="J189" i="18"/>
  <c r="I189" i="18"/>
  <c r="H189" i="18"/>
  <c r="G189" i="18"/>
  <c r="F189" i="18"/>
  <c r="E189" i="18"/>
  <c r="D189" i="18"/>
  <c r="C189" i="18"/>
  <c r="B189" i="18"/>
  <c r="A189" i="18"/>
  <c r="W188" i="18"/>
  <c r="V188" i="18"/>
  <c r="U188" i="18"/>
  <c r="T188" i="18"/>
  <c r="S188" i="18"/>
  <c r="R188" i="18"/>
  <c r="Q188" i="18"/>
  <c r="P188" i="18"/>
  <c r="O188" i="18"/>
  <c r="N188" i="18"/>
  <c r="M188" i="18"/>
  <c r="L188" i="18"/>
  <c r="K188" i="18"/>
  <c r="J188" i="18"/>
  <c r="I188" i="18"/>
  <c r="H188" i="18"/>
  <c r="G188" i="18"/>
  <c r="F188" i="18"/>
  <c r="E188" i="18"/>
  <c r="D188" i="18"/>
  <c r="C188" i="18"/>
  <c r="B188" i="18"/>
  <c r="A188" i="18"/>
  <c r="V187" i="18"/>
  <c r="U187" i="18"/>
  <c r="R187" i="18"/>
  <c r="Q187" i="18"/>
  <c r="P187" i="18"/>
  <c r="N187" i="18"/>
  <c r="M187" i="18"/>
  <c r="K187" i="18"/>
  <c r="J187" i="18"/>
  <c r="I187" i="18"/>
  <c r="H187" i="18"/>
  <c r="G187" i="18"/>
  <c r="F187" i="18"/>
  <c r="E187" i="18"/>
  <c r="D187" i="18"/>
  <c r="C187" i="18"/>
  <c r="B187" i="18"/>
  <c r="A187" i="18"/>
  <c r="W186" i="18"/>
  <c r="V186" i="18"/>
  <c r="U186" i="18"/>
  <c r="T186" i="18"/>
  <c r="S186" i="18"/>
  <c r="R186" i="18"/>
  <c r="Q186" i="18"/>
  <c r="P186" i="18"/>
  <c r="O186" i="18"/>
  <c r="N186" i="18"/>
  <c r="M186" i="18"/>
  <c r="L186" i="18"/>
  <c r="K186" i="18"/>
  <c r="J186" i="18"/>
  <c r="I186" i="18"/>
  <c r="H186" i="18"/>
  <c r="G186" i="18"/>
  <c r="F186" i="18"/>
  <c r="E186" i="18"/>
  <c r="D186" i="18"/>
  <c r="C186" i="18"/>
  <c r="B186" i="18"/>
  <c r="A186" i="18"/>
  <c r="V185" i="18"/>
  <c r="U185" i="18"/>
  <c r="R185" i="18"/>
  <c r="Q185" i="18"/>
  <c r="P185" i="18"/>
  <c r="N185" i="18"/>
  <c r="M185" i="18"/>
  <c r="K185" i="18"/>
  <c r="J185" i="18"/>
  <c r="I185" i="18"/>
  <c r="H185" i="18"/>
  <c r="G185" i="18"/>
  <c r="F185" i="18"/>
  <c r="E185" i="18"/>
  <c r="D185" i="18"/>
  <c r="C185" i="18"/>
  <c r="B185" i="18"/>
  <c r="A185" i="18"/>
  <c r="W184" i="18"/>
  <c r="V184" i="18"/>
  <c r="U184" i="18"/>
  <c r="T184" i="18"/>
  <c r="R184" i="18"/>
  <c r="Q184" i="18"/>
  <c r="P184" i="18"/>
  <c r="O184" i="18"/>
  <c r="N184" i="18"/>
  <c r="M184" i="18"/>
  <c r="L184" i="18"/>
  <c r="K184" i="18"/>
  <c r="J184" i="18"/>
  <c r="I184" i="18"/>
  <c r="H184" i="18"/>
  <c r="G184" i="18"/>
  <c r="F184" i="18"/>
  <c r="E184" i="18"/>
  <c r="D184" i="18"/>
  <c r="C184" i="18"/>
  <c r="B184" i="18"/>
  <c r="A184" i="18"/>
  <c r="W183" i="18"/>
  <c r="V183" i="18"/>
  <c r="U183" i="18"/>
  <c r="T183" i="18"/>
  <c r="R183" i="18"/>
  <c r="Q183" i="18"/>
  <c r="P183" i="18"/>
  <c r="O183" i="18"/>
  <c r="N183" i="18"/>
  <c r="M183" i="18"/>
  <c r="L183" i="18"/>
  <c r="K183" i="18"/>
  <c r="J183" i="18"/>
  <c r="I183" i="18"/>
  <c r="H183" i="18"/>
  <c r="G183" i="18"/>
  <c r="F183" i="18"/>
  <c r="E183" i="18"/>
  <c r="D183" i="18"/>
  <c r="C183" i="18"/>
  <c r="B183" i="18"/>
  <c r="A183" i="18"/>
  <c r="W182" i="18"/>
  <c r="V182" i="18"/>
  <c r="U182" i="18"/>
  <c r="T182" i="18"/>
  <c r="S182" i="18"/>
  <c r="R182" i="18"/>
  <c r="Q182" i="18"/>
  <c r="P182" i="18"/>
  <c r="O182" i="18"/>
  <c r="N182" i="18"/>
  <c r="M182" i="18"/>
  <c r="L182" i="18"/>
  <c r="K182" i="18"/>
  <c r="J182" i="18"/>
  <c r="I182" i="18"/>
  <c r="H182" i="18"/>
  <c r="G182" i="18"/>
  <c r="F182" i="18"/>
  <c r="E182" i="18"/>
  <c r="D182" i="18"/>
  <c r="C182" i="18"/>
  <c r="B182" i="18"/>
  <c r="A182" i="18"/>
  <c r="W181" i="18"/>
  <c r="V181" i="18"/>
  <c r="U181" i="18"/>
  <c r="T181" i="18"/>
  <c r="R181" i="18"/>
  <c r="Q181" i="18"/>
  <c r="P181" i="18"/>
  <c r="O181" i="18"/>
  <c r="N181" i="18"/>
  <c r="M181" i="18"/>
  <c r="L181" i="18"/>
  <c r="K181" i="18"/>
  <c r="J181" i="18"/>
  <c r="I181" i="18"/>
  <c r="H181" i="18"/>
  <c r="G181" i="18"/>
  <c r="F181" i="18"/>
  <c r="E181" i="18"/>
  <c r="D181" i="18"/>
  <c r="C181" i="18"/>
  <c r="B181" i="18"/>
  <c r="A181" i="18"/>
  <c r="W180" i="18"/>
  <c r="V180" i="18"/>
  <c r="U180" i="18"/>
  <c r="T180" i="18"/>
  <c r="S180" i="18"/>
  <c r="R180" i="18"/>
  <c r="Q180" i="18"/>
  <c r="P180" i="18"/>
  <c r="O180" i="18"/>
  <c r="N180" i="18"/>
  <c r="M180" i="18"/>
  <c r="L180" i="18"/>
  <c r="K180" i="18"/>
  <c r="J180" i="18"/>
  <c r="I180" i="18"/>
  <c r="H180" i="18"/>
  <c r="G180" i="18"/>
  <c r="F180" i="18"/>
  <c r="E180" i="18"/>
  <c r="D180" i="18"/>
  <c r="C180" i="18"/>
  <c r="B180" i="18"/>
  <c r="A180" i="18"/>
  <c r="V179" i="18"/>
  <c r="U179" i="18"/>
  <c r="R179" i="18"/>
  <c r="Q179" i="18"/>
  <c r="P179" i="18"/>
  <c r="N179" i="18"/>
  <c r="M179" i="18"/>
  <c r="K179" i="18"/>
  <c r="J179" i="18"/>
  <c r="I179" i="18"/>
  <c r="H179" i="18"/>
  <c r="G179" i="18"/>
  <c r="F179" i="18"/>
  <c r="E179" i="18"/>
  <c r="D179" i="18"/>
  <c r="C179" i="18"/>
  <c r="B179" i="18"/>
  <c r="A179" i="18"/>
  <c r="W178" i="18"/>
  <c r="V178" i="18"/>
  <c r="U178" i="18"/>
  <c r="T178" i="18"/>
  <c r="S178" i="18"/>
  <c r="R178" i="18"/>
  <c r="Q178" i="18"/>
  <c r="P178" i="18"/>
  <c r="N178" i="18"/>
  <c r="M178" i="18"/>
  <c r="L178" i="18"/>
  <c r="K178" i="18"/>
  <c r="J178" i="18"/>
  <c r="I178" i="18"/>
  <c r="H178" i="18"/>
  <c r="G178" i="18"/>
  <c r="F178" i="18"/>
  <c r="E178" i="18"/>
  <c r="D178" i="18"/>
  <c r="C178" i="18"/>
  <c r="B178" i="18"/>
  <c r="A178" i="18"/>
  <c r="V177" i="18"/>
  <c r="U177" i="18"/>
  <c r="R177" i="18"/>
  <c r="Q177" i="18"/>
  <c r="P177" i="18"/>
  <c r="N177" i="18"/>
  <c r="M177" i="18"/>
  <c r="K177" i="18"/>
  <c r="J177" i="18"/>
  <c r="I177" i="18"/>
  <c r="H177" i="18"/>
  <c r="G177" i="18"/>
  <c r="F177" i="18"/>
  <c r="E177" i="18"/>
  <c r="D177" i="18"/>
  <c r="C177" i="18"/>
  <c r="B177" i="18"/>
  <c r="A177" i="18"/>
  <c r="V176" i="18"/>
  <c r="U176" i="18"/>
  <c r="R176" i="18"/>
  <c r="Q176" i="18"/>
  <c r="P176" i="18"/>
  <c r="N176" i="18"/>
  <c r="M176" i="18"/>
  <c r="K176" i="18"/>
  <c r="J176" i="18"/>
  <c r="I176" i="18"/>
  <c r="H176" i="18"/>
  <c r="G176" i="18"/>
  <c r="F176" i="18"/>
  <c r="E176" i="18"/>
  <c r="D176" i="18"/>
  <c r="C176" i="18"/>
  <c r="B176" i="18"/>
  <c r="A176" i="18"/>
  <c r="V175" i="18"/>
  <c r="U175" i="18"/>
  <c r="R175" i="18"/>
  <c r="Q175" i="18"/>
  <c r="P175" i="18"/>
  <c r="N175" i="18"/>
  <c r="M175" i="18"/>
  <c r="K175" i="18"/>
  <c r="J175" i="18"/>
  <c r="I175" i="18"/>
  <c r="H175" i="18"/>
  <c r="G175" i="18"/>
  <c r="F175" i="18"/>
  <c r="E175" i="18"/>
  <c r="D175" i="18"/>
  <c r="C175" i="18"/>
  <c r="B175" i="18"/>
  <c r="A175" i="18"/>
  <c r="V174" i="18"/>
  <c r="U174" i="18"/>
  <c r="R174" i="18"/>
  <c r="Q174" i="18"/>
  <c r="P174" i="18"/>
  <c r="N174" i="18"/>
  <c r="M174" i="18"/>
  <c r="K174" i="18"/>
  <c r="J174" i="18"/>
  <c r="I174" i="18"/>
  <c r="H174" i="18"/>
  <c r="G174" i="18"/>
  <c r="F174" i="18"/>
  <c r="E174" i="18"/>
  <c r="D174" i="18"/>
  <c r="C174" i="18"/>
  <c r="B174" i="18"/>
  <c r="A174" i="18"/>
  <c r="V173" i="18"/>
  <c r="U173" i="18"/>
  <c r="R173" i="18"/>
  <c r="Q173" i="18"/>
  <c r="P173" i="18"/>
  <c r="N173" i="18"/>
  <c r="M173" i="18"/>
  <c r="K173" i="18"/>
  <c r="J173" i="18"/>
  <c r="I173" i="18"/>
  <c r="H173" i="18"/>
  <c r="G173" i="18"/>
  <c r="F173" i="18"/>
  <c r="E173" i="18"/>
  <c r="D173" i="18"/>
  <c r="C173" i="18"/>
  <c r="B173" i="18"/>
  <c r="A173" i="18"/>
  <c r="V172" i="18"/>
  <c r="U172" i="18"/>
  <c r="R172" i="18"/>
  <c r="Q172" i="18"/>
  <c r="P172" i="18"/>
  <c r="N172" i="18"/>
  <c r="M172" i="18"/>
  <c r="K172" i="18"/>
  <c r="J172" i="18"/>
  <c r="I172" i="18"/>
  <c r="H172" i="18"/>
  <c r="G172" i="18"/>
  <c r="F172" i="18"/>
  <c r="E172" i="18"/>
  <c r="D172" i="18"/>
  <c r="C172" i="18"/>
  <c r="B172" i="18"/>
  <c r="A172" i="18"/>
  <c r="V171" i="18"/>
  <c r="U171" i="18"/>
  <c r="R171" i="18"/>
  <c r="Q171" i="18"/>
  <c r="P171" i="18"/>
  <c r="N171" i="18"/>
  <c r="M171" i="18"/>
  <c r="K171" i="18"/>
  <c r="J171" i="18"/>
  <c r="I171" i="18"/>
  <c r="H171" i="18"/>
  <c r="G171" i="18"/>
  <c r="F171" i="18"/>
  <c r="E171" i="18"/>
  <c r="D171" i="18"/>
  <c r="C171" i="18"/>
  <c r="B171" i="18"/>
  <c r="A171" i="18"/>
  <c r="V170" i="18"/>
  <c r="U170" i="18"/>
  <c r="R170" i="18"/>
  <c r="Q170" i="18"/>
  <c r="P170" i="18"/>
  <c r="N170" i="18"/>
  <c r="M170" i="18"/>
  <c r="K170" i="18"/>
  <c r="J170" i="18"/>
  <c r="I170" i="18"/>
  <c r="H170" i="18"/>
  <c r="G170" i="18"/>
  <c r="F170" i="18"/>
  <c r="E170" i="18"/>
  <c r="D170" i="18"/>
  <c r="C170" i="18"/>
  <c r="B170" i="18"/>
  <c r="A170" i="18"/>
  <c r="V169" i="18"/>
  <c r="U169" i="18"/>
  <c r="R169" i="18"/>
  <c r="Q169" i="18"/>
  <c r="P169" i="18"/>
  <c r="N169" i="18"/>
  <c r="M169" i="18"/>
  <c r="K169" i="18"/>
  <c r="J169" i="18"/>
  <c r="I169" i="18"/>
  <c r="H169" i="18"/>
  <c r="G169" i="18"/>
  <c r="F169" i="18"/>
  <c r="E169" i="18"/>
  <c r="D169" i="18"/>
  <c r="C169" i="18"/>
  <c r="B169" i="18"/>
  <c r="A169" i="18"/>
  <c r="W168" i="18"/>
  <c r="V168" i="18"/>
  <c r="U168" i="18"/>
  <c r="T168" i="18"/>
  <c r="S168" i="18"/>
  <c r="R168" i="18"/>
  <c r="Q168" i="18"/>
  <c r="P168" i="18"/>
  <c r="O168" i="18"/>
  <c r="N168" i="18"/>
  <c r="M168" i="18"/>
  <c r="L168" i="18"/>
  <c r="K168" i="18"/>
  <c r="J168" i="18"/>
  <c r="I168" i="18"/>
  <c r="H168" i="18"/>
  <c r="G168" i="18"/>
  <c r="F168" i="18"/>
  <c r="E168" i="18"/>
  <c r="D168" i="18"/>
  <c r="C168" i="18"/>
  <c r="B168" i="18"/>
  <c r="A168" i="18"/>
  <c r="W167" i="18"/>
  <c r="V167" i="18"/>
  <c r="U167" i="18"/>
  <c r="T167" i="18"/>
  <c r="S167" i="18"/>
  <c r="R167" i="18"/>
  <c r="Q167" i="18"/>
  <c r="P167" i="18"/>
  <c r="O167" i="18"/>
  <c r="N167" i="18"/>
  <c r="M167" i="18"/>
  <c r="L167" i="18"/>
  <c r="K167" i="18"/>
  <c r="J167" i="18"/>
  <c r="I167" i="18"/>
  <c r="H167" i="18"/>
  <c r="G167" i="18"/>
  <c r="F167" i="18"/>
  <c r="E167" i="18"/>
  <c r="D167" i="18"/>
  <c r="C167" i="18"/>
  <c r="B167" i="18"/>
  <c r="A167" i="18"/>
  <c r="V166" i="18"/>
  <c r="U166" i="18"/>
  <c r="R166" i="18"/>
  <c r="Q166" i="18"/>
  <c r="P166" i="18"/>
  <c r="N166" i="18"/>
  <c r="M166" i="18"/>
  <c r="K166" i="18"/>
  <c r="J166" i="18"/>
  <c r="I166" i="18"/>
  <c r="H166" i="18"/>
  <c r="G166" i="18"/>
  <c r="F166" i="18"/>
  <c r="E166" i="18"/>
  <c r="D166" i="18"/>
  <c r="C166" i="18"/>
  <c r="B166" i="18"/>
  <c r="A166" i="18"/>
  <c r="V165" i="18"/>
  <c r="U165" i="18"/>
  <c r="R165" i="18"/>
  <c r="Q165" i="18"/>
  <c r="P165" i="18"/>
  <c r="N165" i="18"/>
  <c r="M165" i="18"/>
  <c r="K165" i="18"/>
  <c r="J165" i="18"/>
  <c r="I165" i="18"/>
  <c r="H165" i="18"/>
  <c r="G165" i="18"/>
  <c r="F165" i="18"/>
  <c r="E165" i="18"/>
  <c r="D165" i="18"/>
  <c r="C165" i="18"/>
  <c r="B165" i="18"/>
  <c r="A165" i="18"/>
  <c r="V164" i="18"/>
  <c r="U164" i="18"/>
  <c r="R164" i="18"/>
  <c r="Q164" i="18"/>
  <c r="P164" i="18"/>
  <c r="N164" i="18"/>
  <c r="M164" i="18"/>
  <c r="K164" i="18"/>
  <c r="J164" i="18"/>
  <c r="I164" i="18"/>
  <c r="H164" i="18"/>
  <c r="G164" i="18"/>
  <c r="F164" i="18"/>
  <c r="E164" i="18"/>
  <c r="D164" i="18"/>
  <c r="C164" i="18"/>
  <c r="B164" i="18"/>
  <c r="A164" i="18"/>
  <c r="V163" i="18"/>
  <c r="U163" i="18"/>
  <c r="R163" i="18"/>
  <c r="Q163" i="18"/>
  <c r="P163" i="18"/>
  <c r="N163" i="18"/>
  <c r="M163" i="18"/>
  <c r="K163" i="18"/>
  <c r="J163" i="18"/>
  <c r="I163" i="18"/>
  <c r="H163" i="18"/>
  <c r="G163" i="18"/>
  <c r="F163" i="18"/>
  <c r="E163" i="18"/>
  <c r="D163" i="18"/>
  <c r="C163" i="18"/>
  <c r="B163" i="18"/>
  <c r="A163" i="18"/>
  <c r="W162" i="18"/>
  <c r="V162" i="18"/>
  <c r="U162" i="18"/>
  <c r="S162" i="18"/>
  <c r="R162" i="18"/>
  <c r="Q162" i="18"/>
  <c r="P162" i="18"/>
  <c r="O162" i="18"/>
  <c r="N162" i="18"/>
  <c r="M162" i="18"/>
  <c r="L162" i="18"/>
  <c r="K162" i="18"/>
  <c r="J162" i="18"/>
  <c r="I162" i="18"/>
  <c r="H162" i="18"/>
  <c r="G162" i="18"/>
  <c r="F162" i="18"/>
  <c r="E162" i="18"/>
  <c r="D162" i="18"/>
  <c r="C162" i="18"/>
  <c r="B162" i="18"/>
  <c r="A162" i="18"/>
  <c r="V161" i="18"/>
  <c r="U161" i="18"/>
  <c r="R161" i="18"/>
  <c r="Q161" i="18"/>
  <c r="P161" i="18"/>
  <c r="N161" i="18"/>
  <c r="M161" i="18"/>
  <c r="K161" i="18"/>
  <c r="J161" i="18"/>
  <c r="I161" i="18"/>
  <c r="H161" i="18"/>
  <c r="G161" i="18"/>
  <c r="F161" i="18"/>
  <c r="E161" i="18"/>
  <c r="D161" i="18"/>
  <c r="C161" i="18"/>
  <c r="B161" i="18"/>
  <c r="A161" i="18"/>
  <c r="W160" i="18"/>
  <c r="V160" i="18"/>
  <c r="U160" i="18"/>
  <c r="T160" i="18"/>
  <c r="S160" i="18"/>
  <c r="R160" i="18"/>
  <c r="Q160" i="18"/>
  <c r="P160" i="18"/>
  <c r="O160" i="18"/>
  <c r="N160" i="18"/>
  <c r="M160" i="18"/>
  <c r="L160" i="18"/>
  <c r="K160" i="18"/>
  <c r="J160" i="18"/>
  <c r="I160" i="18"/>
  <c r="H160" i="18"/>
  <c r="G160" i="18"/>
  <c r="F160" i="18"/>
  <c r="E160" i="18"/>
  <c r="D160" i="18"/>
  <c r="C160" i="18"/>
  <c r="B160" i="18"/>
  <c r="A160" i="18"/>
  <c r="W159" i="18"/>
  <c r="V159" i="18"/>
  <c r="U159" i="18"/>
  <c r="T159" i="18"/>
  <c r="S159" i="18"/>
  <c r="R159" i="18"/>
  <c r="Q159" i="18"/>
  <c r="P159" i="18"/>
  <c r="O159" i="18"/>
  <c r="N159" i="18"/>
  <c r="M159" i="18"/>
  <c r="L159" i="18"/>
  <c r="K159" i="18"/>
  <c r="J159" i="18"/>
  <c r="I159" i="18"/>
  <c r="H159" i="18"/>
  <c r="G159" i="18"/>
  <c r="F159" i="18"/>
  <c r="E159" i="18"/>
  <c r="D159" i="18"/>
  <c r="C159" i="18"/>
  <c r="B159" i="18"/>
  <c r="A159" i="18"/>
  <c r="V158" i="18"/>
  <c r="U158" i="18"/>
  <c r="T158" i="18"/>
  <c r="R158" i="18"/>
  <c r="Q158" i="18"/>
  <c r="P158" i="18"/>
  <c r="N158" i="18"/>
  <c r="M158" i="18"/>
  <c r="K158" i="18"/>
  <c r="J158" i="18"/>
  <c r="I158" i="18"/>
  <c r="H158" i="18"/>
  <c r="G158" i="18"/>
  <c r="F158" i="18"/>
  <c r="E158" i="18"/>
  <c r="D158" i="18"/>
  <c r="C158" i="18"/>
  <c r="B158" i="18"/>
  <c r="A158" i="18"/>
  <c r="W157" i="18"/>
  <c r="V157" i="18"/>
  <c r="U157" i="18"/>
  <c r="T157" i="18"/>
  <c r="S157" i="18"/>
  <c r="R157" i="18"/>
  <c r="Q157" i="18"/>
  <c r="P157" i="18"/>
  <c r="N157" i="18"/>
  <c r="M157" i="18"/>
  <c r="K157" i="18"/>
  <c r="J157" i="18"/>
  <c r="I157" i="18"/>
  <c r="H157" i="18"/>
  <c r="G157" i="18"/>
  <c r="F157" i="18"/>
  <c r="E157" i="18"/>
  <c r="D157" i="18"/>
  <c r="C157" i="18"/>
  <c r="B157" i="18"/>
  <c r="A157" i="18"/>
  <c r="W156" i="18"/>
  <c r="V156" i="18"/>
  <c r="U156" i="18"/>
  <c r="T156" i="18"/>
  <c r="S156" i="18"/>
  <c r="R156" i="18"/>
  <c r="Q156" i="18"/>
  <c r="P156" i="18"/>
  <c r="O156" i="18"/>
  <c r="N156" i="18"/>
  <c r="M156" i="18"/>
  <c r="L156" i="18"/>
  <c r="K156" i="18"/>
  <c r="J156" i="18"/>
  <c r="I156" i="18"/>
  <c r="H156" i="18"/>
  <c r="G156" i="18"/>
  <c r="F156" i="18"/>
  <c r="E156" i="18"/>
  <c r="D156" i="18"/>
  <c r="C156" i="18"/>
  <c r="B156" i="18"/>
  <c r="A156" i="18"/>
  <c r="W155" i="18"/>
  <c r="V155" i="18"/>
  <c r="U155" i="18"/>
  <c r="T155" i="18"/>
  <c r="S155" i="18"/>
  <c r="R155" i="18"/>
  <c r="Q155" i="18"/>
  <c r="P155" i="18"/>
  <c r="O155" i="18"/>
  <c r="N155" i="18"/>
  <c r="M155" i="18"/>
  <c r="K155" i="18"/>
  <c r="J155" i="18"/>
  <c r="I155" i="18"/>
  <c r="H155" i="18"/>
  <c r="G155" i="18"/>
  <c r="F155" i="18"/>
  <c r="E155" i="18"/>
  <c r="D155" i="18"/>
  <c r="C155" i="18"/>
  <c r="B155" i="18"/>
  <c r="A155" i="18"/>
  <c r="W154" i="18"/>
  <c r="V154" i="18"/>
  <c r="U154" i="18"/>
  <c r="T154" i="18"/>
  <c r="S154" i="18"/>
  <c r="R154" i="18"/>
  <c r="Q154" i="18"/>
  <c r="P154" i="18"/>
  <c r="O154" i="18"/>
  <c r="N154" i="18"/>
  <c r="M154" i="18"/>
  <c r="L154" i="18"/>
  <c r="K154" i="18"/>
  <c r="J154" i="18"/>
  <c r="I154" i="18"/>
  <c r="H154" i="18"/>
  <c r="G154" i="18"/>
  <c r="F154" i="18"/>
  <c r="E154" i="18"/>
  <c r="D154" i="18"/>
  <c r="C154" i="18"/>
  <c r="B154" i="18"/>
  <c r="A154" i="18"/>
  <c r="W153" i="18"/>
  <c r="V153" i="18"/>
  <c r="U153" i="18"/>
  <c r="T153" i="18"/>
  <c r="S153" i="18"/>
  <c r="R153" i="18"/>
  <c r="Q153" i="18"/>
  <c r="P153" i="18"/>
  <c r="O153" i="18"/>
  <c r="N153" i="18"/>
  <c r="M153" i="18"/>
  <c r="L153" i="18"/>
  <c r="K153" i="18"/>
  <c r="J153" i="18"/>
  <c r="I153" i="18"/>
  <c r="H153" i="18"/>
  <c r="G153" i="18"/>
  <c r="F153" i="18"/>
  <c r="E153" i="18"/>
  <c r="D153" i="18"/>
  <c r="C153" i="18"/>
  <c r="B153" i="18"/>
  <c r="A153" i="18"/>
  <c r="W152" i="18"/>
  <c r="V152" i="18"/>
  <c r="U152" i="18"/>
  <c r="T152" i="18"/>
  <c r="S152" i="18"/>
  <c r="R152" i="18"/>
  <c r="Q152" i="18"/>
  <c r="P152" i="18"/>
  <c r="O152" i="18"/>
  <c r="N152" i="18"/>
  <c r="M152" i="18"/>
  <c r="L152" i="18"/>
  <c r="K152" i="18"/>
  <c r="J152" i="18"/>
  <c r="I152" i="18"/>
  <c r="H152" i="18"/>
  <c r="G152" i="18"/>
  <c r="F152" i="18"/>
  <c r="E152" i="18"/>
  <c r="D152" i="18"/>
  <c r="C152" i="18"/>
  <c r="B152" i="18"/>
  <c r="A152" i="18"/>
  <c r="W151" i="18"/>
  <c r="V151" i="18"/>
  <c r="U151" i="18"/>
  <c r="T151" i="18"/>
  <c r="R151" i="18"/>
  <c r="Q151" i="18"/>
  <c r="P151" i="18"/>
  <c r="O151" i="18"/>
  <c r="N151" i="18"/>
  <c r="M151" i="18"/>
  <c r="L151" i="18"/>
  <c r="K151" i="18"/>
  <c r="J151" i="18"/>
  <c r="I151" i="18"/>
  <c r="H151" i="18"/>
  <c r="G151" i="18"/>
  <c r="F151" i="18"/>
  <c r="E151" i="18"/>
  <c r="D151" i="18"/>
  <c r="C151" i="18"/>
  <c r="B151" i="18"/>
  <c r="A151" i="18"/>
  <c r="W150" i="18"/>
  <c r="V150" i="18"/>
  <c r="U150" i="18"/>
  <c r="T150" i="18"/>
  <c r="S150" i="18"/>
  <c r="R150" i="18"/>
  <c r="Q150" i="18"/>
  <c r="P150" i="18"/>
  <c r="O150" i="18"/>
  <c r="N150" i="18"/>
  <c r="M150" i="18"/>
  <c r="L150" i="18"/>
  <c r="K150" i="18"/>
  <c r="J150" i="18"/>
  <c r="I150" i="18"/>
  <c r="H150" i="18"/>
  <c r="G150" i="18"/>
  <c r="F150" i="18"/>
  <c r="E150" i="18"/>
  <c r="D150" i="18"/>
  <c r="C150" i="18"/>
  <c r="B150" i="18"/>
  <c r="A150" i="18"/>
  <c r="W149" i="18"/>
  <c r="V149" i="18"/>
  <c r="U149" i="18"/>
  <c r="S149" i="18"/>
  <c r="R149" i="18"/>
  <c r="Q149" i="18"/>
  <c r="P149" i="18"/>
  <c r="O149" i="18"/>
  <c r="N149" i="18"/>
  <c r="M149" i="18"/>
  <c r="L149" i="18"/>
  <c r="K149" i="18"/>
  <c r="J149" i="18"/>
  <c r="I149" i="18"/>
  <c r="H149" i="18"/>
  <c r="G149" i="18"/>
  <c r="F149" i="18"/>
  <c r="E149" i="18"/>
  <c r="D149" i="18"/>
  <c r="C149" i="18"/>
  <c r="B149" i="18"/>
  <c r="A149" i="18"/>
  <c r="W148" i="18"/>
  <c r="V148" i="18"/>
  <c r="U148" i="18"/>
  <c r="S148" i="18"/>
  <c r="R148" i="18"/>
  <c r="Q148" i="18"/>
  <c r="P148" i="18"/>
  <c r="O148" i="18"/>
  <c r="N148" i="18"/>
  <c r="M148" i="18"/>
  <c r="L148" i="18"/>
  <c r="K148" i="18"/>
  <c r="J148" i="18"/>
  <c r="I148" i="18"/>
  <c r="H148" i="18"/>
  <c r="G148" i="18"/>
  <c r="F148" i="18"/>
  <c r="E148" i="18"/>
  <c r="D148" i="18"/>
  <c r="C148" i="18"/>
  <c r="B148" i="18"/>
  <c r="A148" i="18"/>
  <c r="W147" i="18"/>
  <c r="V147" i="18"/>
  <c r="U147" i="18"/>
  <c r="S147" i="18"/>
  <c r="R147" i="18"/>
  <c r="Q147" i="18"/>
  <c r="P147" i="18"/>
  <c r="O147" i="18"/>
  <c r="N147" i="18"/>
  <c r="M147" i="18"/>
  <c r="L147" i="18"/>
  <c r="K147" i="18"/>
  <c r="J147" i="18"/>
  <c r="I147" i="18"/>
  <c r="H147" i="18"/>
  <c r="G147" i="18"/>
  <c r="F147" i="18"/>
  <c r="E147" i="18"/>
  <c r="D147" i="18"/>
  <c r="C147" i="18"/>
  <c r="B147" i="18"/>
  <c r="A147" i="18"/>
  <c r="V146" i="18"/>
  <c r="U146" i="18"/>
  <c r="R146" i="18"/>
  <c r="Q146" i="18"/>
  <c r="P146" i="18"/>
  <c r="N146" i="18"/>
  <c r="M146" i="18"/>
  <c r="K146" i="18"/>
  <c r="J146" i="18"/>
  <c r="I146" i="18"/>
  <c r="H146" i="18"/>
  <c r="G146" i="18"/>
  <c r="F146" i="18"/>
  <c r="E146" i="18"/>
  <c r="D146" i="18"/>
  <c r="C146" i="18"/>
  <c r="B146" i="18"/>
  <c r="A146" i="18"/>
  <c r="W145" i="18"/>
  <c r="V145" i="18"/>
  <c r="U145" i="18"/>
  <c r="S145" i="18"/>
  <c r="R145" i="18"/>
  <c r="Q145" i="18"/>
  <c r="P145" i="18"/>
  <c r="O145" i="18"/>
  <c r="N145" i="18"/>
  <c r="M145" i="18"/>
  <c r="L145" i="18"/>
  <c r="K145" i="18"/>
  <c r="J145" i="18"/>
  <c r="I145" i="18"/>
  <c r="H145" i="18"/>
  <c r="G145" i="18"/>
  <c r="F145" i="18"/>
  <c r="E145" i="18"/>
  <c r="D145" i="18"/>
  <c r="C145" i="18"/>
  <c r="B145" i="18"/>
  <c r="A145" i="18"/>
  <c r="W144" i="18"/>
  <c r="V144" i="18"/>
  <c r="U144" i="18"/>
  <c r="S144" i="18"/>
  <c r="R144" i="18"/>
  <c r="Q144" i="18"/>
  <c r="P144" i="18"/>
  <c r="O144" i="18"/>
  <c r="N144" i="18"/>
  <c r="M144" i="18"/>
  <c r="L144" i="18"/>
  <c r="K144" i="18"/>
  <c r="J144" i="18"/>
  <c r="I144" i="18"/>
  <c r="H144" i="18"/>
  <c r="G144" i="18"/>
  <c r="F144" i="18"/>
  <c r="E144" i="18"/>
  <c r="D144" i="18"/>
  <c r="C144" i="18"/>
  <c r="B144" i="18"/>
  <c r="A144" i="18"/>
  <c r="W143" i="18"/>
  <c r="V143" i="18"/>
  <c r="U143" i="18"/>
  <c r="S143" i="18"/>
  <c r="R143" i="18"/>
  <c r="Q143" i="18"/>
  <c r="P143" i="18"/>
  <c r="O143" i="18"/>
  <c r="N143" i="18"/>
  <c r="M143" i="18"/>
  <c r="L143" i="18"/>
  <c r="K143" i="18"/>
  <c r="J143" i="18"/>
  <c r="I143" i="18"/>
  <c r="H143" i="18"/>
  <c r="G143" i="18"/>
  <c r="F143" i="18"/>
  <c r="E143" i="18"/>
  <c r="D143" i="18"/>
  <c r="C143" i="18"/>
  <c r="B143" i="18"/>
  <c r="A143" i="18"/>
  <c r="V142" i="18"/>
  <c r="U142" i="18"/>
  <c r="R142" i="18"/>
  <c r="Q142" i="18"/>
  <c r="P142" i="18"/>
  <c r="N142" i="18"/>
  <c r="M142" i="18"/>
  <c r="K142" i="18"/>
  <c r="J142" i="18"/>
  <c r="I142" i="18"/>
  <c r="H142" i="18"/>
  <c r="G142" i="18"/>
  <c r="F142" i="18"/>
  <c r="E142" i="18"/>
  <c r="D142" i="18"/>
  <c r="C142" i="18"/>
  <c r="B142" i="18"/>
  <c r="A142" i="18"/>
  <c r="V141" i="18"/>
  <c r="U141" i="18"/>
  <c r="R141" i="18"/>
  <c r="Q141" i="18"/>
  <c r="P141" i="18"/>
  <c r="N141" i="18"/>
  <c r="M141" i="18"/>
  <c r="K141" i="18"/>
  <c r="J141" i="18"/>
  <c r="I141" i="18"/>
  <c r="H141" i="18"/>
  <c r="G141" i="18"/>
  <c r="F141" i="18"/>
  <c r="E141" i="18"/>
  <c r="D141" i="18"/>
  <c r="C141" i="18"/>
  <c r="B141" i="18"/>
  <c r="A141" i="18"/>
  <c r="W140" i="18"/>
  <c r="V140" i="18"/>
  <c r="U140" i="18"/>
  <c r="S140" i="18"/>
  <c r="R140" i="18"/>
  <c r="Q140" i="18"/>
  <c r="P140" i="18"/>
  <c r="O140" i="18"/>
  <c r="N140" i="18"/>
  <c r="M140" i="18"/>
  <c r="L140" i="18"/>
  <c r="K140" i="18"/>
  <c r="J140" i="18"/>
  <c r="I140" i="18"/>
  <c r="H140" i="18"/>
  <c r="G140" i="18"/>
  <c r="F140" i="18"/>
  <c r="E140" i="18"/>
  <c r="D140" i="18"/>
  <c r="C140" i="18"/>
  <c r="B140" i="18"/>
  <c r="A140" i="18"/>
  <c r="W139" i="18"/>
  <c r="V139" i="18"/>
  <c r="U139" i="18"/>
  <c r="T139" i="18"/>
  <c r="S139" i="18"/>
  <c r="R139" i="18"/>
  <c r="Q139" i="18"/>
  <c r="P139" i="18"/>
  <c r="O139" i="18"/>
  <c r="N139" i="18"/>
  <c r="M139" i="18"/>
  <c r="L139" i="18"/>
  <c r="K139" i="18"/>
  <c r="J139" i="18"/>
  <c r="I139" i="18"/>
  <c r="H139" i="18"/>
  <c r="G139" i="18"/>
  <c r="F139" i="18"/>
  <c r="E139" i="18"/>
  <c r="D139" i="18"/>
  <c r="C139" i="18"/>
  <c r="B139" i="18"/>
  <c r="A139" i="18"/>
  <c r="V138" i="18"/>
  <c r="U138" i="18"/>
  <c r="R138" i="18"/>
  <c r="Q138" i="18"/>
  <c r="P138" i="18"/>
  <c r="N138" i="18"/>
  <c r="M138" i="18"/>
  <c r="K138" i="18"/>
  <c r="J138" i="18"/>
  <c r="I138" i="18"/>
  <c r="H138" i="18"/>
  <c r="G138" i="18"/>
  <c r="F138" i="18"/>
  <c r="E138" i="18"/>
  <c r="D138" i="18"/>
  <c r="C138" i="18"/>
  <c r="B138" i="18"/>
  <c r="A138" i="18"/>
  <c r="V137" i="18"/>
  <c r="U137" i="18"/>
  <c r="R137" i="18"/>
  <c r="Q137" i="18"/>
  <c r="P137" i="18"/>
  <c r="N137" i="18"/>
  <c r="M137" i="18"/>
  <c r="K137" i="18"/>
  <c r="J137" i="18"/>
  <c r="I137" i="18"/>
  <c r="H137" i="18"/>
  <c r="G137" i="18"/>
  <c r="F137" i="18"/>
  <c r="E137" i="18"/>
  <c r="D137" i="18"/>
  <c r="C137" i="18"/>
  <c r="B137" i="18"/>
  <c r="A137" i="18"/>
  <c r="V136" i="18"/>
  <c r="U136" i="18"/>
  <c r="R136" i="18"/>
  <c r="Q136" i="18"/>
  <c r="P136" i="18"/>
  <c r="N136" i="18"/>
  <c r="M136" i="18"/>
  <c r="K136" i="18"/>
  <c r="J136" i="18"/>
  <c r="I136" i="18"/>
  <c r="H136" i="18"/>
  <c r="G136" i="18"/>
  <c r="F136" i="18"/>
  <c r="E136" i="18"/>
  <c r="D136" i="18"/>
  <c r="C136" i="18"/>
  <c r="B136" i="18"/>
  <c r="A136" i="18"/>
  <c r="W135" i="18"/>
  <c r="V135" i="18"/>
  <c r="U135" i="18"/>
  <c r="T135" i="18"/>
  <c r="S135" i="18"/>
  <c r="R135" i="18"/>
  <c r="Q135" i="18"/>
  <c r="P135" i="18"/>
  <c r="O135" i="18"/>
  <c r="N135" i="18"/>
  <c r="M135" i="18"/>
  <c r="L135" i="18"/>
  <c r="K135" i="18"/>
  <c r="J135" i="18"/>
  <c r="I135" i="18"/>
  <c r="H135" i="18"/>
  <c r="G135" i="18"/>
  <c r="F135" i="18"/>
  <c r="E135" i="18"/>
  <c r="D135" i="18"/>
  <c r="C135" i="18"/>
  <c r="B135" i="18"/>
  <c r="A135" i="18"/>
  <c r="W134" i="18"/>
  <c r="V134" i="18"/>
  <c r="U134" i="18"/>
  <c r="T134" i="18"/>
  <c r="S134" i="18"/>
  <c r="R134" i="18"/>
  <c r="Q134" i="18"/>
  <c r="P134" i="18"/>
  <c r="O134" i="18"/>
  <c r="N134" i="18"/>
  <c r="M134" i="18"/>
  <c r="L134" i="18"/>
  <c r="K134" i="18"/>
  <c r="J134" i="18"/>
  <c r="I134" i="18"/>
  <c r="H134" i="18"/>
  <c r="G134" i="18"/>
  <c r="F134" i="18"/>
  <c r="E134" i="18"/>
  <c r="D134" i="18"/>
  <c r="C134" i="18"/>
  <c r="B134" i="18"/>
  <c r="A134" i="18"/>
  <c r="W133" i="18"/>
  <c r="V133" i="18"/>
  <c r="U133" i="18"/>
  <c r="T133" i="18"/>
  <c r="S133" i="18"/>
  <c r="R133" i="18"/>
  <c r="Q133" i="18"/>
  <c r="P133" i="18"/>
  <c r="O133" i="18"/>
  <c r="N133" i="18"/>
  <c r="M133" i="18"/>
  <c r="L133" i="18"/>
  <c r="K133" i="18"/>
  <c r="J133" i="18"/>
  <c r="I133" i="18"/>
  <c r="H133" i="18"/>
  <c r="G133" i="18"/>
  <c r="F133" i="18"/>
  <c r="E133" i="18"/>
  <c r="D133" i="18"/>
  <c r="C133" i="18"/>
  <c r="B133" i="18"/>
  <c r="A133" i="18"/>
  <c r="W132" i="18"/>
  <c r="V132" i="18"/>
  <c r="U132" i="18"/>
  <c r="T132" i="18"/>
  <c r="S132" i="18"/>
  <c r="R132" i="18"/>
  <c r="Q132" i="18"/>
  <c r="P132" i="18"/>
  <c r="O132" i="18"/>
  <c r="N132" i="18"/>
  <c r="M132" i="18"/>
  <c r="L132" i="18"/>
  <c r="K132" i="18"/>
  <c r="J132" i="18"/>
  <c r="I132" i="18"/>
  <c r="H132" i="18"/>
  <c r="G132" i="18"/>
  <c r="F132" i="18"/>
  <c r="E132" i="18"/>
  <c r="D132" i="18"/>
  <c r="C132" i="18"/>
  <c r="B132" i="18"/>
  <c r="A132" i="18"/>
  <c r="W131" i="18"/>
  <c r="V131" i="18"/>
  <c r="U131" i="18"/>
  <c r="S131" i="18"/>
  <c r="R131" i="18"/>
  <c r="Q131" i="18"/>
  <c r="P131" i="18"/>
  <c r="O131" i="18"/>
  <c r="N131" i="18"/>
  <c r="M131" i="18"/>
  <c r="L131" i="18"/>
  <c r="K131" i="18"/>
  <c r="J131" i="18"/>
  <c r="I131" i="18"/>
  <c r="H131" i="18"/>
  <c r="G131" i="18"/>
  <c r="F131" i="18"/>
  <c r="E131" i="18"/>
  <c r="D131" i="18"/>
  <c r="C131" i="18"/>
  <c r="B131" i="18"/>
  <c r="A131" i="18"/>
  <c r="V130" i="18"/>
  <c r="U130" i="18"/>
  <c r="R130" i="18"/>
  <c r="Q130" i="18"/>
  <c r="P130" i="18"/>
  <c r="N130" i="18"/>
  <c r="M130" i="18"/>
  <c r="K130" i="18"/>
  <c r="J130" i="18"/>
  <c r="I130" i="18"/>
  <c r="H130" i="18"/>
  <c r="G130" i="18"/>
  <c r="F130" i="18"/>
  <c r="E130" i="18"/>
  <c r="D130" i="18"/>
  <c r="C130" i="18"/>
  <c r="B130" i="18"/>
  <c r="A130" i="18"/>
  <c r="W129" i="18"/>
  <c r="V129" i="18"/>
  <c r="U129" i="18"/>
  <c r="T129" i="18"/>
  <c r="S129" i="18"/>
  <c r="R129" i="18"/>
  <c r="Q129" i="18"/>
  <c r="P129" i="18"/>
  <c r="O129" i="18"/>
  <c r="N129" i="18"/>
  <c r="M129" i="18"/>
  <c r="L129" i="18"/>
  <c r="K129" i="18"/>
  <c r="J129" i="18"/>
  <c r="I129" i="18"/>
  <c r="H129" i="18"/>
  <c r="G129" i="18"/>
  <c r="F129" i="18"/>
  <c r="E129" i="18"/>
  <c r="D129" i="18"/>
  <c r="C129" i="18"/>
  <c r="B129" i="18"/>
  <c r="A129" i="18"/>
  <c r="W128" i="18"/>
  <c r="V128" i="18"/>
  <c r="U128" i="18"/>
  <c r="R128" i="18"/>
  <c r="Q128" i="18"/>
  <c r="P128" i="18"/>
  <c r="N128" i="18"/>
  <c r="M128" i="18"/>
  <c r="K128" i="18"/>
  <c r="J128" i="18"/>
  <c r="I128" i="18"/>
  <c r="H128" i="18"/>
  <c r="G128" i="18"/>
  <c r="F128" i="18"/>
  <c r="E128" i="18"/>
  <c r="D128" i="18"/>
  <c r="C128" i="18"/>
  <c r="B128" i="18"/>
  <c r="A128" i="18"/>
  <c r="W127" i="18"/>
  <c r="V127" i="18"/>
  <c r="U127" i="18"/>
  <c r="S127" i="18"/>
  <c r="R127" i="18"/>
  <c r="Q127" i="18"/>
  <c r="P127" i="18"/>
  <c r="O127" i="18"/>
  <c r="N127" i="18"/>
  <c r="M127" i="18"/>
  <c r="L127" i="18"/>
  <c r="K127" i="18"/>
  <c r="J127" i="18"/>
  <c r="I127" i="18"/>
  <c r="H127" i="18"/>
  <c r="G127" i="18"/>
  <c r="F127" i="18"/>
  <c r="E127" i="18"/>
  <c r="D127" i="18"/>
  <c r="C127" i="18"/>
  <c r="B127" i="18"/>
  <c r="A127" i="18"/>
  <c r="V126" i="18"/>
  <c r="U126" i="18"/>
  <c r="R126" i="18"/>
  <c r="Q126" i="18"/>
  <c r="P126" i="18"/>
  <c r="N126" i="18"/>
  <c r="M126" i="18"/>
  <c r="K126" i="18"/>
  <c r="J126" i="18"/>
  <c r="I126" i="18"/>
  <c r="H126" i="18"/>
  <c r="G126" i="18"/>
  <c r="F126" i="18"/>
  <c r="E126" i="18"/>
  <c r="D126" i="18"/>
  <c r="C126" i="18"/>
  <c r="B126" i="18"/>
  <c r="A126" i="18"/>
  <c r="W125" i="18"/>
  <c r="V125" i="18"/>
  <c r="U125" i="18"/>
  <c r="T125" i="18"/>
  <c r="S125" i="18"/>
  <c r="R125" i="18"/>
  <c r="Q125" i="18"/>
  <c r="P125" i="18"/>
  <c r="O125" i="18"/>
  <c r="N125" i="18"/>
  <c r="M125" i="18"/>
  <c r="L125" i="18"/>
  <c r="K125" i="18"/>
  <c r="J125" i="18"/>
  <c r="I125" i="18"/>
  <c r="H125" i="18"/>
  <c r="G125" i="18"/>
  <c r="F125" i="18"/>
  <c r="E125" i="18"/>
  <c r="D125" i="18"/>
  <c r="C125" i="18"/>
  <c r="B125" i="18"/>
  <c r="A125" i="18"/>
  <c r="W124" i="18"/>
  <c r="V124" i="18"/>
  <c r="U124" i="18"/>
  <c r="T124" i="18"/>
  <c r="S124" i="18"/>
  <c r="R124" i="18"/>
  <c r="Q124" i="18"/>
  <c r="P124" i="18"/>
  <c r="O124" i="18"/>
  <c r="N124" i="18"/>
  <c r="M124" i="18"/>
  <c r="L124" i="18"/>
  <c r="K124" i="18"/>
  <c r="J124" i="18"/>
  <c r="I124" i="18"/>
  <c r="H124" i="18"/>
  <c r="G124" i="18"/>
  <c r="F124" i="18"/>
  <c r="E124" i="18"/>
  <c r="D124" i="18"/>
  <c r="C124" i="18"/>
  <c r="B124" i="18"/>
  <c r="A124" i="18"/>
  <c r="V123" i="18"/>
  <c r="U123" i="18"/>
  <c r="R123" i="18"/>
  <c r="Q123" i="18"/>
  <c r="P123" i="18"/>
  <c r="N123" i="18"/>
  <c r="M123" i="18"/>
  <c r="K123" i="18"/>
  <c r="J123" i="18"/>
  <c r="I123" i="18"/>
  <c r="H123" i="18"/>
  <c r="G123" i="18"/>
  <c r="F123" i="18"/>
  <c r="E123" i="18"/>
  <c r="D123" i="18"/>
  <c r="C123" i="18"/>
  <c r="B123" i="18"/>
  <c r="A123" i="18"/>
  <c r="W122" i="18"/>
  <c r="V122" i="18"/>
  <c r="U122" i="18"/>
  <c r="T122" i="18"/>
  <c r="S122" i="18"/>
  <c r="R122" i="18"/>
  <c r="Q122" i="18"/>
  <c r="P122" i="18"/>
  <c r="O122" i="18"/>
  <c r="N122" i="18"/>
  <c r="M122" i="18"/>
  <c r="L122" i="18"/>
  <c r="K122" i="18"/>
  <c r="J122" i="18"/>
  <c r="I122" i="18"/>
  <c r="H122" i="18"/>
  <c r="G122" i="18"/>
  <c r="F122" i="18"/>
  <c r="E122" i="18"/>
  <c r="D122" i="18"/>
  <c r="C122" i="18"/>
  <c r="B122" i="18"/>
  <c r="A122" i="18"/>
  <c r="W121" i="18"/>
  <c r="V121" i="18"/>
  <c r="U121" i="18"/>
  <c r="S121" i="18"/>
  <c r="R121" i="18"/>
  <c r="Q121" i="18"/>
  <c r="P121" i="18"/>
  <c r="N121" i="18"/>
  <c r="M121" i="18"/>
  <c r="L121" i="18"/>
  <c r="K121" i="18"/>
  <c r="J121" i="18"/>
  <c r="I121" i="18"/>
  <c r="H121" i="18"/>
  <c r="G121" i="18"/>
  <c r="F121" i="18"/>
  <c r="E121" i="18"/>
  <c r="D121" i="18"/>
  <c r="C121" i="18"/>
  <c r="B121" i="18"/>
  <c r="A121" i="18"/>
  <c r="W120" i="18"/>
  <c r="V120" i="18"/>
  <c r="U120" i="18"/>
  <c r="T120" i="18"/>
  <c r="S120" i="18"/>
  <c r="R120" i="18"/>
  <c r="Q120" i="18"/>
  <c r="P120" i="18"/>
  <c r="O120" i="18"/>
  <c r="N120" i="18"/>
  <c r="M120" i="18"/>
  <c r="L120" i="18"/>
  <c r="K120" i="18"/>
  <c r="J120" i="18"/>
  <c r="I120" i="18"/>
  <c r="H120" i="18"/>
  <c r="G120" i="18"/>
  <c r="F120" i="18"/>
  <c r="E120" i="18"/>
  <c r="D120" i="18"/>
  <c r="C120" i="18"/>
  <c r="B120" i="18"/>
  <c r="A120" i="18"/>
  <c r="W119" i="18"/>
  <c r="V119" i="18"/>
  <c r="U119" i="18"/>
  <c r="T119" i="18"/>
  <c r="S119" i="18"/>
  <c r="R119" i="18"/>
  <c r="Q119" i="18"/>
  <c r="P119" i="18"/>
  <c r="O119" i="18"/>
  <c r="N119" i="18"/>
  <c r="M119" i="18"/>
  <c r="L119" i="18"/>
  <c r="K119" i="18"/>
  <c r="J119" i="18"/>
  <c r="I119" i="18"/>
  <c r="H119" i="18"/>
  <c r="G119" i="18"/>
  <c r="F119" i="18"/>
  <c r="E119" i="18"/>
  <c r="D119" i="18"/>
  <c r="C119" i="18"/>
  <c r="B119" i="18"/>
  <c r="A119" i="18"/>
  <c r="W118" i="18"/>
  <c r="V118" i="18"/>
  <c r="U118" i="18"/>
  <c r="T118" i="18"/>
  <c r="S118" i="18"/>
  <c r="R118" i="18"/>
  <c r="Q118" i="18"/>
  <c r="P118" i="18"/>
  <c r="O118" i="18"/>
  <c r="N118" i="18"/>
  <c r="M118" i="18"/>
  <c r="L118" i="18"/>
  <c r="K118" i="18"/>
  <c r="J118" i="18"/>
  <c r="I118" i="18"/>
  <c r="H118" i="18"/>
  <c r="G118" i="18"/>
  <c r="F118" i="18"/>
  <c r="E118" i="18"/>
  <c r="D118" i="18"/>
  <c r="C118" i="18"/>
  <c r="B118" i="18"/>
  <c r="A118" i="18"/>
  <c r="W117" i="18"/>
  <c r="V117" i="18"/>
  <c r="U117" i="18"/>
  <c r="T117" i="18"/>
  <c r="S117" i="18"/>
  <c r="R117" i="18"/>
  <c r="Q117" i="18"/>
  <c r="P117" i="18"/>
  <c r="O117" i="18"/>
  <c r="N117" i="18"/>
  <c r="M117" i="18"/>
  <c r="L117" i="18"/>
  <c r="K117" i="18"/>
  <c r="J117" i="18"/>
  <c r="I117" i="18"/>
  <c r="H117" i="18"/>
  <c r="G117" i="18"/>
  <c r="F117" i="18"/>
  <c r="E117" i="18"/>
  <c r="D117" i="18"/>
  <c r="C117" i="18"/>
  <c r="B117" i="18"/>
  <c r="A117" i="18"/>
  <c r="W116" i="18"/>
  <c r="V116" i="18"/>
  <c r="U116" i="18"/>
  <c r="T116" i="18"/>
  <c r="S116" i="18"/>
  <c r="R116" i="18"/>
  <c r="Q116" i="18"/>
  <c r="P116" i="18"/>
  <c r="O116" i="18"/>
  <c r="N116" i="18"/>
  <c r="M116" i="18"/>
  <c r="L116" i="18"/>
  <c r="K116" i="18"/>
  <c r="J116" i="18"/>
  <c r="I116" i="18"/>
  <c r="H116" i="18"/>
  <c r="G116" i="18"/>
  <c r="F116" i="18"/>
  <c r="E116" i="18"/>
  <c r="D116" i="18"/>
  <c r="C116" i="18"/>
  <c r="B116" i="18"/>
  <c r="A116" i="18"/>
  <c r="W115" i="18"/>
  <c r="V115" i="18"/>
  <c r="U115" i="18"/>
  <c r="T115" i="18"/>
  <c r="S115" i="18"/>
  <c r="R115" i="18"/>
  <c r="Q115" i="18"/>
  <c r="P115" i="18"/>
  <c r="O115" i="18"/>
  <c r="N115" i="18"/>
  <c r="M115" i="18"/>
  <c r="L115" i="18"/>
  <c r="K115" i="18"/>
  <c r="J115" i="18"/>
  <c r="I115" i="18"/>
  <c r="H115" i="18"/>
  <c r="G115" i="18"/>
  <c r="F115" i="18"/>
  <c r="E115" i="18"/>
  <c r="D115" i="18"/>
  <c r="C115" i="18"/>
  <c r="B115" i="18"/>
  <c r="A115" i="18"/>
  <c r="W114" i="18"/>
  <c r="V114" i="18"/>
  <c r="U114" i="18"/>
  <c r="T114" i="18"/>
  <c r="S114" i="18"/>
  <c r="R114" i="18"/>
  <c r="Q114" i="18"/>
  <c r="P114" i="18"/>
  <c r="O114" i="18"/>
  <c r="N114" i="18"/>
  <c r="M114" i="18"/>
  <c r="L114" i="18"/>
  <c r="K114" i="18"/>
  <c r="J114" i="18"/>
  <c r="I114" i="18"/>
  <c r="H114" i="18"/>
  <c r="G114" i="18"/>
  <c r="F114" i="18"/>
  <c r="E114" i="18"/>
  <c r="D114" i="18"/>
  <c r="C114" i="18"/>
  <c r="B114" i="18"/>
  <c r="A114" i="18"/>
  <c r="W113" i="18"/>
  <c r="V113" i="18"/>
  <c r="U113" i="18"/>
  <c r="T113" i="18"/>
  <c r="S113" i="18"/>
  <c r="R113" i="18"/>
  <c r="Q113" i="18"/>
  <c r="P113" i="18"/>
  <c r="O113" i="18"/>
  <c r="N113" i="18"/>
  <c r="M113" i="18"/>
  <c r="L113" i="18"/>
  <c r="K113" i="18"/>
  <c r="J113" i="18"/>
  <c r="I113" i="18"/>
  <c r="H113" i="18"/>
  <c r="G113" i="18"/>
  <c r="F113" i="18"/>
  <c r="E113" i="18"/>
  <c r="D113" i="18"/>
  <c r="C113" i="18"/>
  <c r="B113" i="18"/>
  <c r="A113" i="18"/>
  <c r="W112" i="18"/>
  <c r="V112" i="18"/>
  <c r="U112" i="18"/>
  <c r="T112" i="18"/>
  <c r="S112" i="18"/>
  <c r="R112" i="18"/>
  <c r="Q112" i="18"/>
  <c r="P112" i="18"/>
  <c r="O112" i="18"/>
  <c r="N112" i="18"/>
  <c r="M112" i="18"/>
  <c r="L112" i="18"/>
  <c r="K112" i="18"/>
  <c r="J112" i="18"/>
  <c r="I112" i="18"/>
  <c r="H112" i="18"/>
  <c r="G112" i="18"/>
  <c r="F112" i="18"/>
  <c r="E112" i="18"/>
  <c r="D112" i="18"/>
  <c r="C112" i="18"/>
  <c r="B112" i="18"/>
  <c r="A112" i="18"/>
  <c r="W111" i="18"/>
  <c r="V111" i="18"/>
  <c r="U111" i="18"/>
  <c r="T111" i="18"/>
  <c r="S111" i="18"/>
  <c r="R111" i="18"/>
  <c r="Q111" i="18"/>
  <c r="P111" i="18"/>
  <c r="O111" i="18"/>
  <c r="N111" i="18"/>
  <c r="M111" i="18"/>
  <c r="L111" i="18"/>
  <c r="K111" i="18"/>
  <c r="J111" i="18"/>
  <c r="I111" i="18"/>
  <c r="H111" i="18"/>
  <c r="G111" i="18"/>
  <c r="F111" i="18"/>
  <c r="E111" i="18"/>
  <c r="D111" i="18"/>
  <c r="C111" i="18"/>
  <c r="B111" i="18"/>
  <c r="A111" i="18"/>
  <c r="W110" i="18"/>
  <c r="V110" i="18"/>
  <c r="U110" i="18"/>
  <c r="T110" i="18"/>
  <c r="S110" i="18"/>
  <c r="R110" i="18"/>
  <c r="Q110" i="18"/>
  <c r="P110" i="18"/>
  <c r="O110" i="18"/>
  <c r="N110" i="18"/>
  <c r="M110" i="18"/>
  <c r="L110" i="18"/>
  <c r="K110" i="18"/>
  <c r="J110" i="18"/>
  <c r="I110" i="18"/>
  <c r="H110" i="18"/>
  <c r="G110" i="18"/>
  <c r="F110" i="18"/>
  <c r="E110" i="18"/>
  <c r="D110" i="18"/>
  <c r="C110" i="18"/>
  <c r="B110" i="18"/>
  <c r="A110" i="18"/>
  <c r="W109" i="18"/>
  <c r="V109" i="18"/>
  <c r="U109" i="18"/>
  <c r="T109" i="18"/>
  <c r="S109" i="18"/>
  <c r="R109" i="18"/>
  <c r="Q109" i="18"/>
  <c r="P109" i="18"/>
  <c r="O109" i="18"/>
  <c r="N109" i="18"/>
  <c r="M109" i="18"/>
  <c r="L109" i="18"/>
  <c r="K109" i="18"/>
  <c r="J109" i="18"/>
  <c r="I109" i="18"/>
  <c r="H109" i="18"/>
  <c r="G109" i="18"/>
  <c r="F109" i="18"/>
  <c r="E109" i="18"/>
  <c r="D109" i="18"/>
  <c r="C109" i="18"/>
  <c r="B109" i="18"/>
  <c r="A109" i="18"/>
  <c r="W108" i="18"/>
  <c r="V108" i="18"/>
  <c r="U108" i="18"/>
  <c r="T108" i="18"/>
  <c r="S108" i="18"/>
  <c r="R108" i="18"/>
  <c r="Q108" i="18"/>
  <c r="P108" i="18"/>
  <c r="O108" i="18"/>
  <c r="N108" i="18"/>
  <c r="M108" i="18"/>
  <c r="L108" i="18"/>
  <c r="K108" i="18"/>
  <c r="J108" i="18"/>
  <c r="I108" i="18"/>
  <c r="H108" i="18"/>
  <c r="G108" i="18"/>
  <c r="F108" i="18"/>
  <c r="E108" i="18"/>
  <c r="D108" i="18"/>
  <c r="C108" i="18"/>
  <c r="B108" i="18"/>
  <c r="A108" i="18"/>
  <c r="W107" i="18"/>
  <c r="V107" i="18"/>
  <c r="U107" i="18"/>
  <c r="T107" i="18"/>
  <c r="S107" i="18"/>
  <c r="R107" i="18"/>
  <c r="Q107" i="18"/>
  <c r="P107" i="18"/>
  <c r="O107" i="18"/>
  <c r="N107" i="18"/>
  <c r="M107" i="18"/>
  <c r="L107" i="18"/>
  <c r="K107" i="18"/>
  <c r="J107" i="18"/>
  <c r="I107" i="18"/>
  <c r="H107" i="18"/>
  <c r="G107" i="18"/>
  <c r="F107" i="18"/>
  <c r="E107" i="18"/>
  <c r="D107" i="18"/>
  <c r="C107" i="18"/>
  <c r="B107" i="18"/>
  <c r="A107" i="18"/>
  <c r="W106" i="18"/>
  <c r="V106" i="18"/>
  <c r="U106" i="18"/>
  <c r="T106" i="18"/>
  <c r="S106" i="18"/>
  <c r="R106" i="18"/>
  <c r="Q106" i="18"/>
  <c r="P106" i="18"/>
  <c r="O106" i="18"/>
  <c r="N106" i="18"/>
  <c r="M106" i="18"/>
  <c r="L106" i="18"/>
  <c r="K106" i="18"/>
  <c r="J106" i="18"/>
  <c r="I106" i="18"/>
  <c r="H106" i="18"/>
  <c r="G106" i="18"/>
  <c r="F106" i="18"/>
  <c r="E106" i="18"/>
  <c r="D106" i="18"/>
  <c r="C106" i="18"/>
  <c r="B106" i="18"/>
  <c r="A106" i="18"/>
  <c r="W105" i="18"/>
  <c r="V105" i="18"/>
  <c r="U105" i="18"/>
  <c r="T105" i="18"/>
  <c r="S105" i="18"/>
  <c r="R105" i="18"/>
  <c r="Q105" i="18"/>
  <c r="P105" i="18"/>
  <c r="O105" i="18"/>
  <c r="N105" i="18"/>
  <c r="M105" i="18"/>
  <c r="L105" i="18"/>
  <c r="K105" i="18"/>
  <c r="J105" i="18"/>
  <c r="I105" i="18"/>
  <c r="H105" i="18"/>
  <c r="G105" i="18"/>
  <c r="F105" i="18"/>
  <c r="E105" i="18"/>
  <c r="D105" i="18"/>
  <c r="C105" i="18"/>
  <c r="B105" i="18"/>
  <c r="A105" i="18"/>
  <c r="W104" i="18"/>
  <c r="V104" i="18"/>
  <c r="U104" i="18"/>
  <c r="T104" i="18"/>
  <c r="S104" i="18"/>
  <c r="R104" i="18"/>
  <c r="Q104" i="18"/>
  <c r="P104" i="18"/>
  <c r="O104" i="18"/>
  <c r="N104" i="18"/>
  <c r="M104" i="18"/>
  <c r="L104" i="18"/>
  <c r="K104" i="18"/>
  <c r="J104" i="18"/>
  <c r="I104" i="18"/>
  <c r="H104" i="18"/>
  <c r="G104" i="18"/>
  <c r="F104" i="18"/>
  <c r="E104" i="18"/>
  <c r="D104" i="18"/>
  <c r="C104" i="18"/>
  <c r="B104" i="18"/>
  <c r="A104" i="18"/>
  <c r="W103" i="18"/>
  <c r="V103" i="18"/>
  <c r="U103" i="18"/>
  <c r="S103" i="18"/>
  <c r="R103" i="18"/>
  <c r="Q103" i="18"/>
  <c r="P103" i="18"/>
  <c r="O103" i="18"/>
  <c r="N103" i="18"/>
  <c r="M103" i="18"/>
  <c r="L103" i="18"/>
  <c r="K103" i="18"/>
  <c r="J103" i="18"/>
  <c r="I103" i="18"/>
  <c r="H103" i="18"/>
  <c r="G103" i="18"/>
  <c r="F103" i="18"/>
  <c r="E103" i="18"/>
  <c r="D103" i="18"/>
  <c r="C103" i="18"/>
  <c r="B103" i="18"/>
  <c r="A103" i="18"/>
  <c r="W102" i="18"/>
  <c r="V102" i="18"/>
  <c r="U102" i="18"/>
  <c r="S102" i="18"/>
  <c r="R102" i="18"/>
  <c r="Q102" i="18"/>
  <c r="P102" i="18"/>
  <c r="O102" i="18"/>
  <c r="N102" i="18"/>
  <c r="M102" i="18"/>
  <c r="L102" i="18"/>
  <c r="K102" i="18"/>
  <c r="J102" i="18"/>
  <c r="I102" i="18"/>
  <c r="H102" i="18"/>
  <c r="G102" i="18"/>
  <c r="F102" i="18"/>
  <c r="E102" i="18"/>
  <c r="D102" i="18"/>
  <c r="C102" i="18"/>
  <c r="B102" i="18"/>
  <c r="A102" i="18"/>
  <c r="W101" i="18"/>
  <c r="V101" i="18"/>
  <c r="U101" i="18"/>
  <c r="S101" i="18"/>
  <c r="R101" i="18"/>
  <c r="Q101" i="18"/>
  <c r="P101" i="18"/>
  <c r="O101" i="18"/>
  <c r="N101" i="18"/>
  <c r="M101" i="18"/>
  <c r="L101" i="18"/>
  <c r="K101" i="18"/>
  <c r="J101" i="18"/>
  <c r="I101" i="18"/>
  <c r="H101" i="18"/>
  <c r="G101" i="18"/>
  <c r="F101" i="18"/>
  <c r="E101" i="18"/>
  <c r="D101" i="18"/>
  <c r="C101" i="18"/>
  <c r="B101" i="18"/>
  <c r="A101" i="18"/>
  <c r="W100" i="18"/>
  <c r="V100" i="18"/>
  <c r="U100" i="18"/>
  <c r="T100" i="18"/>
  <c r="S100" i="18"/>
  <c r="R100" i="18"/>
  <c r="Q100" i="18"/>
  <c r="P100" i="18"/>
  <c r="O100" i="18"/>
  <c r="N100" i="18"/>
  <c r="M100" i="18"/>
  <c r="L100" i="18"/>
  <c r="K100" i="18"/>
  <c r="J100" i="18"/>
  <c r="I100" i="18"/>
  <c r="H100" i="18"/>
  <c r="G100" i="18"/>
  <c r="F100" i="18"/>
  <c r="E100" i="18"/>
  <c r="D100" i="18"/>
  <c r="C100" i="18"/>
  <c r="B100" i="18"/>
  <c r="A100" i="18"/>
  <c r="W99" i="18"/>
  <c r="V99" i="18"/>
  <c r="U99" i="18"/>
  <c r="S99" i="18"/>
  <c r="R99" i="18"/>
  <c r="Q99" i="18"/>
  <c r="P99" i="18"/>
  <c r="O99" i="18"/>
  <c r="N99" i="18"/>
  <c r="M99" i="18"/>
  <c r="L99" i="18"/>
  <c r="K99" i="18"/>
  <c r="J99" i="18"/>
  <c r="I99" i="18"/>
  <c r="H99" i="18"/>
  <c r="G99" i="18"/>
  <c r="F99" i="18"/>
  <c r="E99" i="18"/>
  <c r="D99" i="18"/>
  <c r="C99" i="18"/>
  <c r="B99" i="18"/>
  <c r="A99" i="18"/>
  <c r="W98" i="18"/>
  <c r="V98" i="18"/>
  <c r="U98" i="18"/>
  <c r="T98" i="18"/>
  <c r="S98" i="18"/>
  <c r="R98" i="18"/>
  <c r="Q98" i="18"/>
  <c r="P98" i="18"/>
  <c r="O98" i="18"/>
  <c r="N98" i="18"/>
  <c r="M98" i="18"/>
  <c r="L98" i="18"/>
  <c r="K98" i="18"/>
  <c r="J98" i="18"/>
  <c r="I98" i="18"/>
  <c r="H98" i="18"/>
  <c r="G98" i="18"/>
  <c r="F98" i="18"/>
  <c r="E98" i="18"/>
  <c r="D98" i="18"/>
  <c r="C98" i="18"/>
  <c r="B98" i="18"/>
  <c r="A98" i="18"/>
  <c r="W97" i="18"/>
  <c r="V97" i="18"/>
  <c r="U97" i="18"/>
  <c r="S97" i="18"/>
  <c r="R97" i="18"/>
  <c r="Q97" i="18"/>
  <c r="P97" i="18"/>
  <c r="O97" i="18"/>
  <c r="N97" i="18"/>
  <c r="M97" i="18"/>
  <c r="L97" i="18"/>
  <c r="K97" i="18"/>
  <c r="J97" i="18"/>
  <c r="I97" i="18"/>
  <c r="H97" i="18"/>
  <c r="G97" i="18"/>
  <c r="F97" i="18"/>
  <c r="E97" i="18"/>
  <c r="D97" i="18"/>
  <c r="C97" i="18"/>
  <c r="B97" i="18"/>
  <c r="A97" i="18"/>
  <c r="W96" i="18"/>
  <c r="V96" i="18"/>
  <c r="U96" i="18"/>
  <c r="T96" i="18"/>
  <c r="S96" i="18"/>
  <c r="R96" i="18"/>
  <c r="Q96" i="18"/>
  <c r="P96" i="18"/>
  <c r="O96" i="18"/>
  <c r="N96" i="18"/>
  <c r="M96" i="18"/>
  <c r="L96" i="18"/>
  <c r="K96" i="18"/>
  <c r="J96" i="18"/>
  <c r="I96" i="18"/>
  <c r="H96" i="18"/>
  <c r="G96" i="18"/>
  <c r="F96" i="18"/>
  <c r="E96" i="18"/>
  <c r="D96" i="18"/>
  <c r="C96" i="18"/>
  <c r="B96" i="18"/>
  <c r="A96" i="18"/>
  <c r="W95" i="18"/>
  <c r="V95" i="18"/>
  <c r="U95" i="18"/>
  <c r="T95" i="18"/>
  <c r="S95" i="18"/>
  <c r="R95" i="18"/>
  <c r="Q95" i="18"/>
  <c r="P95" i="18"/>
  <c r="O95" i="18"/>
  <c r="N95" i="18"/>
  <c r="M95" i="18"/>
  <c r="L95" i="18"/>
  <c r="K95" i="18"/>
  <c r="J95" i="18"/>
  <c r="I95" i="18"/>
  <c r="H95" i="18"/>
  <c r="G95" i="18"/>
  <c r="F95" i="18"/>
  <c r="E95" i="18"/>
  <c r="D95" i="18"/>
  <c r="C95" i="18"/>
  <c r="B95" i="18"/>
  <c r="A95" i="18"/>
  <c r="W94" i="18"/>
  <c r="V94" i="18"/>
  <c r="U94" i="18"/>
  <c r="T94" i="18"/>
  <c r="S94" i="18"/>
  <c r="R94" i="18"/>
  <c r="Q94" i="18"/>
  <c r="P94" i="18"/>
  <c r="O94" i="18"/>
  <c r="N94" i="18"/>
  <c r="M94" i="18"/>
  <c r="L94" i="18"/>
  <c r="K94" i="18"/>
  <c r="J94" i="18"/>
  <c r="I94" i="18"/>
  <c r="H94" i="18"/>
  <c r="G94" i="18"/>
  <c r="F94" i="18"/>
  <c r="E94" i="18"/>
  <c r="D94" i="18"/>
  <c r="C94" i="18"/>
  <c r="B94" i="18"/>
  <c r="A94" i="18"/>
  <c r="W93" i="18"/>
  <c r="V93" i="18"/>
  <c r="U93" i="18"/>
  <c r="T93" i="18"/>
  <c r="S93" i="18"/>
  <c r="R93" i="18"/>
  <c r="Q93" i="18"/>
  <c r="P93" i="18"/>
  <c r="O93" i="18"/>
  <c r="N93" i="18"/>
  <c r="M93" i="18"/>
  <c r="L93" i="18"/>
  <c r="K93" i="18"/>
  <c r="J93" i="18"/>
  <c r="I93" i="18"/>
  <c r="H93" i="18"/>
  <c r="G93" i="18"/>
  <c r="F93" i="18"/>
  <c r="E93" i="18"/>
  <c r="D93" i="18"/>
  <c r="C93" i="18"/>
  <c r="B93" i="18"/>
  <c r="A93" i="18"/>
  <c r="W92" i="18"/>
  <c r="V92" i="18"/>
  <c r="U92" i="18"/>
  <c r="T92" i="18"/>
  <c r="S92" i="18"/>
  <c r="R92" i="18"/>
  <c r="Q92" i="18"/>
  <c r="P92" i="18"/>
  <c r="O92" i="18"/>
  <c r="N92" i="18"/>
  <c r="M92" i="18"/>
  <c r="L92" i="18"/>
  <c r="K92" i="18"/>
  <c r="J92" i="18"/>
  <c r="I92" i="18"/>
  <c r="H92" i="18"/>
  <c r="G92" i="18"/>
  <c r="F92" i="18"/>
  <c r="E92" i="18"/>
  <c r="D92" i="18"/>
  <c r="C92" i="18"/>
  <c r="B92" i="18"/>
  <c r="A92" i="18"/>
  <c r="W91" i="18"/>
  <c r="V91" i="18"/>
  <c r="U91" i="18"/>
  <c r="T91" i="18"/>
  <c r="S91" i="18"/>
  <c r="R91" i="18"/>
  <c r="Q91" i="18"/>
  <c r="P91" i="18"/>
  <c r="O91" i="18"/>
  <c r="N91" i="18"/>
  <c r="M91" i="18"/>
  <c r="L91" i="18"/>
  <c r="K91" i="18"/>
  <c r="J91" i="18"/>
  <c r="I91" i="18"/>
  <c r="H91" i="18"/>
  <c r="G91" i="18"/>
  <c r="F91" i="18"/>
  <c r="E91" i="18"/>
  <c r="D91" i="18"/>
  <c r="C91" i="18"/>
  <c r="B91" i="18"/>
  <c r="A91" i="18"/>
  <c r="W90" i="18"/>
  <c r="V90" i="18"/>
  <c r="U90" i="18"/>
  <c r="T90" i="18"/>
  <c r="S90" i="18"/>
  <c r="R90" i="18"/>
  <c r="Q90" i="18"/>
  <c r="P90" i="18"/>
  <c r="O90" i="18"/>
  <c r="N90" i="18"/>
  <c r="M90" i="18"/>
  <c r="L90" i="18"/>
  <c r="K90" i="18"/>
  <c r="J90" i="18"/>
  <c r="I90" i="18"/>
  <c r="H90" i="18"/>
  <c r="G90" i="18"/>
  <c r="F90" i="18"/>
  <c r="E90" i="18"/>
  <c r="D90" i="18"/>
  <c r="C90" i="18"/>
  <c r="B90" i="18"/>
  <c r="A90" i="18"/>
  <c r="W89" i="18"/>
  <c r="V89" i="18"/>
  <c r="U89" i="18"/>
  <c r="T89" i="18"/>
  <c r="S89" i="18"/>
  <c r="R89" i="18"/>
  <c r="Q89" i="18"/>
  <c r="P89" i="18"/>
  <c r="O89" i="18"/>
  <c r="N89" i="18"/>
  <c r="M89" i="18"/>
  <c r="L89" i="18"/>
  <c r="K89" i="18"/>
  <c r="J89" i="18"/>
  <c r="I89" i="18"/>
  <c r="H89" i="18"/>
  <c r="G89" i="18"/>
  <c r="F89" i="18"/>
  <c r="E89" i="18"/>
  <c r="D89" i="18"/>
  <c r="C89" i="18"/>
  <c r="B89" i="18"/>
  <c r="A89" i="18"/>
  <c r="W88" i="18"/>
  <c r="V88" i="18"/>
  <c r="U88" i="18"/>
  <c r="T88" i="18"/>
  <c r="S88" i="18"/>
  <c r="R88" i="18"/>
  <c r="Q88" i="18"/>
  <c r="P88" i="18"/>
  <c r="O88" i="18"/>
  <c r="N88" i="18"/>
  <c r="M88" i="18"/>
  <c r="L88" i="18"/>
  <c r="K88" i="18"/>
  <c r="J88" i="18"/>
  <c r="I88" i="18"/>
  <c r="H88" i="18"/>
  <c r="G88" i="18"/>
  <c r="F88" i="18"/>
  <c r="E88" i="18"/>
  <c r="D88" i="18"/>
  <c r="C88" i="18"/>
  <c r="B88" i="18"/>
  <c r="A88" i="18"/>
  <c r="W87" i="18"/>
  <c r="V87" i="18"/>
  <c r="U87" i="18"/>
  <c r="T87" i="18"/>
  <c r="S87" i="18"/>
  <c r="R87" i="18"/>
  <c r="Q87" i="18"/>
  <c r="P87" i="18"/>
  <c r="O87" i="18"/>
  <c r="N87" i="18"/>
  <c r="M87" i="18"/>
  <c r="L87" i="18"/>
  <c r="K87" i="18"/>
  <c r="J87" i="18"/>
  <c r="I87" i="18"/>
  <c r="H87" i="18"/>
  <c r="G87" i="18"/>
  <c r="F87" i="18"/>
  <c r="E87" i="18"/>
  <c r="D87" i="18"/>
  <c r="C87" i="18"/>
  <c r="B87" i="18"/>
  <c r="A87" i="18"/>
  <c r="W86" i="18"/>
  <c r="V86" i="18"/>
  <c r="U86" i="18"/>
  <c r="T86" i="18"/>
  <c r="S86" i="18"/>
  <c r="R86" i="18"/>
  <c r="Q86" i="18"/>
  <c r="P86" i="18"/>
  <c r="O86" i="18"/>
  <c r="N86" i="18"/>
  <c r="M86" i="18"/>
  <c r="L86" i="18"/>
  <c r="K86" i="18"/>
  <c r="J86" i="18"/>
  <c r="I86" i="18"/>
  <c r="H86" i="18"/>
  <c r="G86" i="18"/>
  <c r="F86" i="18"/>
  <c r="E86" i="18"/>
  <c r="D86" i="18"/>
  <c r="C86" i="18"/>
  <c r="B86" i="18"/>
  <c r="A86" i="18"/>
  <c r="W85" i="18"/>
  <c r="V85" i="18"/>
  <c r="U85" i="18"/>
  <c r="T85" i="18"/>
  <c r="S85" i="18"/>
  <c r="R85" i="18"/>
  <c r="Q85" i="18"/>
  <c r="P85" i="18"/>
  <c r="O85" i="18"/>
  <c r="N85" i="18"/>
  <c r="M85" i="18"/>
  <c r="L85" i="18"/>
  <c r="K85" i="18"/>
  <c r="J85" i="18"/>
  <c r="I85" i="18"/>
  <c r="H85" i="18"/>
  <c r="G85" i="18"/>
  <c r="F85" i="18"/>
  <c r="E85" i="18"/>
  <c r="D85" i="18"/>
  <c r="C85" i="18"/>
  <c r="B85" i="18"/>
  <c r="A85" i="18"/>
  <c r="W84" i="18"/>
  <c r="V84" i="18"/>
  <c r="U84" i="18"/>
  <c r="T84" i="18"/>
  <c r="S84" i="18"/>
  <c r="R84" i="18"/>
  <c r="Q84" i="18"/>
  <c r="P84" i="18"/>
  <c r="O84" i="18"/>
  <c r="N84" i="18"/>
  <c r="M84" i="18"/>
  <c r="L84" i="18"/>
  <c r="K84" i="18"/>
  <c r="J84" i="18"/>
  <c r="I84" i="18"/>
  <c r="H84" i="18"/>
  <c r="G84" i="18"/>
  <c r="F84" i="18"/>
  <c r="E84" i="18"/>
  <c r="D84" i="18"/>
  <c r="C84" i="18"/>
  <c r="B84" i="18"/>
  <c r="A84" i="18"/>
  <c r="W83" i="18"/>
  <c r="V83" i="18"/>
  <c r="U83" i="18"/>
  <c r="T83" i="18"/>
  <c r="S83" i="18"/>
  <c r="R83" i="18"/>
  <c r="Q83" i="18"/>
  <c r="P83" i="18"/>
  <c r="O83" i="18"/>
  <c r="N83" i="18"/>
  <c r="M83" i="18"/>
  <c r="L83" i="18"/>
  <c r="K83" i="18"/>
  <c r="J83" i="18"/>
  <c r="I83" i="18"/>
  <c r="H83" i="18"/>
  <c r="G83" i="18"/>
  <c r="F83" i="18"/>
  <c r="E83" i="18"/>
  <c r="D83" i="18"/>
  <c r="C83" i="18"/>
  <c r="B83" i="18"/>
  <c r="A83" i="18"/>
  <c r="W82" i="18"/>
  <c r="V82" i="18"/>
  <c r="U82" i="18"/>
  <c r="T82" i="18"/>
  <c r="S82" i="18"/>
  <c r="R82" i="18"/>
  <c r="Q82" i="18"/>
  <c r="P82" i="18"/>
  <c r="O82" i="18"/>
  <c r="N82" i="18"/>
  <c r="M82" i="18"/>
  <c r="L82" i="18"/>
  <c r="K82" i="18"/>
  <c r="J82" i="18"/>
  <c r="I82" i="18"/>
  <c r="H82" i="18"/>
  <c r="G82" i="18"/>
  <c r="F82" i="18"/>
  <c r="E82" i="18"/>
  <c r="D82" i="18"/>
  <c r="C82" i="18"/>
  <c r="B82" i="18"/>
  <c r="A82" i="18"/>
  <c r="W81" i="18"/>
  <c r="V81" i="18"/>
  <c r="U81" i="18"/>
  <c r="T81" i="18"/>
  <c r="S81" i="18"/>
  <c r="R81" i="18"/>
  <c r="Q81" i="18"/>
  <c r="P81" i="18"/>
  <c r="O81" i="18"/>
  <c r="N81" i="18"/>
  <c r="M81" i="18"/>
  <c r="L81" i="18"/>
  <c r="K81" i="18"/>
  <c r="J81" i="18"/>
  <c r="I81" i="18"/>
  <c r="H81" i="18"/>
  <c r="G81" i="18"/>
  <c r="F81" i="18"/>
  <c r="E81" i="18"/>
  <c r="D81" i="18"/>
  <c r="C81" i="18"/>
  <c r="B81" i="18"/>
  <c r="A81" i="18"/>
  <c r="W80" i="18"/>
  <c r="V80" i="18"/>
  <c r="U80" i="18"/>
  <c r="T80" i="18"/>
  <c r="S80" i="18"/>
  <c r="R80" i="18"/>
  <c r="Q80" i="18"/>
  <c r="P80" i="18"/>
  <c r="O80" i="18"/>
  <c r="N80" i="18"/>
  <c r="M80" i="18"/>
  <c r="L80" i="18"/>
  <c r="K80" i="18"/>
  <c r="J80" i="18"/>
  <c r="I80" i="18"/>
  <c r="H80" i="18"/>
  <c r="G80" i="18"/>
  <c r="F80" i="18"/>
  <c r="E80" i="18"/>
  <c r="D80" i="18"/>
  <c r="C80" i="18"/>
  <c r="B80" i="18"/>
  <c r="A80" i="18"/>
  <c r="W79" i="18"/>
  <c r="V79" i="18"/>
  <c r="U79" i="18"/>
  <c r="T79" i="18"/>
  <c r="S79" i="18"/>
  <c r="R79" i="18"/>
  <c r="Q79" i="18"/>
  <c r="P79" i="18"/>
  <c r="O79" i="18"/>
  <c r="N79" i="18"/>
  <c r="M79" i="18"/>
  <c r="L79" i="18"/>
  <c r="K79" i="18"/>
  <c r="J79" i="18"/>
  <c r="I79" i="18"/>
  <c r="H79" i="18"/>
  <c r="G79" i="18"/>
  <c r="F79" i="18"/>
  <c r="E79" i="18"/>
  <c r="D79" i="18"/>
  <c r="C79" i="18"/>
  <c r="B79" i="18"/>
  <c r="A79" i="18"/>
  <c r="W78" i="18"/>
  <c r="V78" i="18"/>
  <c r="U78" i="18"/>
  <c r="T78" i="18"/>
  <c r="S78" i="18"/>
  <c r="R78" i="18"/>
  <c r="Q78" i="18"/>
  <c r="P78" i="18"/>
  <c r="O78" i="18"/>
  <c r="N78" i="18"/>
  <c r="M78" i="18"/>
  <c r="L78" i="18"/>
  <c r="K78" i="18"/>
  <c r="J78" i="18"/>
  <c r="I78" i="18"/>
  <c r="H78" i="18"/>
  <c r="G78" i="18"/>
  <c r="F78" i="18"/>
  <c r="E78" i="18"/>
  <c r="D78" i="18"/>
  <c r="C78" i="18"/>
  <c r="B78" i="18"/>
  <c r="A78" i="18"/>
  <c r="W77" i="18"/>
  <c r="V77" i="18"/>
  <c r="U77" i="18"/>
  <c r="T77" i="18"/>
  <c r="S77" i="18"/>
  <c r="R77" i="18"/>
  <c r="Q77" i="18"/>
  <c r="P77" i="18"/>
  <c r="O77" i="18"/>
  <c r="N77" i="18"/>
  <c r="M77" i="18"/>
  <c r="L77" i="18"/>
  <c r="K77" i="18"/>
  <c r="J77" i="18"/>
  <c r="I77" i="18"/>
  <c r="H77" i="18"/>
  <c r="G77" i="18"/>
  <c r="F77" i="18"/>
  <c r="E77" i="18"/>
  <c r="D77" i="18"/>
  <c r="C77" i="18"/>
  <c r="B77" i="18"/>
  <c r="A77" i="18"/>
  <c r="W76" i="18"/>
  <c r="V76" i="18"/>
  <c r="U76" i="18"/>
  <c r="T76" i="18"/>
  <c r="S76" i="18"/>
  <c r="R76" i="18"/>
  <c r="Q76" i="18"/>
  <c r="P76" i="18"/>
  <c r="O76" i="18"/>
  <c r="N76" i="18"/>
  <c r="M76" i="18"/>
  <c r="L76" i="18"/>
  <c r="K76" i="18"/>
  <c r="J76" i="18"/>
  <c r="I76" i="18"/>
  <c r="H76" i="18"/>
  <c r="G76" i="18"/>
  <c r="F76" i="18"/>
  <c r="E76" i="18"/>
  <c r="D76" i="18"/>
  <c r="C76" i="18"/>
  <c r="B76" i="18"/>
  <c r="A76" i="18"/>
  <c r="W75" i="18"/>
  <c r="V75" i="18"/>
  <c r="U75" i="18"/>
  <c r="T75" i="18"/>
  <c r="S75" i="18"/>
  <c r="R75" i="18"/>
  <c r="Q75" i="18"/>
  <c r="P75" i="18"/>
  <c r="O75" i="18"/>
  <c r="N75" i="18"/>
  <c r="M75" i="18"/>
  <c r="L75" i="18"/>
  <c r="K75" i="18"/>
  <c r="J75" i="18"/>
  <c r="I75" i="18"/>
  <c r="H75" i="18"/>
  <c r="G75" i="18"/>
  <c r="F75" i="18"/>
  <c r="E75" i="18"/>
  <c r="D75" i="18"/>
  <c r="C75" i="18"/>
  <c r="B75" i="18"/>
  <c r="A75" i="18"/>
  <c r="W74" i="18"/>
  <c r="V74" i="18"/>
  <c r="U74" i="18"/>
  <c r="T74" i="18"/>
  <c r="S74" i="18"/>
  <c r="R74" i="18"/>
  <c r="Q74" i="18"/>
  <c r="P74" i="18"/>
  <c r="O74" i="18"/>
  <c r="N74" i="18"/>
  <c r="M74" i="18"/>
  <c r="L74" i="18"/>
  <c r="K74" i="18"/>
  <c r="J74" i="18"/>
  <c r="I74" i="18"/>
  <c r="H74" i="18"/>
  <c r="G74" i="18"/>
  <c r="F74" i="18"/>
  <c r="E74" i="18"/>
  <c r="D74" i="18"/>
  <c r="C74" i="18"/>
  <c r="B74" i="18"/>
  <c r="A74" i="18"/>
  <c r="W73" i="18"/>
  <c r="V73" i="18"/>
  <c r="U73" i="18"/>
  <c r="T73" i="18"/>
  <c r="S73" i="18"/>
  <c r="R73" i="18"/>
  <c r="Q73" i="18"/>
  <c r="P73" i="18"/>
  <c r="O73" i="18"/>
  <c r="N73" i="18"/>
  <c r="M73" i="18"/>
  <c r="L73" i="18"/>
  <c r="K73" i="18"/>
  <c r="J73" i="18"/>
  <c r="I73" i="18"/>
  <c r="H73" i="18"/>
  <c r="G73" i="18"/>
  <c r="F73" i="18"/>
  <c r="E73" i="18"/>
  <c r="D73" i="18"/>
  <c r="C73" i="18"/>
  <c r="B73" i="18"/>
  <c r="A73" i="18"/>
  <c r="W72" i="18"/>
  <c r="V72" i="18"/>
  <c r="U72" i="18"/>
  <c r="T72" i="18"/>
  <c r="S72" i="18"/>
  <c r="R72" i="18"/>
  <c r="Q72" i="18"/>
  <c r="P72" i="18"/>
  <c r="N72" i="18"/>
  <c r="M72" i="18"/>
  <c r="K72" i="18"/>
  <c r="J72" i="18"/>
  <c r="I72" i="18"/>
  <c r="H72" i="18"/>
  <c r="G72" i="18"/>
  <c r="F72" i="18"/>
  <c r="E72" i="18"/>
  <c r="D72" i="18"/>
  <c r="C72" i="18"/>
  <c r="B72" i="18"/>
  <c r="A72" i="18"/>
  <c r="W71" i="18"/>
  <c r="V71" i="18"/>
  <c r="U71" i="18"/>
  <c r="T71" i="18"/>
  <c r="S71" i="18"/>
  <c r="R71" i="18"/>
  <c r="Q71" i="18"/>
  <c r="P71" i="18"/>
  <c r="O71" i="18"/>
  <c r="N71" i="18"/>
  <c r="M71" i="18"/>
  <c r="L71" i="18"/>
  <c r="K71" i="18"/>
  <c r="J71" i="18"/>
  <c r="I71" i="18"/>
  <c r="H71" i="18"/>
  <c r="G71" i="18"/>
  <c r="F71" i="18"/>
  <c r="E71" i="18"/>
  <c r="D71" i="18"/>
  <c r="C71" i="18"/>
  <c r="B71" i="18"/>
  <c r="A71" i="18"/>
  <c r="W70" i="18"/>
  <c r="V70" i="18"/>
  <c r="U70" i="18"/>
  <c r="T70" i="18"/>
  <c r="S70" i="18"/>
  <c r="R70" i="18"/>
  <c r="Q70" i="18"/>
  <c r="P70" i="18"/>
  <c r="O70" i="18"/>
  <c r="N70" i="18"/>
  <c r="M70" i="18"/>
  <c r="L70" i="18"/>
  <c r="K70" i="18"/>
  <c r="J70" i="18"/>
  <c r="I70" i="18"/>
  <c r="H70" i="18"/>
  <c r="G70" i="18"/>
  <c r="F70" i="18"/>
  <c r="E70" i="18"/>
  <c r="D70" i="18"/>
  <c r="C70" i="18"/>
  <c r="B70" i="18"/>
  <c r="A70" i="18"/>
  <c r="W69" i="18"/>
  <c r="V69" i="18"/>
  <c r="U69" i="18"/>
  <c r="T69" i="18"/>
  <c r="S69" i="18"/>
  <c r="R69" i="18"/>
  <c r="Q69" i="18"/>
  <c r="P69" i="18"/>
  <c r="O69" i="18"/>
  <c r="N69" i="18"/>
  <c r="M69" i="18"/>
  <c r="L69" i="18"/>
  <c r="K69" i="18"/>
  <c r="J69" i="18"/>
  <c r="I69" i="18"/>
  <c r="H69" i="18"/>
  <c r="G69" i="18"/>
  <c r="F69" i="18"/>
  <c r="E69" i="18"/>
  <c r="D69" i="18"/>
  <c r="C69" i="18"/>
  <c r="B69" i="18"/>
  <c r="A69" i="18"/>
  <c r="W68" i="18"/>
  <c r="V68" i="18"/>
  <c r="U68" i="18"/>
  <c r="T68" i="18"/>
  <c r="S68" i="18"/>
  <c r="R68" i="18"/>
  <c r="Q68" i="18"/>
  <c r="P68" i="18"/>
  <c r="O68" i="18"/>
  <c r="N68" i="18"/>
  <c r="M68" i="18"/>
  <c r="L68" i="18"/>
  <c r="K68" i="18"/>
  <c r="J68" i="18"/>
  <c r="I68" i="18"/>
  <c r="H68" i="18"/>
  <c r="G68" i="18"/>
  <c r="F68" i="18"/>
  <c r="E68" i="18"/>
  <c r="D68" i="18"/>
  <c r="C68" i="18"/>
  <c r="B68" i="18"/>
  <c r="A68" i="18"/>
  <c r="W67" i="18"/>
  <c r="V67" i="18"/>
  <c r="U67" i="18"/>
  <c r="R67" i="18"/>
  <c r="Q67" i="18"/>
  <c r="P67" i="18"/>
  <c r="N67" i="18"/>
  <c r="M67" i="18"/>
  <c r="K67" i="18"/>
  <c r="J67" i="18"/>
  <c r="I67" i="18"/>
  <c r="H67" i="18"/>
  <c r="G67" i="18"/>
  <c r="F67" i="18"/>
  <c r="E67" i="18"/>
  <c r="D67" i="18"/>
  <c r="C67" i="18"/>
  <c r="B67" i="18"/>
  <c r="A67" i="18"/>
  <c r="W66" i="18"/>
  <c r="V66" i="18"/>
  <c r="U66" i="18"/>
  <c r="T66" i="18"/>
  <c r="S66" i="18"/>
  <c r="R66" i="18"/>
  <c r="Q66" i="18"/>
  <c r="P66" i="18"/>
  <c r="O66" i="18"/>
  <c r="N66" i="18"/>
  <c r="M66" i="18"/>
  <c r="L66" i="18"/>
  <c r="K66" i="18"/>
  <c r="J66" i="18"/>
  <c r="I66" i="18"/>
  <c r="H66" i="18"/>
  <c r="G66" i="18"/>
  <c r="F66" i="18"/>
  <c r="E66" i="18"/>
  <c r="D66" i="18"/>
  <c r="C66" i="18"/>
  <c r="B66" i="18"/>
  <c r="A66" i="18"/>
  <c r="W65" i="18"/>
  <c r="V65" i="18"/>
  <c r="U65" i="18"/>
  <c r="T65" i="18"/>
  <c r="S65" i="18"/>
  <c r="R65" i="18"/>
  <c r="Q65" i="18"/>
  <c r="P65" i="18"/>
  <c r="O65" i="18"/>
  <c r="N65" i="18"/>
  <c r="M65" i="18"/>
  <c r="L65" i="18"/>
  <c r="K65" i="18"/>
  <c r="J65" i="18"/>
  <c r="I65" i="18"/>
  <c r="H65" i="18"/>
  <c r="G65" i="18"/>
  <c r="F65" i="18"/>
  <c r="E65" i="18"/>
  <c r="D65" i="18"/>
  <c r="C65" i="18"/>
  <c r="B65" i="18"/>
  <c r="A65" i="18"/>
  <c r="W64" i="18"/>
  <c r="V64" i="18"/>
  <c r="U64" i="18"/>
  <c r="S64" i="18"/>
  <c r="R64" i="18"/>
  <c r="Q64" i="18"/>
  <c r="P64" i="18"/>
  <c r="O64" i="18"/>
  <c r="N64" i="18"/>
  <c r="M64" i="18"/>
  <c r="L64" i="18"/>
  <c r="K64" i="18"/>
  <c r="J64" i="18"/>
  <c r="I64" i="18"/>
  <c r="H64" i="18"/>
  <c r="G64" i="18"/>
  <c r="F64" i="18"/>
  <c r="E64" i="18"/>
  <c r="D64" i="18"/>
  <c r="C64" i="18"/>
  <c r="B64" i="18"/>
  <c r="A64" i="18"/>
  <c r="W63" i="18"/>
  <c r="V63" i="18"/>
  <c r="U63" i="18"/>
  <c r="S63" i="18"/>
  <c r="R63" i="18"/>
  <c r="Q63" i="18"/>
  <c r="P63" i="18"/>
  <c r="O63" i="18"/>
  <c r="N63" i="18"/>
  <c r="M63" i="18"/>
  <c r="L63" i="18"/>
  <c r="K63" i="18"/>
  <c r="J63" i="18"/>
  <c r="I63" i="18"/>
  <c r="H63" i="18"/>
  <c r="G63" i="18"/>
  <c r="F63" i="18"/>
  <c r="E63" i="18"/>
  <c r="D63" i="18"/>
  <c r="C63" i="18"/>
  <c r="B63" i="18"/>
  <c r="A63" i="18"/>
  <c r="W62" i="18"/>
  <c r="V62" i="18"/>
  <c r="U62" i="18"/>
  <c r="T62" i="18"/>
  <c r="S62" i="18"/>
  <c r="R62" i="18"/>
  <c r="Q62" i="18"/>
  <c r="P62" i="18"/>
  <c r="O62" i="18"/>
  <c r="N62" i="18"/>
  <c r="M62" i="18"/>
  <c r="L62" i="18"/>
  <c r="K62" i="18"/>
  <c r="J62" i="18"/>
  <c r="I62" i="18"/>
  <c r="H62" i="18"/>
  <c r="G62" i="18"/>
  <c r="F62" i="18"/>
  <c r="E62" i="18"/>
  <c r="D62" i="18"/>
  <c r="C62" i="18"/>
  <c r="B62" i="18"/>
  <c r="A62" i="18"/>
  <c r="W61" i="18"/>
  <c r="V61" i="18"/>
  <c r="U61" i="18"/>
  <c r="T61" i="18"/>
  <c r="S61" i="18"/>
  <c r="R61" i="18"/>
  <c r="Q61" i="18"/>
  <c r="P61" i="18"/>
  <c r="O61" i="18"/>
  <c r="N61" i="18"/>
  <c r="M61" i="18"/>
  <c r="L61" i="18"/>
  <c r="K61" i="18"/>
  <c r="J61" i="18"/>
  <c r="I61" i="18"/>
  <c r="H61" i="18"/>
  <c r="G61" i="18"/>
  <c r="F61" i="18"/>
  <c r="E61" i="18"/>
  <c r="D61" i="18"/>
  <c r="C61" i="18"/>
  <c r="B61" i="18"/>
  <c r="A61" i="18"/>
  <c r="W60" i="18"/>
  <c r="V60" i="18"/>
  <c r="U60" i="18"/>
  <c r="T60" i="18"/>
  <c r="S60" i="18"/>
  <c r="R60" i="18"/>
  <c r="Q60" i="18"/>
  <c r="P60" i="18"/>
  <c r="O60" i="18"/>
  <c r="N60" i="18"/>
  <c r="M60" i="18"/>
  <c r="L60" i="18"/>
  <c r="K60" i="18"/>
  <c r="J60" i="18"/>
  <c r="I60" i="18"/>
  <c r="H60" i="18"/>
  <c r="G60" i="18"/>
  <c r="F60" i="18"/>
  <c r="E60" i="18"/>
  <c r="D60" i="18"/>
  <c r="C60" i="18"/>
  <c r="B60" i="18"/>
  <c r="A60" i="18"/>
  <c r="W59" i="18"/>
  <c r="V59" i="18"/>
  <c r="U59" i="18"/>
  <c r="S59" i="18"/>
  <c r="R59" i="18"/>
  <c r="Q59" i="18"/>
  <c r="P59" i="18"/>
  <c r="O59" i="18"/>
  <c r="N59" i="18"/>
  <c r="M59" i="18"/>
  <c r="L59" i="18"/>
  <c r="K59" i="18"/>
  <c r="J59" i="18"/>
  <c r="I59" i="18"/>
  <c r="H59" i="18"/>
  <c r="G59" i="18"/>
  <c r="F59" i="18"/>
  <c r="E59" i="18"/>
  <c r="D59" i="18"/>
  <c r="C59" i="18"/>
  <c r="B59" i="18"/>
  <c r="A59" i="18"/>
  <c r="W58" i="18"/>
  <c r="V58" i="18"/>
  <c r="U58" i="18"/>
  <c r="T58" i="18"/>
  <c r="S58" i="18"/>
  <c r="R58" i="18"/>
  <c r="Q58" i="18"/>
  <c r="P58" i="18"/>
  <c r="O58" i="18"/>
  <c r="N58" i="18"/>
  <c r="M58" i="18"/>
  <c r="L58" i="18"/>
  <c r="K58" i="18"/>
  <c r="J58" i="18"/>
  <c r="I58" i="18"/>
  <c r="H58" i="18"/>
  <c r="G58" i="18"/>
  <c r="F58" i="18"/>
  <c r="E58" i="18"/>
  <c r="D58" i="18"/>
  <c r="C58" i="18"/>
  <c r="B58" i="18"/>
  <c r="A58" i="18"/>
  <c r="W57" i="18"/>
  <c r="V57" i="18"/>
  <c r="U57" i="18"/>
  <c r="S57" i="18"/>
  <c r="R57" i="18"/>
  <c r="Q57" i="18"/>
  <c r="P57" i="18"/>
  <c r="O57" i="18"/>
  <c r="N57" i="18"/>
  <c r="M57" i="18"/>
  <c r="L57" i="18"/>
  <c r="K57" i="18"/>
  <c r="J57" i="18"/>
  <c r="I57" i="18"/>
  <c r="H57" i="18"/>
  <c r="G57" i="18"/>
  <c r="F57" i="18"/>
  <c r="E57" i="18"/>
  <c r="D57" i="18"/>
  <c r="C57" i="18"/>
  <c r="B57" i="18"/>
  <c r="A57" i="18"/>
  <c r="W56" i="18"/>
  <c r="V56" i="18"/>
  <c r="U56" i="18"/>
  <c r="S56" i="18"/>
  <c r="R56" i="18"/>
  <c r="Q56" i="18"/>
  <c r="P56" i="18"/>
  <c r="O56" i="18"/>
  <c r="N56" i="18"/>
  <c r="M56" i="18"/>
  <c r="L56" i="18"/>
  <c r="K56" i="18"/>
  <c r="J56" i="18"/>
  <c r="I56" i="18"/>
  <c r="H56" i="18"/>
  <c r="G56" i="18"/>
  <c r="F56" i="18"/>
  <c r="E56" i="18"/>
  <c r="D56" i="18"/>
  <c r="C56" i="18"/>
  <c r="B56" i="18"/>
  <c r="A56" i="18"/>
  <c r="W55" i="18"/>
  <c r="V55" i="18"/>
  <c r="U55" i="18"/>
  <c r="T55" i="18"/>
  <c r="S55" i="18"/>
  <c r="R55" i="18"/>
  <c r="Q55" i="18"/>
  <c r="P55" i="18"/>
  <c r="O55" i="18"/>
  <c r="N55" i="18"/>
  <c r="M55" i="18"/>
  <c r="L55" i="18"/>
  <c r="K55" i="18"/>
  <c r="J55" i="18"/>
  <c r="I55" i="18"/>
  <c r="H55" i="18"/>
  <c r="G55" i="18"/>
  <c r="F55" i="18"/>
  <c r="E55" i="18"/>
  <c r="D55" i="18"/>
  <c r="C55" i="18"/>
  <c r="B55" i="18"/>
  <c r="A55" i="18"/>
  <c r="W54" i="18"/>
  <c r="V54" i="18"/>
  <c r="U54" i="18"/>
  <c r="S54" i="18"/>
  <c r="R54" i="18"/>
  <c r="Q54" i="18"/>
  <c r="P54" i="18"/>
  <c r="O54" i="18"/>
  <c r="N54" i="18"/>
  <c r="M54" i="18"/>
  <c r="L54" i="18"/>
  <c r="K54" i="18"/>
  <c r="J54" i="18"/>
  <c r="I54" i="18"/>
  <c r="H54" i="18"/>
  <c r="G54" i="18"/>
  <c r="F54" i="18"/>
  <c r="E54" i="18"/>
  <c r="D54" i="18"/>
  <c r="C54" i="18"/>
  <c r="B54" i="18"/>
  <c r="A54" i="18"/>
  <c r="W53" i="18"/>
  <c r="V53" i="18"/>
  <c r="U53" i="18"/>
  <c r="T53" i="18"/>
  <c r="S53" i="18"/>
  <c r="R53" i="18"/>
  <c r="Q53" i="18"/>
  <c r="P53" i="18"/>
  <c r="O53" i="18"/>
  <c r="N53" i="18"/>
  <c r="M53" i="18"/>
  <c r="L53" i="18"/>
  <c r="K53" i="18"/>
  <c r="J53" i="18"/>
  <c r="I53" i="18"/>
  <c r="H53" i="18"/>
  <c r="G53" i="18"/>
  <c r="F53" i="18"/>
  <c r="E53" i="18"/>
  <c r="D53" i="18"/>
  <c r="C53" i="18"/>
  <c r="B53" i="18"/>
  <c r="A53" i="18"/>
  <c r="W52" i="18"/>
  <c r="V52" i="18"/>
  <c r="U52" i="18"/>
  <c r="T52" i="18"/>
  <c r="S52" i="18"/>
  <c r="R52" i="18"/>
  <c r="Q52" i="18"/>
  <c r="P52" i="18"/>
  <c r="O52" i="18"/>
  <c r="N52" i="18"/>
  <c r="M52" i="18"/>
  <c r="L52" i="18"/>
  <c r="K52" i="18"/>
  <c r="J52" i="18"/>
  <c r="I52" i="18"/>
  <c r="H52" i="18"/>
  <c r="G52" i="18"/>
  <c r="F52" i="18"/>
  <c r="E52" i="18"/>
  <c r="D52" i="18"/>
  <c r="C52" i="18"/>
  <c r="B52" i="18"/>
  <c r="A52" i="18"/>
  <c r="W51" i="18"/>
  <c r="V51" i="18"/>
  <c r="U51" i="18"/>
  <c r="T51" i="18"/>
  <c r="S51" i="18"/>
  <c r="R51" i="18"/>
  <c r="Q51" i="18"/>
  <c r="P51" i="18"/>
  <c r="O51" i="18"/>
  <c r="N51" i="18"/>
  <c r="M51" i="18"/>
  <c r="L51" i="18"/>
  <c r="K51" i="18"/>
  <c r="J51" i="18"/>
  <c r="I51" i="18"/>
  <c r="H51" i="18"/>
  <c r="G51" i="18"/>
  <c r="F51" i="18"/>
  <c r="E51" i="18"/>
  <c r="D51" i="18"/>
  <c r="C51" i="18"/>
  <c r="B51" i="18"/>
  <c r="A51" i="18"/>
  <c r="W50" i="18"/>
  <c r="V50" i="18"/>
  <c r="U50" i="18"/>
  <c r="T50" i="18"/>
  <c r="S50" i="18"/>
  <c r="R50" i="18"/>
  <c r="Q50" i="18"/>
  <c r="P50" i="18"/>
  <c r="O50" i="18"/>
  <c r="N50" i="18"/>
  <c r="M50" i="18"/>
  <c r="L50" i="18"/>
  <c r="K50" i="18"/>
  <c r="J50" i="18"/>
  <c r="I50" i="18"/>
  <c r="H50" i="18"/>
  <c r="G50" i="18"/>
  <c r="F50" i="18"/>
  <c r="E50" i="18"/>
  <c r="D50" i="18"/>
  <c r="C50" i="18"/>
  <c r="B50" i="18"/>
  <c r="A50" i="18"/>
  <c r="W49" i="18"/>
  <c r="V49" i="18"/>
  <c r="U49" i="18"/>
  <c r="T49" i="18"/>
  <c r="S49" i="18"/>
  <c r="R49" i="18"/>
  <c r="Q49" i="18"/>
  <c r="P49" i="18"/>
  <c r="O49" i="18"/>
  <c r="N49" i="18"/>
  <c r="M49" i="18"/>
  <c r="L49" i="18"/>
  <c r="K49" i="18"/>
  <c r="J49" i="18"/>
  <c r="I49" i="18"/>
  <c r="H49" i="18"/>
  <c r="G49" i="18"/>
  <c r="F49" i="18"/>
  <c r="E49" i="18"/>
  <c r="D49" i="18"/>
  <c r="C49" i="18"/>
  <c r="B49" i="18"/>
  <c r="A49" i="18"/>
  <c r="W48" i="18"/>
  <c r="V48" i="18"/>
  <c r="U48" i="18"/>
  <c r="T48" i="18"/>
  <c r="S48" i="18"/>
  <c r="R48" i="18"/>
  <c r="Q48" i="18"/>
  <c r="P48" i="18"/>
  <c r="O48" i="18"/>
  <c r="N48" i="18"/>
  <c r="M48" i="18"/>
  <c r="L48" i="18"/>
  <c r="K48" i="18"/>
  <c r="J48" i="18"/>
  <c r="I48" i="18"/>
  <c r="H48" i="18"/>
  <c r="G48" i="18"/>
  <c r="F48" i="18"/>
  <c r="E48" i="18"/>
  <c r="D48" i="18"/>
  <c r="C48" i="18"/>
  <c r="B48" i="18"/>
  <c r="A48" i="18"/>
  <c r="W47" i="18"/>
  <c r="V47" i="18"/>
  <c r="U47" i="18"/>
  <c r="T47" i="18"/>
  <c r="S47" i="18"/>
  <c r="R47" i="18"/>
  <c r="Q47" i="18"/>
  <c r="P47" i="18"/>
  <c r="O47" i="18"/>
  <c r="N47" i="18"/>
  <c r="M47" i="18"/>
  <c r="L47" i="18"/>
  <c r="K47" i="18"/>
  <c r="J47" i="18"/>
  <c r="I47" i="18"/>
  <c r="H47" i="18"/>
  <c r="G47" i="18"/>
  <c r="F47" i="18"/>
  <c r="E47" i="18"/>
  <c r="D47" i="18"/>
  <c r="C47" i="18"/>
  <c r="B47" i="18"/>
  <c r="A47" i="18"/>
  <c r="W46" i="18"/>
  <c r="V46" i="18"/>
  <c r="U46" i="18"/>
  <c r="T46" i="18"/>
  <c r="S46" i="18"/>
  <c r="R46" i="18"/>
  <c r="Q46" i="18"/>
  <c r="P46" i="18"/>
  <c r="O46" i="18"/>
  <c r="N46" i="18"/>
  <c r="M46" i="18"/>
  <c r="L46" i="18"/>
  <c r="K46" i="18"/>
  <c r="J46" i="18"/>
  <c r="I46" i="18"/>
  <c r="H46" i="18"/>
  <c r="G46" i="18"/>
  <c r="F46" i="18"/>
  <c r="E46" i="18"/>
  <c r="D46" i="18"/>
  <c r="C46" i="18"/>
  <c r="B46" i="18"/>
  <c r="A46" i="18"/>
  <c r="W45" i="18"/>
  <c r="V45" i="18"/>
  <c r="U45" i="18"/>
  <c r="T45" i="18"/>
  <c r="S45" i="18"/>
  <c r="R45" i="18"/>
  <c r="Q45" i="18"/>
  <c r="P45" i="18"/>
  <c r="O45" i="18"/>
  <c r="N45" i="18"/>
  <c r="M45" i="18"/>
  <c r="L45" i="18"/>
  <c r="K45" i="18"/>
  <c r="J45" i="18"/>
  <c r="I45" i="18"/>
  <c r="H45" i="18"/>
  <c r="G45" i="18"/>
  <c r="F45" i="18"/>
  <c r="E45" i="18"/>
  <c r="D45" i="18"/>
  <c r="C45" i="18"/>
  <c r="B45" i="18"/>
  <c r="A45" i="18"/>
  <c r="W44" i="18"/>
  <c r="V44" i="18"/>
  <c r="U44" i="18"/>
  <c r="T44" i="18"/>
  <c r="S44" i="18"/>
  <c r="R44" i="18"/>
  <c r="Q44" i="18"/>
  <c r="P44" i="18"/>
  <c r="O44" i="18"/>
  <c r="N44" i="18"/>
  <c r="M44" i="18"/>
  <c r="L44" i="18"/>
  <c r="K44" i="18"/>
  <c r="J44" i="18"/>
  <c r="I44" i="18"/>
  <c r="H44" i="18"/>
  <c r="G44" i="18"/>
  <c r="F44" i="18"/>
  <c r="E44" i="18"/>
  <c r="D44" i="18"/>
  <c r="C44" i="18"/>
  <c r="B44" i="18"/>
  <c r="A44" i="18"/>
  <c r="W43" i="18"/>
  <c r="V43" i="18"/>
  <c r="U43" i="18"/>
  <c r="T43" i="18"/>
  <c r="S43" i="18"/>
  <c r="R43" i="18"/>
  <c r="Q43" i="18"/>
  <c r="P43" i="18"/>
  <c r="O43" i="18"/>
  <c r="N43" i="18"/>
  <c r="M43" i="18"/>
  <c r="L43" i="18"/>
  <c r="K43" i="18"/>
  <c r="J43" i="18"/>
  <c r="I43" i="18"/>
  <c r="H43" i="18"/>
  <c r="G43" i="18"/>
  <c r="F43" i="18"/>
  <c r="E43" i="18"/>
  <c r="D43" i="18"/>
  <c r="C43" i="18"/>
  <c r="B43" i="18"/>
  <c r="A43" i="18"/>
  <c r="W42" i="18"/>
  <c r="V42" i="18"/>
  <c r="U42" i="18"/>
  <c r="T42" i="18"/>
  <c r="S42" i="18"/>
  <c r="R42" i="18"/>
  <c r="Q42" i="18"/>
  <c r="P42" i="18"/>
  <c r="O42" i="18"/>
  <c r="N42" i="18"/>
  <c r="M42" i="18"/>
  <c r="L42" i="18"/>
  <c r="K42" i="18"/>
  <c r="J42" i="18"/>
  <c r="I42" i="18"/>
  <c r="H42" i="18"/>
  <c r="G42" i="18"/>
  <c r="F42" i="18"/>
  <c r="E42" i="18"/>
  <c r="D42" i="18"/>
  <c r="C42" i="18"/>
  <c r="B42" i="18"/>
  <c r="A42" i="18"/>
  <c r="W41" i="18"/>
  <c r="V41" i="18"/>
  <c r="U41" i="18"/>
  <c r="T41" i="18"/>
  <c r="S41" i="18"/>
  <c r="R41" i="18"/>
  <c r="Q41" i="18"/>
  <c r="P41" i="18"/>
  <c r="O41" i="18"/>
  <c r="N41" i="18"/>
  <c r="M41" i="18"/>
  <c r="L41" i="18"/>
  <c r="K41" i="18"/>
  <c r="J41" i="18"/>
  <c r="I41" i="18"/>
  <c r="H41" i="18"/>
  <c r="G41" i="18"/>
  <c r="F41" i="18"/>
  <c r="E41" i="18"/>
  <c r="D41" i="18"/>
  <c r="C41" i="18"/>
  <c r="B41" i="18"/>
  <c r="A41" i="18"/>
  <c r="W40" i="18"/>
  <c r="V40" i="18"/>
  <c r="U40" i="18"/>
  <c r="T40" i="18"/>
  <c r="S40" i="18"/>
  <c r="R40" i="18"/>
  <c r="Q40" i="18"/>
  <c r="P40" i="18"/>
  <c r="O40" i="18"/>
  <c r="N40" i="18"/>
  <c r="M40" i="18"/>
  <c r="L40" i="18"/>
  <c r="K40" i="18"/>
  <c r="J40" i="18"/>
  <c r="I40" i="18"/>
  <c r="H40" i="18"/>
  <c r="G40" i="18"/>
  <c r="F40" i="18"/>
  <c r="E40" i="18"/>
  <c r="D40" i="18"/>
  <c r="C40" i="18"/>
  <c r="B40" i="18"/>
  <c r="A40" i="18"/>
  <c r="W39" i="18"/>
  <c r="V39" i="18"/>
  <c r="U39" i="18"/>
  <c r="S39" i="18"/>
  <c r="R39" i="18"/>
  <c r="Q39" i="18"/>
  <c r="P39" i="18"/>
  <c r="O39" i="18"/>
  <c r="N39" i="18"/>
  <c r="M39" i="18"/>
  <c r="L39" i="18"/>
  <c r="K39" i="18"/>
  <c r="J39" i="18"/>
  <c r="I39" i="18"/>
  <c r="H39" i="18"/>
  <c r="G39" i="18"/>
  <c r="F39" i="18"/>
  <c r="E39" i="18"/>
  <c r="D39" i="18"/>
  <c r="C39" i="18"/>
  <c r="B39" i="18"/>
  <c r="A39" i="18"/>
  <c r="W38" i="18"/>
  <c r="V38" i="18"/>
  <c r="U38" i="18"/>
  <c r="T38" i="18"/>
  <c r="S38" i="18"/>
  <c r="R38" i="18"/>
  <c r="Q38" i="18"/>
  <c r="P38" i="18"/>
  <c r="O38" i="18"/>
  <c r="N38" i="18"/>
  <c r="M38" i="18"/>
  <c r="L38" i="18"/>
  <c r="K38" i="18"/>
  <c r="J38" i="18"/>
  <c r="I38" i="18"/>
  <c r="H38" i="18"/>
  <c r="G38" i="18"/>
  <c r="F38" i="18"/>
  <c r="E38" i="18"/>
  <c r="D38" i="18"/>
  <c r="C38" i="18"/>
  <c r="B38" i="18"/>
  <c r="A38" i="18"/>
  <c r="W37" i="18"/>
  <c r="V37" i="18"/>
  <c r="U37" i="18"/>
  <c r="S37" i="18"/>
  <c r="R37" i="18"/>
  <c r="Q37" i="18"/>
  <c r="P37" i="18"/>
  <c r="O37" i="18"/>
  <c r="N37" i="18"/>
  <c r="M37" i="18"/>
  <c r="L37" i="18"/>
  <c r="K37" i="18"/>
  <c r="J37" i="18"/>
  <c r="I37" i="18"/>
  <c r="H37" i="18"/>
  <c r="G37" i="18"/>
  <c r="F37" i="18"/>
  <c r="E37" i="18"/>
  <c r="D37" i="18"/>
  <c r="C37" i="18"/>
  <c r="B37" i="18"/>
  <c r="A37" i="18"/>
  <c r="W36" i="18"/>
  <c r="V36" i="18"/>
  <c r="U36" i="18"/>
  <c r="T36" i="18"/>
  <c r="S36" i="18"/>
  <c r="R36" i="18"/>
  <c r="Q36" i="18"/>
  <c r="P36" i="18"/>
  <c r="O36" i="18"/>
  <c r="N36" i="18"/>
  <c r="M36" i="18"/>
  <c r="L36" i="18"/>
  <c r="K36" i="18"/>
  <c r="J36" i="18"/>
  <c r="I36" i="18"/>
  <c r="H36" i="18"/>
  <c r="G36" i="18"/>
  <c r="F36" i="18"/>
  <c r="E36" i="18"/>
  <c r="D36" i="18"/>
  <c r="C36" i="18"/>
  <c r="B36" i="18"/>
  <c r="A36" i="18"/>
  <c r="W35" i="18"/>
  <c r="V35" i="18"/>
  <c r="U35" i="18"/>
  <c r="T35" i="18"/>
  <c r="S35" i="18"/>
  <c r="R35" i="18"/>
  <c r="Q35" i="18"/>
  <c r="P35" i="18"/>
  <c r="O35" i="18"/>
  <c r="N35" i="18"/>
  <c r="M35" i="18"/>
  <c r="L35" i="18"/>
  <c r="K35" i="18"/>
  <c r="J35" i="18"/>
  <c r="I35" i="18"/>
  <c r="H35" i="18"/>
  <c r="G35" i="18"/>
  <c r="F35" i="18"/>
  <c r="E35" i="18"/>
  <c r="D35" i="18"/>
  <c r="C35" i="18"/>
  <c r="B35" i="18"/>
  <c r="A35" i="18"/>
  <c r="W34" i="18"/>
  <c r="V34" i="18"/>
  <c r="U34" i="18"/>
  <c r="S34" i="18"/>
  <c r="R34" i="18"/>
  <c r="Q34" i="18"/>
  <c r="P34" i="18"/>
  <c r="O34" i="18"/>
  <c r="N34" i="18"/>
  <c r="M34" i="18"/>
  <c r="L34" i="18"/>
  <c r="K34" i="18"/>
  <c r="J34" i="18"/>
  <c r="I34" i="18"/>
  <c r="H34" i="18"/>
  <c r="G34" i="18"/>
  <c r="F34" i="18"/>
  <c r="E34" i="18"/>
  <c r="D34" i="18"/>
  <c r="C34" i="18"/>
  <c r="B34" i="18"/>
  <c r="A34" i="18"/>
  <c r="W33" i="18"/>
  <c r="V33" i="18"/>
  <c r="U33" i="18"/>
  <c r="T33" i="18"/>
  <c r="S33" i="18"/>
  <c r="R33" i="18"/>
  <c r="Q33" i="18"/>
  <c r="P33" i="18"/>
  <c r="O33" i="18"/>
  <c r="N33" i="18"/>
  <c r="M33" i="18"/>
  <c r="L33" i="18"/>
  <c r="K33" i="18"/>
  <c r="J33" i="18"/>
  <c r="I33" i="18"/>
  <c r="H33" i="18"/>
  <c r="G33" i="18"/>
  <c r="F33" i="18"/>
  <c r="E33" i="18"/>
  <c r="D33" i="18"/>
  <c r="C33" i="18"/>
  <c r="B33" i="18"/>
  <c r="A33" i="18"/>
  <c r="W32" i="18"/>
  <c r="V32" i="18"/>
  <c r="U32" i="18"/>
  <c r="T32" i="18"/>
  <c r="S32" i="18"/>
  <c r="R32" i="18"/>
  <c r="Q32" i="18"/>
  <c r="P32" i="18"/>
  <c r="O32" i="18"/>
  <c r="N32" i="18"/>
  <c r="M32" i="18"/>
  <c r="L32" i="18"/>
  <c r="K32" i="18"/>
  <c r="J32" i="18"/>
  <c r="I32" i="18"/>
  <c r="H32" i="18"/>
  <c r="G32" i="18"/>
  <c r="F32" i="18"/>
  <c r="E32" i="18"/>
  <c r="D32" i="18"/>
  <c r="C32" i="18"/>
  <c r="B32" i="18"/>
  <c r="A32" i="18"/>
  <c r="W31" i="18"/>
  <c r="V31" i="18"/>
  <c r="U31" i="18"/>
  <c r="T31" i="18"/>
  <c r="S31" i="18"/>
  <c r="R31" i="18"/>
  <c r="Q31" i="18"/>
  <c r="P31" i="18"/>
  <c r="O31" i="18"/>
  <c r="N31" i="18"/>
  <c r="M31" i="18"/>
  <c r="L31" i="18"/>
  <c r="K31" i="18"/>
  <c r="J31" i="18"/>
  <c r="I31" i="18"/>
  <c r="H31" i="18"/>
  <c r="G31" i="18"/>
  <c r="F31" i="18"/>
  <c r="E31" i="18"/>
  <c r="D31" i="18"/>
  <c r="C31" i="18"/>
  <c r="B31" i="18"/>
  <c r="A31" i="18"/>
  <c r="W30" i="18"/>
  <c r="V30" i="18"/>
  <c r="U30" i="18"/>
  <c r="T30" i="18"/>
  <c r="S30" i="18"/>
  <c r="R30" i="18"/>
  <c r="Q30" i="18"/>
  <c r="P30" i="18"/>
  <c r="O30" i="18"/>
  <c r="N30" i="18"/>
  <c r="M30" i="18"/>
  <c r="L30" i="18"/>
  <c r="K30" i="18"/>
  <c r="J30" i="18"/>
  <c r="I30" i="18"/>
  <c r="H30" i="18"/>
  <c r="G30" i="18"/>
  <c r="F30" i="18"/>
  <c r="E30" i="18"/>
  <c r="D30" i="18"/>
  <c r="C30" i="18"/>
  <c r="B30" i="18"/>
  <c r="A30" i="18"/>
  <c r="W29" i="18"/>
  <c r="V29" i="18"/>
  <c r="U29" i="18"/>
  <c r="T29" i="18"/>
  <c r="S29" i="18"/>
  <c r="R29" i="18"/>
  <c r="Q29" i="18"/>
  <c r="P29" i="18"/>
  <c r="O29" i="18"/>
  <c r="N29" i="18"/>
  <c r="M29" i="18"/>
  <c r="L29" i="18"/>
  <c r="K29" i="18"/>
  <c r="J29" i="18"/>
  <c r="I29" i="18"/>
  <c r="H29" i="18"/>
  <c r="G29" i="18"/>
  <c r="F29" i="18"/>
  <c r="E29" i="18"/>
  <c r="D29" i="18"/>
  <c r="C29" i="18"/>
  <c r="B29" i="18"/>
  <c r="A29" i="18"/>
  <c r="W28" i="18"/>
  <c r="V28" i="18"/>
  <c r="U28" i="18"/>
  <c r="T28" i="18"/>
  <c r="S28" i="18"/>
  <c r="R28" i="18"/>
  <c r="Q28" i="18"/>
  <c r="P28" i="18"/>
  <c r="O28" i="18"/>
  <c r="N28" i="18"/>
  <c r="M28" i="18"/>
  <c r="L28" i="18"/>
  <c r="K28" i="18"/>
  <c r="J28" i="18"/>
  <c r="I28" i="18"/>
  <c r="H28" i="18"/>
  <c r="G28" i="18"/>
  <c r="F28" i="18"/>
  <c r="E28" i="18"/>
  <c r="D28" i="18"/>
  <c r="C28" i="18"/>
  <c r="B28" i="18"/>
  <c r="A28" i="18"/>
  <c r="W27" i="18"/>
  <c r="V27" i="18"/>
  <c r="U27" i="18"/>
  <c r="S27" i="18"/>
  <c r="R27" i="18"/>
  <c r="Q27" i="18"/>
  <c r="P27" i="18"/>
  <c r="O27" i="18"/>
  <c r="N27" i="18"/>
  <c r="M27" i="18"/>
  <c r="L27" i="18"/>
  <c r="K27" i="18"/>
  <c r="J27" i="18"/>
  <c r="I27" i="18"/>
  <c r="H27" i="18"/>
  <c r="G27" i="18"/>
  <c r="F27" i="18"/>
  <c r="E27" i="18"/>
  <c r="D27" i="18"/>
  <c r="C27" i="18"/>
  <c r="B27" i="18"/>
  <c r="A27" i="18"/>
  <c r="W26" i="18"/>
  <c r="V26" i="18"/>
  <c r="U26" i="18"/>
  <c r="T26" i="18"/>
  <c r="S26" i="18"/>
  <c r="R26" i="18"/>
  <c r="Q26" i="18"/>
  <c r="P26" i="18"/>
  <c r="O26" i="18"/>
  <c r="N26" i="18"/>
  <c r="M26" i="18"/>
  <c r="L26" i="18"/>
  <c r="K26" i="18"/>
  <c r="J26" i="18"/>
  <c r="I26" i="18"/>
  <c r="H26" i="18"/>
  <c r="G26" i="18"/>
  <c r="F26" i="18"/>
  <c r="E26" i="18"/>
  <c r="D26" i="18"/>
  <c r="C26" i="18"/>
  <c r="B26" i="18"/>
  <c r="A26" i="18"/>
  <c r="W25" i="18"/>
  <c r="V25" i="18"/>
  <c r="U25" i="18"/>
  <c r="T25" i="18"/>
  <c r="S25" i="18"/>
  <c r="R25" i="18"/>
  <c r="Q25" i="18"/>
  <c r="P25" i="18"/>
  <c r="O25" i="18"/>
  <c r="N25" i="18"/>
  <c r="M25" i="18"/>
  <c r="L25" i="18"/>
  <c r="K25" i="18"/>
  <c r="J25" i="18"/>
  <c r="I25" i="18"/>
  <c r="H25" i="18"/>
  <c r="G25" i="18"/>
  <c r="F25" i="18"/>
  <c r="E25" i="18"/>
  <c r="D25" i="18"/>
  <c r="C25" i="18"/>
  <c r="B25" i="18"/>
  <c r="A25" i="18"/>
  <c r="W24" i="18"/>
  <c r="V24" i="18"/>
  <c r="U24" i="18"/>
  <c r="T24" i="18"/>
  <c r="S24" i="18"/>
  <c r="R24" i="18"/>
  <c r="Q24" i="18"/>
  <c r="P24" i="18"/>
  <c r="O24" i="18"/>
  <c r="N24" i="18"/>
  <c r="M24" i="18"/>
  <c r="L24" i="18"/>
  <c r="K24" i="18"/>
  <c r="J24" i="18"/>
  <c r="I24" i="18"/>
  <c r="H24" i="18"/>
  <c r="G24" i="18"/>
  <c r="F24" i="18"/>
  <c r="E24" i="18"/>
  <c r="D24" i="18"/>
  <c r="C24" i="18"/>
  <c r="B24" i="18"/>
  <c r="A24" i="18"/>
  <c r="W23" i="18"/>
  <c r="V23" i="18"/>
  <c r="U23" i="18"/>
  <c r="T23" i="18"/>
  <c r="S23" i="18"/>
  <c r="R23" i="18"/>
  <c r="Q23" i="18"/>
  <c r="P23" i="18"/>
  <c r="O23" i="18"/>
  <c r="N23" i="18"/>
  <c r="M23" i="18"/>
  <c r="L23" i="18"/>
  <c r="K23" i="18"/>
  <c r="J23" i="18"/>
  <c r="I23" i="18"/>
  <c r="H23" i="18"/>
  <c r="G23" i="18"/>
  <c r="F23" i="18"/>
  <c r="E23" i="18"/>
  <c r="D23" i="18"/>
  <c r="C23" i="18"/>
  <c r="B23" i="18"/>
  <c r="A23" i="18"/>
  <c r="W22" i="18"/>
  <c r="V22" i="18"/>
  <c r="U22" i="18"/>
  <c r="S22" i="18"/>
  <c r="R22" i="18"/>
  <c r="Q22" i="18"/>
  <c r="P22" i="18"/>
  <c r="O22" i="18"/>
  <c r="N22" i="18"/>
  <c r="M22" i="18"/>
  <c r="L22" i="18"/>
  <c r="K22" i="18"/>
  <c r="J22" i="18"/>
  <c r="I22" i="18"/>
  <c r="H22" i="18"/>
  <c r="G22" i="18"/>
  <c r="F22" i="18"/>
  <c r="E22" i="18"/>
  <c r="D22" i="18"/>
  <c r="C22" i="18"/>
  <c r="B22" i="18"/>
  <c r="A22" i="18"/>
  <c r="W21" i="18"/>
  <c r="V21" i="18"/>
  <c r="U21" i="18"/>
  <c r="T21" i="18"/>
  <c r="S21" i="18"/>
  <c r="R21" i="18"/>
  <c r="Q21" i="18"/>
  <c r="P21" i="18"/>
  <c r="O21" i="18"/>
  <c r="N21" i="18"/>
  <c r="M21" i="18"/>
  <c r="L21" i="18"/>
  <c r="K21" i="18"/>
  <c r="J21" i="18"/>
  <c r="I21" i="18"/>
  <c r="H21" i="18"/>
  <c r="G21" i="18"/>
  <c r="F21" i="18"/>
  <c r="E21" i="18"/>
  <c r="D21" i="18"/>
  <c r="C21" i="18"/>
  <c r="B21" i="18"/>
  <c r="A21" i="18"/>
  <c r="W20" i="18"/>
  <c r="V20" i="18"/>
  <c r="U20" i="18"/>
  <c r="T20" i="18"/>
  <c r="S20" i="18"/>
  <c r="R20" i="18"/>
  <c r="Q20" i="18"/>
  <c r="P20" i="18"/>
  <c r="O20" i="18"/>
  <c r="N20" i="18"/>
  <c r="M20" i="18"/>
  <c r="L20" i="18"/>
  <c r="K20" i="18"/>
  <c r="J20" i="18"/>
  <c r="I20" i="18"/>
  <c r="H20" i="18"/>
  <c r="G20" i="18"/>
  <c r="F20" i="18"/>
  <c r="E20" i="18"/>
  <c r="D20" i="18"/>
  <c r="C20" i="18"/>
  <c r="B20" i="18"/>
  <c r="A20" i="18"/>
  <c r="W19" i="18"/>
  <c r="V19" i="18"/>
  <c r="U19" i="18"/>
  <c r="T19" i="18"/>
  <c r="S19" i="18"/>
  <c r="R19" i="18"/>
  <c r="Q19" i="18"/>
  <c r="P19" i="18"/>
  <c r="O19" i="18"/>
  <c r="N19" i="18"/>
  <c r="M19" i="18"/>
  <c r="L19" i="18"/>
  <c r="K19" i="18"/>
  <c r="J19" i="18"/>
  <c r="I19" i="18"/>
  <c r="H19" i="18"/>
  <c r="G19" i="18"/>
  <c r="F19" i="18"/>
  <c r="E19" i="18"/>
  <c r="D19" i="18"/>
  <c r="C19" i="18"/>
  <c r="B19" i="18"/>
  <c r="A19" i="18"/>
  <c r="W18" i="18"/>
  <c r="V18" i="18"/>
  <c r="U18" i="18"/>
  <c r="T18" i="18"/>
  <c r="S18" i="18"/>
  <c r="R18" i="18"/>
  <c r="Q18" i="18"/>
  <c r="P18" i="18"/>
  <c r="O18" i="18"/>
  <c r="N18" i="18"/>
  <c r="M18" i="18"/>
  <c r="L18" i="18"/>
  <c r="K18" i="18"/>
  <c r="J18" i="18"/>
  <c r="I18" i="18"/>
  <c r="H18" i="18"/>
  <c r="G18" i="18"/>
  <c r="F18" i="18"/>
  <c r="E18" i="18"/>
  <c r="D18" i="18"/>
  <c r="C18" i="18"/>
  <c r="B18" i="18"/>
  <c r="A18" i="18"/>
  <c r="W17" i="18"/>
  <c r="V17" i="18"/>
  <c r="U17" i="18"/>
  <c r="T17" i="18"/>
  <c r="S17" i="18"/>
  <c r="R17" i="18"/>
  <c r="Q17" i="18"/>
  <c r="P17" i="18"/>
  <c r="O17" i="18"/>
  <c r="N17" i="18"/>
  <c r="M17" i="18"/>
  <c r="L17" i="18"/>
  <c r="K17" i="18"/>
  <c r="J17" i="18"/>
  <c r="I17" i="18"/>
  <c r="H17" i="18"/>
  <c r="G17" i="18"/>
  <c r="F17" i="18"/>
  <c r="E17" i="18"/>
  <c r="D17" i="18"/>
  <c r="C17" i="18"/>
  <c r="B17" i="18"/>
  <c r="A17" i="18"/>
  <c r="W16" i="18"/>
  <c r="V16" i="18"/>
  <c r="U16" i="18"/>
  <c r="T16" i="18"/>
  <c r="S16" i="18"/>
  <c r="R16" i="18"/>
  <c r="Q16" i="18"/>
  <c r="P16" i="18"/>
  <c r="O16" i="18"/>
  <c r="N16" i="18"/>
  <c r="M16" i="18"/>
  <c r="L16" i="18"/>
  <c r="K16" i="18"/>
  <c r="J16" i="18"/>
  <c r="I16" i="18"/>
  <c r="H16" i="18"/>
  <c r="G16" i="18"/>
  <c r="F16" i="18"/>
  <c r="E16" i="18"/>
  <c r="D16" i="18"/>
  <c r="C16" i="18"/>
  <c r="B16" i="18"/>
  <c r="A16" i="18"/>
  <c r="W15" i="18"/>
  <c r="V15" i="18"/>
  <c r="U15" i="18"/>
  <c r="T15" i="18"/>
  <c r="S15" i="18"/>
  <c r="R15" i="18"/>
  <c r="Q15" i="18"/>
  <c r="P15" i="18"/>
  <c r="O15" i="18"/>
  <c r="N15" i="18"/>
  <c r="M15" i="18"/>
  <c r="L15" i="18"/>
  <c r="K15" i="18"/>
  <c r="J15" i="18"/>
  <c r="I15" i="18"/>
  <c r="H15" i="18"/>
  <c r="G15" i="18"/>
  <c r="F15" i="18"/>
  <c r="E15" i="18"/>
  <c r="D15" i="18"/>
  <c r="C15" i="18"/>
  <c r="B15" i="18"/>
  <c r="A15" i="18"/>
  <c r="W14" i="18"/>
  <c r="V14" i="18"/>
  <c r="U14" i="18"/>
  <c r="T14" i="18"/>
  <c r="S14" i="18"/>
  <c r="R14" i="18"/>
  <c r="Q14" i="18"/>
  <c r="P14" i="18"/>
  <c r="O14" i="18"/>
  <c r="N14" i="18"/>
  <c r="M14" i="18"/>
  <c r="L14" i="18"/>
  <c r="K14" i="18"/>
  <c r="J14" i="18"/>
  <c r="I14" i="18"/>
  <c r="H14" i="18"/>
  <c r="G14" i="18"/>
  <c r="F14" i="18"/>
  <c r="E14" i="18"/>
  <c r="D14" i="18"/>
  <c r="C14" i="18"/>
  <c r="B14" i="18"/>
  <c r="A14" i="18"/>
  <c r="W13" i="18"/>
  <c r="V13" i="18"/>
  <c r="U13" i="18"/>
  <c r="T13" i="18"/>
  <c r="S13" i="18"/>
  <c r="R13" i="18"/>
  <c r="Q13" i="18"/>
  <c r="P13" i="18"/>
  <c r="O13" i="18"/>
  <c r="N13" i="18"/>
  <c r="M13" i="18"/>
  <c r="L13" i="18"/>
  <c r="K13" i="18"/>
  <c r="J13" i="18"/>
  <c r="I13" i="18"/>
  <c r="H13" i="18"/>
  <c r="G13" i="18"/>
  <c r="F13" i="18"/>
  <c r="E13" i="18"/>
  <c r="D13" i="18"/>
  <c r="C13" i="18"/>
  <c r="B13" i="18"/>
  <c r="A13" i="18"/>
  <c r="W12" i="18"/>
  <c r="V12" i="18"/>
  <c r="U12" i="18"/>
  <c r="T12" i="18"/>
  <c r="S12" i="18"/>
  <c r="R12" i="18"/>
  <c r="Q12" i="18"/>
  <c r="P12" i="18"/>
  <c r="O12" i="18"/>
  <c r="N12" i="18"/>
  <c r="M12" i="18"/>
  <c r="L12" i="18"/>
  <c r="K12" i="18"/>
  <c r="J12" i="18"/>
  <c r="I12" i="18"/>
  <c r="H12" i="18"/>
  <c r="G12" i="18"/>
  <c r="F12" i="18"/>
  <c r="E12" i="18"/>
  <c r="D12" i="18"/>
  <c r="C12" i="18"/>
  <c r="B12" i="18"/>
  <c r="A12" i="18"/>
  <c r="W11" i="18"/>
  <c r="V11" i="18"/>
  <c r="U11" i="18"/>
  <c r="T11" i="18"/>
  <c r="S11" i="18"/>
  <c r="R11" i="18"/>
  <c r="Q11" i="18"/>
  <c r="P11" i="18"/>
  <c r="O11" i="18"/>
  <c r="N11" i="18"/>
  <c r="M11" i="18"/>
  <c r="L11" i="18"/>
  <c r="K11" i="18"/>
  <c r="J11" i="18"/>
  <c r="I11" i="18"/>
  <c r="H11" i="18"/>
  <c r="G11" i="18"/>
  <c r="F11" i="18"/>
  <c r="E11" i="18"/>
  <c r="D11" i="18"/>
  <c r="C11" i="18"/>
  <c r="B11" i="18"/>
  <c r="A11" i="18"/>
  <c r="W10" i="18"/>
  <c r="V10" i="18"/>
  <c r="U10" i="18"/>
  <c r="T10" i="18"/>
  <c r="S10" i="18"/>
  <c r="R10" i="18"/>
  <c r="Q10" i="18"/>
  <c r="P10" i="18"/>
  <c r="O10" i="18"/>
  <c r="N10" i="18"/>
  <c r="M10" i="18"/>
  <c r="L10" i="18"/>
  <c r="K10" i="18"/>
  <c r="J10" i="18"/>
  <c r="I10" i="18"/>
  <c r="H10" i="18"/>
  <c r="G10" i="18"/>
  <c r="F10" i="18"/>
  <c r="E10" i="18"/>
  <c r="D10" i="18"/>
  <c r="C10" i="18"/>
  <c r="B10" i="18"/>
  <c r="A10" i="18"/>
  <c r="W9" i="18"/>
  <c r="V9" i="18"/>
  <c r="U9" i="18"/>
  <c r="T9" i="18"/>
  <c r="S9" i="18"/>
  <c r="R9" i="18"/>
  <c r="Q9" i="18"/>
  <c r="P9" i="18"/>
  <c r="O9" i="18"/>
  <c r="N9" i="18"/>
  <c r="M9" i="18"/>
  <c r="L9" i="18"/>
  <c r="K9" i="18"/>
  <c r="J9" i="18"/>
  <c r="I9" i="18"/>
  <c r="H9" i="18"/>
  <c r="G9" i="18"/>
  <c r="F9" i="18"/>
  <c r="E9" i="18"/>
  <c r="D9" i="18"/>
  <c r="C9" i="18"/>
  <c r="B9" i="18"/>
  <c r="A9" i="18"/>
  <c r="W8" i="18"/>
  <c r="V8" i="18"/>
  <c r="U8" i="18"/>
  <c r="T8" i="18"/>
  <c r="S8" i="18"/>
  <c r="R8" i="18"/>
  <c r="Q8" i="18"/>
  <c r="P8" i="18"/>
  <c r="O8" i="18"/>
  <c r="N8" i="18"/>
  <c r="M8" i="18"/>
  <c r="L8" i="18"/>
  <c r="K8" i="18"/>
  <c r="J8" i="18"/>
  <c r="I8" i="18"/>
  <c r="H8" i="18"/>
  <c r="G8" i="18"/>
  <c r="F8" i="18"/>
  <c r="E8" i="18"/>
  <c r="D8" i="18"/>
  <c r="C8" i="18"/>
  <c r="B8" i="18"/>
  <c r="A8" i="18"/>
  <c r="W7" i="18"/>
  <c r="V7" i="18"/>
  <c r="U7" i="18"/>
  <c r="S7" i="18"/>
  <c r="R7" i="18"/>
  <c r="Q7" i="18"/>
  <c r="P7" i="18"/>
  <c r="O7" i="18"/>
  <c r="N7" i="18"/>
  <c r="M7" i="18"/>
  <c r="L7" i="18"/>
  <c r="K7" i="18"/>
  <c r="J7" i="18"/>
  <c r="I7" i="18"/>
  <c r="H7" i="18"/>
  <c r="G7" i="18"/>
  <c r="F7" i="18"/>
  <c r="E7" i="18"/>
  <c r="D7" i="18"/>
  <c r="C7" i="18"/>
  <c r="B7" i="18"/>
  <c r="A7" i="18"/>
  <c r="W6" i="18"/>
  <c r="V6" i="18"/>
  <c r="U6" i="18"/>
  <c r="T6" i="18"/>
  <c r="S6" i="18"/>
  <c r="R6" i="18"/>
  <c r="Q6" i="18"/>
  <c r="P6" i="18"/>
  <c r="O6" i="18"/>
  <c r="N6" i="18"/>
  <c r="M6" i="18"/>
  <c r="L6" i="18"/>
  <c r="K6" i="18"/>
  <c r="J6" i="18"/>
  <c r="I6" i="18"/>
  <c r="H6" i="18"/>
  <c r="G6" i="18"/>
  <c r="F6" i="18"/>
  <c r="E6" i="18"/>
  <c r="D6" i="18"/>
  <c r="C6" i="18"/>
  <c r="B6" i="18"/>
  <c r="A6" i="18"/>
  <c r="W5" i="18"/>
  <c r="V5" i="18"/>
  <c r="U5" i="18"/>
  <c r="T5" i="18"/>
  <c r="S5" i="18"/>
  <c r="P163" i="16" s="1" a="1"/>
  <c r="P163" i="16" s="1"/>
  <c r="R5" i="18"/>
  <c r="Q5" i="18"/>
  <c r="P5" i="18"/>
  <c r="O5" i="18"/>
  <c r="N5" i="18"/>
  <c r="M5" i="18"/>
  <c r="L5" i="18"/>
  <c r="K5" i="18"/>
  <c r="J5" i="18"/>
  <c r="I5" i="18"/>
  <c r="H5" i="18"/>
  <c r="G5" i="18"/>
  <c r="F5" i="18"/>
  <c r="E5" i="18"/>
  <c r="D5" i="18"/>
  <c r="C5" i="18"/>
  <c r="B5" i="18"/>
  <c r="A5" i="18"/>
  <c r="W4" i="18"/>
  <c r="V4" i="18"/>
  <c r="U4" i="18"/>
  <c r="T4" i="18"/>
  <c r="S4" i="18"/>
  <c r="R4" i="18"/>
  <c r="Q4" i="18"/>
  <c r="P4" i="18"/>
  <c r="O4" i="18"/>
  <c r="N4" i="18"/>
  <c r="M4" i="18"/>
  <c r="L4" i="18"/>
  <c r="N162" i="16" s="1" a="1"/>
  <c r="N162" i="16" s="1"/>
  <c r="K4" i="18"/>
  <c r="J4" i="18"/>
  <c r="I4" i="18"/>
  <c r="H4" i="18"/>
  <c r="G4" i="18"/>
  <c r="F4" i="18"/>
  <c r="E4" i="18"/>
  <c r="D4" i="18"/>
  <c r="K162" i="16" s="1" a="1"/>
  <c r="K162" i="16" s="1"/>
  <c r="C4" i="18"/>
  <c r="B4" i="18"/>
  <c r="A4" i="18"/>
  <c r="W3" i="18"/>
  <c r="V3" i="18"/>
  <c r="U3" i="18"/>
  <c r="T3" i="18"/>
  <c r="S3" i="18"/>
  <c r="P161" i="16" s="1" a="1"/>
  <c r="P161" i="16" s="1"/>
  <c r="R3" i="18"/>
  <c r="Q3" i="18"/>
  <c r="P3" i="18"/>
  <c r="O3" i="18"/>
  <c r="N3" i="18"/>
  <c r="M3" i="18"/>
  <c r="L3" i="18"/>
  <c r="K3" i="18"/>
  <c r="J3" i="18"/>
  <c r="I3" i="18"/>
  <c r="H3" i="18"/>
  <c r="G3" i="18"/>
  <c r="F3" i="18"/>
  <c r="E3" i="18"/>
  <c r="D3" i="18"/>
  <c r="C3" i="18"/>
  <c r="B3" i="18"/>
  <c r="A3" i="18"/>
  <c r="W2" i="18"/>
  <c r="V2" i="18"/>
  <c r="U2" i="18"/>
  <c r="T2" i="18"/>
  <c r="S2" i="18"/>
  <c r="R2" i="18"/>
  <c r="Q2" i="18"/>
  <c r="P2" i="18"/>
  <c r="O2" i="18"/>
  <c r="N2" i="18"/>
  <c r="M2" i="18"/>
  <c r="L2" i="18"/>
  <c r="K2" i="18"/>
  <c r="J2" i="18"/>
  <c r="I2" i="18"/>
  <c r="H2" i="18"/>
  <c r="G2" i="18"/>
  <c r="F2" i="18"/>
  <c r="E2" i="18"/>
  <c r="D2" i="18"/>
  <c r="C2" i="18"/>
  <c r="B2" i="18"/>
  <c r="A2" i="18"/>
  <c r="W1" i="18"/>
  <c r="V1" i="18"/>
  <c r="U1" i="18"/>
  <c r="T1" i="18"/>
  <c r="S1" i="18"/>
  <c r="R1" i="18"/>
  <c r="Q1" i="18"/>
  <c r="P1" i="18"/>
  <c r="O1" i="18"/>
  <c r="N1" i="18"/>
  <c r="M1" i="18"/>
  <c r="L1" i="18"/>
  <c r="K1" i="18"/>
  <c r="J1" i="18"/>
  <c r="I1" i="18"/>
  <c r="H1" i="18"/>
  <c r="G1" i="18"/>
  <c r="F1" i="18"/>
  <c r="E1" i="18"/>
  <c r="D1" i="18"/>
  <c r="C1" i="18"/>
  <c r="B1" i="18"/>
  <c r="A1" i="18"/>
  <c r="S284" i="16" a="1"/>
  <c r="S284" i="16" s="1"/>
  <c r="J284" i="16" a="1"/>
  <c r="J284" i="16" s="1"/>
  <c r="I284" i="16" a="1"/>
  <c r="I284" i="16"/>
  <c r="H284" i="16" a="1"/>
  <c r="H284" i="16"/>
  <c r="G284" i="16" a="1"/>
  <c r="G284" i="16" s="1"/>
  <c r="F284" i="16" a="1"/>
  <c r="F284" i="16"/>
  <c r="D284" i="16" a="1"/>
  <c r="D284" i="16" s="1"/>
  <c r="S283" i="16" a="1"/>
  <c r="S283" i="16" s="1"/>
  <c r="J283" i="16" a="1"/>
  <c r="J283" i="16"/>
  <c r="I283" i="16" a="1"/>
  <c r="I283" i="16" s="1"/>
  <c r="H283" i="16" a="1"/>
  <c r="H283" i="16"/>
  <c r="G283" i="16" a="1"/>
  <c r="G283" i="16" s="1"/>
  <c r="F283" i="16" a="1"/>
  <c r="F283" i="16" s="1"/>
  <c r="D283" i="16" a="1"/>
  <c r="D283" i="16" s="1"/>
  <c r="S282" i="16" a="1"/>
  <c r="S282" i="16"/>
  <c r="J282" i="16" a="1"/>
  <c r="J282" i="16"/>
  <c r="I282" i="16" a="1"/>
  <c r="I282" i="16" s="1"/>
  <c r="H282" i="16" a="1"/>
  <c r="H282" i="16" s="1"/>
  <c r="G282" i="16" a="1"/>
  <c r="G282" i="16" s="1"/>
  <c r="F282" i="16" a="1"/>
  <c r="F282" i="16" s="1"/>
  <c r="D282" i="16" a="1"/>
  <c r="D282" i="16"/>
  <c r="S281" i="16" a="1"/>
  <c r="S281" i="16"/>
  <c r="J281" i="16" a="1"/>
  <c r="J281" i="16"/>
  <c r="I281" i="16" a="1"/>
  <c r="I281" i="16" s="1"/>
  <c r="H281" i="16" a="1"/>
  <c r="H281" i="16" s="1"/>
  <c r="G281" i="16" a="1"/>
  <c r="G281" i="16"/>
  <c r="F281" i="16" a="1"/>
  <c r="F281" i="16"/>
  <c r="D281" i="16" a="1"/>
  <c r="D281" i="16"/>
  <c r="S280" i="16" a="1"/>
  <c r="S280" i="16" s="1"/>
  <c r="J280" i="16" a="1"/>
  <c r="J280" i="16"/>
  <c r="I280" i="16" a="1"/>
  <c r="I280" i="16"/>
  <c r="H280" i="16" a="1"/>
  <c r="H280" i="16" s="1"/>
  <c r="G280" i="16" a="1"/>
  <c r="G280" i="16" s="1"/>
  <c r="F280" i="16" a="1"/>
  <c r="F280" i="16"/>
  <c r="D280" i="16" a="1"/>
  <c r="D280" i="16" s="1"/>
  <c r="S279" i="16" a="1"/>
  <c r="S279" i="16" s="1"/>
  <c r="J279" i="16" a="1"/>
  <c r="J279" i="16" s="1"/>
  <c r="I279" i="16" a="1"/>
  <c r="I279" i="16" s="1"/>
  <c r="H279" i="16" a="1"/>
  <c r="H279" i="16" s="1"/>
  <c r="G279" i="16" a="1"/>
  <c r="G279" i="16" s="1"/>
  <c r="F279" i="16" a="1"/>
  <c r="F279" i="16"/>
  <c r="D279" i="16" a="1"/>
  <c r="D279" i="16" s="1"/>
  <c r="S278" i="16" a="1"/>
  <c r="S278" i="16" s="1"/>
  <c r="J278" i="16" a="1"/>
  <c r="J278" i="16" s="1"/>
  <c r="I278" i="16" a="1"/>
  <c r="I278" i="16" s="1"/>
  <c r="H278" i="16" a="1"/>
  <c r="H278" i="16"/>
  <c r="G278" i="16" a="1"/>
  <c r="G278" i="16" s="1"/>
  <c r="F278" i="16" a="1"/>
  <c r="F278" i="16"/>
  <c r="D278" i="16" a="1"/>
  <c r="D278" i="16" s="1"/>
  <c r="S277" i="16" a="1"/>
  <c r="S277" i="16" s="1"/>
  <c r="J277" i="16" a="1"/>
  <c r="J277" i="16"/>
  <c r="I277" i="16" a="1"/>
  <c r="I277" i="16" s="1"/>
  <c r="H277" i="16" a="1"/>
  <c r="H277" i="16"/>
  <c r="G277" i="16" a="1"/>
  <c r="G277" i="16" s="1"/>
  <c r="F277" i="16" a="1"/>
  <c r="F277" i="16" s="1"/>
  <c r="D277" i="16" a="1"/>
  <c r="D277" i="16" s="1"/>
  <c r="S276" i="16" a="1"/>
  <c r="S276" i="16" s="1"/>
  <c r="J276" i="16" a="1"/>
  <c r="J276" i="16"/>
  <c r="I276" i="16" a="1"/>
  <c r="I276" i="16" s="1"/>
  <c r="H276" i="16" a="1"/>
  <c r="H276" i="16"/>
  <c r="G276" i="16" a="1"/>
  <c r="G276" i="16" s="1"/>
  <c r="F276" i="16" a="1"/>
  <c r="F276" i="16" s="1"/>
  <c r="D276" i="16" a="1"/>
  <c r="D276" i="16"/>
  <c r="S275" i="16" a="1"/>
  <c r="S275" i="16" s="1"/>
  <c r="J275" i="16" a="1"/>
  <c r="J275" i="16" s="1"/>
  <c r="I275" i="16" a="1"/>
  <c r="I275" i="16" s="1"/>
  <c r="H275" i="16" a="1"/>
  <c r="H275" i="16"/>
  <c r="G275" i="16" a="1"/>
  <c r="G275" i="16" s="1"/>
  <c r="F275" i="16" a="1"/>
  <c r="F275" i="16"/>
  <c r="D275" i="16" a="1"/>
  <c r="D275" i="16"/>
  <c r="S274" i="16" a="1"/>
  <c r="S274" i="16" s="1"/>
  <c r="J274" i="16" a="1"/>
  <c r="J274" i="16"/>
  <c r="I274" i="16" a="1"/>
  <c r="I274" i="16"/>
  <c r="H274" i="16" a="1"/>
  <c r="H274" i="16" s="1"/>
  <c r="G274" i="16" a="1"/>
  <c r="G274" i="16" s="1"/>
  <c r="F274" i="16" a="1"/>
  <c r="F274" i="16" s="1"/>
  <c r="D274" i="16" a="1"/>
  <c r="D274" i="16"/>
  <c r="S273" i="16" a="1"/>
  <c r="S273" i="16"/>
  <c r="J273" i="16" a="1"/>
  <c r="J273" i="16" s="1"/>
  <c r="I273" i="16" a="1"/>
  <c r="I273" i="16" s="1"/>
  <c r="H273" i="16" a="1"/>
  <c r="H273" i="16" s="1"/>
  <c r="G273" i="16" a="1"/>
  <c r="G273" i="16"/>
  <c r="F273" i="16" a="1"/>
  <c r="F273" i="16"/>
  <c r="D273" i="16" a="1"/>
  <c r="D273" i="16"/>
  <c r="S272" i="16" a="1"/>
  <c r="S272" i="16" s="1"/>
  <c r="J272" i="16" a="1"/>
  <c r="J272" i="16" s="1"/>
  <c r="I272" i="16" a="1"/>
  <c r="I272" i="16" s="1"/>
  <c r="H272" i="16" a="1"/>
  <c r="H272" i="16"/>
  <c r="G272" i="16" a="1"/>
  <c r="G272" i="16" s="1"/>
  <c r="F272" i="16" a="1"/>
  <c r="F272" i="16"/>
  <c r="D272" i="16" a="1"/>
  <c r="D272" i="16" s="1"/>
  <c r="S271" i="16" a="1"/>
  <c r="S271" i="16" s="1"/>
  <c r="J271" i="16" a="1"/>
  <c r="J271" i="16" s="1"/>
  <c r="I271" i="16" a="1"/>
  <c r="I271" i="16" s="1"/>
  <c r="H271" i="16" a="1"/>
  <c r="H271" i="16"/>
  <c r="G271" i="16" a="1"/>
  <c r="G271" i="16" s="1"/>
  <c r="F271" i="16" a="1"/>
  <c r="F271" i="16" s="1"/>
  <c r="D271" i="16" a="1"/>
  <c r="D271" i="16" s="1"/>
  <c r="S270" i="16" a="1"/>
  <c r="S270" i="16" s="1"/>
  <c r="J270" i="16" a="1"/>
  <c r="J270" i="16" s="1"/>
  <c r="I270" i="16" a="1"/>
  <c r="I270" i="16" s="1"/>
  <c r="H270" i="16" a="1"/>
  <c r="H270" i="16" s="1"/>
  <c r="G270" i="16" a="1"/>
  <c r="G270" i="16" s="1"/>
  <c r="F270" i="16" a="1"/>
  <c r="F270" i="16" s="1"/>
  <c r="D270" i="16" a="1"/>
  <c r="D270" i="16"/>
  <c r="S269" i="16" a="1"/>
  <c r="S269" i="16" s="1"/>
  <c r="J269" i="16" a="1"/>
  <c r="J269" i="16"/>
  <c r="I269" i="16" a="1"/>
  <c r="I269" i="16"/>
  <c r="H269" i="16" a="1"/>
  <c r="H269" i="16" s="1"/>
  <c r="G269" i="16" a="1"/>
  <c r="G269" i="16"/>
  <c r="F269" i="16" a="1"/>
  <c r="F269" i="16"/>
  <c r="D269" i="16" a="1"/>
  <c r="D269" i="16" s="1"/>
  <c r="S268" i="16" a="1"/>
  <c r="S268" i="16" s="1"/>
  <c r="J268" i="16" a="1"/>
  <c r="J268" i="16" s="1"/>
  <c r="I268" i="16" a="1"/>
  <c r="I268" i="16"/>
  <c r="H268" i="16" a="1"/>
  <c r="H268" i="16"/>
  <c r="G268" i="16" a="1"/>
  <c r="G268" i="16" s="1"/>
  <c r="F268" i="16" a="1"/>
  <c r="F268" i="16" s="1"/>
  <c r="D268" i="16" a="1"/>
  <c r="D268" i="16"/>
  <c r="S267" i="16" a="1"/>
  <c r="S267" i="16" s="1"/>
  <c r="J267" i="16" a="1"/>
  <c r="J267" i="16"/>
  <c r="I267" i="16" a="1"/>
  <c r="I267" i="16"/>
  <c r="H267" i="16" a="1"/>
  <c r="H267" i="16" s="1"/>
  <c r="G267" i="16" a="1"/>
  <c r="G267" i="16"/>
  <c r="F267" i="16" a="1"/>
  <c r="F267" i="16"/>
  <c r="D267" i="16" a="1"/>
  <c r="D267" i="16" s="1"/>
  <c r="S266" i="16" a="1"/>
  <c r="S266" i="16" s="1"/>
  <c r="J266" i="16" a="1"/>
  <c r="J266" i="16" s="1"/>
  <c r="I266" i="16" a="1"/>
  <c r="I266" i="16"/>
  <c r="H266" i="16" a="1"/>
  <c r="H266" i="16"/>
  <c r="G266" i="16" a="1"/>
  <c r="G266" i="16" s="1"/>
  <c r="F266" i="16" a="1"/>
  <c r="F266" i="16" s="1"/>
  <c r="D266" i="16" a="1"/>
  <c r="D266" i="16"/>
  <c r="S265" i="16" a="1"/>
  <c r="S265" i="16" s="1"/>
  <c r="J265" i="16" a="1"/>
  <c r="J265" i="16"/>
  <c r="I265" i="16" a="1"/>
  <c r="I265" i="16"/>
  <c r="H265" i="16" a="1"/>
  <c r="H265" i="16" s="1"/>
  <c r="G265" i="16" a="1"/>
  <c r="G265" i="16"/>
  <c r="F265" i="16" a="1"/>
  <c r="F265" i="16"/>
  <c r="D265" i="16" a="1"/>
  <c r="D265" i="16" s="1"/>
  <c r="S264" i="16" a="1"/>
  <c r="S264" i="16"/>
  <c r="J264" i="16" a="1"/>
  <c r="J264" i="16" s="1"/>
  <c r="I264" i="16" a="1"/>
  <c r="I264" i="16"/>
  <c r="H264" i="16" a="1"/>
  <c r="H264" i="16"/>
  <c r="G264" i="16" a="1"/>
  <c r="G264" i="16" s="1"/>
  <c r="F264" i="16" a="1"/>
  <c r="F264" i="16" s="1"/>
  <c r="D264" i="16" a="1"/>
  <c r="D264" i="16"/>
  <c r="S263" i="16" a="1"/>
  <c r="S263" i="16" s="1"/>
  <c r="J263" i="16" a="1"/>
  <c r="J263" i="16"/>
  <c r="I263" i="16" a="1"/>
  <c r="I263" i="16"/>
  <c r="H263" i="16" a="1"/>
  <c r="H263" i="16" s="1"/>
  <c r="G263" i="16" a="1"/>
  <c r="G263" i="16"/>
  <c r="F263" i="16" a="1"/>
  <c r="F263" i="16"/>
  <c r="D263" i="16" a="1"/>
  <c r="D263" i="16" s="1"/>
  <c r="S262" i="16" a="1"/>
  <c r="S262" i="16" s="1"/>
  <c r="J262" i="16" a="1"/>
  <c r="J262" i="16" s="1"/>
  <c r="I262" i="16" a="1"/>
  <c r="I262" i="16"/>
  <c r="H262" i="16" a="1"/>
  <c r="H262" i="16"/>
  <c r="G262" i="16" a="1"/>
  <c r="G262" i="16" s="1"/>
  <c r="F262" i="16" a="1"/>
  <c r="F262" i="16" s="1"/>
  <c r="D262" i="16" a="1"/>
  <c r="D262" i="16"/>
  <c r="S261" i="16" a="1"/>
  <c r="S261" i="16" s="1"/>
  <c r="J261" i="16" a="1"/>
  <c r="J261" i="16"/>
  <c r="I261" i="16" a="1"/>
  <c r="I261" i="16"/>
  <c r="H261" i="16" a="1"/>
  <c r="H261" i="16" s="1"/>
  <c r="G261" i="16" a="1"/>
  <c r="G261" i="16"/>
  <c r="F261" i="16" a="1"/>
  <c r="F261" i="16"/>
  <c r="D261" i="16" a="1"/>
  <c r="D261" i="16" s="1"/>
  <c r="S260" i="16" a="1"/>
  <c r="S260" i="16" s="1"/>
  <c r="J260" i="16" a="1"/>
  <c r="J260" i="16" s="1"/>
  <c r="I260" i="16" a="1"/>
  <c r="I260" i="16"/>
  <c r="H260" i="16" a="1"/>
  <c r="H260" i="16"/>
  <c r="G260" i="16" a="1"/>
  <c r="G260" i="16" s="1"/>
  <c r="F260" i="16" a="1"/>
  <c r="F260" i="16" s="1"/>
  <c r="D260" i="16" a="1"/>
  <c r="D260" i="16"/>
  <c r="S259" i="16" a="1"/>
  <c r="S259" i="16" s="1"/>
  <c r="J259" i="16" a="1"/>
  <c r="J259" i="16"/>
  <c r="I259" i="16" a="1"/>
  <c r="I259" i="16"/>
  <c r="H259" i="16" a="1"/>
  <c r="H259" i="16" s="1"/>
  <c r="G259" i="16" a="1"/>
  <c r="G259" i="16"/>
  <c r="F259" i="16" a="1"/>
  <c r="F259" i="16"/>
  <c r="D259" i="16" a="1"/>
  <c r="D259" i="16" s="1"/>
  <c r="S258" i="16" a="1"/>
  <c r="S258" i="16"/>
  <c r="J258" i="16" a="1"/>
  <c r="J258" i="16" s="1"/>
  <c r="I258" i="16" a="1"/>
  <c r="I258" i="16"/>
  <c r="H258" i="16" a="1"/>
  <c r="H258" i="16"/>
  <c r="G258" i="16" a="1"/>
  <c r="G258" i="16" s="1"/>
  <c r="F258" i="16" a="1"/>
  <c r="F258" i="16" s="1"/>
  <c r="D258" i="16" a="1"/>
  <c r="D258" i="16"/>
  <c r="S257" i="16" a="1"/>
  <c r="S257" i="16" s="1"/>
  <c r="J257" i="16" a="1"/>
  <c r="J257" i="16"/>
  <c r="I257" i="16" a="1"/>
  <c r="I257" i="16"/>
  <c r="H257" i="16" a="1"/>
  <c r="H257" i="16" s="1"/>
  <c r="G257" i="16" a="1"/>
  <c r="G257" i="16"/>
  <c r="F257" i="16" a="1"/>
  <c r="F257" i="16"/>
  <c r="D257" i="16" a="1"/>
  <c r="D257" i="16" s="1"/>
  <c r="S256" i="16" a="1"/>
  <c r="S256" i="16" s="1"/>
  <c r="J256" i="16" a="1"/>
  <c r="J256" i="16" s="1"/>
  <c r="I256" i="16" a="1"/>
  <c r="I256" i="16"/>
  <c r="H256" i="16" a="1"/>
  <c r="H256" i="16"/>
  <c r="G256" i="16" a="1"/>
  <c r="G256" i="16" s="1"/>
  <c r="F256" i="16" a="1"/>
  <c r="F256" i="16" s="1"/>
  <c r="D256" i="16" a="1"/>
  <c r="D256" i="16"/>
  <c r="S255" i="16" a="1"/>
  <c r="S255" i="16" s="1"/>
  <c r="J255" i="16" a="1"/>
  <c r="J255" i="16"/>
  <c r="I255" i="16" a="1"/>
  <c r="I255" i="16"/>
  <c r="H255" i="16" a="1"/>
  <c r="H255" i="16" s="1"/>
  <c r="G255" i="16" a="1"/>
  <c r="G255" i="16"/>
  <c r="F255" i="16" a="1"/>
  <c r="F255" i="16"/>
  <c r="D255" i="16" a="1"/>
  <c r="D255" i="16" s="1"/>
  <c r="S254" i="16" a="1"/>
  <c r="S254" i="16"/>
  <c r="J254" i="16" a="1"/>
  <c r="J254" i="16"/>
  <c r="I254" i="16" a="1"/>
  <c r="I254" i="16"/>
  <c r="H254" i="16" a="1"/>
  <c r="H254" i="16"/>
  <c r="G254" i="16" a="1"/>
  <c r="G254" i="16" s="1"/>
  <c r="F254" i="16" a="1"/>
  <c r="F254" i="16"/>
  <c r="D254" i="16" a="1"/>
  <c r="D254" i="16"/>
  <c r="S253" i="16" a="1"/>
  <c r="S253" i="16"/>
  <c r="J253" i="16" a="1"/>
  <c r="J253" i="16"/>
  <c r="I253" i="16" a="1"/>
  <c r="I253" i="16" s="1"/>
  <c r="H253" i="16" a="1"/>
  <c r="H253" i="16"/>
  <c r="G253" i="16" a="1"/>
  <c r="G253" i="16"/>
  <c r="F253" i="16" a="1"/>
  <c r="F253" i="16"/>
  <c r="D253" i="16" a="1"/>
  <c r="D253" i="16"/>
  <c r="S252" i="16" a="1"/>
  <c r="S252" i="16" s="1"/>
  <c r="J252" i="16" a="1"/>
  <c r="J252" i="16"/>
  <c r="I252" i="16" a="1"/>
  <c r="I252" i="16"/>
  <c r="H252" i="16" a="1"/>
  <c r="H252" i="16"/>
  <c r="G252" i="16" a="1"/>
  <c r="G252" i="16"/>
  <c r="F252" i="16" a="1"/>
  <c r="F252" i="16"/>
  <c r="D252" i="16" a="1"/>
  <c r="D252" i="16"/>
  <c r="S251" i="16" a="1"/>
  <c r="S251" i="16"/>
  <c r="J251" i="16" a="1"/>
  <c r="J251" i="16"/>
  <c r="I251" i="16" a="1"/>
  <c r="I251" i="16"/>
  <c r="H251" i="16" a="1"/>
  <c r="H251" i="16"/>
  <c r="G251" i="16" a="1"/>
  <c r="G251" i="16"/>
  <c r="F251" i="16" a="1"/>
  <c r="F251" i="16"/>
  <c r="D251" i="16" a="1"/>
  <c r="D251" i="16"/>
  <c r="S250" i="16" a="1"/>
  <c r="S250" i="16" s="1"/>
  <c r="J250" i="16" a="1"/>
  <c r="J250" i="16" s="1"/>
  <c r="I250" i="16" a="1"/>
  <c r="I250" i="16"/>
  <c r="H250" i="16" a="1"/>
  <c r="H250" i="16"/>
  <c r="G250" i="16" a="1"/>
  <c r="G250" i="16"/>
  <c r="F250" i="16" a="1"/>
  <c r="F250" i="16" s="1"/>
  <c r="D250" i="16" a="1"/>
  <c r="D250" i="16"/>
  <c r="S249" i="16" a="1"/>
  <c r="S249" i="16" s="1"/>
  <c r="J249" i="16" a="1"/>
  <c r="J249" i="16"/>
  <c r="I249" i="16" a="1"/>
  <c r="I249" i="16" s="1"/>
  <c r="H249" i="16" a="1"/>
  <c r="H249" i="16" s="1"/>
  <c r="G249" i="16" a="1"/>
  <c r="G249" i="16"/>
  <c r="F249" i="16" a="1"/>
  <c r="F249" i="16"/>
  <c r="D249" i="16" a="1"/>
  <c r="D249" i="16" s="1"/>
  <c r="S248" i="16" a="1"/>
  <c r="S248" i="16" s="1"/>
  <c r="J248" i="16" a="1"/>
  <c r="J248" i="16"/>
  <c r="I248" i="16" a="1"/>
  <c r="I248" i="16"/>
  <c r="H248" i="16" a="1"/>
  <c r="H248" i="16"/>
  <c r="G248" i="16" a="1"/>
  <c r="G248" i="16" s="1"/>
  <c r="F248" i="16" a="1"/>
  <c r="F248" i="16"/>
  <c r="D248" i="16" a="1"/>
  <c r="D248" i="16"/>
  <c r="S247" i="16" a="1"/>
  <c r="S247" i="16"/>
  <c r="J247" i="16" a="1"/>
  <c r="J247" i="16"/>
  <c r="I247" i="16" a="1"/>
  <c r="I247" i="16" s="1"/>
  <c r="H247" i="16" a="1"/>
  <c r="H247" i="16"/>
  <c r="G247" i="16" a="1"/>
  <c r="G247" i="16"/>
  <c r="F247" i="16" a="1"/>
  <c r="F247" i="16"/>
  <c r="D247" i="16" a="1"/>
  <c r="D247" i="16"/>
  <c r="S246" i="16" a="1"/>
  <c r="S246" i="16" s="1"/>
  <c r="J246" i="16" a="1"/>
  <c r="J246" i="16"/>
  <c r="I246" i="16" a="1"/>
  <c r="I246" i="16"/>
  <c r="H246" i="16" a="1"/>
  <c r="H246" i="16"/>
  <c r="G246" i="16" a="1"/>
  <c r="G246" i="16" s="1"/>
  <c r="F246" i="16" a="1"/>
  <c r="F246" i="16"/>
  <c r="D246" i="16" a="1"/>
  <c r="D246" i="16"/>
  <c r="S245" i="16" a="1"/>
  <c r="S245" i="16" s="1"/>
  <c r="J245" i="16" a="1"/>
  <c r="J245" i="16"/>
  <c r="I245" i="16" a="1"/>
  <c r="I245" i="16" s="1"/>
  <c r="H245" i="16" a="1"/>
  <c r="H245" i="16" s="1"/>
  <c r="G245" i="16" a="1"/>
  <c r="G245" i="16"/>
  <c r="F245" i="16" a="1"/>
  <c r="F245" i="16"/>
  <c r="D245" i="16" a="1"/>
  <c r="D245" i="16" s="1"/>
  <c r="S244" i="16" a="1"/>
  <c r="S244" i="16" s="1"/>
  <c r="J244" i="16" a="1"/>
  <c r="J244" i="16" s="1"/>
  <c r="I244" i="16" a="1"/>
  <c r="I244" i="16"/>
  <c r="H244" i="16" a="1"/>
  <c r="H244" i="16"/>
  <c r="G244" i="16" a="1"/>
  <c r="G244" i="16"/>
  <c r="F244" i="16" a="1"/>
  <c r="F244" i="16" s="1"/>
  <c r="D244" i="16" a="1"/>
  <c r="D244" i="16"/>
  <c r="S243" i="16" a="1"/>
  <c r="S243" i="16" s="1"/>
  <c r="J243" i="16" a="1"/>
  <c r="J243" i="16"/>
  <c r="I243" i="16" a="1"/>
  <c r="I243" i="16"/>
  <c r="H243" i="16" a="1"/>
  <c r="H243" i="16" s="1"/>
  <c r="G243" i="16" a="1"/>
  <c r="G243" i="16"/>
  <c r="F243" i="16" a="1"/>
  <c r="F243" i="16"/>
  <c r="D243" i="16" a="1"/>
  <c r="D243" i="16" s="1"/>
  <c r="S242" i="16" a="1"/>
  <c r="S242" i="16" s="1"/>
  <c r="J242" i="16" a="1"/>
  <c r="J242" i="16" s="1"/>
  <c r="I242" i="16" a="1"/>
  <c r="I242" i="16"/>
  <c r="H242" i="16" a="1"/>
  <c r="H242" i="16"/>
  <c r="G242" i="16" a="1"/>
  <c r="G242" i="16"/>
  <c r="F242" i="16" a="1"/>
  <c r="F242" i="16" s="1"/>
  <c r="D242" i="16" a="1"/>
  <c r="D242" i="16"/>
  <c r="S241" i="16" a="1"/>
  <c r="S241" i="16" s="1"/>
  <c r="J241" i="16" a="1"/>
  <c r="J241" i="16"/>
  <c r="I241" i="16" a="1"/>
  <c r="I241" i="16"/>
  <c r="H241" i="16" a="1"/>
  <c r="H241" i="16"/>
  <c r="G241" i="16" a="1"/>
  <c r="G241" i="16"/>
  <c r="F241" i="16" a="1"/>
  <c r="F241" i="16"/>
  <c r="D241" i="16" a="1"/>
  <c r="D241" i="16"/>
  <c r="S240" i="16" a="1"/>
  <c r="S240" i="16"/>
  <c r="J240" i="16" a="1"/>
  <c r="J240" i="16"/>
  <c r="I240" i="16" a="1"/>
  <c r="I240" i="16"/>
  <c r="H240" i="16" a="1"/>
  <c r="H240" i="16"/>
  <c r="G240" i="16" a="1"/>
  <c r="G240" i="16"/>
  <c r="F240" i="16" a="1"/>
  <c r="F240" i="16" s="1"/>
  <c r="D240" i="16" a="1"/>
  <c r="D240" i="16"/>
  <c r="S239" i="16" a="1"/>
  <c r="S239" i="16"/>
  <c r="J239" i="16" a="1"/>
  <c r="J239" i="16"/>
  <c r="I239" i="16" a="1"/>
  <c r="I239" i="16"/>
  <c r="H239" i="16" a="1"/>
  <c r="H239" i="16"/>
  <c r="G239" i="16" a="1"/>
  <c r="G239" i="16" s="1"/>
  <c r="F239" i="16" a="1"/>
  <c r="F239" i="16"/>
  <c r="D239" i="16" a="1"/>
  <c r="D239" i="16"/>
  <c r="S238" i="16" a="1"/>
  <c r="S238" i="16" s="1"/>
  <c r="J238" i="16" a="1"/>
  <c r="J238" i="16" s="1"/>
  <c r="I238" i="16" a="1"/>
  <c r="I238" i="16" s="1"/>
  <c r="H238" i="16" a="1"/>
  <c r="H238" i="16"/>
  <c r="G238" i="16" a="1"/>
  <c r="G238" i="16"/>
  <c r="F238" i="16" a="1"/>
  <c r="F238" i="16"/>
  <c r="D238" i="16" a="1"/>
  <c r="D238" i="16"/>
  <c r="S237" i="16" a="1"/>
  <c r="S237" i="16" s="1"/>
  <c r="J237" i="16" a="1"/>
  <c r="J237" i="16"/>
  <c r="I237" i="16" a="1"/>
  <c r="I237" i="16"/>
  <c r="H237" i="16" a="1"/>
  <c r="H237" i="16" s="1"/>
  <c r="G237" i="16" a="1"/>
  <c r="G237" i="16" s="1"/>
  <c r="F237" i="16" a="1"/>
  <c r="F237" i="16"/>
  <c r="D237" i="16" a="1"/>
  <c r="D237" i="16"/>
  <c r="S236" i="16" a="1"/>
  <c r="S236" i="16" s="1"/>
  <c r="J236" i="16" a="1"/>
  <c r="J236" i="16" s="1"/>
  <c r="I236" i="16" a="1"/>
  <c r="I236" i="16" s="1"/>
  <c r="H236" i="16" a="1"/>
  <c r="H236" i="16"/>
  <c r="G236" i="16" a="1"/>
  <c r="G236" i="16" s="1"/>
  <c r="F236" i="16" a="1"/>
  <c r="F236" i="16" s="1"/>
  <c r="D236" i="16" a="1"/>
  <c r="D236" i="16"/>
  <c r="S235" i="16" a="1"/>
  <c r="S235" i="16"/>
  <c r="J235" i="16" a="1"/>
  <c r="J235" i="16"/>
  <c r="I235" i="16" a="1"/>
  <c r="I235" i="16"/>
  <c r="H235" i="16" a="1"/>
  <c r="H235" i="16"/>
  <c r="G235" i="16" a="1"/>
  <c r="G235" i="16" s="1"/>
  <c r="F235" i="16" a="1"/>
  <c r="F235" i="16"/>
  <c r="D235" i="16" a="1"/>
  <c r="D235" i="16" s="1"/>
  <c r="S234" i="16" a="1"/>
  <c r="S234" i="16" s="1"/>
  <c r="J234" i="16" a="1"/>
  <c r="J234" i="16"/>
  <c r="I234" i="16" a="1"/>
  <c r="I234" i="16" s="1"/>
  <c r="H234" i="16" a="1"/>
  <c r="H234" i="16"/>
  <c r="G234" i="16" a="1"/>
  <c r="G234" i="16"/>
  <c r="F234" i="16" a="1"/>
  <c r="F234" i="16" s="1"/>
  <c r="D234" i="16" a="1"/>
  <c r="D234" i="16"/>
  <c r="S233" i="16" a="1"/>
  <c r="S233" i="16" s="1"/>
  <c r="J233" i="16" a="1"/>
  <c r="J233" i="16"/>
  <c r="I233" i="16" a="1"/>
  <c r="I233" i="16" s="1"/>
  <c r="H233" i="16" a="1"/>
  <c r="H233" i="16"/>
  <c r="G233" i="16" a="1"/>
  <c r="G233" i="16" s="1"/>
  <c r="F233" i="16" a="1"/>
  <c r="F233" i="16"/>
  <c r="D233" i="16" a="1"/>
  <c r="D233" i="16"/>
  <c r="S232" i="16" a="1"/>
  <c r="S232" i="16"/>
  <c r="J232" i="16" a="1"/>
  <c r="J232" i="16"/>
  <c r="I232" i="16" a="1"/>
  <c r="I232" i="16" s="1"/>
  <c r="H232" i="16" a="1"/>
  <c r="H232" i="16"/>
  <c r="G232" i="16" a="1"/>
  <c r="G232" i="16"/>
  <c r="F232" i="16" a="1"/>
  <c r="F232" i="16"/>
  <c r="D232" i="16" a="1"/>
  <c r="D232" i="16"/>
  <c r="S231" i="16" a="1"/>
  <c r="S231" i="16" s="1"/>
  <c r="J231" i="16" a="1"/>
  <c r="J231" i="16"/>
  <c r="I231" i="16" a="1"/>
  <c r="I231" i="16"/>
  <c r="H231" i="16" a="1"/>
  <c r="H231" i="16"/>
  <c r="G231" i="16" a="1"/>
  <c r="G231" i="16" s="1"/>
  <c r="F231" i="16" a="1"/>
  <c r="F231" i="16"/>
  <c r="D231" i="16" a="1"/>
  <c r="D231" i="16" s="1"/>
  <c r="S230" i="16" a="1"/>
  <c r="S230" i="16"/>
  <c r="J230" i="16" a="1"/>
  <c r="J230" i="16" s="1"/>
  <c r="I230" i="16" a="1"/>
  <c r="I230" i="16" s="1"/>
  <c r="H230" i="16" a="1"/>
  <c r="H230" i="16"/>
  <c r="G230" i="16" a="1"/>
  <c r="G230" i="16" s="1"/>
  <c r="F230" i="16" a="1"/>
  <c r="F230" i="16"/>
  <c r="D230" i="16" a="1"/>
  <c r="D230" i="16"/>
  <c r="S229" i="16" a="1"/>
  <c r="S229" i="16" s="1"/>
  <c r="J229" i="16" a="1"/>
  <c r="J229" i="16"/>
  <c r="I229" i="16" a="1"/>
  <c r="I229" i="16"/>
  <c r="H229" i="16" a="1"/>
  <c r="H229" i="16"/>
  <c r="G229" i="16" a="1"/>
  <c r="G229" i="16" s="1"/>
  <c r="F229" i="16" a="1"/>
  <c r="F229" i="16"/>
  <c r="D229" i="16" a="1"/>
  <c r="D229" i="16"/>
  <c r="S228" i="16" a="1"/>
  <c r="S228" i="16" s="1"/>
  <c r="J228" i="16" a="1"/>
  <c r="J228" i="16" s="1"/>
  <c r="I228" i="16" a="1"/>
  <c r="I228" i="16" s="1"/>
  <c r="H228" i="16" a="1"/>
  <c r="H228" i="16"/>
  <c r="G228" i="16" a="1"/>
  <c r="G228" i="16"/>
  <c r="F228" i="16" a="1"/>
  <c r="F228" i="16" s="1"/>
  <c r="D228" i="16" a="1"/>
  <c r="D228" i="16"/>
  <c r="S227" i="16" a="1"/>
  <c r="S227" i="16" s="1"/>
  <c r="J227" i="16" a="1"/>
  <c r="J227" i="16"/>
  <c r="I227" i="16" a="1"/>
  <c r="I227" i="16"/>
  <c r="H227" i="16" a="1"/>
  <c r="H227" i="16" s="1"/>
  <c r="G227" i="16" a="1"/>
  <c r="G227" i="16" s="1"/>
  <c r="F227" i="16" a="1"/>
  <c r="F227" i="16"/>
  <c r="D227" i="16" a="1"/>
  <c r="D227" i="16"/>
  <c r="S226" i="16" a="1"/>
  <c r="S226" i="16"/>
  <c r="J226" i="16" a="1"/>
  <c r="J226" i="16" s="1"/>
  <c r="I226" i="16" a="1"/>
  <c r="I226" i="16" s="1"/>
  <c r="H226" i="16" a="1"/>
  <c r="H226" i="16"/>
  <c r="G226" i="16" a="1"/>
  <c r="G226" i="16"/>
  <c r="F226" i="16" a="1"/>
  <c r="F226" i="16"/>
  <c r="D226" i="16" a="1"/>
  <c r="D226" i="16"/>
  <c r="S225" i="16" a="1"/>
  <c r="S225" i="16" s="1"/>
  <c r="J225" i="16" a="1"/>
  <c r="J225" i="16"/>
  <c r="I225" i="16" a="1"/>
  <c r="I225" i="16"/>
  <c r="H225" i="16" a="1"/>
  <c r="H225" i="16"/>
  <c r="G225" i="16" a="1"/>
  <c r="G225" i="16" s="1"/>
  <c r="F225" i="16" a="1"/>
  <c r="F225" i="16"/>
  <c r="D225" i="16" a="1"/>
  <c r="D225" i="16" s="1"/>
  <c r="S224" i="16" a="1"/>
  <c r="S224" i="16" s="1"/>
  <c r="J224" i="16" a="1"/>
  <c r="J224" i="16"/>
  <c r="I224" i="16" a="1"/>
  <c r="I224" i="16" s="1"/>
  <c r="H224" i="16" a="1"/>
  <c r="H224" i="16"/>
  <c r="G224" i="16" a="1"/>
  <c r="G224" i="16"/>
  <c r="F224" i="16" a="1"/>
  <c r="F224" i="16" s="1"/>
  <c r="D224" i="16" a="1"/>
  <c r="D224" i="16"/>
  <c r="S223" i="16" a="1"/>
  <c r="S223" i="16" s="1"/>
  <c r="J223" i="16" a="1"/>
  <c r="J223" i="16"/>
  <c r="I223" i="16" a="1"/>
  <c r="I223" i="16" s="1"/>
  <c r="H223" i="16" a="1"/>
  <c r="H223" i="16"/>
  <c r="G223" i="16" a="1"/>
  <c r="G223" i="16" s="1"/>
  <c r="F223" i="16" a="1"/>
  <c r="F223" i="16"/>
  <c r="D223" i="16" a="1"/>
  <c r="D223" i="16"/>
  <c r="S222" i="16" a="1"/>
  <c r="S222" i="16"/>
  <c r="J222" i="16" a="1"/>
  <c r="J222" i="16"/>
  <c r="I222" i="16" a="1"/>
  <c r="I222" i="16" s="1"/>
  <c r="H222" i="16" a="1"/>
  <c r="H222" i="16"/>
  <c r="G222" i="16" a="1"/>
  <c r="G222" i="16" s="1"/>
  <c r="F222" i="16" a="1"/>
  <c r="F222" i="16"/>
  <c r="D222" i="16" a="1"/>
  <c r="D222" i="16"/>
  <c r="S221" i="16" a="1"/>
  <c r="S221" i="16" s="1"/>
  <c r="J221" i="16" a="1"/>
  <c r="J221" i="16"/>
  <c r="I221" i="16" a="1"/>
  <c r="I221" i="16"/>
  <c r="H221" i="16" a="1"/>
  <c r="H221" i="16" s="1"/>
  <c r="G221" i="16" a="1"/>
  <c r="G221" i="16"/>
  <c r="F221" i="16" a="1"/>
  <c r="F221" i="16"/>
  <c r="D221" i="16" a="1"/>
  <c r="D221" i="16" s="1"/>
  <c r="S220" i="16" a="1"/>
  <c r="S220" i="16" s="1"/>
  <c r="J220" i="16" a="1"/>
  <c r="J220" i="16" s="1"/>
  <c r="I220" i="16" a="1"/>
  <c r="I220" i="16" s="1"/>
  <c r="H220" i="16" a="1"/>
  <c r="H220" i="16"/>
  <c r="G220" i="16" a="1"/>
  <c r="G220" i="16"/>
  <c r="F220" i="16" a="1"/>
  <c r="F220" i="16" s="1"/>
  <c r="D220" i="16" a="1"/>
  <c r="D220" i="16"/>
  <c r="S219" i="16" a="1"/>
  <c r="S219" i="16" s="1"/>
  <c r="J219" i="16" a="1"/>
  <c r="J219" i="16"/>
  <c r="I219" i="16" a="1"/>
  <c r="I219" i="16"/>
  <c r="H219" i="16" a="1"/>
  <c r="H219" i="16" s="1"/>
  <c r="G219" i="16" a="1"/>
  <c r="G219" i="16" s="1"/>
  <c r="F219" i="16" a="1"/>
  <c r="F219" i="16"/>
  <c r="D219" i="16" a="1"/>
  <c r="D219" i="16" s="1"/>
  <c r="S218" i="16" a="1"/>
  <c r="S218" i="16"/>
  <c r="J218" i="16" a="1"/>
  <c r="J218" i="16" s="1"/>
  <c r="I218" i="16" a="1"/>
  <c r="I218" i="16" s="1"/>
  <c r="H218" i="16" a="1"/>
  <c r="H218" i="16"/>
  <c r="G218" i="16" a="1"/>
  <c r="G218" i="16"/>
  <c r="F218" i="16" a="1"/>
  <c r="F218" i="16" s="1"/>
  <c r="D218" i="16" a="1"/>
  <c r="D218" i="16"/>
  <c r="S217" i="16" a="1"/>
  <c r="S217" i="16" s="1"/>
  <c r="J217" i="16" a="1"/>
  <c r="J217" i="16"/>
  <c r="I217" i="16" a="1"/>
  <c r="I217" i="16"/>
  <c r="H217" i="16" a="1"/>
  <c r="H217" i="16" s="1"/>
  <c r="G217" i="16" a="1"/>
  <c r="G217" i="16" s="1"/>
  <c r="F217" i="16" a="1"/>
  <c r="F217" i="16" s="1"/>
  <c r="D217" i="16" a="1"/>
  <c r="D217" i="16"/>
  <c r="S216" i="16" a="1"/>
  <c r="S216" i="16" s="1"/>
  <c r="J216" i="16" a="1"/>
  <c r="J216" i="16"/>
  <c r="I216" i="16" a="1"/>
  <c r="I216" i="16"/>
  <c r="H216" i="16" a="1"/>
  <c r="H216" i="16" s="1"/>
  <c r="G216" i="16" a="1"/>
  <c r="G216" i="16" s="1"/>
  <c r="F216" i="16" a="1"/>
  <c r="F216" i="16" s="1"/>
  <c r="D216" i="16" a="1"/>
  <c r="D216" i="16" s="1"/>
  <c r="S215" i="16" a="1"/>
  <c r="S215" i="16" s="1"/>
  <c r="J215" i="16" a="1"/>
  <c r="J215" i="16" s="1"/>
  <c r="I215" i="16" a="1"/>
  <c r="I215" i="16"/>
  <c r="H215" i="16" a="1"/>
  <c r="H215" i="16"/>
  <c r="G215" i="16" a="1"/>
  <c r="G215" i="16" s="1"/>
  <c r="F215" i="16" a="1"/>
  <c r="F215" i="16" s="1"/>
  <c r="D215" i="16" a="1"/>
  <c r="D215" i="16" s="1"/>
  <c r="S214" i="16" a="1"/>
  <c r="S214" i="16" s="1"/>
  <c r="J214" i="16" a="1"/>
  <c r="J214" i="16"/>
  <c r="I214" i="16" a="1"/>
  <c r="I214" i="16" s="1"/>
  <c r="H214" i="16" a="1"/>
  <c r="H214" i="16" s="1"/>
  <c r="G214" i="16" a="1"/>
  <c r="G214" i="16" s="1"/>
  <c r="F214" i="16" a="1"/>
  <c r="F214" i="16"/>
  <c r="D214" i="16" a="1"/>
  <c r="D214" i="16" s="1"/>
  <c r="S213" i="16" a="1"/>
  <c r="S213" i="16" s="1"/>
  <c r="J213" i="16" a="1"/>
  <c r="J213" i="16" s="1"/>
  <c r="I213" i="16" a="1"/>
  <c r="I213" i="16" s="1"/>
  <c r="H213" i="16" a="1"/>
  <c r="H213" i="16" s="1"/>
  <c r="G213" i="16" a="1"/>
  <c r="G213" i="16"/>
  <c r="F213" i="16" a="1"/>
  <c r="F213" i="16" s="1"/>
  <c r="D213" i="16" a="1"/>
  <c r="D213" i="16"/>
  <c r="S212" i="16" a="1"/>
  <c r="S212" i="16" s="1"/>
  <c r="J212" i="16" a="1"/>
  <c r="J212" i="16" s="1"/>
  <c r="I212" i="16" a="1"/>
  <c r="I212" i="16"/>
  <c r="H212" i="16" a="1"/>
  <c r="H212" i="16" s="1"/>
  <c r="G212" i="16" a="1"/>
  <c r="G212" i="16"/>
  <c r="F212" i="16" a="1"/>
  <c r="F212" i="16" s="1"/>
  <c r="D212" i="16" a="1"/>
  <c r="D212" i="16" s="1"/>
  <c r="S211" i="16" a="1"/>
  <c r="S211" i="16"/>
  <c r="J211" i="16" a="1"/>
  <c r="J211" i="16" s="1"/>
  <c r="I211" i="16" a="1"/>
  <c r="I211" i="16"/>
  <c r="H211" i="16" a="1"/>
  <c r="H211" i="16" s="1"/>
  <c r="G211" i="16" a="1"/>
  <c r="G211" i="16"/>
  <c r="F211" i="16" a="1"/>
  <c r="F211" i="16" s="1"/>
  <c r="D211" i="16" a="1"/>
  <c r="D211" i="16" s="1"/>
  <c r="S210" i="16" a="1"/>
  <c r="S210" i="16" s="1"/>
  <c r="J210" i="16" a="1"/>
  <c r="J210" i="16" s="1"/>
  <c r="I210" i="16" a="1"/>
  <c r="I210" i="16" s="1"/>
  <c r="H210" i="16" a="1"/>
  <c r="H210" i="16" s="1"/>
  <c r="G210" i="16" a="1"/>
  <c r="G210" i="16"/>
  <c r="F210" i="16" a="1"/>
  <c r="F210" i="16" s="1"/>
  <c r="D210" i="16" a="1"/>
  <c r="D210" i="16" s="1"/>
  <c r="S209" i="16" a="1"/>
  <c r="S209" i="16" s="1"/>
  <c r="J209" i="16" a="1"/>
  <c r="J209" i="16" s="1"/>
  <c r="I209" i="16" a="1"/>
  <c r="I209" i="16" s="1"/>
  <c r="H209" i="16" a="1"/>
  <c r="H209" i="16"/>
  <c r="G209" i="16" a="1"/>
  <c r="G209" i="16"/>
  <c r="F209" i="16" a="1"/>
  <c r="F209" i="16" s="1"/>
  <c r="D209" i="16" a="1"/>
  <c r="D209" i="16" s="1"/>
  <c r="S208" i="16" a="1"/>
  <c r="S208" i="16" s="1"/>
  <c r="J208" i="16" a="1"/>
  <c r="J208" i="16"/>
  <c r="I208" i="16" a="1"/>
  <c r="I208" i="16" s="1"/>
  <c r="H208" i="16" a="1"/>
  <c r="H208" i="16" s="1"/>
  <c r="G208" i="16" a="1"/>
  <c r="G208" i="16"/>
  <c r="F208" i="16" a="1"/>
  <c r="F208" i="16" s="1"/>
  <c r="D208" i="16" a="1"/>
  <c r="D208" i="16" s="1"/>
  <c r="S207" i="16" a="1"/>
  <c r="S207" i="16" s="1"/>
  <c r="J207" i="16" a="1"/>
  <c r="J207" i="16" s="1"/>
  <c r="I207" i="16" a="1"/>
  <c r="I207" i="16" s="1"/>
  <c r="H207" i="16" a="1"/>
  <c r="H207" i="16"/>
  <c r="G207" i="16" a="1"/>
  <c r="G207" i="16"/>
  <c r="F207" i="16" a="1"/>
  <c r="F207" i="16" s="1"/>
  <c r="D207" i="16" a="1"/>
  <c r="D207" i="16"/>
  <c r="S206" i="16" a="1"/>
  <c r="S206" i="16" s="1"/>
  <c r="J206" i="16" a="1"/>
  <c r="J206" i="16" s="1"/>
  <c r="I206" i="16" a="1"/>
  <c r="I206" i="16"/>
  <c r="H206" i="16" a="1"/>
  <c r="H206" i="16" s="1"/>
  <c r="G206" i="16" a="1"/>
  <c r="G206" i="16" s="1"/>
  <c r="F206" i="16" a="1"/>
  <c r="F206" i="16"/>
  <c r="D206" i="16" a="1"/>
  <c r="D206" i="16" s="1"/>
  <c r="S205" i="16" a="1"/>
  <c r="S205" i="16" s="1"/>
  <c r="J205" i="16" a="1"/>
  <c r="J205" i="16" s="1"/>
  <c r="I205" i="16" a="1"/>
  <c r="I205" i="16"/>
  <c r="H205" i="16" a="1"/>
  <c r="H205" i="16"/>
  <c r="G205" i="16" a="1"/>
  <c r="G205" i="16" s="1"/>
  <c r="F205" i="16" a="1"/>
  <c r="F205" i="16" s="1"/>
  <c r="D205" i="16" a="1"/>
  <c r="D205" i="16"/>
  <c r="S204" i="16" a="1"/>
  <c r="S204" i="16" s="1"/>
  <c r="J204" i="16" a="1"/>
  <c r="J204" i="16" s="1"/>
  <c r="I204" i="16" a="1"/>
  <c r="I204" i="16"/>
  <c r="H204" i="16" a="1"/>
  <c r="H204" i="16" s="1"/>
  <c r="G204" i="16" a="1"/>
  <c r="G204" i="16" s="1"/>
  <c r="F204" i="16" a="1"/>
  <c r="F204" i="16" s="1"/>
  <c r="D204" i="16" a="1"/>
  <c r="D204" i="16" s="1"/>
  <c r="S203" i="16" a="1"/>
  <c r="S203" i="16"/>
  <c r="J203" i="16" a="1"/>
  <c r="J203" i="16" s="1"/>
  <c r="I203" i="16" a="1"/>
  <c r="I203" i="16"/>
  <c r="H203" i="16" a="1"/>
  <c r="H203" i="16"/>
  <c r="G203" i="16" a="1"/>
  <c r="G203" i="16"/>
  <c r="F203" i="16" a="1"/>
  <c r="F203" i="16" s="1"/>
  <c r="D203" i="16" a="1"/>
  <c r="D203" i="16" s="1"/>
  <c r="S202" i="16" a="1"/>
  <c r="S202" i="16" s="1"/>
  <c r="J202" i="16" a="1"/>
  <c r="J202" i="16"/>
  <c r="I202" i="16" a="1"/>
  <c r="I202" i="16" s="1"/>
  <c r="H202" i="16" a="1"/>
  <c r="H202" i="16" s="1"/>
  <c r="G202" i="16" a="1"/>
  <c r="G202" i="16"/>
  <c r="F202" i="16" a="1"/>
  <c r="F202" i="16" s="1"/>
  <c r="D202" i="16" a="1"/>
  <c r="D202" i="16" s="1"/>
  <c r="S201" i="16" a="1"/>
  <c r="S201" i="16" s="1"/>
  <c r="J201" i="16" a="1"/>
  <c r="J201" i="16" s="1"/>
  <c r="I201" i="16" a="1"/>
  <c r="I201" i="16"/>
  <c r="H201" i="16" a="1"/>
  <c r="H201" i="16" s="1"/>
  <c r="G201" i="16" a="1"/>
  <c r="G201" i="16" s="1"/>
  <c r="F201" i="16" a="1"/>
  <c r="F201" i="16" s="1"/>
  <c r="D201" i="16" a="1"/>
  <c r="D201" i="16" s="1"/>
  <c r="S200" i="16" a="1"/>
  <c r="S200" i="16" s="1"/>
  <c r="J200" i="16" a="1"/>
  <c r="J200" i="16"/>
  <c r="I200" i="16" a="1"/>
  <c r="I200" i="16" s="1"/>
  <c r="H200" i="16" a="1"/>
  <c r="H200" i="16" s="1"/>
  <c r="G200" i="16" a="1"/>
  <c r="G200" i="16" s="1"/>
  <c r="F200" i="16" a="1"/>
  <c r="F200" i="16"/>
  <c r="D200" i="16" a="1"/>
  <c r="D200" i="16" s="1"/>
  <c r="S199" i="16" a="1"/>
  <c r="S199" i="16" s="1"/>
  <c r="J199" i="16" a="1"/>
  <c r="J199" i="16" s="1"/>
  <c r="I199" i="16" a="1"/>
  <c r="I199" i="16" s="1"/>
  <c r="H199" i="16" a="1"/>
  <c r="H199" i="16"/>
  <c r="G199" i="16" a="1"/>
  <c r="G199" i="16" s="1"/>
  <c r="F199" i="16" a="1"/>
  <c r="F199" i="16" s="1"/>
  <c r="D199" i="16" a="1"/>
  <c r="D199" i="16" s="1"/>
  <c r="S198" i="16" a="1"/>
  <c r="S198" i="16" s="1"/>
  <c r="J198" i="16" a="1"/>
  <c r="J198" i="16" s="1"/>
  <c r="I198" i="16" a="1"/>
  <c r="I198" i="16" s="1"/>
  <c r="H198" i="16" a="1"/>
  <c r="H198" i="16" s="1"/>
  <c r="G198" i="16" a="1"/>
  <c r="G198" i="16" s="1"/>
  <c r="F198" i="16" a="1"/>
  <c r="F198" i="16"/>
  <c r="D198" i="16" a="1"/>
  <c r="D198" i="16" s="1"/>
  <c r="S197" i="16" a="1"/>
  <c r="S197" i="16" s="1"/>
  <c r="J197" i="16" a="1"/>
  <c r="J197" i="16" s="1"/>
  <c r="I197" i="16" a="1"/>
  <c r="I197" i="16" s="1"/>
  <c r="H197" i="16" a="1"/>
  <c r="H197" i="16" s="1"/>
  <c r="G197" i="16" a="1"/>
  <c r="G197" i="16"/>
  <c r="F197" i="16" a="1"/>
  <c r="F197" i="16" s="1"/>
  <c r="D197" i="16" a="1"/>
  <c r="D197" i="16"/>
  <c r="S196" i="16" a="1"/>
  <c r="S196" i="16" s="1"/>
  <c r="J196" i="16" a="1"/>
  <c r="J196" i="16" s="1"/>
  <c r="I196" i="16" a="1"/>
  <c r="I196" i="16"/>
  <c r="H196" i="16" a="1"/>
  <c r="H196" i="16" s="1"/>
  <c r="G196" i="16" a="1"/>
  <c r="G196" i="16"/>
  <c r="F196" i="16" a="1"/>
  <c r="F196" i="16"/>
  <c r="D196" i="16" a="1"/>
  <c r="D196" i="16" s="1"/>
  <c r="S195" i="16" a="1"/>
  <c r="S195" i="16" s="1"/>
  <c r="J195" i="16" a="1"/>
  <c r="J195" i="16" s="1"/>
  <c r="I195" i="16" a="1"/>
  <c r="I195" i="16"/>
  <c r="H195" i="16" a="1"/>
  <c r="H195" i="16" s="1"/>
  <c r="G195" i="16" a="1"/>
  <c r="G195" i="16"/>
  <c r="F195" i="16" a="1"/>
  <c r="F195" i="16" s="1"/>
  <c r="D195" i="16" a="1"/>
  <c r="D195" i="16" s="1"/>
  <c r="S194" i="16" a="1"/>
  <c r="S194" i="16" s="1"/>
  <c r="J194" i="16" a="1"/>
  <c r="J194" i="16" s="1"/>
  <c r="I194" i="16" a="1"/>
  <c r="I194" i="16" s="1"/>
  <c r="H194" i="16" a="1"/>
  <c r="H194" i="16" s="1"/>
  <c r="G194" i="16" a="1"/>
  <c r="G194" i="16"/>
  <c r="F194" i="16" a="1"/>
  <c r="F194" i="16"/>
  <c r="D194" i="16" a="1"/>
  <c r="D194" i="16" s="1"/>
  <c r="S193" i="16" a="1"/>
  <c r="S193" i="16" s="1"/>
  <c r="J193" i="16" a="1"/>
  <c r="J193" i="16" s="1"/>
  <c r="I193" i="16" a="1"/>
  <c r="I193" i="16" s="1"/>
  <c r="H193" i="16" a="1"/>
  <c r="H193" i="16"/>
  <c r="G193" i="16" a="1"/>
  <c r="G193" i="16"/>
  <c r="F193" i="16" a="1"/>
  <c r="F193" i="16" s="1"/>
  <c r="D193" i="16" a="1"/>
  <c r="D193" i="16" s="1"/>
  <c r="S192" i="16" a="1"/>
  <c r="S192" i="16" s="1"/>
  <c r="J192" i="16" a="1"/>
  <c r="J192" i="16"/>
  <c r="I192" i="16" a="1"/>
  <c r="I192" i="16" s="1"/>
  <c r="H192" i="16" a="1"/>
  <c r="H192" i="16" s="1"/>
  <c r="G192" i="16" a="1"/>
  <c r="G192" i="16"/>
  <c r="F192" i="16" a="1"/>
  <c r="F192" i="16" s="1"/>
  <c r="D192" i="16" a="1"/>
  <c r="D192" i="16" s="1"/>
  <c r="S191" i="16" a="1"/>
  <c r="S191" i="16" s="1"/>
  <c r="J191" i="16" a="1"/>
  <c r="J191" i="16" s="1"/>
  <c r="I191" i="16" a="1"/>
  <c r="I191" i="16" s="1"/>
  <c r="H191" i="16" a="1"/>
  <c r="H191" i="16" s="1"/>
  <c r="G191" i="16" a="1"/>
  <c r="G191" i="16"/>
  <c r="F191" i="16" a="1"/>
  <c r="F191" i="16" s="1"/>
  <c r="D191" i="16" a="1"/>
  <c r="D191" i="16"/>
  <c r="S190" i="16" a="1"/>
  <c r="S190" i="16" s="1"/>
  <c r="J190" i="16" a="1"/>
  <c r="J190" i="16" s="1"/>
  <c r="I190" i="16" a="1"/>
  <c r="I190" i="16"/>
  <c r="H190" i="16" a="1"/>
  <c r="H190" i="16" s="1"/>
  <c r="G190" i="16" a="1"/>
  <c r="G190" i="16" s="1"/>
  <c r="F190" i="16" a="1"/>
  <c r="F190" i="16"/>
  <c r="D190" i="16" a="1"/>
  <c r="D190" i="16" s="1"/>
  <c r="S189" i="16" a="1"/>
  <c r="S189" i="16" s="1"/>
  <c r="J189" i="16" a="1"/>
  <c r="J189" i="16" s="1"/>
  <c r="I189" i="16" a="1"/>
  <c r="I189" i="16"/>
  <c r="H189" i="16" a="1"/>
  <c r="H189" i="16"/>
  <c r="G189" i="16" a="1"/>
  <c r="G189" i="16" s="1"/>
  <c r="F189" i="16" a="1"/>
  <c r="F189" i="16" s="1"/>
  <c r="D189" i="16" a="1"/>
  <c r="D189" i="16"/>
  <c r="S188" i="16" a="1"/>
  <c r="S188" i="16" s="1"/>
  <c r="J188" i="16" a="1"/>
  <c r="J188" i="16" s="1"/>
  <c r="I188" i="16" a="1"/>
  <c r="I188" i="16"/>
  <c r="H188" i="16" a="1"/>
  <c r="H188" i="16" s="1"/>
  <c r="G188" i="16" a="1"/>
  <c r="G188" i="16" s="1"/>
  <c r="F188" i="16" a="1"/>
  <c r="F188" i="16" s="1"/>
  <c r="D188" i="16" a="1"/>
  <c r="D188" i="16" s="1"/>
  <c r="S187" i="16" a="1"/>
  <c r="S187" i="16"/>
  <c r="J187" i="16" a="1"/>
  <c r="J187" i="16" s="1"/>
  <c r="I187" i="16" a="1"/>
  <c r="I187" i="16"/>
  <c r="H187" i="16" a="1"/>
  <c r="H187" i="16" s="1"/>
  <c r="G187" i="16" a="1"/>
  <c r="G187" i="16"/>
  <c r="F187" i="16" a="1"/>
  <c r="F187" i="16" s="1"/>
  <c r="D187" i="16" a="1"/>
  <c r="D187" i="16"/>
  <c r="S186" i="16" a="1"/>
  <c r="S186" i="16" s="1"/>
  <c r="J186" i="16" a="1"/>
  <c r="J186" i="16" s="1"/>
  <c r="I186" i="16" a="1"/>
  <c r="I186" i="16"/>
  <c r="H186" i="16" a="1"/>
  <c r="H186" i="16" s="1"/>
  <c r="G186" i="16" a="1"/>
  <c r="G186" i="16"/>
  <c r="F186" i="16" a="1"/>
  <c r="F186" i="16" s="1"/>
  <c r="D186" i="16" a="1"/>
  <c r="D186" i="16" s="1"/>
  <c r="S185" i="16" a="1"/>
  <c r="S185" i="16" s="1"/>
  <c r="J185" i="16" a="1"/>
  <c r="J185" i="16" s="1"/>
  <c r="I185" i="16" a="1"/>
  <c r="I185" i="16" s="1"/>
  <c r="H185" i="16" a="1"/>
  <c r="H185" i="16" s="1"/>
  <c r="G185" i="16" a="1"/>
  <c r="G185" i="16" s="1"/>
  <c r="F185" i="16" a="1"/>
  <c r="F185" i="16" s="1"/>
  <c r="D185" i="16" a="1"/>
  <c r="D185" i="16" s="1"/>
  <c r="S184" i="16" a="1"/>
  <c r="S184" i="16" s="1"/>
  <c r="J184" i="16" a="1"/>
  <c r="J184" i="16"/>
  <c r="I184" i="16" a="1"/>
  <c r="I184" i="16" s="1"/>
  <c r="H184" i="16" a="1"/>
  <c r="H184" i="16" s="1"/>
  <c r="G184" i="16" a="1"/>
  <c r="G184" i="16"/>
  <c r="F184" i="16" a="1"/>
  <c r="F184" i="16" s="1"/>
  <c r="D184" i="16" a="1"/>
  <c r="D184" i="16" s="1"/>
  <c r="S183" i="16" a="1"/>
  <c r="S183" i="16"/>
  <c r="J183" i="16" a="1"/>
  <c r="J183" i="16" s="1"/>
  <c r="I183" i="16" a="1"/>
  <c r="I183" i="16"/>
  <c r="H183" i="16" a="1"/>
  <c r="H183" i="16"/>
  <c r="G183" i="16" a="1"/>
  <c r="G183" i="16" s="1"/>
  <c r="F183" i="16" a="1"/>
  <c r="F183" i="16" s="1"/>
  <c r="D183" i="16" a="1"/>
  <c r="D183" i="16" s="1"/>
  <c r="S182" i="16" a="1"/>
  <c r="S182" i="16" s="1"/>
  <c r="J182" i="16" a="1"/>
  <c r="J182" i="16"/>
  <c r="I182" i="16" a="1"/>
  <c r="I182" i="16" s="1"/>
  <c r="H182" i="16" a="1"/>
  <c r="H182" i="16" s="1"/>
  <c r="G182" i="16" a="1"/>
  <c r="G182" i="16" s="1"/>
  <c r="F182" i="16" a="1"/>
  <c r="F182" i="16" s="1"/>
  <c r="D182" i="16" a="1"/>
  <c r="D182" i="16" s="1"/>
  <c r="S181" i="16" a="1"/>
  <c r="S181" i="16"/>
  <c r="J181" i="16" a="1"/>
  <c r="J181" i="16" s="1"/>
  <c r="I181" i="16" a="1"/>
  <c r="I181" i="16" s="1"/>
  <c r="H181" i="16" a="1"/>
  <c r="H181" i="16"/>
  <c r="G181" i="16" a="1"/>
  <c r="G181" i="16" s="1"/>
  <c r="F181" i="16" a="1"/>
  <c r="F181" i="16" s="1"/>
  <c r="D181" i="16" a="1"/>
  <c r="D181" i="16"/>
  <c r="S180" i="16" a="1"/>
  <c r="S180" i="16" s="1"/>
  <c r="J180" i="16" a="1"/>
  <c r="J180" i="16" s="1"/>
  <c r="I180" i="16" a="1"/>
  <c r="I180" i="16"/>
  <c r="H180" i="16" a="1"/>
  <c r="H180" i="16" s="1"/>
  <c r="G180" i="16" a="1"/>
  <c r="G180" i="16"/>
  <c r="F180" i="16" a="1"/>
  <c r="F180" i="16"/>
  <c r="D180" i="16" a="1"/>
  <c r="D180" i="16" s="1"/>
  <c r="S179" i="16" a="1"/>
  <c r="S179" i="16" s="1"/>
  <c r="J179" i="16" a="1"/>
  <c r="J179" i="16" s="1"/>
  <c r="I179" i="16" a="1"/>
  <c r="I179" i="16"/>
  <c r="H179" i="16" a="1"/>
  <c r="H179" i="16" s="1"/>
  <c r="G179" i="16" a="1"/>
  <c r="G179" i="16"/>
  <c r="F179" i="16" a="1"/>
  <c r="F179" i="16" s="1"/>
  <c r="D179" i="16" a="1"/>
  <c r="D179" i="16" s="1"/>
  <c r="S178" i="16" a="1"/>
  <c r="S178" i="16" s="1"/>
  <c r="J178" i="16" a="1"/>
  <c r="J178" i="16" s="1"/>
  <c r="I178" i="16" a="1"/>
  <c r="I178" i="16"/>
  <c r="H178" i="16" a="1"/>
  <c r="H178" i="16" s="1"/>
  <c r="G178" i="16" a="1"/>
  <c r="G178" i="16" s="1"/>
  <c r="F178" i="16" a="1"/>
  <c r="F178" i="16" s="1"/>
  <c r="D178" i="16" a="1"/>
  <c r="D178" i="16" s="1"/>
  <c r="S177" i="16" a="1"/>
  <c r="S177" i="16"/>
  <c r="J177" i="16" a="1"/>
  <c r="J177" i="16" s="1"/>
  <c r="I177" i="16" a="1"/>
  <c r="I177" i="16"/>
  <c r="H177" i="16" a="1"/>
  <c r="H177" i="16"/>
  <c r="G177" i="16" a="1"/>
  <c r="G177" i="16" s="1"/>
  <c r="F177" i="16" a="1"/>
  <c r="F177" i="16" s="1"/>
  <c r="D177" i="16" a="1"/>
  <c r="D177" i="16"/>
  <c r="S176" i="16" a="1"/>
  <c r="S176" i="16" s="1"/>
  <c r="J176" i="16" a="1"/>
  <c r="J176" i="16"/>
  <c r="I176" i="16" a="1"/>
  <c r="I176" i="16" s="1"/>
  <c r="H176" i="16" a="1"/>
  <c r="H176" i="16" s="1"/>
  <c r="G176" i="16" a="1"/>
  <c r="G176" i="16" s="1"/>
  <c r="F176" i="16" a="1"/>
  <c r="F176" i="16" s="1"/>
  <c r="D176" i="16" a="1"/>
  <c r="D176" i="16" s="1"/>
  <c r="S175" i="16" a="1"/>
  <c r="S175" i="16" s="1"/>
  <c r="J175" i="16" a="1"/>
  <c r="J175" i="16" s="1"/>
  <c r="I175" i="16" a="1"/>
  <c r="I175" i="16" s="1"/>
  <c r="H175" i="16" a="1"/>
  <c r="H175" i="16" s="1"/>
  <c r="G175" i="16" a="1"/>
  <c r="G175" i="16"/>
  <c r="F175" i="16" a="1"/>
  <c r="F175" i="16" s="1"/>
  <c r="D175" i="16" a="1"/>
  <c r="D175" i="16"/>
  <c r="S174" i="16" a="1"/>
  <c r="S174" i="16" s="1"/>
  <c r="J174" i="16" a="1"/>
  <c r="J174" i="16" s="1"/>
  <c r="I174" i="16" a="1"/>
  <c r="I174" i="16" s="1"/>
  <c r="H174" i="16" a="1"/>
  <c r="H174" i="16" s="1"/>
  <c r="G174" i="16" a="1"/>
  <c r="G174" i="16" s="1"/>
  <c r="F174" i="16" a="1"/>
  <c r="F174" i="16"/>
  <c r="D174" i="16" a="1"/>
  <c r="D174" i="16" s="1"/>
  <c r="S173" i="16" a="1"/>
  <c r="S173" i="16" s="1"/>
  <c r="J173" i="16" a="1"/>
  <c r="J173" i="16" s="1"/>
  <c r="I173" i="16" a="1"/>
  <c r="I173" i="16"/>
  <c r="H173" i="16" a="1"/>
  <c r="H173" i="16" s="1"/>
  <c r="G173" i="16" a="1"/>
  <c r="G173" i="16" s="1"/>
  <c r="F173" i="16" a="1"/>
  <c r="F173" i="16" s="1"/>
  <c r="D173" i="16" a="1"/>
  <c r="D173" i="16"/>
  <c r="S172" i="16" a="1"/>
  <c r="S172" i="16" s="1"/>
  <c r="J172" i="16" a="1"/>
  <c r="J172" i="16" s="1"/>
  <c r="I172" i="16" a="1"/>
  <c r="I172" i="16" s="1"/>
  <c r="H172" i="16" a="1"/>
  <c r="H172" i="16" s="1"/>
  <c r="G172" i="16" a="1"/>
  <c r="G172" i="16" s="1"/>
  <c r="F172" i="16" a="1"/>
  <c r="F172" i="16" s="1"/>
  <c r="D172" i="16" a="1"/>
  <c r="D172" i="16" s="1"/>
  <c r="S171" i="16" a="1"/>
  <c r="S171" i="16"/>
  <c r="J171" i="16" a="1"/>
  <c r="J171" i="16" s="1"/>
  <c r="I171" i="16" a="1"/>
  <c r="I171" i="16"/>
  <c r="H171" i="16" a="1"/>
  <c r="H171" i="16"/>
  <c r="G171" i="16" a="1"/>
  <c r="G171" i="16" s="1"/>
  <c r="F171" i="16" a="1"/>
  <c r="F171" i="16" s="1"/>
  <c r="D171" i="16" a="1"/>
  <c r="D171" i="16" s="1"/>
  <c r="S170" i="16" a="1"/>
  <c r="S170" i="16" s="1"/>
  <c r="J170" i="16" a="1"/>
  <c r="J170" i="16"/>
  <c r="I170" i="16" a="1"/>
  <c r="I170" i="16"/>
  <c r="H170" i="16" a="1"/>
  <c r="H170" i="16" s="1"/>
  <c r="G170" i="16" a="1"/>
  <c r="G170" i="16"/>
  <c r="F170" i="16" a="1"/>
  <c r="F170" i="16" s="1"/>
  <c r="D170" i="16" a="1"/>
  <c r="D170" i="16"/>
  <c r="S169" i="16" a="1"/>
  <c r="S169" i="16" s="1"/>
  <c r="J169" i="16" a="1"/>
  <c r="J169" i="16" s="1"/>
  <c r="I169" i="16" a="1"/>
  <c r="I169" i="16"/>
  <c r="H169" i="16" a="1"/>
  <c r="H169" i="16" s="1"/>
  <c r="G169" i="16" a="1"/>
  <c r="G169" i="16"/>
  <c r="F169" i="16" a="1"/>
  <c r="F169" i="16"/>
  <c r="D169" i="16" a="1"/>
  <c r="D169" i="16" s="1"/>
  <c r="S168" i="16" a="1"/>
  <c r="S168" i="16" s="1"/>
  <c r="J168" i="16" a="1"/>
  <c r="J168" i="16" s="1"/>
  <c r="I168" i="16" a="1"/>
  <c r="I168" i="16"/>
  <c r="H168" i="16" a="1"/>
  <c r="H168" i="16"/>
  <c r="G168" i="16" a="1"/>
  <c r="G168" i="16" s="1"/>
  <c r="F168" i="16" a="1"/>
  <c r="F168" i="16" s="1"/>
  <c r="D168" i="16" a="1"/>
  <c r="D168" i="16" s="1"/>
  <c r="S167" i="16" a="1"/>
  <c r="S167" i="16" s="1"/>
  <c r="J167" i="16" a="1"/>
  <c r="J167" i="16"/>
  <c r="I167" i="16" a="1"/>
  <c r="I167" i="16" s="1"/>
  <c r="H167" i="16" a="1"/>
  <c r="H167" i="16" s="1"/>
  <c r="G167" i="16" a="1"/>
  <c r="G167" i="16" s="1"/>
  <c r="F167" i="16" a="1"/>
  <c r="F167" i="16" s="1"/>
  <c r="D167" i="16" a="1"/>
  <c r="D167" i="16" s="1"/>
  <c r="S166" i="16" a="1"/>
  <c r="S166" i="16"/>
  <c r="J166" i="16" a="1"/>
  <c r="J166" i="16" s="1"/>
  <c r="I166" i="16" a="1"/>
  <c r="I166" i="16" s="1"/>
  <c r="H166" i="16" a="1"/>
  <c r="H166" i="16"/>
  <c r="G166" i="16" a="1"/>
  <c r="G166" i="16"/>
  <c r="F166" i="16" a="1"/>
  <c r="F166" i="16" s="1"/>
  <c r="D166" i="16" a="1"/>
  <c r="D166" i="16"/>
  <c r="S165" i="16" a="1"/>
  <c r="S165" i="16" s="1"/>
  <c r="J165" i="16" a="1"/>
  <c r="J165" i="16"/>
  <c r="I165" i="16" a="1"/>
  <c r="I165" i="16"/>
  <c r="H165" i="16" a="1"/>
  <c r="H165" i="16" s="1"/>
  <c r="G165" i="16" a="1"/>
  <c r="G165" i="16"/>
  <c r="F165" i="16" a="1"/>
  <c r="F165" i="16"/>
  <c r="D165" i="16" a="1"/>
  <c r="D165" i="16" s="1"/>
  <c r="S164" i="16" a="1"/>
  <c r="S164" i="16" s="1"/>
  <c r="J164" i="16" a="1"/>
  <c r="J164" i="16" s="1"/>
  <c r="I164" i="16" a="1"/>
  <c r="I164" i="16"/>
  <c r="H164" i="16" a="1"/>
  <c r="H164" i="16" s="1"/>
  <c r="G164" i="16" a="1"/>
  <c r="G164" i="16" s="1"/>
  <c r="F164" i="16" a="1"/>
  <c r="F164" i="16" s="1"/>
  <c r="D164" i="16" a="1"/>
  <c r="D164" i="16"/>
  <c r="S163" i="16" a="1"/>
  <c r="S163" i="16" s="1"/>
  <c r="O163" i="16" a="1"/>
  <c r="O163" i="16"/>
  <c r="N163" i="16" a="1"/>
  <c r="N163" i="16" s="1"/>
  <c r="L163" i="16" a="1"/>
  <c r="L163" i="16" s="1"/>
  <c r="K163" i="16" a="1"/>
  <c r="K163" i="16" s="1"/>
  <c r="J163" i="16" a="1"/>
  <c r="J163" i="16" s="1"/>
  <c r="I163" i="16" a="1"/>
  <c r="I163" i="16"/>
  <c r="H163" i="16" a="1"/>
  <c r="H163" i="16" s="1"/>
  <c r="G163" i="16" a="1"/>
  <c r="G163" i="16" s="1"/>
  <c r="F163" i="16" a="1"/>
  <c r="F163" i="16"/>
  <c r="E163" i="16" a="1"/>
  <c r="E163" i="16"/>
  <c r="D163" i="16" a="1"/>
  <c r="D163" i="16" s="1"/>
  <c r="S162" i="16" a="1"/>
  <c r="S162" i="16"/>
  <c r="P162" i="16" a="1"/>
  <c r="P162" i="16" s="1"/>
  <c r="O162" i="16" a="1"/>
  <c r="O162" i="16" s="1"/>
  <c r="L162" i="16" a="1"/>
  <c r="L162" i="16" s="1"/>
  <c r="J162" i="16" a="1"/>
  <c r="J162" i="16" s="1"/>
  <c r="I162" i="16" a="1"/>
  <c r="I162" i="16"/>
  <c r="H162" i="16" a="1"/>
  <c r="H162" i="16"/>
  <c r="G162" i="16" a="1"/>
  <c r="G162" i="16"/>
  <c r="F162" i="16" a="1"/>
  <c r="F162" i="16" s="1"/>
  <c r="E162" i="16" a="1"/>
  <c r="E162" i="16"/>
  <c r="D162" i="16" a="1"/>
  <c r="D162" i="16" s="1"/>
  <c r="S161" i="16" a="1"/>
  <c r="S161" i="16" s="1"/>
  <c r="O161" i="16" a="1"/>
  <c r="O161" i="16" s="1"/>
  <c r="N161" i="16" a="1"/>
  <c r="N161" i="16"/>
  <c r="L161" i="16" a="1"/>
  <c r="L161" i="16" s="1"/>
  <c r="K161" i="16" a="1"/>
  <c r="K161" i="16" s="1"/>
  <c r="D133" i="21" s="1"/>
  <c r="J161" i="16" a="1"/>
  <c r="J161" i="16"/>
  <c r="I161" i="16" a="1"/>
  <c r="I161" i="16" s="1"/>
  <c r="H161" i="16" a="1"/>
  <c r="H161" i="16" s="1"/>
  <c r="G161" i="16" a="1"/>
  <c r="G161" i="16"/>
  <c r="F161" i="16" a="1"/>
  <c r="F161" i="16" s="1"/>
  <c r="E161" i="16" a="1"/>
  <c r="E161" i="16" s="1"/>
  <c r="D161" i="16" a="1"/>
  <c r="D161" i="16" s="1"/>
  <c r="S160" i="16" a="1"/>
  <c r="S160" i="16"/>
  <c r="P160" i="16" a="1"/>
  <c r="P160" i="16" s="1"/>
  <c r="O160" i="16" a="1"/>
  <c r="O160" i="16" s="1"/>
  <c r="N160" i="16" a="1"/>
  <c r="N160" i="16" s="1"/>
  <c r="L160" i="16" a="1"/>
  <c r="L160" i="16" s="1"/>
  <c r="K160" i="16" a="1"/>
  <c r="K160" i="16" s="1"/>
  <c r="J160" i="16" a="1"/>
  <c r="J160" i="16" s="1"/>
  <c r="I160" i="16" a="1"/>
  <c r="I160" i="16" s="1"/>
  <c r="H160" i="16" a="1"/>
  <c r="H160" i="16" s="1"/>
  <c r="G160" i="16" a="1"/>
  <c r="G160" i="16"/>
  <c r="F160" i="16" a="1"/>
  <c r="F160" i="16" s="1"/>
  <c r="E160" i="16" a="1"/>
  <c r="E160" i="16"/>
  <c r="D160" i="16" a="1"/>
  <c r="D160" i="16"/>
  <c r="S159" i="16" a="1"/>
  <c r="S159" i="16" s="1"/>
  <c r="J159" i="16" a="1"/>
  <c r="J159" i="16"/>
  <c r="I159" i="16" a="1"/>
  <c r="I159" i="16"/>
  <c r="H159" i="16" a="1"/>
  <c r="H159" i="16" s="1"/>
  <c r="G159" i="16" a="1"/>
  <c r="G159" i="16"/>
  <c r="F159" i="16" a="1"/>
  <c r="F159" i="16"/>
  <c r="D159" i="16" a="1"/>
  <c r="D159" i="16" s="1"/>
  <c r="S158" i="16" a="1"/>
  <c r="S158" i="16" s="1"/>
  <c r="J158" i="16" a="1"/>
  <c r="J158" i="16" s="1"/>
  <c r="I158" i="16" a="1"/>
  <c r="I158" i="16"/>
  <c r="H158" i="16" a="1"/>
  <c r="H158" i="16"/>
  <c r="G158" i="16" a="1"/>
  <c r="G158" i="16" s="1"/>
  <c r="F158" i="16" a="1"/>
  <c r="F158" i="16" s="1"/>
  <c r="D158" i="16" a="1"/>
  <c r="D158" i="16" s="1"/>
  <c r="S157" i="16" a="1"/>
  <c r="S157" i="16" s="1"/>
  <c r="J157" i="16" a="1"/>
  <c r="J157" i="16" s="1"/>
  <c r="I157" i="16" a="1"/>
  <c r="I157" i="16" s="1"/>
  <c r="H157" i="16" a="1"/>
  <c r="H157" i="16" s="1"/>
  <c r="G157" i="16" a="1"/>
  <c r="G157" i="16" s="1"/>
  <c r="F157" i="16" a="1"/>
  <c r="F157" i="16"/>
  <c r="D157" i="16" a="1"/>
  <c r="D157" i="16" s="1"/>
  <c r="S156" i="16" a="1"/>
  <c r="S156" i="16" s="1"/>
  <c r="J156" i="16" a="1"/>
  <c r="J156" i="16" s="1"/>
  <c r="I156" i="16" a="1"/>
  <c r="I156" i="16" s="1"/>
  <c r="H156" i="16" a="1"/>
  <c r="H156" i="16"/>
  <c r="G156" i="16" a="1"/>
  <c r="G156" i="16"/>
  <c r="F156" i="16" a="1"/>
  <c r="F156" i="16" s="1"/>
  <c r="D156" i="16" a="1"/>
  <c r="D156" i="16"/>
  <c r="S155" i="16" a="1"/>
  <c r="S155" i="16" s="1"/>
  <c r="J155" i="16" a="1"/>
  <c r="J155" i="16"/>
  <c r="I155" i="16" a="1"/>
  <c r="I155" i="16"/>
  <c r="H155" i="16" a="1"/>
  <c r="H155" i="16" s="1"/>
  <c r="G155" i="16" a="1"/>
  <c r="G155" i="16"/>
  <c r="F155" i="16" a="1"/>
  <c r="F155" i="16" s="1"/>
  <c r="D155" i="16" a="1"/>
  <c r="D155" i="16" s="1"/>
  <c r="S154" i="16" a="1"/>
  <c r="S154" i="16" s="1"/>
  <c r="J154" i="16" a="1"/>
  <c r="J154" i="16" s="1"/>
  <c r="I154" i="16" a="1"/>
  <c r="I154" i="16"/>
  <c r="H154" i="16" a="1"/>
  <c r="H154" i="16" s="1"/>
  <c r="G154" i="16" a="1"/>
  <c r="G154" i="16" s="1"/>
  <c r="F154" i="16" a="1"/>
  <c r="F154" i="16" s="1"/>
  <c r="D154" i="16" a="1"/>
  <c r="D154" i="16"/>
  <c r="S153" i="16" a="1"/>
  <c r="S153" i="16" s="1"/>
  <c r="J153" i="16" a="1"/>
  <c r="J153" i="16" s="1"/>
  <c r="I153" i="16" a="1"/>
  <c r="I153" i="16"/>
  <c r="H153" i="16" a="1"/>
  <c r="H153" i="16" s="1"/>
  <c r="G153" i="16" a="1"/>
  <c r="G153" i="16" s="1"/>
  <c r="F153" i="16" a="1"/>
  <c r="F153" i="16"/>
  <c r="D153" i="16" a="1"/>
  <c r="D153" i="16" s="1"/>
  <c r="S152" i="16" a="1"/>
  <c r="S152" i="16" s="1"/>
  <c r="J152" i="16" a="1"/>
  <c r="J152" i="16" s="1"/>
  <c r="I152" i="16" a="1"/>
  <c r="I152" i="16"/>
  <c r="H152" i="16" a="1"/>
  <c r="H152" i="16"/>
  <c r="G152" i="16" a="1"/>
  <c r="G152" i="16" s="1"/>
  <c r="F152" i="16" a="1"/>
  <c r="F152" i="16" s="1"/>
  <c r="D152" i="16" a="1"/>
  <c r="D152" i="16" s="1"/>
  <c r="S151" i="16" a="1"/>
  <c r="S151" i="16" s="1"/>
  <c r="J151" i="16" a="1"/>
  <c r="J151" i="16"/>
  <c r="I151" i="16" a="1"/>
  <c r="I151" i="16" s="1"/>
  <c r="H151" i="16" a="1"/>
  <c r="H151" i="16" s="1"/>
  <c r="G151" i="16" a="1"/>
  <c r="G151" i="16" s="1"/>
  <c r="F151" i="16" a="1"/>
  <c r="F151" i="16" s="1"/>
  <c r="D151" i="16" a="1"/>
  <c r="D151" i="16" s="1"/>
  <c r="S150" i="16" a="1"/>
  <c r="S150" i="16"/>
  <c r="J150" i="16" a="1"/>
  <c r="J150" i="16" s="1"/>
  <c r="I150" i="16" a="1"/>
  <c r="I150" i="16" s="1"/>
  <c r="H150" i="16" a="1"/>
  <c r="H150" i="16" s="1"/>
  <c r="G150" i="16" a="1"/>
  <c r="G150" i="16"/>
  <c r="F150" i="16" a="1"/>
  <c r="F150" i="16" s="1"/>
  <c r="D150" i="16" a="1"/>
  <c r="D150" i="16"/>
  <c r="S149" i="16" a="1"/>
  <c r="S149" i="16" s="1"/>
  <c r="J149" i="16" a="1"/>
  <c r="J149" i="16"/>
  <c r="I149" i="16" a="1"/>
  <c r="I149" i="16"/>
  <c r="H149" i="16" a="1"/>
  <c r="H149" i="16" s="1"/>
  <c r="G149" i="16" a="1"/>
  <c r="G149" i="16"/>
  <c r="F149" i="16" a="1"/>
  <c r="F149" i="16"/>
  <c r="D149" i="16" a="1"/>
  <c r="D149" i="16" s="1"/>
  <c r="S148" i="16" a="1"/>
  <c r="S148" i="16" s="1"/>
  <c r="J148" i="16" a="1"/>
  <c r="J148" i="16" s="1"/>
  <c r="I148" i="16" a="1"/>
  <c r="I148" i="16"/>
  <c r="H148" i="16" a="1"/>
  <c r="H148" i="16" s="1"/>
  <c r="G148" i="16" a="1"/>
  <c r="G148" i="16" s="1"/>
  <c r="F148" i="16" a="1"/>
  <c r="F148" i="16" s="1"/>
  <c r="D148" i="16" a="1"/>
  <c r="D148" i="16"/>
  <c r="S147" i="16" a="1"/>
  <c r="S147" i="16" s="1"/>
  <c r="J147" i="16" a="1"/>
  <c r="J147" i="16" s="1"/>
  <c r="I147" i="16" a="1"/>
  <c r="I147" i="16"/>
  <c r="H147" i="16" a="1"/>
  <c r="H147" i="16" s="1"/>
  <c r="G147" i="16" a="1"/>
  <c r="G147" i="16" s="1"/>
  <c r="F147" i="16" a="1"/>
  <c r="F147" i="16"/>
  <c r="D147" i="16" a="1"/>
  <c r="D147" i="16" s="1"/>
  <c r="S146" i="16" a="1"/>
  <c r="S146" i="16"/>
  <c r="J146" i="16" a="1"/>
  <c r="J146" i="16" s="1"/>
  <c r="I146" i="16" a="1"/>
  <c r="I146" i="16" s="1"/>
  <c r="H146" i="16" a="1"/>
  <c r="H146" i="16"/>
  <c r="G146" i="16" a="1"/>
  <c r="G146" i="16"/>
  <c r="F146" i="16" a="1"/>
  <c r="F146" i="16" s="1"/>
  <c r="D146" i="16" a="1"/>
  <c r="D146" i="16" s="1"/>
  <c r="S145" i="16" a="1"/>
  <c r="S145" i="16" s="1"/>
  <c r="J145" i="16" a="1"/>
  <c r="J145" i="16"/>
  <c r="I145" i="16" a="1"/>
  <c r="I145" i="16" s="1"/>
  <c r="H145" i="16" a="1"/>
  <c r="H145" i="16" s="1"/>
  <c r="G145" i="16" a="1"/>
  <c r="G145" i="16"/>
  <c r="F145" i="16" a="1"/>
  <c r="F145" i="16" s="1"/>
  <c r="D145" i="16" a="1"/>
  <c r="D145" i="16" s="1"/>
  <c r="S144" i="16" a="1"/>
  <c r="S144" i="16"/>
  <c r="J144" i="16" a="1"/>
  <c r="J144" i="16" s="1"/>
  <c r="I144" i="16" a="1"/>
  <c r="I144" i="16" s="1"/>
  <c r="H144" i="16" a="1"/>
  <c r="H144" i="16" s="1"/>
  <c r="G144" i="16" a="1"/>
  <c r="G144" i="16"/>
  <c r="F144" i="16" a="1"/>
  <c r="F144" i="16" s="1"/>
  <c r="D144" i="16" a="1"/>
  <c r="D144" i="16"/>
  <c r="S143" i="16" a="1"/>
  <c r="S143" i="16" s="1"/>
  <c r="J143" i="16" a="1"/>
  <c r="J143" i="16" s="1"/>
  <c r="I143" i="16" a="1"/>
  <c r="I143" i="16"/>
  <c r="H143" i="16" a="1"/>
  <c r="H143" i="16" s="1"/>
  <c r="G143" i="16" a="1"/>
  <c r="G143" i="16"/>
  <c r="F143" i="16" a="1"/>
  <c r="F143" i="16"/>
  <c r="D143" i="16" a="1"/>
  <c r="D143" i="16" s="1"/>
  <c r="S142" i="16" a="1"/>
  <c r="S142" i="16" s="1"/>
  <c r="J142" i="16" a="1"/>
  <c r="J142" i="16" s="1"/>
  <c r="I142" i="16" a="1"/>
  <c r="I142" i="16"/>
  <c r="H142" i="16" a="1"/>
  <c r="H142" i="16"/>
  <c r="G142" i="16" a="1"/>
  <c r="G142" i="16" s="1"/>
  <c r="F142" i="16" a="1"/>
  <c r="F142" i="16" s="1"/>
  <c r="D142" i="16" a="1"/>
  <c r="D142" i="16" s="1"/>
  <c r="S141" i="16" a="1"/>
  <c r="S141" i="16" s="1"/>
  <c r="J141" i="16" a="1"/>
  <c r="J141" i="16" s="1"/>
  <c r="I141" i="16" a="1"/>
  <c r="I141" i="16" s="1"/>
  <c r="H141" i="16" a="1"/>
  <c r="H141" i="16" s="1"/>
  <c r="G141" i="16" a="1"/>
  <c r="G141" i="16" s="1"/>
  <c r="F141" i="16" a="1"/>
  <c r="F141" i="16"/>
  <c r="D141" i="16" a="1"/>
  <c r="D141" i="16" s="1"/>
  <c r="S140" i="16" a="1"/>
  <c r="S140" i="16"/>
  <c r="J140" i="16" a="1"/>
  <c r="J140" i="16" s="1"/>
  <c r="I140" i="16" a="1"/>
  <c r="I140" i="16" s="1"/>
  <c r="H140" i="16" a="1"/>
  <c r="H140" i="16"/>
  <c r="G140" i="16" a="1"/>
  <c r="G140" i="16"/>
  <c r="F140" i="16" a="1"/>
  <c r="F140" i="16" s="1"/>
  <c r="D140" i="16" a="1"/>
  <c r="D140" i="16"/>
  <c r="S139" i="16" a="1"/>
  <c r="S139" i="16" s="1"/>
  <c r="J139" i="16" a="1"/>
  <c r="J139" i="16"/>
  <c r="I139" i="16" a="1"/>
  <c r="I139" i="16"/>
  <c r="H139" i="16" a="1"/>
  <c r="H139" i="16" s="1"/>
  <c r="G139" i="16" a="1"/>
  <c r="G139" i="16"/>
  <c r="F139" i="16" a="1"/>
  <c r="F139" i="16" s="1"/>
  <c r="D139" i="16" a="1"/>
  <c r="D139" i="16" s="1"/>
  <c r="S138" i="16" a="1"/>
  <c r="S138" i="16" s="1"/>
  <c r="J138" i="16" a="1"/>
  <c r="J138" i="16" s="1"/>
  <c r="I138" i="16" a="1"/>
  <c r="I138" i="16"/>
  <c r="H138" i="16" a="1"/>
  <c r="H138" i="16" s="1"/>
  <c r="G138" i="16" a="1"/>
  <c r="G138" i="16"/>
  <c r="F138" i="16" a="1"/>
  <c r="F138" i="16" s="1"/>
  <c r="D138" i="16" a="1"/>
  <c r="D138" i="16"/>
  <c r="S137" i="16" a="1"/>
  <c r="S137" i="16" s="1"/>
  <c r="J137" i="16" a="1"/>
  <c r="J137" i="16" s="1"/>
  <c r="I137" i="16" a="1"/>
  <c r="I137" i="16"/>
  <c r="H137" i="16" a="1"/>
  <c r="H137" i="16" s="1"/>
  <c r="G137" i="16" a="1"/>
  <c r="G137" i="16"/>
  <c r="F137" i="16" a="1"/>
  <c r="F137" i="16"/>
  <c r="D137" i="16" a="1"/>
  <c r="D137" i="16" s="1"/>
  <c r="S136" i="16" a="1"/>
  <c r="S136" i="16" s="1"/>
  <c r="J136" i="16" a="1"/>
  <c r="J136" i="16" s="1"/>
  <c r="I136" i="16" a="1"/>
  <c r="I136" i="16"/>
  <c r="H136" i="16" a="1"/>
  <c r="H136" i="16"/>
  <c r="G136" i="16" a="1"/>
  <c r="G136" i="16" s="1"/>
  <c r="F136" i="16" a="1"/>
  <c r="F136" i="16" s="1"/>
  <c r="D136" i="16" a="1"/>
  <c r="D136" i="16" s="1"/>
  <c r="S135" i="16" a="1"/>
  <c r="S135" i="16" s="1"/>
  <c r="J135" i="16" a="1"/>
  <c r="J135" i="16"/>
  <c r="I135" i="16" a="1"/>
  <c r="I135" i="16" s="1"/>
  <c r="H135" i="16" a="1"/>
  <c r="H135" i="16" s="1"/>
  <c r="G135" i="16" a="1"/>
  <c r="G135" i="16" s="1"/>
  <c r="F135" i="16" a="1"/>
  <c r="F135" i="16" s="1"/>
  <c r="D135" i="16" a="1"/>
  <c r="D135" i="16" s="1"/>
  <c r="S134" i="16" a="1"/>
  <c r="S134" i="16"/>
  <c r="J134" i="16" a="1"/>
  <c r="J134" i="16" s="1"/>
  <c r="I134" i="16" a="1"/>
  <c r="I134" i="16" s="1"/>
  <c r="H134" i="16" a="1"/>
  <c r="H134" i="16"/>
  <c r="G134" i="16" a="1"/>
  <c r="G134" i="16"/>
  <c r="F134" i="16" a="1"/>
  <c r="F134" i="16" s="1"/>
  <c r="D134" i="16" a="1"/>
  <c r="D134" i="16"/>
  <c r="S133" i="16" a="1"/>
  <c r="S133" i="16" s="1"/>
  <c r="J133" i="16" a="1"/>
  <c r="J133" i="16"/>
  <c r="I133" i="16" a="1"/>
  <c r="I133" i="16"/>
  <c r="H133" i="16" a="1"/>
  <c r="H133" i="16" s="1"/>
  <c r="G133" i="16" a="1"/>
  <c r="G133" i="16"/>
  <c r="F133" i="16" a="1"/>
  <c r="F133" i="16"/>
  <c r="D133" i="16" a="1"/>
  <c r="D133" i="16" s="1"/>
  <c r="S132" i="16" a="1"/>
  <c r="S132" i="16" s="1"/>
  <c r="J132" i="16" a="1"/>
  <c r="J132" i="16" s="1"/>
  <c r="I132" i="16" a="1"/>
  <c r="I132" i="16"/>
  <c r="H132" i="16" a="1"/>
  <c r="H132" i="16" s="1"/>
  <c r="G132" i="16" a="1"/>
  <c r="G132" i="16" s="1"/>
  <c r="F132" i="16" a="1"/>
  <c r="F132" i="16" s="1"/>
  <c r="D132" i="16" a="1"/>
  <c r="D132" i="16"/>
  <c r="S131" i="16" a="1"/>
  <c r="S131" i="16" s="1"/>
  <c r="J131" i="16" a="1"/>
  <c r="J131" i="16" s="1"/>
  <c r="I131" i="16" a="1"/>
  <c r="I131" i="16"/>
  <c r="H131" i="16" a="1"/>
  <c r="H131" i="16"/>
  <c r="G131" i="16" a="1"/>
  <c r="G131" i="16"/>
  <c r="F131" i="16" a="1"/>
  <c r="F131" i="16" s="1"/>
  <c r="D131" i="16" a="1"/>
  <c r="D131" i="16"/>
  <c r="S130" i="16" a="1"/>
  <c r="S130" i="16" s="1"/>
  <c r="J130" i="16" a="1"/>
  <c r="J130" i="16"/>
  <c r="I130" i="16" a="1"/>
  <c r="I130" i="16"/>
  <c r="H130" i="16" a="1"/>
  <c r="H130" i="16" s="1"/>
  <c r="G130" i="16" a="1"/>
  <c r="G130" i="16"/>
  <c r="F130" i="16" a="1"/>
  <c r="F130" i="16"/>
  <c r="D130" i="16" a="1"/>
  <c r="D130" i="16" s="1"/>
  <c r="S129" i="16" a="1"/>
  <c r="S129" i="16"/>
  <c r="J129" i="16" a="1"/>
  <c r="J129" i="16" s="1"/>
  <c r="I129" i="16" a="1"/>
  <c r="I129" i="16" s="1"/>
  <c r="H129" i="16" a="1"/>
  <c r="H129" i="16"/>
  <c r="G129" i="16" a="1"/>
  <c r="G129" i="16"/>
  <c r="F129" i="16" a="1"/>
  <c r="F129" i="16" s="1"/>
  <c r="D129" i="16" a="1"/>
  <c r="D129" i="16"/>
  <c r="S128" i="16" a="1"/>
  <c r="S128" i="16" s="1"/>
  <c r="J128" i="16" a="1"/>
  <c r="J128" i="16"/>
  <c r="I128" i="16" a="1"/>
  <c r="I128" i="16" s="1"/>
  <c r="H128" i="16" a="1"/>
  <c r="H128" i="16"/>
  <c r="G128" i="16" a="1"/>
  <c r="G128" i="16"/>
  <c r="F128" i="16" a="1"/>
  <c r="F128" i="16"/>
  <c r="D128" i="16" a="1"/>
  <c r="D128" i="16"/>
  <c r="S127" i="16" a="1"/>
  <c r="S127" i="16" s="1"/>
  <c r="J127" i="16" a="1"/>
  <c r="J127" i="16" s="1"/>
  <c r="I127" i="16" a="1"/>
  <c r="I127" i="16"/>
  <c r="H127" i="16" a="1"/>
  <c r="H127" i="16"/>
  <c r="G127" i="16" a="1"/>
  <c r="G127" i="16" s="1"/>
  <c r="F127" i="16" a="1"/>
  <c r="F127" i="16"/>
  <c r="D127" i="16" a="1"/>
  <c r="D127" i="16"/>
  <c r="S126" i="16" a="1"/>
  <c r="S126" i="16" s="1"/>
  <c r="J126" i="16" a="1"/>
  <c r="J126" i="16" s="1"/>
  <c r="I126" i="16" a="1"/>
  <c r="I126" i="16" s="1"/>
  <c r="H126" i="16" a="1"/>
  <c r="H126" i="16" s="1"/>
  <c r="G126" i="16" a="1"/>
  <c r="G126" i="16" s="1"/>
  <c r="F126" i="16" a="1"/>
  <c r="F126" i="16" s="1"/>
  <c r="D126" i="16" a="1"/>
  <c r="D126" i="16"/>
  <c r="S125" i="16" a="1"/>
  <c r="S125" i="16" s="1"/>
  <c r="J125" i="16" a="1"/>
  <c r="J125" i="16" s="1"/>
  <c r="I125" i="16" a="1"/>
  <c r="I125" i="16"/>
  <c r="H125" i="16" a="1"/>
  <c r="H125" i="16"/>
  <c r="G125" i="16" a="1"/>
  <c r="G125" i="16" s="1"/>
  <c r="F125" i="16" a="1"/>
  <c r="F125" i="16"/>
  <c r="D125" i="16" a="1"/>
  <c r="D125" i="16" s="1"/>
  <c r="S124" i="16" a="1"/>
  <c r="S124" i="16"/>
  <c r="J124" i="16" a="1"/>
  <c r="J124" i="16"/>
  <c r="I124" i="16" a="1"/>
  <c r="I124" i="16" s="1"/>
  <c r="H124" i="16" a="1"/>
  <c r="H124" i="16"/>
  <c r="G124" i="16" a="1"/>
  <c r="G124" i="16"/>
  <c r="F124" i="16" a="1"/>
  <c r="F124" i="16" s="1"/>
  <c r="D124" i="16" a="1"/>
  <c r="D124" i="16" s="1"/>
  <c r="S123" i="16" a="1"/>
  <c r="S123" i="16" s="1"/>
  <c r="J123" i="16" a="1"/>
  <c r="J123" i="16"/>
  <c r="I123" i="16" a="1"/>
  <c r="I123" i="16" s="1"/>
  <c r="H123" i="16" a="1"/>
  <c r="H123" i="16" s="1"/>
  <c r="G123" i="16" a="1"/>
  <c r="G123" i="16" s="1"/>
  <c r="F123" i="16" a="1"/>
  <c r="F123" i="16" s="1"/>
  <c r="D123" i="16" a="1"/>
  <c r="D123" i="16"/>
  <c r="S122" i="16" a="1"/>
  <c r="S122" i="16" s="1"/>
  <c r="J122" i="16" a="1"/>
  <c r="J122" i="16"/>
  <c r="I122" i="16" a="1"/>
  <c r="I122" i="16" s="1"/>
  <c r="H122" i="16" a="1"/>
  <c r="H122" i="16" s="1"/>
  <c r="G122" i="16" a="1"/>
  <c r="G122" i="16" s="1"/>
  <c r="F122" i="16" a="1"/>
  <c r="F122" i="16"/>
  <c r="D122" i="16" a="1"/>
  <c r="D122" i="16"/>
  <c r="S121" i="16" a="1"/>
  <c r="S121" i="16" s="1"/>
  <c r="J121" i="16" a="1"/>
  <c r="J121" i="16"/>
  <c r="I121" i="16" a="1"/>
  <c r="I121" i="16"/>
  <c r="H121" i="16" a="1"/>
  <c r="H121" i="16"/>
  <c r="G121" i="16" a="1"/>
  <c r="G121" i="16" s="1"/>
  <c r="F121" i="16" a="1"/>
  <c r="F121" i="16"/>
  <c r="D121" i="16" a="1"/>
  <c r="D121" i="16" s="1"/>
  <c r="S120" i="16" a="1"/>
  <c r="S120" i="16" s="1"/>
  <c r="J120" i="16" a="1"/>
  <c r="J120" i="16" s="1"/>
  <c r="I120" i="16" a="1"/>
  <c r="I120" i="16" s="1"/>
  <c r="H120" i="16" a="1"/>
  <c r="H120" i="16"/>
  <c r="G120" i="16" a="1"/>
  <c r="G120" i="16" s="1"/>
  <c r="F120" i="16" a="1"/>
  <c r="F120" i="16"/>
  <c r="D120" i="16" a="1"/>
  <c r="D120" i="16" s="1"/>
  <c r="S119" i="16" a="1"/>
  <c r="S119" i="16"/>
  <c r="J119" i="16" a="1"/>
  <c r="J119" i="16" s="1"/>
  <c r="I119" i="16" a="1"/>
  <c r="I119" i="16" s="1"/>
  <c r="H119" i="16" a="1"/>
  <c r="H119" i="16"/>
  <c r="G119" i="16" a="1"/>
  <c r="G119" i="16" s="1"/>
  <c r="F119" i="16" a="1"/>
  <c r="F119" i="16" s="1"/>
  <c r="D119" i="16" a="1"/>
  <c r="D119" i="16"/>
  <c r="S118" i="16" a="1"/>
  <c r="S118" i="16" s="1"/>
  <c r="J118" i="16" a="1"/>
  <c r="J118" i="16"/>
  <c r="I118" i="16" a="1"/>
  <c r="I118" i="16" s="1"/>
  <c r="H118" i="16" a="1"/>
  <c r="H118" i="16"/>
  <c r="G118" i="16" a="1"/>
  <c r="G118" i="16"/>
  <c r="F118" i="16" a="1"/>
  <c r="F118" i="16" s="1"/>
  <c r="D118" i="16" a="1"/>
  <c r="D118" i="16"/>
  <c r="S117" i="16" a="1"/>
  <c r="S117" i="16" s="1"/>
  <c r="J117" i="16" a="1"/>
  <c r="J117" i="16"/>
  <c r="I117" i="16" a="1"/>
  <c r="I117" i="16"/>
  <c r="H117" i="16" a="1"/>
  <c r="H117" i="16" s="1"/>
  <c r="G117" i="16" a="1"/>
  <c r="G117" i="16" s="1"/>
  <c r="F117" i="16" a="1"/>
  <c r="F117" i="16" s="1"/>
  <c r="D117" i="16" a="1"/>
  <c r="D117" i="16"/>
  <c r="S116" i="16" a="1"/>
  <c r="S116" i="16" s="1"/>
  <c r="J116" i="16" a="1"/>
  <c r="J116" i="16" s="1"/>
  <c r="I116" i="16" a="1"/>
  <c r="I116" i="16" s="1"/>
  <c r="H116" i="16" a="1"/>
  <c r="H116" i="16" s="1"/>
  <c r="G116" i="16" a="1"/>
  <c r="G116" i="16"/>
  <c r="F116" i="16" a="1"/>
  <c r="F116" i="16"/>
  <c r="D116" i="16" a="1"/>
  <c r="D116" i="16" s="1"/>
  <c r="S115" i="16" a="1"/>
  <c r="S115" i="16" s="1"/>
  <c r="J115" i="16" a="1"/>
  <c r="J115" i="16" s="1"/>
  <c r="I115" i="16" a="1"/>
  <c r="I115" i="16"/>
  <c r="H115" i="16" a="1"/>
  <c r="H115" i="16"/>
  <c r="G115" i="16" a="1"/>
  <c r="G115" i="16" s="1"/>
  <c r="F115" i="16" a="1"/>
  <c r="F115" i="16"/>
  <c r="D115" i="16" a="1"/>
  <c r="D115" i="16" s="1"/>
  <c r="S114" i="16" a="1"/>
  <c r="S114" i="16"/>
  <c r="J114" i="16" a="1"/>
  <c r="J114" i="16"/>
  <c r="I114" i="16" a="1"/>
  <c r="I114" i="16" s="1"/>
  <c r="H114" i="16" a="1"/>
  <c r="H114" i="16"/>
  <c r="G114" i="16" a="1"/>
  <c r="G114" i="16"/>
  <c r="F114" i="16" a="1"/>
  <c r="F114" i="16" s="1"/>
  <c r="D114" i="16" a="1"/>
  <c r="D114" i="16" s="1"/>
  <c r="S113" i="16" a="1"/>
  <c r="S113" i="16" s="1"/>
  <c r="J113" i="16" a="1"/>
  <c r="J113" i="16"/>
  <c r="I113" i="16" a="1"/>
  <c r="I113" i="16" s="1"/>
  <c r="H113" i="16" a="1"/>
  <c r="H113" i="16"/>
  <c r="G113" i="16" a="1"/>
  <c r="G113" i="16" s="1"/>
  <c r="F113" i="16" a="1"/>
  <c r="F113" i="16" s="1"/>
  <c r="D113" i="16" a="1"/>
  <c r="D113" i="16"/>
  <c r="S112" i="16" a="1"/>
  <c r="S112" i="16" s="1"/>
  <c r="J112" i="16" a="1"/>
  <c r="J112" i="16" s="1"/>
  <c r="I112" i="16" a="1"/>
  <c r="I112" i="16" s="1"/>
  <c r="H112" i="16" a="1"/>
  <c r="H112" i="16"/>
  <c r="G112" i="16" a="1"/>
  <c r="G112" i="16"/>
  <c r="F112" i="16" a="1"/>
  <c r="F112" i="16"/>
  <c r="D112" i="16" a="1"/>
  <c r="D112" i="16"/>
  <c r="S111" i="16" a="1"/>
  <c r="S111" i="16" s="1"/>
  <c r="J111" i="16" a="1"/>
  <c r="J111" i="16"/>
  <c r="I111" i="16" a="1"/>
  <c r="I111" i="16"/>
  <c r="H111" i="16" a="1"/>
  <c r="H111" i="16"/>
  <c r="G111" i="16" a="1"/>
  <c r="G111" i="16" s="1"/>
  <c r="F111" i="16" a="1"/>
  <c r="F111" i="16"/>
  <c r="D111" i="16" a="1"/>
  <c r="D111" i="16"/>
  <c r="S110" i="16" a="1"/>
  <c r="S110" i="16" s="1"/>
  <c r="J110" i="16" a="1"/>
  <c r="J110" i="16" s="1"/>
  <c r="I110" i="16" a="1"/>
  <c r="I110" i="16" s="1"/>
  <c r="H110" i="16" a="1"/>
  <c r="H110" i="16"/>
  <c r="G110" i="16" a="1"/>
  <c r="G110" i="16" s="1"/>
  <c r="F110" i="16" a="1"/>
  <c r="F110" i="16"/>
  <c r="D110" i="16" a="1"/>
  <c r="D110" i="16"/>
  <c r="S109" i="16" a="1"/>
  <c r="S109" i="16"/>
  <c r="J109" i="16" a="1"/>
  <c r="J109" i="16" s="1"/>
  <c r="I109" i="16" a="1"/>
  <c r="I109" i="16" s="1"/>
  <c r="H109" i="16" a="1"/>
  <c r="H109" i="16"/>
  <c r="G109" i="16" a="1"/>
  <c r="G109" i="16" s="1"/>
  <c r="F109" i="16" a="1"/>
  <c r="F109" i="16"/>
  <c r="D109" i="16" a="1"/>
  <c r="D109" i="16" s="1"/>
  <c r="S108" i="16" a="1"/>
  <c r="S108" i="16"/>
  <c r="J108" i="16" a="1"/>
  <c r="J108" i="16" s="1"/>
  <c r="I108" i="16" a="1"/>
  <c r="I108" i="16" s="1"/>
  <c r="H108" i="16" a="1"/>
  <c r="H108" i="16"/>
  <c r="G108" i="16" a="1"/>
  <c r="G108" i="16" s="1"/>
  <c r="F108" i="16" a="1"/>
  <c r="F108" i="16"/>
  <c r="D108" i="16" a="1"/>
  <c r="D108" i="16"/>
  <c r="S107" i="16" a="1"/>
  <c r="S107" i="16" s="1"/>
  <c r="J107" i="16" a="1"/>
  <c r="J107" i="16"/>
  <c r="I107" i="16" a="1"/>
  <c r="I107" i="16" s="1"/>
  <c r="H107" i="16" a="1"/>
  <c r="H107" i="16"/>
  <c r="G107" i="16" a="1"/>
  <c r="G107" i="16"/>
  <c r="F107" i="16" a="1"/>
  <c r="F107" i="16"/>
  <c r="D107" i="16" a="1"/>
  <c r="D107" i="16" s="1"/>
  <c r="S106" i="16" a="1"/>
  <c r="S106" i="16" s="1"/>
  <c r="J106" i="16" a="1"/>
  <c r="J106" i="16"/>
  <c r="I106" i="16" a="1"/>
  <c r="I106" i="16" s="1"/>
  <c r="H106" i="16" a="1"/>
  <c r="H106" i="16"/>
  <c r="G106" i="16" a="1"/>
  <c r="G106" i="16" s="1"/>
  <c r="F106" i="16" a="1"/>
  <c r="F106" i="16" s="1"/>
  <c r="D106" i="16" a="1"/>
  <c r="D106" i="16"/>
  <c r="S105" i="16" a="1"/>
  <c r="S105" i="16" s="1"/>
  <c r="J105" i="16" a="1"/>
  <c r="J105" i="16" s="1"/>
  <c r="I105" i="16" a="1"/>
  <c r="I105" i="16" s="1"/>
  <c r="H105" i="16" a="1"/>
  <c r="H105" i="16"/>
  <c r="G105" i="16" a="1"/>
  <c r="G105" i="16"/>
  <c r="F105" i="16" a="1"/>
  <c r="F105" i="16"/>
  <c r="D105" i="16" a="1"/>
  <c r="D105" i="16"/>
  <c r="S104" i="16" a="1"/>
  <c r="S104" i="16" s="1"/>
  <c r="J104" i="16" a="1"/>
  <c r="J104" i="16" s="1"/>
  <c r="I104" i="16" a="1"/>
  <c r="I104" i="16"/>
  <c r="H104" i="16" a="1"/>
  <c r="H104" i="16"/>
  <c r="G104" i="16" a="1"/>
  <c r="G104" i="16" s="1"/>
  <c r="F104" i="16" a="1"/>
  <c r="F104" i="16"/>
  <c r="D104" i="16" a="1"/>
  <c r="D104" i="16"/>
  <c r="S103" i="16" a="1"/>
  <c r="S103" i="16" s="1"/>
  <c r="J103" i="16" a="1"/>
  <c r="J103" i="16" s="1"/>
  <c r="I103" i="16" a="1"/>
  <c r="I103" i="16" s="1"/>
  <c r="H103" i="16" a="1"/>
  <c r="H103" i="16"/>
  <c r="G103" i="16" a="1"/>
  <c r="G103" i="16" s="1"/>
  <c r="F103" i="16" a="1"/>
  <c r="F103" i="16" s="1"/>
  <c r="D103" i="16" a="1"/>
  <c r="D103" i="16"/>
  <c r="S102" i="16" a="1"/>
  <c r="S102" i="16"/>
  <c r="J102" i="16" a="1"/>
  <c r="J102" i="16" s="1"/>
  <c r="I102" i="16" a="1"/>
  <c r="I102" i="16"/>
  <c r="H102" i="16" a="1"/>
  <c r="H102" i="16"/>
  <c r="G102" i="16" a="1"/>
  <c r="G102" i="16" s="1"/>
  <c r="F102" i="16" a="1"/>
  <c r="F102" i="16" s="1"/>
  <c r="D102" i="16" a="1"/>
  <c r="D102" i="16"/>
  <c r="S101" i="16" a="1"/>
  <c r="S101" i="16"/>
  <c r="J101" i="16" a="1"/>
  <c r="J101" i="16"/>
  <c r="I101" i="16" a="1"/>
  <c r="I101" i="16" s="1"/>
  <c r="H101" i="16" a="1"/>
  <c r="H101" i="16"/>
  <c r="G101" i="16" a="1"/>
  <c r="G101" i="16"/>
  <c r="F101" i="16" a="1"/>
  <c r="F101" i="16" s="1"/>
  <c r="D101" i="16" a="1"/>
  <c r="D101" i="16"/>
  <c r="S100" i="16" a="1"/>
  <c r="S100" i="16" s="1"/>
  <c r="J100" i="16" a="1"/>
  <c r="J100" i="16"/>
  <c r="I100" i="16" a="1"/>
  <c r="I100" i="16"/>
  <c r="H100" i="16" a="1"/>
  <c r="H100" i="16" s="1"/>
  <c r="G100" i="16" a="1"/>
  <c r="G100" i="16" s="1"/>
  <c r="F100" i="16" a="1"/>
  <c r="F100" i="16" s="1"/>
  <c r="D100" i="16" a="1"/>
  <c r="D100" i="16"/>
  <c r="S99" i="16" a="1"/>
  <c r="S99" i="16" s="1"/>
  <c r="J99" i="16" a="1"/>
  <c r="J99" i="16" s="1"/>
  <c r="I99" i="16" a="1"/>
  <c r="I99" i="16" s="1"/>
  <c r="H99" i="16" a="1"/>
  <c r="H99" i="16" s="1"/>
  <c r="G99" i="16" a="1"/>
  <c r="G99" i="16" s="1"/>
  <c r="F99" i="16" a="1"/>
  <c r="F99" i="16"/>
  <c r="D99" i="16" a="1"/>
  <c r="D99" i="16"/>
  <c r="S98" i="16" a="1"/>
  <c r="S98" i="16" s="1"/>
  <c r="J98" i="16" a="1"/>
  <c r="J98" i="16"/>
  <c r="I98" i="16" a="1"/>
  <c r="I98" i="16"/>
  <c r="H98" i="16" a="1"/>
  <c r="H98" i="16"/>
  <c r="G98" i="16" a="1"/>
  <c r="G98" i="16" s="1"/>
  <c r="F98" i="16" a="1"/>
  <c r="F98" i="16"/>
  <c r="D98" i="16" a="1"/>
  <c r="D98" i="16" s="1"/>
  <c r="S97" i="16" a="1"/>
  <c r="S97" i="16" s="1"/>
  <c r="J97" i="16" a="1"/>
  <c r="J97" i="16"/>
  <c r="I97" i="16" a="1"/>
  <c r="I97" i="16" s="1"/>
  <c r="H97" i="16" a="1"/>
  <c r="H97" i="16"/>
  <c r="G97" i="16" a="1"/>
  <c r="G97" i="16" s="1"/>
  <c r="F97" i="16" a="1"/>
  <c r="F97" i="16"/>
  <c r="D97" i="16" a="1"/>
  <c r="D97" i="16" s="1"/>
  <c r="S96" i="16" a="1"/>
  <c r="S96" i="16" s="1"/>
  <c r="J96" i="16" a="1"/>
  <c r="J96" i="16"/>
  <c r="I96" i="16" a="1"/>
  <c r="I96" i="16" s="1"/>
  <c r="H96" i="16" a="1"/>
  <c r="H96" i="16" s="1"/>
  <c r="G96" i="16" a="1"/>
  <c r="G96" i="16" s="1"/>
  <c r="F96" i="16" a="1"/>
  <c r="F96" i="16" s="1"/>
  <c r="D96" i="16" a="1"/>
  <c r="D96" i="16"/>
  <c r="S95" i="16" a="1"/>
  <c r="S95" i="16"/>
  <c r="J95" i="16" a="1"/>
  <c r="J95" i="16"/>
  <c r="I95" i="16" a="1"/>
  <c r="I95" i="16" s="1"/>
  <c r="H95" i="16" a="1"/>
  <c r="H95" i="16" s="1"/>
  <c r="G95" i="16" a="1"/>
  <c r="G95" i="16"/>
  <c r="F95" i="16" a="1"/>
  <c r="F95" i="16"/>
  <c r="D95" i="16" a="1"/>
  <c r="D95" i="16"/>
  <c r="S94" i="16" a="1"/>
  <c r="S94" i="16" s="1"/>
  <c r="J94" i="16" a="1"/>
  <c r="J94" i="16"/>
  <c r="I94" i="16" a="1"/>
  <c r="I94" i="16"/>
  <c r="H94" i="16" a="1"/>
  <c r="H94" i="16" s="1"/>
  <c r="G94" i="16" a="1"/>
  <c r="G94" i="16" s="1"/>
  <c r="F94" i="16" a="1"/>
  <c r="F94" i="16"/>
  <c r="D94" i="16" a="1"/>
  <c r="D94" i="16" s="1"/>
  <c r="S93" i="16" a="1"/>
  <c r="S93" i="16" s="1"/>
  <c r="J93" i="16" a="1"/>
  <c r="J93" i="16" s="1"/>
  <c r="I93" i="16" a="1"/>
  <c r="I93" i="16" s="1"/>
  <c r="H93" i="16" a="1"/>
  <c r="H93" i="16" s="1"/>
  <c r="G93" i="16" a="1"/>
  <c r="G93" i="16"/>
  <c r="F93" i="16" a="1"/>
  <c r="F93" i="16"/>
  <c r="D93" i="16" a="1"/>
  <c r="D93" i="16" s="1"/>
  <c r="S92" i="16" a="1"/>
  <c r="S92" i="16"/>
  <c r="J92" i="16" a="1"/>
  <c r="J92" i="16" s="1"/>
  <c r="I92" i="16" a="1"/>
  <c r="I92" i="16" s="1"/>
  <c r="H92" i="16" a="1"/>
  <c r="H92" i="16"/>
  <c r="G92" i="16" a="1"/>
  <c r="G92" i="16" s="1"/>
  <c r="F92" i="16" a="1"/>
  <c r="F92" i="16"/>
  <c r="D92" i="16" a="1"/>
  <c r="D92" i="16" s="1"/>
  <c r="S91" i="16" a="1"/>
  <c r="S91" i="16"/>
  <c r="J91" i="16" a="1"/>
  <c r="J91" i="16"/>
  <c r="I91" i="16" a="1"/>
  <c r="I91" i="16" s="1"/>
  <c r="H91" i="16" a="1"/>
  <c r="H91" i="16"/>
  <c r="G91" i="16" a="1"/>
  <c r="G91" i="16"/>
  <c r="F91" i="16" a="1"/>
  <c r="F91" i="16" s="1"/>
  <c r="D91" i="16" a="1"/>
  <c r="D91" i="16" s="1"/>
  <c r="S90" i="16" a="1"/>
  <c r="S90" i="16"/>
  <c r="J90" i="16" a="1"/>
  <c r="J90" i="16"/>
  <c r="I90" i="16" a="1"/>
  <c r="I90" i="16" s="1"/>
  <c r="H90" i="16" a="1"/>
  <c r="H90" i="16"/>
  <c r="G90" i="16" a="1"/>
  <c r="G90" i="16" s="1"/>
  <c r="F90" i="16" a="1"/>
  <c r="F90" i="16" s="1"/>
  <c r="D90" i="16" a="1"/>
  <c r="D90" i="16"/>
  <c r="S89" i="16" a="1"/>
  <c r="S89" i="16" s="1"/>
  <c r="J89" i="16" a="1"/>
  <c r="J89" i="16" s="1"/>
  <c r="I89" i="16" a="1"/>
  <c r="I89" i="16" s="1"/>
  <c r="H89" i="16" a="1"/>
  <c r="H89" i="16" s="1"/>
  <c r="G89" i="16" a="1"/>
  <c r="G89" i="16"/>
  <c r="F89" i="16" a="1"/>
  <c r="F89" i="16"/>
  <c r="D89" i="16" a="1"/>
  <c r="D89" i="16"/>
  <c r="S88" i="16" a="1"/>
  <c r="S88" i="16" s="1"/>
  <c r="J88" i="16" a="1"/>
  <c r="J88" i="16" s="1"/>
  <c r="I88" i="16" a="1"/>
  <c r="I88" i="16"/>
  <c r="H88" i="16" a="1"/>
  <c r="H88" i="16"/>
  <c r="G88" i="16" a="1"/>
  <c r="G88" i="16" s="1"/>
  <c r="F88" i="16" a="1"/>
  <c r="F88" i="16"/>
  <c r="D88" i="16" a="1"/>
  <c r="D88" i="16" s="1"/>
  <c r="S87" i="16" a="1"/>
  <c r="S87" i="16" s="1"/>
  <c r="J87" i="16" a="1"/>
  <c r="J87" i="16" s="1"/>
  <c r="I87" i="16" a="1"/>
  <c r="I87" i="16" s="1"/>
  <c r="H87" i="16" a="1"/>
  <c r="H87" i="16"/>
  <c r="G87" i="16" a="1"/>
  <c r="G87" i="16" s="1"/>
  <c r="F87" i="16" a="1"/>
  <c r="F87" i="16" s="1"/>
  <c r="D87" i="16" a="1"/>
  <c r="D87" i="16"/>
  <c r="S86" i="16" a="1"/>
  <c r="S86" i="16" s="1"/>
  <c r="J86" i="16" a="1"/>
  <c r="J86" i="16" s="1"/>
  <c r="I86" i="16" a="1"/>
  <c r="I86" i="16"/>
  <c r="H86" i="16" a="1"/>
  <c r="H86" i="16"/>
  <c r="G86" i="16" a="1"/>
  <c r="G86" i="16" s="1"/>
  <c r="F86" i="16" a="1"/>
  <c r="F86" i="16" s="1"/>
  <c r="D86" i="16" a="1"/>
  <c r="D86" i="16"/>
  <c r="S85" i="16" a="1"/>
  <c r="S85" i="16"/>
  <c r="J85" i="16" a="1"/>
  <c r="J85" i="16"/>
  <c r="I85" i="16" a="1"/>
  <c r="I85" i="16" s="1"/>
  <c r="H85" i="16" a="1"/>
  <c r="H85" i="16"/>
  <c r="G85" i="16" a="1"/>
  <c r="G85" i="16"/>
  <c r="F85" i="16" a="1"/>
  <c r="F85" i="16" s="1"/>
  <c r="D85" i="16" a="1"/>
  <c r="D85" i="16"/>
  <c r="S84" i="16" a="1"/>
  <c r="S84" i="16" s="1"/>
  <c r="J84" i="16" a="1"/>
  <c r="J84" i="16"/>
  <c r="I84" i="16" a="1"/>
  <c r="I84" i="16"/>
  <c r="H84" i="16" a="1"/>
  <c r="H84" i="16" s="1"/>
  <c r="G84" i="16" a="1"/>
  <c r="G84" i="16" s="1"/>
  <c r="F84" i="16" a="1"/>
  <c r="F84" i="16" s="1"/>
  <c r="D84" i="16" a="1"/>
  <c r="D84" i="16"/>
  <c r="S83" i="16" a="1"/>
  <c r="S83" i="16" s="1"/>
  <c r="J83" i="16" a="1"/>
  <c r="J83" i="16" s="1"/>
  <c r="I83" i="16" a="1"/>
  <c r="I83" i="16" s="1"/>
  <c r="H83" i="16" a="1"/>
  <c r="H83" i="16" s="1"/>
  <c r="G83" i="16" a="1"/>
  <c r="G83" i="16" s="1"/>
  <c r="F83" i="16" a="1"/>
  <c r="F83" i="16"/>
  <c r="D83" i="16" a="1"/>
  <c r="D83" i="16"/>
  <c r="S82" i="16" a="1"/>
  <c r="S82" i="16" s="1"/>
  <c r="J82" i="16" a="1"/>
  <c r="J82" i="16"/>
  <c r="I82" i="16" a="1"/>
  <c r="I82" i="16"/>
  <c r="H82" i="16" a="1"/>
  <c r="H82" i="16"/>
  <c r="G82" i="16" a="1"/>
  <c r="G82" i="16" s="1"/>
  <c r="F82" i="16" a="1"/>
  <c r="F82" i="16"/>
  <c r="D82" i="16" a="1"/>
  <c r="D82" i="16" s="1"/>
  <c r="S81" i="16" a="1"/>
  <c r="S81" i="16" s="1"/>
  <c r="J81" i="16" a="1"/>
  <c r="J81" i="16"/>
  <c r="I81" i="16" a="1"/>
  <c r="I81" i="16" s="1"/>
  <c r="H81" i="16" a="1"/>
  <c r="H81" i="16"/>
  <c r="G81" i="16" a="1"/>
  <c r="G81" i="16" s="1"/>
  <c r="F81" i="16" a="1"/>
  <c r="F81" i="16" s="1"/>
  <c r="D81" i="16" a="1"/>
  <c r="D81" i="16" s="1"/>
  <c r="S80" i="16" a="1"/>
  <c r="S80" i="16" s="1"/>
  <c r="J80" i="16" a="1"/>
  <c r="J80" i="16"/>
  <c r="I80" i="16" a="1"/>
  <c r="I80" i="16" s="1"/>
  <c r="H80" i="16" a="1"/>
  <c r="H80" i="16" s="1"/>
  <c r="G80" i="16" a="1"/>
  <c r="G80" i="16" s="1"/>
  <c r="F80" i="16" a="1"/>
  <c r="F80" i="16" s="1"/>
  <c r="D80" i="16" a="1"/>
  <c r="D80" i="16"/>
  <c r="S79" i="16" a="1"/>
  <c r="S79" i="16"/>
  <c r="J79" i="16" a="1"/>
  <c r="J79" i="16"/>
  <c r="I79" i="16" a="1"/>
  <c r="I79" i="16" s="1"/>
  <c r="H79" i="16" a="1"/>
  <c r="H79" i="16" s="1"/>
  <c r="G79" i="16" a="1"/>
  <c r="G79" i="16"/>
  <c r="F79" i="16" a="1"/>
  <c r="F79" i="16"/>
  <c r="D79" i="16" a="1"/>
  <c r="D79" i="16"/>
  <c r="S78" i="16" a="1"/>
  <c r="S78" i="16" s="1"/>
  <c r="J78" i="16" a="1"/>
  <c r="J78" i="16"/>
  <c r="I78" i="16" a="1"/>
  <c r="I78" i="16"/>
  <c r="H78" i="16" a="1"/>
  <c r="H78" i="16" s="1"/>
  <c r="G78" i="16" a="1"/>
  <c r="G78" i="16" s="1"/>
  <c r="F78" i="16" a="1"/>
  <c r="F78" i="16"/>
  <c r="D78" i="16" a="1"/>
  <c r="D78" i="16" s="1"/>
  <c r="S77" i="16" a="1"/>
  <c r="S77" i="16"/>
  <c r="J77" i="16" a="1"/>
  <c r="J77" i="16" s="1"/>
  <c r="I77" i="16" a="1"/>
  <c r="I77" i="16" s="1"/>
  <c r="H77" i="16" a="1"/>
  <c r="H77" i="16" s="1"/>
  <c r="G77" i="16" a="1"/>
  <c r="G77" i="16"/>
  <c r="F77" i="16" a="1"/>
  <c r="F77" i="16"/>
  <c r="D77" i="16" a="1"/>
  <c r="D77" i="16" s="1"/>
  <c r="S76" i="16" a="1"/>
  <c r="S76" i="16"/>
  <c r="J76" i="16" a="1"/>
  <c r="J76" i="16" s="1"/>
  <c r="I76" i="16" a="1"/>
  <c r="I76" i="16" s="1"/>
  <c r="H76" i="16" a="1"/>
  <c r="H76" i="16"/>
  <c r="G76" i="16" a="1"/>
  <c r="G76" i="16" s="1"/>
  <c r="F76" i="16" a="1"/>
  <c r="F76" i="16"/>
  <c r="D76" i="16" a="1"/>
  <c r="D76" i="16" s="1"/>
  <c r="S75" i="16" a="1"/>
  <c r="S75" i="16"/>
  <c r="J75" i="16" a="1"/>
  <c r="J75" i="16"/>
  <c r="I75" i="16" a="1"/>
  <c r="I75" i="16" s="1"/>
  <c r="H75" i="16" a="1"/>
  <c r="H75" i="16"/>
  <c r="G75" i="16" a="1"/>
  <c r="G75" i="16"/>
  <c r="F75" i="16" a="1"/>
  <c r="F75" i="16" s="1"/>
  <c r="D75" i="16" a="1"/>
  <c r="D75" i="16" s="1"/>
  <c r="S74" i="16" a="1"/>
  <c r="S74" i="16"/>
  <c r="J74" i="16" a="1"/>
  <c r="J74" i="16"/>
  <c r="I74" i="16" a="1"/>
  <c r="I74" i="16" s="1"/>
  <c r="H74" i="16" a="1"/>
  <c r="H74" i="16"/>
  <c r="G74" i="16" a="1"/>
  <c r="G74" i="16" s="1"/>
  <c r="F74" i="16" a="1"/>
  <c r="F74" i="16" s="1"/>
  <c r="D74" i="16" a="1"/>
  <c r="D74" i="16"/>
  <c r="S73" i="16" a="1"/>
  <c r="S73" i="16" s="1"/>
  <c r="J73" i="16" a="1"/>
  <c r="J73" i="16" s="1"/>
  <c r="I73" i="16" a="1"/>
  <c r="I73" i="16" s="1"/>
  <c r="H73" i="16" a="1"/>
  <c r="H73" i="16"/>
  <c r="G73" i="16" a="1"/>
  <c r="G73" i="16"/>
  <c r="F73" i="16" a="1"/>
  <c r="F73" i="16"/>
  <c r="D73" i="16" a="1"/>
  <c r="D73" i="16"/>
  <c r="S72" i="16" a="1"/>
  <c r="S72" i="16" s="1"/>
  <c r="J72" i="16" a="1"/>
  <c r="J72" i="16" s="1"/>
  <c r="I72" i="16" a="1"/>
  <c r="I72" i="16"/>
  <c r="H72" i="16" a="1"/>
  <c r="H72" i="16"/>
  <c r="G72" i="16" a="1"/>
  <c r="G72" i="16" s="1"/>
  <c r="F72" i="16" a="1"/>
  <c r="F72" i="16"/>
  <c r="D72" i="16" a="1"/>
  <c r="D72" i="16"/>
  <c r="S71" i="16" a="1"/>
  <c r="S71" i="16" s="1"/>
  <c r="J71" i="16" a="1"/>
  <c r="J71" i="16" s="1"/>
  <c r="I71" i="16" a="1"/>
  <c r="I71" i="16" s="1"/>
  <c r="H71" i="16" a="1"/>
  <c r="H71" i="16"/>
  <c r="G71" i="16" a="1"/>
  <c r="G71" i="16" s="1"/>
  <c r="F71" i="16" a="1"/>
  <c r="F71" i="16" s="1"/>
  <c r="D71" i="16" a="1"/>
  <c r="D71" i="16"/>
  <c r="S70" i="16" a="1"/>
  <c r="S70" i="16"/>
  <c r="J70" i="16" a="1"/>
  <c r="J70" i="16" s="1"/>
  <c r="I70" i="16" a="1"/>
  <c r="I70" i="16"/>
  <c r="H70" i="16" a="1"/>
  <c r="H70" i="16"/>
  <c r="G70" i="16" a="1"/>
  <c r="G70" i="16" s="1"/>
  <c r="F70" i="16" a="1"/>
  <c r="F70" i="16" s="1"/>
  <c r="D70" i="16" a="1"/>
  <c r="D70" i="16"/>
  <c r="S69" i="16" a="1"/>
  <c r="S69" i="16" s="1"/>
  <c r="J69" i="16" a="1"/>
  <c r="J69" i="16"/>
  <c r="I69" i="16" a="1"/>
  <c r="I69" i="16" s="1"/>
  <c r="H69" i="16" a="1"/>
  <c r="H69" i="16"/>
  <c r="G69" i="16" a="1"/>
  <c r="G69" i="16"/>
  <c r="F69" i="16" a="1"/>
  <c r="F69" i="16" s="1"/>
  <c r="D69" i="16" a="1"/>
  <c r="D69" i="16"/>
  <c r="S68" i="16" a="1"/>
  <c r="S68" i="16" s="1"/>
  <c r="J68" i="16" a="1"/>
  <c r="J68" i="16"/>
  <c r="I68" i="16" a="1"/>
  <c r="I68" i="16"/>
  <c r="H68" i="16" a="1"/>
  <c r="H68" i="16" s="1"/>
  <c r="G68" i="16" a="1"/>
  <c r="G68" i="16" s="1"/>
  <c r="F68" i="16" a="1"/>
  <c r="F68" i="16" s="1"/>
  <c r="D68" i="16" a="1"/>
  <c r="D68" i="16"/>
  <c r="S67" i="16" a="1"/>
  <c r="S67" i="16" s="1"/>
  <c r="J67" i="16" a="1"/>
  <c r="J67" i="16" s="1"/>
  <c r="I67" i="16" a="1"/>
  <c r="I67" i="16" s="1"/>
  <c r="H67" i="16" a="1"/>
  <c r="H67" i="16" s="1"/>
  <c r="G67" i="16" a="1"/>
  <c r="G67" i="16" s="1"/>
  <c r="F67" i="16" a="1"/>
  <c r="F67" i="16"/>
  <c r="D67" i="16" a="1"/>
  <c r="D67" i="16"/>
  <c r="S66" i="16" a="1"/>
  <c r="S66" i="16" s="1"/>
  <c r="J66" i="16" a="1"/>
  <c r="J66" i="16"/>
  <c r="I66" i="16" a="1"/>
  <c r="I66" i="16"/>
  <c r="H66" i="16" a="1"/>
  <c r="H66" i="16"/>
  <c r="G66" i="16" a="1"/>
  <c r="G66" i="16" s="1"/>
  <c r="F66" i="16" a="1"/>
  <c r="F66" i="16"/>
  <c r="D66" i="16" a="1"/>
  <c r="D66" i="16" s="1"/>
  <c r="S65" i="16" a="1"/>
  <c r="S65" i="16" s="1"/>
  <c r="J65" i="16" a="1"/>
  <c r="J65" i="16"/>
  <c r="I65" i="16" a="1"/>
  <c r="I65" i="16" s="1"/>
  <c r="H65" i="16" a="1"/>
  <c r="H65" i="16"/>
  <c r="G65" i="16" a="1"/>
  <c r="G65" i="16" s="1"/>
  <c r="F65" i="16" a="1"/>
  <c r="F65" i="16"/>
  <c r="D65" i="16" a="1"/>
  <c r="D65" i="16" s="1"/>
  <c r="S64" i="16" a="1"/>
  <c r="S64" i="16" s="1"/>
  <c r="J64" i="16" a="1"/>
  <c r="J64" i="16"/>
  <c r="I64" i="16" a="1"/>
  <c r="I64" i="16" s="1"/>
  <c r="H64" i="16" a="1"/>
  <c r="H64" i="16" s="1"/>
  <c r="G64" i="16" a="1"/>
  <c r="G64" i="16" s="1"/>
  <c r="F64" i="16" a="1"/>
  <c r="F64" i="16" s="1"/>
  <c r="D64" i="16" a="1"/>
  <c r="D64" i="16"/>
  <c r="S63" i="16" a="1"/>
  <c r="S63" i="16"/>
  <c r="J63" i="16" a="1"/>
  <c r="J63" i="16"/>
  <c r="I63" i="16" a="1"/>
  <c r="I63" i="16" s="1"/>
  <c r="H63" i="16" a="1"/>
  <c r="H63" i="16" s="1"/>
  <c r="G63" i="16" a="1"/>
  <c r="G63" i="16"/>
  <c r="F63" i="16" a="1"/>
  <c r="F63" i="16"/>
  <c r="D63" i="16" a="1"/>
  <c r="D63" i="16"/>
  <c r="S62" i="16" a="1"/>
  <c r="S62" i="16" s="1"/>
  <c r="J62" i="16" a="1"/>
  <c r="J62" i="16"/>
  <c r="I62" i="16" a="1"/>
  <c r="I62" i="16"/>
  <c r="H62" i="16" a="1"/>
  <c r="H62" i="16" s="1"/>
  <c r="G62" i="16" a="1"/>
  <c r="G62" i="16" s="1"/>
  <c r="F62" i="16" a="1"/>
  <c r="F62" i="16"/>
  <c r="D62" i="16" a="1"/>
  <c r="D62" i="16" s="1"/>
  <c r="S61" i="16" a="1"/>
  <c r="S61" i="16" s="1"/>
  <c r="J61" i="16" a="1"/>
  <c r="J61" i="16" s="1"/>
  <c r="I61" i="16" a="1"/>
  <c r="I61" i="16" s="1"/>
  <c r="H61" i="16" a="1"/>
  <c r="H61" i="16" s="1"/>
  <c r="G61" i="16" a="1"/>
  <c r="G61" i="16"/>
  <c r="F61" i="16" a="1"/>
  <c r="F61" i="16"/>
  <c r="D61" i="16" a="1"/>
  <c r="D61" i="16" s="1"/>
  <c r="S60" i="16" a="1"/>
  <c r="S60" i="16"/>
  <c r="J60" i="16" a="1"/>
  <c r="J60" i="16" s="1"/>
  <c r="I60" i="16" a="1"/>
  <c r="I60" i="16" s="1"/>
  <c r="H60" i="16" a="1"/>
  <c r="H60" i="16"/>
  <c r="G60" i="16" a="1"/>
  <c r="G60" i="16" s="1"/>
  <c r="F60" i="16" a="1"/>
  <c r="F60" i="16"/>
  <c r="D60" i="16" a="1"/>
  <c r="D60" i="16" s="1"/>
  <c r="S59" i="16" a="1"/>
  <c r="S59" i="16" s="1"/>
  <c r="J59" i="16" a="1"/>
  <c r="J59" i="16"/>
  <c r="I59" i="16" a="1"/>
  <c r="I59" i="16" s="1"/>
  <c r="H59" i="16" a="1"/>
  <c r="H59" i="16"/>
  <c r="G59" i="16" a="1"/>
  <c r="G59" i="16"/>
  <c r="F59" i="16" a="1"/>
  <c r="F59" i="16" s="1"/>
  <c r="D59" i="16" a="1"/>
  <c r="D59" i="16" s="1"/>
  <c r="S58" i="16" a="1"/>
  <c r="S58" i="16" s="1"/>
  <c r="J58" i="16" a="1"/>
  <c r="J58" i="16"/>
  <c r="I58" i="16" a="1"/>
  <c r="I58" i="16" s="1"/>
  <c r="H58" i="16" a="1"/>
  <c r="H58" i="16"/>
  <c r="G58" i="16" a="1"/>
  <c r="G58" i="16" s="1"/>
  <c r="F58" i="16" a="1"/>
  <c r="F58" i="16" s="1"/>
  <c r="D58" i="16" a="1"/>
  <c r="D58" i="16"/>
  <c r="S57" i="16" a="1"/>
  <c r="S57" i="16" s="1"/>
  <c r="J57" i="16" a="1"/>
  <c r="J57" i="16" s="1"/>
  <c r="I57" i="16" a="1"/>
  <c r="I57" i="16" s="1"/>
  <c r="H57" i="16" a="1"/>
  <c r="H57" i="16"/>
  <c r="G57" i="16" a="1"/>
  <c r="G57" i="16" s="1"/>
  <c r="F57" i="16" a="1"/>
  <c r="F57" i="16"/>
  <c r="D57" i="16" a="1"/>
  <c r="D57" i="16"/>
  <c r="S56" i="16" a="1"/>
  <c r="S56" i="16" s="1"/>
  <c r="J56" i="16" a="1"/>
  <c r="J56" i="16" s="1"/>
  <c r="I56" i="16" a="1"/>
  <c r="I56" i="16"/>
  <c r="H56" i="16" a="1"/>
  <c r="H56" i="16"/>
  <c r="G56" i="16" a="1"/>
  <c r="G56" i="16" s="1"/>
  <c r="F56" i="16" a="1"/>
  <c r="F56" i="16"/>
  <c r="D56" i="16" a="1"/>
  <c r="D56" i="16"/>
  <c r="S55" i="16" a="1"/>
  <c r="S55" i="16" s="1"/>
  <c r="J55" i="16" a="1"/>
  <c r="J55" i="16" s="1"/>
  <c r="I55" i="16" a="1"/>
  <c r="I55" i="16" s="1"/>
  <c r="H55" i="16" a="1"/>
  <c r="H55" i="16"/>
  <c r="G55" i="16" a="1"/>
  <c r="G55" i="16" s="1"/>
  <c r="F55" i="16" a="1"/>
  <c r="F55" i="16" s="1"/>
  <c r="D55" i="16" a="1"/>
  <c r="D55" i="16"/>
  <c r="S54" i="16" a="1"/>
  <c r="S54" i="16"/>
  <c r="J54" i="16" a="1"/>
  <c r="J54" i="16" s="1"/>
  <c r="I54" i="16" a="1"/>
  <c r="I54" i="16"/>
  <c r="H54" i="16" a="1"/>
  <c r="H54" i="16"/>
  <c r="G54" i="16" a="1"/>
  <c r="G54" i="16" s="1"/>
  <c r="F54" i="16" a="1"/>
  <c r="F54" i="16" s="1"/>
  <c r="D54" i="16" a="1"/>
  <c r="D54" i="16"/>
  <c r="S53" i="16" a="1"/>
  <c r="S53" i="16"/>
  <c r="J53" i="16" a="1"/>
  <c r="J53" i="16" s="1"/>
  <c r="I53" i="16" a="1"/>
  <c r="I53" i="16" s="1"/>
  <c r="H53" i="16" a="1"/>
  <c r="H53" i="16" s="1"/>
  <c r="G53" i="16" a="1"/>
  <c r="G53" i="16" s="1"/>
  <c r="F53" i="16" a="1"/>
  <c r="F53" i="16" s="1"/>
  <c r="D53" i="16" a="1"/>
  <c r="D53" i="16"/>
  <c r="S52" i="16" a="1"/>
  <c r="S52" i="16" s="1"/>
  <c r="J52" i="16" a="1"/>
  <c r="J52" i="16" s="1"/>
  <c r="I52" i="16" a="1"/>
  <c r="I52" i="16"/>
  <c r="H52" i="16" a="1"/>
  <c r="H52" i="16"/>
  <c r="G52" i="16" a="1"/>
  <c r="G52" i="16" s="1"/>
  <c r="F52" i="16" a="1"/>
  <c r="F52" i="16" s="1"/>
  <c r="D52" i="16" a="1"/>
  <c r="D52" i="16"/>
  <c r="S51" i="16" a="1"/>
  <c r="S51" i="16" s="1"/>
  <c r="J51" i="16" a="1"/>
  <c r="J51" i="16"/>
  <c r="I51" i="16" a="1"/>
  <c r="I51" i="16" s="1"/>
  <c r="H51" i="16" a="1"/>
  <c r="H51" i="16"/>
  <c r="G51" i="16" a="1"/>
  <c r="G51" i="16"/>
  <c r="F51" i="16" a="1"/>
  <c r="F51" i="16" s="1"/>
  <c r="D51" i="16" a="1"/>
  <c r="D51" i="16" s="1"/>
  <c r="S50" i="16" a="1"/>
  <c r="S50" i="16" s="1"/>
  <c r="J50" i="16" a="1"/>
  <c r="J50" i="16"/>
  <c r="I50" i="16" a="1"/>
  <c r="I50" i="16"/>
  <c r="H50" i="16" a="1"/>
  <c r="H50" i="16" s="1"/>
  <c r="G50" i="16" a="1"/>
  <c r="G50" i="16" s="1"/>
  <c r="F50" i="16" a="1"/>
  <c r="F50" i="16" s="1"/>
  <c r="D50" i="16" a="1"/>
  <c r="D50" i="16"/>
  <c r="S49" i="16" a="1"/>
  <c r="S49" i="16" s="1"/>
  <c r="J49" i="16" a="1"/>
  <c r="J49" i="16"/>
  <c r="I49" i="16" a="1"/>
  <c r="I49" i="16" s="1"/>
  <c r="H49" i="16" a="1"/>
  <c r="H49" i="16"/>
  <c r="G49" i="16" a="1"/>
  <c r="G49" i="16" s="1"/>
  <c r="F49" i="16" a="1"/>
  <c r="F49" i="16"/>
  <c r="D49" i="16" a="1"/>
  <c r="D49" i="16"/>
  <c r="S48" i="16" a="1"/>
  <c r="S48" i="16" s="1"/>
  <c r="J48" i="16" a="1"/>
  <c r="J48" i="16"/>
  <c r="I48" i="16" a="1"/>
  <c r="I48" i="16"/>
  <c r="H48" i="16" a="1"/>
  <c r="H48" i="16"/>
  <c r="G48" i="16" a="1"/>
  <c r="G48" i="16" s="1"/>
  <c r="F48" i="16" a="1"/>
  <c r="F48" i="16"/>
  <c r="D48" i="16" a="1"/>
  <c r="D48" i="16" s="1"/>
  <c r="S47" i="16" a="1"/>
  <c r="S47" i="16" s="1"/>
  <c r="J47" i="16" a="1"/>
  <c r="J47" i="16" s="1"/>
  <c r="I47" i="16" a="1"/>
  <c r="I47" i="16" s="1"/>
  <c r="H47" i="16" a="1"/>
  <c r="H47" i="16"/>
  <c r="G47" i="16" a="1"/>
  <c r="G47" i="16"/>
  <c r="F47" i="16" a="1"/>
  <c r="F47" i="16" s="1"/>
  <c r="D47" i="16" a="1"/>
  <c r="D47" i="16" s="1"/>
  <c r="S46" i="16" a="1"/>
  <c r="S46" i="16" s="1"/>
  <c r="J46" i="16" a="1"/>
  <c r="J46" i="16" s="1"/>
  <c r="I46" i="16" a="1"/>
  <c r="I46" i="16" s="1"/>
  <c r="H46" i="16" a="1"/>
  <c r="H46" i="16" s="1"/>
  <c r="G46" i="16" a="1"/>
  <c r="G46" i="16" s="1"/>
  <c r="F46" i="16" a="1"/>
  <c r="F46" i="16" s="1"/>
  <c r="D46" i="16" a="1"/>
  <c r="D46" i="16"/>
  <c r="S45" i="16" a="1"/>
  <c r="S45" i="16"/>
  <c r="J45" i="16" a="1"/>
  <c r="J45" i="16"/>
  <c r="I45" i="16" a="1"/>
  <c r="I45" i="16" s="1"/>
  <c r="H45" i="16" a="1"/>
  <c r="H45" i="16" s="1"/>
  <c r="G45" i="16" a="1"/>
  <c r="G45" i="16"/>
  <c r="F45" i="16" a="1"/>
  <c r="F45" i="16" s="1"/>
  <c r="D45" i="16" a="1"/>
  <c r="D45" i="16"/>
  <c r="S44" i="16" a="1"/>
  <c r="S44" i="16" s="1"/>
  <c r="J44" i="16" a="1"/>
  <c r="J44" i="16"/>
  <c r="I44" i="16" a="1"/>
  <c r="I44" i="16"/>
  <c r="H44" i="16" a="1"/>
  <c r="H44" i="16"/>
  <c r="G44" i="16" a="1"/>
  <c r="G44" i="16" s="1"/>
  <c r="F44" i="16" a="1"/>
  <c r="F44" i="16" s="1"/>
  <c r="D44" i="16" a="1"/>
  <c r="D44" i="16" s="1"/>
  <c r="S43" i="16" a="1"/>
  <c r="S43" i="16" s="1"/>
  <c r="K43" i="16" a="1"/>
  <c r="K43" i="16" s="1"/>
  <c r="D8" i="21" s="1"/>
  <c r="J43" i="16" a="1"/>
  <c r="J43" i="16" s="1"/>
  <c r="I43" i="16" a="1"/>
  <c r="I43" i="16" s="1"/>
  <c r="H43" i="16" a="1"/>
  <c r="H43" i="16"/>
  <c r="G43" i="16" a="1"/>
  <c r="G43" i="16" s="1"/>
  <c r="F43" i="16" a="1"/>
  <c r="F43" i="16"/>
  <c r="E43" i="16" a="1"/>
  <c r="E43" i="16" s="1"/>
  <c r="D43" i="16" a="1"/>
  <c r="D43" i="16" s="1"/>
  <c r="S42" i="16" a="1"/>
  <c r="S42" i="16" s="1"/>
  <c r="J42" i="16" a="1"/>
  <c r="J42" i="16" s="1"/>
  <c r="I42" i="16" a="1"/>
  <c r="I42" i="16" s="1"/>
  <c r="H42" i="16" a="1"/>
  <c r="H42" i="16"/>
  <c r="G42" i="16" a="1"/>
  <c r="G42" i="16" s="1"/>
  <c r="F42" i="16" a="1"/>
  <c r="F42" i="16"/>
  <c r="D42" i="16" a="1"/>
  <c r="D42" i="16"/>
  <c r="S41" i="16" a="1"/>
  <c r="S41" i="16" s="1"/>
  <c r="J41" i="16" a="1"/>
  <c r="J41" i="16"/>
  <c r="I41" i="16" a="1"/>
  <c r="I41" i="16" s="1"/>
  <c r="H41" i="16" a="1"/>
  <c r="H41" i="16"/>
  <c r="G41" i="16" a="1"/>
  <c r="G41" i="16"/>
  <c r="F41" i="16" a="1"/>
  <c r="F41" i="16" s="1"/>
  <c r="D41" i="16" a="1"/>
  <c r="D41" i="16"/>
  <c r="S40" i="16" a="1"/>
  <c r="S40" i="16"/>
  <c r="J40" i="16" a="1"/>
  <c r="J40" i="16"/>
  <c r="I40" i="16" a="1"/>
  <c r="I40" i="16"/>
  <c r="H40" i="16" a="1"/>
  <c r="H40" i="16" s="1"/>
  <c r="G40" i="16" a="1"/>
  <c r="G40" i="16" s="1"/>
  <c r="F40" i="16" a="1"/>
  <c r="F40" i="16" s="1"/>
  <c r="D40" i="16" a="1"/>
  <c r="D40" i="16"/>
  <c r="S39" i="16" a="1"/>
  <c r="S39" i="16"/>
  <c r="J39" i="16" a="1"/>
  <c r="J39" i="16" s="1"/>
  <c r="I39" i="16" a="1"/>
  <c r="I39" i="16" s="1"/>
  <c r="H39" i="16" a="1"/>
  <c r="H39" i="16" s="1"/>
  <c r="G39" i="16" a="1"/>
  <c r="G39" i="16"/>
  <c r="F39" i="16" a="1"/>
  <c r="F39" i="16"/>
  <c r="D39" i="16" a="1"/>
  <c r="D39" i="16"/>
  <c r="S38" i="16" a="1"/>
  <c r="S38" i="16" s="1"/>
  <c r="J38" i="16" a="1"/>
  <c r="J38" i="16" s="1"/>
  <c r="I38" i="16" a="1"/>
  <c r="I38" i="16"/>
  <c r="H38" i="16" a="1"/>
  <c r="H38" i="16"/>
  <c r="G38" i="16" a="1"/>
  <c r="G38" i="16" s="1"/>
  <c r="F38" i="16" a="1"/>
  <c r="F38" i="16"/>
  <c r="D38" i="16" a="1"/>
  <c r="D38" i="16" s="1"/>
  <c r="S37" i="16" a="1"/>
  <c r="S37" i="16" s="1"/>
  <c r="J37" i="16" a="1"/>
  <c r="J37" i="16"/>
  <c r="I37" i="16" a="1"/>
  <c r="I37" i="16" s="1"/>
  <c r="H37" i="16" a="1"/>
  <c r="H37" i="16"/>
  <c r="G37" i="16" a="1"/>
  <c r="G37" i="16" s="1"/>
  <c r="F37" i="16" a="1"/>
  <c r="F37" i="16" s="1"/>
  <c r="D37" i="16" a="1"/>
  <c r="D37" i="16" s="1"/>
  <c r="S36" i="16" a="1"/>
  <c r="S36" i="16" s="1"/>
  <c r="J36" i="16" a="1"/>
  <c r="J36" i="16"/>
  <c r="I36" i="16" a="1"/>
  <c r="I36" i="16" s="1"/>
  <c r="H36" i="16" a="1"/>
  <c r="H36" i="16"/>
  <c r="G36" i="16" a="1"/>
  <c r="G36" i="16" s="1"/>
  <c r="F36" i="16" a="1"/>
  <c r="F36" i="16" s="1"/>
  <c r="D36" i="16" a="1"/>
  <c r="D36" i="16"/>
  <c r="S35" i="16" a="1"/>
  <c r="S35" i="16"/>
  <c r="J35" i="16" a="1"/>
  <c r="J35" i="16"/>
  <c r="I35" i="16" a="1"/>
  <c r="I35" i="16" s="1"/>
  <c r="H35" i="16" a="1"/>
  <c r="H35" i="16"/>
  <c r="G35" i="16" a="1"/>
  <c r="G35" i="16"/>
  <c r="F35" i="16" a="1"/>
  <c r="F35" i="16"/>
  <c r="D35" i="16" a="1"/>
  <c r="D35" i="16"/>
  <c r="S34" i="16" a="1"/>
  <c r="S34" i="16" s="1"/>
  <c r="J34" i="16" a="1"/>
  <c r="J34" i="16"/>
  <c r="I34" i="16" a="1"/>
  <c r="I34" i="16"/>
  <c r="H34" i="16" a="1"/>
  <c r="H34" i="16" s="1"/>
  <c r="G34" i="16" a="1"/>
  <c r="G34" i="16" s="1"/>
  <c r="F34" i="16" a="1"/>
  <c r="F34" i="16"/>
  <c r="D34" i="16" a="1"/>
  <c r="D34" i="16"/>
  <c r="S33" i="16" a="1"/>
  <c r="S33" i="16" s="1"/>
  <c r="J33" i="16" a="1"/>
  <c r="J33" i="16" s="1"/>
  <c r="I33" i="16" a="1"/>
  <c r="I33" i="16" s="1"/>
  <c r="H33" i="16" a="1"/>
  <c r="H33" i="16" s="1"/>
  <c r="G33" i="16" a="1"/>
  <c r="G33" i="16" s="1"/>
  <c r="F33" i="16" a="1"/>
  <c r="F33" i="16"/>
  <c r="D33" i="16" a="1"/>
  <c r="D33" i="16"/>
  <c r="S32" i="16" a="1"/>
  <c r="S32" i="16" s="1"/>
  <c r="J32" i="16" a="1"/>
  <c r="J32" i="16" s="1"/>
  <c r="I32" i="16" a="1"/>
  <c r="I32" i="16"/>
  <c r="H32" i="16" a="1"/>
  <c r="H32" i="16"/>
  <c r="G32" i="16" a="1"/>
  <c r="G32" i="16" s="1"/>
  <c r="F32" i="16" a="1"/>
  <c r="F32" i="16"/>
  <c r="D32" i="16" a="1"/>
  <c r="D32" i="16" s="1"/>
  <c r="S31" i="16" a="1"/>
  <c r="S31" i="16"/>
  <c r="J31" i="16" a="1"/>
  <c r="J31" i="16" s="1"/>
  <c r="I31" i="16" a="1"/>
  <c r="I31" i="16" s="1"/>
  <c r="H31" i="16" a="1"/>
  <c r="H31" i="16"/>
  <c r="G31" i="16" a="1"/>
  <c r="G31" i="16"/>
  <c r="F31" i="16" a="1"/>
  <c r="F31" i="16" s="1"/>
  <c r="D31" i="16" a="1"/>
  <c r="D31" i="16" s="1"/>
  <c r="S30" i="16" a="1"/>
  <c r="S30" i="16" s="1"/>
  <c r="J30" i="16" a="1"/>
  <c r="J30" i="16" s="1"/>
  <c r="I30" i="16" a="1"/>
  <c r="I30" i="16" s="1"/>
  <c r="H30" i="16" a="1"/>
  <c r="H30" i="16" s="1"/>
  <c r="G30" i="16" a="1"/>
  <c r="G30" i="16" s="1"/>
  <c r="F30" i="16" a="1"/>
  <c r="F30" i="16" s="1"/>
  <c r="D30" i="16" a="1"/>
  <c r="D30" i="16"/>
  <c r="S29" i="16" a="1"/>
  <c r="S29" i="16"/>
  <c r="J29" i="16" a="1"/>
  <c r="J29" i="16"/>
  <c r="I29" i="16" a="1"/>
  <c r="I29" i="16" s="1"/>
  <c r="H29" i="16" a="1"/>
  <c r="H29" i="16" s="1"/>
  <c r="G29" i="16" a="1"/>
  <c r="G29" i="16"/>
  <c r="F29" i="16" a="1"/>
  <c r="F29" i="16" s="1"/>
  <c r="D29" i="16" a="1"/>
  <c r="D29" i="16"/>
  <c r="S28" i="16" a="1"/>
  <c r="S28" i="16" s="1"/>
  <c r="J28" i="16" a="1"/>
  <c r="J28" i="16"/>
  <c r="I28" i="16" a="1"/>
  <c r="I28" i="16"/>
  <c r="H28" i="16" a="1"/>
  <c r="H28" i="16"/>
  <c r="G28" i="16" a="1"/>
  <c r="G28" i="16" s="1"/>
  <c r="F28" i="16" a="1"/>
  <c r="F28" i="16" s="1"/>
  <c r="D28" i="16" a="1"/>
  <c r="D28" i="16" s="1"/>
  <c r="S27" i="16" a="1"/>
  <c r="S27" i="16" s="1"/>
  <c r="J27" i="16" a="1"/>
  <c r="J27" i="16" s="1"/>
  <c r="I27" i="16" a="1"/>
  <c r="I27" i="16" s="1"/>
  <c r="H27" i="16" a="1"/>
  <c r="H27" i="16"/>
  <c r="G27" i="16" a="1"/>
  <c r="G27" i="16" s="1"/>
  <c r="F27" i="16" a="1"/>
  <c r="F27" i="16"/>
  <c r="D27" i="16" a="1"/>
  <c r="D27" i="16" s="1"/>
  <c r="S26" i="16" a="1"/>
  <c r="S26" i="16" s="1"/>
  <c r="J26" i="16" a="1"/>
  <c r="J26" i="16" s="1"/>
  <c r="I26" i="16" a="1"/>
  <c r="I26" i="16" s="1"/>
  <c r="H26" i="16" a="1"/>
  <c r="H26" i="16"/>
  <c r="G26" i="16" a="1"/>
  <c r="G26" i="16" s="1"/>
  <c r="F26" i="16" a="1"/>
  <c r="F26" i="16"/>
  <c r="D26" i="16" a="1"/>
  <c r="D26" i="16"/>
  <c r="S25" i="16" a="1"/>
  <c r="S25" i="16" s="1"/>
  <c r="O25" i="16" a="1"/>
  <c r="O25" i="16" s="1"/>
  <c r="J25" i="16" a="1"/>
  <c r="J25" i="16"/>
  <c r="I25" i="16" a="1"/>
  <c r="I25" i="16" s="1"/>
  <c r="H25" i="16" a="1"/>
  <c r="H25" i="16"/>
  <c r="G25" i="16" a="1"/>
  <c r="G25" i="16" s="1"/>
  <c r="F25" i="16" a="1"/>
  <c r="F25" i="16" s="1"/>
  <c r="D25" i="16" a="1"/>
  <c r="D25" i="16"/>
  <c r="S24" i="16" a="1"/>
  <c r="S24" i="16" s="1"/>
  <c r="J24" i="16" a="1"/>
  <c r="J24" i="16"/>
  <c r="I24" i="16" a="1"/>
  <c r="I24" i="16"/>
  <c r="H24" i="16" a="1"/>
  <c r="H24" i="16" s="1"/>
  <c r="G24" i="16" a="1"/>
  <c r="G24" i="16" s="1"/>
  <c r="F24" i="16" a="1"/>
  <c r="F24" i="16" s="1"/>
  <c r="D24" i="16" a="1"/>
  <c r="D24" i="16"/>
  <c r="S23" i="16" a="1"/>
  <c r="S23" i="16"/>
  <c r="J23" i="16" a="1"/>
  <c r="J23" i="16" s="1"/>
  <c r="I23" i="16" a="1"/>
  <c r="I23" i="16" s="1"/>
  <c r="H23" i="16" a="1"/>
  <c r="H23" i="16"/>
  <c r="G23" i="16" a="1"/>
  <c r="G23" i="16"/>
  <c r="F23" i="16" a="1"/>
  <c r="F23" i="16" s="1"/>
  <c r="D23" i="16" a="1"/>
  <c r="D23" i="16" s="1"/>
  <c r="S22" i="16" a="1"/>
  <c r="S22" i="16" s="1"/>
  <c r="J22" i="16" a="1"/>
  <c r="J22" i="16"/>
  <c r="I22" i="16" a="1"/>
  <c r="I22" i="16" s="1"/>
  <c r="H22" i="16" a="1"/>
  <c r="H22" i="16"/>
  <c r="G22" i="16" a="1"/>
  <c r="G22" i="16"/>
  <c r="F22" i="16" a="1"/>
  <c r="F22" i="16" s="1"/>
  <c r="D22" i="16" a="1"/>
  <c r="D22" i="16" s="1"/>
  <c r="S21" i="16" a="1"/>
  <c r="S21" i="16"/>
  <c r="J21" i="16" a="1"/>
  <c r="J21" i="16" s="1"/>
  <c r="I21" i="16" a="1"/>
  <c r="I21" i="16"/>
  <c r="H21" i="16" a="1"/>
  <c r="H21" i="16" s="1"/>
  <c r="G21" i="16" a="1"/>
  <c r="G21" i="16" s="1"/>
  <c r="F21" i="16" a="1"/>
  <c r="F21" i="16" s="1"/>
  <c r="D21" i="16" a="1"/>
  <c r="D21" i="16" s="1"/>
  <c r="S20" i="16" a="1"/>
  <c r="S20" i="16" s="1"/>
  <c r="J20" i="16" a="1"/>
  <c r="J20" i="16" s="1"/>
  <c r="I20" i="16" a="1"/>
  <c r="I20" i="16" s="1"/>
  <c r="H20" i="16" a="1"/>
  <c r="H20" i="16" s="1"/>
  <c r="G20" i="16" a="1"/>
  <c r="G20" i="16" s="1"/>
  <c r="F20" i="16" a="1"/>
  <c r="F20" i="16" s="1"/>
  <c r="D20" i="16" a="1"/>
  <c r="D20" i="16" s="1"/>
  <c r="S19" i="16" a="1"/>
  <c r="S19" i="16" s="1"/>
  <c r="J19" i="16" a="1"/>
  <c r="J19" i="16" s="1"/>
  <c r="I19" i="16" a="1"/>
  <c r="I19" i="16" s="1"/>
  <c r="H19" i="16" a="1"/>
  <c r="H19" i="16" s="1"/>
  <c r="G19" i="16" a="1"/>
  <c r="G19" i="16" s="1"/>
  <c r="F19" i="16" a="1"/>
  <c r="F19" i="16" s="1"/>
  <c r="D19" i="16" a="1"/>
  <c r="D19" i="16" s="1"/>
  <c r="S18" i="16" a="1"/>
  <c r="S18" i="16" s="1"/>
  <c r="J18" i="16" a="1"/>
  <c r="J18" i="16" s="1"/>
  <c r="I18" i="16" a="1"/>
  <c r="I18" i="16" s="1"/>
  <c r="H18" i="16" a="1"/>
  <c r="H18" i="16" s="1"/>
  <c r="G18" i="16" a="1"/>
  <c r="G18" i="16" s="1"/>
  <c r="F18" i="16" a="1"/>
  <c r="F18" i="16" s="1"/>
  <c r="D18" i="16" a="1"/>
  <c r="D18" i="16" s="1"/>
  <c r="S17" i="16" a="1"/>
  <c r="S17" i="16" s="1"/>
  <c r="M17" i="16" a="1"/>
  <c r="M17" i="16" s="1"/>
  <c r="J17" i="16" a="1"/>
  <c r="J17" i="16" s="1"/>
  <c r="I17" i="16" a="1"/>
  <c r="I17" i="16" s="1"/>
  <c r="H17" i="16" a="1"/>
  <c r="H17" i="16" s="1"/>
  <c r="G17" i="16" a="1"/>
  <c r="G17" i="16" s="1"/>
  <c r="F17" i="16" a="1"/>
  <c r="F17" i="16" s="1"/>
  <c r="D17" i="16" a="1"/>
  <c r="D17" i="16" s="1"/>
  <c r="S16" i="16" a="1"/>
  <c r="S16" i="16" s="1"/>
  <c r="J16" i="16" a="1"/>
  <c r="J16" i="16" s="1"/>
  <c r="I16" i="16" a="1"/>
  <c r="I16" i="16" s="1"/>
  <c r="H16" i="16" a="1"/>
  <c r="H16" i="16" s="1"/>
  <c r="G16" i="16" a="1"/>
  <c r="G16" i="16" s="1"/>
  <c r="F16" i="16" a="1"/>
  <c r="F16" i="16" s="1"/>
  <c r="D16" i="16" a="1"/>
  <c r="D16" i="16" s="1"/>
  <c r="S15" i="16" a="1"/>
  <c r="S15" i="16" s="1"/>
  <c r="J15" i="16" a="1"/>
  <c r="J15" i="16" s="1"/>
  <c r="I15" i="16" a="1"/>
  <c r="I15" i="16" s="1"/>
  <c r="H15" i="16" a="1"/>
  <c r="H15" i="16" s="1"/>
  <c r="G15" i="16" a="1"/>
  <c r="G15" i="16" s="1"/>
  <c r="F15" i="16" a="1"/>
  <c r="F15" i="16" s="1"/>
  <c r="D15" i="16" a="1"/>
  <c r="D15" i="16" s="1"/>
  <c r="S14" i="16" a="1"/>
  <c r="S14" i="16" s="1"/>
  <c r="J14" i="16" a="1"/>
  <c r="J14" i="16" s="1"/>
  <c r="I14" i="16" a="1"/>
  <c r="I14" i="16" s="1"/>
  <c r="H14" i="16" a="1"/>
  <c r="H14" i="16" s="1"/>
  <c r="G14" i="16" a="1"/>
  <c r="G14" i="16" s="1"/>
  <c r="F14" i="16" a="1"/>
  <c r="F14" i="16" s="1"/>
  <c r="D14" i="16" a="1"/>
  <c r="D14" i="16" s="1"/>
  <c r="S13" i="16" a="1"/>
  <c r="S13" i="16" s="1"/>
  <c r="J13" i="16" a="1"/>
  <c r="J13" i="16" s="1"/>
  <c r="I13" i="16" a="1"/>
  <c r="I13" i="16" s="1"/>
  <c r="H13" i="16" a="1"/>
  <c r="H13" i="16" s="1"/>
  <c r="G13" i="16" a="1"/>
  <c r="G13" i="16" s="1"/>
  <c r="F13" i="16" a="1"/>
  <c r="F13" i="16" s="1"/>
  <c r="D13" i="16" a="1"/>
  <c r="D13" i="16" s="1"/>
  <c r="S12" i="16" a="1"/>
  <c r="S12" i="16" s="1"/>
  <c r="J12" i="16" a="1"/>
  <c r="J12" i="16" s="1"/>
  <c r="I12" i="16" a="1"/>
  <c r="I12" i="16" s="1"/>
  <c r="H12" i="16" a="1"/>
  <c r="H12" i="16" s="1"/>
  <c r="G12" i="16" a="1"/>
  <c r="G12" i="16" s="1"/>
  <c r="F12" i="16" a="1"/>
  <c r="F12" i="16" s="1"/>
  <c r="D12" i="16" a="1"/>
  <c r="D12" i="16" s="1"/>
  <c r="S11" i="16" a="1"/>
  <c r="S11" i="16" s="1"/>
  <c r="J11" i="16" a="1"/>
  <c r="J11" i="16" s="1"/>
  <c r="I11" i="16" a="1"/>
  <c r="I11" i="16" s="1"/>
  <c r="H11" i="16" a="1"/>
  <c r="H11" i="16" s="1"/>
  <c r="G11" i="16" a="1"/>
  <c r="G11" i="16" s="1"/>
  <c r="F11" i="16" a="1"/>
  <c r="F11" i="16" s="1"/>
  <c r="D11" i="16" a="1"/>
  <c r="D11" i="16" s="1"/>
  <c r="S10" i="16" a="1"/>
  <c r="S10" i="16" s="1"/>
  <c r="J10" i="16" a="1"/>
  <c r="J10" i="16" s="1"/>
  <c r="I10" i="16" a="1"/>
  <c r="I10" i="16" s="1"/>
  <c r="H10" i="16" a="1"/>
  <c r="H10" i="16" s="1"/>
  <c r="G10" i="16" a="1"/>
  <c r="G10" i="16" s="1"/>
  <c r="F10" i="16" a="1"/>
  <c r="F10" i="16" s="1"/>
  <c r="D10" i="16" a="1"/>
  <c r="D10" i="16" s="1"/>
  <c r="S9" i="16" a="1"/>
  <c r="S9" i="16" s="1"/>
  <c r="J9" i="16" a="1"/>
  <c r="J9" i="16" s="1"/>
  <c r="I9" i="16" a="1"/>
  <c r="I9" i="16" s="1"/>
  <c r="H9" i="16" a="1"/>
  <c r="H9" i="16" s="1"/>
  <c r="G9" i="16" a="1"/>
  <c r="G9" i="16" s="1"/>
  <c r="F9" i="16" a="1"/>
  <c r="F9" i="16" s="1"/>
  <c r="D9" i="16" a="1"/>
  <c r="D9" i="16" s="1"/>
  <c r="S8" i="16" a="1"/>
  <c r="S8" i="16" s="1"/>
  <c r="J8" i="16" a="1"/>
  <c r="J8" i="16" s="1"/>
  <c r="I8" i="16" a="1"/>
  <c r="I8" i="16" s="1"/>
  <c r="H8" i="16" a="1"/>
  <c r="H8" i="16" s="1"/>
  <c r="G8" i="16" a="1"/>
  <c r="G8" i="16" s="1"/>
  <c r="F8" i="16" a="1"/>
  <c r="F8" i="16" s="1"/>
  <c r="D8" i="16" a="1"/>
  <c r="D8" i="16" s="1"/>
  <c r="S7" i="16" a="1"/>
  <c r="S7" i="16" s="1"/>
  <c r="J7" i="16" a="1"/>
  <c r="J7" i="16" s="1"/>
  <c r="I7" i="16" a="1"/>
  <c r="I7" i="16" s="1"/>
  <c r="H7" i="16" a="1"/>
  <c r="H7" i="16" s="1"/>
  <c r="G7" i="16" a="1"/>
  <c r="G7" i="16" s="1"/>
  <c r="F7" i="16" a="1"/>
  <c r="F7" i="16" s="1"/>
  <c r="D7" i="16" a="1"/>
  <c r="D7" i="16" s="1"/>
  <c r="S6" i="16" a="1"/>
  <c r="S6" i="16" s="1"/>
  <c r="J6" i="16" a="1"/>
  <c r="J6" i="16" s="1"/>
  <c r="I6" i="16" a="1"/>
  <c r="I6" i="16" s="1"/>
  <c r="H6" i="16" a="1"/>
  <c r="H6" i="16" s="1"/>
  <c r="G6" i="16" a="1"/>
  <c r="G6" i="16" s="1"/>
  <c r="F6" i="16" a="1"/>
  <c r="F6" i="16" s="1"/>
  <c r="D6" i="16" a="1"/>
  <c r="D6" i="16" s="1"/>
  <c r="S5" i="16" a="1"/>
  <c r="S5" i="16" s="1"/>
  <c r="J5" i="16" a="1"/>
  <c r="J5" i="16" s="1"/>
  <c r="I5" i="16" a="1"/>
  <c r="I5" i="16" s="1"/>
  <c r="H5" i="16" a="1"/>
  <c r="H5" i="16" s="1"/>
  <c r="G5" i="16" a="1"/>
  <c r="G5" i="16" s="1"/>
  <c r="F5" i="16" a="1"/>
  <c r="F5" i="16" s="1"/>
  <c r="D5" i="16" a="1"/>
  <c r="D5" i="16" s="1"/>
  <c r="S4" i="16" a="1"/>
  <c r="S4" i="16" s="1"/>
  <c r="J4" i="16" a="1"/>
  <c r="J4" i="16" s="1"/>
  <c r="I4" i="16" a="1"/>
  <c r="I4" i="16" s="1"/>
  <c r="H4" i="16" a="1"/>
  <c r="H4" i="16" s="1"/>
  <c r="G4" i="16" a="1"/>
  <c r="G4" i="16" s="1"/>
  <c r="F4" i="16" a="1"/>
  <c r="F4" i="16" s="1"/>
  <c r="D4" i="16" a="1"/>
  <c r="D4" i="16" s="1"/>
  <c r="S3" i="16" a="1"/>
  <c r="S3" i="16" s="1"/>
  <c r="J3" i="16" a="1"/>
  <c r="J3" i="16" s="1"/>
  <c r="I3" i="16" a="1"/>
  <c r="I3" i="16" s="1"/>
  <c r="H3" i="16" a="1"/>
  <c r="H3" i="16" s="1"/>
  <c r="G3" i="16" a="1"/>
  <c r="G3" i="16" s="1"/>
  <c r="F3" i="16" a="1"/>
  <c r="F3" i="16" s="1"/>
  <c r="D3" i="16" a="1"/>
  <c r="D3" i="16" s="1"/>
  <c r="S2" i="16" a="1"/>
  <c r="S2" i="16" s="1"/>
  <c r="J2" i="16" a="1"/>
  <c r="J2" i="16" s="1"/>
  <c r="I2" i="16" a="1"/>
  <c r="I2" i="16" s="1"/>
  <c r="H2" i="16" a="1"/>
  <c r="H2" i="16" s="1"/>
  <c r="G2" i="16" a="1"/>
  <c r="G2" i="16" s="1"/>
  <c r="F2" i="16" a="1"/>
  <c r="F2" i="16" s="1"/>
  <c r="D2" i="16" a="1"/>
  <c r="D2" i="16" s="1"/>
  <c r="S133" i="15"/>
  <c r="S132" i="15"/>
  <c r="S130" i="15"/>
  <c r="S128" i="15"/>
  <c r="S127" i="15"/>
  <c r="S126" i="15"/>
  <c r="S125" i="15"/>
  <c r="S124" i="15"/>
  <c r="S121" i="15"/>
  <c r="S120" i="15"/>
  <c r="S119" i="15"/>
  <c r="S114" i="15"/>
  <c r="S113" i="15"/>
  <c r="S111" i="15"/>
  <c r="S108" i="15"/>
  <c r="S107" i="15"/>
  <c r="S105" i="15"/>
  <c r="S104" i="15"/>
  <c r="S103" i="15"/>
  <c r="S102" i="15"/>
  <c r="S100" i="15"/>
  <c r="S97" i="15"/>
  <c r="S95" i="15"/>
  <c r="S94" i="15"/>
  <c r="S93" i="15"/>
  <c r="S92" i="15"/>
  <c r="S91" i="15"/>
  <c r="S90" i="15"/>
  <c r="S87" i="15"/>
  <c r="S86" i="15"/>
  <c r="S84" i="15"/>
  <c r="S82" i="15"/>
  <c r="S81" i="15"/>
  <c r="S79" i="15"/>
  <c r="Q78" i="15" a="1"/>
  <c r="Q78" i="15" s="1"/>
  <c r="S77" i="15"/>
  <c r="S76" i="15"/>
  <c r="S75" i="15"/>
  <c r="Q74" i="15" a="1"/>
  <c r="Q74" i="15" s="1"/>
  <c r="S73" i="15"/>
  <c r="S72" i="15"/>
  <c r="S71" i="15"/>
  <c r="S70" i="15"/>
  <c r="S69" i="15"/>
  <c r="S68" i="15"/>
  <c r="S67" i="15"/>
  <c r="S66" i="15"/>
  <c r="S64" i="15"/>
  <c r="S63" i="15"/>
  <c r="J63" i="15"/>
  <c r="S62" i="15"/>
  <c r="S61" i="15"/>
  <c r="Q58" i="15" a="1"/>
  <c r="Q58" i="15"/>
  <c r="S57" i="15"/>
  <c r="R56" i="15" a="1"/>
  <c r="R56" i="15"/>
  <c r="Q56" i="15" a="1"/>
  <c r="Q56" i="15"/>
  <c r="A52" i="15"/>
  <c r="S50" i="15"/>
  <c r="S47" i="15"/>
  <c r="S46" i="15"/>
  <c r="S45" i="15"/>
  <c r="S44" i="15"/>
  <c r="S42" i="15"/>
  <c r="S40" i="15"/>
  <c r="S37" i="15"/>
  <c r="S36" i="15"/>
  <c r="S35" i="15"/>
  <c r="S34" i="15"/>
  <c r="S33" i="15"/>
  <c r="S25" i="15"/>
  <c r="S24" i="15"/>
  <c r="S23" i="15"/>
  <c r="S22" i="15"/>
  <c r="S21" i="15"/>
  <c r="S19" i="15"/>
  <c r="Q16" i="15" a="1"/>
  <c r="Q16" i="15"/>
  <c r="S15" i="15"/>
  <c r="S13" i="15"/>
  <c r="S12" i="15"/>
  <c r="S11" i="15"/>
  <c r="S10" i="15"/>
  <c r="S9" i="15"/>
  <c r="R9" i="15" a="1"/>
  <c r="R9" i="15" s="1"/>
  <c r="Q9" i="15" a="1"/>
  <c r="Q9" i="15" s="1"/>
  <c r="S6" i="15"/>
  <c r="S4" i="15"/>
  <c r="S3" i="15"/>
  <c r="S2" i="15"/>
  <c r="D84" i="14"/>
  <c r="C84" i="14"/>
  <c r="B84" i="14"/>
  <c r="D83" i="14"/>
  <c r="C83" i="14"/>
  <c r="B83" i="14"/>
  <c r="D82" i="14"/>
  <c r="C82" i="14"/>
  <c r="B82" i="14"/>
  <c r="D81" i="14"/>
  <c r="C81" i="14"/>
  <c r="B81" i="14"/>
  <c r="D80" i="14"/>
  <c r="C80" i="14"/>
  <c r="B80" i="14"/>
  <c r="D79" i="14"/>
  <c r="C79" i="14"/>
  <c r="B79" i="14"/>
  <c r="D78" i="14"/>
  <c r="C78" i="14"/>
  <c r="B78" i="14"/>
  <c r="D77" i="14"/>
  <c r="C77" i="14"/>
  <c r="B77" i="14"/>
  <c r="D76" i="14"/>
  <c r="C76" i="14"/>
  <c r="B76" i="14"/>
  <c r="D75" i="14"/>
  <c r="C75" i="14"/>
  <c r="B75" i="14"/>
  <c r="D74" i="14"/>
  <c r="C74" i="14"/>
  <c r="B74" i="14"/>
  <c r="D73" i="14"/>
  <c r="C73" i="14"/>
  <c r="B73" i="14"/>
  <c r="D72" i="14"/>
  <c r="C72" i="14"/>
  <c r="B72" i="14"/>
  <c r="D71" i="14"/>
  <c r="C71" i="14"/>
  <c r="B71" i="14"/>
  <c r="D70" i="14"/>
  <c r="C70" i="14"/>
  <c r="B70" i="14"/>
  <c r="D69" i="14"/>
  <c r="C69" i="14"/>
  <c r="B69" i="14"/>
  <c r="D68" i="14"/>
  <c r="C68" i="14"/>
  <c r="B68" i="14"/>
  <c r="D67" i="14"/>
  <c r="C67" i="14"/>
  <c r="B67" i="14"/>
  <c r="D66" i="14"/>
  <c r="C66" i="14"/>
  <c r="B66" i="14"/>
  <c r="D65" i="14"/>
  <c r="C65" i="14"/>
  <c r="B65" i="14"/>
  <c r="D64" i="14"/>
  <c r="C64" i="14"/>
  <c r="B64" i="14"/>
  <c r="D63" i="14"/>
  <c r="C63" i="14"/>
  <c r="B63" i="14"/>
  <c r="D62" i="14"/>
  <c r="C62" i="14"/>
  <c r="B62" i="14"/>
  <c r="D61" i="14"/>
  <c r="C61" i="14"/>
  <c r="B61" i="14"/>
  <c r="D60" i="14"/>
  <c r="C60" i="14"/>
  <c r="B60" i="14"/>
  <c r="D59" i="14"/>
  <c r="C59" i="14"/>
  <c r="B59" i="14"/>
  <c r="D58" i="14"/>
  <c r="C58" i="14"/>
  <c r="B58" i="14"/>
  <c r="D57" i="14"/>
  <c r="C57" i="14"/>
  <c r="B57" i="14"/>
  <c r="D56" i="14"/>
  <c r="C56" i="14"/>
  <c r="B56" i="14"/>
  <c r="D55" i="14"/>
  <c r="C55" i="14"/>
  <c r="B55" i="14"/>
  <c r="D54" i="14"/>
  <c r="C54" i="14"/>
  <c r="B54" i="14"/>
  <c r="D53" i="14"/>
  <c r="C53" i="14"/>
  <c r="B53" i="14"/>
  <c r="D52" i="14"/>
  <c r="C52" i="14"/>
  <c r="B52" i="14"/>
  <c r="D51" i="14"/>
  <c r="C51" i="14"/>
  <c r="B51" i="14"/>
  <c r="D50" i="14"/>
  <c r="C50" i="14"/>
  <c r="B50" i="14"/>
  <c r="D49" i="14"/>
  <c r="C49" i="14"/>
  <c r="B49" i="14"/>
  <c r="D48" i="14"/>
  <c r="C48" i="14"/>
  <c r="B48" i="14"/>
  <c r="D47" i="14"/>
  <c r="C47" i="14"/>
  <c r="B47" i="14"/>
  <c r="D46" i="14"/>
  <c r="C46" i="14"/>
  <c r="B46" i="14"/>
  <c r="D45" i="14"/>
  <c r="C45" i="14"/>
  <c r="B45" i="14"/>
  <c r="D44" i="14"/>
  <c r="C44" i="14"/>
  <c r="B44" i="14"/>
  <c r="D43" i="14"/>
  <c r="C43" i="14"/>
  <c r="B43" i="14"/>
  <c r="D42" i="14"/>
  <c r="C42" i="14"/>
  <c r="B42" i="14"/>
  <c r="D41" i="14"/>
  <c r="C41" i="14"/>
  <c r="B41" i="14"/>
  <c r="D40" i="14"/>
  <c r="C40" i="14"/>
  <c r="B40" i="14"/>
  <c r="D39" i="14"/>
  <c r="C39" i="14"/>
  <c r="B39" i="14"/>
  <c r="D38" i="14"/>
  <c r="C38" i="14"/>
  <c r="B38" i="14"/>
  <c r="D37" i="14"/>
  <c r="C37" i="14"/>
  <c r="B37" i="14"/>
  <c r="D36" i="14"/>
  <c r="C36" i="14"/>
  <c r="B36" i="14"/>
  <c r="D35" i="14"/>
  <c r="C35" i="14"/>
  <c r="B35" i="14"/>
  <c r="D34" i="14"/>
  <c r="C34" i="14"/>
  <c r="B34" i="14"/>
  <c r="D33" i="14"/>
  <c r="C33" i="14"/>
  <c r="B33" i="14"/>
  <c r="D32" i="14"/>
  <c r="C32" i="14"/>
  <c r="B32" i="14"/>
  <c r="D31" i="14"/>
  <c r="C31" i="14"/>
  <c r="B31" i="14"/>
  <c r="D30" i="14"/>
  <c r="C30" i="14"/>
  <c r="B30" i="14"/>
  <c r="D29" i="14"/>
  <c r="C29" i="14"/>
  <c r="B29" i="14"/>
  <c r="D28" i="14"/>
  <c r="C28" i="14"/>
  <c r="B28" i="14"/>
  <c r="D27" i="14"/>
  <c r="C27" i="14"/>
  <c r="B27" i="14"/>
  <c r="D26" i="14"/>
  <c r="C26" i="14"/>
  <c r="B26" i="14"/>
  <c r="D25" i="14"/>
  <c r="C25" i="14"/>
  <c r="B25" i="14"/>
  <c r="D24" i="14"/>
  <c r="C24" i="14"/>
  <c r="B24" i="14"/>
  <c r="D23" i="14"/>
  <c r="C23" i="14"/>
  <c r="B23" i="14"/>
  <c r="D22" i="14"/>
  <c r="C22" i="14"/>
  <c r="B22" i="14"/>
  <c r="D21" i="14"/>
  <c r="C21" i="14"/>
  <c r="B21" i="14"/>
  <c r="D20" i="14"/>
  <c r="C20" i="14"/>
  <c r="B20" i="14"/>
  <c r="D19" i="14"/>
  <c r="C19" i="14"/>
  <c r="B19" i="14"/>
  <c r="D18" i="14"/>
  <c r="C18" i="14"/>
  <c r="B18" i="14"/>
  <c r="D17" i="14"/>
  <c r="C17" i="14"/>
  <c r="B17" i="14"/>
  <c r="D16" i="14"/>
  <c r="C16" i="14"/>
  <c r="B16" i="14"/>
  <c r="D15" i="14"/>
  <c r="C15" i="14"/>
  <c r="B15" i="14"/>
  <c r="D14" i="14"/>
  <c r="C14" i="14"/>
  <c r="B14" i="14"/>
  <c r="D13" i="14"/>
  <c r="C13" i="14"/>
  <c r="B13" i="14"/>
  <c r="D12" i="14"/>
  <c r="C12" i="14"/>
  <c r="B12" i="14"/>
  <c r="D11" i="14"/>
  <c r="C11" i="14"/>
  <c r="B11" i="14"/>
  <c r="D10" i="14"/>
  <c r="C10" i="14"/>
  <c r="B10" i="14"/>
  <c r="D9" i="14"/>
  <c r="C9" i="14"/>
  <c r="B9" i="14"/>
  <c r="D8" i="14"/>
  <c r="C8" i="14"/>
  <c r="B8" i="14"/>
  <c r="D7" i="14"/>
  <c r="C7" i="14"/>
  <c r="B7" i="14"/>
  <c r="D6" i="14"/>
  <c r="C6" i="14"/>
  <c r="B6" i="14"/>
  <c r="D5" i="14"/>
  <c r="C5" i="14"/>
  <c r="B5" i="14"/>
  <c r="D4" i="14"/>
  <c r="C4" i="14"/>
  <c r="B4" i="14"/>
  <c r="D3" i="14"/>
  <c r="C3" i="14"/>
  <c r="B3" i="14"/>
  <c r="D2" i="14"/>
  <c r="D1522" i="13"/>
  <c r="C1522" i="13"/>
  <c r="B1522" i="13"/>
  <c r="D1521" i="13"/>
  <c r="C1521" i="13"/>
  <c r="B1521" i="13"/>
  <c r="D1520" i="13"/>
  <c r="C1520" i="13"/>
  <c r="B1520" i="13"/>
  <c r="D1519" i="13"/>
  <c r="C1519" i="13"/>
  <c r="B1519" i="13"/>
  <c r="D1518" i="13"/>
  <c r="C1518" i="13"/>
  <c r="B1518" i="13"/>
  <c r="D1517" i="13"/>
  <c r="C1517" i="13"/>
  <c r="B1517" i="13"/>
  <c r="D1516" i="13"/>
  <c r="C1516" i="13"/>
  <c r="B1516" i="13"/>
  <c r="D1515" i="13"/>
  <c r="C1515" i="13"/>
  <c r="B1515" i="13"/>
  <c r="D1514" i="13"/>
  <c r="C1514" i="13"/>
  <c r="B1514" i="13"/>
  <c r="D1513" i="13"/>
  <c r="C1513" i="13"/>
  <c r="B1513" i="13"/>
  <c r="D1512" i="13"/>
  <c r="C1512" i="13"/>
  <c r="B1512" i="13"/>
  <c r="D1511" i="13"/>
  <c r="C1511" i="13"/>
  <c r="B1511" i="13"/>
  <c r="D1510" i="13"/>
  <c r="C1510" i="13"/>
  <c r="B1510" i="13"/>
  <c r="D1509" i="13"/>
  <c r="C1509" i="13"/>
  <c r="B1509" i="13"/>
  <c r="D1508" i="13"/>
  <c r="C1508" i="13"/>
  <c r="B1508" i="13"/>
  <c r="D1507" i="13"/>
  <c r="C1507" i="13"/>
  <c r="B1507" i="13"/>
  <c r="D1506" i="13"/>
  <c r="C1506" i="13"/>
  <c r="B1506" i="13"/>
  <c r="D1505" i="13"/>
  <c r="C1505" i="13"/>
  <c r="B1505" i="13"/>
  <c r="D1504" i="13"/>
  <c r="C1504" i="13"/>
  <c r="B1504" i="13"/>
  <c r="D1503" i="13"/>
  <c r="C1503" i="13"/>
  <c r="B1503" i="13"/>
  <c r="D1502" i="13"/>
  <c r="C1502" i="13"/>
  <c r="B1502" i="13"/>
  <c r="D1501" i="13"/>
  <c r="C1501" i="13"/>
  <c r="B1501" i="13"/>
  <c r="D1500" i="13"/>
  <c r="C1500" i="13"/>
  <c r="B1500" i="13"/>
  <c r="D1499" i="13"/>
  <c r="C1499" i="13"/>
  <c r="B1499" i="13"/>
  <c r="D1498" i="13"/>
  <c r="C1498" i="13"/>
  <c r="B1498" i="13"/>
  <c r="D1497" i="13"/>
  <c r="C1497" i="13"/>
  <c r="B1497" i="13"/>
  <c r="D1496" i="13"/>
  <c r="C1496" i="13"/>
  <c r="B1496" i="13"/>
  <c r="D1495" i="13"/>
  <c r="C1495" i="13"/>
  <c r="B1495" i="13"/>
  <c r="D1494" i="13"/>
  <c r="C1494" i="13"/>
  <c r="B1494" i="13"/>
  <c r="D1493" i="13"/>
  <c r="C1493" i="13"/>
  <c r="B1493" i="13"/>
  <c r="D1492" i="13"/>
  <c r="C1492" i="13"/>
  <c r="B1492" i="13"/>
  <c r="D1491" i="13"/>
  <c r="C1491" i="13"/>
  <c r="B1491" i="13"/>
  <c r="D1490" i="13"/>
  <c r="C1490" i="13"/>
  <c r="B1490" i="13"/>
  <c r="D1489" i="13"/>
  <c r="C1489" i="13"/>
  <c r="B1489" i="13"/>
  <c r="D1488" i="13"/>
  <c r="C1488" i="13"/>
  <c r="B1488" i="13"/>
  <c r="D1487" i="13"/>
  <c r="C1487" i="13"/>
  <c r="B1487" i="13"/>
  <c r="D1486" i="13"/>
  <c r="C1486" i="13"/>
  <c r="B1486" i="13"/>
  <c r="D1485" i="13"/>
  <c r="C1485" i="13"/>
  <c r="B1485" i="13"/>
  <c r="D1484" i="13"/>
  <c r="C1484" i="13"/>
  <c r="B1484" i="13"/>
  <c r="D1483" i="13"/>
  <c r="C1483" i="13"/>
  <c r="B1483" i="13"/>
  <c r="D1482" i="13"/>
  <c r="C1482" i="13"/>
  <c r="B1482" i="13"/>
  <c r="D1481" i="13"/>
  <c r="C1481" i="13"/>
  <c r="B1481" i="13"/>
  <c r="D1480" i="13"/>
  <c r="C1480" i="13"/>
  <c r="B1480" i="13"/>
  <c r="D1479" i="13"/>
  <c r="C1479" i="13"/>
  <c r="B1479" i="13"/>
  <c r="D1478" i="13"/>
  <c r="C1478" i="13"/>
  <c r="B1478" i="13"/>
  <c r="D1477" i="13"/>
  <c r="C1477" i="13"/>
  <c r="B1477" i="13"/>
  <c r="D1476" i="13"/>
  <c r="C1476" i="13"/>
  <c r="B1476" i="13"/>
  <c r="D1475" i="13"/>
  <c r="C1475" i="13"/>
  <c r="B1475" i="13"/>
  <c r="D1474" i="13"/>
  <c r="C1474" i="13"/>
  <c r="B1474" i="13"/>
  <c r="D1473" i="13"/>
  <c r="C1473" i="13"/>
  <c r="B1473" i="13"/>
  <c r="D1472" i="13"/>
  <c r="C1472" i="13"/>
  <c r="B1472" i="13"/>
  <c r="D1471" i="13"/>
  <c r="C1471" i="13"/>
  <c r="B1471" i="13"/>
  <c r="D1470" i="13"/>
  <c r="C1470" i="13"/>
  <c r="B1470" i="13"/>
  <c r="D1469" i="13"/>
  <c r="C1469" i="13"/>
  <c r="B1469" i="13"/>
  <c r="D1468" i="13"/>
  <c r="C1468" i="13"/>
  <c r="B1468" i="13"/>
  <c r="D1467" i="13"/>
  <c r="C1467" i="13"/>
  <c r="B1467" i="13"/>
  <c r="D1466" i="13"/>
  <c r="C1466" i="13"/>
  <c r="B1466" i="13"/>
  <c r="D1465" i="13"/>
  <c r="C1465" i="13"/>
  <c r="B1465" i="13"/>
  <c r="D1464" i="13"/>
  <c r="C1464" i="13"/>
  <c r="B1464" i="13"/>
  <c r="D1463" i="13"/>
  <c r="C1463" i="13"/>
  <c r="B1463" i="13"/>
  <c r="D1462" i="13"/>
  <c r="C1462" i="13"/>
  <c r="B1462" i="13"/>
  <c r="D1461" i="13"/>
  <c r="C1461" i="13"/>
  <c r="B1461" i="13"/>
  <c r="D1460" i="13"/>
  <c r="C1460" i="13"/>
  <c r="B1460" i="13"/>
  <c r="D1459" i="13"/>
  <c r="C1459" i="13"/>
  <c r="B1459" i="13"/>
  <c r="D1458" i="13"/>
  <c r="C1458" i="13"/>
  <c r="B1458" i="13"/>
  <c r="D1457" i="13"/>
  <c r="C1457" i="13"/>
  <c r="B1457" i="13"/>
  <c r="D1456" i="13"/>
  <c r="C1456" i="13"/>
  <c r="B1456" i="13"/>
  <c r="D1455" i="13"/>
  <c r="C1455" i="13"/>
  <c r="B1455" i="13"/>
  <c r="D1454" i="13"/>
  <c r="C1454" i="13"/>
  <c r="B1454" i="13"/>
  <c r="D1453" i="13"/>
  <c r="C1453" i="13"/>
  <c r="B1453" i="13"/>
  <c r="D1452" i="13"/>
  <c r="C1452" i="13"/>
  <c r="B1452" i="13"/>
  <c r="D1451" i="13"/>
  <c r="C1451" i="13"/>
  <c r="B1451" i="13"/>
  <c r="D1450" i="13"/>
  <c r="C1450" i="13"/>
  <c r="B1450" i="13"/>
  <c r="D1449" i="13"/>
  <c r="C1449" i="13"/>
  <c r="B1449" i="13"/>
  <c r="D1448" i="13"/>
  <c r="C1448" i="13"/>
  <c r="B1448" i="13"/>
  <c r="D1447" i="13"/>
  <c r="C1447" i="13"/>
  <c r="B1447" i="13"/>
  <c r="D1446" i="13"/>
  <c r="C1446" i="13"/>
  <c r="B1446" i="13"/>
  <c r="D1445" i="13"/>
  <c r="C1445" i="13"/>
  <c r="B1445" i="13"/>
  <c r="D1444" i="13"/>
  <c r="C1444" i="13"/>
  <c r="B1444" i="13"/>
  <c r="D1443" i="13"/>
  <c r="C1443" i="13"/>
  <c r="B1443" i="13"/>
  <c r="D1442" i="13"/>
  <c r="C1442" i="13"/>
  <c r="B1442" i="13"/>
  <c r="D1441" i="13"/>
  <c r="C1441" i="13"/>
  <c r="B1441" i="13"/>
  <c r="D1440" i="13"/>
  <c r="D1439" i="13"/>
  <c r="C1439" i="13"/>
  <c r="B1439" i="13"/>
  <c r="D1438" i="13"/>
  <c r="C1438" i="13"/>
  <c r="B1438" i="13"/>
  <c r="D1437" i="13"/>
  <c r="C1437" i="13"/>
  <c r="B1437" i="13"/>
  <c r="D1436" i="13"/>
  <c r="C1436" i="13"/>
  <c r="B1436" i="13"/>
  <c r="D1435" i="13"/>
  <c r="C1435" i="13"/>
  <c r="B1435" i="13"/>
  <c r="D1434" i="13"/>
  <c r="C1434" i="13"/>
  <c r="B1434" i="13"/>
  <c r="D1433" i="13"/>
  <c r="C1433" i="13"/>
  <c r="B1433" i="13"/>
  <c r="D1432" i="13"/>
  <c r="C1432" i="13"/>
  <c r="B1432" i="13"/>
  <c r="D1431" i="13"/>
  <c r="C1431" i="13"/>
  <c r="B1431" i="13"/>
  <c r="D1430" i="13"/>
  <c r="C1430" i="13"/>
  <c r="B1430" i="13"/>
  <c r="D1429" i="13"/>
  <c r="C1429" i="13"/>
  <c r="B1429" i="13"/>
  <c r="D1428" i="13"/>
  <c r="C1428" i="13"/>
  <c r="B1428" i="13"/>
  <c r="D1427" i="13"/>
  <c r="C1427" i="13"/>
  <c r="B1427" i="13"/>
  <c r="D1426" i="13"/>
  <c r="C1426" i="13"/>
  <c r="B1426" i="13"/>
  <c r="D1425" i="13"/>
  <c r="C1425" i="13"/>
  <c r="B1425" i="13"/>
  <c r="D1424" i="13"/>
  <c r="C1424" i="13"/>
  <c r="B1424" i="13"/>
  <c r="D1423" i="13"/>
  <c r="C1423" i="13"/>
  <c r="B1423" i="13"/>
  <c r="D1422" i="13"/>
  <c r="C1422" i="13"/>
  <c r="B1422" i="13"/>
  <c r="D1421" i="13"/>
  <c r="C1421" i="13"/>
  <c r="B1421" i="13"/>
  <c r="D1420" i="13"/>
  <c r="C1420" i="13"/>
  <c r="B1420" i="13"/>
  <c r="D1419" i="13"/>
  <c r="C1419" i="13"/>
  <c r="B1419" i="13"/>
  <c r="D1418" i="13"/>
  <c r="C1418" i="13"/>
  <c r="B1418" i="13"/>
  <c r="D1417" i="13"/>
  <c r="C1417" i="13"/>
  <c r="B1417" i="13"/>
  <c r="D1416" i="13"/>
  <c r="C1416" i="13"/>
  <c r="B1416" i="13"/>
  <c r="D1415" i="13"/>
  <c r="C1415" i="13"/>
  <c r="B1415" i="13"/>
  <c r="D1414" i="13"/>
  <c r="C1414" i="13"/>
  <c r="B1414" i="13"/>
  <c r="D1413" i="13"/>
  <c r="C1413" i="13"/>
  <c r="B1413" i="13"/>
  <c r="D1412" i="13"/>
  <c r="C1412" i="13"/>
  <c r="B1412" i="13"/>
  <c r="D1411" i="13"/>
  <c r="C1411" i="13"/>
  <c r="B1411" i="13"/>
  <c r="D1410" i="13"/>
  <c r="C1410" i="13"/>
  <c r="B1410" i="13"/>
  <c r="D1409" i="13"/>
  <c r="C1409" i="13"/>
  <c r="B1409" i="13"/>
  <c r="D1408" i="13"/>
  <c r="C1408" i="13"/>
  <c r="B1408" i="13"/>
  <c r="D1407" i="13"/>
  <c r="C1407" i="13"/>
  <c r="B1407" i="13"/>
  <c r="D1406" i="13"/>
  <c r="C1406" i="13"/>
  <c r="B1406" i="13"/>
  <c r="D1405" i="13"/>
  <c r="C1405" i="13"/>
  <c r="B1405" i="13"/>
  <c r="D1404" i="13"/>
  <c r="C1404" i="13"/>
  <c r="B1404" i="13"/>
  <c r="D1403" i="13"/>
  <c r="C1403" i="13"/>
  <c r="B1403" i="13"/>
  <c r="D1402" i="13"/>
  <c r="C1402" i="13"/>
  <c r="B1402" i="13"/>
  <c r="D1401" i="13"/>
  <c r="C1401" i="13"/>
  <c r="B1401" i="13"/>
  <c r="D1400" i="13"/>
  <c r="C1400" i="13"/>
  <c r="B1400" i="13"/>
  <c r="D1399" i="13"/>
  <c r="C1399" i="13"/>
  <c r="B1399" i="13"/>
  <c r="D1398" i="13"/>
  <c r="C1398" i="13"/>
  <c r="B1398" i="13"/>
  <c r="D1397" i="13"/>
  <c r="C1397" i="13"/>
  <c r="B1397" i="13"/>
  <c r="D1396" i="13"/>
  <c r="C1396" i="13"/>
  <c r="B1396" i="13"/>
  <c r="D1395" i="13"/>
  <c r="C1395" i="13"/>
  <c r="B1395" i="13"/>
  <c r="D1394" i="13"/>
  <c r="C1394" i="13"/>
  <c r="B1394" i="13"/>
  <c r="D1393" i="13"/>
  <c r="C1393" i="13"/>
  <c r="B1393" i="13"/>
  <c r="D1392" i="13"/>
  <c r="C1392" i="13"/>
  <c r="B1392" i="13"/>
  <c r="D1391" i="13"/>
  <c r="C1391" i="13"/>
  <c r="B1391" i="13"/>
  <c r="D1390" i="13"/>
  <c r="C1390" i="13"/>
  <c r="B1390" i="13"/>
  <c r="D1389" i="13"/>
  <c r="C1389" i="13"/>
  <c r="B1389" i="13"/>
  <c r="D1388" i="13"/>
  <c r="C1388" i="13"/>
  <c r="B1388" i="13"/>
  <c r="D1387" i="13"/>
  <c r="C1387" i="13"/>
  <c r="B1387" i="13"/>
  <c r="D1386" i="13"/>
  <c r="C1386" i="13"/>
  <c r="B1386" i="13"/>
  <c r="C1385" i="13"/>
  <c r="B1385" i="13"/>
  <c r="D1384" i="13"/>
  <c r="C1384" i="13"/>
  <c r="B1384" i="13"/>
  <c r="D1383" i="13"/>
  <c r="C1383" i="13"/>
  <c r="B1383" i="13"/>
  <c r="D1382" i="13"/>
  <c r="C1382" i="13"/>
  <c r="B1382" i="13"/>
  <c r="D1381" i="13"/>
  <c r="C1381" i="13"/>
  <c r="B1381" i="13"/>
  <c r="D1380" i="13"/>
  <c r="C1380" i="13"/>
  <c r="B1380" i="13"/>
  <c r="D1379" i="13"/>
  <c r="C1379" i="13"/>
  <c r="B1379" i="13"/>
  <c r="D1378" i="13"/>
  <c r="C1378" i="13"/>
  <c r="B1378" i="13"/>
  <c r="D1377" i="13"/>
  <c r="C1377" i="13"/>
  <c r="B1377" i="13"/>
  <c r="D1376" i="13"/>
  <c r="C1376" i="13"/>
  <c r="B1376" i="13"/>
  <c r="D1375" i="13"/>
  <c r="C1375" i="13"/>
  <c r="B1375" i="13"/>
  <c r="D1374" i="13"/>
  <c r="C1374" i="13"/>
  <c r="B1374" i="13"/>
  <c r="D1373" i="13"/>
  <c r="C1373" i="13"/>
  <c r="B1373" i="13"/>
  <c r="D1372" i="13"/>
  <c r="C1372" i="13"/>
  <c r="B1372" i="13"/>
  <c r="D1371" i="13"/>
  <c r="C1371" i="13"/>
  <c r="B1371" i="13"/>
  <c r="D1370" i="13"/>
  <c r="C1370" i="13"/>
  <c r="B1370" i="13"/>
  <c r="D1369" i="13"/>
  <c r="C1369" i="13"/>
  <c r="B1369" i="13"/>
  <c r="D1368" i="13"/>
  <c r="C1368" i="13"/>
  <c r="B1368" i="13"/>
  <c r="D1367" i="13"/>
  <c r="C1367" i="13"/>
  <c r="B1367" i="13"/>
  <c r="D1366" i="13"/>
  <c r="C1366" i="13"/>
  <c r="B1366" i="13"/>
  <c r="D1365" i="13"/>
  <c r="C1365" i="13"/>
  <c r="B1365" i="13"/>
  <c r="D1364" i="13"/>
  <c r="C1364" i="13"/>
  <c r="B1364" i="13"/>
  <c r="D1363" i="13"/>
  <c r="C1363" i="13"/>
  <c r="B1363" i="13"/>
  <c r="D1362" i="13"/>
  <c r="C1362" i="13"/>
  <c r="B1362" i="13"/>
  <c r="D1361" i="13"/>
  <c r="C1361" i="13"/>
  <c r="B1361" i="13"/>
  <c r="D1360" i="13"/>
  <c r="C1360" i="13"/>
  <c r="B1360" i="13"/>
  <c r="D1359" i="13"/>
  <c r="C1359" i="13"/>
  <c r="B1359" i="13"/>
  <c r="D1358" i="13"/>
  <c r="C1358" i="13"/>
  <c r="B1358" i="13"/>
  <c r="D1357" i="13"/>
  <c r="C1357" i="13"/>
  <c r="B1357" i="13"/>
  <c r="C1356" i="13"/>
  <c r="B1356" i="13"/>
  <c r="D1355" i="13"/>
  <c r="C1355" i="13"/>
  <c r="B1355" i="13"/>
  <c r="D1354" i="13"/>
  <c r="C1354" i="13"/>
  <c r="B1354" i="13"/>
  <c r="D1353" i="13"/>
  <c r="C1353" i="13"/>
  <c r="B1353" i="13"/>
  <c r="D1352" i="13"/>
  <c r="C1352" i="13"/>
  <c r="B1352" i="13"/>
  <c r="D1351" i="13"/>
  <c r="C1351" i="13"/>
  <c r="B1351" i="13"/>
  <c r="D1350" i="13"/>
  <c r="C1350" i="13"/>
  <c r="B1350" i="13"/>
  <c r="D1349" i="13"/>
  <c r="C1349" i="13"/>
  <c r="B1349" i="13"/>
  <c r="D1348" i="13"/>
  <c r="C1348" i="13"/>
  <c r="B1348" i="13"/>
  <c r="D1347" i="13"/>
  <c r="C1347" i="13"/>
  <c r="B1347" i="13"/>
  <c r="D1346" i="13"/>
  <c r="C1346" i="13"/>
  <c r="B1346" i="13"/>
  <c r="D1345" i="13"/>
  <c r="C1345" i="13"/>
  <c r="B1345" i="13"/>
  <c r="D1344" i="13"/>
  <c r="C1344" i="13"/>
  <c r="B1344" i="13"/>
  <c r="D1343" i="13"/>
  <c r="C1343" i="13"/>
  <c r="B1343" i="13"/>
  <c r="D1342" i="13"/>
  <c r="C1342" i="13"/>
  <c r="B1342" i="13"/>
  <c r="C1341" i="13"/>
  <c r="B1341" i="13"/>
  <c r="C1340" i="13"/>
  <c r="B1340" i="13"/>
  <c r="C1339" i="13"/>
  <c r="B1339" i="13"/>
  <c r="C1338" i="13"/>
  <c r="B1338" i="13"/>
  <c r="C1337" i="13"/>
  <c r="B1337" i="13"/>
  <c r="C1336" i="13"/>
  <c r="B1336" i="13"/>
  <c r="C1335" i="13"/>
  <c r="B1335" i="13"/>
  <c r="C1334" i="13"/>
  <c r="B1334" i="13"/>
  <c r="C1333" i="13"/>
  <c r="B1333" i="13"/>
  <c r="C1332" i="13"/>
  <c r="B1332" i="13"/>
  <c r="D1331" i="13"/>
  <c r="C1331" i="13"/>
  <c r="B1331" i="13"/>
  <c r="D1330" i="13"/>
  <c r="C1330" i="13"/>
  <c r="B1330" i="13"/>
  <c r="D1329" i="13"/>
  <c r="C1329" i="13"/>
  <c r="B1329" i="13"/>
  <c r="D1328" i="13"/>
  <c r="C1328" i="13"/>
  <c r="B1328" i="13"/>
  <c r="D1327" i="13"/>
  <c r="C1327" i="13"/>
  <c r="B1327" i="13"/>
  <c r="D1326" i="13"/>
  <c r="C1326" i="13"/>
  <c r="B1326" i="13"/>
  <c r="C1325" i="13"/>
  <c r="B1325" i="13"/>
  <c r="D1324" i="13"/>
  <c r="C1324" i="13"/>
  <c r="B1324" i="13"/>
  <c r="D1323" i="13"/>
  <c r="C1323" i="13"/>
  <c r="B1323" i="13"/>
  <c r="D1322" i="13"/>
  <c r="C1322" i="13"/>
  <c r="B1322" i="13"/>
  <c r="D1321" i="13"/>
  <c r="C1321" i="13"/>
  <c r="B1321" i="13"/>
  <c r="D1320" i="13"/>
  <c r="C1320" i="13"/>
  <c r="B1320" i="13"/>
  <c r="D1319" i="13"/>
  <c r="C1319" i="13"/>
  <c r="B1319" i="13"/>
  <c r="D1318" i="13"/>
  <c r="C1318" i="13"/>
  <c r="B1318" i="13"/>
  <c r="C1317" i="13"/>
  <c r="B1317" i="13"/>
  <c r="D1316" i="13"/>
  <c r="C1316" i="13"/>
  <c r="B1316" i="13"/>
  <c r="D1315" i="13"/>
  <c r="C1315" i="13"/>
  <c r="B1315" i="13"/>
  <c r="D1314" i="13"/>
  <c r="C1314" i="13"/>
  <c r="B1314" i="13"/>
  <c r="D1313" i="13"/>
  <c r="C1313" i="13"/>
  <c r="B1313" i="13"/>
  <c r="D1312" i="13"/>
  <c r="C1312" i="13"/>
  <c r="B1312" i="13"/>
  <c r="D1311" i="13"/>
  <c r="C1311" i="13"/>
  <c r="B1311" i="13"/>
  <c r="D1310" i="13"/>
  <c r="C1310" i="13"/>
  <c r="B1310" i="13"/>
  <c r="D1309" i="13"/>
  <c r="C1309" i="13"/>
  <c r="B1309" i="13"/>
  <c r="D1308" i="13"/>
  <c r="C1308" i="13"/>
  <c r="B1308" i="13"/>
  <c r="D1307" i="13"/>
  <c r="C1307" i="13"/>
  <c r="B1307" i="13"/>
  <c r="D1306" i="13"/>
  <c r="C1306" i="13"/>
  <c r="B1306" i="13"/>
  <c r="D1305" i="13"/>
  <c r="C1305" i="13"/>
  <c r="B1305" i="13"/>
  <c r="D1304" i="13"/>
  <c r="C1304" i="13"/>
  <c r="B1304" i="13"/>
  <c r="D1303" i="13"/>
  <c r="C1303" i="13"/>
  <c r="B1303" i="13"/>
  <c r="C1302" i="13"/>
  <c r="B1302" i="13"/>
  <c r="C1301" i="13"/>
  <c r="B1301" i="13"/>
  <c r="D1300" i="13"/>
  <c r="C1300" i="13"/>
  <c r="B1300" i="13"/>
  <c r="C1299" i="13"/>
  <c r="B1299" i="13"/>
  <c r="C1298" i="13"/>
  <c r="B1298" i="13"/>
  <c r="C1297" i="13"/>
  <c r="B1297" i="13"/>
  <c r="C1296" i="13"/>
  <c r="B1296" i="13"/>
  <c r="C1295" i="13"/>
  <c r="B1295" i="13"/>
  <c r="C1294" i="13"/>
  <c r="B1294" i="13"/>
  <c r="C1293" i="13"/>
  <c r="B1293" i="13"/>
  <c r="C1292" i="13"/>
  <c r="B1292" i="13"/>
  <c r="C1291" i="13"/>
  <c r="B1291" i="13"/>
  <c r="C1290" i="13"/>
  <c r="B1290" i="13"/>
  <c r="C1289" i="13"/>
  <c r="B1289" i="13"/>
  <c r="C1288" i="13"/>
  <c r="B1288" i="13"/>
  <c r="C1287" i="13"/>
  <c r="B1287" i="13"/>
  <c r="C1286" i="13"/>
  <c r="B1286" i="13"/>
  <c r="C1285" i="13"/>
  <c r="B1285" i="13"/>
  <c r="C1284" i="13"/>
  <c r="B1284" i="13"/>
  <c r="C1283" i="13"/>
  <c r="B1283" i="13"/>
  <c r="C1282" i="13"/>
  <c r="B1282" i="13"/>
  <c r="C1281" i="13"/>
  <c r="B1281" i="13"/>
  <c r="C1280" i="13"/>
  <c r="B1280" i="13"/>
  <c r="C1279" i="13"/>
  <c r="B1279" i="13"/>
  <c r="C1278" i="13"/>
  <c r="B1278" i="13"/>
  <c r="C1277" i="13"/>
  <c r="B1277" i="13"/>
  <c r="C1276" i="13"/>
  <c r="B1276" i="13"/>
  <c r="C1275" i="13"/>
  <c r="B1275" i="13"/>
  <c r="C1274" i="13"/>
  <c r="B1274" i="13"/>
  <c r="C1273" i="13"/>
  <c r="B1273" i="13"/>
  <c r="C1272" i="13"/>
  <c r="B1272" i="13"/>
  <c r="C1271" i="13"/>
  <c r="B1271" i="13"/>
  <c r="C1270" i="13"/>
  <c r="B1270" i="13"/>
  <c r="C1269" i="13"/>
  <c r="B1269" i="13"/>
  <c r="C1268" i="13"/>
  <c r="B1268" i="13"/>
  <c r="C1267" i="13"/>
  <c r="B1267" i="13"/>
  <c r="C1266" i="13"/>
  <c r="B1266" i="13"/>
  <c r="C1265" i="13"/>
  <c r="B1265" i="13"/>
  <c r="C1264" i="13"/>
  <c r="B1264" i="13"/>
  <c r="C1263" i="13"/>
  <c r="B1263" i="13"/>
  <c r="D1262" i="13"/>
  <c r="C1262" i="13"/>
  <c r="B1262" i="13"/>
  <c r="C1261" i="13"/>
  <c r="B1261" i="13"/>
  <c r="C1260" i="13"/>
  <c r="B1260" i="13"/>
  <c r="C1259" i="13"/>
  <c r="B1259" i="13"/>
  <c r="C1258" i="13"/>
  <c r="B1258" i="13"/>
  <c r="C1257" i="13"/>
  <c r="B1257" i="13"/>
  <c r="C1256" i="13"/>
  <c r="B1256" i="13"/>
  <c r="C1255" i="13"/>
  <c r="B1255" i="13"/>
  <c r="D1254" i="13"/>
  <c r="C1254" i="13"/>
  <c r="B1254" i="13"/>
  <c r="C1253" i="13"/>
  <c r="B1253" i="13"/>
  <c r="C1252" i="13"/>
  <c r="B1252" i="13"/>
  <c r="C1251" i="13"/>
  <c r="B1251" i="13"/>
  <c r="C1250" i="13"/>
  <c r="B1250" i="13"/>
  <c r="C1249" i="13"/>
  <c r="B1249" i="13"/>
  <c r="C1248" i="13"/>
  <c r="B1248" i="13"/>
  <c r="C1247" i="13"/>
  <c r="B1247" i="13"/>
  <c r="C1246" i="13"/>
  <c r="B1246" i="13"/>
  <c r="C1245" i="13"/>
  <c r="B1245" i="13"/>
  <c r="C1244" i="13"/>
  <c r="B1244" i="13"/>
  <c r="C1243" i="13"/>
  <c r="B1243" i="13"/>
  <c r="C1242" i="13"/>
  <c r="B1242" i="13"/>
  <c r="C1241" i="13"/>
  <c r="B1241" i="13"/>
  <c r="C1240" i="13"/>
  <c r="B1240" i="13"/>
  <c r="C1239" i="13"/>
  <c r="B1239" i="13"/>
  <c r="C1238" i="13"/>
  <c r="B1238" i="13"/>
  <c r="C1237" i="13"/>
  <c r="B1237" i="13"/>
  <c r="D1236" i="13"/>
  <c r="C1236" i="13"/>
  <c r="B1236" i="13"/>
  <c r="C1235" i="13"/>
  <c r="B1235" i="13"/>
  <c r="C1234" i="13"/>
  <c r="B1234" i="13"/>
  <c r="C1233" i="13"/>
  <c r="B1233" i="13"/>
  <c r="C1232" i="13"/>
  <c r="B1232" i="13"/>
  <c r="C1231" i="13"/>
  <c r="B1231" i="13"/>
  <c r="C1230" i="13"/>
  <c r="B1230" i="13"/>
  <c r="C1229" i="13"/>
  <c r="B1229" i="13"/>
  <c r="D1228" i="13"/>
  <c r="C1228" i="13"/>
  <c r="B1228" i="13"/>
  <c r="C1227" i="13"/>
  <c r="B1227" i="13"/>
  <c r="C1226" i="13"/>
  <c r="B1226" i="13"/>
  <c r="C1225" i="13"/>
  <c r="B1225" i="13"/>
  <c r="C1224" i="13"/>
  <c r="B1224" i="13"/>
  <c r="C1223" i="13"/>
  <c r="B1223" i="13"/>
  <c r="C1222" i="13"/>
  <c r="B1222" i="13"/>
  <c r="C1221" i="13"/>
  <c r="B1221" i="13"/>
  <c r="D1220" i="13"/>
  <c r="C1220" i="13"/>
  <c r="B1220" i="13"/>
  <c r="C1219" i="13"/>
  <c r="B1219" i="13"/>
  <c r="C1218" i="13"/>
  <c r="B1218" i="13"/>
  <c r="C1217" i="13"/>
  <c r="B1217" i="13"/>
  <c r="C1216" i="13"/>
  <c r="B1216" i="13"/>
  <c r="C1215" i="13"/>
  <c r="B1215" i="13"/>
  <c r="C1214" i="13"/>
  <c r="B1214" i="13"/>
  <c r="C1213" i="13"/>
  <c r="B1213" i="13"/>
  <c r="C1212" i="13"/>
  <c r="B1212" i="13"/>
  <c r="C1211" i="13"/>
  <c r="B1211" i="13"/>
  <c r="C1210" i="13"/>
  <c r="B1210" i="13"/>
  <c r="C1209" i="13"/>
  <c r="B1209" i="13"/>
  <c r="C1208" i="13"/>
  <c r="B1208" i="13"/>
  <c r="C1207" i="13"/>
  <c r="B1207" i="13"/>
  <c r="C1206" i="13"/>
  <c r="B1206" i="13"/>
  <c r="C1205" i="13"/>
  <c r="B1205" i="13"/>
  <c r="D1204" i="13"/>
  <c r="C1204" i="13"/>
  <c r="B1204" i="13"/>
  <c r="C1203" i="13"/>
  <c r="B1203" i="13"/>
  <c r="C1202" i="13"/>
  <c r="B1202" i="13"/>
  <c r="C1201" i="13"/>
  <c r="B1201" i="13"/>
  <c r="D1200" i="13"/>
  <c r="C1200" i="13"/>
  <c r="B1200" i="13"/>
  <c r="C1199" i="13"/>
  <c r="B1199" i="13"/>
  <c r="C1198" i="13"/>
  <c r="B1198" i="13"/>
  <c r="C1197" i="13"/>
  <c r="B1197" i="13"/>
  <c r="D1196" i="13"/>
  <c r="C1196" i="13"/>
  <c r="B1196" i="13"/>
  <c r="C1195" i="13"/>
  <c r="B1195" i="13"/>
  <c r="C1194" i="13"/>
  <c r="B1194" i="13"/>
  <c r="C1193" i="13"/>
  <c r="B1193" i="13"/>
  <c r="C1192" i="13"/>
  <c r="B1192" i="13"/>
  <c r="C1191" i="13"/>
  <c r="B1191" i="13"/>
  <c r="D1190" i="13"/>
  <c r="C1190" i="13"/>
  <c r="B1190" i="13"/>
  <c r="C1189" i="13"/>
  <c r="B1189" i="13"/>
  <c r="C1188" i="13"/>
  <c r="B1188" i="13"/>
  <c r="C1187" i="13"/>
  <c r="B1187" i="13"/>
  <c r="C1186" i="13"/>
  <c r="B1186" i="13"/>
  <c r="D1185" i="13"/>
  <c r="C1185" i="13"/>
  <c r="B1185" i="13"/>
  <c r="D1184" i="13"/>
  <c r="C1184" i="13"/>
  <c r="B1184" i="13"/>
  <c r="D1183" i="13"/>
  <c r="C1183" i="13"/>
  <c r="B1183" i="13"/>
  <c r="D1182" i="13"/>
  <c r="C1182" i="13"/>
  <c r="B1182" i="13"/>
  <c r="D1181" i="13"/>
  <c r="C1181" i="13"/>
  <c r="B1181" i="13"/>
  <c r="D1180" i="13"/>
  <c r="C1180" i="13"/>
  <c r="B1180" i="13"/>
  <c r="D1179" i="13"/>
  <c r="C1179" i="13"/>
  <c r="B1179" i="13"/>
  <c r="D1178" i="13"/>
  <c r="C1178" i="13"/>
  <c r="B1178" i="13"/>
  <c r="D1177" i="13"/>
  <c r="C1177" i="13"/>
  <c r="B1177" i="13"/>
  <c r="D1176" i="13"/>
  <c r="C1176" i="13"/>
  <c r="B1176" i="13"/>
  <c r="D1175" i="13"/>
  <c r="C1175" i="13"/>
  <c r="B1175" i="13"/>
  <c r="D1174" i="13"/>
  <c r="C1174" i="13"/>
  <c r="B1174" i="13"/>
  <c r="D1173" i="13"/>
  <c r="C1173" i="13"/>
  <c r="B1173" i="13"/>
  <c r="D1172" i="13"/>
  <c r="C1172" i="13"/>
  <c r="B1172" i="13"/>
  <c r="D1171" i="13"/>
  <c r="C1171" i="13"/>
  <c r="B1171" i="13"/>
  <c r="D1170" i="13"/>
  <c r="C1170" i="13"/>
  <c r="B1170" i="13"/>
  <c r="D1169" i="13"/>
  <c r="C1169" i="13"/>
  <c r="B1169" i="13"/>
  <c r="D1168" i="13"/>
  <c r="C1168" i="13"/>
  <c r="B1168" i="13"/>
  <c r="D1167" i="13"/>
  <c r="C1167" i="13"/>
  <c r="B1167" i="13"/>
  <c r="D1166" i="13"/>
  <c r="C1166" i="13"/>
  <c r="B1166" i="13"/>
  <c r="D1165" i="13"/>
  <c r="C1165" i="13"/>
  <c r="B1165" i="13"/>
  <c r="D1164" i="13"/>
  <c r="C1164" i="13"/>
  <c r="B1164" i="13"/>
  <c r="D1163" i="13"/>
  <c r="C1163" i="13"/>
  <c r="B1163" i="13"/>
  <c r="D1162" i="13"/>
  <c r="C1162" i="13"/>
  <c r="B1162" i="13"/>
  <c r="D1161" i="13"/>
  <c r="C1161" i="13"/>
  <c r="B1161" i="13"/>
  <c r="D1160" i="13"/>
  <c r="C1160" i="13"/>
  <c r="B1160" i="13"/>
  <c r="D1159" i="13"/>
  <c r="C1159" i="13"/>
  <c r="B1159" i="13"/>
  <c r="D1158" i="13"/>
  <c r="C1158" i="13"/>
  <c r="B1158" i="13"/>
  <c r="D1157" i="13"/>
  <c r="C1157" i="13"/>
  <c r="B1157" i="13"/>
  <c r="D1156" i="13"/>
  <c r="C1156" i="13"/>
  <c r="B1156" i="13"/>
  <c r="D1155" i="13"/>
  <c r="C1155" i="13"/>
  <c r="B1155" i="13"/>
  <c r="D1154" i="13"/>
  <c r="C1154" i="13"/>
  <c r="B1154" i="13"/>
  <c r="D1153" i="13"/>
  <c r="C1153" i="13"/>
  <c r="B1153" i="13"/>
  <c r="D1152" i="13"/>
  <c r="C1152" i="13"/>
  <c r="B1152" i="13"/>
  <c r="D1151" i="13"/>
  <c r="C1151" i="13"/>
  <c r="B1151" i="13"/>
  <c r="D1150" i="13"/>
  <c r="C1150" i="13"/>
  <c r="B1150" i="13"/>
  <c r="D1149" i="13"/>
  <c r="C1149" i="13"/>
  <c r="B1149" i="13"/>
  <c r="D1148" i="13"/>
  <c r="C1148" i="13"/>
  <c r="B1148" i="13"/>
  <c r="D1147" i="13"/>
  <c r="C1147" i="13"/>
  <c r="B1147" i="13"/>
  <c r="D1146" i="13"/>
  <c r="C1146" i="13"/>
  <c r="B1146" i="13"/>
  <c r="D1145" i="13"/>
  <c r="C1145" i="13"/>
  <c r="B1145" i="13"/>
  <c r="D1144" i="13"/>
  <c r="C1144" i="13"/>
  <c r="B1144" i="13"/>
  <c r="D1143" i="13"/>
  <c r="C1143" i="13"/>
  <c r="B1143" i="13"/>
  <c r="D1142" i="13"/>
  <c r="C1142" i="13"/>
  <c r="B1142" i="13"/>
  <c r="D1141" i="13"/>
  <c r="C1141" i="13"/>
  <c r="B1141" i="13"/>
  <c r="D1140" i="13"/>
  <c r="C1140" i="13"/>
  <c r="B1140" i="13"/>
  <c r="D1139" i="13"/>
  <c r="C1139" i="13"/>
  <c r="B1139" i="13"/>
  <c r="D1138" i="13"/>
  <c r="C1138" i="13"/>
  <c r="B1138" i="13"/>
  <c r="D1137" i="13"/>
  <c r="C1137" i="13"/>
  <c r="B1137" i="13"/>
  <c r="D1136" i="13"/>
  <c r="C1136" i="13"/>
  <c r="B1136" i="13"/>
  <c r="D1135" i="13"/>
  <c r="C1135" i="13"/>
  <c r="B1135" i="13"/>
  <c r="D1134" i="13"/>
  <c r="C1134" i="13"/>
  <c r="B1134" i="13"/>
  <c r="D1133" i="13"/>
  <c r="C1133" i="13"/>
  <c r="B1133" i="13"/>
  <c r="D1132" i="13"/>
  <c r="C1132" i="13"/>
  <c r="B1132" i="13"/>
  <c r="D1131" i="13"/>
  <c r="C1131" i="13"/>
  <c r="B1131" i="13"/>
  <c r="D1130" i="13"/>
  <c r="C1130" i="13"/>
  <c r="B1130" i="13"/>
  <c r="D1129" i="13"/>
  <c r="C1129" i="13"/>
  <c r="B1129" i="13"/>
  <c r="D1128" i="13"/>
  <c r="C1128" i="13"/>
  <c r="B1128" i="13"/>
  <c r="D1127" i="13"/>
  <c r="C1127" i="13"/>
  <c r="B1127" i="13"/>
  <c r="D1126" i="13"/>
  <c r="C1126" i="13"/>
  <c r="B1126" i="13"/>
  <c r="A1126" i="13"/>
  <c r="D1125" i="13"/>
  <c r="C1125" i="13"/>
  <c r="B1125" i="13"/>
  <c r="A1125" i="13"/>
  <c r="D1124" i="13"/>
  <c r="C1124" i="13"/>
  <c r="B1124" i="13"/>
  <c r="A1124" i="13"/>
  <c r="D1123" i="13"/>
  <c r="C1123" i="13"/>
  <c r="B1123" i="13"/>
  <c r="A1123" i="13"/>
  <c r="D1122" i="13"/>
  <c r="C1122" i="13"/>
  <c r="B1122" i="13"/>
  <c r="A1122" i="13"/>
  <c r="D1121" i="13"/>
  <c r="C1121" i="13"/>
  <c r="B1121" i="13"/>
  <c r="A1121" i="13"/>
  <c r="D1120" i="13"/>
  <c r="C1120" i="13"/>
  <c r="B1120" i="13"/>
  <c r="A1120" i="13"/>
  <c r="D1119" i="13"/>
  <c r="C1119" i="13"/>
  <c r="B1119" i="13"/>
  <c r="A1119" i="13"/>
  <c r="D1118" i="13"/>
  <c r="C1118" i="13"/>
  <c r="B1118" i="13"/>
  <c r="A1118" i="13"/>
  <c r="D1117" i="13"/>
  <c r="C1117" i="13"/>
  <c r="B1117" i="13"/>
  <c r="A1117" i="13"/>
  <c r="D1116" i="13"/>
  <c r="C1116" i="13"/>
  <c r="B1116" i="13"/>
  <c r="A1116" i="13"/>
  <c r="D1115" i="13"/>
  <c r="C1115" i="13"/>
  <c r="B1115" i="13"/>
  <c r="A1115" i="13"/>
  <c r="D1114" i="13"/>
  <c r="C1114" i="13"/>
  <c r="B1114" i="13"/>
  <c r="A1114" i="13"/>
  <c r="D1113" i="13"/>
  <c r="C1113" i="13"/>
  <c r="B1113" i="13"/>
  <c r="A1113" i="13"/>
  <c r="D1112" i="13"/>
  <c r="C1112" i="13"/>
  <c r="B1112" i="13"/>
  <c r="A1112" i="13"/>
  <c r="D1111" i="13"/>
  <c r="C1111" i="13"/>
  <c r="B1111" i="13"/>
  <c r="A1111" i="13"/>
  <c r="D1110" i="13"/>
  <c r="C1110" i="13"/>
  <c r="B1110" i="13"/>
  <c r="A1110" i="13"/>
  <c r="D1109" i="13"/>
  <c r="C1109" i="13"/>
  <c r="B1109" i="13"/>
  <c r="A1109" i="13"/>
  <c r="D1108" i="13"/>
  <c r="C1108" i="13"/>
  <c r="B1108" i="13"/>
  <c r="A1108" i="13"/>
  <c r="D1107" i="13"/>
  <c r="C1107" i="13"/>
  <c r="B1107" i="13"/>
  <c r="A1107" i="13"/>
  <c r="D1106" i="13"/>
  <c r="C1106" i="13"/>
  <c r="B1106" i="13"/>
  <c r="A1106" i="13"/>
  <c r="D1105" i="13"/>
  <c r="C1105" i="13"/>
  <c r="B1105" i="13"/>
  <c r="A1105" i="13"/>
  <c r="D1104" i="13"/>
  <c r="C1104" i="13"/>
  <c r="B1104" i="13"/>
  <c r="A1104" i="13"/>
  <c r="D1103" i="13"/>
  <c r="C1103" i="13"/>
  <c r="B1103" i="13"/>
  <c r="A1103" i="13"/>
  <c r="D1102" i="13"/>
  <c r="C1102" i="13"/>
  <c r="B1102" i="13"/>
  <c r="A1102" i="13"/>
  <c r="D1101" i="13"/>
  <c r="C1101" i="13"/>
  <c r="B1101" i="13"/>
  <c r="A1101" i="13"/>
  <c r="D1100" i="13"/>
  <c r="C1100" i="13"/>
  <c r="B1100" i="13"/>
  <c r="A1100" i="13"/>
  <c r="D1099" i="13"/>
  <c r="C1099" i="13"/>
  <c r="B1099" i="13"/>
  <c r="A1099" i="13"/>
  <c r="D1098" i="13"/>
  <c r="C1098" i="13"/>
  <c r="B1098" i="13"/>
  <c r="A1098" i="13"/>
  <c r="D1097" i="13"/>
  <c r="C1097" i="13"/>
  <c r="B1097" i="13"/>
  <c r="A1097" i="13"/>
  <c r="D1096" i="13"/>
  <c r="C1096" i="13"/>
  <c r="B1096" i="13"/>
  <c r="A1096" i="13"/>
  <c r="D1095" i="13"/>
  <c r="C1095" i="13"/>
  <c r="B1095" i="13"/>
  <c r="A1095" i="13"/>
  <c r="D1094" i="13"/>
  <c r="C1094" i="13"/>
  <c r="B1094" i="13"/>
  <c r="A1094" i="13"/>
  <c r="D1093" i="13"/>
  <c r="C1093" i="13"/>
  <c r="B1093" i="13"/>
  <c r="A1093" i="13"/>
  <c r="D1092" i="13"/>
  <c r="C1092" i="13"/>
  <c r="B1092" i="13"/>
  <c r="A1092" i="13"/>
  <c r="D1091" i="13"/>
  <c r="C1091" i="13"/>
  <c r="B1091" i="13"/>
  <c r="A1091" i="13"/>
  <c r="D1090" i="13"/>
  <c r="C1090" i="13"/>
  <c r="B1090" i="13"/>
  <c r="A1090" i="13"/>
  <c r="D1089" i="13"/>
  <c r="C1089" i="13"/>
  <c r="B1089" i="13"/>
  <c r="A1089" i="13"/>
  <c r="D1088" i="13"/>
  <c r="C1088" i="13"/>
  <c r="B1088" i="13"/>
  <c r="A1088" i="13"/>
  <c r="D1087" i="13"/>
  <c r="C1087" i="13"/>
  <c r="B1087" i="13"/>
  <c r="A1087" i="13"/>
  <c r="D1086" i="13"/>
  <c r="C1086" i="13"/>
  <c r="B1086" i="13"/>
  <c r="A1086" i="13"/>
  <c r="D1085" i="13"/>
  <c r="C1085" i="13"/>
  <c r="B1085" i="13"/>
  <c r="A1085" i="13"/>
  <c r="D1084" i="13"/>
  <c r="C1084" i="13"/>
  <c r="B1084" i="13"/>
  <c r="A1084" i="13"/>
  <c r="D1083" i="13"/>
  <c r="C1083" i="13"/>
  <c r="B1083" i="13"/>
  <c r="A1083" i="13"/>
  <c r="D1082" i="13"/>
  <c r="C1082" i="13"/>
  <c r="B1082" i="13"/>
  <c r="A1082" i="13"/>
  <c r="D1081" i="13"/>
  <c r="C1081" i="13"/>
  <c r="B1081" i="13"/>
  <c r="A1081" i="13"/>
  <c r="D1080" i="13"/>
  <c r="C1080" i="13"/>
  <c r="B1080" i="13"/>
  <c r="A1080" i="13"/>
  <c r="D1079" i="13"/>
  <c r="C1079" i="13"/>
  <c r="B1079" i="13"/>
  <c r="A1079" i="13"/>
  <c r="D1078" i="13"/>
  <c r="C1078" i="13"/>
  <c r="B1078" i="13"/>
  <c r="A1078" i="13"/>
  <c r="D1077" i="13"/>
  <c r="C1077" i="13"/>
  <c r="B1077" i="13"/>
  <c r="A1077" i="13"/>
  <c r="D1076" i="13"/>
  <c r="C1076" i="13"/>
  <c r="B1076" i="13"/>
  <c r="A1076" i="13"/>
  <c r="D1075" i="13"/>
  <c r="C1075" i="13"/>
  <c r="B1075" i="13"/>
  <c r="A1075" i="13"/>
  <c r="D1074" i="13"/>
  <c r="C1074" i="13"/>
  <c r="B1074" i="13"/>
  <c r="A1074" i="13"/>
  <c r="D1073" i="13"/>
  <c r="C1073" i="13"/>
  <c r="B1073" i="13"/>
  <c r="A1073" i="13"/>
  <c r="D1072" i="13"/>
  <c r="C1072" i="13"/>
  <c r="B1072" i="13"/>
  <c r="A1072" i="13"/>
  <c r="D1071" i="13"/>
  <c r="C1071" i="13"/>
  <c r="B1071" i="13"/>
  <c r="A1071" i="13"/>
  <c r="D1070" i="13"/>
  <c r="C1070" i="13"/>
  <c r="B1070" i="13"/>
  <c r="A1070" i="13"/>
  <c r="D1069" i="13"/>
  <c r="C1069" i="13"/>
  <c r="B1069" i="13"/>
  <c r="A1069" i="13"/>
  <c r="D1068" i="13"/>
  <c r="C1068" i="13"/>
  <c r="B1068" i="13"/>
  <c r="A1068" i="13"/>
  <c r="D1067" i="13"/>
  <c r="C1067" i="13"/>
  <c r="B1067" i="13"/>
  <c r="A1067" i="13"/>
  <c r="D1066" i="13"/>
  <c r="C1066" i="13"/>
  <c r="B1066" i="13"/>
  <c r="A1066" i="13"/>
  <c r="D1065" i="13"/>
  <c r="C1065" i="13"/>
  <c r="B1065" i="13"/>
  <c r="A1065" i="13"/>
  <c r="D1064" i="13"/>
  <c r="C1064" i="13"/>
  <c r="B1064" i="13"/>
  <c r="A1064" i="13"/>
  <c r="D1063" i="13"/>
  <c r="C1063" i="13"/>
  <c r="B1063" i="13"/>
  <c r="A1063" i="13"/>
  <c r="D1062" i="13"/>
  <c r="C1062" i="13"/>
  <c r="B1062" i="13"/>
  <c r="A1062" i="13"/>
  <c r="D1061" i="13"/>
  <c r="C1061" i="13"/>
  <c r="B1061" i="13"/>
  <c r="A1061" i="13"/>
  <c r="D1060" i="13"/>
  <c r="C1060" i="13"/>
  <c r="B1060" i="13"/>
  <c r="A1060" i="13"/>
  <c r="D1059" i="13"/>
  <c r="C1059" i="13"/>
  <c r="B1059" i="13"/>
  <c r="A1059" i="13"/>
  <c r="D1058" i="13"/>
  <c r="C1058" i="13"/>
  <c r="B1058" i="13"/>
  <c r="A1058" i="13"/>
  <c r="D1057" i="13"/>
  <c r="C1057" i="13"/>
  <c r="B1057" i="13"/>
  <c r="A1057" i="13"/>
  <c r="D1056" i="13"/>
  <c r="C1056" i="13"/>
  <c r="B1056" i="13"/>
  <c r="A1056" i="13"/>
  <c r="D1055" i="13"/>
  <c r="C1055" i="13"/>
  <c r="B1055" i="13"/>
  <c r="A1055" i="13"/>
  <c r="D1054" i="13"/>
  <c r="C1054" i="13"/>
  <c r="B1054" i="13"/>
  <c r="A1054" i="13"/>
  <c r="D1053" i="13"/>
  <c r="C1053" i="13"/>
  <c r="B1053" i="13"/>
  <c r="A1053" i="13"/>
  <c r="D1052" i="13"/>
  <c r="C1052" i="13"/>
  <c r="B1052" i="13"/>
  <c r="A1052" i="13"/>
  <c r="D1051" i="13"/>
  <c r="C1051" i="13"/>
  <c r="B1051" i="13"/>
  <c r="A1051" i="13"/>
  <c r="D1050" i="13"/>
  <c r="C1050" i="13"/>
  <c r="B1050" i="13"/>
  <c r="A1050" i="13"/>
  <c r="D1049" i="13"/>
  <c r="C1049" i="13"/>
  <c r="B1049" i="13"/>
  <c r="A1049" i="13"/>
  <c r="D1048" i="13"/>
  <c r="C1048" i="13"/>
  <c r="B1048" i="13"/>
  <c r="A1048" i="13"/>
  <c r="D1047" i="13"/>
  <c r="C1047" i="13"/>
  <c r="B1047" i="13"/>
  <c r="A1047" i="13"/>
  <c r="D1046" i="13"/>
  <c r="C1046" i="13"/>
  <c r="B1046" i="13"/>
  <c r="A1046" i="13"/>
  <c r="D1045" i="13"/>
  <c r="C1045" i="13"/>
  <c r="B1045" i="13"/>
  <c r="A1045" i="13"/>
  <c r="D1044" i="13"/>
  <c r="C1044" i="13"/>
  <c r="B1044" i="13"/>
  <c r="A1044" i="13"/>
  <c r="D1043" i="13"/>
  <c r="C1043" i="13"/>
  <c r="B1043" i="13"/>
  <c r="A1043" i="13"/>
  <c r="D1042" i="13"/>
  <c r="C1042" i="13"/>
  <c r="B1042" i="13"/>
  <c r="A1042" i="13"/>
  <c r="D1041" i="13"/>
  <c r="C1041" i="13"/>
  <c r="B1041" i="13"/>
  <c r="A1041" i="13"/>
  <c r="D1040" i="13"/>
  <c r="C1040" i="13"/>
  <c r="B1040" i="13"/>
  <c r="A1040" i="13"/>
  <c r="D1039" i="13"/>
  <c r="C1039" i="13"/>
  <c r="B1039" i="13"/>
  <c r="A1039" i="13"/>
  <c r="D1038" i="13"/>
  <c r="C1038" i="13"/>
  <c r="B1038" i="13"/>
  <c r="A1038" i="13"/>
  <c r="D1037" i="13"/>
  <c r="C1037" i="13"/>
  <c r="B1037" i="13"/>
  <c r="A1037" i="13"/>
  <c r="D1036" i="13"/>
  <c r="C1036" i="13"/>
  <c r="B1036" i="13"/>
  <c r="A1036" i="13"/>
  <c r="D1035" i="13"/>
  <c r="C1035" i="13"/>
  <c r="B1035" i="13"/>
  <c r="A1035" i="13"/>
  <c r="D1034" i="13"/>
  <c r="C1034" i="13"/>
  <c r="B1034" i="13"/>
  <c r="A1034" i="13"/>
  <c r="D1033" i="13"/>
  <c r="C1033" i="13"/>
  <c r="B1033" i="13"/>
  <c r="A1033" i="13"/>
  <c r="D1032" i="13"/>
  <c r="C1032" i="13"/>
  <c r="B1032" i="13"/>
  <c r="A1032" i="13"/>
  <c r="D1031" i="13"/>
  <c r="C1031" i="13"/>
  <c r="B1031" i="13"/>
  <c r="A1031" i="13"/>
  <c r="D1030" i="13"/>
  <c r="C1030" i="13"/>
  <c r="B1030" i="13"/>
  <c r="A1030" i="13"/>
  <c r="D1029" i="13"/>
  <c r="C1029" i="13"/>
  <c r="B1029" i="13"/>
  <c r="A1029" i="13"/>
  <c r="D1028" i="13"/>
  <c r="C1028" i="13"/>
  <c r="B1028" i="13"/>
  <c r="A1028" i="13"/>
  <c r="D1027" i="13"/>
  <c r="C1027" i="13"/>
  <c r="B1027" i="13"/>
  <c r="A1027" i="13"/>
  <c r="D1026" i="13"/>
  <c r="C1026" i="13"/>
  <c r="B1026" i="13"/>
  <c r="A1026" i="13"/>
  <c r="D1025" i="13"/>
  <c r="C1025" i="13"/>
  <c r="B1025" i="13"/>
  <c r="A1025" i="13"/>
  <c r="D1024" i="13"/>
  <c r="C1024" i="13"/>
  <c r="B1024" i="13"/>
  <c r="A1024" i="13"/>
  <c r="D1023" i="13"/>
  <c r="C1023" i="13"/>
  <c r="B1023" i="13"/>
  <c r="A1023" i="13"/>
  <c r="D1022" i="13"/>
  <c r="C1022" i="13"/>
  <c r="B1022" i="13"/>
  <c r="A1022" i="13"/>
  <c r="D1021" i="13"/>
  <c r="C1021" i="13"/>
  <c r="B1021" i="13"/>
  <c r="A1021" i="13"/>
  <c r="D1020" i="13"/>
  <c r="C1020" i="13"/>
  <c r="B1020" i="13"/>
  <c r="A1020" i="13"/>
  <c r="D1019" i="13"/>
  <c r="C1019" i="13"/>
  <c r="B1019" i="13"/>
  <c r="A1019" i="13"/>
  <c r="D1018" i="13"/>
  <c r="C1018" i="13"/>
  <c r="B1018" i="13"/>
  <c r="A1018" i="13"/>
  <c r="D1017" i="13"/>
  <c r="C1017" i="13"/>
  <c r="B1017" i="13"/>
  <c r="A1017" i="13"/>
  <c r="D1016" i="13"/>
  <c r="C1016" i="13"/>
  <c r="B1016" i="13"/>
  <c r="A1016" i="13"/>
  <c r="D1015" i="13"/>
  <c r="C1015" i="13"/>
  <c r="B1015" i="13"/>
  <c r="A1015" i="13"/>
  <c r="D1014" i="13"/>
  <c r="C1014" i="13"/>
  <c r="B1014" i="13"/>
  <c r="A1014" i="13"/>
  <c r="D1013" i="13"/>
  <c r="C1013" i="13"/>
  <c r="B1013" i="13"/>
  <c r="A1013" i="13"/>
  <c r="D1012" i="13"/>
  <c r="C1012" i="13"/>
  <c r="B1012" i="13"/>
  <c r="A1012" i="13"/>
  <c r="D1011" i="13"/>
  <c r="C1011" i="13"/>
  <c r="B1011" i="13"/>
  <c r="A1011" i="13"/>
  <c r="D1010" i="13"/>
  <c r="C1010" i="13"/>
  <c r="B1010" i="13"/>
  <c r="A1010" i="13"/>
  <c r="D1009" i="13"/>
  <c r="C1009" i="13"/>
  <c r="B1009" i="13"/>
  <c r="A1009" i="13"/>
  <c r="D1008" i="13"/>
  <c r="C1008" i="13"/>
  <c r="B1008" i="13"/>
  <c r="A1008" i="13"/>
  <c r="D1007" i="13"/>
  <c r="C1007" i="13"/>
  <c r="B1007" i="13"/>
  <c r="A1007" i="13"/>
  <c r="D1006" i="13"/>
  <c r="C1006" i="13"/>
  <c r="B1006" i="13"/>
  <c r="A1006" i="13"/>
  <c r="D1005" i="13"/>
  <c r="C1005" i="13"/>
  <c r="B1005" i="13"/>
  <c r="A1005" i="13"/>
  <c r="D1004" i="13"/>
  <c r="C1004" i="13"/>
  <c r="B1004" i="13"/>
  <c r="A1004" i="13"/>
  <c r="D1003" i="13"/>
  <c r="C1003" i="13"/>
  <c r="B1003" i="13"/>
  <c r="A1003" i="13"/>
  <c r="D1002" i="13"/>
  <c r="C1002" i="13"/>
  <c r="B1002" i="13"/>
  <c r="A1002" i="13"/>
  <c r="D1001" i="13"/>
  <c r="C1001" i="13"/>
  <c r="B1001" i="13"/>
  <c r="A1001" i="13"/>
  <c r="D1000" i="13"/>
  <c r="C1000" i="13"/>
  <c r="B1000" i="13"/>
  <c r="A1000" i="13"/>
  <c r="D999" i="13"/>
  <c r="C999" i="13"/>
  <c r="B999" i="13"/>
  <c r="A999" i="13"/>
  <c r="D998" i="13"/>
  <c r="C998" i="13"/>
  <c r="B998" i="13"/>
  <c r="A998" i="13"/>
  <c r="D997" i="13"/>
  <c r="C997" i="13"/>
  <c r="B997" i="13"/>
  <c r="A997" i="13"/>
  <c r="D996" i="13"/>
  <c r="C996" i="13"/>
  <c r="B996" i="13"/>
  <c r="A996" i="13"/>
  <c r="D995" i="13"/>
  <c r="C995" i="13"/>
  <c r="B995" i="13"/>
  <c r="A995" i="13"/>
  <c r="D994" i="13"/>
  <c r="C994" i="13"/>
  <c r="B994" i="13"/>
  <c r="A994" i="13"/>
  <c r="D993" i="13"/>
  <c r="C993" i="13"/>
  <c r="B993" i="13"/>
  <c r="A993" i="13"/>
  <c r="D992" i="13"/>
  <c r="C992" i="13"/>
  <c r="B992" i="13"/>
  <c r="A992" i="13"/>
  <c r="D991" i="13"/>
  <c r="C991" i="13"/>
  <c r="B991" i="13"/>
  <c r="A991" i="13"/>
  <c r="D990" i="13"/>
  <c r="C990" i="13"/>
  <c r="B990" i="13"/>
  <c r="A990" i="13"/>
  <c r="D989" i="13"/>
  <c r="C989" i="13"/>
  <c r="B989" i="13"/>
  <c r="A989" i="13"/>
  <c r="D988" i="13"/>
  <c r="C988" i="13"/>
  <c r="B988" i="13"/>
  <c r="A988" i="13"/>
  <c r="D987" i="13"/>
  <c r="C987" i="13"/>
  <c r="B987" i="13"/>
  <c r="A987" i="13"/>
  <c r="D986" i="13"/>
  <c r="C986" i="13"/>
  <c r="B986" i="13"/>
  <c r="A986" i="13"/>
  <c r="D985" i="13"/>
  <c r="C985" i="13"/>
  <c r="B985" i="13"/>
  <c r="A985" i="13"/>
  <c r="D984" i="13"/>
  <c r="C984" i="13"/>
  <c r="B984" i="13"/>
  <c r="A984" i="13"/>
  <c r="D983" i="13"/>
  <c r="C983" i="13"/>
  <c r="B983" i="13"/>
  <c r="A983" i="13"/>
  <c r="D982" i="13"/>
  <c r="C982" i="13"/>
  <c r="B982" i="13"/>
  <c r="A982" i="13"/>
  <c r="D981" i="13"/>
  <c r="C981" i="13"/>
  <c r="B981" i="13"/>
  <c r="A981" i="13"/>
  <c r="D980" i="13"/>
  <c r="C980" i="13"/>
  <c r="B980" i="13"/>
  <c r="A980" i="13"/>
  <c r="D979" i="13"/>
  <c r="C979" i="13"/>
  <c r="B979" i="13"/>
  <c r="A979" i="13"/>
  <c r="D978" i="13"/>
  <c r="C978" i="13"/>
  <c r="B978" i="13"/>
  <c r="A978" i="13"/>
  <c r="D977" i="13"/>
  <c r="C977" i="13"/>
  <c r="B977" i="13"/>
  <c r="A977" i="13"/>
  <c r="D976" i="13"/>
  <c r="C976" i="13"/>
  <c r="B976" i="13"/>
  <c r="A976" i="13"/>
  <c r="D975" i="13"/>
  <c r="C975" i="13"/>
  <c r="B975" i="13"/>
  <c r="A975" i="13"/>
  <c r="D974" i="13"/>
  <c r="C974" i="13"/>
  <c r="B974" i="13"/>
  <c r="A974" i="13"/>
  <c r="D973" i="13"/>
  <c r="C973" i="13"/>
  <c r="B973" i="13"/>
  <c r="A973" i="13"/>
  <c r="D972" i="13"/>
  <c r="C972" i="13"/>
  <c r="B972" i="13"/>
  <c r="A972" i="13"/>
  <c r="D971" i="13"/>
  <c r="C971" i="13"/>
  <c r="B971" i="13"/>
  <c r="A971" i="13"/>
  <c r="D970" i="13"/>
  <c r="C970" i="13"/>
  <c r="B970" i="13"/>
  <c r="A970" i="13"/>
  <c r="D969" i="13"/>
  <c r="C969" i="13"/>
  <c r="B969" i="13"/>
  <c r="A969" i="13"/>
  <c r="D968" i="13"/>
  <c r="C968" i="13"/>
  <c r="B968" i="13"/>
  <c r="A968" i="13"/>
  <c r="D967" i="13"/>
  <c r="C967" i="13"/>
  <c r="B967" i="13"/>
  <c r="A967" i="13"/>
  <c r="D966" i="13"/>
  <c r="C966" i="13"/>
  <c r="B966" i="13"/>
  <c r="A966" i="13"/>
  <c r="D965" i="13"/>
  <c r="C965" i="13"/>
  <c r="B965" i="13"/>
  <c r="A965" i="13"/>
  <c r="D964" i="13"/>
  <c r="C964" i="13"/>
  <c r="B964" i="13"/>
  <c r="A964" i="13"/>
  <c r="D963" i="13"/>
  <c r="C963" i="13"/>
  <c r="B963" i="13"/>
  <c r="A963" i="13"/>
  <c r="D962" i="13"/>
  <c r="C962" i="13"/>
  <c r="B962" i="13"/>
  <c r="A962" i="13"/>
  <c r="D961" i="13"/>
  <c r="C961" i="13"/>
  <c r="B961" i="13"/>
  <c r="A961" i="13"/>
  <c r="D960" i="13"/>
  <c r="C960" i="13"/>
  <c r="B960" i="13"/>
  <c r="A960" i="13"/>
  <c r="D959" i="13"/>
  <c r="C959" i="13"/>
  <c r="B959" i="13"/>
  <c r="A959" i="13"/>
  <c r="D958" i="13"/>
  <c r="C958" i="13"/>
  <c r="B958" i="13"/>
  <c r="A958" i="13"/>
  <c r="D957" i="13"/>
  <c r="C957" i="13"/>
  <c r="B957" i="13"/>
  <c r="A957" i="13"/>
  <c r="D956" i="13"/>
  <c r="C956" i="13"/>
  <c r="B956" i="13"/>
  <c r="A956" i="13"/>
  <c r="D955" i="13"/>
  <c r="C955" i="13"/>
  <c r="B955" i="13"/>
  <c r="A955" i="13"/>
  <c r="D954" i="13"/>
  <c r="C954" i="13"/>
  <c r="B954" i="13"/>
  <c r="A954" i="13"/>
  <c r="D953" i="13"/>
  <c r="C953" i="13"/>
  <c r="B953" i="13"/>
  <c r="A953" i="13"/>
  <c r="D952" i="13"/>
  <c r="C952" i="13"/>
  <c r="B952" i="13"/>
  <c r="A952" i="13"/>
  <c r="D951" i="13"/>
  <c r="C951" i="13"/>
  <c r="B951" i="13"/>
  <c r="A951" i="13"/>
  <c r="D950" i="13"/>
  <c r="C950" i="13"/>
  <c r="B950" i="13"/>
  <c r="A950" i="13"/>
  <c r="D949" i="13"/>
  <c r="C949" i="13"/>
  <c r="B949" i="13"/>
  <c r="A949" i="13"/>
  <c r="D948" i="13"/>
  <c r="C948" i="13"/>
  <c r="B948" i="13"/>
  <c r="A948" i="13"/>
  <c r="D947" i="13"/>
  <c r="C947" i="13"/>
  <c r="B947" i="13"/>
  <c r="A947" i="13"/>
  <c r="D946" i="13"/>
  <c r="C946" i="13"/>
  <c r="B946" i="13"/>
  <c r="A946" i="13"/>
  <c r="D945" i="13"/>
  <c r="C945" i="13"/>
  <c r="B945" i="13"/>
  <c r="A945" i="13"/>
  <c r="D944" i="13"/>
  <c r="C944" i="13"/>
  <c r="B944" i="13"/>
  <c r="A944" i="13"/>
  <c r="D943" i="13"/>
  <c r="C943" i="13"/>
  <c r="B943" i="13"/>
  <c r="A943" i="13"/>
  <c r="D942" i="13"/>
  <c r="C942" i="13"/>
  <c r="B942" i="13"/>
  <c r="A942" i="13"/>
  <c r="D941" i="13"/>
  <c r="C941" i="13"/>
  <c r="B941" i="13"/>
  <c r="A941" i="13"/>
  <c r="D940" i="13"/>
  <c r="C940" i="13"/>
  <c r="B940" i="13"/>
  <c r="A940" i="13"/>
  <c r="D939" i="13"/>
  <c r="C939" i="13"/>
  <c r="B939" i="13"/>
  <c r="A939" i="13"/>
  <c r="D938" i="13"/>
  <c r="C938" i="13"/>
  <c r="B938" i="13"/>
  <c r="A938" i="13"/>
  <c r="D937" i="13"/>
  <c r="C937" i="13"/>
  <c r="B937" i="13"/>
  <c r="A937" i="13"/>
  <c r="D936" i="13"/>
  <c r="C936" i="13"/>
  <c r="B936" i="13"/>
  <c r="A936" i="13"/>
  <c r="D935" i="13"/>
  <c r="C935" i="13"/>
  <c r="B935" i="13"/>
  <c r="A935" i="13"/>
  <c r="D934" i="13"/>
  <c r="C934" i="13"/>
  <c r="B934" i="13"/>
  <c r="A934" i="13"/>
  <c r="D933" i="13"/>
  <c r="C933" i="13"/>
  <c r="B933" i="13"/>
  <c r="A933" i="13"/>
  <c r="D932" i="13"/>
  <c r="C932" i="13"/>
  <c r="B932" i="13"/>
  <c r="A932" i="13"/>
  <c r="D931" i="13"/>
  <c r="C931" i="13"/>
  <c r="B931" i="13"/>
  <c r="A931" i="13"/>
  <c r="D930" i="13"/>
  <c r="C930" i="13"/>
  <c r="B930" i="13"/>
  <c r="A930" i="13"/>
  <c r="D929" i="13"/>
  <c r="C929" i="13"/>
  <c r="B929" i="13"/>
  <c r="A929" i="13"/>
  <c r="D928" i="13"/>
  <c r="C928" i="13"/>
  <c r="B928" i="13"/>
  <c r="A928" i="13"/>
  <c r="D927" i="13"/>
  <c r="C927" i="13"/>
  <c r="B927" i="13"/>
  <c r="A927" i="13"/>
  <c r="D926" i="13"/>
  <c r="C926" i="13"/>
  <c r="B926" i="13"/>
  <c r="A926" i="13"/>
  <c r="D925" i="13"/>
  <c r="C925" i="13"/>
  <c r="B925" i="13"/>
  <c r="A925" i="13"/>
  <c r="D924" i="13"/>
  <c r="C924" i="13"/>
  <c r="B924" i="13"/>
  <c r="A924" i="13"/>
  <c r="D923" i="13"/>
  <c r="C923" i="13"/>
  <c r="B923" i="13"/>
  <c r="A923" i="13"/>
  <c r="D922" i="13"/>
  <c r="C922" i="13"/>
  <c r="B922" i="13"/>
  <c r="A922" i="13"/>
  <c r="D921" i="13"/>
  <c r="C921" i="13"/>
  <c r="B921" i="13"/>
  <c r="A921" i="13"/>
  <c r="D920" i="13"/>
  <c r="C920" i="13"/>
  <c r="B920" i="13"/>
  <c r="A920" i="13"/>
  <c r="D919" i="13"/>
  <c r="C919" i="13"/>
  <c r="B919" i="13"/>
  <c r="A919" i="13"/>
  <c r="D918" i="13"/>
  <c r="C918" i="13"/>
  <c r="B918" i="13"/>
  <c r="A918" i="13"/>
  <c r="D917" i="13"/>
  <c r="C917" i="13"/>
  <c r="B917" i="13"/>
  <c r="A917" i="13"/>
  <c r="D916" i="13"/>
  <c r="C916" i="13"/>
  <c r="B916" i="13"/>
  <c r="A916" i="13"/>
  <c r="D915" i="13"/>
  <c r="C915" i="13"/>
  <c r="B915" i="13"/>
  <c r="A915" i="13"/>
  <c r="D914" i="13"/>
  <c r="C914" i="13"/>
  <c r="B914" i="13"/>
  <c r="A914" i="13"/>
  <c r="D913" i="13"/>
  <c r="C913" i="13"/>
  <c r="B913" i="13"/>
  <c r="A913" i="13"/>
  <c r="D912" i="13"/>
  <c r="C912" i="13"/>
  <c r="B912" i="13"/>
  <c r="A912" i="13"/>
  <c r="D911" i="13"/>
  <c r="C911" i="13"/>
  <c r="B911" i="13"/>
  <c r="A911" i="13"/>
  <c r="D910" i="13"/>
  <c r="C910" i="13"/>
  <c r="B910" i="13"/>
  <c r="A910" i="13"/>
  <c r="D909" i="13"/>
  <c r="C909" i="13"/>
  <c r="B909" i="13"/>
  <c r="A909" i="13"/>
  <c r="D908" i="13"/>
  <c r="C908" i="13"/>
  <c r="B908" i="13"/>
  <c r="A908" i="13"/>
  <c r="D907" i="13"/>
  <c r="C907" i="13"/>
  <c r="B907" i="13"/>
  <c r="A907" i="13"/>
  <c r="D906" i="13"/>
  <c r="C906" i="13"/>
  <c r="B906" i="13"/>
  <c r="A906" i="13"/>
  <c r="D905" i="13"/>
  <c r="C905" i="13"/>
  <c r="B905" i="13"/>
  <c r="A905" i="13"/>
  <c r="D904" i="13"/>
  <c r="C904" i="13"/>
  <c r="B904" i="13"/>
  <c r="A904" i="13"/>
  <c r="D903" i="13"/>
  <c r="C903" i="13"/>
  <c r="B903" i="13"/>
  <c r="A903" i="13"/>
  <c r="D902" i="13"/>
  <c r="C902" i="13"/>
  <c r="B902" i="13"/>
  <c r="A902" i="13"/>
  <c r="D901" i="13"/>
  <c r="C901" i="13"/>
  <c r="B901" i="13"/>
  <c r="A901" i="13"/>
  <c r="D900" i="13"/>
  <c r="C900" i="13"/>
  <c r="B900" i="13"/>
  <c r="A900" i="13"/>
  <c r="D899" i="13"/>
  <c r="C899" i="13"/>
  <c r="B899" i="13"/>
  <c r="A899" i="13"/>
  <c r="D898" i="13"/>
  <c r="C898" i="13"/>
  <c r="B898" i="13"/>
  <c r="A898" i="13"/>
  <c r="D897" i="13"/>
  <c r="C897" i="13"/>
  <c r="B897" i="13"/>
  <c r="A897" i="13"/>
  <c r="D896" i="13"/>
  <c r="C896" i="13"/>
  <c r="B896" i="13"/>
  <c r="A896" i="13"/>
  <c r="D895" i="13"/>
  <c r="C895" i="13"/>
  <c r="B895" i="13"/>
  <c r="A895" i="13"/>
  <c r="D894" i="13"/>
  <c r="C894" i="13"/>
  <c r="B894" i="13"/>
  <c r="A894" i="13"/>
  <c r="D893" i="13"/>
  <c r="C893" i="13"/>
  <c r="B893" i="13"/>
  <c r="A893" i="13"/>
  <c r="D892" i="13"/>
  <c r="C892" i="13"/>
  <c r="B892" i="13"/>
  <c r="A892" i="13"/>
  <c r="D891" i="13"/>
  <c r="C891" i="13"/>
  <c r="B891" i="13"/>
  <c r="A891" i="13"/>
  <c r="D890" i="13"/>
  <c r="C890" i="13"/>
  <c r="B890" i="13"/>
  <c r="A890" i="13"/>
  <c r="D889" i="13"/>
  <c r="C889" i="13"/>
  <c r="B889" i="13"/>
  <c r="A889" i="13"/>
  <c r="D888" i="13"/>
  <c r="C888" i="13"/>
  <c r="B888" i="13"/>
  <c r="A888" i="13"/>
  <c r="D887" i="13"/>
  <c r="C887" i="13"/>
  <c r="B887" i="13"/>
  <c r="A887" i="13"/>
  <c r="D886" i="13"/>
  <c r="C886" i="13"/>
  <c r="B886" i="13"/>
  <c r="A886" i="13"/>
  <c r="D885" i="13"/>
  <c r="C885" i="13"/>
  <c r="B885" i="13"/>
  <c r="A885" i="13"/>
  <c r="D884" i="13"/>
  <c r="C884" i="13"/>
  <c r="B884" i="13"/>
  <c r="A884" i="13"/>
  <c r="D883" i="13"/>
  <c r="C883" i="13"/>
  <c r="B883" i="13"/>
  <c r="A883" i="13"/>
  <c r="D882" i="13"/>
  <c r="C882" i="13"/>
  <c r="B882" i="13"/>
  <c r="A882" i="13"/>
  <c r="D881" i="13"/>
  <c r="C881" i="13"/>
  <c r="B881" i="13"/>
  <c r="A881" i="13"/>
  <c r="D880" i="13"/>
  <c r="C880" i="13"/>
  <c r="B880" i="13"/>
  <c r="A880" i="13"/>
  <c r="D879" i="13"/>
  <c r="C879" i="13"/>
  <c r="B879" i="13"/>
  <c r="A879" i="13"/>
  <c r="D878" i="13"/>
  <c r="C878" i="13"/>
  <c r="B878" i="13"/>
  <c r="A878" i="13"/>
  <c r="D877" i="13"/>
  <c r="C877" i="13"/>
  <c r="B877" i="13"/>
  <c r="A877" i="13"/>
  <c r="D876" i="13"/>
  <c r="C876" i="13"/>
  <c r="B876" i="13"/>
  <c r="A876" i="13"/>
  <c r="D875" i="13"/>
  <c r="C875" i="13"/>
  <c r="B875" i="13"/>
  <c r="A875" i="13"/>
  <c r="D874" i="13"/>
  <c r="C874" i="13"/>
  <c r="B874" i="13"/>
  <c r="A874" i="13"/>
  <c r="D873" i="13"/>
  <c r="C873" i="13"/>
  <c r="B873" i="13"/>
  <c r="A873" i="13"/>
  <c r="D872" i="13"/>
  <c r="C872" i="13"/>
  <c r="B872" i="13"/>
  <c r="A872" i="13"/>
  <c r="D871" i="13"/>
  <c r="C871" i="13"/>
  <c r="B871" i="13"/>
  <c r="A871" i="13"/>
  <c r="D870" i="13"/>
  <c r="C870" i="13"/>
  <c r="B870" i="13"/>
  <c r="A870" i="13"/>
  <c r="D869" i="13"/>
  <c r="C869" i="13"/>
  <c r="B869" i="13"/>
  <c r="A869" i="13"/>
  <c r="D868" i="13"/>
  <c r="C868" i="13"/>
  <c r="B868" i="13"/>
  <c r="A868" i="13"/>
  <c r="D867" i="13"/>
  <c r="C867" i="13"/>
  <c r="B867" i="13"/>
  <c r="A867" i="13"/>
  <c r="D866" i="13"/>
  <c r="C866" i="13"/>
  <c r="B866" i="13"/>
  <c r="A866" i="13"/>
  <c r="D865" i="13"/>
  <c r="C865" i="13"/>
  <c r="B865" i="13"/>
  <c r="A865" i="13"/>
  <c r="D864" i="13"/>
  <c r="C864" i="13"/>
  <c r="B864" i="13"/>
  <c r="A864" i="13"/>
  <c r="D863" i="13"/>
  <c r="C863" i="13"/>
  <c r="B863" i="13"/>
  <c r="A863" i="13"/>
  <c r="D862" i="13"/>
  <c r="C862" i="13"/>
  <c r="B862" i="13"/>
  <c r="A862" i="13"/>
  <c r="D861" i="13"/>
  <c r="C861" i="13"/>
  <c r="B861" i="13"/>
  <c r="A861" i="13"/>
  <c r="D860" i="13"/>
  <c r="C860" i="13"/>
  <c r="B860" i="13"/>
  <c r="A860" i="13"/>
  <c r="D859" i="13"/>
  <c r="C859" i="13"/>
  <c r="B859" i="13"/>
  <c r="A859" i="13"/>
  <c r="D858" i="13"/>
  <c r="C858" i="13"/>
  <c r="B858" i="13"/>
  <c r="A858" i="13"/>
  <c r="D857" i="13"/>
  <c r="C857" i="13"/>
  <c r="B857" i="13"/>
  <c r="A857" i="13"/>
  <c r="D856" i="13"/>
  <c r="C856" i="13"/>
  <c r="B856" i="13"/>
  <c r="A856" i="13"/>
  <c r="D855" i="13"/>
  <c r="C855" i="13"/>
  <c r="B855" i="13"/>
  <c r="A855" i="13"/>
  <c r="D854" i="13"/>
  <c r="C854" i="13"/>
  <c r="B854" i="13"/>
  <c r="A854" i="13"/>
  <c r="D853" i="13"/>
  <c r="C853" i="13"/>
  <c r="B853" i="13"/>
  <c r="A853" i="13"/>
  <c r="D852" i="13"/>
  <c r="C852" i="13"/>
  <c r="B852" i="13"/>
  <c r="A852" i="13"/>
  <c r="D851" i="13"/>
  <c r="C851" i="13"/>
  <c r="B851" i="13"/>
  <c r="A851" i="13"/>
  <c r="D850" i="13"/>
  <c r="C850" i="13"/>
  <c r="B850" i="13"/>
  <c r="A850" i="13"/>
  <c r="D849" i="13"/>
  <c r="C849" i="13"/>
  <c r="B849" i="13"/>
  <c r="A849" i="13"/>
  <c r="D848" i="13"/>
  <c r="C848" i="13"/>
  <c r="B848" i="13"/>
  <c r="A848" i="13"/>
  <c r="D847" i="13"/>
  <c r="C847" i="13"/>
  <c r="B847" i="13"/>
  <c r="A847" i="13"/>
  <c r="D846" i="13"/>
  <c r="C846" i="13"/>
  <c r="B846" i="13"/>
  <c r="A846" i="13"/>
  <c r="D845" i="13"/>
  <c r="C845" i="13"/>
  <c r="B845" i="13"/>
  <c r="A845" i="13"/>
  <c r="D844" i="13"/>
  <c r="C844" i="13"/>
  <c r="B844" i="13"/>
  <c r="A844" i="13"/>
  <c r="D843" i="13"/>
  <c r="C843" i="13"/>
  <c r="B843" i="13"/>
  <c r="A843" i="13"/>
  <c r="D842" i="13"/>
  <c r="C842" i="13"/>
  <c r="B842" i="13"/>
  <c r="A842" i="13"/>
  <c r="D841" i="13"/>
  <c r="C841" i="13"/>
  <c r="B841" i="13"/>
  <c r="A841" i="13"/>
  <c r="D840" i="13"/>
  <c r="C840" i="13"/>
  <c r="B840" i="13"/>
  <c r="A840" i="13"/>
  <c r="D839" i="13"/>
  <c r="C839" i="13"/>
  <c r="B839" i="13"/>
  <c r="A839" i="13"/>
  <c r="D838" i="13"/>
  <c r="C838" i="13"/>
  <c r="B838" i="13"/>
  <c r="A838" i="13"/>
  <c r="D837" i="13"/>
  <c r="C837" i="13"/>
  <c r="B837" i="13"/>
  <c r="A837" i="13"/>
  <c r="D836" i="13"/>
  <c r="C836" i="13"/>
  <c r="B836" i="13"/>
  <c r="A836" i="13"/>
  <c r="D835" i="13"/>
  <c r="C835" i="13"/>
  <c r="B835" i="13"/>
  <c r="A835" i="13"/>
  <c r="D834" i="13"/>
  <c r="C834" i="13"/>
  <c r="B834" i="13"/>
  <c r="A834" i="13"/>
  <c r="D833" i="13"/>
  <c r="C833" i="13"/>
  <c r="B833" i="13"/>
  <c r="A833" i="13"/>
  <c r="D832" i="13"/>
  <c r="C832" i="13"/>
  <c r="B832" i="13"/>
  <c r="A832" i="13"/>
  <c r="D831" i="13"/>
  <c r="C831" i="13"/>
  <c r="B831" i="13"/>
  <c r="A831" i="13"/>
  <c r="D830" i="13"/>
  <c r="C830" i="13"/>
  <c r="B830" i="13"/>
  <c r="A830" i="13"/>
  <c r="D829" i="13"/>
  <c r="C829" i="13"/>
  <c r="B829" i="13"/>
  <c r="A829" i="13"/>
  <c r="D828" i="13"/>
  <c r="C828" i="13"/>
  <c r="B828" i="13"/>
  <c r="A828" i="13"/>
  <c r="D827" i="13"/>
  <c r="C827" i="13"/>
  <c r="B827" i="13"/>
  <c r="A827" i="13"/>
  <c r="D826" i="13"/>
  <c r="C826" i="13"/>
  <c r="B826" i="13"/>
  <c r="A826" i="13"/>
  <c r="D825" i="13"/>
  <c r="C825" i="13"/>
  <c r="B825" i="13"/>
  <c r="A825" i="13"/>
  <c r="D824" i="13"/>
  <c r="C824" i="13"/>
  <c r="B824" i="13"/>
  <c r="A824" i="13"/>
  <c r="D823" i="13"/>
  <c r="C823" i="13"/>
  <c r="B823" i="13"/>
  <c r="A823" i="13"/>
  <c r="D822" i="13"/>
  <c r="C822" i="13"/>
  <c r="B822" i="13"/>
  <c r="A822" i="13"/>
  <c r="D821" i="13"/>
  <c r="C821" i="13"/>
  <c r="B821" i="13"/>
  <c r="A821" i="13"/>
  <c r="D820" i="13"/>
  <c r="C820" i="13"/>
  <c r="B820" i="13"/>
  <c r="A820" i="13"/>
  <c r="D819" i="13"/>
  <c r="C819" i="13"/>
  <c r="B819" i="13"/>
  <c r="A819" i="13"/>
  <c r="D818" i="13"/>
  <c r="C818" i="13"/>
  <c r="B818" i="13"/>
  <c r="A818" i="13"/>
  <c r="D817" i="13"/>
  <c r="C817" i="13"/>
  <c r="B817" i="13"/>
  <c r="A817" i="13"/>
  <c r="D816" i="13"/>
  <c r="C816" i="13"/>
  <c r="B816" i="13"/>
  <c r="A816" i="13"/>
  <c r="D815" i="13"/>
  <c r="C815" i="13"/>
  <c r="B815" i="13"/>
  <c r="A815" i="13"/>
  <c r="D814" i="13"/>
  <c r="C814" i="13"/>
  <c r="B814" i="13"/>
  <c r="A814" i="13"/>
  <c r="D813" i="13"/>
  <c r="C813" i="13"/>
  <c r="B813" i="13"/>
  <c r="A813" i="13"/>
  <c r="D812" i="13"/>
  <c r="C812" i="13"/>
  <c r="B812" i="13"/>
  <c r="A812" i="13"/>
  <c r="D811" i="13"/>
  <c r="C811" i="13"/>
  <c r="B811" i="13"/>
  <c r="A811" i="13"/>
  <c r="D810" i="13"/>
  <c r="C810" i="13"/>
  <c r="B810" i="13"/>
  <c r="A810" i="13"/>
  <c r="D809" i="13"/>
  <c r="C809" i="13"/>
  <c r="B809" i="13"/>
  <c r="A809" i="13"/>
  <c r="D808" i="13"/>
  <c r="C808" i="13"/>
  <c r="B808" i="13"/>
  <c r="A808" i="13"/>
  <c r="D807" i="13"/>
  <c r="C807" i="13"/>
  <c r="B807" i="13"/>
  <c r="A807" i="13"/>
  <c r="D806" i="13"/>
  <c r="C806" i="13"/>
  <c r="B806" i="13"/>
  <c r="A806" i="13"/>
  <c r="D805" i="13"/>
  <c r="C805" i="13"/>
  <c r="B805" i="13"/>
  <c r="A805" i="13"/>
  <c r="D804" i="13"/>
  <c r="C804" i="13"/>
  <c r="B804" i="13"/>
  <c r="A804" i="13"/>
  <c r="D803" i="13"/>
  <c r="C803" i="13"/>
  <c r="B803" i="13"/>
  <c r="A803" i="13"/>
  <c r="D802" i="13"/>
  <c r="C802" i="13"/>
  <c r="B802" i="13"/>
  <c r="A802" i="13"/>
  <c r="D801" i="13"/>
  <c r="C801" i="13"/>
  <c r="B801" i="13"/>
  <c r="A801" i="13"/>
  <c r="D800" i="13"/>
  <c r="C800" i="13"/>
  <c r="B800" i="13"/>
  <c r="A800" i="13"/>
  <c r="D799" i="13"/>
  <c r="C799" i="13"/>
  <c r="B799" i="13"/>
  <c r="A799" i="13"/>
  <c r="D798" i="13"/>
  <c r="C798" i="13"/>
  <c r="B798" i="13"/>
  <c r="A798" i="13"/>
  <c r="D797" i="13"/>
  <c r="C797" i="13"/>
  <c r="B797" i="13"/>
  <c r="A797" i="13"/>
  <c r="D796" i="13"/>
  <c r="C796" i="13"/>
  <c r="B796" i="13"/>
  <c r="A796" i="13"/>
  <c r="D795" i="13"/>
  <c r="C795" i="13"/>
  <c r="B795" i="13"/>
  <c r="A795" i="13"/>
  <c r="D794" i="13"/>
  <c r="C794" i="13"/>
  <c r="B794" i="13"/>
  <c r="A794" i="13"/>
  <c r="D793" i="13"/>
  <c r="C793" i="13"/>
  <c r="B793" i="13"/>
  <c r="A793" i="13"/>
  <c r="D792" i="13"/>
  <c r="C792" i="13"/>
  <c r="B792" i="13"/>
  <c r="A792" i="13"/>
  <c r="D791" i="13"/>
  <c r="C791" i="13"/>
  <c r="B791" i="13"/>
  <c r="A791" i="13"/>
  <c r="D790" i="13"/>
  <c r="C790" i="13"/>
  <c r="B790" i="13"/>
  <c r="A790" i="13"/>
  <c r="D789" i="13"/>
  <c r="C789" i="13"/>
  <c r="B789" i="13"/>
  <c r="A789" i="13"/>
  <c r="D788" i="13"/>
  <c r="C788" i="13"/>
  <c r="B788" i="13"/>
  <c r="A788" i="13"/>
  <c r="D787" i="13"/>
  <c r="C787" i="13"/>
  <c r="B787" i="13"/>
  <c r="A787" i="13"/>
  <c r="D786" i="13"/>
  <c r="C786" i="13"/>
  <c r="B786" i="13"/>
  <c r="A786" i="13"/>
  <c r="D785" i="13"/>
  <c r="C785" i="13"/>
  <c r="B785" i="13"/>
  <c r="A785" i="13"/>
  <c r="D784" i="13"/>
  <c r="C784" i="13"/>
  <c r="B784" i="13"/>
  <c r="A784" i="13"/>
  <c r="D783" i="13"/>
  <c r="C783" i="13"/>
  <c r="B783" i="13"/>
  <c r="A783" i="13"/>
  <c r="D782" i="13"/>
  <c r="C782" i="13"/>
  <c r="B782" i="13"/>
  <c r="A782" i="13"/>
  <c r="D781" i="13"/>
  <c r="C781" i="13"/>
  <c r="B781" i="13"/>
  <c r="A781" i="13"/>
  <c r="D780" i="13"/>
  <c r="C780" i="13"/>
  <c r="B780" i="13"/>
  <c r="A780" i="13"/>
  <c r="D779" i="13"/>
  <c r="C779" i="13"/>
  <c r="B779" i="13"/>
  <c r="A779" i="13"/>
  <c r="D778" i="13"/>
  <c r="C778" i="13"/>
  <c r="B778" i="13"/>
  <c r="A778" i="13"/>
  <c r="D777" i="13"/>
  <c r="C777" i="13"/>
  <c r="B777" i="13"/>
  <c r="A777" i="13"/>
  <c r="D776" i="13"/>
  <c r="C776" i="13"/>
  <c r="B776" i="13"/>
  <c r="A776" i="13"/>
  <c r="D775" i="13"/>
  <c r="C775" i="13"/>
  <c r="B775" i="13"/>
  <c r="A775" i="13"/>
  <c r="D774" i="13"/>
  <c r="C774" i="13"/>
  <c r="B774" i="13"/>
  <c r="A774" i="13"/>
  <c r="D773" i="13"/>
  <c r="C773" i="13"/>
  <c r="B773" i="13"/>
  <c r="A773" i="13"/>
  <c r="D772" i="13"/>
  <c r="C772" i="13"/>
  <c r="B772" i="13"/>
  <c r="A772" i="13"/>
  <c r="D771" i="13"/>
  <c r="C771" i="13"/>
  <c r="B771" i="13"/>
  <c r="A771" i="13"/>
  <c r="D770" i="13"/>
  <c r="C770" i="13"/>
  <c r="B770" i="13"/>
  <c r="A770" i="13"/>
  <c r="D769" i="13"/>
  <c r="C769" i="13"/>
  <c r="B769" i="13"/>
  <c r="A769" i="13"/>
  <c r="D768" i="13"/>
  <c r="C768" i="13"/>
  <c r="B768" i="13"/>
  <c r="A768" i="13"/>
  <c r="D767" i="13"/>
  <c r="C767" i="13"/>
  <c r="B767" i="13"/>
  <c r="A767" i="13"/>
  <c r="D766" i="13"/>
  <c r="C766" i="13"/>
  <c r="B766" i="13"/>
  <c r="A766" i="13"/>
  <c r="D765" i="13"/>
  <c r="C765" i="13"/>
  <c r="B765" i="13"/>
  <c r="A765" i="13"/>
  <c r="D764" i="13"/>
  <c r="C764" i="13"/>
  <c r="B764" i="13"/>
  <c r="A764" i="13"/>
  <c r="D763" i="13"/>
  <c r="C763" i="13"/>
  <c r="B763" i="13"/>
  <c r="A763" i="13"/>
  <c r="D762" i="13"/>
  <c r="C762" i="13"/>
  <c r="B762" i="13"/>
  <c r="A762" i="13"/>
  <c r="D761" i="13"/>
  <c r="C761" i="13"/>
  <c r="B761" i="13"/>
  <c r="A761" i="13"/>
  <c r="D760" i="13"/>
  <c r="C760" i="13"/>
  <c r="B760" i="13"/>
  <c r="A760" i="13"/>
  <c r="D759" i="13"/>
  <c r="C759" i="13"/>
  <c r="B759" i="13"/>
  <c r="A759" i="13"/>
  <c r="D758" i="13"/>
  <c r="C758" i="13"/>
  <c r="B758" i="13"/>
  <c r="A758" i="13"/>
  <c r="D757" i="13"/>
  <c r="C757" i="13"/>
  <c r="B757" i="13"/>
  <c r="A757" i="13"/>
  <c r="D756" i="13"/>
  <c r="C756" i="13"/>
  <c r="B756" i="13"/>
  <c r="A756" i="13"/>
  <c r="D755" i="13"/>
  <c r="C755" i="13"/>
  <c r="B755" i="13"/>
  <c r="A755" i="13"/>
  <c r="D754" i="13"/>
  <c r="C754" i="13"/>
  <c r="B754" i="13"/>
  <c r="A754" i="13"/>
  <c r="D753" i="13"/>
  <c r="C753" i="13"/>
  <c r="B753" i="13"/>
  <c r="A753" i="13"/>
  <c r="D752" i="13"/>
  <c r="C752" i="13"/>
  <c r="B752" i="13"/>
  <c r="A752" i="13"/>
  <c r="D751" i="13"/>
  <c r="C751" i="13"/>
  <c r="B751" i="13"/>
  <c r="A751" i="13"/>
  <c r="D750" i="13"/>
  <c r="C750" i="13"/>
  <c r="B750" i="13"/>
  <c r="A750" i="13"/>
  <c r="D749" i="13"/>
  <c r="C749" i="13"/>
  <c r="B749" i="13"/>
  <c r="A749" i="13"/>
  <c r="D748" i="13"/>
  <c r="C748" i="13"/>
  <c r="B748" i="13"/>
  <c r="A748" i="13"/>
  <c r="D747" i="13"/>
  <c r="C747" i="13"/>
  <c r="B747" i="13"/>
  <c r="A747" i="13"/>
  <c r="D746" i="13"/>
  <c r="C746" i="13"/>
  <c r="B746" i="13"/>
  <c r="A746" i="13"/>
  <c r="D745" i="13"/>
  <c r="C745" i="13"/>
  <c r="B745" i="13"/>
  <c r="A745" i="13"/>
  <c r="D744" i="13"/>
  <c r="C744" i="13"/>
  <c r="B744" i="13"/>
  <c r="A744" i="13"/>
  <c r="D743" i="13"/>
  <c r="C743" i="13"/>
  <c r="B743" i="13"/>
  <c r="A743" i="13"/>
  <c r="D742" i="13"/>
  <c r="C742" i="13"/>
  <c r="B742" i="13"/>
  <c r="A742" i="13"/>
  <c r="D741" i="13"/>
  <c r="C741" i="13"/>
  <c r="B741" i="13"/>
  <c r="A741" i="13"/>
  <c r="D740" i="13"/>
  <c r="C740" i="13"/>
  <c r="B740" i="13"/>
  <c r="A740" i="13"/>
  <c r="D739" i="13"/>
  <c r="C739" i="13"/>
  <c r="B739" i="13"/>
  <c r="A739" i="13"/>
  <c r="D738" i="13"/>
  <c r="C738" i="13"/>
  <c r="B738" i="13"/>
  <c r="A738" i="13"/>
  <c r="D737" i="13"/>
  <c r="C737" i="13"/>
  <c r="B737" i="13"/>
  <c r="A737" i="13"/>
  <c r="D736" i="13"/>
  <c r="C736" i="13"/>
  <c r="B736" i="13"/>
  <c r="A736" i="13"/>
  <c r="D735" i="13"/>
  <c r="C735" i="13"/>
  <c r="B735" i="13"/>
  <c r="A735" i="13"/>
  <c r="D734" i="13"/>
  <c r="C734" i="13"/>
  <c r="B734" i="13"/>
  <c r="A734" i="13"/>
  <c r="D733" i="13"/>
  <c r="C733" i="13"/>
  <c r="B733" i="13"/>
  <c r="A733" i="13"/>
  <c r="D732" i="13"/>
  <c r="C732" i="13"/>
  <c r="B732" i="13"/>
  <c r="A732" i="13"/>
  <c r="D731" i="13"/>
  <c r="C731" i="13"/>
  <c r="B731" i="13"/>
  <c r="A731" i="13"/>
  <c r="D730" i="13"/>
  <c r="C730" i="13"/>
  <c r="B730" i="13"/>
  <c r="A730" i="13"/>
  <c r="D729" i="13"/>
  <c r="C729" i="13"/>
  <c r="B729" i="13"/>
  <c r="A729" i="13"/>
  <c r="D728" i="13"/>
  <c r="C728" i="13"/>
  <c r="B728" i="13"/>
  <c r="A728" i="13"/>
  <c r="D727" i="13"/>
  <c r="C727" i="13"/>
  <c r="B727" i="13"/>
  <c r="A727" i="13"/>
  <c r="D726" i="13"/>
  <c r="C726" i="13"/>
  <c r="B726" i="13"/>
  <c r="A726" i="13"/>
  <c r="D725" i="13"/>
  <c r="C725" i="13"/>
  <c r="B725" i="13"/>
  <c r="A725" i="13"/>
  <c r="D724" i="13"/>
  <c r="C724" i="13"/>
  <c r="B724" i="13"/>
  <c r="A724" i="13"/>
  <c r="D723" i="13"/>
  <c r="C723" i="13"/>
  <c r="B723" i="13"/>
  <c r="A723" i="13"/>
  <c r="D722" i="13"/>
  <c r="C722" i="13"/>
  <c r="B722" i="13"/>
  <c r="A722" i="13"/>
  <c r="D721" i="13"/>
  <c r="C721" i="13"/>
  <c r="B721" i="13"/>
  <c r="A721" i="13"/>
  <c r="D720" i="13"/>
  <c r="C720" i="13"/>
  <c r="B720" i="13"/>
  <c r="A720" i="13"/>
  <c r="D719" i="13"/>
  <c r="C719" i="13"/>
  <c r="B719" i="13"/>
  <c r="A719" i="13"/>
  <c r="D718" i="13"/>
  <c r="C718" i="13"/>
  <c r="B718" i="13"/>
  <c r="A718" i="13"/>
  <c r="D717" i="13"/>
  <c r="C717" i="13"/>
  <c r="B717" i="13"/>
  <c r="A717" i="13"/>
  <c r="D716" i="13"/>
  <c r="C716" i="13"/>
  <c r="B716" i="13"/>
  <c r="A716" i="13"/>
  <c r="D715" i="13"/>
  <c r="C715" i="13"/>
  <c r="B715" i="13"/>
  <c r="A715" i="13"/>
  <c r="D714" i="13"/>
  <c r="C714" i="13"/>
  <c r="B714" i="13"/>
  <c r="A714" i="13"/>
  <c r="D713" i="13"/>
  <c r="C713" i="13"/>
  <c r="B713" i="13"/>
  <c r="A713" i="13"/>
  <c r="D712" i="13"/>
  <c r="C712" i="13"/>
  <c r="B712" i="13"/>
  <c r="A712" i="13"/>
  <c r="D711" i="13"/>
  <c r="C711" i="13"/>
  <c r="B711" i="13"/>
  <c r="A711" i="13"/>
  <c r="D710" i="13"/>
  <c r="C710" i="13"/>
  <c r="B710" i="13"/>
  <c r="A710" i="13"/>
  <c r="D709" i="13"/>
  <c r="C709" i="13"/>
  <c r="B709" i="13"/>
  <c r="A709" i="13"/>
  <c r="D708" i="13"/>
  <c r="C708" i="13"/>
  <c r="B708" i="13"/>
  <c r="A708" i="13"/>
  <c r="D707" i="13"/>
  <c r="C707" i="13"/>
  <c r="B707" i="13"/>
  <c r="A707" i="13"/>
  <c r="D706" i="13"/>
  <c r="C706" i="13"/>
  <c r="B706" i="13"/>
  <c r="A706" i="13"/>
  <c r="D705" i="13"/>
  <c r="C705" i="13"/>
  <c r="B705" i="13"/>
  <c r="A705" i="13"/>
  <c r="D704" i="13"/>
  <c r="C704" i="13"/>
  <c r="B704" i="13"/>
  <c r="A704" i="13"/>
  <c r="D703" i="13"/>
  <c r="C703" i="13"/>
  <c r="B703" i="13"/>
  <c r="A703" i="13"/>
  <c r="D702" i="13"/>
  <c r="C702" i="13"/>
  <c r="B702" i="13"/>
  <c r="A702" i="13"/>
  <c r="D701" i="13"/>
  <c r="C701" i="13"/>
  <c r="B701" i="13"/>
  <c r="A701" i="13"/>
  <c r="D700" i="13"/>
  <c r="C700" i="13"/>
  <c r="B700" i="13"/>
  <c r="A700" i="13"/>
  <c r="D699" i="13"/>
  <c r="C699" i="13"/>
  <c r="B699" i="13"/>
  <c r="A699" i="13"/>
  <c r="D698" i="13"/>
  <c r="C698" i="13"/>
  <c r="B698" i="13"/>
  <c r="A698" i="13"/>
  <c r="D697" i="13"/>
  <c r="C697" i="13"/>
  <c r="B697" i="13"/>
  <c r="A697" i="13"/>
  <c r="D696" i="13"/>
  <c r="C696" i="13"/>
  <c r="B696" i="13"/>
  <c r="A696" i="13"/>
  <c r="D695" i="13"/>
  <c r="C695" i="13"/>
  <c r="B695" i="13"/>
  <c r="A695" i="13"/>
  <c r="D694" i="13"/>
  <c r="C694" i="13"/>
  <c r="B694" i="13"/>
  <c r="A694" i="13"/>
  <c r="D693" i="13"/>
  <c r="C693" i="13"/>
  <c r="B693" i="13"/>
  <c r="A693" i="13"/>
  <c r="D692" i="13"/>
  <c r="C692" i="13"/>
  <c r="B692" i="13"/>
  <c r="A692" i="13"/>
  <c r="D691" i="13"/>
  <c r="C691" i="13"/>
  <c r="B691" i="13"/>
  <c r="A691" i="13"/>
  <c r="D690" i="13"/>
  <c r="C690" i="13"/>
  <c r="B690" i="13"/>
  <c r="A690" i="13"/>
  <c r="D689" i="13"/>
  <c r="C689" i="13"/>
  <c r="B689" i="13"/>
  <c r="A689" i="13"/>
  <c r="D688" i="13"/>
  <c r="C688" i="13"/>
  <c r="B688" i="13"/>
  <c r="A688" i="13"/>
  <c r="D687" i="13"/>
  <c r="C687" i="13"/>
  <c r="B687" i="13"/>
  <c r="A687" i="13"/>
  <c r="D686" i="13"/>
  <c r="C686" i="13"/>
  <c r="B686" i="13"/>
  <c r="A686" i="13"/>
  <c r="D685" i="13"/>
  <c r="C685" i="13"/>
  <c r="B685" i="13"/>
  <c r="A685" i="13"/>
  <c r="D684" i="13"/>
  <c r="C684" i="13"/>
  <c r="B684" i="13"/>
  <c r="A684" i="13"/>
  <c r="D683" i="13"/>
  <c r="C683" i="13"/>
  <c r="B683" i="13"/>
  <c r="A683" i="13"/>
  <c r="D682" i="13"/>
  <c r="C682" i="13"/>
  <c r="B682" i="13"/>
  <c r="A682" i="13"/>
  <c r="D681" i="13"/>
  <c r="C681" i="13"/>
  <c r="B681" i="13"/>
  <c r="A681" i="13"/>
  <c r="D680" i="13"/>
  <c r="C680" i="13"/>
  <c r="B680" i="13"/>
  <c r="A680" i="13"/>
  <c r="D679" i="13"/>
  <c r="C679" i="13"/>
  <c r="B679" i="13"/>
  <c r="A679" i="13"/>
  <c r="D678" i="13"/>
  <c r="C678" i="13"/>
  <c r="B678" i="13"/>
  <c r="A678" i="13"/>
  <c r="D677" i="13"/>
  <c r="C677" i="13"/>
  <c r="B677" i="13"/>
  <c r="A677" i="13"/>
  <c r="D676" i="13"/>
  <c r="C676" i="13"/>
  <c r="B676" i="13"/>
  <c r="A676" i="13"/>
  <c r="D675" i="13"/>
  <c r="C675" i="13"/>
  <c r="B675" i="13"/>
  <c r="A675" i="13"/>
  <c r="D674" i="13"/>
  <c r="C674" i="13"/>
  <c r="B674" i="13"/>
  <c r="A674" i="13"/>
  <c r="D673" i="13"/>
  <c r="C673" i="13"/>
  <c r="B673" i="13"/>
  <c r="A673" i="13"/>
  <c r="D672" i="13"/>
  <c r="C672" i="13"/>
  <c r="B672" i="13"/>
  <c r="A672" i="13"/>
  <c r="D671" i="13"/>
  <c r="C671" i="13"/>
  <c r="B671" i="13"/>
  <c r="A671" i="13"/>
  <c r="D670" i="13"/>
  <c r="C670" i="13"/>
  <c r="B670" i="13"/>
  <c r="A670" i="13"/>
  <c r="D669" i="13"/>
  <c r="C669" i="13"/>
  <c r="B669" i="13"/>
  <c r="A669" i="13"/>
  <c r="D668" i="13"/>
  <c r="C668" i="13"/>
  <c r="B668" i="13"/>
  <c r="A668" i="13"/>
  <c r="D667" i="13"/>
  <c r="C667" i="13"/>
  <c r="B667" i="13"/>
  <c r="A667" i="13"/>
  <c r="D666" i="13"/>
  <c r="C666" i="13"/>
  <c r="B666" i="13"/>
  <c r="A666" i="13"/>
  <c r="D665" i="13"/>
  <c r="C665" i="13"/>
  <c r="B665" i="13"/>
  <c r="A665" i="13"/>
  <c r="D664" i="13"/>
  <c r="C664" i="13"/>
  <c r="B664" i="13"/>
  <c r="A664" i="13"/>
  <c r="D663" i="13"/>
  <c r="C663" i="13"/>
  <c r="B663" i="13"/>
  <c r="A663" i="13"/>
  <c r="D662" i="13"/>
  <c r="C662" i="13"/>
  <c r="B662" i="13"/>
  <c r="A662" i="13"/>
  <c r="D661" i="13"/>
  <c r="C661" i="13"/>
  <c r="B661" i="13"/>
  <c r="A661" i="13"/>
  <c r="D660" i="13"/>
  <c r="C660" i="13"/>
  <c r="B660" i="13"/>
  <c r="A660" i="13"/>
  <c r="D659" i="13"/>
  <c r="C659" i="13"/>
  <c r="B659" i="13"/>
  <c r="A659" i="13"/>
  <c r="D658" i="13"/>
  <c r="C658" i="13"/>
  <c r="B658" i="13"/>
  <c r="A658" i="13"/>
  <c r="D657" i="13"/>
  <c r="C657" i="13"/>
  <c r="B657" i="13"/>
  <c r="A657" i="13"/>
  <c r="D656" i="13"/>
  <c r="C656" i="13"/>
  <c r="B656" i="13"/>
  <c r="A656" i="13"/>
  <c r="D655" i="13"/>
  <c r="C655" i="13"/>
  <c r="B655" i="13"/>
  <c r="A655" i="13"/>
  <c r="D654" i="13"/>
  <c r="C654" i="13"/>
  <c r="B654" i="13"/>
  <c r="A654" i="13"/>
  <c r="D653" i="13"/>
  <c r="C653" i="13"/>
  <c r="B653" i="13"/>
  <c r="A653" i="13"/>
  <c r="D652" i="13"/>
  <c r="C652" i="13"/>
  <c r="B652" i="13"/>
  <c r="A652" i="13"/>
  <c r="D651" i="13"/>
  <c r="C651" i="13"/>
  <c r="B651" i="13"/>
  <c r="A651" i="13"/>
  <c r="D650" i="13"/>
  <c r="C650" i="13"/>
  <c r="B650" i="13"/>
  <c r="A650" i="13"/>
  <c r="D649" i="13"/>
  <c r="C649" i="13"/>
  <c r="B649" i="13"/>
  <c r="A649" i="13"/>
  <c r="D648" i="13"/>
  <c r="C648" i="13"/>
  <c r="B648" i="13"/>
  <c r="A648" i="13"/>
  <c r="D647" i="13"/>
  <c r="C647" i="13"/>
  <c r="B647" i="13"/>
  <c r="A647" i="13"/>
  <c r="D646" i="13"/>
  <c r="C646" i="13"/>
  <c r="B646" i="13"/>
  <c r="A646" i="13"/>
  <c r="D645" i="13"/>
  <c r="C645" i="13"/>
  <c r="B645" i="13"/>
  <c r="A645" i="13"/>
  <c r="D644" i="13"/>
  <c r="C644" i="13"/>
  <c r="B644" i="13"/>
  <c r="A644" i="13"/>
  <c r="D643" i="13"/>
  <c r="C643" i="13"/>
  <c r="B643" i="13"/>
  <c r="A643" i="13"/>
  <c r="D642" i="13"/>
  <c r="C642" i="13"/>
  <c r="B642" i="13"/>
  <c r="A642" i="13"/>
  <c r="D641" i="13"/>
  <c r="C641" i="13"/>
  <c r="B641" i="13"/>
  <c r="A641" i="13"/>
  <c r="D640" i="13"/>
  <c r="C640" i="13"/>
  <c r="B640" i="13"/>
  <c r="A640" i="13"/>
  <c r="D639" i="13"/>
  <c r="C639" i="13"/>
  <c r="B639" i="13"/>
  <c r="A639" i="13"/>
  <c r="D638" i="13"/>
  <c r="C638" i="13"/>
  <c r="B638" i="13"/>
  <c r="A638" i="13"/>
  <c r="D637" i="13"/>
  <c r="C637" i="13"/>
  <c r="B637" i="13"/>
  <c r="A637" i="13"/>
  <c r="D636" i="13"/>
  <c r="C636" i="13"/>
  <c r="B636" i="13"/>
  <c r="A636" i="13"/>
  <c r="D635" i="13"/>
  <c r="C635" i="13"/>
  <c r="B635" i="13"/>
  <c r="A635" i="13"/>
  <c r="D634" i="13"/>
  <c r="C634" i="13"/>
  <c r="B634" i="13"/>
  <c r="A634" i="13"/>
  <c r="D633" i="13"/>
  <c r="C633" i="13"/>
  <c r="B633" i="13"/>
  <c r="A633" i="13"/>
  <c r="D632" i="13"/>
  <c r="C632" i="13"/>
  <c r="B632" i="13"/>
  <c r="A632" i="13"/>
  <c r="D631" i="13"/>
  <c r="C631" i="13"/>
  <c r="B631" i="13"/>
  <c r="A631" i="13"/>
  <c r="D630" i="13"/>
  <c r="C630" i="13"/>
  <c r="B630" i="13"/>
  <c r="A630" i="13"/>
  <c r="D629" i="13"/>
  <c r="C629" i="13"/>
  <c r="B629" i="13"/>
  <c r="A629" i="13"/>
  <c r="D628" i="13"/>
  <c r="C628" i="13"/>
  <c r="B628" i="13"/>
  <c r="A628" i="13"/>
  <c r="D627" i="13"/>
  <c r="C627" i="13"/>
  <c r="B627" i="13"/>
  <c r="A627" i="13"/>
  <c r="D626" i="13"/>
  <c r="C626" i="13"/>
  <c r="B626" i="13"/>
  <c r="A626" i="13"/>
  <c r="D625" i="13"/>
  <c r="C625" i="13"/>
  <c r="B625" i="13"/>
  <c r="A625" i="13"/>
  <c r="D624" i="13"/>
  <c r="C624" i="13"/>
  <c r="B624" i="13"/>
  <c r="A624" i="13"/>
  <c r="D623" i="13"/>
  <c r="C623" i="13"/>
  <c r="B623" i="13"/>
  <c r="A623" i="13"/>
  <c r="D622" i="13"/>
  <c r="C622" i="13"/>
  <c r="B622" i="13"/>
  <c r="A622" i="13"/>
  <c r="D621" i="13"/>
  <c r="C621" i="13"/>
  <c r="B621" i="13"/>
  <c r="A621" i="13"/>
  <c r="D620" i="13"/>
  <c r="C620" i="13"/>
  <c r="B620" i="13"/>
  <c r="A620" i="13"/>
  <c r="D619" i="13"/>
  <c r="C619" i="13"/>
  <c r="B619" i="13"/>
  <c r="A619" i="13"/>
  <c r="D618" i="13"/>
  <c r="C618" i="13"/>
  <c r="B618" i="13"/>
  <c r="A618" i="13"/>
  <c r="D617" i="13"/>
  <c r="C617" i="13"/>
  <c r="B617" i="13"/>
  <c r="A617" i="13"/>
  <c r="D616" i="13"/>
  <c r="C616" i="13"/>
  <c r="B616" i="13"/>
  <c r="A616" i="13"/>
  <c r="D615" i="13"/>
  <c r="C615" i="13"/>
  <c r="B615" i="13"/>
  <c r="A615" i="13"/>
  <c r="D614" i="13"/>
  <c r="C614" i="13"/>
  <c r="B614" i="13"/>
  <c r="A614" i="13"/>
  <c r="D613" i="13"/>
  <c r="C613" i="13"/>
  <c r="B613" i="13"/>
  <c r="A613" i="13"/>
  <c r="D612" i="13"/>
  <c r="C612" i="13"/>
  <c r="B612" i="13"/>
  <c r="A612" i="13"/>
  <c r="D611" i="13"/>
  <c r="C611" i="13"/>
  <c r="B611" i="13"/>
  <c r="A611" i="13"/>
  <c r="D610" i="13"/>
  <c r="C610" i="13"/>
  <c r="B610" i="13"/>
  <c r="A610" i="13"/>
  <c r="D609" i="13"/>
  <c r="C609" i="13"/>
  <c r="B609" i="13"/>
  <c r="A609" i="13"/>
  <c r="D608" i="13"/>
  <c r="C608" i="13"/>
  <c r="B608" i="13"/>
  <c r="A608" i="13"/>
  <c r="D607" i="13"/>
  <c r="C607" i="13"/>
  <c r="B607" i="13"/>
  <c r="A607" i="13"/>
  <c r="D606" i="13"/>
  <c r="C606" i="13"/>
  <c r="B606" i="13"/>
  <c r="A606" i="13"/>
  <c r="D605" i="13"/>
  <c r="C605" i="13"/>
  <c r="B605" i="13"/>
  <c r="A605" i="13"/>
  <c r="D604" i="13"/>
  <c r="C604" i="13"/>
  <c r="B604" i="13"/>
  <c r="A604" i="13"/>
  <c r="D603" i="13"/>
  <c r="C603" i="13"/>
  <c r="B603" i="13"/>
  <c r="A603" i="13"/>
  <c r="D602" i="13"/>
  <c r="C602" i="13"/>
  <c r="B602" i="13"/>
  <c r="A602" i="13"/>
  <c r="D601" i="13"/>
  <c r="C601" i="13"/>
  <c r="B601" i="13"/>
  <c r="A601" i="13"/>
  <c r="D600" i="13"/>
  <c r="C600" i="13"/>
  <c r="B600" i="13"/>
  <c r="A600" i="13"/>
  <c r="D599" i="13"/>
  <c r="C599" i="13"/>
  <c r="B599" i="13"/>
  <c r="A599" i="13"/>
  <c r="D598" i="13"/>
  <c r="C598" i="13"/>
  <c r="B598" i="13"/>
  <c r="A598" i="13"/>
  <c r="D597" i="13"/>
  <c r="C597" i="13"/>
  <c r="B597" i="13"/>
  <c r="A597" i="13"/>
  <c r="D596" i="13"/>
  <c r="C596" i="13"/>
  <c r="B596" i="13"/>
  <c r="A596" i="13"/>
  <c r="D595" i="13"/>
  <c r="C595" i="13"/>
  <c r="B595" i="13"/>
  <c r="A595" i="13"/>
  <c r="D594" i="13"/>
  <c r="C594" i="13"/>
  <c r="B594" i="13"/>
  <c r="A594" i="13"/>
  <c r="D593" i="13"/>
  <c r="C593" i="13"/>
  <c r="B593" i="13"/>
  <c r="A593" i="13"/>
  <c r="D592" i="13"/>
  <c r="C592" i="13"/>
  <c r="B592" i="13"/>
  <c r="A592" i="13"/>
  <c r="D591" i="13"/>
  <c r="C591" i="13"/>
  <c r="B591" i="13"/>
  <c r="A591" i="13"/>
  <c r="D590" i="13"/>
  <c r="C590" i="13"/>
  <c r="B590" i="13"/>
  <c r="A590" i="13"/>
  <c r="D589" i="13"/>
  <c r="C589" i="13"/>
  <c r="B589" i="13"/>
  <c r="A589" i="13"/>
  <c r="D588" i="13"/>
  <c r="C588" i="13"/>
  <c r="B588" i="13"/>
  <c r="A588" i="13"/>
  <c r="D587" i="13"/>
  <c r="C587" i="13"/>
  <c r="B587" i="13"/>
  <c r="A587" i="13"/>
  <c r="D586" i="13"/>
  <c r="C586" i="13"/>
  <c r="B586" i="13"/>
  <c r="A586" i="13"/>
  <c r="D585" i="13"/>
  <c r="C585" i="13"/>
  <c r="B585" i="13"/>
  <c r="A585" i="13"/>
  <c r="D584" i="13"/>
  <c r="C584" i="13"/>
  <c r="B584" i="13"/>
  <c r="A584" i="13"/>
  <c r="D583" i="13"/>
  <c r="C583" i="13"/>
  <c r="B583" i="13"/>
  <c r="A583" i="13"/>
  <c r="D582" i="13"/>
  <c r="C582" i="13"/>
  <c r="B582" i="13"/>
  <c r="A582" i="13"/>
  <c r="D581" i="13"/>
  <c r="C581" i="13"/>
  <c r="B581" i="13"/>
  <c r="A581" i="13"/>
  <c r="D580" i="13"/>
  <c r="C580" i="13"/>
  <c r="B580" i="13"/>
  <c r="A580" i="13"/>
  <c r="D579" i="13"/>
  <c r="C579" i="13"/>
  <c r="B579" i="13"/>
  <c r="A579" i="13"/>
  <c r="D578" i="13"/>
  <c r="C578" i="13"/>
  <c r="B578" i="13"/>
  <c r="A578" i="13"/>
  <c r="D577" i="13"/>
  <c r="C577" i="13"/>
  <c r="B577" i="13"/>
  <c r="A577" i="13"/>
  <c r="D576" i="13"/>
  <c r="C576" i="13"/>
  <c r="B576" i="13"/>
  <c r="A576" i="13"/>
  <c r="D575" i="13"/>
  <c r="C575" i="13"/>
  <c r="B575" i="13"/>
  <c r="A575" i="13"/>
  <c r="D574" i="13"/>
  <c r="C574" i="13"/>
  <c r="B574" i="13"/>
  <c r="A574" i="13"/>
  <c r="D573" i="13"/>
  <c r="C573" i="13"/>
  <c r="B573" i="13"/>
  <c r="A573" i="13"/>
  <c r="D572" i="13"/>
  <c r="C572" i="13"/>
  <c r="B572" i="13"/>
  <c r="A572" i="13"/>
  <c r="D571" i="13"/>
  <c r="C571" i="13"/>
  <c r="B571" i="13"/>
  <c r="A571" i="13"/>
  <c r="D570" i="13"/>
  <c r="C570" i="13"/>
  <c r="B570" i="13"/>
  <c r="A570" i="13"/>
  <c r="D569" i="13"/>
  <c r="C569" i="13"/>
  <c r="B569" i="13"/>
  <c r="A569" i="13"/>
  <c r="D568" i="13"/>
  <c r="C568" i="13"/>
  <c r="B568" i="13"/>
  <c r="A568" i="13"/>
  <c r="D567" i="13"/>
  <c r="C567" i="13"/>
  <c r="B567" i="13"/>
  <c r="A567" i="13"/>
  <c r="D566" i="13"/>
  <c r="C566" i="13"/>
  <c r="B566" i="13"/>
  <c r="A566" i="13"/>
  <c r="D565" i="13"/>
  <c r="C565" i="13"/>
  <c r="B565" i="13"/>
  <c r="A565" i="13"/>
  <c r="D564" i="13"/>
  <c r="C564" i="13"/>
  <c r="B564" i="13"/>
  <c r="A564" i="13"/>
  <c r="D563" i="13"/>
  <c r="C563" i="13"/>
  <c r="B563" i="13"/>
  <c r="A563" i="13"/>
  <c r="D562" i="13"/>
  <c r="C562" i="13"/>
  <c r="B562" i="13"/>
  <c r="A562" i="13"/>
  <c r="D561" i="13"/>
  <c r="C561" i="13"/>
  <c r="B561" i="13"/>
  <c r="A561" i="13"/>
  <c r="D560" i="13"/>
  <c r="C560" i="13"/>
  <c r="B560" i="13"/>
  <c r="A560" i="13"/>
  <c r="D559" i="13"/>
  <c r="C559" i="13"/>
  <c r="B559" i="13"/>
  <c r="A559" i="13"/>
  <c r="D558" i="13"/>
  <c r="C558" i="13"/>
  <c r="B558" i="13"/>
  <c r="A558" i="13"/>
  <c r="D557" i="13"/>
  <c r="C557" i="13"/>
  <c r="B557" i="13"/>
  <c r="A557" i="13"/>
  <c r="D556" i="13"/>
  <c r="C556" i="13"/>
  <c r="B556" i="13"/>
  <c r="A556" i="13"/>
  <c r="D555" i="13"/>
  <c r="C555" i="13"/>
  <c r="B555" i="13"/>
  <c r="A555" i="13"/>
  <c r="D554" i="13"/>
  <c r="C554" i="13"/>
  <c r="B554" i="13"/>
  <c r="A554" i="13"/>
  <c r="D553" i="13"/>
  <c r="C553" i="13"/>
  <c r="B553" i="13"/>
  <c r="A553" i="13"/>
  <c r="D552" i="13"/>
  <c r="C552" i="13"/>
  <c r="B552" i="13"/>
  <c r="A552" i="13"/>
  <c r="D551" i="13"/>
  <c r="C551" i="13"/>
  <c r="B551" i="13"/>
  <c r="A551" i="13"/>
  <c r="D550" i="13"/>
  <c r="C550" i="13"/>
  <c r="B550" i="13"/>
  <c r="A550" i="13"/>
  <c r="D549" i="13"/>
  <c r="C549" i="13"/>
  <c r="B549" i="13"/>
  <c r="A549" i="13"/>
  <c r="D548" i="13"/>
  <c r="C548" i="13"/>
  <c r="B548" i="13"/>
  <c r="A548" i="13"/>
  <c r="D547" i="13"/>
  <c r="C547" i="13"/>
  <c r="B547" i="13"/>
  <c r="A547" i="13"/>
  <c r="D546" i="13"/>
  <c r="C546" i="13"/>
  <c r="B546" i="13"/>
  <c r="A546" i="13"/>
  <c r="D545" i="13"/>
  <c r="C545" i="13"/>
  <c r="B545" i="13"/>
  <c r="A545" i="13"/>
  <c r="D544" i="13"/>
  <c r="C544" i="13"/>
  <c r="B544" i="13"/>
  <c r="A544" i="13"/>
  <c r="D543" i="13"/>
  <c r="C543" i="13"/>
  <c r="B543" i="13"/>
  <c r="A543" i="13"/>
  <c r="D542" i="13"/>
  <c r="C542" i="13"/>
  <c r="B542" i="13"/>
  <c r="A542" i="13"/>
  <c r="D541" i="13"/>
  <c r="C541" i="13"/>
  <c r="B541" i="13"/>
  <c r="A541" i="13"/>
  <c r="D540" i="13"/>
  <c r="C540" i="13"/>
  <c r="B540" i="13"/>
  <c r="A540" i="13"/>
  <c r="D539" i="13"/>
  <c r="C539" i="13"/>
  <c r="B539" i="13"/>
  <c r="A539" i="13"/>
  <c r="D538" i="13"/>
  <c r="C538" i="13"/>
  <c r="B538" i="13"/>
  <c r="A538" i="13"/>
  <c r="D537" i="13"/>
  <c r="C537" i="13"/>
  <c r="B537" i="13"/>
  <c r="A537" i="13"/>
  <c r="D536" i="13"/>
  <c r="C536" i="13"/>
  <c r="B536" i="13"/>
  <c r="A536" i="13"/>
  <c r="D535" i="13"/>
  <c r="C535" i="13"/>
  <c r="B535" i="13"/>
  <c r="A535" i="13"/>
  <c r="D534" i="13"/>
  <c r="C534" i="13"/>
  <c r="B534" i="13"/>
  <c r="A534" i="13"/>
  <c r="D533" i="13"/>
  <c r="C533" i="13"/>
  <c r="B533" i="13"/>
  <c r="A533" i="13"/>
  <c r="D532" i="13"/>
  <c r="C532" i="13"/>
  <c r="B532" i="13"/>
  <c r="A532" i="13"/>
  <c r="D531" i="13"/>
  <c r="C531" i="13"/>
  <c r="B531" i="13"/>
  <c r="A531" i="13"/>
  <c r="D530" i="13"/>
  <c r="C530" i="13"/>
  <c r="B530" i="13"/>
  <c r="A530" i="13"/>
  <c r="D529" i="13"/>
  <c r="C529" i="13"/>
  <c r="B529" i="13"/>
  <c r="A529" i="13"/>
  <c r="D528" i="13"/>
  <c r="C528" i="13"/>
  <c r="B528" i="13"/>
  <c r="A528" i="13"/>
  <c r="D527" i="13"/>
  <c r="C527" i="13"/>
  <c r="B527" i="13"/>
  <c r="A527" i="13"/>
  <c r="D526" i="13"/>
  <c r="C526" i="13"/>
  <c r="B526" i="13"/>
  <c r="A526" i="13"/>
  <c r="D525" i="13"/>
  <c r="C525" i="13"/>
  <c r="B525" i="13"/>
  <c r="A525" i="13"/>
  <c r="D524" i="13"/>
  <c r="C524" i="13"/>
  <c r="B524" i="13"/>
  <c r="A524" i="13"/>
  <c r="D523" i="13"/>
  <c r="C523" i="13"/>
  <c r="B523" i="13"/>
  <c r="A523" i="13"/>
  <c r="D522" i="13"/>
  <c r="C522" i="13"/>
  <c r="B522" i="13"/>
  <c r="A522" i="13"/>
  <c r="D521" i="13"/>
  <c r="C521" i="13"/>
  <c r="B521" i="13"/>
  <c r="A521" i="13"/>
  <c r="D520" i="13"/>
  <c r="C520" i="13"/>
  <c r="B520" i="13"/>
  <c r="A520" i="13"/>
  <c r="D519" i="13"/>
  <c r="C519" i="13"/>
  <c r="B519" i="13"/>
  <c r="A519" i="13"/>
  <c r="D518" i="13"/>
  <c r="C518" i="13"/>
  <c r="B518" i="13"/>
  <c r="A518" i="13"/>
  <c r="D517" i="13"/>
  <c r="C517" i="13"/>
  <c r="B517" i="13"/>
  <c r="A517" i="13"/>
  <c r="D516" i="13"/>
  <c r="C516" i="13"/>
  <c r="B516" i="13"/>
  <c r="A516" i="13"/>
  <c r="D515" i="13"/>
  <c r="C515" i="13"/>
  <c r="B515" i="13"/>
  <c r="A515" i="13"/>
  <c r="D514" i="13"/>
  <c r="C514" i="13"/>
  <c r="B514" i="13"/>
  <c r="A514" i="13"/>
  <c r="D513" i="13"/>
  <c r="C513" i="13"/>
  <c r="B513" i="13"/>
  <c r="A513" i="13"/>
  <c r="D512" i="13"/>
  <c r="C512" i="13"/>
  <c r="B512" i="13"/>
  <c r="A512" i="13"/>
  <c r="D511" i="13"/>
  <c r="C511" i="13"/>
  <c r="B511" i="13"/>
  <c r="A511" i="13"/>
  <c r="D510" i="13"/>
  <c r="C510" i="13"/>
  <c r="B510" i="13"/>
  <c r="A510" i="13"/>
  <c r="D509" i="13"/>
  <c r="C509" i="13"/>
  <c r="B509" i="13"/>
  <c r="A509" i="13"/>
  <c r="D508" i="13"/>
  <c r="C508" i="13"/>
  <c r="B508" i="13"/>
  <c r="A508" i="13"/>
  <c r="D507" i="13"/>
  <c r="C507" i="13"/>
  <c r="B507" i="13"/>
  <c r="A507" i="13"/>
  <c r="D506" i="13"/>
  <c r="C506" i="13"/>
  <c r="B506" i="13"/>
  <c r="A506" i="13"/>
  <c r="D505" i="13"/>
  <c r="C505" i="13"/>
  <c r="B505" i="13"/>
  <c r="A505" i="13"/>
  <c r="D504" i="13"/>
  <c r="C504" i="13"/>
  <c r="B504" i="13"/>
  <c r="A504" i="13"/>
  <c r="D503" i="13"/>
  <c r="C503" i="13"/>
  <c r="B503" i="13"/>
  <c r="A503" i="13"/>
  <c r="D502" i="13"/>
  <c r="C502" i="13"/>
  <c r="B502" i="13"/>
  <c r="A502" i="13"/>
  <c r="D501" i="13"/>
  <c r="C501" i="13"/>
  <c r="B501" i="13"/>
  <c r="A501" i="13"/>
  <c r="D500" i="13"/>
  <c r="C500" i="13"/>
  <c r="B500" i="13"/>
  <c r="A500" i="13"/>
  <c r="D499" i="13"/>
  <c r="C499" i="13"/>
  <c r="B499" i="13"/>
  <c r="A499" i="13"/>
  <c r="D498" i="13"/>
  <c r="C498" i="13"/>
  <c r="B498" i="13"/>
  <c r="A498" i="13"/>
  <c r="D497" i="13"/>
  <c r="C497" i="13"/>
  <c r="B497" i="13"/>
  <c r="A497" i="13"/>
  <c r="D496" i="13"/>
  <c r="C496" i="13"/>
  <c r="B496" i="13"/>
  <c r="A496" i="13"/>
  <c r="D495" i="13"/>
  <c r="C495" i="13"/>
  <c r="B495" i="13"/>
  <c r="A495" i="13"/>
  <c r="D494" i="13"/>
  <c r="C494" i="13"/>
  <c r="B494" i="13"/>
  <c r="A494" i="13"/>
  <c r="D493" i="13"/>
  <c r="C493" i="13"/>
  <c r="B493" i="13"/>
  <c r="A493" i="13"/>
  <c r="D492" i="13"/>
  <c r="C492" i="13"/>
  <c r="B492" i="13"/>
  <c r="A492" i="13"/>
  <c r="D491" i="13"/>
  <c r="C491" i="13"/>
  <c r="B491" i="13"/>
  <c r="A491" i="13"/>
  <c r="D490" i="13"/>
  <c r="C490" i="13"/>
  <c r="B490" i="13"/>
  <c r="A490" i="13"/>
  <c r="D489" i="13"/>
  <c r="C489" i="13"/>
  <c r="B489" i="13"/>
  <c r="A489" i="13"/>
  <c r="D488" i="13"/>
  <c r="C488" i="13"/>
  <c r="B488" i="13"/>
  <c r="A488" i="13"/>
  <c r="D487" i="13"/>
  <c r="C487" i="13"/>
  <c r="B487" i="13"/>
  <c r="A487" i="13"/>
  <c r="D486" i="13"/>
  <c r="C486" i="13"/>
  <c r="B486" i="13"/>
  <c r="A486" i="13"/>
  <c r="D485" i="13"/>
  <c r="C485" i="13"/>
  <c r="B485" i="13"/>
  <c r="A485" i="13"/>
  <c r="D484" i="13"/>
  <c r="C484" i="13"/>
  <c r="B484" i="13"/>
  <c r="A484" i="13"/>
  <c r="D483" i="13"/>
  <c r="C483" i="13"/>
  <c r="B483" i="13"/>
  <c r="A483" i="13"/>
  <c r="D482" i="13"/>
  <c r="C482" i="13"/>
  <c r="B482" i="13"/>
  <c r="A482" i="13"/>
  <c r="D481" i="13"/>
  <c r="C481" i="13"/>
  <c r="B481" i="13"/>
  <c r="A481" i="13"/>
  <c r="D480" i="13"/>
  <c r="C480" i="13"/>
  <c r="B480" i="13"/>
  <c r="A480" i="13"/>
  <c r="D479" i="13"/>
  <c r="C479" i="13"/>
  <c r="B479" i="13"/>
  <c r="A479" i="13"/>
  <c r="D478" i="13"/>
  <c r="C478" i="13"/>
  <c r="B478" i="13"/>
  <c r="A478" i="13"/>
  <c r="D477" i="13"/>
  <c r="C477" i="13"/>
  <c r="B477" i="13"/>
  <c r="A477" i="13"/>
  <c r="D476" i="13"/>
  <c r="C476" i="13"/>
  <c r="B476" i="13"/>
  <c r="A476" i="13"/>
  <c r="D475" i="13"/>
  <c r="C475" i="13"/>
  <c r="B475" i="13"/>
  <c r="A475" i="13"/>
  <c r="D474" i="13"/>
  <c r="C474" i="13"/>
  <c r="B474" i="13"/>
  <c r="A474" i="13"/>
  <c r="D473" i="13"/>
  <c r="C473" i="13"/>
  <c r="B473" i="13"/>
  <c r="A473" i="13"/>
  <c r="D472" i="13"/>
  <c r="C472" i="13"/>
  <c r="B472" i="13"/>
  <c r="A472" i="13"/>
  <c r="D471" i="13"/>
  <c r="C471" i="13"/>
  <c r="B471" i="13"/>
  <c r="A471" i="13"/>
  <c r="D470" i="13"/>
  <c r="C470" i="13"/>
  <c r="B470" i="13"/>
  <c r="A470" i="13"/>
  <c r="D469" i="13"/>
  <c r="C469" i="13"/>
  <c r="B469" i="13"/>
  <c r="A469" i="13"/>
  <c r="D468" i="13"/>
  <c r="C468" i="13"/>
  <c r="B468" i="13"/>
  <c r="A468" i="13"/>
  <c r="D467" i="13"/>
  <c r="C467" i="13"/>
  <c r="B467" i="13"/>
  <c r="A467" i="13"/>
  <c r="D466" i="13"/>
  <c r="C466" i="13"/>
  <c r="B466" i="13"/>
  <c r="A466" i="13"/>
  <c r="D465" i="13"/>
  <c r="C465" i="13"/>
  <c r="B465" i="13"/>
  <c r="A465" i="13"/>
  <c r="D464" i="13"/>
  <c r="C464" i="13"/>
  <c r="B464" i="13"/>
  <c r="A464" i="13"/>
  <c r="D463" i="13"/>
  <c r="C463" i="13"/>
  <c r="B463" i="13"/>
  <c r="A463" i="13"/>
  <c r="D462" i="13"/>
  <c r="C462" i="13"/>
  <c r="B462" i="13"/>
  <c r="A462" i="13"/>
  <c r="D461" i="13"/>
  <c r="C461" i="13"/>
  <c r="B461" i="13"/>
  <c r="A461" i="13"/>
  <c r="D460" i="13"/>
  <c r="C460" i="13"/>
  <c r="B460" i="13"/>
  <c r="A460" i="13"/>
  <c r="D459" i="13"/>
  <c r="C459" i="13"/>
  <c r="B459" i="13"/>
  <c r="A459" i="13"/>
  <c r="D458" i="13"/>
  <c r="C458" i="13"/>
  <c r="B458" i="13"/>
  <c r="A458" i="13"/>
  <c r="D457" i="13"/>
  <c r="C457" i="13"/>
  <c r="B457" i="13"/>
  <c r="A457" i="13"/>
  <c r="D456" i="13"/>
  <c r="C456" i="13"/>
  <c r="B456" i="13"/>
  <c r="A456" i="13"/>
  <c r="D455" i="13"/>
  <c r="C455" i="13"/>
  <c r="B455" i="13"/>
  <c r="A455" i="13"/>
  <c r="D454" i="13"/>
  <c r="C454" i="13"/>
  <c r="B454" i="13"/>
  <c r="A454" i="13"/>
  <c r="D453" i="13"/>
  <c r="C453" i="13"/>
  <c r="B453" i="13"/>
  <c r="A453" i="13"/>
  <c r="D452" i="13"/>
  <c r="C452" i="13"/>
  <c r="B452" i="13"/>
  <c r="A452" i="13"/>
  <c r="D451" i="13"/>
  <c r="C451" i="13"/>
  <c r="B451" i="13"/>
  <c r="A451" i="13"/>
  <c r="D450" i="13"/>
  <c r="C450" i="13"/>
  <c r="B450" i="13"/>
  <c r="A450" i="13"/>
  <c r="D449" i="13"/>
  <c r="C449" i="13"/>
  <c r="B449" i="13"/>
  <c r="A449" i="13"/>
  <c r="D448" i="13"/>
  <c r="C448" i="13"/>
  <c r="B448" i="13"/>
  <c r="A448" i="13"/>
  <c r="D447" i="13"/>
  <c r="C447" i="13"/>
  <c r="B447" i="13"/>
  <c r="A447" i="13"/>
  <c r="D446" i="13"/>
  <c r="C446" i="13"/>
  <c r="B446" i="13"/>
  <c r="A446" i="13"/>
  <c r="D445" i="13"/>
  <c r="C445" i="13"/>
  <c r="B445" i="13"/>
  <c r="A445" i="13"/>
  <c r="D444" i="13"/>
  <c r="C444" i="13"/>
  <c r="B444" i="13"/>
  <c r="A444" i="13"/>
  <c r="D443" i="13"/>
  <c r="C443" i="13"/>
  <c r="B443" i="13"/>
  <c r="A443" i="13"/>
  <c r="D442" i="13"/>
  <c r="C442" i="13"/>
  <c r="B442" i="13"/>
  <c r="A442" i="13"/>
  <c r="D441" i="13"/>
  <c r="C441" i="13"/>
  <c r="B441" i="13"/>
  <c r="A441" i="13"/>
  <c r="D440" i="13"/>
  <c r="C440" i="13"/>
  <c r="B440" i="13"/>
  <c r="A440" i="13"/>
  <c r="D439" i="13"/>
  <c r="C439" i="13"/>
  <c r="B439" i="13"/>
  <c r="A439" i="13"/>
  <c r="D438" i="13"/>
  <c r="C438" i="13"/>
  <c r="B438" i="13"/>
  <c r="A438" i="13"/>
  <c r="D437" i="13"/>
  <c r="C437" i="13"/>
  <c r="B437" i="13"/>
  <c r="A437" i="13"/>
  <c r="D436" i="13"/>
  <c r="C436" i="13"/>
  <c r="B436" i="13"/>
  <c r="A436" i="13"/>
  <c r="D435" i="13"/>
  <c r="C435" i="13"/>
  <c r="B435" i="13"/>
  <c r="A435" i="13"/>
  <c r="D434" i="13"/>
  <c r="C434" i="13"/>
  <c r="B434" i="13"/>
  <c r="A434" i="13"/>
  <c r="D433" i="13"/>
  <c r="C433" i="13"/>
  <c r="B433" i="13"/>
  <c r="A433" i="13"/>
  <c r="D432" i="13"/>
  <c r="C432" i="13"/>
  <c r="B432" i="13"/>
  <c r="A432" i="13"/>
  <c r="D431" i="13"/>
  <c r="C431" i="13"/>
  <c r="B431" i="13"/>
  <c r="A431" i="13"/>
  <c r="D430" i="13"/>
  <c r="C430" i="13"/>
  <c r="B430" i="13"/>
  <c r="A430" i="13"/>
  <c r="D429" i="13"/>
  <c r="C429" i="13"/>
  <c r="B429" i="13"/>
  <c r="A429" i="13"/>
  <c r="D428" i="13"/>
  <c r="C428" i="13"/>
  <c r="B428" i="13"/>
  <c r="A428" i="13"/>
  <c r="D427" i="13"/>
  <c r="C427" i="13"/>
  <c r="B427" i="13"/>
  <c r="A427" i="13"/>
  <c r="D426" i="13"/>
  <c r="C426" i="13"/>
  <c r="B426" i="13"/>
  <c r="A426" i="13"/>
  <c r="D425" i="13"/>
  <c r="C425" i="13"/>
  <c r="B425" i="13"/>
  <c r="A425" i="13"/>
  <c r="D424" i="13"/>
  <c r="C424" i="13"/>
  <c r="B424" i="13"/>
  <c r="A424" i="13"/>
  <c r="D423" i="13"/>
  <c r="C423" i="13"/>
  <c r="B423" i="13"/>
  <c r="A423" i="13"/>
  <c r="D422" i="13"/>
  <c r="C422" i="13"/>
  <c r="B422" i="13"/>
  <c r="A422" i="13"/>
  <c r="D421" i="13"/>
  <c r="C421" i="13"/>
  <c r="B421" i="13"/>
  <c r="A421" i="13"/>
  <c r="D420" i="13"/>
  <c r="C420" i="13"/>
  <c r="B420" i="13"/>
  <c r="A420" i="13"/>
  <c r="D419" i="13"/>
  <c r="C419" i="13"/>
  <c r="B419" i="13"/>
  <c r="A419" i="13"/>
  <c r="D418" i="13"/>
  <c r="C418" i="13"/>
  <c r="B418" i="13"/>
  <c r="A418" i="13"/>
  <c r="D417" i="13"/>
  <c r="C417" i="13"/>
  <c r="B417" i="13"/>
  <c r="A417" i="13"/>
  <c r="D416" i="13"/>
  <c r="C416" i="13"/>
  <c r="B416" i="13"/>
  <c r="A416" i="13"/>
  <c r="D415" i="13"/>
  <c r="C415" i="13"/>
  <c r="B415" i="13"/>
  <c r="A415" i="13"/>
  <c r="D414" i="13"/>
  <c r="C414" i="13"/>
  <c r="B414" i="13"/>
  <c r="A414" i="13"/>
  <c r="D413" i="13"/>
  <c r="C413" i="13"/>
  <c r="B413" i="13"/>
  <c r="A413" i="13"/>
  <c r="D412" i="13"/>
  <c r="C412" i="13"/>
  <c r="B412" i="13"/>
  <c r="A412" i="13"/>
  <c r="D411" i="13"/>
  <c r="C411" i="13"/>
  <c r="B411" i="13"/>
  <c r="A411" i="13"/>
  <c r="D410" i="13"/>
  <c r="C410" i="13"/>
  <c r="B410" i="13"/>
  <c r="A410" i="13"/>
  <c r="D409" i="13"/>
  <c r="C409" i="13"/>
  <c r="B409" i="13"/>
  <c r="A409" i="13"/>
  <c r="D408" i="13"/>
  <c r="C408" i="13"/>
  <c r="B408" i="13"/>
  <c r="A408" i="13"/>
  <c r="D407" i="13"/>
  <c r="C407" i="13"/>
  <c r="B407" i="13"/>
  <c r="A407" i="13"/>
  <c r="D406" i="13"/>
  <c r="C406" i="13"/>
  <c r="B406" i="13"/>
  <c r="A406" i="13"/>
  <c r="D405" i="13"/>
  <c r="C405" i="13"/>
  <c r="B405" i="13"/>
  <c r="A405" i="13"/>
  <c r="D404" i="13"/>
  <c r="C404" i="13"/>
  <c r="B404" i="13"/>
  <c r="A404" i="13"/>
  <c r="D403" i="13"/>
  <c r="C403" i="13"/>
  <c r="B403" i="13"/>
  <c r="A403" i="13"/>
  <c r="D402" i="13"/>
  <c r="C402" i="13"/>
  <c r="B402" i="13"/>
  <c r="A402" i="13"/>
  <c r="D401" i="13"/>
  <c r="C401" i="13"/>
  <c r="B401" i="13"/>
  <c r="A401" i="13"/>
  <c r="D400" i="13"/>
  <c r="C400" i="13"/>
  <c r="B400" i="13"/>
  <c r="A400" i="13"/>
  <c r="D399" i="13"/>
  <c r="C399" i="13"/>
  <c r="B399" i="13"/>
  <c r="A399" i="13"/>
  <c r="D398" i="13"/>
  <c r="C398" i="13"/>
  <c r="B398" i="13"/>
  <c r="A398" i="13"/>
  <c r="D397" i="13"/>
  <c r="C397" i="13"/>
  <c r="B397" i="13"/>
  <c r="A397" i="13"/>
  <c r="D396" i="13"/>
  <c r="C396" i="13"/>
  <c r="B396" i="13"/>
  <c r="A396" i="13"/>
  <c r="D395" i="13"/>
  <c r="C395" i="13"/>
  <c r="B395" i="13"/>
  <c r="A395" i="13"/>
  <c r="D394" i="13"/>
  <c r="C394" i="13"/>
  <c r="B394" i="13"/>
  <c r="A394" i="13"/>
  <c r="D393" i="13"/>
  <c r="C393" i="13"/>
  <c r="B393" i="13"/>
  <c r="A393" i="13"/>
  <c r="D392" i="13"/>
  <c r="C392" i="13"/>
  <c r="B392" i="13"/>
  <c r="A392" i="13"/>
  <c r="D391" i="13"/>
  <c r="C391" i="13"/>
  <c r="B391" i="13"/>
  <c r="A391" i="13"/>
  <c r="D390" i="13"/>
  <c r="C390" i="13"/>
  <c r="B390" i="13"/>
  <c r="A390" i="13"/>
  <c r="D389" i="13"/>
  <c r="C389" i="13"/>
  <c r="B389" i="13"/>
  <c r="A389" i="13"/>
  <c r="D388" i="13"/>
  <c r="C388" i="13"/>
  <c r="B388" i="13"/>
  <c r="A388" i="13"/>
  <c r="D387" i="13"/>
  <c r="C387" i="13"/>
  <c r="B387" i="13"/>
  <c r="A387" i="13"/>
  <c r="D386" i="13"/>
  <c r="C386" i="13"/>
  <c r="B386" i="13"/>
  <c r="A386" i="13"/>
  <c r="D385" i="13"/>
  <c r="C385" i="13"/>
  <c r="B385" i="13"/>
  <c r="A385" i="13"/>
  <c r="D384" i="13"/>
  <c r="C384" i="13"/>
  <c r="B384" i="13"/>
  <c r="A384" i="13"/>
  <c r="D383" i="13"/>
  <c r="C383" i="13"/>
  <c r="B383" i="13"/>
  <c r="A383" i="13"/>
  <c r="D382" i="13"/>
  <c r="C382" i="13"/>
  <c r="B382" i="13"/>
  <c r="A382" i="13"/>
  <c r="D381" i="13"/>
  <c r="C381" i="13"/>
  <c r="B381" i="13"/>
  <c r="A381" i="13"/>
  <c r="D380" i="13"/>
  <c r="C380" i="13"/>
  <c r="B380" i="13"/>
  <c r="A380" i="13"/>
  <c r="D379" i="13"/>
  <c r="C379" i="13"/>
  <c r="B379" i="13"/>
  <c r="A379" i="13"/>
  <c r="D378" i="13"/>
  <c r="C378" i="13"/>
  <c r="B378" i="13"/>
  <c r="A378" i="13"/>
  <c r="D377" i="13"/>
  <c r="C377" i="13"/>
  <c r="B377" i="13"/>
  <c r="A377" i="13"/>
  <c r="D376" i="13"/>
  <c r="C376" i="13"/>
  <c r="B376" i="13"/>
  <c r="A376" i="13"/>
  <c r="D375" i="13"/>
  <c r="C375" i="13"/>
  <c r="B375" i="13"/>
  <c r="A375" i="13"/>
  <c r="D374" i="13"/>
  <c r="C374" i="13"/>
  <c r="B374" i="13"/>
  <c r="A374" i="13"/>
  <c r="D373" i="13"/>
  <c r="C373" i="13"/>
  <c r="B373" i="13"/>
  <c r="A373" i="13"/>
  <c r="D372" i="13"/>
  <c r="C372" i="13"/>
  <c r="B372" i="13"/>
  <c r="A372" i="13"/>
  <c r="D371" i="13"/>
  <c r="C371" i="13"/>
  <c r="B371" i="13"/>
  <c r="A371" i="13"/>
  <c r="D370" i="13"/>
  <c r="C370" i="13"/>
  <c r="B370" i="13"/>
  <c r="A370" i="13"/>
  <c r="D369" i="13"/>
  <c r="C369" i="13"/>
  <c r="B369" i="13"/>
  <c r="A369" i="13"/>
  <c r="D368" i="13"/>
  <c r="C368" i="13"/>
  <c r="B368" i="13"/>
  <c r="A368" i="13"/>
  <c r="D367" i="13"/>
  <c r="C367" i="13"/>
  <c r="B367" i="13"/>
  <c r="A367" i="13"/>
  <c r="D366" i="13"/>
  <c r="C366" i="13"/>
  <c r="B366" i="13"/>
  <c r="A366" i="13"/>
  <c r="D365" i="13"/>
  <c r="C365" i="13"/>
  <c r="B365" i="13"/>
  <c r="A365" i="13"/>
  <c r="D364" i="13"/>
  <c r="C364" i="13"/>
  <c r="B364" i="13"/>
  <c r="A364" i="13"/>
  <c r="D363" i="13"/>
  <c r="C363" i="13"/>
  <c r="B363" i="13"/>
  <c r="A363" i="13"/>
  <c r="D362" i="13"/>
  <c r="C362" i="13"/>
  <c r="B362" i="13"/>
  <c r="A362" i="13"/>
  <c r="D361" i="13"/>
  <c r="C361" i="13"/>
  <c r="B361" i="13"/>
  <c r="A361" i="13"/>
  <c r="D360" i="13"/>
  <c r="C360" i="13"/>
  <c r="B360" i="13"/>
  <c r="A360" i="13"/>
  <c r="D359" i="13"/>
  <c r="C359" i="13"/>
  <c r="B359" i="13"/>
  <c r="A359" i="13"/>
  <c r="D358" i="13"/>
  <c r="C358" i="13"/>
  <c r="B358" i="13"/>
  <c r="A358" i="13"/>
  <c r="D357" i="13"/>
  <c r="C357" i="13"/>
  <c r="B357" i="13"/>
  <c r="A357" i="13"/>
  <c r="D356" i="13"/>
  <c r="C356" i="13"/>
  <c r="B356" i="13"/>
  <c r="A356" i="13"/>
  <c r="D355" i="13"/>
  <c r="C355" i="13"/>
  <c r="B355" i="13"/>
  <c r="A355" i="13"/>
  <c r="D354" i="13"/>
  <c r="C354" i="13"/>
  <c r="B354" i="13"/>
  <c r="A354" i="13"/>
  <c r="D353" i="13"/>
  <c r="C353" i="13"/>
  <c r="B353" i="13"/>
  <c r="A353" i="13"/>
  <c r="D352" i="13"/>
  <c r="C352" i="13"/>
  <c r="B352" i="13"/>
  <c r="A352" i="13"/>
  <c r="D351" i="13"/>
  <c r="C351" i="13"/>
  <c r="B351" i="13"/>
  <c r="A351" i="13"/>
  <c r="D350" i="13"/>
  <c r="C350" i="13"/>
  <c r="B350" i="13"/>
  <c r="A350" i="13"/>
  <c r="D349" i="13"/>
  <c r="C349" i="13"/>
  <c r="B349" i="13"/>
  <c r="A349" i="13"/>
  <c r="D348" i="13"/>
  <c r="C348" i="13"/>
  <c r="B348" i="13"/>
  <c r="A348" i="13"/>
  <c r="D347" i="13"/>
  <c r="C347" i="13"/>
  <c r="B347" i="13"/>
  <c r="A347" i="13"/>
  <c r="D346" i="13"/>
  <c r="C346" i="13"/>
  <c r="B346" i="13"/>
  <c r="A346" i="13"/>
  <c r="D345" i="13"/>
  <c r="C345" i="13"/>
  <c r="B345" i="13"/>
  <c r="A345" i="13"/>
  <c r="D344" i="13"/>
  <c r="C344" i="13"/>
  <c r="B344" i="13"/>
  <c r="A344" i="13"/>
  <c r="D343" i="13"/>
  <c r="C343" i="13"/>
  <c r="B343" i="13"/>
  <c r="A343" i="13"/>
  <c r="D342" i="13"/>
  <c r="C342" i="13"/>
  <c r="B342" i="13"/>
  <c r="A342" i="13"/>
  <c r="D341" i="13"/>
  <c r="C341" i="13"/>
  <c r="B341" i="13"/>
  <c r="A341" i="13"/>
  <c r="D340" i="13"/>
  <c r="C340" i="13"/>
  <c r="B340" i="13"/>
  <c r="A340" i="13"/>
  <c r="D339" i="13"/>
  <c r="C339" i="13"/>
  <c r="B339" i="13"/>
  <c r="A339" i="13"/>
  <c r="D338" i="13"/>
  <c r="C338" i="13"/>
  <c r="B338" i="13"/>
  <c r="A338" i="13"/>
  <c r="D337" i="13"/>
  <c r="C337" i="13"/>
  <c r="B337" i="13"/>
  <c r="A337" i="13"/>
  <c r="D336" i="13"/>
  <c r="C336" i="13"/>
  <c r="B336" i="13"/>
  <c r="A336" i="13"/>
  <c r="D335" i="13"/>
  <c r="C335" i="13"/>
  <c r="B335" i="13"/>
  <c r="A335" i="13"/>
  <c r="D334" i="13"/>
  <c r="C334" i="13"/>
  <c r="B334" i="13"/>
  <c r="A334" i="13"/>
  <c r="D333" i="13"/>
  <c r="C333" i="13"/>
  <c r="B333" i="13"/>
  <c r="A333" i="13"/>
  <c r="D332" i="13"/>
  <c r="C332" i="13"/>
  <c r="B332" i="13"/>
  <c r="A332" i="13"/>
  <c r="D331" i="13"/>
  <c r="C331" i="13"/>
  <c r="B331" i="13"/>
  <c r="A331" i="13"/>
  <c r="D330" i="13"/>
  <c r="C330" i="13"/>
  <c r="B330" i="13"/>
  <c r="A330" i="13"/>
  <c r="D329" i="13"/>
  <c r="C329" i="13"/>
  <c r="B329" i="13"/>
  <c r="A329" i="13"/>
  <c r="D328" i="13"/>
  <c r="C328" i="13"/>
  <c r="B328" i="13"/>
  <c r="A328" i="13"/>
  <c r="D327" i="13"/>
  <c r="C327" i="13"/>
  <c r="B327" i="13"/>
  <c r="A327" i="13"/>
  <c r="D326" i="13"/>
  <c r="C326" i="13"/>
  <c r="B326" i="13"/>
  <c r="A326" i="13"/>
  <c r="D325" i="13"/>
  <c r="C325" i="13"/>
  <c r="B325" i="13"/>
  <c r="A325" i="13"/>
  <c r="D324" i="13"/>
  <c r="C324" i="13"/>
  <c r="B324" i="13"/>
  <c r="A324" i="13"/>
  <c r="D323" i="13"/>
  <c r="C323" i="13"/>
  <c r="B323" i="13"/>
  <c r="A323" i="13"/>
  <c r="D322" i="13"/>
  <c r="C322" i="13"/>
  <c r="B322" i="13"/>
  <c r="A322" i="13"/>
  <c r="D321" i="13"/>
  <c r="C321" i="13"/>
  <c r="B321" i="13"/>
  <c r="A321" i="13"/>
  <c r="D320" i="13"/>
  <c r="C320" i="13"/>
  <c r="B320" i="13"/>
  <c r="A320" i="13"/>
  <c r="D319" i="13"/>
  <c r="C319" i="13"/>
  <c r="B319" i="13"/>
  <c r="A319" i="13"/>
  <c r="D318" i="13"/>
  <c r="C318" i="13"/>
  <c r="B318" i="13"/>
  <c r="A318" i="13"/>
  <c r="D317" i="13"/>
  <c r="C317" i="13"/>
  <c r="B317" i="13"/>
  <c r="A317" i="13"/>
  <c r="D316" i="13"/>
  <c r="C316" i="13"/>
  <c r="B316" i="13"/>
  <c r="A316" i="13"/>
  <c r="D315" i="13"/>
  <c r="C315" i="13"/>
  <c r="B315" i="13"/>
  <c r="A315" i="13"/>
  <c r="D314" i="13"/>
  <c r="C314" i="13"/>
  <c r="B314" i="13"/>
  <c r="A314" i="13"/>
  <c r="D313" i="13"/>
  <c r="C313" i="13"/>
  <c r="B313" i="13"/>
  <c r="A313" i="13"/>
  <c r="D312" i="13"/>
  <c r="C312" i="13"/>
  <c r="B312" i="13"/>
  <c r="A312" i="13"/>
  <c r="D311" i="13"/>
  <c r="C311" i="13"/>
  <c r="B311" i="13"/>
  <c r="A311" i="13"/>
  <c r="D310" i="13"/>
  <c r="C310" i="13"/>
  <c r="B310" i="13"/>
  <c r="A310" i="13"/>
  <c r="D309" i="13"/>
  <c r="C309" i="13"/>
  <c r="B309" i="13"/>
  <c r="A309" i="13"/>
  <c r="D308" i="13"/>
  <c r="C308" i="13"/>
  <c r="B308" i="13"/>
  <c r="A308" i="13"/>
  <c r="D307" i="13"/>
  <c r="C307" i="13"/>
  <c r="B307" i="13"/>
  <c r="A307" i="13"/>
  <c r="D306" i="13"/>
  <c r="C306" i="13"/>
  <c r="B306" i="13"/>
  <c r="A306" i="13"/>
  <c r="D305" i="13"/>
  <c r="C305" i="13"/>
  <c r="B305" i="13"/>
  <c r="A305" i="13"/>
  <c r="D304" i="13"/>
  <c r="C304" i="13"/>
  <c r="B304" i="13"/>
  <c r="A304" i="13"/>
  <c r="D303" i="13"/>
  <c r="C303" i="13"/>
  <c r="B303" i="13"/>
  <c r="A303" i="13"/>
  <c r="D302" i="13"/>
  <c r="C302" i="13"/>
  <c r="B302" i="13"/>
  <c r="A302" i="13"/>
  <c r="D301" i="13"/>
  <c r="C301" i="13"/>
  <c r="B301" i="13"/>
  <c r="A301" i="13"/>
  <c r="D300" i="13"/>
  <c r="C300" i="13"/>
  <c r="B300" i="13"/>
  <c r="A300" i="13"/>
  <c r="D299" i="13"/>
  <c r="C299" i="13"/>
  <c r="B299" i="13"/>
  <c r="A299" i="13"/>
  <c r="D298" i="13"/>
  <c r="C298" i="13"/>
  <c r="B298" i="13"/>
  <c r="A298" i="13"/>
  <c r="D297" i="13"/>
  <c r="C297" i="13"/>
  <c r="B297" i="13"/>
  <c r="A297" i="13"/>
  <c r="D296" i="13"/>
  <c r="C296" i="13"/>
  <c r="B296" i="13"/>
  <c r="A296" i="13"/>
  <c r="D295" i="13"/>
  <c r="C295" i="13"/>
  <c r="B295" i="13"/>
  <c r="A295" i="13"/>
  <c r="D294" i="13"/>
  <c r="C294" i="13"/>
  <c r="B294" i="13"/>
  <c r="A294" i="13"/>
  <c r="D293" i="13"/>
  <c r="C293" i="13"/>
  <c r="B293" i="13"/>
  <c r="A293" i="13"/>
  <c r="D292" i="13"/>
  <c r="C292" i="13"/>
  <c r="B292" i="13"/>
  <c r="A292" i="13"/>
  <c r="D291" i="13"/>
  <c r="C291" i="13"/>
  <c r="B291" i="13"/>
  <c r="A291" i="13"/>
  <c r="D290" i="13"/>
  <c r="C290" i="13"/>
  <c r="B290" i="13"/>
  <c r="A290" i="13"/>
  <c r="D289" i="13"/>
  <c r="C289" i="13"/>
  <c r="B289" i="13"/>
  <c r="A289" i="13"/>
  <c r="D288" i="13"/>
  <c r="C288" i="13"/>
  <c r="B288" i="13"/>
  <c r="A288" i="13"/>
  <c r="D287" i="13"/>
  <c r="C287" i="13"/>
  <c r="B287" i="13"/>
  <c r="A287" i="13"/>
  <c r="D286" i="13"/>
  <c r="C286" i="13"/>
  <c r="B286" i="13"/>
  <c r="A286" i="13"/>
  <c r="D285" i="13"/>
  <c r="C285" i="13"/>
  <c r="B285" i="13"/>
  <c r="A285" i="13"/>
  <c r="D284" i="13"/>
  <c r="C284" i="13"/>
  <c r="B284" i="13"/>
  <c r="A284" i="13"/>
  <c r="D283" i="13"/>
  <c r="C283" i="13"/>
  <c r="B283" i="13"/>
  <c r="A283" i="13"/>
  <c r="D282" i="13"/>
  <c r="C282" i="13"/>
  <c r="B282" i="13"/>
  <c r="A282" i="13"/>
  <c r="D281" i="13"/>
  <c r="C281" i="13"/>
  <c r="B281" i="13"/>
  <c r="A281" i="13"/>
  <c r="D280" i="13"/>
  <c r="C280" i="13"/>
  <c r="B280" i="13"/>
  <c r="A280" i="13"/>
  <c r="D279" i="13"/>
  <c r="C279" i="13"/>
  <c r="B279" i="13"/>
  <c r="A279" i="13"/>
  <c r="D278" i="13"/>
  <c r="C278" i="13"/>
  <c r="B278" i="13"/>
  <c r="A278" i="13"/>
  <c r="D277" i="13"/>
  <c r="C277" i="13"/>
  <c r="B277" i="13"/>
  <c r="A277" i="13"/>
  <c r="D276" i="13"/>
  <c r="C276" i="13"/>
  <c r="B276" i="13"/>
  <c r="A276" i="13"/>
  <c r="D275" i="13"/>
  <c r="C275" i="13"/>
  <c r="B275" i="13"/>
  <c r="A275" i="13"/>
  <c r="D274" i="13"/>
  <c r="C274" i="13"/>
  <c r="B274" i="13"/>
  <c r="A274" i="13"/>
  <c r="D273" i="13"/>
  <c r="C273" i="13"/>
  <c r="B273" i="13"/>
  <c r="A273" i="13"/>
  <c r="D272" i="13"/>
  <c r="C272" i="13"/>
  <c r="B272" i="13"/>
  <c r="A272" i="13"/>
  <c r="D271" i="13"/>
  <c r="C271" i="13"/>
  <c r="B271" i="13"/>
  <c r="A271" i="13"/>
  <c r="D270" i="13"/>
  <c r="C270" i="13"/>
  <c r="B270" i="13"/>
  <c r="A270" i="13"/>
  <c r="D269" i="13"/>
  <c r="C269" i="13"/>
  <c r="B269" i="13"/>
  <c r="A269" i="13"/>
  <c r="D268" i="13"/>
  <c r="C268" i="13"/>
  <c r="B268" i="13"/>
  <c r="A268" i="13"/>
  <c r="D267" i="13"/>
  <c r="C267" i="13"/>
  <c r="B267" i="13"/>
  <c r="A267" i="13"/>
  <c r="D266" i="13"/>
  <c r="C266" i="13"/>
  <c r="B266" i="13"/>
  <c r="A266" i="13"/>
  <c r="D265" i="13"/>
  <c r="C265" i="13"/>
  <c r="B265" i="13"/>
  <c r="A265" i="13"/>
  <c r="D264" i="13"/>
  <c r="C264" i="13"/>
  <c r="B264" i="13"/>
  <c r="A264" i="13"/>
  <c r="D263" i="13"/>
  <c r="C263" i="13"/>
  <c r="B263" i="13"/>
  <c r="A263" i="13"/>
  <c r="D262" i="13"/>
  <c r="C262" i="13"/>
  <c r="B262" i="13"/>
  <c r="A262" i="13"/>
  <c r="D261" i="13"/>
  <c r="C261" i="13"/>
  <c r="B261" i="13"/>
  <c r="A261" i="13"/>
  <c r="D260" i="13"/>
  <c r="C260" i="13"/>
  <c r="B260" i="13"/>
  <c r="A260" i="13"/>
  <c r="D259" i="13"/>
  <c r="C259" i="13"/>
  <c r="B259" i="13"/>
  <c r="A259" i="13"/>
  <c r="D258" i="13"/>
  <c r="C258" i="13"/>
  <c r="B258" i="13"/>
  <c r="A258" i="13"/>
  <c r="D257" i="13"/>
  <c r="C257" i="13"/>
  <c r="B257" i="13"/>
  <c r="A257" i="13"/>
  <c r="D256" i="13"/>
  <c r="C256" i="13"/>
  <c r="B256" i="13"/>
  <c r="A256" i="13"/>
  <c r="D255" i="13"/>
  <c r="C255" i="13"/>
  <c r="B255" i="13"/>
  <c r="A255" i="13"/>
  <c r="D254" i="13"/>
  <c r="C254" i="13"/>
  <c r="B254" i="13"/>
  <c r="A254" i="13"/>
  <c r="D253" i="13"/>
  <c r="C253" i="13"/>
  <c r="B253" i="13"/>
  <c r="A253" i="13"/>
  <c r="D252" i="13"/>
  <c r="C252" i="13"/>
  <c r="B252" i="13"/>
  <c r="A252" i="13"/>
  <c r="D251" i="13"/>
  <c r="C251" i="13"/>
  <c r="B251" i="13"/>
  <c r="A251" i="13"/>
  <c r="D250" i="13"/>
  <c r="C250" i="13"/>
  <c r="B250" i="13"/>
  <c r="A250" i="13"/>
  <c r="D249" i="13"/>
  <c r="C249" i="13"/>
  <c r="B249" i="13"/>
  <c r="A249" i="13"/>
  <c r="D248" i="13"/>
  <c r="C248" i="13"/>
  <c r="B248" i="13"/>
  <c r="A248" i="13"/>
  <c r="D247" i="13"/>
  <c r="C247" i="13"/>
  <c r="B247" i="13"/>
  <c r="A247" i="13"/>
  <c r="D246" i="13"/>
  <c r="C246" i="13"/>
  <c r="B246" i="13"/>
  <c r="A246" i="13"/>
  <c r="D245" i="13"/>
  <c r="C245" i="13"/>
  <c r="B245" i="13"/>
  <c r="A245" i="13"/>
  <c r="D244" i="13"/>
  <c r="C244" i="13"/>
  <c r="B244" i="13"/>
  <c r="A244" i="13"/>
  <c r="D243" i="13"/>
  <c r="C243" i="13"/>
  <c r="B243" i="13"/>
  <c r="A243" i="13"/>
  <c r="D242" i="13"/>
  <c r="C242" i="13"/>
  <c r="B242" i="13"/>
  <c r="A242" i="13"/>
  <c r="D241" i="13"/>
  <c r="C241" i="13"/>
  <c r="B241" i="13"/>
  <c r="A241" i="13"/>
  <c r="D240" i="13"/>
  <c r="C240" i="13"/>
  <c r="B240" i="13"/>
  <c r="A240" i="13"/>
  <c r="D239" i="13"/>
  <c r="C239" i="13"/>
  <c r="B239" i="13"/>
  <c r="A239" i="13"/>
  <c r="D238" i="13"/>
  <c r="C238" i="13"/>
  <c r="B238" i="13"/>
  <c r="A238" i="13"/>
  <c r="D237" i="13"/>
  <c r="C237" i="13"/>
  <c r="B237" i="13"/>
  <c r="A237" i="13"/>
  <c r="D236" i="13"/>
  <c r="C236" i="13"/>
  <c r="B236" i="13"/>
  <c r="A236" i="13"/>
  <c r="D235" i="13"/>
  <c r="C235" i="13"/>
  <c r="B235" i="13"/>
  <c r="A235" i="13"/>
  <c r="D234" i="13"/>
  <c r="C234" i="13"/>
  <c r="B234" i="13"/>
  <c r="A234" i="13"/>
  <c r="D233" i="13"/>
  <c r="C233" i="13"/>
  <c r="B233" i="13"/>
  <c r="A233" i="13"/>
  <c r="D232" i="13"/>
  <c r="C232" i="13"/>
  <c r="B232" i="13"/>
  <c r="A232" i="13"/>
  <c r="D231" i="13"/>
  <c r="C231" i="13"/>
  <c r="B231" i="13"/>
  <c r="A231" i="13"/>
  <c r="D230" i="13"/>
  <c r="C230" i="13"/>
  <c r="B230" i="13"/>
  <c r="A230" i="13"/>
  <c r="D229" i="13"/>
  <c r="C229" i="13"/>
  <c r="B229" i="13"/>
  <c r="A229" i="13"/>
  <c r="D228" i="13"/>
  <c r="C228" i="13"/>
  <c r="B228" i="13"/>
  <c r="A228" i="13"/>
  <c r="D227" i="13"/>
  <c r="C227" i="13"/>
  <c r="B227" i="13"/>
  <c r="A227" i="13"/>
  <c r="D226" i="13"/>
  <c r="C226" i="13"/>
  <c r="B226" i="13"/>
  <c r="A226" i="13"/>
  <c r="D225" i="13"/>
  <c r="C225" i="13"/>
  <c r="B225" i="13"/>
  <c r="A225" i="13"/>
  <c r="D224" i="13"/>
  <c r="C224" i="13"/>
  <c r="B224" i="13"/>
  <c r="A224" i="13"/>
  <c r="D223" i="13"/>
  <c r="C223" i="13"/>
  <c r="B223" i="13"/>
  <c r="A223" i="13"/>
  <c r="D222" i="13"/>
  <c r="C222" i="13"/>
  <c r="B222" i="13"/>
  <c r="A222" i="13"/>
  <c r="D221" i="13"/>
  <c r="C221" i="13"/>
  <c r="B221" i="13"/>
  <c r="A221" i="13"/>
  <c r="D220" i="13"/>
  <c r="C220" i="13"/>
  <c r="B220" i="13"/>
  <c r="A220" i="13"/>
  <c r="D219" i="13"/>
  <c r="C219" i="13"/>
  <c r="B219" i="13"/>
  <c r="A219" i="13"/>
  <c r="D218" i="13"/>
  <c r="C218" i="13"/>
  <c r="B218" i="13"/>
  <c r="A218" i="13"/>
  <c r="D217" i="13"/>
  <c r="C217" i="13"/>
  <c r="B217" i="13"/>
  <c r="A217" i="13"/>
  <c r="D216" i="13"/>
  <c r="C216" i="13"/>
  <c r="B216" i="13"/>
  <c r="A216" i="13"/>
  <c r="D215" i="13"/>
  <c r="C215" i="13"/>
  <c r="B215" i="13"/>
  <c r="A215" i="13"/>
  <c r="D214" i="13"/>
  <c r="C214" i="13"/>
  <c r="B214" i="13"/>
  <c r="A214" i="13"/>
  <c r="D213" i="13"/>
  <c r="C213" i="13"/>
  <c r="B213" i="13"/>
  <c r="A213" i="13"/>
  <c r="D212" i="13"/>
  <c r="C212" i="13"/>
  <c r="B212" i="13"/>
  <c r="A212" i="13"/>
  <c r="D211" i="13"/>
  <c r="C211" i="13"/>
  <c r="B211" i="13"/>
  <c r="A211" i="13"/>
  <c r="D210" i="13"/>
  <c r="C210" i="13"/>
  <c r="B210" i="13"/>
  <c r="A210" i="13"/>
  <c r="D209" i="13"/>
  <c r="C209" i="13"/>
  <c r="B209" i="13"/>
  <c r="A209" i="13"/>
  <c r="D208" i="13"/>
  <c r="C208" i="13"/>
  <c r="B208" i="13"/>
  <c r="A208" i="13"/>
  <c r="D207" i="13"/>
  <c r="C207" i="13"/>
  <c r="B207" i="13"/>
  <c r="A207" i="13"/>
  <c r="D206" i="13"/>
  <c r="C206" i="13"/>
  <c r="B206" i="13"/>
  <c r="A206" i="13"/>
  <c r="D205" i="13"/>
  <c r="C205" i="13"/>
  <c r="B205" i="13"/>
  <c r="A205" i="13"/>
  <c r="D204" i="13"/>
  <c r="C204" i="13"/>
  <c r="B204" i="13"/>
  <c r="A204" i="13"/>
  <c r="D203" i="13"/>
  <c r="C203" i="13"/>
  <c r="B203" i="13"/>
  <c r="A203" i="13"/>
  <c r="D202" i="13"/>
  <c r="C202" i="13"/>
  <c r="B202" i="13"/>
  <c r="A202" i="13"/>
  <c r="D201" i="13"/>
  <c r="C201" i="13"/>
  <c r="B201" i="13"/>
  <c r="A201" i="13"/>
  <c r="D200" i="13"/>
  <c r="C200" i="13"/>
  <c r="B200" i="13"/>
  <c r="A200" i="13"/>
  <c r="D199" i="13"/>
  <c r="C199" i="13"/>
  <c r="B199" i="13"/>
  <c r="A199" i="13"/>
  <c r="D198" i="13"/>
  <c r="C198" i="13"/>
  <c r="B198" i="13"/>
  <c r="A198" i="13"/>
  <c r="D197" i="13"/>
  <c r="C197" i="13"/>
  <c r="B197" i="13"/>
  <c r="A197" i="13"/>
  <c r="D196" i="13"/>
  <c r="C196" i="13"/>
  <c r="B196" i="13"/>
  <c r="A196" i="13"/>
  <c r="D195" i="13"/>
  <c r="C195" i="13"/>
  <c r="B195" i="13"/>
  <c r="A195" i="13"/>
  <c r="D194" i="13"/>
  <c r="C194" i="13"/>
  <c r="B194" i="13"/>
  <c r="A194" i="13"/>
  <c r="D193" i="13"/>
  <c r="C193" i="13"/>
  <c r="B193" i="13"/>
  <c r="A193" i="13"/>
  <c r="D192" i="13"/>
  <c r="C192" i="13"/>
  <c r="B192" i="13"/>
  <c r="A192" i="13"/>
  <c r="D191" i="13"/>
  <c r="C191" i="13"/>
  <c r="B191" i="13"/>
  <c r="A191" i="13"/>
  <c r="D190" i="13"/>
  <c r="C190" i="13"/>
  <c r="B190" i="13"/>
  <c r="A190" i="13"/>
  <c r="D189" i="13"/>
  <c r="C189" i="13"/>
  <c r="B189" i="13"/>
  <c r="A189" i="13"/>
  <c r="D188" i="13"/>
  <c r="C188" i="13"/>
  <c r="B188" i="13"/>
  <c r="A188" i="13"/>
  <c r="D187" i="13"/>
  <c r="C187" i="13"/>
  <c r="B187" i="13"/>
  <c r="A187" i="13"/>
  <c r="D186" i="13"/>
  <c r="C186" i="13"/>
  <c r="B186" i="13"/>
  <c r="A186" i="13"/>
  <c r="D185" i="13"/>
  <c r="C185" i="13"/>
  <c r="B185" i="13"/>
  <c r="A185" i="13"/>
  <c r="D184" i="13"/>
  <c r="C184" i="13"/>
  <c r="B184" i="13"/>
  <c r="A184" i="13"/>
  <c r="D183" i="13"/>
  <c r="C183" i="13"/>
  <c r="B183" i="13"/>
  <c r="A183" i="13"/>
  <c r="D182" i="13"/>
  <c r="C182" i="13"/>
  <c r="B182" i="13"/>
  <c r="A182" i="13"/>
  <c r="D181" i="13"/>
  <c r="C181" i="13"/>
  <c r="B181" i="13"/>
  <c r="A181" i="13"/>
  <c r="D180" i="13"/>
  <c r="C180" i="13"/>
  <c r="B180" i="13"/>
  <c r="A180" i="13"/>
  <c r="D179" i="13"/>
  <c r="C179" i="13"/>
  <c r="B179" i="13"/>
  <c r="A179" i="13"/>
  <c r="D178" i="13"/>
  <c r="C178" i="13"/>
  <c r="B178" i="13"/>
  <c r="A178" i="13"/>
  <c r="D177" i="13"/>
  <c r="C177" i="13"/>
  <c r="B177" i="13"/>
  <c r="A177" i="13"/>
  <c r="D176" i="13"/>
  <c r="C176" i="13"/>
  <c r="B176" i="13"/>
  <c r="A176" i="13"/>
  <c r="D175" i="13"/>
  <c r="C175" i="13"/>
  <c r="B175" i="13"/>
  <c r="A175" i="13"/>
  <c r="D174" i="13"/>
  <c r="C174" i="13"/>
  <c r="B174" i="13"/>
  <c r="A174" i="13"/>
  <c r="D173" i="13"/>
  <c r="C173" i="13"/>
  <c r="B173" i="13"/>
  <c r="A173" i="13"/>
  <c r="D172" i="13"/>
  <c r="C172" i="13"/>
  <c r="B172" i="13"/>
  <c r="A172" i="13"/>
  <c r="D171" i="13"/>
  <c r="C171" i="13"/>
  <c r="B171" i="13"/>
  <c r="A171" i="13"/>
  <c r="D170" i="13"/>
  <c r="C170" i="13"/>
  <c r="B170" i="13"/>
  <c r="A170" i="13"/>
  <c r="D169" i="13"/>
  <c r="C169" i="13"/>
  <c r="B169" i="13"/>
  <c r="A169" i="13"/>
  <c r="D168" i="13"/>
  <c r="C168" i="13"/>
  <c r="B168" i="13"/>
  <c r="A168" i="13"/>
  <c r="D167" i="13"/>
  <c r="C167" i="13"/>
  <c r="B167" i="13"/>
  <c r="A167" i="13"/>
  <c r="D166" i="13"/>
  <c r="C166" i="13"/>
  <c r="B166" i="13"/>
  <c r="A166" i="13"/>
  <c r="D165" i="13"/>
  <c r="C165" i="13"/>
  <c r="B165" i="13"/>
  <c r="A165" i="13"/>
  <c r="D164" i="13"/>
  <c r="C164" i="13"/>
  <c r="B164" i="13"/>
  <c r="A164" i="13"/>
  <c r="D163" i="13"/>
  <c r="C163" i="13"/>
  <c r="B163" i="13"/>
  <c r="A163" i="13"/>
  <c r="D162" i="13"/>
  <c r="C162" i="13"/>
  <c r="B162" i="13"/>
  <c r="A162" i="13"/>
  <c r="D161" i="13"/>
  <c r="C161" i="13"/>
  <c r="B161" i="13"/>
  <c r="A161" i="13"/>
  <c r="D160" i="13"/>
  <c r="C160" i="13"/>
  <c r="B160" i="13"/>
  <c r="A160" i="13"/>
  <c r="D159" i="13"/>
  <c r="C159" i="13"/>
  <c r="B159" i="13"/>
  <c r="A159" i="13"/>
  <c r="D158" i="13"/>
  <c r="C158" i="13"/>
  <c r="B158" i="13"/>
  <c r="A158" i="13"/>
  <c r="D157" i="13"/>
  <c r="C157" i="13"/>
  <c r="B157" i="13"/>
  <c r="A157" i="13"/>
  <c r="D156" i="13"/>
  <c r="C156" i="13"/>
  <c r="B156" i="13"/>
  <c r="A156" i="13"/>
  <c r="D155" i="13"/>
  <c r="C155" i="13"/>
  <c r="B155" i="13"/>
  <c r="A155" i="13"/>
  <c r="D154" i="13"/>
  <c r="C154" i="13"/>
  <c r="B154" i="13"/>
  <c r="A154" i="13"/>
  <c r="D153" i="13"/>
  <c r="C153" i="13"/>
  <c r="B153" i="13"/>
  <c r="A153" i="13"/>
  <c r="D152" i="13"/>
  <c r="C152" i="13"/>
  <c r="B152" i="13"/>
  <c r="A152" i="13"/>
  <c r="D151" i="13"/>
  <c r="C151" i="13"/>
  <c r="B151" i="13"/>
  <c r="A151" i="13"/>
  <c r="D150" i="13"/>
  <c r="C150" i="13"/>
  <c r="B150" i="13"/>
  <c r="A150" i="13"/>
  <c r="D149" i="13"/>
  <c r="C149" i="13"/>
  <c r="B149" i="13"/>
  <c r="A149" i="13"/>
  <c r="D148" i="13"/>
  <c r="C148" i="13"/>
  <c r="B148" i="13"/>
  <c r="A148" i="13"/>
  <c r="D147" i="13"/>
  <c r="C147" i="13"/>
  <c r="B147" i="13"/>
  <c r="A147" i="13"/>
  <c r="D146" i="13"/>
  <c r="C146" i="13"/>
  <c r="B146" i="13"/>
  <c r="A146" i="13"/>
  <c r="D145" i="13"/>
  <c r="C145" i="13"/>
  <c r="B145" i="13"/>
  <c r="A145" i="13"/>
  <c r="D144" i="13"/>
  <c r="C144" i="13"/>
  <c r="B144" i="13"/>
  <c r="A144" i="13"/>
  <c r="D143" i="13"/>
  <c r="C143" i="13"/>
  <c r="B143" i="13"/>
  <c r="A143" i="13"/>
  <c r="D142" i="13"/>
  <c r="C142" i="13"/>
  <c r="B142" i="13"/>
  <c r="A142" i="13"/>
  <c r="D141" i="13"/>
  <c r="C141" i="13"/>
  <c r="B141" i="13"/>
  <c r="A141" i="13"/>
  <c r="D140" i="13"/>
  <c r="C140" i="13"/>
  <c r="B140" i="13"/>
  <c r="A140" i="13"/>
  <c r="D139" i="13"/>
  <c r="C139" i="13"/>
  <c r="B139" i="13"/>
  <c r="A139" i="13"/>
  <c r="D138" i="13"/>
  <c r="C138" i="13"/>
  <c r="B138" i="13"/>
  <c r="A138" i="13"/>
  <c r="D137" i="13"/>
  <c r="C137" i="13"/>
  <c r="B137" i="13"/>
  <c r="A137" i="13"/>
  <c r="D136" i="13"/>
  <c r="C136" i="13"/>
  <c r="B136" i="13"/>
  <c r="A136" i="13"/>
  <c r="D135" i="13"/>
  <c r="C135" i="13"/>
  <c r="B135" i="13"/>
  <c r="A135" i="13"/>
  <c r="D134" i="13"/>
  <c r="C134" i="13"/>
  <c r="B134" i="13"/>
  <c r="A134" i="13"/>
  <c r="D133" i="13"/>
  <c r="C133" i="13"/>
  <c r="B133" i="13"/>
  <c r="A133" i="13"/>
  <c r="D132" i="13"/>
  <c r="C132" i="13"/>
  <c r="B132" i="13"/>
  <c r="A132" i="13"/>
  <c r="D131" i="13"/>
  <c r="C131" i="13"/>
  <c r="B131" i="13"/>
  <c r="A131" i="13"/>
  <c r="D130" i="13"/>
  <c r="C130" i="13"/>
  <c r="B130" i="13"/>
  <c r="A130" i="13"/>
  <c r="D129" i="13"/>
  <c r="C129" i="13"/>
  <c r="B129" i="13"/>
  <c r="A129" i="13"/>
  <c r="D128" i="13"/>
  <c r="C128" i="13"/>
  <c r="B128" i="13"/>
  <c r="A128" i="13"/>
  <c r="D127" i="13"/>
  <c r="C127" i="13"/>
  <c r="B127" i="13"/>
  <c r="A127" i="13"/>
  <c r="D126" i="13"/>
  <c r="C126" i="13"/>
  <c r="B126" i="13"/>
  <c r="A126" i="13"/>
  <c r="D125" i="13"/>
  <c r="C125" i="13"/>
  <c r="B125" i="13"/>
  <c r="A125" i="13"/>
  <c r="D124" i="13"/>
  <c r="C124" i="13"/>
  <c r="B124" i="13"/>
  <c r="A124" i="13"/>
  <c r="D123" i="13"/>
  <c r="C123" i="13"/>
  <c r="B123" i="13"/>
  <c r="A123" i="13"/>
  <c r="D122" i="13"/>
  <c r="C122" i="13"/>
  <c r="B122" i="13"/>
  <c r="A122" i="13"/>
  <c r="D121" i="13"/>
  <c r="C121" i="13"/>
  <c r="B121" i="13"/>
  <c r="A121" i="13"/>
  <c r="D120" i="13"/>
  <c r="C120" i="13"/>
  <c r="B120" i="13"/>
  <c r="A120" i="13"/>
  <c r="D119" i="13"/>
  <c r="C119" i="13"/>
  <c r="B119" i="13"/>
  <c r="A119" i="13"/>
  <c r="D118" i="13"/>
  <c r="C118" i="13"/>
  <c r="B118" i="13"/>
  <c r="A118" i="13"/>
  <c r="D117" i="13"/>
  <c r="C117" i="13"/>
  <c r="B117" i="13"/>
  <c r="A117" i="13"/>
  <c r="D116" i="13"/>
  <c r="C116" i="13"/>
  <c r="B116" i="13"/>
  <c r="A116" i="13"/>
  <c r="D115" i="13"/>
  <c r="C115" i="13"/>
  <c r="B115" i="13"/>
  <c r="A115" i="13"/>
  <c r="D114" i="13"/>
  <c r="C114" i="13"/>
  <c r="B114" i="13"/>
  <c r="A114" i="13"/>
  <c r="D113" i="13"/>
  <c r="C113" i="13"/>
  <c r="B113" i="13"/>
  <c r="A113" i="13"/>
  <c r="D112" i="13"/>
  <c r="C112" i="13"/>
  <c r="B112" i="13"/>
  <c r="A112" i="13"/>
  <c r="D111" i="13"/>
  <c r="C111" i="13"/>
  <c r="B111" i="13"/>
  <c r="A111" i="13"/>
  <c r="D110" i="13"/>
  <c r="C110" i="13"/>
  <c r="B110" i="13"/>
  <c r="A110" i="13"/>
  <c r="D109" i="13"/>
  <c r="C109" i="13"/>
  <c r="B109" i="13"/>
  <c r="A109" i="13"/>
  <c r="D108" i="13"/>
  <c r="C108" i="13"/>
  <c r="B108" i="13"/>
  <c r="A108" i="13"/>
  <c r="D107" i="13"/>
  <c r="C107" i="13"/>
  <c r="B107" i="13"/>
  <c r="A107" i="13"/>
  <c r="D106" i="13"/>
  <c r="C106" i="13"/>
  <c r="B106" i="13"/>
  <c r="A106" i="13"/>
  <c r="D105" i="13"/>
  <c r="C105" i="13"/>
  <c r="B105" i="13"/>
  <c r="A105" i="13"/>
  <c r="D104" i="13"/>
  <c r="C104" i="13"/>
  <c r="B104" i="13"/>
  <c r="A104" i="13"/>
  <c r="D103" i="13"/>
  <c r="C103" i="13"/>
  <c r="B103" i="13"/>
  <c r="A103" i="13"/>
  <c r="D102" i="13"/>
  <c r="C102" i="13"/>
  <c r="B102" i="13"/>
  <c r="A102" i="13"/>
  <c r="D101" i="13"/>
  <c r="C101" i="13"/>
  <c r="B101" i="13"/>
  <c r="A101" i="13"/>
  <c r="D100" i="13"/>
  <c r="C100" i="13"/>
  <c r="B100" i="13"/>
  <c r="A100" i="13"/>
  <c r="D99" i="13"/>
  <c r="C99" i="13"/>
  <c r="B99" i="13"/>
  <c r="A99" i="13"/>
  <c r="D98" i="13"/>
  <c r="C98" i="13"/>
  <c r="B98" i="13"/>
  <c r="A98" i="13"/>
  <c r="D97" i="13"/>
  <c r="C97" i="13"/>
  <c r="B97" i="13"/>
  <c r="A97" i="13"/>
  <c r="D96" i="13"/>
  <c r="C96" i="13"/>
  <c r="B96" i="13"/>
  <c r="A96" i="13"/>
  <c r="D95" i="13"/>
  <c r="C95" i="13"/>
  <c r="B95" i="13"/>
  <c r="A95" i="13"/>
  <c r="D94" i="13"/>
  <c r="C94" i="13"/>
  <c r="B94" i="13"/>
  <c r="A94" i="13"/>
  <c r="D93" i="13"/>
  <c r="C93" i="13"/>
  <c r="B93" i="13"/>
  <c r="A93" i="13"/>
  <c r="D92" i="13"/>
  <c r="C92" i="13"/>
  <c r="B92" i="13"/>
  <c r="A92" i="13"/>
  <c r="D91" i="13"/>
  <c r="C91" i="13"/>
  <c r="B91" i="13"/>
  <c r="A91" i="13"/>
  <c r="D90" i="13"/>
  <c r="C90" i="13"/>
  <c r="B90" i="13"/>
  <c r="A90" i="13"/>
  <c r="D89" i="13"/>
  <c r="C89" i="13"/>
  <c r="B89" i="13"/>
  <c r="A89" i="13"/>
  <c r="D88" i="13"/>
  <c r="C88" i="13"/>
  <c r="B88" i="13"/>
  <c r="A88" i="13"/>
  <c r="D87" i="13"/>
  <c r="C87" i="13"/>
  <c r="B87" i="13"/>
  <c r="A87" i="13"/>
  <c r="D86" i="13"/>
  <c r="C86" i="13"/>
  <c r="B86" i="13"/>
  <c r="A86" i="13"/>
  <c r="D85" i="13"/>
  <c r="C85" i="13"/>
  <c r="B85" i="13"/>
  <c r="A85" i="13"/>
  <c r="D84" i="13"/>
  <c r="C84" i="13"/>
  <c r="B84" i="13"/>
  <c r="A84" i="13"/>
  <c r="D83" i="13"/>
  <c r="C83" i="13"/>
  <c r="B83" i="13"/>
  <c r="A83" i="13"/>
  <c r="D82" i="13"/>
  <c r="C82" i="13"/>
  <c r="B82" i="13"/>
  <c r="A82" i="13"/>
  <c r="D81" i="13"/>
  <c r="C81" i="13"/>
  <c r="B81" i="13"/>
  <c r="A81" i="13"/>
  <c r="D80" i="13"/>
  <c r="C80" i="13"/>
  <c r="B80" i="13"/>
  <c r="A80" i="13"/>
  <c r="D79" i="13"/>
  <c r="C79" i="13"/>
  <c r="B79" i="13"/>
  <c r="A79" i="13"/>
  <c r="D78" i="13"/>
  <c r="C78" i="13"/>
  <c r="B78" i="13"/>
  <c r="A78" i="13"/>
  <c r="D77" i="13"/>
  <c r="C77" i="13"/>
  <c r="B77" i="13"/>
  <c r="A77" i="13"/>
  <c r="D76" i="13"/>
  <c r="C76" i="13"/>
  <c r="B76" i="13"/>
  <c r="A76" i="13"/>
  <c r="D75" i="13"/>
  <c r="C75" i="13"/>
  <c r="B75" i="13"/>
  <c r="A75" i="13"/>
  <c r="D74" i="13"/>
  <c r="C74" i="13"/>
  <c r="B74" i="13"/>
  <c r="A74" i="13"/>
  <c r="D73" i="13"/>
  <c r="C73" i="13"/>
  <c r="B73" i="13"/>
  <c r="A73" i="13"/>
  <c r="D72" i="13"/>
  <c r="C72" i="13"/>
  <c r="B72" i="13"/>
  <c r="A72" i="13"/>
  <c r="D71" i="13"/>
  <c r="C71" i="13"/>
  <c r="B71" i="13"/>
  <c r="A71" i="13"/>
  <c r="D70" i="13"/>
  <c r="C70" i="13"/>
  <c r="B70" i="13"/>
  <c r="A70" i="13"/>
  <c r="D69" i="13"/>
  <c r="C69" i="13"/>
  <c r="B69" i="13"/>
  <c r="A69" i="13"/>
  <c r="D68" i="13"/>
  <c r="C68" i="13"/>
  <c r="B68" i="13"/>
  <c r="A68" i="13"/>
  <c r="D67" i="13"/>
  <c r="C67" i="13"/>
  <c r="B67" i="13"/>
  <c r="A67" i="13"/>
  <c r="D66" i="13"/>
  <c r="C66" i="13"/>
  <c r="B66" i="13"/>
  <c r="A66" i="13"/>
  <c r="D65" i="13"/>
  <c r="C65" i="13"/>
  <c r="B65" i="13"/>
  <c r="A65" i="13"/>
  <c r="D64" i="13"/>
  <c r="C64" i="13"/>
  <c r="B64" i="13"/>
  <c r="A64" i="13"/>
  <c r="D63" i="13"/>
  <c r="C63" i="13"/>
  <c r="B63" i="13"/>
  <c r="A63" i="13"/>
  <c r="D62" i="13"/>
  <c r="C62" i="13"/>
  <c r="B62" i="13"/>
  <c r="A62" i="13"/>
  <c r="D61" i="13"/>
  <c r="C61" i="13"/>
  <c r="B61" i="13"/>
  <c r="A61" i="13"/>
  <c r="D60" i="13"/>
  <c r="C60" i="13"/>
  <c r="B60" i="13"/>
  <c r="A60" i="13"/>
  <c r="D59" i="13"/>
  <c r="C59" i="13"/>
  <c r="B59" i="13"/>
  <c r="A59" i="13"/>
  <c r="D58" i="13"/>
  <c r="C58" i="13"/>
  <c r="B58" i="13"/>
  <c r="A58" i="13"/>
  <c r="D57" i="13"/>
  <c r="C57" i="13"/>
  <c r="B57" i="13"/>
  <c r="A57" i="13"/>
  <c r="D56" i="13"/>
  <c r="C56" i="13"/>
  <c r="B56" i="13"/>
  <c r="A56" i="13"/>
  <c r="D55" i="13"/>
  <c r="C55" i="13"/>
  <c r="B55" i="13"/>
  <c r="A55" i="13"/>
  <c r="D54" i="13"/>
  <c r="C54" i="13"/>
  <c r="B54" i="13"/>
  <c r="A54" i="13"/>
  <c r="D53" i="13"/>
  <c r="C53" i="13"/>
  <c r="B53" i="13"/>
  <c r="A53" i="13"/>
  <c r="D52" i="13"/>
  <c r="C52" i="13"/>
  <c r="B52" i="13"/>
  <c r="A52" i="13"/>
  <c r="D51" i="13"/>
  <c r="C51" i="13"/>
  <c r="B51" i="13"/>
  <c r="A51" i="13"/>
  <c r="D50" i="13"/>
  <c r="C50" i="13"/>
  <c r="B50" i="13"/>
  <c r="A50" i="13"/>
  <c r="D49" i="13"/>
  <c r="C49" i="13"/>
  <c r="B49" i="13"/>
  <c r="A49" i="13"/>
  <c r="D48" i="13"/>
  <c r="C48" i="13"/>
  <c r="B48" i="13"/>
  <c r="A48" i="13"/>
  <c r="D47" i="13"/>
  <c r="C47" i="13"/>
  <c r="B47" i="13"/>
  <c r="A47" i="13"/>
  <c r="D46" i="13"/>
  <c r="C46" i="13"/>
  <c r="B46" i="13"/>
  <c r="A46" i="13"/>
  <c r="D45" i="13"/>
  <c r="C45" i="13"/>
  <c r="B45" i="13"/>
  <c r="A45" i="13"/>
  <c r="D44" i="13"/>
  <c r="C44" i="13"/>
  <c r="B44" i="13"/>
  <c r="A44" i="13"/>
  <c r="D43" i="13"/>
  <c r="C43" i="13"/>
  <c r="B43" i="13"/>
  <c r="A43" i="13"/>
  <c r="D42" i="13"/>
  <c r="C42" i="13"/>
  <c r="B42" i="13"/>
  <c r="A42" i="13"/>
  <c r="D41" i="13"/>
  <c r="C41" i="13"/>
  <c r="B41" i="13"/>
  <c r="A41" i="13"/>
  <c r="D40" i="13"/>
  <c r="C40" i="13"/>
  <c r="B40" i="13"/>
  <c r="A40" i="13"/>
  <c r="D39" i="13"/>
  <c r="C39" i="13"/>
  <c r="B39" i="13"/>
  <c r="A39" i="13"/>
  <c r="D38" i="13"/>
  <c r="C38" i="13"/>
  <c r="B38" i="13"/>
  <c r="A38" i="13"/>
  <c r="D37" i="13"/>
  <c r="C37" i="13"/>
  <c r="B37" i="13"/>
  <c r="A37" i="13"/>
  <c r="D36" i="13"/>
  <c r="C36" i="13"/>
  <c r="B36" i="13"/>
  <c r="A36" i="13"/>
  <c r="D35" i="13"/>
  <c r="C35" i="13"/>
  <c r="B35" i="13"/>
  <c r="A35" i="13"/>
  <c r="D34" i="13"/>
  <c r="C34" i="13"/>
  <c r="B34" i="13"/>
  <c r="A34" i="13"/>
  <c r="D33" i="13"/>
  <c r="C33" i="13"/>
  <c r="B33" i="13"/>
  <c r="A33" i="13"/>
  <c r="D32" i="13"/>
  <c r="C32" i="13"/>
  <c r="B32" i="13"/>
  <c r="A32" i="13"/>
  <c r="D31" i="13"/>
  <c r="C31" i="13"/>
  <c r="B31" i="13"/>
  <c r="A31" i="13"/>
  <c r="D30" i="13"/>
  <c r="C30" i="13"/>
  <c r="B30" i="13"/>
  <c r="A30" i="13"/>
  <c r="C29" i="13"/>
  <c r="B29" i="13"/>
  <c r="A29" i="13"/>
  <c r="D28" i="13"/>
  <c r="C28" i="13"/>
  <c r="B28" i="13"/>
  <c r="A28" i="13"/>
  <c r="D27" i="13"/>
  <c r="C27" i="13"/>
  <c r="B27" i="13"/>
  <c r="A27" i="13"/>
  <c r="D26" i="13"/>
  <c r="C26" i="13"/>
  <c r="B26" i="13"/>
  <c r="A26" i="13"/>
  <c r="C25" i="13"/>
  <c r="B25" i="13"/>
  <c r="A25" i="13"/>
  <c r="C24" i="13"/>
  <c r="B24" i="13"/>
  <c r="A24" i="13"/>
  <c r="D23" i="13"/>
  <c r="C23" i="13"/>
  <c r="B23" i="13"/>
  <c r="A23" i="13"/>
  <c r="D22" i="13"/>
  <c r="C22" i="13"/>
  <c r="B22" i="13"/>
  <c r="A22" i="13"/>
  <c r="C21" i="13"/>
  <c r="B21" i="13"/>
  <c r="A21" i="13"/>
  <c r="D20" i="13"/>
  <c r="C20" i="13"/>
  <c r="B20" i="13"/>
  <c r="A20" i="13"/>
  <c r="D19" i="13"/>
  <c r="C19" i="13"/>
  <c r="B19" i="13"/>
  <c r="A19" i="13"/>
  <c r="D18" i="13"/>
  <c r="C18" i="13"/>
  <c r="B18" i="13"/>
  <c r="A18" i="13"/>
  <c r="D17" i="13"/>
  <c r="C17" i="13"/>
  <c r="B17" i="13"/>
  <c r="A17" i="13"/>
  <c r="C16" i="13"/>
  <c r="B16" i="13"/>
  <c r="A16" i="13"/>
  <c r="D15" i="13"/>
  <c r="C15" i="13"/>
  <c r="B15" i="13"/>
  <c r="A15" i="13"/>
  <c r="D14" i="13"/>
  <c r="C14" i="13"/>
  <c r="B14" i="13"/>
  <c r="A14" i="13"/>
  <c r="D13" i="13"/>
  <c r="C13" i="13"/>
  <c r="B13" i="13"/>
  <c r="A13" i="13"/>
  <c r="D12" i="13"/>
  <c r="C12" i="13"/>
  <c r="B12" i="13"/>
  <c r="A12" i="13"/>
  <c r="D11" i="13"/>
  <c r="C11" i="13"/>
  <c r="B11" i="13"/>
  <c r="A11" i="13"/>
  <c r="C10" i="13"/>
  <c r="B10" i="13"/>
  <c r="A10" i="13"/>
  <c r="C9" i="13"/>
  <c r="B9" i="13"/>
  <c r="A9" i="13"/>
  <c r="C8" i="13"/>
  <c r="B8" i="13"/>
  <c r="A8" i="13"/>
  <c r="C7" i="13"/>
  <c r="B7" i="13"/>
  <c r="A7" i="13"/>
  <c r="D6" i="13"/>
  <c r="C6" i="13"/>
  <c r="B6" i="13"/>
  <c r="A6" i="13"/>
  <c r="C5" i="13"/>
  <c r="B5" i="13"/>
  <c r="A5" i="13"/>
  <c r="D4" i="13"/>
  <c r="C4" i="13"/>
  <c r="B4" i="13"/>
  <c r="A4" i="13"/>
  <c r="C3" i="13"/>
  <c r="B3" i="13"/>
  <c r="A3" i="13"/>
  <c r="C2" i="13"/>
  <c r="B2" i="13"/>
  <c r="A2" i="13"/>
  <c r="R219" i="12" a="1"/>
  <c r="R219" i="12"/>
  <c r="Q219" i="12" a="1"/>
  <c r="Q219" i="12"/>
  <c r="U216" i="12"/>
  <c r="D1341" i="13" s="1"/>
  <c r="U215" i="12"/>
  <c r="U214" i="12"/>
  <c r="D1339" i="13" s="1"/>
  <c r="U213" i="12"/>
  <c r="D1338" i="13" s="1"/>
  <c r="U212" i="12"/>
  <c r="D1337" i="13" s="1"/>
  <c r="U211" i="12"/>
  <c r="D1336" i="13" s="1"/>
  <c r="U210" i="12"/>
  <c r="D1335" i="13" s="1"/>
  <c r="U209" i="12"/>
  <c r="D1334" i="13" s="1"/>
  <c r="U208" i="12"/>
  <c r="D1333" i="13" s="1"/>
  <c r="U207" i="12"/>
  <c r="U200" i="12"/>
  <c r="D1325" i="13" s="1"/>
  <c r="U192" i="12"/>
  <c r="D1317" i="13" s="1"/>
  <c r="R191" i="12" a="1"/>
  <c r="R191" i="12"/>
  <c r="S189" i="12"/>
  <c r="Q186" i="12" a="1"/>
  <c r="Q186" i="12" s="1"/>
  <c r="R182" i="12" a="1"/>
  <c r="R182" i="12" s="1"/>
  <c r="U177" i="12"/>
  <c r="D1302" i="13" s="1"/>
  <c r="U176" i="12"/>
  <c r="U175" i="12"/>
  <c r="U174" i="12"/>
  <c r="D1299" i="13" s="1"/>
  <c r="U173" i="12"/>
  <c r="D1298" i="13" s="1"/>
  <c r="U172" i="12"/>
  <c r="U171" i="12"/>
  <c r="D1296" i="13" s="1"/>
  <c r="U170" i="12"/>
  <c r="D1295" i="13" s="1"/>
  <c r="U169" i="12"/>
  <c r="C169" i="8" s="1"/>
  <c r="U168" i="12"/>
  <c r="U167" i="12"/>
  <c r="D1292" i="13" s="1"/>
  <c r="U166" i="12"/>
  <c r="D1291" i="13" s="1"/>
  <c r="U165" i="12"/>
  <c r="D1290" i="13" s="1"/>
  <c r="U164" i="12"/>
  <c r="D1289" i="13" s="1"/>
  <c r="U163" i="12"/>
  <c r="D1288" i="13" s="1"/>
  <c r="U162" i="12"/>
  <c r="D1287" i="13" s="1"/>
  <c r="U161" i="12"/>
  <c r="U160" i="12"/>
  <c r="R160" i="12" a="1"/>
  <c r="R160" i="12" s="1"/>
  <c r="U159" i="12"/>
  <c r="D1284" i="13" s="1"/>
  <c r="R159" i="12" a="1"/>
  <c r="R159" i="12" s="1"/>
  <c r="U158" i="12"/>
  <c r="D1283" i="13" s="1"/>
  <c r="R158" i="12" a="1"/>
  <c r="R158" i="12"/>
  <c r="U157" i="12"/>
  <c r="D1282" i="13" s="1"/>
  <c r="U156" i="12"/>
  <c r="D1281" i="13" s="1"/>
  <c r="U155" i="12"/>
  <c r="D1280" i="13" s="1"/>
  <c r="U154" i="12"/>
  <c r="D1279" i="13" s="1"/>
  <c r="U153" i="12"/>
  <c r="D1278" i="13" s="1"/>
  <c r="U152" i="12"/>
  <c r="D1277" i="13" s="1"/>
  <c r="U151" i="12"/>
  <c r="D1276" i="13" s="1"/>
  <c r="U150" i="12"/>
  <c r="U149" i="12"/>
  <c r="D1274" i="13" s="1"/>
  <c r="U148" i="12"/>
  <c r="D1273" i="13" s="1"/>
  <c r="U147" i="12"/>
  <c r="D1272" i="13" s="1"/>
  <c r="U146" i="12"/>
  <c r="D1271" i="13" s="1"/>
  <c r="R146" i="12" a="1"/>
  <c r="R146" i="12" s="1"/>
  <c r="U145" i="12"/>
  <c r="D1270" i="13" s="1"/>
  <c r="R145" i="12" a="1"/>
  <c r="R145" i="12"/>
  <c r="U144" i="12"/>
  <c r="D1269" i="13" s="1"/>
  <c r="R144" i="12" a="1"/>
  <c r="R144" i="12"/>
  <c r="U143" i="12"/>
  <c r="D1268" i="13" s="1"/>
  <c r="U142" i="12"/>
  <c r="D1267" i="13" s="1"/>
  <c r="U141" i="12"/>
  <c r="D1266" i="13" s="1"/>
  <c r="U140" i="12"/>
  <c r="D1265" i="13" s="1"/>
  <c r="U139" i="12"/>
  <c r="U138" i="12"/>
  <c r="D1263" i="13" s="1"/>
  <c r="U137" i="12"/>
  <c r="U136" i="12"/>
  <c r="U135" i="12"/>
  <c r="D1260" i="13" s="1"/>
  <c r="U134" i="12"/>
  <c r="D1259" i="13" s="1"/>
  <c r="U133" i="12"/>
  <c r="D1258" i="13" s="1"/>
  <c r="U132" i="12"/>
  <c r="D1257" i="13" s="1"/>
  <c r="U131" i="12"/>
  <c r="U130" i="12"/>
  <c r="D1255" i="13" s="1"/>
  <c r="U129" i="12"/>
  <c r="U128" i="12"/>
  <c r="U127" i="12"/>
  <c r="D1252" i="13" s="1"/>
  <c r="U126" i="12"/>
  <c r="D1251" i="13" s="1"/>
  <c r="U125" i="12"/>
  <c r="D1250" i="13" s="1"/>
  <c r="U124" i="12"/>
  <c r="D1249" i="13" s="1"/>
  <c r="U123" i="12"/>
  <c r="D1248" i="13" s="1"/>
  <c r="U122" i="12"/>
  <c r="D1247" i="13" s="1"/>
  <c r="U121" i="12"/>
  <c r="D1246" i="13" s="1"/>
  <c r="R121" i="12" a="1"/>
  <c r="R121" i="12"/>
  <c r="U120" i="12"/>
  <c r="D1245" i="13" s="1"/>
  <c r="U119" i="12"/>
  <c r="D1244" i="13" s="1"/>
  <c r="U118" i="12"/>
  <c r="D1243" i="13" s="1"/>
  <c r="U117" i="12"/>
  <c r="U116" i="12"/>
  <c r="D1241" i="13" s="1"/>
  <c r="U115" i="12"/>
  <c r="D1240" i="13" s="1"/>
  <c r="U114" i="12"/>
  <c r="D1239" i="13" s="1"/>
  <c r="U113" i="12"/>
  <c r="D1238" i="13" s="1"/>
  <c r="U112" i="12"/>
  <c r="D1237" i="13" s="1"/>
  <c r="U111" i="12"/>
  <c r="U110" i="12"/>
  <c r="D1235" i="13" s="1"/>
  <c r="U109" i="12"/>
  <c r="U108" i="12"/>
  <c r="D1233" i="13" s="1"/>
  <c r="U107" i="12"/>
  <c r="D1232" i="13" s="1"/>
  <c r="U106" i="12"/>
  <c r="D1231" i="13" s="1"/>
  <c r="U105" i="12"/>
  <c r="D1230" i="13" s="1"/>
  <c r="U104" i="12"/>
  <c r="D1229" i="13" s="1"/>
  <c r="U103" i="12"/>
  <c r="U102" i="12"/>
  <c r="D1227" i="13" s="1"/>
  <c r="U101" i="12"/>
  <c r="U100" i="12"/>
  <c r="D1225" i="13" s="1"/>
  <c r="U99" i="12"/>
  <c r="D1224" i="13" s="1"/>
  <c r="U98" i="12"/>
  <c r="D1223" i="13" s="1"/>
  <c r="U97" i="12"/>
  <c r="D1222" i="13" s="1"/>
  <c r="U96" i="12"/>
  <c r="D1221" i="13" s="1"/>
  <c r="U95" i="12"/>
  <c r="U94" i="12"/>
  <c r="D1219" i="13" s="1"/>
  <c r="U93" i="12"/>
  <c r="U92" i="12"/>
  <c r="D1217" i="13" s="1"/>
  <c r="U91" i="12"/>
  <c r="D1216" i="13" s="1"/>
  <c r="U90" i="12"/>
  <c r="D1215" i="13" s="1"/>
  <c r="U89" i="12"/>
  <c r="D1214" i="13" s="1"/>
  <c r="U88" i="12"/>
  <c r="D1213" i="13" s="1"/>
  <c r="U87" i="12"/>
  <c r="D1212" i="13" s="1"/>
  <c r="U86" i="12"/>
  <c r="D1211" i="13" s="1"/>
  <c r="U85" i="12"/>
  <c r="U84" i="12"/>
  <c r="D1209" i="13" s="1"/>
  <c r="U83" i="12"/>
  <c r="D1208" i="13" s="1"/>
  <c r="U82" i="12"/>
  <c r="D1207" i="13" s="1"/>
  <c r="U81" i="12"/>
  <c r="D1206" i="13" s="1"/>
  <c r="U80" i="12"/>
  <c r="D1205" i="13" s="1"/>
  <c r="U79" i="12"/>
  <c r="U78" i="12"/>
  <c r="D1203" i="13" s="1"/>
  <c r="U77" i="12"/>
  <c r="U76" i="12"/>
  <c r="D1201" i="13" s="1"/>
  <c r="U74" i="12"/>
  <c r="D1199" i="13" s="1"/>
  <c r="U73" i="12"/>
  <c r="D1198" i="13" s="1"/>
  <c r="U72" i="12"/>
  <c r="U70" i="12"/>
  <c r="D1195" i="13" s="1"/>
  <c r="U69" i="12"/>
  <c r="D1194" i="13" s="1"/>
  <c r="U68" i="12"/>
  <c r="D1193" i="13" s="1"/>
  <c r="U67" i="12"/>
  <c r="D1192" i="13" s="1"/>
  <c r="U66" i="12"/>
  <c r="D1191" i="13" s="1"/>
  <c r="U65" i="12"/>
  <c r="U64" i="12"/>
  <c r="U63" i="12"/>
  <c r="C63" i="8" s="1"/>
  <c r="U62" i="12"/>
  <c r="D1187" i="13" s="1"/>
  <c r="U61" i="12"/>
  <c r="D1186" i="13" s="1"/>
  <c r="R33" i="12" a="1"/>
  <c r="R33" i="12"/>
  <c r="Q33" i="12" a="1"/>
  <c r="Q33" i="12"/>
  <c r="S32" i="12"/>
  <c r="S13" i="12"/>
  <c r="R10" i="12" a="1"/>
  <c r="R10" i="12" s="1"/>
  <c r="Q10" i="12" a="1"/>
  <c r="Q10" i="12" s="1"/>
  <c r="Q3" i="12" a="1"/>
  <c r="Q3" i="12"/>
  <c r="B91" i="11"/>
  <c r="B90" i="11"/>
  <c r="B89" i="11"/>
  <c r="B88" i="11"/>
  <c r="B87" i="11"/>
  <c r="B86" i="11"/>
  <c r="B85" i="11"/>
  <c r="T84" i="11" a="1"/>
  <c r="T84" i="11"/>
  <c r="B84" i="11"/>
  <c r="B83" i="11"/>
  <c r="B82" i="11"/>
  <c r="T81" i="11" a="1"/>
  <c r="T81" i="11" s="1"/>
  <c r="B81" i="11"/>
  <c r="B80" i="11"/>
  <c r="B79" i="11"/>
  <c r="B78" i="11"/>
  <c r="B77" i="11"/>
  <c r="B76" i="11"/>
  <c r="B75" i="11"/>
  <c r="B74" i="11"/>
  <c r="B73" i="11"/>
  <c r="B72" i="11"/>
  <c r="B71" i="11"/>
  <c r="B70" i="11"/>
  <c r="B69" i="11"/>
  <c r="B68" i="11"/>
  <c r="B67" i="11"/>
  <c r="B66" i="11"/>
  <c r="B65" i="11"/>
  <c r="B64" i="11"/>
  <c r="B63" i="11"/>
  <c r="B62" i="11"/>
  <c r="B61" i="11"/>
  <c r="B60" i="11"/>
  <c r="B58" i="11"/>
  <c r="T57" i="11" a="1"/>
  <c r="T57" i="11"/>
  <c r="B57" i="11"/>
  <c r="B56" i="11"/>
  <c r="B55" i="11"/>
  <c r="B54" i="11"/>
  <c r="B53" i="11"/>
  <c r="B52" i="11"/>
  <c r="B51" i="11"/>
  <c r="B50" i="11"/>
  <c r="B49" i="11"/>
  <c r="B48" i="11"/>
  <c r="B47" i="11"/>
  <c r="B46" i="11"/>
  <c r="B45" i="11"/>
  <c r="B44" i="11"/>
  <c r="B43" i="11"/>
  <c r="B42" i="11"/>
  <c r="M41" i="11"/>
  <c r="B41" i="11"/>
  <c r="B40" i="11"/>
  <c r="B39" i="11"/>
  <c r="B38" i="11"/>
  <c r="B37" i="11"/>
  <c r="T36" i="11" a="1"/>
  <c r="T36" i="11"/>
  <c r="F36" i="11" a="1"/>
  <c r="F36" i="11" s="1"/>
  <c r="D1385" i="13" s="1"/>
  <c r="B36" i="11"/>
  <c r="B35" i="11"/>
  <c r="B34" i="11"/>
  <c r="B33" i="11"/>
  <c r="B32" i="11"/>
  <c r="B31" i="11"/>
  <c r="B30" i="11"/>
  <c r="B29" i="11"/>
  <c r="B28" i="11"/>
  <c r="B27" i="11"/>
  <c r="B26" i="11"/>
  <c r="B25" i="11"/>
  <c r="B24" i="11"/>
  <c r="B23" i="11"/>
  <c r="B22" i="11"/>
  <c r="B21" i="11"/>
  <c r="B20" i="11"/>
  <c r="B19" i="11"/>
  <c r="B18" i="11"/>
  <c r="B17" i="11"/>
  <c r="B16" i="11"/>
  <c r="B15" i="11"/>
  <c r="B14" i="11"/>
  <c r="B13" i="11"/>
  <c r="T12" i="11" a="1"/>
  <c r="T12" i="11"/>
  <c r="B12" i="11"/>
  <c r="B11" i="11"/>
  <c r="B10" i="11"/>
  <c r="T9" i="11" a="1"/>
  <c r="T9" i="11"/>
  <c r="B9" i="11"/>
  <c r="B8" i="11"/>
  <c r="T7" i="11" a="1"/>
  <c r="T7" i="11"/>
  <c r="F7" i="11" a="1"/>
  <c r="F7" i="11" s="1"/>
  <c r="D1356" i="13" s="1"/>
  <c r="B7" i="11"/>
  <c r="B6" i="11"/>
  <c r="B5" i="11"/>
  <c r="B4" i="11"/>
  <c r="B3" i="11"/>
  <c r="B2" i="11"/>
  <c r="B33" i="10" a="1"/>
  <c r="B33" i="10" s="1"/>
  <c r="B32" i="10" a="1"/>
  <c r="B32" i="10" s="1"/>
  <c r="B27" i="10" a="1"/>
  <c r="B27" i="10" s="1"/>
  <c r="B11" i="10" a="1"/>
  <c r="B11" i="10" s="1"/>
  <c r="B7" i="10" a="1"/>
  <c r="B7" i="10" s="1"/>
  <c r="B6" i="10" a="1"/>
  <c r="B6" i="10"/>
  <c r="B5" i="10" a="1"/>
  <c r="B5" i="10" s="1"/>
  <c r="B3" i="10" a="1"/>
  <c r="B3" i="10" s="1"/>
  <c r="J1040" i="9"/>
  <c r="J948" i="9"/>
  <c r="J946" i="9"/>
  <c r="J885" i="9"/>
  <c r="J858" i="9"/>
  <c r="G849" i="9"/>
  <c r="J847" i="9"/>
  <c r="J845" i="9"/>
  <c r="G768" i="9"/>
  <c r="J513" i="9"/>
  <c r="J509" i="9"/>
  <c r="J496" i="9"/>
  <c r="J481" i="9"/>
  <c r="J475" i="9"/>
  <c r="J463" i="9"/>
  <c r="J458" i="9"/>
  <c r="J456" i="9"/>
  <c r="J452" i="9"/>
  <c r="J445" i="9"/>
  <c r="J443" i="9"/>
  <c r="J437" i="9"/>
  <c r="J436" i="9"/>
  <c r="J433" i="9"/>
  <c r="J432" i="9"/>
  <c r="J421" i="9"/>
  <c r="J416" i="9"/>
  <c r="J390" i="9"/>
  <c r="J366" i="9"/>
  <c r="J358" i="9"/>
  <c r="R75" i="9" a="1"/>
  <c r="R75" i="9"/>
  <c r="D75" i="25" s="1" a="1"/>
  <c r="D75" i="25" s="1"/>
  <c r="R74" i="9" a="1"/>
  <c r="R74" i="9"/>
  <c r="D74" i="25" s="1" a="1"/>
  <c r="D74" i="25" s="1"/>
  <c r="R73" i="9" a="1"/>
  <c r="R73" i="9"/>
  <c r="D73" i="25" s="1" a="1"/>
  <c r="D73" i="25" s="1"/>
  <c r="R72" i="9" a="1"/>
  <c r="R72" i="9"/>
  <c r="D72" i="25" s="1" a="1"/>
  <c r="D72" i="25" s="1"/>
  <c r="R71" i="9" a="1"/>
  <c r="R71" i="9"/>
  <c r="D71" i="25" s="1" a="1"/>
  <c r="D71" i="25" s="1"/>
  <c r="R70" i="9" a="1"/>
  <c r="R70" i="9"/>
  <c r="D70" i="25" s="1" a="1"/>
  <c r="D70" i="25" s="1"/>
  <c r="R69" i="9" a="1"/>
  <c r="R69" i="9"/>
  <c r="D69" i="25" s="1" a="1"/>
  <c r="D69" i="25" s="1"/>
  <c r="R68" i="9" a="1"/>
  <c r="R68" i="9"/>
  <c r="D68" i="25" s="1" a="1"/>
  <c r="D68" i="25" s="1"/>
  <c r="R67" i="9" a="1"/>
  <c r="R67" i="9"/>
  <c r="D67" i="25" s="1" a="1"/>
  <c r="D67" i="25" s="1"/>
  <c r="R66" i="9" a="1"/>
  <c r="R66" i="9"/>
  <c r="D66" i="25" s="1" a="1"/>
  <c r="D66" i="25" s="1"/>
  <c r="J65" i="9"/>
  <c r="R64" i="9" a="1"/>
  <c r="R64" i="9" s="1"/>
  <c r="D64" i="25" s="1" a="1"/>
  <c r="D64" i="25" s="1"/>
  <c r="R63" i="9" a="1"/>
  <c r="R63" i="9" s="1"/>
  <c r="D63" i="25" s="1" a="1"/>
  <c r="D63" i="25" s="1"/>
  <c r="R62" i="9" a="1"/>
  <c r="R62" i="9"/>
  <c r="D62" i="25" s="1" a="1"/>
  <c r="D62" i="25" s="1"/>
  <c r="R61" i="9" a="1"/>
  <c r="R61" i="9" s="1"/>
  <c r="D61" i="25" s="1" a="1"/>
  <c r="D61" i="25" s="1"/>
  <c r="R60" i="9" a="1"/>
  <c r="R60" i="9"/>
  <c r="D60" i="25" s="1" a="1"/>
  <c r="D60" i="25" s="1"/>
  <c r="R59" i="9" a="1"/>
  <c r="R59" i="9" s="1"/>
  <c r="D59" i="25" s="1" a="1"/>
  <c r="D59" i="25" s="1"/>
  <c r="R58" i="9" a="1"/>
  <c r="R58" i="9"/>
  <c r="D58" i="25" s="1" a="1"/>
  <c r="D58" i="25" s="1"/>
  <c r="R57" i="9" a="1"/>
  <c r="R57" i="9" s="1"/>
  <c r="D57" i="25" s="1" a="1"/>
  <c r="D57" i="25" s="1"/>
  <c r="R56" i="9" a="1"/>
  <c r="R56" i="9" s="1"/>
  <c r="D56" i="25" s="1" a="1"/>
  <c r="D56" i="25" s="1"/>
  <c r="R55" i="9" a="1"/>
  <c r="R55" i="9" s="1"/>
  <c r="D55" i="25" s="1" a="1"/>
  <c r="D55" i="25" s="1"/>
  <c r="R53" i="9" a="1"/>
  <c r="R53" i="9" s="1"/>
  <c r="D53" i="25" s="1" a="1"/>
  <c r="D53" i="25" s="1"/>
  <c r="R52" i="9" a="1"/>
  <c r="R52" i="9" s="1"/>
  <c r="D52" i="25" s="1" a="1"/>
  <c r="D52" i="25" s="1"/>
  <c r="R51" i="9" a="1"/>
  <c r="R51" i="9"/>
  <c r="D51" i="25" s="1" a="1"/>
  <c r="D51" i="25" s="1"/>
  <c r="J51" i="9"/>
  <c r="R50" i="9" a="1"/>
  <c r="R50" i="9"/>
  <c r="D50" i="25" s="1" a="1"/>
  <c r="D50" i="25" s="1"/>
  <c r="R46" i="9" a="1"/>
  <c r="R46" i="9" s="1"/>
  <c r="D46" i="25" s="1" a="1"/>
  <c r="D46" i="25" s="1"/>
  <c r="R45" i="9" a="1"/>
  <c r="R45" i="9"/>
  <c r="R44" i="9" a="1"/>
  <c r="R44" i="9"/>
  <c r="D44" i="25" s="1" a="1"/>
  <c r="D44" i="25" s="1"/>
  <c r="G44" i="9"/>
  <c r="J43" i="9"/>
  <c r="R42" i="9" a="1"/>
  <c r="R42" i="9" s="1"/>
  <c r="D42" i="25" s="1" a="1"/>
  <c r="D42" i="25" s="1"/>
  <c r="R40" i="9" a="1"/>
  <c r="R40" i="9"/>
  <c r="D40" i="25" s="1" a="1"/>
  <c r="D40" i="25" s="1"/>
  <c r="R39" i="9" a="1"/>
  <c r="R39" i="9"/>
  <c r="D39" i="25" s="1" a="1"/>
  <c r="D39" i="25" s="1"/>
  <c r="Q36" i="9" a="1"/>
  <c r="Q36" i="9"/>
  <c r="R35" i="9" a="1"/>
  <c r="R35" i="9" s="1"/>
  <c r="D35" i="25" s="1" a="1"/>
  <c r="D35" i="25" s="1"/>
  <c r="Q34" i="9" a="1"/>
  <c r="Q34" i="9"/>
  <c r="G34" i="9"/>
  <c r="J32" i="9"/>
  <c r="Q30" i="9" a="1"/>
  <c r="Q30" i="9"/>
  <c r="J30" i="9"/>
  <c r="Q29" i="9" a="1"/>
  <c r="Q29" i="9" s="1"/>
  <c r="D29" i="13" s="1"/>
  <c r="R28" i="9" a="1"/>
  <c r="R28" i="9"/>
  <c r="D28" i="25" s="1" a="1"/>
  <c r="D28" i="25" s="1"/>
  <c r="R25" i="9" a="1"/>
  <c r="R25" i="9" s="1"/>
  <c r="D25" i="25" s="1" a="1"/>
  <c r="D25" i="25" s="1"/>
  <c r="Q25" i="9" a="1"/>
  <c r="Q25" i="9" s="1"/>
  <c r="D25" i="13" s="1"/>
  <c r="Q24" i="9" a="1"/>
  <c r="Q24" i="9"/>
  <c r="D24" i="13" s="1"/>
  <c r="R23" i="9" a="1"/>
  <c r="R23" i="9"/>
  <c r="D23" i="25" s="1" a="1"/>
  <c r="D23" i="25" s="1"/>
  <c r="R22" i="9" a="1"/>
  <c r="R22" i="9" s="1"/>
  <c r="D22" i="25" s="1" a="1"/>
  <c r="D22" i="25" s="1"/>
  <c r="Q21" i="9" a="1"/>
  <c r="Q21" i="9"/>
  <c r="D21" i="13" s="1"/>
  <c r="R20" i="9" a="1"/>
  <c r="R20" i="9" s="1"/>
  <c r="D20" i="25" s="1" a="1"/>
  <c r="D20" i="25" s="1"/>
  <c r="R19" i="9" a="1"/>
  <c r="R19" i="9" s="1"/>
  <c r="D19" i="25" s="1" a="1"/>
  <c r="D19" i="25" s="1"/>
  <c r="R18" i="9" a="1"/>
  <c r="R18" i="9" s="1"/>
  <c r="D18" i="25" s="1" a="1"/>
  <c r="D18" i="25" s="1"/>
  <c r="Q16" i="9" a="1"/>
  <c r="Q16" i="9" s="1"/>
  <c r="D16" i="13" s="1"/>
  <c r="R15" i="9" a="1"/>
  <c r="R15" i="9"/>
  <c r="D15" i="25" s="1" a="1"/>
  <c r="D15" i="25" s="1"/>
  <c r="R13" i="9" a="1"/>
  <c r="R13" i="9" s="1"/>
  <c r="D13" i="25" s="1" a="1"/>
  <c r="D13" i="25" s="1"/>
  <c r="R12" i="9" a="1"/>
  <c r="R12" i="9" s="1"/>
  <c r="D12" i="25" s="1" a="1"/>
  <c r="D12" i="25" s="1"/>
  <c r="R11" i="9" a="1"/>
  <c r="R11" i="9"/>
  <c r="D11" i="25" s="1" a="1"/>
  <c r="D11" i="25" s="1"/>
  <c r="R10" i="9" a="1"/>
  <c r="R10" i="9"/>
  <c r="D10" i="25" s="1" a="1"/>
  <c r="D10" i="25" s="1"/>
  <c r="Q10" i="9" a="1"/>
  <c r="Q10" i="9" s="1"/>
  <c r="D10" i="13" s="1"/>
  <c r="R9" i="9" a="1"/>
  <c r="R9" i="9" s="1"/>
  <c r="D9" i="25" s="1" a="1"/>
  <c r="D9" i="25" s="1"/>
  <c r="Q9" i="9" a="1"/>
  <c r="Q9" i="9"/>
  <c r="D9" i="13" s="1"/>
  <c r="R8" i="9" a="1"/>
  <c r="R8" i="9" s="1"/>
  <c r="D8" i="25" s="1" a="1"/>
  <c r="D8" i="25" s="1"/>
  <c r="Q8" i="9" a="1"/>
  <c r="Q8" i="9"/>
  <c r="D8" i="13" s="1"/>
  <c r="R7" i="9" a="1"/>
  <c r="R7" i="9" s="1"/>
  <c r="D7" i="25" s="1" a="1"/>
  <c r="D7" i="25" s="1"/>
  <c r="Q7" i="9" a="1"/>
  <c r="Q7" i="9" s="1"/>
  <c r="D7" i="13" s="1"/>
  <c r="Q6" i="9" a="1"/>
  <c r="Q6" i="9"/>
  <c r="R5" i="9" a="1"/>
  <c r="R5" i="9" s="1"/>
  <c r="D5" i="25" s="1" a="1"/>
  <c r="D5" i="25" s="1"/>
  <c r="Q5" i="9" a="1"/>
  <c r="Q5" i="9" s="1"/>
  <c r="D5" i="13" s="1"/>
  <c r="J5" i="9"/>
  <c r="R4" i="9" a="1"/>
  <c r="R4" i="9" s="1"/>
  <c r="D4" i="25" s="1" a="1"/>
  <c r="D4" i="25" s="1"/>
  <c r="Q4" i="9" a="1"/>
  <c r="Q4" i="9"/>
  <c r="R3" i="9" a="1"/>
  <c r="R3" i="9"/>
  <c r="D3" i="25" s="1" a="1"/>
  <c r="D3" i="25" s="1"/>
  <c r="Q3" i="9" a="1"/>
  <c r="Q3" i="9"/>
  <c r="D3" i="13" s="1"/>
  <c r="Q2" i="9" a="1"/>
  <c r="Q2" i="9" s="1"/>
  <c r="D2" i="13" s="1"/>
  <c r="C446" i="8"/>
  <c r="B446" i="8"/>
  <c r="A446" i="8"/>
  <c r="C445" i="8"/>
  <c r="B445" i="8"/>
  <c r="A445" i="8"/>
  <c r="C444" i="8"/>
  <c r="B444" i="8"/>
  <c r="A444" i="8"/>
  <c r="C443" i="8"/>
  <c r="B443" i="8"/>
  <c r="A443" i="8"/>
  <c r="C442" i="8"/>
  <c r="B442" i="8"/>
  <c r="A442" i="8"/>
  <c r="C441" i="8"/>
  <c r="B441" i="8"/>
  <c r="A441" i="8"/>
  <c r="C440" i="8"/>
  <c r="B440" i="8"/>
  <c r="A440" i="8"/>
  <c r="C439" i="8"/>
  <c r="B439" i="8"/>
  <c r="A439" i="8"/>
  <c r="C438" i="8"/>
  <c r="B438" i="8"/>
  <c r="A438" i="8"/>
  <c r="C437" i="8"/>
  <c r="B437" i="8"/>
  <c r="A437" i="8"/>
  <c r="C436" i="8"/>
  <c r="B436" i="8"/>
  <c r="A436" i="8"/>
  <c r="C435" i="8"/>
  <c r="B435" i="8"/>
  <c r="A435" i="8"/>
  <c r="C434" i="8"/>
  <c r="B434" i="8"/>
  <c r="A434" i="8"/>
  <c r="C433" i="8"/>
  <c r="B433" i="8"/>
  <c r="A433" i="8"/>
  <c r="C432" i="8"/>
  <c r="B432" i="8"/>
  <c r="A432" i="8"/>
  <c r="C431" i="8"/>
  <c r="B431" i="8"/>
  <c r="A431" i="8"/>
  <c r="C430" i="8"/>
  <c r="B430" i="8"/>
  <c r="A430" i="8"/>
  <c r="C429" i="8"/>
  <c r="B429" i="8"/>
  <c r="A429" i="8"/>
  <c r="C428" i="8"/>
  <c r="B428" i="8"/>
  <c r="A428" i="8"/>
  <c r="C427" i="8"/>
  <c r="B427" i="8"/>
  <c r="A427" i="8"/>
  <c r="C426" i="8"/>
  <c r="B426" i="8"/>
  <c r="A426" i="8"/>
  <c r="C425" i="8"/>
  <c r="B425" i="8"/>
  <c r="A425" i="8"/>
  <c r="C424" i="8"/>
  <c r="B424" i="8"/>
  <c r="A424" i="8"/>
  <c r="C423" i="8"/>
  <c r="B423" i="8"/>
  <c r="A423" i="8"/>
  <c r="C422" i="8"/>
  <c r="B422" i="8"/>
  <c r="A422" i="8"/>
  <c r="C421" i="8"/>
  <c r="B421" i="8"/>
  <c r="A421" i="8"/>
  <c r="C420" i="8"/>
  <c r="B420" i="8"/>
  <c r="A420" i="8"/>
  <c r="C419" i="8"/>
  <c r="B419" i="8"/>
  <c r="A419" i="8"/>
  <c r="C418" i="8"/>
  <c r="B418" i="8"/>
  <c r="A418" i="8"/>
  <c r="C417" i="8"/>
  <c r="B417" i="8"/>
  <c r="A417" i="8"/>
  <c r="C416" i="8"/>
  <c r="B416" i="8"/>
  <c r="A416" i="8"/>
  <c r="C415" i="8"/>
  <c r="B415" i="8"/>
  <c r="A415" i="8"/>
  <c r="C414" i="8"/>
  <c r="B414" i="8"/>
  <c r="A414" i="8"/>
  <c r="C413" i="8"/>
  <c r="B413" i="8"/>
  <c r="A413" i="8"/>
  <c r="C412" i="8"/>
  <c r="B412" i="8"/>
  <c r="A412" i="8"/>
  <c r="C411" i="8"/>
  <c r="B411" i="8"/>
  <c r="A411" i="8"/>
  <c r="C410" i="8"/>
  <c r="B410" i="8"/>
  <c r="A410" i="8"/>
  <c r="C409" i="8"/>
  <c r="B409" i="8"/>
  <c r="A409" i="8"/>
  <c r="C408" i="8"/>
  <c r="B408" i="8"/>
  <c r="A408" i="8"/>
  <c r="C407" i="8"/>
  <c r="B407" i="8"/>
  <c r="A407" i="8"/>
  <c r="C406" i="8"/>
  <c r="B406" i="8"/>
  <c r="A406" i="8"/>
  <c r="C405" i="8"/>
  <c r="B405" i="8"/>
  <c r="A405" i="8"/>
  <c r="C404" i="8"/>
  <c r="B404" i="8"/>
  <c r="A404" i="8"/>
  <c r="C403" i="8"/>
  <c r="B403" i="8"/>
  <c r="A403" i="8"/>
  <c r="C402" i="8"/>
  <c r="B402" i="8"/>
  <c r="A402" i="8"/>
  <c r="C401" i="8"/>
  <c r="B401" i="8"/>
  <c r="A401" i="8"/>
  <c r="C400" i="8"/>
  <c r="B400" i="8"/>
  <c r="A400" i="8"/>
  <c r="C399" i="8"/>
  <c r="B399" i="8"/>
  <c r="A399" i="8"/>
  <c r="C398" i="8"/>
  <c r="B398" i="8"/>
  <c r="A398" i="8"/>
  <c r="C397" i="8"/>
  <c r="B397" i="8"/>
  <c r="A397" i="8"/>
  <c r="C396" i="8"/>
  <c r="B396" i="8"/>
  <c r="A396" i="8"/>
  <c r="C395" i="8"/>
  <c r="B395" i="8"/>
  <c r="A395" i="8"/>
  <c r="C394" i="8"/>
  <c r="B394" i="8"/>
  <c r="A394" i="8"/>
  <c r="C393" i="8"/>
  <c r="B393" i="8"/>
  <c r="A393" i="8"/>
  <c r="C392" i="8"/>
  <c r="B392" i="8"/>
  <c r="A392" i="8"/>
  <c r="C391" i="8"/>
  <c r="B391" i="8"/>
  <c r="A391" i="8"/>
  <c r="C390" i="8"/>
  <c r="B390" i="8"/>
  <c r="A390" i="8"/>
  <c r="C389" i="8"/>
  <c r="B389" i="8"/>
  <c r="A389" i="8"/>
  <c r="C388" i="8"/>
  <c r="B388" i="8"/>
  <c r="A388" i="8"/>
  <c r="C387" i="8"/>
  <c r="B387" i="8"/>
  <c r="A387" i="8"/>
  <c r="C386" i="8"/>
  <c r="B386" i="8"/>
  <c r="A386" i="8"/>
  <c r="C385" i="8"/>
  <c r="B385" i="8"/>
  <c r="A385" i="8"/>
  <c r="C384" i="8"/>
  <c r="B384" i="8"/>
  <c r="A384" i="8"/>
  <c r="C383" i="8"/>
  <c r="B383" i="8"/>
  <c r="A383" i="8"/>
  <c r="C382" i="8"/>
  <c r="B382" i="8"/>
  <c r="A382" i="8"/>
  <c r="C381" i="8"/>
  <c r="B381" i="8"/>
  <c r="A381" i="8"/>
  <c r="C380" i="8"/>
  <c r="B380" i="8"/>
  <c r="A380" i="8"/>
  <c r="C314" i="8"/>
  <c r="B314" i="8"/>
  <c r="A314" i="8"/>
  <c r="C313" i="8"/>
  <c r="B313" i="8"/>
  <c r="A313" i="8"/>
  <c r="C312" i="8"/>
  <c r="B312" i="8"/>
  <c r="A312" i="8"/>
  <c r="C311" i="8"/>
  <c r="B311" i="8"/>
  <c r="A311" i="8"/>
  <c r="C310" i="8"/>
  <c r="B310" i="8"/>
  <c r="A310" i="8"/>
  <c r="C309" i="8"/>
  <c r="B309" i="8"/>
  <c r="A309" i="8"/>
  <c r="C308" i="8"/>
  <c r="B308" i="8"/>
  <c r="A308" i="8"/>
  <c r="C307" i="8"/>
  <c r="B307" i="8"/>
  <c r="A307" i="8"/>
  <c r="C306" i="8"/>
  <c r="B306" i="8"/>
  <c r="A306" i="8"/>
  <c r="C305" i="8"/>
  <c r="B305" i="8"/>
  <c r="A305" i="8"/>
  <c r="C304" i="8"/>
  <c r="B304" i="8"/>
  <c r="A304" i="8"/>
  <c r="C303" i="8"/>
  <c r="B303" i="8"/>
  <c r="A303" i="8"/>
  <c r="C302" i="8"/>
  <c r="B302" i="8"/>
  <c r="A302" i="8"/>
  <c r="C301" i="8"/>
  <c r="B301" i="8"/>
  <c r="A301" i="8"/>
  <c r="C300" i="8"/>
  <c r="B300" i="8"/>
  <c r="A300" i="8"/>
  <c r="C299" i="8"/>
  <c r="B299" i="8"/>
  <c r="A299" i="8"/>
  <c r="C298" i="8"/>
  <c r="B298" i="8"/>
  <c r="A298" i="8"/>
  <c r="C297" i="8"/>
  <c r="B297" i="8"/>
  <c r="A297" i="8"/>
  <c r="C296" i="8"/>
  <c r="B296" i="8"/>
  <c r="A296" i="8"/>
  <c r="C295" i="8"/>
  <c r="B295" i="8"/>
  <c r="A295" i="8"/>
  <c r="C294" i="8"/>
  <c r="B294" i="8"/>
  <c r="A294" i="8"/>
  <c r="C293" i="8"/>
  <c r="B293" i="8"/>
  <c r="A293" i="8"/>
  <c r="C292" i="8"/>
  <c r="B292" i="8"/>
  <c r="A292" i="8"/>
  <c r="C291" i="8"/>
  <c r="B291" i="8"/>
  <c r="A291" i="8"/>
  <c r="C290" i="8"/>
  <c r="B290" i="8"/>
  <c r="A290" i="8"/>
  <c r="C289" i="8"/>
  <c r="B289" i="8"/>
  <c r="A289" i="8"/>
  <c r="C288" i="8"/>
  <c r="B288" i="8"/>
  <c r="A288" i="8"/>
  <c r="C287" i="8"/>
  <c r="B287" i="8"/>
  <c r="A287" i="8"/>
  <c r="C286" i="8"/>
  <c r="B286" i="8"/>
  <c r="A286" i="8"/>
  <c r="C285" i="8"/>
  <c r="B285" i="8"/>
  <c r="A285" i="8"/>
  <c r="C284" i="8"/>
  <c r="B284" i="8"/>
  <c r="A284" i="8"/>
  <c r="C283" i="8"/>
  <c r="B283" i="8"/>
  <c r="A283" i="8"/>
  <c r="C225" i="8"/>
  <c r="B225" i="8"/>
  <c r="A225" i="8"/>
  <c r="C224" i="8"/>
  <c r="B224" i="8"/>
  <c r="A224" i="8"/>
  <c r="C223" i="8"/>
  <c r="B223" i="8"/>
  <c r="A223" i="8"/>
  <c r="C222" i="8"/>
  <c r="B222" i="8"/>
  <c r="A222" i="8"/>
  <c r="C221" i="8"/>
  <c r="B221" i="8"/>
  <c r="A221" i="8"/>
  <c r="C220" i="8"/>
  <c r="B220" i="8"/>
  <c r="A220" i="8"/>
  <c r="C219" i="8"/>
  <c r="B219" i="8"/>
  <c r="A219" i="8"/>
  <c r="C218" i="8"/>
  <c r="B218" i="8"/>
  <c r="A218" i="8"/>
  <c r="C217" i="8"/>
  <c r="B217" i="8"/>
  <c r="A217" i="8"/>
  <c r="C216" i="8"/>
  <c r="B216" i="8"/>
  <c r="A216" i="8"/>
  <c r="B215" i="8"/>
  <c r="A215" i="8"/>
  <c r="C214" i="8"/>
  <c r="B214" i="8"/>
  <c r="A214" i="8"/>
  <c r="B213" i="8"/>
  <c r="A213" i="8"/>
  <c r="C212" i="8"/>
  <c r="B212" i="8"/>
  <c r="A212" i="8"/>
  <c r="C211" i="8"/>
  <c r="B211" i="8"/>
  <c r="A211" i="8"/>
  <c r="C210" i="8"/>
  <c r="B210" i="8"/>
  <c r="A210" i="8"/>
  <c r="C209" i="8"/>
  <c r="B209" i="8"/>
  <c r="A209" i="8"/>
  <c r="C208" i="8"/>
  <c r="B208" i="8"/>
  <c r="A208" i="8"/>
  <c r="B207" i="8"/>
  <c r="A207" i="8"/>
  <c r="C206" i="8"/>
  <c r="B206" i="8"/>
  <c r="A206" i="8"/>
  <c r="C205" i="8"/>
  <c r="B205" i="8"/>
  <c r="A205" i="8"/>
  <c r="C204" i="8"/>
  <c r="B204" i="8"/>
  <c r="A204" i="8"/>
  <c r="C203" i="8"/>
  <c r="B203" i="8"/>
  <c r="A203" i="8"/>
  <c r="C202" i="8"/>
  <c r="B202" i="8"/>
  <c r="A202" i="8"/>
  <c r="C201" i="8"/>
  <c r="B201" i="8"/>
  <c r="A201" i="8"/>
  <c r="C200" i="8"/>
  <c r="B200" i="8"/>
  <c r="A200" i="8"/>
  <c r="C199" i="8"/>
  <c r="B199" i="8"/>
  <c r="A199" i="8"/>
  <c r="C198" i="8"/>
  <c r="B198" i="8"/>
  <c r="A198" i="8"/>
  <c r="C197" i="8"/>
  <c r="B197" i="8"/>
  <c r="A197" i="8"/>
  <c r="C196" i="8"/>
  <c r="B196" i="8"/>
  <c r="A196" i="8"/>
  <c r="C195" i="8"/>
  <c r="B195" i="8"/>
  <c r="A195" i="8"/>
  <c r="C194" i="8"/>
  <c r="B194" i="8"/>
  <c r="A194" i="8"/>
  <c r="C193" i="8"/>
  <c r="B193" i="8"/>
  <c r="A193" i="8"/>
  <c r="C192" i="8"/>
  <c r="B192" i="8"/>
  <c r="A192" i="8"/>
  <c r="C191" i="8"/>
  <c r="B191" i="8"/>
  <c r="A191" i="8"/>
  <c r="C190" i="8"/>
  <c r="B190" i="8"/>
  <c r="A190" i="8"/>
  <c r="C189" i="8"/>
  <c r="B189" i="8"/>
  <c r="A189" i="8"/>
  <c r="C188" i="8"/>
  <c r="B188" i="8"/>
  <c r="A188" i="8"/>
  <c r="C187" i="8"/>
  <c r="B187" i="8"/>
  <c r="A187" i="8"/>
  <c r="C186" i="8"/>
  <c r="B186" i="8"/>
  <c r="A186" i="8"/>
  <c r="C185" i="8"/>
  <c r="B185" i="8"/>
  <c r="A185" i="8"/>
  <c r="C184" i="8"/>
  <c r="B184" i="8"/>
  <c r="A184" i="8"/>
  <c r="C183" i="8"/>
  <c r="B183" i="8"/>
  <c r="A183" i="8"/>
  <c r="C182" i="8"/>
  <c r="B182" i="8"/>
  <c r="A182" i="8"/>
  <c r="C181" i="8"/>
  <c r="B181" i="8"/>
  <c r="A181" i="8"/>
  <c r="C180" i="8"/>
  <c r="B180" i="8"/>
  <c r="A180" i="8"/>
  <c r="C179" i="8"/>
  <c r="B179" i="8"/>
  <c r="A179" i="8"/>
  <c r="C178" i="8"/>
  <c r="B178" i="8"/>
  <c r="A178" i="8"/>
  <c r="C177" i="8"/>
  <c r="B177" i="8"/>
  <c r="A177" i="8"/>
  <c r="B176" i="8"/>
  <c r="A176" i="8"/>
  <c r="C175" i="8"/>
  <c r="B175" i="8"/>
  <c r="A175" i="8"/>
  <c r="C174" i="8"/>
  <c r="B174" i="8"/>
  <c r="A174" i="8"/>
  <c r="C173" i="8"/>
  <c r="B173" i="8"/>
  <c r="A173" i="8"/>
  <c r="B172" i="8"/>
  <c r="A172" i="8"/>
  <c r="C171" i="8"/>
  <c r="B171" i="8"/>
  <c r="A171" i="8"/>
  <c r="C170" i="8"/>
  <c r="B170" i="8"/>
  <c r="A170" i="8"/>
  <c r="B169" i="8"/>
  <c r="A169" i="8"/>
  <c r="B168" i="8"/>
  <c r="A168" i="8"/>
  <c r="C167" i="8"/>
  <c r="B167" i="8"/>
  <c r="A167" i="8"/>
  <c r="C166" i="8"/>
  <c r="B166" i="8"/>
  <c r="A166" i="8"/>
  <c r="C165" i="8"/>
  <c r="B165" i="8"/>
  <c r="A165" i="8"/>
  <c r="C164" i="8"/>
  <c r="B164" i="8"/>
  <c r="A164" i="8"/>
  <c r="C163" i="8"/>
  <c r="B163" i="8"/>
  <c r="A163" i="8"/>
  <c r="C162" i="8"/>
  <c r="B162" i="8"/>
  <c r="A162" i="8"/>
  <c r="B161" i="8"/>
  <c r="A161" i="8"/>
  <c r="B160" i="8"/>
  <c r="A160" i="8"/>
  <c r="C159" i="8"/>
  <c r="B159" i="8"/>
  <c r="A159" i="8"/>
  <c r="C158" i="8"/>
  <c r="B158" i="8"/>
  <c r="A158" i="8"/>
  <c r="C157" i="8"/>
  <c r="B157" i="8"/>
  <c r="A157" i="8"/>
  <c r="C156" i="8"/>
  <c r="B156" i="8"/>
  <c r="A156" i="8"/>
  <c r="C155" i="8"/>
  <c r="B155" i="8"/>
  <c r="A155" i="8"/>
  <c r="C154" i="8"/>
  <c r="B154" i="8"/>
  <c r="A154" i="8"/>
  <c r="C153" i="8"/>
  <c r="B153" i="8"/>
  <c r="A153" i="8"/>
  <c r="C152" i="8"/>
  <c r="B152" i="8"/>
  <c r="A152" i="8"/>
  <c r="C151" i="8"/>
  <c r="B151" i="8"/>
  <c r="A151" i="8"/>
  <c r="B150" i="8"/>
  <c r="A150" i="8"/>
  <c r="C149" i="8"/>
  <c r="B149" i="8"/>
  <c r="A149" i="8"/>
  <c r="C148" i="8"/>
  <c r="B148" i="8"/>
  <c r="A148" i="8"/>
  <c r="C147" i="8"/>
  <c r="B147" i="8"/>
  <c r="A147" i="8"/>
  <c r="C146" i="8"/>
  <c r="B146" i="8"/>
  <c r="A146" i="8"/>
  <c r="C145" i="8"/>
  <c r="B145" i="8"/>
  <c r="A145" i="8"/>
  <c r="C144" i="8"/>
  <c r="B144" i="8"/>
  <c r="A144" i="8"/>
  <c r="C143" i="8"/>
  <c r="B143" i="8"/>
  <c r="A143" i="8"/>
  <c r="C142" i="8"/>
  <c r="B142" i="8"/>
  <c r="A142" i="8"/>
  <c r="C141" i="8"/>
  <c r="B141" i="8"/>
  <c r="A141" i="8"/>
  <c r="C140" i="8"/>
  <c r="B140" i="8"/>
  <c r="A140" i="8"/>
  <c r="B139" i="8"/>
  <c r="A139" i="8"/>
  <c r="C138" i="8"/>
  <c r="B138" i="8"/>
  <c r="A138" i="8"/>
  <c r="C137" i="8"/>
  <c r="B137" i="8"/>
  <c r="A137" i="8"/>
  <c r="B136" i="8"/>
  <c r="A136" i="8"/>
  <c r="C135" i="8"/>
  <c r="B135" i="8"/>
  <c r="A135" i="8"/>
  <c r="C134" i="8"/>
  <c r="B134" i="8"/>
  <c r="A134" i="8"/>
  <c r="C133" i="8"/>
  <c r="B133" i="8"/>
  <c r="A133" i="8"/>
  <c r="C132" i="8"/>
  <c r="B132" i="8"/>
  <c r="A132" i="8"/>
  <c r="B131" i="8"/>
  <c r="A131" i="8"/>
  <c r="C130" i="8"/>
  <c r="B130" i="8"/>
  <c r="A130" i="8"/>
  <c r="C129" i="8"/>
  <c r="B129" i="8"/>
  <c r="A129" i="8"/>
  <c r="B128" i="8"/>
  <c r="A128" i="8"/>
  <c r="C127" i="8"/>
  <c r="B127" i="8"/>
  <c r="A127" i="8"/>
  <c r="C126" i="8"/>
  <c r="B126" i="8"/>
  <c r="A126" i="8"/>
  <c r="C125" i="8"/>
  <c r="B125" i="8"/>
  <c r="A125" i="8"/>
  <c r="B124" i="8"/>
  <c r="A124" i="8"/>
  <c r="C123" i="8"/>
  <c r="B123" i="8"/>
  <c r="A123" i="8"/>
  <c r="C122" i="8"/>
  <c r="B122" i="8"/>
  <c r="A122" i="8"/>
  <c r="C121" i="8"/>
  <c r="B121" i="8"/>
  <c r="A121" i="8"/>
  <c r="C120" i="8"/>
  <c r="B120" i="8"/>
  <c r="A120" i="8"/>
  <c r="C119" i="8"/>
  <c r="B119" i="8"/>
  <c r="A119" i="8"/>
  <c r="C118" i="8"/>
  <c r="B118" i="8"/>
  <c r="A118" i="8"/>
  <c r="B117" i="8"/>
  <c r="A117" i="8"/>
  <c r="C116" i="8"/>
  <c r="B116" i="8"/>
  <c r="A116" i="8"/>
  <c r="C115" i="8"/>
  <c r="B115" i="8"/>
  <c r="A115" i="8"/>
  <c r="C114" i="8"/>
  <c r="B114" i="8"/>
  <c r="A114" i="8"/>
  <c r="C113" i="8"/>
  <c r="B113" i="8"/>
  <c r="A113" i="8"/>
  <c r="C112" i="8"/>
  <c r="B112" i="8"/>
  <c r="A112" i="8"/>
  <c r="C111" i="8"/>
  <c r="B111" i="8"/>
  <c r="A111" i="8"/>
  <c r="C110" i="8"/>
  <c r="B110" i="8"/>
  <c r="A110" i="8"/>
  <c r="B109" i="8"/>
  <c r="A109" i="8"/>
  <c r="C108" i="8"/>
  <c r="B108" i="8"/>
  <c r="A108" i="8"/>
  <c r="C107" i="8"/>
  <c r="B107" i="8"/>
  <c r="A107" i="8"/>
  <c r="C106" i="8"/>
  <c r="B106" i="8"/>
  <c r="A106" i="8"/>
  <c r="C105" i="8"/>
  <c r="B105" i="8"/>
  <c r="A105" i="8"/>
  <c r="C104" i="8"/>
  <c r="B104" i="8"/>
  <c r="A104" i="8"/>
  <c r="C103" i="8"/>
  <c r="B103" i="8"/>
  <c r="A103" i="8"/>
  <c r="B102" i="8"/>
  <c r="A102" i="8"/>
  <c r="B101" i="8"/>
  <c r="A101" i="8"/>
  <c r="C100" i="8"/>
  <c r="B100" i="8"/>
  <c r="A100" i="8"/>
  <c r="C99" i="8"/>
  <c r="B99" i="8"/>
  <c r="A99" i="8"/>
  <c r="C98" i="8"/>
  <c r="B98" i="8"/>
  <c r="A98" i="8"/>
  <c r="C97" i="8"/>
  <c r="B97" i="8"/>
  <c r="A97" i="8"/>
  <c r="C96" i="8"/>
  <c r="B96" i="8"/>
  <c r="A96" i="8"/>
  <c r="C95" i="8"/>
  <c r="B95" i="8"/>
  <c r="A95" i="8"/>
  <c r="B94" i="8"/>
  <c r="A94" i="8"/>
  <c r="B93" i="8"/>
  <c r="A93" i="8"/>
  <c r="C92" i="8"/>
  <c r="B92" i="8"/>
  <c r="A92" i="8"/>
  <c r="C91" i="8"/>
  <c r="B91" i="8"/>
  <c r="A91" i="8"/>
  <c r="C90" i="8"/>
  <c r="B90" i="8"/>
  <c r="A90" i="8"/>
  <c r="C89" i="8"/>
  <c r="B89" i="8"/>
  <c r="A89" i="8"/>
  <c r="C88" i="8"/>
  <c r="B88" i="8"/>
  <c r="A88" i="8"/>
  <c r="C87" i="8"/>
  <c r="B87" i="8"/>
  <c r="A87" i="8"/>
  <c r="B86" i="8"/>
  <c r="A86" i="8"/>
  <c r="B85" i="8"/>
  <c r="A85" i="8"/>
  <c r="C84" i="8"/>
  <c r="B84" i="8"/>
  <c r="A84" i="8"/>
  <c r="C83" i="8"/>
  <c r="B83" i="8"/>
  <c r="A83" i="8"/>
  <c r="C82" i="8"/>
  <c r="B82" i="8"/>
  <c r="A82" i="8"/>
  <c r="C81" i="8"/>
  <c r="B81" i="8"/>
  <c r="A81" i="8"/>
  <c r="C80" i="8"/>
  <c r="B80" i="8"/>
  <c r="A80" i="8"/>
  <c r="C79" i="8"/>
  <c r="B79" i="8"/>
  <c r="A79" i="8"/>
  <c r="C78" i="8"/>
  <c r="B78" i="8"/>
  <c r="A78" i="8"/>
  <c r="B77" i="8"/>
  <c r="A77" i="8"/>
  <c r="C76" i="8"/>
  <c r="B76" i="8"/>
  <c r="A76" i="8"/>
  <c r="C75" i="8"/>
  <c r="B75" i="8"/>
  <c r="A75" i="8"/>
  <c r="C74" i="8"/>
  <c r="B74" i="8"/>
  <c r="A74" i="8"/>
  <c r="C73" i="8"/>
  <c r="B73" i="8"/>
  <c r="A73" i="8"/>
  <c r="B72" i="8"/>
  <c r="A72" i="8"/>
  <c r="C71" i="8"/>
  <c r="B71" i="8"/>
  <c r="A71" i="8"/>
  <c r="C70" i="8"/>
  <c r="B70" i="8"/>
  <c r="A70" i="8"/>
  <c r="C69" i="8"/>
  <c r="B69" i="8"/>
  <c r="A69" i="8"/>
  <c r="C68" i="8"/>
  <c r="B68" i="8"/>
  <c r="A68" i="8"/>
  <c r="C67" i="8"/>
  <c r="B67" i="8"/>
  <c r="A67" i="8"/>
  <c r="C66" i="8"/>
  <c r="B66" i="8"/>
  <c r="A66" i="8"/>
  <c r="C65" i="8"/>
  <c r="B65" i="8"/>
  <c r="A65" i="8"/>
  <c r="B64" i="8"/>
  <c r="A64" i="8"/>
  <c r="B63" i="8"/>
  <c r="A63" i="8"/>
  <c r="C62" i="8"/>
  <c r="B62" i="8"/>
  <c r="A62" i="8"/>
  <c r="C61" i="8"/>
  <c r="B61" i="8"/>
  <c r="A61" i="8"/>
  <c r="C60" i="8"/>
  <c r="B60" i="8"/>
  <c r="A60" i="8"/>
  <c r="F1129" i="7"/>
  <c r="F1128" i="7"/>
  <c r="F1127" i="7"/>
  <c r="E1126" i="7"/>
  <c r="D1126" i="7"/>
  <c r="F1126" i="7" s="1"/>
  <c r="C1126" i="7"/>
  <c r="B1126" i="7"/>
  <c r="A1126" i="7"/>
  <c r="E1125" i="7"/>
  <c r="D1125" i="7"/>
  <c r="F1125" i="7" s="1"/>
  <c r="C1125" i="7"/>
  <c r="B1125" i="7"/>
  <c r="A1125" i="7"/>
  <c r="F1124" i="7"/>
  <c r="E1124" i="7"/>
  <c r="D1124" i="7"/>
  <c r="C1124" i="7"/>
  <c r="B1124" i="7"/>
  <c r="A1124" i="7"/>
  <c r="E1123" i="7"/>
  <c r="D1123" i="7"/>
  <c r="F1123" i="7" s="1"/>
  <c r="C1123" i="7"/>
  <c r="B1123" i="7"/>
  <c r="A1123" i="7"/>
  <c r="F1122" i="7"/>
  <c r="E1122" i="7"/>
  <c r="D1122" i="7"/>
  <c r="C1122" i="7"/>
  <c r="B1122" i="7"/>
  <c r="A1122" i="7"/>
  <c r="E1121" i="7"/>
  <c r="D1121" i="7"/>
  <c r="F1121" i="7" s="1"/>
  <c r="C1121" i="7"/>
  <c r="B1121" i="7"/>
  <c r="A1121" i="7"/>
  <c r="F1120" i="7"/>
  <c r="E1120" i="7"/>
  <c r="D1120" i="7"/>
  <c r="C1120" i="7"/>
  <c r="B1120" i="7"/>
  <c r="A1120" i="7"/>
  <c r="E1119" i="7"/>
  <c r="D1119" i="7"/>
  <c r="F1119" i="7" s="1"/>
  <c r="C1119" i="7"/>
  <c r="B1119" i="7"/>
  <c r="A1119" i="7"/>
  <c r="E1118" i="7"/>
  <c r="D1118" i="7"/>
  <c r="F1118" i="7" s="1"/>
  <c r="C1118" i="7"/>
  <c r="B1118" i="7"/>
  <c r="A1118" i="7"/>
  <c r="E1117" i="7"/>
  <c r="D1117" i="7"/>
  <c r="F1117" i="7" s="1"/>
  <c r="C1117" i="7"/>
  <c r="B1117" i="7"/>
  <c r="A1117" i="7"/>
  <c r="E1116" i="7"/>
  <c r="D1116" i="7"/>
  <c r="F1116" i="7" s="1"/>
  <c r="C1116" i="7"/>
  <c r="B1116" i="7"/>
  <c r="A1116" i="7"/>
  <c r="F1115" i="7"/>
  <c r="E1115" i="7"/>
  <c r="D1115" i="7"/>
  <c r="C1115" i="7"/>
  <c r="B1115" i="7"/>
  <c r="A1115" i="7"/>
  <c r="E1114" i="7"/>
  <c r="D1114" i="7"/>
  <c r="F1114" i="7" s="1"/>
  <c r="C1114" i="7"/>
  <c r="B1114" i="7"/>
  <c r="A1114" i="7"/>
  <c r="E1113" i="7"/>
  <c r="D1113" i="7"/>
  <c r="F1113" i="7" s="1"/>
  <c r="C1113" i="7"/>
  <c r="B1113" i="7"/>
  <c r="A1113" i="7"/>
  <c r="F1112" i="7"/>
  <c r="E1112" i="7"/>
  <c r="D1112" i="7"/>
  <c r="C1112" i="7"/>
  <c r="B1112" i="7"/>
  <c r="A1112" i="7"/>
  <c r="F1111" i="7"/>
  <c r="E1111" i="7"/>
  <c r="D1111" i="7"/>
  <c r="C1111" i="7"/>
  <c r="B1111" i="7"/>
  <c r="A1111" i="7"/>
  <c r="E1110" i="7"/>
  <c r="D1110" i="7"/>
  <c r="F1110" i="7" s="1"/>
  <c r="C1110" i="7"/>
  <c r="B1110" i="7"/>
  <c r="A1110" i="7"/>
  <c r="E1109" i="7"/>
  <c r="D1109" i="7"/>
  <c r="F1109" i="7" s="1"/>
  <c r="C1109" i="7"/>
  <c r="B1109" i="7"/>
  <c r="A1109" i="7"/>
  <c r="F1108" i="7"/>
  <c r="E1108" i="7"/>
  <c r="D1108" i="7"/>
  <c r="C1108" i="7"/>
  <c r="B1108" i="7"/>
  <c r="A1108" i="7"/>
  <c r="E1107" i="7"/>
  <c r="D1107" i="7"/>
  <c r="F1107" i="7" s="1"/>
  <c r="C1107" i="7"/>
  <c r="B1107" i="7"/>
  <c r="A1107" i="7"/>
  <c r="F1106" i="7"/>
  <c r="E1106" i="7"/>
  <c r="D1106" i="7"/>
  <c r="C1106" i="7"/>
  <c r="B1106" i="7"/>
  <c r="A1106" i="7"/>
  <c r="E1105" i="7"/>
  <c r="D1105" i="7"/>
  <c r="F1105" i="7" s="1"/>
  <c r="C1105" i="7"/>
  <c r="B1105" i="7"/>
  <c r="A1105" i="7"/>
  <c r="E1104" i="7"/>
  <c r="D1104" i="7"/>
  <c r="F1104" i="7" s="1"/>
  <c r="C1104" i="7"/>
  <c r="B1104" i="7"/>
  <c r="A1104" i="7"/>
  <c r="E1103" i="7"/>
  <c r="D1103" i="7"/>
  <c r="F1103" i="7" s="1"/>
  <c r="C1103" i="7"/>
  <c r="B1103" i="7"/>
  <c r="A1103" i="7"/>
  <c r="E1102" i="7"/>
  <c r="D1102" i="7"/>
  <c r="F1102" i="7" s="1"/>
  <c r="C1102" i="7"/>
  <c r="B1102" i="7"/>
  <c r="A1102" i="7"/>
  <c r="E1101" i="7"/>
  <c r="D1101" i="7"/>
  <c r="F1101" i="7" s="1"/>
  <c r="C1101" i="7"/>
  <c r="B1101" i="7"/>
  <c r="A1101" i="7"/>
  <c r="E1100" i="7"/>
  <c r="D1100" i="7"/>
  <c r="F1100" i="7" s="1"/>
  <c r="C1100" i="7"/>
  <c r="B1100" i="7"/>
  <c r="A1100" i="7"/>
  <c r="F1099" i="7"/>
  <c r="E1099" i="7"/>
  <c r="D1099" i="7"/>
  <c r="C1099" i="7"/>
  <c r="B1099" i="7"/>
  <c r="A1099" i="7"/>
  <c r="E1098" i="7"/>
  <c r="D1098" i="7"/>
  <c r="F1098" i="7" s="1"/>
  <c r="C1098" i="7"/>
  <c r="B1098" i="7"/>
  <c r="A1098" i="7"/>
  <c r="E1097" i="7"/>
  <c r="D1097" i="7"/>
  <c r="F1097" i="7" s="1"/>
  <c r="C1097" i="7"/>
  <c r="B1097" i="7"/>
  <c r="A1097" i="7"/>
  <c r="F1096" i="7"/>
  <c r="E1096" i="7"/>
  <c r="D1096" i="7"/>
  <c r="C1096" i="7"/>
  <c r="B1096" i="7"/>
  <c r="A1096" i="7"/>
  <c r="E1095" i="7"/>
  <c r="D1095" i="7"/>
  <c r="F1095" i="7" s="1"/>
  <c r="C1095" i="7"/>
  <c r="B1095" i="7"/>
  <c r="A1095" i="7"/>
  <c r="E1094" i="7"/>
  <c r="D1094" i="7"/>
  <c r="F1094" i="7" s="1"/>
  <c r="C1094" i="7"/>
  <c r="B1094" i="7"/>
  <c r="A1094" i="7"/>
  <c r="E1093" i="7"/>
  <c r="D1093" i="7"/>
  <c r="F1093" i="7" s="1"/>
  <c r="C1093" i="7"/>
  <c r="B1093" i="7"/>
  <c r="A1093" i="7"/>
  <c r="E1092" i="7"/>
  <c r="D1092" i="7"/>
  <c r="F1092" i="7" s="1"/>
  <c r="C1092" i="7"/>
  <c r="B1092" i="7"/>
  <c r="A1092" i="7"/>
  <c r="E1091" i="7"/>
  <c r="D1091" i="7"/>
  <c r="F1091" i="7" s="1"/>
  <c r="C1091" i="7"/>
  <c r="B1091" i="7"/>
  <c r="A1091" i="7"/>
  <c r="F1090" i="7"/>
  <c r="E1090" i="7"/>
  <c r="D1090" i="7"/>
  <c r="C1090" i="7"/>
  <c r="B1090" i="7"/>
  <c r="A1090" i="7"/>
  <c r="E1089" i="7"/>
  <c r="D1089" i="7"/>
  <c r="F1089" i="7" s="1"/>
  <c r="C1089" i="7"/>
  <c r="B1089" i="7"/>
  <c r="A1089" i="7"/>
  <c r="E1088" i="7"/>
  <c r="D1088" i="7"/>
  <c r="F1088" i="7" s="1"/>
  <c r="C1088" i="7"/>
  <c r="B1088" i="7"/>
  <c r="A1088" i="7"/>
  <c r="E1087" i="7"/>
  <c r="D1087" i="7"/>
  <c r="F1087" i="7" s="1"/>
  <c r="C1087" i="7"/>
  <c r="B1087" i="7"/>
  <c r="A1087" i="7"/>
  <c r="E1086" i="7"/>
  <c r="D1086" i="7"/>
  <c r="F1086" i="7" s="1"/>
  <c r="C1086" i="7"/>
  <c r="B1086" i="7"/>
  <c r="A1086" i="7"/>
  <c r="E1085" i="7"/>
  <c r="D1085" i="7"/>
  <c r="F1085" i="7" s="1"/>
  <c r="C1085" i="7"/>
  <c r="B1085" i="7"/>
  <c r="A1085" i="7"/>
  <c r="E1084" i="7"/>
  <c r="D1084" i="7"/>
  <c r="F1084" i="7" s="1"/>
  <c r="C1084" i="7"/>
  <c r="B1084" i="7"/>
  <c r="A1084" i="7"/>
  <c r="F1083" i="7"/>
  <c r="E1083" i="7"/>
  <c r="D1083" i="7"/>
  <c r="C1083" i="7"/>
  <c r="B1083" i="7"/>
  <c r="A1083" i="7"/>
  <c r="E1082" i="7"/>
  <c r="D1082" i="7"/>
  <c r="F1082" i="7" s="1"/>
  <c r="C1082" i="7"/>
  <c r="B1082" i="7"/>
  <c r="A1082" i="7"/>
  <c r="E1081" i="7"/>
  <c r="D1081" i="7"/>
  <c r="F1081" i="7" s="1"/>
  <c r="C1081" i="7"/>
  <c r="B1081" i="7"/>
  <c r="A1081" i="7"/>
  <c r="F1080" i="7"/>
  <c r="E1080" i="7"/>
  <c r="D1080" i="7"/>
  <c r="C1080" i="7"/>
  <c r="B1080" i="7"/>
  <c r="A1080" i="7"/>
  <c r="E1079" i="7"/>
  <c r="D1079" i="7"/>
  <c r="F1079" i="7" s="1"/>
  <c r="C1079" i="7"/>
  <c r="B1079" i="7"/>
  <c r="A1079" i="7"/>
  <c r="E1078" i="7"/>
  <c r="D1078" i="7"/>
  <c r="F1078" i="7" s="1"/>
  <c r="C1078" i="7"/>
  <c r="B1078" i="7"/>
  <c r="A1078" i="7"/>
  <c r="E1077" i="7"/>
  <c r="D1077" i="7"/>
  <c r="F1077" i="7" s="1"/>
  <c r="C1077" i="7"/>
  <c r="B1077" i="7"/>
  <c r="A1077" i="7"/>
  <c r="E1076" i="7"/>
  <c r="D1076" i="7"/>
  <c r="F1076" i="7" s="1"/>
  <c r="C1076" i="7"/>
  <c r="B1076" i="7"/>
  <c r="A1076" i="7"/>
  <c r="F1075" i="7"/>
  <c r="E1075" i="7"/>
  <c r="D1075" i="7"/>
  <c r="C1075" i="7"/>
  <c r="B1075" i="7"/>
  <c r="A1075" i="7"/>
  <c r="E1074" i="7"/>
  <c r="D1074" i="7"/>
  <c r="F1074" i="7" s="1"/>
  <c r="C1074" i="7"/>
  <c r="B1074" i="7"/>
  <c r="A1074" i="7"/>
  <c r="E1073" i="7"/>
  <c r="D1073" i="7"/>
  <c r="F1073" i="7" s="1"/>
  <c r="C1073" i="7"/>
  <c r="B1073" i="7"/>
  <c r="A1073" i="7"/>
  <c r="F1072" i="7"/>
  <c r="E1072" i="7"/>
  <c r="D1072" i="7"/>
  <c r="C1072" i="7"/>
  <c r="B1072" i="7"/>
  <c r="A1072" i="7"/>
  <c r="E1071" i="7"/>
  <c r="D1071" i="7"/>
  <c r="F1071" i="7" s="1"/>
  <c r="C1071" i="7"/>
  <c r="B1071" i="7"/>
  <c r="A1071" i="7"/>
  <c r="E1070" i="7"/>
  <c r="D1070" i="7"/>
  <c r="F1070" i="7" s="1"/>
  <c r="C1070" i="7"/>
  <c r="B1070" i="7"/>
  <c r="A1070" i="7"/>
  <c r="E1069" i="7"/>
  <c r="D1069" i="7"/>
  <c r="F1069" i="7" s="1"/>
  <c r="C1069" i="7"/>
  <c r="B1069" i="7"/>
  <c r="A1069" i="7"/>
  <c r="E1068" i="7"/>
  <c r="D1068" i="7"/>
  <c r="F1068" i="7" s="1"/>
  <c r="C1068" i="7"/>
  <c r="B1068" i="7"/>
  <c r="A1068" i="7"/>
  <c r="E1067" i="7"/>
  <c r="D1067" i="7"/>
  <c r="F1067" i="7" s="1"/>
  <c r="C1067" i="7"/>
  <c r="B1067" i="7"/>
  <c r="A1067" i="7"/>
  <c r="E1066" i="7"/>
  <c r="D1066" i="7"/>
  <c r="F1066" i="7" s="1"/>
  <c r="C1066" i="7"/>
  <c r="B1066" i="7"/>
  <c r="A1066" i="7"/>
  <c r="E1065" i="7"/>
  <c r="D1065" i="7"/>
  <c r="F1065" i="7" s="1"/>
  <c r="C1065" i="7"/>
  <c r="B1065" i="7"/>
  <c r="A1065" i="7"/>
  <c r="E1064" i="7"/>
  <c r="D1064" i="7"/>
  <c r="F1064" i="7" s="1"/>
  <c r="C1064" i="7"/>
  <c r="B1064" i="7"/>
  <c r="A1064" i="7"/>
  <c r="E1063" i="7"/>
  <c r="D1063" i="7"/>
  <c r="F1063" i="7" s="1"/>
  <c r="C1063" i="7"/>
  <c r="B1063" i="7"/>
  <c r="A1063" i="7"/>
  <c r="E1062" i="7"/>
  <c r="D1062" i="7"/>
  <c r="F1062" i="7" s="1"/>
  <c r="C1062" i="7"/>
  <c r="B1062" i="7"/>
  <c r="A1062" i="7"/>
  <c r="E1061" i="7"/>
  <c r="D1061" i="7"/>
  <c r="F1061" i="7" s="1"/>
  <c r="C1061" i="7"/>
  <c r="B1061" i="7"/>
  <c r="A1061" i="7"/>
  <c r="E1060" i="7"/>
  <c r="D1060" i="7"/>
  <c r="F1060" i="7" s="1"/>
  <c r="C1060" i="7"/>
  <c r="B1060" i="7"/>
  <c r="A1060" i="7"/>
  <c r="E1059" i="7"/>
  <c r="D1059" i="7"/>
  <c r="F1059" i="7" s="1"/>
  <c r="C1059" i="7"/>
  <c r="B1059" i="7"/>
  <c r="A1059" i="7"/>
  <c r="E1058" i="7"/>
  <c r="D1058" i="7"/>
  <c r="F1058" i="7" s="1"/>
  <c r="C1058" i="7"/>
  <c r="B1058" i="7"/>
  <c r="A1058" i="7"/>
  <c r="E1057" i="7"/>
  <c r="D1057" i="7"/>
  <c r="F1057" i="7" s="1"/>
  <c r="C1057" i="7"/>
  <c r="B1057" i="7"/>
  <c r="A1057" i="7"/>
  <c r="E1056" i="7"/>
  <c r="D1056" i="7"/>
  <c r="F1056" i="7" s="1"/>
  <c r="C1056" i="7"/>
  <c r="B1056" i="7"/>
  <c r="A1056" i="7"/>
  <c r="E1055" i="7"/>
  <c r="D1055" i="7"/>
  <c r="F1055" i="7" s="1"/>
  <c r="C1055" i="7"/>
  <c r="B1055" i="7"/>
  <c r="A1055" i="7"/>
  <c r="F1054" i="7"/>
  <c r="E1054" i="7"/>
  <c r="D1054" i="7"/>
  <c r="C1054" i="7"/>
  <c r="B1054" i="7"/>
  <c r="A1054" i="7"/>
  <c r="E1053" i="7"/>
  <c r="D1053" i="7"/>
  <c r="F1053" i="7" s="1"/>
  <c r="C1053" i="7"/>
  <c r="B1053" i="7"/>
  <c r="A1053" i="7"/>
  <c r="F1052" i="7"/>
  <c r="E1052" i="7"/>
  <c r="D1052" i="7"/>
  <c r="C1052" i="7"/>
  <c r="B1052" i="7"/>
  <c r="A1052" i="7"/>
  <c r="E1051" i="7"/>
  <c r="D1051" i="7"/>
  <c r="F1051" i="7" s="1"/>
  <c r="C1051" i="7"/>
  <c r="B1051" i="7"/>
  <c r="A1051" i="7"/>
  <c r="E1050" i="7"/>
  <c r="D1050" i="7"/>
  <c r="F1050" i="7" s="1"/>
  <c r="C1050" i="7"/>
  <c r="B1050" i="7"/>
  <c r="A1050" i="7"/>
  <c r="E1049" i="7"/>
  <c r="D1049" i="7"/>
  <c r="F1049" i="7" s="1"/>
  <c r="C1049" i="7"/>
  <c r="B1049" i="7"/>
  <c r="A1049" i="7"/>
  <c r="E1048" i="7"/>
  <c r="D1048" i="7"/>
  <c r="F1048" i="7" s="1"/>
  <c r="C1048" i="7"/>
  <c r="B1048" i="7"/>
  <c r="A1048" i="7"/>
  <c r="E1047" i="7"/>
  <c r="D1047" i="7"/>
  <c r="F1047" i="7" s="1"/>
  <c r="C1047" i="7"/>
  <c r="B1047" i="7"/>
  <c r="A1047" i="7"/>
  <c r="E1046" i="7"/>
  <c r="D1046" i="7"/>
  <c r="F1046" i="7" s="1"/>
  <c r="C1046" i="7"/>
  <c r="B1046" i="7"/>
  <c r="A1046" i="7"/>
  <c r="E1045" i="7"/>
  <c r="D1045" i="7"/>
  <c r="F1045" i="7" s="1"/>
  <c r="C1045" i="7"/>
  <c r="B1045" i="7"/>
  <c r="A1045" i="7"/>
  <c r="E1044" i="7"/>
  <c r="D1044" i="7"/>
  <c r="F1044" i="7" s="1"/>
  <c r="C1044" i="7"/>
  <c r="B1044" i="7"/>
  <c r="A1044" i="7"/>
  <c r="E1043" i="7"/>
  <c r="D1043" i="7"/>
  <c r="F1043" i="7" s="1"/>
  <c r="C1043" i="7"/>
  <c r="B1043" i="7"/>
  <c r="A1043" i="7"/>
  <c r="E1042" i="7"/>
  <c r="D1042" i="7"/>
  <c r="F1042" i="7" s="1"/>
  <c r="C1042" i="7"/>
  <c r="B1042" i="7"/>
  <c r="A1042" i="7"/>
  <c r="E1041" i="7"/>
  <c r="D1041" i="7"/>
  <c r="F1041" i="7" s="1"/>
  <c r="C1041" i="7"/>
  <c r="B1041" i="7"/>
  <c r="A1041" i="7"/>
  <c r="E1040" i="7"/>
  <c r="D1040" i="7"/>
  <c r="F1040" i="7" s="1"/>
  <c r="C1040" i="7"/>
  <c r="B1040" i="7"/>
  <c r="A1040" i="7"/>
  <c r="E1039" i="7"/>
  <c r="D1039" i="7"/>
  <c r="F1039" i="7" s="1"/>
  <c r="C1039" i="7"/>
  <c r="B1039" i="7"/>
  <c r="A1039" i="7"/>
  <c r="F1038" i="7"/>
  <c r="E1038" i="7"/>
  <c r="D1038" i="7"/>
  <c r="C1038" i="7"/>
  <c r="B1038" i="7"/>
  <c r="A1038" i="7"/>
  <c r="E1037" i="7"/>
  <c r="D1037" i="7"/>
  <c r="F1037" i="7" s="1"/>
  <c r="C1037" i="7"/>
  <c r="B1037" i="7"/>
  <c r="A1037" i="7"/>
  <c r="E1036" i="7"/>
  <c r="D1036" i="7"/>
  <c r="F1036" i="7" s="1"/>
  <c r="C1036" i="7"/>
  <c r="B1036" i="7"/>
  <c r="A1036" i="7"/>
  <c r="F1035" i="7"/>
  <c r="E1035" i="7"/>
  <c r="D1035" i="7"/>
  <c r="C1035" i="7"/>
  <c r="B1035" i="7"/>
  <c r="A1035" i="7"/>
  <c r="E1034" i="7"/>
  <c r="D1034" i="7"/>
  <c r="F1034" i="7" s="1"/>
  <c r="C1034" i="7"/>
  <c r="B1034" i="7"/>
  <c r="A1034" i="7"/>
  <c r="F1033" i="7"/>
  <c r="E1033" i="7"/>
  <c r="D1033" i="7"/>
  <c r="C1033" i="7"/>
  <c r="B1033" i="7"/>
  <c r="A1033" i="7"/>
  <c r="E1032" i="7"/>
  <c r="D1032" i="7"/>
  <c r="F1032" i="7" s="1"/>
  <c r="C1032" i="7"/>
  <c r="B1032" i="7"/>
  <c r="A1032" i="7"/>
  <c r="E1031" i="7"/>
  <c r="D1031" i="7"/>
  <c r="F1031" i="7" s="1"/>
  <c r="C1031" i="7"/>
  <c r="B1031" i="7"/>
  <c r="A1031" i="7"/>
  <c r="E1030" i="7"/>
  <c r="D1030" i="7"/>
  <c r="F1030" i="7" s="1"/>
  <c r="C1030" i="7"/>
  <c r="B1030" i="7"/>
  <c r="A1030" i="7"/>
  <c r="F1029" i="7"/>
  <c r="E1029" i="7"/>
  <c r="D1029" i="7"/>
  <c r="C1029" i="7"/>
  <c r="B1029" i="7"/>
  <c r="A1029" i="7"/>
  <c r="E1028" i="7"/>
  <c r="D1028" i="7"/>
  <c r="F1028" i="7" s="1"/>
  <c r="C1028" i="7"/>
  <c r="B1028" i="7"/>
  <c r="A1028" i="7"/>
  <c r="E1027" i="7"/>
  <c r="D1027" i="7"/>
  <c r="F1027" i="7" s="1"/>
  <c r="C1027" i="7"/>
  <c r="B1027" i="7"/>
  <c r="A1027" i="7"/>
  <c r="E1026" i="7"/>
  <c r="D1026" i="7"/>
  <c r="F1026" i="7" s="1"/>
  <c r="C1026" i="7"/>
  <c r="B1026" i="7"/>
  <c r="A1026" i="7"/>
  <c r="F1025" i="7"/>
  <c r="E1025" i="7"/>
  <c r="D1025" i="7"/>
  <c r="C1025" i="7"/>
  <c r="B1025" i="7"/>
  <c r="A1025" i="7"/>
  <c r="E1024" i="7"/>
  <c r="D1024" i="7"/>
  <c r="F1024" i="7" s="1"/>
  <c r="C1024" i="7"/>
  <c r="B1024" i="7"/>
  <c r="A1024" i="7"/>
  <c r="E1023" i="7"/>
  <c r="D1023" i="7"/>
  <c r="F1023" i="7" s="1"/>
  <c r="C1023" i="7"/>
  <c r="B1023" i="7"/>
  <c r="A1023" i="7"/>
  <c r="E1022" i="7"/>
  <c r="D1022" i="7"/>
  <c r="F1022" i="7" s="1"/>
  <c r="C1022" i="7"/>
  <c r="B1022" i="7"/>
  <c r="A1022" i="7"/>
  <c r="E1021" i="7"/>
  <c r="D1021" i="7"/>
  <c r="F1021" i="7" s="1"/>
  <c r="C1021" i="7"/>
  <c r="B1021" i="7"/>
  <c r="A1021" i="7"/>
  <c r="F1020" i="7"/>
  <c r="E1020" i="7"/>
  <c r="D1020" i="7"/>
  <c r="C1020" i="7"/>
  <c r="B1020" i="7"/>
  <c r="A1020" i="7"/>
  <c r="E1019" i="7"/>
  <c r="D1019" i="7"/>
  <c r="F1019" i="7" s="1"/>
  <c r="C1019" i="7"/>
  <c r="B1019" i="7"/>
  <c r="A1019" i="7"/>
  <c r="E1018" i="7"/>
  <c r="D1018" i="7"/>
  <c r="F1018" i="7" s="1"/>
  <c r="C1018" i="7"/>
  <c r="B1018" i="7"/>
  <c r="A1018" i="7"/>
  <c r="F1017" i="7"/>
  <c r="E1017" i="7"/>
  <c r="D1017" i="7"/>
  <c r="C1017" i="7"/>
  <c r="B1017" i="7"/>
  <c r="A1017" i="7"/>
  <c r="E1016" i="7"/>
  <c r="D1016" i="7"/>
  <c r="F1016" i="7" s="1"/>
  <c r="C1016" i="7"/>
  <c r="B1016" i="7"/>
  <c r="A1016" i="7"/>
  <c r="E1015" i="7"/>
  <c r="D1015" i="7"/>
  <c r="F1015" i="7" s="1"/>
  <c r="C1015" i="7"/>
  <c r="B1015" i="7"/>
  <c r="A1015" i="7"/>
  <c r="E1014" i="7"/>
  <c r="D1014" i="7"/>
  <c r="F1014" i="7" s="1"/>
  <c r="C1014" i="7"/>
  <c r="B1014" i="7"/>
  <c r="A1014" i="7"/>
  <c r="F1013" i="7"/>
  <c r="E1013" i="7"/>
  <c r="D1013" i="7"/>
  <c r="C1013" i="7"/>
  <c r="B1013" i="7"/>
  <c r="A1013" i="7"/>
  <c r="E1012" i="7"/>
  <c r="D1012" i="7"/>
  <c r="F1012" i="7" s="1"/>
  <c r="C1012" i="7"/>
  <c r="B1012" i="7"/>
  <c r="A1012" i="7"/>
  <c r="E1011" i="7"/>
  <c r="D1011" i="7"/>
  <c r="F1011" i="7" s="1"/>
  <c r="C1011" i="7"/>
  <c r="B1011" i="7"/>
  <c r="A1011" i="7"/>
  <c r="E1010" i="7"/>
  <c r="D1010" i="7"/>
  <c r="F1010" i="7" s="1"/>
  <c r="C1010" i="7"/>
  <c r="B1010" i="7"/>
  <c r="A1010" i="7"/>
  <c r="E1009" i="7"/>
  <c r="D1009" i="7"/>
  <c r="F1009" i="7" s="1"/>
  <c r="C1009" i="7"/>
  <c r="B1009" i="7"/>
  <c r="A1009" i="7"/>
  <c r="E1008" i="7"/>
  <c r="D1008" i="7"/>
  <c r="F1008" i="7" s="1"/>
  <c r="C1008" i="7"/>
  <c r="B1008" i="7"/>
  <c r="A1008" i="7"/>
  <c r="E1007" i="7"/>
  <c r="D1007" i="7"/>
  <c r="F1007" i="7" s="1"/>
  <c r="C1007" i="7"/>
  <c r="B1007" i="7"/>
  <c r="A1007" i="7"/>
  <c r="E1006" i="7"/>
  <c r="D1006" i="7"/>
  <c r="F1006" i="7" s="1"/>
  <c r="C1006" i="7"/>
  <c r="B1006" i="7"/>
  <c r="A1006" i="7"/>
  <c r="F1005" i="7"/>
  <c r="E1005" i="7"/>
  <c r="D1005" i="7"/>
  <c r="C1005" i="7"/>
  <c r="B1005" i="7"/>
  <c r="A1005" i="7"/>
  <c r="E1004" i="7"/>
  <c r="D1004" i="7"/>
  <c r="F1004" i="7" s="1"/>
  <c r="C1004" i="7"/>
  <c r="B1004" i="7"/>
  <c r="A1004" i="7"/>
  <c r="E1003" i="7"/>
  <c r="D1003" i="7"/>
  <c r="F1003" i="7" s="1"/>
  <c r="C1003" i="7"/>
  <c r="B1003" i="7"/>
  <c r="A1003" i="7"/>
  <c r="E1002" i="7"/>
  <c r="D1002" i="7"/>
  <c r="F1002" i="7" s="1"/>
  <c r="C1002" i="7"/>
  <c r="B1002" i="7"/>
  <c r="A1002" i="7"/>
  <c r="E1001" i="7"/>
  <c r="D1001" i="7"/>
  <c r="F1001" i="7" s="1"/>
  <c r="C1001" i="7"/>
  <c r="B1001" i="7"/>
  <c r="A1001" i="7"/>
  <c r="E1000" i="7"/>
  <c r="D1000" i="7"/>
  <c r="F1000" i="7" s="1"/>
  <c r="C1000" i="7"/>
  <c r="B1000" i="7"/>
  <c r="A1000" i="7"/>
  <c r="F999" i="7"/>
  <c r="E999" i="7"/>
  <c r="D999" i="7"/>
  <c r="C999" i="7"/>
  <c r="B999" i="7"/>
  <c r="A999" i="7"/>
  <c r="E998" i="7"/>
  <c r="D998" i="7"/>
  <c r="F998" i="7" s="1"/>
  <c r="C998" i="7"/>
  <c r="B998" i="7"/>
  <c r="A998" i="7"/>
  <c r="E997" i="7"/>
  <c r="D997" i="7"/>
  <c r="F997" i="7" s="1"/>
  <c r="C997" i="7"/>
  <c r="B997" i="7"/>
  <c r="A997" i="7"/>
  <c r="E996" i="7"/>
  <c r="D996" i="7"/>
  <c r="F996" i="7" s="1"/>
  <c r="C996" i="7"/>
  <c r="B996" i="7"/>
  <c r="A996" i="7"/>
  <c r="F995" i="7"/>
  <c r="E995" i="7"/>
  <c r="D995" i="7"/>
  <c r="C995" i="7"/>
  <c r="B995" i="7"/>
  <c r="A995" i="7"/>
  <c r="E994" i="7"/>
  <c r="D994" i="7"/>
  <c r="F994" i="7" s="1"/>
  <c r="C994" i="7"/>
  <c r="B994" i="7"/>
  <c r="A994" i="7"/>
  <c r="E993" i="7"/>
  <c r="D993" i="7"/>
  <c r="F993" i="7" s="1"/>
  <c r="C993" i="7"/>
  <c r="B993" i="7"/>
  <c r="A993" i="7"/>
  <c r="F992" i="7"/>
  <c r="E992" i="7"/>
  <c r="D992" i="7"/>
  <c r="C992" i="7"/>
  <c r="B992" i="7"/>
  <c r="A992" i="7"/>
  <c r="E991" i="7"/>
  <c r="D991" i="7"/>
  <c r="F991" i="7" s="1"/>
  <c r="C991" i="7"/>
  <c r="B991" i="7"/>
  <c r="A991" i="7"/>
  <c r="E990" i="7"/>
  <c r="D990" i="7"/>
  <c r="F990" i="7" s="1"/>
  <c r="C990" i="7"/>
  <c r="B990" i="7"/>
  <c r="A990" i="7"/>
  <c r="F989" i="7"/>
  <c r="E989" i="7"/>
  <c r="D989" i="7"/>
  <c r="C989" i="7"/>
  <c r="B989" i="7"/>
  <c r="A989" i="7"/>
  <c r="E988" i="7"/>
  <c r="D988" i="7"/>
  <c r="F988" i="7" s="1"/>
  <c r="C988" i="7"/>
  <c r="B988" i="7"/>
  <c r="A988" i="7"/>
  <c r="E987" i="7"/>
  <c r="D987" i="7"/>
  <c r="F987" i="7" s="1"/>
  <c r="C987" i="7"/>
  <c r="B987" i="7"/>
  <c r="A987" i="7"/>
  <c r="E986" i="7"/>
  <c r="D986" i="7"/>
  <c r="F986" i="7" s="1"/>
  <c r="C986" i="7"/>
  <c r="B986" i="7"/>
  <c r="A986" i="7"/>
  <c r="E985" i="7"/>
  <c r="D985" i="7"/>
  <c r="F985" i="7" s="1"/>
  <c r="C985" i="7"/>
  <c r="B985" i="7"/>
  <c r="A985" i="7"/>
  <c r="E984" i="7"/>
  <c r="D984" i="7"/>
  <c r="F984" i="7" s="1"/>
  <c r="C984" i="7"/>
  <c r="B984" i="7"/>
  <c r="A984" i="7"/>
  <c r="E983" i="7"/>
  <c r="D983" i="7"/>
  <c r="F983" i="7" s="1"/>
  <c r="C983" i="7"/>
  <c r="B983" i="7"/>
  <c r="A983" i="7"/>
  <c r="E982" i="7"/>
  <c r="D982" i="7"/>
  <c r="F982" i="7" s="1"/>
  <c r="C982" i="7"/>
  <c r="B982" i="7"/>
  <c r="A982" i="7"/>
  <c r="F981" i="7"/>
  <c r="E981" i="7"/>
  <c r="D981" i="7"/>
  <c r="C981" i="7"/>
  <c r="B981" i="7"/>
  <c r="A981" i="7"/>
  <c r="E980" i="7"/>
  <c r="D980" i="7"/>
  <c r="F980" i="7" s="1"/>
  <c r="C980" i="7"/>
  <c r="B980" i="7"/>
  <c r="A980" i="7"/>
  <c r="E979" i="7"/>
  <c r="D979" i="7"/>
  <c r="F979" i="7" s="1"/>
  <c r="C979" i="7"/>
  <c r="B979" i="7"/>
  <c r="A979" i="7"/>
  <c r="E978" i="7"/>
  <c r="D978" i="7"/>
  <c r="F978" i="7" s="1"/>
  <c r="C978" i="7"/>
  <c r="B978" i="7"/>
  <c r="A978" i="7"/>
  <c r="F977" i="7"/>
  <c r="E977" i="7"/>
  <c r="D977" i="7"/>
  <c r="C977" i="7"/>
  <c r="B977" i="7"/>
  <c r="A977" i="7"/>
  <c r="E976" i="7"/>
  <c r="D976" i="7"/>
  <c r="F976" i="7" s="1"/>
  <c r="C976" i="7"/>
  <c r="B976" i="7"/>
  <c r="A976" i="7"/>
  <c r="E975" i="7"/>
  <c r="D975" i="7"/>
  <c r="F975" i="7" s="1"/>
  <c r="C975" i="7"/>
  <c r="B975" i="7"/>
  <c r="A975" i="7"/>
  <c r="E974" i="7"/>
  <c r="D974" i="7"/>
  <c r="F974" i="7" s="1"/>
  <c r="C974" i="7"/>
  <c r="B974" i="7"/>
  <c r="A974" i="7"/>
  <c r="F973" i="7"/>
  <c r="E973" i="7"/>
  <c r="D973" i="7"/>
  <c r="C973" i="7"/>
  <c r="B973" i="7"/>
  <c r="A973" i="7"/>
  <c r="E972" i="7"/>
  <c r="D972" i="7"/>
  <c r="F972" i="7" s="1"/>
  <c r="C972" i="7"/>
  <c r="B972" i="7"/>
  <c r="A972" i="7"/>
  <c r="F971" i="7"/>
  <c r="E971" i="7"/>
  <c r="D971" i="7"/>
  <c r="C971" i="7"/>
  <c r="B971" i="7"/>
  <c r="A971" i="7"/>
  <c r="E970" i="7"/>
  <c r="D970" i="7"/>
  <c r="F970" i="7" s="1"/>
  <c r="C970" i="7"/>
  <c r="B970" i="7"/>
  <c r="A970" i="7"/>
  <c r="F969" i="7"/>
  <c r="E969" i="7"/>
  <c r="D969" i="7"/>
  <c r="C969" i="7"/>
  <c r="B969" i="7"/>
  <c r="A969" i="7"/>
  <c r="E968" i="7"/>
  <c r="D968" i="7"/>
  <c r="F968" i="7" s="1"/>
  <c r="C968" i="7"/>
  <c r="B968" i="7"/>
  <c r="A968" i="7"/>
  <c r="E967" i="7"/>
  <c r="D967" i="7"/>
  <c r="F967" i="7" s="1"/>
  <c r="C967" i="7"/>
  <c r="B967" i="7"/>
  <c r="A967" i="7"/>
  <c r="E966" i="7"/>
  <c r="D966" i="7"/>
  <c r="F966" i="7" s="1"/>
  <c r="C966" i="7"/>
  <c r="B966" i="7"/>
  <c r="A966" i="7"/>
  <c r="E965" i="7"/>
  <c r="D965" i="7"/>
  <c r="F965" i="7" s="1"/>
  <c r="C965" i="7"/>
  <c r="B965" i="7"/>
  <c r="A965" i="7"/>
  <c r="F964" i="7"/>
  <c r="E964" i="7"/>
  <c r="D964" i="7"/>
  <c r="C964" i="7"/>
  <c r="B964" i="7"/>
  <c r="A964" i="7"/>
  <c r="F963" i="7"/>
  <c r="E963" i="7"/>
  <c r="D963" i="7"/>
  <c r="C963" i="7"/>
  <c r="B963" i="7"/>
  <c r="A963" i="7"/>
  <c r="E962" i="7"/>
  <c r="D962" i="7"/>
  <c r="F962" i="7" s="1"/>
  <c r="C962" i="7"/>
  <c r="B962" i="7"/>
  <c r="A962" i="7"/>
  <c r="F961" i="7"/>
  <c r="E961" i="7"/>
  <c r="D961" i="7"/>
  <c r="C961" i="7"/>
  <c r="B961" i="7"/>
  <c r="A961" i="7"/>
  <c r="E960" i="7"/>
  <c r="D960" i="7"/>
  <c r="F960" i="7" s="1"/>
  <c r="C960" i="7"/>
  <c r="B960" i="7"/>
  <c r="A960" i="7"/>
  <c r="E959" i="7"/>
  <c r="D959" i="7"/>
  <c r="F959" i="7" s="1"/>
  <c r="C959" i="7"/>
  <c r="B959" i="7"/>
  <c r="A959" i="7"/>
  <c r="E958" i="7"/>
  <c r="D958" i="7"/>
  <c r="F958" i="7" s="1"/>
  <c r="C958" i="7"/>
  <c r="B958" i="7"/>
  <c r="A958" i="7"/>
  <c r="E957" i="7"/>
  <c r="D957" i="7"/>
  <c r="F957" i="7" s="1"/>
  <c r="C957" i="7"/>
  <c r="B957" i="7"/>
  <c r="A957" i="7"/>
  <c r="F956" i="7"/>
  <c r="E956" i="7"/>
  <c r="D956" i="7"/>
  <c r="C956" i="7"/>
  <c r="B956" i="7"/>
  <c r="A956" i="7"/>
  <c r="E955" i="7"/>
  <c r="D955" i="7"/>
  <c r="F955" i="7" s="1"/>
  <c r="C955" i="7"/>
  <c r="B955" i="7"/>
  <c r="A955" i="7"/>
  <c r="E954" i="7"/>
  <c r="D954" i="7"/>
  <c r="F954" i="7" s="1"/>
  <c r="C954" i="7"/>
  <c r="B954" i="7"/>
  <c r="A954" i="7"/>
  <c r="F953" i="7"/>
  <c r="E953" i="7"/>
  <c r="D953" i="7"/>
  <c r="C953" i="7"/>
  <c r="B953" i="7"/>
  <c r="A953" i="7"/>
  <c r="E952" i="7"/>
  <c r="D952" i="7"/>
  <c r="F952" i="7" s="1"/>
  <c r="C952" i="7"/>
  <c r="B952" i="7"/>
  <c r="A952" i="7"/>
  <c r="E951" i="7"/>
  <c r="D951" i="7"/>
  <c r="F951" i="7" s="1"/>
  <c r="C951" i="7"/>
  <c r="B951" i="7"/>
  <c r="A951" i="7"/>
  <c r="E950" i="7"/>
  <c r="D950" i="7"/>
  <c r="F950" i="7" s="1"/>
  <c r="C950" i="7"/>
  <c r="B950" i="7"/>
  <c r="A950" i="7"/>
  <c r="E949" i="7"/>
  <c r="D949" i="7"/>
  <c r="F949" i="7" s="1"/>
  <c r="C949" i="7"/>
  <c r="B949" i="7"/>
  <c r="A949" i="7"/>
  <c r="E948" i="7"/>
  <c r="D948" i="7"/>
  <c r="F948" i="7" s="1"/>
  <c r="C948" i="7"/>
  <c r="B948" i="7"/>
  <c r="A948" i="7"/>
  <c r="E947" i="7"/>
  <c r="D947" i="7"/>
  <c r="F947" i="7" s="1"/>
  <c r="C947" i="7"/>
  <c r="B947" i="7"/>
  <c r="A947" i="7"/>
  <c r="E946" i="7"/>
  <c r="D946" i="7"/>
  <c r="F946" i="7" s="1"/>
  <c r="C946" i="7"/>
  <c r="B946" i="7"/>
  <c r="A946" i="7"/>
  <c r="E945" i="7"/>
  <c r="D945" i="7"/>
  <c r="F945" i="7" s="1"/>
  <c r="C945" i="7"/>
  <c r="B945" i="7"/>
  <c r="A945" i="7"/>
  <c r="E944" i="7"/>
  <c r="D944" i="7"/>
  <c r="F944" i="7" s="1"/>
  <c r="C944" i="7"/>
  <c r="B944" i="7"/>
  <c r="A944" i="7"/>
  <c r="E943" i="7"/>
  <c r="D943" i="7"/>
  <c r="F943" i="7" s="1"/>
  <c r="C943" i="7"/>
  <c r="B943" i="7"/>
  <c r="A943" i="7"/>
  <c r="E942" i="7"/>
  <c r="D942" i="7"/>
  <c r="F942" i="7" s="1"/>
  <c r="C942" i="7"/>
  <c r="B942" i="7"/>
  <c r="A942" i="7"/>
  <c r="F941" i="7"/>
  <c r="E941" i="7"/>
  <c r="D941" i="7"/>
  <c r="C941" i="7"/>
  <c r="B941" i="7"/>
  <c r="A941" i="7"/>
  <c r="E940" i="7"/>
  <c r="D940" i="7"/>
  <c r="F940" i="7" s="1"/>
  <c r="C940" i="7"/>
  <c r="B940" i="7"/>
  <c r="A940" i="7"/>
  <c r="E939" i="7"/>
  <c r="D939" i="7"/>
  <c r="F939" i="7" s="1"/>
  <c r="C939" i="7"/>
  <c r="B939" i="7"/>
  <c r="A939" i="7"/>
  <c r="E938" i="7"/>
  <c r="D938" i="7"/>
  <c r="F938" i="7" s="1"/>
  <c r="C938" i="7"/>
  <c r="B938" i="7"/>
  <c r="A938" i="7"/>
  <c r="E937" i="7"/>
  <c r="D937" i="7"/>
  <c r="F937" i="7" s="1"/>
  <c r="C937" i="7"/>
  <c r="B937" i="7"/>
  <c r="A937" i="7"/>
  <c r="E936" i="7"/>
  <c r="D936" i="7"/>
  <c r="F936" i="7" s="1"/>
  <c r="C936" i="7"/>
  <c r="B936" i="7"/>
  <c r="A936" i="7"/>
  <c r="F935" i="7"/>
  <c r="E935" i="7"/>
  <c r="D935" i="7"/>
  <c r="C935" i="7"/>
  <c r="B935" i="7"/>
  <c r="A935" i="7"/>
  <c r="E934" i="7"/>
  <c r="D934" i="7"/>
  <c r="F934" i="7" s="1"/>
  <c r="C934" i="7"/>
  <c r="B934" i="7"/>
  <c r="A934" i="7"/>
  <c r="F933" i="7"/>
  <c r="E933" i="7"/>
  <c r="D933" i="7"/>
  <c r="C933" i="7"/>
  <c r="B933" i="7"/>
  <c r="A933" i="7"/>
  <c r="F932" i="7"/>
  <c r="E932" i="7"/>
  <c r="D932" i="7"/>
  <c r="C932" i="7"/>
  <c r="B932" i="7"/>
  <c r="A932" i="7"/>
  <c r="F931" i="7"/>
  <c r="E931" i="7"/>
  <c r="D931" i="7"/>
  <c r="C931" i="7"/>
  <c r="B931" i="7"/>
  <c r="A931" i="7"/>
  <c r="E930" i="7"/>
  <c r="D930" i="7"/>
  <c r="F930" i="7" s="1"/>
  <c r="C930" i="7"/>
  <c r="B930" i="7"/>
  <c r="A930" i="7"/>
  <c r="E929" i="7"/>
  <c r="D929" i="7"/>
  <c r="F929" i="7" s="1"/>
  <c r="C929" i="7"/>
  <c r="B929" i="7"/>
  <c r="A929" i="7"/>
  <c r="F928" i="7"/>
  <c r="E928" i="7"/>
  <c r="D928" i="7"/>
  <c r="C928" i="7"/>
  <c r="B928" i="7"/>
  <c r="A928" i="7"/>
  <c r="E927" i="7"/>
  <c r="D927" i="7"/>
  <c r="F927" i="7" s="1"/>
  <c r="C927" i="7"/>
  <c r="B927" i="7"/>
  <c r="A927" i="7"/>
  <c r="E926" i="7"/>
  <c r="D926" i="7"/>
  <c r="F926" i="7" s="1"/>
  <c r="C926" i="7"/>
  <c r="B926" i="7"/>
  <c r="A926" i="7"/>
  <c r="F925" i="7"/>
  <c r="E925" i="7"/>
  <c r="D925" i="7"/>
  <c r="C925" i="7"/>
  <c r="B925" i="7"/>
  <c r="A925" i="7"/>
  <c r="E924" i="7"/>
  <c r="D924" i="7"/>
  <c r="F924" i="7" s="1"/>
  <c r="C924" i="7"/>
  <c r="B924" i="7"/>
  <c r="A924" i="7"/>
  <c r="E923" i="7"/>
  <c r="D923" i="7"/>
  <c r="F923" i="7" s="1"/>
  <c r="C923" i="7"/>
  <c r="B923" i="7"/>
  <c r="A923" i="7"/>
  <c r="E922" i="7"/>
  <c r="D922" i="7"/>
  <c r="F922" i="7" s="1"/>
  <c r="C922" i="7"/>
  <c r="B922" i="7"/>
  <c r="A922" i="7"/>
  <c r="E921" i="7"/>
  <c r="D921" i="7"/>
  <c r="F921" i="7" s="1"/>
  <c r="C921" i="7"/>
  <c r="B921" i="7"/>
  <c r="A921" i="7"/>
  <c r="E920" i="7"/>
  <c r="D920" i="7"/>
  <c r="F920" i="7" s="1"/>
  <c r="C920" i="7"/>
  <c r="B920" i="7"/>
  <c r="A920" i="7"/>
  <c r="E919" i="7"/>
  <c r="D919" i="7"/>
  <c r="F919" i="7" s="1"/>
  <c r="C919" i="7"/>
  <c r="B919" i="7"/>
  <c r="A919" i="7"/>
  <c r="E918" i="7"/>
  <c r="D918" i="7"/>
  <c r="F918" i="7" s="1"/>
  <c r="C918" i="7"/>
  <c r="B918" i="7"/>
  <c r="A918" i="7"/>
  <c r="F917" i="7"/>
  <c r="E917" i="7"/>
  <c r="D917" i="7"/>
  <c r="C917" i="7"/>
  <c r="B917" i="7"/>
  <c r="A917" i="7"/>
  <c r="E916" i="7"/>
  <c r="D916" i="7"/>
  <c r="F916" i="7" s="1"/>
  <c r="C916" i="7"/>
  <c r="B916" i="7"/>
  <c r="A916" i="7"/>
  <c r="E915" i="7"/>
  <c r="D915" i="7"/>
  <c r="F915" i="7" s="1"/>
  <c r="C915" i="7"/>
  <c r="B915" i="7"/>
  <c r="A915" i="7"/>
  <c r="E914" i="7"/>
  <c r="D914" i="7"/>
  <c r="F914" i="7" s="1"/>
  <c r="C914" i="7"/>
  <c r="B914" i="7"/>
  <c r="A914" i="7"/>
  <c r="F913" i="7"/>
  <c r="E913" i="7"/>
  <c r="D913" i="7"/>
  <c r="C913" i="7"/>
  <c r="B913" i="7"/>
  <c r="A913" i="7"/>
  <c r="E912" i="7"/>
  <c r="D912" i="7"/>
  <c r="F912" i="7" s="1"/>
  <c r="C912" i="7"/>
  <c r="B912" i="7"/>
  <c r="A912" i="7"/>
  <c r="E911" i="7"/>
  <c r="D911" i="7"/>
  <c r="F911" i="7" s="1"/>
  <c r="C911" i="7"/>
  <c r="B911" i="7"/>
  <c r="A911" i="7"/>
  <c r="E910" i="7"/>
  <c r="D910" i="7"/>
  <c r="F910" i="7" s="1"/>
  <c r="C910" i="7"/>
  <c r="B910" i="7"/>
  <c r="A910" i="7"/>
  <c r="E909" i="7"/>
  <c r="D909" i="7"/>
  <c r="F909" i="7" s="1"/>
  <c r="C909" i="7"/>
  <c r="B909" i="7"/>
  <c r="A909" i="7"/>
  <c r="E908" i="7"/>
  <c r="D908" i="7"/>
  <c r="F908" i="7" s="1"/>
  <c r="C908" i="7"/>
  <c r="B908" i="7"/>
  <c r="A908" i="7"/>
  <c r="F907" i="7"/>
  <c r="E907" i="7"/>
  <c r="D907" i="7"/>
  <c r="C907" i="7"/>
  <c r="B907" i="7"/>
  <c r="A907" i="7"/>
  <c r="E906" i="7"/>
  <c r="D906" i="7"/>
  <c r="F906" i="7" s="1"/>
  <c r="C906" i="7"/>
  <c r="B906" i="7"/>
  <c r="A906" i="7"/>
  <c r="F905" i="7"/>
  <c r="E905" i="7"/>
  <c r="D905" i="7"/>
  <c r="C905" i="7"/>
  <c r="B905" i="7"/>
  <c r="A905" i="7"/>
  <c r="E904" i="7"/>
  <c r="D904" i="7"/>
  <c r="F904" i="7" s="1"/>
  <c r="C904" i="7"/>
  <c r="B904" i="7"/>
  <c r="A904" i="7"/>
  <c r="E903" i="7"/>
  <c r="D903" i="7"/>
  <c r="F903" i="7" s="1"/>
  <c r="C903" i="7"/>
  <c r="B903" i="7"/>
  <c r="A903" i="7"/>
  <c r="E902" i="7"/>
  <c r="D902" i="7"/>
  <c r="F902" i="7" s="1"/>
  <c r="C902" i="7"/>
  <c r="B902" i="7"/>
  <c r="A902" i="7"/>
  <c r="E901" i="7"/>
  <c r="D901" i="7"/>
  <c r="F901" i="7" s="1"/>
  <c r="C901" i="7"/>
  <c r="B901" i="7"/>
  <c r="A901" i="7"/>
  <c r="F900" i="7"/>
  <c r="E900" i="7"/>
  <c r="D900" i="7"/>
  <c r="C900" i="7"/>
  <c r="B900" i="7"/>
  <c r="A900" i="7"/>
  <c r="E899" i="7"/>
  <c r="D899" i="7"/>
  <c r="F899" i="7" s="1"/>
  <c r="C899" i="7"/>
  <c r="B899" i="7"/>
  <c r="A899" i="7"/>
  <c r="E898" i="7"/>
  <c r="D898" i="7"/>
  <c r="F898" i="7" s="1"/>
  <c r="C898" i="7"/>
  <c r="B898" i="7"/>
  <c r="A898" i="7"/>
  <c r="F897" i="7"/>
  <c r="E897" i="7"/>
  <c r="D897" i="7"/>
  <c r="C897" i="7"/>
  <c r="B897" i="7"/>
  <c r="A897" i="7"/>
  <c r="E896" i="7"/>
  <c r="D896" i="7"/>
  <c r="F896" i="7" s="1"/>
  <c r="C896" i="7"/>
  <c r="B896" i="7"/>
  <c r="A896" i="7"/>
  <c r="E895" i="7"/>
  <c r="D895" i="7"/>
  <c r="F895" i="7" s="1"/>
  <c r="C895" i="7"/>
  <c r="B895" i="7"/>
  <c r="A895" i="7"/>
  <c r="E894" i="7"/>
  <c r="D894" i="7"/>
  <c r="F894" i="7" s="1"/>
  <c r="C894" i="7"/>
  <c r="B894" i="7"/>
  <c r="A894" i="7"/>
  <c r="E893" i="7"/>
  <c r="D893" i="7"/>
  <c r="F893" i="7" s="1"/>
  <c r="C893" i="7"/>
  <c r="B893" i="7"/>
  <c r="A893" i="7"/>
  <c r="F892" i="7"/>
  <c r="E892" i="7"/>
  <c r="D892" i="7"/>
  <c r="C892" i="7"/>
  <c r="B892" i="7"/>
  <c r="A892" i="7"/>
  <c r="E891" i="7"/>
  <c r="D891" i="7"/>
  <c r="F891" i="7" s="1"/>
  <c r="C891" i="7"/>
  <c r="B891" i="7"/>
  <c r="A891" i="7"/>
  <c r="E890" i="7"/>
  <c r="D890" i="7"/>
  <c r="F890" i="7" s="1"/>
  <c r="C890" i="7"/>
  <c r="B890" i="7"/>
  <c r="A890" i="7"/>
  <c r="F889" i="7"/>
  <c r="E889" i="7"/>
  <c r="D889" i="7"/>
  <c r="C889" i="7"/>
  <c r="B889" i="7"/>
  <c r="A889" i="7"/>
  <c r="E888" i="7"/>
  <c r="D888" i="7"/>
  <c r="F888" i="7" s="1"/>
  <c r="C888" i="7"/>
  <c r="B888" i="7"/>
  <c r="A888" i="7"/>
  <c r="E887" i="7"/>
  <c r="D887" i="7"/>
  <c r="F887" i="7" s="1"/>
  <c r="C887" i="7"/>
  <c r="B887" i="7"/>
  <c r="A887" i="7"/>
  <c r="E886" i="7"/>
  <c r="D886" i="7"/>
  <c r="F886" i="7" s="1"/>
  <c r="C886" i="7"/>
  <c r="B886" i="7"/>
  <c r="A886" i="7"/>
  <c r="F885" i="7"/>
  <c r="E885" i="7"/>
  <c r="D885" i="7"/>
  <c r="C885" i="7"/>
  <c r="B885" i="7"/>
  <c r="A885" i="7"/>
  <c r="E884" i="7"/>
  <c r="D884" i="7"/>
  <c r="F884" i="7" s="1"/>
  <c r="C884" i="7"/>
  <c r="B884" i="7"/>
  <c r="A884" i="7"/>
  <c r="E883" i="7"/>
  <c r="D883" i="7"/>
  <c r="F883" i="7" s="1"/>
  <c r="C883" i="7"/>
  <c r="B883" i="7"/>
  <c r="A883" i="7"/>
  <c r="E882" i="7"/>
  <c r="D882" i="7"/>
  <c r="F882" i="7" s="1"/>
  <c r="C882" i="7"/>
  <c r="B882" i="7"/>
  <c r="A882" i="7"/>
  <c r="E881" i="7"/>
  <c r="D881" i="7"/>
  <c r="F881" i="7" s="1"/>
  <c r="C881" i="7"/>
  <c r="B881" i="7"/>
  <c r="A881" i="7"/>
  <c r="E880" i="7"/>
  <c r="D880" i="7"/>
  <c r="F880" i="7" s="1"/>
  <c r="C880" i="7"/>
  <c r="B880" i="7"/>
  <c r="A880" i="7"/>
  <c r="E879" i="7"/>
  <c r="D879" i="7"/>
  <c r="F879" i="7" s="1"/>
  <c r="C879" i="7"/>
  <c r="B879" i="7"/>
  <c r="A879" i="7"/>
  <c r="E878" i="7"/>
  <c r="D878" i="7"/>
  <c r="F878" i="7" s="1"/>
  <c r="C878" i="7"/>
  <c r="B878" i="7"/>
  <c r="A878" i="7"/>
  <c r="F877" i="7"/>
  <c r="E877" i="7"/>
  <c r="D877" i="7"/>
  <c r="C877" i="7"/>
  <c r="B877" i="7"/>
  <c r="A877" i="7"/>
  <c r="E876" i="7"/>
  <c r="D876" i="7"/>
  <c r="F876" i="7" s="1"/>
  <c r="C876" i="7"/>
  <c r="B876" i="7"/>
  <c r="A876" i="7"/>
  <c r="E875" i="7"/>
  <c r="D875" i="7"/>
  <c r="F875" i="7" s="1"/>
  <c r="C875" i="7"/>
  <c r="B875" i="7"/>
  <c r="A875" i="7"/>
  <c r="E874" i="7"/>
  <c r="D874" i="7"/>
  <c r="F874" i="7" s="1"/>
  <c r="C874" i="7"/>
  <c r="B874" i="7"/>
  <c r="A874" i="7"/>
  <c r="F873" i="7"/>
  <c r="E873" i="7"/>
  <c r="D873" i="7"/>
  <c r="C873" i="7"/>
  <c r="B873" i="7"/>
  <c r="A873" i="7"/>
  <c r="E872" i="7"/>
  <c r="D872" i="7"/>
  <c r="F872" i="7" s="1"/>
  <c r="C872" i="7"/>
  <c r="B872" i="7"/>
  <c r="A872" i="7"/>
  <c r="F871" i="7"/>
  <c r="E871" i="7"/>
  <c r="D871" i="7"/>
  <c r="C871" i="7"/>
  <c r="B871" i="7"/>
  <c r="A871" i="7"/>
  <c r="E870" i="7"/>
  <c r="D870" i="7"/>
  <c r="F870" i="7" s="1"/>
  <c r="C870" i="7"/>
  <c r="B870" i="7"/>
  <c r="A870" i="7"/>
  <c r="E869" i="7"/>
  <c r="D869" i="7"/>
  <c r="F869" i="7" s="1"/>
  <c r="C869" i="7"/>
  <c r="B869" i="7"/>
  <c r="A869" i="7"/>
  <c r="E868" i="7"/>
  <c r="D868" i="7"/>
  <c r="F868" i="7" s="1"/>
  <c r="C868" i="7"/>
  <c r="B868" i="7"/>
  <c r="A868" i="7"/>
  <c r="F867" i="7"/>
  <c r="E867" i="7"/>
  <c r="D867" i="7"/>
  <c r="C867" i="7"/>
  <c r="B867" i="7"/>
  <c r="A867" i="7"/>
  <c r="E866" i="7"/>
  <c r="D866" i="7"/>
  <c r="F866" i="7" s="1"/>
  <c r="C866" i="7"/>
  <c r="B866" i="7"/>
  <c r="A866" i="7"/>
  <c r="E865" i="7"/>
  <c r="D865" i="7"/>
  <c r="F865" i="7" s="1"/>
  <c r="C865" i="7"/>
  <c r="B865" i="7"/>
  <c r="A865" i="7"/>
  <c r="F864" i="7"/>
  <c r="E864" i="7"/>
  <c r="D864" i="7"/>
  <c r="C864" i="7"/>
  <c r="B864" i="7"/>
  <c r="A864" i="7"/>
  <c r="E863" i="7"/>
  <c r="D863" i="7"/>
  <c r="F863" i="7" s="1"/>
  <c r="C863" i="7"/>
  <c r="B863" i="7"/>
  <c r="A863" i="7"/>
  <c r="E862" i="7"/>
  <c r="D862" i="7"/>
  <c r="F862" i="7" s="1"/>
  <c r="C862" i="7"/>
  <c r="B862" i="7"/>
  <c r="A862" i="7"/>
  <c r="F861" i="7"/>
  <c r="E861" i="7"/>
  <c r="D861" i="7"/>
  <c r="C861" i="7"/>
  <c r="B861" i="7"/>
  <c r="A861" i="7"/>
  <c r="E860" i="7"/>
  <c r="D860" i="7"/>
  <c r="F860" i="7" s="1"/>
  <c r="C860" i="7"/>
  <c r="B860" i="7"/>
  <c r="A860" i="7"/>
  <c r="E859" i="7"/>
  <c r="D859" i="7"/>
  <c r="F859" i="7" s="1"/>
  <c r="C859" i="7"/>
  <c r="B859" i="7"/>
  <c r="A859" i="7"/>
  <c r="E858" i="7"/>
  <c r="D858" i="7"/>
  <c r="F858" i="7" s="1"/>
  <c r="C858" i="7"/>
  <c r="B858" i="7"/>
  <c r="A858" i="7"/>
  <c r="E857" i="7"/>
  <c r="D857" i="7"/>
  <c r="F857" i="7" s="1"/>
  <c r="C857" i="7"/>
  <c r="B857" i="7"/>
  <c r="A857" i="7"/>
  <c r="E856" i="7"/>
  <c r="D856" i="7"/>
  <c r="F856" i="7" s="1"/>
  <c r="C856" i="7"/>
  <c r="B856" i="7"/>
  <c r="A856" i="7"/>
  <c r="E855" i="7"/>
  <c r="D855" i="7"/>
  <c r="F855" i="7" s="1"/>
  <c r="C855" i="7"/>
  <c r="B855" i="7"/>
  <c r="A855" i="7"/>
  <c r="E854" i="7"/>
  <c r="D854" i="7"/>
  <c r="F854" i="7" s="1"/>
  <c r="C854" i="7"/>
  <c r="B854" i="7"/>
  <c r="A854" i="7"/>
  <c r="F853" i="7"/>
  <c r="E853" i="7"/>
  <c r="D853" i="7"/>
  <c r="C853" i="7"/>
  <c r="B853" i="7"/>
  <c r="A853" i="7"/>
  <c r="E852" i="7"/>
  <c r="D852" i="7"/>
  <c r="F852" i="7" s="1"/>
  <c r="C852" i="7"/>
  <c r="B852" i="7"/>
  <c r="A852" i="7"/>
  <c r="E851" i="7"/>
  <c r="D851" i="7"/>
  <c r="F851" i="7" s="1"/>
  <c r="C851" i="7"/>
  <c r="B851" i="7"/>
  <c r="A851" i="7"/>
  <c r="E850" i="7"/>
  <c r="D850" i="7"/>
  <c r="F850" i="7" s="1"/>
  <c r="C850" i="7"/>
  <c r="B850" i="7"/>
  <c r="A850" i="7"/>
  <c r="F849" i="7"/>
  <c r="E849" i="7"/>
  <c r="D849" i="7"/>
  <c r="C849" i="7"/>
  <c r="B849" i="7"/>
  <c r="A849" i="7"/>
  <c r="E848" i="7"/>
  <c r="D848" i="7"/>
  <c r="F848" i="7" s="1"/>
  <c r="C848" i="7"/>
  <c r="B848" i="7"/>
  <c r="A848" i="7"/>
  <c r="E847" i="7"/>
  <c r="D847" i="7"/>
  <c r="F847" i="7" s="1"/>
  <c r="C847" i="7"/>
  <c r="B847" i="7"/>
  <c r="A847" i="7"/>
  <c r="E846" i="7"/>
  <c r="D846" i="7"/>
  <c r="F846" i="7" s="1"/>
  <c r="C846" i="7"/>
  <c r="B846" i="7"/>
  <c r="A846" i="7"/>
  <c r="E845" i="7"/>
  <c r="D845" i="7"/>
  <c r="F845" i="7" s="1"/>
  <c r="C845" i="7"/>
  <c r="B845" i="7"/>
  <c r="A845" i="7"/>
  <c r="E844" i="7"/>
  <c r="D844" i="7"/>
  <c r="F844" i="7" s="1"/>
  <c r="C844" i="7"/>
  <c r="B844" i="7"/>
  <c r="A844" i="7"/>
  <c r="F843" i="7"/>
  <c r="E843" i="7"/>
  <c r="D843" i="7"/>
  <c r="C843" i="7"/>
  <c r="B843" i="7"/>
  <c r="A843" i="7"/>
  <c r="E842" i="7"/>
  <c r="D842" i="7"/>
  <c r="F842" i="7" s="1"/>
  <c r="C842" i="7"/>
  <c r="B842" i="7"/>
  <c r="A842" i="7"/>
  <c r="F841" i="7"/>
  <c r="E841" i="7"/>
  <c r="D841" i="7"/>
  <c r="C841" i="7"/>
  <c r="B841" i="7"/>
  <c r="A841" i="7"/>
  <c r="E840" i="7"/>
  <c r="D840" i="7"/>
  <c r="F840" i="7" s="1"/>
  <c r="C840" i="7"/>
  <c r="B840" i="7"/>
  <c r="A840" i="7"/>
  <c r="E839" i="7"/>
  <c r="D839" i="7"/>
  <c r="F839" i="7" s="1"/>
  <c r="C839" i="7"/>
  <c r="B839" i="7"/>
  <c r="A839" i="7"/>
  <c r="E838" i="7"/>
  <c r="D838" i="7"/>
  <c r="F838" i="7" s="1"/>
  <c r="C838" i="7"/>
  <c r="B838" i="7"/>
  <c r="A838" i="7"/>
  <c r="E837" i="7"/>
  <c r="D837" i="7"/>
  <c r="F837" i="7" s="1"/>
  <c r="C837" i="7"/>
  <c r="B837" i="7"/>
  <c r="A837" i="7"/>
  <c r="F836" i="7"/>
  <c r="E836" i="7"/>
  <c r="D836" i="7"/>
  <c r="C836" i="7"/>
  <c r="B836" i="7"/>
  <c r="A836" i="7"/>
  <c r="F835" i="7"/>
  <c r="E835" i="7"/>
  <c r="D835" i="7"/>
  <c r="C835" i="7"/>
  <c r="B835" i="7"/>
  <c r="A835" i="7"/>
  <c r="E834" i="7"/>
  <c r="D834" i="7"/>
  <c r="F834" i="7" s="1"/>
  <c r="C834" i="7"/>
  <c r="B834" i="7"/>
  <c r="A834" i="7"/>
  <c r="F833" i="7"/>
  <c r="E833" i="7"/>
  <c r="D833" i="7"/>
  <c r="C833" i="7"/>
  <c r="B833" i="7"/>
  <c r="A833" i="7"/>
  <c r="E832" i="7"/>
  <c r="D832" i="7"/>
  <c r="F832" i="7" s="1"/>
  <c r="C832" i="7"/>
  <c r="B832" i="7"/>
  <c r="A832" i="7"/>
  <c r="E831" i="7"/>
  <c r="D831" i="7"/>
  <c r="F831" i="7" s="1"/>
  <c r="C831" i="7"/>
  <c r="B831" i="7"/>
  <c r="A831" i="7"/>
  <c r="E830" i="7"/>
  <c r="D830" i="7"/>
  <c r="F830" i="7" s="1"/>
  <c r="C830" i="7"/>
  <c r="B830" i="7"/>
  <c r="A830" i="7"/>
  <c r="E829" i="7"/>
  <c r="D829" i="7"/>
  <c r="F829" i="7" s="1"/>
  <c r="C829" i="7"/>
  <c r="B829" i="7"/>
  <c r="A829" i="7"/>
  <c r="F828" i="7"/>
  <c r="E828" i="7"/>
  <c r="D828" i="7"/>
  <c r="C828" i="7"/>
  <c r="B828" i="7"/>
  <c r="A828" i="7"/>
  <c r="E827" i="7"/>
  <c r="D827" i="7"/>
  <c r="F827" i="7" s="1"/>
  <c r="C827" i="7"/>
  <c r="B827" i="7"/>
  <c r="A827" i="7"/>
  <c r="E826" i="7"/>
  <c r="D826" i="7"/>
  <c r="F826" i="7" s="1"/>
  <c r="C826" i="7"/>
  <c r="B826" i="7"/>
  <c r="A826" i="7"/>
  <c r="F825" i="7"/>
  <c r="E825" i="7"/>
  <c r="D825" i="7"/>
  <c r="C825" i="7"/>
  <c r="B825" i="7"/>
  <c r="A825" i="7"/>
  <c r="E824" i="7"/>
  <c r="D824" i="7"/>
  <c r="F824" i="7" s="1"/>
  <c r="C824" i="7"/>
  <c r="B824" i="7"/>
  <c r="A824" i="7"/>
  <c r="E823" i="7"/>
  <c r="D823" i="7"/>
  <c r="F823" i="7" s="1"/>
  <c r="C823" i="7"/>
  <c r="B823" i="7"/>
  <c r="A823" i="7"/>
  <c r="E822" i="7"/>
  <c r="D822" i="7"/>
  <c r="F822" i="7" s="1"/>
  <c r="C822" i="7"/>
  <c r="B822" i="7"/>
  <c r="A822" i="7"/>
  <c r="E821" i="7"/>
  <c r="D821" i="7"/>
  <c r="F821" i="7" s="1"/>
  <c r="C821" i="7"/>
  <c r="B821" i="7"/>
  <c r="A821" i="7"/>
  <c r="E820" i="7"/>
  <c r="D820" i="7"/>
  <c r="F820" i="7" s="1"/>
  <c r="C820" i="7"/>
  <c r="B820" i="7"/>
  <c r="A820" i="7"/>
  <c r="E819" i="7"/>
  <c r="D819" i="7"/>
  <c r="F819" i="7" s="1"/>
  <c r="C819" i="7"/>
  <c r="B819" i="7"/>
  <c r="A819" i="7"/>
  <c r="E818" i="7"/>
  <c r="D818" i="7"/>
  <c r="F818" i="7" s="1"/>
  <c r="C818" i="7"/>
  <c r="B818" i="7"/>
  <c r="A818" i="7"/>
  <c r="E817" i="7"/>
  <c r="D817" i="7"/>
  <c r="F817" i="7" s="1"/>
  <c r="C817" i="7"/>
  <c r="B817" i="7"/>
  <c r="A817" i="7"/>
  <c r="E816" i="7"/>
  <c r="D816" i="7"/>
  <c r="F816" i="7" s="1"/>
  <c r="C816" i="7"/>
  <c r="B816" i="7"/>
  <c r="A816" i="7"/>
  <c r="E815" i="7"/>
  <c r="D815" i="7"/>
  <c r="F815" i="7" s="1"/>
  <c r="C815" i="7"/>
  <c r="B815" i="7"/>
  <c r="A815" i="7"/>
  <c r="E814" i="7"/>
  <c r="D814" i="7"/>
  <c r="F814" i="7" s="1"/>
  <c r="C814" i="7"/>
  <c r="B814" i="7"/>
  <c r="A814" i="7"/>
  <c r="E813" i="7"/>
  <c r="D813" i="7"/>
  <c r="F813" i="7" s="1"/>
  <c r="C813" i="7"/>
  <c r="B813" i="7"/>
  <c r="A813" i="7"/>
  <c r="E812" i="7"/>
  <c r="D812" i="7"/>
  <c r="F812" i="7" s="1"/>
  <c r="C812" i="7"/>
  <c r="B812" i="7"/>
  <c r="A812" i="7"/>
  <c r="E811" i="7"/>
  <c r="D811" i="7"/>
  <c r="F811" i="7" s="1"/>
  <c r="C811" i="7"/>
  <c r="B811" i="7"/>
  <c r="A811" i="7"/>
  <c r="E810" i="7"/>
  <c r="D810" i="7"/>
  <c r="F810" i="7" s="1"/>
  <c r="C810" i="7"/>
  <c r="B810" i="7"/>
  <c r="A810" i="7"/>
  <c r="E809" i="7"/>
  <c r="D809" i="7"/>
  <c r="F809" i="7" s="1"/>
  <c r="C809" i="7"/>
  <c r="B809" i="7"/>
  <c r="A809" i="7"/>
  <c r="E808" i="7"/>
  <c r="D808" i="7"/>
  <c r="F808" i="7" s="1"/>
  <c r="C808" i="7"/>
  <c r="B808" i="7"/>
  <c r="A808" i="7"/>
  <c r="F807" i="7"/>
  <c r="E807" i="7"/>
  <c r="D807" i="7"/>
  <c r="C807" i="7"/>
  <c r="B807" i="7"/>
  <c r="A807" i="7"/>
  <c r="E806" i="7"/>
  <c r="D806" i="7"/>
  <c r="F806" i="7" s="1"/>
  <c r="C806" i="7"/>
  <c r="B806" i="7"/>
  <c r="A806" i="7"/>
  <c r="F805" i="7"/>
  <c r="E805" i="7"/>
  <c r="D805" i="7"/>
  <c r="C805" i="7"/>
  <c r="B805" i="7"/>
  <c r="A805" i="7"/>
  <c r="E804" i="7"/>
  <c r="D804" i="7"/>
  <c r="F804" i="7" s="1"/>
  <c r="C804" i="7"/>
  <c r="B804" i="7"/>
  <c r="A804" i="7"/>
  <c r="F803" i="7"/>
  <c r="E803" i="7"/>
  <c r="D803" i="7"/>
  <c r="C803" i="7"/>
  <c r="B803" i="7"/>
  <c r="A803" i="7"/>
  <c r="E802" i="7"/>
  <c r="D802" i="7"/>
  <c r="F802" i="7" s="1"/>
  <c r="C802" i="7"/>
  <c r="B802" i="7"/>
  <c r="A802" i="7"/>
  <c r="E801" i="7"/>
  <c r="D801" i="7"/>
  <c r="F801" i="7" s="1"/>
  <c r="C801" i="7"/>
  <c r="B801" i="7"/>
  <c r="A801" i="7"/>
  <c r="F800" i="7"/>
  <c r="E800" i="7"/>
  <c r="D800" i="7"/>
  <c r="C800" i="7"/>
  <c r="B800" i="7"/>
  <c r="A800" i="7"/>
  <c r="E799" i="7"/>
  <c r="D799" i="7"/>
  <c r="F799" i="7" s="1"/>
  <c r="C799" i="7"/>
  <c r="B799" i="7"/>
  <c r="A799" i="7"/>
  <c r="E798" i="7"/>
  <c r="D798" i="7"/>
  <c r="F798" i="7" s="1"/>
  <c r="C798" i="7"/>
  <c r="B798" i="7"/>
  <c r="A798" i="7"/>
  <c r="F797" i="7"/>
  <c r="E797" i="7"/>
  <c r="D797" i="7"/>
  <c r="C797" i="7"/>
  <c r="B797" i="7"/>
  <c r="A797" i="7"/>
  <c r="E796" i="7"/>
  <c r="D796" i="7"/>
  <c r="F796" i="7" s="1"/>
  <c r="C796" i="7"/>
  <c r="B796" i="7"/>
  <c r="A796" i="7"/>
  <c r="E795" i="7"/>
  <c r="D795" i="7"/>
  <c r="F795" i="7" s="1"/>
  <c r="C795" i="7"/>
  <c r="B795" i="7"/>
  <c r="A795" i="7"/>
  <c r="E794" i="7"/>
  <c r="D794" i="7"/>
  <c r="F794" i="7" s="1"/>
  <c r="C794" i="7"/>
  <c r="B794" i="7"/>
  <c r="A794" i="7"/>
  <c r="E793" i="7"/>
  <c r="D793" i="7"/>
  <c r="F793" i="7" s="1"/>
  <c r="C793" i="7"/>
  <c r="B793" i="7"/>
  <c r="A793" i="7"/>
  <c r="E792" i="7"/>
  <c r="D792" i="7"/>
  <c r="F792" i="7" s="1"/>
  <c r="C792" i="7"/>
  <c r="B792" i="7"/>
  <c r="A792" i="7"/>
  <c r="E791" i="7"/>
  <c r="D791" i="7"/>
  <c r="F791" i="7" s="1"/>
  <c r="C791" i="7"/>
  <c r="B791" i="7"/>
  <c r="A791" i="7"/>
  <c r="E790" i="7"/>
  <c r="D790" i="7"/>
  <c r="F790" i="7" s="1"/>
  <c r="C790" i="7"/>
  <c r="B790" i="7"/>
  <c r="A790" i="7"/>
  <c r="F789" i="7"/>
  <c r="E789" i="7"/>
  <c r="D789" i="7"/>
  <c r="C789" i="7"/>
  <c r="B789" i="7"/>
  <c r="A789" i="7"/>
  <c r="E788" i="7"/>
  <c r="D788" i="7"/>
  <c r="F788" i="7" s="1"/>
  <c r="C788" i="7"/>
  <c r="B788" i="7"/>
  <c r="A788" i="7"/>
  <c r="E787" i="7"/>
  <c r="D787" i="7"/>
  <c r="F787" i="7" s="1"/>
  <c r="C787" i="7"/>
  <c r="B787" i="7"/>
  <c r="A787" i="7"/>
  <c r="E786" i="7"/>
  <c r="D786" i="7"/>
  <c r="F786" i="7" s="1"/>
  <c r="C786" i="7"/>
  <c r="B786" i="7"/>
  <c r="A786" i="7"/>
  <c r="F785" i="7"/>
  <c r="E785" i="7"/>
  <c r="D785" i="7"/>
  <c r="C785" i="7"/>
  <c r="B785" i="7"/>
  <c r="A785" i="7"/>
  <c r="E784" i="7"/>
  <c r="D784" i="7"/>
  <c r="F784" i="7" s="1"/>
  <c r="C784" i="7"/>
  <c r="B784" i="7"/>
  <c r="A784" i="7"/>
  <c r="E783" i="7"/>
  <c r="D783" i="7"/>
  <c r="F783" i="7" s="1"/>
  <c r="C783" i="7"/>
  <c r="B783" i="7"/>
  <c r="A783" i="7"/>
  <c r="E782" i="7"/>
  <c r="D782" i="7"/>
  <c r="F782" i="7" s="1"/>
  <c r="C782" i="7"/>
  <c r="B782" i="7"/>
  <c r="A782" i="7"/>
  <c r="E781" i="7"/>
  <c r="D781" i="7"/>
  <c r="F781" i="7" s="1"/>
  <c r="C781" i="7"/>
  <c r="B781" i="7"/>
  <c r="A781" i="7"/>
  <c r="E780" i="7"/>
  <c r="D780" i="7"/>
  <c r="F780" i="7" s="1"/>
  <c r="C780" i="7"/>
  <c r="B780" i="7"/>
  <c r="A780" i="7"/>
  <c r="F779" i="7"/>
  <c r="E779" i="7"/>
  <c r="D779" i="7"/>
  <c r="C779" i="7"/>
  <c r="B779" i="7"/>
  <c r="A779" i="7"/>
  <c r="E778" i="7"/>
  <c r="D778" i="7"/>
  <c r="F778" i="7" s="1"/>
  <c r="C778" i="7"/>
  <c r="B778" i="7"/>
  <c r="A778" i="7"/>
  <c r="F777" i="7"/>
  <c r="E777" i="7"/>
  <c r="D777" i="7"/>
  <c r="C777" i="7"/>
  <c r="B777" i="7"/>
  <c r="A777" i="7"/>
  <c r="E776" i="7"/>
  <c r="D776" i="7"/>
  <c r="F776" i="7" s="1"/>
  <c r="C776" i="7"/>
  <c r="B776" i="7"/>
  <c r="A776" i="7"/>
  <c r="E775" i="7"/>
  <c r="D775" i="7"/>
  <c r="F775" i="7" s="1"/>
  <c r="C775" i="7"/>
  <c r="B775" i="7"/>
  <c r="A775" i="7"/>
  <c r="E774" i="7"/>
  <c r="D774" i="7"/>
  <c r="F774" i="7" s="1"/>
  <c r="C774" i="7"/>
  <c r="B774" i="7"/>
  <c r="A774" i="7"/>
  <c r="E773" i="7"/>
  <c r="D773" i="7"/>
  <c r="F773" i="7" s="1"/>
  <c r="C773" i="7"/>
  <c r="B773" i="7"/>
  <c r="A773" i="7"/>
  <c r="E772" i="7"/>
  <c r="D772" i="7"/>
  <c r="F772" i="7" s="1"/>
  <c r="C772" i="7"/>
  <c r="B772" i="7"/>
  <c r="A772" i="7"/>
  <c r="E771" i="7"/>
  <c r="D771" i="7"/>
  <c r="F771" i="7" s="1"/>
  <c r="C771" i="7"/>
  <c r="B771" i="7"/>
  <c r="A771" i="7"/>
  <c r="E770" i="7"/>
  <c r="D770" i="7"/>
  <c r="F770" i="7" s="1"/>
  <c r="C770" i="7"/>
  <c r="B770" i="7"/>
  <c r="A770" i="7"/>
  <c r="F769" i="7"/>
  <c r="E769" i="7"/>
  <c r="D769" i="7"/>
  <c r="C769" i="7"/>
  <c r="B769" i="7"/>
  <c r="A769" i="7"/>
  <c r="E768" i="7"/>
  <c r="D768" i="7"/>
  <c r="F768" i="7" s="1"/>
  <c r="C768" i="7"/>
  <c r="B768" i="7"/>
  <c r="A768" i="7"/>
  <c r="E767" i="7"/>
  <c r="D767" i="7"/>
  <c r="F767" i="7" s="1"/>
  <c r="C767" i="7"/>
  <c r="B767" i="7"/>
  <c r="A767" i="7"/>
  <c r="E766" i="7"/>
  <c r="D766" i="7"/>
  <c r="F766" i="7" s="1"/>
  <c r="C766" i="7"/>
  <c r="B766" i="7"/>
  <c r="A766" i="7"/>
  <c r="E765" i="7"/>
  <c r="D765" i="7"/>
  <c r="F765" i="7" s="1"/>
  <c r="C765" i="7"/>
  <c r="B765" i="7"/>
  <c r="A765" i="7"/>
  <c r="F764" i="7"/>
  <c r="E764" i="7"/>
  <c r="D764" i="7"/>
  <c r="C764" i="7"/>
  <c r="B764" i="7"/>
  <c r="A764" i="7"/>
  <c r="E763" i="7"/>
  <c r="D763" i="7"/>
  <c r="F763" i="7" s="1"/>
  <c r="C763" i="7"/>
  <c r="B763" i="7"/>
  <c r="A763" i="7"/>
  <c r="E762" i="7"/>
  <c r="D762" i="7"/>
  <c r="F762" i="7" s="1"/>
  <c r="C762" i="7"/>
  <c r="B762" i="7"/>
  <c r="A762" i="7"/>
  <c r="F761" i="7"/>
  <c r="E761" i="7"/>
  <c r="D761" i="7"/>
  <c r="C761" i="7"/>
  <c r="B761" i="7"/>
  <c r="A761" i="7"/>
  <c r="E760" i="7"/>
  <c r="D760" i="7"/>
  <c r="F760" i="7" s="1"/>
  <c r="C760" i="7"/>
  <c r="B760" i="7"/>
  <c r="A760" i="7"/>
  <c r="E759" i="7"/>
  <c r="D759" i="7"/>
  <c r="F759" i="7" s="1"/>
  <c r="C759" i="7"/>
  <c r="B759" i="7"/>
  <c r="A759" i="7"/>
  <c r="E758" i="7"/>
  <c r="D758" i="7"/>
  <c r="F758" i="7" s="1"/>
  <c r="C758" i="7"/>
  <c r="B758" i="7"/>
  <c r="A758" i="7"/>
  <c r="E757" i="7"/>
  <c r="D757" i="7"/>
  <c r="F757" i="7" s="1"/>
  <c r="C757" i="7"/>
  <c r="B757" i="7"/>
  <c r="A757" i="7"/>
  <c r="E756" i="7"/>
  <c r="D756" i="7"/>
  <c r="F756" i="7" s="1"/>
  <c r="C756" i="7"/>
  <c r="B756" i="7"/>
  <c r="A756" i="7"/>
  <c r="E755" i="7"/>
  <c r="D755" i="7"/>
  <c r="F755" i="7" s="1"/>
  <c r="C755" i="7"/>
  <c r="B755" i="7"/>
  <c r="A755" i="7"/>
  <c r="E754" i="7"/>
  <c r="D754" i="7"/>
  <c r="F754" i="7" s="1"/>
  <c r="C754" i="7"/>
  <c r="B754" i="7"/>
  <c r="A754" i="7"/>
  <c r="E753" i="7"/>
  <c r="D753" i="7"/>
  <c r="F753" i="7" s="1"/>
  <c r="C753" i="7"/>
  <c r="B753" i="7"/>
  <c r="A753" i="7"/>
  <c r="E752" i="7"/>
  <c r="D752" i="7"/>
  <c r="F752" i="7" s="1"/>
  <c r="C752" i="7"/>
  <c r="B752" i="7"/>
  <c r="A752" i="7"/>
  <c r="E751" i="7"/>
  <c r="D751" i="7"/>
  <c r="F751" i="7" s="1"/>
  <c r="C751" i="7"/>
  <c r="B751" i="7"/>
  <c r="A751" i="7"/>
  <c r="E750" i="7"/>
  <c r="D750" i="7"/>
  <c r="F750" i="7" s="1"/>
  <c r="C750" i="7"/>
  <c r="B750" i="7"/>
  <c r="A750" i="7"/>
  <c r="F749" i="7"/>
  <c r="E749" i="7"/>
  <c r="D749" i="7"/>
  <c r="C749" i="7"/>
  <c r="B749" i="7"/>
  <c r="A749" i="7"/>
  <c r="E748" i="7"/>
  <c r="D748" i="7"/>
  <c r="F748" i="7" s="1"/>
  <c r="C748" i="7"/>
  <c r="B748" i="7"/>
  <c r="A748" i="7"/>
  <c r="E747" i="7"/>
  <c r="D747" i="7"/>
  <c r="F747" i="7" s="1"/>
  <c r="C747" i="7"/>
  <c r="B747" i="7"/>
  <c r="A747" i="7"/>
  <c r="E746" i="7"/>
  <c r="D746" i="7"/>
  <c r="F746" i="7" s="1"/>
  <c r="C746" i="7"/>
  <c r="B746" i="7"/>
  <c r="A746" i="7"/>
  <c r="F745" i="7"/>
  <c r="E745" i="7"/>
  <c r="D745" i="7"/>
  <c r="C745" i="7"/>
  <c r="B745" i="7"/>
  <c r="A745" i="7"/>
  <c r="E744" i="7"/>
  <c r="D744" i="7"/>
  <c r="F744" i="7" s="1"/>
  <c r="C744" i="7"/>
  <c r="B744" i="7"/>
  <c r="A744" i="7"/>
  <c r="F743" i="7"/>
  <c r="E743" i="7"/>
  <c r="D743" i="7"/>
  <c r="C743" i="7"/>
  <c r="B743" i="7"/>
  <c r="A743" i="7"/>
  <c r="E742" i="7"/>
  <c r="D742" i="7"/>
  <c r="F742" i="7" s="1"/>
  <c r="C742" i="7"/>
  <c r="B742" i="7"/>
  <c r="A742" i="7"/>
  <c r="F741" i="7"/>
  <c r="E741" i="7"/>
  <c r="D741" i="7"/>
  <c r="C741" i="7"/>
  <c r="B741" i="7"/>
  <c r="A741" i="7"/>
  <c r="E740" i="7"/>
  <c r="D740" i="7"/>
  <c r="F740" i="7" s="1"/>
  <c r="C740" i="7"/>
  <c r="B740" i="7"/>
  <c r="A740" i="7"/>
  <c r="F739" i="7"/>
  <c r="E739" i="7"/>
  <c r="D739" i="7"/>
  <c r="C739" i="7"/>
  <c r="B739" i="7"/>
  <c r="A739" i="7"/>
  <c r="E738" i="7"/>
  <c r="D738" i="7"/>
  <c r="F738" i="7" s="1"/>
  <c r="C738" i="7"/>
  <c r="B738" i="7"/>
  <c r="A738" i="7"/>
  <c r="E737" i="7"/>
  <c r="D737" i="7"/>
  <c r="F737" i="7" s="1"/>
  <c r="C737" i="7"/>
  <c r="B737" i="7"/>
  <c r="A737" i="7"/>
  <c r="F736" i="7"/>
  <c r="E736" i="7"/>
  <c r="D736" i="7"/>
  <c r="C736" i="7"/>
  <c r="B736" i="7"/>
  <c r="A736" i="7"/>
  <c r="E735" i="7"/>
  <c r="D735" i="7"/>
  <c r="F735" i="7" s="1"/>
  <c r="C735" i="7"/>
  <c r="B735" i="7"/>
  <c r="A735" i="7"/>
  <c r="E734" i="7"/>
  <c r="D734" i="7"/>
  <c r="F734" i="7" s="1"/>
  <c r="C734" i="7"/>
  <c r="B734" i="7"/>
  <c r="A734" i="7"/>
  <c r="F733" i="7"/>
  <c r="E733" i="7"/>
  <c r="D733" i="7"/>
  <c r="C733" i="7"/>
  <c r="B733" i="7"/>
  <c r="A733" i="7"/>
  <c r="E732" i="7"/>
  <c r="D732" i="7"/>
  <c r="F732" i="7" s="1"/>
  <c r="C732" i="7"/>
  <c r="B732" i="7"/>
  <c r="A732" i="7"/>
  <c r="E731" i="7"/>
  <c r="D731" i="7"/>
  <c r="F731" i="7" s="1"/>
  <c r="C731" i="7"/>
  <c r="B731" i="7"/>
  <c r="A731" i="7"/>
  <c r="E730" i="7"/>
  <c r="D730" i="7"/>
  <c r="F730" i="7" s="1"/>
  <c r="C730" i="7"/>
  <c r="B730" i="7"/>
  <c r="A730" i="7"/>
  <c r="E729" i="7"/>
  <c r="D729" i="7"/>
  <c r="F729" i="7" s="1"/>
  <c r="C729" i="7"/>
  <c r="B729" i="7"/>
  <c r="A729" i="7"/>
  <c r="E728" i="7"/>
  <c r="D728" i="7"/>
  <c r="F728" i="7" s="1"/>
  <c r="C728" i="7"/>
  <c r="B728" i="7"/>
  <c r="A728" i="7"/>
  <c r="E727" i="7"/>
  <c r="D727" i="7"/>
  <c r="F727" i="7" s="1"/>
  <c r="C727" i="7"/>
  <c r="B727" i="7"/>
  <c r="A727" i="7"/>
  <c r="E726" i="7"/>
  <c r="D726" i="7"/>
  <c r="F726" i="7" s="1"/>
  <c r="C726" i="7"/>
  <c r="B726" i="7"/>
  <c r="A726" i="7"/>
  <c r="E725" i="7"/>
  <c r="D725" i="7"/>
  <c r="F725" i="7" s="1"/>
  <c r="C725" i="7"/>
  <c r="B725" i="7"/>
  <c r="A725" i="7"/>
  <c r="E724" i="7"/>
  <c r="D724" i="7"/>
  <c r="F724" i="7" s="1"/>
  <c r="C724" i="7"/>
  <c r="B724" i="7"/>
  <c r="A724" i="7"/>
  <c r="E723" i="7"/>
  <c r="D723" i="7"/>
  <c r="F723" i="7" s="1"/>
  <c r="C723" i="7"/>
  <c r="B723" i="7"/>
  <c r="A723" i="7"/>
  <c r="E722" i="7"/>
  <c r="D722" i="7"/>
  <c r="F722" i="7" s="1"/>
  <c r="C722" i="7"/>
  <c r="B722" i="7"/>
  <c r="A722" i="7"/>
  <c r="F721" i="7"/>
  <c r="E721" i="7"/>
  <c r="D721" i="7"/>
  <c r="C721" i="7"/>
  <c r="B721" i="7"/>
  <c r="A721" i="7"/>
  <c r="E720" i="7"/>
  <c r="D720" i="7"/>
  <c r="F720" i="7" s="1"/>
  <c r="C720" i="7"/>
  <c r="B720" i="7"/>
  <c r="A720" i="7"/>
  <c r="E719" i="7"/>
  <c r="D719" i="7"/>
  <c r="F719" i="7" s="1"/>
  <c r="C719" i="7"/>
  <c r="B719" i="7"/>
  <c r="A719" i="7"/>
  <c r="E718" i="7"/>
  <c r="D718" i="7"/>
  <c r="F718" i="7" s="1"/>
  <c r="C718" i="7"/>
  <c r="B718" i="7"/>
  <c r="A718" i="7"/>
  <c r="E717" i="7"/>
  <c r="D717" i="7"/>
  <c r="F717" i="7" s="1"/>
  <c r="C717" i="7"/>
  <c r="B717" i="7"/>
  <c r="A717" i="7"/>
  <c r="E716" i="7"/>
  <c r="D716" i="7"/>
  <c r="F716" i="7" s="1"/>
  <c r="C716" i="7"/>
  <c r="B716" i="7"/>
  <c r="A716" i="7"/>
  <c r="F715" i="7"/>
  <c r="E715" i="7"/>
  <c r="D715" i="7"/>
  <c r="C715" i="7"/>
  <c r="B715" i="7"/>
  <c r="A715" i="7"/>
  <c r="E714" i="7"/>
  <c r="D714" i="7"/>
  <c r="F714" i="7" s="1"/>
  <c r="C714" i="7"/>
  <c r="B714" i="7"/>
  <c r="A714" i="7"/>
  <c r="E713" i="7"/>
  <c r="D713" i="7"/>
  <c r="F713" i="7" s="1"/>
  <c r="C713" i="7"/>
  <c r="B713" i="7"/>
  <c r="A713" i="7"/>
  <c r="E712" i="7"/>
  <c r="D712" i="7"/>
  <c r="F712" i="7" s="1"/>
  <c r="C712" i="7"/>
  <c r="B712" i="7"/>
  <c r="A712" i="7"/>
  <c r="E711" i="7"/>
  <c r="D711" i="7"/>
  <c r="F711" i="7" s="1"/>
  <c r="C711" i="7"/>
  <c r="B711" i="7"/>
  <c r="A711" i="7"/>
  <c r="E710" i="7"/>
  <c r="D710" i="7"/>
  <c r="F710" i="7" s="1"/>
  <c r="C710" i="7"/>
  <c r="B710" i="7"/>
  <c r="A710" i="7"/>
  <c r="E709" i="7"/>
  <c r="D709" i="7"/>
  <c r="F709" i="7" s="1"/>
  <c r="C709" i="7"/>
  <c r="B709" i="7"/>
  <c r="A709" i="7"/>
  <c r="F708" i="7"/>
  <c r="E708" i="7"/>
  <c r="D708" i="7"/>
  <c r="C708" i="7"/>
  <c r="B708" i="7"/>
  <c r="A708" i="7"/>
  <c r="E707" i="7"/>
  <c r="D707" i="7"/>
  <c r="F707" i="7" s="1"/>
  <c r="C707" i="7"/>
  <c r="B707" i="7"/>
  <c r="A707" i="7"/>
  <c r="E706" i="7"/>
  <c r="D706" i="7"/>
  <c r="F706" i="7" s="1"/>
  <c r="C706" i="7"/>
  <c r="B706" i="7"/>
  <c r="A706" i="7"/>
  <c r="F705" i="7"/>
  <c r="E705" i="7"/>
  <c r="D705" i="7"/>
  <c r="C705" i="7"/>
  <c r="B705" i="7"/>
  <c r="A705" i="7"/>
  <c r="E704" i="7"/>
  <c r="D704" i="7"/>
  <c r="F704" i="7" s="1"/>
  <c r="C704" i="7"/>
  <c r="B704" i="7"/>
  <c r="A704" i="7"/>
  <c r="E703" i="7"/>
  <c r="D703" i="7"/>
  <c r="F703" i="7" s="1"/>
  <c r="C703" i="7"/>
  <c r="B703" i="7"/>
  <c r="A703" i="7"/>
  <c r="E702" i="7"/>
  <c r="D702" i="7"/>
  <c r="F702" i="7" s="1"/>
  <c r="C702" i="7"/>
  <c r="B702" i="7"/>
  <c r="A702" i="7"/>
  <c r="E701" i="7"/>
  <c r="D701" i="7"/>
  <c r="F701" i="7" s="1"/>
  <c r="C701" i="7"/>
  <c r="B701" i="7"/>
  <c r="A701" i="7"/>
  <c r="F700" i="7"/>
  <c r="E700" i="7"/>
  <c r="D700" i="7"/>
  <c r="C700" i="7"/>
  <c r="B700" i="7"/>
  <c r="A700" i="7"/>
  <c r="E699" i="7"/>
  <c r="D699" i="7"/>
  <c r="F699" i="7" s="1"/>
  <c r="C699" i="7"/>
  <c r="B699" i="7"/>
  <c r="A699" i="7"/>
  <c r="E698" i="7"/>
  <c r="D698" i="7"/>
  <c r="F698" i="7" s="1"/>
  <c r="C698" i="7"/>
  <c r="B698" i="7"/>
  <c r="A698" i="7"/>
  <c r="F697" i="7"/>
  <c r="E697" i="7"/>
  <c r="D697" i="7"/>
  <c r="C697" i="7"/>
  <c r="B697" i="7"/>
  <c r="A697" i="7"/>
  <c r="E696" i="7"/>
  <c r="D696" i="7"/>
  <c r="F696" i="7" s="1"/>
  <c r="C696" i="7"/>
  <c r="B696" i="7"/>
  <c r="A696" i="7"/>
  <c r="E695" i="7"/>
  <c r="D695" i="7"/>
  <c r="F695" i="7" s="1"/>
  <c r="C695" i="7"/>
  <c r="B695" i="7"/>
  <c r="A695" i="7"/>
  <c r="E694" i="7"/>
  <c r="D694" i="7"/>
  <c r="F694" i="7" s="1"/>
  <c r="C694" i="7"/>
  <c r="B694" i="7"/>
  <c r="A694" i="7"/>
  <c r="E693" i="7"/>
  <c r="D693" i="7"/>
  <c r="F693" i="7" s="1"/>
  <c r="C693" i="7"/>
  <c r="B693" i="7"/>
  <c r="A693" i="7"/>
  <c r="E692" i="7"/>
  <c r="D692" i="7"/>
  <c r="F692" i="7" s="1"/>
  <c r="C692" i="7"/>
  <c r="B692" i="7"/>
  <c r="A692" i="7"/>
  <c r="E691" i="7"/>
  <c r="D691" i="7"/>
  <c r="F691" i="7" s="1"/>
  <c r="C691" i="7"/>
  <c r="B691" i="7"/>
  <c r="A691" i="7"/>
  <c r="E690" i="7"/>
  <c r="D690" i="7"/>
  <c r="F690" i="7" s="1"/>
  <c r="C690" i="7"/>
  <c r="B690" i="7"/>
  <c r="A690" i="7"/>
  <c r="E689" i="7"/>
  <c r="D689" i="7"/>
  <c r="F689" i="7" s="1"/>
  <c r="C689" i="7"/>
  <c r="B689" i="7"/>
  <c r="A689" i="7"/>
  <c r="E688" i="7"/>
  <c r="D688" i="7"/>
  <c r="F688" i="7" s="1"/>
  <c r="C688" i="7"/>
  <c r="B688" i="7"/>
  <c r="A688" i="7"/>
  <c r="E687" i="7"/>
  <c r="D687" i="7"/>
  <c r="F687" i="7" s="1"/>
  <c r="C687" i="7"/>
  <c r="B687" i="7"/>
  <c r="A687" i="7"/>
  <c r="E686" i="7"/>
  <c r="D686" i="7"/>
  <c r="F686" i="7" s="1"/>
  <c r="C686" i="7"/>
  <c r="B686" i="7"/>
  <c r="A686" i="7"/>
  <c r="E685" i="7"/>
  <c r="D685" i="7"/>
  <c r="F685" i="7" s="1"/>
  <c r="C685" i="7"/>
  <c r="B685" i="7"/>
  <c r="A685" i="7"/>
  <c r="E684" i="7"/>
  <c r="D684" i="7"/>
  <c r="F684" i="7" s="1"/>
  <c r="C684" i="7"/>
  <c r="B684" i="7"/>
  <c r="A684" i="7"/>
  <c r="E683" i="7"/>
  <c r="D683" i="7"/>
  <c r="F683" i="7" s="1"/>
  <c r="C683" i="7"/>
  <c r="B683" i="7"/>
  <c r="A683" i="7"/>
  <c r="E682" i="7"/>
  <c r="D682" i="7"/>
  <c r="F682" i="7" s="1"/>
  <c r="C682" i="7"/>
  <c r="B682" i="7"/>
  <c r="A682" i="7"/>
  <c r="E681" i="7"/>
  <c r="D681" i="7"/>
  <c r="F681" i="7" s="1"/>
  <c r="C681" i="7"/>
  <c r="B681" i="7"/>
  <c r="A681" i="7"/>
  <c r="E680" i="7"/>
  <c r="D680" i="7"/>
  <c r="F680" i="7" s="1"/>
  <c r="C680" i="7"/>
  <c r="B680" i="7"/>
  <c r="A680" i="7"/>
  <c r="F679" i="7"/>
  <c r="E679" i="7"/>
  <c r="D679" i="7"/>
  <c r="C679" i="7"/>
  <c r="B679" i="7"/>
  <c r="A679" i="7"/>
  <c r="E678" i="7"/>
  <c r="D678" i="7"/>
  <c r="F678" i="7" s="1"/>
  <c r="C678" i="7"/>
  <c r="B678" i="7"/>
  <c r="A678" i="7"/>
  <c r="F677" i="7"/>
  <c r="E677" i="7"/>
  <c r="D677" i="7"/>
  <c r="C677" i="7"/>
  <c r="B677" i="7"/>
  <c r="A677" i="7"/>
  <c r="E676" i="7"/>
  <c r="D676" i="7"/>
  <c r="F676" i="7" s="1"/>
  <c r="C676" i="7"/>
  <c r="B676" i="7"/>
  <c r="A676" i="7"/>
  <c r="E675" i="7"/>
  <c r="D675" i="7"/>
  <c r="F675" i="7" s="1"/>
  <c r="C675" i="7"/>
  <c r="B675" i="7"/>
  <c r="A675" i="7"/>
  <c r="E674" i="7"/>
  <c r="D674" i="7"/>
  <c r="F674" i="7" s="1"/>
  <c r="C674" i="7"/>
  <c r="B674" i="7"/>
  <c r="A674" i="7"/>
  <c r="E673" i="7"/>
  <c r="D673" i="7"/>
  <c r="F673" i="7" s="1"/>
  <c r="C673" i="7"/>
  <c r="B673" i="7"/>
  <c r="A673" i="7"/>
  <c r="F672" i="7"/>
  <c r="E672" i="7"/>
  <c r="D672" i="7"/>
  <c r="C672" i="7"/>
  <c r="B672" i="7"/>
  <c r="A672" i="7"/>
  <c r="E671" i="7"/>
  <c r="D671" i="7"/>
  <c r="F671" i="7" s="1"/>
  <c r="C671" i="7"/>
  <c r="B671" i="7"/>
  <c r="A671" i="7"/>
  <c r="E670" i="7"/>
  <c r="D670" i="7"/>
  <c r="F670" i="7" s="1"/>
  <c r="C670" i="7"/>
  <c r="B670" i="7"/>
  <c r="A670" i="7"/>
  <c r="F669" i="7"/>
  <c r="E669" i="7"/>
  <c r="D669" i="7"/>
  <c r="C669" i="7"/>
  <c r="B669" i="7"/>
  <c r="A669" i="7"/>
  <c r="E668" i="7"/>
  <c r="D668" i="7"/>
  <c r="F668" i="7" s="1"/>
  <c r="C668" i="7"/>
  <c r="B668" i="7"/>
  <c r="A668" i="7"/>
  <c r="E667" i="7"/>
  <c r="D667" i="7"/>
  <c r="F667" i="7" s="1"/>
  <c r="C667" i="7"/>
  <c r="B667" i="7"/>
  <c r="A667" i="7"/>
  <c r="E666" i="7"/>
  <c r="D666" i="7"/>
  <c r="F666" i="7" s="1"/>
  <c r="C666" i="7"/>
  <c r="B666" i="7"/>
  <c r="A666" i="7"/>
  <c r="E665" i="7"/>
  <c r="D665" i="7"/>
  <c r="F665" i="7" s="1"/>
  <c r="C665" i="7"/>
  <c r="B665" i="7"/>
  <c r="A665" i="7"/>
  <c r="E664" i="7"/>
  <c r="D664" i="7"/>
  <c r="F664" i="7" s="1"/>
  <c r="C664" i="7"/>
  <c r="B664" i="7"/>
  <c r="A664" i="7"/>
  <c r="E663" i="7"/>
  <c r="D663" i="7"/>
  <c r="F663" i="7" s="1"/>
  <c r="C663" i="7"/>
  <c r="B663" i="7"/>
  <c r="A663" i="7"/>
  <c r="E662" i="7"/>
  <c r="D662" i="7"/>
  <c r="F662" i="7" s="1"/>
  <c r="C662" i="7"/>
  <c r="B662" i="7"/>
  <c r="A662" i="7"/>
  <c r="F661" i="7"/>
  <c r="E661" i="7"/>
  <c r="D661" i="7"/>
  <c r="C661" i="7"/>
  <c r="B661" i="7"/>
  <c r="A661" i="7"/>
  <c r="E660" i="7"/>
  <c r="D660" i="7"/>
  <c r="F660" i="7" s="1"/>
  <c r="C660" i="7"/>
  <c r="B660" i="7"/>
  <c r="A660" i="7"/>
  <c r="E659" i="7"/>
  <c r="D659" i="7"/>
  <c r="F659" i="7" s="1"/>
  <c r="C659" i="7"/>
  <c r="B659" i="7"/>
  <c r="A659" i="7"/>
  <c r="E658" i="7"/>
  <c r="D658" i="7"/>
  <c r="F658" i="7" s="1"/>
  <c r="C658" i="7"/>
  <c r="B658" i="7"/>
  <c r="A658" i="7"/>
  <c r="F657" i="7"/>
  <c r="E657" i="7"/>
  <c r="D657" i="7"/>
  <c r="C657" i="7"/>
  <c r="B657" i="7"/>
  <c r="A657" i="7"/>
  <c r="E656" i="7"/>
  <c r="D656" i="7"/>
  <c r="F656" i="7" s="1"/>
  <c r="C656" i="7"/>
  <c r="B656" i="7"/>
  <c r="A656" i="7"/>
  <c r="E655" i="7"/>
  <c r="D655" i="7"/>
  <c r="F655" i="7" s="1"/>
  <c r="C655" i="7"/>
  <c r="B655" i="7"/>
  <c r="A655" i="7"/>
  <c r="E654" i="7"/>
  <c r="D654" i="7"/>
  <c r="F654" i="7" s="1"/>
  <c r="C654" i="7"/>
  <c r="B654" i="7"/>
  <c r="A654" i="7"/>
  <c r="E653" i="7"/>
  <c r="D653" i="7"/>
  <c r="F653" i="7" s="1"/>
  <c r="C653" i="7"/>
  <c r="B653" i="7"/>
  <c r="A653" i="7"/>
  <c r="E652" i="7"/>
  <c r="D652" i="7"/>
  <c r="F652" i="7" s="1"/>
  <c r="C652" i="7"/>
  <c r="B652" i="7"/>
  <c r="A652" i="7"/>
  <c r="F651" i="7"/>
  <c r="E651" i="7"/>
  <c r="D651" i="7"/>
  <c r="C651" i="7"/>
  <c r="B651" i="7"/>
  <c r="A651" i="7"/>
  <c r="E650" i="7"/>
  <c r="D650" i="7"/>
  <c r="F650" i="7" s="1"/>
  <c r="C650" i="7"/>
  <c r="B650" i="7"/>
  <c r="A650" i="7"/>
  <c r="F649" i="7"/>
  <c r="E649" i="7"/>
  <c r="D649" i="7"/>
  <c r="C649" i="7"/>
  <c r="B649" i="7"/>
  <c r="A649" i="7"/>
  <c r="E648" i="7"/>
  <c r="D648" i="7"/>
  <c r="F648" i="7" s="1"/>
  <c r="C648" i="7"/>
  <c r="B648" i="7"/>
  <c r="A648" i="7"/>
  <c r="E647" i="7"/>
  <c r="D647" i="7"/>
  <c r="F647" i="7" s="1"/>
  <c r="C647" i="7"/>
  <c r="B647" i="7"/>
  <c r="A647" i="7"/>
  <c r="E646" i="7"/>
  <c r="D646" i="7"/>
  <c r="F646" i="7" s="1"/>
  <c r="C646" i="7"/>
  <c r="B646" i="7"/>
  <c r="A646" i="7"/>
  <c r="E645" i="7"/>
  <c r="D645" i="7"/>
  <c r="F645" i="7" s="1"/>
  <c r="C645" i="7"/>
  <c r="B645" i="7"/>
  <c r="A645" i="7"/>
  <c r="E644" i="7"/>
  <c r="D644" i="7"/>
  <c r="F644" i="7" s="1"/>
  <c r="C644" i="7"/>
  <c r="B644" i="7"/>
  <c r="A644" i="7"/>
  <c r="E643" i="7"/>
  <c r="D643" i="7"/>
  <c r="F643" i="7" s="1"/>
  <c r="C643" i="7"/>
  <c r="B643" i="7"/>
  <c r="A643" i="7"/>
  <c r="E642" i="7"/>
  <c r="D642" i="7"/>
  <c r="F642" i="7" s="1"/>
  <c r="C642" i="7"/>
  <c r="B642" i="7"/>
  <c r="A642" i="7"/>
  <c r="F641" i="7"/>
  <c r="E641" i="7"/>
  <c r="D641" i="7"/>
  <c r="C641" i="7"/>
  <c r="B641" i="7"/>
  <c r="A641" i="7"/>
  <c r="E640" i="7"/>
  <c r="D640" i="7"/>
  <c r="F640" i="7" s="1"/>
  <c r="C640" i="7"/>
  <c r="B640" i="7"/>
  <c r="A640" i="7"/>
  <c r="E639" i="7"/>
  <c r="D639" i="7"/>
  <c r="F639" i="7" s="1"/>
  <c r="C639" i="7"/>
  <c r="B639" i="7"/>
  <c r="A639" i="7"/>
  <c r="E638" i="7"/>
  <c r="D638" i="7"/>
  <c r="F638" i="7" s="1"/>
  <c r="C638" i="7"/>
  <c r="B638" i="7"/>
  <c r="A638" i="7"/>
  <c r="E637" i="7"/>
  <c r="D637" i="7"/>
  <c r="F637" i="7" s="1"/>
  <c r="C637" i="7"/>
  <c r="B637" i="7"/>
  <c r="A637" i="7"/>
  <c r="F636" i="7"/>
  <c r="E636" i="7"/>
  <c r="D636" i="7"/>
  <c r="C636" i="7"/>
  <c r="B636" i="7"/>
  <c r="A636" i="7"/>
  <c r="E635" i="7"/>
  <c r="D635" i="7"/>
  <c r="F635" i="7" s="1"/>
  <c r="C635" i="7"/>
  <c r="B635" i="7"/>
  <c r="A635" i="7"/>
  <c r="E634" i="7"/>
  <c r="D634" i="7"/>
  <c r="F634" i="7" s="1"/>
  <c r="C634" i="7"/>
  <c r="B634" i="7"/>
  <c r="A634" i="7"/>
  <c r="F633" i="7"/>
  <c r="E633" i="7"/>
  <c r="D633" i="7"/>
  <c r="C633" i="7"/>
  <c r="B633" i="7"/>
  <c r="A633" i="7"/>
  <c r="E632" i="7"/>
  <c r="D632" i="7"/>
  <c r="F632" i="7" s="1"/>
  <c r="C632" i="7"/>
  <c r="B632" i="7"/>
  <c r="A632" i="7"/>
  <c r="E631" i="7"/>
  <c r="D631" i="7"/>
  <c r="F631" i="7" s="1"/>
  <c r="C631" i="7"/>
  <c r="B631" i="7"/>
  <c r="A631" i="7"/>
  <c r="E630" i="7"/>
  <c r="D630" i="7"/>
  <c r="F630" i="7" s="1"/>
  <c r="C630" i="7"/>
  <c r="B630" i="7"/>
  <c r="A630" i="7"/>
  <c r="E629" i="7"/>
  <c r="D629" i="7"/>
  <c r="F629" i="7" s="1"/>
  <c r="C629" i="7"/>
  <c r="B629" i="7"/>
  <c r="A629" i="7"/>
  <c r="E628" i="7"/>
  <c r="D628" i="7"/>
  <c r="F628" i="7" s="1"/>
  <c r="C628" i="7"/>
  <c r="B628" i="7"/>
  <c r="A628" i="7"/>
  <c r="E627" i="7"/>
  <c r="D627" i="7"/>
  <c r="F627" i="7" s="1"/>
  <c r="C627" i="7"/>
  <c r="B627" i="7"/>
  <c r="A627" i="7"/>
  <c r="E626" i="7"/>
  <c r="D626" i="7"/>
  <c r="F626" i="7" s="1"/>
  <c r="C626" i="7"/>
  <c r="B626" i="7"/>
  <c r="A626" i="7"/>
  <c r="E625" i="7"/>
  <c r="D625" i="7"/>
  <c r="F625" i="7" s="1"/>
  <c r="C625" i="7"/>
  <c r="B625" i="7"/>
  <c r="A625" i="7"/>
  <c r="E624" i="7"/>
  <c r="D624" i="7"/>
  <c r="F624" i="7" s="1"/>
  <c r="C624" i="7"/>
  <c r="B624" i="7"/>
  <c r="A624" i="7"/>
  <c r="E623" i="7"/>
  <c r="D623" i="7"/>
  <c r="F623" i="7" s="1"/>
  <c r="C623" i="7"/>
  <c r="B623" i="7"/>
  <c r="A623" i="7"/>
  <c r="E622" i="7"/>
  <c r="D622" i="7"/>
  <c r="F622" i="7" s="1"/>
  <c r="C622" i="7"/>
  <c r="B622" i="7"/>
  <c r="A622" i="7"/>
  <c r="F621" i="7"/>
  <c r="E621" i="7"/>
  <c r="D621" i="7"/>
  <c r="C621" i="7"/>
  <c r="B621" i="7"/>
  <c r="A621" i="7"/>
  <c r="E620" i="7"/>
  <c r="D620" i="7"/>
  <c r="F620" i="7" s="1"/>
  <c r="C620" i="7"/>
  <c r="B620" i="7"/>
  <c r="A620" i="7"/>
  <c r="E619" i="7"/>
  <c r="D619" i="7"/>
  <c r="F619" i="7" s="1"/>
  <c r="C619" i="7"/>
  <c r="B619" i="7"/>
  <c r="A619" i="7"/>
  <c r="E618" i="7"/>
  <c r="D618" i="7"/>
  <c r="F618" i="7" s="1"/>
  <c r="C618" i="7"/>
  <c r="B618" i="7"/>
  <c r="A618" i="7"/>
  <c r="E617" i="7"/>
  <c r="D617" i="7"/>
  <c r="F617" i="7" s="1"/>
  <c r="C617" i="7"/>
  <c r="B617" i="7"/>
  <c r="A617" i="7"/>
  <c r="E616" i="7"/>
  <c r="D616" i="7"/>
  <c r="F616" i="7" s="1"/>
  <c r="C616" i="7"/>
  <c r="B616" i="7"/>
  <c r="A616" i="7"/>
  <c r="F615" i="7"/>
  <c r="E615" i="7"/>
  <c r="D615" i="7"/>
  <c r="C615" i="7"/>
  <c r="B615" i="7"/>
  <c r="A615" i="7"/>
  <c r="E614" i="7"/>
  <c r="D614" i="7"/>
  <c r="F614" i="7" s="1"/>
  <c r="C614" i="7"/>
  <c r="B614" i="7"/>
  <c r="A614" i="7"/>
  <c r="F613" i="7"/>
  <c r="E613" i="7"/>
  <c r="D613" i="7"/>
  <c r="C613" i="7"/>
  <c r="B613" i="7"/>
  <c r="A613" i="7"/>
  <c r="E612" i="7"/>
  <c r="D612" i="7"/>
  <c r="F612" i="7" s="1"/>
  <c r="C612" i="7"/>
  <c r="B612" i="7"/>
  <c r="A612" i="7"/>
  <c r="F611" i="7"/>
  <c r="E611" i="7"/>
  <c r="D611" i="7"/>
  <c r="C611" i="7"/>
  <c r="B611" i="7"/>
  <c r="A611" i="7"/>
  <c r="E610" i="7"/>
  <c r="D610" i="7"/>
  <c r="F610" i="7" s="1"/>
  <c r="C610" i="7"/>
  <c r="B610" i="7"/>
  <c r="A610" i="7"/>
  <c r="E609" i="7"/>
  <c r="D609" i="7"/>
  <c r="F609" i="7" s="1"/>
  <c r="C609" i="7"/>
  <c r="B609" i="7"/>
  <c r="A609" i="7"/>
  <c r="F608" i="7"/>
  <c r="E608" i="7"/>
  <c r="D608" i="7"/>
  <c r="C608" i="7"/>
  <c r="B608" i="7"/>
  <c r="A608" i="7"/>
  <c r="E607" i="7"/>
  <c r="D607" i="7"/>
  <c r="F607" i="7" s="1"/>
  <c r="C607" i="7"/>
  <c r="B607" i="7"/>
  <c r="A607" i="7"/>
  <c r="E606" i="7"/>
  <c r="D606" i="7"/>
  <c r="F606" i="7" s="1"/>
  <c r="C606" i="7"/>
  <c r="B606" i="7"/>
  <c r="A606" i="7"/>
  <c r="F605" i="7"/>
  <c r="E605" i="7"/>
  <c r="D605" i="7"/>
  <c r="C605" i="7"/>
  <c r="B605" i="7"/>
  <c r="A605" i="7"/>
  <c r="E604" i="7"/>
  <c r="D604" i="7"/>
  <c r="F604" i="7" s="1"/>
  <c r="C604" i="7"/>
  <c r="B604" i="7"/>
  <c r="A604" i="7"/>
  <c r="E603" i="7"/>
  <c r="D603" i="7"/>
  <c r="F603" i="7" s="1"/>
  <c r="C603" i="7"/>
  <c r="B603" i="7"/>
  <c r="A603" i="7"/>
  <c r="E602" i="7"/>
  <c r="D602" i="7"/>
  <c r="F602" i="7" s="1"/>
  <c r="C602" i="7"/>
  <c r="B602" i="7"/>
  <c r="A602" i="7"/>
  <c r="E601" i="7"/>
  <c r="D601" i="7"/>
  <c r="F601" i="7" s="1"/>
  <c r="C601" i="7"/>
  <c r="B601" i="7"/>
  <c r="A601" i="7"/>
  <c r="E600" i="7"/>
  <c r="D600" i="7"/>
  <c r="F600" i="7" s="1"/>
  <c r="C600" i="7"/>
  <c r="B600" i="7"/>
  <c r="A600" i="7"/>
  <c r="E599" i="7"/>
  <c r="D599" i="7"/>
  <c r="F599" i="7" s="1"/>
  <c r="C599" i="7"/>
  <c r="B599" i="7"/>
  <c r="A599" i="7"/>
  <c r="E598" i="7"/>
  <c r="D598" i="7"/>
  <c r="F598" i="7" s="1"/>
  <c r="C598" i="7"/>
  <c r="B598" i="7"/>
  <c r="A598" i="7"/>
  <c r="E597" i="7"/>
  <c r="D597" i="7"/>
  <c r="F597" i="7" s="1"/>
  <c r="C597" i="7"/>
  <c r="B597" i="7"/>
  <c r="A597" i="7"/>
  <c r="E596" i="7"/>
  <c r="D596" i="7"/>
  <c r="F596" i="7" s="1"/>
  <c r="C596" i="7"/>
  <c r="B596" i="7"/>
  <c r="A596" i="7"/>
  <c r="E595" i="7"/>
  <c r="D595" i="7"/>
  <c r="F595" i="7" s="1"/>
  <c r="C595" i="7"/>
  <c r="B595" i="7"/>
  <c r="A595" i="7"/>
  <c r="E594" i="7"/>
  <c r="D594" i="7"/>
  <c r="F594" i="7" s="1"/>
  <c r="C594" i="7"/>
  <c r="B594" i="7"/>
  <c r="A594" i="7"/>
  <c r="F593" i="7"/>
  <c r="E593" i="7"/>
  <c r="D593" i="7"/>
  <c r="C593" i="7"/>
  <c r="B593" i="7"/>
  <c r="A593" i="7"/>
  <c r="E592" i="7"/>
  <c r="D592" i="7"/>
  <c r="F592" i="7" s="1"/>
  <c r="C592" i="7"/>
  <c r="B592" i="7"/>
  <c r="A592" i="7"/>
  <c r="E591" i="7"/>
  <c r="D591" i="7"/>
  <c r="F591" i="7" s="1"/>
  <c r="C591" i="7"/>
  <c r="B591" i="7"/>
  <c r="A591" i="7"/>
  <c r="E590" i="7"/>
  <c r="D590" i="7"/>
  <c r="F590" i="7" s="1"/>
  <c r="C590" i="7"/>
  <c r="B590" i="7"/>
  <c r="A590" i="7"/>
  <c r="F589" i="7"/>
  <c r="E589" i="7"/>
  <c r="D589" i="7"/>
  <c r="C589" i="7"/>
  <c r="B589" i="7"/>
  <c r="A589" i="7"/>
  <c r="E588" i="7"/>
  <c r="D588" i="7"/>
  <c r="F588" i="7" s="1"/>
  <c r="C588" i="7"/>
  <c r="B588" i="7"/>
  <c r="A588" i="7"/>
  <c r="F587" i="7"/>
  <c r="E587" i="7"/>
  <c r="D587" i="7"/>
  <c r="C587" i="7"/>
  <c r="B587" i="7"/>
  <c r="A587" i="7"/>
  <c r="E586" i="7"/>
  <c r="D586" i="7"/>
  <c r="F586" i="7" s="1"/>
  <c r="C586" i="7"/>
  <c r="B586" i="7"/>
  <c r="A586" i="7"/>
  <c r="E585" i="7"/>
  <c r="D585" i="7"/>
  <c r="F585" i="7" s="1"/>
  <c r="C585" i="7"/>
  <c r="B585" i="7"/>
  <c r="A585" i="7"/>
  <c r="E584" i="7"/>
  <c r="D584" i="7"/>
  <c r="F584" i="7" s="1"/>
  <c r="C584" i="7"/>
  <c r="B584" i="7"/>
  <c r="A584" i="7"/>
  <c r="E583" i="7"/>
  <c r="D583" i="7"/>
  <c r="F583" i="7" s="1"/>
  <c r="C583" i="7"/>
  <c r="B583" i="7"/>
  <c r="A583" i="7"/>
  <c r="E582" i="7"/>
  <c r="D582" i="7"/>
  <c r="F582" i="7" s="1"/>
  <c r="C582" i="7"/>
  <c r="B582" i="7"/>
  <c r="A582" i="7"/>
  <c r="E581" i="7"/>
  <c r="D581" i="7"/>
  <c r="F581" i="7" s="1"/>
  <c r="C581" i="7"/>
  <c r="B581" i="7"/>
  <c r="A581" i="7"/>
  <c r="F580" i="7"/>
  <c r="E580" i="7"/>
  <c r="D580" i="7"/>
  <c r="C580" i="7"/>
  <c r="B580" i="7"/>
  <c r="A580" i="7"/>
  <c r="E579" i="7"/>
  <c r="D579" i="7"/>
  <c r="F579" i="7" s="1"/>
  <c r="C579" i="7"/>
  <c r="B579" i="7"/>
  <c r="A579" i="7"/>
  <c r="E578" i="7"/>
  <c r="D578" i="7"/>
  <c r="F578" i="7" s="1"/>
  <c r="C578" i="7"/>
  <c r="B578" i="7"/>
  <c r="A578" i="7"/>
  <c r="F577" i="7"/>
  <c r="E577" i="7"/>
  <c r="D577" i="7"/>
  <c r="C577" i="7"/>
  <c r="B577" i="7"/>
  <c r="A577" i="7"/>
  <c r="E576" i="7"/>
  <c r="D576" i="7"/>
  <c r="F576" i="7" s="1"/>
  <c r="C576" i="7"/>
  <c r="B576" i="7"/>
  <c r="A576" i="7"/>
  <c r="E575" i="7"/>
  <c r="D575" i="7"/>
  <c r="F575" i="7" s="1"/>
  <c r="C575" i="7"/>
  <c r="B575" i="7"/>
  <c r="A575" i="7"/>
  <c r="E574" i="7"/>
  <c r="D574" i="7"/>
  <c r="F574" i="7" s="1"/>
  <c r="C574" i="7"/>
  <c r="B574" i="7"/>
  <c r="A574" i="7"/>
  <c r="E573" i="7"/>
  <c r="D573" i="7"/>
  <c r="F573" i="7" s="1"/>
  <c r="C573" i="7"/>
  <c r="B573" i="7"/>
  <c r="A573" i="7"/>
  <c r="F572" i="7"/>
  <c r="E572" i="7"/>
  <c r="D572" i="7"/>
  <c r="C572" i="7"/>
  <c r="B572" i="7"/>
  <c r="A572" i="7"/>
  <c r="E571" i="7"/>
  <c r="D571" i="7"/>
  <c r="F571" i="7" s="1"/>
  <c r="C571" i="7"/>
  <c r="B571" i="7"/>
  <c r="A571" i="7"/>
  <c r="E570" i="7"/>
  <c r="D570" i="7"/>
  <c r="F570" i="7" s="1"/>
  <c r="C570" i="7"/>
  <c r="B570" i="7"/>
  <c r="A570" i="7"/>
  <c r="F569" i="7"/>
  <c r="E569" i="7"/>
  <c r="D569" i="7"/>
  <c r="C569" i="7"/>
  <c r="B569" i="7"/>
  <c r="A569" i="7"/>
  <c r="E568" i="7"/>
  <c r="D568" i="7"/>
  <c r="F568" i="7" s="1"/>
  <c r="C568" i="7"/>
  <c r="B568" i="7"/>
  <c r="A568" i="7"/>
  <c r="E567" i="7"/>
  <c r="D567" i="7"/>
  <c r="F567" i="7" s="1"/>
  <c r="C567" i="7"/>
  <c r="B567" i="7"/>
  <c r="A567" i="7"/>
  <c r="E566" i="7"/>
  <c r="D566" i="7"/>
  <c r="F566" i="7" s="1"/>
  <c r="C566" i="7"/>
  <c r="B566" i="7"/>
  <c r="A566" i="7"/>
  <c r="E565" i="7"/>
  <c r="D565" i="7"/>
  <c r="F565" i="7" s="1"/>
  <c r="C565" i="7"/>
  <c r="B565" i="7"/>
  <c r="A565" i="7"/>
  <c r="E564" i="7"/>
  <c r="D564" i="7"/>
  <c r="F564" i="7" s="1"/>
  <c r="C564" i="7"/>
  <c r="B564" i="7"/>
  <c r="A564" i="7"/>
  <c r="E563" i="7"/>
  <c r="D563" i="7"/>
  <c r="F563" i="7" s="1"/>
  <c r="C563" i="7"/>
  <c r="B563" i="7"/>
  <c r="A563" i="7"/>
  <c r="E562" i="7"/>
  <c r="D562" i="7"/>
  <c r="F562" i="7" s="1"/>
  <c r="C562" i="7"/>
  <c r="B562" i="7"/>
  <c r="A562" i="7"/>
  <c r="E561" i="7"/>
  <c r="D561" i="7"/>
  <c r="F561" i="7" s="1"/>
  <c r="C561" i="7"/>
  <c r="B561" i="7"/>
  <c r="A561" i="7"/>
  <c r="E560" i="7"/>
  <c r="D560" i="7"/>
  <c r="F560" i="7" s="1"/>
  <c r="C560" i="7"/>
  <c r="B560" i="7"/>
  <c r="A560" i="7"/>
  <c r="E559" i="7"/>
  <c r="D559" i="7"/>
  <c r="F559" i="7" s="1"/>
  <c r="C559" i="7"/>
  <c r="B559" i="7"/>
  <c r="A559" i="7"/>
  <c r="E558" i="7"/>
  <c r="D558" i="7"/>
  <c r="F558" i="7" s="1"/>
  <c r="C558" i="7"/>
  <c r="B558" i="7"/>
  <c r="A558" i="7"/>
  <c r="F557" i="7"/>
  <c r="E557" i="7"/>
  <c r="D557" i="7"/>
  <c r="C557" i="7"/>
  <c r="B557" i="7"/>
  <c r="A557" i="7"/>
  <c r="E556" i="7"/>
  <c r="D556" i="7"/>
  <c r="F556" i="7" s="1"/>
  <c r="C556" i="7"/>
  <c r="B556" i="7"/>
  <c r="A556" i="7"/>
  <c r="E555" i="7"/>
  <c r="D555" i="7"/>
  <c r="F555" i="7" s="1"/>
  <c r="C555" i="7"/>
  <c r="B555" i="7"/>
  <c r="A555" i="7"/>
  <c r="E554" i="7"/>
  <c r="D554" i="7"/>
  <c r="F554" i="7" s="1"/>
  <c r="C554" i="7"/>
  <c r="B554" i="7"/>
  <c r="A554" i="7"/>
  <c r="E553" i="7"/>
  <c r="D553" i="7"/>
  <c r="F553" i="7" s="1"/>
  <c r="C553" i="7"/>
  <c r="B553" i="7"/>
  <c r="A553" i="7"/>
  <c r="E552" i="7"/>
  <c r="D552" i="7"/>
  <c r="F552" i="7" s="1"/>
  <c r="C552" i="7"/>
  <c r="B552" i="7"/>
  <c r="A552" i="7"/>
  <c r="F551" i="7"/>
  <c r="E551" i="7"/>
  <c r="D551" i="7"/>
  <c r="C551" i="7"/>
  <c r="B551" i="7"/>
  <c r="A551" i="7"/>
  <c r="E550" i="7"/>
  <c r="D550" i="7"/>
  <c r="F550" i="7" s="1"/>
  <c r="C550" i="7"/>
  <c r="B550" i="7"/>
  <c r="A550" i="7"/>
  <c r="F549" i="7"/>
  <c r="E549" i="7"/>
  <c r="D549" i="7"/>
  <c r="C549" i="7"/>
  <c r="B549" i="7"/>
  <c r="A549" i="7"/>
  <c r="F548" i="7"/>
  <c r="E548" i="7"/>
  <c r="D548" i="7"/>
  <c r="C548" i="7"/>
  <c r="B548" i="7"/>
  <c r="A548" i="7"/>
  <c r="E547" i="7"/>
  <c r="D547" i="7"/>
  <c r="F547" i="7" s="1"/>
  <c r="C547" i="7"/>
  <c r="B547" i="7"/>
  <c r="A547" i="7"/>
  <c r="E546" i="7"/>
  <c r="D546" i="7"/>
  <c r="F546" i="7" s="1"/>
  <c r="C546" i="7"/>
  <c r="B546" i="7"/>
  <c r="A546" i="7"/>
  <c r="E545" i="7"/>
  <c r="D545" i="7"/>
  <c r="F545" i="7" s="1"/>
  <c r="C545" i="7"/>
  <c r="B545" i="7"/>
  <c r="A545" i="7"/>
  <c r="F544" i="7"/>
  <c r="E544" i="7"/>
  <c r="D544" i="7"/>
  <c r="C544" i="7"/>
  <c r="B544" i="7"/>
  <c r="A544" i="7"/>
  <c r="E543" i="7"/>
  <c r="D543" i="7"/>
  <c r="F543" i="7" s="1"/>
  <c r="C543" i="7"/>
  <c r="B543" i="7"/>
  <c r="A543" i="7"/>
  <c r="E542" i="7"/>
  <c r="D542" i="7"/>
  <c r="F542" i="7" s="1"/>
  <c r="C542" i="7"/>
  <c r="B542" i="7"/>
  <c r="A542" i="7"/>
  <c r="F541" i="7"/>
  <c r="E541" i="7"/>
  <c r="D541" i="7"/>
  <c r="C541" i="7"/>
  <c r="B541" i="7"/>
  <c r="A541" i="7"/>
  <c r="E540" i="7"/>
  <c r="D540" i="7"/>
  <c r="F540" i="7" s="1"/>
  <c r="C540" i="7"/>
  <c r="B540" i="7"/>
  <c r="A540" i="7"/>
  <c r="E539" i="7"/>
  <c r="D539" i="7"/>
  <c r="F539" i="7" s="1"/>
  <c r="C539" i="7"/>
  <c r="B539" i="7"/>
  <c r="A539" i="7"/>
  <c r="E538" i="7"/>
  <c r="D538" i="7"/>
  <c r="F538" i="7" s="1"/>
  <c r="C538" i="7"/>
  <c r="B538" i="7"/>
  <c r="A538" i="7"/>
  <c r="E537" i="7"/>
  <c r="D537" i="7"/>
  <c r="F537" i="7" s="1"/>
  <c r="C537" i="7"/>
  <c r="B537" i="7"/>
  <c r="A537" i="7"/>
  <c r="E536" i="7"/>
  <c r="D536" i="7"/>
  <c r="F536" i="7" s="1"/>
  <c r="C536" i="7"/>
  <c r="B536" i="7"/>
  <c r="A536" i="7"/>
  <c r="E535" i="7"/>
  <c r="D535" i="7"/>
  <c r="F535" i="7" s="1"/>
  <c r="C535" i="7"/>
  <c r="B535" i="7"/>
  <c r="A535" i="7"/>
  <c r="E534" i="7"/>
  <c r="D534" i="7"/>
  <c r="F534" i="7" s="1"/>
  <c r="C534" i="7"/>
  <c r="B534" i="7"/>
  <c r="A534" i="7"/>
  <c r="F533" i="7"/>
  <c r="E533" i="7"/>
  <c r="D533" i="7"/>
  <c r="C533" i="7"/>
  <c r="B533" i="7"/>
  <c r="A533" i="7"/>
  <c r="E532" i="7"/>
  <c r="D532" i="7"/>
  <c r="F532" i="7" s="1"/>
  <c r="C532" i="7"/>
  <c r="B532" i="7"/>
  <c r="A532" i="7"/>
  <c r="E531" i="7"/>
  <c r="D531" i="7"/>
  <c r="F531" i="7" s="1"/>
  <c r="C531" i="7"/>
  <c r="B531" i="7"/>
  <c r="A531" i="7"/>
  <c r="E530" i="7"/>
  <c r="D530" i="7"/>
  <c r="F530" i="7" s="1"/>
  <c r="C530" i="7"/>
  <c r="B530" i="7"/>
  <c r="A530" i="7"/>
  <c r="F529" i="7"/>
  <c r="E529" i="7"/>
  <c r="D529" i="7"/>
  <c r="C529" i="7"/>
  <c r="B529" i="7"/>
  <c r="A529" i="7"/>
  <c r="E528" i="7"/>
  <c r="D528" i="7"/>
  <c r="F528" i="7" s="1"/>
  <c r="C528" i="7"/>
  <c r="B528" i="7"/>
  <c r="A528" i="7"/>
  <c r="E527" i="7"/>
  <c r="D527" i="7"/>
  <c r="F527" i="7" s="1"/>
  <c r="C527" i="7"/>
  <c r="B527" i="7"/>
  <c r="A527" i="7"/>
  <c r="E526" i="7"/>
  <c r="D526" i="7"/>
  <c r="F526" i="7" s="1"/>
  <c r="C526" i="7"/>
  <c r="B526" i="7"/>
  <c r="A526" i="7"/>
  <c r="E525" i="7"/>
  <c r="D525" i="7"/>
  <c r="F525" i="7" s="1"/>
  <c r="C525" i="7"/>
  <c r="B525" i="7"/>
  <c r="A525" i="7"/>
  <c r="E524" i="7"/>
  <c r="D524" i="7"/>
  <c r="F524" i="7" s="1"/>
  <c r="C524" i="7"/>
  <c r="B524" i="7"/>
  <c r="A524" i="7"/>
  <c r="F523" i="7"/>
  <c r="E523" i="7"/>
  <c r="D523" i="7"/>
  <c r="C523" i="7"/>
  <c r="B523" i="7"/>
  <c r="A523" i="7"/>
  <c r="E522" i="7"/>
  <c r="D522" i="7"/>
  <c r="F522" i="7" s="1"/>
  <c r="C522" i="7"/>
  <c r="B522" i="7"/>
  <c r="A522" i="7"/>
  <c r="F521" i="7"/>
  <c r="E521" i="7"/>
  <c r="D521" i="7"/>
  <c r="C521" i="7"/>
  <c r="B521" i="7"/>
  <c r="A521" i="7"/>
  <c r="E520" i="7"/>
  <c r="D520" i="7"/>
  <c r="F520" i="7" s="1"/>
  <c r="C520" i="7"/>
  <c r="B520" i="7"/>
  <c r="A520" i="7"/>
  <c r="E519" i="7"/>
  <c r="D519" i="7"/>
  <c r="F519" i="7" s="1"/>
  <c r="C519" i="7"/>
  <c r="B519" i="7"/>
  <c r="A519" i="7"/>
  <c r="E518" i="7"/>
  <c r="D518" i="7"/>
  <c r="F518" i="7" s="1"/>
  <c r="C518" i="7"/>
  <c r="B518" i="7"/>
  <c r="A518" i="7"/>
  <c r="F517" i="7"/>
  <c r="E517" i="7"/>
  <c r="D517" i="7"/>
  <c r="C517" i="7"/>
  <c r="B517" i="7"/>
  <c r="A517" i="7"/>
  <c r="F516" i="7"/>
  <c r="E516" i="7"/>
  <c r="D516" i="7"/>
  <c r="C516" i="7"/>
  <c r="B516" i="7"/>
  <c r="A516" i="7"/>
  <c r="E515" i="7"/>
  <c r="D515" i="7"/>
  <c r="F515" i="7" s="1"/>
  <c r="C515" i="7"/>
  <c r="B515" i="7"/>
  <c r="A515" i="7"/>
  <c r="E514" i="7"/>
  <c r="D514" i="7"/>
  <c r="F514" i="7" s="1"/>
  <c r="C514" i="7"/>
  <c r="B514" i="7"/>
  <c r="A514" i="7"/>
  <c r="F513" i="7"/>
  <c r="E513" i="7"/>
  <c r="D513" i="7"/>
  <c r="C513" i="7"/>
  <c r="B513" i="7"/>
  <c r="A513" i="7"/>
  <c r="E512" i="7"/>
  <c r="D512" i="7"/>
  <c r="F512" i="7" s="1"/>
  <c r="C512" i="7"/>
  <c r="B512" i="7"/>
  <c r="A512" i="7"/>
  <c r="E511" i="7"/>
  <c r="D511" i="7"/>
  <c r="F511" i="7" s="1"/>
  <c r="C511" i="7"/>
  <c r="B511" i="7"/>
  <c r="A511" i="7"/>
  <c r="E510" i="7"/>
  <c r="D510" i="7"/>
  <c r="F510" i="7" s="1"/>
  <c r="C510" i="7"/>
  <c r="B510" i="7"/>
  <c r="A510" i="7"/>
  <c r="E509" i="7"/>
  <c r="D509" i="7"/>
  <c r="F509" i="7" s="1"/>
  <c r="C509" i="7"/>
  <c r="B509" i="7"/>
  <c r="A509" i="7"/>
  <c r="F508" i="7"/>
  <c r="E508" i="7"/>
  <c r="D508" i="7"/>
  <c r="C508" i="7"/>
  <c r="B508" i="7"/>
  <c r="A508" i="7"/>
  <c r="E507" i="7"/>
  <c r="D507" i="7"/>
  <c r="F507" i="7" s="1"/>
  <c r="C507" i="7"/>
  <c r="B507" i="7"/>
  <c r="A507" i="7"/>
  <c r="E506" i="7"/>
  <c r="D506" i="7"/>
  <c r="F506" i="7" s="1"/>
  <c r="C506" i="7"/>
  <c r="B506" i="7"/>
  <c r="A506" i="7"/>
  <c r="F505" i="7"/>
  <c r="E505" i="7"/>
  <c r="D505" i="7"/>
  <c r="C505" i="7"/>
  <c r="B505" i="7"/>
  <c r="A505" i="7"/>
  <c r="E504" i="7"/>
  <c r="D504" i="7"/>
  <c r="F504" i="7" s="1"/>
  <c r="C504" i="7"/>
  <c r="B504" i="7"/>
  <c r="A504" i="7"/>
  <c r="E503" i="7"/>
  <c r="D503" i="7"/>
  <c r="F503" i="7" s="1"/>
  <c r="C503" i="7"/>
  <c r="B503" i="7"/>
  <c r="A503" i="7"/>
  <c r="E502" i="7"/>
  <c r="D502" i="7"/>
  <c r="F502" i="7" s="1"/>
  <c r="C502" i="7"/>
  <c r="B502" i="7"/>
  <c r="A502" i="7"/>
  <c r="E501" i="7"/>
  <c r="D501" i="7"/>
  <c r="F501" i="7" s="1"/>
  <c r="C501" i="7"/>
  <c r="B501" i="7"/>
  <c r="A501" i="7"/>
  <c r="E500" i="7"/>
  <c r="D500" i="7"/>
  <c r="F500" i="7" s="1"/>
  <c r="C500" i="7"/>
  <c r="B500" i="7"/>
  <c r="A500" i="7"/>
  <c r="E499" i="7"/>
  <c r="D499" i="7"/>
  <c r="F499" i="7" s="1"/>
  <c r="C499" i="7"/>
  <c r="B499" i="7"/>
  <c r="A499" i="7"/>
  <c r="E498" i="7"/>
  <c r="D498" i="7"/>
  <c r="F498" i="7" s="1"/>
  <c r="C498" i="7"/>
  <c r="B498" i="7"/>
  <c r="A498" i="7"/>
  <c r="E497" i="7"/>
  <c r="D497" i="7"/>
  <c r="F497" i="7" s="1"/>
  <c r="C497" i="7"/>
  <c r="B497" i="7"/>
  <c r="A497" i="7"/>
  <c r="E496" i="7"/>
  <c r="D496" i="7"/>
  <c r="F496" i="7" s="1"/>
  <c r="C496" i="7"/>
  <c r="B496" i="7"/>
  <c r="A496" i="7"/>
  <c r="E495" i="7"/>
  <c r="D495" i="7"/>
  <c r="F495" i="7" s="1"/>
  <c r="C495" i="7"/>
  <c r="B495" i="7"/>
  <c r="A495" i="7"/>
  <c r="E494" i="7"/>
  <c r="D494" i="7"/>
  <c r="F494" i="7" s="1"/>
  <c r="C494" i="7"/>
  <c r="B494" i="7"/>
  <c r="A494" i="7"/>
  <c r="F493" i="7"/>
  <c r="E493" i="7"/>
  <c r="D493" i="7"/>
  <c r="C493" i="7"/>
  <c r="B493" i="7"/>
  <c r="A493" i="7"/>
  <c r="E492" i="7"/>
  <c r="D492" i="7"/>
  <c r="F492" i="7" s="1"/>
  <c r="C492" i="7"/>
  <c r="B492" i="7"/>
  <c r="A492" i="7"/>
  <c r="E491" i="7"/>
  <c r="D491" i="7"/>
  <c r="F491" i="7" s="1"/>
  <c r="C491" i="7"/>
  <c r="B491" i="7"/>
  <c r="A491" i="7"/>
  <c r="E490" i="7"/>
  <c r="D490" i="7"/>
  <c r="F490" i="7" s="1"/>
  <c r="C490" i="7"/>
  <c r="B490" i="7"/>
  <c r="A490" i="7"/>
  <c r="E489" i="7"/>
  <c r="D489" i="7"/>
  <c r="F489" i="7" s="1"/>
  <c r="C489" i="7"/>
  <c r="B489" i="7"/>
  <c r="A489" i="7"/>
  <c r="E488" i="7"/>
  <c r="D488" i="7"/>
  <c r="F488" i="7" s="1"/>
  <c r="C488" i="7"/>
  <c r="B488" i="7"/>
  <c r="A488" i="7"/>
  <c r="F487" i="7"/>
  <c r="E487" i="7"/>
  <c r="D487" i="7"/>
  <c r="C487" i="7"/>
  <c r="B487" i="7"/>
  <c r="A487" i="7"/>
  <c r="E486" i="7"/>
  <c r="D486" i="7"/>
  <c r="F486" i="7" s="1"/>
  <c r="C486" i="7"/>
  <c r="B486" i="7"/>
  <c r="A486" i="7"/>
  <c r="E485" i="7"/>
  <c r="D485" i="7"/>
  <c r="F485" i="7" s="1"/>
  <c r="C485" i="7"/>
  <c r="B485" i="7"/>
  <c r="A485" i="7"/>
  <c r="E484" i="7"/>
  <c r="D484" i="7"/>
  <c r="F484" i="7" s="1"/>
  <c r="C484" i="7"/>
  <c r="B484" i="7"/>
  <c r="A484" i="7"/>
  <c r="F483" i="7"/>
  <c r="E483" i="7"/>
  <c r="D483" i="7"/>
  <c r="C483" i="7"/>
  <c r="B483" i="7"/>
  <c r="A483" i="7"/>
  <c r="E482" i="7"/>
  <c r="D482" i="7"/>
  <c r="F482" i="7" s="1"/>
  <c r="C482" i="7"/>
  <c r="B482" i="7"/>
  <c r="A482" i="7"/>
  <c r="E481" i="7"/>
  <c r="D481" i="7"/>
  <c r="F481" i="7" s="1"/>
  <c r="C481" i="7"/>
  <c r="B481" i="7"/>
  <c r="A481" i="7"/>
  <c r="F480" i="7"/>
  <c r="E480" i="7"/>
  <c r="D480" i="7"/>
  <c r="C480" i="7"/>
  <c r="B480" i="7"/>
  <c r="A480" i="7"/>
  <c r="E479" i="7"/>
  <c r="D479" i="7"/>
  <c r="F479" i="7" s="1"/>
  <c r="C479" i="7"/>
  <c r="B479" i="7"/>
  <c r="A479" i="7"/>
  <c r="E478" i="7"/>
  <c r="D478" i="7"/>
  <c r="F478" i="7" s="1"/>
  <c r="C478" i="7"/>
  <c r="B478" i="7"/>
  <c r="A478" i="7"/>
  <c r="F477" i="7"/>
  <c r="E477" i="7"/>
  <c r="D477" i="7"/>
  <c r="C477" i="7"/>
  <c r="B477" i="7"/>
  <c r="A477" i="7"/>
  <c r="E476" i="7"/>
  <c r="D476" i="7"/>
  <c r="F476" i="7" s="1"/>
  <c r="C476" i="7"/>
  <c r="B476" i="7"/>
  <c r="A476" i="7"/>
  <c r="E475" i="7"/>
  <c r="D475" i="7"/>
  <c r="F475" i="7" s="1"/>
  <c r="C475" i="7"/>
  <c r="B475" i="7"/>
  <c r="A475" i="7"/>
  <c r="E474" i="7"/>
  <c r="D474" i="7"/>
  <c r="F474" i="7" s="1"/>
  <c r="C474" i="7"/>
  <c r="B474" i="7"/>
  <c r="A474" i="7"/>
  <c r="E473" i="7"/>
  <c r="D473" i="7"/>
  <c r="F473" i="7" s="1"/>
  <c r="C473" i="7"/>
  <c r="B473" i="7"/>
  <c r="A473" i="7"/>
  <c r="E472" i="7"/>
  <c r="D472" i="7"/>
  <c r="F472" i="7" s="1"/>
  <c r="C472" i="7"/>
  <c r="B472" i="7"/>
  <c r="A472" i="7"/>
  <c r="E471" i="7"/>
  <c r="D471" i="7"/>
  <c r="F471" i="7" s="1"/>
  <c r="C471" i="7"/>
  <c r="B471" i="7"/>
  <c r="A471" i="7"/>
  <c r="E470" i="7"/>
  <c r="D470" i="7"/>
  <c r="F470" i="7" s="1"/>
  <c r="C470" i="7"/>
  <c r="B470" i="7"/>
  <c r="A470" i="7"/>
  <c r="E469" i="7"/>
  <c r="D469" i="7"/>
  <c r="F469" i="7" s="1"/>
  <c r="C469" i="7"/>
  <c r="B469" i="7"/>
  <c r="A469" i="7"/>
  <c r="E468" i="7"/>
  <c r="D468" i="7"/>
  <c r="F468" i="7" s="1"/>
  <c r="C468" i="7"/>
  <c r="B468" i="7"/>
  <c r="A468" i="7"/>
  <c r="E467" i="7"/>
  <c r="D467" i="7"/>
  <c r="F467" i="7" s="1"/>
  <c r="C467" i="7"/>
  <c r="B467" i="7"/>
  <c r="A467" i="7"/>
  <c r="E466" i="7"/>
  <c r="D466" i="7"/>
  <c r="F466" i="7" s="1"/>
  <c r="C466" i="7"/>
  <c r="B466" i="7"/>
  <c r="A466" i="7"/>
  <c r="F465" i="7"/>
  <c r="E465" i="7"/>
  <c r="D465" i="7"/>
  <c r="C465" i="7"/>
  <c r="B465" i="7"/>
  <c r="A465" i="7"/>
  <c r="E464" i="7"/>
  <c r="D464" i="7"/>
  <c r="F464" i="7" s="1"/>
  <c r="C464" i="7"/>
  <c r="B464" i="7"/>
  <c r="A464" i="7"/>
  <c r="E463" i="7"/>
  <c r="D463" i="7"/>
  <c r="F463" i="7" s="1"/>
  <c r="C463" i="7"/>
  <c r="B463" i="7"/>
  <c r="A463" i="7"/>
  <c r="E462" i="7"/>
  <c r="D462" i="7"/>
  <c r="F462" i="7" s="1"/>
  <c r="C462" i="7"/>
  <c r="B462" i="7"/>
  <c r="A462" i="7"/>
  <c r="F461" i="7"/>
  <c r="E461" i="7"/>
  <c r="D461" i="7"/>
  <c r="C461" i="7"/>
  <c r="B461" i="7"/>
  <c r="A461" i="7"/>
  <c r="E460" i="7"/>
  <c r="D460" i="7"/>
  <c r="F460" i="7" s="1"/>
  <c r="C460" i="7"/>
  <c r="B460" i="7"/>
  <c r="A460" i="7"/>
  <c r="F459" i="7"/>
  <c r="E459" i="7"/>
  <c r="D459" i="7"/>
  <c r="C459" i="7"/>
  <c r="B459" i="7"/>
  <c r="A459" i="7"/>
  <c r="E458" i="7"/>
  <c r="D458" i="7"/>
  <c r="F458" i="7" s="1"/>
  <c r="C458" i="7"/>
  <c r="B458" i="7"/>
  <c r="A458" i="7"/>
  <c r="E457" i="7"/>
  <c r="D457" i="7"/>
  <c r="F457" i="7" s="1"/>
  <c r="C457" i="7"/>
  <c r="B457" i="7"/>
  <c r="A457" i="7"/>
  <c r="E456" i="7"/>
  <c r="D456" i="7"/>
  <c r="F456" i="7" s="1"/>
  <c r="C456" i="7"/>
  <c r="B456" i="7"/>
  <c r="A456" i="7"/>
  <c r="E455" i="7"/>
  <c r="D455" i="7"/>
  <c r="F455" i="7" s="1"/>
  <c r="C455" i="7"/>
  <c r="B455" i="7"/>
  <c r="A455" i="7"/>
  <c r="E454" i="7"/>
  <c r="D454" i="7"/>
  <c r="F454" i="7" s="1"/>
  <c r="C454" i="7"/>
  <c r="B454" i="7"/>
  <c r="A454" i="7"/>
  <c r="E453" i="7"/>
  <c r="D453" i="7"/>
  <c r="F453" i="7" s="1"/>
  <c r="C453" i="7"/>
  <c r="B453" i="7"/>
  <c r="A453" i="7"/>
  <c r="F452" i="7"/>
  <c r="E452" i="7"/>
  <c r="D452" i="7"/>
  <c r="C452" i="7"/>
  <c r="B452" i="7"/>
  <c r="A452" i="7"/>
  <c r="E451" i="7"/>
  <c r="D451" i="7"/>
  <c r="F451" i="7" s="1"/>
  <c r="C451" i="7"/>
  <c r="B451" i="7"/>
  <c r="A451" i="7"/>
  <c r="E450" i="7"/>
  <c r="D450" i="7"/>
  <c r="F450" i="7" s="1"/>
  <c r="C450" i="7"/>
  <c r="B450" i="7"/>
  <c r="A450" i="7"/>
  <c r="F449" i="7"/>
  <c r="E449" i="7"/>
  <c r="D449" i="7"/>
  <c r="C449" i="7"/>
  <c r="B449" i="7"/>
  <c r="A449" i="7"/>
  <c r="E448" i="7"/>
  <c r="D448" i="7"/>
  <c r="F448" i="7" s="1"/>
  <c r="C448" i="7"/>
  <c r="B448" i="7"/>
  <c r="A448" i="7"/>
  <c r="E447" i="7"/>
  <c r="D447" i="7"/>
  <c r="F447" i="7" s="1"/>
  <c r="C447" i="7"/>
  <c r="B447" i="7"/>
  <c r="A447" i="7"/>
  <c r="E446" i="7"/>
  <c r="D446" i="7"/>
  <c r="F446" i="7" s="1"/>
  <c r="C446" i="7"/>
  <c r="B446" i="7"/>
  <c r="A446" i="7"/>
  <c r="E445" i="7"/>
  <c r="D445" i="7"/>
  <c r="F445" i="7" s="1"/>
  <c r="C445" i="7"/>
  <c r="B445" i="7"/>
  <c r="A445" i="7"/>
  <c r="F444" i="7"/>
  <c r="E444" i="7"/>
  <c r="D444" i="7"/>
  <c r="C444" i="7"/>
  <c r="B444" i="7"/>
  <c r="A444" i="7"/>
  <c r="E443" i="7"/>
  <c r="D443" i="7"/>
  <c r="F443" i="7" s="1"/>
  <c r="C443" i="7"/>
  <c r="B443" i="7"/>
  <c r="A443" i="7"/>
  <c r="E442" i="7"/>
  <c r="D442" i="7"/>
  <c r="F442" i="7" s="1"/>
  <c r="C442" i="7"/>
  <c r="B442" i="7"/>
  <c r="A442" i="7"/>
  <c r="F441" i="7"/>
  <c r="E441" i="7"/>
  <c r="D441" i="7"/>
  <c r="C441" i="7"/>
  <c r="B441" i="7"/>
  <c r="A441" i="7"/>
  <c r="E440" i="7"/>
  <c r="D440" i="7"/>
  <c r="F440" i="7" s="1"/>
  <c r="C440" i="7"/>
  <c r="B440" i="7"/>
  <c r="A440" i="7"/>
  <c r="E439" i="7"/>
  <c r="D439" i="7"/>
  <c r="F439" i="7" s="1"/>
  <c r="C439" i="7"/>
  <c r="B439" i="7"/>
  <c r="A439" i="7"/>
  <c r="E438" i="7"/>
  <c r="D438" i="7"/>
  <c r="F438" i="7" s="1"/>
  <c r="C438" i="7"/>
  <c r="B438" i="7"/>
  <c r="A438" i="7"/>
  <c r="E437" i="7"/>
  <c r="D437" i="7"/>
  <c r="F437" i="7" s="1"/>
  <c r="C437" i="7"/>
  <c r="B437" i="7"/>
  <c r="A437" i="7"/>
  <c r="F436" i="7"/>
  <c r="E436" i="7"/>
  <c r="D436" i="7"/>
  <c r="C436" i="7"/>
  <c r="B436" i="7"/>
  <c r="A436" i="7"/>
  <c r="E435" i="7"/>
  <c r="D435" i="7"/>
  <c r="F435" i="7" s="1"/>
  <c r="C435" i="7"/>
  <c r="B435" i="7"/>
  <c r="A435" i="7"/>
  <c r="E434" i="7"/>
  <c r="D434" i="7"/>
  <c r="F434" i="7" s="1"/>
  <c r="C434" i="7"/>
  <c r="B434" i="7"/>
  <c r="A434" i="7"/>
  <c r="F433" i="7"/>
  <c r="E433" i="7"/>
  <c r="D433" i="7"/>
  <c r="C433" i="7"/>
  <c r="B433" i="7"/>
  <c r="A433" i="7"/>
  <c r="E432" i="7"/>
  <c r="D432" i="7"/>
  <c r="F432" i="7" s="1"/>
  <c r="C432" i="7"/>
  <c r="B432" i="7"/>
  <c r="A432" i="7"/>
  <c r="E431" i="7"/>
  <c r="D431" i="7"/>
  <c r="F431" i="7" s="1"/>
  <c r="C431" i="7"/>
  <c r="B431" i="7"/>
  <c r="A431" i="7"/>
  <c r="E430" i="7"/>
  <c r="D430" i="7"/>
  <c r="F430" i="7" s="1"/>
  <c r="C430" i="7"/>
  <c r="B430" i="7"/>
  <c r="A430" i="7"/>
  <c r="E429" i="7"/>
  <c r="D429" i="7"/>
  <c r="F429" i="7" s="1"/>
  <c r="C429" i="7"/>
  <c r="B429" i="7"/>
  <c r="A429" i="7"/>
  <c r="F428" i="7"/>
  <c r="E428" i="7"/>
  <c r="D428" i="7"/>
  <c r="C428" i="7"/>
  <c r="B428" i="7"/>
  <c r="A428" i="7"/>
  <c r="E427" i="7"/>
  <c r="D427" i="7"/>
  <c r="F427" i="7" s="1"/>
  <c r="C427" i="7"/>
  <c r="B427" i="7"/>
  <c r="A427" i="7"/>
  <c r="E426" i="7"/>
  <c r="D426" i="7"/>
  <c r="F426" i="7" s="1"/>
  <c r="C426" i="7"/>
  <c r="B426" i="7"/>
  <c r="A426" i="7"/>
  <c r="F425" i="7"/>
  <c r="E425" i="7"/>
  <c r="D425" i="7"/>
  <c r="C425" i="7"/>
  <c r="B425" i="7"/>
  <c r="A425" i="7"/>
  <c r="E424" i="7"/>
  <c r="D424" i="7"/>
  <c r="F424" i="7" s="1"/>
  <c r="C424" i="7"/>
  <c r="B424" i="7"/>
  <c r="A424" i="7"/>
  <c r="E423" i="7"/>
  <c r="D423" i="7"/>
  <c r="F423" i="7" s="1"/>
  <c r="C423" i="7"/>
  <c r="B423" i="7"/>
  <c r="A423" i="7"/>
  <c r="E422" i="7"/>
  <c r="D422" i="7"/>
  <c r="F422" i="7" s="1"/>
  <c r="C422" i="7"/>
  <c r="B422" i="7"/>
  <c r="A422" i="7"/>
  <c r="E421" i="7"/>
  <c r="D421" i="7"/>
  <c r="F421" i="7" s="1"/>
  <c r="C421" i="7"/>
  <c r="B421" i="7"/>
  <c r="A421" i="7"/>
  <c r="F420" i="7"/>
  <c r="E420" i="7"/>
  <c r="D420" i="7"/>
  <c r="C420" i="7"/>
  <c r="B420" i="7"/>
  <c r="A420" i="7"/>
  <c r="E419" i="7"/>
  <c r="D419" i="7"/>
  <c r="F419" i="7" s="1"/>
  <c r="C419" i="7"/>
  <c r="B419" i="7"/>
  <c r="A419" i="7"/>
  <c r="E418" i="7"/>
  <c r="D418" i="7"/>
  <c r="F418" i="7" s="1"/>
  <c r="C418" i="7"/>
  <c r="B418" i="7"/>
  <c r="A418" i="7"/>
  <c r="F417" i="7"/>
  <c r="E417" i="7"/>
  <c r="D417" i="7"/>
  <c r="C417" i="7"/>
  <c r="B417" i="7"/>
  <c r="A417" i="7"/>
  <c r="E416" i="7"/>
  <c r="D416" i="7"/>
  <c r="F416" i="7" s="1"/>
  <c r="C416" i="7"/>
  <c r="B416" i="7"/>
  <c r="A416" i="7"/>
  <c r="E415" i="7"/>
  <c r="D415" i="7"/>
  <c r="F415" i="7" s="1"/>
  <c r="C415" i="7"/>
  <c r="B415" i="7"/>
  <c r="A415" i="7"/>
  <c r="E414" i="7"/>
  <c r="D414" i="7"/>
  <c r="F414" i="7" s="1"/>
  <c r="C414" i="7"/>
  <c r="B414" i="7"/>
  <c r="A414" i="7"/>
  <c r="E413" i="7"/>
  <c r="D413" i="7"/>
  <c r="F413" i="7" s="1"/>
  <c r="C413" i="7"/>
  <c r="B413" i="7"/>
  <c r="A413" i="7"/>
  <c r="F412" i="7"/>
  <c r="E412" i="7"/>
  <c r="D412" i="7"/>
  <c r="C412" i="7"/>
  <c r="B412" i="7"/>
  <c r="A412" i="7"/>
  <c r="E411" i="7"/>
  <c r="D411" i="7"/>
  <c r="F411" i="7" s="1"/>
  <c r="C411" i="7"/>
  <c r="B411" i="7"/>
  <c r="A411" i="7"/>
  <c r="E410" i="7"/>
  <c r="D410" i="7"/>
  <c r="F410" i="7" s="1"/>
  <c r="C410" i="7"/>
  <c r="B410" i="7"/>
  <c r="A410" i="7"/>
  <c r="F409" i="7"/>
  <c r="E409" i="7"/>
  <c r="D409" i="7"/>
  <c r="C409" i="7"/>
  <c r="B409" i="7"/>
  <c r="A409" i="7"/>
  <c r="E408" i="7"/>
  <c r="D408" i="7"/>
  <c r="F408" i="7" s="1"/>
  <c r="C408" i="7"/>
  <c r="B408" i="7"/>
  <c r="A408" i="7"/>
  <c r="E407" i="7"/>
  <c r="D407" i="7"/>
  <c r="F407" i="7" s="1"/>
  <c r="C407" i="7"/>
  <c r="B407" i="7"/>
  <c r="A407" i="7"/>
  <c r="E406" i="7"/>
  <c r="D406" i="7"/>
  <c r="F406" i="7" s="1"/>
  <c r="C406" i="7"/>
  <c r="B406" i="7"/>
  <c r="A406" i="7"/>
  <c r="E405" i="7"/>
  <c r="D405" i="7"/>
  <c r="F405" i="7" s="1"/>
  <c r="C405" i="7"/>
  <c r="B405" i="7"/>
  <c r="A405" i="7"/>
  <c r="F404" i="7"/>
  <c r="E404" i="7"/>
  <c r="D404" i="7"/>
  <c r="C404" i="7"/>
  <c r="B404" i="7"/>
  <c r="A404" i="7"/>
  <c r="E403" i="7"/>
  <c r="D403" i="7"/>
  <c r="F403" i="7" s="1"/>
  <c r="C403" i="7"/>
  <c r="B403" i="7"/>
  <c r="A403" i="7"/>
  <c r="E402" i="7"/>
  <c r="D402" i="7"/>
  <c r="F402" i="7" s="1"/>
  <c r="C402" i="7"/>
  <c r="B402" i="7"/>
  <c r="A402" i="7"/>
  <c r="F401" i="7"/>
  <c r="E401" i="7"/>
  <c r="D401" i="7"/>
  <c r="C401" i="7"/>
  <c r="B401" i="7"/>
  <c r="A401" i="7"/>
  <c r="F400" i="7"/>
  <c r="E400" i="7"/>
  <c r="D400" i="7"/>
  <c r="C400" i="7"/>
  <c r="B400" i="7"/>
  <c r="A400" i="7"/>
  <c r="E399" i="7"/>
  <c r="D399" i="7"/>
  <c r="F399" i="7" s="1"/>
  <c r="C399" i="7"/>
  <c r="B399" i="7"/>
  <c r="A399" i="7"/>
  <c r="E398" i="7"/>
  <c r="D398" i="7"/>
  <c r="F398" i="7" s="1"/>
  <c r="C398" i="7"/>
  <c r="B398" i="7"/>
  <c r="A398" i="7"/>
  <c r="F397" i="7"/>
  <c r="E397" i="7"/>
  <c r="D397" i="7"/>
  <c r="C397" i="7"/>
  <c r="B397" i="7"/>
  <c r="A397" i="7"/>
  <c r="F396" i="7"/>
  <c r="E396" i="7"/>
  <c r="D396" i="7"/>
  <c r="C396" i="7"/>
  <c r="B396" i="7"/>
  <c r="A396" i="7"/>
  <c r="E395" i="7"/>
  <c r="D395" i="7"/>
  <c r="F395" i="7" s="1"/>
  <c r="C395" i="7"/>
  <c r="B395" i="7"/>
  <c r="A395" i="7"/>
  <c r="E394" i="7"/>
  <c r="D394" i="7"/>
  <c r="F394" i="7" s="1"/>
  <c r="C394" i="7"/>
  <c r="B394" i="7"/>
  <c r="A394" i="7"/>
  <c r="F393" i="7"/>
  <c r="E393" i="7"/>
  <c r="D393" i="7"/>
  <c r="C393" i="7"/>
  <c r="B393" i="7"/>
  <c r="A393" i="7"/>
  <c r="E392" i="7"/>
  <c r="D392" i="7"/>
  <c r="F392" i="7" s="1"/>
  <c r="C392" i="7"/>
  <c r="B392" i="7"/>
  <c r="A392" i="7"/>
  <c r="E391" i="7"/>
  <c r="D391" i="7"/>
  <c r="F391" i="7" s="1"/>
  <c r="C391" i="7"/>
  <c r="B391" i="7"/>
  <c r="A391" i="7"/>
  <c r="E390" i="7"/>
  <c r="D390" i="7"/>
  <c r="F390" i="7" s="1"/>
  <c r="C390" i="7"/>
  <c r="B390" i="7"/>
  <c r="A390" i="7"/>
  <c r="E389" i="7"/>
  <c r="D389" i="7"/>
  <c r="F389" i="7" s="1"/>
  <c r="C389" i="7"/>
  <c r="B389" i="7"/>
  <c r="A389" i="7"/>
  <c r="F388" i="7"/>
  <c r="E388" i="7"/>
  <c r="D388" i="7"/>
  <c r="C388" i="7"/>
  <c r="B388" i="7"/>
  <c r="A388" i="7"/>
  <c r="E387" i="7"/>
  <c r="D387" i="7"/>
  <c r="F387" i="7" s="1"/>
  <c r="C387" i="7"/>
  <c r="B387" i="7"/>
  <c r="A387" i="7"/>
  <c r="E386" i="7"/>
  <c r="D386" i="7"/>
  <c r="F386" i="7" s="1"/>
  <c r="C386" i="7"/>
  <c r="B386" i="7"/>
  <c r="A386" i="7"/>
  <c r="F385" i="7"/>
  <c r="E385" i="7"/>
  <c r="D385" i="7"/>
  <c r="C385" i="7"/>
  <c r="B385" i="7"/>
  <c r="A385" i="7"/>
  <c r="F384" i="7"/>
  <c r="E384" i="7"/>
  <c r="D384" i="7"/>
  <c r="C384" i="7"/>
  <c r="B384" i="7"/>
  <c r="A384" i="7"/>
  <c r="E383" i="7"/>
  <c r="D383" i="7"/>
  <c r="F383" i="7" s="1"/>
  <c r="C383" i="7"/>
  <c r="B383" i="7"/>
  <c r="A383" i="7"/>
  <c r="E382" i="7"/>
  <c r="D382" i="7"/>
  <c r="F382" i="7" s="1"/>
  <c r="C382" i="7"/>
  <c r="B382" i="7"/>
  <c r="A382" i="7"/>
  <c r="F381" i="7"/>
  <c r="E381" i="7"/>
  <c r="D381" i="7"/>
  <c r="C381" i="7"/>
  <c r="B381" i="7"/>
  <c r="A381" i="7"/>
  <c r="F380" i="7"/>
  <c r="E380" i="7"/>
  <c r="D380" i="7"/>
  <c r="C380" i="7"/>
  <c r="B380" i="7"/>
  <c r="A380" i="7"/>
  <c r="E379" i="7"/>
  <c r="D379" i="7"/>
  <c r="F379" i="7" s="1"/>
  <c r="C379" i="7"/>
  <c r="B379" i="7"/>
  <c r="A379" i="7"/>
  <c r="E378" i="7"/>
  <c r="D378" i="7"/>
  <c r="F378" i="7" s="1"/>
  <c r="C378" i="7"/>
  <c r="B378" i="7"/>
  <c r="A378" i="7"/>
  <c r="F377" i="7"/>
  <c r="E377" i="7"/>
  <c r="D377" i="7"/>
  <c r="C377" i="7"/>
  <c r="B377" i="7"/>
  <c r="A377" i="7"/>
  <c r="E376" i="7"/>
  <c r="D376" i="7"/>
  <c r="F376" i="7" s="1"/>
  <c r="C376" i="7"/>
  <c r="B376" i="7"/>
  <c r="A376" i="7"/>
  <c r="E375" i="7"/>
  <c r="D375" i="7"/>
  <c r="F375" i="7" s="1"/>
  <c r="C375" i="7"/>
  <c r="B375" i="7"/>
  <c r="A375" i="7"/>
  <c r="E374" i="7"/>
  <c r="D374" i="7"/>
  <c r="F374" i="7" s="1"/>
  <c r="C374" i="7"/>
  <c r="B374" i="7"/>
  <c r="A374" i="7"/>
  <c r="E373" i="7"/>
  <c r="D373" i="7"/>
  <c r="F373" i="7" s="1"/>
  <c r="C373" i="7"/>
  <c r="B373" i="7"/>
  <c r="A373" i="7"/>
  <c r="F372" i="7"/>
  <c r="E372" i="7"/>
  <c r="D372" i="7"/>
  <c r="C372" i="7"/>
  <c r="B372" i="7"/>
  <c r="A372" i="7"/>
  <c r="E371" i="7"/>
  <c r="D371" i="7"/>
  <c r="F371" i="7" s="1"/>
  <c r="C371" i="7"/>
  <c r="B371" i="7"/>
  <c r="A371" i="7"/>
  <c r="E370" i="7"/>
  <c r="D370" i="7"/>
  <c r="F370" i="7" s="1"/>
  <c r="C370" i="7"/>
  <c r="B370" i="7"/>
  <c r="A370" i="7"/>
  <c r="F369" i="7"/>
  <c r="E369" i="7"/>
  <c r="D369" i="7"/>
  <c r="C369" i="7"/>
  <c r="B369" i="7"/>
  <c r="A369" i="7"/>
  <c r="F368" i="7"/>
  <c r="E368" i="7"/>
  <c r="D368" i="7"/>
  <c r="C368" i="7"/>
  <c r="B368" i="7"/>
  <c r="A368" i="7"/>
  <c r="E367" i="7"/>
  <c r="D367" i="7"/>
  <c r="F367" i="7" s="1"/>
  <c r="C367" i="7"/>
  <c r="B367" i="7"/>
  <c r="A367" i="7"/>
  <c r="E366" i="7"/>
  <c r="D366" i="7"/>
  <c r="F366" i="7" s="1"/>
  <c r="C366" i="7"/>
  <c r="B366" i="7"/>
  <c r="A366" i="7"/>
  <c r="F365" i="7"/>
  <c r="E365" i="7"/>
  <c r="D365" i="7"/>
  <c r="C365" i="7"/>
  <c r="B365" i="7"/>
  <c r="A365" i="7"/>
  <c r="E364" i="7"/>
  <c r="D364" i="7"/>
  <c r="F364" i="7" s="1"/>
  <c r="C364" i="7"/>
  <c r="B364" i="7"/>
  <c r="A364" i="7"/>
  <c r="E363" i="7"/>
  <c r="D363" i="7"/>
  <c r="F363" i="7" s="1"/>
  <c r="C363" i="7"/>
  <c r="B363" i="7"/>
  <c r="A363" i="7"/>
  <c r="E362" i="7"/>
  <c r="D362" i="7"/>
  <c r="F362" i="7" s="1"/>
  <c r="C362" i="7"/>
  <c r="B362" i="7"/>
  <c r="A362" i="7"/>
  <c r="E361" i="7"/>
  <c r="D361" i="7"/>
  <c r="F361" i="7" s="1"/>
  <c r="C361" i="7"/>
  <c r="B361" i="7"/>
  <c r="A361" i="7"/>
  <c r="E360" i="7"/>
  <c r="D360" i="7"/>
  <c r="F360" i="7" s="1"/>
  <c r="C360" i="7"/>
  <c r="B360" i="7"/>
  <c r="A360" i="7"/>
  <c r="E359" i="7"/>
  <c r="D359" i="7"/>
  <c r="F359" i="7" s="1"/>
  <c r="C359" i="7"/>
  <c r="B359" i="7"/>
  <c r="A359" i="7"/>
  <c r="E358" i="7"/>
  <c r="D358" i="7"/>
  <c r="F358" i="7" s="1"/>
  <c r="C358" i="7"/>
  <c r="B358" i="7"/>
  <c r="A358" i="7"/>
  <c r="E357" i="7"/>
  <c r="D357" i="7"/>
  <c r="F357" i="7" s="1"/>
  <c r="C357" i="7"/>
  <c r="B357" i="7"/>
  <c r="A357" i="7"/>
  <c r="F356" i="7"/>
  <c r="E356" i="7"/>
  <c r="D356" i="7"/>
  <c r="C356" i="7"/>
  <c r="B356" i="7"/>
  <c r="A356" i="7"/>
  <c r="E355" i="7"/>
  <c r="D355" i="7"/>
  <c r="F355" i="7" s="1"/>
  <c r="C355" i="7"/>
  <c r="B355" i="7"/>
  <c r="A355" i="7"/>
  <c r="E354" i="7"/>
  <c r="D354" i="7"/>
  <c r="F354" i="7" s="1"/>
  <c r="C354" i="7"/>
  <c r="B354" i="7"/>
  <c r="A354" i="7"/>
  <c r="F353" i="7"/>
  <c r="E353" i="7"/>
  <c r="D353" i="7"/>
  <c r="C353" i="7"/>
  <c r="B353" i="7"/>
  <c r="A353" i="7"/>
  <c r="E352" i="7"/>
  <c r="D352" i="7"/>
  <c r="F352" i="7" s="1"/>
  <c r="C352" i="7"/>
  <c r="B352" i="7"/>
  <c r="A352" i="7"/>
  <c r="E351" i="7"/>
  <c r="D351" i="7"/>
  <c r="F351" i="7" s="1"/>
  <c r="C351" i="7"/>
  <c r="B351" i="7"/>
  <c r="A351" i="7"/>
  <c r="E350" i="7"/>
  <c r="D350" i="7"/>
  <c r="F350" i="7" s="1"/>
  <c r="C350" i="7"/>
  <c r="B350" i="7"/>
  <c r="A350" i="7"/>
  <c r="E349" i="7"/>
  <c r="D349" i="7"/>
  <c r="F349" i="7" s="1"/>
  <c r="C349" i="7"/>
  <c r="B349" i="7"/>
  <c r="A349" i="7"/>
  <c r="F348" i="7"/>
  <c r="E348" i="7"/>
  <c r="D348" i="7"/>
  <c r="C348" i="7"/>
  <c r="B348" i="7"/>
  <c r="A348" i="7"/>
  <c r="E347" i="7"/>
  <c r="D347" i="7"/>
  <c r="F347" i="7" s="1"/>
  <c r="C347" i="7"/>
  <c r="B347" i="7"/>
  <c r="A347" i="7"/>
  <c r="E346" i="7"/>
  <c r="D346" i="7"/>
  <c r="F346" i="7" s="1"/>
  <c r="C346" i="7"/>
  <c r="B346" i="7"/>
  <c r="A346" i="7"/>
  <c r="F345" i="7"/>
  <c r="E345" i="7"/>
  <c r="D345" i="7"/>
  <c r="C345" i="7"/>
  <c r="B345" i="7"/>
  <c r="A345" i="7"/>
  <c r="E344" i="7"/>
  <c r="D344" i="7"/>
  <c r="F344" i="7" s="1"/>
  <c r="C344" i="7"/>
  <c r="B344" i="7"/>
  <c r="A344" i="7"/>
  <c r="E343" i="7"/>
  <c r="D343" i="7"/>
  <c r="F343" i="7" s="1"/>
  <c r="C343" i="7"/>
  <c r="B343" i="7"/>
  <c r="A343" i="7"/>
  <c r="E342" i="7"/>
  <c r="D342" i="7"/>
  <c r="F342" i="7" s="1"/>
  <c r="C342" i="7"/>
  <c r="B342" i="7"/>
  <c r="A342" i="7"/>
  <c r="E341" i="7"/>
  <c r="D341" i="7"/>
  <c r="F341" i="7" s="1"/>
  <c r="C341" i="7"/>
  <c r="B341" i="7"/>
  <c r="A341" i="7"/>
  <c r="F340" i="7"/>
  <c r="E340" i="7"/>
  <c r="D340" i="7"/>
  <c r="C340" i="7"/>
  <c r="B340" i="7"/>
  <c r="A340" i="7"/>
  <c r="E339" i="7"/>
  <c r="D339" i="7"/>
  <c r="F339" i="7" s="1"/>
  <c r="C339" i="7"/>
  <c r="B339" i="7"/>
  <c r="A339" i="7"/>
  <c r="E338" i="7"/>
  <c r="D338" i="7"/>
  <c r="F338" i="7" s="1"/>
  <c r="C338" i="7"/>
  <c r="B338" i="7"/>
  <c r="A338" i="7"/>
  <c r="F337" i="7"/>
  <c r="E337" i="7"/>
  <c r="D337" i="7"/>
  <c r="C337" i="7"/>
  <c r="B337" i="7"/>
  <c r="A337" i="7"/>
  <c r="F336" i="7"/>
  <c r="E336" i="7"/>
  <c r="D336" i="7"/>
  <c r="C336" i="7"/>
  <c r="B336" i="7"/>
  <c r="A336" i="7"/>
  <c r="E335" i="7"/>
  <c r="D335" i="7"/>
  <c r="F335" i="7" s="1"/>
  <c r="C335" i="7"/>
  <c r="B335" i="7"/>
  <c r="A335" i="7"/>
  <c r="E334" i="7"/>
  <c r="D334" i="7"/>
  <c r="F334" i="7" s="1"/>
  <c r="C334" i="7"/>
  <c r="B334" i="7"/>
  <c r="A334" i="7"/>
  <c r="F333" i="7"/>
  <c r="E333" i="7"/>
  <c r="D333" i="7"/>
  <c r="C333" i="7"/>
  <c r="B333" i="7"/>
  <c r="A333" i="7"/>
  <c r="F332" i="7"/>
  <c r="E332" i="7"/>
  <c r="D332" i="7"/>
  <c r="C332" i="7"/>
  <c r="B332" i="7"/>
  <c r="A332" i="7"/>
  <c r="E331" i="7"/>
  <c r="D331" i="7"/>
  <c r="F331" i="7" s="1"/>
  <c r="C331" i="7"/>
  <c r="B331" i="7"/>
  <c r="A331" i="7"/>
  <c r="E330" i="7"/>
  <c r="D330" i="7"/>
  <c r="F330" i="7" s="1"/>
  <c r="C330" i="7"/>
  <c r="B330" i="7"/>
  <c r="A330" i="7"/>
  <c r="F329" i="7"/>
  <c r="E329" i="7"/>
  <c r="D329" i="7"/>
  <c r="C329" i="7"/>
  <c r="B329" i="7"/>
  <c r="A329" i="7"/>
  <c r="E328" i="7"/>
  <c r="D328" i="7"/>
  <c r="F328" i="7" s="1"/>
  <c r="C328" i="7"/>
  <c r="B328" i="7"/>
  <c r="A328" i="7"/>
  <c r="E327" i="7"/>
  <c r="D327" i="7"/>
  <c r="F327" i="7" s="1"/>
  <c r="C327" i="7"/>
  <c r="B327" i="7"/>
  <c r="A327" i="7"/>
  <c r="E326" i="7"/>
  <c r="D326" i="7"/>
  <c r="F326" i="7" s="1"/>
  <c r="C326" i="7"/>
  <c r="B326" i="7"/>
  <c r="A326" i="7"/>
  <c r="E325" i="7"/>
  <c r="D325" i="7"/>
  <c r="F325" i="7" s="1"/>
  <c r="C325" i="7"/>
  <c r="B325" i="7"/>
  <c r="A325" i="7"/>
  <c r="E324" i="7"/>
  <c r="D324" i="7"/>
  <c r="F324" i="7" s="1"/>
  <c r="C324" i="7"/>
  <c r="B324" i="7"/>
  <c r="A324" i="7"/>
  <c r="E323" i="7"/>
  <c r="D323" i="7"/>
  <c r="F323" i="7" s="1"/>
  <c r="C323" i="7"/>
  <c r="B323" i="7"/>
  <c r="A323" i="7"/>
  <c r="E322" i="7"/>
  <c r="D322" i="7"/>
  <c r="F322" i="7" s="1"/>
  <c r="C322" i="7"/>
  <c r="B322" i="7"/>
  <c r="A322" i="7"/>
  <c r="E321" i="7"/>
  <c r="D321" i="7"/>
  <c r="F321" i="7" s="1"/>
  <c r="C321" i="7"/>
  <c r="B321" i="7"/>
  <c r="A321" i="7"/>
  <c r="F320" i="7"/>
  <c r="E320" i="7"/>
  <c r="D320" i="7"/>
  <c r="C320" i="7"/>
  <c r="B320" i="7"/>
  <c r="A320" i="7"/>
  <c r="E319" i="7"/>
  <c r="D319" i="7"/>
  <c r="F319" i="7" s="1"/>
  <c r="C319" i="7"/>
  <c r="B319" i="7"/>
  <c r="A319" i="7"/>
  <c r="E318" i="7"/>
  <c r="D318" i="7"/>
  <c r="F318" i="7" s="1"/>
  <c r="C318" i="7"/>
  <c r="B318" i="7"/>
  <c r="A318" i="7"/>
  <c r="F317" i="7"/>
  <c r="E317" i="7"/>
  <c r="D317" i="7"/>
  <c r="C317" i="7"/>
  <c r="B317" i="7"/>
  <c r="A317" i="7"/>
  <c r="F316" i="7"/>
  <c r="E316" i="7"/>
  <c r="D316" i="7"/>
  <c r="C316" i="7"/>
  <c r="B316" i="7"/>
  <c r="A316" i="7"/>
  <c r="E315" i="7"/>
  <c r="D315" i="7"/>
  <c r="F315" i="7" s="1"/>
  <c r="C315" i="7"/>
  <c r="B315" i="7"/>
  <c r="A315" i="7"/>
  <c r="E314" i="7"/>
  <c r="D314" i="7"/>
  <c r="F314" i="7" s="1"/>
  <c r="C314" i="7"/>
  <c r="B314" i="7"/>
  <c r="A314" i="7"/>
  <c r="F313" i="7"/>
  <c r="E313" i="7"/>
  <c r="D313" i="7"/>
  <c r="C313" i="7"/>
  <c r="B313" i="7"/>
  <c r="A313" i="7"/>
  <c r="E312" i="7"/>
  <c r="D312" i="7"/>
  <c r="F312" i="7" s="1"/>
  <c r="D16" i="1" s="1"/>
  <c r="C312" i="7"/>
  <c r="B312" i="7"/>
  <c r="A312" i="7"/>
  <c r="E311" i="7"/>
  <c r="D311" i="7"/>
  <c r="F311" i="7" s="1"/>
  <c r="C311" i="7"/>
  <c r="B311" i="7"/>
  <c r="A311" i="7"/>
  <c r="E310" i="7"/>
  <c r="D310" i="7"/>
  <c r="F310" i="7" s="1"/>
  <c r="C310" i="7"/>
  <c r="B310" i="7"/>
  <c r="A310" i="7"/>
  <c r="E309" i="7"/>
  <c r="D309" i="7"/>
  <c r="F309" i="7" s="1"/>
  <c r="C309" i="7"/>
  <c r="B309" i="7"/>
  <c r="A309" i="7"/>
  <c r="E308" i="7"/>
  <c r="D308" i="7"/>
  <c r="F308" i="7" s="1"/>
  <c r="C308" i="7"/>
  <c r="B308" i="7"/>
  <c r="A308" i="7"/>
  <c r="E307" i="7"/>
  <c r="D307" i="7"/>
  <c r="F307" i="7" s="1"/>
  <c r="C307" i="7"/>
  <c r="B307" i="7"/>
  <c r="A307" i="7"/>
  <c r="E306" i="7"/>
  <c r="D306" i="7"/>
  <c r="F306" i="7" s="1"/>
  <c r="C306" i="7"/>
  <c r="B306" i="7"/>
  <c r="A306" i="7"/>
  <c r="E305" i="7"/>
  <c r="D305" i="7"/>
  <c r="F305" i="7" s="1"/>
  <c r="C305" i="7"/>
  <c r="B305" i="7"/>
  <c r="A305" i="7"/>
  <c r="F304" i="7"/>
  <c r="E304" i="7"/>
  <c r="D304" i="7"/>
  <c r="C304" i="7"/>
  <c r="B304" i="7"/>
  <c r="A304" i="7"/>
  <c r="E303" i="7"/>
  <c r="D303" i="7"/>
  <c r="F303" i="7" s="1"/>
  <c r="C303" i="7"/>
  <c r="B303" i="7"/>
  <c r="A303" i="7"/>
  <c r="E302" i="7"/>
  <c r="D302" i="7"/>
  <c r="F302" i="7" s="1"/>
  <c r="C302" i="7"/>
  <c r="B302" i="7"/>
  <c r="A302" i="7"/>
  <c r="F301" i="7"/>
  <c r="E301" i="7"/>
  <c r="D301" i="7"/>
  <c r="C301" i="7"/>
  <c r="B301" i="7"/>
  <c r="A301" i="7"/>
  <c r="F300" i="7"/>
  <c r="E300" i="7"/>
  <c r="D300" i="7"/>
  <c r="C300" i="7"/>
  <c r="B300" i="7"/>
  <c r="A300" i="7"/>
  <c r="E299" i="7"/>
  <c r="D299" i="7"/>
  <c r="F299" i="7" s="1"/>
  <c r="C299" i="7"/>
  <c r="B299" i="7"/>
  <c r="A299" i="7"/>
  <c r="E298" i="7"/>
  <c r="D298" i="7"/>
  <c r="F298" i="7" s="1"/>
  <c r="C298" i="7"/>
  <c r="B298" i="7"/>
  <c r="A298" i="7"/>
  <c r="F297" i="7"/>
  <c r="E297" i="7"/>
  <c r="D297" i="7"/>
  <c r="C297" i="7"/>
  <c r="B297" i="7"/>
  <c r="A297" i="7"/>
  <c r="F296" i="7"/>
  <c r="E296" i="7"/>
  <c r="D296" i="7"/>
  <c r="C296" i="7"/>
  <c r="B296" i="7"/>
  <c r="A296" i="7"/>
  <c r="E295" i="7"/>
  <c r="D295" i="7"/>
  <c r="F295" i="7" s="1"/>
  <c r="C295" i="7"/>
  <c r="B295" i="7"/>
  <c r="A295" i="7"/>
  <c r="E294" i="7"/>
  <c r="D294" i="7"/>
  <c r="F294" i="7" s="1"/>
  <c r="C294" i="7"/>
  <c r="B294" i="7"/>
  <c r="A294" i="7"/>
  <c r="F293" i="7"/>
  <c r="E293" i="7"/>
  <c r="D293" i="7"/>
  <c r="C293" i="7"/>
  <c r="B293" i="7"/>
  <c r="A293" i="7"/>
  <c r="E292" i="7"/>
  <c r="D292" i="7"/>
  <c r="F292" i="7" s="1"/>
  <c r="C292" i="7"/>
  <c r="B292" i="7"/>
  <c r="A292" i="7"/>
  <c r="E291" i="7"/>
  <c r="D291" i="7"/>
  <c r="F291" i="7" s="1"/>
  <c r="C291" i="7"/>
  <c r="B291" i="7"/>
  <c r="A291" i="7"/>
  <c r="E290" i="7"/>
  <c r="D290" i="7"/>
  <c r="F290" i="7" s="1"/>
  <c r="C290" i="7"/>
  <c r="B290" i="7"/>
  <c r="A290" i="7"/>
  <c r="E289" i="7"/>
  <c r="D289" i="7"/>
  <c r="F289" i="7" s="1"/>
  <c r="C289" i="7"/>
  <c r="B289" i="7"/>
  <c r="A289" i="7"/>
  <c r="F288" i="7"/>
  <c r="E288" i="7"/>
  <c r="D288" i="7"/>
  <c r="C288" i="7"/>
  <c r="B288" i="7"/>
  <c r="A288" i="7"/>
  <c r="E287" i="7"/>
  <c r="D287" i="7"/>
  <c r="F287" i="7" s="1"/>
  <c r="C287" i="7"/>
  <c r="B287" i="7"/>
  <c r="A287" i="7"/>
  <c r="E286" i="7"/>
  <c r="D286" i="7"/>
  <c r="F286" i="7" s="1"/>
  <c r="C286" i="7"/>
  <c r="B286" i="7"/>
  <c r="A286" i="7"/>
  <c r="F285" i="7"/>
  <c r="E285" i="7"/>
  <c r="D285" i="7"/>
  <c r="C285" i="7"/>
  <c r="B285" i="7"/>
  <c r="A285" i="7"/>
  <c r="F284" i="7"/>
  <c r="E284" i="7"/>
  <c r="D284" i="7"/>
  <c r="C284" i="7"/>
  <c r="B284" i="7"/>
  <c r="A284" i="7"/>
  <c r="E283" i="7"/>
  <c r="D283" i="7"/>
  <c r="F283" i="7" s="1"/>
  <c r="C283" i="7"/>
  <c r="B283" i="7"/>
  <c r="A283" i="7"/>
  <c r="E282" i="7"/>
  <c r="D282" i="7"/>
  <c r="F282" i="7" s="1"/>
  <c r="C282" i="7"/>
  <c r="B282" i="7"/>
  <c r="A282" i="7"/>
  <c r="F281" i="7"/>
  <c r="E281" i="7"/>
  <c r="D281" i="7"/>
  <c r="C281" i="7"/>
  <c r="B281" i="7"/>
  <c r="A281" i="7"/>
  <c r="F280" i="7"/>
  <c r="E280" i="7"/>
  <c r="D280" i="7"/>
  <c r="C280" i="7"/>
  <c r="B280" i="7"/>
  <c r="A280" i="7"/>
  <c r="E279" i="7"/>
  <c r="D279" i="7"/>
  <c r="F279" i="7" s="1"/>
  <c r="C279" i="7"/>
  <c r="B279" i="7"/>
  <c r="A279" i="7"/>
  <c r="E278" i="7"/>
  <c r="D278" i="7"/>
  <c r="F278" i="7" s="1"/>
  <c r="C278" i="7"/>
  <c r="B278" i="7"/>
  <c r="A278" i="7"/>
  <c r="F277" i="7"/>
  <c r="E277" i="7"/>
  <c r="D277" i="7"/>
  <c r="C277" i="7"/>
  <c r="B277" i="7"/>
  <c r="A277" i="7"/>
  <c r="E276" i="7"/>
  <c r="D276" i="7"/>
  <c r="F276" i="7" s="1"/>
  <c r="C276" i="7"/>
  <c r="B276" i="7"/>
  <c r="A276" i="7"/>
  <c r="E275" i="7"/>
  <c r="D275" i="7"/>
  <c r="F275" i="7" s="1"/>
  <c r="C275" i="7"/>
  <c r="B275" i="7"/>
  <c r="A275" i="7"/>
  <c r="E274" i="7"/>
  <c r="D274" i="7"/>
  <c r="F274" i="7" s="1"/>
  <c r="C274" i="7"/>
  <c r="B274" i="7"/>
  <c r="A274" i="7"/>
  <c r="E273" i="7"/>
  <c r="D273" i="7"/>
  <c r="F273" i="7" s="1"/>
  <c r="C273" i="7"/>
  <c r="B273" i="7"/>
  <c r="A273" i="7"/>
  <c r="F272" i="7"/>
  <c r="E272" i="7"/>
  <c r="D272" i="7"/>
  <c r="C272" i="7"/>
  <c r="B272" i="7"/>
  <c r="A272" i="7"/>
  <c r="E271" i="7"/>
  <c r="D271" i="7"/>
  <c r="F271" i="7" s="1"/>
  <c r="C271" i="7"/>
  <c r="B271" i="7"/>
  <c r="A271" i="7"/>
  <c r="E270" i="7"/>
  <c r="D270" i="7"/>
  <c r="F270" i="7" s="1"/>
  <c r="C270" i="7"/>
  <c r="B270" i="7"/>
  <c r="A270" i="7"/>
  <c r="F269" i="7"/>
  <c r="E269" i="7"/>
  <c r="D269" i="7"/>
  <c r="C269" i="7"/>
  <c r="B269" i="7"/>
  <c r="A269" i="7"/>
  <c r="F268" i="7"/>
  <c r="E268" i="7"/>
  <c r="D268" i="7"/>
  <c r="C268" i="7"/>
  <c r="B268" i="7"/>
  <c r="A268" i="7"/>
  <c r="E267" i="7"/>
  <c r="D267" i="7"/>
  <c r="F267" i="7" s="1"/>
  <c r="C267" i="7"/>
  <c r="B267" i="7"/>
  <c r="A267" i="7"/>
  <c r="E266" i="7"/>
  <c r="D266" i="7"/>
  <c r="F266" i="7" s="1"/>
  <c r="C266" i="7"/>
  <c r="B266" i="7"/>
  <c r="A266" i="7"/>
  <c r="F265" i="7"/>
  <c r="E265" i="7"/>
  <c r="D265" i="7"/>
  <c r="C265" i="7"/>
  <c r="B265" i="7"/>
  <c r="A265" i="7"/>
  <c r="E264" i="7"/>
  <c r="D264" i="7"/>
  <c r="F264" i="7" s="1"/>
  <c r="C264" i="7"/>
  <c r="B264" i="7"/>
  <c r="A264" i="7"/>
  <c r="E263" i="7"/>
  <c r="D263" i="7"/>
  <c r="F263" i="7" s="1"/>
  <c r="C263" i="7"/>
  <c r="B263" i="7"/>
  <c r="A263" i="7"/>
  <c r="E262" i="7"/>
  <c r="D262" i="7"/>
  <c r="F262" i="7" s="1"/>
  <c r="C262" i="7"/>
  <c r="B262" i="7"/>
  <c r="A262" i="7"/>
  <c r="E261" i="7"/>
  <c r="D261" i="7"/>
  <c r="F261" i="7" s="1"/>
  <c r="C261" i="7"/>
  <c r="B261" i="7"/>
  <c r="A261" i="7"/>
  <c r="E260" i="7"/>
  <c r="D260" i="7"/>
  <c r="F260" i="7" s="1"/>
  <c r="C260" i="7"/>
  <c r="B260" i="7"/>
  <c r="A260" i="7"/>
  <c r="E259" i="7"/>
  <c r="D259" i="7"/>
  <c r="F259" i="7" s="1"/>
  <c r="C259" i="7"/>
  <c r="B259" i="7"/>
  <c r="A259" i="7"/>
  <c r="E258" i="7"/>
  <c r="D258" i="7"/>
  <c r="F258" i="7" s="1"/>
  <c r="C258" i="7"/>
  <c r="B258" i="7"/>
  <c r="A258" i="7"/>
  <c r="E257" i="7"/>
  <c r="D257" i="7"/>
  <c r="F257" i="7" s="1"/>
  <c r="C257" i="7"/>
  <c r="B257" i="7"/>
  <c r="A257" i="7"/>
  <c r="F256" i="7"/>
  <c r="E256" i="7"/>
  <c r="D256" i="7"/>
  <c r="C256" i="7"/>
  <c r="B256" i="7"/>
  <c r="A256" i="7"/>
  <c r="E255" i="7"/>
  <c r="D255" i="7"/>
  <c r="F255" i="7" s="1"/>
  <c r="C255" i="7"/>
  <c r="B255" i="7"/>
  <c r="A255" i="7"/>
  <c r="E254" i="7"/>
  <c r="D254" i="7"/>
  <c r="F254" i="7" s="1"/>
  <c r="C254" i="7"/>
  <c r="B254" i="7"/>
  <c r="A254" i="7"/>
  <c r="F253" i="7"/>
  <c r="E253" i="7"/>
  <c r="D253" i="7"/>
  <c r="C253" i="7"/>
  <c r="B253" i="7"/>
  <c r="A253" i="7"/>
  <c r="F252" i="7"/>
  <c r="E252" i="7"/>
  <c r="D252" i="7"/>
  <c r="C252" i="7"/>
  <c r="B252" i="7"/>
  <c r="A252" i="7"/>
  <c r="E251" i="7"/>
  <c r="D251" i="7"/>
  <c r="F251" i="7" s="1"/>
  <c r="C251" i="7"/>
  <c r="B251" i="7"/>
  <c r="A251" i="7"/>
  <c r="E250" i="7"/>
  <c r="D250" i="7"/>
  <c r="F250" i="7" s="1"/>
  <c r="C250" i="7"/>
  <c r="B250" i="7"/>
  <c r="A250" i="7"/>
  <c r="F249" i="7"/>
  <c r="E249" i="7"/>
  <c r="D249" i="7"/>
  <c r="C249" i="7"/>
  <c r="B249" i="7"/>
  <c r="A249" i="7"/>
  <c r="E248" i="7"/>
  <c r="D248" i="7"/>
  <c r="F248" i="7" s="1"/>
  <c r="C248" i="7"/>
  <c r="B248" i="7"/>
  <c r="A248" i="7"/>
  <c r="E247" i="7"/>
  <c r="D247" i="7"/>
  <c r="F247" i="7" s="1"/>
  <c r="C247" i="7"/>
  <c r="B247" i="7"/>
  <c r="A247" i="7"/>
  <c r="E246" i="7"/>
  <c r="D246" i="7"/>
  <c r="F246" i="7" s="1"/>
  <c r="C246" i="7"/>
  <c r="B246" i="7"/>
  <c r="A246" i="7"/>
  <c r="E245" i="7"/>
  <c r="D245" i="7"/>
  <c r="F245" i="7" s="1"/>
  <c r="C245" i="7"/>
  <c r="B245" i="7"/>
  <c r="A245" i="7"/>
  <c r="E244" i="7"/>
  <c r="D244" i="7"/>
  <c r="F244" i="7" s="1"/>
  <c r="C244" i="7"/>
  <c r="B244" i="7"/>
  <c r="A244" i="7"/>
  <c r="E243" i="7"/>
  <c r="D243" i="7"/>
  <c r="F243" i="7" s="1"/>
  <c r="C243" i="7"/>
  <c r="B243" i="7"/>
  <c r="A243" i="7"/>
  <c r="E242" i="7"/>
  <c r="D242" i="7"/>
  <c r="F242" i="7" s="1"/>
  <c r="C242" i="7"/>
  <c r="B242" i="7"/>
  <c r="A242" i="7"/>
  <c r="E241" i="7"/>
  <c r="D241" i="7"/>
  <c r="F241" i="7" s="1"/>
  <c r="C241" i="7"/>
  <c r="B241" i="7"/>
  <c r="A241" i="7"/>
  <c r="F240" i="7"/>
  <c r="E240" i="7"/>
  <c r="D240" i="7"/>
  <c r="C240" i="7"/>
  <c r="B240" i="7"/>
  <c r="A240" i="7"/>
  <c r="E239" i="7"/>
  <c r="D239" i="7"/>
  <c r="F239" i="7" s="1"/>
  <c r="C239" i="7"/>
  <c r="B239" i="7"/>
  <c r="A239" i="7"/>
  <c r="E238" i="7"/>
  <c r="D238" i="7"/>
  <c r="F238" i="7" s="1"/>
  <c r="C238" i="7"/>
  <c r="B238" i="7"/>
  <c r="A238" i="7"/>
  <c r="F237" i="7"/>
  <c r="E237" i="7"/>
  <c r="D237" i="7"/>
  <c r="C237" i="7"/>
  <c r="B237" i="7"/>
  <c r="A237" i="7"/>
  <c r="F236" i="7"/>
  <c r="E236" i="7"/>
  <c r="D236" i="7"/>
  <c r="C236" i="7"/>
  <c r="B236" i="7"/>
  <c r="A236" i="7"/>
  <c r="E235" i="7"/>
  <c r="D235" i="7"/>
  <c r="F235" i="7" s="1"/>
  <c r="C235" i="7"/>
  <c r="B235" i="7"/>
  <c r="A235" i="7"/>
  <c r="E234" i="7"/>
  <c r="D234" i="7"/>
  <c r="F234" i="7" s="1"/>
  <c r="C234" i="7"/>
  <c r="B234" i="7"/>
  <c r="A234" i="7"/>
  <c r="F233" i="7"/>
  <c r="E233" i="7"/>
  <c r="D233" i="7"/>
  <c r="C233" i="7"/>
  <c r="B233" i="7"/>
  <c r="A233" i="7"/>
  <c r="F232" i="7"/>
  <c r="E232" i="7"/>
  <c r="D232" i="7"/>
  <c r="C232" i="7"/>
  <c r="B232" i="7"/>
  <c r="A232" i="7"/>
  <c r="E231" i="7"/>
  <c r="D231" i="7"/>
  <c r="F231" i="7" s="1"/>
  <c r="C231" i="7"/>
  <c r="B231" i="7"/>
  <c r="A231" i="7"/>
  <c r="E230" i="7"/>
  <c r="D230" i="7"/>
  <c r="F230" i="7" s="1"/>
  <c r="C230" i="7"/>
  <c r="B230" i="7"/>
  <c r="A230" i="7"/>
  <c r="F229" i="7"/>
  <c r="E229" i="7"/>
  <c r="D229" i="7"/>
  <c r="C229" i="7"/>
  <c r="B229" i="7"/>
  <c r="A229" i="7"/>
  <c r="E228" i="7"/>
  <c r="D228" i="7"/>
  <c r="F228" i="7" s="1"/>
  <c r="C228" i="7"/>
  <c r="B228" i="7"/>
  <c r="A228" i="7"/>
  <c r="E227" i="7"/>
  <c r="D227" i="7"/>
  <c r="F227" i="7" s="1"/>
  <c r="C227" i="7"/>
  <c r="B227" i="7"/>
  <c r="A227" i="7"/>
  <c r="E226" i="7"/>
  <c r="D226" i="7"/>
  <c r="F226" i="7" s="1"/>
  <c r="C226" i="7"/>
  <c r="B226" i="7"/>
  <c r="A226" i="7"/>
  <c r="E225" i="7"/>
  <c r="D225" i="7"/>
  <c r="F225" i="7" s="1"/>
  <c r="C225" i="7"/>
  <c r="B225" i="7"/>
  <c r="A225" i="7"/>
  <c r="F224" i="7"/>
  <c r="E224" i="7"/>
  <c r="D224" i="7"/>
  <c r="C224" i="7"/>
  <c r="B224" i="7"/>
  <c r="A224" i="7"/>
  <c r="E223" i="7"/>
  <c r="D223" i="7"/>
  <c r="F223" i="7" s="1"/>
  <c r="C223" i="7"/>
  <c r="B223" i="7"/>
  <c r="A223" i="7"/>
  <c r="E222" i="7"/>
  <c r="D222" i="7"/>
  <c r="F222" i="7" s="1"/>
  <c r="C222" i="7"/>
  <c r="B222" i="7"/>
  <c r="A222" i="7"/>
  <c r="F221" i="7"/>
  <c r="E221" i="7"/>
  <c r="D221" i="7"/>
  <c r="C221" i="7"/>
  <c r="B221" i="7"/>
  <c r="A221" i="7"/>
  <c r="F220" i="7"/>
  <c r="E220" i="7"/>
  <c r="D220" i="7"/>
  <c r="C220" i="7"/>
  <c r="B220" i="7"/>
  <c r="A220" i="7"/>
  <c r="E219" i="7"/>
  <c r="D219" i="7"/>
  <c r="F219" i="7" s="1"/>
  <c r="C219" i="7"/>
  <c r="B219" i="7"/>
  <c r="A219" i="7"/>
  <c r="E218" i="7"/>
  <c r="D218" i="7"/>
  <c r="F218" i="7" s="1"/>
  <c r="C218" i="7"/>
  <c r="B218" i="7"/>
  <c r="A218" i="7"/>
  <c r="F217" i="7"/>
  <c r="E217" i="7"/>
  <c r="D217" i="7"/>
  <c r="C217" i="7"/>
  <c r="B217" i="7"/>
  <c r="A217" i="7"/>
  <c r="F216" i="7"/>
  <c r="E216" i="7"/>
  <c r="D216" i="7"/>
  <c r="C216" i="7"/>
  <c r="B216" i="7"/>
  <c r="A216" i="7"/>
  <c r="E215" i="7"/>
  <c r="D215" i="7"/>
  <c r="F215" i="7" s="1"/>
  <c r="C215" i="7"/>
  <c r="B215" i="7"/>
  <c r="A215" i="7"/>
  <c r="E214" i="7"/>
  <c r="D214" i="7"/>
  <c r="F214" i="7" s="1"/>
  <c r="C214" i="7"/>
  <c r="B214" i="7"/>
  <c r="A214" i="7"/>
  <c r="F213" i="7"/>
  <c r="E213" i="7"/>
  <c r="D213" i="7"/>
  <c r="C213" i="7"/>
  <c r="B213" i="7"/>
  <c r="A213" i="7"/>
  <c r="E212" i="7"/>
  <c r="D212" i="7"/>
  <c r="F212" i="7" s="1"/>
  <c r="C212" i="7"/>
  <c r="B212" i="7"/>
  <c r="A212" i="7"/>
  <c r="E211" i="7"/>
  <c r="D211" i="7"/>
  <c r="F211" i="7" s="1"/>
  <c r="C211" i="7"/>
  <c r="B211" i="7"/>
  <c r="A211" i="7"/>
  <c r="E210" i="7"/>
  <c r="D210" i="7"/>
  <c r="F210" i="7" s="1"/>
  <c r="C210" i="7"/>
  <c r="B210" i="7"/>
  <c r="A210" i="7"/>
  <c r="E209" i="7"/>
  <c r="D209" i="7"/>
  <c r="F209" i="7" s="1"/>
  <c r="C209" i="7"/>
  <c r="B209" i="7"/>
  <c r="A209" i="7"/>
  <c r="F208" i="7"/>
  <c r="E208" i="7"/>
  <c r="D208" i="7"/>
  <c r="C208" i="7"/>
  <c r="B208" i="7"/>
  <c r="A208" i="7"/>
  <c r="E207" i="7"/>
  <c r="D207" i="7"/>
  <c r="F207" i="7" s="1"/>
  <c r="C207" i="7"/>
  <c r="B207" i="7"/>
  <c r="A207" i="7"/>
  <c r="E206" i="7"/>
  <c r="D206" i="7"/>
  <c r="F206" i="7" s="1"/>
  <c r="C206" i="7"/>
  <c r="B206" i="7"/>
  <c r="A206" i="7"/>
  <c r="F205" i="7"/>
  <c r="E205" i="7"/>
  <c r="D205" i="7"/>
  <c r="C205" i="7"/>
  <c r="B205" i="7"/>
  <c r="A205" i="7"/>
  <c r="F204" i="7"/>
  <c r="E204" i="7"/>
  <c r="D204" i="7"/>
  <c r="C204" i="7"/>
  <c r="B204" i="7"/>
  <c r="A204" i="7"/>
  <c r="E203" i="7"/>
  <c r="D203" i="7"/>
  <c r="F203" i="7" s="1"/>
  <c r="C203" i="7"/>
  <c r="B203" i="7"/>
  <c r="A203" i="7"/>
  <c r="E202" i="7"/>
  <c r="D202" i="7"/>
  <c r="F202" i="7" s="1"/>
  <c r="C202" i="7"/>
  <c r="B202" i="7"/>
  <c r="A202" i="7"/>
  <c r="F201" i="7"/>
  <c r="E201" i="7"/>
  <c r="D201" i="7"/>
  <c r="C201" i="7"/>
  <c r="B201" i="7"/>
  <c r="A201" i="7"/>
  <c r="E200" i="7"/>
  <c r="D200" i="7"/>
  <c r="F200" i="7" s="1"/>
  <c r="C200" i="7"/>
  <c r="B200" i="7"/>
  <c r="A200" i="7"/>
  <c r="E199" i="7"/>
  <c r="D199" i="7"/>
  <c r="F199" i="7" s="1"/>
  <c r="C199" i="7"/>
  <c r="B199" i="7"/>
  <c r="A199" i="7"/>
  <c r="E198" i="7"/>
  <c r="D198" i="7"/>
  <c r="F198" i="7" s="1"/>
  <c r="C198" i="7"/>
  <c r="B198" i="7"/>
  <c r="A198" i="7"/>
  <c r="E197" i="7"/>
  <c r="D197" i="7"/>
  <c r="F197" i="7" s="1"/>
  <c r="C197" i="7"/>
  <c r="B197" i="7"/>
  <c r="A197" i="7"/>
  <c r="E196" i="7"/>
  <c r="D196" i="7"/>
  <c r="F196" i="7" s="1"/>
  <c r="C196" i="7"/>
  <c r="B196" i="7"/>
  <c r="A196" i="7"/>
  <c r="E195" i="7"/>
  <c r="D195" i="7"/>
  <c r="F195" i="7" s="1"/>
  <c r="C195" i="7"/>
  <c r="B195" i="7"/>
  <c r="A195" i="7"/>
  <c r="E194" i="7"/>
  <c r="D194" i="7"/>
  <c r="F194" i="7" s="1"/>
  <c r="C194" i="7"/>
  <c r="B194" i="7"/>
  <c r="A194" i="7"/>
  <c r="E193" i="7"/>
  <c r="D193" i="7"/>
  <c r="F193" i="7" s="1"/>
  <c r="C193" i="7"/>
  <c r="B193" i="7"/>
  <c r="A193" i="7"/>
  <c r="F192" i="7"/>
  <c r="E192" i="7"/>
  <c r="D192" i="7"/>
  <c r="C192" i="7"/>
  <c r="B192" i="7"/>
  <c r="A192" i="7"/>
  <c r="E191" i="7"/>
  <c r="D191" i="7"/>
  <c r="F191" i="7" s="1"/>
  <c r="C191" i="7"/>
  <c r="B191" i="7"/>
  <c r="A191" i="7"/>
  <c r="E190" i="7"/>
  <c r="D190" i="7"/>
  <c r="F190" i="7" s="1"/>
  <c r="C190" i="7"/>
  <c r="B190" i="7"/>
  <c r="A190" i="7"/>
  <c r="F189" i="7"/>
  <c r="E189" i="7"/>
  <c r="D189" i="7"/>
  <c r="C189" i="7"/>
  <c r="B189" i="7"/>
  <c r="A189" i="7"/>
  <c r="F188" i="7"/>
  <c r="E188" i="7"/>
  <c r="D188" i="7"/>
  <c r="C188" i="7"/>
  <c r="B188" i="7"/>
  <c r="A188" i="7"/>
  <c r="E187" i="7"/>
  <c r="D187" i="7"/>
  <c r="F187" i="7" s="1"/>
  <c r="C187" i="7"/>
  <c r="B187" i="7"/>
  <c r="A187" i="7"/>
  <c r="E186" i="7"/>
  <c r="D186" i="7"/>
  <c r="F186" i="7" s="1"/>
  <c r="C186" i="7"/>
  <c r="B186" i="7"/>
  <c r="A186" i="7"/>
  <c r="F185" i="7"/>
  <c r="E185" i="7"/>
  <c r="D185" i="7"/>
  <c r="C185" i="7"/>
  <c r="B185" i="7"/>
  <c r="A185" i="7"/>
  <c r="E184" i="7"/>
  <c r="D184" i="7"/>
  <c r="F184" i="7" s="1"/>
  <c r="C184" i="7"/>
  <c r="B184" i="7"/>
  <c r="A184" i="7"/>
  <c r="E183" i="7"/>
  <c r="D183" i="7"/>
  <c r="F183" i="7" s="1"/>
  <c r="C183" i="7"/>
  <c r="B183" i="7"/>
  <c r="A183" i="7"/>
  <c r="E182" i="7"/>
  <c r="D182" i="7"/>
  <c r="F182" i="7" s="1"/>
  <c r="C182" i="7"/>
  <c r="B182" i="7"/>
  <c r="A182" i="7"/>
  <c r="E181" i="7"/>
  <c r="D181" i="7"/>
  <c r="F181" i="7" s="1"/>
  <c r="C181" i="7"/>
  <c r="B181" i="7"/>
  <c r="A181" i="7"/>
  <c r="E180" i="7"/>
  <c r="D180" i="7"/>
  <c r="F180" i="7" s="1"/>
  <c r="C180" i="7"/>
  <c r="B180" i="7"/>
  <c r="A180" i="7"/>
  <c r="E179" i="7"/>
  <c r="D179" i="7"/>
  <c r="F179" i="7" s="1"/>
  <c r="C179" i="7"/>
  <c r="B179" i="7"/>
  <c r="A179" i="7"/>
  <c r="E178" i="7"/>
  <c r="D178" i="7"/>
  <c r="F178" i="7" s="1"/>
  <c r="C178" i="7"/>
  <c r="B178" i="7"/>
  <c r="A178" i="7"/>
  <c r="E177" i="7"/>
  <c r="D177" i="7"/>
  <c r="F177" i="7" s="1"/>
  <c r="C177" i="7"/>
  <c r="B177" i="7"/>
  <c r="A177" i="7"/>
  <c r="F176" i="7"/>
  <c r="E176" i="7"/>
  <c r="D176" i="7"/>
  <c r="C176" i="7"/>
  <c r="B176" i="7"/>
  <c r="A176" i="7"/>
  <c r="E175" i="7"/>
  <c r="D175" i="7"/>
  <c r="F175" i="7" s="1"/>
  <c r="C175" i="7"/>
  <c r="B175" i="7"/>
  <c r="A175" i="7"/>
  <c r="E174" i="7"/>
  <c r="D174" i="7"/>
  <c r="F174" i="7" s="1"/>
  <c r="C174" i="7"/>
  <c r="B174" i="7"/>
  <c r="A174" i="7"/>
  <c r="F173" i="7"/>
  <c r="E173" i="7"/>
  <c r="D173" i="7"/>
  <c r="C173" i="7"/>
  <c r="B173" i="7"/>
  <c r="A173" i="7"/>
  <c r="F172" i="7"/>
  <c r="E172" i="7"/>
  <c r="D172" i="7"/>
  <c r="C172" i="7"/>
  <c r="B172" i="7"/>
  <c r="A172" i="7"/>
  <c r="E171" i="7"/>
  <c r="D171" i="7"/>
  <c r="F171" i="7" s="1"/>
  <c r="C171" i="7"/>
  <c r="B171" i="7"/>
  <c r="A171" i="7"/>
  <c r="E170" i="7"/>
  <c r="D170" i="7"/>
  <c r="F170" i="7" s="1"/>
  <c r="C170" i="7"/>
  <c r="B170" i="7"/>
  <c r="A170" i="7"/>
  <c r="F169" i="7"/>
  <c r="E169" i="7"/>
  <c r="D169" i="7"/>
  <c r="C169" i="7"/>
  <c r="B169" i="7"/>
  <c r="A169" i="7"/>
  <c r="F168" i="7"/>
  <c r="E168" i="7"/>
  <c r="D168" i="7"/>
  <c r="C168" i="7"/>
  <c r="B168" i="7"/>
  <c r="A168" i="7"/>
  <c r="E167" i="7"/>
  <c r="D167" i="7"/>
  <c r="F167" i="7" s="1"/>
  <c r="C167" i="7"/>
  <c r="B167" i="7"/>
  <c r="A167" i="7"/>
  <c r="E166" i="7"/>
  <c r="D166" i="7"/>
  <c r="F166" i="7" s="1"/>
  <c r="C166" i="7"/>
  <c r="B166" i="7"/>
  <c r="A166" i="7"/>
  <c r="F165" i="7"/>
  <c r="E165" i="7"/>
  <c r="D165" i="7"/>
  <c r="C165" i="7"/>
  <c r="B165" i="7"/>
  <c r="A165" i="7"/>
  <c r="E164" i="7"/>
  <c r="D164" i="7"/>
  <c r="F164" i="7" s="1"/>
  <c r="C164" i="7"/>
  <c r="B164" i="7"/>
  <c r="A164" i="7"/>
  <c r="E163" i="7"/>
  <c r="D163" i="7"/>
  <c r="F163" i="7" s="1"/>
  <c r="C163" i="7"/>
  <c r="B163" i="7"/>
  <c r="A163" i="7"/>
  <c r="E162" i="7"/>
  <c r="D162" i="7"/>
  <c r="F162" i="7" s="1"/>
  <c r="C162" i="7"/>
  <c r="B162" i="7"/>
  <c r="A162" i="7"/>
  <c r="E161" i="7"/>
  <c r="D161" i="7"/>
  <c r="F161" i="7" s="1"/>
  <c r="C161" i="7"/>
  <c r="B161" i="7"/>
  <c r="A161" i="7"/>
  <c r="F160" i="7"/>
  <c r="E160" i="7"/>
  <c r="D160" i="7"/>
  <c r="C160" i="7"/>
  <c r="B160" i="7"/>
  <c r="A160" i="7"/>
  <c r="E159" i="7"/>
  <c r="D159" i="7"/>
  <c r="F159" i="7" s="1"/>
  <c r="C159" i="7"/>
  <c r="B159" i="7"/>
  <c r="A159" i="7"/>
  <c r="E158" i="7"/>
  <c r="D158" i="7"/>
  <c r="F158" i="7" s="1"/>
  <c r="C158" i="7"/>
  <c r="B158" i="7"/>
  <c r="A158" i="7"/>
  <c r="F157" i="7"/>
  <c r="E157" i="7"/>
  <c r="D157" i="7"/>
  <c r="C157" i="7"/>
  <c r="B157" i="7"/>
  <c r="A157" i="7"/>
  <c r="F156" i="7"/>
  <c r="E156" i="7"/>
  <c r="D156" i="7"/>
  <c r="C156" i="7"/>
  <c r="B156" i="7"/>
  <c r="A156" i="7"/>
  <c r="E155" i="7"/>
  <c r="D155" i="7"/>
  <c r="F155" i="7" s="1"/>
  <c r="C155" i="7"/>
  <c r="B155" i="7"/>
  <c r="A155" i="7"/>
  <c r="E154" i="7"/>
  <c r="D154" i="7"/>
  <c r="F154" i="7" s="1"/>
  <c r="C154" i="7"/>
  <c r="B154" i="7"/>
  <c r="A154" i="7"/>
  <c r="F153" i="7"/>
  <c r="E153" i="7"/>
  <c r="D153" i="7"/>
  <c r="C153" i="7"/>
  <c r="B153" i="7"/>
  <c r="A153" i="7"/>
  <c r="F152" i="7"/>
  <c r="E152" i="7"/>
  <c r="D152" i="7"/>
  <c r="C152" i="7"/>
  <c r="B152" i="7"/>
  <c r="A152" i="7"/>
  <c r="E151" i="7"/>
  <c r="D151" i="7"/>
  <c r="F151" i="7" s="1"/>
  <c r="C151" i="7"/>
  <c r="B151" i="7"/>
  <c r="A151" i="7"/>
  <c r="E150" i="7"/>
  <c r="D150" i="7"/>
  <c r="F150" i="7" s="1"/>
  <c r="C150" i="7"/>
  <c r="B150" i="7"/>
  <c r="A150" i="7"/>
  <c r="F149" i="7"/>
  <c r="E149" i="7"/>
  <c r="D149" i="7"/>
  <c r="C149" i="7"/>
  <c r="B149" i="7"/>
  <c r="A149" i="7"/>
  <c r="E148" i="7"/>
  <c r="D148" i="7"/>
  <c r="F148" i="7" s="1"/>
  <c r="C148" i="7"/>
  <c r="B148" i="7"/>
  <c r="A148" i="7"/>
  <c r="E147" i="7"/>
  <c r="D147" i="7"/>
  <c r="F147" i="7" s="1"/>
  <c r="C147" i="7"/>
  <c r="B147" i="7"/>
  <c r="A147" i="7"/>
  <c r="E146" i="7"/>
  <c r="D146" i="7"/>
  <c r="F146" i="7" s="1"/>
  <c r="C146" i="7"/>
  <c r="B146" i="7"/>
  <c r="A146" i="7"/>
  <c r="E145" i="7"/>
  <c r="D145" i="7"/>
  <c r="F145" i="7" s="1"/>
  <c r="C145" i="7"/>
  <c r="B145" i="7"/>
  <c r="A145" i="7"/>
  <c r="F144" i="7"/>
  <c r="E144" i="7"/>
  <c r="D144" i="7"/>
  <c r="C144" i="7"/>
  <c r="B144" i="7"/>
  <c r="A144" i="7"/>
  <c r="E143" i="7"/>
  <c r="D143" i="7"/>
  <c r="F143" i="7" s="1"/>
  <c r="C143" i="7"/>
  <c r="B143" i="7"/>
  <c r="A143" i="7"/>
  <c r="E142" i="7"/>
  <c r="D142" i="7"/>
  <c r="F142" i="7" s="1"/>
  <c r="C142" i="7"/>
  <c r="B142" i="7"/>
  <c r="A142" i="7"/>
  <c r="F141" i="7"/>
  <c r="E141" i="7"/>
  <c r="D141" i="7"/>
  <c r="C141" i="7"/>
  <c r="B141" i="7"/>
  <c r="A141" i="7"/>
  <c r="F140" i="7"/>
  <c r="E140" i="7"/>
  <c r="D140" i="7"/>
  <c r="C140" i="7"/>
  <c r="B140" i="7"/>
  <c r="A140" i="7"/>
  <c r="E139" i="7"/>
  <c r="D139" i="7"/>
  <c r="F139" i="7" s="1"/>
  <c r="C139" i="7"/>
  <c r="B139" i="7"/>
  <c r="A139" i="7"/>
  <c r="E138" i="7"/>
  <c r="D138" i="7"/>
  <c r="F138" i="7" s="1"/>
  <c r="C138" i="7"/>
  <c r="B138" i="7"/>
  <c r="A138" i="7"/>
  <c r="F137" i="7"/>
  <c r="E137" i="7"/>
  <c r="D137" i="7"/>
  <c r="C137" i="7"/>
  <c r="B137" i="7"/>
  <c r="A137" i="7"/>
  <c r="E136" i="7"/>
  <c r="D136" i="7"/>
  <c r="F136" i="7" s="1"/>
  <c r="L19" i="1" s="1"/>
  <c r="C136" i="7"/>
  <c r="B136" i="7"/>
  <c r="A136" i="7"/>
  <c r="E135" i="7"/>
  <c r="D135" i="7"/>
  <c r="F135" i="7" s="1"/>
  <c r="C135" i="7"/>
  <c r="B135" i="7"/>
  <c r="A135" i="7"/>
  <c r="E134" i="7"/>
  <c r="D134" i="7"/>
  <c r="F134" i="7" s="1"/>
  <c r="C134" i="7"/>
  <c r="B134" i="7"/>
  <c r="A134" i="7"/>
  <c r="E133" i="7"/>
  <c r="D133" i="7"/>
  <c r="F133" i="7" s="1"/>
  <c r="F14" i="1" s="1"/>
  <c r="C133" i="7"/>
  <c r="B133" i="7"/>
  <c r="A133" i="7"/>
  <c r="E132" i="7"/>
  <c r="D132" i="7"/>
  <c r="F132" i="7" s="1"/>
  <c r="C132" i="7"/>
  <c r="B132" i="7"/>
  <c r="A132" i="7"/>
  <c r="E131" i="7"/>
  <c r="D131" i="7"/>
  <c r="F131" i="7" s="1"/>
  <c r="C131" i="7"/>
  <c r="B131" i="7"/>
  <c r="A131" i="7"/>
  <c r="E130" i="7"/>
  <c r="D130" i="7"/>
  <c r="F130" i="7" s="1"/>
  <c r="C130" i="7"/>
  <c r="B130" i="7"/>
  <c r="A130" i="7"/>
  <c r="E129" i="7"/>
  <c r="D129" i="7"/>
  <c r="F129" i="7" s="1"/>
  <c r="C129" i="7"/>
  <c r="B129" i="7"/>
  <c r="A129" i="7"/>
  <c r="F128" i="7"/>
  <c r="E128" i="7"/>
  <c r="D128" i="7"/>
  <c r="C128" i="7"/>
  <c r="B128" i="7"/>
  <c r="A128" i="7"/>
  <c r="E127" i="7"/>
  <c r="D127" i="7"/>
  <c r="F127" i="7" s="1"/>
  <c r="C127" i="7"/>
  <c r="B127" i="7"/>
  <c r="A127" i="7"/>
  <c r="E126" i="7"/>
  <c r="D126" i="7"/>
  <c r="F126" i="7" s="1"/>
  <c r="C126" i="7"/>
  <c r="B126" i="7"/>
  <c r="A126" i="7"/>
  <c r="F125" i="7"/>
  <c r="E125" i="7"/>
  <c r="D125" i="7"/>
  <c r="C125" i="7"/>
  <c r="B125" i="7"/>
  <c r="A125" i="7"/>
  <c r="F124" i="7"/>
  <c r="E124" i="7"/>
  <c r="D124" i="7"/>
  <c r="C124" i="7"/>
  <c r="B124" i="7"/>
  <c r="A124" i="7"/>
  <c r="E123" i="7"/>
  <c r="D123" i="7"/>
  <c r="F123" i="7" s="1"/>
  <c r="C123" i="7"/>
  <c r="B123" i="7"/>
  <c r="A123" i="7"/>
  <c r="E122" i="7"/>
  <c r="D122" i="7"/>
  <c r="F122" i="7" s="1"/>
  <c r="C122" i="7"/>
  <c r="B122" i="7"/>
  <c r="A122" i="7"/>
  <c r="F121" i="7"/>
  <c r="E121" i="7"/>
  <c r="D121" i="7"/>
  <c r="C121" i="7"/>
  <c r="B121" i="7"/>
  <c r="A121" i="7"/>
  <c r="E120" i="7"/>
  <c r="D120" i="7"/>
  <c r="F120" i="7" s="1"/>
  <c r="C120" i="7"/>
  <c r="B120" i="7"/>
  <c r="A120" i="7"/>
  <c r="E119" i="7"/>
  <c r="D119" i="7"/>
  <c r="F119" i="7" s="1"/>
  <c r="C119" i="7"/>
  <c r="B119" i="7"/>
  <c r="A119" i="7"/>
  <c r="E118" i="7"/>
  <c r="D118" i="7"/>
  <c r="F118" i="7" s="1"/>
  <c r="C118" i="7"/>
  <c r="B118" i="7"/>
  <c r="A118" i="7"/>
  <c r="E117" i="7"/>
  <c r="D117" i="7"/>
  <c r="F117" i="7" s="1"/>
  <c r="C117" i="7"/>
  <c r="B117" i="7"/>
  <c r="A117" i="7"/>
  <c r="E116" i="7"/>
  <c r="D116" i="7"/>
  <c r="F116" i="7" s="1"/>
  <c r="C116" i="7"/>
  <c r="B116" i="7"/>
  <c r="A116" i="7"/>
  <c r="E115" i="7"/>
  <c r="D115" i="7"/>
  <c r="F115" i="7" s="1"/>
  <c r="C115" i="7"/>
  <c r="B115" i="7"/>
  <c r="A115" i="7"/>
  <c r="E114" i="7"/>
  <c r="D114" i="7"/>
  <c r="F114" i="7" s="1"/>
  <c r="C114" i="7"/>
  <c r="B114" i="7"/>
  <c r="A114" i="7"/>
  <c r="E113" i="7"/>
  <c r="D113" i="7"/>
  <c r="F113" i="7" s="1"/>
  <c r="C113" i="7"/>
  <c r="B113" i="7"/>
  <c r="A113" i="7"/>
  <c r="F112" i="7"/>
  <c r="E112" i="7"/>
  <c r="D112" i="7"/>
  <c r="C112" i="7"/>
  <c r="B112" i="7"/>
  <c r="A112" i="7"/>
  <c r="E111" i="7"/>
  <c r="D111" i="7"/>
  <c r="F111" i="7" s="1"/>
  <c r="C111" i="7"/>
  <c r="B111" i="7"/>
  <c r="A111" i="7"/>
  <c r="E110" i="7"/>
  <c r="D110" i="7"/>
  <c r="F110" i="7" s="1"/>
  <c r="C110" i="7"/>
  <c r="B110" i="7"/>
  <c r="A110" i="7"/>
  <c r="F109" i="7"/>
  <c r="E109" i="7"/>
  <c r="D109" i="7"/>
  <c r="C109" i="7"/>
  <c r="B109" i="7"/>
  <c r="A109" i="7"/>
  <c r="F108" i="7"/>
  <c r="E108" i="7"/>
  <c r="D108" i="7"/>
  <c r="C108" i="7"/>
  <c r="B108" i="7"/>
  <c r="A108" i="7"/>
  <c r="E107" i="7"/>
  <c r="D107" i="7"/>
  <c r="F107" i="7" s="1"/>
  <c r="C107" i="7"/>
  <c r="B107" i="7"/>
  <c r="A107" i="7"/>
  <c r="E106" i="7"/>
  <c r="D106" i="7"/>
  <c r="F106" i="7" s="1"/>
  <c r="C106" i="7"/>
  <c r="B106" i="7"/>
  <c r="A106" i="7"/>
  <c r="F105" i="7"/>
  <c r="E105" i="7"/>
  <c r="D105" i="7"/>
  <c r="C105" i="7"/>
  <c r="B105" i="7"/>
  <c r="A105" i="7"/>
  <c r="F104" i="7"/>
  <c r="E104" i="7"/>
  <c r="D104" i="7"/>
  <c r="C104" i="7"/>
  <c r="B104" i="7"/>
  <c r="A104" i="7"/>
  <c r="E103" i="7"/>
  <c r="D103" i="7"/>
  <c r="F103" i="7" s="1"/>
  <c r="C103" i="7"/>
  <c r="B103" i="7"/>
  <c r="A103" i="7"/>
  <c r="E102" i="7"/>
  <c r="D102" i="7"/>
  <c r="F102" i="7" s="1"/>
  <c r="C102" i="7"/>
  <c r="B102" i="7"/>
  <c r="A102" i="7"/>
  <c r="F101" i="7"/>
  <c r="E101" i="7"/>
  <c r="D101" i="7"/>
  <c r="C101" i="7"/>
  <c r="B101" i="7"/>
  <c r="A101" i="7"/>
  <c r="E100" i="7"/>
  <c r="D100" i="7"/>
  <c r="F100" i="7" s="1"/>
  <c r="C100" i="7"/>
  <c r="B100" i="7"/>
  <c r="A100" i="7"/>
  <c r="E99" i="7"/>
  <c r="D99" i="7"/>
  <c r="F99" i="7" s="1"/>
  <c r="C99" i="7"/>
  <c r="B99" i="7"/>
  <c r="A99" i="7"/>
  <c r="E98" i="7"/>
  <c r="D98" i="7"/>
  <c r="F98" i="7" s="1"/>
  <c r="C98" i="7"/>
  <c r="B98" i="7"/>
  <c r="A98" i="7"/>
  <c r="E97" i="7"/>
  <c r="D97" i="7"/>
  <c r="F97" i="7" s="1"/>
  <c r="C97" i="7"/>
  <c r="B97" i="7"/>
  <c r="A97" i="7"/>
  <c r="F96" i="7"/>
  <c r="E96" i="7"/>
  <c r="D96" i="7"/>
  <c r="C96" i="7"/>
  <c r="B96" i="7"/>
  <c r="A96" i="7"/>
  <c r="E95" i="7"/>
  <c r="D95" i="7"/>
  <c r="F95" i="7" s="1"/>
  <c r="C95" i="7"/>
  <c r="B95" i="7"/>
  <c r="A95" i="7"/>
  <c r="E94" i="7"/>
  <c r="D94" i="7"/>
  <c r="F94" i="7" s="1"/>
  <c r="C94" i="7"/>
  <c r="B94" i="7"/>
  <c r="A94" i="7"/>
  <c r="F93" i="7"/>
  <c r="E93" i="7"/>
  <c r="D93" i="7"/>
  <c r="C93" i="7"/>
  <c r="B93" i="7"/>
  <c r="A93" i="7"/>
  <c r="F92" i="7"/>
  <c r="E92" i="7"/>
  <c r="D92" i="7"/>
  <c r="C92" i="7"/>
  <c r="B92" i="7"/>
  <c r="A92" i="7"/>
  <c r="E91" i="7"/>
  <c r="D91" i="7"/>
  <c r="F91" i="7" s="1"/>
  <c r="C91" i="7"/>
  <c r="B91" i="7"/>
  <c r="A91" i="7"/>
  <c r="E90" i="7"/>
  <c r="D90" i="7"/>
  <c r="F90" i="7" s="1"/>
  <c r="C90" i="7"/>
  <c r="B90" i="7"/>
  <c r="A90" i="7"/>
  <c r="F89" i="7"/>
  <c r="E89" i="7"/>
  <c r="D89" i="7"/>
  <c r="C89" i="7"/>
  <c r="B89" i="7"/>
  <c r="A89" i="7"/>
  <c r="F88" i="7"/>
  <c r="E88" i="7"/>
  <c r="D88" i="7"/>
  <c r="C88" i="7"/>
  <c r="B88" i="7"/>
  <c r="A88" i="7"/>
  <c r="E87" i="7"/>
  <c r="D87" i="7"/>
  <c r="F87" i="7" s="1"/>
  <c r="C87" i="7"/>
  <c r="B87" i="7"/>
  <c r="A87" i="7"/>
  <c r="E86" i="7"/>
  <c r="D86" i="7"/>
  <c r="F86" i="7" s="1"/>
  <c r="C86" i="7"/>
  <c r="B86" i="7"/>
  <c r="A86" i="7"/>
  <c r="F85" i="7"/>
  <c r="E85" i="7"/>
  <c r="D85" i="7"/>
  <c r="C85" i="7"/>
  <c r="B85" i="7"/>
  <c r="A85" i="7"/>
  <c r="E84" i="7"/>
  <c r="D84" i="7"/>
  <c r="F84" i="7" s="1"/>
  <c r="C84" i="7"/>
  <c r="B84" i="7"/>
  <c r="A84" i="7"/>
  <c r="E83" i="7"/>
  <c r="D83" i="7"/>
  <c r="F83" i="7" s="1"/>
  <c r="C83" i="7"/>
  <c r="B83" i="7"/>
  <c r="A83" i="7"/>
  <c r="E82" i="7"/>
  <c r="D82" i="7"/>
  <c r="F82" i="7" s="1"/>
  <c r="C82" i="7"/>
  <c r="B82" i="7"/>
  <c r="A82" i="7"/>
  <c r="E81" i="7"/>
  <c r="D81" i="7"/>
  <c r="F81" i="7" s="1"/>
  <c r="C81" i="7"/>
  <c r="B81" i="7"/>
  <c r="A81" i="7"/>
  <c r="F80" i="7"/>
  <c r="E80" i="7"/>
  <c r="D80" i="7"/>
  <c r="C80" i="7"/>
  <c r="B80" i="7"/>
  <c r="A80" i="7"/>
  <c r="E79" i="7"/>
  <c r="D79" i="7"/>
  <c r="F79" i="7" s="1"/>
  <c r="C79" i="7"/>
  <c r="B79" i="7"/>
  <c r="A79" i="7"/>
  <c r="E78" i="7"/>
  <c r="D78" i="7"/>
  <c r="F78" i="7" s="1"/>
  <c r="C78" i="7"/>
  <c r="B78" i="7"/>
  <c r="A78" i="7"/>
  <c r="F77" i="7"/>
  <c r="E77" i="7"/>
  <c r="D77" i="7"/>
  <c r="C77" i="7"/>
  <c r="B77" i="7"/>
  <c r="A77" i="7"/>
  <c r="F76" i="7"/>
  <c r="E76" i="7"/>
  <c r="D76" i="7"/>
  <c r="C76" i="7"/>
  <c r="B76" i="7"/>
  <c r="A76" i="7"/>
  <c r="E75" i="7"/>
  <c r="D75" i="7"/>
  <c r="F75" i="7" s="1"/>
  <c r="C75" i="7"/>
  <c r="B75" i="7"/>
  <c r="A75" i="7"/>
  <c r="E74" i="7"/>
  <c r="D74" i="7"/>
  <c r="F74" i="7" s="1"/>
  <c r="C74" i="7"/>
  <c r="B74" i="7"/>
  <c r="A74" i="7"/>
  <c r="F73" i="7"/>
  <c r="E73" i="7"/>
  <c r="D73" i="7"/>
  <c r="C73" i="7"/>
  <c r="B73" i="7"/>
  <c r="A73" i="7"/>
  <c r="E72" i="7"/>
  <c r="D72" i="7"/>
  <c r="F72" i="7" s="1"/>
  <c r="C72" i="7"/>
  <c r="B72" i="7"/>
  <c r="A72" i="7"/>
  <c r="E71" i="7"/>
  <c r="D71" i="7"/>
  <c r="F71" i="7" s="1"/>
  <c r="C71" i="7"/>
  <c r="B71" i="7"/>
  <c r="A71" i="7"/>
  <c r="E70" i="7"/>
  <c r="D70" i="7"/>
  <c r="F70" i="7" s="1"/>
  <c r="C70" i="7"/>
  <c r="B70" i="7"/>
  <c r="A70" i="7"/>
  <c r="E69" i="7"/>
  <c r="D69" i="7"/>
  <c r="F69" i="7" s="1"/>
  <c r="C69" i="7"/>
  <c r="B69" i="7"/>
  <c r="A69" i="7"/>
  <c r="E68" i="7"/>
  <c r="D68" i="7"/>
  <c r="F68" i="7" s="1"/>
  <c r="C68" i="7"/>
  <c r="B68" i="7"/>
  <c r="A68" i="7"/>
  <c r="E67" i="7"/>
  <c r="D67" i="7"/>
  <c r="F67" i="7" s="1"/>
  <c r="C67" i="7"/>
  <c r="B67" i="7"/>
  <c r="A67" i="7"/>
  <c r="E66" i="7"/>
  <c r="D66" i="7"/>
  <c r="F66" i="7" s="1"/>
  <c r="C66" i="7"/>
  <c r="B66" i="7"/>
  <c r="A66" i="7"/>
  <c r="E65" i="7"/>
  <c r="D65" i="7"/>
  <c r="F65" i="7" s="1"/>
  <c r="C65" i="7"/>
  <c r="B65" i="7"/>
  <c r="A65" i="7"/>
  <c r="F64" i="7"/>
  <c r="E64" i="7"/>
  <c r="D64" i="7"/>
  <c r="C64" i="7"/>
  <c r="B64" i="7"/>
  <c r="A64" i="7"/>
  <c r="E63" i="7"/>
  <c r="D63" i="7"/>
  <c r="F63" i="7" s="1"/>
  <c r="C63" i="7"/>
  <c r="B63" i="7"/>
  <c r="A63" i="7"/>
  <c r="E62" i="7"/>
  <c r="D62" i="7"/>
  <c r="F62" i="7" s="1"/>
  <c r="C62" i="7"/>
  <c r="B62" i="7"/>
  <c r="A62" i="7"/>
  <c r="E61" i="7"/>
  <c r="D61" i="7"/>
  <c r="F61" i="7" s="1"/>
  <c r="C61" i="7"/>
  <c r="B61" i="7"/>
  <c r="A61" i="7"/>
  <c r="F60" i="7"/>
  <c r="E60" i="7"/>
  <c r="D60" i="7"/>
  <c r="C60" i="7"/>
  <c r="B60" i="7"/>
  <c r="A60" i="7"/>
  <c r="E59" i="7"/>
  <c r="D59" i="7"/>
  <c r="F59" i="7" s="1"/>
  <c r="C59" i="7"/>
  <c r="B59" i="7"/>
  <c r="A59" i="7"/>
  <c r="E58" i="7"/>
  <c r="D58" i="7"/>
  <c r="F58" i="7" s="1"/>
  <c r="C58" i="7"/>
  <c r="B58" i="7"/>
  <c r="A58" i="7"/>
  <c r="F57" i="7"/>
  <c r="E57" i="7"/>
  <c r="D57" i="7"/>
  <c r="C57" i="7"/>
  <c r="B57" i="7"/>
  <c r="A57" i="7"/>
  <c r="F56" i="7"/>
  <c r="E56" i="7"/>
  <c r="D56" i="7"/>
  <c r="C56" i="7"/>
  <c r="B56" i="7"/>
  <c r="A56" i="7"/>
  <c r="E55" i="7"/>
  <c r="D55" i="7"/>
  <c r="F55" i="7" s="1"/>
  <c r="C55" i="7"/>
  <c r="B55" i="7"/>
  <c r="A55" i="7"/>
  <c r="E54" i="7"/>
  <c r="D54" i="7"/>
  <c r="F54" i="7" s="1"/>
  <c r="C54" i="7"/>
  <c r="B54" i="7"/>
  <c r="A54" i="7"/>
  <c r="F53" i="7"/>
  <c r="E53" i="7"/>
  <c r="D53" i="7"/>
  <c r="C53" i="7"/>
  <c r="B53" i="7"/>
  <c r="A53" i="7"/>
  <c r="E52" i="7"/>
  <c r="D52" i="7"/>
  <c r="F52" i="7" s="1"/>
  <c r="C52" i="7"/>
  <c r="B52" i="7"/>
  <c r="A52" i="7"/>
  <c r="E51" i="7"/>
  <c r="D51" i="7"/>
  <c r="F51" i="7" s="1"/>
  <c r="C51" i="7"/>
  <c r="B51" i="7"/>
  <c r="A51" i="7"/>
  <c r="E50" i="7"/>
  <c r="D50" i="7"/>
  <c r="F50" i="7" s="1"/>
  <c r="C50" i="7"/>
  <c r="B50" i="7"/>
  <c r="A50" i="7"/>
  <c r="E49" i="7"/>
  <c r="D49" i="7"/>
  <c r="F49" i="7" s="1"/>
  <c r="C49" i="7"/>
  <c r="B49" i="7"/>
  <c r="A49" i="7"/>
  <c r="E48" i="7"/>
  <c r="D48" i="7"/>
  <c r="F48" i="7" s="1"/>
  <c r="C48" i="7"/>
  <c r="B48" i="7"/>
  <c r="A48" i="7"/>
  <c r="E47" i="7"/>
  <c r="D47" i="7"/>
  <c r="F47" i="7" s="1"/>
  <c r="C47" i="7"/>
  <c r="B47" i="7"/>
  <c r="A47" i="7"/>
  <c r="E46" i="7"/>
  <c r="D46" i="7"/>
  <c r="F46" i="7" s="1"/>
  <c r="C46" i="7"/>
  <c r="B46" i="7"/>
  <c r="A46" i="7"/>
  <c r="E45" i="7"/>
  <c r="D45" i="7"/>
  <c r="F45" i="7" s="1"/>
  <c r="C45" i="7"/>
  <c r="B45" i="7"/>
  <c r="A45" i="7"/>
  <c r="F44" i="7"/>
  <c r="E44" i="7"/>
  <c r="D44" i="7"/>
  <c r="C44" i="7"/>
  <c r="B44" i="7"/>
  <c r="A44" i="7"/>
  <c r="E43" i="7"/>
  <c r="D43" i="7"/>
  <c r="F43" i="7" s="1"/>
  <c r="C43" i="7"/>
  <c r="B43" i="7"/>
  <c r="A43" i="7"/>
  <c r="E42" i="7"/>
  <c r="D42" i="7"/>
  <c r="F42" i="7" s="1"/>
  <c r="C42" i="7"/>
  <c r="B42" i="7"/>
  <c r="A42" i="7"/>
  <c r="F41" i="7"/>
  <c r="E41" i="7"/>
  <c r="D41" i="7"/>
  <c r="C41" i="7"/>
  <c r="B41" i="7"/>
  <c r="A41" i="7"/>
  <c r="E40" i="7"/>
  <c r="D40" i="7"/>
  <c r="F40" i="7" s="1"/>
  <c r="C40" i="7"/>
  <c r="B40" i="7"/>
  <c r="A40" i="7"/>
  <c r="E39" i="7"/>
  <c r="D39" i="7"/>
  <c r="F39" i="7" s="1"/>
  <c r="C39" i="7"/>
  <c r="B39" i="7"/>
  <c r="A39" i="7"/>
  <c r="E38" i="7"/>
  <c r="D38" i="7"/>
  <c r="F38" i="7" s="1"/>
  <c r="C38" i="7"/>
  <c r="B38" i="7"/>
  <c r="A38" i="7"/>
  <c r="E37" i="7"/>
  <c r="D37" i="7"/>
  <c r="F37" i="7" s="1"/>
  <c r="C37" i="7"/>
  <c r="B37" i="7"/>
  <c r="A37" i="7"/>
  <c r="E36" i="7"/>
  <c r="D36" i="7"/>
  <c r="F36" i="7" s="1"/>
  <c r="C36" i="7"/>
  <c r="B36" i="7"/>
  <c r="A36" i="7"/>
  <c r="E35" i="7"/>
  <c r="D35" i="7"/>
  <c r="F35" i="7" s="1"/>
  <c r="C35" i="7"/>
  <c r="B35" i="7"/>
  <c r="A35" i="7"/>
  <c r="E34" i="7"/>
  <c r="D34" i="7"/>
  <c r="F34" i="7" s="1"/>
  <c r="C34" i="7"/>
  <c r="B34" i="7"/>
  <c r="A34" i="7"/>
  <c r="E33" i="7"/>
  <c r="D33" i="7"/>
  <c r="F33" i="7" s="1"/>
  <c r="C33" i="7"/>
  <c r="B33" i="7"/>
  <c r="A33" i="7"/>
  <c r="E32" i="7"/>
  <c r="D32" i="7"/>
  <c r="F32" i="7" s="1"/>
  <c r="C32" i="7"/>
  <c r="B32" i="7"/>
  <c r="A32" i="7"/>
  <c r="E31" i="7"/>
  <c r="D31" i="7"/>
  <c r="F31" i="7" s="1"/>
  <c r="C31" i="7"/>
  <c r="B31" i="7"/>
  <c r="A31" i="7"/>
  <c r="E30" i="7"/>
  <c r="D30" i="7"/>
  <c r="F30" i="7" s="1"/>
  <c r="C30" i="7"/>
  <c r="B30" i="7"/>
  <c r="A30" i="7"/>
  <c r="E29" i="7"/>
  <c r="D29" i="7"/>
  <c r="F29" i="7" s="1"/>
  <c r="C29" i="7"/>
  <c r="B29" i="7"/>
  <c r="A29" i="7"/>
  <c r="F28" i="7"/>
  <c r="E28" i="7"/>
  <c r="D28" i="7"/>
  <c r="C28" i="7"/>
  <c r="B28" i="7"/>
  <c r="A28" i="7"/>
  <c r="E27" i="7"/>
  <c r="D27" i="7"/>
  <c r="F27" i="7" s="1"/>
  <c r="C27" i="7"/>
  <c r="B27" i="7"/>
  <c r="A27" i="7"/>
  <c r="E26" i="7"/>
  <c r="D26" i="7"/>
  <c r="F26" i="7" s="1"/>
  <c r="C26" i="7"/>
  <c r="B26" i="7"/>
  <c r="A26" i="7"/>
  <c r="F25" i="7"/>
  <c r="E25" i="7"/>
  <c r="D25" i="7"/>
  <c r="C25" i="7"/>
  <c r="B25" i="7"/>
  <c r="A25" i="7"/>
  <c r="F24" i="7"/>
  <c r="E24" i="7"/>
  <c r="D24" i="7"/>
  <c r="C24" i="7"/>
  <c r="B24" i="7"/>
  <c r="A24" i="7"/>
  <c r="E23" i="7"/>
  <c r="D23" i="7"/>
  <c r="F23" i="7" s="1"/>
  <c r="C23" i="7"/>
  <c r="B23" i="7"/>
  <c r="A23" i="7"/>
  <c r="E22" i="7"/>
  <c r="D22" i="7"/>
  <c r="F22" i="7" s="1"/>
  <c r="C22" i="7"/>
  <c r="B22" i="7"/>
  <c r="A22" i="7"/>
  <c r="F21" i="7"/>
  <c r="E21" i="7"/>
  <c r="D21" i="7"/>
  <c r="C21" i="7"/>
  <c r="B21" i="7"/>
  <c r="A21" i="7"/>
  <c r="E20" i="7"/>
  <c r="D20" i="7"/>
  <c r="F20" i="7" s="1"/>
  <c r="C20" i="7"/>
  <c r="B20" i="7"/>
  <c r="A20" i="7"/>
  <c r="E19" i="7"/>
  <c r="D19" i="7"/>
  <c r="F19" i="7" s="1"/>
  <c r="C19" i="7"/>
  <c r="B19" i="7"/>
  <c r="A19" i="7"/>
  <c r="E18" i="7"/>
  <c r="D18" i="7"/>
  <c r="F18" i="7" s="1"/>
  <c r="C18" i="7"/>
  <c r="B18" i="7"/>
  <c r="A18" i="7"/>
  <c r="E17" i="7"/>
  <c r="D17" i="7"/>
  <c r="F17" i="7" s="1"/>
  <c r="C17" i="7"/>
  <c r="B17" i="7"/>
  <c r="A17" i="7"/>
  <c r="E16" i="7"/>
  <c r="D16" i="7"/>
  <c r="F16" i="7" s="1"/>
  <c r="C16" i="7"/>
  <c r="B16" i="7"/>
  <c r="A16" i="7"/>
  <c r="E15" i="7"/>
  <c r="D15" i="7"/>
  <c r="F15" i="7" s="1"/>
  <c r="C15" i="7"/>
  <c r="B15" i="7"/>
  <c r="A15" i="7"/>
  <c r="E14" i="7"/>
  <c r="D14" i="7"/>
  <c r="F14" i="7" s="1"/>
  <c r="C14" i="7"/>
  <c r="B14" i="7"/>
  <c r="A14" i="7"/>
  <c r="E13" i="7"/>
  <c r="D13" i="7"/>
  <c r="F13" i="7" s="1"/>
  <c r="C13" i="7"/>
  <c r="B13" i="7"/>
  <c r="A13" i="7"/>
  <c r="F12" i="7"/>
  <c r="E12" i="7"/>
  <c r="D12" i="7"/>
  <c r="C12" i="7"/>
  <c r="B12" i="7"/>
  <c r="A12" i="7"/>
  <c r="E11" i="7"/>
  <c r="D11" i="7"/>
  <c r="F11" i="7" s="1"/>
  <c r="C11" i="7"/>
  <c r="B11" i="7"/>
  <c r="A11" i="7"/>
  <c r="E10" i="7"/>
  <c r="D10" i="7"/>
  <c r="F10" i="7" s="1"/>
  <c r="C10" i="7"/>
  <c r="B10" i="7"/>
  <c r="A10" i="7"/>
  <c r="F9" i="7"/>
  <c r="E9" i="7"/>
  <c r="D9" i="7"/>
  <c r="C9" i="7"/>
  <c r="B9" i="7"/>
  <c r="A9" i="7"/>
  <c r="E8" i="7"/>
  <c r="D8" i="7"/>
  <c r="F8" i="7" s="1"/>
  <c r="E31" i="1" s="1"/>
  <c r="C8" i="7"/>
  <c r="B8" i="7"/>
  <c r="A8" i="7"/>
  <c r="E7" i="7"/>
  <c r="D7" i="7"/>
  <c r="F7" i="7" s="1"/>
  <c r="C7" i="7"/>
  <c r="B7" i="7"/>
  <c r="A7" i="7"/>
  <c r="E6" i="7"/>
  <c r="D6" i="7"/>
  <c r="F6" i="7" s="1"/>
  <c r="C6" i="7"/>
  <c r="B6" i="7"/>
  <c r="A6" i="7"/>
  <c r="I5" i="7"/>
  <c r="E5" i="7"/>
  <c r="D5" i="7"/>
  <c r="F5" i="7" s="1"/>
  <c r="C5" i="7"/>
  <c r="B5" i="7"/>
  <c r="A5" i="7"/>
  <c r="I4" i="7"/>
  <c r="E4" i="7"/>
  <c r="D4" i="7"/>
  <c r="F4" i="7" s="1"/>
  <c r="C4" i="7"/>
  <c r="B4" i="7"/>
  <c r="A4" i="7"/>
  <c r="I3" i="7"/>
  <c r="E3" i="7"/>
  <c r="D3" i="7"/>
  <c r="F3" i="7" s="1"/>
  <c r="C3" i="7"/>
  <c r="B3" i="7"/>
  <c r="A3" i="7"/>
  <c r="I2" i="7"/>
  <c r="E2" i="7"/>
  <c r="D2" i="7"/>
  <c r="F2" i="7" s="1"/>
  <c r="C2" i="7"/>
  <c r="B2" i="7"/>
  <c r="A2" i="7"/>
  <c r="E1" i="7"/>
  <c r="D1" i="7"/>
  <c r="C1" i="7"/>
  <c r="B1" i="7"/>
  <c r="A1" i="7"/>
  <c r="A1126" i="6"/>
  <c r="A1125" i="6"/>
  <c r="A1124" i="6"/>
  <c r="A1123" i="6"/>
  <c r="A1122" i="6"/>
  <c r="A1121" i="6"/>
  <c r="A1120" i="6"/>
  <c r="A1119" i="6"/>
  <c r="A1118" i="6"/>
  <c r="A1117" i="6"/>
  <c r="A1116" i="6"/>
  <c r="A1115" i="6"/>
  <c r="A1114" i="6"/>
  <c r="A1113" i="6"/>
  <c r="A1112" i="6"/>
  <c r="A1111" i="6"/>
  <c r="A1110" i="6"/>
  <c r="A1109" i="6"/>
  <c r="A1108" i="6"/>
  <c r="A1107" i="6"/>
  <c r="A1106" i="6"/>
  <c r="A1105" i="6"/>
  <c r="A1104" i="6"/>
  <c r="A1103" i="6"/>
  <c r="A1102" i="6"/>
  <c r="A1101" i="6"/>
  <c r="A1100" i="6"/>
  <c r="A1099" i="6"/>
  <c r="A1098" i="6"/>
  <c r="A1097" i="6"/>
  <c r="A1096" i="6"/>
  <c r="A1095" i="6"/>
  <c r="A1094" i="6"/>
  <c r="A1093" i="6"/>
  <c r="A1092" i="6"/>
  <c r="A1091" i="6"/>
  <c r="A1090" i="6"/>
  <c r="A1089" i="6"/>
  <c r="A1088" i="6"/>
  <c r="A1087" i="6"/>
  <c r="A1086" i="6"/>
  <c r="A1085" i="6"/>
  <c r="A1084" i="6"/>
  <c r="A1083" i="6"/>
  <c r="A1082" i="6"/>
  <c r="A1081" i="6"/>
  <c r="A1080" i="6"/>
  <c r="A1079" i="6"/>
  <c r="A1078" i="6"/>
  <c r="A1077" i="6"/>
  <c r="A1076" i="6"/>
  <c r="A1075" i="6"/>
  <c r="A1074" i="6"/>
  <c r="A1073" i="6"/>
  <c r="A1072" i="6"/>
  <c r="A1071" i="6"/>
  <c r="A1070" i="6"/>
  <c r="A1069" i="6"/>
  <c r="A1068" i="6"/>
  <c r="A1067" i="6"/>
  <c r="A1066" i="6"/>
  <c r="A1065" i="6"/>
  <c r="A1064" i="6"/>
  <c r="A1063" i="6"/>
  <c r="A1062" i="6"/>
  <c r="A1061" i="6"/>
  <c r="A1060" i="6"/>
  <c r="A1059" i="6"/>
  <c r="A1058" i="6"/>
  <c r="A1057" i="6"/>
  <c r="A1056" i="6"/>
  <c r="A1055" i="6"/>
  <c r="A1054" i="6"/>
  <c r="A1053" i="6"/>
  <c r="A1052" i="6"/>
  <c r="A1051" i="6"/>
  <c r="A1050" i="6"/>
  <c r="A1049" i="6"/>
  <c r="A1048" i="6"/>
  <c r="A1047" i="6"/>
  <c r="A1046" i="6"/>
  <c r="A1045" i="6"/>
  <c r="A1044" i="6"/>
  <c r="A1043" i="6"/>
  <c r="A1042" i="6"/>
  <c r="A1041" i="6"/>
  <c r="A1040" i="6"/>
  <c r="A1039" i="6"/>
  <c r="A1038" i="6"/>
  <c r="A1037" i="6"/>
  <c r="A1036" i="6"/>
  <c r="A1035" i="6"/>
  <c r="A1034" i="6"/>
  <c r="A1033" i="6"/>
  <c r="A1032" i="6"/>
  <c r="A1031" i="6"/>
  <c r="A1030" i="6"/>
  <c r="A1029" i="6"/>
  <c r="A1028" i="6"/>
  <c r="A1027" i="6"/>
  <c r="A1026" i="6"/>
  <c r="A1025" i="6"/>
  <c r="A1024" i="6"/>
  <c r="A1023" i="6"/>
  <c r="A1022" i="6"/>
  <c r="A1021" i="6"/>
  <c r="A1020" i="6"/>
  <c r="A1019" i="6"/>
  <c r="A1018" i="6"/>
  <c r="A1017" i="6"/>
  <c r="A1016" i="6"/>
  <c r="A1015" i="6"/>
  <c r="A1014" i="6"/>
  <c r="A1013" i="6"/>
  <c r="A1012" i="6"/>
  <c r="A1011" i="6"/>
  <c r="A1010" i="6"/>
  <c r="A1009" i="6"/>
  <c r="A1008" i="6"/>
  <c r="A1007" i="6"/>
  <c r="A1006" i="6"/>
  <c r="A1005" i="6"/>
  <c r="A1004" i="6"/>
  <c r="A1003" i="6"/>
  <c r="A1002" i="6"/>
  <c r="A1001" i="6"/>
  <c r="A1000" i="6"/>
  <c r="A999" i="6"/>
  <c r="A998" i="6"/>
  <c r="A997" i="6"/>
  <c r="A996" i="6"/>
  <c r="A995" i="6"/>
  <c r="A994" i="6"/>
  <c r="A993" i="6"/>
  <c r="A992" i="6"/>
  <c r="A991" i="6"/>
  <c r="A990" i="6"/>
  <c r="A989" i="6"/>
  <c r="A988" i="6"/>
  <c r="A987" i="6"/>
  <c r="A986" i="6"/>
  <c r="A985" i="6"/>
  <c r="A984" i="6"/>
  <c r="A983" i="6"/>
  <c r="A982" i="6"/>
  <c r="A981" i="6"/>
  <c r="A980" i="6"/>
  <c r="A979" i="6"/>
  <c r="A978" i="6"/>
  <c r="A977" i="6"/>
  <c r="A976" i="6"/>
  <c r="A975" i="6"/>
  <c r="A974" i="6"/>
  <c r="A973" i="6"/>
  <c r="A972" i="6"/>
  <c r="A971" i="6"/>
  <c r="A970" i="6"/>
  <c r="A969" i="6"/>
  <c r="A968" i="6"/>
  <c r="A967" i="6"/>
  <c r="A966" i="6"/>
  <c r="A965" i="6"/>
  <c r="A964" i="6"/>
  <c r="A963" i="6"/>
  <c r="A962" i="6"/>
  <c r="A961" i="6"/>
  <c r="A960" i="6"/>
  <c r="A959" i="6"/>
  <c r="A958" i="6"/>
  <c r="A957" i="6"/>
  <c r="A956" i="6"/>
  <c r="A955" i="6"/>
  <c r="A954" i="6"/>
  <c r="A953" i="6"/>
  <c r="A952" i="6"/>
  <c r="A951" i="6"/>
  <c r="A950" i="6"/>
  <c r="A949" i="6"/>
  <c r="A948" i="6"/>
  <c r="A947" i="6"/>
  <c r="A946" i="6"/>
  <c r="A945" i="6"/>
  <c r="A944" i="6"/>
  <c r="A943" i="6"/>
  <c r="A942" i="6"/>
  <c r="A941" i="6"/>
  <c r="A940" i="6"/>
  <c r="A939" i="6"/>
  <c r="A938" i="6"/>
  <c r="A937" i="6"/>
  <c r="A936" i="6"/>
  <c r="A935" i="6"/>
  <c r="A934" i="6"/>
  <c r="A933" i="6"/>
  <c r="A932" i="6"/>
  <c r="A931" i="6"/>
  <c r="A930" i="6"/>
  <c r="A929" i="6"/>
  <c r="A928" i="6"/>
  <c r="A927" i="6"/>
  <c r="A926" i="6"/>
  <c r="A925" i="6"/>
  <c r="A924" i="6"/>
  <c r="A923" i="6"/>
  <c r="A922" i="6"/>
  <c r="A921" i="6"/>
  <c r="A920" i="6"/>
  <c r="A919" i="6"/>
  <c r="A918" i="6"/>
  <c r="A917" i="6"/>
  <c r="A916" i="6"/>
  <c r="A915" i="6"/>
  <c r="A914" i="6"/>
  <c r="A913" i="6"/>
  <c r="A912" i="6"/>
  <c r="A911" i="6"/>
  <c r="A910" i="6"/>
  <c r="A909" i="6"/>
  <c r="A908" i="6"/>
  <c r="A907" i="6"/>
  <c r="A906" i="6"/>
  <c r="A905" i="6"/>
  <c r="A904" i="6"/>
  <c r="A903" i="6"/>
  <c r="A902" i="6"/>
  <c r="A901" i="6"/>
  <c r="A900" i="6"/>
  <c r="A899" i="6"/>
  <c r="A898" i="6"/>
  <c r="A897" i="6"/>
  <c r="A896" i="6"/>
  <c r="A895" i="6"/>
  <c r="A894" i="6"/>
  <c r="A893" i="6"/>
  <c r="A892" i="6"/>
  <c r="A891" i="6"/>
  <c r="A890" i="6"/>
  <c r="A889" i="6"/>
  <c r="A888" i="6"/>
  <c r="A887" i="6"/>
  <c r="A886" i="6"/>
  <c r="A885" i="6"/>
  <c r="A884" i="6"/>
  <c r="A883" i="6"/>
  <c r="A882" i="6"/>
  <c r="A881" i="6"/>
  <c r="A880" i="6"/>
  <c r="A879" i="6"/>
  <c r="A878" i="6"/>
  <c r="A877" i="6"/>
  <c r="A876" i="6"/>
  <c r="A875" i="6"/>
  <c r="E312" i="2" s="1" a="1"/>
  <c r="A874" i="6"/>
  <c r="A873" i="6"/>
  <c r="A872" i="6"/>
  <c r="A871" i="6"/>
  <c r="A870" i="6"/>
  <c r="A869" i="6"/>
  <c r="A868" i="6"/>
  <c r="A867" i="6"/>
  <c r="A866" i="6"/>
  <c r="A865" i="6"/>
  <c r="A864" i="6"/>
  <c r="A863" i="6"/>
  <c r="A862" i="6"/>
  <c r="A861" i="6"/>
  <c r="A860" i="6"/>
  <c r="A859" i="6"/>
  <c r="A858" i="6"/>
  <c r="A857" i="6"/>
  <c r="A856" i="6"/>
  <c r="A855" i="6"/>
  <c r="A854" i="6"/>
  <c r="A853" i="6"/>
  <c r="A852" i="6"/>
  <c r="A851" i="6"/>
  <c r="A850" i="6"/>
  <c r="A849" i="6"/>
  <c r="A848" i="6"/>
  <c r="A847" i="6"/>
  <c r="A846" i="6"/>
  <c r="A845" i="6"/>
  <c r="A844" i="6"/>
  <c r="A843" i="6"/>
  <c r="A842" i="6"/>
  <c r="A841" i="6"/>
  <c r="A840" i="6"/>
  <c r="A839" i="6"/>
  <c r="A838" i="6"/>
  <c r="A837" i="6"/>
  <c r="A836" i="6"/>
  <c r="A835" i="6"/>
  <c r="A834" i="6"/>
  <c r="A833" i="6"/>
  <c r="E338" i="2" s="1" a="1"/>
  <c r="A832" i="6"/>
  <c r="A831" i="6"/>
  <c r="A830" i="6"/>
  <c r="A829" i="6"/>
  <c r="A828" i="6"/>
  <c r="A827" i="6"/>
  <c r="A826" i="6"/>
  <c r="A825" i="6"/>
  <c r="A824" i="6"/>
  <c r="A823" i="6"/>
  <c r="A822" i="6"/>
  <c r="A821" i="6"/>
  <c r="A820" i="6"/>
  <c r="A819" i="6"/>
  <c r="A818" i="6"/>
  <c r="A817" i="6"/>
  <c r="A816" i="6"/>
  <c r="A815" i="6"/>
  <c r="A814" i="6"/>
  <c r="A813" i="6"/>
  <c r="A812" i="6"/>
  <c r="A811" i="6"/>
  <c r="A810" i="6"/>
  <c r="A809" i="6"/>
  <c r="A808" i="6"/>
  <c r="A807" i="6"/>
  <c r="A806" i="6"/>
  <c r="A805" i="6"/>
  <c r="A804" i="6"/>
  <c r="A803" i="6"/>
  <c r="A802" i="6"/>
  <c r="A801" i="6"/>
  <c r="A800" i="6"/>
  <c r="A799" i="6"/>
  <c r="A798" i="6"/>
  <c r="A797" i="6"/>
  <c r="A796" i="6"/>
  <c r="A795" i="6"/>
  <c r="A794" i="6"/>
  <c r="A793" i="6"/>
  <c r="A792" i="6"/>
  <c r="A791" i="6"/>
  <c r="A790" i="6"/>
  <c r="A789" i="6"/>
  <c r="A788" i="6"/>
  <c r="A787" i="6"/>
  <c r="A786" i="6"/>
  <c r="A785" i="6"/>
  <c r="A784" i="6"/>
  <c r="A783" i="6"/>
  <c r="A782" i="6"/>
  <c r="A781" i="6"/>
  <c r="A780" i="6"/>
  <c r="A779" i="6"/>
  <c r="A778" i="6"/>
  <c r="A777" i="6"/>
  <c r="A776" i="6"/>
  <c r="A775" i="6"/>
  <c r="A774" i="6"/>
  <c r="A773" i="6"/>
  <c r="A772" i="6"/>
  <c r="A771" i="6"/>
  <c r="A770" i="6"/>
  <c r="A769" i="6"/>
  <c r="A768" i="6"/>
  <c r="A767" i="6"/>
  <c r="A766" i="6"/>
  <c r="A765" i="6"/>
  <c r="A764" i="6"/>
  <c r="A763" i="6"/>
  <c r="A762" i="6"/>
  <c r="A761" i="6"/>
  <c r="A760" i="6"/>
  <c r="A759" i="6"/>
  <c r="A758" i="6"/>
  <c r="A757" i="6"/>
  <c r="A756" i="6"/>
  <c r="A755" i="6"/>
  <c r="A754" i="6"/>
  <c r="A753" i="6"/>
  <c r="A752" i="6"/>
  <c r="A751" i="6"/>
  <c r="A750" i="6"/>
  <c r="A749" i="6"/>
  <c r="A748" i="6"/>
  <c r="A747" i="6"/>
  <c r="A746" i="6"/>
  <c r="A745" i="6"/>
  <c r="A744" i="6"/>
  <c r="A743" i="6"/>
  <c r="A742" i="6"/>
  <c r="A741" i="6"/>
  <c r="A740" i="6"/>
  <c r="A739" i="6"/>
  <c r="A738" i="6"/>
  <c r="A737" i="6"/>
  <c r="A736" i="6"/>
  <c r="A735" i="6"/>
  <c r="A734" i="6"/>
  <c r="A733" i="6"/>
  <c r="A732" i="6"/>
  <c r="A731" i="6"/>
  <c r="A730" i="6"/>
  <c r="A729" i="6"/>
  <c r="A728" i="6"/>
  <c r="A727" i="6"/>
  <c r="A726" i="6"/>
  <c r="A725" i="6"/>
  <c r="A724" i="6"/>
  <c r="A723" i="6"/>
  <c r="A722" i="6"/>
  <c r="A721" i="6"/>
  <c r="A720" i="6"/>
  <c r="A719" i="6"/>
  <c r="A718" i="6"/>
  <c r="A717" i="6"/>
  <c r="A716" i="6"/>
  <c r="A715" i="6"/>
  <c r="A714" i="6"/>
  <c r="A713" i="6"/>
  <c r="A712" i="6"/>
  <c r="A711" i="6"/>
  <c r="A710" i="6"/>
  <c r="A709" i="6"/>
  <c r="A708" i="6"/>
  <c r="A707" i="6"/>
  <c r="A706" i="6"/>
  <c r="A705" i="6"/>
  <c r="A704" i="6"/>
  <c r="A703" i="6"/>
  <c r="A702" i="6"/>
  <c r="A701" i="6"/>
  <c r="A700" i="6"/>
  <c r="A699" i="6"/>
  <c r="A698" i="6"/>
  <c r="A697" i="6"/>
  <c r="A696" i="6"/>
  <c r="A695" i="6"/>
  <c r="A694" i="6"/>
  <c r="A693" i="6"/>
  <c r="A692" i="6"/>
  <c r="A691" i="6"/>
  <c r="A690" i="6"/>
  <c r="A689" i="6"/>
  <c r="A688" i="6"/>
  <c r="A687" i="6"/>
  <c r="A686" i="6"/>
  <c r="A685" i="6"/>
  <c r="E282" i="2" s="1" a="1"/>
  <c r="A684" i="6"/>
  <c r="A683" i="6"/>
  <c r="A682" i="6"/>
  <c r="A681" i="6"/>
  <c r="A680" i="6"/>
  <c r="A679" i="6"/>
  <c r="A678" i="6"/>
  <c r="A677" i="6"/>
  <c r="A676" i="6"/>
  <c r="A675" i="6"/>
  <c r="A674" i="6"/>
  <c r="A673" i="6"/>
  <c r="A672" i="6"/>
  <c r="A671" i="6"/>
  <c r="A670" i="6"/>
  <c r="A669" i="6"/>
  <c r="A668" i="6"/>
  <c r="A667" i="6"/>
  <c r="A666" i="6"/>
  <c r="A665" i="6"/>
  <c r="A664" i="6"/>
  <c r="A663" i="6"/>
  <c r="A662" i="6"/>
  <c r="A661" i="6"/>
  <c r="A660" i="6"/>
  <c r="A659" i="6"/>
  <c r="A658" i="6"/>
  <c r="A657" i="6"/>
  <c r="A656" i="6"/>
  <c r="A655" i="6"/>
  <c r="A654" i="6"/>
  <c r="A653" i="6"/>
  <c r="A652" i="6"/>
  <c r="A651" i="6"/>
  <c r="A650" i="6"/>
  <c r="A649" i="6"/>
  <c r="A648" i="6"/>
  <c r="A647" i="6"/>
  <c r="A646" i="6"/>
  <c r="A645" i="6"/>
  <c r="A644" i="6"/>
  <c r="A643" i="6"/>
  <c r="A642" i="6"/>
  <c r="A641" i="6"/>
  <c r="A640" i="6"/>
  <c r="A639" i="6"/>
  <c r="A638" i="6"/>
  <c r="A637" i="6"/>
  <c r="A636" i="6"/>
  <c r="A635" i="6"/>
  <c r="A634" i="6"/>
  <c r="A633" i="6"/>
  <c r="A632" i="6"/>
  <c r="A631" i="6"/>
  <c r="A630" i="6"/>
  <c r="A629" i="6"/>
  <c r="A628" i="6"/>
  <c r="A627" i="6"/>
  <c r="A626" i="6"/>
  <c r="A625" i="6"/>
  <c r="A624" i="6"/>
  <c r="A623" i="6"/>
  <c r="A622" i="6"/>
  <c r="A621" i="6"/>
  <c r="A620" i="6"/>
  <c r="A619" i="6"/>
  <c r="A618" i="6"/>
  <c r="A617" i="6"/>
  <c r="A616" i="6"/>
  <c r="A615" i="6"/>
  <c r="A614" i="6"/>
  <c r="A613" i="6"/>
  <c r="A612" i="6"/>
  <c r="A611" i="6"/>
  <c r="A610" i="6"/>
  <c r="A609" i="6"/>
  <c r="A608" i="6"/>
  <c r="A607" i="6"/>
  <c r="A606" i="6"/>
  <c r="A605" i="6"/>
  <c r="A604" i="6"/>
  <c r="A603" i="6"/>
  <c r="A602" i="6"/>
  <c r="A601" i="6"/>
  <c r="A600" i="6"/>
  <c r="A599" i="6"/>
  <c r="A598" i="6"/>
  <c r="A597" i="6"/>
  <c r="A596" i="6"/>
  <c r="A595" i="6"/>
  <c r="A594" i="6"/>
  <c r="A593" i="6"/>
  <c r="A592" i="6"/>
  <c r="A591" i="6"/>
  <c r="A590" i="6"/>
  <c r="A589" i="6"/>
  <c r="A588" i="6"/>
  <c r="A587" i="6"/>
  <c r="A586" i="6"/>
  <c r="A585" i="6"/>
  <c r="A584" i="6"/>
  <c r="A583" i="6"/>
  <c r="A582" i="6"/>
  <c r="A581" i="6"/>
  <c r="A580" i="6"/>
  <c r="A579" i="6"/>
  <c r="A578" i="6"/>
  <c r="A577" i="6"/>
  <c r="A576" i="6"/>
  <c r="A575" i="6"/>
  <c r="A574" i="6"/>
  <c r="A573" i="6"/>
  <c r="A572" i="6"/>
  <c r="A571" i="6"/>
  <c r="A570" i="6"/>
  <c r="A569" i="6"/>
  <c r="A568" i="6"/>
  <c r="A567" i="6"/>
  <c r="A566" i="6"/>
  <c r="A565" i="6"/>
  <c r="A564" i="6"/>
  <c r="A563" i="6"/>
  <c r="A562" i="6"/>
  <c r="A561" i="6"/>
  <c r="A560" i="6"/>
  <c r="A559" i="6"/>
  <c r="A558" i="6"/>
  <c r="A557" i="6"/>
  <c r="A556" i="6"/>
  <c r="A555" i="6"/>
  <c r="A554" i="6"/>
  <c r="A553" i="6"/>
  <c r="A552" i="6"/>
  <c r="A551" i="6"/>
  <c r="A550" i="6"/>
  <c r="A549" i="6"/>
  <c r="A548" i="6"/>
  <c r="A547" i="6"/>
  <c r="A546" i="6"/>
  <c r="A545" i="6"/>
  <c r="A544" i="6"/>
  <c r="A543" i="6"/>
  <c r="A542" i="6"/>
  <c r="A541" i="6"/>
  <c r="A540" i="6"/>
  <c r="A539" i="6"/>
  <c r="A538" i="6"/>
  <c r="A537" i="6"/>
  <c r="A536" i="6"/>
  <c r="A535" i="6"/>
  <c r="A534" i="6"/>
  <c r="A533" i="6"/>
  <c r="A532" i="6"/>
  <c r="A531" i="6"/>
  <c r="A530" i="6"/>
  <c r="A529" i="6"/>
  <c r="A528" i="6"/>
  <c r="A527" i="6"/>
  <c r="A526" i="6"/>
  <c r="A525" i="6"/>
  <c r="A524" i="6"/>
  <c r="A523" i="6"/>
  <c r="A522" i="6"/>
  <c r="A521" i="6"/>
  <c r="A520" i="6"/>
  <c r="A519" i="6"/>
  <c r="A518" i="6"/>
  <c r="A517" i="6"/>
  <c r="A516" i="6"/>
  <c r="A515" i="6"/>
  <c r="A514" i="6"/>
  <c r="A513" i="6"/>
  <c r="A512" i="6"/>
  <c r="A511" i="6"/>
  <c r="A510" i="6"/>
  <c r="A509" i="6"/>
  <c r="A508" i="6"/>
  <c r="A507" i="6"/>
  <c r="A506" i="6"/>
  <c r="A505" i="6"/>
  <c r="A504" i="6"/>
  <c r="A503" i="6"/>
  <c r="A502" i="6"/>
  <c r="A501" i="6"/>
  <c r="A500" i="6"/>
  <c r="A499" i="6"/>
  <c r="A498" i="6"/>
  <c r="A497" i="6"/>
  <c r="A496" i="6"/>
  <c r="A495" i="6"/>
  <c r="A494" i="6"/>
  <c r="A493" i="6"/>
  <c r="A492" i="6"/>
  <c r="A491" i="6"/>
  <c r="A490" i="6"/>
  <c r="A489" i="6"/>
  <c r="A488" i="6"/>
  <c r="A487" i="6"/>
  <c r="A486" i="6"/>
  <c r="A485" i="6"/>
  <c r="A484" i="6"/>
  <c r="A483" i="6"/>
  <c r="A482" i="6"/>
  <c r="A481" i="6"/>
  <c r="A480" i="6"/>
  <c r="A479" i="6"/>
  <c r="A478" i="6"/>
  <c r="A477" i="6"/>
  <c r="A476" i="6"/>
  <c r="A475" i="6"/>
  <c r="A474" i="6"/>
  <c r="A473" i="6"/>
  <c r="A472" i="6"/>
  <c r="A471" i="6"/>
  <c r="A470" i="6"/>
  <c r="A469" i="6"/>
  <c r="A468" i="6"/>
  <c r="A467" i="6"/>
  <c r="A466" i="6"/>
  <c r="A465" i="6"/>
  <c r="A464" i="6"/>
  <c r="A463" i="6"/>
  <c r="A462" i="6"/>
  <c r="A461" i="6"/>
  <c r="A460" i="6"/>
  <c r="A459" i="6"/>
  <c r="A458" i="6"/>
  <c r="A457" i="6"/>
  <c r="A456" i="6"/>
  <c r="A455" i="6"/>
  <c r="A454" i="6"/>
  <c r="A453" i="6"/>
  <c r="A452" i="6"/>
  <c r="A451" i="6"/>
  <c r="A450" i="6"/>
  <c r="A449" i="6"/>
  <c r="A448" i="6"/>
  <c r="A447" i="6"/>
  <c r="A446" i="6"/>
  <c r="A445" i="6"/>
  <c r="A444" i="6"/>
  <c r="A443" i="6"/>
  <c r="A442" i="6"/>
  <c r="A441" i="6"/>
  <c r="A440" i="6"/>
  <c r="A439" i="6"/>
  <c r="A438" i="6"/>
  <c r="A437" i="6"/>
  <c r="A436" i="6"/>
  <c r="A435" i="6"/>
  <c r="A434" i="6"/>
  <c r="A433" i="6"/>
  <c r="A432" i="6"/>
  <c r="A431" i="6"/>
  <c r="A430" i="6"/>
  <c r="A429" i="6"/>
  <c r="A428" i="6"/>
  <c r="A427" i="6"/>
  <c r="A426" i="6"/>
  <c r="A425" i="6"/>
  <c r="A424" i="6"/>
  <c r="A423" i="6"/>
  <c r="A422" i="6"/>
  <c r="A421" i="6"/>
  <c r="A420" i="6"/>
  <c r="A419" i="6"/>
  <c r="A418" i="6"/>
  <c r="A417" i="6"/>
  <c r="A416" i="6"/>
  <c r="A415" i="6"/>
  <c r="A414" i="6"/>
  <c r="A413" i="6"/>
  <c r="A412" i="6"/>
  <c r="A411" i="6"/>
  <c r="A410" i="6"/>
  <c r="A409" i="6"/>
  <c r="A408" i="6"/>
  <c r="A407" i="6"/>
  <c r="A406" i="6"/>
  <c r="A405" i="6"/>
  <c r="A404" i="6"/>
  <c r="A403" i="6"/>
  <c r="A402" i="6"/>
  <c r="A401" i="6"/>
  <c r="A400" i="6"/>
  <c r="A399" i="6"/>
  <c r="A398" i="6"/>
  <c r="A397" i="6"/>
  <c r="A396" i="6"/>
  <c r="A395" i="6"/>
  <c r="A394" i="6"/>
  <c r="A393" i="6"/>
  <c r="A392" i="6"/>
  <c r="A391" i="6"/>
  <c r="A390" i="6"/>
  <c r="A389" i="6"/>
  <c r="A388" i="6"/>
  <c r="A387" i="6"/>
  <c r="A386" i="6"/>
  <c r="A385" i="6"/>
  <c r="A384" i="6"/>
  <c r="A383" i="6"/>
  <c r="A382" i="6"/>
  <c r="A381" i="6"/>
  <c r="A380" i="6"/>
  <c r="A379" i="6"/>
  <c r="A378" i="6"/>
  <c r="A377" i="6"/>
  <c r="A376" i="6"/>
  <c r="A375" i="6"/>
  <c r="A374" i="6"/>
  <c r="A373" i="6"/>
  <c r="A372" i="6"/>
  <c r="A371" i="6"/>
  <c r="A370" i="6"/>
  <c r="A369" i="6"/>
  <c r="A368" i="6"/>
  <c r="A367" i="6"/>
  <c r="A366" i="6"/>
  <c r="A365" i="6"/>
  <c r="A364" i="6"/>
  <c r="A363" i="6"/>
  <c r="A362" i="6"/>
  <c r="A361" i="6"/>
  <c r="A360" i="6"/>
  <c r="A359" i="6"/>
  <c r="A358" i="6"/>
  <c r="A357" i="6"/>
  <c r="A356" i="6"/>
  <c r="A355" i="6"/>
  <c r="A354" i="6"/>
  <c r="A353" i="6"/>
  <c r="A352" i="6"/>
  <c r="A351" i="6"/>
  <c r="A350" i="6"/>
  <c r="A349" i="6"/>
  <c r="A348" i="6"/>
  <c r="A347" i="6"/>
  <c r="A346" i="6"/>
  <c r="A345" i="6"/>
  <c r="A344" i="6"/>
  <c r="A343" i="6"/>
  <c r="A342" i="6"/>
  <c r="A341" i="6"/>
  <c r="A340" i="6"/>
  <c r="A339" i="6"/>
  <c r="A338" i="6"/>
  <c r="A337" i="6"/>
  <c r="A336" i="6"/>
  <c r="A335" i="6"/>
  <c r="A334" i="6"/>
  <c r="A333" i="6"/>
  <c r="A332" i="6"/>
  <c r="A331" i="6"/>
  <c r="A330" i="6"/>
  <c r="A329" i="6"/>
  <c r="A328" i="6"/>
  <c r="A327" i="6"/>
  <c r="A326" i="6"/>
  <c r="A325" i="6"/>
  <c r="A324" i="6"/>
  <c r="A323" i="6"/>
  <c r="A322" i="6"/>
  <c r="A321" i="6"/>
  <c r="A320" i="6"/>
  <c r="A319" i="6"/>
  <c r="A318" i="6"/>
  <c r="A317" i="6"/>
  <c r="A316" i="6"/>
  <c r="A315" i="6"/>
  <c r="A314" i="6"/>
  <c r="A313" i="6"/>
  <c r="A312" i="6"/>
  <c r="A311" i="6"/>
  <c r="A310" i="6"/>
  <c r="A309" i="6"/>
  <c r="A308" i="6"/>
  <c r="A307" i="6"/>
  <c r="A306" i="6"/>
  <c r="A305" i="6"/>
  <c r="A304" i="6"/>
  <c r="A303" i="6"/>
  <c r="A302" i="6"/>
  <c r="A301" i="6"/>
  <c r="A300" i="6"/>
  <c r="A299" i="6"/>
  <c r="A298" i="6"/>
  <c r="A297" i="6"/>
  <c r="A296" i="6"/>
  <c r="A295" i="6"/>
  <c r="A294" i="6"/>
  <c r="A293" i="6"/>
  <c r="A292" i="6"/>
  <c r="A291" i="6"/>
  <c r="A290" i="6"/>
  <c r="A289" i="6"/>
  <c r="A288" i="6"/>
  <c r="A287" i="6"/>
  <c r="A286" i="6"/>
  <c r="A285" i="6"/>
  <c r="A284" i="6"/>
  <c r="A283" i="6"/>
  <c r="A282" i="6"/>
  <c r="A281" i="6"/>
  <c r="A280" i="6"/>
  <c r="A279" i="6"/>
  <c r="A278" i="6"/>
  <c r="A277" i="6"/>
  <c r="A276" i="6"/>
  <c r="A275" i="6"/>
  <c r="A274" i="6"/>
  <c r="A273" i="6"/>
  <c r="A272" i="6"/>
  <c r="A271" i="6"/>
  <c r="A270" i="6"/>
  <c r="A269" i="6"/>
  <c r="A268" i="6"/>
  <c r="A267" i="6"/>
  <c r="A266" i="6"/>
  <c r="A265" i="6"/>
  <c r="A264" i="6"/>
  <c r="A263" i="6"/>
  <c r="A262" i="6"/>
  <c r="A261" i="6"/>
  <c r="A260" i="6"/>
  <c r="A259" i="6"/>
  <c r="A258" i="6"/>
  <c r="A257" i="6"/>
  <c r="A256" i="6"/>
  <c r="A255" i="6"/>
  <c r="A254" i="6"/>
  <c r="A253" i="6"/>
  <c r="A252" i="6"/>
  <c r="A251" i="6"/>
  <c r="A250" i="6"/>
  <c r="A249" i="6"/>
  <c r="A248" i="6"/>
  <c r="A247" i="6"/>
  <c r="A246" i="6"/>
  <c r="A245" i="6"/>
  <c r="A244" i="6"/>
  <c r="A243" i="6"/>
  <c r="A242" i="6"/>
  <c r="A241" i="6"/>
  <c r="E347" i="2" s="1" a="1"/>
  <c r="A240" i="6"/>
  <c r="A239" i="6"/>
  <c r="A238" i="6"/>
  <c r="A237" i="6"/>
  <c r="A236" i="6"/>
  <c r="A235" i="6"/>
  <c r="A234" i="6"/>
  <c r="A233" i="6"/>
  <c r="A232" i="6"/>
  <c r="A231" i="6"/>
  <c r="A230" i="6"/>
  <c r="A229" i="6"/>
  <c r="A228" i="6"/>
  <c r="A227" i="6"/>
  <c r="A226" i="6"/>
  <c r="A225" i="6"/>
  <c r="A224" i="6"/>
  <c r="A223" i="6"/>
  <c r="A222" i="6"/>
  <c r="A221" i="6"/>
  <c r="A220" i="6"/>
  <c r="A219" i="6"/>
  <c r="A218" i="6"/>
  <c r="A217" i="6"/>
  <c r="A216" i="6"/>
  <c r="A215" i="6"/>
  <c r="A214" i="6"/>
  <c r="A213" i="6"/>
  <c r="A212" i="6"/>
  <c r="A211" i="6"/>
  <c r="A210" i="6"/>
  <c r="A209" i="6"/>
  <c r="A208" i="6"/>
  <c r="A207" i="6"/>
  <c r="A206" i="6"/>
  <c r="A205" i="6"/>
  <c r="A204" i="6"/>
  <c r="A203" i="6"/>
  <c r="A202" i="6"/>
  <c r="A201" i="6"/>
  <c r="A200" i="6"/>
  <c r="A199" i="6"/>
  <c r="A198" i="6"/>
  <c r="A197" i="6"/>
  <c r="A196" i="6"/>
  <c r="A195" i="6"/>
  <c r="A194" i="6"/>
  <c r="A193" i="6"/>
  <c r="A192" i="6"/>
  <c r="A191" i="6"/>
  <c r="A190" i="6"/>
  <c r="A189" i="6"/>
  <c r="A188" i="6"/>
  <c r="A187" i="6"/>
  <c r="A186" i="6"/>
  <c r="A185" i="6"/>
  <c r="A184" i="6"/>
  <c r="A183" i="6"/>
  <c r="A182" i="6"/>
  <c r="A181" i="6"/>
  <c r="A180" i="6"/>
  <c r="A179" i="6"/>
  <c r="A178" i="6"/>
  <c r="A177" i="6"/>
  <c r="A176" i="6"/>
  <c r="A175" i="6"/>
  <c r="A174" i="6"/>
  <c r="A173" i="6"/>
  <c r="A172" i="6"/>
  <c r="A171" i="6"/>
  <c r="A170" i="6"/>
  <c r="A169" i="6"/>
  <c r="A168" i="6"/>
  <c r="A167" i="6"/>
  <c r="A166" i="6"/>
  <c r="A165" i="6"/>
  <c r="A164" i="6"/>
  <c r="A163" i="6"/>
  <c r="A162" i="6"/>
  <c r="A161" i="6"/>
  <c r="A160" i="6"/>
  <c r="A159" i="6"/>
  <c r="A158" i="6"/>
  <c r="A157" i="6"/>
  <c r="A156" i="6"/>
  <c r="A155" i="6"/>
  <c r="A154" i="6"/>
  <c r="A153" i="6"/>
  <c r="A152" i="6"/>
  <c r="A151" i="6"/>
  <c r="A150" i="6"/>
  <c r="A149" i="6"/>
  <c r="A148" i="6"/>
  <c r="A147" i="6"/>
  <c r="A146" i="6"/>
  <c r="A145" i="6"/>
  <c r="A144" i="6"/>
  <c r="A143" i="6"/>
  <c r="A142" i="6"/>
  <c r="A141" i="6"/>
  <c r="A140" i="6"/>
  <c r="A139" i="6"/>
  <c r="A138" i="6"/>
  <c r="A137" i="6"/>
  <c r="A136" i="6"/>
  <c r="A135" i="6"/>
  <c r="A134" i="6"/>
  <c r="A133" i="6"/>
  <c r="A132" i="6"/>
  <c r="A131" i="6"/>
  <c r="A130" i="6"/>
  <c r="A129" i="6"/>
  <c r="A128" i="6"/>
  <c r="A127" i="6"/>
  <c r="A126" i="6"/>
  <c r="A125" i="6"/>
  <c r="A124" i="6"/>
  <c r="A123" i="6"/>
  <c r="A122" i="6"/>
  <c r="A121" i="6"/>
  <c r="A120" i="6"/>
  <c r="A119" i="6"/>
  <c r="A118" i="6"/>
  <c r="A117" i="6"/>
  <c r="A116" i="6"/>
  <c r="A115" i="6"/>
  <c r="A114" i="6"/>
  <c r="A113" i="6"/>
  <c r="E330" i="2" s="1" a="1"/>
  <c r="A112" i="6"/>
  <c r="A111" i="6"/>
  <c r="A110" i="6"/>
  <c r="A109" i="6"/>
  <c r="A108" i="6"/>
  <c r="A107" i="6"/>
  <c r="A106" i="6"/>
  <c r="A105" i="6"/>
  <c r="A104" i="6"/>
  <c r="A103" i="6"/>
  <c r="A102" i="6"/>
  <c r="A101" i="6"/>
  <c r="A100" i="6"/>
  <c r="A99" i="6"/>
  <c r="A98" i="6"/>
  <c r="A97" i="6"/>
  <c r="A96" i="6"/>
  <c r="A95" i="6"/>
  <c r="A94" i="6"/>
  <c r="A93" i="6"/>
  <c r="A92" i="6"/>
  <c r="A91" i="6"/>
  <c r="A90" i="6"/>
  <c r="A89" i="6"/>
  <c r="A88" i="6"/>
  <c r="A87" i="6"/>
  <c r="A86" i="6"/>
  <c r="A85" i="6"/>
  <c r="A84" i="6"/>
  <c r="A83" i="6"/>
  <c r="A82" i="6"/>
  <c r="A81" i="6"/>
  <c r="A80" i="6"/>
  <c r="A79" i="6"/>
  <c r="A78" i="6"/>
  <c r="A77" i="6"/>
  <c r="A76" i="6"/>
  <c r="A75" i="6"/>
  <c r="A74" i="6"/>
  <c r="A73" i="6"/>
  <c r="A72" i="6"/>
  <c r="A71" i="6"/>
  <c r="A70" i="6"/>
  <c r="A69" i="6"/>
  <c r="A68" i="6"/>
  <c r="A67" i="6"/>
  <c r="A66" i="6"/>
  <c r="A65" i="6"/>
  <c r="A64" i="6"/>
  <c r="A63" i="6"/>
  <c r="A62" i="6"/>
  <c r="A61" i="6"/>
  <c r="A60" i="6"/>
  <c r="A59" i="6"/>
  <c r="A58" i="6"/>
  <c r="A57" i="6"/>
  <c r="A56" i="6"/>
  <c r="A55" i="6"/>
  <c r="A54" i="6"/>
  <c r="A53" i="6"/>
  <c r="A52" i="6"/>
  <c r="A51" i="6"/>
  <c r="A50" i="6"/>
  <c r="A49" i="6"/>
  <c r="A48" i="6"/>
  <c r="A47" i="6"/>
  <c r="A46" i="6"/>
  <c r="A45" i="6"/>
  <c r="A44" i="6"/>
  <c r="A43" i="6"/>
  <c r="A42" i="6"/>
  <c r="A41" i="6"/>
  <c r="A40" i="6"/>
  <c r="A39" i="6"/>
  <c r="A38" i="6"/>
  <c r="A37" i="6"/>
  <c r="A36" i="6"/>
  <c r="A35" i="6"/>
  <c r="A34" i="6"/>
  <c r="A33" i="6"/>
  <c r="A32" i="6"/>
  <c r="A31" i="6"/>
  <c r="A30" i="6"/>
  <c r="A29" i="6"/>
  <c r="A28" i="6"/>
  <c r="A27" i="6"/>
  <c r="A26" i="6"/>
  <c r="A25" i="6"/>
  <c r="A24" i="6"/>
  <c r="A23" i="6"/>
  <c r="A22" i="6"/>
  <c r="A21" i="6"/>
  <c r="A20" i="6"/>
  <c r="A19" i="6"/>
  <c r="A18" i="6"/>
  <c r="A17" i="6"/>
  <c r="A16" i="6"/>
  <c r="A15" i="6"/>
  <c r="A14" i="6"/>
  <c r="A13" i="6"/>
  <c r="A12" i="6"/>
  <c r="A11" i="6"/>
  <c r="A10" i="6"/>
  <c r="A9" i="6"/>
  <c r="A8" i="6"/>
  <c r="A7" i="6"/>
  <c r="A6" i="6"/>
  <c r="A5" i="6"/>
  <c r="A4" i="6"/>
  <c r="A3" i="6"/>
  <c r="A2" i="6"/>
  <c r="G136" i="4"/>
  <c r="G135" i="4"/>
  <c r="G134" i="4"/>
  <c r="G133" i="4"/>
  <c r="G132" i="4"/>
  <c r="G131" i="4"/>
  <c r="G130" i="4"/>
  <c r="G129" i="4"/>
  <c r="G128" i="4"/>
  <c r="G127" i="4"/>
  <c r="G126" i="4"/>
  <c r="G125" i="4"/>
  <c r="G124" i="4"/>
  <c r="G123" i="4"/>
  <c r="G122" i="4"/>
  <c r="G121" i="4"/>
  <c r="G120" i="4"/>
  <c r="G119" i="4"/>
  <c r="G118" i="4"/>
  <c r="G117" i="4"/>
  <c r="G116" i="4"/>
  <c r="G115" i="4"/>
  <c r="G114" i="4"/>
  <c r="G113" i="4"/>
  <c r="G112" i="4"/>
  <c r="G111" i="4"/>
  <c r="G110" i="4"/>
  <c r="G109" i="4"/>
  <c r="G108" i="4"/>
  <c r="G107" i="4"/>
  <c r="G106" i="4"/>
  <c r="G105" i="4"/>
  <c r="G104" i="4"/>
  <c r="G103" i="4"/>
  <c r="G102" i="4"/>
  <c r="G101" i="4"/>
  <c r="G100" i="4"/>
  <c r="G99" i="4"/>
  <c r="G98" i="4"/>
  <c r="G97" i="4"/>
  <c r="G96" i="4"/>
  <c r="G95" i="4"/>
  <c r="G94" i="4"/>
  <c r="G93" i="4"/>
  <c r="G92" i="4"/>
  <c r="G91" i="4"/>
  <c r="G90" i="4"/>
  <c r="G89" i="4"/>
  <c r="G88" i="4"/>
  <c r="G87" i="4"/>
  <c r="G86" i="4"/>
  <c r="G85" i="4"/>
  <c r="G84" i="4"/>
  <c r="G83" i="4"/>
  <c r="G82" i="4"/>
  <c r="G81" i="4"/>
  <c r="G80" i="4"/>
  <c r="G79" i="4"/>
  <c r="G78" i="4"/>
  <c r="G77" i="4"/>
  <c r="G76" i="4"/>
  <c r="G75" i="4"/>
  <c r="G74" i="4"/>
  <c r="G73" i="4"/>
  <c r="G72" i="4"/>
  <c r="G71" i="4"/>
  <c r="G70" i="4"/>
  <c r="G69" i="4"/>
  <c r="G68" i="4"/>
  <c r="G67" i="4"/>
  <c r="G66" i="4"/>
  <c r="G65" i="4"/>
  <c r="G64" i="4"/>
  <c r="G63" i="4"/>
  <c r="G62" i="4"/>
  <c r="G61" i="4"/>
  <c r="G60" i="4"/>
  <c r="G59" i="4"/>
  <c r="G58" i="4"/>
  <c r="G57" i="4"/>
  <c r="G56" i="4"/>
  <c r="G55" i="4"/>
  <c r="G54" i="4"/>
  <c r="G53" i="4"/>
  <c r="G52" i="4"/>
  <c r="G51" i="4"/>
  <c r="G50" i="4"/>
  <c r="B50" i="4"/>
  <c r="G49" i="4"/>
  <c r="B49" i="4"/>
  <c r="G48" i="4"/>
  <c r="B48" i="4"/>
  <c r="G47" i="4"/>
  <c r="B47" i="4"/>
  <c r="G46" i="4"/>
  <c r="B46" i="4"/>
  <c r="G45" i="4"/>
  <c r="B45" i="4"/>
  <c r="G44" i="4"/>
  <c r="B44" i="4"/>
  <c r="G43" i="4"/>
  <c r="B43" i="4"/>
  <c r="G42" i="4"/>
  <c r="B42" i="4"/>
  <c r="G41" i="4"/>
  <c r="B41" i="4"/>
  <c r="G40" i="4"/>
  <c r="B40" i="4"/>
  <c r="G39" i="4"/>
  <c r="B39" i="4"/>
  <c r="G38" i="4"/>
  <c r="B38" i="4"/>
  <c r="G37" i="4"/>
  <c r="B37" i="4"/>
  <c r="G36" i="4"/>
  <c r="B36" i="4"/>
  <c r="G35" i="4"/>
  <c r="B35" i="4"/>
  <c r="G34" i="4"/>
  <c r="B34" i="4"/>
  <c r="G33" i="4"/>
  <c r="B33" i="4"/>
  <c r="G32" i="4"/>
  <c r="B32" i="4"/>
  <c r="G31" i="4"/>
  <c r="B31" i="4"/>
  <c r="G30" i="4"/>
  <c r="B30" i="4"/>
  <c r="G29" i="4"/>
  <c r="B29" i="4"/>
  <c r="G28" i="4"/>
  <c r="B28" i="4"/>
  <c r="G27" i="4"/>
  <c r="B27" i="4"/>
  <c r="G26" i="4"/>
  <c r="B26" i="4"/>
  <c r="G25" i="4"/>
  <c r="B25" i="4"/>
  <c r="G24" i="4"/>
  <c r="B24" i="4"/>
  <c r="G23" i="4"/>
  <c r="B23" i="4"/>
  <c r="G22" i="4"/>
  <c r="B22" i="4"/>
  <c r="G21" i="4"/>
  <c r="B21" i="4"/>
  <c r="G20" i="4"/>
  <c r="B20" i="4"/>
  <c r="G19" i="4"/>
  <c r="B19" i="4"/>
  <c r="G18" i="4"/>
  <c r="B18" i="4"/>
  <c r="G17" i="4"/>
  <c r="B17" i="4"/>
  <c r="G16" i="4"/>
  <c r="B16" i="4"/>
  <c r="G15" i="4"/>
  <c r="B15" i="4"/>
  <c r="G14" i="4"/>
  <c r="B14" i="4"/>
  <c r="G13" i="4"/>
  <c r="B13" i="4"/>
  <c r="G12" i="4"/>
  <c r="B12" i="4"/>
  <c r="G11" i="4"/>
  <c r="B11" i="4"/>
  <c r="G10" i="4"/>
  <c r="B10" i="4"/>
  <c r="G9" i="4"/>
  <c r="B9" i="4"/>
  <c r="G8" i="4"/>
  <c r="B8" i="4"/>
  <c r="G7" i="4"/>
  <c r="B7" i="4"/>
  <c r="G6" i="4"/>
  <c r="B6" i="4"/>
  <c r="G5" i="4"/>
  <c r="B5" i="4"/>
  <c r="G4" i="4"/>
  <c r="B4" i="4"/>
  <c r="G3" i="4"/>
  <c r="B3" i="4"/>
  <c r="G2" i="4"/>
  <c r="B2" i="4"/>
  <c r="Z1123" i="3"/>
  <c r="Z1122" i="3"/>
  <c r="Z1121" i="3"/>
  <c r="Z1120" i="3"/>
  <c r="Z1119" i="3"/>
  <c r="Z1118" i="3"/>
  <c r="Z1117" i="3"/>
  <c r="Z1116" i="3"/>
  <c r="Z1115" i="3"/>
  <c r="Z1114" i="3"/>
  <c r="Z1113" i="3"/>
  <c r="Z1112" i="3"/>
  <c r="Z1111" i="3"/>
  <c r="Z1110" i="3"/>
  <c r="Z1109" i="3"/>
  <c r="Z1108" i="3"/>
  <c r="Z1107" i="3"/>
  <c r="Z1106" i="3"/>
  <c r="Z1105" i="3"/>
  <c r="Z1104" i="3"/>
  <c r="Z1103" i="3"/>
  <c r="Z1102" i="3"/>
  <c r="Z1101" i="3"/>
  <c r="Z1100" i="3"/>
  <c r="Z1099" i="3"/>
  <c r="Z1098" i="3"/>
  <c r="Z1097" i="3"/>
  <c r="Z1096" i="3"/>
  <c r="Z1095" i="3"/>
  <c r="Z1094" i="3"/>
  <c r="Z1093" i="3"/>
  <c r="Z1092" i="3"/>
  <c r="Z1091" i="3"/>
  <c r="Z1090" i="3"/>
  <c r="Z1089" i="3"/>
  <c r="Z1088" i="3"/>
  <c r="Z1087" i="3"/>
  <c r="Z1086" i="3"/>
  <c r="Z1085" i="3"/>
  <c r="Z1084" i="3"/>
  <c r="Z1083" i="3"/>
  <c r="Z1082" i="3"/>
  <c r="Z1081" i="3"/>
  <c r="Z1080" i="3"/>
  <c r="Z1079" i="3"/>
  <c r="Z1078" i="3"/>
  <c r="Z1077" i="3"/>
  <c r="Z1076" i="3"/>
  <c r="Z1075" i="3"/>
  <c r="Z1074" i="3"/>
  <c r="Z1073" i="3"/>
  <c r="Z1072" i="3"/>
  <c r="Z1071" i="3"/>
  <c r="Z1070" i="3"/>
  <c r="Z1069" i="3"/>
  <c r="Z1068" i="3"/>
  <c r="Z1067" i="3"/>
  <c r="Z1066" i="3"/>
  <c r="Z1065" i="3"/>
  <c r="Z1064" i="3"/>
  <c r="Z1063" i="3"/>
  <c r="Z1062" i="3"/>
  <c r="Z1061" i="3"/>
  <c r="Z1060" i="3"/>
  <c r="Z1059" i="3"/>
  <c r="Z1058" i="3"/>
  <c r="Z1057" i="3"/>
  <c r="Z1056" i="3"/>
  <c r="Z1055" i="3"/>
  <c r="Z1054" i="3"/>
  <c r="Z1053" i="3"/>
  <c r="Z1052" i="3"/>
  <c r="Z1051" i="3"/>
  <c r="Z1050" i="3"/>
  <c r="Z1049" i="3"/>
  <c r="Z1048" i="3"/>
  <c r="Z1047" i="3"/>
  <c r="Z1046" i="3"/>
  <c r="Z1045" i="3"/>
  <c r="Z1044" i="3"/>
  <c r="Z1043" i="3"/>
  <c r="Z1042" i="3"/>
  <c r="Z1041" i="3"/>
  <c r="Z1040" i="3"/>
  <c r="Z1039" i="3"/>
  <c r="Z1038" i="3"/>
  <c r="Z1037" i="3"/>
  <c r="Z1036" i="3"/>
  <c r="Z1035" i="3"/>
  <c r="Z1034" i="3"/>
  <c r="Z1033" i="3"/>
  <c r="Z1032" i="3"/>
  <c r="Z1031" i="3"/>
  <c r="Z1030" i="3"/>
  <c r="Z1029" i="3"/>
  <c r="Z1028" i="3"/>
  <c r="Z1027" i="3"/>
  <c r="Z1026" i="3"/>
  <c r="Z1025" i="3"/>
  <c r="Z1024" i="3"/>
  <c r="Z1023" i="3"/>
  <c r="Z1022" i="3"/>
  <c r="Z1021" i="3"/>
  <c r="Z1020" i="3"/>
  <c r="Z1019" i="3"/>
  <c r="Z1018" i="3"/>
  <c r="Z1017" i="3"/>
  <c r="Z1016" i="3"/>
  <c r="Z1015" i="3"/>
  <c r="Z1014" i="3"/>
  <c r="Z1013" i="3"/>
  <c r="Z1012" i="3"/>
  <c r="Z1011" i="3"/>
  <c r="Z1010" i="3"/>
  <c r="Z1009" i="3"/>
  <c r="Z1008" i="3"/>
  <c r="Z1007" i="3"/>
  <c r="Z1006" i="3"/>
  <c r="Z1005" i="3"/>
  <c r="Z1004" i="3"/>
  <c r="Z1003" i="3"/>
  <c r="Z1002" i="3"/>
  <c r="Z1001" i="3"/>
  <c r="Z1000" i="3"/>
  <c r="Z999" i="3"/>
  <c r="Z998" i="3"/>
  <c r="Z997" i="3"/>
  <c r="Z996" i="3"/>
  <c r="Z995" i="3"/>
  <c r="Z994" i="3"/>
  <c r="Z993" i="3"/>
  <c r="Z992" i="3"/>
  <c r="Z991" i="3"/>
  <c r="Z990" i="3"/>
  <c r="Z989" i="3"/>
  <c r="Z988" i="3"/>
  <c r="Z987" i="3"/>
  <c r="Z986" i="3"/>
  <c r="Z985" i="3"/>
  <c r="Z984" i="3"/>
  <c r="Z983" i="3"/>
  <c r="Z982" i="3"/>
  <c r="Z981" i="3"/>
  <c r="Z980" i="3"/>
  <c r="Z979" i="3"/>
  <c r="Z978" i="3"/>
  <c r="Z977" i="3"/>
  <c r="Z976" i="3"/>
  <c r="Z975" i="3"/>
  <c r="Z974" i="3"/>
  <c r="Z973" i="3"/>
  <c r="Z972" i="3"/>
  <c r="Z971" i="3"/>
  <c r="Z970" i="3"/>
  <c r="Z969" i="3"/>
  <c r="Z968" i="3"/>
  <c r="Z967" i="3"/>
  <c r="Z966" i="3"/>
  <c r="Z965" i="3"/>
  <c r="Z964" i="3"/>
  <c r="Z963" i="3"/>
  <c r="Z962" i="3"/>
  <c r="Z961" i="3"/>
  <c r="Z960" i="3"/>
  <c r="Z959" i="3"/>
  <c r="Z958" i="3"/>
  <c r="Z957" i="3"/>
  <c r="Z956" i="3"/>
  <c r="Z955" i="3"/>
  <c r="Z954" i="3"/>
  <c r="Z953" i="3"/>
  <c r="Z952" i="3"/>
  <c r="Z951" i="3"/>
  <c r="Z950" i="3"/>
  <c r="Z949" i="3"/>
  <c r="Z948" i="3"/>
  <c r="Z947" i="3"/>
  <c r="Z946" i="3"/>
  <c r="Z945" i="3"/>
  <c r="Z944" i="3"/>
  <c r="Z943" i="3"/>
  <c r="Z942" i="3"/>
  <c r="Z941" i="3"/>
  <c r="Z940" i="3"/>
  <c r="Z939" i="3"/>
  <c r="Z938" i="3"/>
  <c r="Z937" i="3"/>
  <c r="Z936" i="3"/>
  <c r="Z935" i="3"/>
  <c r="Z934" i="3"/>
  <c r="Z933" i="3"/>
  <c r="Z932" i="3"/>
  <c r="Z931" i="3"/>
  <c r="Z930" i="3"/>
  <c r="Z929" i="3"/>
  <c r="Z928" i="3"/>
  <c r="Z927" i="3"/>
  <c r="Z926" i="3"/>
  <c r="Z925" i="3"/>
  <c r="Z924" i="3"/>
  <c r="Z923" i="3"/>
  <c r="Z922" i="3"/>
  <c r="Z921" i="3"/>
  <c r="Z920" i="3"/>
  <c r="Z919" i="3"/>
  <c r="Z918" i="3"/>
  <c r="Z917" i="3"/>
  <c r="Z916" i="3"/>
  <c r="Z915" i="3"/>
  <c r="Z914" i="3"/>
  <c r="Z913" i="3"/>
  <c r="Z912" i="3"/>
  <c r="Z911" i="3"/>
  <c r="Z910" i="3"/>
  <c r="Z909" i="3"/>
  <c r="Z908" i="3"/>
  <c r="Z907" i="3"/>
  <c r="Z906" i="3"/>
  <c r="Z905" i="3"/>
  <c r="Z904" i="3"/>
  <c r="Z903" i="3"/>
  <c r="Z902" i="3"/>
  <c r="Z901" i="3"/>
  <c r="Z900" i="3"/>
  <c r="Z899" i="3"/>
  <c r="Z898" i="3"/>
  <c r="Z897" i="3"/>
  <c r="Z896" i="3"/>
  <c r="Z895" i="3"/>
  <c r="Z894" i="3"/>
  <c r="Z893" i="3"/>
  <c r="Z892" i="3"/>
  <c r="Z891" i="3"/>
  <c r="Z890" i="3"/>
  <c r="Z889" i="3"/>
  <c r="Z888" i="3"/>
  <c r="Z887" i="3"/>
  <c r="Z886" i="3"/>
  <c r="Z885" i="3"/>
  <c r="Z884" i="3"/>
  <c r="Z883" i="3"/>
  <c r="Z882" i="3"/>
  <c r="Z881" i="3"/>
  <c r="Z880" i="3"/>
  <c r="Z879" i="3"/>
  <c r="Z878" i="3"/>
  <c r="Z877" i="3"/>
  <c r="Z876" i="3"/>
  <c r="Z875" i="3"/>
  <c r="Z874" i="3"/>
  <c r="Z873" i="3"/>
  <c r="Z872" i="3"/>
  <c r="Z871" i="3"/>
  <c r="Z870" i="3"/>
  <c r="Z869" i="3"/>
  <c r="Z868" i="3"/>
  <c r="Z867" i="3"/>
  <c r="Z866" i="3"/>
  <c r="Z865" i="3"/>
  <c r="Z864" i="3"/>
  <c r="Z863" i="3"/>
  <c r="Z862" i="3"/>
  <c r="Z861" i="3"/>
  <c r="Z860" i="3"/>
  <c r="Z859" i="3"/>
  <c r="Z858" i="3"/>
  <c r="Z857" i="3"/>
  <c r="Z856" i="3"/>
  <c r="Z855" i="3"/>
  <c r="Z854" i="3"/>
  <c r="Z853" i="3"/>
  <c r="Z852" i="3"/>
  <c r="Z851" i="3"/>
  <c r="Z850" i="3"/>
  <c r="Z849" i="3"/>
  <c r="Z848" i="3"/>
  <c r="Z847" i="3"/>
  <c r="Z846" i="3"/>
  <c r="Z845" i="3"/>
  <c r="Z844" i="3"/>
  <c r="Z843" i="3"/>
  <c r="Z842" i="3"/>
  <c r="Z841" i="3"/>
  <c r="Z840" i="3"/>
  <c r="Z839" i="3"/>
  <c r="Z838" i="3"/>
  <c r="Z837" i="3"/>
  <c r="Z836" i="3"/>
  <c r="Z835" i="3"/>
  <c r="Z834" i="3"/>
  <c r="Z833" i="3"/>
  <c r="Z832" i="3"/>
  <c r="Z831" i="3"/>
  <c r="Z830" i="3"/>
  <c r="Z829" i="3"/>
  <c r="Z828" i="3"/>
  <c r="Z827" i="3"/>
  <c r="Z826" i="3"/>
  <c r="Z825" i="3"/>
  <c r="Z824" i="3"/>
  <c r="Z823" i="3"/>
  <c r="Z822" i="3"/>
  <c r="Z821" i="3"/>
  <c r="Z820" i="3"/>
  <c r="Z819" i="3"/>
  <c r="Z818" i="3"/>
  <c r="Z817" i="3"/>
  <c r="Z816" i="3"/>
  <c r="Z815" i="3"/>
  <c r="Z814" i="3"/>
  <c r="Z813" i="3"/>
  <c r="Z812" i="3"/>
  <c r="Z811" i="3"/>
  <c r="Z810" i="3"/>
  <c r="Z809" i="3"/>
  <c r="Z808" i="3"/>
  <c r="Z807" i="3"/>
  <c r="Z806" i="3"/>
  <c r="Z805" i="3"/>
  <c r="Z804" i="3"/>
  <c r="Z803" i="3"/>
  <c r="Z802" i="3"/>
  <c r="Z801" i="3"/>
  <c r="Z800" i="3"/>
  <c r="Z799" i="3"/>
  <c r="Z798" i="3"/>
  <c r="Z797" i="3"/>
  <c r="Z796" i="3"/>
  <c r="Z795" i="3"/>
  <c r="Z794" i="3"/>
  <c r="Z793" i="3"/>
  <c r="Z792" i="3"/>
  <c r="Z791" i="3"/>
  <c r="Z790" i="3"/>
  <c r="Z789" i="3"/>
  <c r="Z788" i="3"/>
  <c r="Z787" i="3"/>
  <c r="Z786" i="3"/>
  <c r="Z785" i="3"/>
  <c r="Z784" i="3"/>
  <c r="Z783" i="3"/>
  <c r="Z782" i="3"/>
  <c r="Z781" i="3"/>
  <c r="Z780" i="3"/>
  <c r="Z779" i="3"/>
  <c r="Z778" i="3"/>
  <c r="Z777" i="3"/>
  <c r="Z776" i="3"/>
  <c r="Z775" i="3"/>
  <c r="Z774" i="3"/>
  <c r="Z773" i="3"/>
  <c r="Z772" i="3"/>
  <c r="Z771" i="3"/>
  <c r="Z770" i="3"/>
  <c r="Z769" i="3"/>
  <c r="Z768" i="3"/>
  <c r="Z767" i="3"/>
  <c r="Z766" i="3"/>
  <c r="Z765" i="3"/>
  <c r="Z764" i="3"/>
  <c r="Z763" i="3"/>
  <c r="Z762" i="3"/>
  <c r="Z761" i="3"/>
  <c r="Z760" i="3"/>
  <c r="Z759" i="3"/>
  <c r="Z758" i="3"/>
  <c r="Z757" i="3"/>
  <c r="Z756" i="3"/>
  <c r="Z755" i="3"/>
  <c r="Z754" i="3"/>
  <c r="Z753" i="3"/>
  <c r="Z752" i="3"/>
  <c r="Z751" i="3"/>
  <c r="Z750" i="3"/>
  <c r="Z749" i="3"/>
  <c r="Z748" i="3"/>
  <c r="Z747" i="3"/>
  <c r="Z746" i="3"/>
  <c r="Z745" i="3"/>
  <c r="Z744" i="3"/>
  <c r="Z743" i="3"/>
  <c r="Z742" i="3"/>
  <c r="Z741" i="3"/>
  <c r="Z740" i="3"/>
  <c r="Z739" i="3"/>
  <c r="Z738" i="3"/>
  <c r="Z737" i="3"/>
  <c r="Z736" i="3"/>
  <c r="Z735" i="3"/>
  <c r="Z734" i="3"/>
  <c r="Z733" i="3"/>
  <c r="Z732" i="3"/>
  <c r="Z731" i="3"/>
  <c r="Z730" i="3"/>
  <c r="Z729" i="3"/>
  <c r="Z728" i="3"/>
  <c r="Z727" i="3"/>
  <c r="Z726" i="3"/>
  <c r="Z725" i="3"/>
  <c r="Z724" i="3"/>
  <c r="Z723" i="3"/>
  <c r="Z722" i="3"/>
  <c r="Z721" i="3"/>
  <c r="Z720" i="3"/>
  <c r="Z719" i="3"/>
  <c r="Z718" i="3"/>
  <c r="Z717" i="3"/>
  <c r="Z716" i="3"/>
  <c r="Z715" i="3"/>
  <c r="Z714" i="3"/>
  <c r="Z713" i="3"/>
  <c r="Z712" i="3"/>
  <c r="Z711" i="3"/>
  <c r="Z710" i="3"/>
  <c r="Z709" i="3"/>
  <c r="Z708" i="3"/>
  <c r="Z707" i="3"/>
  <c r="Z706" i="3"/>
  <c r="Z705" i="3"/>
  <c r="Z704" i="3"/>
  <c r="Z703" i="3"/>
  <c r="Z702" i="3"/>
  <c r="Z701" i="3"/>
  <c r="Z700" i="3"/>
  <c r="Z699" i="3"/>
  <c r="Z698" i="3"/>
  <c r="Z697" i="3"/>
  <c r="Z696" i="3"/>
  <c r="Z695" i="3"/>
  <c r="Z694" i="3"/>
  <c r="Z693" i="3"/>
  <c r="Z692" i="3"/>
  <c r="Z691" i="3"/>
  <c r="Z690" i="3"/>
  <c r="Z689" i="3"/>
  <c r="Z688" i="3"/>
  <c r="Z687" i="3"/>
  <c r="Z686" i="3"/>
  <c r="Z685" i="3"/>
  <c r="Z684" i="3"/>
  <c r="Z683" i="3"/>
  <c r="Z682" i="3"/>
  <c r="Z681" i="3"/>
  <c r="Z680" i="3"/>
  <c r="Z679" i="3"/>
  <c r="Z678" i="3"/>
  <c r="Z677" i="3"/>
  <c r="Z676" i="3"/>
  <c r="Z675" i="3"/>
  <c r="Z674" i="3"/>
  <c r="Z673" i="3"/>
  <c r="Z672" i="3"/>
  <c r="Z671" i="3"/>
  <c r="Z670" i="3"/>
  <c r="Z669" i="3"/>
  <c r="Z668" i="3"/>
  <c r="Z667" i="3"/>
  <c r="Z666" i="3"/>
  <c r="Z665" i="3"/>
  <c r="Z664" i="3"/>
  <c r="Z663" i="3"/>
  <c r="Z662" i="3"/>
  <c r="Z661" i="3"/>
  <c r="Z660" i="3"/>
  <c r="Z659" i="3"/>
  <c r="Z658" i="3"/>
  <c r="Z657" i="3"/>
  <c r="Z656" i="3"/>
  <c r="Z655" i="3"/>
  <c r="Z654" i="3"/>
  <c r="Z653" i="3"/>
  <c r="Z652" i="3"/>
  <c r="Z651" i="3"/>
  <c r="Z650" i="3"/>
  <c r="Z649" i="3"/>
  <c r="Z648" i="3"/>
  <c r="Z647" i="3"/>
  <c r="Z646" i="3"/>
  <c r="Z645" i="3"/>
  <c r="Z644" i="3"/>
  <c r="Z643" i="3"/>
  <c r="Z642" i="3"/>
  <c r="Z641" i="3"/>
  <c r="Z640" i="3"/>
  <c r="Z639" i="3"/>
  <c r="Z638" i="3"/>
  <c r="Z637" i="3"/>
  <c r="Z636" i="3"/>
  <c r="Z635" i="3"/>
  <c r="Z634" i="3"/>
  <c r="Z633" i="3"/>
  <c r="Z632" i="3"/>
  <c r="Z631" i="3"/>
  <c r="Z630" i="3"/>
  <c r="Z629" i="3"/>
  <c r="Z628" i="3"/>
  <c r="Z627" i="3"/>
  <c r="Z626" i="3"/>
  <c r="Z625" i="3"/>
  <c r="Z624" i="3"/>
  <c r="Z623" i="3"/>
  <c r="Z622" i="3"/>
  <c r="Z621" i="3"/>
  <c r="Z620" i="3"/>
  <c r="Z619" i="3"/>
  <c r="Z618" i="3"/>
  <c r="Z617" i="3"/>
  <c r="Z616" i="3"/>
  <c r="Z615" i="3"/>
  <c r="Z614" i="3"/>
  <c r="Z613" i="3"/>
  <c r="Z612" i="3"/>
  <c r="Z611" i="3"/>
  <c r="Z610" i="3"/>
  <c r="Z609" i="3"/>
  <c r="Z608" i="3"/>
  <c r="Z607" i="3"/>
  <c r="Z606" i="3"/>
  <c r="Z605" i="3"/>
  <c r="Z604" i="3"/>
  <c r="Z603" i="3"/>
  <c r="Z602" i="3"/>
  <c r="Z601" i="3"/>
  <c r="Z600" i="3"/>
  <c r="Z599" i="3"/>
  <c r="Z598" i="3"/>
  <c r="Z597" i="3"/>
  <c r="Z596" i="3"/>
  <c r="Z595" i="3"/>
  <c r="Z594" i="3"/>
  <c r="Z593" i="3"/>
  <c r="Z592" i="3"/>
  <c r="Z591" i="3"/>
  <c r="Z590" i="3"/>
  <c r="Z589" i="3"/>
  <c r="Z588" i="3"/>
  <c r="Z587" i="3"/>
  <c r="Z586" i="3"/>
  <c r="Z585" i="3"/>
  <c r="Z584" i="3"/>
  <c r="Z583" i="3"/>
  <c r="Z582" i="3"/>
  <c r="Z581" i="3"/>
  <c r="Z580" i="3"/>
  <c r="Z579" i="3"/>
  <c r="Z578" i="3"/>
  <c r="Z577" i="3"/>
  <c r="Z576" i="3"/>
  <c r="Z575" i="3"/>
  <c r="Z574" i="3"/>
  <c r="Z573" i="3"/>
  <c r="Z572" i="3"/>
  <c r="Z571" i="3"/>
  <c r="Z570" i="3"/>
  <c r="Z569" i="3"/>
  <c r="Z568" i="3"/>
  <c r="Z567" i="3"/>
  <c r="Z566" i="3"/>
  <c r="Z565" i="3"/>
  <c r="Z564" i="3"/>
  <c r="Z563" i="3"/>
  <c r="Z562" i="3"/>
  <c r="Z561" i="3"/>
  <c r="Z560" i="3"/>
  <c r="Z559" i="3"/>
  <c r="Z558" i="3"/>
  <c r="Z557" i="3"/>
  <c r="Z556" i="3"/>
  <c r="Z555" i="3"/>
  <c r="Z554" i="3"/>
  <c r="Z553" i="3"/>
  <c r="Z552" i="3"/>
  <c r="Z551" i="3"/>
  <c r="Z550" i="3"/>
  <c r="Z549" i="3"/>
  <c r="Z548" i="3"/>
  <c r="Z547" i="3"/>
  <c r="Z546" i="3"/>
  <c r="Z545" i="3"/>
  <c r="Z544" i="3"/>
  <c r="Z543" i="3"/>
  <c r="Z542" i="3"/>
  <c r="Z541" i="3"/>
  <c r="Z540" i="3"/>
  <c r="Z539" i="3"/>
  <c r="Z538" i="3"/>
  <c r="Z537" i="3"/>
  <c r="Z536" i="3"/>
  <c r="Z535" i="3"/>
  <c r="Z534" i="3"/>
  <c r="Z533" i="3"/>
  <c r="Z532" i="3"/>
  <c r="Z531" i="3"/>
  <c r="Z530" i="3"/>
  <c r="Z529" i="3"/>
  <c r="Z528" i="3"/>
  <c r="Z527" i="3"/>
  <c r="Z526" i="3"/>
  <c r="Z525" i="3"/>
  <c r="Z524" i="3"/>
  <c r="Z523" i="3"/>
  <c r="Z522" i="3"/>
  <c r="Z521" i="3"/>
  <c r="Z520" i="3"/>
  <c r="Z519" i="3"/>
  <c r="Z518" i="3"/>
  <c r="Z517" i="3"/>
  <c r="Z516" i="3"/>
  <c r="Z515" i="3"/>
  <c r="Z514" i="3"/>
  <c r="Z513" i="3"/>
  <c r="Z512" i="3"/>
  <c r="Z511" i="3"/>
  <c r="Z510" i="3"/>
  <c r="Z509" i="3"/>
  <c r="Z508" i="3"/>
  <c r="Z507" i="3"/>
  <c r="Z506" i="3"/>
  <c r="Z505" i="3"/>
  <c r="Z504" i="3"/>
  <c r="Z503" i="3"/>
  <c r="Z502" i="3"/>
  <c r="Z501" i="3"/>
  <c r="Z500" i="3"/>
  <c r="Z499" i="3"/>
  <c r="Z498" i="3"/>
  <c r="Z497" i="3"/>
  <c r="Z496" i="3"/>
  <c r="Z495" i="3"/>
  <c r="Z494" i="3"/>
  <c r="Z493" i="3"/>
  <c r="Z492" i="3"/>
  <c r="Z491" i="3"/>
  <c r="Z490" i="3"/>
  <c r="Z489" i="3"/>
  <c r="Z488" i="3"/>
  <c r="Z487" i="3"/>
  <c r="Z486" i="3"/>
  <c r="Z485" i="3"/>
  <c r="Z484" i="3"/>
  <c r="Z483" i="3"/>
  <c r="Z482" i="3"/>
  <c r="Z481" i="3"/>
  <c r="Z480" i="3"/>
  <c r="Z479" i="3"/>
  <c r="Z478" i="3"/>
  <c r="Z477" i="3"/>
  <c r="Z476" i="3"/>
  <c r="Z475" i="3"/>
  <c r="Z474" i="3"/>
  <c r="Z473" i="3"/>
  <c r="Z472" i="3"/>
  <c r="Z471" i="3"/>
  <c r="Z470" i="3"/>
  <c r="Z469" i="3"/>
  <c r="Z468" i="3"/>
  <c r="Z467" i="3"/>
  <c r="Z466" i="3"/>
  <c r="Z465" i="3"/>
  <c r="Z464" i="3"/>
  <c r="Z463" i="3"/>
  <c r="Z462" i="3"/>
  <c r="Z461" i="3"/>
  <c r="Z460" i="3"/>
  <c r="Z459" i="3"/>
  <c r="Z458" i="3"/>
  <c r="Z457" i="3"/>
  <c r="Z456" i="3"/>
  <c r="Z455" i="3"/>
  <c r="Z454" i="3"/>
  <c r="Z453" i="3"/>
  <c r="Z452" i="3"/>
  <c r="Z451" i="3"/>
  <c r="Z450" i="3"/>
  <c r="Z449" i="3"/>
  <c r="Z448" i="3"/>
  <c r="Z447" i="3"/>
  <c r="Z446" i="3"/>
  <c r="Z445" i="3"/>
  <c r="Z444" i="3"/>
  <c r="Z443" i="3"/>
  <c r="Z442" i="3"/>
  <c r="Z441" i="3"/>
  <c r="Z440" i="3"/>
  <c r="Z439" i="3"/>
  <c r="Z438" i="3"/>
  <c r="Z437" i="3"/>
  <c r="Z436" i="3"/>
  <c r="Z435" i="3"/>
  <c r="Z434" i="3"/>
  <c r="Z433" i="3"/>
  <c r="Z432" i="3"/>
  <c r="Z431" i="3"/>
  <c r="Z430" i="3"/>
  <c r="Z429" i="3"/>
  <c r="Z428" i="3"/>
  <c r="Z427" i="3"/>
  <c r="Z426" i="3"/>
  <c r="Z425" i="3"/>
  <c r="Z424" i="3"/>
  <c r="Z423" i="3"/>
  <c r="Z422" i="3"/>
  <c r="Z421" i="3"/>
  <c r="Z420" i="3"/>
  <c r="Z419" i="3"/>
  <c r="Z418" i="3"/>
  <c r="Z417" i="3"/>
  <c r="Z416" i="3"/>
  <c r="Z415" i="3"/>
  <c r="Z414" i="3"/>
  <c r="Z413" i="3"/>
  <c r="Z412" i="3"/>
  <c r="Z411" i="3"/>
  <c r="Z410" i="3"/>
  <c r="Z409" i="3"/>
  <c r="Z408" i="3"/>
  <c r="Z407" i="3"/>
  <c r="Z406" i="3"/>
  <c r="Z405" i="3"/>
  <c r="Z404" i="3"/>
  <c r="Z403" i="3"/>
  <c r="Z402" i="3"/>
  <c r="Z401" i="3"/>
  <c r="Z400" i="3"/>
  <c r="Z399" i="3"/>
  <c r="Z398" i="3"/>
  <c r="Z397" i="3"/>
  <c r="Z396" i="3"/>
  <c r="Z395" i="3"/>
  <c r="Z394" i="3"/>
  <c r="Z393" i="3"/>
  <c r="Z392" i="3"/>
  <c r="Z391" i="3"/>
  <c r="Z390" i="3"/>
  <c r="Z389" i="3"/>
  <c r="Z388" i="3"/>
  <c r="Z387" i="3"/>
  <c r="Z386" i="3"/>
  <c r="Z385" i="3"/>
  <c r="Z384" i="3"/>
  <c r="Z383" i="3"/>
  <c r="Z382" i="3"/>
  <c r="Z381" i="3"/>
  <c r="Z380" i="3"/>
  <c r="Z379" i="3"/>
  <c r="Z378" i="3"/>
  <c r="Z377" i="3"/>
  <c r="Z376" i="3"/>
  <c r="Z375" i="3"/>
  <c r="Z374" i="3"/>
  <c r="Z373" i="3"/>
  <c r="Z372" i="3"/>
  <c r="Z371" i="3"/>
  <c r="Z370" i="3"/>
  <c r="Z369" i="3"/>
  <c r="Z368" i="3"/>
  <c r="Z367" i="3"/>
  <c r="Z366" i="3"/>
  <c r="Z365" i="3"/>
  <c r="Z364" i="3"/>
  <c r="Z363" i="3"/>
  <c r="Z362" i="3"/>
  <c r="Z361" i="3"/>
  <c r="Z360" i="3"/>
  <c r="Z359" i="3"/>
  <c r="Z358" i="3"/>
  <c r="Z357" i="3"/>
  <c r="Z356" i="3"/>
  <c r="Z355" i="3"/>
  <c r="Z354" i="3"/>
  <c r="Z353" i="3"/>
  <c r="Z352" i="3"/>
  <c r="Z351" i="3"/>
  <c r="Z350" i="3"/>
  <c r="Z349" i="3"/>
  <c r="Z348" i="3"/>
  <c r="Z347" i="3"/>
  <c r="Z346" i="3"/>
  <c r="Z345" i="3"/>
  <c r="Z344" i="3"/>
  <c r="Z343" i="3"/>
  <c r="Z342" i="3"/>
  <c r="Z341" i="3"/>
  <c r="Z340" i="3"/>
  <c r="Z339" i="3"/>
  <c r="Z338" i="3"/>
  <c r="Z337" i="3"/>
  <c r="Z336" i="3"/>
  <c r="Z335" i="3"/>
  <c r="Z334" i="3"/>
  <c r="Z333" i="3"/>
  <c r="Z332" i="3"/>
  <c r="Z331" i="3"/>
  <c r="Z330" i="3"/>
  <c r="Z329" i="3"/>
  <c r="Z328" i="3"/>
  <c r="Z327" i="3"/>
  <c r="Z326" i="3"/>
  <c r="Z325" i="3"/>
  <c r="Z324" i="3"/>
  <c r="Z323" i="3"/>
  <c r="Z322" i="3"/>
  <c r="Z321" i="3"/>
  <c r="Z320" i="3"/>
  <c r="Z319" i="3"/>
  <c r="Z318" i="3"/>
  <c r="Z317" i="3"/>
  <c r="Z316" i="3"/>
  <c r="Z315" i="3"/>
  <c r="Z314" i="3"/>
  <c r="Z313" i="3"/>
  <c r="Z312" i="3"/>
  <c r="Z311" i="3"/>
  <c r="Z310" i="3"/>
  <c r="Z309" i="3"/>
  <c r="Z308" i="3"/>
  <c r="Z307" i="3"/>
  <c r="Z306" i="3"/>
  <c r="Z305" i="3"/>
  <c r="Z304" i="3"/>
  <c r="Z303" i="3"/>
  <c r="Z302" i="3"/>
  <c r="Z301" i="3"/>
  <c r="Z300" i="3"/>
  <c r="Z299" i="3"/>
  <c r="Z298" i="3"/>
  <c r="Z297" i="3"/>
  <c r="Z296" i="3"/>
  <c r="Z295" i="3"/>
  <c r="Z294" i="3"/>
  <c r="Z293" i="3"/>
  <c r="Z292" i="3"/>
  <c r="Z291" i="3"/>
  <c r="Z290" i="3"/>
  <c r="Z289" i="3"/>
  <c r="Z288" i="3"/>
  <c r="Z287" i="3"/>
  <c r="Z286" i="3"/>
  <c r="Z285" i="3"/>
  <c r="Z284" i="3"/>
  <c r="Z283" i="3"/>
  <c r="Z282" i="3"/>
  <c r="Z281" i="3"/>
  <c r="Z280" i="3"/>
  <c r="Z279" i="3"/>
  <c r="Z278" i="3"/>
  <c r="Z277" i="3"/>
  <c r="Z276" i="3"/>
  <c r="Z275" i="3"/>
  <c r="Z274" i="3"/>
  <c r="Z273" i="3"/>
  <c r="Z272" i="3"/>
  <c r="Z271" i="3"/>
  <c r="Z270" i="3"/>
  <c r="Z269" i="3"/>
  <c r="Z268" i="3"/>
  <c r="Z267" i="3"/>
  <c r="Z266" i="3"/>
  <c r="Z265" i="3"/>
  <c r="Z264" i="3"/>
  <c r="Z263" i="3"/>
  <c r="Z262" i="3"/>
  <c r="Z261" i="3"/>
  <c r="Z260" i="3"/>
  <c r="Z259" i="3"/>
  <c r="Z258" i="3"/>
  <c r="Z257" i="3"/>
  <c r="Z256" i="3"/>
  <c r="Z255" i="3"/>
  <c r="Z254" i="3"/>
  <c r="Z253" i="3"/>
  <c r="Z252" i="3"/>
  <c r="Z251" i="3"/>
  <c r="Z250" i="3"/>
  <c r="Z249" i="3"/>
  <c r="Z248" i="3"/>
  <c r="Z247" i="3"/>
  <c r="Z246" i="3"/>
  <c r="Z245" i="3"/>
  <c r="Z244" i="3"/>
  <c r="Z243" i="3"/>
  <c r="Z242" i="3"/>
  <c r="Z241" i="3"/>
  <c r="Z240" i="3"/>
  <c r="Z239" i="3"/>
  <c r="Z238" i="3"/>
  <c r="Z237" i="3"/>
  <c r="Z236" i="3"/>
  <c r="Z235" i="3"/>
  <c r="Z234" i="3"/>
  <c r="Z233" i="3"/>
  <c r="Z232" i="3"/>
  <c r="Z231" i="3"/>
  <c r="Z230" i="3"/>
  <c r="Z229" i="3"/>
  <c r="Z228" i="3"/>
  <c r="Z227" i="3"/>
  <c r="Z226" i="3"/>
  <c r="Z225" i="3"/>
  <c r="Z224" i="3"/>
  <c r="Z223" i="3"/>
  <c r="Z222" i="3"/>
  <c r="Z221" i="3"/>
  <c r="Z220" i="3"/>
  <c r="Z219" i="3"/>
  <c r="Z218" i="3"/>
  <c r="Z217" i="3"/>
  <c r="Z216" i="3"/>
  <c r="Z215" i="3"/>
  <c r="Z214" i="3"/>
  <c r="Z213" i="3"/>
  <c r="Z212" i="3"/>
  <c r="Z211" i="3"/>
  <c r="Z210" i="3"/>
  <c r="Z209" i="3"/>
  <c r="Z208" i="3"/>
  <c r="Z207" i="3"/>
  <c r="Z206" i="3"/>
  <c r="Z205" i="3"/>
  <c r="Z204" i="3"/>
  <c r="Z203" i="3"/>
  <c r="Z202" i="3"/>
  <c r="Z201" i="3"/>
  <c r="Z200" i="3"/>
  <c r="Z199" i="3"/>
  <c r="Z198" i="3"/>
  <c r="Z197" i="3"/>
  <c r="Z196" i="3"/>
  <c r="Z195" i="3"/>
  <c r="Z194" i="3"/>
  <c r="Z193" i="3"/>
  <c r="Z192" i="3"/>
  <c r="Z191" i="3"/>
  <c r="Z190" i="3"/>
  <c r="Z189" i="3"/>
  <c r="Z188" i="3"/>
  <c r="AB187" i="3" a="1"/>
  <c r="AB187" i="3" s="1"/>
  <c r="Z187" i="3"/>
  <c r="AB186" i="3" a="1"/>
  <c r="AB186" i="3" s="1"/>
  <c r="Z186" i="3"/>
  <c r="AB185" i="3" a="1"/>
  <c r="AB185" i="3" s="1"/>
  <c r="Z185" i="3"/>
  <c r="AB184" i="3" a="1"/>
  <c r="AB184" i="3"/>
  <c r="Z184" i="3"/>
  <c r="AB183" i="3" a="1"/>
  <c r="AB183" i="3" s="1"/>
  <c r="Z183" i="3"/>
  <c r="AB182" i="3" a="1"/>
  <c r="AB182" i="3"/>
  <c r="Z182" i="3"/>
  <c r="AB181" i="3" a="1"/>
  <c r="AB181" i="3" s="1"/>
  <c r="Z181" i="3"/>
  <c r="AB180" i="3" a="1"/>
  <c r="AB180" i="3" s="1"/>
  <c r="Z180" i="3"/>
  <c r="AB179" i="3" a="1"/>
  <c r="AB179" i="3" s="1"/>
  <c r="Z179" i="3"/>
  <c r="AB178" i="3" a="1"/>
  <c r="AB178" i="3" s="1"/>
  <c r="Z178" i="3"/>
  <c r="AB177" i="3" a="1"/>
  <c r="AB177" i="3" s="1"/>
  <c r="Z177" i="3"/>
  <c r="AB176" i="3" a="1"/>
  <c r="AB176" i="3"/>
  <c r="Z176" i="3"/>
  <c r="AB175" i="3" a="1"/>
  <c r="AB175" i="3" s="1"/>
  <c r="Z175" i="3"/>
  <c r="AB174" i="3" a="1"/>
  <c r="AB174" i="3"/>
  <c r="Z174" i="3"/>
  <c r="AB173" i="3" a="1"/>
  <c r="AB173" i="3" s="1"/>
  <c r="Z173" i="3"/>
  <c r="AB172" i="3" a="1"/>
  <c r="AB172" i="3" s="1"/>
  <c r="Z172" i="3"/>
  <c r="AB171" i="3" a="1"/>
  <c r="AB171" i="3" s="1"/>
  <c r="Z171" i="3"/>
  <c r="AB170" i="3" a="1"/>
  <c r="AB170" i="3" s="1"/>
  <c r="Z170" i="3"/>
  <c r="AB169" i="3" a="1"/>
  <c r="AB169" i="3" s="1"/>
  <c r="Z169" i="3"/>
  <c r="AB168" i="3" a="1"/>
  <c r="AB168" i="3"/>
  <c r="Z168" i="3"/>
  <c r="AB167" i="3" a="1"/>
  <c r="AB167" i="3" s="1"/>
  <c r="Z167" i="3"/>
  <c r="AB166" i="3" a="1"/>
  <c r="AB166" i="3"/>
  <c r="Z166" i="3"/>
  <c r="AB165" i="3" a="1"/>
  <c r="AB165" i="3" s="1"/>
  <c r="Z165" i="3"/>
  <c r="AB164" i="3" a="1"/>
  <c r="AB164" i="3" s="1"/>
  <c r="Z164" i="3"/>
  <c r="AB163" i="3" a="1"/>
  <c r="AB163" i="3" s="1"/>
  <c r="Z163" i="3"/>
  <c r="AB162" i="3" a="1"/>
  <c r="AB162" i="3" s="1"/>
  <c r="Z162" i="3"/>
  <c r="AB161" i="3" a="1"/>
  <c r="AB161" i="3" s="1"/>
  <c r="Z161" i="3"/>
  <c r="AB160" i="3" a="1"/>
  <c r="AB160" i="3"/>
  <c r="Z160" i="3"/>
  <c r="AB159" i="3" a="1"/>
  <c r="AB159" i="3" s="1"/>
  <c r="Z159" i="3"/>
  <c r="AB158" i="3" a="1"/>
  <c r="AB158" i="3"/>
  <c r="Z158" i="3"/>
  <c r="AB157" i="3" a="1"/>
  <c r="AB157" i="3" s="1"/>
  <c r="Z157" i="3"/>
  <c r="AB156" i="3" a="1"/>
  <c r="AB156" i="3" s="1"/>
  <c r="Z156" i="3"/>
  <c r="AB155" i="3" a="1"/>
  <c r="AB155" i="3" s="1"/>
  <c r="Z155" i="3"/>
  <c r="AB154" i="3" a="1"/>
  <c r="AB154" i="3" s="1"/>
  <c r="Z154" i="3"/>
  <c r="AB153" i="3" a="1"/>
  <c r="AB153" i="3" s="1"/>
  <c r="Z153" i="3"/>
  <c r="AB152" i="3" a="1"/>
  <c r="AB152" i="3"/>
  <c r="Z152" i="3"/>
  <c r="AB151" i="3" a="1"/>
  <c r="AB151" i="3" s="1"/>
  <c r="Z151" i="3"/>
  <c r="AB150" i="3" a="1"/>
  <c r="AB150" i="3"/>
  <c r="Z150" i="3"/>
  <c r="AB149" i="3" a="1"/>
  <c r="AB149" i="3" s="1"/>
  <c r="Z149" i="3"/>
  <c r="AB148" i="3" a="1"/>
  <c r="AB148" i="3" s="1"/>
  <c r="Z148" i="3"/>
  <c r="AB147" i="3" a="1"/>
  <c r="AB147" i="3" s="1"/>
  <c r="Z147" i="3"/>
  <c r="AB146" i="3" a="1"/>
  <c r="AB146" i="3" s="1"/>
  <c r="Z146" i="3"/>
  <c r="AB145" i="3" a="1"/>
  <c r="AB145" i="3" s="1"/>
  <c r="Z145" i="3"/>
  <c r="AB144" i="3" a="1"/>
  <c r="AB144" i="3"/>
  <c r="Z144" i="3"/>
  <c r="AB143" i="3" a="1"/>
  <c r="AB143" i="3" s="1"/>
  <c r="Z143" i="3"/>
  <c r="AB142" i="3" a="1"/>
  <c r="AB142" i="3"/>
  <c r="Z142" i="3"/>
  <c r="AB141" i="3" a="1"/>
  <c r="AB141" i="3" s="1"/>
  <c r="Z141" i="3"/>
  <c r="AB140" i="3" a="1"/>
  <c r="AB140" i="3" s="1"/>
  <c r="Z140" i="3"/>
  <c r="AB139" i="3" a="1"/>
  <c r="AB139" i="3" s="1"/>
  <c r="Z139" i="3"/>
  <c r="AB138" i="3" a="1"/>
  <c r="AB138" i="3" s="1"/>
  <c r="Z138" i="3"/>
  <c r="AB137" i="3" a="1"/>
  <c r="AB137" i="3" s="1"/>
  <c r="Z137" i="3"/>
  <c r="AB136" i="3" a="1"/>
  <c r="AB136" i="3"/>
  <c r="Z136" i="3"/>
  <c r="AB135" i="3" a="1"/>
  <c r="AB135" i="3" s="1"/>
  <c r="Z135" i="3"/>
  <c r="AB134" i="3" a="1"/>
  <c r="AB134" i="3"/>
  <c r="Z134" i="3"/>
  <c r="AB133" i="3" a="1"/>
  <c r="AB133" i="3" s="1"/>
  <c r="Z133" i="3"/>
  <c r="AB132" i="3" a="1"/>
  <c r="AB132" i="3" s="1"/>
  <c r="Z132" i="3"/>
  <c r="AB131" i="3" a="1"/>
  <c r="AB131" i="3" s="1"/>
  <c r="Z131" i="3"/>
  <c r="AB130" i="3" a="1"/>
  <c r="AB130" i="3" s="1"/>
  <c r="Z130" i="3"/>
  <c r="AB129" i="3" a="1"/>
  <c r="AB129" i="3" s="1"/>
  <c r="Z129" i="3"/>
  <c r="AB128" i="3" a="1"/>
  <c r="AB128" i="3"/>
  <c r="Z128" i="3"/>
  <c r="AB127" i="3" a="1"/>
  <c r="AB127" i="3" s="1"/>
  <c r="Z127" i="3"/>
  <c r="AB126" i="3" a="1"/>
  <c r="AB126" i="3"/>
  <c r="Z126" i="3"/>
  <c r="AB125" i="3" a="1"/>
  <c r="AB125" i="3" s="1"/>
  <c r="Z125" i="3"/>
  <c r="AB124" i="3" a="1"/>
  <c r="AB124" i="3" s="1"/>
  <c r="Z124" i="3"/>
  <c r="AB123" i="3" a="1"/>
  <c r="AB123" i="3" s="1"/>
  <c r="Z123" i="3"/>
  <c r="AB122" i="3" a="1"/>
  <c r="AB122" i="3" s="1"/>
  <c r="Z122" i="3"/>
  <c r="AB121" i="3" a="1"/>
  <c r="AB121" i="3" s="1"/>
  <c r="Z121" i="3"/>
  <c r="AB120" i="3" a="1"/>
  <c r="AB120" i="3"/>
  <c r="Z120" i="3"/>
  <c r="AB119" i="3" a="1"/>
  <c r="AB119" i="3" s="1"/>
  <c r="Z119" i="3"/>
  <c r="AB118" i="3" a="1"/>
  <c r="AB118" i="3"/>
  <c r="Z118" i="3"/>
  <c r="AB117" i="3" a="1"/>
  <c r="AB117" i="3" s="1"/>
  <c r="Z117" i="3"/>
  <c r="AB116" i="3" a="1"/>
  <c r="AB116" i="3" s="1"/>
  <c r="Z116" i="3"/>
  <c r="AB115" i="3" a="1"/>
  <c r="AB115" i="3" s="1"/>
  <c r="Z115" i="3"/>
  <c r="AB114" i="3" a="1"/>
  <c r="AB114" i="3" s="1"/>
  <c r="Z114" i="3"/>
  <c r="AB113" i="3" a="1"/>
  <c r="AB113" i="3" s="1"/>
  <c r="Z113" i="3"/>
  <c r="AB112" i="3" a="1"/>
  <c r="AB112" i="3"/>
  <c r="Z112" i="3"/>
  <c r="AB111" i="3" a="1"/>
  <c r="AB111" i="3" s="1"/>
  <c r="Z111" i="3"/>
  <c r="AB110" i="3" a="1"/>
  <c r="AB110" i="3"/>
  <c r="Z110" i="3"/>
  <c r="AB109" i="3" a="1"/>
  <c r="AB109" i="3" s="1"/>
  <c r="Z109" i="3"/>
  <c r="AB108" i="3" a="1"/>
  <c r="AB108" i="3" s="1"/>
  <c r="Z108" i="3"/>
  <c r="AB107" i="3" a="1"/>
  <c r="AB107" i="3" s="1"/>
  <c r="Z107" i="3"/>
  <c r="AB106" i="3" a="1"/>
  <c r="AB106" i="3" s="1"/>
  <c r="Z106" i="3"/>
  <c r="AB105" i="3" a="1"/>
  <c r="AB105" i="3" s="1"/>
  <c r="Z105" i="3"/>
  <c r="AB104" i="3" a="1"/>
  <c r="AB104" i="3"/>
  <c r="Z104" i="3"/>
  <c r="AB103" i="3" a="1"/>
  <c r="AB103" i="3" s="1"/>
  <c r="Z103" i="3"/>
  <c r="AB102" i="3" a="1"/>
  <c r="AB102" i="3"/>
  <c r="Z102" i="3"/>
  <c r="AB101" i="3" a="1"/>
  <c r="AB101" i="3" s="1"/>
  <c r="Z101" i="3"/>
  <c r="AB100" i="3" a="1"/>
  <c r="AB100" i="3" s="1"/>
  <c r="Z100" i="3"/>
  <c r="AB99" i="3" a="1"/>
  <c r="AB99" i="3" s="1"/>
  <c r="Z99" i="3"/>
  <c r="AB98" i="3" a="1"/>
  <c r="AB98" i="3" s="1"/>
  <c r="Z98" i="3"/>
  <c r="AB97" i="3" a="1"/>
  <c r="AB97" i="3" s="1"/>
  <c r="Z97" i="3"/>
  <c r="AB96" i="3" a="1"/>
  <c r="AB96" i="3"/>
  <c r="Z96" i="3"/>
  <c r="AB95" i="3" a="1"/>
  <c r="AB95" i="3" s="1"/>
  <c r="Z95" i="3"/>
  <c r="AB94" i="3" a="1"/>
  <c r="AB94" i="3"/>
  <c r="Z94" i="3"/>
  <c r="AB93" i="3" a="1"/>
  <c r="AB93" i="3" s="1"/>
  <c r="Z93" i="3"/>
  <c r="AB92" i="3" a="1"/>
  <c r="AB92" i="3" s="1"/>
  <c r="Z92" i="3"/>
  <c r="AB91" i="3" a="1"/>
  <c r="AB91" i="3" s="1"/>
  <c r="Z91" i="3"/>
  <c r="AB90" i="3" a="1"/>
  <c r="AB90" i="3" s="1"/>
  <c r="Z90" i="3"/>
  <c r="AB89" i="3" a="1"/>
  <c r="AB89" i="3" s="1"/>
  <c r="Z89" i="3"/>
  <c r="AB88" i="3" a="1"/>
  <c r="AB88" i="3"/>
  <c r="Z88" i="3"/>
  <c r="AB87" i="3" a="1"/>
  <c r="AB87" i="3" s="1"/>
  <c r="Z87" i="3"/>
  <c r="AB86" i="3" a="1"/>
  <c r="AB86" i="3"/>
  <c r="Z86" i="3"/>
  <c r="AB85" i="3" a="1"/>
  <c r="AB85" i="3" s="1"/>
  <c r="Z85" i="3"/>
  <c r="AB84" i="3" a="1"/>
  <c r="AB84" i="3" s="1"/>
  <c r="Z84" i="3"/>
  <c r="AB83" i="3" a="1"/>
  <c r="AB83" i="3" s="1"/>
  <c r="Z83" i="3"/>
  <c r="AB82" i="3" a="1"/>
  <c r="AB82" i="3" s="1"/>
  <c r="Z82" i="3"/>
  <c r="AB81" i="3" a="1"/>
  <c r="AB81" i="3" s="1"/>
  <c r="Z81" i="3"/>
  <c r="AB80" i="3" a="1"/>
  <c r="AB80" i="3"/>
  <c r="Z80" i="3"/>
  <c r="AB79" i="3" a="1"/>
  <c r="AB79" i="3" s="1"/>
  <c r="Z79" i="3"/>
  <c r="AB78" i="3" a="1"/>
  <c r="AB78" i="3"/>
  <c r="Z78" i="3"/>
  <c r="AB77" i="3" a="1"/>
  <c r="AB77" i="3" s="1"/>
  <c r="Z77" i="3"/>
  <c r="AB76" i="3" a="1"/>
  <c r="AB76" i="3" s="1"/>
  <c r="Z76" i="3"/>
  <c r="AB75" i="3" a="1"/>
  <c r="AB75" i="3" s="1"/>
  <c r="Z75" i="3"/>
  <c r="AB74" i="3" a="1"/>
  <c r="AB74" i="3" s="1"/>
  <c r="Z74" i="3"/>
  <c r="AB73" i="3" a="1"/>
  <c r="AB73" i="3" s="1"/>
  <c r="Z73" i="3"/>
  <c r="AB72" i="3" a="1"/>
  <c r="AB72" i="3"/>
  <c r="Z72" i="3"/>
  <c r="AB71" i="3" a="1"/>
  <c r="AB71" i="3" s="1"/>
  <c r="Z71" i="3"/>
  <c r="AB70" i="3" a="1"/>
  <c r="AB70" i="3"/>
  <c r="Z70" i="3"/>
  <c r="AB69" i="3" a="1"/>
  <c r="AB69" i="3" s="1"/>
  <c r="Z69" i="3"/>
  <c r="AB68" i="3" a="1"/>
  <c r="AB68" i="3" s="1"/>
  <c r="Z68" i="3"/>
  <c r="AB67" i="3" a="1"/>
  <c r="AB67" i="3" s="1"/>
  <c r="Z67" i="3"/>
  <c r="AB66" i="3" a="1"/>
  <c r="AB66" i="3" s="1"/>
  <c r="Z66" i="3"/>
  <c r="AB65" i="3" a="1"/>
  <c r="AB65" i="3" s="1"/>
  <c r="Z65" i="3"/>
  <c r="AB64" i="3" a="1"/>
  <c r="AB64" i="3" s="1"/>
  <c r="Z64" i="3"/>
  <c r="AB63" i="3" a="1"/>
  <c r="AB63" i="3" s="1"/>
  <c r="Z63" i="3"/>
  <c r="AB62" i="3" a="1"/>
  <c r="AB62" i="3" s="1"/>
  <c r="Z62" i="3"/>
  <c r="AB61" i="3" a="1"/>
  <c r="AB61" i="3" s="1"/>
  <c r="Z61" i="3"/>
  <c r="AB60" i="3" a="1"/>
  <c r="AB60" i="3" s="1"/>
  <c r="Z60" i="3"/>
  <c r="AB59" i="3" a="1"/>
  <c r="AB59" i="3"/>
  <c r="Z59" i="3"/>
  <c r="AB58" i="3" a="1"/>
  <c r="AB58" i="3" s="1"/>
  <c r="Z58" i="3"/>
  <c r="AB57" i="3" a="1"/>
  <c r="AB57" i="3" s="1"/>
  <c r="Z57" i="3"/>
  <c r="AB56" i="3" a="1"/>
  <c r="AB56" i="3" s="1"/>
  <c r="Z56" i="3"/>
  <c r="AB55" i="3" a="1"/>
  <c r="AB55" i="3" s="1"/>
  <c r="Z55" i="3"/>
  <c r="AB54" i="3" a="1"/>
  <c r="AB54" i="3" s="1"/>
  <c r="Z54" i="3"/>
  <c r="AB53" i="3" a="1"/>
  <c r="AB53" i="3" s="1"/>
  <c r="Z53" i="3"/>
  <c r="AB52" i="3" a="1"/>
  <c r="AB52" i="3" s="1"/>
  <c r="Z52" i="3"/>
  <c r="AB51" i="3" a="1"/>
  <c r="AB51" i="3"/>
  <c r="Z51" i="3"/>
  <c r="AB50" i="3" a="1"/>
  <c r="AB50" i="3"/>
  <c r="Z50" i="3"/>
  <c r="AB49" i="3" a="1"/>
  <c r="AB49" i="3" s="1"/>
  <c r="Z49" i="3"/>
  <c r="AB48" i="3" a="1"/>
  <c r="AB48" i="3"/>
  <c r="Z48" i="3"/>
  <c r="AB47" i="3" a="1"/>
  <c r="AB47" i="3"/>
  <c r="Z47" i="3"/>
  <c r="AB46" i="3" a="1"/>
  <c r="AB46" i="3"/>
  <c r="Z46" i="3"/>
  <c r="AB45" i="3" a="1"/>
  <c r="AB45" i="3" s="1"/>
  <c r="Z45" i="3"/>
  <c r="AB44" i="3" a="1"/>
  <c r="AB44" i="3" s="1"/>
  <c r="Z44" i="3"/>
  <c r="AB43" i="3" a="1"/>
  <c r="AB43" i="3" s="1"/>
  <c r="Z43" i="3"/>
  <c r="AB42" i="3" a="1"/>
  <c r="AB42" i="3" s="1"/>
  <c r="Z42" i="3"/>
  <c r="AB41" i="3" a="1"/>
  <c r="AB41" i="3" s="1"/>
  <c r="Z41" i="3"/>
  <c r="AB40" i="3" a="1"/>
  <c r="AB40" i="3" s="1"/>
  <c r="Z40" i="3"/>
  <c r="AB39" i="3" a="1"/>
  <c r="AB39" i="3"/>
  <c r="Z39" i="3"/>
  <c r="AB38" i="3" a="1"/>
  <c r="AB38" i="3" s="1"/>
  <c r="Z38" i="3"/>
  <c r="AB37" i="3" a="1"/>
  <c r="AB37" i="3" s="1"/>
  <c r="Z37" i="3"/>
  <c r="AB36" i="3" a="1"/>
  <c r="AB36" i="3" s="1"/>
  <c r="Z36" i="3"/>
  <c r="AB35" i="3" a="1"/>
  <c r="AB35" i="3" s="1"/>
  <c r="Z35" i="3"/>
  <c r="AB34" i="3" a="1"/>
  <c r="AB34" i="3" s="1"/>
  <c r="Z34" i="3"/>
  <c r="AB33" i="3" a="1"/>
  <c r="AB33" i="3" s="1"/>
  <c r="Z33" i="3"/>
  <c r="AB32" i="3" a="1"/>
  <c r="AB32" i="3" s="1"/>
  <c r="Z32" i="3"/>
  <c r="AB31" i="3" a="1"/>
  <c r="AB31" i="3" s="1"/>
  <c r="Z31" i="3"/>
  <c r="AB30" i="3" a="1"/>
  <c r="AB30" i="3"/>
  <c r="Z30" i="3"/>
  <c r="AB29" i="3" a="1"/>
  <c r="AB29" i="3" s="1"/>
  <c r="Z29" i="3"/>
  <c r="AB28" i="3" a="1"/>
  <c r="AB28" i="3" s="1"/>
  <c r="Z28" i="3"/>
  <c r="AB27" i="3" a="1"/>
  <c r="AB27" i="3" s="1"/>
  <c r="Z27" i="3"/>
  <c r="AB26" i="3" a="1"/>
  <c r="AB26" i="3" s="1"/>
  <c r="Z26" i="3"/>
  <c r="AB25" i="3" a="1"/>
  <c r="AB25" i="3" s="1"/>
  <c r="Z25" i="3"/>
  <c r="AB24" i="3" a="1"/>
  <c r="AB24" i="3" s="1"/>
  <c r="Z24" i="3"/>
  <c r="AB23" i="3" a="1"/>
  <c r="AB23" i="3" s="1"/>
  <c r="Z23" i="3"/>
  <c r="AB22" i="3" a="1"/>
  <c r="AB22" i="3"/>
  <c r="Z22" i="3"/>
  <c r="AB21" i="3" a="1"/>
  <c r="AB21" i="3" s="1"/>
  <c r="Z21" i="3"/>
  <c r="AB20" i="3" a="1"/>
  <c r="AB20" i="3" s="1"/>
  <c r="Z20" i="3"/>
  <c r="AB19" i="3" a="1"/>
  <c r="AB19" i="3" s="1"/>
  <c r="Z19" i="3"/>
  <c r="AB18" i="3" a="1"/>
  <c r="AB18" i="3" s="1"/>
  <c r="Z18" i="3"/>
  <c r="AB17" i="3" a="1"/>
  <c r="AB17" i="3" s="1"/>
  <c r="Z17" i="3"/>
  <c r="AB16" i="3" a="1"/>
  <c r="AB16" i="3" s="1"/>
  <c r="Z16" i="3"/>
  <c r="AB15" i="3" a="1"/>
  <c r="AB15" i="3" s="1"/>
  <c r="Z15" i="3"/>
  <c r="AB14" i="3" a="1"/>
  <c r="AB14" i="3"/>
  <c r="Z14" i="3"/>
  <c r="AB13" i="3" a="1"/>
  <c r="AB13" i="3" s="1"/>
  <c r="Z13" i="3"/>
  <c r="AB12" i="3" a="1"/>
  <c r="AB12" i="3" s="1"/>
  <c r="Z12" i="3"/>
  <c r="AB11" i="3" a="1"/>
  <c r="AB11" i="3" s="1"/>
  <c r="Z11" i="3"/>
  <c r="AB10" i="3" a="1"/>
  <c r="AB10" i="3"/>
  <c r="Z10" i="3"/>
  <c r="AB9" i="3" a="1"/>
  <c r="AB9" i="3" s="1"/>
  <c r="Z9" i="3"/>
  <c r="AB8" i="3" a="1"/>
  <c r="AB8" i="3" s="1"/>
  <c r="Z8" i="3"/>
  <c r="AB7" i="3" a="1"/>
  <c r="AB7" i="3" s="1"/>
  <c r="Z7" i="3"/>
  <c r="AB6" i="3" a="1"/>
  <c r="AB6" i="3"/>
  <c r="Z6" i="3"/>
  <c r="AB5" i="3" a="1"/>
  <c r="AB5" i="3" s="1"/>
  <c r="Z5" i="3"/>
  <c r="AB4" i="3" a="1"/>
  <c r="AB4" i="3" s="1"/>
  <c r="Z4" i="3"/>
  <c r="AB3" i="3" a="1"/>
  <c r="AB3" i="3" s="1"/>
  <c r="AA3" i="3"/>
  <c r="Z3" i="3"/>
  <c r="AB2" i="3" a="1"/>
  <c r="AB2" i="3" s="1"/>
  <c r="Z2" i="3"/>
  <c r="Y351" i="2" a="1"/>
  <c r="Y351" i="2"/>
  <c r="S351" i="2"/>
  <c r="R351" i="2" a="1"/>
  <c r="R351" i="2" s="1"/>
  <c r="Q351" i="2" a="1"/>
  <c r="Q351" i="2" s="1"/>
  <c r="P351" i="2" a="1"/>
  <c r="P351" i="2" s="1"/>
  <c r="O351" i="2"/>
  <c r="M351" i="2" a="1"/>
  <c r="M351" i="2"/>
  <c r="L351" i="2" a="1"/>
  <c r="L351" i="2" s="1"/>
  <c r="K351" i="2" a="1"/>
  <c r="K351" i="2"/>
  <c r="H351" i="2" a="1"/>
  <c r="H351" i="2" s="1"/>
  <c r="E351" i="2" a="1"/>
  <c r="E351" i="2"/>
  <c r="D351" i="2" a="1"/>
  <c r="D351" i="2" s="1"/>
  <c r="C351" i="2" a="1"/>
  <c r="C351" i="2"/>
  <c r="B351" i="2" a="1"/>
  <c r="B351" i="2" s="1"/>
  <c r="Y350" i="2" a="1"/>
  <c r="Y350" i="2"/>
  <c r="S350" i="2"/>
  <c r="R350" i="2" a="1"/>
  <c r="R350" i="2" s="1"/>
  <c r="Q350" i="2" a="1"/>
  <c r="Q350" i="2"/>
  <c r="P350" i="2" a="1"/>
  <c r="P350" i="2" s="1"/>
  <c r="O350" i="2"/>
  <c r="N350" i="2" a="1"/>
  <c r="N350" i="2" s="1"/>
  <c r="M350" i="2" a="1"/>
  <c r="M350" i="2" s="1"/>
  <c r="L350" i="2" a="1"/>
  <c r="L350" i="2"/>
  <c r="K350" i="2" a="1"/>
  <c r="K350" i="2"/>
  <c r="H350" i="2" a="1"/>
  <c r="H350" i="2" s="1"/>
  <c r="E350" i="2" a="1"/>
  <c r="E350" i="2" s="1"/>
  <c r="D350" i="2" a="1"/>
  <c r="D350" i="2" s="1"/>
  <c r="C350" i="2" a="1"/>
  <c r="C350" i="2"/>
  <c r="B350" i="2" a="1"/>
  <c r="B350" i="2" s="1"/>
  <c r="Y349" i="2" a="1"/>
  <c r="Y349" i="2"/>
  <c r="S349" i="2"/>
  <c r="R349" i="2" a="1"/>
  <c r="R349" i="2" s="1"/>
  <c r="P349" i="2" a="1"/>
  <c r="P349" i="2" s="1"/>
  <c r="N349" i="2" a="1"/>
  <c r="N349" i="2" s="1"/>
  <c r="M349" i="2" a="1"/>
  <c r="M349" i="2" s="1"/>
  <c r="O349" i="2" s="1"/>
  <c r="L349" i="2" a="1"/>
  <c r="L349" i="2" s="1"/>
  <c r="K349" i="2" a="1"/>
  <c r="K349" i="2"/>
  <c r="H349" i="2" a="1"/>
  <c r="H349" i="2" s="1"/>
  <c r="E349" i="2" a="1"/>
  <c r="E349" i="2" s="1"/>
  <c r="D349" i="2" a="1"/>
  <c r="D349" i="2" s="1"/>
  <c r="C349" i="2" a="1"/>
  <c r="C349" i="2"/>
  <c r="B349" i="2" a="1"/>
  <c r="B349" i="2"/>
  <c r="Y348" i="2" a="1"/>
  <c r="Y348" i="2"/>
  <c r="S348" i="2"/>
  <c r="R348" i="2" a="1"/>
  <c r="R348" i="2" s="1"/>
  <c r="Q348" i="2" a="1"/>
  <c r="Q348" i="2"/>
  <c r="P348" i="2" a="1"/>
  <c r="P348" i="2" s="1"/>
  <c r="N348" i="2" a="1"/>
  <c r="N348" i="2" s="1"/>
  <c r="M348" i="2" a="1"/>
  <c r="M348" i="2" s="1"/>
  <c r="O348" i="2" s="1"/>
  <c r="L348" i="2" a="1"/>
  <c r="L348" i="2"/>
  <c r="E348" i="2" a="1"/>
  <c r="E348" i="2"/>
  <c r="D348" i="2" a="1"/>
  <c r="D348" i="2" s="1"/>
  <c r="C348" i="2" a="1"/>
  <c r="C348" i="2"/>
  <c r="B348" i="2" a="1"/>
  <c r="B348" i="2" s="1"/>
  <c r="Y347" i="2" a="1"/>
  <c r="Y347" i="2"/>
  <c r="S347" i="2"/>
  <c r="R347" i="2" a="1"/>
  <c r="R347" i="2" s="1"/>
  <c r="Q347" i="2" a="1"/>
  <c r="Q347" i="2" s="1"/>
  <c r="P347" i="2" a="1"/>
  <c r="P347" i="2" s="1"/>
  <c r="M347" i="2" a="1"/>
  <c r="M347" i="2" s="1"/>
  <c r="O347" i="2" s="1"/>
  <c r="L347" i="2" a="1"/>
  <c r="L347" i="2" s="1"/>
  <c r="E347" i="2"/>
  <c r="D347" i="2" a="1"/>
  <c r="D347" i="2" s="1"/>
  <c r="C347" i="2" a="1"/>
  <c r="C347" i="2"/>
  <c r="B347" i="2" a="1"/>
  <c r="B347" i="2"/>
  <c r="Y346" i="2" a="1"/>
  <c r="Y346" i="2"/>
  <c r="S346" i="2"/>
  <c r="R346" i="2" a="1"/>
  <c r="R346" i="2" s="1"/>
  <c r="Q346" i="2" a="1"/>
  <c r="Q346" i="2" s="1"/>
  <c r="P346" i="2" a="1"/>
  <c r="P346" i="2" s="1"/>
  <c r="N346" i="2" a="1"/>
  <c r="N346" i="2" s="1"/>
  <c r="L346" i="2" a="1"/>
  <c r="L346" i="2" s="1"/>
  <c r="E346" i="2" a="1"/>
  <c r="E346" i="2" s="1"/>
  <c r="D346" i="2" a="1"/>
  <c r="D346" i="2"/>
  <c r="C346" i="2" a="1"/>
  <c r="C346" i="2"/>
  <c r="B346" i="2" a="1"/>
  <c r="B346" i="2" s="1"/>
  <c r="Y345" i="2" a="1"/>
  <c r="Y345" i="2"/>
  <c r="S345" i="2"/>
  <c r="Q345" i="2" a="1"/>
  <c r="Q345" i="2" s="1"/>
  <c r="P345" i="2" a="1"/>
  <c r="P345" i="2" s="1"/>
  <c r="N345" i="2" a="1"/>
  <c r="N345" i="2" s="1"/>
  <c r="M345" i="2" a="1"/>
  <c r="M345" i="2"/>
  <c r="O345" i="2" s="1"/>
  <c r="L345" i="2" a="1"/>
  <c r="L345" i="2" s="1"/>
  <c r="E345" i="2" a="1"/>
  <c r="E345" i="2" s="1"/>
  <c r="D345" i="2" a="1"/>
  <c r="D345" i="2" s="1"/>
  <c r="C345" i="2" a="1"/>
  <c r="C345" i="2"/>
  <c r="B345" i="2" a="1"/>
  <c r="B345" i="2"/>
  <c r="Y344" i="2" a="1"/>
  <c r="Y344" i="2"/>
  <c r="S344" i="2"/>
  <c r="R344" i="2" a="1"/>
  <c r="R344" i="2" s="1"/>
  <c r="P344" i="2" a="1"/>
  <c r="P344" i="2" s="1"/>
  <c r="N344" i="2" a="1"/>
  <c r="N344" i="2" s="1"/>
  <c r="M344" i="2" a="1"/>
  <c r="M344" i="2" s="1"/>
  <c r="O344" i="2" s="1"/>
  <c r="L344" i="2" a="1"/>
  <c r="L344" i="2"/>
  <c r="E344" i="2" a="1"/>
  <c r="E344" i="2" s="1"/>
  <c r="D344" i="2" a="1"/>
  <c r="D344" i="2" s="1"/>
  <c r="C344" i="2" a="1"/>
  <c r="C344" i="2"/>
  <c r="B344" i="2" a="1"/>
  <c r="B344" i="2" s="1"/>
  <c r="Y343" i="2" a="1"/>
  <c r="Y343" i="2"/>
  <c r="S343" i="2"/>
  <c r="R343" i="2" a="1"/>
  <c r="R343" i="2" s="1"/>
  <c r="Q343" i="2" a="1"/>
  <c r="Q343" i="2"/>
  <c r="P343" i="2" a="1"/>
  <c r="P343" i="2" s="1"/>
  <c r="N343" i="2" a="1"/>
  <c r="N343" i="2" s="1"/>
  <c r="L343" i="2" a="1"/>
  <c r="L343" i="2" s="1"/>
  <c r="E343" i="2" a="1"/>
  <c r="E343" i="2" s="1"/>
  <c r="D343" i="2" a="1"/>
  <c r="D343" i="2" s="1"/>
  <c r="C343" i="2" a="1"/>
  <c r="C343" i="2"/>
  <c r="B343" i="2" a="1"/>
  <c r="B343" i="2"/>
  <c r="Y342" i="2" a="1"/>
  <c r="Y342" i="2"/>
  <c r="S342" i="2"/>
  <c r="R342" i="2" a="1"/>
  <c r="R342" i="2" s="1"/>
  <c r="Q342" i="2" a="1"/>
  <c r="Q342" i="2"/>
  <c r="P342" i="2" a="1"/>
  <c r="P342" i="2" s="1"/>
  <c r="N342" i="2" a="1"/>
  <c r="N342" i="2" s="1"/>
  <c r="M342" i="2" a="1"/>
  <c r="M342" i="2" s="1"/>
  <c r="O342" i="2" s="1"/>
  <c r="L342" i="2" a="1"/>
  <c r="L342" i="2" s="1"/>
  <c r="K342" i="2" a="1"/>
  <c r="K342" i="2"/>
  <c r="H342" i="2" a="1"/>
  <c r="H342" i="2" s="1"/>
  <c r="E342" i="2" a="1"/>
  <c r="E342" i="2" s="1"/>
  <c r="D342" i="2" a="1"/>
  <c r="D342" i="2" s="1"/>
  <c r="C342" i="2" a="1"/>
  <c r="C342" i="2"/>
  <c r="B342" i="2" a="1"/>
  <c r="B342" i="2" s="1"/>
  <c r="Y341" i="2" a="1"/>
  <c r="Y341" i="2"/>
  <c r="S341" i="2"/>
  <c r="R341" i="2" a="1"/>
  <c r="R341" i="2" s="1"/>
  <c r="Q341" i="2" a="1"/>
  <c r="Q341" i="2" s="1"/>
  <c r="P341" i="2" a="1"/>
  <c r="P341" i="2" s="1"/>
  <c r="M341" i="2" a="1"/>
  <c r="M341" i="2" s="1"/>
  <c r="O341" i="2" s="1"/>
  <c r="L341" i="2" a="1"/>
  <c r="L341" i="2" s="1"/>
  <c r="E341" i="2" a="1"/>
  <c r="E341" i="2"/>
  <c r="D341" i="2" a="1"/>
  <c r="D341" i="2" s="1"/>
  <c r="C341" i="2" a="1"/>
  <c r="C341" i="2"/>
  <c r="B341" i="2" a="1"/>
  <c r="B341" i="2" s="1"/>
  <c r="Y340" i="2" a="1"/>
  <c r="Y340" i="2"/>
  <c r="S340" i="2"/>
  <c r="R340" i="2" a="1"/>
  <c r="R340" i="2" s="1"/>
  <c r="Q340" i="2" a="1"/>
  <c r="Q340" i="2" s="1"/>
  <c r="P340" i="2" a="1"/>
  <c r="P340" i="2" s="1"/>
  <c r="N340" i="2" a="1"/>
  <c r="N340" i="2" s="1"/>
  <c r="M340" i="2" a="1"/>
  <c r="M340" i="2" s="1"/>
  <c r="O340" i="2" s="1"/>
  <c r="L340" i="2" a="1"/>
  <c r="L340" i="2" s="1"/>
  <c r="E340" i="2" a="1"/>
  <c r="E340" i="2"/>
  <c r="D340" i="2" a="1"/>
  <c r="D340" i="2"/>
  <c r="C340" i="2" a="1"/>
  <c r="C340" i="2"/>
  <c r="B340" i="2" a="1"/>
  <c r="B340" i="2" s="1"/>
  <c r="Y339" i="2" a="1"/>
  <c r="Y339" i="2"/>
  <c r="S339" i="2"/>
  <c r="R339" i="2" a="1"/>
  <c r="R339" i="2" s="1"/>
  <c r="Q339" i="2" a="1"/>
  <c r="Q339" i="2" s="1"/>
  <c r="P339" i="2" a="1"/>
  <c r="P339" i="2" s="1"/>
  <c r="N339" i="2" a="1"/>
  <c r="N339" i="2" s="1"/>
  <c r="M339" i="2" a="1"/>
  <c r="M339" i="2"/>
  <c r="O339" i="2" s="1"/>
  <c r="L339" i="2" a="1"/>
  <c r="L339" i="2" s="1"/>
  <c r="K339" i="2" a="1"/>
  <c r="K339" i="2"/>
  <c r="H339" i="2" a="1"/>
  <c r="H339" i="2" s="1"/>
  <c r="E339" i="2" a="1"/>
  <c r="E339" i="2" s="1"/>
  <c r="D339" i="2" a="1"/>
  <c r="D339" i="2" s="1"/>
  <c r="C339" i="2" a="1"/>
  <c r="C339" i="2"/>
  <c r="B339" i="2" a="1"/>
  <c r="B339" i="2"/>
  <c r="Y338" i="2" a="1"/>
  <c r="Y338" i="2"/>
  <c r="S338" i="2"/>
  <c r="R338" i="2" a="1"/>
  <c r="R338" i="2" s="1"/>
  <c r="Q338" i="2" a="1"/>
  <c r="Q338" i="2" s="1"/>
  <c r="P338" i="2" a="1"/>
  <c r="P338" i="2" s="1"/>
  <c r="M338" i="2" a="1"/>
  <c r="M338" i="2" s="1"/>
  <c r="O338" i="2" s="1"/>
  <c r="L338" i="2" a="1"/>
  <c r="L338" i="2"/>
  <c r="K338" i="2" a="1"/>
  <c r="K338" i="2"/>
  <c r="H338" i="2" a="1"/>
  <c r="H338" i="2" s="1"/>
  <c r="E338" i="2"/>
  <c r="D338" i="2" a="1"/>
  <c r="D338" i="2"/>
  <c r="C338" i="2" a="1"/>
  <c r="C338" i="2"/>
  <c r="B338" i="2" a="1"/>
  <c r="B338" i="2" s="1"/>
  <c r="Y337" i="2" a="1"/>
  <c r="Y337" i="2"/>
  <c r="S337" i="2"/>
  <c r="R337" i="2" a="1"/>
  <c r="R337" i="2" s="1"/>
  <c r="Q337" i="2" a="1"/>
  <c r="Q337" i="2"/>
  <c r="P337" i="2" a="1"/>
  <c r="P337" i="2" s="1"/>
  <c r="N337" i="2" a="1"/>
  <c r="N337" i="2" s="1"/>
  <c r="L337" i="2" a="1"/>
  <c r="L337" i="2" s="1"/>
  <c r="E337" i="2" a="1"/>
  <c r="E337" i="2" s="1"/>
  <c r="D337" i="2" a="1"/>
  <c r="D337" i="2" s="1"/>
  <c r="C337" i="2" a="1"/>
  <c r="C337" i="2"/>
  <c r="B337" i="2" a="1"/>
  <c r="B337" i="2" s="1"/>
  <c r="Y336" i="2" a="1"/>
  <c r="Y336" i="2"/>
  <c r="S336" i="2"/>
  <c r="Q336" i="2" a="1"/>
  <c r="Q336" i="2"/>
  <c r="P336" i="2" a="1"/>
  <c r="P336" i="2" s="1"/>
  <c r="N336" i="2" a="1"/>
  <c r="N336" i="2" s="1"/>
  <c r="M336" i="2" a="1"/>
  <c r="M336" i="2"/>
  <c r="O336" i="2" s="1"/>
  <c r="L336" i="2" a="1"/>
  <c r="L336" i="2"/>
  <c r="E336" i="2" a="1"/>
  <c r="E336" i="2" s="1"/>
  <c r="D336" i="2" a="1"/>
  <c r="D336" i="2"/>
  <c r="C336" i="2" a="1"/>
  <c r="C336" i="2"/>
  <c r="B336" i="2" a="1"/>
  <c r="B336" i="2" s="1"/>
  <c r="Y335" i="2" a="1"/>
  <c r="Y335" i="2"/>
  <c r="S335" i="2"/>
  <c r="R335" i="2" a="1"/>
  <c r="R335" i="2" s="1"/>
  <c r="P335" i="2" a="1"/>
  <c r="P335" i="2" s="1"/>
  <c r="O335" i="2"/>
  <c r="N335" i="2" a="1"/>
  <c r="N335" i="2" s="1"/>
  <c r="M335" i="2" a="1"/>
  <c r="M335" i="2" s="1"/>
  <c r="L335" i="2" a="1"/>
  <c r="L335" i="2" s="1"/>
  <c r="K335" i="2" a="1"/>
  <c r="K335" i="2"/>
  <c r="H335" i="2" a="1"/>
  <c r="H335" i="2" s="1"/>
  <c r="E335" i="2" a="1"/>
  <c r="E335" i="2" s="1"/>
  <c r="D335" i="2" a="1"/>
  <c r="D335" i="2" s="1"/>
  <c r="C335" i="2" a="1"/>
  <c r="C335" i="2"/>
  <c r="B335" i="2" a="1"/>
  <c r="B335" i="2" s="1"/>
  <c r="Y334" i="2" a="1"/>
  <c r="Y334" i="2"/>
  <c r="S334" i="2"/>
  <c r="R334" i="2" a="1"/>
  <c r="R334" i="2" s="1"/>
  <c r="Q334" i="2" a="1"/>
  <c r="Q334" i="2" s="1"/>
  <c r="P334" i="2" a="1"/>
  <c r="P334" i="2" s="1"/>
  <c r="N334" i="2" a="1"/>
  <c r="N334" i="2" s="1"/>
  <c r="M334" i="2" a="1"/>
  <c r="M334" i="2" s="1"/>
  <c r="O334" i="2" s="1"/>
  <c r="L334" i="2" a="1"/>
  <c r="L334" i="2"/>
  <c r="E334" i="2" a="1"/>
  <c r="E334" i="2"/>
  <c r="D334" i="2" a="1"/>
  <c r="D334" i="2"/>
  <c r="C334" i="2" a="1"/>
  <c r="C334" i="2"/>
  <c r="B334" i="2" a="1"/>
  <c r="B334" i="2" s="1"/>
  <c r="Y333" i="2" a="1"/>
  <c r="Y333" i="2"/>
  <c r="S333" i="2"/>
  <c r="R333" i="2" a="1"/>
  <c r="R333" i="2" s="1"/>
  <c r="Q333" i="2" a="1"/>
  <c r="Q333" i="2" s="1"/>
  <c r="P333" i="2" a="1"/>
  <c r="P333" i="2" s="1"/>
  <c r="N333" i="2" a="1"/>
  <c r="N333" i="2" s="1"/>
  <c r="M333" i="2" a="1"/>
  <c r="M333" i="2" s="1"/>
  <c r="O333" i="2" s="1"/>
  <c r="L333" i="2" a="1"/>
  <c r="L333" i="2" s="1"/>
  <c r="E333" i="2" a="1"/>
  <c r="E333" i="2" s="1"/>
  <c r="D333" i="2" a="1"/>
  <c r="D333" i="2" s="1"/>
  <c r="C333" i="2" a="1"/>
  <c r="C333" i="2"/>
  <c r="B333" i="2" a="1"/>
  <c r="B333" i="2"/>
  <c r="Y332" i="2" a="1"/>
  <c r="Y332" i="2"/>
  <c r="S332" i="2"/>
  <c r="R332" i="2" a="1"/>
  <c r="R332" i="2" s="1"/>
  <c r="Q332" i="2" a="1"/>
  <c r="Q332" i="2"/>
  <c r="P332" i="2" a="1"/>
  <c r="P332" i="2" s="1"/>
  <c r="N332" i="2" a="1"/>
  <c r="N332" i="2" s="1"/>
  <c r="M332" i="2" a="1"/>
  <c r="M332" i="2" s="1"/>
  <c r="O332" i="2" s="1"/>
  <c r="L332" i="2" a="1"/>
  <c r="L332" i="2" s="1"/>
  <c r="K332" i="2" a="1"/>
  <c r="K332" i="2"/>
  <c r="H332" i="2" a="1"/>
  <c r="H332" i="2" s="1"/>
  <c r="E332" i="2" a="1"/>
  <c r="E332" i="2"/>
  <c r="D332" i="2" a="1"/>
  <c r="D332" i="2"/>
  <c r="C332" i="2" a="1"/>
  <c r="C332" i="2"/>
  <c r="B332" i="2" a="1"/>
  <c r="B332" i="2" s="1"/>
  <c r="Y331" i="2" a="1"/>
  <c r="Y331" i="2"/>
  <c r="S331" i="2"/>
  <c r="R331" i="2" a="1"/>
  <c r="R331" i="2" s="1"/>
  <c r="P331" i="2" a="1"/>
  <c r="P331" i="2" s="1"/>
  <c r="N331" i="2" a="1"/>
  <c r="N331" i="2" s="1"/>
  <c r="M331" i="2" a="1"/>
  <c r="M331" i="2"/>
  <c r="O331" i="2" s="1"/>
  <c r="L331" i="2" a="1"/>
  <c r="L331" i="2" s="1"/>
  <c r="K331" i="2" a="1"/>
  <c r="K331" i="2"/>
  <c r="H331" i="2" a="1"/>
  <c r="H331" i="2"/>
  <c r="E331" i="2" a="1"/>
  <c r="E331" i="2" s="1"/>
  <c r="D331" i="2" a="1"/>
  <c r="D331" i="2" s="1"/>
  <c r="C331" i="2" a="1"/>
  <c r="C331" i="2"/>
  <c r="B331" i="2" a="1"/>
  <c r="B331" i="2"/>
  <c r="Y330" i="2" a="1"/>
  <c r="Y330" i="2"/>
  <c r="S330" i="2"/>
  <c r="R330" i="2" a="1"/>
  <c r="R330" i="2" s="1"/>
  <c r="Q330" i="2" a="1"/>
  <c r="Q330" i="2" s="1"/>
  <c r="P330" i="2" a="1"/>
  <c r="P330" i="2" s="1"/>
  <c r="M330" i="2" a="1"/>
  <c r="M330" i="2" s="1"/>
  <c r="O330" i="2" s="1"/>
  <c r="L330" i="2" a="1"/>
  <c r="L330" i="2"/>
  <c r="K330" i="2" a="1"/>
  <c r="K330" i="2"/>
  <c r="H330" i="2" a="1"/>
  <c r="H330" i="2" s="1"/>
  <c r="E330" i="2"/>
  <c r="D330" i="2" a="1"/>
  <c r="D330" i="2" s="1"/>
  <c r="C330" i="2" a="1"/>
  <c r="C330" i="2"/>
  <c r="B330" i="2" a="1"/>
  <c r="B330" i="2" s="1"/>
  <c r="Y329" i="2" a="1"/>
  <c r="Y329" i="2"/>
  <c r="S329" i="2"/>
  <c r="R329" i="2" a="1"/>
  <c r="R329" i="2" s="1"/>
  <c r="Q329" i="2" a="1"/>
  <c r="Q329" i="2" s="1"/>
  <c r="P329" i="2" a="1"/>
  <c r="P329" i="2" s="1"/>
  <c r="N329" i="2" a="1"/>
  <c r="N329" i="2" s="1"/>
  <c r="M329" i="2" a="1"/>
  <c r="M329" i="2" s="1"/>
  <c r="O329" i="2" s="1"/>
  <c r="L329" i="2" a="1"/>
  <c r="L329" i="2" s="1"/>
  <c r="K329" i="2" a="1"/>
  <c r="K329" i="2"/>
  <c r="H329" i="2" a="1"/>
  <c r="H329" i="2"/>
  <c r="E329" i="2" a="1"/>
  <c r="E329" i="2" s="1"/>
  <c r="D329" i="2" a="1"/>
  <c r="D329" i="2" s="1"/>
  <c r="C329" i="2" a="1"/>
  <c r="C329" i="2"/>
  <c r="B329" i="2" a="1"/>
  <c r="B329" i="2"/>
  <c r="Y328" i="2" a="1"/>
  <c r="Y328" i="2"/>
  <c r="S328" i="2"/>
  <c r="Q328" i="2" a="1"/>
  <c r="Q328" i="2" s="1"/>
  <c r="P328" i="2" a="1"/>
  <c r="P328" i="2" s="1"/>
  <c r="N328" i="2" a="1"/>
  <c r="N328" i="2" s="1"/>
  <c r="M328" i="2" a="1"/>
  <c r="M328" i="2" s="1"/>
  <c r="O328" i="2" s="1"/>
  <c r="L328" i="2" a="1"/>
  <c r="L328" i="2"/>
  <c r="E328" i="2" a="1"/>
  <c r="E328" i="2" s="1"/>
  <c r="D328" i="2" a="1"/>
  <c r="D328" i="2"/>
  <c r="C328" i="2" a="1"/>
  <c r="C328" i="2"/>
  <c r="B328" i="2" a="1"/>
  <c r="B328" i="2"/>
  <c r="Y327" i="2" a="1"/>
  <c r="Y327" i="2"/>
  <c r="S327" i="2"/>
  <c r="R327" i="2" a="1"/>
  <c r="R327" i="2" s="1"/>
  <c r="Q327" i="2" a="1"/>
  <c r="Q327" i="2"/>
  <c r="P327" i="2" a="1"/>
  <c r="P327" i="2" s="1"/>
  <c r="N327" i="2" a="1"/>
  <c r="N327" i="2" s="1"/>
  <c r="M327" i="2" a="1"/>
  <c r="M327" i="2" s="1"/>
  <c r="O327" i="2" s="1"/>
  <c r="L327" i="2" a="1"/>
  <c r="L327" i="2"/>
  <c r="E327" i="2" a="1"/>
  <c r="E327" i="2"/>
  <c r="D327" i="2" a="1"/>
  <c r="D327" i="2"/>
  <c r="C327" i="2" a="1"/>
  <c r="C327" i="2"/>
  <c r="B327" i="2" a="1"/>
  <c r="B327" i="2" s="1"/>
  <c r="Y326" i="2" a="1"/>
  <c r="Y326" i="2"/>
  <c r="S326" i="2"/>
  <c r="Q326" i="2" a="1"/>
  <c r="Q326" i="2" s="1"/>
  <c r="P326" i="2" a="1"/>
  <c r="P326" i="2" s="1"/>
  <c r="N326" i="2" a="1"/>
  <c r="N326" i="2"/>
  <c r="M326" i="2" a="1"/>
  <c r="M326" i="2" s="1"/>
  <c r="O326" i="2" s="1"/>
  <c r="L326" i="2" a="1"/>
  <c r="L326" i="2"/>
  <c r="E326" i="2" a="1"/>
  <c r="E326" i="2" s="1"/>
  <c r="D326" i="2" a="1"/>
  <c r="D326" i="2"/>
  <c r="C326" i="2" a="1"/>
  <c r="C326" i="2"/>
  <c r="B326" i="2" a="1"/>
  <c r="B326" i="2"/>
  <c r="Y325" i="2" a="1"/>
  <c r="Y325" i="2"/>
  <c r="S325" i="2"/>
  <c r="R325" i="2" a="1"/>
  <c r="R325" i="2" s="1"/>
  <c r="Q325" i="2" a="1"/>
  <c r="Q325" i="2" s="1"/>
  <c r="P325" i="2" a="1"/>
  <c r="P325" i="2" s="1"/>
  <c r="N325" i="2" a="1"/>
  <c r="N325" i="2"/>
  <c r="L325" i="2" a="1"/>
  <c r="L325" i="2" s="1"/>
  <c r="E325" i="2" a="1"/>
  <c r="E325" i="2" s="1"/>
  <c r="D325" i="2" a="1"/>
  <c r="D325" i="2" s="1"/>
  <c r="C325" i="2" a="1"/>
  <c r="C325" i="2"/>
  <c r="B325" i="2" a="1"/>
  <c r="B325" i="2"/>
  <c r="Y324" i="2" a="1"/>
  <c r="Y324" i="2"/>
  <c r="S324" i="2"/>
  <c r="R324" i="2" a="1"/>
  <c r="R324" i="2" s="1"/>
  <c r="Q324" i="2" a="1"/>
  <c r="Q324" i="2" s="1"/>
  <c r="P324" i="2" a="1"/>
  <c r="P324" i="2" s="1"/>
  <c r="N324" i="2" a="1"/>
  <c r="N324" i="2" s="1"/>
  <c r="M324" i="2" a="1"/>
  <c r="M324" i="2" s="1"/>
  <c r="O324" i="2" s="1"/>
  <c r="L324" i="2" a="1"/>
  <c r="L324" i="2"/>
  <c r="E324" i="2" a="1"/>
  <c r="E324" i="2" s="1"/>
  <c r="D324" i="2" a="1"/>
  <c r="D324" i="2"/>
  <c r="C324" i="2" a="1"/>
  <c r="C324" i="2"/>
  <c r="B324" i="2" a="1"/>
  <c r="B324" i="2"/>
  <c r="Y323" i="2" a="1"/>
  <c r="Y323" i="2"/>
  <c r="S323" i="2"/>
  <c r="R323" i="2" a="1"/>
  <c r="R323" i="2" s="1"/>
  <c r="Q323" i="2" a="1"/>
  <c r="Q323" i="2"/>
  <c r="P323" i="2" a="1"/>
  <c r="P323" i="2" s="1"/>
  <c r="N323" i="2" a="1"/>
  <c r="N323" i="2" s="1"/>
  <c r="L323" i="2" a="1"/>
  <c r="L323" i="2"/>
  <c r="E323" i="2" a="1"/>
  <c r="E323" i="2" s="1"/>
  <c r="D323" i="2" a="1"/>
  <c r="D323" i="2"/>
  <c r="C323" i="2" a="1"/>
  <c r="C323" i="2"/>
  <c r="B323" i="2" a="1"/>
  <c r="B323" i="2" s="1"/>
  <c r="Y322" i="2" a="1"/>
  <c r="Y322" i="2"/>
  <c r="S322" i="2"/>
  <c r="R322" i="2" a="1"/>
  <c r="R322" i="2" s="1"/>
  <c r="Q322" i="2" a="1"/>
  <c r="Q322" i="2"/>
  <c r="P322" i="2" a="1"/>
  <c r="P322" i="2" s="1"/>
  <c r="N322" i="2" a="1"/>
  <c r="N322" i="2" s="1"/>
  <c r="M322" i="2" a="1"/>
  <c r="M322" i="2" s="1"/>
  <c r="O322" i="2" s="1"/>
  <c r="L322" i="2" a="1"/>
  <c r="L322" i="2"/>
  <c r="K322" i="2" a="1"/>
  <c r="K322" i="2"/>
  <c r="H322" i="2" a="1"/>
  <c r="H322" i="2" s="1"/>
  <c r="E322" i="2" a="1"/>
  <c r="E322" i="2"/>
  <c r="D322" i="2" a="1"/>
  <c r="D322" i="2"/>
  <c r="C322" i="2" a="1"/>
  <c r="C322" i="2"/>
  <c r="B322" i="2" a="1"/>
  <c r="B322" i="2" s="1"/>
  <c r="Y321" i="2" a="1"/>
  <c r="Y321" i="2"/>
  <c r="S321" i="2"/>
  <c r="Q321" i="2" a="1"/>
  <c r="Q321" i="2" s="1"/>
  <c r="P321" i="2" a="1"/>
  <c r="P321" i="2" s="1"/>
  <c r="O321" i="2"/>
  <c r="N321" i="2" a="1"/>
  <c r="N321" i="2"/>
  <c r="M321" i="2" a="1"/>
  <c r="M321" i="2"/>
  <c r="L321" i="2" a="1"/>
  <c r="L321" i="2" s="1"/>
  <c r="K321" i="2" a="1"/>
  <c r="K321" i="2"/>
  <c r="H321" i="2" a="1"/>
  <c r="H321" i="2"/>
  <c r="E321" i="2" a="1"/>
  <c r="E321" i="2" s="1"/>
  <c r="D321" i="2" a="1"/>
  <c r="D321" i="2" s="1"/>
  <c r="C321" i="2" a="1"/>
  <c r="C321" i="2"/>
  <c r="B321" i="2" a="1"/>
  <c r="B321" i="2"/>
  <c r="Y320" i="2" a="1"/>
  <c r="Y320" i="2" s="1"/>
  <c r="S320" i="2"/>
  <c r="R320" i="2" a="1"/>
  <c r="R320" i="2" s="1"/>
  <c r="Q320" i="2" a="1"/>
  <c r="Q320" i="2" s="1"/>
  <c r="P320" i="2" a="1"/>
  <c r="P320" i="2"/>
  <c r="N320" i="2" a="1"/>
  <c r="N320" i="2"/>
  <c r="M320" i="2" a="1"/>
  <c r="M320" i="2"/>
  <c r="O320" i="2" s="1"/>
  <c r="L320" i="2" a="1"/>
  <c r="L320" i="2" s="1"/>
  <c r="K320" i="2" a="1"/>
  <c r="K320" i="2"/>
  <c r="H320" i="2" a="1"/>
  <c r="H320" i="2" s="1"/>
  <c r="E320" i="2" a="1"/>
  <c r="E320" i="2"/>
  <c r="D320" i="2" a="1"/>
  <c r="D320" i="2" s="1"/>
  <c r="C320" i="2" a="1"/>
  <c r="C320" i="2"/>
  <c r="B320" i="2" a="1"/>
  <c r="B320" i="2" s="1"/>
  <c r="Y319" i="2" a="1"/>
  <c r="Y319" i="2"/>
  <c r="S319" i="2"/>
  <c r="R319" i="2" a="1"/>
  <c r="R319" i="2" s="1"/>
  <c r="Q319" i="2" a="1"/>
  <c r="Q319" i="2"/>
  <c r="P319" i="2" a="1"/>
  <c r="P319" i="2" s="1"/>
  <c r="M319" i="2" a="1"/>
  <c r="M319" i="2" s="1"/>
  <c r="O319" i="2" s="1"/>
  <c r="L319" i="2" a="1"/>
  <c r="L319" i="2" s="1"/>
  <c r="K319" i="2" a="1"/>
  <c r="K319" i="2"/>
  <c r="H319" i="2" a="1"/>
  <c r="H319" i="2" s="1"/>
  <c r="E319" i="2" a="1"/>
  <c r="E319" i="2" s="1"/>
  <c r="D319" i="2" a="1"/>
  <c r="D319" i="2" s="1"/>
  <c r="C319" i="2" a="1"/>
  <c r="C319" i="2"/>
  <c r="B319" i="2" a="1"/>
  <c r="B319" i="2" s="1"/>
  <c r="Y318" i="2" a="1"/>
  <c r="Y318" i="2"/>
  <c r="S318" i="2"/>
  <c r="Q318" i="2" a="1"/>
  <c r="Q318" i="2" s="1"/>
  <c r="P318" i="2" a="1"/>
  <c r="P318" i="2"/>
  <c r="N318" i="2" a="1"/>
  <c r="N318" i="2" s="1"/>
  <c r="M318" i="2" a="1"/>
  <c r="M318" i="2" s="1"/>
  <c r="O318" i="2" s="1"/>
  <c r="L318" i="2" a="1"/>
  <c r="L318" i="2" s="1"/>
  <c r="K318" i="2" a="1"/>
  <c r="K318" i="2"/>
  <c r="H318" i="2" a="1"/>
  <c r="H318" i="2" s="1"/>
  <c r="E318" i="2" a="1"/>
  <c r="E318" i="2"/>
  <c r="D318" i="2" a="1"/>
  <c r="D318" i="2" s="1"/>
  <c r="C318" i="2" a="1"/>
  <c r="C318" i="2"/>
  <c r="B318" i="2" a="1"/>
  <c r="B318" i="2" s="1"/>
  <c r="Y317" i="2" a="1"/>
  <c r="Y317" i="2"/>
  <c r="S317" i="2"/>
  <c r="R317" i="2" a="1"/>
  <c r="R317" i="2" s="1"/>
  <c r="P317" i="2" a="1"/>
  <c r="P317" i="2" s="1"/>
  <c r="N317" i="2" a="1"/>
  <c r="N317" i="2" s="1"/>
  <c r="M317" i="2" a="1"/>
  <c r="M317" i="2"/>
  <c r="O317" i="2" s="1"/>
  <c r="L317" i="2" a="1"/>
  <c r="L317" i="2"/>
  <c r="E317" i="2" a="1"/>
  <c r="E317" i="2"/>
  <c r="D317" i="2" a="1"/>
  <c r="D317" i="2" s="1"/>
  <c r="C317" i="2" a="1"/>
  <c r="C317" i="2"/>
  <c r="B317" i="2" a="1"/>
  <c r="B317" i="2" s="1"/>
  <c r="Y316" i="2" a="1"/>
  <c r="Y316" i="2"/>
  <c r="S316" i="2"/>
  <c r="R316" i="2" a="1"/>
  <c r="R316" i="2" s="1"/>
  <c r="Q316" i="2" a="1"/>
  <c r="Q316" i="2" s="1"/>
  <c r="P316" i="2" a="1"/>
  <c r="P316" i="2"/>
  <c r="M316" i="2" a="1"/>
  <c r="M316" i="2"/>
  <c r="O316" i="2" s="1"/>
  <c r="L316" i="2" a="1"/>
  <c r="L316" i="2" s="1"/>
  <c r="E316" i="2" a="1"/>
  <c r="E316" i="2"/>
  <c r="D316" i="2" a="1"/>
  <c r="D316" i="2" s="1"/>
  <c r="C316" i="2" a="1"/>
  <c r="C316" i="2"/>
  <c r="B316" i="2" a="1"/>
  <c r="B316" i="2"/>
  <c r="Y315" i="2" a="1"/>
  <c r="Y315" i="2"/>
  <c r="S315" i="2"/>
  <c r="R315" i="2" a="1"/>
  <c r="R315" i="2" s="1"/>
  <c r="Q315" i="2" a="1"/>
  <c r="Q315" i="2" s="1"/>
  <c r="P315" i="2" a="1"/>
  <c r="P315" i="2" s="1"/>
  <c r="N315" i="2" a="1"/>
  <c r="N315" i="2" s="1"/>
  <c r="L315" i="2" a="1"/>
  <c r="L315" i="2" s="1"/>
  <c r="E315" i="2" a="1"/>
  <c r="E315" i="2"/>
  <c r="D315" i="2" a="1"/>
  <c r="D315" i="2"/>
  <c r="C315" i="2" a="1"/>
  <c r="C315" i="2"/>
  <c r="B315" i="2" a="1"/>
  <c r="B315" i="2" s="1"/>
  <c r="Y314" i="2" a="1"/>
  <c r="Y314" i="2"/>
  <c r="S314" i="2"/>
  <c r="Q314" i="2" a="1"/>
  <c r="Q314" i="2" s="1"/>
  <c r="P314" i="2" a="1"/>
  <c r="P314" i="2"/>
  <c r="N314" i="2" a="1"/>
  <c r="N314" i="2" s="1"/>
  <c r="M314" i="2" a="1"/>
  <c r="M314" i="2" s="1"/>
  <c r="O314" i="2" s="1"/>
  <c r="L314" i="2" a="1"/>
  <c r="L314" i="2" s="1"/>
  <c r="E314" i="2" a="1"/>
  <c r="E314" i="2"/>
  <c r="D314" i="2" a="1"/>
  <c r="D314" i="2" s="1"/>
  <c r="C314" i="2" a="1"/>
  <c r="C314" i="2"/>
  <c r="B314" i="2" a="1"/>
  <c r="B314" i="2"/>
  <c r="Y313" i="2" a="1"/>
  <c r="Y313" i="2"/>
  <c r="S313" i="2"/>
  <c r="R313" i="2" a="1"/>
  <c r="R313" i="2" s="1"/>
  <c r="P313" i="2" a="1"/>
  <c r="P313" i="2" s="1"/>
  <c r="N313" i="2" a="1"/>
  <c r="N313" i="2" s="1"/>
  <c r="M313" i="2" a="1"/>
  <c r="M313" i="2"/>
  <c r="O313" i="2" s="1"/>
  <c r="L313" i="2" a="1"/>
  <c r="L313" i="2" s="1"/>
  <c r="E313" i="2" a="1"/>
  <c r="E313" i="2" s="1"/>
  <c r="D313" i="2" a="1"/>
  <c r="D313" i="2" s="1"/>
  <c r="C313" i="2" a="1"/>
  <c r="C313" i="2"/>
  <c r="B313" i="2" a="1"/>
  <c r="B313" i="2" s="1"/>
  <c r="Y312" i="2" a="1"/>
  <c r="Y312" i="2"/>
  <c r="S312" i="2"/>
  <c r="R312" i="2" a="1"/>
  <c r="R312" i="2" s="1"/>
  <c r="Q312" i="2" a="1"/>
  <c r="Q312" i="2" s="1"/>
  <c r="P312" i="2" a="1"/>
  <c r="P312" i="2"/>
  <c r="N312" i="2" a="1"/>
  <c r="N312" i="2" s="1"/>
  <c r="M312" i="2" a="1"/>
  <c r="M312" i="2"/>
  <c r="O312" i="2" s="1"/>
  <c r="L312" i="2" a="1"/>
  <c r="L312" i="2" s="1"/>
  <c r="K312" i="2" a="1"/>
  <c r="K312" i="2"/>
  <c r="H312" i="2" a="1"/>
  <c r="H312" i="2" s="1"/>
  <c r="E312" i="2"/>
  <c r="D312" i="2" a="1"/>
  <c r="D312" i="2" s="1"/>
  <c r="C312" i="2" a="1"/>
  <c r="C312" i="2"/>
  <c r="B312" i="2" a="1"/>
  <c r="B312" i="2"/>
  <c r="Y311" i="2" a="1"/>
  <c r="Y311" i="2" s="1"/>
  <c r="S311" i="2"/>
  <c r="R311" i="2" a="1"/>
  <c r="R311" i="2" s="1"/>
  <c r="Q311" i="2" a="1"/>
  <c r="Q311" i="2" s="1"/>
  <c r="P311" i="2" a="1"/>
  <c r="P311" i="2" s="1"/>
  <c r="O311" i="2"/>
  <c r="N311" i="2" a="1"/>
  <c r="N311" i="2" s="1"/>
  <c r="M311" i="2" a="1"/>
  <c r="M311" i="2" s="1"/>
  <c r="L311" i="2" a="1"/>
  <c r="L311" i="2" s="1"/>
  <c r="E311" i="2" a="1"/>
  <c r="E311" i="2" s="1"/>
  <c r="D311" i="2" a="1"/>
  <c r="D311" i="2"/>
  <c r="C311" i="2" a="1"/>
  <c r="C311" i="2"/>
  <c r="B311" i="2" a="1"/>
  <c r="B311" i="2" s="1"/>
  <c r="Y310" i="2" a="1"/>
  <c r="Y310" i="2"/>
  <c r="S310" i="2"/>
  <c r="R310" i="2" a="1"/>
  <c r="R310" i="2"/>
  <c r="Q310" i="2" a="1"/>
  <c r="Q310" i="2" s="1"/>
  <c r="P310" i="2" a="1"/>
  <c r="P310" i="2"/>
  <c r="N310" i="2" a="1"/>
  <c r="N310" i="2" s="1"/>
  <c r="M310" i="2" a="1"/>
  <c r="M310" i="2" s="1"/>
  <c r="O310" i="2" s="1"/>
  <c r="L310" i="2" a="1"/>
  <c r="L310" i="2" s="1"/>
  <c r="K310" i="2" a="1"/>
  <c r="K310" i="2" s="1"/>
  <c r="H310" i="2" a="1"/>
  <c r="H310" i="2" s="1"/>
  <c r="E310" i="2" a="1"/>
  <c r="E310" i="2" s="1"/>
  <c r="D310" i="2" a="1"/>
  <c r="D310" i="2" s="1"/>
  <c r="C310" i="2" a="1"/>
  <c r="C310" i="2" s="1"/>
  <c r="B310" i="2" a="1"/>
  <c r="B310" i="2"/>
  <c r="Y309" i="2" a="1"/>
  <c r="Y309" i="2" s="1"/>
  <c r="S309" i="2"/>
  <c r="R309" i="2" a="1"/>
  <c r="R309" i="2" s="1"/>
  <c r="Q309" i="2" a="1"/>
  <c r="Q309" i="2" s="1"/>
  <c r="P309" i="2" a="1"/>
  <c r="P309" i="2" s="1"/>
  <c r="N309" i="2" a="1"/>
  <c r="N309" i="2" s="1"/>
  <c r="M309" i="2" a="1"/>
  <c r="M309" i="2" s="1"/>
  <c r="O309" i="2" s="1"/>
  <c r="L309" i="2" a="1"/>
  <c r="L309" i="2" s="1"/>
  <c r="K309" i="2" a="1"/>
  <c r="K309" i="2" s="1"/>
  <c r="H309" i="2" a="1"/>
  <c r="H309" i="2" s="1"/>
  <c r="E309" i="2" a="1"/>
  <c r="E309" i="2" s="1"/>
  <c r="D309" i="2" a="1"/>
  <c r="D309" i="2" s="1"/>
  <c r="C309" i="2" a="1"/>
  <c r="C309" i="2"/>
  <c r="B309" i="2" a="1"/>
  <c r="B309" i="2" s="1"/>
  <c r="Y308" i="2" a="1"/>
  <c r="Y308" i="2"/>
  <c r="S308" i="2"/>
  <c r="R308" i="2" a="1"/>
  <c r="R308" i="2" s="1"/>
  <c r="Q308" i="2" a="1"/>
  <c r="Q308" i="2" s="1"/>
  <c r="P308" i="2" a="1"/>
  <c r="P308" i="2"/>
  <c r="N308" i="2" a="1"/>
  <c r="N308" i="2"/>
  <c r="L308" i="2" a="1"/>
  <c r="L308" i="2" s="1"/>
  <c r="K308" i="2" a="1"/>
  <c r="K308" i="2" s="1"/>
  <c r="H308" i="2" a="1"/>
  <c r="H308" i="2" s="1"/>
  <c r="E308" i="2" a="1"/>
  <c r="E308" i="2" s="1"/>
  <c r="D308" i="2" a="1"/>
  <c r="D308" i="2" s="1"/>
  <c r="C308" i="2" a="1"/>
  <c r="C308" i="2" s="1"/>
  <c r="B308" i="2" a="1"/>
  <c r="B308" i="2"/>
  <c r="Y307" i="2" a="1"/>
  <c r="Y307" i="2"/>
  <c r="S307" i="2"/>
  <c r="R307" i="2" a="1"/>
  <c r="R307" i="2"/>
  <c r="Q307" i="2" a="1"/>
  <c r="Q307" i="2" s="1"/>
  <c r="P307" i="2" a="1"/>
  <c r="P307" i="2" s="1"/>
  <c r="N307" i="2" a="1"/>
  <c r="N307" i="2" s="1"/>
  <c r="M307" i="2" a="1"/>
  <c r="M307" i="2"/>
  <c r="O307" i="2" s="1"/>
  <c r="L307" i="2" a="1"/>
  <c r="L307" i="2" s="1"/>
  <c r="E307" i="2" a="1"/>
  <c r="E307" i="2" s="1"/>
  <c r="D307" i="2" a="1"/>
  <c r="D307" i="2" s="1"/>
  <c r="C307" i="2" a="1"/>
  <c r="C307" i="2"/>
  <c r="B307" i="2" a="1"/>
  <c r="B307" i="2" s="1"/>
  <c r="Y306" i="2" a="1"/>
  <c r="Y306" i="2" s="1"/>
  <c r="S306" i="2"/>
  <c r="R306" i="2" a="1"/>
  <c r="R306" i="2" s="1"/>
  <c r="Q306" i="2" a="1"/>
  <c r="Q306" i="2" s="1"/>
  <c r="P306" i="2" a="1"/>
  <c r="P306" i="2"/>
  <c r="N306" i="2" a="1"/>
  <c r="N306" i="2"/>
  <c r="M306" i="2" a="1"/>
  <c r="M306" i="2" s="1"/>
  <c r="O306" i="2" s="1"/>
  <c r="L306" i="2" a="1"/>
  <c r="L306" i="2" s="1"/>
  <c r="E306" i="2" a="1"/>
  <c r="E306" i="2" s="1"/>
  <c r="D306" i="2" a="1"/>
  <c r="D306" i="2" s="1"/>
  <c r="C306" i="2" a="1"/>
  <c r="C306" i="2" s="1"/>
  <c r="B306" i="2" a="1"/>
  <c r="B306" i="2" s="1"/>
  <c r="Y305" i="2" a="1"/>
  <c r="Y305" i="2"/>
  <c r="S305" i="2"/>
  <c r="R305" i="2" a="1"/>
  <c r="R305" i="2" s="1"/>
  <c r="Q305" i="2" a="1"/>
  <c r="Q305" i="2" s="1"/>
  <c r="P305" i="2" a="1"/>
  <c r="P305" i="2" s="1"/>
  <c r="N305" i="2" a="1"/>
  <c r="N305" i="2" s="1"/>
  <c r="L305" i="2" a="1"/>
  <c r="L305" i="2"/>
  <c r="E305" i="2" a="1"/>
  <c r="E305" i="2" s="1"/>
  <c r="D305" i="2" a="1"/>
  <c r="D305" i="2" s="1"/>
  <c r="C305" i="2" a="1"/>
  <c r="C305" i="2" s="1"/>
  <c r="B305" i="2" a="1"/>
  <c r="B305" i="2" s="1"/>
  <c r="Y304" i="2" a="1"/>
  <c r="Y304" i="2" s="1"/>
  <c r="S304" i="2"/>
  <c r="R304" i="2" a="1"/>
  <c r="R304" i="2" s="1"/>
  <c r="Q304" i="2" a="1"/>
  <c r="Q304" i="2" s="1"/>
  <c r="P304" i="2" a="1"/>
  <c r="P304" i="2"/>
  <c r="N304" i="2" a="1"/>
  <c r="N304" i="2" s="1"/>
  <c r="M304" i="2" a="1"/>
  <c r="M304" i="2"/>
  <c r="O304" i="2" s="1"/>
  <c r="L304" i="2" a="1"/>
  <c r="L304" i="2" s="1"/>
  <c r="K304" i="2" a="1"/>
  <c r="K304" i="2"/>
  <c r="H304" i="2" a="1"/>
  <c r="H304" i="2" s="1"/>
  <c r="E304" i="2" a="1"/>
  <c r="E304" i="2" s="1"/>
  <c r="D304" i="2" a="1"/>
  <c r="D304" i="2" s="1"/>
  <c r="C304" i="2" a="1"/>
  <c r="C304" i="2" s="1"/>
  <c r="B304" i="2" a="1"/>
  <c r="B304" i="2" s="1"/>
  <c r="Y303" i="2" a="1"/>
  <c r="Y303" i="2"/>
  <c r="S303" i="2"/>
  <c r="R303" i="2" a="1"/>
  <c r="R303" i="2" s="1"/>
  <c r="P303" i="2" a="1"/>
  <c r="P303" i="2" s="1"/>
  <c r="N303" i="2" a="1"/>
  <c r="N303" i="2" s="1"/>
  <c r="M303" i="2" a="1"/>
  <c r="M303" i="2" s="1"/>
  <c r="O303" i="2" s="1"/>
  <c r="L303" i="2" a="1"/>
  <c r="L303" i="2"/>
  <c r="K303" i="2" a="1"/>
  <c r="K303" i="2" s="1"/>
  <c r="H303" i="2" a="1"/>
  <c r="H303" i="2" s="1"/>
  <c r="E303" i="2" a="1"/>
  <c r="E303" i="2" s="1"/>
  <c r="D303" i="2" a="1"/>
  <c r="D303" i="2" s="1"/>
  <c r="C303" i="2" a="1"/>
  <c r="C303" i="2" s="1"/>
  <c r="B303" i="2" a="1"/>
  <c r="B303" i="2" s="1"/>
  <c r="Y302" i="2" a="1"/>
  <c r="Y302" i="2" s="1"/>
  <c r="S302" i="2"/>
  <c r="Q302" i="2" a="1"/>
  <c r="Q302" i="2" s="1"/>
  <c r="P302" i="2" a="1"/>
  <c r="P302" i="2"/>
  <c r="N302" i="2" a="1"/>
  <c r="N302" i="2" s="1"/>
  <c r="M302" i="2" a="1"/>
  <c r="M302" i="2" s="1"/>
  <c r="O302" i="2" s="1"/>
  <c r="L302" i="2" a="1"/>
  <c r="L302" i="2" s="1"/>
  <c r="E302" i="2" a="1"/>
  <c r="E302" i="2" s="1"/>
  <c r="D302" i="2" a="1"/>
  <c r="D302" i="2" s="1"/>
  <c r="C302" i="2" a="1"/>
  <c r="C302" i="2" s="1"/>
  <c r="B302" i="2" a="1"/>
  <c r="B302" i="2" s="1"/>
  <c r="Y301" i="2" a="1"/>
  <c r="Y301" i="2" s="1"/>
  <c r="S301" i="2"/>
  <c r="R301" i="2" a="1"/>
  <c r="R301" i="2" s="1"/>
  <c r="Q301" i="2" a="1"/>
  <c r="Q301" i="2"/>
  <c r="P301" i="2" a="1"/>
  <c r="P301" i="2"/>
  <c r="M301" i="2" a="1"/>
  <c r="M301" i="2" s="1"/>
  <c r="O301" i="2" s="1"/>
  <c r="L301" i="2" a="1"/>
  <c r="L301" i="2"/>
  <c r="E301" i="2" a="1"/>
  <c r="E301" i="2" s="1"/>
  <c r="D301" i="2" a="1"/>
  <c r="D301" i="2" s="1"/>
  <c r="C301" i="2" a="1"/>
  <c r="C301" i="2" s="1"/>
  <c r="B301" i="2" a="1"/>
  <c r="B301" i="2" s="1"/>
  <c r="Y300" i="2" a="1"/>
  <c r="Y300" i="2" s="1"/>
  <c r="S300" i="2"/>
  <c r="R300" i="2" a="1"/>
  <c r="R300" i="2" s="1"/>
  <c r="Q300" i="2" a="1"/>
  <c r="Q300" i="2" s="1"/>
  <c r="P300" i="2" a="1"/>
  <c r="P300" i="2"/>
  <c r="N300" i="2" a="1"/>
  <c r="N300" i="2" s="1"/>
  <c r="M300" i="2" a="1"/>
  <c r="M300" i="2" s="1"/>
  <c r="O300" i="2" s="1"/>
  <c r="L300" i="2" a="1"/>
  <c r="L300" i="2" s="1"/>
  <c r="K300" i="2" a="1"/>
  <c r="K300" i="2" s="1"/>
  <c r="H300" i="2" a="1"/>
  <c r="H300" i="2"/>
  <c r="E300" i="2" a="1"/>
  <c r="E300" i="2" s="1"/>
  <c r="D300" i="2" a="1"/>
  <c r="D300" i="2" s="1"/>
  <c r="C300" i="2" a="1"/>
  <c r="C300" i="2"/>
  <c r="B300" i="2" a="1"/>
  <c r="B300" i="2" s="1"/>
  <c r="Y299" i="2" a="1"/>
  <c r="Y299" i="2" s="1"/>
  <c r="S299" i="2"/>
  <c r="Q299" i="2" a="1"/>
  <c r="Q299" i="2" s="1"/>
  <c r="P299" i="2" a="1"/>
  <c r="P299" i="2"/>
  <c r="N299" i="2" a="1"/>
  <c r="N299" i="2" s="1"/>
  <c r="M299" i="2" a="1"/>
  <c r="M299" i="2" s="1"/>
  <c r="O299" i="2" s="1"/>
  <c r="L299" i="2" a="1"/>
  <c r="L299" i="2" s="1"/>
  <c r="E299" i="2" a="1"/>
  <c r="E299" i="2"/>
  <c r="D299" i="2" a="1"/>
  <c r="D299" i="2"/>
  <c r="C299" i="2" a="1"/>
  <c r="C299" i="2" s="1"/>
  <c r="B299" i="2" a="1"/>
  <c r="B299" i="2" s="1"/>
  <c r="Y298" i="2" a="1"/>
  <c r="Y298" i="2" s="1"/>
  <c r="S298" i="2"/>
  <c r="R298" i="2" a="1"/>
  <c r="R298" i="2"/>
  <c r="Q298" i="2" a="1"/>
  <c r="Q298" i="2" s="1"/>
  <c r="P298" i="2" a="1"/>
  <c r="P298" i="2"/>
  <c r="M298" i="2" a="1"/>
  <c r="M298" i="2" s="1"/>
  <c r="O298" i="2" s="1"/>
  <c r="L298" i="2" a="1"/>
  <c r="L298" i="2" s="1"/>
  <c r="K298" i="2" a="1"/>
  <c r="K298" i="2" s="1"/>
  <c r="H298" i="2" a="1"/>
  <c r="H298" i="2"/>
  <c r="E298" i="2" a="1"/>
  <c r="E298" i="2" s="1"/>
  <c r="D298" i="2" a="1"/>
  <c r="D298" i="2" s="1"/>
  <c r="C298" i="2" a="1"/>
  <c r="C298" i="2"/>
  <c r="B298" i="2" a="1"/>
  <c r="B298" i="2" s="1"/>
  <c r="Y297" i="2" a="1"/>
  <c r="Y297" i="2" s="1"/>
  <c r="S297" i="2"/>
  <c r="R297" i="2" a="1"/>
  <c r="R297" i="2" s="1"/>
  <c r="P297" i="2" a="1"/>
  <c r="P297" i="2"/>
  <c r="N297" i="2" a="1"/>
  <c r="N297" i="2" s="1"/>
  <c r="M297" i="2" a="1"/>
  <c r="M297" i="2" s="1"/>
  <c r="O297" i="2" s="1"/>
  <c r="L297" i="2" a="1"/>
  <c r="L297" i="2" s="1"/>
  <c r="E297" i="2" a="1"/>
  <c r="E297" i="2" s="1"/>
  <c r="D297" i="2" a="1"/>
  <c r="D297" i="2"/>
  <c r="C297" i="2" a="1"/>
  <c r="C297" i="2" s="1"/>
  <c r="B297" i="2" a="1"/>
  <c r="B297" i="2" s="1"/>
  <c r="Y296" i="2" a="1"/>
  <c r="Y296" i="2"/>
  <c r="S296" i="2"/>
  <c r="R296" i="2" a="1"/>
  <c r="R296" i="2" s="1"/>
  <c r="Q296" i="2" a="1"/>
  <c r="Q296" i="2" s="1"/>
  <c r="P296" i="2" a="1"/>
  <c r="P296" i="2"/>
  <c r="N296" i="2" a="1"/>
  <c r="N296" i="2" s="1"/>
  <c r="M296" i="2" a="1"/>
  <c r="M296" i="2" s="1"/>
  <c r="O296" i="2" s="1"/>
  <c r="L296" i="2" a="1"/>
  <c r="L296" i="2" s="1"/>
  <c r="E296" i="2" a="1"/>
  <c r="E296" i="2"/>
  <c r="D296" i="2" a="1"/>
  <c r="D296" i="2" s="1"/>
  <c r="C296" i="2" a="1"/>
  <c r="C296" i="2"/>
  <c r="B296" i="2" a="1"/>
  <c r="B296" i="2"/>
  <c r="Y295" i="2" a="1"/>
  <c r="Y295" i="2" s="1"/>
  <c r="S295" i="2"/>
  <c r="R295" i="2" a="1"/>
  <c r="R295" i="2"/>
  <c r="Q295" i="2" a="1"/>
  <c r="Q295" i="2" s="1"/>
  <c r="P295" i="2" a="1"/>
  <c r="P295" i="2" s="1"/>
  <c r="M295" i="2" a="1"/>
  <c r="M295" i="2" s="1"/>
  <c r="O295" i="2" s="1"/>
  <c r="L295" i="2" a="1"/>
  <c r="L295" i="2" s="1"/>
  <c r="K295" i="2" a="1"/>
  <c r="K295" i="2" s="1"/>
  <c r="H295" i="2" a="1"/>
  <c r="H295" i="2" s="1"/>
  <c r="E295" i="2" a="1"/>
  <c r="E295" i="2" s="1"/>
  <c r="D295" i="2" a="1"/>
  <c r="D295" i="2"/>
  <c r="C295" i="2" a="1"/>
  <c r="C295" i="2"/>
  <c r="B295" i="2" a="1"/>
  <c r="B295" i="2" s="1"/>
  <c r="Y294" i="2" a="1"/>
  <c r="Y294" i="2"/>
  <c r="S294" i="2"/>
  <c r="R294" i="2" a="1"/>
  <c r="R294" i="2" s="1"/>
  <c r="P294" i="2" a="1"/>
  <c r="P294" i="2"/>
  <c r="N294" i="2" a="1"/>
  <c r="N294" i="2" s="1"/>
  <c r="M294" i="2" a="1"/>
  <c r="M294" i="2" s="1"/>
  <c r="O294" i="2" s="1"/>
  <c r="L294" i="2" a="1"/>
  <c r="L294" i="2" s="1"/>
  <c r="K294" i="2" a="1"/>
  <c r="K294" i="2" s="1"/>
  <c r="H294" i="2" a="1"/>
  <c r="H294" i="2" s="1"/>
  <c r="E294" i="2" a="1"/>
  <c r="E294" i="2"/>
  <c r="D294" i="2" a="1"/>
  <c r="D294" i="2" s="1"/>
  <c r="C294" i="2" a="1"/>
  <c r="C294" i="2" s="1"/>
  <c r="B294" i="2" a="1"/>
  <c r="B294" i="2"/>
  <c r="Y293" i="2" a="1"/>
  <c r="Y293" i="2" s="1"/>
  <c r="S293" i="2"/>
  <c r="R293" i="2" a="1"/>
  <c r="R293" i="2"/>
  <c r="Q293" i="2" a="1"/>
  <c r="Q293" i="2" s="1"/>
  <c r="P293" i="2" a="1"/>
  <c r="P293" i="2" s="1"/>
  <c r="N293" i="2" a="1"/>
  <c r="N293" i="2" s="1"/>
  <c r="M293" i="2" a="1"/>
  <c r="M293" i="2"/>
  <c r="O293" i="2" s="1"/>
  <c r="L293" i="2" a="1"/>
  <c r="L293" i="2" s="1"/>
  <c r="E293" i="2" a="1"/>
  <c r="E293" i="2" s="1"/>
  <c r="D293" i="2" a="1"/>
  <c r="D293" i="2" s="1"/>
  <c r="C293" i="2" a="1"/>
  <c r="C293" i="2"/>
  <c r="B293" i="2" a="1"/>
  <c r="B293" i="2" s="1"/>
  <c r="Y292" i="2" a="1"/>
  <c r="Y292" i="2"/>
  <c r="S292" i="2"/>
  <c r="R292" i="2" a="1"/>
  <c r="R292" i="2" s="1"/>
  <c r="Q292" i="2" a="1"/>
  <c r="Q292" i="2" s="1"/>
  <c r="P292" i="2" a="1"/>
  <c r="P292" i="2"/>
  <c r="M292" i="2" a="1"/>
  <c r="M292" i="2" s="1"/>
  <c r="O292" i="2" s="1"/>
  <c r="L292" i="2" a="1"/>
  <c r="L292" i="2" s="1"/>
  <c r="K292" i="2" a="1"/>
  <c r="K292" i="2" s="1"/>
  <c r="H292" i="2" a="1"/>
  <c r="H292" i="2" s="1"/>
  <c r="E292" i="2" a="1"/>
  <c r="E292" i="2" s="1"/>
  <c r="D292" i="2" a="1"/>
  <c r="D292" i="2" s="1"/>
  <c r="C292" i="2" a="1"/>
  <c r="C292" i="2" s="1"/>
  <c r="B292" i="2" a="1"/>
  <c r="B292" i="2"/>
  <c r="Y291" i="2" a="1"/>
  <c r="Y291" i="2"/>
  <c r="S291" i="2"/>
  <c r="R291" i="2" a="1"/>
  <c r="R291" i="2"/>
  <c r="P291" i="2" a="1"/>
  <c r="P291" i="2" s="1"/>
  <c r="N291" i="2" a="1"/>
  <c r="N291" i="2" s="1"/>
  <c r="M291" i="2" a="1"/>
  <c r="M291" i="2"/>
  <c r="O291" i="2" s="1"/>
  <c r="L291" i="2" a="1"/>
  <c r="L291" i="2" s="1"/>
  <c r="K291" i="2" a="1"/>
  <c r="K291" i="2" s="1"/>
  <c r="H291" i="2" a="1"/>
  <c r="H291" i="2" s="1"/>
  <c r="E291" i="2" a="1"/>
  <c r="E291" i="2" s="1"/>
  <c r="D291" i="2" a="1"/>
  <c r="D291" i="2" s="1"/>
  <c r="C291" i="2" a="1"/>
  <c r="C291" i="2"/>
  <c r="B291" i="2" a="1"/>
  <c r="B291" i="2" s="1"/>
  <c r="Y290" i="2" a="1"/>
  <c r="Y290" i="2" s="1"/>
  <c r="S290" i="2"/>
  <c r="Q290" i="2" a="1"/>
  <c r="Q290" i="2"/>
  <c r="P290" i="2" a="1"/>
  <c r="P290" i="2"/>
  <c r="N290" i="2" a="1"/>
  <c r="N290" i="2"/>
  <c r="M290" i="2" a="1"/>
  <c r="M290" i="2" s="1"/>
  <c r="O290" i="2" s="1"/>
  <c r="L290" i="2" a="1"/>
  <c r="L290" i="2" s="1"/>
  <c r="E290" i="2" a="1"/>
  <c r="E290" i="2" s="1"/>
  <c r="D290" i="2" a="1"/>
  <c r="D290" i="2" s="1"/>
  <c r="C290" i="2" a="1"/>
  <c r="C290" i="2" s="1"/>
  <c r="B290" i="2" a="1"/>
  <c r="B290" i="2" s="1"/>
  <c r="Y289" i="2" a="1"/>
  <c r="Y289" i="2"/>
  <c r="S289" i="2"/>
  <c r="R289" i="2" a="1"/>
  <c r="R289" i="2"/>
  <c r="Q289" i="2" a="1"/>
  <c r="Q289" i="2"/>
  <c r="P289" i="2" a="1"/>
  <c r="P289" i="2" s="1"/>
  <c r="M289" i="2" a="1"/>
  <c r="M289" i="2"/>
  <c r="O289" i="2" s="1"/>
  <c r="L289" i="2" a="1"/>
  <c r="L289" i="2"/>
  <c r="E289" i="2" a="1"/>
  <c r="E289" i="2" s="1"/>
  <c r="D289" i="2" a="1"/>
  <c r="D289" i="2" s="1"/>
  <c r="C289" i="2" a="1"/>
  <c r="C289" i="2" s="1"/>
  <c r="B289" i="2" a="1"/>
  <c r="B289" i="2" s="1"/>
  <c r="Y288" i="2" a="1"/>
  <c r="Y288" i="2" s="1"/>
  <c r="S288" i="2"/>
  <c r="R288" i="2" a="1"/>
  <c r="R288" i="2" s="1"/>
  <c r="Q288" i="2" a="1"/>
  <c r="Q288" i="2" s="1"/>
  <c r="P288" i="2" a="1"/>
  <c r="P288" i="2"/>
  <c r="N288" i="2" a="1"/>
  <c r="N288" i="2"/>
  <c r="M288" i="2" a="1"/>
  <c r="M288" i="2" s="1"/>
  <c r="O288" i="2" s="1"/>
  <c r="L288" i="2" a="1"/>
  <c r="L288" i="2" s="1"/>
  <c r="E288" i="2" a="1"/>
  <c r="E288" i="2" s="1"/>
  <c r="D288" i="2" a="1"/>
  <c r="D288" i="2" s="1"/>
  <c r="C288" i="2" a="1"/>
  <c r="C288" i="2" s="1"/>
  <c r="B288" i="2" a="1"/>
  <c r="B288" i="2" s="1"/>
  <c r="Y287" i="2" a="1"/>
  <c r="Y287" i="2"/>
  <c r="S287" i="2"/>
  <c r="Q287" i="2" a="1"/>
  <c r="Q287" i="2" s="1"/>
  <c r="P287" i="2" a="1"/>
  <c r="P287" i="2" s="1"/>
  <c r="N287" i="2" a="1"/>
  <c r="N287" i="2" s="1"/>
  <c r="M287" i="2" a="1"/>
  <c r="M287" i="2" s="1"/>
  <c r="O287" i="2" s="1"/>
  <c r="L287" i="2" a="1"/>
  <c r="L287" i="2"/>
  <c r="K287" i="2" a="1"/>
  <c r="K287" i="2" s="1"/>
  <c r="H287" i="2" a="1"/>
  <c r="H287" i="2" s="1"/>
  <c r="E287" i="2" a="1"/>
  <c r="E287" i="2"/>
  <c r="D287" i="2" a="1"/>
  <c r="D287" i="2" s="1"/>
  <c r="C287" i="2" a="1"/>
  <c r="C287" i="2" s="1"/>
  <c r="B287" i="2" a="1"/>
  <c r="B287" i="2" s="1"/>
  <c r="Y286" i="2" a="1"/>
  <c r="Y286" i="2" s="1"/>
  <c r="S286" i="2"/>
  <c r="R286" i="2" a="1"/>
  <c r="R286" i="2" s="1"/>
  <c r="Q286" i="2" a="1"/>
  <c r="Q286" i="2" s="1"/>
  <c r="P286" i="2" a="1"/>
  <c r="P286" i="2"/>
  <c r="N286" i="2" a="1"/>
  <c r="N286" i="2" s="1"/>
  <c r="M286" i="2" a="1"/>
  <c r="M286" i="2" s="1"/>
  <c r="O286" i="2" s="1"/>
  <c r="L286" i="2" a="1"/>
  <c r="L286" i="2" s="1"/>
  <c r="K286" i="2" a="1"/>
  <c r="K286" i="2"/>
  <c r="H286" i="2" a="1"/>
  <c r="H286" i="2"/>
  <c r="E286" i="2" a="1"/>
  <c r="E286" i="2" s="1"/>
  <c r="D286" i="2" a="1"/>
  <c r="D286" i="2" s="1"/>
  <c r="C286" i="2" a="1"/>
  <c r="C286" i="2" s="1"/>
  <c r="B286" i="2" a="1"/>
  <c r="B286" i="2" s="1"/>
  <c r="Y285" i="2" a="1"/>
  <c r="Y285" i="2" s="1"/>
  <c r="S285" i="2"/>
  <c r="R285" i="2" a="1"/>
  <c r="R285" i="2"/>
  <c r="Q285" i="2" a="1"/>
  <c r="Q285" i="2" s="1"/>
  <c r="P285" i="2" a="1"/>
  <c r="P285" i="2"/>
  <c r="N285" i="2" a="1"/>
  <c r="N285" i="2" s="1"/>
  <c r="M285" i="2" a="1"/>
  <c r="M285" i="2" s="1"/>
  <c r="O285" i="2" s="1"/>
  <c r="L285" i="2" a="1"/>
  <c r="L285" i="2"/>
  <c r="K285" i="2" a="1"/>
  <c r="K285" i="2"/>
  <c r="H285" i="2" a="1"/>
  <c r="H285" i="2" s="1"/>
  <c r="E285" i="2" a="1"/>
  <c r="E285" i="2"/>
  <c r="D285" i="2" a="1"/>
  <c r="D285" i="2" s="1"/>
  <c r="C285" i="2" a="1"/>
  <c r="C285" i="2" s="1"/>
  <c r="B285" i="2" a="1"/>
  <c r="B285" i="2" s="1"/>
  <c r="Y284" i="2" a="1"/>
  <c r="Y284" i="2" s="1"/>
  <c r="S284" i="2"/>
  <c r="Q284" i="2" a="1"/>
  <c r="Q284" i="2" s="1"/>
  <c r="P284" i="2" a="1"/>
  <c r="P284" i="2"/>
  <c r="N284" i="2" a="1"/>
  <c r="N284" i="2" s="1"/>
  <c r="M284" i="2" a="1"/>
  <c r="M284" i="2"/>
  <c r="O284" i="2" s="1"/>
  <c r="L284" i="2" a="1"/>
  <c r="L284" i="2" s="1"/>
  <c r="K284" i="2" a="1"/>
  <c r="K284" i="2" s="1"/>
  <c r="H284" i="2" a="1"/>
  <c r="H284" i="2"/>
  <c r="E284" i="2" a="1"/>
  <c r="E284" i="2" s="1"/>
  <c r="D284" i="2" a="1"/>
  <c r="D284" i="2" s="1"/>
  <c r="C284" i="2" a="1"/>
  <c r="C284" i="2"/>
  <c r="B284" i="2" a="1"/>
  <c r="B284" i="2" s="1"/>
  <c r="Y283" i="2" a="1"/>
  <c r="Y283" i="2" s="1"/>
  <c r="S283" i="2"/>
  <c r="R283" i="2" a="1"/>
  <c r="R283" i="2"/>
  <c r="Q283" i="2" a="1"/>
  <c r="Q283" i="2" s="1"/>
  <c r="P283" i="2" a="1"/>
  <c r="P283" i="2"/>
  <c r="N283" i="2" a="1"/>
  <c r="N283" i="2" s="1"/>
  <c r="L283" i="2" a="1"/>
  <c r="L283" i="2" s="1"/>
  <c r="K283" i="2" a="1"/>
  <c r="K283" i="2"/>
  <c r="H283" i="2" a="1"/>
  <c r="H283" i="2" s="1"/>
  <c r="E283" i="2" a="1"/>
  <c r="E283" i="2" s="1"/>
  <c r="D283" i="2" a="1"/>
  <c r="D283" i="2"/>
  <c r="C283" i="2" a="1"/>
  <c r="C283" i="2" s="1"/>
  <c r="B283" i="2" a="1"/>
  <c r="B283" i="2" s="1"/>
  <c r="Y282" i="2" a="1"/>
  <c r="Y282" i="2" s="1"/>
  <c r="S282" i="2"/>
  <c r="R282" i="2" a="1"/>
  <c r="R282" i="2" s="1"/>
  <c r="Q282" i="2" a="1"/>
  <c r="Q282" i="2" s="1"/>
  <c r="P282" i="2" a="1"/>
  <c r="P282" i="2"/>
  <c r="N282" i="2" a="1"/>
  <c r="N282" i="2" s="1"/>
  <c r="M282" i="2" a="1"/>
  <c r="M282" i="2" s="1"/>
  <c r="O282" i="2" s="1"/>
  <c r="L282" i="2" a="1"/>
  <c r="L282" i="2" s="1"/>
  <c r="E282" i="2"/>
  <c r="D282" i="2" a="1"/>
  <c r="D282" i="2" s="1"/>
  <c r="C282" i="2" a="1"/>
  <c r="C282" i="2"/>
  <c r="B282" i="2" a="1"/>
  <c r="B282" i="2" s="1"/>
  <c r="Y281" i="2" a="1"/>
  <c r="Y281" i="2" s="1"/>
  <c r="S281" i="2"/>
  <c r="Q281" i="2" a="1"/>
  <c r="Q281" i="2" s="1"/>
  <c r="P281" i="2" a="1"/>
  <c r="P281" i="2"/>
  <c r="N281" i="2" a="1"/>
  <c r="N281" i="2" s="1"/>
  <c r="M281" i="2" a="1"/>
  <c r="M281" i="2" s="1"/>
  <c r="O281" i="2" s="1"/>
  <c r="L281" i="2" a="1"/>
  <c r="L281" i="2" s="1"/>
  <c r="K281" i="2" a="1"/>
  <c r="K281" i="2"/>
  <c r="H281" i="2" a="1"/>
  <c r="H281" i="2" s="1"/>
  <c r="E281" i="2" a="1"/>
  <c r="E281" i="2" s="1"/>
  <c r="D281" i="2" a="1"/>
  <c r="D281" i="2"/>
  <c r="C281" i="2" a="1"/>
  <c r="C281" i="2" s="1"/>
  <c r="B281" i="2" a="1"/>
  <c r="B281" i="2" s="1"/>
  <c r="Y280" i="2" a="1"/>
  <c r="Y280" i="2"/>
  <c r="S280" i="2"/>
  <c r="R280" i="2" a="1"/>
  <c r="R280" i="2"/>
  <c r="Q280" i="2" a="1"/>
  <c r="Q280" i="2" s="1"/>
  <c r="P280" i="2" a="1"/>
  <c r="P280" i="2"/>
  <c r="M280" i="2" a="1"/>
  <c r="M280" i="2" s="1"/>
  <c r="O280" i="2" s="1"/>
  <c r="L280" i="2" a="1"/>
  <c r="L280" i="2" s="1"/>
  <c r="E280" i="2" a="1"/>
  <c r="E280" i="2" s="1"/>
  <c r="D280" i="2" a="1"/>
  <c r="D280" i="2" s="1"/>
  <c r="C280" i="2" a="1"/>
  <c r="C280" i="2"/>
  <c r="B280" i="2" a="1"/>
  <c r="B280" i="2"/>
  <c r="Y279" i="2" a="1"/>
  <c r="Y279" i="2" s="1"/>
  <c r="S279" i="2"/>
  <c r="R279" i="2" a="1"/>
  <c r="R279" i="2"/>
  <c r="P279" i="2" a="1"/>
  <c r="P279" i="2" s="1"/>
  <c r="N279" i="2" a="1"/>
  <c r="N279" i="2" s="1"/>
  <c r="M279" i="2" a="1"/>
  <c r="M279" i="2" s="1"/>
  <c r="O279" i="2" s="1"/>
  <c r="L279" i="2" a="1"/>
  <c r="L279" i="2" s="1"/>
  <c r="K279" i="2" a="1"/>
  <c r="K279" i="2" s="1"/>
  <c r="H279" i="2" a="1"/>
  <c r="H279" i="2" s="1"/>
  <c r="E279" i="2" a="1"/>
  <c r="E279" i="2" s="1"/>
  <c r="D279" i="2" a="1"/>
  <c r="D279" i="2"/>
  <c r="C279" i="2" a="1"/>
  <c r="C279" i="2"/>
  <c r="B279" i="2" a="1"/>
  <c r="B279" i="2" s="1"/>
  <c r="Y278" i="2" a="1"/>
  <c r="Y278" i="2"/>
  <c r="S278" i="2"/>
  <c r="Q278" i="2" a="1"/>
  <c r="Q278" i="2" s="1"/>
  <c r="P278" i="2" a="1"/>
  <c r="P278" i="2"/>
  <c r="N278" i="2" a="1"/>
  <c r="N278" i="2" s="1"/>
  <c r="M278" i="2" a="1"/>
  <c r="M278" i="2" s="1"/>
  <c r="O278" i="2" s="1"/>
  <c r="L278" i="2" a="1"/>
  <c r="L278" i="2" s="1"/>
  <c r="K278" i="2" a="1"/>
  <c r="K278" i="2" s="1"/>
  <c r="H278" i="2" a="1"/>
  <c r="H278" i="2" s="1"/>
  <c r="E278" i="2" a="1"/>
  <c r="E278" i="2"/>
  <c r="D278" i="2" a="1"/>
  <c r="D278" i="2" s="1"/>
  <c r="C278" i="2" a="1"/>
  <c r="C278" i="2" s="1"/>
  <c r="B278" i="2" a="1"/>
  <c r="B278" i="2"/>
  <c r="Y277" i="2" a="1"/>
  <c r="Y277" i="2" s="1"/>
  <c r="S277" i="2"/>
  <c r="R277" i="2" a="1"/>
  <c r="R277" i="2"/>
  <c r="Q277" i="2" a="1"/>
  <c r="Q277" i="2" s="1"/>
  <c r="P277" i="2" a="1"/>
  <c r="P277" i="2" s="1"/>
  <c r="N277" i="2" a="1"/>
  <c r="N277" i="2" s="1"/>
  <c r="L277" i="2" a="1"/>
  <c r="L277" i="2" s="1"/>
  <c r="K277" i="2" a="1"/>
  <c r="K277" i="2" s="1"/>
  <c r="H277" i="2" a="1"/>
  <c r="H277" i="2" s="1"/>
  <c r="E277" i="2" a="1"/>
  <c r="E277" i="2" s="1"/>
  <c r="D277" i="2" a="1"/>
  <c r="D277" i="2" s="1"/>
  <c r="C277" i="2" a="1"/>
  <c r="C277" i="2"/>
  <c r="B277" i="2" a="1"/>
  <c r="B277" i="2" s="1"/>
  <c r="Y276" i="2" a="1"/>
  <c r="Y276" i="2"/>
  <c r="S276" i="2"/>
  <c r="R276" i="2" a="1"/>
  <c r="R276" i="2" s="1"/>
  <c r="Q276" i="2" a="1"/>
  <c r="Q276" i="2" s="1"/>
  <c r="P276" i="2" a="1"/>
  <c r="P276" i="2"/>
  <c r="N276" i="2" a="1"/>
  <c r="N276" i="2" s="1"/>
  <c r="M276" i="2" a="1"/>
  <c r="M276" i="2" s="1"/>
  <c r="O276" i="2" s="1"/>
  <c r="L276" i="2" a="1"/>
  <c r="L276" i="2" s="1"/>
  <c r="K276" i="2" a="1"/>
  <c r="K276" i="2" s="1"/>
  <c r="H276" i="2" a="1"/>
  <c r="H276" i="2" s="1"/>
  <c r="E276" i="2" a="1"/>
  <c r="E276" i="2" s="1"/>
  <c r="D276" i="2" a="1"/>
  <c r="D276" i="2" s="1"/>
  <c r="C276" i="2" a="1"/>
  <c r="C276" i="2" s="1"/>
  <c r="B276" i="2" a="1"/>
  <c r="B276" i="2"/>
  <c r="Y275" i="2" a="1"/>
  <c r="Y275" i="2"/>
  <c r="S275" i="2"/>
  <c r="R275" i="2" a="1"/>
  <c r="R275" i="2"/>
  <c r="Q275" i="2" a="1"/>
  <c r="Q275" i="2" s="1"/>
  <c r="P275" i="2" a="1"/>
  <c r="P275" i="2" s="1"/>
  <c r="N275" i="2" a="1"/>
  <c r="N275" i="2" s="1"/>
  <c r="M275" i="2" a="1"/>
  <c r="M275" i="2" s="1"/>
  <c r="O275" i="2" s="1"/>
  <c r="L275" i="2" a="1"/>
  <c r="L275" i="2" s="1"/>
  <c r="K275" i="2" a="1"/>
  <c r="K275" i="2" s="1"/>
  <c r="H275" i="2" a="1"/>
  <c r="H275" i="2" s="1"/>
  <c r="E275" i="2" a="1"/>
  <c r="E275" i="2" s="1"/>
  <c r="D275" i="2" a="1"/>
  <c r="D275" i="2" s="1"/>
  <c r="C275" i="2" a="1"/>
  <c r="C275" i="2"/>
  <c r="B275" i="2" a="1"/>
  <c r="B275" i="2" s="1"/>
  <c r="Y274" i="2" a="1"/>
  <c r="Y274" i="2" s="1"/>
  <c r="S274" i="2"/>
  <c r="R274" i="2" a="1"/>
  <c r="R274" i="2" s="1"/>
  <c r="Q274" i="2" a="1"/>
  <c r="Q274" i="2" s="1"/>
  <c r="P274" i="2" a="1"/>
  <c r="P274" i="2"/>
  <c r="N274" i="2" a="1"/>
  <c r="N274" i="2" s="1"/>
  <c r="M274" i="2" a="1"/>
  <c r="M274" i="2" s="1"/>
  <c r="O274" i="2" s="1"/>
  <c r="L274" i="2" a="1"/>
  <c r="L274" i="2" s="1"/>
  <c r="E274" i="2" a="1"/>
  <c r="E274" i="2" s="1"/>
  <c r="D274" i="2" a="1"/>
  <c r="D274" i="2" s="1"/>
  <c r="C274" i="2" a="1"/>
  <c r="C274" i="2" s="1"/>
  <c r="B274" i="2" a="1"/>
  <c r="B274" i="2" s="1"/>
  <c r="Y273" i="2" a="1"/>
  <c r="Y273" i="2"/>
  <c r="S273" i="2"/>
  <c r="R273" i="2" a="1"/>
  <c r="R273" i="2"/>
  <c r="Q273" i="2" a="1"/>
  <c r="Q273" i="2" s="1"/>
  <c r="P273" i="2" a="1"/>
  <c r="P273" i="2" s="1"/>
  <c r="N273" i="2" a="1"/>
  <c r="N273" i="2" s="1"/>
  <c r="M273" i="2" a="1"/>
  <c r="M273" i="2" s="1"/>
  <c r="O273" i="2" s="1"/>
  <c r="L273" i="2" a="1"/>
  <c r="L273" i="2"/>
  <c r="K273" i="2" a="1"/>
  <c r="K273" i="2" s="1"/>
  <c r="H273" i="2" a="1"/>
  <c r="H273" i="2" s="1"/>
  <c r="E273" i="2" a="1"/>
  <c r="E273" i="2" s="1"/>
  <c r="D273" i="2" a="1"/>
  <c r="D273" i="2" s="1"/>
  <c r="C273" i="2" a="1"/>
  <c r="C273" i="2" s="1"/>
  <c r="B273" i="2" a="1"/>
  <c r="B273" i="2" s="1"/>
  <c r="Y272" i="2" a="1"/>
  <c r="Y272" i="2" s="1"/>
  <c r="S272" i="2"/>
  <c r="R272" i="2" a="1"/>
  <c r="R272" i="2" s="1"/>
  <c r="P272" i="2" a="1"/>
  <c r="P272" i="2"/>
  <c r="N272" i="2" a="1"/>
  <c r="N272" i="2"/>
  <c r="M272" i="2" a="1"/>
  <c r="M272" i="2" s="1"/>
  <c r="O272" i="2" s="1"/>
  <c r="L272" i="2" a="1"/>
  <c r="L272" i="2" s="1"/>
  <c r="K272" i="2" a="1"/>
  <c r="K272" i="2"/>
  <c r="H272" i="2" a="1"/>
  <c r="H272" i="2" s="1"/>
  <c r="E272" i="2" a="1"/>
  <c r="E272" i="2" s="1"/>
  <c r="D272" i="2" a="1"/>
  <c r="D272" i="2" s="1"/>
  <c r="C272" i="2" a="1"/>
  <c r="C272" i="2" s="1"/>
  <c r="B272" i="2" a="1"/>
  <c r="B272" i="2" s="1"/>
  <c r="Y271" i="2" a="1"/>
  <c r="Y271" i="2"/>
  <c r="S271" i="2"/>
  <c r="R271" i="2" a="1"/>
  <c r="R271" i="2"/>
  <c r="Q271" i="2" a="1"/>
  <c r="Q271" i="2"/>
  <c r="P271" i="2" a="1"/>
  <c r="P271" i="2" s="1"/>
  <c r="M271" i="2" a="1"/>
  <c r="M271" i="2" s="1"/>
  <c r="O271" i="2" s="1"/>
  <c r="L271" i="2" a="1"/>
  <c r="L271" i="2"/>
  <c r="E271" i="2" a="1"/>
  <c r="E271" i="2" s="1"/>
  <c r="D271" i="2" a="1"/>
  <c r="D271" i="2" s="1"/>
  <c r="C271" i="2" a="1"/>
  <c r="C271" i="2" s="1"/>
  <c r="B271" i="2" a="1"/>
  <c r="B271" i="2" s="1"/>
  <c r="Y270" i="2" a="1"/>
  <c r="Y270" i="2" s="1"/>
  <c r="S270" i="2"/>
  <c r="R270" i="2" a="1"/>
  <c r="R270" i="2" s="1"/>
  <c r="Q270" i="2" a="1"/>
  <c r="Q270" i="2" s="1"/>
  <c r="P270" i="2" a="1"/>
  <c r="P270" i="2"/>
  <c r="N270" i="2" a="1"/>
  <c r="N270" i="2" s="1"/>
  <c r="M270" i="2" a="1"/>
  <c r="M270" i="2" s="1"/>
  <c r="O270" i="2" s="1"/>
  <c r="L270" i="2" a="1"/>
  <c r="L270" i="2" s="1"/>
  <c r="E270" i="2" a="1"/>
  <c r="E270" i="2" s="1"/>
  <c r="D270" i="2" a="1"/>
  <c r="D270" i="2" s="1"/>
  <c r="C270" i="2" a="1"/>
  <c r="C270" i="2" s="1"/>
  <c r="B270" i="2" a="1"/>
  <c r="B270" i="2" s="1"/>
  <c r="Y269" i="2" a="1"/>
  <c r="Y269" i="2" s="1"/>
  <c r="S269" i="2"/>
  <c r="R269" i="2" a="1"/>
  <c r="R269" i="2" s="1"/>
  <c r="Q269" i="2" a="1"/>
  <c r="Q269" i="2" s="1"/>
  <c r="P269" i="2" a="1"/>
  <c r="P269" i="2"/>
  <c r="N269" i="2" a="1"/>
  <c r="N269" i="2" s="1"/>
  <c r="M269" i="2" a="1"/>
  <c r="M269" i="2" s="1"/>
  <c r="O269" i="2" s="1"/>
  <c r="L269" i="2" a="1"/>
  <c r="L269" i="2"/>
  <c r="K269" i="2" a="1"/>
  <c r="K269" i="2"/>
  <c r="H269" i="2" a="1"/>
  <c r="H269" i="2" s="1"/>
  <c r="E269" i="2" a="1"/>
  <c r="E269" i="2" s="1"/>
  <c r="D269" i="2" a="1"/>
  <c r="D269" i="2" s="1"/>
  <c r="C269" i="2" a="1"/>
  <c r="C269" i="2" s="1"/>
  <c r="B269" i="2" a="1"/>
  <c r="B269" i="2" s="1"/>
  <c r="Y268" i="2" a="1"/>
  <c r="Y268" i="2" s="1"/>
  <c r="S268" i="2"/>
  <c r="R268" i="2" a="1"/>
  <c r="R268" i="2" s="1"/>
  <c r="Q268" i="2" a="1"/>
  <c r="Q268" i="2" s="1"/>
  <c r="P268" i="2" a="1"/>
  <c r="P268" i="2"/>
  <c r="N268" i="2" a="1"/>
  <c r="N268" i="2" s="1"/>
  <c r="L268" i="2" a="1"/>
  <c r="L268" i="2" s="1"/>
  <c r="E268" i="2" a="1"/>
  <c r="E268" i="2" s="1"/>
  <c r="D268" i="2" a="1"/>
  <c r="D268" i="2" s="1"/>
  <c r="C268" i="2" a="1"/>
  <c r="C268" i="2"/>
  <c r="B268" i="2" a="1"/>
  <c r="B268" i="2" s="1"/>
  <c r="Y267" i="2" a="1"/>
  <c r="Y267" i="2" s="1"/>
  <c r="S267" i="2"/>
  <c r="R267" i="2" a="1"/>
  <c r="R267" i="2" s="1"/>
  <c r="Q267" i="2" a="1"/>
  <c r="Q267" i="2" s="1"/>
  <c r="P267" i="2" a="1"/>
  <c r="P267" i="2"/>
  <c r="N267" i="2" a="1"/>
  <c r="N267" i="2" s="1"/>
  <c r="M267" i="2" a="1"/>
  <c r="M267" i="2" s="1"/>
  <c r="O267" i="2" s="1"/>
  <c r="L267" i="2" a="1"/>
  <c r="L267" i="2" s="1"/>
  <c r="K267" i="2" a="1"/>
  <c r="K267" i="2"/>
  <c r="H267" i="2" a="1"/>
  <c r="H267" i="2" s="1"/>
  <c r="E267" i="2" a="1"/>
  <c r="E267" i="2"/>
  <c r="D267" i="2" a="1"/>
  <c r="D267" i="2"/>
  <c r="C267" i="2" a="1"/>
  <c r="C267" i="2" s="1"/>
  <c r="B267" i="2" a="1"/>
  <c r="B267" i="2" s="1"/>
  <c r="Y266" i="2" a="1"/>
  <c r="Y266" i="2" s="1"/>
  <c r="S266" i="2"/>
  <c r="Q266" i="2" a="1"/>
  <c r="Q266" i="2" s="1"/>
  <c r="P266" i="2" a="1"/>
  <c r="P266" i="2"/>
  <c r="N266" i="2" a="1"/>
  <c r="N266" i="2" s="1"/>
  <c r="M266" i="2" a="1"/>
  <c r="M266" i="2" s="1"/>
  <c r="O266" i="2" s="1"/>
  <c r="L266" i="2" a="1"/>
  <c r="L266" i="2" s="1"/>
  <c r="E266" i="2" a="1"/>
  <c r="E266" i="2" s="1"/>
  <c r="D266" i="2" a="1"/>
  <c r="D266" i="2" s="1"/>
  <c r="C266" i="2" a="1"/>
  <c r="C266" i="2"/>
  <c r="B266" i="2" a="1"/>
  <c r="B266" i="2" s="1"/>
  <c r="Y265" i="2" a="1"/>
  <c r="Y265" i="2" s="1"/>
  <c r="S265" i="2"/>
  <c r="R265" i="2" a="1"/>
  <c r="R265" i="2" s="1"/>
  <c r="Q265" i="2" a="1"/>
  <c r="Q265" i="2" s="1"/>
  <c r="P265" i="2" a="1"/>
  <c r="P265" i="2"/>
  <c r="N265" i="2" a="1"/>
  <c r="N265" i="2" s="1"/>
  <c r="M265" i="2" a="1"/>
  <c r="M265" i="2" s="1"/>
  <c r="O265" i="2" s="1"/>
  <c r="L265" i="2" a="1"/>
  <c r="L265" i="2" s="1"/>
  <c r="K265" i="2" a="1"/>
  <c r="K265" i="2"/>
  <c r="H265" i="2" a="1"/>
  <c r="H265" i="2" s="1"/>
  <c r="E265" i="2" a="1"/>
  <c r="E265" i="2" s="1"/>
  <c r="D265" i="2" a="1"/>
  <c r="D265" i="2"/>
  <c r="C265" i="2" a="1"/>
  <c r="C265" i="2" s="1"/>
  <c r="B265" i="2" a="1"/>
  <c r="B265" i="2" s="1"/>
  <c r="Y264" i="2" a="1"/>
  <c r="Y264" i="2"/>
  <c r="S264" i="2"/>
  <c r="R264" i="2" a="1"/>
  <c r="R264" i="2" s="1"/>
  <c r="Q264" i="2" a="1"/>
  <c r="Q264" i="2" s="1"/>
  <c r="P264" i="2" a="1"/>
  <c r="P264" i="2"/>
  <c r="N264" i="2" a="1"/>
  <c r="N264" i="2" s="1"/>
  <c r="M264" i="2" a="1"/>
  <c r="M264" i="2" s="1"/>
  <c r="O264" i="2" s="1"/>
  <c r="L264" i="2" a="1"/>
  <c r="L264" i="2" s="1"/>
  <c r="E264" i="2" a="1"/>
  <c r="E264" i="2"/>
  <c r="D264" i="2" a="1"/>
  <c r="D264" i="2" s="1"/>
  <c r="C264" i="2" a="1"/>
  <c r="C264" i="2"/>
  <c r="B264" i="2" a="1"/>
  <c r="B264" i="2"/>
  <c r="Y263" i="2" a="1"/>
  <c r="Y263" i="2" s="1"/>
  <c r="S263" i="2"/>
  <c r="R263" i="2" a="1"/>
  <c r="R263" i="2"/>
  <c r="Q263" i="2" a="1"/>
  <c r="Q263" i="2" s="1"/>
  <c r="P263" i="2" a="1"/>
  <c r="P263" i="2" s="1"/>
  <c r="N263" i="2" a="1"/>
  <c r="N263" i="2" s="1"/>
  <c r="M263" i="2" a="1"/>
  <c r="M263" i="2" s="1"/>
  <c r="O263" i="2" s="1"/>
  <c r="L263" i="2" a="1"/>
  <c r="L263" i="2" s="1"/>
  <c r="K263" i="2" a="1"/>
  <c r="K263" i="2" s="1"/>
  <c r="H263" i="2" a="1"/>
  <c r="H263" i="2" s="1"/>
  <c r="E263" i="2" a="1"/>
  <c r="E263" i="2" s="1"/>
  <c r="D263" i="2" a="1"/>
  <c r="D263" i="2"/>
  <c r="C263" i="2" a="1"/>
  <c r="C263" i="2"/>
  <c r="B263" i="2" a="1"/>
  <c r="B263" i="2" s="1"/>
  <c r="Y262" i="2" a="1"/>
  <c r="Y262" i="2"/>
  <c r="S262" i="2"/>
  <c r="R262" i="2" a="1"/>
  <c r="R262" i="2" s="1"/>
  <c r="Q262" i="2" a="1"/>
  <c r="Q262" i="2" s="1"/>
  <c r="P262" i="2" a="1"/>
  <c r="P262" i="2"/>
  <c r="O262" i="2"/>
  <c r="N262" i="2" a="1"/>
  <c r="N262" i="2" s="1"/>
  <c r="M262" i="2" a="1"/>
  <c r="M262" i="2" s="1"/>
  <c r="L262" i="2" a="1"/>
  <c r="L262" i="2" s="1"/>
  <c r="E262" i="2" a="1"/>
  <c r="E262" i="2"/>
  <c r="D262" i="2" a="1"/>
  <c r="D262" i="2" s="1"/>
  <c r="C262" i="2" a="1"/>
  <c r="C262" i="2" s="1"/>
  <c r="B262" i="2" a="1"/>
  <c r="B262" i="2"/>
  <c r="Y261" i="2" a="1"/>
  <c r="Y261" i="2" s="1"/>
  <c r="S261" i="2"/>
  <c r="R261" i="2" a="1"/>
  <c r="R261" i="2"/>
  <c r="Q261" i="2" a="1"/>
  <c r="Q261" i="2" s="1"/>
  <c r="P261" i="2" a="1"/>
  <c r="P261" i="2" s="1"/>
  <c r="N261" i="2" a="1"/>
  <c r="N261" i="2" s="1"/>
  <c r="M261" i="2" a="1"/>
  <c r="M261" i="2"/>
  <c r="O261" i="2" s="1"/>
  <c r="L261" i="2" a="1"/>
  <c r="L261" i="2" s="1"/>
  <c r="E261" i="2" a="1"/>
  <c r="E261" i="2" s="1"/>
  <c r="D261" i="2" a="1"/>
  <c r="D261" i="2" s="1"/>
  <c r="C261" i="2" a="1"/>
  <c r="C261" i="2"/>
  <c r="B261" i="2" a="1"/>
  <c r="B261" i="2" s="1"/>
  <c r="Y260" i="2" a="1"/>
  <c r="Y260" i="2"/>
  <c r="S260" i="2"/>
  <c r="R260" i="2" a="1"/>
  <c r="R260" i="2" s="1"/>
  <c r="Q260" i="2" a="1"/>
  <c r="Q260" i="2" s="1"/>
  <c r="P260" i="2" a="1"/>
  <c r="P260" i="2"/>
  <c r="O260" i="2"/>
  <c r="N260" i="2" a="1"/>
  <c r="N260" i="2"/>
  <c r="M260" i="2" a="1"/>
  <c r="M260" i="2" s="1"/>
  <c r="L260" i="2" a="1"/>
  <c r="L260" i="2" s="1"/>
  <c r="K260" i="2" a="1"/>
  <c r="K260" i="2" s="1"/>
  <c r="H260" i="2" a="1"/>
  <c r="H260" i="2" s="1"/>
  <c r="E260" i="2" a="1"/>
  <c r="E260" i="2" s="1"/>
  <c r="D260" i="2" a="1"/>
  <c r="D260" i="2" s="1"/>
  <c r="C260" i="2" a="1"/>
  <c r="C260" i="2" s="1"/>
  <c r="B260" i="2" a="1"/>
  <c r="B260" i="2"/>
  <c r="Y259" i="2" a="1"/>
  <c r="Y259" i="2"/>
  <c r="S259" i="2"/>
  <c r="R259" i="2" a="1"/>
  <c r="R259" i="2"/>
  <c r="Q259" i="2" a="1"/>
  <c r="Q259" i="2" s="1"/>
  <c r="P259" i="2" a="1"/>
  <c r="P259" i="2" s="1"/>
  <c r="N259" i="2" a="1"/>
  <c r="N259" i="2" s="1"/>
  <c r="M259" i="2" a="1"/>
  <c r="M259" i="2" s="1"/>
  <c r="O259" i="2" s="1"/>
  <c r="L259" i="2" a="1"/>
  <c r="L259" i="2" s="1"/>
  <c r="K259" i="2" a="1"/>
  <c r="K259" i="2" s="1"/>
  <c r="H259" i="2" a="1"/>
  <c r="H259" i="2" s="1"/>
  <c r="E259" i="2" a="1"/>
  <c r="E259" i="2" s="1"/>
  <c r="D259" i="2" a="1"/>
  <c r="D259" i="2" s="1"/>
  <c r="C259" i="2" a="1"/>
  <c r="C259" i="2"/>
  <c r="B259" i="2" a="1"/>
  <c r="B259" i="2" s="1"/>
  <c r="Y258" i="2" a="1"/>
  <c r="Y258" i="2" s="1"/>
  <c r="S258" i="2"/>
  <c r="R258" i="2" a="1"/>
  <c r="R258" i="2" s="1"/>
  <c r="Q258" i="2" a="1"/>
  <c r="Q258" i="2"/>
  <c r="P258" i="2" a="1"/>
  <c r="P258" i="2"/>
  <c r="N258" i="2" a="1"/>
  <c r="N258" i="2" s="1"/>
  <c r="M258" i="2" a="1"/>
  <c r="M258" i="2" s="1"/>
  <c r="O258" i="2" s="1"/>
  <c r="L258" i="2" a="1"/>
  <c r="L258" i="2" s="1"/>
  <c r="E258" i="2" a="1"/>
  <c r="E258" i="2" s="1"/>
  <c r="D258" i="2" a="1"/>
  <c r="D258" i="2" s="1"/>
  <c r="C258" i="2" a="1"/>
  <c r="C258" i="2" s="1"/>
  <c r="B258" i="2" a="1"/>
  <c r="B258" i="2" s="1"/>
  <c r="Y257" i="2" a="1"/>
  <c r="Y257" i="2"/>
  <c r="S257" i="2"/>
  <c r="R257" i="2" a="1"/>
  <c r="R257" i="2" s="1"/>
  <c r="Q257" i="2" a="1"/>
  <c r="Q257" i="2" s="1"/>
  <c r="P257" i="2" a="1"/>
  <c r="P257" i="2" s="1"/>
  <c r="N257" i="2" a="1"/>
  <c r="N257" i="2" s="1"/>
  <c r="M257" i="2" a="1"/>
  <c r="M257" i="2"/>
  <c r="O257" i="2" s="1"/>
  <c r="L257" i="2" a="1"/>
  <c r="L257" i="2"/>
  <c r="E257" i="2" a="1"/>
  <c r="E257" i="2" s="1"/>
  <c r="D257" i="2" a="1"/>
  <c r="D257" i="2" s="1"/>
  <c r="C257" i="2" a="1"/>
  <c r="C257" i="2" s="1"/>
  <c r="B257" i="2" a="1"/>
  <c r="B257" i="2" s="1"/>
  <c r="Y256" i="2" a="1"/>
  <c r="Y256" i="2" s="1"/>
  <c r="S256" i="2"/>
  <c r="R256" i="2" a="1"/>
  <c r="R256" i="2" s="1"/>
  <c r="Q256" i="2" a="1"/>
  <c r="Q256" i="2" s="1"/>
  <c r="P256" i="2" a="1"/>
  <c r="P256" i="2"/>
  <c r="N256" i="2" a="1"/>
  <c r="N256" i="2"/>
  <c r="M256" i="2" a="1"/>
  <c r="M256" i="2" s="1"/>
  <c r="O256" i="2" s="1"/>
  <c r="L256" i="2" a="1"/>
  <c r="L256" i="2" s="1"/>
  <c r="K256" i="2" a="1"/>
  <c r="K256" i="2"/>
  <c r="H256" i="2" a="1"/>
  <c r="H256" i="2" s="1"/>
  <c r="E256" i="2" a="1"/>
  <c r="E256" i="2" s="1"/>
  <c r="D256" i="2" a="1"/>
  <c r="D256" i="2" s="1"/>
  <c r="C256" i="2" a="1"/>
  <c r="C256" i="2" s="1"/>
  <c r="B256" i="2" a="1"/>
  <c r="B256" i="2" s="1"/>
  <c r="Y255" i="2" a="1"/>
  <c r="Y255" i="2"/>
  <c r="S255" i="2"/>
  <c r="R255" i="2" a="1"/>
  <c r="R255" i="2"/>
  <c r="Q255" i="2" a="1"/>
  <c r="Q255" i="2"/>
  <c r="P255" i="2" a="1"/>
  <c r="P255" i="2" s="1"/>
  <c r="N255" i="2" a="1"/>
  <c r="N255" i="2" s="1"/>
  <c r="M255" i="2" a="1"/>
  <c r="M255" i="2" s="1"/>
  <c r="O255" i="2" s="1"/>
  <c r="L255" i="2" a="1"/>
  <c r="L255" i="2"/>
  <c r="K255" i="2" a="1"/>
  <c r="K255" i="2" s="1"/>
  <c r="H255" i="2" a="1"/>
  <c r="H255" i="2" s="1"/>
  <c r="E255" i="2" a="1"/>
  <c r="E255" i="2" s="1"/>
  <c r="D255" i="2" a="1"/>
  <c r="D255" i="2" s="1"/>
  <c r="C255" i="2" a="1"/>
  <c r="C255" i="2" s="1"/>
  <c r="B255" i="2" a="1"/>
  <c r="B255" i="2" s="1"/>
  <c r="Y254" i="2" a="1"/>
  <c r="Y254" i="2" s="1"/>
  <c r="S254" i="2"/>
  <c r="R254" i="2" a="1"/>
  <c r="R254" i="2" s="1"/>
  <c r="Q254" i="2" a="1"/>
  <c r="Q254" i="2" s="1"/>
  <c r="P254" i="2" a="1"/>
  <c r="P254" i="2"/>
  <c r="N254" i="2" a="1"/>
  <c r="N254" i="2" s="1"/>
  <c r="M254" i="2" a="1"/>
  <c r="M254" i="2"/>
  <c r="O254" i="2" s="1"/>
  <c r="L254" i="2" a="1"/>
  <c r="L254" i="2" s="1"/>
  <c r="E254" i="2" a="1"/>
  <c r="E254" i="2" s="1"/>
  <c r="D254" i="2" a="1"/>
  <c r="D254" i="2" s="1"/>
  <c r="C254" i="2" a="1"/>
  <c r="C254" i="2" s="1"/>
  <c r="B254" i="2" a="1"/>
  <c r="B254" i="2" s="1"/>
  <c r="Y253" i="2" a="1"/>
  <c r="Y253" i="2" s="1"/>
  <c r="S253" i="2"/>
  <c r="R253" i="2" a="1"/>
  <c r="R253" i="2"/>
  <c r="Q253" i="2" a="1"/>
  <c r="Q253" i="2" s="1"/>
  <c r="P253" i="2" a="1"/>
  <c r="P253" i="2"/>
  <c r="N253" i="2" a="1"/>
  <c r="N253" i="2" s="1"/>
  <c r="M253" i="2" a="1"/>
  <c r="M253" i="2" s="1"/>
  <c r="O253" i="2" s="1"/>
  <c r="L253" i="2" a="1"/>
  <c r="L253" i="2"/>
  <c r="K253" i="2" a="1"/>
  <c r="K253" i="2"/>
  <c r="H253" i="2" a="1"/>
  <c r="H253" i="2" s="1"/>
  <c r="E253" i="2" a="1"/>
  <c r="E253" i="2" s="1"/>
  <c r="D253" i="2" a="1"/>
  <c r="D253" i="2" s="1"/>
  <c r="C253" i="2" a="1"/>
  <c r="C253" i="2" s="1"/>
  <c r="B253" i="2" a="1"/>
  <c r="B253" i="2" s="1"/>
  <c r="Y252" i="2" a="1"/>
  <c r="Y252" i="2" s="1"/>
  <c r="S252" i="2"/>
  <c r="R252" i="2" a="1"/>
  <c r="R252" i="2" s="1"/>
  <c r="Q252" i="2" a="1"/>
  <c r="Q252" i="2" s="1"/>
  <c r="P252" i="2" a="1"/>
  <c r="P252" i="2"/>
  <c r="N252" i="2" a="1"/>
  <c r="N252" i="2" s="1"/>
  <c r="M252" i="2" a="1"/>
  <c r="M252" i="2" s="1"/>
  <c r="O252" i="2" s="1"/>
  <c r="L252" i="2" a="1"/>
  <c r="L252" i="2" s="1"/>
  <c r="E252" i="2" a="1"/>
  <c r="E252" i="2" s="1"/>
  <c r="D252" i="2" a="1"/>
  <c r="D252" i="2" s="1"/>
  <c r="C252" i="2" a="1"/>
  <c r="C252" i="2"/>
  <c r="B252" i="2" a="1"/>
  <c r="B252" i="2" s="1"/>
  <c r="Y251" i="2" a="1"/>
  <c r="Y251" i="2" s="1"/>
  <c r="S251" i="2"/>
  <c r="R251" i="2" a="1"/>
  <c r="R251" i="2" s="1"/>
  <c r="Q251" i="2" a="1"/>
  <c r="Q251" i="2" s="1"/>
  <c r="P251" i="2" a="1"/>
  <c r="P251" i="2"/>
  <c r="N251" i="2" a="1"/>
  <c r="N251" i="2" s="1"/>
  <c r="M251" i="2" a="1"/>
  <c r="M251" i="2" s="1"/>
  <c r="O251" i="2" s="1"/>
  <c r="L251" i="2" a="1"/>
  <c r="L251" i="2" s="1"/>
  <c r="K251" i="2" a="1"/>
  <c r="K251" i="2"/>
  <c r="H251" i="2" a="1"/>
  <c r="H251" i="2" s="1"/>
  <c r="E251" i="2" a="1"/>
  <c r="E251" i="2" s="1"/>
  <c r="D251" i="2" a="1"/>
  <c r="D251" i="2"/>
  <c r="C251" i="2" a="1"/>
  <c r="C251" i="2" s="1"/>
  <c r="B251" i="2" a="1"/>
  <c r="B251" i="2" s="1"/>
  <c r="Y250" i="2" a="1"/>
  <c r="Y250" i="2" s="1"/>
  <c r="S250" i="2"/>
  <c r="R250" i="2" a="1"/>
  <c r="R250" i="2" s="1"/>
  <c r="Q250" i="2" a="1"/>
  <c r="Q250" i="2" s="1"/>
  <c r="P250" i="2" a="1"/>
  <c r="P250" i="2"/>
  <c r="N250" i="2" a="1"/>
  <c r="N250" i="2" s="1"/>
  <c r="M250" i="2" a="1"/>
  <c r="M250" i="2" s="1"/>
  <c r="O250" i="2" s="1"/>
  <c r="L250" i="2" a="1"/>
  <c r="L250" i="2" s="1"/>
  <c r="E250" i="2" a="1"/>
  <c r="E250" i="2"/>
  <c r="D250" i="2" a="1"/>
  <c r="D250" i="2" s="1"/>
  <c r="C250" i="2" a="1"/>
  <c r="C250" i="2"/>
  <c r="B250" i="2" a="1"/>
  <c r="B250" i="2" s="1"/>
  <c r="Y249" i="2" a="1"/>
  <c r="Y249" i="2" s="1"/>
  <c r="S249" i="2"/>
  <c r="R249" i="2" a="1"/>
  <c r="R249" i="2"/>
  <c r="Q249" i="2" a="1"/>
  <c r="Q249" i="2" s="1"/>
  <c r="P249" i="2" a="1"/>
  <c r="P249" i="2"/>
  <c r="N249" i="2" a="1"/>
  <c r="N249" i="2" s="1"/>
  <c r="M249" i="2" a="1"/>
  <c r="M249" i="2" s="1"/>
  <c r="O249" i="2" s="1"/>
  <c r="L249" i="2" a="1"/>
  <c r="L249" i="2" s="1"/>
  <c r="K249" i="2" a="1"/>
  <c r="K249" i="2"/>
  <c r="H249" i="2" a="1"/>
  <c r="H249" i="2" s="1"/>
  <c r="E249" i="2" a="1"/>
  <c r="E249" i="2" s="1"/>
  <c r="D249" i="2" a="1"/>
  <c r="D249" i="2"/>
  <c r="C249" i="2" a="1"/>
  <c r="C249" i="2" s="1"/>
  <c r="B249" i="2" a="1"/>
  <c r="B249" i="2" s="1"/>
  <c r="Y248" i="2" a="1"/>
  <c r="Y248" i="2"/>
  <c r="S248" i="2"/>
  <c r="R248" i="2" a="1"/>
  <c r="R248" i="2" s="1"/>
  <c r="Q248" i="2" a="1"/>
  <c r="Q248" i="2" s="1"/>
  <c r="P248" i="2" a="1"/>
  <c r="P248" i="2"/>
  <c r="O248" i="2"/>
  <c r="N248" i="2" a="1"/>
  <c r="N248" i="2" s="1"/>
  <c r="M248" i="2" a="1"/>
  <c r="M248" i="2" s="1"/>
  <c r="L248" i="2" a="1"/>
  <c r="L248" i="2" s="1"/>
  <c r="K248" i="2" a="1"/>
  <c r="K248" i="2" s="1"/>
  <c r="H248" i="2" a="1"/>
  <c r="H248" i="2" s="1"/>
  <c r="E248" i="2" a="1"/>
  <c r="E248" i="2" s="1"/>
  <c r="D248" i="2" a="1"/>
  <c r="D248" i="2" s="1"/>
  <c r="C248" i="2" a="1"/>
  <c r="C248" i="2"/>
  <c r="B248" i="2" a="1"/>
  <c r="B248" i="2"/>
  <c r="Y247" i="2" a="1"/>
  <c r="Y247" i="2" s="1"/>
  <c r="S247" i="2"/>
  <c r="R247" i="2" a="1"/>
  <c r="R247" i="2"/>
  <c r="Q247" i="2" a="1"/>
  <c r="Q247" i="2" s="1"/>
  <c r="P247" i="2" a="1"/>
  <c r="P247" i="2" s="1"/>
  <c r="N247" i="2" a="1"/>
  <c r="N247" i="2" s="1"/>
  <c r="M247" i="2" a="1"/>
  <c r="M247" i="2" s="1"/>
  <c r="O247" i="2" s="1"/>
  <c r="L247" i="2" a="1"/>
  <c r="L247" i="2" s="1"/>
  <c r="E247" i="2" a="1"/>
  <c r="E247" i="2" s="1"/>
  <c r="D247" i="2" a="1"/>
  <c r="D247" i="2"/>
  <c r="C247" i="2" a="1"/>
  <c r="C247" i="2"/>
  <c r="B247" i="2" a="1"/>
  <c r="B247" i="2" s="1"/>
  <c r="Y246" i="2" a="1"/>
  <c r="Y246" i="2"/>
  <c r="S246" i="2"/>
  <c r="R246" i="2" a="1"/>
  <c r="R246" i="2" s="1"/>
  <c r="Q246" i="2" a="1"/>
  <c r="Q246" i="2" s="1"/>
  <c r="P246" i="2" a="1"/>
  <c r="P246" i="2"/>
  <c r="N246" i="2" a="1"/>
  <c r="N246" i="2" s="1"/>
  <c r="M246" i="2" a="1"/>
  <c r="M246" i="2" s="1"/>
  <c r="O246" i="2" s="1"/>
  <c r="L246" i="2" a="1"/>
  <c r="L246" i="2" s="1"/>
  <c r="E246" i="2" a="1"/>
  <c r="E246" i="2"/>
  <c r="D246" i="2" a="1"/>
  <c r="D246" i="2" s="1"/>
  <c r="C246" i="2" a="1"/>
  <c r="C246" i="2" s="1"/>
  <c r="B246" i="2" a="1"/>
  <c r="B246" i="2"/>
  <c r="Y245" i="2" a="1"/>
  <c r="Y245" i="2" s="1"/>
  <c r="S245" i="2"/>
  <c r="R245" i="2" a="1"/>
  <c r="R245" i="2"/>
  <c r="Q245" i="2" a="1"/>
  <c r="Q245" i="2" s="1"/>
  <c r="P245" i="2" a="1"/>
  <c r="P245" i="2" s="1"/>
  <c r="N245" i="2" a="1"/>
  <c r="N245" i="2" s="1"/>
  <c r="M245" i="2" a="1"/>
  <c r="M245" i="2" s="1"/>
  <c r="O245" i="2" s="1"/>
  <c r="L245" i="2" a="1"/>
  <c r="L245" i="2" s="1"/>
  <c r="K245" i="2" a="1"/>
  <c r="K245" i="2" s="1"/>
  <c r="H245" i="2" a="1"/>
  <c r="H245" i="2" s="1"/>
  <c r="E245" i="2" a="1"/>
  <c r="E245" i="2" s="1"/>
  <c r="D245" i="2" a="1"/>
  <c r="D245" i="2" s="1"/>
  <c r="C245" i="2" a="1"/>
  <c r="C245" i="2"/>
  <c r="B245" i="2" a="1"/>
  <c r="B245" i="2" s="1"/>
  <c r="Y244" i="2" a="1"/>
  <c r="Y244" i="2"/>
  <c r="S244" i="2"/>
  <c r="R244" i="2" a="1"/>
  <c r="R244" i="2" s="1"/>
  <c r="Q244" i="2" a="1"/>
  <c r="Q244" i="2"/>
  <c r="P244" i="2" a="1"/>
  <c r="P244" i="2"/>
  <c r="N244" i="2" a="1"/>
  <c r="N244" i="2"/>
  <c r="M244" i="2" a="1"/>
  <c r="M244" i="2" s="1"/>
  <c r="O244" i="2" s="1"/>
  <c r="L244" i="2" a="1"/>
  <c r="L244" i="2" s="1"/>
  <c r="K244" i="2" a="1"/>
  <c r="K244" i="2" s="1"/>
  <c r="H244" i="2" a="1"/>
  <c r="H244" i="2" s="1"/>
  <c r="E244" i="2" a="1"/>
  <c r="E244" i="2" s="1"/>
  <c r="D244" i="2" a="1"/>
  <c r="D244" i="2" s="1"/>
  <c r="C244" i="2" a="1"/>
  <c r="C244" i="2" s="1"/>
  <c r="B244" i="2" a="1"/>
  <c r="B244" i="2"/>
  <c r="Y243" i="2" a="1"/>
  <c r="Y243" i="2"/>
  <c r="S243" i="2"/>
  <c r="R243" i="2" a="1"/>
  <c r="R243" i="2" s="1"/>
  <c r="Q243" i="2" a="1"/>
  <c r="Q243" i="2" s="1"/>
  <c r="P243" i="2" a="1"/>
  <c r="P243" i="2" s="1"/>
  <c r="N243" i="2" a="1"/>
  <c r="N243" i="2" s="1"/>
  <c r="M243" i="2" a="1"/>
  <c r="M243" i="2"/>
  <c r="O243" i="2" s="1"/>
  <c r="L243" i="2" a="1"/>
  <c r="L243" i="2" s="1"/>
  <c r="K243" i="2" a="1"/>
  <c r="K243" i="2" s="1"/>
  <c r="H243" i="2" a="1"/>
  <c r="H243" i="2" s="1"/>
  <c r="E243" i="2" a="1"/>
  <c r="E243" i="2" s="1"/>
  <c r="D243" i="2" a="1"/>
  <c r="D243" i="2" s="1"/>
  <c r="C243" i="2" a="1"/>
  <c r="C243" i="2"/>
  <c r="B243" i="2" a="1"/>
  <c r="B243" i="2" s="1"/>
  <c r="Y242" i="2" a="1"/>
  <c r="Y242" i="2" s="1"/>
  <c r="S242" i="2"/>
  <c r="R242" i="2" a="1"/>
  <c r="R242" i="2" s="1"/>
  <c r="Q242" i="2" a="1"/>
  <c r="Q242" i="2"/>
  <c r="P242" i="2" a="1"/>
  <c r="P242" i="2"/>
  <c r="N242" i="2" a="1"/>
  <c r="N242" i="2"/>
  <c r="M242" i="2" a="1"/>
  <c r="M242" i="2" s="1"/>
  <c r="O242" i="2" s="1"/>
  <c r="L242" i="2" a="1"/>
  <c r="L242" i="2" s="1"/>
  <c r="K242" i="2" a="1"/>
  <c r="K242" i="2"/>
  <c r="H242" i="2" a="1"/>
  <c r="H242" i="2" s="1"/>
  <c r="E242" i="2" a="1"/>
  <c r="E242" i="2" s="1"/>
  <c r="D242" i="2" a="1"/>
  <c r="D242" i="2" s="1"/>
  <c r="C242" i="2" a="1"/>
  <c r="C242" i="2" s="1"/>
  <c r="B242" i="2" a="1"/>
  <c r="B242" i="2" s="1"/>
  <c r="Y241" i="2" a="1"/>
  <c r="Y241" i="2"/>
  <c r="S241" i="2"/>
  <c r="R241" i="2" a="1"/>
  <c r="R241" i="2" s="1"/>
  <c r="Q241" i="2" a="1"/>
  <c r="Q241" i="2"/>
  <c r="P241" i="2" a="1"/>
  <c r="P241" i="2" s="1"/>
  <c r="N241" i="2" a="1"/>
  <c r="N241" i="2" s="1"/>
  <c r="M241" i="2" a="1"/>
  <c r="M241" i="2"/>
  <c r="O241" i="2" s="1"/>
  <c r="L241" i="2" a="1"/>
  <c r="L241" i="2"/>
  <c r="E241" i="2" a="1"/>
  <c r="E241" i="2" s="1"/>
  <c r="D241" i="2" a="1"/>
  <c r="D241" i="2" s="1"/>
  <c r="C241" i="2" a="1"/>
  <c r="C241" i="2" s="1"/>
  <c r="B241" i="2" a="1"/>
  <c r="B241" i="2" s="1"/>
  <c r="Y240" i="2" a="1"/>
  <c r="Y240" i="2" s="1"/>
  <c r="S240" i="2"/>
  <c r="R240" i="2" a="1"/>
  <c r="R240" i="2" s="1"/>
  <c r="Q240" i="2" a="1"/>
  <c r="Q240" i="2" s="1"/>
  <c r="P240" i="2" a="1"/>
  <c r="P240" i="2"/>
  <c r="N240" i="2" a="1"/>
  <c r="N240" i="2"/>
  <c r="M240" i="2" a="1"/>
  <c r="M240" i="2" s="1"/>
  <c r="O240" i="2" s="1"/>
  <c r="L240" i="2" a="1"/>
  <c r="L240" i="2" s="1"/>
  <c r="K240" i="2" a="1"/>
  <c r="K240" i="2"/>
  <c r="H240" i="2" a="1"/>
  <c r="H240" i="2" s="1"/>
  <c r="E240" i="2" a="1"/>
  <c r="E240" i="2" s="1"/>
  <c r="D240" i="2" a="1"/>
  <c r="D240" i="2" s="1"/>
  <c r="C240" i="2" a="1"/>
  <c r="C240" i="2" s="1"/>
  <c r="B240" i="2" a="1"/>
  <c r="B240" i="2" s="1"/>
  <c r="Y239" i="2" a="1"/>
  <c r="Y239" i="2"/>
  <c r="S239" i="2"/>
  <c r="R239" i="2" a="1"/>
  <c r="R239" i="2"/>
  <c r="Q239" i="2" a="1"/>
  <c r="Q239" i="2" s="1"/>
  <c r="P239" i="2" a="1"/>
  <c r="P239" i="2" s="1"/>
  <c r="N239" i="2" a="1"/>
  <c r="N239" i="2" s="1"/>
  <c r="M239" i="2" a="1"/>
  <c r="M239" i="2" s="1"/>
  <c r="O239" i="2" s="1"/>
  <c r="L239" i="2" a="1"/>
  <c r="L239" i="2"/>
  <c r="E239" i="2" a="1"/>
  <c r="E239" i="2" s="1"/>
  <c r="D239" i="2" a="1"/>
  <c r="D239" i="2" s="1"/>
  <c r="C239" i="2" a="1"/>
  <c r="C239" i="2" s="1"/>
  <c r="B239" i="2" a="1"/>
  <c r="B239" i="2" s="1"/>
  <c r="Y238" i="2" a="1"/>
  <c r="Y238" i="2" s="1"/>
  <c r="S238" i="2"/>
  <c r="R238" i="2" a="1"/>
  <c r="R238" i="2" s="1"/>
  <c r="Q238" i="2" a="1"/>
  <c r="Q238" i="2" s="1"/>
  <c r="P238" i="2" a="1"/>
  <c r="P238" i="2"/>
  <c r="N238" i="2" a="1"/>
  <c r="N238" i="2" s="1"/>
  <c r="M238" i="2" a="1"/>
  <c r="M238" i="2" s="1"/>
  <c r="O238" i="2" s="1"/>
  <c r="L238" i="2" a="1"/>
  <c r="L238" i="2" s="1"/>
  <c r="K238" i="2" a="1"/>
  <c r="K238" i="2"/>
  <c r="H238" i="2" a="1"/>
  <c r="H238" i="2"/>
  <c r="E238" i="2" a="1"/>
  <c r="E238" i="2" s="1"/>
  <c r="D238" i="2" a="1"/>
  <c r="D238" i="2" s="1"/>
  <c r="C238" i="2" a="1"/>
  <c r="C238" i="2" s="1"/>
  <c r="B238" i="2" a="1"/>
  <c r="B238" i="2" s="1"/>
  <c r="Y237" i="2" a="1"/>
  <c r="Y237" i="2" s="1"/>
  <c r="S237" i="2"/>
  <c r="R237" i="2" a="1"/>
  <c r="R237" i="2" s="1"/>
  <c r="Q237" i="2" a="1"/>
  <c r="Q237" i="2" s="1"/>
  <c r="P237" i="2" a="1"/>
  <c r="P237" i="2"/>
  <c r="N237" i="2" a="1"/>
  <c r="N237" i="2" s="1"/>
  <c r="M237" i="2" a="1"/>
  <c r="M237" i="2" s="1"/>
  <c r="O237" i="2" s="1"/>
  <c r="L237" i="2" a="1"/>
  <c r="L237" i="2"/>
  <c r="E237" i="2" a="1"/>
  <c r="E237" i="2"/>
  <c r="D237" i="2" a="1"/>
  <c r="D237" i="2" s="1"/>
  <c r="C237" i="2" a="1"/>
  <c r="C237" i="2" s="1"/>
  <c r="B237" i="2" a="1"/>
  <c r="B237" i="2" s="1"/>
  <c r="Y236" i="2" a="1"/>
  <c r="Y236" i="2" s="1"/>
  <c r="S236" i="2"/>
  <c r="R236" i="2" a="1"/>
  <c r="R236" i="2" s="1"/>
  <c r="Q236" i="2" a="1"/>
  <c r="Q236" i="2" s="1"/>
  <c r="P236" i="2" a="1"/>
  <c r="P236" i="2"/>
  <c r="N236" i="2" a="1"/>
  <c r="N236" i="2" s="1"/>
  <c r="M236" i="2" a="1"/>
  <c r="M236" i="2"/>
  <c r="O236" i="2" s="1"/>
  <c r="L236" i="2" a="1"/>
  <c r="L236" i="2" s="1"/>
  <c r="K236" i="2" a="1"/>
  <c r="K236" i="2" s="1"/>
  <c r="H236" i="2" a="1"/>
  <c r="H236" i="2"/>
  <c r="E236" i="2" a="1"/>
  <c r="E236" i="2" s="1"/>
  <c r="D236" i="2" a="1"/>
  <c r="D236" i="2" s="1"/>
  <c r="C236" i="2" a="1"/>
  <c r="C236" i="2"/>
  <c r="B236" i="2" a="1"/>
  <c r="B236" i="2" s="1"/>
  <c r="Y235" i="2" a="1"/>
  <c r="Y235" i="2" s="1"/>
  <c r="S235" i="2"/>
  <c r="R235" i="2" a="1"/>
  <c r="R235" i="2"/>
  <c r="Q235" i="2" a="1"/>
  <c r="Q235" i="2" s="1"/>
  <c r="P235" i="2" a="1"/>
  <c r="P235" i="2"/>
  <c r="N235" i="2" a="1"/>
  <c r="N235" i="2" s="1"/>
  <c r="M235" i="2" a="1"/>
  <c r="M235" i="2" s="1"/>
  <c r="O235" i="2" s="1"/>
  <c r="L235" i="2" a="1"/>
  <c r="L235" i="2" s="1"/>
  <c r="E235" i="2" a="1"/>
  <c r="E235" i="2"/>
  <c r="D235" i="2" a="1"/>
  <c r="D235" i="2"/>
  <c r="C235" i="2" a="1"/>
  <c r="C235" i="2" s="1"/>
  <c r="B235" i="2" a="1"/>
  <c r="B235" i="2" s="1"/>
  <c r="Y234" i="2" a="1"/>
  <c r="Y234" i="2" s="1"/>
  <c r="S234" i="2"/>
  <c r="R234" i="2" a="1"/>
  <c r="R234" i="2"/>
  <c r="Q234" i="2" a="1"/>
  <c r="Q234" i="2" s="1"/>
  <c r="P234" i="2" a="1"/>
  <c r="P234" i="2"/>
  <c r="N234" i="2" a="1"/>
  <c r="N234" i="2" s="1"/>
  <c r="M234" i="2" a="1"/>
  <c r="M234" i="2" s="1"/>
  <c r="O234" i="2" s="1"/>
  <c r="L234" i="2" a="1"/>
  <c r="L234" i="2" s="1"/>
  <c r="K234" i="2" a="1"/>
  <c r="K234" i="2" s="1"/>
  <c r="H234" i="2" a="1"/>
  <c r="H234" i="2"/>
  <c r="E234" i="2" a="1"/>
  <c r="E234" i="2"/>
  <c r="D234" i="2" a="1"/>
  <c r="D234" i="2" s="1"/>
  <c r="C234" i="2" a="1"/>
  <c r="C234" i="2"/>
  <c r="B234" i="2" a="1"/>
  <c r="B234" i="2" s="1"/>
  <c r="Y233" i="2" a="1"/>
  <c r="Y233" i="2" s="1"/>
  <c r="S233" i="2"/>
  <c r="R233" i="2" a="1"/>
  <c r="R233" i="2"/>
  <c r="Q233" i="2" a="1"/>
  <c r="Q233" i="2" s="1"/>
  <c r="P233" i="2" a="1"/>
  <c r="P233" i="2"/>
  <c r="N233" i="2" a="1"/>
  <c r="N233" i="2" s="1"/>
  <c r="M233" i="2" a="1"/>
  <c r="M233" i="2" s="1"/>
  <c r="O233" i="2" s="1"/>
  <c r="L233" i="2" a="1"/>
  <c r="L233" i="2" s="1"/>
  <c r="K233" i="2" a="1"/>
  <c r="K233" i="2"/>
  <c r="H233" i="2" a="1"/>
  <c r="H233" i="2" s="1"/>
  <c r="E233" i="2" a="1"/>
  <c r="E233" i="2" s="1"/>
  <c r="D233" i="2" a="1"/>
  <c r="D233" i="2"/>
  <c r="C233" i="2" a="1"/>
  <c r="C233" i="2" s="1"/>
  <c r="B233" i="2" a="1"/>
  <c r="B233" i="2" s="1"/>
  <c r="Y232" i="2" a="1"/>
  <c r="Y232" i="2"/>
  <c r="S232" i="2"/>
  <c r="R232" i="2" a="1"/>
  <c r="R232" i="2" s="1"/>
  <c r="Q232" i="2" a="1"/>
  <c r="Q232" i="2" s="1"/>
  <c r="P232" i="2" a="1"/>
  <c r="P232" i="2"/>
  <c r="N232" i="2" a="1"/>
  <c r="N232" i="2" s="1"/>
  <c r="M232" i="2" a="1"/>
  <c r="M232" i="2" s="1"/>
  <c r="O232" i="2" s="1"/>
  <c r="L232" i="2" a="1"/>
  <c r="L232" i="2" s="1"/>
  <c r="K232" i="2" a="1"/>
  <c r="K232" i="2" s="1"/>
  <c r="H232" i="2" a="1"/>
  <c r="H232" i="2" s="1"/>
  <c r="E232" i="2" a="1"/>
  <c r="E232" i="2"/>
  <c r="D232" i="2" a="1"/>
  <c r="D232" i="2" s="1"/>
  <c r="C232" i="2" a="1"/>
  <c r="C232" i="2"/>
  <c r="B232" i="2" a="1"/>
  <c r="B232" i="2"/>
  <c r="Y231" i="2" a="1"/>
  <c r="Y231" i="2" s="1"/>
  <c r="S231" i="2"/>
  <c r="R231" i="2" a="1"/>
  <c r="R231" i="2" s="1"/>
  <c r="Q231" i="2" a="1"/>
  <c r="Q231" i="2" s="1"/>
  <c r="P231" i="2" a="1"/>
  <c r="P231" i="2" s="1"/>
  <c r="N231" i="2" a="1"/>
  <c r="N231" i="2" s="1"/>
  <c r="M231" i="2" a="1"/>
  <c r="M231" i="2" s="1"/>
  <c r="O231" i="2" s="1"/>
  <c r="L231" i="2" a="1"/>
  <c r="L231" i="2" s="1"/>
  <c r="E231" i="2" a="1"/>
  <c r="E231" i="2" s="1"/>
  <c r="D231" i="2" a="1"/>
  <c r="D231" i="2"/>
  <c r="C231" i="2" a="1"/>
  <c r="C231" i="2"/>
  <c r="B231" i="2" a="1"/>
  <c r="B231" i="2" s="1"/>
  <c r="Y230" i="2" a="1"/>
  <c r="Y230" i="2"/>
  <c r="S230" i="2"/>
  <c r="R230" i="2" a="1"/>
  <c r="R230" i="2"/>
  <c r="Q230" i="2" a="1"/>
  <c r="Q230" i="2"/>
  <c r="P230" i="2" a="1"/>
  <c r="P230" i="2"/>
  <c r="N230" i="2" a="1"/>
  <c r="N230" i="2" s="1"/>
  <c r="M230" i="2" a="1"/>
  <c r="M230" i="2" s="1"/>
  <c r="O230" i="2" s="1"/>
  <c r="L230" i="2" a="1"/>
  <c r="L230" i="2" s="1"/>
  <c r="E230" i="2" a="1"/>
  <c r="E230" i="2"/>
  <c r="D230" i="2" a="1"/>
  <c r="D230" i="2" s="1"/>
  <c r="C230" i="2" a="1"/>
  <c r="C230" i="2" s="1"/>
  <c r="B230" i="2" a="1"/>
  <c r="B230" i="2"/>
  <c r="Y229" i="2" a="1"/>
  <c r="Y229" i="2" s="1"/>
  <c r="S229" i="2"/>
  <c r="R229" i="2" a="1"/>
  <c r="R229" i="2"/>
  <c r="Q229" i="2" a="1"/>
  <c r="Q229" i="2" s="1"/>
  <c r="P229" i="2" a="1"/>
  <c r="P229" i="2" s="1"/>
  <c r="N229" i="2" a="1"/>
  <c r="N229" i="2" s="1"/>
  <c r="M229" i="2" a="1"/>
  <c r="M229" i="2"/>
  <c r="O229" i="2" s="1"/>
  <c r="L229" i="2" a="1"/>
  <c r="L229" i="2" s="1"/>
  <c r="K229" i="2" a="1"/>
  <c r="K229" i="2" s="1"/>
  <c r="H229" i="2" a="1"/>
  <c r="H229" i="2" s="1"/>
  <c r="E229" i="2" a="1"/>
  <c r="E229" i="2" s="1"/>
  <c r="D229" i="2" a="1"/>
  <c r="D229" i="2" s="1"/>
  <c r="C229" i="2" a="1"/>
  <c r="C229" i="2"/>
  <c r="B229" i="2" a="1"/>
  <c r="B229" i="2" s="1"/>
  <c r="Y228" i="2" a="1"/>
  <c r="Y228" i="2"/>
  <c r="S228" i="2"/>
  <c r="R228" i="2" a="1"/>
  <c r="R228" i="2" s="1"/>
  <c r="Q228" i="2" a="1"/>
  <c r="Q228" i="2" s="1"/>
  <c r="P228" i="2" a="1"/>
  <c r="P228" i="2"/>
  <c r="N228" i="2" a="1"/>
  <c r="N228" i="2"/>
  <c r="M228" i="2" a="1"/>
  <c r="M228" i="2" s="1"/>
  <c r="O228" i="2" s="1"/>
  <c r="L228" i="2" a="1"/>
  <c r="L228" i="2" s="1"/>
  <c r="K228" i="2" a="1"/>
  <c r="K228" i="2" s="1"/>
  <c r="H228" i="2" a="1"/>
  <c r="H228" i="2" s="1"/>
  <c r="E228" i="2" a="1"/>
  <c r="E228" i="2" s="1"/>
  <c r="D228" i="2" a="1"/>
  <c r="D228" i="2" s="1"/>
  <c r="C228" i="2" a="1"/>
  <c r="C228" i="2" s="1"/>
  <c r="B228" i="2" a="1"/>
  <c r="B228" i="2"/>
  <c r="Y227" i="2" a="1"/>
  <c r="Y227" i="2"/>
  <c r="S227" i="2"/>
  <c r="R227" i="2" a="1"/>
  <c r="R227" i="2" s="1"/>
  <c r="Q227" i="2" a="1"/>
  <c r="Q227" i="2" s="1"/>
  <c r="P227" i="2" a="1"/>
  <c r="P227" i="2" s="1"/>
  <c r="O227" i="2"/>
  <c r="N227" i="2" a="1"/>
  <c r="N227" i="2" s="1"/>
  <c r="M227" i="2" a="1"/>
  <c r="M227" i="2" s="1"/>
  <c r="L227" i="2" a="1"/>
  <c r="L227" i="2" s="1"/>
  <c r="K227" i="2" a="1"/>
  <c r="K227" i="2" s="1"/>
  <c r="H227" i="2" a="1"/>
  <c r="H227" i="2" s="1"/>
  <c r="E227" i="2" a="1"/>
  <c r="E227" i="2" s="1"/>
  <c r="D227" i="2" a="1"/>
  <c r="D227" i="2" s="1"/>
  <c r="C227" i="2" a="1"/>
  <c r="C227" i="2"/>
  <c r="B227" i="2" a="1"/>
  <c r="B227" i="2" s="1"/>
  <c r="Y226" i="2" a="1"/>
  <c r="Y226" i="2" s="1"/>
  <c r="S226" i="2"/>
  <c r="R226" i="2" a="1"/>
  <c r="R226" i="2" s="1"/>
  <c r="Q226" i="2" a="1"/>
  <c r="Q226" i="2"/>
  <c r="P226" i="2" a="1"/>
  <c r="P226" i="2"/>
  <c r="N226" i="2" a="1"/>
  <c r="N226" i="2"/>
  <c r="M226" i="2" a="1"/>
  <c r="M226" i="2" s="1"/>
  <c r="O226" i="2" s="1"/>
  <c r="L226" i="2" a="1"/>
  <c r="L226" i="2" s="1"/>
  <c r="E226" i="2" a="1"/>
  <c r="E226" i="2" s="1"/>
  <c r="D226" i="2" a="1"/>
  <c r="D226" i="2" s="1"/>
  <c r="C226" i="2" a="1"/>
  <c r="C226" i="2" s="1"/>
  <c r="B226" i="2" a="1"/>
  <c r="B226" i="2" s="1"/>
  <c r="Y225" i="2" a="1"/>
  <c r="Y225" i="2"/>
  <c r="S225" i="2"/>
  <c r="R225" i="2" a="1"/>
  <c r="R225" i="2" s="1"/>
  <c r="Q225" i="2" a="1"/>
  <c r="Q225" i="2"/>
  <c r="P225" i="2" a="1"/>
  <c r="P225" i="2" s="1"/>
  <c r="N225" i="2" a="1"/>
  <c r="N225" i="2" s="1"/>
  <c r="M225" i="2" a="1"/>
  <c r="M225" i="2"/>
  <c r="O225" i="2" s="1"/>
  <c r="L225" i="2" a="1"/>
  <c r="L225" i="2"/>
  <c r="K225" i="2" a="1"/>
  <c r="K225" i="2" s="1"/>
  <c r="H225" i="2" a="1"/>
  <c r="H225" i="2" s="1"/>
  <c r="E225" i="2" a="1"/>
  <c r="E225" i="2" s="1"/>
  <c r="D225" i="2" a="1"/>
  <c r="D225" i="2" s="1"/>
  <c r="C225" i="2" a="1"/>
  <c r="C225" i="2" s="1"/>
  <c r="B225" i="2" a="1"/>
  <c r="B225" i="2" s="1"/>
  <c r="Y224" i="2" a="1"/>
  <c r="Y224" i="2" s="1"/>
  <c r="S224" i="2"/>
  <c r="R224" i="2" a="1"/>
  <c r="R224" i="2" s="1"/>
  <c r="Q224" i="2" a="1"/>
  <c r="Q224" i="2" s="1"/>
  <c r="P224" i="2" a="1"/>
  <c r="P224" i="2"/>
  <c r="N224" i="2" a="1"/>
  <c r="N224" i="2"/>
  <c r="M224" i="2" a="1"/>
  <c r="M224" i="2" s="1"/>
  <c r="O224" i="2" s="1"/>
  <c r="L224" i="2" a="1"/>
  <c r="L224" i="2" s="1"/>
  <c r="K224" i="2" a="1"/>
  <c r="K224" i="2"/>
  <c r="H224" i="2" a="1"/>
  <c r="H224" i="2" s="1"/>
  <c r="E224" i="2" a="1"/>
  <c r="E224" i="2" s="1"/>
  <c r="D224" i="2" a="1"/>
  <c r="D224" i="2" s="1"/>
  <c r="C224" i="2" a="1"/>
  <c r="C224" i="2" s="1"/>
  <c r="B224" i="2" a="1"/>
  <c r="B224" i="2" s="1"/>
  <c r="Y223" i="2" a="1"/>
  <c r="Y223" i="2"/>
  <c r="S223" i="2"/>
  <c r="R223" i="2" a="1"/>
  <c r="R223" i="2" s="1"/>
  <c r="Q223" i="2" a="1"/>
  <c r="Q223" i="2" s="1"/>
  <c r="P223" i="2" a="1"/>
  <c r="P223" i="2" s="1"/>
  <c r="N223" i="2" a="1"/>
  <c r="N223" i="2" s="1"/>
  <c r="M223" i="2" a="1"/>
  <c r="M223" i="2" s="1"/>
  <c r="O223" i="2" s="1"/>
  <c r="L223" i="2" a="1"/>
  <c r="L223" i="2"/>
  <c r="E223" i="2" a="1"/>
  <c r="E223" i="2" s="1"/>
  <c r="D223" i="2" a="1"/>
  <c r="D223" i="2" s="1"/>
  <c r="C223" i="2" a="1"/>
  <c r="C223" i="2" s="1"/>
  <c r="B223" i="2" a="1"/>
  <c r="B223" i="2" s="1"/>
  <c r="Y222" i="2" a="1"/>
  <c r="Y222" i="2" s="1"/>
  <c r="S222" i="2"/>
  <c r="R222" i="2" a="1"/>
  <c r="R222" i="2" s="1"/>
  <c r="Q222" i="2" a="1"/>
  <c r="Q222" i="2" s="1"/>
  <c r="P222" i="2" a="1"/>
  <c r="P222" i="2"/>
  <c r="N222" i="2" a="1"/>
  <c r="N222" i="2" s="1"/>
  <c r="M222" i="2" a="1"/>
  <c r="M222" i="2" s="1"/>
  <c r="O222" i="2" s="1"/>
  <c r="L222" i="2" a="1"/>
  <c r="L222" i="2" s="1"/>
  <c r="E222" i="2" a="1"/>
  <c r="E222" i="2" s="1"/>
  <c r="D222" i="2" a="1"/>
  <c r="D222" i="2" s="1"/>
  <c r="C222" i="2" a="1"/>
  <c r="C222" i="2" s="1"/>
  <c r="B222" i="2" a="1"/>
  <c r="B222" i="2" s="1"/>
  <c r="Y221" i="2" a="1"/>
  <c r="Y221" i="2" s="1"/>
  <c r="S221" i="2"/>
  <c r="R221" i="2" a="1"/>
  <c r="R221" i="2"/>
  <c r="Q221" i="2" a="1"/>
  <c r="Q221" i="2"/>
  <c r="P221" i="2" a="1"/>
  <c r="P221" i="2"/>
  <c r="N221" i="2" a="1"/>
  <c r="N221" i="2" s="1"/>
  <c r="M221" i="2" a="1"/>
  <c r="M221" i="2" s="1"/>
  <c r="O221" i="2" s="1"/>
  <c r="L221" i="2" a="1"/>
  <c r="L221" i="2"/>
  <c r="K221" i="2" a="1"/>
  <c r="K221" i="2"/>
  <c r="H221" i="2" a="1"/>
  <c r="H221" i="2" s="1"/>
  <c r="E221" i="2" a="1"/>
  <c r="E221" i="2" s="1"/>
  <c r="D221" i="2" a="1"/>
  <c r="D221" i="2" s="1"/>
  <c r="C221" i="2" a="1"/>
  <c r="C221" i="2" s="1"/>
  <c r="B221" i="2" a="1"/>
  <c r="B221" i="2" s="1"/>
  <c r="Y220" i="2" a="1"/>
  <c r="Y220" i="2" s="1"/>
  <c r="S220" i="2"/>
  <c r="R220" i="2" a="1"/>
  <c r="R220" i="2" s="1"/>
  <c r="Q220" i="2" a="1"/>
  <c r="Q220" i="2" s="1"/>
  <c r="P220" i="2" a="1"/>
  <c r="P220" i="2"/>
  <c r="N220" i="2" a="1"/>
  <c r="N220" i="2" s="1"/>
  <c r="M220" i="2" a="1"/>
  <c r="M220" i="2"/>
  <c r="O220" i="2" s="1"/>
  <c r="L220" i="2" a="1"/>
  <c r="L220" i="2" s="1"/>
  <c r="K220" i="2" a="1"/>
  <c r="K220" i="2" s="1"/>
  <c r="H220" i="2" a="1"/>
  <c r="H220" i="2"/>
  <c r="E220" i="2" a="1"/>
  <c r="E220" i="2" s="1"/>
  <c r="D220" i="2" a="1"/>
  <c r="D220" i="2" s="1"/>
  <c r="C220" i="2" a="1"/>
  <c r="C220" i="2"/>
  <c r="B220" i="2" a="1"/>
  <c r="B220" i="2" s="1"/>
  <c r="Y219" i="2" a="1"/>
  <c r="Y219" i="2" s="1"/>
  <c r="S219" i="2"/>
  <c r="R219" i="2" a="1"/>
  <c r="R219" i="2" s="1"/>
  <c r="Q219" i="2" a="1"/>
  <c r="Q219" i="2" s="1"/>
  <c r="P219" i="2" a="1"/>
  <c r="P219" i="2"/>
  <c r="N219" i="2" a="1"/>
  <c r="N219" i="2" s="1"/>
  <c r="M219" i="2" a="1"/>
  <c r="M219" i="2" s="1"/>
  <c r="O219" i="2" s="1"/>
  <c r="L219" i="2" a="1"/>
  <c r="L219" i="2" s="1"/>
  <c r="K219" i="2" a="1"/>
  <c r="K219" i="2"/>
  <c r="H219" i="2" a="1"/>
  <c r="H219" i="2" s="1"/>
  <c r="E219" i="2" a="1"/>
  <c r="E219" i="2" s="1"/>
  <c r="D219" i="2" a="1"/>
  <c r="D219" i="2"/>
  <c r="C219" i="2" a="1"/>
  <c r="C219" i="2" s="1"/>
  <c r="B219" i="2" a="1"/>
  <c r="B219" i="2" s="1"/>
  <c r="Y218" i="2" a="1"/>
  <c r="Y218" i="2" s="1"/>
  <c r="S218" i="2"/>
  <c r="R218" i="2" a="1"/>
  <c r="R218" i="2" s="1"/>
  <c r="Q218" i="2" a="1"/>
  <c r="Q218" i="2" s="1"/>
  <c r="P218" i="2" a="1"/>
  <c r="P218" i="2"/>
  <c r="N218" i="2" a="1"/>
  <c r="N218" i="2" s="1"/>
  <c r="M218" i="2" a="1"/>
  <c r="M218" i="2" s="1"/>
  <c r="O218" i="2" s="1"/>
  <c r="L218" i="2" a="1"/>
  <c r="L218" i="2" s="1"/>
  <c r="K218" i="2" a="1"/>
  <c r="K218" i="2" s="1"/>
  <c r="H218" i="2" a="1"/>
  <c r="H218" i="2"/>
  <c r="E218" i="2" a="1"/>
  <c r="E218" i="2"/>
  <c r="D218" i="2" a="1"/>
  <c r="D218" i="2" s="1"/>
  <c r="C218" i="2" a="1"/>
  <c r="C218" i="2"/>
  <c r="B218" i="2" a="1"/>
  <c r="B218" i="2" s="1"/>
  <c r="Y217" i="2" a="1"/>
  <c r="Y217" i="2" s="1"/>
  <c r="S217" i="2"/>
  <c r="R217" i="2" a="1"/>
  <c r="R217" i="2"/>
  <c r="Q217" i="2" a="1"/>
  <c r="Q217" i="2" s="1"/>
  <c r="P217" i="2" a="1"/>
  <c r="P217" i="2"/>
  <c r="N217" i="2" a="1"/>
  <c r="N217" i="2" s="1"/>
  <c r="M217" i="2" a="1"/>
  <c r="M217" i="2" s="1"/>
  <c r="O217" i="2" s="1"/>
  <c r="L217" i="2" a="1"/>
  <c r="L217" i="2" s="1"/>
  <c r="E217" i="2" a="1"/>
  <c r="E217" i="2" s="1"/>
  <c r="D217" i="2" a="1"/>
  <c r="D217" i="2"/>
  <c r="C217" i="2" a="1"/>
  <c r="C217" i="2" s="1"/>
  <c r="B217" i="2" a="1"/>
  <c r="B217" i="2" s="1"/>
  <c r="Y216" i="2" a="1"/>
  <c r="Y216" i="2"/>
  <c r="S216" i="2"/>
  <c r="R216" i="2" a="1"/>
  <c r="R216" i="2" s="1"/>
  <c r="Q216" i="2" a="1"/>
  <c r="Q216" i="2" s="1"/>
  <c r="P216" i="2" a="1"/>
  <c r="P216" i="2"/>
  <c r="N216" i="2" a="1"/>
  <c r="N216" i="2" s="1"/>
  <c r="M216" i="2" a="1"/>
  <c r="M216" i="2" s="1"/>
  <c r="O216" i="2" s="1"/>
  <c r="L216" i="2" a="1"/>
  <c r="L216" i="2" s="1"/>
  <c r="E216" i="2" a="1"/>
  <c r="E216" i="2" s="1"/>
  <c r="D216" i="2" a="1"/>
  <c r="D216" i="2" s="1"/>
  <c r="C216" i="2" a="1"/>
  <c r="C216" i="2"/>
  <c r="B216" i="2" a="1"/>
  <c r="B216" i="2"/>
  <c r="Y215" i="2" a="1"/>
  <c r="Y215" i="2" s="1"/>
  <c r="S215" i="2"/>
  <c r="R215" i="2" a="1"/>
  <c r="R215" i="2"/>
  <c r="Q215" i="2" a="1"/>
  <c r="Q215" i="2" s="1"/>
  <c r="P215" i="2" a="1"/>
  <c r="P215" i="2" s="1"/>
  <c r="N215" i="2" a="1"/>
  <c r="N215" i="2" s="1"/>
  <c r="M215" i="2" a="1"/>
  <c r="M215" i="2" s="1"/>
  <c r="O215" i="2" s="1"/>
  <c r="L215" i="2" a="1"/>
  <c r="L215" i="2" s="1"/>
  <c r="E215" i="2" a="1"/>
  <c r="E215" i="2" s="1"/>
  <c r="D215" i="2" a="1"/>
  <c r="D215" i="2"/>
  <c r="C215" i="2" a="1"/>
  <c r="C215" i="2"/>
  <c r="B215" i="2" a="1"/>
  <c r="B215" i="2" s="1"/>
  <c r="Y214" i="2" a="1"/>
  <c r="Y214" i="2"/>
  <c r="S214" i="2"/>
  <c r="R214" i="2" a="1"/>
  <c r="R214" i="2" s="1"/>
  <c r="Q214" i="2" a="1"/>
  <c r="Q214" i="2" s="1"/>
  <c r="P214" i="2" a="1"/>
  <c r="P214" i="2"/>
  <c r="N214" i="2" a="1"/>
  <c r="N214" i="2" s="1"/>
  <c r="M214" i="2" a="1"/>
  <c r="M214" i="2" s="1"/>
  <c r="O214" i="2" s="1"/>
  <c r="L214" i="2" a="1"/>
  <c r="L214" i="2" s="1"/>
  <c r="K214" i="2" a="1"/>
  <c r="K214" i="2" s="1"/>
  <c r="H214" i="2" a="1"/>
  <c r="H214" i="2" s="1"/>
  <c r="E214" i="2" a="1"/>
  <c r="E214" i="2" s="1"/>
  <c r="D214" i="2" a="1"/>
  <c r="D214" i="2" s="1"/>
  <c r="C214" i="2" a="1"/>
  <c r="C214" i="2" s="1"/>
  <c r="B214" i="2" a="1"/>
  <c r="B214" i="2"/>
  <c r="Y213" i="2" a="1"/>
  <c r="Y213" i="2" s="1"/>
  <c r="S213" i="2"/>
  <c r="R213" i="2" a="1"/>
  <c r="R213" i="2" s="1"/>
  <c r="Q213" i="2" a="1"/>
  <c r="Q213" i="2" s="1"/>
  <c r="P213" i="2" a="1"/>
  <c r="P213" i="2" s="1"/>
  <c r="N213" i="2" a="1"/>
  <c r="N213" i="2" s="1"/>
  <c r="M213" i="2" a="1"/>
  <c r="M213" i="2" s="1"/>
  <c r="O213" i="2" s="1"/>
  <c r="L213" i="2" a="1"/>
  <c r="L213" i="2" s="1"/>
  <c r="K213" i="2" a="1"/>
  <c r="K213" i="2" s="1"/>
  <c r="H213" i="2" a="1"/>
  <c r="H213" i="2" s="1"/>
  <c r="E213" i="2" a="1"/>
  <c r="E213" i="2" s="1"/>
  <c r="D213" i="2" a="1"/>
  <c r="D213" i="2"/>
  <c r="C213" i="2" a="1"/>
  <c r="C213" i="2"/>
  <c r="B213" i="2" a="1"/>
  <c r="B213" i="2" s="1"/>
  <c r="Y212" i="2" a="1"/>
  <c r="Y212" i="2"/>
  <c r="S212" i="2"/>
  <c r="R212" i="2" a="1"/>
  <c r="R212" i="2"/>
  <c r="Q212" i="2" a="1"/>
  <c r="Q212" i="2" s="1"/>
  <c r="P212" i="2" a="1"/>
  <c r="P212" i="2"/>
  <c r="N212" i="2" a="1"/>
  <c r="N212" i="2"/>
  <c r="M212" i="2" a="1"/>
  <c r="M212" i="2" s="1"/>
  <c r="O212" i="2" s="1"/>
  <c r="L212" i="2" a="1"/>
  <c r="L212" i="2" s="1"/>
  <c r="K212" i="2" a="1"/>
  <c r="K212" i="2" s="1"/>
  <c r="H212" i="2" a="1"/>
  <c r="H212" i="2" s="1"/>
  <c r="E212" i="2" a="1"/>
  <c r="E212" i="2" s="1"/>
  <c r="D212" i="2" a="1"/>
  <c r="D212" i="2" s="1"/>
  <c r="C212" i="2" a="1"/>
  <c r="C212" i="2" s="1"/>
  <c r="B212" i="2" a="1"/>
  <c r="B212" i="2"/>
  <c r="Y211" i="2" a="1"/>
  <c r="Y211" i="2"/>
  <c r="S211" i="2"/>
  <c r="R211" i="2" a="1"/>
  <c r="R211" i="2" s="1"/>
  <c r="Q211" i="2" a="1"/>
  <c r="Q211" i="2" s="1"/>
  <c r="P211" i="2" a="1"/>
  <c r="P211" i="2" s="1"/>
  <c r="N211" i="2" a="1"/>
  <c r="N211" i="2" s="1"/>
  <c r="M211" i="2" a="1"/>
  <c r="M211" i="2" s="1"/>
  <c r="O211" i="2" s="1"/>
  <c r="L211" i="2" a="1"/>
  <c r="L211" i="2" s="1"/>
  <c r="K211" i="2" a="1"/>
  <c r="K211" i="2" s="1"/>
  <c r="H211" i="2" a="1"/>
  <c r="H211" i="2" s="1"/>
  <c r="E211" i="2" a="1"/>
  <c r="E211" i="2" s="1"/>
  <c r="D211" i="2" a="1"/>
  <c r="D211" i="2" s="1"/>
  <c r="C211" i="2" a="1"/>
  <c r="C211" i="2"/>
  <c r="B211" i="2" a="1"/>
  <c r="B211" i="2" s="1"/>
  <c r="Y210" i="2" a="1"/>
  <c r="Y210" i="2"/>
  <c r="S210" i="2"/>
  <c r="R210" i="2" a="1"/>
  <c r="R210" i="2" s="1"/>
  <c r="Q210" i="2" a="1"/>
  <c r="Q210" i="2"/>
  <c r="P210" i="2" a="1"/>
  <c r="P210" i="2"/>
  <c r="N210" i="2" a="1"/>
  <c r="N210" i="2" s="1"/>
  <c r="M210" i="2" a="1"/>
  <c r="M210" i="2" s="1"/>
  <c r="O210" i="2" s="1"/>
  <c r="L210" i="2" a="1"/>
  <c r="L210" i="2" s="1"/>
  <c r="K210" i="2" a="1"/>
  <c r="K210" i="2"/>
  <c r="H210" i="2" a="1"/>
  <c r="H210" i="2" s="1"/>
  <c r="E210" i="2" a="1"/>
  <c r="E210" i="2" s="1"/>
  <c r="D210" i="2" a="1"/>
  <c r="D210" i="2" s="1"/>
  <c r="C210" i="2" a="1"/>
  <c r="C210" i="2" s="1"/>
  <c r="B210" i="2" a="1"/>
  <c r="B210" i="2" s="1"/>
  <c r="Y209" i="2" a="1"/>
  <c r="Y209" i="2"/>
  <c r="S209" i="2"/>
  <c r="R209" i="2" a="1"/>
  <c r="R209" i="2"/>
  <c r="Q209" i="2" a="1"/>
  <c r="Q209" i="2" s="1"/>
  <c r="P209" i="2" a="1"/>
  <c r="P209" i="2" s="1"/>
  <c r="O209" i="2"/>
  <c r="N209" i="2" a="1"/>
  <c r="N209" i="2" s="1"/>
  <c r="M209" i="2" a="1"/>
  <c r="M209" i="2"/>
  <c r="L209" i="2" a="1"/>
  <c r="L209" i="2"/>
  <c r="E209" i="2" a="1"/>
  <c r="E209" i="2" s="1"/>
  <c r="D209" i="2" a="1"/>
  <c r="D209" i="2" s="1"/>
  <c r="C209" i="2" a="1"/>
  <c r="C209" i="2" s="1"/>
  <c r="B209" i="2" a="1"/>
  <c r="B209" i="2" s="1"/>
  <c r="Y208" i="2" a="1"/>
  <c r="Y208" i="2" s="1"/>
  <c r="S208" i="2"/>
  <c r="R208" i="2" a="1"/>
  <c r="R208" i="2" s="1"/>
  <c r="Q208" i="2" a="1"/>
  <c r="Q208" i="2" s="1"/>
  <c r="P208" i="2" a="1"/>
  <c r="P208" i="2"/>
  <c r="N208" i="2" a="1"/>
  <c r="N208" i="2" s="1"/>
  <c r="M208" i="2" a="1"/>
  <c r="M208" i="2"/>
  <c r="O208" i="2" s="1"/>
  <c r="L208" i="2" a="1"/>
  <c r="L208" i="2" s="1"/>
  <c r="E208" i="2" a="1"/>
  <c r="E208" i="2" s="1"/>
  <c r="D208" i="2" a="1"/>
  <c r="D208" i="2" s="1"/>
  <c r="C208" i="2" a="1"/>
  <c r="C208" i="2" s="1"/>
  <c r="B208" i="2" a="1"/>
  <c r="B208" i="2" s="1"/>
  <c r="Y207" i="2" a="1"/>
  <c r="Y207" i="2"/>
  <c r="S207" i="2"/>
  <c r="R207" i="2" a="1"/>
  <c r="R207" i="2" s="1"/>
  <c r="Q207" i="2" a="1"/>
  <c r="Q207" i="2" s="1"/>
  <c r="P207" i="2" a="1"/>
  <c r="P207" i="2" s="1"/>
  <c r="N207" i="2" a="1"/>
  <c r="N207" i="2" s="1"/>
  <c r="M207" i="2" a="1"/>
  <c r="M207" i="2" s="1"/>
  <c r="O207" i="2" s="1"/>
  <c r="L207" i="2" a="1"/>
  <c r="L207" i="2"/>
  <c r="K207" i="2" a="1"/>
  <c r="K207" i="2" s="1"/>
  <c r="H207" i="2" a="1"/>
  <c r="H207" i="2" s="1"/>
  <c r="E207" i="2" a="1"/>
  <c r="E207" i="2" s="1"/>
  <c r="D207" i="2" a="1"/>
  <c r="D207" i="2" s="1"/>
  <c r="C207" i="2" a="1"/>
  <c r="C207" i="2" s="1"/>
  <c r="B207" i="2" a="1"/>
  <c r="B207" i="2" s="1"/>
  <c r="Y206" i="2" a="1"/>
  <c r="Y206" i="2" s="1"/>
  <c r="S206" i="2"/>
  <c r="R206" i="2" a="1"/>
  <c r="R206" i="2" s="1"/>
  <c r="Q206" i="2" a="1"/>
  <c r="Q206" i="2" s="1"/>
  <c r="P206" i="2" a="1"/>
  <c r="P206" i="2"/>
  <c r="N206" i="2" a="1"/>
  <c r="N206" i="2"/>
  <c r="M206" i="2" a="1"/>
  <c r="M206" i="2" s="1"/>
  <c r="O206" i="2" s="1"/>
  <c r="L206" i="2" a="1"/>
  <c r="L206" i="2" s="1"/>
  <c r="E206" i="2" a="1"/>
  <c r="E206" i="2" s="1"/>
  <c r="D206" i="2" a="1"/>
  <c r="D206" i="2" s="1"/>
  <c r="C206" i="2" a="1"/>
  <c r="C206" i="2" s="1"/>
  <c r="B206" i="2" a="1"/>
  <c r="B206" i="2" s="1"/>
  <c r="Y205" i="2" a="1"/>
  <c r="Y205" i="2"/>
  <c r="S205" i="2"/>
  <c r="R205" i="2" a="1"/>
  <c r="R205" i="2" s="1"/>
  <c r="Q205" i="2" a="1"/>
  <c r="Q205" i="2" s="1"/>
  <c r="P205" i="2" a="1"/>
  <c r="P205" i="2"/>
  <c r="O205" i="2"/>
  <c r="N205" i="2" a="1"/>
  <c r="N205" i="2" s="1"/>
  <c r="M205" i="2" a="1"/>
  <c r="M205" i="2" s="1"/>
  <c r="L205" i="2" a="1"/>
  <c r="L205" i="2"/>
  <c r="K205" i="2" a="1"/>
  <c r="K205" i="2"/>
  <c r="H205" i="2" a="1"/>
  <c r="H205" i="2" s="1"/>
  <c r="E205" i="2" a="1"/>
  <c r="E205" i="2" s="1"/>
  <c r="D205" i="2" a="1"/>
  <c r="D205" i="2" s="1"/>
  <c r="C205" i="2" a="1"/>
  <c r="C205" i="2" s="1"/>
  <c r="B205" i="2" a="1"/>
  <c r="B205" i="2" s="1"/>
  <c r="Y204" i="2" a="1"/>
  <c r="Y204" i="2" s="1"/>
  <c r="S204" i="2"/>
  <c r="R204" i="2" a="1"/>
  <c r="R204" i="2" s="1"/>
  <c r="Q204" i="2" a="1"/>
  <c r="Q204" i="2" s="1"/>
  <c r="P204" i="2" a="1"/>
  <c r="P204" i="2"/>
  <c r="N204" i="2" a="1"/>
  <c r="N204" i="2" s="1"/>
  <c r="M204" i="2" a="1"/>
  <c r="M204" i="2" s="1"/>
  <c r="O204" i="2" s="1"/>
  <c r="L204" i="2" a="1"/>
  <c r="L204" i="2" s="1"/>
  <c r="E204" i="2" a="1"/>
  <c r="E204" i="2" s="1"/>
  <c r="D204" i="2" a="1"/>
  <c r="D204" i="2" s="1"/>
  <c r="C204" i="2" a="1"/>
  <c r="C204" i="2"/>
  <c r="B204" i="2" a="1"/>
  <c r="B204" i="2" s="1"/>
  <c r="Y203" i="2" a="1"/>
  <c r="Y203" i="2" s="1"/>
  <c r="S203" i="2"/>
  <c r="R203" i="2" a="1"/>
  <c r="R203" i="2" s="1"/>
  <c r="Q203" i="2" a="1"/>
  <c r="Q203" i="2" s="1"/>
  <c r="P203" i="2" a="1"/>
  <c r="P203" i="2"/>
  <c r="N203" i="2" a="1"/>
  <c r="N203" i="2" s="1"/>
  <c r="M203" i="2" a="1"/>
  <c r="M203" i="2" s="1"/>
  <c r="O203" i="2" s="1"/>
  <c r="L203" i="2" a="1"/>
  <c r="L203" i="2" s="1"/>
  <c r="K203" i="2" a="1"/>
  <c r="K203" i="2"/>
  <c r="H203" i="2" a="1"/>
  <c r="H203" i="2" s="1"/>
  <c r="E203" i="2" a="1"/>
  <c r="E203" i="2" s="1"/>
  <c r="D203" i="2" a="1"/>
  <c r="D203" i="2"/>
  <c r="C203" i="2" a="1"/>
  <c r="C203" i="2" s="1"/>
  <c r="B203" i="2" a="1"/>
  <c r="B203" i="2" s="1"/>
  <c r="Y202" i="2" a="1"/>
  <c r="Y202" i="2" s="1"/>
  <c r="S202" i="2"/>
  <c r="R202" i="2" a="1"/>
  <c r="R202" i="2" s="1"/>
  <c r="Q202" i="2" a="1"/>
  <c r="Q202" i="2" s="1"/>
  <c r="P202" i="2" a="1"/>
  <c r="P202" i="2"/>
  <c r="N202" i="2" a="1"/>
  <c r="N202" i="2" s="1"/>
  <c r="M202" i="2" a="1"/>
  <c r="M202" i="2"/>
  <c r="O202" i="2" s="1"/>
  <c r="L202" i="2" a="1"/>
  <c r="L202" i="2" s="1"/>
  <c r="E202" i="2" a="1"/>
  <c r="E202" i="2" s="1"/>
  <c r="D202" i="2" a="1"/>
  <c r="D202" i="2" s="1"/>
  <c r="C202" i="2" a="1"/>
  <c r="C202" i="2"/>
  <c r="B202" i="2" a="1"/>
  <c r="B202" i="2" s="1"/>
  <c r="Y201" i="2" a="1"/>
  <c r="Y201" i="2" s="1"/>
  <c r="S201" i="2"/>
  <c r="R201" i="2" a="1"/>
  <c r="R201" i="2" s="1"/>
  <c r="Q201" i="2" a="1"/>
  <c r="Q201" i="2" s="1"/>
  <c r="P201" i="2" a="1"/>
  <c r="P201" i="2"/>
  <c r="N201" i="2" a="1"/>
  <c r="N201" i="2" s="1"/>
  <c r="M201" i="2" a="1"/>
  <c r="M201" i="2" s="1"/>
  <c r="O201" i="2" s="1"/>
  <c r="L201" i="2" a="1"/>
  <c r="L201" i="2" s="1"/>
  <c r="E201" i="2" a="1"/>
  <c r="E201" i="2"/>
  <c r="D201" i="2" a="1"/>
  <c r="D201" i="2"/>
  <c r="C201" i="2" a="1"/>
  <c r="C201" i="2" s="1"/>
  <c r="B201" i="2" a="1"/>
  <c r="B201" i="2" s="1"/>
  <c r="Y200" i="2" a="1"/>
  <c r="Y200" i="2"/>
  <c r="S200" i="2"/>
  <c r="R200" i="2" a="1"/>
  <c r="R200" i="2"/>
  <c r="Q200" i="2" a="1"/>
  <c r="Q200" i="2" s="1"/>
  <c r="P200" i="2" a="1"/>
  <c r="P200" i="2"/>
  <c r="N200" i="2" a="1"/>
  <c r="N200" i="2" s="1"/>
  <c r="M200" i="2" a="1"/>
  <c r="M200" i="2" s="1"/>
  <c r="O200" i="2" s="1"/>
  <c r="L200" i="2" a="1"/>
  <c r="L200" i="2" s="1"/>
  <c r="E200" i="2" a="1"/>
  <c r="E200" i="2" s="1"/>
  <c r="D200" i="2" a="1"/>
  <c r="D200" i="2" s="1"/>
  <c r="C200" i="2" a="1"/>
  <c r="C200" i="2"/>
  <c r="B200" i="2" a="1"/>
  <c r="B200" i="2"/>
  <c r="Y199" i="2" a="1"/>
  <c r="Y199" i="2" s="1"/>
  <c r="S199" i="2"/>
  <c r="R199" i="2" a="1"/>
  <c r="R199" i="2" s="1"/>
  <c r="Q199" i="2" a="1"/>
  <c r="Q199" i="2" s="1"/>
  <c r="P199" i="2" a="1"/>
  <c r="P199" i="2"/>
  <c r="N199" i="2" a="1"/>
  <c r="N199" i="2" s="1"/>
  <c r="M199" i="2" a="1"/>
  <c r="M199" i="2" s="1"/>
  <c r="O199" i="2" s="1"/>
  <c r="L199" i="2" a="1"/>
  <c r="L199" i="2" s="1"/>
  <c r="E199" i="2" a="1"/>
  <c r="E199" i="2" s="1"/>
  <c r="D199" i="2" a="1"/>
  <c r="D199" i="2"/>
  <c r="C199" i="2" a="1"/>
  <c r="C199" i="2"/>
  <c r="B199" i="2" a="1"/>
  <c r="B199" i="2" s="1"/>
  <c r="Y198" i="2" a="1"/>
  <c r="Y198" i="2"/>
  <c r="S198" i="2"/>
  <c r="R198" i="2" a="1"/>
  <c r="R198" i="2" s="1"/>
  <c r="Q198" i="2" a="1"/>
  <c r="Q198" i="2"/>
  <c r="P198" i="2" a="1"/>
  <c r="P198" i="2"/>
  <c r="N198" i="2" a="1"/>
  <c r="N198" i="2" s="1"/>
  <c r="M198" i="2" a="1"/>
  <c r="M198" i="2" s="1"/>
  <c r="O198" i="2" s="1"/>
  <c r="L198" i="2" a="1"/>
  <c r="L198" i="2" s="1"/>
  <c r="E198" i="2" a="1"/>
  <c r="E198" i="2"/>
  <c r="D198" i="2" a="1"/>
  <c r="D198" i="2" s="1"/>
  <c r="C198" i="2" a="1"/>
  <c r="C198" i="2"/>
  <c r="B198" i="2" a="1"/>
  <c r="B198" i="2"/>
  <c r="Y197" i="2" a="1"/>
  <c r="Y197" i="2" s="1"/>
  <c r="S197" i="2"/>
  <c r="R197" i="2" a="1"/>
  <c r="R197" i="2"/>
  <c r="Q197" i="2" a="1"/>
  <c r="Q197" i="2" s="1"/>
  <c r="P197" i="2" a="1"/>
  <c r="P197" i="2" s="1"/>
  <c r="N197" i="2" a="1"/>
  <c r="N197" i="2" s="1"/>
  <c r="M197" i="2" a="1"/>
  <c r="M197" i="2" s="1"/>
  <c r="O197" i="2" s="1"/>
  <c r="L197" i="2" a="1"/>
  <c r="L197" i="2" s="1"/>
  <c r="E197" i="2" a="1"/>
  <c r="E197" i="2" s="1"/>
  <c r="D197" i="2" a="1"/>
  <c r="D197" i="2" s="1"/>
  <c r="C197" i="2" a="1"/>
  <c r="C197" i="2"/>
  <c r="B197" i="2" a="1"/>
  <c r="B197" i="2" s="1"/>
  <c r="Y196" i="2" a="1"/>
  <c r="Y196" i="2"/>
  <c r="S196" i="2"/>
  <c r="R196" i="2" a="1"/>
  <c r="R196" i="2" s="1"/>
  <c r="Q196" i="2" a="1"/>
  <c r="Q196" i="2"/>
  <c r="P196" i="2" a="1"/>
  <c r="P196" i="2"/>
  <c r="N196" i="2" a="1"/>
  <c r="N196" i="2"/>
  <c r="M196" i="2" a="1"/>
  <c r="M196" i="2" s="1"/>
  <c r="O196" i="2" s="1"/>
  <c r="L196" i="2" a="1"/>
  <c r="L196" i="2" s="1"/>
  <c r="K196" i="2" a="1"/>
  <c r="K196" i="2" s="1"/>
  <c r="H196" i="2" a="1"/>
  <c r="H196" i="2" s="1"/>
  <c r="E196" i="2" a="1"/>
  <c r="E196" i="2" s="1"/>
  <c r="D196" i="2" a="1"/>
  <c r="D196" i="2" s="1"/>
  <c r="C196" i="2" a="1"/>
  <c r="C196" i="2" s="1"/>
  <c r="B196" i="2" a="1"/>
  <c r="B196" i="2"/>
  <c r="Y195" i="2" a="1"/>
  <c r="Y195" i="2"/>
  <c r="S195" i="2"/>
  <c r="R195" i="2" a="1"/>
  <c r="R195" i="2"/>
  <c r="Q195" i="2" a="1"/>
  <c r="Q195" i="2" s="1"/>
  <c r="P195" i="2" a="1"/>
  <c r="P195" i="2" s="1"/>
  <c r="N195" i="2" a="1"/>
  <c r="N195" i="2" s="1"/>
  <c r="M195" i="2" a="1"/>
  <c r="M195" i="2"/>
  <c r="O195" i="2" s="1"/>
  <c r="L195" i="2" a="1"/>
  <c r="L195" i="2" s="1"/>
  <c r="K195" i="2" a="1"/>
  <c r="K195" i="2" s="1"/>
  <c r="H195" i="2" a="1"/>
  <c r="H195" i="2" s="1"/>
  <c r="E195" i="2" a="1"/>
  <c r="E195" i="2" s="1"/>
  <c r="D195" i="2" a="1"/>
  <c r="D195" i="2" s="1"/>
  <c r="C195" i="2" a="1"/>
  <c r="C195" i="2"/>
  <c r="B195" i="2" a="1"/>
  <c r="B195" i="2" s="1"/>
  <c r="Y194" i="2" a="1"/>
  <c r="Y194" i="2"/>
  <c r="S194" i="2"/>
  <c r="R194" i="2" a="1"/>
  <c r="R194" i="2" s="1"/>
  <c r="Q194" i="2" a="1"/>
  <c r="Q194" i="2" s="1"/>
  <c r="P194" i="2" a="1"/>
  <c r="P194" i="2"/>
  <c r="N194" i="2" a="1"/>
  <c r="N194" i="2" s="1"/>
  <c r="M194" i="2" a="1"/>
  <c r="M194" i="2" s="1"/>
  <c r="O194" i="2" s="1"/>
  <c r="L194" i="2" a="1"/>
  <c r="L194" i="2" s="1"/>
  <c r="E194" i="2" a="1"/>
  <c r="E194" i="2" s="1"/>
  <c r="D194" i="2" a="1"/>
  <c r="D194" i="2" s="1"/>
  <c r="C194" i="2" a="1"/>
  <c r="C194" i="2" s="1"/>
  <c r="B194" i="2" a="1"/>
  <c r="B194" i="2" s="1"/>
  <c r="Y193" i="2" a="1"/>
  <c r="Y193" i="2"/>
  <c r="S193" i="2"/>
  <c r="R193" i="2" a="1"/>
  <c r="R193" i="2"/>
  <c r="Q193" i="2" a="1"/>
  <c r="Q193" i="2" s="1"/>
  <c r="P193" i="2" a="1"/>
  <c r="P193" i="2" s="1"/>
  <c r="N193" i="2" a="1"/>
  <c r="N193" i="2" s="1"/>
  <c r="M193" i="2" a="1"/>
  <c r="M193" i="2" s="1"/>
  <c r="O193" i="2" s="1"/>
  <c r="L193" i="2" a="1"/>
  <c r="L193" i="2"/>
  <c r="K193" i="2" a="1"/>
  <c r="K193" i="2" s="1"/>
  <c r="H193" i="2" a="1"/>
  <c r="H193" i="2" s="1"/>
  <c r="E193" i="2" a="1"/>
  <c r="E193" i="2" s="1"/>
  <c r="D193" i="2" a="1"/>
  <c r="D193" i="2" s="1"/>
  <c r="C193" i="2" a="1"/>
  <c r="C193" i="2"/>
  <c r="B193" i="2" a="1"/>
  <c r="B193" i="2" s="1"/>
  <c r="Y192" i="2" a="1"/>
  <c r="Y192" i="2" s="1"/>
  <c r="S192" i="2"/>
  <c r="R192" i="2" a="1"/>
  <c r="R192" i="2" s="1"/>
  <c r="Q192" i="2" a="1"/>
  <c r="Q192" i="2"/>
  <c r="P192" i="2" a="1"/>
  <c r="P192" i="2"/>
  <c r="N192" i="2" a="1"/>
  <c r="N192" i="2"/>
  <c r="M192" i="2" a="1"/>
  <c r="M192" i="2" s="1"/>
  <c r="O192" i="2" s="1"/>
  <c r="L192" i="2" a="1"/>
  <c r="L192" i="2" s="1"/>
  <c r="E192" i="2" a="1"/>
  <c r="E192" i="2" s="1"/>
  <c r="D192" i="2" a="1"/>
  <c r="D192" i="2" s="1"/>
  <c r="C192" i="2" a="1"/>
  <c r="C192" i="2" s="1"/>
  <c r="B192" i="2" a="1"/>
  <c r="B192" i="2" s="1"/>
  <c r="Y191" i="2" a="1"/>
  <c r="Y191" i="2"/>
  <c r="S191" i="2"/>
  <c r="R191" i="2" a="1"/>
  <c r="R191" i="2" s="1"/>
  <c r="Q191" i="2" a="1"/>
  <c r="Q191" i="2"/>
  <c r="P191" i="2" a="1"/>
  <c r="P191" i="2" s="1"/>
  <c r="N191" i="2" a="1"/>
  <c r="N191" i="2" s="1"/>
  <c r="M191" i="2" a="1"/>
  <c r="M191" i="2" s="1"/>
  <c r="O191" i="2" s="1"/>
  <c r="L191" i="2" a="1"/>
  <c r="L191" i="2"/>
  <c r="E191" i="2" a="1"/>
  <c r="E191" i="2"/>
  <c r="D191" i="2" a="1"/>
  <c r="D191" i="2" s="1"/>
  <c r="C191" i="2" a="1"/>
  <c r="C191" i="2" s="1"/>
  <c r="B191" i="2" a="1"/>
  <c r="B191" i="2" s="1"/>
  <c r="Y190" i="2" a="1"/>
  <c r="Y190" i="2" s="1"/>
  <c r="S190" i="2"/>
  <c r="R190" i="2" a="1"/>
  <c r="R190" i="2" s="1"/>
  <c r="Q190" i="2" a="1"/>
  <c r="Q190" i="2" s="1"/>
  <c r="P190" i="2" a="1"/>
  <c r="P190" i="2"/>
  <c r="N190" i="2" a="1"/>
  <c r="N190" i="2" s="1"/>
  <c r="M190" i="2" a="1"/>
  <c r="M190" i="2"/>
  <c r="O190" i="2" s="1"/>
  <c r="L190" i="2" a="1"/>
  <c r="L190" i="2" s="1"/>
  <c r="K190" i="2" a="1"/>
  <c r="K190" i="2"/>
  <c r="H190" i="2" a="1"/>
  <c r="H190" i="2"/>
  <c r="E190" i="2" a="1"/>
  <c r="E190" i="2" s="1"/>
  <c r="D190" i="2" a="1"/>
  <c r="D190" i="2" s="1"/>
  <c r="C190" i="2" a="1"/>
  <c r="C190" i="2" s="1"/>
  <c r="B190" i="2" a="1"/>
  <c r="B190" i="2" s="1"/>
  <c r="Y189" i="2" a="1"/>
  <c r="Y189" i="2"/>
  <c r="S189" i="2"/>
  <c r="R189" i="2" a="1"/>
  <c r="R189" i="2" s="1"/>
  <c r="Q189" i="2" a="1"/>
  <c r="Q189" i="2"/>
  <c r="P189" i="2" a="1"/>
  <c r="P189" i="2"/>
  <c r="N189" i="2" a="1"/>
  <c r="N189" i="2" s="1"/>
  <c r="M189" i="2" a="1"/>
  <c r="M189" i="2" s="1"/>
  <c r="O189" i="2" s="1"/>
  <c r="L189" i="2" a="1"/>
  <c r="L189" i="2"/>
  <c r="K189" i="2" a="1"/>
  <c r="K189" i="2"/>
  <c r="H189" i="2" a="1"/>
  <c r="H189" i="2" s="1"/>
  <c r="E189" i="2" a="1"/>
  <c r="E189" i="2"/>
  <c r="D189" i="2" a="1"/>
  <c r="D189" i="2" s="1"/>
  <c r="C189" i="2" a="1"/>
  <c r="C189" i="2" s="1"/>
  <c r="B189" i="2" a="1"/>
  <c r="B189" i="2" s="1"/>
  <c r="Y188" i="2" a="1"/>
  <c r="Y188" i="2" s="1"/>
  <c r="S188" i="2"/>
  <c r="R188" i="2" a="1"/>
  <c r="R188" i="2" s="1"/>
  <c r="Q188" i="2" a="1"/>
  <c r="Q188" i="2" s="1"/>
  <c r="P188" i="2" a="1"/>
  <c r="P188" i="2"/>
  <c r="N188" i="2" a="1"/>
  <c r="N188" i="2" s="1"/>
  <c r="M188" i="2" a="1"/>
  <c r="M188" i="2"/>
  <c r="O188" i="2" s="1"/>
  <c r="L188" i="2" a="1"/>
  <c r="L188" i="2" s="1"/>
  <c r="E188" i="2" a="1"/>
  <c r="E188" i="2" s="1"/>
  <c r="D188" i="2" a="1"/>
  <c r="D188" i="2" s="1"/>
  <c r="C188" i="2" a="1"/>
  <c r="C188" i="2"/>
  <c r="B188" i="2" a="1"/>
  <c r="B188" i="2" s="1"/>
  <c r="Y187" i="2" a="1"/>
  <c r="Y187" i="2" s="1"/>
  <c r="S187" i="2"/>
  <c r="R187" i="2" a="1"/>
  <c r="R187" i="2" s="1"/>
  <c r="Q187" i="2" a="1"/>
  <c r="Q187" i="2"/>
  <c r="P187" i="2" a="1"/>
  <c r="P187" i="2"/>
  <c r="N187" i="2" a="1"/>
  <c r="N187" i="2" s="1"/>
  <c r="M187" i="2" a="1"/>
  <c r="M187" i="2" s="1"/>
  <c r="O187" i="2" s="1"/>
  <c r="L187" i="2" a="1"/>
  <c r="L187" i="2"/>
  <c r="K187" i="2" a="1"/>
  <c r="K187" i="2"/>
  <c r="H187" i="2" a="1"/>
  <c r="H187" i="2" s="1"/>
  <c r="E187" i="2" a="1"/>
  <c r="E187" i="2" s="1"/>
  <c r="D187" i="2" a="1"/>
  <c r="D187" i="2"/>
  <c r="C187" i="2" a="1"/>
  <c r="C187" i="2" s="1"/>
  <c r="B187" i="2" a="1"/>
  <c r="B187" i="2" s="1"/>
  <c r="Y186" i="2" a="1"/>
  <c r="Y186" i="2" s="1"/>
  <c r="S186" i="2"/>
  <c r="R186" i="2" a="1"/>
  <c r="R186" i="2" s="1"/>
  <c r="Q186" i="2" a="1"/>
  <c r="Q186" i="2" s="1"/>
  <c r="P186" i="2" a="1"/>
  <c r="P186" i="2"/>
  <c r="N186" i="2" a="1"/>
  <c r="N186" i="2" s="1"/>
  <c r="M186" i="2" a="1"/>
  <c r="M186" i="2" s="1"/>
  <c r="O186" i="2" s="1"/>
  <c r="L186" i="2" a="1"/>
  <c r="L186" i="2" s="1"/>
  <c r="K186" i="2" a="1"/>
  <c r="K186" i="2" s="1"/>
  <c r="H186" i="2" a="1"/>
  <c r="H186" i="2"/>
  <c r="E186" i="2" a="1"/>
  <c r="E186" i="2" s="1"/>
  <c r="D186" i="2" a="1"/>
  <c r="D186" i="2" s="1"/>
  <c r="C186" i="2" a="1"/>
  <c r="C186" i="2"/>
  <c r="B186" i="2" a="1"/>
  <c r="B186" i="2" s="1"/>
  <c r="Y185" i="2" a="1"/>
  <c r="Y185" i="2" s="1"/>
  <c r="S185" i="2"/>
  <c r="R185" i="2" a="1"/>
  <c r="R185" i="2" s="1"/>
  <c r="Q185" i="2" a="1"/>
  <c r="Q185" i="2" s="1"/>
  <c r="P185" i="2" a="1"/>
  <c r="P185" i="2"/>
  <c r="N185" i="2" a="1"/>
  <c r="N185" i="2" s="1"/>
  <c r="M185" i="2" a="1"/>
  <c r="M185" i="2" s="1"/>
  <c r="O185" i="2" s="1"/>
  <c r="L185" i="2" a="1"/>
  <c r="L185" i="2" s="1"/>
  <c r="E185" i="2" a="1"/>
  <c r="E185" i="2" s="1"/>
  <c r="D185" i="2" a="1"/>
  <c r="D185" i="2" s="1"/>
  <c r="C185" i="2" a="1"/>
  <c r="C185" i="2" s="1"/>
  <c r="B185" i="2" a="1"/>
  <c r="B185" i="2" s="1"/>
  <c r="Y184" i="2" a="1"/>
  <c r="Y184" i="2"/>
  <c r="S184" i="2"/>
  <c r="R184" i="2" a="1"/>
  <c r="R184" i="2"/>
  <c r="Q184" i="2" a="1"/>
  <c r="Q184" i="2" s="1"/>
  <c r="P184" i="2" a="1"/>
  <c r="P184" i="2"/>
  <c r="O184" i="2"/>
  <c r="N184" i="2" a="1"/>
  <c r="N184" i="2" s="1"/>
  <c r="M184" i="2" a="1"/>
  <c r="M184" i="2" s="1"/>
  <c r="L184" i="2" a="1"/>
  <c r="L184" i="2" s="1"/>
  <c r="E184" i="2" a="1"/>
  <c r="E184" i="2" s="1"/>
  <c r="D184" i="2" a="1"/>
  <c r="D184" i="2" s="1"/>
  <c r="C184" i="2" a="1"/>
  <c r="C184" i="2"/>
  <c r="B184" i="2" a="1"/>
  <c r="B184" i="2"/>
  <c r="Y183" i="2" a="1"/>
  <c r="Y183" i="2" s="1"/>
  <c r="S183" i="2"/>
  <c r="R183" i="2" a="1"/>
  <c r="R183" i="2"/>
  <c r="Q183" i="2" a="1"/>
  <c r="Q183" i="2" s="1"/>
  <c r="P183" i="2" a="1"/>
  <c r="P183" i="2"/>
  <c r="O183" i="2"/>
  <c r="N183" i="2" a="1"/>
  <c r="N183" i="2" s="1"/>
  <c r="M183" i="2" a="1"/>
  <c r="M183" i="2" s="1"/>
  <c r="L183" i="2" a="1"/>
  <c r="L183" i="2" s="1"/>
  <c r="K183" i="2" a="1"/>
  <c r="K183" i="2"/>
  <c r="H183" i="2" a="1"/>
  <c r="H183" i="2" s="1"/>
  <c r="E183" i="2" a="1"/>
  <c r="E183" i="2" s="1"/>
  <c r="D183" i="2" a="1"/>
  <c r="D183" i="2"/>
  <c r="C183" i="2" a="1"/>
  <c r="C183" i="2" s="1"/>
  <c r="B183" i="2" a="1"/>
  <c r="B183" i="2" s="1"/>
  <c r="Y182" i="2" a="1"/>
  <c r="Y182" i="2"/>
  <c r="S182" i="2"/>
  <c r="R182" i="2" a="1"/>
  <c r="R182" i="2"/>
  <c r="Q182" i="2" a="1"/>
  <c r="Q182" i="2" s="1"/>
  <c r="P182" i="2" a="1"/>
  <c r="P182" i="2"/>
  <c r="N182" i="2" a="1"/>
  <c r="N182" i="2" s="1"/>
  <c r="M182" i="2" a="1"/>
  <c r="M182" i="2" s="1"/>
  <c r="O182" i="2" s="1"/>
  <c r="L182" i="2" a="1"/>
  <c r="L182" i="2" s="1"/>
  <c r="K182" i="2" a="1"/>
  <c r="K182" i="2"/>
  <c r="H182" i="2" a="1"/>
  <c r="H182" i="2"/>
  <c r="E182" i="2" a="1"/>
  <c r="E182" i="2" s="1"/>
  <c r="D182" i="2" a="1"/>
  <c r="D182" i="2" s="1"/>
  <c r="C182" i="2" a="1"/>
  <c r="C182" i="2" s="1"/>
  <c r="B182" i="2" a="1"/>
  <c r="B182" i="2"/>
  <c r="Y181" i="2" a="1"/>
  <c r="Y181" i="2" s="1"/>
  <c r="S181" i="2"/>
  <c r="R181" i="2" a="1"/>
  <c r="R181" i="2" s="1"/>
  <c r="Q181" i="2" a="1"/>
  <c r="Q181" i="2" s="1"/>
  <c r="P181" i="2" a="1"/>
  <c r="P181" i="2"/>
  <c r="N181" i="2" a="1"/>
  <c r="N181" i="2" s="1"/>
  <c r="M181" i="2" a="1"/>
  <c r="M181" i="2" s="1"/>
  <c r="O181" i="2" s="1"/>
  <c r="L181" i="2" a="1"/>
  <c r="L181" i="2"/>
  <c r="E181" i="2" a="1"/>
  <c r="E181" i="2"/>
  <c r="D181" i="2" a="1"/>
  <c r="D181" i="2" s="1"/>
  <c r="C181" i="2" a="1"/>
  <c r="C181" i="2" s="1"/>
  <c r="B181" i="2" a="1"/>
  <c r="B181" i="2" s="1"/>
  <c r="Y180" i="2" a="1"/>
  <c r="Y180" i="2"/>
  <c r="S180" i="2"/>
  <c r="R180" i="2" a="1"/>
  <c r="R180" i="2" s="1"/>
  <c r="Q180" i="2" a="1"/>
  <c r="Q180" i="2" s="1"/>
  <c r="P180" i="2" a="1"/>
  <c r="P180" i="2"/>
  <c r="N180" i="2" a="1"/>
  <c r="N180" i="2" s="1"/>
  <c r="M180" i="2" a="1"/>
  <c r="M180" i="2"/>
  <c r="O180" i="2" s="1"/>
  <c r="L180" i="2" a="1"/>
  <c r="L180" i="2" s="1"/>
  <c r="E180" i="2" a="1"/>
  <c r="E180" i="2" s="1"/>
  <c r="D180" i="2" a="1"/>
  <c r="D180" i="2" s="1"/>
  <c r="C180" i="2" a="1"/>
  <c r="C180" i="2" s="1"/>
  <c r="B180" i="2" a="1"/>
  <c r="B180" i="2"/>
  <c r="Y179" i="2" a="1"/>
  <c r="Y179" i="2" s="1"/>
  <c r="S179" i="2"/>
  <c r="R179" i="2" a="1"/>
  <c r="R179" i="2"/>
  <c r="Q179" i="2" a="1"/>
  <c r="Q179" i="2" s="1"/>
  <c r="P179" i="2" a="1"/>
  <c r="P179" i="2"/>
  <c r="N179" i="2" a="1"/>
  <c r="N179" i="2" s="1"/>
  <c r="M179" i="2" a="1"/>
  <c r="M179" i="2" s="1"/>
  <c r="O179" i="2" s="1"/>
  <c r="L179" i="2" a="1"/>
  <c r="L179" i="2" s="1"/>
  <c r="K179" i="2" a="1"/>
  <c r="K179" i="2"/>
  <c r="H179" i="2" a="1"/>
  <c r="H179" i="2" s="1"/>
  <c r="E179" i="2" a="1"/>
  <c r="E179" i="2" s="1"/>
  <c r="D179" i="2" a="1"/>
  <c r="D179" i="2" s="1"/>
  <c r="C179" i="2" a="1"/>
  <c r="C179" i="2"/>
  <c r="B179" i="2" a="1"/>
  <c r="B179" i="2" s="1"/>
  <c r="Y178" i="2" a="1"/>
  <c r="Y178" i="2"/>
  <c r="S178" i="2"/>
  <c r="R178" i="2" a="1"/>
  <c r="R178" i="2" s="1"/>
  <c r="Q178" i="2" a="1"/>
  <c r="Q178" i="2" s="1"/>
  <c r="P178" i="2" a="1"/>
  <c r="P178" i="2"/>
  <c r="N178" i="2" a="1"/>
  <c r="N178" i="2" s="1"/>
  <c r="M178" i="2" a="1"/>
  <c r="M178" i="2" s="1"/>
  <c r="O178" i="2" s="1"/>
  <c r="L178" i="2" a="1"/>
  <c r="L178" i="2" s="1"/>
  <c r="K178" i="2" a="1"/>
  <c r="K178" i="2"/>
  <c r="H178" i="2" a="1"/>
  <c r="H178" i="2"/>
  <c r="E178" i="2" a="1"/>
  <c r="E178" i="2" s="1"/>
  <c r="D178" i="2" a="1"/>
  <c r="D178" i="2" s="1"/>
  <c r="C178" i="2" a="1"/>
  <c r="C178" i="2" s="1"/>
  <c r="B178" i="2" a="1"/>
  <c r="B178" i="2"/>
  <c r="Y177" i="2" a="1"/>
  <c r="Y177" i="2"/>
  <c r="S177" i="2"/>
  <c r="R177" i="2" a="1"/>
  <c r="R177" i="2" s="1"/>
  <c r="Q177" i="2" a="1"/>
  <c r="Q177" i="2"/>
  <c r="P177" i="2" a="1"/>
  <c r="P177" i="2"/>
  <c r="O177" i="2"/>
  <c r="N177" i="2" a="1"/>
  <c r="N177" i="2" s="1"/>
  <c r="M177" i="2" a="1"/>
  <c r="M177" i="2" s="1"/>
  <c r="L177" i="2" a="1"/>
  <c r="L177" i="2" s="1"/>
  <c r="E177" i="2" a="1"/>
  <c r="E177" i="2" s="1"/>
  <c r="D177" i="2" a="1"/>
  <c r="D177" i="2"/>
  <c r="C177" i="2" a="1"/>
  <c r="C177" i="2" s="1"/>
  <c r="B177" i="2" a="1"/>
  <c r="B177" i="2" s="1"/>
  <c r="Y176" i="2" a="1"/>
  <c r="Y176" i="2" s="1"/>
  <c r="S176" i="2"/>
  <c r="R176" i="2" a="1"/>
  <c r="R176" i="2" s="1"/>
  <c r="Q176" i="2" a="1"/>
  <c r="Q176" i="2" s="1"/>
  <c r="P176" i="2" a="1"/>
  <c r="P176" i="2"/>
  <c r="N176" i="2" a="1"/>
  <c r="N176" i="2"/>
  <c r="M176" i="2" a="1"/>
  <c r="M176" i="2" s="1"/>
  <c r="O176" i="2" s="1"/>
  <c r="L176" i="2" a="1"/>
  <c r="L176" i="2" s="1"/>
  <c r="K176" i="2" a="1"/>
  <c r="K176" i="2"/>
  <c r="H176" i="2" a="1"/>
  <c r="H176" i="2" s="1"/>
  <c r="E176" i="2" a="1"/>
  <c r="E176" i="2" s="1"/>
  <c r="D176" i="2" a="1"/>
  <c r="D176" i="2" s="1"/>
  <c r="C176" i="2" a="1"/>
  <c r="C176" i="2" s="1"/>
  <c r="B176" i="2" a="1"/>
  <c r="B176" i="2"/>
  <c r="Y175" i="2" a="1"/>
  <c r="Y175" i="2"/>
  <c r="S175" i="2"/>
  <c r="R175" i="2" a="1"/>
  <c r="R175" i="2"/>
  <c r="Q175" i="2" a="1"/>
  <c r="Q175" i="2" s="1"/>
  <c r="P175" i="2" a="1"/>
  <c r="P175" i="2" s="1"/>
  <c r="O175" i="2"/>
  <c r="N175" i="2" a="1"/>
  <c r="N175" i="2" s="1"/>
  <c r="M175" i="2" a="1"/>
  <c r="M175" i="2"/>
  <c r="L175" i="2" a="1"/>
  <c r="L175" i="2" s="1"/>
  <c r="E175" i="2" a="1"/>
  <c r="E175" i="2" s="1"/>
  <c r="D175" i="2" a="1"/>
  <c r="D175" i="2"/>
  <c r="C175" i="2" a="1"/>
  <c r="C175" i="2" s="1"/>
  <c r="B175" i="2" a="1"/>
  <c r="B175" i="2" s="1"/>
  <c r="Y174" i="2" a="1"/>
  <c r="Y174" i="2" s="1"/>
  <c r="S174" i="2"/>
  <c r="R174" i="2" a="1"/>
  <c r="R174" i="2" s="1"/>
  <c r="Q174" i="2" a="1"/>
  <c r="Q174" i="2" s="1"/>
  <c r="P174" i="2" a="1"/>
  <c r="P174" i="2"/>
  <c r="N174" i="2" a="1"/>
  <c r="N174" i="2" s="1"/>
  <c r="M174" i="2" a="1"/>
  <c r="M174" i="2" s="1"/>
  <c r="O174" i="2" s="1"/>
  <c r="L174" i="2" a="1"/>
  <c r="L174" i="2" s="1"/>
  <c r="E174" i="2" a="1"/>
  <c r="E174" i="2"/>
  <c r="D174" i="2" a="1"/>
  <c r="D174" i="2" s="1"/>
  <c r="C174" i="2" a="1"/>
  <c r="C174" i="2" s="1"/>
  <c r="B174" i="2" a="1"/>
  <c r="B174" i="2"/>
  <c r="Y173" i="2" a="1"/>
  <c r="Y173" i="2" s="1"/>
  <c r="S173" i="2"/>
  <c r="R173" i="2" a="1"/>
  <c r="R173" i="2"/>
  <c r="Q173" i="2" a="1"/>
  <c r="Q173" i="2"/>
  <c r="P173" i="2" a="1"/>
  <c r="P173" i="2" s="1"/>
  <c r="N173" i="2" a="1"/>
  <c r="N173" i="2" s="1"/>
  <c r="M173" i="2" a="1"/>
  <c r="M173" i="2" s="1"/>
  <c r="O173" i="2" s="1"/>
  <c r="L173" i="2" a="1"/>
  <c r="L173" i="2"/>
  <c r="K173" i="2" a="1"/>
  <c r="K173" i="2"/>
  <c r="H173" i="2" a="1"/>
  <c r="H173" i="2" s="1"/>
  <c r="E173" i="2" a="1"/>
  <c r="E173" i="2" s="1"/>
  <c r="D173" i="2" a="1"/>
  <c r="D173" i="2" s="1"/>
  <c r="C173" i="2" a="1"/>
  <c r="C173" i="2"/>
  <c r="B173" i="2" a="1"/>
  <c r="B173" i="2" s="1"/>
  <c r="Y172" i="2" a="1"/>
  <c r="Y172" i="2" s="1"/>
  <c r="S172" i="2"/>
  <c r="R172" i="2" a="1"/>
  <c r="R172" i="2" s="1"/>
  <c r="Q172" i="2" a="1"/>
  <c r="Q172" i="2" s="1"/>
  <c r="P172" i="2" a="1"/>
  <c r="P172" i="2"/>
  <c r="N172" i="2" a="1"/>
  <c r="N172" i="2" s="1"/>
  <c r="M172" i="2" a="1"/>
  <c r="M172" i="2"/>
  <c r="O172" i="2" s="1"/>
  <c r="L172" i="2" a="1"/>
  <c r="L172" i="2" s="1"/>
  <c r="E172" i="2" a="1"/>
  <c r="E172" i="2" s="1"/>
  <c r="D172" i="2" a="1"/>
  <c r="D172" i="2" s="1"/>
  <c r="C172" i="2" a="1"/>
  <c r="C172" i="2" s="1"/>
  <c r="B172" i="2" a="1"/>
  <c r="B172" i="2"/>
  <c r="Y171" i="2" a="1"/>
  <c r="Y171" i="2" s="1"/>
  <c r="S171" i="2"/>
  <c r="R171" i="2" a="1"/>
  <c r="R171" i="2" s="1"/>
  <c r="Q171" i="2" a="1"/>
  <c r="Q171" i="2"/>
  <c r="P171" i="2" a="1"/>
  <c r="P171" i="2" s="1"/>
  <c r="N171" i="2" a="1"/>
  <c r="N171" i="2" s="1"/>
  <c r="M171" i="2" a="1"/>
  <c r="M171" i="2" s="1"/>
  <c r="O171" i="2" s="1"/>
  <c r="L171" i="2" a="1"/>
  <c r="L171" i="2"/>
  <c r="K171" i="2" a="1"/>
  <c r="K171" i="2"/>
  <c r="H171" i="2" a="1"/>
  <c r="H171" i="2" s="1"/>
  <c r="E171" i="2" a="1"/>
  <c r="E171" i="2" s="1"/>
  <c r="D171" i="2" a="1"/>
  <c r="D171" i="2" s="1"/>
  <c r="C171" i="2" a="1"/>
  <c r="C171" i="2"/>
  <c r="B171" i="2" a="1"/>
  <c r="B171" i="2" s="1"/>
  <c r="Y170" i="2" a="1"/>
  <c r="Y170" i="2" s="1"/>
  <c r="S170" i="2"/>
  <c r="R170" i="2" a="1"/>
  <c r="R170" i="2" s="1"/>
  <c r="Q170" i="2" a="1"/>
  <c r="Q170" i="2"/>
  <c r="P170" i="2" a="1"/>
  <c r="P170" i="2"/>
  <c r="N170" i="2" a="1"/>
  <c r="N170" i="2" s="1"/>
  <c r="M170" i="2" a="1"/>
  <c r="M170" i="2"/>
  <c r="O170" i="2" s="1"/>
  <c r="L170" i="2" a="1"/>
  <c r="L170" i="2" s="1"/>
  <c r="K170" i="2" a="1"/>
  <c r="K170" i="2" s="1"/>
  <c r="H170" i="2" a="1"/>
  <c r="H170" i="2"/>
  <c r="E170" i="2" a="1"/>
  <c r="E170" i="2" s="1"/>
  <c r="D170" i="2" a="1"/>
  <c r="D170" i="2" s="1"/>
  <c r="C170" i="2" a="1"/>
  <c r="C170" i="2" s="1"/>
  <c r="B170" i="2" a="1"/>
  <c r="B170" i="2" s="1"/>
  <c r="Y169" i="2" a="1"/>
  <c r="Y169" i="2" s="1"/>
  <c r="S169" i="2"/>
  <c r="R169" i="2" a="1"/>
  <c r="R169" i="2"/>
  <c r="Q169" i="2" a="1"/>
  <c r="Q169" i="2" s="1"/>
  <c r="P169" i="2" a="1"/>
  <c r="P169" i="2"/>
  <c r="N169" i="2" a="1"/>
  <c r="N169" i="2" s="1"/>
  <c r="M169" i="2" a="1"/>
  <c r="M169" i="2" s="1"/>
  <c r="O169" i="2" s="1"/>
  <c r="L169" i="2" a="1"/>
  <c r="L169" i="2" s="1"/>
  <c r="E169" i="2" a="1"/>
  <c r="E169" i="2" s="1"/>
  <c r="D169" i="2" a="1"/>
  <c r="D169" i="2" s="1"/>
  <c r="C169" i="2" a="1"/>
  <c r="C169" i="2" s="1"/>
  <c r="B169" i="2" a="1"/>
  <c r="B169" i="2" s="1"/>
  <c r="Y168" i="2" a="1"/>
  <c r="Y168" i="2" s="1"/>
  <c r="S168" i="2"/>
  <c r="R168" i="2" a="1"/>
  <c r="R168" i="2" s="1"/>
  <c r="Q168" i="2" a="1"/>
  <c r="Q168" i="2" s="1"/>
  <c r="P168" i="2" a="1"/>
  <c r="P168" i="2"/>
  <c r="N168" i="2" a="1"/>
  <c r="N168" i="2" s="1"/>
  <c r="M168" i="2" a="1"/>
  <c r="M168" i="2" s="1"/>
  <c r="O168" i="2" s="1"/>
  <c r="L168" i="2" a="1"/>
  <c r="L168" i="2" s="1"/>
  <c r="K168" i="2" a="1"/>
  <c r="K168" i="2" s="1"/>
  <c r="H168" i="2" a="1"/>
  <c r="H168" i="2"/>
  <c r="E168" i="2" a="1"/>
  <c r="E168" i="2"/>
  <c r="D168" i="2" a="1"/>
  <c r="D168" i="2" s="1"/>
  <c r="C168" i="2" a="1"/>
  <c r="C168" i="2"/>
  <c r="B168" i="2" a="1"/>
  <c r="B168" i="2" s="1"/>
  <c r="Y167" i="2" a="1"/>
  <c r="Y167" i="2"/>
  <c r="S167" i="2"/>
  <c r="R167" i="2" a="1"/>
  <c r="R167" i="2" s="1"/>
  <c r="Q167" i="2" a="1"/>
  <c r="Q167" i="2" s="1"/>
  <c r="P167" i="2" a="1"/>
  <c r="P167" i="2"/>
  <c r="N167" i="2" a="1"/>
  <c r="N167" i="2" s="1"/>
  <c r="M167" i="2" a="1"/>
  <c r="M167" i="2" s="1"/>
  <c r="O167" i="2" s="1"/>
  <c r="L167" i="2" a="1"/>
  <c r="L167" i="2" s="1"/>
  <c r="K167" i="2" a="1"/>
  <c r="K167" i="2"/>
  <c r="H167" i="2" a="1"/>
  <c r="H167" i="2" s="1"/>
  <c r="E167" i="2" a="1"/>
  <c r="E167" i="2" s="1"/>
  <c r="D167" i="2" a="1"/>
  <c r="D167" i="2"/>
  <c r="C167" i="2" a="1"/>
  <c r="C167" i="2" s="1"/>
  <c r="B167" i="2" a="1"/>
  <c r="B167" i="2" s="1"/>
  <c r="Y166" i="2" a="1"/>
  <c r="Y166" i="2" s="1"/>
  <c r="S166" i="2"/>
  <c r="R166" i="2" a="1"/>
  <c r="R166" i="2" s="1"/>
  <c r="Q166" i="2" a="1"/>
  <c r="Q166" i="2" s="1"/>
  <c r="P166" i="2" a="1"/>
  <c r="P166" i="2"/>
  <c r="O166" i="2"/>
  <c r="N166" i="2" a="1"/>
  <c r="N166" i="2" s="1"/>
  <c r="M166" i="2" a="1"/>
  <c r="M166" i="2" s="1"/>
  <c r="L166" i="2" a="1"/>
  <c r="L166" i="2" s="1"/>
  <c r="K166" i="2" a="1"/>
  <c r="K166" i="2"/>
  <c r="H166" i="2" a="1"/>
  <c r="H166" i="2" s="1"/>
  <c r="E166" i="2" a="1"/>
  <c r="E166" i="2" s="1"/>
  <c r="D166" i="2" a="1"/>
  <c r="D166" i="2" s="1"/>
  <c r="C166" i="2" a="1"/>
  <c r="C166" i="2"/>
  <c r="B166" i="2" a="1"/>
  <c r="B166" i="2" s="1"/>
  <c r="Y165" i="2" a="1"/>
  <c r="Y165" i="2" s="1"/>
  <c r="S165" i="2"/>
  <c r="R165" i="2" a="1"/>
  <c r="R165" i="2" s="1"/>
  <c r="Q165" i="2" a="1"/>
  <c r="Q165" i="2"/>
  <c r="P165" i="2" a="1"/>
  <c r="P165" i="2" s="1"/>
  <c r="N165" i="2" a="1"/>
  <c r="N165" i="2" s="1"/>
  <c r="M165" i="2" a="1"/>
  <c r="M165" i="2" s="1"/>
  <c r="O165" i="2" s="1"/>
  <c r="L165" i="2" a="1"/>
  <c r="L165" i="2"/>
  <c r="E165" i="2" a="1"/>
  <c r="E165" i="2" s="1"/>
  <c r="D165" i="2" a="1"/>
  <c r="D165" i="2"/>
  <c r="C165" i="2" a="1"/>
  <c r="C165" i="2"/>
  <c r="B165" i="2" a="1"/>
  <c r="B165" i="2" s="1"/>
  <c r="Y164" i="2" a="1"/>
  <c r="Y164" i="2"/>
  <c r="S164" i="2"/>
  <c r="R164" i="2" a="1"/>
  <c r="R164" i="2" s="1"/>
  <c r="Q164" i="2" a="1"/>
  <c r="Q164" i="2"/>
  <c r="P164" i="2" a="1"/>
  <c r="P164" i="2"/>
  <c r="N164" i="2" a="1"/>
  <c r="N164" i="2" s="1"/>
  <c r="M164" i="2" a="1"/>
  <c r="M164" i="2"/>
  <c r="O164" i="2" s="1"/>
  <c r="L164" i="2" a="1"/>
  <c r="L164" i="2" s="1"/>
  <c r="K164" i="2" a="1"/>
  <c r="K164" i="2" s="1"/>
  <c r="H164" i="2" a="1"/>
  <c r="H164" i="2" s="1"/>
  <c r="E164" i="2" a="1"/>
  <c r="E164" i="2"/>
  <c r="D164" i="2" a="1"/>
  <c r="D164" i="2" s="1"/>
  <c r="C164" i="2" a="1"/>
  <c r="C164" i="2" s="1"/>
  <c r="B164" i="2" a="1"/>
  <c r="B164" i="2"/>
  <c r="Y163" i="2" a="1"/>
  <c r="Y163" i="2" s="1"/>
  <c r="S163" i="2"/>
  <c r="R163" i="2" a="1"/>
  <c r="R163" i="2"/>
  <c r="Q163" i="2" a="1"/>
  <c r="Q163" i="2" s="1"/>
  <c r="P163" i="2" a="1"/>
  <c r="P163" i="2" s="1"/>
  <c r="N163" i="2" a="1"/>
  <c r="N163" i="2" s="1"/>
  <c r="M163" i="2" a="1"/>
  <c r="M163" i="2" s="1"/>
  <c r="O163" i="2" s="1"/>
  <c r="L163" i="2" a="1"/>
  <c r="L163" i="2" s="1"/>
  <c r="E163" i="2" a="1"/>
  <c r="E163" i="2" s="1"/>
  <c r="D163" i="2" a="1"/>
  <c r="D163" i="2" s="1"/>
  <c r="C163" i="2" a="1"/>
  <c r="C163" i="2"/>
  <c r="B163" i="2" a="1"/>
  <c r="B163" i="2" s="1"/>
  <c r="Y162" i="2" a="1"/>
  <c r="Y162" i="2"/>
  <c r="S162" i="2"/>
  <c r="R162" i="2" a="1"/>
  <c r="R162" i="2" s="1"/>
  <c r="Q162" i="2" a="1"/>
  <c r="Q162" i="2" s="1"/>
  <c r="P162" i="2" a="1"/>
  <c r="P162" i="2"/>
  <c r="N162" i="2" a="1"/>
  <c r="N162" i="2" s="1"/>
  <c r="M162" i="2" a="1"/>
  <c r="M162" i="2" s="1"/>
  <c r="O162" i="2" s="1"/>
  <c r="L162" i="2" a="1"/>
  <c r="L162" i="2" s="1"/>
  <c r="E162" i="2" a="1"/>
  <c r="E162" i="2" s="1"/>
  <c r="D162" i="2" a="1"/>
  <c r="D162" i="2" s="1"/>
  <c r="C162" i="2" a="1"/>
  <c r="C162" i="2" s="1"/>
  <c r="B162" i="2" a="1"/>
  <c r="B162" i="2"/>
  <c r="Y161" i="2" a="1"/>
  <c r="Y161" i="2" s="1"/>
  <c r="S161" i="2"/>
  <c r="R161" i="2" a="1"/>
  <c r="R161" i="2" s="1"/>
  <c r="Q161" i="2" a="1"/>
  <c r="Q161" i="2" s="1"/>
  <c r="P161" i="2" a="1"/>
  <c r="P161" i="2"/>
  <c r="N161" i="2" a="1"/>
  <c r="N161" i="2" s="1"/>
  <c r="M161" i="2" a="1"/>
  <c r="M161" i="2" s="1"/>
  <c r="O161" i="2" s="1"/>
  <c r="L161" i="2" a="1"/>
  <c r="L161" i="2" s="1"/>
  <c r="K161" i="2" a="1"/>
  <c r="K161" i="2"/>
  <c r="H161" i="2" a="1"/>
  <c r="H161" i="2" s="1"/>
  <c r="E161" i="2" a="1"/>
  <c r="E161" i="2" s="1"/>
  <c r="D161" i="2" a="1"/>
  <c r="D161" i="2" s="1"/>
  <c r="C161" i="2" a="1"/>
  <c r="C161" i="2"/>
  <c r="B161" i="2" a="1"/>
  <c r="B161" i="2" s="1"/>
  <c r="Y160" i="2" a="1"/>
  <c r="Y160" i="2" s="1"/>
  <c r="S160" i="2"/>
  <c r="R160" i="2" a="1"/>
  <c r="R160" i="2" s="1"/>
  <c r="Q160" i="2" a="1"/>
  <c r="Q160" i="2" s="1"/>
  <c r="P160" i="2" a="1"/>
  <c r="P160" i="2"/>
  <c r="N160" i="2" a="1"/>
  <c r="N160" i="2"/>
  <c r="M160" i="2" a="1"/>
  <c r="M160" i="2" s="1"/>
  <c r="O160" i="2" s="1"/>
  <c r="L160" i="2" a="1"/>
  <c r="L160" i="2" s="1"/>
  <c r="K160" i="2" a="1"/>
  <c r="K160" i="2" s="1"/>
  <c r="H160" i="2" a="1"/>
  <c r="H160" i="2" s="1"/>
  <c r="E160" i="2" a="1"/>
  <c r="E160" i="2" s="1"/>
  <c r="D160" i="2" a="1"/>
  <c r="D160" i="2" s="1"/>
  <c r="C160" i="2" a="1"/>
  <c r="C160" i="2"/>
  <c r="B160" i="2" a="1"/>
  <c r="B160" i="2" s="1"/>
  <c r="Y159" i="2" a="1"/>
  <c r="Y159" i="2"/>
  <c r="S159" i="2"/>
  <c r="R159" i="2" a="1"/>
  <c r="R159" i="2" s="1"/>
  <c r="Q159" i="2" a="1"/>
  <c r="Q159" i="2" s="1"/>
  <c r="P159" i="2" a="1"/>
  <c r="P159" i="2" s="1"/>
  <c r="N159" i="2" a="1"/>
  <c r="N159" i="2" s="1"/>
  <c r="M159" i="2" a="1"/>
  <c r="M159" i="2" s="1"/>
  <c r="O159" i="2" s="1"/>
  <c r="L159" i="2" a="1"/>
  <c r="L159" i="2" s="1"/>
  <c r="K159" i="2" a="1"/>
  <c r="K159" i="2" s="1"/>
  <c r="H159" i="2" a="1"/>
  <c r="H159" i="2" s="1"/>
  <c r="E159" i="2" a="1"/>
  <c r="E159" i="2" s="1"/>
  <c r="D159" i="2" a="1"/>
  <c r="D159" i="2"/>
  <c r="C159" i="2" a="1"/>
  <c r="C159" i="2" s="1"/>
  <c r="B159" i="2" a="1"/>
  <c r="B159" i="2" s="1"/>
  <c r="Y158" i="2" a="1"/>
  <c r="Y158" i="2" s="1"/>
  <c r="S158" i="2"/>
  <c r="R158" i="2" a="1"/>
  <c r="R158" i="2"/>
  <c r="Q158" i="2" a="1"/>
  <c r="Q158" i="2" s="1"/>
  <c r="P158" i="2" a="1"/>
  <c r="P158" i="2"/>
  <c r="N158" i="2" a="1"/>
  <c r="N158" i="2" s="1"/>
  <c r="M158" i="2" a="1"/>
  <c r="M158" i="2" s="1"/>
  <c r="O158" i="2" s="1"/>
  <c r="L158" i="2" a="1"/>
  <c r="L158" i="2" s="1"/>
  <c r="E158" i="2" a="1"/>
  <c r="E158" i="2" s="1"/>
  <c r="D158" i="2" a="1"/>
  <c r="D158" i="2" s="1"/>
  <c r="C158" i="2" a="1"/>
  <c r="C158" i="2" s="1"/>
  <c r="B158" i="2" a="1"/>
  <c r="B158" i="2" s="1"/>
  <c r="Y157" i="2" a="1"/>
  <c r="Y157" i="2"/>
  <c r="S157" i="2"/>
  <c r="R157" i="2" a="1"/>
  <c r="R157" i="2" s="1"/>
  <c r="Q157" i="2" a="1"/>
  <c r="Q157" i="2" s="1"/>
  <c r="P157" i="2" a="1"/>
  <c r="P157" i="2" s="1"/>
  <c r="N157" i="2" a="1"/>
  <c r="N157" i="2" s="1"/>
  <c r="M157" i="2" a="1"/>
  <c r="M157" i="2" s="1"/>
  <c r="O157" i="2" s="1"/>
  <c r="L157" i="2" a="1"/>
  <c r="L157" i="2"/>
  <c r="E157" i="2" a="1"/>
  <c r="E157" i="2" s="1"/>
  <c r="D157" i="2" a="1"/>
  <c r="D157" i="2" s="1"/>
  <c r="C157" i="2" a="1"/>
  <c r="C157" i="2" s="1"/>
  <c r="B157" i="2" a="1"/>
  <c r="B157" i="2" s="1"/>
  <c r="Y156" i="2" a="1"/>
  <c r="Y156" i="2"/>
  <c r="S156" i="2"/>
  <c r="R156" i="2" a="1"/>
  <c r="R156" i="2" s="1"/>
  <c r="Q156" i="2" a="1"/>
  <c r="Q156" i="2" s="1"/>
  <c r="P156" i="2" a="1"/>
  <c r="P156" i="2"/>
  <c r="O156" i="2"/>
  <c r="N156" i="2" a="1"/>
  <c r="N156" i="2" s="1"/>
  <c r="M156" i="2" a="1"/>
  <c r="M156" i="2"/>
  <c r="L156" i="2" a="1"/>
  <c r="L156" i="2" s="1"/>
  <c r="K156" i="2" a="1"/>
  <c r="K156" i="2"/>
  <c r="H156" i="2" a="1"/>
  <c r="H156" i="2" s="1"/>
  <c r="E156" i="2" a="1"/>
  <c r="E156" i="2" s="1"/>
  <c r="D156" i="2" a="1"/>
  <c r="D156" i="2" s="1"/>
  <c r="C156" i="2" a="1"/>
  <c r="C156" i="2" s="1"/>
  <c r="B156" i="2" a="1"/>
  <c r="B156" i="2"/>
  <c r="Y155" i="2" a="1"/>
  <c r="Y155" i="2" s="1"/>
  <c r="S155" i="2"/>
  <c r="R155" i="2" a="1"/>
  <c r="R155" i="2"/>
  <c r="Q155" i="2" a="1"/>
  <c r="Q155" i="2" s="1"/>
  <c r="P155" i="2" a="1"/>
  <c r="P155" i="2"/>
  <c r="N155" i="2" a="1"/>
  <c r="N155" i="2" s="1"/>
  <c r="M155" i="2" a="1"/>
  <c r="M155" i="2" s="1"/>
  <c r="O155" i="2" s="1"/>
  <c r="L155" i="2" a="1"/>
  <c r="L155" i="2" s="1"/>
  <c r="K155" i="2" a="1"/>
  <c r="K155" i="2" s="1"/>
  <c r="H155" i="2" a="1"/>
  <c r="H155" i="2" s="1"/>
  <c r="E155" i="2" a="1"/>
  <c r="E155" i="2"/>
  <c r="D155" i="2" a="1"/>
  <c r="D155" i="2" s="1"/>
  <c r="C155" i="2" a="1"/>
  <c r="C155" i="2"/>
  <c r="B155" i="2" a="1"/>
  <c r="B155" i="2" s="1"/>
  <c r="Y154" i="2" a="1"/>
  <c r="Y154" i="2" s="1"/>
  <c r="S154" i="2"/>
  <c r="R154" i="2" a="1"/>
  <c r="R154" i="2" s="1"/>
  <c r="Q154" i="2" a="1"/>
  <c r="Q154" i="2" s="1"/>
  <c r="P154" i="2" a="1"/>
  <c r="P154" i="2"/>
  <c r="N154" i="2" a="1"/>
  <c r="N154" i="2" s="1"/>
  <c r="M154" i="2" a="1"/>
  <c r="M154" i="2"/>
  <c r="O154" i="2" s="1"/>
  <c r="L154" i="2" a="1"/>
  <c r="L154" i="2" s="1"/>
  <c r="K154" i="2" a="1"/>
  <c r="K154" i="2" s="1"/>
  <c r="H154" i="2" a="1"/>
  <c r="H154" i="2"/>
  <c r="E154" i="2" a="1"/>
  <c r="E154" i="2" s="1"/>
  <c r="D154" i="2" a="1"/>
  <c r="D154" i="2" s="1"/>
  <c r="C154" i="2" a="1"/>
  <c r="C154" i="2" s="1"/>
  <c r="B154" i="2" a="1"/>
  <c r="B154" i="2" s="1"/>
  <c r="Y153" i="2" a="1"/>
  <c r="Y153" i="2" s="1"/>
  <c r="S153" i="2"/>
  <c r="R153" i="2" a="1"/>
  <c r="R153" i="2" s="1"/>
  <c r="Q153" i="2" a="1"/>
  <c r="Q153" i="2" s="1"/>
  <c r="P153" i="2" a="1"/>
  <c r="P153" i="2"/>
  <c r="N153" i="2" a="1"/>
  <c r="N153" i="2" s="1"/>
  <c r="M153" i="2" a="1"/>
  <c r="M153" i="2" s="1"/>
  <c r="O153" i="2" s="1"/>
  <c r="L153" i="2" a="1"/>
  <c r="L153" i="2" s="1"/>
  <c r="K153" i="2" a="1"/>
  <c r="K153" i="2"/>
  <c r="H153" i="2" a="1"/>
  <c r="H153" i="2" s="1"/>
  <c r="E153" i="2" a="1"/>
  <c r="E153" i="2"/>
  <c r="D153" i="2" a="1"/>
  <c r="D153" i="2" s="1"/>
  <c r="C153" i="2" a="1"/>
  <c r="C153" i="2" s="1"/>
  <c r="B153" i="2" a="1"/>
  <c r="B153" i="2" s="1"/>
  <c r="Y152" i="2" a="1"/>
  <c r="Y152" i="2" s="1"/>
  <c r="S152" i="2"/>
  <c r="R152" i="2" a="1"/>
  <c r="R152" i="2" s="1"/>
  <c r="Q152" i="2" a="1"/>
  <c r="Q152" i="2" s="1"/>
  <c r="P152" i="2" a="1"/>
  <c r="P152" i="2"/>
  <c r="N152" i="2" a="1"/>
  <c r="N152" i="2" s="1"/>
  <c r="M152" i="2" a="1"/>
  <c r="M152" i="2" s="1"/>
  <c r="O152" i="2" s="1"/>
  <c r="L152" i="2" a="1"/>
  <c r="L152" i="2" s="1"/>
  <c r="K152" i="2" a="1"/>
  <c r="K152" i="2" s="1"/>
  <c r="H152" i="2" a="1"/>
  <c r="H152" i="2"/>
  <c r="E152" i="2" a="1"/>
  <c r="E152" i="2" s="1"/>
  <c r="D152" i="2" a="1"/>
  <c r="D152" i="2" s="1"/>
  <c r="C152" i="2" a="1"/>
  <c r="C152" i="2"/>
  <c r="B152" i="2" a="1"/>
  <c r="B152" i="2" s="1"/>
  <c r="Y151" i="2" a="1"/>
  <c r="Y151" i="2"/>
  <c r="S151" i="2"/>
  <c r="R151" i="2" a="1"/>
  <c r="R151" i="2"/>
  <c r="Q151" i="2" a="1"/>
  <c r="Q151" i="2" s="1"/>
  <c r="P151" i="2" a="1"/>
  <c r="P151" i="2"/>
  <c r="N151" i="2" a="1"/>
  <c r="N151" i="2" s="1"/>
  <c r="M151" i="2" a="1"/>
  <c r="M151" i="2" s="1"/>
  <c r="O151" i="2" s="1"/>
  <c r="L151" i="2" a="1"/>
  <c r="L151" i="2" s="1"/>
  <c r="K151" i="2" a="1"/>
  <c r="K151" i="2"/>
  <c r="H151" i="2" a="1"/>
  <c r="H151" i="2" s="1"/>
  <c r="E151" i="2" a="1"/>
  <c r="E151" i="2" s="1"/>
  <c r="D151" i="2" a="1"/>
  <c r="D151" i="2"/>
  <c r="C151" i="2" a="1"/>
  <c r="C151" i="2" s="1"/>
  <c r="B151" i="2" a="1"/>
  <c r="B151" i="2" s="1"/>
  <c r="Y150" i="2" a="1"/>
  <c r="Y150" i="2" s="1"/>
  <c r="S150" i="2"/>
  <c r="R150" i="2" a="1"/>
  <c r="R150" i="2" s="1"/>
  <c r="Q150" i="2" a="1"/>
  <c r="Q150" i="2" s="1"/>
  <c r="P150" i="2" a="1"/>
  <c r="P150" i="2"/>
  <c r="N150" i="2" a="1"/>
  <c r="N150" i="2" s="1"/>
  <c r="M150" i="2" a="1"/>
  <c r="M150" i="2" s="1"/>
  <c r="O150" i="2" s="1"/>
  <c r="L150" i="2" a="1"/>
  <c r="L150" i="2" s="1"/>
  <c r="K150" i="2" a="1"/>
  <c r="K150" i="2"/>
  <c r="H150" i="2" a="1"/>
  <c r="H150" i="2" s="1"/>
  <c r="E150" i="2" a="1"/>
  <c r="E150" i="2" s="1"/>
  <c r="D150" i="2" a="1"/>
  <c r="D150" i="2" s="1"/>
  <c r="C150" i="2" a="1"/>
  <c r="C150" i="2"/>
  <c r="B150" i="2" a="1"/>
  <c r="B150" i="2" s="1"/>
  <c r="Y149" i="2" a="1"/>
  <c r="Y149" i="2" s="1"/>
  <c r="S149" i="2"/>
  <c r="R149" i="2" a="1"/>
  <c r="R149" i="2" s="1"/>
  <c r="Q149" i="2" a="1"/>
  <c r="Q149" i="2"/>
  <c r="P149" i="2" a="1"/>
  <c r="P149" i="2" s="1"/>
  <c r="N149" i="2" a="1"/>
  <c r="N149" i="2" s="1"/>
  <c r="M149" i="2" a="1"/>
  <c r="M149" i="2" s="1"/>
  <c r="O149" i="2" s="1"/>
  <c r="L149" i="2" a="1"/>
  <c r="L149" i="2"/>
  <c r="E149" i="2" a="1"/>
  <c r="E149" i="2" s="1"/>
  <c r="D149" i="2" a="1"/>
  <c r="D149" i="2"/>
  <c r="C149" i="2" a="1"/>
  <c r="C149" i="2"/>
  <c r="B149" i="2" a="1"/>
  <c r="B149" i="2" s="1"/>
  <c r="Y148" i="2" a="1"/>
  <c r="Y148" i="2"/>
  <c r="S148" i="2"/>
  <c r="R148" i="2" a="1"/>
  <c r="R148" i="2" s="1"/>
  <c r="Q148" i="2" a="1"/>
  <c r="Q148" i="2" s="1"/>
  <c r="P148" i="2" a="1"/>
  <c r="P148" i="2"/>
  <c r="N148" i="2" a="1"/>
  <c r="N148" i="2" s="1"/>
  <c r="M148" i="2" a="1"/>
  <c r="M148" i="2" s="1"/>
  <c r="O148" i="2" s="1"/>
  <c r="L148" i="2" a="1"/>
  <c r="L148" i="2" s="1"/>
  <c r="K148" i="2" a="1"/>
  <c r="K148" i="2" s="1"/>
  <c r="H148" i="2" a="1"/>
  <c r="H148" i="2" s="1"/>
  <c r="E148" i="2" a="1"/>
  <c r="E148" i="2"/>
  <c r="D148" i="2" a="1"/>
  <c r="D148" i="2" s="1"/>
  <c r="C148" i="2" a="1"/>
  <c r="C148" i="2" s="1"/>
  <c r="B148" i="2" a="1"/>
  <c r="B148" i="2"/>
  <c r="Y147" i="2" a="1"/>
  <c r="Y147" i="2" s="1"/>
  <c r="S147" i="2"/>
  <c r="R147" i="2" a="1"/>
  <c r="R147" i="2"/>
  <c r="Q147" i="2" a="1"/>
  <c r="Q147" i="2" s="1"/>
  <c r="P147" i="2" a="1"/>
  <c r="P147" i="2" s="1"/>
  <c r="N147" i="2" a="1"/>
  <c r="N147" i="2" s="1"/>
  <c r="M147" i="2" a="1"/>
  <c r="M147" i="2"/>
  <c r="O147" i="2" s="1"/>
  <c r="L147" i="2" a="1"/>
  <c r="L147" i="2" s="1"/>
  <c r="E147" i="2" a="1"/>
  <c r="E147" i="2" s="1"/>
  <c r="D147" i="2" a="1"/>
  <c r="D147" i="2" s="1"/>
  <c r="C147" i="2" a="1"/>
  <c r="C147" i="2"/>
  <c r="B147" i="2" a="1"/>
  <c r="B147" i="2" s="1"/>
  <c r="Y146" i="2" a="1"/>
  <c r="Y146" i="2" s="1"/>
  <c r="S146" i="2"/>
  <c r="R146" i="2" a="1"/>
  <c r="R146" i="2" s="1"/>
  <c r="Q146" i="2" a="1"/>
  <c r="Q146" i="2" s="1"/>
  <c r="P146" i="2" a="1"/>
  <c r="P146" i="2"/>
  <c r="N146" i="2" a="1"/>
  <c r="N146" i="2" s="1"/>
  <c r="M146" i="2" a="1"/>
  <c r="M146" i="2" s="1"/>
  <c r="O146" i="2" s="1"/>
  <c r="L146" i="2" a="1"/>
  <c r="L146" i="2" s="1"/>
  <c r="K146" i="2" a="1"/>
  <c r="K146" i="2" s="1"/>
  <c r="H146" i="2" a="1"/>
  <c r="H146" i="2"/>
  <c r="E146" i="2" a="1"/>
  <c r="E146" i="2" s="1"/>
  <c r="D146" i="2" a="1"/>
  <c r="D146" i="2" s="1"/>
  <c r="C146" i="2" a="1"/>
  <c r="C146" i="2" s="1"/>
  <c r="B146" i="2" a="1"/>
  <c r="B146" i="2"/>
  <c r="Y145" i="2" a="1"/>
  <c r="Y145" i="2"/>
  <c r="S145" i="2"/>
  <c r="R145" i="2" a="1"/>
  <c r="R145" i="2"/>
  <c r="Q145" i="2" a="1"/>
  <c r="Q145" i="2" s="1"/>
  <c r="P145" i="2" a="1"/>
  <c r="P145" i="2"/>
  <c r="O145" i="2"/>
  <c r="N145" i="2" a="1"/>
  <c r="N145" i="2" s="1"/>
  <c r="M145" i="2" a="1"/>
  <c r="M145" i="2" s="1"/>
  <c r="L145" i="2" a="1"/>
  <c r="L145" i="2" s="1"/>
  <c r="K145" i="2" a="1"/>
  <c r="K145" i="2"/>
  <c r="H145" i="2" a="1"/>
  <c r="H145" i="2" s="1"/>
  <c r="E145" i="2" a="1"/>
  <c r="E145" i="2" s="1"/>
  <c r="D145" i="2" a="1"/>
  <c r="D145" i="2" s="1"/>
  <c r="C145" i="2" a="1"/>
  <c r="C145" i="2"/>
  <c r="B145" i="2" a="1"/>
  <c r="B145" i="2" s="1"/>
  <c r="Y144" i="2" a="1"/>
  <c r="Y144" i="2" s="1"/>
  <c r="S144" i="2"/>
  <c r="R144" i="2" a="1"/>
  <c r="R144" i="2" s="1"/>
  <c r="Q144" i="2" a="1"/>
  <c r="Q144" i="2" s="1"/>
  <c r="P144" i="2" a="1"/>
  <c r="P144" i="2"/>
  <c r="N144" i="2" a="1"/>
  <c r="N144" i="2"/>
  <c r="M144" i="2" a="1"/>
  <c r="M144" i="2" s="1"/>
  <c r="O144" i="2" s="1"/>
  <c r="L144" i="2" a="1"/>
  <c r="L144" i="2" s="1"/>
  <c r="E144" i="2" a="1"/>
  <c r="E144" i="2" s="1"/>
  <c r="D144" i="2" a="1"/>
  <c r="D144" i="2" s="1"/>
  <c r="C144" i="2" a="1"/>
  <c r="C144" i="2"/>
  <c r="B144" i="2" a="1"/>
  <c r="B144" i="2" s="1"/>
  <c r="Y143" i="2" a="1"/>
  <c r="Y143" i="2"/>
  <c r="S143" i="2"/>
  <c r="R143" i="2" a="1"/>
  <c r="R143" i="2" s="1"/>
  <c r="Q143" i="2" a="1"/>
  <c r="Q143" i="2" s="1"/>
  <c r="P143" i="2" a="1"/>
  <c r="P143" i="2" s="1"/>
  <c r="N143" i="2" a="1"/>
  <c r="N143" i="2" s="1"/>
  <c r="M143" i="2" a="1"/>
  <c r="M143" i="2" s="1"/>
  <c r="O143" i="2" s="1"/>
  <c r="L143" i="2" a="1"/>
  <c r="L143" i="2" s="1"/>
  <c r="E143" i="2" a="1"/>
  <c r="E143" i="2" s="1"/>
  <c r="D143" i="2" a="1"/>
  <c r="D143" i="2"/>
  <c r="C143" i="2" a="1"/>
  <c r="C143" i="2" s="1"/>
  <c r="B143" i="2" a="1"/>
  <c r="B143" i="2" s="1"/>
  <c r="Y142" i="2" a="1"/>
  <c r="Y142" i="2" s="1"/>
  <c r="S142" i="2"/>
  <c r="R142" i="2" a="1"/>
  <c r="R142" i="2" s="1"/>
  <c r="Q142" i="2" a="1"/>
  <c r="Q142" i="2" s="1"/>
  <c r="P142" i="2" a="1"/>
  <c r="P142" i="2"/>
  <c r="N142" i="2" a="1"/>
  <c r="N142" i="2" s="1"/>
  <c r="M142" i="2" a="1"/>
  <c r="M142" i="2"/>
  <c r="O142" i="2" s="1"/>
  <c r="L142" i="2" a="1"/>
  <c r="L142" i="2" s="1"/>
  <c r="E142" i="2" a="1"/>
  <c r="E142" i="2" s="1"/>
  <c r="D142" i="2" a="1"/>
  <c r="D142" i="2" s="1"/>
  <c r="C142" i="2" a="1"/>
  <c r="C142" i="2" s="1"/>
  <c r="B142" i="2" a="1"/>
  <c r="B142" i="2" s="1"/>
  <c r="Y141" i="2" a="1"/>
  <c r="Y141" i="2" s="1"/>
  <c r="S141" i="2"/>
  <c r="R141" i="2" a="1"/>
  <c r="R141" i="2"/>
  <c r="Q141" i="2" a="1"/>
  <c r="Q141" i="2" s="1"/>
  <c r="P141" i="2" a="1"/>
  <c r="P141" i="2" s="1"/>
  <c r="N141" i="2" a="1"/>
  <c r="N141" i="2" s="1"/>
  <c r="M141" i="2" a="1"/>
  <c r="M141" i="2" s="1"/>
  <c r="O141" i="2" s="1"/>
  <c r="L141" i="2" a="1"/>
  <c r="L141" i="2"/>
  <c r="E141" i="2" a="1"/>
  <c r="E141" i="2"/>
  <c r="D141" i="2" a="1"/>
  <c r="D141" i="2" s="1"/>
  <c r="C141" i="2" a="1"/>
  <c r="C141" i="2" s="1"/>
  <c r="B141" i="2" a="1"/>
  <c r="B141" i="2" s="1"/>
  <c r="Y140" i="2" a="1"/>
  <c r="Y140" i="2"/>
  <c r="S140" i="2"/>
  <c r="R140" i="2" a="1"/>
  <c r="R140" i="2" s="1"/>
  <c r="Q140" i="2" a="1"/>
  <c r="Q140" i="2" s="1"/>
  <c r="P140" i="2" a="1"/>
  <c r="P140" i="2"/>
  <c r="N140" i="2" a="1"/>
  <c r="N140" i="2" s="1"/>
  <c r="M140" i="2" a="1"/>
  <c r="M140" i="2"/>
  <c r="O140" i="2" s="1"/>
  <c r="L140" i="2" a="1"/>
  <c r="L140" i="2" s="1"/>
  <c r="K140" i="2" a="1"/>
  <c r="K140" i="2" s="1"/>
  <c r="H140" i="2" a="1"/>
  <c r="H140" i="2" s="1"/>
  <c r="E140" i="2" a="1"/>
  <c r="E140" i="2" s="1"/>
  <c r="D140" i="2" a="1"/>
  <c r="D140" i="2" s="1"/>
  <c r="C140" i="2" a="1"/>
  <c r="C140" i="2" s="1"/>
  <c r="B140" i="2" a="1"/>
  <c r="B140" i="2"/>
  <c r="Y139" i="2" a="1"/>
  <c r="Y139" i="2" s="1"/>
  <c r="S139" i="2"/>
  <c r="R139" i="2" a="1"/>
  <c r="R139" i="2" s="1"/>
  <c r="Q139" i="2" a="1"/>
  <c r="Q139" i="2" s="1"/>
  <c r="P139" i="2" a="1"/>
  <c r="P139" i="2"/>
  <c r="N139" i="2" a="1"/>
  <c r="N139" i="2" s="1"/>
  <c r="M139" i="2" a="1"/>
  <c r="M139" i="2" s="1"/>
  <c r="O139" i="2" s="1"/>
  <c r="L139" i="2" a="1"/>
  <c r="L139" i="2" s="1"/>
  <c r="E139" i="2" a="1"/>
  <c r="E139" i="2"/>
  <c r="D139" i="2" a="1"/>
  <c r="D139" i="2" s="1"/>
  <c r="C139" i="2" a="1"/>
  <c r="C139" i="2"/>
  <c r="B139" i="2" a="1"/>
  <c r="B139" i="2" s="1"/>
  <c r="Y138" i="2" a="1"/>
  <c r="Y138" i="2" s="1"/>
  <c r="S138" i="2"/>
  <c r="R138" i="2" a="1"/>
  <c r="R138" i="2" s="1"/>
  <c r="Q138" i="2" a="1"/>
  <c r="Q138" i="2"/>
  <c r="P138" i="2" a="1"/>
  <c r="P138" i="2"/>
  <c r="N138" i="2" a="1"/>
  <c r="N138" i="2" s="1"/>
  <c r="M138" i="2" a="1"/>
  <c r="M138" i="2" s="1"/>
  <c r="O138" i="2" s="1"/>
  <c r="L138" i="2" a="1"/>
  <c r="L138" i="2" s="1"/>
  <c r="E138" i="2" a="1"/>
  <c r="E138" i="2" s="1"/>
  <c r="D138" i="2" a="1"/>
  <c r="D138" i="2" s="1"/>
  <c r="C138" i="2" a="1"/>
  <c r="C138" i="2" s="1"/>
  <c r="B138" i="2" a="1"/>
  <c r="B138" i="2" s="1"/>
  <c r="Y137" i="2" a="1"/>
  <c r="Y137" i="2" s="1"/>
  <c r="S137" i="2"/>
  <c r="R137" i="2" a="1"/>
  <c r="R137" i="2"/>
  <c r="Q137" i="2" a="1"/>
  <c r="Q137" i="2" s="1"/>
  <c r="P137" i="2" a="1"/>
  <c r="P137" i="2"/>
  <c r="N137" i="2" a="1"/>
  <c r="N137" i="2" s="1"/>
  <c r="M137" i="2" a="1"/>
  <c r="M137" i="2" s="1"/>
  <c r="O137" i="2" s="1"/>
  <c r="L137" i="2" a="1"/>
  <c r="L137" i="2" s="1"/>
  <c r="E137" i="2" a="1"/>
  <c r="E137" i="2" s="1"/>
  <c r="D137" i="2" a="1"/>
  <c r="D137" i="2" s="1"/>
  <c r="C137" i="2" a="1"/>
  <c r="C137" i="2" s="1"/>
  <c r="B137" i="2" a="1"/>
  <c r="B137" i="2" s="1"/>
  <c r="Y136" i="2" a="1"/>
  <c r="Y136" i="2" s="1"/>
  <c r="S136" i="2"/>
  <c r="R136" i="2" a="1"/>
  <c r="R136" i="2" s="1"/>
  <c r="Q136" i="2" a="1"/>
  <c r="Q136" i="2" s="1"/>
  <c r="P136" i="2" a="1"/>
  <c r="P136" i="2"/>
  <c r="N136" i="2" a="1"/>
  <c r="N136" i="2" s="1"/>
  <c r="M136" i="2" a="1"/>
  <c r="M136" i="2" s="1"/>
  <c r="O136" i="2" s="1"/>
  <c r="L136" i="2" a="1"/>
  <c r="L136" i="2" s="1"/>
  <c r="E136" i="2" a="1"/>
  <c r="E136" i="2" s="1"/>
  <c r="D136" i="2" a="1"/>
  <c r="D136" i="2" s="1"/>
  <c r="C136" i="2" a="1"/>
  <c r="C136" i="2"/>
  <c r="B136" i="2" a="1"/>
  <c r="B136" i="2" s="1"/>
  <c r="Y135" i="2" a="1"/>
  <c r="Y135" i="2"/>
  <c r="S135" i="2"/>
  <c r="R135" i="2" a="1"/>
  <c r="R135" i="2" s="1"/>
  <c r="Q135" i="2" a="1"/>
  <c r="Q135" i="2" s="1"/>
  <c r="P135" i="2" a="1"/>
  <c r="P135" i="2" s="1"/>
  <c r="O135" i="2"/>
  <c r="N135" i="2" a="1"/>
  <c r="N135" i="2" s="1"/>
  <c r="M135" i="2" a="1"/>
  <c r="M135" i="2" s="1"/>
  <c r="L135" i="2" a="1"/>
  <c r="L135" i="2" s="1"/>
  <c r="E135" i="2" a="1"/>
  <c r="E135" i="2" s="1"/>
  <c r="D135" i="2" a="1"/>
  <c r="D135" i="2"/>
  <c r="C135" i="2" a="1"/>
  <c r="C135" i="2" s="1"/>
  <c r="B135" i="2" a="1"/>
  <c r="B135" i="2" s="1"/>
  <c r="Y134" i="2" a="1"/>
  <c r="Y134" i="2"/>
  <c r="S134" i="2"/>
  <c r="R134" i="2" a="1"/>
  <c r="R134" i="2"/>
  <c r="Q134" i="2" a="1"/>
  <c r="Q134" i="2" s="1"/>
  <c r="P134" i="2" a="1"/>
  <c r="P134" i="2"/>
  <c r="N134" i="2" a="1"/>
  <c r="N134" i="2" s="1"/>
  <c r="M134" i="2" a="1"/>
  <c r="M134" i="2" s="1"/>
  <c r="O134" i="2" s="1"/>
  <c r="L134" i="2" a="1"/>
  <c r="L134" i="2" s="1"/>
  <c r="K134" i="2" a="1"/>
  <c r="K134" i="2"/>
  <c r="H134" i="2" a="1"/>
  <c r="H134" i="2" s="1"/>
  <c r="E134" i="2" a="1"/>
  <c r="E134" i="2" s="1"/>
  <c r="D134" i="2" a="1"/>
  <c r="D134" i="2" s="1"/>
  <c r="C134" i="2" a="1"/>
  <c r="C134" i="2" s="1"/>
  <c r="B134" i="2" a="1"/>
  <c r="B134" i="2" s="1"/>
  <c r="Y133" i="2" a="1"/>
  <c r="Y133" i="2" s="1"/>
  <c r="S133" i="2"/>
  <c r="R133" i="2" a="1"/>
  <c r="R133" i="2" s="1"/>
  <c r="Q133" i="2" a="1"/>
  <c r="Q133" i="2"/>
  <c r="P133" i="2" a="1"/>
  <c r="P133" i="2" s="1"/>
  <c r="N133" i="2" a="1"/>
  <c r="N133" i="2" s="1"/>
  <c r="M133" i="2" a="1"/>
  <c r="M133" i="2" s="1"/>
  <c r="O133" i="2" s="1"/>
  <c r="L133" i="2" a="1"/>
  <c r="L133" i="2"/>
  <c r="K133" i="2" a="1"/>
  <c r="K133" i="2" s="1"/>
  <c r="H133" i="2" a="1"/>
  <c r="H133" i="2" s="1"/>
  <c r="E133" i="2" a="1"/>
  <c r="E133" i="2" s="1"/>
  <c r="D133" i="2" a="1"/>
  <c r="D133" i="2" s="1"/>
  <c r="C133" i="2" a="1"/>
  <c r="C133" i="2" s="1"/>
  <c r="B133" i="2" a="1"/>
  <c r="B133" i="2" s="1"/>
  <c r="Y132" i="2" a="1"/>
  <c r="Y132" i="2"/>
  <c r="S132" i="2"/>
  <c r="R132" i="2" a="1"/>
  <c r="R132" i="2" s="1"/>
  <c r="Q132" i="2" a="1"/>
  <c r="Q132" i="2"/>
  <c r="P132" i="2" a="1"/>
  <c r="P132" i="2"/>
  <c r="N132" i="2" a="1"/>
  <c r="N132" i="2" s="1"/>
  <c r="M132" i="2" a="1"/>
  <c r="M132" i="2" s="1"/>
  <c r="O132" i="2" s="1"/>
  <c r="L132" i="2" a="1"/>
  <c r="L132" i="2" s="1"/>
  <c r="E132" i="2" a="1"/>
  <c r="E132" i="2" s="1"/>
  <c r="D132" i="2" a="1"/>
  <c r="D132" i="2" s="1"/>
  <c r="C132" i="2" a="1"/>
  <c r="C132" i="2" s="1"/>
  <c r="B132" i="2" a="1"/>
  <c r="B132" i="2"/>
  <c r="Y131" i="2" a="1"/>
  <c r="Y131" i="2" s="1"/>
  <c r="S131" i="2"/>
  <c r="R131" i="2" a="1"/>
  <c r="R131" i="2" s="1"/>
  <c r="Q131" i="2" a="1"/>
  <c r="Q131" i="2" s="1"/>
  <c r="P131" i="2" a="1"/>
  <c r="P131" i="2" s="1"/>
  <c r="N131" i="2" a="1"/>
  <c r="N131" i="2" s="1"/>
  <c r="M131" i="2" a="1"/>
  <c r="M131" i="2" s="1"/>
  <c r="O131" i="2" s="1"/>
  <c r="L131" i="2" a="1"/>
  <c r="L131" i="2" s="1"/>
  <c r="K131" i="2" a="1"/>
  <c r="K131" i="2" s="1"/>
  <c r="H131" i="2" a="1"/>
  <c r="H131" i="2" s="1"/>
  <c r="E131" i="2" a="1"/>
  <c r="E131" i="2"/>
  <c r="D131" i="2" a="1"/>
  <c r="D131" i="2" s="1"/>
  <c r="C131" i="2" a="1"/>
  <c r="C131" i="2"/>
  <c r="B131" i="2" a="1"/>
  <c r="B131" i="2" s="1"/>
  <c r="Y130" i="2" a="1"/>
  <c r="Y130" i="2" s="1"/>
  <c r="S130" i="2"/>
  <c r="R130" i="2" a="1"/>
  <c r="R130" i="2" s="1"/>
  <c r="Q130" i="2" a="1"/>
  <c r="Q130" i="2" s="1"/>
  <c r="P130" i="2" a="1"/>
  <c r="P130" i="2"/>
  <c r="N130" i="2" a="1"/>
  <c r="N130" i="2"/>
  <c r="M130" i="2" a="1"/>
  <c r="M130" i="2" s="1"/>
  <c r="O130" i="2" s="1"/>
  <c r="L130" i="2" a="1"/>
  <c r="L130" i="2" s="1"/>
  <c r="K130" i="2" a="1"/>
  <c r="K130" i="2" s="1"/>
  <c r="H130" i="2" a="1"/>
  <c r="H130" i="2"/>
  <c r="E130" i="2" a="1"/>
  <c r="E130" i="2" s="1"/>
  <c r="D130" i="2" a="1"/>
  <c r="D130" i="2" s="1"/>
  <c r="C130" i="2" a="1"/>
  <c r="C130" i="2" s="1"/>
  <c r="B130" i="2" a="1"/>
  <c r="B130" i="2" s="1"/>
  <c r="Y129" i="2" a="1"/>
  <c r="Y129" i="2" s="1"/>
  <c r="S129" i="2"/>
  <c r="R129" i="2" a="1"/>
  <c r="R129" i="2"/>
  <c r="Q129" i="2" a="1"/>
  <c r="Q129" i="2" s="1"/>
  <c r="P129" i="2" a="1"/>
  <c r="P129" i="2"/>
  <c r="N129" i="2" a="1"/>
  <c r="N129" i="2" s="1"/>
  <c r="M129" i="2" a="1"/>
  <c r="M129" i="2" s="1"/>
  <c r="O129" i="2" s="1"/>
  <c r="L129" i="2" a="1"/>
  <c r="L129" i="2" s="1"/>
  <c r="K129" i="2" a="1"/>
  <c r="K129" i="2"/>
  <c r="H129" i="2" a="1"/>
  <c r="H129" i="2" s="1"/>
  <c r="E129" i="2" a="1"/>
  <c r="E129" i="2" s="1"/>
  <c r="D129" i="2" a="1"/>
  <c r="D129" i="2" s="1"/>
  <c r="C129" i="2" a="1"/>
  <c r="C129" i="2" s="1"/>
  <c r="B129" i="2" a="1"/>
  <c r="B129" i="2" s="1"/>
  <c r="Y128" i="2" a="1"/>
  <c r="Y128" i="2" s="1"/>
  <c r="S128" i="2"/>
  <c r="R128" i="2" a="1"/>
  <c r="R128" i="2" s="1"/>
  <c r="Q128" i="2" a="1"/>
  <c r="Q128" i="2" s="1"/>
  <c r="P128" i="2" a="1"/>
  <c r="P128" i="2"/>
  <c r="N128" i="2" a="1"/>
  <c r="N128" i="2" s="1"/>
  <c r="M128" i="2" a="1"/>
  <c r="M128" i="2" s="1"/>
  <c r="O128" i="2" s="1"/>
  <c r="L128" i="2" a="1"/>
  <c r="L128" i="2" s="1"/>
  <c r="K128" i="2" a="1"/>
  <c r="K128" i="2" s="1"/>
  <c r="H128" i="2" a="1"/>
  <c r="H128" i="2" s="1"/>
  <c r="E128" i="2" a="1"/>
  <c r="E128" i="2" s="1"/>
  <c r="D128" i="2" a="1"/>
  <c r="D128" i="2" s="1"/>
  <c r="C128" i="2" a="1"/>
  <c r="C128" i="2"/>
  <c r="B128" i="2" a="1"/>
  <c r="B128" i="2" s="1"/>
  <c r="Y127" i="2" a="1"/>
  <c r="Y127" i="2"/>
  <c r="S127" i="2"/>
  <c r="R127" i="2" a="1"/>
  <c r="R127" i="2" s="1"/>
  <c r="Q127" i="2" a="1"/>
  <c r="Q127" i="2"/>
  <c r="P127" i="2" a="1"/>
  <c r="P127" i="2" s="1"/>
  <c r="N127" i="2" a="1"/>
  <c r="N127" i="2" s="1"/>
  <c r="M127" i="2" a="1"/>
  <c r="M127" i="2" s="1"/>
  <c r="O127" i="2" s="1"/>
  <c r="L127" i="2" a="1"/>
  <c r="L127" i="2" s="1"/>
  <c r="K127" i="2" a="1"/>
  <c r="K127" i="2" s="1"/>
  <c r="H127" i="2" a="1"/>
  <c r="H127" i="2" s="1"/>
  <c r="E127" i="2" a="1"/>
  <c r="E127" i="2" s="1"/>
  <c r="D127" i="2" a="1"/>
  <c r="D127" i="2"/>
  <c r="C127" i="2" a="1"/>
  <c r="C127" i="2" s="1"/>
  <c r="B127" i="2" a="1"/>
  <c r="B127" i="2" s="1"/>
  <c r="Y126" i="2" a="1"/>
  <c r="Y126" i="2" s="1"/>
  <c r="S126" i="2"/>
  <c r="R126" i="2" a="1"/>
  <c r="R126" i="2"/>
  <c r="Q126" i="2" a="1"/>
  <c r="Q126" i="2" s="1"/>
  <c r="P126" i="2" a="1"/>
  <c r="P126" i="2"/>
  <c r="N126" i="2" a="1"/>
  <c r="N126" i="2" s="1"/>
  <c r="M126" i="2" a="1"/>
  <c r="M126" i="2" s="1"/>
  <c r="O126" i="2" s="1"/>
  <c r="L126" i="2" a="1"/>
  <c r="L126" i="2" s="1"/>
  <c r="K126" i="2" a="1"/>
  <c r="K126" i="2"/>
  <c r="H126" i="2" a="1"/>
  <c r="H126" i="2" s="1"/>
  <c r="E126" i="2" a="1"/>
  <c r="E126" i="2" s="1"/>
  <c r="D126" i="2" a="1"/>
  <c r="D126" i="2" s="1"/>
  <c r="C126" i="2" a="1"/>
  <c r="C126" i="2" s="1"/>
  <c r="B126" i="2" a="1"/>
  <c r="B126" i="2" s="1"/>
  <c r="Y125" i="2" a="1"/>
  <c r="Y125" i="2" s="1"/>
  <c r="S125" i="2"/>
  <c r="R125" i="2" a="1"/>
  <c r="R125" i="2" s="1"/>
  <c r="Q125" i="2" a="1"/>
  <c r="Q125" i="2"/>
  <c r="P125" i="2" a="1"/>
  <c r="P125" i="2" s="1"/>
  <c r="N125" i="2" a="1"/>
  <c r="N125" i="2" s="1"/>
  <c r="M125" i="2" a="1"/>
  <c r="M125" i="2" s="1"/>
  <c r="O125" i="2" s="1"/>
  <c r="L125" i="2" a="1"/>
  <c r="L125" i="2"/>
  <c r="K125" i="2" a="1"/>
  <c r="K125" i="2" s="1"/>
  <c r="H125" i="2" a="1"/>
  <c r="H125" i="2" s="1"/>
  <c r="E125" i="2" a="1"/>
  <c r="E125" i="2" s="1"/>
  <c r="D125" i="2" a="1"/>
  <c r="D125" i="2" s="1"/>
  <c r="C125" i="2" a="1"/>
  <c r="C125" i="2" s="1"/>
  <c r="B125" i="2" a="1"/>
  <c r="B125" i="2" s="1"/>
  <c r="Y124" i="2" a="1"/>
  <c r="Y124" i="2"/>
  <c r="S124" i="2"/>
  <c r="R124" i="2" a="1"/>
  <c r="R124" i="2" s="1"/>
  <c r="Q124" i="2" a="1"/>
  <c r="Q124" i="2" s="1"/>
  <c r="P124" i="2" a="1"/>
  <c r="P124" i="2"/>
  <c r="N124" i="2" a="1"/>
  <c r="N124" i="2" s="1"/>
  <c r="M124" i="2" a="1"/>
  <c r="M124" i="2" s="1"/>
  <c r="O124" i="2" s="1"/>
  <c r="L124" i="2" a="1"/>
  <c r="L124" i="2" s="1"/>
  <c r="K124" i="2" a="1"/>
  <c r="K124" i="2" s="1"/>
  <c r="H124" i="2" a="1"/>
  <c r="H124" i="2"/>
  <c r="E124" i="2" a="1"/>
  <c r="E124" i="2" s="1"/>
  <c r="D124" i="2" a="1"/>
  <c r="D124" i="2" s="1"/>
  <c r="C124" i="2" a="1"/>
  <c r="C124" i="2" s="1"/>
  <c r="B124" i="2" a="1"/>
  <c r="B124" i="2"/>
  <c r="Y123" i="2" a="1"/>
  <c r="Y123" i="2" s="1"/>
  <c r="S123" i="2"/>
  <c r="R123" i="2" a="1"/>
  <c r="R123" i="2"/>
  <c r="Q123" i="2" a="1"/>
  <c r="Q123" i="2" s="1"/>
  <c r="P123" i="2" a="1"/>
  <c r="P123" i="2" s="1"/>
  <c r="N123" i="2" a="1"/>
  <c r="N123" i="2" s="1"/>
  <c r="M123" i="2" a="1"/>
  <c r="M123" i="2" s="1"/>
  <c r="O123" i="2" s="1"/>
  <c r="L123" i="2" a="1"/>
  <c r="L123" i="2" s="1"/>
  <c r="E123" i="2" a="1"/>
  <c r="E123" i="2"/>
  <c r="D123" i="2" a="1"/>
  <c r="D123" i="2" s="1"/>
  <c r="C123" i="2" a="1"/>
  <c r="C123" i="2"/>
  <c r="B123" i="2" a="1"/>
  <c r="B123" i="2" s="1"/>
  <c r="Y122" i="2" a="1"/>
  <c r="Y122" i="2" s="1"/>
  <c r="S122" i="2"/>
  <c r="R122" i="2" a="1"/>
  <c r="R122" i="2" s="1"/>
  <c r="Q122" i="2" a="1"/>
  <c r="Q122" i="2"/>
  <c r="P122" i="2" a="1"/>
  <c r="P122" i="2"/>
  <c r="N122" i="2" a="1"/>
  <c r="N122" i="2" s="1"/>
  <c r="M122" i="2" a="1"/>
  <c r="M122" i="2" s="1"/>
  <c r="O122" i="2" s="1"/>
  <c r="L122" i="2" a="1"/>
  <c r="L122" i="2" s="1"/>
  <c r="K122" i="2" a="1"/>
  <c r="K122" i="2" s="1"/>
  <c r="H122" i="2" a="1"/>
  <c r="H122" i="2"/>
  <c r="E122" i="2" a="1"/>
  <c r="E122" i="2" s="1"/>
  <c r="D122" i="2" a="1"/>
  <c r="D122" i="2" s="1"/>
  <c r="C122" i="2" a="1"/>
  <c r="C122" i="2"/>
  <c r="B122" i="2" a="1"/>
  <c r="B122" i="2" s="1"/>
  <c r="Y121" i="2" a="1"/>
  <c r="Y121" i="2" s="1"/>
  <c r="S121" i="2"/>
  <c r="R121" i="2" a="1"/>
  <c r="R121" i="2" s="1"/>
  <c r="Q121" i="2" a="1"/>
  <c r="Q121" i="2" s="1"/>
  <c r="P121" i="2" a="1"/>
  <c r="P121" i="2"/>
  <c r="N121" i="2" a="1"/>
  <c r="N121" i="2" s="1"/>
  <c r="M121" i="2" a="1"/>
  <c r="M121" i="2"/>
  <c r="O121" i="2" s="1"/>
  <c r="L121" i="2" a="1"/>
  <c r="L121" i="2" s="1"/>
  <c r="K121" i="2" a="1"/>
  <c r="K121" i="2"/>
  <c r="H121" i="2" a="1"/>
  <c r="H121" i="2" s="1"/>
  <c r="E121" i="2" a="1"/>
  <c r="E121" i="2" s="1"/>
  <c r="D121" i="2" a="1"/>
  <c r="D121" i="2" s="1"/>
  <c r="C121" i="2" a="1"/>
  <c r="C121" i="2" s="1"/>
  <c r="B121" i="2" a="1"/>
  <c r="B121" i="2" s="1"/>
  <c r="Y120" i="2" a="1"/>
  <c r="Y120" i="2" s="1"/>
  <c r="S120" i="2"/>
  <c r="R120" i="2" a="1"/>
  <c r="R120" i="2" s="1"/>
  <c r="Q120" i="2" a="1"/>
  <c r="Q120" i="2" s="1"/>
  <c r="P120" i="2" a="1"/>
  <c r="P120" i="2"/>
  <c r="N120" i="2" a="1"/>
  <c r="N120" i="2"/>
  <c r="M120" i="2" a="1"/>
  <c r="M120" i="2" s="1"/>
  <c r="O120" i="2" s="1"/>
  <c r="L120" i="2" a="1"/>
  <c r="L120" i="2" s="1"/>
  <c r="K120" i="2" a="1"/>
  <c r="K120" i="2" s="1"/>
  <c r="H120" i="2" a="1"/>
  <c r="H120" i="2" s="1"/>
  <c r="E120" i="2" a="1"/>
  <c r="E120" i="2" s="1"/>
  <c r="D120" i="2" a="1"/>
  <c r="D120" i="2" s="1"/>
  <c r="C120" i="2" a="1"/>
  <c r="C120" i="2"/>
  <c r="B120" i="2" a="1"/>
  <c r="B120" i="2" s="1"/>
  <c r="Y119" i="2" a="1"/>
  <c r="Y119" i="2"/>
  <c r="S119" i="2"/>
  <c r="R119" i="2" a="1"/>
  <c r="R119" i="2" s="1"/>
  <c r="Q119" i="2" a="1"/>
  <c r="Q119" i="2" s="1"/>
  <c r="P119" i="2" a="1"/>
  <c r="P119" i="2" s="1"/>
  <c r="N119" i="2" a="1"/>
  <c r="N119" i="2" s="1"/>
  <c r="M119" i="2" a="1"/>
  <c r="M119" i="2" s="1"/>
  <c r="O119" i="2" s="1"/>
  <c r="L119" i="2" a="1"/>
  <c r="L119" i="2" s="1"/>
  <c r="K119" i="2" a="1"/>
  <c r="K119" i="2" s="1"/>
  <c r="H119" i="2" a="1"/>
  <c r="H119" i="2" s="1"/>
  <c r="E119" i="2" a="1"/>
  <c r="E119" i="2" s="1"/>
  <c r="D119" i="2" a="1"/>
  <c r="D119" i="2"/>
  <c r="C119" i="2" a="1"/>
  <c r="C119" i="2" s="1"/>
  <c r="B119" i="2" a="1"/>
  <c r="B119" i="2" s="1"/>
  <c r="Y118" i="2" a="1"/>
  <c r="Y118" i="2" s="1"/>
  <c r="S118" i="2"/>
  <c r="R118" i="2" a="1"/>
  <c r="R118" i="2" s="1"/>
  <c r="Q118" i="2" a="1"/>
  <c r="Q118" i="2" s="1"/>
  <c r="P118" i="2" a="1"/>
  <c r="P118" i="2"/>
  <c r="N118" i="2" a="1"/>
  <c r="N118" i="2" s="1"/>
  <c r="M118" i="2" a="1"/>
  <c r="M118" i="2" s="1"/>
  <c r="O118" i="2" s="1"/>
  <c r="L118" i="2" a="1"/>
  <c r="L118" i="2" s="1"/>
  <c r="E118" i="2" a="1"/>
  <c r="E118" i="2" s="1"/>
  <c r="D118" i="2" a="1"/>
  <c r="D118" i="2" s="1"/>
  <c r="C118" i="2" a="1"/>
  <c r="C118" i="2" s="1"/>
  <c r="B118" i="2" a="1"/>
  <c r="B118" i="2"/>
  <c r="Y117" i="2" a="1"/>
  <c r="Y117" i="2" s="1"/>
  <c r="S117" i="2"/>
  <c r="R117" i="2" a="1"/>
  <c r="R117" i="2" s="1"/>
  <c r="Q117" i="2" a="1"/>
  <c r="Q117" i="2"/>
  <c r="P117" i="2" a="1"/>
  <c r="P117" i="2" s="1"/>
  <c r="N117" i="2" a="1"/>
  <c r="N117" i="2" s="1"/>
  <c r="M117" i="2" a="1"/>
  <c r="M117" i="2" s="1"/>
  <c r="O117" i="2" s="1"/>
  <c r="L117" i="2" a="1"/>
  <c r="L117" i="2"/>
  <c r="K117" i="2" a="1"/>
  <c r="K117" i="2" s="1"/>
  <c r="H117" i="2" a="1"/>
  <c r="H117" i="2" s="1"/>
  <c r="E117" i="2" a="1"/>
  <c r="E117" i="2" s="1"/>
  <c r="D117" i="2" a="1"/>
  <c r="D117" i="2" s="1"/>
  <c r="C117" i="2" a="1"/>
  <c r="C117" i="2"/>
  <c r="B117" i="2" a="1"/>
  <c r="B117" i="2" s="1"/>
  <c r="Y116" i="2" a="1"/>
  <c r="Y116" i="2"/>
  <c r="S116" i="2"/>
  <c r="R116" i="2" a="1"/>
  <c r="R116" i="2" s="1"/>
  <c r="Q116" i="2" a="1"/>
  <c r="Q116" i="2" s="1"/>
  <c r="P116" i="2" a="1"/>
  <c r="P116" i="2"/>
  <c r="N116" i="2" a="1"/>
  <c r="N116" i="2" s="1"/>
  <c r="M116" i="2" a="1"/>
  <c r="M116" i="2" s="1"/>
  <c r="O116" i="2" s="1"/>
  <c r="L116" i="2" a="1"/>
  <c r="L116" i="2" s="1"/>
  <c r="E116" i="2" a="1"/>
  <c r="E116" i="2" s="1"/>
  <c r="D116" i="2" a="1"/>
  <c r="D116" i="2" s="1"/>
  <c r="C116" i="2" a="1"/>
  <c r="C116" i="2" s="1"/>
  <c r="B116" i="2" a="1"/>
  <c r="B116" i="2"/>
  <c r="Y115" i="2" a="1"/>
  <c r="Y115" i="2" s="1"/>
  <c r="S115" i="2"/>
  <c r="R115" i="2" a="1"/>
  <c r="R115" i="2" s="1"/>
  <c r="Q115" i="2" a="1"/>
  <c r="Q115" i="2" s="1"/>
  <c r="P115" i="2" a="1"/>
  <c r="P115" i="2" s="1"/>
  <c r="N115" i="2" a="1"/>
  <c r="N115" i="2" s="1"/>
  <c r="M115" i="2" a="1"/>
  <c r="M115" i="2" s="1"/>
  <c r="O115" i="2" s="1"/>
  <c r="L115" i="2" a="1"/>
  <c r="L115" i="2" s="1"/>
  <c r="E115" i="2" a="1"/>
  <c r="E115" i="2"/>
  <c r="D115" i="2" a="1"/>
  <c r="D115" i="2" s="1"/>
  <c r="C115" i="2" a="1"/>
  <c r="C115" i="2"/>
  <c r="B115" i="2" a="1"/>
  <c r="B115" i="2" s="1"/>
  <c r="Y114" i="2" a="1"/>
  <c r="Y114" i="2" s="1"/>
  <c r="S114" i="2"/>
  <c r="R114" i="2" a="1"/>
  <c r="R114" i="2" s="1"/>
  <c r="Q114" i="2" a="1"/>
  <c r="Q114" i="2" s="1"/>
  <c r="P114" i="2" a="1"/>
  <c r="P114" i="2"/>
  <c r="N114" i="2" a="1"/>
  <c r="N114" i="2"/>
  <c r="M114" i="2" a="1"/>
  <c r="M114" i="2" s="1"/>
  <c r="O114" i="2" s="1"/>
  <c r="L114" i="2" a="1"/>
  <c r="L114" i="2" s="1"/>
  <c r="E114" i="2" a="1"/>
  <c r="E114" i="2" s="1"/>
  <c r="D114" i="2" a="1"/>
  <c r="D114" i="2" s="1"/>
  <c r="C114" i="2" a="1"/>
  <c r="C114" i="2" s="1"/>
  <c r="B114" i="2" a="1"/>
  <c r="B114" i="2" s="1"/>
  <c r="Y113" i="2" a="1"/>
  <c r="Y113" i="2"/>
  <c r="S113" i="2"/>
  <c r="R113" i="2" a="1"/>
  <c r="R113" i="2" s="1"/>
  <c r="Q113" i="2" a="1"/>
  <c r="Q113" i="2" s="1"/>
  <c r="P113" i="2" a="1"/>
  <c r="P113" i="2"/>
  <c r="O113" i="2"/>
  <c r="N113" i="2" a="1"/>
  <c r="N113" i="2" s="1"/>
  <c r="M113" i="2" a="1"/>
  <c r="M113" i="2" s="1"/>
  <c r="L113" i="2" a="1"/>
  <c r="L113" i="2" s="1"/>
  <c r="E113" i="2" a="1"/>
  <c r="E113" i="2" s="1"/>
  <c r="D113" i="2" a="1"/>
  <c r="D113" i="2" s="1"/>
  <c r="C113" i="2" a="1"/>
  <c r="C113" i="2"/>
  <c r="B113" i="2" a="1"/>
  <c r="B113" i="2" s="1"/>
  <c r="Y112" i="2" a="1"/>
  <c r="Y112" i="2" s="1"/>
  <c r="S112" i="2"/>
  <c r="R112" i="2" a="1"/>
  <c r="R112" i="2" s="1"/>
  <c r="Q112" i="2" a="1"/>
  <c r="Q112" i="2" s="1"/>
  <c r="P112" i="2" a="1"/>
  <c r="P112" i="2"/>
  <c r="N112" i="2" a="1"/>
  <c r="N112" i="2" s="1"/>
  <c r="M112" i="2" a="1"/>
  <c r="M112" i="2" s="1"/>
  <c r="O112" i="2" s="1"/>
  <c r="L112" i="2" a="1"/>
  <c r="L112" i="2" s="1"/>
  <c r="K112" i="2" a="1"/>
  <c r="K112" i="2"/>
  <c r="H112" i="2" a="1"/>
  <c r="H112" i="2" s="1"/>
  <c r="E112" i="2" a="1"/>
  <c r="E112" i="2" s="1"/>
  <c r="D112" i="2" a="1"/>
  <c r="D112" i="2" s="1"/>
  <c r="C112" i="2" a="1"/>
  <c r="C112" i="2"/>
  <c r="B112" i="2" a="1"/>
  <c r="B112" i="2" s="1"/>
  <c r="Y111" i="2" a="1"/>
  <c r="Y111" i="2"/>
  <c r="S111" i="2"/>
  <c r="R111" i="2" a="1"/>
  <c r="R111" i="2" s="1"/>
  <c r="Q111" i="2" a="1"/>
  <c r="Q111" i="2"/>
  <c r="P111" i="2" a="1"/>
  <c r="P111" i="2" s="1"/>
  <c r="N111" i="2" a="1"/>
  <c r="N111" i="2" s="1"/>
  <c r="M111" i="2" a="1"/>
  <c r="M111" i="2" s="1"/>
  <c r="O111" i="2" s="1"/>
  <c r="L111" i="2" a="1"/>
  <c r="L111" i="2"/>
  <c r="K111" i="2" a="1"/>
  <c r="K111" i="2" s="1"/>
  <c r="H111" i="2" a="1"/>
  <c r="H111" i="2" s="1"/>
  <c r="E111" i="2" a="1"/>
  <c r="E111" i="2" s="1"/>
  <c r="D111" i="2" a="1"/>
  <c r="D111" i="2"/>
  <c r="C111" i="2" a="1"/>
  <c r="C111" i="2" s="1"/>
  <c r="B111" i="2" a="1"/>
  <c r="B111" i="2" s="1"/>
  <c r="Y110" i="2" a="1"/>
  <c r="Y110" i="2" s="1"/>
  <c r="S110" i="2"/>
  <c r="R110" i="2" a="1"/>
  <c r="R110" i="2"/>
  <c r="Q110" i="2" a="1"/>
  <c r="Q110" i="2" s="1"/>
  <c r="P110" i="2" a="1"/>
  <c r="P110" i="2"/>
  <c r="N110" i="2" a="1"/>
  <c r="N110" i="2" s="1"/>
  <c r="M110" i="2" a="1"/>
  <c r="M110" i="2" s="1"/>
  <c r="O110" i="2" s="1"/>
  <c r="L110" i="2" a="1"/>
  <c r="L110" i="2" s="1"/>
  <c r="K110" i="2" a="1"/>
  <c r="K110" i="2"/>
  <c r="H110" i="2" a="1"/>
  <c r="H110" i="2" s="1"/>
  <c r="E110" i="2" a="1"/>
  <c r="E110" i="2" s="1"/>
  <c r="D110" i="2" a="1"/>
  <c r="D110" i="2" s="1"/>
  <c r="C110" i="2" a="1"/>
  <c r="C110" i="2" s="1"/>
  <c r="B110" i="2" a="1"/>
  <c r="B110" i="2" s="1"/>
  <c r="Y109" i="2" a="1"/>
  <c r="Y109" i="2" s="1"/>
  <c r="S109" i="2"/>
  <c r="R109" i="2" a="1"/>
  <c r="R109" i="2" s="1"/>
  <c r="Q109" i="2" a="1"/>
  <c r="Q109" i="2"/>
  <c r="P109" i="2" a="1"/>
  <c r="P109" i="2" s="1"/>
  <c r="N109" i="2" a="1"/>
  <c r="N109" i="2" s="1"/>
  <c r="M109" i="2" a="1"/>
  <c r="M109" i="2" s="1"/>
  <c r="O109" i="2" s="1"/>
  <c r="L109" i="2" a="1"/>
  <c r="L109" i="2"/>
  <c r="E109" i="2" a="1"/>
  <c r="E109" i="2" s="1"/>
  <c r="D109" i="2" a="1"/>
  <c r="D109" i="2" s="1"/>
  <c r="C109" i="2" a="1"/>
  <c r="C109" i="2" s="1"/>
  <c r="B109" i="2" a="1"/>
  <c r="B109" i="2" s="1"/>
  <c r="Y108" i="2" a="1"/>
  <c r="Y108" i="2"/>
  <c r="S108" i="2"/>
  <c r="R108" i="2" a="1"/>
  <c r="R108" i="2" s="1"/>
  <c r="Q108" i="2" a="1"/>
  <c r="Q108" i="2" s="1"/>
  <c r="P108" i="2" a="1"/>
  <c r="P108" i="2"/>
  <c r="N108" i="2" a="1"/>
  <c r="N108" i="2" s="1"/>
  <c r="M108" i="2" a="1"/>
  <c r="M108" i="2"/>
  <c r="O108" i="2" s="1"/>
  <c r="L108" i="2" a="1"/>
  <c r="L108" i="2" s="1"/>
  <c r="K108" i="2" a="1"/>
  <c r="K108" i="2"/>
  <c r="H108" i="2" a="1"/>
  <c r="H108" i="2"/>
  <c r="E108" i="2" a="1"/>
  <c r="E108" i="2" s="1"/>
  <c r="D108" i="2" a="1"/>
  <c r="D108" i="2" s="1"/>
  <c r="C108" i="2" a="1"/>
  <c r="C108" i="2" s="1"/>
  <c r="B108" i="2" a="1"/>
  <c r="B108" i="2"/>
  <c r="Y107" i="2" a="1"/>
  <c r="Y107" i="2" s="1"/>
  <c r="S107" i="2"/>
  <c r="R107" i="2" a="1"/>
  <c r="R107" i="2"/>
  <c r="Q107" i="2" a="1"/>
  <c r="Q107" i="2" s="1"/>
  <c r="P107" i="2" a="1"/>
  <c r="P107" i="2" s="1"/>
  <c r="N107" i="2" a="1"/>
  <c r="N107" i="2" s="1"/>
  <c r="M107" i="2" a="1"/>
  <c r="M107" i="2" s="1"/>
  <c r="O107" i="2" s="1"/>
  <c r="L107" i="2" a="1"/>
  <c r="L107" i="2" s="1"/>
  <c r="E107" i="2" a="1"/>
  <c r="E107" i="2" s="1"/>
  <c r="D107" i="2" a="1"/>
  <c r="D107" i="2" s="1"/>
  <c r="C107" i="2" a="1"/>
  <c r="C107" i="2"/>
  <c r="B107" i="2" a="1"/>
  <c r="B107" i="2" s="1"/>
  <c r="Y106" i="2" a="1"/>
  <c r="Y106" i="2" s="1"/>
  <c r="S106" i="2"/>
  <c r="R106" i="2" a="1"/>
  <c r="R106" i="2" s="1"/>
  <c r="Q106" i="2" a="1"/>
  <c r="Q106" i="2" s="1"/>
  <c r="P106" i="2" a="1"/>
  <c r="P106" i="2"/>
  <c r="N106" i="2" a="1"/>
  <c r="N106" i="2" s="1"/>
  <c r="M106" i="2" a="1"/>
  <c r="M106" i="2" s="1"/>
  <c r="O106" i="2" s="1"/>
  <c r="L106" i="2" a="1"/>
  <c r="L106" i="2" s="1"/>
  <c r="E106" i="2" a="1"/>
  <c r="E106" i="2" s="1"/>
  <c r="D106" i="2" a="1"/>
  <c r="D106" i="2" s="1"/>
  <c r="C106" i="2" a="1"/>
  <c r="C106" i="2"/>
  <c r="B106" i="2" a="1"/>
  <c r="B106" i="2" s="1"/>
  <c r="Y105" i="2" a="1"/>
  <c r="Y105" i="2" s="1"/>
  <c r="S105" i="2"/>
  <c r="R105" i="2" a="1"/>
  <c r="R105" i="2"/>
  <c r="Q105" i="2" a="1"/>
  <c r="Q105" i="2" s="1"/>
  <c r="P105" i="2" a="1"/>
  <c r="P105" i="2"/>
  <c r="N105" i="2" a="1"/>
  <c r="N105" i="2" s="1"/>
  <c r="M105" i="2" a="1"/>
  <c r="M105" i="2" s="1"/>
  <c r="O105" i="2" s="1"/>
  <c r="L105" i="2" a="1"/>
  <c r="L105" i="2" s="1"/>
  <c r="K105" i="2" a="1"/>
  <c r="K105" i="2"/>
  <c r="H105" i="2" a="1"/>
  <c r="H105" i="2" s="1"/>
  <c r="E105" i="2" a="1"/>
  <c r="E105" i="2" s="1"/>
  <c r="D105" i="2" a="1"/>
  <c r="D105" i="2"/>
  <c r="C105" i="2" a="1"/>
  <c r="C105" i="2" s="1"/>
  <c r="B105" i="2" a="1"/>
  <c r="B105" i="2" s="1"/>
  <c r="Y104" i="2" a="1"/>
  <c r="Y104" i="2" s="1"/>
  <c r="S104" i="2"/>
  <c r="R104" i="2" a="1"/>
  <c r="R104" i="2" s="1"/>
  <c r="Q104" i="2" a="1"/>
  <c r="Q104" i="2" s="1"/>
  <c r="P104" i="2" a="1"/>
  <c r="P104" i="2"/>
  <c r="N104" i="2" a="1"/>
  <c r="N104" i="2"/>
  <c r="M104" i="2" a="1"/>
  <c r="M104" i="2" s="1"/>
  <c r="O104" i="2" s="1"/>
  <c r="L104" i="2" a="1"/>
  <c r="L104" i="2" s="1"/>
  <c r="E104" i="2" a="1"/>
  <c r="E104" i="2"/>
  <c r="D104" i="2" a="1"/>
  <c r="D104" i="2" s="1"/>
  <c r="C104" i="2" a="1"/>
  <c r="C104" i="2"/>
  <c r="B104" i="2" a="1"/>
  <c r="B104" i="2" s="1"/>
  <c r="Y103" i="2" a="1"/>
  <c r="Y103" i="2"/>
  <c r="S103" i="2"/>
  <c r="R103" i="2" a="1"/>
  <c r="R103" i="2" s="1"/>
  <c r="Q103" i="2" a="1"/>
  <c r="Q103" i="2" s="1"/>
  <c r="P103" i="2" a="1"/>
  <c r="P103" i="2" s="1"/>
  <c r="N103" i="2" a="1"/>
  <c r="N103" i="2" s="1"/>
  <c r="M103" i="2" a="1"/>
  <c r="M103" i="2" s="1"/>
  <c r="O103" i="2" s="1"/>
  <c r="L103" i="2" a="1"/>
  <c r="L103" i="2" s="1"/>
  <c r="K103" i="2" a="1"/>
  <c r="K103" i="2" s="1"/>
  <c r="H103" i="2" a="1"/>
  <c r="H103" i="2" s="1"/>
  <c r="E103" i="2" a="1"/>
  <c r="E103" i="2" s="1"/>
  <c r="D103" i="2" a="1"/>
  <c r="D103" i="2"/>
  <c r="C103" i="2" a="1"/>
  <c r="C103" i="2" s="1"/>
  <c r="B103" i="2" a="1"/>
  <c r="B103" i="2" s="1"/>
  <c r="Y102" i="2" a="1"/>
  <c r="Y102" i="2"/>
  <c r="S102" i="2"/>
  <c r="R102" i="2" a="1"/>
  <c r="R102" i="2"/>
  <c r="Q102" i="2" a="1"/>
  <c r="Q102" i="2" s="1"/>
  <c r="P102" i="2" a="1"/>
  <c r="P102" i="2"/>
  <c r="N102" i="2" a="1"/>
  <c r="N102" i="2" s="1"/>
  <c r="M102" i="2" a="1"/>
  <c r="M102" i="2" s="1"/>
  <c r="O102" i="2" s="1"/>
  <c r="L102" i="2" a="1"/>
  <c r="L102" i="2" s="1"/>
  <c r="K102" i="2" a="1"/>
  <c r="K102" i="2"/>
  <c r="H102" i="2" a="1"/>
  <c r="H102" i="2" s="1"/>
  <c r="E102" i="2" a="1"/>
  <c r="E102" i="2"/>
  <c r="D102" i="2" a="1"/>
  <c r="D102" i="2" s="1"/>
  <c r="C102" i="2" a="1"/>
  <c r="C102" i="2" s="1"/>
  <c r="B102" i="2" a="1"/>
  <c r="B102" i="2"/>
  <c r="Y101" i="2" a="1"/>
  <c r="Y101" i="2" s="1"/>
  <c r="S101" i="2"/>
  <c r="R101" i="2" a="1"/>
  <c r="R101" i="2"/>
  <c r="Q101" i="2" a="1"/>
  <c r="Q101" i="2" s="1"/>
  <c r="P101" i="2" a="1"/>
  <c r="P101" i="2" s="1"/>
  <c r="N101" i="2" a="1"/>
  <c r="N101" i="2" s="1"/>
  <c r="M101" i="2" a="1"/>
  <c r="M101" i="2" s="1"/>
  <c r="O101" i="2" s="1"/>
  <c r="L101" i="2" a="1"/>
  <c r="L101" i="2"/>
  <c r="E101" i="2" a="1"/>
  <c r="E101" i="2" s="1"/>
  <c r="D101" i="2" a="1"/>
  <c r="D101" i="2"/>
  <c r="C101" i="2" a="1"/>
  <c r="C101" i="2" s="1"/>
  <c r="B101" i="2" a="1"/>
  <c r="B101" i="2" s="1"/>
  <c r="Y100" i="2" a="1"/>
  <c r="Y100" i="2"/>
  <c r="S100" i="2"/>
  <c r="R100" i="2" a="1"/>
  <c r="R100" i="2" s="1"/>
  <c r="Q100" i="2" a="1"/>
  <c r="Q100" i="2" s="1"/>
  <c r="P100" i="2" a="1"/>
  <c r="P100" i="2"/>
  <c r="N100" i="2" a="1"/>
  <c r="N100" i="2" s="1"/>
  <c r="M100" i="2" a="1"/>
  <c r="M100" i="2"/>
  <c r="O100" i="2" s="1"/>
  <c r="L100" i="2" a="1"/>
  <c r="L100" i="2" s="1"/>
  <c r="E100" i="2" a="1"/>
  <c r="E100" i="2" s="1"/>
  <c r="D100" i="2" a="1"/>
  <c r="D100" i="2" s="1"/>
  <c r="C100" i="2" a="1"/>
  <c r="C100" i="2" s="1"/>
  <c r="B100" i="2" a="1"/>
  <c r="B100" i="2"/>
  <c r="Y99" i="2" a="1"/>
  <c r="Y99" i="2" s="1"/>
  <c r="S99" i="2"/>
  <c r="R99" i="2" a="1"/>
  <c r="R99" i="2" s="1"/>
  <c r="Q99" i="2" a="1"/>
  <c r="Q99" i="2" s="1"/>
  <c r="P99" i="2" a="1"/>
  <c r="P99" i="2" s="1"/>
  <c r="N99" i="2" a="1"/>
  <c r="N99" i="2" s="1"/>
  <c r="M99" i="2" a="1"/>
  <c r="M99" i="2"/>
  <c r="O99" i="2" s="1"/>
  <c r="L99" i="2" a="1"/>
  <c r="L99" i="2" s="1"/>
  <c r="K99" i="2" a="1"/>
  <c r="K99" i="2" s="1"/>
  <c r="H99" i="2" a="1"/>
  <c r="H99" i="2" s="1"/>
  <c r="E99" i="2" a="1"/>
  <c r="E99" i="2"/>
  <c r="D99" i="2" a="1"/>
  <c r="D99" i="2" s="1"/>
  <c r="C99" i="2" a="1"/>
  <c r="C99" i="2"/>
  <c r="B99" i="2" a="1"/>
  <c r="B99" i="2" s="1"/>
  <c r="Y98" i="2" a="1"/>
  <c r="Y98" i="2" s="1"/>
  <c r="S98" i="2"/>
  <c r="R98" i="2" a="1"/>
  <c r="R98" i="2" s="1"/>
  <c r="Q98" i="2" a="1"/>
  <c r="Q98" i="2" s="1"/>
  <c r="P98" i="2" a="1"/>
  <c r="P98" i="2"/>
  <c r="N98" i="2" a="1"/>
  <c r="N98" i="2" s="1"/>
  <c r="M98" i="2" a="1"/>
  <c r="M98" i="2" s="1"/>
  <c r="O98" i="2" s="1"/>
  <c r="L98" i="2" a="1"/>
  <c r="L98" i="2" s="1"/>
  <c r="K98" i="2" a="1"/>
  <c r="K98" i="2" s="1"/>
  <c r="H98" i="2" a="1"/>
  <c r="H98" i="2"/>
  <c r="E98" i="2" a="1"/>
  <c r="E98" i="2" s="1"/>
  <c r="D98" i="2" a="1"/>
  <c r="D98" i="2" s="1"/>
  <c r="C98" i="2" a="1"/>
  <c r="C98" i="2" s="1"/>
  <c r="B98" i="2" a="1"/>
  <c r="B98" i="2" s="1"/>
  <c r="Y97" i="2" a="1"/>
  <c r="Y97" i="2" s="1"/>
  <c r="S97" i="2"/>
  <c r="R97" i="2" a="1"/>
  <c r="R97" i="2" s="1"/>
  <c r="Q97" i="2" a="1"/>
  <c r="Q97" i="2" s="1"/>
  <c r="P97" i="2" a="1"/>
  <c r="P97" i="2"/>
  <c r="N97" i="2" a="1"/>
  <c r="N97" i="2" s="1"/>
  <c r="M97" i="2" a="1"/>
  <c r="M97" i="2" s="1"/>
  <c r="O97" i="2" s="1"/>
  <c r="L97" i="2" a="1"/>
  <c r="L97" i="2" s="1"/>
  <c r="E97" i="2" a="1"/>
  <c r="E97" i="2" s="1"/>
  <c r="D97" i="2" a="1"/>
  <c r="D97" i="2" s="1"/>
  <c r="C97" i="2" a="1"/>
  <c r="C97" i="2" s="1"/>
  <c r="B97" i="2" a="1"/>
  <c r="B97" i="2" s="1"/>
  <c r="Y96" i="2" a="1"/>
  <c r="Y96" i="2" s="1"/>
  <c r="S96" i="2"/>
  <c r="R96" i="2" a="1"/>
  <c r="R96" i="2" s="1"/>
  <c r="Q96" i="2" a="1"/>
  <c r="Q96" i="2" s="1"/>
  <c r="P96" i="2" a="1"/>
  <c r="P96" i="2"/>
  <c r="N96" i="2" a="1"/>
  <c r="N96" i="2" s="1"/>
  <c r="M96" i="2" a="1"/>
  <c r="M96" i="2" s="1"/>
  <c r="O96" i="2" s="1"/>
  <c r="L96" i="2" a="1"/>
  <c r="L96" i="2" s="1"/>
  <c r="E96" i="2" a="1"/>
  <c r="E96" i="2" s="1"/>
  <c r="D96" i="2" a="1"/>
  <c r="D96" i="2" s="1"/>
  <c r="C96" i="2" a="1"/>
  <c r="C96" i="2"/>
  <c r="B96" i="2" a="1"/>
  <c r="B96" i="2" s="1"/>
  <c r="Y95" i="2" a="1"/>
  <c r="Y95" i="2"/>
  <c r="S95" i="2"/>
  <c r="R95" i="2" a="1"/>
  <c r="R95" i="2"/>
  <c r="Q95" i="2" a="1"/>
  <c r="Q95" i="2" s="1"/>
  <c r="P95" i="2" a="1"/>
  <c r="P95" i="2" s="1"/>
  <c r="N95" i="2" a="1"/>
  <c r="N95" i="2" s="1"/>
  <c r="M95" i="2" a="1"/>
  <c r="M95" i="2" s="1"/>
  <c r="O95" i="2" s="1"/>
  <c r="L95" i="2" a="1"/>
  <c r="L95" i="2" s="1"/>
  <c r="E95" i="2" a="1"/>
  <c r="E95" i="2" s="1"/>
  <c r="D95" i="2" a="1"/>
  <c r="D95" i="2"/>
  <c r="C95" i="2" a="1"/>
  <c r="C95" i="2" s="1"/>
  <c r="B95" i="2" a="1"/>
  <c r="B95" i="2" s="1"/>
  <c r="Y94" i="2" a="1"/>
  <c r="Y94" i="2" s="1"/>
  <c r="S94" i="2"/>
  <c r="R94" i="2" a="1"/>
  <c r="R94" i="2"/>
  <c r="Q94" i="2" a="1"/>
  <c r="Q94" i="2" s="1"/>
  <c r="P94" i="2" a="1"/>
  <c r="P94" i="2"/>
  <c r="N94" i="2" a="1"/>
  <c r="N94" i="2" s="1"/>
  <c r="M94" i="2" a="1"/>
  <c r="M94" i="2" s="1"/>
  <c r="O94" i="2" s="1"/>
  <c r="L94" i="2" a="1"/>
  <c r="L94" i="2" s="1"/>
  <c r="K94" i="2" a="1"/>
  <c r="K94" i="2"/>
  <c r="H94" i="2" a="1"/>
  <c r="H94" i="2" s="1"/>
  <c r="E94" i="2" a="1"/>
  <c r="E94" i="2" s="1"/>
  <c r="D94" i="2" a="1"/>
  <c r="D94" i="2" s="1"/>
  <c r="C94" i="2" a="1"/>
  <c r="C94" i="2" s="1"/>
  <c r="B94" i="2" a="1"/>
  <c r="B94" i="2" s="1"/>
  <c r="Y93" i="2" a="1"/>
  <c r="Y93" i="2" s="1"/>
  <c r="S93" i="2"/>
  <c r="R93" i="2" a="1"/>
  <c r="R93" i="2" s="1"/>
  <c r="Q93" i="2" a="1"/>
  <c r="Q93" i="2" s="1"/>
  <c r="P93" i="2" a="1"/>
  <c r="P93" i="2" s="1"/>
  <c r="N93" i="2" a="1"/>
  <c r="N93" i="2" s="1"/>
  <c r="M93" i="2" a="1"/>
  <c r="M93" i="2" s="1"/>
  <c r="O93" i="2" s="1"/>
  <c r="L93" i="2" a="1"/>
  <c r="L93" i="2"/>
  <c r="E93" i="2" a="1"/>
  <c r="E93" i="2" s="1"/>
  <c r="D93" i="2" a="1"/>
  <c r="D93" i="2" s="1"/>
  <c r="C93" i="2" a="1"/>
  <c r="C93" i="2" s="1"/>
  <c r="B93" i="2" a="1"/>
  <c r="B93" i="2" s="1"/>
  <c r="Y92" i="2" a="1"/>
  <c r="Y92" i="2"/>
  <c r="S92" i="2"/>
  <c r="R92" i="2" a="1"/>
  <c r="R92" i="2" s="1"/>
  <c r="Q92" i="2" a="1"/>
  <c r="Q92" i="2" s="1"/>
  <c r="P92" i="2" a="1"/>
  <c r="P92" i="2"/>
  <c r="N92" i="2" a="1"/>
  <c r="N92" i="2" s="1"/>
  <c r="M92" i="2" a="1"/>
  <c r="M92" i="2"/>
  <c r="O92" i="2" s="1"/>
  <c r="L92" i="2" a="1"/>
  <c r="L92" i="2" s="1"/>
  <c r="K92" i="2" a="1"/>
  <c r="K92" i="2" s="1"/>
  <c r="H92" i="2" a="1"/>
  <c r="H92" i="2"/>
  <c r="E92" i="2" a="1"/>
  <c r="E92" i="2" s="1"/>
  <c r="D92" i="2" a="1"/>
  <c r="D92" i="2" s="1"/>
  <c r="C92" i="2" a="1"/>
  <c r="C92" i="2" s="1"/>
  <c r="B92" i="2" a="1"/>
  <c r="B92" i="2"/>
  <c r="Y91" i="2" a="1"/>
  <c r="Y91" i="2" s="1"/>
  <c r="S91" i="2"/>
  <c r="R91" i="2" a="1"/>
  <c r="R91" i="2" s="1"/>
  <c r="Q91" i="2" a="1"/>
  <c r="Q91" i="2" s="1"/>
  <c r="P91" i="2" a="1"/>
  <c r="P91" i="2" s="1"/>
  <c r="N91" i="2" a="1"/>
  <c r="N91" i="2" s="1"/>
  <c r="M91" i="2" a="1"/>
  <c r="M91" i="2" s="1"/>
  <c r="O91" i="2" s="1"/>
  <c r="L91" i="2" a="1"/>
  <c r="L91" i="2" s="1"/>
  <c r="E91" i="2" a="1"/>
  <c r="E91" i="2"/>
  <c r="D91" i="2" a="1"/>
  <c r="D91" i="2" s="1"/>
  <c r="C91" i="2" a="1"/>
  <c r="C91" i="2"/>
  <c r="B91" i="2" a="1"/>
  <c r="B91" i="2" s="1"/>
  <c r="Y90" i="2" a="1"/>
  <c r="Y90" i="2" s="1"/>
  <c r="S90" i="2"/>
  <c r="R90" i="2" a="1"/>
  <c r="R90" i="2" s="1"/>
  <c r="Q90" i="2" a="1"/>
  <c r="Q90" i="2"/>
  <c r="P90" i="2" a="1"/>
  <c r="P90" i="2"/>
  <c r="N90" i="2" a="1"/>
  <c r="N90" i="2" s="1"/>
  <c r="M90" i="2" a="1"/>
  <c r="M90" i="2" s="1"/>
  <c r="O90" i="2" s="1"/>
  <c r="L90" i="2" a="1"/>
  <c r="L90" i="2" s="1"/>
  <c r="K90" i="2" a="1"/>
  <c r="K90" i="2" s="1"/>
  <c r="H90" i="2" a="1"/>
  <c r="H90" i="2"/>
  <c r="E90" i="2" a="1"/>
  <c r="E90" i="2" s="1"/>
  <c r="D90" i="2" a="1"/>
  <c r="D90" i="2" s="1"/>
  <c r="C90" i="2" a="1"/>
  <c r="C90" i="2"/>
  <c r="B90" i="2" a="1"/>
  <c r="B90" i="2" s="1"/>
  <c r="Y89" i="2" a="1"/>
  <c r="Y89" i="2" s="1"/>
  <c r="S89" i="2"/>
  <c r="R89" i="2" a="1"/>
  <c r="R89" i="2" s="1"/>
  <c r="Q89" i="2" a="1"/>
  <c r="Q89" i="2" s="1"/>
  <c r="P89" i="2" a="1"/>
  <c r="P89" i="2"/>
  <c r="N89" i="2" a="1"/>
  <c r="N89" i="2" s="1"/>
  <c r="M89" i="2" a="1"/>
  <c r="M89" i="2"/>
  <c r="O89" i="2" s="1"/>
  <c r="L89" i="2" a="1"/>
  <c r="L89" i="2" s="1"/>
  <c r="K89" i="2" a="1"/>
  <c r="K89" i="2"/>
  <c r="H89" i="2" a="1"/>
  <c r="H89" i="2" s="1"/>
  <c r="E89" i="2" a="1"/>
  <c r="E89" i="2" s="1"/>
  <c r="D89" i="2" a="1"/>
  <c r="D89" i="2" s="1"/>
  <c r="C89" i="2" a="1"/>
  <c r="C89" i="2" s="1"/>
  <c r="B89" i="2" a="1"/>
  <c r="B89" i="2" s="1"/>
  <c r="Y88" i="2" a="1"/>
  <c r="Y88" i="2" s="1"/>
  <c r="S88" i="2"/>
  <c r="R88" i="2" a="1"/>
  <c r="R88" i="2"/>
  <c r="Q88" i="2" a="1"/>
  <c r="Q88" i="2" s="1"/>
  <c r="P88" i="2" a="1"/>
  <c r="P88" i="2"/>
  <c r="N88" i="2" a="1"/>
  <c r="N88" i="2"/>
  <c r="M88" i="2" a="1"/>
  <c r="M88" i="2" s="1"/>
  <c r="O88" i="2" s="1"/>
  <c r="L88" i="2" a="1"/>
  <c r="L88" i="2" s="1"/>
  <c r="E88" i="2" a="1"/>
  <c r="E88" i="2" s="1"/>
  <c r="D88" i="2" a="1"/>
  <c r="D88" i="2" s="1"/>
  <c r="C88" i="2" a="1"/>
  <c r="C88" i="2"/>
  <c r="B88" i="2" a="1"/>
  <c r="B88" i="2" s="1"/>
  <c r="Y87" i="2" a="1"/>
  <c r="Y87" i="2"/>
  <c r="S87" i="2"/>
  <c r="R87" i="2" a="1"/>
  <c r="R87" i="2" s="1"/>
  <c r="Q87" i="2" a="1"/>
  <c r="Q87" i="2" s="1"/>
  <c r="P87" i="2" a="1"/>
  <c r="P87" i="2" s="1"/>
  <c r="N87" i="2" a="1"/>
  <c r="N87" i="2" s="1"/>
  <c r="M87" i="2" a="1"/>
  <c r="M87" i="2" s="1"/>
  <c r="O87" i="2" s="1"/>
  <c r="L87" i="2" a="1"/>
  <c r="L87" i="2" s="1"/>
  <c r="E87" i="2" a="1"/>
  <c r="E87" i="2" s="1"/>
  <c r="D87" i="2" a="1"/>
  <c r="D87" i="2"/>
  <c r="C87" i="2" a="1"/>
  <c r="C87" i="2" s="1"/>
  <c r="B87" i="2" a="1"/>
  <c r="B87" i="2" s="1"/>
  <c r="Y86" i="2" a="1"/>
  <c r="Y86" i="2" s="1"/>
  <c r="S86" i="2"/>
  <c r="R86" i="2" a="1"/>
  <c r="R86" i="2" s="1"/>
  <c r="Q86" i="2" a="1"/>
  <c r="Q86" i="2" s="1"/>
  <c r="P86" i="2" a="1"/>
  <c r="P86" i="2"/>
  <c r="N86" i="2" a="1"/>
  <c r="N86" i="2" s="1"/>
  <c r="M86" i="2" a="1"/>
  <c r="M86" i="2" s="1"/>
  <c r="O86" i="2" s="1"/>
  <c r="L86" i="2" a="1"/>
  <c r="L86" i="2" s="1"/>
  <c r="K86" i="2" a="1"/>
  <c r="K86" i="2"/>
  <c r="H86" i="2" a="1"/>
  <c r="H86" i="2" s="1"/>
  <c r="E86" i="2" a="1"/>
  <c r="E86" i="2" s="1"/>
  <c r="D86" i="2" a="1"/>
  <c r="D86" i="2" s="1"/>
  <c r="C86" i="2" a="1"/>
  <c r="C86" i="2" s="1"/>
  <c r="B86" i="2" a="1"/>
  <c r="B86" i="2"/>
  <c r="Y85" i="2" a="1"/>
  <c r="Y85" i="2" s="1"/>
  <c r="S85" i="2"/>
  <c r="R85" i="2" a="1"/>
  <c r="R85" i="2" s="1"/>
  <c r="Q85" i="2" a="1"/>
  <c r="Q85" i="2"/>
  <c r="P85" i="2" a="1"/>
  <c r="P85" i="2" s="1"/>
  <c r="N85" i="2" a="1"/>
  <c r="N85" i="2" s="1"/>
  <c r="M85" i="2" a="1"/>
  <c r="M85" i="2" s="1"/>
  <c r="O85" i="2" s="1"/>
  <c r="L85" i="2" a="1"/>
  <c r="L85" i="2"/>
  <c r="K85" i="2" a="1"/>
  <c r="K85" i="2" s="1"/>
  <c r="H85" i="2" a="1"/>
  <c r="H85" i="2" s="1"/>
  <c r="E85" i="2" a="1"/>
  <c r="E85" i="2" s="1"/>
  <c r="D85" i="2" a="1"/>
  <c r="D85" i="2" s="1"/>
  <c r="C85" i="2" a="1"/>
  <c r="C85" i="2"/>
  <c r="B85" i="2" a="1"/>
  <c r="B85" i="2" s="1"/>
  <c r="Y84" i="2" a="1"/>
  <c r="Y84" i="2"/>
  <c r="S84" i="2"/>
  <c r="R84" i="2" a="1"/>
  <c r="R84" i="2" s="1"/>
  <c r="Q84" i="2" a="1"/>
  <c r="Q84" i="2" s="1"/>
  <c r="P84" i="2" a="1"/>
  <c r="P84" i="2"/>
  <c r="N84" i="2" a="1"/>
  <c r="N84" i="2" s="1"/>
  <c r="M84" i="2" a="1"/>
  <c r="M84" i="2"/>
  <c r="O84" i="2" s="1"/>
  <c r="L84" i="2" a="1"/>
  <c r="L84" i="2" s="1"/>
  <c r="K84" i="2" a="1"/>
  <c r="K84" i="2" s="1"/>
  <c r="H84" i="2" a="1"/>
  <c r="H84" i="2" s="1"/>
  <c r="E84" i="2" a="1"/>
  <c r="E84" i="2" s="1"/>
  <c r="D84" i="2" a="1"/>
  <c r="D84" i="2" s="1"/>
  <c r="C84" i="2" a="1"/>
  <c r="C84" i="2" s="1"/>
  <c r="B84" i="2" a="1"/>
  <c r="B84" i="2"/>
  <c r="Y83" i="2" a="1"/>
  <c r="Y83" i="2"/>
  <c r="S83" i="2"/>
  <c r="R83" i="2" a="1"/>
  <c r="R83" i="2" s="1"/>
  <c r="Q83" i="2" a="1"/>
  <c r="Q83" i="2" s="1"/>
  <c r="P83" i="2" a="1"/>
  <c r="P83" i="2" s="1"/>
  <c r="N83" i="2" a="1"/>
  <c r="N83" i="2" s="1"/>
  <c r="M83" i="2" a="1"/>
  <c r="M83" i="2"/>
  <c r="O83" i="2" s="1"/>
  <c r="L83" i="2" a="1"/>
  <c r="L83" i="2" s="1"/>
  <c r="K83" i="2" a="1"/>
  <c r="K83" i="2" s="1"/>
  <c r="H83" i="2" a="1"/>
  <c r="H83" i="2" s="1"/>
  <c r="E83" i="2" a="1"/>
  <c r="E83" i="2"/>
  <c r="D83" i="2" a="1"/>
  <c r="D83" i="2" s="1"/>
  <c r="C83" i="2" a="1"/>
  <c r="C83" i="2"/>
  <c r="B83" i="2" a="1"/>
  <c r="B83" i="2" s="1"/>
  <c r="Y82" i="2" a="1"/>
  <c r="Y82" i="2" s="1"/>
  <c r="S82" i="2"/>
  <c r="R82" i="2" a="1"/>
  <c r="R82" i="2" s="1"/>
  <c r="Q82" i="2" a="1"/>
  <c r="Q82" i="2"/>
  <c r="P82" i="2" a="1"/>
  <c r="P82" i="2"/>
  <c r="O82" i="2"/>
  <c r="N82" i="2" a="1"/>
  <c r="N82" i="2" s="1"/>
  <c r="M82" i="2" a="1"/>
  <c r="M82" i="2" s="1"/>
  <c r="L82" i="2" a="1"/>
  <c r="L82" i="2" s="1"/>
  <c r="E82" i="2" a="1"/>
  <c r="E82" i="2" s="1"/>
  <c r="D82" i="2" a="1"/>
  <c r="D82" i="2" s="1"/>
  <c r="C82" i="2" a="1"/>
  <c r="C82" i="2"/>
  <c r="B82" i="2" a="1"/>
  <c r="B82" i="2"/>
  <c r="Y81" i="2" a="1"/>
  <c r="Y81" i="2"/>
  <c r="S81" i="2"/>
  <c r="R81" i="2" a="1"/>
  <c r="R81" i="2" s="1"/>
  <c r="Q81" i="2" a="1"/>
  <c r="Q81" i="2"/>
  <c r="P81" i="2" a="1"/>
  <c r="P81" i="2"/>
  <c r="N81" i="2" a="1"/>
  <c r="N81" i="2" s="1"/>
  <c r="M81" i="2" a="1"/>
  <c r="M81" i="2" s="1"/>
  <c r="O81" i="2" s="1"/>
  <c r="L81" i="2" a="1"/>
  <c r="L81" i="2"/>
  <c r="E81" i="2" a="1"/>
  <c r="E81" i="2" s="1"/>
  <c r="D81" i="2" a="1"/>
  <c r="D81" i="2"/>
  <c r="C81" i="2" a="1"/>
  <c r="C81" i="2"/>
  <c r="B81" i="2" a="1"/>
  <c r="B81" i="2" s="1"/>
  <c r="Y80" i="2" a="1"/>
  <c r="Y80" i="2" s="1"/>
  <c r="S80" i="2"/>
  <c r="R80" i="2" a="1"/>
  <c r="R80" i="2" s="1"/>
  <c r="Q80" i="2" a="1"/>
  <c r="Q80" i="2"/>
  <c r="P80" i="2" a="1"/>
  <c r="P80" i="2"/>
  <c r="N80" i="2" a="1"/>
  <c r="N80" i="2" s="1"/>
  <c r="M80" i="2" a="1"/>
  <c r="M80" i="2" s="1"/>
  <c r="O80" i="2" s="1"/>
  <c r="L80" i="2" a="1"/>
  <c r="L80" i="2" s="1"/>
  <c r="E80" i="2" a="1"/>
  <c r="E80" i="2" s="1"/>
  <c r="D80" i="2" a="1"/>
  <c r="D80" i="2" s="1"/>
  <c r="C80" i="2" a="1"/>
  <c r="C80" i="2"/>
  <c r="B80" i="2" a="1"/>
  <c r="B80" i="2" s="1"/>
  <c r="Y79" i="2" a="1"/>
  <c r="Y79" i="2"/>
  <c r="S79" i="2"/>
  <c r="R79" i="2" a="1"/>
  <c r="R79" i="2"/>
  <c r="Q79" i="2" a="1"/>
  <c r="Q79" i="2" s="1"/>
  <c r="P79" i="2" a="1"/>
  <c r="P79" i="2" s="1"/>
  <c r="N79" i="2" a="1"/>
  <c r="N79" i="2" s="1"/>
  <c r="M79" i="2" a="1"/>
  <c r="M79" i="2" s="1"/>
  <c r="O79" i="2" s="1"/>
  <c r="L79" i="2" a="1"/>
  <c r="L79" i="2" s="1"/>
  <c r="K79" i="2" a="1"/>
  <c r="K79" i="2" s="1"/>
  <c r="H79" i="2" a="1"/>
  <c r="H79" i="2" s="1"/>
  <c r="E79" i="2" a="1"/>
  <c r="E79" i="2" s="1"/>
  <c r="D79" i="2" a="1"/>
  <c r="D79" i="2"/>
  <c r="C79" i="2" a="1"/>
  <c r="C79" i="2" s="1"/>
  <c r="B79" i="2" a="1"/>
  <c r="B79" i="2" s="1"/>
  <c r="Y78" i="2" a="1"/>
  <c r="Y78" i="2"/>
  <c r="S78" i="2"/>
  <c r="R78" i="2" a="1"/>
  <c r="R78" i="2" s="1"/>
  <c r="Q78" i="2" a="1"/>
  <c r="Q78" i="2" s="1"/>
  <c r="P78" i="2" a="1"/>
  <c r="P78" i="2"/>
  <c r="N78" i="2" a="1"/>
  <c r="N78" i="2"/>
  <c r="M78" i="2" a="1"/>
  <c r="M78" i="2" s="1"/>
  <c r="O78" i="2" s="1"/>
  <c r="L78" i="2" a="1"/>
  <c r="L78" i="2" s="1"/>
  <c r="E78" i="2" a="1"/>
  <c r="E78" i="2"/>
  <c r="D78" i="2" a="1"/>
  <c r="D78" i="2" s="1"/>
  <c r="C78" i="2" a="1"/>
  <c r="C78" i="2" s="1"/>
  <c r="B78" i="2" a="1"/>
  <c r="B78" i="2" s="1"/>
  <c r="Y77" i="2" a="1"/>
  <c r="Y77" i="2"/>
  <c r="S77" i="2"/>
  <c r="R77" i="2" a="1"/>
  <c r="R77" i="2"/>
  <c r="Q77" i="2" a="1"/>
  <c r="Q77" i="2" s="1"/>
  <c r="P77" i="2" a="1"/>
  <c r="P77" i="2"/>
  <c r="N77" i="2" a="1"/>
  <c r="N77" i="2" s="1"/>
  <c r="M77" i="2" a="1"/>
  <c r="M77" i="2" s="1"/>
  <c r="O77" i="2" s="1"/>
  <c r="L77" i="2" a="1"/>
  <c r="L77" i="2"/>
  <c r="E77" i="2" a="1"/>
  <c r="E77" i="2" s="1"/>
  <c r="D77" i="2" a="1"/>
  <c r="D77" i="2" s="1"/>
  <c r="C77" i="2" a="1"/>
  <c r="C77" i="2"/>
  <c r="B77" i="2" a="1"/>
  <c r="B77" i="2" s="1"/>
  <c r="Y76" i="2" a="1"/>
  <c r="Y76" i="2"/>
  <c r="S76" i="2"/>
  <c r="R76" i="2" a="1"/>
  <c r="R76" i="2" s="1"/>
  <c r="Q76" i="2" a="1"/>
  <c r="Q76" i="2" s="1"/>
  <c r="P76" i="2" a="1"/>
  <c r="P76" i="2"/>
  <c r="N76" i="2" a="1"/>
  <c r="N76" i="2" s="1"/>
  <c r="M76" i="2" a="1"/>
  <c r="M76" i="2" s="1"/>
  <c r="O76" i="2" s="1"/>
  <c r="L76" i="2" a="1"/>
  <c r="L76" i="2" s="1"/>
  <c r="K76" i="2" a="1"/>
  <c r="K76" i="2"/>
  <c r="H76" i="2" a="1"/>
  <c r="H76" i="2" s="1"/>
  <c r="E76" i="2" a="1"/>
  <c r="E76" i="2" s="1"/>
  <c r="D76" i="2" a="1"/>
  <c r="D76" i="2" s="1"/>
  <c r="C76" i="2" a="1"/>
  <c r="C76" i="2"/>
  <c r="B76" i="2" a="1"/>
  <c r="B76" i="2" s="1"/>
  <c r="Y75" i="2" a="1"/>
  <c r="Y75" i="2" s="1"/>
  <c r="S75" i="2"/>
  <c r="R75" i="2" a="1"/>
  <c r="R75" i="2"/>
  <c r="Q75" i="2" a="1"/>
  <c r="Q75" i="2" s="1"/>
  <c r="P75" i="2" a="1"/>
  <c r="P75" i="2" s="1"/>
  <c r="N75" i="2" a="1"/>
  <c r="N75" i="2" s="1"/>
  <c r="M75" i="2" a="1"/>
  <c r="M75" i="2" s="1"/>
  <c r="O75" i="2" s="1"/>
  <c r="L75" i="2" a="1"/>
  <c r="L75" i="2"/>
  <c r="E75" i="2" a="1"/>
  <c r="E75" i="2"/>
  <c r="D75" i="2" a="1"/>
  <c r="D75" i="2"/>
  <c r="C75" i="2" a="1"/>
  <c r="C75" i="2"/>
  <c r="B75" i="2" a="1"/>
  <c r="B75" i="2" s="1"/>
  <c r="Y74" i="2" a="1"/>
  <c r="Y74" i="2" s="1"/>
  <c r="S74" i="2"/>
  <c r="R74" i="2" a="1"/>
  <c r="R74" i="2" s="1"/>
  <c r="Q74" i="2" a="1"/>
  <c r="Q74" i="2"/>
  <c r="P74" i="2" a="1"/>
  <c r="P74" i="2"/>
  <c r="N74" i="2" a="1"/>
  <c r="N74" i="2" s="1"/>
  <c r="M74" i="2" a="1"/>
  <c r="M74" i="2" s="1"/>
  <c r="O74" i="2" s="1"/>
  <c r="L74" i="2" a="1"/>
  <c r="L74" i="2" s="1"/>
  <c r="K74" i="2" a="1"/>
  <c r="K74" i="2" s="1"/>
  <c r="H74" i="2" a="1"/>
  <c r="H74" i="2"/>
  <c r="E74" i="2" a="1"/>
  <c r="E74" i="2" s="1"/>
  <c r="D74" i="2" a="1"/>
  <c r="D74" i="2" s="1"/>
  <c r="C74" i="2" a="1"/>
  <c r="C74" i="2"/>
  <c r="B74" i="2" a="1"/>
  <c r="B74" i="2" s="1"/>
  <c r="Y73" i="2" a="1"/>
  <c r="Y73" i="2" s="1"/>
  <c r="S73" i="2"/>
  <c r="R73" i="2" a="1"/>
  <c r="R73" i="2"/>
  <c r="Q73" i="2" a="1"/>
  <c r="Q73" i="2" s="1"/>
  <c r="P73" i="2" a="1"/>
  <c r="P73" i="2"/>
  <c r="N73" i="2" a="1"/>
  <c r="N73" i="2" s="1"/>
  <c r="M73" i="2" a="1"/>
  <c r="M73" i="2" s="1"/>
  <c r="O73" i="2" s="1"/>
  <c r="L73" i="2" a="1"/>
  <c r="L73" i="2" s="1"/>
  <c r="K73" i="2" a="1"/>
  <c r="K73" i="2"/>
  <c r="H73" i="2" a="1"/>
  <c r="H73" i="2" s="1"/>
  <c r="E73" i="2" a="1"/>
  <c r="E73" i="2" s="1"/>
  <c r="D73" i="2" a="1"/>
  <c r="D73" i="2" s="1"/>
  <c r="C73" i="2" a="1"/>
  <c r="C73" i="2" s="1"/>
  <c r="B73" i="2" a="1"/>
  <c r="B73" i="2" s="1"/>
  <c r="Y72" i="2" a="1"/>
  <c r="Y72" i="2"/>
  <c r="S72" i="2"/>
  <c r="R72" i="2" a="1"/>
  <c r="R72" i="2" s="1"/>
  <c r="Q72" i="2" a="1"/>
  <c r="Q72" i="2" s="1"/>
  <c r="P72" i="2" a="1"/>
  <c r="P72" i="2"/>
  <c r="N72" i="2" a="1"/>
  <c r="N72" i="2" s="1"/>
  <c r="M72" i="2" a="1"/>
  <c r="M72" i="2"/>
  <c r="O72" i="2" s="1"/>
  <c r="L72" i="2" a="1"/>
  <c r="L72" i="2" s="1"/>
  <c r="E72" i="2" a="1"/>
  <c r="E72" i="2" s="1"/>
  <c r="D72" i="2" a="1"/>
  <c r="D72" i="2" s="1"/>
  <c r="C72" i="2" a="1"/>
  <c r="C72" i="2"/>
  <c r="B72" i="2" a="1"/>
  <c r="B72" i="2"/>
  <c r="Y71" i="2" a="1"/>
  <c r="Y71" i="2"/>
  <c r="S71" i="2"/>
  <c r="R71" i="2" a="1"/>
  <c r="R71" i="2"/>
  <c r="Q71" i="2" a="1"/>
  <c r="Q71" i="2" s="1"/>
  <c r="P71" i="2" a="1"/>
  <c r="P71" i="2"/>
  <c r="N71" i="2" a="1"/>
  <c r="N71" i="2" s="1"/>
  <c r="M71" i="2" a="1"/>
  <c r="M71" i="2" s="1"/>
  <c r="O71" i="2" s="1"/>
  <c r="L71" i="2" a="1"/>
  <c r="L71" i="2" s="1"/>
  <c r="E71" i="2" a="1"/>
  <c r="E71" i="2"/>
  <c r="D71" i="2" a="1"/>
  <c r="D71" i="2"/>
  <c r="C71" i="2" a="1"/>
  <c r="C71" i="2"/>
  <c r="B71" i="2" a="1"/>
  <c r="B71" i="2" s="1"/>
  <c r="Y70" i="2" a="1"/>
  <c r="Y70" i="2"/>
  <c r="S70" i="2"/>
  <c r="R70" i="2" a="1"/>
  <c r="R70" i="2" s="1"/>
  <c r="Q70" i="2" a="1"/>
  <c r="Q70" i="2"/>
  <c r="P70" i="2" a="1"/>
  <c r="P70" i="2"/>
  <c r="N70" i="2" a="1"/>
  <c r="N70" i="2" s="1"/>
  <c r="M70" i="2" a="1"/>
  <c r="M70" i="2" s="1"/>
  <c r="O70" i="2" s="1"/>
  <c r="L70" i="2" a="1"/>
  <c r="L70" i="2" s="1"/>
  <c r="E70" i="2" a="1"/>
  <c r="E70" i="2"/>
  <c r="D70" i="2" a="1"/>
  <c r="D70" i="2" s="1"/>
  <c r="C70" i="2" a="1"/>
  <c r="C70" i="2"/>
  <c r="B70" i="2" a="1"/>
  <c r="B70" i="2"/>
  <c r="Y69" i="2" a="1"/>
  <c r="Y69" i="2" s="1"/>
  <c r="S69" i="2"/>
  <c r="R69" i="2" a="1"/>
  <c r="R69" i="2"/>
  <c r="Q69" i="2" a="1"/>
  <c r="Q69" i="2"/>
  <c r="P69" i="2" a="1"/>
  <c r="P69" i="2"/>
  <c r="N69" i="2" a="1"/>
  <c r="N69" i="2" s="1"/>
  <c r="M69" i="2" a="1"/>
  <c r="M69" i="2" s="1"/>
  <c r="O69" i="2" s="1"/>
  <c r="L69" i="2" a="1"/>
  <c r="L69" i="2" s="1"/>
  <c r="K69" i="2" a="1"/>
  <c r="K69" i="2"/>
  <c r="H69" i="2" a="1"/>
  <c r="H69" i="2" s="1"/>
  <c r="E69" i="2" a="1"/>
  <c r="E69" i="2" s="1"/>
  <c r="D69" i="2" a="1"/>
  <c r="D69" i="2" s="1"/>
  <c r="C69" i="2" a="1"/>
  <c r="C69" i="2"/>
  <c r="B69" i="2" a="1"/>
  <c r="B69" i="2" s="1"/>
  <c r="Y68" i="2" a="1"/>
  <c r="Y68" i="2"/>
  <c r="S68" i="2"/>
  <c r="R68" i="2" a="1"/>
  <c r="R68" i="2" s="1"/>
  <c r="Q68" i="2" a="1"/>
  <c r="Q68" i="2" s="1"/>
  <c r="P68" i="2" a="1"/>
  <c r="P68" i="2"/>
  <c r="N68" i="2" a="1"/>
  <c r="N68" i="2"/>
  <c r="M68" i="2" a="1"/>
  <c r="M68" i="2" s="1"/>
  <c r="O68" i="2" s="1"/>
  <c r="L68" i="2" a="1"/>
  <c r="L68" i="2" s="1"/>
  <c r="E68" i="2" a="1"/>
  <c r="E68" i="2"/>
  <c r="D68" i="2" a="1"/>
  <c r="D68" i="2" s="1"/>
  <c r="C68" i="2" a="1"/>
  <c r="C68" i="2"/>
  <c r="B68" i="2" a="1"/>
  <c r="B68" i="2"/>
  <c r="Y67" i="2" a="1"/>
  <c r="Y67" i="2" s="1"/>
  <c r="S67" i="2"/>
  <c r="R67" i="2" a="1"/>
  <c r="R67" i="2"/>
  <c r="Q67" i="2" a="1"/>
  <c r="Q67" i="2" s="1"/>
  <c r="P67" i="2" a="1"/>
  <c r="P67" i="2" s="1"/>
  <c r="O67" i="2"/>
  <c r="N67" i="2" a="1"/>
  <c r="N67" i="2" s="1"/>
  <c r="M67" i="2" a="1"/>
  <c r="M67" i="2" s="1"/>
  <c r="L67" i="2" a="1"/>
  <c r="L67" i="2" s="1"/>
  <c r="E67" i="2" a="1"/>
  <c r="E67" i="2"/>
  <c r="D67" i="2" a="1"/>
  <c r="D67" i="2" s="1"/>
  <c r="C67" i="2" a="1"/>
  <c r="C67" i="2"/>
  <c r="B67" i="2" a="1"/>
  <c r="B67" i="2" s="1"/>
  <c r="Y66" i="2" a="1"/>
  <c r="Y66" i="2"/>
  <c r="S66" i="2"/>
  <c r="R66" i="2" a="1"/>
  <c r="R66" i="2" s="1"/>
  <c r="Q66" i="2" a="1"/>
  <c r="Q66" i="2" s="1"/>
  <c r="P66" i="2" a="1"/>
  <c r="P66" i="2"/>
  <c r="N66" i="2" a="1"/>
  <c r="N66" i="2" s="1"/>
  <c r="M66" i="2" a="1"/>
  <c r="M66" i="2" s="1"/>
  <c r="O66" i="2" s="1"/>
  <c r="L66" i="2" a="1"/>
  <c r="L66" i="2" s="1"/>
  <c r="E66" i="2" a="1"/>
  <c r="E66" i="2" s="1"/>
  <c r="D66" i="2" a="1"/>
  <c r="D66" i="2" s="1"/>
  <c r="C66" i="2" a="1"/>
  <c r="C66" i="2"/>
  <c r="B66" i="2" a="1"/>
  <c r="B66" i="2"/>
  <c r="Y65" i="2" a="1"/>
  <c r="Y65" i="2" s="1"/>
  <c r="S65" i="2"/>
  <c r="R65" i="2" a="1"/>
  <c r="R65" i="2" s="1"/>
  <c r="Q65" i="2" a="1"/>
  <c r="Q65" i="2" s="1"/>
  <c r="P65" i="2" a="1"/>
  <c r="P65" i="2"/>
  <c r="N65" i="2" a="1"/>
  <c r="N65" i="2" s="1"/>
  <c r="M65" i="2" a="1"/>
  <c r="M65" i="2" s="1"/>
  <c r="O65" i="2" s="1"/>
  <c r="L65" i="2" a="1"/>
  <c r="L65" i="2" s="1"/>
  <c r="E65" i="2" a="1"/>
  <c r="E65" i="2"/>
  <c r="D65" i="2" a="1"/>
  <c r="D65" i="2"/>
  <c r="C65" i="2" a="1"/>
  <c r="C65" i="2"/>
  <c r="B65" i="2" a="1"/>
  <c r="B65" i="2" s="1"/>
  <c r="Y64" i="2" a="1"/>
  <c r="Y64" i="2" s="1"/>
  <c r="S64" i="2"/>
  <c r="R64" i="2" a="1"/>
  <c r="R64" i="2" s="1"/>
  <c r="Q64" i="2" a="1"/>
  <c r="Q64" i="2" s="1"/>
  <c r="P64" i="2" a="1"/>
  <c r="P64" i="2"/>
  <c r="N64" i="2" a="1"/>
  <c r="N64" i="2"/>
  <c r="M64" i="2" a="1"/>
  <c r="M64" i="2" s="1"/>
  <c r="O64" i="2" s="1"/>
  <c r="L64" i="2" a="1"/>
  <c r="L64" i="2" s="1"/>
  <c r="K64" i="2" a="1"/>
  <c r="K64" i="2"/>
  <c r="H64" i="2" a="1"/>
  <c r="H64" i="2"/>
  <c r="E64" i="2" a="1"/>
  <c r="E64" i="2"/>
  <c r="D64" i="2" a="1"/>
  <c r="D64" i="2" s="1"/>
  <c r="C64" i="2" a="1"/>
  <c r="C64" i="2"/>
  <c r="B64" i="2" a="1"/>
  <c r="B64" i="2" s="1"/>
  <c r="Y63" i="2" a="1"/>
  <c r="Y63" i="2"/>
  <c r="S63" i="2"/>
  <c r="R63" i="2" a="1"/>
  <c r="R63" i="2"/>
  <c r="Q63" i="2" a="1"/>
  <c r="Q63" i="2"/>
  <c r="P63" i="2" a="1"/>
  <c r="P63" i="2" s="1"/>
  <c r="N63" i="2" a="1"/>
  <c r="N63" i="2" s="1"/>
  <c r="M63" i="2" a="1"/>
  <c r="M63" i="2"/>
  <c r="O63" i="2" s="1"/>
  <c r="L63" i="2" a="1"/>
  <c r="L63" i="2" s="1"/>
  <c r="K63" i="2" a="1"/>
  <c r="K63" i="2" s="1"/>
  <c r="H63" i="2" a="1"/>
  <c r="H63" i="2" s="1"/>
  <c r="E63" i="2" a="1"/>
  <c r="E63" i="2" s="1"/>
  <c r="D63" i="2" a="1"/>
  <c r="D63" i="2" s="1"/>
  <c r="C63" i="2" a="1"/>
  <c r="C63" i="2" s="1"/>
  <c r="B63" i="2" a="1"/>
  <c r="B63" i="2" s="1"/>
  <c r="Y62" i="2" a="1"/>
  <c r="Y62" i="2"/>
  <c r="S62" i="2"/>
  <c r="R62" i="2" a="1"/>
  <c r="R62" i="2" s="1"/>
  <c r="Q62" i="2" a="1"/>
  <c r="Q62" i="2" s="1"/>
  <c r="P62" i="2" a="1"/>
  <c r="P62" i="2"/>
  <c r="N62" i="2" a="1"/>
  <c r="N62" i="2"/>
  <c r="M62" i="2" a="1"/>
  <c r="M62" i="2"/>
  <c r="O62" i="2" s="1"/>
  <c r="L62" i="2" a="1"/>
  <c r="L62" i="2" s="1"/>
  <c r="E62" i="2" a="1"/>
  <c r="E62" i="2"/>
  <c r="D62" i="2" a="1"/>
  <c r="D62" i="2" s="1"/>
  <c r="C62" i="2" a="1"/>
  <c r="C62" i="2" s="1"/>
  <c r="B62" i="2" a="1"/>
  <c r="B62" i="2"/>
  <c r="Y61" i="2" a="1"/>
  <c r="Y61" i="2"/>
  <c r="S61" i="2"/>
  <c r="R61" i="2" a="1"/>
  <c r="R61" i="2"/>
  <c r="Q61" i="2" a="1"/>
  <c r="Q61" i="2"/>
  <c r="P61" i="2" a="1"/>
  <c r="P61" i="2" s="1"/>
  <c r="O61" i="2"/>
  <c r="N61" i="2" a="1"/>
  <c r="N61" i="2" s="1"/>
  <c r="M61" i="2" a="1"/>
  <c r="M61" i="2" s="1"/>
  <c r="L61" i="2" a="1"/>
  <c r="L61" i="2" s="1"/>
  <c r="K61" i="2" a="1"/>
  <c r="K61" i="2" s="1"/>
  <c r="H61" i="2" a="1"/>
  <c r="H61" i="2" s="1"/>
  <c r="E61" i="2" a="1"/>
  <c r="E61" i="2" s="1"/>
  <c r="D61" i="2" a="1"/>
  <c r="D61" i="2"/>
  <c r="C61" i="2" a="1"/>
  <c r="C61" i="2"/>
  <c r="B61" i="2" a="1"/>
  <c r="B61" i="2" s="1"/>
  <c r="Y60" i="2" a="1"/>
  <c r="Y60" i="2" s="1"/>
  <c r="S60" i="2"/>
  <c r="R60" i="2" a="1"/>
  <c r="R60" i="2" s="1"/>
  <c r="Q60" i="2" a="1"/>
  <c r="Q60" i="2" s="1"/>
  <c r="P60" i="2" a="1"/>
  <c r="P60" i="2"/>
  <c r="N60" i="2" a="1"/>
  <c r="N60" i="2" s="1"/>
  <c r="M60" i="2" a="1"/>
  <c r="M60" i="2" s="1"/>
  <c r="O60" i="2" s="1"/>
  <c r="L60" i="2" a="1"/>
  <c r="L60" i="2" s="1"/>
  <c r="E60" i="2" a="1"/>
  <c r="E60" i="2" s="1"/>
  <c r="D60" i="2" a="1"/>
  <c r="D60" i="2" s="1"/>
  <c r="C60" i="2" a="1"/>
  <c r="C60" i="2" s="1"/>
  <c r="B60" i="2" a="1"/>
  <c r="B60" i="2"/>
  <c r="Y59" i="2" a="1"/>
  <c r="Y59" i="2" s="1"/>
  <c r="S59" i="2"/>
  <c r="R59" i="2" a="1"/>
  <c r="R59" i="2" s="1"/>
  <c r="Q59" i="2" a="1"/>
  <c r="Q59" i="2"/>
  <c r="P59" i="2" a="1"/>
  <c r="P59" i="2"/>
  <c r="N59" i="2" a="1"/>
  <c r="N59" i="2" s="1"/>
  <c r="M59" i="2" a="1"/>
  <c r="M59" i="2" s="1"/>
  <c r="O59" i="2" s="1"/>
  <c r="L59" i="2" a="1"/>
  <c r="L59" i="2"/>
  <c r="E59" i="2" a="1"/>
  <c r="E59" i="2"/>
  <c r="D59" i="2" a="1"/>
  <c r="D59" i="2"/>
  <c r="C59" i="2" a="1"/>
  <c r="C59" i="2" s="1"/>
  <c r="B59" i="2" a="1"/>
  <c r="B59" i="2" s="1"/>
  <c r="Y58" i="2" a="1"/>
  <c r="Y58" i="2"/>
  <c r="S58" i="2"/>
  <c r="R58" i="2" a="1"/>
  <c r="R58" i="2" s="1"/>
  <c r="Q58" i="2" a="1"/>
  <c r="Q58" i="2" s="1"/>
  <c r="P58" i="2" a="1"/>
  <c r="P58" i="2"/>
  <c r="N58" i="2" a="1"/>
  <c r="N58" i="2" s="1"/>
  <c r="M58" i="2" a="1"/>
  <c r="M58" i="2"/>
  <c r="O58" i="2" s="1"/>
  <c r="L58" i="2" a="1"/>
  <c r="L58" i="2" s="1"/>
  <c r="K58" i="2" a="1"/>
  <c r="K58" i="2" s="1"/>
  <c r="H58" i="2" a="1"/>
  <c r="H58" i="2" s="1"/>
  <c r="E58" i="2" a="1"/>
  <c r="E58" i="2" s="1"/>
  <c r="D58" i="2" a="1"/>
  <c r="D58" i="2" s="1"/>
  <c r="C58" i="2" a="1"/>
  <c r="C58" i="2"/>
  <c r="B58" i="2" a="1"/>
  <c r="B58" i="2" s="1"/>
  <c r="Y57" i="2" a="1"/>
  <c r="Y57" i="2"/>
  <c r="S57" i="2"/>
  <c r="R57" i="2" a="1"/>
  <c r="R57" i="2"/>
  <c r="Q57" i="2" a="1"/>
  <c r="Q57" i="2" s="1"/>
  <c r="P57" i="2" a="1"/>
  <c r="P57" i="2" s="1"/>
  <c r="N57" i="2" a="1"/>
  <c r="N57" i="2" s="1"/>
  <c r="M57" i="2" a="1"/>
  <c r="M57" i="2"/>
  <c r="O57" i="2" s="1"/>
  <c r="L57" i="2" a="1"/>
  <c r="L57" i="2" s="1"/>
  <c r="K57" i="2" a="1"/>
  <c r="K57" i="2" s="1"/>
  <c r="H57" i="2" a="1"/>
  <c r="H57" i="2" s="1"/>
  <c r="E57" i="2" a="1"/>
  <c r="E57" i="2" s="1"/>
  <c r="D57" i="2" a="1"/>
  <c r="D57" i="2"/>
  <c r="C57" i="2" a="1"/>
  <c r="C57" i="2"/>
  <c r="B57" i="2" a="1"/>
  <c r="B57" i="2" s="1"/>
  <c r="Y56" i="2" a="1"/>
  <c r="Y56" i="2" s="1"/>
  <c r="S56" i="2"/>
  <c r="R56" i="2" a="1"/>
  <c r="R56" i="2" s="1"/>
  <c r="Q56" i="2" a="1"/>
  <c r="Q56" i="2" s="1"/>
  <c r="P56" i="2" a="1"/>
  <c r="P56" i="2"/>
  <c r="N56" i="2" a="1"/>
  <c r="N56" i="2" s="1"/>
  <c r="M56" i="2" a="1"/>
  <c r="M56" i="2" s="1"/>
  <c r="O56" i="2" s="1"/>
  <c r="L56" i="2" a="1"/>
  <c r="L56" i="2" s="1"/>
  <c r="E56" i="2" a="1"/>
  <c r="E56" i="2"/>
  <c r="D56" i="2" a="1"/>
  <c r="D56" i="2" s="1"/>
  <c r="C56" i="2" a="1"/>
  <c r="C56" i="2" s="1"/>
  <c r="B56" i="2" a="1"/>
  <c r="B56" i="2"/>
  <c r="Y55" i="2" a="1"/>
  <c r="Y55" i="2" s="1"/>
  <c r="S55" i="2"/>
  <c r="R55" i="2" a="1"/>
  <c r="R55" i="2"/>
  <c r="Q55" i="2" a="1"/>
  <c r="Q55" i="2" s="1"/>
  <c r="P55" i="2" a="1"/>
  <c r="P55" i="2"/>
  <c r="N55" i="2" a="1"/>
  <c r="N55" i="2" s="1"/>
  <c r="M55" i="2" a="1"/>
  <c r="M55" i="2" s="1"/>
  <c r="O55" i="2" s="1"/>
  <c r="L55" i="2" a="1"/>
  <c r="L55" i="2"/>
  <c r="E55" i="2" a="1"/>
  <c r="E55" i="2" s="1"/>
  <c r="D55" i="2" a="1"/>
  <c r="D55" i="2"/>
  <c r="C55" i="2" a="1"/>
  <c r="C55" i="2"/>
  <c r="B55" i="2" a="1"/>
  <c r="B55" i="2" s="1"/>
  <c r="Y54" i="2" a="1"/>
  <c r="Y54" i="2"/>
  <c r="S54" i="2"/>
  <c r="R54" i="2" a="1"/>
  <c r="R54" i="2" s="1"/>
  <c r="Q54" i="2" a="1"/>
  <c r="Q54" i="2"/>
  <c r="P54" i="2" a="1"/>
  <c r="P54" i="2"/>
  <c r="N54" i="2" a="1"/>
  <c r="N54" i="2" s="1"/>
  <c r="M54" i="2" a="1"/>
  <c r="M54" i="2" s="1"/>
  <c r="O54" i="2" s="1"/>
  <c r="L54" i="2" a="1"/>
  <c r="L54" i="2" s="1"/>
  <c r="E54" i="2" a="1"/>
  <c r="E54" i="2" s="1"/>
  <c r="D54" i="2" a="1"/>
  <c r="D54" i="2" s="1"/>
  <c r="C54" i="2" a="1"/>
  <c r="C54" i="2"/>
  <c r="B54" i="2" a="1"/>
  <c r="B54" i="2"/>
  <c r="Y53" i="2" a="1"/>
  <c r="Y53" i="2" s="1"/>
  <c r="S53" i="2"/>
  <c r="R53" i="2" a="1"/>
  <c r="R53" i="2" s="1"/>
  <c r="Q53" i="2" a="1"/>
  <c r="Q53" i="2"/>
  <c r="P53" i="2" a="1"/>
  <c r="P53" i="2" s="1"/>
  <c r="N53" i="2" a="1"/>
  <c r="N53" i="2" s="1"/>
  <c r="M53" i="2" a="1"/>
  <c r="M53" i="2"/>
  <c r="O53" i="2" s="1"/>
  <c r="L53" i="2" a="1"/>
  <c r="L53" i="2"/>
  <c r="E53" i="2" a="1"/>
  <c r="E53" i="2" s="1"/>
  <c r="D53" i="2" a="1"/>
  <c r="D53" i="2" s="1"/>
  <c r="C53" i="2" a="1"/>
  <c r="C53" i="2" s="1"/>
  <c r="B53" i="2" a="1"/>
  <c r="B53" i="2" s="1"/>
  <c r="Y52" i="2" a="1"/>
  <c r="Y52" i="2" s="1"/>
  <c r="S52" i="2"/>
  <c r="R52" i="2" a="1"/>
  <c r="R52" i="2" s="1"/>
  <c r="Q52" i="2" a="1"/>
  <c r="Q52" i="2" s="1"/>
  <c r="P52" i="2" a="1"/>
  <c r="P52" i="2"/>
  <c r="N52" i="2" a="1"/>
  <c r="N52" i="2" s="1"/>
  <c r="M52" i="2" a="1"/>
  <c r="M52" i="2" s="1"/>
  <c r="O52" i="2" s="1"/>
  <c r="L52" i="2" a="1"/>
  <c r="L52" i="2" s="1"/>
  <c r="E52" i="2" a="1"/>
  <c r="E52" i="2" s="1"/>
  <c r="D52" i="2" a="1"/>
  <c r="D52" i="2" s="1"/>
  <c r="C52" i="2" a="1"/>
  <c r="C52" i="2" s="1"/>
  <c r="B52" i="2" a="1"/>
  <c r="B52" i="2"/>
  <c r="Y51" i="2" a="1"/>
  <c r="Y51" i="2" s="1"/>
  <c r="S51" i="2"/>
  <c r="R51" i="2" a="1"/>
  <c r="R51" i="2"/>
  <c r="Q51" i="2" a="1"/>
  <c r="Q51" i="2"/>
  <c r="P51" i="2" a="1"/>
  <c r="P51" i="2"/>
  <c r="N51" i="2" a="1"/>
  <c r="N51" i="2" s="1"/>
  <c r="M51" i="2" a="1"/>
  <c r="M51" i="2" s="1"/>
  <c r="O51" i="2" s="1"/>
  <c r="L51" i="2" a="1"/>
  <c r="L51" i="2" s="1"/>
  <c r="K51" i="2" a="1"/>
  <c r="K51" i="2" s="1"/>
  <c r="H51" i="2" a="1"/>
  <c r="H51" i="2" s="1"/>
  <c r="E51" i="2" a="1"/>
  <c r="E51" i="2" s="1"/>
  <c r="D51" i="2" a="1"/>
  <c r="D51" i="2" s="1"/>
  <c r="C51" i="2" a="1"/>
  <c r="C51" i="2" s="1"/>
  <c r="B51" i="2" a="1"/>
  <c r="B51" i="2" s="1"/>
  <c r="Y50" i="2" a="1"/>
  <c r="Y50" i="2" s="1"/>
  <c r="S50" i="2"/>
  <c r="R50" i="2" a="1"/>
  <c r="R50" i="2" s="1"/>
  <c r="Q50" i="2" a="1"/>
  <c r="Q50" i="2"/>
  <c r="P50" i="2" a="1"/>
  <c r="P50" i="2"/>
  <c r="N50" i="2" a="1"/>
  <c r="N50" i="2" s="1"/>
  <c r="M50" i="2" a="1"/>
  <c r="M50" i="2" s="1"/>
  <c r="O50" i="2" s="1"/>
  <c r="L50" i="2" a="1"/>
  <c r="L50" i="2" s="1"/>
  <c r="E50" i="2" a="1"/>
  <c r="E50" i="2" s="1"/>
  <c r="D50" i="2" a="1"/>
  <c r="D50" i="2" s="1"/>
  <c r="C50" i="2" a="1"/>
  <c r="C50" i="2" s="1"/>
  <c r="B50" i="2" a="1"/>
  <c r="B50" i="2" s="1"/>
  <c r="Y49" i="2" a="1"/>
  <c r="Y49" i="2" s="1"/>
  <c r="S49" i="2"/>
  <c r="R49" i="2" a="1"/>
  <c r="R49" i="2"/>
  <c r="Q49" i="2" a="1"/>
  <c r="Q49" i="2" s="1"/>
  <c r="P49" i="2" a="1"/>
  <c r="P49" i="2" s="1"/>
  <c r="N49" i="2" a="1"/>
  <c r="N49" i="2" s="1"/>
  <c r="M49" i="2" a="1"/>
  <c r="M49" i="2" s="1"/>
  <c r="O49" i="2" s="1"/>
  <c r="L49" i="2" a="1"/>
  <c r="L49" i="2" s="1"/>
  <c r="K49" i="2" a="1"/>
  <c r="K49" i="2" s="1"/>
  <c r="H49" i="2" a="1"/>
  <c r="H49" i="2" s="1"/>
  <c r="E49" i="2" a="1"/>
  <c r="E49" i="2" s="1"/>
  <c r="D49" i="2" a="1"/>
  <c r="D49" i="2"/>
  <c r="C49" i="2" a="1"/>
  <c r="C49" i="2" s="1"/>
  <c r="B49" i="2" a="1"/>
  <c r="B49" i="2" s="1"/>
  <c r="Y48" i="2" a="1"/>
  <c r="Y48" i="2" s="1"/>
  <c r="S48" i="2"/>
  <c r="R48" i="2" a="1"/>
  <c r="R48" i="2"/>
  <c r="Q48" i="2" a="1"/>
  <c r="Q48" i="2" s="1"/>
  <c r="P48" i="2" a="1"/>
  <c r="P48" i="2"/>
  <c r="N48" i="2" a="1"/>
  <c r="N48" i="2" s="1"/>
  <c r="M48" i="2" a="1"/>
  <c r="M48" i="2" s="1"/>
  <c r="O48" i="2" s="1"/>
  <c r="L48" i="2" a="1"/>
  <c r="L48" i="2" s="1"/>
  <c r="E48" i="2" a="1"/>
  <c r="E48" i="2" s="1"/>
  <c r="D48" i="2" a="1"/>
  <c r="D48" i="2" s="1"/>
  <c r="C48" i="2" a="1"/>
  <c r="C48" i="2" s="1"/>
  <c r="B48" i="2" a="1"/>
  <c r="B48" i="2"/>
  <c r="Y47" i="2" a="1"/>
  <c r="Y47" i="2" s="1"/>
  <c r="S47" i="2"/>
  <c r="R47" i="2" a="1"/>
  <c r="R47" i="2" s="1"/>
  <c r="Q47" i="2" a="1"/>
  <c r="Q47" i="2" s="1"/>
  <c r="P47" i="2" a="1"/>
  <c r="P47" i="2"/>
  <c r="N47" i="2" a="1"/>
  <c r="N47" i="2" s="1"/>
  <c r="M47" i="2" a="1"/>
  <c r="M47" i="2" s="1"/>
  <c r="O47" i="2" s="1"/>
  <c r="L47" i="2" a="1"/>
  <c r="L47" i="2"/>
  <c r="E47" i="2" a="1"/>
  <c r="E47" i="2" s="1"/>
  <c r="D47" i="2" a="1"/>
  <c r="D47" i="2" s="1"/>
  <c r="C47" i="2" a="1"/>
  <c r="C47" i="2" s="1"/>
  <c r="B47" i="2" a="1"/>
  <c r="B47" i="2" s="1"/>
  <c r="Y46" i="2" a="1"/>
  <c r="Y46" i="2" s="1"/>
  <c r="S46" i="2"/>
  <c r="R46" i="2" a="1"/>
  <c r="R46" i="2" s="1"/>
  <c r="Q46" i="2" a="1"/>
  <c r="Q46" i="2"/>
  <c r="P46" i="2" a="1"/>
  <c r="P46" i="2"/>
  <c r="N46" i="2" a="1"/>
  <c r="N46" i="2" s="1"/>
  <c r="M46" i="2" a="1"/>
  <c r="M46" i="2" s="1"/>
  <c r="O46" i="2" s="1"/>
  <c r="L46" i="2" a="1"/>
  <c r="L46" i="2" s="1"/>
  <c r="E46" i="2" a="1"/>
  <c r="E46" i="2" s="1"/>
  <c r="D46" i="2" a="1"/>
  <c r="D46" i="2" s="1"/>
  <c r="C46" i="2" a="1"/>
  <c r="C46" i="2" s="1"/>
  <c r="B46" i="2" a="1"/>
  <c r="B46" i="2"/>
  <c r="Y45" i="2" a="1"/>
  <c r="Y45" i="2" s="1"/>
  <c r="S45" i="2"/>
  <c r="R45" i="2" a="1"/>
  <c r="R45" i="2"/>
  <c r="Q45" i="2" a="1"/>
  <c r="Q45" i="2" s="1"/>
  <c r="P45" i="2" a="1"/>
  <c r="P45" i="2"/>
  <c r="N45" i="2" a="1"/>
  <c r="N45" i="2" s="1"/>
  <c r="M45" i="2" a="1"/>
  <c r="M45" i="2" s="1"/>
  <c r="O45" i="2" s="1"/>
  <c r="L45" i="2" a="1"/>
  <c r="L45" i="2" s="1"/>
  <c r="E45" i="2" a="1"/>
  <c r="E45" i="2" s="1"/>
  <c r="D45" i="2" a="1"/>
  <c r="D45" i="2"/>
  <c r="C45" i="2" a="1"/>
  <c r="C45" i="2" s="1"/>
  <c r="B45" i="2" a="1"/>
  <c r="B45" i="2" s="1"/>
  <c r="Y44" i="2" a="1"/>
  <c r="Y44" i="2" s="1"/>
  <c r="S44" i="2"/>
  <c r="R44" i="2" a="1"/>
  <c r="R44" i="2" s="1"/>
  <c r="Q44" i="2" a="1"/>
  <c r="Q44" i="2" s="1"/>
  <c r="P44" i="2" a="1"/>
  <c r="P44" i="2"/>
  <c r="N44" i="2" a="1"/>
  <c r="N44" i="2" s="1"/>
  <c r="M44" i="2" a="1"/>
  <c r="M44" i="2" s="1"/>
  <c r="O44" i="2" s="1"/>
  <c r="L44" i="2" a="1"/>
  <c r="L44" i="2" s="1"/>
  <c r="E44" i="2" a="1"/>
  <c r="E44" i="2" s="1"/>
  <c r="D44" i="2" a="1"/>
  <c r="D44" i="2" s="1"/>
  <c r="C44" i="2" a="1"/>
  <c r="C44" i="2" s="1"/>
  <c r="B44" i="2" a="1"/>
  <c r="B44" i="2" s="1"/>
  <c r="Y43" i="2" a="1"/>
  <c r="Y43" i="2" s="1"/>
  <c r="S43" i="2"/>
  <c r="R43" i="2" a="1"/>
  <c r="R43" i="2" s="1"/>
  <c r="Q43" i="2" a="1"/>
  <c r="Q43" i="2"/>
  <c r="P43" i="2" a="1"/>
  <c r="P43" i="2" s="1"/>
  <c r="N43" i="2" a="1"/>
  <c r="N43" i="2" s="1"/>
  <c r="M43" i="2" a="1"/>
  <c r="M43" i="2" s="1"/>
  <c r="O43" i="2" s="1"/>
  <c r="L43" i="2" a="1"/>
  <c r="L43" i="2"/>
  <c r="E43" i="2" a="1"/>
  <c r="E43" i="2" s="1"/>
  <c r="D43" i="2" a="1"/>
  <c r="D43" i="2"/>
  <c r="C43" i="2" a="1"/>
  <c r="C43" i="2" s="1"/>
  <c r="B43" i="2" a="1"/>
  <c r="B43" i="2" s="1"/>
  <c r="Y42" i="2" a="1"/>
  <c r="Y42" i="2" s="1"/>
  <c r="S42" i="2"/>
  <c r="R42" i="2" a="1"/>
  <c r="R42" i="2" s="1"/>
  <c r="Q42" i="2" a="1"/>
  <c r="Q42" i="2"/>
  <c r="P42" i="2" a="1"/>
  <c r="P42" i="2"/>
  <c r="N42" i="2" a="1"/>
  <c r="N42" i="2" s="1"/>
  <c r="M42" i="2" a="1"/>
  <c r="M42" i="2" s="1"/>
  <c r="O42" i="2" s="1"/>
  <c r="L42" i="2" a="1"/>
  <c r="L42" i="2" s="1"/>
  <c r="E42" i="2" a="1"/>
  <c r="E42" i="2" s="1"/>
  <c r="D42" i="2" a="1"/>
  <c r="D42" i="2" s="1"/>
  <c r="C42" i="2" a="1"/>
  <c r="C42" i="2" s="1"/>
  <c r="B42" i="2" a="1"/>
  <c r="B42" i="2" s="1"/>
  <c r="Y41" i="2" a="1"/>
  <c r="Y41" i="2" s="1"/>
  <c r="S41" i="2"/>
  <c r="R41" i="2" a="1"/>
  <c r="R41" i="2"/>
  <c r="Q41" i="2" a="1"/>
  <c r="Q41" i="2"/>
  <c r="P41" i="2" a="1"/>
  <c r="P41" i="2" s="1"/>
  <c r="N41" i="2" a="1"/>
  <c r="N41" i="2" s="1"/>
  <c r="M41" i="2" a="1"/>
  <c r="M41" i="2" s="1"/>
  <c r="O41" i="2" s="1"/>
  <c r="L41" i="2" a="1"/>
  <c r="L41" i="2" s="1"/>
  <c r="E41" i="2" a="1"/>
  <c r="E41" i="2" s="1"/>
  <c r="D41" i="2" a="1"/>
  <c r="D41" i="2" s="1"/>
  <c r="C41" i="2" a="1"/>
  <c r="C41" i="2" s="1"/>
  <c r="B41" i="2" a="1"/>
  <c r="B41" i="2" s="1"/>
  <c r="Y40" i="2" a="1"/>
  <c r="Y40" i="2" s="1"/>
  <c r="S40" i="2"/>
  <c r="R40" i="2" a="1"/>
  <c r="R40" i="2"/>
  <c r="Q40" i="2" a="1"/>
  <c r="Q40" i="2"/>
  <c r="P40" i="2" a="1"/>
  <c r="P40" i="2"/>
  <c r="N40" i="2" a="1"/>
  <c r="N40" i="2"/>
  <c r="M40" i="2" a="1"/>
  <c r="M40" i="2" s="1"/>
  <c r="O40" i="2" s="1"/>
  <c r="L40" i="2" a="1"/>
  <c r="L40" i="2" s="1"/>
  <c r="E40" i="2" a="1"/>
  <c r="E40" i="2" s="1"/>
  <c r="D40" i="2" a="1"/>
  <c r="D40" i="2" s="1"/>
  <c r="C40" i="2" a="1"/>
  <c r="C40" i="2" s="1"/>
  <c r="B40" i="2" a="1"/>
  <c r="B40" i="2"/>
  <c r="Y39" i="2" a="1"/>
  <c r="Y39" i="2" s="1"/>
  <c r="S39" i="2"/>
  <c r="R39" i="2" a="1"/>
  <c r="R39" i="2"/>
  <c r="Q39" i="2" a="1"/>
  <c r="Q39" i="2"/>
  <c r="P39" i="2" a="1"/>
  <c r="P39" i="2"/>
  <c r="N39" i="2" a="1"/>
  <c r="N39" i="2" s="1"/>
  <c r="M39" i="2" a="1"/>
  <c r="M39" i="2" s="1"/>
  <c r="O39" i="2" s="1"/>
  <c r="L39" i="2" a="1"/>
  <c r="L39" i="2"/>
  <c r="K39" i="2" a="1"/>
  <c r="K39" i="2" s="1"/>
  <c r="H39" i="2" a="1"/>
  <c r="H39" i="2" s="1"/>
  <c r="E39" i="2" a="1"/>
  <c r="E39" i="2" s="1"/>
  <c r="D39" i="2" a="1"/>
  <c r="D39" i="2" s="1"/>
  <c r="C39" i="2" a="1"/>
  <c r="C39" i="2" s="1"/>
  <c r="B39" i="2" a="1"/>
  <c r="B39" i="2" s="1"/>
  <c r="Y38" i="2" a="1"/>
  <c r="Y38" i="2" s="1"/>
  <c r="S38" i="2"/>
  <c r="R38" i="2" a="1"/>
  <c r="R38" i="2"/>
  <c r="Q38" i="2" a="1"/>
  <c r="Q38" i="2"/>
  <c r="P38" i="2" a="1"/>
  <c r="P38" i="2"/>
  <c r="N38" i="2" a="1"/>
  <c r="N38" i="2" s="1"/>
  <c r="M38" i="2" a="1"/>
  <c r="M38" i="2" s="1"/>
  <c r="O38" i="2" s="1"/>
  <c r="L38" i="2" a="1"/>
  <c r="L38" i="2" s="1"/>
  <c r="E38" i="2" a="1"/>
  <c r="E38" i="2" s="1"/>
  <c r="D38" i="2" a="1"/>
  <c r="D38" i="2" s="1"/>
  <c r="C38" i="2" a="1"/>
  <c r="C38" i="2" s="1"/>
  <c r="B38" i="2" a="1"/>
  <c r="B38" i="2" s="1"/>
  <c r="Y37" i="2" a="1"/>
  <c r="Y37" i="2" s="1"/>
  <c r="S37" i="2"/>
  <c r="R37" i="2" a="1"/>
  <c r="R37" i="2"/>
  <c r="Q37" i="2" a="1"/>
  <c r="Q37" i="2"/>
  <c r="P37" i="2" a="1"/>
  <c r="P37" i="2" s="1"/>
  <c r="N37" i="2" a="1"/>
  <c r="N37" i="2" s="1"/>
  <c r="M37" i="2" a="1"/>
  <c r="M37" i="2" s="1"/>
  <c r="O37" i="2" s="1"/>
  <c r="L37" i="2" a="1"/>
  <c r="L37" i="2"/>
  <c r="E37" i="2" a="1"/>
  <c r="E37" i="2" s="1"/>
  <c r="D37" i="2" a="1"/>
  <c r="D37" i="2"/>
  <c r="C37" i="2" a="1"/>
  <c r="C37" i="2" s="1"/>
  <c r="B37" i="2" a="1"/>
  <c r="B37" i="2" s="1"/>
  <c r="Y36" i="2" a="1"/>
  <c r="Y36" i="2" s="1"/>
  <c r="S36" i="2"/>
  <c r="R36" i="2" a="1"/>
  <c r="R36" i="2"/>
  <c r="Q36" i="2" a="1"/>
  <c r="Q36" i="2" s="1"/>
  <c r="P36" i="2" a="1"/>
  <c r="P36" i="2"/>
  <c r="N36" i="2" a="1"/>
  <c r="N36" i="2"/>
  <c r="M36" i="2" a="1"/>
  <c r="M36" i="2" s="1"/>
  <c r="O36" i="2" s="1"/>
  <c r="L36" i="2" a="1"/>
  <c r="L36" i="2" s="1"/>
  <c r="E36" i="2" a="1"/>
  <c r="E36" i="2" s="1"/>
  <c r="D36" i="2" a="1"/>
  <c r="D36" i="2" s="1"/>
  <c r="C36" i="2" a="1"/>
  <c r="C36" i="2" s="1"/>
  <c r="B36" i="2" a="1"/>
  <c r="B36" i="2"/>
  <c r="Y35" i="2" a="1"/>
  <c r="Y35" i="2" s="1"/>
  <c r="S35" i="2"/>
  <c r="R35" i="2" a="1"/>
  <c r="R35" i="2"/>
  <c r="Q35" i="2" a="1"/>
  <c r="Q35" i="2"/>
  <c r="P35" i="2" a="1"/>
  <c r="P35" i="2" s="1"/>
  <c r="N35" i="2" a="1"/>
  <c r="N35" i="2" s="1"/>
  <c r="M35" i="2" a="1"/>
  <c r="M35" i="2" s="1"/>
  <c r="O35" i="2" s="1"/>
  <c r="L35" i="2" a="1"/>
  <c r="L35" i="2" s="1"/>
  <c r="E35" i="2" a="1"/>
  <c r="E35" i="2" s="1"/>
  <c r="D35" i="2" a="1"/>
  <c r="D35" i="2" s="1"/>
  <c r="C35" i="2" a="1"/>
  <c r="C35" i="2" s="1"/>
  <c r="B35" i="2" a="1"/>
  <c r="B35" i="2" s="1"/>
  <c r="Y34" i="2" a="1"/>
  <c r="Y34" i="2" s="1"/>
  <c r="S34" i="2"/>
  <c r="R34" i="2" a="1"/>
  <c r="R34" i="2" s="1"/>
  <c r="Q34" i="2" a="1"/>
  <c r="Q34" i="2" s="1"/>
  <c r="P34" i="2" a="1"/>
  <c r="P34" i="2"/>
  <c r="N34" i="2" a="1"/>
  <c r="N34" i="2"/>
  <c r="M34" i="2" a="1"/>
  <c r="M34" i="2" s="1"/>
  <c r="O34" i="2" s="1"/>
  <c r="L34" i="2" a="1"/>
  <c r="L34" i="2" s="1"/>
  <c r="K34" i="2" a="1"/>
  <c r="K34" i="2" s="1"/>
  <c r="H34" i="2" a="1"/>
  <c r="H34" i="2"/>
  <c r="E34" i="2" a="1"/>
  <c r="E34" i="2" s="1"/>
  <c r="D34" i="2" a="1"/>
  <c r="D34" i="2" s="1"/>
  <c r="C34" i="2" a="1"/>
  <c r="C34" i="2" s="1"/>
  <c r="B34" i="2" a="1"/>
  <c r="B34" i="2" s="1"/>
  <c r="Y33" i="2" a="1"/>
  <c r="Y33" i="2" s="1"/>
  <c r="S33" i="2"/>
  <c r="R33" i="2" a="1"/>
  <c r="R33" i="2"/>
  <c r="Q33" i="2" a="1"/>
  <c r="Q33" i="2"/>
  <c r="P33" i="2" a="1"/>
  <c r="P33" i="2" s="1"/>
  <c r="N33" i="2" a="1"/>
  <c r="N33" i="2" s="1"/>
  <c r="M33" i="2" a="1"/>
  <c r="M33" i="2" s="1"/>
  <c r="O33" i="2" s="1"/>
  <c r="L33" i="2" a="1"/>
  <c r="L33" i="2" s="1"/>
  <c r="E33" i="2" a="1"/>
  <c r="E33" i="2" s="1"/>
  <c r="D33" i="2" a="1"/>
  <c r="D33" i="2"/>
  <c r="C33" i="2" a="1"/>
  <c r="C33" i="2" s="1"/>
  <c r="B33" i="2" a="1"/>
  <c r="B33" i="2" s="1"/>
  <c r="Y32" i="2" a="1"/>
  <c r="Y32" i="2" s="1"/>
  <c r="S32" i="2"/>
  <c r="R32" i="2" a="1"/>
  <c r="R32" i="2" s="1"/>
  <c r="Q32" i="2" a="1"/>
  <c r="Q32" i="2"/>
  <c r="P32" i="2" a="1"/>
  <c r="P32" i="2"/>
  <c r="N32" i="2" a="1"/>
  <c r="N32" i="2" s="1"/>
  <c r="M32" i="2" a="1"/>
  <c r="M32" i="2" s="1"/>
  <c r="O32" i="2" s="1"/>
  <c r="L32" i="2" a="1"/>
  <c r="L32" i="2" s="1"/>
  <c r="K32" i="2" a="1"/>
  <c r="K32" i="2" s="1"/>
  <c r="H32" i="2" a="1"/>
  <c r="H32" i="2" s="1"/>
  <c r="E32" i="2" a="1"/>
  <c r="E32" i="2" s="1"/>
  <c r="D32" i="2" a="1"/>
  <c r="D32" i="2" s="1"/>
  <c r="C32" i="2" a="1"/>
  <c r="C32" i="2" s="1"/>
  <c r="B32" i="2" a="1"/>
  <c r="B32" i="2"/>
  <c r="Y31" i="2" a="1"/>
  <c r="Y31" i="2" s="1"/>
  <c r="S31" i="2"/>
  <c r="R31" i="2" a="1"/>
  <c r="R31" i="2"/>
  <c r="Q31" i="2" a="1"/>
  <c r="Q31" i="2"/>
  <c r="P31" i="2" a="1"/>
  <c r="P31" i="2"/>
  <c r="N31" i="2" a="1"/>
  <c r="N31" i="2" s="1"/>
  <c r="M31" i="2" a="1"/>
  <c r="M31" i="2" s="1"/>
  <c r="O31" i="2" s="1"/>
  <c r="L31" i="2" a="1"/>
  <c r="L31" i="2"/>
  <c r="K31" i="2" a="1"/>
  <c r="K31" i="2" s="1"/>
  <c r="H31" i="2" a="1"/>
  <c r="H31" i="2" s="1"/>
  <c r="E31" i="2" a="1"/>
  <c r="E31" i="2" s="1"/>
  <c r="D31" i="2" a="1"/>
  <c r="D31" i="2" s="1"/>
  <c r="C31" i="2" a="1"/>
  <c r="C31" i="2" s="1"/>
  <c r="B31" i="2" a="1"/>
  <c r="B31" i="2" s="1"/>
  <c r="Y30" i="2" a="1"/>
  <c r="Y30" i="2" s="1"/>
  <c r="S30" i="2"/>
  <c r="R30" i="2" a="1"/>
  <c r="R30" i="2"/>
  <c r="Q30" i="2" a="1"/>
  <c r="Q30" i="2" s="1"/>
  <c r="P30" i="2" a="1"/>
  <c r="P30" i="2"/>
  <c r="N30" i="2" a="1"/>
  <c r="N30" i="2" s="1"/>
  <c r="M30" i="2" a="1"/>
  <c r="M30" i="2" s="1"/>
  <c r="O30" i="2" s="1"/>
  <c r="L30" i="2" a="1"/>
  <c r="L30" i="2" s="1"/>
  <c r="E30" i="2" a="1"/>
  <c r="E30" i="2" s="1"/>
  <c r="D30" i="2" a="1"/>
  <c r="D30" i="2" s="1"/>
  <c r="C30" i="2" a="1"/>
  <c r="C30" i="2" s="1"/>
  <c r="B30" i="2" a="1"/>
  <c r="B30" i="2"/>
  <c r="Y29" i="2" a="1"/>
  <c r="Y29" i="2" s="1"/>
  <c r="S29" i="2"/>
  <c r="R29" i="2" a="1"/>
  <c r="R29" i="2"/>
  <c r="Q29" i="2" a="1"/>
  <c r="Q29" i="2"/>
  <c r="P29" i="2" a="1"/>
  <c r="P29" i="2"/>
  <c r="N29" i="2" a="1"/>
  <c r="N29" i="2" s="1"/>
  <c r="M29" i="2" a="1"/>
  <c r="M29" i="2" s="1"/>
  <c r="O29" i="2" s="1"/>
  <c r="L29" i="2" a="1"/>
  <c r="L29" i="2" s="1"/>
  <c r="E29" i="2" a="1"/>
  <c r="E29" i="2" s="1"/>
  <c r="D29" i="2" a="1"/>
  <c r="D29" i="2"/>
  <c r="C29" i="2" a="1"/>
  <c r="C29" i="2" s="1"/>
  <c r="B29" i="2" a="1"/>
  <c r="B29" i="2" s="1"/>
  <c r="Y28" i="2" a="1"/>
  <c r="Y28" i="2" s="1"/>
  <c r="S28" i="2"/>
  <c r="R28" i="2" a="1"/>
  <c r="R28" i="2" s="1"/>
  <c r="Q28" i="2" a="1"/>
  <c r="Q28" i="2" s="1"/>
  <c r="P28" i="2" a="1"/>
  <c r="P28" i="2"/>
  <c r="N28" i="2" a="1"/>
  <c r="N28" i="2" s="1"/>
  <c r="M28" i="2" a="1"/>
  <c r="M28" i="2" s="1"/>
  <c r="O28" i="2" s="1"/>
  <c r="L28" i="2" a="1"/>
  <c r="L28" i="2" s="1"/>
  <c r="E28" i="2" a="1"/>
  <c r="E28" i="2" s="1"/>
  <c r="D28" i="2" a="1"/>
  <c r="D28" i="2" s="1"/>
  <c r="C28" i="2" a="1"/>
  <c r="C28" i="2" s="1"/>
  <c r="B28" i="2" a="1"/>
  <c r="B28" i="2" s="1"/>
  <c r="Y27" i="2" a="1"/>
  <c r="Y27" i="2" s="1"/>
  <c r="S27" i="2"/>
  <c r="R27" i="2" a="1"/>
  <c r="R27" i="2"/>
  <c r="Q27" i="2" a="1"/>
  <c r="Q27" i="2" s="1"/>
  <c r="P27" i="2" a="1"/>
  <c r="P27" i="2" s="1"/>
  <c r="N27" i="2" a="1"/>
  <c r="N27" i="2" s="1"/>
  <c r="M27" i="2" a="1"/>
  <c r="M27" i="2" s="1"/>
  <c r="O27" i="2" s="1"/>
  <c r="L27" i="2" a="1"/>
  <c r="L27" i="2"/>
  <c r="E27" i="2" a="1"/>
  <c r="E27" i="2" s="1"/>
  <c r="D27" i="2" a="1"/>
  <c r="D27" i="2"/>
  <c r="C27" i="2" a="1"/>
  <c r="C27" i="2" s="1"/>
  <c r="B27" i="2" a="1"/>
  <c r="B27" i="2" s="1"/>
  <c r="Y26" i="2" a="1"/>
  <c r="Y26" i="2" s="1"/>
  <c r="S26" i="2"/>
  <c r="R26" i="2" a="1"/>
  <c r="R26" i="2" s="1"/>
  <c r="Q26" i="2" a="1"/>
  <c r="Q26" i="2"/>
  <c r="P26" i="2" a="1"/>
  <c r="P26" i="2"/>
  <c r="N26" i="2" a="1"/>
  <c r="N26" i="2" s="1"/>
  <c r="M26" i="2" a="1"/>
  <c r="M26" i="2" s="1"/>
  <c r="O26" i="2" s="1"/>
  <c r="L26" i="2" a="1"/>
  <c r="L26" i="2" s="1"/>
  <c r="K26" i="2" a="1"/>
  <c r="K26" i="2" s="1"/>
  <c r="H26" i="2" a="1"/>
  <c r="H26" i="2"/>
  <c r="E26" i="2" a="1"/>
  <c r="E26" i="2" s="1"/>
  <c r="D26" i="2" a="1"/>
  <c r="D26" i="2" s="1"/>
  <c r="C26" i="2" a="1"/>
  <c r="C26" i="2" s="1"/>
  <c r="B26" i="2" a="1"/>
  <c r="B26" i="2" s="1"/>
  <c r="Y25" i="2" a="1"/>
  <c r="Y25" i="2" s="1"/>
  <c r="S25" i="2"/>
  <c r="R25" i="2" a="1"/>
  <c r="R25" i="2"/>
  <c r="Q25" i="2" a="1"/>
  <c r="Q25" i="2"/>
  <c r="P25" i="2" a="1"/>
  <c r="P25" i="2" s="1"/>
  <c r="N25" i="2" a="1"/>
  <c r="N25" i="2" s="1"/>
  <c r="M25" i="2" a="1"/>
  <c r="M25" i="2" s="1"/>
  <c r="O25" i="2" s="1"/>
  <c r="L25" i="2" a="1"/>
  <c r="L25" i="2" s="1"/>
  <c r="H25" i="2" a="1"/>
  <c r="H25" i="2" s="1"/>
  <c r="E25" i="2" a="1"/>
  <c r="E25" i="2" s="1"/>
  <c r="D25" i="2" a="1"/>
  <c r="D25" i="2" s="1"/>
  <c r="C25" i="2" a="1"/>
  <c r="C25" i="2" s="1"/>
  <c r="B25" i="2" a="1"/>
  <c r="B25" i="2" s="1"/>
  <c r="Y24" i="2" a="1"/>
  <c r="Y24" i="2" s="1"/>
  <c r="S24" i="2"/>
  <c r="R24" i="2" a="1"/>
  <c r="R24" i="2"/>
  <c r="Q24" i="2" a="1"/>
  <c r="Q24" i="2"/>
  <c r="P24" i="2" a="1"/>
  <c r="P24" i="2"/>
  <c r="N24" i="2" a="1"/>
  <c r="N24" i="2" s="1"/>
  <c r="M24" i="2" a="1"/>
  <c r="M24" i="2" s="1"/>
  <c r="O24" i="2" s="1"/>
  <c r="L24" i="2" a="1"/>
  <c r="L24" i="2" s="1"/>
  <c r="K24" i="2" a="1"/>
  <c r="K24" i="2" s="1"/>
  <c r="H24" i="2" a="1"/>
  <c r="H24" i="2"/>
  <c r="E24" i="2" a="1"/>
  <c r="E24" i="2" s="1"/>
  <c r="D24" i="2" a="1"/>
  <c r="D24" i="2" s="1"/>
  <c r="C24" i="2" a="1"/>
  <c r="C24" i="2" s="1"/>
  <c r="B24" i="2" a="1"/>
  <c r="B24" i="2"/>
  <c r="Y23" i="2" a="1"/>
  <c r="Y23" i="2" s="1"/>
  <c r="S23" i="2"/>
  <c r="R23" i="2" a="1"/>
  <c r="R23" i="2"/>
  <c r="Q23" i="2" a="1"/>
  <c r="Q23" i="2"/>
  <c r="P23" i="2" a="1"/>
  <c r="P23" i="2"/>
  <c r="N23" i="2" a="1"/>
  <c r="N23" i="2" s="1"/>
  <c r="M23" i="2" a="1"/>
  <c r="M23" i="2" s="1"/>
  <c r="O23" i="2" s="1"/>
  <c r="L23" i="2" a="1"/>
  <c r="L23" i="2"/>
  <c r="K23" i="2" a="1"/>
  <c r="K23" i="2" s="1"/>
  <c r="H23" i="2" a="1"/>
  <c r="H23" i="2" s="1"/>
  <c r="E23" i="2" a="1"/>
  <c r="E23" i="2" s="1"/>
  <c r="D23" i="2" a="1"/>
  <c r="D23" i="2" s="1"/>
  <c r="C23" i="2" a="1"/>
  <c r="C23" i="2" s="1"/>
  <c r="B23" i="2" a="1"/>
  <c r="B23" i="2" s="1"/>
  <c r="Y22" i="2" a="1"/>
  <c r="Y22" i="2" s="1"/>
  <c r="S22" i="2"/>
  <c r="R22" i="2" a="1"/>
  <c r="R22" i="2"/>
  <c r="Q22" i="2" a="1"/>
  <c r="Q22" i="2" s="1"/>
  <c r="P22" i="2" a="1"/>
  <c r="P22" i="2"/>
  <c r="N22" i="2" a="1"/>
  <c r="N22" i="2" s="1"/>
  <c r="M22" i="2" a="1"/>
  <c r="M22" i="2" s="1"/>
  <c r="O22" i="2" s="1"/>
  <c r="L22" i="2" a="1"/>
  <c r="L22" i="2" s="1"/>
  <c r="E22" i="2" a="1"/>
  <c r="E22" i="2" s="1"/>
  <c r="D22" i="2" a="1"/>
  <c r="D22" i="2" s="1"/>
  <c r="C22" i="2" a="1"/>
  <c r="C22" i="2" s="1"/>
  <c r="B22" i="2" a="1"/>
  <c r="B22" i="2" s="1"/>
  <c r="Y21" i="2" a="1"/>
  <c r="Y21" i="2" s="1"/>
  <c r="S21" i="2"/>
  <c r="R21" i="2" a="1"/>
  <c r="R21" i="2" s="1"/>
  <c r="Q21" i="2" a="1"/>
  <c r="Q21" i="2"/>
  <c r="P21" i="2" a="1"/>
  <c r="P21" i="2" s="1"/>
  <c r="N21" i="2" a="1"/>
  <c r="N21" i="2" s="1"/>
  <c r="M21" i="2" a="1"/>
  <c r="M21" i="2" s="1"/>
  <c r="O21" i="2" s="1"/>
  <c r="L21" i="2" a="1"/>
  <c r="L21" i="2"/>
  <c r="K21" i="2" a="1"/>
  <c r="K21" i="2" s="1"/>
  <c r="H21" i="2" a="1"/>
  <c r="H21" i="2" s="1"/>
  <c r="E21" i="2" a="1"/>
  <c r="E21" i="2" s="1"/>
  <c r="D21" i="2" a="1"/>
  <c r="D21" i="2"/>
  <c r="C21" i="2" a="1"/>
  <c r="C21" i="2" s="1"/>
  <c r="B21" i="2" a="1"/>
  <c r="B21" i="2" s="1"/>
  <c r="Y20" i="2" a="1"/>
  <c r="Y20" i="2" s="1"/>
  <c r="S20" i="2"/>
  <c r="R20" i="2" a="1"/>
  <c r="R20" i="2"/>
  <c r="Q20" i="2" a="1"/>
  <c r="Q20" i="2"/>
  <c r="P20" i="2" a="1"/>
  <c r="P20" i="2"/>
  <c r="N20" i="2" a="1"/>
  <c r="N20" i="2" s="1"/>
  <c r="M20" i="2" a="1"/>
  <c r="M20" i="2" s="1"/>
  <c r="O20" i="2" s="1"/>
  <c r="L20" i="2" a="1"/>
  <c r="L20" i="2" s="1"/>
  <c r="K20" i="2" a="1"/>
  <c r="K20" i="2" s="1"/>
  <c r="H20" i="2" a="1"/>
  <c r="H20" i="2" s="1"/>
  <c r="E20" i="2" a="1"/>
  <c r="E20" i="2" s="1"/>
  <c r="D20" i="2" a="1"/>
  <c r="D20" i="2" s="1"/>
  <c r="C20" i="2" a="1"/>
  <c r="C20" i="2" s="1"/>
  <c r="B20" i="2" a="1"/>
  <c r="B20" i="2" s="1"/>
  <c r="Y19" i="2" a="1"/>
  <c r="Y19" i="2" s="1"/>
  <c r="S19" i="2"/>
  <c r="R19" i="2" a="1"/>
  <c r="R19" i="2"/>
  <c r="Q19" i="2" a="1"/>
  <c r="Q19" i="2" s="1"/>
  <c r="P19" i="2" a="1"/>
  <c r="P19" i="2" s="1"/>
  <c r="N19" i="2" a="1"/>
  <c r="N19" i="2" s="1"/>
  <c r="M19" i="2" a="1"/>
  <c r="M19" i="2" s="1"/>
  <c r="O19" i="2" s="1"/>
  <c r="L19" i="2" a="1"/>
  <c r="L19" i="2" s="1"/>
  <c r="K19" i="2" a="1"/>
  <c r="K19" i="2" s="1"/>
  <c r="H19" i="2" a="1"/>
  <c r="H19" i="2" s="1"/>
  <c r="E19" i="2" a="1"/>
  <c r="E19" i="2" s="1"/>
  <c r="D19" i="2" a="1"/>
  <c r="D19" i="2" s="1"/>
  <c r="C19" i="2" a="1"/>
  <c r="C19" i="2" s="1"/>
  <c r="B19" i="2" a="1"/>
  <c r="B19" i="2" s="1"/>
  <c r="Y18" i="2" a="1"/>
  <c r="Y18" i="2" s="1"/>
  <c r="S18" i="2"/>
  <c r="R18" i="2" a="1"/>
  <c r="R18" i="2" s="1"/>
  <c r="Q18" i="2" a="1"/>
  <c r="Q18" i="2"/>
  <c r="P18" i="2" a="1"/>
  <c r="P18" i="2"/>
  <c r="N18" i="2" a="1"/>
  <c r="N18" i="2" s="1"/>
  <c r="M18" i="2" a="1"/>
  <c r="M18" i="2" s="1"/>
  <c r="O18" i="2" s="1"/>
  <c r="L18" i="2" a="1"/>
  <c r="L18" i="2" s="1"/>
  <c r="K18" i="2" a="1"/>
  <c r="K18" i="2" s="1"/>
  <c r="H18" i="2" a="1"/>
  <c r="H18" i="2"/>
  <c r="E18" i="2" a="1"/>
  <c r="E18" i="2" s="1"/>
  <c r="D18" i="2" a="1"/>
  <c r="D18" i="2" s="1"/>
  <c r="C18" i="2" a="1"/>
  <c r="C18" i="2" s="1"/>
  <c r="B18" i="2" a="1"/>
  <c r="B18" i="2" s="1"/>
  <c r="Y17" i="2" a="1"/>
  <c r="Y17" i="2" s="1"/>
  <c r="S17" i="2"/>
  <c r="R17" i="2" a="1"/>
  <c r="R17" i="2" s="1"/>
  <c r="Q17" i="2" a="1"/>
  <c r="Q17" i="2" s="1"/>
  <c r="P17" i="2" a="1"/>
  <c r="P17" i="2" s="1"/>
  <c r="N17" i="2" a="1"/>
  <c r="N17" i="2" s="1"/>
  <c r="M17" i="2" a="1"/>
  <c r="M17" i="2" s="1"/>
  <c r="O17" i="2" s="1"/>
  <c r="L17" i="2" a="1"/>
  <c r="L17" i="2"/>
  <c r="K17" i="2" a="1"/>
  <c r="K17" i="2" s="1"/>
  <c r="H17" i="2" a="1"/>
  <c r="H17" i="2" s="1"/>
  <c r="E17" i="2" a="1"/>
  <c r="E17" i="2" s="1"/>
  <c r="D17" i="2" a="1"/>
  <c r="D17" i="2" s="1"/>
  <c r="C17" i="2" a="1"/>
  <c r="C17" i="2" s="1"/>
  <c r="B17" i="2" a="1"/>
  <c r="B17" i="2" s="1"/>
  <c r="Y16" i="2" a="1"/>
  <c r="Y16" i="2" s="1"/>
  <c r="S16" i="2"/>
  <c r="R16" i="2" a="1"/>
  <c r="R16" i="2"/>
  <c r="Q16" i="2" a="1"/>
  <c r="Q16" i="2" s="1"/>
  <c r="P16" i="2" a="1"/>
  <c r="P16" i="2"/>
  <c r="N16" i="2" a="1"/>
  <c r="N16" i="2" s="1"/>
  <c r="M16" i="2" a="1"/>
  <c r="M16" i="2" s="1"/>
  <c r="O16" i="2" s="1"/>
  <c r="L16" i="2" a="1"/>
  <c r="L16" i="2" s="1"/>
  <c r="K16" i="2" a="1"/>
  <c r="K16" i="2" s="1"/>
  <c r="H16" i="2" a="1"/>
  <c r="H16" i="2" s="1"/>
  <c r="E16" i="2" a="1"/>
  <c r="E16" i="2" s="1"/>
  <c r="D16" i="2" a="1"/>
  <c r="D16" i="2" s="1"/>
  <c r="C16" i="2" a="1"/>
  <c r="C16" i="2" s="1"/>
  <c r="B16" i="2" a="1"/>
  <c r="B16" i="2"/>
  <c r="Y15" i="2" a="1"/>
  <c r="Y15" i="2" s="1"/>
  <c r="S15" i="2"/>
  <c r="R15" i="2" a="1"/>
  <c r="R15" i="2" s="1"/>
  <c r="Q15" i="2" a="1"/>
  <c r="Q15" i="2"/>
  <c r="P15" i="2" a="1"/>
  <c r="P15" i="2"/>
  <c r="N15" i="2" a="1"/>
  <c r="N15" i="2" s="1"/>
  <c r="M15" i="2" a="1"/>
  <c r="M15" i="2" s="1"/>
  <c r="O15" i="2" s="1"/>
  <c r="L15" i="2" a="1"/>
  <c r="L15" i="2"/>
  <c r="E15" i="2" a="1"/>
  <c r="E15" i="2" s="1"/>
  <c r="D15" i="2" a="1"/>
  <c r="D15" i="2" s="1"/>
  <c r="C15" i="2" a="1"/>
  <c r="C15" i="2" s="1"/>
  <c r="B15" i="2" a="1"/>
  <c r="B15" i="2" s="1"/>
  <c r="Y14" i="2" a="1"/>
  <c r="Y14" i="2" s="1"/>
  <c r="S14" i="2"/>
  <c r="R14" i="2" a="1"/>
  <c r="R14" i="2"/>
  <c r="Q14" i="2" a="1"/>
  <c r="Q14" i="2"/>
  <c r="P14" i="2" a="1"/>
  <c r="P14" i="2"/>
  <c r="N14" i="2" a="1"/>
  <c r="N14" i="2" s="1"/>
  <c r="M14" i="2" a="1"/>
  <c r="M14" i="2" s="1"/>
  <c r="O14" i="2" s="1"/>
  <c r="L14" i="2" a="1"/>
  <c r="L14" i="2" s="1"/>
  <c r="E14" i="2" a="1"/>
  <c r="E14" i="2" s="1"/>
  <c r="D14" i="2" a="1"/>
  <c r="D14" i="2" s="1"/>
  <c r="C14" i="2" a="1"/>
  <c r="C14" i="2" s="1"/>
  <c r="B14" i="2" a="1"/>
  <c r="B14" i="2"/>
  <c r="Y13" i="2" a="1"/>
  <c r="Y13" i="2" s="1"/>
  <c r="S13" i="2"/>
  <c r="R13" i="2" a="1"/>
  <c r="R13" i="2" s="1"/>
  <c r="Q13" i="2" a="1"/>
  <c r="Q13" i="2" s="1"/>
  <c r="P13" i="2" a="1"/>
  <c r="P13" i="2"/>
  <c r="N13" i="2" a="1"/>
  <c r="N13" i="2" s="1"/>
  <c r="M13" i="2" a="1"/>
  <c r="M13" i="2" s="1"/>
  <c r="O13" i="2" s="1"/>
  <c r="L13" i="2" a="1"/>
  <c r="L13" i="2" s="1"/>
  <c r="K13" i="2" a="1"/>
  <c r="K13" i="2" s="1"/>
  <c r="H13" i="2" a="1"/>
  <c r="H13" i="2" s="1"/>
  <c r="E13" i="2" a="1"/>
  <c r="E13" i="2" s="1"/>
  <c r="D13" i="2" a="1"/>
  <c r="D13" i="2"/>
  <c r="C13" i="2" a="1"/>
  <c r="C13" i="2" s="1"/>
  <c r="B13" i="2" a="1"/>
  <c r="B13" i="2" s="1"/>
  <c r="Y12" i="2" a="1"/>
  <c r="Y12" i="2" s="1"/>
  <c r="S12" i="2"/>
  <c r="R12" i="2" a="1"/>
  <c r="R12" i="2" s="1"/>
  <c r="Q12" i="2" a="1"/>
  <c r="Q12" i="2" s="1"/>
  <c r="P12" i="2" a="1"/>
  <c r="P12" i="2"/>
  <c r="N12" i="2" a="1"/>
  <c r="N12" i="2"/>
  <c r="M12" i="2" a="1"/>
  <c r="M12" i="2" s="1"/>
  <c r="O12" i="2" s="1"/>
  <c r="L12" i="2" a="1"/>
  <c r="L12" i="2" s="1"/>
  <c r="K12" i="2" a="1"/>
  <c r="K12" i="2" s="1"/>
  <c r="H12" i="2" a="1"/>
  <c r="H12" i="2" s="1"/>
  <c r="E12" i="2" a="1"/>
  <c r="E12" i="2" s="1"/>
  <c r="D12" i="2" a="1"/>
  <c r="D12" i="2" s="1"/>
  <c r="C12" i="2" a="1"/>
  <c r="C12" i="2" s="1"/>
  <c r="B12" i="2" a="1"/>
  <c r="B12" i="2" s="1"/>
  <c r="Y11" i="2" a="1"/>
  <c r="Y11" i="2" s="1"/>
  <c r="S11" i="2"/>
  <c r="R11" i="2" a="1"/>
  <c r="R11" i="2" s="1"/>
  <c r="Q11" i="2" a="1"/>
  <c r="Q11" i="2"/>
  <c r="P11" i="2" a="1"/>
  <c r="P11" i="2" s="1"/>
  <c r="N11" i="2" a="1"/>
  <c r="N11" i="2" s="1"/>
  <c r="M11" i="2" a="1"/>
  <c r="M11" i="2" s="1"/>
  <c r="O11" i="2" s="1"/>
  <c r="L11" i="2" a="1"/>
  <c r="L11" i="2" s="1"/>
  <c r="E11" i="2" a="1"/>
  <c r="E11" i="2" s="1"/>
  <c r="D11" i="2" a="1"/>
  <c r="D11" i="2"/>
  <c r="C11" i="2" a="1"/>
  <c r="C11" i="2" s="1"/>
  <c r="B11" i="2" a="1"/>
  <c r="B11" i="2" s="1"/>
  <c r="Y10" i="2" a="1"/>
  <c r="Y10" i="2" s="1"/>
  <c r="S10" i="2"/>
  <c r="R10" i="2" a="1"/>
  <c r="R10" i="2" s="1"/>
  <c r="Q10" i="2" a="1"/>
  <c r="Q10" i="2"/>
  <c r="P10" i="2" a="1"/>
  <c r="P10" i="2"/>
  <c r="N10" i="2" a="1"/>
  <c r="N10" i="2" s="1"/>
  <c r="M10" i="2" a="1"/>
  <c r="M10" i="2" s="1"/>
  <c r="O10" i="2" s="1"/>
  <c r="L10" i="2" a="1"/>
  <c r="L10" i="2" s="1"/>
  <c r="K10" i="2" a="1"/>
  <c r="K10" i="2" s="1"/>
  <c r="H10" i="2" a="1"/>
  <c r="H10" i="2"/>
  <c r="E10" i="2" a="1"/>
  <c r="E10" i="2" s="1"/>
  <c r="D10" i="2" a="1"/>
  <c r="D10" i="2" s="1"/>
  <c r="C10" i="2" a="1"/>
  <c r="C10" i="2" s="1"/>
  <c r="B10" i="2" a="1"/>
  <c r="B10" i="2" s="1"/>
  <c r="Y9" i="2" a="1"/>
  <c r="Y9" i="2" s="1"/>
  <c r="S9" i="2"/>
  <c r="R9" i="2" a="1"/>
  <c r="R9" i="2"/>
  <c r="Q9" i="2" a="1"/>
  <c r="Q9" i="2"/>
  <c r="P9" i="2" a="1"/>
  <c r="P9" i="2" s="1"/>
  <c r="N9" i="2" a="1"/>
  <c r="N9" i="2" s="1"/>
  <c r="M9" i="2" a="1"/>
  <c r="M9" i="2" s="1"/>
  <c r="O9" i="2" s="1"/>
  <c r="L9" i="2" a="1"/>
  <c r="L9" i="2" s="1"/>
  <c r="E9" i="2" a="1"/>
  <c r="E9" i="2" s="1"/>
  <c r="D9" i="2" a="1"/>
  <c r="D9" i="2" s="1"/>
  <c r="C9" i="2" a="1"/>
  <c r="C9" i="2" s="1"/>
  <c r="B9" i="2" a="1"/>
  <c r="B9" i="2" s="1"/>
  <c r="Y8" i="2" a="1"/>
  <c r="Y8" i="2" s="1"/>
  <c r="S8" i="2"/>
  <c r="R8" i="2" a="1"/>
  <c r="R8" i="2"/>
  <c r="Q8" i="2" a="1"/>
  <c r="Q8" i="2"/>
  <c r="P8" i="2" a="1"/>
  <c r="P8" i="2"/>
  <c r="N8" i="2" a="1"/>
  <c r="N8" i="2" s="1"/>
  <c r="M8" i="2" a="1"/>
  <c r="M8" i="2" s="1"/>
  <c r="O8" i="2" s="1"/>
  <c r="L8" i="2" a="1"/>
  <c r="L8" i="2" s="1"/>
  <c r="E8" i="2" a="1"/>
  <c r="E8" i="2" s="1"/>
  <c r="D8" i="2" a="1"/>
  <c r="D8" i="2" s="1"/>
  <c r="C8" i="2" a="1"/>
  <c r="C8" i="2" s="1"/>
  <c r="B8" i="2" a="1"/>
  <c r="B8" i="2"/>
  <c r="Y7" i="2" a="1"/>
  <c r="Y7" i="2" s="1"/>
  <c r="S7" i="2"/>
  <c r="R7" i="2" a="1"/>
  <c r="R7" i="2" s="1"/>
  <c r="Q7" i="2" a="1"/>
  <c r="Q7" i="2" s="1"/>
  <c r="P7" i="2" a="1"/>
  <c r="P7" i="2"/>
  <c r="N7" i="2" a="1"/>
  <c r="N7" i="2" s="1"/>
  <c r="M7" i="2" a="1"/>
  <c r="M7" i="2" s="1"/>
  <c r="O7" i="2" s="1"/>
  <c r="L7" i="2" a="1"/>
  <c r="L7" i="2"/>
  <c r="E7" i="2" a="1"/>
  <c r="E7" i="2" s="1"/>
  <c r="D7" i="2" a="1"/>
  <c r="D7" i="2" s="1"/>
  <c r="C7" i="2" a="1"/>
  <c r="C7" i="2" s="1"/>
  <c r="B7" i="2" a="1"/>
  <c r="B7" i="2" s="1"/>
  <c r="Y6" i="2" a="1"/>
  <c r="Y6" i="2" s="1"/>
  <c r="S6" i="2"/>
  <c r="R6" i="2" a="1"/>
  <c r="R6" i="2" s="1"/>
  <c r="Q6" i="2" a="1"/>
  <c r="Q6" i="2"/>
  <c r="P6" i="2" a="1"/>
  <c r="P6" i="2"/>
  <c r="N6" i="2" a="1"/>
  <c r="N6" i="2" s="1"/>
  <c r="M6" i="2" a="1"/>
  <c r="M6" i="2" s="1"/>
  <c r="O6" i="2" s="1"/>
  <c r="L6" i="2" a="1"/>
  <c r="L6" i="2" s="1"/>
  <c r="E6" i="2" a="1"/>
  <c r="E6" i="2" s="1"/>
  <c r="D6" i="2" a="1"/>
  <c r="D6" i="2" s="1"/>
  <c r="C6" i="2" a="1"/>
  <c r="C6" i="2" s="1"/>
  <c r="B6" i="2" a="1"/>
  <c r="B6" i="2" s="1"/>
  <c r="Y5" i="2" a="1"/>
  <c r="Y5" i="2" s="1"/>
  <c r="S5" i="2"/>
  <c r="R18" i="1" s="1"/>
  <c r="R5" i="2" a="1"/>
  <c r="R5" i="2" s="1"/>
  <c r="Q5" i="2" a="1"/>
  <c r="Q5" i="2"/>
  <c r="P5" i="2" a="1"/>
  <c r="P5" i="2" s="1"/>
  <c r="N5" i="2" a="1"/>
  <c r="N5" i="2" s="1"/>
  <c r="M5" i="2" a="1"/>
  <c r="M5" i="2" s="1"/>
  <c r="O5" i="2" s="1"/>
  <c r="L5" i="2" a="1"/>
  <c r="L5" i="2"/>
  <c r="K5" i="2" a="1"/>
  <c r="K5" i="2" s="1"/>
  <c r="H5" i="2" a="1"/>
  <c r="H5" i="2" s="1"/>
  <c r="E5" i="2" a="1"/>
  <c r="E5" i="2" s="1"/>
  <c r="D5" i="2" a="1"/>
  <c r="D5" i="2"/>
  <c r="C5" i="2" a="1"/>
  <c r="C5" i="2" s="1"/>
  <c r="B5" i="2" a="1"/>
  <c r="B5" i="2" s="1"/>
  <c r="Y4" i="2" a="1"/>
  <c r="Y4" i="2"/>
  <c r="S4" i="2"/>
  <c r="R4" i="2" a="1"/>
  <c r="R4" i="2" s="1"/>
  <c r="Q4" i="2" a="1"/>
  <c r="Q4" i="2"/>
  <c r="P4" i="2" a="1"/>
  <c r="P4" i="2"/>
  <c r="N4" i="2" a="1"/>
  <c r="N4" i="2"/>
  <c r="M4" i="2" a="1"/>
  <c r="M4" i="2" s="1"/>
  <c r="O4" i="2" s="1"/>
  <c r="L4" i="2" a="1"/>
  <c r="L4" i="2" s="1"/>
  <c r="E4" i="2" a="1"/>
  <c r="E4" i="2" s="1"/>
  <c r="D4" i="2" a="1"/>
  <c r="D4" i="2" s="1"/>
  <c r="C4" i="2" a="1"/>
  <c r="C4" i="2"/>
  <c r="R19" i="1" s="1"/>
  <c r="B4" i="2" a="1"/>
  <c r="B4" i="2" s="1"/>
  <c r="Y3" i="2" a="1"/>
  <c r="Y3" i="2" s="1"/>
  <c r="S3" i="2"/>
  <c r="R3" i="2" a="1"/>
  <c r="R3" i="2" s="1"/>
  <c r="Q3" i="2" a="1"/>
  <c r="Q3" i="2"/>
  <c r="P3" i="2" a="1"/>
  <c r="P3" i="2" s="1"/>
  <c r="N3" i="2" a="1"/>
  <c r="N3" i="2" s="1"/>
  <c r="M3" i="2" a="1"/>
  <c r="M3" i="2" s="1"/>
  <c r="O3" i="2" s="1"/>
  <c r="L3" i="2" a="1"/>
  <c r="L3" i="2" s="1"/>
  <c r="E3" i="2" a="1"/>
  <c r="E3" i="2"/>
  <c r="D3" i="2" a="1"/>
  <c r="D3" i="2" s="1"/>
  <c r="C3" i="2" a="1"/>
  <c r="C3" i="2" s="1"/>
  <c r="B3" i="2" a="1"/>
  <c r="B3" i="2" s="1"/>
  <c r="Y2" i="2" a="1"/>
  <c r="Y2" i="2" s="1"/>
  <c r="S2" i="2"/>
  <c r="R2" i="2" a="1"/>
  <c r="R2" i="2" s="1"/>
  <c r="Q2" i="2" a="1"/>
  <c r="Q2" i="2"/>
  <c r="P2" i="2" a="1"/>
  <c r="P2" i="2"/>
  <c r="O2" i="2"/>
  <c r="N2" i="2" a="1"/>
  <c r="N2" i="2" s="1"/>
  <c r="M2" i="2" a="1"/>
  <c r="M2" i="2" s="1"/>
  <c r="L2" i="2" a="1"/>
  <c r="L2" i="2" s="1"/>
  <c r="K2" i="2" a="1"/>
  <c r="K2" i="2" s="1"/>
  <c r="H2" i="2" a="1"/>
  <c r="H2" i="2" s="1"/>
  <c r="E2" i="2" a="1"/>
  <c r="E2" i="2" s="1"/>
  <c r="D2" i="2" a="1"/>
  <c r="D2" i="2" s="1"/>
  <c r="C2" i="2" a="1"/>
  <c r="C2" i="2" s="1"/>
  <c r="B2" i="2" a="1"/>
  <c r="B2" i="2" s="1"/>
  <c r="X46" i="1"/>
  <c r="W46" i="1"/>
  <c r="V46" i="1"/>
  <c r="U46" i="1"/>
  <c r="O37" i="1"/>
  <c r="O36" i="1"/>
  <c r="O35" i="1"/>
  <c r="O34" i="1"/>
  <c r="E32" i="1"/>
  <c r="D32" i="1"/>
  <c r="C32" i="1"/>
  <c r="F31" i="1"/>
  <c r="D31" i="1"/>
  <c r="C31" i="1"/>
  <c r="E30" i="1"/>
  <c r="D30" i="1"/>
  <c r="C30" i="1"/>
  <c r="L27" i="1"/>
  <c r="K27" i="1"/>
  <c r="J27" i="1"/>
  <c r="I27" i="1"/>
  <c r="H27" i="1"/>
  <c r="G27" i="1"/>
  <c r="F27" i="1"/>
  <c r="E27" i="1"/>
  <c r="D27" i="1"/>
  <c r="C27" i="1"/>
  <c r="L26" i="1"/>
  <c r="K26" i="1"/>
  <c r="J26" i="1"/>
  <c r="I26" i="1"/>
  <c r="H26" i="1"/>
  <c r="G26" i="1"/>
  <c r="F26" i="1"/>
  <c r="E26" i="1"/>
  <c r="D26" i="1"/>
  <c r="C26" i="1"/>
  <c r="L25" i="1"/>
  <c r="K25" i="1"/>
  <c r="J25" i="1"/>
  <c r="I25" i="1"/>
  <c r="H25" i="1"/>
  <c r="G25" i="1"/>
  <c r="F25" i="1"/>
  <c r="E25" i="1"/>
  <c r="D25" i="1"/>
  <c r="C25" i="1"/>
  <c r="L24" i="1"/>
  <c r="K24" i="1"/>
  <c r="J24" i="1"/>
  <c r="I24" i="1"/>
  <c r="H24" i="1"/>
  <c r="G24" i="1"/>
  <c r="F24" i="1"/>
  <c r="E24" i="1"/>
  <c r="D24" i="1"/>
  <c r="C24" i="1"/>
  <c r="L21" i="1"/>
  <c r="K21" i="1"/>
  <c r="J21" i="1"/>
  <c r="I21" i="1"/>
  <c r="R20" i="1"/>
  <c r="Q20" i="1"/>
  <c r="P20" i="1"/>
  <c r="O20" i="1"/>
  <c r="L20" i="1"/>
  <c r="K20" i="1"/>
  <c r="J20" i="1"/>
  <c r="I20" i="1"/>
  <c r="E20" i="1"/>
  <c r="D20" i="1"/>
  <c r="C20" i="1"/>
  <c r="I19" i="1"/>
  <c r="E19" i="1"/>
  <c r="D19" i="1"/>
  <c r="C19" i="1"/>
  <c r="I17" i="1"/>
  <c r="O16" i="1"/>
  <c r="L16" i="1"/>
  <c r="K16" i="1"/>
  <c r="J16" i="1"/>
  <c r="I16" i="1"/>
  <c r="F16" i="1"/>
  <c r="E16" i="1"/>
  <c r="C16" i="1"/>
  <c r="O15" i="1"/>
  <c r="L15" i="1"/>
  <c r="K15" i="1"/>
  <c r="J15" i="1"/>
  <c r="I15" i="1"/>
  <c r="F15" i="1"/>
  <c r="E15" i="1"/>
  <c r="D15" i="1"/>
  <c r="C15" i="1"/>
  <c r="C14" i="1"/>
  <c r="Y11" i="1"/>
  <c r="X11" i="1"/>
  <c r="W11" i="1"/>
  <c r="V11" i="1"/>
  <c r="U11" i="1"/>
  <c r="T11" i="1"/>
  <c r="S11" i="1"/>
  <c r="R11" i="1"/>
  <c r="Q11" i="1"/>
  <c r="P11" i="1"/>
  <c r="O11" i="1"/>
  <c r="L11" i="1"/>
  <c r="K11" i="1"/>
  <c r="J11" i="1"/>
  <c r="I11" i="1"/>
  <c r="H11" i="1"/>
  <c r="G11" i="1"/>
  <c r="F11" i="1"/>
  <c r="E11" i="1"/>
  <c r="D11" i="1"/>
  <c r="C11" i="1"/>
  <c r="H5" i="7" s="1"/>
  <c r="Y10" i="1"/>
  <c r="X10" i="1"/>
  <c r="W10" i="1"/>
  <c r="V10" i="1"/>
  <c r="U10" i="1"/>
  <c r="T10" i="1"/>
  <c r="S10" i="1"/>
  <c r="R10" i="1"/>
  <c r="Q10" i="1"/>
  <c r="P10" i="1"/>
  <c r="O10" i="1"/>
  <c r="L10" i="1"/>
  <c r="K10" i="1"/>
  <c r="J10" i="1"/>
  <c r="I10" i="1"/>
  <c r="H10" i="1"/>
  <c r="G10" i="1"/>
  <c r="F10" i="1"/>
  <c r="E10" i="1"/>
  <c r="D10" i="1"/>
  <c r="C10" i="1"/>
  <c r="H4" i="7" s="1"/>
  <c r="Y9" i="1"/>
  <c r="X9" i="1"/>
  <c r="W9" i="1"/>
  <c r="V9" i="1"/>
  <c r="U9" i="1"/>
  <c r="T9" i="1"/>
  <c r="S9" i="1"/>
  <c r="R9" i="1"/>
  <c r="Q9" i="1"/>
  <c r="P9" i="1"/>
  <c r="O9" i="1"/>
  <c r="L9" i="1"/>
  <c r="K9" i="1"/>
  <c r="J9" i="1"/>
  <c r="I9" i="1"/>
  <c r="H9" i="1"/>
  <c r="G9" i="1"/>
  <c r="F9" i="1"/>
  <c r="E9" i="1"/>
  <c r="D9" i="1"/>
  <c r="C9" i="1"/>
  <c r="H3" i="7" s="1"/>
  <c r="Y8" i="1"/>
  <c r="X8" i="1"/>
  <c r="W8" i="1"/>
  <c r="V8" i="1"/>
  <c r="U8" i="1"/>
  <c r="T8" i="1"/>
  <c r="S8" i="1"/>
  <c r="R8" i="1"/>
  <c r="Q8" i="1"/>
  <c r="P8" i="1"/>
  <c r="O8" i="1"/>
  <c r="L8" i="1"/>
  <c r="K8" i="1"/>
  <c r="J8" i="1"/>
  <c r="I8" i="1"/>
  <c r="H8" i="1"/>
  <c r="G8" i="1"/>
  <c r="F8" i="1"/>
  <c r="E8" i="1"/>
  <c r="D8" i="1"/>
  <c r="C8" i="1"/>
  <c r="H2" i="7" s="1"/>
  <c r="C2" i="1" s="1"/>
  <c r="AB5" i="1"/>
  <c r="AA5" i="1"/>
  <c r="O5" i="1" s="1"/>
  <c r="P5" i="1"/>
  <c r="L5" i="1"/>
  <c r="D5" i="1"/>
  <c r="C5" i="1"/>
  <c r="AB4" i="1"/>
  <c r="AA4" i="1"/>
  <c r="P4" i="1"/>
  <c r="O4" i="1"/>
  <c r="L4" i="1"/>
  <c r="D4" i="1"/>
  <c r="C4" i="1"/>
  <c r="AB3" i="1"/>
  <c r="AA3" i="1"/>
  <c r="AA2" i="1" s="1"/>
  <c r="P3" i="1"/>
  <c r="O3" i="1"/>
  <c r="L3" i="1"/>
  <c r="D3" i="1"/>
  <c r="C3" i="1"/>
  <c r="AB2" i="1"/>
  <c r="P2" i="1"/>
  <c r="L2" i="1"/>
  <c r="D2" i="1"/>
  <c r="F21" i="1" l="1"/>
  <c r="E14" i="1"/>
  <c r="E21" i="1" s="1"/>
  <c r="F19" i="1"/>
  <c r="F20" i="1"/>
  <c r="F30" i="1"/>
  <c r="F32" i="1"/>
  <c r="J19" i="1"/>
  <c r="D14" i="1"/>
  <c r="D21" i="1" s="1"/>
  <c r="C21" i="1" s="1"/>
  <c r="K19" i="1"/>
  <c r="H14" i="1"/>
  <c r="D422" i="21"/>
  <c r="S199" i="12"/>
  <c r="E243" i="16" a="1"/>
  <c r="E243" i="16" s="1"/>
  <c r="E240" i="16" a="1"/>
  <c r="E240" i="16" s="1"/>
  <c r="O239" i="16" a="1"/>
  <c r="O239" i="16" s="1"/>
  <c r="E238" i="16" a="1"/>
  <c r="E238" i="16" s="1"/>
  <c r="K236" i="16" a="1"/>
  <c r="K236" i="16" s="1"/>
  <c r="E236" i="16" a="1"/>
  <c r="E236" i="16" s="1"/>
  <c r="N235" i="16" a="1"/>
  <c r="N235" i="16" s="1"/>
  <c r="E234" i="16" a="1"/>
  <c r="E234" i="16" s="1"/>
  <c r="K232" i="16" a="1"/>
  <c r="K232" i="16" s="1"/>
  <c r="S727" i="22" s="1"/>
  <c r="O229" i="16" a="1"/>
  <c r="O229" i="16" s="1"/>
  <c r="O227" i="16" a="1"/>
  <c r="O227" i="16" s="1"/>
  <c r="L226" i="16" a="1"/>
  <c r="L226" i="16" s="1"/>
  <c r="O225" i="16" a="1"/>
  <c r="O225" i="16" s="1"/>
  <c r="O223" i="16" a="1"/>
  <c r="O223" i="16" s="1"/>
  <c r="O221" i="16" a="1"/>
  <c r="O221" i="16" s="1"/>
  <c r="E221" i="16" a="1"/>
  <c r="E221" i="16" s="1"/>
  <c r="N220" i="16" a="1"/>
  <c r="N220" i="16" s="1"/>
  <c r="P219" i="16" a="1"/>
  <c r="P219" i="16" s="1"/>
  <c r="K218" i="16" a="1"/>
  <c r="K218" i="16" s="1"/>
  <c r="N217" i="16" a="1"/>
  <c r="N217" i="16" s="1"/>
  <c r="P216" i="16" a="1"/>
  <c r="P216" i="16" s="1"/>
  <c r="K214" i="16" a="1"/>
  <c r="K214" i="16" s="1"/>
  <c r="E214" i="16" a="1"/>
  <c r="E214" i="16" s="1"/>
  <c r="O212" i="16" a="1"/>
  <c r="O212" i="16" s="1"/>
  <c r="E239" i="16" a="1"/>
  <c r="E239" i="16" s="1"/>
  <c r="E230" i="16" a="1"/>
  <c r="E230" i="16" s="1"/>
  <c r="O274" i="16" a="1"/>
  <c r="O274" i="16" s="1"/>
  <c r="N273" i="16" a="1"/>
  <c r="N273" i="16" s="1"/>
  <c r="O272" i="16" a="1"/>
  <c r="O272" i="16" s="1"/>
  <c r="L271" i="16" a="1"/>
  <c r="L271" i="16" s="1"/>
  <c r="K217" i="2" s="1" a="1"/>
  <c r="K217" i="2" s="1"/>
  <c r="N270" i="16" a="1"/>
  <c r="N270" i="16" s="1"/>
  <c r="N268" i="16" a="1"/>
  <c r="N268" i="16" s="1"/>
  <c r="K267" i="16" a="1"/>
  <c r="K267" i="16" s="1"/>
  <c r="K264" i="16" a="1"/>
  <c r="K264" i="16" s="1"/>
  <c r="E264" i="16" a="1"/>
  <c r="E264" i="16" s="1"/>
  <c r="L262" i="16" a="1"/>
  <c r="L262" i="16" s="1"/>
  <c r="K302" i="2" s="1" a="1"/>
  <c r="K302" i="2" s="1"/>
  <c r="P259" i="16" a="1"/>
  <c r="P259" i="16" s="1"/>
  <c r="N258" i="16" a="1"/>
  <c r="N258" i="16" s="1"/>
  <c r="K257" i="16" a="1"/>
  <c r="K257" i="16" s="1"/>
  <c r="O256" i="16" a="1"/>
  <c r="O256" i="16" s="1"/>
  <c r="L255" i="16" a="1"/>
  <c r="L255" i="16" s="1"/>
  <c r="K254" i="16" a="1"/>
  <c r="K254" i="16" s="1"/>
  <c r="S968" i="22" s="1"/>
  <c r="P253" i="16" a="1"/>
  <c r="P253" i="16" s="1"/>
  <c r="L250" i="16" a="1"/>
  <c r="L250" i="16" s="1"/>
  <c r="N248" i="16" a="1"/>
  <c r="N248" i="16" s="1"/>
  <c r="N247" i="16" a="1"/>
  <c r="N247" i="16" s="1"/>
  <c r="L246" i="16" a="1"/>
  <c r="L246" i="16" s="1"/>
  <c r="N244" i="16" a="1"/>
  <c r="N244" i="16" s="1"/>
  <c r="L243" i="16" a="1"/>
  <c r="L243" i="16" s="1"/>
  <c r="P242" i="16" a="1"/>
  <c r="P242" i="16" s="1"/>
  <c r="L239" i="16" a="1"/>
  <c r="L239" i="16" s="1"/>
  <c r="L238" i="16" a="1"/>
  <c r="L238" i="16" s="1"/>
  <c r="P237" i="16" a="1"/>
  <c r="P237" i="16" s="1"/>
  <c r="E237" i="16" a="1"/>
  <c r="E237" i="16" s="1"/>
  <c r="E235" i="16" a="1"/>
  <c r="E235" i="16" s="1"/>
  <c r="N234" i="16" a="1"/>
  <c r="N234" i="16" s="1"/>
  <c r="P233" i="16" a="1"/>
  <c r="P233" i="16" s="1"/>
  <c r="E233" i="16" a="1"/>
  <c r="E233" i="16" s="1"/>
  <c r="O232" i="16" a="1"/>
  <c r="O232" i="16" s="1"/>
  <c r="K231" i="16" a="1"/>
  <c r="K231" i="16" s="1"/>
  <c r="S960" i="22" s="1"/>
  <c r="O230" i="16" a="1"/>
  <c r="O230" i="16" s="1"/>
  <c r="L229" i="16" a="1"/>
  <c r="L229" i="16" s="1"/>
  <c r="P228" i="16" a="1"/>
  <c r="P228" i="16" s="1"/>
  <c r="P224" i="16" a="1"/>
  <c r="P224" i="16" s="1"/>
  <c r="L223" i="16" a="1"/>
  <c r="L223" i="16" s="1"/>
  <c r="L221" i="16" a="1"/>
  <c r="L221" i="16" s="1"/>
  <c r="E220" i="16" a="1"/>
  <c r="E220" i="16" s="1"/>
  <c r="L219" i="16" a="1"/>
  <c r="L219" i="16" s="1"/>
  <c r="K201" i="2" s="1" a="1"/>
  <c r="K201" i="2" s="1"/>
  <c r="O218" i="16" a="1"/>
  <c r="O218" i="16" s="1"/>
  <c r="N272" i="16" a="1"/>
  <c r="N272" i="16" s="1"/>
  <c r="N269" i="16" a="1"/>
  <c r="N269" i="16" s="1"/>
  <c r="O266" i="16" a="1"/>
  <c r="O266" i="16" s="1"/>
  <c r="N263" i="16" a="1"/>
  <c r="N263" i="16" s="1"/>
  <c r="L260" i="16" a="1"/>
  <c r="L260" i="16" s="1"/>
  <c r="K68" i="2" s="1" a="1"/>
  <c r="K68" i="2" s="1"/>
  <c r="O257" i="16" a="1"/>
  <c r="O257" i="16" s="1"/>
  <c r="P254" i="16" a="1"/>
  <c r="P254" i="16" s="1"/>
  <c r="O251" i="16" a="1"/>
  <c r="O251" i="16" s="1"/>
  <c r="P245" i="16" a="1"/>
  <c r="P245" i="16" s="1"/>
  <c r="E241" i="16" a="1"/>
  <c r="E241" i="16" s="1"/>
  <c r="K240" i="16" a="1"/>
  <c r="K240" i="16" s="1"/>
  <c r="P236" i="16" a="1"/>
  <c r="P236" i="16" s="1"/>
  <c r="O235" i="16" a="1"/>
  <c r="O235" i="16" s="1"/>
  <c r="L234" i="16" a="1"/>
  <c r="L234" i="16" s="1"/>
  <c r="N233" i="16" a="1"/>
  <c r="N233" i="16" s="1"/>
  <c r="L232" i="16" a="1"/>
  <c r="L232" i="16" s="1"/>
  <c r="N231" i="16" a="1"/>
  <c r="N231" i="16" s="1"/>
  <c r="L230" i="16" a="1"/>
  <c r="L230" i="16" s="1"/>
  <c r="K229" i="16" a="1"/>
  <c r="K229" i="16" s="1"/>
  <c r="S717" i="22" s="1"/>
  <c r="L228" i="16" a="1"/>
  <c r="L228" i="16" s="1"/>
  <c r="K88" i="2" s="1" a="1"/>
  <c r="K88" i="2" s="1"/>
  <c r="O226" i="16" a="1"/>
  <c r="O226" i="16" s="1"/>
  <c r="P225" i="16" a="1"/>
  <c r="P225" i="16" s="1"/>
  <c r="O224" i="16" a="1"/>
  <c r="O224" i="16" s="1"/>
  <c r="E219" i="16" a="1"/>
  <c r="E219" i="16" s="1"/>
  <c r="P213" i="16" a="1"/>
  <c r="P213" i="16" s="1"/>
  <c r="K211" i="16" a="1"/>
  <c r="K211" i="16" s="1"/>
  <c r="E211" i="16" a="1"/>
  <c r="E211" i="16" s="1"/>
  <c r="K210" i="16" a="1"/>
  <c r="K210" i="16" s="1"/>
  <c r="E210" i="16" a="1"/>
  <c r="E210" i="16" s="1"/>
  <c r="L209" i="16" a="1"/>
  <c r="L209" i="16" s="1"/>
  <c r="N208" i="16" a="1"/>
  <c r="N208" i="16" s="1"/>
  <c r="O207" i="16" a="1"/>
  <c r="O207" i="16" s="1"/>
  <c r="K205" i="16" a="1"/>
  <c r="K205" i="16" s="1"/>
  <c r="N204" i="16" a="1"/>
  <c r="N204" i="16" s="1"/>
  <c r="P203" i="16" a="1"/>
  <c r="P203" i="16" s="1"/>
  <c r="K202" i="16" a="1"/>
  <c r="K202" i="16" s="1"/>
  <c r="E202" i="16" a="1"/>
  <c r="E202" i="16" s="1"/>
  <c r="L201" i="16" a="1"/>
  <c r="L201" i="16" s="1"/>
  <c r="O199" i="16" a="1"/>
  <c r="O199" i="16" s="1"/>
  <c r="L195" i="16" a="1"/>
  <c r="L195" i="16" s="1"/>
  <c r="O194" i="16" a="1"/>
  <c r="O194" i="16" s="1"/>
  <c r="P193" i="16" a="1"/>
  <c r="P193" i="16" s="1"/>
  <c r="E192" i="16" a="1"/>
  <c r="E192" i="16" s="1"/>
  <c r="L191" i="16" a="1"/>
  <c r="L191" i="16" s="1"/>
  <c r="K290" i="2" s="1" a="1"/>
  <c r="K290" i="2" s="1"/>
  <c r="E191" i="16" a="1"/>
  <c r="E191" i="16" s="1"/>
  <c r="N190" i="16" a="1"/>
  <c r="N190" i="16" s="1"/>
  <c r="N189" i="16" a="1"/>
  <c r="N189" i="16" s="1"/>
  <c r="P188" i="16" a="1"/>
  <c r="P188" i="16" s="1"/>
  <c r="L186" i="16" a="1"/>
  <c r="L186" i="16" s="1"/>
  <c r="N185" i="16" a="1"/>
  <c r="N185" i="16" s="1"/>
  <c r="O184" i="16" a="1"/>
  <c r="O184" i="16" s="1"/>
  <c r="P183" i="16" a="1"/>
  <c r="P183" i="16" s="1"/>
  <c r="K181" i="16" a="1"/>
  <c r="K181" i="16" s="1"/>
  <c r="K180" i="16" a="1"/>
  <c r="K180" i="16" s="1"/>
  <c r="N179" i="16" a="1"/>
  <c r="N179" i="16" s="1"/>
  <c r="E177" i="16" a="1"/>
  <c r="E177" i="16" s="1"/>
  <c r="L175" i="16" a="1"/>
  <c r="L175" i="16" s="1"/>
  <c r="O174" i="16" a="1"/>
  <c r="O174" i="16" s="1"/>
  <c r="O173" i="16" a="1"/>
  <c r="O173" i="16" s="1"/>
  <c r="E171" i="16" a="1"/>
  <c r="E171" i="16" s="1"/>
  <c r="N275" i="16" a="1"/>
  <c r="N275" i="16" s="1"/>
  <c r="K271" i="16" a="1"/>
  <c r="K271" i="16" s="1"/>
  <c r="E269" i="16" a="1"/>
  <c r="E269" i="16" s="1"/>
  <c r="O267" i="16" a="1"/>
  <c r="O267" i="16" s="1"/>
  <c r="O261" i="16" a="1"/>
  <c r="O261" i="16" s="1"/>
  <c r="E252" i="16" a="1"/>
  <c r="E252" i="16" s="1"/>
  <c r="O245" i="16" a="1"/>
  <c r="O245" i="16" s="1"/>
  <c r="K239" i="16" a="1"/>
  <c r="K239" i="16" s="1"/>
  <c r="S1067" i="22" s="1"/>
  <c r="O238" i="16" a="1"/>
  <c r="O238" i="16" s="1"/>
  <c r="L236" i="16" a="1"/>
  <c r="L236" i="16" s="1"/>
  <c r="K107" i="2" s="1" a="1"/>
  <c r="K107" i="2" s="1"/>
  <c r="L235" i="16" a="1"/>
  <c r="L235" i="16" s="1"/>
  <c r="K234" i="16" a="1"/>
  <c r="K234" i="16" s="1"/>
  <c r="S1066" i="22" s="1"/>
  <c r="E231" i="16" a="1"/>
  <c r="E231" i="16" s="1"/>
  <c r="E229" i="16" a="1"/>
  <c r="E229" i="16" s="1"/>
  <c r="E228" i="16" a="1"/>
  <c r="E228" i="16" s="1"/>
  <c r="K227" i="16" a="1"/>
  <c r="K227" i="16" s="1"/>
  <c r="H87" i="2" s="1" a="1"/>
  <c r="H87" i="2" s="1"/>
  <c r="N226" i="16" a="1"/>
  <c r="N226" i="16" s="1"/>
  <c r="N225" i="16" a="1"/>
  <c r="N225" i="16" s="1"/>
  <c r="L224" i="16" a="1"/>
  <c r="L224" i="16" s="1"/>
  <c r="O222" i="16" a="1"/>
  <c r="O222" i="16" s="1"/>
  <c r="P221" i="16" a="1"/>
  <c r="P221" i="16" s="1"/>
  <c r="K217" i="16" a="1"/>
  <c r="K217" i="16" s="1"/>
  <c r="E217" i="16" a="1"/>
  <c r="E217" i="16" s="1"/>
  <c r="L216" i="16" a="1"/>
  <c r="L216" i="16" s="1"/>
  <c r="K334" i="2" s="1" a="1"/>
  <c r="K334" i="2" s="1"/>
  <c r="N215" i="16" a="1"/>
  <c r="N215" i="16" s="1"/>
  <c r="O213" i="16" a="1"/>
  <c r="O213" i="16" s="1"/>
  <c r="P211" i="16" a="1"/>
  <c r="P211" i="16" s="1"/>
  <c r="K209" i="16" a="1"/>
  <c r="K209" i="16" s="1"/>
  <c r="S555" i="22" s="1"/>
  <c r="E209" i="16" a="1"/>
  <c r="E209" i="16" s="1"/>
  <c r="L208" i="16" a="1"/>
  <c r="L208" i="16" s="1"/>
  <c r="K237" i="2" s="1" a="1"/>
  <c r="K237" i="2" s="1"/>
  <c r="P205" i="16" a="1"/>
  <c r="P205" i="16" s="1"/>
  <c r="L204" i="16" a="1"/>
  <c r="L204" i="16" s="1"/>
  <c r="N203" i="16" a="1"/>
  <c r="N203" i="16" s="1"/>
  <c r="P202" i="16" a="1"/>
  <c r="P202" i="16" s="1"/>
  <c r="K201" i="16" a="1"/>
  <c r="K201" i="16" s="1"/>
  <c r="S783" i="22" s="1"/>
  <c r="L200" i="16" a="1"/>
  <c r="L200" i="16" s="1"/>
  <c r="K184" i="2" s="1" a="1"/>
  <c r="K184" i="2" s="1"/>
  <c r="L199" i="16" a="1"/>
  <c r="L199" i="16" s="1"/>
  <c r="K181" i="2" s="1" a="1"/>
  <c r="K181" i="2" s="1"/>
  <c r="N198" i="16" a="1"/>
  <c r="N198" i="16" s="1"/>
  <c r="K195" i="16" a="1"/>
  <c r="K195" i="16" s="1"/>
  <c r="S1002" i="22" s="1"/>
  <c r="N194" i="16" a="1"/>
  <c r="N194" i="16" s="1"/>
  <c r="N193" i="16" a="1"/>
  <c r="N193" i="16" s="1"/>
  <c r="O192" i="16" a="1"/>
  <c r="O192" i="16" s="1"/>
  <c r="L273" i="16" a="1"/>
  <c r="L273" i="16" s="1"/>
  <c r="K100" i="2" s="1" a="1"/>
  <c r="K100" i="2" s="1"/>
  <c r="P264" i="16" a="1"/>
  <c r="P264" i="16" s="1"/>
  <c r="N261" i="16" a="1"/>
  <c r="N261" i="16" s="1"/>
  <c r="E257" i="16" a="1"/>
  <c r="E257" i="16" s="1"/>
  <c r="K255" i="16" a="1"/>
  <c r="K255" i="16" s="1"/>
  <c r="K247" i="16" a="1"/>
  <c r="K247" i="16" s="1"/>
  <c r="K246" i="16" a="1"/>
  <c r="K246" i="16" s="1"/>
  <c r="S961" i="22" s="1"/>
  <c r="E245" i="16" a="1"/>
  <c r="E245" i="16" s="1"/>
  <c r="O241" i="16" a="1"/>
  <c r="O241" i="16" s="1"/>
  <c r="N237" i="16" a="1"/>
  <c r="N237" i="16" s="1"/>
  <c r="E227" i="16" a="1"/>
  <c r="E227" i="16" s="1"/>
  <c r="K225" i="16" a="1"/>
  <c r="K225" i="16" s="1"/>
  <c r="K224" i="16" a="1"/>
  <c r="K224" i="16" s="1"/>
  <c r="N223" i="16" a="1"/>
  <c r="N223" i="16" s="1"/>
  <c r="N222" i="16" a="1"/>
  <c r="N222" i="16" s="1"/>
  <c r="K216" i="16" a="1"/>
  <c r="K216" i="16" s="1"/>
  <c r="E216" i="16" a="1"/>
  <c r="E216" i="16" s="1"/>
  <c r="L215" i="16" a="1"/>
  <c r="L215" i="16" s="1"/>
  <c r="K200" i="2" s="1" a="1"/>
  <c r="K200" i="2" s="1"/>
  <c r="N214" i="16" a="1"/>
  <c r="N214" i="16" s="1"/>
  <c r="N213" i="16" a="1"/>
  <c r="N213" i="16" s="1"/>
  <c r="N212" i="16" a="1"/>
  <c r="N212" i="16" s="1"/>
  <c r="P210" i="16" a="1"/>
  <c r="P210" i="16" s="1"/>
  <c r="K208" i="16" a="1"/>
  <c r="K208" i="16" s="1"/>
  <c r="E208" i="16" a="1"/>
  <c r="E208" i="16" s="1"/>
  <c r="L207" i="16" a="1"/>
  <c r="L207" i="16" s="1"/>
  <c r="K199" i="2" s="1" a="1"/>
  <c r="K199" i="2" s="1"/>
  <c r="O206" i="16" a="1"/>
  <c r="O206" i="16" s="1"/>
  <c r="O205" i="16" a="1"/>
  <c r="O205" i="16" s="1"/>
  <c r="K204" i="16" a="1"/>
  <c r="K204" i="16" s="1"/>
  <c r="E204" i="16" a="1"/>
  <c r="E204" i="16" s="1"/>
  <c r="O202" i="16" a="1"/>
  <c r="O202" i="16" s="1"/>
  <c r="K200" i="16" a="1"/>
  <c r="K200" i="16" s="1"/>
  <c r="E200" i="16" a="1"/>
  <c r="E200" i="16" s="1"/>
  <c r="K199" i="16" a="1"/>
  <c r="K199" i="16" s="1"/>
  <c r="E199" i="16" a="1"/>
  <c r="E199" i="16" s="1"/>
  <c r="O197" i="16" a="1"/>
  <c r="O197" i="16" s="1"/>
  <c r="K273" i="16" a="1"/>
  <c r="K273" i="16" s="1"/>
  <c r="E273" i="16" a="1"/>
  <c r="E273" i="16" s="1"/>
  <c r="P265" i="16" a="1"/>
  <c r="P265" i="16" s="1"/>
  <c r="O264" i="16" a="1"/>
  <c r="O264" i="16" s="1"/>
  <c r="P243" i="16" a="1"/>
  <c r="P243" i="16" s="1"/>
  <c r="O242" i="16" a="1"/>
  <c r="O242" i="16" s="1"/>
  <c r="K238" i="16" a="1"/>
  <c r="K238" i="16" s="1"/>
  <c r="L237" i="16" a="1"/>
  <c r="L237" i="16" s="1"/>
  <c r="K336" i="2" s="1" a="1"/>
  <c r="K336" i="2" s="1"/>
  <c r="K226" i="16" a="1"/>
  <c r="K226" i="16" s="1"/>
  <c r="E224" i="16" a="1"/>
  <c r="E224" i="16" s="1"/>
  <c r="K223" i="16" a="1"/>
  <c r="K223" i="16" s="1"/>
  <c r="S425" i="22" s="1"/>
  <c r="L222" i="16" a="1"/>
  <c r="L222" i="16" s="1"/>
  <c r="K202" i="2" s="1" a="1"/>
  <c r="K202" i="2" s="1"/>
  <c r="P220" i="16" a="1"/>
  <c r="P220" i="16" s="1"/>
  <c r="O219" i="16" a="1"/>
  <c r="O219" i="16" s="1"/>
  <c r="P218" i="16" a="1"/>
  <c r="P218" i="16" s="1"/>
  <c r="K215" i="16" a="1"/>
  <c r="K215" i="16" s="1"/>
  <c r="E215" i="16" a="1"/>
  <c r="E215" i="16" s="1"/>
  <c r="L213" i="16" a="1"/>
  <c r="L213" i="16" s="1"/>
  <c r="L212" i="16" a="1"/>
  <c r="L212" i="16" s="1"/>
  <c r="K65" i="2" s="1" a="1"/>
  <c r="K65" i="2" s="1"/>
  <c r="O211" i="16" a="1"/>
  <c r="O211" i="16" s="1"/>
  <c r="O210" i="16" a="1"/>
  <c r="O210" i="16" s="1"/>
  <c r="N206" i="16" a="1"/>
  <c r="N206" i="16" s="1"/>
  <c r="N205" i="16" a="1"/>
  <c r="N205" i="16" s="1"/>
  <c r="L203" i="16" a="1"/>
  <c r="L203" i="16" s="1"/>
  <c r="P201" i="16" a="1"/>
  <c r="P201" i="16" s="1"/>
  <c r="L198" i="16" a="1"/>
  <c r="L198" i="16" s="1"/>
  <c r="K194" i="2" s="1" a="1"/>
  <c r="K194" i="2" s="1"/>
  <c r="N197" i="16" a="1"/>
  <c r="N197" i="16" s="1"/>
  <c r="O196" i="16" a="1"/>
  <c r="O196" i="16" s="1"/>
  <c r="K194" i="16" a="1"/>
  <c r="K194" i="16" s="1"/>
  <c r="E194" i="16" a="1"/>
  <c r="E194" i="16" s="1"/>
  <c r="N192" i="16" a="1"/>
  <c r="N192" i="16" s="1"/>
  <c r="E189" i="16" a="1"/>
  <c r="E189" i="16" s="1"/>
  <c r="L188" i="16" a="1"/>
  <c r="L188" i="16" s="1"/>
  <c r="N187" i="16" a="1"/>
  <c r="N187" i="16" s="1"/>
  <c r="K282" i="16" a="1"/>
  <c r="K282" i="16" s="1"/>
  <c r="L274" i="16" a="1"/>
  <c r="L274" i="16" s="1"/>
  <c r="K305" i="2" s="1" a="1"/>
  <c r="K305" i="2" s="1"/>
  <c r="E274" i="16" a="1"/>
  <c r="E274" i="16" s="1"/>
  <c r="N256" i="16" a="1"/>
  <c r="N256" i="16" s="1"/>
  <c r="O252" i="16" a="1"/>
  <c r="O252" i="16" s="1"/>
  <c r="O249" i="16" a="1"/>
  <c r="O249" i="16" s="1"/>
  <c r="K243" i="16" a="1"/>
  <c r="K243" i="16" s="1"/>
  <c r="E242" i="16" a="1"/>
  <c r="E242" i="16" s="1"/>
  <c r="O233" i="16" a="1"/>
  <c r="O233" i="16" s="1"/>
  <c r="P231" i="16" a="1"/>
  <c r="P231" i="16" s="1"/>
  <c r="O228" i="16" a="1"/>
  <c r="O228" i="16" s="1"/>
  <c r="E222" i="16" a="1"/>
  <c r="E222" i="16" s="1"/>
  <c r="K221" i="16" a="1"/>
  <c r="K221" i="16" s="1"/>
  <c r="S209" i="22" s="1"/>
  <c r="O220" i="16" a="1"/>
  <c r="O220" i="16" s="1"/>
  <c r="N219" i="16" a="1"/>
  <c r="N219" i="16" s="1"/>
  <c r="N218" i="16" a="1"/>
  <c r="N218" i="16" s="1"/>
  <c r="O217" i="16" a="1"/>
  <c r="O217" i="16" s="1"/>
  <c r="E212" i="16" a="1"/>
  <c r="E212" i="16" s="1"/>
  <c r="L211" i="16" a="1"/>
  <c r="L211" i="16" s="1"/>
  <c r="K347" i="2" s="1" a="1"/>
  <c r="K347" i="2" s="1"/>
  <c r="N210" i="16" a="1"/>
  <c r="N210" i="16" s="1"/>
  <c r="O209" i="16" a="1"/>
  <c r="O209" i="16" s="1"/>
  <c r="P208" i="16" a="1"/>
  <c r="P208" i="16" s="1"/>
  <c r="P207" i="16" a="1"/>
  <c r="P207" i="16" s="1"/>
  <c r="L206" i="16" a="1"/>
  <c r="L206" i="16" s="1"/>
  <c r="K346" i="2" s="1" a="1"/>
  <c r="K346" i="2" s="1"/>
  <c r="L205" i="16" a="1"/>
  <c r="L205" i="16" s="1"/>
  <c r="K185" i="2" s="1" a="1"/>
  <c r="K185" i="2" s="1"/>
  <c r="O204" i="16" a="1"/>
  <c r="O204" i="16" s="1"/>
  <c r="E203" i="16" a="1"/>
  <c r="E203" i="16" s="1"/>
  <c r="O201" i="16" a="1"/>
  <c r="O201" i="16" s="1"/>
  <c r="P199" i="16" a="1"/>
  <c r="P199" i="16" s="1"/>
  <c r="L197" i="16" a="1"/>
  <c r="L197" i="16" s="1"/>
  <c r="K180" i="2" s="1" a="1"/>
  <c r="K180" i="2" s="1"/>
  <c r="L196" i="16" a="1"/>
  <c r="L196" i="16" s="1"/>
  <c r="O195" i="16" a="1"/>
  <c r="O195" i="16" s="1"/>
  <c r="P194" i="16" a="1"/>
  <c r="P194" i="16" s="1"/>
  <c r="L192" i="16" a="1"/>
  <c r="L192" i="16" s="1"/>
  <c r="N191" i="16" a="1"/>
  <c r="N191" i="16" s="1"/>
  <c r="K187" i="16" a="1"/>
  <c r="K187" i="16" s="1"/>
  <c r="H81" i="2" s="1" a="1"/>
  <c r="H81" i="2" s="1"/>
  <c r="E187" i="16" a="1"/>
  <c r="E187" i="16" s="1"/>
  <c r="N186" i="16" a="1"/>
  <c r="N186" i="16" s="1"/>
  <c r="P185" i="16" a="1"/>
  <c r="P185" i="16" s="1"/>
  <c r="P184" i="16" a="1"/>
  <c r="P184" i="16" s="1"/>
  <c r="E183" i="16" a="1"/>
  <c r="E183" i="16" s="1"/>
  <c r="L182" i="16" a="1"/>
  <c r="L182" i="16" s="1"/>
  <c r="E182" i="16" a="1"/>
  <c r="E182" i="16" s="1"/>
  <c r="N180" i="16" a="1"/>
  <c r="N180" i="16" s="1"/>
  <c r="O176" i="16" a="1"/>
  <c r="O176" i="16" s="1"/>
  <c r="O175" i="16" a="1"/>
  <c r="O175" i="16" s="1"/>
  <c r="P174" i="16" a="1"/>
  <c r="P174" i="16" s="1"/>
  <c r="P173" i="16" a="1"/>
  <c r="P173" i="16" s="1"/>
  <c r="L172" i="16" a="1"/>
  <c r="L172" i="16" s="1"/>
  <c r="K188" i="2" s="1" a="1"/>
  <c r="K188" i="2" s="1"/>
  <c r="P169" i="16" a="1"/>
  <c r="P169" i="16" s="1"/>
  <c r="E168" i="16" a="1"/>
  <c r="E168" i="16" s="1"/>
  <c r="E271" i="16" a="1"/>
  <c r="E271" i="16" s="1"/>
  <c r="P257" i="16" a="1"/>
  <c r="P257" i="16" s="1"/>
  <c r="P246" i="16" a="1"/>
  <c r="P246" i="16" s="1"/>
  <c r="L244" i="16" a="1"/>
  <c r="L244" i="16" s="1"/>
  <c r="K208" i="2" s="1" a="1"/>
  <c r="K208" i="2" s="1"/>
  <c r="O237" i="16" a="1"/>
  <c r="O237" i="16" s="1"/>
  <c r="P227" i="16" a="1"/>
  <c r="P227" i="16" s="1"/>
  <c r="O216" i="16" a="1"/>
  <c r="O216" i="16" s="1"/>
  <c r="L214" i="16" a="1"/>
  <c r="L214" i="16" s="1"/>
  <c r="K212" i="16" a="1"/>
  <c r="K212" i="16" s="1"/>
  <c r="N201" i="16" a="1"/>
  <c r="N201" i="16" s="1"/>
  <c r="E201" i="16" a="1"/>
  <c r="E201" i="16" s="1"/>
  <c r="N199" i="16" a="1"/>
  <c r="N199" i="16" s="1"/>
  <c r="P195" i="16" a="1"/>
  <c r="P195" i="16" s="1"/>
  <c r="L194" i="16" a="1"/>
  <c r="L194" i="16" s="1"/>
  <c r="P192" i="16" a="1"/>
  <c r="P192" i="16" s="1"/>
  <c r="K191" i="16" a="1"/>
  <c r="K191" i="16" s="1"/>
  <c r="O188" i="16" a="1"/>
  <c r="O188" i="16" s="1"/>
  <c r="L187" i="16" a="1"/>
  <c r="L187" i="16" s="1"/>
  <c r="K81" i="2" s="1" a="1"/>
  <c r="K81" i="2" s="1"/>
  <c r="K186" i="16" a="1"/>
  <c r="K186" i="16" s="1"/>
  <c r="E185" i="16" a="1"/>
  <c r="E185" i="16" s="1"/>
  <c r="P181" i="16" a="1"/>
  <c r="P181" i="16" s="1"/>
  <c r="O180" i="16" a="1"/>
  <c r="O180" i="16" s="1"/>
  <c r="N177" i="16" a="1"/>
  <c r="N177" i="16" s="1"/>
  <c r="L176" i="16" a="1"/>
  <c r="L176" i="16" s="1"/>
  <c r="E176" i="16" a="1"/>
  <c r="E176" i="16" s="1"/>
  <c r="P171" i="16" a="1"/>
  <c r="P171" i="16" s="1"/>
  <c r="O170" i="16" a="1"/>
  <c r="O170" i="16" s="1"/>
  <c r="P167" i="16" a="1"/>
  <c r="P167" i="16" s="1"/>
  <c r="K166" i="16" a="1"/>
  <c r="K166" i="16" s="1"/>
  <c r="E166" i="16" a="1"/>
  <c r="E166" i="16" s="1"/>
  <c r="N165" i="16" a="1"/>
  <c r="N165" i="16" s="1"/>
  <c r="P164" i="16" a="1"/>
  <c r="P164" i="16" s="1"/>
  <c r="L157" i="16" a="1"/>
  <c r="L157" i="16" s="1"/>
  <c r="K67" i="2" s="1" a="1"/>
  <c r="K67" i="2" s="1"/>
  <c r="N156" i="16" a="1"/>
  <c r="N156" i="16" s="1"/>
  <c r="P155" i="16" a="1"/>
  <c r="P155" i="16" s="1"/>
  <c r="L154" i="16" a="1"/>
  <c r="L154" i="16" s="1"/>
  <c r="K55" i="2" s="1" a="1"/>
  <c r="K55" i="2" s="1"/>
  <c r="O152" i="16" a="1"/>
  <c r="O152" i="16" s="1"/>
  <c r="O149" i="16" a="1"/>
  <c r="O149" i="16" s="1"/>
  <c r="L147" i="16" a="1"/>
  <c r="L147" i="16" s="1"/>
  <c r="K282" i="2" s="1" a="1"/>
  <c r="K282" i="2" s="1"/>
  <c r="O146" i="16" a="1"/>
  <c r="O146" i="16" s="1"/>
  <c r="P145" i="16" a="1"/>
  <c r="P145" i="16" s="1"/>
  <c r="O143" i="16" a="1"/>
  <c r="O143" i="16" s="1"/>
  <c r="K141" i="16" a="1"/>
  <c r="K141" i="16" s="1"/>
  <c r="E141" i="16" a="1"/>
  <c r="E141" i="16" s="1"/>
  <c r="O139" i="16" a="1"/>
  <c r="O139" i="16" s="1"/>
  <c r="P138" i="16" a="1"/>
  <c r="P138" i="16" s="1"/>
  <c r="L137" i="16" a="1"/>
  <c r="L137" i="16" s="1"/>
  <c r="N136" i="16" a="1"/>
  <c r="N136" i="16" s="1"/>
  <c r="O135" i="16" a="1"/>
  <c r="O135" i="16" s="1"/>
  <c r="K134" i="16" a="1"/>
  <c r="K134" i="16" s="1"/>
  <c r="E134" i="16" a="1"/>
  <c r="E134" i="16" s="1"/>
  <c r="N133" i="16" a="1"/>
  <c r="N133" i="16" s="1"/>
  <c r="P132" i="16" a="1"/>
  <c r="P132" i="16" s="1"/>
  <c r="L131" i="16" a="1"/>
  <c r="L131" i="16" s="1"/>
  <c r="P130" i="16" a="1"/>
  <c r="P130" i="16" s="1"/>
  <c r="E127" i="16" a="1"/>
  <c r="E127" i="16" s="1"/>
  <c r="N126" i="16" a="1"/>
  <c r="N126" i="16" s="1"/>
  <c r="O125" i="16" a="1"/>
  <c r="O125" i="16" s="1"/>
  <c r="N123" i="16" a="1"/>
  <c r="N123" i="16" s="1"/>
  <c r="N120" i="16" a="1"/>
  <c r="N120" i="16" s="1"/>
  <c r="P119" i="16" a="1"/>
  <c r="P119" i="16" s="1"/>
  <c r="E118" i="16" a="1"/>
  <c r="E118" i="16" s="1"/>
  <c r="O116" i="16" a="1"/>
  <c r="O116" i="16" s="1"/>
  <c r="P115" i="16" a="1"/>
  <c r="P115" i="16" s="1"/>
  <c r="N113" i="16" a="1"/>
  <c r="N113" i="16" s="1"/>
  <c r="E112" i="16" a="1"/>
  <c r="E112" i="16" s="1"/>
  <c r="L111" i="16" a="1"/>
  <c r="L111" i="16" s="1"/>
  <c r="O110" i="16" a="1"/>
  <c r="O110" i="16" s="1"/>
  <c r="K109" i="16" a="1"/>
  <c r="K109" i="16" s="1"/>
  <c r="E109" i="16" a="1"/>
  <c r="E109" i="16" s="1"/>
  <c r="N108" i="16" a="1"/>
  <c r="N108" i="16" s="1"/>
  <c r="N106" i="16" a="1"/>
  <c r="N106" i="16" s="1"/>
  <c r="E105" i="16" a="1"/>
  <c r="E105" i="16" s="1"/>
  <c r="L104" i="16" a="1"/>
  <c r="L104" i="16" s="1"/>
  <c r="K162" i="2" s="1" a="1"/>
  <c r="K162" i="2" s="1"/>
  <c r="O103" i="16" a="1"/>
  <c r="O103" i="16" s="1"/>
  <c r="L101" i="16" a="1"/>
  <c r="L101" i="16" s="1"/>
  <c r="N100" i="16" a="1"/>
  <c r="N100" i="16" s="1"/>
  <c r="P99" i="16" a="1"/>
  <c r="P99" i="16" s="1"/>
  <c r="O96" i="16" a="1"/>
  <c r="O96" i="16" s="1"/>
  <c r="L263" i="16" a="1"/>
  <c r="L263" i="16" s="1"/>
  <c r="E261" i="16" a="1"/>
  <c r="E261" i="16" s="1"/>
  <c r="P249" i="16" a="1"/>
  <c r="P249" i="16" s="1"/>
  <c r="L233" i="16" a="1"/>
  <c r="L233" i="16" s="1"/>
  <c r="K204" i="2" s="1" a="1"/>
  <c r="K204" i="2" s="1"/>
  <c r="N230" i="16" a="1"/>
  <c r="N230" i="16" s="1"/>
  <c r="P209" i="16" a="1"/>
  <c r="P209" i="16" s="1"/>
  <c r="N207" i="16" a="1"/>
  <c r="N207" i="16" s="1"/>
  <c r="P204" i="16" a="1"/>
  <c r="P204" i="16" s="1"/>
  <c r="O198" i="16" a="1"/>
  <c r="O198" i="16" s="1"/>
  <c r="E198" i="16" a="1"/>
  <c r="E198" i="16" s="1"/>
  <c r="P196" i="16" a="1"/>
  <c r="P196" i="16" s="1"/>
  <c r="O189" i="16" a="1"/>
  <c r="O189" i="16" s="1"/>
  <c r="N188" i="16" a="1"/>
  <c r="N188" i="16" s="1"/>
  <c r="E188" i="16" a="1"/>
  <c r="E188" i="16" s="1"/>
  <c r="O181" i="16" a="1"/>
  <c r="O181" i="16" s="1"/>
  <c r="E180" i="16" a="1"/>
  <c r="E180" i="16" s="1"/>
  <c r="L178" i="16" a="1"/>
  <c r="L178" i="16" s="1"/>
  <c r="E178" i="16" a="1"/>
  <c r="E178" i="16" s="1"/>
  <c r="K177" i="16" a="1"/>
  <c r="K177" i="16" s="1"/>
  <c r="S709" i="22" s="1"/>
  <c r="N173" i="16" a="1"/>
  <c r="N173" i="16" s="1"/>
  <c r="N171" i="16" a="1"/>
  <c r="N171" i="16" s="1"/>
  <c r="L170" i="16" a="1"/>
  <c r="L170" i="16" s="1"/>
  <c r="K77" i="2" s="1" a="1"/>
  <c r="K77" i="2" s="1"/>
  <c r="O168" i="16" a="1"/>
  <c r="O168" i="16" s="1"/>
  <c r="P166" i="16" a="1"/>
  <c r="P166" i="16" s="1"/>
  <c r="L165" i="16" a="1"/>
  <c r="L165" i="16" s="1"/>
  <c r="K72" i="2" s="1" a="1"/>
  <c r="K72" i="2" s="1"/>
  <c r="O164" i="16" a="1"/>
  <c r="O164" i="16" s="1"/>
  <c r="N159" i="16" a="1"/>
  <c r="N159" i="16" s="1"/>
  <c r="O158" i="16" a="1"/>
  <c r="O158" i="16" s="1"/>
  <c r="P157" i="16" a="1"/>
  <c r="P157" i="16" s="1"/>
  <c r="L156" i="16" a="1"/>
  <c r="L156" i="16" s="1"/>
  <c r="K175" i="2" s="1" a="1"/>
  <c r="K175" i="2" s="1"/>
  <c r="N155" i="16" a="1"/>
  <c r="N155" i="16" s="1"/>
  <c r="K154" i="16" a="1"/>
  <c r="K154" i="16" s="1"/>
  <c r="L153" i="16" a="1"/>
  <c r="L153" i="16" s="1"/>
  <c r="K169" i="2" s="1" a="1"/>
  <c r="K169" i="2" s="1"/>
  <c r="L152" i="16" a="1"/>
  <c r="L152" i="16" s="1"/>
  <c r="K54" i="2" s="1" a="1"/>
  <c r="K54" i="2" s="1"/>
  <c r="O151" i="16" a="1"/>
  <c r="O151" i="16" s="1"/>
  <c r="K150" i="16" a="1"/>
  <c r="K150" i="16" s="1"/>
  <c r="E147" i="16" a="1"/>
  <c r="E147" i="16" s="1"/>
  <c r="L146" i="16" a="1"/>
  <c r="L146" i="16" s="1"/>
  <c r="K280" i="2" s="1" a="1"/>
  <c r="K280" i="2" s="1"/>
  <c r="E144" i="16" a="1"/>
  <c r="E144" i="16" s="1"/>
  <c r="L143" i="16" a="1"/>
  <c r="L143" i="16" s="1"/>
  <c r="N142" i="16" a="1"/>
  <c r="N142" i="16" s="1"/>
  <c r="K140" i="16" a="1"/>
  <c r="K140" i="16" s="1"/>
  <c r="S932" i="22" s="1"/>
  <c r="E140" i="16" a="1"/>
  <c r="E140" i="16" s="1"/>
  <c r="O138" i="16" a="1"/>
  <c r="O138" i="16" s="1"/>
  <c r="E137" i="16" a="1"/>
  <c r="E137" i="16" s="1"/>
  <c r="K136" i="16" a="1"/>
  <c r="K136" i="16" s="1"/>
  <c r="N135" i="16" a="1"/>
  <c r="N135" i="16" s="1"/>
  <c r="P134" i="16" a="1"/>
  <c r="P134" i="16" s="1"/>
  <c r="L133" i="16" a="1"/>
  <c r="L133" i="16" s="1"/>
  <c r="K47" i="2" s="1" a="1"/>
  <c r="K47" i="2" s="1"/>
  <c r="O132" i="16" a="1"/>
  <c r="O132" i="16" s="1"/>
  <c r="O130" i="16" a="1"/>
  <c r="O130" i="16" s="1"/>
  <c r="E130" i="16" a="1"/>
  <c r="E130" i="16" s="1"/>
  <c r="N129" i="16" a="1"/>
  <c r="N129" i="16" s="1"/>
  <c r="K128" i="16" a="1"/>
  <c r="K128" i="16" s="1"/>
  <c r="O127" i="16" a="1"/>
  <c r="O127" i="16" s="1"/>
  <c r="E126" i="16" a="1"/>
  <c r="E126" i="16" s="1"/>
  <c r="N125" i="16" a="1"/>
  <c r="N125" i="16" s="1"/>
  <c r="P124" i="16" a="1"/>
  <c r="P124" i="16" s="1"/>
  <c r="L123" i="16" a="1"/>
  <c r="L123" i="16" s="1"/>
  <c r="K45" i="2" s="1" a="1"/>
  <c r="K45" i="2" s="1"/>
  <c r="N116" i="16" a="1"/>
  <c r="N116" i="16" s="1"/>
  <c r="E114" i="16" a="1"/>
  <c r="E114" i="16" s="1"/>
  <c r="L113" i="16" a="1"/>
  <c r="L113" i="16" s="1"/>
  <c r="N110" i="16" a="1"/>
  <c r="N110" i="16" s="1"/>
  <c r="N274" i="16" a="1"/>
  <c r="N274" i="16" s="1"/>
  <c r="P267" i="16" a="1"/>
  <c r="P267" i="16" s="1"/>
  <c r="L265" i="16" a="1"/>
  <c r="L265" i="16" s="1"/>
  <c r="K91" i="2" s="1" a="1"/>
  <c r="K91" i="2" s="1"/>
  <c r="E249" i="16" a="1"/>
  <c r="E249" i="16" s="1"/>
  <c r="L247" i="16" a="1"/>
  <c r="L247" i="16" s="1"/>
  <c r="K337" i="2" s="1" a="1"/>
  <c r="K337" i="2" s="1"/>
  <c r="P238" i="16" a="1"/>
  <c r="P238" i="16" s="1"/>
  <c r="K230" i="16" a="1"/>
  <c r="K230" i="16" s="1"/>
  <c r="P223" i="16" a="1"/>
  <c r="P223" i="16" s="1"/>
  <c r="P217" i="16" a="1"/>
  <c r="P217" i="16" s="1"/>
  <c r="P215" i="16" a="1"/>
  <c r="P215" i="16" s="1"/>
  <c r="E213" i="16" a="1"/>
  <c r="E213" i="16" s="1"/>
  <c r="N211" i="16" a="1"/>
  <c r="N211" i="16" s="1"/>
  <c r="N209" i="16" a="1"/>
  <c r="N209" i="16" s="1"/>
  <c r="K207" i="16" a="1"/>
  <c r="K207" i="16" s="1"/>
  <c r="E207" i="16" a="1"/>
  <c r="E207" i="16" s="1"/>
  <c r="N202" i="16" a="1"/>
  <c r="N202" i="16" s="1"/>
  <c r="P200" i="16" a="1"/>
  <c r="P200" i="16" s="1"/>
  <c r="K198" i="16" a="1"/>
  <c r="K198" i="16" s="1"/>
  <c r="N196" i="16" a="1"/>
  <c r="N196" i="16" s="1"/>
  <c r="E195" i="16" a="1"/>
  <c r="E195" i="16" s="1"/>
  <c r="O193" i="16" a="1"/>
  <c r="O193" i="16" s="1"/>
  <c r="K192" i="16" a="1"/>
  <c r="K192" i="16" s="1"/>
  <c r="S954" i="22" s="1"/>
  <c r="P190" i="16" a="1"/>
  <c r="P190" i="16" s="1"/>
  <c r="L189" i="16" a="1"/>
  <c r="L189" i="16" s="1"/>
  <c r="K82" i="2" s="1" a="1"/>
  <c r="K82" i="2" s="1"/>
  <c r="K188" i="16" a="1"/>
  <c r="K188" i="16" s="1"/>
  <c r="O183" i="16" a="1"/>
  <c r="O183" i="16" s="1"/>
  <c r="O182" i="16" a="1"/>
  <c r="O182" i="16" s="1"/>
  <c r="N181" i="16" a="1"/>
  <c r="N181" i="16" s="1"/>
  <c r="E181" i="16" a="1"/>
  <c r="E181" i="16" s="1"/>
  <c r="K179" i="16" a="1"/>
  <c r="K179" i="16" s="1"/>
  <c r="S710" i="22" s="1"/>
  <c r="E179" i="16" a="1"/>
  <c r="E179" i="16" s="1"/>
  <c r="K178" i="16" a="1"/>
  <c r="K178" i="16" s="1"/>
  <c r="P175" i="16" a="1"/>
  <c r="P175" i="16" s="1"/>
  <c r="O172" i="16" a="1"/>
  <c r="O172" i="16" s="1"/>
  <c r="L171" i="16" a="1"/>
  <c r="L171" i="16" s="1"/>
  <c r="K78" i="2" s="1" a="1"/>
  <c r="K78" i="2" s="1"/>
  <c r="K170" i="16" a="1"/>
  <c r="K170" i="16" s="1"/>
  <c r="N169" i="16" a="1"/>
  <c r="N169" i="16" s="1"/>
  <c r="N168" i="16" a="1"/>
  <c r="N168" i="16" s="1"/>
  <c r="N167" i="16" a="1"/>
  <c r="N167" i="16" s="1"/>
  <c r="K165" i="16" a="1"/>
  <c r="K165" i="16" s="1"/>
  <c r="N164" i="16" a="1"/>
  <c r="N164" i="16" s="1"/>
  <c r="L159" i="16" a="1"/>
  <c r="L159" i="16" s="1"/>
  <c r="K315" i="2" s="1" a="1"/>
  <c r="K315" i="2" s="1"/>
  <c r="N158" i="16" a="1"/>
  <c r="N158" i="16" s="1"/>
  <c r="K156" i="16" a="1"/>
  <c r="K156" i="16" s="1"/>
  <c r="E156" i="16" a="1"/>
  <c r="E156" i="16" s="1"/>
  <c r="P154" i="16" a="1"/>
  <c r="P154" i="16" s="1"/>
  <c r="K153" i="16" a="1"/>
  <c r="K153" i="16" s="1"/>
  <c r="E153" i="16" a="1"/>
  <c r="E153" i="16" s="1"/>
  <c r="L149" i="16" a="1"/>
  <c r="L149" i="16" s="1"/>
  <c r="K50" i="2" s="1" a="1"/>
  <c r="K50" i="2" s="1"/>
  <c r="O148" i="16" a="1"/>
  <c r="O148" i="16" s="1"/>
  <c r="P147" i="16" a="1"/>
  <c r="P147" i="16" s="1"/>
  <c r="K146" i="16" a="1"/>
  <c r="K146" i="16" s="1"/>
  <c r="N145" i="16" a="1"/>
  <c r="N145" i="16" s="1"/>
  <c r="K144" i="16" a="1"/>
  <c r="K144" i="16" s="1"/>
  <c r="S188" i="12" s="1"/>
  <c r="K143" i="16" a="1"/>
  <c r="K143" i="16" s="1"/>
  <c r="S409" i="22" s="1"/>
  <c r="L142" i="16" a="1"/>
  <c r="L142" i="16" s="1"/>
  <c r="K165" i="2" s="1" a="1"/>
  <c r="K165" i="2" s="1"/>
  <c r="O141" i="16" a="1"/>
  <c r="O141" i="16" s="1"/>
  <c r="L139" i="16" a="1"/>
  <c r="L139" i="16" s="1"/>
  <c r="N138" i="16" a="1"/>
  <c r="N138" i="16" s="1"/>
  <c r="P137" i="16" a="1"/>
  <c r="P137" i="16" s="1"/>
  <c r="E136" i="16" a="1"/>
  <c r="E136" i="16" s="1"/>
  <c r="K133" i="16" a="1"/>
  <c r="K133" i="16" s="1"/>
  <c r="N132" i="16" a="1"/>
  <c r="N132" i="16" s="1"/>
  <c r="P131" i="16" a="1"/>
  <c r="P131" i="16" s="1"/>
  <c r="O269" i="16" a="1"/>
  <c r="O269" i="16" s="1"/>
  <c r="N236" i="16" a="1"/>
  <c r="N236" i="16" s="1"/>
  <c r="P234" i="16" a="1"/>
  <c r="P234" i="16" s="1"/>
  <c r="N228" i="16" a="1"/>
  <c r="N228" i="16" s="1"/>
  <c r="E225" i="16" a="1"/>
  <c r="E225" i="16" s="1"/>
  <c r="E223" i="16" a="1"/>
  <c r="E223" i="16" s="1"/>
  <c r="L220" i="16" a="1"/>
  <c r="L220" i="16" s="1"/>
  <c r="K299" i="2" s="1" a="1"/>
  <c r="K299" i="2" s="1"/>
  <c r="O215" i="16" a="1"/>
  <c r="O215" i="16" s="1"/>
  <c r="K213" i="16" a="1"/>
  <c r="K213" i="16" s="1"/>
  <c r="L202" i="16" a="1"/>
  <c r="L202" i="16" s="1"/>
  <c r="K198" i="2" s="1" a="1"/>
  <c r="K198" i="2" s="1"/>
  <c r="O200" i="16" a="1"/>
  <c r="O200" i="16" s="1"/>
  <c r="K196" i="16" a="1"/>
  <c r="K196" i="16" s="1"/>
  <c r="S421" i="22" s="1"/>
  <c r="L193" i="16" a="1"/>
  <c r="L193" i="16" s="1"/>
  <c r="K326" i="2" s="1" a="1"/>
  <c r="K326" i="2" s="1"/>
  <c r="O190" i="16" a="1"/>
  <c r="O190" i="16" s="1"/>
  <c r="P186" i="16" a="1"/>
  <c r="P186" i="16" s="1"/>
  <c r="N184" i="16" a="1"/>
  <c r="N184" i="16" s="1"/>
  <c r="N183" i="16" a="1"/>
  <c r="N183" i="16" s="1"/>
  <c r="N182" i="16" a="1"/>
  <c r="N182" i="16" s="1"/>
  <c r="L181" i="16" a="1"/>
  <c r="L181" i="16" s="1"/>
  <c r="K80" i="2" s="1" a="1"/>
  <c r="K80" i="2" s="1"/>
  <c r="N174" i="16" a="1"/>
  <c r="N174" i="16" s="1"/>
  <c r="L173" i="16" a="1"/>
  <c r="L173" i="16" s="1"/>
  <c r="K327" i="2" s="1" a="1"/>
  <c r="K327" i="2" s="1"/>
  <c r="E172" i="16" a="1"/>
  <c r="E172" i="16" s="1"/>
  <c r="K171" i="16" a="1"/>
  <c r="K171" i="16" s="1"/>
  <c r="E170" i="16" a="1"/>
  <c r="E170" i="16" s="1"/>
  <c r="L169" i="16" a="1"/>
  <c r="L169" i="16" s="1"/>
  <c r="K60" i="2" s="1" a="1"/>
  <c r="K60" i="2" s="1"/>
  <c r="L168" i="16" a="1"/>
  <c r="L168" i="16" s="1"/>
  <c r="K75" i="2" s="1" a="1"/>
  <c r="K75" i="2" s="1"/>
  <c r="L167" i="16" a="1"/>
  <c r="L167" i="16" s="1"/>
  <c r="K177" i="2" s="1" a="1"/>
  <c r="K177" i="2" s="1"/>
  <c r="O166" i="16" a="1"/>
  <c r="O166" i="16" s="1"/>
  <c r="K159" i="16" a="1"/>
  <c r="K159" i="16" s="1"/>
  <c r="L158" i="16" a="1"/>
  <c r="L158" i="16" s="1"/>
  <c r="K325" i="2" s="1" a="1"/>
  <c r="K325" i="2" s="1"/>
  <c r="O157" i="16" a="1"/>
  <c r="O157" i="16" s="1"/>
  <c r="L155" i="16" a="1"/>
  <c r="L155" i="16" s="1"/>
  <c r="K56" i="2" s="1" a="1"/>
  <c r="K56" i="2" s="1"/>
  <c r="K152" i="16" a="1"/>
  <c r="K152" i="16" s="1"/>
  <c r="N151" i="16" a="1"/>
  <c r="N151" i="16" s="1"/>
  <c r="P150" i="16" a="1"/>
  <c r="P150" i="16" s="1"/>
  <c r="K149" i="16" a="1"/>
  <c r="K149" i="16" s="1"/>
  <c r="N148" i="16" a="1"/>
  <c r="N148" i="16" s="1"/>
  <c r="E146" i="16" a="1"/>
  <c r="E146" i="16" s="1"/>
  <c r="P144" i="16" a="1"/>
  <c r="P144" i="16" s="1"/>
  <c r="E143" i="16" a="1"/>
  <c r="E143" i="16" s="1"/>
  <c r="K139" i="16" a="1"/>
  <c r="K139" i="16" s="1"/>
  <c r="L135" i="16" a="1"/>
  <c r="L135" i="16" s="1"/>
  <c r="K307" i="2" s="1" a="1"/>
  <c r="K307" i="2" s="1"/>
  <c r="O134" i="16" a="1"/>
  <c r="O134" i="16" s="1"/>
  <c r="N130" i="16" a="1"/>
  <c r="N130" i="16" s="1"/>
  <c r="E267" i="16" a="1"/>
  <c r="E267" i="16" s="1"/>
  <c r="K260" i="16" a="1"/>
  <c r="K260" i="16" s="1"/>
  <c r="E260" i="16" a="1"/>
  <c r="E260" i="16" s="1"/>
  <c r="L256" i="16" a="1"/>
  <c r="L256" i="16" s="1"/>
  <c r="P250" i="16" a="1"/>
  <c r="P250" i="16" s="1"/>
  <c r="P240" i="16" a="1"/>
  <c r="P240" i="16" s="1"/>
  <c r="P239" i="16" a="1"/>
  <c r="P239" i="16" s="1"/>
  <c r="O231" i="16" a="1"/>
  <c r="O231" i="16" s="1"/>
  <c r="K228" i="16" a="1"/>
  <c r="K228" i="16" s="1"/>
  <c r="H88" i="2" s="1" a="1"/>
  <c r="H88" i="2" s="1"/>
  <c r="N221" i="16" a="1"/>
  <c r="N221" i="16" s="1"/>
  <c r="K220" i="16" a="1"/>
  <c r="K220" i="16" s="1"/>
  <c r="L217" i="16" a="1"/>
  <c r="L217" i="16" s="1"/>
  <c r="K230" i="2" s="1" a="1"/>
  <c r="K230" i="2" s="1"/>
  <c r="N200" i="16" a="1"/>
  <c r="N200" i="16" s="1"/>
  <c r="P197" i="16" a="1"/>
  <c r="P197" i="16" s="1"/>
  <c r="E196" i="16" a="1"/>
  <c r="E196" i="16" s="1"/>
  <c r="K193" i="16" a="1"/>
  <c r="K193" i="16" s="1"/>
  <c r="E193" i="16" a="1"/>
  <c r="E193" i="16" s="1"/>
  <c r="P191" i="16" a="1"/>
  <c r="P191" i="16" s="1"/>
  <c r="L190" i="16" a="1"/>
  <c r="L190" i="16" s="1"/>
  <c r="K324" i="2" s="1" a="1"/>
  <c r="K324" i="2" s="1"/>
  <c r="K189" i="16" a="1"/>
  <c r="K189" i="16" s="1"/>
  <c r="H82" i="2" s="1" a="1"/>
  <c r="H82" i="2" s="1"/>
  <c r="O186" i="16" a="1"/>
  <c r="O186" i="16" s="1"/>
  <c r="O185" i="16" a="1"/>
  <c r="O185" i="16" s="1"/>
  <c r="L184" i="16" a="1"/>
  <c r="L184" i="16" s="1"/>
  <c r="L183" i="16" a="1"/>
  <c r="L183" i="16" s="1"/>
  <c r="K289" i="2" s="1" a="1"/>
  <c r="K289" i="2" s="1"/>
  <c r="N175" i="16" a="1"/>
  <c r="N175" i="16" s="1"/>
  <c r="L174" i="16" a="1"/>
  <c r="L174" i="16" s="1"/>
  <c r="K192" i="2" s="1" a="1"/>
  <c r="K192" i="2" s="1"/>
  <c r="E174" i="16" a="1"/>
  <c r="E174" i="16" s="1"/>
  <c r="E173" i="16" a="1"/>
  <c r="E173" i="16" s="1"/>
  <c r="N172" i="16" a="1"/>
  <c r="N172" i="16" s="1"/>
  <c r="K169" i="16" a="1"/>
  <c r="K169" i="16" s="1"/>
  <c r="K168" i="16" a="1"/>
  <c r="K168" i="16" s="1"/>
  <c r="H75" i="2" s="1" a="1"/>
  <c r="H75" i="2" s="1"/>
  <c r="K167" i="16" a="1"/>
  <c r="K167" i="16" s="1"/>
  <c r="E167" i="16" a="1"/>
  <c r="E167" i="16" s="1"/>
  <c r="N166" i="16" a="1"/>
  <c r="N166" i="16" s="1"/>
  <c r="P165" i="16" a="1"/>
  <c r="P165" i="16" s="1"/>
  <c r="E165" i="16" a="1"/>
  <c r="E165" i="16" s="1"/>
  <c r="L164" i="16" a="1"/>
  <c r="L164" i="16" s="1"/>
  <c r="K71" i="2" s="1" a="1"/>
  <c r="K71" i="2" s="1"/>
  <c r="K155" i="16" a="1"/>
  <c r="K155" i="16" s="1"/>
  <c r="O154" i="16" a="1"/>
  <c r="O154" i="16" s="1"/>
  <c r="P153" i="16" a="1"/>
  <c r="P153" i="16" s="1"/>
  <c r="E152" i="16" a="1"/>
  <c r="E152" i="16" s="1"/>
  <c r="L148" i="16" a="1"/>
  <c r="L148" i="16" s="1"/>
  <c r="K323" i="2" s="1" a="1"/>
  <c r="K323" i="2" s="1"/>
  <c r="O147" i="16" a="1"/>
  <c r="O147" i="16" s="1"/>
  <c r="L145" i="16" a="1"/>
  <c r="L145" i="16" s="1"/>
  <c r="K345" i="2" s="1" a="1"/>
  <c r="K345" i="2" s="1"/>
  <c r="K142" i="16" a="1"/>
  <c r="K142" i="16" s="1"/>
  <c r="N141" i="16" a="1"/>
  <c r="N141" i="16" s="1"/>
  <c r="P140" i="16" a="1"/>
  <c r="P140" i="16" s="1"/>
  <c r="E139" i="16" a="1"/>
  <c r="E139" i="16" s="1"/>
  <c r="L138" i="16" a="1"/>
  <c r="L138" i="16" s="1"/>
  <c r="K174" i="2" s="1" a="1"/>
  <c r="K174" i="2" s="1"/>
  <c r="O137" i="16" a="1"/>
  <c r="O137" i="16" s="1"/>
  <c r="K135" i="16" a="1"/>
  <c r="K135" i="16" s="1"/>
  <c r="E135" i="16" a="1"/>
  <c r="E135" i="16" s="1"/>
  <c r="N134" i="16" a="1"/>
  <c r="N134" i="16" s="1"/>
  <c r="P133" i="16" a="1"/>
  <c r="P133" i="16" s="1"/>
  <c r="E133" i="16" a="1"/>
  <c r="E133" i="16" s="1"/>
  <c r="E218" i="16" a="1"/>
  <c r="E218" i="16" s="1"/>
  <c r="K190" i="16" a="1"/>
  <c r="K190" i="16" s="1"/>
  <c r="E190" i="16" a="1"/>
  <c r="E190" i="16" s="1"/>
  <c r="P187" i="16" a="1"/>
  <c r="P187" i="16" s="1"/>
  <c r="P180" i="16" a="1"/>
  <c r="P180" i="16" s="1"/>
  <c r="P178" i="16" a="1"/>
  <c r="P178" i="16" s="1"/>
  <c r="O171" i="16" a="1"/>
  <c r="O171" i="16" s="1"/>
  <c r="E169" i="16" a="1"/>
  <c r="E169" i="16" s="1"/>
  <c r="E157" i="16" a="1"/>
  <c r="E157" i="16" s="1"/>
  <c r="O155" i="16" a="1"/>
  <c r="O155" i="16" s="1"/>
  <c r="N150" i="16" a="1"/>
  <c r="N150" i="16" s="1"/>
  <c r="E150" i="16" a="1"/>
  <c r="E150" i="16" s="1"/>
  <c r="E149" i="16" a="1"/>
  <c r="E149" i="16" s="1"/>
  <c r="O145" i="16" a="1"/>
  <c r="O145" i="16" s="1"/>
  <c r="L144" i="16" a="1"/>
  <c r="L144" i="16" s="1"/>
  <c r="O142" i="16" a="1"/>
  <c r="O142" i="16" s="1"/>
  <c r="N139" i="16" a="1"/>
  <c r="N139" i="16" s="1"/>
  <c r="L136" i="16" a="1"/>
  <c r="L136" i="16" s="1"/>
  <c r="L134" i="16" a="1"/>
  <c r="L134" i="16" s="1"/>
  <c r="K172" i="2" s="1" a="1"/>
  <c r="K172" i="2" s="1"/>
  <c r="O131" i="16" a="1"/>
  <c r="O131" i="16" s="1"/>
  <c r="E129" i="16" a="1"/>
  <c r="E129" i="16" s="1"/>
  <c r="L128" i="16" a="1"/>
  <c r="L128" i="16" s="1"/>
  <c r="O124" i="16" a="1"/>
  <c r="O124" i="16" s="1"/>
  <c r="L120" i="16" a="1"/>
  <c r="L120" i="16" s="1"/>
  <c r="K44" i="2" s="1" a="1"/>
  <c r="K44" i="2" s="1"/>
  <c r="N118" i="16" a="1"/>
  <c r="N118" i="16" s="1"/>
  <c r="N117" i="16" a="1"/>
  <c r="N117" i="16" s="1"/>
  <c r="N115" i="16" a="1"/>
  <c r="N115" i="16" s="1"/>
  <c r="P114" i="16" a="1"/>
  <c r="P114" i="16" s="1"/>
  <c r="O113" i="16" a="1"/>
  <c r="O113" i="16" s="1"/>
  <c r="P112" i="16" a="1"/>
  <c r="P112" i="16" s="1"/>
  <c r="L108" i="16" a="1"/>
  <c r="L108" i="16" s="1"/>
  <c r="O107" i="16" a="1"/>
  <c r="O107" i="16" s="1"/>
  <c r="K106" i="16" a="1"/>
  <c r="K106" i="16" s="1"/>
  <c r="S402" i="22" s="1"/>
  <c r="E106" i="16" a="1"/>
  <c r="E106" i="16" s="1"/>
  <c r="L105" i="16" a="1"/>
  <c r="L105" i="16" s="1"/>
  <c r="N104" i="16" a="1"/>
  <c r="N104" i="16" s="1"/>
  <c r="P103" i="16" a="1"/>
  <c r="P103" i="16" s="1"/>
  <c r="K101" i="16" a="1"/>
  <c r="K101" i="16" s="1"/>
  <c r="S1050" i="22" s="1"/>
  <c r="L100" i="16" a="1"/>
  <c r="L100" i="16" s="1"/>
  <c r="O98" i="16" a="1"/>
  <c r="O98" i="16" s="1"/>
  <c r="E97" i="16" a="1"/>
  <c r="E97" i="16" s="1"/>
  <c r="K96" i="16" a="1"/>
  <c r="K96" i="16" s="1"/>
  <c r="S767" i="22" s="1"/>
  <c r="N95" i="16" a="1"/>
  <c r="N95" i="16" s="1"/>
  <c r="O94" i="16" a="1"/>
  <c r="O94" i="16" s="1"/>
  <c r="P93" i="16" a="1"/>
  <c r="P93" i="16" s="1"/>
  <c r="E93" i="16" a="1"/>
  <c r="E93" i="16" s="1"/>
  <c r="L92" i="16" a="1"/>
  <c r="L92" i="16" s="1"/>
  <c r="K343" i="2" s="1" a="1"/>
  <c r="K343" i="2" s="1"/>
  <c r="N91" i="16" a="1"/>
  <c r="N91" i="16" s="1"/>
  <c r="P90" i="16" a="1"/>
  <c r="P90" i="16" s="1"/>
  <c r="L88" i="16" a="1"/>
  <c r="L88" i="16" s="1"/>
  <c r="N85" i="16" a="1"/>
  <c r="N85" i="16" s="1"/>
  <c r="O84" i="16" a="1"/>
  <c r="O84" i="16" s="1"/>
  <c r="K83" i="16" a="1"/>
  <c r="K83" i="16" s="1"/>
  <c r="K82" i="16" a="1"/>
  <c r="K82" i="16" s="1"/>
  <c r="O81" i="16" a="1"/>
  <c r="O81" i="16" s="1"/>
  <c r="O80" i="16" a="1"/>
  <c r="O80" i="16" s="1"/>
  <c r="E79" i="16" a="1"/>
  <c r="E79" i="16" s="1"/>
  <c r="O77" i="16" a="1"/>
  <c r="O77" i="16" s="1"/>
  <c r="K76" i="16" a="1"/>
  <c r="K76" i="16" s="1"/>
  <c r="E76" i="16" a="1"/>
  <c r="E76" i="16" s="1"/>
  <c r="L75" i="16" a="1"/>
  <c r="L75" i="16" s="1"/>
  <c r="K271" i="2" s="1" a="1"/>
  <c r="K271" i="2" s="1"/>
  <c r="P74" i="16" a="1"/>
  <c r="P74" i="16" s="1"/>
  <c r="N72" i="16" a="1"/>
  <c r="N72" i="16" s="1"/>
  <c r="O69" i="16" a="1"/>
  <c r="O69" i="16" s="1"/>
  <c r="L67" i="16" a="1"/>
  <c r="L67" i="16" s="1"/>
  <c r="N66" i="16" a="1"/>
  <c r="N66" i="16" s="1"/>
  <c r="P65" i="16" a="1"/>
  <c r="P65" i="16" s="1"/>
  <c r="K64" i="16" a="1"/>
  <c r="K64" i="16" s="1"/>
  <c r="N63" i="16" a="1"/>
  <c r="N63" i="16" s="1"/>
  <c r="O62" i="16" a="1"/>
  <c r="O62" i="16" s="1"/>
  <c r="P61" i="16" a="1"/>
  <c r="P61" i="16" s="1"/>
  <c r="E61" i="16" a="1"/>
  <c r="E61" i="16" s="1"/>
  <c r="L60" i="16" a="1"/>
  <c r="L60" i="16" s="1"/>
  <c r="K158" i="2" s="1" a="1"/>
  <c r="K158" i="2" s="1"/>
  <c r="O59" i="16" a="1"/>
  <c r="O59" i="16" s="1"/>
  <c r="P58" i="16" a="1"/>
  <c r="P58" i="16" s="1"/>
  <c r="O55" i="16" a="1"/>
  <c r="O55" i="16" s="1"/>
  <c r="L53" i="16" a="1"/>
  <c r="L53" i="16" s="1"/>
  <c r="K261" i="2" s="1" a="1"/>
  <c r="K261" i="2" s="1"/>
  <c r="E53" i="16" a="1"/>
  <c r="E53" i="16" s="1"/>
  <c r="P50" i="16" a="1"/>
  <c r="P50" i="16" s="1"/>
  <c r="K49" i="16" a="1"/>
  <c r="K49" i="16" s="1"/>
  <c r="N48" i="16" a="1"/>
  <c r="N48" i="16" s="1"/>
  <c r="L46" i="16" a="1"/>
  <c r="L46" i="16" s="1"/>
  <c r="K316" i="2" s="1" a="1"/>
  <c r="K316" i="2" s="1"/>
  <c r="E46" i="16" a="1"/>
  <c r="E46" i="16" s="1"/>
  <c r="O240" i="16" a="1"/>
  <c r="O240" i="16" s="1"/>
  <c r="N232" i="16" a="1"/>
  <c r="N232" i="16" s="1"/>
  <c r="O214" i="16" a="1"/>
  <c r="O214" i="16" s="1"/>
  <c r="L210" i="16" a="1"/>
  <c r="L210" i="16" s="1"/>
  <c r="L185" i="16" a="1"/>
  <c r="L185" i="16" s="1"/>
  <c r="N178" i="16" a="1"/>
  <c r="N178" i="16" s="1"/>
  <c r="N176" i="16" a="1"/>
  <c r="N176" i="16" s="1"/>
  <c r="P170" i="16" a="1"/>
  <c r="P170" i="16" s="1"/>
  <c r="L166" i="16" a="1"/>
  <c r="L166" i="16" s="1"/>
  <c r="K59" i="2" s="1" a="1"/>
  <c r="K59" i="2" s="1"/>
  <c r="P158" i="16" a="1"/>
  <c r="P158" i="16" s="1"/>
  <c r="E155" i="16" a="1"/>
  <c r="E155" i="16" s="1"/>
  <c r="P151" i="16" a="1"/>
  <c r="P151" i="16" s="1"/>
  <c r="K147" i="16" a="1"/>
  <c r="K147" i="16" s="1"/>
  <c r="E145" i="16" a="1"/>
  <c r="E145" i="16" s="1"/>
  <c r="P143" i="16" a="1"/>
  <c r="P143" i="16" s="1"/>
  <c r="O140" i="16" a="1"/>
  <c r="O140" i="16" s="1"/>
  <c r="N137" i="16" a="1"/>
  <c r="N137" i="16" s="1"/>
  <c r="P135" i="16" a="1"/>
  <c r="P135" i="16" s="1"/>
  <c r="N131" i="16" a="1"/>
  <c r="N131" i="16" s="1"/>
  <c r="P129" i="16" a="1"/>
  <c r="P129" i="16" s="1"/>
  <c r="E128" i="16" a="1"/>
  <c r="E128" i="16" s="1"/>
  <c r="K125" i="16" a="1"/>
  <c r="K125" i="16" s="1"/>
  <c r="N124" i="16" a="1"/>
  <c r="N124" i="16" s="1"/>
  <c r="O123" i="16" a="1"/>
  <c r="O123" i="16" s="1"/>
  <c r="P122" i="16" a="1"/>
  <c r="P122" i="16" s="1"/>
  <c r="E120" i="16" a="1"/>
  <c r="E120" i="16" s="1"/>
  <c r="K119" i="16" a="1"/>
  <c r="K119" i="16" s="1"/>
  <c r="K118" i="16" a="1"/>
  <c r="K118" i="16" s="1"/>
  <c r="K117" i="16" a="1"/>
  <c r="K117" i="16" s="1"/>
  <c r="H52" i="2" s="1" a="1"/>
  <c r="H52" i="2" s="1"/>
  <c r="E117" i="16" a="1"/>
  <c r="E117" i="16" s="1"/>
  <c r="L116" i="16" a="1"/>
  <c r="L116" i="16" s="1"/>
  <c r="N114" i="16" a="1"/>
  <c r="N114" i="16" s="1"/>
  <c r="N112" i="16" a="1"/>
  <c r="N112" i="16" s="1"/>
  <c r="O111" i="16" a="1"/>
  <c r="O111" i="16" s="1"/>
  <c r="K108" i="16" a="1"/>
  <c r="K108" i="16" s="1"/>
  <c r="E108" i="16" a="1"/>
  <c r="E108" i="16" s="1"/>
  <c r="N107" i="16" a="1"/>
  <c r="N107" i="16" s="1"/>
  <c r="K105" i="16" a="1"/>
  <c r="K105" i="16" s="1"/>
  <c r="N103" i="16" a="1"/>
  <c r="N103" i="16" s="1"/>
  <c r="P102" i="16" a="1"/>
  <c r="P102" i="16" s="1"/>
  <c r="K100" i="16" a="1"/>
  <c r="K100" i="16" s="1"/>
  <c r="E100" i="16" a="1"/>
  <c r="E100" i="16" s="1"/>
  <c r="L99" i="16" a="1"/>
  <c r="L99" i="16" s="1"/>
  <c r="N98" i="16" a="1"/>
  <c r="N98" i="16" s="1"/>
  <c r="P97" i="16" a="1"/>
  <c r="P97" i="16" s="1"/>
  <c r="K95" i="16" a="1"/>
  <c r="K95" i="16" s="1"/>
  <c r="S518" i="22" s="1"/>
  <c r="L94" i="16" a="1"/>
  <c r="L94" i="16" s="1"/>
  <c r="O93" i="16" a="1"/>
  <c r="O93" i="16" s="1"/>
  <c r="K91" i="16" a="1"/>
  <c r="K91" i="16" s="1"/>
  <c r="N90" i="16" a="1"/>
  <c r="N90" i="16" s="1"/>
  <c r="K88" i="16" a="1"/>
  <c r="K88" i="16" s="1"/>
  <c r="L87" i="16" a="1"/>
  <c r="L87" i="16" s="1"/>
  <c r="K41" i="2" s="1" a="1"/>
  <c r="K41" i="2" s="1"/>
  <c r="O86" i="16" a="1"/>
  <c r="O86" i="16" s="1"/>
  <c r="K85" i="16" a="1"/>
  <c r="K85" i="16" s="1"/>
  <c r="E82" i="16" a="1"/>
  <c r="E82" i="16" s="1"/>
  <c r="N81" i="16" a="1"/>
  <c r="N81" i="16" s="1"/>
  <c r="N80" i="16" a="1"/>
  <c r="N80" i="16" s="1"/>
  <c r="P79" i="16" a="1"/>
  <c r="P79" i="16" s="1"/>
  <c r="E78" i="16" a="1"/>
  <c r="E78" i="16" s="1"/>
  <c r="N77" i="16" a="1"/>
  <c r="N77" i="16" s="1"/>
  <c r="P76" i="16" a="1"/>
  <c r="P76" i="16" s="1"/>
  <c r="K75" i="16" a="1"/>
  <c r="K75" i="16" s="1"/>
  <c r="N74" i="16" a="1"/>
  <c r="N74" i="16" s="1"/>
  <c r="E73" i="16" a="1"/>
  <c r="E73" i="16" s="1"/>
  <c r="L72" i="16" a="1"/>
  <c r="L72" i="16" s="1"/>
  <c r="K293" i="2" s="1" a="1"/>
  <c r="K293" i="2" s="1"/>
  <c r="O71" i="16" a="1"/>
  <c r="O71" i="16" s="1"/>
  <c r="K70" i="16" a="1"/>
  <c r="K70" i="16" s="1"/>
  <c r="E70" i="16" a="1"/>
  <c r="E70" i="16" s="1"/>
  <c r="N69" i="16" a="1"/>
  <c r="N69" i="16" s="1"/>
  <c r="O68" i="16" a="1"/>
  <c r="O68" i="16" s="1"/>
  <c r="K67" i="16" a="1"/>
  <c r="K67" i="16" s="1"/>
  <c r="K66" i="16" a="1"/>
  <c r="K66" i="16" s="1"/>
  <c r="O65" i="16" a="1"/>
  <c r="O65" i="16" s="1"/>
  <c r="P64" i="16" a="1"/>
  <c r="P64" i="16" s="1"/>
  <c r="K63" i="16" a="1"/>
  <c r="K63" i="16" s="1"/>
  <c r="L62" i="16" a="1"/>
  <c r="L62" i="16" s="1"/>
  <c r="K137" i="2" s="1" a="1"/>
  <c r="K137" i="2" s="1"/>
  <c r="O61" i="16" a="1"/>
  <c r="O61" i="16" s="1"/>
  <c r="K60" i="16" a="1"/>
  <c r="K60" i="16" s="1"/>
  <c r="E60" i="16" a="1"/>
  <c r="E60" i="16" s="1"/>
  <c r="L59" i="16" a="1"/>
  <c r="L59" i="16" s="1"/>
  <c r="K36" i="2" s="1" a="1"/>
  <c r="K36" i="2" s="1"/>
  <c r="N58" i="16" a="1"/>
  <c r="N58" i="16" s="1"/>
  <c r="N241" i="16" a="1"/>
  <c r="N241" i="16" s="1"/>
  <c r="K219" i="16" a="1"/>
  <c r="K219" i="16" s="1"/>
  <c r="P206" i="16" a="1"/>
  <c r="P206" i="16" s="1"/>
  <c r="P189" i="16" a="1"/>
  <c r="P189" i="16" s="1"/>
  <c r="K185" i="16" a="1"/>
  <c r="K185" i="16" s="1"/>
  <c r="K184" i="16" a="1"/>
  <c r="K184" i="16" s="1"/>
  <c r="S536" i="22" s="1"/>
  <c r="E184" i="16" a="1"/>
  <c r="E184" i="16" s="1"/>
  <c r="P182" i="16" a="1"/>
  <c r="P182" i="16" s="1"/>
  <c r="K176" i="16" a="1"/>
  <c r="K176" i="16" s="1"/>
  <c r="N170" i="16" a="1"/>
  <c r="N170" i="16" s="1"/>
  <c r="P168" i="16" a="1"/>
  <c r="P168" i="16" s="1"/>
  <c r="K158" i="16" a="1"/>
  <c r="K158" i="16" s="1"/>
  <c r="P156" i="16" a="1"/>
  <c r="P156" i="16" s="1"/>
  <c r="O153" i="16" a="1"/>
  <c r="O153" i="16" s="1"/>
  <c r="L151" i="16" a="1"/>
  <c r="L151" i="16" s="1"/>
  <c r="K62" i="2" s="1" a="1"/>
  <c r="K62" i="2" s="1"/>
  <c r="E151" i="16" a="1"/>
  <c r="E151" i="16" s="1"/>
  <c r="P148" i="16" a="1"/>
  <c r="P148" i="16" s="1"/>
  <c r="N140" i="16" a="1"/>
  <c r="N140" i="16" s="1"/>
  <c r="K137" i="16" a="1"/>
  <c r="K137" i="16" s="1"/>
  <c r="L132" i="16" a="1"/>
  <c r="L132" i="16" s="1"/>
  <c r="K131" i="16" a="1"/>
  <c r="K131" i="16" s="1"/>
  <c r="S311" i="22" s="1"/>
  <c r="L130" i="16" a="1"/>
  <c r="L130" i="16" s="1"/>
  <c r="K46" i="2" s="1" a="1"/>
  <c r="K46" i="2" s="1"/>
  <c r="O129" i="16" a="1"/>
  <c r="O129" i="16" s="1"/>
  <c r="K127" i="16" a="1"/>
  <c r="K127" i="16" s="1"/>
  <c r="L126" i="16" a="1"/>
  <c r="L126" i="16" s="1"/>
  <c r="E125" i="16" a="1"/>
  <c r="E125" i="16" s="1"/>
  <c r="L124" i="16" a="1"/>
  <c r="L124" i="16" s="1"/>
  <c r="O122" i="16" a="1"/>
  <c r="O122" i="16" s="1"/>
  <c r="P121" i="16" a="1"/>
  <c r="P121" i="16" s="1"/>
  <c r="K115" i="16" a="1"/>
  <c r="K115" i="16" s="1"/>
  <c r="S405" i="22" s="1"/>
  <c r="L114" i="16" a="1"/>
  <c r="L114" i="16" s="1"/>
  <c r="K235" i="2" s="1" a="1"/>
  <c r="K235" i="2" s="1"/>
  <c r="L112" i="16" a="1"/>
  <c r="L112" i="16" s="1"/>
  <c r="N111" i="16" a="1"/>
  <c r="N111" i="16" s="1"/>
  <c r="P110" i="16" a="1"/>
  <c r="P110" i="16" s="1"/>
  <c r="L107" i="16" a="1"/>
  <c r="L107" i="16" s="1"/>
  <c r="P106" i="16" a="1"/>
  <c r="P106" i="16" s="1"/>
  <c r="K104" i="16" a="1"/>
  <c r="K104" i="16" s="1"/>
  <c r="L103" i="16" a="1"/>
  <c r="L103" i="16" s="1"/>
  <c r="O102" i="16" a="1"/>
  <c r="O102" i="16" s="1"/>
  <c r="E99" i="16" a="1"/>
  <c r="E99" i="16" s="1"/>
  <c r="L98" i="16" a="1"/>
  <c r="L98" i="16" s="1"/>
  <c r="P96" i="16" a="1"/>
  <c r="P96" i="16" s="1"/>
  <c r="E95" i="16" a="1"/>
  <c r="E95" i="16" s="1"/>
  <c r="P89" i="16" a="1"/>
  <c r="P89" i="16" s="1"/>
  <c r="E88" i="16" a="1"/>
  <c r="E88" i="16" s="1"/>
  <c r="E85" i="16" a="1"/>
  <c r="E85" i="16" s="1"/>
  <c r="L84" i="16" a="1"/>
  <c r="L84" i="16" s="1"/>
  <c r="K38" i="2" s="1" a="1"/>
  <c r="K38" i="2" s="1"/>
  <c r="O83" i="16" a="1"/>
  <c r="O83" i="16" s="1"/>
  <c r="P82" i="16" a="1"/>
  <c r="P82" i="16" s="1"/>
  <c r="L81" i="16" a="1"/>
  <c r="L81" i="16" s="1"/>
  <c r="K43" i="2" s="1" a="1"/>
  <c r="K43" i="2" s="1"/>
  <c r="L77" i="16" a="1"/>
  <c r="L77" i="16" s="1"/>
  <c r="K144" i="2" s="1" a="1"/>
  <c r="K144" i="2" s="1"/>
  <c r="O76" i="16" a="1"/>
  <c r="O76" i="16" s="1"/>
  <c r="P73" i="16" a="1"/>
  <c r="P73" i="16" s="1"/>
  <c r="L69" i="16" a="1"/>
  <c r="L69" i="16" s="1"/>
  <c r="K268" i="2" s="1" a="1"/>
  <c r="K268" i="2" s="1"/>
  <c r="N68" i="16" a="1"/>
  <c r="N68" i="16" s="1"/>
  <c r="P67" i="16" a="1"/>
  <c r="P67" i="16" s="1"/>
  <c r="O64" i="16" a="1"/>
  <c r="O64" i="16" s="1"/>
  <c r="E63" i="16" a="1"/>
  <c r="E63" i="16" s="1"/>
  <c r="K59" i="16" a="1"/>
  <c r="K59" i="16" s="1"/>
  <c r="P57" i="16" a="1"/>
  <c r="P57" i="16" s="1"/>
  <c r="E56" i="16" a="1"/>
  <c r="E56" i="16" s="1"/>
  <c r="P262" i="16" a="1"/>
  <c r="P262" i="16" s="1"/>
  <c r="K206" i="16" a="1"/>
  <c r="K206" i="16" s="1"/>
  <c r="E206" i="16" a="1"/>
  <c r="E206" i="16" s="1"/>
  <c r="O203" i="16" a="1"/>
  <c r="O203" i="16" s="1"/>
  <c r="N195" i="16" a="1"/>
  <c r="N195" i="16" s="1"/>
  <c r="O191" i="16" a="1"/>
  <c r="O191" i="16" s="1"/>
  <c r="K182" i="16" a="1"/>
  <c r="K182" i="16" s="1"/>
  <c r="S593" i="22" s="1"/>
  <c r="P179" i="16" a="1"/>
  <c r="P179" i="16" s="1"/>
  <c r="P177" i="16" a="1"/>
  <c r="P177" i="16" s="1"/>
  <c r="E175" i="16" a="1"/>
  <c r="E175" i="16" s="1"/>
  <c r="K173" i="16" a="1"/>
  <c r="K173" i="16" s="1"/>
  <c r="P159" i="16" a="1"/>
  <c r="P159" i="16" s="1"/>
  <c r="E158" i="16" a="1"/>
  <c r="E158" i="16" s="1"/>
  <c r="O156" i="16" a="1"/>
  <c r="O156" i="16" s="1"/>
  <c r="N153" i="16" a="1"/>
  <c r="N153" i="16" s="1"/>
  <c r="K151" i="16" a="1"/>
  <c r="K151" i="16" s="1"/>
  <c r="P149" i="16" a="1"/>
  <c r="P149" i="16" s="1"/>
  <c r="E148" i="16" a="1"/>
  <c r="E148" i="16" s="1"/>
  <c r="N143" i="16" a="1"/>
  <c r="N143" i="16" s="1"/>
  <c r="P141" i="16" a="1"/>
  <c r="P141" i="16" s="1"/>
  <c r="L140" i="16" a="1"/>
  <c r="L140" i="16" s="1"/>
  <c r="E132" i="16" a="1"/>
  <c r="E132" i="16" s="1"/>
  <c r="E131" i="16" a="1"/>
  <c r="E131" i="16" s="1"/>
  <c r="K130" i="16" a="1"/>
  <c r="K130" i="16" s="1"/>
  <c r="P128" i="16" a="1"/>
  <c r="P128" i="16" s="1"/>
  <c r="K126" i="16" a="1"/>
  <c r="K126" i="16" s="1"/>
  <c r="S770" i="22" s="1"/>
  <c r="K124" i="16" a="1"/>
  <c r="K124" i="16" s="1"/>
  <c r="N122" i="16" a="1"/>
  <c r="N122" i="16" s="1"/>
  <c r="O121" i="16" a="1"/>
  <c r="O121" i="16" s="1"/>
  <c r="P120" i="16" a="1"/>
  <c r="P120" i="16" s="1"/>
  <c r="K116" i="16" a="1"/>
  <c r="K116" i="16" s="1"/>
  <c r="E116" i="16" a="1"/>
  <c r="E116" i="16" s="1"/>
  <c r="E115" i="16" a="1"/>
  <c r="E115" i="16" s="1"/>
  <c r="K114" i="16" a="1"/>
  <c r="K114" i="16" s="1"/>
  <c r="K113" i="16" a="1"/>
  <c r="K113" i="16" s="1"/>
  <c r="S677" i="22" s="1"/>
  <c r="E113" i="16" a="1"/>
  <c r="E113" i="16" s="1"/>
  <c r="P109" i="16" a="1"/>
  <c r="P109" i="16" s="1"/>
  <c r="O106" i="16" a="1"/>
  <c r="O106" i="16" s="1"/>
  <c r="P105" i="16" a="1"/>
  <c r="P105" i="16" s="1"/>
  <c r="E104" i="16" a="1"/>
  <c r="E104" i="16" s="1"/>
  <c r="N102" i="16" a="1"/>
  <c r="N102" i="16" s="1"/>
  <c r="P101" i="16" a="1"/>
  <c r="P101" i="16" s="1"/>
  <c r="K99" i="16" a="1"/>
  <c r="K99" i="16" s="1"/>
  <c r="K98" i="16" a="1"/>
  <c r="K98" i="16" s="1"/>
  <c r="O97" i="16" a="1"/>
  <c r="O97" i="16" s="1"/>
  <c r="K94" i="16" a="1"/>
  <c r="K94" i="16" s="1"/>
  <c r="N93" i="16" a="1"/>
  <c r="N93" i="16" s="1"/>
  <c r="P92" i="16" a="1"/>
  <c r="P92" i="16" s="1"/>
  <c r="E91" i="16" a="1"/>
  <c r="E91" i="16" s="1"/>
  <c r="L90" i="16" a="1"/>
  <c r="L90" i="16" s="1"/>
  <c r="K42" i="2" s="1" a="1"/>
  <c r="K42" i="2" s="1"/>
  <c r="K87" i="16" a="1"/>
  <c r="K87" i="16" s="1"/>
  <c r="E87" i="16" a="1"/>
  <c r="E87" i="16" s="1"/>
  <c r="N86" i="16" a="1"/>
  <c r="N86" i="16" s="1"/>
  <c r="O82" i="16" a="1"/>
  <c r="O82" i="16" s="1"/>
  <c r="K81" i="16" a="1"/>
  <c r="K81" i="16" s="1"/>
  <c r="H43" i="2" s="1" a="1"/>
  <c r="H43" i="2" s="1"/>
  <c r="E81" i="16" a="1"/>
  <c r="E81" i="16" s="1"/>
  <c r="L80" i="16" a="1"/>
  <c r="L80" i="16" s="1"/>
  <c r="K297" i="2" s="1" a="1"/>
  <c r="K297" i="2" s="1"/>
  <c r="E80" i="16" a="1"/>
  <c r="E80" i="16" s="1"/>
  <c r="N252" i="16" a="1"/>
  <c r="N252" i="16" s="1"/>
  <c r="K251" i="16" a="1"/>
  <c r="K251" i="16" s="1"/>
  <c r="P235" i="16" a="1"/>
  <c r="P235" i="16" s="1"/>
  <c r="N229" i="16" a="1"/>
  <c r="N229" i="16" s="1"/>
  <c r="N216" i="16" a="1"/>
  <c r="N216" i="16" s="1"/>
  <c r="E197" i="16" a="1"/>
  <c r="E197" i="16" s="1"/>
  <c r="E186" i="16" a="1"/>
  <c r="E186" i="16" s="1"/>
  <c r="L179" i="16" a="1"/>
  <c r="L179" i="16" s="1"/>
  <c r="L177" i="16" a="1"/>
  <c r="L177" i="16" s="1"/>
  <c r="P172" i="16" a="1"/>
  <c r="P172" i="16" s="1"/>
  <c r="K164" i="16" a="1"/>
  <c r="K164" i="16" s="1"/>
  <c r="E154" i="16" a="1"/>
  <c r="E154" i="16" s="1"/>
  <c r="P152" i="16" a="1"/>
  <c r="P152" i="16" s="1"/>
  <c r="N149" i="16" a="1"/>
  <c r="N149" i="16" s="1"/>
  <c r="N146" i="16" a="1"/>
  <c r="N146" i="16" s="1"/>
  <c r="O144" i="16" a="1"/>
  <c r="O144" i="16" s="1"/>
  <c r="L141" i="16" a="1"/>
  <c r="L141" i="16" s="1"/>
  <c r="P136" i="16" a="1"/>
  <c r="P136" i="16" s="1"/>
  <c r="P127" i="16" a="1"/>
  <c r="P127" i="16" s="1"/>
  <c r="K123" i="16" a="1"/>
  <c r="K123" i="16" s="1"/>
  <c r="L121" i="16" a="1"/>
  <c r="L121" i="16" s="1"/>
  <c r="O120" i="16" a="1"/>
  <c r="O120" i="16" s="1"/>
  <c r="O119" i="16" a="1"/>
  <c r="O119" i="16" s="1"/>
  <c r="P118" i="16" a="1"/>
  <c r="P118" i="16" s="1"/>
  <c r="P117" i="16" a="1"/>
  <c r="P117" i="16" s="1"/>
  <c r="K110" i="16" a="1"/>
  <c r="K110" i="16" s="1"/>
  <c r="S519" i="22" s="1"/>
  <c r="O108" i="16" a="1"/>
  <c r="O108" i="16" s="1"/>
  <c r="L106" i="16" a="1"/>
  <c r="L106" i="16" s="1"/>
  <c r="O105" i="16" a="1"/>
  <c r="O105" i="16" s="1"/>
  <c r="P104" i="16" a="1"/>
  <c r="P104" i="16" s="1"/>
  <c r="L102" i="16" a="1"/>
  <c r="L102" i="16" s="1"/>
  <c r="O100" i="16" a="1"/>
  <c r="O100" i="16" s="1"/>
  <c r="E98" i="16" a="1"/>
  <c r="E98" i="16" s="1"/>
  <c r="L97" i="16" a="1"/>
  <c r="L97" i="16" s="1"/>
  <c r="K306" i="2" s="1" a="1"/>
  <c r="K306" i="2" s="1"/>
  <c r="P91" i="16" a="1"/>
  <c r="P91" i="16" s="1"/>
  <c r="K90" i="16" a="1"/>
  <c r="K90" i="16" s="1"/>
  <c r="E90" i="16" a="1"/>
  <c r="E90" i="16" s="1"/>
  <c r="N89" i="16" a="1"/>
  <c r="N89" i="16" s="1"/>
  <c r="O88" i="16" a="1"/>
  <c r="O88" i="16" s="1"/>
  <c r="P87" i="16" a="1"/>
  <c r="P87" i="16" s="1"/>
  <c r="L86" i="16" a="1"/>
  <c r="L86" i="16" s="1"/>
  <c r="K48" i="2" s="1" a="1"/>
  <c r="K48" i="2" s="1"/>
  <c r="O85" i="16" a="1"/>
  <c r="O85" i="16" s="1"/>
  <c r="L83" i="16" a="1"/>
  <c r="L83" i="16" s="1"/>
  <c r="K246" i="2" s="1" a="1"/>
  <c r="K246" i="2" s="1"/>
  <c r="N82" i="16" a="1"/>
  <c r="N82" i="16" s="1"/>
  <c r="P81" i="16" a="1"/>
  <c r="P81" i="16" s="1"/>
  <c r="L79" i="16" a="1"/>
  <c r="L79" i="16" s="1"/>
  <c r="K223" i="2" s="1" a="1"/>
  <c r="K223" i="2" s="1"/>
  <c r="N78" i="16" a="1"/>
  <c r="N78" i="16" s="1"/>
  <c r="P77" i="16" a="1"/>
  <c r="P77" i="16" s="1"/>
  <c r="E77" i="16" a="1"/>
  <c r="E77" i="16" s="1"/>
  <c r="L76" i="16" a="1"/>
  <c r="L76" i="16" s="1"/>
  <c r="K296" i="2" s="1" a="1"/>
  <c r="K296" i="2" s="1"/>
  <c r="O75" i="16" a="1"/>
  <c r="O75" i="16" s="1"/>
  <c r="K74" i="16" a="1"/>
  <c r="K74" i="16" s="1"/>
  <c r="E74" i="16" a="1"/>
  <c r="E74" i="16" s="1"/>
  <c r="N73" i="16" a="1"/>
  <c r="N73" i="16" s="1"/>
  <c r="P72" i="16" a="1"/>
  <c r="P72" i="16" s="1"/>
  <c r="P214" i="16" a="1"/>
  <c r="P214" i="16" s="1"/>
  <c r="O179" i="16" a="1"/>
  <c r="O179" i="16" s="1"/>
  <c r="K175" i="16" a="1"/>
  <c r="K175" i="16" s="1"/>
  <c r="S419" i="22" s="1"/>
  <c r="K148" i="16" a="1"/>
  <c r="K148" i="16" s="1"/>
  <c r="N127" i="16" a="1"/>
  <c r="N127" i="16" s="1"/>
  <c r="P125" i="16" a="1"/>
  <c r="P125" i="16" s="1"/>
  <c r="K107" i="16" a="1"/>
  <c r="K107" i="16" s="1"/>
  <c r="N101" i="16" a="1"/>
  <c r="N101" i="16" s="1"/>
  <c r="L96" i="16" a="1"/>
  <c r="L96" i="16" s="1"/>
  <c r="L93" i="16" a="1"/>
  <c r="L93" i="16" s="1"/>
  <c r="N84" i="16" a="1"/>
  <c r="N84" i="16" s="1"/>
  <c r="O79" i="16" a="1"/>
  <c r="O79" i="16" s="1"/>
  <c r="L78" i="16" a="1"/>
  <c r="L78" i="16" s="1"/>
  <c r="K35" i="2" s="1" a="1"/>
  <c r="K35" i="2" s="1"/>
  <c r="K77" i="16" a="1"/>
  <c r="K77" i="16" s="1"/>
  <c r="O74" i="16" a="1"/>
  <c r="O74" i="16" s="1"/>
  <c r="K73" i="16" a="1"/>
  <c r="K73" i="16" s="1"/>
  <c r="P63" i="16" a="1"/>
  <c r="P63" i="16" s="1"/>
  <c r="N62" i="16" a="1"/>
  <c r="N62" i="16" s="1"/>
  <c r="K54" i="16" a="1"/>
  <c r="K54" i="16" s="1"/>
  <c r="E54" i="16" a="1"/>
  <c r="E54" i="16" s="1"/>
  <c r="N53" i="16" a="1"/>
  <c r="N53" i="16" s="1"/>
  <c r="K52" i="16" a="1"/>
  <c r="K52" i="16" s="1"/>
  <c r="E52" i="16" a="1"/>
  <c r="E52" i="16" s="1"/>
  <c r="L50" i="16" a="1"/>
  <c r="L50" i="16" s="1"/>
  <c r="K258" i="2" s="1" a="1"/>
  <c r="K258" i="2" s="1"/>
  <c r="P48" i="16" a="1"/>
  <c r="P48" i="16" s="1"/>
  <c r="E47" i="16" a="1"/>
  <c r="E47" i="16" s="1"/>
  <c r="L45" i="16" a="1"/>
  <c r="L45" i="16" s="1"/>
  <c r="K29" i="2" s="1" a="1"/>
  <c r="K29" i="2" s="1"/>
  <c r="N44" i="16" a="1"/>
  <c r="N44" i="16" s="1"/>
  <c r="K41" i="16" a="1"/>
  <c r="K41" i="16" s="1"/>
  <c r="O40" i="16" a="1"/>
  <c r="O40" i="16" s="1"/>
  <c r="N38" i="16" a="1"/>
  <c r="N38" i="16" s="1"/>
  <c r="P37" i="16" a="1"/>
  <c r="P37" i="16" s="1"/>
  <c r="L36" i="16" a="1"/>
  <c r="L36" i="16" s="1"/>
  <c r="K147" i="2" s="1" a="1"/>
  <c r="K147" i="2" s="1"/>
  <c r="K34" i="16" a="1"/>
  <c r="K34" i="16" s="1"/>
  <c r="E31" i="16" a="1"/>
  <c r="E31" i="16" s="1"/>
  <c r="O29" i="16" a="1"/>
  <c r="O29" i="16" s="1"/>
  <c r="P28" i="16" a="1"/>
  <c r="P28" i="16" s="1"/>
  <c r="K27" i="16" a="1"/>
  <c r="K27" i="16" s="1"/>
  <c r="H115" i="2" s="1" a="1"/>
  <c r="H115" i="2" s="1"/>
  <c r="E27" i="16" a="1"/>
  <c r="E27" i="16" s="1"/>
  <c r="L26" i="16" a="1"/>
  <c r="L26" i="16" s="1"/>
  <c r="K114" i="2" s="1" a="1"/>
  <c r="K114" i="2" s="1"/>
  <c r="N25" i="16" a="1"/>
  <c r="N25" i="16" s="1"/>
  <c r="P24" i="16" a="1"/>
  <c r="P24" i="16" s="1"/>
  <c r="L23" i="16" a="1"/>
  <c r="L23" i="16" s="1"/>
  <c r="K109" i="2" s="1" a="1"/>
  <c r="K109" i="2" s="1"/>
  <c r="N22" i="16" a="1"/>
  <c r="N22" i="16" s="1"/>
  <c r="L21" i="16" a="1"/>
  <c r="L21" i="16" s="1"/>
  <c r="K313" i="2" s="1" a="1"/>
  <c r="K313" i="2" s="1"/>
  <c r="E21" i="16" a="1"/>
  <c r="E21" i="16" s="1"/>
  <c r="L20" i="16" a="1"/>
  <c r="L20" i="16" s="1"/>
  <c r="K132" i="2" s="1" a="1"/>
  <c r="K132" i="2" s="1"/>
  <c r="P18" i="16" a="1"/>
  <c r="P18" i="16" s="1"/>
  <c r="N17" i="16" a="1"/>
  <c r="N17" i="16" s="1"/>
  <c r="L16" i="16" a="1"/>
  <c r="L16" i="16" s="1"/>
  <c r="K95" i="2" s="1" a="1"/>
  <c r="K95" i="2" s="1"/>
  <c r="P14" i="16" a="1"/>
  <c r="P14" i="16" s="1"/>
  <c r="N13" i="16" a="1"/>
  <c r="N13" i="16" s="1"/>
  <c r="L12" i="16" a="1"/>
  <c r="L12" i="16" s="1"/>
  <c r="K93" i="2" s="1" a="1"/>
  <c r="K93" i="2" s="1"/>
  <c r="P10" i="16" a="1"/>
  <c r="P10" i="16" s="1"/>
  <c r="N9" i="16" a="1"/>
  <c r="N9" i="16" s="1"/>
  <c r="L8" i="16" a="1"/>
  <c r="L8" i="16" s="1"/>
  <c r="K254" i="2" s="1" a="1"/>
  <c r="K254" i="2" s="1"/>
  <c r="P6" i="16" a="1"/>
  <c r="P6" i="16" s="1"/>
  <c r="N5" i="16" a="1"/>
  <c r="N5" i="16" s="1"/>
  <c r="L4" i="16" a="1"/>
  <c r="L4" i="16" s="1"/>
  <c r="K4" i="2" s="1" a="1"/>
  <c r="K4" i="2" s="1"/>
  <c r="P2" i="16" a="1"/>
  <c r="P2" i="16" s="1"/>
  <c r="P284" i="16" a="1"/>
  <c r="P284" i="16" s="1"/>
  <c r="P251" i="16" a="1"/>
  <c r="P251" i="16" s="1"/>
  <c r="N242" i="16" a="1"/>
  <c r="N242" i="16" s="1"/>
  <c r="N227" i="16" a="1"/>
  <c r="N227" i="16" s="1"/>
  <c r="L218" i="16" a="1"/>
  <c r="L218" i="16" s="1"/>
  <c r="K183" i="16" a="1"/>
  <c r="K183" i="16" s="1"/>
  <c r="N157" i="16" a="1"/>
  <c r="N157" i="16" s="1"/>
  <c r="N154" i="16" a="1"/>
  <c r="N154" i="16" s="1"/>
  <c r="O150" i="16" a="1"/>
  <c r="O150" i="16" s="1"/>
  <c r="O136" i="16" a="1"/>
  <c r="O136" i="16" s="1"/>
  <c r="L127" i="16" a="1"/>
  <c r="L127" i="16" s="1"/>
  <c r="L125" i="16" a="1"/>
  <c r="L125" i="16" s="1"/>
  <c r="P123" i="16" a="1"/>
  <c r="P123" i="16" s="1"/>
  <c r="E123" i="16" a="1"/>
  <c r="E123" i="16" s="1"/>
  <c r="O118" i="16" a="1"/>
  <c r="O118" i="16" s="1"/>
  <c r="O112" i="16" a="1"/>
  <c r="O112" i="16" s="1"/>
  <c r="E111" i="16" a="1"/>
  <c r="E111" i="16" s="1"/>
  <c r="P108" i="16" a="1"/>
  <c r="P108" i="16" s="1"/>
  <c r="E101" i="16" a="1"/>
  <c r="E101" i="16" s="1"/>
  <c r="K93" i="16" a="1"/>
  <c r="K93" i="16" s="1"/>
  <c r="P88" i="16" a="1"/>
  <c r="P88" i="16" s="1"/>
  <c r="P85" i="16" a="1"/>
  <c r="P85" i="16" s="1"/>
  <c r="K84" i="16" a="1"/>
  <c r="K84" i="16" s="1"/>
  <c r="E84" i="16" a="1"/>
  <c r="E84" i="16" s="1"/>
  <c r="N79" i="16" a="1"/>
  <c r="N79" i="16" s="1"/>
  <c r="K78" i="16" a="1"/>
  <c r="K78" i="16" s="1"/>
  <c r="P75" i="16" a="1"/>
  <c r="P75" i="16" s="1"/>
  <c r="L74" i="16" a="1"/>
  <c r="L74" i="16" s="1"/>
  <c r="K33" i="2" s="1" a="1"/>
  <c r="K33" i="2" s="1"/>
  <c r="P66" i="16" a="1"/>
  <c r="P66" i="16" s="1"/>
  <c r="K62" i="16" a="1"/>
  <c r="K62" i="16" s="1"/>
  <c r="K61" i="16" a="1"/>
  <c r="K61" i="16" s="1"/>
  <c r="O58" i="16" a="1"/>
  <c r="O58" i="16" s="1"/>
  <c r="P56" i="16" a="1"/>
  <c r="P56" i="16" s="1"/>
  <c r="P55" i="16" a="1"/>
  <c r="P55" i="16" s="1"/>
  <c r="K51" i="16" a="1"/>
  <c r="K51" i="16" s="1"/>
  <c r="O49" i="16" a="1"/>
  <c r="O49" i="16" s="1"/>
  <c r="O48" i="16" a="1"/>
  <c r="O48" i="16" s="1"/>
  <c r="L44" i="16" a="1"/>
  <c r="L44" i="16" s="1"/>
  <c r="K27" i="2" s="1" a="1"/>
  <c r="K27" i="2" s="1"/>
  <c r="O43" i="16" a="1"/>
  <c r="O43" i="16" s="1"/>
  <c r="P42" i="16" a="1"/>
  <c r="P42" i="16" s="1"/>
  <c r="N40" i="16" a="1"/>
  <c r="N40" i="16" s="1"/>
  <c r="K39" i="16" a="1"/>
  <c r="K39" i="16" s="1"/>
  <c r="E39" i="16" a="1"/>
  <c r="E39" i="16" s="1"/>
  <c r="P229" i="16" a="1"/>
  <c r="P229" i="16" s="1"/>
  <c r="O208" i="16" a="1"/>
  <c r="O208" i="16" s="1"/>
  <c r="P198" i="16" a="1"/>
  <c r="P198" i="16" s="1"/>
  <c r="O187" i="16" a="1"/>
  <c r="O187" i="16" s="1"/>
  <c r="O178" i="16" a="1"/>
  <c r="O178" i="16" s="1"/>
  <c r="O169" i="16" a="1"/>
  <c r="O169" i="16" s="1"/>
  <c r="K157" i="16" a="1"/>
  <c r="K157" i="16" s="1"/>
  <c r="L150" i="16" a="1"/>
  <c r="L150" i="16" s="1"/>
  <c r="K53" i="2" s="1" a="1"/>
  <c r="K53" i="2" s="1"/>
  <c r="N147" i="16" a="1"/>
  <c r="N147" i="16" s="1"/>
  <c r="N144" i="16" a="1"/>
  <c r="N144" i="16" s="1"/>
  <c r="K138" i="16" a="1"/>
  <c r="K138" i="16" s="1"/>
  <c r="E138" i="16" a="1"/>
  <c r="E138" i="16" s="1"/>
  <c r="O128" i="16" a="1"/>
  <c r="O128" i="16" s="1"/>
  <c r="N121" i="16" a="1"/>
  <c r="N121" i="16" s="1"/>
  <c r="K120" i="16" a="1"/>
  <c r="K120" i="16" s="1"/>
  <c r="L118" i="16" a="1"/>
  <c r="L118" i="16" s="1"/>
  <c r="P116" i="16" a="1"/>
  <c r="P116" i="16" s="1"/>
  <c r="O114" i="16" a="1"/>
  <c r="O114" i="16" s="1"/>
  <c r="K112" i="16" a="1"/>
  <c r="K112" i="16" s="1"/>
  <c r="E107" i="16" a="1"/>
  <c r="E107" i="16" s="1"/>
  <c r="N105" i="16" a="1"/>
  <c r="N105" i="16" s="1"/>
  <c r="K102" i="16" a="1"/>
  <c r="K102" i="16" s="1"/>
  <c r="S190" i="22" s="1"/>
  <c r="E102" i="16" a="1"/>
  <c r="E102" i="16" s="1"/>
  <c r="O99" i="16" a="1"/>
  <c r="O99" i="16" s="1"/>
  <c r="P94" i="16" a="1"/>
  <c r="P94" i="16" s="1"/>
  <c r="O91" i="16" a="1"/>
  <c r="O91" i="16" s="1"/>
  <c r="N88" i="16" a="1"/>
  <c r="N88" i="16" s="1"/>
  <c r="P86" i="16" a="1"/>
  <c r="P86" i="16" s="1"/>
  <c r="P80" i="16" a="1"/>
  <c r="P80" i="16" s="1"/>
  <c r="K79" i="16" a="1"/>
  <c r="K79" i="16" s="1"/>
  <c r="N75" i="16" a="1"/>
  <c r="N75" i="16" s="1"/>
  <c r="P68" i="16" a="1"/>
  <c r="P68" i="16" s="1"/>
  <c r="O66" i="16" a="1"/>
  <c r="O66" i="16" s="1"/>
  <c r="N64" i="16" a="1"/>
  <c r="N64" i="16" s="1"/>
  <c r="O63" i="16" a="1"/>
  <c r="O63" i="16" s="1"/>
  <c r="E62" i="16" a="1"/>
  <c r="E62" i="16" s="1"/>
  <c r="L58" i="16" a="1"/>
  <c r="L58" i="16" s="1"/>
  <c r="K157" i="2" s="1" a="1"/>
  <c r="K157" i="2" s="1"/>
  <c r="O57" i="16" a="1"/>
  <c r="O57" i="16" s="1"/>
  <c r="O56" i="16" a="1"/>
  <c r="O56" i="16" s="1"/>
  <c r="K53" i="16" a="1"/>
  <c r="K53" i="16" s="1"/>
  <c r="E51" i="16" a="1"/>
  <c r="E51" i="16" s="1"/>
  <c r="K50" i="16" a="1"/>
  <c r="K50" i="16" s="1"/>
  <c r="E50" i="16" a="1"/>
  <c r="E50" i="16" s="1"/>
  <c r="N49" i="16" a="1"/>
  <c r="N49" i="16" s="1"/>
  <c r="P47" i="16" a="1"/>
  <c r="P47" i="16" s="1"/>
  <c r="K46" i="16" a="1"/>
  <c r="K46" i="16" s="1"/>
  <c r="K45" i="16" a="1"/>
  <c r="K45" i="16" s="1"/>
  <c r="E45" i="16" a="1"/>
  <c r="E45" i="16" s="1"/>
  <c r="O42" i="16" a="1"/>
  <c r="O42" i="16" s="1"/>
  <c r="E41" i="16" a="1"/>
  <c r="E41" i="16" s="1"/>
  <c r="P39" i="16" a="1"/>
  <c r="P39" i="16" s="1"/>
  <c r="N35" i="16" a="1"/>
  <c r="N35" i="16" s="1"/>
  <c r="P34" i="16" a="1"/>
  <c r="P34" i="16" s="1"/>
  <c r="L33" i="16" a="1"/>
  <c r="L33" i="16" s="1"/>
  <c r="K113" i="2" s="1" a="1"/>
  <c r="K113" i="2" s="1"/>
  <c r="O32" i="16" a="1"/>
  <c r="O32" i="16" s="1"/>
  <c r="P31" i="16" a="1"/>
  <c r="P31" i="16" s="1"/>
  <c r="L29" i="16" a="1"/>
  <c r="L29" i="16" s="1"/>
  <c r="K22" i="2" s="1" a="1"/>
  <c r="K22" i="2" s="1"/>
  <c r="N28" i="16" a="1"/>
  <c r="N28" i="16" s="1"/>
  <c r="K25" i="16" a="1"/>
  <c r="K25" i="16" s="1"/>
  <c r="N24" i="16" a="1"/>
  <c r="N24" i="16" s="1"/>
  <c r="P23" i="16" a="1"/>
  <c r="P23" i="16" s="1"/>
  <c r="M22" i="16" a="1"/>
  <c r="M22" i="16" s="1"/>
  <c r="P21" i="16" a="1"/>
  <c r="P21" i="16" s="1"/>
  <c r="P19" i="16" a="1"/>
  <c r="P19" i="16" s="1"/>
  <c r="N18" i="16" a="1"/>
  <c r="N18" i="16" s="1"/>
  <c r="L17" i="16" a="1"/>
  <c r="L17" i="16" s="1"/>
  <c r="K15" i="2" s="1" a="1"/>
  <c r="K15" i="2" s="1"/>
  <c r="P15" i="16" a="1"/>
  <c r="P15" i="16" s="1"/>
  <c r="N14" i="16" a="1"/>
  <c r="N14" i="16" s="1"/>
  <c r="L13" i="16" a="1"/>
  <c r="L13" i="16" s="1"/>
  <c r="K14" i="2" s="1" a="1"/>
  <c r="K14" i="2" s="1"/>
  <c r="P11" i="16" a="1"/>
  <c r="P11" i="16" s="1"/>
  <c r="N10" i="16" a="1"/>
  <c r="N10" i="16" s="1"/>
  <c r="L9" i="16" a="1"/>
  <c r="L9" i="16" s="1"/>
  <c r="K8" i="2" s="1" a="1"/>
  <c r="K8" i="2" s="1"/>
  <c r="P7" i="16" a="1"/>
  <c r="P7" i="16" s="1"/>
  <c r="N6" i="16" a="1"/>
  <c r="N6" i="16" s="1"/>
  <c r="L5" i="16" a="1"/>
  <c r="L5" i="16" s="1"/>
  <c r="K226" i="2" s="1" a="1"/>
  <c r="K226" i="2" s="1"/>
  <c r="P3" i="16" a="1"/>
  <c r="P3" i="16" s="1"/>
  <c r="N2" i="16" a="1"/>
  <c r="N2" i="16" s="1"/>
  <c r="P212" i="16" a="1"/>
  <c r="P212" i="16" s="1"/>
  <c r="K197" i="16" a="1"/>
  <c r="K197" i="16" s="1"/>
  <c r="K174" i="16" a="1"/>
  <c r="K174" i="16" s="1"/>
  <c r="O159" i="16" a="1"/>
  <c r="O159" i="16" s="1"/>
  <c r="K132" i="16" a="1"/>
  <c r="K132" i="16" s="1"/>
  <c r="N128" i="16" a="1"/>
  <c r="N128" i="16" s="1"/>
  <c r="K121" i="16" a="1"/>
  <c r="K121" i="16" s="1"/>
  <c r="O109" i="16" a="1"/>
  <c r="O109" i="16" s="1"/>
  <c r="N99" i="16" a="1"/>
  <c r="N99" i="16" s="1"/>
  <c r="N97" i="16" a="1"/>
  <c r="N97" i="16" s="1"/>
  <c r="N94" i="16" a="1"/>
  <c r="N94" i="16" s="1"/>
  <c r="L91" i="16" a="1"/>
  <c r="L91" i="16" s="1"/>
  <c r="K116" i="2" s="1" a="1"/>
  <c r="K116" i="2" s="1"/>
  <c r="O89" i="16" a="1"/>
  <c r="O89" i="16" s="1"/>
  <c r="L85" i="16" a="1"/>
  <c r="L85" i="16" s="1"/>
  <c r="K40" i="2" s="1" a="1"/>
  <c r="K40" i="2" s="1"/>
  <c r="L82" i="16" a="1"/>
  <c r="L82" i="16" s="1"/>
  <c r="K37" i="2" s="1" a="1"/>
  <c r="K37" i="2" s="1"/>
  <c r="P71" i="16" a="1"/>
  <c r="P71" i="16" s="1"/>
  <c r="P70" i="16" a="1"/>
  <c r="P70" i="16" s="1"/>
  <c r="P69" i="16" a="1"/>
  <c r="P69" i="16" s="1"/>
  <c r="O67" i="16" a="1"/>
  <c r="O67" i="16" s="1"/>
  <c r="N65" i="16" a="1"/>
  <c r="N65" i="16" s="1"/>
  <c r="E64" i="16" a="1"/>
  <c r="E64" i="16" s="1"/>
  <c r="L63" i="16" a="1"/>
  <c r="L63" i="16" s="1"/>
  <c r="K163" i="2" s="1" a="1"/>
  <c r="K163" i="2" s="1"/>
  <c r="P59" i="16" a="1"/>
  <c r="P59" i="16" s="1"/>
  <c r="N57" i="16" a="1"/>
  <c r="N57" i="16" s="1"/>
  <c r="N56" i="16" a="1"/>
  <c r="N56" i="16" s="1"/>
  <c r="N55" i="16" a="1"/>
  <c r="N55" i="16" s="1"/>
  <c r="P54" i="16" a="1"/>
  <c r="P54" i="16" s="1"/>
  <c r="P52" i="16" a="1"/>
  <c r="P52" i="16" s="1"/>
  <c r="L49" i="16" a="1"/>
  <c r="L49" i="16" s="1"/>
  <c r="O47" i="16" a="1"/>
  <c r="O47" i="16" s="1"/>
  <c r="K44" i="16" a="1"/>
  <c r="K44" i="16" s="1"/>
  <c r="N43" i="16" a="1"/>
  <c r="N43" i="16" s="1"/>
  <c r="L40" i="16" a="1"/>
  <c r="L40" i="16" s="1"/>
  <c r="K28" i="2" s="1" a="1"/>
  <c r="K28" i="2" s="1"/>
  <c r="K38" i="16" a="1"/>
  <c r="K38" i="16" s="1"/>
  <c r="N37" i="16" a="1"/>
  <c r="N37" i="16" s="1"/>
  <c r="P36" i="16" a="1"/>
  <c r="P36" i="16" s="1"/>
  <c r="L35" i="16" a="1"/>
  <c r="L35" i="16" s="1"/>
  <c r="O34" i="16" a="1"/>
  <c r="O34" i="16" s="1"/>
  <c r="N32" i="16" a="1"/>
  <c r="N32" i="16" s="1"/>
  <c r="O31" i="16" a="1"/>
  <c r="O31" i="16" s="1"/>
  <c r="K30" i="16" a="1"/>
  <c r="K30" i="16" s="1"/>
  <c r="L28" i="16" a="1"/>
  <c r="L28" i="16" s="1"/>
  <c r="K143" i="2" s="1" a="1"/>
  <c r="K143" i="2" s="1"/>
  <c r="O27" i="16" a="1"/>
  <c r="O27" i="16" s="1"/>
  <c r="P26" i="16" a="1"/>
  <c r="P26" i="16" s="1"/>
  <c r="E25" i="16" a="1"/>
  <c r="E25" i="16" s="1"/>
  <c r="L22" i="16" a="1"/>
  <c r="L22" i="16" s="1"/>
  <c r="K138" i="2" s="1" a="1"/>
  <c r="K138" i="2" s="1"/>
  <c r="O19" i="16" a="1"/>
  <c r="O19" i="16" s="1"/>
  <c r="M18" i="16" a="1"/>
  <c r="M18" i="16" s="1"/>
  <c r="E18" i="16" a="1"/>
  <c r="E18" i="16" s="1"/>
  <c r="K17" i="16" a="1"/>
  <c r="K17" i="16" s="1"/>
  <c r="H15" i="2" s="1" a="1"/>
  <c r="H15" i="2" s="1"/>
  <c r="O15" i="16" a="1"/>
  <c r="O15" i="16" s="1"/>
  <c r="M14" i="16" a="1"/>
  <c r="M14" i="16" s="1"/>
  <c r="E14" i="16" a="1"/>
  <c r="E14" i="16" s="1"/>
  <c r="K13" i="16" a="1"/>
  <c r="K13" i="16" s="1"/>
  <c r="H14" i="2" s="1" a="1"/>
  <c r="H14" i="2" s="1"/>
  <c r="O11" i="16" a="1"/>
  <c r="O11" i="16" s="1"/>
  <c r="M10" i="16" a="1"/>
  <c r="M10" i="16" s="1"/>
  <c r="E10" i="16" a="1"/>
  <c r="E10" i="16" s="1"/>
  <c r="K9" i="16" a="1"/>
  <c r="K9" i="16" s="1"/>
  <c r="O7" i="16" a="1"/>
  <c r="O7" i="16" s="1"/>
  <c r="M6" i="16" a="1"/>
  <c r="M6" i="16" s="1"/>
  <c r="E6" i="16" a="1"/>
  <c r="E6" i="16" s="1"/>
  <c r="K5" i="16" a="1"/>
  <c r="K5" i="16" s="1"/>
  <c r="O3" i="16" a="1"/>
  <c r="O3" i="16" s="1"/>
  <c r="M2" i="16" a="1"/>
  <c r="M2" i="16" s="1"/>
  <c r="E2" i="16" a="1"/>
  <c r="E2" i="16" s="1"/>
  <c r="N224" i="16" a="1"/>
  <c r="N224" i="16" s="1"/>
  <c r="K222" i="16" a="1"/>
  <c r="K222" i="16" s="1"/>
  <c r="K203" i="16" a="1"/>
  <c r="K203" i="16" s="1"/>
  <c r="O177" i="16" a="1"/>
  <c r="O177" i="16" s="1"/>
  <c r="O165" i="16" a="1"/>
  <c r="O165" i="16" s="1"/>
  <c r="N109" i="16" a="1"/>
  <c r="N109" i="16" s="1"/>
  <c r="E103" i="16" a="1"/>
  <c r="E103" i="16" s="1"/>
  <c r="K97" i="16" a="1"/>
  <c r="K97" i="16" s="1"/>
  <c r="P95" i="16" a="1"/>
  <c r="P95" i="16" s="1"/>
  <c r="E94" i="16" a="1"/>
  <c r="E94" i="16" s="1"/>
  <c r="O92" i="16" a="1"/>
  <c r="O92" i="16" s="1"/>
  <c r="L89" i="16" a="1"/>
  <c r="L89" i="16" s="1"/>
  <c r="K86" i="16" a="1"/>
  <c r="K86" i="16" s="1"/>
  <c r="E86" i="16" a="1"/>
  <c r="E86" i="16" s="1"/>
  <c r="K80" i="16" a="1"/>
  <c r="K80" i="16" s="1"/>
  <c r="N76" i="16" a="1"/>
  <c r="N76" i="16" s="1"/>
  <c r="E75" i="16" a="1"/>
  <c r="E75" i="16" s="1"/>
  <c r="O72" i="16" a="1"/>
  <c r="O72" i="16" s="1"/>
  <c r="N71" i="16" a="1"/>
  <c r="N71" i="16" s="1"/>
  <c r="O70" i="16" a="1"/>
  <c r="O70" i="16" s="1"/>
  <c r="L68" i="16" a="1"/>
  <c r="L68" i="16" s="1"/>
  <c r="K141" i="2" s="1" a="1"/>
  <c r="K141" i="2" s="1"/>
  <c r="L66" i="16" a="1"/>
  <c r="L66" i="16" s="1"/>
  <c r="K266" i="2" s="1" a="1"/>
  <c r="K266" i="2" s="1"/>
  <c r="L65" i="16" a="1"/>
  <c r="L65" i="16" s="1"/>
  <c r="K139" i="2" s="1" a="1"/>
  <c r="K139" i="2" s="1"/>
  <c r="L64" i="16" a="1"/>
  <c r="L64" i="16" s="1"/>
  <c r="K317" i="2" s="1" a="1"/>
  <c r="K317" i="2" s="1"/>
  <c r="P60" i="16" a="1"/>
  <c r="P60" i="16" s="1"/>
  <c r="N59" i="16" a="1"/>
  <c r="N59" i="16" s="1"/>
  <c r="K58" i="16" a="1"/>
  <c r="K58" i="16" s="1"/>
  <c r="H157" i="2" s="1" a="1"/>
  <c r="H157" i="2" s="1"/>
  <c r="E58" i="16" a="1"/>
  <c r="E58" i="16" s="1"/>
  <c r="L57" i="16" a="1"/>
  <c r="L57" i="16" s="1"/>
  <c r="K348" i="2" s="1" a="1"/>
  <c r="K348" i="2" s="1"/>
  <c r="L56" i="16" a="1"/>
  <c r="L56" i="16" s="1"/>
  <c r="K341" i="2" s="1" a="1"/>
  <c r="K341" i="2" s="1"/>
  <c r="L55" i="16" a="1"/>
  <c r="L55" i="16" s="1"/>
  <c r="K136" i="2" s="1" a="1"/>
  <c r="K136" i="2" s="1"/>
  <c r="O54" i="16" a="1"/>
  <c r="O54" i="16" s="1"/>
  <c r="O52" i="16" a="1"/>
  <c r="O52" i="16" s="1"/>
  <c r="P51" i="16" a="1"/>
  <c r="P51" i="16" s="1"/>
  <c r="E49" i="16" a="1"/>
  <c r="E49" i="16" s="1"/>
  <c r="L48" i="16" a="1"/>
  <c r="L48" i="16" s="1"/>
  <c r="K257" i="2" s="1" a="1"/>
  <c r="K257" i="2" s="1"/>
  <c r="P46" i="16" a="1"/>
  <c r="P46" i="16" s="1"/>
  <c r="E44" i="16" a="1"/>
  <c r="E44" i="16" s="1"/>
  <c r="L43" i="16" a="1"/>
  <c r="L43" i="16" s="1"/>
  <c r="K25" i="2" s="1" a="1"/>
  <c r="K25" i="2" s="1"/>
  <c r="N42" i="16" a="1"/>
  <c r="N42" i="16" s="1"/>
  <c r="P41" i="16" a="1"/>
  <c r="P41" i="16" s="1"/>
  <c r="O39" i="16" a="1"/>
  <c r="O39" i="16" s="1"/>
  <c r="E38" i="16" a="1"/>
  <c r="E38" i="16" s="1"/>
  <c r="L37" i="16" a="1"/>
  <c r="L37" i="16" s="1"/>
  <c r="K314" i="2" s="1" a="1"/>
  <c r="K314" i="2" s="1"/>
  <c r="O36" i="16" a="1"/>
  <c r="O36" i="16" s="1"/>
  <c r="K35" i="16" a="1"/>
  <c r="K35" i="16" s="1"/>
  <c r="S456" i="22" s="1"/>
  <c r="N34" i="16" a="1"/>
  <c r="N34" i="16" s="1"/>
  <c r="K33" i="16" a="1"/>
  <c r="K33" i="16" s="1"/>
  <c r="E33" i="16" a="1"/>
  <c r="E33" i="16" s="1"/>
  <c r="L32" i="16" a="1"/>
  <c r="L32" i="16" s="1"/>
  <c r="K123" i="2" s="1" a="1"/>
  <c r="K123" i="2" s="1"/>
  <c r="P30" i="16" a="1"/>
  <c r="P30" i="16" s="1"/>
  <c r="K29" i="16" a="1"/>
  <c r="K29" i="16" s="1"/>
  <c r="E29" i="16" a="1"/>
  <c r="E29" i="16" s="1"/>
  <c r="O26" i="16" a="1"/>
  <c r="O26" i="16" s="1"/>
  <c r="L24" i="16" a="1"/>
  <c r="L24" i="16" s="1"/>
  <c r="O23" i="16" a="1"/>
  <c r="O23" i="16" s="1"/>
  <c r="K22" i="16" a="1"/>
  <c r="K22" i="16" s="1"/>
  <c r="O21" i="16" a="1"/>
  <c r="O21" i="16" s="1"/>
  <c r="P20" i="16" a="1"/>
  <c r="P20" i="16" s="1"/>
  <c r="N19" i="16" a="1"/>
  <c r="N19" i="16" s="1"/>
  <c r="L18" i="16" a="1"/>
  <c r="L18" i="16" s="1"/>
  <c r="K96" i="2" s="1" a="1"/>
  <c r="K96" i="2" s="1"/>
  <c r="P16" i="16" a="1"/>
  <c r="P16" i="16" s="1"/>
  <c r="N15" i="16" a="1"/>
  <c r="N15" i="16" s="1"/>
  <c r="L14" i="16" a="1"/>
  <c r="L14" i="16" s="1"/>
  <c r="K216" i="2" s="1" a="1"/>
  <c r="K216" i="2" s="1"/>
  <c r="P12" i="16" a="1"/>
  <c r="P12" i="16" s="1"/>
  <c r="N11" i="16" a="1"/>
  <c r="N11" i="16" s="1"/>
  <c r="L10" i="16" a="1"/>
  <c r="L10" i="16" s="1"/>
  <c r="K9" i="2" s="1" a="1"/>
  <c r="K9" i="2" s="1"/>
  <c r="P8" i="16" a="1"/>
  <c r="P8" i="16" s="1"/>
  <c r="N7" i="16" a="1"/>
  <c r="N7" i="16" s="1"/>
  <c r="L6" i="16" a="1"/>
  <c r="L6" i="16" s="1"/>
  <c r="K6" i="2" s="1" a="1"/>
  <c r="K6" i="2" s="1"/>
  <c r="P4" i="16" a="1"/>
  <c r="P4" i="16" s="1"/>
  <c r="N3" i="16" a="1"/>
  <c r="N3" i="16" s="1"/>
  <c r="L2" i="16" a="1"/>
  <c r="L2" i="16" s="1"/>
  <c r="K250" i="2" s="1" a="1"/>
  <c r="K250" i="2" s="1"/>
  <c r="L180" i="16" a="1"/>
  <c r="L180" i="16" s="1"/>
  <c r="K288" i="2" s="1" a="1"/>
  <c r="K288" i="2" s="1"/>
  <c r="K172" i="16" a="1"/>
  <c r="K172" i="16" s="1"/>
  <c r="E159" i="16" a="1"/>
  <c r="E159" i="16" s="1"/>
  <c r="N152" i="16" a="1"/>
  <c r="N152" i="16" s="1"/>
  <c r="P146" i="16" a="1"/>
  <c r="P146" i="16" s="1"/>
  <c r="P126" i="16" a="1"/>
  <c r="P126" i="16" s="1"/>
  <c r="L122" i="16" a="1"/>
  <c r="L122" i="16" s="1"/>
  <c r="E121" i="16" a="1"/>
  <c r="E121" i="16" s="1"/>
  <c r="N119" i="16" a="1"/>
  <c r="N119" i="16" s="1"/>
  <c r="E119" i="16" a="1"/>
  <c r="E119" i="16" s="1"/>
  <c r="O115" i="16" a="1"/>
  <c r="O115" i="16" s="1"/>
  <c r="P113" i="16" a="1"/>
  <c r="P113" i="16" s="1"/>
  <c r="L110" i="16" a="1"/>
  <c r="L110" i="16" s="1"/>
  <c r="L109" i="16" a="1"/>
  <c r="L109" i="16" s="1"/>
  <c r="K103" i="16" a="1"/>
  <c r="K103" i="16" s="1"/>
  <c r="P100" i="16" a="1"/>
  <c r="P100" i="16" s="1"/>
  <c r="P98" i="16" a="1"/>
  <c r="P98" i="16" s="1"/>
  <c r="O95" i="16" a="1"/>
  <c r="O95" i="16" s="1"/>
  <c r="N92" i="16" a="1"/>
  <c r="N92" i="16" s="1"/>
  <c r="K89" i="16" a="1"/>
  <c r="K89" i="16" s="1"/>
  <c r="E89" i="16" a="1"/>
  <c r="E89" i="16" s="1"/>
  <c r="P83" i="16" a="1"/>
  <c r="P83" i="16" s="1"/>
  <c r="L71" i="16" a="1"/>
  <c r="L71" i="16" s="1"/>
  <c r="K222" i="2" s="1" a="1"/>
  <c r="K222" i="2" s="1"/>
  <c r="K69" i="16" a="1"/>
  <c r="K69" i="16" s="1"/>
  <c r="N67" i="16" a="1"/>
  <c r="N67" i="16" s="1"/>
  <c r="E67" i="16" a="1"/>
  <c r="E67" i="16" s="1"/>
  <c r="K65" i="16" a="1"/>
  <c r="K65" i="16" s="1"/>
  <c r="O60" i="16" a="1"/>
  <c r="O60" i="16" s="1"/>
  <c r="K57" i="16" a="1"/>
  <c r="K57" i="16" s="1"/>
  <c r="E57" i="16" a="1"/>
  <c r="E57" i="16" s="1"/>
  <c r="K56" i="16" a="1"/>
  <c r="K56" i="16" s="1"/>
  <c r="N54" i="16" a="1"/>
  <c r="N54" i="16" s="1"/>
  <c r="P53" i="16" a="1"/>
  <c r="P53" i="16" s="1"/>
  <c r="O51" i="16" a="1"/>
  <c r="O51" i="16" s="1"/>
  <c r="O50" i="16" a="1"/>
  <c r="O50" i="16" s="1"/>
  <c r="K48" i="16" a="1"/>
  <c r="K48" i="16" s="1"/>
  <c r="N47" i="16" a="1"/>
  <c r="N47" i="16" s="1"/>
  <c r="O46" i="16" a="1"/>
  <c r="O46" i="16" s="1"/>
  <c r="P45" i="16" a="1"/>
  <c r="P45" i="16" s="1"/>
  <c r="O41" i="16" a="1"/>
  <c r="O41" i="16" s="1"/>
  <c r="K40" i="16" a="1"/>
  <c r="K40" i="16" s="1"/>
  <c r="E40" i="16" a="1"/>
  <c r="E40" i="16" s="1"/>
  <c r="P38" i="16" a="1"/>
  <c r="P38" i="16" s="1"/>
  <c r="P33" i="16" a="1"/>
  <c r="P33" i="16" s="1"/>
  <c r="K32" i="16" a="1"/>
  <c r="K32" i="16" s="1"/>
  <c r="N31" i="16" a="1"/>
  <c r="N31" i="16" s="1"/>
  <c r="O30" i="16" a="1"/>
  <c r="O30" i="16" s="1"/>
  <c r="K28" i="16" a="1"/>
  <c r="K28" i="16" s="1"/>
  <c r="N27" i="16" a="1"/>
  <c r="N27" i="16" s="1"/>
  <c r="K24" i="16" a="1"/>
  <c r="K24" i="16" s="1"/>
  <c r="S449" i="22" s="1"/>
  <c r="E24" i="16" a="1"/>
  <c r="E24" i="16" s="1"/>
  <c r="P22" i="16" a="1"/>
  <c r="P22" i="16" s="1"/>
  <c r="N21" i="16" a="1"/>
  <c r="N21" i="16" s="1"/>
  <c r="O20" i="16" a="1"/>
  <c r="O20" i="16" s="1"/>
  <c r="M19" i="16" a="1"/>
  <c r="M19" i="16" s="1"/>
  <c r="E19" i="16" a="1"/>
  <c r="E19" i="16" s="1"/>
  <c r="O167" i="16" a="1"/>
  <c r="O167" i="16" s="1"/>
  <c r="P142" i="16" a="1"/>
  <c r="P142" i="16" s="1"/>
  <c r="L129" i="16" a="1"/>
  <c r="L129" i="16" s="1"/>
  <c r="O126" i="16" a="1"/>
  <c r="O126" i="16" s="1"/>
  <c r="E124" i="16" a="1"/>
  <c r="E124" i="16" s="1"/>
  <c r="K122" i="16" a="1"/>
  <c r="K122" i="16" s="1"/>
  <c r="E122" i="16" a="1"/>
  <c r="E122" i="16" s="1"/>
  <c r="L119" i="16" a="1"/>
  <c r="L119" i="16" s="1"/>
  <c r="O117" i="16" a="1"/>
  <c r="O117" i="16" s="1"/>
  <c r="L115" i="16" a="1"/>
  <c r="L115" i="16" s="1"/>
  <c r="P111" i="16" a="1"/>
  <c r="P111" i="16" s="1"/>
  <c r="E110" i="16" a="1"/>
  <c r="E110" i="16" s="1"/>
  <c r="P107" i="16" a="1"/>
  <c r="P107" i="16" s="1"/>
  <c r="L95" i="16" a="1"/>
  <c r="L95" i="16" s="1"/>
  <c r="K92" i="16" a="1"/>
  <c r="K92" i="16" s="1"/>
  <c r="E92" i="16" a="1"/>
  <c r="E92" i="16" s="1"/>
  <c r="O87" i="16" a="1"/>
  <c r="O87" i="16" s="1"/>
  <c r="N83" i="16" a="1"/>
  <c r="N83" i="16" s="1"/>
  <c r="E83" i="16" a="1"/>
  <c r="E83" i="16" s="1"/>
  <c r="P78" i="16" a="1"/>
  <c r="P78" i="16" s="1"/>
  <c r="O73" i="16" a="1"/>
  <c r="O73" i="16" s="1"/>
  <c r="K72" i="16" a="1"/>
  <c r="K72" i="16" s="1"/>
  <c r="E71" i="16" a="1"/>
  <c r="E71" i="16" s="1"/>
  <c r="N70" i="16" a="1"/>
  <c r="N70" i="16" s="1"/>
  <c r="E69" i="16" a="1"/>
  <c r="E69" i="16" s="1"/>
  <c r="K68" i="16" a="1"/>
  <c r="K68" i="16" s="1"/>
  <c r="E68" i="16" a="1"/>
  <c r="E68" i="16" s="1"/>
  <c r="E66" i="16" a="1"/>
  <c r="E66" i="16" s="1"/>
  <c r="E65" i="16" a="1"/>
  <c r="E65" i="16" s="1"/>
  <c r="N61" i="16" a="1"/>
  <c r="N61" i="16" s="1"/>
  <c r="E59" i="16" a="1"/>
  <c r="E59" i="16" s="1"/>
  <c r="K55" i="16" a="1"/>
  <c r="K55" i="16" s="1"/>
  <c r="E55" i="16" a="1"/>
  <c r="E55" i="16" s="1"/>
  <c r="O53" i="16" a="1"/>
  <c r="O53" i="16" s="1"/>
  <c r="N52" i="16" a="1"/>
  <c r="N52" i="16" s="1"/>
  <c r="N51" i="16" a="1"/>
  <c r="N51" i="16" s="1"/>
  <c r="E205" i="16" a="1"/>
  <c r="E205" i="16" s="1"/>
  <c r="E142" i="16" a="1"/>
  <c r="E142" i="16" s="1"/>
  <c r="P49" i="16" a="1"/>
  <c r="P49" i="16" s="1"/>
  <c r="L47" i="16" a="1"/>
  <c r="L47" i="16" s="1"/>
  <c r="K241" i="2" s="1" a="1"/>
  <c r="K241" i="2" s="1"/>
  <c r="L41" i="16" a="1"/>
  <c r="L41" i="16" s="1"/>
  <c r="K274" i="2" s="1" a="1"/>
  <c r="K274" i="2" s="1"/>
  <c r="E32" i="16" a="1"/>
  <c r="E32" i="16" s="1"/>
  <c r="N30" i="16" a="1"/>
  <c r="N30" i="16" s="1"/>
  <c r="O28" i="16" a="1"/>
  <c r="O28" i="16" s="1"/>
  <c r="N26" i="16" a="1"/>
  <c r="N26" i="16" s="1"/>
  <c r="L25" i="16" a="1"/>
  <c r="L25" i="16" s="1"/>
  <c r="K340" i="2" s="1" a="1"/>
  <c r="K340" i="2" s="1"/>
  <c r="N23" i="16" a="1"/>
  <c r="N23" i="16" s="1"/>
  <c r="E22" i="16" a="1"/>
  <c r="E22" i="16" s="1"/>
  <c r="N20" i="16" a="1"/>
  <c r="N20" i="16" s="1"/>
  <c r="E20" i="16" a="1"/>
  <c r="E20" i="16" s="1"/>
  <c r="O16" i="16" a="1"/>
  <c r="O16" i="16" s="1"/>
  <c r="K14" i="16" a="1"/>
  <c r="K14" i="16" s="1"/>
  <c r="P13" i="16" a="1"/>
  <c r="P13" i="16" s="1"/>
  <c r="E13" i="16" a="1"/>
  <c r="E13" i="16" s="1"/>
  <c r="L11" i="16" a="1"/>
  <c r="L11" i="16" s="1"/>
  <c r="K11" i="2" s="1" a="1"/>
  <c r="K11" i="2" s="1"/>
  <c r="M8" i="16" a="1"/>
  <c r="M8" i="16" s="1"/>
  <c r="M5" i="16" a="1"/>
  <c r="M5" i="16" s="1"/>
  <c r="O2" i="16" a="1"/>
  <c r="O2" i="16" s="1"/>
  <c r="O133" i="16" a="1"/>
  <c r="O133" i="16" s="1"/>
  <c r="L117" i="16" a="1"/>
  <c r="L117" i="16" s="1"/>
  <c r="K52" i="2" s="1" a="1"/>
  <c r="K52" i="2" s="1"/>
  <c r="E96" i="16" a="1"/>
  <c r="E96" i="16" s="1"/>
  <c r="O78" i="16" a="1"/>
  <c r="O78" i="16" s="1"/>
  <c r="L61" i="16" a="1"/>
  <c r="L61" i="16" s="1"/>
  <c r="K264" i="2" s="1" a="1"/>
  <c r="K264" i="2" s="1"/>
  <c r="K47" i="16" a="1"/>
  <c r="K47" i="16" s="1"/>
  <c r="N39" i="16" a="1"/>
  <c r="N39" i="16" s="1"/>
  <c r="K36" i="16" a="1"/>
  <c r="K36" i="16" s="1"/>
  <c r="H147" i="2" s="1" a="1"/>
  <c r="H147" i="2" s="1"/>
  <c r="E36" i="16" a="1"/>
  <c r="E36" i="16" s="1"/>
  <c r="E35" i="16" a="1"/>
  <c r="E35" i="16" s="1"/>
  <c r="L30" i="16" a="1"/>
  <c r="L30" i="16" s="1"/>
  <c r="K118" i="2" s="1" a="1"/>
  <c r="K118" i="2" s="1"/>
  <c r="E28" i="16" a="1"/>
  <c r="E28" i="16" s="1"/>
  <c r="M23" i="16" a="1"/>
  <c r="M23" i="16" s="1"/>
  <c r="M20" i="16" a="1"/>
  <c r="M20" i="16" s="1"/>
  <c r="N16" i="16" a="1"/>
  <c r="N16" i="16" s="1"/>
  <c r="E16" i="16" a="1"/>
  <c r="E16" i="16" s="1"/>
  <c r="O13" i="16" a="1"/>
  <c r="O13" i="16" s="1"/>
  <c r="K11" i="16" a="1"/>
  <c r="K11" i="16" s="1"/>
  <c r="H11" i="2" s="1" a="1"/>
  <c r="H11" i="2" s="1"/>
  <c r="K8" i="16" a="1"/>
  <c r="K8" i="16" s="1"/>
  <c r="O4" i="16" a="1"/>
  <c r="O4" i="16" s="1"/>
  <c r="K2" i="16" a="1"/>
  <c r="K2" i="16" s="1"/>
  <c r="E164" i="16" a="1"/>
  <c r="E164" i="16" s="1"/>
  <c r="K145" i="16" a="1"/>
  <c r="K145" i="16" s="1"/>
  <c r="N96" i="16" a="1"/>
  <c r="N96" i="16" s="1"/>
  <c r="N87" i="16" a="1"/>
  <c r="N87" i="16" s="1"/>
  <c r="P84" i="16" a="1"/>
  <c r="P84" i="16" s="1"/>
  <c r="L70" i="16" a="1"/>
  <c r="L70" i="16" s="1"/>
  <c r="K270" i="2" s="1" a="1"/>
  <c r="K270" i="2" s="1"/>
  <c r="L54" i="16" a="1"/>
  <c r="L54" i="16" s="1"/>
  <c r="K262" i="2" s="1" a="1"/>
  <c r="K262" i="2" s="1"/>
  <c r="L51" i="16" a="1"/>
  <c r="L51" i="16" s="1"/>
  <c r="K135" i="2" s="1" a="1"/>
  <c r="K135" i="2" s="1"/>
  <c r="P44" i="16" a="1"/>
  <c r="P44" i="16" s="1"/>
  <c r="L42" i="16" a="1"/>
  <c r="L42" i="16" s="1"/>
  <c r="K215" i="2" s="1" a="1"/>
  <c r="K215" i="2" s="1"/>
  <c r="L39" i="16" a="1"/>
  <c r="L39" i="16" s="1"/>
  <c r="K252" i="2" s="1" a="1"/>
  <c r="K252" i="2" s="1"/>
  <c r="O37" i="16" a="1"/>
  <c r="O37" i="16" s="1"/>
  <c r="K26" i="16" a="1"/>
  <c r="K26" i="16" s="1"/>
  <c r="E26" i="16" a="1"/>
  <c r="E26" i="16" s="1"/>
  <c r="K23" i="16" a="1"/>
  <c r="K23" i="16" s="1"/>
  <c r="E23" i="16" a="1"/>
  <c r="E23" i="16" s="1"/>
  <c r="K20" i="16" a="1"/>
  <c r="K20" i="16" s="1"/>
  <c r="M16" i="16" a="1"/>
  <c r="M16" i="16" s="1"/>
  <c r="M13" i="16" a="1"/>
  <c r="M13" i="16" s="1"/>
  <c r="O10" i="16" a="1"/>
  <c r="O10" i="16" s="1"/>
  <c r="M7" i="16" a="1"/>
  <c r="M7" i="16" s="1"/>
  <c r="E7" i="16" a="1"/>
  <c r="E7" i="16" s="1"/>
  <c r="N4" i="16" a="1"/>
  <c r="N4" i="16" s="1"/>
  <c r="E4" i="16" a="1"/>
  <c r="E4" i="16" s="1"/>
  <c r="P176" i="16" a="1"/>
  <c r="P176" i="16" s="1"/>
  <c r="O90" i="16" a="1"/>
  <c r="O90" i="16" s="1"/>
  <c r="E72" i="16" a="1"/>
  <c r="E72" i="16" s="1"/>
  <c r="O44" i="16" a="1"/>
  <c r="O44" i="16" s="1"/>
  <c r="K42" i="16" a="1"/>
  <c r="K42" i="16" s="1"/>
  <c r="E42" i="16" a="1"/>
  <c r="E42" i="16" s="1"/>
  <c r="K37" i="16" a="1"/>
  <c r="K37" i="16" s="1"/>
  <c r="L19" i="16" a="1"/>
  <c r="L19" i="16" s="1"/>
  <c r="K16" i="16" a="1"/>
  <c r="K16" i="16" s="1"/>
  <c r="H95" i="2" s="1" a="1"/>
  <c r="H95" i="2" s="1"/>
  <c r="O12" i="16" a="1"/>
  <c r="O12" i="16" s="1"/>
  <c r="K10" i="16" a="1"/>
  <c r="K10" i="16" s="1"/>
  <c r="P9" i="16" a="1"/>
  <c r="P9" i="16" s="1"/>
  <c r="E9" i="16" a="1"/>
  <c r="E9" i="16" s="1"/>
  <c r="L7" i="16" a="1"/>
  <c r="L7" i="16" s="1"/>
  <c r="K7" i="2" s="1" a="1"/>
  <c r="K7" i="2" s="1"/>
  <c r="M4" i="16" a="1"/>
  <c r="M4" i="16" s="1"/>
  <c r="O104" i="16" a="1"/>
  <c r="O104" i="16" s="1"/>
  <c r="N60" i="16" a="1"/>
  <c r="N60" i="16" s="1"/>
  <c r="N46" i="16" a="1"/>
  <c r="N46" i="16" s="1"/>
  <c r="E37" i="16" a="1"/>
  <c r="E37" i="16" s="1"/>
  <c r="O33" i="16" a="1"/>
  <c r="O33" i="16" s="1"/>
  <c r="L31" i="16" a="1"/>
  <c r="L31" i="16" s="1"/>
  <c r="P29" i="16" a="1"/>
  <c r="P29" i="16" s="1"/>
  <c r="P27" i="16" a="1"/>
  <c r="P27" i="16" s="1"/>
  <c r="O24" i="16" a="1"/>
  <c r="O24" i="16" s="1"/>
  <c r="M21" i="16" a="1"/>
  <c r="M21" i="16" s="1"/>
  <c r="K19" i="16" a="1"/>
  <c r="K19" i="16" s="1"/>
  <c r="O18" i="16" a="1"/>
  <c r="O18" i="16" s="1"/>
  <c r="M15" i="16" a="1"/>
  <c r="M15" i="16" s="1"/>
  <c r="E15" i="16" a="1"/>
  <c r="E15" i="16" s="1"/>
  <c r="N12" i="16" a="1"/>
  <c r="N12" i="16" s="1"/>
  <c r="E12" i="16" a="1"/>
  <c r="E12" i="16" s="1"/>
  <c r="O9" i="16" a="1"/>
  <c r="O9" i="16" s="1"/>
  <c r="K7" i="16" a="1"/>
  <c r="K7" i="16" s="1"/>
  <c r="H7" i="2" s="1" a="1"/>
  <c r="H7" i="2" s="1"/>
  <c r="K4" i="16" a="1"/>
  <c r="K4" i="16" s="1"/>
  <c r="K129" i="16" a="1"/>
  <c r="K129" i="16" s="1"/>
  <c r="O101" i="16" a="1"/>
  <c r="O101" i="16" s="1"/>
  <c r="N50" i="16" a="1"/>
  <c r="N50" i="16" s="1"/>
  <c r="E48" i="16" a="1"/>
  <c r="E48" i="16" s="1"/>
  <c r="P40" i="16" a="1"/>
  <c r="P40" i="16" s="1"/>
  <c r="O38" i="16" a="1"/>
  <c r="O38" i="16" s="1"/>
  <c r="L34" i="16" a="1"/>
  <c r="L34" i="16" s="1"/>
  <c r="N33" i="16" a="1"/>
  <c r="N33" i="16" s="1"/>
  <c r="K31" i="16" a="1"/>
  <c r="K31" i="16" s="1"/>
  <c r="S454" i="22" s="1"/>
  <c r="N29" i="16" a="1"/>
  <c r="N29" i="16" s="1"/>
  <c r="L27" i="16" a="1"/>
  <c r="L27" i="16" s="1"/>
  <c r="K115" i="2" s="1" a="1"/>
  <c r="K115" i="2" s="1"/>
  <c r="K18" i="16" a="1"/>
  <c r="K18" i="16" s="1"/>
  <c r="P17" i="16" a="1"/>
  <c r="P17" i="16" s="1"/>
  <c r="E17" i="16" a="1"/>
  <c r="E17" i="16" s="1"/>
  <c r="L15" i="16" a="1"/>
  <c r="L15" i="16" s="1"/>
  <c r="K239" i="2" s="1" a="1"/>
  <c r="K239" i="2" s="1"/>
  <c r="M12" i="16" a="1"/>
  <c r="M12" i="16" s="1"/>
  <c r="M9" i="16" a="1"/>
  <c r="M9" i="16" s="1"/>
  <c r="O6" i="16" a="1"/>
  <c r="O6" i="16" s="1"/>
  <c r="M3" i="16" a="1"/>
  <c r="M3" i="16" s="1"/>
  <c r="E3" i="16" a="1"/>
  <c r="E3" i="16" s="1"/>
  <c r="P139" i="16" a="1"/>
  <c r="P139" i="16" s="1"/>
  <c r="P62" i="16" a="1"/>
  <c r="P62" i="16" s="1"/>
  <c r="O45" i="16" a="1"/>
  <c r="O45" i="16" s="1"/>
  <c r="P43" i="16" a="1"/>
  <c r="P43" i="16" s="1"/>
  <c r="P35" i="16" a="1"/>
  <c r="P35" i="16" s="1"/>
  <c r="P25" i="16" a="1"/>
  <c r="P25" i="16" s="1"/>
  <c r="O22" i="16" a="1"/>
  <c r="O22" i="16" s="1"/>
  <c r="K21" i="16" a="1"/>
  <c r="K21" i="16" s="1"/>
  <c r="O17" i="16" a="1"/>
  <c r="O17" i="16" s="1"/>
  <c r="K15" i="16" a="1"/>
  <c r="K15" i="16" s="1"/>
  <c r="K12" i="16" a="1"/>
  <c r="K12" i="16" s="1"/>
  <c r="O8" i="16" a="1"/>
  <c r="O8" i="16" s="1"/>
  <c r="K6" i="16" a="1"/>
  <c r="K6" i="16" s="1"/>
  <c r="P5" i="16" a="1"/>
  <c r="P5" i="16" s="1"/>
  <c r="E5" i="16" a="1"/>
  <c r="E5" i="16" s="1"/>
  <c r="L3" i="16" a="1"/>
  <c r="L3" i="16" s="1"/>
  <c r="K3" i="2" s="1" a="1"/>
  <c r="K3" i="2" s="1"/>
  <c r="N351" i="2" a="1"/>
  <c r="N351" i="2" s="1"/>
  <c r="Q349" i="2" a="1"/>
  <c r="Q349" i="2" s="1"/>
  <c r="N347" i="2" a="1"/>
  <c r="N347" i="2" s="1"/>
  <c r="M346" i="2" a="1"/>
  <c r="M346" i="2" s="1"/>
  <c r="O346" i="2" s="1"/>
  <c r="R345" i="2" a="1"/>
  <c r="R345" i="2" s="1"/>
  <c r="Q344" i="2" a="1"/>
  <c r="Q344" i="2" s="1"/>
  <c r="M343" i="2" a="1"/>
  <c r="M343" i="2" s="1"/>
  <c r="O343" i="2" s="1"/>
  <c r="N341" i="2" a="1"/>
  <c r="N341" i="2" s="1"/>
  <c r="N338" i="2" a="1"/>
  <c r="N338" i="2" s="1"/>
  <c r="M337" i="2" a="1"/>
  <c r="M337" i="2" s="1"/>
  <c r="O337" i="2" s="1"/>
  <c r="R336" i="2" a="1"/>
  <c r="R336" i="2" s="1"/>
  <c r="Q335" i="2" a="1"/>
  <c r="Q335" i="2" s="1"/>
  <c r="Q331" i="2" a="1"/>
  <c r="Q331" i="2" s="1"/>
  <c r="N330" i="2" a="1"/>
  <c r="N330" i="2" s="1"/>
  <c r="R328" i="2" a="1"/>
  <c r="R328" i="2" s="1"/>
  <c r="R326" i="2" a="1"/>
  <c r="R326" i="2" s="1"/>
  <c r="M325" i="2" a="1"/>
  <c r="M325" i="2" s="1"/>
  <c r="O325" i="2" s="1"/>
  <c r="M323" i="2" a="1"/>
  <c r="M323" i="2" s="1"/>
  <c r="O323" i="2" s="1"/>
  <c r="R321" i="2" a="1"/>
  <c r="R321" i="2" s="1"/>
  <c r="N319" i="2" a="1"/>
  <c r="N319" i="2" s="1"/>
  <c r="R318" i="2" a="1"/>
  <c r="R318" i="2" s="1"/>
  <c r="Q317" i="2" a="1"/>
  <c r="Q317" i="2" s="1"/>
  <c r="N316" i="2" a="1"/>
  <c r="N316" i="2" s="1"/>
  <c r="M315" i="2" a="1"/>
  <c r="M315" i="2" s="1"/>
  <c r="O315" i="2" s="1"/>
  <c r="R314" i="2" a="1"/>
  <c r="R314" i="2" s="1"/>
  <c r="Q313" i="2" a="1"/>
  <c r="Q313" i="2" s="1"/>
  <c r="M308" i="2" a="1"/>
  <c r="M308" i="2" s="1"/>
  <c r="O308" i="2" s="1"/>
  <c r="M305" i="2" a="1"/>
  <c r="M305" i="2" s="1"/>
  <c r="O305" i="2" s="1"/>
  <c r="Q303" i="2" a="1"/>
  <c r="Q303" i="2" s="1"/>
  <c r="R302" i="2" a="1"/>
  <c r="R302" i="2" s="1"/>
  <c r="N301" i="2" a="1"/>
  <c r="N301" i="2" s="1"/>
  <c r="R299" i="2" a="1"/>
  <c r="R299" i="2" s="1"/>
  <c r="N298" i="2" a="1"/>
  <c r="N298" i="2" s="1"/>
  <c r="Q297" i="2" a="1"/>
  <c r="Q297" i="2" s="1"/>
  <c r="N295" i="2" a="1"/>
  <c r="N295" i="2" s="1"/>
  <c r="Q294" i="2" a="1"/>
  <c r="Q294" i="2" s="1"/>
  <c r="N292" i="2" a="1"/>
  <c r="N292" i="2" s="1"/>
  <c r="Q291" i="2" a="1"/>
  <c r="Q291" i="2" s="1"/>
  <c r="R290" i="2" a="1"/>
  <c r="R290" i="2" s="1"/>
  <c r="N289" i="2" a="1"/>
  <c r="N289" i="2" s="1"/>
  <c r="R287" i="2" a="1"/>
  <c r="R287" i="2" s="1"/>
  <c r="R284" i="2" a="1"/>
  <c r="R284" i="2" s="1"/>
  <c r="M283" i="2" a="1"/>
  <c r="M283" i="2" s="1"/>
  <c r="O283" i="2" s="1"/>
  <c r="R281" i="2" a="1"/>
  <c r="R281" i="2" s="1"/>
  <c r="N280" i="2" a="1"/>
  <c r="N280" i="2" s="1"/>
  <c r="Q279" i="2" a="1"/>
  <c r="Q279" i="2" s="1"/>
  <c r="R278" i="2" a="1"/>
  <c r="R278" i="2" s="1"/>
  <c r="M277" i="2" a="1"/>
  <c r="M277" i="2" s="1"/>
  <c r="O277" i="2" s="1"/>
  <c r="Q272" i="2" a="1"/>
  <c r="Q272" i="2" s="1"/>
  <c r="N271" i="2" a="1"/>
  <c r="N271" i="2" s="1"/>
  <c r="M268" i="2" a="1"/>
  <c r="M268" i="2" s="1"/>
  <c r="O268" i="2" s="1"/>
  <c r="R266" i="2" a="1"/>
  <c r="R266" i="2" s="1"/>
  <c r="O35" i="16" a="1"/>
  <c r="O35" i="16" s="1"/>
  <c r="L38" i="16" a="1"/>
  <c r="L38" i="16" s="1"/>
  <c r="K149" i="2" s="1" a="1"/>
  <c r="K149" i="2" s="1"/>
  <c r="O14" i="16" a="1"/>
  <c r="O14" i="16" s="1"/>
  <c r="N41" i="16" a="1"/>
  <c r="N41" i="16" s="1"/>
  <c r="M11" i="16" a="1"/>
  <c r="M11" i="16" s="1"/>
  <c r="E30" i="16" a="1"/>
  <c r="E30" i="16" s="1"/>
  <c r="E34" i="16" a="1"/>
  <c r="E34" i="16" s="1"/>
  <c r="L52" i="16" a="1"/>
  <c r="L52" i="16" s="1"/>
  <c r="K30" i="2" s="1" a="1"/>
  <c r="K30" i="2" s="1"/>
  <c r="L73" i="16" a="1"/>
  <c r="L73" i="16" s="1"/>
  <c r="K142" i="2" s="1" a="1"/>
  <c r="K142" i="2" s="1"/>
  <c r="N8" i="16" a="1"/>
  <c r="N8" i="16" s="1"/>
  <c r="N36" i="16" a="1"/>
  <c r="N36" i="16" s="1"/>
  <c r="N45" i="16" a="1"/>
  <c r="N45" i="16" s="1"/>
  <c r="K71" i="16" a="1"/>
  <c r="K71" i="16" s="1"/>
  <c r="O5" i="16" a="1"/>
  <c r="O5" i="16" s="1"/>
  <c r="E11" i="16" a="1"/>
  <c r="E11" i="16" s="1"/>
  <c r="K111" i="16" a="1"/>
  <c r="K111" i="16" s="1"/>
  <c r="K3" i="16" a="1"/>
  <c r="K3" i="16" s="1"/>
  <c r="E8" i="16" a="1"/>
  <c r="E8" i="16" s="1"/>
  <c r="P32" i="16" a="1"/>
  <c r="P32" i="16" s="1"/>
  <c r="B10" i="16" a="1"/>
  <c r="B10" i="16" s="1"/>
  <c r="L278" i="16" a="1"/>
  <c r="L278" i="16" s="1"/>
  <c r="K344" i="2" s="1" a="1"/>
  <c r="K344" i="2" s="1"/>
  <c r="K281" i="16" a="1"/>
  <c r="K281" i="16" s="1"/>
  <c r="P222" i="16" a="1"/>
  <c r="P222" i="16" s="1"/>
  <c r="L225" i="16" a="1"/>
  <c r="L225" i="16" s="1"/>
  <c r="E226" i="16" a="1"/>
  <c r="E226" i="16" s="1"/>
  <c r="P226" i="16" a="1"/>
  <c r="P226" i="16" s="1"/>
  <c r="L227" i="16" a="1"/>
  <c r="L227" i="16" s="1"/>
  <c r="K87" i="2" s="1" a="1"/>
  <c r="K87" i="2" s="1"/>
  <c r="K233" i="16" a="1"/>
  <c r="K233" i="16" s="1"/>
  <c r="O236" i="16" a="1"/>
  <c r="O236" i="16" s="1"/>
  <c r="K237" i="16" a="1"/>
  <c r="K237" i="16" s="1"/>
  <c r="N238" i="16" a="1"/>
  <c r="N238" i="16" s="1"/>
  <c r="L240" i="16" a="1"/>
  <c r="L240" i="16" s="1"/>
  <c r="K241" i="16" a="1"/>
  <c r="K241" i="16" s="1"/>
  <c r="P241" i="16" a="1"/>
  <c r="P241" i="16" s="1"/>
  <c r="K242" i="16" a="1"/>
  <c r="K242" i="16" s="1"/>
  <c r="O244" i="16" a="1"/>
  <c r="O244" i="16" s="1"/>
  <c r="K245" i="16" a="1"/>
  <c r="K245" i="16" s="1"/>
  <c r="K249" i="16" a="1"/>
  <c r="K249" i="16" s="1"/>
  <c r="S1005" i="22" s="1"/>
  <c r="L251" i="16" a="1"/>
  <c r="L251" i="16" s="1"/>
  <c r="K301" i="2" s="1" a="1"/>
  <c r="K301" i="2" s="1"/>
  <c r="K252" i="16" a="1"/>
  <c r="K252" i="16" s="1"/>
  <c r="P252" i="16" a="1"/>
  <c r="P252" i="16" s="1"/>
  <c r="K253" i="16" a="1"/>
  <c r="K253" i="16" s="1"/>
  <c r="P256" i="16" a="1"/>
  <c r="P256" i="16" s="1"/>
  <c r="L257" i="16" a="1"/>
  <c r="L257" i="16" s="1"/>
  <c r="O258" i="16" a="1"/>
  <c r="O258" i="16" s="1"/>
  <c r="K259" i="16" a="1"/>
  <c r="K259" i="16" s="1"/>
  <c r="N260" i="16" a="1"/>
  <c r="N260" i="16" s="1"/>
  <c r="P261" i="16" a="1"/>
  <c r="P261" i="16" s="1"/>
  <c r="E263" i="16" a="1"/>
  <c r="E263" i="16" s="1"/>
  <c r="O263" i="16" a="1"/>
  <c r="O263" i="16" s="1"/>
  <c r="N265" i="16" a="1"/>
  <c r="N265" i="16" s="1"/>
  <c r="P266" i="16" a="1"/>
  <c r="P266" i="16" s="1"/>
  <c r="L267" i="16" a="1"/>
  <c r="L267" i="16" s="1"/>
  <c r="O268" i="16" a="1"/>
  <c r="O268" i="16" s="1"/>
  <c r="P269" i="16" a="1"/>
  <c r="P269" i="16" s="1"/>
  <c r="N271" i="16" a="1"/>
  <c r="N271" i="16" s="1"/>
  <c r="P272" i="16" a="1"/>
  <c r="P272" i="16" s="1"/>
  <c r="L276" i="16" a="1"/>
  <c r="L276" i="16" s="1"/>
  <c r="K101" i="2" s="1" a="1"/>
  <c r="K101" i="2" s="1"/>
  <c r="P230" i="16" a="1"/>
  <c r="P230" i="16" s="1"/>
  <c r="L231" i="16" a="1"/>
  <c r="L231" i="16" s="1"/>
  <c r="E232" i="16" a="1"/>
  <c r="E232" i="16" s="1"/>
  <c r="P232" i="16" a="1"/>
  <c r="P232" i="16" s="1"/>
  <c r="O234" i="16" a="1"/>
  <c r="O234" i="16" s="1"/>
  <c r="K235" i="16" a="1"/>
  <c r="K235" i="16" s="1"/>
  <c r="S543" i="22" s="1"/>
  <c r="N239" i="16" a="1"/>
  <c r="N239" i="16" s="1"/>
  <c r="N243" i="16" a="1"/>
  <c r="N243" i="16" s="1"/>
  <c r="L245" i="16" a="1"/>
  <c r="L245" i="16" s="1"/>
  <c r="K66" i="2" s="1" a="1"/>
  <c r="K66" i="2" s="1"/>
  <c r="N246" i="16" a="1"/>
  <c r="N246" i="16" s="1"/>
  <c r="E247" i="16" a="1"/>
  <c r="E247" i="16" s="1"/>
  <c r="O247" i="16" a="1"/>
  <c r="O247" i="16" s="1"/>
  <c r="E248" i="16" a="1"/>
  <c r="E248" i="16" s="1"/>
  <c r="O248" i="16" a="1"/>
  <c r="O248" i="16" s="1"/>
  <c r="L249" i="16" a="1"/>
  <c r="L249" i="16" s="1"/>
  <c r="N250" i="16" a="1"/>
  <c r="N250" i="16" s="1"/>
  <c r="L254" i="16" a="1"/>
  <c r="L254" i="16" s="1"/>
  <c r="N255" i="16" a="1"/>
  <c r="N255" i="16" s="1"/>
  <c r="P258" i="16" a="1"/>
  <c r="P258" i="16" s="1"/>
  <c r="L259" i="16" a="1"/>
  <c r="L259" i="16" s="1"/>
  <c r="O260" i="16" a="1"/>
  <c r="O260" i="16" s="1"/>
  <c r="K261" i="16" a="1"/>
  <c r="K261" i="16" s="1"/>
  <c r="N262" i="16" a="1"/>
  <c r="N262" i="16" s="1"/>
  <c r="L264" i="16" a="1"/>
  <c r="L264" i="16" s="1"/>
  <c r="E266" i="16" a="1"/>
  <c r="E266" i="16" s="1"/>
  <c r="K266" i="16" a="1"/>
  <c r="K266" i="16" s="1"/>
  <c r="K269" i="16" a="1"/>
  <c r="K269" i="16" s="1"/>
  <c r="O270" i="16" a="1"/>
  <c r="O270" i="16" s="1"/>
  <c r="O271" i="16" a="1"/>
  <c r="O271" i="16" s="1"/>
  <c r="P283" i="16" a="1"/>
  <c r="P283" i="16" s="1"/>
  <c r="N240" i="16" a="1"/>
  <c r="N240" i="16" s="1"/>
  <c r="L241" i="16" a="1"/>
  <c r="L241" i="16" s="1"/>
  <c r="L242" i="16" a="1"/>
  <c r="L242" i="16" s="1"/>
  <c r="K191" i="2" s="1" a="1"/>
  <c r="K191" i="2" s="1"/>
  <c r="E244" i="16" a="1"/>
  <c r="E244" i="16" s="1"/>
  <c r="P244" i="16" a="1"/>
  <c r="P244" i="16" s="1"/>
  <c r="N245" i="16" a="1"/>
  <c r="N245" i="16" s="1"/>
  <c r="P248" i="16" a="1"/>
  <c r="P248" i="16" s="1"/>
  <c r="N249" i="16" a="1"/>
  <c r="N249" i="16" s="1"/>
  <c r="O250" i="16" a="1"/>
  <c r="O250" i="16" s="1"/>
  <c r="E251" i="16" a="1"/>
  <c r="E251" i="16" s="1"/>
  <c r="N251" i="16" a="1"/>
  <c r="N251" i="16" s="1"/>
  <c r="L252" i="16" a="1"/>
  <c r="L252" i="16" s="1"/>
  <c r="K247" i="2" s="1" a="1"/>
  <c r="K247" i="2" s="1"/>
  <c r="L253" i="16" a="1"/>
  <c r="L253" i="16" s="1"/>
  <c r="K209" i="2" s="1" a="1"/>
  <c r="K209" i="2" s="1"/>
  <c r="E256" i="16" a="1"/>
  <c r="E256" i="16" s="1"/>
  <c r="K256" i="16" a="1"/>
  <c r="K256" i="16" s="1"/>
  <c r="N257" i="16" a="1"/>
  <c r="N257" i="16" s="1"/>
  <c r="P260" i="16" a="1"/>
  <c r="P260" i="16" s="1"/>
  <c r="L261" i="16" a="1"/>
  <c r="L261" i="16" s="1"/>
  <c r="O262" i="16" a="1"/>
  <c r="O262" i="16" s="1"/>
  <c r="P263" i="16" a="1"/>
  <c r="P263" i="16" s="1"/>
  <c r="E265" i="16" a="1"/>
  <c r="E265" i="16" s="1"/>
  <c r="O265" i="16" a="1"/>
  <c r="O265" i="16" s="1"/>
  <c r="N267" i="16" a="1"/>
  <c r="N267" i="16" s="1"/>
  <c r="P268" i="16" a="1"/>
  <c r="P268" i="16" s="1"/>
  <c r="L269" i="16" a="1"/>
  <c r="L269" i="16" s="1"/>
  <c r="K70" i="2" s="1" a="1"/>
  <c r="K70" i="2" s="1"/>
  <c r="P270" i="16" a="1"/>
  <c r="P270" i="16" s="1"/>
  <c r="P271" i="16" a="1"/>
  <c r="P271" i="16" s="1"/>
  <c r="O243" i="16" a="1"/>
  <c r="O243" i="16" s="1"/>
  <c r="K244" i="16" a="1"/>
  <c r="K244" i="16" s="1"/>
  <c r="E246" i="16" a="1"/>
  <c r="E246" i="16" s="1"/>
  <c r="O246" i="16" a="1"/>
  <c r="O246" i="16" s="1"/>
  <c r="P247" i="16" a="1"/>
  <c r="P247" i="16" s="1"/>
  <c r="K248" i="16" a="1"/>
  <c r="K248" i="16" s="1"/>
  <c r="E250" i="16" a="1"/>
  <c r="E250" i="16" s="1"/>
  <c r="N253" i="16" a="1"/>
  <c r="N253" i="16" s="1"/>
  <c r="N254" i="16" a="1"/>
  <c r="N254" i="16" s="1"/>
  <c r="E255" i="16" a="1"/>
  <c r="E255" i="16" s="1"/>
  <c r="O255" i="16" a="1"/>
  <c r="O255" i="16" s="1"/>
  <c r="E258" i="16" a="1"/>
  <c r="E258" i="16" s="1"/>
  <c r="K258" i="16" a="1"/>
  <c r="K258" i="16" s="1"/>
  <c r="S325" i="22" s="1"/>
  <c r="N259" i="16" a="1"/>
  <c r="N259" i="16" s="1"/>
  <c r="K263" i="16" a="1"/>
  <c r="K263" i="16" s="1"/>
  <c r="N264" i="16" a="1"/>
  <c r="N264" i="16" s="1"/>
  <c r="L266" i="16" a="1"/>
  <c r="L266" i="16" s="1"/>
  <c r="K231" i="2" s="1" a="1"/>
  <c r="K231" i="2" s="1"/>
  <c r="E268" i="16" a="1"/>
  <c r="E268" i="16" s="1"/>
  <c r="K268" i="16" a="1"/>
  <c r="K268" i="16" s="1"/>
  <c r="K270" i="16" a="1"/>
  <c r="K270" i="16" s="1"/>
  <c r="E275" i="16" a="1"/>
  <c r="E275" i="16" s="1"/>
  <c r="L275" i="16" a="1"/>
  <c r="L275" i="16" s="1"/>
  <c r="K206" i="2" s="1" a="1"/>
  <c r="K206" i="2" s="1"/>
  <c r="L277" i="16" a="1"/>
  <c r="L277" i="16" s="1"/>
  <c r="N284" i="16" a="1"/>
  <c r="N284" i="16" s="1"/>
  <c r="L248" i="16" a="1"/>
  <c r="L248" i="16" s="1"/>
  <c r="K250" i="16" a="1"/>
  <c r="K250" i="16" s="1"/>
  <c r="S1073" i="22" s="1"/>
  <c r="E253" i="16" a="1"/>
  <c r="E253" i="16" s="1"/>
  <c r="O253" i="16" a="1"/>
  <c r="O253" i="16" s="1"/>
  <c r="E254" i="16" a="1"/>
  <c r="E254" i="16" s="1"/>
  <c r="O254" i="16" a="1"/>
  <c r="O254" i="16" s="1"/>
  <c r="P255" i="16" a="1"/>
  <c r="P255" i="16" s="1"/>
  <c r="L258" i="16" a="1"/>
  <c r="L258" i="16" s="1"/>
  <c r="E259" i="16" a="1"/>
  <c r="E259" i="16" s="1"/>
  <c r="O259" i="16" a="1"/>
  <c r="O259" i="16" s="1"/>
  <c r="E262" i="16" a="1"/>
  <c r="E262" i="16" s="1"/>
  <c r="K262" i="16" a="1"/>
  <c r="K262" i="16" s="1"/>
  <c r="K265" i="16" a="1"/>
  <c r="K265" i="16" s="1"/>
  <c r="N266" i="16" a="1"/>
  <c r="N266" i="16" s="1"/>
  <c r="L268" i="16" a="1"/>
  <c r="L268" i="16" s="1"/>
  <c r="K328" i="2" s="1" a="1"/>
  <c r="K328" i="2" s="1"/>
  <c r="E270" i="16" a="1"/>
  <c r="E270" i="16" s="1"/>
  <c r="L270" i="16" a="1"/>
  <c r="L270" i="16" s="1"/>
  <c r="K197" i="2" s="1" a="1"/>
  <c r="K197" i="2" s="1"/>
  <c r="E272" i="16" a="1"/>
  <c r="E272" i="16" s="1"/>
  <c r="L272" i="16" a="1"/>
  <c r="L272" i="16" s="1"/>
  <c r="K97" i="2" s="1" a="1"/>
  <c r="K97" i="2" s="1"/>
  <c r="V18" i="1"/>
  <c r="V17" i="1"/>
  <c r="W16" i="1"/>
  <c r="W15" i="1"/>
  <c r="V16" i="1"/>
  <c r="V15" i="1"/>
  <c r="X18" i="1"/>
  <c r="X17" i="1"/>
  <c r="W18" i="1"/>
  <c r="X16" i="1"/>
  <c r="X15" i="1"/>
  <c r="V19" i="1"/>
  <c r="R14" i="1"/>
  <c r="Q14" i="1"/>
  <c r="P14" i="1"/>
  <c r="X19" i="1"/>
  <c r="W19" i="1"/>
  <c r="U19" i="1"/>
  <c r="U18" i="1"/>
  <c r="U17" i="1"/>
  <c r="U16" i="1"/>
  <c r="U15" i="1"/>
  <c r="T14" i="1" s="1"/>
  <c r="W17" i="1"/>
  <c r="X2" i="1"/>
  <c r="O2" i="1"/>
  <c r="P15" i="1"/>
  <c r="P16" i="1"/>
  <c r="O17" i="1"/>
  <c r="O18" i="1"/>
  <c r="O19" i="1"/>
  <c r="Q15" i="1"/>
  <c r="Q16" i="1"/>
  <c r="P17" i="1"/>
  <c r="P18" i="1"/>
  <c r="P19" i="1"/>
  <c r="O14" i="1"/>
  <c r="R15" i="1"/>
  <c r="R16" i="1"/>
  <c r="Q17" i="1"/>
  <c r="Q18" i="1"/>
  <c r="Q19" i="1"/>
  <c r="R17" i="1"/>
  <c r="D1202" i="13"/>
  <c r="C77" i="8"/>
  <c r="D1210" i="13"/>
  <c r="C85" i="8"/>
  <c r="D1218" i="13"/>
  <c r="C93" i="8"/>
  <c r="D1226" i="13"/>
  <c r="C101" i="8"/>
  <c r="D1234" i="13"/>
  <c r="C109" i="8"/>
  <c r="D1242" i="13"/>
  <c r="C117" i="8"/>
  <c r="D1256" i="13"/>
  <c r="C131" i="8"/>
  <c r="D1264" i="13"/>
  <c r="C139" i="8"/>
  <c r="D1275" i="13"/>
  <c r="C150" i="8"/>
  <c r="C161" i="8"/>
  <c r="D1286" i="13"/>
  <c r="C207" i="8"/>
  <c r="D1332" i="13"/>
  <c r="D1340" i="13"/>
  <c r="C215" i="8"/>
  <c r="D1188" i="13"/>
  <c r="D1294" i="13"/>
  <c r="C213" i="8"/>
  <c r="B284" i="16" a="1"/>
  <c r="B284" i="16" s="1"/>
  <c r="B283" i="16" a="1"/>
  <c r="B283" i="16" s="1"/>
  <c r="B282" i="16" a="1"/>
  <c r="B282" i="16" s="1"/>
  <c r="B281" i="16" a="1"/>
  <c r="B281" i="16" s="1"/>
  <c r="B280" i="16" a="1"/>
  <c r="B280" i="16" s="1"/>
  <c r="B279" i="16" a="1"/>
  <c r="B279" i="16" s="1"/>
  <c r="B278" i="16" a="1"/>
  <c r="B278" i="16" s="1"/>
  <c r="B277" i="16" a="1"/>
  <c r="B277" i="16" s="1"/>
  <c r="B269" i="16" a="1"/>
  <c r="B269" i="16" s="1"/>
  <c r="B267" i="16" a="1"/>
  <c r="B267" i="16" s="1"/>
  <c r="B265" i="16" a="1"/>
  <c r="B265" i="16" s="1"/>
  <c r="B263" i="16" a="1"/>
  <c r="B263" i="16" s="1"/>
  <c r="B261" i="16" a="1"/>
  <c r="B261" i="16" s="1"/>
  <c r="B259" i="16" a="1"/>
  <c r="B259" i="16" s="1"/>
  <c r="B257" i="16" a="1"/>
  <c r="B257" i="16" s="1"/>
  <c r="B255" i="16" a="1"/>
  <c r="B255" i="16" s="1"/>
  <c r="B253" i="16" a="1"/>
  <c r="B253" i="16" s="1"/>
  <c r="B251" i="16" a="1"/>
  <c r="B251" i="16" s="1"/>
  <c r="B249" i="16" a="1"/>
  <c r="B249" i="16" s="1"/>
  <c r="B247" i="16" a="1"/>
  <c r="B247" i="16" s="1"/>
  <c r="B245" i="16" a="1"/>
  <c r="B245" i="16" s="1"/>
  <c r="B243" i="16" a="1"/>
  <c r="B243" i="16" s="1"/>
  <c r="B241" i="16" a="1"/>
  <c r="B241" i="16" s="1"/>
  <c r="B276" i="16" a="1"/>
  <c r="B276" i="16" s="1"/>
  <c r="B275" i="16" a="1"/>
  <c r="B275" i="16" s="1"/>
  <c r="B274" i="16" a="1"/>
  <c r="B274" i="16" s="1"/>
  <c r="B273" i="16" a="1"/>
  <c r="B273" i="16" s="1"/>
  <c r="B271" i="16" a="1"/>
  <c r="B271" i="16" s="1"/>
  <c r="B248" i="16" a="1"/>
  <c r="B248" i="16" s="1"/>
  <c r="B250" i="16" a="1"/>
  <c r="B250" i="16" s="1"/>
  <c r="B252" i="16" a="1"/>
  <c r="B252" i="16" s="1"/>
  <c r="B240" i="16" a="1"/>
  <c r="B240" i="16" s="1"/>
  <c r="B238" i="16" a="1"/>
  <c r="B238" i="16" s="1"/>
  <c r="B272" i="16" a="1"/>
  <c r="B272" i="16" s="1"/>
  <c r="B242" i="16" a="1"/>
  <c r="B242" i="16" s="1"/>
  <c r="B254" i="16" a="1"/>
  <c r="B254" i="16" s="1"/>
  <c r="B227" i="16" a="1"/>
  <c r="B227" i="16" s="1"/>
  <c r="B226" i="16" a="1"/>
  <c r="B226" i="16" s="1"/>
  <c r="B266" i="16" a="1"/>
  <c r="B266" i="16" s="1"/>
  <c r="B225" i="16" a="1"/>
  <c r="B225" i="16" s="1"/>
  <c r="B224" i="16" a="1"/>
  <c r="B224" i="16" s="1"/>
  <c r="B244" i="16" a="1"/>
  <c r="B244" i="16" s="1"/>
  <c r="B262" i="16" a="1"/>
  <c r="B262" i="16" s="1"/>
  <c r="B258" i="16" a="1"/>
  <c r="B258" i="16" s="1"/>
  <c r="B239" i="16" a="1"/>
  <c r="B239" i="16" s="1"/>
  <c r="B237" i="16" a="1"/>
  <c r="B237" i="16" s="1"/>
  <c r="B236" i="16" a="1"/>
  <c r="B236" i="16" s="1"/>
  <c r="B268" i="16" a="1"/>
  <c r="B268" i="16" s="1"/>
  <c r="B235" i="16" a="1"/>
  <c r="B235" i="16" s="1"/>
  <c r="B234" i="16" a="1"/>
  <c r="B234" i="16" s="1"/>
  <c r="B233" i="16" a="1"/>
  <c r="B233" i="16" s="1"/>
  <c r="B232" i="16" a="1"/>
  <c r="B232" i="16" s="1"/>
  <c r="B229" i="16" a="1"/>
  <c r="B229" i="16" s="1"/>
  <c r="B217" i="16" a="1"/>
  <c r="B217" i="16" s="1"/>
  <c r="B216" i="16" a="1"/>
  <c r="B216" i="16" s="1"/>
  <c r="B201" i="16" a="1"/>
  <c r="B201" i="16" s="1"/>
  <c r="B200" i="16" a="1"/>
  <c r="B200" i="16" s="1"/>
  <c r="B185" i="16" a="1"/>
  <c r="B185" i="16" s="1"/>
  <c r="B184" i="16" a="1"/>
  <c r="B184" i="16" s="1"/>
  <c r="B230" i="16" a="1"/>
  <c r="B230" i="16" s="1"/>
  <c r="B221" i="16" a="1"/>
  <c r="B221" i="16" s="1"/>
  <c r="B219" i="16" a="1"/>
  <c r="B219" i="16" s="1"/>
  <c r="B215" i="16" a="1"/>
  <c r="B215" i="16" s="1"/>
  <c r="B214" i="16" a="1"/>
  <c r="B214" i="16" s="1"/>
  <c r="B260" i="16" a="1"/>
  <c r="B260" i="16" s="1"/>
  <c r="B213" i="16" a="1"/>
  <c r="B213" i="16" s="1"/>
  <c r="B212" i="16" a="1"/>
  <c r="B212" i="16" s="1"/>
  <c r="B197" i="16" a="1"/>
  <c r="B197" i="16" s="1"/>
  <c r="B196" i="16" a="1"/>
  <c r="B196" i="16" s="1"/>
  <c r="B231" i="16" a="1"/>
  <c r="B231" i="16" s="1"/>
  <c r="B211" i="16" a="1"/>
  <c r="B211" i="16" s="1"/>
  <c r="B210" i="16" a="1"/>
  <c r="B210" i="16" s="1"/>
  <c r="B195" i="16" a="1"/>
  <c r="B195" i="16" s="1"/>
  <c r="B194" i="16" a="1"/>
  <c r="B194" i="16" s="1"/>
  <c r="B228" i="16" a="1"/>
  <c r="B228" i="16" s="1"/>
  <c r="B209" i="16" a="1"/>
  <c r="B209" i="16" s="1"/>
  <c r="B208" i="16" a="1"/>
  <c r="B208" i="16" s="1"/>
  <c r="B193" i="16" a="1"/>
  <c r="B193" i="16" s="1"/>
  <c r="B192" i="16" a="1"/>
  <c r="B192" i="16" s="1"/>
  <c r="B270" i="16" a="1"/>
  <c r="B270" i="16" s="1"/>
  <c r="B264" i="16" a="1"/>
  <c r="B264" i="16" s="1"/>
  <c r="B222" i="16" a="1"/>
  <c r="B222" i="16" s="1"/>
  <c r="B199" i="16" a="1"/>
  <c r="B199" i="16" s="1"/>
  <c r="B191" i="16" a="1"/>
  <c r="B191" i="16" s="1"/>
  <c r="B187" i="16" a="1"/>
  <c r="B187" i="16" s="1"/>
  <c r="B256" i="16" a="1"/>
  <c r="B256" i="16" s="1"/>
  <c r="B203" i="16" a="1"/>
  <c r="B203" i="16" s="1"/>
  <c r="B188" i="16" a="1"/>
  <c r="B188" i="16" s="1"/>
  <c r="B182" i="16" a="1"/>
  <c r="B182" i="16" s="1"/>
  <c r="B181" i="16" a="1"/>
  <c r="B181" i="16" s="1"/>
  <c r="B246" i="16" a="1"/>
  <c r="B246" i="16" s="1"/>
  <c r="B206" i="16" a="1"/>
  <c r="B206" i="16" s="1"/>
  <c r="B204" i="16" a="1"/>
  <c r="B204" i="16" s="1"/>
  <c r="B189" i="16" a="1"/>
  <c r="B189" i="16" s="1"/>
  <c r="B223" i="16" a="1"/>
  <c r="B223" i="16" s="1"/>
  <c r="B220" i="16" a="1"/>
  <c r="B220" i="16" s="1"/>
  <c r="B202" i="16" a="1"/>
  <c r="B202" i="16" s="1"/>
  <c r="B198" i="16" a="1"/>
  <c r="B198" i="16" s="1"/>
  <c r="B190" i="16" a="1"/>
  <c r="B190" i="16" s="1"/>
  <c r="B205" i="16" a="1"/>
  <c r="B205" i="16" s="1"/>
  <c r="B174" i="16" a="1"/>
  <c r="B174" i="16" s="1"/>
  <c r="B164" i="16" a="1"/>
  <c r="B164" i="16" s="1"/>
  <c r="B163" i="16" a="1"/>
  <c r="B163" i="16" s="1"/>
  <c r="B148" i="16" a="1"/>
  <c r="B148" i="16" s="1"/>
  <c r="B147" i="16" a="1"/>
  <c r="B147" i="16" s="1"/>
  <c r="B132" i="16" a="1"/>
  <c r="B132" i="16" s="1"/>
  <c r="B179" i="16" a="1"/>
  <c r="B179" i="16" s="1"/>
  <c r="B162" i="16" a="1"/>
  <c r="B162" i="16" s="1"/>
  <c r="B161" i="16" a="1"/>
  <c r="B161" i="16" s="1"/>
  <c r="B146" i="16" a="1"/>
  <c r="B146" i="16" s="1"/>
  <c r="B145" i="16" a="1"/>
  <c r="B145" i="16" s="1"/>
  <c r="B207" i="16" a="1"/>
  <c r="B207" i="16" s="1"/>
  <c r="B176" i="16" a="1"/>
  <c r="B176" i="16" s="1"/>
  <c r="B175" i="16" a="1"/>
  <c r="B175" i="16" s="1"/>
  <c r="B160" i="16" a="1"/>
  <c r="B160" i="16" s="1"/>
  <c r="B159" i="16" a="1"/>
  <c r="B159" i="16" s="1"/>
  <c r="B144" i="16" a="1"/>
  <c r="B144" i="16" s="1"/>
  <c r="B143" i="16" a="1"/>
  <c r="B143" i="16" s="1"/>
  <c r="B131" i="16" a="1"/>
  <c r="B131" i="16" s="1"/>
  <c r="B129" i="16" a="1"/>
  <c r="B129" i="16" s="1"/>
  <c r="B218" i="16" a="1"/>
  <c r="B218" i="16" s="1"/>
  <c r="B158" i="16" a="1"/>
  <c r="B158" i="16" s="1"/>
  <c r="B157" i="16" a="1"/>
  <c r="B157" i="16" s="1"/>
  <c r="B142" i="16" a="1"/>
  <c r="B142" i="16" s="1"/>
  <c r="B141" i="16" a="1"/>
  <c r="B141" i="16" s="1"/>
  <c r="B180" i="16" a="1"/>
  <c r="B180" i="16" s="1"/>
  <c r="B156" i="16" a="1"/>
  <c r="B156" i="16" s="1"/>
  <c r="B155" i="16" a="1"/>
  <c r="B155" i="16" s="1"/>
  <c r="B183" i="16" a="1"/>
  <c r="B183" i="16" s="1"/>
  <c r="B177" i="16" a="1"/>
  <c r="B177" i="16" s="1"/>
  <c r="B170" i="16" a="1"/>
  <c r="B170" i="16" s="1"/>
  <c r="B169" i="16" a="1"/>
  <c r="B169" i="16" s="1"/>
  <c r="B154" i="16" a="1"/>
  <c r="B154" i="16" s="1"/>
  <c r="B153" i="16" a="1"/>
  <c r="B153" i="16" s="1"/>
  <c r="B138" i="16" a="1"/>
  <c r="B138" i="16" s="1"/>
  <c r="B137" i="16" a="1"/>
  <c r="B137" i="16" s="1"/>
  <c r="B173" i="16" a="1"/>
  <c r="B173" i="16" s="1"/>
  <c r="B165" i="16" a="1"/>
  <c r="B165" i="16" s="1"/>
  <c r="B133" i="16" a="1"/>
  <c r="B133" i="16" s="1"/>
  <c r="B117" i="16" a="1"/>
  <c r="B117" i="16" s="1"/>
  <c r="B116" i="16" a="1"/>
  <c r="B116" i="16" s="1"/>
  <c r="B152" i="16" a="1"/>
  <c r="B152" i="16" s="1"/>
  <c r="B115" i="16" a="1"/>
  <c r="B115" i="16" s="1"/>
  <c r="B114" i="16" a="1"/>
  <c r="B114" i="16" s="1"/>
  <c r="B172" i="16" a="1"/>
  <c r="B172" i="16" s="1"/>
  <c r="B168" i="16" a="1"/>
  <c r="B168" i="16" s="1"/>
  <c r="B136" i="16" a="1"/>
  <c r="B136" i="16" s="1"/>
  <c r="B128" i="16" a="1"/>
  <c r="B128" i="16" s="1"/>
  <c r="B113" i="16" a="1"/>
  <c r="B113" i="16" s="1"/>
  <c r="B112" i="16" a="1"/>
  <c r="B112" i="16" s="1"/>
  <c r="B150" i="16" a="1"/>
  <c r="B150" i="16" s="1"/>
  <c r="B140" i="16" a="1"/>
  <c r="B140" i="16" s="1"/>
  <c r="B127" i="16" a="1"/>
  <c r="B127" i="16" s="1"/>
  <c r="B126" i="16" a="1"/>
  <c r="B126" i="16" s="1"/>
  <c r="B178" i="16" a="1"/>
  <c r="B178" i="16" s="1"/>
  <c r="B166" i="16" a="1"/>
  <c r="B166" i="16" s="1"/>
  <c r="B134" i="16" a="1"/>
  <c r="B134" i="16" s="1"/>
  <c r="B125" i="16" a="1"/>
  <c r="B125" i="16" s="1"/>
  <c r="B124" i="16" a="1"/>
  <c r="B124" i="16" s="1"/>
  <c r="B151" i="16" a="1"/>
  <c r="B151" i="16" s="1"/>
  <c r="B123" i="16" a="1"/>
  <c r="B123" i="16" s="1"/>
  <c r="B122" i="16" a="1"/>
  <c r="B122" i="16" s="1"/>
  <c r="B167" i="16" a="1"/>
  <c r="B167" i="16" s="1"/>
  <c r="B135" i="16" a="1"/>
  <c r="B135" i="16" s="1"/>
  <c r="B119" i="16" a="1"/>
  <c r="B119" i="16" s="1"/>
  <c r="B96" i="16" a="1"/>
  <c r="B96" i="16" s="1"/>
  <c r="B95" i="16" a="1"/>
  <c r="B95" i="16" s="1"/>
  <c r="B80" i="16" a="1"/>
  <c r="B80" i="16" s="1"/>
  <c r="B79" i="16" a="1"/>
  <c r="B79" i="16" s="1"/>
  <c r="B64" i="16" a="1"/>
  <c r="B64" i="16" s="1"/>
  <c r="B63" i="16" a="1"/>
  <c r="B63" i="16" s="1"/>
  <c r="B130" i="16" a="1"/>
  <c r="B130" i="16" s="1"/>
  <c r="B94" i="16" a="1"/>
  <c r="B94" i="16" s="1"/>
  <c r="B93" i="16" a="1"/>
  <c r="B93" i="16" s="1"/>
  <c r="B78" i="16" a="1"/>
  <c r="B78" i="16" s="1"/>
  <c r="B77" i="16" a="1"/>
  <c r="B77" i="16" s="1"/>
  <c r="B62" i="16" a="1"/>
  <c r="B62" i="16" s="1"/>
  <c r="B61" i="16" a="1"/>
  <c r="B61" i="16" s="1"/>
  <c r="B109" i="16" a="1"/>
  <c r="B109" i="16" s="1"/>
  <c r="B108" i="16" a="1"/>
  <c r="B108" i="16" s="1"/>
  <c r="B107" i="16" a="1"/>
  <c r="B107" i="16" s="1"/>
  <c r="B92" i="16" a="1"/>
  <c r="B92" i="16" s="1"/>
  <c r="B91" i="16" a="1"/>
  <c r="B91" i="16" s="1"/>
  <c r="B76" i="16" a="1"/>
  <c r="B76" i="16" s="1"/>
  <c r="B75" i="16" a="1"/>
  <c r="B75" i="16" s="1"/>
  <c r="B60" i="16" a="1"/>
  <c r="B60" i="16" s="1"/>
  <c r="B59" i="16" a="1"/>
  <c r="B59" i="16" s="1"/>
  <c r="B120" i="16" a="1"/>
  <c r="B120" i="16" s="1"/>
  <c r="B118" i="16" a="1"/>
  <c r="B118" i="16" s="1"/>
  <c r="B110" i="16" a="1"/>
  <c r="B110" i="16" s="1"/>
  <c r="B106" i="16" a="1"/>
  <c r="B106" i="16" s="1"/>
  <c r="B105" i="16" a="1"/>
  <c r="B105" i="16" s="1"/>
  <c r="B90" i="16" a="1"/>
  <c r="B90" i="16" s="1"/>
  <c r="B89" i="16" a="1"/>
  <c r="B89" i="16" s="1"/>
  <c r="B74" i="16" a="1"/>
  <c r="B74" i="16" s="1"/>
  <c r="B73" i="16" a="1"/>
  <c r="B73" i="16" s="1"/>
  <c r="B58" i="16" a="1"/>
  <c r="B58" i="16" s="1"/>
  <c r="B57" i="16" a="1"/>
  <c r="B57" i="16" s="1"/>
  <c r="B149" i="16" a="1"/>
  <c r="B149" i="16" s="1"/>
  <c r="B104" i="16" a="1"/>
  <c r="B104" i="16" s="1"/>
  <c r="B103" i="16" a="1"/>
  <c r="B103" i="16" s="1"/>
  <c r="B88" i="16" a="1"/>
  <c r="B88" i="16" s="1"/>
  <c r="B87" i="16" a="1"/>
  <c r="B87" i="16" s="1"/>
  <c r="B72" i="16" a="1"/>
  <c r="B72" i="16" s="1"/>
  <c r="B71" i="16" a="1"/>
  <c r="B71" i="16" s="1"/>
  <c r="B171" i="16" a="1"/>
  <c r="B171" i="16" s="1"/>
  <c r="B111" i="16" a="1"/>
  <c r="B111" i="16" s="1"/>
  <c r="B100" i="16" a="1"/>
  <c r="B100" i="16" s="1"/>
  <c r="B99" i="16" a="1"/>
  <c r="B99" i="16" s="1"/>
  <c r="B84" i="16" a="1"/>
  <c r="B84" i="16" s="1"/>
  <c r="B83" i="16" a="1"/>
  <c r="B83" i="16" s="1"/>
  <c r="B68" i="16" a="1"/>
  <c r="B68" i="16" s="1"/>
  <c r="B67" i="16" a="1"/>
  <c r="B67" i="16" s="1"/>
  <c r="B56" i="16" a="1"/>
  <c r="B56" i="16" s="1"/>
  <c r="B52" i="16" a="1"/>
  <c r="B52" i="16" s="1"/>
  <c r="B49" i="16" a="1"/>
  <c r="B49" i="16" s="1"/>
  <c r="B46" i="16" a="1"/>
  <c r="B46" i="16" s="1"/>
  <c r="B45" i="16" a="1"/>
  <c r="B45" i="16" s="1"/>
  <c r="B30" i="16" a="1"/>
  <c r="B30" i="16" s="1"/>
  <c r="B29" i="16" a="1"/>
  <c r="B29" i="16" s="1"/>
  <c r="B121" i="16" a="1"/>
  <c r="B121" i="16" s="1"/>
  <c r="B44" i="16" a="1"/>
  <c r="B44" i="16" s="1"/>
  <c r="B43" i="16" a="1"/>
  <c r="B43" i="16" s="1"/>
  <c r="B28" i="16" a="1"/>
  <c r="B28" i="16" s="1"/>
  <c r="B27" i="16" a="1"/>
  <c r="B27" i="16" s="1"/>
  <c r="B19" i="16" a="1"/>
  <c r="B19" i="16" s="1"/>
  <c r="B15" i="16" a="1"/>
  <c r="B15" i="16" s="1"/>
  <c r="B11" i="16" a="1"/>
  <c r="B11" i="16" s="1"/>
  <c r="B7" i="16" a="1"/>
  <c r="B7" i="16" s="1"/>
  <c r="B3" i="16" a="1"/>
  <c r="B3" i="16" s="1"/>
  <c r="B102" i="16" a="1"/>
  <c r="B102" i="16" s="1"/>
  <c r="B97" i="16" a="1"/>
  <c r="B97" i="16" s="1"/>
  <c r="B85" i="16" a="1"/>
  <c r="B85" i="16" s="1"/>
  <c r="B69" i="16" a="1"/>
  <c r="B69" i="16" s="1"/>
  <c r="B42" i="16" a="1"/>
  <c r="B42" i="16" s="1"/>
  <c r="B41" i="16" a="1"/>
  <c r="B41" i="16" s="1"/>
  <c r="B26" i="16" a="1"/>
  <c r="B26" i="16" s="1"/>
  <c r="B25" i="16" a="1"/>
  <c r="B25" i="16" s="1"/>
  <c r="B82" i="16" a="1"/>
  <c r="B82" i="16" s="1"/>
  <c r="B66" i="16" a="1"/>
  <c r="B66" i="16" s="1"/>
  <c r="B55" i="16" a="1"/>
  <c r="B55" i="16" s="1"/>
  <c r="B53" i="16" a="1"/>
  <c r="B53" i="16" s="1"/>
  <c r="B50" i="16" a="1"/>
  <c r="B50" i="16" s="1"/>
  <c r="B40" i="16" a="1"/>
  <c r="B40" i="16" s="1"/>
  <c r="B39" i="16" a="1"/>
  <c r="B39" i="16" s="1"/>
  <c r="B24" i="16" a="1"/>
  <c r="B24" i="16" s="1"/>
  <c r="B20" i="16" a="1"/>
  <c r="B20" i="16" s="1"/>
  <c r="B16" i="16" a="1"/>
  <c r="B16" i="16" s="1"/>
  <c r="B12" i="16" a="1"/>
  <c r="B12" i="16" s="1"/>
  <c r="B8" i="16" a="1"/>
  <c r="B8" i="16" s="1"/>
  <c r="B4" i="16" a="1"/>
  <c r="B4" i="16" s="1"/>
  <c r="B186" i="16" a="1"/>
  <c r="B186" i="16" s="1"/>
  <c r="B139" i="16" a="1"/>
  <c r="B139" i="16" s="1"/>
  <c r="B51" i="16" a="1"/>
  <c r="B51" i="16" s="1"/>
  <c r="B38" i="16" a="1"/>
  <c r="B38" i="16" s="1"/>
  <c r="B37" i="16" a="1"/>
  <c r="B37" i="16" s="1"/>
  <c r="B101" i="16" a="1"/>
  <c r="B101" i="16" s="1"/>
  <c r="B86" i="16" a="1"/>
  <c r="B86" i="16" s="1"/>
  <c r="B70" i="16" a="1"/>
  <c r="B70" i="16" s="1"/>
  <c r="B65" i="16" a="1"/>
  <c r="B65" i="16" s="1"/>
  <c r="B34" i="16" a="1"/>
  <c r="B34" i="16" s="1"/>
  <c r="B33" i="16" a="1"/>
  <c r="B33" i="16" s="1"/>
  <c r="B98" i="16" a="1"/>
  <c r="B98" i="16" s="1"/>
  <c r="B36" i="16" a="1"/>
  <c r="B36" i="16" s="1"/>
  <c r="B18" i="16" a="1"/>
  <c r="B18" i="16" s="1"/>
  <c r="B2" i="16" a="1"/>
  <c r="B2" i="16" s="1"/>
  <c r="B81" i="16" a="1"/>
  <c r="B81" i="16" s="1"/>
  <c r="B47" i="16" a="1"/>
  <c r="B47" i="16" s="1"/>
  <c r="B31" i="16" a="1"/>
  <c r="B31" i="16" s="1"/>
  <c r="B22" i="16" a="1"/>
  <c r="B22" i="16" s="1"/>
  <c r="B13" i="16" a="1"/>
  <c r="B13" i="16" s="1"/>
  <c r="B14" i="16" a="1"/>
  <c r="B14" i="16" s="1"/>
  <c r="B9" i="16" a="1"/>
  <c r="B9" i="16" s="1"/>
  <c r="B23" i="16" a="1"/>
  <c r="B23" i="16" s="1"/>
  <c r="B35" i="16" a="1"/>
  <c r="B35" i="16" s="1"/>
  <c r="B21" i="16" a="1"/>
  <c r="B21" i="16" s="1"/>
  <c r="B5" i="16" a="1"/>
  <c r="B5" i="16" s="1"/>
  <c r="B48" i="16" a="1"/>
  <c r="B48" i="16" s="1"/>
  <c r="B32" i="16" a="1"/>
  <c r="B32" i="16" s="1"/>
  <c r="B6" i="16" a="1"/>
  <c r="B6" i="16" s="1"/>
  <c r="B54" i="16" a="1"/>
  <c r="B54" i="16" s="1"/>
  <c r="B17" i="16" a="1"/>
  <c r="B17" i="16" s="1"/>
  <c r="C102" i="8"/>
  <c r="C124" i="8"/>
  <c r="D1297" i="13"/>
  <c r="C172" i="8"/>
  <c r="C94" i="8"/>
  <c r="D1197" i="13"/>
  <c r="C72" i="8"/>
  <c r="C86" i="8"/>
  <c r="D189" i="21"/>
  <c r="S220" i="12"/>
  <c r="S218" i="22"/>
  <c r="S7" i="15"/>
  <c r="S53" i="12"/>
  <c r="S242" i="22"/>
  <c r="S74" i="15"/>
  <c r="S72" i="22"/>
  <c r="S78" i="15"/>
  <c r="S79" i="22"/>
  <c r="S88" i="15"/>
  <c r="D192" i="21"/>
  <c r="S22" i="12"/>
  <c r="S86" i="22"/>
  <c r="S98" i="15"/>
  <c r="D1189" i="13"/>
  <c r="C64" i="8"/>
  <c r="D1253" i="13"/>
  <c r="C128" i="8"/>
  <c r="D1261" i="13"/>
  <c r="C136" i="8"/>
  <c r="D1285" i="13"/>
  <c r="C160" i="8"/>
  <c r="D1293" i="13"/>
  <c r="C168" i="8"/>
  <c r="D1301" i="13"/>
  <c r="C176" i="8"/>
  <c r="S43" i="15"/>
  <c r="S47" i="22"/>
  <c r="S5" i="15"/>
  <c r="S56" i="22"/>
  <c r="S1301" i="22"/>
  <c r="S931" i="22"/>
  <c r="S1321" i="22"/>
  <c r="S410" i="22"/>
  <c r="S1322" i="22"/>
  <c r="S1373" i="22"/>
  <c r="S316" i="22"/>
  <c r="S791" i="22"/>
  <c r="S1408" i="22"/>
  <c r="S1386" i="22"/>
  <c r="S1385" i="22"/>
  <c r="S1380" i="22"/>
  <c r="S1379" i="22"/>
  <c r="S34" i="22"/>
  <c r="S1401" i="22"/>
  <c r="S1004" i="22"/>
  <c r="S1460" i="22"/>
  <c r="S108" i="22"/>
  <c r="S1427" i="22"/>
  <c r="S1008" i="22"/>
  <c r="K277" i="16" a="1"/>
  <c r="K277" i="16" s="1"/>
  <c r="K278" i="16" a="1"/>
  <c r="K278" i="16" s="1"/>
  <c r="P279" i="16" a="1"/>
  <c r="P279" i="16" s="1"/>
  <c r="P280" i="16" a="1"/>
  <c r="P280" i="16" s="1"/>
  <c r="E282" i="16" a="1"/>
  <c r="E282" i="16" s="1"/>
  <c r="O282" i="16" a="1"/>
  <c r="O282" i="16" s="1"/>
  <c r="E283" i="16" a="1"/>
  <c r="E283" i="16" s="1"/>
  <c r="O283" i="16" a="1"/>
  <c r="O283" i="16" s="1"/>
  <c r="K279" i="16" a="1"/>
  <c r="K279" i="16" s="1"/>
  <c r="K280" i="16" a="1"/>
  <c r="K280" i="16" s="1"/>
  <c r="H106" i="2" s="1" a="1"/>
  <c r="H106" i="2" s="1"/>
  <c r="P281" i="16" a="1"/>
  <c r="P281" i="16" s="1"/>
  <c r="P282" i="16" a="1"/>
  <c r="P282" i="16" s="1"/>
  <c r="E284" i="16" a="1"/>
  <c r="E284" i="16" s="1"/>
  <c r="O284" i="16" a="1"/>
  <c r="O284" i="16" s="1"/>
  <c r="O273" i="16" a="1"/>
  <c r="O273" i="16" s="1"/>
  <c r="N276" i="16" a="1"/>
  <c r="N276" i="16" s="1"/>
  <c r="N277" i="16" a="1"/>
  <c r="N277" i="16" s="1"/>
  <c r="L279" i="16" a="1"/>
  <c r="L279" i="16" s="1"/>
  <c r="K104" i="2" s="1" a="1"/>
  <c r="K104" i="2" s="1"/>
  <c r="L280" i="16" a="1"/>
  <c r="L280" i="16" s="1"/>
  <c r="K106" i="2" s="1" a="1"/>
  <c r="K106" i="2" s="1"/>
  <c r="K283" i="16" a="1"/>
  <c r="K283" i="16" s="1"/>
  <c r="S992" i="22" s="1"/>
  <c r="K284" i="16" a="1"/>
  <c r="K284" i="16" s="1"/>
  <c r="O275" i="16" a="1"/>
  <c r="O275" i="16" s="1"/>
  <c r="N278" i="16" a="1"/>
  <c r="N278" i="16" s="1"/>
  <c r="N279" i="16" a="1"/>
  <c r="N279" i="16" s="1"/>
  <c r="L281" i="16" a="1"/>
  <c r="L281" i="16" s="1"/>
  <c r="K311" i="2" s="1" a="1"/>
  <c r="K311" i="2" s="1"/>
  <c r="L282" i="16" a="1"/>
  <c r="L282" i="16" s="1"/>
  <c r="K333" i="2" s="1" a="1"/>
  <c r="K333" i="2" s="1"/>
  <c r="K272" i="16" a="1"/>
  <c r="K272" i="16" s="1"/>
  <c r="H97" i="2" s="1" a="1"/>
  <c r="H97" i="2" s="1"/>
  <c r="P273" i="16" a="1"/>
  <c r="P273" i="16" s="1"/>
  <c r="P274" i="16" a="1"/>
  <c r="P274" i="16" s="1"/>
  <c r="E276" i="16" a="1"/>
  <c r="E276" i="16" s="1"/>
  <c r="O276" i="16" a="1"/>
  <c r="O276" i="16" s="1"/>
  <c r="E277" i="16" a="1"/>
  <c r="E277" i="16" s="1"/>
  <c r="O277" i="16" a="1"/>
  <c r="O277" i="16" s="1"/>
  <c r="N280" i="16" a="1"/>
  <c r="N280" i="16" s="1"/>
  <c r="N281" i="16" a="1"/>
  <c r="N281" i="16" s="1"/>
  <c r="L283" i="16" a="1"/>
  <c r="L283" i="16" s="1"/>
  <c r="L284" i="16" a="1"/>
  <c r="L284" i="16" s="1"/>
  <c r="K274" i="16" a="1"/>
  <c r="K274" i="16" s="1"/>
  <c r="P275" i="16" a="1"/>
  <c r="P275" i="16" s="1"/>
  <c r="P276" i="16" a="1"/>
  <c r="P276" i="16" s="1"/>
  <c r="E278" i="16" a="1"/>
  <c r="E278" i="16" s="1"/>
  <c r="O278" i="16" a="1"/>
  <c r="O278" i="16" s="1"/>
  <c r="E279" i="16" a="1"/>
  <c r="E279" i="16" s="1"/>
  <c r="O279" i="16" a="1"/>
  <c r="O279" i="16" s="1"/>
  <c r="N282" i="16" a="1"/>
  <c r="N282" i="16" s="1"/>
  <c r="N283" i="16" a="1"/>
  <c r="N283" i="16" s="1"/>
  <c r="K275" i="16" a="1"/>
  <c r="K275" i="16" s="1"/>
  <c r="K276" i="16" a="1"/>
  <c r="K276" i="16" s="1"/>
  <c r="P277" i="16" a="1"/>
  <c r="P277" i="16" s="1"/>
  <c r="P278" i="16" a="1"/>
  <c r="P278" i="16" s="1"/>
  <c r="E280" i="16" a="1"/>
  <c r="E280" i="16" s="1"/>
  <c r="O280" i="16" a="1"/>
  <c r="O280" i="16" s="1"/>
  <c r="E281" i="16" a="1"/>
  <c r="E281" i="16" s="1"/>
  <c r="O281" i="16" a="1"/>
  <c r="O281" i="16" s="1"/>
  <c r="S12" i="12" l="1"/>
  <c r="H302" i="2" a="1"/>
  <c r="H302" i="2" s="1"/>
  <c r="S129" i="15"/>
  <c r="H197" i="2" a="1"/>
  <c r="H197" i="2" s="1"/>
  <c r="S49" i="12"/>
  <c r="H93" i="2" a="1"/>
  <c r="H93" i="2" s="1"/>
  <c r="S37" i="12"/>
  <c r="H132" i="2" a="1"/>
  <c r="H132" i="2" s="1"/>
  <c r="S244" i="22"/>
  <c r="S96" i="15"/>
  <c r="H241" i="2" a="1"/>
  <c r="H241" i="2" s="1"/>
  <c r="S117" i="22"/>
  <c r="S27" i="15"/>
  <c r="H136" i="2" a="1"/>
  <c r="H136" i="2" s="1"/>
  <c r="S76" i="22"/>
  <c r="S83" i="15"/>
  <c r="H143" i="2" a="1"/>
  <c r="H143" i="2" s="1"/>
  <c r="S52" i="12"/>
  <c r="S8" i="12"/>
  <c r="H268" i="2" a="1"/>
  <c r="H268" i="2" s="1"/>
  <c r="S74" i="22"/>
  <c r="S80" i="15"/>
  <c r="H138" i="2" a="1"/>
  <c r="H138" i="2" s="1"/>
  <c r="S179" i="12"/>
  <c r="S3" i="12"/>
  <c r="S218" i="12"/>
  <c r="S36" i="12"/>
  <c r="S2" i="12"/>
  <c r="H8" i="2" a="1"/>
  <c r="H8" i="2" s="1"/>
  <c r="S80" i="22"/>
  <c r="S89" i="15"/>
  <c r="H149" i="2" a="1"/>
  <c r="H149" i="2" s="1"/>
  <c r="S98" i="22"/>
  <c r="S115" i="15"/>
  <c r="H180" i="2" a="1"/>
  <c r="H180" i="2" s="1"/>
  <c r="D132" i="21"/>
  <c r="H29" i="2" a="1"/>
  <c r="H29" i="2" s="1"/>
  <c r="D258" i="21"/>
  <c r="H44" i="2" a="1"/>
  <c r="H44" i="2" s="1"/>
  <c r="S529" i="22"/>
  <c r="H67" i="2" a="1"/>
  <c r="H67" i="2" s="1"/>
  <c r="S24" i="12"/>
  <c r="H252" i="2" a="1"/>
  <c r="H252" i="2" s="1"/>
  <c r="D48" i="21"/>
  <c r="H35" i="2" a="1"/>
  <c r="H35" i="2" s="1"/>
  <c r="D92" i="21"/>
  <c r="H30" i="2" a="1"/>
  <c r="H30" i="2" s="1"/>
  <c r="S15" i="22"/>
  <c r="S32" i="15"/>
  <c r="H144" i="2" a="1"/>
  <c r="H144" i="2" s="1"/>
  <c r="D247" i="21"/>
  <c r="H325" i="2" a="1"/>
  <c r="H325" i="2" s="1"/>
  <c r="S44" i="12"/>
  <c r="H282" i="2" a="1"/>
  <c r="H282" i="2" s="1"/>
  <c r="D135" i="21"/>
  <c r="H65" i="2" a="1"/>
  <c r="H65" i="2" s="1"/>
  <c r="S99" i="22"/>
  <c r="S116" i="15"/>
  <c r="H181" i="2" a="1"/>
  <c r="H181" i="2" s="1"/>
  <c r="D148" i="21"/>
  <c r="S19" i="12"/>
  <c r="H328" i="2" a="1"/>
  <c r="H328" i="2" s="1"/>
  <c r="S194" i="12"/>
  <c r="H336" i="2" a="1"/>
  <c r="H336" i="2" s="1"/>
  <c r="S59" i="12"/>
  <c r="H311" i="2" a="1"/>
  <c r="H311" i="2" s="1"/>
  <c r="S4" i="12"/>
  <c r="H239" i="2" a="1"/>
  <c r="H239" i="2" s="1"/>
  <c r="S14" i="12"/>
  <c r="S205" i="12"/>
  <c r="H250" i="2" a="1"/>
  <c r="H250" i="2" s="1"/>
  <c r="S60" i="12"/>
  <c r="S30" i="12"/>
  <c r="H343" i="2" a="1"/>
  <c r="H343" i="2" s="1"/>
  <c r="S225" i="12"/>
  <c r="H341" i="2" a="1"/>
  <c r="H341" i="2" s="1"/>
  <c r="S43" i="22"/>
  <c r="S85" i="15"/>
  <c r="H113" i="2" a="1"/>
  <c r="H113" i="2" s="1"/>
  <c r="S198" i="12"/>
  <c r="H306" i="2" a="1"/>
  <c r="H306" i="2" s="1"/>
  <c r="S50" i="22"/>
  <c r="S18" i="15"/>
  <c r="H118" i="2" a="1"/>
  <c r="H118" i="2" s="1"/>
  <c r="D326" i="21"/>
  <c r="H316" i="2" a="1"/>
  <c r="H316" i="2" s="1"/>
  <c r="S187" i="22"/>
  <c r="H223" i="2" a="1"/>
  <c r="H223" i="2" s="1"/>
  <c r="S181" i="12"/>
  <c r="H274" i="2" a="1"/>
  <c r="H274" i="2" s="1"/>
  <c r="D3" i="21"/>
  <c r="H33" i="2" a="1"/>
  <c r="H33" i="2" s="1"/>
  <c r="D75" i="21"/>
  <c r="S41" i="12"/>
  <c r="H42" i="2" a="1"/>
  <c r="H42" i="2" s="1"/>
  <c r="D22" i="21"/>
  <c r="H45" i="2" a="1"/>
  <c r="H45" i="2" s="1"/>
  <c r="D330" i="21"/>
  <c r="H36" i="2" a="1"/>
  <c r="H36" i="2" s="1"/>
  <c r="D23" i="21"/>
  <c r="H56" i="2" a="1"/>
  <c r="H56" i="2" s="1"/>
  <c r="D73" i="21"/>
  <c r="H60" i="2" a="1"/>
  <c r="H60" i="2" s="1"/>
  <c r="S61" i="22"/>
  <c r="S51" i="15"/>
  <c r="H194" i="2" a="1"/>
  <c r="H194" i="2" s="1"/>
  <c r="S55" i="12"/>
  <c r="H290" i="2" a="1"/>
  <c r="H290" i="2" s="1"/>
  <c r="S193" i="12"/>
  <c r="H334" i="2" a="1"/>
  <c r="H334" i="2" s="1"/>
  <c r="S39" i="22"/>
  <c r="S56" i="12"/>
  <c r="S65" i="15"/>
  <c r="H217" i="2" a="1"/>
  <c r="H217" i="2" s="1"/>
  <c r="S17" i="12"/>
  <c r="H288" i="2" a="1"/>
  <c r="H288" i="2" s="1"/>
  <c r="S36" i="22"/>
  <c r="S59" i="15"/>
  <c r="H208" i="2" a="1"/>
  <c r="H208" i="2" s="1"/>
  <c r="D122" i="21"/>
  <c r="H70" i="2" a="1"/>
  <c r="H70" i="2" s="1"/>
  <c r="D60" i="21"/>
  <c r="H66" i="2" a="1"/>
  <c r="H66" i="2" s="1"/>
  <c r="S182" i="22"/>
  <c r="H222" i="2" a="1"/>
  <c r="H222" i="2" s="1"/>
  <c r="D505" i="21"/>
  <c r="S180" i="12"/>
  <c r="H314" i="2" a="1"/>
  <c r="H314" i="2" s="1"/>
  <c r="S12" i="22"/>
  <c r="S14" i="15"/>
  <c r="H109" i="2" a="1"/>
  <c r="H109" i="2" s="1"/>
  <c r="S184" i="12"/>
  <c r="S183" i="12"/>
  <c r="H293" i="2" a="1"/>
  <c r="H293" i="2" s="1"/>
  <c r="S178" i="12"/>
  <c r="H297" i="2" a="1"/>
  <c r="H297" i="2" s="1"/>
  <c r="D174" i="21"/>
  <c r="H323" i="2" a="1"/>
  <c r="H323" i="2" s="1"/>
  <c r="D624" i="21"/>
  <c r="H71" i="2" a="1"/>
  <c r="H71" i="2" s="1"/>
  <c r="S125" i="22"/>
  <c r="S55" i="15"/>
  <c r="H201" i="2" a="1"/>
  <c r="H201" i="2" s="1"/>
  <c r="S88" i="22"/>
  <c r="S101" i="15"/>
  <c r="H163" i="2" a="1"/>
  <c r="H163" i="2" s="1"/>
  <c r="S27" i="12"/>
  <c r="H270" i="2" a="1"/>
  <c r="H270" i="2" s="1"/>
  <c r="S9" i="12"/>
  <c r="S203" i="12"/>
  <c r="D101" i="21"/>
  <c r="H37" i="2" a="1"/>
  <c r="H37" i="2" s="1"/>
  <c r="S22" i="22"/>
  <c r="S39" i="15"/>
  <c r="H165" i="2" a="1"/>
  <c r="H165" i="2" s="1"/>
  <c r="D138" i="21"/>
  <c r="H54" i="2" a="1"/>
  <c r="H54" i="2" s="1"/>
  <c r="D154" i="21"/>
  <c r="H55" i="2" a="1"/>
  <c r="H55" i="2" s="1"/>
  <c r="S100" i="22"/>
  <c r="S117" i="15"/>
  <c r="H184" i="2" a="1"/>
  <c r="H184" i="2" s="1"/>
  <c r="S235" i="22"/>
  <c r="H237" i="2" a="1"/>
  <c r="H237" i="2" s="1"/>
  <c r="D249" i="21"/>
  <c r="H80" i="2" a="1"/>
  <c r="H80" i="2" s="1"/>
  <c r="S212" i="22"/>
  <c r="H231" i="2" a="1"/>
  <c r="H231" i="2" s="1"/>
  <c r="S62" i="22"/>
  <c r="S58" i="15"/>
  <c r="H204" i="2" a="1"/>
  <c r="H204" i="2" s="1"/>
  <c r="D118" i="21"/>
  <c r="H313" i="2" a="1"/>
  <c r="H313" i="2" s="1"/>
  <c r="S48" i="22"/>
  <c r="S8" i="15"/>
  <c r="H96" i="2" a="1"/>
  <c r="H96" i="2" s="1"/>
  <c r="S197" i="12"/>
  <c r="H254" i="2" a="1"/>
  <c r="H254" i="2" s="1"/>
  <c r="S51" i="22"/>
  <c r="S20" i="15"/>
  <c r="H123" i="2" a="1"/>
  <c r="H123" i="2" s="1"/>
  <c r="S182" i="12"/>
  <c r="H348" i="2" a="1"/>
  <c r="H348" i="2" s="1"/>
  <c r="D115" i="21"/>
  <c r="S16" i="12"/>
  <c r="S6" i="12"/>
  <c r="S7" i="12"/>
  <c r="H27" i="2" a="1"/>
  <c r="H27" i="2" s="1"/>
  <c r="S58" i="12"/>
  <c r="H264" i="2" a="1"/>
  <c r="H264" i="2" s="1"/>
  <c r="D49" i="21"/>
  <c r="H38" i="2" a="1"/>
  <c r="H38" i="2" s="1"/>
  <c r="S39" i="12"/>
  <c r="H262" i="2" a="1"/>
  <c r="H262" i="2" s="1"/>
  <c r="S57" i="12"/>
  <c r="H301" i="2" a="1"/>
  <c r="H301" i="2" s="1"/>
  <c r="S296" i="22"/>
  <c r="S186" i="12"/>
  <c r="H246" i="2" a="1"/>
  <c r="H246" i="2" s="1"/>
  <c r="S190" i="12"/>
  <c r="H72" i="2" a="1"/>
  <c r="H72" i="2" s="1"/>
  <c r="D329" i="21"/>
  <c r="H333" i="2" a="1"/>
  <c r="H333" i="2" s="1"/>
  <c r="S195" i="12"/>
  <c r="H337" i="2" a="1"/>
  <c r="H337" i="2" s="1"/>
  <c r="S3" i="22"/>
  <c r="S52" i="15"/>
  <c r="H198" i="2" a="1"/>
  <c r="H198" i="2" s="1"/>
  <c r="S105" i="22"/>
  <c r="S123" i="15"/>
  <c r="H191" i="2" a="1"/>
  <c r="H191" i="2" s="1"/>
  <c r="S121" i="22"/>
  <c r="H215" i="2" a="1"/>
  <c r="H215" i="2" s="1"/>
  <c r="S13" i="22"/>
  <c r="S16" i="15"/>
  <c r="H114" i="2" a="1"/>
  <c r="H114" i="2" s="1"/>
  <c r="S145" i="22"/>
  <c r="H216" i="2" a="1"/>
  <c r="H216" i="2" s="1"/>
  <c r="D261" i="21"/>
  <c r="H48" i="2" a="1"/>
  <c r="H48" i="2" s="1"/>
  <c r="S48" i="12"/>
  <c r="H226" i="2" a="1"/>
  <c r="H226" i="2" s="1"/>
  <c r="S224" i="12"/>
  <c r="H340" i="2" a="1"/>
  <c r="H340" i="2" s="1"/>
  <c r="S95" i="22"/>
  <c r="S110" i="15"/>
  <c r="H174" i="2" a="1"/>
  <c r="H174" i="2" s="1"/>
  <c r="S118" i="22"/>
  <c r="S28" i="15"/>
  <c r="S34" i="12"/>
  <c r="H137" i="2" a="1"/>
  <c r="H137" i="2" s="1"/>
  <c r="S45" i="12"/>
  <c r="H289" i="2" a="1"/>
  <c r="H289" i="2" s="1"/>
  <c r="D327" i="21"/>
  <c r="H41" i="2" a="1"/>
  <c r="H41" i="2" s="1"/>
  <c r="D259" i="21"/>
  <c r="H327" i="2" a="1"/>
  <c r="H327" i="2" s="1"/>
  <c r="S44" i="22"/>
  <c r="S29" i="12"/>
  <c r="S10" i="12"/>
  <c r="S106" i="15"/>
  <c r="H116" i="2" a="1"/>
  <c r="H116" i="2" s="1"/>
  <c r="D196" i="21"/>
  <c r="H317" i="2" a="1"/>
  <c r="H317" i="2" s="1"/>
  <c r="S187" i="12"/>
  <c r="H307" i="2" a="1"/>
  <c r="H307" i="2" s="1"/>
  <c r="S47" i="12"/>
  <c r="H299" i="2" a="1"/>
  <c r="H299" i="2" s="1"/>
  <c r="D294" i="21"/>
  <c r="H78" i="2" a="1"/>
  <c r="H78" i="2" s="1"/>
  <c r="S240" i="22"/>
  <c r="S41" i="15"/>
  <c r="H169" i="2" a="1"/>
  <c r="H169" i="2" s="1"/>
  <c r="D252" i="21"/>
  <c r="H59" i="2" a="1"/>
  <c r="H59" i="2" s="1"/>
  <c r="S50" i="12"/>
  <c r="H257" i="2" a="1"/>
  <c r="H257" i="2" s="1"/>
  <c r="S132" i="22"/>
  <c r="S60" i="15"/>
  <c r="H209" i="2" a="1"/>
  <c r="H209" i="2" s="1"/>
  <c r="S46" i="22"/>
  <c r="S29" i="15"/>
  <c r="H139" i="2" a="1"/>
  <c r="H139" i="2" s="1"/>
  <c r="D263" i="21"/>
  <c r="H22" i="2" a="1"/>
  <c r="H22" i="2" s="1"/>
  <c r="S38" i="12"/>
  <c r="S25" i="12"/>
  <c r="H258" i="2" a="1"/>
  <c r="H258" i="2" s="1"/>
  <c r="S234" i="22"/>
  <c r="H235" i="2" a="1"/>
  <c r="H235" i="2" s="1"/>
  <c r="S223" i="12"/>
  <c r="H346" i="2" a="1"/>
  <c r="H346" i="2" s="1"/>
  <c r="S40" i="12"/>
  <c r="H266" i="2" a="1"/>
  <c r="H266" i="2" s="1"/>
  <c r="S185" i="12"/>
  <c r="H296" i="2" a="1"/>
  <c r="H296" i="2" s="1"/>
  <c r="D245" i="21"/>
  <c r="H68" i="2" a="1"/>
  <c r="H68" i="2" s="1"/>
  <c r="D397" i="21"/>
  <c r="H47" i="2" a="1"/>
  <c r="H47" i="2" s="1"/>
  <c r="S53" i="15"/>
  <c r="H199" i="2" a="1"/>
  <c r="H199" i="2" s="1"/>
  <c r="D424" i="21"/>
  <c r="S196" i="12"/>
  <c r="H100" i="2" a="1"/>
  <c r="H100" i="2" s="1"/>
  <c r="S208" i="22"/>
  <c r="H230" i="2" a="1"/>
  <c r="H230" i="2" s="1"/>
  <c r="S217" i="12"/>
  <c r="S18" i="12"/>
  <c r="S202" i="12"/>
  <c r="S46" i="12"/>
  <c r="H347" i="2" a="1"/>
  <c r="H347" i="2" s="1"/>
  <c r="D94" i="21"/>
  <c r="S35" i="12"/>
  <c r="H3" i="2" a="1"/>
  <c r="H3" i="2" s="1"/>
  <c r="D97" i="21"/>
  <c r="H6" i="2" a="1"/>
  <c r="H6" i="2" s="1"/>
  <c r="D167" i="21"/>
  <c r="S219" i="12"/>
  <c r="S23" i="12"/>
  <c r="H9" i="2" a="1"/>
  <c r="H9" i="2" s="1"/>
  <c r="S124" i="22"/>
  <c r="S30" i="15"/>
  <c r="S26" i="12"/>
  <c r="H141" i="2" a="1"/>
  <c r="H141" i="2" s="1"/>
  <c r="S59" i="22"/>
  <c r="S48" i="15"/>
  <c r="H188" i="2" a="1"/>
  <c r="H188" i="2" s="1"/>
  <c r="S30" i="22"/>
  <c r="S31" i="15"/>
  <c r="H142" i="2" a="1"/>
  <c r="H142" i="2" s="1"/>
  <c r="S204" i="12"/>
  <c r="H324" i="2" a="1"/>
  <c r="H324" i="2" s="1"/>
  <c r="S206" i="12"/>
  <c r="S54" i="12"/>
  <c r="S31" i="12"/>
  <c r="H315" i="2" a="1"/>
  <c r="H315" i="2" s="1"/>
  <c r="D107" i="21"/>
  <c r="H53" i="2" a="1"/>
  <c r="H53" i="2" s="1"/>
  <c r="S19" i="22"/>
  <c r="S54" i="15"/>
  <c r="H200" i="2" a="1"/>
  <c r="H200" i="2" s="1"/>
  <c r="S101" i="22"/>
  <c r="S118" i="15"/>
  <c r="H185" i="2" a="1"/>
  <c r="H185" i="2" s="1"/>
  <c r="D5" i="21"/>
  <c r="H91" i="2" a="1"/>
  <c r="H91" i="2" s="1"/>
  <c r="S323" i="22"/>
  <c r="H247" i="2" a="1"/>
  <c r="H247" i="2" s="1"/>
  <c r="D338" i="21"/>
  <c r="H4" i="2" a="1"/>
  <c r="H4" i="2" s="1"/>
  <c r="S157" i="22"/>
  <c r="S5" i="12"/>
  <c r="S15" i="12"/>
  <c r="S221" i="12"/>
  <c r="S222" i="12"/>
  <c r="S42" i="12"/>
  <c r="H345" i="2" a="1"/>
  <c r="H345" i="2" s="1"/>
  <c r="D177" i="21"/>
  <c r="H28" i="2" a="1"/>
  <c r="H28" i="2" s="1"/>
  <c r="S20" i="22"/>
  <c r="S56" i="15"/>
  <c r="H202" i="2" a="1"/>
  <c r="H202" i="2" s="1"/>
  <c r="S241" i="22"/>
  <c r="S49" i="15"/>
  <c r="H192" i="2" a="1"/>
  <c r="H192" i="2" s="1"/>
  <c r="S51" i="12"/>
  <c r="H261" i="2" a="1"/>
  <c r="H261" i="2" s="1"/>
  <c r="S14" i="22"/>
  <c r="S26" i="15"/>
  <c r="H135" i="2" a="1"/>
  <c r="H135" i="2" s="1"/>
  <c r="D208" i="21"/>
  <c r="H46" i="2" a="1"/>
  <c r="H46" i="2" s="1"/>
  <c r="D698" i="21"/>
  <c r="H62" i="2" a="1"/>
  <c r="H62" i="2" s="1"/>
  <c r="S38" i="15"/>
  <c r="H162" i="2" a="1"/>
  <c r="H162" i="2" s="1"/>
  <c r="S114" i="22"/>
  <c r="S21" i="12"/>
  <c r="S99" i="15"/>
  <c r="H158" i="2" a="1"/>
  <c r="H158" i="2" s="1"/>
  <c r="S28" i="12"/>
  <c r="H271" i="2" a="1"/>
  <c r="H271" i="2" s="1"/>
  <c r="D53" i="21"/>
  <c r="H40" i="2" a="1"/>
  <c r="H40" i="2" s="1"/>
  <c r="S96" i="22"/>
  <c r="S112" i="15"/>
  <c r="H177" i="2" a="1"/>
  <c r="H177" i="2" s="1"/>
  <c r="H326" i="2" a="1"/>
  <c r="H326" i="2" s="1"/>
  <c r="S191" i="12"/>
  <c r="D126" i="21"/>
  <c r="H50" i="2" a="1"/>
  <c r="H50" i="2" s="1"/>
  <c r="S43" i="12"/>
  <c r="S11" i="12"/>
  <c r="H280" i="2" a="1"/>
  <c r="H280" i="2" s="1"/>
  <c r="S32" i="22"/>
  <c r="H175" i="2" a="1"/>
  <c r="H175" i="2" s="1"/>
  <c r="D356" i="21"/>
  <c r="H77" i="2" a="1"/>
  <c r="H77" i="2" s="1"/>
  <c r="S94" i="22"/>
  <c r="S109" i="15"/>
  <c r="H172" i="2" a="1"/>
  <c r="H172" i="2" s="1"/>
  <c r="S9" i="22"/>
  <c r="S122" i="15"/>
  <c r="H107" i="2" a="1"/>
  <c r="H107" i="2" s="1"/>
  <c r="D87" i="21"/>
  <c r="H101" i="2" a="1"/>
  <c r="H101" i="2" s="1"/>
  <c r="S33" i="12"/>
  <c r="H305" i="2" a="1"/>
  <c r="H305" i="2" s="1"/>
  <c r="S201" i="12"/>
  <c r="H344" i="2" a="1"/>
  <c r="H344" i="2" s="1"/>
  <c r="S110" i="22"/>
  <c r="S131" i="15"/>
  <c r="H206" i="2" a="1"/>
  <c r="H206" i="2" s="1"/>
  <c r="D217" i="21"/>
  <c r="S20" i="12"/>
  <c r="H104" i="2" a="1"/>
  <c r="H104" i="2" s="1"/>
</calcChain>
</file>

<file path=xl/sharedStrings.xml><?xml version="1.0" encoding="utf-8"?>
<sst xmlns="http://schemas.openxmlformats.org/spreadsheetml/2006/main" count="88560" uniqueCount="13401">
  <si>
    <t>App Review Progress</t>
  </si>
  <si>
    <t>App Review</t>
  </si>
  <si>
    <t>Total</t>
  </si>
  <si>
    <t>Life Sciences</t>
  </si>
  <si>
    <t>Digital Tech</t>
  </si>
  <si>
    <t>Deep Tech</t>
  </si>
  <si>
    <t>All Scores</t>
  </si>
  <si>
    <t>&lt;2</t>
  </si>
  <si>
    <t>&lt;3</t>
  </si>
  <si>
    <t>&lt;4</t>
  </si>
  <si>
    <t>&lt;5</t>
  </si>
  <si>
    <t>&lt;1</t>
  </si>
  <si>
    <t>All Invites</t>
  </si>
  <si>
    <t>All</t>
  </si>
  <si>
    <t>LS</t>
  </si>
  <si>
    <t>DiT</t>
  </si>
  <si>
    <t>DT</t>
  </si>
  <si>
    <t>Invites by Score Breakdown</t>
  </si>
  <si>
    <t>Invite</t>
  </si>
  <si>
    <t>Revisit</t>
  </si>
  <si>
    <t>Revisit/ Cluster</t>
  </si>
  <si>
    <t>Other:</t>
  </si>
  <si>
    <t>WaitList</t>
  </si>
  <si>
    <t>Special Reject</t>
  </si>
  <si>
    <t>Invite Next Year</t>
  </si>
  <si>
    <t>Reject</t>
  </si>
  <si>
    <t>Final Pre-Interview Review</t>
  </si>
  <si>
    <t>Dynamic</t>
  </si>
  <si>
    <t xml:space="preserve">                                         </t>
  </si>
  <si>
    <t>Dyanmic</t>
  </si>
  <si>
    <t>UPDATED
All Scores</t>
  </si>
  <si>
    <t>UPDATED
Decision Summary</t>
  </si>
  <si>
    <t>UPDATED
Intvw Invite Score Breakdown</t>
  </si>
  <si>
    <t>To Add:</t>
  </si>
  <si>
    <t>Include women founders in tallies above</t>
  </si>
  <si>
    <t>Waitlist</t>
  </si>
  <si>
    <t>Grand Total</t>
  </si>
  <si>
    <t>Company Name</t>
  </si>
  <si>
    <t>Current Status</t>
  </si>
  <si>
    <t>Track</t>
  </si>
  <si>
    <t>Score</t>
  </si>
  <si>
    <t>DoR</t>
  </si>
  <si>
    <t>Reviewer 1</t>
  </si>
  <si>
    <t>Reviewer 2</t>
  </si>
  <si>
    <t>Reviewer 3</t>
  </si>
  <si>
    <t>Reviewer 1 Notes</t>
  </si>
  <si>
    <t>Reviewer 2 Notes</t>
  </si>
  <si>
    <t>Reviewer 3 Notes</t>
  </si>
  <si>
    <t>Deliberation Notes</t>
  </si>
  <si>
    <t>Team Composition</t>
  </si>
  <si>
    <t>Founder 1 is Woman</t>
  </si>
  <si>
    <t>Team contains Woman</t>
  </si>
  <si>
    <t>Referrals</t>
  </si>
  <si>
    <t>NYU Affiliation</t>
  </si>
  <si>
    <t>ReApplying</t>
  </si>
  <si>
    <t>Status for Count</t>
  </si>
  <si>
    <t>Final Status</t>
  </si>
  <si>
    <t>Special Reject
Shortlist</t>
  </si>
  <si>
    <t>Revisit Again</t>
  </si>
  <si>
    <t>New Notes</t>
  </si>
  <si>
    <t>ShortList Status</t>
  </si>
  <si>
    <t>Timedrips Kft. _2022</t>
  </si>
  <si>
    <t>A&amp;K Robotics _2022</t>
  </si>
  <si>
    <t>Accelerate Wind _2022</t>
  </si>
  <si>
    <t>Aequor Inc. _2022</t>
  </si>
  <si>
    <t>Aerones Inc _2022</t>
  </si>
  <si>
    <t>AIXSCAN _2022</t>
  </si>
  <si>
    <t>Alva Health, Inc. _2022</t>
  </si>
  <si>
    <t>ArgenTAG _2022</t>
  </si>
  <si>
    <t>Automated Architecture Ltd _2022</t>
  </si>
  <si>
    <t>Astek Diagnostics Inc. _2022</t>
  </si>
  <si>
    <t>Basquevolt SA _2022</t>
  </si>
  <si>
    <t>Bleximo Corp. _2022</t>
  </si>
  <si>
    <t>Beegol Corp _2022</t>
  </si>
  <si>
    <t>Biodesign Innovation Labs _2022</t>
  </si>
  <si>
    <t>Bosque Foods _2022</t>
  </si>
  <si>
    <t>bluShift Aerospace _2022</t>
  </si>
  <si>
    <t>California Cultured _2022</t>
  </si>
  <si>
    <t>ChargeNet Holdings _2022</t>
  </si>
  <si>
    <t>CARI Health, Inc. _2022</t>
  </si>
  <si>
    <t>Chargewheel Co. _2022</t>
  </si>
  <si>
    <t>DELIVERS.AI _2022</t>
  </si>
  <si>
    <t>Encora Therapeutics _2022</t>
  </si>
  <si>
    <t>Datanchor Inc. _2022</t>
  </si>
  <si>
    <t>Enteligent Inc. _2022</t>
  </si>
  <si>
    <t>DrainBot  _2022</t>
  </si>
  <si>
    <t>Entoprotech Ltd _2022</t>
  </si>
  <si>
    <t>Empo Health _2022</t>
  </si>
  <si>
    <t>Flying Ship Technologies, Corp. _2022</t>
  </si>
  <si>
    <t>H Quest Vanguard, Inc. _2022</t>
  </si>
  <si>
    <t>Helico Bio  _2022</t>
  </si>
  <si>
    <t>Innatrix Inc. _2022</t>
  </si>
  <si>
    <t>JelikaLite Corp _2022</t>
  </si>
  <si>
    <t>Kyomei _2022</t>
  </si>
  <si>
    <t>LEVEL 42 AI, INC _2022</t>
  </si>
  <si>
    <t>iCardio.ai _2022</t>
  </si>
  <si>
    <t>LightCode photonics _2022</t>
  </si>
  <si>
    <t>LuftCar LLC _2022</t>
  </si>
  <si>
    <t>Lumirithmic Limited _2022</t>
  </si>
  <si>
    <t>LumosTech, Inc. _2022</t>
  </si>
  <si>
    <t>MarsCharge, Inc. _2022</t>
  </si>
  <si>
    <t>Metalmark Innovations PBC _2022</t>
  </si>
  <si>
    <t>Lifeline Robotics _2022</t>
  </si>
  <si>
    <t>Novac _2022</t>
  </si>
  <si>
    <t>NTherma Corporation _2022</t>
  </si>
  <si>
    <t>Odqa Renewable Energy Technologies Limited _2022</t>
  </si>
  <si>
    <t>Olympian Motors _2022</t>
  </si>
  <si>
    <t>Lux Wind Power Ltd. _2022</t>
  </si>
  <si>
    <t>Panhwar Jet _2022</t>
  </si>
  <si>
    <t>PeroLED _2022</t>
  </si>
  <si>
    <t>MindRank _2022</t>
  </si>
  <si>
    <t>Nomitri _2022</t>
  </si>
  <si>
    <t>Pharmor _2022</t>
  </si>
  <si>
    <t>Photon Vault _2022</t>
  </si>
  <si>
    <t>PlantSwitch _2022</t>
  </si>
  <si>
    <t>PONS _2022</t>
  </si>
  <si>
    <t>Pulsenics _2022</t>
  </si>
  <si>
    <t>Qlimate LLC _2022</t>
  </si>
  <si>
    <t>REEV _2022</t>
  </si>
  <si>
    <t>RevivBio Inc _2022</t>
  </si>
  <si>
    <t>Silicon Technologies, Inc. _2022</t>
  </si>
  <si>
    <t>PhoneOptika Ltd. _2022</t>
  </si>
  <si>
    <t>Skyhook Solar Corp. _2022</t>
  </si>
  <si>
    <t>Plantae Bioscience _2022</t>
  </si>
  <si>
    <t>Solaires Entreprises Inc _2022</t>
  </si>
  <si>
    <t>syGlass, Inc _2022</t>
  </si>
  <si>
    <t>PredictNow.ai _2022</t>
  </si>
  <si>
    <t>Terecircuits Corporation _2022</t>
  </si>
  <si>
    <t>Turion Space _2022</t>
  </si>
  <si>
    <t>Undesert Corporation _2022</t>
  </si>
  <si>
    <t>Radiolife _2022</t>
  </si>
  <si>
    <t>RaSpect _2022</t>
  </si>
  <si>
    <t>Rebound Technologies, Inc.  _2022</t>
  </si>
  <si>
    <t>VentriFlo, Inc. _2022</t>
  </si>
  <si>
    <t>Renew Risk _2022</t>
  </si>
  <si>
    <t>Vici Robotics _2022</t>
  </si>
  <si>
    <t>Rightbot Technologies, Inc. _2022</t>
  </si>
  <si>
    <t>Rocket Propulsion Systems LLC _2022</t>
  </si>
  <si>
    <t>Violett _2022</t>
  </si>
  <si>
    <t>Safety Arms Systems _2022</t>
  </si>
  <si>
    <t>satis.ai ltd _2022</t>
  </si>
  <si>
    <t>SAYA Life _2022</t>
  </si>
  <si>
    <t>WiPowerOne _2022</t>
  </si>
  <si>
    <t>Xinterra _2022</t>
  </si>
  <si>
    <t>Skyline Nav AI Inc. _2022</t>
  </si>
  <si>
    <t>AiRANACULUS _2022</t>
  </si>
  <si>
    <t>Straylight Systems _2022</t>
  </si>
  <si>
    <t>Strayos _2022</t>
  </si>
  <si>
    <t>Arpalus _2022</t>
  </si>
  <si>
    <t>Azarc.io Inc _2022</t>
  </si>
  <si>
    <t>TimberFish Technologies _2022</t>
  </si>
  <si>
    <t>Bankuish _2022</t>
  </si>
  <si>
    <t>Beowulf Network Inc. _2022</t>
  </si>
  <si>
    <t>BintanGO _2022</t>
  </si>
  <si>
    <t>Blip Labs Technologies, Inc. _2022</t>
  </si>
  <si>
    <t>Veyond Metaverse, Inc _2022</t>
  </si>
  <si>
    <t>BreachQuest _2022</t>
  </si>
  <si>
    <t>breathe ilo GmbH _2022</t>
  </si>
  <si>
    <t>Viridian Space Corporation _2022</t>
  </si>
  <si>
    <t>Vyv _2022</t>
  </si>
  <si>
    <t>Bureau, Inc. _2022</t>
  </si>
  <si>
    <t>Candi Holdings, Inc. (d/b/a ONUU) _2022</t>
  </si>
  <si>
    <t>Wootzano Limited _2022</t>
  </si>
  <si>
    <t>Conatix _2022</t>
  </si>
  <si>
    <t>Xtellix, Inc _2022</t>
  </si>
  <si>
    <t>Summer Robotics Inc _2022</t>
  </si>
  <si>
    <t>Friendlier _2022</t>
  </si>
  <si>
    <t>Cortina Health _2022</t>
  </si>
  <si>
    <t>AssetVault Limited _2022</t>
  </si>
  <si>
    <t>Dteckt, Inc. _2022</t>
  </si>
  <si>
    <t>Creative Blockchain Solutions SRL _2022</t>
  </si>
  <si>
    <t>Eachday, INC. _2022</t>
  </si>
  <si>
    <t>Culina Health _2022</t>
  </si>
  <si>
    <t>DataPrime _2022</t>
  </si>
  <si>
    <t>MindTrace _2022</t>
  </si>
  <si>
    <t>Television Korea 24, Inc. (ESTV) _2022</t>
  </si>
  <si>
    <t>Deriskly Limited _2022</t>
  </si>
  <si>
    <t>A4i _2022</t>
  </si>
  <si>
    <t>Abstractive Health  _2022</t>
  </si>
  <si>
    <t>Droice Labs _2022</t>
  </si>
  <si>
    <t>Allset _2022</t>
  </si>
  <si>
    <t>Dryad Networks GmbH _2022</t>
  </si>
  <si>
    <t>BetterData _2022</t>
  </si>
  <si>
    <t>ecolytiq GmbH _2022</t>
  </si>
  <si>
    <t>Evercity _2022</t>
  </si>
  <si>
    <t>Fairmint _2022</t>
  </si>
  <si>
    <t>Blings.io _2022</t>
  </si>
  <si>
    <t>FR0NTIER X _2022</t>
  </si>
  <si>
    <t>BoostDraft Inc. _2022</t>
  </si>
  <si>
    <t>C-End, LLC _2022</t>
  </si>
  <si>
    <t>Chiefy _2022</t>
  </si>
  <si>
    <t>Fragmynt _2022</t>
  </si>
  <si>
    <t>CIRT (Can I Recycle This, Inc.) _2022</t>
  </si>
  <si>
    <t>GridMatrix _2022</t>
  </si>
  <si>
    <t>Health Cost IQ _2022</t>
  </si>
  <si>
    <t>Impilo _2022</t>
  </si>
  <si>
    <t>Coinrule _2022</t>
  </si>
  <si>
    <t>inHEART _2022</t>
  </si>
  <si>
    <t>CYTRIO, Inc. _2022</t>
  </si>
  <si>
    <t>Intelligent AI _2022</t>
  </si>
  <si>
    <t>IX Swap _2022</t>
  </si>
  <si>
    <t>Datirium, LLC _2022</t>
  </si>
  <si>
    <t>Labfront _2022</t>
  </si>
  <si>
    <t>eBombo _2022</t>
  </si>
  <si>
    <t>Edverse Ltd _2022</t>
  </si>
  <si>
    <t>Efani Secure Mobile _2022</t>
  </si>
  <si>
    <t>Laxis, Inc. _2022</t>
  </si>
  <si>
    <t>Emani trading as Collective Quotient Ltd _2022</t>
  </si>
  <si>
    <t>FANLUV _2022</t>
  </si>
  <si>
    <t>Fathom _2022</t>
  </si>
  <si>
    <t>Field 33 _2022</t>
  </si>
  <si>
    <t>Forward Protocol _2022</t>
  </si>
  <si>
    <t>LISA Insurtech _2022</t>
  </si>
  <si>
    <t>LiveCare _2022</t>
  </si>
  <si>
    <t>Fulfilld _2022</t>
  </si>
  <si>
    <t>Hummingbirds AI _2022</t>
  </si>
  <si>
    <t>Immersive Fox Ltd _2022</t>
  </si>
  <si>
    <t>Inference Analytics, Inc.  _2022</t>
  </si>
  <si>
    <t>mPOD, Inc. _2022</t>
  </si>
  <si>
    <t>Narrativa _2022</t>
  </si>
  <si>
    <t>Neu Bio, Inc. _2022</t>
  </si>
  <si>
    <t>Infinity Gaming Media _2022</t>
  </si>
  <si>
    <t>INION LT _2022</t>
  </si>
  <si>
    <t>OPTT Health _2022</t>
  </si>
  <si>
    <t>ORNA Inc. _2022</t>
  </si>
  <si>
    <t>IPwe _2022</t>
  </si>
  <si>
    <t>Krystal Holdings Pte. Ltd. _2022</t>
  </si>
  <si>
    <t>Plant an App _2022</t>
  </si>
  <si>
    <t>Legible Inc. _2022</t>
  </si>
  <si>
    <t>Mon4t _2022</t>
  </si>
  <si>
    <t>OmicsChart _2022</t>
  </si>
  <si>
    <t>Portcast _2022</t>
  </si>
  <si>
    <t>ONEKEY GmbH _2022</t>
  </si>
  <si>
    <t>pragyaa.ai _2022</t>
  </si>
  <si>
    <t>refive _2022</t>
  </si>
  <si>
    <t>Regtick Ltd _2022</t>
  </si>
  <si>
    <t>REVER _2022</t>
  </si>
  <si>
    <t>Preteckt Inc _2022</t>
  </si>
  <si>
    <t>SecureCHEK AI, Inc. _2022</t>
  </si>
  <si>
    <t>Selia _2022</t>
  </si>
  <si>
    <t>Pulzze Systems, INC (DBA Interactor) _2022</t>
  </si>
  <si>
    <t>RIFFIT  _2022</t>
  </si>
  <si>
    <t>Semeris _2022</t>
  </si>
  <si>
    <t>Sentinel Occupational Safety (Sentinel) _2022</t>
  </si>
  <si>
    <t>SOLO Secure _2022</t>
  </si>
  <si>
    <t>Rimble _2022</t>
  </si>
  <si>
    <t>Rocket VR Health _2022</t>
  </si>
  <si>
    <t>Sova Health _2022</t>
  </si>
  <si>
    <t>Sumer _2022</t>
  </si>
  <si>
    <t>Suru Together Ltd _2022</t>
  </si>
  <si>
    <t>ROCSOLE _2022</t>
  </si>
  <si>
    <t>Scrapays Inc _2022</t>
  </si>
  <si>
    <t>Seek AI Inc. _2022</t>
  </si>
  <si>
    <t>sustamize  _2022</t>
  </si>
  <si>
    <t>Tripoverse _2022</t>
  </si>
  <si>
    <t>UpBeing Inc. _2022</t>
  </si>
  <si>
    <t>Senseidata, S.A. _2022</t>
  </si>
  <si>
    <t>ShanX Medtech BV _2022</t>
  </si>
  <si>
    <t>SparkAI _2022</t>
  </si>
  <si>
    <t>staex GmbH _2022</t>
  </si>
  <si>
    <t>Steg.AI _2022</t>
  </si>
  <si>
    <t>Strong Network Inc. _2022</t>
  </si>
  <si>
    <t>Structure Financial _2022</t>
  </si>
  <si>
    <t>VendRx Inc. _2022</t>
  </si>
  <si>
    <t>Voltela _2022</t>
  </si>
  <si>
    <t>Webeyez _2022</t>
  </si>
  <si>
    <t>Sustain Group Holdings LLC _2022</t>
  </si>
  <si>
    <t>TakeOne _2022</t>
  </si>
  <si>
    <t>THYROSCOPE INC. _2022</t>
  </si>
  <si>
    <t>Tradewell Technologies Inc _2022</t>
  </si>
  <si>
    <t>Troverlo _2022</t>
  </si>
  <si>
    <t>ConConnect _2022</t>
  </si>
  <si>
    <t>Truffle Health, Inc. _2022</t>
  </si>
  <si>
    <t>Engage Labs _2022</t>
  </si>
  <si>
    <t>Behamics _2022</t>
  </si>
  <si>
    <t>vadimUS _2022</t>
  </si>
  <si>
    <t>BeneTalk _2022</t>
  </si>
  <si>
    <t>48 Hour Discovery Inc. _2022</t>
  </si>
  <si>
    <t>Drona Pay Private Ltd _2022</t>
  </si>
  <si>
    <t>IndyGeneUS AI _2022</t>
  </si>
  <si>
    <t>Iryss, Inc _2022</t>
  </si>
  <si>
    <t>LevelFields _2022</t>
  </si>
  <si>
    <t>Abram Scientific, Inc. _2022</t>
  </si>
  <si>
    <t>Solvuu _2022</t>
  </si>
  <si>
    <t>Aclid, Inc. _2022</t>
  </si>
  <si>
    <t>Amberstone Biosciences Inc _2022</t>
  </si>
  <si>
    <t>Amplified Sciences, Inc. _2022</t>
  </si>
  <si>
    <t>Amplo Biotechnology _2022</t>
  </si>
  <si>
    <t>Spiky.ai _2022</t>
  </si>
  <si>
    <t>TOMi.digital _2022</t>
  </si>
  <si>
    <t>Yepic AI Limited _2022</t>
  </si>
  <si>
    <t>Antlia Bioscience, Inc.   _2022</t>
  </si>
  <si>
    <t>Eureka FinTech Limited _2022</t>
  </si>
  <si>
    <t>Noala _2022</t>
  </si>
  <si>
    <t>Arterez, Inc. _2022</t>
  </si>
  <si>
    <t>ShareID _2022</t>
  </si>
  <si>
    <t>Base5 Genomics, Inc. _2022</t>
  </si>
  <si>
    <t>Bidmii _2022</t>
  </si>
  <si>
    <t>Bilayer Therapeutics _2022</t>
  </si>
  <si>
    <t>Gardian Technologies Pty Ltd _2022</t>
  </si>
  <si>
    <t>CellChorus _2022</t>
  </si>
  <si>
    <t>Charco Neurotech _2022</t>
  </si>
  <si>
    <t>KAWA ANALYTICS CORP _2022</t>
  </si>
  <si>
    <t>Chimera Therapeutics LLC _2022</t>
  </si>
  <si>
    <t>Lindus Health _2022</t>
  </si>
  <si>
    <t>Taiyo.AI _2022</t>
  </si>
  <si>
    <t>AIWaysion, Inc. _2022</t>
  </si>
  <si>
    <t>Intelligent Technology Co., Ltd _2022</t>
  </si>
  <si>
    <t>3 Ridge Technologies _2022</t>
  </si>
  <si>
    <t>Zoundream _2022</t>
  </si>
  <si>
    <t>EMPIRI _2022</t>
  </si>
  <si>
    <t>Exavir Therapeutics _2022</t>
  </si>
  <si>
    <t>Allergy Butler _2022</t>
  </si>
  <si>
    <t>Exero Medical _2022</t>
  </si>
  <si>
    <t>EydisBio, Inc. _2022</t>
  </si>
  <si>
    <t>GeneSkin _2022</t>
  </si>
  <si>
    <t>Genomic Expression Inc _2022</t>
  </si>
  <si>
    <t>GenoTwin, Inc. _2022</t>
  </si>
  <si>
    <t>APIE Therapeutics  _2022</t>
  </si>
  <si>
    <t>Haystack Oncology _2022</t>
  </si>
  <si>
    <t>HDAX Therapeutics _2022</t>
  </si>
  <si>
    <t>ImmunoGel LLC _2022</t>
  </si>
  <si>
    <t>ImmunoMind _2022</t>
  </si>
  <si>
    <t>INAEDIS _2022</t>
  </si>
  <si>
    <t>Inso Biosciences Inc. _2022</t>
  </si>
  <si>
    <t>InvivoSciences, Inc. _2022</t>
  </si>
  <si>
    <t>InvVax _2022</t>
  </si>
  <si>
    <t>IPS HEART _2022</t>
  </si>
  <si>
    <t>iQure Pharma Inc _2022</t>
  </si>
  <si>
    <t>Kano Therapeutics _2022</t>
  </si>
  <si>
    <t>Elysium Therapeutics, Inc. _2022</t>
  </si>
  <si>
    <t>Maxwell Biosciences _2022</t>
  </si>
  <si>
    <t>EndObetes _2022</t>
  </si>
  <si>
    <t>Namida Lab Inc. _2022</t>
  </si>
  <si>
    <t>Nano PharmaSolutions, Inc. _2022</t>
  </si>
  <si>
    <t>NaNotics, LLC _2022</t>
  </si>
  <si>
    <t>OVIBIO _2022</t>
  </si>
  <si>
    <t>Panakeia Technolgies Ltd _2022</t>
  </si>
  <si>
    <t>Pandorum International Inc. _2022</t>
  </si>
  <si>
    <t>Pannex Therapeutics _2022</t>
  </si>
  <si>
    <t>Prazer Therapeutics _2022</t>
  </si>
  <si>
    <t>Hubly Surgical _2022</t>
  </si>
  <si>
    <t>Protabit LLC _2022</t>
  </si>
  <si>
    <t>Protai _2022</t>
  </si>
  <si>
    <t>QurCan Therapeutics Inc. _2022</t>
  </si>
  <si>
    <t>Sachi Bioworks Inc _2022</t>
  </si>
  <si>
    <t>SAGEMEDIC CORP. _2022</t>
  </si>
  <si>
    <t>Scale Biosciences, Inc _2022</t>
  </si>
  <si>
    <t>siRNAgen Therapeutics _2022</t>
  </si>
  <si>
    <t>Sisu Pharma, Inc. _2022</t>
  </si>
  <si>
    <t>Ischemia Care _2022</t>
  </si>
  <si>
    <t>Isoprene Pharmaceuticals, Inc. _2022</t>
  </si>
  <si>
    <t>ZiO Health  _2022</t>
  </si>
  <si>
    <t>Kleiner Device Labs _2022</t>
  </si>
  <si>
    <t>LEVI Diagnostics, Inc. _2022</t>
  </si>
  <si>
    <t>LizarBio Therapeutics _2022</t>
  </si>
  <si>
    <t>Stanford University Medical Center _2022</t>
  </si>
  <si>
    <t>MDDx, Inc. _2022</t>
  </si>
  <si>
    <t>Tactical Therapeutics, Inc _2022</t>
  </si>
  <si>
    <t>Strong competitor, but has not shown any progress since 2018; only 2-5mo runway</t>
  </si>
  <si>
    <t>Terra Bioworks Corp _2022</t>
  </si>
  <si>
    <t>UbiquiTx, Inc. _2022</t>
  </si>
  <si>
    <t>VC Cell Therapy _2022</t>
  </si>
  <si>
    <t>VLP Plus LLC _2022</t>
  </si>
  <si>
    <t>NemaGen Discoveries, INC _2022</t>
  </si>
  <si>
    <t>OmniCyte, LLC _2022</t>
  </si>
  <si>
    <t>Orbit Genomics, Inc. _2022</t>
  </si>
  <si>
    <t>3D printing bone implants; not as far along as other bone based companies in group</t>
  </si>
  <si>
    <t>Woven Orthopedic Technologies, LLC _2022</t>
  </si>
  <si>
    <t>XGenomes Corp. _2022</t>
  </si>
  <si>
    <t>YouthBio Therapeutics Inc. _2022</t>
  </si>
  <si>
    <t>Artificial Intelligence Imaging Sensors (AiimSense Inc.) _2022</t>
  </si>
  <si>
    <t>Coflow Jet, LLC _2022</t>
  </si>
  <si>
    <t>EllieGrid _2022</t>
  </si>
  <si>
    <t>Propelle Therapeutics, Inc. _2022</t>
  </si>
  <si>
    <t>FlyX Technologies Inc _2022</t>
  </si>
  <si>
    <t>Ingenii Inc _2022</t>
  </si>
  <si>
    <t>PRP Concepts, Inc. _2022</t>
  </si>
  <si>
    <t>QSINGULA DEVELOPMENT FZ-LLC (QSD) _2022</t>
  </si>
  <si>
    <t>Is CLEAN AIR Italia S.r.l. _2022</t>
  </si>
  <si>
    <t>Red Arrow Therapeutics, Co. Ltd.  _2022</t>
  </si>
  <si>
    <t>Oscillum Biotechnology SL _2022</t>
  </si>
  <si>
    <t>PentaBind Ltd _2022</t>
  </si>
  <si>
    <t>Sayenza Biosciences _2022</t>
  </si>
  <si>
    <t>Promin Aerospace _2022</t>
  </si>
  <si>
    <t>Scispot.io, Inc.  _2022</t>
  </si>
  <si>
    <t>Rockland Technimed limited _2022</t>
  </si>
  <si>
    <t>TrustPoint, Inc. _2022</t>
  </si>
  <si>
    <t>Singh Biotechnology, LLC _2022</t>
  </si>
  <si>
    <t>Watershed Therapeutics _2022</t>
  </si>
  <si>
    <t>Melior AI, Inc. _2022</t>
  </si>
  <si>
    <t>Ambulero, Inc.  _2022</t>
  </si>
  <si>
    <t xml:space="preserve">Strong reviews; waitlist for other AAV stronger companies, others further along in process </t>
  </si>
  <si>
    <t>Zoomrin _2022</t>
  </si>
  <si>
    <t>SPG Therapeutics, Inc.  _2022</t>
  </si>
  <si>
    <t>Arvetas Biosciences, Inc. _2022</t>
  </si>
  <si>
    <t>only raised SBIR funding, no dilutive funding; great science but other companies with better funding</t>
  </si>
  <si>
    <t>Summit Biomedical Imaging _2022</t>
  </si>
  <si>
    <t>Symphony Biosciences  _2022</t>
  </si>
  <si>
    <t>Avior Bio Inc. _2022</t>
  </si>
  <si>
    <t>interviewed other derm based companies in past, typically get cut early, do we have the mentor excitement? Short runway, wanted EFL for help in fund raising</t>
  </si>
  <si>
    <t>Cell Harbor _2022</t>
  </si>
  <si>
    <t>out of indie bio, good data, but other stronger companies in space</t>
  </si>
  <si>
    <t>CRISP-HR Therapeutics _2022</t>
  </si>
  <si>
    <t>Other more exciting tech in pool</t>
  </si>
  <si>
    <t>Helex _2022</t>
  </si>
  <si>
    <t>Not as far along as the other companies</t>
  </si>
  <si>
    <t>VitriVac.com _2022</t>
  </si>
  <si>
    <t>Nano RED _2022</t>
  </si>
  <si>
    <t>too early compared to other mRNA and Genome companies; strong contender for Next Year; referral from LY company</t>
  </si>
  <si>
    <t>White Rock Therapeutics _2022</t>
  </si>
  <si>
    <t>Ossiform _2022</t>
  </si>
  <si>
    <t>Serenity Bioworks  _2022</t>
  </si>
  <si>
    <t>smaller market than other platforms; single lead candidate</t>
  </si>
  <si>
    <t>SignPost Cancer Dx Inc. _2022</t>
  </si>
  <si>
    <t>At home Cancer DX w/ 1Ml blood; other stronger Diagnostics that were more exciting. Strong team and FDA approval, but other stronger companies</t>
  </si>
  <si>
    <t>HPC-AI Technology Inc. _2022</t>
  </si>
  <si>
    <t>Lumirithmic _2022</t>
  </si>
  <si>
    <t>Phinomics, Inc _2022</t>
  </si>
  <si>
    <t>Date of Team Review</t>
  </si>
  <si>
    <t>Opportunity Name</t>
  </si>
  <si>
    <t>Main Contact Name</t>
  </si>
  <si>
    <t>Main Contact Email</t>
  </si>
  <si>
    <t>Company Description</t>
  </si>
  <si>
    <t>Pre-Interview Composite Score</t>
  </si>
  <si>
    <t>Interview Day Status</t>
  </si>
  <si>
    <t>R1: Overall Notes</t>
  </si>
  <si>
    <t>Reviewer 1 Score</t>
  </si>
  <si>
    <t>R2: Overall Notes</t>
  </si>
  <si>
    <t>Reviewer 2 Score</t>
  </si>
  <si>
    <t>Currently fundraising label</t>
  </si>
  <si>
    <t>Currently fundraising how much</t>
  </si>
  <si>
    <t>NYU Affiliation Y/N</t>
  </si>
  <si>
    <t>Affiliations</t>
  </si>
  <si>
    <t>Referral specify who referred</t>
  </si>
  <si>
    <t>Application Deliberation Notes</t>
  </si>
  <si>
    <t>Women Founder</t>
  </si>
  <si>
    <t>NYU</t>
  </si>
  <si>
    <t>Referral</t>
  </si>
  <si>
    <t>Location</t>
  </si>
  <si>
    <t>Non _2022</t>
  </si>
  <si>
    <t>Interview Scheduled Wed?</t>
  </si>
  <si>
    <t>Interview Scheduled TH or FRI?</t>
  </si>
  <si>
    <t>Reviewed on 08/16/2022</t>
  </si>
  <si>
    <t>Matthew Anderson</t>
  </si>
  <si>
    <t>matthew@aandkrobotics.com</t>
  </si>
  <si>
    <t>A&amp;K Robotics has built a self-driving micromobility platform that can autonomously carry people and goods, short distances through complex, crowded and dynamic environments. Our first use case is in airports to carry people from gate to gate, to restaurants, to shops. Breaking down barriers to mobility and improving traveler experiences.</t>
  </si>
  <si>
    <t>Khoa Ma</t>
  </si>
  <si>
    <t>self-driving micro-mobility platform Oliver Mitchell referral</t>
  </si>
  <si>
    <t>Arthur Ibanda</t>
  </si>
  <si>
    <t>+Team seems passionate and credible +Need help scaling which EFL can provide +The team have managed to do more than a million dollars in sales and raised more than 3 million</t>
  </si>
  <si>
    <t>Seed</t>
  </si>
  <si>
    <t>No</t>
  </si>
  <si>
    <t>Creative Destruction Lab: Machine Learning Cohort</t>
  </si>
  <si>
    <t>Yes</t>
  </si>
  <si>
    <t>Vancouver , BC Canada</t>
  </si>
  <si>
    <t>A&amp;K Robotics</t>
  </si>
  <si>
    <t>Marillyn Bruno</t>
  </si>
  <si>
    <t>mbruno@aequorinc.com</t>
  </si>
  <si>
    <t>Aequor discovered novel chemicals in the ocean that kill a broad-spectrum of bacteria and fungi at all stages of growth, including biofilm. Uses of Aequor?s chemicals include water treatments (NASA was our first customer), surface cleaners, and industrial process enhancers for energy, bioenergy, consumer and agro-industrial verticals.</t>
  </si>
  <si>
    <t>Chris Mosher</t>
  </si>
  <si>
    <t>Deep Tech. Identified novel, green chemicals in the ocean that kill a broad-spectrum of bacteria and fungi at all stages of growth, including biofilm. First customer was NASA. Mother-daughter team is an NYU PhD/JD and an MD/PHD from St. George's University. SAB member coined the term "biofilm". Applied last year and pre-Interview received a 5/5 (from Chris and Chintan). Post-interview, received a 6/7 (Federica and Nathan A). The only negative I found was that the interviewers were concerned over the founder's coachability. No EFL Staff or Mentor interviewed them? I'd suggest we invite again this year.</t>
  </si>
  <si>
    <t>Parsa Amiri</t>
  </si>
  <si>
    <t>Referred by Alan Pereira - Seldor Capital. Applied to EFL before. NASA is their customer. They found new chemicals from ocean that has a superior antimicrobial properties, and also can kill the bacteria in biofilm.</t>
  </si>
  <si>
    <t>$500,000 - bridge to Series A</t>
  </si>
  <si>
    <t>--Please select--</t>
  </si>
  <si>
    <t>San Diego CONNECT Springboard, MIT Building Global Innovators, Plug and Play</t>
  </si>
  <si>
    <t>Alan Pereira - Seldor Capital</t>
  </si>
  <si>
    <t>change to DT; Strong expert Team; applied last year strong interview last year; non EFL staff/mentor interviews, but other feedback was "does not seem coachable" Make sure EFL TEAM interviews</t>
  </si>
  <si>
    <t>San Diego, CA United States</t>
  </si>
  <si>
    <t>Aequor Inc.</t>
  </si>
  <si>
    <t>Reviewed on 08/09/2022</t>
  </si>
  <si>
    <t>Dainis Kruze</t>
  </si>
  <si>
    <t>dainis.kruze@aerones.com</t>
  </si>
  <si>
    <t>Aerones is the first company in the world to provide the services using robotic technology: the maintenance process does not require technicians to work in dangerous heights, and thus is much safer, more efficient, and the downtime of the turbines is decreased significantly.</t>
  </si>
  <si>
    <t>Raised $13M already with $25M round open $15M soft circles Good tech, need to scale Needs to grow the team Think about other industries other than wind turbines?</t>
  </si>
  <si>
    <t>Shubo (Gabriel) Xu</t>
  </si>
  <si>
    <t>+ 1. Tech is advanced and validated 2. Business is up&amp;running with good results 3. Future is bright with company's planning as well as the society's trend towards green energy.</t>
  </si>
  <si>
    <t>Series A</t>
  </si>
  <si>
    <t>$25M</t>
  </si>
  <si>
    <t>We have graduated from Ycombinator in 2018.</t>
  </si>
  <si>
    <t/>
  </si>
  <si>
    <t>105 N 1st St #429 PMB 22980 San Jose,, CA 95103 United States</t>
  </si>
  <si>
    <t>Aerones Inc</t>
  </si>
  <si>
    <t>Reviewed on 08/11/2022</t>
  </si>
  <si>
    <t>Sandra Saldana</t>
  </si>
  <si>
    <t>sandra@alva-health.com</t>
  </si>
  <si>
    <t>Alva Health is developing a wearable neuromonitoring platform with the first indication in real-time stroke detection. They are a Cornell alumni founded, Yale University technology spinout with $1.6 MM in non-dilutive funding from the NSF and NIH SBIR programs, and the $350K Grand Prize winner at MedTech Innovator in 2021.</t>
  </si>
  <si>
    <t>Larisa Kagermazova</t>
  </si>
  <si>
    <t>Yale University technology spinout with $1.6 MM in non-dilutive funding from the NSF and NIH SBIR programs, and the $350K Grand Prize winner at MedTech Innovator in 2021 and many more.</t>
  </si>
  <si>
    <t>Overall, the team is really great, and they have won incredible grants. However, I think the basic idea of technology is not innovative, and I want to know more about the competitive advantages of this product with numerous similar devices that are already existing in the market. Based on the team, and grants I'm assuming their device possess superior precision and sensitivity.</t>
  </si>
  <si>
    <t>Techstars Los Angeles 2021 MedTech Innovator 2021 MassMedic IGNITE 2021 MedTech Color 2021 NJIT HealthIT Connections 2019 NSF I-Corps 2018 MassCONNECT Cycle III 2017 Yale Entrepreneurial Institute Summer Fellowship 2017</t>
  </si>
  <si>
    <t>Change to DT; variable device like AppleWatch; recognizes strokes and connects to healthcare providers in real time; team is from Yale; have decent raise so far; moving to clinical trials in next 6mos; tech is not well explained in terms of how is is detecting strokes in wearers: to be uncovered in interviews</t>
  </si>
  <si>
    <t>Dallas, TX United States</t>
  </si>
  <si>
    <t>Alva Health, Inc.</t>
  </si>
  <si>
    <t>Elizabeth Tapia Paredes</t>
  </si>
  <si>
    <t>hi@argentag.com</t>
  </si>
  <si>
    <t>We are developing an inexpensive single-cell sequencing kit to help researchers discover new genomic info in real time. Based on a proprietary barcoding technology and a device-free protocol for long-read sequencers (Nanopore, PacBio).</t>
  </si>
  <si>
    <t>Women founders Show tech can scale and go into the real world</t>
  </si>
  <si>
    <t>+Credible and well developed team +Novel technology ~Potential market not very large</t>
  </si>
  <si>
    <t>IndieBio New York (SOSV)</t>
  </si>
  <si>
    <t>New York City, New York United States</t>
  </si>
  <si>
    <t>ArgenTAG</t>
  </si>
  <si>
    <t>Reviewed on 08/03/2022</t>
  </si>
  <si>
    <t>Mollie Claypool</t>
  </si>
  <si>
    <t>mollie@automatedarchitecture.io</t>
  </si>
  <si>
    <t>Automated Architecture (AUAR) is revolutionising housing by building a distributed manufacturing network for regenerative timber housing. Our go-to-market is one and two-story timber housing products manufactured in AUAR microfactories with our patent-pending robotic systems and powered by a digital supply chain.</t>
  </si>
  <si>
    <t>+Credible team with strong academic links +Sound business plan and roadmap that follows similar successful startups +Have participated in other start up programs +Have positive press and government recognition</t>
  </si>
  <si>
    <t>We have participated in Transforming Construction ISCF programme and Innovate UK Edge programme.</t>
  </si>
  <si>
    <t>Missed similar company previously; good mission and partnerships in UK with affordable housing; strong room to grow</t>
  </si>
  <si>
    <t>Bristol, Bristol United Kingdom</t>
  </si>
  <si>
    <t>Automated Architecture Ltd</t>
  </si>
  <si>
    <t>Francisco Carranza</t>
  </si>
  <si>
    <t>fcarranza@basquevolt.com</t>
  </si>
  <si>
    <t>Our society is facing now a massive electrification challenge, we are in race to phase out fossil fuels and fully electrify vehicles, trucks, boats, airplanes, etc. Our mission is to develop the best battery cells that will make possible the mass deployment of electric transportation, stationary energy storage and advanced portable devices</t>
  </si>
  <si>
    <t>Nation of Spain</t>
  </si>
  <si>
    <t>1. Technology is novel, validated and are being commercialized. 2. Team seems well put-together and has expert guidance in the technicals 3. Could ask more about specifics regarding claimed safety and energy density improvements -- are there data to support these claims? 4. Could ask more about potential markets other than automobile</t>
  </si>
  <si>
    <t>48 calle Albert Einstein, Vitoria-Gasteiz, ÁLAVA Spain</t>
  </si>
  <si>
    <t>Basquevolt SA</t>
  </si>
  <si>
    <t>Alexei Marchenkov</t>
  </si>
  <si>
    <t>alexei@bleximo.com</t>
  </si>
  <si>
    <t>Bleximo is a full-stack quantum computing company focused on solving high-value optimization, simulation, and machine learning problems in different industries, which cannot be efficiently tackled by digital computers. Advantages to end users include faster, cheaper, and more precise simulations and access to more complex numerical models.</t>
  </si>
  <si>
    <t>Demonstration of two 16-qubit processor architectures Fabricating processors with the necessary technical specifications Need to raise funds but could run into issues.</t>
  </si>
  <si>
    <t>+Credible team +Novel technologie +Revenue and a lot of funding +Compelling vision</t>
  </si>
  <si>
    <t>Founder Institute, Palo Alto, CA, January-April 2018 Cyclotron Road (now Activate), Berkeley, CA, April 2018 - December 2020</t>
  </si>
  <si>
    <t>Yash Rohera, Surface Ventures</t>
  </si>
  <si>
    <t>application specific quantum computing; different approach than the more general quantum computing companies</t>
  </si>
  <si>
    <t>701 Heinz Avenue, Berkeley, California United States</t>
  </si>
  <si>
    <t>Bleximo Corp.</t>
  </si>
  <si>
    <t>Reviewed on 08/23/2022</t>
  </si>
  <si>
    <t>Sascha Deri</t>
  </si>
  <si>
    <t>sascha.deri@blushiftaerospace.com</t>
  </si>
  <si>
    <t>bluShift Aerospace provides dedicated, sustainable rocket launches using a low-cost custom hybrid engine and proprietary biofuel to solve long launch delays and lack of destination control for small satellite researchers and commercial businesses, providing shorter wait times, more frequency, more control and a sustainable launch solution.</t>
  </si>
  <si>
    <t>make bio-fuel powered rockets substance found on farm show the cost is cheaper than what's already in the market move HQ out of Maine</t>
  </si>
  <si>
    <t>+Credible team +deposit of $30,000 for our first commercial launch +MVP works +Tech novel</t>
  </si>
  <si>
    <t>Yes, we were a member of the inaugural cohort for Dirigo Labs, a new Maine accelerator program.</t>
  </si>
  <si>
    <t>fund raising issues</t>
  </si>
  <si>
    <t>Brunswick, Maine United States</t>
  </si>
  <si>
    <t>bluShift Aerospace</t>
  </si>
  <si>
    <t>Isabella Iglesias-Musachio</t>
  </si>
  <si>
    <t>isabella@bosquefoods.com</t>
  </si>
  <si>
    <t>At Bosque Foods, we sought out to create something game changing - center of the plate meat-alternatives that omnivores would crave, by leveraging mycelium, the roots of fungi. We use biomass fermentation to create whole-cuts, like chicken and pork filets, grown naturally without the need for excessive processing like plant-based alternatives.</t>
  </si>
  <si>
    <t>Good team and tech. Early investors would be interested once they work out the business and taking it from lab to production</t>
  </si>
  <si>
    <t>Sriharsha Indupuru</t>
  </si>
  <si>
    <t>+ Currently in the R&amp;D phase - A lot of competitors in the market in the same segment</t>
  </si>
  <si>
    <t>Other: SAFE - round extension - uncapped with discount / Bridge</t>
  </si>
  <si>
    <t>Up to 2M USD</t>
  </si>
  <si>
    <t>ProVeg Incubator - Germany IndieBio - New York EIT FAN - Germany</t>
  </si>
  <si>
    <t>Kismet Labs, Inc. 2409 BENTWATER DR W, JACKSONVILLE, FL, 32246 - 5131 (incorporated in Delaware, US) / and Bosque Foods GmbH, Husemannstr. 5, 10435 Berlin GERMANY (EU Lab), FL United States</t>
  </si>
  <si>
    <t>Bosque Foods</t>
  </si>
  <si>
    <t>Alan Perlstein</t>
  </si>
  <si>
    <t>alan@cacultured.com</t>
  </si>
  <si>
    <t>California Cultured is using cellular agriculture to liberate the coffee and chocolate industries from ruthless production practices that incentivize deforestation and child slavery. Our products will be resistant to climate change, which is threatening the existence of these industries, and allow customers to enjoy their favorite foods guilt free</t>
  </si>
  <si>
    <t>healthier chocolate and coffee from a single cell applied last raised some funding, need to scale up building a facility women on the team</t>
  </si>
  <si>
    <t>+Healthier chocolate and coffee production from a single cell at a highly competitive price point with 99% less pollution +Mass producing using developed bioreactor technology. + Founder from NYU + Secured 5M in funds and raised 5m out of 11M fundraising campaign round + Team seems credible</t>
  </si>
  <si>
    <t>Yes, IndieBio</t>
  </si>
  <si>
    <t>applied LY; still struggling with fundraising but otherwise has had some growth</t>
  </si>
  <si>
    <t>NYU Alumni</t>
  </si>
  <si>
    <t>Davis &amp; West Sacramento, California United States</t>
  </si>
  <si>
    <t>California Cultured</t>
  </si>
  <si>
    <t>Tosh Dutt</t>
  </si>
  <si>
    <t>tosh.dutt@chargenetholdings.com</t>
  </si>
  <si>
    <t>ChargeNet Holdings builds electric vehicle (EV) charging sites in quick-serve restaurant (QSR) parking lots. The sites include a solar carport structure of approximately 100 kW, combined with battery storage and fast (Level 3) EV chargers, all optimized by our ChargeOpt software.</t>
  </si>
  <si>
    <t>platform makes it seamless for quick-serve restaurants (QSR) to offer customers an opportunity to eat food and charge their EV at the same time $20-$30M series A Google for starups Good team</t>
  </si>
  <si>
    <t>+ Builds Fast electric vehicle (EV) charging sites in quick-serve restaurants in their parking lot optimized with their custom software. + Raised a total of 7,400,000(Preseed &amp; seed) + Founders from top-tier colleges + Installing pilots for popeye's and Golden gate bell + plan to build 400 new sites in 2023 + Has a large market to capture and we are going towards to EV sector in the fast pace</t>
  </si>
  <si>
    <t>$20-$30M</t>
  </si>
  <si>
    <t>Yes. In California, we currently work with Los Angeles Cleantech Incubator (LACI), Google for Startups? Accelerator Climate Change, Accelerator, and Plug and Play. With LACI, for example, we are receiving pilot support that includes trainings, pairing opportunities within its network of partners (e.g., utilities, equipment manufacturers), and, potentially, funding support.</t>
  </si>
  <si>
    <t>Strong team but interested in how tech is differentiated and how they plan to scale up;</t>
  </si>
  <si>
    <t>San Diego, California United States</t>
  </si>
  <si>
    <t>ChargeNet Holdings</t>
  </si>
  <si>
    <t>Muhammad Huzaifa</t>
  </si>
  <si>
    <t>h@chargewheel.com</t>
  </si>
  <si>
    <t>ChargeWheel has designed a patent-pending fast EV charger that can be deployed wherever a 240V AC connection is available. We are using this tech to build the Airbnb of EV charging by converting private home driveways and apartment garages into fast public EV charging stations.</t>
  </si>
  <si>
    <t>Faster, battery storage cabable with any 240VAC connection available AirBnN for EV charging</t>
  </si>
  <si>
    <t>+Team seem credible and passionate +Compelling Vision +Developed product +$900K from hardware sales +A lot of VC funding -Might require cooperation with competitors</t>
  </si>
  <si>
    <t>no</t>
  </si>
  <si>
    <t>Can deploy charging stations within 5 hours; already have 900K in revenue; strong industry based team; "air BnB of charging station"</t>
  </si>
  <si>
    <t>Los Angeles , CA United States</t>
  </si>
  <si>
    <t>Chargewheel Co.</t>
  </si>
  <si>
    <t>ALI KUTAY YARALI</t>
  </si>
  <si>
    <t>ali.yarali@delivers.ai</t>
  </si>
  <si>
    <t>Delivers.ai is an autonomous delivery technology to reimagine last-mile logistics experience powered by a prominent computer vision system and cutting-edge self-driving technologies in sustainable cities. As Delivers.AI, our motivation is greener way to delivery goods, and We?re focused on creating healthier, more sustainable cities.</t>
  </si>
  <si>
    <t>Cluster and consider if best in class</t>
  </si>
  <si>
    <t>+ Established in Europe</t>
  </si>
  <si>
    <t>European Institute of Technology (EIT) Urban Mobility Accelerator Batch 3 Central: https://www.eiturbanmobility.eu/welcome-to-the-eit-urban-mobility-accelerator-programme-batch-3-start-ups/ 5PRING 5G and Smary City Accelerator: https://5pring.org/ ALAIAN 5G Accelerator: https://alaian.com/5g-call/</t>
  </si>
  <si>
    <t>DEEPAK HEGDE</t>
  </si>
  <si>
    <t>Europe based; tied to 5/6 companies in europe currently. 5000 bots deployed around europe. satuated market, but what makes them unique is the mapping technology that they use to do it. Further along than other apps in this space than we've seen before, but still unsure about bringing in a company from this space.</t>
  </si>
  <si>
    <t>20-22 Wenlock Road, N1 7GU, LONDON United Kingdom</t>
  </si>
  <si>
    <t>DELIVERS.AI</t>
  </si>
  <si>
    <t>Daniel Carballo</t>
  </si>
  <si>
    <t>daniel@encoratherapeutics.com</t>
  </si>
  <si>
    <t>We are building a non-invasive, wearable, neurostimulator to eliminate tremors for the 8M tremor patients in the US. Our technology provides immediate, non-pharmaceutical relief that is safer, faster, and more affordable than the standard of care.</t>
  </si>
  <si>
    <t>Deep Tech or Life Sciences. A non-invasive, wearable neurostimulator to eliminate tremors. Tested on "dozens of patients", have a pilot at MGH and already received FDA Breakthrough Device Designation. Team of first-time founders from MIT. Amazing demo video where user's tremors disappear when they wear a watch-like device. Raised $1.6M. In the interview, we should ask them about other wearable device competitors - they only considered Tx and brain surgery as competitors in their application.</t>
  </si>
  <si>
    <t>Deep Tech. A wearable device for mitigating tremors patients symptoms. Young team from MIT.</t>
  </si>
  <si>
    <t>MIT Delta V Mass Challenge MassMedic IGNITE Creative Destruction Labs - Neuro Stream</t>
  </si>
  <si>
    <t>Change to DT; variable device for PTs with tremors; young team out of MIT; currenlty in pilot with Mass Gen Hospital; further along than other variable devices; in interview: ask more about their competitors, and how they see their market</t>
  </si>
  <si>
    <t>Boston, Massachusetts United States</t>
  </si>
  <si>
    <t>Encora Therapeutics</t>
  </si>
  <si>
    <t>Reviewed on 08/18/2022</t>
  </si>
  <si>
    <t>Sean Burke</t>
  </si>
  <si>
    <t>sean.burke@enteligent.com</t>
  </si>
  <si>
    <t>Enteligent Inc. develops power electronics products that harness more energy from solar power. Enteligent is developing a high-speed, high efficiency, Fast DC EV charger. Our Fast DC charger is powered directly from solar DC power, eliminating significant losses from the DC-AC-DC conversations that currently waste significant electricity.</t>
  </si>
  <si>
    <t>Mark Flynn</t>
  </si>
  <si>
    <t>This should be a DT company; innovation is in enabling fast DC charging using solar energy as opposed to DC-AC-DC conversions, which lose energy; this space is competitive and I would like to better understand the competitive landscape; the CEO has prior success in building companies and this company has good initial traction</t>
  </si>
  <si>
    <t>Nicole McKnight</t>
  </si>
  <si>
    <t>Why is this company in the digital tech track and not deep tech? They have an experienced team and have made a product that works and is generating revenue. The innovation is disruptive and will do good for the world, decreasing the use of fossil fuels and lowering the price to charge electronic vehicles. They made a nice video.</t>
  </si>
  <si>
    <t>change to DT; harnessing solar for DC charging / conversion; strong CEO with multiple large companies grown to $5B; good traction so far YTD 600K in revenue forecast $1M;</t>
  </si>
  <si>
    <t>Morgan Hill, CA United States</t>
  </si>
  <si>
    <t>Enteligent Inc.</t>
  </si>
  <si>
    <t>Alexander Babitsky</t>
  </si>
  <si>
    <t>s.babitsky@entoprotech.com</t>
  </si>
  <si>
    <t>Entoprotech is a circular economy company that uses insects (BSF larvae) to processes low value byproducts waste generated along the agri-food supply chain, into high value products: feed protein&amp; fat and health products for pets, poultry, swine and aquaculture; soil enhancers for agri-sector and bioactive compounds for pharma&amp;cosmetic industries.</t>
  </si>
  <si>
    <t>Deep tech. Feed grade protein, insect lipids, and organic fertilizer produced from agricultural waste using the black soldier fly (BSF) as a biofactory. $800K revenue in 2021 from waste processing &amp; sales of products. Oxford MBA and Technion PhD lead the company. IP is NOT protected - trade secrets for now.</t>
  </si>
  <si>
    <t>Technion. Global company. Pilot scale production and 0.8M revenue in 2021. A company that is trying to harvest BSF larvae using organic waste and produce applicable products that are produced with unsustainable sources currently.</t>
  </si>
  <si>
    <t>$30 million</t>
  </si>
  <si>
    <t>change to DT; strong funding and sales so far; IP not protected yet, should file;</t>
  </si>
  <si>
    <t>Ner HaLayla 2, POB 3221, Caesarea 3079527 , Haifa District Israel</t>
  </si>
  <si>
    <t>Entoprotech Ltd</t>
  </si>
  <si>
    <t>William Peterson</t>
  </si>
  <si>
    <t>bill.peterson@flyingship.co</t>
  </si>
  <si>
    <t>We are developing an entirely new type of very large drones that are fast, efficient, zero-emission and operate just above the surface of the ocean. They are ground effect vehicles that will enhance access to coastlines around the world. We call them Flying Ships and they will improve delivery service for the maritime logistics industry.</t>
  </si>
  <si>
    <t>Over-water drones that are fast, efficient, zero-emission Could be too early Need to build MVP to test Long lead time with government regulations</t>
  </si>
  <si>
    <t>Yagnik Mehta</t>
  </si>
  <si>
    <t>+Strong Longer term vision. + Strong business model including government and defense partnerships, and commercial logistics.</t>
  </si>
  <si>
    <t>Tech is interesting, but would face regulatory issues</t>
  </si>
  <si>
    <t>Leesburg, VA United States</t>
  </si>
  <si>
    <t>Flying Ship Technologies, Corp.</t>
  </si>
  <si>
    <t>George Skoptsov</t>
  </si>
  <si>
    <t>gls@h-quest.com</t>
  </si>
  <si>
    <t>H Quest Vanguard, Inc.?s has developed an electrically powered chemical conversion platform that leverages Microwave Plasma Pyrolysis to liberate zero-CO2 hydrogen from natural gas using only 25% of energy required by electrolysis, while sequestering carbon atoms in a high-value carbon or petrochemical co-product.</t>
  </si>
  <si>
    <t>plasma pyrolysis process applies microwave energy to natural gas Needs a team Takes time to wramp up Lots of risk to scale up capital intensive to scale</t>
  </si>
  <si>
    <t>+Developing an electrically powered chemical conversion platform that leverages Microwave Plasma Pyrolysis to liberate zero-CO2 hydrogen from natural gas + Credible team + Pressed and seed combined &gt;3M and raising &gt;15M +process is cost-effective, modular +Generated 700K revenue</t>
  </si>
  <si>
    <t>In 2018, we were accepted into the Creative Destruction Lab competitive accelerator program, designed to help companies developing massively scalable technologies achieve their development goals. Under that program, our CEO George Skoptsov was mentored by oil and gas executives and representatives from a venture fund which has invested in multiple natural gas conversion firms.</t>
  </si>
  <si>
    <t>Pittsburgh, Pennsylvania United States</t>
  </si>
  <si>
    <t>H Quest Vanguard, Inc.</t>
  </si>
  <si>
    <t>Helico Bio _2022</t>
  </si>
  <si>
    <t>Ilya Vesnky</t>
  </si>
  <si>
    <t>ilya@helico.bio</t>
  </si>
  <si>
    <t>Helico Bio unlocks the innate ability of plants to become factories for medicinal compounds. Employing innovative research in computational biology and plant physiology, we've packed advanced manufacturing facilities in seeds to produce the world's most needed medicines with low-cost agriculture.</t>
  </si>
  <si>
    <t>unlocks the innate ability of plants to become factories for medicinal compounds good tech idea but not a lot of info need to see the data plans to scale into production what is the lead time?</t>
  </si>
  <si>
    <t>Nic Weber</t>
  </si>
  <si>
    <t>seems early stage; using seeds to provide medical compounds; strong idea cluster with other AgTech companies?</t>
  </si>
  <si>
    <t>24 Balfour Road , Auckland New Zealand</t>
  </si>
  <si>
    <t>Helico Bio</t>
  </si>
  <si>
    <t>Jiarui Li</t>
  </si>
  <si>
    <t>Jiarui.li@innatrix.com</t>
  </si>
  <si>
    <t>Innatrix is creating eco-friendly biological products to control critical crop diseases for crop farmers, to help farmers to increase crop yield and gain more profits.</t>
  </si>
  <si>
    <t>Good team and needs more pilots and customer to validate that it works.</t>
  </si>
  <si>
    <t>- Product is not developed in full scale - No customers as of now + The ideology of solving crop diseases by prevention &amp; control in a sustainable way is interesting + I feel the team has the potential to perform in the coming days by looking at their progress and trials that they performed and the results they achieved - Need someone from the Biology domain to look at this before finalising</t>
  </si>
  <si>
    <t>Have joined AgLaunch and IndieBio NY programs</t>
  </si>
  <si>
    <t>Highly technical team; unique to sector; ask about prototyping in interview</t>
  </si>
  <si>
    <t>104 TW Alexander Drive, Durham, NORTH CAROLINA United States</t>
  </si>
  <si>
    <t>Innatrix Inc.</t>
  </si>
  <si>
    <t>Katya Sverdlov</t>
  </si>
  <si>
    <t>katya@jelikalite.com</t>
  </si>
  <si>
    <t>JelikaLite is developing Cognilum, an innovative solution to reduce a child's autism symptoms, enabling better integration into society and improving family's quality of life. Cognilum is an intelligent wearable medical device, combining therapeutic non-invasive brain stimulation, EEG sensors and a personalization platform.</t>
  </si>
  <si>
    <t>Amazing. Women-led, founders from Princeton/UPenn/Cornell/UCSD. An intelligent wearable medical device to reduce Autism symptoms in children. Combines therapeutic non-invasive brain stimulation with near-IR light, EEG sensors and a personalization platform. Validated in 30-patient clinical trial, have already had FDA meetings for a 150-patient multi-center trial to launch in the next 6 months to get breakthrough device designation.</t>
  </si>
  <si>
    <t>*2020 NYC eLab / WCBA accelerator *2021 Long Island BioMentorship Initiative *2021 CNY Biotech Accelerator Medical Device Innovation Challenge *2022 M7 accelerator (just got accepted)</t>
  </si>
  <si>
    <t>Change to DT; have a multiple center 100 patient trial coming up; very promising data so far; patent issues from pitch that Beth attended; patent would only cover design of device</t>
  </si>
  <si>
    <t>30 Wall Street, 8th Floor, New York United States</t>
  </si>
  <si>
    <t>JelikaLite Corp</t>
  </si>
  <si>
    <t>Khepra _2022</t>
  </si>
  <si>
    <t>Julie Kring</t>
  </si>
  <si>
    <t>julie.kring@khepra.net</t>
  </si>
  <si>
    <t>Khepra has developed a keystone reactor technology that enables the cost competitive conversion of plastic waste and biomass into chemicals to replace petrochemicals across broad markets. Our current mission is to replace petrochemical adjuvants in agrochemicals through the conversion of biomass into surfactants and carbon negative soil.</t>
  </si>
  <si>
    <t>reactor technology that produces biobased chemicals at scale need to build many low-cost reactors but facing issues needs a business model</t>
  </si>
  <si>
    <t>+ Replace petrochemical adjuvants in agrochemicals through the conversion of biomass into surfactants and carbon-negative soil. +Reactor technology which enables the cost-competitive conversion of plastic waste and biomass into chemicals to replace petrochemicals + Preseed: $680,000 + Team looks solid and can capture good market size</t>
  </si>
  <si>
    <t>Yes, Indiebio, Techstars, Venture for Climatetech</t>
  </si>
  <si>
    <t>Christian Theriault at Material Impact</t>
  </si>
  <si>
    <t>having issues with building out and scaling currently</t>
  </si>
  <si>
    <t>Birmingham, AL United States</t>
  </si>
  <si>
    <t>Khepra</t>
  </si>
  <si>
    <t>Meir Wachs</t>
  </si>
  <si>
    <t>meir@kyomei.co.uk</t>
  </si>
  <si>
    <t>Kyomei is pioneering the use of edible leafy greens in a molecular farming platform for growing animal and meat proteins for the alt meat market. Our proteins are identical to animal proteins on a molecular level, are powered sustainably through the power of sunlight and water and can be produced at a trans-formative cost structure</t>
  </si>
  <si>
    <t>Disscuss-km producing meat protein ingredients (mB-myoglobin)grown entirely inside of plants need a proven MVP and show it can be commercialize -too early?</t>
  </si>
  <si>
    <t>+Novel tech +Credible team +Large potential market</t>
  </si>
  <si>
    <t>Seed|Series A|Bridge</t>
  </si>
  <si>
    <t>15mn</t>
  </si>
  <si>
    <t>SOSV/ IndieBio Class 03 NY</t>
  </si>
  <si>
    <t>strong raise; 2 main founders are PHDs from Oxford; market is particularly developed yet, though they are patent protected; scaling is an issue;</t>
  </si>
  <si>
    <t>Park Farm Barn 4 Villa Rd Impington Histon Cambridge Cambridgeshire, United Kingdom</t>
  </si>
  <si>
    <t>Kyomei</t>
  </si>
  <si>
    <t>SHASHA JUMBE</t>
  </si>
  <si>
    <t>shasha@level42.ai</t>
  </si>
  <si>
    <t>Level 42 AI has developed novel proprietary sensors and hardware as well as software, and AI/ML algorithms to realize a system for early detection of human and animal diseases. The rich data streams generated by proprietary sensors enable the use of transparent and interpretable algorithms for accurate point-of-need predictive diagnosis.</t>
  </si>
  <si>
    <t>digital diagnostics devices designed to predict and quantify health state ongoing clinical trials across the globe with big partners move past COVID screening need to get tech to scale and show it can work in a multitude of areas IRB-approved clinical trials in over 5,000 participants</t>
  </si>
  <si>
    <t>+Team seems credible and passionate +The technology is novel +They have raised a lot of money +The vision is compelling</t>
  </si>
  <si>
    <t>Berkeley Skydeck Batch 14</t>
  </si>
  <si>
    <t>scott@livingstonsecurities.com</t>
  </si>
  <si>
    <t>Strong trials and currently in 12M raise; pivoted product during covid era; in interview: more data and how are trials going; they're not just in US, also doing trials outside of US;</t>
  </si>
  <si>
    <t>MOUNTAIN VIEW, CALIFORNIA United States</t>
  </si>
  <si>
    <t>LEVEL 42 AI, INC</t>
  </si>
  <si>
    <t>LightCode Photonics _2022</t>
  </si>
  <si>
    <t>Heli Valtna</t>
  </si>
  <si>
    <t>heli.valtna@lightcodephotonics.com</t>
  </si>
  <si>
    <t>LightCode Photonics is rethinking image acquisition in a bid to transform the autonomous mobility sector with affordable 3D imaging technology. Our customer develops service robots that are sold to end-users or used by the company itself to offer increasingly automated services both B2B and B2C. A typical early adopter is building robotic platforms</t>
  </si>
  <si>
    <t>Good team affordable 3D imaging technology women founders</t>
  </si>
  <si>
    <t>+Affordable 3D imaging technology + Technology is interesting + Female founder, 6phd's founders and European space agency funded a small amount +Raising 3m + Good results in dark conditions + Modular configuration with low power consumption</t>
  </si>
  <si>
    <t>Yes, we have finalized incubation with European Space Agency, MIT EF Greece, SuperAngels accelerator program</t>
  </si>
  <si>
    <t>Sten Tamkivi</t>
  </si>
  <si>
    <t>Teaduspargi 11, Tartu, Tartumaa Estonia</t>
  </si>
  <si>
    <t>LightCode Photonics</t>
  </si>
  <si>
    <t>Santh Sathya</t>
  </si>
  <si>
    <t>santh.sathya@luftcar.com</t>
  </si>
  <si>
    <t>LuftCar was founded to provide clean, fast and low-cost transportation and door-to-door delivery with a hydrogen-powered regional air and road mobility eVTOL vehicle with a 300+ mile air travel and 150+ miles road travel. The detachable road module from the air module is unique to LuftCar concept.</t>
  </si>
  <si>
    <t>Hydrogen cell powered vehicle that can fly and carry delivery containers Need to get a proof of concept and close funding 5G, and Navigations systems, 300 mile range</t>
  </si>
  <si>
    <t>Good Fit.</t>
  </si>
  <si>
    <t>10M</t>
  </si>
  <si>
    <t>LuftCar was part of the Cleantech Open 2021 accelerator and won the regional award.</t>
  </si>
  <si>
    <t>Professor Deepak Hegde</t>
  </si>
  <si>
    <t>drone can carry shipping containers; currently seeking 10M raise; can also be used with emergency vehicles; think Jetpack but larger scale and more apps</t>
  </si>
  <si>
    <t>12001 Research Parkway Suite 236, Orlando, FL United States</t>
  </si>
  <si>
    <t>LuftCar LLC</t>
  </si>
  <si>
    <t>Gaurav Chawla</t>
  </si>
  <si>
    <t>Gaurav.Chawla@Lumirithmic.com</t>
  </si>
  <si>
    <t>Lumirithmic provides highest quality facial scans with realistic skin appearance, through portable desktop devices, We provide Hollywood quality hyper-real faces to everyone, by working with entertainment/video games, ad-tech, metaverse and beauty-tech leaders</t>
  </si>
  <si>
    <t>DiT startup could partner with Kinetix. Good tech and team. With $1M from L'Oreal</t>
  </si>
  <si>
    <t>+Their product makes high quality 3D face models cheaper, quicker and more accessible +They have a strong team with innovators in their field +The team is large and well developed +They are in talks with Loreal for a large contract -The consumer market for these models is yet to be proven -Their product might be dependent on having an iPhone or iPad</t>
  </si>
  <si>
    <t>More DiT type company; provides real time scans for metaverse (similar to kinetix)</t>
  </si>
  <si>
    <t>63 St Mary Axe, London United Kingdom</t>
  </si>
  <si>
    <t>Lumirithmic Limited</t>
  </si>
  <si>
    <t>Biquan Luo</t>
  </si>
  <si>
    <t>biquan@lumos.tech</t>
  </si>
  <si>
    <t>Based on decades of research at Stanford and funded by the DoD for product development, Lumos is a sleep solution that enables longer, better sleep and a higher workplace performance for over 21 million Americans in industries such as military, sports, healthcare, manufacturing, transportation, and law enforcement.</t>
  </si>
  <si>
    <t>Deepak Hegde</t>
  </si>
  <si>
    <t>Sleep health is drawing increasing interest. Want to better understand how their tech modulates Circadian rhythm, unit costs and potential to go D2C (size of markets). We should definitely interview.</t>
  </si>
  <si>
    <t>Beth Xie</t>
  </si>
  <si>
    <t>- Science is strong based on Stanford research work. Also strong technical team. - Already gaining traction among patients. - Market demand has potential given the focus on non-medical solutions.</t>
  </si>
  <si>
    <t>$3M</t>
  </si>
  <si>
    <t>StartX</t>
  </si>
  <si>
    <t>change to DT; strong team; eye mask that helps reset circadian rythym; without medication has ability to help people sleep better, science is coming out of research from stanford</t>
  </si>
  <si>
    <t>San Francisco, California United States</t>
  </si>
  <si>
    <t>LumosTech, Inc.</t>
  </si>
  <si>
    <t>Michael Marczi</t>
  </si>
  <si>
    <t>michaelmarczi@marscharge.com</t>
  </si>
  <si>
    <t>MarsChargers are EV charging platforms that offer a variety of solutions, including dramatically reducing the costs and engineering constraints of DC fast-charging infrastructure, providing mobile charging with multi-use power capabilities (for homes and devices), and smart-charging that reduces EV battery pack degradation caused by charging</t>
  </si>
  <si>
    <t>EV charging platforms- constraints of DC fast-charging infrastructure working lab prototype need to show it can scale outside of the lab a bit early</t>
  </si>
  <si>
    <t>+Compelling vision +Credible team +Good industry links +Developed prototype</t>
  </si>
  <si>
    <t>Yes. MarsCharge is a successful graduate of NYU's Leslie ELab's Deep Tech Venture Program. We are a continuing and participating member of the Leslie Elab community, and the team there has been fantastic in giving their support and aid since the completion of that program.</t>
  </si>
  <si>
    <t>Dee Dao of the Leslie Elab referred us to this program.</t>
  </si>
  <si>
    <t>compare to EV charging stations</t>
  </si>
  <si>
    <t>Greg Besner - Adjunct Professor of Entrepreneurship in Stern</t>
  </si>
  <si>
    <t>Mountain View, California United States</t>
  </si>
  <si>
    <t>MarsCharge, Inc.</t>
  </si>
  <si>
    <t>Sissi Liu</t>
  </si>
  <si>
    <t>sissi@metalmark.xyz</t>
  </si>
  <si>
    <t>Metalmark is radically improving indoor air quality with the world's 1st smart self-renewing air purification system that reduces disease transmission risks and addresses growing environmental challenges such as wildfire smoke. Our system provides low-maintenance with as few filter replacements as once every five years (10x typical filter life).</t>
  </si>
  <si>
    <t>Jogchum Brinksma referral advanced air purification technology based on butterfly wings needs to show tech can scale needs a proof of concept and then go into production women founder</t>
  </si>
  <si>
    <t>They need to develop their prototype, however, the idea is interesting, so we can consider them</t>
  </si>
  <si>
    <t>Metalmark has been a part of multiple startup programs (in addition to many other awards that are not listed below). Ray of Hope, Biomimicry Institute Urban-X (BMW/MINI group) Plug and Play Harvard iLab and President's Challenge winner Greentown Labs Cleantech Open In addition, Metalmark is a current recipient of SBIR Phase II grants from the NSF and NIH, and many other state and federal awards such as the EPA's Clean Air During Wildfire Smoke Challenge.</t>
  </si>
  <si>
    <t>Jogchum Brinksma, Mentor at EFL and Investor in Metalmark</t>
  </si>
  <si>
    <t>Cambridge, MA United States</t>
  </si>
  <si>
    <t>Metalmark Innovations PBC</t>
  </si>
  <si>
    <t>Matteo Bertocchi</t>
  </si>
  <si>
    <t>matteo.bertocchi@novacsupercap.com</t>
  </si>
  <si>
    <t>Novac develops shapeable all-solid-state supercaps to solve safety and space issues of state of the art supercaps for automotive, aerospace and smart mobility providing a safe energy storage system that does not require a redesign of the vehicle</t>
  </si>
  <si>
    <t>shapeable all-solid-state supercaps in the concept phase but has been tested in lab need to show it works in the real world good team</t>
  </si>
  <si>
    <t>- Still in the concept phase + Would be really interesting to see if this succeeds in developing the tech as I have seen in the industry when working as a design engineer how painful to design everything based on supercaps shape and size - Came early to EFL?</t>
  </si>
  <si>
    <t>Novac has taken part in the first batch of Motor Valley Accelerator in Modena (Italy) held by Plug and Play in 2021.</t>
  </si>
  <si>
    <t>unique factor is creation of supercap in required shape for purchaser; seems too early; has lab testing so far; interested to see how they move into production</t>
  </si>
  <si>
    <t>Modena, MO Italy</t>
  </si>
  <si>
    <t>Novac</t>
  </si>
  <si>
    <t>Cattien Nguyen</t>
  </si>
  <si>
    <t>cattien.nguyen@ntherma.com</t>
  </si>
  <si>
    <t>NTherma Corporation has invented a revolutionary production technology to affordably manufacture a high-purity, structurally-precise, nanomaterial additive called NGraphene WiresTM that enables manufacturers of lithium ion batteries the ability to offer customers game-changing product improvements to density, charge rates, safety, and cycle-life.</t>
  </si>
  <si>
    <t>nanomaterials that are capable of energy storage in Lithium-ion batteries $90M valuation strong team, but having issues with scaling lots of capital to get production going</t>
  </si>
  <si>
    <t>(+)The technology seems novel (+)Raised 6 million and currently raising $48,500,000 (+) should improve energy densities by 50%. (+)Increased Life-Cycle projected to improve more than 2X (+)Faster Charge-rate projected to safely enable charging 5X faster than current rates (+)Lower variation in cells capacity by approximately 15%</t>
  </si>
  <si>
    <t>Series A|Debt financing</t>
  </si>
  <si>
    <t>Fremont, California</t>
  </si>
  <si>
    <t>NTherma Corporation</t>
  </si>
  <si>
    <t>Gediz Karaca</t>
  </si>
  <si>
    <t>gediz.karaca@odqa.com</t>
  </si>
  <si>
    <t>Odqa is a spinout from the University of Oxford transferring jet engine knowledgebase into the solar thermal industry and replacing the combustion with sunlight. Odqa decarbonises industrial processes, electricity generation and hydrogen production with its cutting-edge, air-based solar thermal receiver.</t>
  </si>
  <si>
    <t>air-based solar thermal receiver with high thermal conversion efficiency and low cost strong team need to get customers/pilots $20M series a with $10M circled</t>
  </si>
  <si>
    <t>+Credible team +Novel technology +Lots if investment +Working prototype +Large potential market</t>
  </si>
  <si>
    <t>we have recently graduated from Creative Destruction Lab (CDL)</t>
  </si>
  <si>
    <t>London, - United Kingdom</t>
  </si>
  <si>
    <t>Odqa Renewable Energy Technologies Limited</t>
  </si>
  <si>
    <t>Eren Canarslan</t>
  </si>
  <si>
    <t>eren@olympianmotors.com</t>
  </si>
  <si>
    <t>Olympian Motors is a disruptive EV startup, building classy and minimalist Electric Vehicles with a modularized, rapid production model.</t>
  </si>
  <si>
    <t>Not sure about this takes a lot of capital to build EV cars and the infrastructure Is minimal design enough modularized production/assembly architecture can it scale?</t>
  </si>
  <si>
    <t>+Building classy and minimalist Electric Vehicles with a modularized, rapid production model. - Didn't get how they have +$16M pre-booked revenue when they charge $500 per each order and 175 orders are in existence. &gt; First product will be delivered in Q4 2022 &gt;one of the founders is female from NYU</t>
  </si>
  <si>
    <t>Pre-seed</t>
  </si>
  <si>
    <t>Y Combinator. But our batch is completed by May 2022.</t>
  </si>
  <si>
    <t>Mentors would be interested?; minimalistic EV car; would need intense capital build; 16M in pre book revenue allegedly, but their math doesn't quite work out; NYU founded team;</t>
  </si>
  <si>
    <t>609 Greenwich St, New York, NY 10014, NY United States</t>
  </si>
  <si>
    <t>Olympian Motors</t>
  </si>
  <si>
    <t>Ayisha Panhwar</t>
  </si>
  <si>
    <t>ayisha@panhwarjet.com</t>
  </si>
  <si>
    <t>Panhwar is designing and building the world's first all-electric self-charging aircraft. Due to our innovative green technology our all-electric aircraft will fly longer and faster. We are bringing sustainable and true green technology to aerospace industry.</t>
  </si>
  <si>
    <t>Nee to take out of MVP stage and raise lots of capital</t>
  </si>
  <si>
    <t>- Technology sounds Interesting but they are developing prototype - Their competitor Eviation has its fight anticipated this year and better load carrying capacity</t>
  </si>
  <si>
    <t>Not for this startup. yes for our first startup.</t>
  </si>
  <si>
    <t>Kamas, Utah United States</t>
  </si>
  <si>
    <t>Panhwar Jet</t>
  </si>
  <si>
    <t>Peter Levermore</t>
  </si>
  <si>
    <t>pete@peroled.com</t>
  </si>
  <si>
    <t>PeroLED is developing a novel LED technology called TurboLED® to reduce the power consumption of displays. TurboLED® extends the daily battery life of smartphones, tablets, laptops, watches and other portable devices by up to two hours, providing convenience to customers who need to charge and replace their devices less frequently.</t>
  </si>
  <si>
    <t>display technology intended for more colorful displays. novel light-emitting materials and devices, enabling users with enhanced efficiency and color gamut of displays. Needs funding and get the product into production device fabrication and image processing</t>
  </si>
  <si>
    <t>+Credible team +Novel technology +Large potential market</t>
  </si>
  <si>
    <t>Orbit Research Institute, NETPark, Thomas Wright Way, Sedgefield, TS21 3FD, County Durham United Kingdom</t>
  </si>
  <si>
    <t>PeroLED</t>
  </si>
  <si>
    <t>Timothy Mui</t>
  </si>
  <si>
    <t>tmui@mit.edu</t>
  </si>
  <si>
    <t>Pharmor enables the production of microbes as biofertilizers that were previously impossible to produce, increasing crop yields and supporting sustainable agriculture.</t>
  </si>
  <si>
    <t>While both founders are part-time, I spoke with Ariel who said they could easily devote 8-10 hours per week to the program; the tech is very early but it should be a breakthrough technology; the founders are experts in their field (MIT, Caltech), and the market opportunity should be large; I think they are worth interviewing to learn more</t>
  </si>
  <si>
    <t>+Credible team with advanced chemistry degrees +Novel technology +Provisional patent -Might be too early ~Maybe ask about main reasons microbes are better than traditional fertilizers in interview</t>
  </si>
  <si>
    <t>We participated in the Delta V program through MIT in the summer of 2022.</t>
  </si>
  <si>
    <t>Founders are only part-time; uses microbes over chemicals, but microbes are hard to protect during transport, created protective coating; significantly chepaer than current processes; very strong team, but very early in company; committed to 8-10 hours/week for EFL; currently working out relationship with MIT</t>
  </si>
  <si>
    <t>Pharmor</t>
  </si>
  <si>
    <t>Kent McCormick</t>
  </si>
  <si>
    <t>kmccormick@photonvault.com</t>
  </si>
  <si>
    <t>Photon Vault is a supplier of grid scale storage services to wholesale electricity markets. We leverage our patented technology to combine thermal energy from solar or waste heat sources with low cost electrical energy to store thermal energy. When prices are high, we convert the thermal energy to electrical energy and sell it.</t>
  </si>
  <si>
    <t>supplier of grid-scale storage services to wholesale electricity markets Good team Tech needs to scale EFL can help with funding</t>
  </si>
  <si>
    <t>+The team seem credible and well developed +The potential market is large and their technology is patented ~They have many competitors so it might be worth asking in an interview what differentiates them</t>
  </si>
  <si>
    <t>for int: what differentiates you from other energy storage companies?</t>
  </si>
  <si>
    <t>San Ramon, California United States</t>
  </si>
  <si>
    <t>Photon Vault</t>
  </si>
  <si>
    <t>Dillon Baxter</t>
  </si>
  <si>
    <t>dbaxter@plantswitch.com</t>
  </si>
  <si>
    <t>PlantSwitch uses plants to make plastic, creating single-use plastic alternatives like straws, cutlery, and more that are eco-friendly, affordable, and function like traditional plastic products.</t>
  </si>
  <si>
    <t>conversion of hemp-derived cellulose and nanofiber into a bioplastic resin manufacturer of plant-based biodegradable products that function like regular plastic $3M in revenue</t>
  </si>
  <si>
    <t>+Good Idea. +Team has a good idea and good business strategy personnel. -I am not sure about the strength of the technical team, considering them as part timer -There are many attempts for making bioplasts going on already.</t>
  </si>
  <si>
    <t>No, I have never even applied to one as I think most of them are a distraction, but this looks like the perfect fit for where we are at what we are building.</t>
  </si>
  <si>
    <t>PlantSwitch</t>
  </si>
  <si>
    <t>Soner Haci</t>
  </si>
  <si>
    <t>soner@ponstech.co</t>
  </si>
  <si>
    <t>PONS is a compact ultrasound device that can be used by consumers with an AI-driven cognitive function that autonomously performs the risk assessment of health conditions, smart image processing, with a mobile ultrasound device, and reporting the findings to doctors.</t>
  </si>
  <si>
    <t>software that makes it possible to perform ultrasound scans they need trial data and a business model that can scale licensing model is tricky</t>
  </si>
  <si>
    <t>+Credible and passionate team +Compiling vision and roadmap +Novel and propriety tech +MVP and trials with hospital +Large potential market</t>
  </si>
  <si>
    <t>We have participated in Bayer, Roche, C3 HSBC and CVL labs programs.</t>
  </si>
  <si>
    <t>still pending FDA approval; for at home non specialized user ultrasounds; question for interview: can the average person really diagnose themselves? what is the ease of use?</t>
  </si>
  <si>
    <t>123 Town Square Place Jersey City, NJ 07310, New Jersey United States</t>
  </si>
  <si>
    <t>PONS</t>
  </si>
  <si>
    <t>Jeremy O'Brien</t>
  </si>
  <si>
    <t>ceo_office_operation@psiquantum.com</t>
  </si>
  <si>
    <t>Qlimate builds partnerships that develop and scale end-to-end climate technologies enabled by quantum computing.</t>
  </si>
  <si>
    <t>partner with companies in industries that prevent climate change using quantum computer to generate models and make predictions having an issue with customer traction and business model wholly-owned subsidiary of PsiQuantum ($3.4B)</t>
  </si>
  <si>
    <t>+Credible passionate team +Industry experience +Successful parent company -Qlimate itself does not seem to be a startup</t>
  </si>
  <si>
    <t>seems funded by parent company; looking for application for hardware that doesn't quite exist yet? slightly confusing; should we speak to them to understand more?</t>
  </si>
  <si>
    <t>700 Hansen Way Palo Alto CA 94304, California United States</t>
  </si>
  <si>
    <t>Qlimate LLC</t>
  </si>
  <si>
    <t>Amaury Ciurana</t>
  </si>
  <si>
    <t>amaury.ciurana@reev.care</t>
  </si>
  <si>
    <t>REEV develops a light and intelligent knee exoskeleton to help people affected by gait disorders to regain their daily mobility by walking, standing, sitting and climbing stairs with greater ease. REEV gathers a team of 10 engineers with a solid clinical board. In 1,5 years, we won a 1M? innovation prize and built a patented functional prototype</t>
  </si>
  <si>
    <t>Deep Tech (although they list many potential LS mentors in their app). Intelligent knee exoskeleton to help people affected by gait disorders to regain their daily mobility. AI gait analysis algorithms analyze and predict patient motion in real time, so that when a patient begins to stand up or walk the hydraulic system will automatically provide gait assistance. French company looking to gain access to the U.S. Great scientific team (CEO studied at UC Berkeley), with expertise in engineering, robotics, aerospace, AI, biomechanics, etc. KOL on the board with 100+ publications in gait. Prototyped, tested on CTO (see demo), and talked to 200+ patients, physicians, orthotists and physical therapists to be sure they wanted this type of solution. Submitted global patent applications recently.</t>
  </si>
  <si>
    <t>Does it adapt to the changes in walking? Or you have to recalibrate whenever walking pattern changes?</t>
  </si>
  <si>
    <t>We have been affiliated with one regional incubator in France : Nubbo l'Incubateur; from May 2021 to May 2022. Nubbo helped us to define our business model : sell our intelligent knee motorization to orthoses manufacturers.</t>
  </si>
  <si>
    <t>Change to DT; could be LS, but better in DT; uses AI gait analysis to predict movement in realtime to move patient via exoskeleton; currently prototyped, have done market research; recent patent submission; not much validation so far</t>
  </si>
  <si>
    <t>Toulouse, Occitanie France</t>
  </si>
  <si>
    <t>REEV</t>
  </si>
  <si>
    <t>Aileen Mastouri</t>
  </si>
  <si>
    <t>aileen@revivbio.com</t>
  </si>
  <si>
    <t>RevivBio develops next-generation of safe and efficacious bio-inspired crop and animal health modalities to address the devastating losses caused by emerging diseases and multi-drug resistant pests that cannot be controlled with current solutions.</t>
  </si>
  <si>
    <t>Could be big if it can scale Good team women founder Platform Licensing those IPs from Harvard an issue?</t>
  </si>
  <si>
    <t>+ Working on one of the key pain areas in the food industry + Looks like the team is capable of pulling off the solution with support + Developed Pico Platform</t>
  </si>
  <si>
    <t>Yes, I just started participating in the Frequency Bio, Boston, MA.</t>
  </si>
  <si>
    <t>Dr. Magali Soumillon</t>
  </si>
  <si>
    <t>Boston, MA United States</t>
  </si>
  <si>
    <t>RevivBio Inc</t>
  </si>
  <si>
    <t>Thomas Wolf</t>
  </si>
  <si>
    <t>twolf@silicontechnologiesinc.com</t>
  </si>
  <si>
    <t>Silicon Technologies provides U.S. based State of the Art Analog Semiconductor Products.</t>
  </si>
  <si>
    <t>- Lots of funding from DoD - Need EFL support in busi dev and hiring - Nees to show this can scale - Do they need EFL?</t>
  </si>
  <si>
    <t>Technology sounds good with the work they have done in recent years, we can invite them.</t>
  </si>
  <si>
    <t>semiconductor company; targeting five companies currently, trying to solve supply chain in chip shortages. trying to see if they can be acquired by larger tech companies; have raised good funding; scaling in this market is a concern</t>
  </si>
  <si>
    <t>Salt Lake City, UT United States</t>
  </si>
  <si>
    <t>Silicon Technologies, Inc.</t>
  </si>
  <si>
    <t>Daniel Delano</t>
  </si>
  <si>
    <t>daniel@skyhooksolar.com</t>
  </si>
  <si>
    <t>Skyhook Solar has created the Solar Station, a modular, portable EV and Micromobility charger ready for any location. We are first-to-market and make micromobility both profitable and sustainable, by providing zero-emissions solar power and large-capacity battery storage while eliminating sunk costs of construction and permitting.</t>
  </si>
  <si>
    <t>+Design, geometry and self-ballasted nature of the Solar Station +Creating Solar Station, a modular, portable EV and Micro mobility charger ready for any location +Team looks good and the founder has startup experience - need scale fast</t>
  </si>
  <si>
    <t>$2.5M to $5M</t>
  </si>
  <si>
    <t>XI Accelerator</t>
  </si>
  <si>
    <t>Contacted by email after Pitch at Venture Summit.</t>
  </si>
  <si>
    <t>applied LY or 2020; now partnered with LYFT; strong team with growth since last app; however tech not particularly novel</t>
  </si>
  <si>
    <t>1280 S Ute Ave Suite 4, Aspen CO, 81611, Colorado United States</t>
  </si>
  <si>
    <t>Skyhook Solar Corp.</t>
  </si>
  <si>
    <t>Fabian De La Fuente</t>
  </si>
  <si>
    <t>fabian@solaires.net</t>
  </si>
  <si>
    <t>Solaires has developed a patent-pending perovskite Solar InkTM that replaces silicon in solar cells to help solar cell manufacturers meet market demands for applications that require flexible solar cells. Unlike silicon, perovskite solar cells are flexible, lighter, can generate upto 2x times more power, and provide a greater range of applications.</t>
  </si>
  <si>
    <t>perovskite solar cells applied last year closed round and has 120 leads on a weighted sales pipeline of over $4M can be applied to many surfaces as it's flexible and light need to take into the real world</t>
  </si>
  <si>
    <t>+Well developed and credible team +Novel technology +Large potential market</t>
  </si>
  <si>
    <t>Other: Smart Money Bridge Round</t>
  </si>
  <si>
    <t>Smart Money Bridge Round to open in August 2022</t>
  </si>
  <si>
    <t>Yes, Foresight Investor Readiness Workshop (Canada) Spring Activator (Vancouver) Creative Destruction Lab, Vancouver Cleantech Coast Capital Savings Innovation Centre (University of Victoria) VentureLabs tech undivided (Ontario, Canada) Angels for Climate Solutions (Vancouver) Earth Tech (Climate Ventures) Deep Tech Pioneers (Paris, France)</t>
  </si>
  <si>
    <t>201-2610 Douglas St, Victoria, British Columbia Canada</t>
  </si>
  <si>
    <t>Solaires Entreprises Inc</t>
  </si>
  <si>
    <t>Michael Morehead</t>
  </si>
  <si>
    <t>michael@syglass.io</t>
  </si>
  <si>
    <t>syGlass enables 'direct volume rendering' of CT, MRI, and 3D microscopy image in virtual reality. This technology empowers students, scientists, medical practitioners, and material scientists to quickly and deeply understand, quantify, and communicate their image volumes, creating a new paradigm in scientific communication and publishing.</t>
  </si>
  <si>
    <t>University research and MedTech focus Needs to get funding to hire a team Continue to grow the customer pipeline Ethel Rubin referral</t>
  </si>
  <si>
    <t>-Small Team size needs support in Talent acquisition and fundraising</t>
  </si>
  <si>
    <t>UC Berkeley Skydeck</t>
  </si>
  <si>
    <t>strong company right now; going through EFL would give them a much more competitive edge</t>
  </si>
  <si>
    <t>Morgantown, WV United States</t>
  </si>
  <si>
    <t>syGlass, Inc</t>
  </si>
  <si>
    <t>Wayne Rickard</t>
  </si>
  <si>
    <t>wrickard@terecircuits.com</t>
  </si>
  <si>
    <t>Terecircuits reinvents semiconductor back-end manufacturing through advanced materials and tools that are orders of magnitude faster and more accurate than current technology, providing increased yield and throughput to constrained supply chains, while reducing cost.</t>
  </si>
  <si>
    <t>materials and integrated circuits designed to build various products and devices at scale long lead time in sales cycle great tech good team</t>
  </si>
  <si>
    <t>+Novel technology +Team seems credible +Working prototype +The have multiple patents</t>
  </si>
  <si>
    <t>We were part of the Pepperdine "Most Fundable Company" program, which we won in 2020</t>
  </si>
  <si>
    <t>Mountain View, CA United States</t>
  </si>
  <si>
    <t>Terecircuits Corporation</t>
  </si>
  <si>
    <t>Reviewed on 08/24/2022</t>
  </si>
  <si>
    <t>Trizna Endre</t>
  </si>
  <si>
    <t>endre.trizna@timedrips.com</t>
  </si>
  <si>
    <t>Timedrips' long-term vision is to create an anti-gravity product line that encourages people to use water responsibly.|This is extremely important, because water scarcity is a major problem in many parts of the world today, and in the future it will become an increasingly large problem.|</t>
  </si>
  <si>
    <t>interesting and potentially game changing innovation if it works. would like to see how much water is actually saved and use cases where it performs. licensing business model may also limit value capture.</t>
  </si>
  <si>
    <t>DT anti gravity faucet small market? seem to be underestimated show it can work and saves water</t>
  </si>
  <si>
    <t>Seed|Bridge</t>
  </si>
  <si>
    <t>We have been worked together with Mandolab in their investment Case Program.</t>
  </si>
  <si>
    <t>Change to DT; Water and energy saving faucet;</t>
  </si>
  <si>
    <t>Hatvan Heves, Hungary</t>
  </si>
  <si>
    <t>Timedrips Kft.</t>
  </si>
  <si>
    <t>Ryan Westerdahl</t>
  </si>
  <si>
    <t>rwesterdahl@turionspace.com</t>
  </si>
  <si>
    <t>Turion Space designs manufacture and operate satellites providing services including space-domain-awareness data collection, in-orbit transportation, and orbital debris services for DoD, and Commercial Companies. Our go-to-market is focused on data generation, which enhances space resiliency, increases space sustainability, and has a huge demand.</t>
  </si>
  <si>
    <t>designs manufacture and operate satellites providing different services stong YC and SpaceX team</t>
  </si>
  <si>
    <t>+won four Space Force Phase I STTR milestones-based contracts ($1M) + Designs to manufacture and operate satellites + People from SpaceX team + revenue of 1M in contracts</t>
  </si>
  <si>
    <t>Bridge</t>
  </si>
  <si>
    <t>Y-Combinator</t>
  </si>
  <si>
    <t>Strong seed round funding; strong milestones already established; founders involved with SpaceX previously, YC experience as well</t>
  </si>
  <si>
    <t>Irvine, CA United States</t>
  </si>
  <si>
    <t>Turion Space</t>
  </si>
  <si>
    <t>Nicholas Seet</t>
  </si>
  <si>
    <t>nsseet@gmail.com</t>
  </si>
  <si>
    <t>Our patented solar thermal desalination tech turns salty water into clean water with zero liquid discharge. We use this potable water to plant trees in deserts. This project contemplates afforestation of 1 square mile (259 hectares) of desert shrubland in the southwestern USA in order to capture 100,000+ tonnes of CO2 per year and sell to corps.</t>
  </si>
  <si>
    <t>Good tech needs to validate further and shows it works at scale. How will they get around regulation and land acquisition: https://www.desertcontrol.com/</t>
  </si>
  <si>
    <t>+Trying to perform carbo capture with desert afforestation using their patented technology that turns salt water to potable water +The have a credible and passionate team +The long term vision is compelling +Have completed a pilot project in the UAE</t>
  </si>
  <si>
    <t>MassChallenge Houston 2021</t>
  </si>
  <si>
    <t>Gust</t>
  </si>
  <si>
    <t>Los Alamos, NM United States</t>
  </si>
  <si>
    <t>Undesert Corporation</t>
  </si>
  <si>
    <t>Douglas Vincent</t>
  </si>
  <si>
    <t>dougvincent@VentriFlo.com</t>
  </si>
  <si>
    <t>VentriFlo, Inc. pulsatile blood pumps deliver a life-like pulse that enhance blood flow deep within organs for patients who require temporary heart support, achieving superior patient outcomes and reduced costs. VentriFlo® True Pulse Pump? deliver blood flow the way it should be - just like the native heart, something no other technology can do.</t>
  </si>
  <si>
    <t>Pulsatile blood pump to replace continuous flow pumps for optimal organ perfusion in heart surgery. Demonstrated physiological flow in a porcine model. IP is well protected. Marc Sadam recommendation. $16.5M raised so far, need a little more for 510(k) application and launch to identified KOLs. NYU's Nader Moazami is on their board - he recently performed pig-to-human heart transplant, featured in WSJ. Also have amazing KOLs involved from Cleveland Clinic, NYU Langone, MGH.</t>
  </si>
  <si>
    <t>Tugba Oncu</t>
  </si>
  <si>
    <t>This device provides pulsatile flow during cardiac surgeries to provide distribution of blood to the smaller capillaries thereby to minimize organ damage after the surgery, which happens with continuous flow devices. Mark Sadam is the referral (Vice President, Technology Opportunities and Ventures at Langone)</t>
  </si>
  <si>
    <t>$5 Million</t>
  </si>
  <si>
    <t>Won matching State of New Hampshire grants from the New Hampshire Innovation Research Center (NHIRC) for initial preclinical work at Dartmouth-Hitchcock Medical Center. Won Food and Drug Administration (FDA) grant #P50FD004895 for work on pediatric applications, collaborating with University of Alabama-Birmingham (UAB)</t>
  </si>
  <si>
    <t>Marc Sadam</t>
  </si>
  <si>
    <t>change to DT; to replace continuous flow pumps during surgery; demonstrations in pig, IP protected; on board is NYU surgeon who performed pig to human heart transplants</t>
  </si>
  <si>
    <t>NYU Staff</t>
  </si>
  <si>
    <t>70 Bridge Street #7, New Hampshire United States</t>
  </si>
  <si>
    <t>VentriFlo, Inc.</t>
  </si>
  <si>
    <t>Kyle Smith</t>
  </si>
  <si>
    <t>kyle@vicirobotics.com</t>
  </si>
  <si>
    <t>Vici helps grocers automate their most labor-intensive tasks, such as shelf stocking and e-commerce picks, using robotics and AI/ML.</t>
  </si>
  <si>
    <t>helps grocers automate their most labor-intensive tasks, such as shelf stocking need to scale and show the robots can be deployed a range of different stores build a moat and capture market</t>
  </si>
  <si>
    <t>+ Tech includes algorithms as well as hardware models. + Works on making labor automation, picking and putting th products, can be used for the stock house. We Should Invite</t>
  </si>
  <si>
    <t>SOSV (HAX)</t>
  </si>
  <si>
    <t>have pilots going currently, booking more contracts;</t>
  </si>
  <si>
    <t>San Jose, California United States</t>
  </si>
  <si>
    <t>Vici Robotics</t>
  </si>
  <si>
    <t>Jessie Perez</t>
  </si>
  <si>
    <t>jessie@violett.com</t>
  </si>
  <si>
    <t>Violett uses our portable air disinfection units to kill the virus that causes Covid19 and other pathogens circulating in the air. Independent third party testing shows our cyclonic air handling technology is significantly faster and cheaper than hospital grade competitors on the market.</t>
  </si>
  <si>
    <t>Seems to purify air much better than competitors. Platform company -- have plans to build HVAC, overhead and for transport. Pilot with military/DoD. Solid team. A bit behind on protecting IP. We should interview.</t>
  </si>
  <si>
    <t>Deep Tech. alumni of the Jones and Foster Accelerator at University of Washington. A portable air disinfection units to kill the virus that causes Covid19 and other pathogens circulating in the air.</t>
  </si>
  <si>
    <t>We are alumni of the Jones and Foster Accelerator at University of Washington</t>
  </si>
  <si>
    <t>change to DT; out of Un. Washington Accel. Strong fundraising, but not a lot of revenue (about 10 customers); looks like direct to consumer right now, but have plans to expand into other applications</t>
  </si>
  <si>
    <t>5727 Baker Way Ste 102 Gig Harbor, WA United States</t>
  </si>
  <si>
    <t>Violett</t>
  </si>
  <si>
    <t>Dong Ho Cho</t>
  </si>
  <si>
    <t>dhcho@kaist.ac.kr</t>
  </si>
  <si>
    <t>WiPowerOne provides wireless power charging solution for electric vehicles to overcome the existing plug-in charging problems such as risk of fire and electric shock, inconvenience, high maintenance cost, plug-in compatibility issue, etc.</t>
  </si>
  <si>
    <t>provides wireless power charging solution for electric vehicles ~$300K from gov contract need to show it can scale $10M series A</t>
  </si>
  <si>
    <t>+Novel technology +Credible founder +$310 revenue -Requires a lot of investment</t>
  </si>
  <si>
    <t>Series B and above</t>
  </si>
  <si>
    <t>N/A</t>
  </si>
  <si>
    <t>Mujiro 193 Truth Hall T106, Yuseong gu, Daejeon, Daejeon Korea, Republic of</t>
  </si>
  <si>
    <t>WiPowerOne</t>
  </si>
  <si>
    <t>Patrick Teyssonneyre</t>
  </si>
  <si>
    <t>patrick.teyssonneyre@xinterra.tech</t>
  </si>
  <si>
    <t>Xinterra uses it's machine learning-driven platform to help companies in the chemicals and materials industries to radically accelerate their materials R&amp;D processes by 10x, targeting materials for sustainability. Xinterra is also using its platform to develop its portfolio of materials IP for direct air capture (DAC).</t>
  </si>
  <si>
    <t>+ Developing a new material for big companies usually takes time as it required their R&amp;D to be dealing with many factors in such cases the materials aspects can be given to companies like this (Ex: Tesla cyber track glass )</t>
  </si>
  <si>
    <t>+ 1. Core technology is advanced, and its rigor tested both in academia and research 2. The problem the company is trying to solve is a real one, and the team seems to possess the experience and skill to attempt a solution 3. The startup is already working with customers, and the model of their business seems sustainable, at least from the technical point of view.</t>
  </si>
  <si>
    <t>USD 1.5 million</t>
  </si>
  <si>
    <t>We are part of the batch 13 of Plug and Play's New Materials and Packages global acceleration program. We are a member of the MIT Startup exchange program. And we were accelerated by the Permacolony program (https://audacity.world/permacolony/).</t>
  </si>
  <si>
    <t>77 Robinson Road, #16-0, Singapore 068896, Singapore Singapore</t>
  </si>
  <si>
    <t>Xinterra</t>
  </si>
  <si>
    <t>Apurva Mody</t>
  </si>
  <si>
    <t>apurva.mody@airanaculus.com</t>
  </si>
  <si>
    <t>AiRANACULUS simplies provisioning and management of all types of wireless networks. The core technology enables resources and needs optimization of the network for wide variety of use cases and applications such as defense and homeland security, space, energy, agriculture, health care etc.</t>
  </si>
  <si>
    <t>Tech is significant; $14M working with NASA, DoD, and Intelligence community; advisors are off the chart</t>
  </si>
  <si>
    <t>Joseph Stern</t>
  </si>
  <si>
    <t>Won impressive contracts including from NASA. A very good bet.</t>
  </si>
  <si>
    <t>Strong advisors; but unclear on who the team is (no deck or demo); 14M in contracts, including NASA; has worked with DoD and National Secuirty community; CEO is former $2B NGO; other strong team members as well</t>
  </si>
  <si>
    <t>491 Dutton St., Suite 105, MA United States</t>
  </si>
  <si>
    <t>AiRANACULUS</t>
  </si>
  <si>
    <t>Ofir Zilberberg</t>
  </si>
  <si>
    <t>ofir@arpalus.com</t>
  </si>
  <si>
    <t>Arpalus harnesses computer-vision, AI and AR to provide a more efficient and engaging retail environment. We enable retailers and brands to collect, measure and analyze important data from physical shelves in real-time through a simple smartphone app and an intuitive dashboard.</t>
  </si>
  <si>
    <t>solving real need in a niche, but large, market. experienced team.</t>
  </si>
  <si>
    <t>Great product and team, but needs a bit more validation.</t>
  </si>
  <si>
    <t>The Nielsen Innovate incubator</t>
  </si>
  <si>
    <t>simple yet effect; exploring partnership with Walmart; team has strong background in retail and computer vision</t>
  </si>
  <si>
    <t>Tenafly, NJ United States</t>
  </si>
  <si>
    <t>Arpalus</t>
  </si>
  <si>
    <t>Dave Robbins</t>
  </si>
  <si>
    <t>dave.robbins@azarc.io</t>
  </si>
  <si>
    <t>We are building intelligent workflow management software to solve delays in logistics, supply chain and customs clearance for countries affected by Brexit and Covid. We provide importers and exporters the necessary technology to automate the process required to ship, declare and pay taxes so traders can focus on delivering goods without delay.</t>
  </si>
  <si>
    <t>This company was interviewed last year and was close to being admitted. The reason they weren't was due to their focus on the UK. They have since grown revenues to 7 figures and have a pilot with the UK government; they would like to enter the US market and want EFL's help with it. I think they should be interviewed again.</t>
  </si>
  <si>
    <t>Global supply chain breakdown is a huge problem contributing to high inflation. The pain point is international and acute. There is market demand for the product. The company has proven technology and products as validated by the UK government and its annual recurring revenue. It's goal of entering the US market means that EFL mentorship is needed and all the more relevant.</t>
  </si>
  <si>
    <t>OC Octane Top Ten 2021 Tech Innovation Forum (TIF) Digital Supply Chain Institute Member British American Business Council.</t>
  </si>
  <si>
    <t>interview from last year, were very close LY; addresses supply chain issues in a very manual process; has an offer from UK gov't. Definitely interview; timing is important now in r/t global supply chain issues in shipping and customs work; very timely company</t>
  </si>
  <si>
    <t>530 Technology Dr Suite 100 &amp; 200 Irvine, CA 92618, United States, CA United States</t>
  </si>
  <si>
    <t>Azarc.io Inc</t>
  </si>
  <si>
    <t>José Fernández</t>
  </si>
  <si>
    <t>jose@bankuish.com</t>
  </si>
  <si>
    <t>Bankuish provides gig workers easy access to affordable and ethical credit and banking services.</t>
  </si>
  <si>
    <t>Good area to focus on given the need for better credit scoring for the workers in the gig economy. Strong track record of generating ARR at this stage of the startup.</t>
  </si>
  <si>
    <t>+ 1. big potential 2. good team 3. tech if works, would be hard to imitated -- see Notes on Technology for followup questions</t>
  </si>
  <si>
    <t>- Google for Startups - Santander Global X - Intuit Acceleration program</t>
  </si>
  <si>
    <t>similar to DiDi; high potential for high valuation down the road;</t>
  </si>
  <si>
    <t>New York, NY United States</t>
  </si>
  <si>
    <t>Bankuish</t>
  </si>
  <si>
    <t>William Nguyen</t>
  </si>
  <si>
    <t>William@beowulfchain.com</t>
  </si>
  <si>
    <t>Beowulf Blockchain is the Decentralized Communication and Data Network enabling businesses to provide data and communication features for their businesses without barriers anywhere, anytime and on any device.</t>
  </si>
  <si>
    <t>DiT B2B cloud communication software Needs business dev and scaling uses decentralized cloud network explicitly targeting customizable communications for businesses $20M series A undisclosed amount of venture funding from R-930 Capital, Redline DAO and ZBS Capital on January 19, 2022</t>
  </si>
  <si>
    <t>+ Decentralized Communication and Data Network to provide data and communication features &gt;&gt; DIT + Validated with over 1m in vietnam + Beowulf blockchain lays the infrastructure for exchanging and delivering various innovative solutions. It features a Large transaction volume, Fast transaction confirmation. &gt;dual-coin structure &gt;&gt; Planning to raise 20M in series A funds</t>
  </si>
  <si>
    <t>$20M</t>
  </si>
  <si>
    <t>None</t>
  </si>
  <si>
    <t>Change to DiT; strong funding so far</t>
  </si>
  <si>
    <t>333 W. San Carlos Street, San Jose, CA United States</t>
  </si>
  <si>
    <t>Beowulf Network Inc.</t>
  </si>
  <si>
    <t>Jason Lee</t>
  </si>
  <si>
    <t>jason@bintango.com</t>
  </si>
  <si>
    <t>BintanGO offers financial solutions, productivity and monetization tools for creators to help them manage and grow their business. We collect creator engagement data, real job data to provide better options for brands and financing to creators based on our proprietary CreatorScore risk assessment criteria.</t>
  </si>
  <si>
    <t>- Creative business model: credit, lending, payment, billing, connecting brands with influencers. - Technology also creative in the method of rating the creator's fit with brand. - Can definitely expand business model beyond Asia. - Should interview.</t>
  </si>
  <si>
    <t>Frank Vallese</t>
  </si>
  <si>
    <t>Looks like a solid team with some early revenue. Worth a deeper look.</t>
  </si>
  <si>
    <t>connects creatives with brands (not the novel part), issues essentially a credit score to these partnered creatives for lending and other financial institutions to use; could turn into credit score API;</t>
  </si>
  <si>
    <t>PT. Stargo Digital Indonesia, Cyber2 Tower, Jl. H. R. Rasuna Said No.13, RT.7/RW.2, Kuningan, Kuningan Tim., Kecamatan Setiabudi, Kota Jakarta Selatan, Daerah Khusus Ibukota Jakarta 12950, Jakarta Indonesia</t>
  </si>
  <si>
    <t>BintanGO</t>
  </si>
  <si>
    <t>Michael Bank</t>
  </si>
  <si>
    <t>michael@tryblip.com</t>
  </si>
  <si>
    <t>Blip Labs Technologies, Inc is a fintech bill pay company that utilizes machine learning and data analytics to provide fintech companies and financial institutions with the tools and insights needed to improve the financial health of their end-users.</t>
  </si>
  <si>
    <t>- Impressive list of investors. - NYU graduate - fintech product that decreases friction in bill payment and increase consumer financial wellness.</t>
  </si>
  <si>
    <t>Matt Myers</t>
  </si>
  <si>
    <t>Strong momentum and strong need. NYU Stern alum. Scalable: EFL fit.</t>
  </si>
  <si>
    <t>I am a Stern Venture Fellow and previously completed Y-Combinator?s Start-Up School. My co-founder is a member of the OnDeck Fintech Fellowship. We have participated in these various accelerators and fellowship opportunities for the insights, connections, and funding that the programs provide.</t>
  </si>
  <si>
    <t>NYU Student</t>
  </si>
  <si>
    <t>Blip Labs Technologies, Inc.</t>
  </si>
  <si>
    <t>Shaun Gordon</t>
  </si>
  <si>
    <t>sgordon@breachquest.com</t>
  </si>
  <si>
    <t>BreachQuest is building Priori, the first modern incident response platform, to reimagine the incident response process and minimize breach cost and downtime. Priori delivers speed, scale and automation to incident response teams that currently rely on a labor intensive approach.</t>
  </si>
  <si>
    <t>Cybersecurity incident response platform. Founders seem to have great experience with prior exits; solution seems like a unique approach but need to understand differentiation from competitors (Kroll, Mandiant). I think they are worth interviewing.</t>
  </si>
  <si>
    <t>Boyang Yu</t>
  </si>
  <si>
    <t>No, I did On Deck Founders Fellowship</t>
  </si>
  <si>
    <t>5931 Greenville Ave Suite 5525, Texas United States</t>
  </si>
  <si>
    <t>BreachQuest</t>
  </si>
  <si>
    <t>Wernhard Berger</t>
  </si>
  <si>
    <t>wernhard.berger@breatheilo.com</t>
  </si>
  <si>
    <t>breathe ilo develops solutions for menstrual cycle-tracking and deciphering female, cycle-based health to enable 20-50y old, health-conscious women around the world to effectively conceive, optimize their wellbeing by living a cycle-adjusted life, and soon to naturally contracept.</t>
  </si>
  <si>
    <t>interesting tech - breathe into device to detect where a person is in her cycle; solid traction and fundraising; team has good background; key difference from clearview seems to be breathing into device vs. urine test (accuracy seems similar) - is this difference meaningful enough for end users?</t>
  </si>
  <si>
    <t>large potential market large-scale field studies for validation support from VC &amp; governmental research grant</t>
  </si>
  <si>
    <t>Other: pre-Series A (between Seed and Series A)</t>
  </si>
  <si>
    <t>4.5m</t>
  </si>
  <si>
    <t>Tech4Eva (2021) GoSiliconValley by Austrian Chamber of Commerce (Q1 2022)</t>
  </si>
  <si>
    <t>Robert Padulo</t>
  </si>
  <si>
    <t>Vienna, Vienna Austria</t>
  </si>
  <si>
    <t>breathe ilo GmbH</t>
  </si>
  <si>
    <t>Ranjan Reddy</t>
  </si>
  <si>
    <t>ranjan@bureau.id</t>
  </si>
  <si>
    <t>Bureau helps organisations understand which of their users are trustworthy across different legs of the user journey, while ensuring businesses can focus on growth. Our motive is to help businesses make better decisions on whom to onboard, and ensure trustworthy users get incentivised for being genuine.</t>
  </si>
  <si>
    <t>Important piece of cybersecurity. But company provides very little detail despite having achieved significant traction with revenues and fundraising. interview to learn more.</t>
  </si>
  <si>
    <t>Yin He</t>
  </si>
  <si>
    <t>Series B and above Other: Series B, but we are raising in the next 12 months</t>
  </si>
  <si>
    <t>San Francisco California United States</t>
  </si>
  <si>
    <t>Bureau, Inc.</t>
  </si>
  <si>
    <t>Felix Ortiz III</t>
  </si>
  <si>
    <t>felix.ortiz@onuu.com</t>
  </si>
  <si>
    <t>ONUU, backed by leading Hispanic VCs, develops first-of-its-kind, all-in-one banking and insurance solution and app to Americans of modest means.</t>
  </si>
  <si>
    <t>2-5 months runway. Not a significant tech-play, but it's a very useful application in my opinion.</t>
  </si>
  <si>
    <t>9901 Brodie Lane, Suite 160 PMB991, Texas United States</t>
  </si>
  <si>
    <t>Candi Holdings, Inc. (d/b/a ONUU)</t>
  </si>
  <si>
    <t>David Lehrer</t>
  </si>
  <si>
    <t>david.lehrer@conatix.com</t>
  </si>
  <si>
    <t>Conatix applies AI and other advanced technologies to cybersecurity monitoring and detection for banks and companies using the most granular, detailed, fast streaming continuous unstructured data available, making it possible to detect insider fraud and malware on corporate IT networks in real-time that other systems will miss.</t>
  </si>
  <si>
    <t>competitive space, but the company seems to have many pilots with top corporates; excellent progress for a pre-seed company</t>
  </si>
  <si>
    <t>unique technology well-positioned for cybersecurity market</t>
  </si>
  <si>
    <t>Yes, we have gone through the major accelerator programs in cybersecurity, AI and fintech and benefited from each one. In many ways each chapter of our development including pivoting into cybersecurity has been inflected and facilitated by a major accelerator program. These include MACH37, CyLon (CyberLondon), Creative Destruction Labs on the quantum AI track, Holt Fintech Accelerator (Holt XChange) CyberRunway Grow in the UK and now CENTECH in Montreal. We have been through major competitions and challenges run by Citibank, Desjardins (the largest credit union in Canada), the City of London and Microsoft and others and have benefited from these as well. We are a spin-off of Humboldt University Berlin. We are part of the World Economic Forum Tech for Integrity Community and have been an invited speaker at their New Champions (summer Davos) summit in China, and have been invited to their Global Innovators program of the most innovative startups in the world.</t>
  </si>
  <si>
    <t>Newlab, Brooklyn Navy Yard, Building 128, 19 Morris Avenue, Brooklyn 11205, New York United States</t>
  </si>
  <si>
    <t>Conatix</t>
  </si>
  <si>
    <t>Reid Maclellan</t>
  </si>
  <si>
    <t>reid.maclellan@cortinahealth.com</t>
  </si>
  <si>
    <t>Cortina Health is a healthcare technology company. Our patent-pending AI technology is the only AI-enabled teledermatology platform on the market. It provides the diagnosis, customizes a treatment plan, and delivers the personalized medical grade products to the patient?s door via our own compounding pharmacy.</t>
  </si>
  <si>
    <t>- Highly impressive tele-health platform for skincare - Provider of continued care and customized medication which meets unmet market demand - Strong execution with 100K patients treated</t>
  </si>
  <si>
    <t>The product and technology is mature and the company is making revenue.</t>
  </si>
  <si>
    <t>Daniel Lubin</t>
  </si>
  <si>
    <t>Chattanooga, Tennessee United States</t>
  </si>
  <si>
    <t>Cortina Health</t>
  </si>
  <si>
    <t>Adrian Stratulat</t>
  </si>
  <si>
    <t>adrian@clapart.com</t>
  </si>
  <si>
    <t>CLAPART is a decentralized ecosystem where fans can invest in creative projects and creators can fund their work without artistic compromise. We are offering an alternative crowdfunding solutions for emerging creators and increased community engagement for established artists.</t>
  </si>
  <si>
    <t>A novel and revolutionary idea. Their valuation over 50M, and currently have 200+ creators. Planning to launch product in Q3 2022. Want to know more about their pre-sale outcomes.</t>
  </si>
  <si>
    <t>Bridge|Other: Public token presale</t>
  </si>
  <si>
    <t>Bucharest, Romania</t>
  </si>
  <si>
    <t>Creative Blockchain Solutions SRL</t>
  </si>
  <si>
    <t>Steven Kuyan</t>
  </si>
  <si>
    <t>steve@culinahealth.com</t>
  </si>
  <si>
    <t>Culina Health is a personalized nutrition platform powered by registered dietitians to help patients prioritize the way they want to live. We make insurance-covered nutrition care accessible to everyone and easier to understand so that our patients can achieve a satisfying and well balanced life.</t>
  </si>
  <si>
    <t>Untapped market due to competitors' preference for a more lucrative self-pay market; they have seemingly overcome technical and have good traction with decent MoM growth and 45% margins; mainly minority team from NYU; I want to better understand the breakthrough with the insurance market and how that will prevent others from copying them</t>
  </si>
  <si>
    <t>Extremely strong execution in its go to market. Acquiring large customer base already. Strong fundraising track record. AI built on top of Culina Data Universe, which is very data driven in its technology.</t>
  </si>
  <si>
    <t>Need to better understand how they tapped into the insurance market</t>
  </si>
  <si>
    <t>Hoboken, NJ United States</t>
  </si>
  <si>
    <t>Culina Health</t>
  </si>
  <si>
    <t>Emre Koksal</t>
  </si>
  <si>
    <t>emre@anchormydata.com</t>
  </si>
  <si>
    <t>Anchor makes compliance simple and collaboration safe for organizations dealing with sensitive data, including healthcare, manufacturing, and finance. Anchor is a simple, turnkey, low-cost way to bake protection into your data and ensure your intellectual property and other sensitive information are never viewable or usable, without your consent.</t>
  </si>
  <si>
    <t>DiT startup should invite for an interview.</t>
  </si>
  <si>
    <t>+Revenue suggests product market fit +Large, believable TAM +SaaS business model and security built into data is differentiator +Have a patent +Have revenue and Air Force contract -Don't see defense against screen capture -Product could be copied by bigger company</t>
  </si>
  <si>
    <t>No.</t>
  </si>
  <si>
    <t>Serhat Pala</t>
  </si>
  <si>
    <t>Potential change to Digital tech;</t>
  </si>
  <si>
    <t>Columbus, Ohio United States</t>
  </si>
  <si>
    <t>Datanchor Inc.</t>
  </si>
  <si>
    <t>Lance Kallman</t>
  </si>
  <si>
    <t>lance@dataprime.ai</t>
  </si>
  <si>
    <t>DataPrime is a data science and engineering company focused delivering forecasting, optimization and automation to companies at the intersection of Life Science and the global supply chain. We take a microservices approach to easily integrate and scale with enterprise software without having to replace existing tech stacks.</t>
  </si>
  <si>
    <t>Digital Tech company. SaaS for analyzing de-identified patient data (HIPAA-compliant), along with forecasting/optimization analytics for large data sets. They made $1.2M in revenue last year and expect $2-3M this year. Contract with LexisNexis - they will probably be acquired. Team of disabled veterans who have run businesses before.</t>
  </si>
  <si>
    <t>Their burn rate and runway is not compatible to their claim that they had $1.2M revenue last year. They have a 3-years contract with LexisNexis</t>
  </si>
  <si>
    <t>Yes, we are finishing the 1871 Supply Chain accelerator in August, 2022.</t>
  </si>
  <si>
    <t>change to DiT; SaaS for patient data for forecasting and prediction. Contract with big LexusNexus currently; team has run companies before. good idea for Healthcare analytics</t>
  </si>
  <si>
    <t>880 Harrison St SE, Ste 138, Virginia United States</t>
  </si>
  <si>
    <t>DataPrime</t>
  </si>
  <si>
    <t>Mimi Zou</t>
  </si>
  <si>
    <t>mimi@deriskly.com</t>
  </si>
  <si>
    <t>Deriskly leverages advance AI and machine learning to help organizations prevent and mitigate disputes with their stakeholders. Our tool analyses different data sources in real-time to identify early warning signs of disputes and predict dispute risks. Our tool further 'de-risks' communications with stakeholders to prevent dispute escalation.</t>
  </si>
  <si>
    <t>This is a bet on the team (women founded); company is early but founders have good backgrounds and they have some indications of interest</t>
  </si>
  <si>
    <t>This is a strong team who communicate their technology and vision well - I believe they will be quite coach-able and a good addition to the program. It is conceivable that this machine learning platform can start small with B2B conflict resolution, but could become part of a solution for world peace... that's pretty cool! They have two very strong women founders.</t>
  </si>
  <si>
    <t>Alchemist Accelerator Lawtech UK Sandbox</t>
  </si>
  <si>
    <t>71-75 Shelton Street, London, London United Kingdom</t>
  </si>
  <si>
    <t>Deriskly Limited</t>
  </si>
  <si>
    <t>Mayur Saxena</t>
  </si>
  <si>
    <t>mayur@droicelabs.com</t>
  </si>
  <si>
    <t>Droice builds advanced AI middleware that quickly and precisely converts messy real-world patient data into analysis-ready form that pharma firms and health systems use to conduct novel research, create virtual control arms, measure intervention performance, improve clinical decision-making, and cost-effectively honor value-based contracts.</t>
  </si>
  <si>
    <t>I have actually known this company for a while, as they have been involved in the NYC ecosystem for a good number of years. The CEO is a charismatic guy. I think they would benefit from the program because they need to scale up significantly now and EFL would bring them exposure to do this.</t>
  </si>
  <si>
    <t>Yes. We have participated in multiple highly selective accelerators: Pharmstars, SAP.io Foundry, Philips Healthworks, NVIDIA Inception, IE Entrepreneurship Columbia, Almaworks, and HITLAB Digital health breakthrough network.</t>
  </si>
  <si>
    <t>424 West 33rd Street, 7th Floor, #7892, New York City, NY United States</t>
  </si>
  <si>
    <t>Droice Labs</t>
  </si>
  <si>
    <t>Carsten Brinkschulte</t>
  </si>
  <si>
    <t>carsten@dryad.net</t>
  </si>
  <si>
    <t>Dryad provides ultra-early detection of wildfires with a large-scale solar powered gas sensor network placed in the forest, capable of detecting wildfires during the soldering phase. To first owners municipalities and energy companies Dryad helps to prevent devastating wildfires.</t>
  </si>
  <si>
    <t>DiT startup? Google SDG Solar-powered gas sensor to detect wild fires Good team raised ~$3.5M, with $10M Series A with $10.5M soft circled</t>
  </si>
  <si>
    <t>+aim to help in the fight against climate change by preventing wildfires + ?1.6m subsidies and loans Recieve from EU funding (EFRE) +Circled $10,500,000 in funding +A mix of PhDs and Ms people working on solving wildfire by helping in the detection of wildfires in 60mins time</t>
  </si>
  <si>
    <t>Google SDG</t>
  </si>
  <si>
    <t>change to DiT;</t>
  </si>
  <si>
    <t>Eberswalde, Brandenburg Germany</t>
  </si>
  <si>
    <t>Dryad Networks GmbH</t>
  </si>
  <si>
    <t>Andy Shankar</t>
  </si>
  <si>
    <t>andy.shankar@ecolytiq.com</t>
  </si>
  <si>
    <t>Climate Action Technolgy for Sustainable Finance: Our Sustainability-as-a-Service solution enables banks and financial institutions to offer their customers environmental footprinting as well as personalized impact offsetting and ESG investments.</t>
  </si>
  <si>
    <t>- Large successful seed round completed this year - Localized, customized algorithm to do end to end consumer spending carbon footprint calculation - Consumer carbon API for banks - Goal is to expand to the US</t>
  </si>
  <si>
    <t>Unique as end-to-end, lots of momentum, high impact. Seems like EFL material.</t>
  </si>
  <si>
    <t>Plug and Play Spring Batch</t>
  </si>
  <si>
    <t>Berlin, Berlin Germany</t>
  </si>
  <si>
    <t>ecolytiq GmbH</t>
  </si>
  <si>
    <t>Alexey Shadrin</t>
  </si>
  <si>
    <t>ashadrin@evercity.io</t>
  </si>
  <si>
    <t>Evercity is a SaaS platform streamlining green debt and carbon credit origination. We make green finance origination faster, lower cost and more transparent. We are on a mission to make it more accessible to SMEs around the globe.</t>
  </si>
  <si>
    <t>novel tech to take on a market that will likely grow. some initial validation and traction.</t>
  </si>
  <si>
    <t>They applied last year and didn't get in - but they have made good progress in a year including getting Techstars and Partnership for NYC are backers - this is a good sign.</t>
  </si>
  <si>
    <t>We have achieved significant progress in 1 year since Evercity UG establishment in 2021, which includes the following startup programs and accelerators:|- Graduate of the Fintech Innovation Lab, NY (by Partnership fund of NYC and Accenture), |- Graduate of Techstars &amp; ABN AMRO Future of Finance Accelerator (Amsterdam), |- Finalist of the Global Fintech Hackcelerator (Monethary Authority of Singapore)</t>
  </si>
  <si>
    <t>interviewed last year; MF gave 7; Great founder, pay particularly attention to them this year; grown since last app</t>
  </si>
  <si>
    <t>Neumannstraße 135 13189 Berlin, Germany</t>
  </si>
  <si>
    <t>Evercity</t>
  </si>
  <si>
    <t>Thibauld Favre</t>
  </si>
  <si>
    <t>thibauld@fairmint.co</t>
  </si>
  <si>
    <t>Fairmint makes community ownership easy. We empower founders to grant equity to their community in exchange for time or money they invest. Using our technology, customers launch their community portal on their website, allowing their community to access the financial upside they help create.</t>
  </si>
  <si>
    <t>+ Interesting concept to empower permissionless investments (of small sums each but high frequency). + Credible founders and initial traction - Im still not entirely clear how transaction verification and completion/return distribution works - Who would agree to make permissionless investments? - Deck isnt detailed enough Overall, could be a disruptive idea -- interview to find out more?</t>
  </si>
  <si>
    <t>Novel idea with potential for high impact. No patents or tech protection in place (or indication of any processes in motion).</t>
  </si>
  <si>
    <t>BoostVC Berkeley Accelerator</t>
  </si>
  <si>
    <t>AI/Decentralized investing, sort of like crowd funding but to the next level; does not have much if any tech protection; "hard to patent a mathmatical formula";</t>
  </si>
  <si>
    <t>22 East Maxwell Dr, Connecticut United States</t>
  </si>
  <si>
    <t>Fairmint</t>
  </si>
  <si>
    <t>Jens Albers</t>
  </si>
  <si>
    <t>jens@fr0ntierx.com</t>
  </si>
  <si>
    <t>FR0NTIER X is one partner, delivering a web3 studio, lab, and the FR0NTIER X platforms. We combine world-class web3 knowledge and experience with deep insights into web2 brands and their audiences. FR0NTIER X finds the sweet spot, where a non-fungible token makes perfect sense within a traditional marketing campaign.</t>
  </si>
  <si>
    <t>if we are betting on web3, this looks like a top candidate. a large part of how web2 works with monetization is through advertising. if this works, then frontier could have a great first-mover advantage in helping brands to transition to web3. worth interviewing. they have some initial partnerships with large corps (LG is mentioned).</t>
  </si>
  <si>
    <t>Avi Rosenbaum</t>
  </si>
  <si>
    <t>They have some interesting pilot customers and have a team of 35 on what seems to be very little invested capital. Their experience in the space could make an interesting team for EFL but they have a very short cash runway of 2-5 months.</t>
  </si>
  <si>
    <t>Jonathan Begg</t>
  </si>
  <si>
    <t>Lisbon, Lisbon Portugal</t>
  </si>
  <si>
    <t>FR0NTIER X</t>
  </si>
  <si>
    <t>James Branigan</t>
  </si>
  <si>
    <t>james@fragmynt.com</t>
  </si>
  <si>
    <t>Fragmynt is a decentralized financial system built for traditional financial products, served through a Web2 interface.</t>
  </si>
  <si>
    <t>Company is very early but seems to have received a good indication of interest; I like the targeting of developing countries and want to better understand thoughts around GTM and CAC; founders admit they need more skill sets around the table but they have a good starting ground; Accel is an investor and blockchian head from BCB is an advisor</t>
  </si>
  <si>
    <t>Fragmynt generated a 60k person waitlist and 3M trades during their beta testing, so it suggests that they may have a successful idea with the proper guidance and focus.</t>
  </si>
  <si>
    <t>Yes, Fragmynt took part in Entrepreneur First's LD17 program as well as the inaugural cohort of Accel's pre-seed program "Atoms".</t>
  </si>
  <si>
    <t>Wilmington, Delaware United States</t>
  </si>
  <si>
    <t>Fragmynt</t>
  </si>
  <si>
    <t>Nicholas D'Andre</t>
  </si>
  <si>
    <t>ndandre@gridmatrix.com</t>
  </si>
  <si>
    <t>GridMatrix makes cloud-based software that processes feeds from existing sensors deployed on roadways, generating usable metrics around traffic across four families: congestion, signal performance, emissions, and safety. We provide an economical solution to give city managers the data they need to make informed decisions around road transport.</t>
  </si>
  <si>
    <t>Good improvement over last year with traction from Port Authority of NY and NJ ($1M), Raised $3.5M Seed (8VC); team is former Apple engineers and operators</t>
  </si>
  <si>
    <t>Has made great progress since last application(paid pilot opportunities, fund-raising, new product features)</t>
  </si>
  <si>
    <t>Transit Tech Lab, AWS GovTechStart, the iATL</t>
  </si>
  <si>
    <t>Cupertino, CA United States</t>
  </si>
  <si>
    <t>GridMatrix</t>
  </si>
  <si>
    <t>Jude Odu</t>
  </si>
  <si>
    <t>jude@healthcostiq.com</t>
  </si>
  <si>
    <t>Employers are facing enormous pressure to rein in runaway health costs. Health Cost IQ helps employers save BIG by permanently lowering healthcare costs using first of its kind smart algorithms.</t>
  </si>
  <si>
    <t>Solution being solved seems to be very large and meaningful to employers. Traction is solid; they are raising a Series A so are at a key inflection point, which EFL should be able to help support</t>
  </si>
  <si>
    <t>Revenue generating company with a cost-saving healthcare solution to employers. The team has good skill sets and previous start-up experience. Tech might not be cutting edge but the market looks promising</t>
  </si>
  <si>
    <t>Newchip Global Accelerator</t>
  </si>
  <si>
    <t>currenlty serving 1500 companies, strong revenue, CEO has founded other companies that were later acquired. strong team that compliments each other well</t>
  </si>
  <si>
    <t>Phoenix, Arizona United States</t>
  </si>
  <si>
    <t>Health Cost IQ</t>
  </si>
  <si>
    <t>Yang You</t>
  </si>
  <si>
    <t>you@hpcaitech.com</t>
  </si>
  <si>
    <t>HPC-AI Tech is focusing on improving the efficiency of enterprise AI and MLOps. The startup has attracted $4.7 million in venture capital. The company built Colossal-AI, a cloud-native platform combining the ability to scale the most expensive AI workloads (e.g. GPT-3) with the simplicity of a laptop-like development environment.</t>
  </si>
  <si>
    <t>+Trying to reduce deep learning training time which is a real and growing pain point +Credible team with strong academic links +Raised a lot of VC money +Open source project already has users</t>
  </si>
  <si>
    <t>NVIDIA Inception</t>
  </si>
  <si>
    <t>DiT change; software to accelorate deep learning modules; has raised good funding so far; strong team</t>
  </si>
  <si>
    <t>2 Venture Dr, VISION EXCHANGE, Singapore Singapore</t>
  </si>
  <si>
    <t>HPC-AI Technology Inc.</t>
  </si>
  <si>
    <t>Noam Alon</t>
  </si>
  <si>
    <t>noam.alon@impilo.md</t>
  </si>
  <si>
    <t>Impilo develops a differential diagnosis AI-system specializing in rare and complex diseases to support healthcare systems with the challenge of diagnosing low-prevalence yet ample disorders. Thus, improving the quality of care, reducing diagnosis time (7 years avg.), and preventing errors and unnecessary treatments (up to $400B a year in the US).</t>
  </si>
  <si>
    <t>- Solid and highly technical team with strong scientific approach. - Seems slightly early (proof of concept stage only) by not having enough customer discovery work done. - Could really benefit from the EFL's mentors</t>
  </si>
  <si>
    <t>Still in process of verifying tech, getting patents, etc. Feels slightly premature for EFL. Given positive progress on these, has potential for high impact.</t>
  </si>
  <si>
    <t>three pronged technical approach; one of founders is coming off of managing Israel's covid-19 prevention efforts; technically feels strong with dedicated team; raised a decent seed so far; however tech is not validated yet, with no customers or revenue</t>
  </si>
  <si>
    <t>Eshchar, Israel Israel</t>
  </si>
  <si>
    <t>Impilo</t>
  </si>
  <si>
    <t>Yusuf Henriques</t>
  </si>
  <si>
    <t>yusuf@indygeneus.ai</t>
  </si>
  <si>
    <t>ndyGeneUS AI is a black-owned and service disabled veteran-owned and operated small business (SDVOSB) that is driving precision medicine by leveraging data mining and artificial intelligence to expedite the development and manufacturing of quality targeted therapies, bringing them to market faster.</t>
  </si>
  <si>
    <t>DiT or LS. From the deck: "Creating the world?s largest blockchain-encrypted repository of indigenous and diasporic African clinical and genomic data. Our proprietary technology can detect novel signature sequences, biomarkers, and polygenic risk scores by integrating ?multi-omics? data, electronic healthcare record (EHR) data, and text from scientific literature." Aims to diversify and democratize clinical trials participants, which are currently 80-90% white males, and use the data to develop Tx. Chris spoke with the founder, and he has a holistic approach to getting more Africans involved in genomics work while also testing more Africans' genomes. He builta sequencing facility in Cape Town, South Africa to create jobs for African scientists. His team is also working out of JLABS in Washington DC to evaluate exclusively African genomics data and identify biomarkers for drug targeting/discovery. Techstars, J&amp;J Quickfire Challenge Winner. Founders are serial entrepreneurs from Howard, and advisors are from Harvard/Stanford. Veterans Future Lab speaks very highly of the CEO, and says this could be the next big NYU company. Ask in the interview for data/validation - what do they have, and what is coming next? Also ask about Polaris Genomics (EFL Alumni) - he says he is a founder, but he's not listed on their website or deck.</t>
  </si>
  <si>
    <t>Dan Madden</t>
  </si>
  <si>
    <t>Founder Institute Veterans Future Lab Techstars</t>
  </si>
  <si>
    <t>Alexa Modero NYU Veterans Future Lab Director</t>
  </si>
  <si>
    <t>Out of Veterans Furture lab; tech stars alumni; serial entrep. team; one hesitation: founder mentions a connection to Polaris, but not listed in their decks;</t>
  </si>
  <si>
    <t>1720 I Street NW, Washingon , DC United States</t>
  </si>
  <si>
    <t>IndyGeneUS AI</t>
  </si>
  <si>
    <t>Todor Jeliaskov</t>
  </si>
  <si>
    <t>todor.jeliaskov@inheart.fr</t>
  </si>
  <si>
    <t>inHEART leverages medical images and ECGs to deliver precise 3D maps of each patient's unique cardiac anatomy allowing cardiologists to individualize and optimize each patient's cardiac arrhythmia treatment strategy.</t>
  </si>
  <si>
    <t>Tech seems novel but competitive landscape is immense; team has great backgrounds; market opportunity could be large; great traction; would interview</t>
  </si>
  <si>
    <t>Novel cardiology imaging technology, potential for high impact. EFL material.</t>
  </si>
  <si>
    <t>3,500,000+</t>
  </si>
  <si>
    <t>Pessac, Pessac France</t>
  </si>
  <si>
    <t>inHEART</t>
  </si>
  <si>
    <t>Anthony Peake</t>
  </si>
  <si>
    <t>anthony.peake@intelligentaI.co.uk</t>
  </si>
  <si>
    <t>Intelligent AI is an InsurTech/PropTech startup that is bringing together AI, Data Analytics, Satellite Image Analysis and IoT to deliver Digital Twins of Risk of global commercial property portfolios for Insurers, brokers and commercial property owners.</t>
  </si>
  <si>
    <t>They use a digital twin to assess a company's risk using over 300 data points; seasoned executive team; received several global awards, including beating 400 other insurtech companies; very positive client testimonials; market is large but has large sales cycles; would interview</t>
  </si>
  <si>
    <t>Pros- The company has tight relationship with Zurich insurance Already generating revenue from customers/pilots Cons- The concept of "Digital Twins of Risk " is ambiguous</t>
  </si>
  <si>
    <t>Yes. We have been through Lloyds Lab (Lloyds of London premier InsurTech Incubator)</t>
  </si>
  <si>
    <t>strong potential market; strong, seasonsed exectutive team; interesting idea and would benefit from EFL helping with traction gaining;</t>
  </si>
  <si>
    <t>16 Compass Quay, Haven Road, Exeter, United Kingdom, UK United Kingdom</t>
  </si>
  <si>
    <t>Intelligent AI</t>
  </si>
  <si>
    <t>Julian Kwan</t>
  </si>
  <si>
    <t>j@ixswap.io</t>
  </si>
  <si>
    <t>IX Swap is a next-generation platform that leverages DeFi services backed by CeFi regulatory compliance to facilitate safe and convenient issuance, listing, and trading of security tokens and fractionalized NFTs. IX Swap is paving the way in democratizing access to traditional financial markets that have never been done before.</t>
  </si>
  <si>
    <t>- Significant traction and real world applications, such as supporting fractionalized ownership of precious gem: https://thetokenizer.io/2022/03/30/ix-swap-lists-security-token-of-worlds-most-valuable-sapphire/ - Founding team has lots of startup and exit experience.</t>
  </si>
  <si>
    <t>The team member has rich start-up experience The product solves an important problem in secondary liquidity in the private asset market</t>
  </si>
  <si>
    <t>5 Shenton Way, #10-02 UIC Building, Singapore Singapore</t>
  </si>
  <si>
    <t>IX Swap</t>
  </si>
  <si>
    <t>Jordan Masys</t>
  </si>
  <si>
    <t>jordan@labfront.com</t>
  </si>
  <si>
    <t>Labfront is a digital biomarkers startup currently disrupting health research through its code-free digital biomarker collection and analytics platform. With the recent explosion of sensors in the scientific community, Labfront is helping health researchers process the overwhelming amount of complex data and transition to the data-rich future.</t>
  </si>
  <si>
    <t>Strong team and advisors; solid traction and testimonials</t>
  </si>
  <si>
    <t>+ 1. advanced tech 2. solves real problem 3. good team 4. up&amp;running with client recognition 5. industry &amp; academia</t>
  </si>
  <si>
    <t>We are currently participating in the MassChallenges US Accelerator (started July 22) as well as the 500 Global Accelerator (August 22). We have also previously participated in smaller programs such as GoAustria (2021) to prep for our EU launch. In 2020, we were recognized as one of the world?s Top COVID-19 innovations by the World Economic Forum and joined the WEF COVID-19 cohort. We also won the Techstars global COVID-19 competition (2020) from over 54 countries and participated in the Techstars program.</t>
  </si>
  <si>
    <t>Serhat Pala (current EFL mentor) asked us to join</t>
  </si>
  <si>
    <t>key differentiator is quick data analytics; converts data into meaninful, useable data; out of harvard; renowned harvard advisor; good traction so far; strong client feedback so far</t>
  </si>
  <si>
    <t>Sharon, MA United States</t>
  </si>
  <si>
    <t>Labfront</t>
  </si>
  <si>
    <t>Eric Xiao</t>
  </si>
  <si>
    <t>eric@laxis.tech</t>
  </si>
  <si>
    <t>Laxis provides the next generation AI meeting assistant to help business professionals to enjoy productive meetings and achieve business success.</t>
  </si>
  <si>
    <t>+ addressing real need + excellent team + right stage for EFL looking for advice</t>
  </si>
  <si>
    <t>Israeli Ran</t>
  </si>
  <si>
    <t>Stellar team with a unique web meeting assistant with great potential to maximize meeting productivity; invite to interview</t>
  </si>
  <si>
    <t>We have graduated from 500 Startups in early 2022.</t>
  </si>
  <si>
    <t>2872 Jace Ln, Newburgh, IN United States</t>
  </si>
  <si>
    <t>Laxis, Inc.</t>
  </si>
  <si>
    <t>Gino Bustamante</t>
  </si>
  <si>
    <t>gino@lisainsurtech.com</t>
  </si>
  <si>
    <t>At LISA Insurtech we streamline insurance processes with cutting-edge technology. We provide a technology platform in the cloud called LISA Claims that automatically settle insurance claims, using Artificial Intelligence, saving 80% of the time and 60% of the cost and increasing the satisfaction of the Insured by 20% (NPS)</t>
  </si>
  <si>
    <t>Interesting product with some initial traction and validation. Could scale rapidly. I think we should interview.</t>
  </si>
  <si>
    <t>Novel idea, disruptive, potential for high impact, and good momentum! Seems like fit for EFL.</t>
  </si>
  <si>
    <t>USD$4.000.000</t>
  </si>
  <si>
    <t>No, we aren't.</t>
  </si>
  <si>
    <t>LISA Insurtech</t>
  </si>
  <si>
    <t>Peri Avitan</t>
  </si>
  <si>
    <t>peri@livecareusa.com</t>
  </si>
  <si>
    <t>The world?s first Primary Care Omnichannel enabler, designed for Primary Care to become a virtual practice.</t>
  </si>
  <si>
    <t>- Very strong execution and product-market fit. - Need to understand what is the next step for future growth and its challenges. - Will be raising Series B $40M.</t>
  </si>
  <si>
    <t>Yash Rohera</t>
  </si>
  <si>
    <t>Growth trajectory is impressive. $40M+ Series B is likely tough, would definitely interview to get a better understanding of GTM and how current acquisition channels will scale.</t>
  </si>
  <si>
    <t>LiveCare</t>
  </si>
  <si>
    <t>Jeffrey Ly</t>
  </si>
  <si>
    <t>jeffrey@mpod.io</t>
  </si>
  <si>
    <t>mPOD is a next-gen diagnostics company founded on a vision to transform accessibility to healthcare insights. Out of that vision, we?ve developed mPOD DxTrack, an ML-powered LFA reader that enables advanced telehealth for under $5 by making accurate diagnostic testing &amp; result reporting accessible at-home for patients &amp; their healthcare providers.</t>
  </si>
  <si>
    <t>+ Various government grants and ecosystem partners + Credible team + Could enhance authenticity of convenient home-based tests and help better pandemic management - crowded space - tamper proof? - who pays for test hardware and cartridges Interview to find out more? Could be for Deep Tech.</t>
  </si>
  <si>
    <t>Strong team, but competitive space and tech isn't too novel. Patents in place, seems like it could be EFL material (potential for impact).</t>
  </si>
  <si>
    <t>$4 Million</t>
  </si>
  <si>
    <t>Yes, JLABS/BARDA BlueKnight Program.</t>
  </si>
  <si>
    <t>From one of your associate directors - Beth Xie, our I-Corp Industry Mentor.</t>
  </si>
  <si>
    <t>101 Avenue of the Americas, New York United States</t>
  </si>
  <si>
    <t>mPOD, Inc.</t>
  </si>
  <si>
    <t>Jennifer Bittinger</t>
  </si>
  <si>
    <t>jennifer.bittinger@narrativa.com</t>
  </si>
  <si>
    <t>Narrativa is an internationally recognized business intelligence company that uses its artificial intelligence and machine learning platform to build and deploy natural language content solutions for enterprises.</t>
  </si>
  <si>
    <t>- Enterprise SaaS NLP/NLG provider - Extremely strong revenue from clients in several industries. - Goal is to focus on speeding up clinical trial for Life Science companies. - Team is well rounded and has exit experience. - Should invite for interview. Not sure if their GTM is the correct one, as it could be limiting. - EFL mentors could help set the right goals.</t>
  </si>
  <si>
    <t>Strong momentum, novel tech that has potential for high impact! Feels like EFL fit.</t>
  </si>
  <si>
    <t>Santa Monica, CA United States</t>
  </si>
  <si>
    <t>Narrativa</t>
  </si>
  <si>
    <t>William Zimlich</t>
  </si>
  <si>
    <t>zimlich@neu.bio</t>
  </si>
  <si>
    <t>NeuBio is a bio informatics platform designed to radically transforming the detection, management, and treatment of neurodegenerative diseases. The Company's IP portfolio of analytically validated biomarkers enable NeuBio to develop game-changing diagnostic and therapeutic solutions, including the first early diagnostics for these diseases.</t>
  </si>
  <si>
    <t>Team, Science and Market are all strong for this startup. Recommend for an interview.</t>
  </si>
  <si>
    <t>Disruptive tech shown to be effective in the realm of predicting early signs of neurodegenerative diseases.</t>
  </si>
  <si>
    <t>Up to $3,000,000</t>
  </si>
  <si>
    <t>Gill Sawhney</t>
  </si>
  <si>
    <t>Dover, DE United States</t>
  </si>
  <si>
    <t>Neu Bio, Inc.</t>
  </si>
  <si>
    <t>Nixtla _2022</t>
  </si>
  <si>
    <t>Max Mergenthaler</t>
  </si>
  <si>
    <t>max@nixtla.io</t>
  </si>
  <si>
    <t>Nixtla is a deep learning startup that is building a disruptive forecasting platform for Data Scientists and Devs, so they can forecast at scale things such as e-commerce demand, electricity load forecasting, and quantitative finance applications. We are researching and developing state of the art algotihms to push the boundaries of time series</t>
  </si>
  <si>
    <t>DiT startup Need funding and more customers to prove tech can scale</t>
  </si>
  <si>
    <t>Can be a good company to invest time and resources on as we see data industry is currently booming</t>
  </si>
  <si>
    <t>Nixtla went through Techstars AI program at the end of last year. Max did YC with his previous company.</t>
  </si>
  <si>
    <t>change to DiT; mark and beth to review</t>
  </si>
  <si>
    <t>PITTSBURGH, PA United States</t>
  </si>
  <si>
    <t>Nixtla</t>
  </si>
  <si>
    <t>Mohsen Omrani</t>
  </si>
  <si>
    <t>mohsen@optt.ca</t>
  </si>
  <si>
    <t>At OPTT, we apply natural language processing and proprietary AI algorithms to capture data that provide accurate and actionable insights about a patient' condition, allow for objective, and data-based decisions about courses of treatment that fits each individual patient?s needs, and streamline delivery of care through our clinically-validated tre</t>
  </si>
  <si>
    <t>We should interview them and dig into validation data</t>
  </si>
  <si>
    <t>- Team: lead by a group of MDs with psychiatry practice experience, and NLP and data science skills. - Science: Developing and testing algorithm with historical clinical data and also running multiple blind clinical trials. -Market: Earned $1.5M (CAN) in total revenue already with enterprise customers. - Looking to EFL's program to mentor team on developing new products and business models with current technology.</t>
  </si>
  <si>
    <t>Morgan Stanley's MCIL Lab MassChallenge DMZ</t>
  </si>
  <si>
    <t>Deepak Hedge</t>
  </si>
  <si>
    <t>525 5th AveNew York, NY United States</t>
  </si>
  <si>
    <t>OPTT Health</t>
  </si>
  <si>
    <t>Logan Wolfe</t>
  </si>
  <si>
    <t>lwolfe@orna.app</t>
  </si>
  <si>
    <t>ORNA is an AI-guided Security Orchestration, Automation and Response (SOAR) platform created and priced specifically for midsize businesses. The tool has been proven to reduce cyberattack-related losses by 60% even with zero cybersecurity staff in the customer?s company, providing 3,600% ROI upon the very first incident.</t>
  </si>
  <si>
    <t>- Clearly describes technical moat in terms of NLP powered monitoring of threats and clear assignment for steps for various functions in customer organizations to respond. - Clear metric for performance improvement. - Solid fundraising and strong team. - Should interview.</t>
  </si>
  <si>
    <t>Chaitanya Kotcherlakota</t>
  </si>
  <si>
    <t>novel idea and strong Tech and well qualified founders, currently generates 800k USD per year and looking to raise 12M</t>
  </si>
  <si>
    <t>Kiiiind of affiliated with BetaDen in the UK, but not formally.</t>
  </si>
  <si>
    <t>Strong raise, customer centric</t>
  </si>
  <si>
    <t>Toronto, Ontario Canada</t>
  </si>
  <si>
    <t>ORNA Inc.</t>
  </si>
  <si>
    <t>Bogdan Litescu</t>
  </si>
  <si>
    <t>bogdan.litescu@plantanapp.com</t>
  </si>
  <si>
    <t>Plant an App is a no-code / low-code platform that empowers anyone to build complex business applications under the governance and help of IT.</t>
  </si>
  <si>
    <t>2.3x growth in 2021; $1.3M ARR as of May 2022; efficient scaling with $1.1 in new ARR for every $1 raised; presentation was thoughtfully laid out; I think they are worth learning more.</t>
  </si>
  <si>
    <t>+ 1. good progress so far - 1. not sure if the fundamental need is there, needs to learn more.</t>
  </si>
  <si>
    <t>Other: Late Seed</t>
  </si>
  <si>
    <t>$2.5m</t>
  </si>
  <si>
    <t>We were in 500 Startups program in San Francisco in 2020.</t>
  </si>
  <si>
    <t>low to no code platform; looking for non tech developers. would tap into a large market and allow non dev type users to create complicated uses. surprisingly strong funding raised so far. analysis in presentation showed revenue for investors very well; scaling very well so far. unsure of demand side for product</t>
  </si>
  <si>
    <t>244 Fifth Avenue, Suite 1201 New York, N.Y. 10001, New York United States</t>
  </si>
  <si>
    <t>Plant an App</t>
  </si>
  <si>
    <t>Nidhi Gupta</t>
  </si>
  <si>
    <t>nidhi@portcast.io</t>
  </si>
  <si>
    <t>Portcast provides real-time updates on ocean containers to enable shippers to accurately predict cargo arrival times and set the entire supply chain in motion, cutting down on port fees by 20%, eliminating manual work by 80% and eliminating needless delays. Portcast accomplishes this using advanced data sets and proprietary machine learning.</t>
  </si>
  <si>
    <t>- Extremely timely startup in the global supply chain crisis. - Really experienced, relevant and well rounded team. - Great recurring revenue. - Solid product-market fit. - Referred by Llew Claasen.</t>
  </si>
  <si>
    <t>Jonathan Ngo</t>
  </si>
  <si>
    <t>I believe the traction of the solution (given $1.2M recurring SaaS revenue) as well as the expertise/experience of the team make this an interesting startup overall to be included into the EFL cohort.</t>
  </si>
  <si>
    <t>USD 10 million</t>
  </si>
  <si>
    <t>Yes, Entrepreneur First Singapore</t>
  </si>
  <si>
    <t>Llew Claasen</t>
  </si>
  <si>
    <t>real time updates via AI; founders together have many years of logistics exp, phd/mba education; 1.2M in revenue!; timely company for global supply chain crisis;</t>
  </si>
  <si>
    <t>1 Kallang Junction, Level 6 Vanguard Campus, Singapore 339263, Singapore Singapore</t>
  </si>
  <si>
    <t>Portcast</t>
  </si>
  <si>
    <t>Gulshan Mehta</t>
  </si>
  <si>
    <t>gulshan@pragyaa.ai</t>
  </si>
  <si>
    <t>The new UI is "no-UI". pragyaa.ai is focused on building Voice AI products for enterprises. Voice presents a multi-billion dollars opportunity to innovate processes in specialized verticals like Healthcare, Hospitality &amp; more. Our product, MediLens, enables enterprises in healthcare to save up-to 50% of time and effort spent on documentation.</t>
  </si>
  <si>
    <t>- Strong product market fit and showing traction with customer acquisition in UAE - Need to understand real differentiation compared to competitors - Highly technical team</t>
  </si>
  <si>
    <t>Very strong team, strong momentum in UAE, has potential for high impact. Seems to be competitive space &amp; no patents yet.</t>
  </si>
  <si>
    <t>500K</t>
  </si>
  <si>
    <t>We are part of the Sep 21 Cohort of The DMZ (https://dmz.ryerson.ca/), one of Canada's largest tech incubators.</t>
  </si>
  <si>
    <t>New Delhi, Delhi India</t>
  </si>
  <si>
    <t>pragyaa.ai</t>
  </si>
  <si>
    <t>Krish Inbarajan</t>
  </si>
  <si>
    <t>Krish@preteckt.com</t>
  </si>
  <si>
    <t>Preteckt augments the diagnostic decision-making of vehicle maintenance technicians to help them detect maintenance issues sooner, improve root cause detection, and help them better determine what actions to take allowing them to avoid vehicle breakdowns and unscheduled maintenance events, reduce labor hours, and eliminate redundant maintenance job</t>
  </si>
  <si>
    <t>- Solid fundraising and grant awards. - Major industry relationships and sizable ARR, which is almost doubling by year end to $2M. - Definitely has a product market fit but alternatives and competitors do exist. - Professional CEO with lots of business experience in the trucking space. - Should interview to learn about how large is the tech moat.</t>
  </si>
  <si>
    <t>Overall the team is seasoned and has the necessary expertise to scale the company (both technical and business). The proprietary algorithms are protected by trade secrets and has traction of $1.1M ARR currently. The US Army is currently evaluating the system and $4.2M grants have been awarded the company by governments. I believe the company can leverage EFL to get to its next stage of customer growth through additional mentorship and network from EFL.</t>
  </si>
  <si>
    <t>Yes Creative Destruction Lab (2016-AI, Toronto) 500Startups Batch 20</t>
  </si>
  <si>
    <t>on track to double ARR by EoY; cultivating partnerships with US army, hired new professional CO with truck/truck tech space; 4.2M in grants, 5M in seed</t>
  </si>
  <si>
    <t>Memphis, TN United States</t>
  </si>
  <si>
    <t>Preteckt Inc</t>
  </si>
  <si>
    <t>Essam Elsahwi</t>
  </si>
  <si>
    <t>essam@pulsenics.com</t>
  </si>
  <si>
    <t>Pulsenics meaningfully improves the reliability and economics of the energy-intensive electrochemical industry by introducing capabilities to diagnose and control the performance of electrochemical systems without disruption.</t>
  </si>
  <si>
    <t>Monitor electrochemical cell and stack conditions, in the lab or during operations. Need to expand the sales team and grow the pipeline generating $418,000 in ARR</t>
  </si>
  <si>
    <t>+Credible team +Novel tech +$418,000 in ARR +Raised a lot of money</t>
  </si>
  <si>
    <t>The Activate fellowship (https://www.activate.org/pulsenics)</t>
  </si>
  <si>
    <t>Pulsenics</t>
  </si>
  <si>
    <t>Peter Jung</t>
  </si>
  <si>
    <t>peter@interactor.com</t>
  </si>
  <si>
    <t>Interactor is a company that provides integration and management solutions. Interactor software boasts extensive integration capabilities, ultra-high processing speeds, and scalability for large enterprise and telecom use cases. Customers include LG, Verizon, LSE, and more</t>
  </si>
  <si>
    <t>Well established (work with LG, Verizon..), a little unclear about what they want to gain through EFL--state focus on narrowing target persona. Would EFL be able to assist? Potential for scaling/high impact. Worth interviewing to learn more.</t>
  </si>
  <si>
    <t>The company name is Interactor. They are a well established company working with LG, Verizon, LSE, and more with over 1M in revenue. 2 US patents.</t>
  </si>
  <si>
    <t>Cisco GCOE (Global Center of Excellence)</t>
  </si>
  <si>
    <t>Two US Patents; EFL fits?: already have revenue, no plans to raise further; their goal is to use EFL to "go to next level"; already well established; in interview dive into why they think they need us;</t>
  </si>
  <si>
    <t>Former NYU Fellow/Faculty/Staff</t>
  </si>
  <si>
    <t>1290-B Reamwood Ave, Sunnyvale, California United States</t>
  </si>
  <si>
    <t>Pulzze Systems, INC (DBA Interactor)</t>
  </si>
  <si>
    <t>RIFFIT _2022</t>
  </si>
  <si>
    <t>Lex Van der Ploeg, Ph.D. Founder, Chair &amp; CSO RIFFIT C: 978-284-3605</t>
  </si>
  <si>
    <t>lex@riffitnow.com</t>
  </si>
  <si>
    <t>Our NewCo RIFFIT, uses AI to bring the language of song to enhance learning and communication for a broad audience including students with dyslexia or autism. We develop a range of digital applications that thereby improve the lives of millions of people affected by these conditions. Both real time text and voice to song are products.</t>
  </si>
  <si>
    <t>Problem being solved is great; solution seems solid with early tests providing validation; market opportunity is large but execution difficult (e.g., targeting schools); go-to-market strategies will be important refine.</t>
  </si>
  <si>
    <t>- Novel scientific approach to treating dyslexia - Strong team with biotech and startup experience - NYU referral from Prof Bud Mishra - Large unmet market need</t>
  </si>
  <si>
    <t>$ 5,000,000.00 - $10,000,000.00</t>
  </si>
  <si>
    <t>BOD member DeuteRx; SAB member Neuromity; BOD member IRIS Kinetics</t>
  </si>
  <si>
    <t>Prof Bud Mishra</t>
  </si>
  <si>
    <t>Bud Mishra is current advisor; text to song software for improved learning outcomes in children w/ learning disabilities; strong complimentary team. Solution is interesting; 60% of students in first test, 70% in second had increased comprehension. Currently targeting schools; EFL can help come up with other creative markets for them to tap into; also working with Google Classroom</t>
  </si>
  <si>
    <t>195 Black Cat Rd, Plymouth, MA 02360, Massachusetts United States</t>
  </si>
  <si>
    <t>RIFFIT</t>
  </si>
  <si>
    <t>Shivam Shorewala</t>
  </si>
  <si>
    <t>shivam@rimble.io</t>
  </si>
  <si>
    <t>Rimble uses machine learning to create generate real time esports analytics (such as who will get the next kill) for fan engagement and betting verticals.</t>
  </si>
  <si>
    <t>DiT uses machine learning to create generate real-time esports analytics $20K in MRR https://www.bloomberg.com/news/articles/2022-08-09/overtime-sports-raises-100-million-to-expand-leagues-for-high-school-athletes?utm_term=220809#xj4y7vzkg</t>
  </si>
  <si>
    <t>+Credible team +20K in MRR +Large potential market</t>
  </si>
  <si>
    <t>SkyDeck</t>
  </si>
  <si>
    <t>Change to DiT; growing and scaling space (esport engagement);</t>
  </si>
  <si>
    <t>Berkeley, California United States</t>
  </si>
  <si>
    <t>Rimble</t>
  </si>
  <si>
    <t>Sid Desai</t>
  </si>
  <si>
    <t>sid@rocketvr.health</t>
  </si>
  <si>
    <t>Rocket VR is developing clinically-validated VR apps to solve the psychosocial burden experienced by the 10M cancer patients/survivors, providing them with reduced distress, a better quality of life, and reduced healthcare expenses.</t>
  </si>
  <si>
    <t>Digital Tech. Similar to TRIPP (EFL alumni), but specifically for cancer patients. Gamified therapy that blends cognitive behavioral therapy, acceptance commitment therapy, positive psychology, and mindfulness. Current trials at MGH, Penn Medicine and St. Judes with over 100 patients using the tech. Patent pending. CEO from Northwestern with one startup exit.</t>
  </si>
  <si>
    <t>DiT/DT. VR-based applications for cancer patients' mental health. VR meditation. VR gamifying mental health. Ongoing clinical studies.</t>
  </si>
  <si>
    <t>yes, we went through a medical device-focused accelerator called zeroto510.com in Memphis, TN (remote cohort) and raised $25K through them.</t>
  </si>
  <si>
    <t>Change to DiT; gameified therapy; trials in multiple hospitals currently</t>
  </si>
  <si>
    <t>Wakefield, MA United States</t>
  </si>
  <si>
    <t>Rocket VR Health</t>
  </si>
  <si>
    <t>Mika Tienhaara</t>
  </si>
  <si>
    <t>mika.tienhaara@rocsole.com</t>
  </si>
  <si>
    <t>ROCSOLE is providing critical realtime process insights to boost customer operational excellence for production facilities and manufacturing assets improving the financial performance, reducing run-to-failures and providing capabilities to accelerate the path to net zero.</t>
  </si>
  <si>
    <t>Too late for EFL? Like ~Acoustic Wells but goes deeper)</t>
  </si>
  <si>
    <t>Referral by Khoa Ma.</t>
  </si>
  <si>
    <t>We have previously been part of TINC Silicon valley accelerator, Newchip accelerator and Eunike Ventures Radar program. We are a member of World Economic Forum Technology Pioneers cohort 2022, NVIDIA Inception startup member, ABB's Synerleap innovation ecosystem.</t>
  </si>
  <si>
    <t>change to DiT; mark and beth to review; currently in 30M Series B round; are they too late for us? part of world pioneers forum, great team. potentially applying to expand into US market; invite to dig deeper into them!</t>
  </si>
  <si>
    <t>Kuopio, Savonia Finland</t>
  </si>
  <si>
    <t>ROCSOLE</t>
  </si>
  <si>
    <t>Boluwatife Arewa</t>
  </si>
  <si>
    <t>boluwatife@scrapays.com</t>
  </si>
  <si>
    <t>Scrapays facilitates the recovery of recyclable materials by building the digital infrastructure that optimises the waste value-chain connecting the players to increase efficiency and profitability. Doing this allows us directly improve the 4% recycling rate in Africa compared to 32% in America and 48% in Europe.</t>
  </si>
  <si>
    <t>- Good design, comprehensive SaaS solutions showing deep research into urgent market needs. - Concept has potential to be adopted internationally in developing countries with similar use cases. - Decent fundraising and grant award. - Should interview.</t>
  </si>
  <si>
    <t>Kinni Shah</t>
  </si>
  <si>
    <t>The concept and technology have a strong potential, wide application and potential to grow across boarders if executed well. The app design is clean, easy to understand and operate (from demo) which means adoption should not be difficult for new users. However, they will need fine-tuning to grow which EFL should be able to help with.</t>
  </si>
  <si>
    <t>Founder Institute | Seedstars| Alibaba Founders Program | Ocean Hub Africa | Startup Wise Guys</t>
  </si>
  <si>
    <t>2, Omoniyi Street, Shangisha Magodo., Lagos Nigeria</t>
  </si>
  <si>
    <t>Scrapays Inc</t>
  </si>
  <si>
    <t>Sarah Nagy</t>
  </si>
  <si>
    <t>sarah@seekwhatmatters.com</t>
  </si>
  <si>
    <t>Seek AI provides a collaborative data science platform that uses natural language processing to streamline the process of working with data. The problem we are solving is the archaic and tedious status quo of working with data that business-facing teams and data teams face when they work together on projects involving data.</t>
  </si>
  <si>
    <t>Strong team, potential for high impact, so feels like good fit for EFL. However, Obstacles section suggests that they are still building the tech. Small amount of validation suggests that they're on the right track, recommend having them in for interview.</t>
  </si>
  <si>
    <t>The concept is easy and applicable, though can only be used by corporates who currently use other competitor data aggregator softwares. The ease of operation has the potential to make a huge difference to corporations that rely on data teams for information. This would make the process much quicker. Within the space they are unique in what they do and already have paying customers (though small in number) to validate the product.</t>
  </si>
  <si>
    <t>145 6th Ave, Floor 7, NY United States</t>
  </si>
  <si>
    <t>Seek AI Inc.</t>
  </si>
  <si>
    <t>Vasco Portugal</t>
  </si>
  <si>
    <t>vascopt@sensei.tech</t>
  </si>
  <si>
    <t>We are creating autonomous shopping concepts for all retailers (existing and new). We have developed a secure and reliable AI-powered solution for retailers to build efficient operations, offering an end-to-end solution to capture a wealth of store insights while simultaneously delivering a frictionless shopping experience to consumers.</t>
  </si>
  <si>
    <t>DiT autonomous shopping concepts for all retailers $20 -$30M Series A Women founder</t>
  </si>
  <si>
    <t>+The team seems credible +The have running stores +Raised a lot of money +Large potential market +1M?/ Year</t>
  </si>
  <si>
    <t>We are currently looking to raise $20 to $30 million to fuel our expansion.</t>
  </si>
  <si>
    <t>Yes - Techstars (2017)</t>
  </si>
  <si>
    <t>Deloitte</t>
  </si>
  <si>
    <t>Change to DiT;</t>
  </si>
  <si>
    <t>Av. Empresário, 1, 6000-767 Castelo Branco, Castelo Branco Portugal</t>
  </si>
  <si>
    <t>Senseidata, S.A.</t>
  </si>
  <si>
    <t>Sophia E. Shanko</t>
  </si>
  <si>
    <t>e.s.shanko@shanxmedtech.nl</t>
  </si>
  <si>
    <t>ShanX Medtech is a Dutch Deep Tech startup developing novel antibiotic efficiency testing devices to enable fast, evidence-based and personalized antibiotic care. Our devices are a must to not only avoid antibiotic overprescription and infection complications due to erroneous or delayed antibiotic care but also tackle antibiotic resistance.</t>
  </si>
  <si>
    <t>Jennifer Tegan referral; company is very early but has good solution to what seems like a material problem; founders seem very thoughtful in how they are thinking about growing their company; despite concept stage, they would likely still be good to interview</t>
  </si>
  <si>
    <t>Company is in very early stage but has competitive advantage compared to other competitors. also validated tech, and is in a process of getting a patent</t>
  </si>
  <si>
    <t>We have joined a Dutch accelerator program targeting scientists turning entrepreneurs. The program was called Venture Challenge (https://www.lifesciencesatwork.nl/lsw-venture-challenge)</t>
  </si>
  <si>
    <t>Jennifer Tegan referred me and spoke with Beth Xie</t>
  </si>
  <si>
    <t>idea is to speed up results from days down to hours in clinics/hospitals; good award traction</t>
  </si>
  <si>
    <t>Eindhoven, Noord Brabant Netherlands</t>
  </si>
  <si>
    <t>ShanX Medtech BV</t>
  </si>
  <si>
    <t>Michael Kohen</t>
  </si>
  <si>
    <t>mk@spark.ai</t>
  </si>
  <si>
    <t>SparkAI helps robotics &amp; automation products deploy and scale faster. AI is hard to perfect ? edge cases are the most expensive barriers for companies bringing autonomous systems to market. Our platform injects human cognition into AI workflows to solve edge cases in real-time allowing AI teams to launch revolutionary products.</t>
  </si>
  <si>
    <t>DiT facilitates building and executing software bots powered by AI (i.e quality control and automat applications in a live environment) Raised $6M Good team Has market and customer Sold last company to Amazon</t>
  </si>
  <si>
    <t>+Revenue is $803,000 +Team has industry experience +Clear pain point ~Not all team members listed</t>
  </si>
  <si>
    <t>-</t>
  </si>
  <si>
    <t>change to DiT; strong team out of harvard; 1M in revenue, has market and customers already. Late app but definitely worth it</t>
  </si>
  <si>
    <t>White Plains, NY United States</t>
  </si>
  <si>
    <t>SparkAI</t>
  </si>
  <si>
    <t>Alexandra Mikityuk</t>
  </si>
  <si>
    <t>philip@staex.io</t>
  </si>
  <si>
    <t>Staex is a robot platform that aims to redefine how software applications for robots are built, distributed, installed and managed. For that Staex provides reliable communication over unreliable networks, encryption for insecure connections, advanced distributed scheduling and orchestration, and containerized and native execution of applications.</t>
  </si>
  <si>
    <t>There something her but need further validation and could be good for DiT</t>
  </si>
  <si>
    <t>+They are an IOT infrastructure company that is offering a comprehensive network solution to companies with a large number of IOT devices +The have a contract with a German city for 110,000 euros +The team is well developed and seems credible -There are large possible competitors like Amazon in the field</t>
  </si>
  <si>
    <t>1. Intel Ignite Acceleration program. 2. 5G Open Innovation Lab program.</t>
  </si>
  <si>
    <t>5G Open Innovation Lab</t>
  </si>
  <si>
    <t>Definitely DiT</t>
  </si>
  <si>
    <t>staex GmbH</t>
  </si>
  <si>
    <t>Eric Wengrowski</t>
  </si>
  <si>
    <t>eric@steg.ai</t>
  </si>
  <si>
    <t>Steg.AI is a B2B SaaS company focused on digital media protection and provenance. We develop cutting edge steganography and forensic watermarking software for customers in social media, digital media licensing, content creators, and consumer goods. We enable our customers to trace leaks and identify content with extremely high accuracy.</t>
  </si>
  <si>
    <t>Applied to EFL in 2020; Nasir Memon referred the company previously. Highly technical founder; innovative tech (based on years of research); first paying customer is Sonos; EFL could likely provide meaningful help. Would interview again and would want to better understand the founding team's commitment (seems like CEO is only FT person) and validate customer targets</t>
  </si>
  <si>
    <t>Technology well supported by academic evidence; experienced team members; reasonable potential market size; clear gains from EFL can ask about competitors and licensing progress in the interview</t>
  </si>
  <si>
    <t>NYU Data Future Lab NYU Next Round Nvidia Inception Program Deep 10 AWS Startup Program Google Startup Program</t>
  </si>
  <si>
    <t>Steg.AI</t>
  </si>
  <si>
    <t>Laurent Balmelli</t>
  </si>
  <si>
    <t>laurent@strong.network</t>
  </si>
  <si>
    <t>Strong Network delivers a multi-cloud platform to solve the IT efficiency and security problem of organizations? distributed and externalized code development process by providing IT cost reduction, DevOps automation, leak prevention for source code, data and credential, as well as real-time process governance metrics.</t>
  </si>
  <si>
    <t>- Should interview this company.</t>
  </si>
  <si>
    <t>+Platform delivers an innovative, context-aware security Implementation of NIST's Zero Trust architecture over cloud-delivered development environments + Broadcom and WeBank are using this tech and we are getting significant traction ahead of the official release of our public SaaS for the SME market</t>
  </si>
  <si>
    <t>In 2021 we participated in the Swiss Cybersecurity startup programs Tech4Trust at EPFL and came in as the second best startup within the Tech4Trust program (out of 60). We are also supported by Innovaud, an agency that promotes innovation and economics in the Swiss canton of Vaud, as well as Innosuisse, which guides SMEs, start-ups and other Swiss organizations in their R&amp;D activities.</t>
  </si>
  <si>
    <t>Lausanne , Vaud Switzerland</t>
  </si>
  <si>
    <t>Strong Network Inc.</t>
  </si>
  <si>
    <t>Bryan Hernandez</t>
  </si>
  <si>
    <t>bhernandez@structure.fi</t>
  </si>
  <si>
    <t>Structure provides a mobile trading and investment platform that lets ordinary people (non-professionals) access a broad variety of asset classes like stocks, bonds, crypto, and ETFs. Structure can bring these products and services to people in emerging markets by leveraging the company's tokenization technology.</t>
  </si>
  <si>
    <t>The application does not address any financial regulatory issues. Nor does it give a clear sense of its customer acquisition strategy especially for the global markets the startup intends to serve. It is also unclear what is the moat of the technology. Little detail is given. These are all red flags. However, the pain point outlined (inability to trade crypto between stock 24/7) is a genuine issue and the success of fundraising from high profile crypto investors is a plus. EFL should interview this startup.</t>
  </si>
  <si>
    <t>Confidential content might be a challenge in communication. But given the previous seed amount, it looks like a high profile crypto team</t>
  </si>
  <si>
    <t>ask in interview about openness to sharing company information</t>
  </si>
  <si>
    <t>Road Town, Tortola Virgin Islands, British</t>
  </si>
  <si>
    <t>Structure Financial</t>
  </si>
  <si>
    <t>Tom Graham</t>
  </si>
  <si>
    <t>tom.graham@sustain-ai.com</t>
  </si>
  <si>
    <t>Sustain is the first insurance platform for analyzing and underwriting the risks of AI/ML-driven errors arising in healthcare. Our initial market is insurance for diagnostic errors in digital radiology and digital pathology.</t>
  </si>
  <si>
    <t>The innovation is in providing insurance for AI diagnostic errors in healthcare, which doesn't seem to have been done previously; team has great experience and education; opportunity could be large but likely difficult to start given novelty of idea; no proof of need but logically makes sense; would interview</t>
  </si>
  <si>
    <t>Sustain has not. Bill Goddard has served as a Mentor in the Global Insurance Accelerator, the InsurTechNY Accelerator and the Hartford Insurtech Hub.</t>
  </si>
  <si>
    <t>Ron Lennox</t>
  </si>
  <si>
    <t>Not usually a terribly exciting field, but a novel and unique idea; provides insurance on AI decisions; new idea in a growing field; strong founding team; sophistacted math in idea; new market: challenge would be convincing customers, currently no revenue</t>
  </si>
  <si>
    <t>Amherst, MA United States</t>
  </si>
  <si>
    <t>Sustain Group Holdings LLC</t>
  </si>
  <si>
    <t>Daniel Sorochkin</t>
  </si>
  <si>
    <t>daniel@takeone.video</t>
  </si>
  <si>
    <t>TakeOne has automated professional videography into an app so that anyone can grab a phone and within a few minutes, create a stunning video that looks like it was shot with a professional camera and lights. The app helps businesses create quality and result-driving videos at a fraction of the time and cost.</t>
  </si>
  <si>
    <t>Tech uses AI, AR, and LiDar so that anyone can make a professional video; the tech is not revolutionary but it solves a nice problem; $100k in pre-launch revenue (J&amp;J is a client); B2B and B2C business model; difference seems to be it's affordable, automated, and scripts are written for a person (none of which are competitive advantages); it could be interesting to learn more about the tech and given the founder is an NYU alum, it may be good to interview but I'm also happy to pass</t>
  </si>
  <si>
    <t>- Solid team technically with startup exit. - Proof of traction. - Did customer discovery work through interviews and recorded videos. - Should interview to ensure there is true technical moat.</t>
  </si>
  <si>
    <t>would be useful for our founders in taking video and turning it into professional quality; if not interview, should we use them? have pre launch revenue</t>
  </si>
  <si>
    <t>220 E 14th st. 3F, NY United States</t>
  </si>
  <si>
    <t>TakeOne</t>
  </si>
  <si>
    <t>Jaemin Park</t>
  </si>
  <si>
    <t>jaemin.park@thyroscope.com</t>
  </si>
  <si>
    <t>THYROSCOPE INC., develops the world?s first digital monitoring solution for patients with thyroid dysfunction and thyroid eye disease to enable them to keep track of the disease progression as well as the risk in their daily lives.</t>
  </si>
  <si>
    <t>Digital Tech. Wearable device and digital monitoring app for diagnosing/treating thyroid dysfunction (TDF) and thyroid eye disease (TED). The scientific innovation is a link between heart rate and thyroid hormone levels, which enables continuous real-time monitoring of TH. They also developed an AI algorithm to diagnose TED with a picture of the patient's face. App includes a telemedicine aspect to link results to clinicians and treatment. They say they did a clinical trial in Korea with 90% accuracy. Team members are all full-time except the CTO who is a Prof. at Seoul National University. Applied for 27 patents - none granted yet.</t>
  </si>
  <si>
    <t>A mobile application for digital monitoring solutions for thyroid dysfunction (TDF) and thyroid eye disease (TED). DiT. GEA alumni and MATTER member. A mobile application for digital monitoring solutions for thyroid dysfunction (TDF) and thyroid eye disease (TED). Innovative idea that is not existing in the market. Conducted CT to validate their tech (accuracy was more than 90%). Well-protected through 27 patents.</t>
  </si>
  <si>
    <t>1. MATTER Chicago We are currently affiliated with MATTER Chicago, a global healthcare startup incubator, by joining U.S. Market Adoption Program jointly held by MATTER and Korea SMEs and Startups Agency (KOSME). The program incubates a cohort of 5 Korean SMEs and provides resources, mentorship, and insights that further develop the venture, sales, and fundraising in the U.S. healthcare ecosystem. We are currently in the stage to develop and execute the plan we had set through weekly entrepreneur-in-residence meetings and monthly mentor team meetings. The program started in May of this year and will end up in October. 2. Global Entrepreneur Accelerator (GEA) Program We were alumni of the Global Accelerating Program run by the Institute for the Global Entrepreneur, UC San Diego. From Aug.2020 for 8 months, we explored the US DTx industry to meet diverse experts including CROs with experience in DTx approvals, and MDs in UCSD and UCLA hospitals.</t>
  </si>
  <si>
    <t>change to DiT; wearable device and app; thryoid eye diseases/thyroid disease is target market; algorithim to Dx; app connects with telemedicine; 90% accuracy claimed in app, but did not show data; have applied for 27 patents (none yet granted); if 90% is true, amazing tech!</t>
  </si>
  <si>
    <t>Ulsan, Ulsan Korea, Republic of</t>
  </si>
  <si>
    <t>THYROSCOPE INC.</t>
  </si>
  <si>
    <t>Alexander Reyfman</t>
  </si>
  <si>
    <t>areyfman@tradewelltech.co</t>
  </si>
  <si>
    <t>Tradewell Technologies provides the first fully automated trading suite for the corporate bond market to institutional investors. Our clients are fixed income trading desks at large asset managers. Our product is a cloud-based SaaS system that offers a web-based UI and a client API.</t>
  </si>
  <si>
    <t>- Decent traction: 3 clients, 3 prospects, 10 in pipeline. - Good fundraising: $4.125M - Chris Harrison / Slyce Data referral - Key question here: Why was this startup idea not pursued before? Why is the electronic trading of corporate bonds essentially manual? This must be for a reason. What happened to the similar products the founders built at previous employers? Were they successful or tabled? This application fails to answer these questions, so we need to ask in the interview. - Should definitely interview.</t>
  </si>
  <si>
    <t>(+)Tech seems novel (-)Potential market not very large (+)The have 60K / year from pilot client subs (+)4,125,000 pre seed</t>
  </si>
  <si>
    <t>Chris Harrison / Slyce Data</t>
  </si>
  <si>
    <t>from application, unclear as to why/how they were the first to develop something like this (should have already existed?); referral to Slyce Data; for interview: why is now the time to automate this process, why hasn't it done before, is there a need?</t>
  </si>
  <si>
    <t>Tradewell Technologies Inc</t>
  </si>
  <si>
    <t>Cody Catalena</t>
  </si>
  <si>
    <t>cody@troverlo.com</t>
  </si>
  <si>
    <t>Troverlo's patented technology enables any Wi-Fi chip to be an asset tag, and more importantly Troverlo can locate and gather insights from these assets anywhere in the world with no connectivity and no configuration. This is revolutionary because the cost of adding this to an asset is less than $1, and the cost of connectivity has been eliminated</t>
  </si>
  <si>
    <t>Fascinating! Potential for high impact, scalable, disruptive. Tech seems protected, curious to hear more about validation trials. Def a fit for EFL.</t>
  </si>
  <si>
    <t>+ Technology that enables any Wi-Fi chip to be an asset tag &gt; Can be game-changing in the field provide it attracts more customers quickly as their many companies trying to do the same thing example Apple tag or Samsung tag &gt; Interested to see how can it be scaled to larger market size</t>
  </si>
  <si>
    <t>We are affiliated with the DesignSpark Innovation Center in College Station, TX.</t>
  </si>
  <si>
    <t>College Station, Texas United States</t>
  </si>
  <si>
    <t>Troverlo</t>
  </si>
  <si>
    <t>Rui Maki</t>
  </si>
  <si>
    <t>rui@truffle.health</t>
  </si>
  <si>
    <t>Truffle Health saves patients and employers money on medical care by detecting and correcting errors, overcharges, and fraud on medical bills. Truffle Health saves patients and employers money on medical care by detecting and correcting errors, overcharges, and fraud on medical bills.</t>
  </si>
  <si>
    <t>- Product market fit can be very strong if implemented correctly. This could be both a DTC product as well as an enterprise SaaS product for companies to offer to their employees. - Team has technical expertise. Product is designed and going through user testing. - Recommend an interview considering the nature of the product market fit.</t>
  </si>
  <si>
    <t>catch overcharges on your medical bills that you don?t have to pay for already players in the spa e early the next few months will be crucial</t>
  </si>
  <si>
    <t>Pre-seed Seed</t>
  </si>
  <si>
    <t>$1.000.000</t>
  </si>
  <si>
    <t>We are currently in Cornell Tech?s Startup program, where we received pre-seed funding, mentorship, and office space for a year after winning the Startup Award in Spring 2022.</t>
  </si>
  <si>
    <t>New York New York United States</t>
  </si>
  <si>
    <t>Truffle Health, Inc.</t>
  </si>
  <si>
    <t>Dan Boucher</t>
  </si>
  <si>
    <t>dboucher@vadimus.biz</t>
  </si>
  <si>
    <t>vadimUS is a firm of Building/Energy/AI experts offering to companies and cities owning buildings an optimal, complete and automated energy solution at the forefront of economical and environmental requirements. This non-traditional solution is called vadiMAP.</t>
  </si>
  <si>
    <t>Helps companies decide on renewable energy and how to do it; they have good use cases (pharma and manufacturing companies) on their website but no idea on how much revenue, growth, or number of customers; founder said he would not be able to make it to NYC that often (could be difficult to manage); they are likely worth meeting to better understand tech and traction</t>
  </si>
  <si>
    <t>- Strong team with R&amp;D and business experience - Solid government funding as well as private fundraising. - Large pre-sales funnel built</t>
  </si>
  <si>
    <t>We had but not anymore.</t>
  </si>
  <si>
    <t>1275, avenue des Canadiens-de-Montréal, Québec Canada</t>
  </si>
  <si>
    <t>vadimUS</t>
  </si>
  <si>
    <t>Roberto Iannone</t>
  </si>
  <si>
    <t>roberto.iannone@zoundream.com</t>
  </si>
  <si>
    <t>Zoundream wants to lower the stress of parents with their newborns and improve babies' health. We use AI for cry analysis. It helps parents to better understand their babies? needs and emotions and to support the early identification of potential pathologies and neurodevelopmental disorders.</t>
  </si>
  <si>
    <t>- Market Demand: For first time parents, the inability to understand new born's crying is one of the most frustrating and time consuming part of parenthood. This is a global problem. Startup has some of the largest baby monitoring product makers as test pilots. - Technology: holds the promise to understand cries, suggest parent follow-up action, and also detect disease. - Team is well balanced in tech and business skills, and has doctors in relevant fields in neuropsychology and neonatology. - Should interview this team.</t>
  </si>
  <si>
    <t>Disruptive baby tech, innovative &amp; poised for major impact. EFL material!</t>
  </si>
  <si>
    <t>uses AI to interperate newborn cries for follow up action by caregivers; strong global market; contract agreements with 3 larges baby companies in europe, US and China; also working with LG electronics and has done testing in hospitals; strong demand and good traction</t>
  </si>
  <si>
    <t>Basel, Basel-Stadt Switzerland</t>
  </si>
  <si>
    <t>Zoundream</t>
  </si>
  <si>
    <t>Ratmir Derda</t>
  </si>
  <si>
    <t>ratmir@48hourdiscovery.com</t>
  </si>
  <si>
    <t>48 Hour Discovery (48HD) discovers molecules that become drug candidates. The proprietary Discovery Engine platform enables drug development by our clients - pharma and biotech companies. The novel patent-unencumbered molecules are tailored to the needs of clients at a fraction of cost and time compared to competitors.</t>
  </si>
  <si>
    <t>NGS drug discovery platform to identify peptide therapeutics. All discoveries are compiled in a cloud, and they've collected more than 1B unique molecules over 20K experiments - they have Pharma customers who use both their platform and this library. $1M in revenue in 2021, already have $1M in 2022. They talk about Pharma partnerships, but I want to know the results of them - demonstrated binding affinity, but have any been proven to be successful in treating disease in vitro or in vivo? CEO is part-time, a professor from Alberta, but they have a team of 20+ around the world (virtual startup).</t>
  </si>
  <si>
    <t>Outstanding company. $1M in revenue 2021, and 1M+ in the first two Qs of 2022. In contract with big pharma companies such as Merck, etc. for drug discovery and development, and has customers globally. A joint venture with two other startups (one in San Diego and the other in Seoul) is formed which is partially owned by this company.</t>
  </si>
  <si>
    <t>The founder (Ratmir Derda) participated in the The K-Startup Grand Challenge program in 2020-21 in South Korea. The participation resulted in the formation of a Korea-based joint venture between 48Hour Discovery and Quantum Intelligence Corporation (https://www.qic.ai/news) and two contracts from Korean clients.</t>
  </si>
  <si>
    <t>11421 Saskatchewan Drive NW, Edmonton, AB T6G 2M9, Alberta Canada</t>
  </si>
  <si>
    <t>48 Hour Discovery Inc.</t>
  </si>
  <si>
    <t>Abhishek Ramkumar</t>
  </si>
  <si>
    <t>aramkumar@abramscientific.com</t>
  </si>
  <si>
    <t>Abram Scientific is a medical device company with a mission to deliver a high quality point-of-care blood coagulation diagnostic platform (CoagCare) with a convenient &amp; affordable path to bleeding / clotting management in all clinical scenarios, targeting a total market size of $4.3B.</t>
  </si>
  <si>
    <t>Point-of-care diagnosis of clot-related disease. IP is well-protected and has been validated using human blood samples for 6 clot-related diagnostic tests. They demonstrated the ability to complete a full coagulation assessment in less than half of the time of gold standard testing. They did not include sensitivity/specificity data or discuss regulatory pathways. Nearly $5M raised in grants and a small angel investment. CEO is a PhD from Cornell. VPs have decades of experience in this field, and advisors have commercialized clot-related tech. Referred by Sid Angle from Regenosine (EFL alumni).</t>
  </si>
  <si>
    <t>referred by Sid Angle, CEO, Regenosine. DoD grant. A PoC test consist of a device and disposable card for faster, precise Viscoelastic Coagulation System. The device is able to do 6 coagulation tests at the same time in less than 15 minutes.</t>
  </si>
  <si>
    <t>Sid Angle, CEO, Regenosine</t>
  </si>
  <si>
    <t>POC for clotting diseases; validated in human blood samples for 6 clotting diseases; no data on sensitivity or specificity; no discussion of regulatory pathway; $5M in grants;</t>
  </si>
  <si>
    <t>South San Francisco, California United States</t>
  </si>
  <si>
    <t>Abram Scientific, Inc.</t>
  </si>
  <si>
    <t>Kevin Flyangolts</t>
  </si>
  <si>
    <t>kevin@aclid.bio</t>
  </si>
  <si>
    <t>Aclid is a security and safety platform for synthetic biology founded by Professor Harris Wang at Columbia University. The company provides a tech-enabled service that identifies pathogenic or toxic genes in DNA for biosecurity and export control compliance, helping gene synthesis providers, foundries, and governments among others.</t>
  </si>
  <si>
    <t>Interesting idea to consider biosecurity in gene synthesis - haven't seen a company like this before since most companies would do this privately in-house. This issue will grow as synthetic biology becomes more popular.</t>
  </si>
  <si>
    <t>Bill and Melinda foundation invests enormous money in this area.</t>
  </si>
  <si>
    <t>No affiliations with startup programs, institutions, accelerators, or incubators.</t>
  </si>
  <si>
    <t>New York, New York United States</t>
  </si>
  <si>
    <t>Aclid, Inc.</t>
  </si>
  <si>
    <t>George Wu</t>
  </si>
  <si>
    <t>george@amberstonebio.com</t>
  </si>
  <si>
    <t>Amberstone Biosciences is developing a new generation of tumor microenvironment activated immunotherapeutics to treat solid tumors with unmet needs, in part through cutting-edge discovery technologies and creative partnerships.</t>
  </si>
  <si>
    <t>(1) Antibody therapeutics activated by acidity in the tumor microenvironment (2) Microfluidics platform for drug discovery via single-cell analysis Great mouse data, $18.2M already raised, team has UC Irvine Prof and Harvard MBA, experience at Genentech taking drugs to clinical trials. Bob Langer on the board!</t>
  </si>
  <si>
    <t>23181 Verdugo Drive, Suite 106, CA United States</t>
  </si>
  <si>
    <t>Amberstone Biosciences Inc</t>
  </si>
  <si>
    <t>Diana Caldwell</t>
  </si>
  <si>
    <t>diana.caldwell@amplifiedsci.com</t>
  </si>
  <si>
    <t>Amplified Sciences is a clinical stage in-vitro diagnostics company focused on accurately detecting debilitating diseases sooner with a lead assay for early detection of pancreatic cancer supported with published data. This assay provides increased accuracy and earlier detection helping gastroenterologists identify potential pancreatic cancer.</t>
  </si>
  <si>
    <t>Platform for early disease detection, starting with pancreatic cancer. They use a low sample volume, and amplify biomarkers using ultra-sensitive molecular dyes. Tested on human samples with favorable results, and IP is very well protected. CEO is an MBA with startup experience, and CSO is a Purdue Prof. Strong advisory board, with ex-Roche execs.</t>
  </si>
  <si>
    <t>Purdue University. A testing platform based on ultra-sensitive molecular dyes, that amplify the signals of biomarkers. Issues mentioned in Tech Notes in my review.</t>
  </si>
  <si>
    <t>Affiliated with Xlerate Health in Louisville. Past participant in the Elevate Ventures pre-accelerator We are a Purdue Foundry company and I am active in a startup CEO group they sponsor. Pepperdine's Most Fundable Company designation and program 2021</t>
  </si>
  <si>
    <t>West Lafayette, IN United States</t>
  </si>
  <si>
    <t>Amplified Sciences, Inc.</t>
  </si>
  <si>
    <t>Patricio Sepulveda</t>
  </si>
  <si>
    <t>psepulveda@amplobiotechnology.com</t>
  </si>
  <si>
    <t>Amplo Biotechnology is a late, pre-clinical gene therapy company developing AAVs to target the neuromuscular junction. Amplo's lead candidate AMP-101, carries the Dok-7 gene and it has the potential to treat multiple indications with the same vector. The initial indicatin is Dok-7 congenital myosthenic syndrome.</t>
  </si>
  <si>
    <t>One full-time founder - ask about part-time in the interview</t>
  </si>
  <si>
    <t>2637E Atlantic Ave., Pompano Beach, Florida United States</t>
  </si>
  <si>
    <t>Amplo Biotechnology</t>
  </si>
  <si>
    <t>Antlia Bioscience, Inc. _2022</t>
  </si>
  <si>
    <t>Brian Johnson</t>
  </si>
  <si>
    <t>bjohnson@antliabio.com</t>
  </si>
  <si>
    <t>Antlia Bioscience Inc. is a virtual startup developing drugs for cardiovascular diseases. We use PASylation® a proprietary chemistry platform to design novel long-acting peptides with fine-tuned pharmacologic/pharmacokinetic properties using parent peptides with known biology and efficacy. We have two drug development programs.</t>
  </si>
  <si>
    <t>Tx for cardiovascular diseases: novel long-acting peptides based off of parent peptides with known biology and efficacy. Completed safety in rats and efficacy in canines. IP is well protected. Team is good but not a standout. Still, they were referred by Gill and Novartis has expressed interest.</t>
  </si>
  <si>
    <t>Gill Swahney</t>
  </si>
  <si>
    <t>Encinitas, CA United States</t>
  </si>
  <si>
    <t>Antlia Bioscience, Inc.</t>
  </si>
  <si>
    <t>Brett Homovec</t>
  </si>
  <si>
    <t>brett.homovec@arterez.com</t>
  </si>
  <si>
    <t>Tx that are curative and preventative of plaque buildup in the arteries, preventing cardiovascular disease (CVD) --&gt; Demonstrated efficacy in 2 animal models, and completed an FDA Pre-IND meeting in April 2022. No clinical studies or pilots yet, but they're on their way. They've also developed a companion diagnostic and identified biomarkers for arterial diseases. CEO is NYU MBA, President is Dr. Joe Tunac former lead scientist at Merck who developed Avermectin (HeartGard), with experience commercializing many Tx. Venture Summit West find. CVD is the largest worldwide killer, and the statin market is huge but competitive.</t>
  </si>
  <si>
    <t>CVD novel combo therapies</t>
  </si>
  <si>
    <t>Series A|Bridge</t>
  </si>
  <si>
    <t>Oakland University Incubator</t>
  </si>
  <si>
    <t>West Bloomfield, MI</t>
  </si>
  <si>
    <t>Arterez, Inc.</t>
  </si>
  <si>
    <t>Solomon Endlich</t>
  </si>
  <si>
    <t>solomon@b5genomics.com</t>
  </si>
  <si>
    <t>We are building a targeted long-read sequencing based biomarker discovery platform to solve the challenge of decoding patient response. We will provide biopharma the genomic information that precision medicine needs to develop personalized drugs, lower therapeutic development risk, and expedite and reduce costs of therapeutic development.</t>
  </si>
  <si>
    <t>They got 4.5 from Chris and Chintan and got an interview invite last year. What happened? And apparently in 2021 they said that they also applied before - so it is their third time??? Also I am named as a reviewer when they applied in 2020 but I wasn't at EFL yet , but they also got an invite in 2020 They say they were referred by Jonathan Friedlander, but they mentioned the same in 2021 - just want to double check that Jonathan still referred them for this year too</t>
  </si>
  <si>
    <t>Very good idea but why didn`t EFL accept this startup last time? We should definitely discuss this.</t>
  </si>
  <si>
    <t>EFL reached out to us via a principal at one of our investors, Jonathan Friedlander, who is also an advisor with EFL.</t>
  </si>
  <si>
    <t>Has applied in 20, 21, and now 22; Mentor referral; in prior apps had only done testing in cell line, assumed would translate to primary cells; LY did not have enough validation; does not seem like there's too much improvement; special reject if not selected for this;</t>
  </si>
  <si>
    <t>Base5 Genomics, Inc.</t>
  </si>
  <si>
    <t>Thomas Collet</t>
  </si>
  <si>
    <t>thomas.collet@bilayer-therapeutics.com</t>
  </si>
  <si>
    <t>We are developing novel therapeutics for the treatment of constipation and other diseases of the colon.</t>
  </si>
  <si>
    <t>Bob Langer company, applied last year and invited but did not interview due to time constraints. Star company, excited to interview them. Chris met the founder at Venture Summit West and convinced him to apply. In interview, ask about clinical stage for their API (NaCDC) vs. pre-IND stage for the bilayer tablet.</t>
  </si>
  <si>
    <t>Bilayer Therapeutics</t>
  </si>
  <si>
    <t>Daniel Meyer</t>
  </si>
  <si>
    <t>dan@cellchorus.com</t>
  </si>
  <si>
    <t>CellChorus is advancing the next generation of single-cell analysis. The company's TIMING platform applies AI to evaluate thousands of microscopy experiments in parallel. Biopharma customers and researchers apply the platform to improve the development and manufacture of novel immunotherapies based on function.</t>
  </si>
  <si>
    <t>Single-cell imaging and analysis platform. They use time-lapse Imaging Microscopy in Nanowell Grids (TIMING?) with neural network-based AI to identify, track, and characterize behaviors and interactions of disease cells together with T-cells and other effector cells. $100K in revenue from customers, have 20+ publications (including a customer publication). CEO is MBA from Dartmouth with prior startup experience (acquired by NYSE listed company), and CSO is part-time U of Houston Prof. who invented the tech in their Single Cell Lab. U.S. Patent Granted and Exclusively Licensed. Ask more about team --&gt; fully spun out of U of H with other full-time members? Also ask about customers - who are they and what significant advances has CellChorus helped them to make?</t>
  </si>
  <si>
    <t>YC startup. Ground-breaking tech. Great team. Highly validated. 100K revenue. Single Cell Imaging. A platform based on nano well grids, which use time-lapse imaging and further uses neural network-based AI to identify, track, and characterize behaviors and interactions of disease cells together with T-cells and other effector cells.</t>
  </si>
  <si>
    <t>Y Combinator, BioTools Innovator, Plug &amp; Play Health, NVIDIA Inception</t>
  </si>
  <si>
    <t>Strong team with prior acquisitions, has patent; for interview is team fully spun out from princeton, who is your customer base currently?</t>
  </si>
  <si>
    <t>Houston, TX United States</t>
  </si>
  <si>
    <t>CellChorus</t>
  </si>
  <si>
    <t>Lucy Jung</t>
  </si>
  <si>
    <t>lucyjung@charconeurotech.com</t>
  </si>
  <si>
    <t>Charco Neurotech creates innovative, affordable medical devices to help reduce the symptoms of a range of neurodegenerative disorders, providing a greater quality of life for those who live with these conditions.</t>
  </si>
  <si>
    <t>A discreet device that delivers focused vibrotactile stimulation and cueing to relieve Parkinson's symptoms. Also vibrates to remind users to take medication. The demo is amazing. They've tested in South Korea and are selling to users in England. Already raised $10M. They are looking for FDA regulatory advice and to break into the US market.</t>
  </si>
  <si>
    <t>I love this technology. The sicence behind this technology is to help relieve symptoms for Parkinson`s disease by using focused vibrotactale and cuing principles. It is a small wearable device, reminds daily medications, quite, and easily rechargeable.</t>
  </si>
  <si>
    <t>We have been and continue to be affiliated with the following institutions: Cambridge Judge Business School, MedTech SuperConnector, KQ Labs, RCA Innovation, Imperial Enterprise Labs</t>
  </si>
  <si>
    <t>developing parkinson discrete device to help patients walk without wobbling; already selling in the UK; demo video seems to show quite a remarkable and immediate change for patients when using device. Also reminds patients to take meds</t>
  </si>
  <si>
    <t>Wellington House, East Road, Cambridge, CB1 1BH, Cambridgeshire United Kingdom</t>
  </si>
  <si>
    <t>Charco Neurotech</t>
  </si>
  <si>
    <t>Matthew Lorence</t>
  </si>
  <si>
    <t>mclorence@chimeratx.com</t>
  </si>
  <si>
    <t>Chimera Therapeutics has developed a proprietary treatment where transfused processed donor stem cells ?reset? the patient?s immune system, restoring immune tolerance, eliminating the patient?s autoreactive immune cells that are the cause of the autoimmune disorder, preventing progression with the potential to regenerate damaged tissue and organs.</t>
  </si>
  <si>
    <t>- Cure for autoimmune diseases like sickle cell anemia, MS, and diabetes. A treatment using immune cells from a half-matched donor (parent or sibling) to establish a stable ?mixed chimerism? where both the donor and patient immune systems co-exist in the patient. Following a radiation-free, mildly ablative conditioning to reduce, but not eliminate, the patient?s immune system cells, processed donor cells are infused and engraft in the patient?s bone marrow to ?reset? the patient?s immune system and restore central and peripheral immune tolerance. - A Phase I human clinical trial at the City of Hope demonstrated safety of mixed chimerism in three patients, and gradual expansion of naïve T cells in one patient, indicating that these cells were tolerized to each other. - 3 U.S. Patent Applications Filed, 1 PCT Granted. - Advisors are professors at City of Hope. No fundraising or grants - it seems they have a relationship with City of Hope who paid for the clinical trial and recruited patients, and that this relationship is ongoing. CEO is only full-time founder.</t>
  </si>
  <si>
    <t>A platform for planting hematopoietic stem cells (HSCs) from a half-match donor (siblings or parents) to BM of the autoimmune patient, which makes it able for both immune systems to co-exist in the patients' body. It has a radiation-free, mildly ablative conditioning step to decrease, but not eliminate the patients' own immune system activity. Part-time team. Technological innovation can't be seen, and it is a clinical process innovation. They are not currently focused in a specific application to make a business model for it and instead they have several potentia business models and studies ongoing.</t>
  </si>
  <si>
    <t>$5,000,000 - 10,000,000</t>
  </si>
  <si>
    <t>Alamo, CA United States</t>
  </si>
  <si>
    <t>Chimera Therapeutics LLC</t>
  </si>
  <si>
    <t>Dave Gallup</t>
  </si>
  <si>
    <t>dgallup@empiricancer.com</t>
  </si>
  <si>
    <t>EMPIRI is a platform technology company with a current focus on precision oncology. EMPIRI?s novel 3D tumor slice culture platform enables personalized, empirical drug response predictions from diagnostic biopsies in 8 days. This platform has been shown to accurately predict patient responses in two retrospective clinical studies.</t>
  </si>
  <si>
    <t>Similar to OncoPrecision, but uses tissue slices instead of blood samples. Their E-slice platform sections the tumor and tests different cancer treatments ex vivo to identify optimal outcomes. Validated in 2 retrospective clinical studies with 100% selectivity and specificity (n=9). Developed by a woman-led lab at Weill Cornell (Associate Prof. is CSO). CEO has prior startup experience.</t>
  </si>
  <si>
    <t>J&amp;J JLABS startup. Great team. Cornell, Caltech, Stanford affiliation. Developing a platform named e-slice, for slicing tumor biopsies and testing each slice with different cancer treatments ex-vivo (Chemotherapy, Radiotherapy, Immunotherapy, Targeted therapy, and combinations covered.) to predict patient's reaction to each therapy, and finding the most optimized one.</t>
  </si>
  <si>
    <t>EMPIRI was a resident of Johnson &amp; Johnson?s JLABS incubator from May, 2019 to July 2022. Unfortunately, due to COVID19 and the lack of a site director at the Houston incubator for the majority of the time we were in residence, we were not able to take advantage of the program. We recently moved into a larger lab space to facilitate our CLIA certification and launch of the E-slice assay as an LDT. Our co-founder, Kyuson Yun, is an Associate Professor in the Department of Neurology at the Weill-Cornell Medical College and Houston Methodist Research Institute; an Adjunct Assistant Professor with Texas A&amp;M Medical College, and had other faculty appointments previously. Dr. Yun was selected for the Equalize mentoring program sponsored by the WUSL Technology Management office and the Osage University Partners for female faculty startups. EMPIRI was also selected for the State of Texas Technology Commercialization Center's "Texas Ideation Discovery Bootcamp 2022" program.</t>
  </si>
  <si>
    <t>Houston, Texas United States</t>
  </si>
  <si>
    <t>EMPIRI</t>
  </si>
  <si>
    <t>Alborz Yazdi</t>
  </si>
  <si>
    <t>Alborz@ExavirTx.com</t>
  </si>
  <si>
    <t>Exavir Therapeutics is developing long-acting and curative solutions for viral diseases, namely HIV / AIDS. Exavir's lead program is an ultra-long-acting HIV integrase inhibitor that has the potential for once-every-six-months dosing for HIV prevention and HIV treatment, and is expected to enter first-in-human clinical trials in mid-2023.</t>
  </si>
  <si>
    <t>Similar to MarPam Pharma (last year's EFL cohort) in terms of tech and validation, but seem to have more business contacts involved and already have $4.2M in funding from Gilead and AlleyCorp.</t>
  </si>
  <si>
    <t>Referred by Brenton Fargnoli Who is full-time besides the CEO?</t>
  </si>
  <si>
    <t>$30,000,000+</t>
  </si>
  <si>
    <t>Brenton Fargnoli</t>
  </si>
  <si>
    <t>San Francisco, CA United States</t>
  </si>
  <si>
    <t>Exavir Therapeutics</t>
  </si>
  <si>
    <t>Erez Shor</t>
  </si>
  <si>
    <t>erez.shor@exeromedical.com</t>
  </si>
  <si>
    <t>Exero Medical develops postoperative healing monitoring diagnostic systems. Its flagship product xBar is a temporary implant that uses data collected directly from the surgical site to analyze recovery real-time and alert if immediate intervention is required to save lives.</t>
  </si>
  <si>
    <t>Could be deep tech. Sensor array embedded in a standard surgical drain to monitor surgical wound site healing. Currently being tested in a multi-center clinical study (in Israel?). FDA breakthrough device designation. IP protected and owned by the company. Team has prior startup experience, Technion PhD.</t>
  </si>
  <si>
    <t>I want to know more about their clinical studies, and results on them. I also want to know more about the opinion of surgeons on their technology, and feasibility of attaching the sensor during surgery.</t>
  </si>
  <si>
    <t>Exero Medical is a MEDXelerator portfolio company - the seed investment was provided by the incubator (Backed by Israel Innovation Authority, MEDX Ventures, Boston Scientific, CBG group and Sheba Medical Center).</t>
  </si>
  <si>
    <t>8 Ariel Sharon Blvd. Or Yehuda, Israel</t>
  </si>
  <si>
    <t>Exero Medical</t>
  </si>
  <si>
    <t>Tim Haystead</t>
  </si>
  <si>
    <t>tim.haystead@eydisbio.com</t>
  </si>
  <si>
    <t>EydisBio is a small biotech located in Durham, NC which originated as a spin out from Duke University. Our current focus is to discover and develop potent and highly selective small molecule therapeutics aimed at treating patients who suffer from a variety of autoimmune and inflammatory diseases.</t>
  </si>
  <si>
    <t>great scientific cofounder who has a Pfizer acquired startup! Raising a mid-size Series A. Excellent company.</t>
  </si>
  <si>
    <t>Fantastic innovation and technology found by scientists extremely experienced in the field. Founders also have the experience of startup exit and clinical trials. The fact that technology is a platform ables them to adopt B2B business models, and enter many different markets. I would love to know more on other lead molecules for other diseases that they have found.</t>
  </si>
  <si>
    <t>We are currently a member of BioLabs North Carolina located in downtown Durham, NC where we have lab space and shared equipment with other companies.</t>
  </si>
  <si>
    <t>team is combo of MBAs and PHDs from Duke; One of founders is out of a Pfizer acquired startup; platform not fully developed, but background science solid; concern: most of team is part time, one full time founder (Director of R&amp;D);</t>
  </si>
  <si>
    <t>Durham, North Carolina United States</t>
  </si>
  <si>
    <t>EydisBio, Inc.</t>
  </si>
  <si>
    <t>Li Li</t>
  </si>
  <si>
    <t>li_li@hms.harvard.edu</t>
  </si>
  <si>
    <t>GeneSkin is an animal-free precision skincare platform out of George Church?s lab at Harvard Medical School that uses a novel human cell-based experimental model and AI in omics for early-stage drug discovery.</t>
  </si>
  <si>
    <t>Omics approach to identifying personalized therapeutics for acne and other skin disorders. Collected genetic data from 3k patients. Evaluated cell populations with AI, differentiated iPSCs into skin cells, and used on-chip tech to test. Early, but CEO is Harvard PhD out of George Church's lab (he is on their SAB).</t>
  </si>
  <si>
    <t>Harvard spin-off. They haven't shared any information on the technology at all! I can't assess them properly with this info provided. They sound to be really promising and I think we should ask them to share more with us before rejection.</t>
  </si>
  <si>
    <t>Yes, Nucleate from Harvard.</t>
  </si>
  <si>
    <t>DEEPAK HEGDE, Professor of Management, NEC Faculty Fellow</t>
  </si>
  <si>
    <t>One Broadway, Kendall Square, Cambridge, MA United States</t>
  </si>
  <si>
    <t>GeneSkin</t>
  </si>
  <si>
    <t>Gitte Pedersen</t>
  </si>
  <si>
    <t>glp@genomicexpression.com</t>
  </si>
  <si>
    <t>Genomic Expression has clinically validated its RNA Platform for Next Generation Cures. By analyzing RNA we can detect disease, monitor health, and design the Next Generation Cures.</t>
  </si>
  <si>
    <t>Messaging is confusing. This is an RNAseq platform for designing novel RNA Therapeutics, but also incorporates a HIPPA-compliant cloud for data analysis. They also mention disease diagnosis at home using the platform on embedded tissue samples or liquid biopsy, but I'd need to see more data regarding fragmented RNA analysis to ensure their tissue results are accurate/possibl). Applied last year - since then, Bob S joined their board and they grew revenues by 250%. Patents filed but not granted.</t>
  </si>
  <si>
    <t>Generally, they are a great startup. I want to know more about their ongoing research and results, the identified sequences and their relation to each disease, and precision of diagnosis.</t>
  </si>
  <si>
    <t>M2D2 and ABCT</t>
  </si>
  <si>
    <t>Beverly, MA United States</t>
  </si>
  <si>
    <t>Genomic Expression Inc</t>
  </si>
  <si>
    <t>Connor Dowling</t>
  </si>
  <si>
    <t>connor.dowling@genotwin.com</t>
  </si>
  <si>
    <t>GenoTwin is using our leading edge capabilities in metagenomics and transcriptomics towards solving critical diagnostic and public health challenges in infectious diseases. GenoTwin arms clinicians, epidemiologists, and therapeutic developers with insights needed to optimize the quality and cost of treating pathogen-based disease.</t>
  </si>
  <si>
    <t>Next-generation sequencing platform using multi-omics and AI to detect infection strains, degree/type of host response, and resistance. Referred by Marc Weill. CEO/CTO from Tufts/Columbia. Also have part-time Profs. from Columbia and Seoul National University. Three members of the National Academy of Sciences on the SAB. IP is licensed from Columbia and otherwise trade secret. In the interview, ask for DATA - claim they've tested thousands of samples, but no validation data is shared.</t>
  </si>
  <si>
    <t>Referred by Marc Weill. Columbia spin-out. A test that uses conventional samples to detect the strain of infection, degree and type of the host response, and resistance. No results shared on validation.</t>
  </si>
  <si>
    <t>Weill Cornell Medicine BioVenture eLab</t>
  </si>
  <si>
    <t>Marc Weill</t>
  </si>
  <si>
    <t>GenoTwin, Inc.</t>
  </si>
  <si>
    <t>Dan Edelstein</t>
  </si>
  <si>
    <t>d.edelstein@haystackoncology.com</t>
  </si>
  <si>
    <t>Haystack Oncology provides best in class personalized testing for patients with cancer to identify minimal residual disease. We aim to dramatically improve outcomes by identifying the maximal number of patients with residual, recurrent, and resistant disease who stand to benefit from proactive clinical interventions.</t>
  </si>
  <si>
    <t>NGS to identify minimal residual disease in cancer patients - measures ctDNA in liquid biopsies to detect cancer-specific biomarkers. The tech is not the most novel, but definitely an improvement over existing machines. Team is out of Johns Hopkins and has had startups acquired 3 times previously, one of which was in the liquid biopsy/ctDNA detection space. Raised $10M already.</t>
  </si>
  <si>
    <t>ctDNA testing for molecular residual status of cancer after surgery.</t>
  </si>
  <si>
    <t>60M</t>
  </si>
  <si>
    <t>301 W. 29th St., Suite 2004U, Baltimore, MD United States</t>
  </si>
  <si>
    <t>Haystack Oncology</t>
  </si>
  <si>
    <t>Nabanita Nawar</t>
  </si>
  <si>
    <t>nabanita@hdaxtx.com</t>
  </si>
  <si>
    <t>HDAX Therapeutics is developing a targeted therapeutics platform for the safe and efficacious treatment of HDAC-driven pathologies such as brain cancers and neuropathies by generating rationally designed therapies which overcomes common drug challenges including weak binding, off-target toxicities, and poor pharmacokinetic profiles.</t>
  </si>
  <si>
    <t>Tx for peripheral neuropathy. Animal studies show safety. Efficacy studies and lead indication selection are planned but require fundraising. All-star team. Women-led and diverse with prior startup exits. U of T professor. One founder is NYU Stern MBA.</t>
  </si>
  <si>
    <t>Although they haven't still applied for pre-IND, the team sounds really promising to develop an efficient drug. I want to know more about</t>
  </si>
  <si>
    <t>HDAX is currently a part of Health Innovation Hub and District 3. We have also previously participated in Creative Destruction Lab ? Neuro stream 21-22, UTEST 21-22, and Lab2Market.</t>
  </si>
  <si>
    <t>Mississauga, Ontario Canada</t>
  </si>
  <si>
    <t>HDAX Therapeutics</t>
  </si>
  <si>
    <t>Jan-Georg Rosenboom</t>
  </si>
  <si>
    <t>jgr@mit.edu</t>
  </si>
  <si>
    <t>We are combining clinical experience with polymer chemistry to solve unmet needs in the intratumoral cancer treatment space. We have created an intratumoral drug delivery platform for immunotherapy adjuvants.</t>
  </si>
  <si>
    <t>Giovanni Traverso</t>
  </si>
  <si>
    <t>very early stage without too much funding right now, but otherwise extremely exciting tech</t>
  </si>
  <si>
    <t>ImmunoGel LLC</t>
  </si>
  <si>
    <t>Vadim Nazarov</t>
  </si>
  <si>
    <t>vadim@immunomind.com</t>
  </si>
  <si>
    <t>ImmunoMind uses AI and multi-omics to optimize the persistence of cells in cell therapies for drug companies, improving the efficacy of the treatment.</t>
  </si>
  <si>
    <t>Multi-omics immune cell database and associated AI algorithm for identification of cells with optimal persistence and potency for safer and more effective cell therapies. Direct competitor to Immunai (exciting tech space). Team are SkyDeck alumni out of Berkeley, with support of that network. Brought on advisors from MIT, Stanford, and Yale with immunotherapy experience. IP is not protected. Validation is unclear - they have "partners" but did not publicize any significant data yet. May be too early for this cohort, but should cluster with other immuno/AI companies.</t>
  </si>
  <si>
    <t>UCBerkeley. I personally think the technology is a bit early. Competitor for Immunai. Multi-Omics Intelligent Platform (software) for increasing cell persistency for cell therapy companies in order to less costly and more efficient product development and CT. No patent. It has been used in some cell therapy researches.</t>
  </si>
  <si>
    <t>We are an alumnus of UC Berkeley SkyDeck startup accelerator, BioTrack Cohort.</t>
  </si>
  <si>
    <t>competitor to immuneAI; skydeck alum, berkely association; IP not protected yet, validation is unclear; perhaps too early for cohort, but exiciting company</t>
  </si>
  <si>
    <t>Berkeley, CA United States</t>
  </si>
  <si>
    <t>ImmunoMind</t>
  </si>
  <si>
    <t>Maksim Mezhericher</t>
  </si>
  <si>
    <t>maksim.mezhericher@gmail.com</t>
  </si>
  <si>
    <t>INAEDIS has proprietary platform for scalable dehydration of liquid formulations into dried powders to solve the problem of stability and solubility for biopharmaceutical companies and industrial manufacturers. Our innovative technology reduces dependence on the ?cold chain? logistics, provides improved product quality and safety, enhanced versatility, increased production capacity, longer shelf life, lower operating costs and decreased carbon footprint.</t>
  </si>
  <si>
    <t>Referred by Mark Esposito (founder of EFL alumni KayoThera); Christian Theriault (EFL mentor); Mike Wiley (New Jersey Health Foundation)</t>
  </si>
  <si>
    <t>This is a great idea.</t>
  </si>
  <si>
    <t>The team of the founders who are also the members of a laboratory of Princeton University, are currently fellows of the University City Science Center of Philadelphia, QED Proof of Concept Program for academia: https://sciencecenter.org/news/the-science-center-awards-600-000-to-three-academic-research-projects The team of Dr. Maksim Mezhericher and Prof. Howard Stone participated and completed NSF I-Corps program (regional, Cornell/Pittsburgh 2021). Dr. Mezhericher also graduated from Princeton Wharton Executive Education Course in 2021. In addition, Dr. Mezhericher has been selected as a fellow of START Entrepreneurs program 2022-2023, Princeton University.</t>
  </si>
  <si>
    <t>Mark Esposito (founder of KayoThera); Christian Theriault (EFL mentor); Mike Wiley (New Jersey Health Foundation)</t>
  </si>
  <si>
    <t>Princeton, New Jersey United States</t>
  </si>
  <si>
    <t>INAEDIS</t>
  </si>
  <si>
    <t>Harvey Tian</t>
  </si>
  <si>
    <t>harvey@inso.bio</t>
  </si>
  <si>
    <t>Inso Biosciences is an early-stage Cornell University biotech spinout developing hardware tools and systems for biological sample processing. Inso Bio has licensed proprietary microfluidic technology capable of rapid and efficient sample preparation for genomic and metagenomic sequencing. The company closed a $2.275M pre-seed round in March 2022.</t>
  </si>
  <si>
    <t>Microfluidics platform to improve efficiency of DNA extraction/purification. Micropillars to perform cellular sample processing with single-cell precision and multi-omic potential. Demonstrated 10X faster sample processing time and 30% better quality sample produced in an automated workflow. IP is well protected. Cornell PhDs - advisor is Prof. who spun out Pacific Bio. Referred by higher-ups at IndieBio/SOSV. Also participated in CDL.</t>
  </si>
  <si>
    <t>Microfluidic technology for sample processing and possible multi-omics analysis and pathogen isolation. Referral: Chris</t>
  </si>
  <si>
    <t>Inso Biosciences is a graduate of IndieBio New York Cohort 3 from Fall 2021, and a graduate of Creative Destruction Labs Toronto Health Stream from 2021/2022.</t>
  </si>
  <si>
    <t>Chris Mosher, Julie Wolf, Stephen Chambers, Louis Walcer, Gregory Ray, Brad Treat</t>
  </si>
  <si>
    <t>Ithaca, NY United States</t>
  </si>
  <si>
    <t>Inso Biosciences Inc.</t>
  </si>
  <si>
    <t>Ayla Annac</t>
  </si>
  <si>
    <t>aannac@invivosciences.com</t>
  </si>
  <si>
    <t>InvivoSciences, Inc. (IVS) is pre-clinical-stage biotech developing a therapy for cardiovascular &amp; cardiometabolic diseases utilizing its predictive precision medicine development platform, Kokordia?. It combines patient-derived micro heart on a chip, NuHeart?, AI-assisted patient-stratification diagnostic technology, and HTS instrumentation.</t>
  </si>
  <si>
    <t>Patient-derived microheart-on-a-chip platform paired with high-throughput screening technology to diagnose and develop Tx for cardiovascular/cardiometabolic diseases. Validated in vitro using engineered microhearts and human heart slices. Women-led team, very well qualified (Wash U, Harvard). Team includes Dr. Joseph Schlessinger, former chair of pharmacology at NYU turned serial entrepreneur. $8M in grants, fully own their company and are looking to raise a Series A. One patent granted, others filed. Large market opportunity. Need to ask them about drug and diagnostics programs - how far along are they in each beyond their lead candidate?</t>
  </si>
  <si>
    <t>$8-10M</t>
  </si>
  <si>
    <t>Mass Challenge Boston 2020 finalist-this was before we develop our first drug program</t>
  </si>
  <si>
    <t>510 charmany drive suite 60, wisconsin United States</t>
  </si>
  <si>
    <t>InvivoSciences, Inc.</t>
  </si>
  <si>
    <t>Arthur Young</t>
  </si>
  <si>
    <t>apyoung@inv-vax.com</t>
  </si>
  <si>
    <t>InvVax leverages its unique, in-house functional genomics mapping platform to discover and design vaccines and therapies for rapidly mutating viruses such as influenza and SARS-CoV-2, delivering solutions to billions of people worldwide.</t>
  </si>
  <si>
    <t>Next generation sequencing technology to create pan-viral vaccines that account for all possible viral strains and mutations. First product is a universal influenza vaccine taken intranasally and subQ (via AAV) once every 5-10 years. IP is well protected. Their flu vaccine was tested in mice and shown to be effective against multiple lethal strains of flu, including H1N1, H3N2, and H5N1. It was also shown to be superior to the standard-of-care, and demonstrated effectiveness in human blood cells ex vivo. CEO is only full time member? Need to know who is working on this.</t>
  </si>
  <si>
    <t>Vaccine development for highly mutated viruses.</t>
  </si>
  <si>
    <t>UCLA CNSI Incubator Pasadena Bioscience Collaborative</t>
  </si>
  <si>
    <t>Pasadena, CA United States</t>
  </si>
  <si>
    <t>InvVax</t>
  </si>
  <si>
    <t>RAUF ASHRAF</t>
  </si>
  <si>
    <t>RAUF@IPSHEART.COM</t>
  </si>
  <si>
    <t>Cell therapy company focused on heart and skeletal muscle regeneration to treat heart attack and duchenne muscular dystrophy.</t>
  </si>
  <si>
    <t>Stealth mode startup, so app is relatively bare but deck is good. Drugs that initiate stem cells to differentiate into cardiac or skeletal muscle - potentially curative treatment for heart disease and muscular dystrophy. CSO is 2nd most published American scientist in the field, outstanding h-index. Broader team has Pharma expertise. Amazing mouse data. Had pre-IND meeting with the FDA in 2019. IP is protected.</t>
  </si>
  <si>
    <t>J&amp;J JLABS</t>
  </si>
  <si>
    <t>104090 Southwest Freeway, Suite 300, TX United States</t>
  </si>
  <si>
    <t>IPS HEART</t>
  </si>
  <si>
    <t>Pawel Zolnierczyk</t>
  </si>
  <si>
    <t>pawel.zolnierczyk@iqurepharma.com</t>
  </si>
  <si>
    <t>iQure Pharma develops breakthrough therapeutics with novel mechanism of action for treatment of neuropathic pain to provide more efficacious and safer non-opioid treatment to hundreds of million patients worldwide and approximately 35 million of patients in the US who suffer from neuropathic pain ? chronic severe pain.</t>
  </si>
  <si>
    <t>Non-opioid Tx for neuropathic pain. IP is well protected. Two lead candidates are validated in mouse and rat models. Team has significant experience in drug development, with academic startup experience through IPO in London. Previous Roche and Deloitte members. Compare to Pannex Therapeutics if both companies interview.</t>
  </si>
  <si>
    <t>Great and experienced team. Ex-Roche. Developing two drugs for neuropathy diseases. Two drugs in pre-clinical stage with promising in-vivo and in-vitro results. Highly focused on exit opportunity.</t>
  </si>
  <si>
    <t>$3.9M</t>
  </si>
  <si>
    <t>Princeton, NJ United States</t>
  </si>
  <si>
    <t>iQure Pharma Inc</t>
  </si>
  <si>
    <t>Floris Engelhardt</t>
  </si>
  <si>
    <t>floris@kanotherapeutics.com</t>
  </si>
  <si>
    <t>Inspired by DNA Nanotechnology, Kano addresses the need for rationally engineered gene vector platform that enables site-specific gene insertions to replace broken genomic information with functional DNA templates across human disease. In short, we engineer functional replacement parts customized for broken locations in the human genome.</t>
  </si>
  <si>
    <t>Won MIT Sloans Healthcare Innovation Price in March 2021 Won Activate Bio's Emerging Technologies Award in May 2021</t>
  </si>
  <si>
    <t>ssDNA synthesis for long strands with E coli and some fermentation method. Good idea could be scalable. This could solve off-target integration problem.</t>
  </si>
  <si>
    <t>Activate Global</t>
  </si>
  <si>
    <t>developed new way to synthesize single strand DNA; uses in CRSPYR; invited last year for interview, but no notes from last year; potentially not discovered where did interview feedback from LY go?</t>
  </si>
  <si>
    <t>61 Walnut Street, MA United States</t>
  </si>
  <si>
    <t>Kano Therapeutics</t>
  </si>
  <si>
    <t>Joshua McClure</t>
  </si>
  <si>
    <t>joshua@maxwellbiosciences.com</t>
  </si>
  <si>
    <t>Maxwell is a preclinical stage biotech company focused on the treatment of Infectious Disease. Maxwell?s First-in-Class CLAROMER? brand drug discovery platform has proven pre-clinical efficacy in destroying viral, fungal, bacterial, polymicrobial (including biofilm) infectious pathogens, and some cancers - while safely avoiding healthy cells.</t>
  </si>
  <si>
    <t>Drug discovery platform with first peptide Tx serving as prophylactic and treatment for COVID-19. Targets unchanging cell membrane, so it is effective against all strains/mutations of COVID-19 and has potential for other viral infections (monkeypox, rhinovirus, influenza, hepatitis, etc.). Their application is a bit confusing, but from their Venture Summit West presentation and PitchBook I know they've raised ~$11M in funding with $35M in non-dilutive grants. Team has NYU Prof. Kent Kirshenbaum as the CSO part-time. CEO and COO are both full-time and have experience commercializing $B drugs. Advisory board has amazing scientists with publications in PNAS and Nature. I want Mentors to interview this team, see what they think.</t>
  </si>
  <si>
    <t>Referred by Chris Mosher. NYU affiliation. Kent Kirshenbaum- a professor in NYU CAS- is CSO. One of the co-founders is professor in Stanford. Great team. A drug discovery platforms focused on developing peptoids for treating infectious diseases. Maxwell?s First-in-Class CLAROMER? brand drug discovery platform has proven pre-clinical efficacy in destroying viral, fungal, bacterial, polymicrobial (including biofilm) infectious pathogens, and some cancers - while safely avoiding healthy cells.</t>
  </si>
  <si>
    <t>$120Million</t>
  </si>
  <si>
    <t>We were associated with the Capital Factory incubator in 2018</t>
  </si>
  <si>
    <t>NYU Faculty</t>
  </si>
  <si>
    <t>Austin, Texas United States</t>
  </si>
  <si>
    <t>Maxwell Biosciences</t>
  </si>
  <si>
    <t>Zhangming Niu</t>
  </si>
  <si>
    <t>zhangming@mindrank.ai</t>
  </si>
  <si>
    <t>MindRank develops its proprietary one stop, AI-driven drug development platform. Focusing on difficult-to-drug molecular targets, we strive to speed up drug development cycle and reduce costs of drug discovery, offer AI solutions for listed pharmaceutical companies. Our platform has been verified to save 70% preclinical development cycle and cost.</t>
  </si>
  <si>
    <t>AI-driven drug development platform LS? apps give no insights on data to verify claims need to get more information</t>
  </si>
  <si>
    <t>+ AI-driven drug development platform + Claims that it reduced the discovery cycle and cost for early drug discovery by 70% if what they are saying is true then it can be game-changing +selected for funding (multi-million EURO) by the 2020 ?Europe Innovative Medicines Initiative? + Founder has startup experience - Need to verify their claims on funds &amp; fundraising as most of the application info is Undisclosed.</t>
  </si>
  <si>
    <t>Undisclosed</t>
  </si>
  <si>
    <t>Hangzhou, Zhejiang China</t>
  </si>
  <si>
    <t>MindRank</t>
  </si>
  <si>
    <t>omid Moghadam</t>
  </si>
  <si>
    <t>omid@namidalab.com</t>
  </si>
  <si>
    <t>Namida Lab is a biotech company developing new, accurate and inexpensive lab tests for early detection of cancers. Our first product, AURIA is a Direct to Consumer test allowing women to take charge of their breast health. Our second product, Melody is a breast cancer screening test targeted at ACO and other large medical practices.</t>
  </si>
  <si>
    <t>Breast cancer diagnosis through tears, not imaging or blood. They identified a protein biomarker for breast abnormality in tears, and published clinical trial results. Founders have significant startup experience with multiple exits, mostly in cancer screening and medical software.</t>
  </si>
  <si>
    <t>I want to know more about the biomarkers they found, and the stage of cancer they can indicate. Also, results of their current clinical trials is really important.</t>
  </si>
  <si>
    <t>1905 E. Mission Blvd, Fayetteville, arkansas United States</t>
  </si>
  <si>
    <t>Namida Lab Inc.</t>
  </si>
  <si>
    <t>Kay Olmstead</t>
  </si>
  <si>
    <t>kay@nanopharmasolutions.com</t>
  </si>
  <si>
    <t>Nano PharmaSolutions, Inc. is a revenue stage drug delivery platform technology company, offering bioavailability improvement through nanodrug delivery technology to pharmaceutical companies.</t>
  </si>
  <si>
    <t>Former CDL.</t>
  </si>
  <si>
    <t>California Life Science FAST program, CDL (Creative Disruptive Laboratories), Founders' First, MetroConnect San Diego, Connect San Diego</t>
  </si>
  <si>
    <t>9853 Pacific Heights Blvd., Suite O, San Diego, California United States</t>
  </si>
  <si>
    <t>Nano PharmaSolutions, Inc.</t>
  </si>
  <si>
    <t>Johnathan Ebben</t>
  </si>
  <si>
    <t>jebben@nanoredbiotech.com</t>
  </si>
  <si>
    <t>Nano RED is building precision delivery solutions to power the next generation of mRNA and genome editor therapies. Born from the pandemic, our platform provides a revolutionary new means of delivering genomic medicine to sites that are challenging, including the lungs, pancreas, and colon- enabling solutions to cystic fibrosis, and malignancies.</t>
  </si>
  <si>
    <t>A platform to deliver gene therapies using a re-engineered SARS-CoV-2 VLP that can trigger an autoimmune response, or complete evade the immune system to deliver RNA- or CRISPR-based tech. Referred by Maria from MarPam Pharma (EFL Alumni). 2 provisional patents filed which they plan to convert to PCTs this month. One full-time founder, the others are part-time all physician-scientists. One prof. at Ohio State. Lead indication is cystic fibrosis, but this is platform tech. Early-stage, but great idea - will it work in COVID-vaccinated individuals?</t>
  </si>
  <si>
    <t>Referred by Maria Athanasiou, MarPam Pharma. Tech development and validation is in early stage and is 4-5 years away from Phase I. A non-infectious virus-like particle (VLP) delivery platform based on the SARS-CoV-2 nucleocapsid, ideal for delivery to secretory pulmonary epithelium, as well as malignant tissues.</t>
  </si>
  <si>
    <t>We have previously completed the Madworks Seed accelerator. This is a local, equity-free accelerator in Madison, WI that is focused on developing corporate governance. We have also previously completed NSF I-Corps, as well as NSF SBIR I-Corps Boot Camp, and are working with a group of local (Madison-based) biotech executives (MERLIN mentors). We have also substantially benefitted from our interactions and sharing of best practices with MarPam, a 2022 EFL cohort member that also has Madison and Minneapolis roots.</t>
  </si>
  <si>
    <t>Maria Athanasiou, MarPam Pharma</t>
  </si>
  <si>
    <t>Madison, WI United States</t>
  </si>
  <si>
    <t>Nano RED</t>
  </si>
  <si>
    <t>Lou Hawthorne</t>
  </si>
  <si>
    <t>lou@nanotics.com</t>
  </si>
  <si>
    <t>NaNotics, a private biopharmaceutical company invented a transformational new class of nanomedicines for selective depletion of soluble pathogenic targets that are undruggable by conventional modalities. NaNots can clear validated pathogenic molecules from blood without disrupting cell-resident signaling to eliminate a wide range of soluble targets</t>
  </si>
  <si>
    <t>They are already fundraising for Series B - little too late for EFL? Can it cause blood clotting?</t>
  </si>
  <si>
    <t>Bridge|Series B and above</t>
  </si>
  <si>
    <t>$8M Bridge and $70M Series B</t>
  </si>
  <si>
    <t>Perhaps a little late, but currently in bridge, not yet Series B</t>
  </si>
  <si>
    <t>100 Shoreline Hwy, Ste B100 California, United States</t>
  </si>
  <si>
    <t>NaNotics, LLC</t>
  </si>
  <si>
    <t>Douglas Eby</t>
  </si>
  <si>
    <t>deby@ovibio.com</t>
  </si>
  <si>
    <t>Ovibio is late stage pre-clinical biotech company located in Cambridge, Massachusetts and Oxford, UK, developing novel therapeutics addressing unmet medical needs associated with human aging. Ovibio has research and development programs focused on metabolic syndrome, which leads to type-2 diabetes and obesity; cardiovascular disease; and cancer.</t>
  </si>
  <si>
    <t>Age-related Tx. Lead compound is a CDK7 inhibitor, which showed 93% tumor inhibition in an ovarian cancer mouse model. They also have a SIRT6 small molecule agonist for treating various metabolic conditions, but this has only been tested in cell lines. Strong team of scientists and entrepreneurs. The CEO runs an accelerator, and this is one of his companies. John Macor, who co-chairs their SAB, is an all-star from Sanofi, BMS and Pfizer. He has advanced 14 compounds into human clinical trials, and is the co-inventor of two FDA approved drugs, Relpax and Nurtec.</t>
  </si>
  <si>
    <t>$3M - $5M</t>
  </si>
  <si>
    <t>Cambridge , Massachusetts United States</t>
  </si>
  <si>
    <t>OVIBIO</t>
  </si>
  <si>
    <t>Pahini Pandya</t>
  </si>
  <si>
    <t>pahini@panakeia.ai</t>
  </si>
  <si>
    <t>Panakeia?s software provides pharma and hospitals with 4,500 multi-omic cancer biomarkers in minutes, without lab tests.</t>
  </si>
  <si>
    <t>AI-driven software that performs histomorphometric analysis of tumor sections to diagnose cancers within minutes. Claims this is a multi-omics approach and they have identified 4,500 biomarkers across 30 solid cancers - are these biomarkers all related to cellular morphology from H&amp;E images? Ask about this and sample preparation in the interview (software is in minutes, but what about all the histology?). IP is well-protected. Pilot with a hospital system is underway. Dick Foster is Chair of their Board. Woman-led, scientific team. Looking to establish presence in the US, specifically in NYC.</t>
  </si>
  <si>
    <t>Referred by Richard N. Foster (Panakeia's board chair). Great team. A platform for AI-based multi-omics biomarker prediction, without any lab tests. Want to know more about their test results on validation of predictions and accuracy.</t>
  </si>
  <si>
    <t>$7Mn</t>
  </si>
  <si>
    <t>Panakeia was founded in late 2018 when the founders met via talent program/investor Entrepreneur First and supported in parallel by King?s20 accelerator that I (Pahini) had been accepted into to found a start-up. Subsequently, Panakeia graduated from CDL Toronto and was selected for Tech Nation?s (Government backed) Applied program as one of the top 12 most promising AI startup?s in the UK in 2020. This year, Panakeia has been selected to be a part of NHS-backed Digital Health London Accelerator program for adoption of Panakeia?s technology within the NHS. Panakeia has also received funding and support from likes if Capital Enterprise, P4, Innovate UK, Cambridge Judge Business school, Barclays and Santander.</t>
  </si>
  <si>
    <t>Richard N. Foster (Panakeia's board chair)</t>
  </si>
  <si>
    <t>visual analysis of tumors; multi-omics; for interview: are bio markers just cellular structural; IP well protected; pilot with hospital underway; Dick Foster on team; seems stronger than similar apps from LY;</t>
  </si>
  <si>
    <t>Salisbury House, Station Road Cambridge, England, CB1 2LA, Cambridge United Kingdom</t>
  </si>
  <si>
    <t>Panakeia Technolgies Ltd</t>
  </si>
  <si>
    <t>Tuhin Bhowmick</t>
  </si>
  <si>
    <t>tuhin@pandorumtechnologies.in</t>
  </si>
  <si>
    <t>Pandorum is a Biotechnology company, in the field of Tissue Engineering and Regenerative Medicine. Pandorum uses its proprietary technology platform to develop advanced therapeutic formulations consisting of cell modulators and biopolymers for regenerative treatment of human tissues, such as Cornea (Bio-engineered 'Liquid Cornea'), Lung and Liver.</t>
  </si>
  <si>
    <t>Tissue engineering platform for regenerating multiple tissues starting with the cornea, lung, and liver. Includes a computational bio platform and multi-omics approach for identifying nanotherapeutics of interest, photocrosslinkable bio-ink for 3D printing, and exosome engineering for inclusion in the bio-ink. "Liquid cornea" is their first product, validated in human organioid in vitro studies and in rabbit studies (restored vision). $15M raised so far, started in India and has expanded to the Bay area and Chicago. Great scientific team, great fit.</t>
  </si>
  <si>
    <t>Tissue engineering</t>
  </si>
  <si>
    <t>Other: Series A+ funding</t>
  </si>
  <si>
    <t>$35 Million USD</t>
  </si>
  <si>
    <t>Pandorum's R&amp;D labs in the US and India are located in three renowned biotech incubators, namely: a) MBC BioLabs, San Carlos, Bay Area, CA, US b) Bangalore Bioinnovation Centre, Bangalore, India c) Centre for Cellular and Molecular Platform, Bangalore, India Supported by a BIOTECHNOLOGY INDUSTRY RESEARCH ASSISTANCE COUNCIL (BIRAC), Dept. of Biology, Govt. of India scholarship, I have attended the IGNITE 2013, an entrepreneurship training programme organized by Cambridge Judge Business School, in Cambridge, UK</t>
  </si>
  <si>
    <t>Tugba Oncu, MBA Candidate, Class of 2024 NYU Leonard N. Stern School of Business</t>
  </si>
  <si>
    <t>Tugba Oncu, MBA Candidate, Class of 2024  NYU Leonard N. Stern School of Business</t>
  </si>
  <si>
    <t>MBC BioLabs, 733 INDUSTRIAL RD SAN CARLOS CA, 94070, California United States</t>
  </si>
  <si>
    <t>Pandorum International Inc.</t>
  </si>
  <si>
    <t>David Bravo</t>
  </si>
  <si>
    <t>david@pannextherapeutics.com</t>
  </si>
  <si>
    <t>Pannex Therapeutics develops new drug to treat several chronic diseases by blocking pannexin 1 channel, starting by chronic pain treatment and opioid addiction prevention.</t>
  </si>
  <si>
    <t>Opioid-free painkillers that work by blocking Pannexin-1. In silico research narrowed down to 7 lead candidates, which have been tested with 1 demonstrating opioid-free pain relief in rats and even killing cancer cells in vivo. CEO has startup experience, and CSO has significant experience in Pharma. IndieBio NY company from last year, have raised $2.4M so far.</t>
  </si>
  <si>
    <t>This technology aims to block Pannexin 1 channels which are only open in disease conditions causing high concentration of extracellular ATP. This drug is aiming to reestablish a normal intra-extra cellular ATP levels. A Nature publication suggests that blocking Pannexin 1 alleviates morphine withdrawals in mice. Pannexin 1 activity also associated with Epilepsy because when these channels are open they release ATP and glutamate which polarizes the membrane thereby causing seizure</t>
  </si>
  <si>
    <t>Yes, we recently finished the IndieBio acceleration program last 2021 Fall (3rd batch) and also we participated in the scale up program of The GaneshaLab in Chile, program that we won, over 85 companies worldwide.</t>
  </si>
  <si>
    <t>New York, NEW YORK United States</t>
  </si>
  <si>
    <t>Pannex Therapeutics</t>
  </si>
  <si>
    <t>Jungjin Ahn</t>
  </si>
  <si>
    <t>ahn@prazertx.com</t>
  </si>
  <si>
    <t>Prazer Therapeutics is a pharmaceutical venture which is developing new drugs by using TPD (Target Protein Degradation) technology. We have developed a novel TPD platform to address the challenges current TPD technologies are facing. SPiDEM displays various advantageous features overthe previous TPD and serving as a drug development platform.</t>
  </si>
  <si>
    <t>Platform for protein degrading therapeutics that makes undruggable targets druggable. It is called SPiDEM - selective protein degradation enabling moiety. They've discovered targets with SPiDEM in different cancers, AD, and Parkinson's and are in talks with biotechs to license the technology - need help negotiating. They only have provisional applications, so there is nothing to license yet! SPiDEM utilizes both proteasome- and lysosome-dependent degradation and is effective for soluble proteins, aggregated proteins and membrane proteins. They showed enhanced PK profiles and BBB penetration in mouse studies (data not provided). Team is 3 professors from Seoul, all part-time, with a full-time CFO. Raised $14M and referred by the Biorchestra CEO (EFL Alumni).</t>
  </si>
  <si>
    <t>SPiDEM utilizes all E3-ligase due to its unique approach to inducing chemical ubiquitination instead of inducing target protein ubiquitination. SPiDEM utilizes both proteasome- and lysosome-dependent degradation and effective for soluble protein, aggregated proteins and membrane proteins.enhanced PK profiles and BBB penetration thus can be useful for CNS disorders. CEO of Biorchestra is the referral.</t>
  </si>
  <si>
    <t>Prazer Therapeutics has been selected as a member of Seoul Biohub program immediately after establishment. Seoul Biohub is an incubator supported by Seoul city and health and welfare Ministry of Korea.</t>
  </si>
  <si>
    <t>CEO of Biorchestra</t>
  </si>
  <si>
    <t>26, Beobwon-ro 9-gil, Songpa-gu, , seoul Korea, Republic of</t>
  </si>
  <si>
    <t>Prazer Therapeutics</t>
  </si>
  <si>
    <t>Barry Olafson</t>
  </si>
  <si>
    <t>barry.olafson@protabit.com</t>
  </si>
  <si>
    <t>Protabit is an antibody engineering company that generates vast amounts of targeted data for AI and machine learning to develop neutralizing monoclonal and bi-specific antibodies for Covid-19 and other infectious diseases.</t>
  </si>
  <si>
    <t>Company is 13 years old</t>
  </si>
  <si>
    <t>Total revenue by far: $16M. A well-established company with outstanding team and finance.</t>
  </si>
  <si>
    <t>Series A|Other: Develop Collaborations with pharmaceutical companies</t>
  </si>
  <si>
    <t>$20-50 million</t>
  </si>
  <si>
    <t>111 Waverly Drive, Pasadena CA, United States</t>
  </si>
  <si>
    <t>Protabit LLC</t>
  </si>
  <si>
    <t>Eran Seger</t>
  </si>
  <si>
    <t>Eran@protai.bio</t>
  </si>
  <si>
    <t>Protai is an intelligence driven Pharma company based in Tel Aviv, founded by ex high tech executives and backed by top tier scientists. Combining proteomics and AI, we are tackling the single biggest challenge in the drug R&amp;D process, which is the lack of functional understanding of a disease?s molecular mechanisms.</t>
  </si>
  <si>
    <t>No deck - if we interview would like to see data This can stay LS or become DiT, depends if they want to stay a platform tech or actually become therapy focused For now I would keep them in LS</t>
  </si>
  <si>
    <t>Proteomics platform for drug discovery.</t>
  </si>
  <si>
    <t>15-20M</t>
  </si>
  <si>
    <t>Luis Vollach CTO Immuneai</t>
  </si>
  <si>
    <t>Arial sharon 4, Tel Aviv Israel</t>
  </si>
  <si>
    <t>Protai</t>
  </si>
  <si>
    <t>Mohammad Ali Amini</t>
  </si>
  <si>
    <t>ma.amini@qurcan.com</t>
  </si>
  <si>
    <t>Nanology Labs is a biotech startup developing next generation nanomedicine for treatment of hard-to-treat diseases.</t>
  </si>
  <si>
    <t>Platform technology. Solid data for this stage. Credible team.</t>
  </si>
  <si>
    <t>UofToronto. A drug delivery platform based on polymer-lipid nanoparticle system able to load both hydrophilic and hydrophobic drug molecules. They have 6 drugs based on this delivery platform which can be coupled with chemotherapy, radiation, etc.</t>
  </si>
  <si>
    <t>MaRS Discovery District Creative Destruction Labs</t>
  </si>
  <si>
    <t>JLabs, 661 University of Toronto, Ontario Canada</t>
  </si>
  <si>
    <t>QurCan Therapeutics Inc.</t>
  </si>
  <si>
    <t>Anushree Chatterjee</t>
  </si>
  <si>
    <t>chatterjee@sachibio.com</t>
  </si>
  <si>
    <t>Sachi Bioworks is transforming therapeutic-discovery by realizing potential of genomic medicine through a proprietary Nanoligomer platform technology, to create first-in-class and best-in-class therapeutic assets for space medicine and personalized medicine.</t>
  </si>
  <si>
    <t>Platform for high-throughput nanoligomer Tx discovery, design, development, and validation. Focus is in neurodegenerative diseases (Parkinson's / AD), space medicine, and personalized medicine. Messaging for indications is a bit confusing. Safety/efficacy demonstrated in animal studies, have pilots generating $500K in revenue (not described). CEO is part-time (Associate Prof. at U of Colorado at Boulder), but COO is full-time and a superstar scientist (former Prof. who quit to join this company). Both worked together on a startup until Seed funds were raised previously.</t>
  </si>
  <si>
    <t>Referred by Deepak Hedge? Great team. A drug discovery platform for making gene regulating nanoligomers.</t>
  </si>
  <si>
    <t>$15-20 million</t>
  </si>
  <si>
    <t>No. The founders have started a non-profit initiative called Antimicrobial Regeneration Consortium (ARC) Labs that focuses on raising awareness about the antimicrobial resistance crisis.</t>
  </si>
  <si>
    <t>Discovery/design/validation all in one; also mentioned a focus on space medicine and personal medicine, focus is perhaps a bit confusing; pilots claimed but not quite explained; CEO part time, COO full time superstar; In interview: ask more about pilot studies, validation data, and lead indication</t>
  </si>
  <si>
    <t>685 S Arthur Avenue, Ste 5, Louisville, Colorado United States</t>
  </si>
  <si>
    <t>Sachi Bioworks Inc</t>
  </si>
  <si>
    <t>Dr. Apfel</t>
  </si>
  <si>
    <t>capfel@sagemedic.com</t>
  </si>
  <si>
    <t>The most effective approach to identify the best treatment for cancer patients that overcomes the limitations of genomic testing. We accomplish that by using a patient?s live biopsy to create hundreds of 3D tumor replicates in our lab so that we can identify the most effective treatment within just one week.</t>
  </si>
  <si>
    <t>Similar to OncoPrecision (EFL Alumni): 3D microtumor technology to predict the most effective treatment strategy for individual cancer patients, regardless of mutational status, within just 1 week. They use a patient?s live tumor sample to create hundreds of ex-vivo 3D microtumors for testing. Already have a CLIA registered lab, so they've developed SOPs and quality control measures to ensure that their assay results meet all regulatory requirements. They've tested dozens of cancer patients and their cat (who was successfully treated) - need to see this data. Have $25K in revenues from supporting drug development - ask them about this in the interview. They are using revenues from offering CLIA lab services to push towards clinical trials, supplementing their Series A. $4M Seed raised + $250K circled in their open $6M Series A round. 4 U.S. Patents granted. CEO is MD/PhD who left clinical work at UCSF to get his MBA from Wharton and found the company. His wife is an MD and the treasurer. Extremely impressive board. They mention NYU faculty affiliation, but I'm not sure who that is.</t>
  </si>
  <si>
    <t>Protected IP. Create 3D microtumors of the patients biopsy, retain the TME and heterogeneity, drug testing and deciding on the most effective treatments. Seems like a promising technology. Mentions about some animal studies but I did not see much data</t>
  </si>
  <si>
    <t>similar to ONCOPrecision from LY and another app from this year; slightly different tech to onco, can achieve in one week;</t>
  </si>
  <si>
    <t>555 Twin Dolphin Drive, Suite 110, California United States</t>
  </si>
  <si>
    <t>SAGEMEDIC CORP.</t>
  </si>
  <si>
    <t>Sean Scott</t>
  </si>
  <si>
    <t>sean@scale.bio</t>
  </si>
  <si>
    <t>Single cell profiling and analysis solutions company that provides researchers with single cell sequencing tools to profile human cells at scale to identify the heterogeneity across cells and understand complex biology at single cell resolution.</t>
  </si>
  <si>
    <t>Compatible with different instruments, includes will include protocols, reagent kits, consumables, sequence recipes, analysis software, custom automation scripts</t>
  </si>
  <si>
    <t>Split-pool, tagmentation and combinatorial indexing for single-cell sequencing. Kit comes with a pre-loaded enzyme plate. They`re working on scRNA kit for single-cell transcriptome.</t>
  </si>
  <si>
    <t>do not recall</t>
  </si>
  <si>
    <t>1440 O'Brien Drive, CA United States</t>
  </si>
  <si>
    <t>Scale Biosciences, Inc</t>
  </si>
  <si>
    <t>June Park</t>
  </si>
  <si>
    <t>junepark@sirnagen.com</t>
  </si>
  <si>
    <t>siRNAgen Therapeutics is a seed stage RNAi platform-products company with an IND-ready asset in IPF and a paradigm shifting RNAi platform that delivers beyond the liver to previously inaccessible organs such as the brain and the lung.</t>
  </si>
  <si>
    <t>RNAi platform that delivers beyond the liver to previously inaccessible organs such as the brain and the lung. Have an IND-ready asset in idiopathic pulmonary fibrosis (IPF). Their delivery platform is a doubly-conjugated self-assembling, single-molecule &amp; a no-formulation nanoparticle that together enable modularized design. This is ideal for multiplexing various delivery strategies with target genes of interest, and enables extrahepatic delivery while improving safety by 1000x, half-life by 100x, stability by 6x, all at 1/3 of the manufacturing burden. Validated in mice and non-human primates (no deck in this application). Great tech, patented, and women-led by an interim CEO who is a BSc from MIT / PhD from Cambridge. Only a solo founder listed, but their website and this app mention the Founder &amp; Chairman who previously IPO'd a company in Korea - ask about his involvement and how they plan to expand the team. $5M raised, just opened a $30M round.</t>
  </si>
  <si>
    <t>This is a great idea. Self-assembled-micelle-inhibitory-RNA for gene silencing triggered via dsRNA. Target: Fibrosis, hair loss, Alzheimers, diabetes and viral infection</t>
  </si>
  <si>
    <t>30M</t>
  </si>
  <si>
    <t>Nate Akhavan</t>
  </si>
  <si>
    <t>solo founder listed, but more team on website; Tech is amazing but questions around how do they scale up the team?</t>
  </si>
  <si>
    <t>Daejeon, ????? Korea, Republic of</t>
  </si>
  <si>
    <t>siRNAgen Therapeutics</t>
  </si>
  <si>
    <t>Sean O'Brien</t>
  </si>
  <si>
    <t>sobrien@sisupharma.com</t>
  </si>
  <si>
    <t>Sisu Pharma exploits cellular stress by developing selective degraders of HSF1 for the treatment of advanced and metastatic cancers.</t>
  </si>
  <si>
    <t>Platform technology that allows direct targeting of key cancer protein HSF1 and causes its degradation leading to cancer cell death, sparing normal cells. Stellar scientific team. Former prof. at Duke is now full time CSO, and chairman of their SAB is NYU PhD and current Chair of Pathology at Duke. Published in Science Translational Medicine with compelling mouse data. Provisional patents filed (not yet granted), and licensed to them by Duke.</t>
  </si>
  <si>
    <t>$3 million</t>
  </si>
  <si>
    <t>Chapel Hill, NC United States</t>
  </si>
  <si>
    <t>Sisu Pharma, Inc.</t>
  </si>
  <si>
    <t>Massa Shoura</t>
  </si>
  <si>
    <t>massa@phinomics.com</t>
  </si>
  <si>
    <t>Phinomics uses circular DNA, an early marker of genetic and environmental change, to diagnose disease and radically improve human health. By isolating and sequencing the circular genome ("the circulome"), we solve a genetic puzzle that unlocks a universal ?stage-zero? diagnostic for disease. At scale, circulome data will revolutionize diagnostics</t>
  </si>
  <si>
    <t>Company is actually called Phinomics. They sequence circular DNA, which is an early marker of genetic and environmental change, to diagnose disease. By isolating and sequencing the circular DNA genome (which they've named the "circulome"), they've created a universal ?stage-zero? diagnostic for disease. Starting with pancreatic and other cancers, they can both diagnose as well as predict resistance to different chemotherapies. Patents are filed. Validation is unclear -&gt; in vitro and "patient samples". What are findings? No data in the deck. Women-led team from Stanford, including a Stanford/UT-Dallas Professor. Only one full-time member, but Avi Rosenbaum is an advisor and referred them. Might be too early for the EFL, but it seems they have groundbreaking tech.</t>
  </si>
  <si>
    <t>The company name is Phinomics. Referred by Avi Rosenbaum. A platform for detection of cancer and other diseases based on patients' cDNA profile analysis.</t>
  </si>
  <si>
    <t>3M</t>
  </si>
  <si>
    <t>San Carlos, CA United States</t>
  </si>
  <si>
    <t>Stanford University Medical Center</t>
  </si>
  <si>
    <t>Rashida Karmali</t>
  </si>
  <si>
    <t>rashida@tacticaltherapeutics.com</t>
  </si>
  <si>
    <t>Tactical Therapeutics, Inc is a clinical stage private company in New York City developing Carboxyamidotriazole Orotate (CTO) for the treatment of malignant gliomas and solid cancers. Five Phase I trials have been completed. Company is doing a Series A financing round to run Phase II trials in recurrent GBM patients as an orphan drug fast track</t>
  </si>
  <si>
    <t>Post pre-clinical/PI. CEO seems to need business help. We should interview.</t>
  </si>
  <si>
    <t>The clinical study is done at NYU, MSK and a few other cancer centers. The last update was done on April 24 2018. It has been 4 years there is no update, something must have gone wrong or they are conducting other studies and forgot to update their website. One reason could be that some clinicians from NYU neuro oncology left for industries in 2018. One of them was the director of nero-onco Andrew Chi. Is there any way we can ask for a detailed study results? I think we should ask what went wrong, did they stop? Why are they not updating the status of this study? Looks like they're trying CTO +/- TMZ at the moment but I could not find any data of this trial. The MRI images show %83, %65 shrinkage comparing to baseline but these images were taken and published in 2014. Do we have access to IRB? If not can we have access for ongoing studies?</t>
  </si>
  <si>
    <t>50 million</t>
  </si>
  <si>
    <t>already in clinical trials for new calcium channel blockers for cancer therapy; no updates to studies since Apr 2018; for interview: what has happened since then?</t>
  </si>
  <si>
    <t>48 Wall Street,12th Floor, New York, NY United States</t>
  </si>
  <si>
    <t>Tactical Therapeutics, Inc</t>
  </si>
  <si>
    <t>David Mead</t>
  </si>
  <si>
    <t>dmead@terrabioworks.com</t>
  </si>
  <si>
    <t>Terra Bioworks has pioneered a synthetic biology engineering platform that is 100 times faster and more precise than Pharma methods to discover and over produce microbial natural product drugs at a fraction of the price.</t>
  </si>
  <si>
    <t>A multi-omics and AI-powered drug discovery platform to identify microbial natural products (MNPs), coupled with CRISPR and synthetic biology to optimize the production of those MNPs. Reminds me of Interface Bio (last year's cohort), but they are further along than Interface having already produced MNPs for some major players including Bayer, BASF, and two Ginko and Zymergen acquisitions ($250K ARR and scaling). CEO sold last company for $70M. CSO from Columbia. Board Director from Cornell and is now a Prof. at Northwestern. Everyone is part-time except for the CEO, so ask in the interview if they use a CRO or plan to make more full-time hires.</t>
  </si>
  <si>
    <t>270K revenue. Top-ranked university affiliation. A great team with prior startup and exit experience developing a platform for identification of biosynthetic pathways of microbial natural products.</t>
  </si>
  <si>
    <t>similar to a company from LY interfaceBio, however different approach and further along. Great partnerships already, currenlty scaling. Strong team, everyone is part-time except CEO; for Int: do you plan to have more full-time as you scale</t>
  </si>
  <si>
    <t>3220 Deming Way, Suite 100, Middleton, WI United States</t>
  </si>
  <si>
    <t>Terra Bioworks Corp</t>
  </si>
  <si>
    <t>Mathew Barnett</t>
  </si>
  <si>
    <t>mathew@ubiquitx.com</t>
  </si>
  <si>
    <t>UbiquiTx is a spin-out from MIT/Cornell focused on designing a novel clase of mRNA therapeutics that potently and selectively degrade historical undruggable targets. Our technology is differentiated in its ability to target proteins at the post-translational level. We rationally design our therapeutics utilizing a deep learning AI/ML platform.</t>
  </si>
  <si>
    <t>Platform approach + Broad applications + All star team</t>
  </si>
  <si>
    <t>AI/ML driven, engineered E3 ligase to bind a target protein and tag it for targeted intracellular degradation. This is an emerging therapeutic method with the potential to degrade disease causing proteins.</t>
  </si>
  <si>
    <t>Aaron Nelson</t>
  </si>
  <si>
    <t>strong team out of MIT Cornell and Duke; not through FDA approval yet, but good initital data and a platform with a wide range of applications</t>
  </si>
  <si>
    <t>160 West 87th Street, 9d, New York United States</t>
  </si>
  <si>
    <t>UbiquiTx, Inc.</t>
  </si>
  <si>
    <t>Masayo Takahashi</t>
  </si>
  <si>
    <t>takahashi@vcct.jp</t>
  </si>
  <si>
    <t>VC Cell Therapy inc., develops regenerative medicine in ophthalmology - we produce retinal pigment epithelium and photoreceptor cells from iPS cells, to treat patients suffering from retinal degenerative diseases, such as age-related macular degeneration (AMD) and retinitis pigmentosa (RP).</t>
  </si>
  <si>
    <t>Cell therapy for diseases of the eye. Japanese company that had the first-in-human application of iPSC-derived cell therapy products in 2014. They can test before approval in Japan, so this tech has been used on 7 patients with a 50 patient study planned for this year. Also have monkey data (no data in the deck though). Their innovation lies in the method to differentiate iPSCs into RPEs and photoreceptors. Is this scalable? Patent application only. Very impressive scientific team with PhDs, a director of the Japanese Ophthalmology Society, PIs at RIKEN and CWRU. Need to clarify their fundraising - ~$6M raised or is that the goal and they have ~$2M circled? Small market in Japan, but can expand with the company - they want to begin bus dev in the US ASAP.</t>
  </si>
  <si>
    <t>IPSC therapy for retinal reconstruction. They`re using robotics called `mohoro` super cool device! Tested on 7 patients</t>
  </si>
  <si>
    <t>Minatojima Minamicho 2-1-8, Chuo, Kobe city, Hyogo Japan</t>
  </si>
  <si>
    <t>VC Cell Therapy</t>
  </si>
  <si>
    <t>Charles Piven</t>
  </si>
  <si>
    <t>vlpplusllc@gmail.com</t>
  </si>
  <si>
    <t>VLP Plus controls a patented platform technology consisting of a virus-like particle linked to antigens that induces CD8+ cytotoxic T cell responses capable of destroying cancerous or virally infected cells, offering a unique, game-changing approach to disease.</t>
  </si>
  <si>
    <t>Referred by Nanea Reeves from TRIPP (alumni company).</t>
  </si>
  <si>
    <t>Between $1,500,000 and $3,500,000</t>
  </si>
  <si>
    <t>Nanea Reeves</t>
  </si>
  <si>
    <t>Baltimore, MD United States</t>
  </si>
  <si>
    <t>VLP Plus LLC</t>
  </si>
  <si>
    <t>Brandon Bendes</t>
  </si>
  <si>
    <t>bbendes@wovenorthopedics.com</t>
  </si>
  <si>
    <t>Woven Orthopedic Technologies helps surgeons and the billions of screws implanted annually achieve sufficient fixation and allow for proper bone healing in compromised fixation scenarios.</t>
  </si>
  <si>
    <t>Mesh-like scaffold to enhance fixation between hardware (screws) and bone. This tech is a simple, elegant idea with efficacy proven in 4 animal studies and a clinical study published in Spine. All-star team with dozens of startup exits, CMO is Chief Emeritus of Ortho at HSS and NY Pres, Prof. at Weill Cornell.</t>
  </si>
  <si>
    <t>What they want from EFL: mentorship that will help lead to potential strategic and commercial partnerships</t>
  </si>
  <si>
    <t>Up to $18M</t>
  </si>
  <si>
    <t>Yes. We are currently participating in the MedTech Innovator Cohort.</t>
  </si>
  <si>
    <t>Extremely strong team and application; easy 5</t>
  </si>
  <si>
    <t>Manchester, CT United States</t>
  </si>
  <si>
    <t>Woven Orthopedic Technologies, LLC</t>
  </si>
  <si>
    <t>Kalim Mir</t>
  </si>
  <si>
    <t>mir@xgenomes.com</t>
  </si>
  <si>
    <t>XGenomes has developed a DNA sequencing technology that increases the sensitivity, accuracy and speed with which clinicians can detect traces of specific DNA sequences, in order to expedite clinical decision making for better patient outcomes.</t>
  </si>
  <si>
    <t>YCombinator W19 cohort</t>
  </si>
  <si>
    <t>YC startup. Planning to raise 27M. Great and novel tech. I want to know more about their results and validation data in interview.</t>
  </si>
  <si>
    <t>27M</t>
  </si>
  <si>
    <t>Y Combinator</t>
  </si>
  <si>
    <t>strong team with previous successful exit, VP is out of oxford nanocore (sp?); a lot of promising data so far; tech is extremely sensitive and efficient;</t>
  </si>
  <si>
    <t>The Engine, 501 Massachusetts Ave, Cambridge, MA 02139, MA United States</t>
  </si>
  <si>
    <t>XGenomes Corp.</t>
  </si>
  <si>
    <t>Yuri Deigin</t>
  </si>
  <si>
    <t>yuri@youthbiotx.com</t>
  </si>
  <si>
    <t>We are a longevity company developing partial reprogramming gene therapies aimed at restoring younger epigenetic profiles. While our long-term vision is to develop therapies that can prevent many age-related diseases and greatly extend lifespan, our immediate goals are very practical: Alzheimer's Disease and progeria.</t>
  </si>
  <si>
    <t>Great early stage company (too early for our competitive pool?). Gene therapies aimed at restoring younger epigenetic profiles to treat Alzheimer's and progeria. Treatment prolonged median lifespan by 33-50% in progeric mice. Treated mice had histology more similar to wild-type than untreated, and less DNA damage. Columbia MBA, U or Birmingham Prof. Prior startup acquisition. This is an exciting idea, but their runway is very short (2-5 months) with &lt;$500K funding raised total. It is unclear if they are using the Yamanaka factors (Oct3/4, Sox2, Klf4, c-Myc) in some unique formulation or another approach. Ask in interview if they advance.</t>
  </si>
  <si>
    <t>Gene therapies for Alzheimer and progeria. The deck is so crowded with data. Yamanaka factors, epigenetic rejuvenation, hippocampus neurogenesis with lentiviral vector, cyclic reprogramming and something confidential.</t>
  </si>
  <si>
    <t>large scope, first indication is alzhiemers; mouse studies have shwon increased lifespan, however deck shows almost too much data to understand what they're actually doing. early stage with convoluted stories; not a lot of funding and unclear if they'll survive to get to EFL</t>
  </si>
  <si>
    <t>Kirkland, Washington United States</t>
  </si>
  <si>
    <t>YouthBio Therapeutics Inc.</t>
  </si>
  <si>
    <t>ABBY by GOGOTECH _2022</t>
  </si>
  <si>
    <t>JOHN DEBENEDETTE</t>
  </si>
  <si>
    <t>john@gogotech.co</t>
  </si>
  <si>
    <t>ABBY is a new smart wheelchair for adults with reduced mobility</t>
  </si>
  <si>
    <t>Good mission-driven company Need to build production and get more units into the real world</t>
  </si>
  <si>
    <t>+Credible team with developed +Large potential market -Tech is not novel</t>
  </si>
  <si>
    <t>Techstars Future of Longevity 2021 class</t>
  </si>
  <si>
    <t>Wilmington, DE United States</t>
  </si>
  <si>
    <t>ABBY by GOGOTECH</t>
  </si>
  <si>
    <t>Erika Boeing</t>
  </si>
  <si>
    <t>eboeing@acceleratewind.com</t>
  </si>
  <si>
    <t>Accelerate Wind develops affordable wind turbines for commercial buildings. They are designed to pair with rooftop solar, which typically cannot provide a building?s total energy demand on its own. Our turbines are installed on roof edges and have the potential to double energy production compared to solar.</t>
  </si>
  <si>
    <t>affordable wind turbines for commercial buildings applied in 2020 doesn't seem like a lot has changed</t>
  </si>
  <si>
    <t>&gt;Develops affordable wind turbines for commercial buildings + Potential to double energy production compared to solar. +airfoil technology enables the team to draw faster wind down towards the edge of the roof + Grants of 2.5M</t>
  </si>
  <si>
    <t>Accelerate Wind has also been supported by a number of accelerator programs including: Techstars Alabama Energytech Accelerator, Chain Reaction Innovations at Argonne National Lab, Midwest Energy Research Consortium?s WERCBench Labs, Hardware Scaleup, Rochester Institute of Technology's Venture Creations, and Arch Grants.</t>
  </si>
  <si>
    <t>Change to DiT</t>
  </si>
  <si>
    <t>Birmingham, Alabama United States</t>
  </si>
  <si>
    <t>Accelerate Wind</t>
  </si>
  <si>
    <t>ACCELStars Inc. _2022</t>
  </si>
  <si>
    <t>Tadashi Miyahara</t>
  </si>
  <si>
    <t>tmiyahara@accelstars.com</t>
  </si>
  <si>
    <t>We, ACCELStars, are committed to providing diagnostic and therapeutic solutions for patients with sleep disorders, psychiatric disorders, neurodegenerative disorders, and developmental disorders by utilizing wearable devices and digital products that utilize the world's most accurate sleep measurement technology.</t>
  </si>
  <si>
    <t>diagnostic and therapeutic solutions for patients with sleep disorders,</t>
  </si>
  <si>
    <t>+Technology can determine sleep and wakefulness with the highest accuracy +algorithm can determine sleep and wakefulness -Founder working part-time ? Claims to raise 1.1 billion</t>
  </si>
  <si>
    <t>$1.1billion</t>
  </si>
  <si>
    <t>We have never belonged to such a program before.</t>
  </si>
  <si>
    <t>205 Entrepreneur Plaza, South Research Building, The University of Tokyo, 7-3-1 Hongo, Bunkyo-ku, Tokyo Japan</t>
  </si>
  <si>
    <t>ACCELStars Inc.</t>
  </si>
  <si>
    <t>Active Energy Systems _2022</t>
  </si>
  <si>
    <t>Levon Atoyan</t>
  </si>
  <si>
    <t>levon@activeenergysystems.com</t>
  </si>
  <si>
    <t>Active Energy Systems is commercializing a novel heat exchange solution to allow HVAC OEMs to open up and capture the large thermal storage market opportunity and allowing their customers, building owners, to save on their cooling costs, lower their carbon footprint, and strengthen their cooling resiliency.</t>
  </si>
  <si>
    <t>Apply next year? Still kind early</t>
  </si>
  <si>
    <t>- Reached EFL early and the timeline for product development is 6months from now, we can consider them for the next cycle</t>
  </si>
  <si>
    <t>Yes, in the past: -2017: NEXUS-NY Clean Tech Accelerator (NY) -2017-19: Innovation Crossroads Program at Oak Ridge National Laboratory (TN) -2020-21: M-corps Manufacturing Program (NY) -2021 - present: Spark Cleantech Accelerator (TN)</t>
  </si>
  <si>
    <t>Oak Ridge, TN United States</t>
  </si>
  <si>
    <t>Active Energy Systems</t>
  </si>
  <si>
    <t>AdaSwap _2022</t>
  </si>
  <si>
    <t>Lennon Qualmann</t>
  </si>
  <si>
    <t>lennon@adaswap.app</t>
  </si>
  <si>
    <t>AdaSwap focuses on building blockchain technology around the Cardano ecosystem.</t>
  </si>
  <si>
    <t>DiT NFT / trading platform Hard to get investments right now in the space No big vision</t>
  </si>
  <si>
    <t>+ Building blockchain technology around the Cardano ecosystem. - Not Related to Deep Tech, DIT? &gt; NFT marketplace + Planning on raising 10M - Crypto market is still down currently</t>
  </si>
  <si>
    <t>Other: Currently OTC and LP deals</t>
  </si>
  <si>
    <t>iAngels</t>
  </si>
  <si>
    <t>Tel Aviv, Israel Israel</t>
  </si>
  <si>
    <t>AdaSwap</t>
  </si>
  <si>
    <t>Aerovoyance Inc _2022</t>
  </si>
  <si>
    <t>Joseph Fazioli</t>
  </si>
  <si>
    <t>joe@aerovoyance.com</t>
  </si>
  <si>
    <t>Aerovoyance is a web-based platform that helps users apply AI and automation to the creation of 3D photogrammetric models that are both very small and very high-resolution.</t>
  </si>
  <si>
    <t>Small market with lots of competitors</t>
  </si>
  <si>
    <t>+Tech seems novel +Team seems passionate -Do not appear to have business plan -Might be to early for EFl</t>
  </si>
  <si>
    <t>Block Science (https://block.science) Newchip Accelerator</t>
  </si>
  <si>
    <t>An associate director- Khoa Ma</t>
  </si>
  <si>
    <t>Voorheesville, NEW YORK United States</t>
  </si>
  <si>
    <t>Aerovoyance Inc</t>
  </si>
  <si>
    <t>AgriVijay _2022</t>
  </si>
  <si>
    <t>Vimal Panjwani</t>
  </si>
  <si>
    <t>vpanjwani@agrivijay.com</t>
  </si>
  <si>
    <t>renewable energy products for farmers &amp; rural households market place no real tech</t>
  </si>
  <si>
    <t>- Not a fit for EFL</t>
  </si>
  <si>
    <t>Seed|Series A</t>
  </si>
  <si>
    <t>We are a part of Miller Center Social Accelerator Program. We are incubated at AIC ADT Baramati Foundation under NITI Aayog and Atal Innovation Mission.</t>
  </si>
  <si>
    <t>Pune Maharashtra, India</t>
  </si>
  <si>
    <t>AgriVijay</t>
  </si>
  <si>
    <t>Agtools Inc _2022</t>
  </si>
  <si>
    <t>Martha Montoya</t>
  </si>
  <si>
    <t>martha@ag.tools</t>
  </si>
  <si>
    <t>Agtools is a worldwide SaaS and Enterprise platform that gathers real-time government and institutional data for over 500 specialty crops and commodities, 76 variables from across the globe to execute better planting, harvesting, forecasting, risk management and lower CO2 impact.</t>
  </si>
  <si>
    <t>DiT real-time and critical data in order to reduce food supply chain waste through timely decision-making ~ $19,000-$35,000 per month</t>
  </si>
  <si>
    <t>+ Monitoring the food supply chain in real-time through SaaS and Enterprise platform ? DIT + Female Founder + Seed of 2900000 is raised circled 3M in fundraising out of 6M + $19,000-$35,000 per month per customer</t>
  </si>
  <si>
    <t>Techstars, Plug Play and Wayfinder University of California</t>
  </si>
  <si>
    <t>Orange, CA United States</t>
  </si>
  <si>
    <t>Agtools Inc</t>
  </si>
  <si>
    <t>AIHunters _2022</t>
  </si>
  <si>
    <t>Oleg Gubin</t>
  </si>
  <si>
    <t>oleg.gubin@aihunters.com</t>
  </si>
  <si>
    <t>CognitiveMill? by AIHunters ? is the first-ever visual cognitive computing cloud platform for intelligent Media and Entertainment industry automation. It analyzes video content with a human-like level of understanding ? but 50x faster and 5x less costly than a human ? makes decisions and acts upon video content in accordance with a business case.</t>
  </si>
  <si>
    <t>visual cognitive computing cloud platform for intelligent Media and Entertainment industry automation. needs to prove the business case unsure of the tech can do the market is s bit small | app has a bunch of jargon</t>
  </si>
  <si>
    <t>+ 1. tech is advanced and has been (partly) validated - 1. competition in the area might be fierce 2. need more info, see Notes on Technology</t>
  </si>
  <si>
    <t>900k</t>
  </si>
  <si>
    <t>Vilnius, Vilniaus Lithuania</t>
  </si>
  <si>
    <t>AIHunters</t>
  </si>
  <si>
    <t>AirMid Critical Care Products, Inc. _2022</t>
  </si>
  <si>
    <t>Peter Cullum</t>
  </si>
  <si>
    <t>peter.cullum@airmidlife.com</t>
  </si>
  <si>
    <t>Deep Tech. Device that adds a filter to manual ventilators to prevent pathogens from transferring to the patient (great POC and battlefield applications), and data monitoring to prevent over-filling the lung. Future plans to automate this system for mechanical ventilators. Winner of the US Army xTech Covid-19 ventilator challenge in 2020. Validated through technology readiness level 5 (TRL-5), which is defined as "system component and/or process validation is achieved in a relevant environment." Deck says they are 18 months to revenue for the filter, and 30 months to revenue for the data-monitoring of mechanical ventilators. Even further out for the automated system (not developed yet?). IP is well-protected. Founders are self-taught - one was an Army Medic. VPs from Duke and Edwards Life Sciences, SAB across the medical device industry and at Johns Hopkins.</t>
  </si>
  <si>
    <t>Good idea. I would like to hear Mark Flynn and Deepak Hegde`s opinion.</t>
  </si>
  <si>
    <t>$500,000 in additional seed; $5.0 million A-round</t>
  </si>
  <si>
    <t>DEEPAK HEGDE, Ph.D.</t>
  </si>
  <si>
    <t>change to DT; filter for manual ventilators; main use is military application; looking to expand to mechanical ventilation;</t>
  </si>
  <si>
    <t>1140 3rd Street NE, Suite 200, District of Columbia</t>
  </si>
  <si>
    <t>AirMid Critical Care Products, Inc.</t>
  </si>
  <si>
    <t>AMATEC _2022</t>
  </si>
  <si>
    <t>Igor Stavrulov</t>
  </si>
  <si>
    <t>igor.stavrulov@amatec-corp.com</t>
  </si>
  <si>
    <t>AMATEC is a contech startup aiming to revolutionize the housing construction industry. With our newly created material called High-Density Gypsum, we are able to build much eco-friendlier, cheaper, faster built, and durable homes using a best-in-class automated prefab production process.</t>
  </si>
  <si>
    <t>build eco-friendly, cheaper, faster, and more durable home materials for the automated prefab production process. early need to get into pilots and show it can scale show it's safe and easy to scale production</t>
  </si>
  <si>
    <t>+ Aiming to revolutionize the housing construction industry with their new material High-Density Gypsum. Gypsum is a polycrystal in which there are two kinds of bonds - non-strength and crystallization-strength which is cheap to produce hardens rapidly and is highly eco-friendly. - Need customers</t>
  </si>
  <si>
    <t>Pre-seed|Seed</t>
  </si>
  <si>
    <t>We are currently participating in the CleanTech Open accelerator program</t>
  </si>
  <si>
    <t>North York, Toronto Ontario, Canada</t>
  </si>
  <si>
    <t>AMATEC</t>
  </si>
  <si>
    <t>Anatomech Private Limited _2022</t>
  </si>
  <si>
    <t>Divyakshi Kaushik</t>
  </si>
  <si>
    <t>divyakshi@anatomech.co</t>
  </si>
  <si>
    <t>We make bionic wearable, technology devices for daily physical rehabilitation of medical outcomes that require lifelong management. eg. Lymphedema, declared a global pandemic by National Center of Biotechnology Information with 250Mn people suffering from it worldwide</t>
  </si>
  <si>
    <t>rable is a multi-sectioned, multi-layered garment with a mountable controller need a completing business model and vision get proof of concept</t>
  </si>
  <si>
    <t>-They do not have strong technology people, roadmaps, and business strategy at the moment.</t>
  </si>
  <si>
    <t>IIMB-NSRCel - Women Entrepreneurship Program Qualcomm Women Entrepreneur's India Network Venture Center - Incubator Research Innovation Incubation Design Labs - Accelerator and Incubator Mazumdar Shaw Medical Center - Hospital based Incubator</t>
  </si>
  <si>
    <t>Pune, Maharashtra India</t>
  </si>
  <si>
    <t>Anatomech Private Limited</t>
  </si>
  <si>
    <t>Aqua Development _2022</t>
  </si>
  <si>
    <t>Othman Ben Abbes</t>
  </si>
  <si>
    <t>o.benabbes@aqua-development.com</t>
  </si>
  <si>
    <t>We are an Aquaculture Tech start-up company based in Korea with global expansion. We developed our own system for shrimp aquaculture inspired by nature. Our system achieves: - 20X higher productivity than traditional systems - ZERO use of antibiotics and chemical - Extremely competitive CAPEX and OPEX</t>
  </si>
  <si>
    <t>Deep Tech. Shrimp aquaculture with 20x production compared to traditional systems without using chemicals or antibiotics. They claim "the microbiological ecosystem provides a natural barrier against diseases and improves immunity of shrimp." Have a commercial scale facility with 11-50 customers and $500K/year revenues through sales of their shrimp and associated equipment. Innovation is "mimicking natural ocean processes and ecosystem". Not sure what this means. Provisionals filed and keeping the rest trade secret. CEO is a Hopkins engineer (MSc) and CEIBS MBA, CTO is a 30+ year veterinarian who designed the system. Raised ~$3M with $2M soft circled in their open $10M round.</t>
  </si>
  <si>
    <t>Says adding prebiotics and probiotic to create a natural environment for the shrimps to grow, physiological conditions are measured carefully, 20x more efficient. Seems like this technique works</t>
  </si>
  <si>
    <t>Bridge,Series B and above</t>
  </si>
  <si>
    <t>Unreasonable Impact by Barclays (2021 cohort) Foodbytes program by Rabobank (2021 cohort) 1000 Ocean start-ups (selected in 2022)</t>
  </si>
  <si>
    <t>Change to DT;tech isn't quite clear, but strong revenue;</t>
  </si>
  <si>
    <t>336 Olympic Road, Seoul Korea, Republic of</t>
  </si>
  <si>
    <t>Aqua Development</t>
  </si>
  <si>
    <t>ARDA Biomaterials _2022</t>
  </si>
  <si>
    <t>Brett Cotten</t>
  </si>
  <si>
    <t>brett.a.cotten@gmail.com</t>
  </si>
  <si>
    <t>ARDA Biomaterials makes smarter, circular biomaterials ? we're starting with New Grain, a plant-based, plastic-free, augmented material that can be an alternative to leather.</t>
  </si>
  <si>
    <t>+Credible team +Large TAM and plan to apply technology -They are still very early, developing MVP</t>
  </si>
  <si>
    <t>Good fit for Next Year</t>
  </si>
  <si>
    <t>I was on the founding team of Counterfactual Ventures before joining Entrepreneur First as a founder in residence</t>
  </si>
  <si>
    <t>A friend</t>
  </si>
  <si>
    <t>10 Pedworth Gardens, London, London United Kingdom</t>
  </si>
  <si>
    <t>ARDA Biomaterials</t>
  </si>
  <si>
    <t>Ascend Manufacturing Inc. _2022</t>
  </si>
  <si>
    <t>Justin Nussbaum</t>
  </si>
  <si>
    <t>justin@ascend-3d.com</t>
  </si>
  <si>
    <t>3D print that is faster, stronger and cheaper than anything else on the market. for mass production industry has been slow to grow with lots of solutions in the market-built customer pipeline and a moat</t>
  </si>
  <si>
    <t>(+)The team seem credible with PHD in Mechanical Engineering (+)The technology seems novel (+)Large potential market (+)Contract with airforce (-)Might be too early for EFL</t>
  </si>
  <si>
    <t>Pre-seed|Seed|Other: As we speak, we're currently closing another pre-seed bridge of $150k in convertible notes but this is expected to close within the next two weeks and will extend our runway to about 7 months.</t>
  </si>
  <si>
    <t>$3.5M</t>
  </si>
  <si>
    <t>Yes, Innovation Crossroads out of the Lab Embedded Entrepreneurship Program through the Department of Energy's Advanced Manufacturing Office and Oak Ridge National laboratory.</t>
  </si>
  <si>
    <t>Vivin Hegde</t>
  </si>
  <si>
    <t>Knoxville Tennessee, United States</t>
  </si>
  <si>
    <t>Ascend Manufacturing Inc.</t>
  </si>
  <si>
    <t>Aspisafe Solutions Inc. _2022</t>
  </si>
  <si>
    <t>Talal Sharaiha</t>
  </si>
  <si>
    <t>tsharaiha@aspisafesolutions.com</t>
  </si>
  <si>
    <t>Medical device startup in the feeding space with 3 devices in the pipeline. A feeding tube securement device that is commercial, a feeding tube that prevents hospital acquired pneumonia that is undergoing animal studies and a feeding pump that is undergoing early design/development.</t>
  </si>
  <si>
    <t>A feeding tube that comes with a balloon attached to it to prevent reflux into the lungs. Good idea but I am not sure. We can discuss further.</t>
  </si>
  <si>
    <t>1 Million</t>
  </si>
  <si>
    <t>No We just got accepted to the Health-tech cohort at Expert Dojo in California and we are negotiating the equity and warrant deal for this. The accelerator program would start in September.</t>
  </si>
  <si>
    <t>change to DT;</t>
  </si>
  <si>
    <t>Brooklyn, NY United States</t>
  </si>
  <si>
    <t>Aspisafe Solutions Inc.</t>
  </si>
  <si>
    <t>Mustafa Al-Adhami</t>
  </si>
  <si>
    <t>mustafa@astekdx.com</t>
  </si>
  <si>
    <t>Astek Diagnostics has developed a platform for rapid antibiotic sensitivity testing. Every year, 1.7 million Americans are evaluated for sepsis - and too many die while waiting days for the correct antibiotic. Astek?s platform determines antibiotic sensitivity in one hour. Astek is backed by Harvard, Y Combinator, TEDCO, and the NSF.</t>
  </si>
  <si>
    <t>Deep tech track. Chip technology: microfluidic device + alamar blue metabolic assay that determines the existence of bacteria in samples and performs antibiotic sensitivity testing in less than one hour. Crucial for sepsis patients, but broadly applicable and prevents more antibiotic-resistant bacteria from emerging. YC grads.</t>
  </si>
  <si>
    <t>We have done Y Combinator in the summer of 2021</t>
  </si>
  <si>
    <t>change to DT; Y com grads</t>
  </si>
  <si>
    <t>Baltimore, Maryland United States</t>
  </si>
  <si>
    <t>Astek Diagnostics Inc.</t>
  </si>
  <si>
    <t>AstraKode _2022</t>
  </si>
  <si>
    <t>Fabiano Izzo</t>
  </si>
  <si>
    <t>fabiano.izzo@astrakode.tech</t>
  </si>
  <si>
    <t>AstraKode was founded with the aim to facilitate innovative enterprise solutions development through low-code. The company's opening product is AstraKode Blockchain (AKB), a PaaS solution for blockchain network and smart contract development/testing/deployment.</t>
  </si>
  <si>
    <t>DiT platform that allows you to develop a custom enterprise blockchain solution by simply drawing it needs a differentiator</t>
  </si>
  <si>
    <t>+Planned Subscription based model +Currently have 800+ users registered to the platform.</t>
  </si>
  <si>
    <t>We took part in Sente Foundry's LogistcTech acceleration program and Filecoin Faber Acceleration Program.</t>
  </si>
  <si>
    <t>change to DiT</t>
  </si>
  <si>
    <t>Pescara, Pescara Italy</t>
  </si>
  <si>
    <t>AstraKode</t>
  </si>
  <si>
    <t>Augment Health, Inc. _2022</t>
  </si>
  <si>
    <t>Jared Meyers</t>
  </si>
  <si>
    <t>jared@augmenthealth.org</t>
  </si>
  <si>
    <t>Augment Health is a medical device company building an AI-powered smart bladder management system. We help people with neurological conditions eliminate urine collection bags, empowering them to achieve their maximum health, dignity, and independence.</t>
  </si>
  <si>
    <t>Deep tech. AI-powered smart bladder management system. Connects to existing catheter lines and alerts the user via an app when their bladder is full. This can grant the user independence from collection bags.</t>
  </si>
  <si>
    <t>It's an early-stage company in medical devices. Needs more validation on technology</t>
  </si>
  <si>
    <t>We participated in Georgia Tech's Create-X Startup Launch, the ZeroTo510 medical device accelerator, and M2D2 impact 3. We are currently part of the Medtech Innovator program.</t>
  </si>
  <si>
    <t>change to DT; interesting idea but lacking exciting team</t>
  </si>
  <si>
    <t>Franklin, Tennessee United States</t>
  </si>
  <si>
    <t>Augment Health, Inc.</t>
  </si>
  <si>
    <t>Autonopia Technologies Inc. _2022</t>
  </si>
  <si>
    <t>Mohammad Dabiri</t>
  </si>
  <si>
    <t>mohammad.dabiri@autonopia.com</t>
  </si>
  <si>
    <t>Care and maintenance of civil structures such as buildings, bridges, dams, and energy assets are risky tasks that entail dangerous manual work at height; this way of work is slow, expensive, and plagued by labor shortage. Autonopia's robots replace human at height and deliver the work 2-3 times faster, at a fraction of the cost.</t>
  </si>
  <si>
    <t>robots replace human work at height the demo shows the robot being super heavy and clunky what is the cost and can it scale? need to show the MVP can work and can build robot that are affordable</t>
  </si>
  <si>
    <t>+Budiling robots to replace humans at height and deliver the work 2-3 times faster in the Care and maintenance of civil structures such as buildings, bridges, dams +Idea looks interesting +</t>
  </si>
  <si>
    <t>SFU Venture Connection incubator - 2021 Techstars+Stanley Accelerator - 2022</t>
  </si>
  <si>
    <t>VANCOUVER, British Columbia Canada</t>
  </si>
  <si>
    <t>Autonopia Technologies Inc.</t>
  </si>
  <si>
    <t>Badili Africa _2022</t>
  </si>
  <si>
    <t>Rishabh Lawania</t>
  </si>
  <si>
    <t>rishabh@badili.africa</t>
  </si>
  <si>
    <t>Badili is creating a circular economy in the African markets through its ReCommerce of Smartphones</t>
  </si>
  <si>
    <t>buy back and resell platform no real tech not a fit for EFL</t>
  </si>
  <si>
    <t>- No tech in this, its ReCommerce of Smartphones - Not related to Deep tech</t>
  </si>
  <si>
    <t>SOSV</t>
  </si>
  <si>
    <t>3600 Prairie Heigths Drive Leander, Texas Kenya</t>
  </si>
  <si>
    <t>Badili Africa</t>
  </si>
  <si>
    <t>Bairitone Health Inc _2022</t>
  </si>
  <si>
    <t>Meagan Pitcher</t>
  </si>
  <si>
    <t>team@bairitone.com</t>
  </si>
  <si>
    <t>Bairitone makes and AI-enabled, home-based wearable to non-invasively assess upper airway anatomy sites contributing to apnea events in people who have sleep apnea for the sleep surgeon that needs to make a treatment plan.</t>
  </si>
  <si>
    <t>sleep apnea tracking AI device to track sounds very early lots of players</t>
  </si>
  <si>
    <t>+Team seems credible +Clear pain point +Developed product -Might be too early</t>
  </si>
  <si>
    <t>Texas Medical Center Biodesign - incubator</t>
  </si>
  <si>
    <t>Sarah Hein</t>
  </si>
  <si>
    <t>2450 Holcombe Blvd Ste X, Houston, TX 77021, Texas United States</t>
  </si>
  <si>
    <t>Bairitone Health Inc</t>
  </si>
  <si>
    <t>Beacon Street Innovations _2022</t>
  </si>
  <si>
    <t>Doug Cohen</t>
  </si>
  <si>
    <t>dougcohen101@gmail.com</t>
  </si>
  <si>
    <t>Beacon Street Innovations is currently developing a multi-line refreshable braille display for the visually impaired community. This display will be based on our patented technology for braille cells developed during a National Science Foundation grant.</t>
  </si>
  <si>
    <t>Needs to build out the tech and con prove that it works at scale Find the right partners Invite next year?</t>
  </si>
  <si>
    <t>500k</t>
  </si>
  <si>
    <t>Gahanna, Ohio United States</t>
  </si>
  <si>
    <t>Beacon Street Innovations</t>
  </si>
  <si>
    <t>Beast Mobile _2022</t>
  </si>
  <si>
    <t>Leigh Hunt</t>
  </si>
  <si>
    <t>leigh@beastmobile.net</t>
  </si>
  <si>
    <t>Beast Mobile was founded to change the wireless industry. Our product provides FREE cellphone service to the end user.</t>
  </si>
  <si>
    <t>No real tech Team did not fill out the app with with any inshgits or compelling answers</t>
  </si>
  <si>
    <t>+Interesting startup but have to whether it can be sustained in the market with existing well-developed technology - If customers don't agree to ads what would be the policy or company's takes on gaining revenue +charging 18/month per customer</t>
  </si>
  <si>
    <t>Yes. Launch Accelerator.</t>
  </si>
  <si>
    <t>Seattle, WA United States</t>
  </si>
  <si>
    <t>Beast Mobile</t>
  </si>
  <si>
    <t>BioShade _2022</t>
  </si>
  <si>
    <t>Peleg Bar-On</t>
  </si>
  <si>
    <t>peleg@bioshade.net</t>
  </si>
  <si>
    <t>plant wall no real tech not a fit for EFL</t>
  </si>
  <si>
    <t>(-)The technology does not appear to novel (-)Might be too early</t>
  </si>
  <si>
    <t>- Open Huji AgTech accelerator|- Climate Launch Pad Bootcamp|- 8200 Impact accelerator|- CityZone - Tel Aviv's smart cities innovation lab|- Microsoft's AI for Good - Startups accelerator program</t>
  </si>
  <si>
    <t>Tel-Aviv, Tel-Aviv</t>
  </si>
  <si>
    <t>BioShade</t>
  </si>
  <si>
    <t>Biosimo _2022</t>
  </si>
  <si>
    <t>Sotiria Mostrou</t>
  </si>
  <si>
    <t>sotiria.mostrou@biosimo-chemicals.com</t>
  </si>
  <si>
    <t>Biosimo develops technologies and processes to manufacture bio-based platform chemicals. These provide a fossil-free alternative for material manufacturers that wish to make their products sustainable, improve their ESG, and engage eco-conscious customers.</t>
  </si>
  <si>
    <t>heterogeneous catalyst for the large-scale oxidation of bio-ethanol. early and in the MVP stage needs to show it can scale not customer ready yet</t>
  </si>
  <si>
    <t>+Capital Intensive venture. -No cash inflow at the current stage. +Littlle early for EFL -Not a good fit for this year.</t>
  </si>
  <si>
    <t>Innosuisse, and Venture Kick, both based in Switzerland</t>
  </si>
  <si>
    <t>Zurich, Zurich Switzerland</t>
  </si>
  <si>
    <t>Biosimo</t>
  </si>
  <si>
    <t>BioXycle _2022</t>
  </si>
  <si>
    <t>Chris Gentner</t>
  </si>
  <si>
    <t>chris.gentner@bioxycle.com</t>
  </si>
  <si>
    <t>BioXycle is in the process of providing the technology and services to Biodegrade Plastics back to their original (chemical monomer) state and eliminate them from our environment. Our first step is to fund laboratory tests that will verify not only can we biodegrade plastics, but do it quickly and efficiently.</t>
  </si>
  <si>
    <t>Deep Tech. Degrading plastics to their original monomer form. Concept phase, no validation - apply next year.</t>
  </si>
  <si>
    <t>DT may take a look. Too early and concept stage. Business-based team.</t>
  </si>
  <si>
    <t>Change to DT;</t>
  </si>
  <si>
    <t>Atlanta, Georgia United States</t>
  </si>
  <si>
    <t>BioXycle</t>
  </si>
  <si>
    <t>Blazar SAS _2022</t>
  </si>
  <si>
    <t>Dora Sabino</t>
  </si>
  <si>
    <t>dora@blazar.ai</t>
  </si>
  <si>
    <t>Blazar is a software platform leveraging deep learning and statistical methods on clinical data to predict cancer patient response to immunotherapies. We improve treatment outcomes, support better use of healthcare budgets, and expand on manufacturer ROI with digital complementary diagnostics that are inclusive of currently excluded patients.</t>
  </si>
  <si>
    <t>LS? software platform leveraging deep learning and statistical methods on clinical data to predict cancer patient response to immunotherapies need to show the data is correct and can scale</t>
  </si>
  <si>
    <t>+Team seems credible +Passionate about product -Software has not had a large trial -No revenue -Might be too early for EFL</t>
  </si>
  <si>
    <t>Yes, Blazar was affiliated with Entrepreneur First, TechCare (Paris), Precision Medicine (P4) UK.</t>
  </si>
  <si>
    <t>128 rue de la Boétie, 75008 Paris, Paris France</t>
  </si>
  <si>
    <t>Blazar SAS</t>
  </si>
  <si>
    <t>Boundless Robotics _2022</t>
  </si>
  <si>
    <t>Carl Palme</t>
  </si>
  <si>
    <t>carl@boundlessrobotics.com</t>
  </si>
  <si>
    <t>Boundless Robotics is developing the technology capable of allowing anyone, anywhere to grow any strain of cannabis, any time of year directly at home by just pressing a button and adding water weekly. This is for the 12 Million Americans who consume cannabis actively for health and wellness and who want access to high-quality, pesticide-free canna</t>
  </si>
  <si>
    <t>grow any strain of cannabis, any time of year directly at home like the indoor tomato growers plant base in your house</t>
  </si>
  <si>
    <t>Hydrophonic based venture for automatically growing cannabis</t>
  </si>
  <si>
    <t>MassChallenge Boston 2021</t>
  </si>
  <si>
    <t>Boundless Robotics</t>
  </si>
  <si>
    <t>BPANALITYCAL S.A. _2022</t>
  </si>
  <si>
    <t>Stela Maris da Silva</t>
  </si>
  <si>
    <t>admin@agrofort.com.ar</t>
  </si>
  <si>
    <t>BPAnalitycal it's a biotechnology and nanotechnology company constituted to investigate and design unique products for the agricultural sector. Our biological products are indicated to control pests and diseases with high impact on crops. They are biodegradable, do not generate damage to the environment and human health and are highly effective</t>
  </si>
  <si>
    <t>a microcide, sanitizer of fruits and vegetables, obtained through nano-emulsified plant extracts and biocidal action needs to get past regulations and build on the business pipeline get more customers not fundraising?</t>
  </si>
  <si>
    <t>Nothing much about deep tech, not a good fit.</t>
  </si>
  <si>
    <t>As an entrepreneur, I have been doing a course for entrepreneurs in the context of the presentation and selection of a project, by BID-Network Foundation. The course was part of the BID CHALLENGE business competition award, "Women in Business" in which I have participated representing Argentina and for which I have been selected among the 5 finalists in the world, due to the characteristics of the project presented.The project named BIOPRO proposed the development of a biological insecticide (BOVEL) and which later gave rise to the company BPAnalitycal S.A. The course was given by Ernst &amp; Young in The Hague-Netherlands. A month ago I participated in a 4-month course taught by an accelerator, as part of the process of obtaining subsidies from the Argentine government for small businesses. None of the courses attended involved any commitment to transfer shares and/or payment of fees.</t>
  </si>
  <si>
    <t>Diana Silveira- Palermo University (UP) .Buenos Aires-Argentina</t>
  </si>
  <si>
    <t>Carril Rodríguez Peña, 2163-Mendoza, Mendoza Argentina</t>
  </si>
  <si>
    <t>BPANALITYCAL S.A.</t>
  </si>
  <si>
    <t>Briya _2022</t>
  </si>
  <si>
    <t>David Lazerson</t>
  </si>
  <si>
    <t>david@briya.com</t>
  </si>
  <si>
    <t>Briya is a data retrieval platform that provides real-time access to high-quality medical data in a fast, secure, and compliant manner taken from any number of sources, no matter their type. Briya?s platform is 10 times faster than other solutions on the market and enforces compliance and privacy regulations automatically.</t>
  </si>
  <si>
    <t>DiT a retrieval platform that provides real-time access to high-quality medical data small market what's the moat?</t>
  </si>
  <si>
    <t>+The team seem passionate +They have raised a lot of money: $5.5M seed and $650K grants +They have experience in the industry</t>
  </si>
  <si>
    <t>Briya participated in Project Healthcare as part of the Nashville Entrepreneur Center in 2021-2022. Project Healthcare is a nine-month program featuring monthly programming and ongoing support. It is designed for healthcare entrepreneurs seeking to accelerate their high-growth startups, Project Healthcare leverages relationships with Nashville?s healthcare industry giants and provides unmatched access to the top experts and resources in the field.</t>
  </si>
  <si>
    <t>Tel Aviv, Tel Aviv Israel</t>
  </si>
  <si>
    <t>Briya</t>
  </si>
  <si>
    <t>Patrik Schmidle</t>
  </si>
  <si>
    <t>patrik@carihealth.com</t>
  </si>
  <si>
    <t>CARI Health is developing a wearable remote monitor that uses a patent-pending chemical assay to keep patients on life saving medications. It monitors medications in REAL TIME to reduce healthcare costs and save lives. The first application is for methadone, a medication that is used to treat opioid addiction.</t>
  </si>
  <si>
    <t>Deep Tech. A wearable device that monitors medication adherence via microneedles. It is built on an electrochemical assay (longer lasting than current standard - enzymatic assays) that has the flexibility to detect multiple medications, downstream metabolites and other biomarkers simultaneously in the interstitial fluid of humans in real time. First indication is helping opioid addicts - they performed a clinical study to detect the presence of three different drugs in the interstitial fluid, but need to do more studies to determine the accuracy of these measurements. Tech is early, but it's an all-star team. CEO has 6 prior exits (not in healthcare), team as affiliations with CalTech, Stanford, Qualcomm, Dexcom and Biolinq. ~$4M in SBIR/STTR grants., with $1.75M circled in their current Seed raise. Tech is a little early, but might be worth interviewing for the team.</t>
  </si>
  <si>
    <t>Deep Tech. MedTech accelerator alumni. Too early in product development and validation. Electrochemical assay wearable biosensor. A wireless small device that attaches to body and through an application informs the patient, MD, and other stakeholders about the level of medication in patient's body in order to reach precision and personalized treatment. Currently focused on opioid treatment. CalTech and Stanford alumni.</t>
  </si>
  <si>
    <t>2.25 million</t>
  </si>
  <si>
    <t>We have graduated from the MedTech accelerator program from the Institute of the Global Entrepreneur and we are currently in the MedTech Innovator accelerator program led by Paul Grant. MTI will end in October so the timing would be perfect to start the EFL program.</t>
  </si>
  <si>
    <t>change to DT; Microneedle array for compound testing; CEO has 6 prior exits, though not in healthcare;</t>
  </si>
  <si>
    <t>CARI Health, Inc.</t>
  </si>
  <si>
    <t>Celise BioProducts _2022</t>
  </si>
  <si>
    <t>Cameron Ross</t>
  </si>
  <si>
    <t>cameronross@celisebioproducts.com</t>
  </si>
  <si>
    <t>Celise BioProducts is a biomaterial specialty manufacturer with a niche market for regulated packaging industries (medical, cannabis, industrial, CPG). Using our Home Compostable blend, we produce verifiably sustainable packaging for our customers to reduce traditional plastic overreliance and waste while creating a closed loop return system.</t>
  </si>
  <si>
    <t>"packaging for the cannabis industry no real tech"</t>
  </si>
  <si>
    <t>+Passionate team +Large potential market +Developed product -Tech does not appear novel</t>
  </si>
  <si>
    <t>Series A,Debt financing</t>
  </si>
  <si>
    <t>Celise BioProducts was founded in the American University Center for Innovation Incubator Program before being accepted into the inaugural 2019 Houston MassChallenge Accelerator, July - December 2019. Sicne then, we have been fine on our own and are looking to get back into connecting with programs as we come out of COVID.</t>
  </si>
  <si>
    <t>Arlington, Virginia United States</t>
  </si>
  <si>
    <t>Celise BioProducts</t>
  </si>
  <si>
    <t>Cfromatik Parallel, LDA _2022</t>
  </si>
  <si>
    <t>Jordan COUSSERANS</t>
  </si>
  <si>
    <t>falco@elektr.io</t>
  </si>
  <si>
    <t>Cromatik Parallel is building a social ecosystem on the top of Arweave's blockchain. This ecosystem is composed of several fully on-chain protocols and application: Metaweave.xyz: A permanent social platform, Arweave-account: the standard open-source DID of Arweave and permatweet allowing anyone to backup tweets on chain.</t>
  </si>
  <si>
    <t>Blockchain social media build on Arweave to save posts DiT Social platforms can do this already</t>
  </si>
  <si>
    <t>+Team seems passionate about product +The have a developed product -Potential market not proven -Might be to early for EFL</t>
  </si>
  <si>
    <t>500k$</t>
  </si>
  <si>
    <t>Rua Margarida Abreu , Numero 11, 1C, Lisboa, Lisboa France</t>
  </si>
  <si>
    <t>Cfromatik Parallel, LDA</t>
  </si>
  <si>
    <t>Chara Technologies Private Limited _2022</t>
  </si>
  <si>
    <t>Bhaktha Keshavachar</t>
  </si>
  <si>
    <t>bhaktha@chara.co.in</t>
  </si>
  <si>
    <t>Chara develops Rare-Earth free Reluctance motor systems (Motor+Controller+Software) to reduce the cost of high-efficiency electric vehicle powertrains and high-efficiency HVAC while decoupling from high Rare-Earth costs and supply risks.</t>
  </si>
  <si>
    <t>engine redesign efficient re-design of stator and rotor, AI or ML infusion for increased performance and efficiency not proven yet to work, pilots has to show it has value</t>
  </si>
  <si>
    <t>+ Develops Rare-Earth free Reluctance motor systems to reduce the cost of high-efficiency electric vehicle powertrains +Developed a novel way of designing the Switched Reluctance motor + Founder has startup experience + Circled 4M (2M in soft+ 2M in hard) through series A</t>
  </si>
  <si>
    <t>4 million</t>
  </si>
  <si>
    <t>CIIE.CO, Ahmedabad - An incubator backing early-stage deep tech startups that build disruptive solutions. ASVA (Accenture Sustainability Value Accelerator) - An joint program between Accenture and CIIE.CO to promote early-stage startups that build solutions that help businesses achieve or enhance sustainability.</t>
  </si>
  <si>
    <t>Bangalore, Karnataka India</t>
  </si>
  <si>
    <t>Chara Technologies Private Limited</t>
  </si>
  <si>
    <t>ChargeHorizons _2022</t>
  </si>
  <si>
    <t>Lilith Diringer</t>
  </si>
  <si>
    <t>lilith@chargehorizons.com</t>
  </si>
  <si>
    <t>ChargeHorizons creates and runs the platform ChargeHolidays to solve the problem of intransparency in the field of sustainable travel for enabling people to travel stereotypical free and by reducing their harm to the environment providing a comfortable way of planning and booking.</t>
  </si>
  <si>
    <t>Too early and not deep tech May be good for DiT next year.</t>
  </si>
  <si>
    <t>HHL - Batch 2 at leipzig Business School (march to June 2021)</t>
  </si>
  <si>
    <t>Dresden, Saxony Germany</t>
  </si>
  <si>
    <t>ChargeHorizons</t>
  </si>
  <si>
    <t>Cleanlight _2022</t>
  </si>
  <si>
    <t>Jordan Butler</t>
  </si>
  <si>
    <t>jordan@cleanlight.cl</t>
  </si>
  <si>
    <t>CleanLight focuses on solar and battery technology to facilitate and accelerate renewable energy adoption for consumers and industry, helping them to become sustainable consumers, allowing them to achieve sustainable operational continuity, while saving cost in fossil fuels as well as important savings in operation and security.</t>
  </si>
  <si>
    <t>customized PCB with an integrated solar power management system solo founder raised 3 million for 30% of equity</t>
  </si>
  <si>
    <t>+Credible team with well developed product and company +USD$ 11M since company inception -Might not be large enough a market or novel enough a product for EFL</t>
  </si>
  <si>
    <t>Newchip accelerator, Bloomberg Leaders, Endeavor Chile.</t>
  </si>
  <si>
    <t>solar power and solar power storage; successful product so far; 11M in company lifetime; successful local company, but not a novel idea</t>
  </si>
  <si>
    <t>Vespucio 551, Santiago Chile</t>
  </si>
  <si>
    <t>Cleanlight</t>
  </si>
  <si>
    <t>Clearword _2022</t>
  </si>
  <si>
    <t>David Coallier</t>
  </si>
  <si>
    <t>david@clearword.com</t>
  </si>
  <si>
    <t>From planning all the way to automatic meeting minutes, Clearword extracts the value from your conversations to make them shareable, searchable, and accessible. This way, you and your team stay connected and always up-to-date, without having to over-communicate or have more meetings.</t>
  </si>
  <si>
    <t>DiT all-in-one meeting platform automates your meeting notes, providing records, transcriptions, and smart meeting summaries Few competitors in the space already Good team from MIT Need to get customers and scale</t>
  </si>
  <si>
    <t>+Working MVP +Team have had exits from successful startups -No customers -Too early for EFL</t>
  </si>
  <si>
    <t>No never.</t>
  </si>
  <si>
    <t>Unit 3D North point House Unit, Cork Ireland</t>
  </si>
  <si>
    <t>Clearword</t>
  </si>
  <si>
    <t>CO2 Lock Corp. _2022</t>
  </si>
  <si>
    <t>Cooper Quinn</t>
  </si>
  <si>
    <t>cooper@co2lockcorp.com</t>
  </si>
  <si>
    <t>CO2 Lock is developing a carbon storage technology using the most CO2-reactive mineral (brucite) to help companies achieve their net zero commitments. We will develop large-scale, geologically permanent, verifiable and affordable (&lt;US$100/ton ex-carbon) CO2 storage projects for companies to either directly store their carbon, or acquire offsets.</t>
  </si>
  <si>
    <t>carbon storage technology using brucite too early and high risk of not proving the tech works invite next year</t>
  </si>
  <si>
    <t>+CO2 storage projects for companies to either directly store their carbon or acquire offsets. -In the concept phase, No customers yet Too early? Can check for next year</t>
  </si>
  <si>
    <t>Completed AirMiners Launchpad program during Q1 2022.</t>
  </si>
  <si>
    <t>Vancouver, British Columbia Canada</t>
  </si>
  <si>
    <t>CO2 Lock Corp.</t>
  </si>
  <si>
    <t>Cohesive Robotics _2022</t>
  </si>
  <si>
    <t>David Pietrocola</t>
  </si>
  <si>
    <t>david@cohesiverobotics.com</t>
  </si>
  <si>
    <t>Cohesive Robotics is building smarter industrial automation to modernize manufacturing?s most common fabrication and finishing processes, delivering increased production, more consistent quality and a safer workplace.</t>
  </si>
  <si>
    <t>autonomous surface finishing robot early and needs a business model that can scale, right now seems limited on how they can customers get pilots going</t>
  </si>
  <si>
    <t>-Little early. + Invite next year or can invite them now</t>
  </si>
  <si>
    <t>We've spent the past six months working out of the Pratt Institute's Consortium for Research and Robotics at the Brooklyn Navy Yard, which provided equipment and prototyping support. We are also an active member of the NVIDIA Inception program. Previously, David was the entrepreneurial lead for his prior startup's team in the NSF I-Corps program.</t>
  </si>
  <si>
    <t>Bronx NY, United States</t>
  </si>
  <si>
    <t>Cohesive Robotics</t>
  </si>
  <si>
    <t>Corral Technologies _2022</t>
  </si>
  <si>
    <t>Jack Keating</t>
  </si>
  <si>
    <t>jackkeating@corraltech.com</t>
  </si>
  <si>
    <t>Corral Technologies has developed a virtual fencing system that helps cattle ranchers increase their profits by increasing the number of cattle grazing per acre by over 20% while incurring fewer material and labor costs.</t>
  </si>
  <si>
    <t>virtual fencing system that helps cattle ranchers increase scale of the tech | novel? what's the moat? ranchers do that have a ton of cash on hand to dpot new tech</t>
  </si>
  <si>
    <t>+Good idea +Large potential market +Provisional patent +Founders seem credible +Developed product</t>
  </si>
  <si>
    <t>We are alumni of gBeta Lincoln and StartupLNK. We are also members of The Combine incubator in Lincoln, Nebraska.</t>
  </si>
  <si>
    <t>tech contains cattle to one area; marketed to small farms, but livestock farming is more large scale; better applied to emerging markets than US;</t>
  </si>
  <si>
    <t>Lincoln, Nebraska United States</t>
  </si>
  <si>
    <t>Corral Technologies</t>
  </si>
  <si>
    <t>Counter-Intuitive Cooking Inc. _2022</t>
  </si>
  <si>
    <t>Maxwell Wieder</t>
  </si>
  <si>
    <t>Max@Celcy.com</t>
  </si>
  <si>
    <t>Counter-Intuitive Cooking has developed and patented Celcy - the automated Nespresso of food to save consumers time and money while offering delicious and nutritious chef-quality meals all at home with no human involvement.</t>
  </si>
  <si>
    <t>Part-time founders Need to get products into customer's hands</t>
  </si>
  <si>
    <t>We should interview them. A good team, strong founders, and advisors, the Only point is that venture is missing full-time employees.</t>
  </si>
  <si>
    <t>dual feezer/oven concept. cool concept, not exciting tech-wise, but customer excitement would be there</t>
  </si>
  <si>
    <t>Eldersburg, MD United States</t>
  </si>
  <si>
    <t>Counter-Intuitive Cooking Inc.</t>
  </si>
  <si>
    <t>CRANENANO LLC _2022</t>
  </si>
  <si>
    <t>MICHAEL KIO</t>
  </si>
  <si>
    <t>elekics2014@gmail.com</t>
  </si>
  <si>
    <t>The start-up develops formulation and licenses for energy efficient fouling-release coatings with competitive advantage over existing systems by novel formulation and application of effective intermediary layer for anti-fouling, anticorrosion and self-healing.</t>
  </si>
  <si>
    <t>Apply for next year</t>
  </si>
  <si>
    <t>+Have 44571 +Tech novel -Might be to early for EFL</t>
  </si>
  <si>
    <t>31 Orchard Drive Maryland, United States</t>
  </si>
  <si>
    <t>CRANENANO LLC</t>
  </si>
  <si>
    <t>CytoRecovery, Inc. _2022</t>
  </si>
  <si>
    <t>Alex Hyler</t>
  </si>
  <si>
    <t>ahyler@cytorecovery.com</t>
  </si>
  <si>
    <t>CytoRecovery is developing a next generation cell sorting platform to sort, enrich, and recover cell subpopulations from complex biological samples. Our technologies are unique in their ability to sort, enrich, and recover cell populations in their native state allowing confidence in downstream culture, analysis, and use in biomedical research.</t>
  </si>
  <si>
    <t>Deep Tech. Cell sorting via phenotypic differences (namely bioelectrical signatures) using microfluidics in place of labeling. The system can sort, enrich, and recover subpopulations of interest. IP is well protected. Completed beta testing with 3 on-site demonstrations for stem cell enrichment, cancer-associated cell sorting, live-dead cell enrichment, red blood cell sorting, and more. --&gt; Achieved 90% live cells, but they didn't share sub-population sorting data. Plan to sell their instrument and a disposable microchip. $1K revenues from selling a buffer solution. Small market, but their solution would dominate if it overcomes labeling. Team of scientists from Virginia Tech with some business experience. If interviewed, ask for their MSC sub-population sorting data.</t>
  </si>
  <si>
    <t>Virginia Tech. Very promising technology with great advantages over competitors. Cell sorting instrument using a microchip that separates specific cell subpopulations based upon bioelectrical signature of different cells without using any kind of labeling. Great team. Want to know more about their validations on subpopulation cell sorting ability of instrument.</t>
  </si>
  <si>
    <t>We completed the spring 2022 life sciences cohort with the Regional Accelerator and Mentoring Program (RAMP), part of the GAN network, located in Roanoke, VA.</t>
  </si>
  <si>
    <t>Blacksburg, VA United States</t>
  </si>
  <si>
    <t>CytoRecovery, Inc.</t>
  </si>
  <si>
    <t>Dextall _2022</t>
  </si>
  <si>
    <t>Aurimas Sabulis</t>
  </si>
  <si>
    <t>aurimas@dextall.com</t>
  </si>
  <si>
    <t>Dextall provides a platform to reduce exterior wall design and coordination process from 24 month to 2 days. We bridge the AEC industry gap between the design of prefabricated exteriors and the final exterior-wall construction at the job site through collaboration tools thus providing savings and high quality products to the end customer.</t>
  </si>
  <si>
    <t>using already existing technology to bridge the AEC industry gap between the design of prefabricated exteriors not novel</t>
  </si>
  <si>
    <t>+Bridge the AEC industry gap between the design of prefabricated exteriors and the final exterior-wall construction - What is the exact tech in this? Its already using the existing data and plugins to channelise output &gt; Secured good seed fund</t>
  </si>
  <si>
    <t>2720 Prosperity Ave #400-1, virginia United States</t>
  </si>
  <si>
    <t>Dextall</t>
  </si>
  <si>
    <t>Diversican Corporation _2022</t>
  </si>
  <si>
    <t>Nhut Dang</t>
  </si>
  <si>
    <t>dangminhnhut1996@gmail.com</t>
  </si>
  <si>
    <t>Diversican is developing a centrifuge that can improve efficiency and quality in ballast water treatment (and other water sources) due to its bulk bacteria size separation capacities. Ship owners can expect a more consistent non-chemical treatment system as well as lower installation and maintenance costs using our technology.</t>
  </si>
  <si>
    <t>Need funding to develop on the tech Who owns the technology? Has good advisors from Princeton</t>
  </si>
  <si>
    <t>Future Founders, Tie University, Georgia Tech ATDC, SlingHealth STL, Innovating for Defense(H4D), Fedtech</t>
  </si>
  <si>
    <t>3979 Riverstone Dr, Suwanee, GA United States</t>
  </si>
  <si>
    <t>Diversican Corporation</t>
  </si>
  <si>
    <t>EASEEbot _2022</t>
  </si>
  <si>
    <t>Bilal Sher</t>
  </si>
  <si>
    <t>bas9876@nyu.edu</t>
  </si>
  <si>
    <t>EASEEbot performs roof and façade scans using robotics and AI to lower the cost of building envelope inspections that check for moisture and deterioration. We provide value to building owners by eliminating the requirement and cost for destructive testing of roof and façade assemblies.</t>
  </si>
  <si>
    <t>DiT using robotics and AI to lower the cost of building envelope inspections that check for moisture and deterioration need to scale out sales and customer pipelines what is the moat and competitive advantage</t>
  </si>
  <si>
    <t>Bit early for EFL, good fit for next year, but we can interview them.</t>
  </si>
  <si>
    <t>Urban Futures Lab, they provide us desk space, but we aren't officially affiliated with them.</t>
  </si>
  <si>
    <t>EASEEbot</t>
  </si>
  <si>
    <t>Eco-Panels LLC _2022</t>
  </si>
  <si>
    <t>Charles Leahy</t>
  </si>
  <si>
    <t>charles@eco-panels.com</t>
  </si>
  <si>
    <t>Eco-Panels is the proven leading innovator in the housing space for creating modular building products that reduce the complexity, effort and skill level typically associated with building a home. An Eco-Panels structure will be stronger, safer and significantly more energy efficient than a traditional stud framed or cinder block building.</t>
  </si>
  <si>
    <t>TBD</t>
  </si>
  <si>
    <t>263 Industrial Blvd., Mocksville, NC United States</t>
  </si>
  <si>
    <t>Eco-Panels LLC</t>
  </si>
  <si>
    <t>EcoEdge Data _2022</t>
  </si>
  <si>
    <t>Mehonaz Kazi</t>
  </si>
  <si>
    <t>mkazi@ecoedgedata.com</t>
  </si>
  <si>
    <t>EcoEdge Data is an early-stage real estate startup with a patent pending modular data center that is powered by on-site wind energy. The model can simultaneously reduce the environmental footprint of big data while leveraging existing energy infrastructure to yield tangible financial and social benefits.</t>
  </si>
  <si>
    <t>built data centers using alternative energy early/ need to show it can scale and get customers big players already looking to do this</t>
  </si>
  <si>
    <t>+Passionate team +Large potential market -Might be too early for EFL -Small team -Tech not novel</t>
  </si>
  <si>
    <t>EcoEdge Data was part of the Female Founder's Circle and StartUp Bootcamp at NYU's Entrepreneur's Institute.</t>
  </si>
  <si>
    <t>Joyce Shapiro</t>
  </si>
  <si>
    <t>48 Wall Street, NY/ NYC United States</t>
  </si>
  <si>
    <t>EcoEdge Data</t>
  </si>
  <si>
    <t>Ecotone Renewables _2022</t>
  </si>
  <si>
    <t>Dylan Lew</t>
  </si>
  <si>
    <t>dylan@ecotonerenewables.com</t>
  </si>
  <si>
    <t>Ecotone Renewables empowers sustainable communities by making sustainable food and agriculture systems more accessible and prevalent outside the industrial scale. We are a Pittsburgh-based startup focused on scaling anaerobic digestion technology to sustainably process food waste through our Zero Emission Upcycling System (ZEUS).</t>
  </si>
  <si>
    <t>automated waste sorting system which uses a machine learning algorithm paired with a robotic arm and optical sensors used to remove any plastic, glass, and metal from the food waste stream early and need to scale what's the moat?</t>
  </si>
  <si>
    <t>&gt; Automated waste sorting system which uses a machine learning algorithm paired with a robotic arm and optical sensors used to remove any plastic, glass, and metal from the food waste stream + Has a full-scale working prototype + Seed:$375,000 &amp; Circled 600k in 2m fundraising &gt; Need to show the proof of model as per claims</t>
  </si>
  <si>
    <t>Last year we successfully completed the Cleantech Open Accelerator which was an amazing experience!</t>
  </si>
  <si>
    <t>PO Box 82534, Pittsburgh, PA United States</t>
  </si>
  <si>
    <t>Ecotone Renewables</t>
  </si>
  <si>
    <t>Eget Liber, Inc. _2022</t>
  </si>
  <si>
    <t>Joseph Milstein</t>
  </si>
  <si>
    <t>joe@eget-liber.com</t>
  </si>
  <si>
    <t>Eget Liber has developed an apparatus that mitigates hazardous algal blooms so that the public (and owners of lakes and ponds) can enjoy the benefits of clean potable water and the recreational benefits of bodies of water that are free of such hazardous algal blooms. We own US Patent No. 11,402,364 for this technology.</t>
  </si>
  <si>
    <t>Need to think about the market and customers No vision</t>
  </si>
  <si>
    <t>+They have a developed product -They have no revenue or contracts yet -The team is small and not well developed -No well-defined vision</t>
  </si>
  <si>
    <t>Syracuse, NY United States</t>
  </si>
  <si>
    <t>Eget Liber, Inc.</t>
  </si>
  <si>
    <t>Einsted _2022</t>
  </si>
  <si>
    <t>Atilio Grimani</t>
  </si>
  <si>
    <t>info@einsted.bio</t>
  </si>
  <si>
    <t>We developed "The Leaf" at Einsted. This modular system uses Ultra Fast Pulsed Plasma (UFPP) technology to capture, sequester, and convert gases from the atmosphere into pure oxygen, carbon, and green hydrogen. As a result, we are accelerating societal decarbonization and mitigating climate change in the same way nature does, but more efficiently.</t>
  </si>
  <si>
    <t>novel modular device that can convert carbon dioxide, water, and methane from the atmosphere into valuable products such as solid carbon needs a qualified team need to build the actual product needs more data to proof it can work</t>
  </si>
  <si>
    <t>+ Would like to see the working product first.</t>
  </si>
  <si>
    <t>A few months before founding Einsted, we participated in two programs: an incubation program run by the government of the city of Buenos Aires where we were winners and an acceleration program run by Grid Exponential, where we received an investment of 200k USD.</t>
  </si>
  <si>
    <t>CABA, Buenos Aires Argentina</t>
  </si>
  <si>
    <t>Einsted</t>
  </si>
  <si>
    <t>Elementa Labs _2022</t>
  </si>
  <si>
    <t>Ahmed Khalil</t>
  </si>
  <si>
    <t>a.khalil@elementalabs.com</t>
  </si>
  <si>
    <t>Elementa is a highly specialised voice assistant for scientific R&amp;D lab (Pharma &amp; Biomedical). Think of it as Siri or Alexa with a PhD, it understand the scientific language and terminologies.</t>
  </si>
  <si>
    <t>DiT startup Need to get the product to scale Show institutions will pay for the product</t>
  </si>
  <si>
    <t>Not a Deep Tech Startup. Nothing much on the Innovation side.</t>
  </si>
  <si>
    <t>- Alumni of ACE (Amsterdam Center of Entrepreneurship) incubator program. - Currently enrolled in Imec.Istart accelerator program.</t>
  </si>
  <si>
    <t>Lab research voice assistant; is the idea they're solving a big problem?</t>
  </si>
  <si>
    <t>Utrecht, Utrecht Netherlands</t>
  </si>
  <si>
    <t>Elementa Labs</t>
  </si>
  <si>
    <t>Anuj Khandelwal</t>
  </si>
  <si>
    <t>anuj@empohealth.com</t>
  </si>
  <si>
    <t>At Empo Health, we're using in-home remote patient monitoring to eliminate the severe diabetic foot ulcers suffered by 1 in 4 patients with diabetes, by solving the problem of patient compliance and giving physicians reliable eyes outside the clinic through an imaging bathroom scale and accompanying remote patient monitoring platform.</t>
  </si>
  <si>
    <t>Deep tech. Bathroom scale that incorporates pressure sensors and imaging to detect changes in the feet due to ulcerative diabetes, and relays this information to a clinical team (no app needed). Tested extensively on patients to develop prototype. $2M in funding + SBIR Ph I. Co-founders from MIT and Stanford (went through Biodesign and StartX). Some star advisors. Referred by Dov Shamir (Mount Sinai Elementa Labs).</t>
  </si>
  <si>
    <t>Pass to Deep Tech. Referred by Dov Shamir. Stanford and MIT affiliation. A device like a bathroom scale that take pictures of Diabetic Foot Ulcer patients and digitalize and monitor their condition.</t>
  </si>
  <si>
    <t>Other: Strategic Extension</t>
  </si>
  <si>
    <t>Stanford StartX, Mount Sinai Elementa Labs, Stanford Biodesign, Carilion Innovations, VentureCrushFG Pods, National Science Foundation SBIR program</t>
  </si>
  <si>
    <t>Dov Shamir (Mount Sinai Elementa Labs)</t>
  </si>
  <si>
    <t>Change to DT; bathroom scale for imaging for diabetic foot ulcers; relays to clinical team without need to patient to use app or send themselves; star advisors;</t>
  </si>
  <si>
    <t>South San Francisco, CA United States</t>
  </si>
  <si>
    <t>Empo Health</t>
  </si>
  <si>
    <t>Energao, Inc. _2022</t>
  </si>
  <si>
    <t>Rong Jiang</t>
  </si>
  <si>
    <t>rong.jiang@energao.com</t>
  </si>
  <si>
    <t>Energao, Inc. is a seed-stage technology company that develops fire-safe and low-cost flow batteries that can be co-deployed with rooftop solar panels for creating off-grid houses and communities. For on-grid customers, our batteries can help build virtual power plants and improve their resilience against power outages.</t>
  </si>
  <si>
    <t>fire-safe and low-cost flow batteries for off-grid houses and communities. Tesla is competitor Need to show it can scale and is safe</t>
  </si>
  <si>
    <t>+Credible team +Novel technology -Might be to early for EFL</t>
  </si>
  <si>
    <t>$300K-$1.5M</t>
  </si>
  <si>
    <t>Yes, in the spring of 2021, we participated in the NSF Midwest Cohort I-Corps program. We interviewed 31 customers, investors, and competitors. In the fall of 2021, we attended the NSF national I-corps program hosted by its NYC cohort. The fall program has enabled us to interview 101 stakeholders in the fields of energy storage, solar installers, clean energy project developers, engineers, et al. Energao is hosted in the Dunn-Richmond Small Business Center on the SIUC campus, which is also supported by the Illinois Entrepreneurial Network (IEN). Energao enjoys a discounted lease rate and free entrepreneurial services from IEN.</t>
  </si>
  <si>
    <t>Carbondale Illinois, United States</t>
  </si>
  <si>
    <t>Energao, Inc.</t>
  </si>
  <si>
    <t>Engine Systems Innovation, Inc. _2022</t>
  </si>
  <si>
    <t>Steve Arnold</t>
  </si>
  <si>
    <t>steve@esi-inc.us</t>
  </si>
  <si>
    <t>ESI is focused on engine technology to reduce CO2 emissions for worldwide users of engines and/or vehicles. When ALL factors are considered, it is more likely that zero-carbon or carbon-neutral fuels will be most successful in reducing CO2 than BEVs. These fuels will work better with ESI Continuously Variable Displacement (CFD) engine technology.</t>
  </si>
  <si>
    <t>Engine that can to reduce CO2 emissions too early need to show the engine can work in the real world needs a team, solo founder</t>
  </si>
  <si>
    <t>+ Drive system that can continuously vary the displacement of an engine through a change of stroke with automatic compensation of the compression ratio +Grant of 1.150M U.S. Department of Energy - Need to build full-scale engine prototype model yet</t>
  </si>
  <si>
    <t>Other: Government grants will be needed to convert the compressor prototype to an engine prototype. Other funding is possible but assistance is needed from EFL to define.</t>
  </si>
  <si>
    <t>$2.5M</t>
  </si>
  <si>
    <t>Washington, UT United States</t>
  </si>
  <si>
    <t>Engine Systems Innovation, Inc.</t>
  </si>
  <si>
    <t>EnKoat _2022</t>
  </si>
  <si>
    <t>Matthew Aguayo</t>
  </si>
  <si>
    <t>matthew@enkoat.com</t>
  </si>
  <si>
    <t>EnKoat is an advanced materials company developing energy efficient solutions to decarbonize the built environment. Our first product is a roof coating incorporated with our patent-pending adaptive materials technology which can reduce heating and cooling costs for building owners by up to 30% and reduce internal temperatures up to 10 degrees F.</t>
  </si>
  <si>
    <t>roof coating which can reduce heating and cooling costs need to get customers and show scale</t>
  </si>
  <si>
    <t>(+)Credible team (+)Novel technology (+)Revenue (-)Market might not be big enough</t>
  </si>
  <si>
    <t>Yes. 1. Wells Fargo IN2 incubator 2. Joules Accelerator 3. Center for Entrepreneurial Innovation 4. Arizona Commerce Authority Virtual Accelerator 5. Upward Labs Net-Zero Accelerator</t>
  </si>
  <si>
    <t>Phoenix, AZ United States</t>
  </si>
  <si>
    <t>EnKoat</t>
  </si>
  <si>
    <t>Etimo _2022</t>
  </si>
  <si>
    <t>Camila Castro Grinstein</t>
  </si>
  <si>
    <t>etimobiomateria@gmail.com</t>
  </si>
  <si>
    <t>Etimo is a company that produces sustainable materials made out of organic waste such as coffee grounds to solve the contamination of the large use of plastic in coffee shops, bringing not only a sustainable options, but also a designed aesthetic one</t>
  </si>
  <si>
    <t>sustainable materials made out of organic waste such as coffee grounds no real tech not a gfit</t>
  </si>
  <si>
    <t>+Passionate team -Tech not very novel -Might be too early</t>
  </si>
  <si>
    <t>Camila Castro, founder and CEO of the company, has participated in the Biosummit fellowship program 2021. This year we are being affiliated to the CEDEX incubator of the UP University of Buenos Aires, with whom we have obtained State financing from the national government from the Ministry of Productive Development to develop the coffee cups and all the laboratory tests.</t>
  </si>
  <si>
    <t>CEDEX incubator UP university</t>
  </si>
  <si>
    <t>Algarrobo 1041, CABA Argentina</t>
  </si>
  <si>
    <t>Etimo</t>
  </si>
  <si>
    <t>evAI Intelligence GmbH _2022</t>
  </si>
  <si>
    <t>Steffen Konrath</t>
  </si>
  <si>
    <t>steffen.konrath@evai-intelligence.de</t>
  </si>
  <si>
    <t>evAI focuses on answering one central question: How are companies, people, and topics perceived by the market? (External view). The answer to this question is very powerful as it allows a user to measure key business metrics, e.g. category leadership, reputation, product-market-fit, and risks companies need to address.</t>
  </si>
  <si>
    <t>measure how companies and people are perceived by the market, by decoding context in unstructured data there lots of players already in the market</t>
  </si>
  <si>
    <t>-Already too many players in the segment. -Tech early, need to develop product -Not a good fit</t>
  </si>
  <si>
    <t>Last year we were invited by EY to join the EY Startup Academy (https://startup.ey.com/en/academy/program). We completed it successfully and finally won the Public Voting Award at the end of the accelerator program.</t>
  </si>
  <si>
    <t>Bad Reichenhall, Bavaria Germany</t>
  </si>
  <si>
    <t>evAI Intelligence GmbH</t>
  </si>
  <si>
    <t>Exovolar Industries Corp. _2022</t>
  </si>
  <si>
    <t>Guanhao (Hao) Wu</t>
  </si>
  <si>
    <t>gwu@exovolar.com</t>
  </si>
  <si>
    <t>For service providers who need access to aerial worksites, we build air mobility systems that are lightweight, modular, and agile as compared to cranes and helicopters, so they can more efficiently perform tasks like cargo transportation, inspection and maintenance, and crew transfer.</t>
  </si>
  <si>
    <t>Invite next year as too early. they need to build the MVP and work out the issues</t>
  </si>
  <si>
    <t>Techstars Backed Promising Technology space. Very Early adopters. I am skeptical about: Regulatory compliance, Product Development, Business Partnerships Model</t>
  </si>
  <si>
    <t>Techstars Anywhere Summer 2022 M Accelerator Spring 2021</t>
  </si>
  <si>
    <t>Union City, NJ United States</t>
  </si>
  <si>
    <t>Exovolar Industries Corp.</t>
  </si>
  <si>
    <t>GameAir _2022</t>
  </si>
  <si>
    <t>Saar Fondibrider</t>
  </si>
  <si>
    <t>saarfondi@gmail.com</t>
  </si>
  <si>
    <t>GameAir is a marketplace and teaching platform that enables gamers to improve their skills by connecting them with top-tier gaming coaches. The platform provides gamers with a coach that matches their exact needs. As well, provides coaches with a new opportunity to earn money, exposing them to a large audience through the marketplace.</t>
  </si>
  <si>
    <t>No real tech Not a fit for EFL</t>
  </si>
  <si>
    <t>+Passionate team -Might be too early for EFL</t>
  </si>
  <si>
    <t>GameAir</t>
  </si>
  <si>
    <t>Genomines _2022</t>
  </si>
  <si>
    <t>Fabien Koutchekian</t>
  </si>
  <si>
    <t>fabien.koutchekian@genomines.com</t>
  </si>
  <si>
    <t>GenoMines is genetically enhancing metal hyperaccumulating plants to mine soils at lower metal concentrations than the ones mining groups can address profitably. We then harvest the biomass and recover metal thanks to a combination of mechanical and bio processes to serve the battery metals market.</t>
  </si>
  <si>
    <t>develop plants that have the ability to absorb metals in soils plant trees then cut them down need to show this can work at scale and cost is kept down take a lot of capital</t>
  </si>
  <si>
    <t>+ Enhance hyperaccumulator plants that have the ability to extract metals at low concentrations then harvest the biomass and transform it into metal +Develop plants that have the ability to absorb metals in soils +Recover the metal from the biomass.</t>
  </si>
  <si>
    <t>We have been involved with Entrepreneur First. We are also affiliated with the INRA and with the mutagenesis platforms Spoomics and Epitrans. Additionally we have been involved with HEC incubator, Centrale Supelec incubator (top 3 schools in France) and Creative Destruction Lab. We finished these programs and are looking for something new.</t>
  </si>
  <si>
    <t>Le Perreux sur Marne, IDF France</t>
  </si>
  <si>
    <t>Genomines</t>
  </si>
  <si>
    <t>GlucoActive _2022</t>
  </si>
  <si>
    <t>Robert Stachurski</t>
  </si>
  <si>
    <t>robert.stachurski@gluco-active.com</t>
  </si>
  <si>
    <t>GlucoActive is a seed-stage MedTech startup developing the technology of non-invasive glucose measurement based on innovative and patent-pending spectroscopy. Our first product is GlucoStation - a table-top non-invasive glucometer for home use.</t>
  </si>
  <si>
    <t>a table-top non-invasive glucometer for home use. business model is to licensing and they would focus on manufacturing and R&amp;D</t>
  </si>
  <si>
    <t>+developing the technology of non-invasive glucose measurement based on spectroscopy +creation of the world's first medical spectrophotometer +affordable price range +Raised good amount of funds -need more customers</t>
  </si>
  <si>
    <t>We were in: HeroHouse Glendale, MIT EF, Impact poland, Biomed academy</t>
  </si>
  <si>
    <t>Wroclaw, Dolnyslask Poland</t>
  </si>
  <si>
    <t>GlucoActive</t>
  </si>
  <si>
    <t>GridWorkX _2022</t>
  </si>
  <si>
    <t>Sreekant Sreedharan</t>
  </si>
  <si>
    <t>sreekant.sreedharan@yahoo.com</t>
  </si>
  <si>
    <t>We are developing the operating system to power the future of cybernetic underground mining.</t>
  </si>
  <si>
    <t>wall-mounted (routers) and wearable devices (carried by miners) communicate with each other moat?</t>
  </si>
  <si>
    <t>Not a good fit for this year</t>
  </si>
  <si>
    <t>Early this year, we won the Mining Grand Challenge, initiated by TexMin the incubator operating within IIT-ISM (Indian School of Mines, Dhanbad). The background research behind MineNet and our products are an outcome of collaborative research with academicians at IIT-ISM.</t>
  </si>
  <si>
    <t>120, K. V. Ramasamy street, Gandhinagar, Udumalpet, Tiruppur - 642154, Tamilnadu India</t>
  </si>
  <si>
    <t>GridWorkX</t>
  </si>
  <si>
    <t>Haylon Technologies _2022</t>
  </si>
  <si>
    <t>Namin Shah</t>
  </si>
  <si>
    <t>naminshah@haylontech.com</t>
  </si>
  <si>
    <t>Haylon Technologies provides a platform for dual-chemistry battery packs to optimize battery performance and double battery lifespan for the electric aerospace industry, providing new business opportunities and significant cost savings on hardware.</t>
  </si>
  <si>
    <t>hardware and software is designed to maximize the performance of each cell and guarantee pack operations building an MVP need funding show it can scale want to go into the rechargeable battery space</t>
  </si>
  <si>
    <t>+Passionate credible team +Large potential market +Building MVP +They have participated in other startup accelerators -They might be a little early for EFL</t>
  </si>
  <si>
    <t>We participated in the University of Chicago's CNVC startup competition, where we finished second, and the University of Illinois' COZAD startup competition, where we finished first. We are currently participating in the University of Illinois' iVenture startup accelerator, the Newchip accelerator, and the Techstars Chicago summer cohort.</t>
  </si>
  <si>
    <t>Roshni Lulla, our CTO's sister, was an early employee of an EFL startup, Spark Neuro</t>
  </si>
  <si>
    <t>Champaign, IL United States</t>
  </si>
  <si>
    <t>Haylon Technologies</t>
  </si>
  <si>
    <t>HeartHealth Technologies _2022</t>
  </si>
  <si>
    <t>Ravi Chivukula</t>
  </si>
  <si>
    <t>ravi.chivukula@hearthealthtech.com</t>
  </si>
  <si>
    <t>Hearthealth Technologies is transforming Cardiac care with its AI-driven Cardiovascular Clinical Decision support solution. ONEcardio assists cardiac imagers make faster, accurate screening, diagnosis, prognosis and risk stratification. Clinicians can then use this information to determine treatment and to improve patient outcomes.</t>
  </si>
  <si>
    <t>cardiac imaging Analyses platform with multimodality support and implementation relevant Imaging biomarkers &amp; Quantitative Imaging techniques needs data to prove tech works in helping doctors make diagnosis too early</t>
  </si>
  <si>
    <t>+Credible well developed team -Potential market not very large -Tech not very novel -Might be too early</t>
  </si>
  <si>
    <t>ExpertDojo, Santa Monica, CA</t>
  </si>
  <si>
    <t>HeartHealth Technologies</t>
  </si>
  <si>
    <t>Heartland _2022</t>
  </si>
  <si>
    <t>Jesse Henry</t>
  </si>
  <si>
    <t>jesse.henry@heartland.io</t>
  </si>
  <si>
    <t>Heartland is a material innovation company that engineers industrial hemp fibers as additives for plastics. Our carbon-negative materials help manufacturers produce stronger, lighter, cheaper, and more sustainable products. Heartland's team is engineering hemp additives to solve carbon footprint problems for the earth's largest manufacturers.</t>
  </si>
  <si>
    <t>Still early and need to get more products produced. Ealrier than Corumat was when they applied. The team doesn't have experts but has some advisors that are good</t>
  </si>
  <si>
    <t>+Manufacture hemp base additive for plastic production as an alternative that reduces carbon footprint and cost ~They are currently testing their formulation and sending samples to customers -Leadership do not seem to be technical experts in their field -Might be at to early a stage for EFL</t>
  </si>
  <si>
    <t>Yes. In 2020, we joined 'Spark Ann Arbor'. This gave us access to small amounts of non-dilutive funding as a local business in Ann Arbor Michigan. We also joined Plug and Play's 'New Materials and Packaging' accelerator program. This gave us access to great mentors and corporate partners (SABIC, Covestro, Owens Corning, Cargill, Sherwin Williams, Toyota, Volkswagen, Pepsi, Mars, Avery Dennison, and more). Neither of these programs took any equity, warrants, or options from Heartland.</t>
  </si>
  <si>
    <t>Only doing single-piece of cycle</t>
  </si>
  <si>
    <t>330 East Liberty, Ann Arbor, MI United States</t>
  </si>
  <si>
    <t>Heartland</t>
  </si>
  <si>
    <t>Helical Fusion Co., Ltd. _2022</t>
  </si>
  <si>
    <t>Takaya Taguchi</t>
  </si>
  <si>
    <t>takaya.taguchi@helicalfusion.com</t>
  </si>
  <si>
    <t>Helical Fusion Co., Ltd. is Japan's first startup aiming for the early realization of fusion energy using magnetic confinement of high-temperature plasmas. Realization of a fusion reactor, which humankind has challenged for more than 60 years, has finally come to the final stage. Various fusion methods have been developed in the world for maki</t>
  </si>
  <si>
    <t>Invite Next Year. Great idea but too early especially for how technical this product is.</t>
  </si>
  <si>
    <t>The idea is good, Too early to come to EFL</t>
  </si>
  <si>
    <t>$3-4mil.</t>
  </si>
  <si>
    <t>Shin-Yurakucho building 10F, 1-12-1 Yurakucho, Chiyoda-ku, Tokyo Japan</t>
  </si>
  <si>
    <t>Helical Fusion Co., Ltd.</t>
  </si>
  <si>
    <t>Hello Space Co. _2022</t>
  </si>
  <si>
    <t>Takatoshi Iwashita</t>
  </si>
  <si>
    <t>iwashita@hello-space.co</t>
  </si>
  <si>
    <t>Hello Space presents cost effective new energy technologies and self-sustaining mobilities to improve cost performance of clean energy and energy efficiency of EVs for promoting carbon neutralization, by providing superconductive EV platform and Smart E-bike featuring our patented new power method "MagDrive" does not require external charging.</t>
  </si>
  <si>
    <t>Early and not novel at scale</t>
  </si>
  <si>
    <t>Team not strong, very few full time engineers. But, promising coporate partnerships efforts with hero bikes in india, and other manufacturing plans with Toyota Tsusho, Hero, NOA labs etc. However these are tentative names.</t>
  </si>
  <si>
    <t>J-Startup (JETRO) Kumamoto Prefecture Next Venture Generation Support Consortium Plug and Play Japan HAX Tokyo</t>
  </si>
  <si>
    <t>1-12-27 CORE21 BLDG. Shimotori, Chuo-ku, Kumamoto City, Kumamoto Japan</t>
  </si>
  <si>
    <t>Hello Space Co.</t>
  </si>
  <si>
    <t>Holloid _2022</t>
  </si>
  <si>
    <t>Marcus Lebesmühlbacher</t>
  </si>
  <si>
    <t>marcus.lebesmuehlbacher@holloid.com</t>
  </si>
  <si>
    <t>We offer big data on small things. Holloid?s 24/7, real-time, image-based in-line monitoring based on holographic microscopy helps producers of food, pharma and energy reduce costs, improve quality and raise safety, like no other technology can.</t>
  </si>
  <si>
    <t>real-time multi-dimensional data technology intended to help producers of food, pharma, and energy to reduce costs, improve quality, and raise safety. get customers and scale need to show data can be pulled from the images</t>
  </si>
  <si>
    <t>Early Stage in their tech validations, an internet or monitoring SaaS for getting analysis of bioreactions happening. Needs strong tech people, software engineers</t>
  </si>
  <si>
    <t>Completed: INiTS (Vienna, Austria) Munich Global Impact Sprint (Germany) EIT Food Seedbed (EU) TU Munich Venture Labs (Germany) Xpreneurs (Munich, Germany) EIT Manufacturing (EU) Ongoing: StartLife (Wageningen, The Netherlands) EIT Food Accelerator Network (EU)</t>
  </si>
  <si>
    <t>Muthgasse 11/2/1, 1190 Vienna Austria</t>
  </si>
  <si>
    <t>Holloid</t>
  </si>
  <si>
    <t>Hudson Space Systems _2022</t>
  </si>
  <si>
    <t>Nathan Tahbaz</t>
  </si>
  <si>
    <t>nathan@hudsonspace.systems</t>
  </si>
  <si>
    <t>Hudson Space Systems builds and integrates a stack of aerospace technologies to provide an end-to-end space access service that eliminates existing cost/supply/complexity barriers for academic and corporate STEM customers. The end result is simplified access to microgravity for advanced research/development/manufacturing.</t>
  </si>
  <si>
    <t>DiT startup Could be difficult to raise funds Need to prove the tech can scale in the real world</t>
  </si>
  <si>
    <t>+Good Idea. -Needs Tech validation. -A capital intenstive business. -Good Fit for next time.</t>
  </si>
  <si>
    <t>Our company was "incubated" at Stevens Institute of Technology during the co-founder's senior year.</t>
  </si>
  <si>
    <t>Jersey City, New Jersey United States</t>
  </si>
  <si>
    <t>Hudson Space Systems</t>
  </si>
  <si>
    <t>Joseph Sokol</t>
  </si>
  <si>
    <t>joseph@icardio.ai</t>
  </si>
  <si>
    <t>iCardio.ai builds deep learning algorithms for ultrasound interpretation. Our main product, the iCardio.ai Brain can ingest an entire tranthoracic echo (ultrasound of the heart) and produce a full report, that mimics the thinking of a cardiologist.</t>
  </si>
  <si>
    <t>DiT or LS company. Need some more validation to prove the data works</t>
  </si>
  <si>
    <t>Great Venture, I would suggest to Lifescience Team, to validate the tech, However, I bit concerned about the team and Tech Protection. So would like have this application qualify next season</t>
  </si>
  <si>
    <t>Khoa will revisit</t>
  </si>
  <si>
    <t>Los Angeles, CA United States</t>
  </si>
  <si>
    <t>iCardio.ai</t>
  </si>
  <si>
    <t>IM SYSTEM Co. Ltd. _2022</t>
  </si>
  <si>
    <t>Jin-yung Kim</t>
  </si>
  <si>
    <t>jykim@imsystem.kr</t>
  </si>
  <si>
    <t>IM SYSTEM Co., Ltd. develops an innovative micro-robotic medical system for magnetically assisted-interventional procedures and targeted therapy to overcome the low efficiency and safety of the current treatment, providing active and precise manipulation of medical devices with a remote control system from outside of a radiation room.</t>
  </si>
  <si>
    <t>In their deck they say they have partnerships with Stereotaxis (their main US competitor), Siemens, Philips, GE - no details Would like to see the actual data</t>
  </si>
  <si>
    <t>5M USD</t>
  </si>
  <si>
    <t>Global Start-up Demo program organized by Korea Innovation Foundation and Nautilus Venture Korea.</t>
  </si>
  <si>
    <t>change to DT; magnetically navigated intravascular device; testing in vascular mimics and pigs;</t>
  </si>
  <si>
    <t>Daegu, Daegu Korea, Republic of</t>
  </si>
  <si>
    <t>IM SYSTEM Co. Ltd.</t>
  </si>
  <si>
    <t>Indrio Technologies Inc _2022</t>
  </si>
  <si>
    <t>Ritobrata Sur</t>
  </si>
  <si>
    <t>rsur@indriotech.com</t>
  </si>
  <si>
    <t>Indrio Technologies builds patented laser-based chemical sensors to increase efficiency while reducing downtimes, operating costs, and environmental impacts across various sectors including automotive and manufacturing.</t>
  </si>
  <si>
    <t>Laser Sensors for chemical and gas detections</t>
  </si>
  <si>
    <t>+Funding from DOE of $200K +SBIR Phase 1 +Affliations NSF-I corps, Plug, and Play - Supply chain failures Worth to call for interview, considering their revenue, their founder's research background</t>
  </si>
  <si>
    <t>Yes. StartX, Plug and Play (Silicon Valley and Japan), Creative Destruction Labs, NSF I-Corps.</t>
  </si>
  <si>
    <t>San Jose, CA United States</t>
  </si>
  <si>
    <t>Indrio Technologies Inc</t>
  </si>
  <si>
    <t>Insu Health Design, Inc _2022</t>
  </si>
  <si>
    <t>Mason Lucich</t>
  </si>
  <si>
    <t>mlucich@insuhealthdesign.com</t>
  </si>
  <si>
    <t>Insu Health Design creates smart portable cooling technology to solve cold chain transportation and storage issues for people that rely on temperature-sensitive medications and components (such as insulin, hormones, vaccines, etc) in order to prevent spoilage, and avoid subsequent health issues or additional spending on replacement.</t>
  </si>
  <si>
    <t>smart portable cooling technology to solve cold chain transportation and storage issues running out of runway needs a customer pipeline product already int he market what make shtis unique</t>
  </si>
  <si>
    <t>-Tech does not appear novel -Market not very large -Might be too early for EFL</t>
  </si>
  <si>
    <t>We have received support from entrepreneurial development organizations and programs such as VentureWell, MassChallenge, Parallel18, Westchester County Biosciences Accelerator, Bravo Family Foundation, Roddenberry Foundation, the American Heart Association, The Puerto Rico Science and Technology Research Trust, and Grupo Guayacán.</t>
  </si>
  <si>
    <t>San Juan, Puerto Rico United States</t>
  </si>
  <si>
    <t>Insu Health Design, Inc</t>
  </si>
  <si>
    <t>Intelline _2022</t>
  </si>
  <si>
    <t>Kyle Faller</t>
  </si>
  <si>
    <t>kylefaller@intelline.ca</t>
  </si>
  <si>
    <t>Intelline makes industrial power generators that use up to 40% less fuel and runs on any liquid or gaseous fuel type. Customers can reduce fuel expenses and GHG emissions in the short term, and can switch to zero-carbon hydrogen power or biofuels at any time without changing the hardware.</t>
  </si>
  <si>
    <t>makes industrial power generators that use up to 40% less fuel concept stage too early</t>
  </si>
  <si>
    <t>(+)Technology seems novel (+)They were in Y combinator (+)The team seems credible (+)$28M in LOIs for future production model (+) $74k in pilot unit contingent contracts to be paid upon demonstration of our prototype unit (-)They do not have a lot of industry experience</t>
  </si>
  <si>
    <t>Seed|Other: Seed Extension</t>
  </si>
  <si>
    <t>Velocity Incubator Alum|Y Combinator W19 Alum</t>
  </si>
  <si>
    <t>Waterloo Ontario, Canada</t>
  </si>
  <si>
    <t>Intelline</t>
  </si>
  <si>
    <t>IOTE2E INC _2022</t>
  </si>
  <si>
    <t>KEY LEE</t>
  </si>
  <si>
    <t>key.lee@iote2e.com</t>
  </si>
  <si>
    <t>IOTE2E built the next generation of IoT communication, Very-Long-Range and Non-Line-of-Sight IoT Data Links for Smart City, Smart Energy, Smart Factory to overcome Hard-to-reach communication shadow area and improve operational reliability and cost dramatically for utility and energy companies, factory and city, municipality, state governments.</t>
  </si>
  <si>
    <t>Need to look at other markets to get customers and data</t>
  </si>
  <si>
    <t>Their business model relies on Industry and Government Partnerships.</t>
  </si>
  <si>
    <t>This year IOTE2E is selected and now under the scale-up program of EnergyLab, which is sponsored by Australian Utility and governments. We are about to complete the 2nd module out to total 3 modules in the program.</t>
  </si>
  <si>
    <t>Davis, CA United States</t>
  </si>
  <si>
    <t>IOTE2E INC</t>
  </si>
  <si>
    <t>iVoice Africa Media _2022</t>
  </si>
  <si>
    <t>Oluwatobi Oladipo</t>
  </si>
  <si>
    <t>info@ivoiceafrica.com</t>
  </si>
  <si>
    <t>iVoiceAfrica is an African language localization and content company, using language data to create solutions to reinvent how we share knowledge, tell stories, connect cultures, and communicate across Africa. Our goal is to help companies to speak to emerging markets and connect individuals to their African heritage.</t>
  </si>
  <si>
    <t>DiT startup AI localization and content database Needs a business model Needs calling and customer pipeline</t>
  </si>
  <si>
    <t>We are accepted into the Microsoft for startups initiative, where we are given credits for Office 365, Azure credits and self learning tutorials to build our MVP.</t>
  </si>
  <si>
    <t>Ikorodu, Lagos Nigeria</t>
  </si>
  <si>
    <t>iVoice Africa Media</t>
  </si>
  <si>
    <t>Key2enable Assistive Technology _2022</t>
  </si>
  <si>
    <t>Jose Rubinger Filho</t>
  </si>
  <si>
    <t>rubinger@key2enable.com</t>
  </si>
  <si>
    <t>Key2enable is the FIRST and ONLY assistive EdTech startup that makes an A-Z holistic solution for children with disabilities. We have a set of simple plug and play hardware and a completely customizable educational platform that eliminate limitations of physical, motor skills and intellectual disabilities.</t>
  </si>
  <si>
    <t>EdTech solution for children with disabilities. Simple plug-and-play hardware Good mission but could be hard to raise funds Need to develop the tech more</t>
  </si>
  <si>
    <t>Should apply next year.</t>
  </si>
  <si>
    <t>1. Hub71, Abu Dhabi 2. MindCET, Tel Aviv 3. LEGO Play for all, Billund</t>
  </si>
  <si>
    <t>St Louis, Missouri United States</t>
  </si>
  <si>
    <t>Key2enable Assistive Technology</t>
  </si>
  <si>
    <t>KnoNap _2022</t>
  </si>
  <si>
    <t>Danya Sherman</t>
  </si>
  <si>
    <t>drs@knonap.com</t>
  </si>
  <si>
    <t>KnoNap's mission is to empower, educate, and advocate against drug facilitated sexual assault and crime. We empower through Knope, our discreet, portable, gender-inclusive detection device for rape drugs disguised in the aesthetic of a stick of gum. We educate and empower through our peer-reviewed What Now Campaign. Say Knope to drink spiking.</t>
  </si>
  <si>
    <t>Could work in Deep Tech, but likely not science-based enough for our program.</t>
  </si>
  <si>
    <t>It is probably not an LS track, Deep tech maybe?</t>
  </si>
  <si>
    <t>Yes. We participated in Target Accelerator's Program, CVS &amp; 76Fwd's Accelerator, Halcyon House Incubator, Global Good Fund's Fellowship Program, and Georgetown University's Accelerator.</t>
  </si>
  <si>
    <t>DT; tech less advanced/exciting; social impact focus</t>
  </si>
  <si>
    <t>Arlington, VA United States</t>
  </si>
  <si>
    <t>KnoNap</t>
  </si>
  <si>
    <t>Kumulus _2022</t>
  </si>
  <si>
    <t>Iheb Triki</t>
  </si>
  <si>
    <t>itriki@kumuluswater.com</t>
  </si>
  <si>
    <t>Kumulus mission is to solve the problem of drinking water scarcity in the Middle East and Africa by providing drinking water in an economical and sustainable way thanks to innovative atmospheric water generator.</t>
  </si>
  <si>
    <t>turns mineralized filtered water into clean drinking water quality of the water is an issue scaling is an issue</t>
  </si>
  <si>
    <t>+Tries to solve the issue of getting drinking water.</t>
  </si>
  <si>
    <t>Yes : Station F , Agoranov, Flat6Labs, TechStars</t>
  </si>
  <si>
    <t>5 avenue Charles de Gaulle, Saint Mandé 94160 France</t>
  </si>
  <si>
    <t>Kumulus</t>
  </si>
  <si>
    <t>KYTE DYNAMICS, INC. d/b/a KYTE _2022</t>
  </si>
  <si>
    <t>Han C. Choi</t>
  </si>
  <si>
    <t>han@kyte.aero</t>
  </si>
  <si>
    <t>KYTE is a drone delivery company with a patented, industry-leading solution that enables safe deliveries even in strong winds. KYTE will deliver to customers suffering from an emergency medical situation (e.g., defibrillators, epipens, etc.) within 2 minutes while traditional ambulances can take anywhere from 8-30 minutes.</t>
  </si>
  <si>
    <t>drone delivery tech. enables precise deliveries even in strong winds and can deliver into small landing areas still need to see what the system looks likes a bit early consider next year</t>
  </si>
  <si>
    <t>+ Drone delivery company that enables safe deliveries even in strong winds + preseed round to start in q4 for 2M - No customers yet ? Product demo if the product is ready? &gt; Can consider next year with product demo and customers along with FAA approval is done</t>
  </si>
  <si>
    <t>StartX (https://startx.com/about) Wharton VIP-SF (https://venturelab.upenn.edu/vip-san-francisco)</t>
  </si>
  <si>
    <t>382 N. Lemon Avenue, #1033, Walnut United States</t>
  </si>
  <si>
    <t>KYTE DYNAMICS, INC. d/b/a KYTE</t>
  </si>
  <si>
    <t>Linshom Medical, Inc. _2022</t>
  </si>
  <si>
    <t>Richard Hughen</t>
  </si>
  <si>
    <t>RHughen@LinshomForLife.com</t>
  </si>
  <si>
    <t>Linshom (?to breathe?) is first to deliver continuous predictive respiratory monitoring to the patient bedside and home. We eliminate the morbidity, mortality and cost due to unrecognized respiratory compromise in healthcare with the first PREDICTIVE respiratory device vs. the current RESPONSIVE systems used today.</t>
  </si>
  <si>
    <t>Not LS</t>
  </si>
  <si>
    <t>We had $100K of seed funding from TEDCO, a Maryland State Business development agency. This was a convertible note that is now converted to Series A preferred stock. We recently won the ATI, TechConnect competition which included a $10K prize (grant).</t>
  </si>
  <si>
    <t>Joe Pramberger, President SAE Media Group contaced us after we won the ATI TechConnect competition.</t>
  </si>
  <si>
    <t>Potential DT; supply chain issues during pandemic; tech not exciting but could be compelling if need a company in the tech monitoring space</t>
  </si>
  <si>
    <t>1997 Annapolis Exchange, Suite 300, MD United States</t>
  </si>
  <si>
    <t>Linshom Medical, Inc.</t>
  </si>
  <si>
    <t>Loop _2022</t>
  </si>
  <si>
    <t>Nick Casey</t>
  </si>
  <si>
    <t>nick_casey@icloud.com</t>
  </si>
  <si>
    <t>By integrating your friends and interests, Loop routes the task in your schedule on a map then better connects you to the things and people you care most about.</t>
  </si>
  <si>
    <t>An intelligent, location and routine-based scheduling and an appointment calendar Too early- Not novel</t>
  </si>
  <si>
    <t>Referred by Deepak Hegde</t>
  </si>
  <si>
    <t>Denver, Colorado United States</t>
  </si>
  <si>
    <t>Loop</t>
  </si>
  <si>
    <t>Glen Lux</t>
  </si>
  <si>
    <t>glen@luxwindpower.com</t>
  </si>
  <si>
    <t>Lux Wind Power does research and development of novel Vertical Axis Wind Turbines. The operating turbines have proven to be beneficial for wind farms in most locations, especially in wide open prairie landscapes.</t>
  </si>
  <si>
    <t>new wind turbine design high capacity does not require a tower needs to get the design to scale and tested</t>
  </si>
  <si>
    <t>+wind turbine that has a low centre of mass +does not have to be turned into the wind, +Can be transported in small containers, does not need large cranes for installation, +Has a higher power density than current wind farms - Till date worked on pilot product not a full scale product</t>
  </si>
  <si>
    <t>applied last year; new design</t>
  </si>
  <si>
    <t>Saskatoon, Saskatchewan Canada</t>
  </si>
  <si>
    <t>Lux Wind Power Ltd.</t>
  </si>
  <si>
    <t>Lychee Things Inc. _2022</t>
  </si>
  <si>
    <t>Shruti Ladani</t>
  </si>
  <si>
    <t>shruti@lycheethings.com</t>
  </si>
  <si>
    <t>Lychee Things invented hardware and software technology to get rid of inconvenience of opening and closing the doors &amp; windows manually for building occupants, providing secured, sensor integrated, automatic control with luxury to conserve energy by utilizing weather &amp; improve indoor air quality by increasing ventilation.</t>
  </si>
  <si>
    <t>hardware and software technology to get rid of inconvenience of opening and closing the doors &amp; windows manually not a novel tech</t>
  </si>
  <si>
    <t>+Large potential market +Credible team +The have revenue $6,600/month -Not compatible with all windows</t>
  </si>
  <si>
    <t>37816 Spring Tide Rd, CA United States</t>
  </si>
  <si>
    <t>Lychee Things Inc.</t>
  </si>
  <si>
    <t>Magic Valley _2022</t>
  </si>
  <si>
    <t>Paul Bevan</t>
  </si>
  <si>
    <t>paul@magicvalley.com.au</t>
  </si>
  <si>
    <t>Magic Valley is an innovative Australian food company developing cultivated meat products in order to meet the future protein demands of the expanding global population.</t>
  </si>
  <si>
    <t>iPSC meat products Too early and needs a lot of capital to get to MVP Invite next year to see how much they have grown</t>
  </si>
  <si>
    <t>+ 1. tech is advanced and solves real problems 2. team seems to have the talents to make it work - 1. little validation is given at this early stage, inquire more on this.</t>
  </si>
  <si>
    <t>BRINC</t>
  </si>
  <si>
    <t>Melbourne, Victoria Australia</t>
  </si>
  <si>
    <t>Magic Valley</t>
  </si>
  <si>
    <t>Make It Black _2022</t>
  </si>
  <si>
    <t>Amanda Grogan</t>
  </si>
  <si>
    <t>amanda@makeitblack.com</t>
  </si>
  <si>
    <t>Make It Black is developing the world's first close-loop garment overdye technology- blackout color technology: advanced sustainable remanufacturing?that transforms pre- and post consumer garment waste into black clothing that is Indistinguishable from new virgin black in both aesthetics and performance.</t>
  </si>
  <si>
    <t>no tech creation of dye processes that not only reduces wastewater and dye materials released into the environment not a fit for EFL</t>
  </si>
  <si>
    <t>Not a good fit in terms of Deep Tech</t>
  </si>
  <si>
    <t>We are currently a 2022 Founders Fellow at NewLab in Brooklyn.</t>
  </si>
  <si>
    <t>Brendan Reilly and Fernando Gomez-Baquero</t>
  </si>
  <si>
    <t>NEWLAB Building #128 19 Morris Avenue Brooklyn, New York 11205, New York United States</t>
  </si>
  <si>
    <t>Make It Black</t>
  </si>
  <si>
    <t>Marine Kinetic Energy Inc. _2022</t>
  </si>
  <si>
    <t>Earnest Smith</t>
  </si>
  <si>
    <t>esmith@marinekineticenergy.com</t>
  </si>
  <si>
    <t>Marine Kinetic Energy uses pressurized air/water, to move water into a sphere enclosure. Pressure propels a turbine generator. Traditional Power Plants use coal, natural gas, &amp; nuclear fuel to generate power. Cost is significant! Target companies Con Edison, SDG&amp;E, and PG&amp;E. Benefits, zero emissions, no intermittency, and lower cost to market.</t>
  </si>
  <si>
    <t>pressurized air/water, to move water into a sphere enclosure to generate energy early, needs a team, needs a prototype</t>
  </si>
  <si>
    <t>+ Marine Kinetic Energy power generation and energy storage &gt;&gt; Uses pressurized air/water, to move water into a sphere enclosure which propels a Turbine Generator - Concept phase &gt;&gt; Needs to prove the concept and develop a prototype &gt;&gt; Tech is good but early for EFL &gt;&gt; Invite Next year</t>
  </si>
  <si>
    <t>No!</t>
  </si>
  <si>
    <t>San Marcos, CA United States</t>
  </si>
  <si>
    <t>Marine Kinetic Energy Inc.</t>
  </si>
  <si>
    <t>Meili Technologies _2022</t>
  </si>
  <si>
    <t>Samantha Lee</t>
  </si>
  <si>
    <t>sam@meilitechnologies.com</t>
  </si>
  <si>
    <t>Meili provides a deep learning medical emergency detection system for vehicles to proactively stop crashes and save lives. Utilizing existing in-vehicle hardware, Meili is a software only solution that determines when a medical emergency has occurred, alerts the vehicle to take action to avoid a crash, and communicates with EMS to aid the driver.</t>
  </si>
  <si>
    <t>DiT company. They need to build a moat around their technology and competitors can come in quickly to catch up. Need real data sets for proof of product</t>
  </si>
  <si>
    <t>+ 1. advanced and novel tech 2. targets a real problem, with natural extensions 3. good team - 1. early stage with not so much to show for</t>
  </si>
  <si>
    <t>Yes, Cornell Tech Spinouts program, Plug and Play Detroit, Newlab</t>
  </si>
  <si>
    <t>Change to DiT; currently using public data need more real world data</t>
  </si>
  <si>
    <t>Meili Technologies</t>
  </si>
  <si>
    <t>Methic Engineering Ltd _2022</t>
  </si>
  <si>
    <t>Gbenga David</t>
  </si>
  <si>
    <t>info@methicengineering.com</t>
  </si>
  <si>
    <t>METHIC ENGINEERING LTD (MEL) is a full Power Support Solution and Engineering service company with an excellent expertise and comprehensive range of services to support clients in maintaining and installation of Power Plants (Generators) to Inverters, UPS, AVR, batteries, LED Lightings, Renewable energy (Solar) and HVAC Systems.</t>
  </si>
  <si>
    <t>Too early</t>
  </si>
  <si>
    <t>+ 1. Business is already up and running 2. Team has hands-on experience in the field. 3. Potential market is sizable and founder is deeply motivated to expand the company's influence. - 1. Novel technology is not mentioned or used heavily. 2. No information is given on how/why Methic Engineering can stay ahead its competitors.</t>
  </si>
  <si>
    <t>Non</t>
  </si>
  <si>
    <t>Plot 860, 17th Road 6th Avenue FESTAC Town Lagos, Nigeria , Lagos Nigeria</t>
  </si>
  <si>
    <t>Methic Engineering Ltd</t>
  </si>
  <si>
    <t>MiFood Tech _2022</t>
  </si>
  <si>
    <t>Mi Yan</t>
  </si>
  <si>
    <t>ym424@cornell.edu</t>
  </si>
  <si>
    <t>MiFood Tech provides automatic kitchen solutions for restaurants to replace human labor on the most repetitive and least desirable tasks in the restaurant to solve the labor shortage problems and increase restaurants? profit.</t>
  </si>
  <si>
    <t>automatic machines for restaurant kitchens early need time to build a prototype need to build MVP get pilots and customers</t>
  </si>
  <si>
    <t>They need a strong business model and product development initiatives.</t>
  </si>
  <si>
    <t>We were participating in Ithaca Rev Prototype Hardware Accelerator this summer to develop our automatic chopping machine prototype.</t>
  </si>
  <si>
    <t>Stevens Point, WI United States</t>
  </si>
  <si>
    <t>MiFood Tech</t>
  </si>
  <si>
    <t>Millibeam _2022</t>
  </si>
  <si>
    <t>Venkata Gutta</t>
  </si>
  <si>
    <t>venkata.gutta@millibeam.com</t>
  </si>
  <si>
    <t>Millibeam is building the world's most energy-efficient chipsets for millimeter-wave 5G radio systems, which reduce cost of deployment and operating costs for telecommunication companies.</t>
  </si>
  <si>
    <t>Big market potential. Early in the stage, they want to be Needs to get to MVP or R&amp;D stage to prove the tech Supply chain issue and NEED FUNDING</t>
  </si>
  <si>
    <t>They have a good team, and fair funding, I am curious to learn about their business model. Good Fit for next year.</t>
  </si>
  <si>
    <t>NO.</t>
  </si>
  <si>
    <t>28 Walter Crocker Cres, Casey, ACT Australia</t>
  </si>
  <si>
    <t>Millibeam</t>
  </si>
  <si>
    <t>My One Medical Source, LLC _2022</t>
  </si>
  <si>
    <t>Brad Seybert</t>
  </si>
  <si>
    <t>brads@myonemedicalsource.com</t>
  </si>
  <si>
    <t>My One Medical Source (MOMS) is a platform as a service connecting laboratories, clinical research organizations, employers and other clients who need access to the skilled labor to perform specimen collections for testing, With a growing national network of both brick and mortar as well as mobile collection options.</t>
  </si>
  <si>
    <t>DiT a platform as a service connecting laboratories, clinical research organizations platforms do this already what's the moat?</t>
  </si>
  <si>
    <t>+Credible founder +Large potential market -Tech does not appear to be novel</t>
  </si>
  <si>
    <t>Westlake, OH United States</t>
  </si>
  <si>
    <t>My One Medical Source, LLC</t>
  </si>
  <si>
    <t>Nat4Bio _2022</t>
  </si>
  <si>
    <t>Joaquin Fisch</t>
  </si>
  <si>
    <t>jfisch@nat4bio.com</t>
  </si>
  <si>
    <t>Nat4Bio develops zero-residue and edible coatings to protect fruits and vegetables from spoilage and decay, providing packers a natural alternative that not only has the same level of effectiveness as chemicals, but that could also allow them to put a premium on the price of the produce.</t>
  </si>
  <si>
    <t>zero-residue and edible coatings to protect fruits and vegetables from spoilage and decay need to show it can scale and lower cost what is the moat?</t>
  </si>
  <si>
    <t>+Develops zero-residue and edible coatings to protect fruits and vegetables - No customers yet + use very low doses of antimicrobials</t>
  </si>
  <si>
    <t>We are alumni of the IndieBio New York hub (Class 04).</t>
  </si>
  <si>
    <t>San Miguel de Tucumán, Tucumán Argentina</t>
  </si>
  <si>
    <t>Nat4Bio</t>
  </si>
  <si>
    <t>Nettoyer Automotives PVT LTD _2022</t>
  </si>
  <si>
    <t>Ravindra Joshi Joshi</t>
  </si>
  <si>
    <t>nettoyerautomotives@gmail.com</t>
  </si>
  <si>
    <t>1. Although the core tech is not novel, their implementation is new and has been tested and validated.</t>
  </si>
  <si>
    <t>Pre-seed|Debt financing</t>
  </si>
  <si>
    <t>We are Pre-Incubated at SINE IIT Bombay and AIC Pinnacle.</t>
  </si>
  <si>
    <t>H-Block, Plot No. C-181 Chinchwad East Old Mumbai-Pune Highway Pune, Maharashtra., India</t>
  </si>
  <si>
    <t>Nettoyer Automotives PVT LTD</t>
  </si>
  <si>
    <t>Nomi Materials _2022</t>
  </si>
  <si>
    <t>Ilse Nava</t>
  </si>
  <si>
    <t>inava-medina@nomimaterials.com</t>
  </si>
  <si>
    <t>Nomi Materials produces a synthetic analog of snail mucus that is a cheap, pure and vegan alternative to the snail ingredient that formulation chemists already use or can use in skincare products. By adopting our material, formulation chemists can innovate with cruelty-free products with improved skin hydration and activity.</t>
  </si>
  <si>
    <t>Women founders A bit early and needs to prove the product and raise funds, no plans yet to raise</t>
  </si>
  <si>
    <t>+Has the potential to capture good market size as there are no competitors in the segment other than traditional operators - Have a small team and also they are working part-time which can take a long time to develop - In need of funding as of now they don't have any funds for the product</t>
  </si>
  <si>
    <t>currently part time founders, but very exiciting tech; changing animal to synthetic product; did not disclose funding. currently in process of negotiating with large beauty company. seems early over all, no deck or website to refer back to. unsure of what the stage of negotiating they're in. App had a lot of TBD answers</t>
  </si>
  <si>
    <t>Nomi Materials</t>
  </si>
  <si>
    <t>Nordetect _2022</t>
  </si>
  <si>
    <t>Keenan Pinto</t>
  </si>
  <si>
    <t>kpi@nordetect.com</t>
  </si>
  <si>
    <t>Nordetect develops rapid testing and farm management solutions to solve crop health problems for indoor agriculture growers and agronomists, allowing them to increase their yield and decrease crop losses.</t>
  </si>
  <si>
    <t>analyzer for multiple chemicals fluids used for agriculture need to scale sales team</t>
  </si>
  <si>
    <t>+Passionate and credible team +Received lots of funding and won startup competitions -Small Serviceable Obtainable Market</t>
  </si>
  <si>
    <t>Previous: HAX accelerator by SOSV Luminate Accelerator by NextCorps Rockstart AgriFood Program</t>
  </si>
  <si>
    <t>Copenhagen, Capital Region Denmark</t>
  </si>
  <si>
    <t>Nordetect</t>
  </si>
  <si>
    <t>Nourish _2022</t>
  </si>
  <si>
    <t>Marcus/Brian Chau/Zou</t>
  </si>
  <si>
    <t>marcuschau0@gmail.com</t>
  </si>
  <si>
    <t>We aim to apply bioinformatics and machine learning models to advance the field of medicine, generating optimized solutions for medication to a parameter of ailments provided by the patient, using the software as a service model to sell our digital service. We made our design entirely online to promote environmental awareness.</t>
  </si>
  <si>
    <t>Too Early. Send to Berkley as this could be NYU spin-out.</t>
  </si>
  <si>
    <t>Not Qualified</t>
  </si>
  <si>
    <t>New York City, NY United States</t>
  </si>
  <si>
    <t>Nourish</t>
  </si>
  <si>
    <t>NUADA _2022</t>
  </si>
  <si>
    <t>Filipe Quinaz</t>
  </si>
  <si>
    <t>f@nuada.pt</t>
  </si>
  <si>
    <t>We provide the world?s first intelligent hand function support glove to empower individuals with reduced hand strength, tremor or pain (due to age, injury, or illness) in their daily activities enabling users to support forces up to 40 kg when needed.</t>
  </si>
  <si>
    <t>smart glove that helps hand strengthen grip sell to direct customers? need to scale up business pipelines and sales</t>
  </si>
  <si>
    <t>+Large well developed team +Developed product +Already selling some gloves -Potential market not very large</t>
  </si>
  <si>
    <t>Other: Seed/Pre A</t>
  </si>
  <si>
    <t>614 000</t>
  </si>
  <si>
    <t>We were in the HAX accelerator program in Shenzhen in 2017-2018</t>
  </si>
  <si>
    <t>Braga, Braga Portugal</t>
  </si>
  <si>
    <t>NUADA</t>
  </si>
  <si>
    <t>nucleusRx _2022</t>
  </si>
  <si>
    <t>Projit Aon</t>
  </si>
  <si>
    <t>projit.aon@nucleusrx.com</t>
  </si>
  <si>
    <t>nucleusRx's Remote Care Platform ensures therapy compliance of Heart Failure(HF) patients at home via its proprietary Connected Pill Dispenser and its Patient Companion App, and empowers the healthcare provider (HCP) with actionable patient insight and real-time tools to improve HF patient outcome, mortality and prevent avoidable healthcare costs.</t>
  </si>
  <si>
    <t>Allows healthcare providers to dispense pills connected with health data not novel tech but could capture some market if MVP is tested and data shows it can scale</t>
  </si>
  <si>
    <t>+Pill dispenser that connects individual patients at home via nucleusRx's platform +E-prescription from the EHR - Not a high-tech solution or product as there is no novelty in the product</t>
  </si>
  <si>
    <t>We successfully completed NSF's iCorp Northeast Regional Hub program run by Princeton University in June, 2022.</t>
  </si>
  <si>
    <t>Anthony Curro</t>
  </si>
  <si>
    <t>Warren, NJ United States</t>
  </si>
  <si>
    <t>nucleusRx</t>
  </si>
  <si>
    <t>NXTSENS Microsystems Inc. _2022</t>
  </si>
  <si>
    <t>Charles Allan</t>
  </si>
  <si>
    <t>charles.allan@nxtsens.com</t>
  </si>
  <si>
    <t>NXTSENS Microsystems develops custom microelectromechanical (MEMS)-based solutions for sensing and timing applications. Currently, we are developing a trace gas-sensing tool for a multitude of industrial and medical applications. Previously, we have spun-out two successful MEMS-based technology companies (MY01 Inc., Stathera Inc.).</t>
  </si>
  <si>
    <t>developing a trace gas-sensing tool for a multitude of industrial and medical applications early- will not have a prototype in the next 6 months/ still in R&amp;D stage</t>
  </si>
  <si>
    <t>+ Apply next time, could be a good fit</t>
  </si>
  <si>
    <t>400 Boul de Maisonneuve Ouest, Suite 700, H3A 1L4, Quebec Canada</t>
  </si>
  <si>
    <t>NXTSENS Microsystems Inc.</t>
  </si>
  <si>
    <t>Olokun Minerals _2022</t>
  </si>
  <si>
    <t>Lacey Reddix</t>
  </si>
  <si>
    <t>lacey@olokunminerals.com</t>
  </si>
  <si>
    <t>Olokun Minerals filters out valuable metals and minerals from salty, mineral-rich wastewaters and sells the filtered compounds to supply chains that need them. Our process diverts harmful saline drainage water away from ocean life and marine ecosystems and provides sustainably-sourced minerals for concrete, agricultural fertilizers, and batteries.</t>
  </si>
  <si>
    <t>Need to scale and show there is a market for the product Limited to the number of desalination facilities</t>
  </si>
  <si>
    <t>-Lacks clear vision for scaling this venture.</t>
  </si>
  <si>
    <t>We were apart of NYSERDA's Venture For ClimateTech Cohort 1 and received our first grant through that program. We are currently in the Los Angeles CleanTech Incubator Cohort 3 and part of WSP's Emerge Program Cohort 2 finishing this last program next week.</t>
  </si>
  <si>
    <t>Olokun Minerals</t>
  </si>
  <si>
    <t>Omnifia _2022</t>
  </si>
  <si>
    <t>Ivor Colson</t>
  </si>
  <si>
    <t>ivor@omnifia.com</t>
  </si>
  <si>
    <t>Countless applications stand between teams and information. The result? Unprecedented fragmentation and a $52bn opportunity. Omnifia is an AI company that transforms workplace productivity through the connection of information, surfacing highly relevant insights and unlocking superpowers for its users.</t>
  </si>
  <si>
    <t>SaaS that connects information, surfacing highly relevant insights of other SaaS products What's the tech? The app is not great saturated maket</t>
  </si>
  <si>
    <t>+Intelligent Virtual Assistant - Not a big market as many people from small to big tech companies working on the same issue - early to EFL also I think it is not suited for DT - Need more customers, Maybe too early for EFL?</t>
  </si>
  <si>
    <t>London, London</t>
  </si>
  <si>
    <t>Omnifia</t>
  </si>
  <si>
    <t>OpenPie.com _2022</t>
  </si>
  <si>
    <t>Lei Feng</t>
  </si>
  <si>
    <t>ray.von@openpie.com</t>
  </si>
  <si>
    <t>OpenPie builds the world's leading cloud-native database and data computing platform to enable orgnizations and individuals to make new discoveries like Isaac Newton discovering the classical mechanics.</t>
  </si>
  <si>
    <t>DiT startup? Invite next year</t>
  </si>
  <si>
    <t>- The team doesn't have a long-term vision + At present Company is backed by Tencent group +</t>
  </si>
  <si>
    <t>3081 Hongmei Rd, Shanghai, Shanghai China</t>
  </si>
  <si>
    <t>OpenPie.com</t>
  </si>
  <si>
    <t>Orbify, Inc. _2022</t>
  </si>
  <si>
    <t>Jakub Dziwisz</t>
  </si>
  <si>
    <t>jd@orbify.com</t>
  </si>
  <si>
    <t>Orbify is a SaaS platform for building applications that transform satellite imagery and supplementary geospatial data into insights for better decisions. It enables our customers, like Earth Observation consultants, ClimateTech startups, and AgriTech scaleups, to significantly reduce time-to-market and product development costs.</t>
  </si>
  <si>
    <t>DiT SaaS platform for building applications that transform satellite imagery and supplementary data lots of player in this space needs a moat lean heave on customer acquisition</t>
  </si>
  <si>
    <t>+ 1. tech is valid and might address a real problem 2. already has clients with positive feedback - 1. need more justification that the demand is real -- they can scale up from current clients 2. need more justification to their technical edge</t>
  </si>
  <si>
    <t>change to DiT; satellite imaging company, cluster with others?</t>
  </si>
  <si>
    <t>Kraków, malopolska Poland</t>
  </si>
  <si>
    <t>Orbify, Inc.</t>
  </si>
  <si>
    <t>PACE Inc. _2022</t>
  </si>
  <si>
    <t>Woojoo Han</t>
  </si>
  <si>
    <t>space@p4ace.com</t>
  </si>
  <si>
    <t>PACE make simulation based digital twin to optimize the operation and monitoring the dangers for manufacturing facilities, providing the cost reduction and avoiding the dangers.</t>
  </si>
  <si>
    <t>Digital twin simulator Needs a differentiator to compete DiT startup</t>
  </si>
  <si>
    <t>Very early stage team(only 1 full-time employee), tech yet to be developed(Very few details available through the material that they have submitted), and very difficult for them to replace Ansys and Siemens.</t>
  </si>
  <si>
    <t>Pohang-si, Gyeongsangbuk-do Korea, Republic of</t>
  </si>
  <si>
    <t>PACE Inc.</t>
  </si>
  <si>
    <t>Palapa _2022</t>
  </si>
  <si>
    <t>Saad Saadi</t>
  </si>
  <si>
    <t>saad@palapa.ai</t>
  </si>
  <si>
    <t>Palapa is a computer vision marketplace where a person with no experience can go from ideation to monetization without writing a single line of code</t>
  </si>
  <si>
    <t>Applied last year and doesn't seem the company has grown DiT startup</t>
  </si>
  <si>
    <t>- 1. tech isn't novel, and models trained by this product would likely to behave poorly due to the limited size of training inputs 2. no clear business plan on how to monetize the app or trained models 3. two-person team with one full-time employed at Amazon and another looking for a full-time job elsewhere as well</t>
  </si>
  <si>
    <t>1438 York St Mahwah, New Jersey United States</t>
  </si>
  <si>
    <t>Palapa</t>
  </si>
  <si>
    <t>Peep _2022</t>
  </si>
  <si>
    <t>Elif Aydin</t>
  </si>
  <si>
    <t>eaydin3@fordham.edu</t>
  </si>
  <si>
    <t>PEEP, the real-time platform navigates car drivers to available and legal public parking spots.</t>
  </si>
  <si>
    <t>DiT Camera-based system real-time traffic cameras A few companies have tried to do this Takes city participation to make this work Is the problem big enough?</t>
  </si>
  <si>
    <t>+Good Idea -Might be hard to get access to the scale of image data required and process it in realtime -Not sure if technical team members can deliver -Might be too early</t>
  </si>
  <si>
    <t>Global Innovation Catalyzer</t>
  </si>
  <si>
    <t>5135 Reeder Street Apt 512, NY United States</t>
  </si>
  <si>
    <t>Peep</t>
  </si>
  <si>
    <t>Perfect Color Ventures LLC _2022</t>
  </si>
  <si>
    <t>Jason Shaw</t>
  </si>
  <si>
    <t>jason@myperfectcolor.com</t>
  </si>
  <si>
    <t>MyPerfectColor is a specialty manufacturer providing precise paint color matching solutions for industry and consumers via a direct to user ecommerce platform. MyPerfectColor's unique market-driven approach and capabilities provide custom spray paint in any color in any quantity.</t>
  </si>
  <si>
    <t>custom spray paint in any color in any quantity. no real tech not a fit for EFL</t>
  </si>
  <si>
    <t>&gt; speciality manufacturer providing precise paint colour matching solutions for industry +custom spray paint in any colour in any quantity. + Not really tech where EFL can invest time on compared to the reviewed applications</t>
  </si>
  <si>
    <t>Other: Haven't really started yet and not sure.</t>
  </si>
  <si>
    <t>We would like to raise $3M+</t>
  </si>
  <si>
    <t>Springfield, NJ United States</t>
  </si>
  <si>
    <t>Perfect Color Ventures LLC</t>
  </si>
  <si>
    <t>phelas GmbH _2022</t>
  </si>
  <si>
    <t>Justin Scholz</t>
  </si>
  <si>
    <t>justin-efl@phelas.com</t>
  </si>
  <si>
    <t>phelas is developing a Liquid Air Energy Storage, which is a scalable, sustainable and profitable energy storage system which solves the natural volatility of renewable energy. Our system is cheaper, has a longer lifetime than Lithium and is therefore well suited for energy utilities, renewable energy developers and industries.</t>
  </si>
  <si>
    <t>Good team. Innovative idea Should Invite this year</t>
  </si>
  <si>
    <t>+Team seems credible +Team is large and has advanced degrees in the fiels +They have raised 1.4 Million</t>
  </si>
  <si>
    <t>Yes, we have been part of the EIT Climate KIC, ESA BIC, Axel Accelerator, Hello Tomorrow, X-Europes, and Plug and Play Programme.</t>
  </si>
  <si>
    <t>compressed air energy storage; 1.4M raised in grants, strong team with backgrounds in various engineering</t>
  </si>
  <si>
    <t>Gilching, Bavaria Germany</t>
  </si>
  <si>
    <t>phelas GmbH</t>
  </si>
  <si>
    <t>Dr. Arie Heiman</t>
  </si>
  <si>
    <t>arie.heiman@gmail.com</t>
  </si>
  <si>
    <t>PhoneOptika is developing SCREEN EMBEDDED READING GLASSES called iGlass which can be used as an add-on thin film for mobile phone display. A revolutionary optical technology that eliminates the need of using reading glasses while using digital display. The target customers are more than 1B people above 40 year old that use reading glass.</t>
  </si>
  <si>
    <t>Deep tech. Optical thin film added to screens that acts as reading glasses - no need for users to wear glasses anymore. Interesting idea for the EFL, and founders have 4 prior successful exits (including NASDAQ IPO), but their product won't be ready for another 18 months. They should apply next year when we can really help them to scale.</t>
  </si>
  <si>
    <t>Can we discuss about this company? It is an interesting idea but I am not sure if the product works, if it does how it works? Also we can ask Mark Flynn`s opinion.</t>
  </si>
  <si>
    <t>change to DT; Khoa to look at app; optical thin film to act as glasses; founders have 4 prior exits; product won't be ready for another 18 months invite next year, but also as a special reject type deal; interested in idea, they're just not they're yet</t>
  </si>
  <si>
    <t>Sde Warburg, Israel Israel</t>
  </si>
  <si>
    <t>PhoneOptika Ltd.</t>
  </si>
  <si>
    <t>Plastic Green Power Ltd _2022</t>
  </si>
  <si>
    <t>Sean Lindgen</t>
  </si>
  <si>
    <t>slindgren@plasticgreenpowerltd.co.uk</t>
  </si>
  <si>
    <t>Plastic Green Power (PGP) is a team of engineers and developers with a proven solution to develop the first in a series of plastic separation &amp; grading and energy generation projects, with licensing to a patent-pending proven Advanced Mechanical Recycling (AMR) technology and pyrolysis process to hybrid Syncrude and Syngas.</t>
  </si>
  <si>
    <t>build a portfolio of sustainable facilities utilizing robust technologies these facilities will allow the company to recover and recycle more plastic by using different technologies takes lots of capital upfront show there is a product fit and make review</t>
  </si>
  <si>
    <t>+ Building a portfolio of sustainable facilities utilising robust technologies to tackle the growing waste management problem of plastics and the looming energy gap - Early to approach EFL can look at it Next year with more data with full scale output +? Pressed: 424000 and thinking of training 2-30M per site in fundraising (30M)?</t>
  </si>
  <si>
    <t>Seed|Bridge|Debt financing</t>
  </si>
  <si>
    <t>2,000,000 - 30,000,000 (per site)</t>
  </si>
  <si>
    <t>Crispins Manor Farm Lane, Michelmersh, SO51 0NT Romsey, United Kingdom</t>
  </si>
  <si>
    <t>Plastic Green Power Ltd</t>
  </si>
  <si>
    <t>Precision Periodic _2022</t>
  </si>
  <si>
    <t>Brian Andrew</t>
  </si>
  <si>
    <t>bjandrew@precisionperiodic.com</t>
  </si>
  <si>
    <t>Precision Periodic Nano Beads? are the next generation chemical filtration media for wastewater treatment, mining, and recycling. Our ion adsorption process is 80 times faster than ion exchange and reduces water, power, waste, equipment and chemicals. In addition, toxic elements such as selenium can now be easily and cost-effectively removed.</t>
  </si>
  <si>
    <t>generation chemical filtration media for wastewater treatment, mining, and recycling</t>
  </si>
  <si>
    <t>+Developed a substrate for all kinds of chemical mining applications, Can perform multi-element extraction too +ion adsorption filtration media based on chromatography + Large market size if succeed with the current pilots as there are no direct competitors. - Need to work on funds</t>
  </si>
  <si>
    <t>We are a client of the UCF Business Incubator program that provides us low-cost office and lab facilities.</t>
  </si>
  <si>
    <t>Orlando, Florida United States</t>
  </si>
  <si>
    <t>Precision Periodic</t>
  </si>
  <si>
    <t>Proactive Life Inc (SleepSpace) _2022</t>
  </si>
  <si>
    <t>Daniel Gartenberg</t>
  </si>
  <si>
    <t>dan@sleepspace.com</t>
  </si>
  <si>
    <t>We are a SaaS sleep improvement platform with about $15K in MRR currently running a clinical trial from $3.5 MM in NIH grants to be the new gold standard treatment for insomnia.</t>
  </si>
  <si>
    <t>A lot of sleep startups out there this one is not that novel</t>
  </si>
  <si>
    <t>+They are trying to help people with insomnia through therapy (sounds and lighting controlled by devices) instead of drugs +The have multiple patents and academic research +They have raised a large amoount of money through grants and have some MRR -Product seems to require user to already have lots of smart devices and have them compatible with their application</t>
  </si>
  <si>
    <t>I've done the Quake Accelerator and the TED residency.</t>
  </si>
  <si>
    <t>No for DT</t>
  </si>
  <si>
    <t>Proactive Life Inc (SleepSpace)</t>
  </si>
  <si>
    <t>Proxgy _2022</t>
  </si>
  <si>
    <t>Pulkit Ahuja</t>
  </si>
  <si>
    <t>pulkit@proxgy.com</t>
  </si>
  <si>
    <t>Proxgy is an Industry 4.0 + Web 3.0 startup democratising the IIoT segment with customised Hardware + proprietary Software solutions for key industries. We are building Zoho/Jira for Blue Collar workers. Blue Collar workers form 78% of the total industrial workforce. Proxgy currently has two products: Pro Y (a industrial smart hat helmet) &amp; SLEEFE.</t>
  </si>
  <si>
    <t>Claims they can do a lot but are already players in the market what is the moat</t>
  </si>
  <si>
    <t>Other: Pre Series A</t>
  </si>
  <si>
    <t>Plot No. 15, Electronic City, Udyog Vihar Phase IV, Sector 18, Gurugram, Haryana India</t>
  </si>
  <si>
    <t>Proxgy</t>
  </si>
  <si>
    <t>Puro Bioplastics, Inc. _2022</t>
  </si>
  <si>
    <t>Justin Danko</t>
  </si>
  <si>
    <t>justin@purobioplastics.com</t>
  </si>
  <si>
    <t>Puro Bioplastics utilizes carbon-negative, biorenewable, biowaste to dramatically reduce the environmental impact of plastic products</t>
  </si>
  <si>
    <t>additive technology for non recyclable plastic not replacing the full production just pieces of it needs customers what's the tech? too early</t>
  </si>
  <si>
    <t>+ 3 products - Agaveplast &amp; Oysterplast and Puroplast Bioaccelerator - No customers yet but working with 10 customers in trails currently + An additive technology that enables the conversion of hydrocarbon molecules into short-chain molecules that can be consumed by microbes. + Seed amount raised : $1,275,000</t>
  </si>
  <si>
    <t>1300 Monad Terrace, PHF, Miami Beach, FL United States</t>
  </si>
  <si>
    <t>Puro Bioplastics, Inc.</t>
  </si>
  <si>
    <t>QCoefficient, Inc. _2022</t>
  </si>
  <si>
    <t>Vincent Cushing</t>
  </si>
  <si>
    <t>vince.cushing@buildingsasbatteries.com</t>
  </si>
  <si>
    <t>QCo?s EMeister is a SaaS platform that combines breakthroughs in building energy modeling and model predictive control to harness the drywall and concrete in large commercial buildings as a grid-scale energy storage medium ... to dramatically and immediately reduce energy, expense, and carbon emissions with no capital expense.</t>
  </si>
  <si>
    <t>smart grid engine to integrate HVAC operations in commercial buildings with electric grid operations and markets need to get over market troubles build up customer pipline</t>
  </si>
  <si>
    <t>+ Good Deep Tech Venture. + We can invite them</t>
  </si>
  <si>
    <t>Chicago, Illinois United States</t>
  </si>
  <si>
    <t>QCoefficient, Inc.</t>
  </si>
  <si>
    <t>Quantic Brains Technologies SL _2022</t>
  </si>
  <si>
    <t>Julio Covacho Lopez</t>
  </si>
  <si>
    <t>julio@quanticbrains.com</t>
  </si>
  <si>
    <t>At Quantic Brains Technologies SL, we develop artificial intelligence tools for the creation of audiovisual content and video games in a much cheaper and faster way, significantly reducing the costs and production times of animation and video game production companies.</t>
  </si>
  <si>
    <t>DiT artificial intelligence tools for the creation of audiovisual content and video games in a much cheaper and faster way has customers but no revenue</t>
  </si>
  <si>
    <t>(+)Novel technology (+)Have raised a lot of money (+)The team seems passionate about the product (+)They have industry experience (-)Might be too early for EFL</t>
  </si>
  <si>
    <t>Bridge|Debt financing|Other: We are combining and working in a new equity round, debt and grants</t>
  </si>
  <si>
    <t>Yes, we have been working with Demium (incubator) in Spain.</t>
  </si>
  <si>
    <t>Valencia Valencia, Spain</t>
  </si>
  <si>
    <t>Quantic Brains Technologies SL</t>
  </si>
  <si>
    <t>QuantumCat Co., Ltd. _2022</t>
  </si>
  <si>
    <t>Shin Hyun Kang</t>
  </si>
  <si>
    <t>kang@quantumcat.com</t>
  </si>
  <si>
    <t>Quantumcat has creatively devised and synthesized the nanostructures of gold catalysts, innovatively improving the stability and durability of gold nanocatalysts.</t>
  </si>
  <si>
    <t>Nanostructures of gold catalysts at room temperature Has some pilots but needs to prove there is a market Need to prove the tech can work at scale</t>
  </si>
  <si>
    <t>Technically product seems good with a novel approach</t>
  </si>
  <si>
    <t>IBK Changgong startup incubating program by Industrial Bank of Korea(IBK)</t>
  </si>
  <si>
    <t>looking to reduce demand for Pt by replacing with gold, still lacking full scale product</t>
  </si>
  <si>
    <t>49, Techno-8ro, Yuseong-gu, Daejeon Korea, Republic of</t>
  </si>
  <si>
    <t>QuantumCat Co., Ltd.</t>
  </si>
  <si>
    <t>Sergio Schirmer Almenara Ribeiro</t>
  </si>
  <si>
    <t>sergio@radiolifelabs.com</t>
  </si>
  <si>
    <t>Radiolife develops proprietary technology based on radio frequency signatures combined with artificial intelligence modeling aimed at disrupting global diagnostics with the potential to quickly (under 20 seconds), and at a low cost, detect the presence of different viruses, bacteria, and cancer cells, without the need for reagents.</t>
  </si>
  <si>
    <t>Deep Tech. A light and portable device developed for in-vitro analysis. Detects pathogens via radiofrequency instead of chemical reagents. Diagnosed COVID-19 in 1,300 patients with a 99.97% accuracy to standard PCR. Data not published? U.S. Patent Granted. We've seen many of this type of company apply before, but this could be good if the data claims are true.</t>
  </si>
  <si>
    <t>Applied to EFL before, since then they got regulatory approval for the Covid-19 test in Chile and got a patent How does it work? What is the principle? How can it determine what type of virus it is detecting? How would it detect cancer cell? Or bacteria?</t>
  </si>
  <si>
    <t>Yes, we were approved for the Newchip acceleration program</t>
  </si>
  <si>
    <t>Change to DT; can't find data published anywhere and unclear how it works; uses radio frequency rather than chemical reagents to direct pathogens; used in covid dection with 99% accuracy, however data isn't published anywhere; have a US patent</t>
  </si>
  <si>
    <t>Radiolife</t>
  </si>
  <si>
    <t>Rebound Technologies, Inc. _2022</t>
  </si>
  <si>
    <t>John Fox</t>
  </si>
  <si>
    <t>jfox@rebound-tech.com</t>
  </si>
  <si>
    <t>Rebound has developed a freeze point suppression cycle that offers a 2-in-1 solution combining agile freezing and humidity control for frozen food facilities. Rebound?s IcePoint® meets varying cooling demands while simultaneously optimizing moisture levels equating to improved system performance, increased productivity, and excellent ROI.</t>
  </si>
  <si>
    <t>Food refrigeration tech Need to go into production with a customer to show it can scale</t>
  </si>
  <si>
    <t>+ no direct competitor in this tech with the same technology + I feel its cutting edge technology in this segment</t>
  </si>
  <si>
    <t>$2M+</t>
  </si>
  <si>
    <t>Yes. Third Derivative, Prime, Elemental.</t>
  </si>
  <si>
    <t>yet to have a full scale product, but unique factor is an AI assesses storage space cooling in facilties; good funding raised so far. Khoa to revisit later to see if there's others in this space</t>
  </si>
  <si>
    <t>5690 E. 56th Ave. Unit F, Colorado United States</t>
  </si>
  <si>
    <t>Rebound Technologies, Inc.</t>
  </si>
  <si>
    <t>Rensselaer Polytechnic Institute _2022</t>
  </si>
  <si>
    <t>Michael Shur</t>
  </si>
  <si>
    <t>shurm13@gmail.com</t>
  </si>
  <si>
    <t>Electronics of the Future, Inc. is a women-owned small business (C Corporation) commercializing terahertz sensors and optoelectronic and electronic technology for cyber security and biomedical applications. It was founded in 2017. The company's CEO and CTO, Dr. Michael Shur, has experience in commercialization and IP (Tibbets awardee)</t>
  </si>
  <si>
    <t>Need funding Need a business model outside of gov</t>
  </si>
  <si>
    <t>+The team has good academic links and developed prototype -The market size is not very large -Vision and product not clearly defined</t>
  </si>
  <si>
    <t>No, but Michael Shur was a member of NSF ICORP class and took a business course at Stanford</t>
  </si>
  <si>
    <t>tech is interesting, but not making progress; potentially applying for EFL help in business model; decent funding but all their data seems a few years old and lack current updates</t>
  </si>
  <si>
    <t>9433 van Arsdale Drive , VA United States</t>
  </si>
  <si>
    <t>Rensselaer Polytechnic Institute</t>
  </si>
  <si>
    <t>Revamp Moto Pvt. Ltd. _2022</t>
  </si>
  <si>
    <t>Pritesh Mahajan</t>
  </si>
  <si>
    <t>pritesh@revampmoto.in</t>
  </si>
  <si>
    <t>Revamp Moto is Nashik based company which aims to empower the society by providing sustainable adaptive solutions through EV 2 wheeled utility platforms which caters to shared mobility, last mile deliveries, various day-to-day business needs, street vendors, hawkers (a one stop solution for multiple use cases) and help people earn their livelihood.</t>
  </si>
  <si>
    <t>EV 2-wheeled utility for gig workers Needs lots of capital and able to sell units</t>
  </si>
  <si>
    <t>+Passionate team +Developed prototype +Maybe too early -Large established competitors</t>
  </si>
  <si>
    <t>Deepak Hegde (Founding Director, EFL)</t>
  </si>
  <si>
    <t>Nashik, Maharashtra India</t>
  </si>
  <si>
    <t>Revamp Moto Pvt. Ltd.</t>
  </si>
  <si>
    <t>Revolute Robotics _2022</t>
  </si>
  <si>
    <t>Collin Taylor</t>
  </si>
  <si>
    <t>collin@revoluterobotics.com</t>
  </si>
  <si>
    <t>Revolute Robotics creates inspection robots for inaccessible places. Our Hybrid ground &amp; aerial robots replace the need for dangerous confined space inspections using a robotic inspection platform that navigates where no other robot can.</t>
  </si>
  <si>
    <t>Round drones that can fly and roll on the ground is there a moat design is not enough need to get to MVP and show it's better than competitors</t>
  </si>
  <si>
    <t>+ Creates inspection robots for inaccessible places. +Small scale Prototype in place - Pilot is not in place and MVP should be started - Lot of work is already being done in terms of autonomous monitoring or remote monitoring of gas pipelines in arteria service-based company +A robot that can switch between rolling on the ground or flying</t>
  </si>
  <si>
    <t>We have done Techstars - Stanley Black &amp; Decker</t>
  </si>
  <si>
    <t>Scottsdale, Az United States</t>
  </si>
  <si>
    <t>Revolute Robotics</t>
  </si>
  <si>
    <t>ReynKo _2022</t>
  </si>
  <si>
    <t>Justin Beroz</t>
  </si>
  <si>
    <t>justin.beroz@gmail.com</t>
  </si>
  <si>
    <t>ReynKo aims to provide turbulence control solutions for fluid transport applications. Our flagship product will comprise a suite of technology options for retrofitting pipe networks to suppress turbulent fluid motions, rendering the flow laminar at the same flow rates, and reducing the required pumping energy 100x-1000x.</t>
  </si>
  <si>
    <t>provide turbulence control solutions for fluid transport applications. Too early for EFL Invite next year</t>
  </si>
  <si>
    <t>+Credible founder +Novel technology -Might be to early for EFL</t>
  </si>
  <si>
    <t>I began developing my theoretical model about 1 year ago. About 3 months into the work, I applied for the Activate New York fellowship and made it to the final round. While I did not receive the fellowship, I was strongly encouraged to reapply with further technical progress, and I?ve remained in periodic contact with Andrew Chang &amp; others. I also recently completed the BluePrint program through The Engine here at MIT (https://www.engine.xyz), and have since been discussing next steps for the startup with Reed Sturtevant, Ann DeWitt, Chloe Holzinger, Lakshava Huddar, and others.</t>
  </si>
  <si>
    <t>Alex Grant &lt;alex.grant@engine.xyz&gt; at The Engine (https://www.engine.xyz)</t>
  </si>
  <si>
    <t>ReynKo</t>
  </si>
  <si>
    <t>Anurag Dutta</t>
  </si>
  <si>
    <t>anurag@rightbot.in</t>
  </si>
  <si>
    <t>Rightbot Technologies leverages robotics to offer fulfilment at last mile quick commerce dark stores. Our solution automates picking, putaway, replenishment, cycle count, in these dark stores. The end outcomes are 40% lower store opex, 70% lower store manpower, upto 1.5x higher store throughput, higher accuracy of picking, reduced employee fatigue</t>
  </si>
  <si>
    <t>+ The team has a good understanding of the problem and has the right structure of people with diverse backgrounds - Need more info on how they can challenge the existing systems and sustain in the market</t>
  </si>
  <si>
    <t>1. Technology is sound in general, but might face more competition than expected. (see Notes on Technology for potential follow up questions if granting interview) 2. Good team composition 3. Need more research into U.S. market, the financial side etc.</t>
  </si>
  <si>
    <t>(1) HAX by SOSV (2) Target Accelerator by Target Corporation (3) Korea Startup Grant Challenge (just selected) (4) Reliance JioGenNext by Reliance Industries (India's largest conglomerate)</t>
  </si>
  <si>
    <t>Khoa will revisit if room; need addt'l info to assess how tech works</t>
  </si>
  <si>
    <t>251 Little Falls Drive, Wilmington, New Castle County, Delaware 19808 United States</t>
  </si>
  <si>
    <t>Rightbot Technologies, Inc.</t>
  </si>
  <si>
    <t>Max Ismailov</t>
  </si>
  <si>
    <t>max@rocketpropulsionsystems.com</t>
  </si>
  <si>
    <t>If someone wants to create a space launch vehicle company now, they must build the entire rocket first. We believe that the rocket industry is moving toward the aircraft manufacturing model, where someone builds engines, or wings, and others integrate them like Lego blocks to make an airplane. We want to be the company that sells affordable and r</t>
  </si>
  <si>
    <t>Venture is still a one man army, they needs strong team to realize their goals. If they would specify strong business plans, Partnerships Strategy, then we could think to call them for interview. However I would suggest them to apply next time.</t>
  </si>
  <si>
    <t>+The team is very credible and passionate +The small satellite launch market is growing +They need funding -Their engine design is not mature</t>
  </si>
  <si>
    <t>Creative Destruction Lab in 2019-2020</t>
  </si>
  <si>
    <t>Kent, WA United States</t>
  </si>
  <si>
    <t>Rocket Propulsion Systems LLC</t>
  </si>
  <si>
    <t>Rushnu _2022</t>
  </si>
  <si>
    <t>Matin Hanifzadeh</t>
  </si>
  <si>
    <t>matin@rushnu.com</t>
  </si>
  <si>
    <t>We are developing a low cost and electricity-free solution for capture and utilization of flue gas of heavy industries.</t>
  </si>
  <si>
    <t>Ask to apply next year when there has been more development</t>
  </si>
  <si>
    <t>The founding team seems pretty capable; the technology is interesting, and the market opportunity could be big. My sense is that they are a little early on the tech validation and I would want them to apply again next year.</t>
  </si>
  <si>
    <t>$ 2 million</t>
  </si>
  <si>
    <t>Pleasanton, California United States</t>
  </si>
  <si>
    <t>Rushnu</t>
  </si>
  <si>
    <t>Edmond Dadisho</t>
  </si>
  <si>
    <t>edadisho@safetyarmssystems.com</t>
  </si>
  <si>
    <t>Safety Arms System is a unique and patent pending internal remote locking system for firearms. It allows authorized users to lock the weapon when lost or stolen, or taken by a family member, using a mobile app from anywhere in the world. The app includes geofencing to lock the weapon automatically when leaving or entering a designated area.</t>
  </si>
  <si>
    <t>- Startup with great social impact. - If EFL does not mentor this startup, we should help direct it to other programs that will.</t>
  </si>
  <si>
    <t>Not a typical EFL company. But the founder has previous experience with firearms, he was a police officer. There is definitely a lot of gap to fill in for this company to graduate. It might have good social impact so it is worth an interview.</t>
  </si>
  <si>
    <t>5,000,000-10,000,000</t>
  </si>
  <si>
    <t>change to DT; currently working with 5 Law enforcement agencies/AR15 models; app controlled gunlocking. Seems timely; founder is 38+ years experience as police chief; unclear if its more software or more hardware</t>
  </si>
  <si>
    <t>21457 Pumice Ln. Wildomar, California United States</t>
  </si>
  <si>
    <t>Safety Arms Systems</t>
  </si>
  <si>
    <t>SanChip _2022</t>
  </si>
  <si>
    <t>Leonardo Mattioli</t>
  </si>
  <si>
    <t>leonardo.mattioli@sanchip.net</t>
  </si>
  <si>
    <t>SanChip is combining Lab-On-Chip technology with AI to help industrial machinery owners implementing Predictive Maintenance and Industry 4.0 strategies. These enable early failure detection and increased uptime, reduced lubricant waste and increased reliability, which mean: - higher profits - reduced carbon footprint - improved safety.</t>
  </si>
  <si>
    <t>DiT AI for real-time, multi-parametric, automated condition monitoring and realtime maintenance Has pilots and ready to take into production</t>
  </si>
  <si>
    <t>+combining Lab-On-Chip technology with AI for real-time, multi-parametric, automated condition monitoring. - Company need more funds and customers as it has full scale ready to use</t>
  </si>
  <si>
    <t>Yes, we've completed an acceleration program with Techstars (Eastern Pacific Accelerator 2022) and we're currently going through a program with LVenture and Leonardo Spa in Italy.</t>
  </si>
  <si>
    <t>Capannori, Lucca Italy</t>
  </si>
  <si>
    <t>SanChip</t>
  </si>
  <si>
    <t>Shortcut Robotics, Inc. _2022</t>
  </si>
  <si>
    <t>Nick Brooks</t>
  </si>
  <si>
    <t>nick.brooks@shortcutrobotics.com</t>
  </si>
  <si>
    <t>Shortcut Robotics is a telepresence robot manufacturer, seller, and rental provider. Our robots are driveable video calls that enable both the remote user and those near the robot to feel like they are interacting in a way that resembles actually being there.</t>
  </si>
  <si>
    <t>telepresence robot manufacturer robot monitor that can move with a remote anywhere larger player already have product in the market like BEAM</t>
  </si>
  <si>
    <t>+A telepresence robot manufacturer, seller, and rental provider -Competitors have working models in the market &gt; Can look for next year I feel it is early to come to EFL this year - Founder self-taught P courses</t>
  </si>
  <si>
    <t>501 Loring Ave., CA United States</t>
  </si>
  <si>
    <t>Shortcut Robotics, Inc.</t>
  </si>
  <si>
    <t>Kanwar Singh</t>
  </si>
  <si>
    <t>kanwar@skylinenav.com</t>
  </si>
  <si>
    <t>We help military and commercial entities navigate in a GPS-degraded, spoofed, and denied environment using visualization of the skyline (natural &amp; manmade features). We provide a more robust, precise and accurate alternative to GPS. Use cases include Military &amp; Commercial (autonomous vehicles, drones, air-taxis, handheld mobile app, urban canyons)</t>
  </si>
  <si>
    <t>Visual-based GPS location via structures and natural skyline Has tested with data but not real-world data Good team..? Needs to move out of government use and into the real world Less further along than Zainar</t>
  </si>
  <si>
    <t>+Credible team +Novel and proven technology +$1M in revenue so far - mostly government contracts</t>
  </si>
  <si>
    <t>Yes, FedTech/NSIN, FedTech/DCode, NSF/I-Corps, NGA/Capital Innovators</t>
  </si>
  <si>
    <t>Simialr to Zainar; not as far along; picks up where GPS leaves off (when GPS in unavailable or blocked); started with DoD partnership, currently 1M in revenue; missing data outside of gov't contracts</t>
  </si>
  <si>
    <t>Cambridge, Massachusetts United States</t>
  </si>
  <si>
    <t>Skyline Nav AI Inc.</t>
  </si>
  <si>
    <t>Sleep Easy Technology Inc. _2022</t>
  </si>
  <si>
    <t>Anthony Esplin</t>
  </si>
  <si>
    <t>anthonyesplin@sleepeasytechnology.com</t>
  </si>
  <si>
    <t>Sleep Easy Technology has developed the Oxyllow System to helps supplemental oxygen dependent patients have a comfortable mode of therapy via no to low contact to improve the quality of their sleep.</t>
  </si>
  <si>
    <t>oxygen via pillow with face sensors Need a business model Need to scale and grow production Invite next year</t>
  </si>
  <si>
    <t>Good Product Vision, lacking a strong customer acquisition model. On their way to file with FDA. Invite them next year.</t>
  </si>
  <si>
    <t>Yes, Notre Dame pre-accelerator, Accelerator, Race 2 Revenue</t>
  </si>
  <si>
    <t>South Bend , Indiana United States</t>
  </si>
  <si>
    <t>Sleep Easy Technology Inc.</t>
  </si>
  <si>
    <t>Solais Ventures LLC _2022</t>
  </si>
  <si>
    <t>Kamal Deep</t>
  </si>
  <si>
    <t>k.deep@solaisventures.com</t>
  </si>
  <si>
    <t>Solais delivers an integrated thermochemical and biological technology to produce Renewable Energy, Biochar, Organic Biofertilizers, Biochemicals and Activated Carbon sustainably from the onsite waste biomass and manures. Our integrated sites will be operated near waste biomass while developing markets for end products and meet local energy needs.</t>
  </si>
  <si>
    <t>needs validation app doesn't really say much about how's it done early, need a market, customer pipeline scale, prove of concept</t>
  </si>
  <si>
    <t>+ Thermochemical and biological technology to produce Renewable Energy, Biochar, Organic Biofertilizers, and Biochemicals from waste biomass + HyPyrogestion technology - an integration of Hydrolysis, Anaerobic Digestion (AD) and Pyrolysis + One of the founder is affiliated with NYU + Need to gain customers</t>
  </si>
  <si>
    <t>We are currently participating in CleanTech Open Accelerator program.||cleantechopen.org</t>
  </si>
  <si>
    <t>Belle Mead NJ, United States</t>
  </si>
  <si>
    <t>Solais Ventures LLC</t>
  </si>
  <si>
    <t>Stonehouse Innovations, LLC _2022</t>
  </si>
  <si>
    <t>Hensley Foster</t>
  </si>
  <si>
    <t>hensley@stonehousewater.com</t>
  </si>
  <si>
    <t>Stonehouse Innovations is an R&amp;D company engaged primarily in water innovations. We have designed a 3d printed vessel using antimicrobial filament to create a small, screw-on, water purification device. This small device will benefit 3rd world drinking water, help in agriculture to irrigate crops, and water animals (among other uses).</t>
  </si>
  <si>
    <t>Good mission but not novel tech Needs to get a product developed and scale</t>
  </si>
  <si>
    <t>+Tech seems novel -Market does not seem particularly large -Might be too early</t>
  </si>
  <si>
    <t>Jackson, WI United States</t>
  </si>
  <si>
    <t>Stonehouse Innovations, LLC</t>
  </si>
  <si>
    <t>Stranded Solutions _2022</t>
  </si>
  <si>
    <t>Harley Luplow</t>
  </si>
  <si>
    <t>harley@stranded-gas.com</t>
  </si>
  <si>
    <t>Stranded Solutions' patented technology allows for small methane to methanol conversion at the oil wellhead ending flaring with carbon emissions and turning a waste product into a valuable revenue source.</t>
  </si>
  <si>
    <t>direct partial oxidation which combines Natural Gas with oxygen at elevated temperature and pressure to produce Methanol. early need to take out of concept stage show tech can scale</t>
  </si>
  <si>
    <t>+ Methane to methanol conversion at the oil wellhead ending flaring with carbon emissions + Direct partial oxidation which combines Natural Gas with oxygen at elevated temperature and pressure to produce Methanol It- Still in the prototype phase and need to quickly come up with actual model and acquire customers</t>
  </si>
  <si>
    <t>Yes, Cleantech Open 2022</t>
  </si>
  <si>
    <t>Halliburton</t>
  </si>
  <si>
    <t>616 Petoskey St., #402, Petoskey, Michigan United States</t>
  </si>
  <si>
    <t>Stranded Solutions</t>
  </si>
  <si>
    <t>Street Farms _2022</t>
  </si>
  <si>
    <t>Marta Lwin</t>
  </si>
  <si>
    <t>marta@streetfarmsusa.com</t>
  </si>
  <si>
    <t>Street Farms are hyper local hydroponic robotic capsules growing fresh food in urban centers. Taking vertical farming to the next level, these capsules will grow fresh food using robotics for harvesting and dispensing. Street Farms will adopt Artificial Intelligence as a powerful tool to safeguard growth, customer engagement and efficient energy.</t>
  </si>
  <si>
    <t>robotic capsules growing fresh food in urban centers too early and need to find a tech team to take concept into product invite next year</t>
  </si>
  <si>
    <t>+Passionate founder ~Still in concept stage -Might be too early</t>
  </si>
  <si>
    <t>500,000-1 mil</t>
  </si>
  <si>
    <t>Yes. NYWIB - Accelerator.</t>
  </si>
  <si>
    <t>151 Kent Ave Unit 215 Brooklyn, NY United States</t>
  </si>
  <si>
    <t>Street Farms</t>
  </si>
  <si>
    <t>Surplusmap AS _2022</t>
  </si>
  <si>
    <t>Morten Blaauw</t>
  </si>
  <si>
    <t>morten@surplusmap.com</t>
  </si>
  <si>
    <t>geo-intelligence SaaS platform that empowers decision-makers in the green transition to make better and faster decisions on where to develop new green industries not novel or tech</t>
  </si>
  <si>
    <t>(+)The global geospatial analytics market is large and projected to grow (~)The technology appears to still be in the MVP stage and not developed so it is difficult to determine (-)Might be too early for EFL</t>
  </si>
  <si>
    <t>We are looking to raise a bridge round of USD 2-300 000 before a Seed round of USD 1 500 000 - 2 000 000</t>
  </si>
  <si>
    <t>We just ended the Techstars Equinor accellerator, and also just joined the ESA BIC program in Norway.</t>
  </si>
  <si>
    <t>Apoteker Gate 10 Spaces 0180, Oslo</t>
  </si>
  <si>
    <t>Surplusmap AS</t>
  </si>
  <si>
    <t>Tau Drones _2022</t>
  </si>
  <si>
    <t>Matthew Dunlevy</t>
  </si>
  <si>
    <t>matt@taudrones.com</t>
  </si>
  <si>
    <t>Tau Drones is an energy analytics company from North Dakota that automates building energy inspections using UAS technology and artificial intelligence. Tau Drones provides actionable energy and emission information to facility managers of public and private institutions to ensure reduced operational costs.</t>
  </si>
  <si>
    <t>DiT thermal imaging system with a custom-made AI that helps facility managers justify building modifications and renovations Others can do this already</t>
  </si>
  <si>
    <t>Very early for the EFL program.</t>
  </si>
  <si>
    <t>Tau Drones has been affiliated to a few startup programs and institutions: - InnovateND program (State program) - University of North Dakota Center for Innovation - National Science Foundation's Innovation-Corps (I-Corps) Program (National Level as well as the Midwest Node)</t>
  </si>
  <si>
    <t>Grand Forks, North Dakota United States</t>
  </si>
  <si>
    <t>Tau Drones</t>
  </si>
  <si>
    <t>Tekuma _2022</t>
  </si>
  <si>
    <t>Annette McClelland</t>
  </si>
  <si>
    <t>annette@tekuma.tech</t>
  </si>
  <si>
    <t>Tekuma - Improving the way humans interact with technology. Tekuma?s orb is a control component that can be integrated into any human-machine interface, making it easier to control drones, robots, and other devices. Drastically improving the user experience, it can save your business time and money, as well as personnel and training costs.</t>
  </si>
  <si>
    <t>orb is a control component niche tech not novel</t>
  </si>
  <si>
    <t>+They have a developed product +They have revenue +They have government contract -Difficult to scale</t>
  </si>
  <si>
    <t>Tekuma has been lucky enough to have participated in several non-equity programs such as UTS:Hatchery+, CSIRO Connect@Lindfield, UniSA Venture Space Catalyst, Uni Adelaide ThincLab, Austrade &amp; CSIRO?s Dual Use Landing Pad San Francisco, CORE Sprint and Start, RMIT:Activator, and La Trobe GMAP. Their advisors and mentors continue to support Tekuma?s progress.</t>
  </si>
  <si>
    <t>Adelaide, South Australia Australia</t>
  </si>
  <si>
    <t>Tekuma</t>
  </si>
  <si>
    <t>TerMir, Inc. _2022</t>
  </si>
  <si>
    <t>David Swintosky</t>
  </si>
  <si>
    <t>David.Swintosky@DunningCapital.com</t>
  </si>
  <si>
    <t>TerMir develops IP for crop protection so farmers can adopt sustainable and regenerative agriculture techniques without increased cost per acre. We help farmers grow more crops and convert more land to organic with our technologies. Our first commercial product is a natural product herbicide to help farmers transition from Roundup/Glyphosate.</t>
  </si>
  <si>
    <t>Deep Tech. Natural, plant-derived herbicide that can both prevent and destroy weeds. 3rd party testing has been ongoing for nearly 3 years (not sure of the results). Plans to file a provisional patent in Q4 2022. $4.4M raised, also participated in Alexandria LaunchLabs (not affiliated with Columbia). Team has decades of experience in ag tech. Company structure is confusing - TerMir is the mother company, but Harpe (which produces this product) is a spinout that became larger than TerMir. Cluster with other herbicide/ag tech companies in DT?</t>
  </si>
  <si>
    <t>Referred by Chris Mosher? Alexandria Launch Labs. Termir is the mother company, and Harpe is a spin-out from that. Now Harpe is much larger than Termir. Harpe produces a portfolio of novel and green herbicides. Termir is a potfolio of product consist of Harpe and one other product called Ichor- a solution for citrus greening which is caused by a bacteria called HLB.</t>
  </si>
  <si>
    <t>Alexandria Launch Labs, RTP NC</t>
  </si>
  <si>
    <t>change to DT; natural product; third party testing for 3 years, but do not list results; plans to secure provisional patents; no columbia affiliation but was in columbia program (good), confusion with compnay structure; cluster with other ag tech?</t>
  </si>
  <si>
    <t>Raleigh, NC United States</t>
  </si>
  <si>
    <t>TerMir, Inc.</t>
  </si>
  <si>
    <t>Terra Carbon Development, Inc. _2022</t>
  </si>
  <si>
    <t>Kevin Hathaway</t>
  </si>
  <si>
    <t>KWHathaway@terracarbondevelopment.com</t>
  </si>
  <si>
    <t>Terra Carbon Development, Inc. proposes to address a portion of the 'Decarbonization of Steelmaking' problem by deploying an integrated 'system of systems' technology package to achieve Carbon Capture, Utilization [and Sequestration] CCUS to produce blast-furnace quality 'Green Pig Iron' without the environmental impact of a blast furnace.</t>
  </si>
  <si>
    <t>Need to scale tech with customers Invite next year to see progress Needs a bigger team Scott S may be interested?</t>
  </si>
  <si>
    <t>+ 1. tech is novel and solves a known ESG related problem 2. team is well put-together &amp; seems motivated 3. long-term plan for future is inspiring - 1. current operation is in Colombia 2. no clear timeline as to when will the focus be shifted back to the U.S. 1.</t>
  </si>
  <si>
    <t>Jose Francisco Malfa</t>
  </si>
  <si>
    <t>No - I tried to work with an Angel Group once out of Huntsville, AL. It didn't work out.</t>
  </si>
  <si>
    <t>1131 Dodson Drive, Tennessee United States</t>
  </si>
  <si>
    <t>Terra Carbon Development, Inc.</t>
  </si>
  <si>
    <t>Texelio AB _2022</t>
  </si>
  <si>
    <t>Meysam Sadegh</t>
  </si>
  <si>
    <t>meysam@texelio.com</t>
  </si>
  <si>
    <t>Texelio is a deep-tech white label SaaS platform that radically increases the usability and delivery of financial media content for investors while driving insights, engagement and AUM revenues for financial investment platforms. Offering 100+ contextual topics available for equities, ESG, commodities and cryptos.</t>
  </si>
  <si>
    <t>&gt;DIT? +usability and delivery of financial media content for investors</t>
  </si>
  <si>
    <t>KTH Innovation Program Fall 2019 https://www.kth.se/en/om/innovation/kth-innovation-1.956839 STING Accelerator Program 2020 https://sting.co/ All references provided upon request.</t>
  </si>
  <si>
    <t>Lilla Nygatan 14, Stockholm Sweden</t>
  </si>
  <si>
    <t>Texelio AB</t>
  </si>
  <si>
    <t>ThoughtData _2022</t>
  </si>
  <si>
    <t>Manjunath Venkatram</t>
  </si>
  <si>
    <t>manjunath.venkatram@thoughtdata.com</t>
  </si>
  <si>
    <t>ThoughtData offers unified IT monitoring solution for enterprise companies helping them deliver 100% uptime and high performing applications to their customers</t>
  </si>
  <si>
    <t>DiT Data Correlation Algorithms for unified IT monitoring Need to scale sales and rove Moat</t>
  </si>
  <si>
    <t>+ Data Correlation Algorithms for unified IT monitoring - Need to get more customers - Small team size &gt; Generating $40K ARR, SaaS-based revenue</t>
  </si>
  <si>
    <t>Newchip ExpertDojo</t>
  </si>
  <si>
    <t>9 Ledgerock way Acton, MA United States</t>
  </si>
  <si>
    <t>ThoughtData</t>
  </si>
  <si>
    <t>Jere Northrop</t>
  </si>
  <si>
    <t>jerenorthrop@timberfishtech.com</t>
  </si>
  <si>
    <t>TimberFish Technologies locally produces contaminant free seafood from wood chips and nutrients. It can mitigate and reverse Climate Change and provide the world with a major new source of food for the future. Primary customers are large multinational corporations and NGOs who have the resources and organization to achieve global application.</t>
  </si>
  <si>
    <t>Deep Tech company. Contaminant-free seafood production. Starts with a nutrient-rich microbial biomass created from clean food and beverage waste streams and nonagricultural plant material (wood chips). This is formed in a bioreactor and fed to worms/insets, which are then fed to fish/shrimp/mollusks which generate high lignin residual wood chips (circular system where energy feeds back into the process). Demo video shows their giant 45K gallon facility in Westfield - this was shut down in 2020 due to COVID-19. Very New York-centric team with degrees from Syracuse, NYU, and SUNY Fredonia who have worked in this industry since the 1970s. Non-formal but collaborative relationship with Cathy Young (former NY State Senator) who is currently Executive Director, NYS Center of Excellence for Food and Agriculture at Cornell AgriTech.</t>
  </si>
  <si>
    <t>Maybe DT can take a look. The team has decades of experience in the field, and their prototype was visited by government people of NY. They have made a prototype for pilot scale production of fish, it is shut down from 2020 for COVID.</t>
  </si>
  <si>
    <t>When we began construction of our commercial demonstration unit in Westfield in 2016 we also began a dialogue with the State University of New York at Fredonia about establishing a working relationship with them. This was motivated by their being only 17 miles away and that Jennifer Russo had just received her Masters of Science degree from them. This dialogue resulted in a comprehensive agreement with SUNY Fredonia in 2017, in which they were designated as a primary academic affiliate for TimberFish. That agreement provided for an internship program as well as facilitating alignment of university laboratories and educational resources to enhance TimberFish research. We also have a supporting but non formal relationship with Cathy Young which started in 2008 when she was a NY State Senator, and which has continued with her in her current position as Executive Director, NYS Center of Excellence for Food and Agriculture at Cornell AgriTech.</t>
  </si>
  <si>
    <t>Change to DT; very NY centric team, was shutdown in 2020 for covid; ask in interview how that is effecting/did effect them; strong team with loose connection to Cornell</t>
  </si>
  <si>
    <t>TimberFish Technologies, 1961 Tonawanda Creek Road, Amherst, New York United States</t>
  </si>
  <si>
    <t>TimberFish Technologies</t>
  </si>
  <si>
    <t>Tokenizer Banx _2022</t>
  </si>
  <si>
    <t>Manindra Majumdar</t>
  </si>
  <si>
    <t>manindra@tokenizer.cc</t>
  </si>
  <si>
    <t>ONE app for Crypto and Fiat - ONE account for all your financial needs Tokenizer Banx - https://www.tokenizerbanx.com/ We are building a purpose-built decentralized on-chain exchange to enable trading of tokens in transparent and compliant ways. Save, spend, buy, invest in ONE platform &amp; ONE app.</t>
  </si>
  <si>
    <t>The app is not well put together the team wore one-word answers with no details</t>
  </si>
  <si>
    <t>+Coin exchange app -Seems like other apps like Coinbase or PayPal already do this -Early Startup -No revenue</t>
  </si>
  <si>
    <t>6000000 USD</t>
  </si>
  <si>
    <t>NO</t>
  </si>
  <si>
    <t>Potential DiT</t>
  </si>
  <si>
    <t>Seychelles, Se Saint Barthelemy</t>
  </si>
  <si>
    <t>Tokenizer Banx</t>
  </si>
  <si>
    <t>Tomorrow Biostasis _2022</t>
  </si>
  <si>
    <t>Emil Kendziorra</t>
  </si>
  <si>
    <t>emil@tomorrowbiostasis.com</t>
  </si>
  <si>
    <t>Tomorrow Bio researches and offers "Medical Biostasis", which employs ultra low temperatures and specialized cryoprotective solutions to preserve a human in cases where current medical technology can not save the patient - for example terminal cancer - in a state in which future medical technology might be able to revive the patient.</t>
  </si>
  <si>
    <t>a biostasis (preservation of dead body) Company</t>
  </si>
  <si>
    <t>+They are a biostasis (preservation of dead body) company that wants to make the practice more mainstream and accessible +The have raised a significant amount of money and have a few customers +Have insurance and longterm storage partners</t>
  </si>
  <si>
    <t>Grafestr. 11, Berlin Germany</t>
  </si>
  <si>
    <t>Tomorrow Biostasis</t>
  </si>
  <si>
    <t>Tooliqa Inc. _2022</t>
  </si>
  <si>
    <t>Aditya Raj</t>
  </si>
  <si>
    <t>aditya.raj@tooli.qa</t>
  </si>
  <si>
    <t>TOOLIQA is an Advanced Tech Solutions company building products and specialized services in the niche area of Computer Vision, Deep tech, AI, AR/VR &amp; 3D. We are one of rare find companies developing state-of-the-art Hardware and proprietary software.</t>
  </si>
  <si>
    <t>DiT AI/ML software and hardware scan camera for digital twins Needs customers pipeline to show there is a market What is the moat?</t>
  </si>
  <si>
    <t>+ 1. tech is advanced and team has technical talent to back it. - 1. a lot of hype from presentation, I had to read through lengthy self-boasting to see what they are actually trying to do 2. very crowded space, not sure what their edge is</t>
  </si>
  <si>
    <t>change to DiT; uses cameras for digital twinning for design purposes; other companies exist, but their combo of camera and tech are unique</t>
  </si>
  <si>
    <t>1142, 11th Floor, JMD Megapolis, , Sector-48, Gurugram India</t>
  </si>
  <si>
    <t>Tooliqa Inc.</t>
  </si>
  <si>
    <t>TourMega _2022</t>
  </si>
  <si>
    <t>Quynh Pham</t>
  </si>
  <si>
    <t>quynh@tourmega.com</t>
  </si>
  <si>
    <t>TourMega is the largest tours and activities search engine. With over 300,000 activities in 190+ countries and 5000+ cities, we offer the most inventory at the lowest cost. Our AI technology recommends the right activities with high affinity for our users based on their travel interests and behaviors.</t>
  </si>
  <si>
    <t>DiT startup (tours and activities search engine) Women founder</t>
  </si>
  <si>
    <t>+ 1. Company has been generating revenue 2. Their size could put them ahead even if the tech part isn't by itself novel - 1. Tech and usage of tech are not novel</t>
  </si>
  <si>
    <t>Start-Up Chile Accelerator/Incubator</t>
  </si>
  <si>
    <t>TourMega</t>
  </si>
  <si>
    <t>TRAFFpass _2022</t>
  </si>
  <si>
    <t>Nickolas Sneed</t>
  </si>
  <si>
    <t>npsneed777@gmail.com</t>
  </si>
  <si>
    <t>TRAFFpass utilizes radio networks to solve inefficiencies for Policeman and Motorists during traffic stops, ultimately helping to streamline the distribution of license, registration, and proof of insurance.</t>
  </si>
  <si>
    <t>Leveraging radio networks to conveniently distribute data with Police seamlessly during a traffic stop. Concept stage what's the tech?</t>
  </si>
  <si>
    <t>- In concept phase &gt; utilizes radio networks to solve inefficiencies for policemen and Motorists during traffic stops but how are they doing it ? + Founder is NYU Stern member ? like to raise $150 Million dollars (Big numbers for fundraising) &gt;&gt; Not fit for EFL for this year</t>
  </si>
  <si>
    <t>6100 Maple Rock Way, Maryland United States</t>
  </si>
  <si>
    <t>TRAFFpass</t>
  </si>
  <si>
    <t>Turn Plus Power LLC. _2022</t>
  </si>
  <si>
    <t>Alireza Akhondi</t>
  </si>
  <si>
    <t>alireza@turnpluspower.com</t>
  </si>
  <si>
    <t>Turn+ is an inflatable, portable, lightweight wind turbine. Turn Plus supplies electricity for RVs using green energy of wind. The target customers are Rv owners. This electricity can power RV?s electrical system, giving the customers a sustainable off-grid power source. it produces power all day and night. Can be equipped with solar panel.</t>
  </si>
  <si>
    <t>Portable wind turbine Too early if they can get a working product a crowdfunding campaign will help drive sales then scale to big partners</t>
  </si>
  <si>
    <t>-Very stage in their implementation. -I am unsure about how they would scale.</t>
  </si>
  <si>
    <t>A student at New York University</t>
  </si>
  <si>
    <t>Tehran, Tehran Iran, Islamic Republic of</t>
  </si>
  <si>
    <t>Turn Plus Power LLC.</t>
  </si>
  <si>
    <t>Upword _2022</t>
  </si>
  <si>
    <t>Roee Barak</t>
  </si>
  <si>
    <t>roee@upword.ai</t>
  </si>
  <si>
    <t>Upword's mission is to transform content into knowledge. Today it's broken due to challenges of information overflow and the "forgetting curve". Upword is for knowledge workers: Students, doctors, writers etc. How? One place to manage your knowledge workflow: Summarization, capturing, organizing &amp; streamlining your knowledge.</t>
  </si>
  <si>
    <t>DiT quickly capture key ideas using AI-powered notes and create personalized &amp; summaries</t>
  </si>
  <si>
    <t>+Passionate team +Developed product +Some revenue -Tech does not appear novel -Market not proven</t>
  </si>
  <si>
    <t>Pre-seed|Other: Bridge round</t>
  </si>
  <si>
    <t>$2M</t>
  </si>
  <si>
    <t>Yes.|Fusion VC accelerator.</t>
  </si>
  <si>
    <t>change to DiT; this founder came to info session and used this software during; worth taking a look, though a few other companies already in this space; wait til next year to see traction</t>
  </si>
  <si>
    <t>7th Arizona ave, Santa Monica California, Israel</t>
  </si>
  <si>
    <t>Upword</t>
  </si>
  <si>
    <t>UZME _2022</t>
  </si>
  <si>
    <t>João Campos</t>
  </si>
  <si>
    <t>joao.campos@myuzme.com</t>
  </si>
  <si>
    <t>UZME develops products that are able to make things hot or cold, without depending on external energy sources. Currently, we focus on food &amp; beverages applications, but intend to expand our scope in the near future.</t>
  </si>
  <si>
    <t>make products that can react and release hot or cold mature need to show it can scale and build a pipeline of products right not just focusing on camp and heat packs stuff</t>
  </si>
  <si>
    <t>INVITE NEXT YEAR</t>
  </si>
  <si>
    <t>Yes, a Portuguese incubation program called TAKE-OFF.</t>
  </si>
  <si>
    <t>Torres Vedras, Lisbon Portugal</t>
  </si>
  <si>
    <t>UZME</t>
  </si>
  <si>
    <t>Vectra Automation Inc. _2022</t>
  </si>
  <si>
    <t>Vinod Kettay</t>
  </si>
  <si>
    <t>vkettay@vectraglobal.com</t>
  </si>
  <si>
    <t>Vectra's Auto2D automates the Generation of 2D Engineering Drawings/3D Annotation (from 3D CAD models). The manual creation of 2D/3D Annotation is a dreaded bottleneck in the Manufacturing sector. ?Our clients benefit from: ?Reducing Lead-time from weeks to hours &gt;50% Cost Savings. ?Dramatic reduction in Manufacturing non-conformances</t>
  </si>
  <si>
    <t>DiT Auto2D automates the Generation of 2D Engineering Drawings/3D Annotation lots of platforms trying to tackle this already tech not novel</t>
  </si>
  <si>
    <t>+ Automates the Generation of 2D Engineering Drawings/3D Annotation + Founder has startup experience + $30k/Month from 2 clients Seed: $2,000,000 &gt;r Machine Learning system that has the ability to extract information from customers' reference 3D CAD models &gt;&gt; Not a crazy tech and it doesn't take much time for making a 2d model in the engineering sector even when the system generates people have to verify the drawing which eventually takes time.</t>
  </si>
  <si>
    <t>Bridge|Other: pre-Series A</t>
  </si>
  <si>
    <t>$1M</t>
  </si>
  <si>
    <t>Cary NC, United States</t>
  </si>
  <si>
    <t>Vectra Automation Inc.</t>
  </si>
  <si>
    <t>Vessl Prosthetics Inc. _2022</t>
  </si>
  <si>
    <t>Sydney Robinson</t>
  </si>
  <si>
    <t>sydney@vesslpro.com</t>
  </si>
  <si>
    <t>Vessl has created an automatically adjusting prosthetic socket to solve poor socket fit for lower limb amputees, providing pain relief and comfort during activities of daily living while reducing financial burden to the prosthetists that fabricate and adjust prosthetic sockets.</t>
  </si>
  <si>
    <t>Too early, apply next year</t>
  </si>
  <si>
    <t>This is a good idea. Automatically adjusted socket for amputees when the leg shrinks or swells but they can apply next year.</t>
  </si>
  <si>
    <t>We are part of the Velocity incubator in Waterloo, Ontario and the BioNext incubator in London, Ontario.</t>
  </si>
  <si>
    <t>Morteza Ahmadi</t>
  </si>
  <si>
    <t>Ilderton, Ontario Canada</t>
  </si>
  <si>
    <t>Vessl Prosthetics Inc.</t>
  </si>
  <si>
    <t>Rostislav Spektor</t>
  </si>
  <si>
    <t>slava@viridianspace.com</t>
  </si>
  <si>
    <t>Viridian Space Corporation is developing technology to enable sustained, cost-effective satellite operation in ultra-low Earth orbit (ULEO) below 300 km and to be good stewards to Earth?s increasingly congested orbital environment. At these low orbits satellites will provide superior Earth Observation and Communication capabilities.</t>
  </si>
  <si>
    <t>Needs MVP. Not raising funds. They need to take it out of the research stage and into the real word Invite again next year.</t>
  </si>
  <si>
    <t>+ 1. Tech is very advanced and novel 2. Team is made up of experts in the field - 1. Tech is still being validated in labs, and are still some distance away from prototyping. 2. Due to the early stage of the project, little information is given to specific logistics -- cost per satellite, average life of satellite, and more importantly, how much is the improvements of these closer-orbit satellites than existing ones -- starlink for example. 3. Competition seems strong and a major competitor has military background.</t>
  </si>
  <si>
    <t>We are currently participating with Mandala Space Ventures, an incubator spun off from the Explorer1Fund.</t>
  </si>
  <si>
    <t>Khoa + DT TAs to revisit</t>
  </si>
  <si>
    <t>120 Eucalyptus Dr, El Segundo, Ca United States</t>
  </si>
  <si>
    <t>Viridian Space Corporation</t>
  </si>
  <si>
    <t>Volatile AI _2022</t>
  </si>
  <si>
    <t>Adomas Malaiska</t>
  </si>
  <si>
    <t>adomas@volatile.ai</t>
  </si>
  <si>
    <t>Volatile AI builds a low cost portable chemical analysis device to enable measurements outside the lab for food authenticity and personnel security, bringing insight hours earlier and at a 10th of the cost.</t>
  </si>
  <si>
    <t>low-cost portable chemical analysis device having testing issues already lots of players already in the space</t>
  </si>
  <si>
    <t>Yes, our initial funding came from Entrepreneur First (London) and Hax/SOSV (US) in 2019. We have not raised since.</t>
  </si>
  <si>
    <t>London, London United Kingdom</t>
  </si>
  <si>
    <t>Volatile AI</t>
  </si>
  <si>
    <t>Voltiza Inc _2022</t>
  </si>
  <si>
    <t>Goran Rajsic</t>
  </si>
  <si>
    <t>gra@voltiza.com</t>
  </si>
  <si>
    <t>Voltiza offers a battery as a service solution, which includes solar-powered battery swapping infrastructure, light EVs, as well as home power systems integrated into a single software platform, to solve serious health and climate change issues for African people by providing a clean and sustainable e-mobility ecosystem.</t>
  </si>
  <si>
    <t>Swappable batteries, with multiple uses Very early Needs a business model Get MVP</t>
  </si>
  <si>
    <t>+Founder has renewable energy project experience -Team very small -Too early for EFL</t>
  </si>
  <si>
    <t>300 Delaware Avenue, Suite 210, Wilmington, Delaware 19801 United States</t>
  </si>
  <si>
    <t>Voltiza Inc</t>
  </si>
  <si>
    <t>VoteOurVoice, Inc. _2022</t>
  </si>
  <si>
    <t>Richard Hill</t>
  </si>
  <si>
    <t>rhill@voteourvoice.com</t>
  </si>
  <si>
    <t>VoteOurVoice is a global, nonpartisan, voting tool that allows people to grade the performance of their politicians. We are solving a problem that most voters have?insufficient data to evaluate politicians. We?re providing voters with an easy and objective way to make informed electoral choices and hold their politicians accountable.</t>
  </si>
  <si>
    <t>graphs compare and contrast the voting patterns of individuals, politicians, and voting districts already many ways to get this data not novel</t>
  </si>
  <si>
    <t>(+)The founder seems passionate about their product (-)The team seems small (-)Maybe too early for EFL (-)Potential market too small (-)The technology does not seem novel</t>
  </si>
  <si>
    <t>Jeremiah Wilson</t>
  </si>
  <si>
    <t>2412 Saddlewood Ct, Cedar Hill United States</t>
  </si>
  <si>
    <t>VoteOurVoice, Inc.</t>
  </si>
  <si>
    <t>Vyir Inc _2022</t>
  </si>
  <si>
    <t>James Scholtz</t>
  </si>
  <si>
    <t>james.scholtz@gmail.com</t>
  </si>
  <si>
    <t>Vyir Inc is commercializing its optical infrared camera, a technology that enables a standard visible camera to ?see? an infrared image. This results in an infrared imager with higher resolution and lower cost. Infrared cameras increase situational awareness in numerous dual-use applications, resulting in reduced loss of life and property damage.</t>
  </si>
  <si>
    <t>commercializing its optical infrared camera early and needs to get a working prototype built a business model customer pipeline</t>
  </si>
  <si>
    <t>A good business strategy could help them</t>
  </si>
  <si>
    <t>$500,000 - $1,000,000</t>
  </si>
  <si>
    <t>As part of this startup, I have participated in: (1) Regional (NYCRIN) and National (San Antonio, TX) National Science Foundation I-Corps cohorts, (2) Westchester County Biotech Accelerator (WCBA, or NYC E-Labs) (3) Mass Challenge Early Stage, presently (4) BAE Systems Technology Accelerator managed by Fedtech, presently (5) Our office in located in the CUNY Innovation Hub (I-Hub) incubator for technology startups and we have received early funding and business development support from the ASRC Sensor Center for Advanced Technology (CAT).</t>
  </si>
  <si>
    <t>Vyir Inc</t>
  </si>
  <si>
    <t>Colleen Costello</t>
  </si>
  <si>
    <t>costello@vyv.tech</t>
  </si>
  <si>
    <t>Vyv offers a new class of antimicrobial light for germ and infection control through safe, continuous LED products that can be used anywhere a light can fit. We service customers in food processing, healthcare, pharmaceutical, industrial/commercial and consumer residential product applications (i.e. kitchens and bathrooms).</t>
  </si>
  <si>
    <t>Deep Tech. Continuous white LED light that disinfects while being safe for humans (unlike UV light). 405 nm light is the sweet spot for killing bacteria while being safe for us. Can be used anywhere a regular light is used - ideal for bathrooms and hospitals. Not the most exciting idea, but very effective. Their demo shows the light incorporated into a ventilation fan that draws out humidity for use in bathrooms. Founders from RPI. Minerva Tantoco is on Vyv's Board of Directors and is currently the Chief AI Officer for the NYU McSilver Institute. Raised $17M and IP is extremely well-protected.</t>
  </si>
  <si>
    <t>Deep Tech. An LED light that its emission is in the visible light range and possesses antimicrobial activity. Safe for continuous around human. 90-99% microbe reduction. 400-420 nm. Low electricity consumption.</t>
  </si>
  <si>
    <t>$5M</t>
  </si>
  <si>
    <t>Yes. - Rensselaer Polytechnic Institute incubation program - New York State Energy Research &amp; Development Authority (NYSERDA), multiple programs + Mount Sinai Medical Center - Springboard Enterprises Cohort - Engage Ventures Cohort - Finnish Maritime Accelerator - Spanish Fishing Industry Accelerator - Moderne Ventures passport program.</t>
  </si>
  <si>
    <t>change to DT; continuous white LED light that's safe for humans (similar to UV lighting but not hazardous for people); ideal for hospitals/bathrooms; not exciting but effective; IP well protected; other questions: fund raising questions?</t>
  </si>
  <si>
    <t>Latham, NY United States</t>
  </si>
  <si>
    <t>Vyv</t>
  </si>
  <si>
    <t>Walela Inc. _2022</t>
  </si>
  <si>
    <t>James Balman</t>
  </si>
  <si>
    <t>james.balman@walela.com</t>
  </si>
  <si>
    <t>Walela provides continuous fetal pH and oxygenation monitoring so doctors can accurately determine when and if a c-section is needed. We will improve clinical decisions and improve outcomes for mother and baby.</t>
  </si>
  <si>
    <t>Continues fetal metabolic monitoring device to check pH and Oxygen levels during birth. This is a good idea but I am not sure if its a good fit.</t>
  </si>
  <si>
    <t>mhub medtech accelerator</t>
  </si>
  <si>
    <t>965 W. Chicago Ave., IL United States</t>
  </si>
  <si>
    <t>Walela Inc.</t>
  </si>
  <si>
    <t>Walkspan _2022</t>
  </si>
  <si>
    <t>Bernardita Calinao</t>
  </si>
  <si>
    <t>bcalinao@walkspan.com</t>
  </si>
  <si>
    <t>Walkspan is a data-driven and location intelligence technology firm dedicated to advancing walkability and urban livability at a global scale. Our neighborhood intelligence platform matches property buyers and renters with the neighborhood of their choice thereby alleviating buyers remorse linked to being in the wrong neighborhood.</t>
  </si>
  <si>
    <t>DiT matches property buyers and renters with the neighborhood of their choice tech like this already in the market need to show that matching data sets do work when making buying decisions</t>
  </si>
  <si>
    <t>Much of the GIS + ML products, can identify a suitable location for finding neighbourhoods and apartments. Not much tech involved, Not a good fit</t>
  </si>
  <si>
    <t>1 million</t>
  </si>
  <si>
    <t>Tech Incubator at Queens College NewChip GoforVertical HyperAccelerator</t>
  </si>
  <si>
    <t>189 West 89th Street PH1L, New York, NY United States</t>
  </si>
  <si>
    <t>Walkspan</t>
  </si>
  <si>
    <t>WATZ _2022</t>
  </si>
  <si>
    <t>Alessandro Latif</t>
  </si>
  <si>
    <t>alelat19@gmail.com</t>
  </si>
  <si>
    <t>We build wearable analytics for athletes and consumers to take optimal health decisions. Our SaaS platform aggregates wearable data and provides insights driven by a community of sports scientists and health researchers. Researchers deepen and scale the impact of their work. Consumers connect devices to receive highly personalized training plans.</t>
  </si>
  <si>
    <t>DiT SaaS platform aggregates wearable data and provides insights driven by a community of sports scientists and health researchers Need a business model and custumers</t>
  </si>
  <si>
    <t>(-)Tech does not appear to be novel (-)Small potential market (-)Might be too early for EFL</t>
  </si>
  <si>
    <t>Gabriele Kriaucionyte</t>
  </si>
  <si>
    <t>Parkland, FL United States</t>
  </si>
  <si>
    <t>WATZ</t>
  </si>
  <si>
    <t>Wenu Work _2022</t>
  </si>
  <si>
    <t>Daniel Santander</t>
  </si>
  <si>
    <t>daniels@wenuwork.cl</t>
  </si>
  <si>
    <t>We developed an IoT solution (hardware + software), that, through an easy deployment, can monitor electrical consumption in detail, providing key aspects of energy usage for our customers. This enables better decision making processes in terms of energy efficiency, lowering the carbon footprint.</t>
  </si>
  <si>
    <t>DiT energy management services IoT and a private web platform to provide easy-to-understand information regarding the energy efficiency lots of players</t>
  </si>
  <si>
    <t>3M USD</t>
  </si>
  <si>
    <t>Startup Chile and Imagine Labs Chile</t>
  </si>
  <si>
    <t>Santiago, Metropolitana Chile</t>
  </si>
  <si>
    <t>Wenu Work</t>
  </si>
  <si>
    <t>Wordcab _2022</t>
  </si>
  <si>
    <t>Aleks Smechov</t>
  </si>
  <si>
    <t>aleks@wordcab.com</t>
  </si>
  <si>
    <t>Wordcab has developed a technology that turns meeting transcripts into human-sounding, bullet point-style summaries, solving the note taking problem for the 100B+ business calls that happen in the US every year.</t>
  </si>
  <si>
    <t>Market is competitive with lots of players. Would like to see more traction. This could be a DiT startup Maybe next year?</t>
  </si>
  <si>
    <t>I like the problem they are solving: abstracting an understanding from voice and text into summaries using NLP. It strikes me as a highly technical problem that requires highly technical experience; I'm not sure this founder has that experience but could be worth a conversation. There are plenty of other startups in this space, so it is highly competitive. I would want to better understand competitors and the benefits to customers - I thought their case studies were a little light.</t>
  </si>
  <si>
    <t>We just wrapped up the Launch.co accelerator and are going through their syndicate program (thesyndicate.com)</t>
  </si>
  <si>
    <t>600 Baychester Ave , NY United States</t>
  </si>
  <si>
    <t>Wordcab</t>
  </si>
  <si>
    <t>ZiO Health _2022</t>
  </si>
  <si>
    <t>Neel Patel</t>
  </si>
  <si>
    <t>neel.patel@zio-health.com</t>
  </si>
  <si>
    <t>Using ZiO?s proprietary pocket-sized biosensor technology, our therapeutic drug monitoring device quantitatively tests concentration levels of medications that require monitoring due to their narrow therapeutic range risking toxicity and, using machine learning algorithms, it combines the result with the patients? unique profile to enhance dosing.</t>
  </si>
  <si>
    <t>Deep Tech. Compare to CARI Health and invite one. This is a handheld POC device that uses an electrochemical based biosensor (patented) that quantitatively tests molecule levels in fluids. Validated in blood and urine samples at Johns Hopkins (no data provided). First is Vancomycin. IP is well protected. Team from Oxford and ICL, with advisors from SOSV, J&amp;J and UC Berkeley.</t>
  </si>
  <si>
    <t>Hand-held POC device that uses electrochemical biosensors and AI to detect metabolites in different body fluids with only few drops of fluid. Clinical-precision quantitative results in 2-5mins and is able to monitor continuously if required. Their primary focus is Vancomycin. Affiliation with SOSV (HAX), JNJ Innovation, UCBerkeley, Johns Hopkins. Great team. No data on validation. Want to know more about details of their validation tests. Clinical and comparative analysis in JH Hospital.</t>
  </si>
  <si>
    <t>We are affiliated with HAX Accelerator, Newchip Accelerator and UC Berkeleys healthtech accelerator. We are also within the EIT (European Institute of Innovation &amp; Technology) portfolio which supports us.</t>
  </si>
  <si>
    <t>change to DT; POC device; testing in blood and urine at John Hopkins, out of oxford and imperial collge;</t>
  </si>
  <si>
    <t>ZiO Health</t>
  </si>
  <si>
    <t>Ziscuit, Inc. _2022</t>
  </si>
  <si>
    <t>Mark Peterson</t>
  </si>
  <si>
    <t>mpeter1896@ziscuit.shop</t>
  </si>
  <si>
    <t>Ziscuit is a 2-sided reverse auction marketplace that saves shoppers time and money when grocery stores bid to fulfill their shopping lists.</t>
  </si>
  <si>
    <t>DiT like halla but less further along</t>
  </si>
  <si>
    <t>Digital Tech Venture +Experinced founder in developing ventures.</t>
  </si>
  <si>
    <t>Cranium Incubator 2020 - https://cranium-incubator.com Bronze Valley Accelerator 2021 - https://bronzevalley.com/ Techstars Farm to Fork 2021 - https://www.techstars.com/accelerators/farm-to-fork Velocity Accelerator 2022 - https://innovationdepot.org/program/velocity/ Google?s Founder Academy 2022 - https://startup.google.com/programs/founders-academy/</t>
  </si>
  <si>
    <t>Ziscuit, Inc.</t>
  </si>
  <si>
    <t>Reza Hashemiha</t>
  </si>
  <si>
    <t>reza@zoomrin.com</t>
  </si>
  <si>
    <t>Zoomrin uses novel patented technologies, leveraging the non-Cartesian MRI approach in order to make MR Imaging significantly more efficient than it is currently practiced. This means faster procedures and higher quality images, as well as more affordability and accessibility of MR Imaging for patients, doctors, and clinics.</t>
  </si>
  <si>
    <t>Useful software but not groundbreaking, not very innovative Have no funding - currently bootstrapping We can cluster and then decide if we want to invite them</t>
  </si>
  <si>
    <t>DiT/DT may take a look. Improving quality of MRI by an AI-powered software based on PFT. It makes MRI faster, cheaper, and easier. Good team. Bootstrapping.</t>
  </si>
  <si>
    <t>No, we have found EFL to be the most fitting program for our deep tech/health science/digital Tech core. We are exactly at the intersection of all three tracks offered.</t>
  </si>
  <si>
    <t>change to DT; maybe early in terms of funding; have 2 US patents;</t>
  </si>
  <si>
    <t>247 Driggs Avenue , NY United States</t>
  </si>
  <si>
    <t>Zoomrin</t>
  </si>
  <si>
    <t>ZRC - AI-powered HVAC solutions _2022</t>
  </si>
  <si>
    <t>Dr. Zoltan Derzsi</t>
  </si>
  <si>
    <t>zd8@nyu.edu</t>
  </si>
  <si>
    <t>ZRC develops a device that monitors the refrigeration cycle in domestic heat pumps and air conditioners (HVAC). The device works as an early warning system for equipment failure and efficiency loss. To the customer, this device reduces the chance of HVAC breakdown, and also lowers the electricity bills.</t>
  </si>
  <si>
    <t>Only an idea with no data, very early. Consider following up next year. Or send to Berkly</t>
  </si>
  <si>
    <t>1. I'm not convinced that HVAC malfunctioning detection is a ML problem ( to start, the Founder would need to provide more details on what exactly are the parameters being trained on, followed by model selection, data acquisition, scalability etc...) 2. Current obstacle is recognized, but no solution is attempted. (access of data) 3. Founder has no expertise in ML/AI (founder is expert in biological neural network, but NN in ML is not that comparable) 4. Plan for the future is hazy Overall, it is my opinion that this project requires more thinking and experimenting before it's ready for EFL.</t>
  </si>
  <si>
    <t>No. I once did a Biotech YES competition, came second in the regional turn. But that was just a game, and no real things were involved.</t>
  </si>
  <si>
    <t>Abu Dhabi, Al Rahba Post Office, PO Box 137622, Abu Dhabi United Arab Emirates</t>
  </si>
  <si>
    <t>ZRC - AI-powered HVAC solutions</t>
  </si>
  <si>
    <t>Schuyler Cullen</t>
  </si>
  <si>
    <t>schuyler@summerrobotics.ai</t>
  </si>
  <si>
    <t>Summer Robotics develops 3D perception software to solve critical safety and speed related challenges for customers in the mobility space, providing emergency collision avoidance, navigation, recognition and precision localization for on land, underwater and airborne machines.</t>
  </si>
  <si>
    <t>- Need to do more technical due diligence on if this innovation is important enough: what use cases are critical for Event Cameras plus LIDAR. - Lots of software innovation processing event camera output. - Founder has deep technical and industry background.</t>
  </si>
  <si>
    <t>Poised to make massive impact on robotics, strong complementary startup leadership, strong funding &amp; momentum, excellent fit for EFL.</t>
  </si>
  <si>
    <t>unique tech combining event cameras with other cameras; event cameras are new in world of computer vision; not a lot of analytic software out there so far; experienced founders</t>
  </si>
  <si>
    <t>Campbell, CA United States</t>
  </si>
  <si>
    <t>Summer Robotics Inc</t>
  </si>
  <si>
    <t>Kayli Dale</t>
  </si>
  <si>
    <t>kayli@friendlier.ca</t>
  </si>
  <si>
    <t>Friendlier is building reverse logistics software to help businesses manage their returnable packaging systems with a cloud-based tracking platform.</t>
  </si>
  <si>
    <t>manage the reverse logistics for reusable packaging in the EU there are many services that offer this and an infrastructure, the US needs this generated $120k in 2021 and have done over $350k so far in 2022</t>
  </si>
  <si>
    <t>I am impressed that the founders with a chemical engineering background were able to create a shipping logistics company with real traction in ~ 2 years.</t>
  </si>
  <si>
    <t>We went through Next36</t>
  </si>
  <si>
    <t>Change to DiT; revenue already; strong team; could be a big idea if it catches on, US does not have this infrastructure yet</t>
  </si>
  <si>
    <t>Guelph, Ontario Canada</t>
  </si>
  <si>
    <t>Friendlier</t>
  </si>
  <si>
    <t>Vishnu Teja Chundi</t>
  </si>
  <si>
    <t>vishnu@assetvault.co</t>
  </si>
  <si>
    <t>AssetVault is digitising estate planning. AasaanWill.com is launched to help Indian families with their Financial Continuity plans. Current Will writing process is expensive, confusing, time-consuming and offline. We offer 100% legally valid Wills from the comfort of your home at a fraction of a lawyer?s cost and within 20 minutes.</t>
  </si>
  <si>
    <t>Niche market + good traction. No tech moat.</t>
  </si>
  <si>
    <t>This is a high-risk startup with incredible reward potential. The existing customer base is quite promising.</t>
  </si>
  <si>
    <t>$300K cash.</t>
  </si>
  <si>
    <t>TechStars London</t>
  </si>
  <si>
    <t>score disrepency</t>
  </si>
  <si>
    <t>London, NA United Kingdom</t>
  </si>
  <si>
    <t>AssetVault Limited</t>
  </si>
  <si>
    <t>Matthew DeVico</t>
  </si>
  <si>
    <t>matt@dteckt.com</t>
  </si>
  <si>
    <t>Dteckt is focused on building an interactive webapp that brings corporate level security controls to the household. We aim to give consumers a platform to manage their digital risk, finance, identity, and criminal monitoring, understand privacy as it relates to their online presence, manage their accounts and passwords, and operate their devices se</t>
  </si>
  <si>
    <t>solid team, growing market, novel tech. in cyber-security space attracting growing interest from our mentors</t>
  </si>
  <si>
    <t>The founder has been able to put together a good team and communicates the vision well (the deck looks pretty good). It seems clear that customers do want very high-quality protection for their data, without a complicated interface. The market is large.</t>
  </si>
  <si>
    <t>4760 S Highland Drive Holladay UT 84117, Utah United States</t>
  </si>
  <si>
    <t>Dteckt, Inc.</t>
  </si>
  <si>
    <t>Christian Murphy</t>
  </si>
  <si>
    <t>christian@eachday.health</t>
  </si>
  <si>
    <t>A day-to-day gamified ADHD self-management app that strengthens executive functions to increase medication adherence and reduce the frequency of ADHD symptoms.</t>
  </si>
  <si>
    <t>Digital Tech. Gamified ADHD self-management app based in executive function training. Didn't provide validation with patients, but they have interviewed customers and have a great understanding of their market. Team from Carnegie Melon, IndieBio referral.</t>
  </si>
  <si>
    <t>Pass to DiT. IndieBio NY startup, and they referred to us. Loved their pitch; obviously IB helped them a lot! Good team. Good market potential and innovation.</t>
  </si>
  <si>
    <t>Carnegie Mellon VenutreBridge IndieBio NY</t>
  </si>
  <si>
    <t>IndieBio Ny</t>
  </si>
  <si>
    <t>Change to DiT; using exec function training in a game-ified app; tech is based on research but does not have patient study yet; referred by IndieBio;</t>
  </si>
  <si>
    <t>LEWES, DE United States</t>
  </si>
  <si>
    <t>Eachday, INC.</t>
  </si>
  <si>
    <t>Max Sims</t>
  </si>
  <si>
    <t>Max@MindTrace.com</t>
  </si>
  <si>
    <t>MindTrace fuses 3D brain maps with measures of a neurosurgery patient?s behavioral performance, simulates surgical resection plans, and predicts cognitive outcomes ? all before the first incision, or in real-time during surgery.</t>
  </si>
  <si>
    <t>Great fit for EFL: high-impact, novel tech, patents, and momentum.</t>
  </si>
  <si>
    <t>Low burn, novel technology. Needs help w commercialization.</t>
  </si>
  <si>
    <t>MindTrace completed VentureWell?s ASPIRE program, Optum?s Startup Studio, LifeX Global?s Accelerator, Creative Destruction Lab?s Health Stream, Central NY?s Biotech Accelerator, AlphaLab Health's Accelerator and is currently a member of LifeX Global, MATTER, and StartUp Health.</t>
  </si>
  <si>
    <t>distinction from competetitors: incorporates behavioral input and cognitive prediction; poised to grow rapidly; early-ish in validation, but already in two hospitals with neurosurgeons; FDA QSUB meeting in March, submitting as breakthrough device in Aug 2022</t>
  </si>
  <si>
    <t>Pittsburgh, PA United States</t>
  </si>
  <si>
    <t>MindTrace</t>
  </si>
  <si>
    <t>Eric Yoon</t>
  </si>
  <si>
    <t>eric.yoon@estv.co</t>
  </si>
  <si>
    <t>ESTV is world?s leading 24-7 esports television network which was launched in May 2019. Currently, ESTV broadcasts to over 50 countries worldwide. ESTV is available on all of major CTV, OTT and mobile platforms. ESTV currently owns and operates 4 linear 24-7 esports channels and 1 AVOD channel to target the growing Gen Z millennial demographic.</t>
  </si>
  <si>
    <t>- Building brand new business model of "Watch &amp; Earn Crypto" for esports gaming, following the play to earn trend in the gaming industry. - Gaining traction both in terms of 29M unique viewers as well as $1M projected gross revenue. - Founder very experienced both in startup advisory, esports, banking and investment. - Should interview.</t>
  </si>
  <si>
    <t>(+)The CEO has extensive experience in the gaming/Metaverse industry (+)In 2022 they project $1 million in gross revenue with over $300,000 in EBITDA. (+)Potential market large a predicted to grow (+)The have a working app where users get NODLE Cash for watching (+)Developing their own crypto currency (-)Might be a bit too early for crypto part of the business</t>
  </si>
  <si>
    <t>Television Korea 24, Inc. (ESTV)</t>
  </si>
  <si>
    <t>Amos Adler</t>
  </si>
  <si>
    <t>Amos@memotext.com</t>
  </si>
  <si>
    <t>A4i is a digital therapeutic and digital biomarker platform to solve the high fragmented are care journey and care coordination challenges experienced by patients living with severe mental illness (SMIs) so that we can improve patient engagement with care providers, improve adherence to therapies and reduce relapse and readmission.</t>
  </si>
  <si>
    <t>- Competitors such as Pear Therapeutics are going through contractions and reducing employees. Need to understand how that affects this startup. - Decent scientific backing, joint venture with largest mental health teaching hospital. - Decent grant award. - Science-based opioid addiction management app could be very useful in the U.S.</t>
  </si>
  <si>
    <t>Great concept. Lower risk. Likely to find some limited success, but the market may not be as large as anticipated.</t>
  </si>
  <si>
    <t>1.5 million USD</t>
  </si>
  <si>
    <t>We are graduates of the Creative Destruction Lab program in 2022.</t>
  </si>
  <si>
    <t>A4i</t>
  </si>
  <si>
    <t>Abstractive Health _2022</t>
  </si>
  <si>
    <t>Vince Hartman</t>
  </si>
  <si>
    <t>vince@abstractivehealth.com</t>
  </si>
  <si>
    <t>Abstractive Health helps doctors read and write clinical notes faster with an automated summary. We use a novel natural language processing (NLP) approach and machine learning technology to create a summary of the patient chart.</t>
  </si>
  <si>
    <t>- Well rounded team with decision level advisor at Cornell Weill - Technology developed has wide application potential for both healthcare systems as well as insurance companies. - Should interview.</t>
  </si>
  <si>
    <t>Potential for very high impact, would be good fit for EFL--physician burnout is a major problem in healthcare. Worth inviting them to interview.</t>
  </si>
  <si>
    <t>$750,000 - $1.5 million</t>
  </si>
  <si>
    <t>We are in the Cornell Tech Spinout program</t>
  </si>
  <si>
    <t>We were referred from the director of Runway and Spinouts at Jacobs Technion-Cornell, Fernando Gómez-Baquero</t>
  </si>
  <si>
    <t>New York , New York United States</t>
  </si>
  <si>
    <t>Abstractive Health</t>
  </si>
  <si>
    <t>Justin Clegg</t>
  </si>
  <si>
    <t>justin@allsethq.com</t>
  </si>
  <si>
    <t>conversational (txt based) AI. Have excellent recent traction in a crowded space where execution is important. not clear that the startup will be disruptive.</t>
  </si>
  <si>
    <t>Seems like a good bet based on the team, the existing revenue, and the market need.</t>
  </si>
  <si>
    <t>Lehi UT, United States</t>
  </si>
  <si>
    <t>Allset</t>
  </si>
  <si>
    <t>AsisVisa Immigration Corp _2022</t>
  </si>
  <si>
    <t>Sergio Suarez</t>
  </si>
  <si>
    <t>sergio.suarez@asisvisa.com</t>
  </si>
  <si>
    <t>AsisVisa helps Latino Immigrants obtain lawful immigration status in the United States. We have created a "TurboTax type" platform where immigrants can prepare their immigration applications with automated legal guidance.</t>
  </si>
  <si>
    <t>It's a good solution to a great problem; concerns about scaling (i.e., GTM, CAC); tech innovation is good but potentially light compared to other applicants</t>
  </si>
  <si>
    <t>This is a very promising company based on the traction its already gaining.</t>
  </si>
  <si>
    <t>Sputnik ATX, Austin TX. Startar Acceleration, New York City, Seed Spot, Arizona, USA. InnoTIC Challenge 100 M, Universidad de los Andes, Colombia. Cube Ventures, Bogota, Colombia.</t>
  </si>
  <si>
    <t>web-based automated legal service; 12K/mo, 230 customer; CEO is only full-time founder; promising based on traction</t>
  </si>
  <si>
    <t>301 Congress Avenue Suite 2200, Austin, TX, 78701. , Texas United States</t>
  </si>
  <si>
    <t>AsisVisa Immigration Corp</t>
  </si>
  <si>
    <t>Uzair Javaid</t>
  </si>
  <si>
    <t>uzair@betterdata.ai</t>
  </si>
  <si>
    <t>BetterData provides a platform that uses AI, Blockchain and Privacy Enhancing Technologies to help data teams in regulated sectors (finance, healthcare, public sector) to use their customer data at scale while complying with the increasing data protection regulations; locally, regionally and globally.</t>
  </si>
  <si>
    <t>Founders seem to have good experience in the sector; the market opportunity is large and there are lots of players (e.g., YData from previous EFL cohort); I'm not sure what makes the tech unique and how they can develop a competitive advantage; founders seem very eager to participate and may be worth interviewing</t>
  </si>
  <si>
    <t>+ 1. addresses a real and growing problem 2. tech is advanced 3. already up and running with clients 4. team has good talents in related fields - 1. might face lots of competitions</t>
  </si>
  <si>
    <t>We started with Entrepreneur First and currently, we have a person assigned to us for 2 years by Franklin Templeton until mid 2024 and have already invited us to be in US in Oct 2022 for a founder's week event.</t>
  </si>
  <si>
    <t>Singapore, Singapore Singapore</t>
  </si>
  <si>
    <t>BetterData</t>
  </si>
  <si>
    <t>Yonatan Schreiber</t>
  </si>
  <si>
    <t>yonatan@blings.io</t>
  </si>
  <si>
    <t>Blings aims to build the next building block of the web, by presenting the MP5 technology - dynamic videos with real-time data, personalized, and fully interactive.</t>
  </si>
  <si>
    <t>- Strong fundraising - Good market potential already with strong ARR growth trend. - Should interview</t>
  </si>
  <si>
    <t>Propose a new form of video file which could address problems with mp4 video(static). Receiving recognition from other accelerators and promising revenoue</t>
  </si>
  <si>
    <t>3-5mm</t>
  </si>
  <si>
    <t>Berkeley's Skydeck. bridge-builders (Coca cola, Mercedes). Deloitte launchpad</t>
  </si>
  <si>
    <t>Carlebach 13 , Tel Aviv Israel</t>
  </si>
  <si>
    <t>Blings.io</t>
  </si>
  <si>
    <t>Yohei Fujii</t>
  </si>
  <si>
    <t>yohei@boostdraft.com</t>
  </si>
  <si>
    <t>BoostDraft develops software to improve work efficiency for lawyers, providing a secure assisted legal editor that adds to Microsoft Word for better readability and edibility.</t>
  </si>
  <si>
    <t>- Profitable startup not looking for funding - Demonstrated strong product market fit in Japan. - Having difficulty expanding pipeline in the U.S., and therefore need mentorship. - Could cluster with other legal tech startups.</t>
  </si>
  <si>
    <t>This is a profitable startup not looking for investment. As such, it may be of limited interest to EFL mentor/investors. On the other hand, perhaps there is a strategy to scale the startup more quickly and increase its target revenue. Worth a look.</t>
  </si>
  <si>
    <t>Yes. We have participated in StartX (Stanford), MIT Sandbox and MassChallenge.</t>
  </si>
  <si>
    <t>Simone Zhang</t>
  </si>
  <si>
    <t>Using AI for legal review/edit to make more efficient; 2M in revenue, but no plans to raise more funding; 17/20 top law firms in JP are already using, looking to expand into US; would mentors be interested if they are not fund raising? cluster with other legal companies?</t>
  </si>
  <si>
    <t>Tokyo, Kanto Japan</t>
  </si>
  <si>
    <t>BoostDraft Inc.</t>
  </si>
  <si>
    <t>Erik Holling</t>
  </si>
  <si>
    <t>erik.holling@c-end.com</t>
  </si>
  <si>
    <t>raising a large round; has excellent revenues, but with no deck or other info, hard to gauge technical innovation here. will be a successful company but is this for EFL?</t>
  </si>
  <si>
    <t>Not patented yet. Want to know more about their tech details and validations as they don't have any deck.</t>
  </si>
  <si>
    <t>54 Easton Avenue, RI</t>
  </si>
  <si>
    <t>C-End, LLC</t>
  </si>
  <si>
    <t>Maya Ber Lerner</t>
  </si>
  <si>
    <t>maya@chiefyteam.com</t>
  </si>
  <si>
    <t>Chiefy is a SaaS operating system for surgery that helps surgeons, anesthesiologists, nurses and other stakeholders bake best practices seamlessly into daily operations - improving team productivity, perioperative efficiency and surgical quality.</t>
  </si>
  <si>
    <t>SaaS operating system for surgery. Team has complementary skill sets (sales, software, surgery). I think selling and implementing this software in hospitals will be very difficult, making scaling potentially slow and costly. They are early (no pilots yet, expected this year) and a use case would be helpful to understand how much front-line users would really benefit from it. Given three NYU Neurosurgeons are advisors, we should probably interview.</t>
  </si>
  <si>
    <t>The start-up has strong connection with NYU Langone which might worth discussing in interview</t>
  </si>
  <si>
    <t>We participated in the 2022 Westchester County Bioscience Accelerator (former eLabNYC - Mary Howard)</t>
  </si>
  <si>
    <t>AWS!</t>
  </si>
  <si>
    <t>NYU affiliation; concerns with performance in relation to competition</t>
  </si>
  <si>
    <t>Chiefy</t>
  </si>
  <si>
    <t>Katherine Shayne</t>
  </si>
  <si>
    <t>kat@cirt.tech</t>
  </si>
  <si>
    <t>CIRT (Can I Recycle This) is SaaS sustainability platform that provides companies across the US with real-time access to location-specific product and packaging recovery information ? or more simply, an accurate answer to the question ?Can I Recover This?? Our data helps companies attain ESG goals, save money, and mitigate EPR risk.</t>
  </si>
  <si>
    <t>addressing a real issue.. some early customers, solid team; EFL can help them with their business model challenges (which will be key to their commercial success)</t>
  </si>
  <si>
    <t>+ 1. good tech setup 2. strong team - 1. core tech isn't novel</t>
  </si>
  <si>
    <t>Yes. We were apart of NSF I-Corp, SeaAhead BlueSwell, and 100+ Accelerator</t>
  </si>
  <si>
    <t>Athens, Georgia United States</t>
  </si>
  <si>
    <t>CIRT (Can I Recycle This, Inc.)</t>
  </si>
  <si>
    <t>Gabriele Musella</t>
  </si>
  <si>
    <t>info@coinrule.com</t>
  </si>
  <si>
    <t>Coinrule is a platform that allows users to automate trades on their favorite cryptocurrency exchanges with no coding required. The platform was set up to help the regular individual compete with the vast number of bots that hedge funds and investment banks operate within the market.</t>
  </si>
  <si>
    <t>- Decent traction and revenue. - Cryptocurrency is currently in the midst of a bear market, there are fewer people looking to trade and get involved in the crypto sector. - Not technical moat at least for now. Moat is in network effects.</t>
  </si>
  <si>
    <t>Y Combinator (S21 Batch) MKB Fintechlab</t>
  </si>
  <si>
    <t>strong well rounded team; low code no code bots for crypto/nft space; is this something we've seen before, mote isn't very technical, its more in the networking; do they have something truly unique to warrant us bringing them in? significant drop in revenue; 1.2M to 860K, but theres traction in the community;</t>
  </si>
  <si>
    <t>London, London City United Kingdom</t>
  </si>
  <si>
    <t>Coinrule</t>
  </si>
  <si>
    <t>Vijay Basani</t>
  </si>
  <si>
    <t>vijay@cytrio.com</t>
  </si>
  <si>
    <t>CYTRIO is focussed on two high growth markets - Data Privacy Compliance and Data Security. CYTRIO's Data Privacy platform helps businesses automate CCPA and GDPR compliance swiftly and cost-effectively. CYTRIO's Zero Trust Data Access &amp; Protection (ZDTA) solution protects business critical data at all times by embedding protection within data.</t>
  </si>
  <si>
    <t>- Strong technical team with multiple patents and startup exit experience. - Product lowers the barriers for data privacy and security monitoring. - We should invite for interview.</t>
  </si>
  <si>
    <t>Data security and data privacy is a rising field. This company has hold multiple patents which prove the novelty of technology but validation is rather ambiguous, possibly due to openness issue in the field</t>
  </si>
  <si>
    <t>Dreamit Ventures accelerator program. CYTRIO is a Microsoft start up program member</t>
  </si>
  <si>
    <t>Our CPO, Pankaj Parekh's daughter is a current NYU undergrad Student</t>
  </si>
  <si>
    <t>867 Boylston Street 5th Floor #1005, Boston, MA 02116 United States</t>
  </si>
  <si>
    <t>CYTRIO, Inc.</t>
  </si>
  <si>
    <t>Artem Barski</t>
  </si>
  <si>
    <t>artem.barski@datirium.com</t>
  </si>
  <si>
    <t>Datirium developed Scientific Data Analysis Platform, SciDAP, a novel analysis platform for next-generation sequencing and other big data.</t>
  </si>
  <si>
    <t>- Solid product market fit. - Highly technical team but only part time for now. - Already validated technology and gaining traction.</t>
  </si>
  <si>
    <t>Novel idea, potential for high impact, would disrupt research structures in academia. Both founders part time, though.</t>
  </si>
  <si>
    <t>University of Cincinnati 1819 UC Ventures pre-accelerator - we went through their short program, recruited Mark Dorfmuller, our Entrepreneur in residence, and received a small grant for customer discovery/commercialization. We went through NIH iCorps program last summer. There we conducted 100+ customer discovery interviews and developed our business model. This was a huge help in getting our phase II NIH grant.</t>
  </si>
  <si>
    <t>Cincinnati, OH United States</t>
  </si>
  <si>
    <t>Datirium, LLC</t>
  </si>
  <si>
    <t>Mateo Suarez</t>
  </si>
  <si>
    <t>mateo@ebombo.com</t>
  </si>
  <si>
    <t>eBombo is an HR Tech that helps workers to stay engaged so that companies can improve their work environments. We do this through our proprietary virtual activities that consist of games, onboarding dynamics, training, and more. 1) USD450K in revenue in 2021 (1st year of operations) 2) On track to making USD 1.5mm in sales this year.</t>
  </si>
  <si>
    <t>Traction and growth are impressive; tech is likely not able to be protected; founders seem young but good experience. I would want to know how do they compare to competitors such as Weve, who sells to Google, SpaceX, Netflix, etc.? Targeting the following countries in order: Columbia, Argentina, Chile, Brazil, USA (2024). They want help raising their Seed round. Given their traction, they are likely worth meetin.</t>
  </si>
  <si>
    <t>Current revenue and positive feedback from customers are showing positive signs. The technology might not be very innovative but the pain point identification is great. The support from VCs is another good sign</t>
  </si>
  <si>
    <t>Expert Dojo from LA, California</t>
  </si>
  <si>
    <t>Guanajuato 229, Roma Norte, Ciudad de Mexico, Ciudad de Mexico (Mexico City) Mexico</t>
  </si>
  <si>
    <t>eBombo</t>
  </si>
  <si>
    <t>Alok Patni</t>
  </si>
  <si>
    <t>alok@edverse.com</t>
  </si>
  <si>
    <t>We are building the world?s most advanced and scalable AI powered immersive education metaverse "edverse". Its the largest - immersive, interactive and insightful education metaverse ever!</t>
  </si>
  <si>
    <t>ed-tech startup applying metaverse tech to learning.</t>
  </si>
  <si>
    <t>They made a cool video and it is really nice to be able to see a demo. The team is experienced and they have created an impressive MVP. The market is large and they seem to be out in front when it comes to the education space.</t>
  </si>
  <si>
    <t>Other: Private Round -1</t>
  </si>
  <si>
    <t>Yes, we are affiliated with Tdefi. https://tde.fi/</t>
  </si>
  <si>
    <t>Gurgaon, haryana India</t>
  </si>
  <si>
    <t>Edverse Ltd</t>
  </si>
  <si>
    <t>Haseeb Awan</t>
  </si>
  <si>
    <t>haseeb@efani.com</t>
  </si>
  <si>
    <t>Efani provides secure mobile service to important people in financial, political &amp; legal. Think ATT but Secure. We guarantee protection against SIM Swap Attacks and provide $5M Insurance coverage</t>
  </si>
  <si>
    <t>Potential for high impact, possibly a novel technology (not much info about tech itself), potentially disruptive to telecommunications industry, great momentum, would like to interview to learn more about tech.</t>
  </si>
  <si>
    <t>I followed their link to see how secure my phone was and there was a lot of scary information that is linked to my phone including old addresses, names of my family members, etc. So I could see the value of this service. They have raised a lot of money and seem to have loyal customers. They are even profitable. I just have questions about the mobile network itself and how advanced and disruptive the technology is.</t>
  </si>
  <si>
    <t>Y-Combinator Stacks Accelerator</t>
  </si>
  <si>
    <t>Y Combinator I think</t>
  </si>
  <si>
    <t>Efani Secure Mobile</t>
  </si>
  <si>
    <t>Paul Clewett</t>
  </si>
  <si>
    <t>paul@emani.io</t>
  </si>
  <si>
    <t>Emani is a platform that transforms crowdsourced data from locals who matter into insights so that clients can monitor social risk before it's too late and understand opportunities for sustainability.</t>
  </si>
  <si>
    <t>- Showing market traction already after launch in 2021. - Intention to expand beyond Africa in 2026. - AI and local network to predict social risks to organizations before they happen.</t>
  </si>
  <si>
    <t>Emani was born after our experience with Antler UK's accelerator program in late 2020 (https://www.antler.co/). We received 145,000 USD from Antler at the end of this program. We were also 1 of 10 female led start ups (selected from 260 applications) that completed Batch 7 of the Grow F accelerator supported by Female Founders (https://www.female-founders.org/category/grow-f/), one of Europe's top 10 female led accelerators. Currently we are not participating in any other program.</t>
  </si>
  <si>
    <t>Collective Quotient Ltd 71-75 Shelton St, London, WC1H 9JQ, London United Kingdom</t>
  </si>
  <si>
    <t>Emani trading as Collective Quotient Ltd</t>
  </si>
  <si>
    <t>ERTUNC CIRIS</t>
  </si>
  <si>
    <t>ertunc@vyral.tech</t>
  </si>
  <si>
    <t>Fanluv is a blockchain based social network that enables its users to monetize their content and earn revenue through Fanluv Token.</t>
  </si>
  <si>
    <t>I appreciate the problem they are trying to solve; I think there are several companies that are trying to solve it not just the two that they mentioned; they have an indication of traction, not massive; they seem to have good advisors, were accepted into other programs, and received grants from Google and Amazon, so it could be interesting to learn more.</t>
  </si>
  <si>
    <t>Validation need more details. Current users and fund-raising looks prospective.</t>
  </si>
  <si>
    <t>UC BERKELEY SKYDECK PAD 13 BATCH 13</t>
  </si>
  <si>
    <t>using blockchain to pay for content consumed; maybe not revolutionary but UC berkley skydeck, strong advisors inc. from META; strong momentum, but in a populated field. Has received grants from google and amazon; positive data around them; in interview discover what makes them unique</t>
  </si>
  <si>
    <t>1420 5th street , santa monica United States</t>
  </si>
  <si>
    <t>FANLUV</t>
  </si>
  <si>
    <t>Joseph Adeola</t>
  </si>
  <si>
    <t>joadel@fathompbc.org</t>
  </si>
  <si>
    <t>Fathom is developing a workforce wallet for individuals to flexibly document verifiable evidence of their learning, skills, and work experiences. Our integrated tools for workforce providers, educators, and employers provide universal talent management solutions while streamlining the reporting of near real-time labor market data.</t>
  </si>
  <si>
    <t>HR tech is a very crowded space but this has a unique spin on work history need to scale and get paying customer into pipeline to show there is a market for the product prove the tech can work</t>
  </si>
  <si>
    <t>Talent management for both individuals and employers is a crowded landscape so Fathom has focused on selling to the agencies tasked with fulfilling the federal government's Workforce Innovation and Opportunity Act. A version of this law has been around for decades, so this represents a stable and significant entry point for bringing a new digital talent managent offer to the market.</t>
  </si>
  <si>
    <t>Fathom's team participated in the National Science Foundation's I-Corps program from January to June 2020. The team is currently members of Vanderbilt University's Launch Incubator for Founders since its opening in February 2022.</t>
  </si>
  <si>
    <t>Nashville, TN United States</t>
  </si>
  <si>
    <t>Fathom</t>
  </si>
  <si>
    <t>Sebastian Wohlrapp</t>
  </si>
  <si>
    <t>sebastian@field33.com</t>
  </si>
  <si>
    <t>Field 33 is a value mining platform for for data-driven decisions in the enterprise</t>
  </si>
  <si>
    <t>Novel tech whose use and core functioning I still dont quite understand. But credible team and solid validation. B2B SaaS company.</t>
  </si>
  <si>
    <t>They are looking for best POC applications for their SW. They have an initial paying customer, but their deck and application do not clarify how they are different from their competitors building products to help companies understand their internal workings based upon big data. I am not sure why they think their product is not a fit for military or national security applications (perhaps because they are not US-based?).</t>
  </si>
  <si>
    <t>Sebastian was granted a scholarship with the Founders Institute in 2019. He dropped out half way because he did not approve of the Equity collective.</t>
  </si>
  <si>
    <t>Field 33</t>
  </si>
  <si>
    <t>Karnika Yashwant</t>
  </si>
  <si>
    <t>key@forwardprotocol.io</t>
  </si>
  <si>
    <t>Forward Protocol provides toolkits for instant blockchainization to solve mass adoption of web3 products for users with no technical knowledge and very little development time, providing easy-to-use, drag-and-drop interface to deploy a dApps, blockchains and subnets.</t>
  </si>
  <si>
    <t>we have many of these companies -- tough to tell apart one from another. success contingent on web3 uptake</t>
  </si>
  <si>
    <t>I have little expertise in blockchain, but recognize that no-code software is an important innovation and the team has strong blockchain experience.</t>
  </si>
  <si>
    <t>10 million</t>
  </si>
  <si>
    <t>Panama, Panama Panama</t>
  </si>
  <si>
    <t>Forward Protocol</t>
  </si>
  <si>
    <t>Yosh Eisbart</t>
  </si>
  <si>
    <t>yosh@fulfilld.io</t>
  </si>
  <si>
    <t>Fulfilld is an intelligent deep-learning powered warehouse management orchestration platform (software AND hardware) leveraging 5G/UWB digital-twin providing real-time system directed tasking between human and non-human labor (i.e. connected systems/robotics).</t>
  </si>
  <si>
    <t>- Significant competition: warehouse management solutions offered by large ERP vendors as well as pure-play. - Early traction proven through revenue. - The question is how to carve out a meaningful share of the market. Who is the real customer? What is the GTM? - $4M pre-seed raised and raising $3M bridge.</t>
  </si>
  <si>
    <t>Impressed with the founders' backgrounds and the vision for bringing the gig economy to warehouses and having robots and humans work together seemlessly. His desited to use EFL as a market signal for prestige is a little off-putting.</t>
  </si>
  <si>
    <t>Denver, CO United States</t>
  </si>
  <si>
    <t>Fulfilld</t>
  </si>
  <si>
    <t>Gabbit Trans Systems Pvt Ltd _2022</t>
  </si>
  <si>
    <t>Vipul Jain</t>
  </si>
  <si>
    <t>vjain@gabbit.co.in</t>
  </si>
  <si>
    <t>Gabbit provides world's 1st ?Smart-Tourism? Platform that uses Data Science, AI &amp; ML and IoT to Solve Critical Problems in Tourism Sector such as Tourist-Safety, Over-Tourism, Communication between stakeholders, Bringing locals into mainstream tourism. This help tourists to get seamless tourism experience in the region.</t>
  </si>
  <si>
    <t>Useful tech, but tough to get adoption and users to pay.</t>
  </si>
  <si>
    <t>This company has developed its product for a specific tourist market in India, but the real time tracking and emergency response features have the potential for a variety of applications and uses.</t>
  </si>
  <si>
    <t>real time, minute to minute data on predicting areas of congestion or infrastructure damage;</t>
  </si>
  <si>
    <t>GHAZIABAD, UTTAR PRADESH India</t>
  </si>
  <si>
    <t>Gabbit Trans Systems Pvt Ltd</t>
  </si>
  <si>
    <t>Nima Schei</t>
  </si>
  <si>
    <t>nima@hummingbirds.ai</t>
  </si>
  <si>
    <t>Hummingbirds AI is automating authentication to computers, making them passwordless and touchless, for enterprise employees, eliminating repetitive MFA, making security convenient, guaranteeing compliance, increasing productivity, and lowering employee burnout.</t>
  </si>
  <si>
    <t>Tech seems to provide meaningful value to end users; they had a pilot with Panasonic and seem to be at good stage where EFL could provide real help; I want to better understand how high of a priority continuous authentication is vs. what's currently being used</t>
  </si>
  <si>
    <t>The technology is validated with Panasonic. They have clear aims for EFL experience which matches their growth needs</t>
  </si>
  <si>
    <t>Masschallenge US Early Stage (2022) Masschallenge IBM Mentorship (2022)</t>
  </si>
  <si>
    <t>Miami beach, fl United States</t>
  </si>
  <si>
    <t>Hummingbirds AI</t>
  </si>
  <si>
    <t>Alisa Patotskaya</t>
  </si>
  <si>
    <t>alisa@immersive-fox.com</t>
  </si>
  <si>
    <t>We make video production camera free - generate videos with any face from any text in minutes. Not weeks.</t>
  </si>
  <si>
    <t>+ Founder has startup experience and female founder worked in Facebook before +Capable team with experience from top tech companies in the division</t>
  </si>
  <si>
    <t>VCs that invested in us: Village Global, Pretiosum, Angelize</t>
  </si>
  <si>
    <t>change to DiT; generates digital face to create new videos going forward with uploaded face; team from Google/Meta, exp. with Metaverse work;</t>
  </si>
  <si>
    <t>Immersive Fox Ltd</t>
  </si>
  <si>
    <t>Inference Analytics, Inc. _2022</t>
  </si>
  <si>
    <t>FARRUKH KHAN</t>
  </si>
  <si>
    <t>farrukh@inferenceanalytics.com</t>
  </si>
  <si>
    <t>Inference Analytics has built an AI based NLP platform for the healthcare industry called Inference Analytics Neural Network (IANN) with initial use cases in radiology to improve physician productivity, reduce burnout, improve accuracy and completeness of diagnosis, generate valuable semantic insights and result in better outcomes for patient.</t>
  </si>
  <si>
    <t>NextGen NLP technology, that is able to use semantic understanding of healthcare text helping physicians in improving their efficiency and helping them in improving patient outcomes, physician productivity, and reduction in errors and losses.</t>
  </si>
  <si>
    <t>1. Matter (currently part of Matter) 2. We were selected for the CDL Wisconsin, decided after one session at that time we were not at the right stage so mutually exited that program. We feel we are at a better place now to participate.</t>
  </si>
  <si>
    <t>222 West Merchandise Mart Plaza, #1230, Chicago, IL 60654 United States</t>
  </si>
  <si>
    <t>Inference Analytics, Inc.</t>
  </si>
  <si>
    <t>Roberto Canovas</t>
  </si>
  <si>
    <t>roberto@infinitygamingmedia.com</t>
  </si>
  <si>
    <t>Infinity Gaming Media (IGM) is building the Gaming Mediaverse in Latin America, a collection of gaming entertainment and gaming media assets designed to help brands generate engagement with the elusive GenZ's and Alphas.</t>
  </si>
  <si>
    <t>The startup has significant growth in revenue and also team building. The startup also has a really strong executive team with former startup exits. It is not a traditional fit with EFL, so this is the main concern.</t>
  </si>
  <si>
    <t>The field is rather under-explored and the team has data advantage and have big name customers. Co-founders are experienced in their field. Fund-raising status is prospective.</t>
  </si>
  <si>
    <t>US$5M</t>
  </si>
  <si>
    <t>Mexico City, CDMX Mexico</t>
  </si>
  <si>
    <t>Infinity Gaming Media</t>
  </si>
  <si>
    <t>Robertas Janickas</t>
  </si>
  <si>
    <t>robertas.janickas@inionsoftware.com</t>
  </si>
  <si>
    <t>inion does renewable energy monitoring and control solutions to solve visibility and performance/efficiency impact of renewable energy generation and distribution as well as consumption for from residential use till hudge generation parks, providing all tools for visibility and most efficient control and maintenance.</t>
  </si>
  <si>
    <t>- Demonstrated traction of software system. - Strong full time PhD Team with technical skills. - Need to ask what is the next step to further build business and tech moat.</t>
  </si>
  <si>
    <t>we have tried some of them.</t>
  </si>
  <si>
    <t>Vilnius, Lithuania Lithuania</t>
  </si>
  <si>
    <t>INION LT</t>
  </si>
  <si>
    <t>Brian Berman</t>
  </si>
  <si>
    <t>brian@ipwe.com</t>
  </si>
  <si>
    <t>IPwe is a global innovation platform leveraging the power of artificial intelligence and predictive analytics. Through the IPwe Platform, large enterprises, SMEs, owners, those looking to enhance their innovation profiles and those with a legal, technical or financial focus benefit from IPwe?s mission to empower innovation in emerging technologies.</t>
  </si>
  <si>
    <t>Strong team, unique/novel approach to patent valuation. Seems poised for high impact growth. Curious about validation--has been used plenty, but validation (testing) occuring now, more info by later this year. Feels like fit for EFL--worth inviting in to interview.</t>
  </si>
  <si>
    <t>A solid team and an important problem in a growing market; the deck could be improved to highlight the novelty of their platform and how it would outperform existing approaches (incl. human IP evaluator)</t>
  </si>
  <si>
    <t>IBM Blockchain Accelerator NVIDIA Inception</t>
  </si>
  <si>
    <t>2515 McKinney Ave #1000-B, Texas United States</t>
  </si>
  <si>
    <t>IPwe</t>
  </si>
  <si>
    <t>Sunny Jain</t>
  </si>
  <si>
    <t>sunny@krystal.app</t>
  </si>
  <si>
    <t>Krystal is a multi-chain platform to easily access popular DeFi services and manage NFTs. Krystal supports DeFi users to easily manage their portfolio, transfer and swap their tokens, and earn interest of tokens held by the users on 10 blockchains.</t>
  </si>
  <si>
    <t>Showing traction in SE Asia, no tech validation/protection area of application feels fairly light for a company that seems to be doing so well (processing over $500 million in transactions in first year). Could be because application was rushed?</t>
  </si>
  <si>
    <t>this company offers a multi-chain platform to easily access popular DeFi services and manage NFTs, it also provides new innovative features like interest on Tokens, Smart-swap and has already processed 500Million worth transactions in the first year.</t>
  </si>
  <si>
    <t>Google Cloud Startup Program 2022</t>
  </si>
  <si>
    <t>1 Upper Circular Road, Singapore Singapore</t>
  </si>
  <si>
    <t>Krystal Holdings Pte. Ltd.</t>
  </si>
  <si>
    <t>Kaleeg Hainsworth</t>
  </si>
  <si>
    <t>kaleeg@legible.com</t>
  </si>
  <si>
    <t>Legible is a global, browser-based ebook entertainment platform delivering beautiful, accessible &amp; immersive reading for next-generation readers, including subscription, audiobooks and rich media Living Books. Our core values are accessibility and sustainability. Legible also provides publishing services, converting and remediating ebooks.</t>
  </si>
  <si>
    <t>4th largest e-book platform. unique tech is that it is device agnostic, browser based and interactive (also a publishing platform)</t>
  </si>
  <si>
    <t>Strong diverse and creative team offering a novel ebook platform; please invite to interview</t>
  </si>
  <si>
    <t>Other: Debenture</t>
  </si>
  <si>
    <t>1m</t>
  </si>
  <si>
    <t>2230 Ontario St. Vancouver, BC V5T 2X2, BC Canada</t>
  </si>
  <si>
    <t>Legible Inc.</t>
  </si>
  <si>
    <t>Ziv Yekutieli</t>
  </si>
  <si>
    <t>ziv@mon4t.com</t>
  </si>
  <si>
    <t>Mon4t provides remote neurological assessment by using smartphones and AI. Our FDA cleared product offers time-to-market acceleration for the development of new treatments, and treatment optimization for existing ones.</t>
  </si>
  <si>
    <t>Strong NYU affiliated team, tech validated, FDA approved. Poised for growth, impact, disruption! EFL material.</t>
  </si>
  <si>
    <t>Strong team. Tech is validated and (somewhat) protected.</t>
  </si>
  <si>
    <t>Oded Agam</t>
  </si>
  <si>
    <t>New York , NY United States</t>
  </si>
  <si>
    <t>Mon4t</t>
  </si>
  <si>
    <t>Tatsiana Aneichyk</t>
  </si>
  <si>
    <t>tatsiana@omicschart.com</t>
  </si>
  <si>
    <t>OmicsChart is a digital platform for genomic data processing in cancer patients in privacy-aware way, providing clinically-relevant information in intuitive and secure way, where the patient maintains ownership of their data, therefore increasing utility and adaptation of genomic testing into clinical decision making.</t>
  </si>
  <si>
    <t>This startup focuses on patient-oriented confidential computing for genomic data, with majority of the projects currently in the field of immune-oncology. The pain points addressed by this startup, both for patients and for healthcare providers, represent a sizable market. The only issue here is that there is not much customer discovery or business development done. Still, given the technology developed here, we should interview this startup.</t>
  </si>
  <si>
    <t>Secure usage of patients data to make accurate clinical decisions. One other thing I like is that their focus on patient engagement which will allow underprivileged groups to identify treatment opportunities without relying on a single doctor advice.</t>
  </si>
  <si>
    <t>Biotech Bootcamp - a joint program from SmiLe - in the top 10 best incubators for biotech startups in Europe, and BioM - a network organization for biotechnology sector in Bavaria, Germany. Graduation: Autumn 2021. GRIT International Female Accelerator for digital health and life sciences. OmicsChart was selected as a winner by one of the program partners - Microsoft. Graduation: June 2022.</t>
  </si>
  <si>
    <t>Cedric Odje</t>
  </si>
  <si>
    <t>Munich, Bavaria Germany</t>
  </si>
  <si>
    <t>OmicsChart</t>
  </si>
  <si>
    <t>Jan Wendenburg</t>
  </si>
  <si>
    <t>jan.wendenburg@onekey.com</t>
  </si>
  <si>
    <t>ONEKEY automates security &amp; compliance of vendors and buyers of connected smart devices (IIoT/OT/IoT) through its unique, proprietary SaaS platform. We are significantly reducing our customer?s costs, resources, and time to market for - while increasing security, compliance and software supply chain transparency.</t>
  </si>
  <si>
    <t>DiT automated security analysis of IoT firmware team sold last company to Swiss EXCEET Group</t>
  </si>
  <si>
    <t>+ 1. good tech 2. good team - 1. perhaps more info is needed, see Notes on Technology</t>
  </si>
  <si>
    <t>Other: Pre-Series A</t>
  </si>
  <si>
    <t>change to DiT; strong team with previous strong sell</t>
  </si>
  <si>
    <t>Dusseldorf, NRW Germany</t>
  </si>
  <si>
    <t>ONEKEY GmbH</t>
  </si>
  <si>
    <t>Mitul Jain</t>
  </si>
  <si>
    <t>mitul.jain@refive.io</t>
  </si>
  <si>
    <t>refive provides a digital receipt based customer engagement platform that helps retailers understand brick &amp; mortar customers and engage with them in a highly personalised way as easily as online shoppers, helping increase retention and revenues.</t>
  </si>
  <si>
    <t>provides a digital receipt-based customer engagement platform like Halla but with receipt to show promotions to customers birck and morder stores are stuggleing but many already have options to send receipt to email</t>
  </si>
  <si>
    <t>I believe that the makeup of the team, the validation of enterprise and SME customers (1M euro revenue by end of 2022) makes refive a good fit for the EFL cohort. They can benefit from mentorship for the US market as well as an MBA student to help with the scale up of the business.</t>
  </si>
  <si>
    <t>Berlin Startup Scholarship</t>
  </si>
  <si>
    <t>refive</t>
  </si>
  <si>
    <t>Gary Lyons</t>
  </si>
  <si>
    <t>gary.lyons@regtick.com</t>
  </si>
  <si>
    <t>RegTick is a visually intuitive SaaS platform which simplifies the management of complex regulatory &amp; compliance programmes so organisations (in any regulated sector) can reduce cost, improve control &amp; evidence compliance with regulations. Regtick is the simple clear path to compliance, taking the complexity out of a clients compliance.</t>
  </si>
  <si>
    <t>- Very well connected and experienced team in the industry. - Current product developed and acquiring customers with pilots.</t>
  </si>
  <si>
    <t>Good momentum, poised to make significant impact in regulation compliance industry, proof of concept validation</t>
  </si>
  <si>
    <t>DIFC Fintech Hive (A Dubai based start up programme)</t>
  </si>
  <si>
    <t>24 Ormeau Avenue, Belfast, County Antrim, BT2 8HS, Northern Ireland United Kingdom</t>
  </si>
  <si>
    <t>Regtick Ltd</t>
  </si>
  <si>
    <t>Oriol Hernández i Fajula</t>
  </si>
  <si>
    <t>oriol@itsrever.com</t>
  </si>
  <si>
    <t>VER is shaping the future of eCommerce bringing frictionless, superfast and sustainable returns to everyone, anytime, anywhere. Because returning should be as easy as buying. REVER brings smooth, safe and frictionless returns experiences to eCommerces and consumers around the globe - we enable returns in 2 clicks and refunds in 24h.</t>
  </si>
  <si>
    <t>- Application fails to detail technical and business model moat. Only 1 slide in deck, and not enough info given. - Reached 1M euros in GTV in 6 months, and earned $50K in revenue. Showing some traction. - Backed by Sequoia Scout Program, which is a sign of validation from the fundraising side. - Team is well rounded and experienced in this area. - Reverse logistics could be considered for interview, cluster with other eCommerce or logistics startup.</t>
  </si>
  <si>
    <t>Although there are competitors in the reverse logistics business, this team has previous experience in the industry and fintech industries which may benefit for the financial side of returns. Early validation of the application seems to have resulted in early revenue, and mentorship can be used to continue scaling this geographically, especially into the US market.</t>
  </si>
  <si>
    <t>YCombinator</t>
  </si>
  <si>
    <t>Passeig Joan de Borbó 99, 08039 , Catalonia Spain</t>
  </si>
  <si>
    <t>REVER</t>
  </si>
  <si>
    <t>Ilyssa Levins</t>
  </si>
  <si>
    <t>ilyssa@securechek.ai</t>
  </si>
  <si>
    <t>SecureCHEK® AI is a SaaS solution powered by AI (ML/NLP). Regulated product advertising costs too much and takes too long to implement because marketing processes are manual. SecureCHEK AI transfers time-consuming, repetitive marketing tasks from humans to tech for the greatest efficiency, making promotion 30% cheaper and 3X faster.</t>
  </si>
  <si>
    <t>Strong leadership team with NYU connection. Strong momentum since last EFL application. Potential for high impact, worth inviting to interview.</t>
  </si>
  <si>
    <t>$3.5 Million</t>
  </si>
  <si>
    <t>Yes Matter Health, however, the experience was not productive.</t>
  </si>
  <si>
    <t>303 East 57th Street, NY United States</t>
  </si>
  <si>
    <t>SecureCHEK AI, Inc.</t>
  </si>
  <si>
    <t>Santiago de Bedout</t>
  </si>
  <si>
    <t>santiago@selia.co</t>
  </si>
  <si>
    <t>Selia pairs Spanish speakers around the globe with certified mental health professionals for video and in-person consultations.</t>
  </si>
  <si>
    <t>- Great traction. - Could be deployed for Spanish speaking community in the United States. - Spanish version of Spring Health</t>
  </si>
  <si>
    <t>The target market is focused on Spanish speaking population(could be both advantage and disadvantage) The customer base and found raising progress look promising</t>
  </si>
  <si>
    <t>2MM</t>
  </si>
  <si>
    <t>Ycombinator.</t>
  </si>
  <si>
    <t>CLAYMONT, Delaware United States</t>
  </si>
  <si>
    <t>Selia</t>
  </si>
  <si>
    <t>Peter Jasko</t>
  </si>
  <si>
    <t>peter.jasko@semeris.com</t>
  </si>
  <si>
    <t>Semeris analyzes legal documentation in the capital markets, using NLP, AI and analysts, to make it easier for investors, bankers and lawyers to read and understand complex documents.</t>
  </si>
  <si>
    <t>Legal documents are complex for a reason. I would be interested in knowing what information is lost in the process of simplifying it. Tough technical challenge for NLP, so there's something here, although Im not convinced of the extent of value-add here.</t>
  </si>
  <si>
    <t>Very interesting! But similar initial reaction: lawsuits! Feels tricky. I'm sure it's something they considered &amp; would like to hear more. Tech protection is "constant innovation," unclear. Seems novel and potentially impactful.</t>
  </si>
  <si>
    <t>converts legal wording into more plain language for non-legal users; tricky in that legal docs are complex intentionally; how does the tech decide what to convert vs what not to; question how is decides; protection is just constant innovation; use specifically in medical malpractice currently; more summarizing than like truncating information; currently no validation?</t>
  </si>
  <si>
    <t>Hamilton House, Mabledon Place, London WC1H 9BB, London United Kingdom</t>
  </si>
  <si>
    <t>Semeris</t>
  </si>
  <si>
    <t>Zachary Kiehl</t>
  </si>
  <si>
    <t>zachary.kiehl@sentinelofsafety.com</t>
  </si>
  <si>
    <t>Sentinel offers an intelligent guardian platform that leverages wearables, AI-based analytics, and an intuitive mobile app to assess and protect individuals working on risk-laden tasks and in dangerous environments. Capabilities include automated lone-worker notification, overexertion risk assessment, and heat-stress susceptibility alerting.</t>
  </si>
  <si>
    <t>tech aims to save lives and has applications for the military; good indicators of initial traction; market opportunity could be small; team has good background</t>
  </si>
  <si>
    <t>+ 1. advanced tech with validation 2. solid progress so far</t>
  </si>
  <si>
    <t>We have an affiliation with the Dayton Entrepreneur Center in Dayton, OH and have received some funding from them for marketing and legal support. $10K-$15K per year.</t>
  </si>
  <si>
    <t>Fairborn, OH United States</t>
  </si>
  <si>
    <t>Sentinel Occupational Safety (Sentinel)</t>
  </si>
  <si>
    <t>Nate Ramanathan</t>
  </si>
  <si>
    <t>nate@solosecure.com</t>
  </si>
  <si>
    <t>SOLO Secure is an intelligent platform that provides comprehensive security through AI/ML-based intelligence/guidance, offers IoT biometric devices, and other wide range of safety mobile/software features to everyday consumers for the first time as well as businesses.</t>
  </si>
  <si>
    <t>- Founders have deep experience in startups. - Need further guidance on the beachhead market development. - Winner of CES shows some validation. - Should interview.</t>
  </si>
  <si>
    <t>While they have pre-orders, the company has a long way to go to prove the concept across the different verticals it wants to grow into. While they currently have the financial resources, they need guidance in finding the right product market fit and moulding a product that will help them best capture a larger market. That is where the EFL would come in.</t>
  </si>
  <si>
    <t>5043 Woodthrush Road, California United States</t>
  </si>
  <si>
    <t>SOLO Secure</t>
  </si>
  <si>
    <t>Tanveer Singh</t>
  </si>
  <si>
    <t>tanveer@sova.health</t>
  </si>
  <si>
    <t>Sova is a gut health company solving lifestyle conditions by treating imbalances in cholesterol, blood sugar and other critical parameters through personalized biomarker-based precision nutrition.</t>
  </si>
  <si>
    <t>Good idea and great traction. Prominent VC investment. Question is, whether this is novel in a global sense. Will the fact that biomarker collection is necessary stifle adoption?</t>
  </si>
  <si>
    <t>With more people looking to adopt a healthier lifestyle, the app would act as a good way to keep a track of what you should eat based on what your body tells you. However, a big point here is building credibility in a market like India where personal touch is still given importance over reliance on apps. They have proof of concept with growing number of customers - it would be interesting to know their retention numbers and the feedback they have received on their app.</t>
  </si>
  <si>
    <t>Yes, we have been a part of the Antler and Brinc start up programs in 2020 and 2021 respectively and are currently a part of the Expert Dojo growth accelerator.</t>
  </si>
  <si>
    <t>Mahak Chhajer - NYU Stern School of Business, Class of 2023</t>
  </si>
  <si>
    <t>68 Circular Road, #02-01 , Singapore Singapore</t>
  </si>
  <si>
    <t>Sova Health</t>
  </si>
  <si>
    <t>Joaquin Serrano</t>
  </si>
  <si>
    <t>joaquin@sumerlabs.com</t>
  </si>
  <si>
    <t>SUMER is an APP that allows SMBs in Latin America to go digital and sale more by creating an Ecommerce of their own, with a stack of ready-to-use tools for that online store to thrive.</t>
  </si>
  <si>
    <t>+Most downloaded business app in Lat America! + Impressive partners and growth - Is the tech novel (it is not)? - How can EFL help with growth in LatAm market?</t>
  </si>
  <si>
    <t>Georgie Kurian</t>
  </si>
  <si>
    <t>Strong potential for growth, but unsure if it is a good fit for EFL (not novel or deep tech).</t>
  </si>
  <si>
    <t>Other: Extension</t>
  </si>
  <si>
    <t>2.500.000</t>
  </si>
  <si>
    <t>We are currently in the Endeavor and Latitud programmes.</t>
  </si>
  <si>
    <t>Bogota, Bogota Colombia</t>
  </si>
  <si>
    <t>Sumer</t>
  </si>
  <si>
    <t>Georgina Denis</t>
  </si>
  <si>
    <t>georgina@thepsiapp.com</t>
  </si>
  <si>
    <t>PSi is a collective intelligence voice platform to host large-scale voice conversations that generate stakeholder/customer insights. PSi is more engaging than using text-based listening tools like surveys and polls, and more scalable and cost-effective than holding customer focus groups.</t>
  </si>
  <si>
    <t>- Outstanding team - Showing traction already - Fundraising and grant success - Product market fit is relevant in a hybrid work environment</t>
  </si>
  <si>
    <t>Very strong team and strong momentum, potential for significant impact. Feels like EFL fit.</t>
  </si>
  <si>
    <t>2 millions</t>
  </si>
  <si>
    <t>EU Media Futures 2020, Imperial College London WE Innovate (2021) and WE Accelerate (2022), Techstars (2021), MassChallenge (2022), Halcyon House (2022)</t>
  </si>
  <si>
    <t>The Black Church, St. Mary?s Place Ireland</t>
  </si>
  <si>
    <t>Suru Together Ltd</t>
  </si>
  <si>
    <t>sustamize _2022</t>
  </si>
  <si>
    <t>Michael Kochs</t>
  </si>
  <si>
    <t>mkochs@sustamize.com</t>
  </si>
  <si>
    <t>Sustamize provides data, algorithms and tools to measure, optimize and manage Product Carbon Footprints. Carbon emissions become a cost driver, are a regulatory requirement, and may be a reputational risk. Companies have to manage them. With our services we want to support all companies exceeding 20 employees to become netzero.</t>
  </si>
  <si>
    <t>- Very competitive field already, but startup claims to have a unique bottoms up approach for optimization of carbon footprint. - Some traction with Euro 400K revenue. - Decent fundraising. - Should cluster with all climate tech startups.</t>
  </si>
  <si>
    <t>(-)Tech does not appear novel (+)They have 400k ? in 2022 validating the technology (+)They have contract with large companies eg Siemens and PwC</t>
  </si>
  <si>
    <t>3000000 - 5000000</t>
  </si>
  <si>
    <t>We are a fellow member of Impact Factory (https://impact-factory.de/ )</t>
  </si>
  <si>
    <t>Munich, Bayern Germany</t>
  </si>
  <si>
    <t>sustamize</t>
  </si>
  <si>
    <t>Marija Josifovska</t>
  </si>
  <si>
    <t>marija@tripoverse.com</t>
  </si>
  <si>
    <t>Tripoverse is a 360 VR video sharing service where travelers can explore destinations and experiences immersively. Reducing the time of long &amp; exhausting search Optimizing navigation via geo-targeted world map Meeting traveler?s expectations with true to life form 360VR videos worldwide</t>
  </si>
  <si>
    <t>Company could be profitable and successful but not convinced it is solving a pressing need.</t>
  </si>
  <si>
    <t>Yes. Newchip accelerator.</t>
  </si>
  <si>
    <t>Tripoverse</t>
  </si>
  <si>
    <t>Untap Ltd _2022</t>
  </si>
  <si>
    <t>Claire Trant</t>
  </si>
  <si>
    <t>claire@untapwater.com</t>
  </si>
  <si>
    <t>Untap is a start-up that is tackling one of the greatest challenges of our time, keeping our communities safe from viruses and infections. We are creating technology that leverages the hidden data in sewage to detect the presence of COVID-19 and other viruses, before symptoms present.</t>
  </si>
  <si>
    <t>Novel tech in new area: wastewater monitoring for disease detection. Currently UK only--scalable? Qualified team, but still in process of tech validation. Very exciting, but too early? Not sure.</t>
  </si>
  <si>
    <t>this idea helps to automate the manual process of sewage inspection for virus transmission. it has a great advantage during pandemic's like COVID. But it's still in early stage of development and validating their tech</t>
  </si>
  <si>
    <t>$1.81 M (£1.5M)</t>
  </si>
  <si>
    <t>The Untap founding team completed the Entrepreneur First program, followed by the HAX incubator program. We were also part of the WE Innovate program at Imperial College London, for female-led entrepreneur teams.</t>
  </si>
  <si>
    <t>localized in England and Wales currently; tech validation feels early (pilot study coming this year); patent currently pending; unique company if not the most far along</t>
  </si>
  <si>
    <t>London, SE172PX, Southwark United Kingdom</t>
  </si>
  <si>
    <t>Untap Ltd</t>
  </si>
  <si>
    <t>Samuel Daviau</t>
  </si>
  <si>
    <t>sam@upbeing.ai</t>
  </si>
  <si>
    <t>UpBeing uses behaviour to measure emotion to improve the human experience, individually and collectively. UpBeing combines passive behavioural data streams like e-calendar, Spotify and wearables with short, research-grounded emotional check-ins to provide users insight into the hidden relationships between their behaviours and feelings.</t>
  </si>
  <si>
    <t>Company seems similar to Kintsugi; tech based on PhD research; B2C with eventual B2B play so that companies build with emotion in mind, using B2C channel for data; has VC backing but not looking to raise currently; I think they are worth interviewing</t>
  </si>
  <si>
    <t>The tech is based on co-founder's phd dissertation. Carried out comprehensive competitor research The company is backed by f7 Ventures, but not looking to raise money currently</t>
  </si>
  <si>
    <t>Entrepreneur First</t>
  </si>
  <si>
    <t>UpBeing Inc.</t>
  </si>
  <si>
    <t>RUSSELL MCKEE</t>
  </si>
  <si>
    <t>russmckee@gmail.com</t>
  </si>
  <si>
    <t>VendRx is modernizing the consumer experience for prescription meds with automation (e.g. specialized vending machines and the software behind it) so that physicians and pharmacies are empowered to ensure that patients fill scripts immediately: at a doctor's office; in pharmacy; hospital ER; convenient store. Reach more patients at a cost fraction.</t>
  </si>
  <si>
    <t>Prescription dispensing automated. They have some initial traction (which is hard in this complex pharmacy business). Questions about track fit, scalability, complexity (are their situations in which you need a manual dispenser?) that could be ascertained in interview.</t>
  </si>
  <si>
    <t>Potential for high impact--would address a major pain point. Momentum! Worth inviting to interview.</t>
  </si>
  <si>
    <t>2 Million</t>
  </si>
  <si>
    <t>Yes, early on we went through a cohort with JumpStart (healthcare) Foundry: https://jsf.co/portfolio/vendrx/ JumpStart invested in us via a SAFE and view VendRx as among the top few most promising companies in their portfolio.</t>
  </si>
  <si>
    <t>Chris Mosher, Ph.D.</t>
  </si>
  <si>
    <t>South Jordan, UT United States</t>
  </si>
  <si>
    <t>VendRx Inc.</t>
  </si>
  <si>
    <t>Kim Mahler</t>
  </si>
  <si>
    <t>kim@voltela.com</t>
  </si>
  <si>
    <t>Voltela provides guaranteed connectivity for commercial drones. Our software enables aviation-grade communication via any mobile network and allows drone operators to pass regulatory approval.</t>
  </si>
  <si>
    <t>Feeback from last year's application was wanted to see more traction; they gained 3 customers; I think there will may be diffculty in acquiring customers but the tech seems interesting, so I would interview</t>
  </si>
  <si>
    <t>+ 1. advanced tech address a problem with increasing demand 2. good team setup</t>
  </si>
  <si>
    <t>Voltela took part in the 2020 NYU Summer Launchpad and was in the Runway program at Cornell Tech 2020-2022.</t>
  </si>
  <si>
    <t>Fernando Gomez-Baquero</t>
  </si>
  <si>
    <t>applied last year; gained new customers from last app; starting to build more US partnerships; not stellar, but worth another look this year</t>
  </si>
  <si>
    <t>Voltela</t>
  </si>
  <si>
    <t>David Hyman</t>
  </si>
  <si>
    <t>dave@webeyez.com</t>
  </si>
  <si>
    <t>Webeyez is a Customer Experience Platform that surfaces every point of consumer friction in the online journey and quantifies the impact that performance issues and technical anomalies have on conversions.</t>
  </si>
  <si>
    <t>solid product that seems to address an important pain point for inline sellers. how large will their WTP be for this product? is this an EFL fit?</t>
  </si>
  <si>
    <t>Addresses a need, potential for high impact/disruption. NYU alum.</t>
  </si>
  <si>
    <t>Confidential</t>
  </si>
  <si>
    <t>Nielsen Innovation Program - Israel</t>
  </si>
  <si>
    <t>15 Halamish St. Northern Industrial Park, Caesaria Israel</t>
  </si>
  <si>
    <t>Webeyez</t>
  </si>
  <si>
    <t>Anima Interactive _2022</t>
  </si>
  <si>
    <t>Anna Hu</t>
  </si>
  <si>
    <t>anna@zoolife.tv</t>
  </si>
  <si>
    <t>It's Twitch for animal lovers. We enable zoos/sanctuaries who churn 95% of their 700 million annual customers to turn on a recurring subscription revenue model -- streaming 24/7 the secret lives of hundreds of animal species with live zookeeper chats every hour, and 50% of every dollar going to wildlife care and conservation.</t>
  </si>
  <si>
    <t>interesting if indeed animal tracking and solving latency problems is an issue. my main question is if this is primarily a marketing play at this point to force viewership and revenues???</t>
  </si>
  <si>
    <t>+ 1. great idea 2. strong team 3. has a core tech component</t>
  </si>
  <si>
    <t>Techstars Boston in 2017 - Founders are active mentors for the accelerator.</t>
  </si>
  <si>
    <t>twitch but for Zoos; feels very Gen Z</t>
  </si>
  <si>
    <t>Toronto, ON Canada</t>
  </si>
  <si>
    <t>Anima Interactive</t>
  </si>
  <si>
    <t>Andre Peart</t>
  </si>
  <si>
    <t>andrepeart@conconnect.com</t>
  </si>
  <si>
    <t>ConConnect provides a first-in-class CRM + built-in network geared at advancing the work of caseworkers and enhancing client outcomes. ConConnect also includes job posting and direct talent sourcing options for employers hiring from the justice-impacted community by referring employers to vetted talent from the ConConnect network.</t>
  </si>
  <si>
    <t>LinkedIn for the incarcerated community; reduces case planning from months to weeks; founder lived this experience ($30 after release, bouncing around shelters, eventually landing a job cleaning toilets) - his insight that it's not a lack of resources but a lack of access to those resources seems right (there are a lot of resources for this problem but they don't seem to be working); I think we should interview him</t>
  </si>
  <si>
    <t>Unique, strong cause, strong need, good momentum. Tech is still being built (or rebuilt, curious if due to feedback from pilots) and no patents. Potential for high impact. I agree--worth an interview.</t>
  </si>
  <si>
    <t>Techstars 757 accelerate</t>
  </si>
  <si>
    <t>unusual company for EFL, almost antithesis to EFL fits; looking to expediate reentry; tech light but an exciting company with a true social impact cause; app suggests they're looking deep into their process, reevaluating and fine tuning based on feedback; strong momemtum so far</t>
  </si>
  <si>
    <t>50 nepperhan street, yonkers new york, new york United States</t>
  </si>
  <si>
    <t>ConConnect</t>
  </si>
  <si>
    <t>Relyon.ai _2022</t>
  </si>
  <si>
    <t>Lee Sharir</t>
  </si>
  <si>
    <t>lee@relyon.ai</t>
  </si>
  <si>
    <t>Relyon.ai is a technological voice-based solution that includes ML models in a user-friendly interface and can be used as an app or implemented as SDK. We enable the solution for millions of people around the world who experience personal emergencies that don't allow the use of a phone to call for help.</t>
  </si>
  <si>
    <t>- The product market fit could be very broad. - Product is going through pilot testing.</t>
  </si>
  <si>
    <t>Promising growth, certainly addresses a need although tech itself isn't necessarily novel, has potential to make impact</t>
  </si>
  <si>
    <t>2.5m</t>
  </si>
  <si>
    <t>Mass Challenge U.S</t>
  </si>
  <si>
    <t>Tech is particularly novel; voice based tech with competetors already; idea is strong with good growth, however not the most exciting tech</t>
  </si>
  <si>
    <t>Relyon.ai</t>
  </si>
  <si>
    <t>Anavah Health _2022</t>
  </si>
  <si>
    <t>David Kreiss</t>
  </si>
  <si>
    <t>david.kreiss@anavahhealth.com</t>
  </si>
  <si>
    <t>Anavah Health is a tech-enabled service company whose mission is to avert the breakdowns in care that harm frail seniors &amp; burden caregivers. We reduce the human &amp; financial cost of infections, falls &amp; dehydration, conditions that disproportionately affect seniors. These conditions represent breakdowns in care &amp; with technology, are preventable.</t>
  </si>
  <si>
    <t>addresses known problem. but may be a niche market.</t>
  </si>
  <si>
    <t>Excellent business and team. Why don?t they have more customers though? There may be serious market challenges.</t>
  </si>
  <si>
    <t>up to $400,000</t>
  </si>
  <si>
    <t>We are connected to Keiretsu Forum Mid-West, which has connected us with some of our advisors and investors.</t>
  </si>
  <si>
    <t>8 Swarthmore Road Wellesley, MA 02482, MA United States</t>
  </si>
  <si>
    <t>Anavah Health</t>
  </si>
  <si>
    <t>Jordi Fernandez</t>
  </si>
  <si>
    <t>jordi@benetalk.com</t>
  </si>
  <si>
    <t>BeneTalk is a mobile app that combines digital speech therapy and community to help people who stutter communicate more confidently and comfortably, for life. Thus, reducing the negative impact stuttering has on lives.</t>
  </si>
  <si>
    <t>tech innovation may be a little light (fitness tracker for speech); team seems great; traction and retention rates seem good; mentor referral; would interview</t>
  </si>
  <si>
    <t>poised for impact! Only issue I have is that plenty of their supporting studies are very dated. Pain points that justify need include 1993, 2006, 2009 studies. One article (competitive assessment section) that states that SLT tech is 50 years old is 13 years old itself. Just curious about a more current snapshot of the SLT tech area.</t>
  </si>
  <si>
    <t>Yes, in the UK (KQ Labs, AI for Good Program from Microsoft, EIT Health)</t>
  </si>
  <si>
    <t>Serhat Pala (pala@breakaway.partners)</t>
  </si>
  <si>
    <t>mentor referral; real time feedback for speech issues/targeted towards stutters; fills gaps between speech therapy sessions; 15K downloads is 63 countries; tech light for EFL, but great team and great idea; a lot of their citations however are dated, competive assessment one is 13 years old;</t>
  </si>
  <si>
    <t>Beckenham, Kent United Kingdom</t>
  </si>
  <si>
    <t>BeneTalk</t>
  </si>
  <si>
    <t>Bidorium, LLC _2022</t>
  </si>
  <si>
    <t>Michael Wright</t>
  </si>
  <si>
    <t>mwright@bidorium.com</t>
  </si>
  <si>
    <t>Bidorium uses Deep Neural Networks to increase construction contractor estimation throughput, providing contractors with a path to increased revenue at a lower estimation cost.</t>
  </si>
  <si>
    <t>Use architectural designs as inputs to generate estimates, plans and bidding process. Niche application but could be a leader in this space if it works. Unfortunately we have little in terms of validation. If we don't interview this year, worth a revisit next.</t>
  </si>
  <si>
    <t>Very unique, potential for high impact &amp; disruptive. The tech &amp; UI are not built yet, validation is little. Feels a little early, but they may be poised for success next year? Perhaps a special rejection?</t>
  </si>
  <si>
    <t>Peachtree City, Georgia United States</t>
  </si>
  <si>
    <t>Bidorium, LLC</t>
  </si>
  <si>
    <t>Bima, Inc. _2022</t>
  </si>
  <si>
    <t>Vikul Goyal</t>
  </si>
  <si>
    <t>vg@bimaplan.co</t>
  </si>
  <si>
    <t>Bimaplan is an insurtech helping drive insurance adoption through technology. Our full-stack embedded insurance platform enables our partners to seamlessly distribute relevant insurance products to their customers. We work with fintechs, MFI's, NBFCs, e-commerce platforms, and gig economy platforms to build customized insurance products.</t>
  </si>
  <si>
    <t>Tech is not necessarily innovative (plug n play insurance platform) but the target market (emerging markets) is not overwhelmed with competitors; team seems very good; good fundraising and traction (need to confirm revenue is USD); would interview</t>
  </si>
  <si>
    <t>The company has a revenue-generating product and targets a niche market with less competitors. But technical details are not well supported in the application</t>
  </si>
  <si>
    <t>Y Combinator (W21 cohort) from Jan to Mar 2021</t>
  </si>
  <si>
    <t>target market is a concern in terms of how can EFL make an impact? no strong plan yet to break into other markets beyond India currently; however idea is novel; out of Ycom;</t>
  </si>
  <si>
    <t>Bengaluru, Karnataka India</t>
  </si>
  <si>
    <t>Bima, Inc.</t>
  </si>
  <si>
    <t>Blueberry Technology Inc. _2022</t>
  </si>
  <si>
    <t>Rajeev Ramanath</t>
  </si>
  <si>
    <t>rajeev@blueberry.technology</t>
  </si>
  <si>
    <t>The average wait time for wheelchair service in an airport is 20 minutes and costs the airlines up to $52 per ride. We have built an autonomous vehicle that addresses these challenges and provides agency to the passengers. Our bespoke vehicle has positive unit economics and we are in the process of running paid pilots in this first vertical</t>
  </si>
  <si>
    <t>Nice to see a startup with patent-pending technology. Worth a look.</t>
  </si>
  <si>
    <t>#1,700,000</t>
  </si>
  <si>
    <t>I have participated in an accelerator called NewChip back in 2020</t>
  </si>
  <si>
    <t>Prof. Marti Subrahmanyam</t>
  </si>
  <si>
    <t>Blueberry Technology Inc.</t>
  </si>
  <si>
    <t>Carteav _2022</t>
  </si>
  <si>
    <t>Avinoam Barak</t>
  </si>
  <si>
    <t>avinoam.barak@carteav.com</t>
  </si>
  <si>
    <t>Carteav provides low speed autonomous vehicles solution for managed areas such as resorts, retirement villages, campuses, airports and more. In addition it aims at the growing trend of car-free zone</t>
  </si>
  <si>
    <t>- Focused on the tourism sector, starting with autonomous golf carts. Not sure if this is the area with the most urgent demand. - Large successful fundraises and very successful founders. - Technology itself not innovative, and there are lots of competitors such as Faction and Cabi-bus. - Mention having potential customers but did not give any details. - On the fence about this application.</t>
  </si>
  <si>
    <t>I like their unique market approach to start with managed areas (resorts, retirement homes) which should allow them to GTM faster than D2C</t>
  </si>
  <si>
    <t>$8M</t>
  </si>
  <si>
    <t>strong funding so far; tech is developed; founders have previous startup success; but not particularly exciting</t>
  </si>
  <si>
    <t>Rishon Lezion, -- please choose -- Israel</t>
  </si>
  <si>
    <t>Carteav</t>
  </si>
  <si>
    <t>DFiant _2022</t>
  </si>
  <si>
    <t>Oron Port</t>
  </si>
  <si>
    <t>oron.port@dfiant.works</t>
  </si>
  <si>
    <t>DFiant streamlines digital hardware design to significantly increase productivity of semiconductor engineers and reduce their time-to-market, as well as remove barriers for newcomers to increase hardware design accessibility and reduce the major workforce shortage in the industry.</t>
  </si>
  <si>
    <t>- Great technology and highly technical founders - No customer discovery work shown on application, and so it is unclear if the innovation holds any value proposition for customers. - Should invite for next year.</t>
  </si>
  <si>
    <t>+ 1. advanced tech, partially validated 2. good team with excellent talent</t>
  </si>
  <si>
    <t>Currently part of Cornell-Tech's Runway accelerator program, for the second year of the program.</t>
  </si>
  <si>
    <t>11 E Loop Rd, Suite 381, New York United States</t>
  </si>
  <si>
    <t>DFiant</t>
  </si>
  <si>
    <t>Findustrial _2022</t>
  </si>
  <si>
    <t>Martin Gruber</t>
  </si>
  <si>
    <t>martin.gruber@findustrial.io</t>
  </si>
  <si>
    <t>Findustrial builds a digital ecosystem to enable usage-based and future-oriented business models for manufacturers, providing the Findustrial platform to manage the transition to Equipment-as-a-Service business models and offer the optimal solution for flexible financing of machinery and equipment.</t>
  </si>
  <si>
    <t>Findustrial is filling an interesting niche in the financing space as more companies explore paying for equipment on an as-use basis rather than leasing or purchasing outright. While they have traction, it remains to be seen as to how large an opportunity this will be and whether existing financial institutions will continue to require their services. If these both turn positive the team is positioned to grow a successful company.</t>
  </si>
  <si>
    <t>3.000.000</t>
  </si>
  <si>
    <t>Yes Runway Accelerator in San Francisco (Jan-March 2022)</t>
  </si>
  <si>
    <t>Gahberggasse 9, Schörfling am Attersee, 4861 Austria</t>
  </si>
  <si>
    <t>Findustrial</t>
  </si>
  <si>
    <t>Fortu Wealth _2022</t>
  </si>
  <si>
    <t>Azamat Sultanov</t>
  </si>
  <si>
    <t>as@fortu.co.uk</t>
  </si>
  <si>
    <t>Fortu Wealth is on a mission to build a banking solution for on family offices needs, focused on combining deep wealth mgmt organisational expertise, digitalisation and modern HNWI needs</t>
  </si>
  <si>
    <t>- Unclear technical moat. Application fails to identify the pathway to differentiation, and how to scale the human element while digitizing wealth management. - Solid founding team with many years in the wealth management industry. - With $600K ARR, but unclear if this is a result of bringing old clients into the new startup using past relationships.</t>
  </si>
  <si>
    <t>Solid founding team with traction. Their main focus for EFL is fundraising to enable expansion into UAE and USA - not clear how focused they will be on talking strategy and how best to meet customer needs, etc....</t>
  </si>
  <si>
    <t>$4M</t>
  </si>
  <si>
    <t>london, london United Kingdom</t>
  </si>
  <si>
    <t>Fortu Wealth</t>
  </si>
  <si>
    <t>GoCharlie.ai _2022</t>
  </si>
  <si>
    <t>Brennan Woodruff</t>
  </si>
  <si>
    <t>Kostas@gocharlie.ai</t>
  </si>
  <si>
    <t>GoCharlie.ai creates multimodal AI models to generate optimized marketing content for social media, blogs, and a variety of other external facing content use cases for our customers.</t>
  </si>
  <si>
    <t>Strong team (NYU connection), novel idea/tech with relatively few competitors. Potential for high impact &amp; disruptive. Tech validation a little unclear, uncertain timeline for filing patent, but feels promising. Worth interviewing, feels like EFL fit.</t>
  </si>
  <si>
    <t>This team is trying to differentiate itself from well funded competitors by building a superior product. Strategy will be very important in this effort which makes it a good fit for EFL.</t>
  </si>
  <si>
    <t>Mbriyo (Greece) Alchemist Accelerator (SF)</t>
  </si>
  <si>
    <t>Thanos Papadimitriou</t>
  </si>
  <si>
    <t>Allentown, Pennsylvania United States</t>
  </si>
  <si>
    <t>GoCharlie.ai</t>
  </si>
  <si>
    <t>Grow Computer _2022</t>
  </si>
  <si>
    <t>Daniel Nelson</t>
  </si>
  <si>
    <t>Dan@growcomputer.com</t>
  </si>
  <si>
    <t>Grow Computer is building hardware and software components, apps, and tools to help Farmers, Entrepreneurs, Researchers and other Growers better control, optimize, program and automate their 'Grows'. Our 'ecosystem' of GrowHub Components, Open App Store, and International Community helps anyone instantly use top of the line digital tools</t>
  </si>
  <si>
    <t>This company is early and there is no proof of concept; they have spoken with several growers to build the product; however, it seems the target market is all "growers", which suggests they are trying to be a lot to a lot of people; I wasn't sure, for instance, what the device connects to and what does it measure? I would normally pass but considering the ffVC connection, maybe we should interview</t>
  </si>
  <si>
    <t>+ 1. good idea 2. tech has been validated to an extent ask about scalability</t>
  </si>
  <si>
    <t>Charlotte at FFVC</t>
  </si>
  <si>
    <t>Grow Computer</t>
  </si>
  <si>
    <t>HeyPeers _2022</t>
  </si>
  <si>
    <t>Vincent Caimano</t>
  </si>
  <si>
    <t>vcaimano@heypeers.com</t>
  </si>
  <si>
    <t>HeyPeers provides a customizable peer support SaaS platform and turn-key services to employers, EAPs, hospitals, nonprofits, behavioral health and educational organizations. Our B2B customers utilize our services to offer a robust suite of measurable social supports to individuals with a variety of life challenges.</t>
  </si>
  <si>
    <t>B2B platform that helps employers monitor and support individuals with mental health issues. Important but need to understand tech differentiation, moat and effectiveness of support provided better.</t>
  </si>
  <si>
    <t>530 S Lake Ave, #766, Pasadena, CA United States</t>
  </si>
  <si>
    <t>HeyPeers</t>
  </si>
  <si>
    <t>Holoxica Limited _2022</t>
  </si>
  <si>
    <t>Wendy Lamin</t>
  </si>
  <si>
    <t>info@holoxica.com</t>
  </si>
  <si>
    <t>Holoxica specializes in holographic 3D visualization solutions which do not require any headsets or goggles, where images appear in mid-air viewable naturally, just like "Star Wars". Our customers in engineering, medical (education) and defense have valuable 3D data that needs to be shown to many people quickly and easily.</t>
  </si>
  <si>
    <t>holographic 3D visualization solutions which do not require any headsets or goggles other tech can already show 3D data seems early and need to get a use case and product market fit most founders are part time</t>
  </si>
  <si>
    <t>$3.0M</t>
  </si>
  <si>
    <t>We are currently located in the University of Edinburgh incubator. However, this only provides a subsidised rental on an office and some facilities. We cannot access its equity investment arm because we are not a formal university startup (i.e. the university does not own any of the IP).</t>
  </si>
  <si>
    <t>Joanna Peters</t>
  </si>
  <si>
    <t>not particularly novel or new idea/tech;</t>
  </si>
  <si>
    <t>10 Max Born Crescent, Murchison House, Edinburgh EH9 3BF, Midlothian United Kingdom</t>
  </si>
  <si>
    <t>Holoxica Limited</t>
  </si>
  <si>
    <t>Immergo Labs, Inc. _2022</t>
  </si>
  <si>
    <t>Michael Powell</t>
  </si>
  <si>
    <t>michael@immergolabs.com</t>
  </si>
  <si>
    <t>Immergo Labs provides an embodied virtual reality physical rehabilitation platform to solve remote patient care and monitoring for outpatient physical therapists, providing greater accessibility, time savings, and increased revenue.</t>
  </si>
  <si>
    <t>One area of concern is that VR therapy is a competitive area. However, given the amount of scientific research that goes into startup, as well the work the team has done in customer discovery ( 2 year customer discovery journey included over 200 interviews, 140 survey respondents, and 40 product prototype demos), the EFL can consider interviewing this startup.</t>
  </si>
  <si>
    <t>Santa Cruz Works Startup Accelerator &amp; Santa Cruz Startup Sandbox</t>
  </si>
  <si>
    <t>Santa Cruz, CA United States</t>
  </si>
  <si>
    <t>Immergo Labs, Inc.</t>
  </si>
  <si>
    <t>Immersive Reality Group _2022</t>
  </si>
  <si>
    <t>Laura Stanley</t>
  </si>
  <si>
    <t>laura@immersivegroup.io</t>
  </si>
  <si>
    <t>IntelligHealth integrates Human-AI collaboration with Remote Health Monitoring systems to detect the early onset of respiratory diseases (bronchitis, COPD, etc.) to alert patients and clinicians. Our system saves patients by intercepting the worsening of medical conditions and assists clinicians in better facilitating their medical decisions.</t>
  </si>
  <si>
    <t>Too early, product not fully built and no validation. Adoption will be the main challenge. Invite for next year.</t>
  </si>
  <si>
    <t>Bozeman, Montana United States</t>
  </si>
  <si>
    <t>Immersive Reality Group</t>
  </si>
  <si>
    <t>Kitchenita _2022</t>
  </si>
  <si>
    <t>Gaspard Hambückers</t>
  </si>
  <si>
    <t>gaspard@kitchenita.co</t>
  </si>
  <si>
    <t>Kitchenita creates virtual restaurants to solve a 3-times-a-day problem digital consumers have (eating) while optimizing offline restaurants idle capacity franchising those virtual brands through a proprietary technology and delivery platforms understanding.</t>
  </si>
  <si>
    <t>- Decent traction and well rounded founding team and good fundraising. - In a space with lots of competition, and it is unclear how the startup will build moat and how it will differentiate in the US. - Restaurant operation tech is not a typical area for EFL, but can interview if the team feels this is a good fit.</t>
  </si>
  <si>
    <t>Brilliant team that have gone in depth to tackle a problem in food delivery and distribution and manage to provide a unique elegant solution. Invite for interview</t>
  </si>
  <si>
    <t>Yes, with Startup Chile (Chile) and Tastech by Sigma (Mexico)</t>
  </si>
  <si>
    <t>Sanchez de Bustamante 875, Buenos Aires Argentina</t>
  </si>
  <si>
    <t>Kitchenita</t>
  </si>
  <si>
    <t>andrew einhorn</t>
  </si>
  <si>
    <t>andrew@levelfields.ai</t>
  </si>
  <si>
    <t>LevelFields uses proprietary AI to automate tedious investment research within the $100T asset management space, saving millions of hours and enabling greater profits for its users.</t>
  </si>
  <si>
    <t>- Need to understand how this solution is different from AlphaSense - Team has successful startup experience and acquisition.</t>
  </si>
  <si>
    <t>Technically sound company with recurring revenue. But the modeling and training data is not well protected, possibly due to lack of novelty</t>
  </si>
  <si>
    <t>automates financial research, relays 600 stock signals and provides realtime anlaysis of outside factors; strong technical team out of berkley with previous sale to PE fund; still needs to gain traction but fascinating tech</t>
  </si>
  <si>
    <t>vienna, va United States</t>
  </si>
  <si>
    <t>LevelFields</t>
  </si>
  <si>
    <t>Logie _2022</t>
  </si>
  <si>
    <t>Ehud Segev</t>
  </si>
  <si>
    <t>e@logie.ai</t>
  </si>
  <si>
    <t>Logie develops disruptive technology that fully automates online marketing and saves brands thousands of dollars and weeks of manual work while increasing their ROI and brand awareness. On the other hand, Logie empowers content creators and provides them with free AI tools to create more content easily and share it with their audiences.</t>
  </si>
  <si>
    <t>Lot of hype and over claiming with little in terms of evidence. Market can be huge if the product works, but they seem to be really early. Surprised that all the great hype they are generating has not translated into paid products yet.</t>
  </si>
  <si>
    <t>This is a growing company with growing customer base and mature product.</t>
  </si>
  <si>
    <t>Yes. We finished the 365X scaleup program by Sorona Ventures. www.365x.io</t>
  </si>
  <si>
    <t>trying to remove the need for a star or influencer to sell or advertise product; claims to be able to revolutionize advertising; no data, validation, or examples; little substance, largely unclear what the company is actually doing</t>
  </si>
  <si>
    <t>Logie</t>
  </si>
  <si>
    <t>Mindeye Solutions Pvt Ltd _2022</t>
  </si>
  <si>
    <t>Krishna Veer Singh</t>
  </si>
  <si>
    <t>krishna@lissun.app</t>
  </si>
  <si>
    <t>Our idea of LISSUN is to provide an end-to-end care continuum for Mental Wellness. We have a product-first approach for an issue-based end-to-end personalized solution for mental health. We start with diagnosis, followed by relief, treatment, then rehabilitation. We deliver our services via our mobile application and in-house quality therapists</t>
  </si>
  <si>
    <t>- Definitely a much needed startup for the Indian Market. - Limited potential to expand to the US given how the thesis of life altering medical event/condition focused therapy is a part of large competitor's strategy here already.</t>
  </si>
  <si>
    <t>Compelling idea in an underserved market. Strong team.</t>
  </si>
  <si>
    <t>We have been selected in NewChip startup incubator</t>
  </si>
  <si>
    <t>1601, Tower 10, M3M Merlin, Sector 67, Gurgaon Gurgaon HR 122101 IN , Haryana India</t>
  </si>
  <si>
    <t>Mindeye Solutions Pvt Ltd</t>
  </si>
  <si>
    <t>MPzero _2022</t>
  </si>
  <si>
    <t>Eduardo Burboa</t>
  </si>
  <si>
    <t>eburboav@gmail.com</t>
  </si>
  <si>
    <t>MPzero does capture of particulate matter with electrostatic precipitation through residential products, to solve air pollution in urban areas, providing for all the people the opportunity to breathe clean air, specially interesting for companies subjected to payment for emissions of particulate matter, where MPzero is the cheapest option.</t>
  </si>
  <si>
    <t>Hardware product that limits particulate emissions from individuals burning firewood; target market seems to be focused on Chile; team and traction seem good</t>
  </si>
  <si>
    <t>+ 1. tech seemed advanced with working prototype built 2. good team setup</t>
  </si>
  <si>
    <t>Accelerator: Acelera Latam, Chile.</t>
  </si>
  <si>
    <t>more of shark tank idea type vibe than an EFL fit; great idea but not EFL fit</t>
  </si>
  <si>
    <t>Concepción, Bío-Bío Chile</t>
  </si>
  <si>
    <t>MPzero</t>
  </si>
  <si>
    <t>Nerbio _2022</t>
  </si>
  <si>
    <t>Vincent Titolo</t>
  </si>
  <si>
    <t>vincent@nerbio.com</t>
  </si>
  <si>
    <t>Nerbio's innovation, based on state-of-the-art programmable microelectronics communicating with smart internet-connected devices, provides previously unavailable functionality and a disruptive new business model.</t>
  </si>
  <si>
    <t>- Extremely strong team and advisors. - Could disrupt the competitors with new modular technology. - Helping healthcare infrastructure prepare for the next pandemic.</t>
  </si>
  <si>
    <t>+ 1. tech seems novel and advanced 2. good team setup</t>
  </si>
  <si>
    <t>Nerbio</t>
  </si>
  <si>
    <t>NextStep Health _2022</t>
  </si>
  <si>
    <t>Sam Warach</t>
  </si>
  <si>
    <t>sam@nextstep.health</t>
  </si>
  <si>
    <t>NextStep Health is a technology company that provides evidence-based mental health resiliency resources, predictive analytics, and data-driven health &amp; social service coordination. Primarily serving youth &amp; adolescents, NextStep Health works with school districts, government agencies, community-based organizations, and health insurance companies.</t>
  </si>
  <si>
    <t>- Showing solid revenue at $550K per year. - Application not specific enough, and does not dive into technical and business moat, so it is impossible to review. - Hard to grade because of vagueness</t>
  </si>
  <si>
    <t>great startup for mental health currently generating 550k/yr in revenue(source of this revenue was not mentioned ). also there is no evidence submitted for tech validation and has poor tech team.</t>
  </si>
  <si>
    <t>- VentureWell (https://venturewell.org/) - National Science Foundation I-Corps</t>
  </si>
  <si>
    <t>NextStep Health</t>
  </si>
  <si>
    <t>NOWHERE (NWR CORP) _2022</t>
  </si>
  <si>
    <t>Jon Morris</t>
  </si>
  <si>
    <t>jon@urnowhere.com</t>
  </si>
  <si>
    <t>NOWHERE is a 3d multiplayer metaverse platform that lets your friends, fans or colleagues gather face-to-face in seconds in unforgettable worlds with two clicks in a browser. No headset or download. Host team meetings, community networking events, fan meetups, or perform for thousands in seconds.</t>
  </si>
  <si>
    <t>seemed like a jazzed up zoom (with highly dynamic backgrounds being the innovation???); founders have some entrepreneurial background. however, not clear if this is a cool widget or a product.</t>
  </si>
  <si>
    <t>innovative application oriented company and has a patent on the key process used, but currently doesn't have any revenue.</t>
  </si>
  <si>
    <t>155 N 3rd st suite 15, Brooklyn United States</t>
  </si>
  <si>
    <t>NOWHERE (NWR CORP)</t>
  </si>
  <si>
    <t>OBORTECHglobal OÜ _2022</t>
  </si>
  <si>
    <t>Tamir Baasanjav</t>
  </si>
  <si>
    <t>tamir@obortech.io</t>
  </si>
  <si>
    <t>OBORTECH develops a blockchain and IoT platform to solve inefficiencies in all actors of the supply chain, providing a decentralized / democratic ecosystem.</t>
  </si>
  <si>
    <t>- Solo founder with a team of 30. - Testing beta pilots with 15 entities and currently does not have revenue. - Competitors include: CVechain, Origintrail, Tradelens, Traxens. - Seems still a bit early. - Could cluster with IoT startups.</t>
  </si>
  <si>
    <t>Excellent Team with rich knowledge and experience, currently doesn?t generate any revenue. and the tech is currently going to be validated by 15 multi million dollar entities.</t>
  </si>
  <si>
    <t>2.5M</t>
  </si>
  <si>
    <t>Yes. 1. We've been accepted for Newchip accelerator: https://bit.ly/3DQrwHQ 2. We've been selected top 6 in the Microsoft's Century Program: https://bit.ly/3bi2epD 3. We've been accepted for the 1st round of European Innovation Council's Horizon Europe accelerator program: https://eic.ec.europa.eu/eic-funding-opportunities/eic-accelerator_en</t>
  </si>
  <si>
    <t>Harju maakond, Tallinn, Kesklinna linnaosa, Maakri tn 21, 10145, Tallinn Estonia</t>
  </si>
  <si>
    <t>OBORTECHglobal OÜ</t>
  </si>
  <si>
    <t>Rivet _2022</t>
  </si>
  <si>
    <t>Anj Fayemi</t>
  </si>
  <si>
    <t>anj@rivetapp.co</t>
  </si>
  <si>
    <t>Rivet is an AI-driven fan CRM platform that empowers artists creators with full ownership over their communities via first-party data, which they leverage to build more meaningful creator-fan relationships and further drive revenue.</t>
  </si>
  <si>
    <t>I appreciate their thoughtfulness about what they need and what they are trying to do; the tech isn't novel but the application of it could be (solving for artist to create and engage their community); they have a little bit of traction and seem to have good engagement; minority team; alumni referral; can interview if desired to understand tech and opportunity better</t>
  </si>
  <si>
    <t>My first (and prevailing) thought is that tech (or idea) isn't novel. But there is some momentum and strength in the team, a referral, etc.</t>
  </si>
  <si>
    <t>Techstars Boston</t>
  </si>
  <si>
    <t>Sebastien Mannai</t>
  </si>
  <si>
    <t>alumni referral; good experience in space; thoughtful application with some good traction, but otherwise a long road to significant development; potential referral to YC</t>
  </si>
  <si>
    <t>42 Whitman Street, Somerville, Massachusetts United States</t>
  </si>
  <si>
    <t>Rivet</t>
  </si>
  <si>
    <t>Smplrspace _2022</t>
  </si>
  <si>
    <t>Wanlyn Tiberghien</t>
  </si>
  <si>
    <t>wanlyn@smplrspace.com</t>
  </si>
  <si>
    <t>Smplrspace is a digital floor plan platform for Proptech/IoT softwares to add interactive 2D/ 3D floor plans to their apps, and layer on customised data quickly and easily. We are a visual complement to charts and statistics on dashboards of these companies, providing users with better understanding of activities happening within indoor spaces.</t>
  </si>
  <si>
    <t>Proptech / SaaS product that helps visualize operations and events within real estate spaces; shows precise data and information location, complementing existing dashboard displays (e.g., sensors, availability, maintenance reports); would like to better understand either tech or business moat; they are early but some good traction indicators; it may be interesting to learn more - they are focusing on US market; concerned about differentiation and tech novelty</t>
  </si>
  <si>
    <t>+ 1. already up&amp;running with clients that can validate their idea and tech used 2. good team setup - 1. tech itself isn't so novel</t>
  </si>
  <si>
    <t>We have been part of the following programs: 1) Singapore Management University BIG incubator, Singapore - equity free 2) Sunway pre-accelerator, Malaysia - equity free</t>
  </si>
  <si>
    <t>160 Robinson Road 14-04 , Singapore Singapore</t>
  </si>
  <si>
    <t>Smplrspace</t>
  </si>
  <si>
    <t>Staxe _2022</t>
  </si>
  <si>
    <t>Luis Martinez</t>
  </si>
  <si>
    <t>luis@staxe.io</t>
  </si>
  <si>
    <t>Staxe tokenizes music rights such as royalties or ticket sales for artists and independent labels, providing funding and fan engagement channels through NFTs. Collectors of these NFTs buy them in exchange of a share in their favorite artists? success alongside unique access and content.</t>
  </si>
  <si>
    <t>Creatives need financing to secure a date for their production; investors are willing to invest but lack trust and transparency in such partnerships. They?ve put on 17 productions with ?50k in aggregate funding, so they have an indication of traction but not significant yet. Investing in these productions is risky; will fans be turned off if they buy a token and get nothing for it? For the revenue streams, middlemen can take 85% of profits. Can this platform replace the services these middlemen provide and do it as effectively and more cheaply?</t>
  </si>
  <si>
    <t>The team has been into web3 since 2019 and has good experience in tech and financing. The idea is validated through pilots events and generating revenue. However, the advantages over traditional creator middleman are not very clear and regulations could be a huge challenge to expand the business.</t>
  </si>
  <si>
    <t>https://www.techstars.com/accelerators/launchpool-web3</t>
  </si>
  <si>
    <t>Dublin, Dublin 4 Ireland</t>
  </si>
  <si>
    <t>Staxe</t>
  </si>
  <si>
    <t>Syos _2022</t>
  </si>
  <si>
    <t>Paulo Lerner</t>
  </si>
  <si>
    <t>paulo@syos.com</t>
  </si>
  <si>
    <t>SYOS is a SAAS company whose universal automation platform connects the Cold Chain and guarantees product quality and expiration date. Our mission is to increase the safety, efficiency, and sustainability of the cold chain that feeds the global population.</t>
  </si>
  <si>
    <t>Used data to manage refrigeration temperature needs to show that the data can show savings and scale</t>
  </si>
  <si>
    <t>2.5MM</t>
  </si>
  <si>
    <t>Rio de Janeiro, Rio de Janeiro Brazil</t>
  </si>
  <si>
    <t>Syos</t>
  </si>
  <si>
    <t>JUAN MA LOPERA</t>
  </si>
  <si>
    <t>jm@tomi.digital</t>
  </si>
  <si>
    <t>TOMi.digital is a k12 study APP, based on a decentralized content repository created by teachers-authors network.</t>
  </si>
  <si>
    <t>- Serial founder in education tech space - Strong ability to fundraise from start investors - Demonstrated traction - Strong revenue</t>
  </si>
  <si>
    <t>+ 1. good idea addressing a known problem 2. team has talents - 1. need more info/justification of their technical setup</t>
  </si>
  <si>
    <t>Other: Pre-series A</t>
  </si>
  <si>
    <t>Wise Qatar USC EdVentures</t>
  </si>
  <si>
    <t>founder has strong educational startup experience; already gaining a lot of traction; early investor is same early investor as Zoom and Canva, similar vibe to Canva; can be used even with limited internet connections</t>
  </si>
  <si>
    <t>Medellin, Antioquia Colombia</t>
  </si>
  <si>
    <t>TOMi.digital</t>
  </si>
  <si>
    <t>TrueToForm _2022</t>
  </si>
  <si>
    <t>Janice Tam</t>
  </si>
  <si>
    <t>janice@truetoform.fit</t>
  </si>
  <si>
    <t>TrueToForm is a body scanning app that generates digital human avatars to enable scalable, made-to-measure fashion. Our remote fitting tool provides designers with direct access to the body shape and size of their customers, enabling them to produce custom-fit clothing with greater scale and affordability.</t>
  </si>
  <si>
    <t>Innovation seems to be in mapping the user's body in 3D to collect accurate measurements; founding team members have good backgrounds, seem young and hungry to solve problem; were thoughtful in the application (e.g., want to work with Bill O'Farrell); have good advisors in TV/film, marketing, product design); good potential market size; I assume this landscape is very competitive; I would want to better understand tech innovation (which on the surface doesn't seem significant) and GTM strategy; I'm also good with passing on this one</t>
  </si>
  <si>
    <t>+ Generates digital human avatars to enable scalable, made-to-measure fashion to produce custom-fit clothing + Avatars directly integrate into 3d design workflows - I feel generating a 3D model of the individual is not novel as I know university students use the 3d mapping technology for projects with the advancements in Lidar in mobiles &gt; Able to achieve an accuracy of 97% in terms of body measurement of pilot customers. &gt; Can see if they have any traction next year as they need to gain more customers + Female founders</t>
  </si>
  <si>
    <t>We are currently part of the MassChallenge Early Stage accelerator program, which is an equity-free accelerator that takes place over the course of the summer. In Spring 2022, we participated in the Polsky New Venture Challenge accelerator at the University of Chicago. This was also an equity-free accelerator for student entrepreneurs that culminated in a pitch competition, where we were selected as finalists. Last summer, we participated in the Polsky Build Accelerator, which provided $6,500 in non-dilutive funding to startup teams that have a connection to the University of Chicago. In Spring 2021, we participated in the Polsky I-Corps Program, which provided a $2,500 non-dilutive grant to support customer discovery efforts. We also participated in the 2020-2021 Ballard Academy for Student Entrepreneurs (BASE) program, which provided $10,000 of pro bono legal services that we used to incorporate our business.</t>
  </si>
  <si>
    <t>body scan to 3d avatar for clothing design, not particularly novel; extremely strong/compelling team; pointed to specific founders in application; looking for help in building tech moat;</t>
  </si>
  <si>
    <t>TrueToForm</t>
  </si>
  <si>
    <t>Weather Trade Net _2022</t>
  </si>
  <si>
    <t>Elena Maksimovich</t>
  </si>
  <si>
    <t>elena.maksimovich@weathertrade.net</t>
  </si>
  <si>
    <t>Weather Trade Net has launched a platform for physical climate risk analytics. Asset level risk assessment. Worldwide coverage. Historical and forward looking scenario analysis. Target companies : insurance, pension funds, banks, asset managers, listed companies and all those who need climate risk data for internal risk management or for reporting.</t>
  </si>
  <si>
    <t>- Would give it a 4.0 if the names of the potential clients are mentioned. - TFCD (Task Force on Climate-Related Financial Disclosures) compliance, for most the G20 countries, are voluntary. It is mandatory in UK, Japan, New Zealand and Switzerland. - Product Market fit should be clear because it is serving the sector that cannot get traditional reporting costing over $100K. - The biggest flaw in this application is that there is no customer discovery work mentioned. Really need to find that out in the interview. - We should at least group this startup with the other climate startups in DiT and revisit. - Worried that this startup might not be able to compete with Cervest and others, because of its late start and lack of funding.</t>
  </si>
  <si>
    <t>Haven't started selling (early?) but has potential for high impact growth/scaling!</t>
  </si>
  <si>
    <t>26 rue George Sand, Paris France</t>
  </si>
  <si>
    <t>Weather Trade Net</t>
  </si>
  <si>
    <t>YouVue _2022</t>
  </si>
  <si>
    <t>Joe Mikhail</t>
  </si>
  <si>
    <t>joe@youvue.com</t>
  </si>
  <si>
    <t>YouVue allows access to high fidelity immersive experiences on mobile devices vis-a-vis a 3D cloud sharing service backed by a novel patent-pending AI algorithm. This allows 3D Creators to reach mass audiences with the no friction. Enhancing their ability to connect with viewers by delivering superior experience, easy access, and novel usage data.</t>
  </si>
  <si>
    <t>Building platform to reduce friction in the creation and delivery of 3D/immersive content. It seems like the technical challenge they are solving is to overcome the current infrastructure developed for 2D/video streaming. Risky, but could take off. Worth probing more.</t>
  </si>
  <si>
    <t>Strong team, but tough to say--future demand for 3D content is hard to predict. Agreed--risky but could pay off. Not sure how novel the tech itself is (the platform).</t>
  </si>
  <si>
    <t>$1.5M</t>
  </si>
  <si>
    <t>We have completed: SkyDeck Berkeley Accelerator Program and are amongst LG NOVA's final 50.</t>
  </si>
  <si>
    <t>YouVue</t>
  </si>
  <si>
    <t>Anonymous Agent Inc. _2022</t>
  </si>
  <si>
    <t>Fangli Hou</t>
  </si>
  <si>
    <t>simon@aagent.co</t>
  </si>
  <si>
    <t>An online social media marketing marketplace that connects merchants with influencers.</t>
  </si>
  <si>
    <t>- New influencer monetization tool with focus on user privacy. - Starting to gain revenue traction. - Competitors such as Bounty recently got $4.7M in funding. - Solid technical team. - Should interview to understand category.</t>
  </si>
  <si>
    <t>Still somewhat early, but has momentum. High word-of-mouth potential (see fun fact) and potential for scaling. Might be fit for EFL.</t>
  </si>
  <si>
    <t>Jialun Wang</t>
  </si>
  <si>
    <t>Social media app rewarding product reviews; on fence because not very high tech, but has extreme growth potential if they're connected with the right companies; however inconsistent application: mentioned competetor has raised a lot of funding, but then later says they have no competetors? unclear what the value to companies they'd market to?</t>
  </si>
  <si>
    <t>256 Chapman Road STE 105-4, Newark, DE United States</t>
  </si>
  <si>
    <t>Anonymous Agent Inc.</t>
  </si>
  <si>
    <t>Hwa-Ping Chang</t>
  </si>
  <si>
    <t>hwapingchang@eurekafintech.com</t>
  </si>
  <si>
    <t>Incorporated in Hong Kong, Eureka FinTech Limited (Eureka FinTech) aims to be a pioneer in providing innovative KYC (Know Your Customer) information including supply-chain information, AML and compliance solutions. Our platform integrates into one single platform big data and private data vendor databases by utilizing AI and graph technologies.</t>
  </si>
  <si>
    <t>- Technology has gone through validation. - Product market fit is timely the need for renewed compliance given global supply chain disruptions. - Team members have relevant industry experience and complimentary skillsets.</t>
  </si>
  <si>
    <t>Technical innovation validation is indirect. But the team background seems strong. If interviewed, ask for technical evidence.</t>
  </si>
  <si>
    <t>a. Became member company of Hong Kong Science &amp; Technology Parks? (HKSTP) Incubation program b. Became member company of Hong Kong AI Lab Accelerator program c. Became Microsoft Formal Partner and member company of HKSTP &amp; Microsoft Jointed Incubation program d. Became member company of HKSTP &amp; AWS SaaS Accelerator program e. Joined as project partner with the Engineering school of Chinese University of Hong Kong - CEFAR program f. Joined as project partner with the Law school of Hong Kong University - LITE program g. Joined as project sponsor with the MBA program of Indiana University - Kelly School</t>
  </si>
  <si>
    <t>works in compliance in supply chain; looks for sanctions and other fees/fines; has been in a number of incubators in Taiwan and Hong Kong and done well; worth taking a look at in interview</t>
  </si>
  <si>
    <t>Lion Rock 72, 1F, InnoCentre, 72 Tat Chee Avenue, Kowloon Hong Kong</t>
  </si>
  <si>
    <t>Eureka FinTech Limited</t>
  </si>
  <si>
    <t>LangInnov _2022</t>
  </si>
  <si>
    <t>Rocio Raña</t>
  </si>
  <si>
    <t>rocio@langinnov.com</t>
  </si>
  <si>
    <t>LangInnov provides innovative technology to improve educational outcomes for bilingual children.</t>
  </si>
  <si>
    <t>- Highly technical PhD Team - Impressive grant win from NSF - Considerable market in US given 25% of children do not speak English at home. - Would schools adopt a solution like this quickly?</t>
  </si>
  <si>
    <t>Very strong cause, strong momentum &amp; funding, and capable team. UX/UI tested, but still not validated are: bilingual literacy development activities and recommendation engine. Startup was right when they said schools have long purchasing cycles. My feeling is that this startup won't get to the national level (or if they do, it would take a while). Public school funding is low, and they're generally slow to change (very gradual--county-by-county and state-by-state). That's why they're focusing on private childcare centers. I think charter schools are another strong possibility/alternative for this startup too--way quicker with things on that level.</t>
  </si>
  <si>
    <t>We are part of the current cohort of Project W's Tech Equity Hub.</t>
  </si>
  <si>
    <t>strong idea, but funding is a concern; is there funding in schools to purchase their product; currently targeting provately funded childcare places; getting into public schools en masse is a difficulty; interested to see where they go in the next year</t>
  </si>
  <si>
    <t>LangInnov</t>
  </si>
  <si>
    <t>Lazy Trade _2022</t>
  </si>
  <si>
    <t>Jaimin Patel</t>
  </si>
  <si>
    <t>jaiminpatel@lazytrade.io</t>
  </si>
  <si>
    <t>Lazy Trade is the crypto portfolio management platform for frictionless access to CeFi and DeFi. You can effortlessly track, manage and trade your crypto across exchanges and wallets from any webpage with our Chrome Extension. We are backed by Outlier Ventures with $6.2M volume traded among our 780 users so far.</t>
  </si>
  <si>
    <t>- No technical moat that is defensible. - Too many competitors. - Decent traction.</t>
  </si>
  <si>
    <t>Unique aggregation (De-Fi &amp; Ce-Fi), has momentum. Tech protection is a concern. Very competitive market.</t>
  </si>
  <si>
    <t>We were accelerated by Outlier Ventures on their DeFi Basecamp.</t>
  </si>
  <si>
    <t>59 London Road, Shenley, Radlett, Hertfordshire United Kingdom</t>
  </si>
  <si>
    <t>Lazy Trade</t>
  </si>
  <si>
    <t>Mobility Partners Inc. _2022</t>
  </si>
  <si>
    <t>Sergii Gill</t>
  </si>
  <si>
    <t>sergii@mobility.partners</t>
  </si>
  <si>
    <t>Mobility is a team of highly experienced professionals working to build up the best global B2B platform for settlements for all market participants in different segments of transportation/travel services. We aim to link together local platforms into one global hub</t>
  </si>
  <si>
    <t>Solves a need, but not sure of the willingness-to-pay for local carriers. Also not clear what the moat is -- will depend on initial scaling and exclusive contracts. Overall seems like a low risk but low reward company.</t>
  </si>
  <si>
    <t>- This is a team with expertise and track record of success in the digitizing travel agency and transportation information. - Application does not clearly discuss their technical advantage, but it seems that the team has applied for a patent in Ukraine and is expanding to the U.S. - It is unclear why the U.S. is the correct market to expand to given the goal of creating a global settlement clearing house for ground transportation.</t>
  </si>
  <si>
    <t>technically unclear on moat; a lot of questions around business model, demand, etc. somewhat hard to understand exactly what they're trying to do? desire to expand to US but better markets may be international;</t>
  </si>
  <si>
    <t>Lewes, DE United States</t>
  </si>
  <si>
    <t>Mobility Partners Inc.</t>
  </si>
  <si>
    <t>Emilie Spire</t>
  </si>
  <si>
    <t>emilie@noala.co</t>
  </si>
  <si>
    <t>Noala is on a mission to make Speech and Language Therapy mainstream. We?ve built a platform that streamlines how Speech Therapists work so that they can exponentially increase their caseload, and truly make it accessible to the 10% of the population who suffers from some sort of communication disorders.</t>
  </si>
  <si>
    <t>- Need to understand how it is differentiating from competition. - Has the potential to generate vast amount of data on patient diagnosis and treatment progression. - Need to interview to see if this is an area. If so, there is great potential for an AI powered treatment supplementary tool. - Should interview this team.</t>
  </si>
  <si>
    <t>Potential for major impact, but concern about no plan to apply for patents. How will this tech be protected?</t>
  </si>
  <si>
    <t>SaaS for speech and laguage therapists; end to end product; tech isn't revolutionary, but sets up mass collection of data on patients including response to treatment; interested to see if they would branch out; connect to Kintsugi?</t>
  </si>
  <si>
    <t>Noala</t>
  </si>
  <si>
    <t>Sara Sebti</t>
  </si>
  <si>
    <t>sara.Sebti@shareid.ai</t>
  </si>
  <si>
    <t>ShareID provides an authentication as a service solution based on the official identity. Business can trigger in real time an ID verification, equivalent to an ID document presentation and captured with a smile. We work with fintechs, e-signature and mobility actors enabling them to create a secure and seamless UX for recurrent ID verifications.</t>
  </si>
  <si>
    <t>- Comprehensive ID card check and real-time person verification. - Patent filed in Europe. - Experienced team in both technology and finance. Good team of mentors. - Not sure if the moat is really strong here despite the technical and design advances. - Good fundraising. - Slightly early on customer acquisition. Need to work more to test the market.</t>
  </si>
  <si>
    <t>+ 1. good idea 2. strong team</t>
  </si>
  <si>
    <t>CDL Oxford, which is the exact same concept as EFL but in UK. We really loved the program and learned a lot there. IMT : Institut Mines Telecom : strategy incubator. The program will end in October.</t>
  </si>
  <si>
    <t>uses computer vision to check if id cards are real or fake; uses multiple angles of ID checks; need more development in tech, and customer growth</t>
  </si>
  <si>
    <t>NEUILLY-SUR-SEINE, Île-de-France France</t>
  </si>
  <si>
    <t>ShareID</t>
  </si>
  <si>
    <t>Sustainaccount AG _2022</t>
  </si>
  <si>
    <t>Christian Spindler</t>
  </si>
  <si>
    <t>cspindler@sustainaccount.com</t>
  </si>
  <si>
    <t>Sustainaccount develops climate intelligence solutions to quantify the impacts of climate change on buildings and vice versa, allowing real stakeholders to prepare and contribute to the sustainability transition.</t>
  </si>
  <si>
    <t>- Can consider for an interview if there are not more innovative startups in the climate risk assessment category.</t>
  </si>
  <si>
    <t>+Develops climate intelligence solutions to quantify the impacts of climate change on buildings + Combining existing climate models and databases to produce easily accessible climate intelligence. &gt; Can call for an interview to see how exactly they are doing the climate assessment cause app info is not in detail &gt; Female founder - Need to raise funds</t>
  </si>
  <si>
    <t>F10 Incubator in 2021</t>
  </si>
  <si>
    <t>Uetikon am See, Zurich Switzerland</t>
  </si>
  <si>
    <t>Sustainaccount AG</t>
  </si>
  <si>
    <t>Advisor.com _2022</t>
  </si>
  <si>
    <t>Hunter Stunzi</t>
  </si>
  <si>
    <t>hunter@advisor.com</t>
  </si>
  <si>
    <t>Advisor provides a combination of self-serve tools and expert human guidance to provide financial planning/advising services to mass affluent people unable to access or uninterested in traditional financial planning and advisement services, providing them with greater financial success and peace of mind.</t>
  </si>
  <si>
    <t>- Application does not have key information. - Should invite to apply to EFL next year. - "Have not yet tested an approach to the software stack we plan to eventually build." - Hunter is a successful fintech founder with a high profile exit. - Promising startup but application too early.</t>
  </si>
  <si>
    <t>Great team. Great tech. Market size seems inflated.</t>
  </si>
  <si>
    <t>Charleston, SC United States</t>
  </si>
  <si>
    <t>Advisor.com</t>
  </si>
  <si>
    <t>AKALA _2022</t>
  </si>
  <si>
    <t>Perry Kalmus</t>
  </si>
  <si>
    <t>perry@goAKALA.com</t>
  </si>
  <si>
    <t>17,000 high schools in America DON?T have a dedicated college counselor. AKALA is an affordable College Admissions Counseling platform that gives customized guidance to students as early as 8th grade and then guides decision-making all the way through high school so they are the ideal college applicants by senior year.</t>
  </si>
  <si>
    <t>crowded field. no tech moat.</t>
  </si>
  <si>
    <t>Great plan and vision, with an incredible team to boot. Might be easy to copy.</t>
  </si>
  <si>
    <t>Google Launchpad, GSV Pioneer, and USC's EdVentures incubator. We also participated in Gener8tors Mini accelerator.</t>
  </si>
  <si>
    <t>not an EFL fit</t>
  </si>
  <si>
    <t>AKALA</t>
  </si>
  <si>
    <t>Akesa Health _2022</t>
  </si>
  <si>
    <t>Marie Lesaicherre</t>
  </si>
  <si>
    <t>marie@akesahealth.com</t>
  </si>
  <si>
    <t>Akesa Health offers a self-guided therapy helping users transform distress into resilience without the need for therapists who are in short supply.</t>
  </si>
  <si>
    <t>The company tries to address an area that is currently under-addressed and under staffed. People often don't know who to turn to for immediate relief from distress and the app could be a good way to being a bridge between when a patient feels distressed and when she/he sees a doctor for the same. However, we need to know how is in the company's team, the advisors, the data collection and assimilation process. Everything from product design, connections to right doctors to promote the products etc. needs to be done for the start-up to be successful.</t>
  </si>
  <si>
    <t>Risky due to competition, but impressive team tacking an important need.</t>
  </si>
  <si>
    <t>I completed the Stephen Hays What If Fellowship.</t>
  </si>
  <si>
    <t>San Ramon, CA United States</t>
  </si>
  <si>
    <t>Akesa Health</t>
  </si>
  <si>
    <t>Alpha Drive _2022</t>
  </si>
  <si>
    <t>Heidi Hysell</t>
  </si>
  <si>
    <t>heidi@alphadrive.ai</t>
  </si>
  <si>
    <t>Alpha Drive is a platform as a service providing benchmarking and validation for embodied AI systems for sustaining trust and accountability of Embodied AI systems.</t>
  </si>
  <si>
    <t>Needs validation Many players already, how will this scale and be proven to be the best?</t>
  </si>
  <si>
    <t>Nice team with a nice product. Could be hugely successful but not enough data to validate against competitors</t>
  </si>
  <si>
    <t>Techstars Detroit</t>
  </si>
  <si>
    <t>133 water st 9d, Brooklyn, NY United States</t>
  </si>
  <si>
    <t>Alpha Drive</t>
  </si>
  <si>
    <t>Altafid _2022</t>
  </si>
  <si>
    <t>Vito Sciaraffia</t>
  </si>
  <si>
    <t>vito@altafid.com</t>
  </si>
  <si>
    <t>Altafid has built the world?s first financial services ecosystem, designed under US fiduciary standards, that serves as a gateway for individuals anywhere in the world to connect with top financial institutions globally.</t>
  </si>
  <si>
    <t>- Not clear on the exact technical innovation here. Seems more like a platform giving wider access to high net worth investors' investment strategy and allocation. - Seems like the beachhead is LatAm investors. - Does not seem like a fit for EFL.</t>
  </si>
  <si>
    <t>Amazing concept and team. Hard to predict otherwise without independent research on competitors.</t>
  </si>
  <si>
    <t>We were accepted into Google for Cloud's startup program.</t>
  </si>
  <si>
    <t>Altafid</t>
  </si>
  <si>
    <t>Apollo iGDS, Inc. _2022</t>
  </si>
  <si>
    <t>Kamil Gaynutdinov</t>
  </si>
  <si>
    <t>kamil@apolloigds.com</t>
  </si>
  <si>
    <t>The company has developed the world's only neutral and multimodalB2B travel platform capable of generating dynamic itineraries with single ticket issue capability connecting carriers across any mode of transport and hotels, to automate and streamline sourcing and booking experience for travel agencies and corporate travel departments .</t>
  </si>
  <si>
    <t>First to allow travelers single interface to book all travel needs in one place (air, train, boat, car, hotel); decent initial traction; company mentions they expect significant growth over this summer - would like an update; prior success in space likely warrants speaking with them</t>
  </si>
  <si>
    <t>+ 1. good idea with a long term vision - 1. need more info on technical "secret sauces"</t>
  </si>
  <si>
    <t>Apollo iGDS, Inc.</t>
  </si>
  <si>
    <t>Jon Christensen</t>
  </si>
  <si>
    <t>jc@bidmii.com</t>
  </si>
  <si>
    <t>Bidmii is the easiest way to find, hire, and pay contractors to complete your home improvement projects.</t>
  </si>
  <si>
    <t>The technology may not be very innovative but it solves a real problem and all growth has been organic. They are looking to come into the US market, which is where EFL could help. Given the founder's strength and the growth potential, I think they are worth interviewing. During the interview, I think it will be important to dive into the technology moat and competitive advantages.</t>
  </si>
  <si>
    <t>They are eager to enter the US market.</t>
  </si>
  <si>
    <t>Communitech, Waterloo Ontario Treefrog Accelerator, Newmarket, Ontario</t>
  </si>
  <si>
    <t>Less exciting tech; thoughtful founder &amp; good growth potential</t>
  </si>
  <si>
    <t>Bidmii</t>
  </si>
  <si>
    <t>carecircle AG _2022</t>
  </si>
  <si>
    <t>Mark Goodyear</t>
  </si>
  <si>
    <t>mark.goodyear@carecircle.org</t>
  </si>
  <si>
    <t>carecircle: a hyperscale platform connecting science and patients. The largest secure, trusted consumer global healthcare network ? a safe, anonymous space for discussions, supporting medical research, and empowering people to take control of their health. Aspects of carecircle exist? but carecircle is the only place where they all come together</t>
  </si>
  <si>
    <t>- How is this more advanced than EndPoint Health or FlatIron Health for selling data to pharma companies? - Will users be willing to transition to this system or just stay on the current communities in Facebook for example. Need to get more validation. - Should interview this company to find out.</t>
  </si>
  <si>
    <t>1. good idea 2. good implementation 3. validated through user - 1. tech isn't proprietary</t>
  </si>
  <si>
    <t>We have been part of the Microsoft Startup program. Our application to the Microsoft accelerator program (Pegasus) has been accepted.</t>
  </si>
  <si>
    <t>Hammergut 6, 6330 Cham Switzerland</t>
  </si>
  <si>
    <t>carecircle AG</t>
  </si>
  <si>
    <t>Clocr (Crypto Legacy) _2022</t>
  </si>
  <si>
    <t>Apoorva Chintala</t>
  </si>
  <si>
    <t>apoorva@clocr.com</t>
  </si>
  <si>
    <t>Clocr is the industry?s first ?Estate Planning &amp; Disbursement Platform? for crypto, nft assets, and online accounts. We help Crypto/NFT owners avoid probate for their crypto wealth and enable instant digital inheritance using SMART contracts, saving years of agony, frustration, and money for families while complying with tax and legal regulations.</t>
  </si>
  <si>
    <t>Very early with no proof of demand for product; would want to better understand how the technology conforms to the legalities of inheritance</t>
  </si>
  <si>
    <t>strong founding team, protected IP, large market assuming crypto is the future</t>
  </si>
  <si>
    <t>We are a part of the the Capital Factory program</t>
  </si>
  <si>
    <t>Clocr (Crypto Legacy)</t>
  </si>
  <si>
    <t>Cornerstone AI _2022</t>
  </si>
  <si>
    <t>Michael Elashoff</t>
  </si>
  <si>
    <t>mike@cornerstoneai.com</t>
  </si>
  <si>
    <t>Cornerstone uses AI/ML to automate the manual work of data cleaning for healthcare companies, giving them significantly faster, significantly better data.</t>
  </si>
  <si>
    <t>automated data cleaning for healthcare need product market fit, having issues relating product narrative to customers long lead tiime</t>
  </si>
  <si>
    <t>strong need for healthcare data structuring and cleansing, team will have to manage long sales cycles and GTM</t>
  </si>
  <si>
    <t>San Mateo, CA United States</t>
  </si>
  <si>
    <t>Cornerstone AI</t>
  </si>
  <si>
    <t>Descifra _2022</t>
  </si>
  <si>
    <t>Rodrigo Sarmiento</t>
  </si>
  <si>
    <t>rodrigo@descifra.mx</t>
  </si>
  <si>
    <t>Descifra is a Market Intelligence B2B SaaS. Using big data, it allows business users to understand the consumer and the market in the real world through maps, widgets and reports. We acquire, enrich and curate private and public datasets that allow us to understand the customers' interests and their activities in the real world.</t>
  </si>
  <si>
    <t>- Strong traction given its $1M ARR. - Implementing exiting data science methods to build ML analytics. Method is not inventive, but the resulting ML models could be. - A strong startup in the LatAm Region that could go global. - Should inquire about technical moat.</t>
  </si>
  <si>
    <t>They have achieved success in proof-of-concept, as they have a lot of paying customers. But their application does not do a good job of explaining what they really do and why they are the team to back. They don't have a deck, so it is even more difficult to visualize their strategy and technological advantage. Overall, I don't see this company improving society, but they could have explained better how better user experience and customer satisfaction improves commerce and ultimately, people's lives.</t>
  </si>
  <si>
    <t>Yes. Wayra Mexico LatinX Incubator of the Illinois Hispanic Chamber of Commerce LBAN-SLEI at Stanford</t>
  </si>
  <si>
    <t>Insurgentes Sur 1806, Florida, CDMX Mexico</t>
  </si>
  <si>
    <t>Descifra</t>
  </si>
  <si>
    <t>Dropshop _2022</t>
  </si>
  <si>
    <t>Sarah Findlay</t>
  </si>
  <si>
    <t>sarahfindlay2@gmail.com</t>
  </si>
  <si>
    <t>Dropshop's quick commerce enables customers to shop from any retail store in their city and receive their orders in under 2 hours. Dropshop's mission is to make retail more nimble, sustainable, and engaging to shoppers who are demanding localized convenience. We serve as an incremental sales channel enablin stores to monetize on existing inventory.</t>
  </si>
  <si>
    <t>Strong NYU-based team, great idea, but light on the tech (not too novel), tech still in development. Feels early, should invite next year.</t>
  </si>
  <si>
    <t>This is a really motivated founder who is keen to tap into her NYU Stern alumni network and entrepreneurship programs. She has a good grasp about the challenges in quick-commerce as well as fashion retail and seems practical and grounded. The team seems strong, with a solid background in fashion.</t>
  </si>
  <si>
    <t>Applying to New York Fashion Tech Lab in September for 2023 cohort</t>
  </si>
  <si>
    <t>248 W. 17th St apt 104, New York United States</t>
  </si>
  <si>
    <t>Dropshop</t>
  </si>
  <si>
    <t>EPICA _2022</t>
  </si>
  <si>
    <t>Diego Paramo</t>
  </si>
  <si>
    <t>diego@epica.ai</t>
  </si>
  <si>
    <t>EPICA platform empowers companies to make intelligent decisions in real-time by capturing, processing, activating, and understanding customer journeys, based on online and offline data. Based on that 1st party data, EPICA accurately generates high-accuracy predictions of customers' next actions and significantly impacts business results.</t>
  </si>
  <si>
    <t>There are a few questions that I would like to ask this company: - What type of customers have they already acquired - their size, customer retention rate? - Why are the monthly expenses so high? - More about the advisory board and the founders experiences</t>
  </si>
  <si>
    <t>This is a big market with plenty of room for innovation. They have some good traction so far, both with clients and investors. But can they fight the competition as they scale and become a threat? I think they are overstating the team's experience - I am sure they would benefit from the program.</t>
  </si>
  <si>
    <t>yes, Revtech labs &amp; venture City</t>
  </si>
  <si>
    <t>Miami, FLORIDA United States</t>
  </si>
  <si>
    <t>EPICA</t>
  </si>
  <si>
    <t>Etha _2022</t>
  </si>
  <si>
    <t>Nicole Ogloza</t>
  </si>
  <si>
    <t>nicole@etha.one</t>
  </si>
  <si>
    <t>Etha is a social-news media that provides extreme transparency to political news/issues - mitigating political polarization through AI and 'wisdom of the crowds.' Users can hold politicians accountable in real-time by voting, and politicians can see issue by issue breakdowns of user sentiments to make better policy/law decisions for the public.</t>
  </si>
  <si>
    <t>political media outlet and social media platform that uses AI to have transparency and user fact-checking women founded team</t>
  </si>
  <si>
    <t>They made a nice video and a good deck. They are a diverse team and female led.</t>
  </si>
  <si>
    <t>Ambarish Gupta; Deepak Hegde</t>
  </si>
  <si>
    <t>New York City NY, United States</t>
  </si>
  <si>
    <t>Etha</t>
  </si>
  <si>
    <t>Etiq AI _2022</t>
  </si>
  <si>
    <t>Iris Anson</t>
  </si>
  <si>
    <t>iris@etiq.ai</t>
  </si>
  <si>
    <t>ETIQ is developing a software platform to help companies to test and monitor their predictive models by identifying issues, bias and preventing accuracy loss in both building &amp; production stages.</t>
  </si>
  <si>
    <t>This company is similar to Stratyfy, solving for bias and other issues that lead to poor system performance; focusing on financial clients, which are currently cutting expenses; traction is very early - looking to get first two paying clients; team has good experience; I think they are worth meeting</t>
  </si>
  <si>
    <t>+ 1. interesting idea 2. good team setup - 1. tech might need more justifications</t>
  </si>
  <si>
    <t>We were part of TechStars Montréal AI program,</t>
  </si>
  <si>
    <t>Etiq AI</t>
  </si>
  <si>
    <t>Fatakpay _2022</t>
  </si>
  <si>
    <t>Abhishek Gandhi</t>
  </si>
  <si>
    <t>abhishek@fatakpay.com</t>
  </si>
  <si>
    <t>FatakPay is an Employee Financial Wellness platform- It empowers employees to access credit and inculcate financial discipline. It targets real India, where most earn 40K or less per month and hence, don?t have access to a formal credit system which forces them to resort to moneylenders at high cost and interest to sustain themselves in tough times</t>
  </si>
  <si>
    <t>like a lot of fintech products in the US this one offers a credit card and data for customers to track finances build credit scores not a novel idea but can have a big impact for the Indian market</t>
  </si>
  <si>
    <t>this has the potential to have a very large impact and focusing on employers helping employees seems like a good approach. they raised a significant seed and have paying customers.</t>
  </si>
  <si>
    <t>Nasscom 10000 startups</t>
  </si>
  <si>
    <t>Mumbai Maharashtra, India</t>
  </si>
  <si>
    <t>Fatakpay</t>
  </si>
  <si>
    <t>Frontline Gig _2022</t>
  </si>
  <si>
    <t>Kala Fleming</t>
  </si>
  <si>
    <t>kala@frontlinegig.com</t>
  </si>
  <si>
    <t>Frontline provides on-demand staffing for green jobs. We use AI to match hourly workers to time-boxed, 2-4 hour gigs where they work with cities and landscape contractors to clean up parks, weed, or support other tasks that ensure all communities have access to clean, green spaces.</t>
  </si>
  <si>
    <t>Too narrow for EFL. Not a good fit.</t>
  </si>
  <si>
    <t>Market size remains to be determined, but if municipalities embrace the gig economy this can be a solid option for them to enable this transition for outdoor jobs.</t>
  </si>
  <si>
    <t>Previously affiliated with 757 Accelerate.</t>
  </si>
  <si>
    <t>Norfolk, VA United States</t>
  </si>
  <si>
    <t>Frontline Gig</t>
  </si>
  <si>
    <t>Graham Gordon</t>
  </si>
  <si>
    <t>gg@gardian.tech</t>
  </si>
  <si>
    <t>Gardian is a digital health company that provides a better way to care. We develop state of the art assistive technology for the aged care sector and people living with a disability, software to support workplace and at-home rapid antigen testing, lateral flow tests, and assistive technology for emergency medical care.</t>
  </si>
  <si>
    <t>Switch to DiT. Digital platform for assistive technology for seniors and people living with a disability. Their tech monitors vitals and uses AI/ML to learn, take action, report, and improve future interventions. $M in revenues despite only $375K raised. Raising a Series A.</t>
  </si>
  <si>
    <t>$8.3m</t>
  </si>
  <si>
    <t>change to DiT; uses AI and ML to improve outcomes and suggest interventions; revisit cluster possibly, but made 375K raise into millions in revenue. interested because tech isn't that innovative, but they've made a surprising amount of money so far; revenue may be coming from other products offered, not the variable device they applying with. No real advantage over other devices like an apple watch for ex. potential reject after cluster</t>
  </si>
  <si>
    <t>Southport, Queensland Australia</t>
  </si>
  <si>
    <t>Gardian Technologies Pty Ltd</t>
  </si>
  <si>
    <t>Gigaforce Inc. _2022</t>
  </si>
  <si>
    <t>SANJEEV Chaudhry</t>
  </si>
  <si>
    <t>sanjeev@gigaforce.io</t>
  </si>
  <si>
    <t>Gigaforce?s cloud-native SaaS platform expedites end-to-end insurance claims processing across the ecosystem with a focus on subrogation*, reinsurance, &amp;amp; and salvage. Gigaforce connects insurance carriers with their partners for transparent and secure management of claims with real-time updates.</t>
  </si>
  <si>
    <t>Building a platform of trust among different parties involved in insurance claims; application is thin; no insight into competitive advantage; little information on team; revenue is &lt;1M</t>
  </si>
  <si>
    <t>Interesting company with similarities to Justpoint. They marked some information on the form (revenue) as confidential, so we would need to make sure they are comfortable talking to mentors.</t>
  </si>
  <si>
    <t>Plug and Play, Avanta Ventures.</t>
  </si>
  <si>
    <t>440 N 440 N Wolfe Road, # 192, M/S 72 Sunnyvale, , CA United States</t>
  </si>
  <si>
    <t>Gigaforce Inc.</t>
  </si>
  <si>
    <t>giveback _2022</t>
  </si>
  <si>
    <t>Rochelle Silveira</t>
  </si>
  <si>
    <t>rochelle@giveback.social</t>
  </si>
  <si>
    <t>philanthropy made easy: giveback is an all-in-one platform that helps donors and wealth managers find reliable and tax-deductible nonprofits.</t>
  </si>
  <si>
    <t>Growing market for philanthropy and some initial traction. But, no deep technical moat. Upside rather limited.</t>
  </si>
  <si>
    <t>The field is getting crowded, but they are ready to launch and had traction during their pilot. I think they will benefit from EFL.</t>
  </si>
  <si>
    <t>giveback is backed by Umana Venture Studio (?UVS?). 
UVS is a brand creation and match-making boutique, re-imagining the relationship between influential individuals (aka loud voices) and purpose-driven brands. UVS exists to provide the most influential individuals of this generation the resources to properly channel their superpowers, creating a legacy they are proud of.
 An example of a company launched by UVS is @snacktbh (hazelnut cocoa spread) with Noah Schnapp (from Stranger Things). UVS was our first investor, and together we are focused on bringing potential loud voices as founding ambassadors to giveback those who are part of UVS?s network/family and have at least 20M followers on Instagram.</t>
  </si>
  <si>
    <t>Diego de Azevedo and Luciano Bueno</t>
  </si>
  <si>
    <t>giveback</t>
  </si>
  <si>
    <t>Her Impact _2022</t>
  </si>
  <si>
    <t>Magdalena Linke-Koszek</t>
  </si>
  <si>
    <t>nicole@herimpact.co</t>
  </si>
  <si>
    <t>Her Impact is an online recruitment and education platform for women that supports their professional development and helps to shape their career paths.</t>
  </si>
  <si>
    <t>- Strong traction already showing through revenue. - Founders have EU Law PhD, so could expand business into labor law compliance and employee protection.</t>
  </si>
  <si>
    <t>Other: Yes, 2nd round</t>
  </si>
  <si>
    <t>1 300 000 USD</t>
  </si>
  <si>
    <t>Warsaw, Mazowieckie Poland</t>
  </si>
  <si>
    <t>Her Impact</t>
  </si>
  <si>
    <t>Holocron Technologies _2022</t>
  </si>
  <si>
    <t>Tristan Yang</t>
  </si>
  <si>
    <t>tristan@holocron.cc</t>
  </si>
  <si>
    <t>crowded space. product not built yet, so no validation. invite for next year.</t>
  </si>
  <si>
    <t>$2,000,000-$3,000,000</t>
  </si>
  <si>
    <t>We are currently associated with The Ohio State University's inaugural President's Buckeye Accelerator|Our co-founders also possess experience from the FedTech Homeland Security Startup Studio and Department of Energy Tech Studio.</t>
  </si>
  <si>
    <t>Pat Mahaney (EFL Mentor), Grant Fox (National Security Innovation Network)</t>
  </si>
  <si>
    <t>511 Amsterdam Ave. #3N. New York New York, United States</t>
  </si>
  <si>
    <t>Holocron Technologies</t>
  </si>
  <si>
    <t>Hyfi _2022</t>
  </si>
  <si>
    <t>Brandon Wong</t>
  </si>
  <si>
    <t>brandon@hyfi.io</t>
  </si>
  <si>
    <t>Our goal is to help communities adapt to floods -- the leading cause of natural disaster frailties and property damage. Hyfi helps municipal managers and crews quickly identify flooding using sensors. Our data services help map floods to alert first responders and residents.</t>
  </si>
  <si>
    <t>Innovation is in a sensor for detecting floods; presentation suggests they are targeting municipalities, a relatively small market; team is from UC Berkeley and has received some awards</t>
  </si>
  <si>
    <t>+ 1. some highlights in hardware 2. very strong team - 1. not too much justification/result yet 2. might be a crowded space</t>
  </si>
  <si>
    <t>In Fall 2018, Dr. Wong and Dr. Kerkez completed a Regional I-Corps program, and soon after completed NSF's National I-Corps Program - Atlanta Fall Cohort. Dr. Wong was the Entrepreneurial Lead and Dr. Kerkez was the Technical Lead. The lessons learned from hundreds of customer interviews ultimately led to our seed grant in 2020 which we used to launch Hyfi.</t>
  </si>
  <si>
    <t>Ann Arbor, Michigan United States</t>
  </si>
  <si>
    <t>Hyfi</t>
  </si>
  <si>
    <t>KabCash Inc. _2022</t>
  </si>
  <si>
    <t>Shan Zhong</t>
  </si>
  <si>
    <t>shan@kabcash.com</t>
  </si>
  <si>
    <t>KabCash provides a Buy Now Pay Later solution to the majority unbanked population in Mexico, while creating a credit scoring system to enable offering of accessible and affordable loans for everyone in the long term.</t>
  </si>
  <si>
    <t>- Focused on deploying in Mexico. - Not a fit for EFL mentors but the TAM is very large. - Strong Mexico e-commerce market and lack of credit scoring</t>
  </si>
  <si>
    <t>The ML model itself is not novel but the e-commerce business in Mexico(and Latam) has huge potential. Not sure if such a foreign company would have advantages over other competitors</t>
  </si>
  <si>
    <t>We were accepted to join Y Combinator.</t>
  </si>
  <si>
    <t>Grace Chang</t>
  </si>
  <si>
    <t>strong team and founders, targeting E-commerce in Mexico. Are they limiting themselves solely to Mexico? Are they looking to expand? No huge technical idea involved. Will our Mentors resonate with this company?</t>
  </si>
  <si>
    <t>Seattle, Washington United States</t>
  </si>
  <si>
    <t>KabCash Inc.</t>
  </si>
  <si>
    <t>Kandola Network _2022</t>
  </si>
  <si>
    <t>Siddharth Banerjee</t>
  </si>
  <si>
    <t>sb@kandola.network</t>
  </si>
  <si>
    <t>Kandola is a Layer-1 Web3 infra project. Kandola provides completely decentralized, secure, real-time messaging platform and data store. Real-time messaging is used in chat applications, enterprise communications, IoT, social apps, games and metaverse. .</t>
  </si>
  <si>
    <t>- I am concerned about the technical strength of the team. - Founders do not seem to have special research expertise in the area. - Startup is at concept stage and has not done customer discovery. - Should apply to EFL next year.</t>
  </si>
  <si>
    <t>Solid young and bright team of web3 experts proposing a decentralized messaging app; The deck could definitely be improved. I would invite for interview.</t>
  </si>
  <si>
    <t>Suite 305, Griffith Corporate Centre, Kingstown Saint Vincent and the Grenadines</t>
  </si>
  <si>
    <t>Kandola Network</t>
  </si>
  <si>
    <t>Keyper _2022</t>
  </si>
  <si>
    <t>Omar Abu Innab</t>
  </si>
  <si>
    <t>omar@realkeyper.com</t>
  </si>
  <si>
    <t>Keyper provides app-first tech-enabled property management for Real Estate investors in Dubai. It address the lack of transparency and user friendliness of archaic property management through a digital-first solution that allows investors full visibility of their portfolio, market-beating pricing, and on-demand services directly on their phones</t>
  </si>
  <si>
    <t>This is a new SaaS category builder for Dubai and more so in the Middle East Region. The team is made up of executives that have highly relevant industry experience and experience operating in the region. The company's product is gaining traction. There is demonstrated ability both to grow the team as well as to further expand business development.</t>
  </si>
  <si>
    <t>The team has developed fast over the last year in Dubai and is launching a marketing campaign in September. However, the technical innovation may not be the major contribution to their current success.</t>
  </si>
  <si>
    <t>Dubai, Dubai United Arab Emirates</t>
  </si>
  <si>
    <t>Keyper</t>
  </si>
  <si>
    <t>Livin Farms AgriFood GmBh _2022</t>
  </si>
  <si>
    <t>Katharina Unger</t>
  </si>
  <si>
    <t>iman@livinfarms.com</t>
  </si>
  <si>
    <t>Livin Farms is a technology company developing equipment to grow alternative proteins. With our technology, customers make a shortcut. Our Hive PRO factories serve as key enabling technologies for the food, feed, and recycling industries to turn the low-value resources into high-quality ingredients for commercialization.?</t>
  </si>
  <si>
    <t>Turns waste into protein via insects; interesting idea - not sure on novelty of approach - the industrialized factory could be; target market is Europe, which is not a great fit for EFL mentors; application was very thin (left general email for CEO email), which could be indicative of how they approach EFL</t>
  </si>
  <si>
    <t>+ 1. good idea, good tech that addresses a real problem - 1. need to inquire more about the barrier of core tech -- insect</t>
  </si>
  <si>
    <t>2.Haidequerstraße 1, halle 43, Wien Austria</t>
  </si>
  <si>
    <t>Livin Farms AgriFood GmBh</t>
  </si>
  <si>
    <t>Metavent _2022</t>
  </si>
  <si>
    <t>Anna Marie Rembold</t>
  </si>
  <si>
    <t>anna@metavent.io</t>
  </si>
  <si>
    <t>Metavent is for companies hosting all-hands meetings for teams of 2,000 people who need fully engaged, aligned and inspired teams. We provide a dimensional sense of place that feels relatable and is customizable, where attendees control the journey and connect in large or small groups and 1:1, so hosts can bring teams into alignment.</t>
  </si>
  <si>
    <t>- The world is cutting back on virtual events coming out of the pandemic. - Revenue from live event business and cashflow is supporting growth, but not intended to be a long-term offering or strategy of the business. - Not sure about its moat from user adoption perspective.</t>
  </si>
  <si>
    <t>+ 1. good tech with validation 2. good team setup</t>
  </si>
  <si>
    <t>Techstars Anywhere '22 Cohort</t>
  </si>
  <si>
    <t>Metavent</t>
  </si>
  <si>
    <t>MotionsCloud _2022</t>
  </si>
  <si>
    <t>LeX Tan</t>
  </si>
  <si>
    <t>seba@motionscloud.com</t>
  </si>
  <si>
    <t>MotionsCloud helps property and vehicle insurers and fleet managements to automate damage assessment processes using IoT, AR and AI computer vision technologies.</t>
  </si>
  <si>
    <t>They seem to primarily want brokers who can help them sell this product; tech does not seem that novel; it solves a nice business case and they have good traction but not sure it is revolutionary - no indication of what separates them in the market</t>
  </si>
  <si>
    <t>+ 1. solid progress so far with considerable amount of clients 2. tech is advanced and seems to have a good implementation 3. strong team</t>
  </si>
  <si>
    <t>Atelierstr. 29 · 81671, Munich, Bavaria Germany</t>
  </si>
  <si>
    <t>MotionsCloud</t>
  </si>
  <si>
    <t>MRPeasy _2022</t>
  </si>
  <si>
    <t>Konstantin Klugman</t>
  </si>
  <si>
    <t>klugman@mrpeasy.com</t>
  </si>
  <si>
    <t>SaaS - The MRP system for small manufacturers. Ideal for companies with 10 - 200 employees</t>
  </si>
  <si>
    <t>- Would like to enter the U.S. Market. - Successful traction and sales. - There are many competitors in this area, so need to find out how this is technically defensive rather than just relying on strong go to market.</t>
  </si>
  <si>
    <t>Decent validation of problem with revenue. Not much technological moat, much more of a GTM nut to crack here.</t>
  </si>
  <si>
    <t>Yes, in 2015, Startup Wise Guys, Tallinn, Estonia.</t>
  </si>
  <si>
    <t>Pärnu mnt 139e/2, 11317, Tallinn, , Harju maakond Estonia</t>
  </si>
  <si>
    <t>MRPeasy</t>
  </si>
  <si>
    <t>Multipl Fintech Solutions Pvt. LTD _2022</t>
  </si>
  <si>
    <t>Paddy Raghavan</t>
  </si>
  <si>
    <t>paddy@multipl.in</t>
  </si>
  <si>
    <t>Multipl is the world?s first Save Now, Buy Later app that enables users to invest for their lifestyle expenses in the most fun and rewarding manner. Users get returns from the market (from our roboadvisory) and also exclusive benefits from top brands (when a purchase is made) making it an attractive alternate to spending via BNPL/Credit or savings</t>
  </si>
  <si>
    <t>- Traction: 50+ brand partnerships live and 10+ brands going live soon. 200K+ downloads. - Team: Founders with successful exit. Large team in India. - Science: might need more mentorship, how to use ML to design joyful and rewarding savings and turning savings into a habit. -Should interview this startup.</t>
  </si>
  <si>
    <t>Solid idea, tech is not too novel. Also a little early/premature. Recommend invite next year.</t>
  </si>
  <si>
    <t>SLV Arcade, 2nd Floor, Building no: 57, Junction of 9th main and 40th cross, Jayanagar 5th Block, 560041, Karnataka India</t>
  </si>
  <si>
    <t>Multipl Fintech Solutions Pvt. LTD</t>
  </si>
  <si>
    <t>nami.ai _2022</t>
  </si>
  <si>
    <t>Jean-Eudes Leroy</t>
  </si>
  <si>
    <t>jean-eudes@nami.ai</t>
  </si>
  <si>
    <t>nami is an AI sensing platform and ecosystem built to scale robustly and interoperate seamlessly with other IoT vendors.  Combining exclusive WiFi Sensing platform with machine learning principles, nami transforms smart homes and commercial buildings into intelligent spaces that are aware of their occupants and proactively respond to their needs.</t>
  </si>
  <si>
    <t>great tech (hardware + software bundle), solid team, some early traction</t>
  </si>
  <si>
    <t>Compelling technology but traction is lagging and burn is high. Likely a tough Series A raise in their future.</t>
  </si>
  <si>
    <t>8 M</t>
  </si>
  <si>
    <t>25 Duxton Hill #03, Singapore Singapore</t>
  </si>
  <si>
    <t>nami.ai</t>
  </si>
  <si>
    <t>Navigating AWEtism _2022</t>
  </si>
  <si>
    <t>Theresa Lyons</t>
  </si>
  <si>
    <t>tlyons@awetism.net</t>
  </si>
  <si>
    <t>Navigating AWEtism makes scientific information about autism easy to use for both the parent and professional. Our platform will organize the entire world's published scientific information on autism and make it accessible and useful to improve the health and happiness of those with autism.</t>
  </si>
  <si>
    <t>- Still early stage, but I recommend an interview. EFL should make a bet on this startup. Reasons as follows: - Mission driven founder: parent of autistic child, researcher and founder on autistic treatment. - Already done significant customer discovery work through NSF I-Corps, but is very early in customer acquisition. - Deeply familiar with the lack of SaaS tools for researching and evaluating autism treatment for children. Lives the pain point. - Software app MVP built. - Will benefit from EFL mentorship.</t>
  </si>
  <si>
    <t>this company offer's information related to awetism in the form a game to the end user. There is not much Tech involved at present. This idea more like a blog that charges monthly subscription to the end user.</t>
  </si>
  <si>
    <t>Rev Ithaca</t>
  </si>
  <si>
    <t>Ami M. Stuart</t>
  </si>
  <si>
    <t>SaaS for autism treatment/patient response; founder has an enormous drive; company feels early, not yet a tech play but would benefit well from EFL mentorship; interview or special reject for next year;</t>
  </si>
  <si>
    <t>Ithaca, New York United States</t>
  </si>
  <si>
    <t>Navigating AWEtism</t>
  </si>
  <si>
    <t>NOMA AI INC. _2022</t>
  </si>
  <si>
    <t>Salim Malakouti</t>
  </si>
  <si>
    <t>salim@noma.ai</t>
  </si>
  <si>
    <t>NOMA AI is a MedTech startup building an AI platform to help prevent medical complications. Our first application will be addressing maternal hemorrhage, a leading cause of maternal mortality and morbidity responsible for a $1.4 billion direct financial cost to providers and a major driver of disparities in maternal health.</t>
  </si>
  <si>
    <t>Overall, their accuracy of assessment will determine how much much better this platform is compared to other assessment tools that exist. The company would be cost-heavy in terms of the device creation and would require significant money for R&amp;D and building of product before if even gets approval from the FDA (which is a long drawn process). I would like to find out more about their current pilots, what the feedback has been, the level of accuracy of their datasets and how they plan to grow in the short term.</t>
  </si>
  <si>
    <t>UP spin-out. Good team. Tech is not patentable. Military application and DoD grant. NOMA AI is a MedTech startup building an AI platform to help prevent medical complications. Our first application will be addressing maternal hemorrhage. Validation using 240K patients' data retrospective study. Needs funding to complete the Ph I of pilot studies.</t>
  </si>
  <si>
    <t>We are currently in process of raising another pre-seed round of $1.2 million</t>
  </si>
  <si>
    <t>We recently graduated from LifeX's Accelerator in Pittsburgh and have applied for the commercialization program. Earlier in 2021, we graduated from the University of Pittsburgh's Forge accelerator program.</t>
  </si>
  <si>
    <t>Pittsburgh, PENNSYLVANIA United States</t>
  </si>
  <si>
    <t>NOMA AI INC.</t>
  </si>
  <si>
    <t>ODWEN Inc _2022</t>
  </si>
  <si>
    <t>Vijay Anand Bhagavatula</t>
  </si>
  <si>
    <t>vijay@odwen.co.in</t>
  </si>
  <si>
    <t>Airbnb for Small Warehouses</t>
  </si>
  <si>
    <t>- If the focus is on India's SME, then it is not an area for the EFL. - Other than that, great traction and good fundraising results.</t>
  </si>
  <si>
    <t>the company has a long term vision of expanding across All SME in India. Has good Fundraising of 5M USD and generating a revenue of 250k USD per month.</t>
  </si>
  <si>
    <t>YCombinator Techstars 1871 Supply Chain Innovation Labs (Accenture supported) McK Early Stage Ventures</t>
  </si>
  <si>
    <t>ODWEN Inc</t>
  </si>
  <si>
    <t>Oiler Equation _2022</t>
  </si>
  <si>
    <t>Bo Fu</t>
  </si>
  <si>
    <t>bo.fu@oilerequation.com</t>
  </si>
  <si>
    <t>Oiler builds optical gas imaging solutions to solve real-time gas leak detection and quantification problem for oil and gas companies, providing actionable data for them to optimize their repair scheduling</t>
  </si>
  <si>
    <t>- This is a very competitive field with lots of competitors. The question is given its innovation, is it strong enough of a value prop to actually win over customers?</t>
  </si>
  <si>
    <t>+ 1. good tech, solves a real problem 2. good team - 1. needs more info, see Notes on Technology</t>
  </si>
  <si>
    <t>1.5M</t>
  </si>
  <si>
    <t>pitched at plug and play, did not take accelerator program</t>
  </si>
  <si>
    <t>Oiler Equation</t>
  </si>
  <si>
    <t>PALM ENERGY SYSTEMS _2022</t>
  </si>
  <si>
    <t>RAJIV NARAIN</t>
  </si>
  <si>
    <t>rajiv@palm.energy</t>
  </si>
  <si>
    <t>Palm Energy Systems is developing innovative and transformative solar energy devices, which will revolutionize the way campuses; communities and electric vehicles power themselves.</t>
  </si>
  <si>
    <t>Deep Tech startup. Solid team + intriguing claims. Could be promising if validated. Invite for next year.</t>
  </si>
  <si>
    <t>2-5 months runway. Novel solar energy panels in shape of palm trees, that can work in most brutal weather, and can turn towards the sunlight. Currently, they have designed a full virtual model of their device, and looking for funds to build the physical prototype.</t>
  </si>
  <si>
    <t>Cos Cob, Connecticut United States</t>
  </si>
  <si>
    <t>PALM ENERGY SYSTEMS</t>
  </si>
  <si>
    <t>Riverr Pte. Ltd. _2022</t>
  </si>
  <si>
    <t>Kristina Lynge</t>
  </si>
  <si>
    <t>kristina@riverr.ai</t>
  </si>
  <si>
    <t>Riverr is on a mission to unlock insights from the vast amount of patient data in a privacy preserving and secure way. We solve fragmentation that have held back AI and patient-level data collaboration in the past. Target customers are healthcare data ecosystems. By removing friction in the flow of data we solve today's data-utility limitations.</t>
  </si>
  <si>
    <t>Good traction in Singapore, looking to expand globally; raising $5M Series A; team has prior startup experience; product seems to solve a material problem by integrating disparate healthcare systems</t>
  </si>
  <si>
    <t>+ 1. up&amp; running with sizable client base and revenue - 1. tech isn't very novel and will see lots of competition 2. would like to see more technical talents</t>
  </si>
  <si>
    <t>Techstars back in 2020</t>
  </si>
  <si>
    <t>135 Middle Road #02-24 Bylands Buildings. Singapore 188975, Singapore Singapore</t>
  </si>
  <si>
    <t>Riverr Pte. Ltd.</t>
  </si>
  <si>
    <t>Roseon World _2022</t>
  </si>
  <si>
    <t>Allan Ta</t>
  </si>
  <si>
    <t>allan@roseon.finance</t>
  </si>
  <si>
    <t>Roseon World is the entire ecosystem covering our developments in simplifying our users? crypto journey. We are a one-stop solution for all our customers? crypto needs. WonderApp, previously simply called Roseon App, is accessible via mobile (Android or iOS) and also via our web portal.</t>
  </si>
  <si>
    <t>- Strong traction - In a very crowded field - Hard to maintain long term moat - Short runway left</t>
  </si>
  <si>
    <t>Attractive idea (supported by quick growth &amp; early success). Might be a good fit for EFL.</t>
  </si>
  <si>
    <t>c/o Hill &amp; Hill, Chambers, Long Street, P.O. Box 909, St. John's, Antigua, Antigua Antigua and Barbuda</t>
  </si>
  <si>
    <t>Roseon World</t>
  </si>
  <si>
    <t>Sheetgo _2022</t>
  </si>
  <si>
    <t>Yannick Rault</t>
  </si>
  <si>
    <t>yannick@sheetgo.com</t>
  </si>
  <si>
    <t>Sheetgo helps professionals automate business processes using every day productivity tools. Starting from a spreadsheet, users can create and build custom workflows with Sheetgo to create automated solutions that save time and boost productivity.</t>
  </si>
  <si>
    <t>User friendly automation of data, but isn't necessarily novel tech. Some competitors in space, but doing well because of how user friendly it is. That said, not innovative enough to make it EFL material.</t>
  </si>
  <si>
    <t>It is clear that with its current revenue stream and customers, the product is validated and is doing well. However, it doesn't quite provide a unique solution to a problem that exists. That being said, the ease of using the product is what is probably increasing the popularity of the product and it is getting traction in terms of funding.</t>
  </si>
  <si>
    <t>Wow, Google for Startups, Lanzadera</t>
  </si>
  <si>
    <t>Angels, Marina de Empresas, valencia Spain</t>
  </si>
  <si>
    <t>Sheetgo</t>
  </si>
  <si>
    <t>Skydo Inc. _2022</t>
  </si>
  <si>
    <t>Srivatsan Sridhar</t>
  </si>
  <si>
    <t>srivatsan@skydo.com</t>
  </si>
  <si>
    <t>Skydo integrates domestic payment rails across countries and provides an intelligent payment interface to enable cross-border payments for small exporters, reducing their revenue leakage by 50-90% and simplifying their accounts receivables management.</t>
  </si>
  <si>
    <t>- Successful raised $5.2 in seed round. - In a really competitive market, with lots of large players. - If there are no other cross-border payment companies, can interview this one. - Just launching in August.</t>
  </si>
  <si>
    <t>The export (and import) market across countries (especially India) is growing. One of the largest leakage of revenue comes from payments made cross-country. A decrease in this facilitation charge would be increase profitability of its customers (which would act as a big incentive for customers to come onto the platform). However, the company is going up against big players (usually banks) who facilitate these transactions and choose to keep these hefty fees. Reducing their role in the equation would be difficult. Additionally, building credibility will also be difficult. The regulatory frameworks and norms involved also have to be taken into consideration. If they succeed the impact on the industry would be big.</t>
  </si>
  <si>
    <t>Skydo Inc.</t>
  </si>
  <si>
    <t>SkySquirrel Technologies (dba VineView) _2022</t>
  </si>
  <si>
    <t>Richard van der Put</t>
  </si>
  <si>
    <t>richard@vineview.com</t>
  </si>
  <si>
    <t>VineView is transforming the way growers monitor crop health. Using remote sensing technology, we deliver plant-by-plant resolution data products and quantitative metrics, allowing growers to conserve resources while optimizing health and profitability. The company currently has operations in California, Halifax (headquarters) and France.</t>
  </si>
  <si>
    <t>Main concern is scaling; revenue projected to go from $1.1M 2021 to $1.3M 2022; Seed round spread out over 10 years; tech seems good and founder seems great; the market opportunity seems limiting, however</t>
  </si>
  <si>
    <t>Tech looks very novel &amp; very strong founding team. In addition to scaling concerns, I wonder if it's a competitive space: my own initial reaction was that this is brand new &amp; no one is doing this, but they list six other competitors. Wondering if scaling and competition would make this a tough run.</t>
  </si>
  <si>
    <t>2017 Alltech Pearse Lyons Accelerator program headquartered in Dublin, Ireland for start-ups in Agritech and Ag Science.</t>
  </si>
  <si>
    <t>1595 Bedford Highway, Suite 603, Nova Scotia B4A 3Y4 Canada</t>
  </si>
  <si>
    <t>SkySquirrel Technologies (dba VineView)</t>
  </si>
  <si>
    <t>Snacka! _2022</t>
  </si>
  <si>
    <t>Erik Bhullar</t>
  </si>
  <si>
    <t>erik@snacka.app</t>
  </si>
  <si>
    <t>Snacka! is building software to help privacy-conscious users communicate and collaborate without compromising performance for security - now, they can truly get both. Snacka!'s audio and video calls are more stable even on weak internet, using 67% less bandwidth, and are fully end-to-end encrypted.</t>
  </si>
  <si>
    <t>- Slightly early, but promising technology. - Likely to be acquired by a larger player in the field. - Too much competition if going the 2C route. - Invite next year.</t>
  </si>
  <si>
    <t>Th technology has a lot growth potential</t>
  </si>
  <si>
    <t>Erik (CEO) has mentored startups as part of an accelerator program in the Baltics previously, and guest-lectured for an Executive MBA program as well in a similar context - but Snacka! has not gone through any previous acceleration programs.</t>
  </si>
  <si>
    <t>Tallinn, Harjumaa Estonia</t>
  </si>
  <si>
    <t>Snacka!</t>
  </si>
  <si>
    <t>Snap Vision Ltd _2022</t>
  </si>
  <si>
    <t>Jenny Griffiths</t>
  </si>
  <si>
    <t>jenny@snap.vision</t>
  </si>
  <si>
    <t>Snap Vision?s AI suite creates rich, consistent data-points from imagery, automatically turning brands? imagery into structured data within a universal taxonomy. This data is leveraged by fashion brands/marketplaces to power product recommendations &amp; merchandising, and luxury brands for brand protection in web2, NFTs &amp; the metaverse.</t>
  </si>
  <si>
    <t>- Similar vision technology is developed by multiple companies for around 10 years, with applications in fashion, home goods, furniture and other verticals. - Worried about the technical moat here.</t>
  </si>
  <si>
    <t>Snap Vision's product shows potential, especially since it is one of the only softwares out there that uses only image recognition (without the dependance of text) to recognize data. Their presence is growing in Europe and EFL would be a great way to understand the US market and grow/tailor their product accordingly. They could also use assistance in addressing the 2nd market, which is a tougher cookie to crack but would turn out to be profitable if proven viable.</t>
  </si>
  <si>
    <t>We took part in the Oracle for Startups Incubator and New York Fashion Tech Lab</t>
  </si>
  <si>
    <t>2 Underwood Row, London United Kingdom</t>
  </si>
  <si>
    <t>Snap Vision Ltd</t>
  </si>
  <si>
    <t>Tazah Technologies _2022</t>
  </si>
  <si>
    <t>Abrar Bajwa</t>
  </si>
  <si>
    <t>abrar@tazahtech.com</t>
  </si>
  <si>
    <t>Tazah technologies is a venture backed agri-tech startup based out of Pakistan, solving problems of the entire agri value chain through tech enabled operating system; making lives of the farmer easier through output market linkages, increase crop yields and find export opportunities for local agri produce.</t>
  </si>
  <si>
    <t>Agritech and geographic focus likely not a fit for EFL. Company seems to have decent traction.</t>
  </si>
  <si>
    <t>- Not a typical fit for EFL. - Strong traction and fundraising. - Team is experienced and well rounded. - Very meaningful work in digitizing the agriculture end-to-end ecosystem in the region. - Feel the EFL should consider an interview to see if we could mentor this type of startup with strong social impact.</t>
  </si>
  <si>
    <t>Till date, we have not been a part of any accelerator or incubator.</t>
  </si>
  <si>
    <t>Lahore, Punjab Pakistan</t>
  </si>
  <si>
    <t>Tazah Technologies</t>
  </si>
  <si>
    <t>Untap _2022</t>
  </si>
  <si>
    <t>Sabrine Assem</t>
  </si>
  <si>
    <t>sabrine@untap.tech</t>
  </si>
  <si>
    <t>Untap is a competition management platform that enables innovation-driven organizations to tap into the power of open innovation and generate creative solutions. Through our software and community, we enable organizations to quickly and efficiently plan, launch, manage, promote, and assess open and internal innovation programs.</t>
  </si>
  <si>
    <t>The platform can work towards different goals for an organization - be it managing different internal events or organizing new one and finding new talent through that. The simplicity in the integration and the ease of use is what would draw organizations to the platform. The fact that they already have large paying customers shows proof of concept and that their technology actually works. It would be interesting to understand why their current operational are so high?</t>
  </si>
  <si>
    <t>Unique idea. Current tech is not too novel, plans to integrate ML &amp; file for patents--feels early for EFL. Invite back next year?</t>
  </si>
  <si>
    <t>We graduated from Flat6labs Cairo, and Techstars Riyadh.</t>
  </si>
  <si>
    <t>20 Ahmed El Shatouri Dokki, Giza Egypt</t>
  </si>
  <si>
    <t>Untap</t>
  </si>
  <si>
    <t>Vocal Image _2022</t>
  </si>
  <si>
    <t>Nick Lahoika</t>
  </si>
  <si>
    <t>nick.lahoika@vocalimage.app</t>
  </si>
  <si>
    <t>Vocal Image does speech training and voice therapy app for speakers and singers.</t>
  </si>
  <si>
    <t>The team has diverse background in related areas and is strong in skill sets. The technical part(ML model) might not be cutting-edge but their private data set might be valueable to their success in revenue. Worth an interview</t>
  </si>
  <si>
    <t>Strartup Wise Guys Accelerator</t>
  </si>
  <si>
    <t>Tallinn, Harju Maakond Estonia</t>
  </si>
  <si>
    <t>Vocal Image</t>
  </si>
  <si>
    <t>Confidencial, Inc. _2022</t>
  </si>
  <si>
    <t>Karim Eldefrawy</t>
  </si>
  <si>
    <t>karim.eldefrawy@confidencial.io</t>
  </si>
  <si>
    <t>Confidencial is an SRI-spinout providing privacy enhancing technologies for securing sensitive information and collaboration in modern distributed enterprises. Its technology (developed under DARPA programs) integrates with existing business applications and secure sensitive information against outside and insider threats and meets compliance needs</t>
  </si>
  <si>
    <t>- Extremely technical inventors and founders. - Successful fundraising. - Spin-out from SRI. - Needs to do more work on customer discovery. Currently no customers, and still testing product with early adopters. - Could interview next year. A bit early for EFL.</t>
  </si>
  <si>
    <t>Was affiliated with SRI Ventures (https://www.sri.com/ventures/) in 2021. Pre-seed incubation. See SRI announcement at: https://www.sri.com/press/sri-ventures-announces-new-spin-out-confidencial-to-secure-sensitive-information-and-collaboration-for-distributed-enterprises/</t>
  </si>
  <si>
    <t>333 Ravenswood Avenue, CA United States</t>
  </si>
  <si>
    <t>Confidencial, Inc.</t>
  </si>
  <si>
    <t>Heyhack _2022</t>
  </si>
  <si>
    <t>Sebastian Brandes</t>
  </si>
  <si>
    <t>sb@heyhack.com</t>
  </si>
  <si>
    <t>Heyhack is an automated penetration testing service for web applications and APIs. Heyhack conducts penetration tests that surpass both the depth and quality of expert human pentesters and produces the documentation that software companies need to comply with SOC 2 and ISO 27001 requirements and to satisfy customer RFIs and RFPs.</t>
  </si>
  <si>
    <t>Hacking testing seems narrow but an important market. Can they expand beyond hack tests?</t>
  </si>
  <si>
    <t>- Highly technical team in cyber security with great startup exits. - On paper, providing Big-Four level web app penetrating testing automatically should be a strong value proposition for the right customers. - However, not enough work done on finding product-market fit and customer discovery. - Technology developed in-house from years of work in penetration testing. Long term vision is poorly researched and defined.</t>
  </si>
  <si>
    <t>Yes, NVIDIA Inception and AWS Activate.</t>
  </si>
  <si>
    <t>Fiskerivej 2K, 1., 8000 Aarhus C, Denmark Denmark</t>
  </si>
  <si>
    <t>Heyhack</t>
  </si>
  <si>
    <t>Reyets: Social Justice Network _2022</t>
  </si>
  <si>
    <t>Wa'il Ashshowwaf</t>
  </si>
  <si>
    <t>wail@reyets.com</t>
  </si>
  <si>
    <t>Duolingo for civil rights, we use microlearning and gamification to teach people how to know their rights and connect them with tools and organizations so they feel safe and empowered to assert them.</t>
  </si>
  <si>
    <t>Strong founding team with both experience in civil rights, law, and building startups.</t>
  </si>
  <si>
    <t>Yes, Founders Academy, SOCAP, Gbeta, AcceliCity, Shmidt Futures, Impact Ventures, Camelback Ventures, MIT Solve Incubator, EY Ripples program.</t>
  </si>
  <si>
    <t>1201 Wilson Blvd, 27th floor, Arlington, Virginia United States</t>
  </si>
  <si>
    <t>Reyets: Social Justice Network</t>
  </si>
  <si>
    <t>Winvesta Ltd _2022</t>
  </si>
  <si>
    <t>Swastik Nigam</t>
  </si>
  <si>
    <t>swastik@winvesta.in</t>
  </si>
  <si>
    <t>FCA regulated Winvesta Ltd offers multi-currency accounts (MCAs) to Indians, enabling them to do goal-based investing overseas. Businesses leverage the MCAs to manage their export revenues transparently and inexpensively. We also pioneered UPI-based remittances that breaks the stranglehold of traditional banks with zero fees and transparent FX.</t>
  </si>
  <si>
    <t>- Strong fundraising success! - Market limited to the Indian consumer. - Not sure how our mentors might be able to assist.</t>
  </si>
  <si>
    <t>Very solid momentum, but possible scaling limitation as structured for India. Not sure if EFL fit ("massively scalable").</t>
  </si>
  <si>
    <t>$5 million</t>
  </si>
  <si>
    <t>We were affiliated earlier with the Natwest Fintech Accelerator, Hogal Lovells Fintech Accelerator2019-2020, Fintech Legal Labs by Ashurst 2019. These are all UK-based programs.</t>
  </si>
  <si>
    <t>27 Old Gloucester Street, London, WC1N 3AX, England United Kingdom</t>
  </si>
  <si>
    <t>Winvesta Ltd</t>
  </si>
  <si>
    <t>Acquire Invest _2022</t>
  </si>
  <si>
    <t>Brian Harstine</t>
  </si>
  <si>
    <t>brian@acquireinvest.com</t>
  </si>
  <si>
    <t>Acquire provides a mobile application for users to discover, invest and trade private placement and alternative assets. Acquire utilizes blockchain technology to enable primary issuance and secondary markets for these assets through compliant Reg-Tech.</t>
  </si>
  <si>
    <t>- Currently in development and working on technology validation. - Application does not address why powerful competitors, such as Robinhood, Coinbase, and Republic, are unable to develop the same technology and product. Unclear technical and business moat. - Does not have customers and also shared little info regarding customer discovery. - Should not interview this year.</t>
  </si>
  <si>
    <t>Really amazing design, but I expect serious regulatory hurdles.</t>
  </si>
  <si>
    <t>$6M</t>
  </si>
  <si>
    <t>very early; still concept stage, very powerful players already in the market; why aren't these competetors doing this already with all their resources?, what makes this team that unique?</t>
  </si>
  <si>
    <t>Acquire Invest</t>
  </si>
  <si>
    <t>Aerobiosys Innovations Private Limited _2022</t>
  </si>
  <si>
    <t>Rajesh Yadav</t>
  </si>
  <si>
    <t>yadav.rajesh@aerobiosys.com</t>
  </si>
  <si>
    <t>Aerobiosys Innovations Private Limited aims to develop affordable life-saving medical equipment with advanced technologies for hospitals, medical institutions, and individual practitioners.</t>
  </si>
  <si>
    <t>Target market is rural India, limiting the impact EFL can make.</t>
  </si>
  <si>
    <t>+ 1. tech seems advanced and is partially validated 2. good team setup - 1. need more justification on core advantage</t>
  </si>
  <si>
    <t>Centre for Healthcare Entrepreneurship, IIT Hyderabad.</t>
  </si>
  <si>
    <t>Hyderabad, Telangana India</t>
  </si>
  <si>
    <t>Aerobiosys Innovations Private Limited</t>
  </si>
  <si>
    <t>AGICortex _2022</t>
  </si>
  <si>
    <t>Maciej Wolski</t>
  </si>
  <si>
    <t>maciek@agicortex.com</t>
  </si>
  <si>
    <t>AGICortex offers AI solutions for the physical world to solve the problem of efficient implementation of Machine Learning features on robots &amp; drones for their manufacturers, providing an ability to use the AutoML framework that makes implementations multiple times easier, faster, and cheaper.</t>
  </si>
  <si>
    <t>- AGI architecture is only designed, not implemented yet. This startup seems too early for EFL. - Not clear how different are their models in comparison to the general ones developed at Google.</t>
  </si>
  <si>
    <t>Technology validation is partial. Not sure the advantage over competitors</t>
  </si>
  <si>
    <t>We took part in the Overkill Ventures accelerator in 2020.</t>
  </si>
  <si>
    <t>Poznan, Wielkopolskie Poland</t>
  </si>
  <si>
    <t>AGICortex</t>
  </si>
  <si>
    <t>ARCHITEChTURES _2022</t>
  </si>
  <si>
    <t>Juan Bordallo</t>
  </si>
  <si>
    <t>juanbordallo@architechtures.com</t>
  </si>
  <si>
    <t>Architechtures uses AI to empower better building design, improving decision making and enabling smarter solutions while reducing design time from months to minutes.</t>
  </si>
  <si>
    <t>+ Good validation and revenue growth - Competitive space and niche market</t>
  </si>
  <si>
    <t>+ 1. interesting implementation of a known tech 2. solid progress so far - 1. tech itself isn't novel 2. need more justification of the fundamental need for AI in this field</t>
  </si>
  <si>
    <t>Other: Pre-SeriesA</t>
  </si>
  <si>
    <t>MALAGA, MALAGA Spain</t>
  </si>
  <si>
    <t>ARCHITEChTURES</t>
  </si>
  <si>
    <t>AssayMe _2022</t>
  </si>
  <si>
    <t>Mykola Plotnikov</t>
  </si>
  <si>
    <t>np@assayme.cc</t>
  </si>
  <si>
    <t>AssayMe is a personal Wellness &amp; Health Assistant that enables users to monitor health conditions and prevent potential medical problems through a simple, at-home, self-administered urine test. As well it is a comprehensive tool for high-quality Telehealth.</t>
  </si>
  <si>
    <t>Market opportunity seems smalls ($20M); tech improves on features but is not revolutionary; moreover, the product is a 'nice to have' and not a 'need to have'</t>
  </si>
  <si>
    <t>This is a very important tech to build out, but there are many others in the field. Fortunately AssayMe is gaining traction.</t>
  </si>
  <si>
    <t>We finished the healthcare accelerator XLeratehealth https://www.xleratehealth.com/portfolio</t>
  </si>
  <si>
    <t>Morristown, NJ United States</t>
  </si>
  <si>
    <t>AssayMe</t>
  </si>
  <si>
    <t>BoxyHQ _2022</t>
  </si>
  <si>
    <t>Sama Carlos Samame</t>
  </si>
  <si>
    <t>sama@boxyhq.com</t>
  </si>
  <si>
    <t>BoxyHQ helps developers automate product security, and it provides low-code APIs to enable enterprise compliant security via simple and efficient integrations. Including SAML SSO, audit logs, directory sync, and privacy vault. &gt; Open source + DevTools + Cybersecurity</t>
  </si>
  <si>
    <t>Very early stage company relying on open source as a go-to-market. Should interview next year.</t>
  </si>
  <si>
    <t>BoxyHQ</t>
  </si>
  <si>
    <t>Coala Pay _2022</t>
  </si>
  <si>
    <t>Melyn McKay</t>
  </si>
  <si>
    <t>melyn@coalapay.org</t>
  </si>
  <si>
    <t>Coala Pay is a smart contracting platform improving the quality and amount of international aid money reaching local, grassroots actors. Coala Pay makes it easier for CSR actors, private philanthropists, and individuals to engage in high impact giving, while also alleviating common pain points related to bi- and multi-lateral donor grant making.</t>
  </si>
  <si>
    <t>Mission is great, helping local actors receive international aid money; leverages blockchain technology to facilitate payments; founders have PhDs from Oxford; market is relatively small; company is very early; I would encourage them to apply next year</t>
  </si>
  <si>
    <t>An early-stage company with strong engineering team. Validation not well-established.</t>
  </si>
  <si>
    <t>Amsterdam, North Holland Netherlands</t>
  </si>
  <si>
    <t>Coala Pay</t>
  </si>
  <si>
    <t>Dealcode GmbH _2022</t>
  </si>
  <si>
    <t>Alexander Weltzsch</t>
  </si>
  <si>
    <t>aw@dealcode.ai</t>
  </si>
  <si>
    <t>Dealcode solves the problem of sales teams wasting 50% of their time on the wrong tasks and deals, leaving money on the table, by providing them an AI Guided Selling Software that allows B2B companies to accurately analyze sales data without any data science team, track sales engagement with ease, gain actionable insights and get out of the blind.</t>
  </si>
  <si>
    <t>There was no discussion of competitors, which is important in assessing this type of company; they have 200K Euro in revenue from pilots; the team has complementary skill sets and previous startup experience; market opportunity could be large; I don't know how novel the tech is or how truly differentiated the company is</t>
  </si>
  <si>
    <t>German Accelerator AI Startup Hub InnoRampUp</t>
  </si>
  <si>
    <t>Hamburg, Hamburg Germany</t>
  </si>
  <si>
    <t>Dealcode GmbH</t>
  </si>
  <si>
    <t>DLTEO GmbH _2022</t>
  </si>
  <si>
    <t>Zhongqian Ding</t>
  </si>
  <si>
    <t>c-level@dlteo.com</t>
  </si>
  <si>
    <t>A-symmetry is a decentralised protocol for processing, trading sensitive data and monetizing data that previously wasn't accessible. The protocol enables data to remain encrypted all the while it being used for research opening new doors for the Earth Observation and Healthcare industries.</t>
  </si>
  <si>
    <t>Uses blockchain and cryptography technology to allow users to trade sensitive data; there are a lot of players in this space generally and I would like to see some traction before moving forward with them</t>
  </si>
  <si>
    <t>The company has good claims in their product(awards, affiliation, advisors) but the proof of concept is vague. And they had several typos in the application(funding - $50000 seed/pre-seed, afflication- they said "3 incubators" but listed 4)</t>
  </si>
  <si>
    <t>We have been in 3 different startup incubators: 1. ESA BIC Austria 2. Space Hub Network 3. Arweave Foundation OWF 4. Apls Silicon</t>
  </si>
  <si>
    <t>Arweave foundation</t>
  </si>
  <si>
    <t>Stremayrgasse 16,4 8010, Graz Austria</t>
  </si>
  <si>
    <t>DLTEO GmbH</t>
  </si>
  <si>
    <t>Educai.io _2022</t>
  </si>
  <si>
    <t>Francois Pham-Quang</t>
  </si>
  <si>
    <t>ffrancois@wondersofmaths.com</t>
  </si>
  <si>
    <t>Educai is an AI-enabled platform that provides tutors with an all-in-one tool needed to personalise a student's learning journey efficiently. Started with Maths, Educai has digitised the teaching method using their personalised teaching engine: understand the student, match them with the right tutor and content, track learning, and provide feedback</t>
  </si>
  <si>
    <t>Interesting idea; not sure the tech innovation is a fit for EFL; also concerned the the market is realistically small</t>
  </si>
  <si>
    <t>good market research and competitor research rich experience in start-up and EdTech clear about what they want from EFL</t>
  </si>
  <si>
    <t>Yes, we have been part of the UK's most prominent venture studio called Founders Factory (https://foundersfactory.com/). Backed by Brent Hoberman (https://www.linkedin.com/in/brenthoberman/), who is also one of our advisors.</t>
  </si>
  <si>
    <t>London, UK United Kingdom</t>
  </si>
  <si>
    <t>Educai.io</t>
  </si>
  <si>
    <t>Eve World Platform Pte Ltd _2022</t>
  </si>
  <si>
    <t>Tarun Katial</t>
  </si>
  <si>
    <t>tarun@eve.world</t>
  </si>
  <si>
    <t>coto' (come together) is a web3-based social community platform, for women, shaped by women. It delivers on the vision of virtual sisterhoods, empowering young girls and women of all ages, to create strong meaningful self sustaining communities, underpinned by the tenets of monetisation, governance, participative ownership and web3 token economy.</t>
  </si>
  <si>
    <t>- Extremely successful founder, Tarun Katial, with broad media tech and investment experience in India. - Great team of advisors as well. - Women centered Web 3 platform is centered on go to market, and not a tech play. Centered on India as its beachhead. - Not a fit with EFL.</t>
  </si>
  <si>
    <t>(-)Tech does not seem novel (+)Raised alot of money (+)Credible and experienced team</t>
  </si>
  <si>
    <t>10MN</t>
  </si>
  <si>
    <t>77 High Street, #03-10 High Street Plaza Singapore 179433, Singapore Singapore</t>
  </si>
  <si>
    <t>Eve World Platform Pte Ltd</t>
  </si>
  <si>
    <t>FirstWork LLC _2022</t>
  </si>
  <si>
    <t>Patrick Faga</t>
  </si>
  <si>
    <t>Patrick@firstworkapp.com</t>
  </si>
  <si>
    <t>FirstWork's proprietary hybrid learning system continues the work developmental therapists do face-to-face in therapy sessions at home on kid's entertainment devices. We do this by having users 'work' for screen time; a novel hybrid learning approach based on the principals of behavioral science which can to deliver any hard-skill learning task.</t>
  </si>
  <si>
    <t>- Beginning to see early traction. - Founders are well rounded in both therapy and software development. - Concerned about how to create technical moat. - Should invite team to interview next year.</t>
  </si>
  <si>
    <t>Feels a little premature for EFL--still conceptual in a few stages. Poised to do significant work once they get going. Invite next year?</t>
  </si>
  <si>
    <t>Yes, they are listed below: Wharton's Venture Initiation Program Incubator(VIPc): Spring 2022 Wharton's Venture Initiation Program Accelerator(VIPx): Summer 2022 University of San Diego Knauss School of Business Accelerator(FEI): Summer 2022</t>
  </si>
  <si>
    <t>7008 Capitol View Drive , VA United States</t>
  </si>
  <si>
    <t>FirstWork LLC</t>
  </si>
  <si>
    <t>Folks Finance _2022</t>
  </si>
  <si>
    <t>Benedetto Biondi</t>
  </si>
  <si>
    <t>benedettobiondi@blockchainitalia.io</t>
  </si>
  <si>
    <t>Folks Finance is the leading capital markets protocol for borrowing and lending built on the Algorand blockchain. Developed by Blockchain Italia, a software house between the early adopters of Algorand, Folks Finance aims to be the reference for DeFi loans offering the simplest experience and the most flexible way for Defi neophytes and Pro</t>
  </si>
  <si>
    <t>Not sure this is materially different than other options</t>
  </si>
  <si>
    <t>This web3 company is receiving $3M from VC. But the technical advantage is unclear. If there's extra spot, we can invite them for interview</t>
  </si>
  <si>
    <t>yes, Algorand Europe Accelerator</t>
  </si>
  <si>
    <t>Folks Finance</t>
  </si>
  <si>
    <t>Foundry Spatial _2022</t>
  </si>
  <si>
    <t>Ben Kerr</t>
  </si>
  <si>
    <t>ben@foundryspatial.com</t>
  </si>
  <si>
    <t>Foundry Spatial provides advanced flood warning to let infrastructure managers understand climate and water risk at every location in their network.</t>
  </si>
  <si>
    <t>I think it's a good company with decent traction and that it will have an average outcome</t>
  </si>
  <si>
    <t>The company has positive social impact and the technology is providing good validation result. But the protection is not ready</t>
  </si>
  <si>
    <t>Victoria, BC Canada</t>
  </si>
  <si>
    <t>Foundry Spatial</t>
  </si>
  <si>
    <t>GetChkd Inc. _2022</t>
  </si>
  <si>
    <t>Michael Caplovitz</t>
  </si>
  <si>
    <t>michael@getchkd.com</t>
  </si>
  <si>
    <t>GetChkd is an infinitely scalable, full-suite enterprise blockchain infrastructure platform that enables Web3 ?connecting all data and assets ?the off chain to the on chain and online to the real world. GetChkd makes it easy to secure &amp; share data/assets across any platform - ensuring criteria are met, while maintaining privacy &amp; confidentiality.</t>
  </si>
  <si>
    <t>- Web 3 infrastructure category - A little bit early but showing traction - Can consider an interview if there is left over space in DiT</t>
  </si>
  <si>
    <t>Web3 infrastructure is a popular field. This company needs to show more validation on its advantage over competitors</t>
  </si>
  <si>
    <t>Capital Factory Newchip</t>
  </si>
  <si>
    <t>GetChkd Inc.</t>
  </si>
  <si>
    <t>GrowSquares _2022</t>
  </si>
  <si>
    <t>Zachary Witman</t>
  </si>
  <si>
    <t>zachary@growsquares.com</t>
  </si>
  <si>
    <t>Growsquares uses remote environmental analysis and a deep understanding of plant models to help users grow better crops in their unique microclimates.</t>
  </si>
  <si>
    <t>- Grown revenue and pipeline since last application. - Has been validated with only 2 customers. Seeing a lack of customer discovery work and lack of funnel building in 1 year. - Not discussing competitive advantage vs. competitors.</t>
  </si>
  <si>
    <t>The company has a nice website focused on their DTC offerings. The EFL pitch is a pivot where they have several customers utilizing their data to make farming decisions to improve yield. This is an interesting approach that can benefit from mentors.</t>
  </si>
  <si>
    <t>We're currently enrolled in NYU's Next Round Accelerator and work out of their Tandon campus in downtown Brooklyn We also are a part of Antler's Accelerator program</t>
  </si>
  <si>
    <t>GrowSquares</t>
  </si>
  <si>
    <t>L-Infinity Labs, Inc. _2022</t>
  </si>
  <si>
    <t>Daniel Rubin</t>
  </si>
  <si>
    <t>danielrubin@l-infinitylabs.com</t>
  </si>
  <si>
    <t>L-Infinity offers Homomorphic Encryption-based software to allow institutions with private data to securely access their data in the cloud or allow untrusted parties to perform data analysis without ever exposing the data, enabling greater data security while creating more opportunities to learn from data.</t>
  </si>
  <si>
    <t>Too early for EFL. Should apply again next year.</t>
  </si>
  <si>
    <t>An early-staged start-up with promising technology</t>
  </si>
  <si>
    <t>378 Edmands Rd, MA United States</t>
  </si>
  <si>
    <t>L-Infinity Labs, Inc.</t>
  </si>
  <si>
    <t>Labocine _2022</t>
  </si>
  <si>
    <t>Alexis Gambis</t>
  </si>
  <si>
    <t>agambis@labocine.com</t>
  </si>
  <si>
    <t>LABOCINE is a hybrid platform, streaming diverse science cinema, showcasing research videos and connecting artists &amp; scientists</t>
  </si>
  <si>
    <t>Strong mission, but not novel tech--ultimately a Netflix for scientists/artists. Also feels like a fairly crowded space. Not a fit for EFL because not disruptive/novel.</t>
  </si>
  <si>
    <t>A special much-needed science advocacy idea of bridging science and arts-cinema; The company would absolutely benefit from EFL in refining the business model; please invite to interview</t>
  </si>
  <si>
    <t>We were part of the Made in NYC / AMP-NYC Accelerator in 2019.</t>
  </si>
  <si>
    <t>Brooklyn, New York United States</t>
  </si>
  <si>
    <t>Labocine</t>
  </si>
  <si>
    <t>Liv Labs Inc. _2022</t>
  </si>
  <si>
    <t>Melody Roberts</t>
  </si>
  <si>
    <t>melody@liv-labs.com</t>
  </si>
  <si>
    <t>Liv Labs is a consumer healthtech company making solutions for the 29 million American women who worry about leaking pee in public, including a simple medical device to keep them dry at the gym and adaptive exercise software to restore natural continence. Unlike incumbent OTC solutions, our approach is holistic: quick fix + longer-term cure.</t>
  </si>
  <si>
    <t>Medtech device companies typically do not do well at EFL; this one seems like it solves a good problem; however, there are a lot of other treatments and I'm not sure this one is materially better than others such that it can easily gain market share</t>
  </si>
  <si>
    <t>YC 2021 startup. Well-protected tech through patents. Want to know more about their competitors and a better competitive analysis. They have good results, however the tech is not highly innovative.</t>
  </si>
  <si>
    <t>- Polsky Incubator 2018-2019 (Booth School of Business, UChicago) - Rosenman Innovator 2020 (UCSF) - Y Combinator 2021</t>
  </si>
  <si>
    <t>Liv Labs Inc.</t>
  </si>
  <si>
    <t>myAir Smart Wellness _2022</t>
  </si>
  <si>
    <t>Rachel Yarcony</t>
  </si>
  <si>
    <t>rachel@myair.ai</t>
  </si>
  <si>
    <t>trendy. could take off, but it seems like it will primarily be a marketing play. not sure if consumers will want to commit to hardware, soft ware subscription and the food bars they supply.</t>
  </si>
  <si>
    <t>Interesting technology with some market validation. Extremely competitive industry though, much more of a marketing/GTM play in my opinion since there are no internationally recognized standards for stress management.</t>
  </si>
  <si>
    <t>Plug and play California|Plug and play Japan|Google Innovation lab|Facebook commerce lab|Amazon AWS innovators lab|</t>
  </si>
  <si>
    <t>Dr. Israeli Ran</t>
  </si>
  <si>
    <t>Tel Aviv Israel, Israel</t>
  </si>
  <si>
    <t>myAir Smart Wellness</t>
  </si>
  <si>
    <t>Neurometry _2022</t>
  </si>
  <si>
    <t>Omair Ahmed</t>
  </si>
  <si>
    <t>omair@neurometry.co.uk</t>
  </si>
  <si>
    <t>Neurometry is Gaming early diagnosis and management of patients with neurological disorders. Our mobile games remove literacy biases and target domains used in every day functions. Using our Integrated software, we aim to create a unique capability of real-time remote assessment and risk discovery without training. MCI is our first target.</t>
  </si>
  <si>
    <t>Gaming + Neurometry. Not validated yet. Seems more like an app than a real product -- WTP/TAM doesnt seem large.</t>
  </si>
  <si>
    <t>Increasingly crowded space. If product is intended for older populations (seems it mostly is), might be some trouble adapting to technology. Doesn't feel too novel (agreed--more like an app).</t>
  </si>
  <si>
    <t>Startup Program - Seed Sprint / SeedLegal Startup Program - Innovate UK Edge</t>
  </si>
  <si>
    <t>dhegde@stern.nyu.edu</t>
  </si>
  <si>
    <t>71-75 Shelton Street London, London United Kingdom</t>
  </si>
  <si>
    <t>Neurometry</t>
  </si>
  <si>
    <t>noktos _2022</t>
  </si>
  <si>
    <t>Roberto Tame</t>
  </si>
  <si>
    <t>roberto@noktos.com</t>
  </si>
  <si>
    <t>Noktos is an Embedded-Finance Travel Tech, we smooth out price volatility, providing businesses with a fixed price for their accommodation and a one-stop shop (including financing) for their travel needs.</t>
  </si>
  <si>
    <t>The company seems to be a futures market for booking hotels. Their vision is for a future without dynamic pricing. Dynamic pricing is typically a cornerstone of most pricing strategies. Does a future?s market work for hotels at scale or would they become less profitable? How do customers know that the price they pay for a "nokto" today is better than the price in the future? During stressed times, how would Noktos manage? They have traction in Mexico (1000+ pay customers, $260K monthly GMV), so they could be worth meeting. I?m not sure of mentor interest in this type of startup.</t>
  </si>
  <si>
    <t>Techstars Anywhere</t>
  </si>
  <si>
    <t>noktos</t>
  </si>
  <si>
    <t>Ochy _2022</t>
  </si>
  <si>
    <t>Khaldon Evans</t>
  </si>
  <si>
    <t>khaldon@ochy.io</t>
  </si>
  <si>
    <t>Ochy is an app that uses video and AI to bring lab-quality movement analysis on a smartphone so people can evaluate their technique from anywhere. We identify the weak points of the person and provide a specific exercise plan to improve the weak points so the person can run more efficiently in order to prevent injuries or improve performance.</t>
  </si>
  <si>
    <t>- Too many competitors. - Not enough clear moat. - Not enough traction.</t>
  </si>
  <si>
    <t>good tech company, has great Team but currently doesn't generate any revenue and the tech is yet to be validated and patented</t>
  </si>
  <si>
    <t>Yes, we have been with Google for Startups, 1Kubator, NewChip and Hype Sport Innovation</t>
  </si>
  <si>
    <t>Rennes, Bretagne France</t>
  </si>
  <si>
    <t>Ochy</t>
  </si>
  <si>
    <t>Omnic Data, Inc. _2022</t>
  </si>
  <si>
    <t>Shaun Meredith</t>
  </si>
  <si>
    <t>shaun@omnic.ai</t>
  </si>
  <si>
    <t>Omnic Data provides the World's 1.8 billion aspiring gamers the ability to activate their superpowers. We do this using computer vision and machine learning to analyze video of their gameplay and make actionable insights on how they can play better.</t>
  </si>
  <si>
    <t>It's unclear how much of a need or demand there will be for this product; the innovation is an AI engine that learns which neural network should be used in a specific instance of a game; founding team helped launch both the iPhone and co-founding Android</t>
  </si>
  <si>
    <t>too many competitor with same tech and same business idea, currently doesn't have any revenue generated</t>
  </si>
  <si>
    <t>Yes, we completed the Roux Institute Techstars Accelerator in December 2021</t>
  </si>
  <si>
    <t>Omnic Data, Inc.</t>
  </si>
  <si>
    <t>Orange Therapeutics _2022</t>
  </si>
  <si>
    <t>Rebecca Frankel</t>
  </si>
  <si>
    <t>rebeccafrankel72@gmail.com</t>
  </si>
  <si>
    <t>Orange Therapeutics is developing virtual humans to deliver cognitive behavioral therapy to augment the therapy patients of specific disorder populations receive from their (human) clinicians.</t>
  </si>
  <si>
    <t>- Creating virtual human clinician. - A lot of well established competitors using various modalities. - Unclear application, failing to give details in innovation and technology moat. - Poorly written application. - Could interview next year to understand traction.</t>
  </si>
  <si>
    <t>The company is growing(possible pilot with rehab centers) But tech validation is ambiguous and is cutting edge The application is not filled in with caution(missing fund raising/founder information, typos)</t>
  </si>
  <si>
    <t>Other: Venture round</t>
  </si>
  <si>
    <t>$40M</t>
  </si>
  <si>
    <t>Yes. I was one of fewer than 40 women selected as part of what I believe is the inaugural HSBC ROAR USA '22 cohort of women founders, part of the $1B HSBC initiative to help propel female entrepreneurs forward. This occurred very recently. Also in the spring of '22 we were selected to be part of the Comcast NBCUniversal Lift Labs cohort. We were also selected to participate in the inaugural Impact Ventures Competition which was sponsored by Schmidt Futures (Eric and Wendy Schmidt).</t>
  </si>
  <si>
    <t>37 W 72nd St., Suite 7E, New York, New York United States</t>
  </si>
  <si>
    <t>Orange Therapeutics</t>
  </si>
  <si>
    <t>Oxus.AI _2022</t>
  </si>
  <si>
    <t>Mindaugas Bruzas</t>
  </si>
  <si>
    <t>mindaugas.bruzas@oxus.ai</t>
  </si>
  <si>
    <t>Oxus.AI helps sales and customer success teams improve performance by serving customers in any language, by listening 100% of all phone/video calls, analyzing them, and providing actionable insights on how to close more deals and deliver a better experience to customers.</t>
  </si>
  <si>
    <t>Strong idea, strong need for it. Novelty of tech is debatable, curious for more info about tech validation. If the biggest problem is making a case for the need to potential customers, might be a difficult start. I'm on the fence about this one.</t>
  </si>
  <si>
    <t>Not sure about the product-market fit. Since this problem is being solved through several different solutions currently, and it is not easy for an enterprise to shift to their solution. The market size is too narrow for this solution, and they are struggling with acquiring customers, which means they are not promising for gaining a big market share. There isn't any tech innovation in their product, and it is obviously not patentable.</t>
  </si>
  <si>
    <t>Yes. We have participated in several of those: 1. MITA TechHub pre-accelerator in 2021. Oxus.AI was selected as Top 5 startups of the batch. 2. Startup Wise Guys (SWG) - The biggest SaaS accelerator in Europe. SaaS batch Vilnius 2021. Raised the biggest pre-seed in the batch. SWG invested together with other investors in our pre-seed round. 3. 70 Ventures - No 1 revenue accelerator in Europe. They invested together with other investors in our pre-seed round.</t>
  </si>
  <si>
    <t>Vilnius, Vilnius Lithuania</t>
  </si>
  <si>
    <t>Oxus.AI</t>
  </si>
  <si>
    <t>Parverio Inc,. _2022</t>
  </si>
  <si>
    <t>Greg Madejski</t>
  </si>
  <si>
    <t>greg@parverio.com</t>
  </si>
  <si>
    <t>Parverio combats microplastic contamination in our environment, food, and drink, for homeowners, researchers, municipalities, filtration manufacturers, and food/beverage producers by providing new tools and information to improve human health outcomes with microparticulate analysis.</t>
  </si>
  <si>
    <t>I like the concept, which is based on research; founder if part-time and it's too early for EFL; in 1-2 years they should re-apply</t>
  </si>
  <si>
    <t>+ 1. advanced tech coming directly from academia 2. team of technical talents - 1. might be too early stage</t>
  </si>
  <si>
    <t>NextCorps, Rochester NY.</t>
  </si>
  <si>
    <t>150 Lucius Gordon Dr. Suite 110, NY United States</t>
  </si>
  <si>
    <t>Parverio Inc,.</t>
  </si>
  <si>
    <t>PepperMintClub _2022</t>
  </si>
  <si>
    <t>Yu Kiu Lau</t>
  </si>
  <si>
    <t>yl9727@nyu.edu</t>
  </si>
  <si>
    <t>Peppermintclub is a company that brings web3 tech solutions to traditional businesses, more specifically turning their products into NFTs and setting up a pipeline into other web3 areas such as the metaverse. We work directly with these businesses to create a customized platform that represents their brand identity.</t>
  </si>
  <si>
    <t>Very early stage. Trendy area, but have to do more business development and validation. NYU company. Recommend to Berkley and invite for next year.</t>
  </si>
  <si>
    <t>Need more validation. Not clear how the response system improves over current method. Tough business model.</t>
  </si>
  <si>
    <t>Hong Kong , Hong Kong Hong Kong</t>
  </si>
  <si>
    <t>PepperMintClub</t>
  </si>
  <si>
    <t>Perception Grid _2022</t>
  </si>
  <si>
    <t>Mario Kenyon</t>
  </si>
  <si>
    <t>mario.kenyon@perceptiongrid.io</t>
  </si>
  <si>
    <t>Perception Grid streamlines XR management and collaboration for businesses looking to improve production and distribution of immersive experiences for the next phase of the web.</t>
  </si>
  <si>
    <t>Predicated on growth of 3 D assets and willingness of companies to outsource their management. Seems a few years ahead of the industry. Would like to see some validation first.</t>
  </si>
  <si>
    <t>XR asset management system that modernizes media asset management need funding, pilots, and customer pipelines want to see where they are in a year</t>
  </si>
  <si>
    <t>2.5 Million</t>
  </si>
  <si>
    <t>5877 Obama Blvd, Los Angeles, CA United States</t>
  </si>
  <si>
    <t>Perception Grid</t>
  </si>
  <si>
    <t>RABOT Charge _2022</t>
  </si>
  <si>
    <t>Jan Rabe</t>
  </si>
  <si>
    <t>j.rabe@rabot-charge.de</t>
  </si>
  <si>
    <t>RABOT Charge offers the smartest power contract: Connecting the household and electric vehicle directly to the intraday market our smart algorithm is looking for the best prices and times of highest share of renewables on behalf of the customer. Charge management is done remotely. Customer save up to 37% in power costs and 2,5 tones of CO2.</t>
  </si>
  <si>
    <t>- Not clear in its differentiation among competitors. - Good traction in Germany. Startup hope to expand to the US.</t>
  </si>
  <si>
    <t>Application a little short on details. but has some momentum.</t>
  </si>
  <si>
    <t>Hamburg, 80796 Germany</t>
  </si>
  <si>
    <t>RABOT Charge</t>
  </si>
  <si>
    <t>Rollio _2022</t>
  </si>
  <si>
    <t>Jake Soffer</t>
  </si>
  <si>
    <t>Jake@rollio.ai</t>
  </si>
  <si>
    <t>The Human Interface for Salesforce that enables companies to fuel enterprise systems built for output with the data input required to run and eliminate the inefficiencies required for such.</t>
  </si>
  <si>
    <t>The app is very thin; tech seems like it could be interesting; traction seems good</t>
  </si>
  <si>
    <t>The company started in 2014 and is generating revenue now. Tech isn't cutting edge but integrated well in practice with Salesforce.</t>
  </si>
  <si>
    <t>NYU future labs</t>
  </si>
  <si>
    <t>41 Flatbush Ave, New York United States</t>
  </si>
  <si>
    <t>Rollio</t>
  </si>
  <si>
    <t>Satocci (Legal name Satocci Finance AB) _2022</t>
  </si>
  <si>
    <t>Melodi Askelöf</t>
  </si>
  <si>
    <t>melodi.askelof@satocci.com</t>
  </si>
  <si>
    <t>retail technology that has large addressable market, but crowded space and differentiation is not clear</t>
  </si>
  <si>
    <t>This is an extremely early stage product, which in theory sounds good but in execution might be difficult to built.</t>
  </si>
  <si>
    <t>Yes, we have been in:|1)Google for Startups 2021|2)Antler program in Sweden 2021|3)Startupbootcamp in Amsterdam 2022</t>
  </si>
  <si>
    <t>Swedenborgsgatan 12, 75334 Uppsala, Sweden</t>
  </si>
  <si>
    <t>Satocci (Legal name Satocci Finance AB)</t>
  </si>
  <si>
    <t>Seccuri _2022</t>
  </si>
  <si>
    <t>Juanita Duque</t>
  </si>
  <si>
    <t>juanita.duque@seccuri.com</t>
  </si>
  <si>
    <t>Seccuri is a global cybersecurity talent platform that: 1) performs smart matching between companies? required job positions and top cybersecurity talent using an AI algorithm, 2) and increases the cyber talent pool by providing access to training and certifications all in one place.</t>
  </si>
  <si>
    <t>This is a compelling team with highly skilled and experienced founders. They have done 200 customer discovery interviews. The question is how defensible is its technology and go-to-market, given the intense competition from both the job search and training companies in cyber security.</t>
  </si>
  <si>
    <t>+ 1. team is well composed 2. the problem they are trying to address is a real one -- based on their research and industry experience. - 1. need more evidence on what exactly is the cause of this problem and whether/how they could solve it (see Notes on Technology) 2. need more evidence on what set them apart from other platforms</t>
  </si>
  <si>
    <t>Currently we are affiliated with Alchemist Accelerator class 31, finishing in September.</t>
  </si>
  <si>
    <t>102 Tennyson Avenue, California United States</t>
  </si>
  <si>
    <t>Seccuri</t>
  </si>
  <si>
    <t>SeoHong Tech Co., Ltd. _2022</t>
  </si>
  <si>
    <t>Hyun-Deok Kang</t>
  </si>
  <si>
    <t>ceo@seohongtech.com</t>
  </si>
  <si>
    <t>SeoHong Tech Co., Ltd. builds AI to solve bedsore prevention issues for elderly and immobile people, providing lowered bedsore occurrence and comfort on bed.</t>
  </si>
  <si>
    <t>Solid company addressing genuine need. Upside limited.</t>
  </si>
  <si>
    <t>Even though they have validation from one institution in Korea, the product is still at a nascent stage and would require high fixed costs for the creation and production of these mats at scale. Second, it is a crowded market with multiple players addressing the same issue in different ways. Their differentiating factor is not abundantly clear.</t>
  </si>
  <si>
    <t>Khoa Ma (Associate Director)</t>
  </si>
  <si>
    <t>30, Badeurae 1-gil, Dong-gu, Ulsan Korea, Republic of</t>
  </si>
  <si>
    <t>SeoHong Tech Co., Ltd.</t>
  </si>
  <si>
    <t>Social-Impact Innovations Pvt. Ltd. _2022</t>
  </si>
  <si>
    <t>Sameer Gautam</t>
  </si>
  <si>
    <t>sameer@social-impact.in</t>
  </si>
  <si>
    <t>Social-Impact Innovations Pvt. Ltd. is a technology company with a focus on innovations that have a major social impact. Our first product ?TrafficRewards? is World's First Good Driving Behaviour Incentization App that identifies the users following traffic signals and rewards them points. These points can be redeemed across brands.</t>
  </si>
  <si>
    <t>Sensor that identifies cars that follow traffic rules; tech does not seem novel; seemed to have acquired a large first order; focus is on India currently</t>
  </si>
  <si>
    <t>The company seems a little bit early stage but already generates revenue with a big first order of $1M. Tech not cutting edge but idea is good. The series A round target is $10M suggests that it could be a huge target market. One thing weird is that this is a government project but they do not provide information on government relationship. Maybe invite next year</t>
  </si>
  <si>
    <t>Yes, we have been selected for Cornell Maha60. Cornell Maha60 is a specialized program initiated by Government of State of Maharashtra, India in association with Cornell University, USA for accelerating businesses of 60 selected startups</t>
  </si>
  <si>
    <t>Nagpur, Maharashtra India</t>
  </si>
  <si>
    <t>Social-Impact Innovations Pvt. Ltd.</t>
  </si>
  <si>
    <t>StockGro _2022</t>
  </si>
  <si>
    <t>Ajay Lakhotia</t>
  </si>
  <si>
    <t>ajay@stockgro.com</t>
  </si>
  <si>
    <t>StockGro simplifies the journey of trading and investing by enabling users to experience real-time risk free trading through gamification to raze 2 key barriers- lack of stock market knowledge and fear of losing money, for beginner to expert traders and investors by providing a social investment platform with a fun and interactive virtual interface</t>
  </si>
  <si>
    <t>Have seen other social gaming platforms in the US; this one seems to have taken off in India; given the fundraise revenue, we should interview</t>
  </si>
  <si>
    <t>+ 1. impress progress so far in India - 1. not a tech play 2. crowded space in the U.S.</t>
  </si>
  <si>
    <t>Strong in india currently but not good scaling options elsewhere</t>
  </si>
  <si>
    <t>WeWork Galaxy, 43, Residency Rd, Shanthala Nagar, Ashok Nagar, Bengaluru - 560025, Karnataka India</t>
  </si>
  <si>
    <t>StockGro</t>
  </si>
  <si>
    <t>Udeesa Systemics &amp; Technology _2022</t>
  </si>
  <si>
    <t>Asante Asiedu</t>
  </si>
  <si>
    <t>Asante@udeesa.org</t>
  </si>
  <si>
    <t>Udeesa Systemics &amp; Technology is building a collaborative learning platform that utilizes metaverse-ready learning tools, games, and immersive XR experiences to expand the narrative of BIPOC and Underrepresented History and Heritage, allowing students and families to walk in the footsteps of their ancestors and explore other cultures.</t>
  </si>
  <si>
    <t>Strong mission. Platform to adequately remedy underrepresentation in history. Tech itself isn't novel, patents not yet filed. Possibility for growth? First thought is that it doesn't quite feel like EFL fit, but on the fence.</t>
  </si>
  <si>
    <t>many similar startups on meta verse platform and mostly focus on African heritage, it's in very beginning stage of development.</t>
  </si>
  <si>
    <t>The previous programs we have been associated with were Transparent Collective and the National Science Foundation I-Corps Programs</t>
  </si>
  <si>
    <t>Ellington, CT United States</t>
  </si>
  <si>
    <t>Udeesa Systemics &amp; Technology</t>
  </si>
  <si>
    <t>Vinco _2022</t>
  </si>
  <si>
    <t>Lissy Giacomán</t>
  </si>
  <si>
    <t>lissy@vincoed.com</t>
  </si>
  <si>
    <t>Vinco makes it easy for companies in LatAm to upskill their operational base while increasing employee retention and productivity. Our mission is to provide a more equal access to education. Through our platform, employees gain access to a high-quality range of more than 2k online education programs.</t>
  </si>
  <si>
    <t>- Solid LatAm employee up-skill training website. - Good traction with corporate customers - Expansion to US is hard, because of competition. - Unsure how EFL mentors can help.</t>
  </si>
  <si>
    <t>+ 1. up&amp;running with sizable clients - 1. tech isn't novel 2. fierce competition</t>
  </si>
  <si>
    <t>We have participated in Y Combinator (S21) and Google for Startups (first batch for female founders in LatAm)</t>
  </si>
  <si>
    <t>Monterrey, Nuevo León Mexico</t>
  </si>
  <si>
    <t>Vinco</t>
  </si>
  <si>
    <t>Witty Health Inc _2022</t>
  </si>
  <si>
    <t>Whitney Isola</t>
  </si>
  <si>
    <t>whitney@wittyhealth.com</t>
  </si>
  <si>
    <t>OncoPower by Witty Health Inc has a free supportive oncology care platform (app and web based) to increase care access for patients, unburden providers from challenging and low-to-no revenue care, and create willing research populations with intuitive clinical trial mapping.</t>
  </si>
  <si>
    <t>- A lot of similar startups attacking the same problem, such as Flatiron Health. - Not sure what the exact technical moat is? - Invite next year.</t>
  </si>
  <si>
    <t>Not certain about how this is distinct from competitors, fairly crowded space.</t>
  </si>
  <si>
    <t>Other: Pre-Series A or Series A</t>
  </si>
  <si>
    <t>$3,000,000-5,000,000</t>
  </si>
  <si>
    <t>Witty Health Inc</t>
  </si>
  <si>
    <t>Yuty _2022</t>
  </si>
  <si>
    <t>Simi Lindgren</t>
  </si>
  <si>
    <t>simi.lindgren@yuty.me</t>
  </si>
  <si>
    <t>Yuty is the inclusive and proprietary AI which helps consumers find the right beauty products, sustainably; and enables brands and retailers to provide a seamless hyper-personalised omni-channel experience, driving customer loyalty, increasing average order values and reducing customer acquisition costs.</t>
  </si>
  <si>
    <t>Highly competitive market; very difficult to become $100M company</t>
  </si>
  <si>
    <t>strong idea tech is still needs to be validated and filled for a patent,has a 100k grant from Google but has a strong primary competitor from Ulta.</t>
  </si>
  <si>
    <t>We joined SIE Ventures in the UK (https://www.sie.ventures) in January 2021, which was a 3-month program to set Founders up for success in raising their next round, through introductions to investors, as well as other founders. This was equity free, with no monies exchanged. We have recently joined the 2022 Google For Startups Black Founders Fund Cohort https://startup.google.com/blackfoundersfund/ where we will receive up to $100,000 in equity free capital along with Google Cloud credits, Google Ads grants, and hands-on support to help their startup grow.</t>
  </si>
  <si>
    <t>Goog idea in growing space, but do we have mentors in this space?; invite next year, keep an eye on scaling</t>
  </si>
  <si>
    <t>71-75 Shelton Street, London United Kingdom</t>
  </si>
  <si>
    <t>Yuty</t>
  </si>
  <si>
    <t>Zeer, dba _2022</t>
  </si>
  <si>
    <t>Adam David Jones</t>
  </si>
  <si>
    <t>adam@zeersafe.com</t>
  </si>
  <si>
    <t>Zeer is NextGen911 personal and public safety software that improves prosecution rates, response times, and crime reduction. Zeer creates a frictionless safety response system with ML and internet of things. When data is saved to the Zeer cloud, Zeer uses a priporitary blockchain encryption to create the strongest chain of evidence in the world.</t>
  </si>
  <si>
    <t>not clear how the proposed solution does better than the current response systems as it still involves calling 911. customer acquisition will be hard. dont see this as a major company.</t>
  </si>
  <si>
    <t>The company has received funding from military Early-stage, validation is from research studies Recommend to apply next year?</t>
  </si>
  <si>
    <t>Yes. We currently just finished the Stacks Accelerator in their second cohort. Before this, we participated in 2Gether International. We have also participated in: Techcelerator through Ben Franklin Technology Partners of PA Global Startup Accelerator by University City Science Center Venture Deals Accelerator powered by TechStars and The Kauffman Fellows Conscious Venture Labs out of Baltimore</t>
  </si>
  <si>
    <t>University City Science Center, aka Kristin Fitch</t>
  </si>
  <si>
    <t>Hanover, PA United States</t>
  </si>
  <si>
    <t>Zeer, dba</t>
  </si>
  <si>
    <t>Friendlyforce, Inc. _2022</t>
  </si>
  <si>
    <t>Kelly Hill</t>
  </si>
  <si>
    <t>khill@friendlyforce.net</t>
  </si>
  <si>
    <t>when it matters - gapless communication</t>
  </si>
  <si>
    <t>The work done by this startup seem significant, but the application responses suggest that they might be hard to work with (beyond just hurried). Might not be a good fit for EFL(?).</t>
  </si>
  <si>
    <t>Capital Factory - Austin, Texas</t>
  </si>
  <si>
    <t>3308 Windsor Road, TX United States</t>
  </si>
  <si>
    <t>Friendlyforce, Inc.</t>
  </si>
  <si>
    <t>5ire _2022</t>
  </si>
  <si>
    <t>Pratik Gauri</t>
  </si>
  <si>
    <t>pratik@5ire.org</t>
  </si>
  <si>
    <t>5ire is a scalable decentralized, sustainable open-source blockchain with smart contract &amp; ESG ranking functionality, working towards the fulfilment of UN Sustainable Development Goals agenda 2030, trying to bring a shift from 'for profit' to 'for benefit' paradigm.</t>
  </si>
  <si>
    <t>very little validation</t>
  </si>
  <si>
    <t>Huge vision. Questions on feasibility.</t>
  </si>
  <si>
    <t>350 MN USD</t>
  </si>
  <si>
    <t>Newchip</t>
  </si>
  <si>
    <t>Unit Number 101, IFZA Dubai - Building A2, Dubai Silicon Oasis, Dubai, United Arab Emirates, Dubai United Arab Emirates</t>
  </si>
  <si>
    <t>5ire</t>
  </si>
  <si>
    <t>AiTera inc. _2022</t>
  </si>
  <si>
    <t>Daniel Fortin</t>
  </si>
  <si>
    <t>daniel@aitera.ca</t>
  </si>
  <si>
    <t>AITera inc. provides AI SaaS offering in a collaborative environment to all stakeholders (owners, experts firms, contractors, regulatory organisations and researchers) involved in contaminated sites remediation to reduce cost, delays taking into account resiliency and sustainability proposing and tracking best remediation techs based on experience.</t>
  </si>
  <si>
    <t>Would like to see more traction and proof of concept before moving forward</t>
  </si>
  <si>
    <t>+ 1. team has ample experience in the field - 1. tech implementation isn't very clear 2. not a lot of evidence of tech working</t>
  </si>
  <si>
    <t>We did participate in incubator program in Quebec at the Camp (Québec city) and participating now in an accelerator program SCALE AI.</t>
  </si>
  <si>
    <t>Divya Amirtharaj@insightpartners</t>
  </si>
  <si>
    <t>Quebec city, Quebec Canada</t>
  </si>
  <si>
    <t>AiTera inc.</t>
  </si>
  <si>
    <t>Arbol _2022</t>
  </si>
  <si>
    <t>David Gonzalez</t>
  </si>
  <si>
    <t>david@growarbol.com</t>
  </si>
  <si>
    <t>Arbol is a platform that helps low to moderate income college students achieve economic mobility through finance and community.</t>
  </si>
  <si>
    <t>Very early. Matching platform. Tech moat does not exist.</t>
  </si>
  <si>
    <t>Launch NY University At Buffalo, Cultivator</t>
  </si>
  <si>
    <t>Buffalo, New York United States</t>
  </si>
  <si>
    <t>Arbol</t>
  </si>
  <si>
    <t>Asklaser _2022</t>
  </si>
  <si>
    <t>Jayshree Harak</t>
  </si>
  <si>
    <t>ceo@asklaser.com</t>
  </si>
  <si>
    <t>Asklaser provides solutions to implement laser technology to upgrade manufacturing capabilities for manufacturing industry providing an omnichannel experience right from discovery to after sales.</t>
  </si>
  <si>
    <t>commodity service company</t>
  </si>
  <si>
    <t>Solid bet for a low risk, but not groundbreaking company.</t>
  </si>
  <si>
    <t>Asklaser</t>
  </si>
  <si>
    <t>BLOOP _2022</t>
  </si>
  <si>
    <t>Joy Zhang</t>
  </si>
  <si>
    <t>joy@getbloop.co</t>
  </si>
  <si>
    <t>BLOOP is a collaborative recommendation search engine for online communities. We help online communities curate and share cross-platform content (websites, tiktoks, anything with a URL) to show only quality peer recommended content. BLOOP's search results are human, and gives shared ownership and governance of all content in the platform.</t>
  </si>
  <si>
    <t>search platform that is verified by users tunnel for only seeing the information you want to see</t>
  </si>
  <si>
    <t>Good ideas. Very early and optimistic at this point. But maybe worth a quick look.</t>
  </si>
  <si>
    <t>Filecoin Techstars Accelerator 2022</t>
  </si>
  <si>
    <t>BLOOP</t>
  </si>
  <si>
    <t>Blue Studios.io _2022</t>
  </si>
  <si>
    <t>Kelley Cambry</t>
  </si>
  <si>
    <t>kelley@bluestudios.io</t>
  </si>
  <si>
    <t>We're building Metamask meets Greenlight for families with our flagship product, Wallio. Wallio is a supercharged De-Fi wallet, the world?s first family wallet built on Bitcoin. It?s supercharged because it enables everyone to set up their own family DAO, a DAO in a box for families. Wallio enables families to manage their assets for their lives.</t>
  </si>
  <si>
    <t>Creating a family walled on Blockchain; also mentioned a BioNFT, which was unclear how it fit into solving the generational wealth planning problem they mentioned; it could be interesting in 1-2 years</t>
  </si>
  <si>
    <t>+ 1. modern concept 2. strong team - 1. a lot of buzz words with more justification needed 2. could be a crowded space in near future</t>
  </si>
  <si>
    <t>Techstars, and Stacks accelerator</t>
  </si>
  <si>
    <t>41 Flatbush Avenue Floors 1 And 2, Brooklyn, NY United States</t>
  </si>
  <si>
    <t>Blue Studios.io</t>
  </si>
  <si>
    <t>Blue Velvet Innovations LTD t/a Cook My Grub _2022</t>
  </si>
  <si>
    <t>Dinesh Patil</t>
  </si>
  <si>
    <t>Dinesh@cookmygrub.com</t>
  </si>
  <si>
    <t>Cook My Grub is an innovative digital platform which offers a refreshing new way to search and order fresh authentic and healthy homecooked food in the local area. It?s been designed from the ground up to provide a healthy and sustainable alternative for people unable to cook wholesome meals at home.</t>
  </si>
  <si>
    <t>- Noteworthy outcome of similar startup: Chinese E-Commerce Giant Alibaba Acquires Ele.me In $9.5B Deal in 2018. - Similar startups: Deliveroo, JustEat, UberEats, HelloFresh etc. - Not a tech play, but has the potential to grow very fast and large. - Already gaining traction with 100000 plus meals prepped and 5000 customers.</t>
  </si>
  <si>
    <t>Maidenhead, Berkshire United Kingdom</t>
  </si>
  <si>
    <t>Blue Velvet Innovations LTD t/a Cook My Grub</t>
  </si>
  <si>
    <t>Blyp.ai _2022</t>
  </si>
  <si>
    <t>Matan Elmalam</t>
  </si>
  <si>
    <t>matan@blyp.ai</t>
  </si>
  <si>
    <t>Blyp is a 24/7, no-brainer way to gain 360° insight into your ecommerce business?s performance. No need to follow complicated analytics dashboards anymore. Blyp sends you snackable, growth-focused, actionable insights into your storefront, inventory, customers, and marketing - via email.</t>
  </si>
  <si>
    <t>The company has data points that show their success, though I would want to know more about how their customer experience, retention rates have been with regard to that. They are quite ambitious with the amount they are looking to raise and it would be interesting to know what they are looking to do with that money and what their future growth plans are like.</t>
  </si>
  <si>
    <t>It's frustrating that there's a lack of current revenue information. Despite the large fundraising events, it's difficult to see the market and justification for this effort.</t>
  </si>
  <si>
    <t>7 World Trade Center, Greenwich Street NYC, NY United States</t>
  </si>
  <si>
    <t>Blyp.ai</t>
  </si>
  <si>
    <t>ByteLearn _2022</t>
  </si>
  <si>
    <t>Aditya Singhal</t>
  </si>
  <si>
    <t>aditya@bytelearn.ai</t>
  </si>
  <si>
    <t>I ByteLearn we have created a state of the art Ai system to help students and teachers bridge learning gaps in mathematics. Using Ai Technology ByteLearn is able to help guide students through math problems step-by-step, identify and remedy misconceptions, and provide teachers with all the data they need to effectively plan for student success.</t>
  </si>
  <si>
    <t>need more validation (customer traction). invite for next year.</t>
  </si>
  <si>
    <t>The company's already raised $9.5M with 0 paying customers. Focus on math is too limited and unclear how AI tech is differentiated in a market with established competitors.</t>
  </si>
  <si>
    <t>yes, only Instasolv which has been acquired by Vindantu.</t>
  </si>
  <si>
    <t>16192 Coastal Highway, Lewes, Delaware United States</t>
  </si>
  <si>
    <t>ByteLearn</t>
  </si>
  <si>
    <t>Chari Co. _2022</t>
  </si>
  <si>
    <t>Ismael Belkhayat</t>
  </si>
  <si>
    <t>ismael@chari.co</t>
  </si>
  <si>
    <t>Chari is an ecommerce platform allowing local retailers (mainly grocery stores) in Francophone Africa, order anything they resell in their stores, get delivered in less than 24h and benefit from financial services.</t>
  </si>
  <si>
    <t>"The addressable market in this case is localized, and the scope of expansion beyond maybe Africa is low. It could work in small town concepts, but there are other players within markets of different countries already doing something very similar. However, given that grocery buying is a highly unorganized sector within Africa, the market size within the continent could be big. The idea is easily replicable, especially with no IP associated yet. The team's past experience should help grow the company quickly Question: Are they stocking the material themselves or outsourcing that - considering the fixed cost would increase in that case. "</t>
  </si>
  <si>
    <t>The company is doing great but its market is in Africa</t>
  </si>
  <si>
    <t>15 000 000</t>
  </si>
  <si>
    <t>Y Combinator Station F in Paris</t>
  </si>
  <si>
    <t>Zone Industrielle Ouled Saleh , Bouskoura, Casablanca Morocco</t>
  </si>
  <si>
    <t>Chari Co.</t>
  </si>
  <si>
    <t>Countd _2022</t>
  </si>
  <si>
    <t>Varun Kapur</t>
  </si>
  <si>
    <t>varun@countd.com</t>
  </si>
  <si>
    <t>Countd is a Health and Personalised Nutrition Platform which empowers people to achieve their wellness goals, eat healthy, get timely advice via data driven insights and overcome the Diabetes pandemic. We are building Machine Learning algorithms to identify risk factors and provide timely solutions to our health conscious customer.</t>
  </si>
  <si>
    <t>- The business model of producing both curated meals and also nutrition counseling and DNA testing makes it hard to scale and also control costs. - There are lots of startups and larger companies in either category and not in both for this reason. - Still in the process of collecting the data and building out the MVP. Too early for the EFL. - Invite next year.</t>
  </si>
  <si>
    <t>Yes, we were a part of 2 accelerators: Sanabil 500 (KSA) and MBRF (Abu Dhabi)</t>
  </si>
  <si>
    <t>WeWork Level 51, ADGM, Abu Dhabi, Abu Dhabi United Arab Emirates</t>
  </si>
  <si>
    <t>Countd</t>
  </si>
  <si>
    <t>CryptoMate _2022</t>
  </si>
  <si>
    <t>Alan Boryszanski</t>
  </si>
  <si>
    <t>alan@cryptomate.me</t>
  </si>
  <si>
    <t>Technology, Regulatory and Operational difficulties are stopping companies from expanding their business into Web3, the metaverse and the Crypto Economy. CryptoMate is a plug &amp; play Crypto infrastructure as a service, streamlined through APIs and dedicated regulatory. Any company can be a Crypto Company, and we are here to make it happen.</t>
  </si>
  <si>
    <t>Companies may not exactly be in a hurry to accept crypto payments now.</t>
  </si>
  <si>
    <t>Stacks Accelerator cohort 1 Celo Camp Batch 4 IBM Hyperprotect program</t>
  </si>
  <si>
    <t>CryptoMate</t>
  </si>
  <si>
    <t>Dailyhuman _2022</t>
  </si>
  <si>
    <t>Josh Roenitz</t>
  </si>
  <si>
    <t>josh@dailyhuman.com</t>
  </si>
  <si>
    <t>Dailyhuman is a learning platform for companies that aims to solve the $1T employee turnover and disengagement problem in the US by taking employees inward to develop trust, connection, and self-worth - the prerequisites of high-performing teams.</t>
  </si>
  <si>
    <t>+Intriguing insight that "psychological safety" can improve employee productivity and reduce turnover +Softbank investment + Trendy as labor markets are currently hot - No validation (because no data from credible paid pilots) - Trendy, so what happens if labor markets cool down? - Competitive space with competitors' products based on clearer tangibles (rather than the fuzzy psych safety)</t>
  </si>
  <si>
    <t>Hard to get a read on the actual tech being used here--doesn't seem novel, centered instead around "guided conversations," which isn't a fit for EFL.</t>
  </si>
  <si>
    <t>Softbank's Creator Companies LLC made an equity investment in Dailyhuman for its inaugural cohort of the 2020 WeWork Labs Accelerator in New York City. They assessed 800+ startups, with only eight companies accepted. Dailyhuman is currently part of the 2022 Softeq Ventures Studio Accelerator in Houston, Texas. Assessment criteria included overall business model, market, sustainability impact, and ability to innovate and disrupt critical areas within digital tech and healthcare.</t>
  </si>
  <si>
    <t>Dailyhuman</t>
  </si>
  <si>
    <t>Dekar Edge/Society _2022</t>
  </si>
  <si>
    <t>Abisade Karunwi</t>
  </si>
  <si>
    <t>bisade@joinsociety.org</t>
  </si>
  <si>
    <t>Society is an activity based social network built with an AI driven calendar at its core. The goal is to network users around the calendar by encouraging them to discover their passions by creating events around them. Think of this; if instagram is about what you see and twitter is about what you say, Society is about what you do.</t>
  </si>
  <si>
    <t>Potential for high impact, but tech itself is not novel (ultimately another social network), not patented, and an extremely competitive space. Too early? Perhaps invite back next year to see if progress has been made.</t>
  </si>
  <si>
    <t>Ikoyi, Lagos Nigeria</t>
  </si>
  <si>
    <t>Dekar Edge/Society</t>
  </si>
  <si>
    <t>DigiBuild _2022</t>
  </si>
  <si>
    <t>Robert Salvador</t>
  </si>
  <si>
    <t>rob@digibuild.com</t>
  </si>
  <si>
    <t>We build software to revolutionize construction projects, profits, and people. Our main tool is fixing construction's broken supply chain.</t>
  </si>
  <si>
    <t>Doesn't feel like a fit for EFL because tech isn't novel/disruptive/groundbreaking in any major way.</t>
  </si>
  <si>
    <t>The team seems passionate and have achieved some early success, both in locking in customers as well as getting significant seed funding. But success seems to rest more on their industry relationships and less on the software technology itself, which is difficult to protect and is not super innovative.</t>
  </si>
  <si>
    <t>Yes, YCombinator (S21).</t>
  </si>
  <si>
    <t>1000 Brickell Ave, Florida United States</t>
  </si>
  <si>
    <t>DigiBuild</t>
  </si>
  <si>
    <t>Digikraft.Io, Inc. _2022</t>
  </si>
  <si>
    <t>Karim Rahme</t>
  </si>
  <si>
    <t>wen@digikraft.io</t>
  </si>
  <si>
    <t>Digikraft.io develops blockchain technology for real world applications like tapping into the untapped potential of ticketing resale markets by guaranteeing a royalty on every resale through NFT technology.</t>
  </si>
  <si>
    <t>Do not see any material competitive advantage; no traction and would like to see some customer engagement before moving forward</t>
  </si>
  <si>
    <t>I am between a 3 and a 4 for this company. I think it would be good to see what sort of traction they can get, and how quickly. The program would be good for them to temper expectations and get some real mentorship. They need more capital to pay their engineers and then market their product - and they need to raise fast.</t>
  </si>
  <si>
    <t>Digikraft.Io, Inc.</t>
  </si>
  <si>
    <t>Edupay _2022</t>
  </si>
  <si>
    <t>Fouad Selim</t>
  </si>
  <si>
    <t>fouad.selim@edupayegypt.com</t>
  </si>
  <si>
    <t>Edupay is a socially driven fintech startup that aims to enable families to access education by connecting them with knowledge and financing sources.</t>
  </si>
  <si>
    <t>Idea &amp; tech is somewhat novel, but seems early/premature. Still building/testing/validating tech. Invite next year?</t>
  </si>
  <si>
    <t>Their message is not very clear and they do not explain their technology very well (I don't think this is a language barrier thing). They use very mission-driven messaging but the mission is not easy to understand. I think the EFL program would help with this. But I don't think the technology is disruptive, or the market large enough. They claim they have $1M circled for a $2M pre-seed round (it sounds more like it should be a seed round... but it doesn't matter). This is a low-3 I think.</t>
  </si>
  <si>
    <t>Flat6Labs Egypt</t>
  </si>
  <si>
    <t>Flat6Labs</t>
  </si>
  <si>
    <t>Cairo, Cairo Egypt</t>
  </si>
  <si>
    <t>Edupay</t>
  </si>
  <si>
    <t>Endeema _2022</t>
  </si>
  <si>
    <t>Joel Christoph</t>
  </si>
  <si>
    <t>joel@endeema.com</t>
  </si>
  <si>
    <t>Endeema matches firm energy consumption with the cheaper intemittent renewable electricity supply to solve the dynamic cost minimization problem for energy-intensive SMEs in steel, chemicals and aluminium, providing lower costs and emissions for the customer.</t>
  </si>
  <si>
    <t>Complementary team. Feels slightly premature for EFL--trial only completed in such competitive space. Ask to apply again next year?</t>
  </si>
  <si>
    <t>Yes. Endeema has been supported by Futury and Bain &amp; Company as part of 'The Mission VI', U.S. technology company Masslight Inc., ESADE's eWorks, CyberLab Karlsruhe, UnternehmerTUM's EXPLORE and Sampo Accelerator 'The Forge'.</t>
  </si>
  <si>
    <t>Freiburg im Breisgau, Baden-Württemberg Germany</t>
  </si>
  <si>
    <t>Endeema</t>
  </si>
  <si>
    <t>Eoliann _2022</t>
  </si>
  <si>
    <t>Roberto Carnicelli</t>
  </si>
  <si>
    <t>roberto@eoliann.com</t>
  </si>
  <si>
    <t>Eoliann offers a climate risk assessment and prediction API to financial institutions, leveraging satellite data and proprietary ML algorithms.</t>
  </si>
  <si>
    <t>- Too early for EFL. Still at concept stage. - No customer discovery work and no customers and no revenue. - Should apply next year.</t>
  </si>
  <si>
    <t>I think they would really benefit from EFL because they need mentors and advisors, and motivation to develop the technology quickly.</t>
  </si>
  <si>
    <t>Yes, Eoliann was founder during the Vento Venture Originator program of Exor Seed, the Venture Capital arm fo EXOR which started in February 2022 and concluded in June 2022.</t>
  </si>
  <si>
    <t>Exor Seed</t>
  </si>
  <si>
    <t>Turin, Turin Italy</t>
  </si>
  <si>
    <t>Eoliann</t>
  </si>
  <si>
    <t>eWitness Media Inc. _2022</t>
  </si>
  <si>
    <t>Shweta Jain</t>
  </si>
  <si>
    <t>sjain@jjay.cuny.edu</t>
  </si>
  <si>
    <t>eWitness aspires to be the world's most trusted brand when it comes to preserving and verifying integrity, provenance, and copyright of digital images and videos. Our blockchain based technology reduces time and cost to authenticate digital images and videos. Users retain privacy and complete control of their contents.</t>
  </si>
  <si>
    <t>Lots of other companies focusing on this problem; targeting journalists, law enforcement, etc. is a nice idea but given the competitive landscape it could be a potentially small market; having a few paying customers would be helpful to see; team is PT</t>
  </si>
  <si>
    <t>This is a high 3. It would be nice to support an academic team that has done a lot on limited resources. They will have learned a lot from the NSF iCorp program but EFL will help take them to the next level. they also need help getting their license from CUNY.</t>
  </si>
  <si>
    <t>Yes. NYC Media Lab Combine accelerator 2019 and NSF iCorp 2020.</t>
  </si>
  <si>
    <t>215 W 125th Street, New York United States</t>
  </si>
  <si>
    <t>eWitness Media Inc.</t>
  </si>
  <si>
    <t>Expertwired _2022</t>
  </si>
  <si>
    <t>Reinier Huisman</t>
  </si>
  <si>
    <t>reinier@expertwired.com</t>
  </si>
  <si>
    <t>Expertwired is an expert knowledge marketplace using proprietary technology (outreach, sourcing &amp; screening automation) to deliver the best matching industry experts for 1-hour paid consultations to clients, who benefit from having direct access to real-time expert knowledge for the best available price, with global market coverage.</t>
  </si>
  <si>
    <t>This solution is not unique and there are a lot of companies doing the same work; their traction is decent</t>
  </si>
  <si>
    <t>High 3. They made a nice, short video that explains things clearly and looks very professional. They need a sales and marketing strategy.</t>
  </si>
  <si>
    <t>Amsterdam, Noord Holland Netherlands</t>
  </si>
  <si>
    <t>Expertwired</t>
  </si>
  <si>
    <t>Factinsect _2022</t>
  </si>
  <si>
    <t>Romana Dorfer</t>
  </si>
  <si>
    <t>office@factinsect.com</t>
  </si>
  <si>
    <t>Factinsect is an AI-based fact checking solution that solves the problem of misinformation by providing social media platforms, news aggregators, content creators and private users with a fully automated, transparent, quick fact check.</t>
  </si>
  <si>
    <t>An early-stage company that needs more validation on product</t>
  </si>
  <si>
    <t>USD 306.660</t>
  </si>
  <si>
    <t>Science Park Graz (incubator). EU Media Futures (accelerator)</t>
  </si>
  <si>
    <t>Stremayrgasse 16/IV 8010 Graz, Steiermark Austria</t>
  </si>
  <si>
    <t>Factinsect</t>
  </si>
  <si>
    <t>Fastagger Inc _2022</t>
  </si>
  <si>
    <t>Mutembei Kariuki</t>
  </si>
  <si>
    <t>mkariuki@fastagger.com</t>
  </si>
  <si>
    <t>Fastagger is a web3 platform for commerce designed to help SMEs increase sales and customer engagement. We do this by providing a data &amp; coupon management platform powered by blockchain and artificial intelligence.</t>
  </si>
  <si>
    <t>- Lack of moat, at least on the application, given the competition. - Too early for the EFL. Invite to apply next year.</t>
  </si>
  <si>
    <t>High 3. Really nice deck; nice video. Needs to demonstrate how their tech and business model differentiates from the competitors.</t>
  </si>
  <si>
    <t>CV_Labs, NVIDIA Inception, MIT Media Lab</t>
  </si>
  <si>
    <t>10th floor, ABC Place, Waiyaki way, Westlands, Nairobi Kenya</t>
  </si>
  <si>
    <t>Fastagger Inc</t>
  </si>
  <si>
    <t>Findpet _2022</t>
  </si>
  <si>
    <t>Dan Krashakov</t>
  </si>
  <si>
    <t>dan@findpet.com</t>
  </si>
  <si>
    <t>Findpet uses Machine Learning powered and other pet identification tools for pet owners to solve lost pet problem, providing the most comprehensive (triple) protection, biometric pet identification, and lost pet search automation.</t>
  </si>
  <si>
    <t>competition from petco; easy to imitate tech.</t>
  </si>
  <si>
    <t>Large market and a recent exit by a competitor show the demand, but it is not clear how differentiated their product. If they are relying upon marketing to drive adoption they need to shore up their team with individuals experienced in the pet industry.</t>
  </si>
  <si>
    <t>Boca Raton, FL United States</t>
  </si>
  <si>
    <t>Findpet</t>
  </si>
  <si>
    <t>Fundamento _2022</t>
  </si>
  <si>
    <t>Ankit Durga</t>
  </si>
  <si>
    <t>ankit@fundamento.ai</t>
  </si>
  <si>
    <t>Fundamento provides objective employee assessments and data-driven learning interventions to organizations on 21st-century behavioural skills, helping them build high-performing teams that positively impact business outcomes.</t>
  </si>
  <si>
    <t>How broadly applicable is this? Would like to see more validation of intervention;s effects</t>
  </si>
  <si>
    <t>EFL can be helpful in their expansion to the US markets where the SW developed within and for the Indian market may not be the right fit. Overall, an improvement in the skills development space for better employee engagement and retention is a solid market.</t>
  </si>
  <si>
    <t>Yes, we participated in MIT's A-Labs last years and worked on an NLP and audio assessment project.</t>
  </si>
  <si>
    <t>Validation is unclear; primarily focused on Indian market; already companies in US doing this work that are farther ahead; tech moat isn't very wide;</t>
  </si>
  <si>
    <t>DELHI, Delhi India</t>
  </si>
  <si>
    <t>Fundamento</t>
  </si>
  <si>
    <t>Gaia AI _2022</t>
  </si>
  <si>
    <t>Peter McHale</t>
  </si>
  <si>
    <t>peter@gaia-ai.eco</t>
  </si>
  <si>
    <t>Gaia AI is an MIT spinout that is creating the largest supply for carbon credits in the world by unlocking forests. We apply very similar technologies as those used in the autonomous vehicles space to build the most advanced data platform for forest managers that addresses pain points around forest inventories and optimizing their operations.</t>
  </si>
  <si>
    <t>Tech is interesting but not necessarily innovative; company is early</t>
  </si>
  <si>
    <t>+ 1. interesting idea 2. strong team - 1. technical implementation requires more justification on soundness and novelty</t>
  </si>
  <si>
    <t>MIT FUSE, Harvard ROCK Accelerator, Cleantech Open, Greentown Labs, HAX</t>
  </si>
  <si>
    <t>Somerville, Massachusetts United States</t>
  </si>
  <si>
    <t>Gaia AI</t>
  </si>
  <si>
    <t>Gomboc.ai _2022</t>
  </si>
  <si>
    <t>Ian Amit</t>
  </si>
  <si>
    <t>iamit@gomboc.ai</t>
  </si>
  <si>
    <t>Gomboc.ai delivers an AI powered cloud infrastructure solution that addresses security concerns at the source and tailors remediations based on the specific application architecture, security policy as well as other business constraints. Our motto it "Policy by humans, remediation by AI".</t>
  </si>
  <si>
    <t>Still at concept stage. Need to apply next year. Approach of technology is interesting. Founders have some startup experience.</t>
  </si>
  <si>
    <t>The validation is not enough to prove the promising aspect of product deployment</t>
  </si>
  <si>
    <t>Assaf Mentzer</t>
  </si>
  <si>
    <t>Gomboc.ai</t>
  </si>
  <si>
    <t>GoWit Technology _2022</t>
  </si>
  <si>
    <t>Emrah Adsan</t>
  </si>
  <si>
    <t>emrah@gowit.com</t>
  </si>
  <si>
    <t>GoWit is an Ad-Tech company that provides end-to-end products for programmatic advertising, performs data analytics at scale, and focuses on marketplaces with GoWit?s Retail Advertising Platform.</t>
  </si>
  <si>
    <t>Seems to have decent traction with landing a large company within the first two months; not sure how much an improvement this solution is over competing options</t>
  </si>
  <si>
    <t>- Good traction in the Turkish market. - Not clear how its technology has moat compared to competitors internationally if the startup expanded beyond Turkey. - Highly experienced team with well rounded experience.</t>
  </si>
  <si>
    <t>2.5 million</t>
  </si>
  <si>
    <t>Newark, Delaware United States</t>
  </si>
  <si>
    <t>GoWit Technology</t>
  </si>
  <si>
    <t>iCover _2022</t>
  </si>
  <si>
    <t>Hari Srinivasan</t>
  </si>
  <si>
    <t>hari@icoverinsure.com</t>
  </si>
  <si>
    <t>We make buying life insurance simple! iCover?s AI/algorithmic service underwrites and prices insurance applications in 5 minutes! Fully underwritten offers without labs or APSs.</t>
  </si>
  <si>
    <t>InsureTech company; value offered to insurance companies seems to be underwriting accuracy, new product development, and improved sales; company has decent traction; small fundraises; founders seem to have good experience in the space; not sure of the novelty of the tech and how it compares to current solutions / how much of a priority is it to insurance companies?</t>
  </si>
  <si>
    <t>Core issue: unclear differentiation from competitors, technology or business wise. This does not mean that there is no differentiation, but it is hard to see from the materials submitted. The revenue earned this year is good for an early startup, but this alone is not enough to judge the potential of the startup.</t>
  </si>
  <si>
    <t>15510 Olive , Suite 205, Chesterfield, MO United States</t>
  </si>
  <si>
    <t>iCover</t>
  </si>
  <si>
    <t>Impactbytes _2022</t>
  </si>
  <si>
    <t>Melissa Wijngaarden</t>
  </si>
  <si>
    <t>info@impactbytes.io</t>
  </si>
  <si>
    <t>Impactbytes has an intelligent data platform and interface, to enable e-commerce platforms and search engines to mitigate sustainability lawsuits and increase sustainable product revenue, by providing a single access point for product-level sustainability data and the means to monetize this data.</t>
  </si>
  <si>
    <t>I like the idea and what they are trying to solve; I'm not sure the tech innovation is a fit for EFL; the founders seem to have good backgrounds</t>
  </si>
  <si>
    <t>+ 1. good implementation to solve an interesting problem 2. strong team - 1. tech itself isn't groundbreaking</t>
  </si>
  <si>
    <t>We have recently graduated Techstars Berlin.</t>
  </si>
  <si>
    <t>Amsterdam, Noord-Holland Netherlands</t>
  </si>
  <si>
    <t>Impactbytes</t>
  </si>
  <si>
    <t>Insynctive, Inc. _2022</t>
  </si>
  <si>
    <t>Gary Goldstein</t>
  </si>
  <si>
    <t>ggoldstein@insynctive.com</t>
  </si>
  <si>
    <t>Insynctive is a White Label Human Capital, Workforce Management &amp; Transactions Platform for Service Providers, Their SME Clients and their Office and Remote Employees. Insynctive has 4 product lines: Document Automation, Management and Workflow, HRIS and Compliance, Benefits administration, and the Insynctive Integrated Hub?.</t>
  </si>
  <si>
    <t>Experience founders. HR syncing and automation particularly important in the distributed, remote, organization. Have received good traction. Need to ascertain market size and technical moat.</t>
  </si>
  <si>
    <t>Not since 2016 when we took over Insynctive amicably from the original business owner. He was a graduate of Stanford MBA and MIT Sloan. Insynctive was affiliated with StartX but we are not receiving any benefit(s) from them.</t>
  </si>
  <si>
    <t>Walnut Creek, California United States</t>
  </si>
  <si>
    <t>Insynctive, Inc.</t>
  </si>
  <si>
    <t>Joulez, Inc. _2022</t>
  </si>
  <si>
    <t>Micah Bergdale</t>
  </si>
  <si>
    <t>micah@drivejoulez.com</t>
  </si>
  <si>
    <t>Joulez is an all Electric Vehicle rental company based and started in The Bronx, NY. We are developing the tech, relationships and infrastructure to support expanding EVs to not just New York but around the world.</t>
  </si>
  <si>
    <t>capital intensive. competitive moat not clear.</t>
  </si>
  <si>
    <t>Novel idea of boosting EV use; CEO with solid track record and well-thought plan. Could probably benefit from EFL's mentors in refining and focusing his present goals.</t>
  </si>
  <si>
    <t>Other: RegCF</t>
  </si>
  <si>
    <t>$4.4M</t>
  </si>
  <si>
    <t>Bronx, NY United States</t>
  </si>
  <si>
    <t>Joulez, Inc.</t>
  </si>
  <si>
    <t>JS Group _2022</t>
  </si>
  <si>
    <t>Joey Seo</t>
  </si>
  <si>
    <t>jds9569@nyu.edu</t>
  </si>
  <si>
    <t>Modo aims to provide a creative space in which users can deconstruct the idea of fashion and aesthetics to define themselves how they envision. The utilities reinvent how we map out styles, explore the developing trends in fashion, and ignite communities of users seeking to gain a new perspective on their identity.</t>
  </si>
  <si>
    <t>Interesting idea, but feels early in the process--no validation or protection. Fairly competitive space.</t>
  </si>
  <si>
    <t>The idea is original and the founders are onto something; the validation is required to provide a proof of principle that the platform will work; can they provide a demo for next year? Moda needs a beta version!</t>
  </si>
  <si>
    <t>JS Group</t>
  </si>
  <si>
    <t>Kambio _2022</t>
  </si>
  <si>
    <t>Diego Kuri</t>
  </si>
  <si>
    <t>diego@kambiohome.com</t>
  </si>
  <si>
    <t>Kambio uses customized construction technology to build homes in less than two months. It not only solves the housing demand but it makes it an affordable and sustainable product.</t>
  </si>
  <si>
    <t>Home building on demand - pick a model. The application is light but I generally like the idea. How much of the waitlist is legitimate? Why are they not acting on it? Needs more validation. Maybe ask to apply next year.</t>
  </si>
  <si>
    <t>The tech novelty seems less important in this startup. It's more about reaching out to potential customers and fulfilling customized needs.</t>
  </si>
  <si>
    <t>Conconcreto accelerator, and YC.</t>
  </si>
  <si>
    <t>Miami, FL United States</t>
  </si>
  <si>
    <t>Kambio</t>
  </si>
  <si>
    <t>Kaveat _2022</t>
  </si>
  <si>
    <t>Dorothee Grant</t>
  </si>
  <si>
    <t>dorothee.grant@gmail.com</t>
  </si>
  <si>
    <t>Kaveat helps people understand and negotiate their contracts by using NLP to translate clauses into simplified english, we also provide information and stats around what the implications of that clause actually entail. We aim to help mitigate the imbalance of power and information when signing a contract.</t>
  </si>
  <si>
    <t>I think they should apply again next year</t>
  </si>
  <si>
    <t>Needs more technical validation</t>
  </si>
  <si>
    <t>We are winners of the Cornell Tech startup award and are a part of the Cornell Runway.</t>
  </si>
  <si>
    <t>Fernando Gómez-Baquero</t>
  </si>
  <si>
    <t>Kaveat</t>
  </si>
  <si>
    <t>Kluero _2022</t>
  </si>
  <si>
    <t>Michail Verskajn</t>
  </si>
  <si>
    <t>michail.verskajn@teamappsynergy.com</t>
  </si>
  <si>
    <t>Kluero uses a novel software, based on the latest in mathematics, psychology and data science, to solve the issue of bad team dynamics for startups, SMEs, universities and larger corporations, providing quick and tangible insights and results with minimal time spent on data input (3 minutes per week) and by using AI and machine learning.</t>
  </si>
  <si>
    <t>Generally appreciate the problem the they are trying to solve (team dynamics); not clear how data is absorbed from teams nor is it clear what results are generated; in very early stages and would like to see actual results</t>
  </si>
  <si>
    <t>Solid multi-disciplinary team with a clear goal of developing a group dynamic assessment tool based on data analytics (ML)</t>
  </si>
  <si>
    <t>2.000.000</t>
  </si>
  <si>
    <t>We're a portfolio company of the Chalmers Ventures incubator in Gothenburg.</t>
  </si>
  <si>
    <t>Göteborg, Västra Götaland Sweden</t>
  </si>
  <si>
    <t>Kluero</t>
  </si>
  <si>
    <t>Kola Project _2022</t>
  </si>
  <si>
    <t>Maneesha Wijesinghe-Nelken</t>
  </si>
  <si>
    <t>maneesha@kolaproject.com</t>
  </si>
  <si>
    <t>Our solution connects repair, reuse, and recycling partners with brands and consumers, keeping products and materials in circulation and not going into landfills, incinerators, and the environment. It is B2B2C and also provides brands with consumer sustainability behaviour analytics to help them become more circular.</t>
  </si>
  <si>
    <t>- Early pilot customers and no revenue. - Meaningful business model that might be hard to scale. - Not an EFL fit.</t>
  </si>
  <si>
    <t>Great vision and mission for a recycle-reuse platform; lack of experience is not a huge issue; only validation and testing of the platform; also, a clear idea on the business model</t>
  </si>
  <si>
    <t>Flat 1 Knot House 3 Brewery Sq, London United Kingdom</t>
  </si>
  <si>
    <t>Kola Project</t>
  </si>
  <si>
    <t>Koshex Inc. _2022</t>
  </si>
  <si>
    <t>Akash Agrawal</t>
  </si>
  <si>
    <t>akash@koshex.com</t>
  </si>
  <si>
    <t>We are building "Wealthfront" for India, automating wealth creation for 400 million Indian Millennials with US$ 700bn of investable wealth. Koshex is an Intelligent Insights-driven product that takes a holistic approach to financial well-being in an auto-pilot mode, empowering customers to build better money habits using Koshex Intelligence.</t>
  </si>
  <si>
    <t>wealth management platform for India what is the tech moat? why will people use this product over those in the market?</t>
  </si>
  <si>
    <t>Team is experience; however, with bearish markets , a war in Ukraine, and political turmoil in east asia, it is unclear how they will offer an advantage to millenial investors over established investment banks</t>
  </si>
  <si>
    <t>YC (S21)</t>
  </si>
  <si>
    <t>355 BRYANT ST UNIT 403 SAN FRANCISCO, CALIFORNIA United States</t>
  </si>
  <si>
    <t>Koshex Inc.</t>
  </si>
  <si>
    <t>Littlebird Connected Care _2022</t>
  </si>
  <si>
    <t>Monica Plath</t>
  </si>
  <si>
    <t>monica@littlebird.care</t>
  </si>
  <si>
    <t>Seattle based Littlebird believes that building better connections and providing greater communication will lead to better results for you, your caregiver, and child. Littlebird?s Saas + HW solution connects parents with their child anywhere via iOT accessable App. Know WHERE the child is located, WHO they are with, and HOW they are doing.</t>
  </si>
  <si>
    <t>Strong momentum &amp; presence. Solid idea that would address pain point, but tech itself isn't novel (child wearable w/in bluetooth proximity to caregiver). On the fence here about fit for EFL.</t>
  </si>
  <si>
    <t>Great idea for an important topic of child tracking; unclear how CEO would benefit from EFL with their already experienced advisory board</t>
  </si>
  <si>
    <t>$500k</t>
  </si>
  <si>
    <t>1201 3rd Ave, suite 4900 Attn: M. Avent, WA United States</t>
  </si>
  <si>
    <t>Littlebird Connected Care</t>
  </si>
  <si>
    <t>Maalexi _2022</t>
  </si>
  <si>
    <t>Azam Pasha</t>
  </si>
  <si>
    <t>azam@maalexi.com</t>
  </si>
  <si>
    <t>Maalexi facilitate financing of cross-border trade in Food and Agricultural products for small businesses by deploying ML and AI tools.</t>
  </si>
  <si>
    <t>Given the global food shortage, this might be a new area that the EFL would like to interview startups in. However the application does not highlight the technical moat of this startup. This is a big flaw.</t>
  </si>
  <si>
    <t>We are part of accelerator in India - Indigram Labs, and finalists at Hub-71 in UAE.</t>
  </si>
  <si>
    <t>Maalexi</t>
  </si>
  <si>
    <t>myLaminin _2022</t>
  </si>
  <si>
    <t>Ash Bassili</t>
  </si>
  <si>
    <t>ashbassili@myLaminin.net</t>
  </si>
  <si>
    <t>myLaminin is a Blockchain-enabled document sharing and verification service that delivers a more secure, convenient, and controlled document sharing paradigm for individuals, businesses, and governments - eliminating reliance on email and document storage services that are inconvenient and insecure, delivering massive operational efficiencies.</t>
  </si>
  <si>
    <t>- Not differentiated enough as a product among the competition. - At the beginning stage of business development with prospective customers. - Should invite back next year.</t>
  </si>
  <si>
    <t>Seems promising, but tech is not necessarily novel. There are also other secure electronic document delivery/signature services out there.</t>
  </si>
  <si>
    <t>Yes...we are currently members of DMZ Toronto and Creative Destruction Lab's Blockchain Stream in Toronto. Both are excellent programs with a different emphasis. One on business, and the other on technology...but both are Canada market focused. EFL would begin our engagement with the US marketplace and give us access to significant mentors as well.</t>
  </si>
  <si>
    <t>Kingston, Ontario United States</t>
  </si>
  <si>
    <t>myLaminin</t>
  </si>
  <si>
    <t>NEATCap Medical LLC _2022</t>
  </si>
  <si>
    <t>Edward Thear</t>
  </si>
  <si>
    <t>edthear@neatcapmedical.com</t>
  </si>
  <si>
    <t>NEATCap Medical- start-up providing advanced hearing protection for neonatal infants. NICUs, Transports &amp; MRs can be noisy and disrupt sleep. Infants sleep 18-22 hrs./day. Interruptions in sleep can cause impact on hearing loss, speech/language disorders and neurological deficits. Target market is global NICUs. Improved patient outcomes.</t>
  </si>
  <si>
    <t>A device (headband + ear cups) that eliminates noises based on their frequency for infants to sleep. Useful in NICUs. Tech is not novel, but patent protected and clinically validated. $5k MRR.</t>
  </si>
  <si>
    <t>5k MRR. a device for eliminating mid-to-high frequency noises in infant environment to assure their sleep. It's a headband that has two transparent ear cups in different sizes. The design can be much improved. Most promising application is MRI. Single use device.</t>
  </si>
  <si>
    <t>Bethlehem, Pennsylvania United States</t>
  </si>
  <si>
    <t>NEATCap Medical LLC</t>
  </si>
  <si>
    <t>Niftron (Pvt) Ltd _2022</t>
  </si>
  <si>
    <t>Sharmilan Somasundaram</t>
  </si>
  <si>
    <t>sharmilan@niftron.com</t>
  </si>
  <si>
    <t>DePro allows users to profile individuals, entities, and products using collective authentic information through blockchain to build trustable verified profiles in a decentralized form. In a short description, DePro is a verify to earn a platform to build instant organic trust over profiles.</t>
  </si>
  <si>
    <t>+ 1. interesting idea 2. strong technical talents in team - 1. need more justification of the tech used</t>
  </si>
  <si>
    <t>No 49 , Sunflower Court, Dudley Senanayake Mawatha, Dehiwala, Western Sri Lanka</t>
  </si>
  <si>
    <t>Niftron (Pvt) Ltd</t>
  </si>
  <si>
    <t>OneDeal _2022</t>
  </si>
  <si>
    <t>Nick Sterlacci</t>
  </si>
  <si>
    <t>nsterlacci36@gmail.com</t>
  </si>
  <si>
    <t>OneDeal is an end-to-end marketplace for small business acquisitions, offering buyers and sellers of small businesses solutions for every stage of the deal process, including deal management, business valuation, financing option, escrow services, and more.</t>
  </si>
  <si>
    <t>In concept, stage needs time to get MVP and build a customer pipeline invite next year</t>
  </si>
  <si>
    <t>+Good idea, But early in their funding stage. -Tech is in the early stage. -More of a business idea than a tech</t>
  </si>
  <si>
    <t>OneDeal has not been affiliated with any startup program as of yet. Nick Sterlacci has previously partaken in a startup program through the MIT Enterprise Forum with his previous startup.</t>
  </si>
  <si>
    <t>OneDeal</t>
  </si>
  <si>
    <t>Outprfrm _2022</t>
  </si>
  <si>
    <t>McEwen Hardy</t>
  </si>
  <si>
    <t>mhardy@outprfrm.com</t>
  </si>
  <si>
    <t>Outprfrm is the Consumer Reports of financial analysts. Outprfrm tracks a financial analyst?s price target accuracy on a stock-by-stock basis. The app provides users the most accurate financial analyst for any stock and that analyst?s current price target. Outprfrm provides retail investors the best analysts to make good investments at minimal cost</t>
  </si>
  <si>
    <t>app provides users with the most accurate financial analysis for any stock (retail investors) already a ton of players trying to solve this problem, what is the moat?</t>
  </si>
  <si>
    <t>good company but in very early stage, the company has tough competitors from companies like TipRanks and in process of validating the algorithms</t>
  </si>
  <si>
    <t>We are currently working out of Capital Factory incubator in Austin TX. Our founder previously worked out of the 1776 Incubator in Washington DC</t>
  </si>
  <si>
    <t>Austin, TX United States</t>
  </si>
  <si>
    <t>Outprfrm</t>
  </si>
  <si>
    <t>Pearl Interactives _2022</t>
  </si>
  <si>
    <t>Gavin Brauer</t>
  </si>
  <si>
    <t>gavin@pearlinteractives.com</t>
  </si>
  <si>
    <t>For physical therapy to work, it must be done on a daily basis. To do something on a daily basis, it has to be done at home. But, people don't do their therapy exercises at home. This is the problem that every therapist in the world struggles to solve. Pearl Interactives solves this problem by turning physical therapy into a video game.</t>
  </si>
  <si>
    <t>Strong mission! Early in development of tech, tech validation, patents, etc. Also, tech itself doesn't seem too novel/great fit for EFL. Might be different in a year?</t>
  </si>
  <si>
    <t>Good company with a strong idea to provide Physical therapy via Videos Games to Kids, Raise good money and has an NYU affiliation but has no mention about tech team or advisors</t>
  </si>
  <si>
    <t>H2i (https://h2i.utoronto.ca/) Propel (https://www.propelict.com/) OBI NERVE (https://braininstitute.ca/programs-opportunities/nerve-program/2022-obi-nerve-program-application) OBIO Mint (https://www.obio.ca/healthmint) UTEST (https://utest.to/)</t>
  </si>
  <si>
    <t>Pearl Interactives</t>
  </si>
  <si>
    <t>Purency _2022</t>
  </si>
  <si>
    <t>Michael Stibi</t>
  </si>
  <si>
    <t>michael.stibi@purency.ai</t>
  </si>
  <si>
    <t>Purency provides data analysis solutions to laboratories enabling fast, scalable and unbiased analysis of microplastics to protect the consumers and the environment.</t>
  </si>
  <si>
    <t>The tech and company are early; not sure how novel or differentiated the tech is (we've seen a couple companies tackling similar issues); I would like to see more traction before moving forward</t>
  </si>
  <si>
    <t>There is a niche use case of microplastics, but no vision after for other use cases, limiting addressable market. The team seems to have the expertise to pursue this use case and is proven with some paying customers and 950K euros of grants to pursue this so far.</t>
  </si>
  <si>
    <t>Yes, we have been part of: - Innovation Incubation Center @ TU Wien - I.E.C.T. Summer School - YPO Scale-A-Thon - Grow F Accelerator by Female Founders</t>
  </si>
  <si>
    <t>Purency</t>
  </si>
  <si>
    <t>Qbrics, Inc _2022</t>
  </si>
  <si>
    <t>Raekesh Ramachandran</t>
  </si>
  <si>
    <t>rakesh.ramachandran@qbrics.com</t>
  </si>
  <si>
    <t>Qbrics helps businesses add digital provenance to their workflows, products, &amp; services using blockchain. We achieve this by creating a no code platform for digital workflows along with the security, traceability, immutability, &amp; auditability (TIA) of blockchain.</t>
  </si>
  <si>
    <t>Deep industry experience from the two founders, but lack of direction and many possible use cases leveraging blockchain technologies. Limited revenue generation, but a customer includes a Tier-1 major Swiss bank. Medium attractiveness of this company as a part of EFL cohort as the aspiration of no code blockchain development vs. the patent they hold seem like a mismatch (quantum resistant encryption over blockchain).</t>
  </si>
  <si>
    <t>Yes Sprocket 1st 50k Grant program.</t>
  </si>
  <si>
    <t>3121 Broadway St, Suite 106, Paducah, Kentucky United States</t>
  </si>
  <si>
    <t>Qbrics, Inc</t>
  </si>
  <si>
    <t>RoQR _2022</t>
  </si>
  <si>
    <t>Jessica Rollén</t>
  </si>
  <si>
    <t>jessicarollen@gmail.com</t>
  </si>
  <si>
    <t>RoQR is a dynamic QR code management platform, allowing customers to generate QR codes that can be dynamically updated and which track key statistics and insights of scans.</t>
  </si>
  <si>
    <t>Good idea, but very early stage. Winners of NYU Law venture pitchoff. Business model not clear. Special reject and invite for next year.</t>
  </si>
  <si>
    <t>The company is very early stage. While the concept is interesting, they have no real first mover advantage and with their plan of not patenting the algorithm makes it harder for them to create a moat. They need finances for testing and promoting this brand and they haven't raised any money to move the process forward.</t>
  </si>
  <si>
    <t>RoQR</t>
  </si>
  <si>
    <t>SEED - Sustainable Entrepreneurial Ecosystem Development _2022</t>
  </si>
  <si>
    <t>Sabrina Williams</t>
  </si>
  <si>
    <t>sabrina@seedbox.systems</t>
  </si>
  <si>
    <t>SEED is a benefit corporation whose mission is to democratize agtech by helping urban and underserved farmers grow smart and feed more. We use precision irrigation and carbon monitoring to fight food insecurity and create access to carbon credit markets -- anywhere in the world.</t>
  </si>
  <si>
    <t>Interesting idea, but increasingly crowded space. Doesn't feel like fit for EFL because tech isn't necessarily novel, and potential for high impact &amp; disruption is limited with smaller market.</t>
  </si>
  <si>
    <t>The idea addresses a big market but isn't novel and would not be difficult to replicate by different firms. The funding required to build this out on scale would be high and while they are looking to bring both irrigation and carbon measuring in one device it hasn't been done yet.</t>
  </si>
  <si>
    <t>SEED is currently a portfolio company of the Los Angeles Cleantech Incubator. We have participated in their Founders Business Accelertor, their 2-year Incubation Program and their Equity Innovation Program.</t>
  </si>
  <si>
    <t>SEED - Sustainable Entrepreneurial Ecosystem Development</t>
  </si>
  <si>
    <t>Sleuth _2022</t>
  </si>
  <si>
    <t>Sehreen Noor Ali</t>
  </si>
  <si>
    <t>sehreen@hellosleuth.com</t>
  </si>
  <si>
    <t>Sleuth is a search engine for children's health. By crowdsourcing health journeys directly from other families,  we take a data-first approach to answer  a parent?s pressing questions on symptoms, specialists, and care options. Sleuth surfaces radically better answers,  so kids get radically better care.</t>
  </si>
  <si>
    <t>- Focusing on creating the largest open source database on health outcomes of children is problematic. The health info shared could carry inaccuracies, and lead to misinformation for other users. This is concerning. - No customers and only one pilot right now. Too early for the EFL. - There needs to be more work done on the business model. - Invite for next year.</t>
  </si>
  <si>
    <t>The concept has potential and the team has the right resources in place to build out the database. However, it would all depend on the execution and creation of the search engine. The team should try and concentrate on that to ensure they are on the right track. They have the funding in place which should help with the hiring, EFL should be helpful in showing them how to market the product correctly.</t>
  </si>
  <si>
    <t>Antler</t>
  </si>
  <si>
    <t>19 Morris Ave, New York United States</t>
  </si>
  <si>
    <t>Sleuth</t>
  </si>
  <si>
    <t>Soli _2022</t>
  </si>
  <si>
    <t>Alex Nicita</t>
  </si>
  <si>
    <t>alexnicita@soli.xyz</t>
  </si>
  <si>
    <t>Soli is a mobile application that does cashback rewards with interest to solve passive income for consumers, providing earnings for what people already do online. Live today, the application has cashback rewards of up to 20% at major retailers like Adidas, Gap, and Levis with interest rates ranging from 3% to 7% by utilizing decentralized finance.</t>
  </si>
  <si>
    <t>The founding team seems thoughtful and has done several accelerators. They have backgrounds at NASA, IBM, DB and graduated from top universities. In terms of the product, I want to better understand 1) the economics of how they can give up to 20% cash back, 2) how their fee compares to other fees, and 3) what makes their partnerships a competitive advantage. In terms of the market opportunity, my sense is that it could be very large. I want to better understand their current users and attrition rates. I think they would be worth interviewing.</t>
  </si>
  <si>
    <t>+ 1. team seems to have the experience &amp; knowledge - 1. tech and business model not novel 2. need more info on how they can be distinguished from competitors -- current point a bit general/weak, needs validation</t>
  </si>
  <si>
    <t>We have previously been affiliated with the Columbia Startup Lab (CSL), the Almaworks Accelerator, and the Santa Clara University Bronco Venture Accelerator (BVA). After completing the year-long cohort with CSL and raising our pre-seed round, we began to lease office space in the same building as CSL, which is where our team works from to this day, enabling us to remain active members of the CSL community. Since this location is in the Hudson Square neighborhood of Manhattan, nicely co-located with NYU, we are particularly interested in any in-person programming for EFL. The Almaworks Accelerator is a Columbia student-run accelerator that provided months of mentorship culminating in a demo day, which was especially helpful for preparing our company for our first fundraise. The Bronco Venture Accelerator was a fantastic experience to expand our team?s network in Silicon Valley and we continue to receive technology advice from our team?s mentor during this accelerator.</t>
  </si>
  <si>
    <t>Soli</t>
  </si>
  <si>
    <t>Summations _2022</t>
  </si>
  <si>
    <t>Jennifer Wang</t>
  </si>
  <si>
    <t>jennifer@summations.com</t>
  </si>
  <si>
    <t>Summations' is the first accessible research portal for non-academics. Starting with higher education, 'Summations' is a research paper learning platform for solving the academic reading comprehension and scientific literacy problems prevalent in universities. 'Summations' provides students with on-demand support for reading academic articles.</t>
  </si>
  <si>
    <t>Still too early. Invite to apply next year.</t>
  </si>
  <si>
    <t>+ 1. good idea that addresses a real problem 2. good team setup - 1. little validation</t>
  </si>
  <si>
    <t>Entrepreneur First and Innoved (University of Toronto afflicted incubator)</t>
  </si>
  <si>
    <t>615 - 111 Elizabeth Street, Toronto, ON, M5G 1P7, Ontario Canada</t>
  </si>
  <si>
    <t>Summations</t>
  </si>
  <si>
    <t>Troc Circle _2022</t>
  </si>
  <si>
    <t>Fares Hobeiche</t>
  </si>
  <si>
    <t>fares@troccircle.com</t>
  </si>
  <si>
    <t>Troc Circle's universal invoice netting platform helps businesses to save money by offsetting their accounts receivable and payable in an open digital network.</t>
  </si>
  <si>
    <t>piece of the billing software infrastructure. not sure how much value they can capture. competing broader platforms may imitate feature.</t>
  </si>
  <si>
    <t>universal invoice netting platform helps businesses to save money by offsetting their accounts receivable and payable in an open digital network this space is super crowded and to stand out is difficult show traction and paying customers</t>
  </si>
  <si>
    <t>In the past we participated in the following: Accenture FIL in London PwC financial transformation program in Germany</t>
  </si>
  <si>
    <t>San Francisco, California Lebanon</t>
  </si>
  <si>
    <t>Troc Circle</t>
  </si>
  <si>
    <t>Veris Behavior _2022</t>
  </si>
  <si>
    <t>Alekos Martínez</t>
  </si>
  <si>
    <t>alekos@verisbehavior.com</t>
  </si>
  <si>
    <t>Veris is a startup that uses the immersive power of virtual reality and neuromarketing to carry out market research within immersive stores in order to help Retail, Mass Consumption, Food &amp; Beverage and Pharma companies to validate their marketing, products &amp; commercial strategies before launching them.</t>
  </si>
  <si>
    <t>Feels early/premature. Agreed-invite next year.</t>
  </si>
  <si>
    <t>Microsoft for Startup Programa de Aceleración La Nave, Ayuntamiento de Madrid</t>
  </si>
  <si>
    <t>Madrid, Madrid Spain</t>
  </si>
  <si>
    <t>Veris Behavior</t>
  </si>
  <si>
    <t>WeBoard _2022</t>
  </si>
  <si>
    <t>Martin Moznar</t>
  </si>
  <si>
    <t>martin@weboard.me</t>
  </si>
  <si>
    <t>WeBoard is an EdTech SaaS platform that use realistic digital simulations, conversational AI and virtual trainers to shorten employee training time and develop soft skills helping companies to save training costs, to have maximum prepared employees and to achieve their business goals faster and with less effort.</t>
  </si>
  <si>
    <t>The long term goals of the company and the impact it can have on the addressable market are strong. However, there are no barriers of entry considering they don't have any IP in place as of now, and with more companies using AI to enter this market, the competition could get still in the near term. I would want to know how they plan to differentiate themselves and sustain their advantage with Aila being their core product.</t>
  </si>
  <si>
    <t>Validation is vague (very curious about eventual validation), feels a little early (haven't fully launched in US market). Not sure if fit for EFL at this stage. Invite back next year when they're a little more established?</t>
  </si>
  <si>
    <t>Yes but only locally (Czech Republic). Those were programs StartIt by CSOB (KBC branch), Microsoft Startup Accelerator, Google For Startups Academy and Nation 1 Accelerator.</t>
  </si>
  <si>
    <t>Prague, Prague Czech Republic</t>
  </si>
  <si>
    <t>WeBoard</t>
  </si>
  <si>
    <t>WeVoice, SL _2022</t>
  </si>
  <si>
    <t>Nataliya Storozhylova</t>
  </si>
  <si>
    <t>nataliya@wevoice.ai</t>
  </si>
  <si>
    <t>WeVoice develops a holistic DTx, based on voice biofeedback, speech analysis, digital biomarkers for stress diagnostics in real-time &amp; a hyper-personalized audio-based neurostimulation and CBT &amp; NLP AI intervention to improve mental health &amp; prevent Chronic Stress and Burnout for 1B employees, providing consious immunity &amp; resiliency against stress</t>
  </si>
  <si>
    <t>- Too early for EFL. Larger trials do not start till 2023. - Sound based wellness market too competitive. - Should reapply next year.</t>
  </si>
  <si>
    <t>+ 1. good idea 2. good team - 1. early stage with not too much validation</t>
  </si>
  <si>
    <t>Incubator: Demium (EU) Incubator: What If (US) Incubator: Google for startups (EU) EIT Health Innostars program (EU) Digital Therapeutics Xcellence program (EU) &amp; mentorship</t>
  </si>
  <si>
    <t>Valencia, Valencia Spain</t>
  </si>
  <si>
    <t>WeVoice, SL</t>
  </si>
  <si>
    <t>Wiingy _2022</t>
  </si>
  <si>
    <t>Asit Biswal</t>
  </si>
  <si>
    <t>asit@wiingy.com</t>
  </si>
  <si>
    <t>We strongly believes Technology learning access should be for every K12 student. We are in a mission to make that accessible with most relevant subjects which will make them future ready. Wiingy online studio helps to create 2D/3D games, animations and learn technology on the platform. https://www.wiingy.com/studio</t>
  </si>
  <si>
    <t>Edtech platform providing personalized training sessions; solution does not seem different enough to become a large company</t>
  </si>
  <si>
    <t>Technology need more validation, especially in advantages over competitor in the field</t>
  </si>
  <si>
    <t>USD $750K</t>
  </si>
  <si>
    <t>C301, Startuphut unit 3, 27th Main Road, HSR Layout, Bengaluru, Karnataka 560102, India, Karnataka India</t>
  </si>
  <si>
    <t>Wiingy</t>
  </si>
  <si>
    <t>Zedosh Limited (Attention Exchange®) _2022</t>
  </si>
  <si>
    <t>Guillaume Kendall</t>
  </si>
  <si>
    <t>guillaume@zedosh.com</t>
  </si>
  <si>
    <t>The Attention Exchange® matches brands to hyper-relevant consumers based on their banking data, not browsing data. Brands to get the undivided attention from real consumers away from the dangers &amp; fraud of social media platforms whilst directly compensating the immutably relevant consumers for their attention in cash. The rails for post-cookie web.</t>
  </si>
  <si>
    <t>Very disruptive, a unique approach to ads based on actual spending. Uncertain about novelty of tech itself. Traction in UK. The central question: are people willing to share their banking info in the US? For this to be scalable, the wide answer has to be "yes." Are we there? I'm on the fence.</t>
  </si>
  <si>
    <t>2-5 months runway. There should be several security problems with sharing banking data with a business. They claimed they have customer but haven't shared any details. Not patentable. Nothing really technological.</t>
  </si>
  <si>
    <t>Zedosh Limited (Attention Exchange®)</t>
  </si>
  <si>
    <t>Shipturtle Apps Pvt Ltd _2022</t>
  </si>
  <si>
    <t>Sharad Kabra</t>
  </si>
  <si>
    <t>sharad@shipturtle.com</t>
  </si>
  <si>
    <t>Shipturtle is a SaaS Tech to help ecommerce stores grow 10x by building digital Brand Partnerships &amp; create custom Vertical Marketplaces (like Amazon)</t>
  </si>
  <si>
    <t>- Showing traction for D2C brands. - Could be a solution that is used beyond India. - Vertical marketplace SaaS platform. - Should group with similar sub category in DiT to see if we should interview.</t>
  </si>
  <si>
    <t>Little information about tech itself, feels premature for EFL.</t>
  </si>
  <si>
    <t>Antler India Program</t>
  </si>
  <si>
    <t>Ahmedabad , Gujarat India</t>
  </si>
  <si>
    <t>Shipturtle Apps Pvt Ltd</t>
  </si>
  <si>
    <t>4A Financial Technology Private Limited _2022</t>
  </si>
  <si>
    <t>Amit Tewary</t>
  </si>
  <si>
    <t>amit@4fin.in</t>
  </si>
  <si>
    <t>The company operates under the brand name of ?4Fin?. The company has created an in-house lending platform. The company aims to provide access to credit to the 60 million micro enterprises in India. For achieving the same, the company is doing technology enabled anchor based sourcing and digital fulfilment.</t>
  </si>
  <si>
    <t>DiT lending platform/ credit algorithms lots of players what's unique</t>
  </si>
  <si>
    <t>This clearly works but there are many competitors. Also Mircolenders have a bad ethical reputation.</t>
  </si>
  <si>
    <t>4A Financial Technology Private Limited</t>
  </si>
  <si>
    <t>Apphive _2022</t>
  </si>
  <si>
    <t>Jonatan Vazquez</t>
  </si>
  <si>
    <t>jonatan@apphive.io</t>
  </si>
  <si>
    <t>Apphive is a platform for creating powerful no-code apps for mobile and web</t>
  </si>
  <si>
    <t>~300k ARR; tech isn't that novel; the competitive landscape is likely difficult</t>
  </si>
  <si>
    <t>Yes, 500 Startups</t>
  </si>
  <si>
    <t>Apphive</t>
  </si>
  <si>
    <t>Astrabeam LLC _2022</t>
  </si>
  <si>
    <t>Kevin Gu</t>
  </si>
  <si>
    <t>kgu@astrabeam.com</t>
  </si>
  <si>
    <t>Astrabeam is developing a disruptive 100+GHz millimeter-wave imaging radar sensor that supports a wide range of short- and medium-distance wireless sensing use cases including industrial safety monitoring, building security and automation, in-cabin passenger monitoring, and vital sign detection for healthcare, etc.</t>
  </si>
  <si>
    <t>- This is a DT company. - Promising technical invention. - Too early for EFL. Should encourage applying next year.</t>
  </si>
  <si>
    <t>Concept stage feels premature for EFL. Not sure what we could do for them in this early stage.</t>
  </si>
  <si>
    <t>Not at this time but I am actively looking for opportunities to speed up the technology development and commercialization process.</t>
  </si>
  <si>
    <t>Scarsdale, New York United States</t>
  </si>
  <si>
    <t>Astrabeam LLC</t>
  </si>
  <si>
    <t>Be A Maker Club _2022</t>
  </si>
  <si>
    <t>Zef Neemuchwala</t>
  </si>
  <si>
    <t>zef@beamakerclub.com</t>
  </si>
  <si>
    <t>Be A Maker Club uses computer vision technology to power an online platform, where creators can design and manufacture with digital machines like 3D printers without the need for a physical facility.</t>
  </si>
  <si>
    <t>I like the idea and their focus on girls and women of color. The founders (CEO FT, COO PT) seem to have good experience to help them succeed. I think the market opportunity could be relatively small in part given the competition in the maker space generally, and I think EdTech/Consumer related startups may not generate interest from mentors.</t>
  </si>
  <si>
    <t>The startup has a long way to go both in its product design and customer discovery if it intends to scale as an education startup. However, if it is to focus on the editable 3D model for military and government use, this will be a different startup. The scoring here is given for it as an education startup.</t>
  </si>
  <si>
    <t>We have recently graduated from the University of Southern California, Rossier School of Education accelerator program.</t>
  </si>
  <si>
    <t>Not clear advantage of tech at this time</t>
  </si>
  <si>
    <t>1252 Monte Vista Ave, CA United States</t>
  </si>
  <si>
    <t>Be A Maker Club</t>
  </si>
  <si>
    <t>Boto _2022</t>
  </si>
  <si>
    <t>Breno Araujo</t>
  </si>
  <si>
    <t>breno@boto.io</t>
  </si>
  <si>
    <t>Boto is a no-code platform that allows anyone to build and share custom bots to automate their web3 activities. Most of our users use Boto to act quickly on opportunities in NFTs, DeFi and DAOs. Allowing them to make the most of the 24/7 web3 world by consolidating, filtering, and receiving relevant information at the time they need it.</t>
  </si>
  <si>
    <t>- Crypto and Web 3 infrastructure startup. - Business model of relying on network effects and integration could be defensible. - Showing traction in user data, but heavily dependent on the success of crypto in general, at the moment.</t>
  </si>
  <si>
    <t>There are many no-code software apps currently available though I'm not familiar with this specific application. My general impression is that based on current funding and lack of revenue, they may be too early for EFL.</t>
  </si>
  <si>
    <t>Yes, I participated in an accelerator program called Tachyon, from Consensys Mesh and Protocol Labs. I really miss the sessions and office hours, I got a tremendous value from being in the accelerator program and would not have raised funds without them.</t>
  </si>
  <si>
    <t>16192 Coastal Highway, Delaware United States</t>
  </si>
  <si>
    <t>Boto</t>
  </si>
  <si>
    <t>Caravel Concepts, LLC _2022</t>
  </si>
  <si>
    <t>Michael Jones</t>
  </si>
  <si>
    <t>mjones@caravelconcepts.com</t>
  </si>
  <si>
    <t>Caravel Concepts provides next generation financial planning and asset allocation strategy software. Unlike existing planning tools, Caravel software optimizes an investment strategy for the specific life goals of each individual client. Mass customization technology scales this individualized advice across even the largest advisory practices.</t>
  </si>
  <si>
    <t>Experienced team, but unclear how their technology for personalized asset allocation and financial planning is novel.</t>
  </si>
  <si>
    <t>Midlothian, Virginia United States</t>
  </si>
  <si>
    <t>Caravel Concepts, LLC</t>
  </si>
  <si>
    <t>DataVal Ventures _2022</t>
  </si>
  <si>
    <t>Christopher Flanagan</t>
  </si>
  <si>
    <t>flanagancm@datavalventures.com</t>
  </si>
  <si>
    <t>DataVal automates buying and selling valued data through an intelligent marketplace. As a result, data scientists are no longer required to search for valued data manually through trial and error. Instead, useful data is delivered directly to quickly solve their use cases and answer their leadership?s questions</t>
  </si>
  <si>
    <t>product not yet built and no validation. seem like they are behind in a crowded marketplace (including EFL alums like DATA Bento)</t>
  </si>
  <si>
    <t>Feels early/premature--still creating/developing. Not fit for EFL.</t>
  </si>
  <si>
    <t>$4.2m</t>
  </si>
  <si>
    <t>Yes, the NYU Veterans Future Lab Apex Program.</t>
  </si>
  <si>
    <t>Alexa Modero - The Director of the NYU Apex Program.</t>
  </si>
  <si>
    <t>370 Jay Street, 7th Floor, Brooklyn, New York United States</t>
  </si>
  <si>
    <t>DataVal Ventures</t>
  </si>
  <si>
    <t>DEX Insight _2022</t>
  </si>
  <si>
    <t>Nicholas Coulson</t>
  </si>
  <si>
    <t>nick@dexinsight.com</t>
  </si>
  <si>
    <t>DEX Insight is a quick and easy way to measure the experience teams have with their tools for IT and Operations leaders to drive efficiency in software spend, increase productivity, and measure return on tech.</t>
  </si>
  <si>
    <t>- No enough differentiation. - Not enough moat.</t>
  </si>
  <si>
    <t>Early stage company that is working on deployment of technology. Needs more validation</t>
  </si>
  <si>
    <t>1871 in Chicago</t>
  </si>
  <si>
    <t>2637 Glenview Road, Glenview, Illinois United States</t>
  </si>
  <si>
    <t>DEX Insight</t>
  </si>
  <si>
    <t>DIGITAL CENTURY LIMITED _2022</t>
  </si>
  <si>
    <t>LOK YIN NG</t>
  </si>
  <si>
    <t>kevinng@btcex.pro</t>
  </si>
  <si>
    <t>BtcEX is a platform based in Hong Kong a stable, high-performance and deep liquidity crypto exchange. Our goal is to revolutionize the cryptocurrency industry by moving crypto exchange to be a crypto banking service provider including crypto debit card, wallet, exchange, invest &amp; lending. BtcEX slove Crypto to fiat HKD problem.</t>
  </si>
  <si>
    <t>- Example of poor governance: BtcEX past co-founder left team without providing any credential in server, code, and database. BtcEX had to recover bitcoins and luckily got a technical adviser to guide access to server and database. - Unclear regulatory environment in HK. - Application is unclear at certain parts and hard to read. - Some traction: $363,100 USD total, but timeframe unclear. - Invite next year</t>
  </si>
  <si>
    <t>Communication and language is clearly a barrier here. It was difficult to understand what sets them apart and what their growth plan is. One of the founders has been part of a successful company and has a US-based MBA... but I don't think he was the one who wrote the application. Anyway, they have a very ambitious vision for the company. They will start with Hong Kong to try and generate a large network of users. But can they do this world-wide... and do they want to?</t>
  </si>
  <si>
    <t>1601 Shui On Centre, 6-8 Harbour Road , Hong Kong Hong Kong</t>
  </si>
  <si>
    <t>DIGITAL CENTURY LIMITED</t>
  </si>
  <si>
    <t>enspired _2022</t>
  </si>
  <si>
    <t>Juergen Mayerhofer</t>
  </si>
  <si>
    <t>juergen.mayerhofer@enspired-trading.com</t>
  </si>
  <si>
    <t>enspired uses a fully automated energy trading platform leveraging ML/AI for self-learning algorithms to solve the issue of integrating fluctuating renewables with the help of flexible power assets (battery storage, V2G etc) for asset owners/operators, providing easy access to power markets and commercial viability for innovations</t>
  </si>
  <si>
    <t>The value proposition is unclear to me, and it seems like it's unclear for their customers too; they seemed to be primarily focused on Europe and will focus globally starting in 2024; seemed to have raised a good Series A round</t>
  </si>
  <si>
    <t>In addition to value proposition noted by Mark, they state that their biggest obstacle is explaining their service to customers, and having customers understand. If it takes more than a sentence or two to describe what you do (whether it's the business or the people), that's not a good sign.</t>
  </si>
  <si>
    <t>Meischlgasse 13, Vienna Austria</t>
  </si>
  <si>
    <t>enspired</t>
  </si>
  <si>
    <t>Fiomet Ventures, Inc. _2022</t>
  </si>
  <si>
    <t>Dr. Scott J. Rapp</t>
  </si>
  <si>
    <t>scott@fiomet.com</t>
  </si>
  <si>
    <t>Fiomet develops sensor-based technology to monitor and alert on excessive pressure within a cast, splint and bandage, for patients in order to help ensure proper fit, to more effectively reduce inflammation, edema, lymphedema and swelling.</t>
  </si>
  <si>
    <t>CEO, CSO is PT; CFO is FT. Tech seems interesting but company is very early and not enough proof of concept.</t>
  </si>
  <si>
    <t>This early-stage start-up has strong academia root and the technology is innovative and has the mechanical design advantage over competitors.</t>
  </si>
  <si>
    <t>2005 1/2 Madison Road, Cincinnati, Ohio United States</t>
  </si>
  <si>
    <t>Fiomet Ventures, Inc.</t>
  </si>
  <si>
    <t>Handprint _2022</t>
  </si>
  <si>
    <t>Mathias Boissonot</t>
  </si>
  <si>
    <t>mathias@handprint.tech</t>
  </si>
  <si>
    <t>Handprint is a sustainability software aiming to imbue every business exchange with positive impact by connecting companies to causes they and their consumers care about. T</t>
  </si>
  <si>
    <t>- Excessively competitive landscape. - IP protection is not possible given the tech developed and business model. - Execution of partnership and customer acquisition will determine the startup's success.</t>
  </si>
  <si>
    <t>Startup Bootcamp Australia and SMU BIG</t>
  </si>
  <si>
    <t>Handprint</t>
  </si>
  <si>
    <t>HealMed Solutions.Inc _2022</t>
  </si>
  <si>
    <t>Nidhi Goel</t>
  </si>
  <si>
    <t>ng@healmedsolutions.com</t>
  </si>
  <si>
    <t>HealMed Solutions, Inc bridges the gap in mental health care delivery leveraging AI driven technology platform where it acts as a digital assistant in improving efficiency of clinicians by automating upto 80% of their work, while also helping a more structured triage for patients by helping start their engagement in treatment journey.</t>
  </si>
  <si>
    <t>Would like to understand how this tech is validated and how it makes working with mental health patients 10x better</t>
  </si>
  <si>
    <t>The product is mature(with recurring revenue). Founder is a psychiatrist. But only CEO is full time.</t>
  </si>
  <si>
    <t>1 M</t>
  </si>
  <si>
    <t>Was accepted at Founder institute recent health tech cohort but it was more geared for idea stage founders so withdrew to focus more on growth and scalability of our company</t>
  </si>
  <si>
    <t>310 West 120 Street,, New York, NY United States</t>
  </si>
  <si>
    <t>HealMed Solutions.Inc</t>
  </si>
  <si>
    <t>Kazam _2022</t>
  </si>
  <si>
    <t>Akshay Shekhar</t>
  </si>
  <si>
    <t>akshay@kazam.in</t>
  </si>
  <si>
    <t>Kazam is an agnostic EV fueling software platform building India's largest smart and affordable network.</t>
  </si>
  <si>
    <t>Tech itself isn't novel--consolidating EV fueling software into one platform. A "super app," as they say, but still just an app. Not quite EFL material.</t>
  </si>
  <si>
    <t>Team with experience in EV SaaS technology wishing to promote a unified EV fueling software</t>
  </si>
  <si>
    <t>Kazam</t>
  </si>
  <si>
    <t>Lalo _2022</t>
  </si>
  <si>
    <t>Juan Medina</t>
  </si>
  <si>
    <t>juan@lalo.app</t>
  </si>
  <si>
    <t>Lalo is an app designed to help adults primarily ages 35-55 preserve the memories of their aging parents as well as the memories of their own families and children.</t>
  </si>
  <si>
    <t>Great team! But application does not quite deliver, in its limit, the disruption we look for at the EFL.</t>
  </si>
  <si>
    <t>Great team and idea is good; not sure what makes it stand out compared to existing apps and platforms</t>
  </si>
  <si>
    <t>Visible Hands</t>
  </si>
  <si>
    <t>Bothell, WA United States</t>
  </si>
  <si>
    <t>Lalo</t>
  </si>
  <si>
    <t>Lynxai _2022</t>
  </si>
  <si>
    <t>Tiago Freire De Andrade</t>
  </si>
  <si>
    <t>tiagofa@lynxai.tech</t>
  </si>
  <si>
    <t>Lynxai is a data-driven platform that makes ESG investment more efficient. ESG is the door that leads to a sustainable business world and data is the key to unlocking it. We help you control your investments, provide Intelligent Eligibility Statistics, and help with Efficient EU Taxonomy Reporting.</t>
  </si>
  <si>
    <t>Running 2 pilots for banks; don't see much differentiation or tech innovation</t>
  </si>
  <si>
    <t>The company makes environmental, social, and governance(ESG) investment based on news and social media trends. Their pilots are carried out for 2 big banks in Europe.</t>
  </si>
  <si>
    <t>Yes, we are a part of Alchemist Accelerator and The Catapult Luxembourg.</t>
  </si>
  <si>
    <t>149 New Montgomery St 4th Floor, San Francisco, CA 94105, California United States</t>
  </si>
  <si>
    <t>Lynxai</t>
  </si>
  <si>
    <t>Meta Carbon Inc _2022</t>
  </si>
  <si>
    <t>Thomas Herman</t>
  </si>
  <si>
    <t>tom@meta-carbon.com</t>
  </si>
  <si>
    <t>Meta Carbon helps brands engage their audience authentically on the topic of climate change by enhancing loyalty programs with carbon offsets in the form of digital collectibles.</t>
  </si>
  <si>
    <t>They seem to be gamifying carbon offsetting by engaging companies? customers with personal carbon footprint calculators and collectibles. I?m really not sure of the pain point they are solving. I think there may be a market for this product; I think it?s small and I?m not sure of how sustainable it will be.</t>
  </si>
  <si>
    <t>- The startup's seed investor is Animoca Brands. Animoca is a global leader in gamification and blockchain with a large portfolio of over 170 investments in NFT related companies and decentralized projects that are contributing to building the open metaverse. - One of the founders have experience building and exiting startups. - I feel this is an area that is worth EFL to have an interview in. The key question is that if NFTs do not take off, then what other ways of gamification can help carbon offsetting take off.</t>
  </si>
  <si>
    <t>Yes, UCONN TIP (https://innovation.uconn.edu/technology-incubation-program/)</t>
  </si>
  <si>
    <t>148 Old Studio Rd, New Canaan, CT United States</t>
  </si>
  <si>
    <t>Meta Carbon Inc</t>
  </si>
  <si>
    <t>Minitable Tech, Inc _2022</t>
  </si>
  <si>
    <t>Sean Pan</t>
  </si>
  <si>
    <t>sean@minitable.net</t>
  </si>
  <si>
    <t>Minitable is a fully connected restaurant technology platform.</t>
  </si>
  <si>
    <t>- Team managed to grow traction during the pandemic through supporting Asian American restaurants, and currently used at 1300+ locations. - In a very competitive market. - Solid funding. - Product is based on design and user experience and not defensible tech moat. - Area not a focus for EFL, but a strong startup.</t>
  </si>
  <si>
    <t>Strong team but hyper competitive space w well funded start-ups and incumbents playing here. Fundraising will be a challenge.</t>
  </si>
  <si>
    <t>Minitable Tech, Inc</t>
  </si>
  <si>
    <t>Navierre _2022</t>
  </si>
  <si>
    <t>Mustafa Dinani</t>
  </si>
  <si>
    <t>mustafa@navierre.com</t>
  </si>
  <si>
    <t>Navierre aims to simplify the healthcare journey. We help patients centralize all aspects of their care and empower them with timely guidance and engagement to improve health outcomes. We help providers achieve better health outcomes by providing technology and services that streamline and enhance the care delivery model.</t>
  </si>
  <si>
    <t>Don't see a competitive advantage or real differentiator; highly competitive market; no revenue; would need to see more proof of traction</t>
  </si>
  <si>
    <t>Strong team that is fairly capital efficient. Tough market.</t>
  </si>
  <si>
    <t>$1MM - $1.5MM</t>
  </si>
  <si>
    <t>305 W Grand Avenue, Montvale, NJ United States</t>
  </si>
  <si>
    <t>Navierre</t>
  </si>
  <si>
    <t>Nu-Credits _2022</t>
  </si>
  <si>
    <t>Kenneth Guangyao Ma</t>
  </si>
  <si>
    <t>kenneth.ma@nu-credits.com</t>
  </si>
  <si>
    <t>digital market place. no deep tech or moat.</t>
  </si>
  <si>
    <t>digital Marketplace for SMB's, raise good amount of money and generated 1.8 Million since sep 2020 but the demo is not very good.</t>
  </si>
  <si>
    <t>Yes, Accelerating Asia (Singapore), Qatar Fintech Hub, DIFC Fintech Hive (Dubai), Silicon Valley Bank Fintech Programme (NYC), R3 Corda Venture Programme, Hong Kong Cyberport Incubation Programme.</t>
  </si>
  <si>
    <t>London England, United Kingdom</t>
  </si>
  <si>
    <t>Nu-Credits</t>
  </si>
  <si>
    <t>Patientory, Inc. _2022</t>
  </si>
  <si>
    <t>Chrissa McFarlane</t>
  </si>
  <si>
    <t>chrissa@patientory.com</t>
  </si>
  <si>
    <t>Patientory empowers our users with actionable insights from health data, incentivizing them to take control of their health outcomes.</t>
  </si>
  <si>
    <t>Small SOM Need customers and validate market fit</t>
  </si>
  <si>
    <t>-the product relies much on partnerships for getting and integrating various data, it would be challenging to bring such a fully functional and ideal product. + could be a fit for next year, once we can see their GTM or market-ready product.</t>
  </si>
  <si>
    <t>Startup Health</t>
  </si>
  <si>
    <t>Patientory, Inc.</t>
  </si>
  <si>
    <t>Plethy _2022</t>
  </si>
  <si>
    <t>Raja Sundaram</t>
  </si>
  <si>
    <t>raja@plethy.com</t>
  </si>
  <si>
    <t>Plethy Recupe Musculoskeletal Solution supports patients and injured workers in their recovery at home. Our cutting-edge program balances quality, access, and cost. Our approach to patient engagement uses a bio-psycho-social method, to drive quality outcomes at a lower cost.</t>
  </si>
  <si>
    <t>tech isn't revolutionary; the problem being addressed is fine; I'm not sure it solves the fundamental problem of encouraging patients to do more therapy at home - it just helps PTs track their progress; traction seems small despite the raise they are doing; team has a good background</t>
  </si>
  <si>
    <t>Strong team, not enough info about "how it all comes together." Would like more info about the interaction between the wearable sensor, the app, the coach, etc.</t>
  </si>
  <si>
    <t>2362 Qume Drive, Suite #D, , San Jose, CA 95131 United States</t>
  </si>
  <si>
    <t>Plethy</t>
  </si>
  <si>
    <t>Review Piper _2022</t>
  </si>
  <si>
    <t>Henry Stewart</t>
  </si>
  <si>
    <t>henry@reviewpiper.com</t>
  </si>
  <si>
    <t>Grammarly for Life Sciences: Review Piper enables life science teams to more efficiently review content, perform content review at scale, and leverage NLP to keep documents current for patient safety, legal proceedings, and regulatory action. Review Piper is NEVER meant to replace attorneys &amp; SMEs ? only augment them so they are more productive.</t>
  </si>
  <si>
    <t>Niche product and very early still.</t>
  </si>
  <si>
    <t>Although there are no customers for validation yet, there seems to be a niche that this application serves. This company has medium attractiveness to be included into the EFL cohort, but it is still in earlier stages of product market fit.</t>
  </si>
  <si>
    <t>Not at this time</t>
  </si>
  <si>
    <t>Review Piper</t>
  </si>
  <si>
    <t>SAGEFirst, Inc. _2022</t>
  </si>
  <si>
    <t>Donald Paxton</t>
  </si>
  <si>
    <t>don@sagefirstinc.com</t>
  </si>
  <si>
    <t>SAGEFirst, Inc. provides permanent protection against computer exploits that involve the loading and execution of arbitrary code. This protection, permanently prevents computer worms, viruses, Trojan horses and ransomware. Such permanent protection allows computer users to get off the security treadmill of exploit, patch, exploit, patch....etc.</t>
  </si>
  <si>
    <t>My impression is that end users need to be convinced of this problem, which suggests a very difficult and costly sales process. If they produce traction, it could be more interesting.</t>
  </si>
  <si>
    <t>The company is ambitious and has strong technical results. But the application is self-contradictory(cost of development, team members)</t>
  </si>
  <si>
    <t>P.O. Box 10092 Amarillo , Texas United States</t>
  </si>
  <si>
    <t>SAGEFirst, Inc.</t>
  </si>
  <si>
    <t>Silicon Assurance _2022</t>
  </si>
  <si>
    <t>Raj Gautam Dutta</t>
  </si>
  <si>
    <t>rajgautamdutta@siliconassurance.com</t>
  </si>
  <si>
    <t>Silicon Assurance develops hardware security software to address trust and assurance issues in silicon chips, designed by semiconductor companies. Our automated tool will reduce the time required by verification and hardware security engineers to check the security of chip design, prevent data leakage from system, and save revenue of companies.</t>
  </si>
  <si>
    <t>Automated tool to check security of chip design; tech has been in R&amp;D since 2014; team has experience in the industry; little to no proof of market need (app mentions difficulty finding potential customers to review tech)</t>
  </si>
  <si>
    <t>The addressable market and applications ranging from tech to government are immense, however, the differentiating factor is yet to be determined especially since they do not have any product validation. Also, one thing to note here is that the technology is not owned by the company, but rather licensed to them.</t>
  </si>
  <si>
    <t>$500,0000 - $1,000,000</t>
  </si>
  <si>
    <t>Silicon Assurance is affiliated with the UF Innovate incubator (https://innovate.research.ufl.edu/).</t>
  </si>
  <si>
    <t>Gainesville, FL United States</t>
  </si>
  <si>
    <t>Silicon Assurance</t>
  </si>
  <si>
    <t>SimSkills _2022</t>
  </si>
  <si>
    <t>Santiago Oddone</t>
  </si>
  <si>
    <t>santiago.oddone@simskills.io</t>
  </si>
  <si>
    <t>Simskills is an AI simulator that helps employees develop their leadership&amp;soft skills, with a 100% practical method. SimSkills provides conversational avatars and real time feedback, to challenge employees from different sectors to learn how to manage conflict, lead a team, give feedback, among others.</t>
  </si>
  <si>
    <t>There aren't too many companies creating simulators that give good real-time constructive feedback which could work to their advantage. However, I would want to know more on how this technology and model is scalable, especially the diversity of companies, roles and the fact that they want to move away from the generic, scalable yet non-effective soft skills training that other platforms provide.</t>
  </si>
  <si>
    <t>Yes. We where incubated by Demium startups.</t>
  </si>
  <si>
    <t>Calle de Velazquez 124, Madrid Spain</t>
  </si>
  <si>
    <t>SimSkills</t>
  </si>
  <si>
    <t>T4L Inc _2022</t>
  </si>
  <si>
    <t>Allen Witters</t>
  </si>
  <si>
    <t>alw@t4l.me</t>
  </si>
  <si>
    <t>All-inclusive Electric Vehicle Subscriptions</t>
  </si>
  <si>
    <t>- Overall not a tech play, but focuses on execution (See notes above). - Founder had startup exit experience and has raised decent amount of funding. - Business model is cash intensive. - Do not recommend for EFL because of a lack of fit.</t>
  </si>
  <si>
    <t>(-)Tech does not seem novel (+)They have customers (+)Have raised a lot of money</t>
  </si>
  <si>
    <t>We graduated through Newchip</t>
  </si>
  <si>
    <t>Naples, FL United States</t>
  </si>
  <si>
    <t>T4L Inc</t>
  </si>
  <si>
    <t>Verity Fitech _2022</t>
  </si>
  <si>
    <t>Daniel Mutembesa</t>
  </si>
  <si>
    <t>mutembesa.daniel@gmail.com</t>
  </si>
  <si>
    <t>Verity FiTech is developing a scalable digital information platform leveraging alternative data and AI to bridge the information gap between financiers/insurers and the unbanked micro-enterprises without credit history empowering them to become digitally ?visible? at low cost and improve their chances to access credit and insurance.</t>
  </si>
  <si>
    <t>Great founder, but too much competition. Differentiation is the provision of a credit-score based insurance viability, but it seems like competitors (some of who have already overcome regulatory hurdles in the target market) can easily replicate.</t>
  </si>
  <si>
    <t>An early-stage company that needs product deployment and validation to prove advantage over competitors</t>
  </si>
  <si>
    <t>Yes, I am afflicted with the University of Washington and Makerere University and a recent awardee of the University of Washington CoMotion Innovation Gap Fund.</t>
  </si>
  <si>
    <t>Verity Fitech</t>
  </si>
  <si>
    <t>Visuo _2022</t>
  </si>
  <si>
    <t>Lap-Tin Tsun</t>
  </si>
  <si>
    <t>ltsun@visuopro.com</t>
  </si>
  <si>
    <t>Visuo is an AI-powered, Video Personalisation Platform for Brands &amp; Enterprises. We help brands &amp; enterprises to increase sales &amp; retention and grow the lifetime value of their customers with our patented Smart Video Experience service.</t>
  </si>
  <si>
    <t>Tech not novel enough; no proof of concept</t>
  </si>
  <si>
    <t>The technology is well protected but more validation results need to be clarified. The start-up experience and industry experience looks good but fund-raising status needs to be clarified</t>
  </si>
  <si>
    <t>Newchip Accelerator (graduated Dec 2021) M-Accelerator (graduated Mar 2022)</t>
  </si>
  <si>
    <t>Sydney, New South Wales Australia</t>
  </si>
  <si>
    <t>Visuo</t>
  </si>
  <si>
    <t>Wyblo srl _2022</t>
  </si>
  <si>
    <t>Kevin Giorgis</t>
  </si>
  <si>
    <t>kevin.giorgis@wyblo.com</t>
  </si>
  <si>
    <t>Wyblo provides an accessible platform to automate, centralize, and analyze data for professional training organizations, allowing them to save time and take concrete steps to better their training and their business.</t>
  </si>
  <si>
    <t>Not a fit for EFL. Too many competitors in this space and it is hard to build moat.</t>
  </si>
  <si>
    <t>The company has customers and revenue. But the technical advantages over competitors are unclear</t>
  </si>
  <si>
    <t>Yes, we participated in MindCET an Israeli Accelerator and two Spin-Offs (University of St. Gallen and University of Bologna.</t>
  </si>
  <si>
    <t>Borgo San Dalmazzo, CN Italy</t>
  </si>
  <si>
    <t>Wyblo srl</t>
  </si>
  <si>
    <t>Yield Monitor _2022</t>
  </si>
  <si>
    <t>Nick Toce</t>
  </si>
  <si>
    <t>nick@yieldmonitor.io</t>
  </si>
  <si>
    <t>Yield Monitor is an on-chain Decentralized Finance (DeFi) database that serves Web3 investors and developers with scalable, efficient, multi-chain infrastructure and data-driven portfolio tracking tools. See what we're building ? www.yieldmonitor.io</t>
  </si>
  <si>
    <t>- Very early in gaining traction and also negatively impacted by the downturn. - Lots of established competitors: The Graph, Infura, Alchemy. Application does not discuss strategy to compete. - Should invite to apply next year.</t>
  </si>
  <si>
    <t>Very crowded space, not much footing yet. Maybe too early for EFL?</t>
  </si>
  <si>
    <t>Total Available = $975,000</t>
  </si>
  <si>
    <t>Our non-technical CoFounder, Nick, attented Lighthouse Labs in the fall of 2019. (https://www.lighthouselabsrva.com/) Nick (Kamana team) was offered a spot in Atlanta's The Farm accelerator, but did not attend. (https://thefarmatl.com/) Nick has applied for Techstars twice (Kamana and Yield Monitor) and make advanced rounds, but has never been accepted into cohort.</t>
  </si>
  <si>
    <t>21 E. Main Street, Richmond VA 23219, Virginia United States</t>
  </si>
  <si>
    <t>Yield Monitor</t>
  </si>
  <si>
    <t>Zario _2022</t>
  </si>
  <si>
    <t>Ondrej Zak</t>
  </si>
  <si>
    <t>ondrej@zario.io</t>
  </si>
  <si>
    <t>Zario is an app using psychology and gamification to help people reduce their phone screen time and live their lives to the fullest. Our mission is to help millions suffering from phone addiction find a better balance and stop compulsively checking every free minute of their time. Zario aims to help people live more digitally balanced lives.</t>
  </si>
  <si>
    <t>I like the idea but do not think the tech is significant enough compared to other applicants</t>
  </si>
  <si>
    <t>Certainly a need for this, but it's a very crowded space (especially considering the mindfulness apps that include limiting phone screen time, IOS updates), gamification alone might not be enough to push this ahead. Not distinct enough for EFL.</t>
  </si>
  <si>
    <t>Yes, we are in the Venture Kick program (https://www.venturekick.ch)</t>
  </si>
  <si>
    <t>Zürich, Zürich Switzerland</t>
  </si>
  <si>
    <t>Zario</t>
  </si>
  <si>
    <t>ZipData, INC _2022</t>
  </si>
  <si>
    <t>Aneesa Majid</t>
  </si>
  <si>
    <t>amajid@zipdatasolutions.com</t>
  </si>
  <si>
    <t>ZipData, INC's mission is to kill the fax and improve data transfer in healthcare. It is a digital healthcare interoperability platform that provides increased operational efficiency, decreased operational cost and improved data transfer for our clients.</t>
  </si>
  <si>
    <t>Addressees a known pain point and increases efficiency. But highly niche market. Tech can be replicated and offered as a feature by existing healthcare digital platforms (EPIC?)</t>
  </si>
  <si>
    <t>"Killing the fax" isn't novel/high impact (EFL material), especially as many areas of the healthcare industry have already done so. Tech isn't eligible for patent.</t>
  </si>
  <si>
    <t>We participated in the fall program 2021 with NewChip Accelerator based in Austin TX We are working with Oracle for Startups and are early in our relationship with Microsoft for Startups program</t>
  </si>
  <si>
    <t>7705 N Macarthur, Suite 120-365, Irving, TX United States</t>
  </si>
  <si>
    <t>ZipData, INC</t>
  </si>
  <si>
    <t>Zoios _2022</t>
  </si>
  <si>
    <t>Christian Højbo Møller</t>
  </si>
  <si>
    <t>chm@zoios.io</t>
  </si>
  <si>
    <t>Zoios is like Google Analytics for HR and helps companies measure what matters - their people. Recruiting talented people, and ensuring they thrive and perform is not easy. So, it should not be based on human intuition alone. Zoios delivers concrete data, insights, and recommendations on how to ensure employees are engaged and thrive.</t>
  </si>
  <si>
    <t>HR tech that measures employee satisfaction; targeting northern Europe; good traction; lack of tech novelty and geographic focus make me lean pass</t>
  </si>
  <si>
    <t>+ 1. good idea - 1. not sure if a quant approach would work 2. even if it would, they would probably need much more advanced modeling than the one currently in place</t>
  </si>
  <si>
    <t>Yes, we have been part of Y-Combinator.</t>
  </si>
  <si>
    <t>Zoios</t>
  </si>
  <si>
    <t>FanAnywhere _2022</t>
  </si>
  <si>
    <t>Varun Choudhary</t>
  </si>
  <si>
    <t>varun@fananywhere.com</t>
  </si>
  <si>
    <t>FanAnywhere is an NFT infrastructure company bringing the world's first platform to convert subscriptions into NFT thereby decentralizing the ownership and helping the brand achieve higher revenue.</t>
  </si>
  <si>
    <t>- Should interview about about other brands in the pipeline to launch after the Chilean Handball Federation. - Team has multiple startup experience.</t>
  </si>
  <si>
    <t>+ 1. already up&amp;running with some clients - 1. not a tech play</t>
  </si>
  <si>
    <t>Harju maakond, Tallinn, Kesklinna linnaosa,, Tallinn Estonia</t>
  </si>
  <si>
    <t>FanAnywhere</t>
  </si>
  <si>
    <t>Langoo _2022</t>
  </si>
  <si>
    <t>Raquel Richi</t>
  </si>
  <si>
    <t>raquel@langoo.io</t>
  </si>
  <si>
    <t>Langoo is an online platform based on Artificial Intelligence that prepare students to get official language certifications as TOEFL, IELTS..</t>
  </si>
  <si>
    <t>Using AI to facilitate/individualize language learning for test preparation is novel, but very competitive space, tech still in development, no tech protection.</t>
  </si>
  <si>
    <t>-There are many other companies doing the same thing in the market</t>
  </si>
  <si>
    <t>Yes! we spend 6 month in Demium.</t>
  </si>
  <si>
    <t>Langoo</t>
  </si>
  <si>
    <t>Aequaland Studio SA _2022</t>
  </si>
  <si>
    <t>Alma Moya Losada</t>
  </si>
  <si>
    <t>alma@aequaland.com</t>
  </si>
  <si>
    <t>We are making learning inclusive and fun. Here?s how: we are an impact-driven edtech company building a video game platform on a mission to create meaningful games that inspire positive change in the world.</t>
  </si>
  <si>
    <t>The innovation seems to be adaptive AI for personalized learning; they are working with Microsoft for Startups; have one international school -- traction is very early; given no tech moat and little traction, I would lean pass</t>
  </si>
  <si>
    <t>Early stage company needs product development</t>
  </si>
  <si>
    <t>Swiss based incubators.</t>
  </si>
  <si>
    <t>Rue du maupas 36b, 1004 Lausanne, Vaud Switzerland</t>
  </si>
  <si>
    <t>Aequaland Studio SA</t>
  </si>
  <si>
    <t>AGR Health, LLC _2022</t>
  </si>
  <si>
    <t>Ashoke Bose</t>
  </si>
  <si>
    <t>ashbose@agrhealth.com</t>
  </si>
  <si>
    <t>In USA, 30 million people do not have any health insurance plan. Further, commercial health insurance companies charge almost 20% of the premium collected for overhead. AGR Health is a FINTECH startup. We have developed a patented payment algorithm that will allow medical cost distribution among patients more efficiently.</t>
  </si>
  <si>
    <t>Would like to see more proof of need before moving forward; only consulting revenue currently and CEO is only FT member</t>
  </si>
  <si>
    <t>The algorithm is smart and efficient theoretically and experimentally with simulation. But real-data validation is not sufficient yet</t>
  </si>
  <si>
    <t>327 Dickerson Dr N, NY United States</t>
  </si>
  <si>
    <t>AGR Health, LLC</t>
  </si>
  <si>
    <t>AnyFans Inc _2022</t>
  </si>
  <si>
    <t>Josh Luke</t>
  </si>
  <si>
    <t>Josh@AnyFans.com</t>
  </si>
  <si>
    <t>AnyFans is a free social media app for young adults and teens that groups users feeds into themed Hangout rooms with influencer?hosts. The app features user rankings (introduced at launch in September) that serve as a resource for advertisers as the leading vote-getters in each Hangout are awarded badges monthly to use on social media profiles.</t>
  </si>
  <si>
    <t>Social media app. Not a fit.</t>
  </si>
  <si>
    <t>Yes, Launchpad Virtual accelerator</t>
  </si>
  <si>
    <t>Lake Havasu City, AZ United States</t>
  </si>
  <si>
    <t>AnyFans Inc</t>
  </si>
  <si>
    <t>Arceum Inc. _2022</t>
  </si>
  <si>
    <t>Joe Berenbaum</t>
  </si>
  <si>
    <t>joe@aftr.market</t>
  </si>
  <si>
    <t>Arceum builds foundational software protocols and platforms to enhance the use of the Arweave blockchain. Our first protocol is called AFTR Market, an asset management platform providing users the ability to govern, secure, and manage their Arweave assets on-chain.</t>
  </si>
  <si>
    <t>Core marketing issues as noted in Addressable Market section; stage is MVP and there is no proof of need or customer demand</t>
  </si>
  <si>
    <t>I participated in Arweave's incubator program called the Open Web Foundry (class 4) last Summer. At the conclusion of Demo Day, I began raising preseed funding.</t>
  </si>
  <si>
    <t>Jesse Pariselli from Arweave</t>
  </si>
  <si>
    <t>Salem, VA United States</t>
  </si>
  <si>
    <t>Arceum Inc.</t>
  </si>
  <si>
    <t>AUMHUM _2022</t>
  </si>
  <si>
    <t>Aviral Pandey</t>
  </si>
  <si>
    <t>aviral@aumhum.com</t>
  </si>
  <si>
    <t>AUMHUM provides vernacular, hyper-personalized mental wellness tools to companies with global workforce providing a relatable, accessible and fun way to reset, relax and deal with uncertainties of work life through an open platform for expert driven content and recommendation algorithms.</t>
  </si>
  <si>
    <t>no deep tech innovation here</t>
  </si>
  <si>
    <t>I think this is an example of a relatively low risk company when looking at medium upside, but high-risk when looking at large upside.</t>
  </si>
  <si>
    <t>PIE Accelerator, Oregon: Batch of 2020 (Portland Incubator Experiment)</t>
  </si>
  <si>
    <t>AUMHUM</t>
  </si>
  <si>
    <t>Avie AI _2022</t>
  </si>
  <si>
    <t>Charles Leggate</t>
  </si>
  <si>
    <t>charlie@avie.app</t>
  </si>
  <si>
    <t>Avie AI is building an AI health coach built upon a combination of recorded biometric data and lifestyle data to solve the western world's growing problem of lifestyle illnesses. We do this by helping inactive people get active, giving them access to expertise, guidance and accountability previously only experienced by elites and the wealthy.</t>
  </si>
  <si>
    <t>- Too early for the EFL. - Need to gain further traction on the paid user front, or change business model.</t>
  </si>
  <si>
    <t>Promising ideas but too early for EFL.</t>
  </si>
  <si>
    <t>Yes, we were funded by start up program Entrepreneur First as part of their 16th London cohort.</t>
  </si>
  <si>
    <t>23 Finlay St, London, Greater London United Kingdom</t>
  </si>
  <si>
    <t>Avie AI</t>
  </si>
  <si>
    <t>BlueFairy, Inc. _2022</t>
  </si>
  <si>
    <t>Jenn Halweil</t>
  </si>
  <si>
    <t>jenn@gobeyondlab.in</t>
  </si>
  <si>
    <t>BlueFairy is a solutions network that utilizes AI, blockchain, digital media and de-biasing informatics resulting in more truthful data sharing, and faster, more profitable market innovations. Our initial web application is focused on achieving lasting remission for autoimmune disorders, which disproportionately affect women and minorities.</t>
  </si>
  <si>
    <t>The problem (biased data and innovation that ignores underrperesented groups) is huge and unmet. But the founder does not provide even an outline on how they plan to take this problem on. Too early and no clear product roadmap.</t>
  </si>
  <si>
    <t>Very early startup with an idea and some concepts. Some detailed projections. Would be useful to dig a little deeper into the exact beachhead market and their vision for scaling.</t>
  </si>
  <si>
    <t>BlueFairy was part of the Women in AI USA 2021 accelerator program and won first prize in their Women in AI hackathon. Additionally, BlueFairy received a Patent Hacks program scholarship, before joining Google?s Cardozo Patent Diversity Program. Co-founder Halweil is focused on advancing inclusion in blockchain globally as a DeFi Talent Fellow; the Fellowship is sponsored by the Frankfurt School of Finance &amp; Management?s Blockchain Academy. She is also a Luminary Fellow, which is sponsored by Unilever to advance equality in entrepreneurship.</t>
  </si>
  <si>
    <t>Hallie Stern</t>
  </si>
  <si>
    <t>1204 Broadway, New York, New York United States</t>
  </si>
  <si>
    <t>BlueFairy, Inc.</t>
  </si>
  <si>
    <t>Clastr _2022</t>
  </si>
  <si>
    <t>Petar Starcevic</t>
  </si>
  <si>
    <t>petar.starcevic@clastr.net</t>
  </si>
  <si>
    <t>Clastr connects gamers to nearby gaming PCs, allowing them to use gaming PC resources to run games. On the other hand, gamers who own gaming PCs will be able to turn the PCs into money printing machines.</t>
  </si>
  <si>
    <t>No significant tech innovation</t>
  </si>
  <si>
    <t>Accelerator, Fil Rouge Capital</t>
  </si>
  <si>
    <t>Jaksic, 34308 Croatia</t>
  </si>
  <si>
    <t>Clastr</t>
  </si>
  <si>
    <t>Clever Forever Education AG _2022</t>
  </si>
  <si>
    <t>Olga Ruf-Fiedler</t>
  </si>
  <si>
    <t>olga@catnclever.com</t>
  </si>
  <si>
    <t>Clever Forever Education AG develops a highly innovative digital learning platform. Our App "CatnClever" promotes early childhood education and aims at preschoolers aged 3-7 with serious games screen time on mobile iOS or Android devices.</t>
  </si>
  <si>
    <t>- Working together with our Scientific Advisory Board (a.o. with Prof. Jan Plass from NYU) to validate research. - There is lots of competition in this space already. - Not a fit for EFL.</t>
  </si>
  <si>
    <t>Incredibly crowded space. Might be suited for Germany as they suggested, but not scalable for other countries where interactive elearning platforms are the norm. Not a fit for EFL</t>
  </si>
  <si>
    <t>2020 we have received a $10k support grant from a renown Swiss incubator Startfeld, cf. https://www.startfeld.ch/.</t>
  </si>
  <si>
    <t>Prof. Deepak Hegde, NYU</t>
  </si>
  <si>
    <t>Lerchenfeldstrasse 3, 9401 St. Gallen Switzerland</t>
  </si>
  <si>
    <t>Clever Forever Education AG</t>
  </si>
  <si>
    <t>CodeGem _2022</t>
  </si>
  <si>
    <t>Stephanie Mills</t>
  </si>
  <si>
    <t>stephanie@codegem.app</t>
  </si>
  <si>
    <t>CodeGem is people-first engineering management software designed to help teams build trust, foster growth, and ship faster. By integrating with the tools teams already use, CodeGem generates actionable insight which feeds into management solutions (i.e. 1:1 software) geared towards improving team productivity, collaboration, and wellness.</t>
  </si>
  <si>
    <t>engineering management software crowed filed, what is the tech and moat?</t>
  </si>
  <si>
    <t>hard to differentiate with another software offering to improve productivity and culture, though there may be an opportunity with hybrid workforce</t>
  </si>
  <si>
    <t>Velocity Incubator: https://velocityincubator.com/ (Equity Free)</t>
  </si>
  <si>
    <t>Morteza Ahmadi (Referred through Velocity)</t>
  </si>
  <si>
    <t>Kitchener, Ontario Canada</t>
  </si>
  <si>
    <t>CodeGem</t>
  </si>
  <si>
    <t>Creditchek _2022</t>
  </si>
  <si>
    <t>Kingsley Ibe</t>
  </si>
  <si>
    <t>kingsley@creditchek.africa</t>
  </si>
  <si>
    <t>Creditchek helps businesses reduce fraud by reliably verifying Identity and assessing the creditworthiness of consumers in Africa.</t>
  </si>
  <si>
    <t>pre-seed, too early for us, tech moat not clear</t>
  </si>
  <si>
    <t>Lekki, Lagos Nigeria</t>
  </si>
  <si>
    <t>Creditchek</t>
  </si>
  <si>
    <t>Cruz Street LLC _2022</t>
  </si>
  <si>
    <t>Jesse Cruz</t>
  </si>
  <si>
    <t>jesse@cruzstreet.com</t>
  </si>
  <si>
    <t>Our SaaS BI platform DashProphet comes ?with analysts built in? to help mid-sized organizations unlock the value of their data. We partner with top Masters of Data Science programs to give their graduates access to analytical work and customers access to an end-to-end BI platform with talent ready to deploy.</t>
  </si>
  <si>
    <t>very competitive field. we would want to see more customer traction for such a company to compensate for absence of a deep technical moat.</t>
  </si>
  <si>
    <t>- 1. tech isn't novel 2. very crowded space 3. heavily dependent on aws quicksight</t>
  </si>
  <si>
    <t>1M</t>
  </si>
  <si>
    <t>Accel7, Newchip</t>
  </si>
  <si>
    <t>405 Sapphire Way SW, Vero Beach United States</t>
  </si>
  <si>
    <t>Cruz Street LLC</t>
  </si>
  <si>
    <t>Dandelion Health, Inc. _2022</t>
  </si>
  <si>
    <t>Elliott Green</t>
  </si>
  <si>
    <t>elliott@dandelionhealth.ai</t>
  </si>
  <si>
    <t>Dandelion is a platform that allows healthcare AI companies to access representative, high-quality clinical patient data?including images, waveforms and EHR data from health systems?so the broader healthcare AI industry can build novel AI products, from aiding and automating medical decisions to improving diagnostics and drug development and more.</t>
  </si>
  <si>
    <t>team has great experience; market opportunity could be large but will be difficult to gain access to hospitals' data; curating and harmonizing data across hospitals so that new innovations can be made is a challening tech innovation; I would like to see more proof of need; they have some indication of interest and I would like to see where they are next year</t>
  </si>
  <si>
    <t>- 1. tech not novel 2. very crowded space</t>
  </si>
  <si>
    <t>1850 Muttontown Road, Syosset, NY 11791, New York United States</t>
  </si>
  <si>
    <t>Dandelion Health, Inc.</t>
  </si>
  <si>
    <t>Deskfirst, Inc. _2022</t>
  </si>
  <si>
    <t>Omer Gold</t>
  </si>
  <si>
    <t>omer@deskfirst.com</t>
  </si>
  <si>
    <t>Deskfirst provides intuitive online collaboration spaces that look and feel like the familiar desktop environment, making online work accessible to anyone.</t>
  </si>
  <si>
    <t>I'm not sure the tech innovation provides a 10x better solution than the competitors</t>
  </si>
  <si>
    <t>+ 1. tech is advanced and valid - 1. the product itself is in a very crowded space</t>
  </si>
  <si>
    <t>In 2021, we participate in the Fusion accelerator program: https://www.fusion-vc.com</t>
  </si>
  <si>
    <t>Deepak Hegde - I was approached by him in LinkedIn</t>
  </si>
  <si>
    <t>Dover, Delaware United States</t>
  </si>
  <si>
    <t>Deskfirst, Inc.</t>
  </si>
  <si>
    <t>elovee, Inc. _2022</t>
  </si>
  <si>
    <t>Paul Campbell</t>
  </si>
  <si>
    <t>paul@elovee.com</t>
  </si>
  <si>
    <t>elovee is an early-stage health tech company combining clinician-led virtual care with a non-prescription digital therapeutic for older adults seeking to prevent or delay cognitive decline. We integrate evidence-based cognitive training and behavioral lifestyle interventions in an accessible, scalable, engaging, and effective delivery model.</t>
  </si>
  <si>
    <t>Technology does not seem unique--call services for therapy aren't new, this might be a struggle to get footing in market. Doesn't seem a good fit for EFL.</t>
  </si>
  <si>
    <t>Tech isn't cutting edge (call-in tele-health) good team and fund-raising status</t>
  </si>
  <si>
    <t>elovee, Inc.</t>
  </si>
  <si>
    <t>Hadada Global Limited _2022</t>
  </si>
  <si>
    <t>Frederic LE</t>
  </si>
  <si>
    <t>fle@hadada.co</t>
  </si>
  <si>
    <t>Hadada is building an Open Finance solution for Africa, serving the data rails for both traditional financial and alternative data, so local fintechs and lenders can make better informed data driven decisions.</t>
  </si>
  <si>
    <t>competitive space, technical moat not clear</t>
  </si>
  <si>
    <t>Yes, London FFWD</t>
  </si>
  <si>
    <t>Hadada Global Limited</t>
  </si>
  <si>
    <t>Hero Trainer Inc. _2022</t>
  </si>
  <si>
    <t>Yash Jain</t>
  </si>
  <si>
    <t>yjain@herotrainer.io</t>
  </si>
  <si>
    <t>Hero Trainer is a public benefit corporation dedicated to building games that help gamers become physically, mentally, and emotionally healthy.</t>
  </si>
  <si>
    <t>game developers with no clear tech moat</t>
  </si>
  <si>
    <t>Yes, Newchip Accelerator Program and the Ycombinator Startup school program.</t>
  </si>
  <si>
    <t>Pleasanton, CA United States</t>
  </si>
  <si>
    <t>Hero Trainer Inc.</t>
  </si>
  <si>
    <t>Igugu Global _2022</t>
  </si>
  <si>
    <t>Anele Makhwaza</t>
  </si>
  <si>
    <t>anele@igugu.global</t>
  </si>
  <si>
    <t>Igugu Global provides intelligence and analytics that make it incredibly easy to search, structure and trade sustainable assets; by offering consistently comparable climate analytics for financial actors growing cross sector, and multi geography portfolios across Africa.</t>
  </si>
  <si>
    <t>Techstars</t>
  </si>
  <si>
    <t>34a Windsor Road, London, N13 5PR United Kingdom</t>
  </si>
  <si>
    <t>Igugu Global</t>
  </si>
  <si>
    <t>InsureTax _2022</t>
  </si>
  <si>
    <t>Guy Kohn</t>
  </si>
  <si>
    <t>guy@insure.tax</t>
  </si>
  <si>
    <t>70% of US taxpayers fear an audit by the IRS, but existing tax insurance isn't available for Small Offices / Home Offices (SOHOs). InsureTax's proprietary tax actuary and online underwriting platform remove the tax insurance cost barrier and provide immediate protection against unexpected tax audits by the IRS to the mass market.</t>
  </si>
  <si>
    <t>Online tax actuary not a novel innovation; as app mentioned, insurance for taxes should be a commodity</t>
  </si>
  <si>
    <t>+ 1. interesting idea - 1. need more info and validation for the technical components</t>
  </si>
  <si>
    <t>Techstars ?21</t>
  </si>
  <si>
    <t>InsureTax</t>
  </si>
  <si>
    <t>iPondr SBC _2022</t>
  </si>
  <si>
    <t>Kate Mortenson</t>
  </si>
  <si>
    <t>kate@ipondr.com</t>
  </si>
  <si>
    <t>content and lesson curation site. no clear moat.</t>
  </si>
  <si>
    <t>Needs more clear explanation and pitch; excessive use of jargon and unclear explanation of what is novel in the technology, how does the tech beat other known learning platforms and how the team will deliver. No contingency plan presented.</t>
  </si>
  <si>
    <t>Seed|Other: Priced SEED Round</t>
  </si>
  <si>
    <t>$1.5MM</t>
  </si>
  <si>
    <t>University of Louisville startup program. Four months in 2021.</t>
  </si>
  <si>
    <t>Mark Flynn, Deepak Hegde</t>
  </si>
  <si>
    <t>1625 Hennepin Ave, Minneapolis Minnesota, 55419, United States</t>
  </si>
  <si>
    <t>iPondr SBC</t>
  </si>
  <si>
    <t>IT'SRAPID _2022</t>
  </si>
  <si>
    <t>David Feinleib</t>
  </si>
  <si>
    <t>dave@itsrapid.io</t>
  </si>
  <si>
    <t>IT'SRAPID web-based software lets brands scale banners, images and videos across all channels to boost shopper engagement. With online sales increasing, it's more important than ever for brands to communicate and promote their offers effectively. We enable brands to execute faster while maintaining brand integrity.</t>
  </si>
  <si>
    <t>Company is early but founder is experienced. Not clear though that the startup is a great fit with EFLs mission. Pass on it.</t>
  </si>
  <si>
    <t>Looks like a vibrant team and an original theme but idea lacks clarity and specific details on fundraising plans and needs; this is important for refining their business plan</t>
  </si>
  <si>
    <t>My previous company was affiliated with StartX.</t>
  </si>
  <si>
    <t>Palo Alto, CA United States</t>
  </si>
  <si>
    <t>IT'SRAPID</t>
  </si>
  <si>
    <t>Kaboodle, Inc. dba BooCooPets _2022</t>
  </si>
  <si>
    <t>Larry Loyd</t>
  </si>
  <si>
    <t>larry@boocoopets.com</t>
  </si>
  <si>
    <t>United plaster for the pet industry. Everything for Every Pet</t>
  </si>
  <si>
    <t>- Application provides little detail. - Not a fit for EFL. - Do not invite for next year.</t>
  </si>
  <si>
    <t>Seasoned team with a clear business plan; technology lacking but clear need for a pet unified ecosystem. Merits interview in IR's opinion</t>
  </si>
  <si>
    <t>$3.5m</t>
  </si>
  <si>
    <t>New Chip Accelerator</t>
  </si>
  <si>
    <t>San Mateo, California United States</t>
  </si>
  <si>
    <t>Kaboodle, Inc. dba BooCooPets</t>
  </si>
  <si>
    <t>Kima _2022</t>
  </si>
  <si>
    <t>Eitan Katz</t>
  </si>
  <si>
    <t>eitan@kima.finance</t>
  </si>
  <si>
    <t>Kima aims to become the web3 settlement layer. It was established to address the fragmentation challenges in the crypto space. Every blockchain functions as an island of liquidity. dApps can only access users already present on the app's blockchain. Kima solves that by creating an abstract, global way to reach users and liquidity on any chain.</t>
  </si>
  <si>
    <t>- Website not functioning - Concept testing stage right now. - No traction yet. - Too early for EFL.</t>
  </si>
  <si>
    <t>Creative team that would benefit from test driving their MVP and the flywheel idea before moving forward with fundraising; please apply next year after MVP validation</t>
  </si>
  <si>
    <t>Yes- Outlier Ventures</t>
  </si>
  <si>
    <t>Tel Aviv, IL Israel</t>
  </si>
  <si>
    <t>Kima</t>
  </si>
  <si>
    <t>Mahila Money Pte Ltd _2022</t>
  </si>
  <si>
    <t>Sairee Chahal</t>
  </si>
  <si>
    <t>sairee@mahila.money</t>
  </si>
  <si>
    <t>Mahila Money is a full-stack fintech platform for women that specializes in offering loans to ?thin-file? micro-entrepreneurs via a proprietary underwriting model that assesses a women?s creditworthiness using non-traditional credit data points. In addition, women get access to value-added services and community to achieve their financial goals.</t>
  </si>
  <si>
    <t>The team seems good; the opportunity seems confined to India; micro-lending is not new and their approach doesn't seem like it could gain a global footprint</t>
  </si>
  <si>
    <t>Tech isn't cutting edge</t>
  </si>
  <si>
    <t>$5mn</t>
  </si>
  <si>
    <t>4054, Sector - B Pocket 5&amp;6, Vasant Kunj, Delhi, 110070, Delhi India</t>
  </si>
  <si>
    <t>Mahila Money Pte Ltd</t>
  </si>
  <si>
    <t>Matdun _2022</t>
  </si>
  <si>
    <t>Suresh Matha</t>
  </si>
  <si>
    <t>sureshmatha@matdun.com</t>
  </si>
  <si>
    <t>Matdun provides access management &amp; payment authentication solutions using 3D face recognition.</t>
  </si>
  <si>
    <t>Patents filed, and potential for growth (lots of the "cool factor"). Tech validation unclear. Seems to be fairly competitive space (wouldn't be surprised if big companies like Apple were to launch a similar product soon). Fit for EFL? Not sure.</t>
  </si>
  <si>
    <t>Y-Combinator Start up school graduate - Winter 2019 Batch.</t>
  </si>
  <si>
    <t>Milton, Ontario Canada</t>
  </si>
  <si>
    <t>Matdun</t>
  </si>
  <si>
    <t>MegaMinds _2022</t>
  </si>
  <si>
    <t>Eric Tao</t>
  </si>
  <si>
    <t>eric@gomegaminds.com</t>
  </si>
  <si>
    <t>MegaMinds is a social learning platform that utilizes gamified virtual worlds and no-code creation tools to help teachers make lessons more engaging by turning their existing content into mobile-friendly 3D interactive experiences that delight students &amp; drive engagement through experiential and collaborative learning in virtual world environments.</t>
  </si>
  <si>
    <t>Gamified teaching; solving for student engagement, need evidence of learning; would like to see more traction</t>
  </si>
  <si>
    <t>Would be interested diving in further based on the strength of the team. Skeptical about the space as a whole though.</t>
  </si>
  <si>
    <t>Yes, we recently completed the USC Rossier School of Education's EdTech Accelerator. We also participated in the Edinno Innovation Lab, as well as the Primary Ventures Founder Fellowship. All of these are free, no equity programs similar to EFL.</t>
  </si>
  <si>
    <t>19 Ryder Road, Fair Lawn, NJ United States</t>
  </si>
  <si>
    <t>MegaMinds</t>
  </si>
  <si>
    <t>Mirror World _2022</t>
  </si>
  <si>
    <t>Chris Zhu</t>
  </si>
  <si>
    <t>Chriszhu@rct.ai</t>
  </si>
  <si>
    <t>Mirror World is a GameFi where NFTs are powered by AI in each one of its games. All NFTs are interoperable across all games, which ensures that holders will have the freedom to enter each one of the GameFi created by Mirror World. Currently Mirror World is creating 3+ games.</t>
  </si>
  <si>
    <t>The concept seems generally interesting. My sense is that there are no competitive advantages or moats at play either from a market or technology perspective ? at least currently. I would like to see more traction as my concern is that these types of companies/games can be just fads.</t>
  </si>
  <si>
    <t>The application is confusing. It does not differentiate between this startup and its parent company. For example, the fundraising results is that of the parent company's. The parent company (rct AI)'s technology behind 'Chaos Box' seems to have more potential than that of Mirror World itself. Unsure if the EFL will be mentoring the parent company along with Mirror World.</t>
  </si>
  <si>
    <t>Other: Strategic Round</t>
  </si>
  <si>
    <t>$3.5mn- $4.25mn</t>
  </si>
  <si>
    <t>Panama City, Panama Panama</t>
  </si>
  <si>
    <t>Mirror World</t>
  </si>
  <si>
    <t>Mirrori _2022</t>
  </si>
  <si>
    <t>Mira Awwad-Khreish</t>
  </si>
  <si>
    <t>mira@mirrori.co</t>
  </si>
  <si>
    <t>Mirrori is developing the first data-driven skincare assistant. We offer customers an in-depth analysis of their skin and products and deliver personalized dynamic recommendations over time.</t>
  </si>
  <si>
    <t>Personalized skin care app not a fit for EFL</t>
  </si>
  <si>
    <t>The tech for either recognition/recommendation might not be cutting edge but the potential market is huge. One issue is that the company does not do a comprehensive competitive assessment</t>
  </si>
  <si>
    <t>Mirrori has strategic assistance from the Road2 AI Center of Excellence (in which Nvidia is a partner). Road2 provides office space, usage of our Nvidia super-computers &amp; AI consultancy service. In addition, the company was selected for Facebook?s exclusive Growth Program for Consumer Tech Startups, and is an alumna of Hybrid accelerator for Arab-led startups, one of 8200 entrepreneurship programs.</t>
  </si>
  <si>
    <t>Haifa, North Israel</t>
  </si>
  <si>
    <t>Mirrori</t>
  </si>
  <si>
    <t>Monocle _2022</t>
  </si>
  <si>
    <t>Amir Sigari</t>
  </si>
  <si>
    <t>amir@monocleapp.co</t>
  </si>
  <si>
    <t>Monocle offers an AI-backed operations intelligence platform that directs eCommerce brands to plan, manage, and purchase inventory through actionable insights so that they will have an intimate understanding of what they need to replenish to keep their inventory healthy and how to adjust their operations to increase demand.</t>
  </si>
  <si>
    <t>Jersey City, NJ United States</t>
  </si>
  <si>
    <t>Monocle</t>
  </si>
  <si>
    <t>nmodes _2022</t>
  </si>
  <si>
    <t>Sasha Uritsky</t>
  </si>
  <si>
    <t>sasha@nmodes.com</t>
  </si>
  <si>
    <t>nmodes offers AI platform for smart onboarding and customer service.</t>
  </si>
  <si>
    <t>Highly competitive space; technology doesn't seem to be 10x better than current offerings; founders seem like they have relevant background and experiences; company is very early and in this space I would want to see much more traction</t>
  </si>
  <si>
    <t>- 1. tech is not novel, and not clear where their edge is 2. team might not have the technical expertise to be leading figures in the field.</t>
  </si>
  <si>
    <t>FIRE accelerator</t>
  </si>
  <si>
    <t>Erie , PA Canada</t>
  </si>
  <si>
    <t>nmodes</t>
  </si>
  <si>
    <t>Norebase Limited _2022</t>
  </si>
  <si>
    <t>Adetola Onayemi</t>
  </si>
  <si>
    <t>tola@norebase.com</t>
  </si>
  <si>
    <t>Norebase is a trade-tech company providing a single digital platform and technology tools for entrepreneurs and businesses to start, scale, and operate in any African country and the United States. Norebase uses technology to make it easy for anyone to start a business and expand into other markets across Africa in a fast and efficient way.</t>
  </si>
  <si>
    <t>Digital platform to simplify legal aspects of starting and running business focused on African markets. No deep tech stack here, although company seems like it will be successful. Not a fit for us.</t>
  </si>
  <si>
    <t>the company doesn't have much tech involved, the exact revenue was not disclosed but in june 2022 it's 100k USD.</t>
  </si>
  <si>
    <t>1, Rima Street, Maitama, FCT Nigeria</t>
  </si>
  <si>
    <t>Norebase Limited</t>
  </si>
  <si>
    <t>Norma _2022</t>
  </si>
  <si>
    <t>Hakan Gonca</t>
  </si>
  <si>
    <t>hakan@norma.co</t>
  </si>
  <si>
    <t>Norma is the first SMB Neobank in Turkey, striving to make finance more accessible, transparent, empowering and friendly to those who manage their own business.</t>
  </si>
  <si>
    <t>no tech innovation, no road map for scaling</t>
  </si>
  <si>
    <t>financial management tool (banking, pre-accounting, and accounting along with other value-add services) in a single platform, raised 1.6 Million and is looking to develop in turkey and no mention about their interest in US market</t>
  </si>
  <si>
    <t>Seed Other: Seed add-on</t>
  </si>
  <si>
    <t>VISA program</t>
  </si>
  <si>
    <t>Istanbul, Kalam?? Turkey</t>
  </si>
  <si>
    <t>Norma</t>
  </si>
  <si>
    <t>Pajama Cats Media _2022</t>
  </si>
  <si>
    <t>Homer Quan</t>
  </si>
  <si>
    <t>homer@pajamacatsmedia.com</t>
  </si>
  <si>
    <t>Pajama Cats Media is developing voice recognition-based interactive children?s literature. Children develop language vocabulary through Interaction with others. Today digital bookThe prototype laboratory results, with over 100 child participants, conducted at Carnegie Mellon University, have been published in an international scientific journal.</t>
  </si>
  <si>
    <t>No traction or proof of concept yet</t>
  </si>
  <si>
    <t>+ 1. advanced tech 2. good talents on team - 1. early stage with little concrete progress to show for</t>
  </si>
  <si>
    <t>6801 Trinity Landing Drive South, TX United States</t>
  </si>
  <si>
    <t>Pajama Cats Media</t>
  </si>
  <si>
    <t>Pedestal _2022</t>
  </si>
  <si>
    <t>David Asbery</t>
  </si>
  <si>
    <t>david.m.asbery@pedestal.dev</t>
  </si>
  <si>
    <t>The majority of artists who stream their music cant earn a living wage. Recording artists are currently without an actual product. Pedestal will solve this problem. Pedestal is a social media platform and mobile app design studio that will design, publish, and manage modular apps for artists to release their exclusive content for direct sale.</t>
  </si>
  <si>
    <t>An app to help artist control their own distribution and pricing; tech still needs to be developed - too early for EFL</t>
  </si>
  <si>
    <t>the company is in the very early stage of development, and has a strong competitors like apple music and currently doesn't generate any revenue.</t>
  </si>
  <si>
    <t>I am one of the inaugural members of the Amazon Web Services Impact Accelerator for Black Founders.</t>
  </si>
  <si>
    <t>6304 Islington Street Middle River , Maryland United States</t>
  </si>
  <si>
    <t>Pedestal</t>
  </si>
  <si>
    <t>PlateRate _2022</t>
  </si>
  <si>
    <t>Garrett Lang</t>
  </si>
  <si>
    <t>garrett@platerate.com</t>
  </si>
  <si>
    <t>PlateRate takes restaurant orders for pickup, delivery, dine-in, and order-ahead - and creates more than 3x as much loyalty using the highest profit margin platform in the industry for restaurants. We get customers a 60%+ credit in free food for trying the top rated dishes that meet their dietary and flavor preferences.</t>
  </si>
  <si>
    <t>- Not a typical fit with EFL. - Innovation is in the process of prepping and consuming food, and not scientific inventions. - Minimal traction at this point. - Too many competitors.</t>
  </si>
  <si>
    <t>457 FDR Dr. Suite A105, New York United States</t>
  </si>
  <si>
    <t>PlateRate</t>
  </si>
  <si>
    <t>Poppy Seed Health _2022</t>
  </si>
  <si>
    <t>Simmone Taitt</t>
  </si>
  <si>
    <t>simmone@poppyseedhealth.com</t>
  </si>
  <si>
    <t>Poppy Seed Health provides on-demand 24/7 emotional and mental health support to people who are pregnant, postpartum and loss by connecting them with our doulas, nurses and midwives.</t>
  </si>
  <si>
    <t>Not clear what the innovation is; difficult market to capture and monetize</t>
  </si>
  <si>
    <t>Good addressable market focus and experience of founders. Limited protections for technology and can be copied.</t>
  </si>
  <si>
    <t>Toyin Ajayi</t>
  </si>
  <si>
    <t>250 Broadway, New York United States</t>
  </si>
  <si>
    <t>Poppy Seed Health</t>
  </si>
  <si>
    <t>Reviewed on 8/16/2022</t>
  </si>
  <si>
    <t>Portelo _2022</t>
  </si>
  <si>
    <t>Balbina Garza</t>
  </si>
  <si>
    <t>balbina@portelo.shop</t>
  </si>
  <si>
    <t>Portèlo is the first authenticated preloved luxury fashion marketplace in Mexico and LatAm.</t>
  </si>
  <si>
    <t>Commercially successful business but not suitable for EFL's typical area of focus.</t>
  </si>
  <si>
    <t>Seem to be doing well already--not sure how much they would benefit from EFL (&amp; conversely how much of a fit they would be)</t>
  </si>
  <si>
    <t>San Pedro Garza Garcia, Nuevo Leon Mexico</t>
  </si>
  <si>
    <t>Portelo</t>
  </si>
  <si>
    <t>Pressto _2022</t>
  </si>
  <si>
    <t>Daniel Stedman</t>
  </si>
  <si>
    <t>daniel@joinpressto.com</t>
  </si>
  <si>
    <t>Pressto makes learning to write fun for kids and easy for teachers.</t>
  </si>
  <si>
    <t>Edtech is typically not a good area for EFL. The platform seems interesting but somewhat gimmicky; not sure of tech innovation; play seems like it may be a nice to have but not a need to have.</t>
  </si>
  <si>
    <t>Yes, we were part of Volta Cohort in Halifax, Nova Scotia.</t>
  </si>
  <si>
    <t>Pressto</t>
  </si>
  <si>
    <t>Qpick _2022</t>
  </si>
  <si>
    <t>Zoran Nasteski</t>
  </si>
  <si>
    <t>zoran@nasteski.com</t>
  </si>
  <si>
    <t>Qpick is a digital basket for physical shopping, enabling O2O connection between consumers and physical shops, enabling them to reach each other based on proximity and interest. We analyze consumer behaviour and algorithmic learning to produce measurable, highly accountable in-store visits.</t>
  </si>
  <si>
    <t>- Not a fit for EFL. - There is no technical moat as concept of connecting o2o has played out in many iterations in the US and other markets more than 10 years. - Good local traction in 2 different countries. - Could invite next year to see if there is more traction and defensible technology moat.</t>
  </si>
  <si>
    <t>Overall, the technology itself seems to be replicable and the traction so far in two malls may not give it sufficient scale. Mall owners can replicate the basic promotions and other companies have similar location-based offers already. This startup seems like a lower fit for the EFL cohort as there is limited competitive advantage/differentiating technology.</t>
  </si>
  <si>
    <t>Startup Wise Guys</t>
  </si>
  <si>
    <t>Wroclaw, Lower Silesian Voivodeship Poland</t>
  </si>
  <si>
    <t>Qpick</t>
  </si>
  <si>
    <t>Quota _2022</t>
  </si>
  <si>
    <t>Giovanni Buono</t>
  </si>
  <si>
    <t>giovanni@quotarent.com</t>
  </si>
  <si>
    <t>Quota provide transparency, speed and protection to the residential rental market. Quota solutions reduce the financial barrier for young tenants, improve access to rental housing, establish a relationship of transparency and trust between tenant and landlord, provide landlords with protection tools as financial and insurance products</t>
  </si>
  <si>
    <t>"...reduce the financial barrier for young tenants, improve access to rental housing, establish a relationship of transparency and trust between tenant and landlord, provide landlords with protection tools as financial and insurance products." The tech innovation isn't clear, although the team has real estate experience and some traction with pilots.</t>
  </si>
  <si>
    <t>Although the team has found a niche market by bringing the best practices of some other applications (Lemonade, etc.) to the Spanish market, there is no inherently different technology built right now. It is possible to continue growing by localizing the software to the markets they play in, but it would not be a patented market, but more of a two-sided market where landlords and tenants will need to be added for it to be successful.</t>
  </si>
  <si>
    <t>Demium (biggest Spanish incubation for pre-team/pre-product ventures) Lanzadera (most prestigious acceleration program in Spain) Aticco DAS (Specialized in insurance)</t>
  </si>
  <si>
    <t>Madrid, Non U.S. Spain</t>
  </si>
  <si>
    <t>Quota</t>
  </si>
  <si>
    <t>Roleshare _2022</t>
  </si>
  <si>
    <t>Dave Smallwood</t>
  </si>
  <si>
    <t>dave@roleshare.com</t>
  </si>
  <si>
    <t>Roleshare?s platform makes it simple for organisations to hire talent seeking flexibility while driving an increase in top line performance and securing a bottom line saving at the same time.</t>
  </si>
  <si>
    <t>two-sided marketplace is difficult the idea is ok but at scale, orgs have to put two people on payroll and extend benefits which is costly need to show it can scale and a merket</t>
  </si>
  <si>
    <t>The founding team is strong and I believe they will be able to negotiate with key companies that can use their platform for fractional positions, especially with specific jobs that need more people to fill. The actual technology (matching platform) seems to be replicable unless there is a larger data set of successful matches that the Roleshare can build first. They will need to build the two-sided market of people interested in fractional roles to match to the jobs that can be carried out by 2 people in fractional capacities.</t>
  </si>
  <si>
    <t>Yes - London Business School - Incubator 19/20 People Tech Partners Q3 21 Techstars Workforce Development - Q4 21 / Q1 22 Techstars re-invested in our seed (above the initial accelerator round)</t>
  </si>
  <si>
    <t>20-22 Wenlock Road, London United Kingdom</t>
  </si>
  <si>
    <t>Roleshare</t>
  </si>
  <si>
    <t>Rubato _2022</t>
  </si>
  <si>
    <t>Amit Sternberg</t>
  </si>
  <si>
    <t>amits@rubato.life</t>
  </si>
  <si>
    <t>Rubato is an AI powered musical therapeutic app based on biometrics and clinical outcomes. We help Dementia patients to cope with agitation attacks and other behavioral disorders, by listening to curated personalized playlists in an enjoyable and effortless experience.</t>
  </si>
  <si>
    <t>- In two clinical studies now. Planning to present intermediate results in 6 months. - No customers and no revenue. - There are a number of competitors in this larger area of using music for mental health. - Scope of product-market fit is too narrow: only on dementia patients. - Too early for EFL. Need to show more traction.</t>
  </si>
  <si>
    <t>Fully agreed--too early here, encourage to apply again next year.</t>
  </si>
  <si>
    <t>Yes. Amazon Builder Space Program.</t>
  </si>
  <si>
    <t>823 Enchanted way, California United States</t>
  </si>
  <si>
    <t>Rubato</t>
  </si>
  <si>
    <t>Saathealth _2022</t>
  </si>
  <si>
    <t>Aakash Ganju</t>
  </si>
  <si>
    <t>aakash@saathealth.com</t>
  </si>
  <si>
    <t>Saathealth's AI powered, personalized digital therapeutics platform provides health organisations with the interventions to engage &amp; nudge health consumers towards positive outcomes. Our algorithms can be deployed with our indication &amp; geography agnostic companion solution. Our solutions are being developed for multiple disease indications.</t>
  </si>
  <si>
    <t>Focused on emerging markets, mainly India and SE Asian countries; not sure solution is 10x better than current market products</t>
  </si>
  <si>
    <t>The validation is not enough.</t>
  </si>
  <si>
    <t>We were selected by India?s National Health Authority to be part of their market access program. We were also selected to be part of Google?s advisor program for SDG startups, Galen Growth?s 2021 accelerator cohort and IKP Knowledge Park?s Digital Elite Enterprise Program. We were recently chosen as a winner of PATH?s Primary Healthcare Tech Challenge and have been invited to join SAP Labs? Startup studio as well.</t>
  </si>
  <si>
    <t>Dr Rajiv Doshi</t>
  </si>
  <si>
    <t>Mumbai, Maharashtra India</t>
  </si>
  <si>
    <t>Saathealth</t>
  </si>
  <si>
    <t>Seek Health AI _2022</t>
  </si>
  <si>
    <t>Kim de los Reyes</t>
  </si>
  <si>
    <t>kim@joinseek.ai</t>
  </si>
  <si>
    <t>SEEK is a first to market SAAS tool that helps patients and healthcare teams communicate efficiently, effectively, and bias free. We give healthcare teams a more viable way to actually understand their patients by capturing their patient's concerns/feedback throughout their healthcare journey rather than at fragmented touch points.</t>
  </si>
  <si>
    <t>interesting idea but no validation. ask to apply to Berkley and to EFL next year.</t>
  </si>
  <si>
    <t>The idea is interesting and there don't seem to be too many players doing the same in the market. The CEOs experience and expertise can be leveraged to make the product stronger, but it would all be dependant on the team she builds out to grow this. I would consider talking to them once to see how they have processed and look to grow within the next 6-12 months.</t>
  </si>
  <si>
    <t>Yes, I was part of ODX.</t>
  </si>
  <si>
    <t>132 Wayne St, New Jersey United States</t>
  </si>
  <si>
    <t>Seek Health AI</t>
  </si>
  <si>
    <t>Slap, Inc. _2022</t>
  </si>
  <si>
    <t>Ian Andolsek</t>
  </si>
  <si>
    <t>ian@slapapp.io</t>
  </si>
  <si>
    <t>Slap is building a new class of AR and GPS driven social games to help kids, from middle school through college, reconnect in the real world. We are starting by reimagining the king of neighborhood games - Tag - on a scale only our technology platform can accomplish.</t>
  </si>
  <si>
    <t>developing a digital, blue-tooth enabled version of "tag" but mvp not out yet. no validation of concept. reconsider/invite next year.</t>
  </si>
  <si>
    <t>While "Physical AR" in theory sounds good, the execution, adoption could only be determined once the game takes shape in some form for a deeper understanding of the viability of the game in the real-world.</t>
  </si>
  <si>
    <t>We are currently involved in the Launch Founder.University 12 week course.</t>
  </si>
  <si>
    <t>Deepak Hedge, Ashish Bhatia</t>
  </si>
  <si>
    <t>Wayne, Pennsylvania United States</t>
  </si>
  <si>
    <t>Slap, Inc.</t>
  </si>
  <si>
    <t>SSP Software, LLC _2022</t>
  </si>
  <si>
    <t>Jaden Sterling</t>
  </si>
  <si>
    <t>JS@sterlingstockpicker.com</t>
  </si>
  <si>
    <t>The financial industry caters to investors who have large portfolios. Investors with assets under one million dollars are shun, made to feel stupid and inadequate. We created software to make investing in stocks simple and easy. With two clicks investors can identify winning stocks aligned with their personal values and risk level.</t>
  </si>
  <si>
    <t>stock advise and portfolio management system combined for smaller retailers lots of players already in the industry</t>
  </si>
  <si>
    <t>A major concern for me here is the competition - there are platforms like Robinhood that have a more comprehensive set of data based on user activities on their platform that are better placed to give stock recommendations to their customers using AI. SSP Software has a low differentiating factor and their software cannot create a moat through patents, especially since the market they are targeting is so crowded.</t>
  </si>
  <si>
    <t>500,000 more</t>
  </si>
  <si>
    <t>200 2nd Ave. S. #203 St. Petersburg, FL United States</t>
  </si>
  <si>
    <t>SSP Software, LLC</t>
  </si>
  <si>
    <t>StartupFuel Inc. _2022</t>
  </si>
  <si>
    <t>Ashley Martis</t>
  </si>
  <si>
    <t>ash@startupfuel.com</t>
  </si>
  <si>
    <t>StartupFuel build AI/SAAS + Data to help VC investors make better decisions to avoid bias and improve returns.</t>
  </si>
  <si>
    <t>Tough to predict outliers with AI. Competitive space with several failures. We would need more validation or traction before considering.</t>
  </si>
  <si>
    <t>We graduated from the RICC Centre, Altitude Accelerator! https://altitudeaccelerator.ca/</t>
  </si>
  <si>
    <t>Our VC investor Adam Caplan (ID8 Investments) was requested by Jay Tucker on EFL's team.</t>
  </si>
  <si>
    <t>StartupFuel Inc.</t>
  </si>
  <si>
    <t>StreamBee _2022</t>
  </si>
  <si>
    <t>Martin Blok?a</t>
  </si>
  <si>
    <t>martin@streambee.io</t>
  </si>
  <si>
    <t>+ 1. solid progressive so far with ~2000 users - 1. core tech isn't ground breaking 2. need more validation of the potential of their technical component -- see Notes on Technology</t>
  </si>
  <si>
    <t>$400,000 - $600,000</t>
  </si>
  <si>
    <t>Martin mentors super early-stage startup founders and entrepreneurs through CzechCrunch Startup Academy.</t>
  </si>
  <si>
    <t>Brno Brno, Czech Republic</t>
  </si>
  <si>
    <t>StreamBee</t>
  </si>
  <si>
    <t>Techfunic _2022</t>
  </si>
  <si>
    <t>Ann Andrews</t>
  </si>
  <si>
    <t>ann@techfunic.com</t>
  </si>
  <si>
    <t>A Tech Product creating optimal cohorts for students for collaborative learning with a STEM tutor affordably, especially children on the ADHD spectrum</t>
  </si>
  <si>
    <t>too early, plus no technical moat. encourage application to Berkley</t>
  </si>
  <si>
    <t>1,50,000</t>
  </si>
  <si>
    <t>280 Marin Blvd, 16A, Jersey City, NJ United States</t>
  </si>
  <si>
    <t>Techfunic</t>
  </si>
  <si>
    <t>Telebionix _2022</t>
  </si>
  <si>
    <t>Widy Medina</t>
  </si>
  <si>
    <t>c-suite@telebionix.com</t>
  </si>
  <si>
    <t>Telebionix is reimagining the future of healthcare with AI-driven, easy-to-use medical devices, platforms for remote patient care providing health insights, and keeping patients connected to caregivers - from the comfort of their homes.</t>
  </si>
  <si>
    <t>- No customers and no revenue. Customer discovery plan not shared. - Competitors: TytoCare, Medwand, and HealthyU. - Founders have startup exit experience. - Slightly early for EFL. - Should invite next year.</t>
  </si>
  <si>
    <t>Yes, we have been part XRC Labs Cohort 12</t>
  </si>
  <si>
    <t>MOORPARK, California United States</t>
  </si>
  <si>
    <t>Telebionix</t>
  </si>
  <si>
    <t>Vendor Infra Global Private limited _2022</t>
  </si>
  <si>
    <t>Rahul Jain</t>
  </si>
  <si>
    <t>rahul@vendorinfra.com</t>
  </si>
  <si>
    <t>Vendor Infra Global is a Unique B2B digital Collaboration Platform for Infrastructure &amp; Construction Industry offering Updated Vendors for your Projects, Vendor Search, Get Quotes, Find Opportunities, Sector Intelligence, Market Place to buy Hire &amp; Sell Plants &amp; Equipment, Material Procurement, Financing, Insurance, Enterprise Services.</t>
  </si>
  <si>
    <t>good traction, but is essentially a collaboration platform without a deep technical moat.</t>
  </si>
  <si>
    <t>Application a little vague (validation), tech not necessarily novel</t>
  </si>
  <si>
    <t>NA</t>
  </si>
  <si>
    <t>Unit no- 1436 - 1438, Uttar Pradesh India</t>
  </si>
  <si>
    <t>Vendor Infra Global Private limited</t>
  </si>
  <si>
    <t>Vernocular Inc _2022</t>
  </si>
  <si>
    <t>Roland Benzon</t>
  </si>
  <si>
    <t>roland@vernocular.io</t>
  </si>
  <si>
    <t>Vernocular lets people with hearing and/or visual disabilities access educational videos (and entertainment too).</t>
  </si>
  <si>
    <t>I like and appreciate their mission; I think scaling it could be difficult</t>
  </si>
  <si>
    <t>Strong mission, some potential for impact, but a tough start with tech giants have some presence in this space and the company "apathy" mentioned in the application.</t>
  </si>
  <si>
    <t>Incubated by Corporate Investor, Mediacorp. Part of Mass Challenge Early Stage program now (non-equity)</t>
  </si>
  <si>
    <t>Vernocular Inc</t>
  </si>
  <si>
    <t>VitalForm _2022</t>
  </si>
  <si>
    <t>Pratik Saraogi</t>
  </si>
  <si>
    <t>brijesh@vitalform.io</t>
  </si>
  <si>
    <t>VitalForm is an AI platform for human anatomical body movement tracking and gives real time feedback about their range of motion, movements, reps &amp; sets, time and many more. This solves the lack of exercise analysis which need to be required for oneself to trace their workout and work upon it.</t>
  </si>
  <si>
    <t>I believe the technology (if it works) has potential and with the increased focus on fitness everywhere across the world (and its supremely low cost) they could capture a significant market share. There is a lot that needs to be understood though in terms of financials, technology, pricing strategy, customer acquisition etc. Would recommend having a conversation with them for more understanding.</t>
  </si>
  <si>
    <t>Feels early--no validation, no patents. As it is, not a fit for EFL.</t>
  </si>
  <si>
    <t>not yet</t>
  </si>
  <si>
    <t>1203, 12th Floor, Kamdhenu Commerz, Sector 14, Kharghar, Navi Mumbai, Maharashtra 410210, Maharashtra India</t>
  </si>
  <si>
    <t>VitalForm</t>
  </si>
  <si>
    <t>WERI _2022</t>
  </si>
  <si>
    <t>Cosimo Cecchini</t>
  </si>
  <si>
    <t>cosimo@weri.it</t>
  </si>
  <si>
    <t>WERI is an AI?Impact platform that enables companies to measure, simulate and reduce the carbon footprint along the entire value chain with the power of Artificial Intelligence</t>
  </si>
  <si>
    <t>Early with no material proof of customer need or adoption; competitive advantage also unclear</t>
  </si>
  <si>
    <t>Feels premature, recommend apply again next year</t>
  </si>
  <si>
    <t>Yes, We have been in the Startupbootcamp accelerator program</t>
  </si>
  <si>
    <t>Amsterdam, Amsterdam Netherlands</t>
  </si>
  <si>
    <t>WERI</t>
  </si>
  <si>
    <t>Yodacart _2022</t>
  </si>
  <si>
    <t>Vikas Sharma</t>
  </si>
  <si>
    <t>vikas.sharma@yodacart.com</t>
  </si>
  <si>
    <t>Yodacart helps home appliance retailers to help buyers find the right match through analyzing needs, usage habits, geo-analytics, and more using AI with an AR-enabled product browsing experience. By partnering with Yodacart, retailers are able to deliver the product within 24 hours.</t>
  </si>
  <si>
    <t>Need based recommendation AI chatbot for consumers to buy appliances more efficiently</t>
  </si>
  <si>
    <t>Technical innovation not cutting-edge and not protected. Not sure the advantage over other competitors</t>
  </si>
  <si>
    <t>Yodacart</t>
  </si>
  <si>
    <t>Strich, Inc. _2022</t>
  </si>
  <si>
    <t>Peter Ayeni</t>
  </si>
  <si>
    <t>ayenipeter92@gmail.com</t>
  </si>
  <si>
    <t>Strich is a solution for underserved SMEs to manage their business &amp; financials in one place.</t>
  </si>
  <si>
    <t>- This team has made lots of progress with gaining early traction with users. - The technical moat is unclear given the technologies in this space are all readily available. - We should invite this team to interview next year.</t>
  </si>
  <si>
    <t>Yes, Adanian Labs Venture Building Program https://techcrunch.com/2022/06/29/venture-studio-adanian-labs-fuels-startup-growth-in-africa/</t>
  </si>
  <si>
    <t>6, Alivideh Crescent, Badagry, Lagos Nigeria</t>
  </si>
  <si>
    <t>Strich, Inc.</t>
  </si>
  <si>
    <t>Algor Lab _2022</t>
  </si>
  <si>
    <t>Mauro Musarra</t>
  </si>
  <si>
    <t>mauro.musarra@algoreducation.com</t>
  </si>
  <si>
    <t>Algor Education is an online platform that uses artificial intelligence to help students of all ages study and learn more easily by providing algorithms that can extract information from long texts automatically. Our platform has been approved by the Italian Dyslexia Association as a support tool for students with learning disorders.</t>
  </si>
  <si>
    <t>competitive space, no tech moat, narrow ed tech application</t>
  </si>
  <si>
    <t>There isn't any tech innovation. AI-based educational platform for helping children with learning disorders that is able to read and comprehend texts, and make concept maps based on them. Highly competitive environment, and existing solution.</t>
  </si>
  <si>
    <t>Yes I3P - Incubator of Politecnico di Torino (First public incubator in the world)</t>
  </si>
  <si>
    <t>Torino, Torino Italy</t>
  </si>
  <si>
    <t>Algor Lab</t>
  </si>
  <si>
    <t>Alloy Software GmbH _2022</t>
  </si>
  <si>
    <t>Paul Faecks</t>
  </si>
  <si>
    <t>paul@alloy.capital</t>
  </si>
  <si>
    <t>Alloy is a Gateway to the entire DeFi ecosystem. We are building one centralized frontend for all existing protocol-layer DeFi infrastructure. That means combining onramp, custody down to on-chain smart contract-level automation in one product- in regulated and compliant.</t>
  </si>
  <si>
    <t>Need more proof points; seems very theoretical at this stage</t>
  </si>
  <si>
    <t>+ 1. could be one of the firsts in the market - 1. team could be stronger 2. not much justification at this stage</t>
  </si>
  <si>
    <t>Frankfurter Allee 12-15, Berlin Germany</t>
  </si>
  <si>
    <t>Alloy Software GmbH</t>
  </si>
  <si>
    <t>Axyz (Bundled, Inc.) _2022</t>
  </si>
  <si>
    <t>Daniel Corsaro</t>
  </si>
  <si>
    <t>dan@getaxyz.com</t>
  </si>
  <si>
    <t>Axyz is a platform that connects NFTs holders and brands based on common interests in order to provide NFT holders tangible value and enable brands to more deeply personalize their online experiences.</t>
  </si>
  <si>
    <t>Too early for EFL and also not a fit for EFL. Significant business development needs to happen to acquire brands.</t>
  </si>
  <si>
    <t>An early-stage company that needs proof of concept and validation.</t>
  </si>
  <si>
    <t>San Clemente, California United States</t>
  </si>
  <si>
    <t>Axyz (Bundled, Inc.)</t>
  </si>
  <si>
    <t>Believyn _2022</t>
  </si>
  <si>
    <t>David Sion Raccah</t>
  </si>
  <si>
    <t>raccah.davidsion@gmail.com</t>
  </si>
  <si>
    <t>We allow Followers to believe and invest in their favorite Creator's Talent.</t>
  </si>
  <si>
    <t>This seems like a fad to me best case</t>
  </si>
  <si>
    <t>Not a fit for EFL. Also not a sustainable business model. ; Solid idea, but social media (content creation) is an incredibly challenging space. Plan for growth is to "get noticed" with a popular content creator.</t>
  </si>
  <si>
    <t>We've been accepted by MAMRAM SPACE, a 3 month accelerator program in Tel aviv powered by the Israeli intelligence.</t>
  </si>
  <si>
    <t>Gordon 39, Tel Aviv Israel</t>
  </si>
  <si>
    <t>Believyn</t>
  </si>
  <si>
    <t>Bloom Impact Investing _2022</t>
  </si>
  <si>
    <t>Camille Socquet-Clerc</t>
  </si>
  <si>
    <t>camille@bloom-impact.com</t>
  </si>
  <si>
    <t>Bloom is an investing app and platform with a climate impact mission - we exist to help people invest in climate solutions. We have created a fund and investment methodology allowing individuals to invest in scienced-based climate solutions in minutes.</t>
  </si>
  <si>
    <t>Seems to be focused on the Australian market, which is not a fit for EFL The solution is also not differentiated enough from other cleantech investment opportunties.</t>
  </si>
  <si>
    <t>Not enough technical moat compared to competing solutions in the market place. Did not share how their scientific method would lead to better return on investment.</t>
  </si>
  <si>
    <t>23 Halford Street, Brisbane 4006 Australia, Queensland Australia</t>
  </si>
  <si>
    <t>Bloom Impact Investing</t>
  </si>
  <si>
    <t>bringy _2022</t>
  </si>
  <si>
    <t>Ahmed Ossama</t>
  </si>
  <si>
    <t>aossama@bringy.com</t>
  </si>
  <si>
    <t>bringy helps customers get and claim insurance in minutes, using just using their smart phones. bringy is the first and only company providing digital end-to-end insurance services in Egypt.</t>
  </si>
  <si>
    <t>Chatbot for insurance claims focused on Egypt; tech in general does not seem innovative to what's currently in market</t>
  </si>
  <si>
    <t>While this startup may not have a defensible product strategy, being first to market could give them some traction (if only for a short time).</t>
  </si>
  <si>
    <t>We graduated the accelerator program Sanabil 500 (batch 2), part of 500 Global for the Middle East region in December 2021.</t>
  </si>
  <si>
    <t>12 El-Nahda Street, Maadi El-Sarayat, Cairo Egypt</t>
  </si>
  <si>
    <t>bringy</t>
  </si>
  <si>
    <t>Clanq _2022</t>
  </si>
  <si>
    <t>Benedict von Hoffmann</t>
  </si>
  <si>
    <t>benedict@clanq.de</t>
  </si>
  <si>
    <t>Clanq is a mobile financial home that empowers parents to save and grow 30% more money for their children.</t>
  </si>
  <si>
    <t>Mobile banking in itself is not innovative or technical enough for EFL.</t>
  </si>
  <si>
    <t>Certainly a worthwhile cause, but tech (mobile banking) is not novel enough for EFL.</t>
  </si>
  <si>
    <t>Yes. Newchip Accelerator</t>
  </si>
  <si>
    <t>Clanq</t>
  </si>
  <si>
    <t>Cochair Corp. _2022</t>
  </si>
  <si>
    <t>Quinn Wang</t>
  </si>
  <si>
    <t>pw2207@stern.nyu.edu</t>
  </si>
  <si>
    <t>Cochair is building a sports community, a data analysis platform, and an incentive system, to connect people through various of sports activities and provide users with matching algorithms and freelancing assistance.</t>
  </si>
  <si>
    <t>+ 1. interesting idea, problem to be solved might be a real one. - 1. specific implementations are not clearly mapped out</t>
  </si>
  <si>
    <t>I was admitted in the Stern Venture Fellow program this summer. The program is supportive, and it is also lightweight, lasting only through the summer. I am grateful for the coaching sessions I had in the program. The program anchers me into building the prototype, which is done by now.</t>
  </si>
  <si>
    <t>Keith Sweetman, a fellow MBA student who is attending the EFL courses next semester</t>
  </si>
  <si>
    <t>Cochair Corp.</t>
  </si>
  <si>
    <t>Cromatic _2022</t>
  </si>
  <si>
    <t>Sun Woo Lee</t>
  </si>
  <si>
    <t>sunwoo@cro-matic.com</t>
  </si>
  <si>
    <t>Cromatic is building software to help biotech and pharmaceutical companies find and manage outsourcing partners (CRO, CDMOs, etc).</t>
  </si>
  <si>
    <t>Tech doesn't seem significant (matchmaking between scientists and contract research organizations); the need seems to be real; team seems young but capable</t>
  </si>
  <si>
    <t>- 1. not a tech play</t>
  </si>
  <si>
    <t>Ryan Dittamore, Khoa Ma</t>
  </si>
  <si>
    <t>Cromatic</t>
  </si>
  <si>
    <t>CShell Health _2022</t>
  </si>
  <si>
    <t>Jean-Ezra Yeung</t>
  </si>
  <si>
    <t>jeanezra@gmail.com</t>
  </si>
  <si>
    <t>CShell Health curates health information using AI and domain expertise to resolve health questions for behavioral health professionals, providing them with higher profit margins and lower emotional burden.</t>
  </si>
  <si>
    <t>It's not clear to me what exactly they are delivering (group therapy and/or data analysis on patients?); the market is small and the concept is early; I appreciate that they are trying to solve a problem with mental health and would encourage them to apply once it's further developed</t>
  </si>
  <si>
    <t>startup is early in ideation stage, would like to see some traction and tech development</t>
  </si>
  <si>
    <t>Hustle Fund VC Camp Everest, Columbia Startup Lab</t>
  </si>
  <si>
    <t>175 Varick Street, New York United States</t>
  </si>
  <si>
    <t>CShell Health</t>
  </si>
  <si>
    <t>Dealbook, Inc. _2022</t>
  </si>
  <si>
    <t>Michael McCarthy</t>
  </si>
  <si>
    <t>michael@repositax.com</t>
  </si>
  <si>
    <t>Business owners of privately-held companies globally are not prepared to transact, or substantiate their holding values. Dealbook is a SaaS ?single system of record? for the data of these companies from inception, through operations, to an exit, including training in each of the three modules (Repositax, Reposidocs and Dealbook).</t>
  </si>
  <si>
    <t>- Extremely vague product-market fit - Application does not provide enough clear information</t>
  </si>
  <si>
    <t>The current validation is a prototype. More validation is needed</t>
  </si>
  <si>
    <t>Yes, UChicago</t>
  </si>
  <si>
    <t>Dealbook, Inc.</t>
  </si>
  <si>
    <t>Dresma Inc. _2022</t>
  </si>
  <si>
    <t>Siddharth Sinha</t>
  </si>
  <si>
    <t>siddharth@dresma.com</t>
  </si>
  <si>
    <t>Dresma enables sellers to create professional quality imagery using their mobile phones to sell on marketplaces, storefronts and promote themselves on social media</t>
  </si>
  <si>
    <t>Tech is not significant; traction ($1M ARR) and fundraising ($3M Seed) are good; would want to understand how fast they are growing; given lack of tech, I would lean pass</t>
  </si>
  <si>
    <t>Dresma Inc.</t>
  </si>
  <si>
    <t>Fig Finance _2022</t>
  </si>
  <si>
    <t>Guanzhi Ma</t>
  </si>
  <si>
    <t>gm@fig.finance</t>
  </si>
  <si>
    <t>Fig Finance is a financial structured product exchange for decentralized finance to help make assets in decentralized finance more accessible for every investor.</t>
  </si>
  <si>
    <t>Should reapply next year, and prove how it is has implemented its technology and differentiated itself from competitors.</t>
  </si>
  <si>
    <t>An early-stage company that needs more validation</t>
  </si>
  <si>
    <t>Previously: - Serum Foundation accelerator Currently: - Alberta Innovates Catalyzer accelerator program</t>
  </si>
  <si>
    <t>Vancouver, BC Canada</t>
  </si>
  <si>
    <t>Fig Finance</t>
  </si>
  <si>
    <t>Gembridge Pte Ltd _2022</t>
  </si>
  <si>
    <t>Nick Marrett</t>
  </si>
  <si>
    <t>nick@gembridge.com</t>
  </si>
  <si>
    <t>Gembridge is a global online marketplace to buy and sell coloured gemstones and jewellery.</t>
  </si>
  <si>
    <t>Not a fit for EFL.</t>
  </si>
  <si>
    <t>The company is a e-commerce platform with a focus on gemstone. Not enough evidence for technical innovation</t>
  </si>
  <si>
    <t>150 Cecil Street #03-02, Singapore 069543 Singapore</t>
  </si>
  <si>
    <t>Gembridge Pte Ltd</t>
  </si>
  <si>
    <t>GigOut _2022</t>
  </si>
  <si>
    <t>Nora Moore</t>
  </si>
  <si>
    <t>nora@GigOutNow.com</t>
  </si>
  <si>
    <t>GigOut infuses popular social media features with the traditional job process to update the job process for the next generation of creative talent. Job candidates create a visual resume to showcase their skill set visually which helps to decrease resume bias and helps candidates feel valued during the job process.</t>
  </si>
  <si>
    <t>Not enough tech differentiation; market likely small and costly to acquire and sustain customers; founder seemed eager to prevail</t>
  </si>
  <si>
    <t>The product definitely addresses a need in the job search process of creative talent. However, this is a team with a solo founder, and it is unclear how her app will stand out among the competition. There is also no clear go-to-market strategy. This could be an applicant we contact next year in case she has gained more traction with her beachhead customers.</t>
  </si>
  <si>
    <t>Lenny Saizan</t>
  </si>
  <si>
    <t>Burbank, CA United States</t>
  </si>
  <si>
    <t>GigOut</t>
  </si>
  <si>
    <t>Healthtracka _2022</t>
  </si>
  <si>
    <t>Ifeoluwa Dare-Johnson</t>
  </si>
  <si>
    <t>ifeoluwa@healthtracka.com</t>
  </si>
  <si>
    <t>Healthtracka is a digital health startup making medical diagnostics accessible, affordable and convenient for Africans with at-home lab testing and digital results.</t>
  </si>
  <si>
    <t>- EFL Mentors might not be able to help.</t>
  </si>
  <si>
    <t>Excellent cause, but concerns about scalability with restrictive governments--might not be a good fit for EFL.</t>
  </si>
  <si>
    <t>Plot 6C Providence Street Lekki Phase 1 Lekki, Lagos Nigeria</t>
  </si>
  <si>
    <t>Healthtracka</t>
  </si>
  <si>
    <t>Intended Future _2022</t>
  </si>
  <si>
    <t>Kostas Stylidis</t>
  </si>
  <si>
    <t>kostas@intendedfuture.se</t>
  </si>
  <si>
    <t>Intended Future reinvented traditional car clinics. We identify deviations from the design intent and evaluate their impact on perceived quality. We deliver information about how a future car will be perceived by the people. Our service precisely tells car companies where development time can be saved and costs minimized. Or not. With numbers.</t>
  </si>
  <si>
    <t>Market size ($45M) is too small</t>
  </si>
  <si>
    <t>Not a traditional EFL company Tech is only validated in research studies</t>
  </si>
  <si>
    <t>Chalmers Ventures</t>
  </si>
  <si>
    <t>VERA SANDBERGS ALLÉ 8, 411 33 Göteborg, Västra Götaland Sweden</t>
  </si>
  <si>
    <t>Intended Future</t>
  </si>
  <si>
    <t>Lagoon _2022</t>
  </si>
  <si>
    <t>Josh Offit</t>
  </si>
  <si>
    <t>josh.offit@data-lagoon.com</t>
  </si>
  <si>
    <t>Lagoon is a platform which automates the collection, processing, and visualization of private market company financial data for institutional investors in the private market sector, enabling faster and more efficient target prospecting and due-dillegence of potential investments.</t>
  </si>
  <si>
    <t>Too early for the EFL. Startup is in the starting phase of building and testing our algorithm. MVP not ready. There are lots of competitor. The application fails to discuss how it is going to build moat. Can invite for next year.</t>
  </si>
  <si>
    <t>Solid long term vision, but seems to be very little information about tech (esp validation). Feels premature for EFL.</t>
  </si>
  <si>
    <t>Techstars, Accenture Fintech APAC, Creative Destruction Lab</t>
  </si>
  <si>
    <t>Lagoon</t>
  </si>
  <si>
    <t>MissPoppins, Inc _2022</t>
  </si>
  <si>
    <t>Nicky Rishi</t>
  </si>
  <si>
    <t>nicky@marypoppins.io</t>
  </si>
  <si>
    <t>MissPoppins is an app-based modern digital village for new parents. We offer asynchronous, real-time access to all childcare specialists, customizable content dashboard based on your parenting phase and needs, &amp; a chat-based mentorship platform.</t>
  </si>
  <si>
    <t>Having issues with funding Need to get customers and show need for the product early</t>
  </si>
  <si>
    <t>Seed funding is difficult given current stage of company. Needs more validation.</t>
  </si>
  <si>
    <t>Varun Badhwar - serial cloud security entrepreneur and our Board Advisor</t>
  </si>
  <si>
    <t>palo alto, ca United States</t>
  </si>
  <si>
    <t>MissPoppins, Inc</t>
  </si>
  <si>
    <t>Mumerz for Ecommerce _2022</t>
  </si>
  <si>
    <t>AMIR SHENOUDA</t>
  </si>
  <si>
    <t>amir@mumerz.com</t>
  </si>
  <si>
    <t>MUMERZ.COM is a Middle Eastern regional Fem-Tech platform that provides better quality of life for mothers, starting pregnancy and beyond, covering all ages and stages</t>
  </si>
  <si>
    <t>e-commerce platform for mother and baby product focused on Egypt and the surrounding area - no tech innovation; geographic focus also likely not a fit for EFL</t>
  </si>
  <si>
    <t>The company is currently aiming at middle east region. Not a perfect fit for EFL</t>
  </si>
  <si>
    <t>Cairo Business Plaza office 401, Cairo Egypt</t>
  </si>
  <si>
    <t>Mumerz for Ecommerce</t>
  </si>
  <si>
    <t>Nebula Accounting _2022</t>
  </si>
  <si>
    <t>Hiep Do</t>
  </si>
  <si>
    <t>hiep.do@nebulaaccounting.co.uk</t>
  </si>
  <si>
    <t>Nebula Accounting provides micro-businesses and self-employed with an end-to-end financial management solution by leveraging machine/deep learning, AI OCR and robotic process automation.</t>
  </si>
  <si>
    <t>While the number of potential customers is large, I think this solution will be difficult to scale; stage is MVP and seems to early for EFL</t>
  </si>
  <si>
    <t>+ 1. good idea that seems to address a real problem 2. founder has experience in related field - 1. tech side isn't so deep</t>
  </si>
  <si>
    <t>Yes, we have been with NewChip venture previously.</t>
  </si>
  <si>
    <t>London, Leytonstone United Kingdom</t>
  </si>
  <si>
    <t>Nebula Accounting</t>
  </si>
  <si>
    <t>Nume _2022</t>
  </si>
  <si>
    <t>Ingrid Briggiler</t>
  </si>
  <si>
    <t>ingrid@nuevometodo.com</t>
  </si>
  <si>
    <t>We offer a monthly subscription to patients who obtain: delivery of contraceptives, unlimited online medical advice and data about their cycles.</t>
  </si>
  <si>
    <t>Information in application is thin; they seem to offer telemedicine specifically focused on women's cycles</t>
  </si>
  <si>
    <t>- There are alternatives and competitors in the marketplace. - Application does not talk about any business or technology moat.</t>
  </si>
  <si>
    <t>500 StartUps YLAI WeXchange Enovadoras</t>
  </si>
  <si>
    <t>Solon 210, CDMX Mexico</t>
  </si>
  <si>
    <t>Nume</t>
  </si>
  <si>
    <t>Passage Health Inc. _2022</t>
  </si>
  <si>
    <t>Bill White</t>
  </si>
  <si>
    <t>bill@passagehealth.com</t>
  </si>
  <si>
    <t>Passage Health provides modern software solutions for Applied Behavioral Analysis (ABA) providers. ABA is primarily used to treat patients with Autism Spectrum Disorder (ASD). Passage?s solution includes clinical and practice management software that provides a radically simpler and intuitive experience for clinicians and patients.</t>
  </si>
  <si>
    <t>Tech not built--concept stage. Challenges cite difficulty building simple, intuitive software. Too early, if EFL material at all (tech doesn't seem too novel).</t>
  </si>
  <si>
    <t>Not a good fit</t>
  </si>
  <si>
    <t>Yes, we are currently apart of Fractal Software (venture capital studio).</t>
  </si>
  <si>
    <t>Daniel White</t>
  </si>
  <si>
    <t>Passage Health Inc.</t>
  </si>
  <si>
    <t>Podi.ai _2022</t>
  </si>
  <si>
    <t>Bar Shmerling</t>
  </si>
  <si>
    <t>bar@podi.ai</t>
  </si>
  <si>
    <t>While the biggest challenge in audio content is discovery, Podi.ai is the 1st promotional platform using AI to connect audiences with audio content at scale. We use contextual targeting to make it easy for creators to reach their audience with minimal efforts while the listeners will enjoy discovery experience on the go.</t>
  </si>
  <si>
    <t>- Not clear how startup will compete with current established players in the market. - Limited information on scale of the customer discovery work, and have not tested out solution with customers on their U.S. list. - Too early for EFL.</t>
  </si>
  <si>
    <t>(from unknown reviewer) - Go to market is too early. Not enough validation work done. - Heavy competition from AI teams of current large podcast providers. - Too early for EFL.</t>
  </si>
  <si>
    <t>AWS LOFT Accelerator program</t>
  </si>
  <si>
    <t>Tel-Aviv university alumni</t>
  </si>
  <si>
    <t>13th Brandeis st , Tel-Aviv Israel</t>
  </si>
  <si>
    <t>Podi.ai</t>
  </si>
  <si>
    <t>PraxiLabs _2022</t>
  </si>
  <si>
    <t>Khadija Elbedweihy</t>
  </si>
  <si>
    <t>k.elbedweihy@praxilabs.com</t>
  </si>
  <si>
    <t>PraxiLabs provide virtual science labs to solve with the limitations of traditional labs including access, safety and cost. It provides the service for students through working with universities, schools and ministries of education to enable those who do have labs to begin with but also those who do have labs to improve their learning outcomes.</t>
  </si>
  <si>
    <t>Solid idea and demand could exist in locations where labs are hard to access for education. But right now interface looks rudimentary and not based on proprietary tech.</t>
  </si>
  <si>
    <t>Great mission, but no tech moat. Interactivity is a plus, but can't fully replace "hands on" experience of laboratory. Doesn't feel like very novel tech, thus not a fit for EFL.</t>
  </si>
  <si>
    <t>Previously, we joined Katapult Accelerator in Norway and ChangeLabs in Egypt</t>
  </si>
  <si>
    <t>25 Dr El Sobky St, Dokki , Giza Egypt</t>
  </si>
  <si>
    <t>PraxiLabs</t>
  </si>
  <si>
    <t>Primary Assembly _2022</t>
  </si>
  <si>
    <t>Jason Snell</t>
  </si>
  <si>
    <t>jason@primary-assembly.com</t>
  </si>
  <si>
    <t>Primary Assembly is a software system that converts electrical activity of the brain into music in real-time. This creates powerful biofeedback loops that enable us to explore consciousness, something that has been largely invisible to us but shapes our everyday existence. By rendering consciousness into sound, it?s like turning on a flashlight</t>
  </si>
  <si>
    <t>Very interesting concept but very early. Not really solving a problem for anyone; it's just interesting to learn about.</t>
  </si>
  <si>
    <t>Early stage company with novel brain into music technology. A lot potential. Needs more validation and market identification.</t>
  </si>
  <si>
    <t>Primary Assembly</t>
  </si>
  <si>
    <t>Sendit.Money Ltd _2022</t>
  </si>
  <si>
    <t>Michael Lawal</t>
  </si>
  <si>
    <t>michael.lawal@sendit.money</t>
  </si>
  <si>
    <t>1.7 Billion people globally are unbanked and 1.1 Billion live in Africa. Sendit.Money is building a cost-effective mobile wallet providing an intuitive, secure and inexpensive way for the unbanked in the UK and Sub-Sahara Africa to send, receive and save money Having created a prototype for African markets. We are now raising to bring this p</t>
  </si>
  <si>
    <t>Not differentiated enough in its product offerings and technology in comparison to current competitors. Under lots of uncertainty regulatory and legal compliance wise.</t>
  </si>
  <si>
    <t>Not enough validation evidence. The market is mainly in UK and African, not sure how EFL would help with marketing</t>
  </si>
  <si>
    <t>Founders Institute Oxford University Liber Project</t>
  </si>
  <si>
    <t>Sendit.Money Ltd</t>
  </si>
  <si>
    <t>SiliconScapes _2022</t>
  </si>
  <si>
    <t>Kevin Irick</t>
  </si>
  <si>
    <t>kirick@siliconscapes.net</t>
  </si>
  <si>
    <t>SiliconScapes develops computer vision hardware and software that enables a new class of wearable visual prosthesis devices that will improve the mobility and quality-of-life of visually impaired persons.</t>
  </si>
  <si>
    <t>Tech innovation seems good but space is competitive generally; they are focusing on visually impaired individuals; doing consulting work for AR firm with good annual revenue; very raw and needs lots of help; likely a better applicant in 1-2 years</t>
  </si>
  <si>
    <t>The concept of technology is strong and highly applicable and with them being one of the only companies concentrating on this works to their advantage. Though the firm is currently a consulting firm providing their experience to an AR firm, which is where they are getting their revenue from. But their aim is to create their own hardware and software which is a capital intensive process. They have not raised money (using their current revenues I guess), neither are they looking to raise money which was surprising. They also don't have patents in place either which needs to be worked on.</t>
  </si>
  <si>
    <t>Change to DT; good concept and good team, but very early stage; revenue from a consulting company (interesting way to start);</t>
  </si>
  <si>
    <t>19 Colonnade Way Ste 117, #218, State College, Pennsylvania United States</t>
  </si>
  <si>
    <t>SiliconScapes</t>
  </si>
  <si>
    <t>Sumitt _2022</t>
  </si>
  <si>
    <t>Fatima Manzoor</t>
  </si>
  <si>
    <t>manzoorf79@gmail.com</t>
  </si>
  <si>
    <t>Sumitt is an AI-powered summarization tool that helps people reduce their reading time, increase their comprehension and maximize productivity.</t>
  </si>
  <si>
    <t>Crowded space. Too early with little validation. Ask to apply next year.</t>
  </si>
  <si>
    <t>Maclaren St, Ottawa, ON Canada</t>
  </si>
  <si>
    <t>Sumitt</t>
  </si>
  <si>
    <t>SuperFi Finance Ltd _2022</t>
  </si>
  <si>
    <t>Tom Barltrop</t>
  </si>
  <si>
    <t>tom@joinsuperfi.com</t>
  </si>
  <si>
    <t>SuperFi leverages open banking, proprietary algorithms and data to help people struggling with their debts select the most effective path to debt freedom.</t>
  </si>
  <si>
    <t>Feels early for EFL (still largely concept), no tech validation or patent.</t>
  </si>
  <si>
    <t>Not a significant tech play, and the area is highly competitive.</t>
  </si>
  <si>
    <t>Yes, we were part of Antler's (a global VC) accelerator program. This was where the co-founders met and eventually came up with the idea for SuperFi. They were handpicked from several thousand applicants and were just one of five teams to receive funding.</t>
  </si>
  <si>
    <t>SuperFi Finance Ltd</t>
  </si>
  <si>
    <t>TEXpert AI Ltd _2022</t>
  </si>
  <si>
    <t>Drishdey Caullychurn</t>
  </si>
  <si>
    <t>drishdey.caullychurn@texpertai.co.uk</t>
  </si>
  <si>
    <t>TEXpert AI is a B2B SaaS that enables corporates to implement data-driven diversity strategies by providing a unified diversity data platform that gathers data from systems and employees to assess their diversity status, implement diversity in recruitment and monitor their KPIs in real time through our interactive analytics and AI-screening tool.</t>
  </si>
  <si>
    <t>- Not large enough of a technical moat. - Not enough traction and customer discovery work done.</t>
  </si>
  <si>
    <t>+ B2B SaaS that enables corporates to implement data-driven diversity strategies &gt; I think few companies are using certain techniques in this field of maintaining diversity ratio already and won't be that huge market share to capture &gt;AI solution is a screening tool, that leverages NLP techniques to rank &amp; score applicants with respect to three key criteria: Skills, Experience &amp; Diversity. - Need to acquire more custmers</t>
  </si>
  <si>
    <t>We have been affiliated with the Imperial College Enterprise Lab &amp; Bethnal Green Ventures Accelerator</t>
  </si>
  <si>
    <t>71-75 Shelton Street, London, Greater London, WC2H 9JQ, London United Kingdom</t>
  </si>
  <si>
    <t>TEXpert AI Ltd</t>
  </si>
  <si>
    <t>The JaraNetwork _2022</t>
  </si>
  <si>
    <t>Abiola Shogbeni</t>
  </si>
  <si>
    <t>a.shogbeni@canza.io</t>
  </si>
  <si>
    <t>The JaraNetwork provides access to financial services built on the blockchain to customers operating in the largest economies in Africa. JaraNetwork bridges the gap between centralised and decentralised finance by giving Africans access to blockchain-enabled financial services.</t>
  </si>
  <si>
    <t>Provides blockchain financial services to Africans; no information on innovation or competitive advantage; seems like a good target market but difficult to assess the sustainability of the business on the information given</t>
  </si>
  <si>
    <t>&gt; Financial services built on the blockchain to customers - Not much information on Tech and need to provide more details in the application</t>
  </si>
  <si>
    <t>Other: Token Round</t>
  </si>
  <si>
    <t>3.9 Million</t>
  </si>
  <si>
    <t>537 BENTLEY PL TUCKER, GA 30084 - 2182, Delaware United States</t>
  </si>
  <si>
    <t>The JaraNetwork</t>
  </si>
  <si>
    <t>the klubb _2022</t>
  </si>
  <si>
    <t>Keri Ogden</t>
  </si>
  <si>
    <t>kerikogden@gmail.com</t>
  </si>
  <si>
    <t>The klubb is a social fitness app that helps people engage seamlessly in outdoor activities with their friends.</t>
  </si>
  <si>
    <t>no tech</t>
  </si>
  <si>
    <t>Not enough scientific innovation.</t>
  </si>
  <si>
    <t>535 W. 23rd St. Apt S08H, New York United States</t>
  </si>
  <si>
    <t>the klubb</t>
  </si>
  <si>
    <t>The Results-Oriented Work School, LLC _2022</t>
  </si>
  <si>
    <t>Neil Thawani</t>
  </si>
  <si>
    <t>neilthawani@gmail.com</t>
  </si>
  <si>
    <t>The Results-Oriented Work School (ROW School) is an educational technology research and development firm that works with teachers and school districts to improve students' learning outcomes in STEAM+computing courses. It is also an out-of-school STEAM+computing enrichment program for K-12 students in Centennial, Colorado.</t>
  </si>
  <si>
    <t>Not a fit with EFL.</t>
  </si>
  <si>
    <t>One founder, part time, hasn't built product. Not a fit for EFL.</t>
  </si>
  <si>
    <t>John Stamper</t>
  </si>
  <si>
    <t>The Results-Oriented Work School, LLC</t>
  </si>
  <si>
    <t>ThinkPods Education Services Pvt Ltd _2022</t>
  </si>
  <si>
    <t>Madhavi Jadhav</t>
  </si>
  <si>
    <t>madhavi@thatmate.com</t>
  </si>
  <si>
    <t>Emotional Wellness app and community for teenagers in India. Our app provides a safe space for teens to learn, manage and discuss pertinent issues such as exam jitters, social anxiety, rejection, social media addiction, and so on. It also provides personalized engaging content, self-help activities, counseling, and a community.</t>
  </si>
  <si>
    <t>Not enough tech innovation for EFL</t>
  </si>
  <si>
    <t>The company was originated in India and is looking to enter the US market. The launch in India has attracted some end-users. Not sure their advantage in the US market</t>
  </si>
  <si>
    <t>1. Banasthali foundation 2. Nudge foundation</t>
  </si>
  <si>
    <t>Satara, Maharashtra India</t>
  </si>
  <si>
    <t>ThinkPods Education Services Pvt Ltd</t>
  </si>
  <si>
    <t>VioScore . My Life Kit _2022</t>
  </si>
  <si>
    <t>Romano Toscano</t>
  </si>
  <si>
    <t>romano@mylifekit.io</t>
  </si>
  <si>
    <t>We VioScore believe that a traditional credit score is only part of a person's story. Our mission is to set a new standard in the way financial services organisations interact with their customers in a purposeful, innovative and personalised way; every day and for life?.?</t>
  </si>
  <si>
    <t>The product needs more validation</t>
  </si>
  <si>
    <t>Not yet</t>
  </si>
  <si>
    <t>22 Bischopsgate, EC2N 4BQ United Kingdom</t>
  </si>
  <si>
    <t>VioScore . My Life Kit</t>
  </si>
  <si>
    <t>YRIKKA _2022</t>
  </si>
  <si>
    <t>Kia Khezeli</t>
  </si>
  <si>
    <t>kia@yrikka.com</t>
  </si>
  <si>
    <t>We accelerate the adoption of Responsible and Trustworthy Artificial Intelligence (AI) in medicine by creating an infrastructure for the buying, selling, and scoring AI. Our platform consists of a marketplace powered by a scoring engine, which enables users to search, evaluate, and compare models via AI Readiness Scores.</t>
  </si>
  <si>
    <t>Facing a very steep climb with legal/regulatory issues in the healthcare field. Feels early for EFL.</t>
  </si>
  <si>
    <t>CUNY Public Health Innovation Accelerator 2022</t>
  </si>
  <si>
    <t>YRIKKA</t>
  </si>
  <si>
    <t>Abacube AB _2022</t>
  </si>
  <si>
    <t>Ludvig Edlund</t>
  </si>
  <si>
    <t>Ludvig@abacube.se</t>
  </si>
  <si>
    <t>Abacube is automating the way insurance companies are calculating compensations for bodily injuries based on tort law. Today, this is a long process where claims adjusters can spend several hours per case with just the calculations. With Abacube, the companies will save up to 80% of this time.</t>
  </si>
  <si>
    <t>Focus is on calculating insurance claims in Europe, which is not a great fit for EFL</t>
  </si>
  <si>
    <t>Yes, Uppsala Innovation Center.</t>
  </si>
  <si>
    <t>Stockholm, Stockholm Sweden</t>
  </si>
  <si>
    <t>Abacube AB</t>
  </si>
  <si>
    <t>Above &amp; Beyond Studios, Inc. _2022</t>
  </si>
  <si>
    <t>Aman Stuppard</t>
  </si>
  <si>
    <t>astuppard@freedomrains.com</t>
  </si>
  <si>
    <t>Above &amp; Beyond Studios created the platform called Freedom that connects shoppers to local businesses through deals, coupons and influencers.</t>
  </si>
  <si>
    <t>Digital marketplace. No credible tech or validaiton.</t>
  </si>
  <si>
    <t>Doesn't feel novel enough tech to be an EFL fit. Feels like an already competitive space.</t>
  </si>
  <si>
    <t>20 Glade Ave, Massachusetts United States</t>
  </si>
  <si>
    <t>Above &amp; Beyond Studios, Inc.</t>
  </si>
  <si>
    <t>Acciopay Pte. Ltd. _2022</t>
  </si>
  <si>
    <t>Andy Low</t>
  </si>
  <si>
    <t>andy.low@acciopay.sg</t>
  </si>
  <si>
    <t>Acciopay?s solution is to be a one-stop eCommerce with a secure and sophisticated pay later feature. The company?s vision is to provide a financially inclusive ecommerce platform for young adults in Singapore and the rest of Asia through a progressive web app with minimal risk of delinquency.</t>
  </si>
  <si>
    <t>Risk assessment with thin data is key. Too little validation or customer acquisition at this point for us to consider.</t>
  </si>
  <si>
    <t>Feels early/premature for EFL, ask to apply again next year?</t>
  </si>
  <si>
    <t>Acciopay Pte. Ltd.</t>
  </si>
  <si>
    <t>AdHear Health _2022</t>
  </si>
  <si>
    <t>Arjun Singh</t>
  </si>
  <si>
    <t>as16305@stern.nyu.edu</t>
  </si>
  <si>
    <t>AdHear Health integrates tele-monitoring and optimized surveys for AI adherence suggestions and PCP interventions to solve the issue of medication non-adherence for chronic disease patients, providing them with tailored care and better prognosis outcomes.</t>
  </si>
  <si>
    <t>Not a fit for EFL. Product market fit is unclear. If patients are already not capable of following medication schedules, then how can they be expected to fill out the survey?</t>
  </si>
  <si>
    <t>An early stage company that needs a better proof of concept</t>
  </si>
  <si>
    <t>Last summer, we participated in the Jewish Healthcare Foundation?s Young Innovators Fellowship which gave us knowledge about the health-tech space.</t>
  </si>
  <si>
    <t>Columbia, Maryland United States</t>
  </si>
  <si>
    <t>AdHear Health</t>
  </si>
  <si>
    <t>ADRESS AS _2022</t>
  </si>
  <si>
    <t>Nedim Mavric</t>
  </si>
  <si>
    <t>nedim@myadress.no</t>
  </si>
  <si>
    <t>Adress is on a mission to help people become homeowners with a tech driven co-ownership platform, offering home equity investments.</t>
  </si>
  <si>
    <t>The key to starting this business is obtaining capital to make the investments in the homes; my sense is that this will be a very big challenge; they mention it's still essentially at the concept stage so would pass</t>
  </si>
  <si>
    <t>An early-stage company that still needs production/deployment and validation to prove its advantage over competitors</t>
  </si>
  <si>
    <t>Yes, we were part of TheFactory Accelerator and VC before they invested in us. We were also part of +Impact Accelerator by Danske Bank.</t>
  </si>
  <si>
    <t>Oslo, Oslo Norway</t>
  </si>
  <si>
    <t>ADRESS AS</t>
  </si>
  <si>
    <t>Agrapp _2022</t>
  </si>
  <si>
    <t>David Duarte</t>
  </si>
  <si>
    <t>david@agrapp.co</t>
  </si>
  <si>
    <t>In Agrapp we are a fintech for the Agro sector, more than a fintech we are an end-to-end platform to support with technology the whole process of food production, from pre-sowing to the sale of the harvest, main business, access to financial services.</t>
  </si>
  <si>
    <t>Agtech / fintech company focused on LatAm; would like to better understand how much better their financial analysis is compared to other investors / creditors; overall focus not a great fit for EFL mentors</t>
  </si>
  <si>
    <t>This is a LATAM based platform which might not be a good fit for EFL</t>
  </si>
  <si>
    <t>1'000,000</t>
  </si>
  <si>
    <t>We have been in Rockstart LatAM accelerator program.</t>
  </si>
  <si>
    <t>Bogotá , Cundinamarca Colombia</t>
  </si>
  <si>
    <t>Agrapp</t>
  </si>
  <si>
    <t>AltCal _2022</t>
  </si>
  <si>
    <t>Raquel de Lavandeyra</t>
  </si>
  <si>
    <t>altcal@icloud.com</t>
  </si>
  <si>
    <t>AltCal is a lifestyle solution for the busy schedules of consumers. At the core the iOS mobile app is more flexible and robust than any other calendar on the market. It provides new market value by aggregating native app.</t>
  </si>
  <si>
    <t>calendar app. could take off but dont see a technical moat. no paid customers yet.</t>
  </si>
  <si>
    <t>No tech. No innovation. Derivative application. Not yet patented.</t>
  </si>
  <si>
    <t>Launch University- Cohort #2</t>
  </si>
  <si>
    <t>444 e 75th st 16D, New york United States</t>
  </si>
  <si>
    <t>AltCal</t>
  </si>
  <si>
    <t>ALTRA ERC LTD _2022</t>
  </si>
  <si>
    <t>Jack Walker</t>
  </si>
  <si>
    <t>J.Walker-35@sms.ed.ac.uk</t>
  </si>
  <si>
    <t>At Altra, we are saving teachers hours of time by creating digital learning materials for the topics' teachers use in the classroom. As we grow our bank of completely adaptable learning materials, we are looking to personalise education; offering automated insights and recommendations to assist students and teachers.</t>
  </si>
  <si>
    <t>Too little traction. Not a fit with EFL.</t>
  </si>
  <si>
    <t>An early stage company that needs more validation</t>
  </si>
  <si>
    <t>We have taken part in the Summer Accelerator at Edinburgh Innovations.</t>
  </si>
  <si>
    <t>EDINBURGH, Midlothian United Kingdom</t>
  </si>
  <si>
    <t>ALTRA ERC LTD</t>
  </si>
  <si>
    <t>Anant Financial Corp. _2022</t>
  </si>
  <si>
    <t>Abhinav Jain</t>
  </si>
  <si>
    <t>abhinav@anantfinancial.com</t>
  </si>
  <si>
    <t>RentPae serves the residential rental market by providing tenants a credit facility to pay deposits and rent in installments. We offer multiple products on the platform that focus on facilitating rental payments. Our product ranges from consumer credit offerings to the SaaS platform for landlords.</t>
  </si>
  <si>
    <t>Even though this startup addresses a known problem in delayed rental payment, this is not an area for EFL. There is also not any technical innovation or moat shown in the application. The founding team is all part-time.</t>
  </si>
  <si>
    <t>NewChip Accelerator</t>
  </si>
  <si>
    <t>Schaumburg, IL United States</t>
  </si>
  <si>
    <t>Anant Financial Corp.</t>
  </si>
  <si>
    <t>Areto Labs _2022</t>
  </si>
  <si>
    <t>Lana Cuthbertson</t>
  </si>
  <si>
    <t>lana@aretolabs.com</t>
  </si>
  <si>
    <t>Areto uses an NLP-powered software platform to protect public-facing team members on social media by detecting?and counteracting?online abuse, so companies and teams can retain sponsorship revenue, reduce risk and liability, keep talent and grow brand value.</t>
  </si>
  <si>
    <t>Solution to pain point still needs to be fleshed out.</t>
  </si>
  <si>
    <t>early-stage company needs more validation and in-depth insight into the addressable market</t>
  </si>
  <si>
    <t>We have completed the Creative Destruction Lab - Montreal AI Stream (graduated June 2022)</t>
  </si>
  <si>
    <t>Edmonton, Alberta Canada</t>
  </si>
  <si>
    <t>Areto Labs</t>
  </si>
  <si>
    <t>Assemble _2022</t>
  </si>
  <si>
    <t>Tessi Flood</t>
  </si>
  <si>
    <t>floodl02@nyu.edu</t>
  </si>
  <si>
    <t>no deep technical moat or validation</t>
  </si>
  <si>
    <t>0 funding. No tech. Not developed anything yet. Concept.</t>
  </si>
  <si>
    <t>Brooklyn, New York</t>
  </si>
  <si>
    <t>Assemble</t>
  </si>
  <si>
    <t>Assistive Descriptive Accessible Platforms products and Technologies Inc. (A.D.A.P.T.) _2022</t>
  </si>
  <si>
    <t>Athena Wilson</t>
  </si>
  <si>
    <t>adaptsvc365@gmail.com</t>
  </si>
  <si>
    <t>(A.D.A.P.T.) aims to provide a streaming service with audio descriptive narration content for the visually impaired community by offering audio-described memes, videos, cross-platform messaging feature along with day-to-day media usage and more within the app.</t>
  </si>
  <si>
    <t>too early for EFL. Invite to the Berkley Challenge.</t>
  </si>
  <si>
    <t>Concept phase, premature for EFL, and content narration tech doesn't seem that novel (in an increasingly crowded space). Feels more like an app than a disruptive EFL startup.</t>
  </si>
  <si>
    <t>Assistive Descriptive Accessible Platforms products and Technologies Inc. (A.D.A.P.T.)</t>
  </si>
  <si>
    <t>Auriga Interactive Studios LLC _2022</t>
  </si>
  <si>
    <t>Jonathon Lentine</t>
  </si>
  <si>
    <t>jonathon@aurigainteractive.com</t>
  </si>
  <si>
    <t>Auriga Interactive Studios is launching its first product, S.A.F.E. Driving Simulator (formerly Crash Course), a research backed and cost efficient driving simulator designed specifically for autistic drivers who need more time and practice to build the skills and confidence to drive behind the wheel.</t>
  </si>
  <si>
    <t>I really like what they are striving to accomplish; in a couple years, I would like to see them apply again with more traction</t>
  </si>
  <si>
    <t>+ 1. great idea for a great cause 2. nyu alum with relevant experience - 1. very early stage with not much concrete progress</t>
  </si>
  <si>
    <t>Formerly as Crash Course: Finalists at Entrepreneur Challenge 2022 Stern Venture Fellows 2022</t>
  </si>
  <si>
    <t>Putnam Valley, NY United States</t>
  </si>
  <si>
    <t>Auriga Interactive Studios LLC</t>
  </si>
  <si>
    <t>Autentica Industrial Platforms Ltd _2022</t>
  </si>
  <si>
    <t>Irma Gilbert</t>
  </si>
  <si>
    <t>irma@autenticaparts.com</t>
  </si>
  <si>
    <t>Autentica Industrial Platforms Ltd created a blockchain-powered, AI-based e-commerce platform to stream encrypted 3d printing licenses straight to 3d printers. The order-delivery process of 3D print services often has long lead times and is expensive. For manufacturers, the marketplace will eliminate the need for physical warehouses and logistics .</t>
  </si>
  <si>
    <t>Differentiation and market size not compelling.</t>
  </si>
  <si>
    <t>While the problem of secure licenses for automotive parts seems real, the solution offered is not inspiring. Competitors exist for this application. No unique solutions or IP are revealed.</t>
  </si>
  <si>
    <t>$2million</t>
  </si>
  <si>
    <t>Yes , Bind 4.0 Program in Basque Country</t>
  </si>
  <si>
    <t>Campus technology hub - Sci-Tech Daresbury, Daresbury United Kingdom</t>
  </si>
  <si>
    <t>Autentica Industrial Platforms Ltd</t>
  </si>
  <si>
    <t>Being Vakil _2022</t>
  </si>
  <si>
    <t>Shweta Thombare</t>
  </si>
  <si>
    <t>shweta@beingvakil.com</t>
  </si>
  <si>
    <t>Justice delayed is justice denied. Indian courts have more than 47.2 million pending cases and over 65% of judge positions are vacant. This challenge can be partially addressed by providing a meta platform for Arbitration, Virtual Legal Firm services, and skill development-focused education to aspiring lawyers and judges.</t>
  </si>
  <si>
    <t>A meta space for legal training and services (e.g., training students in a meta cyber law course); focus in on India market; company is very early with limited proof of concept</t>
  </si>
  <si>
    <t>Still in concept stage: premature for EFL in its current state.</t>
  </si>
  <si>
    <t>Cornell University &amp; Government of Maharashtra Accelerator Program - January 2022</t>
  </si>
  <si>
    <t>Kalyan, Maharashtra India</t>
  </si>
  <si>
    <t>Being Vakil</t>
  </si>
  <si>
    <t>Better World _2022</t>
  </si>
  <si>
    <t>Henry lihn</t>
  </si>
  <si>
    <t>henry@wearebetterworld.com</t>
  </si>
  <si>
    <t>Better World is an education platform first, podcast and omnichannel helping to move consumers from Net Bad to Net Good (good for people and planet) companies. Better World launched a B2B and D2C platform with proprietary vetting technology in order to achieve this goal.</t>
  </si>
  <si>
    <t>Interesting concept; very early; would need to see some traction/proof before moving foward</t>
  </si>
  <si>
    <t>Early stage company that needs more validation</t>
  </si>
  <si>
    <t>Faith Munoz</t>
  </si>
  <si>
    <t>Better World</t>
  </si>
  <si>
    <t>BleBluBla _2022</t>
  </si>
  <si>
    <t>Lloyd Fassett</t>
  </si>
  <si>
    <t>lloyd@bleblubla.com</t>
  </si>
  <si>
    <t>BleBluBla is a process to directly connect workers and employers. We replace job boards, agencies and referral networks.</t>
  </si>
  <si>
    <t>Too early, no deep tech moat.</t>
  </si>
  <si>
    <t>A good idea that needs some time to mature.</t>
  </si>
  <si>
    <t>Cornell Entrepreneur Network email.</t>
  </si>
  <si>
    <t>Bend, OR United States</t>
  </si>
  <si>
    <t>BleBluBla</t>
  </si>
  <si>
    <t>Bowr _2022</t>
  </si>
  <si>
    <t>Parikshit Guhabiswas</t>
  </si>
  <si>
    <t>rumi@bowr.co</t>
  </si>
  <si>
    <t>Bowr is building the next generation supply chain for the global furnishing industry that is sustainable and democratic enabling manufacturers sell directly to customers products that are sustainable and fully customizable.</t>
  </si>
  <si>
    <t>- Very strong traction. - Not a typical area for EFL. - Not innovative in its tech.</t>
  </si>
  <si>
    <t>Tech is not novel, but the made-to-order idea would disrupt furniture industry. Still not quite a fit for EFL.</t>
  </si>
  <si>
    <t>256,Chapman road STE-105-4, Newark,new castle 19702 delaware United States</t>
  </si>
  <si>
    <t>Bowr</t>
  </si>
  <si>
    <t>BuildIt _2022</t>
  </si>
  <si>
    <t>Daniel Lyalin</t>
  </si>
  <si>
    <t>del9493@nyu.edu</t>
  </si>
  <si>
    <t>BuildIt connects aspiring entrepreneurs with freelancer and professionals who can assist with various aspects of company and product development, making it simple for an amateur entrepreneur to discover and utilize top talent that is usually so elusive.</t>
  </si>
  <si>
    <t>Highly competitive market, more so than just the competitors listed in the app. No traction; point of differentiation may not be compelling enough to compete in this space</t>
  </si>
  <si>
    <t>- 1. not much research into the fundamental need 2. tech isn't novel 3. competitive field</t>
  </si>
  <si>
    <t>BuildIt</t>
  </si>
  <si>
    <t>Cara7 _2022</t>
  </si>
  <si>
    <t>Eric PILAT</t>
  </si>
  <si>
    <t>eric.pilat@cara7.com</t>
  </si>
  <si>
    <t>Cara7, the 1st Car Dealer &amp; Club of the Metaverse, sells a bundle offer combining a car, its digital twin and an NFT specially designed to address community driven Web3 members. Cara7's offer provides unique community, augmented and immersive digital experiences to car owners.</t>
  </si>
  <si>
    <t>Selling physical cars in the metaverse. No traction or proof of concept.</t>
  </si>
  <si>
    <t>- 1. 1. not sure there's a fundamental need for car selling on metaverse 2. not much info is given on specific tech 3. not sure where the edge is comparing to other NFT companies</t>
  </si>
  <si>
    <t>USD1,000,000</t>
  </si>
  <si>
    <t>Yes, we are at STATIONF, one of the biggest incubator in the world and we are at Ecole des PONTS Alumni incubator located in STATIONF. We also successfully join the Google Clou Startup Program and gat a grant of USD 100,000 for our developments on Google Cloud.</t>
  </si>
  <si>
    <t>2 bis, avenue de SEGUR 75007 PARIS, Île-de-France France</t>
  </si>
  <si>
    <t>Cara7</t>
  </si>
  <si>
    <t>CARDISYSTEMS _2022</t>
  </si>
  <si>
    <t>Erick Oduor</t>
  </si>
  <si>
    <t>erick@oduor.net</t>
  </si>
  <si>
    <t>CARDISYSTEMS is developing a software solution that provides real-time, single source of data for hypertension management in low resource settings. Clinicians and patients can use our software to monitor hypertension trends, and patients can be referred to cardiologists based on severity of their condition and proximity to clinics.</t>
  </si>
  <si>
    <t>- Zero customers and zero revenue. Shared no information on plan for customer discovery. - 1 part-time cardiologist on the team. - Really early technology. - Invite for interview next year.</t>
  </si>
  <si>
    <t>Interesting but very early idea, lacks viable business model</t>
  </si>
  <si>
    <t>Peace Osangir one of our co-founders</t>
  </si>
  <si>
    <t>CARDISYSTEMS</t>
  </si>
  <si>
    <t>Connecthedocks _2022</t>
  </si>
  <si>
    <t>Davis Helsby</t>
  </si>
  <si>
    <t>davis@connecthedocks.com</t>
  </si>
  <si>
    <t>Airbnb of Private Dock Rentals. We connect Private Boaters with Private Docks using Risk Management, Contracts, Insurance, and our Online Platform.</t>
  </si>
  <si>
    <t>Founder is PT. I've seen similar companies in the past in this space that did not succeed. Not sure this is much different.</t>
  </si>
  <si>
    <t>This is not a typical area that the EFL mentor startups in. It could become a profitable business, but the application does not showcase how it is technically advanced vs. competition.</t>
  </si>
  <si>
    <t>VentureScale Up Orlando</t>
  </si>
  <si>
    <t>Winter Park, FL United States</t>
  </si>
  <si>
    <t>Connecthedocks</t>
  </si>
  <si>
    <t>Cosmosii _2022</t>
  </si>
  <si>
    <t>Emma Kaye</t>
  </si>
  <si>
    <t>emma.kaye@cosmosii.com</t>
  </si>
  <si>
    <t>Cosmosii provides digital tools to enable costume creators to transform their creative passions into a fulfilling business.</t>
  </si>
  <si>
    <t>Platform for cosplay costume makers and customers. Not a fit for EFL.</t>
  </si>
  <si>
    <t>We are currently participating in MIT's Delta V accelerator program. We have also participated in multiple MIT programs and competitions including MIT's $100K competition (runner-up) and MIT's $15K Creative Arts Competition (winner).</t>
  </si>
  <si>
    <t>355 Harvard St, MA United States</t>
  </si>
  <si>
    <t>Cosmosii</t>
  </si>
  <si>
    <t>Crypto-Z _2022</t>
  </si>
  <si>
    <t>Hadrien Royo</t>
  </si>
  <si>
    <t>hadrien@tellittogether.com</t>
  </si>
  <si>
    <t>Blochain story-driven entertainment protocol and community that will change the way Intellectual Property is valued from conception to consumption.</t>
  </si>
  <si>
    <t>- Concept is not new nor is the technology. There are a number of competitors. - Execution of GTM is critical. Creation of IP is critical. Community building is critical. - Right now, GTM is very experimental and this is difficult for IP creation and community building. For example, startup is using a few free podcasts to get listeners to join the NFT community. Results have been mixed, and some listeners are infuriated, saying this is a "terrible bait-and-switch". https://podcasts.apple.com/us/podcast/crypto-z/id1503388186 - Can interview next year to see if there is improvement in GTM.</t>
  </si>
  <si>
    <t>2M</t>
  </si>
  <si>
    <t>Seed Club</t>
  </si>
  <si>
    <t>Paul Newman - Thomas Mangan</t>
  </si>
  <si>
    <t>Cape Coral, Florida United States</t>
  </si>
  <si>
    <t>Crypto-Z</t>
  </si>
  <si>
    <t>Dana Fintech Limited _2022</t>
  </si>
  <si>
    <t>Gazi Yar Mohammad</t>
  </si>
  <si>
    <t>gazi.yar@dana.money</t>
  </si>
  <si>
    <t>Dana Fintech does embedded for network platforms, to solve SME loans, Buy Now Pay Later and Credit Scoring of unbanked and underbanked customers, providing alternate credit scoring channel to lenders which eases the underwriting process and gives access to credit for end users.</t>
  </si>
  <si>
    <t>- Early timing in the country's fintech industry - Not a country where EFL has expertise.</t>
  </si>
  <si>
    <t>Feels early given circumstances of country, not great fit for EFL.</t>
  </si>
  <si>
    <t>We have been backed by Accelerating Asia, Singapore based Incubator.</t>
  </si>
  <si>
    <t>Flat 6B, H 10, R 1, Block B, Niketan Gulshan, Bangladesh, Dhaka Bangladesh</t>
  </si>
  <si>
    <t>Dana Fintech Limited</t>
  </si>
  <si>
    <t>Decentralized Data and Research (DDR) _2022</t>
  </si>
  <si>
    <t>Robert Liou</t>
  </si>
  <si>
    <t>robliou01@gmail.com</t>
  </si>
  <si>
    <t>Decentralized Data and Research (DDR) is a platform where consulting and research professionals and organizations can find each other and exchange high-quality, customized, legally-gathered information directly, skipping the middleman, that is, the expensive research and consulting firm.</t>
  </si>
  <si>
    <t>- Has traction, although information provided is not exactly clear on the numbers. - Not a technical play, but more of a platform development and build-out of research data market sales platform. - Can be a successful business, but at this stage not a fit for EFL.</t>
  </si>
  <si>
    <t>No technological innovation. Team of 1 with consulting experience. Not patentable.</t>
  </si>
  <si>
    <t>Yes-after being named a winner of the NEO Frontier Global Hackathon, I was enrolled as a participant in the NEO Ecoboost Program from August 2021- March 2022.||https://neo.org/eco</t>
  </si>
  <si>
    <t>Beijing/ San Francisco Beijing, China</t>
  </si>
  <si>
    <t>Decentralized Data and Research (DDR)</t>
  </si>
  <si>
    <t>DineUps _2022</t>
  </si>
  <si>
    <t>Sajna Veettil</t>
  </si>
  <si>
    <t>sv2352@stern.nyu.edu</t>
  </si>
  <si>
    <t>DineUps is a mobile application that enables diners to order home cooked food from local home-based chefs. In a nutshell, its the Door dash or UberEats for homemade food.</t>
  </si>
  <si>
    <t>It's very early days for this company and the founder. But EFL could help with connections and advice. It is always nice to support mission-driven ventures and perhaps this mission needs to be integrated more into the pitch.</t>
  </si>
  <si>
    <t>552 bittersweet terrace , bridgewater , New jersey United States</t>
  </si>
  <si>
    <t>DineUps</t>
  </si>
  <si>
    <t>Diversity Cyber Council _2022</t>
  </si>
  <si>
    <t>Odie Gray</t>
  </si>
  <si>
    <t>odie.gray@diversitycybercouncil.com</t>
  </si>
  <si>
    <t>Diversity Cyber Council is a 501c3 Non-Profit that serves under-represented demographics in the tech industry by facilitating education, training, and staffing opportunities to establish a sustainable and diverse talent pipeline to the workforce.</t>
  </si>
  <si>
    <t>Aside from feeling premature ("concept stage" and based only in Atlanta area), the scope here isn't huge and the tech isn't disruptive. Not a fit for EFL.</t>
  </si>
  <si>
    <t>Goodie Nation</t>
  </si>
  <si>
    <t>3350 Riverwood Parkway, Georgia United States</t>
  </si>
  <si>
    <t>Diversity Cyber Council</t>
  </si>
  <si>
    <t>Doji _2022</t>
  </si>
  <si>
    <t>Fernando Montera Filho</t>
  </si>
  <si>
    <t>fernando@doji.co</t>
  </si>
  <si>
    <t>Doji is a two-sided marketplace that utilizes the stock exchange driven by data intelligence to deliver unparalleled pricing and process efficiencies simultaneously, so everyone can buy and sell pre-loved products in the most fair, convenient and sustainable way.</t>
  </si>
  <si>
    <t>Not a fit with EFL. Hard to build technical moat.</t>
  </si>
  <si>
    <t>Not enough technical innovation</t>
  </si>
  <si>
    <t>133 Glaisdale Drive West, Bilborough, Nottingham United Kingdom</t>
  </si>
  <si>
    <t>Doji</t>
  </si>
  <si>
    <t>ELANZA Wellness _2022</t>
  </si>
  <si>
    <t>Brittany Hawkins</t>
  </si>
  <si>
    <t>brittany@elanzawellness.com</t>
  </si>
  <si>
    <t>ELANZA is a personalized wellness platform helping people through life?s most stressful experiences, such as fertility treatment, divorce and grief. Blending the magic of highly tailored 1:1 sessions by video with a Board Certified coach with algorithmic support pathways, we help people move through stress and make more confident decisions.</t>
  </si>
  <si>
    <t>tech innovation not clear; seems to use individual coaches assisted by AI? Hot but crowded space. Differentiator and moat not clear.</t>
  </si>
  <si>
    <t>+ 1. interesting idea - 1. still in conceptual stage 2. not enough technical talents</t>
  </si>
  <si>
    <t>We graduated Techstars New York in 2021, under Jenny Fielding (now managing partner at The Fund). We also went through YCombinator Startup School (online) and have been involved in several female entrepreneurship groups such as Women's Entrepreneur Program at the King's College London Entrepreneurship Institute in the UK, led by Julie Devonshire OBE, founder of One Water.</t>
  </si>
  <si>
    <t>1201 N Orange St Ste 600, Wilmington, 19801, Delaware United States</t>
  </si>
  <si>
    <t>ELANZA Wellness</t>
  </si>
  <si>
    <t>EPDL LTD _2022</t>
  </si>
  <si>
    <t>Misbawu Abdallah</t>
  </si>
  <si>
    <t>abdallah.misbawu@gmail.com</t>
  </si>
  <si>
    <t>EPDL LTD is an EdTech company that provides courses on digital and entrepreneurship skills to solve the lack of quality and sustainable educational contents for high school and tertiary students and business owners, providing practical educational, tech and business knowledge and skills</t>
  </si>
  <si>
    <t>Not a fit.</t>
  </si>
  <si>
    <t>Part of the Cohort Selected for the Ghana 2021 SME Business Masterclass on LinkedIn. a multi session program designed to help SME companies in Ghana build digital resilience, marketing intelligence and effective business development scaling techniques. Also Startup Lab Pitch presenter in the 2020 Ghana Tech Summit. Offered $250+ in credits and perks from major Tech companies.</t>
  </si>
  <si>
    <t>Kumasi, Ashanti Region Ghana</t>
  </si>
  <si>
    <t>EPDL LTD</t>
  </si>
  <si>
    <t>Everewear, LLC _2022</t>
  </si>
  <si>
    <t>Anna Dorris</t>
  </si>
  <si>
    <t>anna@everewear.com</t>
  </si>
  <si>
    <t>Everewear applies date science and machine learning to decrease shopping time for secondhand clothing by 60% for women primarily ages 18-35, allowing customers access to sustainable style without sacrificing time or money.</t>
  </si>
  <si>
    <t>Tech isn't cutting edge. The sample size is small</t>
  </si>
  <si>
    <t>I went through an incubator with my school called JagStart that ended with a pitch competition, which I won. I then went through a one-week accelerator with NEXT Studios here in Indianapolis.</t>
  </si>
  <si>
    <t>Noblesville, IN United States</t>
  </si>
  <si>
    <t>Everewear, LLC</t>
  </si>
  <si>
    <t>Exirio _2022</t>
  </si>
  <si>
    <t>David Martínez de Lecea</t>
  </si>
  <si>
    <t>david@exirio.com</t>
  </si>
  <si>
    <t>Exirio helps you track your wealth and understand how hard your money is working for you. Any asset, in any currency, from anywhere in the world, all visible in a simple dashboard.</t>
  </si>
  <si>
    <t>The problem being solved may not be significant and the company is very early</t>
  </si>
  <si>
    <t>Early stage company needs more validation on product</t>
  </si>
  <si>
    <t>Exirio</t>
  </si>
  <si>
    <t>Fifty Bricks _2022</t>
  </si>
  <si>
    <t>Uday Arora</t>
  </si>
  <si>
    <t>info@50bricks.com</t>
  </si>
  <si>
    <t>no clear technical moat</t>
  </si>
  <si>
    <t>Without a deck providing more information there is not much to go on beyond that they have experience in data analytics and SW programming and intend to bring technology already in use in the USA to Europe and somehow monetize it.</t>
  </si>
  <si>
    <t>Selected for the first AWS Startup Loft Accelerator</t>
  </si>
  <si>
    <t>Faculty</t>
  </si>
  <si>
    <t>47 Tentenerstrooss Septfontaines, Luxembourg</t>
  </si>
  <si>
    <t>Fifty Bricks</t>
  </si>
  <si>
    <t>FINWEDGE _2022</t>
  </si>
  <si>
    <t>DELPHINE MONTI</t>
  </si>
  <si>
    <t>dmonti@finwedge.com</t>
  </si>
  <si>
    <t>Finwedge is a Fintech company that has developed the WedgeInvest platform aiming to make transparent and liquid the private equity market. Its main goal is to orientate the global investment cycle towards entrepreneurship in tech, especially the first-time founders having trouble negotiating win-win deals with the investor community as a whole.</t>
  </si>
  <si>
    <t>Company doesnt have a clear focus. In some places they emphasize matching startups with investors as their main business, in their deck they emphasize selling their financial planning and strategy tools to startups as their main business. And then, they want to use NFTs.</t>
  </si>
  <si>
    <t>Application generally unclear, feels like they need to narrow their focus (and not be everything). In a fairly competitive space. Doesn't feel like a fit for EFL.</t>
  </si>
  <si>
    <t>We have been affiliated with an incubator in late 2019 (Le Village by Crédit Agricole Paris) and a startup program in early 2022 in Sophia-Antipolis (The FrenchTech Côte d'Azur). Our platform has been labeled by Finance Innovation, the French official innovation cluster for the financial industry in late 2019, and our AI projects have been labeled by SCS, the European ecosystem dedicated to technologies in 2022. Finally, we are applying to Réseau Entreprendre, an international network of entrepreneurs.</t>
  </si>
  <si>
    <t>1047, allée Pierre Ziller 06560 Sophia-Antipolis (Valbonne), Alpes-Maritimes France</t>
  </si>
  <si>
    <t>FINWEDGE</t>
  </si>
  <si>
    <t>Fits _2022</t>
  </si>
  <si>
    <t>Matthew Benoit</t>
  </si>
  <si>
    <t>matt@thefits.app</t>
  </si>
  <si>
    <t>Fits uses AI to allow users to digitally style our models and share it with their followers to see and get inspired by different looks. They can then purchase their favorite items right away. Our target demographic is men and women between the age of 15-35.</t>
  </si>
  <si>
    <t>No significant innovation and very early</t>
  </si>
  <si>
    <t>I am not the target audience for this app, so perhaps I am selling them a bit short. I have trouble seeing how they can get enough users or eyeballs to monetize an outfit design app that pieces together clothing ensembles from different websites on a single avatar.</t>
  </si>
  <si>
    <t>Miami, Florida United States</t>
  </si>
  <si>
    <t>Fits</t>
  </si>
  <si>
    <t>Gahez Market _2022</t>
  </si>
  <si>
    <t>Wael Olama</t>
  </si>
  <si>
    <t>wael.olama@gahezmarket.com</t>
  </si>
  <si>
    <t>Gahez is an online B2B fashion marketplace that connects independent shop owners, online and social sellers with fashion manufacturers and suppliers. started in 2021, Focusing on the Egyptian market with a ready plan to expand further in similar emerging markets, starting with the east African region.</t>
  </si>
  <si>
    <t>B2B fashion marketplace that connects independent shop owners, online and social sellers with fashion manufacturers and suppliers no real tech, not a fit for EFL</t>
  </si>
  <si>
    <t>The company has strong revenues, but there does not seem to be any technical innovation or vision to expand beyond Egypt and its neigboring countries in creating an online marketplace to connect fashion retailers with wholesalers. This might be an interesting investment opportunity, but I have trouble seeing how they are a fit for EFL.</t>
  </si>
  <si>
    <t>Building 60, district 9, 6th of October Egypt</t>
  </si>
  <si>
    <t>Gahez Market</t>
  </si>
  <si>
    <t>GiftE _2022</t>
  </si>
  <si>
    <t>Emily Weiner</t>
  </si>
  <si>
    <t>erw9720@nyu.edu</t>
  </si>
  <si>
    <t>Welcome to GiftE, a free interactive app for users to store, trade, send and donate their gift cards. With a simple scan and store feature, you can trade and send gift cards with your friends as well as broaden your social impact by donating to teachers and local charities nearby, unlike any remote competition.</t>
  </si>
  <si>
    <t>Great customer discovery work. Not a fit for EFL.</t>
  </si>
  <si>
    <t>A unique idea, but the tech is not novel or disruptive. A "meh" on the "so what" scale. Not quite EFL caliber.</t>
  </si>
  <si>
    <t>GiftE was created in the Westlake High School INCubatoredu Uncharted Learning program where all six founders spent their junior year developing the business concept. After winning our school's pitch competition, we advanced to the INCubator National Pitch Competition where we placed first. During our senior year of high school, all six members moved into the INCubatoredu Accelerator program to further the business with a desire to see GiftE reach its fullest potential.</t>
  </si>
  <si>
    <t>GiftE</t>
  </si>
  <si>
    <t>gogoBus _2022</t>
  </si>
  <si>
    <t>Amit Gupta</t>
  </si>
  <si>
    <t>amit.gupta@gogobus.com</t>
  </si>
  <si>
    <t>gogoBus is a TAAS-based mobility platform which is empowering small and medium-sized bus operators in India with inclusive access to end-to-end technology.</t>
  </si>
  <si>
    <t>Addressing a need and potential for high impact, but tech is not novel. Doesn't feel like a good fit for EFL.</t>
  </si>
  <si>
    <t>Gurgaon, Haryana India</t>
  </si>
  <si>
    <t>gogoBus</t>
  </si>
  <si>
    <t>Haven Now, LLC _2022</t>
  </si>
  <si>
    <t>David Helsper</t>
  </si>
  <si>
    <t>david@havennow.org</t>
  </si>
  <si>
    <t>Haven Now provides an online support platform that brings together people with the same mood disorders to participate in real time support groups.</t>
  </si>
  <si>
    <t>Seems to still be in concept phase. No indications of proof and no significant tech</t>
  </si>
  <si>
    <t>An early-stage company that needs development of the product and validation</t>
  </si>
  <si>
    <t>Georgia Tech CreateX.</t>
  </si>
  <si>
    <t>Marietta , Georgia United States</t>
  </si>
  <si>
    <t>Haven Now, LLC</t>
  </si>
  <si>
    <t>Healthy Hip Hop _2022</t>
  </si>
  <si>
    <t>Roy Scott</t>
  </si>
  <si>
    <t>roy@healthy.hiphop</t>
  </si>
  <si>
    <t>Healthy Hip Hop infuses hip hop culture with innovative technology, education and positive attributes to improve student learning environments. Our online platform allows educators to livestream our content and educational resources to bring culture to the classroom. The Healthy Hip Hop mobile app is a "Spotify meets TikTok" for children.</t>
  </si>
  <si>
    <t>Social media app for kids described as "Spotify meets TikTok". No real tech innovation, just a focus on children. Generated $90K in revenue in 2021 and is on track to reach over $100K in 2022.</t>
  </si>
  <si>
    <t>TechStars Social Impact Atlanta &amp; Praxis Labs</t>
  </si>
  <si>
    <t>Kansas City, MO United States</t>
  </si>
  <si>
    <t>Healthy Hip Hop</t>
  </si>
  <si>
    <t>Hiveclass _2022</t>
  </si>
  <si>
    <t>Joe Titus</t>
  </si>
  <si>
    <t>joe@hiveclass.co</t>
  </si>
  <si>
    <t>Hiveclass is revolutionizing physical education in the United States. The platform features a complete standards-aligned curriculum that educators can easily implement into existing classes. Hiveclass is reimagining what exceptional physical education looks like &amp; making it possible for all students to enjoy the benefits of physical activity.</t>
  </si>
  <si>
    <t>Not novel tech, not a good fit for EFL.</t>
  </si>
  <si>
    <t>No, we have not.</t>
  </si>
  <si>
    <t>Massapequa, New York United States</t>
  </si>
  <si>
    <t>Hiveclass</t>
  </si>
  <si>
    <t>Hundred Technology MENA DMCC _2022</t>
  </si>
  <si>
    <t>Parag Gathani</t>
  </si>
  <si>
    <t>parag@hundredoffers.com</t>
  </si>
  <si>
    <t>Hundred is mobile app which personalizes different offers, based on user's bank cards, loyalty programs, community cards, corporate card's and offer apps. We aggregate offers from different platforms and display the same as per the user?s preference.</t>
  </si>
  <si>
    <t>Interesting idea with some traction; tech/product not materially novel and focus is on UAE</t>
  </si>
  <si>
    <t>+ 1. already up and running with revenues - 1. tech isn't novel</t>
  </si>
  <si>
    <t>Hundred Technology MENA DMCC</t>
  </si>
  <si>
    <t>Hyperhuman _2022</t>
  </si>
  <si>
    <t>Bogdan Predusca</t>
  </si>
  <si>
    <t>bogdan@hyperhuman.cc</t>
  </si>
  <si>
    <t>Hyperhuman is the fitness industry?s AI-powered video content creation and delivery platform. The venture capital-backed start-up is founded by ex-Fitbit product leaders and is a Google for Startups 2021 graduate. The company's main markets are North America, the United Kingdom, and Australia.</t>
  </si>
  <si>
    <t>No real tech innovation</t>
  </si>
  <si>
    <t>No novelty in the tech</t>
  </si>
  <si>
    <t>We are a Google for Startups 2021 graduate company.</t>
  </si>
  <si>
    <t>Bucharest, Bucharest Romania</t>
  </si>
  <si>
    <t>Hyperhuman</t>
  </si>
  <si>
    <t>Ignitus Networks _2022</t>
  </si>
  <si>
    <t>Santhosh Nair</t>
  </si>
  <si>
    <t>santhosh@ignithereum.com</t>
  </si>
  <si>
    <t>Ignitus Networks is developing a platform for owners of digital assets to sell their digital assets. The platform will bring together buyers and sellers of digital assets and collect a small commission on every sale.</t>
  </si>
  <si>
    <t>Still at the concept stage. No moat compared to established competitors such as OpenSea.</t>
  </si>
  <si>
    <t>Feels premature (concept stage) for EFL, especially w/in context of other competitors who are further along.</t>
  </si>
  <si>
    <t>We had completed the acceleration program by a US incubator called ?4th Sector Innovations?, (https://4thsi.com/) which was equity free.</t>
  </si>
  <si>
    <t>BANGALORE, Karnataka India</t>
  </si>
  <si>
    <t>Ignitus Networks</t>
  </si>
  <si>
    <t>Influcracy Inc _2022</t>
  </si>
  <si>
    <t>Vinay Sawant</t>
  </si>
  <si>
    <t>vinay@influcracy.com</t>
  </si>
  <si>
    <t>We are building a Marketplace for Influencers and Brands.</t>
  </si>
  <si>
    <t>- Growing Instagram influencer network (92K influencers), connecting brands with influencers. - Seeing small initial revenue. - Intense competition. - Not an area for EFL to mentor, too social media focused.</t>
  </si>
  <si>
    <t>$750K</t>
  </si>
  <si>
    <t>Yes currently we are affiliated with International Accelerator (Austin Texas)</t>
  </si>
  <si>
    <t>AUSTIN, TEXAS United States</t>
  </si>
  <si>
    <t>Influcracy Inc</t>
  </si>
  <si>
    <t>InRento _2022</t>
  </si>
  <si>
    <t>Gustas Germanavicius</t>
  </si>
  <si>
    <t>gustas@inrento.com</t>
  </si>
  <si>
    <t>InRento is EU's first licensed buy-to-let investment platform, where retail investor can earn rent and capital gains from ?500. InRento was recognised as #1 Investment Tech in Europe at European FinTech awards 2022.</t>
  </si>
  <si>
    <t>no deep tech moat.</t>
  </si>
  <si>
    <t>InRento</t>
  </si>
  <si>
    <t>InTune Inc. _2022</t>
  </si>
  <si>
    <t>Aris Yeager</t>
  </si>
  <si>
    <t>yeager.ar@northeastern.edu</t>
  </si>
  <si>
    <t>InTune aims to connect people through the power of music. InTune empowers people meeting for the first time to instantly see the same artists and songs they have in common. By analyzing all the listening patterns of users we can find compatibility ratios to indicate how similar your music tastes are. People decide whether to connect to each other.</t>
  </si>
  <si>
    <t>$30,000-$50,000</t>
  </si>
  <si>
    <t>We are part of NU IDEA at the moment. We plan to be part of as many startup programs as possible.</t>
  </si>
  <si>
    <t>346 Plymouth Street Hollbrook, MA United States</t>
  </si>
  <si>
    <t>InTune Inc.</t>
  </si>
  <si>
    <t>iThrive _2022</t>
  </si>
  <si>
    <t>George Vasu</t>
  </si>
  <si>
    <t>george@ithrive.com</t>
  </si>
  <si>
    <t>iThrive is powered by people and combines the best features of marketplaces such as Airbnb with social networks like LinkedIn by bring the sharing economy to $400 billion global staffing industry.</t>
  </si>
  <si>
    <t>A lot missing information, such as funding, technical innovation...</t>
  </si>
  <si>
    <t>620 Newport Center Drive, Newport Center - Suite 1100, Newport Beach, California United States</t>
  </si>
  <si>
    <t>iThrive</t>
  </si>
  <si>
    <t>Kaso _2022</t>
  </si>
  <si>
    <t>Manar Alkassar</t>
  </si>
  <si>
    <t>manar@kaso.ai</t>
  </si>
  <si>
    <t>Kaso is an online platform connecting food businesses with suppliers to ease the procurement process in the Middle Eaast.</t>
  </si>
  <si>
    <t>Innovation seems to be an online platform for restaurants to order food; not a fit for EFL</t>
  </si>
  <si>
    <t>There is clear potential for food supplier procurement platform is a food-rich market like the middle east; however, there are several middle-eastern startups that are already operating (https://supplyme.ae/). Also, the existence of &lt;4000 customers (unpaying) is promising but the team needs to show that their business model will actually work and do better than WhatsApp or the actual procurement apps developed locally (https://supplyme.ae/)</t>
  </si>
  <si>
    <t>Y-Combinator, W22 MISK Prorgram in KSA</t>
  </si>
  <si>
    <t>Kaso</t>
  </si>
  <si>
    <t>Kitchefy _2022</t>
  </si>
  <si>
    <t>Marwan Abu Sakha</t>
  </si>
  <si>
    <t>marwan@kitchefy.com</t>
  </si>
  <si>
    <t>Kitchefy is a startup company that is disrupting the F&amp;B industry, offering an innovative solution that converts commercial kitchens to cloud kitchens, by injecting high-demand virtual food brands into these kitchens to increase their utilization rate.</t>
  </si>
  <si>
    <t>No tech moat here. Can be a successful company but not for us.</t>
  </si>
  <si>
    <t>In principle, not a novel idea (virtual kitchen); however, it seems to solve a problem in the local region (Amman, Jordan); Team has experience to carry the proposal</t>
  </si>
  <si>
    <t>An incubator called My Startup by INJAZ</t>
  </si>
  <si>
    <t>Amman, - Jordan</t>
  </si>
  <si>
    <t>Kitchefy</t>
  </si>
  <si>
    <t>Lineage Medical, Inc. _2022</t>
  </si>
  <si>
    <t>Derek Moore</t>
  </si>
  <si>
    <t>derek@orthobullets.com</t>
  </si>
  <si>
    <t>Orthobullets.com is a free professional network where 500K+ physicians learn and collaborate. We also sell premium tier learning technology &amp; certification products to physicians (B2C) and training hospitals (B2B).</t>
  </si>
  <si>
    <t>Application is very thin; very little tech; good traction</t>
  </si>
  <si>
    <t>+ 1. impressive progress so far - 1. not a tech play</t>
  </si>
  <si>
    <t>Stanford Start X.</t>
  </si>
  <si>
    <t>Santa Barbara, CA United States</t>
  </si>
  <si>
    <t>Lineage Medical, Inc.</t>
  </si>
  <si>
    <t>Mihuru _2022</t>
  </si>
  <si>
    <t>Shruti Mehrotra</t>
  </si>
  <si>
    <t>shruti@mihuru.com</t>
  </si>
  <si>
    <t>Mihuru means "My Freedom". We make it more flexible to spread the cost of big ticket trips &amp; upskilling from as low as 0% APR. No credit history/ credit card required. We have 75% sub prime customer base however we have minimal defaults due to our product &amp; underwriting approach. Our credit line approach is backed by our affordability engine patent</t>
  </si>
  <si>
    <t>Underwriting for financing trips not a big tech innovation</t>
  </si>
  <si>
    <t>Agreed--tech not novel, potential impact not significant</t>
  </si>
  <si>
    <t>We are part of the Qatar Fintech Hub which has been organized by the Qatar Development Bank and this program is for a selected group of startups. We were also part of Women Startup Lab 2018 and Village Capital South Asia Finance Forward 2019</t>
  </si>
  <si>
    <t>Mihuru</t>
  </si>
  <si>
    <t>Mirror World Inc. _2022</t>
  </si>
  <si>
    <t>chriszhu@mirrorworld.fun</t>
  </si>
  <si>
    <t>Mirror World ? Mirror World is a game matrix with AI-powered virtual beings (the Mirrors), fighting along with the players in the game universe. Mirrors are fully interoperable with all the Play-to-Earn games in our matrix. This means that anyone with a pass can use it to access any of them.</t>
  </si>
  <si>
    <t>Seems to have applied twice: see ?Mirror World _2022? Gaming companies typically not a fit for EFL mentors</t>
  </si>
  <si>
    <t>Gaming company with many popular features(AI characters, Web 3,etc ). Not a problem-solving company.</t>
  </si>
  <si>
    <t>Panama, Republic Of Panama Panama</t>
  </si>
  <si>
    <t>Mirror World Inc.</t>
  </si>
  <si>
    <t>MotivateU _2022</t>
  </si>
  <si>
    <t>Jennifer Strout</t>
  </si>
  <si>
    <t>jenniferstrout@motivateu.net</t>
  </si>
  <si>
    <t>MotivateU is an all-in-one platform for community based fitness studios and gyms that are looking to scale without giving up feedback and personalization ?with patent-pending motion tracking software (no hardware required).</t>
  </si>
  <si>
    <t>Solo founder; fragmented and competitive market; no real tech innovation</t>
  </si>
  <si>
    <t>Not sure if must-have. Competitive field (Peloton, Apple Fitness+ etc). Founder work experience is not directly related to business.</t>
  </si>
  <si>
    <t>Completed Pillar VC's Founder Frequency program in September-October 2020.</t>
  </si>
  <si>
    <t>Middletown, Delaware United States</t>
  </si>
  <si>
    <t>MotivateU</t>
  </si>
  <si>
    <t>Nash fintechX _2022</t>
  </si>
  <si>
    <t>Nida Khan</t>
  </si>
  <si>
    <t>nida.khan@nashfintechx.com</t>
  </si>
  <si>
    <t>Nash fintechX is a software solutions provider, headquartered in Luxembourg. We develop customised software tailored to the needs of the target organisation. Our first software, DCarbonX, will provide a blockchain-based carbon market for trading of carbon credits, track all resales and prevent greenwashing.</t>
  </si>
  <si>
    <t>Still developing tech, very crowded space. Feels early--invite to apply next year?</t>
  </si>
  <si>
    <t>Fairly technical team but skeptical of this space + lots of well funded competition</t>
  </si>
  <si>
    <t>25, Rue Principale, Goeblange, Koerich Luxembourg</t>
  </si>
  <si>
    <t>Nash fintechX</t>
  </si>
  <si>
    <t>OnEx Medical _2022</t>
  </si>
  <si>
    <t>Jamal Samra</t>
  </si>
  <si>
    <t>j.samra@medicalonex.com</t>
  </si>
  <si>
    <t>Onex is a sales tool to for every healthcare manaufactuerer to manage their business in international markets</t>
  </si>
  <si>
    <t>- Beachhead is in the Middle East. Does not give clear information on application beyond its beachhead region. - Demonstrated traction with $320K in ARR. - Application's product information is confusing, showing language barrier. - Not a fit for EFL.</t>
  </si>
  <si>
    <t>The tech isn't cutting edge and little validation is provided</t>
  </si>
  <si>
    <t>Pax Momentum - USA ( Sep - Nov 22)</t>
  </si>
  <si>
    <t>Abu Dhabi, Abu Dhabi United Arab Emirates</t>
  </si>
  <si>
    <t>OnEx Medical</t>
  </si>
  <si>
    <t>OnMyGrad _2022</t>
  </si>
  <si>
    <t>Anthony So</t>
  </si>
  <si>
    <t>anthonyso@onmygrad.com</t>
  </si>
  <si>
    <t>OnMyGrad is a 500 Global-backed one-stop platform for leading employers to educate, attract and assess top talents from universities via immersive experience with half of their original efforts.</t>
  </si>
  <si>
    <t>HR recruiting platform focused mainly in Hong Kong; not convinced of tech innovation and would need to see more traction outside of HK</t>
  </si>
  <si>
    <t>The product and business model seems mature but the core technology is ambiguous from description</t>
  </si>
  <si>
    <t>500 Global Accelerator Taiwan with TTA, AppWorks Accelerator, HKSTP Incubation Programme</t>
  </si>
  <si>
    <t>Wan Chai, Hong Kong Island Hong Kong</t>
  </si>
  <si>
    <t>OnMyGrad</t>
  </si>
  <si>
    <t>Packworks _2022</t>
  </si>
  <si>
    <t>Bing Tan</t>
  </si>
  <si>
    <t>bing@packworks.io</t>
  </si>
  <si>
    <t>Packworks is a technology company focused on helping the millions of micro-entrepreneurs in Southeast Asia run their businesses via an easy-to-use app that allows store owners to process customer orders, keep track of transactions, manage store inventory, and can even facilitate delivery for customers.</t>
  </si>
  <si>
    <t>no new tech.</t>
  </si>
  <si>
    <t>Tech is not novel or disruptive in any discernible way, not a good fit for EFL.</t>
  </si>
  <si>
    <t>Techstars Western Union JICA Ninja Accelerator - Japanese gov't x McKinsey accelerator QBO-Ideaspace - largest local accelerator in the Philippines</t>
  </si>
  <si>
    <t>Philip Morris International through their regional innovation partner AngelHub</t>
  </si>
  <si>
    <t>106, Greenbelt Mansions, Perea, Legazpi Village, Makati, NCR Philippines</t>
  </si>
  <si>
    <t>Packworks</t>
  </si>
  <si>
    <t>Peer Circles by wedstll _2022</t>
  </si>
  <si>
    <t>Sonya Denton</t>
  </si>
  <si>
    <t>sonya@wedstll.com</t>
  </si>
  <si>
    <t>Peer Circles by wedstll is a mobile community platform to solve the negative feelings that come from engaging on social media platforms for 18 to 29 year old women by enabling them to curate their own values-aligned micro-communities to safely engage with each other and the purpose-driven brands to meet their needs on demand.</t>
  </si>
  <si>
    <t>no tech moat, product not mature enough, no validation</t>
  </si>
  <si>
    <t>2-5 month runway. No tech innovation. Too early in product development. Team of 1 member.</t>
  </si>
  <si>
    <t>Right now, I'm in the LiftOff Black Entrepreneurship Program which is designed to support Black entrepreneurs who have a scalable business idea and work with them from the earliest stages of staging a business. In the past I was a part of Innovation Guelph's Rhyze Ventures Scalable business stream. I'm currently being mentored a twice a month on my financial model through their Start-up program.</t>
  </si>
  <si>
    <t>Toronto , Ontario Canada</t>
  </si>
  <si>
    <t>Peer Circles by wedstll</t>
  </si>
  <si>
    <t>Pointz Mobility, Inc. _2022</t>
  </si>
  <si>
    <t>Maggie Bachenberg</t>
  </si>
  <si>
    <t>maggie@bikepointz.com</t>
  </si>
  <si>
    <t>Pointz, the ?Waze for bikes,? is a mobile mapping application that navigates micromobility (bike and scooter) riders through safer, low-stress, low-traffic routes in cities, improving safety and accessibility for micromobility riding.</t>
  </si>
  <si>
    <t>Market opportunity and business model likely very difficult to scale; tech does not seem that novel, just that it's being applied to bikes and scooters</t>
  </si>
  <si>
    <t>+ 1. identified a real problem - 1. tech isn't novel 2. hard to stand a chance against the competitors in the field</t>
  </si>
  <si>
    <t>yes - Brown University Breakthrough Lab (B-Lab) Accelerator, MassChallenge 2021, Confidential until August 2022 ? Techstars Portland, ME (September 2022-December 2022)</t>
  </si>
  <si>
    <t>Providence, RI United States</t>
  </si>
  <si>
    <t>Pointz Mobility, Inc.</t>
  </si>
  <si>
    <t>prints.me _2022</t>
  </si>
  <si>
    <t>Jacek Sidzina</t>
  </si>
  <si>
    <t>jacek@prints.me</t>
  </si>
  <si>
    <t>End-to-End sustainable printing &amp; logistics helping B2B become more eco friendly and draw down a CO2 emissions.</t>
  </si>
  <si>
    <t>- Revenue generating business in Poland that has a strong ESG mission. - Is not an area for EFL. Not a fit. - Also</t>
  </si>
  <si>
    <t>Great mission, but tech does not seem novel. Not a fit for EFL.</t>
  </si>
  <si>
    <t>Y Combinator, Techstars, Plug and Play (other projects)</t>
  </si>
  <si>
    <t>prints.me</t>
  </si>
  <si>
    <t>Progressive Generation Studios _2022</t>
  </si>
  <si>
    <t>Ahmad Al Masri</t>
  </si>
  <si>
    <t>ahmad@pgstd.com</t>
  </si>
  <si>
    <t>Progressive Generation Is a mass digital content and entertainment conglomerate, which owns the biggest library of original Arabic children's content in the MENA region according to the registered Production &amp; Distribution Associations in KSA, Gulf Region, Egypt &amp; Jordan.</t>
  </si>
  <si>
    <t>digital content owner. not a fit for us.</t>
  </si>
  <si>
    <t>Seems like the company is more localized and is a video/content platform for children. Founders are all first time founders with limited expertise. Only vision is to raise capital to adapt current content from Arabic to English/French.</t>
  </si>
  <si>
    <t>Amman, , Jabal Amman Jordan</t>
  </si>
  <si>
    <t>Progressive Generation Studios</t>
  </si>
  <si>
    <t>Prospero.Ai _2022</t>
  </si>
  <si>
    <t>George Kailas</t>
  </si>
  <si>
    <t>george@prospero.ai</t>
  </si>
  <si>
    <t>Prospero.ai distills actionable signals of the major drivers of a stock price. These free, AI-powered signals are built on top of exclusive joint IP with NYU and are combined with educational resources for users so that even inexperienced traders can intuitively leverage the signals to improve investment outcomes.</t>
  </si>
  <si>
    <t>Very competitive space. Some validation but need more. Question comes down to why company cannot start its own fund rather than allowing all to access. Special reject please as 2 EFL mentors are involved.</t>
  </si>
  <si>
    <t>Unproven investment algorithm with no paying customers. Doesn't seem to be technology that fits with the EFL cohort.</t>
  </si>
  <si>
    <t>The EFL program is a very exciting opportunity for Prospero.Ai for a variety of reasons. We love that by committing our time to it we can potentially improve both our product, based on expanding our feedback channels and our scientific approach with the excellent advisory resources. Although we have done a lot to make inroads in the VC community, you can never do enough of that work. Honing our pitch, materials and story with EFL alongside improvements we can make to the technology and app features would create a strong foundation for success as we pursue rapid growth this year. We hope to come out stronger in all these areas and primed for our seed round.</t>
  </si>
  <si>
    <t>Bud Mishra</t>
  </si>
  <si>
    <t>885 Third Avenue, 20th Floor New York, New York 10022-4834, NY United States</t>
  </si>
  <si>
    <t>Prospero.Ai</t>
  </si>
  <si>
    <t>PulsOps Inc _2022</t>
  </si>
  <si>
    <t>Shobhit Sharma</t>
  </si>
  <si>
    <t>shobhit@pulsops.com</t>
  </si>
  <si>
    <t>PulsOps is a no-code advanced analytical and decision intelligence platform to solve for sub-optimal decisioning among business and operations users.</t>
  </si>
  <si>
    <t>Little traction; unclear on tech innovation</t>
  </si>
  <si>
    <t>The company has not provided their technical advantage over competitors such as Tableau</t>
  </si>
  <si>
    <t>Antler India</t>
  </si>
  <si>
    <t>Bolingbrook, Illinois United States</t>
  </si>
  <si>
    <t>PulsOps Inc</t>
  </si>
  <si>
    <t>Realtimate Labs Private Limited _2022</t>
  </si>
  <si>
    <t>Pavan Reddy</t>
  </si>
  <si>
    <t>pavan@realtimate.in</t>
  </si>
  <si>
    <t>Realtimate provides a mobile/web platform that makes closing a real estate transaction simple, safe and fair for all stakeholders such as buyers, sellers and agents. We are doing this by defining a standardized process &amp; automated workflow that integrates technologies such as Smart Contracts, Electronic signatures and Online Escrow Service.</t>
  </si>
  <si>
    <t>Needs more technical validation.</t>
  </si>
  <si>
    <t>Zunder</t>
  </si>
  <si>
    <t>Realtimate Labs Private Limited</t>
  </si>
  <si>
    <t>Scholarship Advisors _2022</t>
  </si>
  <si>
    <t>Saurabh Taluja</t>
  </si>
  <si>
    <t>st@scholarshipadvisors.in</t>
  </si>
  <si>
    <t>Scholarship Advisors is India based start up focused on offering college counselling to the students ranging from 16 years to 35 years. I started the company at my home back in 2017 and now we are a team of about 10 people reaching out to the student base of about 2000 students per year. Currently we are working on the app which is sales and servi</t>
  </si>
  <si>
    <t>Not a fit for EFL. Not a startup that is showing intention to scale at the level that EFL requires.</t>
  </si>
  <si>
    <t>Desq Works, Gurgaon, India, Haryana India</t>
  </si>
  <si>
    <t>Scholarship Advisors</t>
  </si>
  <si>
    <t>Sherrell Dorsey _2022</t>
  </si>
  <si>
    <t>Sherrell Dorsey</t>
  </si>
  <si>
    <t>sherrell@sherrelldorsey.com</t>
  </si>
  <si>
    <t>Plexus is the first market intelligence platform helping decision-makers access and analyze data points across global Black innovation economies, VC firms, startups, governments, and more to access deals and opportunities in overlooked markets for their clients and their companies.</t>
  </si>
  <si>
    <t>Concept stage; not ready to be commercialized</t>
  </si>
  <si>
    <t>The concept is very niche, the founder is passionate about the product, though, the execution from a tech perspective may be difficult. The company does not have proof of concept, patents or anything that protects it from being imitated by another company.</t>
  </si>
  <si>
    <t>Through The Plug, we were part of the Columbia University / IBM accelerator in 2021.</t>
  </si>
  <si>
    <t>Atlanta, GA United States</t>
  </si>
  <si>
    <t>skillcert.io _2022</t>
  </si>
  <si>
    <t>Gabor Patko</t>
  </si>
  <si>
    <t>gabor@skillcert.io</t>
  </si>
  <si>
    <t>Skillcert does high-quality, low-cost standardized assessments of hard and soft skills, at scale and on demand, to solve inefficiencies of people decision processes for corporates and educational institutions, enabling affordable skill-based decision making on recruitment candidates, applicants and existing staff.</t>
  </si>
  <si>
    <t>Skills assessment test not a fit for EFL</t>
  </si>
  <si>
    <t>Their advantage is the time taken for their test to assess something that traditional tests take twice as much time (sometimes more). They are also addressing the fairness in testing which tries to accurately measure a person's potential for the role. However, their disadvantage is their entrance into an established market, which may break with the price point but from a reputation building perspective this idea might take longer than expected.</t>
  </si>
  <si>
    <t>Barueri, São Paulo Brazil</t>
  </si>
  <si>
    <t>skillcert.io</t>
  </si>
  <si>
    <t>Spiritory GmbH _2022</t>
  </si>
  <si>
    <t>Janis Wilczura</t>
  </si>
  <si>
    <t>janis@spiritory.com</t>
  </si>
  <si>
    <t>Spiritory does an innovative trading and investing platform for spirits, wine, and sparkling wine to solve democratizing spirits, wine, and sparkling wine investment for Epicureans, Collectors, and Investors, providing the smartest way possible to make blue-chip assets available for everyone.</t>
  </si>
  <si>
    <t>A big question within a platform like this is to maintain authenticity of the products, which they haven't introduced yet. It also caters to a niche market, where the transaction fees are fully dependent on what customers choose to trade on the platform. They haven't received any funding and would require good amount of money to market this platform and put checks in place to build a trusted brand.</t>
  </si>
  <si>
    <t>Pioneed Lab (finishs in September 2022).</t>
  </si>
  <si>
    <t>Spiritory GmbH</t>
  </si>
  <si>
    <t>Street2school _2022</t>
  </si>
  <si>
    <t>Raidat Karim</t>
  </si>
  <si>
    <t>iremidekarim@yahoo.com</t>
  </si>
  <si>
    <t>Street2school uses a mobile classroom to bring education to people who cannot afford it. We do this through employing the best educational and innovative practices.</t>
  </si>
  <si>
    <t>Not a fit for EFL. Lacks technical novelty and large TAM.</t>
  </si>
  <si>
    <t>Strong mission/need and NYU connection, but tech is not novel/disruptive. Not a good fit for EFL.</t>
  </si>
  <si>
    <t>Abuja, Abuja Nigeria</t>
  </si>
  <si>
    <t>Street2school</t>
  </si>
  <si>
    <t>SymbEx _2022</t>
  </si>
  <si>
    <t>Ralf Hesse</t>
  </si>
  <si>
    <t>palauanprince@zoho.com</t>
  </si>
  <si>
    <t>A white label exchange aimed at providing investors access to proprietary copy trading.</t>
  </si>
  <si>
    <t>No proof of concept and some red flags in terms of their thinking about competition, survival strategies, and NDAs</t>
  </si>
  <si>
    <t>Startup too early. Does not have enough technical moat. Also not sharing basic information on the application, making it hard to evaluate.</t>
  </si>
  <si>
    <t>Herrengasse 14 6430, Zurich Switzerland</t>
  </si>
  <si>
    <t>SymbEx</t>
  </si>
  <si>
    <t>TAMP _2022</t>
  </si>
  <si>
    <t>David Hall</t>
  </si>
  <si>
    <t>community@theampdr.com</t>
  </si>
  <si>
    <t>TAMP Deck link: https://docsend.com/view/gysv7dusp5yr25d6 CEO David pitching Deck (7.5 mins) https://youtu.be/aHfZZqOouTQ TAMP Summary TAMP, a US C-Corp founded in November 2019, is an innovative, medical doctor Digital Innovation Upskilling company, carving out an exponentially-growing part of the Continuing Medical Education market,</t>
  </si>
  <si>
    <t>Tech is not too novel. Somewhat early in process, and (informally) I'm not sure what the lever would be for getting medical doctors to do this. Their time is stretched very thin, seems like a hard sell.</t>
  </si>
  <si>
    <t>(+)They have revenue (-)Tech does not appear novel (-)The potential market size is not very large</t>
  </si>
  <si>
    <t>Newchip Grad Founder Institute Current</t>
  </si>
  <si>
    <t>2035 Sunset Lake Rd Suite B-2, DE United States</t>
  </si>
  <si>
    <t>TAMP</t>
  </si>
  <si>
    <t>Tanél Heatlh _2022</t>
  </si>
  <si>
    <t>Mouhamed Ndoye</t>
  </si>
  <si>
    <t>ndoye@tanelhealth.com</t>
  </si>
  <si>
    <t>At Tanél, we?re building Africa?s healthcare operating system, starting with pharmacies &amp; payers (insurance companies). Today, we?re piloting with a network of pharmacies and one insurance company in Senegal. Our mission is to enable broad and convenient access to healthcare in Africa.</t>
  </si>
  <si>
    <t>No deep technical moat. Not a fit. Not clear EFL advisors can help with growth in distant markets.</t>
  </si>
  <si>
    <t>Tech not novel, not a fit for EFL</t>
  </si>
  <si>
    <t>We are graduates of On Deck?s ODX accelerator program</t>
  </si>
  <si>
    <t>Mirza Ahmed (Hikma)</t>
  </si>
  <si>
    <t>Lewis Center, Ohio United States</t>
  </si>
  <si>
    <t>Tanél Heatlh</t>
  </si>
  <si>
    <t>Ujama Incorporated _2022</t>
  </si>
  <si>
    <t>Hugh Molotsi</t>
  </si>
  <si>
    <t>hugh@ujama.co</t>
  </si>
  <si>
    <t>Ujama are the developers of Soko, the Farmers Market App, where we are modernizing farmers markets by using e-commerce to bridge the gap between customers and vendors.</t>
  </si>
  <si>
    <t>I generally like the idea but I don't think this is a big enough market or a meaningful enough solution for EFL</t>
  </si>
  <si>
    <t>The market is limited to farm products which might not bring cutting-edge models into application</t>
  </si>
  <si>
    <t>19925 Stevens Creek Blvd, Suite 100, Cupertino, CA United States</t>
  </si>
  <si>
    <t>Ujama Incorporated</t>
  </si>
  <si>
    <t>Vansanity, Inc. _2022</t>
  </si>
  <si>
    <t>Ignacio Fanlo</t>
  </si>
  <si>
    <t>iggy@vansanity.com</t>
  </si>
  <si>
    <t>Vansanity is a management services organization (MSO) for cloud med spas. A cloud med spa offers esthetic professional products/services: Rent suites hourly Rent capital equipment hourly Purchase products wholesale prices (GPO) Training EMR software access MSO affords us a far more efficient, asset-light model to scale quickly</t>
  </si>
  <si>
    <t>Converting existing med spas and providers to a new more "Uber/WeWork" like model. Not tech-based. The C-suite has Princeton and Stanford affiliations.</t>
  </si>
  <si>
    <t>Sparse details about tech validation, protection.. Tech doesn't seem too novel, thus not a fit for EFL</t>
  </si>
  <si>
    <t>Lexington, MA United States</t>
  </si>
  <si>
    <t>Vansanity, Inc.</t>
  </si>
  <si>
    <t>Venn Paltform _2022</t>
  </si>
  <si>
    <t>Carlos Pernalete</t>
  </si>
  <si>
    <t>carlos@venn.ws</t>
  </si>
  <si>
    <t>We are providing content creators an ecosystem with an integrated set of tools where they can diversify &amp; manage their online courses and lectures on an easy and simple way under just ONE platform.</t>
  </si>
  <si>
    <t>I'm not sure the tech moat is strong, and while their traction seems to be growing fairly well, the focus in on LATAM, which is not necessarily where EFL can help the most.</t>
  </si>
  <si>
    <t>It is very hard to establish a unique value proposition for startups of this type. There is also no clear technical advantage.</t>
  </si>
  <si>
    <t>yes, Newchip</t>
  </si>
  <si>
    <t>Venn Paltform</t>
  </si>
  <si>
    <t>Vertikal X, Inc _2022</t>
  </si>
  <si>
    <t>Jose Carlos Sarmiento</t>
  </si>
  <si>
    <t>c@vertikalsports.com</t>
  </si>
  <si>
    <t>Very early in process, not sure if fit for EFL (good cause, but doesn't seem to be novel tech)</t>
  </si>
  <si>
    <t>Yes, International Accelerator.</t>
  </si>
  <si>
    <t>International Accelerator</t>
  </si>
  <si>
    <t>8121 Bee Cave Rd. #150 Austin Texas, United States</t>
  </si>
  <si>
    <t>Vertikal X, Inc</t>
  </si>
  <si>
    <t>Vinum Collection _2022</t>
  </si>
  <si>
    <t>Nicoloz Tbileli</t>
  </si>
  <si>
    <t>ntbileli@gmail.com</t>
  </si>
  <si>
    <t>Fine wine investors have unique hurdles to overcome. Unexpected and exorbitant shipping charges, lack of liquidity, and inability to sell fractional interests all create significant barriers for the industry. Our platform allows those who are passionate about the industry, investors, and collectors alike, to trade NFT backed by bottles and cases of</t>
  </si>
  <si>
    <t>Not a fit for EFL. Niche market and will not scale.</t>
  </si>
  <si>
    <t>An early-stage start that needs more validation with real transactions</t>
  </si>
  <si>
    <t>at the moment we are not affiliated with another startup program</t>
  </si>
  <si>
    <t>Tbilisi, Tbilisi Georgia</t>
  </si>
  <si>
    <t>Vinum Collection</t>
  </si>
  <si>
    <t>Vivanta _2022</t>
  </si>
  <si>
    <t>Jorge Madrigal</t>
  </si>
  <si>
    <t>jorge@vivanta.io</t>
  </si>
  <si>
    <t>Vivanta is a health data aggregator that provides a full set of tools to allow health, wellness, and insurance companies to access, understand and use their customers' digital biomarkers coming from connected sensors such as the ones on smartwatches, smartpatches, connected gyms and others</t>
  </si>
  <si>
    <t>Competitive space, no previous healthcare experience from founders &amp; first startup.</t>
  </si>
  <si>
    <t>Yes, Latitud. Finished in early 2022.</t>
  </si>
  <si>
    <t>Mexico City , Mexico City Mexico</t>
  </si>
  <si>
    <t>Vivanta</t>
  </si>
  <si>
    <t>Vyro Pty Ltd _2022</t>
  </si>
  <si>
    <t>Will Wise</t>
  </si>
  <si>
    <t>will@vyro.com.au</t>
  </si>
  <si>
    <t>Vyro operates a virtual dealership to overcome physical and financial barriers to owning and using an electric vehicle so everyone can purchase and finance an electric vehicle through a seamless, hassle-free digital experience</t>
  </si>
  <si>
    <t>Tech does not seem novel/fit for EFL.</t>
  </si>
  <si>
    <t>Antler 2021 cohort</t>
  </si>
  <si>
    <t>L 8 11-17 York St, Sydney NSW 2000, New South Wales Australia</t>
  </si>
  <si>
    <t>Vyro Pty Ltd</t>
  </si>
  <si>
    <t>Wealthspan Financial Partners _2022</t>
  </si>
  <si>
    <t>Jeffrey Stukey</t>
  </si>
  <si>
    <t>jeff.stukey@wealthspan.ai</t>
  </si>
  <si>
    <t>Wealthspan Financial Partners, Inc provide lifespan/healthspan assessment technology to solve the generic, assumption-filled current practice used by financial advisors with their clients so that financial plans can be hyper-personalized based on the unique longevity characteristics of each client and their partner, if applicable.</t>
  </si>
  <si>
    <t>No proof or indication of market need</t>
  </si>
  <si>
    <t>Relatively week case made in application, doesn't feel like a fit for EFL.</t>
  </si>
  <si>
    <t>Grand Rapids, MI United States</t>
  </si>
  <si>
    <t>Wealthspan Financial Partners</t>
  </si>
  <si>
    <t>WellnessWins _2022</t>
  </si>
  <si>
    <t>Berit Elizabeth Nowicki</t>
  </si>
  <si>
    <t>berit@practiceaxis.com</t>
  </si>
  <si>
    <t>WellnessWins is a HIPAA compliant CRM that streamlines intake processes at private therapy clinics to increase access to mental health care and offers business insights as they scale. We integrate with EHR management systems through which they bill insurances to unlock smart growth and forecast revenue.</t>
  </si>
  <si>
    <t>The tech is not significant; it could solve a nice problem for private clinics but I'm not convinced of a massive opportunity</t>
  </si>
  <si>
    <t>the company is in the very early stage of development and no plans to raise any money</t>
  </si>
  <si>
    <t>Yes _ Softeq Venture Studio ending in August, Capital Innovators this past Spring, and Jumpstart Foundry which is 1 year and an investment program more than an accelerator</t>
  </si>
  <si>
    <t>Ali Al Jabry</t>
  </si>
  <si>
    <t>401 Pine St, St Louis , MO United States</t>
  </si>
  <si>
    <t>WellnessWins</t>
  </si>
  <si>
    <t>Yacht Labs Inc. _2022</t>
  </si>
  <si>
    <t>Adam Straus</t>
  </si>
  <si>
    <t>straus@yachtlabs.io</t>
  </si>
  <si>
    <t>The Yacht app makes mobile DeFi interactions easy with native integrations and enables users of DeFi protocols to manage their assets on the go, untethering them from their desktops and bringing the next wave of retail users into the crypto market.</t>
  </si>
  <si>
    <t>No proof of concept yet; would ask to apply next year</t>
  </si>
  <si>
    <t>Not novel, competitive space.</t>
  </si>
  <si>
    <t>We have not been affiliated with another startup program or accelerator.</t>
  </si>
  <si>
    <t>Joe Stern, a current nyu Stern student</t>
  </si>
  <si>
    <t>Yacht Labs Inc.</t>
  </si>
  <si>
    <t>Zr3i _2022</t>
  </si>
  <si>
    <t>Walid Nasr</t>
  </si>
  <si>
    <t>walid.nasr@zr3i.com</t>
  </si>
  <si>
    <t>Zr3i is the pioneer services provider for precision farming solutions in Egypt and the Arab World</t>
  </si>
  <si>
    <t>Focused on Egypt and Arab World - geographies that EFL will not be able to help with very much; company is very early</t>
  </si>
  <si>
    <t>Early stage startup with limited information about technical validation/cofounders</t>
  </si>
  <si>
    <t>Many</t>
  </si>
  <si>
    <t>Zr3i</t>
  </si>
  <si>
    <t>Boaz Bikes Inc _2022</t>
  </si>
  <si>
    <t>Emil Nnani</t>
  </si>
  <si>
    <t>emil@boazbikes.com</t>
  </si>
  <si>
    <t>Boaz Bikes is a black-owned, woman-owned company on a mission to revolutionize micro-mobility, making it safer and more equitable for all, thus, changing the future of transportation. Our bikes were built with safety, comfort, and fun in mind.</t>
  </si>
  <si>
    <t>Stiff competition; no competitive advantage as outlined in this application; founders have good startup experience</t>
  </si>
  <si>
    <t>In light of the other ebike competitors, I don't know how this startup intends to deliver a unique value proposition.</t>
  </si>
  <si>
    <t>7600 Chrysler Dr Ste 101, Michigan United States</t>
  </si>
  <si>
    <t>Boaz Bikes Inc</t>
  </si>
  <si>
    <t>Breeze _2022</t>
  </si>
  <si>
    <t>James Augeri</t>
  </si>
  <si>
    <t>contact.james.augeri@gmail.com</t>
  </si>
  <si>
    <t>Breeze provides real-time web alerts so that companies can keep track of their brand, competitor, customer, vendor or similar mentions along with being current on inventory, pricing, or industry trends. e.g., EFL mentions in July, https://breezethat.com/?q=after%3A2022-07-01+before%3A2022-08-01+%22endless+frontier+labs%22</t>
  </si>
  <si>
    <t>A bit too early. Would like to see more traction.</t>
  </si>
  <si>
    <t>Very early stage. Perhaps not a protectable solution.</t>
  </si>
  <si>
    <t>Techstars alum for prior startup</t>
  </si>
  <si>
    <t>Omaha, NE United States</t>
  </si>
  <si>
    <t>Breeze</t>
  </si>
  <si>
    <t>Finuprise _2022</t>
  </si>
  <si>
    <t>Gaia Balossi</t>
  </si>
  <si>
    <t>gbal@finuprise.com</t>
  </si>
  <si>
    <t>Finuprise is building an activist investing platform to allow stock investors to influence what publicly traded companies do, providing them the opportunity to have an impact as stock investors.</t>
  </si>
  <si>
    <t>No proof of concept or traction</t>
  </si>
  <si>
    <t>- 1. tech isn't novel and hasn't been validated 2. not sure the fundamental need is there</t>
  </si>
  <si>
    <t>Copenhagen, hovedstaden Denmark</t>
  </si>
  <si>
    <t>Finuprise</t>
  </si>
  <si>
    <t>FynCom _2022</t>
  </si>
  <si>
    <t>Adrian Garcia</t>
  </si>
  <si>
    <t>adrian@fyncom.com</t>
  </si>
  <si>
    <t>Increase marketing ROI by allowing businesses to enhance stages of their sales funnels with automated rewards, creating engagement that would otherwise be lost. Message recipients receive rewards by responding to an email, text, call, survey, or with other digital actions like web page visits, link clicks, or completing steps of a customer journey.</t>
  </si>
  <si>
    <t>Don't see competitive advantage and very early proof of concept</t>
  </si>
  <si>
    <t>- 1. tech isn't novel</t>
  </si>
  <si>
    <t>Yes. EvoNexus Berkely SkyDeck (Pad-13)</t>
  </si>
  <si>
    <t>FynCom</t>
  </si>
  <si>
    <t>IN-HOUSE _2022</t>
  </si>
  <si>
    <t>Rob Lubin</t>
  </si>
  <si>
    <t>rob@shopinhouse.com</t>
  </si>
  <si>
    <t>IN-HOUSE is the world's first tastemaker fashion marketplace, serving as the only one stop shop for the aggregation of existing fashion brands built by tastemakers across sports, music, entertainment, and more, as well as the incubation and co-development of new brands with leading talent.</t>
  </si>
  <si>
    <t>- Not a fit. - No technical moat for the startup.</t>
  </si>
  <si>
    <t>Vulnerable to imitation: exists on another platform (Shopify), agreed--not a fit for EFL</t>
  </si>
  <si>
    <t>Dan Lubin, Deepak Hedge</t>
  </si>
  <si>
    <t>IN-HOUSE</t>
  </si>
  <si>
    <t>Map-Collective Inc _2022</t>
  </si>
  <si>
    <t>Tara Gupta</t>
  </si>
  <si>
    <t>taragupta@map-collective.com</t>
  </si>
  <si>
    <t>We provide carbon tracking and supply chain transparency to companies and governments.</t>
  </si>
  <si>
    <t>There's not enough information in the app to assess this company so would pass; they seem to have decent traction but also suggests there's a fair amount of risk of losing those clients next year</t>
  </si>
  <si>
    <t>Thin application with a few buzz words.</t>
  </si>
  <si>
    <t>Map-Collective Inc</t>
  </si>
  <si>
    <t>Pixchange _2022</t>
  </si>
  <si>
    <t>Allison Gorecki</t>
  </si>
  <si>
    <t>allison@pixchangeapp.com</t>
  </si>
  <si>
    <t>Pixchange is a digital collectible marketplace breaking the barriers of creation and interoperability for brands, creators, and consumers alike.</t>
  </si>
  <si>
    <t>- Innovation not differentiated enough from competitors. - 3D Animation too similar to Kinetix Tech. - No convincing go to market and not a tech play.</t>
  </si>
  <si>
    <t>Digital collectibles market has many competitors and I don't see any competitive advantage from other competitors. The $30K monthly burn rate seems high and the sector is going through a shakeout right now.</t>
  </si>
  <si>
    <t>We participated in Techstars London 2020. They hold no equity as we amicably parted ways due to pressure to force us to flip out of Switzerland, our home ecosystem where we knew angels and where we received financial support via a government startup program. Our managing director amicably parted ways from Techstars that year as well, as there were major changes in their program. We were part of the last small cohort run once annually in London. The content, connection with other startups, and support to refine our market position was positive.</t>
  </si>
  <si>
    <t>Spitalgasse , 26 Switzerland</t>
  </si>
  <si>
    <t>Pixchange</t>
  </si>
  <si>
    <t>Sebb Inc _2022</t>
  </si>
  <si>
    <t>Udit Shah</t>
  </si>
  <si>
    <t>udit@adormatch.com</t>
  </si>
  <si>
    <t>Ador is India' First Interest Dating App enabling everlasting relationships based on Interests and Passions. Ador comes from the word "Adore" meaning loving/liking with admiration and respect, loving like worshipping. Ador holds 2 copyrights, 1 brand trademark and it is recipient of Indian Achievers Award &amp; Innovator of the Month Award.</t>
  </si>
  <si>
    <t>- Saturated marketplace, easy for established players to pivot to this space. - Technical moat and business moat are both unsecured.</t>
  </si>
  <si>
    <t>tech is not novel</t>
  </si>
  <si>
    <t>Newchip Accelerator, Startup Grind</t>
  </si>
  <si>
    <t>211, Vinayak Commercial Complex, Manjalpur, Vadodara India</t>
  </si>
  <si>
    <t>Sebb Inc</t>
  </si>
  <si>
    <t>StoryBrain _2022</t>
  </si>
  <si>
    <t>Jikku Jose</t>
  </si>
  <si>
    <t>jikku@storybrain.com</t>
  </si>
  <si>
    <t>StoryBrain converts web pages into personalised short-form videos using AI to solve the problem of revenue loss as a result of content not being engaging and inclusive for websites, particularly E-commerce websites and publishing houses, leading to better engagement, inclusion &amp; conversion.</t>
  </si>
  <si>
    <t>no validation, not clear what problem the product is solving.</t>
  </si>
  <si>
    <t>- 1. too early, no justification of validness, invite in future</t>
  </si>
  <si>
    <t>Antler, Singapore</t>
  </si>
  <si>
    <t>160 Robinson Road, #24-09, Singapore Singapore</t>
  </si>
  <si>
    <t>StoryBrain</t>
  </si>
  <si>
    <t>SynerAI Inc _2022</t>
  </si>
  <si>
    <t>Travis Nixon</t>
  </si>
  <si>
    <t>travis@synerai.com</t>
  </si>
  <si>
    <t>SynerAI uses cutting edge AI to understand open source information, such as news articles and blogs. We enable our customers to understand and predict world events for myriad applications including investment analysis, public relations, up- and down-stream marketing, international relations, and threat analysis.</t>
  </si>
  <si>
    <t>Very crowded space; no proof of concept although they mention a few stock they've picked have done well; team is part-time but seem to have relevant experience; I think this solution will be very difficult to market given the small market size, cost and time to acquire and maintain customers, and competitive landscape</t>
  </si>
  <si>
    <t>The tech novelty is difficult to validate, especially with a focus on prediction for financial services. All cofounders are part-time.</t>
  </si>
  <si>
    <t>465 North Street, NY United States</t>
  </si>
  <si>
    <t>SynerAI Inc</t>
  </si>
  <si>
    <t>targo.digital UG (haftungsbeschraenkt) _2022</t>
  </si>
  <si>
    <t>Liliane Targownik</t>
  </si>
  <si>
    <t>ltargo@targo.digital</t>
  </si>
  <si>
    <t>targo.digital UG (haftungsbeschraenkt) develops computer games for elementary school children. It is necessary to provide quality entertainment in a safe environment that sustains the children's social interaction,</t>
  </si>
  <si>
    <t>Very early in development, not novel tech. Strong mission, but not a fit for EFL.</t>
  </si>
  <si>
    <t>Haven?t raised any money yet still in process of building the product.</t>
  </si>
  <si>
    <t>Not yet.</t>
  </si>
  <si>
    <t>Haendelstr. 1, 81675 Munich, Bavaria Germany</t>
  </si>
  <si>
    <t>targo.digital UG (haftungsbeschraenkt)</t>
  </si>
  <si>
    <t>WEARFITS _2022</t>
  </si>
  <si>
    <t>?ukasz Rzepecki</t>
  </si>
  <si>
    <t>lukasz@wearfits.com</t>
  </si>
  <si>
    <t>At WEARFITS we provide a stunning digital shopping experience with modern XR / AR solutions and size fitting. Technologies we use are ML and AR. Thanks to our solution e-commerce can reduce return rate by even 27%. Knowing that returns cost the environment 5 times more CO2 than sales, it?s a huge reduction.</t>
  </si>
  <si>
    <t>Tech and business do not necessarily have any competitive advantages; lots of competitors, some traction but not meaningful enough; would pass</t>
  </si>
  <si>
    <t>We have participated in Polish accelerators and incubators: S5 - 5G Technology Accelerator, Startup Spark as well as we have graduated Microsoft for Startups and European fashion tech mentoring programme - DeFINE. We?ve also been invited to the NVIDIA Inception AI Startup Incubator.</t>
  </si>
  <si>
    <t>Kraków, Ma?opolska Poland</t>
  </si>
  <si>
    <t>WEARFITS</t>
  </si>
  <si>
    <t>Whyzers _2022</t>
  </si>
  <si>
    <t>Hewton Fider</t>
  </si>
  <si>
    <t>hlf8527@nyu.edu</t>
  </si>
  <si>
    <t>Whyzers is a decentralized application. Addressing high school public school teachers limited resources for educating. Whyzers learning environments provides Ai teaching assistance, expanded immersive instruction and capital compensation.</t>
  </si>
  <si>
    <t>Seems very much in theoretical stage; lots of competition in this market; don't see differentiators</t>
  </si>
  <si>
    <t>Incredibly broad scope, seems largely theoretical (application lacks specifics), very early (validated through less than 10 individuals), not a fit for EFL</t>
  </si>
  <si>
    <t>NYU Start Up Summer Bootcamp.</t>
  </si>
  <si>
    <t>Pine Bush, New York United States</t>
  </si>
  <si>
    <t>Whyzers</t>
  </si>
  <si>
    <t>10Adventures _2022</t>
  </si>
  <si>
    <t>richard campbell</t>
  </si>
  <si>
    <t>richard@10adventures.com</t>
  </si>
  <si>
    <t>10Adventures is changing how people book travel. Our marketplace allows travelers to book private and custom trips for about the cost of a joining a group trip. We have trips in 75+ countries, and a large community of adventure travelers. We have 9x'd sales in the last 9 months, hitting $1.5m in annualized sales.</t>
  </si>
  <si>
    <t>I think this market is highly competitive and the technology / product offering is not differentiated enough to succeed.</t>
  </si>
  <si>
    <t>Calgary, Alberta Canada</t>
  </si>
  <si>
    <t>10Adventures</t>
  </si>
  <si>
    <t>bistrochat software ltd _2022</t>
  </si>
  <si>
    <t>Hacene Taibi</t>
  </si>
  <si>
    <t>hacene.taibi@bistrochat.com</t>
  </si>
  <si>
    <t>Bistrochat consolidates all reservations and guests data from all booking channels for restaurants staff, helping them increase their turnover and streamline operations. We get bookings from restaurants apps, google reserve, instagram, facebook, restaurant's website, whatsapp, messenger, etc</t>
  </si>
  <si>
    <t>It's a solid team that are committed to their startup. They are surviving. It's not obvious if this will scale and not be overcome by better-financed startups.</t>
  </si>
  <si>
    <t>Cyberport in hong kong https://www.cyberport.hk/en/about_cyberport/cyberport_entrepreneurs/cyberport_incubation_programme Mobile Only Accelerator MOX https://mobileonlyx.com/</t>
  </si>
  <si>
    <t>Hong Kong, Hong Kong Hong Kong</t>
  </si>
  <si>
    <t>bistrochat software ltd</t>
  </si>
  <si>
    <t>Boxes.im Inc dba Boxes Email _2022</t>
  </si>
  <si>
    <t>Brian Becker</t>
  </si>
  <si>
    <t>endlessfrontierlabs@brian.im</t>
  </si>
  <si>
    <t>Boxes Email disrupts the current email paradigm by transforming the 1 or 2 email addresses per person, owned by gmail or yahoo, INTO a self-owned domain with unlimited, auto-creating, auto-categorizing email addresses per person so users own their data (since they own the domain) and can better control the overwhelming flow of daily emails.</t>
  </si>
  <si>
    <t>Hard to compete with global email provider, such as Google.</t>
  </si>
  <si>
    <t>The pressing need isn't strong enough to get people to jump ship from gmail, outlook, etc.</t>
  </si>
  <si>
    <t>Poplar Bluff, Missouri United States</t>
  </si>
  <si>
    <t>Boxes.im Inc dba Boxes Email</t>
  </si>
  <si>
    <t>Branddu _2022</t>
  </si>
  <si>
    <t>Mariana Velasquez</t>
  </si>
  <si>
    <t>mariana@branddu.com</t>
  </si>
  <si>
    <t>Branddu is a Latam B2B One Stop Shop for swag/promotional gifts that optimizes the merchandising buying experience in one place. We integrate several suppliers in our platform simplifying the job of buyers and sellerswith a catalog of more than 46 categories and 15.000+ products. Now companies can quote, design and buy within minutes in one place.</t>
  </si>
  <si>
    <t>Not much tech innovation; good traction in Colombia; generally not a fit for EFL</t>
  </si>
  <si>
    <t>I don't believe there's enough here to build an investable business.</t>
  </si>
  <si>
    <t>Yes: LAC Women Founders (Google for Startups, IBD and Centraal) Latitud Founder Institute Women for Tomorrow (Softbank, Endeavor and Wework)</t>
  </si>
  <si>
    <t>Bogota, Cundinamarca Colombia</t>
  </si>
  <si>
    <t>Branddu</t>
  </si>
  <si>
    <t>breathing.ai _2022</t>
  </si>
  <si>
    <t>Hannes Bend</t>
  </si>
  <si>
    <t>hannes@breathing.ai</t>
  </si>
  <si>
    <t>Our digital health startup breathing.ai (Techstars '21) provides personalized relaxing screen experiences to improve performance and well-being without additional screen time. It emerged from award-winning scientific research (UOregon, MIT). Our first product gained global traction (127 countries, 25 press articles incl. Forbes) and first sales.</t>
  </si>
  <si>
    <t>personalized relaxing screen experiences to improve performance and well-being without additional screen time not tech-heavy / fit for EFL</t>
  </si>
  <si>
    <t>Early startup. While the startup is based on patented technology, this solution may not ultimately be the most scalable.</t>
  </si>
  <si>
    <t>We participated in VentureOut NY with breathing.ai LLC and Decelera Mayakoba in 2019. In 2021, we were one of the ten startups as part of the first The Roux Institute Techstars Accelerator cohort in 2021 with breathing.ai, Inc. We are based in New York, but also currently part of the Startup Lisboa program and network since December 2021. The participation has enabled us to also sign up our first European client.</t>
  </si>
  <si>
    <t>99 Wall St, Suite 4411, NY United States</t>
  </si>
  <si>
    <t>breathing.ai</t>
  </si>
  <si>
    <t>Broom.id (PT Teknologi Usaha Nusantara) _2022</t>
  </si>
  <si>
    <t>Pandu Adi Laras</t>
  </si>
  <si>
    <t>pandu@broom.id</t>
  </si>
  <si>
    <t>Broom.id does digitalized business process and inventory management to solve lack of access to capital for underserved autodealers in Indonesia, providing digitalized business process, better inventory liquidity and easy access to capital.</t>
  </si>
  <si>
    <t>- Focused on Indonesian market. - Did not give plan to scale beyond, or show technical moat that could make it relevant globally. - Not an area where EFL mentors can help with.</t>
  </si>
  <si>
    <t>While this software could be beneficial to specific used car dealers in Indonesia, it's not apparent that it would scale to others inside and outside the country.</t>
  </si>
  <si>
    <t>Other: Pre-Series A Fundraising</t>
  </si>
  <si>
    <t>USD 7,000,000-10,000,000</t>
  </si>
  <si>
    <t>Yes, we are also participate in Endeavor, a global community program for Founders to improve the entrepreneurial mindset as well as impact towards the underserved market.</t>
  </si>
  <si>
    <t>South Jakarta, DKI Jakarta Indonesia</t>
  </si>
  <si>
    <t>Broom.id (PT Teknologi Usaha Nusantara)</t>
  </si>
  <si>
    <t>CLICK DEAL BUY! _2022</t>
  </si>
  <si>
    <t>Lanny Rutkin</t>
  </si>
  <si>
    <t>lanny@clickdealbuy.com</t>
  </si>
  <si>
    <t>SaaS developing integrated AI / ML engines &amp; e-commerce platform will create unlimited hyper-personalized incentives transforming how products are sold getting Consumers to interact with &amp; purchase products, enabling click and mortar business to increase AOV, conversions, margins, and loyalty generating multi-streams of recurring revenue 24/7.</t>
  </si>
  <si>
    <t>Not a fit</t>
  </si>
  <si>
    <t>Up to $5,000,000 but $1,000,000 works for now</t>
  </si>
  <si>
    <t>Freeport (TEMPORARY MOVING TO CHICAGO) , IL United States</t>
  </si>
  <si>
    <t>CLICK DEAL BUY!</t>
  </si>
  <si>
    <t>Data Creative, LLC _2022</t>
  </si>
  <si>
    <t>Michael Rossetti</t>
  </si>
  <si>
    <t>mjr14@stern.nyu.edu</t>
  </si>
  <si>
    <t>Data Creative LLC provides software development services. Our recent product called "Our Gym Calendar" helps apartment building residents reserve gym time and other common room spaces in their building.</t>
  </si>
  <si>
    <t>Thinking on a level way too small (reserving gym time in a small apt gym? why not pay for an actual gym membership?). Not novel tech, not an EFL fit.</t>
  </si>
  <si>
    <t>app targeting small market, this is more of a lifestyle business, not startup</t>
  </si>
  <si>
    <t>Branford, Connecticut United States</t>
  </si>
  <si>
    <t>Data Creative, LLC</t>
  </si>
  <si>
    <t>Dista Inc. _2022</t>
  </si>
  <si>
    <t>Shishir Gokhale</t>
  </si>
  <si>
    <t>shishir.gokhale@dista.ai</t>
  </si>
  <si>
    <t>Dista is an AI-enabled Location Intelligence Platform to Optimize Field Operations. Our focus is on maximising sales, improving productivity of field operations and enhancing customer experinces. We are a B2B, Custom SaaS Platform company</t>
  </si>
  <si>
    <t>There's very little to this app</t>
  </si>
  <si>
    <t>The company is not serious about the application as most of the columns are ambiguous. The validation of tech is unclear</t>
  </si>
  <si>
    <t>Dista Inc.</t>
  </si>
  <si>
    <t>equitest _2022</t>
  </si>
  <si>
    <t>tamir levy</t>
  </si>
  <si>
    <t>tamir@efa.co.il</t>
  </si>
  <si>
    <t>My company, equitest® is developing an AI Business Valuation Software to help Business Owners, Startup Founders, Investors, and Business Advisors to evaluate any business without any prior knowledge is minutes</t>
  </si>
  <si>
    <t>Founder is PT. Not enough validation. Not sure of need for this solution.</t>
  </si>
  <si>
    <t>The team is part-time, might not be a good fit for EFL. Financing information is incomplete.</t>
  </si>
  <si>
    <t>founderboost italy</t>
  </si>
  <si>
    <t>Hod Hasharon, Hamerkaz Israel</t>
  </si>
  <si>
    <t>equitest</t>
  </si>
  <si>
    <t>Greenfields Digital Susu and Bank _2022</t>
  </si>
  <si>
    <t>Alecia Edwards-Sibley</t>
  </si>
  <si>
    <t>ae.sibley@gmail.com</t>
  </si>
  <si>
    <t>Greenfields will use blockchain and other aspects of fintech to create a digital platform to globalize susu which can serve as a poverty alleviation tool for governments, communities, and small businesses in the the Caribbean, African, Indian, the Middle Eastern, and South/Central American regions that currently use susu in an analog capacity.</t>
  </si>
  <si>
    <t>Concept stage. Too early for this year.</t>
  </si>
  <si>
    <t>Important mission, but probably too early and too small a market for EFL.</t>
  </si>
  <si>
    <t>Yes. As of August 8th, we will have completed the Cornell Johnson Summer Startup Accelerator (JSSA). This Ithaca based accelerator was pivotal in creating a close-knit community while ushering us through the initial (mis)steps of customer inquiry, hypothesis testing, objective setting, etc. We were provided mentors and EIR's who helped to pressure-test the initial ideas and numbers. We are now ready to begin preseed investigation and funding as a result of the work accomplished there.</t>
  </si>
  <si>
    <t>Greenfields Digital Susu and Bank</t>
  </si>
  <si>
    <t>Highsy, Inc. _2022</t>
  </si>
  <si>
    <t>Phillip Fayne</t>
  </si>
  <si>
    <t>phillip@highsy.com</t>
  </si>
  <si>
    <t>Highsy, Inc. develops ethical-tech, designed to mend the broken relationships between people and all aspects of their society. Highsy, our first product, is a bi-directional decision-making engine designed to cultivate a more consumer-conscious economy by helping people and businesses improve their decision-making for the common good.</t>
  </si>
  <si>
    <t>No tech. Not sure consumers want to outsource their ability to think for the good.</t>
  </si>
  <si>
    <t>Yes; we are affiliated with two Tampa-based companies that do no prohibit us from joining others: - Embarc Collective (Tech Hub) - Tampa Bay Wave (Accelerator)</t>
  </si>
  <si>
    <t>Tampa, Florida United States</t>
  </si>
  <si>
    <t>Highsy, Inc.</t>
  </si>
  <si>
    <t>HouseStay inc _2022</t>
  </si>
  <si>
    <t>Manu Bhagatjee</t>
  </si>
  <si>
    <t>mbhagatjee@housestay.com</t>
  </si>
  <si>
    <t>HouseStay.com offers a curated selection of fully furnished turnkey apartments and homes available for rent for 30 nights or more.</t>
  </si>
  <si>
    <t>application is very thin; no real tech</t>
  </si>
  <si>
    <t>USD 1.5 MILLION</t>
  </si>
  <si>
    <t>DR. DEEPAK HEGDE</t>
  </si>
  <si>
    <t>8660 Burton Way, Suite 102, Los Angeles, CA United States</t>
  </si>
  <si>
    <t>HouseStay inc</t>
  </si>
  <si>
    <t>Jovian _2022</t>
  </si>
  <si>
    <t>Aakash N S</t>
  </si>
  <si>
    <t>aakashns@jovian.ai</t>
  </si>
  <si>
    <t>Jovian offers a 6-month part-time online Data Science and Machine Learning bootcamp to help working professionals with a STEM degree make a career transition to Data Science roles.</t>
  </si>
  <si>
    <t>- There are too many startups and successful companies in this area. - Not a tech play. - Not an EFL fit.</t>
  </si>
  <si>
    <t>Tech not novel. Very crowded space.</t>
  </si>
  <si>
    <t>Y Combinator Axilor Accelerator</t>
  </si>
  <si>
    <t>Jovian</t>
  </si>
  <si>
    <t>KARI _2022</t>
  </si>
  <si>
    <t>Zineb Dardafaa</t>
  </si>
  <si>
    <t>zd771@nyu.edu</t>
  </si>
  <si>
    <t>Kari is the first leasing platform and marketplace that connects moroccan borrowers to lenders while enabling them to make profits out of objects they already own.</t>
  </si>
  <si>
    <t>Not differentiated enough. No tech moat.</t>
  </si>
  <si>
    <t>Tech is not novel.</t>
  </si>
  <si>
    <t>Plug and Play in the process.</t>
  </si>
  <si>
    <t>rabat, Rabat-Salé-Kénitra United States</t>
  </si>
  <si>
    <t>KARI</t>
  </si>
  <si>
    <t>KARMEQ, LLC _2022</t>
  </si>
  <si>
    <t>Darrell Young</t>
  </si>
  <si>
    <t>Founder@KARMEQ.net</t>
  </si>
  <si>
    <t>KARMEQ.com is an investing website designed for the Gen X demographic, featuring the unique ability to easily purchase and send Stocks (and ETFs) as Gifts to family and friends. For any and all occasions, we believe that Stocks as Gifts provide lasting meaningful benefits to the respective recipients -- as opposed to traditional, tangible gifts.</t>
  </si>
  <si>
    <t>no unique tech; not for EFL</t>
  </si>
  <si>
    <t>Not convincing as a novel idea sufficient to compete with existing user-friendly investment options</t>
  </si>
  <si>
    <t>Yes, currently with the Newchip accelerator.</t>
  </si>
  <si>
    <t>Khoa Ma, who saw my 3-minute pitch at Venture Summit West in Silicon Valley on July 20, 2022.</t>
  </si>
  <si>
    <t>KARMEQ, LLC</t>
  </si>
  <si>
    <t>MedExplain, Inc. _2022</t>
  </si>
  <si>
    <t>Monika Safford</t>
  </si>
  <si>
    <t>msafford@medexplain.org</t>
  </si>
  <si>
    <t>Less of a technological challenge than a GTM challenge</t>
  </si>
  <si>
    <t>We have participated in a number of programs to date: |Weill Cornell Medicine BioVenture eLab Business Plan Challenge|National Science Foundation UNY I-Corps Regional Course|Women's Entrepreneurship eCornell and Bank of America program|Kevin M. McGovern Family Center incubator program|Women Founder's Initiative inaugural class|NY Downstate SBIR/STTR Hub||These programs were informative in a general sense, which was helpful, but none provided customized support specifically for our company and none put us in touch with potential investors.</t>
  </si>
  <si>
    <t>Port Washington New York, United States</t>
  </si>
  <si>
    <t>MedExplain, Inc.</t>
  </si>
  <si>
    <t>Metaiss _2022</t>
  </si>
  <si>
    <t>qing quinton</t>
  </si>
  <si>
    <t>qing@green-o.com</t>
  </si>
  <si>
    <t>competitive space. not sufficient validation</t>
  </si>
  <si>
    <t>Very competitive space with clear winners (Asana, Click-Up, Notion etc.)</t>
  </si>
  <si>
    <t>TechXel, Stamford, CT</t>
  </si>
  <si>
    <t>Greenwich CT, United States</t>
  </si>
  <si>
    <t>Metaiss</t>
  </si>
  <si>
    <t>Modernly Nerdish _2022</t>
  </si>
  <si>
    <t>Glentrez 'Geo' Olugeo</t>
  </si>
  <si>
    <t>geo@kyubit.co</t>
  </si>
  <si>
    <t>Product design and manufacturing using 3d printers</t>
  </si>
  <si>
    <t>Not clear what their unique innovation is. Too early.</t>
  </si>
  <si>
    <t>Strong founder. Difficult and competitive business.</t>
  </si>
  <si>
    <t>Startup UCLA consultant</t>
  </si>
  <si>
    <t>200 west wilson ave. unit 2433, ca United States</t>
  </si>
  <si>
    <t>Modernly Nerdish</t>
  </si>
  <si>
    <t>Monetized _2022</t>
  </si>
  <si>
    <t>Natalie Axton</t>
  </si>
  <si>
    <t>natalie@monetized.link</t>
  </si>
  <si>
    <t>Monetized is a no-code tool that converts links into payment pages, memberships, and ticketed events, allowing creators to capitalize their web presence however they choose.</t>
  </si>
  <si>
    <t>- 1. tech isn't novel 2. very crowded space</t>
  </si>
  <si>
    <t>Matt has been a mentor with TechStars since 2015. He was a Mozilla Foundation Fellow in 2021. Natalie has received a grant from Interledger Foundation's Grant for the Web program in 2021.</t>
  </si>
  <si>
    <t>San Antonio, Texas United States</t>
  </si>
  <si>
    <t>Monetized</t>
  </si>
  <si>
    <t>Neon Wild, Inc. _2022</t>
  </si>
  <si>
    <t>Matt Weckel</t>
  </si>
  <si>
    <t>matt@neonwild.com</t>
  </si>
  <si>
    <t>Neon Wild is an inclusive next-generation storytelling platform for kids. Our patent-pending tech enables us to take any child anywhere in the world and turn them into a character in their favorite stories. We are tackling the lack of diversity, representation and inclusion in children's platforms.</t>
  </si>
  <si>
    <t>Founders PT, company too early, tech likely not a fit for EFL</t>
  </si>
  <si>
    <t>part-time cofunders</t>
  </si>
  <si>
    <t>Neon Wild, Inc.</t>
  </si>
  <si>
    <t>O'Peers _2022</t>
  </si>
  <si>
    <t>Ardak Yerali</t>
  </si>
  <si>
    <t>ardak@opeers.com</t>
  </si>
  <si>
    <t>product not yet developed. no validation.</t>
  </si>
  <si>
    <t>this is in very early stage of development and product is yet to be developed and not much information was provided in the application</t>
  </si>
  <si>
    <t>Yes, Tampa Wave Accelerator</t>
  </si>
  <si>
    <t>San Francisco CA, United States</t>
  </si>
  <si>
    <t>O'Peers</t>
  </si>
  <si>
    <t>Pendulum _2022</t>
  </si>
  <si>
    <t>Yuelong Li</t>
  </si>
  <si>
    <t>yl6709@nyu.edu</t>
  </si>
  <si>
    <t>Pendulum leverages high quality visualization and advanced numerical techniques to streamline simulations in fields of chemistry, biology, physics, and applied mathematics for universities, or metaverse creators to build environmental dynamics that have high fidelity to reality, unlocking imaginations and knowledge with its agile graphics.</t>
  </si>
  <si>
    <t>- Extremely early stage prototype. - Lots of competing products serving the same use case and customers. - Need a lot more customer discovery before applying to EFL. - Too early to apply. Can invite next year.</t>
  </si>
  <si>
    <t>Overall, the startup seems to be in early stages and the addressable market is minimal, with existing startup and established competitors that can recreate the technology.</t>
  </si>
  <si>
    <t>Pendulum</t>
  </si>
  <si>
    <t>PLAYBOOK APPLICATION W.L.L _2022</t>
  </si>
  <si>
    <t>Wafa Alobaidat</t>
  </si>
  <si>
    <t>wafa@get-playbook.com</t>
  </si>
  <si>
    <t>PLAYBOOK is a global edutainment platform that aims to bridge the global gender gap and get more women into leadership roles through masterclasses led by experts. We further pay this forward through our Playbook Academy Scholarship Programme for females in marginalized communities. Our mission is to redefine career progression &amp; leadership</t>
  </si>
  <si>
    <t>Yes. Halcyon AWS Bahrain Women?s Intensive Sanabil 500 MENA Seed Accelerator - Batch 2 C3 IDEA Accelerator powered by Accenture Ma?an Social Incubator by NYU Abu Dhabi</t>
  </si>
  <si>
    <t>Flat 301, Building 114, Road 385, Block 304, Manama Bahrain</t>
  </si>
  <si>
    <t>PLAYBOOK APPLICATION W.L.L</t>
  </si>
  <si>
    <t>POMdesk _2022</t>
  </si>
  <si>
    <t>Anna Szymanowska</t>
  </si>
  <si>
    <t>anna@fightershots.co.uk</t>
  </si>
  <si>
    <t>POMdesk.com - Purchase Order Management desk helps automate purchase orders that come in an email format. FMCG brands (like our parent company Fighter Shots) receive tens of orders that come in an email format. Fighter Shots spends around £5,000 yearly on manual order processing. POMdesk was created to automate the process.</t>
  </si>
  <si>
    <t>Founders are all part-time</t>
  </si>
  <si>
    <t>85 GREAT PORTLAND STREET, LONDON United Kingdom</t>
  </si>
  <si>
    <t>POMdesk</t>
  </si>
  <si>
    <t>Populemetry _2022</t>
  </si>
  <si>
    <t>Richard Bumbury</t>
  </si>
  <si>
    <t>richard@populemetry.com</t>
  </si>
  <si>
    <t>Populemetry is building a new financial market where, by capturing and analyzing interactions on social media and streaming entertainment applications, people can use their knowledge of entertainment and pop culture trends to invest in the popularity of movies, music, and television shows.</t>
  </si>
  <si>
    <t>No proof of concept</t>
  </si>
  <si>
    <t>This startup is extremely early. Product still at the concept stage. Not a fit for EFL this year. ; An early-stage company that needs more validation on the technology</t>
  </si>
  <si>
    <t>Ian Dailey (https://www.linkedin.com/in/ian-dailey)</t>
  </si>
  <si>
    <t>Populemetry</t>
  </si>
  <si>
    <t>Port. _2022</t>
  </si>
  <si>
    <t>Ilya Podolyako</t>
  </si>
  <si>
    <t>ip@runport.io</t>
  </si>
  <si>
    <t>Port. helps companies borrow.</t>
  </si>
  <si>
    <t>Very sparse application, vague/hard to tell what they do ("predict growth by monitoring spam"?). Suggests that they're in a very early stage, no tech validation details, etc. Not a fit for EFL.</t>
  </si>
  <si>
    <t>This demand and supply matching for private loans seems to be based more on the founder than any specific technology. Although the market is large, I don't see any competitive advantage between this and other lenders (no algorithms, risk models, etc.).</t>
  </si>
  <si>
    <t>157 East 86th Street, New York United States</t>
  </si>
  <si>
    <t>Port.</t>
  </si>
  <si>
    <t>QualDev _2022</t>
  </si>
  <si>
    <t>Preeti Bhansali</t>
  </si>
  <si>
    <t>pb2552@stern.nyu.edu</t>
  </si>
  <si>
    <t>Our parent company is QualDev Inc. We developed the Jewelry Customization Platform. Jewelry manufacturers would like to capitalize on the growing demand for custom jewelry items. However, current processes and available software are inefficient. Our platform makes fulfilling requests for custom jewelry items easy for retailers and manufacturers.</t>
  </si>
  <si>
    <t>custom jewelry platform not a fit for EFL reject</t>
  </si>
  <si>
    <t>The team has past experience in entrepreneurial ventures, but it seems that the addressable market for the opportunity is too small ($18M) and that each jewelry manufacturer would develop their own lightweight custom solution instead of using one solution as the market is fragmented.</t>
  </si>
  <si>
    <t>179B Old South Path, Melville, NY United States</t>
  </si>
  <si>
    <t>QualDev</t>
  </si>
  <si>
    <t>Rentastic _2022</t>
  </si>
  <si>
    <t>Borja Gallego Simó</t>
  </si>
  <si>
    <t>borjagallego@gmail.com</t>
  </si>
  <si>
    <t>Rentastic is a FinTech company that applies Big Data to the B2B equipment supply chain. They improve customer experience in terms of financial accessibility, faster sale process, faster response of technical services, traceability of second-hand equipment and overall transparency of the process.</t>
  </si>
  <si>
    <t>digital marketplace. right now, they are buying to rent, which makes the company very capital intensive.</t>
  </si>
  <si>
    <t>tech isn't novel, the startup isn't a tech play</t>
  </si>
  <si>
    <t>Between 1M$ and 1,5M$</t>
  </si>
  <si>
    <t>We started as part of Demium's incubation program, and we have just been selected for Decelera, which is an intensive program happening in September 2022.</t>
  </si>
  <si>
    <t>Calle Ribera, 1, 2nd floor, Valencia Spain</t>
  </si>
  <si>
    <t>Rentastic</t>
  </si>
  <si>
    <t>ReRent _2022</t>
  </si>
  <si>
    <t>Alikiah Barlcay</t>
  </si>
  <si>
    <t>alikiah@rerent.co</t>
  </si>
  <si>
    <t>Launched at Yale, ReRent is a on-demand property-management platform that?s helping students avoid debt and recoup their rent by monetizing their apartments whenever they?re traveling. ReRent makes it as easy to share your space on sites like Airbnb as it is to book a place. We?ve made it possible for anyone to sublet effortlessly and profitably.</t>
  </si>
  <si>
    <t>There is not enough technical moat to differentiate this startup. Also it is not a fit for EFL.</t>
  </si>
  <si>
    <t>- 1. tech isn't novel 2. lacking long term vision</t>
  </si>
  <si>
    <t>Yes: Techstars Atlanta 2021 and Yale Tsai CITY Summer Fellowship 2020.</t>
  </si>
  <si>
    <t>New Haven, CT United States</t>
  </si>
  <si>
    <t>ReRent</t>
  </si>
  <si>
    <t>RockStable _2022</t>
  </si>
  <si>
    <t>Carlos Viernes</t>
  </si>
  <si>
    <t>carlos.tapang@rockstable.io</t>
  </si>
  <si>
    <t>RockStable is the purveyor of ROKS, the first stablecoin designed for use outside exchanges, for everyday transactions such as paying dinner, buying gas and other payments.</t>
  </si>
  <si>
    <t>Seems to have a very superficial understanding of the tech and problem being solved</t>
  </si>
  <si>
    <t>This is a proposed stablecoin that seems to have little differentiation from other stablecoins that are out in the market already. I don't recommend inclusion into the EFL cohort.</t>
  </si>
  <si>
    <t>Yes, Founders' Institute.</t>
  </si>
  <si>
    <t>Redmond, WA United States</t>
  </si>
  <si>
    <t>RockStable</t>
  </si>
  <si>
    <t>Studentocity _2022</t>
  </si>
  <si>
    <t>David Chertok</t>
  </si>
  <si>
    <t>dc5012@nyu.edu</t>
  </si>
  <si>
    <t>Studentocity is an app that provides a platform for students to complete each others tasks , creating a better, more productive community and a safer delivery environment.</t>
  </si>
  <si>
    <t>- Too much risks associated with this business model, such as student safety. - Not an area for EFL</t>
  </si>
  <si>
    <t>While some students might jump at the chance to take on these requests for some pocket change, the problems this service solves are not significant: plenty of campus safety violations (e.g., sexual assault) occur between students, most food deliveries by third parties are completed with no issues, etc. With little potential for growth, this doesn't seem like a good fit for EFL.</t>
  </si>
  <si>
    <t>Sheridan, Wyoming United States</t>
  </si>
  <si>
    <t>Studentocity</t>
  </si>
  <si>
    <t>Supporteo _2022</t>
  </si>
  <si>
    <t>Michael Morozov</t>
  </si>
  <si>
    <t>mm@supporteo.tech</t>
  </si>
  <si>
    <t>Our augmented reality solution gets maintenance to the next level. AR apps support remote maintenance of the equipment and enable experts to remotely advise maintenance engineers to fulfill their tasks. With the help of augmented reality, maintenance time and errors are reduced, and it saves significant funds on the trips of high-level specialists.</t>
  </si>
  <si>
    <t>The founding team seems to be working on several startups at once; most are only PT on this one. Company seems similar to Spiral Technologies but with less innovation.</t>
  </si>
  <si>
    <t>This is an early-stage start up with good motivation and insight. But the technological innovation is vague</t>
  </si>
  <si>
    <t>Sunny Isles Beach, FL United States</t>
  </si>
  <si>
    <t>Supporteo</t>
  </si>
  <si>
    <t>Syntience Inc _2022</t>
  </si>
  <si>
    <t>Monica Anderson</t>
  </si>
  <si>
    <t>monica@syntience.com</t>
  </si>
  <si>
    <t>Syntience Inc provides Natural Language Understanding for NLP/NLU classification purposes in any human language as a cloud based MicroService.</t>
  </si>
  <si>
    <t>Lots of claims being made without evidence; the tech/NLU sounds really interesting but I don't think there is a real business here with this company</t>
  </si>
  <si>
    <t>- 1. big claim with no evidence or justification 2. no technical experts</t>
  </si>
  <si>
    <t>Other: Product development services paid for as salary on an ongoing basis.</t>
  </si>
  <si>
    <t>$600K - $2M</t>
  </si>
  <si>
    <t>Not in this company. Sens.AI used an incubator briefly</t>
  </si>
  <si>
    <t>Los Altos, CA United States</t>
  </si>
  <si>
    <t>Syntience Inc</t>
  </si>
  <si>
    <t>The Bridge _2022</t>
  </si>
  <si>
    <t>Fiona Huangfu</t>
  </si>
  <si>
    <t>zh1373@nyu.edu</t>
  </si>
  <si>
    <t>The Bridge is an education consulting company that aims to help international students quantitatively and qualitatively personalize and match their best-fitting schools via big data calculation, score evaluation, and one-to-one mentor service.</t>
  </si>
  <si>
    <t>no deep tech moat. competitive market with many players and low willingness to pay.</t>
  </si>
  <si>
    <t>At present, we have not contacted many other Start Up institutions, but we have communicated and contacted with many educational institutions in China, and many of them, such as New Oriental and TD, have shown their willingness to buy our services and further cooperate with us.</t>
  </si>
  <si>
    <t>JERSEY CITY, New Jersey United States</t>
  </si>
  <si>
    <t>The Bridge</t>
  </si>
  <si>
    <t>The Cloud World _2022</t>
  </si>
  <si>
    <t>Yizhuo Wang</t>
  </si>
  <si>
    <t>yw7245@nyu.edu</t>
  </si>
  <si>
    <t>The Cloud World is committed to building an open handheld world, upholding the core values of "mutual help", creating peer-to-peer public welfare projects, and constantly improving people's material and spiritual life. TCW closely integrates the virtual world and the real world in economic system, environmental system and social system.</t>
  </si>
  <si>
    <t>I don't understand what they are doing.</t>
  </si>
  <si>
    <t>- 1. not sure the need is there 2. doesn't require novel tech 3. founders don't have too much experience --technical or otherwise</t>
  </si>
  <si>
    <t>I have been a very independent child with my own ideas since childhood. Because my parents are in business and haven't given me much company since childhood, I will do some interesting things by myself, such as observing the people around me and making my own judgments. When I was a freshman, I wanted to open a dessert shop by myself. I discussed cooperation with the franchisee and went to the shop for inspection. Finally, I wrote down the first project feasibility report in my adult life in extremely immature language and marked the problematic part with a red pen. At that time, I secretly decided that if none of the above things were solved, I would not open this store for a day. The habit of not liking to rely on others makes my heart stronger and stronger. Then I opened an online clothing studio myself, but I didn't continue because of academic pressure. But I think when I'm young, I should keep trying, break through the limit and live my own beauty!</t>
  </si>
  <si>
    <t>Xi'an, Shaanxi China</t>
  </si>
  <si>
    <t>The Cloud World</t>
  </si>
  <si>
    <t>To be determined (TBD) _2022</t>
  </si>
  <si>
    <t>Shawn Averkamp</t>
  </si>
  <si>
    <t>shawnaverkamp@gmail.com</t>
  </si>
  <si>
    <t>TBD is a mobile app that empowers women and anyone with hormonal cycles to privately import, store, and share their cyclical health data with other health apps, healthcare providers, and researchers. These data consumers access data through licensed APIs, freeing them from the burden of storing user data and enabling them to build trusted products.</t>
  </si>
  <si>
    <t>The founder seems really great; she is currently part-time and the stage is still at concept; I would encourage her to apply again in 1-2 years</t>
  </si>
  <si>
    <t>To be determined (TBD)</t>
  </si>
  <si>
    <t>UnityActs _2022</t>
  </si>
  <si>
    <t>Mark Zhang</t>
  </si>
  <si>
    <t>markzhang3@yahoo.com</t>
  </si>
  <si>
    <t>UnityActs is a P2P Sportainment platform that helps grassroots teams to build supporting communities through fundraising, team management and social interaction.</t>
  </si>
  <si>
    <t>- At this current stage, there is no tech moat or defensible tech IP. - Has the potential to become a very popular community sports SaaS platform with strong revenue potential. - Not a fit for EFL. This is a community organization platform and not a tech play.</t>
  </si>
  <si>
    <t>not a tech play</t>
  </si>
  <si>
    <t>Yes, NewChip</t>
  </si>
  <si>
    <t>Vickie Chen</t>
  </si>
  <si>
    <t>UnityActs</t>
  </si>
  <si>
    <t>Oval NFT _2022</t>
  </si>
  <si>
    <t>Batool Aamir</t>
  </si>
  <si>
    <t>batool.aamir66@gmail.com</t>
  </si>
  <si>
    <t>Oval NFT is a B2B &amp; B2G Web 3.0 Blockchain startup helping businesses and governments to leverage blockchain technology and smart contracts especially for the Smart City development in 6 key areas including healthcare, mobility, &amp; energy.</t>
  </si>
  <si>
    <t>Tech not developed, no validation, vague description, too premature</t>
  </si>
  <si>
    <t>Plan9, A-Hub by ICESCO</t>
  </si>
  <si>
    <t>Karachi, Sindh Pakistan</t>
  </si>
  <si>
    <t>Oval NFT</t>
  </si>
  <si>
    <t>Too-King Technology _2022</t>
  </si>
  <si>
    <t>Zhengyu Chen</t>
  </si>
  <si>
    <t>zhouhaochen163@163.com</t>
  </si>
  <si>
    <t>Too-king is based on the use of blockchain technology to share and cannot be tampered with attributes, aiming to achieve through technology that everyone can accurately trust each other to conduct transactions on the network.</t>
  </si>
  <si>
    <t>Application is extremely vague. For example, this is its innovation: "Use blockchain to build a brand new platform that will create something that most companies have tried to create but failed at: trust." - Not a fit for EFL. Do not interview!</t>
  </si>
  <si>
    <t>Vague, still in concept phase, "unconditional trust" as long term goal seems lofty, competitive space. Not a fit for EFL.</t>
  </si>
  <si>
    <t>We need to know from practice how much dollars we consume per month</t>
  </si>
  <si>
    <t>Daqing, HEILONGJIANG China</t>
  </si>
  <si>
    <t>Too-King Technology</t>
  </si>
  <si>
    <t>TRAKID _2022</t>
  </si>
  <si>
    <t>Brandon Kashani</t>
  </si>
  <si>
    <t>brandon@trakid.com</t>
  </si>
  <si>
    <t>We create an interactive and educational platform for families visiting zoos, amusement parks and other outdoor venues. Our goal is to enhance the guest experience, build empathy and educate families on conservation while sending them on an adventure to discover hidden secrets, unlock quests of bravery, and explore everything the venues offer.</t>
  </si>
  <si>
    <t>fun idea, not a fit for EFL</t>
  </si>
  <si>
    <t>+ 1. idea is a good one - 1. tech is not deep or novel</t>
  </si>
  <si>
    <t>RIOT Accelerator 3 years ago.</t>
  </si>
  <si>
    <t>TRAKID</t>
  </si>
  <si>
    <t>Al-Hadi International Trading (SMC-Private) Limited _2022</t>
  </si>
  <si>
    <t>Kubra Bibi</t>
  </si>
  <si>
    <t>info@al-hadiintl.com</t>
  </si>
  <si>
    <t>We entered in the export business in 2019 and trying our best to meet the standards of International marketing. Our professional team is skilled and understands importance of quality products as we have always started our business with a strong focus on quality. Trust, faith and satisfaction of customers is our motto.</t>
  </si>
  <si>
    <t>Founder is PT and I'm not sure what the company does.</t>
  </si>
  <si>
    <t>The team is part time.</t>
  </si>
  <si>
    <t>Debt financing</t>
  </si>
  <si>
    <t>Preferred Equity</t>
  </si>
  <si>
    <t>Islamabad, Punjab Pakistan</t>
  </si>
  <si>
    <t>Al-Hadi International Trading (SMC-Private) Limited</t>
  </si>
  <si>
    <t>alpha.one _2022</t>
  </si>
  <si>
    <t>Conrad Olde Olthof</t>
  </si>
  <si>
    <t>coen@alpha.one</t>
  </si>
  <si>
    <t>Most marketing messages are waisted. People don't see it or pay attention. We predict where human attention will go using Neural Nets via expoze.io and Junbi.ai (a beta version in cooperation with YouTube)</t>
  </si>
  <si>
    <t>Not innovative or disruptive. Customer attention/focus in ads is already a thing.</t>
  </si>
  <si>
    <t>Rotterdam, ZH Netherlands</t>
  </si>
  <si>
    <t>alpha.one</t>
  </si>
  <si>
    <t>Ankler Media _2022</t>
  </si>
  <si>
    <t>Janice Min</t>
  </si>
  <si>
    <t>janice@theankler.com</t>
  </si>
  <si>
    <t>Ankler Media provides highly targeted, subscription information products to professional audience, delivering incisive and uncompromised information and analysis to aid their business decisions.</t>
  </si>
  <si>
    <t>Good company, earning revenues and scaling rapidly, but dont believe it is a fit for the EFL</t>
  </si>
  <si>
    <t>Seems like a solid company, but not a tech play</t>
  </si>
  <si>
    <t>The Ankler was part of Y Combinator's Winter 2022 class. Previously, Richard went through The Information's accelerator program.</t>
  </si>
  <si>
    <t>907 Westwood Blvd #409, Los Angeles, California United States</t>
  </si>
  <si>
    <t>Ankler Media</t>
  </si>
  <si>
    <t>Avatar Interview Training _2022</t>
  </si>
  <si>
    <t>Pekka Santtila</t>
  </si>
  <si>
    <t>pos2@nyu.edu</t>
  </si>
  <si>
    <t>Avatar Interview Training provides automated and scalable interview training using serious gaming for police officers and other professionals in order to solve problem in the quality of witness and suspect interviews. The customer organisations are provided with a more efficient and less costly solution to the problem of training interviewers.</t>
  </si>
  <si>
    <t>Too early. Invite to Berkley.</t>
  </si>
  <si>
    <t>While there may be a good technology solution here, it seems to be too early for EFL.</t>
  </si>
  <si>
    <t>NYU Shanghai, 1555 Century Avenue, Shanghai China</t>
  </si>
  <si>
    <t>Avatar Interview Training</t>
  </si>
  <si>
    <t>BLD Funds _2022</t>
  </si>
  <si>
    <t>Pedro Alves de Lima</t>
  </si>
  <si>
    <t>pedro@bldfunds.com</t>
  </si>
  <si>
    <t>BLD Funds is a real estate investment platform that is democratizing the sector by allowing everyday investors to purchase shares of properties in the residential, commercial, and hospitality industries at the click of a button.</t>
  </si>
  <si>
    <t>Very early for EFL, not a fit.</t>
  </si>
  <si>
    <t>It's a good idea, but just an idea. Way too early for EFL.</t>
  </si>
  <si>
    <t>I have not been affiliated with another startup program.</t>
  </si>
  <si>
    <t>Victor Bittar</t>
  </si>
  <si>
    <t>BLD Funds</t>
  </si>
  <si>
    <t>Blockant.io _2022</t>
  </si>
  <si>
    <t>Lucas Brunone</t>
  </si>
  <si>
    <t>lucasbrunone@blockant.io</t>
  </si>
  <si>
    <t>Blockant is an ecosystemic climate change mitigation platform which merges blockchain&amp;sustainability consulting for companies to measure and compensate their CO2, Hidric and GEIs footprint via S.D.G. projects in a digital and automated way, while generating new business opportunities for a sustainable world.</t>
  </si>
  <si>
    <t>Too early and it's unclear what they actually do</t>
  </si>
  <si>
    <t>&lt;--- agreed!</t>
  </si>
  <si>
    <t>Diana Silveira (UP ARGENTINA)</t>
  </si>
  <si>
    <t>Vicente Lopez, Buenos Aires Argentina</t>
  </si>
  <si>
    <t>Blockant.io</t>
  </si>
  <si>
    <t>Breakthru _2022</t>
  </si>
  <si>
    <t>Alex Miles</t>
  </si>
  <si>
    <t>alex@joinbreakthru.com</t>
  </si>
  <si>
    <t>digital intermediary; no tech moat</t>
  </si>
  <si>
    <t>This is a potentially helpful business, but not investable.</t>
  </si>
  <si>
    <t>Headstream (Melinda Gates/Pivotal Ventures)|Techstars (finished in March 2022)</t>
  </si>
  <si>
    <t>Brooklyn NY, United States</t>
  </si>
  <si>
    <t>Breakthru</t>
  </si>
  <si>
    <t>Foundhowt _2022</t>
  </si>
  <si>
    <t>Gowtham Venugopal</t>
  </si>
  <si>
    <t>gowthamvenugopal@foundhowt.com</t>
  </si>
  <si>
    <t>Foundhowt does matchmaking to solve copywriting issues for talent, providing reach.</t>
  </si>
  <si>
    <t>Too early for EFL. Still at concept stage. Do not recommend.</t>
  </si>
  <si>
    <t>- 1. no useful info -- website is broken</t>
  </si>
  <si>
    <t>605 Pavonia Ave, Jersey City United States</t>
  </si>
  <si>
    <t>Foundhowt</t>
  </si>
  <si>
    <t>Goody Basket Games, LLC _2022</t>
  </si>
  <si>
    <t>Robert Seibel</t>
  </si>
  <si>
    <t>protectuv260@gmail.com</t>
  </si>
  <si>
    <t>Goody Basket Games, LLC helps solve personal conflicts using fun games for parents, employees, students, anyone who is experiencing personal kerfuffles in daily life who is looking for happier relationships, fun problem solving and educational experiences.</t>
  </si>
  <si>
    <t>- Not an EFL fit. - Startup too early. - No customer discovery.</t>
  </si>
  <si>
    <t>This individual has an interesting idea, but I think is too early for EFL. He needs a different type of incubator or mentoring program to help him flesh out the idea and find a cofounder. He also disclosed that he is a recovered sex offender after spending nearly 7 years in treatment.</t>
  </si>
  <si>
    <t>Currently enrolled in the NYU Tandon program for veterans. https://engineering.nyu.edu/research-innovation/entrepreneurship/veteran-support</t>
  </si>
  <si>
    <t>Whiting, NJ United States</t>
  </si>
  <si>
    <t>Goody Basket Games, LLC</t>
  </si>
  <si>
    <t>HeyLayer _2022</t>
  </si>
  <si>
    <t>Allaq Koretskey</t>
  </si>
  <si>
    <t>gary@heylayer.com</t>
  </si>
  <si>
    <t>Product pathway lacks clarity</t>
  </si>
  <si>
    <t>Seed|Other: $60,000</t>
  </si>
  <si>
    <t>1. SCALE Challenge - Walton Family Foundation|2. Stacks Accelerator - Graduated in 2021</t>
  </si>
  <si>
    <t>St. John Florida, United States</t>
  </si>
  <si>
    <t>HeyLayer</t>
  </si>
  <si>
    <t>Intelpure _2022</t>
  </si>
  <si>
    <t>Rigdha Banerjee</t>
  </si>
  <si>
    <t>rigdha.archi@gmail.com</t>
  </si>
  <si>
    <t>Intelpure helps startups to ideate, navigate and also develop science based ethical products</t>
  </si>
  <si>
    <t>concept stage. exact product/idea is very loosely stated</t>
  </si>
  <si>
    <t>Not really</t>
  </si>
  <si>
    <t>88 Clifton Place, H 111, Jersey city United States</t>
  </si>
  <si>
    <t>Intelpure</t>
  </si>
  <si>
    <t>LYK INC _2022</t>
  </si>
  <si>
    <t>ADRIS CHAKRABORTY</t>
  </si>
  <si>
    <t>adris@lykapp.com</t>
  </si>
  <si>
    <t>LYKSTAGE, a flagship product for LYK is a user generated video sharing platform for creators unlocking their full potential to monetize and control over the content they create also rewarding its viewers for value of their time being spent on the platform while watching content.</t>
  </si>
  <si>
    <t>User generated video content not a fit for EFL mentors</t>
  </si>
  <si>
    <t>- 1. very crowded space, not sure what their edge is</t>
  </si>
  <si>
    <t>$2 million</t>
  </si>
  <si>
    <t>Y Combinator Startup School</t>
  </si>
  <si>
    <t>35-37, 36th Street, Astoria United States</t>
  </si>
  <si>
    <t>LYK INC</t>
  </si>
  <si>
    <t>MAE _2022</t>
  </si>
  <si>
    <t>Natalí Aun Santiago</t>
  </si>
  <si>
    <t>naun@maemprendedoras.com</t>
  </si>
  <si>
    <t>Our mission is to democratize access to entrepreneurship through a platform where small business owners (to be) can further develop their entrepreneurial potential by connecting themselves with service providers.</t>
  </si>
  <si>
    <t>Diana Silveira</t>
  </si>
  <si>
    <t>Buenos Aires, Capital Federal Argentina</t>
  </si>
  <si>
    <t>MAE</t>
  </si>
  <si>
    <t>MechanicMe _2022</t>
  </si>
  <si>
    <t>Warren Brooks</t>
  </si>
  <si>
    <t>mmservice@mechanicme.app</t>
  </si>
  <si>
    <t>MechanicMe is an online marketplace for auto repair. We advocate for inclusive small mechanic shops to help improve the customer?s experience. In addition, MechanicMe?s ERP software assists mechanics with managing accounting and finance, inventory, CRM, and much more. Given that, we hope to revolutionize and convenience the lives of our consumers.</t>
  </si>
  <si>
    <t>not a fit. no tech,</t>
  </si>
  <si>
    <t>Competitive space. No information about founders.</t>
  </si>
  <si>
    <t>$100,000+</t>
  </si>
  <si>
    <t>Yes, NSF I-Corps Accelerator</t>
  </si>
  <si>
    <t>UW - CoMotion</t>
  </si>
  <si>
    <t>MechanicMe</t>
  </si>
  <si>
    <t>MetaPals _2022</t>
  </si>
  <si>
    <t>Max Giammario</t>
  </si>
  <si>
    <t>max@metapals.pet</t>
  </si>
  <si>
    <t>MetaPals is a browser extension that allows users to interact and grow pets directly from their browser computer screen, providing them engaging gameplay and genuine social connection with virtual pets whilst developing innovation into the metaverse community. Non-crypto users can also achieve a non-intrusive experience with MetaPals.</t>
  </si>
  <si>
    <t>Not EFL material.</t>
  </si>
  <si>
    <t>Not relevant to EFL tracks</t>
  </si>
  <si>
    <t>Techstars Filecoin Accelerator</t>
  </si>
  <si>
    <t>MetaPals</t>
  </si>
  <si>
    <t>MOBU _2022</t>
  </si>
  <si>
    <t>Jevaughn Harvey</t>
  </si>
  <si>
    <t>Jevaughnh17@gmail.com</t>
  </si>
  <si>
    <t>Mobu creates a marketplace where independent service providers connect to their clients through an efficient platform allowing them to bypass traditional barriers to entry. Mobu gives the providers the opportunity to build their clientele independently while also providing location flexibility to maximize growth potential.</t>
  </si>
  <si>
    <t>- Startup really early. There is no website. The application is very vague about the specific type of services to be provided. - This is problematic, because of strong competitors in each category of services, such as Thumbtack, Angie's List, etc. - No customers. - To complete initial beta in about 6-8 months. - Not an EFL startup.</t>
  </si>
  <si>
    <t>Too early. Very competitive market. High risk of disintermediation. Challenging customer acquisition.</t>
  </si>
  <si>
    <t>Mobu has been trying to acquire tools to refine its business, as such we participated in NYU Leslie Elab startup sprint which helped us with business model refinement and customer discovery. It helped to give us a better understanding of the pace and steps needed to properly start and grow an E commerce business and platform. It showed us that focusing on customer needs will be the primary tool for our continued growth and development. It helped refine the surveys and market research being done to ensure the focus of the business was focused on delivering solutions and not just our desires.</t>
  </si>
  <si>
    <t>3180 Express Drive South, Suite E, Islandia, NY 11749, New York United States</t>
  </si>
  <si>
    <t>MOBU</t>
  </si>
  <si>
    <t>MUST HAD _2022</t>
  </si>
  <si>
    <t>EUGENIO RIGANTI</t>
  </si>
  <si>
    <t>eugenio.riganti@musthad.com</t>
  </si>
  <si>
    <t>Must Had is a b2b2c platform that creates a circular supply chain for turning textile waste into new clothing and accessories thanks to a community of brands, artisans, designers and laboratories specialised in creating value from what already exists.</t>
  </si>
  <si>
    <t>No tech here. Not a fit for the EFL</t>
  </si>
  <si>
    <t>Not novel/impactful, not a fit for EFL.</t>
  </si>
  <si>
    <t>yes, in October 2021 we have been accelerated by Fashion Technology Accelerator in Milan</t>
  </si>
  <si>
    <t>TORINO, TORINO Italy</t>
  </si>
  <si>
    <t>MUST HAD</t>
  </si>
  <si>
    <t>MyArtVisit _2022</t>
  </si>
  <si>
    <t>Gabriela Maria Marcuzzi</t>
  </si>
  <si>
    <t>gmmarcuzzi@gmail.com</t>
  </si>
  <si>
    <t>MyArtVisit is a web platform to avoid the overwhelming feeling when visiting art museums for art lovers and museum audiences, providing a service of different short theme-curated tours.</t>
  </si>
  <si>
    <t>Not an attractive market/solution</t>
  </si>
  <si>
    <t>Not at the moment. When asking for the subsidy, I had the fortune to work with CEDEX. CEDEX is an incubator from the university I graduated from. They helped me a lot.</t>
  </si>
  <si>
    <t>CEDEX</t>
  </si>
  <si>
    <t>Manuela Pedraza 1679, Ciudad Autónoma de Buenos Aires Argentina</t>
  </si>
  <si>
    <t>MyArtVisit</t>
  </si>
  <si>
    <t>People Pulse _2022</t>
  </si>
  <si>
    <t>Prerna Mukharya</t>
  </si>
  <si>
    <t>prerna@peoplepulse.tech</t>
  </si>
  <si>
    <t>PeoplePulse is a digital tech product generating rapid public insights using a data collection process that is rigorous, scientific, and affordable for frequent use. We utilise gig-workers to collect primary data through in-person and tele-calling surveys.</t>
  </si>
  <si>
    <t>gig-workers to collect primary data through in-person and tele-calling surveys. not a novel idea, not a fit for EFL</t>
  </si>
  <si>
    <t>Not an innovative idea of using gig workers to conduct phone and in-person surveys for B2B companies.</t>
  </si>
  <si>
    <t>Outline India was a part of the following programmes: - Winner of Government of India, UK Aid supported Startup Oasis; - Winner of Qualcomm?s QWIN Women Entrepreneurs India Network; - Part of the NASSCOMM 1000 Startups programme; - Winner of Dell Startup Challenge Yourstory, Dell; - Winner in Stanford, California, Alchemist Accelerator; - Finalist at Social Enterprise Academy India, Winner of Fellowship Awards, SEA</t>
  </si>
  <si>
    <t>Gurugram, Haryana India</t>
  </si>
  <si>
    <t>People Pulse</t>
  </si>
  <si>
    <t>Pool Party Co. _2022</t>
  </si>
  <si>
    <t>Sarah Ramrup</t>
  </si>
  <si>
    <t>sarah@pool.date</t>
  </si>
  <si>
    <t>Pool is a mobile dating app that reinvents online dating as a social activity for singles to get help from their friends, leading to better matches and stronger friendships.</t>
  </si>
  <si>
    <t>Dating app doesn't fall within EFL's purview</t>
  </si>
  <si>
    <t>Part-time founders</t>
  </si>
  <si>
    <t>We are affiliated with Washington University in St. Louis (Olin School of Business, Skandalaris Center)</t>
  </si>
  <si>
    <t>St. Louis, MO United States</t>
  </si>
  <si>
    <t>Pool Party Co.</t>
  </si>
  <si>
    <t>Raylon (subject to change) _2022</t>
  </si>
  <si>
    <t>Apolline Deroche</t>
  </si>
  <si>
    <t>apo@raylon.io</t>
  </si>
  <si>
    <t>We are leveraging AI to build the shazam of babies? cries. We bring millions of caregivers peace of mind by offering them support and personalized, timely and data-driven advice. Our first product utilizes the cutting edge of AI and proprietary audio processing to translate the meaning of a baby?s cry.</t>
  </si>
  <si>
    <t>- Both this startup and Zoundream are AI analytics startup interpreting baby cries this year. - Compared to Zoundream, this startup seems a lot less developed in its technology, its market development as well as its team. Details below: - Tech: failure to provide the amount of data it is analyzing to train its algorithm. - Market Development: failure to identify baby monitor equipment providers for go-to-market or the families its has worked with to test drive its product. - Team: failure to build out the team with relevant technical and business talent. - Deck referenced but not provided. Application poorly written.</t>
  </si>
  <si>
    <t>This is too early stage as no algorithm or app has been made. Little initial funding has been made and no product market fit or demonstrated commercial viability/interest.</t>
  </si>
  <si>
    <t>MIT VMS MIT Sandbox</t>
  </si>
  <si>
    <t>Raylon (subject to change)</t>
  </si>
  <si>
    <t>Res Bid _2022</t>
  </si>
  <si>
    <t>Timothy Jaw</t>
  </si>
  <si>
    <t>timothy.jaw@stern.nyu.edu</t>
  </si>
  <si>
    <t>Res Bid is the first reservations platform that allows customers to book their favorite and highly sought after restaurants on the spot. Tired of waiting 30 days in advance to book a reservation for your anniversary trip to NYC with no luck? Res Bid changes that, while creating a new revenue stream for restaurants and will disrupt how we dine!</t>
  </si>
  <si>
    <t>book your favorite and highly sought-after restaurants on the spot, pay for a reservation already a ton of platforms that can do this too early no real tech</t>
  </si>
  <si>
    <t>Concept phase, although there may be a niche for this, I believe it is too early stage to enroll into EFL.</t>
  </si>
  <si>
    <t>Joseph Stern, current Tech MBA student at NYU</t>
  </si>
  <si>
    <t>94 E. 4th St. #608, NY United States</t>
  </si>
  <si>
    <t>Res Bid</t>
  </si>
  <si>
    <t>Ripplenity Inc. _2022</t>
  </si>
  <si>
    <t>Eri Kobayashi</t>
  </si>
  <si>
    <t>eri.kobayashi@ripplenity.com</t>
  </si>
  <si>
    <t>Ripplenity Inc. is a Tokyo-based startup offering time and money saving as well as earth-friendly options for business presence building through its platform app "MINUTE STYLE" where clients can engage personal stylist online to have their head-to-toe outfit suggested based on the weather and schedule for the day from their existing wardrobes.</t>
  </si>
  <si>
    <t>Limited competitive advantage and lack of technology differentiation from personal stylists providing recommendations to people on wardrobe choices. No traction yet with regards to customers and 30 stylists signed up on platform over 3 years.</t>
  </si>
  <si>
    <t>None in US but had been selected for accelerator program for female entrepreneur run by Tokyo Metropolitan Government (APT Women) and EY shining women. Also recently visited Chicago under State Government's Global Ties US program.</t>
  </si>
  <si>
    <t>4-16-11, Minami Aoyama, Minato-ku, Tokyo Japan</t>
  </si>
  <si>
    <t>Ripplenity Inc.</t>
  </si>
  <si>
    <t>Scryper _2022</t>
  </si>
  <si>
    <t>Jose Antonio Tolentino</t>
  </si>
  <si>
    <t>jat10070@nyu.edu</t>
  </si>
  <si>
    <t>Scryper develops hardware and software products to provide solutions to the IT and Transportation industries, our products are designed for anyone who wants to reap the benefits of using a service based on cutting-edge technologies.</t>
  </si>
  <si>
    <t>INVITE NEXT YEAR - founder left the U.S. and withdrew their application.</t>
  </si>
  <si>
    <t>Not yet, we are seeking to affiliate to an NYU startup program</t>
  </si>
  <si>
    <t>Albuquerque, New Mexico United States</t>
  </si>
  <si>
    <t>Scryper</t>
  </si>
  <si>
    <t>Upfront _2022</t>
  </si>
  <si>
    <t>Deanna Oliver</t>
  </si>
  <si>
    <t>deannaoliverm@gmail.com</t>
  </si>
  <si>
    <t>Upfront offers a one-stop practice management solution for mental health providers. Our platform automates key administrative tasks, making it easy for private practices to offload their billing and admin work, so they can spend less time on paperwork and more time with patients</t>
  </si>
  <si>
    <t>product under development. too early. advise to apply to Berkley now and apply to the EFL 1-2 years from now.</t>
  </si>
  <si>
    <t>Very competitive space, tech not developed or novel</t>
  </si>
  <si>
    <t>NYU Elab Startup Bootcamp Clinton Global Initiative University Blackstone Launchpad Fellowship NYU Stern Venture Studio</t>
  </si>
  <si>
    <t>249 E 118th St Apt 2D New York, NY United States</t>
  </si>
  <si>
    <t>Upfront</t>
  </si>
  <si>
    <t>Videoster Inc. _2022</t>
  </si>
  <si>
    <t>Rundong Li</t>
  </si>
  <si>
    <t>hello@videoster.com</t>
  </si>
  <si>
    <t>online intermediary with no tech moat. produce not into mvp yet. too early plus not a fit.</t>
  </si>
  <si>
    <t>Tech is not novel, not a fit for EFL</t>
  </si>
  <si>
    <t>- Newchip (2021 Sept Cohort)|- CofoundersLab (StartUP Accelerator, one of the ten startups, Beta 1)</t>
  </si>
  <si>
    <t>Mississauga Ontario, Canada</t>
  </si>
  <si>
    <t>Videoster Inc.</t>
  </si>
  <si>
    <t>3D-OPS _2022</t>
  </si>
  <si>
    <t>Haley Noelle</t>
  </si>
  <si>
    <t>haley@3dopsilk.com</t>
  </si>
  <si>
    <t>Are they using spider silk or just spidroin protein? Referred by John Butler and Phillip Hustad - who are they??</t>
  </si>
  <si>
    <t>John Butler and Phillip Hustad referral?</t>
  </si>
  <si>
    <t>Pre-seed|Other: Non-Dilutive funding (grants, competitions, etc.)</t>
  </si>
  <si>
    <t>PLASMA at UC Davis</t>
  </si>
  <si>
    <t>John Butler and Phillip Hustad</t>
  </si>
  <si>
    <t>Davis CA, United States</t>
  </si>
  <si>
    <t>3D-OPS</t>
  </si>
  <si>
    <t>3F Waste Recovery _2022</t>
  </si>
  <si>
    <t>Ben Wiper</t>
  </si>
  <si>
    <t>ben@3fwasterecovery.ca</t>
  </si>
  <si>
    <t>We are working hand-in-hand with local fishers, farmers and foresters to extract premium quality, sustainable and natural ingredients from their by-products, reducing landfill and ocean dumping. We?re focusing on products manufactured from the extraction of marine collagen and unique proteins from ethically and locally sourced Atlantic Cod.</t>
  </si>
  <si>
    <t>Deep Tech. Not a real tech innovation, but rather a sustainability focus using existing tech. Cod pet treats and collagen supplements manufactured from the extraction of marine collagen and unique proteins from ethically and locally sourced Atlantic Cod.</t>
  </si>
  <si>
    <t>This is a valuable product but not very innovative and there is nothing special in their tech.</t>
  </si>
  <si>
    <t>Approx. $385,000</t>
  </si>
  <si>
    <t>Ocean Supercluster 2020 and 2021 Cohorts, Climate Ventures Earth Tech 2022 Cohort, Foresight 2021 Cohort, Bounce Health Innovation 2022 Cohort</t>
  </si>
  <si>
    <t>Referral from mentor Shannon Bard, mentor in Foresight business accelerator in British Columbia, Canada</t>
  </si>
  <si>
    <t>St. John's, NL Canada</t>
  </si>
  <si>
    <t>3F Waste Recovery</t>
  </si>
  <si>
    <t>Addinex Technologies, Inc. _2022</t>
  </si>
  <si>
    <t>Jay Schiff</t>
  </si>
  <si>
    <t>jschiff@addinextech.com</t>
  </si>
  <si>
    <t>Applied to EFL in 2021, got 2 - main comments: no innovation. They still have no significant innovation Currently in MassChallenge and completed the Westchester County Biosciences Accelerator. Semifinalists in the 2017-18 NYU $300K Entrepreneurs Challenge.</t>
  </si>
  <si>
    <t>We're currently in MassChallenge and completed the Westchester County Biosciences Accelerator. We also were Semifinalists in the 2017-18 NYU $300K Entrepreneurs Challenge.</t>
  </si>
  <si>
    <t>New York New York, United States</t>
  </si>
  <si>
    <t>Addinex Technologies, Inc.</t>
  </si>
  <si>
    <t>Adroit Surgical _2022</t>
  </si>
  <si>
    <t>Paul Hagen</t>
  </si>
  <si>
    <t>phagen@adroitsurgical.com</t>
  </si>
  <si>
    <t>Adroit Surgical has developed the next generation of airway management, which provides a cost-effective approach to dramatically reduce or eliminate risks associated with intubation in any situation, from the battlefield, to the Operating room</t>
  </si>
  <si>
    <t>Seems like a niche market. Intubations are common but the uptake/benefit of this device is for difficult intubation procedures (25% of all intubations?).</t>
  </si>
  <si>
    <t>Useful but not exciting tech</t>
  </si>
  <si>
    <t>I presented at ACEP in a Shark tank format. I won 2nd place, and Audience Pick and was invited in to Texas Medical center TMCi - I did not apply, the accepted me, based on the pitch, and the audience of Doctors picking me.</t>
  </si>
  <si>
    <t>113904 Quailbrook Drive Oklahoma City, OK 73134, OK United States</t>
  </si>
  <si>
    <t>Adroit Surgical</t>
  </si>
  <si>
    <t>AiroSolve _2022</t>
  </si>
  <si>
    <t>Julio La Torre La Torre</t>
  </si>
  <si>
    <t>jclatorre@gmail.com</t>
  </si>
  <si>
    <t>AiroSolve is a company consisting of clinicians, engineers and programmers developing an AI powered, medical device/software platform designed for both physicians and nurses that will optimize how oxygen is delivered in the hospital.</t>
  </si>
  <si>
    <t>I think this startup is in an earlier stage than what we are looking for. Their prototype is not yet finalized, and they haven?t raised any funding except a 25K grant. Plus, they are far behind their competitors, and they don?t offer any substantial advantage. Their innovation is derivative in my opinion.</t>
  </si>
  <si>
    <t>UCLA Biodesign program: biodesign.ucla.edu</t>
  </si>
  <si>
    <t>1001 Gayley Avenue, Los Angeles, California United States</t>
  </si>
  <si>
    <t>AiroSolve</t>
  </si>
  <si>
    <t>Akeso Therapeutics, Inc. _2022</t>
  </si>
  <si>
    <t>Xianzheng (Jerry) Zhou</t>
  </si>
  <si>
    <t>xzhou@akesotherapeuticsinc.com</t>
  </si>
  <si>
    <t>By leveraging our proprietary cell expansion platform, Akeso Therapeutics, Inc. develops chimeric antigen receptor (CAR)-modified natural killer T (NKT) cell therapy to solve major problems in current conventional CAR-T cell therapy and provide off-the-shelf, non genome-edited and safe, affordable, and efficacious cancer immunotherapy.</t>
  </si>
  <si>
    <t>Expansion of iNKT cells for CAR therapy without the need for genetic modification. Validated efficacy in a mouse model (n=5). 1 PCT granted, 1 provisional filed. Very strong scientific team (Harvard, MIT Hopkins, Cornell, MSKCC), but only the CEO is full time. No business experience or advisors. Minimal fundraising - too early, but definitely invite next year.</t>
  </si>
  <si>
    <t>Science is well-grounded, but they lack business knowledge, this makes them a great candidate for EFL. Therapeutics based on CAR NKT Cells. These cells can be off-the-shelf, release mid-level cytokines, and don't require CRISPR/Cas-9 gene editing. Tech development and validation in early stage.</t>
  </si>
  <si>
    <t>Other: Angel</t>
  </si>
  <si>
    <t>great tech in T cells without genetic modification; small sample, PCT granted and 1 provisional patent; extremely strong scientific team; only CEO is full time, no business experience or advisors, low fund raising</t>
  </si>
  <si>
    <t>54 Winchester Court, Yorktown Heights/NY United States</t>
  </si>
  <si>
    <t>Akeso Therapeutics, Inc.</t>
  </si>
  <si>
    <t>Alaria Biotech _2022</t>
  </si>
  <si>
    <t>Kolt Marbach</t>
  </si>
  <si>
    <t>k_marbach@alariabiotech.com</t>
  </si>
  <si>
    <t>Alaria is an early-stage company engaged in the development of Everdose, a patentable, SMART, implantable, fully self-contained drug delivery system. Alaria?s focus is to improve the efficacy of drug therapy in the treatment of critical diseases and disorders (e.g., cancer, seizure disorders, Parkinson?s disease, Alzheimer?s).</t>
  </si>
  <si>
    <t>Implantable drug delivery system. In vitro only right now - consider for next year. First time founders with no medical experience, but have a qualified board to advise them. 5 patents pending.</t>
  </si>
  <si>
    <t>There are still at a concept stage, don't have any data. In their slide deck they say that in 2022 they will have PoC and in vitro efficacy</t>
  </si>
  <si>
    <t>$600,000 up to $1,500,000</t>
  </si>
  <si>
    <t>8013 RR San Marcos , Texas United States</t>
  </si>
  <si>
    <t>Alaria Biotech</t>
  </si>
  <si>
    <t>Aliform Inc. _2022</t>
  </si>
  <si>
    <t>Victor Suturin</t>
  </si>
  <si>
    <t>victor.suturin@aliform.de</t>
  </si>
  <si>
    <t>Aliform is an international Medtech startup developing minimally-invasive solutions for dermatology and aesthetic surgery. Our product Celluleaf is a platform technology for enabling aesthetic surgeons and dermatologists to treat scars, burns, acne, and cellulite safer, more effectively, and more affordable.</t>
  </si>
  <si>
    <t>A single-use medical device that makes the treatment of cellulite faster, safer and more profitable for clinics. The device is used under local anesthesia to create small, 2mm incisions and gently disrupt fibrous bands under the skin to promote healing. PCT app only, seems easy to mimic. Validated with cadaver tissue - how can this demonstrate healing capacity, rather than just fibrous band disruption? No tech innovation?</t>
  </si>
  <si>
    <t>Too early? Medical device for plastic surgery to treat cellulitis and other skin conditions. It seems more affordable for both patients and the surgeons but it is a single-use device and can be easily imitable.</t>
  </si>
  <si>
    <t>Health Wildcatters - 2021 cohort/Fund IX (health care accelerator, Texas/US), LSA - cohort 2020/2021 (Mannheim, Germany), Ac² Gründungswettbewerb - cohort 2019/2020 (Aachen, Germany)</t>
  </si>
  <si>
    <t>Dallas, Texas United States</t>
  </si>
  <si>
    <t>Aliform Inc.</t>
  </si>
  <si>
    <t>Alpha 1 Biologics _2022</t>
  </si>
  <si>
    <t>Cynthia Bristow</t>
  </si>
  <si>
    <t>cynthia.bristow@alph1biologics.com</t>
  </si>
  <si>
    <t>Alpha-1 Biologics is a biotechnology company formed to develop orally available, small molecules that elevate CD4+ helper T cells for treatment of immune deficiency such as occurs in chronic infection, HIV infection, malnutrition, and within the tumor microenvironment.</t>
  </si>
  <si>
    <t>Have in vitro and in vivo data They are ready to apply for FDA pre-IND meeting</t>
  </si>
  <si>
    <t>Orally administered alpha 1 protease inhibitor that could be used with checkpoint inhibitors for better tumor infiltration, HIV treatment and other chronic infections</t>
  </si>
  <si>
    <t>Long Island High Technology Incubator, Stony Brook University</t>
  </si>
  <si>
    <t>has good validation, the effect isn't dramatic, just minor; seems like a team of one, though the one person is well qualified;</t>
  </si>
  <si>
    <t>Stony Brook, NY United States</t>
  </si>
  <si>
    <t>Alpha 1 Biologics</t>
  </si>
  <si>
    <t>Alyve Medical _2022</t>
  </si>
  <si>
    <t>Yvonne Bokeman</t>
  </si>
  <si>
    <t>ybokelman@alyvemedical.com</t>
  </si>
  <si>
    <t>According to linkedin this company was only created in april 2022</t>
  </si>
  <si>
    <t>Motion tracking device with an algorithm to identify normal and abnormal motion of upper and lower extremity musculature.</t>
  </si>
  <si>
    <t>$14M</t>
  </si>
  <si>
    <t>No, but are exploring a couple of them right now.</t>
  </si>
  <si>
    <t>250 Fillmore St. Suite 150, Denver Colorado, United States</t>
  </si>
  <si>
    <t>Alyve Medical</t>
  </si>
  <si>
    <t>ASD.ai LLC _2022</t>
  </si>
  <si>
    <t>Tamera Jackson</t>
  </si>
  <si>
    <t>tj@asd.ai</t>
  </si>
  <si>
    <t>ASD.ai is the creator of Rootines - Rootines is a real-world data platform for pediatric chronic complex diseases with medical intervention. The goal is to facilitate monitoring between visits to enable early intervention when issues arise. Consisting of an app available on iOS and Android, a web-based platform makes clinical use efficient.</t>
  </si>
  <si>
    <t>SaaS platform for collecting health data and sharing this with relevant clinicians. Idea is vague and derivative. Raised $1M. The team is not technical. They have startup experience, but not in healthcare.</t>
  </si>
  <si>
    <t>Pass to DiT. Too early. Derivative idea. A data-based, AI-based, SaaS platform for recording patients health related data and sharing it with patient's health stakeholders (hospitals, etc.)</t>
  </si>
  <si>
    <t>No. We are in early talks with CHOC to join their innovation program.</t>
  </si>
  <si>
    <t>Red Oak , TX United States</t>
  </si>
  <si>
    <t>ASD.ai LLC</t>
  </si>
  <si>
    <t>Axaitech _2022</t>
  </si>
  <si>
    <t>Eugene Duvenage</t>
  </si>
  <si>
    <t>e.duvenage@axaitech.co.za</t>
  </si>
  <si>
    <t>Axaitech provides a liquid biopsy cancer diagnostics and treatment management platform.</t>
  </si>
  <si>
    <t>Offering liquid biopsy cancer diagnostics and a treatment management platform specifically on the African continent, addressing an under-treated population. Great social impact, but the tech is not validated and is only in the concept phase. Too early for the EFL.</t>
  </si>
  <si>
    <t>Stellenbosch University LaunchLab</t>
  </si>
  <si>
    <t>23 Clifton Ave, Gauteng South Africa</t>
  </si>
  <si>
    <t>Axaitech</t>
  </si>
  <si>
    <t>Biodimension Technology Pvt Ltd _2022</t>
  </si>
  <si>
    <t>Ranjith Kumar Velusamy</t>
  </si>
  <si>
    <t>ranjith@biodimension.in</t>
  </si>
  <si>
    <t>Biodimension is a tissue engineering company that develops bioprinted human tissues as an alternative to animal experiments in cosmetic testing and drug research. It saves millions of animal lives and provides better human-relevant data to cosmetic and pharma companies.</t>
  </si>
  <si>
    <t>3D printed human tissue models to be used as an alternative to animal testing in the costmetics and Pharma industries. Very early stage, would be a better fit next year.</t>
  </si>
  <si>
    <t>In the past, we are part of the Atal Innovation Mission-PRIME program which is one of the prestigious government of India-aided program to support deep tech startups in the country.</t>
  </si>
  <si>
    <t>Dr. Premnath, Venture Centre- Pune, India</t>
  </si>
  <si>
    <t>002C&amp;D, Technology Tower, VIT University, Vellore-632014, Tamilnadu India</t>
  </si>
  <si>
    <t>Biodimension Technology Pvt Ltd</t>
  </si>
  <si>
    <t>Biomedix SA, Geneva, Switzerland _2022</t>
  </si>
  <si>
    <t>Norman Godin</t>
  </si>
  <si>
    <t>norman.godin@biomedix.ch</t>
  </si>
  <si>
    <t>New medical devices placed on an ambulatory basis through the mouth to treat GERD (Gastro-esophageal Reflux Disease (hearburn) and/or obesity</t>
  </si>
  <si>
    <t>New techniques to place medical devices through the mouth under endoscopic control. Doesn't seem like a significant tech innovation, and no data provided (says they have animal studies?). Solo, part-time founder.</t>
  </si>
  <si>
    <t>2'000'000-5'000'000</t>
  </si>
  <si>
    <t>14 Quai du Seujet, Geneva Switzerland</t>
  </si>
  <si>
    <t>Biomedix SA, Geneva, Switzerland</t>
  </si>
  <si>
    <t>BLUEWAVE Technologies _2022</t>
  </si>
  <si>
    <t>Justin Zhou</t>
  </si>
  <si>
    <t>justin.zhou@mybluewave.com</t>
  </si>
  <si>
    <t>BLUEWAVE Technologies does disinfection without any water or detergents to solve a huge problem of no current solutions can disinfect patient devices for O&amp;P, Podiatry and Woundcare patients, providing better patient outcome and satisfaction.</t>
  </si>
  <si>
    <t>Deep Tech. Sanitizing podiatric devices with ozone. Put podiatric boot in a bag, fills with ozone, ozone is cycled out. IP is well protected, but this tech is derivative. Raised almost $5M and have $10K MRR. NYU Faculty is claimed in the app, but I'm not sure who it is.</t>
  </si>
  <si>
    <t>Pass to DT. The claimed NYU affiliation is not clear. Maybe they build a sustainable business, but definitely not a unicorn. Tech is derivative. Team is good, but not star. Generally I didn't find anything exciting about this startup.</t>
  </si>
  <si>
    <t>Yes. Guidewell. Quake Capital. Morgan Stanley.</t>
  </si>
  <si>
    <t>change to DT; using ozone to sanitize; not a tech innovation</t>
  </si>
  <si>
    <t>BLUEWAVE Technologies</t>
  </si>
  <si>
    <t>Brigade Automation Corporation LLC _2022</t>
  </si>
  <si>
    <t>Tom Burns</t>
  </si>
  <si>
    <t>tom@baggerbot.com</t>
  </si>
  <si>
    <t>High Speed - Highly transportable robotic bagging machine.</t>
  </si>
  <si>
    <t>Deep Tech. Solo part-time founder, not a significant tech innovation.</t>
  </si>
  <si>
    <t>Other: Crowd funding</t>
  </si>
  <si>
    <t>1 Million dollars</t>
  </si>
  <si>
    <t>Yes - SJSU Mechanical Engineering Department.</t>
  </si>
  <si>
    <t>1525 Gold St. Unit # 3327, ca United States</t>
  </si>
  <si>
    <t>Brigade Automation Corporation LLC</t>
  </si>
  <si>
    <t>BWISECORP Blue Whale Invention Safety Energy Corporation _2022</t>
  </si>
  <si>
    <t>Landon Lavigne</t>
  </si>
  <si>
    <t>bwisecorp@gmail.com</t>
  </si>
  <si>
    <t>BWISECORP will do medical inventions to solve patient pain from routine medical procedures requiring equipment that is old and antiquated and in need of updating with new technological design eliminating unnecessary patient pain!</t>
  </si>
  <si>
    <t>Red flags everywhere in this application.</t>
  </si>
  <si>
    <t>A really weird and confusing concept. Referred by the applicant as "life changing God given ideas"!!!!</t>
  </si>
  <si>
    <t>11261 Hwy 12 , Orange / Texas United States</t>
  </si>
  <si>
    <t>BWISECORP Blue Whale Invention Safety Energy Corporation</t>
  </si>
  <si>
    <t>Cardiología Hiskin _2022</t>
  </si>
  <si>
    <t>Gonzalo Roggia</t>
  </si>
  <si>
    <t>gonzalo.roggia1@gmail.com</t>
  </si>
  <si>
    <t>Hiskin Cardiology is about incorporating digitization tools and online monitoring of patients, promoting medical visits to each town in the region with the aim of preventing heart disease and other frequent diseases; therefore arriving in a combined way both physically and digitally and thus generating an effect of constant closeness that empowers</t>
  </si>
  <si>
    <t>Digitization of health records and monitoring for patients in Argentina. Husband-wife engineer-cardiologist duo, both part-time. No tech innovation, too early. Not a fit.</t>
  </si>
  <si>
    <t>Diana Silveira from Universidad de Palermo</t>
  </si>
  <si>
    <t>Pincén, Córdoba Argentina</t>
  </si>
  <si>
    <t>Cardiología Hiskin</t>
  </si>
  <si>
    <t>Certa Dose _2022</t>
  </si>
  <si>
    <t>Caleb Hernandez</t>
  </si>
  <si>
    <t>Caleb@certadose.com</t>
  </si>
  <si>
    <t>We make medication dosing solutions that solve the problem of dosing error. Every year 1.5 million dosing errors harm Americans, we reduce the rate to zero errors.</t>
  </si>
  <si>
    <t>Won Johnson &amp; Johnson Innovation Award for Advancing Safety in Healthcare 2017</t>
  </si>
  <si>
    <t>J&amp;J JLABS startup. Revenue of 500K/y. I'm not sure if they are a startup. poor application. A company producing OTC dosing tests.</t>
  </si>
  <si>
    <t>3 million</t>
  </si>
  <si>
    <t>JLABS</t>
  </si>
  <si>
    <t>strong revenue, out of JLabs, application was very general; unclear objectives for joing EFL; competetor for epi-pens, but again unclear what they want/would gain from EFL; already planning on Walgreen/CVS selling within next year</t>
  </si>
  <si>
    <t>2590 Welton Street, Suite 200, Denver, Colorado United States</t>
  </si>
  <si>
    <t>Certa Dose</t>
  </si>
  <si>
    <t>CF Foods Group _2022</t>
  </si>
  <si>
    <t>Alison Fagan</t>
  </si>
  <si>
    <t>alison@cffoodsgroup.com</t>
  </si>
  <si>
    <t>We are developing CPG products that are climate friendly, cruelty free and conflict free at all levels of the value chain utilizing cell-cultivated proteins as core ingredients.</t>
  </si>
  <si>
    <t>Deep Tech. Cell-cultivated meats that are both human-grade and animal-grade (for dog treats). Team is not particularly scientific, and the tech really needs validation and regulatory approval.</t>
  </si>
  <si>
    <t>In my opinion this problem and solution is a promising thing to work on for a startup, and we definitely need many more startups globally to tackle this problem. I want to know about their prototype progress, scientific team members, and their advantages on the competitors. Plus, I want to know more about their future milestones and timeline since many startups have entered this space 10 years ago with strong tech innovations.</t>
  </si>
  <si>
    <t>I have just completed BIV cohort 5</t>
  </si>
  <si>
    <t>change to DT; also animal grade which is unusal. team not very scientific and needs more growth. potential cluster but already seen stronger apps in field</t>
  </si>
  <si>
    <t>1 Leonie Hill 26-03, Singapore Singapore</t>
  </si>
  <si>
    <t>CF Foods Group</t>
  </si>
  <si>
    <t>CFIT _2022</t>
  </si>
  <si>
    <t>Katherine Gardhouse</t>
  </si>
  <si>
    <t>katherinegardhouse@fit.institute</t>
  </si>
  <si>
    <t>CFIT is an innovator in the mental health sphere, using AI to develop new intervention approaches including a therapeutic tech platform to support better outcomes for people who struggle with mental health including those with severe mental health problems.</t>
  </si>
  <si>
    <t>Mental health app piloting in 2022 - too early.</t>
  </si>
  <si>
    <t>Too early. This is a DIT company. We can invite them next year.</t>
  </si>
  <si>
    <t>105 Beach Road, Hamilton, Ontario Canada</t>
  </si>
  <si>
    <t>CFIT</t>
  </si>
  <si>
    <t>ChoroPharma, LLC _2022</t>
  </si>
  <si>
    <t>Troy Chavis</t>
  </si>
  <si>
    <t>tchavis@choropharma.com</t>
  </si>
  <si>
    <t>ChoroPharma, is a generic ophthalmic pharmaceutical development firm whos focus is on the development and commercialization of complex generic ophthalmic medication to patients around the world.</t>
  </si>
  <si>
    <t>Not novel.</t>
  </si>
  <si>
    <t>1630 Medlin Creek Loop, Unit 301, North Carolina United States</t>
  </si>
  <si>
    <t>ChoroPharma, LLC</t>
  </si>
  <si>
    <t>Cinference _2022</t>
  </si>
  <si>
    <t>Christian Wirsching</t>
  </si>
  <si>
    <t>christian@cinference.bio</t>
  </si>
  <si>
    <t>Cinference uses machine learning to design therapeutic proteins in-silico instead of discovering them in a lengthy and costly wetlab process to help pharma companies reduce drug development time and provide pharma companies with a new class of therapeutics for undruggable targets.</t>
  </si>
  <si>
    <t>need more validation; invite for next year</t>
  </si>
  <si>
    <t>AI/ML driven protein design platform. It is a good idea but I would like to see some validation for this. They mention about a validation through Alphafold but it is not here. Nothing on their website.</t>
  </si>
  <si>
    <t>EIC Pathfinder project for protein design with Europes leading gene therapy institutes, Entrepreneur First, Nvidia inception program, The Science Entrepreneur Club, Amazon AWS Activate, Microsoft for Startups, Google for Startups.</t>
  </si>
  <si>
    <t>Cinference</t>
  </si>
  <si>
    <t>Clean Bite, LLC _2022</t>
  </si>
  <si>
    <t>John Gallagher</t>
  </si>
  <si>
    <t>jgallagher@cleanbitetm.com</t>
  </si>
  <si>
    <t>Clean Bite, LLC addresses oral hygiene for people and companion pets with one awarded U.S. Patent and Pending Patents in the U.S., EU, and India. These patent protections are enhanced through our collaboration with Livionex, Inc. by using its LivFresh Dental Gel, awarded the EU's CE Mark for the prevention of gingivitis and periodontitis.</t>
  </si>
  <si>
    <t>Maybe DT can take a look. Toothbrush/toothpaste alternative. Suitable for third- world countries. Pet product can be interesting.</t>
  </si>
  <si>
    <t>alternative to brushing teeth; single use and afterwards edible/digestible; great application for pets/animals, people with difficulty spitting/children</t>
  </si>
  <si>
    <t>Haverford, PA United States</t>
  </si>
  <si>
    <t>Clean Bite, LLC</t>
  </si>
  <si>
    <t>ClinConnect _2022</t>
  </si>
  <si>
    <t>Robert Maxwell</t>
  </si>
  <si>
    <t>rem@hey.com</t>
  </si>
  <si>
    <t>ClinConnect provides access to clinical trials for patients who would otherwise have little to no hope of ever knowing these options existed. Once enrolled, patients then have access to a trial-specific social network on ClinConnect, where they're able to interact with other patients undergoing the same treatment of the same disease.</t>
  </si>
  <si>
    <t>Interesting idea and seems like it could address a pain-point. That said, large pharma can contract out clinical studies and I dont think it is a simple matter of matching patients with pharma. Would like to learn more, but may have to pass on the idea for this year.</t>
  </si>
  <si>
    <t>10000 Santa Monica Blvd, Los Angeles, CA United States</t>
  </si>
  <si>
    <t>ClinConnect</t>
  </si>
  <si>
    <t>CLOWAK INNOVATIONS LLP _2022</t>
  </si>
  <si>
    <t>Surya M Rajendran</t>
  </si>
  <si>
    <t>clowakinnovations@gmail.com</t>
  </si>
  <si>
    <t>Clowak Innovations LLP is a Dental Technology company that develops Portable Dentistry Equipment?s, our Portable Dental Clinic (PDC) is an alternative to Mobile Dental Vehicles and Traditional Dental Clinic. Our PDC lays the foundation for Oral care of rural populations.</t>
  </si>
  <si>
    <t>Mobile dental clinic to reach rural populations. Concept phase, only validated through a survey.</t>
  </si>
  <si>
    <t>Clowak Innovations introduces Portable Dental Clinic (PDC), is portable dentistry equipment ideal for use for domiciliary, military, humanitarian and normally inaccessible environments. Not patentable. Nothing really technological.</t>
  </si>
  <si>
    <t>8,84,270.80</t>
  </si>
  <si>
    <t>VIT TBI</t>
  </si>
  <si>
    <t>no 73/a vaibav nagar phase 3 katpadi, TAMIL NADU India</t>
  </si>
  <si>
    <t>CLOWAK INNOVATIONS LLP</t>
  </si>
  <si>
    <t>CLYRA MEDICAL TECHNOLOGIES _2022</t>
  </si>
  <si>
    <t>Steve Harrison</t>
  </si>
  <si>
    <t>steveh@clyramedical.com</t>
  </si>
  <si>
    <t>Clyra is a medical device company that use our own patented and proprietary technology platform to create high efficacy antimicrobials and biofilm reduction products for use in surgery, burn and wound care applications.</t>
  </si>
  <si>
    <t>Wound management device and cleansing solution for post surgery, burns, diabetic ulcer, grafts and tissue substitutes. BD already has a similar product</t>
  </si>
  <si>
    <t>Yes. University of South Florida</t>
  </si>
  <si>
    <t>Westminster, CA United States</t>
  </si>
  <si>
    <t>CLYRA MEDICAL TECHNOLOGIES</t>
  </si>
  <si>
    <t>Cogniant _2022</t>
  </si>
  <si>
    <t>Neeraj Kothari</t>
  </si>
  <si>
    <t>neeraj@cogniant.co</t>
  </si>
  <si>
    <t>For pharma companies and healthcare professionals, who need to monitor patients remotely in their trials/treatments so that patient retention is maximized, Cogniant provides a low cost, mobile solution which ensures better adherence to treatments, &amp; also brings a new paradigm of objectively measuring brain health conditions using digital biomarkers</t>
  </si>
  <si>
    <t>Digital Tech track. "Cogniant is the Fitbit for brain health and aims to bring highly personalized brain health treatments to the world population." It's an app that lets users monitor sleep, stress, mood, etc. and provides this data to their physician, who get then directly contact the user with treatment. Integrates with iOS health app, FitBit, and Apple Watch. Too early for this year but could be interesting for next year.</t>
  </si>
  <si>
    <t>Overall, their solution is derivative, team is not field expert, they are in an early stage.</t>
  </si>
  <si>
    <t>Techstars, On Deck Accelerator, HITLAB Breakthrough alliance</t>
  </si>
  <si>
    <t>Minn Kim from On Deck Fund</t>
  </si>
  <si>
    <t>Change to DiT; "fitbit for brain health"; uses sleep data and other neuro things to relay to MDs; other services already do this better. potentially one to watch</t>
  </si>
  <si>
    <t>Cogniant</t>
  </si>
  <si>
    <t>Cognitive IVF s.r.o. _2022</t>
  </si>
  <si>
    <t>Olga Chabr Grillova</t>
  </si>
  <si>
    <t>olga.grillova@leeaf.life</t>
  </si>
  <si>
    <t>Leeaf is a 2020 founded Czech MedTech start-up focused on improving the assisted reproduction journey by delivering seamless technological solutions to fertility challenges. Leeaf offers a fertility treatment portal and app that empowers patients and physicians by providing them with a full suite of personalized and data-driven tools for IVF.</t>
  </si>
  <si>
    <t>Digital tech. Portal/app for those seeking fertility treatment. Innovation has something to do with data collection - not well described or patented (maybe not patentable?). They're starting clinical trials in the EU and UK, but again these are not described. Raised a $2M Series A.</t>
  </si>
  <si>
    <t>DIT product. There are similar products. It is a very competitive space. I am not sure what is novel about this product. I might be wrong, then we can discuss.</t>
  </si>
  <si>
    <t>Not in US</t>
  </si>
  <si>
    <t>Olivova 6, Prague Czech Republic</t>
  </si>
  <si>
    <t>Cognitive IVF s.r.o.</t>
  </si>
  <si>
    <t>COMPOSTAME _2022</t>
  </si>
  <si>
    <t>Amalia Ares Giusti</t>
  </si>
  <si>
    <t>amalia@runasustentable.com</t>
  </si>
  <si>
    <t>COMPOSTAME is a brand of compostable packaging that seeks to replace fossil plastic. It's focused on innovating, designing and producing alternatives with the packaging industry and promoting the transition toward more sustainable models. Generates communication centered on empathy and rethinking, reformulating and redesigning what we are and do.</t>
  </si>
  <si>
    <t>Compostable packaging. Tech is not patentable because it is not novel - this already exists.</t>
  </si>
  <si>
    <t>Referred by Diana Silveira, CEDEX - UP. Compostable packaging. Already existing and not patentable. No technology.</t>
  </si>
  <si>
    <t>We have participated in different programs for entrepreneurs, the first was Mayma, which specializes in impact ventures, it gave us a good foundation for the seed moment of the business. We participated in a short program called Next Woman that put us in contact with strategic figures who continue to advise us today due to the links we generated. And lastly, Young Leaders of the Americas Initiative - YLAI 2022, Inés is currently completing the program and has been able to test the idea of ??the new consulting service that we seek to offer.</t>
  </si>
  <si>
    <t>Diana Silveira, CEDEX - UP</t>
  </si>
  <si>
    <t>CIUDAD AUTÓNOMA DE BUENOS AIRES, BUENOS AIRES Argentina</t>
  </si>
  <si>
    <t>COMPOSTAME</t>
  </si>
  <si>
    <t>Conan Medtech Corp. _2022</t>
  </si>
  <si>
    <t>Bayan Alturkestani</t>
  </si>
  <si>
    <t>balturkestani@gmail.com</t>
  </si>
  <si>
    <t>Conan Medtech is a medical device company based in Ithaca, New York. Conan is currently developing a POC diagnostic device (Real-Time Concussion Detection), to accurately, rapidly, and non-invasively diagnose the mild traumatic brain injury (m-TBI) in student athletes and sport organizations following a hit to the head.</t>
  </si>
  <si>
    <t>They participated in NSF I-Corp by Cornell University, SOSV IndieBio NY program class 4 of 2022. Currently using the NUY Langone labs and office.</t>
  </si>
  <si>
    <t>This is a good idea but would like to see some validation. Also I am not sure how this business could be scaled up? Maybe invite next year?</t>
  </si>
  <si>
    <t>Conan has participated in multiple programs including SABIC, Lori Hermelin Bush Seed Fund, NSF I-Corp by Cornell University, Springboard, and recently completed the SOSV IndieBio NY program class 4 of 2022.</t>
  </si>
  <si>
    <t>Ithaca NY United States</t>
  </si>
  <si>
    <t>Conan Medtech Corp.</t>
  </si>
  <si>
    <t>Constellation4 Health _2022</t>
  </si>
  <si>
    <t>Saru Seshadri</t>
  </si>
  <si>
    <t>saru@constellation4.com</t>
  </si>
  <si>
    <t>Healthcare technology innovator providing Provider Network Management, Provider Data Management and Healthcare Analytics solutions for leading Health Insurance Payers. Our focus is to enable Health plans and Providers to collaborate by streamlining the workflows between them powered by data.</t>
  </si>
  <si>
    <t>Trying to solve a real problem. Solid team with prior experience in the space. $2 M in revenues. But tech moat, differentiation and competitive advantage not clear.</t>
  </si>
  <si>
    <t>Salesforce Accelerator Cohort 12</t>
  </si>
  <si>
    <t>We graduated from the Salesforce Accelerator Cohort 12 this past fall which was specifically geared to help us accelerate our efforts on the Salesforce AppExchange. We graduated and were formally recognized as one of the top 3 most engaged companies out of 23 and recently passed our Security Review and went live on the AppExchange which was the primary goal of the program. We are also an active member of Embarc Collective, Florida's fastest growing Technology Hub. Embarc was founded by the Owner of the Tampa Bay Lightning, Jeff Vinik, and is more of an annual support hub with co-working space and coaches, vs. a "traditional accelerator".</t>
  </si>
  <si>
    <t>14502 N. Dale Mabry Hwy Suite 200, Florida United States</t>
  </si>
  <si>
    <t>Constellation4 Health</t>
  </si>
  <si>
    <t>Dentco _2022</t>
  </si>
  <si>
    <t>Erick Lima</t>
  </si>
  <si>
    <t>el3215@nyu.edu</t>
  </si>
  <si>
    <t>Dental service provider</t>
  </si>
  <si>
    <t>Dental services at NYU, no tech innovation. Not a fit.</t>
  </si>
  <si>
    <t>The application provides absolutely zero information. NYU affiliation.</t>
  </si>
  <si>
    <t>Dr Cho</t>
  </si>
  <si>
    <t>326 East 25th street Apt 4D , New York United States</t>
  </si>
  <si>
    <t>Dentco</t>
  </si>
  <si>
    <t>Dentia, Inc _2022</t>
  </si>
  <si>
    <t>Ellie Babaie</t>
  </si>
  <si>
    <t>e_babaie@yahoo.com</t>
  </si>
  <si>
    <t>Dentia offers preventative reparative dental oral rinses. The tooth cavity is the most common disease in humans with children (25%), teenagers (59%), and adults (92%) suffering from dental cavities. Our mouthwash is for general consumers who use dental hygiene products. our second mouthwash is over-counter against flu-like viruses such as covid.</t>
  </si>
  <si>
    <t>Niche market with large, established incumbents. Tough for founder to go solo to customers. Need to see some validation of claims.</t>
  </si>
  <si>
    <t>Olof Mollstedt from Alixia therapeutics is the referral</t>
  </si>
  <si>
    <t>Not at the moment</t>
  </si>
  <si>
    <t>Olof Mollstedt</t>
  </si>
  <si>
    <t>San Francisco bay area , CA United States</t>
  </si>
  <si>
    <t>Dentia, Inc</t>
  </si>
  <si>
    <t>Dream Tea NYC _2022</t>
  </si>
  <si>
    <t>Anney Norton</t>
  </si>
  <si>
    <t>anneynorton7@gmail.com</t>
  </si>
  <si>
    <t>Dream Tea creates custom blends of tea to help customers adopt a positive, relaxed mindset to tackle their goals and support their mental health.</t>
  </si>
  <si>
    <t>Deep Tech. Custom blend teas. Not a fit.</t>
  </si>
  <si>
    <t>Dream Tea NYC</t>
  </si>
  <si>
    <t>Earth To Go _2022</t>
  </si>
  <si>
    <t>Kevin Duffy</t>
  </si>
  <si>
    <t>kevind@bdfs.net</t>
  </si>
  <si>
    <t>Bio polymer that is a direct replacement to Styrofoam. Earth Maize was awarded the DuPont Sustainable packaging award for replacing Styrofoam trays used in Grocery stores and packer processors. By foaming a bio polymer we optimize the price point, increase the load barring strength and provide insulation values. Degrades in 30 to 40 days.</t>
  </si>
  <si>
    <t>Deep Tech. Founders say this is a biopolymer that is a direct replacement to Styrofoam. From their deck, I think they are using PLA which is a synthetic polymer (not a biopolymer) that degrades in 30-40 days without the need for heat/enzymes/chemicals. IP is not at all protected. DuPont Sustainable packaging award for replacing Styrofoam trays used in Grocery stores and packer processors. Founders not named in the deck - solo founder?</t>
  </si>
  <si>
    <t>DuPont sustainable packaging award.</t>
  </si>
  <si>
    <t>1000 West Main street Richland , Missouri United States</t>
  </si>
  <si>
    <t>Earth To Go</t>
  </si>
  <si>
    <t>echoscope _2022</t>
  </si>
  <si>
    <t>Daryl Chulho Hyun</t>
  </si>
  <si>
    <t>dhyun@echoscope.xyz</t>
  </si>
  <si>
    <t>Echoscope, born out of Oxford Biodesign program in 2019, was founded in 2020 to develop a comprehensive wearable solution for demystifying lower urinary tract symptoms (LUTS) such as urinary incontinence. We're developing a wearable device to track the bladder and behavior like a CGM and to visualize necessary information a patient needs.</t>
  </si>
  <si>
    <t>A wearable device that uses ultrasonic doppler to measure the fullness of the user's bladder. Interesting idea, but not differentiated from competitors and their R&amp;D is happening out of a garage - too early.</t>
  </si>
  <si>
    <t>DiT or DT may take a look. Oxford Biodesign Program. Too early. Their technology is highly derivative. I visited their competitors, and no special differentiation can be found in their product. A device that is connected to a mobile application for monitoring bladder capacity for incontinence patients. It alarms them when their bladder is full. The device can be attached under the underwear in pubic area.</t>
  </si>
  <si>
    <t>Current: entrepreneurship@UBC, Lab2Launch Program Past: Biodesign program at the University of Oxford (2019), EIT Health Validation Program, Yes!Delft Incubator, Delft, the Netherlands (2019), University of Waterloo, Velocity, Stage 1 (2020), CENTECH Acceleration Health stream (2020), Health Wildcatters.</t>
  </si>
  <si>
    <t>echoscope</t>
  </si>
  <si>
    <t>Edible Graveyards _2022</t>
  </si>
  <si>
    <t>Katya Bloomberg</t>
  </si>
  <si>
    <t>yn901@nyu.edu</t>
  </si>
  <si>
    <t>Edible cemetery gardens would enliven the urban environment, promote green burial practices, and provide access to green space, fresh fruits and vegetables to those who need it most.</t>
  </si>
  <si>
    <t>Concept. 0 funding.</t>
  </si>
  <si>
    <t>Croton on Hudson, NY United States</t>
  </si>
  <si>
    <t>Edible Graveyards</t>
  </si>
  <si>
    <t>Electra Beverages &amp; Nutritionals, LLC _2022</t>
  </si>
  <si>
    <t>Fran Harris</t>
  </si>
  <si>
    <t>fran@idrinkelectra.com</t>
  </si>
  <si>
    <t>One the surface we look. like a sports drink company but we are actually a nutritional science company that manufactures better for you, functional hydration.</t>
  </si>
  <si>
    <t>Mass Challenge SKU's BIPOC Accelerator (can't thnk of name)</t>
  </si>
  <si>
    <t>Electra Beverages &amp; Nutritionals, LLC</t>
  </si>
  <si>
    <t>eXeer Biotech, Inc _2022</t>
  </si>
  <si>
    <t>Sarah Kishinevsky</t>
  </si>
  <si>
    <t>sarah.kish@gmail.com</t>
  </si>
  <si>
    <t>Referred by Arthur Klausner Accepted in 2 incubators: Bakar Labs and MBC BioLabs</t>
  </si>
  <si>
    <t>Referred by Arthur Klausner. Great team, but: No data. No deck. No clear description of the tech. 0 funding. Too early.</t>
  </si>
  <si>
    <t>$2 - $3, or $7- $10</t>
  </si>
  <si>
    <t>No. We are accepted into two incubator programs (Bakar Labs and MBC BioLabs) in SF pending funding.</t>
  </si>
  <si>
    <t>Arthur Klausner</t>
  </si>
  <si>
    <t>299 Franklin St #258 San Francisco, United States</t>
  </si>
  <si>
    <t>eXeer Biotech, Inc</t>
  </si>
  <si>
    <t>Femtera Laboratories LLC _2022</t>
  </si>
  <si>
    <t>Grant (Guohua) Xiong</t>
  </si>
  <si>
    <t>guohua.xiong@femtera.com</t>
  </si>
  <si>
    <t>Femtera has been striving to innovate next-generation accurate, non-invasive, and affordable blood/urine tests for the diagnosis of severe diseases, including monitoring minimal residual disease (MRD) in multiple solid-tumor cancers. The novel tests will feature significantly improved diagnostic sensitivity and specificity.</t>
  </si>
  <si>
    <t>Applied to EFL in 2021 and got score 4 - main criticism was that they had no data. They are not showing data this year but mentioned that they did some validations</t>
  </si>
  <si>
    <t>Metabolite test for urological cancers- the detection sensitivity for each compound can be close to femtogram level. This is great but can we see some data</t>
  </si>
  <si>
    <t>Femtera was a member of the Indiana Center for Biomedical Innovation (12/2016 - 08/2018), and is currently affiliated with Indiana University School of Medicine (IUSM) - Biotechnology Research &amp; Training Center (BRTC)</t>
  </si>
  <si>
    <t>Re-app from LY; App didn't change much from last year; some validation; note: see further development for next year</t>
  </si>
  <si>
    <t>Indianapolis, Indiana United States</t>
  </si>
  <si>
    <t>Femtera Laboratories LLC</t>
  </si>
  <si>
    <t>First Person Solutions _2022</t>
  </si>
  <si>
    <t>Joel Adams</t>
  </si>
  <si>
    <t>joelaadams1948@gmail.com</t>
  </si>
  <si>
    <t>First Person Solutions has repurposed a generic compound and paired it with an Indian Ayurvedic to treat Covid and Long Covid providing symptomatic relief, lower hospitalization rates and lowered mortality for tens of millions of people annually.</t>
  </si>
  <si>
    <t>Selling a generic of a known drug to treat COVID-19 off-label. They claim there are 3 Ph3 clinical studies, but I think these were prior studies for the drug's initial approval, not for COVID-19 use. Not sure if it's actually validated for COVID-19 (I'm guessing no). IP is not protected. Founders come from great universities and have prior startup experience, but the "Product Description" section of this application is a mess. They don't know what TAM/SAM/SOM is and didn't Google it?</t>
  </si>
  <si>
    <t>If this treatment really works, it would be groundbreaking but I saw no evidence that it is the case.</t>
  </si>
  <si>
    <t>85 Kingston Road, Media, Pennsylvania United States</t>
  </si>
  <si>
    <t>First Person Solutions</t>
  </si>
  <si>
    <t>Fun Guy Project _2022</t>
  </si>
  <si>
    <t>Maria Rehan</t>
  </si>
  <si>
    <t>mr6398@nyu.edu</t>
  </si>
  <si>
    <t>We are 3 international students studying Biotech and Entrepreneurship. Our company, Fun-Guy started because we wanted to find an alternative to all the styrofoam (plastic) being accumulated. Fun-Guy is a play on the words Fungi. We intend to use mushroom mycelium (root structure) to replace disposable plastic cups and convential packaging.</t>
  </si>
  <si>
    <t>NYU Startup Bootcamp in Spring 2022 Leslie eLab</t>
  </si>
  <si>
    <t>We took part in the NYU Startup Bootcamp in Spring 2022 and had the opportunity to present our business thesis and model to the Mentors at NYU Entrepreneurial Institute (Leslie eLab) who gave us advise and coaching sessions to assist in our venture development.</t>
  </si>
  <si>
    <t>Fun Guy Project</t>
  </si>
  <si>
    <t>GaleSun Technologies _2022</t>
  </si>
  <si>
    <t>Christopher James</t>
  </si>
  <si>
    <t>christopher.james@galesuntech.com</t>
  </si>
  <si>
    <t>GaleSun Technologies is creating a new ultrasound imaging modality - one that is flexible, wearable, and hands-free. As a diagnostic tool, the wearable and hands-free design is unique in the marketplace. It is easy to use, does not require a second set of hands, and can monitor a variety of vital signs.</t>
  </si>
  <si>
    <t>Finalist in the 2021 Defense Innovation Accelerator cohort</t>
  </si>
  <si>
    <t>Ultrasonic device for any shaped object when paired with a flexible array</t>
  </si>
  <si>
    <t>7037 71st Street, New York United States</t>
  </si>
  <si>
    <t>GaleSun Technologies</t>
  </si>
  <si>
    <t>Genflow Biosciences _2022</t>
  </si>
  <si>
    <t>Eric Leire</t>
  </si>
  <si>
    <t>eric@genflowbio.com</t>
  </si>
  <si>
    <t>Gene therapy biotech listed on LSE (GENF.L), Genflow combines most advanced tools in gene delivery with most recent knowledge of the biology of aging to extend lifespan and increase the duration of health. Our lead compound is an exoAAV containing a transgene encoding the cDNA portion of a variant of the human SIRT6 gene found in centenarians.</t>
  </si>
  <si>
    <t>they have pre-clinical and clinical data</t>
  </si>
  <si>
    <t>Other: Follow on</t>
  </si>
  <si>
    <t>USD 2m</t>
  </si>
  <si>
    <t>already at IPO stage in London,</t>
  </si>
  <si>
    <t>Biopark Gosselies rue Auguste Piccard 48 6041 Charleroi, WB Belgium</t>
  </si>
  <si>
    <t>Genflow Biosciences</t>
  </si>
  <si>
    <t>GenoFAB, Inc. _2022</t>
  </si>
  <si>
    <t>Jean Peccoud</t>
  </si>
  <si>
    <t>peccoud@genofab.com</t>
  </si>
  <si>
    <t>GenoFAB provides a cloud solution to virtualize R&amp;D processes in life science. Today, laboratory personnel spent most of their time managing complex processes. Scientists should be focusing on designing experiments and interpreting the data they produced. GenoFAB optimizes the execution of scientific workflows over a grid of service providers.</t>
  </si>
  <si>
    <t>Digital Tech track. Software that optimizes the execution of scientific workflows over a grid of service providers. $50k/year revenues through usage fees, but only validated in their own lab. Prof. founders are all part-time.</t>
  </si>
  <si>
    <t>This might be a useful tool but it is not a fit for EFL</t>
  </si>
  <si>
    <t>Innosphere, Fort Collins.</t>
  </si>
  <si>
    <t>2519 S Shields St. Suite 1K #558, CO United States</t>
  </si>
  <si>
    <t>GenoFAB, Inc.</t>
  </si>
  <si>
    <t>Hypercell Technologies, Inc _2022</t>
  </si>
  <si>
    <t>Bruno Jactel</t>
  </si>
  <si>
    <t>bjactel@hypercelltech.com</t>
  </si>
  <si>
    <t>At Hypercell we identify, monitor, and manage biological contamination of the food chain to improve productivity and protect human health. We have developed a rapid, point of care, accurate molecular diagnostic that can identify in less than an hour any biological contaminant. It will give food chain integrators a tool to detect contaminants.</t>
  </si>
  <si>
    <t>Point-of-care rapid PCR test to detect pathogens in food sources. Validated on a "small scale", and are now deploying the product to test in larger scale pig farms. IP is not protected. Team from Duke and Mayo Clinic is mostly part-time, and has experience with startups but not in this space. Seems like an iteration of PCR that doesn't use a thermocycler rather than new tech.</t>
  </si>
  <si>
    <t>PoC test to detect pathogens in food. Part-time team. No patent. Minimal explanation on technology and validation.</t>
  </si>
  <si>
    <t>- We are part of the University of Illinois EntrerpriseWorks incubator (Champaign, Ill), where we conduct our research - We have been selected to be one of the 15 members (from a pool of more than 150 applicants) of the 2022 cohort of the FoodBytes program (Rabobank; https://www.foodbytesworld.com/) - We are supported by Georgia Research Alliance, a public-private partnership that forsters innovation coming the University System of the State of Georgia (https://gra.org/) - Our commercial operations are part of the accelerator "Curiosity Lab" of teh State of Georgia (https://www.curiositylabptc.com/)</t>
  </si>
  <si>
    <t>1062 Bluffhavene way NE, Brookhaven, 30319, GA United States</t>
  </si>
  <si>
    <t>Hypercell Technologies, Inc</t>
  </si>
  <si>
    <t>iAssay.net _2022</t>
  </si>
  <si>
    <t>Lonnie Adelman</t>
  </si>
  <si>
    <t>lonnie.adelman@iAssay.net</t>
  </si>
  <si>
    <t>Present testing uses branded gear, test results delayed by specimen transport, &amp; has single readers for each testing type. Bad interoperability &amp; error prone. iAssay readers adapt to existing 3rd party test cartridges at POC (no transport), new tests onboarded without a new reader. iAssay?s data mgmt Cloud portal provides test results &amp; raw data</t>
  </si>
  <si>
    <t>Will these 3rd party companies have legal issue with this company?</t>
  </si>
  <si>
    <t>Point of care diagnostics. The importance of this technology amplified during covid. Faster diagnosis comparing to conventional lab testing.</t>
  </si>
  <si>
    <t>San Diego CONNECT Springboard</t>
  </si>
  <si>
    <t>san diego, California United States</t>
  </si>
  <si>
    <t>iAssay.net</t>
  </si>
  <si>
    <t>IceBeanie _2022</t>
  </si>
  <si>
    <t>Nic Lamb</t>
  </si>
  <si>
    <t>nic@icebeanie.com</t>
  </si>
  <si>
    <t>Wearable compression cold therapy tech for relief from migraines headaches concussions and more!</t>
  </si>
  <si>
    <t>Wearable compression cold therapy tech for relief from migraines, headaches, concussions. Barely filled out the app. Mark Cuban is their main investor, giving them only $50K for 25% EQUITY on Shark Tank (https://2paragraphs.com/2021/03/ice-beanie-what-happened-after-50000-mark-cuban-shark-tank-deal/)</t>
  </si>
  <si>
    <t>As the biggest obstacle they stated "asteroid"</t>
  </si>
  <si>
    <t>Manhattan Beach, CA United States</t>
  </si>
  <si>
    <t>IceBeanie</t>
  </si>
  <si>
    <t>INCLODE LLC _2022</t>
  </si>
  <si>
    <t>PABLO LUCHETTI</t>
  </si>
  <si>
    <t>pluchetti@inclode.com.ar</t>
  </si>
  <si>
    <t>INCLODE LLC develops and produces a novel sutureless incision closure technology to offer a safer and more reliable non-invasive closure that requires little training and OR time to achieve optimal cosmetic results and ensures high patient comfort while reducing health care costs.</t>
  </si>
  <si>
    <t>Seems interesting but I am not sure if this works other than a blurry image of a pic skin</t>
  </si>
  <si>
    <t>MIAMI, FL United States</t>
  </si>
  <si>
    <t>INCLODE LLC</t>
  </si>
  <si>
    <t>Innov2Learn _2022</t>
  </si>
  <si>
    <t>Mike Boutin</t>
  </si>
  <si>
    <t>mike@i2L.ca</t>
  </si>
  <si>
    <t>We strive to tackle the healthcare skills shortage by making the user-friendliest simulated medical devices. Realistic, tangible, and connected. Allowing realistic training anywhere and anytime. Designed to be used on human-like robots and actors.</t>
  </si>
  <si>
    <t>DiT. Simplified medical devices that can be controlled with an app to train healthcare professionals. Ex: Thermometer where you set the temperature on your phone; glucose monitor where you set the measurements. Not sure how this is useful, but they have significant revenues: 2020: $100k, 2021: $205k, 2022: $350k. Says they are intended for use by human-like robots and actors. Why? One provisional patent, but the rest of the devices are not IP protected. Founders have startup experience and have sold medical devices, but they only want to join the EFL for their $2M fundraise.</t>
  </si>
  <si>
    <t>Good idea but not LS. Could be beneficial and efficient for the hospital staff. I dont know why the tech is used by human-like robots. Maybe we should transfer this one to DIT.</t>
  </si>
  <si>
    <t>Yes, Montreal-based technological incubator, the Centech. We have successfully gone through Acceleration (3 months) and Propulsion(2 years) programs.</t>
  </si>
  <si>
    <t>1001 rue Lenoir, SAuite B368, Quebec Canada</t>
  </si>
  <si>
    <t>Innov2Learn</t>
  </si>
  <si>
    <t>Iocure, Inc. _2022</t>
  </si>
  <si>
    <t>Daniel Farb</t>
  </si>
  <si>
    <t>dfarb@iocure.com</t>
  </si>
  <si>
    <t>Iocure uses a new approach to using iodine as a respiratory system antibiotic to cure both serious and minor infections for ambulatory and hospitalized patients, thereby substantially reducing morbidity and mortality around the world.</t>
  </si>
  <si>
    <t>Claimed that COVID-19 vaccines aren't effective but iodide salts cured him in hours...</t>
  </si>
  <si>
    <t>There is no clear evidence suggests that this technology could work.</t>
  </si>
  <si>
    <t>Not yet for this. Verbally accepted into Newchip; For Flower Turbines: Dreamit Ventures PortXL Impel+ (Department of Energy innovator for 2021.) Long Island Hitech Incubator and Stony Brook University</t>
  </si>
  <si>
    <t>can't remember</t>
  </si>
  <si>
    <t>Lawrence, NY United States</t>
  </si>
  <si>
    <t>Iocure, Inc.</t>
  </si>
  <si>
    <t>ION Medical Safety _2022</t>
  </si>
  <si>
    <t>Richard Norris</t>
  </si>
  <si>
    <t>RN@IONMedicalSafety.org</t>
  </si>
  <si>
    <t>ION Medical Safety was founded to prevent medical errors that are harming 400,000 patients a year. The PRECISE Surgical System designed with artificial intelligence, blockchain and robotics will prevent medical errors and save patient lives for acute care surgical centers. This will result in greater patient outcomes decreasing healthcare costs.</t>
  </si>
  <si>
    <t>Yes - Prepare4VC out of Boston, Massachusetts.</t>
  </si>
  <si>
    <t>3315 East Russell Road A4 435, Las Vegas , Nevada United States</t>
  </si>
  <si>
    <t>ION Medical Safety</t>
  </si>
  <si>
    <t>IonMedicine _2022</t>
  </si>
  <si>
    <t>Mariano Alday Bonanno</t>
  </si>
  <si>
    <t>mariano.alday@ionmedicine.com.br</t>
  </si>
  <si>
    <t>Their deck is in Portuguese How come they have NYU affiliation?</t>
  </si>
  <si>
    <t>I did not see any data that validates this product`s efficacy</t>
  </si>
  <si>
    <t>USD 1,000,000 - USD 2,000,000</t>
  </si>
  <si>
    <t>São Paulo São Paulo (SP), Brazil</t>
  </si>
  <si>
    <t>IonMedicine</t>
  </si>
  <si>
    <t>Kara _2022</t>
  </si>
  <si>
    <t>Polina Savina</t>
  </si>
  <si>
    <t>pis2009@nyu.edu</t>
  </si>
  <si>
    <t>Mobile application Kara conducts end to end encrypted behavioral analysis and cognitive testing of the user, based on orthogonal layout algorithms, analyzing they activity on the phone, in order to prevent possible mental illnesses among young adults and provide an opportunity for early assistance.</t>
  </si>
  <si>
    <t>App for mental health/behavioral analysis. Concept phase, too early.</t>
  </si>
  <si>
    <t>Digital Tech. Too early (concept).</t>
  </si>
  <si>
    <t>New York, NYC United States</t>
  </si>
  <si>
    <t>Kara</t>
  </si>
  <si>
    <t>Kolibri _2022</t>
  </si>
  <si>
    <t>Amélie Quilichini</t>
  </si>
  <si>
    <t>amelie@kolibrilab.com</t>
  </si>
  <si>
    <t>We are revolutionising the way we grow and engineer cells at scale using acoustic waves, in other words: sound. Showing 100x increase in cell density and 50x reduction in production costs, our patented bioreactors help our partners in drug development unlock patient access to cell and gene therapies.</t>
  </si>
  <si>
    <t>Deep Tech. Bioreactor that uses acoustic waves to grow cells for cell/gene therapy, increasing cell densities up to 100x. Tested using HEKs and they mention AAVs as a target. 1-5L culture designed but not validated? Only 1-100mL? They did not provide data so it is difficult to tell. HAX accelerator, raised $300K and have $5M circled for their Seed round. Founders from Imperial College London. Great idea, maybe a little early for the EFL.</t>
  </si>
  <si>
    <t>Interesting idea, improved cell growing bioreactor via acoustic waves, says they scaled their cell culture technology from 1 mL to 100 mL, they even developed an industrial designed bioreactor with volume capacities ranging from 1 to 5L.</t>
  </si>
  <si>
    <t>- HAX acceleration program 2021 - Entrepreneur First 2021 - BioTools Innovation Program 2022</t>
  </si>
  <si>
    <t>36 rue Greuze, 75116 Paris France</t>
  </si>
  <si>
    <t>Kolibri</t>
  </si>
  <si>
    <t>kyron.bio _2022</t>
  </si>
  <si>
    <t>Emilia McLaughlin</t>
  </si>
  <si>
    <t>ejmclaughlin@live.co.uk</t>
  </si>
  <si>
    <t>Kyron.bio is using synthetic biology to solve the problem of low yields of therapeutic proteins for pharmaceutical and biotech companies, providing a 10X improvement in yield.</t>
  </si>
  <si>
    <t>Syn bio platform for Tx production at 10x yield using parasitic enzymes as mammalian cell factories. Women-led. Great team with decades of experience at Sanofi and with syn bio/drug development. One EU patent filed. Big question: how does this change the effectiveness of produced Tx? They only recently did a POC study and are establishing cell lines to produce hormones - better fit next year.</t>
  </si>
  <si>
    <t>Harnessing high efficient enzymes and genetically engineering them into mammalian cell lines to improve therapeutic protein production. This sounds cool as they mentioned that the preliminary studies demonstrate that this technology is efficient and gives out high yield but I did not see a publication to be convinced. Seems like they need to do some more wet lab research as they mentioned about screening the sugar binding sites by mass spectrometry etc. and modifying the active sites of some of the enzymes</t>
  </si>
  <si>
    <t>Entrepreneur First incubator: Passed investment committee in Jan 2022. HEC, Incubator Paris, Station F Deeptech Founders incubator, Paris</t>
  </si>
  <si>
    <t>10 RUE DE PENTHIEVRE 75008 PARIS, Paris France</t>
  </si>
  <si>
    <t>kyron.bio</t>
  </si>
  <si>
    <t>MatMaCorp _2022</t>
  </si>
  <si>
    <t>Philip Kozera</t>
  </si>
  <si>
    <t>pkozera@matmacorp.com</t>
  </si>
  <si>
    <t>OnkoDx develops technologies that detect mutations in different forms of cancer to accelerate accurate diagnosis and treatment for cancer patients supporting lifesaving cures.</t>
  </si>
  <si>
    <t>Fluorescent sequencing assay for detecting cancer mutations. This company is actually called OnkoDx, and is spinning out of MatMaDx which has raised $7M to date (PitchBook). No fundraising is listed in this app. Team of PhDs. Says they have patents, but didn't provide any info. No data provided. Tech seems derivative.</t>
  </si>
  <si>
    <t>Too early. A testing laboratory wants to spin-out one of their innovation for SNP detection for cancer diagnosis. Generally, the technology is derivative and its efficacy might be good, but knowing about SNP wouldn't help cancer treatment drastically, and thereby the whole concept is somewhat useless in my opinion. (there many more ways to detect SNPs)</t>
  </si>
  <si>
    <t>MatMaCorp</t>
  </si>
  <si>
    <t>MedGene Therapeutics _2022</t>
  </si>
  <si>
    <t>Yong H. Park</t>
  </si>
  <si>
    <t>ypark@medgenetx.com</t>
  </si>
  <si>
    <t>MEDGENE is a biotechnology company that develops autologous T cell therapies. Our innovative technology (AUTO-T?) allows the patient's anti-tumor T cells to be identified, separated, expanded, invigorated, and reinfused to fight cancer. We are focused on developing products to treat solid tumors.</t>
  </si>
  <si>
    <t>Isolating CD8+ T-cells from cancer patients' blood, expanding them outside of the body, and re-injecting them into the patient to prevent T cell exhaustion during cancer therapy. The tech is derivative of CAR-T and very early in terms of validation. Team of scientists, no business experience.</t>
  </si>
  <si>
    <t>Too early. Tech is not innovative enough, and validation is in early stage. A cell therapy startup. Extracting CD8+ T cells from cancer patients blood, and reinjecting them after expansion. They also have one other tech for epigenetic modification of extracted CD8+ to activate them and prevent from cell exhaustion.</t>
  </si>
  <si>
    <t>$5,000,000-$10,000,000</t>
  </si>
  <si>
    <t>Gaithersburg, MD United States</t>
  </si>
  <si>
    <t>MedGene Therapeutics</t>
  </si>
  <si>
    <t>Mediloq, Inc. _2022</t>
  </si>
  <si>
    <t>Dan Estoque</t>
  </si>
  <si>
    <t>dan.estoque@mediloq.com</t>
  </si>
  <si>
    <t>Mediloq manufactures reusable, refillable child-safe containers to supplement, pharma and cannabis manufacturers as a sustainable alternative to disposable plastic packaging.</t>
  </si>
  <si>
    <t>Child-safe container for therapeutics made of glass to replace plastics. No tech innovation, not a fit.</t>
  </si>
  <si>
    <t>Reusable plastic packaging</t>
  </si>
  <si>
    <t>Boulder, Colorado United States</t>
  </si>
  <si>
    <t>Mediloq, Inc.</t>
  </si>
  <si>
    <t>MeNow _2022</t>
  </si>
  <si>
    <t>Hilla Ben-Hamo</t>
  </si>
  <si>
    <t>hilla@menow.skin</t>
  </si>
  <si>
    <t>MeNow provides a personalized skincare recommendations plugin that takes into account the biology and environment of the end user and combines it to predicted effect of the products ingredients. This service is offered to e-commerce website and cosmetics brands in order to increase sales while preventing side effects and flare-ups.</t>
  </si>
  <si>
    <t>Digital tech. E-commerce platform that uses AI to predict effects of skincare on individual users. Very early.</t>
  </si>
  <si>
    <t>DIT company. AI based personalized skin care prediction platform.</t>
  </si>
  <si>
    <t>We attended a few accelerator programs (AWS, microsoft, and Gvahim GEC - all short, equity-free accelerators)</t>
  </si>
  <si>
    <t>AWS</t>
  </si>
  <si>
    <t>very early; change to DiT;</t>
  </si>
  <si>
    <t>Tel Aviv, Merkaz Israel</t>
  </si>
  <si>
    <t>MeNow</t>
  </si>
  <si>
    <t>Metamorphic Foods Pvt Ltd (Klever Meat) _2022</t>
  </si>
  <si>
    <t>Nithin Shetty</t>
  </si>
  <si>
    <t>nithin@klevermeat.com</t>
  </si>
  <si>
    <t>By 2050, the population of the world is going to double &amp; the demand for seafood is going to triple. Klever Meat is working on developing cell cultured or cultivated seafood to help consumers consume seafood which is healthy, delicious &amp; sustainable in every way.</t>
  </si>
  <si>
    <t>Couple of years behind competition in this crowded space. Lack validation/PoC</t>
  </si>
  <si>
    <t>No. We have not been affiliated with any otehr incubation program.</t>
  </si>
  <si>
    <t>A-501 ANUSHA ENCLAVE PASHAN SUS RD PUNE MAHARASTRA ? 411021, MAHARASHTRA India</t>
  </si>
  <si>
    <t>Metamorphic Foods Pvt Ltd (Klever Meat)</t>
  </si>
  <si>
    <t>Metanovas Biotech _2022</t>
  </si>
  <si>
    <t>Meijie Wang</t>
  </si>
  <si>
    <t>admin@metanovas.com</t>
  </si>
  <si>
    <t>Metanvoas uses machine learning and knowledge graph to understand aging-related disease biology and and facilitate drug and natural product discovery.</t>
  </si>
  <si>
    <t>Competitive space. Other than focus on aging, differentiation not clear. Validation not clear. Good team with Atomwise founder.</t>
  </si>
  <si>
    <t>LGBTQ team. Based in California, but different types of partnership with China (they also have multiple shared IPs resulting from these partnerships.). Their IP is shared with multiple places, and they don't have any patents or licenses. Data on validation is not detailed and verified. Only in-vitro analysis. The team seems to be qualified in the field, but is not experienced. Using ML and DL to help drug discovery. Their algorithms are able to mine and understand data from literature, understand biological networks, do multi-omics and translational studies to discover new solutions for drug discovery. Focused on aging biology. MIT, Stanford affiliation. The molecules found through their platform in research center has only been tested in-vitro, and there isn't any quantitative data on those tests. All other leads from their platform is even in an earlier stage. Needs more data on validation so I can assess them better.</t>
  </si>
  <si>
    <t>We were in NVIDIA's inception program last year.</t>
  </si>
  <si>
    <t>407 Cutter Ln, California United States</t>
  </si>
  <si>
    <t>Metanovas Biotech</t>
  </si>
  <si>
    <t>Metfora _2022</t>
  </si>
  <si>
    <t>Martin Fuchs</t>
  </si>
  <si>
    <t>martin.fuchs@metfora.com</t>
  </si>
  <si>
    <t>Metfora is developing a test that can detect a broad range of chronic diseases from a simple blood draw. The test will enable physicians to diagnose these diseases while still in their early stages. The patients will receive a definitive diagnosis and can begin the appropriate treatment before the disease progresses and becomes less responsive.</t>
  </si>
  <si>
    <t>AI-enabled blood test for circulating metabolites to diagnose chronic diseases. Too early, only grant funding so far ($250K). Patent applications only. Tested on 150 patients, but I'm not sure which disease(s) they are targeting with this technology. GC-mass spec isn't an innovation, but using it to evaluate metabolites in the blood is an interesting idea; do they require multiple blood draws over time, or is a one-time snapshot of a patient's metabolic profile enough to diagnose?</t>
  </si>
  <si>
    <t>they claimed that they are going to launch their product in 1.5 year, which is unrealistic. They have a long way towards approval and technology validation is in early stage. This invention is limited by mass spectrometry, which is one of the most expensive instrument in the laboratory ($400K-$800K). On the other hand, their BM is to do the tests in their own lab, which brings scaling limit. I want to know more about their next steps towards approval and commercialization.</t>
  </si>
  <si>
    <t>We participated in the Virtual Accelerator Program organized by the Arizona Commerce Authority and we are enrolled in the University of Arizona Center for Innovation,</t>
  </si>
  <si>
    <t>skeptical of one time scan type companies, not always accurate and not very novel. team and funding not very promising. sounds too early in their process, need more data and validation</t>
  </si>
  <si>
    <t>Tucson, Arizona United States</t>
  </si>
  <si>
    <t>Metfora</t>
  </si>
  <si>
    <t>MultiOmic Health Limited _2022</t>
  </si>
  <si>
    <t>Robert Thong</t>
  </si>
  <si>
    <t>robert@multiomic.health</t>
  </si>
  <si>
    <t>MultiOmic Health is an AI-enabled drug discovery company (AIDD) focusing on metabolic syndrome-related conditions. We generate proprietary datasets of multi-omics patient data annotated with comprehensive clinical information. We use these datasets to identify precision therapeutic interventions that will be commercialized via pharma partnerships.</t>
  </si>
  <si>
    <t>Mutli-omics screening for drug discovery. Validation is only proving they can't validate the tech with public data sets alone. They're in the process of generating and evaluating their own data sets to standardize multi-omics analysis. Great team from MIT, Mt. Sinai, Novartis, Forbes 30U30. ~$2.5M raised. No IP protection. Too early.</t>
  </si>
  <si>
    <t>Other: Seed Extension</t>
  </si>
  <si>
    <t>Epworth House, 25 City Road, London , EC1Y 1AA United Kingdom</t>
  </si>
  <si>
    <t>MultiOmic Health Limited</t>
  </si>
  <si>
    <t>My Greens 2021 SL _2022</t>
  </si>
  <si>
    <t>Martin Vogelbaum</t>
  </si>
  <si>
    <t>martin.vogelbaum@mygreens.eco</t>
  </si>
  <si>
    <t>My Greens is a indoor vertical microgreen y and Herb commercial Lab, we grow varios microgreens and herbs in the most sustainable way using software and technology to reduce or eliminate food waste, food mile and water waste in a region suffering from drought, water shortage and extreme heat and in the process improve the quality and nutrition.</t>
  </si>
  <si>
    <t>Deep Tech track. Urban Farms / Vertical Farms. Spain-based. Tech is not well described due to confidentiality concerns, but somehow in their first year they've accrued 8-15k (euros?) monthly.</t>
  </si>
  <si>
    <t>I am glad this product is present on the Spanish market, but it has no real innovation and there a plenty companies like this already (at least in the US)</t>
  </si>
  <si>
    <t>Mentor Day and Acelarator system from spaish goverment</t>
  </si>
  <si>
    <t>Change to DT; confidentiality concerns so tech is not described; in first year have generated substantial revenue; cluster with vertical farming</t>
  </si>
  <si>
    <t>Calle Felicidad 9, Pizarra Spain</t>
  </si>
  <si>
    <t>My Greens 2021 SL</t>
  </si>
  <si>
    <t>Nanotransfer _2022</t>
  </si>
  <si>
    <t>Brian Reznik</t>
  </si>
  <si>
    <t>brian@nanotransfer.bio</t>
  </si>
  <si>
    <t>Nanotransfer is developing the next generation gene delivery system to be applied in gene therapies. Current delivery systems make gene therapies not applicable to all patients and are extremely hard to produce. Nanotransfer's delivery system will solve those problems and let our customers to develop more gene therapies faster and cheaper.</t>
  </si>
  <si>
    <t>Tarek from OncoPrecision (EFL 4) referred them, but the tech description is too vague in the app.</t>
  </si>
  <si>
    <t>SparkLab www.sparklab.com.ar MassChallenge + IBM program</t>
  </si>
  <si>
    <t>Tarek Ali</t>
  </si>
  <si>
    <t>Cordoba, Cordoba Argentina</t>
  </si>
  <si>
    <t>Nanotransfer</t>
  </si>
  <si>
    <t>Ndal Mfg Inc, Dba Ndal Biofilm Medical Group, _2022</t>
  </si>
  <si>
    <t>GAVIN GEAR</t>
  </si>
  <si>
    <t>gavin@biofilmmedical.com</t>
  </si>
  <si>
    <t>NDAL MFG INC., Resolved bacterial resistance. Common antibiotics, taken with our drug, will inhibit infection. Accepted by FDA into a drug application in 2021 Corticosteroids are anti-inflammatories when the root cause in sinuses is a biofilm Health care spend will be $50B by 2027 Low cost, eliminate comorbidities and most testing. Resolved.</t>
  </si>
  <si>
    <t>They exaggerated their technology and target market, and there isn't any sort of proof for their unreasonable claims.</t>
  </si>
  <si>
    <t>80 Garden Court, Suite 100, California United States</t>
  </si>
  <si>
    <t>Ndal Mfg Inc, Dba Ndal Biofilm Medical Group,</t>
  </si>
  <si>
    <t>Ndal Mfg Inc., Biofilm Medical _2022</t>
  </si>
  <si>
    <t>gavin@ndalmfg.com</t>
  </si>
  <si>
    <t>Ndal Biofilm Medical. First drug is a new iteration of antibiotic to which bacteria cannot develop resistance. Second drug is an antiviral drug, effective on Covid Third drug an asthma therapy Fourth drug, an antibacterial dressing</t>
  </si>
  <si>
    <t>Sounds like alternative medicine? Can't tell. 1) Iteration of antibiotic to which bacteria cannot develop resistance. 2) COVID-19 drug 3)Asthma therapy 4) Antibacterial dressing Can't find any info on founders. Nothing in the deck.</t>
  </si>
  <si>
    <t>Start Up Health</t>
  </si>
  <si>
    <t>80 Garden Court, STE 100, Monterey, CA 93940 United States</t>
  </si>
  <si>
    <t>Ndal Mfg Inc., Biofilm Medical</t>
  </si>
  <si>
    <t>Nemosia AG _2022</t>
  </si>
  <si>
    <t>Awa Diagne</t>
  </si>
  <si>
    <t>awa.diagne@gmail.com</t>
  </si>
  <si>
    <t>An imaging platform for tracing NMDA brain receptor, which is a biomarker for Alzheimer, Parkinson's, and MS. Great, but part-time team. 0 funding. Too early. Want to know more about their validations and ongoing clinical studies. Also, I couldn't fully understand how their tech works.</t>
  </si>
  <si>
    <t>Pre-seed|Seed|Series A</t>
  </si>
  <si>
    <t>Innosuisse|Venture Kick|Runway|De Vigier</t>
  </si>
  <si>
    <t>data not shared; IP not protected; mostly part-time team currently; 0 funding to date</t>
  </si>
  <si>
    <t>Winterthur Zurich, Switzerland</t>
  </si>
  <si>
    <t>Nemosia AG</t>
  </si>
  <si>
    <t>Neo Xenia Biotech _2022</t>
  </si>
  <si>
    <t>Shamauri Joshua Rivera</t>
  </si>
  <si>
    <t>neoxenia.biotech@gmail.com</t>
  </si>
  <si>
    <t>Neo Xenia Biotech or nX Biotech specializes in the curation of real relationships. nX curates and develops a range of services, products, and solutions to optimize the natural mechanisms of human connectivity. nX?s intervention is foremost a conceptual one, implementing frameworks that are unique and dynamic to groups themselves.</t>
  </si>
  <si>
    <t>Very early stage, no product, no tech, no clarity</t>
  </si>
  <si>
    <t>Maybe invite next year?</t>
  </si>
  <si>
    <t>590 Eagle Ave, NY United States</t>
  </si>
  <si>
    <t>Neo Xenia Biotech</t>
  </si>
  <si>
    <t>NEOMICS PHARMACEUTICALS LLC _2022</t>
  </si>
  <si>
    <t>Wenshan Hao</t>
  </si>
  <si>
    <t>wenshan.hao@neomicsbio.com</t>
  </si>
  <si>
    <t>Neomics is developing novel cell and DNA-based gene therapies to treat cancers and other genetic diseases.</t>
  </si>
  <si>
    <t>Gene therapy innovations: 1) Third-generation chimeric co-stimulatory receptor technology for safer and efficacious CAR-T; 2) ICS T; 3) Scalable synthesis of GMP-grade mini-cDNA. Testing in vitro and in vivo for pharmacokinetics/dynamics. Two full-time founders - they are best friends and their sons are students at Stern. They have 1 prior startup and PhDs from Georgetown and USC. Patent applications filed but not granted.</t>
  </si>
  <si>
    <t>Pre-clinical stage. Two irrelevant innovation: third generation of CAR with an additional cytoplasmic domain to increase expression and efficacy of treatment. An approach for making GMP-grade mini-cDNA for DNA-based gene therapy. Science seems to be ground-breaking and able to be adopted in many applications, but there isn't any valuable data on validation and PoC is not complete yet. Only CAR tech is patented.</t>
  </si>
  <si>
    <t>ROCKVILLE, MD United States</t>
  </si>
  <si>
    <t>NEOMICS PHARMACEUTICALS LLC</t>
  </si>
  <si>
    <t>Neurohue _2022</t>
  </si>
  <si>
    <t>Lucas Wozniak</t>
  </si>
  <si>
    <t>lpw5246@nyu.edu</t>
  </si>
  <si>
    <t>NYU's Innovention Competition finalist (2022), finalist for NYU Tandon's Data Future Lab's Next Round Incubator (2022)</t>
  </si>
  <si>
    <t>Pre-seed|Other: (just to note, we also have a for-profit entity Onehue that we could brand this under for potentially better funding channels)</t>
  </si>
  <si>
    <t>600 N Broad Street, Suite 5 #3720 DE, United States</t>
  </si>
  <si>
    <t>Neurohue</t>
  </si>
  <si>
    <t>Neuropair, Inc. _2022</t>
  </si>
  <si>
    <t>Johannes Dapprich</t>
  </si>
  <si>
    <t>jdapprich@neuropairbiomed.com</t>
  </si>
  <si>
    <t>Early-stage therapeutic company aiming to regenerate and re-connect neurons after spinal cord injury. It uses an injectable gel formulation with magnetically aligning nanoparticles to create a fiber scaffold in the injury site in order to stimulate and guide axonal regrowth. Axons are like cables that connect neurons in the brain and spinal cord.</t>
  </si>
  <si>
    <t>Neuronal regeneration for spinal cord injury using a biomaterial scaffold and electromagnetism. Demonstrated fiber formation in vitro, with toxicity studies using rat explants (still in vitro / ex vivo). Great idea, similar to Matricelf (EFL Alumni), but much earlier. Keep an eye on this company for the future. CEO has significant startup experience, selling his companies to top biotechs, but the entire team is part-time. Referred by an NYU Tandon Professor, Nathalie Pinkerton.</t>
  </si>
  <si>
    <t>Referred by Nathalie Pinkerton- a Tandon professor. Early stage moonshot idea. Part-time team. Trying to develop a self-assembly scaffold for guiding neural networks' growth in order to cure Spinal Cord Injury patients.</t>
  </si>
  <si>
    <t>Nathalie Pinkerton</t>
  </si>
  <si>
    <t>Neuropair, Inc.</t>
  </si>
  <si>
    <t>New Age Hygienic Systems, Inc. _2022</t>
  </si>
  <si>
    <t>Dan Andreiu</t>
  </si>
  <si>
    <t>dan@andreiu.com</t>
  </si>
  <si>
    <t>start up developed a proof of concept prototype of a toilet that uses only one liter of water</t>
  </si>
  <si>
    <t>Rude founder, tech isn't interesting, nothing impressive here.</t>
  </si>
  <si>
    <t>1,000,00</t>
  </si>
  <si>
    <t>530-B Harkle Road, Suite 100, Santa Fe, New Mexico, NM 87505, NM United States</t>
  </si>
  <si>
    <t>New Age Hygienic Systems, Inc.</t>
  </si>
  <si>
    <t>NewYou /ThePeopleChain/notyet _2022</t>
  </si>
  <si>
    <t>Aharon Shitrit</t>
  </si>
  <si>
    <t>as12890@nyu.edu</t>
  </si>
  <si>
    <t>Utilizing Blockchain for healthcare record system. we want to give people ownership of keep, monitor and track their medical data, Health organizations share data to blockchain, transactions are completed and uniquely identifiable, health organizations and institutions may directly query the blockchain, and than patients can share information later</t>
  </si>
  <si>
    <t>Blockchain for patient access to their individual health records. Concept-stage with no funding yet. Not sure what the tech innovation is here outside of using blockchain. Team of NYU 2022 graduates.</t>
  </si>
  <si>
    <t>NYU 2022 graduates. Concept. Blockchain for patient health data. 0 funding.</t>
  </si>
  <si>
    <t>Yes, I participated in the MIT bootcamp for current summer (May-Aug) and in the next few days I will be done with it. We learned to answer questions like: Does our product solve an important problem? Are we on the same page? How to do market research, COCA, LTV, and more, I will have to repeat this to understand everything better and I will. I don't know what to expect yet.</t>
  </si>
  <si>
    <t>NewYou /ThePeopleChain/notyet</t>
  </si>
  <si>
    <t>Novamp Pharma Pack _2022</t>
  </si>
  <si>
    <t>Shrikant Barot</t>
  </si>
  <si>
    <t>shrikantbarot0612@gmail.com</t>
  </si>
  <si>
    <t>Novamp Pharma Pack is a start-up working on advancing pharmaceutical packaging material, especially small volume injectables. Our packaging material eliminates safety issues associated with conventional packaging material in terms of sterility of medication packed in actual working conditions. The targeted customer is pharmaceutical companies.</t>
  </si>
  <si>
    <t>Patan, Gujarat India</t>
  </si>
  <si>
    <t>Novamp Pharma Pack</t>
  </si>
  <si>
    <t>Novel Farms _2022</t>
  </si>
  <si>
    <t>Nieves Martinez Marshall</t>
  </si>
  <si>
    <t>nieves@novelfarms.co</t>
  </si>
  <si>
    <t>Novel Farms use cost-efficient and scalable proprietary scaffolding technology to produce whole cuts of cultivated meat for the next generation of environmentally-conscious eaters.</t>
  </si>
  <si>
    <t>Deep Tech. Cell-based whole cut meats built with biomaterial scaffolds without the need for growth factors in the media. They do not describe their scaffold in any detail. Produced prototypes using different animal cells (murine, chicken, quail, and pork). PhDs who met during their post-docs at UC Berkeley. Seems too early.</t>
  </si>
  <si>
    <t>Seems like their advantage is in cutting the costs production. They also claim that they made structured prototypes of different types of meat but I didn't see any data and I am not sure how close they are actually to making the meat muscle.</t>
  </si>
  <si>
    <t>Big Idea Ventures</t>
  </si>
  <si>
    <t>2988 San Pablo Ave, California United States</t>
  </si>
  <si>
    <t>Novel Farms</t>
  </si>
  <si>
    <t>Nutrarte LLC, Nutrarte SAS _2022</t>
  </si>
  <si>
    <t>Dahiana Castillo</t>
  </si>
  <si>
    <t>dcnutricionysalud@gmail.com</t>
  </si>
  <si>
    <t>Nutrarte is a Nutrition company ( integrate :nutrition of the mind of the body and soul), we offer an innovative proposal to treat people with a humanized health service and we believe in food as a powerful vehicle to heal, we provide advisory services for people with nutritional or health needs and companies that want to improve their products</t>
  </si>
  <si>
    <t>Nothing new. Very competitive market.</t>
  </si>
  <si>
    <t>bogota, CUNDNAMARCA Colombia</t>
  </si>
  <si>
    <t>Nutrarte LLC, Nutrarte SAS</t>
  </si>
  <si>
    <t>Nutrivide Inc. _2022</t>
  </si>
  <si>
    <t>Akshay Kamath</t>
  </si>
  <si>
    <t>akshaykamath96@gmail.com</t>
  </si>
  <si>
    <t>Applied to EFL before (2020), improvements: (1)changed from a device administering nutritional supplements to a device specializing in accurately dosing liquids, (2) developed a fully functional prototype, (3) developed industry relationships to prepare for a potential pilot early next year</t>
  </si>
  <si>
    <t>Interesting idea. says since last application the product has changed from a device administering nutritional supplements to a device specializing in accurately dosing liquids.</t>
  </si>
  <si>
    <t>Pre-seed|Other: Non-Dilutive Grants</t>
  </si>
  <si>
    <t>Nutrivide has been through programs affiliated with the following organizations for accelerator / incubator programs: Clinton Global Initiative University, VentureWell / Verizon, Queens College, RESx (Rutgers University)</t>
  </si>
  <si>
    <t>North Brunswick New Jersey, United States</t>
  </si>
  <si>
    <t>Nutrivide Inc.</t>
  </si>
  <si>
    <t>Nutrizle _2022</t>
  </si>
  <si>
    <t>Masoumeh Shekari</t>
  </si>
  <si>
    <t>maasoumeh.shekary@gmail.com</t>
  </si>
  <si>
    <t>Nutrizle introduces itself as an early solution to a healthy lifestyle. Our solution is a multi-user app, both for kids and their parents, to educate them about the benefits of shifting to a healthy lifestyle. We use the path-breaking technology of AR to make a lifelong friendship with healthy nutrients including fruits and vegetables.</t>
  </si>
  <si>
    <t>App that educates about a healthy lifestyle with AR, and uses AI to offer customized healthy recipes to users based on their preferences. Concept phase.</t>
  </si>
  <si>
    <t>Referred by dr. Bahrami (who is that?) Pass to DiT. an AR-based app for educating children and adults regarding healthy lifestyle. 0 funding. Too early. No patent, and don't know how to patent. Derivative idea.</t>
  </si>
  <si>
    <t>We have been accepted to the Viatec Incubation program located in Victoria city, BC, Canada; However, The program requires our physical presence in Canada to be started.</t>
  </si>
  <si>
    <t>Dr. Bahrami</t>
  </si>
  <si>
    <t>Rheingold Strasse 95, Mannheim, Baden Wurttemberg Germany</t>
  </si>
  <si>
    <t>Nutrizle</t>
  </si>
  <si>
    <t>Oncoliq _2022</t>
  </si>
  <si>
    <t>Marina Simian</t>
  </si>
  <si>
    <t>marina@oncoliq.bio</t>
  </si>
  <si>
    <t>Multi-cancer early detection test based on detectin miRNA in liquid biopsy. It seems they are conducting research for the past 6 years, however their progress and milestones achieved are really slow in my opinion. The don't have a substantial innovation, and there are many competitors working on development of similar products. Only 1 provisional patent filed 3 months ago, and still under negotiation for licensing.</t>
  </si>
  <si>
    <t>4 to 6.000.000</t>
  </si>
  <si>
    <t>We participated in GridX's program in Buenos Aires in 2021, but decided not to accept their investment proposal.</t>
  </si>
  <si>
    <t>CORRO CANONIGO MIGUEL CALIXTO DEL 312 Córdoba, Argentina</t>
  </si>
  <si>
    <t>Oncoliq</t>
  </si>
  <si>
    <t>Oral FLuid Testing Labs LLC _2022</t>
  </si>
  <si>
    <t>Rick Ercolani</t>
  </si>
  <si>
    <t>gelwel@toxyscreen.com</t>
  </si>
  <si>
    <t>Non-Invasive testing process instead of blood that is more accurate, creates no medical waste, eliminates need for phlebotomist, easy training process, can be performed at any site, no refiguration, simplified shipping, product integrity good for over one year...for testing for lead, heavy metals, drugs, propensity to diseases all blood test</t>
  </si>
  <si>
    <t>Saliva testing (drug testing?) utilizing inductively coupled plasma mass spectrometry (ICP-MS). It is not clear what they are testing for specifically, or what the tech innovation is.</t>
  </si>
  <si>
    <t>Mount Laurel, New Jersey United States</t>
  </si>
  <si>
    <t>Oral FLuid Testing Labs LLC</t>
  </si>
  <si>
    <t>OYA Femtech Apparel _2022</t>
  </si>
  <si>
    <t>Mitchella Gilbert</t>
  </si>
  <si>
    <t>mitch@wearoya.com</t>
  </si>
  <si>
    <t>OYA creates the only Femtech-powered athleisure apparel which supports women?s health by create a healthier epidermal environment through its patent-pending designs.</t>
  </si>
  <si>
    <t>Athleisure apparel that supports women?s health by creating a healthier epidermal environment through its patent-pending designs. Leggings that incorporate mesh and absorbent panels for sweat wicking. The founder is absolutely perfect for running this business (former Nike employee, athlete, and UCLA MBA) but the company is too-early stage for the EFL and without a significant scientific innovation.</t>
  </si>
  <si>
    <t>Feminine sport apparel. Great team. Not technological. Patent pending. Feminine leggings with hidden mesh and moisture-absorbents for increasing breathability and hygiene.</t>
  </si>
  <si>
    <t>400,000+</t>
  </si>
  <si>
    <t>UCLA Anderson, Startup UCLA, Pledge LA, Stanford Galvanizer, Techstars Sports, REI/RGA</t>
  </si>
  <si>
    <t>OYA Femtech Apparel</t>
  </si>
  <si>
    <t>Parrots Inc. _2022</t>
  </si>
  <si>
    <t>DAVID HOJAH</t>
  </si>
  <si>
    <t>DAVID@FLYPARROTS.COM</t>
  </si>
  <si>
    <t>Parrots Inc. has built ?Polly? which is an inclusive platform using AI/ML to give a smart voice and telecare to people with significate disabilities. Our solutions empower them with real-time communication, control their environments, and provide telecare services to improve patient-centered care and maximize independence.</t>
  </si>
  <si>
    <t>Deep Tech. AI/ML smart communication device for impaired individuals - think social robot. Tech is not well described, but looks like it is an actual parrot that attaches to the wheelchair (see in deck). Not sure who their target customer is (anyone with neuromuscular impairment?), but they have 900 users and $360K in revenue. The team is MIT/Harvard/UMass with prior unicorn startup, and they have an impressive board so this may be worth looking into for DT. Recognition from Novartis and Verizon 5G Lab.</t>
  </si>
  <si>
    <t>- MIT fuse, Fall 2019 in Cambridge MA - Halcyon incubator in Washington DC 2019 - Verizon 5G labs 2020 Boston and New York - Harvard innovation lab, Boston MA spring 2020 - Washington Technology Industry Association, 2021, Seattle, WA. - NEXT AI, Fall 2021 https://www.nextcanada.com/2021-cohort/ - Expert Dojo, healthcare cohort winter 2022 https://expertdojo.com/portfolio/ - Novartis MS innoavtion 2021: https://www.wired.com/sponsored/story/novartis-explores-the-future-of-assistive-tech-in-multiple-sclerosis/ - Parrots Awarded AWB 2021 Entrepreneur of the Year: https://www.flyparrots.com/news-1/awb-2021-entrepreneuroftheyear - Global good funds, 2022</t>
  </si>
  <si>
    <t>Halcyon incubator</t>
  </si>
  <si>
    <t>change to DT; "social robot"; tech isn't well described, seems to literally be a robotic parrot. unsure of real target audience. 900 users and 360K raised. potentialy strong team with MIT rep, strong recognition. No validation provided, Founder seems both credible, but then also has red flags. says they were part of a harvard lab, but also was not on their cohort website</t>
  </si>
  <si>
    <t>Fremont Ave N, WA United States</t>
  </si>
  <si>
    <t>Parrots Inc.</t>
  </si>
  <si>
    <t>PB&amp;B _2022</t>
  </si>
  <si>
    <t>Anthony Aho</t>
  </si>
  <si>
    <t>anthony.aho@pbbtech.com</t>
  </si>
  <si>
    <t>PB&amp;B Ltd. is a Swiss specialty Life Sciences Startup developing a novel injectable technology for aesthetic doctors to remodel face &amp; body. Developed in collaboration with an international team of bioengineers, plastic surgeons &amp; dermatologists - PB&amp;B platform technology renders 1/3 of plastic surgery procedures both natural &amp; non-surgical.</t>
  </si>
  <si>
    <t>Injectable fillers for cosmetic applications. Contains biodegradable microspheres for the sustained controlled release of fatty acids and other bioactive molecules that enhance fat cell/tissue volume - alternative to synthetics and "plastic" look. No deck, validated in "animals" - not sure what these are, and need to see data demonstrating safety. Team of 2 PhDs with an impressive board including Chief of Plastic Surgery at MGH and Director of Aesthetic Surgery at USC. StartX and MassChellenge alumni, but not with this company? On the fence with this company.</t>
  </si>
  <si>
    <t>Novel injectable tech to use for aesthetic procedures. The technology increases fat volume but I have not seen a data that supports if this material is not toxic and how does it actually work?</t>
  </si>
  <si>
    <t>Series B2: 2 MUSD (Oct-Dec 2022); Series C 10-25 MUSD (Q3/4-2023)</t>
  </si>
  <si>
    <t>Venture Kick, Swiss National Startup Team, MassChallenge Boston, StartX, InnoSuisse, Hangzhou Jianggan district ?Hundred Talents Plan? venture enterprise, Octane Aesthetics Tech Summit.</t>
  </si>
  <si>
    <t>Avenue gratta-paille 2, VD Switzerland</t>
  </si>
  <si>
    <t>PB&amp;B</t>
  </si>
  <si>
    <t>PEGASI INTERNATIONAL, INC. _2022</t>
  </si>
  <si>
    <t>LUIS SANTIAGO</t>
  </si>
  <si>
    <t>LUIS.SANTIAGO@PEGASI.IO</t>
  </si>
  <si>
    <t>PEGASI is an platform that halves time to treatment for Oncology patients, through meaningful data use.</t>
  </si>
  <si>
    <t>Digital tech. Platform to manage oncology patient data and get them treatment faster. No patents. Tech is derivative, but they have some traction. Currently manage +122,000 patients with +300 daily users, and certify their solutions under different standards (HIPAA / GDPR / ISO 27001-27002). No standouts on the team.</t>
  </si>
  <si>
    <t>SaaS for cancer patient management for clinicians, hospitals, clinics, and institutions. DiT. Venezuela-based. 122K+ patients are using their software. Derivative idea and technology. Not patented.</t>
  </si>
  <si>
    <t>PEGASI has been accelerated by Agora Partnerships, Start-Up Chile, Katapult Accelerator, IBM Hyper Protect Accelerator, Pax Momentum, and New Ventures? Empodera 360° program.</t>
  </si>
  <si>
    <t>112 CAPITOL TRAIL, NEWARK, DELAWARE United States</t>
  </si>
  <si>
    <t>PEGASI INTERNATIONAL, INC.</t>
  </si>
  <si>
    <t>Peptris Technologies Private Limited _2022</t>
  </si>
  <si>
    <t>Venkatasubramanian Narayanan</t>
  </si>
  <si>
    <t>venkat@peptris.com</t>
  </si>
  <si>
    <t>Peptris is an AI powered drug discovery company. We are leveraging our AI solutions to create high value pre-clinical assets. We are developing a machine learning platform to predict small molecule-protein and protein-protein interactions to discover small molecule/antibody/protein-based therapies.</t>
  </si>
  <si>
    <t>Tech sounds like a standard molecular interaction screen to identify Tx - not sure what the innovation is here. Screening compounds for some India-based biotechs (unnamed) and have &lt;$100K revenue. Only one PhD, who is part-time (other founders are full-time).</t>
  </si>
  <si>
    <t>Using AI/ML for Tx discovery. Highly competitive environment. Only one member is PhD who is PT. Don't have any validation and data, and they claimed to have partnership with Indian biopharma companies, but didn't mention the names. Their most advanced molecule is in lead optimization stage.</t>
  </si>
  <si>
    <t>3Mn USD</t>
  </si>
  <si>
    <t>Incubated at CCAMP, Bangalore, India. Part of IIT Cohort 8 for fund raise</t>
  </si>
  <si>
    <t>Centre for Cellular and Molecular Platforms (C-CAMP) UAS-GKVK Campus, Bellary Road, 560 065, Bangalore, Karnataka India</t>
  </si>
  <si>
    <t>Peptris Technologies Private Limited</t>
  </si>
  <si>
    <t>PhagePro _2022</t>
  </si>
  <si>
    <t>Minmin Yen</t>
  </si>
  <si>
    <t>myen@phageproinc.com</t>
  </si>
  <si>
    <t>PhagePro is a global health biotech startup developing phage-based medicines to alleviate the burden of antibacterial resistance for governments and health organizations working in resource-limited settings, providing immediate and convenient solutions that complement current outbreak control measures.</t>
  </si>
  <si>
    <t>Orally administered phage-based cocktail to treat bacterial infections in place of antibiotics in order to prevent an antimicrobial resistance pandemic. First product is a phage cocktail for prophylaxis against and treatment for cholera. 2 animal studies, published in Nature Comms, that demonstrate cholera drug effectiveness. Founders are a PhD and her thesis advisor - together they've won ~$4M in funding for this project over the years. Filed patent, not yet granted. Great idea but possibly too early, need to expand the team and vision.</t>
  </si>
  <si>
    <t>Orally administered phage-based cocktail to treat cholera and possibly other bacterial ingections</t>
  </si>
  <si>
    <t>PhagePro currently rents 3 benches and 5 desks from the Tufts Launchpad incubator. In the past, PhagePro and/or Dr. Yen has been affiliated with the following programs: - now called MassBioDrive: 2018 summer - MassNextGen Fellowship: 2019-2020 - The Capital Network Female Founder Fellowship: 2019-2020 - NIH I-Corps Program: Spring 2020 - Termeer Foundation Fellows: 2020-2021 - The Eddies: June 9-October 6, 2022</t>
  </si>
  <si>
    <t>75 Kneeland Street, 14th Floor, Massachusetts United States</t>
  </si>
  <si>
    <t>PhagePro</t>
  </si>
  <si>
    <t>Proxygen _2022</t>
  </si>
  <si>
    <t>Bernd Boidol</t>
  </si>
  <si>
    <t>b.boidol@proxygen.com</t>
  </si>
  <si>
    <t>Proxygen is successfully developing a highly versatile discovery engine for 'molecular glue degraders'. This new type of drug re-directs the cell?s own quality control machinery towards otherwise undruggable, disease-causing proteins, inducing their selective and complete elimination, and opening new therapeutic opportunities for deadly diseases.</t>
  </si>
  <si>
    <t>Platform for discovering molecular glue degraders. Lead indication is obscure: cancer? Alzheimer's? Published in Nature Chemical Biology in 2020. Patents granted. Austrian company performing chemical synthesis in Ukraine, which has caused delays. Seems too early-stage. They didn't identify a lead indication or beachhead market.</t>
  </si>
  <si>
    <t>Are they degrading amyloid? It is not clear, too early to apply?</t>
  </si>
  <si>
    <t>Prior participation with EIT Health Gold Track Program</t>
  </si>
  <si>
    <t>Proxygen</t>
  </si>
  <si>
    <t>PurMinds NeuroPharma Inc. _2022</t>
  </si>
  <si>
    <t>Janet Qi</t>
  </si>
  <si>
    <t>janet@purminds.com</t>
  </si>
  <si>
    <t>PurMinds NeuroPharma is a precision neuromedicine company using leading-edge neuroscience technology and data-enabled AI/ML tools to discover and develop novel therapeutics for neurodegenerative diseases, such as ALS, Alzheimer?s and Parkinson's Diseases.</t>
  </si>
  <si>
    <t>Drug discovery platform that utilizes precision neuroscience for ALS, AD, and more. Women-led by a CEO who has prior startup exits, but not in biopharma. CSO is Hopkins MD and full-time, but only because he is currently on sabbatical (will this change?). Tech was not well described, and the IP is not protected. Raised ~$8.5M so far and are starting a $10M round, but it has been all the founders' and F&amp;F money. Too early? Could invite them next year after they start IND-enabling work, which is planned for 2023.</t>
  </si>
  <si>
    <t>Drug discovery and screening platform for neurodegenerative diseases. Great team. NO PATENT. Want to know more about the source of their lead molecules, and the results of current screening. Lead optimization stage.</t>
  </si>
  <si>
    <t>drug discovery; CEO has prior exits, but not in pharma; CFO is full time now, but only bc on sabbatical; strong funding raising currently, but all friends and family funding for now;</t>
  </si>
  <si>
    <t>1 Concorde Gate, Suite 604, Toronto M3C 2R2, Ontario Canada</t>
  </si>
  <si>
    <t>PurMinds NeuroPharma Inc.</t>
  </si>
  <si>
    <t>Pyrojas Inc. _2022</t>
  </si>
  <si>
    <t>Archis Bagati</t>
  </si>
  <si>
    <t>archis@pyrojas.com</t>
  </si>
  <si>
    <t>Pyrojas develops immunotherapies for the treatment of advance human cancers.</t>
  </si>
  <si>
    <t>Cancer immunotherapy platform: an antigen-agnostic approach to activating an anti-tumor immune response. No tech description beyond that, and the validation is not described. One granted patent, but no deck or website - I don't know what the tech is specifically or who the other team members are. Founder from of Harvard, currently operating out of NYU BioLabs.</t>
  </si>
  <si>
    <t>Referred by NYU Biolabs. NYU Biolabs member. There isn't any deck or website. They haven't provided any info on the technology and validation. I can't assess them based on this application. Harvard Fellow founder. They filed a patent and one trademark. Cellular immunotherapy platform.</t>
  </si>
  <si>
    <t>NYU Biolabs</t>
  </si>
  <si>
    <t>360 New York Ave. Suite 412, New Jersey United States</t>
  </si>
  <si>
    <t>Pyrojas Inc.</t>
  </si>
  <si>
    <t>Rapid Nexus Nanotech Wound Solutions, Inc. _2022</t>
  </si>
  <si>
    <t>Margaret Kalmeta</t>
  </si>
  <si>
    <t>drkalmeta@rapidnexus.com</t>
  </si>
  <si>
    <t>Rapid Nexus Nanotech Wound Solutions, Inc., is in the business of developing and selling products to treat high risk wounds, such as diabetic chronic wounds that are non-responsive to other products or medical procedures. We developed the strongest antibacterial wound healing system that is able to prevent leg amputations.</t>
  </si>
  <si>
    <t>We can cluster with other wound healing companies and decide.</t>
  </si>
  <si>
    <t>It seems like a cool tech but where is the data? Deck does not show any study results</t>
  </si>
  <si>
    <t>Yes, we belong to Matter and mHub in Chicago. Also the Innovation Cluster in Ontario, Canada.</t>
  </si>
  <si>
    <t>4435 Spectrum, Irvine, California United States</t>
  </si>
  <si>
    <t>Rapid Nexus Nanotech Wound Solutions, Inc.</t>
  </si>
  <si>
    <t>Re-Colonize _2022</t>
  </si>
  <si>
    <t>Harrison Macdonald</t>
  </si>
  <si>
    <t>harrison.macdonald01@gmail.com</t>
  </si>
  <si>
    <t>Apply next year if have some prelim data If we interview then it is only based on the promise of this approach but not based on the actual data they provide</t>
  </si>
  <si>
    <t>Fecal microbiota transfer for anti-aging. Maybe invite next year?</t>
  </si>
  <si>
    <t>$500,000 to 1,000,000</t>
  </si>
  <si>
    <t>I'm currently an On Deck Longevity Biotech fellow which has been a great experience so far, but I am looking for something more immersive.</t>
  </si>
  <si>
    <t>Stephanie Grace Arriola</t>
  </si>
  <si>
    <t>San Diego CA, United States</t>
  </si>
  <si>
    <t>Re-Colonize</t>
  </si>
  <si>
    <t>Salve Therapeutics _2022</t>
  </si>
  <si>
    <t>Stefan Lukianov</t>
  </si>
  <si>
    <t>stefan.lukianov@salvetx.com</t>
  </si>
  <si>
    <t>Affiliations: Johns Hopkins University, Lab Launch Inc, BioLabs at the Lundquist Institute, NSF I-Corps, internal Hopkins accelerators.</t>
  </si>
  <si>
    <t>AI/ML driven bioinformatics platform to bioengineer new viral therapeutics</t>
  </si>
  <si>
    <t>Johns Hopkins University, Lab Launch Inc, BioLabs at the Lundquist Institute, NSF I-Corps, internal Hopkins accelerators.</t>
  </si>
  <si>
    <t>Los Angeles California, United States</t>
  </si>
  <si>
    <t>Salve Therapeutics</t>
  </si>
  <si>
    <t>Say Ha _2022</t>
  </si>
  <si>
    <t>Jack Lim</t>
  </si>
  <si>
    <t>jl6700@nyu.edu</t>
  </si>
  <si>
    <t>Say Ha provides personalized oral hygiene services that meet both the oral health and esthetic needs of the patients. Our locations offer a full scope of dental cleaning services from brushing, polishing, prophylaxis, and whitening. Say Ha focuses on the oral health needs of public health with planning and scheduled maintenance of oral hygiene.</t>
  </si>
  <si>
    <t>NYU dentists offering dental services - no tech innovation. Concept stage.</t>
  </si>
  <si>
    <t>Referred by Chris Kimm. NYU Affiliation. CONCEPT. I think they made a website and linkedin accounts only for this application in the last minutes :))))))</t>
  </si>
  <si>
    <t>Chris Kimm</t>
  </si>
  <si>
    <t>530 2nd ave, 2B, New York United States</t>
  </si>
  <si>
    <t>Say Ha</t>
  </si>
  <si>
    <t>Sensible Biotechnologies _2022</t>
  </si>
  <si>
    <t>Miroslav Gasparek</t>
  </si>
  <si>
    <t>miro@sensible.bio</t>
  </si>
  <si>
    <t>Sensible Bio turns living cells into mRNA factories to produce mRNA faster, cheaper, and with improved properties. This allows our customers, mRNA therapeutics and vaccine companies, to decrease the price, and improve the quality of their products in order to provide better medicines for everyone.</t>
  </si>
  <si>
    <t>Y Combinator, S21 cohort. They said "We postponed our Demo Day, because we pivoted at the end of the batch and settled on mRNA manufacturing idea in January 2022" They didn't show any data</t>
  </si>
  <si>
    <t>Can we discuss about this?</t>
  </si>
  <si>
    <t>We went through Y Combinator (S21 batch, still in a stealth mode). We postponed our Demo Day, because we pivoted at the end of the batch and settled on mRNA manufacturing idea in January 2022. We are admitted into Wheels UP Health Security accelerator organized in cooperation with BARDA.</t>
  </si>
  <si>
    <t>mRNA in living cells; strong advisory team; strong key words and names, but very early, no data or patents yet; had to delay demo day at YC</t>
  </si>
  <si>
    <t>Claymont, Delaware United States</t>
  </si>
  <si>
    <t>Sensible Biotechnologies</t>
  </si>
  <si>
    <t>Sensifree _2022</t>
  </si>
  <si>
    <t>Eran Agmon</t>
  </si>
  <si>
    <t>erana@sensifree.com</t>
  </si>
  <si>
    <t>Sensifree does advanced, continuous hemodynamic monitoring to solve inadequate patient monitoring, providing improved patient safety, reducing complications and mortality in hospital inpatients.</t>
  </si>
  <si>
    <t>Deep Tech. Optical sensor for continuous blood pressure monitoring. No data on their clinical study? The demo just shows continuous BP monitoring with a cuff - what happens if an adverse event occurs? Tech looks very old school in the demo, but this is understandable as it integrates with existing hospital monitors. IP is well protected and they raised $14M.</t>
  </si>
  <si>
    <t>If it really gives great data, this tech might be useful for the hospitals but it is not innovative and I don't think the team is qualified to do this type of work. Who are the advisors?</t>
  </si>
  <si>
    <t>change to DT; continuous monitoring. Demo is just a cuff; unclear from demo what the optical sensor is for. If adverse event occurs, what then; lacking relay to anything. integrates into older hospital tech; raised 14M, but lacking innovation</t>
  </si>
  <si>
    <t>Kfar Saba, Israel Israel</t>
  </si>
  <si>
    <t>Sensifree</t>
  </si>
  <si>
    <t>SingletO2 Therapeutics LLC _2022</t>
  </si>
  <si>
    <t>Alan Lyons</t>
  </si>
  <si>
    <t>alan@singletO2.com</t>
  </si>
  <si>
    <t>SingletO2 Therapeutics LLC develops devices to treat periodontitis for dentists, providing patients with a safe, painless and effective treatment for gum disease without using antibiotics.</t>
  </si>
  <si>
    <t>Medical device to deliver an O2-based treatment for periodontitis. Validated in rats, but treatment occurred over 3 days. Two CUNY Profs., both part-time, one is an NYU Tandon alumni. Referred by Columbia L2M but not sure how they are affiliated with Columbia. Seems like the tech isn't that exciting and they are fairly early, having only funded with SBIR and STTR.</t>
  </si>
  <si>
    <t>Referred by Columbia Lab-to-Market Accelerator Network. A device for direct transferring of singlet O2 to the periodontitis site. The in-vitro and mouse results are impressing, however regarding FDA approval they still don't know their path.</t>
  </si>
  <si>
    <t>We participated in one CUNY startup program called the CUNY iHUB Start-up Fellowship which provided teaching relief and business guidance during the 2017-2018 academic year. SingletO2 is a member of the College of Staten Island Tech Incubator. The CSI Tech Incubator provides the company space near campus to meet and mainly supports undergraduate computer science based startups.</t>
  </si>
  <si>
    <t>New Providence, New Jersey United States</t>
  </si>
  <si>
    <t>SingletO2 Therapeutics LLC</t>
  </si>
  <si>
    <t>Ashish Agarwal</t>
  </si>
  <si>
    <t>aa1@solvuu.com</t>
  </si>
  <si>
    <t>Solvuu creates software and data solutions for pharmaceutical and biotech companies to accelerate their big-data genomics based R&amp;D programs. We are developing products and offer services toward this.</t>
  </si>
  <si>
    <t>Applied in 2020 and got 2, they say that compared to their 2020 app "We are generating revenue and imminently releasing 2 products." Referred by Nicole McKnight - Managing director BioLabs</t>
  </si>
  <si>
    <t>User friendly Bioinformatics platform for pharma and bitech companies to accelerate their big data genomics based R&amp;D programs. Very crowded space with big players. Nicole McKnight referral?</t>
  </si>
  <si>
    <t>The founder participated in ELabNYC many years ago. We have not participated in any incubator program recently. We do rent space at BioLabs at NYULangone and also at JLABS in San Francisco.</t>
  </si>
  <si>
    <t>change to DiT; data analytics; strong team our of carnegie mellon/cambridge; no patenting; generating revenue; referred by Nicole McKnight; not necessarily novel; no platform yet, more like a service for now; applied in AY20, have shown a lot of growth since then; unsure if the tech is innovative, patentable, etc;</t>
  </si>
  <si>
    <t>Solvuu</t>
  </si>
  <si>
    <t>Sona Labs _2022</t>
  </si>
  <si>
    <t>Neal Sarin</t>
  </si>
  <si>
    <t>neal@sona.care</t>
  </si>
  <si>
    <t>Sona Labs is a digital therapeutics company and record label that uses the power of restorative music to improve mental health. Sona Labs produces original music that is based on scientific research and delivered through mobile devices, virtual reality, augmented reality and live experiences.</t>
  </si>
  <si>
    <t>Graduated from 2 accelerators in 2021: Newchip &amp; Founder Friendly Labs</t>
  </si>
  <si>
    <t>Yes, we have graduated from two startup accelerators in 2021 (Newchip &amp; Founder Friendly Labs). We have strong ties with UC Berkeley. We've conducted research and plan to execute additional studies in the near future. Two of our science advisors are active neuroscience professors.</t>
  </si>
  <si>
    <t>Chris Mosher invited us to apply and we were referred by Max Wechter last year.</t>
  </si>
  <si>
    <t>Pacific Palisades, CA United States</t>
  </si>
  <si>
    <t>Sona Labs</t>
  </si>
  <si>
    <t>Sonostik LLC _2022</t>
  </si>
  <si>
    <t>Gary Wakeford</t>
  </si>
  <si>
    <t>Gary.Wakeford@SonoStik.com</t>
  </si>
  <si>
    <t>SonoStik has developed a novel technology for clinicians to eliminate the problem of difficult intravenous access, while providing patients with a more pleasant experience.</t>
  </si>
  <si>
    <t>Solid tech and team, but too niche for the EFL.</t>
  </si>
  <si>
    <t>Deep Tech. Ultrasound-guided device for IV injection, and increasing the success rate of procedure. FDA-approved. Clinical studies with 200 patients. 6 patents. Good team. Want to know more about the price estimation of their product, because on one hand it is reducing labor cost(which is the major cost of process), but on the other hand it is offering a more expensive device.</t>
  </si>
  <si>
    <t>strong validation in 1200 PTs; shows 4x increase in IV injection; application (use) is very narrow; team has prior experience in MedTech;</t>
  </si>
  <si>
    <t>20 Jade Circle Canfield, OH United States</t>
  </si>
  <si>
    <t>Sonostik LLC</t>
  </si>
  <si>
    <t>Southern Dairy Products _2022</t>
  </si>
  <si>
    <t>Lawrence Phambana</t>
  </si>
  <si>
    <t>psajiwa@gmail.com</t>
  </si>
  <si>
    <t>The name of the startup is, " Southern Dairy Products". We will be producing dairy products from the milk( raw materials) collected from vulnerable farmers practising livestock Production"climate smart" agriculture. My target customers are families with children and will be providing them with fresh and nutritious dairy products.</t>
  </si>
  <si>
    <t>P..O. Box 841, Blantyre, Southern Region Malawi</t>
  </si>
  <si>
    <t>Southern Dairy Products</t>
  </si>
  <si>
    <t>Sprayify (formerly known as Coatify) _2022</t>
  </si>
  <si>
    <t>Rihards Ruska</t>
  </si>
  <si>
    <t>rihards@sprayify.me</t>
  </si>
  <si>
    <t>Sprayify provides self-disinfecting surface coatings for high-traffic or high-cleanliness businesses. We help companies spend less money on disinfection and at the same time be better protected against infectious diseases.</t>
  </si>
  <si>
    <t>Disinfectant spray - no significant tech innovation.</t>
  </si>
  <si>
    <t>Disinfectant coating for long-term disinfection. Very competitive space. Lacks scientific innovation.</t>
  </si>
  <si>
    <t>Yes, BuildIt Latvia</t>
  </si>
  <si>
    <t>Riga, Riga Latvia</t>
  </si>
  <si>
    <t>Sprayify (formerly known as Coatify)</t>
  </si>
  <si>
    <t>Suquino, Inc _2022</t>
  </si>
  <si>
    <t>Ravi Amble</t>
  </si>
  <si>
    <t>ravi@suquino.com</t>
  </si>
  <si>
    <t>Saffron Telehealth offers a uniquely vendor-neutral, Machine Learning/AI platform (Ginger) that solves the problems unique to long-term and chronic care. By providing a link between third-party systems, wearables, patients, providers, facilities and caretakers, Saffron streamlines care and communications.</t>
  </si>
  <si>
    <t>- The application is self contradictory. The startup has no revenue, but the application mentions that the long term care industry has received the company very well. There should be at least some LOI or POC with some revenue projection. - Unclear technical moat. - The founder seem to have lots of startup exit experience as a co-founder and an investor. - The pain point solved is a big one given global aging and the need for improved Telehealth solutions.</t>
  </si>
  <si>
    <t>$10 Million Series-A</t>
  </si>
  <si>
    <t>Newchip Accelerator</t>
  </si>
  <si>
    <t>830 Stewart , Suite 241, Sunnyvale United States</t>
  </si>
  <si>
    <t>Suquino, Inc</t>
  </si>
  <si>
    <t>sustaident _2022</t>
  </si>
  <si>
    <t>asma muzaffar</t>
  </si>
  <si>
    <t>am8670@nyu.edu</t>
  </si>
  <si>
    <t>creating infection control material from sustainable products</t>
  </si>
  <si>
    <t>CONCEPT. ZERO FUND RAISED.</t>
  </si>
  <si>
    <t>404 E 79 street , ny United States</t>
  </si>
  <si>
    <t>sustaident</t>
  </si>
  <si>
    <t>Synaps Dx _2022</t>
  </si>
  <si>
    <t>Tapan Khan</t>
  </si>
  <si>
    <t>tkhan@synapsdx.com</t>
  </si>
  <si>
    <t>SYNAPS Dx was founded to commercialize the biomarker technology developed through more than a decade of research by a team of scientists at the Blanchette Rockefeller Neuroscience Institute (BRNI), which is now part of West Virginia University.</t>
  </si>
  <si>
    <t>Their application is very poor - they didnt even mention the names of team members (CEO etc), didnt give any details or data I learnt everything from their website</t>
  </si>
  <si>
    <t>Alzheimer detection platform by using biomarkers. They take a skin biopsy, grow it in TC and look for specific biomarkers for early Alzheimer detection and the tech can be applied for Lyme disease. Founder`s name is Frank Amato.</t>
  </si>
  <si>
    <t>application is very sparse; most of what Tugba reviewed on was based on research on their website; extremelty specific and sensitive testing; did not including fundraising in application; application very much felt like an afterthought</t>
  </si>
  <si>
    <t>Rockville Maryland, United States</t>
  </si>
  <si>
    <t>Synaps Dx</t>
  </si>
  <si>
    <t>Tawazon inc _2022</t>
  </si>
  <si>
    <t>Suna Zoabi Othman</t>
  </si>
  <si>
    <t>suna@tawazonapp.com</t>
  </si>
  <si>
    <t>1st and leading meditation app in Arabic</t>
  </si>
  <si>
    <t>Arabic meditation app. Market is large, but traction is only $5K/month with their biggest obstacle being retention. Not seeing a significant tech innovation - "neuromusic". Women-led.</t>
  </si>
  <si>
    <t>This is not an LS company. Meditation app in Arabic. Female founder. Arabic is one of the most spoken languages. Maybe we can transfer this one to DIT?</t>
  </si>
  <si>
    <t>Burj Amar, floor 4, Ramallah Palestinian Territory</t>
  </si>
  <si>
    <t>Tawazon inc</t>
  </si>
  <si>
    <t>The Cumin Culinary Brands _2022</t>
  </si>
  <si>
    <t>Ragoth Bala</t>
  </si>
  <si>
    <t>ragoth@thecuminclub.com</t>
  </si>
  <si>
    <t>The Cumin Culinary Brands is on a mission to make authentic ethnic cuisines readily available throughout the world. As a Chicago-based, venture-backed ethnic food company, the company operates two innovative brands, The Cumin Bowl (restaurant chain) and The Cumin Club (D2C Meal Kits).</t>
  </si>
  <si>
    <t>No tech innovation.</t>
  </si>
  <si>
    <t>Referred by Deepak Hedge? A company producing indian shelf-stable meals that can be ready to eat in 5 mins. No patent. 4M annual recurring revenue. Not tech-based.</t>
  </si>
  <si>
    <t>Chicago, IL United States</t>
  </si>
  <si>
    <t>The Cumin Culinary Brands</t>
  </si>
  <si>
    <t>TriAltus Bioscience _2022</t>
  </si>
  <si>
    <t>Bob Shufflebarger</t>
  </si>
  <si>
    <t>bob@trialtusbioscience.com</t>
  </si>
  <si>
    <t>TriAltus develops, manufactures and sells innovative tools for the production and purification of genetically engineered proteins. Our patented core technology is an engineered protein tag system that binds with 100,000x higher affinity than alternatives, resulting in 10-80x yield improvement and 99% purity in a single step.</t>
  </si>
  <si>
    <t>Tools for the production and purification of genetically engineered proteins. Platform tag system is 2-3x more efficient than conventional methods. Have $400K ARR from producing specialty proteins and more common ones like Cas9. CEO is a Duke MBA. Asking themselves "Are we ultimately more impactful as a supplier of affinity resin, or a low-cost provider of commodity proteins, or as a small-scale CDMO?" Need to know more about the specific proteins they make, and what their process is. They seem like a supplier to me - not a great fit for the EFL, despite their revenues.</t>
  </si>
  <si>
    <t>It isn't clear what they actually do. They have a product portfolio of plasmids, proteases, resins, etc. and they currently have good revenue. I couldn't understand how this would be a startup! To me they are an existing company willing to raise and expand. I couldn't fully understand their BM, and would want to know more about that.</t>
  </si>
  <si>
    <t>TriAltus Bioscience</t>
  </si>
  <si>
    <t>TrioWave Technologies _2022</t>
  </si>
  <si>
    <t>Huiyou Zhu</t>
  </si>
  <si>
    <t>hzhu@triowave.co</t>
  </si>
  <si>
    <t>Founded in 2014, dedicated to biostimulation solutions to improve people's health and life. Recently two product lines: 1. PainKARE - target chronic pain syndrome, with effective rate over 82% 2. FaceKARE - target people over 30's to rejuvenate whole face for young looking, 5 patents (2 US) granted; one US FDA 510K cleared.</t>
  </si>
  <si>
    <t>Deep Tech track. Patch + Electrostimulation to relieve pain. 510k clearance and is being sold on Amazon. According to the founder, the efficacy is 82% overall with 99% for knee pain. I don't believe this works, and there is no data or deck to back up these claims.</t>
  </si>
  <si>
    <t>In the fun fact section, it seems like their product helps with hair growth? Overall very confusing company, no clear tech or innovation, no data, no team Not LS</t>
  </si>
  <si>
    <t>3984 Washington Blvd. #166, California United States</t>
  </si>
  <si>
    <t>TrioWave Technologies</t>
  </si>
  <si>
    <t>Ultrasonic Medical Mapping, Inc. _2022</t>
  </si>
  <si>
    <t>Aaron Mishler</t>
  </si>
  <si>
    <t>aaron@umedmap.com</t>
  </si>
  <si>
    <t>UMM was created to bring a mature industrial application over the wall and into medicine. Our initial focus will be early detection of pancreatic cancer while it is still in a treatable stage.</t>
  </si>
  <si>
    <t>No tech innovation, just using low-frequency ultrasound to diagnose pancreatic cancer? They mention PMA, but this sounds like a 510(k) regulatory pathway instead. The app and deck seem like these founders are new to this. Apply next year with more traction.</t>
  </si>
  <si>
    <t>Early detection of (treatable) pancreatic cancer with low frequency ultrasounds. Its interesting that NASA wanted to collaborate with them. Invite next year</t>
  </si>
  <si>
    <t>Health Wildcatters</t>
  </si>
  <si>
    <t>GUST</t>
  </si>
  <si>
    <t>Bethesda, MD United States</t>
  </si>
  <si>
    <t>Ultrasonic Medical Mapping, Inc.</t>
  </si>
  <si>
    <t>Unlocked Labs Inc. _2022</t>
  </si>
  <si>
    <t>Christoph Geisler</t>
  </si>
  <si>
    <t>christoph@unlocked-labs.com</t>
  </si>
  <si>
    <t>Unlocked labs develops and commercializes probiotics that actively address the root causes of serious health conditions. Our platform approach is designed to activate dormant microbial abilities to sequester and biodegrade specific toxins. Our probiotics safely remove toxins from the entire body by staying in and functioning through the gut.</t>
  </si>
  <si>
    <t>Highly competitive market. Upside rather limited. Not sure our LS mentors, used to pharma's evidentiary standards would like this.</t>
  </si>
  <si>
    <t>What is the mechanism of action? Are their probiotics genetically modified in some way to consume alternative energy sources? Where is the data? Probiotics is a very crowded and uninnovative space, I need some more details on what's that special about their probiotics and more extensive validations. This could be very useful for the probiotics field, I just don't have enough information to be convinced</t>
  </si>
  <si>
    <t>Yes we have participated in the: National Science Foundations I-corps program SOSV's IndieBio Accelerator San Francsico Program</t>
  </si>
  <si>
    <t>Laramie, Wyoming United States</t>
  </si>
  <si>
    <t>Unlocked Labs Inc.</t>
  </si>
  <si>
    <t>ViBo Health _2022</t>
  </si>
  <si>
    <t>Gil Travish</t>
  </si>
  <si>
    <t>gil.travish@vibo.health</t>
  </si>
  <si>
    <t>ViBo Health is smart health tracking. We are developing a table-top metabolite scanner to help everyone track their health with actionable guidance provided on a dashboard.</t>
  </si>
  <si>
    <t>Deep Tech. Device for tabletop metabolite analysis for health tracking. Pre-protoype stage, too early.</t>
  </si>
  <si>
    <t>Yes. We are part of two incubators and one accelerator: Incubator (USA): UCLA's Magnify Incubator (Portugal): IPN / ESA-BIC Accelerator (USA): OCTANE Launchpad</t>
  </si>
  <si>
    <t>Dave Whelan at BioScience LA</t>
  </si>
  <si>
    <t>Change to DT; another snapshot analysis; skeptical</t>
  </si>
  <si>
    <t>ViBo Health</t>
  </si>
  <si>
    <t>Wild Coast Biologics Inc _2022</t>
  </si>
  <si>
    <t>Angela Harris</t>
  </si>
  <si>
    <t>angie@wildcoastbiologics.com</t>
  </si>
  <si>
    <t>We?re optimizing the power of algae and other plant based biologicals to eliminate the dependency on chemical fertilizers in agriculture.</t>
  </si>
  <si>
    <t>Deep Tech. Replacement to chemical fertilizer. First product is an algae-based soil biostimulant, and was tested on 100 farms resulting in 75% reduction in chemical inputs for a broad range of crops. Team is business oriented, no stand-outs. 0-1 months of runway?</t>
  </si>
  <si>
    <t>0-1 month runway! Joint venture and partnerships. 5-year R&amp;D partnership with Institute of Horticulture. Micro-algae based soil booster in order to replacing chemical fertilizer and increasing harvest yield.</t>
  </si>
  <si>
    <t>Other: Pre Public Round</t>
  </si>
  <si>
    <t>1 - 3 million</t>
  </si>
  <si>
    <t>change to DT; very low runway;</t>
  </si>
  <si>
    <t>1000 - 1285 West Pender Street, Vancouver, British Columbia Canada</t>
  </si>
  <si>
    <t>Wild Coast Biologics Inc</t>
  </si>
  <si>
    <t>Yumwoof Natural Pet Food _2022</t>
  </si>
  <si>
    <t>Jaron Lukas</t>
  </si>
  <si>
    <t>jaron@yumwoof.com</t>
  </si>
  <si>
    <t>Woof-worthy health is here through yumwoof! superfood nutrition plans backed by 250 clinical studies. We aim to transform your dog?s health in 30-days, especially if they suffer from allergies, gut issues or other inflammatory health issues.</t>
  </si>
  <si>
    <t>Las Vegas, NV United States</t>
  </si>
  <si>
    <t>Yumwoof Natural Pet Food</t>
  </si>
  <si>
    <t>Zena Therapeutics INC. _2022</t>
  </si>
  <si>
    <t>Ariane Vasilatis</t>
  </si>
  <si>
    <t>a.vasilatis@zenatherapeutics.com</t>
  </si>
  <si>
    <t>Zena Therapeutics designs acute GABAA receptor positive modulators to address general anxiety, panic disorder, and benzodiazepine (i.e. Xanax) and alcohol withdrawal symptoms, as a safer alternative to benzodiazepines (the current standard of care treatment), with reduced risks of overdose and development of physical dependence.</t>
  </si>
  <si>
    <t>Tx for anxiety that do not increase overdose risks if taken with other CNS depressing substances such as alcohol and opiates - especially important for substance use disorder patients. Efficacy shown in rats (no data provided). Two founders, both part-time. Rutgers owns their provisional patent application, which they are negotiating. Too early but should follow up next year.</t>
  </si>
  <si>
    <t>Too early. $35K raised by far. Rutgers University. Trying to develop Tx for anxiety which is safer specially for SUD and aged patients.</t>
  </si>
  <si>
    <t>Zena Therapeutics INC.</t>
  </si>
  <si>
    <t>Atlas _2022</t>
  </si>
  <si>
    <t>Clinton Brown</t>
  </si>
  <si>
    <t>clnton@atlasinc.solar</t>
  </si>
  <si>
    <t>Atlas does autonomous solar fields to solve efficiency for solar sites, providing increased revenue to investors and savings to consumers.</t>
  </si>
  <si>
    <t>- App is not filled with care + Startup idea sounds good but not much info is given in the application as far as details are concerned - No funds - No information on the team</t>
  </si>
  <si>
    <t>one word based application</t>
  </si>
  <si>
    <t>Atlas</t>
  </si>
  <si>
    <t>Fila Manila _2022</t>
  </si>
  <si>
    <t>Jacob Deleon</t>
  </si>
  <si>
    <t>jake@FilaManila.com</t>
  </si>
  <si>
    <t>Fila Manila was founded with the vision of representing the next generation of Filipino flavors to finally add market representation to the second largest Asian American community. We are working towards this by offering a variety of food products that are powered by an array of FoodTech and AgTech.</t>
  </si>
  <si>
    <t>no tech- note to not email anymore direct to consumers</t>
  </si>
  <si>
    <t>Not a Tech Startup</t>
  </si>
  <si>
    <t>During my first startup, a beverage brand called ?Origin Almond? (since discontinued), I was fortunate to be accepted in the KraftHeinz Springboard incubator. This provided an investment of $50,000 along with mentorship and assistance from the KraftHeinz team. Upon completion of the program, ultimately decided to double their investment to $100,000. KraftHeinz remains on our CAP table as I started Fila Manila under the same legal entity as Origin Almond. For Fila Manila, I was also fortunate to be part of the Sputnik ATX Tech Accelerator in Austin, TX as part of the Summer 2021 Cohort. This accelerator, primarily focused on tech startups, was a 3-month in-person program that provided founders with $100,000 investment with ?classes? and mentorship help. Fila Manila was the only CPG/Food brand in the cohort, but we outperformed the other startups for the weekly traction competition and were able to contribute our expertise to the other founders? industries.</t>
  </si>
  <si>
    <t>Laurel Springs, NJ United States</t>
  </si>
  <si>
    <t>Fila Manila</t>
  </si>
  <si>
    <t>Blind Tiger, LLC D/B/A Blind Tiger Spirit-Free Cocktails _2022</t>
  </si>
  <si>
    <t>Rebecca Styn</t>
  </si>
  <si>
    <t>rebecca@blindtigerspiritfree.com</t>
  </si>
  <si>
    <t>Blind Tiger manufacturers non-alcoholic cocktails to help eliminate the anxiety non-drinkers faces in social settings, allowing everyone to "feel part of the occasion."</t>
  </si>
  <si>
    <t>Overall, I think they can be a successful business. They are currently financially sustainable, and the business is not capital intensive. Idea is validated, and they are generating revenue currently. On the other hand, their target market is growing super fast, and it is a great opportunity there. This is a relatively emerging problem, and due to my personal experience I can see that many new non-alcoholic beverage products are entering the market (I?m working on one currently, and there are a lot of new investments in the industry!). Therefore, a refined BM, and adding scientific innovation- whether in formulation or product development or scaling- can leverage their success potential significantly.</t>
  </si>
  <si>
    <t>Potential DT; concerns if enough tech-based; high revenue growth thus far</t>
  </si>
  <si>
    <t>Erie, Pennsylvania United States</t>
  </si>
  <si>
    <t>Blind Tiger, LLC D/B/A Blind Tiger Spirit-Free Cocktails</t>
  </si>
  <si>
    <t>DrainBot _2022</t>
  </si>
  <si>
    <t>Slaven Stekovic</t>
  </si>
  <si>
    <t>s.stekovic@drainbot.com</t>
  </si>
  <si>
    <t>DrainBot provides road and rail infrastructure operators with an autonomous, intelligent robotic system for tunnel drainage maintenance thereby reducing maintenance cost, environmental footprint and overall downtimes of tunnels.</t>
  </si>
  <si>
    <t>robotic system for tunnel drainage need to scale smallish market $1M in revenue</t>
  </si>
  <si>
    <t>-Challenging Commercialization. +Potential government and private partnerhsips opportunities</t>
  </si>
  <si>
    <t>6.000.000</t>
  </si>
  <si>
    <t>Yes, we have been incubated at the Science Park Graz (AplusB program) from 2019-2020. We were also a participant at the ScaleUp4Europe programme, a European Commission Horizon 2020 initiative for early stage companies in 2021. We are also a member in the Silicon Alps Cluster and Green Tech Cluster - both industrial associations bringing together Austrian companies from electronic devices and green technology sectors.</t>
  </si>
  <si>
    <t>dredging system; has revenue but hesitations</t>
  </si>
  <si>
    <t>Eggersdorf bei Graz, Styria Austria</t>
  </si>
  <si>
    <t>DrainBot</t>
  </si>
  <si>
    <t>Trinh Le-Fiedler</t>
  </si>
  <si>
    <t>trinh.le-fiedler@nomitri.com</t>
  </si>
  <si>
    <t>Nomitri turns cutting-edge research in the field of embedded visual Deep Learning AI into product-ready applications for retail and QCommerce. Our revolutionary embedded technology is a low CapEx, infrastructure-light and privacy-preserving solution to automate visual performances offline and in real time.</t>
  </si>
  <si>
    <t>DiT visual AI turns an edge device into a visually intelligent device the first use case is smart grocery retailers scans item sin cart for auto check out https://www.caper.ai/ is already on the market</t>
  </si>
  <si>
    <t>+AI based application product usage in grocery shopping +Raised 2.5m in seed round +DL-based embedded visual AI turns an edge device (e.g. smartphone or camera) into a visually intelligent device - Competitors have a working products in the market</t>
  </si>
  <si>
    <t>German Accelerator Program (batch 2021, tbd 2022), https://www.germanaccelerator.com/ Weconomy Challenge 2021, https://www.weconomy.de/</t>
  </si>
  <si>
    <t>Nomitri</t>
  </si>
  <si>
    <t>Harris Sun</t>
  </si>
  <si>
    <t>harris.sun@raspect.ai</t>
  </si>
  <si>
    <t>RaSpect works at the intersection of deep technology, robotics, and drone data to transform smart city solutions. Whether it?s facade inspection, building services engineering, or city infrastructure maintenance, we make complex challenges simple with actionable data insights.</t>
  </si>
  <si>
    <t>DiT startup AI analytics on building and infrastructure data. Would cluster and invite to interview if best in class.</t>
  </si>
  <si>
    <t>+ Recurring Revenue from customers and generated +800k in 2021 + Have a handful of customers + Growth of the company in 3 years is great</t>
  </si>
  <si>
    <t>HKSTP</t>
  </si>
  <si>
    <t>InnoCentre, 72 Tat Chee Avenue, Kowloon Tong, Kowloon Hong Kong</t>
  </si>
  <si>
    <t>RaSpect</t>
  </si>
  <si>
    <t>Gaurav.Chawla@Renew-Risk.com</t>
  </si>
  <si>
    <t>Renew Risk provides fintech SaaS solutions to drive financing &amp; insurance of new renewable energy assets like offshore wind farms. We operate across the financial lifecycle, thereby reducing time, costs and regulatory capital; and increasing efficiency for renewable energy resource allocation</t>
  </si>
  <si>
    <t>DiT Fintech should invite women and founders of color</t>
  </si>
  <si>
    <t>+ 1. Tech is advanced 2. Good team - 1. Competition might be much more than the company claims 2. Tech barriers require more justifications.</t>
  </si>
  <si>
    <t>change to DiT; good team in FinTech; mark and beth to review</t>
  </si>
  <si>
    <t>Renew Risk</t>
  </si>
  <si>
    <t>Mohammad Khodadadi</t>
  </si>
  <si>
    <t>mo@satis.ai</t>
  </si>
  <si>
    <t>Satis is an AI Powered Operational Platform for Kitchens, aiming at being involved in Feeding 15% of the world by 2030 while enhancing quality of work and food for all.</t>
  </si>
  <si>
    <t>DiT realtime kitchen staff assistance via AI on video streams bot novel tech but if they can capture market share could be big</t>
  </si>
  <si>
    <t>+ Real-time staff assistance via AI on video streams + AI-Powered Operational Platform for Kitchens + I feel the tech is good and can help a lot of restaurants in managing their peak time order +Team looks solid on paper + Preseed: 3,000,000 + Circled 3.7m out of 5m fundraising</t>
  </si>
  <si>
    <t>/</t>
  </si>
  <si>
    <t>satis.ai ltd</t>
  </si>
  <si>
    <t>Sergio Rodriguera Jr</t>
  </si>
  <si>
    <t>srodriguera@gmail.com</t>
  </si>
  <si>
    <t>Straylight Systems is an advanced Artificial Intelligence (AI) company working with financial services and insurance companies accelerating their software engineering workloads and delivering AI-enabled software products through its proprietary data and intelligent automation platform.</t>
  </si>
  <si>
    <t>DiT fintech startup Need to validate the tech can work at scale</t>
  </si>
  <si>
    <t>+The team seems credible +The have $20,000 in MRR with less than a year of operation +Have participated in other incubators successfully +Technology seems novel</t>
  </si>
  <si>
    <t>We were accepted and completed the FinTech Innovation Lab sponsored by the Partnership Fund for NYC and Accenture.</t>
  </si>
  <si>
    <t>NYU Veterans Futures Lab</t>
  </si>
  <si>
    <t>Straylight Systems</t>
  </si>
  <si>
    <t>Ravi Sahu</t>
  </si>
  <si>
    <t>ravi@strayos.com</t>
  </si>
  <si>
    <t>Strayos helps Mining and Cement companies sustainably extract raw minerals and material by adding AI powered tools to each step of the mining value chain. We apply a combination of visual sensing &amp; AI to improve detection of high grade ore, more accurately model geology, and optimize the extraction methods to increase yield &amp; reduce waste.</t>
  </si>
  <si>
    <t>DiT startup AI-powered tools for sustainably extracting raw minerals Scott S. interested? $3M round with $2M circled</t>
  </si>
  <si>
    <t>+AI startup can ask Digital Team to look at it</t>
  </si>
  <si>
    <t>Techstars 43North</t>
  </si>
  <si>
    <t>Change to DiT; applied last year</t>
  </si>
  <si>
    <t>1 West Seneca Street 24t floor Buffalo, NY United States</t>
  </si>
  <si>
    <t>Strayos</t>
  </si>
  <si>
    <t>Adam Choe</t>
  </si>
  <si>
    <t>adam@veyondmetaverse.com</t>
  </si>
  <si>
    <t>"World's Premier Technology Company To Provide Accessible Metaverse Solutions For All Industries For Everyone Anywhere and Anytime"</t>
  </si>
  <si>
    <t>Immersive training in metaverse DiT startup Interview if best in class Need to prove it can scale in the real world App did not give a lot of info</t>
  </si>
  <si>
    <t>-Not much info is provided - Working in metaverse but exact work is not mentioned +Can have look, call for an interview and see what exactly they are trying to achieve as metaverse can be a booming industry</t>
  </si>
  <si>
    <t>USD 15M</t>
  </si>
  <si>
    <t>4061 E Castro Valley Blvd, Castro Valley, CA United States</t>
  </si>
  <si>
    <t>Veyond Metaverse, Inc</t>
  </si>
  <si>
    <t>Valon Xhafa</t>
  </si>
  <si>
    <t>valon.xhafa@behamics.com</t>
  </si>
  <si>
    <t>Behamics prevents cart abandonment in online stores by predicting the reasons and displaying behavioral messages to support the customer?s decision without providing discounts or sending reminding emails.</t>
  </si>
  <si>
    <t>DiT abandon cart for online stores by predicting the reasons and displaying behavioral messages tech is simple What's the moat? Need to scale quickly to capture market</t>
  </si>
  <si>
    <t>+Credible team with credentials and experience in their field +100k in MRR +Have interest from Shopify to invest +Clear painpoint</t>
  </si>
  <si>
    <t>gsdvc.com</t>
  </si>
  <si>
    <t>change to DiT; reimagines online cart abandonment using AB testing via messages; currently have customers and 100K/mo in reoccuring revenue; need more data/validation</t>
  </si>
  <si>
    <t>Behamics</t>
  </si>
  <si>
    <t>Satish Kashyap</t>
  </si>
  <si>
    <t>satish@dronapay.com</t>
  </si>
  <si>
    <t>Drona Pay does risk management &amp; real-time risk scoring, transaction monitoring and credit decisioning using machine learning and alternative datasets to mitigate risks of transaction fraud, delinquency, chargebacks, account takeover, laundering and suspicious transactions to help banks, payfacs, BNPL and card issuers to help mitigate payment risks</t>
  </si>
  <si>
    <t>DiT uses machine learning and proprietary data sets to offer an end-to-end framework covering real-time risk scoring</t>
  </si>
  <si>
    <t>+A DiT startup +Impresive Seed Investors like Kunal Shah from CRED, Amrish Rao. +Giving it a 4 and would like to them to interview, as they have a strong team, clear vision, and good initial investors at seed level.</t>
  </si>
  <si>
    <t>change to DiT; strong team, revenue, easily understandable product</t>
  </si>
  <si>
    <t>E502, Oberoi Splendor, JVLR, Andheri E, Mumbai 400060 , Maharashtra India</t>
  </si>
  <si>
    <t>Drona Pay Private Ltd</t>
  </si>
  <si>
    <t>Xu Han</t>
  </si>
  <si>
    <t>hanxu@dongshengai.com</t>
  </si>
  <si>
    <t>With machine vision and deep learning algorithm as the core, Dongsheng AI focuses on the field of industrial visual defect detection and provides standardized S/W and H/W platform products for enterprises, solved many problems of industrial visual inspection, improved the yield and productivity, leading to cost control and benefit increase.</t>
  </si>
  <si>
    <t>DiT Provider of artificial intelligence-based quality inspection technology and data analytic solutions claim to have $10M in sales Need to show the market traction</t>
  </si>
  <si>
    <t>+ Company focuses on industrial visual defect detection and provides standardized S/W and H/W platform + Claims that it generated $10000000USD &gt; I have worked in a factory but I didn't see the trend in AI visual inspection to full scale - Not much information is provided and said to contact them for further information - No information on team</t>
  </si>
  <si>
    <t>change to DiT; claim to have 10M in sales; unclear why they need EFL's help/mentorship? looking more for NYU resources/funding access</t>
  </si>
  <si>
    <t>Suzhou, Jiangsu China</t>
  </si>
  <si>
    <t>Intelligent Technology Co., Ltd</t>
  </si>
  <si>
    <t>houssam fahs</t>
  </si>
  <si>
    <t>houssam@kawa-analytics.com</t>
  </si>
  <si>
    <t>KAWA Analytics is the first no-code and collaborative data intelligence platform that combines the flexibility of a spreadsheet and the power of a BI tool. It blends the simplest interface, the most advanced analytics with the fastest processing engine on the market. With KAWA, we are giving the business users full control of their data.</t>
  </si>
  <si>
    <t>TALK ABOUT THIS. "No-code and collaborative data intelligence platform that combines the flexibility of a spreadsheet and the power of a business intelligence tool." They aim to be the Excel of big data. The demo shows effective graphing of very small data sets and they mention beta testing in the application, but the tech innovation itself and validating studies are not described well. French team with advisors at Google. Large market opportunity, but is this the team/tech to do it? $1.45M raised, with $2M soft circled in their open round. They have pilots (not described) with $90K in revenue from clients who paid for a 6 month beta version. No patents (likely not patentable). Unsure about them.</t>
  </si>
  <si>
    <t>Rock solid team with an MVP that is already in use and replacing existing analytics software in the business arena; clearly they have concocted an elegant solution to a difficult task of providing a no-code deep analytics software for the business sector. Please invite for interview!</t>
  </si>
  <si>
    <t>4 000 000</t>
  </si>
  <si>
    <t>no code; aim to be excel of big data; demo only shows small data set manipulation; validation not described very well; large market opp, google advisors; have 90K in revenue from beta version; likely not patentable;</t>
  </si>
  <si>
    <t>MIAMI, Florida United States</t>
  </si>
  <si>
    <t>KAWA ANALYTICS CORP</t>
  </si>
  <si>
    <t>aaron jones</t>
  </si>
  <si>
    <t>aaron@yepic.ai</t>
  </si>
  <si>
    <t>Yepic AI helps businesses communicate with their customers, partners and staff by removing production and language barriers through our AI video toolkit. Yepic's APIs and scalable infrastructure gives video services AI-Generated superpowers. We are building the Twilio of Global Video Communication.</t>
  </si>
  <si>
    <t>DiT allows realtime translations of multilingual videoconferencing in real-time with no need for additional subtitles or voice-over using AI $10M Series A</t>
  </si>
  <si>
    <t>Already many players in real-time dubbing space, still tech should be verified by the DiT team.</t>
  </si>
  <si>
    <t>Founders Factory &amp; MI Garrage</t>
  </si>
  <si>
    <t>Change to DiT; live translation AI; in 10M raise currently</t>
  </si>
  <si>
    <t>London, City of London United Kingdom</t>
  </si>
  <si>
    <t>Yepic AI Limited</t>
  </si>
  <si>
    <t>Julie Dalsgard</t>
  </si>
  <si>
    <t>julie@lifelinerobotics.com</t>
  </si>
  <si>
    <t>Lifeline Robotics develops technology for automatic throat pathogen sampling to solve issues related to manual mass testing for governments and the healthcare system, providing an efficient, scalable, but gentle technology to remove humans from the frontline pathogen testing and pandemic management.</t>
  </si>
  <si>
    <t>Deep tech. Robotics company that developed a fully automatic throat swab technology by utilizing machine vision, AI and custom hardware.</t>
  </si>
  <si>
    <t>Yes, accelerators. UNDP x Draper Univeristy Healthtech preaccelerator Newchip Accelerator</t>
  </si>
  <si>
    <t>change to DT; automates throat swaps. wild idea, would people want a robot swabbing throat? Khoa to revisit potentially</t>
  </si>
  <si>
    <t>Sivlandvænget 3, 1. , Southern Denmark Denmark</t>
  </si>
  <si>
    <t>Lifeline Robotics</t>
  </si>
  <si>
    <t>Jianqiang Liu</t>
  </si>
  <si>
    <t>jliu@aixscan.com</t>
  </si>
  <si>
    <t>Aixscan is a start up technology company developing an intelligent system which combines the functionalities of digital radiography (DR), computerized tomography (CT), and an experienced radiologist into a single package. The package will produce accountable and consistent diagnostic reports within seconds after scanning. This novel imaging system</t>
  </si>
  <si>
    <t>Deep tech revisit/cluster? Digital radiography (DR) combined with computerized tomography (CT) to provide diagnostic reports within seconds of imaging. Have protoype.</t>
  </si>
  <si>
    <t>I wish I had more data on their resolutions and comparison with competitors; based on what they wrote in application, they are significantly advantageous, but in the table in their website those advantages are not mentioned.</t>
  </si>
  <si>
    <t>change to DT; cluster with other similar</t>
  </si>
  <si>
    <t>Sunnyvale, CA United States</t>
  </si>
  <si>
    <t>AIXSCAN</t>
  </si>
  <si>
    <t>Gilberto Mayor</t>
  </si>
  <si>
    <t>gilberto@beegol.com</t>
  </si>
  <si>
    <t>Beegol delivers the world's best telemetry agent for broadband internet providers combined with a machine-learning management platform to monitor client quality of experience and identify and solve problems in any point of the network.</t>
  </si>
  <si>
    <t>+ ML-based Telemetry agent for end-to-end monitoring + Credible team with expertise in the telecom industry - Considering the size of the market need to check if they are able to manage big markets as they working in small segments to date. + Founder with start-up experience can be a plus point</t>
  </si>
  <si>
    <t>potential DiT</t>
  </si>
  <si>
    <t>8 The Green. Ste H, Dover County, 19901, Delaware United States</t>
  </si>
  <si>
    <t>Beegol Corp</t>
  </si>
  <si>
    <t>David Hart</t>
  </si>
  <si>
    <t>david.hart@plantae.net</t>
  </si>
  <si>
    <t>Plantae Bioscience deploys cutting-edge gene-editing technologies (CRISPR and more) to accelerate evolution and adapt plants to new agricultural technologies that are needed ensure a viable, sustainable and healthy food supply, in a world with extreme climate change, a growing population and scarce agricultural resources.</t>
  </si>
  <si>
    <t>Plantae was formed via an agreement between Huminn (and US-Israeli company that invests in early-stage technologies</t>
  </si>
  <si>
    <t>CRISPR edited vertical farming with computational enzyme design and metabolic pathway analysis.</t>
  </si>
  <si>
    <t>no.</t>
  </si>
  <si>
    <t>CRYSPR, but in plants; 3 pronged approach; have a patent; did not show data or validation; unique in that the target is plants not humans or cells; cluster with other AG Techs in DT;</t>
  </si>
  <si>
    <t>94 Yigal Alon St Tel Aviv, IL Israel</t>
  </si>
  <si>
    <t>Plantae Bioscience</t>
  </si>
  <si>
    <t>Sanjay Poojary</t>
  </si>
  <si>
    <t>spoojary@saya.life</t>
  </si>
  <si>
    <t>At Saya Life, we have built a unique vertically-integrated solution that both enables multi-unit residences to bill individual water users, while predicting and preventing catastrophic damage from common leaks. It?s a revolutionary new approach to water management for enterprise property owners ? and we are already generating $500k in revenue.</t>
  </si>
  <si>
    <t>DiT real-estate tech Has customers Solo founder</t>
  </si>
  <si>
    <t>+Well developed product +$50,000 MRR +Large potential market +Patented Technology</t>
  </si>
  <si>
    <t>Evonexus -- Graduate in October 2022</t>
  </si>
  <si>
    <t>DiT change; marketing to insurance companies to avoid paying out damages for water damage. currently only one certified for metering; did not explain their marketing approach very well. solo founder. too early/not big enough yet. stronger data companies in DIT already</t>
  </si>
  <si>
    <t>525 S Hewitt Street, CA United States</t>
  </si>
  <si>
    <t>SAYA Life</t>
  </si>
  <si>
    <t>Mark Amo-Boateng</t>
  </si>
  <si>
    <t>m.amo@xtellix.com</t>
  </si>
  <si>
    <t>Xtellix provides software that helps experts and enterprises make decisions 100,000x faster. Our proprietary optimization algorithms are able to help our clients solve over 10 billion parameters and constraints in real-time helping save critical time in areas such as supply chain and logistics, drug discovery, finance, AI, chip design, etc.</t>
  </si>
  <si>
    <t>DiT startup Optimization algorithm platform and APIs A bit early- Need funding</t>
  </si>
  <si>
    <t>+The founder seems passionate about the product -The company seems to early for EFL</t>
  </si>
  <si>
    <t>Nvidia Inception, Microsoft for Startups, Oracle for Startups</t>
  </si>
  <si>
    <t>Change to DiT; cluster with other digital health</t>
  </si>
  <si>
    <t>651 N Broad St, Suite 206, Middletown, New Castle, Delaware, 19709, Delaware United States</t>
  </si>
  <si>
    <t>Xtellix, Inc</t>
  </si>
  <si>
    <t>Wei Sun</t>
  </si>
  <si>
    <t>wsun@aiwaysion.com</t>
  </si>
  <si>
    <t>AIWaysion utilizes Artificial Intelligence (AI), computer vision, edge computing, and connected vehicle technologies to provide smart mobility solutions for transportation agencies and businesses for safer and more efficient transportation.</t>
  </si>
  <si>
    <t>Needs more validation but consider if they are the best of this group this year. University-owned IP</t>
  </si>
  <si>
    <t>+ Working on solid pain area with technology advancing in other sectors we need such startups in the Transportation segment + Need to check how they can attract government contracts + They have a team capable of coming up with solutions for the problem with patent for tech + They need Customers and funds</t>
  </si>
  <si>
    <t>The founders' project has been funded by University of Washington CoMotion program in 2020 before the company was founded.</t>
  </si>
  <si>
    <t>DiT; strong tech; revisit if no representation in this space; further along</t>
  </si>
  <si>
    <t>AIWaysion, Inc.</t>
  </si>
  <si>
    <t>Martin Dobelle</t>
  </si>
  <si>
    <t>martin@engagepolitics.com</t>
  </si>
  <si>
    <t>Engage Labs builds software solutions for political and civic engagement. Anywhere politics meets technology, products and services are a decade behind what would be considered industry standard in any other sector. We are building products like mobile tools to connect campaigns and voters and a platform for FEC compliant crypto donations.</t>
  </si>
  <si>
    <t>The team has a very strong team of advisors. Legally compliant crypto donations for political campaigns is a new area for EFL. We need to understand their capacity for go-to-market and execution of their vision.</t>
  </si>
  <si>
    <t>A new area worth looking into. The technology itself might not be very cutting-edge, but potential market is prospective.</t>
  </si>
  <si>
    <t>founder has amassed stellar advisors from both political parties in donation spaces (company allows crypto to be used in political donations/fundraising). exciting and new space, invite to interview to see more about what this space is. does volatile cryto market make this unstable? bound by campaign finance laws, etc.</t>
  </si>
  <si>
    <t>71 Potomac Ave SE, DC United States</t>
  </si>
  <si>
    <t>Engage Labs</t>
  </si>
  <si>
    <t>Jeffrey McCormack</t>
  </si>
  <si>
    <t>jeff@iryss.finance</t>
  </si>
  <si>
    <t>Iryss is developing an end-to-end financial planning platform to help the chronically ill reduced financial stress using tools and services designed to meet current medical costs and plan for the future</t>
  </si>
  <si>
    <t>- Medical bills are is one of the top reasons for U.S. bankruptcies. Disabilities caused by long covid further exacerbates this paint point. This product is meeting a huge unmet market need. - Application addresses go-to-market, and plan for earning revenue. - EFL should interview this startup.</t>
  </si>
  <si>
    <t>The success rate of this product relies very heavily on the "disease modeling" component, of which not too much info is given. Hard to make a decision without more info. See Notes on Technology for followup questions.</t>
  </si>
  <si>
    <t>Founders Institute Toronto</t>
  </si>
  <si>
    <t>Garnet Heraman</t>
  </si>
  <si>
    <t>Financial planning for high med bill patients; interesting intersection of FInTech and Digital Health; not a lot of other companies in this space, feels timely now. Questions for int: what is their expertise in helping with this planning, what makes their advice unique (whats the difference between this advice in relation to health issues vs. general financial advice?).</t>
  </si>
  <si>
    <t>Rochester, NEW YORK United States</t>
  </si>
  <si>
    <t>Iryss, Inc</t>
  </si>
  <si>
    <t>Michael Young</t>
  </si>
  <si>
    <t>michael@lindushealth.com</t>
  </si>
  <si>
    <t>Lindus Health runs clinical trials for health and biotech companies, using our tech platform to speed up the pace of research so that companies can get to market faster and patients can benefit from new treatments sooner.</t>
  </si>
  <si>
    <t>Digital Tech. It seems like they are just a CRO for clinical trials, but have some ML component to improving trial efficiency in design and execution. Used for &gt;60 trials. Great team from Oxford, McK, Google. Advisor from AstraZeneca. Raised $4.5M</t>
  </si>
  <si>
    <t>Would be great to hear what feedback they got from the trials they ran</t>
  </si>
  <si>
    <t>KQ Labs</t>
  </si>
  <si>
    <t>change to DiT; machine learning component to improve efficiency of clinical trials; strong team out of oxford mckinsey, google, astrozeneca; not a lot of data supplied; want to see results of trials not just their anecdotal evidence of improvement in workflow</t>
  </si>
  <si>
    <t>Lindus Health</t>
  </si>
  <si>
    <t>Martin Szyllo</t>
  </si>
  <si>
    <t>martin@melior.ai</t>
  </si>
  <si>
    <t>Melior Intelligence helps Contract Managers to Automatically Categorise, Review and Find Answers in legal and compliance documents so companies can make better business decisions and easily automate workflows</t>
  </si>
  <si>
    <t>- Growing traction among clients and pilots. - Failed to discuss competition, such as Evisort, and how to establish moat. - Team is well rounded: MBA, JD and CS.</t>
  </si>
  <si>
    <t>F10.ch (Swiss accelerator)</t>
  </si>
  <si>
    <t>cluster with other legal tech;</t>
  </si>
  <si>
    <t>London (Bushey), WD23 2AR United Kingdom</t>
  </si>
  <si>
    <t>Melior AI, Inc.</t>
  </si>
  <si>
    <t>Ernest Chan</t>
  </si>
  <si>
    <t>ernest@predictnow.ai</t>
  </si>
  <si>
    <t>PredictNow.ai was built on the belief that machine learning is more effective in correcting human decisions rather than making them from scratch. Our cloud-based solutions aim to help businesses implement effective machine learning that immediately improves business performance rather than ambitious AI projects that result in unfulfilled promises.</t>
  </si>
  <si>
    <t>DiT startup interview if best of in category</t>
  </si>
  <si>
    <t>Predict Now is a promising venture considering the founder's expertise and background in quant finance, AI, and ML. However, Team lacks Strong Business Development and Partnerships Executive. Maybe due to the network founder can get initial traction of customers however a strong business plan would have made this pitch good enough for the interview</t>
  </si>
  <si>
    <t>Yes we were apart of founder's instituite</t>
  </si>
  <si>
    <t>Niagara-on-the-Lake, Ontario Canada</t>
  </si>
  <si>
    <t>PredictNow.ai</t>
  </si>
  <si>
    <t>Furkan Eris</t>
  </si>
  <si>
    <t>furkan@spiky.ai</t>
  </si>
  <si>
    <t>Spiky.ai provides advanced EQ intelligence on audio and video sources collected from meetings and calls to companies to connect their human-metrics with their hard-metrics of interest. Disney uses spiky to optimize employee engagement, udemy uses spiky to increase average view times.</t>
  </si>
  <si>
    <t>DiT startup invite to interview if best of class. They need to scale out their data and capture big partners</t>
  </si>
  <si>
    <t>+ ML model-based platform to generate human metric data for analysing and improving team performances and efficiency + Having a working model of the product - working on complex pain areas (understanding the human metrics through meetings &amp; calls and giving analysis on them)</t>
  </si>
  <si>
    <t>Other: Bridge round</t>
  </si>
  <si>
    <t>We are a Techstars company.</t>
  </si>
  <si>
    <t>Likely DiT</t>
  </si>
  <si>
    <t>838 Walker Street, Suite 21-2, Dover, County of Kent, 19904, Delaware, USA , Delaware United States</t>
  </si>
  <si>
    <t>Spiky.ai</t>
  </si>
  <si>
    <t>Saurabh Mishra</t>
  </si>
  <si>
    <t>saurabh@taiyo.ai</t>
  </si>
  <si>
    <t>The world's first infrastructure intelligence platform</t>
  </si>
  <si>
    <t>Bit early but could be a fit for DiT</t>
  </si>
  <si>
    <t>+The team seems credible +Revenue and interest from large companies proves the products value +The product seems well developed</t>
  </si>
  <si>
    <t>SKydeck, UC Berkeley</t>
  </si>
  <si>
    <t>Potential DiT; Stern alum; NYU affiliations; Mark to revisit</t>
  </si>
  <si>
    <t>3217 King Street , Berkeley, CA United States</t>
  </si>
  <si>
    <t>Taiyo.AI</t>
  </si>
  <si>
    <t>Gautham Pasupuleti</t>
  </si>
  <si>
    <t>gautham@biodesigninnovationlabs.com</t>
  </si>
  <si>
    <t>Biodesign Innovation Labs is a medical device and healthcare technology startup developing affordable and innovative critical care solutions to reduce mortality of patients in the emergency care, post operative care, ICU and transport ventilation.</t>
  </si>
  <si>
    <t>Deep Tech track. Pneumatic ventilator with automated respiratory assist. I'm not sure what the tech innovation is, but it's already commercialized and being used in hospitals after only grant funding. Referred by Amazon CMO? Not sure who Maulik Mazumdar is.</t>
  </si>
  <si>
    <t>Northeastern University IDEA Accelerator, CAMTech MGH Accelerator, Qualcomm Design in India Challenge.</t>
  </si>
  <si>
    <t>Maulik Mazumdar</t>
  </si>
  <si>
    <t>change to DT; already commercialized and in hospitals; potentially was referred by Amazon's CMO. Check on reference to confirm person. despite this not seeing a lot of innovative tech</t>
  </si>
  <si>
    <t>Delware, Delware United States</t>
  </si>
  <si>
    <t>Biodesign Innovation Labs</t>
  </si>
  <si>
    <t>Flow Recovery Limited _2022</t>
  </si>
  <si>
    <t>James Morrison Steward</t>
  </si>
  <si>
    <t>james@flowrecovery.com</t>
  </si>
  <si>
    <t>The future of pain relief via our range of hardware &amp; App-based Digital Therapeutics (DTx), Flow Recovery helps those in pain with sleek, affordable and effective devices.</t>
  </si>
  <si>
    <t>Direct to consumer product like massage gun not a fit for EFL/ reject</t>
  </si>
  <si>
    <t>Barclays Eagle Labs</t>
  </si>
  <si>
    <t>Unit 5 Mann Island, Liverpool, L3 1BP, Merseyside United Kingdom</t>
  </si>
  <si>
    <t>Flow Recovery Limited</t>
  </si>
  <si>
    <t>Niura _2022</t>
  </si>
  <si>
    <t>Ryan Ahmed</t>
  </si>
  <si>
    <t>rahmed39@nyit.edu</t>
  </si>
  <si>
    <t>Niura is developing audio headsets with electroencephalography (EEG) implementation to give access to better music recommendation along with providing access to monitoring of biometrics. Niura's larger mission is to make neural biometrics affordable and accessible for everyone for potential life-saving early detections of health abnormalities.</t>
  </si>
  <si>
    <t>Deep tech. In-ear EEG delivered through wireless headphones to diagnose and monitor disease. Also monitoring mood state for music recommendations? They're building out an app with AI to track biometrics while listening to music, working out, etc. Prototyped, with an FDA IRB-approved study underway. Provisional patent apps. Part-time team out of NYU Tandon and NYIT. Special reject and reach out for next year once they get this off the ground?</t>
  </si>
  <si>
    <t>From the deck, it seems like they can determine a person's mood based on EEG? How? The tech is not well explained. They are still running trials comparing their technology to the clinical grade EEG device. Need this data to make any decisions.</t>
  </si>
  <si>
    <t>No, we are not affiliated with any other such program.</t>
  </si>
  <si>
    <t>Change to DT; in ear EEG; for diagnostics and mood assessment; prototyped, no patent yet, part time team; special reject and invite next year</t>
  </si>
  <si>
    <t>Kew Gardens, NY United States</t>
  </si>
  <si>
    <t>Niura</t>
  </si>
  <si>
    <t>Atif Syed</t>
  </si>
  <si>
    <t>atifsyed@wootzano.com</t>
  </si>
  <si>
    <t>Wootzano has developed a robotics system called Avarai which is capable of snipping, weight estimation and delicately handling complex fruits like grapes to offer autonomous packaging solutions for fresh produce packers to help solve labour availability challenges and help combat food wastage. The system provides an ROI of 1-1.5years.</t>
  </si>
  <si>
    <t>robots that can handel fruit and vegetables that are highly perishable what other applications can this have? need to scale up</t>
  </si>
  <si>
    <t>+Novel tech +Credible team +Good idea and large addressable market</t>
  </si>
  <si>
    <t>Other: No label</t>
  </si>
  <si>
    <t>Barclay Eagle Lab</t>
  </si>
  <si>
    <t>strong funding and customer base; patented idea; however single application in fruit packaging, is this exciting? what are their next steps or how will they move into a new stage?</t>
  </si>
  <si>
    <t>Explorer 2, Thomas Wright Way, Sedgefield, Co Durham United Kingdom</t>
  </si>
  <si>
    <t>Wootzano Limited</t>
  </si>
  <si>
    <t>manot _2022</t>
  </si>
  <si>
    <t>Chinar Movsisyan</t>
  </si>
  <si>
    <t>chinar@manot.ai</t>
  </si>
  <si>
    <t>manot provides insights about Computer Vision models' behavior when they face unexpected scenarios in the Real World. With these insights enterprises, Data teams, and Product Managers/Owners can fine-tune the data curation to match it in the real world, make their dataset more comprehensive, and improve the model accuracy.</t>
  </si>
  <si>
    <t>- Currently working on 5 PoC with pilots. - Going to finalize results and apply for a patent or publish it in CVPR. - Slightly early for EFL. Should encourage to apply next year. Special reject.</t>
  </si>
  <si>
    <t>Main concern is the team. Solo founder without any immediately apparent relevant expertise in the field.</t>
  </si>
  <si>
    <t>326 Mira Loma Ave, Glendale, CA United States</t>
  </si>
  <si>
    <t>manot</t>
  </si>
  <si>
    <t>OR Link _2022</t>
  </si>
  <si>
    <t>Wayne Colin</t>
  </si>
  <si>
    <t>wayne_c@myorlink.com</t>
  </si>
  <si>
    <t>OR Link is a workflow management tool designed to replace/augment current archaic surgical preference card systems that produce material/financial waste, inefficiency &amp; suboptimal proficiency for surgical services. We solve these problems for surgeons, nurses, patients and hospital by a user-friendly, intuitive and icon/photo/video-based platform.</t>
  </si>
  <si>
    <t>Digital Tech. Surgical workflow software. Did a beta test on 600 cases at Northwestern Medicine Huntley Hospital in 2019. Huge cost savings and recommendation was to implement across the hospital - did this happen? They applied previously, and have since patent protected their tech and run another beta test - results were skewed due to COVID but still favorable, need to see the data though. Team is impressive but part-time.</t>
  </si>
  <si>
    <t>Digital Tech. Referred by Lou Walcer. Previously applied. NYU alumni. Part-time team. Affiliated with Cornell University McGovern Center for Life Sciences Development currently. Highly focused on early exit opportunities. An AI-powered cloud-native surgical workflow application that is accessible via any PC or iOS tablet, for making surgery preference cards and surgical procedures digital. Lack of business knowledge, and trying to make a on-stop-shop for surgery procedures, but they lack a good strategy and plan to do so.</t>
  </si>
  <si>
    <t>Cornell University McGovern Center for Life Sciences Development (current) Xlerate Health (accelerator w U of Louisville, Fall 2016) Nucleus Launchit (general biz accelerator w U of Louisville, Winter 2016)</t>
  </si>
  <si>
    <t>Lou Walcer, NYU Business School alum, Cornell University McGovern Center for Life Sciences Development</t>
  </si>
  <si>
    <t>Do not ask to apply again. Change to DiT; AI for surgery workflow; only one team member mentioned, part time; applied LY, has gained more validation and patents; cluster with other surgical workflows.</t>
  </si>
  <si>
    <t>2104 Bridgeport Circle, Kentucky United States</t>
  </si>
  <si>
    <t>OR Link</t>
  </si>
  <si>
    <t>REX Property Holdings Corp _2022</t>
  </si>
  <si>
    <t>Ben Haber</t>
  </si>
  <si>
    <t>benjaminhabes200@gmail.com</t>
  </si>
  <si>
    <t>REX is a fractional real estate trading marketplace and property holding company. REX's fully liquid and fractional share model allows investors to purchase and benefit from the returns on residential rental properties and real estate generally. REX solves the two main problems with traditional real estate investments, lack of liquidity and access</t>
  </si>
  <si>
    <t>a little too early. also competitive space. nyu founders. special reject + invite for next year.</t>
  </si>
  <si>
    <t>Potentially disruptive, but still functionally conceptual tech. Software development still in progress. Premature for EFL? Invite back next year?</t>
  </si>
  <si>
    <t>REX Property Holdings Corp</t>
  </si>
  <si>
    <t>Sahara Cloud _2022</t>
  </si>
  <si>
    <t>Jama Mohamed</t>
  </si>
  <si>
    <t>jama@saharacloud.io</t>
  </si>
  <si>
    <t>Sahara is a flexible virtualization platform for hardware R&amp;D that allows teams to run both hardware and software tests on the same system, either using our frontend or through their own tools.</t>
  </si>
  <si>
    <t>The application mentions the startup's mission, which is to design a system-level virtual design platform for hardware, firmware and software. There is an MVP. However, it does not outline what unique competitive advantage it has, and why other companies, both big and small, cannot do the same. This is a large gap in the application. There is no work done in customer discovery.</t>
  </si>
  <si>
    <t>Needs a competitive advantage (no deck was given) Competitive landscape with many trying to sell the solution but not able to show customers are willing to pay for it outside of their org Early stage and needs validation</t>
  </si>
  <si>
    <t>Worked at Techstars as a Business Associated in the past</t>
  </si>
  <si>
    <t>Mentor referral, needs a special reject</t>
  </si>
  <si>
    <t>Sahara Cloud</t>
  </si>
  <si>
    <t>Visi Health Technologies _2022</t>
  </si>
  <si>
    <t>Lama Al-Aswad</t>
  </si>
  <si>
    <t>doctoralaswad@gmail.com</t>
  </si>
  <si>
    <t>Visi Health Technologies has developed a wearable ocular imaging device and teleophthalmology ecosystem for remote comprehensive eye exams for diabetic patients in primary care clinics. Our company helps primary care clinics maximize reimbursements and improve the quality of care for their diabetic patients through increased retinopathy screenings.</t>
  </si>
  <si>
    <t>Wearable headset device that images the anterior and posterior ocular structures and for remote assessment of the eye. Design stage of prototyping, too early. One founder is an NYU Prof.</t>
  </si>
  <si>
    <t>Very unique idea! Potential for high impact, but very early for them: still developing tech, have yet to validate or submit for patents. Invite next year!</t>
  </si>
  <si>
    <t>Our team completed both a regional and the national NSF ICORPS</t>
  </si>
  <si>
    <t>Dee Dao from Innovation Venture Fund @ NYU</t>
  </si>
  <si>
    <t>remote eye assessment; founder is nyu prof; special reject: too early, still in product design phaase</t>
  </si>
  <si>
    <t>Bronxville, New York United States</t>
  </si>
  <si>
    <t>Visi Health Technologies</t>
  </si>
  <si>
    <t>William Layton</t>
  </si>
  <si>
    <t>sks@3ridgetechnologies.com</t>
  </si>
  <si>
    <t>RT is revolutionizing indoor farming with a sustainable, low cost offering that combines natural farming methods with microbial science to 1. eliminate need for synthetic chemicals and 2. reduce labor. We license our first-of-a-kind patent-pending Agria? grow system and provide grower support services to make setting up and running an indoor far</t>
  </si>
  <si>
    <t>Deep tech. Microbe-rich growth media that eliminates the need for synthetic fertilizer and pesticides. Created for indoor farming without chemicals. $250K ARR. Patent pending. Has been used to grow 130+ varieties of crops.</t>
  </si>
  <si>
    <t>The only reason I'm not rejecting them is that they have revenue of $500K. I want to know more about their R&amp;D progress, and data on the claimed characteristics of the technology.</t>
  </si>
  <si>
    <t>Chris Mosher &lt;czm8092@stern.nyu.edu&gt;</t>
  </si>
  <si>
    <t>Change to DT; eliminated synthetic fert and pest; have shown success in 130 crops so far; revisit and cluster</t>
  </si>
  <si>
    <t>Lynchburg, VA United States</t>
  </si>
  <si>
    <t>3 Ridge Technologies</t>
  </si>
  <si>
    <t>Edward Loomis</t>
  </si>
  <si>
    <t>eddie@allergybutler.com</t>
  </si>
  <si>
    <t>Allergy Butler permanently fixes allergies using toothpaste. Allergies is the fastest growing chronic disease and the #1 cause of missed work and school and the problem is getting worse as more CO2 enters the atmosphere and the planet warms.</t>
  </si>
  <si>
    <t>Deep tech or life sciences? Fun idea. Toothpaste to permanently cure allergies. They mail you a kit that includes a device to prick your finger for a couple drops of blood, and biohazard packaging to mail the sample in. They evaluate the sample for 50 allergens, collect a brief medical history online, and use the results to develop a personalized toothpaste that contains allergens of interest. The toothpaste is packaged in a pump that delivers the correct dosage. Replacement for immunotherapy (allergy shots). $2.5K/month in revenue. Tested "hundreds of patients and published research on safety, efficacy, and adherence" but I cannot find the data and they didn't submit a deck. Team has significant experience building healthcare companies, but not in immunotherapy/allergies specifically. Accomplished a lot with only $100K invested so far. Raising $3M to scale.</t>
  </si>
  <si>
    <t>Referred by Chris Mosher? 2.5K MRR. Allergy immunotherapy personalized toothpaste. A blood test sampling kit is mailed to your house, after sampling the customers send back the samples. With testing the blood and a questionnaire, they design an immunotherapy for fixing allergy permanently, they combine it with a toothpaste, and send your personalized toothpaste, allergy drops, and shots to you. The tech is not yet patented.</t>
  </si>
  <si>
    <t>revist in DT or keep in LS?; toothpaste to cure allergies; (think low dose exposure but instead of injections its in the toothpaste); dosage is controlled by pump they send you; 2.5K in revenue; tested in 100s of patients, say they've posted data but not submitted; accomplished a lot with small raise; team doesn't have exp. in allergy or immuno field; pharma mentors perhaps not interested? Invite in LS, maybe move to DT after interview</t>
  </si>
  <si>
    <t>Allergy Butler</t>
  </si>
  <si>
    <t>Ampli _2022</t>
  </si>
  <si>
    <t>Jose Gomez-Marquez</t>
  </si>
  <si>
    <t>jose.gomez.marquez@gmail.com</t>
  </si>
  <si>
    <t>Ampli is an early stage company dedicated to democratizing biopharmaceutical and advanced material production using our modular plug and play microreactor technology spun out of MIT. Our Ampli system has early traction with users as diverse as American research labs, developing world clinics, and outer space. We're the Lego for pharmaceutical mfg.</t>
  </si>
  <si>
    <t>SPECIAL REJECT. Modular biochemical manufacturing platform that enables distributed, affordable, and scalable production of pharmaceuticals. This is an outstanding idea, but too early - needs more validation of the science, funding, and full-time team members. Currently a solo founder with an advisory board. The founder has an unconventional and interesting career, beginning with a BS at MIT (didn't finish?) then moving to investments/startups, and back to MIT to lead the Little Devices Lab. I am really excited about this company - we should special reject and reach out next year.</t>
  </si>
  <si>
    <t>Deep Tech. MIT. Too early. Referred by Anna Young. In contract with ISS. Not planning to raise any money. Portable biochemistry drug manufacturing in the shape of lego blocks. Microreactor blocks are powered by membrane flow. We can program sequential, parallel, and multiplex reactions with minimal infrastructure. NO PATENT. NO VALIDATION.</t>
  </si>
  <si>
    <t>Not directly with Ampli, but in a prior startup (MakerHealth) I was part of MassChallenge.</t>
  </si>
  <si>
    <t>Anna Young</t>
  </si>
  <si>
    <t>23 Drydock Ave, Boston, MA 02210 United States</t>
  </si>
  <si>
    <t>Ampli</t>
  </si>
  <si>
    <t>APIE Therapeutics _2022</t>
  </si>
  <si>
    <t>Esther M Alegria</t>
  </si>
  <si>
    <t>ealegria@apie-therapeutics.com</t>
  </si>
  <si>
    <t>APIE Therapeutics is a start-up pioneering the next generation of anti-fibrotic small molecule platform. APIE?s novel compounds selectively target repair and regeneration of the vasculature endothelium injured tissue, precursor of many chronic and fibrotic diseases. Neglecting the vascular injury continues to leads to disease progression.</t>
  </si>
  <si>
    <t>crowded space, but novel approach. not as far into validating as some of our other therapeutics companies. seems like they have licensed in some tech as well, so worth understanding if they are the founders/researchers behind the science</t>
  </si>
  <si>
    <t>Anti-fibrotic Tx to trigger regenerate response after vascular injury to repair, remodel and regenerate micro-vascular tissue and inhibit inflammatory response</t>
  </si>
  <si>
    <t>No. EFL Program will be my first start-up program.</t>
  </si>
  <si>
    <t>Durham, NC United States</t>
  </si>
  <si>
    <t>APIE Therapeutics</t>
  </si>
  <si>
    <t>Greg Sturmer</t>
  </si>
  <si>
    <t>gsturmer@elysiumrx.com</t>
  </si>
  <si>
    <t>Elysium is developing therapeutics to reduce suffering from severe acute pain, opioid-use disorder (OUD), and fatal opioid overdose by delivering highly effective therapies with molecular exposure control to prevent oral overdose and reduce future generations of OUD sufferers, and safely rescue individuals from synthetic opioid (fentanyl) overdose.</t>
  </si>
  <si>
    <t>They sound like they took over a very ambitious goal and I am not sure if they have solid products They show some data but it is very minimal and they give little info in the validations. I would interview them but ask all of these questions</t>
  </si>
  <si>
    <t>Opioid whose potency expires after the prescribed-use period, opioid antagonist that lasts up to 24 hours, self-limiting opioid delivery system that enforces dosing compliance.</t>
  </si>
  <si>
    <t>Dr. Jenkins, Mr. Sturmer, and Dr. Hackworth (Board member) completed The Innovation Corps (I-Corps?) at NIH program. SBIR Phase I grant awardee teams spend 8 weeks outside the lab, learning to succeed through intensive in-person and online courses, mentoring, networking, and market research.</t>
  </si>
  <si>
    <t>Akron, OH United States</t>
  </si>
  <si>
    <t>Elysium Therapeutics, Inc.</t>
  </si>
  <si>
    <t>Marc Bessler</t>
  </si>
  <si>
    <t>bessler28@gmail.com</t>
  </si>
  <si>
    <t>EndObetes has developed a device to treat type-2 diabetes and obesity that will put diabetes into remission and cause significant weight loss</t>
  </si>
  <si>
    <t>Interesting device, which, if it works, seems to solve a known problem. Id like to know efficacy of such procedures to address diabetes and validation data establishing superiority of proposed procedure relative to existing methods.</t>
  </si>
  <si>
    <t>MDIC ans Medtech Innovator</t>
  </si>
  <si>
    <t>Kathi Durdon MDIC</t>
  </si>
  <si>
    <t>143 Kensington Oval New Rochelle, NY United States</t>
  </si>
  <si>
    <t>EndObetes</t>
  </si>
  <si>
    <t>EriVan Bio _2022</t>
  </si>
  <si>
    <t>Nasser Nassiri Koopaei</t>
  </si>
  <si>
    <t>koopaei@erivanbio.com</t>
  </si>
  <si>
    <t>EriVan develops stem cell exosome platform technology as the next generation of regenerative medicine to replace live stem cells and provide superior efficacy. EriVan has developed a consistent and scalable manufacturing process for multiple types of exosomes. EriVan commercializes regenerative exosomes in partnership with medical device firms.</t>
  </si>
  <si>
    <t>Solid team + Platform technology with some validation and broad applications. We should interview.</t>
  </si>
  <si>
    <t>Referred by Jahanara Ali. UofFlorida spin-out. NYU affiliation. I'm personally not a big fan of exosome technology because of its unsteady efficacy, not having capacity for innovation, highly competitive market, old technology, and lack of precision.</t>
  </si>
  <si>
    <t>Erivan Bio is housed in the Sid Martin Biotech Incubator which is a division of the University of Florida. We have not participated in any accelerator programs thus far.</t>
  </si>
  <si>
    <t>Jahanara Ali</t>
  </si>
  <si>
    <t>exosome production: not necessarily novel; strong team; potential change to DT; might end up going DtoC; has shown strong data in applications in wrinkle reduction/hair regrowth; interviewed LY; same referral as C2iGenomics; special reject: thanks for applying again this year</t>
  </si>
  <si>
    <t>12085 Research Drive, Alachua, 32615, Florida United States</t>
  </si>
  <si>
    <t>EriVan Bio</t>
  </si>
  <si>
    <t>Casey Grage</t>
  </si>
  <si>
    <t>casey@hublysurgical.com</t>
  </si>
  <si>
    <t>The most common neurosurgery, emergency burr hole placement, is currently performed with a high-failure, hand-crank drill at the bedside. Hubly Surgical has created an advanced intracranial drill designed for safety and ease of use with autostop, pressure indication, and battery power for use inside and outside of the operating room.</t>
  </si>
  <si>
    <t>Could be LS or DT. Excited to hear more about the launch.</t>
  </si>
  <si>
    <t>They applied last year but were not interviewed</t>
  </si>
  <si>
    <t>Northwestern University Garage Johns Hopkins Fuel Alchemist Accelerator Halcyon Incubator MassChallenge Boston Start-Up Chile</t>
  </si>
  <si>
    <t>Mike Malloy from Halcyon Incubator</t>
  </si>
  <si>
    <t>Lisle, IL United States</t>
  </si>
  <si>
    <t>Hubly Surgical</t>
  </si>
  <si>
    <t>Jeff June</t>
  </si>
  <si>
    <t>jeff.june@iscdx.com</t>
  </si>
  <si>
    <t>Ischemia Care provides blood testing (using RNA expression, clinical data, and machine learning) to identify stroke, cause of stroke (example atrial fibrillation), and prevent strokes. Test is used by clinicians in the hospital setting to improve patient workflow and reduce cost.</t>
  </si>
  <si>
    <t>RNA-based blood test for diagnosing stroke and its cause. Usually given within 24 hrs of stroke to determine cause and subsequent clinical care. Completed a 1700 patient, 20 hospital clinical trial and have a partnership with Thermo Fisher Scientific. It is unclear what the trial results are, and it seems their innovation is aggregating stroke patient data and identifying common bloodborne biomarkers (effect-to-cause rather than the other way around). Building a "digital health solution" - ask about this. Also need to ask them about their data, clinical outcomes, key biomarker(s), etc. Strong business team, but no technical or deep medical experience.</t>
  </si>
  <si>
    <t>Their finances is really strong, and they are implementing the BM pretty good. They have recognized a good missing in the market. However, the tech is not well grounded, and because of that, I believe they are highly susceptible to be outcompeted by emerging techs. Plus, the team doesn't have a good scientific background or members. They have Commercial collaboration with Thermo Fisher, supporting laboratory, development, sales, market access, and operations.</t>
  </si>
  <si>
    <t>We were in Medtech Innovator, and we recognized as "Top 5 in Execution" out of 1000 companies that applied and participated int he programs. We are also a Matter Health company and benefit greatly from the mentoring.</t>
  </si>
  <si>
    <t>347 South College Avenue, Suite B, Oxford, Ohio United States</t>
  </si>
  <si>
    <t>Ischemia Care</t>
  </si>
  <si>
    <t>Rana Quraishi</t>
  </si>
  <si>
    <t>rquraishi@umaryland.edu</t>
  </si>
  <si>
    <t>Small molecule pre-clinical multi disease start up with $2 million direct to phase 2 SBIR two year currently in second year of SBIR</t>
  </si>
  <si>
    <t>Protein-degrading Tx for TNBC and other cancers. Mouse data shows safety. IP is well protected $2M in SBIR but no dilutive funding yet. Partnered with a CRO through clinical trials, and are currently raising $15M for them. Women-led by Columbia PhD (the CBO). She is Director of New Ventures at University of Maryland Baltimore, where she transfers their tech into successful businesses - because of this, she is part-time at this startup specifically but has 2 prior exits with UMB. Director is a UMB Prof. If they interview, ask them about team commitment and plan to hire (no CEO?). Borderline company for this year, compare to other Tx. If they don't interview, special reject and tell them we are looking for a fuller team.</t>
  </si>
  <si>
    <t>Tx for treating TNBC. Protein degreder molecule for Mnk1/2 to treat different types of cancer. Primarily focused on TNBC. To me, they are more of a single scientific innovation suitable for out-licensing rather than a startup with a vision. UMB spin-out. Part-time founders. In-vivo validation. More data on validation is needed, and their ability to expand into other cancers is unclear.</t>
  </si>
  <si>
    <t>I am Director of New Ventures at University of Maryland Baltimore and lead our team in conducting key translational research and then forming and managing our companies</t>
  </si>
  <si>
    <t>Suite 502J 801 West Baltimore Street , Baltimore MD 21201 United States</t>
  </si>
  <si>
    <t>Isoprene Pharmaceuticals, Inc.</t>
  </si>
  <si>
    <t>Jeffrey Kleiner, MD</t>
  </si>
  <si>
    <t>Jeff.kleiner@kleinerlabs.com</t>
  </si>
  <si>
    <t>KDL delivers innovative minimally invasive instruments and implants that advance spinal surgery, improve clinical outcomes, and lower costs for patients, surgeons, hospitals, and insurers. These novel products aim to improve procedure efficiency and safety for patients and enable surgeons to perform more effective and less complicated procedures.</t>
  </si>
  <si>
    <t>Instrumentation and surgical techniques for spinal surgery, specifically bone graft delivery. FDA 510(k) cleared 9/22/21. Tested in cadavers and have "long-term clinical studies", but don't show any of the data in their deck. 2009 U.S. patent application still hasn't been granted? Otherwise, IP is well protected globally. Outstanding team led by Stanford MD/PhD. Many people involved with prior Zimmer/Striker affiliations. 2 previous startups, both acquired (1 Zimmer, 1 Boston Scientific).</t>
  </si>
  <si>
    <t>A tool for Spinal surgery. FDA approved. The product is promising. Stanford affiliation and great team. The only problem is narrow market size and capital intense.</t>
  </si>
  <si>
    <t>narrow scope, only used in one type of surgery; cluster with other osteo companies; IP strongly protected outside of US, but US patent pending since 2009; strong team otherwise, likely to be acquired by Zimmer?</t>
  </si>
  <si>
    <t>Incline Village, Nevada United States</t>
  </si>
  <si>
    <t>Kleiner Device Labs</t>
  </si>
  <si>
    <t>Kresko RNAtech _2022</t>
  </si>
  <si>
    <t>Silvana Virginia Spinelli</t>
  </si>
  <si>
    <t>spinelli@kreskornatech.com</t>
  </si>
  <si>
    <t>Kresko RNAtech does regulatory RNA-based ingredients to solve the wellness puzzle by creating new technologies to address lifestyle related disorders (such as digestive distress, dermatitis or nutritional deficiencies) for customers who wish to improve their quality of life in harmony with nature, providing them optimized supplements derived from w</t>
  </si>
  <si>
    <t>Special Reject - referred by Ricky from Michroma. This company develops supplements containing RNA fragments derived from human fluids, starting with breast milk sRNA. Their RNA seq platform identifies these compounds, which are then tested for epigenetic effects. They're still in discovery phase, too early for the EFL.</t>
  </si>
  <si>
    <t>RNA-based ingredients, sRNA from human milk. Could be interesting. Invite next year.</t>
  </si>
  <si>
    <t>We were incubated and invested by Grid Exponential, the biggest company builder of biotechnology in Latin America.</t>
  </si>
  <si>
    <t>Ricky Cassini, CEO &amp; Co-Founder at Michroma</t>
  </si>
  <si>
    <t>referral special reject</t>
  </si>
  <si>
    <t>251 Little Falls Dr, Delaware United States</t>
  </si>
  <si>
    <t>Kresko RNAtech</t>
  </si>
  <si>
    <t>Marina Katayeva</t>
  </si>
  <si>
    <t>mkatayeva@levidiagnostics.com</t>
  </si>
  <si>
    <t>Levi Diagnostics, Inc. is a research and development startup specializing in the application of nanotechnology innovations in the biomedical field. The company was incorporated at the end of 2019, with a mission of delivering revolutionary nanosensor technologies to government, private sector clients, and consumers.</t>
  </si>
  <si>
    <t>Solid tech and great tech team. I worry that this is a tough tech to build a massively scalable business around. Who will pay big bucks for this product? If we interview them, we will have to brainstorm ideas about how their tech can go beyond a licensing play.</t>
  </si>
  <si>
    <t>150 Harvard Sr., Fall River , MA 02720, Massachusetts United States</t>
  </si>
  <si>
    <t>LEVI Diagnostics, Inc.</t>
  </si>
  <si>
    <t>Marcos Valadares</t>
  </si>
  <si>
    <t>marcos@lizar.bio</t>
  </si>
  <si>
    <t>LizarBio Therapeutics is a preclinical stage cell therapy company developiing a platform to produce any cell type in the body at industrial scale for 1% of costs for therapeutic applications</t>
  </si>
  <si>
    <t>Referred by Israeli Ran, recent IndieBio NY graduate with Seed funding. I want to know more about the tech's ability to scale - how many cells can they make, how much media does it take, etc.</t>
  </si>
  <si>
    <t>I think they are tackling Cell Therapy with a good approach since platform-based cell differentiation and production in industrial scales can have wide applications from treating human diseases to skin care products; their work is aligned with scientific progress in the field, and these efforts will eventually pay off anyway. Overall, I think they are at least worth an interview invitation.</t>
  </si>
  <si>
    <t>Mentor referral; IndieBio graduate; concerns with competitive landscape; in interview, ask about ability to scale; flag with demo in application Potential DH connection</t>
  </si>
  <si>
    <t>LizarBio Therapeutics</t>
  </si>
  <si>
    <t>Lodos Theranostics _2022</t>
  </si>
  <si>
    <t>You-Yeon Won</t>
  </si>
  <si>
    <t>yywon@ecn.purdue.edu</t>
  </si>
  <si>
    <t>Lodos is developing a nanoparticle-based cancer treatment that combines radio, chemo, and UV therapies into a highly effective localized treatment that avoids major side effects for patients.</t>
  </si>
  <si>
    <t>This is a great idea. Radio-Luminescent Nano Particles to enhance radiation therapy outcomes. Can we please invite them next year?</t>
  </si>
  <si>
    <t>Localized to tumor radiation and chemo therapy in cancer pts; all part time team; provisional patents currently, no PCT or US patent; if full time perhaps an interview, but otherwise invite next year; special reject for great tech, but pre seed and part time team</t>
  </si>
  <si>
    <t>Lodos Theranostics</t>
  </si>
  <si>
    <t>Mana.bio _2022</t>
  </si>
  <si>
    <t>Yogev Debbi</t>
  </si>
  <si>
    <t>yogev@mana.bio</t>
  </si>
  <si>
    <t>Mana.bio is an AI based drug delivery startup, focusing on the delivery of oligonucleotide therapies including mRNA-based therapeutics, vaccines and gene therapy. The technology is powered by an integration of machine learning and nanotechnology in order to identify formulations of lipid nanoparticles drug delivery systems</t>
  </si>
  <si>
    <t>SPECIAL REJECT. AI platform to identify formulations of lipid nanoparticle drug delivery systems. Their goal is to identify nanoparticles that can be used to deliver oligonucleotides (mRNA, vaccines, CRISPR, etc.). They tested in retroactive studies, and used the platform to develop a new nanoparticle. Patent pending. Team has several prior startup exits, Prof. at Technion / MIT alumni. immunai and C2i both recommended them - special reject and ask them to apply next year once they have more data/validation.</t>
  </si>
  <si>
    <t>The team sounds to be promising, and I wish I could know more about the technology development stage. I'm amazed that they raised 5M in SAFE at the concept stage, and their burn rate in this stage is 300K. This somehow indicates they are investing their money on talent acquisition.</t>
  </si>
  <si>
    <t>Boris Oklander, C2i Genomics</t>
  </si>
  <si>
    <t>lacking validation/not very exiciting tech. Singular nanoparticle that's patent pending. could be more exciting in future is they expand their tech! rec'd by immunai and C2i</t>
  </si>
  <si>
    <t>Mana.bio</t>
  </si>
  <si>
    <t>John Martignetti</t>
  </si>
  <si>
    <t>mddxinc@gmail.com</t>
  </si>
  <si>
    <t>Patents are not issued yet but filed Not very novel but important What is the specificity?</t>
  </si>
  <si>
    <t>Let`s discuss about this one.</t>
  </si>
  <si>
    <t>Cancer early detection; high 90s sensitivity for for uterine and ovarian cancer</t>
  </si>
  <si>
    <t>150 White Plains Road, Suite 208, Tarrytown NY, United States</t>
  </si>
  <si>
    <t>MDDx, Inc.</t>
  </si>
  <si>
    <t>Mark Siracusa</t>
  </si>
  <si>
    <t>mark.siracusa@nemagen.com</t>
  </si>
  <si>
    <t>NemaGen Discoveries is an early phase biotech company focused on advancing therapies for patients suffering from allergic inflammation and mast cell-related diseases.</t>
  </si>
  <si>
    <t>Tx to prevent flare-ups associated with mast cell diseases. The team identified an enzyme (Car1) that can be inhibited to prevent mast cell-mediated inflammation. Some animal and human cell data, published in Nature. Referred by Halla/Kayothera founders. Applied last year, but Rutgers Prof. was the only team member. He's still part-time, but hired a full time Brown PhD to be CEO. Got SBIR, but no deck link in this app - still too early.</t>
  </si>
  <si>
    <t>The New Jersey Health Foundation/ Foundation Venture Capital Group.</t>
  </si>
  <si>
    <t>animal and human cell data; referred by Hala; applied last year with only 1 team member, but team has grown in last year; potential special reject</t>
  </si>
  <si>
    <t>155 Village Blvd. #130, Princeton, New Jersey United States</t>
  </si>
  <si>
    <t>NemaGen Discoveries, INC</t>
  </si>
  <si>
    <t>Peter Leonardi</t>
  </si>
  <si>
    <t>peter.leonardi@omnicyte.com</t>
  </si>
  <si>
    <t>OmniCyte is a preclinical stage, immunology based, biotechnology company located in Branford Connecticut. The company was founded with a focus on developing targeted treatments to address unmet needs in cancer. Our thera-peutics are developed from our proprietary Targeted Immune Activation, platform technology. The platform consists of a bi-specifi</t>
  </si>
  <si>
    <t>they said they have 0-1 month runway</t>
  </si>
  <si>
    <t>Targeted immune activation platform with bi-specific protein complex, with a conserved domain that activates an immune response through the dendritic cell activation, and a variable targeting domain that can be engineered to target numerous tumor types and pathogens. Says developed a COVID vaccine that promises a strong antibody response, T-cell activation, and recognizes escape variants with increased durability. Also more applications on solid tumors and other viruses.</t>
  </si>
  <si>
    <t>Branford, CT United States</t>
  </si>
  <si>
    <t>OmniCyte, LLC</t>
  </si>
  <si>
    <t>Dede Willis</t>
  </si>
  <si>
    <t>dwillis@orbitgenomics.com</t>
  </si>
  <si>
    <t>Do they test predisposition or active cancer? seems like they are testing for predisposition</t>
  </si>
  <si>
    <t>Good idea. Blood and saliva test for clinically actionable microsatellites, they are are extremely sensitive to changes in cellular stress and mutate 10,000 times faster than SNPs. What do clinicians do with this information?</t>
  </si>
  <si>
    <t>Series A|Other: Note: This funding is the first external (non-founder) funding round for the company</t>
  </si>
  <si>
    <t>Rockies Venture Club Hyper Accelerator program in 2021 |Plug and Play's Healthcare Cohort #9 in 2019/2020|MedTech Innovator 2019 Showcase Company|</t>
  </si>
  <si>
    <t>Blood test to replace lung biopsy; 93% sensitivity, 97% specificity; unsure if for predicition of disease or confirmation</t>
  </si>
  <si>
    <t>4665 Nautilus Ct S, Ste 300, Boulder CO, United States</t>
  </si>
  <si>
    <t>Orbit Genomics, Inc.</t>
  </si>
  <si>
    <t>Periomics Care _2022</t>
  </si>
  <si>
    <t>Deepak Saxena</t>
  </si>
  <si>
    <t>ds100@nyu.edu</t>
  </si>
  <si>
    <t>Periomics Care LLC is NYU based biotech Startup Company co-founded by Drs Li and Saxena. Periomics Care is a registered SBA in New York and located in New York City. The company has appointed 4 member Scientific Advisory Board to accomplish their research goals. Periomics Care is currently supported by 3 NIH STTR grants.</t>
  </si>
  <si>
    <t>NEED TO DISCUSS. Microbiome and metabolics-based therapeutics platform. Lead indications in neuroinflammation and pancreatic cancer. NYU profs supported by 3 STTR grants ($1.5M), need a CEO. Applied previously, and have since patented - I only see 2 apps from this year in SF, and an account from the 2020-2021 cohort (were they admitted previously)?</t>
  </si>
  <si>
    <t>Applied to EFL before. Can't find them on salesforce 2020, did they change their name? Seems like the only thing they did from the last year is that they filed the IP Their work might be interesting but they are way too early stage The product is at the concept stage No deck, no data showing validation</t>
  </si>
  <si>
    <t>team of NYU professors would need special reject;</t>
  </si>
  <si>
    <t>201 E 28th Street Ste 11-A, New York, NY United States</t>
  </si>
  <si>
    <t>Periomics Care</t>
  </si>
  <si>
    <t>Promise Bio _2022</t>
  </si>
  <si>
    <t>Ronel Veksler</t>
  </si>
  <si>
    <t>ronel@promisebio.co</t>
  </si>
  <si>
    <t>Promise Bio uses a cloud-based proteomic analysis platform to optimize autoimmune disease management. Accurate and timely monitoring of disease activity has the potential to reduce flare-ups and complications, improve treatment efficacy, enable personalized treatment selection, reduce costs and facilitate drug development.</t>
  </si>
  <si>
    <t>Referred by Boris Oklander (Co-Founder &amp; CTO, C2i-Genomics) - EFL alumni</t>
  </si>
  <si>
    <t>SPECIAL REJECT. Referred by Boris Oklander (Co-Founder &amp; CTO, C2i-Genomics). PROtein Modification Integrated Search Engine (PROMISE). ML-based platform for analyzing epiproteomics to manage autoimmune diseases' patients. Great science but too early for this year. 0 funding. Weizmann Institute spin-out. Too early in product development, but science is well-grounded. Great team. No data and validation is shared. Basically, they have not started yet!</t>
  </si>
  <si>
    <t>Boris Oklander (Co-Founder &amp; CTO, C2i-Genomics)</t>
  </si>
  <si>
    <t>too early in product development; special reject referral by EFL Alum</t>
  </si>
  <si>
    <t>TEL AVIV, Israel Israel</t>
  </si>
  <si>
    <t>Promise Bio</t>
  </si>
  <si>
    <t>Rajiv Datar</t>
  </si>
  <si>
    <t>RDatar@propelletx.com</t>
  </si>
  <si>
    <t>Propelle is developing messenger-RNA based tumor-regressive therapeutics designed to target multiple cancers simultaneously.</t>
  </si>
  <si>
    <t>Interviewed last year, but they were more focused on cytokines/T cell regulation. Roland and Christian interviewed. Generally Roland gave low scores and Christian high scores. Roland said they did not seem coachable or have a clear road map, and Christian agreed they were too early and with no clear strategy. I don't see a lot of growth from last year, so even though the app is generally good we should not invite them to interview --&gt; giving a low score to reflect this.</t>
  </si>
  <si>
    <t>They are in the early stage of technology development, and at the moment their vision is to get acquired; because of this, I think their chance for becoming a unicorn is low. On the other hand, their technology is highly novel, and many outstanding potentials of mRNA technology is being unleashed during the recent years. Since their technology is highly dependent on their partner's innovation, I want to know more about their agreements and IP licensing.</t>
  </si>
  <si>
    <t>Evonexus JLABS</t>
  </si>
  <si>
    <t>interviewed last year; drug discovery based in MRNA delivery. uses NCI tech, not necessarily their own tech. Precision in delivery is what makes the company unique, but the tech is not theirs. complete pivot from their app last year; previously acquired by J&amp;J, strong team overall; low scored in interviews, did not seem coachable and lacked roadmap/strategy. no growth from last year in terms of interview feedback</t>
  </si>
  <si>
    <t>Propelle Therapeutics, Inc.</t>
  </si>
  <si>
    <t>Providentia Technologies _2022</t>
  </si>
  <si>
    <t>R. Lea Sanford</t>
  </si>
  <si>
    <t>Rls463@cornell.edu</t>
  </si>
  <si>
    <t>Providentia Technologies enables early toxicity prediction of drug leads (synthetic cell membranes + machine learning), increasing efficiency and safety in the drug development process for pharmaceutical and biotech companies, yielding speed, cost, and data advantages improving risk assessments of drug lead?s safety and investment worthiness.</t>
  </si>
  <si>
    <t>NEXT YEAR! Drug discovery platform that offers early, cell-free drug-lead cytotoxicity prediction. They expose discovered drugs to a synthetic membrane, and identify changes in that membrane (if the membrane breaks, drug is cytotoxic). Developing an AI model to determine extent of cytotoxicity based on drug structure, and how to modify the structure to avoid membrane damage - still early stage. IP licensing is being negotiated with Cornell. CEO developed this during her PhD at Weill Cornell, and is currently a Runway post-doc at Cornell Tech. Needs funding to bring on the CSO full-time. Idea is very exciting, but needs more validation and development for the EFL. Special reject and get them to apply next year.</t>
  </si>
  <si>
    <t>Cornell incubator. Tech development is in early stage. Not yet patented. An assay for prediction of drug toxicity using synthetic cell membrane and evaluation of physical changes.</t>
  </si>
  <si>
    <t>Yes, I am a current Runway postdoc in the incubator at Cornell Tech.</t>
  </si>
  <si>
    <t>strong team out of cornell; very early stage, needs more funding and validation; need full time CSO</t>
  </si>
  <si>
    <t>2 West Loop Road, New York United States</t>
  </si>
  <si>
    <t>Providentia Technologies</t>
  </si>
  <si>
    <t>Damon Keeley</t>
  </si>
  <si>
    <t>Damon@PRPConcepts.com</t>
  </si>
  <si>
    <t>PRP Concepts</t>
  </si>
  <si>
    <t>Their validation is efficient but quite small - they are currently running n=200 clinical study Why patent pending?</t>
  </si>
  <si>
    <t>This is a good idea but can we talk about the patent?</t>
  </si>
  <si>
    <t>My wife graduated from NYU with a Masters in Social Work degree. She suggested I look into whether NYU had any programs to assist me with our business.</t>
  </si>
  <si>
    <t>for unhealing wounds (months to years-long) creating membrane from patient blood plasma/platelets; some validation data, but small studies (17 people in venous leg ulcers) (5 in diabetic foot ulcers); downside, needs to be done individualized per patient; no patent, but old company; currently running validation with 200 people; process is common, how unique or differentiated is this company</t>
  </si>
  <si>
    <t>Red Bank, New Jersey United States</t>
  </si>
  <si>
    <t>PRP Concepts, Inc.</t>
  </si>
  <si>
    <t>Dr MOHUN R. K. BAHADOOR</t>
  </si>
  <si>
    <t>mrkbahadoor@outlook.fr</t>
  </si>
  <si>
    <t>Founded in 2021 by European oncologists, QSD develop accurate liquid biopsy cancer detection/prediction solutions. After 7 years of R&amp;D with universities in Europe /MENA, QSD developed patented disruptive solution unprecedented results (&gt; 95%) sensitivity in detecting early-stage cancer with proprietary deep tech and quantum Optics/Raman analysis.</t>
  </si>
  <si>
    <t>Cluster with other cancer detection tests and decide</t>
  </si>
  <si>
    <t>Blood test for early cancer detection via quantum optics&amp;AI. Algorithm identifies epigenetic biomarkers include methylatable regions, and methylation level then gives a methylation score to evaluate cancer risk.</t>
  </si>
  <si>
    <t>USD 8 Million</t>
  </si>
  <si>
    <t>Albert Sheu, NYU Stern MBA 2003 &amp; Alberto Pagliarini NYU Stern MBA 2005 Alumni</t>
  </si>
  <si>
    <t>Cancer Dx; proof of concept study with 95% sensitivity; two patents pending; data was not explained well in terms of their quantum-optics use;</t>
  </si>
  <si>
    <t>Shared Desk Unit No SD2-320, DUBAI SCIENCE PARK, DUBAI United Arab Emirates</t>
  </si>
  <si>
    <t>QSINGULA DEVELOPMENT FZ-LLC (QSD)</t>
  </si>
  <si>
    <t>RAADYSAN BIOTECH, INC. _2022</t>
  </si>
  <si>
    <t>RAKHEE GUPTE</t>
  </si>
  <si>
    <t>raadysan.biotech@gmail.com</t>
  </si>
  <si>
    <t>Raadysan Biotech, Inc. is a clinical stage biotech company, developing personalized therapies for Triple Negative Breast Cancer (TNBC). We have identified 2 drug leads that selectively inhibits TNBC cell viability by 95%. We are targeting a global market of $42.4 billion and license these therapies to Pharma companies, following Phase 1a/b trials.</t>
  </si>
  <si>
    <t>RNAi-based Tx for triple negative breast cancer. Interviewed last year by Chris and Israeli. Both noted that all data was in vitro - the company was hit hard by COVID delays, as they were working through a CRO. The CEO is great - she was a prof., but she switched to a visiting researcher to dedicate more of her time to the business. We really needed to see in vivo validation. In their deck this year, they now state there is 65% tumor inhibition in mice (data not shown), but their app focuses more on a 95% inhibition in a cell line. They are in deep discussions with a Swiss pharma company for a licensing deal - do they need the EFL? It doesn't seem like they did much in terms of in vivo studies, and they have very limited funds.</t>
  </si>
  <si>
    <t>Referred by EFL mentor Ethel Rubin</t>
  </si>
  <si>
    <t>Ethel Rubin, Head, Ventures BioHealth Innovation, Inc.</t>
  </si>
  <si>
    <t>interviewed LY; LY data was all in vitro, covid delayed their progress forward. this year still has great in vitro data, but still lacking in vivo data this year. However they're working with a Pharmacompany already, do they need EFL if they're going to license their tech out to this Pharma Company? Team is qualified, but not a *star* team. Unclear on full time / part time numbers. CEO and Researcher seems to be only full time team members. Pass this year for no progress</t>
  </si>
  <si>
    <t>Fishkill, NY United States</t>
  </si>
  <si>
    <t>RAADYSAN BIOTECH, INC.</t>
  </si>
  <si>
    <t>Ravata Solutions _2022</t>
  </si>
  <si>
    <t>Gurkern Sufi</t>
  </si>
  <si>
    <t>gurkern.sufi@ravatasolutions.com</t>
  </si>
  <si>
    <t>Ravata Solutions builds laboratory diagnostics to quantify bio-markers in developing embryos that indicate which ones are more likely to survive when transferred into an IVF patient.</t>
  </si>
  <si>
    <t>They were invited for an interview, what happened? Improvement from last year: "We've gotten our patent, strong data for 2 different customer applications, and have achieved profitability" Were at SOSV's Indiebio, Creative Destruction Labs</t>
  </si>
  <si>
    <t>IndieBio startup. UCDavis spin-out. Previously applied. Separating promising embryos in IVF process using a benchtop device coupled with a software through analyzing cells' bioelectrical signature. Although they have a good GTM strategy and BM, their tech is not highly innovative, and they haven't increased efficacy of IVF significantly in animal models; the ultimate goal of the device is not acquiring a 300M global market of animal IVF, it is increasing success rate in human IVF, and they could only increase that rate by 20% in animal studies.Based on this, I think as this research area is under attention, there is a high probability of novel techs to emerge during next 5 years that able to do the job far more efficient.</t>
  </si>
  <si>
    <t>SOSV's Indiebio, Creative Destruction Labs</t>
  </si>
  <si>
    <t>LY App and invited to interview; has shown improvement over LY; looking for more human validation</t>
  </si>
  <si>
    <t>Ravata Solutions</t>
  </si>
  <si>
    <t>Red Arrow Therapeutics, Co. Ltd. _2022</t>
  </si>
  <si>
    <t>Miyazaki Takuya</t>
  </si>
  <si>
    <t>tmiyazaki@redarrowthx.com</t>
  </si>
  <si>
    <t>Red Arrow Therapeutics develops PROLEUKINE, a polymeric micelle-loaded IL-12 that can deliver IL-12 to the tumor microenvironment to enhance the immunotherapy and the challenging systemic toxicity caused by IL-12, providing a next-generation therapy for cancer patients.</t>
  </si>
  <si>
    <t>Novel approach. PLatform promise -- could help treat hard to treat cancers if it works. They need help optimizing for their lead indication and fund-raising</t>
  </si>
  <si>
    <t>Polymeric micelles releases IL-12 in response to pH change in TME. Shows high efficacy as monotherapy or in combination with checkpoint blockades.</t>
  </si>
  <si>
    <t>7-3-1 Hongo, Bunkyo, Tokyo Japan</t>
  </si>
  <si>
    <t>Red Arrow Therapeutics, Co. Ltd.</t>
  </si>
  <si>
    <t>Ricovr Healthcare Inc _2022</t>
  </si>
  <si>
    <t>Himanshu Bhatia</t>
  </si>
  <si>
    <t>himanshu.bhatia@ricovr.com</t>
  </si>
  <si>
    <t>Ricovr Healthcare has developed a point-of-care platform to test for the presence of THC in saliva. This will help businesses and the law enforcement to detect recent cannabis use and improve on workplace and road safety.</t>
  </si>
  <si>
    <t>SPECIAL REJECT? This company developed a test for THC in saliva. I'm not sure any of our mentors could help them or would be interested in this application. Their CEO is an MD/PhD from U of R, and the COO is a Columbia MBA. Amazing advisory board includes Surya Mohapatra (Ex CEO of Quest), Ben Baldanza (Ex CEO Spirit), and Kevin Quinn (Ex Senior Partner Goldman Sachs). Great team, tech seems solid but validation is not complete although launch is planned by the end of 2022. Some IP protection (PCTs filed but no full patents), but can we help them? Referred by Sid Angle (Regenosine, EFL alumin).</t>
  </si>
  <si>
    <t>Referred by Siddesh Angel (Regenosine). Good team. No validation data shared. A PoC saliva test for THC. 3-5 mins. The core tech can be expanded to other tests. Razor and blade. They claimed the device is ready for launch by the end of 2022, but their validation is not complete yet.</t>
  </si>
  <si>
    <t>Yes - Columbia Business School Incubator</t>
  </si>
  <si>
    <t>Siddesh Angle sid@regenosine.com</t>
  </si>
  <si>
    <t>very strong team; THC salivia detection; validation not complete, but launch is EoY 2022; should be a special reject; Alumni Referral</t>
  </si>
  <si>
    <t>Ricovr Healthcare Inc</t>
  </si>
  <si>
    <t>Derek Banyard</t>
  </si>
  <si>
    <t>derek@sayenza.com</t>
  </si>
  <si>
    <t>Sayenza Bio is developing the industry's first multifunctional fully-automated fat processing platform, the largest source of stem cells in the body. Our technology will reduce the time and complexity barriers of adoption faced by plastic surgeons so they can offer this all natural therapeutic for a host of regenerative medicine applications.</t>
  </si>
  <si>
    <t>Useful tech and significant improvement from current SOC. I would cluster them and decide later if we want to interview The only reason I give them 3.5 is because compared to other companies I saw this one is less innovative and exciting but definitely very useful for the stem cell field</t>
  </si>
  <si>
    <t>Good idea but too competitive and not a novel idea. Not very unique and easily replicable but we can talk about it if it is worth to invite next year</t>
  </si>
  <si>
    <t>We are currently part of the Wayfinder incubator at UC Irvine</t>
  </si>
  <si>
    <t>Sayenza Biosciences</t>
  </si>
  <si>
    <t>Scispot.io, Inc. _2022</t>
  </si>
  <si>
    <t>Guru Singh</t>
  </si>
  <si>
    <t>team@scispot.io</t>
  </si>
  <si>
    <t>Scispot offers a no-code digitalization and automation suite to life science companies that have limited or no digital resources and expertise to connect their research, inventory &amp; sample data.</t>
  </si>
  <si>
    <t>Been through several accelerators including YC.</t>
  </si>
  <si>
    <t>Great that they`re backed by Y combinator.</t>
  </si>
  <si>
    <t>Velocity, MARS, Velocity, Communitech, Y Combinator</t>
  </si>
  <si>
    <t>Fully integrated lab data system; nyu and Columbia have similar systems that dominate market, but this company is still pulling in 15k/month despite this. Track change to digital tech</t>
  </si>
  <si>
    <t>Scispot.io, Inc.</t>
  </si>
  <si>
    <t>Sunanda Singh, MD, PhD</t>
  </si>
  <si>
    <t>ssingh@singhbiotechnology.com</t>
  </si>
  <si>
    <t>We are the first entity to develop cell penetrating single domain antibodies that penetrate the cell membrane to give a therapeutic effect in cancers, autoimmune disease, eye disease, and viral infections. Currently, we are in the late preclinical stage and are planning to conduct IND-enabling toxicology studies and then an IND in oncology.</t>
  </si>
  <si>
    <t>Single domain antibodies (antibody fragments) that penetrate the cell membrane to give a therapeutic effect in cancers, autoimmune disease, eye disease, and viral infections. Published mouse data only shows inhibition of tumor growth and effectiveness in eye disease (uveitis). MD/PhD founder with very little business understanding (couldn't answer several questions in the application). I think this is a solid company but we have stronger applicants in the pool this year.</t>
  </si>
  <si>
    <t>Drug discovery platform for finding new single domain Ab. The founder lack business knowledge, and this makes them coachable. Late pre-clinical stage.</t>
  </si>
  <si>
    <t>Incubator at University at Buffalo and University of South Florida</t>
  </si>
  <si>
    <t>would benefit from EFL's help in crafting a business model and planning next steps; otherwise not very novel idea, seems as if they're taking a shot in the dark for applications of science</t>
  </si>
  <si>
    <t>1547 Fox Grape Loop, Lutz (Tampa Bay), Florida United States</t>
  </si>
  <si>
    <t>Singh Biotechnology, LLC</t>
  </si>
  <si>
    <t>Sipple Care Inc. _2022</t>
  </si>
  <si>
    <t>Vitaly Shlimovich</t>
  </si>
  <si>
    <t>vitaly.s@sipplecare.com</t>
  </si>
  <si>
    <t>Sipple is a smart device that attaches to any baby bottle and evaluates babies feeding behavior to improve their feeding. With its dedicated mobile app and AI Sipple guides parents, and provides clinicians with objective feeding metrics.</t>
  </si>
  <si>
    <t>SPECIAL REJECT. Promising NYU company that created an AI-based device that attaches to baby bottles and evaluates feeding behavior. I judged them in the Entrepreneurship Challenge, and they were good but not ready for the EFL. Poor IP protection, no funding yet. Led by an MBA and Pediatrician at NYU. Follow up next year and get them to apply.</t>
  </si>
  <si>
    <t>Smart device to collect data on infant feeding behavior. I added this company on our email list, they won NYU Stern Berkley Center Entrepreneurs Challenge back in May. The technology sounds very promising and new but is it too early? And should we pass this one to DIT? Maybe invite next year?</t>
  </si>
  <si>
    <t>1. NYUEI Bootcamp - August 2021 2. Won NYU Blackstone Ideas Competition - December 2021 3. Participated in NYUEI Startup Sprint - January 2022 4. Won NYU Stern Berkley Center Entrepreneurs Challenge (Healthcare track) - May 2022</t>
  </si>
  <si>
    <t>strong but too early; NYU competition winner</t>
  </si>
  <si>
    <t>10 Club Rd, Riverside United States</t>
  </si>
  <si>
    <t>Sipple Care Inc.</t>
  </si>
  <si>
    <t>SPG Therapeutics, Inc. _2022</t>
  </si>
  <si>
    <t>Zory Shaposhnik</t>
  </si>
  <si>
    <t>zory.shaposhnik@ucla.edu</t>
  </si>
  <si>
    <t>SPG Therapeutics was founded to disrupt the way dermatologists treat common but debilitating hormonal skin diseases. Our lead indication, the debilitating disease hidradenitis suppurativa (HS), has no approved topical therapies. We are developing a novel topical therapy for HS and related conditions that represent a $13B+ opportunity.</t>
  </si>
  <si>
    <t>Clin/Reg. advisor is ex-NYU Director of Dermatopharmacology.</t>
  </si>
  <si>
    <t>8 Million</t>
  </si>
  <si>
    <t>We completed the LA Biostart Bootcamp at Cal State Los Angeles.</t>
  </si>
  <si>
    <t>PO Box 280703, Northridge, CA United States</t>
  </si>
  <si>
    <t>SPG Therapeutics, Inc.</t>
  </si>
  <si>
    <t>Andrew Riley</t>
  </si>
  <si>
    <t>rileya@summitbiomedicalimaging.com</t>
  </si>
  <si>
    <t>Summit is focused on improving healthcare outcomes using fluorescent biomarkers. When cancer is found early, interventions are more successful and less expensive. The problem is that many cancers are found after they have significantly progressed. Summit solves this problem by using PARP-targeting biomarkers to find cancer earlier.</t>
  </si>
  <si>
    <t>Mouthwash to detect oral cancer via fluorescence and a known biomarker - also helps with visualizing the margins during tumor resection. Patented. Multiple SBIRs and STTR totaling &gt;$2M. They say they haven't previously applied, but they received a 4 last year and may have even interviewed (no notes on this, but post-interview status is "invite next year"). Since last year, started a Phase II clinical trial at MSKCC. No dentists on the team? If interviewed, ask them about this and about the potential platform applications.</t>
  </si>
  <si>
    <t>I want to know more about other potential applications of their technology, and the type of administration and visibility. Also, I wasn't able to fully understand the type of device needed for this tech to be coupled with. The price and popularity of this device is important because they will sell this product to laboratories and medical facilities, and the device must be present in those facilities. Plus, I want to know more about their data that they calculated precision (95%) based on.</t>
  </si>
  <si>
    <t>SPIE Photonics West 2020, Startup Challenge Pitch Semifinalist; Creative Destruction Labs, Winter 2020 cohort; National Cancer Institute, 2021 SBIR CARE Pilot Program participant; National Cancer Institute, 2021 TABA Needs Assessment awardee; National Cancer Institute, 2021 Investor Initiatives Selectee; Digital RESI JPM 2022, Innovator's Pitch Challenge Finalist; Center for Biotechnology, 2022 SBIR/STTR One-on-One Proposal Development Program; and Long Island Biomentor Initiative, 2021-2022 Participant.</t>
  </si>
  <si>
    <t>Summit Biomedical Imaging</t>
  </si>
  <si>
    <t>Symphony Biosciences _2022</t>
  </si>
  <si>
    <t>Negin Majedi</t>
  </si>
  <si>
    <t>negin@symphonybiosciences.com</t>
  </si>
  <si>
    <t>Symphony biosciences is where we make SymphNode which is an innovative biomaterials that orchestrates the immune response against solid cancers.</t>
  </si>
  <si>
    <t>Immunotherapeutic biomaterial that can harness the body's own immune system to provide efficient and prolonged anticancer immunity for solid tumors. The material recruits/activates killer T-cells while suppressing Tregs, and it biodegrades. Validated in 2 mouse models for TNBC (effective and has long-term response). PCT granted, exclusive license from UCLA. Women-led team from UCLA. Advisors have affiliations at Amgen, Harvard, Stanford, Brown, and MSKCC. Only a small $400K angel raise so far - might be better for next year, but this is a promising company.</t>
  </si>
  <si>
    <t>UCLA alumni team. A platform for a biomaterial that can be implanted near tumor and recruit and activate Killer T, and suppress Treg. This material is biocompatible and biodegradable. Very cool technology. Comparable to Cell Harbor, but I think this one is more developed and validated. Currently they are highly focused on treating TNBC, I want to know more about the ability of the platform to expand into other cancers, and ask if there is any data/results on that.</t>
  </si>
  <si>
    <t>We are in the Magnify incubator, accelerator wise we're in MassChallenge, Octane, and WayFinder</t>
  </si>
  <si>
    <t>Symphony Biosciences</t>
  </si>
  <si>
    <t>Victor Bronshtein</t>
  </si>
  <si>
    <t>victorb@vitrivac.com</t>
  </si>
  <si>
    <t>VitriVac.com mission is development and production of more potent, safe, thermostable mucosal and injectable vaccines for seasonal and emerging diseases at lower cost. Vaccines will be produced from wild type (WT) and attenuated microorganisms by inactivating them by irradiation after thermostabilization using Preservation by Vaporization</t>
  </si>
  <si>
    <t>interesting, important technology, validation studies are the key</t>
  </si>
  <si>
    <t>Interesting idea, solves many problems</t>
  </si>
  <si>
    <t>4050 Sorrento Valley Blvd. Suite L, San Diego, California United States</t>
  </si>
  <si>
    <t>VitriVac.com</t>
  </si>
  <si>
    <t>G. Glenn Gregorio</t>
  </si>
  <si>
    <t>gglenng@icloud.com</t>
  </si>
  <si>
    <t>White Rock Therapeutics aims to disrupt the unending cycle of COVID-19 surges by developing an inhalable pan-coronavirus prophylactic that can easily be administered in both the clinic and at home, to prevent or ameliorate COVID-19 in high-risk individuals, and to protect against breakthrough variants and completely novel coronavirus pathogens.</t>
  </si>
  <si>
    <t>Inhalable pan-coronavirus prophylactic developed by a team from Harvard, Cornell, and Columbia. Columbia CEO is the only full-time member, but it's a great team and board (Pfizer director). Tech has been validated in mice with SBIR funding, and they are looking to scale. Owns license to a patent application. Referred by Weill Cornell BioVenture Elab Might be too early for this year, but very promising.</t>
  </si>
  <si>
    <t>Referred by Weill Cornell BioVenture Elab. Early stage of tech development. Great team members but mostly part-time. An ACE-2 decoy for prophylactic use, and prevention of SARS-CoV-2. Inhalable medicine.</t>
  </si>
  <si>
    <t>Weill Cornell BioVenture Elab</t>
  </si>
  <si>
    <t>mostly part-time team; tech is very early stage, but promising for next year</t>
  </si>
  <si>
    <t>White Rock Therapeutics</t>
  </si>
  <si>
    <t>Atefeh Zarabadi</t>
  </si>
  <si>
    <t>zarabadi@aiimsense.com</t>
  </si>
  <si>
    <t>Artificial Intelligence Imaging Sensors (AiimSense) develops portable brain scanners for early diagnosis of stroke to significantly alter the stroke management by improving the patients outcome and reducing the healthcare system costs.</t>
  </si>
  <si>
    <t>helmet with sensors that measure the dielectric properties of the brain tissue. has mouse study data needs to show it can be produced scale with a plan to get pilots / customers women founders</t>
  </si>
  <si>
    <t>+Developing portable brain scanners for early diagnosis of stroke - Need to gain customers currently zero + Female founder</t>
  </si>
  <si>
    <t>AiimSense is an active member of Health Tech ecosystem in Ontario, Canada. We are physically located at Velocity incubator in Waterloo an work with the following innovation hubs and accelerators: H2i (University of Toronto), Innovation Factory (Hamilton, McMaster University), and Communitech (Regional Innovation Hub in Kitchener).</t>
  </si>
  <si>
    <t>DEEPAK HEGDE, Endless Frontier Labs &amp; MORTEZA AHMADI, Qidni Labs</t>
  </si>
  <si>
    <t>151 Charles St. W. Suite 199 Kitchener, Ontario Canada</t>
  </si>
  <si>
    <t>Artificial Intelligence Imaging Sensors (AiimSense Inc.)</t>
  </si>
  <si>
    <t>Gecheng Zha</t>
  </si>
  <si>
    <t>gzha@coflowjet.com</t>
  </si>
  <si>
    <t>CoFLow Jet, LLC develops electric vertical/short takeoff/landing (V/STOL) aircraft for urban transportation, short haul cargo, and thin haul passenger airliners using our patented CoFlow Jet technology. Our unique long range, low noise, and high safety vehicles provide superior competitive advantages to achieve 0 emission transportation.</t>
  </si>
  <si>
    <t>Early stage second year apply.</t>
  </si>
  <si>
    <t>A good founding team, with grants received from NSF, DARPA, NASA, AFOSR, ARO, AFRL, and CIRA. They have 12 patents filed Globally (US, Europe, and China), and many are pending.</t>
  </si>
  <si>
    <t>$3 Mn for Seed, $50 Mn for Series A.</t>
  </si>
  <si>
    <t>Yes, 1) Rice Clean Energy Accelerator, Houston, TX, graduated in Sept 2021. 2) Third Derivative, current in their 2022-2 Cohort</t>
  </si>
  <si>
    <t>Potentially remove from interview list; very comparable to other companies</t>
  </si>
  <si>
    <t>22231 SW 92nd PL, Miami, FL United States</t>
  </si>
  <si>
    <t>Coflow Jet, LLC</t>
  </si>
  <si>
    <t>Regina Vatterott</t>
  </si>
  <si>
    <t>regina.vatterott@gmail.com</t>
  </si>
  <si>
    <t>EllieGrid is the only medication management tool that has shown it can improve and track medication adherence effectively. As a result, we now help companies like J&amp;J run clinical trials, Centene prevent costly non-adherence events, Amazon know when to ship auto refills and CVS sell our product in stores across the country.</t>
  </si>
  <si>
    <t>Digital OR deep tech. A pill box and associated app that reminds users when to take medication, and tells them which pill in the box and how many to take. The box collects data regarding user behavior, and AI/ML to predict adherence behavior. 10K units sold ($49K/month revenues), 77% increased adherence, 95% retention. The 3 founders are all Forbes 30U30, but otherwise do not seem to have have deep technical experience. They have deals with J&amp;J and others they cannot name, are selling on Amazon, and as of 2023 will reimburse clinicians who prescribe the product to their patients.</t>
  </si>
  <si>
    <t>Help: - J&amp;J run clinical trials - Centene prevent costly non-adherence events - Amazon know when to ship auto refills - CVS sell our product in stores across the country.</t>
  </si>
  <si>
    <t>Yes, Quake Capital</t>
  </si>
  <si>
    <t>change to DT; has 49K/month in revenue, has shown adherence improvement; 95% retention rates in users; forbes 30u30 founders, but not big ties to the field; sold on amazon; as of 2023 they think they can reimburse clinicians; app leans digital tech, but box leans deep tech;</t>
  </si>
  <si>
    <t>EllieGrid</t>
  </si>
  <si>
    <t>Farzad Rahbar</t>
  </si>
  <si>
    <t>farzad@flyxtechnologies.com</t>
  </si>
  <si>
    <t>We have developed a proprietary wireless charging technology for drones to enable infinite flight range. Our technology unlocks a significant commercial market opportunity and multitudes of applications that are not possible to execute today.</t>
  </si>
  <si>
    <t>Need funding to further develop on technology and commercialize Compare to others in this space if Clustering is needed</t>
  </si>
  <si>
    <t>+The team seems credible with engineering experience +Large potential market -Unproven product ~Small team</t>
  </si>
  <si>
    <t>1930 154th Ave NE Apt B216 Bellevue , WA United States</t>
  </si>
  <si>
    <t>FlyX Technologies Inc</t>
  </si>
  <si>
    <t>Christine Johnson</t>
  </si>
  <si>
    <t>christine@ingenii.dev</t>
  </si>
  <si>
    <t>We are addressing the complexity of adoption of quantum computing within data science in Life Sciences. We are solving this with a standardized Python abstraction layer to access a library of ready to use industry-specific quantum algorithms delivered through our Ingenii SaaS platform.</t>
  </si>
  <si>
    <t>Worth speaking with for LS deep tech angle</t>
  </si>
  <si>
    <t>+Based on my study, the quantum field will be booming in the coming future</t>
  </si>
  <si>
    <t>Scott Roman from Whiteshark Management</t>
  </si>
  <si>
    <t>Move to dit khoa will f/u with ads</t>
  </si>
  <si>
    <t>447 Broadway Suite 678, New York United States</t>
  </si>
  <si>
    <t>Ingenii Inc</t>
  </si>
  <si>
    <t>Giuseppe Spanto</t>
  </si>
  <si>
    <t>gspanto@iscleanair.com</t>
  </si>
  <si>
    <t>ISCLEANAIR APA technology provides a triple win solution for indoor &amp; outdoor spaces, by removing harmful pollutants and CO2 from the air (using only water), viruses and bacteria, and allows (unique worldwide) to detect viruses cheaply and timely. If coupled with HVAC, it enables reduction of up to 20% energy consumptions and 35% maintenance costs.</t>
  </si>
  <si>
    <t>Deep Tech. Air purification using only water - their device can detect viruses/bacteria and eliminate them. They applied last year, although they did not indicate this in their app, and their score was a 4. Interview status is "invite" - what happened? Pre-interview, we were impressed by their traction but wanted to see more validation that the tech works specifically in comparison to standard HEPA filters. Team is an accomplished businessman (PWC, Telecom, etc.) and a physicist (Stanford, Italian/international institutions). 150+ installations and 1M euro turnover in 2021.</t>
  </si>
  <si>
    <t>Deep Tech. Air purification machines using only water. Their machines can eliminate viruses and bacterias from the air and detect them. Affiliation with several accelerators. a relatively large company.</t>
  </si>
  <si>
    <t>$ 7.700.000</t>
  </si>
  <si>
    <t>Yes, we participated in other startup programs, mainly as described below: 1. Global Entrepreneurship Program ? GEP initiative by the UK Government Department for International Trade ? March 2019; 2. Global Start UP Program by the Italian Government - Ministry of Economic Development and Italian Trade Agency supporting the expansion phases in cooperation with the accelerator Mind the Bridge, from the US ? San Francisco base ? February 2021 3. Acceleration program in cooperation with SKOLKOVO Tech Park (Moscow, March ? July 2021); 4. Clean Tech BootCamp UK ? Workshops, June 2021</t>
  </si>
  <si>
    <t>interview LY; 4 before interview last year, KM and MF interviewed; similar to last year app, but has shwon some expansion;</t>
  </si>
  <si>
    <t>Rome, Rome Italy</t>
  </si>
  <si>
    <t>Is CLEAN AIR Italia S.r.l.</t>
  </si>
  <si>
    <t>Pablo Sosa Domínguez</t>
  </si>
  <si>
    <t>pablo@oscillum.com</t>
  </si>
  <si>
    <t>Oscillum develops labels that monitor the quality, freshness and safety status of food products in real time to reduce food safety alarms and quality problems in the agri-food industry and reduce food waste due to lack of information. Helping manufacturers, retailers and consumers throw away less good food and alerting in the event of contamination</t>
  </si>
  <si>
    <t>Patch / Label that monitors the quality of foods Needs to show this product can scale Validate it can work across products in the real world</t>
  </si>
  <si>
    <t>+Good idea +Credible and passionate team +The have a patent</t>
  </si>
  <si>
    <t>We are currently not in any acceleration program so the team has the possibility of combining their work with the EFL program. We have participated in; - EIT Climate KIC Accelerator, phase I and phase II. 2019-2020 - CreativeDestructionLab, program in the ?CDL -Climate? subdivision. 2020 ? 2021 - Acceleration in the ?EIT Food Accelerator Network? program in 2021.</t>
  </si>
  <si>
    <t>Needs more validation in real world, however strong idea in a needed market (broken food); improves second life of food on shelves rather than being trashed; 600K raise; primarily focus in Europe rn, EFL would help expand into US</t>
  </si>
  <si>
    <t>Avenida de la Universidad s/n, Edificio Quorum III, 03202 (Elche), Alicante Spain</t>
  </si>
  <si>
    <t>Oscillum Biotechnology SL</t>
  </si>
  <si>
    <t>Rory Ryan</t>
  </si>
  <si>
    <t>rory.ryan@pentabind.com</t>
  </si>
  <si>
    <t>Our ground-breaking artificial intelligence platform cracks the 30-year problem of aptamer design, enabling multiplex, rapid (minutes), low-cost (&lt;£100) detection of almost any molecule of interest for medical/veterinary diagnostics, agri-food testing, proteimics and bioprocesses.</t>
  </si>
  <si>
    <t>Need to show that the tech can scale outside of the lab Looking to go into the US market</t>
  </si>
  <si>
    <t>Entrepreneur First London</t>
  </si>
  <si>
    <t>Anna Mora, Entrepreneur First</t>
  </si>
  <si>
    <t>PentaBind Ltd</t>
  </si>
  <si>
    <t>Misha Rudominski</t>
  </si>
  <si>
    <t>misha@prominaerospace.com</t>
  </si>
  <si>
    <t>Promin Aerospace builds self-burning rockets to enable the most rapid dedicated access to space, atmosphere, and microgravity.</t>
  </si>
  <si>
    <t>New company with a good team. Need to get MVP for data that shows the tech can work. This space is getting crowded.</t>
  </si>
  <si>
    <t>Referral by Deepak Hegde.</t>
  </si>
  <si>
    <t>Only with the previous company.</t>
  </si>
  <si>
    <t>a lot of rocket ones this year, revisit and cluster</t>
  </si>
  <si>
    <t>Kyiv, Kyiv city Ukraine</t>
  </si>
  <si>
    <t>Promin Aerospace</t>
  </si>
  <si>
    <t>Pradeep M Gupte</t>
  </si>
  <si>
    <t>pgupte@oxy-17.com</t>
  </si>
  <si>
    <t>Rockland Technimed Limited (RTL) is a theranostics company committed to the early diagnosis and treatment of hypoxia or ischemia injury through Oxy17Fusion?, its patented metabolic magnetic resonance imaging medium, and simultaneously a Nano Emulsion Oxygen Therapeutic,</t>
  </si>
  <si>
    <t>LS startup? Ask Chris to take a look. Something here?</t>
  </si>
  <si>
    <t>Good Fit for Deep Tech Track</t>
  </si>
  <si>
    <t>21,000,000 in two tranches 6MM and 15MM</t>
  </si>
  <si>
    <t>Yes, Delaware Innovation Space</t>
  </si>
  <si>
    <t>more deviced based system; trying to tackle ischemia by delivering targeted oxygen; sort of unclear on application</t>
  </si>
  <si>
    <t>One International Blvd, Suite 400, Mahwah, , NJ United States</t>
  </si>
  <si>
    <t>Rockland Technimed limited</t>
  </si>
  <si>
    <t>Patrick Shannon</t>
  </si>
  <si>
    <t>patrick@trustpointgps.com</t>
  </si>
  <si>
    <t>TrustPoint is developing a next-generation GPS signal processing technology to provide the performance and reliability required for self-driving cars, drone delivery, urban air mobility, and immersive augmented reality.</t>
  </si>
  <si>
    <t>developing a next-generation GPS signal processing technology commercial satellite technologies and best in class signal security</t>
  </si>
  <si>
    <t>+Novel Technology +Potentially large market +Team seems credible and passionate</t>
  </si>
  <si>
    <t>Other: Seed 2</t>
  </si>
  <si>
    <t>We are not and have not been affiliated with other startup programs, institutions, accelerators, or incubators.</t>
  </si>
  <si>
    <t>880 Harrison Street SE, #042, Leesburg, VA United States</t>
  </si>
  <si>
    <t>TrustPoint, Inc.</t>
  </si>
  <si>
    <t>CHRISTOPHER KINSELLA</t>
  </si>
  <si>
    <t>topher@watershedtx.com</t>
  </si>
  <si>
    <t>Watershed Therapeutics is developing a targeted drug delivery system for use in the bladder. This will allow bladder diseases such as UTI, spasm, chronic pain, and cancer to be treated without subjecting patients to systemic drug exposure.</t>
  </si>
  <si>
    <t>I was thinking between 3 and 4 for the total score, but the team seems to be very good and qualified to do something like this so hence I gave 4. But I def need to learn more about their tech and want to see data on the actual drug efficiency (not just retention)</t>
  </si>
  <si>
    <t>ask in interview what type of product; potential DT</t>
  </si>
  <si>
    <t>Bellevue, WA United States</t>
  </si>
  <si>
    <t>Watershed Therapeutics</t>
  </si>
  <si>
    <t>Ambulero, Inc. _2022</t>
  </si>
  <si>
    <t>Robert. Buchanan</t>
  </si>
  <si>
    <t>rbuchanan@ambulero.com</t>
  </si>
  <si>
    <t>Ambulero is a pre-clinical spin-out of the University of Miami developing a first-in-class gene and cell therapy platform to treat serious vascular diseases where amputation of an affected limb is the only care option. Our pipeline includes potential treatments for a rare vasculitis and a common vascular disease effecting millions of patients.</t>
  </si>
  <si>
    <t>REVISIT. The founders (CEO and CFO) are both part-time, but the team is impressive (prior IPO). Gene and cell therapy platform to treat serious vascular diseases where amputation of an affected limb is the only care option. Lead indications are chronic ischemia (common) and Buerger's disease (rare). Innovation is delivering E-selectin to MSCs via an AAV; engineered MSCs then home to injury sites and heal. Pre-IND meeting set for Sept. 2022, IND application by Summer 2023, clinical trail to begin by the end of 2023-2024. Part of the NIH CATALYZE program, which can potentially fund more once they reach clinical stage.</t>
  </si>
  <si>
    <t>Robert Buchanan is an Entreprenuer-In-Residence at the University of Miami Miller Medical School</t>
  </si>
  <si>
    <t>strong team and tech, but currently only has part time founders; revisit later</t>
  </si>
  <si>
    <t>1951 NW 7th Ave, STE 600 , Miami, FL United States</t>
  </si>
  <si>
    <t>Ambulero, Inc.</t>
  </si>
  <si>
    <t>Alan Hauser</t>
  </si>
  <si>
    <t>akhauser@arvetasbio.com</t>
  </si>
  <si>
    <t>Arvetas is pioneering a new class of testing tools known as predictive diagnostics that will help physicians guide their treatment decisions so cancer patients can be matched more accurately with the right treatment based on their individual molecular makeup.</t>
  </si>
  <si>
    <t>$400K SBIR</t>
  </si>
  <si>
    <t>Definitely useful technology and there is a market need It is not super "cool" or groundbreaking but definitely useful</t>
  </si>
  <si>
    <t>$1.5 million</t>
  </si>
  <si>
    <t>We are located at University Lab Partners (ULP), a wet-lab incubator in the UC Irvine Research Park. I recently completed The Science Inc.? Accelerator, a virtual, cohort-based accelerator for early-stage startups in the sciences.</t>
  </si>
  <si>
    <t>Milad Riazifar, PhD, CEO of Entelexo Biotherapeutics, EFL alumnus</t>
  </si>
  <si>
    <t>Arvetas Biosciences, Inc.</t>
  </si>
  <si>
    <t>NIRAJ VASISHT Vasisht</t>
  </si>
  <si>
    <t>nvasisht@aviorbio.com</t>
  </si>
  <si>
    <t>Avior is a pharmaceutical company focused on the treatment of pruritus (itch) and inflammatory skin disease in liver disease. With 2.5 million Americans suffering from pruritus with liver disease and no approved drugs, Avior wants to be the first cure to market a solution for this ailment.</t>
  </si>
  <si>
    <t>Transmucosal drug that blocks the neurotransmitter for itch response, as well as inhibits inflammatory cytokines that would otherwise cause skin inflammation. Validated in rodent model and Phase I clinical study - no deck, haven't seen the data. Granted a US Patent. Lead indication is pruritis (itchy skin). CEO is PhD from RPI with prior startup experience. Solo founder? Their team structure is very unclear.</t>
  </si>
  <si>
    <t>Clinical stage company. A drug for pruritus in CLD. Successful pre-clinical and Ph I.</t>
  </si>
  <si>
    <t>Yes. In the past as described earlier</t>
  </si>
  <si>
    <t>CARY, NC United States</t>
  </si>
  <si>
    <t>Avior Bio Inc.</t>
  </si>
  <si>
    <t>Subhadeep Das</t>
  </si>
  <si>
    <t>subhadeep@cellharbor.co</t>
  </si>
  <si>
    <t>Cell Harbor is pioneering in situ cell editing for cell therapy applications. Our platform localizes target cells and gene delivery agents in vivo enabling hyperlocal cell engineering directly in the host tissue. It effectively edits cells by achieving a significantly higher expression of a target gene with a lower dose of gene carriers.</t>
  </si>
  <si>
    <t>The data is very appealing but I don't understand who is on the team? I would invite for an interview but ask questions about the team and future plans on their primary target.</t>
  </si>
  <si>
    <t>IndieBio SF. 2-5 months runway. AKA Convalesce. Innovative technology. A platform for in-situ cell reprogramming by changing the cell's local environment. The only concern is that there are only 2 members shown in LinkedIn account, and they don't seem to be much committed to the startup. Only CEO is full-time. Want to know more about their pipeline and future in-vivo pre-clinical studies, and validation for lead drugs.</t>
  </si>
  <si>
    <t>Yes, IndieBio, SF.</t>
  </si>
  <si>
    <t>in situ cell editing; impressive data; seems like a one person team; good advisors but only one team member mentioned, but for the amount of data they must have more team members; will this eventually fall apart if it's one person?</t>
  </si>
  <si>
    <t>Cell Harbor</t>
  </si>
  <si>
    <t>Chris Hackley</t>
  </si>
  <si>
    <t>chris.hackley@crisp-hr.com</t>
  </si>
  <si>
    <t>CRISP-HR has developed a next generation CRISPR based platform which dramatically increases rates of error free DNA "writing" while reducing unwanted side effects, allowing us to develop best in class therapeutics for previously untreatable rare-diseases.</t>
  </si>
  <si>
    <t>Founders from NYU and Georgia Tech, board has Pharma experience. Innovation offers "significant benefits in efficiency and safety over first-generation CRISPR-based platforms through site specific manipulation of cells DNA repair pathways through our Cas9-HR platform." Published 2-4x error-free gene writing efficacy compared to traditional Cas9. Compare this to other CRISPR companies applying for the cohort and invite 1-2.</t>
  </si>
  <si>
    <t>CRISPR gene editing is a very crowded place. I am not sure about the innovation. They do show 3x increase of CRISPR-Cas9 in gene writing efficiency but that's just in vitro data. What will be a mode of delivery? Is it mostly for ex-vivo purposes? Will there be any problems with the CRISPR patent (not sure how this works legally). Gave it 3.5 so it is not an automatic interview but definitely worth discussing</t>
  </si>
  <si>
    <t>Currently in the Illumina Accelerator.</t>
  </si>
  <si>
    <t>not new tech, but a stronger iteration of CRISP-HR tech</t>
  </si>
  <si>
    <t>930 Brittan Ave, San Carlos , California United States</t>
  </si>
  <si>
    <t>CRISP-HR Therapeutics</t>
  </si>
  <si>
    <t>Poulami Chaudhuri</t>
  </si>
  <si>
    <t>poulami@helex.bio</t>
  </si>
  <si>
    <t>Helex is the most advanced genomic medicine company using a novel 3-D design platform to make safer and more reliable gene editing medicines, to drastically improve the lives of patients and their loved ones. The platform technology will enable drug developers to de-risk gene editing assets, and pursue new targets.</t>
  </si>
  <si>
    <t>An epigenetic-based platform that makes gene editing (CRISPR) safer and more precise by using an advanced 3D model of the genome built to ensure highly targeted editing. Identified 500+ targets in the liver that span 200+ disease states, and demonstrated no off-target effects in vitro (need to see this data, not included in the app). Patent pending. Women-led team from the UK. IndieBio NY 3 company.</t>
  </si>
  <si>
    <t>IndieBio cohort Definitely valuable product for the gene editing field Any CRISPR, or epigenetics advisors? Only talked about the data but didn't provide a deck - if we interview, ask for the data</t>
  </si>
  <si>
    <t>IndieBio New York Cohort 3</t>
  </si>
  <si>
    <t>no data in app; patent pending; women led team from UK; great team; cluster with other gene editing companies</t>
  </si>
  <si>
    <t>Helex</t>
  </si>
  <si>
    <t>Thea Wulff Olesen</t>
  </si>
  <si>
    <t>two@ossiform.com</t>
  </si>
  <si>
    <t>Ossiform uses proprietary technology to 3D print patient specific, natural, and resorbable bone implants. This enables fast ingrowth of bone tissue, remodeling into real living bone, and results in fewer complications.</t>
  </si>
  <si>
    <t>Patient-specific 3D-printed bone implants. ~$5M raised, IP is well protected. Former Medtronic VP on the board.</t>
  </si>
  <si>
    <t>We will probably need to cluster this company with other bone-focused companies</t>
  </si>
  <si>
    <t>Ossiform has previously been affiliated with Accelerace and NOME. Both programs have been completed.</t>
  </si>
  <si>
    <t>Odense , Southern Denmark Denmark</t>
  </si>
  <si>
    <t>Ossiform</t>
  </si>
  <si>
    <t>Serenity Bioworks _2022</t>
  </si>
  <si>
    <t>Cody Shirriff</t>
  </si>
  <si>
    <t>cody@serenitybio.com</t>
  </si>
  <si>
    <t>Serenity Bioworks is developing first-in-class therapies for severe autoimmune diseases by focusing on myeloid cell biology. Serenity's lead candidate for lupus nephritis, SER-101, has shown positive effects on preserving kidney function in two LN models, NZB/W and MRL/lpr, and has been demonstrated safe/well tolerated in a phase I/IIa trial.</t>
  </si>
  <si>
    <t>Unmet need with no treatments. Some positive effect data from mouse models. Competitive space. First time founders. Their Series A may be a heavy lift.</t>
  </si>
  <si>
    <t>I did Lupus microbiome research, this is a very horrible disease, most of the patients develop renal disease. HspB5 binds to TLR1 myeloid cells to up-regulate gene expression involved in immune response. This is a very demanding area of research with many failures.</t>
  </si>
  <si>
    <t>15M</t>
  </si>
  <si>
    <t>Previous: IndieBio, Velocity, Accelerator Centre</t>
  </si>
  <si>
    <t>Morteza from Qidni</t>
  </si>
  <si>
    <t>Serenity Bioworks</t>
  </si>
  <si>
    <t>Peter Blaney</t>
  </si>
  <si>
    <t>peterblaney@signpostcancerdx.com</t>
  </si>
  <si>
    <t>SignPost Cancer Dx Inc, is developing ?at home? diagnostic blood tests for cancer. The first test will be an early screen for breast cancer. Current breast cancer diagnostics for women are painful, costly and inaccurate, especially for stage 1 cancers.</t>
  </si>
  <si>
    <t>Uses a 1 mL blood test for epigenetic biomarkers to detect breast cancer with with 98.5% specificity (1.5% false positive)) and 98.5% sensitivity (1.5% false negative) - much better than SOC, mammography, which is 7-15%. Have 3% false negative in lung cancer, still optimizing. Applied last year, and have since refined their business model, developed microfluidic chip to evaluate 1 mL blood, and the FDA approved capillary blood draws. All-star team, but all founders are all part-time: need to ask about this in the interview.</t>
  </si>
  <si>
    <t>Kingston, Ontario Canada</t>
  </si>
  <si>
    <t>SignPost Cancer Dx Inc.</t>
  </si>
  <si>
    <t>Wed RSVP</t>
  </si>
  <si>
    <t>Status</t>
  </si>
  <si>
    <t>TH or Fri RSVP</t>
  </si>
  <si>
    <t>Dteckt, Inc</t>
  </si>
  <si>
    <t>IncvadimUS</t>
  </si>
  <si>
    <t>Phinomics, Inc</t>
  </si>
  <si>
    <t>SparkAISteg.AI</t>
  </si>
  <si>
    <t>Summer Robotics</t>
  </si>
  <si>
    <t>Post-Interview Score</t>
  </si>
  <si>
    <t>Post Interview Status</t>
  </si>
  <si>
    <t>Post Interview Notes</t>
  </si>
  <si>
    <t>Reviewed on 8/11/2022</t>
  </si>
  <si>
    <t>Sustain is the first insurance platform for analyzing and underwriting the risks of AI/ML-driven errors arising in healthcare.  Our initial market is insurance for diagnostic errors in digital radiology and digital pathology.</t>
  </si>
  <si>
    <t>Sustain has not.
Bill Goddard has served as a Mentor in the Global Insurance Accelerator, the InsurTechNY Accelerator and the Hartford Insurtech Hub.</t>
  </si>
  <si>
    <t>Reviewed on 8/3/2022</t>
  </si>
  <si>
    <t>CoFLow Jet, LLC    develops electric vertical/short  takeoff/landing (V/STOL) aircraft for urban transportation, short haul cargo, and thin haul passenger airliners using our patented  CoFlow Jet  technology. Our unique  long range, low noise, and high safety vehicles provide  superior competitive  advantages to achieve 0 emission transportation.</t>
  </si>
  <si>
    <t>A good founding team, with grants received from NSF, DARPA, NASA, AFOSR, ARO, AFRL, and CIRA. 
They have 12 patents filed Globally (US, Europe, and China), and many are pending.</t>
  </si>
  <si>
    <t>Yes, 
1) Rice Clean Energy Accelerator, Houston, TX, graduated in Sept 2021.
2) Third Derivative, current in their 2022-2 Cohort</t>
  </si>
  <si>
    <t>I followed their link to see how secure my phone was and there was a lot of scary information that is linked to my phone including old addresses, names of my family members, etc.  So I could see the value of this service.  They have raised a lot of money and seem to have loyal customers.  They are even profitable.  I just have questions about the mobile network itself and how advanced and disruptive the technology is.</t>
  </si>
  <si>
    <t>Y-Combinator 
Stacks Accelerator</t>
  </si>
  <si>
    <t>Reviewed on 8/18/2022</t>
  </si>
  <si>
    <t>The name of the startup is, " Southern Dairy Products". We will be producing dairy products from the milk( raw materials) collected from vulnerable farmers practising livestock Production"climate smart" agriculture.
My target customers are families with children and will be providing them with fresh and nutritious dairy products.</t>
  </si>
  <si>
    <t>Joe Pramberger, President  SAE Media Group contaced us after we won the ATI TechConnect competition.</t>
  </si>
  <si>
    <t>The technology may not be very innovative but it solves a real problem and all growth has been organic.  They are looking to come into the US market, which is where EFL could help.  Given the founder's strength and the growth potential, I think they are worth interviewing.  During the interview, I think it will be important to dive into the technology moat and competitive advantages.</t>
  </si>
  <si>
    <t>Communitech, Waterloo Ontario
Treefrog Accelerator, Newmarket, Ontario</t>
  </si>
  <si>
    <t>ION Medical Safety was founded to prevent medical errors that are harming 400,000 patients a year.  The PRECISE Surgical System designed with artificial intelligence, blockchain and robotics will prevent medical errors and save patient lives for acute care surgical centers. This will result in greater patient outcomes decreasing healthcare costs.</t>
  </si>
  <si>
    <t>Reviewed on 8/9/2022</t>
  </si>
  <si>
    <t>Scholarship Advisors is India based start up focused on offering college counselling to the students ranging from 16 years to 35 years.  I started the company at my home back in 2017 and now we are a team of about 10 people reaching out to the student base of about 2000 students per year. Currently we are working on the app which is sales and servi</t>
  </si>
  <si>
    <t>In USA, 30 million people do not have any health insurance plan. Further, commercial health insurance companies charge almost 20% of the premium collected for overhead.  AGR Health is a FINTECH startup. We have developed a patented payment algorithm that will allow medical cost distribution among patients more efficiently.</t>
  </si>
  <si>
    <t>Solution being solved seems to be very large and meaningful to employers.  Traction is solid; they are raising a Series A so are at a key inflection point, which EFL should be able to help support</t>
  </si>
  <si>
    <t>The team seems passionate and have achieved some early success, both in locking in customers as well as getting significant seed funding.  But success seems to rest more on their industry relationships and less on the software technology itself, which is difficult to protect and is not super innovative.</t>
  </si>
  <si>
    <t>+
1. big potential
2. good team
3. tech if works, would be hard to imitated -- see Notes on Technology for followup questions</t>
  </si>
  <si>
    <t>- Google for Startups
- Santander Global X
- Intuit Acceleration program</t>
  </si>
  <si>
    <t>+
1. team is well composed
2. the problem they are trying to address is a real one -- based on their research and industry experience.
-
1. need more evidence on what exactly is the cause of this problem and whether/how they could solve it (see Notes on Technology)
2. need more evidence on what set them apart from other platforms</t>
  </si>
  <si>
    <t>The company seems to be a futures market for booking hotels.  Their vision is for a future without dynamic pricing.  Dynamic pricing is typically a cornerstone of most pricing strategies.  Does a future?s market work for hotels at scale or would they become less profitable?  How do customers know that the price they pay for a "nokto" today is better than the price in the future?  During stressed times, how would Noktos manage?  They have traction in Mexico (1000+ pay customers, $260K monthly GMV), so they could be worth meeting.  I?m not sure of mentor interest in this type of startup.</t>
  </si>
  <si>
    <t>We make buying life insurance simple! 
iCover?s AI/algorithmic service underwrites and prices insurance applications in 5 minutes! Fully underwritten offers without labs or APSs.</t>
  </si>
  <si>
    <t>Their message is not very clear and they do not explain their technology very well (I don't think this is a language barrier thing).  They use very mission-driven messaging but the mission is not easy to understand.  I think the EFL program would help with this.  But I don't think the technology is disruptive, or the market large enough.  They claim they have $1M circled for a $2M pre-seed round (it sounds more like it should be a seed round... but it doesn't matter).  This is a low-3 I think.</t>
  </si>
  <si>
    <t>+They are a biostasis (preservation of dead body) company that wants to make the practice more mainstream and accessible
+The have raised a significant amount of money and have a few customers
+Have insurance and longterm storage partners</t>
  </si>
  <si>
    <t>REEV develops a light and intelligent knee exoskeleton to help people affected by gait disorders to regain their daily mobility by walking, standing, sitting and climbing stairs with greater ease.
REEV gathers a team of 10 engineers with a solid clinical board. In 1,5 years, we won a 1M? innovation prize and built a patented functional prototype</t>
  </si>
  <si>
    <t>We have been affiliated with one regional incubator in France : Nubbo l'Incubateur; from May 2021 to May 2022.
Nubbo helped us to define our business model : sell our intelligent knee motorization to orthoses manufacturers.</t>
  </si>
  <si>
    <t>Techstars Backed
Promising Technology space.
Very Early adopters.
I am skeptical about: 
Regulatory compliance, Product Development, Business Partnerships Model</t>
  </si>
  <si>
    <t>Techstars Anywhere Summer 2022
M Accelerator Spring 2021</t>
  </si>
  <si>
    <t>From the deck, it seems like they can determine a person's mood based on EEG? How?
The tech is not well explained. They are still running trials comparing their technology to the clinical grade EEG device. Need this data to make any decisions.</t>
  </si>
  <si>
    <t>Believyn  _2022</t>
  </si>
  <si>
    <t>Company is in very early stage but has competitive advantage compared to other competitors. also  validated tech, and is in a process of getting a patent</t>
  </si>
  <si>
    <t>+ ML-based Telemetry agent for end-to-end monitoring 
+ Credible team with expertise in the telecom industry 
- Considering the size of the market need to check if they are able to manage big markets as they working in small segments to date. 
+ Founder with start-up experience can be a plus point</t>
  </si>
  <si>
    <t>(1) Antibody therapeutics activated by acidity in the tumor microenvironment
(2) Microfluidics platform for drug discovery via single-cell analysis
Great mouse data, $18.2M already raised, team has UC Irvine Prof and Harvard MBA, experience at Genentech taking drugs to clinical trials. Bob Langer on the board!</t>
  </si>
  <si>
    <t>Yes, in the past:
-2017: NEXUS-NY Clean Tech Accelerator (NY)
-2017-19: Innovation Crossroads Program at Oak Ridge National Laboratory (TN)
-2020-21: M-corps Manufacturing Program (NY)
-2021 - present: Spark Cleantech Accelerator (TN)</t>
  </si>
  <si>
    <t>SPIE Photonics West 2020, Startup Challenge Pitch Semifinalist;
Creative Destruction Labs, Winter 2020 cohort;
National Cancer Institute, 2021 SBIR CARE Pilot Program participant;
National Cancer Institute, 2021 TABA Needs Assessment awardee;
National Cancer Institute, 2021 Investor Initiatives Selectee;
Digital RESI JPM 2022, Innovator's Pitch Challenge Finalist;
Center for Biotechnology, 2022 SBIR/STTR One-on-One Proposal Development Program; and
Long Island Biomentor Initiative, 2021-2022 Participant.</t>
  </si>
  <si>
    <t>Kitchefy is a startup company that is disrupting the F&amp;B industry, offering an innovative solution
that converts commercial kitchens to cloud kitchens, by injecting high-demand virtual food
brands into these kitchens to increase their utilization rate.</t>
  </si>
  <si>
    <t>No tech moat here.  Can be a successful company but not for us.</t>
  </si>
  <si>
    <t>Good idea and great traction.  Prominent VC investment.  Question is, whether this is novel in a global sense.  Will the fact that biomarker collection is necessary stifle adoption?</t>
  </si>
  <si>
    <t>UnityActs  _2022</t>
  </si>
  <si>
    <t>- At this current stage, there is no tech moat or defensible tech IP. 
- Has the potential to become a very popular community sports SaaS platform with strong revenue potential. 
- Not a fit for EFL. This is a community organization platform and not a tech play.</t>
  </si>
  <si>
    <t>Drug discovery platform with first peptide Tx serving as prophylactic and treatment for COVID-19. Targets unchanging cell membrane, so it is effective against all strains/mutations of COVID-19 and has potential for other viral infections (monkeypox, rhinovirus, influenza, hepatitis, etc.). Their application is a bit confusing, but from their Venture Summit West presentation and PitchBook I know they've raised ~$11M in funding with $35M in non-dilutive grants. Team has NYU Prof. Kent Kirshenbaum as the CSO part-time. CEO and COO are both full-time and have experience commercializing $B drugs. Advisory board has amazing scientists with publications in PNAS and Nature.
I want Mentors to interview this team, see what they think.</t>
  </si>
  <si>
    <t>Part-time founders
Need to get products into customer's hands</t>
  </si>
  <si>
    <t>- No enough differentiation.
- Not enough moat.</t>
  </si>
  <si>
    <t>- Not a fit.
- No technical moat for the startup.</t>
  </si>
  <si>
    <t>- Focused on deploying in Mexico. 
- Not a fit for EFL mentors but the TAM is very large. 
- Strong Mexico e-commerce market and lack of credit scoring</t>
  </si>
  <si>
    <t>+Manufacture hemp base additive for plastic production as an alternative that reduces carbon footprint and cost
~They are currently testing their formulation and sending samples to customers
-Leadership do not seem to be technical experts in their field
-Might be at to early a stage for EFL</t>
  </si>
  <si>
    <t>Yes. In 2020, we joined 'Spark Ann Arbor'. This gave us access to small amounts of non-dilutive funding as a local business in Ann Arbor Michigan.
We also joined Plug and Play's 'New Materials and Packaging' accelerator program. This gave us access to great mentors and corporate partners (SABIC, Covestro, Owens Corning, Cargill, Sherwin Williams, Toyota, Volkswagen, Pepsi, Mars, Avery Dennison, and more).
Neither of these programs took any equity, warrants, or options from Heartland.</t>
  </si>
  <si>
    <t>ONE app for Crypto and Fiat - ONE account for all your financial needs
Tokenizer Banx - https://www.tokenizerbanx.com/
We are building a purpose-built decentralized on-chain exchange to enable trading of tokens in transparent and compliant ways. Save, spend, buy, invest in ONE platform &amp; ONE app.</t>
  </si>
  <si>
    <t>+Coin exchange app
-Seems like other apps like Coinbase or PayPal already do this
-Early Startup
-No revenue</t>
  </si>
  <si>
    <t>- Working together with our Scientific Advisory Board (a.o. with Prof. Jan Plass from NYU) to validate research.  
- There is lots of competition in this space already. 
- Not a fit for EFL.</t>
  </si>
  <si>
    <t>+ Working on solid pain area with technology advancing in other sectors we need such startups in the Transportation segment
+ Need to check how they can attract government contracts 
+ They have a team capable of coming up with solutions for the problem with patent for tech
+ They need Customers and funds</t>
  </si>
  <si>
    <t>1. I'm not convinced that HVAC malfunctioning detection is a ML problem ( to start, the Founder would need to provide more details on what exactly are the parameters being trained on, followed by model selection, data acquisition, scalability etc...)
2. Current obstacle is recognized, but no solution is attempted. (access of data)
3. Founder has no expertise in ML/AI (founder is expert in biological neural network, but NN in ML is not that comparable)
4. Plan for the future is hazy
Overall, it is my opinion that this project requires more thinking and experimenting before it's ready for EFL.</t>
  </si>
  <si>
    <t>- Well rounded team with decision level advisor at Cornell Weill
- Technology developed has wide application potential for both healthcare systems as well as insurance companies. 
- Should interview.</t>
  </si>
  <si>
    <t>Tazah technologies is a venture backed agri-tech startup based out of Pakistan, solving problems of the entire agri value chain through tech enabled operating system;  making lives of the farmer easier through output market linkages, increase crop yields and find export opportunities for local agri produce.</t>
  </si>
  <si>
    <t>Agritech and geographic focus likely not a fit for EFL.  Company seems to have decent traction.</t>
  </si>
  <si>
    <t>- Not a typical fit for EFL.
- Strong traction and fundraising. 
- Team is experienced and well rounded. 
- Very meaningful work in digitizing the agriculture end-to-end ecosystem in the region. 
- Feel the EFL should consider an interview to see if we could mentor this type of startup with strong social impact.</t>
  </si>
  <si>
    <t>UCLA CNSI Incubator
Pasadena Bioscience Collaborative</t>
  </si>
  <si>
    <t>This company was interviewed last year and was close to being admitted. The reason they weren't was due to their focus on the UK.  They have since grown revenues to 7 figures and have a pilot with the UK government; they would like to enter the US market and want EFL's help with it.  I think they should be interviewed again.</t>
  </si>
  <si>
    <t>Global supply chain breakdown is a huge problem contributing to high inflation. The pain point is international and acute. There is market demand for the product. 
The company has proven technology and products as validated by the UK  government and its annual recurring revenue. It's goal of entering the US market means that EFL mentorship is needed and all the more relevant.</t>
  </si>
  <si>
    <t>OC Octane Top Ten 2021
Tech Innovation Forum (TIF)
Digital Supply Chain Institute Member
British American Business Council.</t>
  </si>
  <si>
    <t>- This is a DT company. 
- Promising technical invention. 
- Too early for EFL. Should encourage applying next year.</t>
  </si>
  <si>
    <t>robots replace human work at height
the demo shows the robot being super heavy and clunky
what is the cost and can it scale?
need to show the MVP can work and can build robot that are affordable</t>
  </si>
  <si>
    <t>+Budiling robots to replace humans at height and deliver the work 2-3 times faster in the Care and maintenance of civil structures such as buildings, bridges, dams
+Idea looks interesting 
+</t>
  </si>
  <si>
    <t>SFU Venture Connection incubator - 2021
Techstars+Stanley Accelerator - 2022</t>
  </si>
  <si>
    <t>Chari Co.  _2022</t>
  </si>
  <si>
    <t>"The addressable market in this case is localized, and the scope of expansion beyond maybe Africa is low. It could work in small town concepts, but there are other players within markets of different countries already doing something very similar. However, given that grocery buying is a highly unorganized sector within Africa, the market size within the continent could be big.  The idea is easily replicable, especially with no IP associated yet. 
The team's past experience should help grow the company quickly
Question: Are they stocking the material themselves or outsourcing that - considering the fixed cost would increase in that case. "</t>
  </si>
  <si>
    <t>Y Combinator 
Station F in Paris</t>
  </si>
  <si>
    <t>- Very early in gaining traction and also negatively impacted by the downturn. 
- Lots of established competitors: The Graph, Infura, Alchemy. Application does not discuss strategy to compete.
-  Should invite to apply next year.</t>
  </si>
  <si>
    <t>Our non-technical CoFounder, Nick, attented Lighthouse Labs in the fall of 2019. (https://www.lighthouselabsrva.com/)
Nick (Kamana team) was offered a spot in Atlanta's The Farm accelerator, but did not attend. (https://thefarmatl.com/)
Nick has applied for Techstars twice (Kamana and Yield Monitor) and make advanced rounds, but has never been accepted into cohort.</t>
  </si>
  <si>
    <t>Yes, Montreal-based technological incubator, the Centech.
We have successfully gone through Acceleration (3 months) and Propulsion(2 years) programs.</t>
  </si>
  <si>
    <t>+
1. interesting idea
-
1. need more info and validation for the technical components</t>
  </si>
  <si>
    <t>Allergy Butler permanently fixes allergies using toothpaste.  Allergies is the fastest growing chronic disease and the #1 cause of missed work and school and the problem is getting worse as more CO2 enters the atmosphere and the planet warms.</t>
  </si>
  <si>
    <t>- Impressive list of investors. 
- NYU graduate
- fintech product that decreases friction in bill payment and increase consumer financial wellness.</t>
  </si>
  <si>
    <t>- Need to do more technical due diligence on if this innovation is important enough: what use cases are critical for Event Cameras plus LIDAR. 
- Lots of software innovation processing event camera output. 
- Founder has deep technical and industry background.</t>
  </si>
  <si>
    <t>European Institute of Technology (EIT) Urban Mobility Accelerator Batch 3 Central: https://www.eiturbanmobility.eu/welcome-to-the-eit-urban-mobility-accelerator-programme-batch-3-start-ups/
5PRING 5G and Smary City Accelerator: https://5pring.org/
ALAIAN 5G Accelerator: https://alaian.com/5g-call/</t>
  </si>
  <si>
    <t>University research and MedTech focus
Needs to get funding to hire a team
Continue to grow the customer pipeline
Ethel Rubin referral</t>
  </si>
  <si>
    <t>- New influencer monetization tool with focus on user privacy. 
- Starting to gain revenue traction.
- Competitors such as Bounty recently got $4.7M in funding.  
- Solid technical team. 
- Should interview to understand category.</t>
  </si>
  <si>
    <t>Lux Wind Power does research and development of novel Vertical Axis Wind Turbines.  The operating turbines have proven to be beneficial for wind farms in most locations, especially in wide open prairie landscapes.</t>
  </si>
  <si>
    <t>new wind turbine design
high capacity
does not require a tower
needs to get the design to scale and tested</t>
  </si>
  <si>
    <t>+wind turbine that has a low centre of mass
+does not have to be turned into the wind, 
+Can be transported in small containers, does not need large cranes for installation, 
+Has a higher power density than current wind farms
- Till date worked on pilot product not a full scale product</t>
  </si>
  <si>
    <t>DiT
AI/ML software and hardware scan camera for digital twins
Needs customers pipeline to show there is a market
What is the moat?</t>
  </si>
  <si>
    <t>+
1. tech is advanced and team has technical talent to back it.
-
1. a lot of hype from presentation, I had to read through lengthy self-boasting to see what they are actually trying to do
2. very crowded space, not sure what their edge is</t>
  </si>
  <si>
    <t>- Highly technical PhD Team 
- Impressive grant win from NSF
- Considerable market in US given 25% of children do not speak English at home.
- Would schools adopt a solution like this quickly?</t>
  </si>
  <si>
    <t>- We are part of the University of Illinois EntrerpriseWorks incubator (Champaign, Ill), where we conduct our research
- We have been selected to be one of the 15 members (from a pool of more than 150 applicants) of the 2022 cohort of the FoodBytes program (Rabobank; https://www.foodbytesworld.com/)
- We are supported by Georgia Research Alliance, a public-private partnership that forsters innovation coming the University System of the State of Georgia (https://gra.org/)
- Our commercial operations are part of the accelerator "Curiosity Lab" of teh State of Georgia (https://www.curiositylabptc.com/)</t>
  </si>
  <si>
    <t>+Technology can determine sleep and wakefulness with the highest accuracy
+algorithm can determine sleep and wakefulness 
-Founder working part-time
? Claims to raise 1.1 billion</t>
  </si>
  <si>
    <t>piece of the billing software infrastructure.  not sure how much value they can capture.  competing broader platforms may imitate feature.</t>
  </si>
  <si>
    <t>universal invoice netting platform helps businesses to save money by offsetting their accounts receivable and payable in an open digital network
this space is super crowded and to stand out is difficult
show traction and paying customers</t>
  </si>
  <si>
    <t>In the past we participated in the following:
Accenture FIL in London
PwC financial transformation program in Germany</t>
  </si>
  <si>
    <t>Too early.  Invite to Berkley.</t>
  </si>
  <si>
    <t>Their validation is efficient but quite small - they are currently running n=200 clinical study
Why patent pending?</t>
  </si>
  <si>
    <t>solid product that seems to address an important pain point for inline sellers.  how large will their WTP be for this product? is this an EFL fit?</t>
  </si>
  <si>
    <t>Great team!  But application does not quite deliver, in its limit, the disruption we look for at the EFL.</t>
  </si>
  <si>
    <t>INAEDIS has proprietary platform for scalable dehydration of liquid formulations into dried powders to solve the problem of stability and solubility for biopharmaceutical companies and
industrial manufacturers. Our innovative technology reduces dependence on the ?cold chain? logistics, provides improved product quality and safety, enhanced versatility, increased production capacity, longer shelf life, lower operating costs and decreased carbon footprint.</t>
  </si>
  <si>
    <t>The team of the founders who are also the members of a
laboratory of Princeton University, are currently fellows of the
University City Science Center of Philadelphia, QED Proof of
Concept Program for academia:
https://sciencecenter.org/news/the-science-center-awards-600-000-to-three-academic-research-projects
The team of Dr. Maksim Mezhericher and Prof. Howard Stone
participated and completed NSF I-Corps program (regional,
Cornell/Pittsburgh 2021). Dr. Mezhericher also graduated from
Princeton Wharton Executive Education Course in 2021. In
addition, Dr. Mezhericher has been selected as a fellow of START
Entrepreneurs program 2022-2023, Princeton University.</t>
  </si>
  <si>
    <t>+
1. advanced and novel tech
2. targets a real problem, with natural extensions
3. good team
-
1. early stage with not so much to show for</t>
  </si>
  <si>
    <t>- The application is self contradictory. The startup has no revenue, but the application mentions that the long term care industry has received the company very well. There should be at least some LOI or POC with some revenue projection. 
- Unclear technical moat.  
- The founder seem to have lots of startup exit experience as a co-founder and an investor.
- The pain point solved is a big one given global aging and the need for improved Telehealth solutions.</t>
  </si>
  <si>
    <t>Previously:
- Serum Foundation accelerator
Currently:
- Alberta Innovates Catalyzer accelerator program</t>
  </si>
  <si>
    <t>They seem to be gamifying carbon offsetting by engaging companies? customers with personal carbon footprint calculators and collectibles.  I?m really not sure of the pain point they are solving.  I think there may be a market for this product; I think it?s small and I?m not sure of how sustainable it will be.</t>
  </si>
  <si>
    <t>- The startup's seed investor is Animoca Brands. Animoca is a global leader in gamification and blockchain with a large portfolio of over 170 investments in NFT related companies and decentralized projects that are contributing to building the open metaverse. 
- One of the founders have experience building and exiting startups.
- I feel this is an area that is worth EFL to have an interview in. The key question is that if NFTs do not take off, then what other ways of gamification can help carbon offsetting take off.</t>
  </si>
  <si>
    <t>Founded in 2014, dedicated to biostimulation solutions to improve people's health and life.
Recently two product lines:
1. PainKARE - target chronic pain syndrome, with effective rate over 82%
2. FaceKARE - target people over 30's to rejuvenate whole face for young looking, 
5 patents (2 US) granted; one US FDA 510K cleared.</t>
  </si>
  <si>
    <t>In the fun fact section, it seems like their product helps with hair growth? 
Overall very confusing company, no clear tech or innovation, no data, no team
Not LS</t>
  </si>
  <si>
    <t>Predict Now is a promising venture considering the founder's expertise and background in quant finance, AI, and ML. 
However, Team lacks Strong Business Development and Partnerships Executive. 
Maybe due to the network founder can get initial traction of customers however a strong business plan would have made this pitch good enough for the interview</t>
  </si>
  <si>
    <t>Deep Tech company. Contaminant-free seafood production. Starts with a nutrient-rich microbial biomass created from clean food and beverage waste streams and nonagricultural plant material (wood chips). This is formed in a bioreactor and fed to worms/insets, which are then fed to fish/shrimp/mollusks which generate high lignin residual wood chips (circular system where energy feeds back into the process). Demo video shows their giant 45K gallon facility in Westfield - this was shut down in 2020 due to COVID-19.  Very New York-centric team with degrees from Syracuse, NYU, and SUNY Fredonia who have worked in this industry since the 1970s. Non-formal but collaborative relationship with Cathy Young (former NY State Senator) who is currently Executive Director, NYS Center of Excellence for Food and Agriculture at Cornell AgriTech.</t>
  </si>
  <si>
    <t>When we began construction of our commercial demonstration unit in Westfield in 2016 we also began a dialogue with the State University of New York at Fredonia about establishing a working relationship with them. This was motivated by their being only 17 miles away and that Jennifer Russo had just received her Masters of Science degree from them. This dialogue resulted in a comprehensive agreement with SUNY Fredonia in 2017, in which they were designated as a primary academic affiliate for TimberFish. That agreement provided for an internship program as well as facilitating alignment of university laboratories and educational resources to enhance TimberFish research.
We also have a supporting but non formal relationship with Cathy Young which started in 2008 when she was a NY State Senator, and which has continued with her in her current position as Executive Director, NYS Center of Excellence for Food and Agriculture at Cornell AgriTech.</t>
  </si>
  <si>
    <t>Too early for the EFL. Startup is in the starting phase of building and testing our algorithm. MVP not ready. 
There are lots of competitor. The application fails to discuss how it is going to build moat. Can invite for next year.</t>
  </si>
  <si>
    <t>+ ML model-based platform to generate human metric data for analysing and improving team performances and efficiency 
+ Having a working model of the product
- working on complex pain areas (understanding the human metrics through meetings &amp; calls and giving analysis on them)</t>
  </si>
  <si>
    <t>I was thinking between 3 and 4 for the total score, but the team seems to be very good and qualified to do something like this so hence I gave 4.
But I def need to learn more about their tech and want to see data on the actual drug efficiency (not just retention)</t>
  </si>
  <si>
    <t>Good team.
Innovative idea
Should Invite this year</t>
  </si>
  <si>
    <t>+Team seems credible
+Team is large and has advanced degrees in the fiels
+They have raised 1.4 Million</t>
  </si>
  <si>
    <t>Carnegie Mellon VenutreBridge
IndieBio NY</t>
  </si>
  <si>
    <t>Jogchum Brinksma referral
advanced air purification technology based on butterfly wings
needs to show tech can scale
needs a proof of concept and then go into production
women founder</t>
  </si>
  <si>
    <t>Metalmark has been a part of multiple startup programs (in addition to many other awards that are not listed below).
Ray of Hope, Biomimicry Institute
Urban-X (BMW/MINI group)
Plug and Play
Harvard iLab and President's Challenge winner
Greentown Labs
Cleantech Open
In addition, Metalmark is a current recipient of SBIR Phase II grants from the NSF and NIH, and many other state and federal awards such as the EPA's Clean Air During Wildfire Smoke Challenge.</t>
  </si>
  <si>
    <t>- Similar vision technology is developed by multiple companies for around 10 years, with applications in fashion, home goods, furniture and other verticals. 
- Worried about the technical moat here.</t>
  </si>
  <si>
    <t>Need funding
Need a business model outside of gov</t>
  </si>
  <si>
    <t>+The team has good academic links and developed prototype
-The market size is not very large
-Vision and product not clearly defined</t>
  </si>
  <si>
    <t>SaaS - The MRP system for small manufacturers.
Ideal for companies with 10 - 200 employees</t>
  </si>
  <si>
    <t>- Would like to enter the U.S. Market. 
- Successful traction and sales. 
- There are many competitors in this area, so need to find out how this is technically defensive rather than just relying on strong go to market.</t>
  </si>
  <si>
    <t>- Currently in development and working on technology validation. 
- Application does not address why powerful competitors, such as Robinhood, Coinbase, and Republic, are unable to develop the same technology and product. Unclear technical and business moat.  
- Does not have customers and also shared little info regarding customer discovery.
- Should not interview this year.</t>
  </si>
  <si>
    <t>- A lot of similar startups attacking the same problem, such as Flatiron Health. 
- Not sure what the exact technical moat is?
- Invite next year.</t>
  </si>
  <si>
    <t>gig-workers to collect primary data through in-person and tele-calling surveys.
not a novel idea, not a fit for EFL</t>
  </si>
  <si>
    <t>Outline India was a part of the following programmes:
-	Winner of Government of India, UK Aid supported Startup Oasis;
-	Winner of Qualcomm?s QWIN Women Entrepreneurs India Network;
-	Part of the NASSCOMM 1000 Startups programme;
-	Winner of Dell Startup Challenge Yourstory, Dell;
-	Winner in Stanford, California, Alchemist Accelerator;
-	Finalist at Social Enterprise Academy India, Winner of Fellowship Awards, SEA</t>
  </si>
  <si>
    <t>wealth management platform for India
what is the tech moat? why will people use this product over those in the market?</t>
  </si>
  <si>
    <t>Applied to EFL before, since then they got regulatory approval for the Covid-19 test in Chile and got a patent
How does it work? What is the principle? How can it determine what type of virus it is detecting? How would it detect cancer cell? Or bacteria?</t>
  </si>
  <si>
    <t>No real tech
Team did not fill out the app with with any inshgits or compelling answers</t>
  </si>
  <si>
    <t>+Interesting startup but have to whether it can be sustained in the market with existing well-developed technology
- If customers don't agree to ads what would be the policy or company's takes on gaining revenue
+charging 18/month per customer</t>
  </si>
  <si>
    <t>Good team
affordable 3D imaging technology
women founders</t>
  </si>
  <si>
    <t>+Affordable 3D imaging technology
+ Technology is interesting 
+ Female founder, 6phd's founders and European space agency funded a small amount 
+Raising 3m
+ Good results in dark conditions
+ Modular configuration with low power consumption</t>
  </si>
  <si>
    <t>Antlia Bioscience Inc. is a virtual startup developing drugs for cardiovascular diseases. We use PASylation® a proprietary chemistry platform to design novel long-acting peptides with fine-tuned pharmacologic/pharmacokinetic properties using parent peptides with known biology and efficacy.  We have two drug development programs.</t>
  </si>
  <si>
    <t>We are leveraging AI to build the shazam of babies? cries. We bring millions of caregivers peace of mind by offering them support and personalized, timely and data-driven advice. 
Our first product utilizes the cutting edge of AI and proprietary audio processing to translate the meaning of a baby?s cry.</t>
  </si>
  <si>
    <t>- Both this startup and Zoundream are AI analytics startup interpreting baby cries this year. 
- Compared to Zoundream, this startup seems a lot less developed in its technology, its market development as well as its team. Details below:  
- Tech: failure to provide the amount of data it is analyzing to train its algorithm.
- Market Development: failure to identify baby monitor equipment providers for go-to-market or the families its has worked with to test drive its product.  
- Team: failure to build out the team with relevant technical and business talent. 
- Deck referenced but not provided. Application poorly written.</t>
  </si>
  <si>
    <t>MIT VMS
MIT Sandbox</t>
  </si>
  <si>
    <t>- Concept is not new nor is the technology. There are a number of competitors. 
- Execution of GTM is critical. Creation of IP is critical. Community building is critical.   
- Right now, GTM is very experimental and this is difficult for IP creation and community building. For example, startup is using a few free podcasts to get listeners to join the NFT community. Results have been mixed, and some listeners are infuriated, saying this is a "terrible bait-and-switch". 
https://podcasts.apple.com/us/podcast/crypto-z/id1503388186
- Can interview next year to see if there is improvement in GTM.</t>
  </si>
  <si>
    <t>Not yet for this.
Verbally accepted into Newchip;
For Flower Turbines:
Dreamit Ventures
PortXL
Impel+ (Department of Energy innovator for 2021.)
Long Island Hitech Incubator and Stony Brook University</t>
  </si>
  <si>
    <t>"packaging for the cannabis industry 
no real tech"</t>
  </si>
  <si>
    <t>+Passionate team
+Large potential market
+Developed product
-Tech does not appear novel</t>
  </si>
  <si>
    <t>self-driving micro-mobility platform
Oliver Mitchell referral</t>
  </si>
  <si>
    <t>+Team seems passionate and credible
+Need help scaling which EFL can provide
+The team have managed to do more than a million dollars in sales and raised more than 3 million</t>
  </si>
  <si>
    <t>- There are alternatives and competitors in the marketplace. 
- Application does not talk about any business or technology moat.</t>
  </si>
  <si>
    <t>500 StartUps
YLAI
WeXchange
Enovadoras</t>
  </si>
  <si>
    <t>Lumirithmic provides highest quality facial scans with realistic skin appearance, through portable desktop devices, 
We provide Hollywood quality hyper-real faces to everyone, by working with entertainment/video games, ad-tech, metaverse and beauty-tech leaders</t>
  </si>
  <si>
    <t>+Their product makes high quality 3D face models cheaper, quicker and more accessible
+They have a strong team with innovators in their field
+The team is large and well developed
+They are in talks with Loreal for a large contract
-The consumer market for these models is yet to be proven
-Their product might be dependent on having an iPhone or iPad</t>
  </si>
  <si>
    <t>+
1. Tech is advanced
2. Good team 
-
1. Competition might be much more than the company claims
2. Tech barriers require more justifications.</t>
  </si>
  <si>
    <t>- Strong team with R&amp;D and business experience
- Solid government funding as well as private fundraising.
- Large pre-sales funnel built</t>
  </si>
  <si>
    <t>Too early for EFL and also not a fit for EFL. 
Significant business development needs to happen to acquire brands.</t>
  </si>
  <si>
    <t>GetChkd is an infinitely scalable, full-suite enterprise blockchain infrastructure platform that enables Web3 ?connecting all data and assets ?the off chain to the on chain and online to the real world.  GetChkd makes it easy to secure &amp; share data/assets across any platform - ensuring criteria are met, while maintaining privacy &amp; confidentiality.</t>
  </si>
  <si>
    <t>- Web 3 infrastructure category
- A little bit early but showing traction 
- Can consider an interview if there is left over space in DiT</t>
  </si>
  <si>
    <t>Capital Factory
Newchip</t>
  </si>
  <si>
    <t>Sleep health is drawing increasing interest.  Want to better understand how their tech modulates Circadian rhythm, unit costs and potential to go D2C (size of markets).  We should definitely interview.</t>
  </si>
  <si>
    <t>- Science is strong based on Stanford research work. Also strong technical team. 
- Already gaining traction among patients. 
- Market demand has potential given the focus on non-medical solutions.</t>
  </si>
  <si>
    <t>DiT startup
Need funding and more customers to prove tech can scale</t>
  </si>
  <si>
    <t>Nixtla went through Techstars AI program at the end of last year. 
Max did YC with his previous company.</t>
  </si>
  <si>
    <t>Lot of hype and over claiming with little in terms of evidence.  Market can be huge if the product works, but they seem to be really early.  Surprised that all the great hype they are generating has not translated into paid products yet.</t>
  </si>
  <si>
    <t>Yes. 
We finished the 365X scaleup program by Sorona Ventures.
www.365x.io</t>
  </si>
  <si>
    <t>PlateRate takes restaurant orders for pickup, delivery, dine-in, and order-ahead - and creates more than 3x as much loyalty using the highest profit margin platform in the industry for restaurants.  We get customers a 60%+ credit in free food for trying the top rated dishes that meet their dietary and flavor preferences.</t>
  </si>
  <si>
    <t>- Not a typical fit with EFL. 
- Innovation is in the process of prepping and consuming food, and not scientific inventions.
- Minimal traction at this point. 
- Too many competitors.</t>
  </si>
  <si>
    <t>Need funding to develop on the tech
Who owns the technology?
Has good advisors from Princeton</t>
  </si>
  <si>
    <t>Great founder, but too much competition.  Differentiation is the provision of a credit-score based insurance viability, but it seems like competitors (some of who have already overcome regulatory hurdles in the target market) can easily replicate.</t>
  </si>
  <si>
    <t>Safety Arms System is a unique and patent pending internal remote locking system for firearms.  It allows authorized users to lock the weapon when lost or stolen, or taken by a family member, using a mobile app from anywhere in the world.  The app includes geofencing to lock the weapon automatically when leaving or entering a designated area.</t>
  </si>
  <si>
    <t>- Startup with great social impact.
- If EFL does not mentor this startup, we should help direct it to other programs that will.</t>
  </si>
  <si>
    <t>Science Park Graz (incubator).
EU Media Futures (accelerator)</t>
  </si>
  <si>
    <t>My impression is that end users need to be convinced of this problem, which suggests a very difficult and costly sales process.  If they produce traction, it could be more interesting.</t>
  </si>
  <si>
    <t>We are an Aquaculture Tech start-up company based in Korea with global expansion.
We developed our own system for shrimp aquaculture inspired by nature. 
Our system achieves: 
- 20X higher productivity than traditional systems
- ZERO use of antibiotics and chemical
- Extremely competitive CAPEX and OPEX</t>
  </si>
  <si>
    <t>Unreasonable Impact by Barclays (2021 cohort)
Foodbytes program by Rabobank (2021 cohort)
1000 Ocean start-ups (selected in 2022)</t>
  </si>
  <si>
    <t>- Need to understand how this solution is different from AlphaSense 
- Team has successful startup experience and acquisition.</t>
  </si>
  <si>
    <t>- Clearly describes technical moat in terms of NLP powered monitoring of threats and clear assignment for steps for various functions in customer organizations to respond. 
- Clear metric for performance improvement. 
- Solid fundraising and strong team. 
- Should interview.</t>
  </si>
  <si>
    <t>EllieGrid is the only medication management tool that has shown it can improve and track medication adherence effectively. As a result, we now help companies like J&amp;J run clinical trials, Centene prevent costly non-adherence events, Amazon know when to ship auto refills and  CVS sell our product in stores across the country.</t>
  </si>
  <si>
    <t>Digital OR deep tech. A pill box and associated app that reminds users when to take medication, and tells them which pill in the box and how many to take. The box collects data regarding user behavior, and AI/ML to predict adherence behavior. 10K units sold ($49K/month revenues), 77% increased adherence, 95% retention. The 3 founders are all Forbes 30U30, but otherwise do not seem to have have deep technical experience.  They have deals with J&amp;J and others they cannot name, are selling on Amazon, and as of 2023 will reimburse clinicians who prescribe the product to their patients.</t>
  </si>
  <si>
    <t>Help:
- J&amp;J run clinical trials
- Centene prevent costly non-adherence events
- Amazon know when to ship auto refills
- CVS sell our product in stores across the country.</t>
  </si>
  <si>
    <t>Company doesnt have a clear focus. In some places they emphasize matching startups with investors as their main business, in their deck they emphasize selling their financial planning and strategy tools to startups as their main business.  And then, they want to use NFTs.</t>
  </si>
  <si>
    <t>Solid idea and demand could exist in locations where labs are hard to access for education.  But right now interface looks rudimentary and not based on proprietary tech.</t>
  </si>
  <si>
    <t>make products that can react and release hot or cold mature
need to show it can scale and build a pipeline of products
right not just focusing on camp and heat packs stuff</t>
  </si>
  <si>
    <t>- Showing traction for D2C brands. 
- Could be a solution that is used beyond India. 
- Vertical marketplace SaaS platform.  
- Should group with similar sub category in DiT to see if we should interview.</t>
  </si>
  <si>
    <t>Risk assessment with thin data is key.  Too little validation or customer acquisition at this point for us to consider.</t>
  </si>
  <si>
    <t>BWISECORP Blue Whale Invention Safety Energy Corporation  _2022</t>
  </si>
  <si>
    <t>low-cost portable chemical analysis device
having testing issues already
lots of players already in the space</t>
  </si>
  <si>
    <t>Techstars Western Union
JICA Ninja Accelerator - Japanese gov't x McKinsey accelerator
QBO-Ideaspace - largest local accelerator in the Philippines</t>
  </si>
  <si>
    <t>Legal documents are complex for a reason.  I would be interested in knowing what information is lost in the process of simplifying it.  Tough technical challenge for NLP, so there's something here, although Im not convinced of the extent of value-add here.</t>
  </si>
  <si>
    <t>converts legal wording into more plain language for non-legal users; tricky in that legal docs are complex intentionally; how does the tech decide what to convert vs what not to; question how is decides; protection is just constant innovation; use specifically in medical malpractice currently; more summarizing than like truncating information;  currently no validation?</t>
  </si>
  <si>
    <t>No real tech
Not a fit for EFL</t>
  </si>
  <si>
    <t>+Passionate team
-Might be too early for EFL</t>
  </si>
  <si>
    <t>No tech here.  Not a fit for the EFL</t>
  </si>
  <si>
    <t>Digital Tech. Wearable device and digital monitoring app for diagnosing/treating thyroid dysfunction (TDF) and thyroid eye disease (TED). The scientific innovation is a link between heart rate and thyroid hormone levels, which enables continuous real-time monitoring of TH.  They also developed an AI algorithm to diagnose TED with a picture of the patient's face. App includes a telemedicine aspect to link results to clinicians and treatment. They say they did a clinical trial in Korea with 90% accuracy. Team members are all full-time except the CTO who is a Prof. at Seoul National University. Applied for 27 patents - none granted yet.</t>
  </si>
  <si>
    <t>1. MATTER Chicago
We are currently affiliated with MATTER Chicago, a global healthcare startup incubator, by joining U.S. Market Adoption Program jointly held by MATTER and Korea SMEs and Startups Agency (KOSME). The program incubates a cohort of 5 Korean SMEs and provides resources, mentorship, and insights that further develop the venture, sales, and fundraising in the U.S. healthcare ecosystem. We are currently in the stage to develop and execute the plan we had set through weekly entrepreneur-in-residence meetings and monthly mentor team meetings. The program started in May of this year and will end up in October. 
2. Global Entrepreneur Accelerator (GEA) Program 
We were alumni of the Global Accelerating Program run by the Institute for the Global Entrepreneur, UC San Diego. From Aug.2020 for 8 months, we explored the US DTx industry to meet diverse experts including CROs with experience in DTx approvals, and MDs in UCSD and UCLA hospitals.</t>
  </si>
  <si>
    <t>DiT
visual AI turns an edge device into a visually intelligent device
the first use case is smart grocery retailers
scans item sin cart for auto check out
https://www.caper.ai/ is already on the market</t>
  </si>
  <si>
    <t>+AI based application product usage in grocery shopping 
+Raised 2.5m in seed round
+DL-based embedded visual AI turns an edge device (e.g. smartphone or camera) into a visually intelligent device
- Competitors have a working products in the market</t>
  </si>
  <si>
    <t>German Accelerator Program (batch 2021, tbd 2022), https://www.germanaccelerator.com/
Weconomy Challenge 2021, https://www.weconomy.de/</t>
  </si>
  <si>
    <t>Not a fit for EFL.  Lacks technical novelty and large TAM.</t>
  </si>
  <si>
    <t>Our patented solar thermal desalination tech turns salty water into clean water with zero liquid discharge. We use this potable water to plant trees in deserts.  This project contemplates afforestation of 1 square mile (259 hectares) of desert shrubland in the southwestern USA in order to capture 100,000+ tonnes of CO2 per year and sell to corps.</t>
  </si>
  <si>
    <t>+Trying to perform carbo capture with desert afforestation using their patented technology that turns salt water to potable water
+The have a credible and passionate team
+The long term vision is compelling
+Have completed a pilot project in the UAE</t>
  </si>
  <si>
    <t>Masschallenge US Early Stage (2022)
Masschallenge IBM Mentorship (2022)</t>
  </si>
  <si>
    <t>The startup has significant growth in revenue and also team building. The startup also has a really strong executive team with former startup exits. 
It is not a traditional fit with EFL, so this is the main concern.</t>
  </si>
  <si>
    <t>CRISPR gene editing is a very crowded place. I am not sure about the innovation. They do show 3x increase of CRISPR-Cas9 in gene writing efficiency but that's just in vitro data. What will be a mode of delivery? Is it mostly for ex-vivo purposes? Will there be any problems with the CRISPR patent (not sure how this works legally).
Gave it 3.5 so it is not an automatic interview but definitely worth discussing</t>
  </si>
  <si>
    <t>DataPrime is a data science and engineering company focused delivering forecasting, optimization and automation to companies at the intersection of Life Science and the global supply chain.  We take a microservices approach to easily integrate and scale with enterprise software without having to replace existing tech stacks.</t>
  </si>
  <si>
    <t>Mobility is a team of highly experienced professionals working to build up the best global  B2B platform for settlements for all market participants in different segments of transportation/travel services. We aim to link together local platforms into one global hub</t>
  </si>
  <si>
    <t>Solves a need, but not sure of the willingness-to-pay for local carriers.  Also not clear what the moat is -- will depend on initial scaling and exclusive contracts.  Overall seems like a low risk but low reward company.</t>
  </si>
  <si>
    <t>- This is a team with expertise and track record of success in the digitizing travel agency and transportation information. 
- Application does not clearly discuss their technical advantage, but it seems that the team has applied for a patent in Ukraine and is expanding to the U.S.
- It is unclear why the U.S. is the correct market to expand to given the goal of creating a global settlement clearing house for ground transportation.</t>
  </si>
  <si>
    <t>-
1. no useful info -- website is broken</t>
  </si>
  <si>
    <t>Gene therapy biotech listed on LSE (GENF.L), Genflow combines most advanced tools in gene delivery with  most recent knowledge of the biology of aging to extend lifespan and increase the duration of health. Our lead compound  is an exoAAV containing a transgene  encoding the cDNA portion of a variant of the human SIRT6 gene found in centenarians.</t>
  </si>
  <si>
    <t>Technology, Regulatory and Operational difficulties are stopping companies from expanding their business into Web3, the metaverse and the Crypto Economy. 
CryptoMate is a plug &amp; play Crypto infrastructure as a service, streamlined through APIs and dedicated regulatory. Any company can be a Crypto Company, and we are here to make it happen.</t>
  </si>
  <si>
    <t>Stacks Accelerator cohort 1
Celo Camp Batch 4
IBM Hyperprotect program</t>
  </si>
  <si>
    <t>- Growing Instagram influencer network (92K influencers), connecting brands with influencers. 
- Seeing small initial revenue. 
- Intense competition. 
- Not an area for EFL to mentor, too social media focused.</t>
  </si>
  <si>
    <t>Vansanity is a management services organization (MSO) for cloud med spas.
A cloud med spa offers esthetic professional products/services:
Rent suites hourly 
Rent capital equipment hourly
Purchase products wholesale prices (GPO)
Training
EMR software access
MSO affords us a far more efficient, asset-light model to scale quickly</t>
  </si>
  <si>
    <t>The application mentions the startup's mission, which is to design a system-level virtual design platform for hardware, firmware and software. There is an MVP. 
However, it does not outline what unique competitive advantage it has, and why other companies, both big and small, cannot do the same. This is a large gap in the application. 
There is no work done in customer discovery.</t>
  </si>
  <si>
    <t>Needs a competitive advantage (no deck was given)
Competitive landscape with many trying to sell the solution but not able to show customers are willing to pay for it outside of their org
Early stage and needs validation</t>
  </si>
  <si>
    <t>LS startup?
Ask Chris to take a look. Something here?</t>
  </si>
  <si>
    <t>Yes,   Delaware Innovation Space</t>
  </si>
  <si>
    <t>Applied to EFL before. Can't find them on salesforce 2020, did they change their name? Seems like the only thing they did from the last year is that they filed the IP
Their work might be interesting but they are way too early stage
The product is at the concept stage 
No deck, no data showing validation</t>
  </si>
  <si>
    <t>- Significant traction and real world applications, such as supporting fractionalized ownership of precious gem: 
https://thetokenizer.io/2022/03/30/ix-swap-lists-security-token-of-worlds-most-valuable-sapphire/
- Founding team has lots of startup and exit experience.</t>
  </si>
  <si>
    <t>The team member has rich start-up experience 
The product solves an important problem in secondary liquidity in the private asset market</t>
  </si>
  <si>
    <t>TAMP  _2022</t>
  </si>
  <si>
    <t>TAMP Deck link:
https://docsend.com/view/gysv7dusp5yr25d6
CEO David pitching Deck (7.5 mins)
https://youtu.be/aHfZZqOouTQ 
TAMP Summary 
TAMP, a US C-Corp founded in November 2019, is an innovative, medical doctor Digital Innovation Upskilling company, carving out an exponentially-growing part of the Continuing Medical Education market,</t>
  </si>
  <si>
    <t>(+)They have revenue
(-)Tech does not appear novel
(-)The potential market size is not very large</t>
  </si>
  <si>
    <t>Newchip Grad
Founder Institute Current</t>
  </si>
  <si>
    <t>-
1. tech is not novel, and not clear where their edge is
2. team might not have the technical expertise to be leading figures in the field.</t>
  </si>
  <si>
    <t>+
1. good progress so far
-
1. not sure if the fundamental need is there, needs to learn more.</t>
  </si>
  <si>
    <t>Terra Carbon Development, Inc. proposes to address a portion of the 'Decarbonization of Steelmaking' problem by deploying an integrated 'system of systems' technology package to achieve Carbon Capture, Utilization [and Sequestration] CCUS to produce blast-furnace quality 'Green Pig Iron'  without the environmental impact of a blast furnace.</t>
  </si>
  <si>
    <t>Need to scale tech with customers
Invite next year to see progress
Needs a bigger team
Scott S may be interested?</t>
  </si>
  <si>
    <t>+ 
1. tech is novel and solves a known ESG related problem
2. team is well put-together &amp; seems motivated 
3. long-term plan for future is inspiring
-
1. current operation is in Colombia
2. no clear timeline as to when will the focus be shifted back to the U.S.
1.</t>
  </si>
  <si>
    <t>No - I tried to work with an Angel Group once out of Huntsville, AL.  It didn't work out.</t>
  </si>
  <si>
    <t>*2020 NYC eLab / WCBA accelerator  
*2021 Long Island BioMentorship Initiative
*2021 CNY Biotech Accelerator Medical Device Innovation Challenge
*2022 M7 accelerator (just got accepted)</t>
  </si>
  <si>
    <t>Olokun Minerals filters out valuable metals and minerals from salty, mineral-rich wastewaters and sells the filtered compounds to supply chains that need them.
Our process diverts harmful saline drainage water away from ocean life and marine ecosystems and provides sustainably-sourced minerals for concrete, agricultural fertilizers, and batteries.</t>
  </si>
  <si>
    <t>Need to scale and show there is a market for the product
Limited to the number of desalination facilities</t>
  </si>
  <si>
    <t>- Not an EFL fit. 
- Startup too early.
- No customer discovery.</t>
  </si>
  <si>
    <t>Applied last year and doesn't seem the company has grown
DiT startup</t>
  </si>
  <si>
    <t>-
1. tech isn't novel, and models trained by this product would likely to behave poorly due to the limited size of training inputs
2. no clear business plan on how to monetize the app or trained models
3. two-person team with one full-time employed at Amazon and another looking for a full-time job elsewhere as well</t>
  </si>
  <si>
    <t>Good mission-driven company
Need to build production and get more units into the real world</t>
  </si>
  <si>
    <t>+Credible team with developed
+Large potential market
-Tech is not novel</t>
  </si>
  <si>
    <t>The founding team seems thoughtful and has done several accelerators.  They have backgrounds at NASA, IBM, DB and graduated from top universities.  
In terms of the product, I want to better understand 1) the economics of how they can give up to 20% cash back, 2) how their fee compares to other fees, and 3) what makes their partnerships a competitive advantage.
In terms of the market opportunity, my sense is that it could be very large.  I want to better understand their current users and attrition rates. 
I think they would be worth interviewing.</t>
  </si>
  <si>
    <t>+
1. team seems to have the experience &amp; knowledge
-
1. tech and business model not novel
2. need more info on how they can be distinguished from competitors -- current point a bit general/weak, needs validation</t>
  </si>
  <si>
    <t>Mon4t provides remote neurological assessment by using smartphones and AI.
Our FDA cleared product offers time-to-market acceleration for the development of new treatments, and treatment optimization for existing ones.</t>
  </si>
  <si>
    <t>robotic system for tunnel drainage
need to scale
smallish market
$1M in revenue</t>
  </si>
  <si>
    <t>-Challenging Commercialization.
+Potential government and private partnerhsips opportunities</t>
  </si>
  <si>
    <t>Yes, we have been incubated at the Science Park Graz (AplusB program) from 2019-2020. We were also a participant at the ScaleUp4Europe programme, a European Commission Horizon 2020 initiative for early stage companies in 2021. 
We are also a member in the Silicon Alps Cluster and Green Tech Cluster - both industrial associations bringing together Austrian companies from electronic devices and green technology sectors.</t>
  </si>
  <si>
    <t>- Noteworthy outcome of similar startup: Chinese E-Commerce Giant Alibaba Acquires Ele.me In $9.5B Deal in 2018.
- Similar startups: Deliveroo, JustEat, UberEats, HelloFresh etc. 
- Not a tech play, but has the potential to grow very fast and large. 
- Already gaining traction with 100000 plus meals prepped and 5000 customers.</t>
  </si>
  <si>
    <t>Faster, battery storage cabable with any 240VAC connection available
AirBnN for EV charging</t>
  </si>
  <si>
    <t>+Team seem credible and passionate
+Compelling Vision
+Developed product 
+$900K from hardware sales
+A lot of VC funding
-Might require cooperation with competitors</t>
  </si>
  <si>
    <t>We have previously been part of TINC Silicon valley accelerator, Newchip accelerator and Eunike Ventures Radar program.
We are a member of World Economic Forum Technology Pioneers cohort 2022, NVIDIA Inception startup member, ABB's Synerleap innovation ecosystem.</t>
  </si>
  <si>
    <t>Sustamize provides data, algorithms and tools to measure, optimize and manage Product Carbon Footprints. 
Carbon emissions become a cost driver, are a regulatory requirement, and may be a reputational risk. Companies have to manage them. 
With our services we want to support all companies exceeding 20 employees to become netzero.</t>
  </si>
  <si>
    <t>- Very competitive field already, but startup claims to have a unique bottoms up approach for optimization of carbon footprint. 
- Some traction with Euro 400K revenue. 
- Decent fundraising. 
- Should cluster with all climate tech startups.</t>
  </si>
  <si>
    <t>(-)Tech does not appear novel
(+)They have 400k ? in 2022 validating the technology
(+)They have contract with large companies  eg Siemens and PwC</t>
  </si>
  <si>
    <t>- Focused on Indonesian market. 
- Did not give plan to scale beyond, or show technical moat that could make it relevant globally. 
- Not an area where EFL mentors can help with.</t>
  </si>
  <si>
    <t>DiT startup
Need to get the product to scale
Show institutions will pay for the product</t>
  </si>
  <si>
    <t>Not a Deep Tech Startup.
Nothing much on the Innovation side.</t>
  </si>
  <si>
    <t>- Alumni of ACE  (Amsterdam Center of Entrepreneurship) incubator program. 
- Currently enrolled in Imec.Istart accelerator program.</t>
  </si>
  <si>
    <t>Raised $13M already with $25M round open $15M soft circles
Good tech, need to scale
Needs to grow the team
Think about other industries other than wind turbines?</t>
  </si>
  <si>
    <t>+
1. Tech is advanced and validated
2. Business is up&amp;running with good results
3. Future is bright with company's planning as well as the society's trend towards green energy.</t>
  </si>
  <si>
    <t>Yes, accelerators. 
UNDP x Draper Univeristy Healthtech preaccelerator
Newchip Accelerator</t>
  </si>
  <si>
    <t>- The business model of producing both curated meals and also nutrition counseling and DNA testing makes it hard to scale and also control costs.  
- There are lots of startups and larger companies in either category and not in both for this reason. 
- Still in the process of collecting the data and building out the MVP. Too early for the EFL. 
- Invite next year.</t>
  </si>
  <si>
    <t>Yes, we were a part of 2 accelerators:
Sanabil 500 (KSA) and MBRF (Abu Dhabi)</t>
  </si>
  <si>
    <t>+ Recurring Revenue from customers and generated +800k in 2021
+ Have a handful of customers 
+ Growth of the company in 3 years is great</t>
  </si>
  <si>
    <t>EdTech solution for children with disabilities. 
Simple plug-and-play hardware
Good mission but could be hard to raise funds
Need to develop the tech more</t>
  </si>
  <si>
    <t>1. Hub71, Abu Dhabi
2. MindCET, Tel Aviv
3. LEGO Play for all, Billund</t>
  </si>
  <si>
    <t>This startup focuses on patient-oriented confidential computing for genomic data, with majority of the projects currently in the field of immune-oncology.  The pain points addressed by this startup, both for patients and for healthcare providers, represent a sizable market. The only issue here is that there is not much customer discovery or business development done. Still, given the technology developed here, we should interview this startup.</t>
  </si>
  <si>
    <t>Biotech Bootcamp - a joint program from SmiLe - in the top 10 best incubators for biotech startups in Europe, and BioM - a network organization for biotechnology sector in Bavaria, Germany. Graduation: Autumn 2021.
GRIT International Female Accelerator for digital health and life sciences. OmicsChart was selected as a winner by one of the program partners - Microsoft. Graduation: June 2022.</t>
  </si>
  <si>
    <t>designs manufacture and operate satellites providing different services
stong YC and SpaceX team</t>
  </si>
  <si>
    <t>+won four Space Force Phase I STTR milestones-based contracts ($1M)
+ Designs to manufacture and operate satellites
+ People from SpaceX team
+ revenue of 1M in contracts</t>
  </si>
  <si>
    <t>We help military and commercial entities navigate in a GPS-degraded, spoofed, and denied environment using visualization of the skyline (natural &amp; manmade features). We provide a more robust, precise and accurate alternative to GPS. Use cases include Military &amp; Commercial (autonomous vehicles, drones, air-taxis, handheld mobile app,
urban canyons)</t>
  </si>
  <si>
    <t>Visual-based GPS location via structures and natural skyline
Has tested with data but not real-world data
Good team..?
Needs to move out of government use and into the real world
Less further along than Zainar</t>
  </si>
  <si>
    <t>+Credible team
+Novel and proven technology
+$1M in revenue so far - mostly government contracts</t>
  </si>
  <si>
    <t>Alaria Biotech  _2022</t>
  </si>
  <si>
    <t>There are still at a concept stage, don't have any data.
In their slide deck they say that in 2022 they will have PoC and in vitro efficacy</t>
  </si>
  <si>
    <t>At Saya Life, we have built a unique vertically-integrated solution that both enables multi-unit residences to bill individual water users, while predicting and preventing catastrophic damage from common leaks.
It?s a revolutionary new approach to water management for enterprise property owners ? and we are already generating $500k in revenue.</t>
  </si>
  <si>
    <t>DiT real-estate tech
Has customers
Solo founder</t>
  </si>
  <si>
    <t>+Well developed product
+$50,000 MRR
+Large potential market
+Patented Technology</t>
  </si>
  <si>
    <t>SignPost Cancer Dx Inc, is developing ?at home? diagnostic blood tests for cancer.  The first test will be an early screen for breast cancer. Current breast cancer diagnostics for women are painful, costly and inaccurate, especially for stage 1 cancers.</t>
  </si>
  <si>
    <t>Uses a 1 mL blood test for epigenetic biomarkers to detect breast cancer with with 98.5% specificity (1.5% false positive))  and 98.5% sensitivity (1.5% false negative) - much better than SOC, mammography, which is 7-15%. Have 3% false negative in lung cancer, still optimizing. Applied last year, and have since refined their business model, developed microfluidic chip to evaluate 1 mL blood, and the FDA approved capillary blood draws. All-star team, but all founders are all part-time: need to ask about this in the interview.</t>
  </si>
  <si>
    <t>+Trying to reduce deep learning training time which is a real and growing pain point
+Credible team with strong academic links
+Raised a lot of VC money
+Open source project already has users</t>
  </si>
  <si>
    <t>United plaster for the pet industry.  Everything for Every Pet</t>
  </si>
  <si>
    <t>- Application provides little detail. 
- Not a fit for EFL. 
- Do not invite for next year.</t>
  </si>
  <si>
    <t>The team has developed fast over the last year in Dubai and is  launching a marketing campaign in September. However, the technical innovation may not be the major contribution to their current success.</t>
  </si>
  <si>
    <t>Hydrogen cell powered vehicle that can fly and carry delivery containers
Need to get a proof of concept and close funding
5G, and Navigations systems, 300 mile range</t>
  </si>
  <si>
    <t>iPSC meat products
Too early and needs a lot of capital to get to MVP
Invite next year to see how much they have grown</t>
  </si>
  <si>
    <t>+
1. tech is advanced and solves real problems
2. team seems to have the talents to make it work
-
1. little validation is given at this early stage, inquire more on this.</t>
  </si>
  <si>
    <t>My Greens is a indoor vertical microgreen y and Herb commercial Lab, we grow varios microgreens and herbs in the most sustainable way using software and technology to reduce or eliminate food waste, food mile and water waste  in a region suffering from drought, water shortage and  extreme heat and in the process improve the quality and nutrition.</t>
  </si>
  <si>
    <t>DiT
Camera-based system real-time traffic cameras
A few companies have tried to do this
Takes city participation to make this work
Is the problem big enough?</t>
  </si>
  <si>
    <t>+Good Idea
-Might be hard to get access to the scale of image data required and process it in realtime
-Not sure if technical team members can deliver
-Might be too early</t>
  </si>
  <si>
    <t>- Creative business model: credit, lending, payment, billing, connecting brands with influencers. 
- Technology also creative in the  method of rating the creator's fit with brand. 
- Can definitely expand business model beyond Asia. 
- Should interview.</t>
  </si>
  <si>
    <t>Bob Langer company, applied last year and invited but did not interview due to time constraints. Star company, excited to interview them. Chris met the founder at Venture Summit West and convinced him to apply. 
In interview, ask about clinical stage for their API (NaCDC) vs. pre-IND stage for the bilayer tablet.</t>
  </si>
  <si>
    <t>Selling physical cars in the metaverse.  No traction or proof of concept.</t>
  </si>
  <si>
    <t>-
1. 
1. not sure there's a fundamental need for car selling on metaverse 
2. not much info is given on specific tech
3. not sure where the edge is comparing to other NFT companies</t>
  </si>
  <si>
    <t>Yes, we are at STATIONF, one of the biggest incubator in the world and we are at Ecole des PONTS Alumni incubator located in STATIONF.
We also successfully join the Google Clou Startup Program and gat a grant of USD 100,000 for our developments on Google Cloud.</t>
  </si>
  <si>
    <t>- Lots of funding from DoD
- Need EFL support in busi dev and hiring
- Nees to show this can scale
- Do they need EFL?</t>
  </si>
  <si>
    <t>Fiomet develops sensor-based technology to monitor and alert on excessive pressure within a cast, splint and bandage, for patients in order to help ensure proper fit, to more effectively reduce inflammation, edema, lymphedema  and  swelling.</t>
  </si>
  <si>
    <t>DiT startup?
Google SDG
Solar-powered gas sensor to detect wild fires
Good team raised ~$3.5M, with $10M Series A with $10.5M soft circled</t>
  </si>
  <si>
    <t>+aim to help in the fight against climate change by preventing wildfires
+ ?1.6m subsidies and loans Recieve from EU funding (EFRE)
+Circled $10,500,000 in funding 
+A mix of PhDs and Ms people working on solving wildfire by helping in the detection of wildfires in 60mins time</t>
  </si>
  <si>
    <t>+
1. interesting idea, problem to be solved might be a real one.
-
1. specific implementations are not clearly mapped out</t>
  </si>
  <si>
    <t>DiT
Data Correlation Algorithms for unified IT monitoring
Need to scale sales and rove Moat</t>
  </si>
  <si>
    <t>+ Data Correlation Algorithms for unified IT monitoring
- Need to get more customers
- Small team size
&gt; Generating $40K ARR, SaaS-based revenue</t>
  </si>
  <si>
    <t>Newchip
ExpertDojo</t>
  </si>
  <si>
    <t>DiT startup (tours and activities search engine)
Women founder</t>
  </si>
  <si>
    <t>+
1. Company has been generating revenue 
2. Their size could put them ahead even if the tech part isn't by itself novel
-
1. Tech and usage of tech are not novel</t>
  </si>
  <si>
    <t>Start-Up Chile	Accelerator/Incubator</t>
  </si>
  <si>
    <t>1.7 Billion people globally are unbanked and 1.1 Billion live in Africa.
Sendit.Money is building a cost-effective mobile wallet providing an intuitive, secure and inexpensive way for the unbanked in the UK and Sub-Sahara Africa to send, receive and save money
Having created a prototype for African markets. We are now raising to bring this p</t>
  </si>
  <si>
    <t>Founders Institute
Oxford University Liber Project</t>
  </si>
  <si>
    <t>Selling a generic of a known drug to treat COVID-19 off-label. They claim there are 3 Ph3 clinical studies, but I think these were prior studies for the drug's initial approval, not for COVID-19 use. Not sure if it's actually validated for COVID-19 (I'm guessing no).  IP is not protected. Founders come from great universities and have prior startup experience, but the "Product Description" section of this application is a mess. They don't know what TAM/SAM/SOM is and didn't Google it?</t>
  </si>
  <si>
    <t>An intelligent, location and routine-based scheduling and an appointment calendar
Too early- Not novel</t>
  </si>
  <si>
    <t>Helical Fusion Co., Ltd. is Japan's first startup aiming for the early realization of fusion energy using magnetic confinement of high-temperature plasmas.
Realization of a fusion reactor, which humankind has challenged for more than 60 years, has finally come to the final stage.
Various fusion methods have been developed in the world for maki</t>
  </si>
  <si>
    <t>Visi Health Technologies  _2022</t>
  </si>
  <si>
    <t>- Focused on the tourism sector, starting with autonomous golf carts. Not sure if this is the area with the most urgent demand. 
- Large successful fundraises and very successful founders. 
- Technology itself not innovative, and there are lots of competitors such as Faction and Cabi-bus. 
- Mention having potential customers but did not give any details.  
- On the fence about this application.</t>
  </si>
  <si>
    <t>DiT fintech startup
Need to validate the tech can work at scale</t>
  </si>
  <si>
    <t>+The team seems credible
+The have $20,000 in MRR with less than a year of operation
+Have participated in other incubators successfully 
+Technology seems novel</t>
  </si>
  <si>
    <t>IBM Blockchain Accelerator
NVIDIA Inception</t>
  </si>
  <si>
    <t>"World's Premier Technology Company To Provide Accessible Metaverse Solutions For All Industries  
For Everyone Anywhere and Anytime"</t>
  </si>
  <si>
    <t>Immersive training in metaverse
DiT startup
Interview if best in class
Need to prove it can scale in the real world
App did not give a lot of info</t>
  </si>
  <si>
    <t>-Not much info is provided 
- Working in metaverse but exact work is not mentioned
+Can have look, call for an interview and see what exactly they are trying to achieve as metaverse can be a booming industry</t>
  </si>
  <si>
    <t>10Adventures is changing how people book travel.  Our marketplace allows travelers to book private and custom trips for about the cost of a joining a group trip.  We have trips in 75+ countries, and a large community of adventure travelers.  We have 9x'd sales in the last 9 months, hitting $1.5m in annualized sales.</t>
  </si>
  <si>
    <t>Beacon Street Innovations is currently developing a multi-line refreshable braille display for the visually impaired community.  This display will be based on our patented technology for braille cells developed during a National Science Foundation grant.</t>
  </si>
  <si>
    <t>Needs to build out the tech and con prove that it works at scale
Find the right partners
Invite next year?</t>
  </si>
  <si>
    <t>No 
We just got accepted to the Health-tech cohort at Expert Dojo in California and we are negotiating the equity and warrant deal for this. The accelerator program would start in September.</t>
  </si>
  <si>
    <t>interesting idea but no validation.  ask to apply to Berkley and to EFL next year.</t>
  </si>
  <si>
    <t>- Extremely strong team and advisors.
- Could disrupt the competitors with new modular technology.
- Helping healthcare infrastructure prepare for the next pandemic.</t>
  </si>
  <si>
    <t>+
1. tech seems novel and advanced
2. good team setup</t>
  </si>
  <si>
    <t>- Competitors such as Pear Therapeutics are going through contractions and reducing employees. Need to understand how that affects this startup.
- Decent scientific backing, joint venture with largest mental health teaching hospital.
- Decent grant award. 
- Science-based opioid addiction management app could be very useful in the U.S.</t>
  </si>
  <si>
    <t>- Overall not a tech play, but focuses on execution (See notes above). 
- Founder had startup exit experience and has raised decent amount of funding. 
- Business model is cash intensive. 
- Do not recommend for EFL because of a lack of fit.</t>
  </si>
  <si>
    <t>(-)Tech does not seem novel
(+)They have customers
(+)Have raised a lot of money</t>
  </si>
  <si>
    <t>IndieBio cohort
Definitely valuable product for the gene editing field
Any CRISPR, or epigenetics advisors?
Only talked about the data but didn't provide a deck - if we interview, ask for the data</t>
  </si>
  <si>
    <t>- Team managed to grow traction during the pandemic through supporting Asian American restaurants, and currently used at 1300+ locations. 
- In a very competitive market. 
- Solid funding. 
- Product is based on design and user experience and not defensible tech moat.  
- Area not a focus for EFL, but a strong startup.</t>
  </si>
  <si>
    <t>- Strong traction given its $1M ARR. 
- Implementing exiting data science methods to build ML analytics. Method is not inventive, but the resulting ML models could be. 
- A strong startup in the LatAm Region that could go global.  
- Should inquire about technical moat.</t>
  </si>
  <si>
    <t>They have achieved success in proof-of-concept, as they have a lot of paying customers.  But their application does not do a good job of explaining what they really do and why they are the team to back.  They don't have a deck, so it is even more difficult to visualize their strategy and technological advantage.  Overall, I don't see this company improving society, but they could have explained better how better user experience and customer satisfaction improves commerce and ultimately, people's lives.</t>
  </si>
  <si>
    <t>Yes.
Wayra Mexico
LatinX Incubator of the Illinois Hispanic Chamber of Commerce
LBAN-SLEI at Stanford</t>
  </si>
  <si>
    <t>- Decent traction and well rounded founding team and good fundraising. 
- In a space with lots of competition, and it is unclear how the startup will build moat and how it will differentiate in the US.  
- Restaurant operation tech is not a typical area for EFL, but can interview if the team feels this is a good fit.</t>
  </si>
  <si>
    <t>- Decent traction and revenue. 
- Cryptocurrency is currently in the midst of a bear market, there are fewer people looking to trade and get involved in the crypto sector. 
- Not technical moat at least for now.  Moat is in network effects.</t>
  </si>
  <si>
    <t>Y Combinator (S21 Batch)
MKB Fintechlab</t>
  </si>
  <si>
    <t>- Showing solid revenue at $550K per year. 
- Application not specific enough, and does not dive into technical and business moat, so it is impossible to review. 
- Hard to grade because of vagueness</t>
  </si>
  <si>
    <t>- VentureWell (https://venturewell.org/)
- National Science Foundation I-Corps</t>
  </si>
  <si>
    <t>IceBeanie  _2022</t>
  </si>
  <si>
    <t>- Extremely timely startup in the global supply chain crisis. 
- Really experienced, relevant and well rounded team.
- Great recurring revenue. 
- Solid product-market fit. 
- Referred by Llew Claasen.</t>
  </si>
  <si>
    <t>Women founders
Show tech can scale and go into the real world</t>
  </si>
  <si>
    <t>+Credible and well developed team
+Novel technology
~Potential market not very large</t>
  </si>
  <si>
    <t>- Unclear technical moat. Application fails to identify the pathway to differentiation, and how to scale the human element while digitizing wealth management. 
- Solid founding team with many years in the wealth management industry. 
- With $600K ARR, but unclear if this is a result of bringing old clients into the new startup using past relationships.</t>
  </si>
  <si>
    <t>Sleuth is a search engine for children's health. By crowdsourcing health journeys directly from other families, ?we take a data-first approach to answer ?a parent?s pressing questions on symptoms, specialists, ?and care options. Sleuth surfaces radically better answers, ?so kids get radically better care.</t>
  </si>
  <si>
    <t>- Focusing on creating the largest open source database on health outcomes of children is problematic. The health info shared could carry inaccuracies, and lead to misinformation for other users. This is concerning.
-   No customers and only one pilot right now. Too early for the EFL. 
- There needs to be more work done on the business model.
- Invite for next year.</t>
  </si>
  <si>
    <t>BoxyHQ helps developers automate product security, and it provides low-code APIs to enable enterprise compliant security via simple and efficient integrations. Including SAML SSO, audit logs, directory sync, and privacy vault. 
&gt; Open source + DevTools + Cybersecurity</t>
  </si>
  <si>
    <t>Need to show that the tech can scale outside of the lab
Looking to go into the US market</t>
  </si>
  <si>
    <t>- Lack of moat, at least on the application, given the competition.
- Too early for the EFL. Invite to apply next year.</t>
  </si>
  <si>
    <t>High 3.  Really nice deck; nice video.  Needs to demonstrate how their tech and business model differentiates from the competitors.</t>
  </si>
  <si>
    <t>- Decent traction: 3 clients, 3 prospects, 10 in pipeline. 
- Good fundraising: $4.125M
- Chris Harrison / Slyce Data referral
- Key question here: Why was this startup idea not pursued before? Why is the electronic trading of corporate bonds essentially manual? This must be for a reason. What happened to the similar products the founders built at previous employers? Were they successful or tabled? This application fails to answer these questions, so we need to ask in the interview.  
- Should definitely interview.</t>
  </si>
  <si>
    <t>(+)Tech seems novel
(-)Potential market not very large
(+)The have 60K / year from pilot client subs
(+)4,125,000 pre seed</t>
  </si>
  <si>
    <t>- Startup really early. There is no website. The application is very vague about the specific type of services to be provided.
- This is problematic, because of strong competitors in each category of services, such as Thumbtack, Angie's List, etc. 
- No customers. 
- To complete initial beta in about 6-8 months. 
- Not an EFL startup.</t>
  </si>
  <si>
    <t>Navigating AWEtism makes scientific information about autism easy to use for both the parent and professional.
Our platform will organize the entire world's published scientific information on autism and make it accessible and useful to improve the health and happiness of those with autism.</t>
  </si>
  <si>
    <t>- Still early stage, but I recommend an interview. EFL should make a bet on this startup. Reasons as follows: 
- Mission driven founder: parent of autistic child, researcher and founder on autistic treatment.   
- Already done significant customer discovery work through NSF I-Corps, but is very early in customer acquisition. 
- Deeply familiar with the lack of SaaS tools for researching and evaluating autism treatment for children. Lives the pain point.  
- Software app MVP built.
- Will benefit from EFL mentorship.</t>
  </si>
  <si>
    <t>- Significant competition: warehouse management solutions offered by large ERP vendors as well as pure-play. 
-  Early traction proven through revenue.
- The question is how to carve out a meaningful share of the market. Who is the real customer? What is the GTM?
- $4M pre-seed raised and raising $3M bridge.</t>
  </si>
  <si>
    <t>Rebound  has developed a freeze point suppression cycle that offers a 2-in-1 solution combining agile freezing and humidity control for frozen food facilities. Rebound?s IcePoint® meets varying cooling demands while simultaneously optimizing moisture levels equating to improved system performance, increased productivity, and excellent ROI.</t>
  </si>
  <si>
    <t>Food refrigeration tech
Need to go into production with a customer to show it can scale</t>
  </si>
  <si>
    <t>+ no direct competitor in this tech with the same technology
+ I feel its cutting edge technology in this segment</t>
  </si>
  <si>
    <t>supplier of grid-scale storage services to wholesale electricity markets
Good team
Tech needs to scale
EFL can help with funding</t>
  </si>
  <si>
    <t>+The team seem credible and well developed
+The potential market is large and their technology is patented
~They have many competitors so it might be worth asking in an interview what differentiates them</t>
  </si>
  <si>
    <t>great scientific cofounder who has a Pfizer acquired startup! Raising a mid-size Series A.  Excellent company.</t>
  </si>
  <si>
    <t>Unlocked Labs Inc.  _2022</t>
  </si>
  <si>
    <t>Highly competitive market.  Upside rather limited.  Not sure our LS mentors, used to pharma's evidentiary standards  would like this.</t>
  </si>
  <si>
    <t>What is the mechanism of action? Are their probiotics genetically modified in some way to consume alternative energy sources? 
Where is the data?
Probiotics is a very crowded and uninnovative space, I need some more details on what's that special about their probiotics and more extensive validations. This could be very useful for the probiotics field, I just don't have enough information to be convinced</t>
  </si>
  <si>
    <t>Yes we have participated in the: 
National Science Foundations I-corps program 
SOSV's IndieBio Accelerator San Francsico Program</t>
  </si>
  <si>
    <t>Interesting device, which, if it works, seems to solve a known problem.   Id like to know efficacy of such procedures to address diabetes and validation data establishing superiority of proposed procedure relative to existing methods.</t>
  </si>
  <si>
    <t>- Excessively competitive landscape. 
- IP protection is not possible given the tech developed and business model. 
- Execution of partnership and customer acquisition will determine the startup's success.</t>
  </si>
  <si>
    <t>BtcEX is a platform based in Hong Kong a stable, high-performance and deep liquidity crypto exchange. Our goal is to revolutionize the cryptocurrency industry by moving crypto exchange to be a crypto banking service provider including crypto debit card, wallet, exchange, invest &amp; lending. 
BtcEX slove Crypto to fiat HKD problem.</t>
  </si>
  <si>
    <t>- Example of poor governance: BtcEX past co-founder left team without providing any credential in server, code, and database. BtcEX had to recover bitcoins and luckily got a technical adviser to guide access to server and database.
- Unclear regulatory environment in HK.
- Application is unclear at certain parts and hard to read. 
- Some traction: $363,100 USD total, but timeframe unclear. 
- Invite next year</t>
  </si>
  <si>
    <t>Communication and language is clearly a barrier here. It was difficult to understand what sets them apart and what their growth plan is.  One of the founders has been part of a successful company and has a US-based MBA... but I don't think he was the one who wrote the application.  Anyway, they have a very ambitious vision for the company.  They will start with Hong Kong to try and generate a large network of users.  But can they do this world-wide... and do they want to?</t>
  </si>
  <si>
    <t>Kandola is a Layer-1 Web3  infra project. Kandola provides completely decentralized, secure, real-time messaging platform and data store. Real-time messaging is used in chat applications, enterprise communications, IoT, social apps, games and metaverse. .</t>
  </si>
  <si>
    <t>- I am concerned about the technical strength of the team. 
- Founders do not seem to have special research expertise in the area. 
- Startup is at concept stage and has not done customer discovery. 
- Should apply to EFL next year.</t>
  </si>
  <si>
    <t>- Crypto and Web 3 infrastructure startup. 
- Business model of relying on network effects and integration could be defensible. 
- Showing traction in user data, but heavily dependent on the success of crypto in general, at the moment.</t>
  </si>
  <si>
    <t>Yes, I participated in an accelerator program called Tachyon, from Consensys Mesh and Protocol Labs.
I really miss the sessions and office hours, I got a tremendous value from being in the accelerator program and would not have raised funds without them.</t>
  </si>
  <si>
    <t>Need to think about the market and customers
No vision</t>
  </si>
  <si>
    <t>+They have a developed product
-They have no revenue or contracts yet
-The team is small and not well developed
-No well-defined vision</t>
  </si>
  <si>
    <t>VER is shaping the future of eCommerce bringing frictionless, superfast and sustainable returns to everyone, anytime, anywhere. Because returning should be as easy as buying. 
REVER brings smooth, safe and frictionless returns experiences to eCommerces and consumers around the globe - we enable returns in 2 clicks and refunds in 24h.</t>
  </si>
  <si>
    <t>- Application fails to detail technical and business model moat. Only 1 slide in deck, and not enough info given. 
- Reached 1M euros in GTV in 6 months, and earned $50K in revenue. Showing some traction. 
- Backed by Sequoia Scout Program, which is a sign of validation from the fundraising side. 
- Team is well rounded and experienced in this area. 
- Reverse logistics could be considered for interview, cluster with other eCommerce or logistics startup.</t>
  </si>
  <si>
    <t>Eve World Platform Pte Ltd  _2022</t>
  </si>
  <si>
    <t>coto' (come together) is a web3-based social community platform, for women, shaped by women. It delivers on the vision of virtual sisterhoods, empowering young girls and women of all ages, to create strong meaningful  self sustaining communities, underpinned by the tenets of monetisation, governance, participative ownership and web3 token economy.</t>
  </si>
  <si>
    <t>- Extremely successful founder, Tarun Katial, with broad media tech and investment experience in India. 
- Great team of advisors as well. 
- Women centered Web 3 platform is centered on go to market, and not a tech play. Centered on India as its beachhead. 
- Not a fit with EFL.</t>
  </si>
  <si>
    <t>(-)Tech does not seem novel
(+)Raised alot of money
(+)Credible and experienced team</t>
  </si>
  <si>
    <t>Microsoft for Startup
Programa de Aceleración La Nave, Ayuntamiento de Madrid</t>
  </si>
  <si>
    <t>Levi Diagnostics, Inc. is a research and development startup specializing in the application of nanotechnology innovations in the biomedical field.
The company was incorporated at the end of 2019, with a mission of delivering revolutionary nanosensor technologies to government, private sector clients, and consumers.</t>
  </si>
  <si>
    <t>Solid tech and great tech team.  I worry that this is a tough tech to build a massively scalable business around.  Who will pay big bucks for this product? If we interview them, we will have to brainstorm ideas about how their tech can go beyond a licensing play.</t>
  </si>
  <si>
    <t>Tactical Therapeutics, Inc is a clinical stage private company in New York City developing Carboxyamidotriazole Orotate (CTO) for the treatment of malignant gliomas and solid cancers.  Five Phase I trials have been completed.  Company is doing a Series A financing round to  run Phase II trials in recurrent GBM patients as an orphan drug fast track</t>
  </si>
  <si>
    <t>Post pre-clinical/PI.  CEO seems to need business help.  We should interview.</t>
  </si>
  <si>
    <t>Interesting idea and seems like it could address a pain-point.  That said, large pharma can contract out clinical studies and I dont think it is a simple matter of matching patients with pharma.  Would like to learn more, but may have to pass on the idea for this year.</t>
  </si>
  <si>
    <t>EV charging platforms- constraints of DC fast-charging infrastructure
working lab prototype
need to show it can scale outside of the lab
a bit early</t>
  </si>
  <si>
    <t>+Compelling vision
+Credible team
+Good industry links
+Developed prototype</t>
  </si>
  <si>
    <t>perovskite solar cells
applied last year closed round and has 120 leads on a weighted sales pipeline of over $4M
can be applied to many surfaces as it's flexible and light
need to take into the real world</t>
  </si>
  <si>
    <t>+Well developed and credible team
+Novel technology
+Large potential market</t>
  </si>
  <si>
    <t>Yes,
Foresight Investor Readiness Workshop (Canada)
Spring Activator (Vancouver)
Creative Destruction Lab, Vancouver Cleantech
Coast Capital Savings Innovation Centre (University of Victoria)
VentureLabs tech undivided (Ontario, Canada)
Angels for Climate Solutions (Vancouver)
Earth Tech (Climate Ventures)
Deep Tech Pioneers (Paris, France)</t>
  </si>
  <si>
    <t>UCLA alumni team. A platform for a biomaterial that can be implanted near tumor and recruit and activate Killer T, and suppress Treg. This material is biocompatible and biodegradable. 
 Very cool technology. Comparable to Cell Harbor, but I think this one is more developed and validated. Currently they are highly focused on treating TNBC, I want to know more about the ability of the platform to expand into other cancers, and ask if there is any data/results on that.</t>
  </si>
  <si>
    <t>ESTV is world?s leading 24-7 esports television network which was launched in May 2019.  Currently, ESTV  broadcasts to over 50 countries worldwide. ESTV is available on all of major CTV, OTT and mobile platforms. ESTV currently owns and operates 4 linear 24-7 esports channels and 1 AVOD channel to target the growing Gen Z millennial demographic.</t>
  </si>
  <si>
    <t>- Building brand new business model of "Watch &amp; Earn Crypto" for esports gaming, following the play to earn trend in the gaming industry. 
- Gaining traction both in terms of 29M unique viewers as well as $1M projected gross revenue.  
- Founder very experienced both in startup advisory, esports, banking and investment. 
- Should interview.</t>
  </si>
  <si>
    <t>(+)The CEO has extensive experience in the gaming/Metaverse industry
(+)In 2022 they project $1 million in gross revenue with over $300,000 in EBITDA.
(+)Potential market large a predicted to grow
(+)The have a working app where users get NODLE Cash for watching
(+)Developing their own crypto currency 
(-)Might be a bit too early for crypto part of the business</t>
  </si>
  <si>
    <t>- Currently working on 5 PoC with pilots. 
- Going to finalize results and apply for a patent or publish it in CVPR.
- Slightly early for EFL. Should encourage to apply next year. Special reject.</t>
  </si>
  <si>
    <t>We have graduated from the MedTech accelerator program from the Institute of the Global Entrepreneur and we are currently in the MedTech Innovator accelerator program led by Paul Grant.  MTI will end in October so the timing would be perfect to start the EFL program.</t>
  </si>
  <si>
    <t>- Traction: 50+ brand partnerships live and 10+ brands going live soon. 200K+ downloads.
- Team: Founders with successful exit. Large team in India. 
- Science: might need more mentorship, how to use ML to design joyful and rewarding savings and turning savings into a habit.
-Should interview this startup.</t>
  </si>
  <si>
    <t>- There are too many startups and successful companies in this area.
- Not a tech play. 
- Not an EFL fit.</t>
  </si>
  <si>
    <t>Y Combinator
Axilor Accelerator</t>
  </si>
  <si>
    <t>- Revenue generating business in Poland that has a strong ESG mission. 
- Is not an area for EFL. Not a fit. 
- Also</t>
  </si>
  <si>
    <t>DiT
lending platform/ credit algorithms
lots of players what's unique</t>
  </si>
  <si>
    <t>Small molecule pre-clinical multi disease start up with $2 million direct to phase 2 SBIR  two year  currently in second year of SBIR</t>
  </si>
  <si>
    <t>Application is extremely vague. For example, this is its innovation: "Use blockchain to build a brand new platform that will create something that most companies have tried to create but failed at: trust."
- Not a fit for EFL. Do not interview!</t>
  </si>
  <si>
    <t>unlocks the innate ability of plants to become factories for medicinal compounds
good tech idea but not a lot of info
need to see the data 
plans to scale into production
what is the lead time?</t>
  </si>
  <si>
    <t>Deep Tech. Compare to CARI Health and invite one. This is a handheld POC device that uses an electrochemical based biosensor (patented) that quantitatively tests molecule levels in fluids. Validated in blood and urine samples at Johns Hopkins (no data provided). First is Vancomycin.  IP is well protected. Team from Oxford and ICL, with advisors from SOSV, J&amp;J and UC Berkeley.</t>
  </si>
  <si>
    <t>Our idea of LISSUN is to provide an end-to-end care continuum for Mental Wellness. We have a product-first approach for an issue-based end-to-end personalized solution for mental health. We start with diagnosis, followed by relief, treatment, then rehabilitation.  We deliver our services via our mobile application and in-house quality therapists</t>
  </si>
  <si>
    <t>- Definitely a much needed startup for the Indian Market. 
- Limited potential to expand to the US given how the thesis of life altering medical event/condition focused therapy is a part of large competitor's strategy here already.</t>
  </si>
  <si>
    <t>- Extremely technical inventors and founders. 
- Successful fundraising. 
- Spin-out from SRI. 
- Needs to do more work on customer discovery. Currently no customers, and still testing product with early adopters. 
- Could interview next year. A bit early for EFL.</t>
  </si>
  <si>
    <t>Was affiliated with SRI Ventures (https://www.sri.com/ventures/) in 2021. Pre-seed incubation.
See SRI announcement at: 
https://www.sri.com/press/sri-ventures-announces-new-spin-out-confidencial-to-secure-sensitive-information-and-collaboration-for-distributed-enterprises/</t>
  </si>
  <si>
    <t>- Solid fundraising and grant awards. 
- Major industry relationships and sizable ARR, which is almost doubling by year end to $2M. 
- Definitely has a product market fit but alternatives and competitors do exist. 
- Professional CEO with lots of business experience in the trucking space. 
- Should interview to learn about how large is the tech moat.</t>
  </si>
  <si>
    <t>Yes
Creative Destruction Lab (2016-AI, Toronto)
500Startups Batch 20</t>
  </si>
  <si>
    <t>Seems like a niche market.  Intubations are common but the uptake/benefit of this device is for difficult intubation procedures (25% of all intubations?).</t>
  </si>
  <si>
    <t>I presented at ACEP in a Shark tank format.    I won 2nd place, and Audience Pick and was invited in to Texas Medical center TMCi   - I did not apply, the accepted me, based on the pitch, and the audience of Doctors picking me.</t>
  </si>
  <si>
    <t>Competitive space.  Other than focus on aging, differentiation not clear.  Validation not clear. Good team with Atomwise founder.</t>
  </si>
  <si>
    <t>DiT
automated security analysis of IoT firmware
team sold last company to Swiss EXCEET Group</t>
  </si>
  <si>
    <t>+
1. good tech
2. good team
-
1. perhaps more info is needed, see Notes on Technology</t>
  </si>
  <si>
    <t>Eco-Panels is the proven leading innovator in the housing space for creating modular building products that reduce the complexity, effort and skill level typically associated with building a home.  An Eco-Panels structure will be stronger, safer and significantly more energy efficient than a traditional stud framed or cinder block building.</t>
  </si>
  <si>
    <t>- Grown revenue and pipeline since last application. 
- Has been validated with only 2 customers. Seeing a lack of customer discovery work and lack of funnel building in 1 year. 
- Not discussing competitive advantage vs. competitors.</t>
  </si>
  <si>
    <t>We're currently enrolled in NYU's Next Round Accelerator and work out of their Tandon campus in downtown Brooklyn
We also are a part of Antler's Accelerator program</t>
  </si>
  <si>
    <t>- Growing traction among clients and pilots. 
- Failed to discuss competition, such as Evisort, and how to establish moat.
- Team is well rounded: MBA, JD and CS.</t>
  </si>
  <si>
    <t>- App is not filled with care 
+ Startup idea sounds good but not much info is given in the application as far as details are concerned 
- No funds 
- No information on the team</t>
  </si>
  <si>
    <t>- Extremely early stage prototype. 
- Lots of competing products serving the same use case and customers. 
- Need a lot more customer discovery before applying to EFL. 
- Too early to apply. Can invite next year.</t>
  </si>
  <si>
    <t>materials and integrated circuits designed to build various products and devices at scale
long lead time in sales cycle
great tech
good team</t>
  </si>
  <si>
    <t>+Novel technology
+Team seems credible 
+Working prototype
+The have multiple patents</t>
  </si>
  <si>
    <t>- Solo founder with a team of 30. 
- Testing beta pilots with 15 entities and currently does not have revenue.
- Competitors include: CVechain, Origintrail, Tradelens, Traxens. 
- Seems still a bit early.
- Could cluster with IoT startups.</t>
  </si>
  <si>
    <t>Yes.
1. We've been accepted for Newchip accelerator: https://bit.ly/3DQrwHQ
2. We've been selected top 6 in the Microsoft's Century Program: https://bit.ly/3bi2epD
3. We've been accepted for the 1st round of European Innovation Council's Horizon Europe accelerator program: https://eic.ec.europa.eu/eic-funding-opportunities/eic-accelerator_en</t>
  </si>
  <si>
    <t>- Too early for EFL. Still at concept stage. 
- No customer discovery work and no customers and no revenue. 
- Should apply next year.</t>
  </si>
  <si>
    <t>iVoiceAfrica is an African language localization and content company, using language data to create solutions to reinvent how we share knowledge, tell stories, connect cultures, and communicate across Africa.
Our goal is to help companies to speak to emerging markets and connect individuals to their African heritage.</t>
  </si>
  <si>
    <t>DiT startup
AI localization and content database
Needs a business model
Needs calling and customer pipeline</t>
  </si>
  <si>
    <t>Hello Space presents cost effective new energy technologies and self-sustaining mobilities to improve cost performance of clean energy and energy efficiency of EVs  for promoting carbon neutralization, by providing superconductive EV platform and Smart E-bike featuring our patented new power method "MagDrive" does not require external charging.</t>
  </si>
  <si>
    <t>Team not strong, very few full time engineers. 
But, promising coporate partnerships efforts with hero bikes in india, and other manufacturing plans with Toyota Tsusho, Hero, NOA labs etc. However these are tentative names.</t>
  </si>
  <si>
    <t>J-Startup (JETRO)
Kumamoto Prefecture Next Venture Generation Support Consortium 
Plug and Play Japan
HAX Tokyo</t>
  </si>
  <si>
    <t>Pixchange  _2022</t>
  </si>
  <si>
    <t>- Innovation not differentiated enough from competitors. 
- 3D Animation too similar to Kinetix Tech. 
- No convincing go to market and not a tech play.</t>
  </si>
  <si>
    <t>DiT
SaaS platform for building applications that transform satellite imagery and supplementary data
lots of player in this space needs a moat
lean heave on customer acquisition</t>
  </si>
  <si>
    <t>+ 1. tech is valid and might address a real problem
2. already has clients with positive feedback
- 1. need more justification that the demand is real -- they can scale up from current clients
2. need more justification to their technical edge</t>
  </si>
  <si>
    <t>Cornell University McGovern Center for Life Sciences Development  (current)
Xlerate Health (accelerator w U of Louisville, Fall 2016)
Nucleus Launchit (general biz accelerator w U of Louisville, Winter 2016)</t>
  </si>
  <si>
    <t>Simskills is an AI simulator that helps employees develop their leadership&amp;soft skills, with a 100% practical method. SimSkills provides conversational avatars and real time feedback, to challenge employees from different sectors to  learn how to manage conflict, lead a team, give feedback, among others.</t>
  </si>
  <si>
    <t>Healthcare technology innovator providing Provider Network Management, Provider Data Management and Healthcare Analytics solutions for leading Health Insurance Payers.  Our focus is to enable Health plans and Providers to collaborate by streamlining the workflows between them powered by data.</t>
  </si>
  <si>
    <t>Trying to solve a real problem.  Solid team with prior experience in the space. $2 M in revenues.  But tech moat, differentiation and competitive advantage not clear.</t>
  </si>
  <si>
    <t>We graduated from the Salesforce Accelerator Cohort 12 this past fall which was specifically geared to help us accelerate our efforts on the Salesforce AppExchange.  We graduated and were formally recognized as one of the top 3 most engaged companies out of 23 and recently passed our Security Review and went live on the AppExchange which was the primary goal of the program. 
We are also an active member of Embarc Collective, Florida's fastest growing Technology Hub.  Embarc was founded by the Owner of the Tampa Bay Lightning, Jeff Vinik, and is more of an annual support hub with co-working space and coaches, vs. a "traditional accelerator".</t>
  </si>
  <si>
    <t>Platform technology.  Solid data for this stage.  Credible team.</t>
  </si>
  <si>
    <t>MaRS Discovery District 
Creative Destruction Labs</t>
  </si>
  <si>
    <t>- Not clear on the exact technical innovation here. Seems more like a platform giving wider access to high net worth investors' investment strategy and allocation.
- Seems like the beachhead is LatAm investors. 
- Does not seem like a fit for EFL.</t>
  </si>
  <si>
    <t>Not sure about this
takes a lot of capital to build EV cars and the infrastructure
Is minimal design enough
modularized production/assembly architecture
can it scale?</t>
  </si>
  <si>
    <t>+Building classy and minimalist Electric Vehicles with a modularized, rapid production model.
- Didn't get how they have +$16M pre-booked revenue when they charge $500 per each order and 175 orders are in existence. 
&gt; First product will be delivered in Q4 2022
&gt;one of the founders is female from NYU</t>
  </si>
  <si>
    <t>Ndal Biofilm Medical.
First drug is a new iteration of antibiotic to which bacteria cannot develop resistance.
Second drug is an antiviral drug, effective on Covid
Third drug an asthma therapy
Fourth drug, an antibacterial dressing</t>
  </si>
  <si>
    <t>Sounds like alternative medicine? Can't tell. 
1) Iteration of antibiotic to which bacteria cannot develop resistance.
2) COVID-19 drug
3)Asthma therapy
4) Antibacterial dressing
Can't find any info on founders. Nothing in the deck.</t>
  </si>
  <si>
    <t>customized PCB with an integrated solar power management system
solo founder
raised 3 million for 30% of equity</t>
  </si>
  <si>
    <t>+Credible team with well developed product and company
+USD$ 11M since company inception
-Might not be large enough a market or novel enough a product for EFL</t>
  </si>
  <si>
    <t>DiT 
realtime kitchen staff assistance via AI on video streams
bot novel tech but if they can capture market share could be big</t>
  </si>
  <si>
    <t>+ Real-time staff assistance via AI on video streams
+ AI-Powered Operational Platform for Kitchens
+ I feel the tech is good and can help a lot of restaurants in managing their peak time order 
+Team looks solid on paper 
+ Preseed: 3,000,000
+ Circled 3.7m out of 5m fundraising</t>
  </si>
  <si>
    <t>addresses known problem.  but may be a niche market.</t>
  </si>
  <si>
    <t>Company is early but founder is experienced.  Not clear though that the startup is a great fit with EFLs mission.  Pass on it.</t>
  </si>
  <si>
    <t>solid team, growing market, novel tech.  in cyber-security space attracting growing interest from our mentors</t>
  </si>
  <si>
    <t>The founder has been able to put together a good team and communicates the vision well (the deck looks pretty good).  It seems clear that customers do want very high-quality protection for their data, without a complicated interface.  The market is large.</t>
  </si>
  <si>
    <t>Intelpure  _2022</t>
  </si>
  <si>
    <t>concept stage.  exact product/idea is very loosely stated</t>
  </si>
  <si>
    <t>Won MIT Sloans Healthcare Innovation Price in March 2021
Won Activate Bio's Emerging Technologies Award in May 2021</t>
  </si>
  <si>
    <t>CognitiveMill? by AIHunters ? is the first-ever visual cognitive computing cloud platform for intelligent Media and Entertainment industry automation.
It analyzes video content with a human-like level of understanding ? but 50x faster and 5x less costly than a human ? makes decisions and acts upon video content in accordance with a business case.</t>
  </si>
  <si>
    <t>visual cognitive computing cloud platform for intelligent Media and Entertainment industry automation.
needs to prove the business case
unsure of the tech can do
the market is s bit small | app has a bunch of jargon</t>
  </si>
  <si>
    <t>+
1. tech is advanced and has been (partly) validated
-
1. competition in the area might be fierce
2. need more info, see Notes on Technology</t>
  </si>
  <si>
    <t>The founding team seems to be working on several startups at once; most are only PT on this one.  Company seems similar to Spiral Technologies but with less innovation.</t>
  </si>
  <si>
    <t>Nanotransfer is developing the next generation gene delivery system to be applied in gene therapies. Current delivery systems make gene therapies not applicable to all patients and are extremely hard to produce.
Nanotransfer's delivery system will solve those problems and let our customers to develop more gene therapies faster and cheaper.</t>
  </si>
  <si>
    <t>SparkLab
www.sparklab.com.ar
MassChallenge + IBM program</t>
  </si>
  <si>
    <t>Turn Plus Power LLC.  _2022</t>
  </si>
  <si>
    <t>Turn+
is an inflatable, portable, lightweight wind turbine.
Turn Plus supplies electricity for RVs using green energy of wind. The target customers are Rv owners. This electricity can power RV?s electrical system, giving the customers a sustainable off-grid power source. it produces power all day and night. Can be equipped with solar panel.</t>
  </si>
  <si>
    <t>Portable wind turbine
Too early if they can get a working product a crowdfunding campaign will help drive sales then scale to big partners</t>
  </si>
  <si>
    <t>-Very stage in their implementation.
-I am unsure about how they would scale.</t>
  </si>
  <si>
    <t>Could be big if it can scale
Good team women founder
Platform
Licensing those IPs from Harvard an issue?</t>
  </si>
  <si>
    <t>+ Working on one of the key pain areas in the food industry 
+ Looks like the team is capable of pulling off the solution with support 
+ Developed Pico Platform</t>
  </si>
  <si>
    <t>Still at the concept stage. 
No moat compared to established competitors such as OpenSea.</t>
  </si>
  <si>
    <t>Great and experienced team. Ex-Roche. Developing two drugs for neuropathy diseases.  Two drugs in pre-clinical stage with promising in-vivo and in-vitro results. Highly focused on exit opportunity.</t>
  </si>
  <si>
    <t>- Strong fundraising success!
- Market limited to the Indian consumer. 
- Not sure how our mentors might be able to assist.</t>
  </si>
  <si>
    <t>EV 2-wheeled utility for gig workers
Needs lots of capital and able to sell units</t>
  </si>
  <si>
    <t>+Passionate team
+Developed prototype
+Maybe too early
-Large established competitors</t>
  </si>
  <si>
    <t>DiT
abandon cart for online stores by predicting the reasons and displaying behavioral messages
tech is simple
What's the moat?
Need to scale quickly to capture market</t>
  </si>
  <si>
    <t>+Credible team with credentials and experience in their field
+100k in MRR
+Have interest from Shopify to invest
+Clear painpoint</t>
  </si>
  <si>
    <t>MIT Delta V
Mass Challenge
MassMedic IGNITE 
Creative Destruction Labs - Neuro Stream</t>
  </si>
  <si>
    <t>- Successful raised $5.2 in seed round. 
- In a really competitive market, with lots of large players. 
- If there are no other cross-border payment companies, can interview this one. 
- Just launching in August.</t>
  </si>
  <si>
    <t>DineUps  _2022</t>
  </si>
  <si>
    <t>It's very early days for this company and the founder.  But EFL could help with connections and advice.  It is always nice to support mission-driven ventures and perhaps this mission needs to be integrated more into the pitch.</t>
  </si>
  <si>
    <t>+Platform delivers an innovative, context-aware security Implementation of NIST's Zero Trust architecture over cloud-delivered development environments
 + Broadcom and WeBank are using this tech and we are getting significant traction ahead of the official release of our public SaaS for the SME market</t>
  </si>
  <si>
    <t>In 2021 we participated in the Swiss Cybersecurity startup programs Tech4Trust at EPFL and came in as the second best startup within the Tech4Trust program (out of 60).
We are also supported by Innovaud, an agency that promotes innovation and economics in the Swiss canton of Vaud, as well as Innosuisse, which guides SMEs, start-ups and other Swiss organizations in their R&amp;D activities.</t>
  </si>
  <si>
    <t>DiT startup
Could be difficult to raise funds
Need to prove the tech can scale in the real world</t>
  </si>
  <si>
    <t>+Good Idea.
-Needs Tech validation.
-A capital intenstive business.
-Good Fit for next time.</t>
  </si>
  <si>
    <t>- Solid and highly technical team with strong scientific approach. 
- Seems slightly early (proof of concept stage only) by not having enough customer discovery work done. 
- Could really benefit from the EFL's mentors</t>
  </si>
  <si>
    <t>+Develops climate intelligence solutions to quantify the impacts of climate change on buildings
 + Combining existing climate models and databases to produce easily accessible climate intelligence.
 &gt; Can call for an interview to see how exactly they are doing the climate assessment cause app info is not in detail
 &gt; Female founder
 - Need to raise funds</t>
  </si>
  <si>
    <t>- Would give it a 4.0 if the names of the potential clients are mentioned.
- TFCD (Task Force on Climate-Related Financial Disclosures) compliance, for most the G20 countries, are voluntary. It is mandatory in UK, Japan, New Zealand and Switzerland.
- Product Market fit should be clear because it is serving the sector that cannot get traditional reporting costing over $100K. 
- The biggest flaw in this application is that there is no customer discovery work mentioned. Really need to find that out in the interview. 
- We should at least group this startup with the other climate startups in DiT and revisit.  
- Worried that this startup might not be able to compete with Cervest and others, because of its late start and lack of funding.</t>
  </si>
  <si>
    <t>- Application does not have key information. 
- Should invite to apply to EFL next year. 
- "Have not yet tested an approach to the software stack we plan to eventually build."
- Hunter is a successful fintech founder with a high profile exit.
- Promising startup but application too early.</t>
  </si>
  <si>
    <t>- If the focus is on India's SME, then it is not an area for the EFL. 
- Other than that, great traction and good fundraising results.</t>
  </si>
  <si>
    <t>YCombinator
Techstars
1871 Supply Chain Innovation Labs (Accenture supported)
McK Early Stage Ventures</t>
  </si>
  <si>
    <t>BPAnalitycal  it's a biotechnology  and nanotechnology  company constituted to investigate and design unique products for the agricultural sector. Our biological products are  indicated to control pests and diseases with high impact on crops. They are biodegradable, do not generate damage to the environment and human health and are highly effective</t>
  </si>
  <si>
    <t>a microcide, sanitizer of fruits and vegetables, obtained through nano-emulsified plant extracts and biocidal action
needs to get past regulations and build on the business pipeline
get more customers
not fundraising?</t>
  </si>
  <si>
    <t>- Very strong traction. 
- Not a typical area for EFL. 
- Not innovative in its tech.</t>
  </si>
  <si>
    <t>- Too much risks associated with this business model, such as student safety. 
- Not an area for EFL</t>
  </si>
  <si>
    <t>analyzer for multiple chemicals fluids used for agriculture
need to scale sales team</t>
  </si>
  <si>
    <t>+Passionate and credible team
+Received lots of funding and won startup competitions 
-Small Serviceable Obtainable Market</t>
  </si>
  <si>
    <t>Previous: 
HAX accelerator by SOSV
Luminate Accelerator by NextCorps
Rockstart AgriFood Program</t>
  </si>
  <si>
    <t>- Showing market traction already after launch in 2021. 
- Intention to expand beyond Africa in 2026. 
- AI and local network to predict social risks to organizations before they happen.</t>
  </si>
  <si>
    <t>Emani was born after our experience with Antler UK's accelerator program in late 2020 (https://www.antler.co/).  We received 145,000 USD from Antler at the end of this program. We were also 1 of 10 female led start ups (selected from 260 applications) that completed Batch 7 of the Grow F accelerator supported by Female Founders (https://www.female-founders.org/category/grow-f/), one of Europe's top 10 female led accelerators. Currently we are not participating in any other program.</t>
  </si>
  <si>
    <t>Phinomics uses circular DNA, an early marker of genetic and environmental change, to diagnose disease and radically improve human health.  By isolating and sequencing the circular genome ("the circulome"), we solve a genetic puzzle that unlocks a universal ?stage-zero? diagnostic for disease. At scale, circulome data will revolutionize diagnostics</t>
  </si>
  <si>
    <t>SecureCHEK® AI is a SaaS solution powered by AI (ML/NLP).  Regulated product advertising costs too much and takes too long to implement because marketing processes are manual.  SecureCHEK AI transfers time-consuming, repetitive marketing tasks from humans to tech for the greatest efficiency, making promotion 30% cheaper and 3X faster.</t>
  </si>
  <si>
    <t>Great customer discovery work. 
Not a fit for EFL.</t>
  </si>
  <si>
    <t>OYA creates the only Femtech-powered athleisure apparel which supports women?s health  by create a healthier epidermal environment through its patent-pending designs.</t>
  </si>
  <si>
    <t>- Solid product market fit.
- Highly technical team but only part time for now. 
- Already validated technology and gaining traction.</t>
  </si>
  <si>
    <t>University of Cincinnati 1819 UC Ventures pre-accelerator - we went through their short program, recruited Mark Dorfmuller, our Entrepreneur in residence, and received a small grant for customer discovery/commercialization.
We went through NIH iCorps program last summer. There we conducted 100+ customer discovery interviews  and developed our business model. This was a huge help in getting our phase II NIH grant.</t>
  </si>
  <si>
    <t>Peptris is an AI powered drug discovery company. We are leveraging our AI solutions to create high value pre-clinical assets.
We are developing a machine learning platform to predict small molecule-protein and protein-protein interactions to discover small molecule/antibody/protein-based therapies.</t>
  </si>
  <si>
    <t>Incubated at CCAMP, Bangalore, India.
Part of  IIT Cohort 8 for fund raise</t>
  </si>
  <si>
    <t>- The product market fit could be very broad. 
- Product is going through pilot testing.</t>
  </si>
  <si>
    <t>- Very well connected and experienced team in the industry. 
- Current product developed and acquiring customers with pilots.</t>
  </si>
  <si>
    <t>Dana Fintech does embedded  for network platforms, to solve SME loans, Buy Now Pay Later and Credit Scoring of unbanked and underbanked customers, providing alternate credit scoring channel to lenders which eases the underwriting process and gives access to credit for end users.</t>
  </si>
  <si>
    <t>- Early timing in the country's fintech industry
- Not a country where EFL has expertise.</t>
  </si>
  <si>
    <t>+
1. interesting idea
2. strong technical talents in team
-
1. need more justification of the tech used</t>
  </si>
  <si>
    <t>- Saturated marketplace, easy for established players to pivot to this space. 
- Technical moat and business moat are both unsecured.</t>
  </si>
  <si>
    <t>- Should interview about about other brands in the pipeline to launch after the Chilean Handball Federation.
- Team has multiple startup experience.</t>
  </si>
  <si>
    <t>+
1. already up&amp;running with some clients
-
1. not a tech play</t>
  </si>
  <si>
    <t>carecircle: a hyperscale platform connecting science and patients.
The largest secure, trusted consumer global healthcare network ? a safe, anonymous space for discussions, supporting medical research, and empowering people to take control of their health.
Aspects of carecircle exist? but carecircle is the only place where they all come together</t>
  </si>
  <si>
    <t>- How is this more advanced than EndPoint Health or FlatIron Health for selling data to pharma companies? 
- Will users be willing to transition to this system or just stay on the current communities in Facebook for example. Need to get more validation. 
- Should interview this company to find out.</t>
  </si>
  <si>
    <t>1. good idea
2. good implementation
3. validated through user
-
1. tech isn't proprietary</t>
  </si>
  <si>
    <t>We have been part of the Microsoft Startup program.
Our application to the Microsoft accelerator program (Pegasus) has been accepted.</t>
  </si>
  <si>
    <t>- Website not functioning
- Concept testing stage right now.  
- No traction yet. 
- Too early for EFL.</t>
  </si>
  <si>
    <t>- Not large enough of a technical moat. 
- Not enough traction and customer discovery work done.</t>
  </si>
  <si>
    <t>+  B2B SaaS that enables corporates to implement data-driven diversity strategies
 &gt; I think few companies are using certain techniques in this field of maintaining diversity ratio already and won't be that huge market share to capture
 &gt;AI solution is a screening tool, that leverages NLP techniques to rank &amp; score applicants with respect to three key criteria: Skills, Experience &amp; Diversity. 
 - Need to acquire more custmers</t>
  </si>
  <si>
    <t>- Too early for the EFL. 
-  Need to gain further traction on the paid user front, or change business model.</t>
  </si>
  <si>
    <t>- Too many competitors.
- Not enough clear moat.
- Not enough traction.</t>
  </si>
  <si>
    <t>+ Founder has startup experience and female founder worked in Facebook before 
+Capable team with experience from top tech companies in the division</t>
  </si>
  <si>
    <t>- Strong traction already showing through revenue. 
- Founders have EU Law PhD, so could expand business into labor law compliance and employee protection.</t>
  </si>
  <si>
    <t>FirstWork LLC  _2022</t>
  </si>
  <si>
    <t>- Beginning to see early traction. 
- Founders are well rounded in both therapy and software development. 
- Concerned about how to create technical moat. 
- Should invite team to interview next year.</t>
  </si>
  <si>
    <t>Yes, they are listed below:
Wharton's Venture Initiation Program Incubator(VIPc): Spring 2022
Wharton's Venture Initiation Program Accelerator(VIPx): Summer 2022
University of San Diego Knauss School of Business Accelerator(FEI): Summer 2022</t>
  </si>
  <si>
    <t>Over-water drones that are fast, efficient, zero-emission
Could be too early
Need to build MVP to test
Long lead time with government regulations</t>
  </si>
  <si>
    <t>+Strong Longer term vision.
+ Strong business model including government and defense partnerships, and commercial logistics.</t>
  </si>
  <si>
    <t>Patch / Label that monitors the quality of foods
Needs to show this product can scale 
Validate it can work across products in the real world</t>
  </si>
  <si>
    <t>+Good idea
+Credible and passionate team
+The have a patent</t>
  </si>
  <si>
    <t>We are currently not in any acceleration program so the team has the possibility of combining their work with the EFL program. We have participated in;
- EIT Climate KIC Accelerator, phase I and phase II. 2019-2020
- CreativeDestructionLab, program in the ?CDL -Climate? subdivision.  2020 ? 2021 
- Acceleration in the ?EIT Food Accelerator Network? program in 2021.</t>
  </si>
  <si>
    <t>Swappable batteries, with multiple uses
Very early
Needs a business model
Get MVP</t>
  </si>
  <si>
    <t>+Founder has renewable energy project experience
-Team very small
-Too early for EFL</t>
  </si>
  <si>
    <t>- Need to understand how it is differentiating from competition. 
- Has the potential to generate vast amount of data on patient diagnosis and treatment progression. 
- Need to interview to see if this is an area. If so, there is great potential for an AI powered treatment supplementary tool. 
- Should interview this team.</t>
  </si>
  <si>
    <t>- Cure for autoimmune diseases like sickle cell anemia, MS, and diabetes. A treatment using immune cells from a half-matched donor (parent or sibling) to establish a stable ?mixed chimerism? where both the donor and patient immune systems co-exist in the patient. Following a radiation-free, mildly ablative conditioning to reduce, but not eliminate, the patient?s immune system cells, processed donor cells are infused and engraft in the patient?s bone marrow to ?reset? the patient?s immune system and restore central and peripheral immune tolerance.
- A Phase I human clinical trial at the City of Hope demonstrated safety of mixed chimerism in three patients, and gradual expansion of naïve T cells in one patient, indicating that these cells were tolerized to each other.
- 3 U.S. Patent Applications Filed, 1 PCT Granted.
- Advisors are professors at City of Hope. No fundraising or grants - it seems they have a relationship with City of Hope who paid for the clinical trial and recruited patients, and that this relationship is ongoing. CEO is only full-time founder.</t>
  </si>
  <si>
    <t>A platform for planting hematopoietic stem cells (HSCs)  from a half-match donor (siblings or parents) to BM of the autoimmune patient, which makes it able for both immune systems to co-exist in the patients' body. It has a radiation-free, mildly ablative conditioning step to decrease, but not eliminate the patients' own immune system activity. Part-time team. Technological innovation can't be seen, and it is a clinical process innovation. They are not currently focused in a specific application to make a business model for it and instead they have several potentia business models and studies ongoing.</t>
  </si>
  <si>
    <t>- No technical moat that is defensible. 
- Too many competitors. 
- Decent traction.</t>
  </si>
  <si>
    <t>CO2 Lock Corp.  _2022</t>
  </si>
  <si>
    <t>CO2 Lock is developing a carbon storage technology using the most CO2-reactive mineral (brucite) to help companies achieve their net zero commitments.  We will develop large-scale, geologically permanent, verifiable and affordable (&lt;US$100/ton ex-carbon) CO2 storage projects for companies to either directly store their carbon, or acquire offsets.</t>
  </si>
  <si>
    <t>carbon storage technology using brucite
too early and high risk of not proving the tech works
invite next year</t>
  </si>
  <si>
    <t>+CO2 storage projects for companies to either directly store their carbon or acquire offsets.
-In the concept phase, No customers yet Too early? Can check for next year</t>
  </si>
  <si>
    <t>Metavent is for companies hosting all-hands meetings for teams of 2,000 people who need fully engaged, aligned and inspired teams.  We provide a dimensional sense of place that feels relatable and is customizable, where attendees control the journey and connect in large or small groups and 1:1, so hosts can bring teams into alignment.</t>
  </si>
  <si>
    <t>- The world is cutting back on virtual events coming out of the pandemic. 
- Revenue from live event business and cashflow is supporting growth, but not intended to be a long-term offering or strategy of the business.
- Not sure about its moat from user adoption perspective.</t>
  </si>
  <si>
    <t>+
1. good tech with validation
2. good team setup</t>
  </si>
  <si>
    <t>- Slightly early, but promising technology.
- Likely to be acquired by a larger player in the field. 
- Too much competition if going the 2C route. 
- Invite next year.</t>
  </si>
  <si>
    <t>DiT
like halla but less further along</t>
  </si>
  <si>
    <t>Digital Tech Venture
+Experinced founder in developing ventures.</t>
  </si>
  <si>
    <t>Cranium Incubator 2020 - https://cranium-incubator.com
Bronze Valley Accelerator 2021 - https://bronzevalley.com/ 
Techstars Farm to Fork 2021  - https://www.techstars.com/accelerators/farm-to-fork 
Velocity Accelerator 2022 - https://innovationdepot.org/program/velocity/ 
Google?s Founder Academy 2022 - https://startup.google.com/programs/founders-academy/</t>
  </si>
  <si>
    <t>- Outstanding team
- Showing traction already 
- Fundraising and grant success
- Product market fit is relevant in a hybrid work environment</t>
  </si>
  <si>
    <t>Too early for EFL.
Should apply again next year.</t>
  </si>
  <si>
    <t>- Strong fundraising 
- Good market potential already with strong ARR growth trend. 
- Should interview</t>
  </si>
  <si>
    <t>Berkeley's Skydeck.
bridge-builders (Coca cola, Mercedes).
Deloitte launchpad</t>
  </si>
  <si>
    <t>Etimo  _2022</t>
  </si>
  <si>
    <t>sustainable materials made out of organic waste such as coffee grounds 
no real tech
not a gfit</t>
  </si>
  <si>
    <t>+Passionate team
-Tech not very novel
-Might be too early</t>
  </si>
  <si>
    <t>Camila Castro, founder and CEO of the company,  has participated in the Biosummit fellowship program 2021. 
This year we are being affiliated to the CEDEX incubator of the UP University of Buenos Aires, with whom we have obtained State financing from the national government from the Ministry of Productive Development to develop the coffee cups and all the laboratory tests.</t>
  </si>
  <si>
    <t>Part of the Cohort Selected for the Ghana 2021 SME Business Masterclass on LinkedIn. a multi session program designed to help SME companies in Ghana build digital resilience, marketing intelligence and effective business development scaling techniques. 
Also Startup Lab Pitch presenter in the 2020 Ghana Tech Summit.
Offered $250+ in credits and perks from major Tech companies.</t>
  </si>
  <si>
    <t>Not a fit for EFL. Product market fit is unclear.
If patients are already not capable of following medication schedules, then how can they be expected to fill out the survey?</t>
  </si>
  <si>
    <t>Wyblo srl  _2022</t>
  </si>
  <si>
    <t>Still at concept stage. Need to apply next year. 
Approach of technology is interesting. 
Founders have some startup experience.</t>
  </si>
  <si>
    <t>- Extremely vague product-market fit
- Application does not provide enough clear information</t>
  </si>
  <si>
    <t>- Great traction. 
- Could be deployed for Spanish speaking community in the United States. 
- Spanish version of Spring Health</t>
  </si>
  <si>
    <t>The target market is focused on Spanish speaking population(could be both advantage and disadvantage)
The customer base and found raising progress look promising</t>
  </si>
  <si>
    <t>Not a fit for EFL. 
Niche market and will not scale.</t>
  </si>
  <si>
    <t>- Solid LatAm employee up-skill training website.  
- Good traction with corporate customers
- Expansion to US is hard, because of competition. 
- Unsure how EFL mentors can help.</t>
  </si>
  <si>
    <t>+
1. up&amp;running with sizable clients
-
1. tech isn't novel
2. fierce competition</t>
  </si>
  <si>
    <t>- Serial founder in education tech space
- Strong ability to fundraise from start investors
- Demonstrated traction 
- Strong revenue</t>
  </si>
  <si>
    <t>+
1. good idea addressing a known problem
2. team has talents
-
1. need more info/justification of their technical setup</t>
  </si>
  <si>
    <t>Wise Qatar
USC EdVentures</t>
  </si>
  <si>
    <t>Not differentiated enough.
No tech moat.</t>
  </si>
  <si>
    <t>MAE  _2022</t>
  </si>
  <si>
    <t>- Solid team technically with startup exit. 
- Proof of traction. 
- Did customer discovery work through interviews and recorded videos. 
- Should interview to ensure there is true technical moat.</t>
  </si>
  <si>
    <t>Digital tech. Platform to manage oncology patient data and get them treatment faster. No patents. Tech is derivative, but they have some traction. Currently manage +122,000 patients with +300 daily users, and certify their solutions under different standards (HIPAA / GDPR / ISO 27001-27002).  No standouts on the team.</t>
  </si>
  <si>
    <t>Revolute Robotics creates inspection robots for inaccessible places. 
Our Hybrid ground &amp; aerial robots replace the need for dangerous confined space inspections using a robotic inspection platform that navigates where no other robot can.</t>
  </si>
  <si>
    <t>Round drones that can fly and roll on the ground
is there a moat design is not enough
need to get to MVP and show it's better than competitors</t>
  </si>
  <si>
    <t>+ Creates inspection robots for inaccessible places. 
+Small scale Prototype in place
- Pilot is not in place and MVP should be started 
- Lot of work is already being done in terms of autonomous monitoring or remote monitoring of gas pipelines in arteria service-based company 
+A robot that can switch between rolling on the ground or flying</t>
  </si>
  <si>
    <t>Modernly Nerdish  _2022</t>
  </si>
  <si>
    <t>Not clear what their unique innovation is.   Too early.</t>
  </si>
  <si>
    <t>- Strong product market fit and showing traction with customer acquisition in UAE
- Need to understand real differentiation compared to competitors 
- Highly technical team</t>
  </si>
  <si>
    <t>shapeable all-solid-state supercaps
in the concept phase but has been tested in lab
need to show it works in the real world
good team</t>
  </si>
  <si>
    <t>- Still in the concept phase 
+ Would be really interesting to see if this succeeds in developing the tech as I have seen in the industry when working as a design engineer how painful to design everything based on supercaps shape and size
- Came early to EFL?</t>
  </si>
  <si>
    <t>- Great technology and highly technical founders
- No customer discovery work shown on application, and so it is unclear if the innovation holds any value proposition for customers.
- Should invite for next year.</t>
  </si>
  <si>
    <t>+
1. advanced tech, partially validated
2. good team with excellent talent</t>
  </si>
  <si>
    <t>Utilizing Blockchain for healthcare record system. we want to give people ownership of keep, monitor and track their medical data, Health organizations share data to blockchain, transactions are completed and uniquely identifiable, health organizations and institutions may directly query the blockchain, and than patients can share information later</t>
  </si>
  <si>
    <t>a little too early.  also competitive space.  nyu founders.  special reject + invite for next year.</t>
  </si>
  <si>
    <t>No deep technical moat.  Not a fit. Not clear EFL advisors can help with growth in distant markets.</t>
  </si>
  <si>
    <t>While the biggest challenge in audio content is discovery, 
Podi.ai is the 1st promotional platform using AI to connect audiences with audio content at scale.
We use contextual targeting to make it easy for creators to reach their audience with minimal efforts
while the listeners will enjoy discovery experience on the go.</t>
  </si>
  <si>
    <t>- Not clear how startup will compete with current established players in the market. 
- Limited information on scale of the customer discovery work, and have not tested out solution with customers on their U.S. list. 
- Too early for EFL.</t>
  </si>
  <si>
    <t>(from unknown reviewer) - Go to market is too early. Not enough validation work done. 
- Heavy competition from AI teams of current large podcast providers. 
- Too early for EFL.</t>
  </si>
  <si>
    <t>- Highly impressive tele-health platform for skincare
- Provider of continued care and customized medication which meets unmet market demand
- Strong execution with 100K patients treated</t>
  </si>
  <si>
    <t>SPECIAL REJECT. Referred by Boris Oklander (Co-Founder &amp; CTO, C2i-Genomics). PROtein Modification Integrated Search Engine (PROMISE). ML-based platform for analyzing epiproteomics to manage autoimmune diseases' patients. Great science but too early for this year. 0 funding. Weizmann Institute spin-out. Too early in product development, but science is well-grounded. Great team. No data and validation is shared.
Basically, they have not started yet!</t>
  </si>
  <si>
    <t>nami is an AI sensing platform and ecosystem built to scale robustly and interoperate seamlessly with other IoT vendors.  Combining exclusive WiFi Sensing platform with machine learning principles, nami transforms smart homes and commercial buildings into intelligent spaces that are aware of their occupants and proactively respond to their needs.</t>
  </si>
  <si>
    <t>no tech
creation of dye processes that not only reduces wastewater and dye materials released into the environment
not a fit for EFL</t>
  </si>
  <si>
    <t>solving real need in a niche, but large, market.  experienced team.</t>
  </si>
  <si>
    <t>In their deck they say they have partnerships with Stereotaxis (their main US competitor), Siemens, Philips, GE - no details 
Would like to see the actual data</t>
  </si>
  <si>
    <t>Solid company addressing genuine need.  Upside limited.</t>
  </si>
  <si>
    <t>NYU Elab Startup Bootcamp
Clinton Global Initiative University
Blackstone Launchpad Fellowship
NYU Stern Venture Studio</t>
  </si>
  <si>
    <t>They made a cool video and it is really nice to be able to see a demo.  The team is experienced and they have created an impressive MVP.  The market is large and they seem to be out in front when it comes to the education space.</t>
  </si>
  <si>
    <t>software that makes it possible to perform ultrasound scans
they need trial data and a business model that can scale
licensing model is tricky</t>
  </si>
  <si>
    <t>+Credible and passionate team
+Compiling vision and roadmap
+Novel and propriety tech
+MVP and trials with hospital
+Large potential market</t>
  </si>
  <si>
    <t>Cyberport in hong kong 
https://www.cyberport.hk/en/about_cyberport/cyberport_entrepreneurs/cyberport_incubation_programme
Mobile Only Accelerator MOX
https://mobileonlyx.com/</t>
  </si>
  <si>
    <t>Progressive Generation Is a mass digital content and entertainment conglomerate, which owns the biggest library of original Arabic children's content in the MENA region 
 according to the registered Production &amp; Distribution Associations in KSA, Gulf Region, Egypt &amp; Jordan.</t>
  </si>
  <si>
    <t>digital content owner.  not a fit for us.</t>
  </si>
  <si>
    <t>Y Combinator, S21 cohort. They said "We postponed our Demo Day, because we pivoted at the end of the batch and settled on mRNA manufacturing idea in January 2022"
They didn't show any data</t>
  </si>
  <si>
    <t>We went through Y Combinator (S21 batch, still in a stealth mode). We postponed our Demo Day, because we pivoted at the end of the batch and settled on mRNA manufacturing idea   in January 2022. We are admitted into Wheels UP Health Security accelerator organized in cooperation with BARDA.</t>
  </si>
  <si>
    <t>PhoneOptika is developing SCREEN EMBEDDED READING GLASSES called iGlass which can be used as an add-on thin film for mobile phone display. 
A revolutionary optical technology that eliminates the need of using reading glasses while using digital display. The target customers are more than 1B people above 40 year old that use reading glass.</t>
  </si>
  <si>
    <t>hardware and software technology to get rid of inconvenience of opening and closing the doors &amp; windows manually
not a novel tech</t>
  </si>
  <si>
    <t>+Large potential market 
+Credible team
+The have revenue  $6,600/month
-Not compatible with all windows</t>
  </si>
  <si>
    <t>Deep Tech startup. Solid team + intriguing claims.  Could be promising if validated.  Invite for next year.</t>
  </si>
  <si>
    <t>They were invited for an interview, what happened?
Improvement from last year: "We've gotten our patent, strong data for 2 different customer applications, and have achieved profitability"
Were at SOSV's Indiebio, Creative Destruction Labs</t>
  </si>
  <si>
    <t>California Cultured is using cellular agriculture  to liberate the coffee and chocolate industries from ruthless production practices that incentivize deforestation and child slavery. Our products will be resistant to climate change, which is threatening the existence of these industries, and allow customers to enjoy their favorite foods guilt free</t>
  </si>
  <si>
    <t>healthier chocolate and coffee from a single cell
applied last raised some funding, need to scale up
building a facility
women on the team</t>
  </si>
  <si>
    <t>+Healthier chocolate and coffee production from a single cell at a highly competitive price point with 99% less pollution
+Mass producing using developed bioreactor technology.
+ Founder from NYU 
+ Secured 5M in funds and raised 5m out of 11M fundraising campaign round 
+ Team seems credible</t>
  </si>
  <si>
    <t>Novel approach.  PLatform promise -- could help treat hard to treat cancers if it works. They need help optimizing for their lead indication and fund-raising</t>
  </si>
  <si>
    <t>There are a few questions that I would like to ask this company: 
- What type of customers have they already acquired - their size, customer retention rate? 
- Why are the monthly expenses so high? 
- More about the advisory board and the founders experiences</t>
  </si>
  <si>
    <t>This is a big market with plenty of room for innovation.  They have some good traction so far, both with clients and investors.  But can they fight the competition as they scale and become a threat?  I think they are overstating the team's experience - I am sure they would benefit from the program.</t>
  </si>
  <si>
    <t>eWitness aspires to be the world's most trusted brand when it comes to preserving and verifying integrity, provenance, and copyright of digital images and videos.
Our blockchain based technology reduces time and cost to authenticate digital images and videos. Users retain privacy and complete control of their contents.</t>
  </si>
  <si>
    <t>This is a high 3.  It would be nice to support an academic team that has done a lot on limited resources.  They will have learned a lot from the NSF iCorp program but EFL will help take them to the next level.  they also need help getting their license from CUNY.</t>
  </si>
  <si>
    <t>Breeze provides real-time web alerts so that companies can keep track of their brand, competitor, customer, vendor or similar mentions along with being current on inventory, pricing, or industry trends.
e.g., EFL mentions in July, https://breezethat.com/?q=after%3A2022-07-01+before%3A2022-08-01+%22endless+frontier+labs%22</t>
  </si>
  <si>
    <t>A bit too early.  Would like to see more traction.</t>
  </si>
  <si>
    <t>Truffle Health saves patients and employers money on medical care by detecting and correcting errors, overcharges, and fraud on medical bills.
Truffle Health saves patients and employers money on medical care by detecting and correcting errors, overcharges, and fraud on medical bills.</t>
  </si>
  <si>
    <t>- Product market fit can be very strong if implemented correctly. This could be both a DTC product as well as an enterprise SaaS product for companies to offer to their employees. 
- Team has technical expertise. Product is designed and going through user testing.  
- Recommend an interview considering the nature of the product market fit.</t>
  </si>
  <si>
    <t>catch overcharges on your medical bills that you don?t have to pay for
already players in the spa e
early the next few months will be crucial</t>
  </si>
  <si>
    <t>+Design, geometry and self-ballasted nature of the Solar Station
+Creating Solar Station, a modular, portable EV and Micro mobility charger ready for any location
+Team looks good and the founder has startup experience
- need scale fast</t>
  </si>
  <si>
    <t>smart glove that helps hand strengthen grip
sell to direct customers?
need to scale up business pipelines and sales</t>
  </si>
  <si>
    <t>+Large well developed team
+Developed product
+Already selling some gloves
-Potential market not very large</t>
  </si>
  <si>
    <t>+Have 44571
+Tech novel
-Might be to early for EFL</t>
  </si>
  <si>
    <t>Unmet need with no treatments.  Some positive effect data from mouse models. Competitive space.  First time founders. Their Series A may be a heavy lift.</t>
  </si>
  <si>
    <t>Very competitive space.  Some validation but need more.  Question comes down to why company cannot start its own fund rather than allowing all to access. Special reject please as 2 EFL mentors are involved.</t>
  </si>
  <si>
    <t>Highsy, Inc. develops ethical-tech, designed to mend the broken relationships between people and all aspects of their society. 
Highsy, our first product, is a bi-directional decision-making engine designed to cultivate a more consumer-conscious economy by helping people and businesses improve their decision-making for the common good.</t>
  </si>
  <si>
    <t>No tech.  Not sure consumers want to outsource their ability to think for the good.</t>
  </si>
  <si>
    <t>Yes; we are affiliated with two Tampa-based companies that do no prohibit us from joining others: 
- Embarc Collective (Tech Hub)
- Tampa Bay Wave (Accelerator)</t>
  </si>
  <si>
    <t>robots that can handel fruit and vegetables that are highly perishable
what other applications can this have?
need to scale up</t>
  </si>
  <si>
    <t>+Novel tech
+Credible team
+Good idea and large addressable market</t>
  </si>
  <si>
    <t>Yes
I3P - Incubator of Politecnico di Torino (First public incubator in the world)</t>
  </si>
  <si>
    <t>Tough to predict outliers with AI.  Competitive space with several failures.  We would need more validation or traction before considering.</t>
  </si>
  <si>
    <t>We graduated from the RICC Centre, Altitude Accelerator!
https://altitudeaccelerator.ca/</t>
  </si>
  <si>
    <t>SanChip is combining Lab-On-Chip technology with AI to help industrial machinery owners implementing Predictive Maintenance and Industry 4.0 strategies. These enable early failure detection and increased uptime, reduced lubricant waste and increased reliability, which mean:
- higher profits
- reduced carbon footprint
- improved safety.</t>
  </si>
  <si>
    <t>DiT
AI for real-time, multi-parametric, automated condition monitoring and realtime maintenance
Has pilots and ready to take into production</t>
  </si>
  <si>
    <t>+combining Lab-On-Chip technology with AI for real-time,
multi-parametric, automated condition monitoring.
- Company need more funds and customers as it has full scale ready to use</t>
  </si>
  <si>
    <t>+Funding from DOE of $200K
+SBIR Phase 1
+Affliations NSF-I corps, Plug, and Play
- Supply chain failures
Worth to call for interview, considering their revenue, their founder's research background</t>
  </si>
  <si>
    <t>Yes.
StartX, Plug and Play (Silicon Valley and Japan), Creative Destruction Labs, NSF I-Corps.</t>
  </si>
  <si>
    <t>Upword's mission is to transform content into knowledge. Today it's broken due to challenges of information overflow and the "forgetting curve". Upword is for knowledge workers: Students, doctors, writers etc.
How? One place to manage your knowledge workflow: Summarization, capturing, organizing &amp; streamlining your knowledge.</t>
  </si>
  <si>
    <t>DiT 
quickly capture key ideas using AI-powered notes and create personalized &amp; summaries</t>
  </si>
  <si>
    <t>+Passionate team
+Developed product
+Some revenue
-Tech does not appear novel
-Market not proven</t>
  </si>
  <si>
    <t>They sound like they took over a very ambitious goal and I am not sure if they have solid products 
They show some data but it is very minimal and they give little info in the validations. I would interview them but ask all of these questions</t>
  </si>
  <si>
    <t>UP spin-out. Good team. Tech is not patentable. Military application and DoD grant. 
NOMA AI is a MedTech startup building an AI platform to help prevent medical complications. Our first application will be addressing maternal hemorrhage.
Validation using 240K patients' data retrospective study.
Needs funding to complete the Ph I of pilot studies.</t>
  </si>
  <si>
    <t>affordable wind turbines for commercial buildings
applied in 2020 doesn't seem like a lot has changed</t>
  </si>
  <si>
    <t>&gt;Develops affordable wind turbines for commercial buildings
+ Potential to double energy production compared to solar.
+airfoil technology enables the team to draw faster wind down towards the edge of the roof
+ Grants of 2.5M</t>
  </si>
  <si>
    <t>DiT
autonomous shopping concepts for all retailers
$20 -$30M Series A
Women founder</t>
  </si>
  <si>
    <t>+The team seems credible
+The have running stores
+Raised a lot of money
+Large potential market
+1M?/ Year</t>
  </si>
  <si>
    <t>Deep Tech. Ultrasound-guided device for IV injection, and increasing the success rate of procedure. FDA-approved. Clinical studies with 200 patients.
6 patents. Good team.
Want to know more about the price estimation of their product, because on one hand it is reducing labor cost(which is the major cost of process), but on the other hand it is offering a more expensive device.</t>
  </si>
  <si>
    <t>Interactor is a company that provides integration and management solutions. Interactor software boasts extensive integration capabilities, ultra-high processing speeds, and scalability for large enterprise and telecom use cases.  Customers include LG, Verizon, LSE, and more</t>
  </si>
  <si>
    <t>They participated in NSF I-Corp by Cornell University, SOSV IndieBio NY program class 4 of 2022.
Currently using the NUY Langone labs and office.</t>
  </si>
  <si>
    <t>Conan has  participated in multiple programs including SABIC, Lori Hermelin Bush Seed Fund, NSF I-Corp by Cornell University, Springboard,  and recently completed the SOSV IndieBio NY program class 4 of 2022.</t>
  </si>
  <si>
    <t>custom spray paint in any color in any quantity.
no real tech
not a fit for EFL</t>
  </si>
  <si>
    <t>&gt; speciality manufacturer providing precise paint colour matching solutions for industry
+custom spray paint in any colour in any quantity.
+ Not really tech where EFL can invest time on compared to the reviewed applications</t>
  </si>
  <si>
    <t>I ByteLearn we have created a state of the art Ai system to help students and teachers bridge learning gaps in mathematics.  Using Ai Technology ByteLearn is able to help guide students through math problems step-by-step, identify and remedy misconceptions, and provide teachers with all the data they need to effectively plan for student success.</t>
  </si>
  <si>
    <t>Perception Grid  _2022</t>
  </si>
  <si>
    <t>Predicated on growth of 3 D assets and willingness of companies to outsource their management.  Seems a few years ahead of the industry.  Would like to see some validation first.</t>
  </si>
  <si>
    <t>XR asset management system that modernizes media asset management
need funding, pilots, and customer pipelines
want to see where they are in a year</t>
  </si>
  <si>
    <t>UbiquiTx is a spin-out from MIT/Cornell focused on designing a novel clase of mRNA therapeutics that potently and selectively degrade historical undruggable targets.  Our technology is differentiated in its ability to target proteins at the post-translational level.  We rationally design our therapeutics utilizing a deep learning AI/ML platform.</t>
  </si>
  <si>
    <t>- Polsky Incubator 2018-2019 (Booth School of Business, UChicago)
- Rosenman Innovator 2020 (UCSF)
- Y Combinator 2021</t>
  </si>
  <si>
    <t>fire-safe and low-cost flow batteries for off-grid houses and communities.
Tesla is competitor
Need to show it can scale and is safe</t>
  </si>
  <si>
    <t>+Credible team
+Novel technology
-Might be to early for EFL</t>
  </si>
  <si>
    <t>automated data cleaning for healthcare
need product market fit, having issues relating product narrative to customers
long lead tiime</t>
  </si>
  <si>
    <t>Solid team + Platform technology with some validation and broad applications.  We should interview.</t>
  </si>
  <si>
    <t>exosome production: not necessarily novel; strong team; potential change to DT; might end up going DtoC; has shown strong data in applications in  wrinkle reduction/hair regrowth; interviewed LY; same referral as C2iGenomics;  special reject: thanks for applying again this year</t>
  </si>
  <si>
    <t>- No customers and no revenue. Customer discovery plan not shared.
- Competitors: TytoCare, Medwand, and HealthyU. 
- Founders have startup exit experience. 
- Slightly early for EFL. 
- Should invite next year.</t>
  </si>
  <si>
    <t>Blyp is a 24/7, no-brainer way to gain 360° insight into your ecommerce business?s performance.
No need to follow complicated analytics dashboards anymore. Blyp sends you snackable, growth-focused, actionable insights into your storefront, inventory, customers, and marketing - via email.</t>
  </si>
  <si>
    <t>Gabbit provides world's 1st ?Smart-Tourism? Platform that uses  Data Science, AI &amp; ML and IoT to Solve Critical Problems in Tourism Sector such as Tourist-Safety, Over-Tourism, Communication between stakeholders, Bringing locals into mainstream tourism. This help tourists to get seamless tourism experience in the region.</t>
  </si>
  <si>
    <t>B2B fashion marketplace that connects independent shop owners, online and social sellers with fashion manufacturers and suppliers
no real tech, not a fit for EFL</t>
  </si>
  <si>
    <t>Couple of years behind competition in this crowded space.  Lack validation/PoC</t>
  </si>
  <si>
    <t>We are revolutionising the way we grow and engineer cells at scale using acoustic waves, in other words: sound. 
Showing 100x increase in cell density and 50x reduction in production costs, our patented bioreactors help our partners in drug development unlock patient access to cell and gene therapies.</t>
  </si>
  <si>
    <t>- HAX acceleration program 2021
- Entrepreneur First 2021
- BioTools Innovation Program 2022</t>
  </si>
  <si>
    <t>- This team has made lots of progress with gaining early traction with users.
- The technical moat is unclear given the technologies in this space are all readily available. 
- We should invite this team to interview next year.</t>
  </si>
  <si>
    <t>Yes, Adanian Labs Venture Building Program
https://techcrunch.com/2022/06/29/venture-studio-adanian-labs-fuels-startup-growth-in-africa/</t>
  </si>
  <si>
    <t>turns mineralized filtered water into clean drinking water
quality of the water is an issue
scaling is an issue</t>
  </si>
  <si>
    <t>GlucoActive is a seed-stage MedTech startup developing the technology of non-invasive glucose measurement based on innovative and patent-pending spectroscopy. 
Our first product is GlucoStation - a table-top non-invasive glucometer for home use.</t>
  </si>
  <si>
    <t>a table-top non-invasive glucometer for home use.
business model is to licensing and they would focus on manufacturing and R&amp;D</t>
  </si>
  <si>
    <t>+developing the technology of non-invasive glucose measurement based on spectroscopy
+creation of the world's first medical spectrophotometer
+affordable price range
+Raised good amount of funds
-need more customers</t>
  </si>
  <si>
    <t>We were in:
HeroHouse Glendale,
MIT EF,
Impact poland,
Biomed academy</t>
  </si>
  <si>
    <t>Small market
with lots of competitors</t>
  </si>
  <si>
    <t>+Tech seems novel
+Team seems passionate
-Do not appear to have business plan
-Might be to early for EFl</t>
  </si>
  <si>
    <t>Block Science (https://block.science)
Newchip Accelerator</t>
  </si>
  <si>
    <t>alumni referral; good experience in space; thoughtful application with some good traction, but otherwise a long road to significant development;  potential referral to YC</t>
  </si>
  <si>
    <t>platform makes it seamless for quick-serve restaurants (QSR) to offer customers an opportunity to eat food and charge their EV at the same time
$20-$30M series A
Google for starups
Good team</t>
  </si>
  <si>
    <t>+ Builds Fast electric vehicle (EV) charging sites in quick-serve restaurants in their parking lot optimized with their custom software.
 + Raised a total of 7,400,000(Preseed &amp; seed)
 + Founders from top-tier colleges
+ Installing pilots for popeye's and Golden gate bell 
 + plan to build 400 new sites in 2023
 + Has a large market to capture and we are going towards to EV sector in the fast pace</t>
  </si>
  <si>
    <t>48 Hour Discovery (48HD) discovers molecules that become drug candidates. The proprietary Discovery Engine platform enables drug development by our clients - pharma and biotech companies. The novel patent-unencumbered  molecules are tailored to the needs of clients at a fraction of cost and time compared to competitors.</t>
  </si>
  <si>
    <t>NGS drug discovery platform to identify peptide therapeutics. All discoveries are compiled in a cloud, and they've collected more than 1B unique molecules over 20K experiments - they have Pharma customers who use both their platform and this library. $1M in revenue in 2021, already have $1M in 2022. They talk about Pharma partnerships, but I want to know the results of them - demonstrated binding affinity, but have any been proven to be successful in treating disease in vitro or in vivo?
CEO is part-time, a professor from Alberta, but they have a team of 20+ around the world (virtual startup).</t>
  </si>
  <si>
    <t>UpBeing uses behaviour to measure emotion to improve the human experience, individually and collectively.
UpBeing combines passive behavioural data streams like e-calendar, Spotify and wearables with short, research-grounded emotional check-ins to provide users  insight into the hidden relationships between their behaviours and feelings.</t>
  </si>
  <si>
    <t>The tech is based on co-founder's phd dissertation. 
Carried out comprehensive competitor research
The company is backed by f7 Ventures, but not looking to raise money currently</t>
  </si>
  <si>
    <t>- Too early for EFL. Larger trials do not start till 2023. 
- Sound based wellness market too competitive. 
- Should reapply next year.</t>
  </si>
  <si>
    <t>+
1. good idea 
2. good team
-
1. early stage with not too much validation</t>
  </si>
  <si>
    <t>Incubator: Demium (EU)
Incubator: What If (US) 
Incubator: Google for startups (EU)
EIT Health Innostars program (EU)
Digital Therapeutics Xcellence program (EU) &amp; mentorship</t>
  </si>
  <si>
    <t>+ Various government grants and ecosystem partners
+ Credible team
+ Could enhance authenticity of convenient home-based tests and help better pandemic management 
- crowded space
- tamper proof?
- who pays for test hardware and cartridges
Interview to find out more?  Could be for Deep Tech.</t>
  </si>
  <si>
    <t>Gaming + Neurometry.  Not validated yet.  Seems more like an app than a real product -- WTP/TAM doesnt seem large.</t>
  </si>
  <si>
    <t>Startup Program - Seed Sprint / SeedLegal 
Startup Program - Innovate UK Edge</t>
  </si>
  <si>
    <t>Yes, we participated in other startup programs, mainly as described below:
1. Global Entrepreneurship Program ? GEP initiative by the UK Government Department for International Trade ? March 2019;
2. Global Start UP Program by the Italian Government - Ministry of Economic Development and Italian Trade Agency supporting the expansion phases in cooperation with the accelerator Mind the Bridge, from the US ? San Francisco base ? February 2021 
3. Acceleration program in cooperation with SKOLKOVO Tech Park (Moscow, March ? July 2021);
4. Clean Tech BootCamp UK ? Workshops, June 2021</t>
  </si>
  <si>
    <t>robotic capsules growing fresh food in urban centers
too early and need to find a tech team to take concept into product
invite next year</t>
  </si>
  <si>
    <t>+Passionate founder
~Still in concept stage
-Might be too early</t>
  </si>
  <si>
    <t>Yes.  NYWIB - Accelerator.</t>
  </si>
  <si>
    <t>Dista is an AI-enabled Location Intelligence Platform to Optimize Field Operations. Our focus is on maximising sales, improving productivity of field operations and enhancing customer experinces. 
We are a B2B, Custom SaaS Platform company</t>
  </si>
  <si>
    <t>develop plants that have the ability to absorb metals in soils
plant trees then cut them down
need to show this can work at scale and cost is kept down
take a lot of capital</t>
  </si>
  <si>
    <t>+ Enhance hyperaccumulator plants that have the ability to extract metals at low concentrations then harvest the biomass and transform it into metal 
+Develop plants that have the ability to absorb metals in soils
+Recover the metal from the biomass.</t>
  </si>
  <si>
    <t>+
1. identified a real problem
-
1. tech isn't novel
2. hard to stand a chance against the competitors in the field</t>
  </si>
  <si>
    <t>developing a next-generation GPS signal processing technology
commercial satellite technologies and best in class signal security</t>
  </si>
  <si>
    <t>+Novel Technology
+Potentially large market
+Team seems credible and passionate</t>
  </si>
  <si>
    <t>telepresence robot manufacturer
robot monitor that can move with a remote anywhere
larger player already have product in the market like BEAM</t>
  </si>
  <si>
    <t>+A telepresence robot manufacturer, seller, and rental provider
-Competitors have working models in the market
&gt; Can look for next year I feel it is early to come to EFL this year
- Founder self-taught P courses</t>
  </si>
  <si>
    <t>Monitor electrochemical cell and stack conditions, in the lab or during operations.
Need to expand the sales team and grow the pipeline
generating $418,000 in ARR</t>
  </si>
  <si>
    <t>+Credible team
+Novel tech
+$418,000 in ARR 
+Raised a lot of money</t>
  </si>
  <si>
    <t>Blockant  is an ecosystemic climate change mitigation platform which merges blockchain&amp;sustainability consulting  for companies to measure and compensate their CO2, Hidric and GEIs footprint via S.D.G. projects in a digital and  automated way, while generating new business opportunities for a sustainable world.</t>
  </si>
  <si>
    <t>zero-residue and edible coatings to protect fruits and vegetables from spoilage and decay
need to show it can scale and lower cost
what is the moat?</t>
  </si>
  <si>
    <t>+Develops zero-residue and edible coatings to protect fruits and
vegetables
- No customers yet
+ use very low doses of antimicrobials</t>
  </si>
  <si>
    <t>Grow Computer is building hardware and software components, apps, and tools to help Farmers, Entrepreneurs, Researchers and other Growers better control, optimize, program and automate their 'Grows'.  Our 'ecosystem' of GrowHub Components, Open App Store, and International Community helps anyone instantly use top of the line digital tools</t>
  </si>
  <si>
    <t>This company is early and there is no proof of concept; they have spoken with several growers to build the product; however, it seems the target market is all "growers", which suggests they are trying to be a lot to a lot of people; I wasn't sure, for instance, what the device connects to and what does it measure?  I would normally pass but considering the ffVC connection, maybe we should interview</t>
  </si>
  <si>
    <t>+
1. good idea
2. tech has been validated to an extent
ask about scalability</t>
  </si>
  <si>
    <t>High 3.  They made a nice, short video that explains things clearly and looks very professional.  They need a sales and marketing strategy.</t>
  </si>
  <si>
    <t>CLICK DEAL BUY!  _2022</t>
  </si>
  <si>
    <t>1. NYUEI Bootcamp - August 2021
2. Won NYU Blackstone Ideas Competition - December 2021
3. Participated in NYUEI Startup Sprint - January 2022
4. Won NYU Stern Berkley Center Entrepreneurs Challenge (Healthcare track) - May 2022</t>
  </si>
  <si>
    <t>+
1. impress progress so far in India
-
1. not a tech play
2. crowded space in the U.S.</t>
  </si>
  <si>
    <t>+
1. up&amp; running with sizable client base and revenue
-
1. tech isn't very novel and will see lots of competition
2. would like to see more technical talents</t>
  </si>
  <si>
    <t>To be determined (TBD)  _2022</t>
  </si>
  <si>
    <t>-
1. tech isn't novel</t>
  </si>
  <si>
    <t>- Comprehensive ID card check and real-time person verification.  
-  Patent filed in Europe. 
- Experienced team in both technology and finance. Good team of mentors. 
- Not sure if the moat is really strong here despite the technical and design advances.
- Good fundraising.
- Slightly early on customer acquisition. Need to work more to test the market.</t>
  </si>
  <si>
    <t>+
1. good idea
2. strong team</t>
  </si>
  <si>
    <t>CDL Oxford, which is the exact same concept as EFL but in UK. We really loved the program and learned a lot there. 
IMT : Institut Mines Telecom : strategy incubator. The program will end in October.</t>
  </si>
  <si>
    <t>&gt;DIT?
+usability and delivery of financial media content for investors</t>
  </si>
  <si>
    <t>KTH Innovation Program Fall 2019
https://www.kth.se/en/om/innovation/kth-innovation-1.956839
STING Accelerator Program 2020
https://sting.co/
All references provided upon request.</t>
  </si>
  <si>
    <t>+
1. advanced tech address a problem with increasing demand
2. good team setup</t>
  </si>
  <si>
    <t>-
1. tech isn't novel
2. very crowded space</t>
  </si>
  <si>
    <t>Matt has been a mentor with TechStars since 2015. He was a Mozilla Foundation Fellow in 2021. 
Natalie has received a grant from Interledger Foundation's Grant for the Web program in 2021.</t>
  </si>
  <si>
    <t>Incubated by Corporate Investor, Mediacorp.
Part of Mass Challenge Early Stage program now (non-equity)</t>
  </si>
  <si>
    <t>Deep Tech. Identified novel, green chemicals in the ocean that kill a broad-spectrum of bacteria and fungi at all stages of growth, including biofilm. First customer was NASA. Mother-daughter team is an NYU PhD/JD and an MD/PHD from St. George's University. SAB member coined the term "biofilm". 
Applied last year and pre-Interview received a 5/5 (from Chris and Chintan). Post-interview, received a 6/7 (Federica and Nathan A). The only negative I found was that the interviewers were concerned over the founder's coachability. No EFL Staff or Mentor interviewed them? I'd suggest we invite again this year.</t>
  </si>
  <si>
    <t>large potential market
large-scale field studies for validation
support from VC &amp; governmental research grant</t>
  </si>
  <si>
    <t>Tech4Eva (2021)
GoSiliconValley by Austrian Chamber of Commerce (Q1 2022)</t>
  </si>
  <si>
    <t>Marine Kinetic Energy uses pressurized air/water, to move water into a sphere enclosure.  Pressure propels a turbine generator.  Traditional Power Plants use coal, natural gas, &amp; nuclear fuel to generate power.  Cost is significant!  Target companies Con Edison, SDG&amp;E, and PG&amp;E.  Benefits, zero emissions, no intermittency, and lower cost to market.</t>
  </si>
  <si>
    <t>pressurized air/water, to move water into a sphere enclosure to generate energy
early, needs a team, needs a prototype</t>
  </si>
  <si>
    <t>+ Marine Kinetic Energy power generation and energy storage
 &gt;&gt; Uses pressurized air/water, to move water into a sphere enclosure which propels a Turbine Generator
 - Concept phase
 &gt;&gt;  Needs to prove the concept and develop a prototype 
 &gt;&gt; Tech is good but early for EFL
 &gt;&gt; Invite Next year</t>
  </si>
  <si>
    <t>Mbriyo (Greece)
Alchemist Accelerator (SF)</t>
  </si>
  <si>
    <t>TerMir develops IP for crop protection so farmers can adopt sustainable and regenerative agriculture techniques without increased cost per acre.  We help farmers grow more crops and convert more land to organic with our technologies.  Our first commercial product is a natural product herbicide to help farmers transition from Roundup/Glyphosate.</t>
  </si>
  <si>
    <t>Early-stage therapeutic company aiming to regenerate and re-connect neurons after spinal cord injury. It uses an injectable gel formulation with magnetically aligning nanoparticles to create a fiber scaffold in the injury site in order to stimulate and guide axonal regrowth.  Axons are like cables that connect neurons in the brain and spinal cord.</t>
  </si>
  <si>
    <t>+
1. good idea that seems to address a real problem
2. founder has experience in related field
-
1. tech side isn't so deep</t>
  </si>
  <si>
    <t>Emotional Wellness app and community for teenagers in India.
Our app provides a safe space for teens to learn, manage and discuss pertinent issues such as exam jitters, social anxiety, rejection, social media addiction, and so on. It also provides personalized engaging content, self-help activities, counseling, and a community.</t>
  </si>
  <si>
    <t>1. Banasthali foundation
2. Nudge foundation</t>
  </si>
  <si>
    <t>elovee is an early-stage health tech company combining clinician-led virtual care with a non-prescription digital therapeutic for older adults seeking to prevent or delay cognitive decline.  We integrate evidence-based cognitive training and behavioral lifestyle interventions in an accessible, scalable, engaging, and effective delivery model.</t>
  </si>
  <si>
    <t>Tech isn't cutting edge (call-in tele-health)
good team and fund-raising status</t>
  </si>
  <si>
    <t>Entrepreneur First incubator: Passed investment committee in Jan 2022. 
HEC, Incubator Paris, Station F
Deeptech Founders incubator, Paris</t>
  </si>
  <si>
    <t>personalized relaxing screen experiences to improve performance and well-being without additional screen time
not tech-heavy / fit for EFL</t>
  </si>
  <si>
    <t>We participated in VentureOut NY with breathing.ai LLC and Decelera Mayakoba in 2019. In 2021, we were one of the ten startups as part of the first The Roux Institute Techstars Accelerator cohort in 2021 with breathing.ai, Inc.
We are based in New York, but also currently part of the Startup Lisboa program and network since December 2021. The participation has enabled us to also sign up our first European client.</t>
  </si>
  <si>
    <t>Good idea, but very early stage.  Winners of NYU Law venture pitchoff.  Business model not clear.  Special reject and invite for next year.</t>
  </si>
  <si>
    <t>4th largest e-book platform.  unique tech is that it is device agnostic, browser based and interactive (also a publishing platform)</t>
  </si>
  <si>
    <t>Zoios is like Google Analytics for HR and helps companies measure what matters - their people.
Recruiting talented people, and ensuring they thrive and perform is not easy. So, it should not be based on human intuition alone. 
Zoios delivers concrete data, insights, and recommendations on how to ensure employees are engaged and thrive.</t>
  </si>
  <si>
    <t>+
1. good idea
-
1. not sure if a quant approach would work
2. even if it would, they would probably need much more advanced modeling than the one currently in place</t>
  </si>
  <si>
    <t>Very early stage.  Trendy area, but have to do more business development and validation. NYU company. Recommend to Berkley and invite for next year.</t>
  </si>
  <si>
    <t>Need more validation.  Not clear how the response system improves over current method. Tough business model.</t>
  </si>
  <si>
    <t>Pros-
The company has tight relationship with Zurich insurance
Already generating revenue from customers/pilots
Cons-
The concept of "Digital Twins of Risk " is ambiguous</t>
  </si>
  <si>
    <t>good market research and competitor research
rich experience in start-up and EdTech
clear about what they want from EFL</t>
  </si>
  <si>
    <t>We have been in 3 different startup incubators: 
1. ESA BIC Austria
2. Space Hub Network 
3. Arweave Foundation OWF
4. Apls Silicon</t>
  </si>
  <si>
    <t>AstraKode  _2022</t>
  </si>
  <si>
    <t>DiT
platform that allows you to develop a custom enterprise blockchain solution by simply drawing it
needs a differentiator</t>
  </si>
  <si>
    <t>+Planned Subscription based model
+Currently have 800+ users registered to the platform.</t>
  </si>
  <si>
    <t>LS?
software platform leveraging deep learning and statistical methods on clinical data to predict cancer patient response to immunotherapies
need to show the data is correct and can scale</t>
  </si>
  <si>
    <t>+Team seems credible
+Passionate about product
-Software has not had a large trial
-No revenue
-Might be too early for EFL</t>
  </si>
  <si>
    <t>app provides users with the most accurate financial analysis for any stock (retail investors)
already a ton of players trying to solve this problem, what is the moat?</t>
  </si>
  <si>
    <t>We are currently working out of Capital Factory incubator in Austin TX.  Our founder previously worked out of the 1776 Incubator in Washington DC</t>
  </si>
  <si>
    <t>AI-driven software that performs histomorphometric analysis of tumor sections to diagnose cancers within minutes. Claims this is a multi-omics approach and they have identified 4,500  biomarkers across 30 solid cancers - are these biomarkers all related to cellular morphology from H&amp;E images? Ask about this and sample preparation in the interview (software is in minutes, but what about all the histology?). IP is well-protected. Pilot with a hospital system is underway. Dick Foster is Chair of their Board. Woman-led, scientific team. Looking to establish presence in the US, specifically in NYC.</t>
  </si>
  <si>
    <t>Referred by Richard N. Foster (Panakeia's board chair). Great team.  A platform for AI-based multi-omics biomarker prediction, without any lab tests. Want to know more about their test results on validation of predictions and accuracy.</t>
  </si>
  <si>
    <t>Panakeia was founded in late 2018 when the founders met via talent program/investor Entrepreneur First and supported in parallel by King?s20 accelerator that I (Pahini) had been accepted into to found a start-up. 
Subsequently, Panakeia graduated from CDL Toronto and was selected for Tech Nation?s (Government backed) Applied program as one of the top 12 most promising AI startup?s in the UK in 2020. This year, Panakeia has been selected to be a part of NHS-backed Digital Health London Accelerator program for adoption of Panakeia?s technology within the NHS.
Panakeia has also received funding and support from likes if Capital Enterprise, P4, Innovate UK, Cambridge Judge Business school, Barclays and Santander.</t>
  </si>
  <si>
    <t>InTune aims to connect people through the power of music. InTune empowers people meeting for the first time to instantly  see the same artists and songs they have in common. By analyzing all the listening patterns of users we can find compatibility ratios to indicate how similar your music tastes are. People decide whether to connect to each other.</t>
  </si>
  <si>
    <t>developing a digital, blue-tooth enabled version of "tag" but mvp not out yet.  no validation of concept.  reconsider/invite  next year.</t>
  </si>
  <si>
    <t>The problem (biased data and innovation that ignores underrperesented groups) is huge and unmet.  But the founder does not provide even an outline on how they plan to take this problem on.  Too early and no clear product roadmap.</t>
  </si>
  <si>
    <t>BlueFairy was part of the Women in AI USA 2021 accelerator program and won first prize in their Women in AI hackathon. Additionally, BlueFairy received a Patent Hacks program scholarship, before joining Google?s Cardozo Patent Diversity Program. 
Co-founder Halweil is focused on advancing inclusion in blockchain globally as a DeFi Talent Fellow; the Fellowship is sponsored by the Frankfurt School of Finance &amp; Management?s Blockchain Academy. She is also a Luminary Fellow, which is sponsored by Unilever to advance equality in entrepreneurship.</t>
  </si>
  <si>
    <t>We participated in one CUNY startup program called the CUNY iHUB Start-up Fellowship which provided teaching relief and business guidance during the 2017-2018 academic year.  SingletO2 is a member of the College of Staten Island Tech Incubator.  The CSI Tech Incubator provides the company space near campus to meet and mainly supports undergraduate computer science based startups.</t>
  </si>
  <si>
    <t>Very early.  Matching platform.  Tech moat does not exist.</t>
  </si>
  <si>
    <t>Launch NY
University At Buffalo, Cultivator</t>
  </si>
  <si>
    <t>Deep Tech. An LED light that its emission is in the visible light range and possesses antimicrobial activity. Safe for continuous around human. 90-99% microbe reduction.  400-420 nm. Low electricity consumption.</t>
  </si>
  <si>
    <t>Yes. 
- Rensselaer Polytechnic Institute incubation program
- New York State Energy Research &amp; Development Authority (NYSERDA), multiple programs + Mount Sinai Medical Center
- Springboard Enterprises Cohort
- Engage Ventures Cohort
- Finnish Maritime Accelerator
- Spanish Fishing Industry Accelerator
- Moderne Ventures passport program.</t>
  </si>
  <si>
    <t>8.16.22 - Application Withdrawn</t>
  </si>
  <si>
    <t>Briya  _2022</t>
  </si>
  <si>
    <t>DiT
a retrieval platform that provides real-time access to high-quality medical data
small market
what's the moat?</t>
  </si>
  <si>
    <t>+The team seem passionate
+They have raised a lot of money: $5.5M seed and $650K grants
+They have experience in the industry</t>
  </si>
  <si>
    <t>Briya participated in Project Healthcare as part of the Nashville Entrepreneur Center in 2021-2022.  Project Healthcare is a nine-month program featuring monthly programming and ongoing support. It is designed for healthcare entrepreneurs seeking to accelerate their high-growth startups, Project Healthcare leverages relationships with Nashville?s healthcare industry giants and provides unmatched access to the top experts and resources in the field.</t>
  </si>
  <si>
    <t>DiT
NFT / trading platform
Hard to get investments right now in the space
No big vision</t>
  </si>
  <si>
    <t>+ Building blockchain technology around the Cardano
ecosystem.
 - Not Related to Deep Tech, DIT?
 &gt;  NFT marketplace
 + Planning on raising 10M
 - Crypto market is still down currently</t>
  </si>
  <si>
    <t>DiT
energy management services
IoT and a private web platform to provide easy-to-understand information regarding the energy efficiency
lots of players</t>
  </si>
  <si>
    <t>Not a traditional EFL company
Tech is only validated in research studies</t>
  </si>
  <si>
    <t>Pajama Cats Media is developing voice recognition-based interactive children?s literature.  Children develop language vocabulary through Interaction with others. Today digital bookThe prototype laboratory results, with over 100 child participants, conducted at Carnegie Mellon University, have been published in an international scientific journal.</t>
  </si>
  <si>
    <t>+
1. advanced tech 
2. good talents on team
-
1. early stage with little concrete progress to show for</t>
  </si>
  <si>
    <t>-
1. not much research into the fundamental need
2. tech isn't novel
3. competitive field</t>
  </si>
  <si>
    <t>+
1. tech seemed advanced with working prototype built
2. good team setup</t>
  </si>
  <si>
    <t>engine redesign efficient re-design of stator and rotor, AI or ML infusion for increased performance and efficiency
not proven yet to work, pilots has to show it has value</t>
  </si>
  <si>
    <t>+ Develops Rare-Earth free Reluctance motor systems to reduce the cost of high-efficiency electric vehicle powertrains
+Developed a novel way of designing the Switched Reluctance motor
+ Founder has startup experience
 + Circled 4M (2M in soft+ 2M in hard) through series A</t>
  </si>
  <si>
    <t>CIIE.CO, Ahmedabad - An incubator backing early-stage deep tech startups that build disruptive solutions.
ASVA (Accenture Sustainability Value Accelerator) - An joint program between Accenture and CIIE.CO to promote early-stage startups that build solutions that help businesses achieve or enhance sustainability.</t>
  </si>
  <si>
    <t>Reviewed on 8/23/2022</t>
  </si>
  <si>
    <t>no tech- note to not email anymore
direct to consumers</t>
  </si>
  <si>
    <t>During my first startup, a beverage brand called ?Origin Almond? (since discontinued), I was fortunate to be accepted in the KraftHeinz Springboard incubator. This provided an investment of $50,000 along with mentorship and assistance from the KraftHeinz team. Upon completion of the program, ultimately decided to double their investment to $100,000. KraftHeinz remains on our CAP table as I started Fila Manila under the same legal entity as Origin Almond.
For Fila Manila, I was also fortunate to be part of the Sputnik ATX Tech Accelerator in Austin, TX as part of the Summer 2021 Cohort. This accelerator, primarily focused on tech startups, was a 3-month in-person program that provided founders with $100,000 investment with ?classes? and mentorship help. Fila Manila was the only CPG/Food brand in the cohort, but we outperformed the other startups for the weekly traction competition and were able to contribute our expertise to the other founders? industries.</t>
  </si>
  <si>
    <t>Do not reach out in the future</t>
  </si>
  <si>
    <t>Digital platform to simplify legal aspects of starting and running business focused on African markets.  No deep tech stack here, although company seems like it will be successful.  Not a fit for us.</t>
  </si>
  <si>
    <t>roof coating which can reduce heating and cooling costs
need to get customers and show scale</t>
  </si>
  <si>
    <t>(+)Credible team
(+)Novel technology
(+)Revenue
(-)Market might not be big enough</t>
  </si>
  <si>
    <t>Yes.
1. Wells Fargo IN2 incubator
2. Joules Accelerator
3. Center for Entrepreneurial Innovation
4. Arizona Commerce Authority Virtual Accelerator
5. Upward Labs Net-Zero Accelerator</t>
  </si>
  <si>
    <t>helps grocers automate their most labor-intensive tasks, such as shelf stocking
need to scale and show the robots can be deployed a range of different stores
build a moat and capture market</t>
  </si>
  <si>
    <t>+ Tech includes algorithms as well as hardware models.
 + Works on making labor automation, picking and putting th products, can be used for the stock house.
We Should Invite</t>
  </si>
  <si>
    <t>ZipData, INC's mission is to kill the fax and improve data transfer in healthcare.  It is a digital healthcare interoperability platform that provides increased operational efficiency, decreased operational cost and improved data transfer for our clients.</t>
  </si>
  <si>
    <t>Addressees a known pain point and increases efficiency.  But highly niche market.  Tech can be replicated and offered as a feature by existing healthcare digital platforms (EPIC?)</t>
  </si>
  <si>
    <t>We participated in the fall program 2021 with NewChip Accelerator based in Austin TX
We are working with Oracle for Startups and are early in our relationship with Microsoft for Startups program</t>
  </si>
  <si>
    <t>B2B platform that helps employers monitor and support individuals with mental health issues.  Important but need to understand tech differentiation, moat and effectiveness of support provided better.</t>
  </si>
  <si>
    <t>Pandorum's R&amp;D labs in the US and India are located in three renowned biotech incubators, namely:
a) MBC BioLabs, San Carlos, Bay Area, CA, US
b) Bangalore Bioinnovation Centre, Bangalore, India
c) Centre for Cellular and Molecular Platform, Bangalore, India
Supported by a BIOTECHNOLOGY INDUSTRY RESEARCH ASSISTANCE COUNCIL (BIRAC), Dept. of Biology,  Govt. of India scholarship, I have attended the IGNITE 2013, an entrepreneurship training programme organized by Cambridge Judge Business School, in Cambridge, UK</t>
  </si>
  <si>
    <t>DiT
real-time and critical data in order to reduce food supply chain waste through timely decision-making
~ $19,000-$35,000 per month</t>
  </si>
  <si>
    <t>+ Monitoring the food supply chain in real-time through SaaS and Enterprise platform
 ? DIT
 + Female Founder
 + Seed of 2900000 is raised circled 3M in fundraising out of 6M
 + $19,000-$35,000 per month per customer</t>
  </si>
  <si>
    <t>sleep apnea tracking AI device to track sounds
very early
lots of players</t>
  </si>
  <si>
    <t>+Team seems credible
+Clear pain point
+Developed product
-Might be too early</t>
  </si>
  <si>
    <t>direct partial oxidation which combines Natural Gas with oxygen at elevated temperature and pressure to produce Methanol.
early need to take out of concept stage
show tech can scale</t>
  </si>
  <si>
    <t>+ Methane to methanol conversion at the oil wellhead ending flaring with carbon emissions
+ Direct partial oxidation which combines Natural Gas with oxygen at elevated temperature and pressure to produce Methanol
It- Still in the prototype phase and need to quickly come up with actual model and acquire customers</t>
  </si>
  <si>
    <t>Arceum builds foundational software protocols and platforms to enhance the use of the Arweave blockchain.  Our first protocol is called AFTR Market, an asset management platform providing users the ability to govern, secure, and manage their Arweave assets on-chain.</t>
  </si>
  <si>
    <t>I participated in Arweave's incubator program called the Open Web Foundry (class 4) last Summer.  At the conclusion of Demo Day, I began raising preseed funding.</t>
  </si>
  <si>
    <t>referred by Sid Angle, CEO, Regenosine. DoD grant. A PoC test consist of a device and disposable card for faster, precise  Viscoelastic Coagulation System. The device is able to do 6 coagulation tests at the same time in less than 15 minutes.</t>
  </si>
  <si>
    <t>Growing market for philanthropy and some initial traction.  But, no deep technical moat.  Upside rather limited.</t>
  </si>
  <si>
    <t>giveback is backed by Umana Venture Studio (?UVS?). ?UVS is a brand creation and match-making boutique, re-imagining the relationship between influential individuals (aka loud voices) and purpose-driven brands. UVS exists to provide the most influential individuals of this generation the resources to properly channel their superpowers, creating a legacy they are proud of.?? An example of a company launched by UVS is @snacktbh (hazelnut cocoa spread) with Noah Schnapp (from Stranger Things). UVS was our first investor, and together we are focused on bringing potential loud voices as founding ambassadors to giveback those who are part of UVS?s network/family and have at least 20M followers on Instagram.</t>
  </si>
  <si>
    <t>Diego de Azevedo and Luciano Bueno</t>
  </si>
  <si>
    <t>Techstars Los Angeles 2021
MedTech Innovator 2021
MassMedic IGNITE 2021
MedTech Color 2021
NJIT HealthIT Connections 2019
NSF I-Corps 2018
MassCONNECT Cycle III 2017
Yale Entrepreneurial Institute Summer Fellowship 2017</t>
  </si>
  <si>
    <t>IndieBio SF. 2-5 months runway. AKA Convalesce. Innovative technology. A platform for in-situ cell reprogramming by changing the cell's local environment. The only concern is that there are only 2 members shown in LinkedIn account, and they don't seem to be much committed to the startup. Only CEO is full-time. 
Want to know more about their pipeline and future in-vivo pre-clinical studies, and validation for lead drugs.</t>
  </si>
  <si>
    <t>I have actually known this company for a while, as they have been involved in the NYC ecosystem for a good number of years.  The CEO is a charismatic guy.  I think they would benefit from the program because they need to scale up significantly now and EFL would bring them exposure to do this.</t>
  </si>
  <si>
    <t>Yes.
We have participated in multiple highly selective accelerators: Pharmstars, SAP.io Foundry, Philips Healthworks, NVIDIA Inception, IE Entrepreneurship Columbia, Almaworks, and HITLAB Digital health breakthrough network.</t>
  </si>
  <si>
    <t>air-based solar thermal receiver with high thermal conversion efficiency and low cost
strong team
need to get customers/pilots
$20M series a with $10M circled</t>
  </si>
  <si>
    <t>+Credible team
+Novel technology
+Lots if investment
+Working prototype
+Large potential market</t>
  </si>
  <si>
    <t>+
1. addresses a real and growing problem
2. tech is advanced
3. already up and running with clients
4. team has good talents in related fields
-
1. might face lots of competitions</t>
  </si>
  <si>
    <t>-
1. not a tech play</t>
  </si>
  <si>
    <t>- Creating virtual human clinician. 
- A lot of well established competitors using various modalities. 
- Unclear application, failing to give details in innovation and technology moat. 
- Poorly written application. 
- Could interview next year to understand traction.</t>
  </si>
  <si>
    <t>The company is growing(possible pilot with rehab centers)
But tech validation is ambiguous and is cutting edge
The application is not filled in with caution(missing fund raising/founder information, typos)</t>
  </si>
  <si>
    <t>Yes.
I was one of fewer than 40 women selected as part of what I believe is the inaugural HSBC ROAR USA '22 cohort of women founders, part of the $1B HSBC initiative to help propel female entrepreneurs forward.  This occurred very recently.
Also in the spring of '22 we were selected to be part of the Comcast NBCUniversal Lift Labs cohort.
We were also selected to participate in the inaugural Impact Ventures Competition which was sponsored by Schmidt Futures (Eric and Wendy Schmidt).</t>
  </si>
  <si>
    <t>wall-mounted (routers) and wearable devices (carried by miners) communicate with each other
moat?</t>
  </si>
  <si>
    <t>German Accelerator
AI Startup Hub
InnoRampUp</t>
  </si>
  <si>
    <t>DiT
B2B cloud communication software
Needs business dev and scaling
uses decentralized cloud network explicitly targeting customizable communications for businesses
$20M series A
 undisclosed amount of venture funding from R-930 Capital, Redline DAO and ZBS Capital on January 19, 2022</t>
  </si>
  <si>
    <t>+ Decentralized Communication and Data Network to provide data and communication features
 &gt;&gt; DIT
 + Validated with over 1m in vietnam
 +  Beowulf blockchain lays the infrastructure for exchanging and delivering various innovative solutions. It features a Large transaction volume, Fast transaction confirmation.
 &gt;dual-coin structure
 &gt;&gt; Planning to raise 20M in series A funds</t>
  </si>
  <si>
    <t>+
1. already up&amp;running with clients that can validate their idea and tech used
2. good team setup
-
1. tech itself isn't so novel</t>
  </si>
  <si>
    <t>We have been part of the following programs:
1) Singapore Management University BIG incubator, Singapore - equity free
2) Sunway pre-accelerator, Malaysia - equity free</t>
  </si>
  <si>
    <t>+
1. good implementation to solve an interesting problem
2. strong team
-
1. tech itself isn't groundbreaking</t>
  </si>
  <si>
    <t>Stonehouse Innovations is an R&amp;D  company engaged primarily in water innovations. We have designed a 3d printed vessel using antimicrobial filament to create a small, screw-on, water purification device.  This small device will benefit 3rd world drinking water, help in agriculture to irrigate crops, and water animals (among other uses).</t>
  </si>
  <si>
    <t>Good mission but not novel tech
Needs to get a product developed and scale</t>
  </si>
  <si>
    <t>+Tech seems novel
-Market does not seem particularly large
-Might be too early</t>
  </si>
  <si>
    <t>Claims they can do a lot but are already players in the market
what is the moat</t>
  </si>
  <si>
    <t>Haystack Oncology provides best in class personalized testing for patients with cancer to identify minimal residual disease.  We aim to dramatically improve outcomes by identifying the maximal number of patients with residual, recurrent, and resistant disease who stand to benefit from proactive clinical interventions.</t>
  </si>
  <si>
    <t>measure how companies and people are perceived by the market, by decoding context in unstructured data
there lots of players already in the market</t>
  </si>
  <si>
    <t>-Already too many players in the segment.
 -Tech early, need to develop product 
 -Not a good fit</t>
  </si>
  <si>
    <t>This technology aims to block Pannexin 1 channels which are only open in disease conditions causing high concentration of extracellular ATP. This drug is aiming to  reestablish a normal intra-extra cellular ATP levels. A Nature publication suggests that blocking Pannexin 1 alleviates morphine withdrawals in mice. Pannexin 1 activity also associated with Epilepsy because when these channels are open they release ATP and glutamate which polarizes the membrane thereby causing seizure</t>
  </si>
  <si>
    <t>Techstars
757 accelerate</t>
  </si>
  <si>
    <t>-
1. tech not novel
2. very crowded space</t>
  </si>
  <si>
    <t>Having issues with funding
Need to get customers and show need for the product
early</t>
  </si>
  <si>
    <t>Experience founders.  HR syncing and automation particularly important in the distributed, remote, organization. Have received good traction.   Need to ascertain market size and technical moat.</t>
  </si>
  <si>
    <t>Peer Circles by wedstll  _2022</t>
  </si>
  <si>
    <t>Right now, I'm in the LiftOff Black Entrepreneurship Program which is designed to support Black entrepreneurs who have a scalable business idea and work with them from the earliest stages of staging a business.  
In the past I was a part of Innovation Guelph's Rhyze Ventures Scalable business stream. I'm currently being mentored a twice a month on my financial model through their Start-up program.</t>
  </si>
  <si>
    <t>DiT
a platform as a service connecting laboratories, clinical research organizations
platforms do this already
what's the moat?</t>
  </si>
  <si>
    <t>+Credible founder
+Large potential market
-Tech does not appear to be novel</t>
  </si>
  <si>
    <t>heterogeneous catalyst for the large-scale oxidation of bio-ethanol.
early and in the MVP stage needs to show it can scale
not customer ready yet</t>
  </si>
  <si>
    <t>+Capital Intensive venture.
-No cash inflow at the current stage.
+Littlle early for EFL
-Not a good fit for this year.</t>
  </si>
  <si>
    <t>POMdesk.com - Purchase Order Management desk helps automate purchase orders that come in an email format. 
FMCG brands (like our parent company Fighter Shots) receive tens of orders that come in an email format. Fighter Shots spends around £5,000 yearly on manual order processing. POMdesk was created to automate the process.</t>
  </si>
  <si>
    <t>hardware and software is designed to maximize the performance of each cell and guarantee pack operations
building an MVP
need funding
show it can scale 
want to go into the rechargeable battery space</t>
  </si>
  <si>
    <t>+Passionate credible team
+Large potential market
+Building MVP
+They have participated in other startup accelerators
-They might be a little early for EFL</t>
  </si>
  <si>
    <t>buy back and resell platform
no real tech
not a fit for EFL</t>
  </si>
  <si>
    <t>- No tech in this, its ReCommerce of Smartphones
- Not related to Deep tech</t>
  </si>
  <si>
    <t>+
1. advanced tech coming directly from academia
2. team of technical talents
-
1. might be too early stage</t>
  </si>
  <si>
    <t>Yes, we have been part of:
- Innovation Incubation Center @ TU Wien
- I.E.C.T. Summer School 
- YPO Scale-A-Thon
- Grow F Accelerator by Female Founders</t>
  </si>
  <si>
    <t>VentriFlo, Inc. pulsatile blood pumps deliver a life-like pulse that enhance blood flow deep within organs for patients who require temporary heart support, achieving superior patient outcomes and reduced costs.  VentriFlo® True Pulse Pump? deliver blood flow the way it should be - just like the native heart, something no other technology can do.</t>
  </si>
  <si>
    <t>This device provides pulsatile flow during cardiac surgeries to provide distribution of blood to the smaller capillaries thereby to minimize organ damage after the surgery, which happens with continuous flow devices. 
Mark Sadam is the referral (Vice President, Technology Opportunities and Ventures at Langone)</t>
  </si>
  <si>
    <t>Won matching State of New Hampshire grants from the New Hampshire Innovation Research Center (NHIRC) for initial preclinical work at Dartmouth-Hitchcock Medical Center.
Won Food and Drug Administration (FDA) grant #P50FD004895 for work on pediatric applications, collaborating with University of Alabama-Birmingham (UAB)</t>
  </si>
  <si>
    <t>Gigaforce?s cloud-native SaaS platform expedites end-to-end insurance claims processing across the ecosystem with a focus on
subrogation*, reinsurance, &amp;amp; and salvage. Gigaforce connects insurance carriers with their partners for transparent and secure management of claims with real-time updates.</t>
  </si>
  <si>
    <t>This is a strong team who communicate their technology and vision well - I believe they will be quite coach-able and a good addition to the program.  It is conceivable that this machine learning platform can start small with B2B conflict resolution, but could become part of a solution for world peace... that's pretty cool!  They have two very strong women founders.</t>
  </si>
  <si>
    <t>Alchemist Accelerator
Lawtech UK Sandbox</t>
  </si>
  <si>
    <t>autonomous surface finishing robot
early and needs a business model that can scale, right now seems limited on how they can customers
get pilots going</t>
  </si>
  <si>
    <t>-Little early.
+ Invite next year or can invite them now</t>
  </si>
  <si>
    <t>Gaia AI is an MIT spinout that is creating the largest supply for carbon credits in the world by unlocking forests.  We apply very similar technologies as those used in the autonomous vehicles space to build the most advanced data platform for forest managers that addresses pain points around forest inventories and optimizing their operations.</t>
  </si>
  <si>
    <t>+
1. interesting idea
2. strong team
-
1. technical implementation requires more justification on soundness and novelty</t>
  </si>
  <si>
    <t>PhagePro currently rents 3 benches and 5 desks from the Tufts Launchpad incubator.  In the past, PhagePro and/or Dr. Yen has been affiliated with the following programs:
- now called MassBioDrive: 2018 summer
- MassNextGen Fellowship: 2019-2020
- The Capital Network Female Founder Fellowship: 2019-2020
- NIH I-Corps Program: Spring 2020
- Termeer Foundation Fellows: 2020-2021
- The Eddies: June 9-October 6, 2022</t>
  </si>
  <si>
    <t>+
1. good idea, good tech that addresses a real problem
-
1. need to inquire more about the barrier of core tech -- insect</t>
  </si>
  <si>
    <t>Yes.
Halcyon AWS Bahrain Women?s Intensive
Sanabil 500 MENA Seed Accelerator - Batch 2
C3 IDEA Accelerator powered by Accenture
Ma?an Social Incubator by NYU Abu Dhabi</t>
  </si>
  <si>
    <t>+
1. advanced tech 
2. solves real problem
3. good team
4. up&amp;running with client recognition
5. industry &amp; academia</t>
  </si>
  <si>
    <t>We are currently participating in the MassChallenges US Accelerator (started July 22) as well as the 500 Global Accelerator (August 22). We have also previously participated in smaller programs such as GoAustria (2021) to prep for our EU launch. 
In 2020, we were recognized as one of the world?s Top COVID-19 innovations by the World Economic Forum and joined the WEF COVID-19 cohort. We also won the Techstars global COVID-19 competition (2020) from over 54 countries and participated in the Techstars program.</t>
  </si>
  <si>
    <t>Silicon Assurance  _2022</t>
  </si>
  <si>
    <t>Silicon Assurance develops hardware security software to address trust and assurance issues in silicon chips, designed by semiconductor companies.  Our automated tool will reduce the time required by verification and hardware security engineers to check the security of chip design, prevent data leakage from system, and save revenue of companies.</t>
  </si>
  <si>
    <t>+
1. already up and running with revenues
-
1. tech isn't novel</t>
  </si>
  <si>
    <t>Blockchain social media build on Arweave to save posts
DiT
Social platforms can do this already</t>
  </si>
  <si>
    <t>+Team seems passionate about product
+The have a developed product
-Potential market not proven
-Might be to early for EFL</t>
  </si>
  <si>
    <t>- Enterprise SaaS NLP/NLG provider
- Extremely strong revenue from clients in several industries. 
- Goal is to focus on speeding up clinical trial for Life Science companies. 
- Team is well rounded and has exit experience.
- Should invite for interview. Not sure if their GTM is the correct one, as it could be limiting. 
- EFL mentors could help set the right goals.</t>
  </si>
  <si>
    <t>VineView is transforming the way growers monitor crop health. Using remote sensing technology, we deliver
plant-by-plant resolution data products and quantitative metrics, allowing growers to conserve resources
while optimizing health and profitability.  The company currently has operations in California, Halifax (headquarters) and France.</t>
  </si>
  <si>
    <t>+
1. modern concept
2. strong team
-
1. a lot of buzz words with more justification needed
2. could be a crowded space in near future</t>
  </si>
  <si>
    <t>Orthobullets.com is a free professional network where 500K+ physicians learn and
collaborate. We also sell premium tier learning technology &amp; certification products to
physicians (B2C) and training hospitals (B2B).</t>
  </si>
  <si>
    <t>+
1. impressive progress so far
-
1. not a tech play</t>
  </si>
  <si>
    <t>+Developed a substrate for all kinds of chemical mining applications, Can perform multi-element extraction too 
 +ion adsorption filtration media based on chromatography
 + Large market size if succeed with the current pilots as there are no direct competitors.
 - Need to work on funds</t>
  </si>
  <si>
    <t>Zeer is NextGen911 personal and public safety software that improves prosecution rates, response times, and crime reduction.
Zeer creates a frictionless safety response system with ML and internet of things.
When data is saved to the Zeer cloud, Zeer uses a priporitary blockchain encryption to create the strongest chain of evidence in the world.</t>
  </si>
  <si>
    <t>not clear how the proposed solution does better than the current response systems as it still involves calling 911.  customer acquisition will be hard.  dont see this as a major company.</t>
  </si>
  <si>
    <t>The company has received funding from military
Early-stage, validation is from research studies
Recommend to apply next year?</t>
  </si>
  <si>
    <t>Yes.
We currently just finished the Stacks Accelerator in their second cohort.
Before this, we participated in 2Gether International.
We have also participated in: 
Techcelerator through Ben Franklin Technology Partners of PA
Global Startup Accelerator by University City Science Center
Venture Deals Accelerator powered by TechStars and The Kauffman Fellows
Conscious Venture Labs out of Baltimore</t>
  </si>
  <si>
    <t>I am between a 3 and a 4 for this company.  I think it would be good to see what sort of traction they can get, and how quickly.  The program would be good for them to temper expectations and get some real mentorship.  They need more capital to pay their engineers and then market their product - and they need to raise fast.</t>
  </si>
  <si>
    <t>UMM was created to bring a mature industrial application over the wall and into medicine.  Our initial focus will be early detection of pancreatic cancer while it is still in a treatable stage.</t>
  </si>
  <si>
    <t>DiT
using robotics and AI to lower the cost of building envelope inspections that check for moisture and deterioration
need to scale out sales and customer pipelines
what is the moat and competitive advantage</t>
  </si>
  <si>
    <t>+
1. advanced tech with validation
2. solid progress so far</t>
  </si>
  <si>
    <t>Zoomrin uses novel patented technologies, leveraging the non-Cartesian MRI approach in order to make MR Imaging significantly more efficient than it is currently practiced.  This means faster procedures and higher quality images, as well as more affordability and accessibility of MR Imaging for patients, doctors, and clinics.</t>
  </si>
  <si>
    <t>Useful software but not groundbreaking, not very innovative 
Have no funding - currently bootstrapping 
We can cluster and then decide if we want to invite them</t>
  </si>
  <si>
    <t>No, we have found EFL to be the most fitting program for our deep tech/health science/digital Tech core.
We are exactly at the intersection of all three tracks offered.</t>
  </si>
  <si>
    <t>Creatives need financing to secure a date for their production; investors are willing to invest but lack trust and transparency in such partnerships.  They?ve put on 17 productions with ?50k in aggregate funding, so they have an indication of traction but not significant yet.  Investing in these productions is risky; will fans be turned off if they buy a token and get nothing for it?  
For the revenue streams, middlemen can take 85% of profits.  Can this platform replace the services these middlemen provide and do it as effectively and more cheaply?</t>
  </si>
  <si>
    <t>+
1. some highlights in hardware
2. very strong team
-
1. not too much justification/result yet
2. might be a crowded space</t>
  </si>
  <si>
    <t>In Fall 2018, Dr. Wong and Dr. Kerkez completed a Regional I-Corps program, and soon after completed NSF's National I-Corps Program - Atlanta Fall Cohort. 
Dr. Wong was the Entrepreneurial Lead and Dr. Kerkez was the Technical Lead. The lessons learned from hundreds of customer interviews ultimately led to our seed grant in 2020 which we used to launch Hyfi.</t>
  </si>
  <si>
    <t>+
1. could be one of the firsts in the market
-
1. team could be stronger
2. not much justification at this stage</t>
  </si>
  <si>
    <t>Yes.
EvoNexus
Berkely SkyDeck (Pad-13)</t>
  </si>
  <si>
    <t>Navierre aims to simplify the healthcare journey. 
We help patients centralize all aspects of their care and empower them with timely guidance and engagement to improve health outcomes. 
We help providers achieve better health outcomes by providing technology and services that streamline and enhance the care delivery model.</t>
  </si>
  <si>
    <t>+
1. great idea for a great cause
2. nyu alum with relevant experience
-
1. very early stage with not much concrete progress</t>
  </si>
  <si>
    <t>Formerly as Crash Course: 
Finalists at Entrepreneur Challenge 2022
Stern Venture Fellows 2022</t>
  </si>
  <si>
    <t>Affiliated with Xlerate Health in Louisville. 
Past participant in the Elevate Ventures pre-accelerator
We are a Purdue Foundry company and I am active in a startup CEO group they sponsor. 
Pepperdine's Most Fundable Company designation and program 2021</t>
  </si>
  <si>
    <t>Yes, we recently completed the USC Rossier School of Education's EdTech Accelerator.  We also participated in the Edinno Innovation Lab, as well as the Primary Ventures Founder Fellowship.  All of these are free, no equity programs similar to EFL.</t>
  </si>
  <si>
    <t>smart grid engine to integrate HVAC operations in commercial buildings with electric grid operations and markets
need to get over market troubles
build up customer pipline</t>
  </si>
  <si>
    <t>+ Good Deep Tech Venture.
 + We can invite them</t>
  </si>
  <si>
    <t>Small SOM
Need customers and validate market fit</t>
  </si>
  <si>
    <t>-the product relies much on partnerships for getting and integrating various data, it would be challenging to bring such a fully functional and ideal product.
 + could be a fit for next year, once we can see their GTM or market-ready product.</t>
  </si>
  <si>
    <t>Omnic Data provides the World's 1.8 billion aspiring gamers the ability to activate their superpowers.  We do this using computer vision and machine learning to analyze video of their gameplay and make actionable insights on how they can play better.</t>
  </si>
  <si>
    <t>DiT or DT may take a look. Oxford Biodesign Program. Too early. Their technology is highly derivative. I visited their competitors, and no special differentiation can be found in their product.
A device that is connected to a mobile application for monitoring bladder capacity for incontinence patients. It alarms them when their bladder is full. The device can be attached under the underwear in pubic area.</t>
  </si>
  <si>
    <t>Current: entrepreneurship@UBC, Lab2Launch Program
Past: Biodesign program at the University of Oxford (2019), EIT Health Validation Program, Yes!Delft Incubator, Delft, the Netherlands (2019), University of Waterloo, Velocity, Stage 1 (2020), CENTECH Acceleration Health stream (2020), Health Wildcatters.</t>
  </si>
  <si>
    <t>Prescription dispensing automated.  They have some initial traction (which is hard in this complex pharmacy business).  Questions about track fit, scalability, complexity (are their situations in which you need a manual dispenser?) that could be ascertained in interview.</t>
  </si>
  <si>
    <t>Yes, early on we went through a cohort with JumpStart (healthcare) Foundry: https://jsf.co/portfolio/vendrx/ 
JumpStart invested in us via a SAFE and view VendRx as among the top few most promising companies in their portfolio.</t>
  </si>
  <si>
    <t>VoteOurVoice, Inc.  _2022</t>
  </si>
  <si>
    <t>VoteOurVoice is a global, nonpartisan, voting tool that allows people to grade the performance of their politicians. We are solving a problem that most voters have?insufficient data to evaluate politicians.  We?re providing voters with an easy and objective way to make informed electoral choices and hold their politicians accountable.</t>
  </si>
  <si>
    <t>graphs compare and contrast the voting patterns of individuals, politicians, and voting districts
already many ways to get this data
not novel</t>
  </si>
  <si>
    <t>(+)The founder seems passionate about their product
(-)The team seems small
(-)Maybe too early for EFL
(-)Potential market too small
(-)The technology does not seem novel</t>
  </si>
  <si>
    <t>crowded field.  no tech moat.</t>
  </si>
  <si>
    <t>-
1. too early, no justification of validness, invite in future</t>
  </si>
  <si>
    <t>Present testing uses branded gear, test results delayed by specimen transport, &amp; has single readers for each testing type.  Bad interoperability &amp; error prone.  iAssay readers adapt to existing 3rd party test cartridges at POC (no transport), new tests onboarded without a new reader. iAssay?s data mgmt Cloud portal provides test results &amp; raw data</t>
  </si>
  <si>
    <t>addressing a real issue.. some early customers, solid team;  EFL can help them with their business model challenges (which will be key to their commercial success)</t>
  </si>
  <si>
    <t>+
1. good tech setup
2. strong team
-
1. core tech isn't novel</t>
  </si>
  <si>
    <t>-
1. big claim with no evidence or justification
2. no technical experts</t>
  </si>
  <si>
    <t>Not in this company.
Sens.AI used an incubator briefly</t>
  </si>
  <si>
    <t>Enteligent Inc. develops power electronics products that harness more energy from solar power.  Enteligent is developing a high-speed, high efficiency, Fast DC EV charger. 
 Our Fast DC charger is powered directly from solar DC power, eliminating significant losses from the DC-AC-DC conversations that currently waste significant electricity.</t>
  </si>
  <si>
    <t>Why is this company in the digital tech track and not deep tech?  They have an experienced team and have made a product that works and is generating revenue. The innovation is disruptive and will do good for the world, decreasing the use of fossil fuels and lowering the price to charge electronic vehicles.  They made a nice video.</t>
  </si>
  <si>
    <t>developing a trace gas-sensing tool for a multitude of industrial and medical applications
early- will not have a prototype in the next 6 months/ still in R&amp;D stage</t>
  </si>
  <si>
    <t>built data centers using alternative energy
early/ need to show it can scale and get customers
big players already looking to do this</t>
  </si>
  <si>
    <t>+Passionate team
+Large potential market
-Might be too early for EFL
-Small team
-Tech not novel</t>
  </si>
  <si>
    <t>+
1. tech seems advanced and is partially validated
2. good team setup
-
1. need more justification on core advantage</t>
  </si>
  <si>
    <t>-
1. tech isn't novel and hasn't been validated
2. not sure the fundamental need is there</t>
  </si>
  <si>
    <t>+ Generates digital human avatars to enable scalable, made-to-measure fashion to produce custom-fit clothing
 + Avatars directly integrate into 3d design workflows
 - I feel generating a 3D model of the individual is not novel as I know university students use the 3d mapping technology for projects with the advancements in Lidar in mobiles
 &gt; Able to achieve an accuracy of 97% in terms of body measurement of pilot customers.
 &gt; Can see if they have any traction next year as they need to gain more customers
 + Female founders</t>
  </si>
  <si>
    <t>Our parent company is QualDev Inc. We developed the Jewelry Customization Platform.
Jewelry manufacturers would like to capitalize on the growing demand for custom jewelry items. However, current processes and available software are inefficient.
Our platform makes fulfilling requests for custom jewelry items easy for retailers and manufacturers.</t>
  </si>
  <si>
    <t>custom jewelry platform
not a fit for EFL
reject</t>
  </si>
  <si>
    <t>In concept, stage needs time to get MVP and build a customer pipeline
invite next year</t>
  </si>
  <si>
    <t>+Good idea, But early in their funding stage.
 -Tech is in the early stage.
 -More of a business idea than a tech</t>
  </si>
  <si>
    <t>OneDeal has not been affiliated with any startup program as of yet.
Nick Sterlacci has previously partaken in a startup program through the MIT Enterprise Forum with his previous startup.</t>
  </si>
  <si>
    <t>partner with companies in industries that prevent climate change using quantum computer to generate models and make predictions
having an issue with customer traction and business model
wholly-owned subsidiary of PsiQuantum ($3.4B)</t>
  </si>
  <si>
    <t>+Credible passionate team
+Industry experience
+Successful parent company
-Qlimate itself does not seem to be a startup</t>
  </si>
  <si>
    <t>digital marketplace.  right now, they are buying to rent, which makes the company very capital intensive.</t>
  </si>
  <si>
    <t>real-time multi-dimensional data technology intended to help producers of food, pharma, and energy to reduce costs, improve quality, and raise safety. 
get customers and scale
need to show data can be pulled from the images</t>
  </si>
  <si>
    <t>Early Stage in their tech validations, an internet or monitoring SaaS for getting analysis of bioreactions happening.
Needs strong tech people, software engineers</t>
  </si>
  <si>
    <t>Completed:
   INiTS (Vienna, Austria)
   Munich Global Impact Sprint (Germany)
   EIT Food Seedbed (EU)
   TU Munich Venture Labs (Germany)
   Xpreneurs (Munich, Germany)
   EIT Manufacturing (EU)
Ongoing:
   StartLife (Wageningen, The Netherlands)
   EIT Food Accelerator Network (EU)</t>
  </si>
  <si>
    <t>product not yet built and no validation.  seem like they are behind in a crowded marketplace (including EFL alums like DATA Bento)</t>
  </si>
  <si>
    <t>YouVue allows access to high fidelity immersive experiences on mobile devices vis-a-vis a 3D cloud sharing service backed by a novel patent-pending AI algorithm.
This allows 3D Creators to reach mass audiences with the no friction. Enhancing their ability to connect with viewers by delivering superior experience, easy access, and novel usage data.</t>
  </si>
  <si>
    <t>Building platform to reduce friction in the creation and delivery of 3D/immersive content.  It seems like the technical challenge they are solving is to overcome the current infrastructure developed for 2D/video streaming.  Risky, but could take off.  Worth probing more.</t>
  </si>
  <si>
    <t>+Intriguing insight that "psychological safety" can improve employee productivity and reduce turnover
+Softbank investment
+ Trendy as labor markets are currently hot
- No validation (because no data from credible paid pilots)
- Trendy, so what happens if labor markets cool down?
- Competitive space with competitors' products based on clearer tangibles (rather than the fuzzy psych safety)</t>
  </si>
  <si>
    <t>Softbank's Creator Companies LLC made an equity investment in Dailyhuman for its inaugural cohort of the 2020 WeWork Labs Accelerator in New York City. They assessed 800+ startups, with only eight companies accepted. 
Dailyhuman is currently part of the 2022 Softeq Ventures Studio Accelerator in Houston, Texas. Assessment criteria included overall business model, market, sustainability impact, and ability to innovate and disrupt critical areas within digital tech and healthcare.</t>
  </si>
  <si>
    <t>Use architectural designs as inputs to generate estimates, plans and bidding process.  Niche application but could be a leader in this space if it works.  Unfortunately we have little in terms of validation.  If we don't interview this year, worth a revisit next.</t>
  </si>
  <si>
    <t>Digital marketplace.  No credible tech or validaiton.</t>
  </si>
  <si>
    <t>There is not enough technical moat to differentiate this startup. 
Also it is not a fit for EFL.</t>
  </si>
  <si>
    <t>-
1. tech isn't novel
2. lacking long term vision</t>
  </si>
  <si>
    <t>+
1. good idea that addresses a real problem
2. good team setup
-
1. little validation</t>
  </si>
  <si>
    <t>+ Interesting concept to empower permissionless investments (of small sums each but high frequency). 
+ Credible founders and initial traction
- Im still not entirely clear how transaction verification and completion/return distribution works
- Who would agree to make permissionless investments?
- Deck isnt detailed enough
Overall, could be a disruptive idea -- interview to find out more?</t>
  </si>
  <si>
    <t>BoostVC
Berkeley Accelerator</t>
  </si>
  <si>
    <t>make bio-fuel powered rockets substance found on farm
show the cost is cheaper than what's already in the market
move HQ out of Maine</t>
  </si>
  <si>
    <t>+Credible team
+deposit of $30,000 for our first commercial launch
+MVP works
+Tech novel</t>
  </si>
  <si>
    <t>We are 3 international students studying Biotech and Entrepreneurship. Our company, Fun-Guy started because we wanted to find an alternative to all the styrofoam (plastic) being accumulated. Fun-Guy is a play on the words Fungi. We intend to use mushroom mycelium (root structure) to replace disposable plastic  cups and convential packaging.</t>
  </si>
  <si>
    <t>NYU Startup Bootcamp in Spring 2022
Leslie eLab</t>
  </si>
  <si>
    <t>Useful tech and significant improvement from current SOC.
I would cluster them and decide later if we want to interview
The only reason I give them 3.5 is because compared to other companies I saw this one is less innovative and exciting but definitely very useful for the stem cell field</t>
  </si>
  <si>
    <t>too early for EFL.  Invite to the Berkley Challenge.</t>
  </si>
  <si>
    <t>DiT startup
Optimization algorithm platform and APIs 
A bit early- Need funding</t>
  </si>
  <si>
    <t>+The founder seems passionate about the product
-The company seems to early for EFL</t>
  </si>
  <si>
    <t>very competitive field.  we would want to see more customer traction for such a company to compensate for absence of a deep technical moat.</t>
  </si>
  <si>
    <t>-
1. tech isn't novel
2. very crowded space
3. heavily dependent on aws quicksight</t>
  </si>
  <si>
    <t>digital diagnostics devices designed to predict and quantify health state
ongoing clinical trials across the globe with big partners
move past COVID screening
need to get tech to scale and show it can work in a multitude of areas
 IRB-approved clinical trials in over 5,000 participants</t>
  </si>
  <si>
    <t>+Team seems credible and passionate 
+The technology is novel
+They have raised a lot of money
+The vision is compelling</t>
  </si>
  <si>
    <t>Y-Combinator, W22
MISK Prorgram in KSA</t>
  </si>
  <si>
    <t>novel modular device that can convert carbon dioxide, water, and methane from the atmosphere into valuable products such as solid carbon
needs a qualified team
need to build the actual product 
needs more data to proof it can work</t>
  </si>
  <si>
    <t>+
1. team has ample experience in the field
-
1. tech implementation isn't very clear
2. not a lot of evidence of tech working</t>
  </si>
  <si>
    <t>Direct to consumer product like massage gun
not a fit for EFL/ reject</t>
  </si>
  <si>
    <t>Troverlo's patented technology enables any Wi-Fi chip to be an asset tag, and more importantly Troverlo can locate and gather insights from these assets anywhere in the world with no connectivity and no configuration.  This is revolutionary because the cost of adding this to an asset is less than $1, and the cost of connectivity has been eliminated</t>
  </si>
  <si>
    <t>+ Technology that enables any Wi-Fi chip to be an asset tag
 &gt; Can be game-changing in the field provide it attracts more customers quickly as their many companies trying to do the same thing example Apple tag or Samsung tag 
 &gt; Interested to see how can it be scaled to larger market size</t>
  </si>
  <si>
    <t>display technology intended for more colorful displays.  novel light-emitting materials and devices, enabling users with enhanced efficiency and color gamut of displays.
Needs funding and get the product into production
device fabrication and image processing</t>
  </si>
  <si>
    <t>+Credible team
+Novel technology
+Large potential market</t>
  </si>
  <si>
    <t>This is a really motivated founder who is keen to tap into her NYU Stern alumni network and entrepreneurship programs.  She has a good grasp about the challenges in quick-commerce as well as fashion retail and seems practical and grounded.  The team seems strong, with a solid background in fashion.</t>
  </si>
  <si>
    <t>Whyzers  _2022</t>
  </si>
  <si>
    <t>Passage Health provides modern software solutions for Applied Behavioral Analysis (ABA) providers.  ABA is primarily used to treat patients with Autism Spectrum Disorder (ASD).  Passage?s solution includes clinical and practice management software that provides a radically simpler and intuitive experience for clinicians and patients.</t>
  </si>
  <si>
    <t>Puro Bioplastics, Inc.  _2022</t>
  </si>
  <si>
    <t>additive technology for non recyclable plastic
not replacing the full production just pieces of it
needs customers
what's the tech?
too early</t>
  </si>
  <si>
    <t>+ 3 products - Agaveplast &amp; Oysterplast and Puroplast Bioaccelerator
 - No customers yet but working with 10 customers in trails currently
 + An additive technology that enables the conversion of hydrocarbon molecules into short-chain molecules that can be consumed by microbes. 
 + Seed amount raised : $1,275,000</t>
  </si>
  <si>
    <t>HeartHealth Technologies  _2022</t>
  </si>
  <si>
    <t>Hearthealth Technologies 
is transforming Cardiac care with its AI-driven Cardiovascular  Clinical Decision support solution. ONEcardio assists cardiac imagers make faster, accurate screening, diagnosis, prognosis and risk stratification. Clinicians can then use this information to determine treatment and to improve patient outcomes.</t>
  </si>
  <si>
    <t>cardiac  imaging Analyses platform with multimodality support and implementation relevant Imaging biomarkers &amp; Quantitative Imaging techniques
needs data to prove tech works in helping doctors make diagnosis
too early</t>
  </si>
  <si>
    <t>+Credible well developed team
 -Potential market not very large
-Tech not very novel
-Might be too early</t>
  </si>
  <si>
    <t>Not sure about the product-market fit. Since this problem is being solved through several different solutions currently, and it is not easy for an enterprise to shift to their solution.
The market size is too narrow for this solution, and they are struggling with acquiring customers, which means they are not promising for gaining a big market share. There isn't any tech innovation in their product, and it is obviously not patentable.</t>
  </si>
  <si>
    <t>Yes.
We have participated in several of those:
1. MITA TechHub pre-accelerator in 2021. Oxus.AI was selected as Top 5 startups of the batch.
2. Startup Wise Guys (SWG) - The biggest SaaS accelerator in Europe. SaaS batch Vilnius 2021. Raised the biggest pre-seed in the batch. SWG invested together with other investors in our pre-seed round.
3. 70 Ventures - No 1 revenue accelerator in Europe. They invested together with other investors in our pre-seed round.</t>
  </si>
  <si>
    <t>+
1. interesting idea
2. good team setup
-
1. tech might need more justifications</t>
  </si>
  <si>
    <t>Engine that can to reduce CO2 emissions
too early need to show the engine can work in the real world
needs a team, solo founder</t>
  </si>
  <si>
    <t>+ Drive system that can continuously vary the displacement of an engine through a change of stroke with automatic compensation of the compression ratio
+Grant of 1.150M U.S. Department of Energy
- Need to build full-scale engine prototype model yet</t>
  </si>
  <si>
    <t>EMPIRI was a resident of Johnson &amp; Johnson?s JLABS incubator from May, 2019 to July 2022. Unfortunately, due to COVID19 and the lack of a site director at the Houston incubator for the majority of the time we were in residence, we were not able to take advantage of the program. We recently moved into a larger lab space to facilitate our CLIA certification and launch of the E-slice assay as an LDT. Our co-founder, Kyuson Yun, is an Associate Professor in the Department of Neurology at the Weill-Cornell Medical College and Houston Methodist Research Institute; an Adjunct Assistant Professor with Texas A&amp;M Medical College, and had other faculty appointments previously. Dr. Yun was selected for the Equalize mentoring program sponsored by the WUSL Technology Management office and the Osage University Partners for female faculty startups.  EMPIRI was also selected for the State of Texas Technology Commercialization Center's "Texas Ideation Discovery Bootcamp 2022" program.</t>
  </si>
  <si>
    <t>The idea is original and the founders are onto something;  the validation is required to provide a proof of principle that the platform will work; can they provide a demo for next year? Moda needs a beta version!</t>
  </si>
  <si>
    <t>Women founders
A bit early and needs to prove the product and raise funds, no plans yet to raise</t>
  </si>
  <si>
    <t>+Has the potential to capture good market size as there are no competitors in the segment other than traditional operators 
- Have a small team and also they are working part-time which can take a long time to develop 
- In need of funding as of now they don't have any funds for the product</t>
  </si>
  <si>
    <t>currently part time founders, but very exiciting tech; changing animal to synthetic product;  did not disclose funding. currently in process of negotiating with large beauty company. seems early over all, no deck or website to refer back to. unsure of what the stage of negotiating they're in. App had a lot of TBD answers</t>
  </si>
  <si>
    <t>Big market potential. Early in the stage, they want to be
Needs to get to MVP or R&amp;D stage to prove the tech
Supply chain issue and NEED FUNDING</t>
  </si>
  <si>
    <t>They have a good team, and fair funding, I am curious to learn about their business model.
Good Fit for next year.</t>
  </si>
  <si>
    <t>ELANZA is a personalized wellness platform helping people through life?s most stressful experiences, such as fertility treatment, divorce and grief. 
Blending the magic of highly tailored 1:1 sessions by video with a Board Certified coach with algorithmic support pathways, we help people move through stress and make more confident decisions.</t>
  </si>
  <si>
    <t>+
1. interesting idea
-
1. still in conceptual stage
2. not enough technical talents</t>
  </si>
  <si>
    <t>We graduated Techstars New York in 2021, under Jenny Fielding (now managing partner at The Fund).
We also went through YCombinator Startup School (online) and have been involved in several female entrepreneurship groups such as Women's Entrepreneur Program at the King's College London Entrepreneurship Institute in the UK, led by Julie Devonshire OBE, founder of One Water.</t>
  </si>
  <si>
    <t>+ Good validation and revenue growth
- Competitive space and niche market</t>
  </si>
  <si>
    <t>+
1. interesting implementation of a known tech
2. solid progress so far
-
1. tech itself isn't novel
2. need more justification of the fundamental need for AI in this field</t>
  </si>
  <si>
    <t>interesting if indeed animal tracking and solving latency problems is an issue.  my main question is if this is primarily a marketing play at this point to force viewership and revenues???</t>
  </si>
  <si>
    <t>+
1. great idea
2. strong team
3. has a core tech component</t>
  </si>
  <si>
    <t>oxygen via pillow with face sensors
Need a business model
Need to scale and grow production
Invite next year</t>
  </si>
  <si>
    <t>Good Product Vision, lacking a strong customer acquisition model. On their way to file with FDA.
Invite them next year.</t>
  </si>
  <si>
    <t>From planning all the way to automatic meeting minutes, Clearword extracts the value from your conversations to make them shareable, searchable, and accessible. 
This way, you and your team stay connected and always up-to-date, without having to over-communicate or have more meetings.</t>
  </si>
  <si>
    <t>DiT
all-in-one meeting platform automates your meeting notes, providing records, transcriptions, and smart meeting summaries
Few competitors in the space already
Good team from MIT
Need to get customers and scale</t>
  </si>
  <si>
    <t>+Working MVP
+Team have had exits from successful startups 
-No customers
-Too early for EFL</t>
  </si>
  <si>
    <t>The company makes environmental, social, and governance(ESG)  investment based on news and social media trends. Their pilots are carried out for 2 big banks in Europe.</t>
  </si>
  <si>
    <t>Avior is a pharmaceutical company focused on the treatment of pruritus (itch) and inflammatory skin disease in liver disease.  With 2.5 million Americans suffering from pruritus with liver disease and no approved drugs, Avior wants to be the first cure to market a solution for this ailment.</t>
  </si>
  <si>
    <t>Yes.  In the past as described earlier</t>
  </si>
  <si>
    <t>smart portable cooling technology to solve cold chain transportation and storage issues
running out of runway
needs a customer pipeline
product already int he market what make shtis unique</t>
  </si>
  <si>
    <t>-Tech does not appear novel
-Market not very large
-Might be too early for EFL</t>
  </si>
  <si>
    <t>SEED is a benefit corporation whose mission is to democratize agtech by helping urban and underserved farmers grow smart and feed more.  We use precision irrigation and carbon monitoring to fight food insecurity and create access to carbon credit markets -- anywhere in the world.</t>
  </si>
  <si>
    <t>SEED is currently a portfolio company of the Los Angeles Cleantech Incubator.  We have participated in their Founders Business Accelertor, their 2-year Incubation Program and their Equity Innovation Program.</t>
  </si>
  <si>
    <t>Social media app.  Not a fit.</t>
  </si>
  <si>
    <t>Needs validation
Many players already, how will this scale and be proven to be the best?</t>
  </si>
  <si>
    <t>&gt; Financial services built on the blockchain to customers
 - Not much information on Tech and need to provide more details in the application</t>
  </si>
  <si>
    <t>two-sided marketplace is difficult
the idea is ok but at scale, orgs have to put two people on payroll and extend benefits which is costly
need to show it can scale and a merket</t>
  </si>
  <si>
    <t>Yes - 
London Business School - Incubator 19/20
People Tech Partners Q3 21 
Techstars Workforce Development - Q4 21 / Q1 22   
Techstars re-invested in our seed (above the initial accelerator round)</t>
  </si>
  <si>
    <t>+ addressing real need 
+ excellent team
+ right stage for EFL looking for advice</t>
  </si>
  <si>
    <t>Need funding to further develop on technology and commercialize
Compare to others in this space if Clustering is needed</t>
  </si>
  <si>
    <t>+The team seems credible with engineering experience
+Large potential market 
-Unproven product
~Small team</t>
  </si>
  <si>
    <t>Digital twin simulator
Needs a differentiator to compete
DiT startup</t>
  </si>
  <si>
    <t>Too early, product not fully built and no validation.  Adoption will be the main challenge.  Invite for next year.</t>
  </si>
  <si>
    <t>DiT startup
AI-powered tools for sustainably extracting raw minerals
Scott S. interested?
$3M round with $2M circled</t>
  </si>
  <si>
    <t>Techstars
43North</t>
  </si>
  <si>
    <t>Nanostructures of gold catalysts at room temperature
Has some pilots but needs to prove there is a market
Need to prove the tech can work at scale</t>
  </si>
  <si>
    <t>Crowded space.  Too early with little validation. Ask to apply next year.</t>
  </si>
  <si>
    <t>+Most downloaded business app in Lat America!
+ Impressive partners and growth
- Is the tech novel (it is not)?
- How can EFL help with growth in LatAm market?</t>
  </si>
  <si>
    <t>Allows healthcare providers to dispense pills connected with health data
not novel tech but could capture some market if MVP is tested and data shows it can scale</t>
  </si>
  <si>
    <t>+Pill dispenser that connects individual patients at home via nucleusRx's platform
+E-prescription from the EHR
- Not a high-tech solution or product as there is no novelty in the product</t>
  </si>
  <si>
    <t>If someone wants to create a space launch vehicle company now, they must build the entire rocket first.  We believe that the rocket industry is moving toward the aircraft manufacturing model, where someone builds engines, or wings, and others integrate them like Lego blocks to make an airplane.  We want to be the company that sells affordable and r</t>
  </si>
  <si>
    <t>Venture is still a one man army, they needs strong team to realize their goals.
If they would specify strong business plans, Partnerships Strategy, then we could think to call them for interview. 
However I would suggest them to apply next time.</t>
  </si>
  <si>
    <t>+The team is very credible and passionate
+The small satellite launch market is growing
+They need funding
-Their engine design is not mature</t>
  </si>
  <si>
    <t>Incorporated in Hong Kong, Eureka FinTech Limited (Eureka FinTech) aims to be a pioneer in providing innovative KYC (Know Your Customer) information including supply-chain information, AML and compliance solutions.  Our platform integrates into one single platform big data and private data vendor databases by utilizing AI and graph technologies.</t>
  </si>
  <si>
    <t>- Technology has gone through validation. 
- Product market fit is timely the need for renewed compliance given global supply chain disruptions. 
- Team members have relevant industry experience and complimentary skillsets.</t>
  </si>
  <si>
    <t>Technical innovation validation is indirect. But the team background seems strong.  If interviewed, ask for technical evidence.</t>
  </si>
  <si>
    <t>a.	Became member company of Hong Kong Science &amp; Technology Parks? (HKSTP) Incubation program
b.	Became member company of Hong Kong AI Lab Accelerator program
c.	Became Microsoft Formal Partner and member company of HKSTP &amp; Microsoft Jointed Incubation program
d.	Became member company of HKSTP &amp; AWS SaaS Accelerator program
e.	Joined as project partner with the Engineering school of Chinese University of Hong Kong - CEFAR program
f.	Joined as project partner with the Law school of Hong Kong University - LITE program
g.     Joined as project sponsor with the MBA program of Indiana University - Kelly School</t>
  </si>
  <si>
    <t>- MIT fuse, Fall 2019 in Cambridge MA
- Halcyon incubator in Washington DC 2019
- Verizon 5G labs 2020 Boston and New York
- Harvard innovation lab, Boston MA spring 2020
- Washington Technology Industry Association, 2021, Seattle, WA. 
- NEXT AI, Fall 2021
https://www.nextcanada.com/2021-cohort/
- Expert Dojo, healthcare cohort winter 2022
https://expertdojo.com/portfolio/
- Novartis MS innoavtion 2021:
https://www.wired.com/sponsored/story/novartis-explores-the-future-of-assistive-tech-in-multiple-sclerosis/
- Parrots Awarded AWB 2021 Entrepreneur of the Year: 
https://www.flyparrots.com/news-1/awb-2021-entrepreneuroftheyear
- Global good funds, 2022</t>
  </si>
  <si>
    <t>change to DT; "social robot"; tech isn't well described, seems to literally be a robotic parrot. unsure of real target audience. 900 users and 360K raised. potentialy strong team with MIT rep, strong recognition. No validation provided,  Founder seems both credible, but then also has red flags. says they were part of a harvard lab, but also was not on their cohort website</t>
  </si>
  <si>
    <t>Metfora is developing a test that can detect a broad range of chronic diseases from a simple blood draw.  The test will enable physicians to diagnose these diseases while still in their early stages. The patients will receive a definitive diagnosis and can begin the appropriate treatment before the disease progresses and becomes less responsive.</t>
  </si>
  <si>
    <t>they claimed that they are going to launch their product in 1.5 year, which is unrealistic. They have a long way towards approval and technology validation is in early stage. 
This invention is limited by mass spectrometry, which is one of the most expensive instrument in the laboratory ($400K-$800K).
On the other hand, their BM is to do the tests in their own lab, which brings scaling limit.
I want to know more about their next steps towards approval and commercialization.</t>
  </si>
  <si>
    <t>+ 
1. Core technology is advanced, and its rigor tested both in academia and research
2. The problem the company is trying to solve is a real one, and the team seems to possess the experience and skill to attempt a solution
3. The startup is already working with customers, and the model of their business seems sustainable, at least from the technical point of view.</t>
  </si>
  <si>
    <t>Used data to manage refrigeration temperature
needs to show that the data can show savings and scale</t>
  </si>
  <si>
    <t>We are currently participating in MIT's Delta V accelerator program.  We have also participated in multiple MIT programs and competitions including MIT's $100K competition (runner-up) and MIT's $15K Creative Arts Competition (winner).</t>
  </si>
  <si>
    <t>They are already fundraising for Series B - little too late for EFL?
Can it cause blood clotting?</t>
  </si>
  <si>
    <t>Seed  Other: Seed add-on</t>
  </si>
  <si>
    <t>Their application is very poor - they didnt even mention the names of team members (CEO etc), didnt give any details or data 
I learnt everything from their website</t>
  </si>
  <si>
    <t>Vectra's Auto2D automates the Generation of 2D Engineering Drawings/3D Annotation (from 3D CAD models).  The manual creation of 2D/3D Annotation is a dreaded bottleneck in the Manufacturing sector.
?Our clients benefit from:
?Reducing Lead-time from weeks to hours &gt;50% Cost Savings. ?Dramatic reduction in Manufacturing non-conformances</t>
  </si>
  <si>
    <t>DiT
Auto2D automates the Generation of 2D Engineering Drawings/3D Annotation
lots of platforms trying to tackle this already
tech not novel</t>
  </si>
  <si>
    <t>+ Automates the Generation of 2D Engineering Drawings/3D
Annotation
 + Founder has startup experience
 + $30k/Month from 2 clients Seed: $2,000,000
 &gt;r Machine Learning system that has the ability to extract information from customers' reference 3D CAD models
 &gt;&gt; Not a crazy tech and it doesn't take much time for making a 2d model in the engineering sector even when the system generates people have to verify the drawing which eventually takes time.</t>
  </si>
  <si>
    <t>Y-Combinator Start up school graduate -  Winter 2019 Batch.</t>
  </si>
  <si>
    <t>The Ankler was part of Y Combinator's Winter 2022 class.  Previously, Richard went through The Information's accelerator program.</t>
  </si>
  <si>
    <t>plant wall
no real tech
not a fit for EFL</t>
  </si>
  <si>
    <t>(-)The technology does not appear to novel
(-)Might be too early</t>
  </si>
  <si>
    <t>Countless applications stand between teams and information. The result? Unprecedented fragmentation and a $52bn opportunity.  
Omnifia is an AI company that transforms workplace productivity through the connection of information, surfacing highly relevant insights and unlocking superpowers for its users.</t>
  </si>
  <si>
    <t>SaaS that connects information, surfacing highly relevant insights of other SaaS products
What's the tech? The app is not great
saturated maket</t>
  </si>
  <si>
    <t>+Intelligent Virtual Assistant
 - Not a big market as many people from small to big tech companies working on the same issue
 - early to EFL also I think it is not suited for DT 
 - Need more customers, Maybe too early for EFL?</t>
  </si>
  <si>
    <t>GaleSun Technologies is creating a new ultrasound imaging modality - one that is flexible, wearable, and hands-free.  As a diagnostic tool, the wearable and hands-free design is unique in the marketplace. It is easy to use, does not require a second set of hands, and can monitor a variety of vital signs.</t>
  </si>
  <si>
    <t>- In two clinical studies now. Planning to present intermediate results in 6 months. 
- No customers and no revenue. 
- There are a number of competitors in this larger area of using music for mental health.  
- Scope of product-market fit is too narrow: only on dementia patients.
- Too early for EFL. Need to show more traction.</t>
  </si>
  <si>
    <t>HR tech is a very crowded space but this has a unique spin on work history
need to scale and get paying customer into pipeline to show there is a market for the product
prove the tech can work</t>
  </si>
  <si>
    <t>Patents are not issued yet but filed 
Not very novel but important 
What is the specificity?</t>
  </si>
  <si>
    <t>novel tech to take on a market that will likely grow.  some initial validation and traction.</t>
  </si>
  <si>
    <t>automated waste sorting system which uses a machine learning algorithm paired with a robotic arm and optical sensors used to remove any plastic, glass, and metal from the food waste stream
early and need to scale
what's the moat?</t>
  </si>
  <si>
    <t>&gt; Automated waste sorting system which uses a machine learning algorithm paired with a robotic arm and optical sensors used to remove any plastic, glass, and metal from the food waste stream
 + Has a full-scale working prototype
 + Seed:$375,000 &amp; Circled 600k in 2m fundraising
 &gt; Need to show the proof of model as per claims</t>
  </si>
  <si>
    <t>helmet with sensors that measure the dielectric properties of the brain tissue.
has mouse study data
needs to show it can be produced
scale with a plan to get pilots / customers
women founders</t>
  </si>
  <si>
    <t>+Developing portable brain scanners for early diagnosis of stroke
 -  Need to gain customers currently zero 
 + Female founder</t>
  </si>
  <si>
    <t>virtual fencing system that helps cattle ranchers increase
scale of the tech | novel?
what's the moat?
ranchers do that have a ton of cash on hand to dpot new tech</t>
  </si>
  <si>
    <t>+Good idea
+Large potential market
+Provisional patent
+Founders seem credible
+Developed product</t>
  </si>
  <si>
    <t>They got 4.5 from Chris and Chintan and got an interview invite last year. What happened? And apparently in 2021 they said that they also applied before - so it is their third time??? Also I am named as a reviewer when they applied in 2020 but I wasn't at EFL yet , but they also got an invite in 2020
They say they were referred by Jonathan Friedlander, but they mentioned the same in 2021 - just want to double check that Jonathan still referred them for this year too</t>
  </si>
  <si>
    <t>grow any strain of cannabis, any time of year directly at home
like the indoor tomato growers plant base in your house</t>
  </si>
  <si>
    <t>Applied in 2020 and got 2, they say that compared to their 2020 app "We are generating revenue and imminently releasing 2 products."
Referred by Nicole McKnight - Managing director BioLabs</t>
  </si>
  <si>
    <t>- Founders have deep experience in startups.
- Need further guidance on the beachhead market development. 
- Winner of CES shows some validation. 
- Should interview.</t>
  </si>
  <si>
    <t>digital market place.  no deep tech or moat.</t>
  </si>
  <si>
    <t>Important piece of cybersecurity.  But company provides very little detail despite having achieved significant traction with revenues and fundraising. interview to learn more.</t>
  </si>
  <si>
    <t>calendar app.  could take off but dont see a technical moat.  no paid customers yet.</t>
  </si>
  <si>
    <t>political media outlet and social media platform that uses AI to have transparency and user fact-checking
women founded team</t>
  </si>
  <si>
    <t>Tau Drones is an energy analytics company from North Dakota that automates building energy inspections using UAS technology and artificial intelligence. Tau Drones provides actionable energy and emission information to facility managers of public and private institutions  to ensure reduced operational costs.</t>
  </si>
  <si>
    <t>DiT
thermal imaging system with a custom-made AI that helps facility managers justify building modifications and renovations 
Others can do this already</t>
  </si>
  <si>
    <t>Tau Drones has been affiliated to a few startup programs and institutions:
- InnovateND program (State program)
- University of North Dakota Center for Innovation
- National Science Foundation's Innovation-Corps (I-Corps) Program (National Level as well as the Midwest Node)</t>
  </si>
  <si>
    <t>Platform for protein degrading therapeutics that makes undruggable targets druggable. It is called SPiDEM - selective protein degradation enabling moiety. They've discovered targets with SPiDEM in different cancers, AD, and Parkinson's and are in talks with biotechs  to license the technology - need help negotiating. They only have provisional applications, so there is nothing to license yet! SPiDEM utilizes both proteasome- and lysosome-dependent degradation and is effective for soluble proteins, aggregated proteins and membrane proteins. They showed enhanced PK profiles and BBB penetration in mouse studies (data not provided). Team is 3 professors from Seoul, all part-time, with a full-time CFO. Raised $14M and referred by the Biorchestra CEO (EFL Alumni).</t>
  </si>
  <si>
    <t>build eco-friendly, cheaper, faster, and more durable home materials for the automated prefab production process.
early need to get into pilots and show it can scale
show it's safe and easy to scale production</t>
  </si>
  <si>
    <t>+ Aiming to revolutionize the housing construction industry with their new material High-Density Gypsum. Gypsum is a polycrystal
in which there are two kinds of bonds - non-strength and
crystallization-strength which is cheap to produce hardens rapidly and is highly eco-friendly.
- Need customers</t>
  </si>
  <si>
    <t>3D print that is faster, stronger and cheaper than anything else on the market.
for mass production 
industry has been slow to grow with lots of solutions in the market-built customer pipeline and a moat</t>
  </si>
  <si>
    <t>(+)The team seem credible with PHD in Mechanical Engineering
(+)The technology seems novel
(+)Large potential market
(+)Contract with airforce 
(-)Might be too early for EFL</t>
  </si>
  <si>
    <t>Demonstration of two 16-qubit processor architectures 
Fabricating processors with the necessary technical specifications
Need to raise funds but could run into issues.</t>
  </si>
  <si>
    <t>+Credible team
+Novel technologie
+Revenue and a lot of funding
+Compelling vision</t>
  </si>
  <si>
    <t>Founder Institute, Palo Alto, CA, January-April 2018
Cyclotron Road (now Activate), Berkeley, CA, April 2018 - December 2020</t>
  </si>
  <si>
    <t>KYTE is a drone delivery company with a patented, industry-leading solution that enables safe deliveries even in strong winds. KYTE will deliver to customers suffering from an emergency medical situation (e.g., defibrillators, epipens, etc.)  within 2 minutes while traditional ambulances can take anywhere from 8-30 minutes.</t>
  </si>
  <si>
    <t>drone delivery tech. enables precise deliveries even in strong winds and can deliver into small landing areas
still need to see what the system looks likes
a bit early
consider next year</t>
  </si>
  <si>
    <t>+  Drone delivery company that enables safe deliveries even in strong winds
+ preseed round to start in q4 for 2M
- No customers yet ? Product demo if the product is ready? 
 &gt; Can consider next year with product demo and customers along with FAA approval is done</t>
  </si>
  <si>
    <t>StartX (https://startx.com/about)
Wharton VIP-SF (https://venturelab.upenn.edu/vip-san-francisco)</t>
  </si>
  <si>
    <t>if we are betting on web3, this looks like a top candidate.  a large part of how web2 works with monetization is through advertising.  if this works, then frontier could have a great first-mover advantage in helping brands to transition to web3. worth interviewing. they have some initial partnerships with large corps (LG is mentioned).</t>
  </si>
  <si>
    <t>raising a large round; has excellent revenues, but with no deck or other info, hard to gauge technical innovation here.  will be a successful company but is this for EFL?</t>
  </si>
  <si>
    <t>Niche market + good traction.  No tech moat.</t>
  </si>
  <si>
    <t>$300K  cash.</t>
  </si>
  <si>
    <t>Leveraging radio networks to conveniently distribute data with Police seamlessly during a traffic stop.
Concept stage
what's the tech?</t>
  </si>
  <si>
    <t>- In concept phase 
 &gt; utilizes radio networks to solve inefficiencies for policemen and Motorists during traffic stops but how are they doing it ?
 + Founder is NYU Stern member 
 ? like to raise $150 Million dollars (Big numbers for fundraising)
 &gt;&gt; Not fit for EFL for this year</t>
  </si>
  <si>
    <t>search platform that is verified by users
tunnel for only seeing the information you want to see</t>
  </si>
  <si>
    <t>Disscuss-km
producing meat protein ingredients (mB-myoglobin)grown entirely inside of plants
need a proven MVP and show it can be commercialize
-too early?</t>
  </si>
  <si>
    <t>+Novel tech
+Credible team
+Large potential market</t>
  </si>
  <si>
    <t>stock advise and portfolio management system combined for smaller retailers
lots of players already in the industry</t>
  </si>
  <si>
    <t>needs validation app doesn't really say much about how's it done
early, need a market, customer pipeline
scale, prove of concept</t>
  </si>
  <si>
    <t>+ Thermochemical and biological technology to produce Renewable Energy, Biochar, Organic Biofertilizers, and Biochemicals from waste biomass
+ HyPyrogestion technology - an integration of Hydrolysis, Anaerobic Digestion (AD) and Pyrolysis
+ One of the founder is affiliated with NYU 
+ Need to gain customers</t>
  </si>
  <si>
    <t>KAWA Analytics is the first no-code and collaborative data intelligence platform that combines the flexibility of a spreadsheet and the power of a BI tool. It blends the simplest interface, the most advanced analytics with the fastest processing engine on the market.  
With KAWA, we are giving the business users full control of their data.</t>
  </si>
  <si>
    <t>- Zero customers and zero revenue. Shared no information on plan for customer discovery. 
- 1 part-time cardiologist on the team. 
- Really early technology.
- Invite for interview next year.</t>
  </si>
  <si>
    <t>- Early pilot customers and no revenue. 
- Meaningful business model that might be hard to scale.
- Not an EFL fit.</t>
  </si>
  <si>
    <t>Quota provide transparency, speed and protection to the residential rental market. Quota solutions reduce the financial barrier for young tenants, improve access to rental housing, establish a relationship of transparency and trust between tenant and landlord, provide landlords with protection tools  as financial and insurance products</t>
  </si>
  <si>
    <t>Demium (biggest Spanish incubation for pre-team/pre-product ventures)
Lanzadera (most prestigious acceleration program in Spain)
Aticco DAS (Specialized in insurance)</t>
  </si>
  <si>
    <t>DiT
Provider of artificial intelligence-based quality inspection technology and data analytic solutions
claim to have $10M in sales
Need to show the market traction</t>
  </si>
  <si>
    <t>+ Company focuses on industrial visual defect detection and provides standardized S/W and H/W platform
 + Claims that it generated $10000000USD
 &gt; I have worked in a factory but I didn't see the trend in AI visual inspection to full scale 
 - Not much information is provided and said to contact them for further information 
 - No information on team</t>
  </si>
  <si>
    <t>online intermediary with no tech moat. produce not into mvp yet.  too early plus not a fit.</t>
  </si>
  <si>
    <t>Tripoverse is a 360 VR video sharing service where travelers can explore destinations and experiences immersively.
Reducing the time of long &amp; exhausting search 
Optimizing navigation via geo-targeted world map
Meeting traveler?s expectations with true to life form 360VR videos worldwide</t>
  </si>
  <si>
    <t>provides a digital receipt-based customer engagement platform
like Halla but with receipt to show promotions to customers
birck and morder stores are stuggleing but many already have options to send receipt to email</t>
  </si>
  <si>
    <t>Are they using spider silk or just spidroin protein?
Referred by John Butler and Phillip Hustad - who are they??</t>
  </si>
  <si>
    <t>Igugu Global provides intelligence and analytics that make it incredibly easy  to search, structure and trade sustainable assets; by offering consistently comparable climate analytics for financial actors growing cross sector, and multi geography portfolios  across Africa.</t>
  </si>
  <si>
    <t>nanomaterials that are capable of energy storage in Lithium-ion batteries
$90M valuation
strong team, but having issues with scaling 
lots of capital to get production going</t>
  </si>
  <si>
    <t>(+)The technology seems novel
(+)Raised 6 million and currently raising $48,500,000 
(+) should improve energy densities by 50%.
(+)Increased Life-Cycle projected to improve more than 2X
(+)Faster Charge-rate projected to safely enable charging 5X faster than current rates
(+)Lower variation in cells capacity by approximately 15%</t>
  </si>
  <si>
    <t>we have many of these companies -- tough to tell apart one from another.  success contingent on web3 uptake</t>
  </si>
  <si>
    <t>- Beachhead is in the Middle East. Does not give clear information on application beyond its beachhead region. 
- Demonstrated traction with $320K in ARR. 
- Application's product information is confusing, showing language barrier.
- Not a fit for EFL.</t>
  </si>
  <si>
    <t>reactor technology that produces biobased chemicals at scale
need to build many low-cost reactors but facing issues
needs a business model</t>
  </si>
  <si>
    <t>+ Replace petrochemical adjuvants in agrochemicals through the conversion of biomass into surfactants and carbon-negative soil.
 +Reactor technology which enables the cost-competitive conversion of plastic waste and biomass into chemicals to replace petrochemicals
+ Preseed: $680,000
 + Team looks solid and can capture good market size</t>
  </si>
  <si>
    <t>like a lot of fintech products in the US this one offers a credit card and data for customers to track finances
build credit scores
not a novel idea but can have a big impact for the Indian market</t>
  </si>
  <si>
    <t>this has the potential to have a very large impact and focusing on employers helping employees seems like a good approach.  they raised a significant seed and have paying customers.</t>
  </si>
  <si>
    <t>Their deck is in Portuguese 
How come they have NYU affiliation?</t>
  </si>
  <si>
    <t>build a portfolio of sustainable facilities utilizing robust technologies
these facilities will allow the company to recover and recycle more plastic by using different technologies
takes lots of capital upfront
show there is a product fit and make review</t>
  </si>
  <si>
    <t>+ Building a portfolio of sustainable facilities utilising robust 
 technologies to tackle the growing waste management problem of plastics and the looming energy gap
 - Early to approach EFL can look at it Next year with more data with full scale output
 +? Pressed: 424000 and thinking of training 2-30M per site in fundraising (30M)?</t>
  </si>
  <si>
    <t>interesting and potentially game changing innovation if it works.  would like to see how much water is actually saved and use cases where it performs.  licensing business model may also limit value capture.</t>
  </si>
  <si>
    <t>DT
anti gravity faucet
small market? seem to be underestimated
show it can work and saves water</t>
  </si>
  <si>
    <t>holographic 3D visualization solutions which do not require any
headsets or goggles
other tech can already show 3D data 
seems early and need to get a use case and product market fit
most founders are part time</t>
  </si>
  <si>
    <t>makes industrial power generators that use up to 40% less fuel
concept stage
too early</t>
  </si>
  <si>
    <t>(+)Technology seems novel
(+)They were in Y combinator
(+)The team seems credible
(+)$28M in LOIs for future production model
(+) $74k in pilot unit contingent contracts to be paid upon demonstration of our prototype unit
(-)They do not have a lot of industry experience</t>
  </si>
  <si>
    <t>+
1. solid progress so far with considerable amount of clients
2. tech is advanced and seems to have a good implementation 
3. strong team</t>
  </si>
  <si>
    <t>AsisVisa Immigration Corp  _2022</t>
  </si>
  <si>
    <t>Sputnik ATX, Austin TX. 
Startar Acceleration, New York City, 
Seed Spot, Arizona, USA. 
InnoTIC Challenge 100 M, Universidad de los Andes, Colombia. 
Cube Ventures, Bogota, Colombia.</t>
  </si>
  <si>
    <t>Greenfields will use blockchain and other aspects of fintech to create a digital platform to globalize susu which can serve as a poverty alleviation tool for governments, communities, and small businesses in the  the Caribbean, African, Indian, the Middle Eastern, and South/Central American regions that currently use susu in an analog capacity.</t>
  </si>
  <si>
    <t>Concept stage.  Too early for this year.</t>
  </si>
  <si>
    <t>Yes. As of  August 8th, we will have completed the Cornell Johnson Summer Startup Accelerator (JSSA). This Ithaca based accelerator was pivotal in creating a close-knit community while ushering us through the initial (mis)steps of customer inquiry, hypothesis testing, objective setting, etc. We were provided mentors and EIR's  who helped to pressure-test the initial ideas and numbers. We are now ready to begin preseed investigation and funding as a result of the work accomplished there.</t>
  </si>
  <si>
    <t>Apply next year if have some prelim data
If we interview then it is only based on the promise of this approach but not based on the actual data they provide</t>
  </si>
  <si>
    <t>DiT
uses machine learning and proprietary data sets to offer an end-to-end framework covering real-time risk scoring</t>
  </si>
  <si>
    <t>+A DiT startup
 +Impresive Seed Investors like Kunal Shah from CRED, Amrish Rao.
 +Giving it a 4 and would like to them to interview, as they have a strong team, clear vision, and good initial investors at seed level.</t>
  </si>
  <si>
    <t>Have in vitro and in vivo data
They are ready to apply for FDA pre-IND meeting</t>
  </si>
  <si>
    <t>DiT
artificial intelligence tools for the creation of audiovisual content and video games in a much cheaper and faster way
has customers but no revenue</t>
  </si>
  <si>
    <t>(+)Novel technology
(+)Have raised a lot of money
(+)The team seems passionate about the product
(+)They have industry experience
(-)Might be too early for EFL</t>
  </si>
  <si>
    <t>book your favorite and highly sought-after restaurants on the spot, pay for a reservation
already a ton of platforms that can do this
too early
no real tech</t>
  </si>
  <si>
    <t>Founder Institute
Veterans Future Lab
Techstars</t>
  </si>
  <si>
    <t>manage the reverse logistics for reusable packaging
in the EU there are many services that offer this and an infrastructure, the US needs this
generated $120k in 2021 and have done over $350k so far in 2022</t>
  </si>
  <si>
    <t>We make bionic wearable, technology devices for daily physical rehabilitation of medical outcomes that require lifelong management. 
eg. Lymphedema, declared a global pandemic by National Center of Biotechnology Information with 250Mn people suffering from it worldwide</t>
  </si>
  <si>
    <t>rable is a multi-sectioned, multi-layered garment with a mountable controller
need a completing business model and vision
get proof of concept</t>
  </si>
  <si>
    <t>IIMB-NSRCel - Women Entrepreneurship Program
Qualcomm Women Entrepreneur's India Network
Venture Center - Incubator
Research Innovation Incubation Design Labs - Accelerator and Incubator
Mazumdar Shaw Medical Center - Hospital based Incubator</t>
  </si>
  <si>
    <t>Niche market with large, established incumbents.  Tough for founder to go solo to customers.  Need to see some validation of claims.</t>
  </si>
  <si>
    <t>+Credible team with advanced chemistry degrees
+Novel technology
+Provisional patent
-Might be too early
~Maybe ask about main reasons microbes are better than traditional fertilizers in interview</t>
  </si>
  <si>
    <t>DiT
uses machine learning to create generate real-time esports analytics
 $20K in MRR
https://www.bloomberg.com/news/articles/2022-08-09/overtime-sports-raises-100-million-to-expand-leagues-for-high-school-athletes?utm_term=220809#xj4y7vzkg</t>
  </si>
  <si>
    <t>+Credible team
+20K in MRR
+Large potential market</t>
  </si>
  <si>
    <t>DiT
matches property buyers and renters with the neighborhood of their choice
tech like this already in the market
need to show that matching data sets do work when making buying decisions</t>
  </si>
  <si>
    <t>Much of the GIS + ML products, can identify a suitable location for finding neighbourhoods and apartments.
Not much tech involved,
Not a good fit</t>
  </si>
  <si>
    <t>Tech Incubator at Queens College
NewChip
GoforVertical
HyperAccelerator</t>
  </si>
  <si>
    <t>Protai is an intelligence driven Pharma company based in Tel Aviv, founded by ex high tech executives and backed by top tier scientists. 
Combining proteomics and AI, we are tackling the single biggest challenge in the drug R&amp;D process, which is the lack of functional understanding of a disease?s molecular mechanisms.</t>
  </si>
  <si>
    <t>No deck - if we interview would like to see data
This can stay LS or become DiT, depends if they want to stay a platform tech or actually become therapy focused 
For now I would keep them in LS</t>
  </si>
  <si>
    <t>Branddu is a Latam B2B One Stop Shop for swag/promotional gifts that optimizes the merchandising buying experience in one place. We integrate several suppliers in our platform simplifying  the job of buyers and sellerswith a catalog of more than 46 categories and 15.000+ products. Now companies can quote, design and buy within minutes in one place.</t>
  </si>
  <si>
    <t>Yes:
LAC Women Founders (Google for Startups, IBD and Centraal)
Latitud
Founder Institute
Women for Tomorrow (Softbank, Endeavor and Wework)</t>
  </si>
  <si>
    <t>conversational (txt based) AI.  Have excellent recent traction in a crowded space where execution is important. not clear that the startup will be disruptive.</t>
  </si>
  <si>
    <t>NextGen NLP technology, that is able to use semantic understanding of healthcare text
helping physicians in improving their efficiency and helping them in improving patient outcomes, physician productivity, and reduction in errors and losses.</t>
  </si>
  <si>
    <t>1. Matter (currently part of Matter)
2. We were selected for the CDL Wisconsin, decided after one session at that time we were not at the right stage so mutually exited that program. We feel we are at a better place now to participate.</t>
  </si>
  <si>
    <t>Applied to EFL in 2021 and got score 4 - main criticism was that they had no data.
They are not showing data this year but mentioned that they did some validations</t>
  </si>
  <si>
    <t>provides wireless power charging solution for electric vehicles
~$300K from gov contract
need to show it can scale
$10M series A</t>
  </si>
  <si>
    <t>+Novel technology
+Credible founder
+$310 revenue
-Requires a lot of investment</t>
  </si>
  <si>
    <t>Referred by Arthur Klausner
Accepted in 2 incubators: Bakar Labs and MBC BioLabs</t>
  </si>
  <si>
    <t>CodeGem is people-first engineering management software designed to help teams build trust, foster growth, and ship faster.
By integrating with the tools teams already use, CodeGem generates actionable insight which feeds into management solutions (i.e. 1:1 software) geared towards improving team productivity, collaboration, and wellness.</t>
  </si>
  <si>
    <t>engineering management software
crowed filed, what is the tech and moat?</t>
  </si>
  <si>
    <t>KARMEQ.com is an investing website designed for the Gen X demographic, featuring the unique ability to easily purchase and send Stocks (and ETFs) as Gifts to family and friends.  For any and all occasions, we believe that Stocks as Gifts provide lasting meaningful benefits to the respective recipients -- as opposed to traditional, tangible gifts.</t>
  </si>
  <si>
    <t>Yuty  _2022</t>
  </si>
  <si>
    <t>We joined SIE Ventures in the UK (https://www.sie.ventures) in January 2021, which was a 3-month program to set Founders up for success in raising their next round, through introductions to investors, as well as other founders. This was equity free, with no monies exchanged. 
We have recently joined the 2022 Google For Startups Black Founders Fund Cohort https://startup.google.com/blackfoundersfund/ where we will receive up to $100,000 in equity free capital along with Google Cloud credits, Google Ads grants, and hands-on support to help their startup grow.</t>
  </si>
  <si>
    <t>Rapid Nexus Nanotech Wound Solutions, Inc., is in the business of developing and selling products to treat high risk wounds, such as diabetic chronic wounds 
that are non-responsive to other products or medical procedures. We developed the strongest antibacterial wound healing system that is able to prevent leg amputations.</t>
  </si>
  <si>
    <t>Yes, we belong to Matter and mHub in Chicago.  Also the Innovation Cluster in Ontario, Canada.</t>
  </si>
  <si>
    <t>+
1. solid progressive so far with ~2000 users
-
1. core tech isn't ground breaking
2. need more validation of the potential of their technical component -- see Notes on Technology</t>
  </si>
  <si>
    <t>AUMHUM provides vernacular, hyper-personalized mental wellness tools to companies with global workforce providing a relatable, accessible and fun way to reset, relax and deal with uncertainties of work life through an open platform for expert driven content and recommendation algorithms.</t>
  </si>
  <si>
    <t>renewable energy products for farmers &amp; rural households
market place
no real tech</t>
  </si>
  <si>
    <t>Applied to EFL in 2021, got 2 - main comments: no innovation.
They still have no significant innovation
Currently in MassChallenge and completed the Westchester County Biosciences Accelerator. 
Semifinalists in the 2017-18 NYU $300K Entrepreneurs Challenge.</t>
  </si>
  <si>
    <t>DiT
SaaS platform aggregates wearable data and provides insights driven by a community of sports scientists and health researchers
Need a business model and custumers</t>
  </si>
  <si>
    <t>(-)Tech does not appear to be novel
(-)Small potential market
(-)Might be too early for EFL</t>
  </si>
  <si>
    <t>commercializing its optical infrared camera
early and needs to get a working prototype
built a business model
customer pipeline</t>
  </si>
  <si>
    <t>As part of this startup, I have participated in: 
(1) Regional (NYCRIN) and National (San Antonio, TX) National Science Foundation I-Corps cohorts, 
(2) Westchester County Biotech Accelerator (WCBA, or NYC E-Labs)
(3) Mass Challenge Early Stage, presently
(4) BAE Systems Technology Accelerator managed by Fedtech, presently
(5) Our office in located in the CUNY Innovation Hub (I-Hub) incubator for technology startups and we have received early funding and business development support from the ASRC Sensor Center for Advanced Technology (CAT).</t>
  </si>
  <si>
    <t>DiT
facilitates building and executing software bots powered by AI  (i.e quality control and automat applications in a live environment)
Raised $6M
Good team
Has market and customer
Sold last company to Amazon</t>
  </si>
  <si>
    <t>+Revenue is $803,000
+Team has industry experience
+Clear pain point
~Not all team members listed</t>
  </si>
  <si>
    <t>automatic machines for restaurant kitchens
early need time to build a prototype
need to build MVP
get pilots and customers</t>
  </si>
  <si>
    <t>How broadly applicable is this?  Would like to see more validation of intervention;s effects</t>
  </si>
  <si>
    <t>AI-driven drug development platform
LS?
apps give no insights on data to verify claims
need to get more information</t>
  </si>
  <si>
    <t>+  AI-driven drug development platform
 + Claims that it reduced the discovery cycle and cost for early drug discovery by 70% if what they are saying is true then it can be game-changing 
 +selected for funding (multi-million EURO) by the 2020 ?Europe Innovative Medicines Initiative?
+ Founder has startup experience 
- Need to verify their claims on funds &amp; fundraising as most of the application info is Undisclosed.</t>
  </si>
  <si>
    <t>Woof-worthy health is here through yumwoof! superfood nutrition plans backed by 250 clinical studies. 
We aim to transform your dog?s health in 30-days, especially if they suffer from allergies, gut issues or other inflammatory health issues.</t>
  </si>
  <si>
    <t>geo-intelligence SaaS platform that empowers decision-makers in the green transition to make better and faster decisions on where to develop new green industries
not novel or tech</t>
  </si>
  <si>
    <t>(+)The global geospatial analytics market is large and projected to grow
(~)The technology appears to still be in the MVP stage and not developed so it is difficult to determine
(-)Might be too early for EFL</t>
  </si>
  <si>
    <t>using already existing technology to bridge the AEC industry gap between the design of prefabricated exteriors
not novel</t>
  </si>
  <si>
    <t>+Bridge the AEC industry gap between the design of prefabricated exteriors and the final exterior-wall construction
 - What is the exact tech in this? Its already using the existing data and plugins to channelise output
 &gt; Secured good seed fund</t>
  </si>
  <si>
    <t>Tekuma - Improving the way humans interact with technology.
Tekuma?s orb is a control component that can be integrated into any human-machine interface, making it easier to control drones, robots, and other devices. Drastically improving the user experience, it can save your business time and money, as well as personnel and training costs.</t>
  </si>
  <si>
    <t>orb is a control component
niche tech
not novel</t>
  </si>
  <si>
    <t>+They have a developed product
+They have revenue
+They have government contract
-Difficult to scale</t>
  </si>
  <si>
    <t>APIE Therapeutics is a start-up pioneering the next generation of anti-fibrotic small molecule platform. APIE?s novel compounds selectively target repair and regeneration of the vasculature endothelium injured tissue, precursor of many chronic and fibrotic diseases.  Neglecting the vascular injury continues to leads to disease progression.</t>
  </si>
  <si>
    <t>crowded space, but novel approach.  not as far into validating as some of our other therapeutics companies.  seems like they have licensed in some tech as well, so worth understanding if they are the founders/researchers behind the science</t>
  </si>
  <si>
    <t>- Good design, comprehensive SaaS solutions showing deep research into urgent market needs.
- Concept has potential to be adopted internationally in developing countries with similar use cases. 
- Decent fundraising and grant award. 
- Should interview.</t>
  </si>
  <si>
    <t>Founder Institute | Seedstars| Alibaba Founders Program | Ocean Hub Africa |  Startup Wise Guys</t>
  </si>
  <si>
    <t>Bloom is an investing app and platform with a climate impact mission - we exist to help people invest in climate solutions.  We have created a fund and investment methodology allowing individuals to invest in scienced-based climate solutions in minutes.</t>
  </si>
  <si>
    <t>Seems to be focused on the Australian market, which is not a fit for EFL
The solution is also not differentiated enough from other cleantech investment opportunties.</t>
  </si>
  <si>
    <t>SymbEx  _2022</t>
  </si>
  <si>
    <t>REVISIT. The founders (CEO and CFO) are both part-time, but the team is impressive (prior IPO). Gene and cell therapy platform to treat serious vascular diseases where amputation of an affected limb is the only care option. Lead indications are chronic ischemia (common) and Buerger's disease (rare). Innovation is delivering E-selectin to MSCs via an AAV; engineered MSCs then home to injury sites and heal. Pre-IND meeting set for Sept. 2022,  IND application by Summer 2023, clinical trail to begin by the end of 2023-2024. Part of the NIH CATALYZE program, which can potentially fund more once they reach clinical stage.</t>
  </si>
  <si>
    <t>Ethel Rubin, Head, Ventures  BioHealth Innovation, Inc.</t>
  </si>
  <si>
    <t>- Strong traction
- In a very crowded field
- Hard to maintain long term moat
- Short runway left</t>
  </si>
  <si>
    <t>- This is a very competitive field with lots of competitors. 
The question is given its innovation, is it strong enough of a value prop to actually win over customers?</t>
  </si>
  <si>
    <t>+
1. good tech, solves a real problem
2. good team
-
1. needs more info, see Notes on Technology</t>
  </si>
  <si>
    <t>Cybersecurity incident response platform.  Founders seem to have great experience with prior exits; solution seems like a unique approach but need to understand differentiation from competitors (Kroll, Mandiant).  I think they are worth interviewing.</t>
  </si>
  <si>
    <t>+Revenue suggests product market fit
+Large, believable TAM
+SaaS business model and security built into data is differentiator 
+Have a patent
+Have revenue and Air Force contract
-Don't see defense against screen capture
-Product could be copied by bigger company</t>
  </si>
  <si>
    <t>Northwestern University Garage
Johns Hopkins Fuel
Alchemist Accelerator
Halcyon Incubator
MassChallenge Boston
Start-Up Chile</t>
  </si>
  <si>
    <t>Mentor referral; IndieBio graduate; concerns with competitive landscape; in interview, ask about ability to scale; flag with demo in application
Potential DH connection</t>
  </si>
  <si>
    <t>Needs MVP. Not raising funds. They need to take it out of the research stage and into the real word 
Invite again next year.</t>
  </si>
  <si>
    <t>+ 
1. Tech is very advanced and novel
2. Team is made up of experts in the field
-
1. Tech is still being validated in labs, and are still some distance away from prototyping.
2. Due to the early stage of the project, little information is given to specific logistics -- cost per satellite,  average life of satellite, and more importantly, how much is the improvements of these closer-orbit satellites than existing ones -- starlink for example. 
3. Competition seems strong and a major competitor has military background.</t>
  </si>
  <si>
    <t>We strongly believes Technology learning access should be for every K12 student. We are in a mission to make that accessible with most relevant subjects which will make them future ready.  Wiingy online studio helps to create 2D/3D games, animations and learn technology on the platform. 
https://www.wiingy.com/studio</t>
  </si>
  <si>
    <t>- Demonstrated traction of software system. 
- Strong full time PhD Team with technical skills. 
- Need to ask what is the next step to further build business and tech moat.</t>
  </si>
  <si>
    <t>Founder is PT.  I've seen similar companies in the past in this space that did not succeed.  Not sure this is much different.</t>
  </si>
  <si>
    <t>- Technology sounds Interesting but they are developing prototype
- Their competitor Eviation has its fight anticipated this year and better load carrying capacity</t>
  </si>
  <si>
    <t>Market is competitive with lots of players. Would like to see more traction.  This could be a DiT startup
Maybe next year?</t>
  </si>
  <si>
    <t>I like the problem they are solving: abstracting an understanding from voice and text into summaries using NLP.  It strikes me as a highly technical problem that requires highly technical experience; I'm not sure this founder has that experience but could be worth a conversation. There are plenty of other startups in this space, so it is highly competitive.  I would want to better understand competitors and the benefits to customers - I thought their case studies were a little light.</t>
  </si>
  <si>
    <t>Home building on demand - pick a model.  The application is light but I generally like the idea.  How much of the waitlist is legitimate?  Why are they not acting on it?  Needs more validation.  Maybe ask to apply next year.</t>
  </si>
  <si>
    <t>Great early stage company (too early for our competitive pool?). Gene therapies aimed at restoring younger epigenetic profiles to treat Alzheimer's and progeria. Treatment prolonged median lifespan by 33-50% in progeric mice. Treated mice had histology more similar to wild-type than untreated, and less DNA damage. Columbia MBA, U or Birmingham Prof. Prior startup acquisition.
This is an exciting idea, but their runway is very short (2-5 months) with &lt;$500K funding raised total. It is unclear if they are using the Yamanaka factors (Oct3/4, Sox2, Klf4, c-Myc) in some unique formulation or another approach. Ask in interview if they advance.</t>
  </si>
  <si>
    <t>+They are trying to help people with insomnia through therapy (sounds and lighting controlled by devices) instead of drugs
+The have multiple patents and academic research
+They have raised a large amoount of money through grants and have some MRR
-Product seems to require user to already have lots of smart devices and have them compatible with their application</t>
  </si>
  <si>
    <t>RT is revolutionizing indoor farming with a sustainable, low cost offering that combines natural farming methods with microbial science to 1. eliminate need for synthetic chemicals and 2. reduce labor.
We license our first-of-a-kind patent-pending Agria? grow system and provide grower support services to make setting up and running an indoor far</t>
  </si>
  <si>
    <t>- Medical bills are is one of the top reasons for U.S. bankruptcies. Disabilities caused by long covid further exacerbates this paint point. This product is meeting a huge unmet market need. 
- Application addresses go-to-market, and plan for earning revenue. 
- EFL should interview this startup.</t>
  </si>
  <si>
    <t>I like the idea and their focus on girls and women of color.  The founders (CEO FT, COO PT) seem to have good experience to help them succeed.  I think the market opportunity could be relatively small in part given the competition in the maker space generally, and I think EdTech/Consumer related startups may not generate interest from mentors.</t>
  </si>
  <si>
    <t>SaaS operating system for surgery.  Team has complementary skill sets (sales, software, surgery).  I think selling and implementing this software in hospitals will be very difficult, making scaling potentially slow and costly.  They are early (no pilots yet, expected this year) and a use case would be helpful to understand how much front-line users would really benefit from it.  Given three NYU Neurosurgeons are advisors, we should probably interview.</t>
  </si>
  <si>
    <t>Ndal Mfg Inc, Dba Ndal Biofilm Medical Group,  _2022</t>
  </si>
  <si>
    <t>NDAL MFG INC., 
Resolved bacterial resistance. Common antibiotics, taken with our drug, will inhibit infection.
Accepted by FDA into a drug application in 2021
Corticosteroids are anti-inflammatories when the root cause in sinuses is a biofilm
Health care spend will be $50B by 2027
Low cost, eliminate comorbidities and most testing.
Resolved.</t>
  </si>
  <si>
    <t>Definitely useful technology and there is a market need
It is not super "cool" or groundbreaking but definitely useful</t>
  </si>
  <si>
    <t>We are located at University Lab Partners (ULP), a wet-lab incubator in the UC Irvine Research Park.
I recently completed The Science Inc.? Accelerator, a virtual, cohort-based accelerator for early-stage startups in the sciences.</t>
  </si>
  <si>
    <t>Referred by Brenton Fargnoli
Who is full-time besides the CEO?</t>
  </si>
  <si>
    <t>Yes. We are part of two incubators and one accelerator:
Incubator (USA): UCLA's Magnify
Incubator (Portugal): IPN / ESA-BIC
Accelerator (USA): OCTANE Launchpad</t>
  </si>
  <si>
    <t>CYTRIO is focussed on two high growth markets - Data Privacy Compliance and Data Security. CYTRIO's Data Privacy platform helps businesses automate CCPA and GDPR  compliance swiftly and cost-effectively. CYTRIO's Zero Trust Data Access &amp; Protection (ZDTA) solution protects business critical data at all times by embedding protection within data.</t>
  </si>
  <si>
    <t>- Strong technical team with multiple patents and startup exit experience.
- Product lowers the barriers for data privacy and security monitoring. 
- We should invite for interview.</t>
  </si>
  <si>
    <t>Data security and data privacy is a rising field.  This company has hold multiple patents which prove the novelty of technology but validation is rather ambiguous, possibly due to  openness issue in the field</t>
  </si>
  <si>
    <t>Dreamit Ventures accelerator program.
CYTRIO is a Microsoft start up program member</t>
  </si>
  <si>
    <t>Applied to EFL in 2020; Nasir Memon referred the company previously.  Highly technical founder; innovative tech (based on years of research); first paying customer is Sonos; EFL could likely provide meaningful help.  Would interview again and would want to better understand the founding team's commitment (seems like CEO is only FT person) and validate customer targets</t>
  </si>
  <si>
    <t>Technology well supported by academic evidence; experienced team members; reasonable potential market size; clear gains from EFL
can ask about competitors and licensing progress in the interview</t>
  </si>
  <si>
    <t>NYU Data Future Lab
NYU Next Round
Nvidia Inception Program
Deep 10
AWS Startup Program
Google Startup Program</t>
  </si>
  <si>
    <t>They are in the early stage of technology development, and at the moment their vision is to get acquired; because of this, I think their chance for becoming a unicorn is low. On the other hand, their technology is highly novel, and many outstanding potentials of mRNA technology is being unleashed during the recent years. 
Since their technology is highly dependent on their partner's innovation, I want to know more about their agreements and IP licensing.</t>
  </si>
  <si>
    <t>Evonexus
JLABS</t>
  </si>
  <si>
    <t>- Team: lead by a group of MDs with psychiatry practice experience, and NLP and data science skills.
- Science: Developing and testing algorithm with historical clinical data and also running multiple blind clinical trials.
-Market: Earned $1.5M (CAN) in total revenue already with enterprise customers. 
- Looking to EFL's program to mentor team on developing new products and business models with current technology.</t>
  </si>
  <si>
    <t>Morgan Stanley's MCIL Lab
MassChallenge
DMZ</t>
  </si>
  <si>
    <t>SPECIAL REJECT. AI platform to identify formulations of lipid nanoparticle drug delivery systems. Their goal is to identify nanoparticles that can be used to deliver oligonucleotides (mRNA, vaccines, CRISPR, etc.). They tested in retroactive studies, and used the platform to develop a new nanoparticle. Patent pending. Team has several prior startup exits, Prof. at Technion / MIT alumni.
immunai and C2i both recommended them - special reject and ask them to apply next year once they have more data/validation.</t>
  </si>
  <si>
    <t>The team sounds to be promising, and I wish I could know more about the technology development stage. 
I'm amazed that they raised 5M in SAFE at the concept stage, and their burn rate in this stage is 300K. This somehow indicates they are investing their money on talent acquisition.</t>
  </si>
  <si>
    <t>If it really gives great data, this tech might be useful for the hospitals but it is not innovative and I don't think the team is qualified to do this type of work.
Who are the advisors?</t>
  </si>
  <si>
    <t>Visuo is an AI-powered, Video Personalisation Platform for Brands &amp; Enterprises.
We help brands &amp; enterprises to increase sales &amp; retention and grow the lifetime value of their customers with our patented Smart Video Experience service.</t>
  </si>
  <si>
    <t>The technology is well protected but more validation results need to be clarified. 
The start-up experience and industry experience looks good but fund-raising status needs to be clarified</t>
  </si>
  <si>
    <t>Newchip Accelerator (graduated Dec 2021)
M-Accelerator (graduated Mar 2022)</t>
  </si>
  <si>
    <t>+ Currently in the R&amp;D phase 
- A lot of competitors in the market in the same segment</t>
  </si>
  <si>
    <t>ProVeg Incubator - Germany 
IndieBio - New York
EIT FAN - Germany</t>
  </si>
  <si>
    <t>Founder is PT.  Not enough validation.  Not sure of need for this solution.</t>
  </si>
  <si>
    <t>The concept seems generally interesting.  My sense is that there are no competitive advantages or moats at play either from a market or technology perspective ? at least currently.  I would like to see more traction as my concern is that these types of companies/games can be just fads.</t>
  </si>
  <si>
    <t>Mass Challenge
SKU's BIPOC Accelerator (can't thnk of name)</t>
  </si>
  <si>
    <t>Primary Assembly is a software system that converts electrical activity of the brain into music in real-time. This creates powerful biofeedback loops that enable us to explore consciousness, something that has been largely invisible to us but shapes our everyday existence. 
By rendering consciousness into sound, it?s like turning on a flashlight</t>
  </si>
  <si>
    <t>Very interesting concept but very early.  Not really solving a problem for anyone; it's just interesting to learn about.</t>
  </si>
  <si>
    <t>Early stage company with novel brain into music technology.  A lot potential. Needs more validation and market identification.</t>
  </si>
  <si>
    <t>We entered in the export business in 2019 and trying our best to meet the standards of International marketing. Our professional team is skilled and understands importance of quality products as we have always started our business with a strong focus on quality.
Trust, faith and satisfaction of customers is our motto.</t>
  </si>
  <si>
    <t>- The team doesn't have a long-term vision
+ At present Company is backed by Tencent group  
+</t>
  </si>
  <si>
    <t>For physical therapy to work, it must be done on a daily basis. To do something on a daily basis, it has to be done at home.
But, people don't do their therapy exercises at home. This is the problem that every therapist in the world struggles to solve.
Pearl Interactives solves this problem by turning physical therapy into a video game.</t>
  </si>
  <si>
    <t>H2i (https://h2i.utoronto.ca/)
Propel (https://www.propelict.com/)
OBI NERVE (https://braininstitute.ca/programs-opportunities/nerve-program/2022-obi-nerve-program-application)
OBIO Mint  (https://www.obio.ca/healthmint)
UTEST (https://utest.to/)</t>
  </si>
  <si>
    <t>- Not differentiated enough as a product among the competition.
- At the beginning stage of business development with prospective customers.
- Should invite back next year.</t>
  </si>
  <si>
    <t>NeuBio is a bio informatics platform designed to radically transforming the detection, management, and treatment of neurodegenerative diseases. The Company's IP portfolio of analytically validated biomarkers enable NeuBio to develop game-changing diagnostic and therapeutic solutions, including the first early diagnostics for these diseases.</t>
  </si>
  <si>
    <t>Team, Science and Market are all strong for this startup. 
Recommend for an interview.</t>
  </si>
  <si>
    <t>Earth To Go  _2022</t>
  </si>
  <si>
    <t>- Good traction in the Turkish market.  
- Not clear how its technology has moat compared to competitors internationally if the startup expanded beyond Turkey.
- Highly experienced team with well rounded experience.</t>
  </si>
  <si>
    <t>- Not clear in its differentiation among competitors. 
- Good traction in Germany. Startup hope to expand to the US.</t>
  </si>
  <si>
    <t>Our society is facing now a massive electrification challenge, we are in race to phase out fossil fuels and fully electrify vehicles, trucks, boats, airplanes, etc.
Our mission is to develop the best battery cells that will make possible the mass deployment of electric transportation, stationary energy storage and advanced portable devices</t>
  </si>
  <si>
    <t>1. Technology is novel, validated and are being commercialized.
2. Team seems well put-together and has expert guidance in the technicals
3. Could ask more about specifics regarding claimed safety and energy density improvements -- are there data to support these claims? 
4. Could ask more about potential markets other than automobile</t>
  </si>
  <si>
    <t>Folks Finance is the leading capital markets protocol for borrowing and lending built on the
Algorand blockchain. Developed by Blockchain Italia, a software house between the early
adopters of Algorand, Folks Finance aims to be the reference for DeFi loans offering the
simplest experience and the most flexible way for Defi neophytes and Pro</t>
  </si>
  <si>
    <t>+
1. idea is a good one
-
1. tech is not deep or novel</t>
  </si>
  <si>
    <t>+Credible team with strong academic links
+Sound business plan and roadmap that follows similar successful startups
+Have participated in other start up programs
+Have positive press and government recognition</t>
  </si>
  <si>
    <t>-
1. not sure the need is there
2. doesn't require novel tech
3. founders don't have too much experience --technical or otherwise</t>
  </si>
  <si>
    <t>Our NewCo RIFFIT, uses AI to bring the language of song to enhance learning and communication for a broad audience including students with dyslexia or autism. We develop a range of digital applications that thereby improve the lives of millions of people affected by these conditions.  Both real time text and voice to song are products.</t>
  </si>
  <si>
    <t>- Novel scientific approach to treating dyslexia
- Strong team with biotech and startup experience
- NYU referral from Prof Bud Mishra
- Large unmet market need</t>
  </si>
  <si>
    <t>+The team seems credible
+Revenue and interest from large companies proves the products value
+The product seems well developed</t>
  </si>
  <si>
    <t>+
1. good idea with a long term vision
-
1. need more info on technical "secret sauces"</t>
  </si>
  <si>
    <t>- Market Demand: For first time parents, the inability to understand new born's crying is one of the most frustrating and time consuming part of parenthood. This is a global problem. Startup has some of the largest baby monitoring product makers as test pilots. 
- Technology: holds the promise to understand cries, suggest parent follow-up action, and also detect disease.  
- Team is well balanced in tech and business skills, and has doctors in relevant fields in neuropsychology and neonatology. 
- Should interview this team.</t>
  </si>
  <si>
    <t>Uses AI to interpret newborn cries for follow up action by caregivers; strong global market; contract agreements with 3 larges baby companies in europe, US and China; also working with LG electronics and has done testing in hospitals; strong demand and good traction</t>
  </si>
  <si>
    <t>Digital Tech.  It seems like they are just a CRO for clinical trials, but have some ML component to improving trial efficiency in design and execution. Used for &gt;60 trials. Great team from Oxford, McK, Google. Advisor from AstraZeneca. Raised $4.5M</t>
  </si>
  <si>
    <t>+
1. tech is advanced and valid
-
1. the product itself is in a very crowded space</t>
  </si>
  <si>
    <t>- Large successful seed round completed this year
- Localized, customized algorithm to do end to end consumer spending carbon footprint calculation
- Consumer carbon API for banks 
- Goal is to expand to the US</t>
  </si>
  <si>
    <t>-
1. very crowded space, not sure what their edge is</t>
  </si>
  <si>
    <t>- Very strong execution and product-market fit.  
- Need to understand what is the next step for future growth and its challenges. 
- Will be raising Series B $40M.</t>
  </si>
  <si>
    <t>Growth trajectory is impressive.  $40M+ Series B is likely tough, would definitely interview to get a better understanding of GTM and how current acquisition channels will scale.</t>
  </si>
  <si>
    <t>Saathealth's AI powered, personalized digital therapeutics platform provides health organisations with the interventions to engage &amp; nudge health consumers towards positive outcomes. 
Our algorithms can be deployed with our indication &amp; geography agnostic companion solution. Our solutions are being developed for multiple disease indications.</t>
  </si>
  <si>
    <t>+Credible team
+Large TAM and plan to apply technology
-They are still very early, developing MVP</t>
  </si>
  <si>
    <t>SynerAI uses cutting edge AI to understand open source information, such as news articles and blogs.  We enable our customers to understand and predict world events for myriad applications including investment analysis, public relations, up- and down-stream marketing, international relations, and threat analysis.</t>
  </si>
  <si>
    <t>Very crowded space; no proof of concept although they mention a few stock they've picked have done well; team is part-time but seem to have relevant experience; I think this solution will be very difficult to market given the small  market size, cost and time to acquire and maintain customers, and competitive landscape</t>
  </si>
  <si>
    <t>eBombo is an HR Tech that helps workers to stay engaged so that companies can improve their work environments. We do this through our proprietary virtual activities that consist of games, onboarding dynamics, training, and more.
1) USD450K in revenue in 2021 (1st year of operations) 
2) On track to making USD 1.5mm in sales this year.</t>
  </si>
  <si>
    <t>Traction and growth are impressive; tech is likely not able to be protected; founders seem young but good experience.  I would want to know how do they compare to competitors such as Weve, who sells to Google, SpaceX, Netflix, etc.?  Targeting the following countries in order: Columbia, Argentina, Chile, Brazil, USA (2024).  They want help raising their Seed round.  Given their traction, they are likely worth meetin.</t>
  </si>
  <si>
    <t>- AGI architecture is only designed, not implemented yet. This startup seems too early for EFL.  
- Not clear how different are their models in comparison to the general ones developed at Google.</t>
  </si>
  <si>
    <t>+They are an IOT infrastructure company that is offering a comprehensive network solution to companies with a large number of IOT devices
+The have a contract with a German city for 110,000 euros
+The team is well developed and seems credible
-There are large possible competitors like Amazon in the field</t>
  </si>
  <si>
    <t>1. Intel Ignite Acceleration program.
2. 5G Open Innovation Lab program.</t>
  </si>
  <si>
    <t>Hacking testing seems narrow but an important market.  Can they expand beyond hack tests?</t>
  </si>
  <si>
    <t>- Highly technical team in cyber security with great startup exits.
- On paper, providing Big-Four level web app penetrating testing automatically should be a strong value proposition for the right customers. 
- However, not enough work done on finding product-market fit and customer discovery. 
- Technology developed in-house from years of work in penetration testing. Long term vision is poorly researched and defined.</t>
  </si>
  <si>
    <t>- Product is not developed in full scale 
- No customers as of now 
+ The ideology of solving crop diseases by prevention &amp; control in a sustainable way is interesting 
+ I feel the team has the potential to perform in the coming days by looking at their progress and trials that they performed and the results they achieved 
- Need someone from the Biology domain to look at this before finalising</t>
  </si>
  <si>
    <t>+ The team has a good understanding of the problem and has the right structure of people with diverse backgrounds
- Need more info on how they can challenge the existing systems and sustain in the market</t>
  </si>
  <si>
    <t>1. Technology is sound in general, but might face more competition than expected. (see Notes on Technology for potential follow up questions if granting interview)
2. Good team composition
3. Need more research into U.S. market, the financial side etc.</t>
  </si>
  <si>
    <t>(1) HAX by SOSV
(2) Target Accelerator by Target Corporation
(3) Korea Startup Grant Challenge (just selected)
(4) Reliance JioGenNext by Reliance Industries (India's largest conglomerate)</t>
  </si>
  <si>
    <t>Mirror World
? Mirror World is a game matrix with AI-powered virtual beings (the Mirrors), fighting along with the players in the game universe.  Mirrors are fully interoperable with all the Play-to-Earn games in our matrix. This means that anyone with a pass can use it to access any of them.</t>
  </si>
  <si>
    <t>Seems to have applied twice: see ?Mirror World _2022?
Gaming companies typically not a fit for EFL mentors</t>
  </si>
  <si>
    <t>- Not a fit for EFL. 
- There is no technical moat as concept of connecting o2o has played out in many iterations in the US and other markets more than 10 years.  
- Good local traction in 2 different countries. 
- Could invite next year to see if there is more traction and defensible technology moat.</t>
  </si>
  <si>
    <t>- Has traction, although information provided is not exactly clear on the numbers. 
- Not a technical play, but more of a platform development and build-out of research data market sales platform. 
- Can be a successful business, but at this stage not a fit for EFL.</t>
  </si>
  <si>
    <t>Yes-after being named a winner of the NEO Frontier Global Hackathon,  I was enrolled as a participant in the NEO Ecoboost Program from August 2021- March 2022.||https://neo.org/eco</t>
  </si>
  <si>
    <t>plasma pyrolysis process applies microwave energy to natural gas
Needs a team
Takes time to wramp up
Lots of risk to scale up
capital intensive to scale</t>
  </si>
  <si>
    <t>+Developing an electrically powered chemical conversion platform that leverages Microwave Plasma Pyrolysis to liberate zero-CO2 hydrogen from natural gas
+ Credible team 
+ Pressed and seed combined &gt;3M and raising &gt;15M 
+process is cost-effective, modular
+Generated 700K revenue</t>
  </si>
  <si>
    <t>Novel tech whose use and core functioning I still dont quite understand.  But credible team and solid validation.  B2B SaaS company.</t>
  </si>
  <si>
    <t>Seems to purify air much better than competitors.  Platform company -- have plans to build HVAC, overhead and for transport. Pilot with military/DoD. Solid team. A bit behind on protecting IP.  We should interview.</t>
  </si>
  <si>
    <t>conversion of hemp-derived cellulose and nanofiber into a bioplastic resin
manufacturer of plant-based biodegradable products that function like regular plastic
$3M in revenue</t>
  </si>
  <si>
    <t>+Good Idea. 
 +Team has a good idea and good business strategy personnel.
 -I am not sure about the strength of the technical team, considering them as part timer
 -There are many attempts for making bioplasts going on already.</t>
  </si>
  <si>
    <t>DiT
allows realtime translations of multilingual videoconferencing in real-time with no need for additional subtitles or voice-over using AI
$10M Series A</t>
  </si>
  <si>
    <t>content and lesson curation site.  no clear moat.</t>
  </si>
  <si>
    <t>provide turbulence control solutions for fluid transport applications.
Too early for EFL
Invite next year</t>
  </si>
  <si>
    <t>+Credible founder
+Novel technology
-Might be to early for EFL</t>
  </si>
  <si>
    <t>product not yet developed.  no validation.</t>
  </si>
  <si>
    <t>- Profitable startup not looking for funding 
- Demonstrated strong product market fit in Japan. 
- Having difficulty expanding pipeline in the U.S., and therefore need mentorship. 
- Could cluster with other legal tech startups.</t>
  </si>
  <si>
    <t>lum</t>
  </si>
  <si>
    <t>+
1. Business is already up and running
2. Team has hands-on experience in the field.
3. Potential market is sizable and founder is deeply motivated to expand the company's influence.
-
1. Novel technology is not mentioned or used heavily. 
2. No information is given on how/why Methic Engineering can stay ahead its competitors.</t>
  </si>
  <si>
    <t>Abb.</t>
  </si>
  <si>
    <t>Sparklines:</t>
  </si>
  <si>
    <t>Dupes</t>
  </si>
  <si>
    <t>delete</t>
  </si>
  <si>
    <t>Delete</t>
  </si>
  <si>
    <t>Name</t>
  </si>
  <si>
    <t>Track__c</t>
  </si>
  <si>
    <t>Interview_Day_Status__c</t>
  </si>
  <si>
    <t>Between $500,000 and $1 million</t>
  </si>
  <si>
    <t>ML-based Telemetry agent for end-to-end monitoring 
+ Credible team with expertise in the telecom industry 
- Considering the size of the market need to check if they are able to manage big markets as they working in small segments to date. 
+ Founder with start-up experience can be a plus point</t>
  </si>
  <si>
    <t>Based on my study, the quantum field will be booming in the coming future</t>
  </si>
  <si>
    <t xml:space="preserve"> ML model-based platform to generate human metric data for analysing and improving team performances and efficiency 
+ Having a working model of the product
- working on complex pain areas (understanding the human metrics through meetings &amp; calls and giving analysis on them)</t>
  </si>
  <si>
    <t>There something here but need further validation and could be good for DiT</t>
  </si>
  <si>
    <r>
      <rPr>
        <u/>
        <sz val="11"/>
        <color rgb="FF1155CC"/>
        <rFont val="Inconsolata"/>
      </rPr>
      <t>Taiyo.AI</t>
    </r>
    <r>
      <rPr>
        <sz val="11"/>
        <color rgb="FF000000"/>
        <rFont val="Inconsolata"/>
      </rPr>
      <t xml:space="preserve"> _2022</t>
    </r>
  </si>
  <si>
    <t xml:space="preserve"> Working on solid pain area with technology advancing in other sectors we need such startups in the Transportation segment
+ Need to check how they can attract government contracts 
+ They have a team capable of coming up with solutions for the problem with patent for tech
+ They need Customers and funds</t>
  </si>
  <si>
    <r>
      <rPr>
        <u/>
        <sz val="11"/>
        <color rgb="FF1155CC"/>
        <rFont val="Inconsolata"/>
      </rPr>
      <t>PredictNow.ai</t>
    </r>
    <r>
      <rPr>
        <sz val="11"/>
        <color rgb="FF000000"/>
        <rFont val="Inconsolata"/>
      </rPr>
      <t xml:space="preserve"> _2022</t>
    </r>
  </si>
  <si>
    <t>Nettoyer Automotives develops Electric &amp; Hybrid Electric vehicle retrofitting kits to solve the issues of range anxiety and high cost of travelling for company operated vehicles, delivery vehicles, direct customers, providing huge operating cost savings and freedom from range anxiety in electric vehicles.</t>
  </si>
  <si>
    <t>USD 400,000.00</t>
  </si>
  <si>
    <t>1. Name of incubation center: - AIC Pinnacle.
Time period of association: - 4 months
Equity shared or past incubator: - 0.4%.
2. Name of incubation center: - SINE IIT BOMBAY.
Time period of association: - 2 months
Equity shared or past incubator: - No Equity shared.
3. Name of Accelerator: - Facility of Low Carbon Technology Development (FLCTD) organized
by UNIDO.
Time period of association: - 6 months
Equity shared or past incubator: - No Equity shared.</t>
  </si>
  <si>
    <t xml:space="preserve">- The team doesn't have a long-term vision
+ At present Company is backed by Tencent group  
</t>
  </si>
  <si>
    <t>Lumirithmic provides highest quality facial scans with realistic skin appearance, through portable desktop devices, 
We provide Hollywood quality hyper-real faces to everyone, by working with entertainment/video games, ad-tech, metaverse and beauty-tech leaders</t>
  </si>
  <si>
    <t xml:space="preserve">More DiT type company; provides real time scans for metaverse (similar to kinetix) </t>
  </si>
  <si>
    <t>Messaging is confusing. This is an RNAseq platform for designing novel RNA Therapeutics, but also incorporates a HIPAA-compliant cloud for data analysis. They also mention disease diagnosis at home using the platform on embedded tissue samples or liquid biopsy, but I'd need to see more data regarding fragmented RNA analysis to ensure their tissue results are accurate/possibl). Applied last year - since then, Bob S joined their board and they grew revenues by 250%. Patents filed but not granted.</t>
  </si>
  <si>
    <t>DiT startup
Need funding and could be difficult
Need to build customer pipelines and prove tech can work at scale
Big market</t>
  </si>
  <si>
    <t>Biotech Bootcamp - a joint program from SmiLe - in the top 10 best incubators for biotech startups in Europe, and BioM - a network organization for biotechnology sector in Bavaria, Germany. Graduation: Autumn 2021.
GRIT International Female Accelerator for digital health and life sciences. OmicsChart was selected as a winner by one of the program partners - Microsoft. Graduation: June 2022.</t>
  </si>
  <si>
    <t>Dreamit Ventures accelerator program.
CYTRIO is a Microsoft start up program member</t>
  </si>
  <si>
    <t xml:space="preserve">A new area worth looking into. The technology itself might not be very cutting-edge, but potential market is large. </t>
  </si>
  <si>
    <r>
      <rPr>
        <sz val="11"/>
        <rFont val="Inconsolata"/>
      </rPr>
      <t xml:space="preserve">European Institute of Technology (EIT) Urban Mobility Accelerator Batch 3 Central: https://www.eiturbanmobility.eu/welcome-to-the-eit-urban-mobility-accelerator-programme-batch-3-start-ups/
5PRING 5G and Smary City Accelerator: https://5pring.org/
ALAIAN 5G Accelerator: </t>
    </r>
    <r>
      <rPr>
        <u/>
        <sz val="11"/>
        <color rgb="FF1155CC"/>
        <rFont val="Inconsolata"/>
      </rPr>
      <t>https://alaian.com/5g-call/</t>
    </r>
  </si>
  <si>
    <t xml:space="preserve">Europe based; tied to 5/6 companies in europe currently. 5000 bots deployed around europe. satuated market, but what makes them unique is the mapping technology that they use to do it. Further along than other apps in this space than we've seen before, but still unsure about bringing in a company from this space. </t>
  </si>
  <si>
    <t xml:space="preserve">Financial planning for high med bill patients; interesting intersection of FInTech and Digital Health; not a lot of other companies in this space, feels timely now. Questions for int: what is their expertise in helping with this planning, what makes their advice unique (whats the difference between this advice in relation to health issues vs. general financial advice?). </t>
  </si>
  <si>
    <t>a. Became member company of Hong Kong Science &amp; Technology Parks? (HKSTP) Incubation program
b. Became member company of Hong Kong AI Lab Accelerator program
c. Became Microsoft Formal Partner and member company of HKSTP &amp; Microsoft Jointed Incubation program
d. Became member company of HKSTP &amp; AWS SaaS Accelerator program
e. Joined as project partner with the Engineering school of Chinese University of Hong Kong - CEFAR program
f. Joined as project partner with the Law school of Hong Kong University - LITE program
g.   Joined as project sponsor with the MBA program of Indiana University - Kelly School</t>
  </si>
  <si>
    <t>DiT startup
R&amp;D for plug-and-play solutions for both hardware and software that is easy to use and scalable</t>
  </si>
  <si>
    <t>At Saya Life, we have built a unique vertically-integrated solution that both enables multi-unit residences to bill individual water users, while predicting and preventing catastrophic damage from common leaks.
It?s a revolutionary new approach to water management for enterprise property owners ? and we are already generating $500k in revenue.</t>
  </si>
  <si>
    <t xml:space="preserve">change to DT; cluster with other similar </t>
  </si>
  <si>
    <t>They have a good team, and fair funding, I am curious to learn about their business model.
Good Fit for next year.</t>
  </si>
  <si>
    <t>Yes, accelerators. 
UNDP x Draper Univeristy Healthtech preaccelerator
Newchip Accelerator</t>
  </si>
  <si>
    <t>Good Product Vision, lacking a strong customer acquisition model. On their way to file with FDA.
Invite them next year.</t>
  </si>
  <si>
    <t xml:space="preserve">change to DT; also animal grade which is unusal. team not very scientific and needs more growth. potential cluster but already seen stronger apps in field </t>
  </si>
  <si>
    <t>Visuo is an AI-powered, Video Personalisation Platform for Brands &amp; Enterprises.
We help brands &amp; enterprises to increase sales &amp; retention and grow the lifetime value of their customers with our patented Smart Video Experience service.</t>
  </si>
  <si>
    <t>Saathealth's AI powered, personalized digital therapeutics platform provides health organisations with the interventions to engage &amp; nudge health consumers towards positive outcomes. 
Our algorithms can be deployed with our indication &amp; geography agnostic companion solution. Our solutions are being developed for multiple disease indications.</t>
  </si>
  <si>
    <t>Previously:
- Serum Foundation accelerator
Currently:
- Alberta Innovates Catalyzer accelerator program</t>
  </si>
  <si>
    <t>Team not strong, very few full time engineers. 
But, promising coporate partnerships efforts with hero bikes in india, and other manufacturing plans with Toyota Tsusho, Hero, NOA labs etc. However these are tentative names.</t>
  </si>
  <si>
    <t>Yes, we are at STATIONF, one of the biggest incubator in the world and we are at Ecole des PONTS Alumni incubator located in STATIONF.
We also successfully join the Google Clou Startup Program and gat a grant of USD 100,000 for our developments on Google Cloud.</t>
  </si>
  <si>
    <t>won four Space Force Phase I STTR milestones-based contracts ($1M)
+ Designs to manufacture and operate satellites
+ People from SpaceX team
+ revenue of 1M in contracts</t>
  </si>
  <si>
    <t>Team seem credible and passionate
+Compelling Vision
+Developed product 
+$900K from hardware sales
+A lot of VC funding
-Might require cooperation with competitors</t>
  </si>
  <si>
    <t>Credible team
+Novel technologie
+Revenue and a lot of funding
+Compelling vision</t>
  </si>
  <si>
    <t>Revenue is $803,000
+Team has industry experience
+Clear pain point
~Not all team members listed</t>
  </si>
  <si>
    <t>-Team: lead by a group of MDs with psychiatry practice experience, and NLP and data science skills.
- Science: Developing and testing algorithm with historical clinical data and also running multiple blind clinical trials.
-Market: Earned $1.5M (CAN) in total revenue already with enterprise customers. 
- Looking to EFL's program to mentor team on developing new products and business models with current technology.</t>
  </si>
  <si>
    <t>Sustain has not.
Bill Goddard has served as a Mentor in the Global Insurance Accelerator, the InsurTechNY Accelerator and the Hartford Insurtech Hub.</t>
  </si>
  <si>
    <t xml:space="preserve">Change to DiT; using exec function training in a game-ified app; tech is based on research but does not have patient study yet; referred by IndieBio; </t>
  </si>
  <si>
    <t>The team member has rich start-up experience 
The product solves an important problem in secondary liquidity in the private asset market</t>
  </si>
  <si>
    <t>aim to help in the fight against climate change by preventing wildfires
+ ?1.6m subsidies and loans Recieve from EU funding (EFRE)
+Circled $10,500,000 in funding 
+A mix of PhDs and Ms people working on solving wildfire by helping in the detection of wildfires in 60mins time</t>
  </si>
  <si>
    <t>Well developed and credible team
+Novel technology
+Large potential market</t>
  </si>
  <si>
    <t>1. good tech
2. good team
-
1. perhaps more info is needed, see Notes on Technology</t>
  </si>
  <si>
    <t>Novel technology
+Team seems credible 
+Working prototype
+The have multiple patents</t>
  </si>
  <si>
    <t>DiT?
generate video using an image, camera free</t>
  </si>
  <si>
    <t>Founder has startup experience and female founder worked in Facebook before 
+Capable team with experience from top tech companies in the division</t>
  </si>
  <si>
    <t xml:space="preserve">change to DiT; generates digital face to create new videos going forward with uploaded face; team from Google/Meta, exp. with Metaverse work; </t>
  </si>
  <si>
    <t>1. addresses a real and growing problem
2. tech is advanced
3. already up and running with clients
4. team has good talents in related fields
-
1. might face lots of competitions</t>
  </si>
  <si>
    <t>Credible team with advanced chemistry degrees
+Novel technology
+Provisional patent
-Might be too early
~Maybe ask about main reasons microbes are better than traditional fertilizers in interview</t>
  </si>
  <si>
    <t>eBombo is an HR Tech that helps workers to stay engaged so that companies can improve their work environments. We do this through our proprietary virtual activities that consist of games, onboarding dynamics, training, and more.
1) USD450K in revenue in 2021 (1st year of operations) 
2) On track to making USD 1.5mm in sales this year.</t>
  </si>
  <si>
    <t>REEV develops a light and intelligent knee exoskeleton to help people affected by gait disorders to regain their daily mobility by walking, standing, sitting and climbing stairs with greater ease.
REEV gathers a team of 10 engineers with a solid clinical board. In 1,5 years, we won a 1M? innovation prize and built a patented functional prototype</t>
  </si>
  <si>
    <t>We have been affiliated with one regional incubator in France : Nubbo l'Incubateur; from May 2021 to May 2022.
Nubbo helped us to define our business model : sell our intelligent knee motorization to orthoses manufacturers.</t>
  </si>
  <si>
    <t>Credible team
+Novel and proven technology
+$1M in revenue so far - mostly government contracts</t>
  </si>
  <si>
    <t>Credible team with credentials and experience in their field
+100k in MRR
+Have interest from Shopify to invest
+Clear painpoint</t>
  </si>
  <si>
    <t>Good idea
+Credible and passionate team
+The have a patent</t>
  </si>
  <si>
    <t>1. good idea addressing a known problem
2. team has talents
-
1. need more info/justification of their technical setup</t>
  </si>
  <si>
    <t>Still in the concept phase 
+ Would be really interesting to see if this succeeds in developing the tech as I have seen in the industry when working as a design engineer how painful to design everything based on supercaps shape and size
- Came early to EFL?</t>
  </si>
  <si>
    <t>1. advanced tech, partially validated
2. good team with excellent talent</t>
  </si>
  <si>
    <t>1. good idea
2. tech has been validated to an extent
ask about scalability</t>
  </si>
  <si>
    <t>Proptech / SaaS product that helps visualize operations and events within real estate spaces; shows show precise data and information location, complementing existing dashboard displays (e.g., sensors, availability, maintenance reports); would like to better understand either tech or business moat; they are early but some good traction indicators; it may be interesting to learn more - they are focusing on US market; concerned about differentiation and tech novelty</t>
  </si>
  <si>
    <t>1. already up&amp;running with clients that can validate their idea and tech used
2. good team setup
-
1. tech itself isn't so novel</t>
  </si>
  <si>
    <t>Compelling vision
+Credible team
+Good industry links
+Developed prototype</t>
  </si>
  <si>
    <t>1. good idea, good tech that addresses a real problem
-
1. need to inquire more about the barrier of core tech -- insect</t>
  </si>
  <si>
    <t>Yes, we have been incubated at the Science Park Graz (AplusB program) from 2019-2020. We were also a participant at the ScaleUp4Europe programme, a European Commission Horizon 2020 initiative for early stage companies in 2021. 
We are also a member in the Silicon Alps Cluster and Green Tech Cluster - both industrial associations bringing together Austrian companies from electronic devices and green technology sectors.</t>
  </si>
  <si>
    <t>1. tech is valid and might address a real problem
2. already has clients with positive feedback
- 1. need more justification that the demand is real -- they can scale up from current clients
2. need more justification to their technical edge</t>
  </si>
  <si>
    <t>Building classy and minimalist Electric Vehicles with a modularized, rapid production model.
- Didn't get how they have +$16M pre-booked revenue when they charge $500 per each order and 175 orders are in existence. 
&gt; First product will be delivered in Q4 2022
&gt;one of the founders is female from NYU</t>
  </si>
  <si>
    <t xml:space="preserve">Mentors would be interested?; minimalistic EV car; would need intense capital build; 16M in pre book revenue allegedly, but their math doesn't quite work out; NYU founded team; </t>
  </si>
  <si>
    <t>Passionate and credible team
+Received lots of funding and won startup competitions 
-Small Serviceable Obtainable Market</t>
  </si>
  <si>
    <t>CO2 storage projects for companies to either directly store their carbon or acquire offsets.
-In the concept phase, No customers yet Too early? Can check for next year</t>
  </si>
  <si>
    <t>1. up&amp;running with sizable clients
-
1. tech isn't novel
2. fierce competition</t>
  </si>
  <si>
    <t>1. tech is advanced and team has technical talent to back it.
-
1. a lot of hype from presentation, I had to read through lengthy self-boasting to see what they are actually trying to do
2. very crowded space, not sure what their edge is</t>
  </si>
  <si>
    <t>1. tech is advanced and solves real problems
2. team seems to have the talents to make it work
-
1. little validation is given at this early stage, inquire more on this.</t>
  </si>
  <si>
    <t>Good Idea
-Might be hard to get access to the scale of image data required and process it in realtime
-Not sure if technical team members can deliver
-Might be too early</t>
  </si>
  <si>
    <t>Data Correlation Algorithms for unified IT monitoring
- Need to get more customers
- Small team size
&gt; Generating $40K ARR, SaaS-based revenue</t>
  </si>
  <si>
    <t>Credible team with well developed product and company
+USD$ 11M since company inception
-Might not be large enough a market or novel enough a product for EFL</t>
  </si>
  <si>
    <t>1. good idea 
2. good team
-
1. early stage with not too much validation</t>
  </si>
  <si>
    <t>1. good idea that addresses a real problem
2. good team setup
-
1. little validation</t>
  </si>
  <si>
    <t>Applied to EFL before, since then they got regulatory approval for the Covid-19 test in Chile and got a patent
How does it work? What is the principle? How can it determine what type of virus it is detecting? How would it detect cancer cell? Or bacteria?</t>
  </si>
  <si>
    <t>Founder has renewable energy project experience
-Team very small
-Too early for EFL</t>
  </si>
  <si>
    <t>Zoios is like Google Analytics for HR and helps companies measure what matters - their people.
Recruiting talented people, and ensuring they thrive and perform is not easy. So, it should not be based on human intuition alone. 
Zoios delivers concrete data, insights, and recommendations on how to ensure employees are engaged and thrive.</t>
  </si>
  <si>
    <t>Applied to EFL before. Can't find them on salesforce 2020, did they change their name? Seems like the only thing they did from the last year is that they filed the IP
Their work might be interesting but they are way too early stage
The product is at the concept stage 
No deck, no data showing validation</t>
  </si>
  <si>
    <t>- Alumni of ACE  (Amsterdam Center of Entrepreneurship) incubator program. 
- Currently enrolled in Imec.Istart accelerator program.</t>
  </si>
  <si>
    <t xml:space="preserve">Lab research voice assistant; is the idea they're solving a big problem? </t>
  </si>
  <si>
    <t>Duplicate</t>
  </si>
  <si>
    <t>Passionate team
+Developed prototype
+Maybe too early
-Large established competitors</t>
  </si>
  <si>
    <t>1. advanced tech 
2. good talents on team
-
1. early stage with little concrete progress to show for</t>
  </si>
  <si>
    <t>Primary Assembly is a software system that converts electrical activity of the brain into music in real-time. This creates powerful biofeedback loops that enable us to explore consciousness, something that has been largely invisible to us but shapes our everyday existence. 
By rendering consciousness into sound, it?s like turning on a flashlight</t>
  </si>
  <si>
    <t>1. already up and running with revenues
-
1. tech isn't novel</t>
  </si>
  <si>
    <t>Yes.
Halcyon AWS Bahrain Women?s Intensive
Sanabil 500 MENA Seed Accelerator - Batch 2
C3 IDEA Accelerator powered by Accenture
Ma?an Social Incubator by NYU Abu Dhabi</t>
  </si>
  <si>
    <t>1. tech isn't novel
2. lacking long term vision</t>
  </si>
  <si>
    <t>Founded in 2014, dedicated to biostimulation solutions to improve people's health and life.
Recently two product lines:
1. PainKARE - target chronic pain syndrome, with effective rate over 82%
2. FaceKARE - target people over 30's to rejuvenate whole face for young looking, 
5 patents (2 US) granted; one US FDA 510K cleared.</t>
  </si>
  <si>
    <t>In the fun fact section, it seems like their product helps with hair growth? 
Overall very confusing company, no clear tech or innovation, no data, no team
Not LS</t>
  </si>
  <si>
    <t>1. idea is a good one
-
1. tech is not deep or novel</t>
  </si>
  <si>
    <t>We entered in the export business in 2019 and trying our best to meet the standards of International marketing. Our professional team is skilled and understands importance of quality products as we have always started our business with a strong focus on quality.
Trust, faith and satisfaction of customers is our motto.</t>
  </si>
  <si>
    <r>
      <rPr>
        <u/>
        <sz val="11"/>
        <color rgb="FF000000"/>
        <rFont val="Inconsolata"/>
      </rPr>
      <t>iAssay.net</t>
    </r>
    <r>
      <rPr>
        <u/>
        <sz val="11"/>
        <color rgb="FF000000"/>
        <rFont val="Inconsolata"/>
      </rPr>
      <t xml:space="preserve"> _2022</t>
    </r>
  </si>
  <si>
    <t xml:space="preserve">Change to DiT; </t>
  </si>
  <si>
    <t>Deep Tech. Identified novel, green chemicals in the ocean that kill a broad-spectrum of bacteria and fungi at all stages of growth, including biofilm. First customer was NASA. Mother-daughter team is an NYU PhD/JD and an MD/PHD from St. George's University. SAB member coined the term biofilm".</t>
  </si>
  <si>
    <r>
      <rPr>
        <sz val="11"/>
        <color theme="1"/>
        <rFont val="Inconsolata"/>
      </rPr>
      <t xml:space="preserve">change to DT; Strong expert Team; applied last year strong interview last year; non EFL staff/mentor interviews, but other feedback was "does not seem coachable" </t>
    </r>
    <r>
      <rPr>
        <b/>
        <sz val="11"/>
        <color theme="1"/>
        <rFont val="Inconsolata"/>
      </rPr>
      <t>Make sure EFL TEAM interviews</t>
    </r>
  </si>
  <si>
    <t xml:space="preserve">unique tech combining event cameras with other cameras; event cameras are new in world of computer vision; not a lot of analytic software out there so far; experienced founders </t>
  </si>
  <si>
    <r>
      <rPr>
        <sz val="11"/>
        <color theme="1"/>
        <rFont val="Inconsolata"/>
      </rPr>
      <t xml:space="preserve">developed new way to synthesize single strand DNA; uses in CRSPYR; invited last year for interview, but no notes from last year; potentially not discovered </t>
    </r>
    <r>
      <rPr>
        <b/>
        <sz val="11"/>
        <color theme="1"/>
        <rFont val="Inconsolata"/>
      </rPr>
      <t>where did interview feedback from LY go?</t>
    </r>
  </si>
  <si>
    <t xml:space="preserve">still pending FDA approval; for at home non specialized user ultrasounds; question for interview: can the average person really diagnose themselves? what is the ease of use? </t>
  </si>
  <si>
    <t>a modular, portable EV and micromobility charger ready for any location
applied last year
has Lyft as a pilot customer
utility patent issued
good team</t>
  </si>
  <si>
    <t>Product market fit strong, Experienced team of serial founders, Already done validation and customer acquisition work</t>
  </si>
  <si>
    <t>Healthier chocolate and coffee production from a single cell at a highly competitive price point with 99% less pollution
+Mass producing using developed bioreactor technology.
+ Founder from NYU 
+ Secured 5M in funds and raised 5m out of 11M fundraising campaign round 
+ Team seems credible</t>
  </si>
  <si>
    <t>Novel tech
+Credible team
+Good idea and large addressable market</t>
  </si>
  <si>
    <t xml:space="preserve">
1. advanced tech address a problem with increasing demand
2. good team setup</t>
  </si>
  <si>
    <t xml:space="preserve">change to DT; strong funding and sales so far; IP not protected yet, should file; </t>
  </si>
  <si>
    <t>Affordable 3D imaging technology
+ Technology is interesting 
+ Female founder, 6phd's founders and European space agency funded a small amount 
+Raising 3m
+ Good results in dark conditions
+ Modular configuration with low power consumption</t>
  </si>
  <si>
    <t xml:space="preserve">target market is a concern in terms of how can EFL make an impact? no strong plan yet to break into other markets beyond India currently; however idea is novel; out of Ycom; </t>
  </si>
  <si>
    <t>Pros-
The company has tight relationship with Zurich insurance
Already generating revenue from customers/pilots
Cons-
The concept of Digital Twins of Risk " is ambiguous"</t>
  </si>
  <si>
    <t xml:space="preserve">strong potential market; strong, seasonsed exectutive team; interesting idea and would benefit from EFL helping with traction gaining; </t>
  </si>
  <si>
    <r>
      <rPr>
        <sz val="11"/>
        <color theme="1"/>
        <rFont val="Inconsolata"/>
      </rPr>
      <t xml:space="preserve">SaaS for speech and laguage therapists; end to end product; tech isn't revolutionary, but sets up mass collection of data on patients including response to treatment; interested to see if they would branch out; </t>
    </r>
    <r>
      <rPr>
        <b/>
        <sz val="11"/>
        <color theme="1"/>
        <rFont val="Inconsolata"/>
      </rPr>
      <t>connect to Kintsugi?</t>
    </r>
  </si>
  <si>
    <t xml:space="preserve">
1. good idea
2. strong team</t>
  </si>
  <si>
    <t>DiT
visual AI turns an edge device into a visually intelligent device
the first use case is smart grocery retailers
scans items in cart for auto check out
https://www.caper.ai/ is already on the market</t>
  </si>
  <si>
    <t>AI based application product usage in grocery shopping 
+Raised 2.5m in seed round
+DL-based embedded visual AI turns an edge device (e.g. smartphone or camera) into a visually intelligent device
- Competitors have a working products in the market</t>
  </si>
  <si>
    <t>Real-time staff assistance via AI on video streams
+ AI-Powered Operational Platform for Kitchens
+ I feel the tech is good and can help a lot of restaurants in managing their peak time order 
+Team looks solid on paper 
+ Preseed: 3,000,000
+ Circled 3.7m out of 5m fundraising</t>
  </si>
  <si>
    <t>Upword's mission is to transform content into knowledge. Today it's broken due to challenges of information overflow and the forgetting curve". Upword is for knowledge workers: Students, doctors, writers etc.</t>
  </si>
  <si>
    <t>DiT
quickly capture key ideas using AI-powered notes and create personalized &amp; summaries</t>
  </si>
  <si>
    <t>Passionate team
+Developed product
+Some revenue
-Tech does not appear novel
-Market not proven</t>
  </si>
  <si>
    <t>We're optimizing the power of algae and other plant based biologicals to eliminate the dependency on chemical fertilizers in agriculture.</t>
  </si>
  <si>
    <t xml:space="preserve">change to DT; </t>
  </si>
  <si>
    <t>- Many competitors such as rally.io
- Not a fit for EFL</t>
  </si>
  <si>
    <t>Solid idea, but social media (content creation) is an incredibly challenging space. Plan for growth is to "get noticed" with a popular content creator.</t>
  </si>
  <si>
    <t>Not a fit for EFL. Also not a sustainable business model.</t>
  </si>
  <si>
    <t>packaging for the cannabis industry 
no real tech</t>
  </si>
  <si>
    <t>Very early, no proof of concept and not convinced this market is viable</t>
  </si>
  <si>
    <t>An early-stage company that needs more validation on the technology</t>
  </si>
  <si>
    <t xml:space="preserve">team is combo of MBAs and PHDs from Duke; One of founders is out of a Pfizer acquired startup; platform not fully developed, but background science solid; concern: most of team is part time, one full time founder (Director of R&amp;D); </t>
  </si>
  <si>
    <t>Maybe DT? Pulsatile blood pump to replace continuous flow pumps for optimal organ perfusion in heart surgery. Demonstrated physiological flow in a porcine model. IP is well protected. Marc Sadam recommendation. $16.5M raised so far, need a little more for 510(k) application and launch to identified KOLs. NYU's Nader Moazami is on their board - he recently performed pig-to-human heart transplant, featured in WSJ. Also have amazing KOLs involved from Cleveland Clinic, NYU Langone, MGH.</t>
  </si>
  <si>
    <t>digital diagnostics devices designed to predict and quantify health state
ongoing clinical trials across the globe with big partners
move past COVID screening
need to get tech to scale and show it can work in a multitude of areas
IRB-approved clinical trials in over 5,000 participants. $12M</t>
  </si>
  <si>
    <t xml:space="preserve"> +Team seems credible and passionate 
+The technology is novel
+They have raised a lot of money
+The vision is compelling</t>
  </si>
  <si>
    <t xml:space="preserve">Strong trials and currently in 12M raise; pivoted product during covid era; in interview: more data and how are trials going; they're not just in US, also doing trials outside of US; </t>
  </si>
  <si>
    <t xml:space="preserve">change to DT; harnessing solar for DC charging / conversion; strong CEO with multiple large companies grown to $5B; good traction so far YTD 600K in revenue forecast $1M; </t>
  </si>
  <si>
    <t xml:space="preserve">visual analysis of tumors; multi-omics; for interview: are bio markers just cellular structural; IP well protected; pilot with hospital underway; Dick Foster on team; seems stronger than similar apps from LY; </t>
  </si>
  <si>
    <t xml:space="preserve">POC for clotting diseases; validated in human blood samples for 6 clotting diseases; no data on sensitivity or specificity; no discussion of regulatory pathway; $5M in grants; </t>
  </si>
  <si>
    <t>DiT
B2B cloud communication software
Needs business dev and scaling
uses decentralized cloud network explicitly targeting customizable communications for businesses
$20M series A
undisclosed amount of venture funding from R-930 Capital, Redline DAO and ZBS Capital on January 19, 2022</t>
  </si>
  <si>
    <t xml:space="preserve"> + Decentralized Communication and Data Network to provide data and communication features
 &gt;&gt; DIT
 + Validated with over 1m in vietnam
 +  Beowulf blockchain lays the infrastructure for exchanging and delivering various innovative solutions. It features a Large transaction volume, Fast transaction confirmation.
 &gt;dual-coin structure
 &gt;&gt; Planning to raise 20M in series A funds</t>
  </si>
  <si>
    <t xml:space="preserve"> +Developing portable brain scanners for early diagnosis of stroke
 -  Need to gain customers currently zero 
 + Female founder</t>
  </si>
  <si>
    <t xml:space="preserve"> +  AI-driven drug development platform
 + Claims that it reduced the discovery cycle and cost for early drug discovery by 70% if what they are saying is true then it can be game-changing 
 +selected for funding (multi-million EURO) by the 2020 ?Europe Innovative Medicines Initiative?
+ Founder has startup experience 
- Need to verify their claims on funds &amp; fundraising as most of the application info is Undisclosed.</t>
  </si>
  <si>
    <t xml:space="preserve"> +Novel Technology
+Potentially large market
+Team seems credible and passionate</t>
  </si>
  <si>
    <t xml:space="preserve">Change to DT; bathroom scale for imaging for diabetic foot ulcers; relays to clinical team without need to patient to use app or send themselves; star advisors; </t>
  </si>
  <si>
    <r>
      <rPr>
        <sz val="11"/>
        <rFont val="Inconsolata"/>
      </rPr>
      <t xml:space="preserve">DiT
uses machine learning to create generate real-time esports analytics
 $20K in MRR
</t>
    </r>
    <r>
      <rPr>
        <u/>
        <sz val="11"/>
        <color rgb="FF1155CC"/>
        <rFont val="Inconsolata"/>
      </rPr>
      <t>https://www.bloomberg.com/news/articles/2022-08-09/overtime-sports-raises-100-million-to-expand-leagues-for-high-school-athletes?utm_term=220809#xj4y7vzkg</t>
    </r>
  </si>
  <si>
    <t xml:space="preserve"> +Credible team
+20K in MRR
+Large potential market</t>
  </si>
  <si>
    <t xml:space="preserve">Change to DiT; growing and scaling space (esport engagement); </t>
  </si>
  <si>
    <t xml:space="preserve"> +Novel technology
+Credible founder
+$310 revenue
-Requires a lot of investment</t>
  </si>
  <si>
    <t xml:space="preserve"> +Credible team
+Novel tech
+$418,000 in ARR 
+Raised a lot of money</t>
  </si>
  <si>
    <t>change to DiT; gameified therapy for cancer pts; trials in multiple hospitals; team is good but not amazing; tech is exciting;</t>
  </si>
  <si>
    <t xml:space="preserve"> 1. advanced tech with validation
2. solid progress so fa </t>
  </si>
  <si>
    <t xml:space="preserve"> +Credible team
+Novel technology
+Large potential market</t>
  </si>
  <si>
    <t xml:space="preserve"> +Novel tech
+Credible team
+Large potential market</t>
  </si>
  <si>
    <t xml:space="preserve">strong raise; 2 main founders are PHDs from Oxford; market is particularly developed yet, though they are patent protected; scaling is an issue; </t>
  </si>
  <si>
    <t>Y Combinator, S21 cohort. They said We postponed our Demo Day, because we pivoted at the end of the batch and settled on mRNA manufacturing idea in January 2022"</t>
  </si>
  <si>
    <t>Injectable nanoparticles that burst when exposed to radiation, and contain radiosensitized chemotherapy Tx. This approach localizes radiotherapy and chemotherapy within the tumor, minimizing systemic effects of cancer treatment. Great science validated extensively in vitro and in a mouse model but the team is all part-time, led by a Purdue Prof. 2 Provisional Patents filed, none advanced to full patent or granted yet. If they had a full-time team we would interview them, but given that they don't and that they're pre-Seed we should hold off. Too early.</t>
  </si>
  <si>
    <t>In their deck they say they have partnerships with Stereotaxis (their main US competitor), Siemens, Philips, GE - no details 
Would like to see the actual data</t>
  </si>
  <si>
    <t xml:space="preserve">change to DT; magnetically navigated intravascular device; testing in vascular mimics and pigs; </t>
  </si>
  <si>
    <t xml:space="preserve">mentor referral; real time feedback for speech issues/targeted towards stutters; fills gaps between speech therapy sessions; 15K downloads is 63 countries; tech light for EFL, but great team and great idea; a lot of their citations however are dated, competive assessment one is 13 years old; </t>
  </si>
  <si>
    <t>DiT
uses machine learning and proprietary data sets to offer an end-to-end framework covering real-time risk scoring
$1M in rev</t>
  </si>
  <si>
    <t xml:space="preserve"> +A DiT startup
 +Impresive Seed Investors like Kunal Shah from CRED, Amrish Rao.
 +Giving it a 4 and would like to them to interview, as they have a strong team, clear vision, and good initial investors at seed level.</t>
  </si>
  <si>
    <t xml:space="preserve">technically unclear on moat; a lot of questions around business model, demand, etc. somewhat hard to understand exactly what they're trying to do? desire to expand to US but better markets may be international; </t>
  </si>
  <si>
    <t>- Application does not have key information. 
- Should invite to apply to EFL next year. 
- Have not yet tested an approach to the software stack we plan to eventually build."</t>
  </si>
  <si>
    <t xml:space="preserve"> +Passionate credible team
+Large potential market
+Building MVP
+They have participated in other startup accelerators
-They might be a little early for EFL</t>
  </si>
  <si>
    <t xml:space="preserve">change to DT; maybe early in terms of funding; have 2 US patents; </t>
  </si>
  <si>
    <t xml:space="preserve"> +  Drone delivery company that enables safe deliveries even in strong winds
+ preseed round to start in q4 for 2M
- No customers yet ? Product demo if the product is ready? 
 &gt; Can consider next year with product demo and customers along with FAA approval is done</t>
  </si>
  <si>
    <t>Expansion of iNKT cells for CAR therapy without the need for genetic modification. Validated efficacy in a mouse model (n=5). 1 PCT granted, 1 provisional filed. Very strong scientific team (Harvard, MIT, Hopkins, Cornell, MSKCC), but only the CEO is full time. No business experience or advisors. Minimal fundraising - too early, but definitely invite next year.</t>
  </si>
  <si>
    <t xml:space="preserve"> 
1. some highlights in hardware
2. very strong team
-
1. not too much justification/result yet
2. might be a crowded space</t>
  </si>
  <si>
    <t>We graduated from the Salesforce Accelerator Cohort 12 this past fall which was specifically geared to help us accelerate our efforts on the Salesforce AppExchange.  We graduated and were formally recognized as one of the top 3 most engaged companies out of 23 and recently passed our Security Review and went live on the AppExchange which was the primary goal of the program. 
We are also an active member of Embarc Collective, Florida's fastest growing Technology Hub.  Embarc was founded by the Owner of the Tampa Bay Lightning, Jeff Vinik, and is more of an annual support hub with co-working space and coaches, vs. a traditional accelerator"."</t>
  </si>
  <si>
    <t xml:space="preserve">
1. impress progress so far in India
-
1. not a tech play
2. crowded space in the U.S. </t>
  </si>
  <si>
    <t xml:space="preserve"> + Marine Kinetic Energy power generation and energy storage
 &gt;&gt; Uses pressurized air/water, to move water into a sphere enclosure which propels a Turbine Generator
 - Concept phase
 &gt;&gt;  Needs to prove the concept and develop a prototype 
 &gt;&gt; Tech is good but early for EFL
 &gt;&gt; Invite Next year</t>
  </si>
  <si>
    <t xml:space="preserve"> +Team seems credible
+Passionate about product
-Software has not had a large trial
-No revenue
-Might be too early for EFL</t>
  </si>
  <si>
    <t xml:space="preserve"> +The team seem passionate
+They have raised a lot of money: $5.5M seed and $650K grants
+They have experience in the industry</t>
  </si>
  <si>
    <t xml:space="preserve"> + Monitoring the food supply chain in real-time through SaaS and Enterprise platform
 ? DIT
 + Female Founder
 + Seed of 2900000 is raised circled 3M in fundraising out of 6M
 + $19,000-$35,000 per month per customer</t>
  </si>
  <si>
    <t xml:space="preserve"> + Company focuses on industrial visual defect detection and provides standardized S/W and H/W platform
 + Claims that it generated $10000000USD
 &gt; I have worked in a factory but I didn't see the trend in AI visual inspection to full scale 
 - Not much information is provided and said to contact them for further information 
 - No information on team</t>
  </si>
  <si>
    <t xml:space="preserve">AirMid is targeting an antiquated 65-year-old critical care field, where continued reliance on FDA-grandfathered artificial ventilation technologies is now known to contribute to over $20 billion in additional US healthcare costs and more deaths than breast and prostate cancers combined.  A new "first, do no harm" platform is acutely needed. </t>
  </si>
  <si>
    <t xml:space="preserve">change to DT; filter for manual ventilators; main use is military application; looking to expand to mechanical ventilation; </t>
  </si>
  <si>
    <t>- We are part of the University of Illinois EntrerpriseWorks incubator (Champaign, Ill), where we conduct our research
- We have been selected to be one of the 15 members (from a pool of more than 150 applicants) of the 2022 cohort of the FoodBytes program (Rabobank; https://www.foodbytesworld.com/)
- We are supported by Georgia Research Alliance, a public-private partnership that forsters innovation coming the University System of the State of Georgia (https://gra.org/)
- Our commercial operations are part of the accelerator Curiosity Lab" of teh State of Georgia (https://www.curiositylabptc.com/)"</t>
  </si>
  <si>
    <t xml:space="preserve"> +A telepresence robot manufacturer, seller, and rental provider
-Competitors have working models in the market
&gt; Can look for next year I feel it is early to come to EFL this year
- Founder self-taught P courses</t>
  </si>
  <si>
    <t xml:space="preserve"> +Team seems credible
+Clear pain point
+Developed product
-Might be too early</t>
  </si>
  <si>
    <t xml:space="preserve"> +Tech seems novel
-Market does not seem particularly large
-Might be too early</t>
  </si>
  <si>
    <t xml:space="preserve"> +
1. modern concept
2. strong team
-
1. a lot of buzz words with more justification needed
2. could be a crowded space in near future</t>
  </si>
  <si>
    <t xml:space="preserve"> +Passionate team
+Large potential market
-Might be too early for EFL
-Small team
-Tech not novel</t>
  </si>
  <si>
    <t xml:space="preserve"> + Thermochemical and biological technology to produce Renewable Energy, Biochar, Organic Biofertilizers, and Biochemicals from waste biomass
+ HyPyrogestion technology - an integration of Hydrolysis, Anaerobic Digestion (AD) and Pyrolysis
+ One of the founder is affiliated with NYU 
+ Need to gain customers</t>
  </si>
  <si>
    <t xml:space="preserve"> +
1. interesting idea
2. strong team
-
1. technical implementation requires more justification on soundness and novelty</t>
  </si>
  <si>
    <t xml:space="preserve">cluster with other legal tech; </t>
  </si>
  <si>
    <t xml:space="preserve"> + Building blockchain technology around the Cardano
ecosystem.
 - Not Related to Deep Tech, DIT?
 &gt;  NFT marketplace
 + Planning on raising 10M
 - Crypto market is still down currently</t>
  </si>
  <si>
    <t xml:space="preserve"> +They have a developed product
+They have revenue
+They have government contract
-Difficult to scale</t>
  </si>
  <si>
    <t xml:space="preserve"> +Credible well developed team
 -Potential market not very large
-Tech not very novel
-Might be too early</t>
  </si>
  <si>
    <t xml:space="preserve"> +
1. could be one of the firsts in the market
-
1. team could be stronger
2. not much justification at this stage</t>
  </si>
  <si>
    <t xml:space="preserve"> +Team seems passionate about product
+The have a developed product
-Potential market not proven
-Might be to early for EFL</t>
  </si>
  <si>
    <t xml:space="preserve"> +
1. impressive progress so far
-
1. not a tech play</t>
  </si>
  <si>
    <t xml:space="preserve"> +
1. great idea for a great cause
2. nyu alum with relevant experience
-
1. very early stage with not much concrete progress</t>
  </si>
  <si>
    <t xml:space="preserve"> + Builds Fast electric vehicle (EV) charging sites in quick-serve restaurants in their parking lot optimized with their custom software.
 + Raised a total of 7,400,000(Preseed &amp; seed)
 + Founders from top-tier colleges
+ Installing pilots for popeye's and Golden gate bell 
 + plan to build 400 new sites in 2023
 + Has a large market to capture and we are going towards to EV sector in the fast pace</t>
  </si>
  <si>
    <t>helps grocers automate their most labor-intensive tasks, such as shelf stocking
need to scale and show the robots can be deployed a range of different stores
build a moat and capture market.
$500k in ARR via booked contracts</t>
  </si>
  <si>
    <t xml:space="preserve"> + Tech includes algorithms as well as hardware models.
 + Works on making labor automation, picking and putting th products, can be used for the stock house.
We Should Invite</t>
  </si>
  <si>
    <t xml:space="preserve">have pilots going currently, booking more contracts; </t>
  </si>
  <si>
    <t xml:space="preserve"> + addressing real need 
+ excellent team
+ right stage for EFL looking for advice</t>
  </si>
  <si>
    <t>Green debt and carbon origination platform. Evercity platform automates management, issuance and monitoring of sustainable finance. We make it easier, cheaper and more transparent for banks, funds, corporates and SMEs.</t>
  </si>
  <si>
    <t xml:space="preserve">change to DT; POC device; testing in blood and urine at John Hopkins, out of oxford and imperial collge; </t>
  </si>
  <si>
    <t xml:space="preserve">real time, minute to minute data on predicting areas of congestion or infrastructure damage; </t>
  </si>
  <si>
    <t xml:space="preserve">interview LY; 4 before interview last year, KM and MF interviewed; similar to last year app, but has shwon some expansion; </t>
  </si>
  <si>
    <t xml:space="preserve"> +Good Idea. 
 +Team has a good idea and good business strategy personnel.
 -I am not sure about the strength of the technical team, considering them as part timer
 -There are many attempts for making bioplasts going on already.</t>
  </si>
  <si>
    <t xml:space="preserve"> +Most downloaded business app in Lat America!
+ Impressive partners and growth
- Is the tech novel (it is not)?
- How can EFL help with growth in LatAm market?</t>
  </si>
  <si>
    <t xml:space="preserve">Has applied in 20, 21, and now 22; Mentor referral; in prior apps had only done testing in cell line, assumed would translate to primary cells; LY did not have enough validation; does not seem like there's too much improvement; special reject if not selected for this; </t>
  </si>
  <si>
    <t xml:space="preserve"> 1. great idea
2. strong team
3. has a core tech component</t>
  </si>
  <si>
    <t xml:space="preserve">drug discovery; CEO has prior exits, but not in pharma; CFO is full time now, but only bc on sabbatical; strong funding raising currently, but all friends and family funding for now; </t>
  </si>
  <si>
    <t xml:space="preserve"> + Interesting concept to empower permissionless investments (of small sums each but high frequency). 
+ Credible founders and initial traction
- Im still not entirely clear how transaction verification and completion/return distribution works
- Who would agree to make permissionless investments?
- Deck isnt detailed enough
Overall, could be a disruptive idea -- interview to find out more?</t>
  </si>
  <si>
    <t xml:space="preserve">AI/Decentralized investing, sort of like crowd funding but to the next level; does not have much if any tech protection; "hard to patent a mathmatical formula"; </t>
  </si>
  <si>
    <t xml:space="preserve"> + Replace petrochemical adjuvants in agrochemicals through the conversion of biomass into surfactants and carbon-negative soil.
 +Reactor technology which enables the cost-competitive conversion of plastic waste and biomass into chemicals to replace petrochemicals
+ Preseed: $680,000
 + Team looks solid and can capture good market size</t>
  </si>
  <si>
    <t xml:space="preserve">not particularly novel or new idea/tech; </t>
  </si>
  <si>
    <t xml:space="preserve">has good validation, the effect isn't dramatic, just minor; seems like a team of one, though the one person is well qualified; </t>
  </si>
  <si>
    <t>IndyGeneUS AI is a black-owned and service disabled veteran-owned and operated small business (SDVOSB) that is driving precision medicine by leveraging data mining and artificial intelligence to expedite the development and manufacturing of quality targeted therapies, bringing them to market faster.</t>
  </si>
  <si>
    <t xml:space="preserve">strong validation in 1200 PTs; shows 4x increase in IV injection; application (use) is very narrow; team has prior experience in MedTech; </t>
  </si>
  <si>
    <t>At Nemosia, we develop biomarkers for early diagnostics of neurodegenerative disorders such as Alzheimer's disease. 
Our probes are the only NMDA receptor-targeted imaging ligands worldwide that have been successful in preclinical evaluations and have entered the clinical arena.</t>
  </si>
  <si>
    <t xml:space="preserve">connects creatives with brands (not the novel part), issues essentially a credit score to these partnered creatives for lending and other financial institutions to use; could turn into credit score API; </t>
  </si>
  <si>
    <t>This company offer's information related to awetism in the form a game to the end user. There is not much Tech involved at present. This idea more like a blog that charges monthly subscription to the end user.</t>
  </si>
  <si>
    <t xml:space="preserve">SaaS for autism treatment/patient response; founder has an enormous drive; company feels early, not yet a tech play but would benefit well from EFL mentorship; interview or special reject for next year; </t>
  </si>
  <si>
    <t>They were invited for an interview, what happened?
Improvement from last year: "We've gotten our patent, strong data for 2 different customer applications, and have achieved profitability"
Were at SOSV's Indiebio, Creative Destruction Labs</t>
  </si>
  <si>
    <t xml:space="preserve"> +Developed a substrate for all kinds of chemical mining applications, Can perform multi-element extraction too 
 +ion adsorption filtration media based on chromatography
 + Large market size if succeed with the current pilots as there are no direct competitors.
 - Need to work on funds</t>
  </si>
  <si>
    <t xml:space="preserve"> + Good Deep Tech Venture.
 + We can invite them</t>
  </si>
  <si>
    <t xml:space="preserve"> +Credible team
+deposit of $30,000 for our first commercial launch
+MVP works
+Tech novel</t>
  </si>
  <si>
    <t xml:space="preserve"> 1. solid progress so far with considerable amount of clients
2. tech is advanced and seems to have a good implementation 
3. strong team</t>
  </si>
  <si>
    <t xml:space="preserve"> + Develops Rare-Earth free Reluctance motor systems to reduce the cost of high-efficiency electric vehicle powertrains
+Developed a novel way of designing the Switched Reluctance motor
+ Founder has startup experience
 + Circled 4M (2M in soft+ 2M in hard) through series A</t>
  </si>
  <si>
    <t xml:space="preserve">Change to DT;tech isn't quite clear, but strong revenue; </t>
  </si>
  <si>
    <t xml:space="preserve">already at IPO stage in London, </t>
  </si>
  <si>
    <t>Killing the fax isn't novel/high impact (EFL material), especially as many areas of the healthcare industry have already done so. Tech isn't eligible for patent.</t>
  </si>
  <si>
    <t xml:space="preserve">Tradewell Technologies provides the first fully automated trading suite for the corporate bond market to institutional investors. Our clients are fixed income trading desks at large asset managers. Our product is a cloud-based SaaS system that offers a web-based UI and a client API.  </t>
  </si>
  <si>
    <t xml:space="preserve"> +Platform delivers an innovative, context-aware security Implementation of NIST's Zero Trust architecture over cloud-delivered development environments
 + Broadcom and WeBank are using this tech and we are getting significant traction ahead of the official release of our public SaaS for the SME market</t>
  </si>
  <si>
    <t xml:space="preserve">similar to ONCOPrecision from LY and another app from this year; slightly different tech to onco, can achieve in one week; </t>
  </si>
  <si>
    <t xml:space="preserve">localized in England and Wales currently; tech validation feels early (pilot study coming this year); patent currently pending; unique company if not the most far along </t>
  </si>
  <si>
    <t>Orbit Genomics' patent pending OrbiSeq platform analyzes novel genomic markers that uniquely reflect not only inherited predisposition to disease, but also risk acquired from lifestyle and environmental exposures. It can be applied to diagnose, treat and help prevent complex diseases including cancer, heart disease and neurological diseases.</t>
  </si>
  <si>
    <t>Timedrips launches a water-saving faucet that is not only environmentally friendly, but also offers its users a unique anti-gravity experience.</t>
  </si>
  <si>
    <t xml:space="preserve"> + Generates digital human avatars to enable scalable, made-to-measure fashion to produce custom-fit clothing
 + Avatars directly integrate into 3d design workflows
 - I feel generating a 3D model of the individual is not novel as I know university students use the 3d mapping technology for projects with the advancements in Lidar in mobiles
 &gt; Able to achieve an accuracy of 97% in terms of body measurement of pilot customers.
 &gt; Can see if they have any traction next year as they need to gain more customers
 + Female founders</t>
  </si>
  <si>
    <t xml:space="preserve">body scan to 3d avatar for clothing design, not particularly novel; extremely strong/compelling team; pointed to specific founders in application; looking for help in building tech moat; </t>
  </si>
  <si>
    <t>Applied in 2020 and got 2, they say that compared to their 2020 app "We are generating revenue and imminently releasing 2 products."
Referred by Nicole McKnight - Managing director BioLabs</t>
  </si>
  <si>
    <t xml:space="preserve">change to DiT; data analytics; strong team our of carnegie mellon/cambridge; no patenting; generating revenue; referred by Nicole McKnight; not necessarily novel; no platform yet, more like a service for now; applied in AY20, have shown a lot of growth since then; unsure if the tech is innovative, patentable, etc; </t>
  </si>
  <si>
    <t xml:space="preserve"> +Develops climate intelligence solutions to quantify the impacts of climate change on buildings
 + Combining existing climate models and databases to produce easily accessible climate intelligence.
 &gt; Can call for an interview to see how exactly they are doing the climate assessment cause app info is not in detail
 &gt; Female founder
 - Need to raise funds</t>
  </si>
  <si>
    <t>automated data cleaning for healthcare
need product market fit, having issues relating product narrative to customers
long lead time</t>
  </si>
  <si>
    <t xml:space="preserve">no code; aim to be excel of big data; demo only shows small data set manipulation; validation not described very well; large market opp, google advisors; have 90K in revenue from beta version; likely not patentable; </t>
  </si>
  <si>
    <t xml:space="preserve"> +Good idea, But early in their funding stage.
 -Tech is in the early stage.
 -More of a business idea than a tech</t>
  </si>
  <si>
    <t>For physical therapy to work, it must be done on a daily basis. To do something on a daily basis, it has to be done at home.
But, people don't do their therapy exercises at home. This is the problem that every therapist in the world struggles to solve.
Pearl Interactives solves this problem by turning physical therapy into a video game.</t>
  </si>
  <si>
    <t>...reduce the financial barrier for young tenants, improve access to rental housing, establish a relationship of transparency and trust between tenant and landlord, provide landlords with protection tools as financial and insurance products. The tech innovation isn't clear, although the team has real estate experience and some traction with pilots.</t>
  </si>
  <si>
    <t>App Withdrawn</t>
  </si>
  <si>
    <t>Khoa Removed</t>
  </si>
  <si>
    <t>Application_Deliberation_Notes__c</t>
  </si>
  <si>
    <r>
      <rPr>
        <u/>
        <sz val="11"/>
        <color rgb="FF1155CC"/>
        <rFont val="Inconsolata"/>
      </rPr>
      <t>Taiyo.AI</t>
    </r>
    <r>
      <rPr>
        <sz val="11"/>
        <color rgb="FF000000"/>
        <rFont val="Inconsolata"/>
      </rPr>
      <t xml:space="preserve"> _2022</t>
    </r>
  </si>
  <si>
    <r>
      <rPr>
        <u/>
        <sz val="11"/>
        <color rgb="FF1155CC"/>
        <rFont val="Inconsolata"/>
      </rPr>
      <t>PredictNow.ai</t>
    </r>
    <r>
      <rPr>
        <sz val="11"/>
        <color rgb="FF000000"/>
        <rFont val="Inconsolata"/>
      </rPr>
      <t xml:space="preserve"> _2022</t>
    </r>
  </si>
  <si>
    <r>
      <rPr>
        <sz val="11"/>
        <color theme="1"/>
        <rFont val="Inconsolata"/>
      </rPr>
      <t xml:space="preserve">change to DT; Strong expert Team; applied last year strong interview last year; non EFL staff/mentor interviews, but other feedback was "does not seem coachable" </t>
    </r>
    <r>
      <rPr>
        <b/>
        <sz val="11"/>
        <color theme="1"/>
        <rFont val="Inconsolata"/>
      </rPr>
      <t>Make sure EFL TEAM interviews</t>
    </r>
  </si>
  <si>
    <r>
      <rPr>
        <sz val="11"/>
        <color theme="1"/>
        <rFont val="Inconsolata"/>
      </rPr>
      <t xml:space="preserve">developed new way to synthesize single strand DNA; uses in CRSPYR; invited last year for interview, but no notes from last year; potentially not discovered </t>
    </r>
    <r>
      <rPr>
        <b/>
        <sz val="11"/>
        <color theme="1"/>
        <rFont val="Inconsolata"/>
      </rPr>
      <t>where did interview feedback from LY go?</t>
    </r>
  </si>
  <si>
    <r>
      <rPr>
        <sz val="11"/>
        <color theme="1"/>
        <rFont val="Inconsolata"/>
      </rPr>
      <t xml:space="preserve">SaaS for speech and laguage therapists; end to end product; tech isn't revolutionary, but sets up mass collection of data on patients including response to treatment; interested to see if they would branch out; </t>
    </r>
    <r>
      <rPr>
        <b/>
        <sz val="11"/>
        <color theme="1"/>
        <rFont val="Inconsolata"/>
      </rPr>
      <t>connect to Kintsugi?</t>
    </r>
  </si>
  <si>
    <t>New Pre-Interview Composite Score</t>
  </si>
  <si>
    <t>3RD Review</t>
  </si>
  <si>
    <t>3RD Review Scores</t>
  </si>
  <si>
    <t>Category</t>
  </si>
  <si>
    <t>Nick Schmandt</t>
  </si>
  <si>
    <t xml:space="preserve"> +Team seems passionate and credible
+Need help scaling which EFL can provide
+The team have managed to do more than a million dollars in sales and raised more than 3 million</t>
  </si>
  <si>
    <t>Robotics, AI, Mobility</t>
  </si>
  <si>
    <r>
      <rPr>
        <sz val="11"/>
        <color theme="1"/>
        <rFont val="Inconsolata"/>
      </rPr>
      <t xml:space="preserve">change to DT; Strong expert Team; applied last year strong interview last year; non EFL staff/mentor interviews, but other feedback was "does not seem coachable" </t>
    </r>
    <r>
      <rPr>
        <b/>
        <sz val="11"/>
        <color theme="1"/>
        <rFont val="Inconsolata"/>
      </rPr>
      <t>Make sure EFL TEAM interviews</t>
    </r>
  </si>
  <si>
    <t>Chemicals, Microbial, Water Treatment</t>
  </si>
  <si>
    <t>Robotics, Automation</t>
  </si>
  <si>
    <t>Jason Yu</t>
  </si>
  <si>
    <t>MedTech, Diagnostics</t>
  </si>
  <si>
    <t>HealthTech, Drug Development</t>
  </si>
  <si>
    <t xml:space="preserve"> +Credible team with strong academic links
+Sound business plan and roadmap that follows similar successful startups
+Have participated in other start up programs
+Have positive press and government recognition</t>
  </si>
  <si>
    <t>Robotics, Construction</t>
  </si>
  <si>
    <t>Autonomous Vehicle, 3D Imaging</t>
  </si>
  <si>
    <t>Engergy Storage, Battery</t>
  </si>
  <si>
    <t>Quantum Computing</t>
  </si>
  <si>
    <t>Aerospace, Rocket, Biofuel</t>
  </si>
  <si>
    <t xml:space="preserve"> + Currently in the R&amp;D phase 
- A lot of competitors in the market in the same segment</t>
  </si>
  <si>
    <t>Materials, Alternative Meat</t>
  </si>
  <si>
    <t>AgTech, Chocolate</t>
  </si>
  <si>
    <t>EV, Engergy Storage, Battery</t>
  </si>
  <si>
    <r>
      <rPr>
        <u/>
        <sz val="11"/>
        <color rgb="FF1155CC"/>
        <rFont val="Inconsolata"/>
      </rPr>
      <t>DELIVERS.AI</t>
    </r>
    <r>
      <rPr>
        <sz val="11"/>
        <rFont val="Inconsolata"/>
      </rPr>
      <t xml:space="preserve"> _2022</t>
    </r>
  </si>
  <si>
    <r>
      <rPr>
        <u/>
        <sz val="11"/>
        <color rgb="FF1155CC"/>
        <rFont val="Inconsolata"/>
      </rPr>
      <t>Delivers.ai</t>
    </r>
    <r>
      <rPr>
        <sz val="11"/>
        <rFont val="Inconsolata"/>
      </rPr>
      <t xml:space="preserve"> is an autonomous delivery technology to reimagine last-mile logistics experience powered by a prominent computer vision system and cutting-edge self-driving technologies in sustainable cities. As Delivers. AI, our motivation is greener way to delivery goods, and We?re focused on creating healthier, more sustainable cities.</t>
    </r>
  </si>
  <si>
    <r>
      <rPr>
        <sz val="11"/>
        <rFont val="Inconsolata"/>
      </rPr>
      <t xml:space="preserve">European Institute of Technology (EIT) Urban Mobility Accelerator Batch 3 Central: https://www.eiturbanmobility.eu/welcome-to-the-eit-urban-mobility-accelerator-programme-batch-3-start-ups/
5PRING 5G and Smary City Accelerator: https://5pring.org/
ALAIAN 5G Accelerator: </t>
    </r>
    <r>
      <rPr>
        <u/>
        <sz val="11"/>
        <color rgb="FF1155CC"/>
        <rFont val="Inconsolata"/>
      </rPr>
      <t>https://alaian.com/5g-call/</t>
    </r>
  </si>
  <si>
    <t>Robotics, Delivery</t>
  </si>
  <si>
    <t>Medical Device, MedTech</t>
  </si>
  <si>
    <t>John McDonald</t>
  </si>
  <si>
    <t>Enteligent Inc. develops power electronics products that harness more energy from solar power.  Enteligent is developing a high-speed, high efficiency, Fast DC EV charger. Our Fast DC charger is powered directly from solar DC power, eliminating significant losses from the DC-AC-DC conversations that currently waste significant electricity.</t>
  </si>
  <si>
    <t>AgTech, Fertilizers</t>
  </si>
  <si>
    <t>Drones, Aircraft, Logistics</t>
  </si>
  <si>
    <t>AgTech, CRISPR</t>
  </si>
  <si>
    <t>AgTech, Biological Products</t>
  </si>
  <si>
    <t>digital diagnostics devices designed to predict and quantify health state
ongoing clinical trials across the globe with big partners
move past COVID screening need to get tech to scale and show it can work in a multitude of areas
IRB-approved clinical trials in over 5,000 participants. $12M</t>
  </si>
  <si>
    <t>Lumirithmic provides highest quality facial scans with realistic skin appearance, through portable desktop devices. We provide Hollywood quality hyper-real faces to everyone, by working with entertainment/video games, ad-tech, metaverse and beauty-tech leaders</t>
  </si>
  <si>
    <t>AR/VR, Scans, Metaverse</t>
  </si>
  <si>
    <t>Sleep, Data</t>
  </si>
  <si>
    <t>EV, Portable Charger</t>
  </si>
  <si>
    <t>Devices, Air Filtration</t>
  </si>
  <si>
    <t xml:space="preserve">Materials, Automotive, Aerospace, </t>
  </si>
  <si>
    <t>Ahmed Bahgat</t>
  </si>
  <si>
    <t>High Societal Impacts and Sustainable Revolutionary Carbon Nanomaterials</t>
  </si>
  <si>
    <t>Materials, Carbon Nanomaterials</t>
  </si>
  <si>
    <t xml:space="preserve"> +Credible team
+Novel technology
+Lots if investment
+Working prototype
+Large potential market</t>
  </si>
  <si>
    <t>Renewable Rnergy</t>
  </si>
  <si>
    <t>EV Brand, Automotive, Modular</t>
  </si>
  <si>
    <t>EV, Frontier Tech, Aircraft</t>
  </si>
  <si>
    <t>Devices, Displays Tech</t>
  </si>
  <si>
    <t>Engergy Storage, Solar</t>
  </si>
  <si>
    <t>GreenTech, Sustainability</t>
  </si>
  <si>
    <t>Joshua Rubnitz</t>
  </si>
  <si>
    <t>Energy, Electrochemical</t>
  </si>
  <si>
    <t xml:space="preserve"> +Credible passionate team
+Industry experience
+Successful parent company
-Qlimate itself does not seem to be a startup</t>
  </si>
  <si>
    <t>Quantum Computing, ClimateTech</t>
  </si>
  <si>
    <t>We have been affiliated with one regional incubator in France : Nubbo l'Incubateur; from May 2021 to May 2022.
Nubbo helped us to define our business model : sell our intelligent knee motorization to orthoses manufacturers.</t>
  </si>
  <si>
    <t>Devices, MedTech, Exoskeleton</t>
  </si>
  <si>
    <t>Chip, Semiconductor</t>
  </si>
  <si>
    <t xml:space="preserve"> +Design, geometry and self-ballasted nature of the Solar Station
+Creating Solar Station, a modular, portable EV and Micro mobility charger ready for any location
+Team looks good and the founder has startup experience
- need scale fast</t>
  </si>
  <si>
    <t>Engergy Storage, GreenTech, Solar,</t>
  </si>
  <si>
    <t>Chris Millisits</t>
  </si>
  <si>
    <t>AR/VR, Data Visualization</t>
  </si>
  <si>
    <t>Semiconductor</t>
  </si>
  <si>
    <t>Aerospace, Satellites</t>
  </si>
  <si>
    <r>
      <rPr>
        <sz val="11"/>
        <rFont val="Inconsolata"/>
      </rPr>
      <t xml:space="preserve">Good tech needs to validate further and shows it works at scale. How will they get around regulation and land acquisition: </t>
    </r>
    <r>
      <rPr>
        <u/>
        <sz val="11"/>
        <color rgb="FF1155CC"/>
        <rFont val="Inconsolata"/>
      </rPr>
      <t>https://www.desertcontrol.com/</t>
    </r>
  </si>
  <si>
    <t>GreenTech, Desalination</t>
  </si>
  <si>
    <t>This device provides pulsatile flow during cardiac surgeries to provide distribution of blood to the smaller capillaries thereby to minimize organ damage after the surgery, which happens with continuous flow devices.  Mark Sadam is the referral (Vice President, Technology Opportunities and Ventures at Langone)</t>
  </si>
  <si>
    <t>$10M</t>
  </si>
  <si>
    <t>EV, Wireless Charging</t>
  </si>
  <si>
    <t xml:space="preserve"> + Developing a new material for big companies usually takes time as it required their R&amp;D to be dealing with many factors in such cases the materials aspects can be given to companies like this (Ex: Tesla cyber track glass )</t>
  </si>
  <si>
    <t xml:space="preserve"> + 
1. Core technology is advanced, and its rigor tested both in academia and research
2. The problem the company is trying to solve is a real one, and the team seems to possess the experience and skill to attempt a solution
3. The startup is already working with customers, and the model of their business seems sustainable, at least from the technical point of view.</t>
  </si>
  <si>
    <t>Chemicals, Materials, R&amp;D</t>
  </si>
  <si>
    <t xml:space="preserve">MedTech, Drug Monitoring </t>
  </si>
  <si>
    <t>Renewable Energy, Wind, Commercial Buildings</t>
  </si>
  <si>
    <t>MedTech, Drug Monitor</t>
  </si>
  <si>
    <t>Robotics, Infrastructure, Tunnel Drainage</t>
  </si>
  <si>
    <t>MedTech, Diabetic</t>
  </si>
  <si>
    <r>
      <rPr>
        <u/>
        <sz val="11"/>
        <color rgb="FF1155CC"/>
        <rFont val="Inconsolata"/>
      </rPr>
      <t>iCardio.ai</t>
    </r>
    <r>
      <rPr>
        <sz val="11"/>
        <color rgb="FF000000"/>
        <rFont val="Inconsolata"/>
      </rPr>
      <t xml:space="preserve"> _2022</t>
    </r>
  </si>
  <si>
    <t>MedTech, Ultrasound</t>
  </si>
  <si>
    <t xml:space="preserve"> +wind turbine that has a low centre of mass
+does not have to be turned into the wind, 
+Can be transported in small containers, does not need large cranes for installation, 
+Has a higher power density than current wind farms
- Till date worked on pilot product not a full scale product</t>
  </si>
  <si>
    <t>Renewable Energy, Wind</t>
  </si>
  <si>
    <t>Devices, Display Screens</t>
  </si>
  <si>
    <t>MedTech, AI, Diagnostics</t>
  </si>
  <si>
    <t>Devices, Refrigeration</t>
  </si>
  <si>
    <t xml:space="preserve"> + The team has a good understanding of the problem and has the right structure of people with diverse backgrounds
- Need more info on how they can challenge the existing systems and sustain in the market</t>
  </si>
  <si>
    <t>If someone wants to create a space launch vehicle company now, they must build the entire rocket first. We believe that the rocket industry is moving toward the aircraft manufacturing model, where someone builds engines, or wings, and others integrate them like Lego blocks to make an airplane. We want to be the company that sells affordable and resuable engine</t>
  </si>
  <si>
    <t>Venture is still a one man army, they needs strong team to realize their goals.
If they would specify strong business plans, Partnerships Strategy, then we could think to call them for interview. 
However I would suggest them to apply next time.</t>
  </si>
  <si>
    <t xml:space="preserve"> +The team is very credible and passionate
+The small satellite launch market is growing
+They need funding
-Their engine design is not mature</t>
  </si>
  <si>
    <t>Aerospace, Modular Rocket</t>
  </si>
  <si>
    <t>Devices, Firearm</t>
  </si>
  <si>
    <t>GPS, DoD</t>
  </si>
  <si>
    <t>AgTech, AquaAg</t>
  </si>
  <si>
    <t>Needs MVP. Not raising funds. They need to take it out of the research stage and into the real word 
Invite again next year.</t>
  </si>
  <si>
    <t xml:space="preserve">1. Tech is very advanced and novel
2. Team is made up of experts in the field
-
1. Tech is still being validated in labs, and are still some distance away from prototyping.
2. Due to the early stage of the project, little information is given to specific logistics -- cost per satellite,  average life of satellite, and more importantly, how much is the improvements of these closer-orbit satellites than existing ones -- starlink for example. 
3. Competition seems strong and a major competitor has military background. </t>
  </si>
  <si>
    <t>Devices,Light Disinfectant</t>
  </si>
  <si>
    <t>Useful software but not groundbreaking, not very innovative 
Have no funding - currently bootstrapping. We can cluster and then decide if we want to invite them</t>
  </si>
  <si>
    <t>MedTech, MRI</t>
  </si>
  <si>
    <t>Robotics, Hand</t>
  </si>
  <si>
    <t>helmet with sensors that measure the dielectric properties of the brain tissue.
has mouse study data needs to show it can be produced scale with a plan to get pilots / customers
women founders</t>
  </si>
  <si>
    <t>CoFLow Jet, LLC develops electric vertical/short  takeoff/landing (V/STOL) aircraft for urban transportation, short haul cargo, and thin haul passenger airliners using our patented  CoFlow Jet  technology. Our unique  long range, low noise, and high safety vehicles provide  superior competitive  advantages to achieve 0 emission transportation.</t>
  </si>
  <si>
    <t xml:space="preserve">Aircraft, Transportation </t>
  </si>
  <si>
    <t>MedTech, Medication Management</t>
  </si>
  <si>
    <t>Drones, Wireless Charging</t>
  </si>
  <si>
    <t xml:space="preserve"> +Based on my study, the quantum field will be booming in the coming future</t>
  </si>
  <si>
    <t>Quantum Computing, Data</t>
  </si>
  <si>
    <t>AgTech, Blockchain, Food</t>
  </si>
  <si>
    <t>HealthTech, Drug Development, AI</t>
  </si>
  <si>
    <t>Aerospace, Rocket Engine</t>
  </si>
  <si>
    <t>MedTech, Oxygen Therapeutic</t>
  </si>
  <si>
    <t>Medical Device, MedTech, Drug Delivery</t>
  </si>
  <si>
    <t>3rd Reviewer Score</t>
  </si>
  <si>
    <t>Cluster</t>
  </si>
  <si>
    <t>Final Interview Day Status</t>
  </si>
  <si>
    <t>Woman Founder</t>
  </si>
  <si>
    <t>Immunotherapy - oncology</t>
  </si>
  <si>
    <t>Gene Therapy</t>
  </si>
  <si>
    <t>Platform Therapeutics</t>
  </si>
  <si>
    <t>Device</t>
  </si>
  <si>
    <t>Immunotherapy - HIV</t>
  </si>
  <si>
    <t>Cell therapy</t>
  </si>
  <si>
    <t>Drug Discovery</t>
  </si>
  <si>
    <t>Drug Delivery</t>
  </si>
  <si>
    <t>Tissue Engineering</t>
  </si>
  <si>
    <t>Drug Discovery - single-cell</t>
  </si>
  <si>
    <t>Device - Diagnostic</t>
  </si>
  <si>
    <t>Epigenetics</t>
  </si>
  <si>
    <t>Diagnostic</t>
  </si>
  <si>
    <t>CVD novel combo therapies;IP is well protected;ex Merc director of research ;extensive drug develoment experience;NYU affiliation;$2M+$250K bridge;pre-IND meeting in April 2022;compelling data</t>
  </si>
  <si>
    <t>Precision Medicine</t>
  </si>
  <si>
    <t>Patient driven micro-heart on a chip;female founder;NYU former chair of pharmacology is one of the founders;protected IP;compelling data;$8M grants;ask how far along are they in each beyond their lead candidate?;big market opportunity</t>
  </si>
  <si>
    <t>Non-opioid</t>
  </si>
  <si>
    <r>
      <rPr>
        <sz val="11"/>
        <color theme="1"/>
        <rFont val="Inconsolata"/>
      </rPr>
      <t xml:space="preserve">developed new way to synthesize single strand DNA; uses in CRSPYR; invited last year for interview, but no notes from last year; potentially not discovered </t>
    </r>
    <r>
      <rPr>
        <b/>
        <sz val="11"/>
        <color theme="1"/>
        <rFont val="Inconsolata"/>
      </rPr>
      <t>where did interview feedback from LY go?</t>
    </r>
  </si>
  <si>
    <t>Immunotherapy - Antibody platform</t>
  </si>
  <si>
    <t>Immunotherapy</t>
  </si>
  <si>
    <t>Novel tech,room temp dehydration of liquids into dry powder-device;Princeton professors;IP is protected;$900K grants;compelling data</t>
  </si>
  <si>
    <t>Manufacturing</t>
  </si>
  <si>
    <t>CVD tx, they use a platform to desin noved long acting peptides;compelling data;raised $1M;protected IP;referred by Gill;Novartis has expressed interest</t>
  </si>
  <si>
    <t>Cell Therapy / Immunotherapy</t>
  </si>
  <si>
    <t>Omics</t>
  </si>
  <si>
    <t>Opiod free pain killer that blox pannexin1 channel;IP is not protected yet, says they started a company that develops anti inflammatory painkillers but failed because their data was stolen?;compelling data;raised $2.4M; great team with previous start up experience;ecosystem referral</t>
  </si>
  <si>
    <t>Diagnostic / Omics</t>
  </si>
  <si>
    <t>Biosafety platform for synthetic bio; not patented but data in proprietar, can this be patented? fast and efficient platform;tenued Columbia associate professor;raised $295K</t>
  </si>
  <si>
    <t>Precision Medicine / Omics</t>
  </si>
  <si>
    <t>ctDNA testing for MRD;great team with Hopkins professor, prior acqusitions;same team also built Safeseq;not a novel but improved tech;has raised $10M;</t>
  </si>
  <si>
    <t>Cell Therapy</t>
  </si>
  <si>
    <t>already in clinical trials for new calcium channel blockers for cancer therapy; no updates to studies since Apr 2018; for interview: what has happened since then? Some other CTO combined with other drug therapies were terminated</t>
  </si>
  <si>
    <t>Applied in 2020 and got 2, they say that compared to their 2020 app "We are generating revenue and imminently releasing 2 products."
Referred by Nicole McKnight - who is she</t>
  </si>
  <si>
    <t>Anti-fibrotic Tx;crowded space with big players but this is a different approach;protected IP;experienced in drug development, are they the researchers behind the science?$1.7M+$2.5M soft</t>
  </si>
  <si>
    <t>3 different platforms to prevent oipiod overdose;novel tech;Prior startup exits;Stanford synthetic chem PhD;$16M grants,raised $2.4M;protected IP;Clinical validation but can we ask for the data? there isnt much data presented;great idea if it works</t>
  </si>
  <si>
    <t>pH drop sensitive polymeric micelles loaded with IL-12 to increase tumor infiltration; protected IP;compelling data, shows high efficacy combined with checkpoint inhibitors;great team from U Tokyo;IP is protected</t>
  </si>
  <si>
    <t>Drug Delivery / Immunotherapy</t>
  </si>
  <si>
    <t>Digitalization</t>
  </si>
  <si>
    <t>PROTAC tx for derma conditions;orphan drug;protected IP;can we see some data?;applied last year;contributed to kybella approval prior to Allergan acqusition;ex-NYU director of Dermatopharmacology is one of the advisors;founder invested $500K</t>
  </si>
  <si>
    <t>Thermostable vaccine production using preservation by stabilization;not funding yet,using NIH and CDC support but asking to raise $20M?;Cornell postdoc;prior startup experience; IP is not protected; not much data is shown</t>
  </si>
  <si>
    <t>fluidics-based fat processing device for regenerative medicine;IP is owned by the Regents of the University of California;good team; compelling data;definitely useful and more efficient but not very innovative</t>
  </si>
  <si>
    <t>Lupus tx;phase1/2 trials are done in 2015(7 years??);orphan drug;compelling data;Morteza from Qidni is the referral?;difficult area with many failiures;their series A could be a heavy lift</t>
  </si>
  <si>
    <t>Date_of_Team_Review__c</t>
  </si>
  <si>
    <t>Post_Interview_Score__c</t>
  </si>
  <si>
    <t>Post_Interview_Status__c</t>
  </si>
  <si>
    <t>Post_Interview_Notes__c</t>
  </si>
  <si>
    <t>Upload Status (True/False)</t>
  </si>
  <si>
    <t>Error Status</t>
  </si>
  <si>
    <t>{"created":false,"errors":[],"id":"0064T00000AYCuTQAX","name":"Amplo Biotechnology _2022","success":true}</t>
  </si>
  <si>
    <t>{"created":false,"errors":[],"id":"0064T00000A29IqQAJ","name":"Panhwar Jet _2022","success":true}</t>
  </si>
  <si>
    <t>{"created":false,"errors":[],"id":"0064T00000A2OG2QAN","name":"Nano PharmaSolutions, Inc. _2022","success":true}</t>
  </si>
  <si>
    <t>{"created":false,"errors":[],"id":"0064T00000Aj7hVQAR","name":"Automated Architecture Ltd _2022","success":true}</t>
  </si>
  <si>
    <t>{"created":false,"errors":[],"id":"0064T00000A2VJ5QAN","name":"Culina Health _2022","success":true}</t>
  </si>
  <si>
    <t>{"created":false,"errors":[],"id":"0064T00000AjlQZQAZ","name":"VLP Plus LLC _2022","success":true}</t>
  </si>
  <si>
    <t>{"created":false,"errors":[],"id":"0064T00000AZ4wXQAT","name":"Steg.AI _2022","success":true}</t>
  </si>
  <si>
    <t>{"created":false,"errors":[],"id":"0064T00000A2OFEQA3","name":"BreachQuest _2022","success":true}</t>
  </si>
  <si>
    <t>{"created":false,"errors":[],"id":"0064T00000A2TsaQAF","name":"Datanchor Inc. _2022","success":true}</t>
  </si>
  <si>
    <t>{"created":false,"errors":[],"id":"0064T00000AZfeQQAT","name":"Coflow Jet, LLC _2022","success":true}</t>
  </si>
  <si>
    <t>{"created":false,"errors":[],"id":"0064T00000A2VrMQAV","name":"Scispot.io, Inc.  _2022","success":true}</t>
  </si>
  <si>
    <t>{"created":false,"errors":[],"id":"0064T00000AYCo1QAH","name":"SPG Therapeutics, Inc.  _2022","success":true}</t>
  </si>
  <si>
    <t>{"created":false,"errors":[],"id":"0064T00000A2bAfQAJ","name":"Watershed Therapeutics _2022","success":true}</t>
  </si>
  <si>
    <t>{"created":false,"errors":[],"id":"0064T00000A2XKZQA3","name":"Aclid, Inc. _2022","success":true}</t>
  </si>
  <si>
    <t>{"created":false,"errors":[],"id":"0064T00000A2U1oQAF","name":"Structure Financial _2022","success":true}</t>
  </si>
  <si>
    <t>{"created":false,"errors":[],"id":"0064T00000AjE4eQAF","name":"Beegol Corp _2022","success":true}</t>
  </si>
  <si>
    <t>{"created":false,"errors":[],"id":"0064T00000A1iNfQAJ","name":"Ingenii Inc _2022","success":true}</t>
  </si>
  <si>
    <t>{"created":false,"errors":[],"id":"0064T00000AYx2JQAT","name":"Xinterra _2022","success":true}</t>
  </si>
  <si>
    <t>{"created":false,"errors":[],"id":"0064T00000A21tGQAR","name":"Hubly Surgical _2022","success":true}</t>
  </si>
  <si>
    <t>{"created":false,"errors":[],"id":"0064T00000A21LnQAJ","name":"Chiefy _2022","success":true}</t>
  </si>
  <si>
    <t>{"created":false,"errors":[],"id":"0064T00000AZ7XPQA1","name":"Bosque Foods _2022","success":true}</t>
  </si>
  <si>
    <t>{"created":false,"errors":[],"id":"0064T00000Aj91gQAB","name":"Basquevolt SA _2022","success":true}</t>
  </si>
  <si>
    <t>{"created":false,"errors":[],"id":"0064T00000A21M2QAJ","name":"LizarBio Therapeutics _2022","success":true}</t>
  </si>
  <si>
    <t>{"created":false,"errors":[],"id":"0064T00000A2Jy1QAF","name":"Arvetas Biosciences, Inc. _2022","success":true}</t>
  </si>
  <si>
    <t>{"created":false,"errors":[],"id":"0064T00000A2agLQAR","name":"Spiky.ai _2022","success":true}</t>
  </si>
  <si>
    <t>{"created":false,"errors":[],"id":"0064T00000AZTDdQAP","name":"staex GmbH _2022","success":true}</t>
  </si>
  <si>
    <t>{"created":false,"errors":[],"id":"0064T00000A2OPJQA3","name":"Immergo Labs, Inc. _2022","success":true}</t>
  </si>
  <si>
    <t>{"created":false,"errors":[],"id":"0064T00000AY2ntQAD","name":"Bidmii _2022","success":true}</t>
  </si>
  <si>
    <t>{"created":false,"errors":[],"id":"0064T00000AYrCnQAL","name":"Rocket Propulsion Systems LLC _2022","success":true}</t>
  </si>
  <si>
    <t>{"created":false,"errors":[],"id":"0064T00000AYqutQAD","name":"iCardio.ai _2022","success":true}</t>
  </si>
  <si>
    <t>{"created":false,"errors":[],"id":"0064T00000Aj7NzQAJ","name":"Taiyo.AI _2022","success":true}</t>
  </si>
  <si>
    <t>{"created":false,"errors":[],"id":"0064T00000AZTjyQAH","name":"Innatrix Inc. _2022","success":true}</t>
  </si>
  <si>
    <t>{"created":false,"errors":[],"id":"0064T00000AZXy8QAH","name":"Rightbot Technologies, Inc. _2022","success":true}</t>
  </si>
  <si>
    <t>{"created":false,"errors":[],"id":"0064T00000A2TXXQA3","name":"noktos _2022","success":true}</t>
  </si>
  <si>
    <t>{"created":false,"errors":[],"id":"0064T00000AjKVdQAN","name":"AIWaysion, Inc. _2022","success":true}</t>
  </si>
  <si>
    <t>{"created":false,"errors":[],"id":"0064T00000AY2njQAD","name":"Linshom Medical, Inc. _2022","success":true}</t>
  </si>
  <si>
    <t>{"created":false,"errors":[],"id":"0064T00000A2c9NQAR","name":"PredictNow.ai _2022","success":true}</t>
  </si>
  <si>
    <t>{"created":false,"errors":[],"id":"0064T00000A2X5yQAF","name":"Maalexi _2022","success":true}</t>
  </si>
  <si>
    <t>{"created":false,"errors":[],"id":"0064T00000A2TyxQAF","name":"iCover _2022","success":true}</t>
  </si>
  <si>
    <t>{"created":false,"errors":[],"id":"0064T00000A2Yd5QAF","name":"Viridian Space Corporation _2022","success":true}</t>
  </si>
  <si>
    <t>{"created":false,"errors":[],"id":"0064T00000A2TZEQA3","name":"Kambio _2022","success":true}</t>
  </si>
  <si>
    <t>{"created":false,"errors":[],"id":"0064T00000A2MuhQAF","name":"Proactive Life Inc (SleepSpace) _2022","success":true}</t>
  </si>
  <si>
    <t>{"created":false,"errors":[],"id":"0064T00000AZOBuQAP","name":"ARDA Biomaterials _2022","success":true}</t>
  </si>
  <si>
    <t>{"created":false,"errors":[],"id":"0064T00000BM1EHQA1","name":"Nettoyer Automotives PVT LTD _2022","success":true}</t>
  </si>
  <si>
    <t>{"created":false,"errors":[],"id":"0064T00000AjHAOQA3","name":"Exovolar Industries Corp. _2022","success":true}</t>
  </si>
  <si>
    <t>{"created":false,"errors":[],"id":"0064T00000AjLTJQA3","name":"Heartland _2022","success":true}</t>
  </si>
  <si>
    <t>{"created":false,"errors":[],"id":"0064T00000A2JirQAF","name":"Be A Maker Club _2022","success":true}</t>
  </si>
  <si>
    <t>{"created":false,"errors":[],"id":"0064T00000AYA1cQAH","name":"Blind Tiger, LLC D/B/A Blind Tiger Spirit-Free Cocktails _2022","success":true}</t>
  </si>
  <si>
    <t>{"created":false,"errors":[],"id":"0064T00000A2TUJQA3","name":"Pressto _2022","success":true}</t>
  </si>
  <si>
    <t>{"created":false,"errors":[],"id":"0064T00000AZd4rQAD","name":"Tomorrow Biostasis _2022","success":true}</t>
  </si>
  <si>
    <t>{"created":false,"errors":[],"id":"0064T00000AYF50QAH","name":"Active Energy Systems _2022","success":true}</t>
  </si>
  <si>
    <t>{"created":false,"errors":[],"id":"0064T00000A223YQAR","name":"Rushnu _2022","success":true}</t>
  </si>
  <si>
    <t>{"created":false,"errors":[],"id":"0064T00000A2KaWQAV","name":"KnoNap _2022","success":true}</t>
  </si>
  <si>
    <t>{"created":false,"errors":[],"id":"0064T00000A2RyyQAF","name":"Mirror World _2022","success":true}</t>
  </si>
  <si>
    <t>{"created":false,"errors":[],"id":"0064T00000AZpwfQAD","name":"OpenPie.com _2022","success":true}</t>
  </si>
  <si>
    <t>{"created":false,"errors":[],"id":"0064T00000A2TkMQAV","name":"GigOut _2022","success":true}</t>
  </si>
  <si>
    <t>{"created":false,"errors":[],"id":"0064T00000AZY9LQAX","name":"ChargeHorizons _2022","success":true}</t>
  </si>
  <si>
    <t>{"created":false,"errors":[],"id":"0064T00000A1YmCQAV","name":"Nanotransfer _2022","success":true}</t>
  </si>
  <si>
    <t>{"created":false,"errors":[],"id":"0064T00000A28BSQAZ","name":"Connecthedocks _2022","success":true}</t>
  </si>
  <si>
    <t>{"created":false,"errors":[],"id":"0064T00000A2GBzQAN","name":"Wordcab _2022","success":true}</t>
  </si>
  <si>
    <t>{"created":false,"errors":[],"id":"0064T00000A2TVRQA3","name":"Venn Paltform _2022","success":true}</t>
  </si>
  <si>
    <t>{"created":false,"errors":[],"id":"0064T00000A2TqtQAF","name":"Anant Financial Corp. _2022","success":true}</t>
  </si>
  <si>
    <t>{"created":false,"errors":[],"id":"0064T00000AY2wvQAD","name":"ION Medical Safety _2022","success":true}</t>
  </si>
  <si>
    <t>{"created":false,"errors":[],"id":"0064T00000AY0piQAD","name":"Tokenizer Banx _2022","success":true}</t>
  </si>
  <si>
    <t>{"created":false,"errors":[],"id":"0064T00000A25I3QAJ","name":"Supporteo _2022","success":true}</t>
  </si>
  <si>
    <t>{"created":false,"errors":[],"id":"0064T00000A2P5nQAF","name":"equitest _2022","success":true}</t>
  </si>
  <si>
    <t>{"created":false,"errors":[],"id":"0064T00000A2Vw8QAF","name":"Electra Beverages &amp; Nutritionals, LLC _2022","success":true}</t>
  </si>
  <si>
    <t>{"created":false,"errors":[],"id":"0064T00000A21wAQAR","name":"AiroSolve _2022","success":true}</t>
  </si>
  <si>
    <t>{"created":false,"errors":[],"id":"0064T00000AZopWQAT","name":"Methic Engineering Ltd _2022","success":true}</t>
  </si>
  <si>
    <t>{"created":false,"errors":[],"id":"0064T00000AjHOHQA3","name":"Nourish _2022","success":true}</t>
  </si>
  <si>
    <t>{"created":false,"errors":[],"id":"0064T00000AY2dyQAD","name":"Southern Dairy Products _2022","success":true}</t>
  </si>
  <si>
    <t>{"created":false,"errors":[],"id":"0064T00000AjKnSQAV","name":"ZRC - AI-powered HVAC solutions _2022","success":true}</t>
  </si>
  <si>
    <t>{"created":false,"errors":[],"id":"0064T00000A1YmWQAV","name":"Iocure, Inc. _2022","success":true}</t>
  </si>
  <si>
    <t>{"created":false,"errors":[],"id":"0064T00000A2LdsQAF","name":"Ndal Mfg Inc, Dba Ndal Biofilm Medical Group,  _2022","success":true}</t>
  </si>
  <si>
    <t>{"created":false,"errors":[],"id":"0064T00000AYDTnQAP","name":"Amberstone Biosciences Inc _2022","success":true}</t>
  </si>
  <si>
    <t>{"created":false,"errors":[],"id":"0064T00000AjSf0QAF","name":"IPS HEART _2022","success":true}</t>
  </si>
  <si>
    <t>{"created":false,"errors":[],"id":"0064T00000AjV0nQAF","name":"JelikaLite Corp _2022","success":true}</t>
  </si>
  <si>
    <t>{"created":false,"errors":[],"id":"0064T00000AjaE9QAJ","name":"Bilayer Therapeutics _2022","success":true}</t>
  </si>
  <si>
    <t>{"created":false,"errors":[],"id":"0064T00000AZHmJQAX","name":"Exavir Therapeutics _2022","success":true}</t>
  </si>
  <si>
    <t>{"created":false,"errors":[],"id":"0064T00000AjatMQAR","name":"Exero Medical _2022","success":true}</t>
  </si>
  <si>
    <t>{"created":false,"errors":[],"id":"0064T00000AjNshQAF","name":"Lumirithmic Limited _2022","success":true}</t>
  </si>
  <si>
    <t>{"created":false,"errors":[],"id":"0064T00000AjDs4QAF","name":"Azarc.io Inc _2022","success":true}</t>
  </si>
  <si>
    <t>{"created":false,"errors":[],"id":"0064T00000AjVkDQAV","name":"Genomic Expression Inc _2022","success":true}</t>
  </si>
  <si>
    <t>{"created":false,"errors":[],"id":"0064T00000AZODRQA5","name":"Namida Lab Inc. _2022","success":true}</t>
  </si>
  <si>
    <t>{"created":false,"errors":[],"id":"0064T00000AjVUPQA3","name":"HPC-AI Technology Inc. _2022","success":true}</t>
  </si>
  <si>
    <t>{"created":false,"errors":[],"id":"0064T00000AjiSbQAJ","name":"syGlass, Inc _2022","success":true}</t>
  </si>
  <si>
    <t>{"created":false,"errors":[],"id":"0064T00000AjayWQAR","name":"Antlia Bioscience, Inc.   _2022","success":true}</t>
  </si>
  <si>
    <t>{"created":false,"errors":[],"id":"0064T00000AjZVOQA3","name":"Aerones Inc _2022","success":true}</t>
  </si>
  <si>
    <t>{"created":false,"errors":[],"id":"0064T00000AjVTMQA3","name":"SignPost Cancer Dx Inc. _2022","success":true}</t>
  </si>
  <si>
    <t>{"created":false,"errors":[],"id":"0064T00000AjjAOQAZ","name":"RevivBio Inc _2022","success":true}</t>
  </si>
  <si>
    <t>{"created":false,"errors":[],"id":"0064T00000AZ0xHQAT","name":"Sisu Pharma, Inc. _2022","success":true}</t>
  </si>
  <si>
    <t>{"created":false,"errors":[],"id":"0064T00000AZ8LXQA1","name":"OVIBIO _2022","success":true}</t>
  </si>
  <si>
    <t>{"created":false,"errors":[],"id":"0064T00000AjSokQAF","name":"DataPrime _2022","success":true}</t>
  </si>
  <si>
    <t>{"created":false,"errors":[],"id":"0064T00000AjbQBQAZ","name":"HDAX Therapeutics _2022","success":true}</t>
  </si>
  <si>
    <t>{"created":false,"errors":[],"id":"0064T00000AYAIXQA5","name":"Bankuish _2022","success":true}</t>
  </si>
  <si>
    <t>{"created":false,"errors":[],"id":"0064T00000AYF2GQAX","name":"Summit Biomedical Imaging _2022","success":true}</t>
  </si>
  <si>
    <t>{"created":false,"errors":[],"id":"0064T00000AjSgvQAF","name":"Undesert Corporation _2022","success":true}</t>
  </si>
  <si>
    <t>{"created":false,"errors":[],"id":"0064T00000AjWZpQAN","name":"Astek Diagnostics Inc. _2022","success":true}</t>
  </si>
  <si>
    <t>{"created":false,"errors":[],"id":"0064T00000AjVzdQAF","name":"OmicsChart _2022","success":true}</t>
  </si>
  <si>
    <t>{"created":false,"errors":[],"id":"0064T00000Ajef5QAB","name":"ArgenTAG _2022","success":true}</t>
  </si>
  <si>
    <t>{"created":false,"errors":[],"id":"0064T00000AjeajQAB","name":"PentaBind Ltd _2022","success":true}</t>
  </si>
  <si>
    <t>{"created":false,"errors":[],"id":"0064T00000AjcJQQAZ","name":"Photon Vault _2022","success":true}</t>
  </si>
  <si>
    <t>{"created":false,"errors":[],"id":"0064T00000Ajkx3QAB","name":"Flying Ship Technologies, Corp. _2022","success":true}</t>
  </si>
  <si>
    <t>{"created":false,"errors":[],"id":"0064T00000AYqaAQAT","name":"Ambulero, Inc.  _2022","success":true}</t>
  </si>
  <si>
    <t>{"created":false,"errors":[],"id":"0064T00000A2X7QQAV","name":"FANLUV _2022","success":true}</t>
  </si>
  <si>
    <t>{"created":false,"errors":[],"id":"0064T00000AZ4fVQAT","name":"CYTRIO, Inc. _2022","success":true}</t>
  </si>
  <si>
    <t>{"created":false,"errors":[],"id":"0064T00000AjSyfQAF","name":"Infinity Gaming Media _2022","success":true}</t>
  </si>
  <si>
    <t>{"created":false,"errors":[],"id":"0064T00000AYAFOQA5","name":"Health Cost IQ _2022","success":true}</t>
  </si>
  <si>
    <t>{"created":false,"errors":[],"id":"0064T00000AjSSoQAN","name":"Engage Labs _2022","success":true}</t>
  </si>
  <si>
    <t>{"created":false,"errors":[],"id":"0064T00000AjLzUQAV","name":"Counter-Intuitive Cooking Inc. _2022","success":true}</t>
  </si>
  <si>
    <t>{"created":false,"errors":[],"id":"0064T00000AjiPNQAZ","name":"DELIVERS.AI _2022","success":true}</t>
  </si>
  <si>
    <t>{"created":false,"errors":[],"id":"0064T00000AjNy1QAF","name":"Renew Risk _2022","success":true}</t>
  </si>
  <si>
    <t>{"created":false,"errors":[],"id":"0064T00000AjSt1QAF","name":"Promin Aerospace _2022","success":true}</t>
  </si>
  <si>
    <t>{"created":false,"errors":[],"id":"0064T00000AjTlhQAF","name":"RaSpect _2022","success":true}</t>
  </si>
  <si>
    <t>{"created":false,"errors":[],"id":"0064T00000AjXQqQAN","name":"Silicon Technologies, Inc. _2022","success":true}</t>
  </si>
  <si>
    <t>{"created":false,"errors":[],"id":"0064T00000AjYnyQAF","name":"Straylight Systems _2022","success":true}</t>
  </si>
  <si>
    <t>{"created":false,"errors":[],"id":"0064T00000AjcC0QAJ","name":"Rebound Technologies, Inc.  _2022","success":true}</t>
  </si>
  <si>
    <t>{"created":false,"errors":[],"id":"0064T00000AYlehQAD","name":"RAADYSAN BIOTECH, INC. _2022","success":true}</t>
  </si>
  <si>
    <t>{"created":false,"errors":[],"id":"0064T00000AYiUwQAL","name":"Iryss, Inc _2022","success":true}</t>
  </si>
  <si>
    <t>{"created":false,"errors":[],"id":"0064T00000AYso1QAD","name":"Eureka FinTech Limited _2022","success":true}</t>
  </si>
  <si>
    <t>{"created":false,"errors":[],"id":"0064T00000AjOcGQAV","name":"Nixtla _2022","success":true}</t>
  </si>
  <si>
    <t>{"created":false,"errors":[],"id":"0064T00000AjVDcQAN","name":"Plant an App _2022","success":true}</t>
  </si>
  <si>
    <t>{"created":false,"errors":[],"id":"0064T00000AjYdFQAV","name":"ROCSOLE _2022","success":true}</t>
  </si>
  <si>
    <t>{"created":false,"errors":[],"id":"0064T00000AjXxkQAF","name":"SAYA Life _2022","success":true}</t>
  </si>
  <si>
    <t>{"created":false,"errors":[],"id":"0064T00000AjUffQAF","name":"Keyper _2022","success":true}</t>
  </si>
  <si>
    <t>{"created":false,"errors":[],"id":"0064T00000Ajck9QAB","name":"Gardian Technologies Pty Ltd _2022","success":true}</t>
  </si>
  <si>
    <t>{"created":false,"errors":[],"id":"0064T00000AjqHbQAJ","name":"Nomi Materials _2022","success":true}</t>
  </si>
  <si>
    <t>{"created":false,"errors":[],"id":"0064T00000AjqR7QAJ","name":"FlyX Technologies Inc _2022","success":true}</t>
  </si>
  <si>
    <t>{"created":false,"errors":[],"id":"0064T00000AYw2zQAD","name":"Metfora _2022","success":true}</t>
  </si>
  <si>
    <t>{"created":false,"errors":[],"id":"0064T00000AYlajQAD","name":"Oiler Equation _2022","success":true}</t>
  </si>
  <si>
    <t>{"created":false,"errors":[],"id":"0064T00000AjW6OQAV","name":"AIXSCAN _2022","success":true}</t>
  </si>
  <si>
    <t>{"created":false,"errors":[],"id":"0064T00000AjqI5QAJ","name":"Millibeam _2022","success":true}</t>
  </si>
  <si>
    <t>{"created":false,"errors":[],"id":"0064T00000AjTovQAF","name":"Reyets: Social Justice Network _2022","success":true}</t>
  </si>
  <si>
    <t>{"created":false,"errors":[],"id":"0064T00000AY7OAQA1","name":"Seccuri _2022","success":true}</t>
  </si>
  <si>
    <t>{"created":false,"errors":[],"id":"0064T00000AjTDkQAN","name":"Suquino, Inc _2022","success":true}</t>
  </si>
  <si>
    <t>{"created":false,"errors":[],"id":"0064T00000AjUwHQAV","name":"Biodesign Innovation Labs _2022","success":true}</t>
  </si>
  <si>
    <t>{"created":false,"errors":[],"id":"0064T00000AjVqfQAF","name":"Terra Carbon Development, Inc. _2022","success":true}</t>
  </si>
  <si>
    <t>{"created":false,"errors":[],"id":"0064T00000AjVyeQAF","name":"ABBY by GOGOTECH _2022","success":true}</t>
  </si>
  <si>
    <t>{"created":false,"errors":[],"id":"0064T00000AjZaiQAF","name":"Lifeline Robotics _2022","success":true}</t>
  </si>
  <si>
    <t>{"created":false,"errors":[],"id":"0064T00000AjVvLQAV","name":"Veyond Metaverse, Inc _2022","success":true}</t>
  </si>
  <si>
    <t>{"created":false,"errors":[],"id":"0064T00000AjZZQQA3","name":"Beacon Street Innovations _2022","success":true}</t>
  </si>
  <si>
    <t>{"created":false,"errors":[],"id":"0064T00000AYjqsQAD","name":"Coala Pay _2022","success":true}</t>
  </si>
  <si>
    <t>{"created":false,"errors":[],"id":"0064T00000AjqWHQAZ","name":"Strayos _2022","success":true}</t>
  </si>
  <si>
    <t>{"created":false,"errors":[],"id":"0064T00000AjqZ6QAJ","name":"QuantumCat Co., Ltd. _2022","success":true}</t>
  </si>
  <si>
    <t>{"created":false,"errors":[],"id":"0064T00000AZRWSQA5","name":"AGICortex _2022","success":true}</t>
  </si>
  <si>
    <t>{"created":false,"errors":[],"id":"0064T00000A2afrQAB","name":"Kaveat _2022","success":true}</t>
  </si>
  <si>
    <t>{"created":false,"errors":[],"id":"0064T00000AjTFvQAN","name":"Meili Technologies _2022","success":true}</t>
  </si>
  <si>
    <t>{"created":false,"errors":[],"id":"0064T00000AjasxQAB","name":"Augment Health, Inc. _2022","success":true}</t>
  </si>
  <si>
    <t>{"created":false,"errors":[],"id":"0064T00000AjP3qQAF","name":"Diversican Corporation _2022","success":true}</t>
  </si>
  <si>
    <t>{"created":false,"errors":[],"id":"0064T00000AjWaJQAV","name":"Sahara Cloud _2022","success":true}</t>
  </si>
  <si>
    <t>{"created":false,"errors":[],"id":"0064T00000AjWcyQAF","name":"Soli _2022","success":true}</t>
  </si>
  <si>
    <t>{"created":false,"errors":[],"id":"0064T00000AjqSjQAJ","name":"PACE Inc. _2022","success":true}</t>
  </si>
  <si>
    <t>{"created":false,"errors":[],"id":"0064T00000AYvuBQAT","name":"Parrots Inc. _2022","success":true}</t>
  </si>
  <si>
    <t>{"created":false,"errors":[],"id":"0064T00000AYiUrQAL","name":"3 Ridge Technologies _2022","success":true}</t>
  </si>
  <si>
    <t>{"created":false,"errors":[],"id":"0064T00000AZ5aqQAD","name":"Propelle Therapeutics, Inc. _2022","success":true}</t>
  </si>
  <si>
    <t>{"created":false,"errors":[],"id":"0064T00000AZDLcQAP","name":"Mana.bio _2022","success":true}</t>
  </si>
  <si>
    <t>{"created":false,"errors":[],"id":"0064T00000AjNIGQA3","name":"IOTE2E INC _2022","success":true}</t>
  </si>
  <si>
    <t>{"created":false,"errors":[],"id":"0064T00000AjTIQQA3","name":"Meta Carbon Inc _2022","success":true}</t>
  </si>
  <si>
    <t>{"created":false,"errors":[],"id":"0064T00000AjUr7QAF","name":"Fiomet Ventures, Inc. _2022","success":true}</t>
  </si>
  <si>
    <t>{"created":false,"errors":[],"id":"0064T00000AjY8dQAF","name":"Helical Fusion Co., Ltd. _2022","success":true}</t>
  </si>
  <si>
    <t>{"created":false,"errors":[],"id":"0064T00000AjkeQQAR","name":"Hudson Space Systems _2022","success":true}</t>
  </si>
  <si>
    <t>{"created":false,"errors":[],"id":"0064T00000AjqN5QAJ","name":"Sleep Easy Technology Inc. _2022","success":true}</t>
  </si>
  <si>
    <t>{"created":false,"errors":[],"id":"0064T00000AYmwZQAT","name":"CF Foods Group _2022","success":true}</t>
  </si>
  <si>
    <t>{"created":false,"errors":[],"id":"0064T00000AZ44hQAD","name":"Visuo _2022","success":true}</t>
  </si>
  <si>
    <t>{"created":false,"errors":[],"id":"0064T00000Aje2wQAB","name":"Rensselaer Polytechnic Institute _2022","success":true}</t>
  </si>
  <si>
    <t>{"created":false,"errors":[],"id":"0064T00000AjVnqQAF","name":"nmodes _2022","success":true}</t>
  </si>
  <si>
    <t>{"created":false,"errors":[],"id":"0064T00000AjUNqQAN","name":"Yodacart _2022","success":true}</t>
  </si>
  <si>
    <t>{"created":false,"errors":[],"id":"0064T00000AjqGJQAZ","name":"Xtellix, Inc _2022","success":true}</t>
  </si>
  <si>
    <t>{"created":false,"errors":[],"id":"0064T00000AZGaSQAX","name":"ViBo Health _2022","success":true}</t>
  </si>
  <si>
    <t>{"created":false,"errors":[],"id":"0064T00000AZ8mHQAT","name":"Sensifree _2022","success":true}</t>
  </si>
  <si>
    <t>{"created":false,"errors":[],"id":"0064T00000AZPJpQAP","name":"Saathealth _2022","success":true}</t>
  </si>
  <si>
    <t>{"created":false,"errors":[],"id":"0064T00000AjTGjQAN","name":"Fig Finance _2022","success":true}</t>
  </si>
  <si>
    <t>{"created":false,"errors":[],"id":"0064T00000AjXMtQAN","name":"Palapa _2022","success":true}</t>
  </si>
  <si>
    <t>{"created":false,"errors":[],"id":"0064T00000AjWIKQA3","name":"Cochair Corp. _2022","success":true}</t>
  </si>
  <si>
    <t>{"created":false,"errors":[],"id":"0064T00000AjY4vQAF","name":"TourMega _2022","success":true}</t>
  </si>
  <si>
    <t>{"created":false,"errors":[],"id":"0064T00000AjViCQAV","name":"Sendit.Money Ltd _2022","success":true}</t>
  </si>
  <si>
    <t>{"created":false,"errors":[],"id":"0064T00000AjcReQAJ","name":"Eget Liber, Inc. _2022","success":true}</t>
  </si>
  <si>
    <t>{"created":false,"errors":[],"id":"0064T00000Ajh7GQAR","name":"Hello Space Co. _2022","success":true}</t>
  </si>
  <si>
    <t>{"created":false,"errors":[],"id":"0064T00000AYm13QAD","name":"Bloom Impact Investing _2022","success":true}</t>
  </si>
  <si>
    <t>{"created":false,"errors":[],"id":"0064T00000AY35iQAD","name":"Scholarship Advisors _2022","success":true}</t>
  </si>
  <si>
    <t>{"created":false,"errors":[],"id":"0064T00000A2bg1QAB","name":"Realtimate Labs Private Limited _2022","success":true}</t>
  </si>
  <si>
    <t>{"created":false,"errors":[],"id":"0064T00000AjTHmQAN","name":"Cogniant _2022","success":true}</t>
  </si>
  <si>
    <t>{"created":false,"errors":[],"id":"0064T00000AjUo8QAF","name":"Cara7 _2022","success":true}</t>
  </si>
  <si>
    <t>{"created":false,"errors":[],"id":"0064T00000AYmvRQAT","name":"Zr3i _2022","success":true}</t>
  </si>
  <si>
    <t>{"created":false,"errors":[],"id":"0064T00000AYpOQQA1","name":"SymbEx  _2022","success":true}</t>
  </si>
  <si>
    <t>{"created":false,"errors":[],"id":"0064T00000AZSvFQAX","name":"Abacube AB _2022","success":true}</t>
  </si>
  <si>
    <t>{"created":false,"errors":[],"id":"0064T00000AZRqXQAX","name":"SynerAI Inc _2022","success":true}</t>
  </si>
  <si>
    <t>{"created":false,"errors":[],"id":"0064T00000AjafAQAR","name":"Beast Mobile _2022","success":true}</t>
  </si>
  <si>
    <t>{"created":false,"errors":[],"id":"0064T00000AjWjuQAF","name":"10Adventures _2022","success":true}</t>
  </si>
  <si>
    <t>{"created":false,"errors":[],"id":"0064T00000A2XhyQAF","name":"Neon Wild, Inc. _2022","success":true}</t>
  </si>
  <si>
    <t>{"created":false,"errors":[],"id":"0064T00000Aje5CQAR","name":"Novamp Pharma Pack _2022","success":true}</t>
  </si>
  <si>
    <t>{"created":false,"errors":[],"id":"0064T00000A2YvSQAV","name":"Foundhowt _2022","success":true}</t>
  </si>
  <si>
    <t>{"created":false,"errors":[],"id":"0064T00000AYk9VQAT","name":"Oral FLuid Testing Labs LLC _2022","success":true}</t>
  </si>
  <si>
    <t>{"created":false,"errors":[],"id":"0064T00000AYfEAQA1","name":"Brigade Automation Corporation LLC _2022","success":true}</t>
  </si>
  <si>
    <t>{"created":false,"errors":[],"id":"0064T00000AjauoQAB","name":"Woven Orthopedic Technologies, LLC _2022","success":true}</t>
  </si>
  <si>
    <t>{"created":false,"errors":[],"id":"0064T00000AjXZYQA3","name":"Turion Space _2022","success":true}</t>
  </si>
  <si>
    <t>{"created":false,"errors":[],"id":"0064T00000AjeLuQAJ","name":"Terra Bioworks Corp _2022","success":true}</t>
  </si>
  <si>
    <t>{"created":false,"errors":[],"id":"0064T00000AjeNpQAJ","name":"Charco Neurotech _2022","success":true}</t>
  </si>
  <si>
    <t>{"created":false,"errors":[],"id":"0064T00000AjXTHQA3","name":"Chargewheel Co. _2022","success":true}</t>
  </si>
  <si>
    <t>{"created":false,"errors":[],"id":"0064T00000BLvxEQAT","name":"Bleximo Corp. _2022","success":true}</t>
  </si>
  <si>
    <t>{"created":false,"errors":[],"id":"0064T00000AZnPEQA1","name":"TimberFish Technologies _2022","success":true}</t>
  </si>
  <si>
    <t>{"created":false,"errors":[],"id":"0064T00000AjOc1QAF","name":"LumosTech, Inc. _2022","success":true}</t>
  </si>
  <si>
    <t>{"created":false,"errors":[],"id":"0064T00000AjTqhQAF","name":"LuftCar LLC _2022","success":true}</t>
  </si>
  <si>
    <t>{"created":false,"errors":[],"id":"0064T00000AjlEYQAZ","name":"Cortina Health _2022","success":true}</t>
  </si>
  <si>
    <t>{"created":false,"errors":[],"id":"0064T00000BLzFvQAL","name":"SparkAI _2022","success":true}</t>
  </si>
  <si>
    <t>{"created":false,"errors":[],"id":"0064T00000AZ5goQAD","name":"OPTT Health _2022","success":true}</t>
  </si>
  <si>
    <t>{"created":false,"errors":[],"id":"0064T00000AZfCMQA1","name":"Sustain Group Holdings LLC _2022","success":true}</t>
  </si>
  <si>
    <t>{"created":false,"errors":[],"id":"0064T00000AjRp8QAF","name":"Eachday, INC. _2022","success":true}</t>
  </si>
  <si>
    <t>{"created":false,"errors":[],"id":"0064T00000AjO4dQAF","name":"vadimUS _2022","success":true}</t>
  </si>
  <si>
    <t>{"created":false,"errors":[],"id":"0064T00000AjU0eQAF","name":"IX Swap _2022","success":true}</t>
  </si>
  <si>
    <t>{"created":false,"errors":[],"id":"0064T00000AjD65QAF","name":"RIFFIT  _2022","success":true}</t>
  </si>
  <si>
    <t>{"created":false,"errors":[],"id":"0064T00000AjSyuQAF","name":"Hummingbirds AI _2022","success":true}</t>
  </si>
  <si>
    <t>{"created":false,"errors":[],"id":"0064T00000AjUSHQA3","name":"Dryad Networks GmbH _2022","success":true}</t>
  </si>
  <si>
    <t>{"created":false,"errors":[],"id":"0064T00000AjdJJQAZ","name":"Ossiform _2022","success":true}</t>
  </si>
  <si>
    <t>{"created":false,"errors":[],"id":"0064T00000Ajg4uQAB","name":"Solaires Entreprises Inc _2022","success":true}</t>
  </si>
  <si>
    <t>{"created":false,"errors":[],"id":"0064T00000Ajh2fQAB","name":"ONEKEY GmbH _2022","success":true}</t>
  </si>
  <si>
    <t>{"created":false,"errors":[],"id":"0064T00000AjgImQAJ","name":"Terecircuits Corporation _2022","success":true}</t>
  </si>
  <si>
    <t>{"created":false,"errors":[],"id":"0064T00000AjkUBQAZ","name":"Immersive Fox Ltd _2022","success":true}</t>
  </si>
  <si>
    <t>{"created":false,"errors":[],"id":"0064T00000AjlACQAZ","name":"Blings.io _2022","success":true}</t>
  </si>
  <si>
    <t>{"created":false,"errors":[],"id":"0064T00000AjlO9QAJ","name":"Selia _2022","success":true}</t>
  </si>
  <si>
    <t>{"created":false,"errors":[],"id":"0064T00000Ajq9hQAB","name":"Alva Health, Inc. _2022","success":true}</t>
  </si>
  <si>
    <t>{"created":false,"errors":[],"id":"0064T00000Ajn8DQAR","name":"BetterData _2022","success":true}</t>
  </si>
  <si>
    <t>{"created":false,"errors":[],"id":"0064T00000BLzQqQAL","name":"Pharmor _2022","success":true}</t>
  </si>
  <si>
    <t>{"created":false,"errors":[],"id":"0064T00000AZTBcQAP","name":"eBombo _2022","success":true}</t>
  </si>
  <si>
    <t>{"created":false,"errors":[],"id":"0064T00000AZbB5QAL","name":"Kleiner Device Labs _2022","success":true}</t>
  </si>
  <si>
    <t>{"created":false,"errors":[],"id":"0064T00000AZiNtQAL","name":"REEV _2022","success":true}</t>
  </si>
  <si>
    <t>{"created":false,"errors":[],"id":"0064T00000AjOgrQAF","name":"Logie _2022","success":true}</t>
  </si>
  <si>
    <t>{"created":false,"errors":[],"id":"0064T00000AjQV7QAN","name":"Safety Arms Systems _2022","success":true}</t>
  </si>
  <si>
    <t>{"created":false,"errors":[],"id":"0064T00000AjRDsQAN","name":"LevelFields _2022","success":true}</t>
  </si>
  <si>
    <t>{"created":false,"errors":[],"id":"0064T00000AjT0CQAV","name":"CRISP-HR Therapeutics _2022","success":true}</t>
  </si>
  <si>
    <t>{"created":false,"errors":[],"id":"0064T00000AjVxMQAV","name":"Rockland Technimed limited _2022","success":true}</t>
  </si>
  <si>
    <t>{"created":false,"errors":[],"id":"0064T00000AjXpRQAV","name":"Skyline Nav AI Inc. _2022","success":true}</t>
  </si>
  <si>
    <t>{"created":false,"errors":[],"id":"0064T00000AjhSLQAZ","name":"Helico Bio  _2022","success":true}</t>
  </si>
  <si>
    <t>{"created":false,"errors":[],"id":"0064T00000AjkYNQAZ","name":"Behamics _2022","success":true}</t>
  </si>
  <si>
    <t>{"created":false,"errors":[],"id":"0064T00000AjkxIQAR","name":"Oscillum Biotechnology SL _2022","success":true}</t>
  </si>
  <si>
    <t>{"created":false,"errors":[],"id":"0064T00000AjlYTQAZ","name":"TOMi.digital _2022","success":true}</t>
  </si>
  <si>
    <t>{"created":false,"errors":[],"id":"0064T00000AjkzsQAB","name":"Novac _2022","success":true}</t>
  </si>
  <si>
    <t>{"created":false,"errors":[],"id":"0064T00000Ajlb3QAB","name":"DFiant _2022","success":true}</t>
  </si>
  <si>
    <t>{"created":false,"errors":[],"id":"0064T00000AjnQlQAJ","name":"Grow Computer _2022","success":true}</t>
  </si>
  <si>
    <t>{"created":false,"errors":[],"id":"0064T00000AjnE2QAJ","name":"Smplrspace _2022","success":true}</t>
  </si>
  <si>
    <t>{"created":false,"errors":[],"id":"0064T00000AZZV3QAP","name":"YouthBio Therapeutics Inc. _2022","success":true}</t>
  </si>
  <si>
    <t>{"created":false,"errors":[],"id":"0064T00000Aju6ZQAR","name":"Nerbio _2022","success":true}</t>
  </si>
  <si>
    <t>{"created":false,"errors":[],"id":"0064T00000AjMt8QAF","name":"KabCash Inc. _2022","success":true}</t>
  </si>
  <si>
    <t>{"created":false,"errors":[],"id":"0064T00000AjKzEQAV","name":"Tazah Technologies _2022","success":true}</t>
  </si>
  <si>
    <t>{"created":false,"errors":[],"id":"0064T00000AjRHQQA3","name":"Vocal Image _2022","success":true}</t>
  </si>
  <si>
    <t>{"created":false,"errors":[],"id":"0064T00000Ajg3NQAR","name":"MarsCharge, Inc. _2022","success":true}</t>
  </si>
  <si>
    <t>{"created":false,"errors":[],"id":"0064T00000Ajl81QAB","name":"Snacka! _2022","success":true}</t>
  </si>
  <si>
    <t>{"created":false,"errors":[],"id":"0064T00000Ajn9uQAB","name":"Livin Farms AgriFood GmBh _2022","success":true}</t>
  </si>
  <si>
    <t>{"created":false,"errors":[],"id":"0064T00000AZRz0QAH","name":"Singh Biotechnology, LLC _2022","success":true}</t>
  </si>
  <si>
    <t>{"created":false,"errors":[],"id":"0064T00000Aj3OsQAJ","name":"Apollo iGDS, Inc. _2022","success":true}</t>
  </si>
  <si>
    <t>{"created":false,"errors":[],"id":"0064T00000AZT0oQAH","name":"Heyhack _2022","success":true}</t>
  </si>
  <si>
    <t>{"created":false,"errors":[],"id":"0064T00000AjO15QAF","name":"GetChkd Inc. _2022","success":true}</t>
  </si>
  <si>
    <t>{"created":false,"errors":[],"id":"0064T00000AjSncQAF","name":"Foundry Spatial _2022","success":true}</t>
  </si>
  <si>
    <t>{"created":false,"errors":[],"id":"0064T00000AjaLKQAZ","name":"DrainBot  _2022","success":true}</t>
  </si>
  <si>
    <t>{"created":false,"errors":[],"id":"0064T00000AjhqIQAR","name":"Orbify, Inc. _2022","success":true}</t>
  </si>
  <si>
    <t>{"created":false,"errors":[],"id":"0064T00000Ajfs5QAB","name":"Olympian Motors _2022","success":true}</t>
  </si>
  <si>
    <t>{"created":false,"errors":[],"id":"0064T00000AjkqCQAR","name":"Nordetect _2022","success":true}</t>
  </si>
  <si>
    <t>{"created":false,"errors":[],"id":"0064T00000Ajl4OQAR","name":"CO2 Lock Corp.  _2022","success":true}</t>
  </si>
  <si>
    <t>{"created":false,"errors":[],"id":"0064T00000Ajl9dQAB","name":"L-Infinity Labs, Inc. _2022","success":true}</t>
  </si>
  <si>
    <t>{"created":false,"errors":[],"id":"0064T00000AjlSzQAJ","name":"Vinco _2022","success":true}</t>
  </si>
  <si>
    <t>{"created":false,"errors":[],"id":"0064T00000Aj2WLQAZ","name":"Folks Finance _2022","success":true}</t>
  </si>
  <si>
    <t>{"created":false,"errors":[],"id":"0064T00000Aji5NQAR","name":"Tooliqa Inc. _2022","success":true}</t>
  </si>
  <si>
    <t>{"created":false,"errors":[],"id":"0064T00000AjPohQAF","name":"Factinsect _2022","success":true}</t>
  </si>
  <si>
    <t>{"created":false,"errors":[],"id":"0064T00000AjWYSQA3","name":"Olokun Minerals _2022","success":true}</t>
  </si>
  <si>
    <t>{"created":false,"errors":[],"id":"0064T00000AjUDiQAN","name":"Magic Valley _2022","success":true}</t>
  </si>
  <si>
    <t>{"created":false,"errors":[],"id":"0064T00000AjTvIQAV","name":"Peep _2022","success":true}</t>
  </si>
  <si>
    <t>{"created":false,"errors":[],"id":"0064T00000AjXTaQAN","name":"ThoughtData _2022","success":true}</t>
  </si>
  <si>
    <t>{"created":false,"errors":[],"id":"0064T00000AjfwlQAB","name":"Cleanlight _2022","success":true}</t>
  </si>
  <si>
    <t>{"created":false,"errors":[],"id":"0064T00000AjlMSQAZ","name":"Gomboc.ai _2022","success":true}</t>
  </si>
  <si>
    <t>{"created":false,"errors":[],"id":"0064T00000AjqDeQAJ","name":"WeVoice, SL _2022","success":true}</t>
  </si>
  <si>
    <t>{"created":false,"errors":[],"id":"0064T00000AjqE3QAJ","name":"Summations _2022","success":true}</t>
  </si>
  <si>
    <t>{"created":false,"errors":[],"id":"0064T00000AZXmbQAH","name":"Wiingy _2022","success":true}</t>
  </si>
  <si>
    <t>{"created":false,"errors":[],"id":"0064T00000AjC2RQAV","name":"GoWit Technology _2022","success":true}</t>
  </si>
  <si>
    <t>{"created":false,"errors":[],"id":"0064T00000AjMkLQAV","name":"DEX Insight _2022","success":true}</t>
  </si>
  <si>
    <t>{"created":false,"errors":[],"id":"0064T00000AjadEQAR","name":"Radiolife _2022","success":true}</t>
  </si>
  <si>
    <t>{"created":false,"errors":[],"id":"0064T00000AjQoOQAV","name":"SAGEFirst, Inc. _2022","success":true}</t>
  </si>
  <si>
    <t>{"created":false,"errors":[],"id":"0064T00000AjVS9QAN","name":"Key2enable Assistive Technology _2022","success":true}</t>
  </si>
  <si>
    <t>{"created":false,"errors":[],"id":"0064T00000Ajky6QAB","name":"Voltiza Inc _2022","success":true}</t>
  </si>
  <si>
    <t>{"created":false,"errors":[],"id":"0064T00000AjlIBQAZ","name":"Wyblo srl  _2022","success":true}</t>
  </si>
  <si>
    <t>{"created":false,"errors":[],"id":"0064T00000AjnDDQAZ","name":"Zoios _2022","success":true}</t>
  </si>
  <si>
    <t>{"created":false,"errors":[],"id":"0064T00000AZhYMQA1","name":"AGR Health, LLC _2022","success":true}</t>
  </si>
  <si>
    <t>{"created":false,"errors":[],"id":"0064T00000AjMCTQA3","name":"Monocle _2022","success":true}</t>
  </si>
  <si>
    <t>{"created":false,"errors":[],"id":"0064T00000AjOogQAF","name":"PlateRate _2022","success":true}</t>
  </si>
  <si>
    <t>{"created":false,"errors":[],"id":"0064T00000AjW06QAF","name":"Periomics Care _2022","success":true}</t>
  </si>
  <si>
    <t>{"created":false,"errors":[],"id":"0064T00000AjZRbQAN","name":"Elementa Labs _2022","success":true}</t>
  </si>
  <si>
    <t>{"created":false,"errors":[],"id":"0064T00000AjV8IQAV","name":"My Greens 2021 SL _2022","success":true}</t>
  </si>
  <si>
    <t>{"created":false,"errors":[],"id":"0064T00000AjfcMQAR","name":"BLUEWAVE Technologies _2022","success":true}</t>
  </si>
  <si>
    <t>{"created":false,"errors":[],"id":"0064T00000AjhxxQAB","name":"Eco-Panels LLC _2022","success":true}</t>
  </si>
  <si>
    <t>{"created":false,"errors":[],"id":"0064T00000AjkVYQAZ","name":"Revamp Moto Pvt. Ltd. _2022","success":true}</t>
  </si>
  <si>
    <t>{"created":false,"errors":[],"id":"0064T00000AZmLZQA1","name":"PhoneOptika Ltd. _2022","success":true}</t>
  </si>
  <si>
    <t>{"created":false,"errors":[],"id":"0064T00000AjnL7QAJ","name":"Pajama Cats Media _2022","success":true}</t>
  </si>
  <si>
    <t>{"created":false,"errors":[],"id":"0064T00000Aj8PXQAZ","name":"Deskfirst, Inc. _2022","success":true}</t>
  </si>
  <si>
    <t>{"created":false,"errors":[],"id":"0064T00000AZY5sQAH","name":"Aequaland Studio SA _2022","success":true}</t>
  </si>
  <si>
    <t>{"created":false,"errors":[],"id":"0064T00000AZTbVQAX","name":"3F Waste Recovery _2022","success":true}</t>
  </si>
  <si>
    <t>{"created":false,"errors":[],"id":"0064T00000AYn1jQAD","name":"Strich, Inc. _2022","success":true}</t>
  </si>
  <si>
    <t>{"created":false,"errors":[],"id":"0064T00000AZc1SQAT","name":"Mumerz for Ecommerce _2022","success":true}</t>
  </si>
  <si>
    <t>{"created":false,"errors":[],"id":"0064T00000AjJVvQAN","name":"the klubb _2022","success":true}</t>
  </si>
  <si>
    <t>{"created":false,"errors":[],"id":"0064T00000AjRrJQAV","name":"GenoFAB, Inc. _2022","success":true}</t>
  </si>
  <si>
    <t>{"created":false,"errors":[],"id":"0064T00000AjNwfQAF","name":"Nume _2022","success":true}</t>
  </si>
  <si>
    <t>{"created":false,"errors":[],"id":"0064T00000AjODuQAN","name":"Axyz (Bundled, Inc.) _2022","success":true}</t>
  </si>
  <si>
    <t>{"created":false,"errors":[],"id":"0064T00000AjgF4QAJ","name":"iVoice Africa Media _2022","success":true}</t>
  </si>
  <si>
    <t>{"created":false,"errors":[],"id":"0064T00000AjlO4QAJ","name":"Dealbook, Inc. _2022","success":true}</t>
  </si>
  <si>
    <t>{"created":false,"errors":[],"id":"0064T00000AjlQjQAJ","name":"Gembridge Pte Ltd _2022","success":true}</t>
  </si>
  <si>
    <t>{"created":false,"errors":[],"id":"0064T00000AZpCaQAL","name":"Primary Assembly _2022","success":true}</t>
  </si>
  <si>
    <t>{"created":false,"errors":[],"id":"0064T00000AZRPvQAP","name":"VioScore . My Life Kit _2022","success":true}</t>
  </si>
  <si>
    <t>{"created":false,"errors":[],"id":"0064T00000AZd3FQAT","name":"Exirio _2022","success":true}</t>
  </si>
  <si>
    <t>{"created":false,"errors":[],"id":"0064T00000AjTCIQA3","name":"Ujama Incorporated _2022","success":true}</t>
  </si>
  <si>
    <t>{"created":false,"errors":[],"id":"0064T00000AjSAVQA3","name":"Areto Labs _2022","success":true}</t>
  </si>
  <si>
    <t>{"created":false,"errors":[],"id":"0064T00000AjQ7FQAV","name":"iThrive _2022","success":true}</t>
  </si>
  <si>
    <t>{"created":false,"errors":[],"id":"0064T00000AjPmcQAF","name":"ADRESS AS _2022","success":true}</t>
  </si>
  <si>
    <t>{"created":false,"errors":[],"id":"0064T00000AjXDIQA3","name":"Agrapp _2022","success":true}</t>
  </si>
  <si>
    <t>{"created":false,"errors":[],"id":"0064T00000AjXcXQAV","name":"Loop _2022","success":true}</t>
  </si>
  <si>
    <t>{"created":false,"errors":[],"id":"0064T00000Ajf45QAB","name":"BioXycle _2022","success":true}</t>
  </si>
  <si>
    <t>{"created":false,"errors":[],"id":"0064T00000AjkeVQAR","name":"Hyperhuman _2022","success":true}</t>
  </si>
  <si>
    <t>{"created":false,"errors":[],"id":"0064T00000AjlEEQAZ","name":"ALTRA ERC LTD _2022","success":true}</t>
  </si>
  <si>
    <t>{"created":false,"errors":[],"id":"0064T00000AjlGAQAZ","name":"EPDL LTD _2022","success":true}</t>
  </si>
  <si>
    <t>{"created":false,"errors":[],"id":"0064T00000AjlGkQAJ","name":"AdHear Health _2022","success":true}</t>
  </si>
  <si>
    <t>{"created":false,"errors":[],"id":"0064T00000AjlKvQAJ","name":"Doji _2022","success":true}</t>
  </si>
  <si>
    <t>{"created":false,"errors":[],"id":"0064T00000AjlRIQAZ","name":"Vinum Collection _2022","success":true}</t>
  </si>
  <si>
    <t>{"created":false,"errors":[],"id":"0064T00000AZkziQAD","name":"OnMyGrad _2022","success":true}</t>
  </si>
  <si>
    <t>{"created":false,"errors":[],"id":"0064T00000Ajn0xQAB","name":"Hundred Technology MENA DMCC _2022","success":true}</t>
  </si>
  <si>
    <t>{"created":false,"errors":[],"id":"0064T00000AjqEcQAJ","name":"Fun Guy Project _2022","success":true}</t>
  </si>
  <si>
    <t>{"created":false,"errors":[],"id":"0064T00000AZonuQAD","name":"Better World _2022","success":true}</t>
  </si>
  <si>
    <t>{"created":false,"errors":[],"id":"0064T00000Aj3vwQAB","name":"Proxygen _2022","success":true}</t>
  </si>
  <si>
    <t>{"created":false,"errors":[],"id":"0064T00000Aj2AeQAJ","name":"Mirror World Inc. _2022","success":true}</t>
  </si>
  <si>
    <t>{"created":false,"errors":[],"id":"0064T00000AjfLpQAJ","name":"Mediloq, Inc. _2022","success":true}</t>
  </si>
  <si>
    <t>{"created":false,"errors":[],"id":"0064T00000AjqBJQAZ","name":"Clean Bite, LLC _2022","success":true}</t>
  </si>
  <si>
    <t>{"created":false,"errors":[],"id":"0064T00000AjCYhQAN","name":"Earth To Go  _2022","success":true}</t>
  </si>
  <si>
    <t>{"created":false,"errors":[],"id":"0064T00000AjnOzQAJ","name":"Map-Collective Inc _2022","success":true}</t>
  </si>
  <si>
    <t>{"created":false,"errors":[],"id":"0064T00000AjXRAQA3","name":"First Person Solutions _2022","success":true}</t>
  </si>
  <si>
    <t>{"created":false,"errors":[],"id":"0064T00000AjlaUQAR","name":"KARI _2022","success":true}</t>
  </si>
  <si>
    <t>{"created":false,"errors":[],"id":"0064T00000AjnN8QAJ","name":"PLAYBOOK APPLICATION W.L.L _2022","success":true}</t>
  </si>
  <si>
    <t>{"created":false,"errors":[],"id":"0064T00000AjqDyQAJ","name":"ReRent _2022","success":true}</t>
  </si>
  <si>
    <t>{"created":false,"errors":[],"id":"0064T00000Aj7wQQAR","name":"The Cloud World _2022","success":true}</t>
  </si>
  <si>
    <t>{"created":false,"errors":[],"id":"0064T00000AjTHrQAN","name":"TrioWave Technologies _2022","success":true}</t>
  </si>
  <si>
    <t>{"created":false,"errors":[],"id":"0064T00000Aje9OQAR","name":"Cardiología Hiskin _2022","success":true}</t>
  </si>
  <si>
    <t>{"created":false,"errors":[],"id":"0064T00000Aj4FrQAJ","name":"TRAKID _2022","success":true}</t>
  </si>
  <si>
    <t>{"created":false,"errors":[],"id":"0064T00000AjgA4QAJ","name":"Atlas _2022","success":true}</t>
  </si>
  <si>
    <t>{"created":false,"errors":[],"id":"0064T00000Ajf1aQAB","name":"IceBeanie  _2022","success":true}</t>
  </si>
  <si>
    <t>{"created":false,"errors":[],"id":"0064T00000AjqDtQAJ","name":"Neo Xenia Biotech _2022","success":true}</t>
  </si>
  <si>
    <t>{"created":false,"errors":[],"id":"0064T00000AZq5UQAT","name":"Al-Hadi International Trading (SMC-Private) Limited _2022","success":true}</t>
  </si>
  <si>
    <t>{"created":false,"errors":[],"id":"0064T00000AZp6rQAD","name":"Dream Tea NYC _2022","success":true}</t>
  </si>
  <si>
    <t>{"created":false,"errors":[],"id":"0064T00000Aj6DoQAJ","name":"LYK INC _2022","success":true}</t>
  </si>
  <si>
    <t>{"created":false,"errors":[],"id":"0064T00000AjMpVQAV","name":"Pool Party Co. _2022","success":true}</t>
  </si>
  <si>
    <t>{"created":false,"errors":[],"id":"0064T00000Aj4eUQAR","name":"Dentco _2022","success":true}</t>
  </si>
  <si>
    <t>{"created":false,"errors":[],"id":"0064T00000AjMKhQAN","name":"New Age Hygienic Systems, Inc. _2022","success":true}</t>
  </si>
  <si>
    <t>{"created":false,"errors":[],"id":"0064T00000AjqClQAJ","name":"iAssay.net _2022","success":true}</t>
  </si>
  <si>
    <t>{"created":false,"errors":[],"id":"0064T00000BMKCvQAP","name":"Maxwell Biosciences _2022","success":true}</t>
  </si>
  <si>
    <t>{"created":false,"errors":[],"id":"0064T00000BLrtcQAD","name":"Senseidata, S.A. _2022","success":true}</t>
  </si>
  <si>
    <t>{"created":false,"errors":[],"id":"0064T00000Ajpp8QAB","name":"Aequor Inc. _2022","success":true}</t>
  </si>
  <si>
    <t>{"created":false,"errors":[],"id":"0064T00000AjoXnQAJ","name":"Pandorum International Inc. _2022","success":true}</t>
  </si>
  <si>
    <t>{"created":false,"errors":[],"id":"0064T00000AjiM4QAJ","name":"Summer Robotics Inc _2022","success":true}</t>
  </si>
  <si>
    <t>{"created":false,"errors":[],"id":"0064T00000Ajq9XQAR","name":"48 Hour Discovery Inc. _2022","success":true}</t>
  </si>
  <si>
    <t>{"created":false,"errors":[],"id":"0064T00000AjBnlQAF","name":"Zoundream _2022","success":true}</t>
  </si>
  <si>
    <t>{"created":false,"errors":[],"id":"0064T00000AjqDoQAJ","name":"ImmunoGel LLC _2022","success":true}</t>
  </si>
  <si>
    <t>{"created":false,"errors":[],"id":"0064T00000AjsA0QAJ","name":"Kano Therapeutics _2022","success":true}</t>
  </si>
  <si>
    <t>{"created":false,"errors":[],"id":"0064T00000AjrD7QAJ","name":"PONS _2022","success":true}</t>
  </si>
  <si>
    <t>{"created":false,"errors":[],"id":"0064T00000AjoZQQAZ","name":"GridMatrix _2022","success":true}</t>
  </si>
  <si>
    <t>{"created":false,"errors":[],"id":"0064T00000AjpWcQAJ","name":"Amplified Sciences, Inc. _2022","success":true}</t>
  </si>
  <si>
    <t>{"created":false,"errors":[],"id":"0064T00000AjpteQAB","name":"EMPIRI _2022","success":true}</t>
  </si>
  <si>
    <t>{"created":false,"errors":[],"id":"0064T00000AjnoOQAR","name":"Labfront _2022","success":true}</t>
  </si>
  <si>
    <t>{"created":false,"errors":[],"id":"0064T00000BMFH4QAP","name":"A&amp;K Robotics _2022","success":true}</t>
  </si>
  <si>
    <t>{"created":false,"errors":[],"id":"0064T00000AjbWsQAJ","name":"Tactical Therapeutics, Inc _2022","success":true}</t>
  </si>
  <si>
    <t>{"created":false,"errors":[],"id":"0064T00000AjjwOQAR","name":"pragyaa.ai _2022","success":true}</t>
  </si>
  <si>
    <t>{"created":false,"errors":[],"id":"0064T00000BLmDzQAL","name":"Skyhook Solar Corp. _2022","success":true}</t>
  </si>
  <si>
    <t>{"created":false,"errors":[],"id":"0064T00000AjonlQAB","name":"Pannex Therapeutics _2022","success":true}</t>
  </si>
  <si>
    <t>{"created":false,"errors":[],"id":"0064T00000BLmDuQAL","name":"H Quest Vanguard, Inc. _2022","success":true}</t>
  </si>
  <si>
    <t>{"created":false,"errors":[],"id":"0064T00000AjCj6QAF","name":"GenoTwin, Inc. _2022","success":true}</t>
  </si>
  <si>
    <t>{"created":false,"errors":[],"id":"0064T00000AjKqRQAV","name":"Abstractive Health  _2022","success":true}</t>
  </si>
  <si>
    <t>{"created":false,"errors":[],"id":"0064T00000AjJhrQAF","name":"InvVax _2022","success":true}</t>
  </si>
  <si>
    <t>{"created":false,"errors":[],"id":"0064T00000Aji8MQAR","name":"Blip Labs Technologies, Inc. _2022","success":true}</t>
  </si>
  <si>
    <t>{"created":false,"errors":[],"id":"0064T00000Ajg0YQAR","name":"Ischemia Care _2022","success":true}</t>
  </si>
  <si>
    <t>{"created":false,"errors":[],"id":"0064T00000AjktGQAR","name":"Emani trading as Collective Quotient Ltd _2022","success":true}</t>
  </si>
  <si>
    <t>{"created":false,"errors":[],"id":"0064T00000AjiwvQAB","name":"SecureCHEK AI, Inc. _2022","success":true}</t>
  </si>
  <si>
    <t>{"created":false,"errors":[],"id":"0064T00000Ajj4GQAR","name":"Datirium, LLC _2022","success":true}</t>
  </si>
  <si>
    <t>{"created":false,"errors":[],"id":"0064T00000Ajk7vQAB","name":"Regtick Ltd _2022","success":true}</t>
  </si>
  <si>
    <t>{"created":false,"errors":[],"id":"0064T00000Ajl0lQAB","name":"Suru Together Ltd _2022","success":true}</t>
  </si>
  <si>
    <t>{"created":false,"errors":[],"id":"0064T00000BLmEsQAL","name":"California Cultured _2022","success":true}</t>
  </si>
  <si>
    <t>{"created":false,"errors":[],"id":"0064T00000BLqKHQA1","name":"Wootzano Limited _2022","success":true}</t>
  </si>
  <si>
    <t>{"created":false,"errors":[],"id":"0064T00000AjngtQAB","name":"Voltela _2022","success":true}</t>
  </si>
  <si>
    <t>{"created":false,"errors":[],"id":"0064T00000AjpqzQAB","name":"breathe ilo GmbH _2022","success":true}</t>
  </si>
  <si>
    <t>{"created":false,"errors":[],"id":"0064T00000AjoilQAB","name":"Haystack Oncology _2022","success":true}</t>
  </si>
  <si>
    <t>{"created":false,"errors":[],"id":"0064T00000AjpFWQAZ","name":"Entoprotech Ltd _2022","success":true}</t>
  </si>
  <si>
    <t>{"created":false,"errors":[],"id":"0064T00000Aj50yQAB","name":"Neu Bio, Inc. _2022","success":true}</t>
  </si>
  <si>
    <t>{"created":false,"errors":[],"id":"0064T00000Aj8JeQAJ","name":"ecolytiq GmbH _2022","success":true}</t>
  </si>
  <si>
    <t>{"created":false,"errors":[],"id":"0064T00000AjalDQAR","name":"LightCode Photonics _2022","success":true}</t>
  </si>
  <si>
    <t>{"created":false,"errors":[],"id":"0064T00000AjfR4QAJ","name":"GeneSkin _2022","success":true}</t>
  </si>
  <si>
    <t>{"created":false,"errors":[],"id":"0064T00000AjqDUQAZ","name":"UpBeing Inc. _2022","success":true}</t>
  </si>
  <si>
    <t>{"created":false,"errors":[],"id":"0064T00000Ajn0YQAR","name":"Odqa Renewable Energy Technologies Limited _2022","success":true}</t>
  </si>
  <si>
    <t>{"created":false,"errors":[],"id":"0064T00000AjpWSQAZ","name":"Avior Bio Inc. _2022","success":true}</t>
  </si>
  <si>
    <t>{"created":false,"errors":[],"id":"0064T00000BM3K6QAL","name":"Protai _2022","success":true}</t>
  </si>
  <si>
    <t>{"created":false,"errors":[],"id":"0064T00000AjjnHQAR","name":"Impilo _2022","success":true}</t>
  </si>
  <si>
    <t>{"created":false,"errors":[],"id":"0064T00000Ajk3yQAB","name":"Relyon.ai _2022","success":true}</t>
  </si>
  <si>
    <t>{"created":false,"errors":[],"id":"0064T00000AjoSTQAZ","name":"ConConnect _2022","success":true}</t>
  </si>
  <si>
    <t>{"created":false,"errors":[],"id":"0064T00000AjiEoQAJ","name":"Lux Wind Power Ltd. _2022","success":true}</t>
  </si>
  <si>
    <t>{"created":false,"errors":[],"id":"0064T00000AjfMEQAZ","name":"Helex _2022","success":true}</t>
  </si>
  <si>
    <t>{"created":false,"errors":[],"id":"0064T00000AjfldQAB","name":"NemaGen Discoveries, INC _2022","success":true}</t>
  </si>
  <si>
    <t>{"created":false,"errors":[],"id":"0064T00000AjoXOQAZ","name":"Bima, Inc. _2022","success":true}</t>
  </si>
  <si>
    <t>{"created":false,"errors":[],"id":"0064T00000AjoBNQAZ","name":"Intelligent AI _2022","success":true}</t>
  </si>
  <si>
    <t>{"created":false,"errors":[],"id":"0064T00000AjnpWQAR","name":"MPzero _2022","success":true}</t>
  </si>
  <si>
    <t>{"created":false,"errors":[],"id":"0064T00000AjpVyQAJ","name":"ImmunoMind _2022","success":true}</t>
  </si>
  <si>
    <t>{"created":false,"errors":[],"id":"0064T00000AjnzRQAR","name":"Staxe _2022","success":true}</t>
  </si>
  <si>
    <t>{"created":false,"errors":[],"id":"0064T00000AjlfoQAB","name":"TakeOne _2022","success":true}</t>
  </si>
  <si>
    <t>{"created":false,"errors":[],"id":"0064T00000AjqHHQAZ","name":"Certa Dose _2022","success":true}</t>
  </si>
  <si>
    <t>{"created":false,"errors":[],"id":"0064T00000Ajq0BQAR","name":"White Rock Therapeutics _2022","success":true}</t>
  </si>
  <si>
    <t>{"created":false,"errors":[],"id":"0064T00000AjiDvQAJ","name":"Anonymous Agent Inc. _2022","success":true}</t>
  </si>
  <si>
    <t>{"created":false,"errors":[],"id":"0064T00000AjiArQAJ","name":"LangInnov _2022","success":true}</t>
  </si>
  <si>
    <t>{"created":false,"errors":[],"id":"0064T00000Ajl0SQAR","name":"Noala _2022","success":true}</t>
  </si>
  <si>
    <t>{"created":false,"errors":[],"id":"0064T00000Ajl4EQAR","name":"Lazy Trade _2022","success":true}</t>
  </si>
  <si>
    <t>{"created":false,"errors":[],"id":"0064T00000AjncYQAR","name":"ShareID _2022","success":true}</t>
  </si>
  <si>
    <t>{"created":false,"errors":[],"id":"0064T00000AjmMMQAZ","name":"Nomitri _2022","success":true}</t>
  </si>
  <si>
    <t>{"created":false,"errors":[],"id":"0064T00000AjsqkQAB","name":"satis.ai ltd _2022","success":true}</t>
  </si>
  <si>
    <t>{"created":false,"errors":[],"id":"0064T00000AjkJIQAZ","name":"carecircle AG _2022","success":true}</t>
  </si>
  <si>
    <t>{"created":false,"errors":[],"id":"0064T00000Ajl6PQAR","name":"Metavent _2022","success":true}</t>
  </si>
  <si>
    <t>{"created":false,"errors":[],"id":"0064T00000BLoulQAD","name":"SanChip _2022","success":true}</t>
  </si>
  <si>
    <t>{"created":false,"errors":[],"id":"0064T00000BLmCSQA1","name":"Accelerate Wind _2022","success":true}</t>
  </si>
  <si>
    <t>{"created":false,"errors":[],"id":"0064T00000AjnSNQAZ","name":"Riverr Pte. Ltd. _2022","success":true}</t>
  </si>
  <si>
    <t>{"created":false,"errors":[],"id":"0064T00000Ajod2QAB","name":"PhagePro _2022","success":true}</t>
  </si>
  <si>
    <t>{"created":false,"errors":[],"id":"0064T00000AjnWFQAZ","name":"Etiq AI _2022","success":true}</t>
  </si>
  <si>
    <t>{"created":false,"errors":[],"id":"0064T00000BLsG7QAL","name":"Corral Technologies _2022","success":true}</t>
  </si>
  <si>
    <t>{"created":false,"errors":[],"id":"0064T00000AYmqBQAT","name":"Roseon World _2022","success":true}</t>
  </si>
  <si>
    <t>{"created":false,"errors":[],"id":"0064T00000BLgYUQA1","name":"ACCELStars Inc. _2022","success":true}</t>
  </si>
  <si>
    <t>{"created":false,"errors":[],"id":"0064T00000BLp0eQAD","name":"Indrio Technologies Inc _2022","success":true}</t>
  </si>
  <si>
    <t>{"created":false,"errors":[],"id":"0064T00000AjpotQAB","name":"TriAltus Bioscience _2022","success":true}</t>
  </si>
  <si>
    <t>{"created":false,"errors":[],"id":"0064T00000AjCGOQA3","name":"Lindus Health _2022","success":true}</t>
  </si>
  <si>
    <t>{"created":false,"errors":[],"id":"0064T00000AjHmpQAF","name":"Niura _2022","success":true}</t>
  </si>
  <si>
    <t>{"created":false,"errors":[],"id":"0064T00000BMAOtQAP","name":"Autonopia Technologies Inc. _2022","success":true}</t>
  </si>
  <si>
    <t>{"created":false,"errors":[],"id":"0064T00000BMBT6QAP","name":"phelas GmbH _2022","success":true}</t>
  </si>
  <si>
    <t>{"created":false,"errors":[],"id":"0064T00000AjeNaQAJ","name":"BoxyHQ _2022","success":true}</t>
  </si>
  <si>
    <t>{"created":false,"errors":[],"id":"0064T00000AjkwjQAB","name":"FirstWork LLC  _2022","success":true}</t>
  </si>
  <si>
    <t>{"created":false,"errors":[],"id":"0064T00000AjlisQAB","name":"Revolute Robotics _2022","success":true}</t>
  </si>
  <si>
    <t>{"created":false,"errors":[],"id":"0064T00000BLqgNQAT","name":"NUADA _2022","success":true}</t>
  </si>
  <si>
    <t>{"created":false,"errors":[],"id":"0064T00000BLrlnQAD","name":"Upword _2022","success":true}</t>
  </si>
  <si>
    <t>{"created":false,"errors":[],"id":"0064T00000AjnaRQAR","name":"GlucoActive _2022","success":true}</t>
  </si>
  <si>
    <t>{"created":false,"errors":[],"id":"0064T00000AjnZOQAZ","name":"Genomines _2022","success":true}</t>
  </si>
  <si>
    <t>{"created":false,"errors":[],"id":"0064T00000AjnHPQAZ","name":"Nat4Bio _2022","success":true}</t>
  </si>
  <si>
    <t>{"created":false,"errors":[],"id":"0064T00000AjoFFQAZ","name":"Educai.io _2022","success":true}</t>
  </si>
  <si>
    <t>{"created":false,"errors":[],"id":"0064T00000AjoH6QAJ","name":"DLTEO GmbH _2022","success":true}</t>
  </si>
  <si>
    <t>{"created":false,"errors":[],"id":"0064T00000AjnRtQAJ","name":"Parverio Inc,. _2022","success":true}</t>
  </si>
  <si>
    <t>{"created":false,"errors":[],"id":"0064T00000AjpcoQAB","name":"Wild Coast Biologics Inc _2022","success":true}</t>
  </si>
  <si>
    <t>{"created":false,"errors":[],"id":"0064T00000AjnWeQAJ","name":"Aerobiosys Innovations Private Limited _2022","success":true}</t>
  </si>
  <si>
    <t>{"created":false,"errors":[],"id":"0064T00000Ajnf2QAB","name":"Clearword _2022","success":true}</t>
  </si>
  <si>
    <t>{"created":false,"errors":[],"id":"0064T00000AjCDyQAN","name":"RABOT Charge _2022","success":true}</t>
  </si>
  <si>
    <t>{"created":false,"errors":[],"id":"0064T00000BLsAYQA1","name":"Energao, Inc. _2022","success":true}</t>
  </si>
  <si>
    <t>{"created":false,"errors":[],"id":"0064T00000AjoVDQAZ","name":"Rollio _2022","success":true}</t>
  </si>
  <si>
    <t>{"created":false,"errors":[],"id":"0064T00000AjiOUQAZ","name":"Friendlyforce, Inc. _2022","success":true}</t>
  </si>
  <si>
    <t>{"created":false,"errors":[],"id":"0064T00000AjfW9QAJ","name":"EllieGrid _2022","success":true}</t>
  </si>
  <si>
    <t>{"created":false,"errors":[],"id":"0064T00000AjmowQAB","name":"UZME _2022","success":true}</t>
  </si>
  <si>
    <t>{"created":false,"errors":[],"id":"0064T00000AjsdbQAB","name":"AIHunters _2022","success":true}</t>
  </si>
  <si>
    <t>{"created":false,"errors":[],"id":"0064T00000Ajk8oQAB","name":"Niftron (Pvt) Ltd _2022","success":true}</t>
  </si>
  <si>
    <t>{"created":false,"errors":[],"id":"0064T00000AjnQqQAJ","name":"Kumulus _2022","success":true}</t>
  </si>
  <si>
    <t>{"created":false,"errors":[],"id":"0064T00000AjnduQAB","name":"Texelio AB _2022","success":true}</t>
  </si>
  <si>
    <t>{"created":false,"errors":[],"id":"0064T00000Ajpl6QAB","name":"Zena Therapeutics INC. _2022","success":true}</t>
  </si>
  <si>
    <t>{"created":false,"errors":[],"id":"0064T00000AjnnaQAB","name":"AstraKode  _2022","success":true}</t>
  </si>
  <si>
    <t>{"created":false,"errors":[],"id":"0064T00000AjnkvQAB","name":"Stranded Solutions _2022","success":true}</t>
  </si>
  <si>
    <t>{"created":false,"errors":[],"id":"0064T00000AjnX8QAJ","name":"Impactbytes _2022","success":true}</t>
  </si>
  <si>
    <t>{"created":false,"errors":[],"id":"0064T00000AjnqyQAB","name":"Biosimo _2022","success":true}</t>
  </si>
  <si>
    <t>{"created":false,"errors":[],"id":"0064T00000AjpLUQAZ","name":"NEATCap Medical LLC _2022","success":true}</t>
  </si>
  <si>
    <t>{"created":false,"errors":[],"id":"0064T00000Ajp8kQAB","name":"MatMaCorp _2022","success":true}</t>
  </si>
  <si>
    <t>{"created":false,"errors":[],"id":"0064T00000Ajnc3QAB","name":"AiTera inc. _2022","success":true}</t>
  </si>
  <si>
    <t>{"created":false,"errors":[],"id":"0064T00000AjqV9QAJ","name":"nucleusRx _2022","success":true}</t>
  </si>
  <si>
    <t>{"created":false,"errors":[],"id":"0064T00000BLsUsQAL","name":"ReynKo _2022","success":true}</t>
  </si>
  <si>
    <t>{"created":false,"errors":[],"id":"0064T00000Ajq5pQAB","name":"SingletO2 Therapeutics LLC _2022","success":true}</t>
  </si>
  <si>
    <t>{"created":false,"errors":[],"id":"0064T00000Aj7n4QAB","name":"myLaminin _2022","success":true}</t>
  </si>
  <si>
    <t>{"created":false,"errors":[],"id":"0064T00000Ajm5AQAR","name":"Shipturtle Apps Pvt Ltd _2022","success":true}</t>
  </si>
  <si>
    <t>{"created":false,"errors":[],"id":"0064T00000AjITUQA3","name":"Believyn  _2022","success":true}</t>
  </si>
  <si>
    <t>{"created":false,"errors":[],"id":"0064T00000AjDf5QAF","name":"Astrabeam LLC _2022","success":true}</t>
  </si>
  <si>
    <t>{"created":false,"errors":[],"id":"0064T00000AjQmNQAV","name":"Biodimension Technology Pvt Ltd _2022","success":true}</t>
  </si>
  <si>
    <t>{"created":false,"errors":[],"id":"0064T00000AjmrvQAB","name":"Volatile AI _2022","success":true}</t>
  </si>
  <si>
    <t>{"created":false,"errors":[],"id":"0064T00000AjiaLQAR","name":"Turn Plus Power LLC.  _2022","success":true}</t>
  </si>
  <si>
    <t>{"created":false,"errors":[],"id":"0064T00000BLruaQAD","name":"Lychee Things Inc. _2022","success":true}</t>
  </si>
  <si>
    <t>{"created":false,"errors":[],"id":"0064T00000BLs4LQAT","name":"CRANENANO LLC _2022","success":true}</t>
  </si>
  <si>
    <t>{"created":false,"errors":[],"id":"0064T00000Ajo4qQAB","name":"HealMed Solutions.Inc _2022","success":true}</t>
  </si>
  <si>
    <t>{"created":false,"errors":[],"id":"0064T00000Ajnk8QAB","name":"My One Medical Source, LLC _2022","success":true}</t>
  </si>
  <si>
    <t>{"created":false,"errors":[],"id":"0064T00000AjoPyQAJ","name":"Zario _2022","success":true}</t>
  </si>
  <si>
    <t>{"created":false,"errors":[],"id":"0064T00000AjnuWQAR","name":"Engine Systems Innovation, Inc. _2022","success":true}</t>
  </si>
  <si>
    <t>{"created":false,"errors":[],"id":"0064T00000AjoAPQAZ","name":"Lynxai _2022","success":true}</t>
  </si>
  <si>
    <t>{"created":false,"errors":[],"id":"0064T00000AjjVtQAJ","name":"Ziscuit, Inc. _2022","success":true}</t>
  </si>
  <si>
    <t>{"created":false,"errors":[],"id":"0064T00000AjkIUQAZ","name":"FanAnywhere _2022","success":true}</t>
  </si>
  <si>
    <t>{"created":false,"errors":[],"id":"0064T00000AjnP4QAJ","name":"Aerovoyance Inc _2022","success":true}</t>
  </si>
  <si>
    <t>{"created":false,"errors":[],"id":"0064T00000AjXqAQAV","name":"Alaria Biotech  _2022","success":true}</t>
  </si>
  <si>
    <t>{"created":false,"errors":[],"id":"0064T00000Ajo21QAB","name":"Street Farms _2022","success":true}</t>
  </si>
  <si>
    <t>{"created":false,"errors":[],"id":"0064T00000AjoZeQAJ","name":"elovee, Inc. _2022","success":true}</t>
  </si>
  <si>
    <t>{"created":false,"errors":[],"id":"0064T00000Ajoc4QAB","name":"kyron.bio _2022","success":true}</t>
  </si>
  <si>
    <t>{"created":false,"errors":[],"id":"0064T00000AjoZKQAZ","name":"Mahila Money Pte Ltd _2022","success":true}</t>
  </si>
  <si>
    <t>{"created":false,"errors":[],"id":"0064T00000BM1G2QAL","name":"Re-Colonize _2022","success":true}</t>
  </si>
  <si>
    <t>Data not found</t>
  </si>
  <si>
    <t>{"created":false,"errors":[],"id":"0064T00000AjIntQAF","name":"Clever Forever Education AG _2022","success":true}</t>
  </si>
  <si>
    <t>{"created":false,"errors":[],"id":"0064T00000AjoNjQAJ","name":"Vernocular Inc _2022","success":true}</t>
  </si>
  <si>
    <t>{"created":false,"errors":[],"id":"0064T00000Aji6kQAB","name":"Healthtracka _2022","success":true}</t>
  </si>
  <si>
    <t>{"created":false,"errors":[],"id":"0064T00000A2XIYQA3","name":"Lagoon _2022","success":true}</t>
  </si>
  <si>
    <t>{"created":false,"errors":[],"id":"0064T00000AjklqQAB","name":"BPANALITYCAL S.A. _2022","success":true}</t>
  </si>
  <si>
    <t>{"created":false,"errors":[],"id":"0064T00000AjkyaQAB","name":"The Results-Oriented Work School, LLC _2022","success":true}</t>
  </si>
  <si>
    <t>{"created":false,"errors":[],"id":"0064T00000BMfyfQAD","name":"Celise BioProducts _2022","success":true}</t>
  </si>
  <si>
    <t>{"created":false,"errors":[],"id":"0064T00000Ajo2uQAB","name":"ThinkPods Education Services Pvt Ltd _2022","success":true}</t>
  </si>
  <si>
    <t>{"created":false,"errors":[],"id":"0064T00000AjoXTQAZ","name":"Intended Future _2022","success":true}</t>
  </si>
  <si>
    <t>{"created":false,"errors":[],"id":"0064T00000AjnXXQAZ","name":"Dresma Inc. _2022","success":true}</t>
  </si>
  <si>
    <t>{"created":false,"errors":[],"id":"0064T00000Ajn1bQAB","name":"GridWorkX _2022","success":true}</t>
  </si>
  <si>
    <t>{"created":false,"errors":[],"id":"0064T00000BM1WjQAL","name":"Sona Labs _2022","success":true}</t>
  </si>
  <si>
    <t>{"created":false,"errors":[],"id":"0064T00000AZSCOQA5","name":"Clanq _2022","success":true}</t>
  </si>
  <si>
    <t>{"created":false,"errors":[],"id":"0064T00000AjqdwQAB","name":"Make It Black _2022","success":true}</t>
  </si>
  <si>
    <t>{"created":false,"errors":[],"id":"0064T00000AjnsaQAB","name":"Nebula Accounting _2022","success":true}</t>
  </si>
  <si>
    <t>{"created":false,"errors":[],"id":"0064T00000AjiOZQAZ","name":"Vivanta _2022","success":true}</t>
  </si>
  <si>
    <t>{"created":false,"errors":[],"id":"0064T00000Aji82QAB","name":"Diversity Cyber Council _2022","success":true}</t>
  </si>
  <si>
    <t>{"created":false,"errors":[],"id":"0064T00000AjSV4QAN","name":"Populemetry _2022","success":true}</t>
  </si>
  <si>
    <t>{"created":false,"errors":[],"id":"0064T00000AjRECQA3","name":"Biomedix SA, Geneva, Switzerland _2022","success":true}</t>
  </si>
  <si>
    <t>{"created":false,"errors":[],"id":"0064T00000AjmZwQAJ","name":"GameAir _2022","success":true}</t>
  </si>
  <si>
    <t>{"created":false,"errors":[],"id":"0064T00000AjjhiQAB","name":"Ignitus Networks _2022","success":true}</t>
  </si>
  <si>
    <t>{"created":false,"errors":[],"id":"0064T00000AjknhQAB","name":"Bowr _2022","success":true}</t>
  </si>
  <si>
    <t>{"created":false,"errors":[],"id":"0064T00000Ajj0YQAR","name":"GiftE _2022","success":true}</t>
  </si>
  <si>
    <t>{"created":false,"errors":[],"id":"0064T00000AjlEsQAJ","name":"Etimo  _2022","success":true}</t>
  </si>
  <si>
    <t>{"created":false,"errors":[],"id":"0064T00000AjnkCQAR","name":"Pointz Mobility, Inc. _2022","success":true}</t>
  </si>
  <si>
    <t>{"created":false,"errors":[],"id":"0064T00000AjohnQAB","name":"MeNow _2022","success":true}</t>
  </si>
  <si>
    <t>{"created":false,"errors":[],"id":"0064T00000AjoIsQAJ","name":"PulsOps Inc _2022","success":true}</t>
  </si>
  <si>
    <t>{"created":false,"errors":[],"id":"0064T00000AjoORQAZ","name":"gogoBus _2022","success":true}</t>
  </si>
  <si>
    <t>{"created":false,"errors":[],"id":"0064T00000AjoVwQAJ","name":"Haven Now, LLC _2022","success":true}</t>
  </si>
  <si>
    <t>{"created":false,"errors":[],"id":"0064T00000AjnqtQAB","name":"BuildIt _2022","success":true}</t>
  </si>
  <si>
    <t>{"created":false,"errors":[],"id":"0064T00000AjoTbQAJ","name":"Mihuru _2022","success":true}</t>
  </si>
  <si>
    <t>{"created":false,"errors":[],"id":"0064T00000AjmzpQAB","name":"Badili Africa _2022","success":true}</t>
  </si>
  <si>
    <t>{"created":false,"errors":[],"id":"0064T00000AjosHQAR","name":"Tawazon inc _2022","success":true}</t>
  </si>
  <si>
    <t>{"created":false,"errors":[],"id":"0064T00000AjpQeQAJ","name":"echoscope _2022","success":true}</t>
  </si>
  <si>
    <t>{"created":false,"errors":[],"id":"0064T00000AjoJCQAZ","name":"Everewear, LLC _2022","success":true}</t>
  </si>
  <si>
    <t>{"created":false,"errors":[],"id":"0064T00000AjfVzQAJ","name":"Cognitive IVF s.r.o. _2022","success":true}</t>
  </si>
  <si>
    <t>{"created":false,"errors":[],"id":"0064T00000AjkBnQAJ","name":"Sebb Inc _2022","success":true}</t>
  </si>
  <si>
    <t>{"created":false,"errors":[],"id":"0064T00000AjnfbQAB","name":"WEARFITS _2022","success":true}</t>
  </si>
  <si>
    <t>{"created":false,"errors":[],"id":"0064T00000AjntTQAR","name":"Finuprise _2022","success":true}</t>
  </si>
  <si>
    <t>{"created":false,"errors":[],"id":"0064T00000AjM6LQAV","name":"IN-HOUSE _2022","success":true}</t>
  </si>
  <si>
    <t>{"created":false,"errors":[],"id":"0064T00000AjnmXQAR","name":"FynCom _2022","success":true}</t>
  </si>
  <si>
    <t>{"created":false,"errors":[],"id":"0064T00000AjiADQAZ","name":"Boxes.im Inc dba Boxes Email _2022","success":true}</t>
  </si>
  <si>
    <t>{"created":false,"errors":[],"id":"0064T00000AjtSeQAJ","name":"ChoroPharma, LLC _2022","success":true}</t>
  </si>
  <si>
    <t>{"created":false,"errors":[],"id":"0064T00000AjkpYQAR","name":"Studentocity _2022","success":true}</t>
  </si>
  <si>
    <t>{"created":false,"errors":[],"id":"0064T00000BLnGkQAL","name":"Perfect Color Ventures LLC _2022","success":true}</t>
  </si>
  <si>
    <t>{"created":false,"errors":[],"id":"0064T00000AjoFjQAJ","name":"Dista Inc. _2022","success":true}</t>
  </si>
  <si>
    <t>{"created":false,"errors":[],"id":"0064T00000AjndLQAR","name":"To be determined (TBD)  _2022","success":true}</t>
  </si>
  <si>
    <t>{"created":false,"errors":[],"id":"0064T00000Ajob1QAB","name":"CFIT _2022","success":true}</t>
  </si>
  <si>
    <t>{"created":false,"errors":[],"id":"0064T00000Ajnw8QAB","name":"POMdesk _2022","success":true}</t>
  </si>
  <si>
    <t>{"created":false,"errors":[],"id":"0064T00000AjndDQAR","name":"Syntience Inc _2022","success":true}</t>
  </si>
  <si>
    <t>{"created":false,"errors":[],"id":"0064T00000AjnoTQAR","name":"Monetized _2022","success":true}</t>
  </si>
  <si>
    <t>{"created":false,"errors":[],"id":"0064T00000Ajq69QAB","name":"Kara _2022","success":true}</t>
  </si>
  <si>
    <t>{"created":false,"errors":[],"id":"0064T00000AjfcWQAR","name":"Ndal Mfg Inc., Biofilm Medical _2022","success":true}</t>
  </si>
  <si>
    <t>{"created":false,"errors":[],"id":"0064T00000Ajqd8QAB","name":"sustaident _2022","success":true}</t>
  </si>
  <si>
    <t>{"created":false,"errors":[],"id":"0064T00000AjblTQAR","name":"EydisBio, Inc. _2022","success":true}</t>
  </si>
  <si>
    <t>{"created":false,"errors":[],"id":"0064T00000AjeQyQAJ","name":"Portcast _2022","success":true}</t>
  </si>
  <si>
    <t>{"created":false,"errors":[],"id":"0064T00000AjpslQAB","name":"Sachi Bioworks Inc _2022","success":true}</t>
  </si>
  <si>
    <t>{"created":false,"errors":[],"id":"0064T00000AjouIQAR","name":"VentriFlo, Inc. _2022","success":true}</t>
  </si>
  <si>
    <t>{"created":false,"errors":[],"id":"0064T00000Ajp6oQAB","name":"AiRANACULUS _2022","success":true}</t>
  </si>
  <si>
    <t>{"created":false,"errors":[],"id":"0064T00000AjkNeQAJ","name":"iQure Pharma Inc _2022","success":true}</t>
  </si>
  <si>
    <t>{"created":false,"errors":[],"id":"0064T00000Ajp7SQAR","name":"InvivoSciences, Inc. _2022","success":true}</t>
  </si>
  <si>
    <t>{"created":false,"errors":[],"id":"0064T00000Ajp0uQAB","name":"LEVEL 42 AI, INC _2022","success":true}</t>
  </si>
  <si>
    <t>{"created":false,"errors":[],"id":"0064T00000AZTv1QAH","name":"LiveCare _2022","success":true}</t>
  </si>
  <si>
    <t>{"created":false,"errors":[],"id":"0064T00000AjfnUQAR","name":"QurCan Therapeutics Inc. _2022","success":true}</t>
  </si>
  <si>
    <t>{"created":false,"errors":[],"id":"0064T00000AjopDQAR","name":"Enteligent Inc. _2022","success":true}</t>
  </si>
  <si>
    <t>{"created":false,"errors":[],"id":"0064T00000BMkH8QAL","name":"Metalmark Innovations PBC _2022","success":true}</t>
  </si>
  <si>
    <t>{"created":false,"errors":[],"id":"0064T00000Ajc12QAB","name":"LEVI Diagnostics, Inc. _2022","success":true}</t>
  </si>
  <si>
    <t>{"created":false,"errors":[],"id":"0064T00000AjprnQAB","name":"Panakeia Technolgies Ltd _2022","success":true}</t>
  </si>
  <si>
    <t>{"created":false,"errors":[],"id":"0064T00000Ajq6nQAB","name":"Vyv _2022","success":true}</t>
  </si>
  <si>
    <t>{"created":false,"errors":[],"id":"0064T00000Ajq98QAB","name":"Abram Scientific, Inc. _2022","success":true}</t>
  </si>
  <si>
    <t>{"created":false,"errors":[],"id":"0064T00000AjonWQAR","name":"Beowulf Network Inc. _2022","success":true}</t>
  </si>
  <si>
    <t>{"created":false,"errors":[],"id":"0064T00000Ajp0GQAR","name":"Inso Biosciences Inc. _2022","success":true}</t>
  </si>
  <si>
    <t>{"created":false,"errors":[],"id":"0064T00000BLzGKQA1","name":"Artificial Intelligence Imaging Sensors (AiimSense Inc.) _2022","success":true}</t>
  </si>
  <si>
    <t>{"created":false,"errors":[],"id":"0064T00000BLuIKQA1","name":"MindRank _2022","success":true}</t>
  </si>
  <si>
    <t>{"created":false,"errors":[],"id":"0064T00000AjpFbQAJ","name":"inHEART _2022","success":true}</t>
  </si>
  <si>
    <t>{"created":false,"errors":[],"id":"0064T00000BLhthQAD","name":"PRP Concepts, Inc. _2022","success":true}</t>
  </si>
  <si>
    <t>{"created":false,"errors":[],"id":"0064T00000AjmkQQAR","name":"LISA Insurtech _2022","success":true}</t>
  </si>
  <si>
    <t>{"created":false,"errors":[],"id":"0064T00000AjmWWQAZ","name":"Semeris _2022","success":true}</t>
  </si>
  <si>
    <t>{"created":false,"errors":[],"id":"0064T00000AjbUcQAJ","name":"EndObetes _2022","success":true}</t>
  </si>
  <si>
    <t>{"created":false,"errors":[],"id":"0064T00000AjoNxQAJ","name":"TrustPoint, Inc. _2022","success":true}</t>
  </si>
  <si>
    <t>{"created":false,"errors":[],"id":"0064T00000AjpyAQAR","name":"Empo Health _2022","success":true}</t>
  </si>
  <si>
    <t>{"created":false,"errors":[],"id":"0064T00000Ajq7bQAB","name":"Nano RED _2022","success":true}</t>
  </si>
  <si>
    <t>{"created":false,"errors":[],"id":"0064T00000AjouNQAR","name":"Deriskly Limited _2022","success":true}</t>
  </si>
  <si>
    <t>{"created":false,"errors":[],"id":"0064T00000BM0AcQAL","name":"Rimble _2022","success":true}</t>
  </si>
  <si>
    <t>{"created":false,"errors":[],"id":"0064T00000BLyeaQAD","name":"WiPowerOne _2022","success":true}</t>
  </si>
  <si>
    <t>{"created":false,"errors":[],"id":"0064T00000AZY8hQAH","name":"INION LT _2022","success":true}</t>
  </si>
  <si>
    <t>{"created":false,"errors":[],"id":"0064T00000AjehBQAR","name":"Coinrule _2022","success":true}</t>
  </si>
  <si>
    <t>{"created":false,"errors":[],"id":"0064T00000AjomOQAR","name":"Pulsenics _2022","success":true}</t>
  </si>
  <si>
    <t>{"created":false,"errors":[],"id":"0064T00000AjqA1QAJ","name":"Cell Harbor _2022","success":true}</t>
  </si>
  <si>
    <t>{"created":false,"errors":[],"id":"0064T00000AjnQWQAZ","name":"Rocket VR Health _2022","success":true}</t>
  </si>
  <si>
    <t>{"created":false,"errors":[],"id":"0064T00000AjpOnQAJ","name":"Sentinel Occupational Safety (Sentinel) _2022","success":true}</t>
  </si>
  <si>
    <t>{"created":false,"errors":[],"id":"0064T00000Ajpv6QAB","name":"PeroLED _2022","success":true}</t>
  </si>
  <si>
    <t>{"created":false,"errors":[],"id":"0064T00000BM1C5QAL","name":"Kyomei _2022","success":true}</t>
  </si>
  <si>
    <t>{"created":false,"errors":[],"id":"0064T00000AjrbOQAR","name":"Sensible Biotechnologies _2022","success":true}</t>
  </si>
  <si>
    <t>{"created":false,"errors":[],"id":"0064T00000AjiL6QAJ","name":"Allergy Butler _2022","success":true}</t>
  </si>
  <si>
    <t>{"created":false,"errors":[],"id":"0064T00000BMKMQQA5","name":"Lodos Theranostics _2022","success":true}</t>
  </si>
  <si>
    <t>{"created":false,"errors":[],"id":"0064T00000AjeztQAB","name":"Kitchenita _2022","success":true}</t>
  </si>
  <si>
    <t>{"created":false,"errors":[],"id":"0064T00000AjeuPQAR","name":"Fortu Wealth _2022","success":true}</t>
  </si>
  <si>
    <t>{"created":false,"errors":[],"id":"0064T00000AjhbNQAR","name":"Mindeye Solutions Pvt Ltd _2022","success":true}</t>
  </si>
  <si>
    <t>{"created":false,"errors":[],"id":"0064T00000AjflEQAR","name":"Metanovas Biotech _2022","success":true}</t>
  </si>
  <si>
    <t>{"created":false,"errors":[],"id":"0064T00000AjqxgQAB","name":"IM SYSTEM Co. Ltd. _2022","success":true}</t>
  </si>
  <si>
    <t>{"created":false,"errors":[],"id":"0064T00000AjnzNQAR","name":"BeneTalk _2022","success":true}</t>
  </si>
  <si>
    <t>{"created":false,"errors":[],"id":"0064T00000Ajn8NQAR","name":"CytoRecovery, Inc. _2022","success":true}</t>
  </si>
  <si>
    <t>{"created":false,"errors":[],"id":"0064T00000BLsloQAD","name":"Drona Pay Private Ltd _2022","success":true}</t>
  </si>
  <si>
    <t>{"created":false,"errors":[],"id":"0064T00000AjpHcQAJ","name":"Rivet _2022","success":true}</t>
  </si>
  <si>
    <t>{"created":false,"errors":[],"id":"0064T00000AjT0vQAF","name":"Mobility Partners Inc. _2022","success":true}</t>
  </si>
  <si>
    <t>{"created":false,"errors":[],"id":"0064T00000Aje2IQAR","name":"Snap Vision Ltd _2022","success":true}</t>
  </si>
  <si>
    <t>{"created":false,"errors":[],"id":"0064T00000AjdwUQAR","name":"MRPeasy _2022","success":true}</t>
  </si>
  <si>
    <t>{"created":false,"errors":[],"id":"0064T00000AjdXCQAZ","name":"Kandola Network _2022","success":true}</t>
  </si>
  <si>
    <t>{"created":false,"errors":[],"id":"0064T00000AjkdNQAR","name":"Skydo Inc. _2022","success":true}</t>
  </si>
  <si>
    <t>{"created":false,"errors":[],"id":"0064T00000AjkiIQAR","name":"Advisor.com _2022","success":true}</t>
  </si>
  <si>
    <t>{"created":false,"errors":[],"id":"0064T00000Ajkg7QAB","name":"Her Impact _2022","success":true}</t>
  </si>
  <si>
    <t>{"created":false,"errors":[],"id":"0064T00000Ajo4HQAR","name":"Haylon Technologies _2022","success":true}</t>
  </si>
  <si>
    <t>{"created":false,"errors":[],"id":"0064T00000AjoyZQAR","name":"Gigaforce Inc. _2022","success":true}</t>
  </si>
  <si>
    <t>{"created":false,"errors":[],"id":"0064T00000AjoMLQAZ","name":"SkySquirrel Technologies (dba VineView) _2022","success":true}</t>
  </si>
  <si>
    <t>{"created":false,"errors":[],"id":"0064T00000AjqCCQAZ","name":"Zoomrin _2022","success":true}</t>
  </si>
  <si>
    <t>{"created":false,"errors":[],"id":"0064T00000AjprYQAR","name":"Providentia Technologies _2022","success":true}</t>
  </si>
  <si>
    <t>{"created":false,"errors":[],"id":"0064T00000BM1F1QAL","name":"Synaps Dx _2022","success":true}</t>
  </si>
  <si>
    <t>{"created":false,"errors":[],"id":"0064T00000BLyyLQAT","name":"KYTE DYNAMICS, INC. d/b/a KYTE _2022","success":true}</t>
  </si>
  <si>
    <t>{"created":false,"errors":[],"id":"0064T00000AjmvyQAB","name":"Akeso Therapeutics, Inc. _2022","success":true}</t>
  </si>
  <si>
    <t>{"created":false,"errors":[],"id":"0064T00000AjpKgQAJ","name":"Hyfi _2022","success":true}</t>
  </si>
  <si>
    <t>{"created":false,"errors":[],"id":"0064T00000Aje3fQAB","name":"Acquire Invest _2022","success":true}</t>
  </si>
  <si>
    <t>{"created":false,"errors":[],"id":"0064T00000AjfjSQAR","name":"Adroit Surgical _2022","success":true}</t>
  </si>
  <si>
    <t>{"created":false,"errors":[],"id":"0064T00000Ajhy7QAB","name":"GrowSquares _2022","success":true}</t>
  </si>
  <si>
    <t>{"created":false,"errors":[],"id":"0064T00000Ajg0xQAB","name":"MultiOmic Health Limited _2022","success":true}</t>
  </si>
  <si>
    <t>{"created":false,"errors":[],"id":"0064T00000AjfmHQAR","name":"Constellation4 Health _2022","success":true}</t>
  </si>
  <si>
    <t>{"created":false,"errors":[],"id":"0064T00000AjfsPQAR","name":"Novel Farms _2022","success":true}</t>
  </si>
  <si>
    <t>{"created":false,"errors":[],"id":"0064T00000AjmvYQAR","name":"Neurometry _2022","success":true}</t>
  </si>
  <si>
    <t>{"created":false,"errors":[],"id":"0064T00000AjpS6QAJ","name":"StockGro _2022","success":true}</t>
  </si>
  <si>
    <t>{"created":false,"errors":[],"id":"0064T00000Ajpu3QAB","name":"Marine Kinetic Energy Inc. _2022","success":true}</t>
  </si>
  <si>
    <t>{"created":false,"errors":[],"id":"0064T00000AjmwqQAB","name":"PepperMintClub _2022","success":true}</t>
  </si>
  <si>
    <t>{"created":false,"errors":[],"id":"0064T00000Ajo0UQAR","name":"Blazar SAS _2022","success":true}</t>
  </si>
  <si>
    <t>{"created":false,"errors":[],"id":"0064T00000AjoLwQAJ","name":"Briya  _2022","success":true}</t>
  </si>
  <si>
    <t>{"created":false,"errors":[],"id":"0064T00000AjoZ5QAJ","name":"Agtools Inc _2022","success":true}</t>
  </si>
  <si>
    <t>{"created":false,"errors":[],"id":"0064T00000AjoejQAB","name":"Social-Impact Innovations Pvt. Ltd. _2022","success":true}</t>
  </si>
  <si>
    <t>{"created":false,"errors":[],"id":"0064T00000AjnXDQAZ","name":"MedGene Therapeutics _2022","success":true}</t>
  </si>
  <si>
    <t>{"created":false,"errors":[],"id":"0064T00000AjoiqQAB","name":"AssayMe _2022","success":true}</t>
  </si>
  <si>
    <t>{"created":false,"errors":[],"id":"0064T00000Ajol6QAB","name":"Dealcode GmbH _2022","success":true}</t>
  </si>
  <si>
    <t>{"created":false,"errors":[],"id":"0064T00000AjobzQAB","name":"Proxgy _2022","success":true}</t>
  </si>
  <si>
    <t>{"created":false,"errors":[],"id":"0064T00000AjovGQAR","name":"PB&amp;B _2022","success":true}</t>
  </si>
  <si>
    <t>{"created":false,"errors":[],"id":"0064T00000AjpV0QAJ","name":"Zeer, dba _2022","success":true}</t>
  </si>
  <si>
    <t>{"created":false,"errors":[],"id":"0064T00000AjqEmQAJ","name":"Sayenza Biosciences _2022","success":true}</t>
  </si>
  <si>
    <t>{"created":false,"errors":[],"id":"0064T00000BLz1FQAT","name":"Intelligent Technology Co., Ltd _2022","success":true}</t>
  </si>
  <si>
    <t>{"created":false,"errors":[],"id":"0064T00000BM6MYQA1","name":"AirMid Critical Care Products, Inc. _2022","success":true}</t>
  </si>
  <si>
    <t>{"created":false,"errors":[],"id":"0064T00000Ajp3jQAB","name":"Sipple Care Inc. _2022","success":true}</t>
  </si>
  <si>
    <t>{"created":false,"errors":[],"id":"0064T00000AjiJ5QAJ","name":"Hypercell Technologies, Inc _2022","success":true}</t>
  </si>
  <si>
    <t>{"created":false,"errors":[],"id":"0064T00000AjmHvQAJ","name":"Endeema _2022","success":true}</t>
  </si>
  <si>
    <t>{"created":false,"errors":[],"id":"0064T00000Ajf7xQAB","name":"Sleuth _2022","success":true}</t>
  </si>
  <si>
    <t>{"created":false,"errors":[],"id":"0064T00000AjeCwQAJ","name":"Fastagger Inc _2022","success":true}</t>
  </si>
  <si>
    <t>{"created":false,"errors":[],"id":"0064T00000AjbtXQAR","name":"Unlocked Labs Inc.  _2022","success":true}</t>
  </si>
  <si>
    <t>{"created":false,"errors":[],"id":"0064T00000AjhbXQAR","name":"Eoliann _2022","success":true}</t>
  </si>
  <si>
    <t>{"created":false,"errors":[],"id":"0064T00000AjljgQAB","name":"REX Property Holdings Corp _2022","success":true}</t>
  </si>
  <si>
    <t>{"created":false,"errors":[],"id":"0064T00000AjoUeQAJ","name":"Shortcut Robotics, Inc. _2022","success":true}</t>
  </si>
  <si>
    <t>{"created":false,"errors":[],"id":"0064T00000AjoeeQAB","name":"Expertwired _2022","success":true}</t>
  </si>
  <si>
    <t>{"created":false,"errors":[],"id":"0064T00000AjpzrQAB","name":"Neuropair, Inc. _2022","success":true}</t>
  </si>
  <si>
    <t>{"created":false,"errors":[],"id":"0064T00000AjoVXQAZ","name":"Wenu Work _2022","success":true}</t>
  </si>
  <si>
    <t>{"created":false,"errors":[],"id":"0064T00000AjoSEQAZ","name":"Bairitone Health Inc _2022","success":true}</t>
  </si>
  <si>
    <t>{"created":false,"errors":[],"id":"0064T00000AjoXEQAZ","name":"Stonehouse Innovations, LLC _2022","success":true}</t>
  </si>
  <si>
    <t>{"created":false,"errors":[],"id":"0064T00000AjorFQAR","name":"Purency _2022","success":true}</t>
  </si>
  <si>
    <t>{"created":false,"errors":[],"id":"0064T00000AjpLoQAJ","name":"Blue Studios.io _2022","success":true}</t>
  </si>
  <si>
    <t>{"created":false,"errors":[],"id":"0064T00000AjpRNQAZ","name":"EcoEdge Data _2022","success":true}</t>
  </si>
  <si>
    <t>{"created":false,"errors":[],"id":"0064T00000BM1AOQA1","name":"Solais Ventures LLC _2022","success":true}</t>
  </si>
  <si>
    <t>{"created":false,"errors":[],"id":"0064T00000BLxxRQAT","name":"Vyir Inc _2022","success":true}</t>
  </si>
  <si>
    <t>{"created":false,"errors":[],"id":"0064T00000AjpwxQAB","name":"TerMir, Inc. _2022","success":true}</t>
  </si>
  <si>
    <t>{"created":false,"errors":[],"id":"0064T00000AjnRKQAZ","name":"Gaia AI _2022","success":true}</t>
  </si>
  <si>
    <t>{"created":false,"errors":[],"id":"0064T00000AjpibQAB","name":"Insu Health Design, Inc _2022","success":true}</t>
  </si>
  <si>
    <t>{"created":false,"errors":[],"id":"0064T00000BLyzsQAD","name":"Tau Drones _2022","success":true}</t>
  </si>
  <si>
    <t>{"created":false,"errors":[],"id":"0064T00000Aji1pQAB","name":"Melior AI, Inc. _2022","success":true}</t>
  </si>
  <si>
    <t>{"created":false,"errors":[],"id":"0064T00000AjPOmQAN","name":"Verity Fitech _2022","success":true}</t>
  </si>
  <si>
    <t>{"created":false,"errors":[],"id":"0064T00000AjdXkQAJ","name":"DIGITAL CENTURY LIMITED _2022","success":true}</t>
  </si>
  <si>
    <t>{"created":false,"errors":[],"id":"0064T00000AjdnRQAR","name":"Boto _2022","success":true}</t>
  </si>
  <si>
    <t>{"created":false,"errors":[],"id":"0064T00000AjhVyQAJ","name":"4A Financial Technology Private Limited _2022","success":true}</t>
  </si>
  <si>
    <t>{"created":false,"errors":[],"id":"0064T00000AjlChQAJ","name":"enspired _2022","success":true}</t>
  </si>
  <si>
    <t>{"created":false,"errors":[],"id":"0064T00000AjoPoQAJ","name":"AdaSwap _2022","success":true}</t>
  </si>
  <si>
    <t>{"created":false,"errors":[],"id":"0064T00000AjolVQAR","name":"Apphive _2022","success":true}</t>
  </si>
  <si>
    <t>{"created":false,"errors":[],"id":"0064T00000Ajp8BQAR","name":"Plethy _2022","success":true}</t>
  </si>
  <si>
    <t>{"created":false,"errors":[],"id":"0064T00000AjoxqQAB","name":"Silicon Assurance  _2022","success":true}</t>
  </si>
  <si>
    <t>{"created":false,"errors":[],"id":"0064T00000Ajp3eQAB","name":"Navierre _2022","success":true}</t>
  </si>
  <si>
    <t>{"created":false,"errors":[],"id":"0064T00000BLydmQAD","name":"Walkspan _2022","success":true}</t>
  </si>
  <si>
    <t>{"created":false,"errors":[],"id":"0064T00000BLzIQQA1","name":"MiFood Tech _2022","success":true}</t>
  </si>
  <si>
    <t>{"created":false,"errors":[],"id":"0064T00000BLxpDQAT","name":"Tekuma _2022","success":true}</t>
  </si>
  <si>
    <t>{"created":false,"errors":[],"id":"0064T00000AjrIgQAJ","name":"Langoo _2022","success":true}</t>
  </si>
  <si>
    <t>{"created":false,"errors":[],"id":"0064T00000BMJM1QAP","name":"Innov2Learn _2022","success":true}</t>
  </si>
  <si>
    <t>{"created":false,"errors":[],"id":"0064T00000AjfocQAB","name":"ClinConnect _2022","success":true}</t>
  </si>
  <si>
    <t>{"created":false,"errors":[],"id":"0064T00000AjgP4QAJ","name":"manot _2022","success":true}</t>
  </si>
  <si>
    <t>{"created":false,"errors":[],"id":"0064T00000AjkM7QAJ","name":"Kima _2022","success":true}</t>
  </si>
  <si>
    <t>{"created":false,"errors":[],"id":"0064T00000AjpLPQAZ","name":"Dandelion Health, Inc. _2022","success":true}</t>
  </si>
  <si>
    <t>{"created":false,"errors":[],"id":"0064T00000AjqHMQAZ","name":"Cruz Street LLC _2022","success":true}</t>
  </si>
  <si>
    <t>{"created":false,"errors":[],"id":"0064T00000BLxSnQAL","name":"Anatomech Private Limited _2022","success":true}</t>
  </si>
  <si>
    <t>{"created":false,"errors":[],"id":"0064T00000AjkSeQAJ","name":"Avie AI _2022","success":true}</t>
  </si>
  <si>
    <t>{"created":false,"errors":[],"id":"0064T00000AjpEsQAJ","name":"WERI _2022","success":true}</t>
  </si>
  <si>
    <t>{"created":false,"errors":[],"id":"0064T00000AjpxlQAB","name":"HeartHealth Technologies  _2022","success":true}</t>
  </si>
  <si>
    <t>{"created":false,"errors":[],"id":"0064T00000AjmgOQAR","name":"PraxiLabs _2022","success":true}</t>
  </si>
  <si>
    <t>{"created":false,"errors":[],"id":"0064T00000Ajk19QAB","name":"Podi.ai _2022","success":true}</t>
  </si>
  <si>
    <t>{"created":false,"errors":[],"id":"0064T00000AjosWQAR","name":"bringy _2022","success":true}</t>
  </si>
  <si>
    <t>{"created":false,"errors":[],"id":"0064T00000AjooZQAR","name":"CShell Health _2022","success":true}</t>
  </si>
  <si>
    <t>{"created":false,"errors":[],"id":"0064T00000AjpLZQAZ","name":"Alloy Software GmbH _2022","success":true}</t>
  </si>
  <si>
    <t>{"created":false,"errors":[],"id":"0064T00000AjpPvQAJ","name":"Cromatic _2022","success":true}</t>
  </si>
  <si>
    <t>{"created":false,"errors":[],"id":"0064T00000BLyHRQA1","name":"TRAFFpass _2022","success":true}</t>
  </si>
  <si>
    <t>{"created":false,"errors":[],"id":"0064T00000AjpL5QAJ","name":"Flow Recovery Limited _2022","success":true}</t>
  </si>
  <si>
    <t>{"created":false,"errors":[],"id":"0064T00000BM1BxQAL","name":"AgriVijay _2022","success":true}</t>
  </si>
  <si>
    <t>{"created":false,"errors":[],"id":"0064T00000AZXt3QAH","name":"Spiritory GmbH _2022","success":true}</t>
  </si>
  <si>
    <t>{"created":false,"errors":[],"id":"0064T00000AjiSCQAZ","name":"Pyrojas Inc. _2022","success":true}</t>
  </si>
  <si>
    <t>{"created":false,"errors":[],"id":"0064T00000BMJEMQA5","name":"Yacht Labs Inc. _2022","success":true}</t>
  </si>
  <si>
    <t>{"created":false,"errors":[],"id":"0064T00000Ajm6JQAR","name":"Acciopay Pte. Ltd. _2022","success":true}</t>
  </si>
  <si>
    <t>{"created":false,"errors":[],"id":"0064T00000AjmH7QAJ","name":"Packworks _2022","success":true}</t>
  </si>
  <si>
    <t>{"created":false,"errors":[],"id":"0064T00000AjmOhQAJ","name":"Street2school _2022","success":true}</t>
  </si>
  <si>
    <t>{"created":false,"errors":[],"id":"0064T00000AjkdXQAR","name":"DineUps  _2022","success":true}</t>
  </si>
  <si>
    <t>{"created":false,"errors":[],"id":"0064T00000Ajk8AQAR","name":"Dana Fintech Limited _2022","success":true}</t>
  </si>
  <si>
    <t>{"created":false,"errors":[],"id":"0064T00000AjloxQAB","name":"Tanél Heatlh _2022","success":true}</t>
  </si>
  <si>
    <t>{"created":false,"errors":[],"id":"0064T00000AjmuQQAR","name":"Vyro Pty Ltd _2022","success":true}</t>
  </si>
  <si>
    <t>{"created":false,"errors":[],"id":"0064T00000Ajor9QAB","name":"Kresko RNAtech _2022","success":true}</t>
  </si>
  <si>
    <t>{"created":false,"errors":[],"id":"0064T00000AjnuqQAB","name":"Being Vakil _2022","success":true}</t>
  </si>
  <si>
    <t>{"created":false,"errors":[],"id":"0064T00000AjpyPQAR","name":"ASD.ai LLC _2022","success":true}</t>
  </si>
  <si>
    <t>{"created":false,"errors":[],"id":"0064T00000Ajo3dQAB","name":"Aliform Inc. _2022","success":true}</t>
  </si>
  <si>
    <t>{"created":false,"errors":[],"id":"0064T00000AjorsQAB","name":"MotivateU _2022","success":true}</t>
  </si>
  <si>
    <t>{"created":false,"errors":[],"id":"0064T00000AjoLSQAZ","name":"Cfromatik Parallel, LDA _2022","success":true}</t>
  </si>
  <si>
    <t>{"created":false,"errors":[],"id":"0064T00000AjpR8QAJ","name":"Lineage Medical, Inc. _2022","success":true}</t>
  </si>
  <si>
    <t>{"created":false,"errors":[],"id":"0064T00000Ajp4hQAB","name":"Ultrasonic Medical Mapping, Inc. _2022","success":true}</t>
  </si>
  <si>
    <t>{"created":false,"errors":[],"id":"0064T00000AjnnkQAB","name":"Axaitech _2022","success":true}</t>
  </si>
  <si>
    <t>{"created":false,"errors":[],"id":"0064T00000AjmdAQAR","name":"FINWEDGE _2022","success":true}</t>
  </si>
  <si>
    <t>{"created":false,"errors":[],"id":"0064T00000AjpO9QAJ","name":"Auriga Interactive Studios LLC _2022","success":true}</t>
  </si>
  <si>
    <t>{"created":false,"errors":[],"id":"0064T00000AjorTQAR","name":"Boaz Bikes Inc _2022","success":true}</t>
  </si>
  <si>
    <t>{"created":false,"errors":[],"id":"0064T00000AjlhGQAR","name":"Say Ha _2022","success":true}</t>
  </si>
  <si>
    <t>{"created":false,"errors":[],"id":"0064T00000AjljCQAR","name":"Modernly Nerdish  _2022","success":true}</t>
  </si>
  <si>
    <t>{"created":false,"errors":[],"id":"0064T00000AjofmQAB","name":"CLICK DEAL BUY!  _2022","success":true}</t>
  </si>
  <si>
    <t>{"created":false,"errors":[],"id":"0064T00000AjojuQAB","name":"HouseStay inc _2022","success":true}</t>
  </si>
  <si>
    <t>{"created":false,"errors":[],"id":"0064T00000AjmwvQAB","name":"Rentastic _2022","success":true}</t>
  </si>
  <si>
    <t>{"created":false,"errors":[],"id":"0064T00000AjmbsQAB","name":"MUST HAD _2022","success":true}</t>
  </si>
  <si>
    <t>{"created":false,"errors":[],"id":"0064T00000AjeXuQAJ","name":"MyArtVisit _2022","success":true}</t>
  </si>
  <si>
    <t>{"created":false,"errors":[],"id":"0064T00000AjleHQAR","name":"MAE  _2022","success":true}</t>
  </si>
  <si>
    <t>{"created":false,"errors":[],"id":"0064T00000AjpG0QAJ","name":"Blockant.io _2022","success":true}</t>
  </si>
  <si>
    <t>{"created":false,"errors":[],"id":"0064T00000AjpAqQAJ","name":"alpha.one _2022","success":true}</t>
  </si>
  <si>
    <t>{"created":false,"errors":[],"id":"0064T00000BLz0MQAT","name":"Nutrarte LLC, Nutrarte SAS _2022","success":true}</t>
  </si>
  <si>
    <t>{"created":false,"errors":[],"id":"0064T00000AjkyBQAR","name":"Sprayify (formerly known as Coatify) _2022","success":true}</t>
  </si>
  <si>
    <t>{"created":false,"errors":[],"id":"0064T00000AjgPiQAJ","name":"CellChorus _2022","success":true}</t>
  </si>
  <si>
    <t>{"created":false,"errors":[],"id":"0064T00000AjfiPQAR","name":"Preteckt Inc _2022","success":true}</t>
  </si>
  <si>
    <t>{"created":false,"errors":[],"id":"0064T00000Ajqf4QAB","name":"Arpalus _2022","success":true}</t>
  </si>
  <si>
    <t>{"created":false,"errors":[],"id":"0064T00000BLjHkQAL","name":"UbiquiTx, Inc. _2022","success":true}</t>
  </si>
  <si>
    <t>{"created":false,"errors":[],"id":"0064T00000AjpzcQAB","name":"ChargeNet Holdings _2022","success":true}</t>
  </si>
  <si>
    <t>{"created":false,"errors":[],"id":"0064T00000AjqF1QAJ","name":"XGenomes Corp. _2022","success":true}</t>
  </si>
  <si>
    <t>{"created":false,"errors":[],"id":"0064T00000AjqALQAZ","name":"Droice Labs _2022","success":true}</t>
  </si>
  <si>
    <t>{"created":false,"errors":[],"id":"0064T00000BM1WAQA1","name":"Conatix _2022","success":true}</t>
  </si>
  <si>
    <t>{"created":false,"errors":[],"id":"0064T00000AjkcZQAR","name":"Encora Therapeutics _2022","success":true}</t>
  </si>
  <si>
    <t>{"created":false,"errors":[],"id":"0064T00000AjoVIQAZ","name":"Narrativa _2022","success":true}</t>
  </si>
  <si>
    <t>{"created":false,"errors":[],"id":"0064T00000BM6MKQA1","name":"Arterez, Inc. _2022","success":true}</t>
  </si>
  <si>
    <t>{"created":false,"errors":[],"id":"0064T00000BLnukQAD","name":"Violett _2022","success":true}</t>
  </si>
  <si>
    <t>{"created":false,"errors":[],"id":"0064T00000BM6MJQA1","name":"NTherma Corporation _2022","success":true}</t>
  </si>
  <si>
    <t>{"created":false,"errors":[],"id":"0064T00000BMOC8QAP","name":"INAEDIS _2022","success":true}</t>
  </si>
  <si>
    <t>{"created":false,"errors":[],"id":"0064T00000AjmMHQAZ","name":"THYROSCOPE INC. _2022","success":true}</t>
  </si>
  <si>
    <t>{"created":false,"errors":[],"id":"0064T00000AjtUBQAZ","name":"Dteckt, Inc. _2022","success":true}</t>
  </si>
  <si>
    <t>{"created":false,"errors":[],"id":"0064T00000AjkvMQAR","name":"Stanford University Medical Center _2022","success":true}</t>
  </si>
  <si>
    <t>{"created":false,"errors":[],"id":"0064T00000AZmhuQAD","name":"MindTrace _2022","success":true}</t>
  </si>
  <si>
    <t>{"created":false,"errors":[],"id":"0064T00000Ajq85QAB","name":"Vici Robotics _2022","success":true}</t>
  </si>
  <si>
    <t>{"created":false,"errors":[],"id":"0064T00000AjqR2QAJ","name":"Laxis, Inc. _2022","success":true}</t>
  </si>
  <si>
    <t>{"created":false,"errors":[],"id":"0064T00000BM1B9QAL","name":"Evercity _2022","success":true}</t>
  </si>
  <si>
    <t>{"created":false,"errors":[],"id":"0064T00000BM2E2QAL","name":"Bureau, Inc. _2022","success":true}</t>
  </si>
  <si>
    <t>{"created":false,"errors":[],"id":"0064T00000BLsagQAD","name":"FR0NTIER X _2022","success":true}</t>
  </si>
  <si>
    <t>{"created":false,"errors":[],"id":"0064T00000BLviiQAD","name":"AssetVault Limited _2022","success":true}</t>
  </si>
  <si>
    <t>{"created":false,"errors":[],"id":"0064T00000Ajl2cQAB","name":"Chimera Therapeutics LLC _2022","success":true}</t>
  </si>
  <si>
    <t>{"created":false,"errors":[],"id":"0064T00000AZh0AQAT","name":"Efani Secure Mobile _2022","success":true}</t>
  </si>
  <si>
    <t>{"created":false,"errors":[],"id":"0064T00000AZiJmQAL","name":"Seek AI Inc. _2022","success":true}</t>
  </si>
  <si>
    <t>{"created":false,"errors":[],"id":"0064T00000AjujHQAR","name":"Webeyez _2022","success":true}</t>
  </si>
  <si>
    <t>{"created":false,"errors":[],"id":"0064T00000AjXleQAF","name":"Mon4t _2022","success":true}</t>
  </si>
  <si>
    <t>{"created":false,"errors":[],"id":"0064T00000AjYzDQAV","name":"IPwe _2022","success":true}</t>
  </si>
  <si>
    <t>{"created":false,"errors":[],"id":"0064T00000AjfUrQAJ","name":"A4i _2022","success":true}</t>
  </si>
  <si>
    <t>{"created":false,"errors":[],"id":"0064T00000AjcI8QAJ","name":"Fulfilld _2022","success":true}</t>
  </si>
  <si>
    <t>{"created":false,"errors":[],"id":"0064T00000AjdIaQAJ","name":"REVER _2022","success":true}</t>
  </si>
  <si>
    <t>{"created":false,"errors":[],"id":"0064T00000Ajg5OQAR","name":"Symphony Biosciences  _2022","success":true}</t>
  </si>
  <si>
    <t>{"created":false,"errors":[],"id":"0064T00000Ajhw6QAB","name":"Isoprene Pharmaceuticals, Inc. _2022","success":true}</t>
  </si>
  <si>
    <t>{"created":false,"errors":[],"id":"0064T00000AjhWwQAJ","name":"ZiO Health  _2022","success":true}</t>
  </si>
  <si>
    <t>{"created":false,"errors":[],"id":"0064T00000AjqyoQAB","name":"OmniCyte, LLC _2022","success":true}</t>
  </si>
  <si>
    <t>{"created":false,"errors":[],"id":"0064T00000Ajr0BQAR","name":"Edverse Ltd _2022","success":true}</t>
  </si>
  <si>
    <t>{"created":false,"errors":[],"id":"0064T00000BLqwVQAT","name":"Red Arrow Therapeutics, Co. Ltd.  _2022","success":true}</t>
  </si>
  <si>
    <t>{"created":false,"errors":[],"id":"0064T00000BLoY1QAL","name":"Serenity Bioworks  _2022","success":true}</t>
  </si>
  <si>
    <t>{"created":false,"errors":[],"id":"0064T00000BLj9gQAD","name":"Field 33 _2022","success":true}</t>
  </si>
  <si>
    <t>{"created":false,"errors":[],"id":"0064T00000BLmChQAL","name":"EriVan Bio _2022","success":true}</t>
  </si>
  <si>
    <t>{"created":false,"errors":[],"id":"0064T00000BLpH0QAL","name":"Gabbit Trans Systems Pvt Ltd _2022","success":true}</t>
  </si>
  <si>
    <t>{"created":false,"errors":[],"id":"0064T00000AjqEhQAJ","name":"mPOD, Inc. _2022","success":true}</t>
  </si>
  <si>
    <t>{"created":false,"errors":[],"id":"0064T00000AjmzLQAR","name":"Is CLEAN AIR Italia S.r.l. _2022","success":true}</t>
  </si>
  <si>
    <t>{"created":false,"errors":[],"id":"0064T00000AjodlQAB","name":"PlantSwitch _2022","success":true}</t>
  </si>
  <si>
    <t>{"created":false,"errors":[],"id":"0064T00000Ajq43QAB","name":"Legible Inc. _2022","success":true}</t>
  </si>
  <si>
    <t>{"created":false,"errors":[],"id":"0064T00000Ajq5VQAR","name":"VendRx Inc. _2022","success":true}</t>
  </si>
  <si>
    <t>{"created":false,"errors":[],"id":"0064T00000AjqCqQAJ","name":"CIRT (Can I Recycle This, Inc.) _2022","success":true}</t>
  </si>
  <si>
    <t>{"created":false,"errors":[],"id":"0064T00000AjqU1QAJ","name":"Sumer _2022","success":true}</t>
  </si>
  <si>
    <t>{"created":false,"errors":[],"id":"0064T00000BLy2HQAT","name":"Fathom _2022","success":true}</t>
  </si>
  <si>
    <t>{"created":false,"errors":[],"id":"0064T00000BM0w3QAD","name":"Base5 Genomics, Inc. _2022","success":true}</t>
  </si>
  <si>
    <t>{"created":false,"errors":[],"id":"0064T00000BLvPlQAL","name":"VitriVac.com _2022","success":true}</t>
  </si>
  <si>
    <t>{"created":false,"errors":[],"id":"0064T00000BLz7IQAT","name":"BoostDraft Inc. _2022","success":true}</t>
  </si>
  <si>
    <t>{"created":false,"errors":[],"id":"0064T00000BM1GqQAL","name":"Allset _2022","success":true}</t>
  </si>
  <si>
    <t>{"created":false,"errors":[],"id":"0064T00000BLyIPQA1","name":"Inference Analytics, Inc.  _2022","success":true}</t>
  </si>
  <si>
    <t>{"created":false,"errors":[],"id":"0064T00000BLxeFQAT","name":"Plantae Bioscience _2022","success":true}</t>
  </si>
  <si>
    <t>{"created":false,"errors":[],"id":"0064T00000BLsYLQA1","name":"APIE Therapeutics  _2022","success":true}</t>
  </si>
  <si>
    <t>{"created":false,"errors":[],"id":"0064T00000AjqJrQAJ","name":"Anima Interactive _2022","success":true}</t>
  </si>
  <si>
    <t>{"created":false,"errors":[],"id":"0064T00000AjiA3QAJ","name":"PurMinds NeuroPharma Inc. _2022","success":true}</t>
  </si>
  <si>
    <t>{"created":false,"errors":[],"id":"0064T00000AjYObQAN","name":"Carteav _2022","success":true}</t>
  </si>
  <si>
    <t>{"created":false,"errors":[],"id":"0064T00000AjeS1QAJ","name":"NextStep Health _2022","success":true}</t>
  </si>
  <si>
    <t>{"created":false,"errors":[],"id":"0064T00000AjgPxQAJ","name":"CARI Health, Inc. _2022","success":true}</t>
  </si>
  <si>
    <t>{"created":false,"errors":[],"id":"0064T00000AjgtHQAR","name":"OBORTECHglobal OÜ _2022","success":true}</t>
  </si>
  <si>
    <t>{"created":false,"errors":[],"id":"0064T00000AjtB4QAJ","name":"Anavah Health _2022","success":true}</t>
  </si>
  <si>
    <t>{"created":false,"errors":[],"id":"0064T00000AjkhZQAR","name":"Weather Trade Net _2022","success":true}</t>
  </si>
  <si>
    <t>{"created":false,"errors":[],"id":"0064T00000BLmwVQAT","name":"Findustrial _2022","success":true}</t>
  </si>
  <si>
    <t>{"created":false,"errors":[],"id":"0064T00000Ajq8eQAB","name":"HeyPeers _2022","success":true}</t>
  </si>
  <si>
    <t>{"created":false,"errors":[],"id":"0064T00000Ajq35QAB","name":"NOWHERE (NWR CORP) _2022","success":true}</t>
  </si>
  <si>
    <t>{"created":false,"errors":[],"id":"0064T00000AjpDQQAZ","name":"EASEEbot _2022","success":true}</t>
  </si>
  <si>
    <t>{"created":false,"errors":[],"id":"0064T00000AjqDAQAZ","name":"YouVue _2022","success":true}</t>
  </si>
  <si>
    <t>{"created":false,"errors":[],"id":"0064T00000AjqENQAZ","name":"Fairmint _2022","success":true}</t>
  </si>
  <si>
    <t>{"created":false,"errors":[],"id":"0064T00000AjqStQAJ","name":"Immersive Reality Group _2022","success":true}</t>
  </si>
  <si>
    <t>{"created":false,"errors":[],"id":"0064T00000BLy7qQAD","name":"Syos _2022","success":true}</t>
  </si>
  <si>
    <t>{"created":false,"errors":[],"id":"0064T00000BM3CIQA1","name":"Khepra _2022","success":true}</t>
  </si>
  <si>
    <t>{"created":false,"errors":[],"id":"0064T00000BLyYwQAL","name":"Holoxica Limited _2022","success":true}</t>
  </si>
  <si>
    <t>{"created":false,"errors":[],"id":"0064T00000BLxeeQAD","name":"Alpha 1 Biologics _2022","success":true}</t>
  </si>
  <si>
    <t>{"created":false,"errors":[],"id":"0064T00000BLywKQAT","name":"IndyGeneUS AI _2022","success":true}</t>
  </si>
  <si>
    <t>{"created":false,"errors":[],"id":"0064T00000BM0xtQAD","name":"Femtera Laboratories LLC _2022","success":true}</t>
  </si>
  <si>
    <t>{"created":false,"errors":[],"id":"0064T00000BM0yhQAD","name":"Blueberry Technology Inc. _2022","success":true}</t>
  </si>
  <si>
    <t>{"created":false,"errors":[],"id":"0064T00000BMgC8QAL","name":"Ricovr Healthcare Inc _2022","success":true}</t>
  </si>
  <si>
    <t>{"created":false,"errors":[],"id":"0064T00000BLmvhQAD","name":"Sonostik LLC _2022","success":true}</t>
  </si>
  <si>
    <t>{"created":false,"errors":[],"id":"0064T00000AjpytQAB","name":"Yepic AI Limited _2022","success":true}</t>
  </si>
  <si>
    <t>{"created":false,"errors":[],"id":"0064T00000AjqDKQAZ","name":"Bidorium, LLC _2022","success":true}</t>
  </si>
  <si>
    <t>{"created":false,"errors":[],"id":"0064T00000BM1FOQA1","name":"Nemosia AG _2022","success":true}</t>
  </si>
  <si>
    <t>{"created":false,"errors":[],"id":"0064T00000AjaDVQAZ","name":"BintanGO _2022","success":true}</t>
  </si>
  <si>
    <t>{"created":false,"errors":[],"id":"0064T00000AjZUQQA3","name":"Untap _2022","success":true}</t>
  </si>
  <si>
    <t>{"created":false,"errors":[],"id":"0064T00000AjfNgQAJ","name":"Descifra _2022","success":true}</t>
  </si>
  <si>
    <t>{"created":false,"errors":[],"id":"0064T00000Ajc1gQAB","name":"Navigating AWEtism _2022","success":true}</t>
  </si>
  <si>
    <t>{"created":false,"errors":[],"id":"0064T00000AjcWZQAZ","name":"Frontline Gig _2022","success":true}</t>
  </si>
  <si>
    <t>{"created":false,"errors":[],"id":"0064T00000AjgY1QAJ","name":"NEOMICS PHARMACEUTICALS LLC _2022","success":true}</t>
  </si>
  <si>
    <t>{"created":false,"errors":[],"id":"0064T00000AjgveQAB","name":"Multipl Fintech Solutions Pvt. LTD _2022","success":true}</t>
  </si>
  <si>
    <t>{"created":false,"errors":[],"id":"0064T00000AjfpzQAB","name":"Altafid _2022","success":true}</t>
  </si>
  <si>
    <t>{"created":false,"errors":[],"id":"0064T00000Ajkk4QAB","name":"ODWEN Inc _2022","success":true}</t>
  </si>
  <si>
    <t>{"created":false,"errors":[],"id":"0064T00000AjrRsQAJ","name":"nami.ai _2022","success":true}</t>
  </si>
  <si>
    <t>{"created":false,"errors":[],"id":"0064T00000BLmCrQAL","name":"Ravata Solutions _2022","success":true}</t>
  </si>
  <si>
    <t>{"created":false,"errors":[],"id":"0064T00000BLkfvQAD","name":"EPICA _2022","success":true}</t>
  </si>
  <si>
    <t>{"created":false,"errors":[],"id":"0064T00000BLkFaQAL","name":"Akesa Health _2022","success":true}</t>
  </si>
  <si>
    <t>{"created":false,"errors":[],"id":"0064T00000Ajq9cQAB","name":"giveback _2022","success":true}</t>
  </si>
  <si>
    <t>{"created":false,"errors":[],"id":"0064T00000AjpSQQAZ","name":"Precision Periodic _2022","success":true}</t>
  </si>
  <si>
    <t>{"created":false,"errors":[],"id":"0064T00000AjpnlQAB","name":"QCoefficient, Inc. _2022","success":true}</t>
  </si>
  <si>
    <t>{"created":false,"errors":[],"id":"0064T00000AjqCWQAZ","name":"AKALA _2022","success":true}</t>
  </si>
  <si>
    <t>{"created":false,"errors":[],"id":"0064T00000AjqESQAZ","name":"bluShift Aerospace _2022","success":true}</t>
  </si>
  <si>
    <t>{"created":false,"errors":[],"id":"0064T00000BM1nuQAD","name":"MotionsCloud _2022","success":true}</t>
  </si>
  <si>
    <t>{"created":false,"errors":[],"id":"0064T00000AjpkIQAR","name":"Alpha Drive _2022","success":true}</t>
  </si>
  <si>
    <t>{"created":false,"errors":[],"id":"0064T00000BM1FJQA1","name":"Holocron Technologies _2022","success":true}</t>
  </si>
  <si>
    <t>{"created":false,"errors":[],"id":"0064T00000AjfgnQAB","name":"Confidencial, Inc. _2022","success":true}</t>
  </si>
  <si>
    <t>{"created":false,"errors":[],"id":"0064T00000AjkRbQAJ","name":"Winvesta Ltd _2022","success":true}</t>
  </si>
  <si>
    <t>{"created":false,"errors":[],"id":"0064T00000AjduNQAR","name":"Witty Health Inc _2022","success":true}</t>
  </si>
  <si>
    <t>{"created":false,"errors":[],"id":"0064T00000AjtlSQAR","name":"Aspisafe Solutions Inc. _2022","success":true}</t>
  </si>
  <si>
    <t>{"created":false,"errors":[],"id":"0064T00000Aju2NQAR","name":"CLYRA MEDICAL TECHNOLOGIES _2022","success":true}</t>
  </si>
  <si>
    <t>{"created":false,"errors":[],"id":"0064T00000AjhuKQAR","name":"OR Link _2022","success":true}</t>
  </si>
  <si>
    <t>{"created":false,"errors":[],"id":"0064T00000AjkU1QAJ","name":"Ochy _2022","success":true}</t>
  </si>
  <si>
    <t>{"created":false,"errors":[],"id":"0064T00000AjqdSQAR","name":"Promise Bio _2022","success":true}</t>
  </si>
  <si>
    <t>{"created":false,"errors":[],"id":"0064T00000AjqvQQAR","name":"SeoHong Tech Co., Ltd. _2022","success":true}</t>
  </si>
  <si>
    <t>{"created":false,"errors":[],"id":"0064T00000AjpqLQAR","name":"Chara Technologies Private Limited _2022","success":true}</t>
  </si>
  <si>
    <t>{"created":false,"errors":[],"id":"0064T00000AjngUQAR","name":"Orange Therapeutics _2022","success":true}</t>
  </si>
  <si>
    <t>{"created":false,"errors":[],"id":"0064T00000AjoxlQAB","name":"Cohesive Robotics _2022","success":true}</t>
  </si>
  <si>
    <t>{"created":false,"errors":[],"id":"0064T00000AjosbQAB","name":"Omnic Data, Inc. _2022","success":true}</t>
  </si>
  <si>
    <t>{"created":false,"errors":[],"id":"0064T00000AjptAQAR","name":"Qlimate LLC _2022","success":true}</t>
  </si>
  <si>
    <t>{"created":false,"errors":[],"id":"0064T00000AjqEDQAZ","name":"Ampli _2022","success":true}</t>
  </si>
  <si>
    <t>{"created":false,"errors":[],"id":"0064T00000AjpYOQAZ","name":"Einsted _2022","success":true}</t>
  </si>
  <si>
    <t>{"created":false,"errors":[],"id":"0064T00000AjpwEQAR","name":"Puro Bioplastics, Inc.  _2022","success":true}</t>
  </si>
  <si>
    <t>{"created":false,"errors":[],"id":"0064T00000AjqJDQAZ","name":"ARCHITEChTURES _2022","success":true}</t>
  </si>
  <si>
    <t>{"created":false,"errors":[],"id":"0064T00000BM1EGQA1","name":"myAir Smart Wellness _2022","success":true}</t>
  </si>
  <si>
    <t>{"created":false,"errors":[],"id":"0064T00000BM1F2QAL","name":"Vectra Automation Inc. _2022","success":true}</t>
  </si>
  <si>
    <t>{"created":false,"errors":[],"id":"0064T00000BLwPKQA1","name":"Walela Inc. _2022","success":true}</t>
  </si>
  <si>
    <t>{"created":false,"errors":[],"id":"0064T00000BM1u3QAD","name":"Ascend Manufacturing Inc. _2022","success":true}</t>
  </si>
  <si>
    <t>{"created":false,"errors":[],"id":"0064T00000BM1FdQAL","name":"Oncoliq _2022","success":true}</t>
  </si>
  <si>
    <t>{"created":false,"errors":[],"id":"0064T00000BM1FzQAL","name":"Satocci (Legal name Satocci Finance AB) _2022","success":true}</t>
  </si>
  <si>
    <t>{"created":false,"errors":[],"id":"0064T00000AZp4qQAD","name":"Labocine _2022","success":true}</t>
  </si>
  <si>
    <t>{"created":false,"errors":[],"id":"0064T00000BMadwQAD","name":"Aqua Development _2022","success":true}</t>
  </si>
  <si>
    <t>{"created":false,"errors":[],"id":"0064T00000AjpOxQAJ","name":"NXTSENS Microsystems Inc. _2022","success":true}</t>
  </si>
  <si>
    <t>{"created":false,"errors":[],"id":"0064T00000AZdUzQAL","name":"DigiBuild _2022","success":true}</t>
  </si>
  <si>
    <t>{"created":false,"errors":[],"id":"0064T00000AZcprQAD","name":"Edupay _2022","success":true}</t>
  </si>
  <si>
    <t>{"created":false,"errors":[],"id":"0064T00000BMBFdQAP","name":"Chari Co.  _2022","success":true}</t>
  </si>
  <si>
    <t>{"created":false,"errors":[],"id":"0064T00000BLialQAD","name":"Vessl Prosthetics Inc. _2022","success":true}</t>
  </si>
  <si>
    <t>{"created":false,"errors":[],"id":"0064T00000BLhbOQAT","name":"Genflow Biosciences _2022","success":true}</t>
  </si>
  <si>
    <t>{"created":false,"errors":[],"id":"0064T00000BLhvsQAD","name":"CryptoMate _2022","success":true}</t>
  </si>
  <si>
    <t>{"created":false,"errors":[],"id":"0064T00000AjaLtQAJ","name":"Blue Velvet Innovations LTD t/a Cook My Grub _2022","success":true}</t>
  </si>
  <si>
    <t>{"created":false,"errors":[],"id":"0064T00000AjZK6QAN","name":"WeBoard _2022","success":true}</t>
  </si>
  <si>
    <t>{"created":false,"errors":[],"id":"0064T00000AjaETQAZ","name":"Countd _2022","success":true}</t>
  </si>
  <si>
    <t>{"created":false,"errors":[],"id":"0064T00000AjXXmQAN","name":"Littlebird Connected Care _2022","success":true}</t>
  </si>
  <si>
    <t>{"created":false,"errors":[],"id":"0064T00000AjueWQAR","name":"5ire _2022","success":true}</t>
  </si>
  <si>
    <t>{"created":false,"errors":[],"id":"0064T00000AjtXPQAZ","name":"Joulez, Inc. _2022","success":true}</t>
  </si>
  <si>
    <t>{"created":false,"errors":[],"id":"0064T00000AjdT1QAJ","name":"Veris Behavior _2022","success":true}</t>
  </si>
  <si>
    <t>{"created":false,"errors":[],"id":"0064T00000AjlgXQAR","name":"PEGASI INTERNATIONAL, INC. _2022","success":true}</t>
  </si>
  <si>
    <t>{"created":false,"errors":[],"id":"0064T00000BLrzQQAT","name":"Conan Medtech Corp. _2022","success":true}</t>
  </si>
  <si>
    <t>{"created":false,"errors":[],"id":"0064T00000BLn5rQAD","name":"ByteLearn _2022","success":true}</t>
  </si>
  <si>
    <t>{"created":false,"errors":[],"id":"0064T00000AjpdXQAR","name":"Kluero _2022","success":true}</t>
  </si>
  <si>
    <t>{"created":false,"errors":[],"id":"0064T00000Ajq3ZQAR","name":"RoQR _2022","success":true}</t>
  </si>
  <si>
    <t>{"created":false,"errors":[],"id":"0064T00000Ajq6TQAR","name":"Arbol _2022","success":true}</t>
  </si>
  <si>
    <t>{"created":false,"errors":[],"id":"0064T00000Ajq7vQAB","name":"EnKoat _2022","success":true}</t>
  </si>
  <si>
    <t>{"created":false,"errors":[],"id":"0064T00000AjqAkQAJ","name":"Insynctive, Inc. _2022","success":true}</t>
  </si>
  <si>
    <t>{"created":false,"errors":[],"id":"0064T00000AjqBOQAZ","name":"Qbrics, Inc _2022","success":true}</t>
  </si>
  <si>
    <t>{"created":false,"errors":[],"id":"0064T00000AjqBdQAJ","name":"Findpet _2022","success":true}</t>
  </si>
  <si>
    <t>{"created":false,"errors":[],"id":"0064T00000AjpXGQAZ","name":"Digikraft.Io, Inc. _2022","success":true}</t>
  </si>
  <si>
    <t>{"created":false,"errors":[],"id":"0064T00000Ajpu8QAB","name":"Holloid _2022","success":true}</t>
  </si>
  <si>
    <t>{"created":false,"errors":[],"id":"0064T00000AjqDFQAZ","name":"Dailyhuman _2022","success":true}</t>
  </si>
  <si>
    <t>{"created":false,"errors":[],"id":"0064T00000BM1u2QAD","name":"AMATEC _2022","success":true}</t>
  </si>
  <si>
    <t>{"created":false,"errors":[],"id":"0064T00000BLyMqQAL","name":"BLOOP _2022","success":true}</t>
  </si>
  <si>
    <t>{"created":false,"errors":[],"id":"0064T00000BLyusQAD","name":"INCLODE LLC _2022","success":true}</t>
  </si>
  <si>
    <t>{"created":false,"errors":[],"id":"0064T00000BM1E1QAL","name":"Intelline _2022","success":true}</t>
  </si>
  <si>
    <t>{"created":false,"errors":[],"id":"0064T00000BM1FyQAL","name":"Quantic Brains Technologies SL _2022","success":true}</t>
  </si>
  <si>
    <t>{"created":false,"errors":[],"id":"0064T00000BM1HAQA1","name":"Addinex Technologies, Inc. _2022","success":true}</t>
  </si>
  <si>
    <t>{"created":false,"errors":[],"id":"0064T00000BLxfrQAD","name":"WATZ _2022","success":true}</t>
  </si>
  <si>
    <t>{"created":false,"errors":[],"id":"0064T00000Aj2C1QAJ","name":"Dekar Edge/Society _2022","success":true}</t>
  </si>
  <si>
    <t>{"created":false,"errors":[],"id":"0064T00000BLjSxQAL","name":"Blyp.ai _2022","success":true}</t>
  </si>
  <si>
    <t>{"created":false,"errors":[],"id":"0064T00000BM1FPQA1","name":"Plastic Green Power Ltd _2022","success":true}</t>
  </si>
  <si>
    <t>{"created":false,"errors":[],"id":"0064T00000BMZbGQAX","name":"Yield Monitor _2022","success":true}</t>
  </si>
  <si>
    <t>{"created":false,"errors":[],"id":"0064T00000BLi2jQAD","name":"Lalo _2022","success":true}</t>
  </si>
  <si>
    <t>{"created":false,"errors":[],"id":"0064T00000AjZD5QAN","name":"Kazam _2022","success":true}</t>
  </si>
  <si>
    <t>{"created":false,"errors":[],"id":"0064T00000AjfNHQAZ","name":"Minitable Tech, Inc _2022","success":true}</t>
  </si>
  <si>
    <t>{"created":false,"errors":[],"id":"0064T00000Ajf8qQAB","name":"Caravel Concepts, LLC _2022","success":true}</t>
  </si>
  <si>
    <t>{"created":false,"errors":[],"id":"0064T00000AjdEiQAJ","name":"Handprint _2022","success":true}</t>
  </si>
  <si>
    <t>{"created":false,"errors":[],"id":"0064T00000AjfhlQAB","name":"SimSkills _2022","success":true}</t>
  </si>
  <si>
    <t>{"created":false,"errors":[],"id":"0064T00000BM8ozQAD","name":"Kolibri _2022","success":true}</t>
  </si>
  <si>
    <t>{"created":false,"errors":[],"id":"0064T00000Ajq5zQAB","name":"Review Piper _2022","success":true}</t>
  </si>
  <si>
    <t>{"created":false,"errors":[],"id":"0064T00000Ajq8ZQAR","name":"ZipData, INC _2022","success":true}</t>
  </si>
  <si>
    <t>{"created":false,"errors":[],"id":"0064T00000AjolzQAB","name":"evAI Intelligence GmbH _2022","success":true}</t>
  </si>
  <si>
    <t>{"created":false,"errors":[],"id":"0064T00000AjqD5QAJ","name":"DataVal Ventures _2022","success":true}</t>
  </si>
  <si>
    <t>{"created":false,"errors":[],"id":"0064T00000BM6bsQAD","name":"Ecotone Renewables _2022","success":true}</t>
  </si>
  <si>
    <t>{"created":false,"errors":[],"id":"0064T00000BM1HPQA1","name":"3D-OPS _2022","success":true}</t>
  </si>
  <si>
    <t>{"created":false,"errors":[],"id":"0064T00000BM1BwQAL","name":"Alyve Medical _2022","success":true}</t>
  </si>
  <si>
    <t>{"created":false,"errors":[],"id":"0064T00000BMe1SQAT","name":"InsureTax _2022","success":true}</t>
  </si>
  <si>
    <t>{"created":false,"errors":[],"id":"0064T00000BMfo1QAD","name":"Mirrori _2022","success":true}</t>
  </si>
  <si>
    <t>{"created":false,"errors":[],"id":"0064T00000AjaUvQAJ","name":"Qpick _2022","success":true}</t>
  </si>
  <si>
    <t>{"created":false,"errors":[],"id":"0064T00000AjZkiQAF","name":"Kaboodle, Inc. dba BooCooPets _2022","success":true}</t>
  </si>
  <si>
    <t>{"created":false,"errors":[],"id":"0064T00000AjtfEQAR","name":"Hero Trainer Inc. _2022","success":true}</t>
  </si>
  <si>
    <t>{"created":false,"errors":[],"id":"0064T00000AjtjbQAB","name":"Seek Health AI _2022","success":true}</t>
  </si>
  <si>
    <t>{"created":false,"errors":[],"id":"0064T00000AjdH8QAJ","name":"VitalForm _2022","success":true}</t>
  </si>
  <si>
    <t>{"created":false,"errors":[],"id":"0064T00000AjtTmQAJ","name":"IT'SRAPID _2022","success":true}</t>
  </si>
  <si>
    <t>{"created":false,"errors":[],"id":"0064T00000AjjlLQAR","name":"Peptris Technologies Private Limited _2022","success":true}</t>
  </si>
  <si>
    <t>{"created":false,"errors":[],"id":"0064T00000AjrPXQAZ","name":"Creditchek _2022","success":true}</t>
  </si>
  <si>
    <t>{"created":false,"errors":[],"id":"0064T00000AjreIQAR","name":"Vendor Infra Global Private limited _2022","success":true}</t>
  </si>
  <si>
    <t>{"created":false,"errors":[],"id":"0064T00000BLoifQAD","name":"StartupFuel Inc. _2022","success":true}</t>
  </si>
  <si>
    <t>{"created":false,"errors":[],"id":"0064T00000AjpSpQAJ","name":"Poppy Seed Health _2022","success":true}</t>
  </si>
  <si>
    <t>{"created":false,"errors":[],"id":"0064T00000AjpV5QAJ","name":"Clastr _2022","success":true}</t>
  </si>
  <si>
    <t>{"created":false,"errors":[],"id":"0064T00000Ajq51QAB","name":"Slap, Inc. _2022","success":true}</t>
  </si>
  <si>
    <t>{"created":false,"errors":[],"id":"0064T00000Ajq5BQAR","name":"BlueFairy, Inc. _2022","success":true}</t>
  </si>
  <si>
    <t>{"created":false,"errors":[],"id":"0064T00000Ajq7MQAR","name":"Norebase Limited _2022","success":true}</t>
  </si>
  <si>
    <t>{"created":false,"errors":[],"id":"0064T00000AjpigQAB","name":"Arceum Inc. _2022","success":true}</t>
  </si>
  <si>
    <t>{"created":false,"errors":[],"id":"0064T00000AjpgRQAR","name":"MegaMinds _2022","success":true}</t>
  </si>
  <si>
    <t>{"created":false,"errors":[],"id":"0064T00000AjqBsQAJ","name":"VoteOurVoice, Inc.  _2022","success":true}</t>
  </si>
  <si>
    <t>{"created":false,"errors":[],"id":"0064T00000Ajq3jQAB","name":"AnyFans Inc _2022","success":true}</t>
  </si>
  <si>
    <t>{"created":false,"errors":[],"id":"0064T00000AjpoFQAR","name":"Roleshare _2022","success":true}</t>
  </si>
  <si>
    <t>{"created":false,"errors":[],"id":"0064T00000BLzBtQAL","name":"Matdun _2022","success":true}</t>
  </si>
  <si>
    <t>{"created":false,"errors":[],"id":"0064T00000BM1SEQA1","name":"Techfunic _2022","success":true}</t>
  </si>
  <si>
    <t>{"created":false,"errors":[],"id":"0064T00000BLvlcQAD","name":"Dentia, Inc _2022","success":true}</t>
  </si>
  <si>
    <t>{"created":false,"errors":[],"id":"0064T00000BLyJcQAL","name":"CodeGem _2022","success":true}</t>
  </si>
  <si>
    <t>{"created":false,"errors":[],"id":"0064T00000BM1GMQA1","name":"StreamBee _2022","success":true}</t>
  </si>
  <si>
    <t>{"created":false,"errors":[],"id":"0064T00000BM6NRQA1","name":"Surplusmap AS _2022","success":true}</t>
  </si>
  <si>
    <t>{"created":false,"errors":[],"id":"0064T00000AjsrYQAR","name":"Hadada Global Limited _2022","success":true}</t>
  </si>
  <si>
    <t>{"created":false,"errors":[],"id":"0064T00000BLspbQAD","name":"Rubato _2022","success":true}</t>
  </si>
  <si>
    <t>{"created":false,"errors":[],"id":"0064T00000BM1EBQA1","name":"iPondr SBC _2022","success":true}</t>
  </si>
  <si>
    <t>{"created":false,"errors":[],"id":"0064T00000AjXZdQAN","name":"YRIKKA _2022","success":true}</t>
  </si>
  <si>
    <t>{"created":false,"errors":[],"id":"0064T00000Ajj1gQAB","name":"OYA Femtech Apparel _2022","success":true}</t>
  </si>
  <si>
    <t>{"created":false,"errors":[],"id":"0064T00000BLrmRQAT","name":"Algor Lab _2022","success":true}</t>
  </si>
  <si>
    <t>{"created":false,"errors":[],"id":"0064T00000AjpprQAB","name":"MissPoppins, Inc _2022","success":true}</t>
  </si>
  <si>
    <t>{"created":false,"errors":[],"id":"0064T00000AjqXLQAZ","name":"Sumitt _2022","success":true}</t>
  </si>
  <si>
    <t>{"created":false,"errors":[],"id":"0064T00000BM6LvQAL","name":"Omnifia _2022","success":true}</t>
  </si>
  <si>
    <t>{"created":false,"errors":[],"id":"0064T00000BM1AYQA1","name":"Nutrivide Inc. _2022","success":true}</t>
  </si>
  <si>
    <t>{"created":false,"errors":[],"id":"0064T00000BM6SXQA1","name":"Dextall _2022","success":true}</t>
  </si>
  <si>
    <t>{"created":false,"errors":[],"id":"0064T00000BLhZNQA1","name":"Autentica Industrial Platforms Ltd _2022","success":true}</t>
  </si>
  <si>
    <t>{"created":false,"errors":[],"id":"0064T00000BLhIXQA1","name":"InRento _2022","success":true}</t>
  </si>
  <si>
    <t>{"created":false,"errors":[],"id":"0064T00000Ajas9QAB","name":"Crypto-Z _2022","success":true}</t>
  </si>
  <si>
    <t>{"created":false,"errors":[],"id":"0064T00000AjZshQAF","name":"Influcracy Inc _2022","success":true}</t>
  </si>
  <si>
    <t>{"created":false,"errors":[],"id":"0064T00000AjXgFQAV","name":"Nash fintechX _2022","success":true}</t>
  </si>
  <si>
    <t>{"created":false,"errors":[],"id":"0064T00000AjhGIQAZ","name":"prints.me _2022","success":true}</t>
  </si>
  <si>
    <t>{"created":false,"errors":[],"id":"0064T00000AjlqZQAR","name":"CLOWAK INNOVATIONS LLP _2022","success":true}</t>
  </si>
  <si>
    <t>{"created":false,"errors":[],"id":"0064T00000AjqpfQAB","name":"BleBluBla _2022","success":true}</t>
  </si>
  <si>
    <t>{"created":false,"errors":[],"id":"0064T00000AjrZwQAJ","name":"Progressive Generation Studios _2022","success":true}</t>
  </si>
  <si>
    <t>{"created":false,"errors":[],"id":"0064T00000BLmDLQA1","name":"Prospero.Ai _2022","success":true}</t>
  </si>
  <si>
    <t>{"created":false,"errors":[],"id":"0064T00000BLoG7QAL","name":"Metamorphic Foods Pvt Ltd (Klever Meat) _2022","success":true}</t>
  </si>
  <si>
    <t>{"created":false,"errors":[],"id":"0064T00000Ajq4cQAB","name":"InTune Inc. _2022","success":true}</t>
  </si>
  <si>
    <t>{"created":false,"errors":[],"id":"0064T00000Ajow4QAB","name":"Wealthspan Financial Partners _2022","success":true}</t>
  </si>
  <si>
    <t>{"created":false,"errors":[],"id":"0064T00000AjpWXQAZ","name":"skillcert.io _2022","success":true}</t>
  </si>
  <si>
    <t>{"created":false,"errors":[],"id":"0064T00000AjqDPQAZ","name":"Above &amp; Beyond Studios, Inc. _2022","success":true}</t>
  </si>
  <si>
    <t>{"created":false,"errors":[],"id":"0064T00000AjqFkQAJ","name":"Assistive Descriptive Accessible Platforms products and Technologies Inc. (A.D.A.P.T.) _2022","success":true}</t>
  </si>
  <si>
    <t>{"created":false,"errors":[],"id":"0064T00000AjpXkQAJ","name":"Kaso _2022","success":true}</t>
  </si>
  <si>
    <t>{"created":false,"errors":[],"id":"0064T00000AjqIyQAJ","name":"ELANZA Wellness _2022","success":true}</t>
  </si>
  <si>
    <t>{"created":false,"errors":[],"id":"0064T00000BLw7xQAD","name":"GaleSun Technologies _2022","success":true}</t>
  </si>
  <si>
    <t>{"created":false,"errors":[],"id":"0064T00000BM1B7QAL","name":"Neurohue _2022","success":true}</t>
  </si>
  <si>
    <t>{"created":false,"errors":[],"id":"0064T00000BM6f6QAD","name":"AltCal _2022","success":true}</t>
  </si>
  <si>
    <t>{"created":false,"errors":[],"id":"0064T00000BM1DSQA1","name":"Fifty Bricks _2022","success":true}</t>
  </si>
  <si>
    <t>{"created":false,"errors":[],"id":"0064T00000BM0LfQAL","name":"OnEx Medical _2022","success":true}</t>
  </si>
  <si>
    <t>{"created":false,"errors":[],"id":"0064T00000BM1FYQA1","name":"eXeer Biotech, Inc _2022","success":true}</t>
  </si>
  <si>
    <t>{"created":false,"errors":[],"id":"0064T00000BM6JuQAL","name":"Assemble _2022","success":true}</t>
  </si>
  <si>
    <t>{"created":false,"errors":[],"id":"0064T00000BM1HyQAL","name":"Vertikal X, Inc _2022","success":true}</t>
  </si>
  <si>
    <t>{"created":false,"errors":[],"id":"0064T00000Ajq30QAB","name":"Fits _2022","success":true}</t>
  </si>
  <si>
    <t>{"created":false,"errors":[],"id":"0064T00000Ajhp5QAB","name":"Pixchange  _2022","success":true}</t>
  </si>
  <si>
    <t>{"created":false,"errors":[],"id":"0064T00000BLoJkQAL","name":"Breeze _2022","success":true}</t>
  </si>
  <si>
    <t>{"created":false,"errors":[],"id":"0064T00000AjqCgQAJ","name":"StoryBrain _2022","success":true}</t>
  </si>
  <si>
    <t>{"created":false,"errors":[],"id":"0064T00000AjpvuQAB","name":"Whyzers  _2022","success":true}</t>
  </si>
  <si>
    <t>{"created":false,"errors":[],"id":"0064T00000BMFMnQAP","name":"UnityActs  _2022","success":true}</t>
  </si>
  <si>
    <t>{"created":false,"errors":[],"id":"0064T00000AjZLsQAN","name":"Broom.id (PT Teknologi Usaha Nusantara) _2022","success":true}</t>
  </si>
  <si>
    <t>{"created":false,"errors":[],"id":"0064T00000Ajh0AQAR","name":"Jovian _2022","success":true}</t>
  </si>
  <si>
    <t>{"created":false,"errors":[],"id":"0064T00000AjgEuQAJ","name":"Pendulum _2022","success":true}</t>
  </si>
  <si>
    <t>{"created":false,"errors":[],"id":"0064T00000Ajl8QQAR","name":"The Cumin Culinary Brands _2022","success":true}</t>
  </si>
  <si>
    <t>{"created":false,"errors":[],"id":"0064T00000AjrKrQAJ","name":"bistrochat software ltd _2022","success":true}</t>
  </si>
  <si>
    <t>{"created":false,"errors":[],"id":"0064T00000BLmDaQAL","name":"Highsy, Inc. _2022","success":true}</t>
  </si>
  <si>
    <t>{"created":false,"errors":[],"id":"0064T00000AjpyeQAB","name":"RockStable _2022","success":true}</t>
  </si>
  <si>
    <t>{"created":false,"errors":[],"id":"0064T00000AjpoyQAB","name":"breathing.ai _2022","success":true}</t>
  </si>
  <si>
    <t>{"created":false,"errors":[],"id":"0064T00000AjqB4QAJ","name":"The Bridge _2022","success":true}</t>
  </si>
  <si>
    <t>{"created":false,"errors":[],"id":"0064T00000Ajpr9QAB","name":"QualDev _2022","success":true}</t>
  </si>
  <si>
    <t>{"created":false,"errors":[],"id":"0064T00000BM6LuQAL","name":"BioShade _2022","success":true}</t>
  </si>
  <si>
    <t>{"created":false,"errors":[],"id":"0064T00000BM3HgQAL","name":"Boundless Robotics _2022","success":true}</t>
  </si>
  <si>
    <t>{"created":false,"errors":[],"id":"0064T00000BM1E2QAL","name":"MedExplain, Inc. _2022","success":true}</t>
  </si>
  <si>
    <t>{"created":false,"errors":[],"id":"0064T00000BLzJTQA1","name":"Greenfields Digital Susu and Bank _2022","success":true}</t>
  </si>
  <si>
    <t>{"created":false,"errors":[],"id":"0064T00000BM1BHQA1","name":"Metaiss _2022","success":true}</t>
  </si>
  <si>
    <t>{"created":false,"errors":[],"id":"0064T00000BLxm4QAD","name":"Yumwoof Natural Pet Food _2022","success":true}</t>
  </si>
  <si>
    <t>{"created":false,"errors":[],"id":"0064T00000Aj2zmQAB","name":"Data Creative, LLC _2022","success":true}</t>
  </si>
  <si>
    <t>{"created":false,"errors":[],"id":"0064T00000AjhJvQAJ","name":"Too-King Technology _2022","success":true}</t>
  </si>
  <si>
    <t>{"created":false,"errors":[],"id":"0064T00000Ajn7UQAR","name":"Nutrizle _2022","success":true}</t>
  </si>
  <si>
    <t>{"created":false,"errors":[],"id":"0064T00000AjqE8QAJ","name":"Oval NFT _2022","success":true}</t>
  </si>
  <si>
    <t>{"created":false,"errors":[],"id":"0064T00000BLhOtQAL","name":"Avatar Interview Training _2022","success":true}</t>
  </si>
  <si>
    <t>{"created":false,"errors":[],"id":"0064T00000AjanJQAR","name":"Raylon (subject to change) _2022","success":true}</t>
  </si>
  <si>
    <t>{"created":false,"errors":[],"id":"0064T00000AjmYyQAJ","name":"BWISECORP Blue Whale Invention Safety Energy Corporation  _2022","success":true}</t>
  </si>
  <si>
    <t>{"created":false,"errors":[],"id":"0064T00000AjaTOQAZ","name":"Goody Basket Games, LLC _2022","success":true}</t>
  </si>
  <si>
    <t>{"created":false,"errors":[],"id":"0064T00000AjXHuQAN","name":"MetaPals _2022","success":true}</t>
  </si>
  <si>
    <t>{"created":false,"errors":[],"id":"0064T00000AjbcvQAB","name":"MOBU _2022","success":true}</t>
  </si>
  <si>
    <t>{"created":false,"errors":[],"id":"0064T00000AjsA5QAJ","name":"Intelpure  _2022","success":true}</t>
  </si>
  <si>
    <t>{"created":false,"errors":[],"id":"0064T00000AjkznQAB","name":"COMPOSTAME _2022","success":true}</t>
  </si>
  <si>
    <t>{"created":false,"errors":[],"id":"0064T00000AjlcGQAR","name":"NewYou /ThePeopleChain/notyet _2022","success":true}</t>
  </si>
  <si>
    <t>{"created":false,"errors":[],"id":"0064T00000AjqdhQAB","name":"Upfront _2022","success":true}</t>
  </si>
  <si>
    <t>{"created":false,"errors":[],"id":"0064T00000BLlMxQAL","name":"Edible Graveyards _2022","success":true}</t>
  </si>
  <si>
    <t>{"created":false,"errors":[],"id":"0064T00000Ajq7CQAR","name":"Ripplenity Inc. _2022","success":true}</t>
  </si>
  <si>
    <t>{"created":false,"errors":[],"id":"0064T00000BM3CgQAL","name":"Ankler Media _2022","success":true}</t>
  </si>
  <si>
    <t>{"created":false,"errors":[],"id":"0064T00000BM1vAQAT","name":"Breakthru _2022","success":true}</t>
  </si>
  <si>
    <t>{"created":false,"errors":[],"id":"0064T00000BM1HjQAL","name":"Videoster Inc. _2022","success":true}</t>
  </si>
  <si>
    <t>{"created":false,"errors":[],"id":"0064T00000BM0xZQAT","name":"MechanicMe _2022","success":true}</t>
  </si>
  <si>
    <t>{"created":false,"errors":[],"id":"0064T00000BM1DrQAL","name":"HeyLayer _2022","success":true}</t>
  </si>
  <si>
    <t>{"created":false,"errors":[],"id":"0064T00000BLyaYQAT","name":"Res Bid _2022","success":true}</t>
  </si>
  <si>
    <t>{"created":false,"errors":[],"id":"0064T00000Aj43gQAB","name":"BLD Funds _2022","success":true}</t>
  </si>
  <si>
    <t>{"created":false,"errors":[],"id":"0064T00000BLy5BQAT","name":"Yuty  _2022","success":true}</t>
  </si>
  <si>
    <t>{"created":false,"errors":[],"id":"0064T00000BLyz9QAD","name":"siRNAgen Therapeutics _2022","success":true}</t>
  </si>
  <si>
    <t>{"created":false,"errors":[],"id":"0064T00000AjfVVQAZ","name":"ORNA Inc. _2022","success":true}</t>
  </si>
  <si>
    <t>{"created":false,"errors":[],"id":"0064T00000BM1EzQAL","name":"NaNotics, LLC _2022","success":true}</t>
  </si>
  <si>
    <t>{"created":false,"errors":[],"id":"0064T00000BM1FeQAL","name":"Protabit LLC _2022","success":true}</t>
  </si>
  <si>
    <t>{"created":false,"errors":[],"id":"0064T00000BLsOQQA1","name":"Friendlier _2022","success":true}</t>
  </si>
  <si>
    <t>{"created":false,"errors":[],"id":"0064T00000AYFJMQA5","name":"ShanX Medtech BV _2022","success":true}</t>
  </si>
  <si>
    <t>{"created":false,"errors":[],"id":"0064T00000AjboDQAR","name":"Tradewell Technologies Inc _2022","success":true}</t>
  </si>
  <si>
    <t>{"created":false,"errors":[],"id":"0064T00000AjgGqQAJ","name":"Television Korea 24, Inc. (ESTV) _2022","success":true}</t>
  </si>
  <si>
    <t>{"created":false,"errors":[],"id":"0064T00000Ajke1QAB","name":"Strong Network Inc. _2022","success":true}</t>
  </si>
  <si>
    <t>{"created":false,"errors":[],"id":"0064T00000BLzIVQA1","name":"SAGEMEDIC CORP. _2022","success":true}</t>
  </si>
  <si>
    <t>{"created":false,"errors":[],"id":"0064T00000BM3ZHQA1","name":"Candi Holdings, Inc. (d/b/a ONUU) _2022","success":true}</t>
  </si>
  <si>
    <t>{"created":false,"errors":[],"id":"0064T00000BM6LzQAL","name":"Creative Blockchain Solutions SRL _2022","success":true}</t>
  </si>
  <si>
    <t>{"created":false,"errors":[],"id":"0064T00000BLpYIQA1","name":"Pulzze Systems, INC (DBA Interactor) _2022","success":true}</t>
  </si>
  <si>
    <t>{"created":false,"errors":[],"id":"0064T00000BLxLSQA1","name":"Sova Health _2022","success":true}</t>
  </si>
  <si>
    <t>{"created":false,"errors":[],"id":"0064T00000AjZJIQA3","name":"sustamize  _2022","success":true}</t>
  </si>
  <si>
    <t>{"created":false,"errors":[],"id":"0064T00000BLrCdQAL","name":"Untap Ltd _2022","success":true}</t>
  </si>
  <si>
    <t>{"created":false,"errors":[],"id":"0064T00000BLpQ7QAL","name":"Krystal Holdings Pte. Ltd. _2022","success":true}</t>
  </si>
  <si>
    <t>{"created":false,"errors":[],"id":"0064T00000BLkSKQA1","name":"Elysium Therapeutics, Inc. _2022","success":true}</t>
  </si>
  <si>
    <t>{"created":false,"errors":[],"id":"0064T00000Ajq2bQAB","name":"Fragmynt _2022","success":true}</t>
  </si>
  <si>
    <t>{"created":false,"errors":[],"id":"0064T00000Ajpv1QAB","name":"Troverlo _2022","success":true}</t>
  </si>
  <si>
    <t>{"created":false,"errors":[],"id":"0064T00000BLz4TQAT","name":"SOLO Secure _2022","success":true}</t>
  </si>
  <si>
    <t>{"created":false,"errors":[],"id":"0064T00000BLz0qQAD","name":"Prazer Therapeutics _2022","success":true}</t>
  </si>
  <si>
    <t>{"created":false,"errors":[],"id":"0064T00000BM6LLQA1","name":"C-End, LLC _2022","success":true}</t>
  </si>
  <si>
    <t>{"created":false,"errors":[],"id":"0064T00000BLylgQAD","name":"Scale Biosciences, Inc _2022","success":true}</t>
  </si>
  <si>
    <t>{"created":false,"errors":[],"id":"0064T00000BLz1tQAD","name":"VC Cell Therapy _2022","success":true}</t>
  </si>
  <si>
    <t>{"created":false,"errors":[],"id":"0064T00000BLxfmQAD","name":"Tripoverse _2022","success":true}</t>
  </si>
  <si>
    <t>{"created":false,"errors":[],"id":"0064T00000BLvn9QAD","name":"refive _2022","success":true}</t>
  </si>
  <si>
    <t>{"created":false,"errors":[],"id":"0064T00000BLxUoQAL","name":"Forward Protocol _2022","success":true}</t>
  </si>
  <si>
    <t>{"created":false,"errors":[],"id":"0064T00000BLzI6QAL","name":"AsisVisa Immigration Corp  _2022","success":true}</t>
  </si>
  <si>
    <t>{"created":false,"errors":[],"id":"0064T00000BM1ECQA1","name":"Orbit Genomics, Inc. _2022","success":true}</t>
  </si>
  <si>
    <t>{"created":false,"errors":[],"id":"0064T00000BLyroQAD","name":"Scrapays Inc _2022","success":true}</t>
  </si>
  <si>
    <t>{"created":false,"errors":[],"id":"0064T00000BLs6MQAT","name":"Truffle Health, Inc. _2022","success":true}</t>
  </si>
  <si>
    <t>{"created":false,"errors":[],"id":"0064T00000BM1FQQA1","name":"Timedrips Kft. _2022","success":true}</t>
  </si>
  <si>
    <t>{"created":false,"errors":[],"id":"0064T00000AjpwTQAR","name":"GoCharlie.ai _2022","success":true}</t>
  </si>
  <si>
    <t>{"created":false,"errors":[],"id":"0064T00000AjpVZQAZ","name":"TrueToForm _2022","success":true}</t>
  </si>
  <si>
    <t>{"created":false,"errors":[],"id":"0064T00000BLyvCQAT","name":"Solvuu _2022","success":true}</t>
  </si>
  <si>
    <t>{"created":false,"errors":[],"id":"0064T00000BLxzmQAD","name":"QSINGULA DEVELOPMENT FZ-LLC (QSD) _2022","success":true}</t>
  </si>
  <si>
    <t>{"created":false,"errors":[],"id":"0064T00000AjkL4QAJ","name":"Sustainaccount AG _2022","success":true}</t>
  </si>
  <si>
    <t>{"created":false,"errors":[],"id":"0064T00000BLlMdQAL","name":"PALM ENERGY SYSTEMS _2022","success":true}</t>
  </si>
  <si>
    <t>{"created":false,"errors":[],"id":"0064T00000BLjaIQAT","name":"NOMA AI INC. _2022","success":true}</t>
  </si>
  <si>
    <t>{"created":false,"errors":[],"id":"0064T00000BLsBMQA1","name":"Cornerstone AI _2022","success":true}</t>
  </si>
  <si>
    <t>{"created":false,"errors":[],"id":"0064T00000AjpsMQAR","name":"Sheetgo _2022","success":true}</t>
  </si>
  <si>
    <t>{"created":false,"errors":[],"id":"0064T00000AjpvBQAR","name":"Dropshop _2022","success":true}</t>
  </si>
  <si>
    <t>{"created":false,"errors":[],"id":"0064T00000BLsHUQA1","name":"Etha _2022","success":true}</t>
  </si>
  <si>
    <t>{"created":false,"errors":[],"id":"0064T00000BLynDQAT","name":"KAWA ANALYTICS CORP _2022","success":true}</t>
  </si>
  <si>
    <t>{"created":false,"errors":[],"id":"0064T00000BLsMZQA1","name":"Fatakpay _2022","success":true}</t>
  </si>
  <si>
    <t>{"created":false,"errors":[],"id":"0064T00000BLzDQQA1","name":"Clocr (Crypto Legacy) _2022","success":true}</t>
  </si>
  <si>
    <t>{"created":false,"errors":[],"id":"0064T00000Ajpy5QAB","name":"Oxus.AI _2022","success":true}</t>
  </si>
  <si>
    <t>{"created":false,"errors":[],"id":"0064T00000BLpIwQAL","name":"Liv Labs Inc. _2022","success":true}</t>
  </si>
  <si>
    <t>{"created":false,"errors":[],"id":"0064T00000AjYDEQA3","name":"Visi Health Technologies  _2022","success":true}</t>
  </si>
  <si>
    <t>{"created":false,"errors":[],"id":"0064T00000AjdM8QAJ","name":"Eve World Platform Pte Ltd  _2022","success":true}</t>
  </si>
  <si>
    <t>{"created":false,"errors":[],"id":"0064T00000BM1B8QAL","name":"MDDx, Inc. _2022","success":true}</t>
  </si>
  <si>
    <t>{"created":false,"errors":[],"id":"0064T00000BLmDQQA1","name":"Perception Grid  _2022","success":true}</t>
  </si>
  <si>
    <t>{"created":false,"errors":[],"id":"0064T00000BLzILQA1","name":"Udeesa Systemics &amp; Technology _2022","success":true}</t>
  </si>
  <si>
    <t>{"created":false,"errors":[],"id":"0064T00000BLmqIQAT","name":"Zedosh Limited (Attention Exchange®) _2022","success":true}</t>
  </si>
  <si>
    <t>{"created":false,"errors":[],"id":"0064T00000AjpqWQAR","name":"OneDeal _2022","success":true}</t>
  </si>
  <si>
    <t>{"created":false,"errors":[],"id":"0064T00000BLhL1QAL","name":"Troc Circle _2022","success":true}</t>
  </si>
  <si>
    <t>{"created":false,"errors":[],"id":"0064T00000BLmE9QAL","name":"eWitness Media Inc. _2022","success":true}</t>
  </si>
  <si>
    <t>{"created":false,"errors":[],"id":"0064T00000AjplHQAR","name":"Outprfrm _2022","success":true}</t>
  </si>
  <si>
    <t>{"created":false,"errors":[],"id":"0064T00000AjpumQAB","name":"JS Group _2022","success":true}</t>
  </si>
  <si>
    <t>{"created":false,"errors":[],"id":"0064T00000AjpvpQAB","name":"SEED - Sustainable Entrepreneurial Ecosystem Development _2022","success":true}</t>
  </si>
  <si>
    <t>{"created":false,"errors":[],"id":"0064T00000BLxpmQAD","name":"Asklaser _2022","success":true}</t>
  </si>
  <si>
    <t>{"created":false,"errors":[],"id":"0064T00000BLz5qQAD","name":"Kola Project _2022","success":true}</t>
  </si>
  <si>
    <t>{"created":false,"errors":[],"id":"0064T00000BLzAWQA1","name":"Rapid Nexus Nanotech Wound Solutions, Inc. _2022","success":true}</t>
  </si>
  <si>
    <t>{"created":false,"errors":[],"id":"0064T00000BLzIkQAL","name":"Fundamento _2022","success":true}</t>
  </si>
  <si>
    <t>{"created":false,"errors":[],"id":"0064T00000AZpIJQA1","name":"Pearl Interactives _2022","success":true}</t>
  </si>
  <si>
    <t>{"created":false,"errors":[],"id":"0064T00000BLumPQAT","name":"Koshex Inc. _2022","success":true}</t>
  </si>
  <si>
    <t>{"created":false,"errors":[],"id":"0064T00000Ajpp3QAB","name":"Patientory, Inc. _2022","success":true}</t>
  </si>
  <si>
    <t>{"created":false,"errors":[],"id":"0064T00000AjfIMQAZ","name":"T4L Inc _2022","success":true}</t>
  </si>
  <si>
    <t>{"created":false,"errors":[],"id":"0064T00000BM1AxQAL","name":"Nu-Credits _2022","success":true}</t>
  </si>
  <si>
    <t>{"created":false,"errors":[],"id":"0064T00000BLmFbQAL","name":"Telebionix _2022","success":true}</t>
  </si>
  <si>
    <t>{"created":false,"errors":[],"id":"0064T00000BM1F0QAL","name":"Norma _2022","success":true}</t>
  </si>
  <si>
    <t>{"created":false,"errors":[],"id":"0064T00000BLvdxQAD","name":"SSP Software, LLC _2022","success":true}</t>
  </si>
  <si>
    <t>{"created":false,"errors":[],"id":"0064T00000BLyjuQAD","name":"Quota _2022","success":true}</t>
  </si>
  <si>
    <t>{"created":false,"errors":[],"id":"0064T00000BLyhAQAT","name":"Cinference _2022","success":true}</t>
  </si>
  <si>
    <t>{"created":false,"errors":[],"id":"0064T00000BLz6yQAD","name":"Igugu Global _2022","success":true}</t>
  </si>
  <si>
    <t>{"created":false,"errors":[],"id":"0064T00000BLz6eQAD","name":"Pedestal _2022","success":true}</t>
  </si>
  <si>
    <t>{"created":false,"errors":[],"id":"0064T00000BLxzDQAT","name":"AUMHUM _2022","success":true}</t>
  </si>
  <si>
    <t>{"created":false,"errors":[],"id":"0064T00000BLpxwQAD","name":"SuperFi Finance Ltd _2022","success":true}</t>
  </si>
  <si>
    <t>{"created":false,"errors":[],"id":"0064T00000Ajpw9QAB","name":"Passage Health Inc. _2022","success":true}</t>
  </si>
  <si>
    <t>{"created":false,"errors":[],"id":"0064T00000AjkNtQAJ","name":"TEXpert AI Ltd _2022","success":true}</t>
  </si>
  <si>
    <t>{"created":false,"errors":[],"id":"0064T00000AjpiwQAB","name":"The JaraNetwork _2022","success":true}</t>
  </si>
  <si>
    <t>{"created":false,"errors":[],"id":"0064T00000BLzIzQAL","name":"SiliconScapes _2022","success":true}</t>
  </si>
  <si>
    <t>{"created":false,"errors":[],"id":"0064T00000AjqC2QAJ","name":"Peer Circles by wedstll  _2022","success":true}</t>
  </si>
  <si>
    <t>{"created":false,"errors":[],"id":"0064T00000BLxJMQA1","name":"Kitchefy _2022","success":true}</t>
  </si>
  <si>
    <t>{"created":false,"errors":[],"id":"0064T00000Aja8gQAB","name":"Vansanity, Inc. _2022","success":true}</t>
  </si>
  <si>
    <t>{"created":false,"errors":[],"id":"0064T00000AjYmqQAF","name":"TAMP  _2022","success":true}</t>
  </si>
  <si>
    <t>{"created":false,"errors":[],"id":"0064T00000BLmmzQAD","name":"Gahez Market _2022","success":true}</t>
  </si>
  <si>
    <t>{"created":false,"errors":[],"id":"0064T00000AjprEQAR","name":"Hiveclass _2022","success":true}</t>
  </si>
  <si>
    <t>{"created":false,"errors":[],"id":"0064T00000BLz6KQAT","name":"Cosmosii _2022","success":true}</t>
  </si>
  <si>
    <t>{"created":false,"errors":[],"id":"0064T00000BLy1OQAT","name":"WellnessWins _2022","success":true}</t>
  </si>
  <si>
    <t>{"created":false,"errors":[],"id":"0064T00000BLytaQAD","name":"CARDISYSTEMS _2022","success":true}</t>
  </si>
  <si>
    <t>{"created":false,"errors":[],"id":"0064T00000BLvpzQAD","name":"Healthy Hip Hop _2022","success":true}</t>
  </si>
  <si>
    <t>{"created":false,"errors":[],"id":"0064T00000BM1E3QAL","name":"Salve Therapeutics _2022","success":true}</t>
  </si>
  <si>
    <t>{"created":false,"errors":[],"id":"0064T00000BLzGZQA1","name":"Sherrell Dorsey _2022","success":true}</t>
  </si>
  <si>
    <t>{"created":false,"errors":[],"id":"0064T00000BLs6HQAT","name":"Decentralized Data and Research (DDR) _2022","success":true}</t>
  </si>
  <si>
    <t>{"created":false,"errors":[],"id":"0064T00000BLr5rQAD","name":"targo.digital UG (haftungsbeschraenkt) _2022","success":true}</t>
  </si>
  <si>
    <t>{"created":false,"errors":[],"id":"0064T00000Ajq1JQAR","name":"Port. _2022","success":true}</t>
  </si>
  <si>
    <t>{"created":false,"errors":[],"id":"0064T00000BM1DUQA1","name":"O'Peers _2022","success":true}</t>
  </si>
  <si>
    <t>{"created":false,"errors":[],"id":"0064T00000BM1EVQA1","name":"IonMedicine _2022","success":true}</t>
  </si>
  <si>
    <t>{"created":false,"errors":[],"id":"0064T00000BLvyCQAT","name":"Branddu _2022","success":true}</t>
  </si>
  <si>
    <t>{"created":false,"errors":[],"id":"0064T00000BLxlaQAD","name":"KARMEQ, LLC _2022","success":true}</t>
  </si>
  <si>
    <t>{"created":false,"errors":[],"id":"0064T00000BLuWHQA1","name":"People Pulse _2022","success":true}</t>
  </si>
  <si>
    <t>{"created":false,"errors":[],"id":"0064T00000Ajq72QAB","name":"Scryper _2022","success":true}</t>
  </si>
  <si>
    <t>{"created":false,"errors":[],"id":"0064T00000Ajq7HQAR","name":"Fila Manila _2022","success":true}</t>
  </si>
  <si>
    <t>Khoa 2024- TEST</t>
  </si>
  <si>
    <t>This is a test</t>
  </si>
  <si>
    <t>Id not specified in an update call</t>
  </si>
  <si>
    <t>connectivity</t>
  </si>
  <si>
    <t>eCommerce</t>
  </si>
  <si>
    <t xml:space="preserve">supply chain </t>
  </si>
  <si>
    <t>fintech</t>
  </si>
  <si>
    <t>blockchain</t>
  </si>
  <si>
    <t>cybersecurity</t>
  </si>
  <si>
    <t>Digital Health / Women's Health</t>
  </si>
  <si>
    <t>cyber security/banking</t>
  </si>
  <si>
    <t>digital health and wellness</t>
  </si>
  <si>
    <t>AI/ML</t>
  </si>
  <si>
    <t>digital health/patient data</t>
  </si>
  <si>
    <t>climate tech</t>
  </si>
  <si>
    <t>Climate Tech</t>
  </si>
  <si>
    <t>Fintech</t>
  </si>
  <si>
    <t xml:space="preserve">Web3 </t>
  </si>
  <si>
    <t>Blockchain</t>
  </si>
  <si>
    <t>vehical tech</t>
  </si>
  <si>
    <t>digital health/healthcare cost</t>
  </si>
  <si>
    <t>digital health</t>
  </si>
  <si>
    <t>Insurtech</t>
  </si>
  <si>
    <r>
      <rPr>
        <sz val="11"/>
        <color rgb="FF000000"/>
        <rFont val="Inconsolata"/>
      </rPr>
      <t xml:space="preserve">- Significant traction and real world applications, such as supporting fractionalized ownership of precious gem: 
</t>
    </r>
    <r>
      <rPr>
        <u/>
        <sz val="11"/>
        <color rgb="FF000000"/>
        <rFont val="Inconsolata"/>
      </rPr>
      <t>https://thetokenizer.io/2022/03/30/ix-swap-lists-security-token-of-worlds-most-valuable-sapphire/</t>
    </r>
    <r>
      <rPr>
        <sz val="11"/>
        <color rgb="FF000000"/>
        <rFont val="Inconsolata"/>
      </rPr>
      <t xml:space="preserve">
- Founding team has lots of startup and exit experience.</t>
    </r>
  </si>
  <si>
    <t>fintech/defi</t>
  </si>
  <si>
    <t xml:space="preserve">
1. advanced tech 
2. solves real problem
3. good team
4. up&amp;running with client recognition
5. industry &amp; academia</t>
  </si>
  <si>
    <t>heath care</t>
  </si>
  <si>
    <t>SaaS AI</t>
  </si>
  <si>
    <t>Insurance Tech</t>
  </si>
  <si>
    <t>digital health/healthcare IoT</t>
  </si>
  <si>
    <t xml:space="preserve"> + Various government grants and ecosystem partners
+ Credible team
+ Could enhance authenticity of convenient home-based tests and help better pandemic management 
- crowded space
- tamper proof?
- who pays for test hardware and cartridges
Interview to find out more?  Could be for Deep Tech.</t>
  </si>
  <si>
    <t>Telehealth / Diagnostic</t>
  </si>
  <si>
    <t>SaaS/NLP</t>
  </si>
  <si>
    <t>Digital Health / Data</t>
  </si>
  <si>
    <t xml:space="preserve">digital health/mental health </t>
  </si>
  <si>
    <t>cyber security</t>
  </si>
  <si>
    <t>no code development</t>
  </si>
  <si>
    <t>SaaS/Voice AI</t>
  </si>
  <si>
    <t>industrial AI/vehicle tech</t>
  </si>
  <si>
    <t>Logistics</t>
  </si>
  <si>
    <r>
      <rPr>
        <sz val="11"/>
        <rFont val="Inconsolata"/>
      </rPr>
      <t xml:space="preserve">DiT
uses machine learning to create generate real-time esports analytics
 $20K in MRR
</t>
    </r>
    <r>
      <rPr>
        <u/>
        <sz val="11"/>
        <color rgb="FF1155CC"/>
        <rFont val="Inconsolata"/>
      </rPr>
      <t>https://www.bloomberg.com/news/articles/2022-08-09/overtime-sports-raises-100-million-to-expand-leagues-for-high-school-athletes?utm_term=220809#xj4y7vzkg</t>
    </r>
  </si>
  <si>
    <t>eSports</t>
  </si>
  <si>
    <t>Digital Health</t>
  </si>
  <si>
    <t>Industrial IoT</t>
  </si>
  <si>
    <t>ESG</t>
  </si>
  <si>
    <t>NLP / SaaS</t>
  </si>
  <si>
    <t xml:space="preserve">Edge computing </t>
  </si>
  <si>
    <t>computer vision</t>
  </si>
  <si>
    <t>crypto/defi</t>
  </si>
  <si>
    <t>Videography</t>
  </si>
  <si>
    <t>IoT / Connectivity</t>
  </si>
  <si>
    <t>NLP / Digital Health</t>
  </si>
  <si>
    <t>Data</t>
  </si>
  <si>
    <t>SaaS Marketplace</t>
  </si>
  <si>
    <t>Media</t>
  </si>
  <si>
    <t>Legal Tech</t>
  </si>
  <si>
    <t xml:space="preserve">1. good tech setup
2. strong team
-
1. core tech isn't nove </t>
  </si>
  <si>
    <t>Blockchain / Crypto</t>
  </si>
  <si>
    <t>HR</t>
  </si>
  <si>
    <t>Ed Tech</t>
  </si>
  <si>
    <t>HR / Blockchain</t>
  </si>
  <si>
    <t>Warehouse Management</t>
  </si>
  <si>
    <t>agricultural tech/IoT</t>
  </si>
  <si>
    <t>Renewable Energy</t>
  </si>
  <si>
    <t>Fintech / NFT</t>
  </si>
  <si>
    <t>cybersecurity/IoT</t>
  </si>
  <si>
    <t>Compliance</t>
  </si>
  <si>
    <t>NLP / Compliance</t>
  </si>
  <si>
    <t>Wearables / Health Tech</t>
  </si>
  <si>
    <t>Cybersecurity</t>
  </si>
  <si>
    <t>Nutrition</t>
  </si>
  <si>
    <t>gaming/esports</t>
  </si>
  <si>
    <t>Public Health</t>
  </si>
  <si>
    <t>Health Tech</t>
  </si>
  <si>
    <t>network connectivity/drones</t>
  </si>
  <si>
    <t>Third Reviewer Name</t>
  </si>
  <si>
    <t>Date of Review
Interview Status</t>
  </si>
  <si>
    <t>Overall Score</t>
  </si>
  <si>
    <t>Score w/ R3</t>
  </si>
  <si>
    <t xml:space="preserve">Reviewer 1 </t>
  </si>
  <si>
    <t>Brief Description / Industry / Stage:</t>
  </si>
  <si>
    <t>Comments/Notes on Technology:</t>
  </si>
  <si>
    <t>Comments/Notes on Addressable Market:</t>
  </si>
  <si>
    <t>Comments/Notes on Team:</t>
  </si>
  <si>
    <t>New Status?</t>
  </si>
  <si>
    <t>Appended Notes</t>
  </si>
  <si>
    <t>A&amp;K robotics</t>
  </si>
  <si>
    <t>A&amp;K robotics _2022</t>
  </si>
  <si>
    <t>Aclid</t>
  </si>
  <si>
    <t>Aerones</t>
  </si>
  <si>
    <t>Aztec Diagnostics</t>
  </si>
  <si>
    <t>BitanGO</t>
  </si>
  <si>
    <t>Blip Labs Technology</t>
  </si>
  <si>
    <t>Coflow Jet</t>
  </si>
  <si>
    <t>Deriskly</t>
  </si>
  <si>
    <t>Dryad</t>
  </si>
  <si>
    <t>Eachday</t>
  </si>
  <si>
    <t>Efani</t>
  </si>
  <si>
    <t>Emani trading as Colective Quotient Ltd</t>
  </si>
  <si>
    <t>Empiri</t>
  </si>
  <si>
    <t>Empiri _2022</t>
  </si>
  <si>
    <t>Emop Health</t>
  </si>
  <si>
    <t>HDAX therapeutics</t>
  </si>
  <si>
    <t>HDAX therapeutics _2022</t>
  </si>
  <si>
    <t>Infinity Games</t>
  </si>
  <si>
    <t>Ingenii</t>
  </si>
  <si>
    <t>invVax</t>
  </si>
  <si>
    <t>invVax _2022</t>
  </si>
  <si>
    <t>LEVEL 42 AI</t>
  </si>
  <si>
    <t>Levi Diagnostics</t>
  </si>
  <si>
    <t>LightCode photonics</t>
  </si>
  <si>
    <t>LumosTech, Inc</t>
  </si>
  <si>
    <t>Lux Wind Power</t>
  </si>
  <si>
    <t>Mars Charge</t>
  </si>
  <si>
    <t>Lisa Insuretech</t>
  </si>
  <si>
    <t>Meili</t>
  </si>
  <si>
    <t>MetalMark</t>
  </si>
  <si>
    <t>PentaBind</t>
  </si>
  <si>
    <t>PRP concepts</t>
  </si>
  <si>
    <t>Seek AI</t>
  </si>
  <si>
    <t>Sentinel Occupational Safety</t>
  </si>
  <si>
    <t>Solaires Enterprise</t>
  </si>
  <si>
    <t>Stanford University Medical Center/Phinomics</t>
  </si>
  <si>
    <t>Stritch, Inc.</t>
  </si>
  <si>
    <t xml:space="preserve">Tekuma </t>
  </si>
  <si>
    <t>Terra Bioworks</t>
  </si>
  <si>
    <t>Undesert</t>
  </si>
  <si>
    <t>Neuropair, Inc</t>
  </si>
  <si>
    <t>nume</t>
  </si>
  <si>
    <t>Wei Sun _2022</t>
  </si>
  <si>
    <r>
      <t xml:space="preserve">European Institute of Technology (EIT) Urban Mobility Accelerator Batch 3 Central: https://www.eiturbanmobility.eu/welcome-to-the-eit-urban-mobility-accelerator-programme-batch-3-start-ups/
5PRING 5G and Smary City Accelerator: https://5pring.org/
ALAIAN 5G Accelerator: </t>
    </r>
    <r>
      <rPr>
        <u/>
        <sz val="11"/>
        <color rgb="FF1155CC"/>
        <rFont val="Calibri"/>
        <family val="2"/>
      </rPr>
      <t>https://alaian.com/5g-call/</t>
    </r>
  </si>
  <si>
    <t>Turn+
is an inflatable, portable, lightweight wind turbine.
Turn Plus supplies electricity for RVs using green energy of wind. The target customers are Rv owners. This electricity can power RV?s electrical system, giving the customers a sustainable off-grid power source. it produces power all day and night. Can be equipped with solar panel.</t>
  </si>
  <si>
    <t>Portèlo _2022</t>
  </si>
  <si>
    <t>Only includes apps that have not been reviewed by 2 reviewers yet</t>
  </si>
  <si>
    <t>Individual Completes</t>
  </si>
  <si>
    <t>Remaining Applications</t>
  </si>
  <si>
    <t>By Track</t>
  </si>
  <si>
    <t>Earlier Date</t>
  </si>
  <si>
    <t>Company names</t>
  </si>
  <si>
    <t>8/23 pending</t>
  </si>
  <si>
    <t>8/23 completed</t>
  </si>
  <si>
    <t>New (unassigned)</t>
  </si>
  <si>
    <t>External Reviewer</t>
  </si>
  <si>
    <r>
      <rPr>
        <sz val="11"/>
        <color theme="1"/>
        <rFont val="Inconsolata"/>
      </rPr>
      <t xml:space="preserve">developed new way to synthesize single strand DNA; uses in CRSPYR; invited last year for interview, but no notes from last year; potentially not discovered </t>
    </r>
    <r>
      <rPr>
        <b/>
        <sz val="11"/>
        <color theme="1"/>
        <rFont val="Inconsolata"/>
      </rPr>
      <t>where did interview feedback from LY go?</t>
    </r>
  </si>
  <si>
    <t>Blockchain, Food</t>
  </si>
  <si>
    <r>
      <rPr>
        <sz val="11"/>
        <color theme="1"/>
        <rFont val="Inconsolata"/>
      </rPr>
      <t xml:space="preserve">change to DT; Strong expert Team; applied last year strong interview last year; non EFL staff/mentor interviews, but other feedback was "does not seem coachable" </t>
    </r>
    <r>
      <rPr>
        <b/>
        <sz val="11"/>
        <color theme="1"/>
        <rFont val="Inconsolata"/>
      </rPr>
      <t>Make sure EFL TEAM interviews</t>
    </r>
  </si>
  <si>
    <t>3D Imaging, Autonomous Vehicle</t>
  </si>
  <si>
    <t>monitors all these potential sources problems and collects data at any time at any specified frequency</t>
  </si>
  <si>
    <t xml:space="preserve"> + ML-based Telemetry agent for end-to-end monitoring 
+ Credible team with expertise in the telecom industry 
- Considering the size of the market need to check if they are able to manage big markets as they working in small segments to date. 
+ Founder with start-up experience can be a plus point</t>
  </si>
  <si>
    <t>Desalination, GreenTech</t>
  </si>
  <si>
    <t>AI-driven drug development platform
LS? apps give no insights on data to verify claims
need to get more information</t>
  </si>
  <si>
    <t>HealthTech, AI, Drug Development</t>
  </si>
  <si>
    <r>
      <rPr>
        <sz val="11"/>
        <rFont val="Inconsolata"/>
      </rPr>
      <t xml:space="preserve">DiT
uses machine learning to create generate real-time esports analytics
 $20K in MRR
</t>
    </r>
    <r>
      <rPr>
        <u/>
        <sz val="11"/>
        <color rgb="FF1155CC"/>
        <rFont val="Inconsolata"/>
      </rPr>
      <t>https://www.bloomberg.com/news/articles/2022-08-09/overtime-sports-raises-100-million-to-expand-leagues-for-high-school-athletes?utm_term=220809#xj4y7vzkg</t>
    </r>
  </si>
  <si>
    <t>Devices, Kitchen</t>
  </si>
  <si>
    <t xml:space="preserve"> +
1. Tech is advanced
2. Good team 
-
1. Competition might be much more than the company claims
2. Tech barriers require more justifications.</t>
  </si>
  <si>
    <r>
      <rPr>
        <u/>
        <sz val="11"/>
        <color rgb="FF1155CC"/>
        <rFont val="Inconsolata"/>
      </rPr>
      <t>DELIVERS.AI</t>
    </r>
    <r>
      <rPr>
        <sz val="11"/>
        <rFont val="Inconsolata"/>
      </rPr>
      <t xml:space="preserve"> _2022</t>
    </r>
  </si>
  <si>
    <r>
      <rPr>
        <u/>
        <sz val="11"/>
        <color rgb="FF1155CC"/>
        <rFont val="Inconsolata"/>
      </rPr>
      <t>Delivers.ai</t>
    </r>
    <r>
      <rPr>
        <sz val="11"/>
        <rFont val="Inconsolata"/>
      </rPr>
      <t xml:space="preserve"> is an autonomous delivery technology to reimagine last-mile logistics experience powered by a prominent computer vision system and cutting-edge self-driving technologies in sustainable cities. As Delivers. AI, our motivation is greener way to delivery goods, and We?re focused on creating healthier, more sustainable cities.</t>
    </r>
  </si>
  <si>
    <r>
      <rPr>
        <sz val="11"/>
        <rFont val="Inconsolata"/>
      </rPr>
      <t xml:space="preserve">European Institute of Technology (EIT) Urban Mobility Accelerator Batch 3 Central: https://www.eiturbanmobility.eu/welcome-to-the-eit-urban-mobility-accelerator-programme-batch-3-start-ups/
5PRING 5G and Smary City Accelerator: https://5pring.org/
ALAIAN 5G Accelerator: </t>
    </r>
    <r>
      <rPr>
        <u/>
        <sz val="11"/>
        <color rgb="FF1155CC"/>
        <rFont val="Inconsolata"/>
      </rPr>
      <t>https://alaian.com/5g-call/</t>
    </r>
  </si>
  <si>
    <r>
      <rPr>
        <sz val="11"/>
        <color theme="1"/>
        <rFont val="Inconsolata"/>
      </rPr>
      <t xml:space="preserve">SaaS for speech and laguage therapists; end to end product; tech isn't revolutionary, but sets up mass collection of data on patients including response to treatment; interested to see if they would branch out; </t>
    </r>
    <r>
      <rPr>
        <b/>
        <sz val="11"/>
        <color theme="1"/>
        <rFont val="Inconsolata"/>
      </rPr>
      <t>connect to Kintsugi?</t>
    </r>
  </si>
  <si>
    <r>
      <rPr>
        <u/>
        <sz val="11"/>
        <color rgb="FF1155CC"/>
        <rFont val="Inconsolata"/>
      </rPr>
      <t>Taiyo.AI</t>
    </r>
    <r>
      <rPr>
        <sz val="11"/>
        <color rgb="FF000000"/>
        <rFont val="Inconsolata"/>
      </rPr>
      <t xml:space="preserve"> _2022</t>
    </r>
  </si>
  <si>
    <r>
      <rPr>
        <u/>
        <sz val="11"/>
        <color rgb="FF1155CC"/>
        <rFont val="Inconsolata"/>
      </rPr>
      <t>iCardio.ai</t>
    </r>
    <r>
      <rPr>
        <sz val="11"/>
        <color rgb="FF000000"/>
        <rFont val="Inconsolata"/>
      </rPr>
      <t xml:space="preserve"> _2022</t>
    </r>
  </si>
  <si>
    <r>
      <rPr>
        <sz val="11"/>
        <rFont val="Inconsolata"/>
      </rPr>
      <t xml:space="preserve">DiT
visual AI turns an edge device into a visually intelligent device
the first use case is smart grocery retailers
scans items in cart for auto check out
</t>
    </r>
    <r>
      <rPr>
        <u/>
        <sz val="11"/>
        <color rgb="FF1155CC"/>
        <rFont val="Inconsolata"/>
      </rPr>
      <t>https://www.caper.ai/</t>
    </r>
    <r>
      <rPr>
        <sz val="11"/>
        <rFont val="Inconsolata"/>
      </rPr>
      <t xml:space="preserve"> is already on the market</t>
    </r>
  </si>
  <si>
    <r>
      <rPr>
        <sz val="11"/>
        <rFont val="Inconsolata"/>
      </rPr>
      <t xml:space="preserve">German Accelerator Program (batch 2021, tbd 2022), https://www.germanaccelerator.com/
Weconomy Challenge 2021, </t>
    </r>
    <r>
      <rPr>
        <u/>
        <sz val="11"/>
        <color rgb="FF1155CC"/>
        <rFont val="Inconsolata"/>
      </rPr>
      <t>https://www.weconomy.de/</t>
    </r>
  </si>
  <si>
    <t>Wuantum Computing, ClimateTech</t>
  </si>
  <si>
    <r>
      <rPr>
        <u/>
        <sz val="11"/>
        <color rgb="FF1155CC"/>
        <rFont val="Inconsolata"/>
      </rPr>
      <t>PredictNow.ai</t>
    </r>
    <r>
      <rPr>
        <sz val="11"/>
        <color rgb="FF000000"/>
        <rFont val="Inconsolata"/>
      </rPr>
      <t xml:space="preserve"> _2022</t>
    </r>
  </si>
  <si>
    <t>NETTOYER AUTOMOTIVES PRIVATE LIMITED _2022</t>
  </si>
  <si>
    <t xml:space="preserve">The founder seems passionate about the product
-The company seems to early for EFL </t>
  </si>
  <si>
    <t>This startup is extremely early. Product still at the concept stage. Not a fit for EFL this year.</t>
  </si>
  <si>
    <t>IndieBio cohort
Definitely valuable product for the gene editing field
Any CRISPR, or epigenetics advisors?
Only talked about the data but didn't provide a deck - if we interview, ask for the data</t>
  </si>
  <si>
    <t>What is the mechanism of action? Are their probiotics genetically modified in some way to consume alternative energy sources? 
Where is the data?
Probiotics is a very crowded and uninnovative space, I need some more details on what's that special about their probiotics and more extensive validations. This could be very useful for the probiotics field, I just don't have enough information to be convinced</t>
  </si>
  <si>
    <t>Levi Diagnostics, Inc. is a research and development startup specializing in the application of nanotechnology innovations in the biomedical field.
The company was incorporated at the end of 2019, with a mission of delivering revolutionary nanosensor technologies to government, private sector clients, and consumers.</t>
  </si>
  <si>
    <t>I presented at ACEP in a Shark tank format.  I won 2nd place, and Audience Pick and was invited in to Texas Medical center TMCi   - I did not apply, the accepted me, based on the pitch, and the audience of Doctors picking me.</t>
  </si>
  <si>
    <t>We graduated from the Salesforce Accelerator Cohort 12 this past fall which was specifically geared to help us accelerate our efforts on the Salesforce AppExchange.  We graduated and were formally recognized as one of the top 3 most engaged companies out of 23 and recently passed our Security Review and went live on the AppExchange which was the primary goal of the program. 
We are also an active member of Embarc Collective, Florida's fastest growing Technology Hub.  Embarc was founded by the Owner of the Tampa Bay Lightning, Jeff Vinik, and is more of an annual support hub with co-working space and coaches, vs. a "traditional accelerator".</t>
  </si>
  <si>
    <t>UpBeing uses behaviour to measure emotion to improve the human experience, individually and collectively.
UpBeing combines passive behavioural data streams like e-calendar, Spotify and wearables with short, research-grounded emotional check-ins to provide users  insight into the hidden relationships between their behaviours and feelings.</t>
  </si>
  <si>
    <t>INAEDIS develops innovative platform for dehydration of vaccines and biologicals to solve the problem of stability and solubility for customers from biopharmaceutical industry, providing improved quality and safety, enhanced versatility, increased production capacity, longer shelf life, lower operating costs and decreased carbon footprint</t>
  </si>
  <si>
    <t>No, but the team of the founders who are also the members of a laboratory  of Princeton University, are currently fellows of the University City Science Center of Philadelphia, QED Proof of Concept Program for academia: 
https://sciencecenter.org/news/the-science-center-awards-600-000-to-three-academic-research-projects</t>
  </si>
  <si>
    <t>- Large successful seed round completed this year
- Localized, customized algorithm to do end to end consumer spending carbon footprint calculation
- Consumer carbon API for banks 
- Goal is to expand to the US 
-</t>
  </si>
  <si>
    <r>
      <rPr>
        <u/>
        <sz val="11"/>
        <color rgb="FF000000"/>
        <rFont val="Inconsolata"/>
      </rPr>
      <t>iAssay.net</t>
    </r>
    <r>
      <rPr>
        <u/>
        <sz val="11"/>
        <color rgb="FF000000"/>
        <rFont val="Inconsolata"/>
      </rPr>
      <t xml:space="preserve"> _2022</t>
    </r>
  </si>
  <si>
    <t>Next-generation sequencing platform using multi-omics and AI to detect infection strains, degree/type of host response, and resistance. Referred by Marc Weill. CEO/CTO from Tufts/Columbia. Also have part-time Profs. from Columbia and Seoul National University. Three members of the National Academy of Sciences on the SAB.</t>
  </si>
  <si>
    <t>CEO is highly endorsed by C2i Genomics (alumni company). "His start-up is going to be the next big thing in autoimmune diseases."</t>
  </si>
  <si>
    <t>Y Combinator, S21 cohort</t>
  </si>
  <si>
    <t>Referred by Chris Mosher? Alexandria Launch Labs.</t>
  </si>
  <si>
    <t>IndieBio SF.</t>
  </si>
  <si>
    <t>Periomics Care LLC _2022</t>
  </si>
  <si>
    <t>BWISECORP ? Blue Whale Invention Safety Energy Corporation  _2022</t>
  </si>
  <si>
    <t>Strong Network Inc.  _2022</t>
  </si>
  <si>
    <t>Affiliation: UCLA Anderson, Startup UCLA, Pledge LA, Stanford Galvanizer, Techstars Sports, REI/RGA</t>
  </si>
  <si>
    <t>VR apps to solve the psychosocial burden experienced by the 10M cancer patients/survivors. Current trials at MGH, with others planned at Penn Health and St. Judes. Gamifying therapy.</t>
  </si>
  <si>
    <t>They are already fundraising for Series B - little too late for EFL?</t>
  </si>
  <si>
    <r>
      <rPr>
        <sz val="11"/>
        <color rgb="FF000000"/>
        <rFont val="Inconsolata"/>
      </rPr>
      <t xml:space="preserve">- Significant traction and real world applications, such as supporting fractionalized ownership of precious gem: 
</t>
    </r>
    <r>
      <rPr>
        <u/>
        <sz val="11"/>
        <color rgb="FF000000"/>
        <rFont val="Inconsolata"/>
      </rPr>
      <t>https://thetokenizer.io/2022/03/30/ix-swap-lists-security-token-of-worlds-most-valuable-sapphire/</t>
    </r>
    <r>
      <rPr>
        <sz val="11"/>
        <color rgb="FF000000"/>
        <rFont val="Inconsolata"/>
      </rPr>
      <t xml:space="preserve">
- Founding team has lots of startup and exit experience.</t>
    </r>
  </si>
  <si>
    <r>
      <rPr>
        <sz val="11"/>
        <rFont val="Inconsolata"/>
      </rPr>
      <t xml:space="preserve">DiT
uses machine learning to create generate real-time esports analytics
 $20K in MRR
</t>
    </r>
    <r>
      <rPr>
        <u/>
        <sz val="11"/>
        <color rgb="FF1155CC"/>
        <rFont val="Inconsolata"/>
      </rPr>
      <t>https://www.bloomberg.com/news/articles/2022-08-09/overtime-sports-raises-100-million-to-expand-leagues-for-high-school-athletes?utm_term=220809#xj4y7vzkg</t>
    </r>
  </si>
  <si>
    <t>live streaming</t>
  </si>
  <si>
    <t>Blockchain/Crypto</t>
  </si>
  <si>
    <t>hardware design</t>
  </si>
  <si>
    <r>
      <rPr>
        <sz val="11"/>
        <color theme="1"/>
        <rFont val="Inconsolata"/>
      </rPr>
      <t xml:space="preserve">change to DT; Strong expert Team; applied last year strong interview last year; non EFL staff/mentor interviews, but other feedback was "does not seem coachable" </t>
    </r>
    <r>
      <rPr>
        <b/>
        <sz val="11"/>
        <color theme="1"/>
        <rFont val="Inconsolata"/>
      </rPr>
      <t>Make sure EFL TEAM interviews</t>
    </r>
  </si>
  <si>
    <t>1. tech is advanced and has been (partly) validated
-
1. competition in the area might be fierce
2. need more info, see Notes on Technology</t>
  </si>
  <si>
    <t>fintech/digital health</t>
  </si>
  <si>
    <t>healthcare tech</t>
  </si>
  <si>
    <t>2D,3D modeling</t>
  </si>
  <si>
    <t>HR Tech</t>
  </si>
  <si>
    <t>education tech/blockchain</t>
  </si>
  <si>
    <r>
      <rPr>
        <sz val="11"/>
        <color theme="1"/>
        <rFont val="Inconsolata"/>
      </rPr>
      <t xml:space="preserve">SaaS for speech and laguage therapists; end to end product; tech isn't revolutionary, but sets up mass collection of data on patients including response to treatment; interested to see if they would branch out; </t>
    </r>
    <r>
      <rPr>
        <b/>
        <sz val="11"/>
        <color theme="1"/>
        <rFont val="Inconsolata"/>
      </rPr>
      <t>connect to Kintsugi?</t>
    </r>
  </si>
  <si>
    <t>computer vision/security</t>
  </si>
  <si>
    <t>travel planning</t>
  </si>
  <si>
    <t>climate</t>
  </si>
  <si>
    <t>food tech</t>
  </si>
  <si>
    <t>virtual event planning</t>
  </si>
  <si>
    <t>industrial tech</t>
  </si>
  <si>
    <t>healthcare tech/patient data</t>
  </si>
  <si>
    <r>
      <rPr>
        <u/>
        <sz val="11"/>
        <color rgb="FF1155CC"/>
        <rFont val="Inconsolata"/>
      </rPr>
      <t>Taiyo.AI</t>
    </r>
    <r>
      <rPr>
        <sz val="11"/>
        <color rgb="FF000000"/>
        <rFont val="Inconsolata"/>
      </rPr>
      <t xml:space="preserve"> _2022</t>
    </r>
  </si>
  <si>
    <t>Infrastructure tech</t>
  </si>
  <si>
    <t>3D modeling</t>
  </si>
  <si>
    <t>biotech</t>
  </si>
  <si>
    <t>stock market simulation</t>
  </si>
  <si>
    <t>HR tech</t>
  </si>
  <si>
    <t>enviromental tech</t>
  </si>
  <si>
    <r>
      <rPr>
        <sz val="11"/>
        <rFont val="Inconsolata"/>
      </rPr>
      <t xml:space="preserve">European Institute of Technology (EIT) Urban Mobility Accelerator Batch 3 Central: https://www.eiturbanmobility.eu/welcome-to-the-eit-urban-mobility-accelerator-programme-batch-3-start-ups/
5PRING 5G and Smary City Accelerator: https://5pring.org/
ALAIAN 5G Accelerator: </t>
    </r>
    <r>
      <rPr>
        <u/>
        <sz val="11"/>
        <color rgb="FF1155CC"/>
        <rFont val="Inconsolata"/>
      </rPr>
      <t>https://alaian.com/5g-call/</t>
    </r>
  </si>
  <si>
    <t>DeFi</t>
  </si>
  <si>
    <t>Earth Observatoin</t>
  </si>
  <si>
    <t>ecommerce</t>
  </si>
  <si>
    <r>
      <rPr>
        <u/>
        <sz val="11"/>
        <color rgb="FF1155CC"/>
        <rFont val="Inconsolata"/>
      </rPr>
      <t>PredictNow.ai</t>
    </r>
    <r>
      <rPr>
        <sz val="11"/>
        <color rgb="FF000000"/>
        <rFont val="Inconsolata"/>
      </rPr>
      <t xml:space="preserve"> _2022</t>
    </r>
  </si>
  <si>
    <t>education tech</t>
  </si>
  <si>
    <t>NFT</t>
  </si>
  <si>
    <t>data analysis</t>
  </si>
  <si>
    <r>
      <rPr>
        <u/>
        <sz val="11"/>
        <color rgb="FF000000"/>
        <rFont val="Inconsolata"/>
      </rPr>
      <t>iAssay.net</t>
    </r>
    <r>
      <rPr>
        <u/>
        <sz val="11"/>
        <color rgb="FF000000"/>
        <rFont val="Inconsolata"/>
      </rPr>
      <t xml:space="preserve"> _2022</t>
    </r>
  </si>
  <si>
    <t>collaboration tool</t>
  </si>
  <si>
    <r>
      <rPr>
        <sz val="11"/>
        <color theme="1"/>
        <rFont val="Inconsolata"/>
      </rPr>
      <t xml:space="preserve">developed new way to synthesize single strand DNA; uses in CRSPYR; invited last year for interview, but no notes from last year; potentially not discovered </t>
    </r>
    <r>
      <rPr>
        <b/>
        <sz val="11"/>
        <color theme="1"/>
        <rFont val="Inconsolata"/>
      </rPr>
      <t>where did interview feedback from LY go?</t>
    </r>
  </si>
  <si>
    <t>defi</t>
  </si>
  <si>
    <t>sport tech</t>
  </si>
  <si>
    <t>HR tech/medical tech</t>
  </si>
  <si>
    <t>navigation</t>
  </si>
  <si>
    <t>marketing tech</t>
  </si>
  <si>
    <t>dating app</t>
  </si>
  <si>
    <t>ARVR</t>
  </si>
  <si>
    <t>Credible and passionate team
+Compiling vision and roadmap
+Novel and propriety tech
+MVP and trials with hospital
+Large potential market</t>
  </si>
  <si>
    <t>NLP</t>
  </si>
  <si>
    <t>media tech</t>
  </si>
  <si>
    <t>content creation</t>
  </si>
  <si>
    <t>Company</t>
  </si>
  <si>
    <t>Interview Status</t>
  </si>
  <si>
    <t>Notes</t>
  </si>
  <si>
    <t xml:space="preserve">Concern: unclear on full time team members </t>
  </si>
  <si>
    <t>Backed by BC/BS insurance; tapping into what they consider an untapped market; good traction so far; mostly minority led team with previous startup exits, and coming from NYU; similarity to SpringHealth framework (unicorn company) and shares a team member on the growth team</t>
  </si>
  <si>
    <t xml:space="preserve">Potential change to Digital tech; </t>
  </si>
  <si>
    <t>Drug delivery in bladder; unclear on if theyre just drug delivery or if they also then provide the drugs themselves. Seems like just device, not drugs; strong team; potentially deep tech if just device. Ask more during interview if just device, just therapeutics, or combination of</t>
  </si>
  <si>
    <t xml:space="preserve">Founders didnt give a good sense of how their technology works; despite this they did raise a large round. Does not give enough information to really evaluate; could not find founders on linkedin/not a lot of understanding about who the team is. </t>
  </si>
  <si>
    <t>Move to digital tech; ai tracking network problems based on customer service calls</t>
  </si>
  <si>
    <t>Not terribly exciting; nyu affiliation; SaaS system for pre surgery; not original in idea, not much if any traction; large market already; not currently piloted at large hospital</t>
  </si>
  <si>
    <t>From indiebio ny; referred by mentor; raised strong rounds; however entering extremely competitive market, similar applications in list; end user price is higher than similar existing solutions; seems to exaggerate end price to show larger target market; no data about scaling; poor demo video in app, chris saw stronger pitch after indiebio; good team, but during interview need to ask specifically about ability to scale tech</t>
  </si>
  <si>
    <t>Connects to zoom/meets to use facial rec and voice rec to analyze engagement; dit move, best in class type situation</t>
  </si>
  <si>
    <t>Move to dit; improving interaction and removing redundancy; comes highly rec from 5g innovation lab; already earning revenue from one client; needs stronger validation examples; mark to revisit app potentially</t>
  </si>
  <si>
    <t xml:space="preserve">No invite? Def revisit; good founder who would connect well with mentors but tech is not particularly exciting; looking to expand into US market which efl could help with; tech not innovative or novel; however has potential to scale up with potential partnerships with large home construction stores despite faults; </t>
  </si>
  <si>
    <t>Dit move; similar company last year that we did not tech; khoa to revisit?</t>
  </si>
  <si>
    <t>Taiy?.AI _2022</t>
  </si>
  <si>
    <t>Dit move?; already developing revenue streams; impressed with revenue without need for aggressive fundraising; feels like a novel idea in a "backwards space"; revisit in DIT!</t>
  </si>
  <si>
    <t>No prototype tested yet; perhaps invite next year when theres more of something to test; despite this, strong team with phd in areas, and otherwise a company we dont see often; recommend interview to learn more about their plans/progress</t>
  </si>
  <si>
    <t xml:space="preserve">Khoa will revisit if room; </t>
  </si>
  <si>
    <t>Innovative research; founder is a top researcher at univerity if washington who's started a research lab; revisit if theres no others in this space ; move to dit</t>
  </si>
  <si>
    <t>Could be deep tech; supply chain issues could stop production if one time use sensor; cleared by FDA; hospitalists on board; team has startups and exits; not particularly exciting tech, but potentially revisit for deep tech?l</t>
  </si>
  <si>
    <t>Deepak Hegde
4</t>
  </si>
  <si>
    <t>Khoa Ma
4</t>
  </si>
  <si>
    <t>Khoa Ma
4.5</t>
  </si>
  <si>
    <t>Arthur Ibanda
4</t>
  </si>
  <si>
    <t>Khoa Ma
3.5</t>
  </si>
  <si>
    <t>Sriharsha Indupuru
3.5</t>
  </si>
  <si>
    <t>Chris Mosher
5</t>
  </si>
  <si>
    <t>Parsa Amiri
5</t>
  </si>
  <si>
    <t>Shubo (Gabriel) Xu
4</t>
  </si>
  <si>
    <t>Chris Mosher
3</t>
  </si>
  <si>
    <t>Parsa Amiri
4</t>
  </si>
  <si>
    <t>Larisa Kagermazova
4</t>
  </si>
  <si>
    <t>Arthur Ibanda
3.5</t>
  </si>
  <si>
    <t>Khoa Ma
5</t>
  </si>
  <si>
    <t>Arthur Ibanda
5</t>
  </si>
  <si>
    <t>Chris Mosher
4</t>
  </si>
  <si>
    <t>Tugba Oncu
4</t>
  </si>
  <si>
    <t>Sriharsha Indupuru
4</t>
  </si>
  <si>
    <t>Chris Mosher
3.5</t>
  </si>
  <si>
    <t>Tugba Oncu
3</t>
  </si>
  <si>
    <t>Khoa Ma
3</t>
  </si>
  <si>
    <t>Sriharsha Indupuru
4.5</t>
  </si>
  <si>
    <t>Parsa Amiri
3.5</t>
  </si>
  <si>
    <t>Chris Mosher
4.5</t>
  </si>
  <si>
    <t>Parsa Amiri
4.5</t>
  </si>
  <si>
    <t>Mark Flynn
4</t>
  </si>
  <si>
    <t>Nicole McKnight
5</t>
  </si>
  <si>
    <t>Yagnik Mehta
3</t>
  </si>
  <si>
    <t>Yagnik Mehta
4</t>
  </si>
  <si>
    <t>Sriharsha Indupuru
3</t>
  </si>
  <si>
    <t>Yagnik Mehta
3.5</t>
  </si>
  <si>
    <t>#N/A</t>
  </si>
  <si>
    <t>Deepak Hegde
5</t>
  </si>
  <si>
    <t>Beth Xie
4</t>
  </si>
  <si>
    <t>Tugba Oncu
3.5</t>
  </si>
  <si>
    <t>Arthur Ibanda
4.5</t>
  </si>
  <si>
    <t>Sriharsha Indupuru
5</t>
  </si>
  <si>
    <t>Mark Flynn
4.5</t>
  </si>
  <si>
    <t>Larisa Kagermazova
3.5</t>
  </si>
  <si>
    <t>Chris Mosher
2</t>
  </si>
  <si>
    <t>Larisa Kagermazova
2.5</t>
  </si>
  <si>
    <t>Tugba Oncu
5</t>
  </si>
  <si>
    <t>Shubo (Gabriel) Xu
3.5</t>
  </si>
  <si>
    <t>Deepak Hegde
4.5</t>
  </si>
  <si>
    <t>Beth Xie
3.5</t>
  </si>
  <si>
    <t>Boyang Yu
4</t>
  </si>
  <si>
    <t>Joseph Stern
5</t>
  </si>
  <si>
    <t>Beth Xie
4.5</t>
  </si>
  <si>
    <t>Beth Xie
4.25</t>
  </si>
  <si>
    <t>Frank Vallese
3</t>
  </si>
  <si>
    <t>Matt Myers
4</t>
  </si>
  <si>
    <t>Shubo (Gabriel) Xu
2.5</t>
  </si>
  <si>
    <t>Yin He
4</t>
  </si>
  <si>
    <t>Deepak Hegde
4.25</t>
  </si>
  <si>
    <t>Yin He
5</t>
  </si>
  <si>
    <t>Arthur Ibanda
2</t>
  </si>
  <si>
    <t>Matt Myers
5</t>
  </si>
  <si>
    <t>Avi Rosenbaum
5</t>
  </si>
  <si>
    <t>Beth Xie
5</t>
  </si>
  <si>
    <t>Deepak Hegde
3.5</t>
  </si>
  <si>
    <t>Nicole McKnight
4</t>
  </si>
  <si>
    <t>Matt Myers
4.5</t>
  </si>
  <si>
    <t>Yash Rohera
4</t>
  </si>
  <si>
    <t>Joseph Stern
4</t>
  </si>
  <si>
    <t>Matt Myers
3.5</t>
  </si>
  <si>
    <t>Avi Rosenbaum
4</t>
  </si>
  <si>
    <t>Frank Vallese
4</t>
  </si>
  <si>
    <t>Boyang Yu
4.5</t>
  </si>
  <si>
    <t>Boyang Yu
3.75</t>
  </si>
  <si>
    <t>Matt Myers
3.25</t>
  </si>
  <si>
    <t>Mark Flynn
4.25</t>
  </si>
  <si>
    <t>Boyang Yu
3.5</t>
  </si>
  <si>
    <t>Shubo (Gabriel) Xu
4.5</t>
  </si>
  <si>
    <t>Israeli Ran
4</t>
  </si>
  <si>
    <t>Dan Madden
4</t>
  </si>
  <si>
    <t>Beth Xie
4.75</t>
  </si>
  <si>
    <t>Chaitanya Kotcherlakota
4.5</t>
  </si>
  <si>
    <t>Shubo (Gabriel) Xu
3</t>
  </si>
  <si>
    <t>Jonathan Ngo
5</t>
  </si>
  <si>
    <t>Jonathan Ngo
4</t>
  </si>
  <si>
    <t>Kinni Shah
4</t>
  </si>
  <si>
    <t>Georgie Kurian
4</t>
  </si>
  <si>
    <t>Mark Flynn
3.5</t>
  </si>
  <si>
    <t>Matt Myers
3.75</t>
  </si>
  <si>
    <t>Beth Xie
3.75</t>
  </si>
  <si>
    <t>Dan Madden
3</t>
  </si>
  <si>
    <t>Larisa Kagermazova
5</t>
  </si>
  <si>
    <t>Tugba Oncu
4.5</t>
  </si>
  <si>
    <t>Larisa Kagermazova
3.99</t>
  </si>
  <si>
    <t>Boyang Yu
3</t>
  </si>
  <si>
    <t>Parsa Amiri
3</t>
  </si>
  <si>
    <t>Larisa Kagermazova
4.5</t>
  </si>
  <si>
    <t>Tugba Oncu
4.75</t>
  </si>
  <si>
    <t>Larisa Kagermazova
3</t>
  </si>
  <si>
    <t>Arthur Ibanda
3</t>
  </si>
  <si>
    <t>Yash Rohera
2</t>
  </si>
  <si>
    <t>#ERROR!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</si>
</sst>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0">
    <numFmt numFmtId="164" formatCode="m\-d"/>
    <numFmt numFmtId="165" formatCode="m/d"/>
    <numFmt numFmtId="166" formatCode="m/d/yyyy"/>
    <numFmt numFmtId="167" formatCode="m&quot;/&quot;d&quot; &quot;"/>
    <numFmt numFmtId="168" formatCode="&quot;$&quot;#,##0"/>
    <numFmt numFmtId="169" formatCode="&quot;$&quot;#,##0.00"/>
    <numFmt numFmtId="170" formatCode="#,##0&quot;$&quot;"/>
    <numFmt numFmtId="171" formatCode="#,##0.00&quot;$&quot;"/>
    <numFmt numFmtId="172" formatCode="mm/dd/yyyy"/>
    <numFmt numFmtId="173" formatCode="m/d/yyyy\ h:mm:ss"/>
  </numFmts>
  <fonts count="84">
    <font>
      <sz val="11"/>
      <color rgb="FF000000"/>
      <name val="Calibri"/>
      <scheme val="minor"/>
    </font>
    <font>
      <sz val="12"/>
      <color theme="1"/>
      <name val="Calibri"/>
      <family val="2"/>
      <scheme val="minor"/>
    </font>
    <font>
      <b/>
      <sz val="12"/>
      <color theme="0"/>
      <name val="Calibri"/>
      <family val="2"/>
      <scheme val="minor"/>
    </font>
    <font>
      <sz val="11"/>
      <name val="Calibri"/>
      <family val="2"/>
    </font>
    <font>
      <b/>
      <sz val="12"/>
      <color rgb="FFFFFFFF"/>
      <name val="Calibri"/>
      <family val="2"/>
      <scheme val="minor"/>
    </font>
    <font>
      <b/>
      <sz val="12"/>
      <color theme="1"/>
      <name val="Calibri"/>
      <family val="2"/>
    </font>
    <font>
      <b/>
      <sz val="10"/>
      <color theme="1"/>
      <name val="Calibri"/>
      <family val="2"/>
      <scheme val="minor"/>
    </font>
    <font>
      <sz val="10"/>
      <color theme="1"/>
      <name val="Calibri"/>
      <family val="2"/>
      <scheme val="minor"/>
    </font>
    <font>
      <sz val="11"/>
      <color theme="1"/>
      <name val="Calibri"/>
      <family val="2"/>
      <scheme val="minor"/>
    </font>
    <font>
      <sz val="11"/>
      <color rgb="FF000000"/>
      <name val="Inconsolata"/>
    </font>
    <font>
      <b/>
      <sz val="10"/>
      <color rgb="FFFFFFFF"/>
      <name val="Calibri"/>
      <family val="2"/>
      <scheme val="minor"/>
    </font>
    <font>
      <b/>
      <sz val="12"/>
      <color theme="1"/>
      <name val="Calibri"/>
      <family val="2"/>
      <scheme val="minor"/>
    </font>
    <font>
      <b/>
      <sz val="12"/>
      <color theme="1"/>
      <name val="Inconsolata"/>
    </font>
    <font>
      <b/>
      <sz val="11"/>
      <color theme="1"/>
      <name val="Calibri"/>
      <family val="2"/>
      <scheme val="minor"/>
    </font>
    <font>
      <i/>
      <sz val="12"/>
      <color theme="1"/>
      <name val="Calibri"/>
      <family val="2"/>
      <scheme val="minor"/>
    </font>
    <font>
      <b/>
      <sz val="10"/>
      <color theme="0"/>
      <name val="Inconsolata"/>
    </font>
    <font>
      <b/>
      <sz val="10"/>
      <color rgb="FFFFFFFF"/>
      <name val="Inconsolata"/>
    </font>
    <font>
      <b/>
      <sz val="10"/>
      <color theme="1"/>
      <name val="Inconsolata"/>
    </font>
    <font>
      <sz val="10"/>
      <color theme="1"/>
      <name val="Inconsolata"/>
    </font>
    <font>
      <sz val="8"/>
      <color theme="1"/>
      <name val="Inconsolata"/>
    </font>
    <font>
      <b/>
      <i/>
      <sz val="7"/>
      <color theme="1"/>
      <name val="Inconsolata"/>
    </font>
    <font>
      <b/>
      <sz val="11"/>
      <color theme="1"/>
      <name val="Inconsolata"/>
    </font>
    <font>
      <sz val="11"/>
      <color theme="1"/>
      <name val="Inconsolata"/>
    </font>
    <font>
      <sz val="11"/>
      <color rgb="FFFFFFFF"/>
      <name val="Inconsolata"/>
    </font>
    <font>
      <u/>
      <sz val="11"/>
      <color rgb="FF1155CC"/>
      <name val="Inconsolata"/>
    </font>
    <font>
      <u/>
      <sz val="11"/>
      <color rgb="FF1155CC"/>
      <name val="Inconsolata"/>
    </font>
    <font>
      <sz val="11"/>
      <color theme="1"/>
      <name val="Arial"/>
      <family val="2"/>
    </font>
    <font>
      <u/>
      <sz val="11"/>
      <color rgb="FF1155CC"/>
      <name val="Arial"/>
      <family val="2"/>
    </font>
    <font>
      <sz val="11"/>
      <color rgb="FF1155CC"/>
      <name val="Arial"/>
      <family val="2"/>
    </font>
    <font>
      <u/>
      <sz val="11"/>
      <color rgb="FF1155CC"/>
      <name val="Arial"/>
      <family val="2"/>
    </font>
    <font>
      <u/>
      <sz val="11"/>
      <color rgb="FF0000FF"/>
      <name val="Calibri"/>
      <family val="2"/>
    </font>
    <font>
      <sz val="8"/>
      <color theme="1"/>
      <name val="Calibri"/>
      <family val="2"/>
      <scheme val="minor"/>
    </font>
    <font>
      <b/>
      <sz val="8"/>
      <color rgb="FF000000"/>
      <name val="&quot;Helvetica Neue&quot;"/>
    </font>
    <font>
      <sz val="11"/>
      <color rgb="FF000000"/>
      <name val="Calibri"/>
      <family val="2"/>
      <scheme val="minor"/>
    </font>
    <font>
      <sz val="8"/>
      <color rgb="FF000000"/>
      <name val="&quot;Helvetica Neue&quot;"/>
    </font>
    <font>
      <sz val="8"/>
      <color rgb="FF000000"/>
      <name val="Calibri"/>
      <family val="2"/>
      <scheme val="minor"/>
    </font>
    <font>
      <u/>
      <sz val="8"/>
      <color rgb="FF000000"/>
      <name val="&quot;Helvetica Neue&quot;"/>
    </font>
    <font>
      <u/>
      <sz val="8"/>
      <color rgb="FF000000"/>
      <name val="&quot;Helvetica Neue&quot;"/>
    </font>
    <font>
      <b/>
      <sz val="12"/>
      <color rgb="FF56585B"/>
      <name val="Calibri"/>
      <family val="2"/>
    </font>
    <font>
      <sz val="12"/>
      <color rgb="FF56585B"/>
      <name val="Calibri"/>
      <family val="2"/>
    </font>
    <font>
      <u/>
      <sz val="12"/>
      <color rgb="FF56585B"/>
      <name val="Calibri"/>
      <family val="2"/>
    </font>
    <font>
      <b/>
      <sz val="11"/>
      <color rgb="FF56585B"/>
      <name val="Inconsolata"/>
    </font>
    <font>
      <sz val="11"/>
      <color theme="1"/>
      <name val="Inconsolata"/>
    </font>
    <font>
      <b/>
      <sz val="11"/>
      <color rgb="FF000000"/>
      <name val="Inconsolata"/>
    </font>
    <font>
      <u/>
      <sz val="11"/>
      <color rgb="FF000000"/>
      <name val="Inconsolata"/>
    </font>
    <font>
      <u/>
      <sz val="11"/>
      <color rgb="FF000000"/>
      <name val="Inconsolata"/>
    </font>
    <font>
      <u/>
      <sz val="11"/>
      <color rgb="FF0000FF"/>
      <name val="Inconsolata"/>
    </font>
    <font>
      <u/>
      <sz val="11"/>
      <color rgb="FF000000"/>
      <name val="Inconsolata"/>
    </font>
    <font>
      <u/>
      <sz val="11"/>
      <color rgb="FF000000"/>
      <name val="Inconsolata"/>
    </font>
    <font>
      <u/>
      <sz val="11"/>
      <color rgb="FF000000"/>
      <name val="Inconsolata"/>
    </font>
    <font>
      <u/>
      <sz val="11"/>
      <color rgb="FF000000"/>
      <name val="Inconsolata"/>
    </font>
    <font>
      <u/>
      <sz val="11"/>
      <color rgb="FF000000"/>
      <name val="Inconsolata"/>
    </font>
    <font>
      <u/>
      <sz val="11"/>
      <color rgb="FF000000"/>
      <name val="Inconsolata"/>
    </font>
    <font>
      <u/>
      <sz val="11"/>
      <color rgb="FF000000"/>
      <name val="Inconsolata"/>
    </font>
    <font>
      <u/>
      <sz val="11"/>
      <color rgb="FF0000FF"/>
      <name val="Inconsolata"/>
    </font>
    <font>
      <u/>
      <sz val="11"/>
      <color rgb="FF0000FF"/>
      <name val="Inconsolata"/>
    </font>
    <font>
      <b/>
      <sz val="11"/>
      <color theme="1"/>
      <name val="Inconsolata"/>
    </font>
    <font>
      <sz val="11"/>
      <color rgb="FF56585B"/>
      <name val="Inconsolata"/>
    </font>
    <font>
      <u/>
      <sz val="11"/>
      <color rgb="FF0000FF"/>
      <name val="Inconsolata"/>
    </font>
    <font>
      <sz val="11"/>
      <color rgb="FFFFFFFF"/>
      <name val="Inconsolata"/>
    </font>
    <font>
      <sz val="11"/>
      <color theme="1"/>
      <name val="Docs-Inconsolata"/>
    </font>
    <font>
      <u/>
      <sz val="11"/>
      <color rgb="FF000000"/>
      <name val="Inconsolata"/>
    </font>
    <font>
      <u/>
      <sz val="12"/>
      <color rgb="FF56585B"/>
      <name val="Calibri"/>
      <family val="2"/>
    </font>
    <font>
      <sz val="12"/>
      <color rgb="FF56585B"/>
      <name val="Docs-Calibri"/>
    </font>
    <font>
      <sz val="12"/>
      <color rgb="FF000000"/>
      <name val="Docs-Calibri"/>
    </font>
    <font>
      <u/>
      <sz val="11"/>
      <color rgb="FF000000"/>
      <name val="Inconsolata"/>
    </font>
    <font>
      <b/>
      <sz val="8"/>
      <color theme="1"/>
      <name val="Inconsolata"/>
    </font>
    <font>
      <b/>
      <sz val="9"/>
      <color theme="1"/>
      <name val="Inconsolata"/>
    </font>
    <font>
      <sz val="9"/>
      <color theme="1"/>
      <name val="Inconsolata"/>
    </font>
    <font>
      <sz val="12"/>
      <color rgb="FF000000"/>
      <name val="Calibri"/>
      <family val="2"/>
    </font>
    <font>
      <u/>
      <sz val="8"/>
      <color rgb="FF0000FF"/>
      <name val="Calibri"/>
      <family val="2"/>
    </font>
    <font>
      <u/>
      <sz val="11"/>
      <color rgb="FF0000FF"/>
      <name val="Calibri"/>
      <family val="2"/>
    </font>
    <font>
      <b/>
      <sz val="11"/>
      <color rgb="FFFFFFFF"/>
      <name val="Calibri"/>
      <family val="2"/>
      <scheme val="minor"/>
    </font>
    <font>
      <sz val="11"/>
      <color rgb="FF000000"/>
      <name val="Docs-Inconsolata"/>
    </font>
    <font>
      <u/>
      <sz val="11"/>
      <color rgb="FF0000FF"/>
      <name val="Inconsolata"/>
    </font>
    <font>
      <u/>
      <sz val="11"/>
      <color rgb="FF0000FF"/>
      <name val="Inconsolata"/>
    </font>
    <font>
      <u/>
      <sz val="11"/>
      <color rgb="FF0000FF"/>
      <name val="Inconsolata"/>
    </font>
    <font>
      <u/>
      <sz val="11"/>
      <color rgb="FF000000"/>
      <name val="Inconsolata"/>
    </font>
    <font>
      <u/>
      <sz val="11"/>
      <color rgb="FF000000"/>
      <name val="Inconsolata"/>
    </font>
    <font>
      <u/>
      <sz val="11"/>
      <color rgb="FF000000"/>
      <name val="Inconsolata"/>
    </font>
    <font>
      <u/>
      <sz val="11"/>
      <color rgb="FF000000"/>
      <name val="Inconsolata"/>
    </font>
    <font>
      <b/>
      <sz val="12"/>
      <color rgb="FF000000"/>
      <name val="Calibri"/>
      <family val="2"/>
    </font>
    <font>
      <sz val="11"/>
      <name val="Inconsolata"/>
    </font>
    <font>
      <u/>
      <sz val="11"/>
      <color rgb="FF1155CC"/>
      <name val="Calibri"/>
      <family val="2"/>
    </font>
  </fonts>
  <fills count="33">
    <fill>
      <patternFill patternType="none"/>
    </fill>
    <fill>
      <patternFill patternType="gray125"/>
    </fill>
    <fill>
      <patternFill patternType="solid">
        <fgColor rgb="FF666666"/>
        <bgColor rgb="FF666666"/>
      </patternFill>
    </fill>
    <fill>
      <patternFill patternType="solid">
        <fgColor rgb="FFCCCCCC"/>
        <bgColor rgb="FFCCCCCC"/>
      </patternFill>
    </fill>
    <fill>
      <patternFill patternType="solid">
        <fgColor rgb="FFFFFF00"/>
        <bgColor rgb="FFFFFF00"/>
      </patternFill>
    </fill>
    <fill>
      <patternFill patternType="solid">
        <fgColor rgb="FF93C47D"/>
        <bgColor rgb="FF93C47D"/>
      </patternFill>
    </fill>
    <fill>
      <patternFill patternType="solid">
        <fgColor rgb="FF8E7CC3"/>
        <bgColor rgb="FF8E7CC3"/>
      </patternFill>
    </fill>
    <fill>
      <patternFill patternType="solid">
        <fgColor rgb="FFFFFFFF"/>
        <bgColor rgb="FFFFFFFF"/>
      </patternFill>
    </fill>
    <fill>
      <patternFill patternType="solid">
        <fgColor rgb="FFEFEFEF"/>
        <bgColor rgb="FFEFEFEF"/>
      </patternFill>
    </fill>
    <fill>
      <patternFill patternType="solid">
        <fgColor rgb="FFF3F3F3"/>
        <bgColor rgb="FFF3F3F3"/>
      </patternFill>
    </fill>
    <fill>
      <patternFill patternType="solid">
        <fgColor rgb="FFBDBDBD"/>
        <bgColor rgb="FFBDBDBD"/>
      </patternFill>
    </fill>
    <fill>
      <patternFill patternType="solid">
        <fgColor rgb="FF4A86E8"/>
        <bgColor rgb="FF4A86E8"/>
      </patternFill>
    </fill>
    <fill>
      <patternFill patternType="solid">
        <fgColor rgb="FF6AA84F"/>
        <bgColor rgb="FF6AA84F"/>
      </patternFill>
    </fill>
    <fill>
      <patternFill patternType="solid">
        <fgColor rgb="FFFF0000"/>
        <bgColor rgb="FFFF0000"/>
      </patternFill>
    </fill>
    <fill>
      <patternFill patternType="solid">
        <fgColor rgb="FFB6D7A8"/>
        <bgColor rgb="FFB6D7A8"/>
      </patternFill>
    </fill>
    <fill>
      <patternFill patternType="solid">
        <fgColor rgb="FFCFE2F3"/>
        <bgColor rgb="FFCFE2F3"/>
      </patternFill>
    </fill>
    <fill>
      <patternFill patternType="solid">
        <fgColor rgb="FFD9D2E9"/>
        <bgColor rgb="FFD9D2E9"/>
      </patternFill>
    </fill>
    <fill>
      <patternFill patternType="solid">
        <fgColor rgb="FFB0B3B2"/>
        <bgColor rgb="FFB0B3B2"/>
      </patternFill>
    </fill>
    <fill>
      <patternFill patternType="solid">
        <fgColor rgb="FFD0E0E3"/>
        <bgColor rgb="FFD0E0E3"/>
      </patternFill>
    </fill>
    <fill>
      <patternFill patternType="solid">
        <fgColor rgb="FFD4D4D4"/>
        <bgColor rgb="FFD4D4D4"/>
      </patternFill>
    </fill>
    <fill>
      <patternFill patternType="solid">
        <fgColor rgb="FF00FF00"/>
        <bgColor rgb="FF00FF00"/>
      </patternFill>
    </fill>
    <fill>
      <patternFill patternType="solid">
        <fgColor rgb="FFD9D9D9"/>
        <bgColor rgb="FFD9D9D9"/>
      </patternFill>
    </fill>
    <fill>
      <patternFill patternType="solid">
        <fgColor theme="0"/>
        <bgColor theme="0"/>
      </patternFill>
    </fill>
    <fill>
      <patternFill patternType="solid">
        <fgColor rgb="FFC9DAF8"/>
        <bgColor rgb="FFC9DAF8"/>
      </patternFill>
    </fill>
    <fill>
      <patternFill patternType="solid">
        <fgColor rgb="FFF4CCCC"/>
        <bgColor rgb="FFF4CCCC"/>
      </patternFill>
    </fill>
    <fill>
      <patternFill patternType="solid">
        <fgColor rgb="FFFCE5CD"/>
        <bgColor rgb="FFFCE5CD"/>
      </patternFill>
    </fill>
    <fill>
      <patternFill patternType="solid">
        <fgColor rgb="FFB4A7D6"/>
        <bgColor rgb="FFB4A7D6"/>
      </patternFill>
    </fill>
    <fill>
      <patternFill patternType="solid">
        <fgColor rgb="FFFF9900"/>
        <bgColor rgb="FFFF9900"/>
      </patternFill>
    </fill>
    <fill>
      <patternFill patternType="solid">
        <fgColor rgb="FFFFF2CC"/>
        <bgColor rgb="FFFFF2CC"/>
      </patternFill>
    </fill>
    <fill>
      <patternFill patternType="solid">
        <fgColor rgb="FFEA9999"/>
        <bgColor rgb="FFEA9999"/>
      </patternFill>
    </fill>
    <fill>
      <patternFill patternType="solid">
        <fgColor rgb="FF999999"/>
        <bgColor rgb="FF999999"/>
      </patternFill>
    </fill>
    <fill>
      <patternFill patternType="solid">
        <fgColor rgb="FFE9E8E5"/>
        <bgColor rgb="FFE9E8E5"/>
      </patternFill>
    </fill>
    <fill>
      <patternFill patternType="solid">
        <fgColor rgb="FFFFE599"/>
        <bgColor rgb="FFFFE599"/>
      </patternFill>
    </fill>
  </fills>
  <borders count="57">
    <border>
      <left/>
      <right/>
      <top/>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bottom style="medium">
        <color rgb="FF000000"/>
      </bottom>
      <diagonal/>
    </border>
    <border>
      <left/>
      <right style="thin">
        <color rgb="FFFFFFFF"/>
      </right>
      <top/>
      <bottom style="medium">
        <color rgb="FF000000"/>
      </bottom>
      <diagonal/>
    </border>
    <border>
      <left style="thin">
        <color rgb="FFFFFFFF"/>
      </left>
      <right/>
      <top/>
      <bottom style="medium">
        <color rgb="FF000000"/>
      </bottom>
      <diagonal/>
    </border>
    <border>
      <left/>
      <right/>
      <top/>
      <bottom style="medium">
        <color rgb="FF000000"/>
      </bottom>
      <diagonal/>
    </border>
    <border>
      <left style="thin">
        <color rgb="FFFFFFFF"/>
      </left>
      <right style="medium">
        <color rgb="FF000000"/>
      </right>
      <top/>
      <bottom style="medium">
        <color rgb="FF000000"/>
      </bottom>
      <diagonal/>
    </border>
    <border>
      <left style="medium">
        <color rgb="FF000000"/>
      </left>
      <right/>
      <top/>
      <bottom/>
      <diagonal/>
    </border>
    <border>
      <left/>
      <right style="thin">
        <color rgb="FFFFFFFF"/>
      </right>
      <top/>
      <bottom style="thin">
        <color rgb="FFFFFFFF"/>
      </bottom>
      <diagonal/>
    </border>
    <border>
      <left style="thin">
        <color rgb="FFFFFFFF"/>
      </left>
      <right/>
      <top/>
      <bottom style="thin">
        <color rgb="FFFFFFFF"/>
      </bottom>
      <diagonal/>
    </border>
    <border>
      <left/>
      <right/>
      <top/>
      <bottom style="thin">
        <color rgb="FFFFFFFF"/>
      </bottom>
      <diagonal/>
    </border>
    <border>
      <left style="thin">
        <color rgb="FFFFFFFF"/>
      </left>
      <right style="medium">
        <color rgb="FF000000"/>
      </right>
      <top/>
      <bottom style="thin">
        <color rgb="FFFFFFFF"/>
      </bottom>
      <diagonal/>
    </border>
    <border>
      <left/>
      <right style="thin">
        <color rgb="FFFFFFFF"/>
      </right>
      <top style="thin">
        <color rgb="FFFFFFFF"/>
      </top>
      <bottom style="thin">
        <color rgb="FFFFFFFF"/>
      </bottom>
      <diagonal/>
    </border>
    <border>
      <left style="thin">
        <color rgb="FFFFFFFF"/>
      </left>
      <right/>
      <top style="thin">
        <color rgb="FFFFFFFF"/>
      </top>
      <bottom style="thin">
        <color rgb="FFFFFFFF"/>
      </bottom>
      <diagonal/>
    </border>
    <border>
      <left/>
      <right/>
      <top style="thin">
        <color rgb="FFFFFFFF"/>
      </top>
      <bottom style="thin">
        <color rgb="FFFFFFFF"/>
      </bottom>
      <diagonal/>
    </border>
    <border>
      <left style="thin">
        <color rgb="FFFFFFFF"/>
      </left>
      <right style="medium">
        <color rgb="FF000000"/>
      </right>
      <top style="thin">
        <color rgb="FFFFFFFF"/>
      </top>
      <bottom style="thin">
        <color rgb="FFFFFFFF"/>
      </bottom>
      <diagonal/>
    </border>
    <border>
      <left/>
      <right style="thin">
        <color rgb="FFFFFFFF"/>
      </right>
      <top style="thin">
        <color rgb="FFFFFFFF"/>
      </top>
      <bottom style="medium">
        <color rgb="FF000000"/>
      </bottom>
      <diagonal/>
    </border>
    <border>
      <left style="thin">
        <color rgb="FFFFFFFF"/>
      </left>
      <right/>
      <top style="thin">
        <color rgb="FFFFFFFF"/>
      </top>
      <bottom style="medium">
        <color rgb="FF000000"/>
      </bottom>
      <diagonal/>
    </border>
    <border>
      <left/>
      <right/>
      <top style="thin">
        <color rgb="FFFFFFFF"/>
      </top>
      <bottom style="medium">
        <color rgb="FF000000"/>
      </bottom>
      <diagonal/>
    </border>
    <border>
      <left style="thin">
        <color rgb="FFFFFFFF"/>
      </left>
      <right style="medium">
        <color rgb="FF000000"/>
      </right>
      <top style="thin">
        <color rgb="FFFFFFFF"/>
      </top>
      <bottom style="medium">
        <color rgb="FF000000"/>
      </bottom>
      <diagonal/>
    </border>
    <border>
      <left style="medium">
        <color rgb="FF000000"/>
      </left>
      <right style="thin">
        <color rgb="FF000000"/>
      </right>
      <top/>
      <bottom style="medium">
        <color rgb="FF000000"/>
      </bottom>
      <diagonal/>
    </border>
    <border>
      <left/>
      <right style="thin">
        <color rgb="FF000000"/>
      </right>
      <top/>
      <bottom style="medium">
        <color rgb="FF000000"/>
      </bottom>
      <diagonal/>
    </border>
    <border>
      <left style="thin">
        <color rgb="FFFFFFFF"/>
      </left>
      <right style="thin">
        <color rgb="FFFFFFFF"/>
      </right>
      <top/>
      <bottom style="medium">
        <color rgb="FF000000"/>
      </bottom>
      <diagonal/>
    </border>
    <border>
      <left style="medium">
        <color rgb="FF000000"/>
      </left>
      <right style="thin">
        <color rgb="FF000000"/>
      </right>
      <top/>
      <bottom/>
      <diagonal/>
    </border>
    <border>
      <left/>
      <right style="thin">
        <color rgb="FF000000"/>
      </right>
      <top/>
      <bottom style="thin">
        <color rgb="FFFFFFFF"/>
      </bottom>
      <diagonal/>
    </border>
    <border>
      <left style="thin">
        <color rgb="FFFFFFFF"/>
      </left>
      <right style="thin">
        <color rgb="FFFFFFFF"/>
      </right>
      <top/>
      <bottom style="thin">
        <color rgb="FFFFFFFF"/>
      </bottom>
      <diagonal/>
    </border>
    <border>
      <left/>
      <right style="thin">
        <color rgb="FF000000"/>
      </right>
      <top style="thin">
        <color rgb="FFFFFFFF"/>
      </top>
      <bottom style="thin">
        <color rgb="FFFFFFFF"/>
      </bottom>
      <diagonal/>
    </border>
    <border>
      <left style="thin">
        <color rgb="FFFFFFFF"/>
      </left>
      <right style="thin">
        <color rgb="FFFFFFFF"/>
      </right>
      <top style="thin">
        <color rgb="FFFFFFFF"/>
      </top>
      <bottom style="thin">
        <color rgb="FFFFFFFF"/>
      </bottom>
      <diagonal/>
    </border>
    <border>
      <left/>
      <right style="thin">
        <color rgb="FF000000"/>
      </right>
      <top style="thin">
        <color rgb="FFFFFFFF"/>
      </top>
      <bottom style="medium">
        <color rgb="FF000000"/>
      </bottom>
      <diagonal/>
    </border>
    <border>
      <left style="thin">
        <color rgb="FFFFFFFF"/>
      </left>
      <right style="thin">
        <color rgb="FFFFFFFF"/>
      </right>
      <top style="thin">
        <color rgb="FFFFFFFF"/>
      </top>
      <bottom style="medium">
        <color rgb="FF000000"/>
      </bottom>
      <diagonal/>
    </border>
    <border>
      <left/>
      <right style="thin">
        <color rgb="FF000000"/>
      </right>
      <top/>
      <bottom/>
      <diagonal/>
    </border>
    <border>
      <left/>
      <right style="thin">
        <color rgb="FF000000"/>
      </right>
      <top style="medium">
        <color rgb="FF000000"/>
      </top>
      <bottom style="thin">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thin">
        <color rgb="FFFFFFFF"/>
      </left>
      <right style="thin">
        <color rgb="FF000000"/>
      </right>
      <top/>
      <bottom style="thin">
        <color rgb="FFFFFFFF"/>
      </bottom>
      <diagonal/>
    </border>
    <border>
      <left style="medium">
        <color rgb="FF000000"/>
      </left>
      <right style="thin">
        <color rgb="FF000000"/>
      </right>
      <top style="medium">
        <color rgb="FF000000"/>
      </top>
      <bottom style="thin">
        <color rgb="FF000000"/>
      </bottom>
      <diagonal/>
    </border>
    <border>
      <left style="thin">
        <color rgb="FFFFFFFF"/>
      </left>
      <right style="thin">
        <color rgb="FF000000"/>
      </right>
      <top/>
      <bottom/>
      <diagonal/>
    </border>
    <border>
      <left/>
      <right style="thin">
        <color rgb="FFFFFFFF"/>
      </right>
      <top style="thin">
        <color rgb="FFFFFFFF"/>
      </top>
      <bottom/>
      <diagonal/>
    </border>
    <border>
      <left style="thin">
        <color rgb="FFFFFFFF"/>
      </left>
      <right style="thin">
        <color rgb="FFFFFFFF"/>
      </right>
      <top/>
      <bottom/>
      <diagonal/>
    </border>
    <border>
      <left style="thin">
        <color rgb="FFFFFFFF"/>
      </left>
      <right style="medium">
        <color rgb="FF000000"/>
      </right>
      <top style="thin">
        <color rgb="FFFFFFFF"/>
      </top>
      <bottom/>
      <diagonal/>
    </border>
    <border>
      <left style="thin">
        <color rgb="FFFFFFFF"/>
      </left>
      <right style="thin">
        <color rgb="FF000000"/>
      </right>
      <top/>
      <bottom style="medium">
        <color rgb="FF000000"/>
      </bottom>
      <diagonal/>
    </border>
    <border>
      <left/>
      <right style="thin">
        <color rgb="FFFFFFFF"/>
      </right>
      <top/>
      <bottom/>
      <diagonal/>
    </border>
    <border>
      <left style="thin">
        <color rgb="FFFFFFFF"/>
      </left>
      <right style="medium">
        <color rgb="FF000000"/>
      </right>
      <top/>
      <bottom/>
      <diagonal/>
    </border>
    <border>
      <left style="medium">
        <color rgb="FF000000"/>
      </left>
      <right style="thin">
        <color rgb="FF000000"/>
      </right>
      <top style="medium">
        <color rgb="FF000000"/>
      </top>
      <bottom style="medium">
        <color rgb="FF000000"/>
      </bottom>
      <diagonal/>
    </border>
    <border>
      <left style="thin">
        <color rgb="FFFFFFFF"/>
      </left>
      <right style="thin">
        <color rgb="FF000000"/>
      </right>
      <top style="medium">
        <color rgb="FF000000"/>
      </top>
      <bottom style="medium">
        <color rgb="FF000000"/>
      </bottom>
      <diagonal/>
    </border>
    <border>
      <left/>
      <right style="thin">
        <color rgb="FFFFFFFF"/>
      </right>
      <top style="medium">
        <color rgb="FF000000"/>
      </top>
      <bottom style="medium">
        <color rgb="FF000000"/>
      </bottom>
      <diagonal/>
    </border>
    <border>
      <left style="thin">
        <color rgb="FFFFFFFF"/>
      </left>
      <right style="thin">
        <color rgb="FFFFFFFF"/>
      </right>
      <top style="medium">
        <color rgb="FF000000"/>
      </top>
      <bottom style="medium">
        <color rgb="FF000000"/>
      </bottom>
      <diagonal/>
    </border>
    <border>
      <left style="thin">
        <color rgb="FFFFFFFF"/>
      </left>
      <right style="medium">
        <color rgb="FF000000"/>
      </right>
      <top style="medium">
        <color rgb="FF000000"/>
      </top>
      <bottom style="medium">
        <color rgb="FF000000"/>
      </bottom>
      <diagonal/>
    </border>
    <border>
      <left/>
      <right style="medium">
        <color rgb="FF000000"/>
      </right>
      <top/>
      <bottom/>
      <diagonal/>
    </border>
    <border>
      <left/>
      <right style="medium">
        <color rgb="FF000000"/>
      </right>
      <top/>
      <bottom style="medium">
        <color rgb="FF000000"/>
      </bottom>
      <diagonal/>
    </border>
    <border>
      <left/>
      <right style="medium">
        <color rgb="FF000000"/>
      </right>
      <top/>
      <bottom style="thin">
        <color rgb="FFFFFFFF"/>
      </bottom>
      <diagonal/>
    </border>
    <border>
      <left/>
      <right style="medium">
        <color rgb="FF000000"/>
      </right>
      <top style="thin">
        <color rgb="FFFFFFFF"/>
      </top>
      <bottom style="thin">
        <color rgb="FFFFFFFF"/>
      </bottom>
      <diagonal/>
    </border>
    <border>
      <left/>
      <right style="medium">
        <color rgb="FF000000"/>
      </right>
      <top style="thin">
        <color rgb="FFFFFFFF"/>
      </top>
      <bottom/>
      <diagonal/>
    </border>
    <border>
      <left style="thin">
        <color rgb="FFFFFFFF"/>
      </left>
      <right/>
      <top style="thin">
        <color rgb="FFFFFFFF"/>
      </top>
      <bottom/>
      <diagonal/>
    </border>
  </borders>
  <cellStyleXfs count="1">
    <xf numFmtId="0" fontId="0" fillId="0" borderId="0"/>
  </cellStyleXfs>
  <cellXfs count="588">
    <xf numFmtId="0" fontId="0" fillId="0" borderId="0" xfId="0"/>
    <xf numFmtId="0" fontId="1" fillId="0" borderId="0" xfId="0" applyFont="1"/>
    <xf numFmtId="0" fontId="4" fillId="2" borderId="1" xfId="0" applyFont="1" applyFill="1" applyBorder="1" applyAlignment="1">
      <alignment horizontal="center"/>
    </xf>
    <xf numFmtId="0" fontId="5" fillId="3" borderId="4" xfId="0" applyFont="1" applyFill="1" applyBorder="1" applyAlignment="1">
      <alignment horizontal="right"/>
    </xf>
    <xf numFmtId="9" fontId="6" fillId="0" borderId="5" xfId="0" applyNumberFormat="1" applyFont="1" applyBorder="1" applyAlignment="1">
      <alignment horizontal="center" vertical="center"/>
    </xf>
    <xf numFmtId="0" fontId="6" fillId="0" borderId="8" xfId="0" applyFont="1" applyBorder="1" applyAlignment="1">
      <alignment horizontal="center" vertical="center"/>
    </xf>
    <xf numFmtId="0" fontId="8" fillId="0" borderId="0" xfId="0" applyFont="1"/>
    <xf numFmtId="0" fontId="5" fillId="3" borderId="9" xfId="0" applyFont="1" applyFill="1" applyBorder="1" applyAlignment="1">
      <alignment horizontal="right"/>
    </xf>
    <xf numFmtId="9" fontId="6" fillId="4" borderId="10" xfId="0" applyNumberFormat="1" applyFont="1" applyFill="1" applyBorder="1" applyAlignment="1">
      <alignment horizontal="center" vertical="center"/>
    </xf>
    <xf numFmtId="0" fontId="6" fillId="0" borderId="13" xfId="0" applyFont="1" applyBorder="1" applyAlignment="1">
      <alignment horizontal="center" vertical="center"/>
    </xf>
    <xf numFmtId="9" fontId="6" fillId="0" borderId="10" xfId="0" applyNumberFormat="1" applyFont="1" applyBorder="1" applyAlignment="1">
      <alignment horizontal="center" vertical="center"/>
    </xf>
    <xf numFmtId="9" fontId="6" fillId="4" borderId="14" xfId="0" applyNumberFormat="1" applyFont="1" applyFill="1" applyBorder="1" applyAlignment="1">
      <alignment horizontal="center" vertical="center"/>
    </xf>
    <xf numFmtId="0" fontId="6" fillId="0" borderId="17" xfId="0" applyFont="1" applyBorder="1" applyAlignment="1">
      <alignment horizontal="center" vertical="center"/>
    </xf>
    <xf numFmtId="9" fontId="6" fillId="0" borderId="14" xfId="0" applyNumberFormat="1" applyFont="1" applyBorder="1" applyAlignment="1">
      <alignment horizontal="center" vertical="center"/>
    </xf>
    <xf numFmtId="9" fontId="6" fillId="4" borderId="18" xfId="0" applyNumberFormat="1" applyFont="1" applyFill="1" applyBorder="1" applyAlignment="1">
      <alignment horizontal="center" vertical="center"/>
    </xf>
    <xf numFmtId="0" fontId="6" fillId="0" borderId="21" xfId="0" applyFont="1" applyBorder="1" applyAlignment="1">
      <alignment horizontal="center" vertical="center"/>
    </xf>
    <xf numFmtId="9" fontId="6" fillId="0" borderId="18" xfId="0" applyNumberFormat="1" applyFont="1" applyBorder="1" applyAlignment="1">
      <alignment horizontal="center" vertical="center"/>
    </xf>
    <xf numFmtId="0" fontId="1" fillId="0" borderId="0" xfId="0" applyFont="1" applyAlignment="1">
      <alignment horizontal="center"/>
    </xf>
    <xf numFmtId="0" fontId="2" fillId="2" borderId="2" xfId="0" applyFont="1" applyFill="1" applyBorder="1" applyAlignment="1">
      <alignment horizontal="center"/>
    </xf>
    <xf numFmtId="0" fontId="2" fillId="2" borderId="2" xfId="0" applyFont="1" applyFill="1" applyBorder="1" applyAlignment="1">
      <alignment horizontal="center" vertical="center"/>
    </xf>
    <xf numFmtId="164" fontId="10" fillId="2" borderId="2" xfId="0" applyNumberFormat="1" applyFont="1" applyFill="1" applyBorder="1" applyAlignment="1">
      <alignment horizontal="center" vertical="center"/>
    </xf>
    <xf numFmtId="0" fontId="2" fillId="2" borderId="3" xfId="0" applyFont="1" applyFill="1" applyBorder="1" applyAlignment="1">
      <alignment horizontal="center" vertical="center"/>
    </xf>
    <xf numFmtId="0" fontId="2" fillId="2" borderId="0" xfId="0" applyFont="1" applyFill="1" applyAlignment="1">
      <alignment horizontal="center" vertical="center"/>
    </xf>
    <xf numFmtId="0" fontId="11" fillId="3" borderId="22" xfId="0" applyFont="1" applyFill="1" applyBorder="1" applyAlignment="1">
      <alignment horizontal="right"/>
    </xf>
    <xf numFmtId="0" fontId="12" fillId="0" borderId="23" xfId="0" applyFont="1" applyBorder="1" applyAlignment="1">
      <alignment horizontal="center"/>
    </xf>
    <xf numFmtId="0" fontId="12" fillId="0" borderId="7" xfId="0" applyFont="1" applyBorder="1" applyAlignment="1">
      <alignment horizontal="center"/>
    </xf>
    <xf numFmtId="0" fontId="12" fillId="0" borderId="24" xfId="0" applyFont="1" applyBorder="1" applyAlignment="1">
      <alignment horizontal="center"/>
    </xf>
    <xf numFmtId="0" fontId="12" fillId="5" borderId="24" xfId="0" applyFont="1" applyFill="1" applyBorder="1" applyAlignment="1">
      <alignment horizontal="center"/>
    </xf>
    <xf numFmtId="0" fontId="12" fillId="5" borderId="8" xfId="0" applyFont="1" applyFill="1" applyBorder="1" applyAlignment="1">
      <alignment horizontal="center"/>
    </xf>
    <xf numFmtId="0" fontId="12" fillId="0" borderId="0" xfId="0" applyFont="1" applyAlignment="1">
      <alignment horizontal="center"/>
    </xf>
    <xf numFmtId="0" fontId="12" fillId="0" borderId="8" xfId="0" applyFont="1" applyBorder="1" applyAlignment="1">
      <alignment horizontal="center"/>
    </xf>
    <xf numFmtId="0" fontId="11" fillId="3" borderId="25" xfId="0" applyFont="1" applyFill="1" applyBorder="1" applyAlignment="1">
      <alignment horizontal="right"/>
    </xf>
    <xf numFmtId="0" fontId="12" fillId="4" borderId="26" xfId="0" applyFont="1" applyFill="1" applyBorder="1" applyAlignment="1">
      <alignment horizontal="center"/>
    </xf>
    <xf numFmtId="0" fontId="12" fillId="0" borderId="12" xfId="0" applyFont="1" applyBorder="1" applyAlignment="1">
      <alignment horizontal="center"/>
    </xf>
    <xf numFmtId="0" fontId="12" fillId="0" borderId="27" xfId="0" applyFont="1" applyBorder="1" applyAlignment="1">
      <alignment horizontal="center"/>
    </xf>
    <xf numFmtId="0" fontId="12" fillId="0" borderId="13" xfId="0" applyFont="1" applyBorder="1" applyAlignment="1">
      <alignment horizontal="center"/>
    </xf>
    <xf numFmtId="0" fontId="12" fillId="0" borderId="26" xfId="0" applyFont="1" applyBorder="1" applyAlignment="1">
      <alignment horizontal="center"/>
    </xf>
    <xf numFmtId="0" fontId="12" fillId="4" borderId="28" xfId="0" applyFont="1" applyFill="1" applyBorder="1" applyAlignment="1">
      <alignment horizontal="center"/>
    </xf>
    <xf numFmtId="0" fontId="12" fillId="0" borderId="16" xfId="0" applyFont="1" applyBorder="1" applyAlignment="1">
      <alignment horizontal="center"/>
    </xf>
    <xf numFmtId="0" fontId="12" fillId="0" borderId="29" xfId="0" applyFont="1" applyBorder="1" applyAlignment="1">
      <alignment horizontal="center"/>
    </xf>
    <xf numFmtId="0" fontId="12" fillId="0" borderId="17" xfId="0" applyFont="1" applyBorder="1" applyAlignment="1">
      <alignment horizontal="center"/>
    </xf>
    <xf numFmtId="0" fontId="12" fillId="0" borderId="28" xfId="0" applyFont="1" applyBorder="1" applyAlignment="1">
      <alignment horizontal="center"/>
    </xf>
    <xf numFmtId="0" fontId="12" fillId="4" borderId="30" xfId="0" applyFont="1" applyFill="1" applyBorder="1" applyAlignment="1">
      <alignment horizontal="center"/>
    </xf>
    <xf numFmtId="0" fontId="12" fillId="0" borderId="20" xfId="0" applyFont="1" applyBorder="1" applyAlignment="1">
      <alignment horizontal="center"/>
    </xf>
    <xf numFmtId="0" fontId="12" fillId="0" borderId="31" xfId="0" applyFont="1" applyBorder="1" applyAlignment="1">
      <alignment horizontal="center"/>
    </xf>
    <xf numFmtId="0" fontId="12" fillId="0" borderId="21" xfId="0" applyFont="1" applyBorder="1" applyAlignment="1">
      <alignment horizontal="center"/>
    </xf>
    <xf numFmtId="0" fontId="12" fillId="0" borderId="30" xfId="0" applyFont="1" applyBorder="1" applyAlignment="1">
      <alignment horizontal="center"/>
    </xf>
    <xf numFmtId="0" fontId="12" fillId="4" borderId="32" xfId="0" applyFont="1" applyFill="1" applyBorder="1" applyAlignment="1">
      <alignment horizontal="center"/>
    </xf>
    <xf numFmtId="164" fontId="4" fillId="2" borderId="33" xfId="0" applyNumberFormat="1" applyFont="1" applyFill="1" applyBorder="1" applyAlignment="1">
      <alignment horizontal="center"/>
    </xf>
    <xf numFmtId="164" fontId="4" fillId="2" borderId="2" xfId="0" applyNumberFormat="1" applyFont="1" applyFill="1" applyBorder="1" applyAlignment="1">
      <alignment horizontal="center"/>
    </xf>
    <xf numFmtId="0" fontId="2" fillId="2" borderId="3" xfId="0" applyFont="1" applyFill="1" applyBorder="1" applyAlignment="1">
      <alignment horizontal="center"/>
    </xf>
    <xf numFmtId="0" fontId="12" fillId="0" borderId="37" xfId="0" applyFont="1" applyBorder="1" applyAlignment="1">
      <alignment horizontal="center"/>
    </xf>
    <xf numFmtId="0" fontId="12" fillId="0" borderId="10" xfId="0" applyFont="1" applyBorder="1" applyAlignment="1">
      <alignment horizontal="center"/>
    </xf>
    <xf numFmtId="3" fontId="4" fillId="2" borderId="38" xfId="0" applyNumberFormat="1" applyFont="1" applyFill="1" applyBorder="1" applyAlignment="1">
      <alignment horizontal="center"/>
    </xf>
    <xf numFmtId="0" fontId="12" fillId="0" borderId="39" xfId="0" applyFont="1" applyBorder="1" applyAlignment="1">
      <alignment horizontal="center"/>
    </xf>
    <xf numFmtId="0" fontId="12" fillId="0" borderId="40" xfId="0" applyFont="1" applyBorder="1" applyAlignment="1">
      <alignment horizontal="center"/>
    </xf>
    <xf numFmtId="0" fontId="12" fillId="0" borderId="41" xfId="0" applyFont="1" applyBorder="1" applyAlignment="1">
      <alignment horizontal="center"/>
    </xf>
    <xf numFmtId="0" fontId="12" fillId="0" borderId="42" xfId="0" applyFont="1" applyBorder="1" applyAlignment="1">
      <alignment horizontal="center"/>
    </xf>
    <xf numFmtId="0" fontId="12" fillId="0" borderId="14" xfId="0" applyFont="1" applyBorder="1" applyAlignment="1">
      <alignment horizontal="center"/>
    </xf>
    <xf numFmtId="0" fontId="12" fillId="0" borderId="43" xfId="0" applyFont="1" applyBorder="1" applyAlignment="1">
      <alignment horizontal="center"/>
    </xf>
    <xf numFmtId="0" fontId="12" fillId="0" borderId="18" xfId="0" applyFont="1" applyBorder="1" applyAlignment="1">
      <alignment horizontal="center"/>
    </xf>
    <xf numFmtId="0" fontId="12" fillId="4" borderId="18" xfId="0" applyFont="1" applyFill="1" applyBorder="1" applyAlignment="1">
      <alignment horizontal="center"/>
    </xf>
    <xf numFmtId="0" fontId="12" fillId="4" borderId="24" xfId="0" applyFont="1" applyFill="1" applyBorder="1" applyAlignment="1">
      <alignment horizontal="center"/>
    </xf>
    <xf numFmtId="0" fontId="12" fillId="4" borderId="21" xfId="0" applyFont="1" applyFill="1" applyBorder="1" applyAlignment="1">
      <alignment horizontal="center"/>
    </xf>
    <xf numFmtId="0" fontId="13" fillId="0" borderId="0" xfId="0" applyFont="1" applyAlignment="1">
      <alignment horizontal="center"/>
    </xf>
    <xf numFmtId="165" fontId="4" fillId="2" borderId="1" xfId="0" applyNumberFormat="1" applyFont="1" applyFill="1" applyBorder="1" applyAlignment="1">
      <alignment horizontal="center"/>
    </xf>
    <xf numFmtId="166" fontId="4" fillId="2" borderId="1" xfId="0" applyNumberFormat="1" applyFont="1" applyFill="1" applyBorder="1" applyAlignment="1">
      <alignment horizontal="center"/>
    </xf>
    <xf numFmtId="0" fontId="4" fillId="0" borderId="9" xfId="0" applyFont="1" applyBorder="1" applyAlignment="1">
      <alignment horizontal="center"/>
    </xf>
    <xf numFmtId="0" fontId="4" fillId="0" borderId="0" xfId="0" applyFont="1" applyAlignment="1">
      <alignment horizontal="center"/>
    </xf>
    <xf numFmtId="0" fontId="4" fillId="0" borderId="0" xfId="0" applyFont="1" applyAlignment="1">
      <alignment horizontal="center" wrapText="1"/>
    </xf>
    <xf numFmtId="0" fontId="4" fillId="2" borderId="3" xfId="0" applyFont="1" applyFill="1" applyBorder="1" applyAlignment="1">
      <alignment horizontal="center"/>
    </xf>
    <xf numFmtId="0" fontId="4" fillId="2" borderId="2" xfId="0" applyFont="1" applyFill="1" applyBorder="1" applyAlignment="1">
      <alignment horizontal="center"/>
    </xf>
    <xf numFmtId="0" fontId="4" fillId="2" borderId="33" xfId="0" applyFont="1" applyFill="1" applyBorder="1" applyAlignment="1">
      <alignment horizontal="center"/>
    </xf>
    <xf numFmtId="0" fontId="14" fillId="0" borderId="0" xfId="0" applyFont="1"/>
    <xf numFmtId="0" fontId="12" fillId="0" borderId="44" xfId="0" applyFont="1" applyBorder="1" applyAlignment="1">
      <alignment horizontal="center"/>
    </xf>
    <xf numFmtId="0" fontId="12" fillId="0" borderId="45" xfId="0" applyFont="1" applyBorder="1" applyAlignment="1">
      <alignment horizontal="center"/>
    </xf>
    <xf numFmtId="0" fontId="11" fillId="3" borderId="46" xfId="0" applyFont="1" applyFill="1" applyBorder="1" applyAlignment="1">
      <alignment horizontal="right"/>
    </xf>
    <xf numFmtId="0" fontId="12" fillId="4" borderId="47" xfId="0" applyFont="1" applyFill="1" applyBorder="1" applyAlignment="1">
      <alignment horizontal="center"/>
    </xf>
    <xf numFmtId="0" fontId="12" fillId="4" borderId="48" xfId="0" applyFont="1" applyFill="1" applyBorder="1" applyAlignment="1">
      <alignment horizontal="center"/>
    </xf>
    <xf numFmtId="0" fontId="12" fillId="4" borderId="49" xfId="0" applyFont="1" applyFill="1" applyBorder="1" applyAlignment="1">
      <alignment horizontal="center"/>
    </xf>
    <xf numFmtId="0" fontId="12" fillId="4" borderId="50" xfId="0" applyFont="1" applyFill="1" applyBorder="1" applyAlignment="1">
      <alignment horizontal="center"/>
    </xf>
    <xf numFmtId="0" fontId="15" fillId="6" borderId="0" xfId="0" applyFont="1" applyFill="1" applyAlignment="1">
      <alignment horizontal="center" vertical="center" wrapText="1"/>
    </xf>
    <xf numFmtId="0" fontId="16" fillId="6" borderId="0" xfId="0" applyFont="1" applyFill="1" applyAlignment="1">
      <alignment horizontal="center" vertical="center" wrapText="1"/>
    </xf>
    <xf numFmtId="167" fontId="15" fillId="6" borderId="0" xfId="0" applyNumberFormat="1" applyFont="1" applyFill="1" applyAlignment="1">
      <alignment horizontal="center" vertical="center" wrapText="1"/>
    </xf>
    <xf numFmtId="0" fontId="15" fillId="6" borderId="51" xfId="0" applyFont="1" applyFill="1" applyBorder="1" applyAlignment="1">
      <alignment horizontal="center" vertical="center" wrapText="1"/>
    </xf>
    <xf numFmtId="0" fontId="17" fillId="7" borderId="0" xfId="0" applyFont="1" applyFill="1" applyAlignment="1">
      <alignment vertical="center" wrapText="1"/>
    </xf>
    <xf numFmtId="0" fontId="18" fillId="7" borderId="41" xfId="0" applyFont="1" applyFill="1" applyBorder="1" applyAlignment="1">
      <alignment horizontal="center" vertical="center"/>
    </xf>
    <xf numFmtId="0" fontId="17" fillId="7" borderId="41" xfId="0" applyFont="1" applyFill="1" applyBorder="1" applyAlignment="1">
      <alignment horizontal="center" vertical="center"/>
    </xf>
    <xf numFmtId="167" fontId="18" fillId="7" borderId="41" xfId="0" applyNumberFormat="1" applyFont="1" applyFill="1" applyBorder="1" applyAlignment="1">
      <alignment horizontal="center" vertical="center"/>
    </xf>
    <xf numFmtId="0" fontId="19" fillId="7" borderId="41" xfId="0" applyFont="1" applyFill="1" applyBorder="1" applyAlignment="1">
      <alignment horizontal="center" vertical="center" wrapText="1"/>
    </xf>
    <xf numFmtId="0" fontId="19" fillId="7" borderId="41" xfId="0" applyFont="1" applyFill="1" applyBorder="1" applyAlignment="1">
      <alignment vertical="center" wrapText="1"/>
    </xf>
    <xf numFmtId="0" fontId="18" fillId="7" borderId="41" xfId="0" applyFont="1" applyFill="1" applyBorder="1" applyAlignment="1">
      <alignment vertical="center" wrapText="1"/>
    </xf>
    <xf numFmtId="0" fontId="17" fillId="7" borderId="41" xfId="0" applyFont="1" applyFill="1" applyBorder="1" applyAlignment="1">
      <alignment vertical="center" wrapText="1"/>
    </xf>
    <xf numFmtId="0" fontId="17" fillId="7" borderId="45" xfId="0" applyFont="1" applyFill="1" applyBorder="1" applyAlignment="1">
      <alignment horizontal="center" vertical="center"/>
    </xf>
    <xf numFmtId="0" fontId="18" fillId="7" borderId="0" xfId="0" applyFont="1" applyFill="1" applyAlignment="1">
      <alignment vertical="center"/>
    </xf>
    <xf numFmtId="0" fontId="18" fillId="7" borderId="44" xfId="0" applyFont="1" applyFill="1" applyBorder="1" applyAlignment="1">
      <alignment vertical="center"/>
    </xf>
    <xf numFmtId="0" fontId="18" fillId="7" borderId="41" xfId="0" applyFont="1" applyFill="1" applyBorder="1" applyAlignment="1">
      <alignment vertical="center"/>
    </xf>
    <xf numFmtId="0" fontId="17" fillId="8" borderId="44" xfId="0" applyFont="1" applyFill="1" applyBorder="1" applyAlignment="1">
      <alignment vertical="center" wrapText="1"/>
    </xf>
    <xf numFmtId="0" fontId="18" fillId="8" borderId="41" xfId="0" applyFont="1" applyFill="1" applyBorder="1" applyAlignment="1">
      <alignment horizontal="center" vertical="center"/>
    </xf>
    <xf numFmtId="0" fontId="17" fillId="8" borderId="41" xfId="0" applyFont="1" applyFill="1" applyBorder="1" applyAlignment="1">
      <alignment horizontal="center" vertical="center"/>
    </xf>
    <xf numFmtId="167" fontId="18" fillId="8" borderId="41" xfId="0" applyNumberFormat="1" applyFont="1" applyFill="1" applyBorder="1" applyAlignment="1">
      <alignment horizontal="center" vertical="center"/>
    </xf>
    <xf numFmtId="0" fontId="19" fillId="8" borderId="41" xfId="0" applyFont="1" applyFill="1" applyBorder="1" applyAlignment="1">
      <alignment horizontal="center" vertical="center" wrapText="1"/>
    </xf>
    <xf numFmtId="0" fontId="19" fillId="8" borderId="41" xfId="0" applyFont="1" applyFill="1" applyBorder="1" applyAlignment="1">
      <alignment vertical="center" wrapText="1"/>
    </xf>
    <xf numFmtId="0" fontId="18" fillId="8" borderId="41" xfId="0" applyFont="1" applyFill="1" applyBorder="1" applyAlignment="1">
      <alignment vertical="center" wrapText="1"/>
    </xf>
    <xf numFmtId="0" fontId="17" fillId="8" borderId="41" xfId="0" applyFont="1" applyFill="1" applyBorder="1" applyAlignment="1">
      <alignment vertical="center" wrapText="1"/>
    </xf>
    <xf numFmtId="0" fontId="17" fillId="8" borderId="45" xfId="0" applyFont="1" applyFill="1" applyBorder="1" applyAlignment="1">
      <alignment horizontal="center" vertical="center"/>
    </xf>
    <xf numFmtId="0" fontId="18" fillId="8" borderId="0" xfId="0" applyFont="1" applyFill="1" applyAlignment="1">
      <alignment vertical="center"/>
    </xf>
    <xf numFmtId="0" fontId="18" fillId="8" borderId="44" xfId="0" applyFont="1" applyFill="1" applyBorder="1" applyAlignment="1">
      <alignment vertical="center"/>
    </xf>
    <xf numFmtId="0" fontId="18" fillId="8" borderId="41" xfId="0" applyFont="1" applyFill="1" applyBorder="1" applyAlignment="1">
      <alignment vertical="center"/>
    </xf>
    <xf numFmtId="0" fontId="17" fillId="7" borderId="44" xfId="0" applyFont="1" applyFill="1" applyBorder="1" applyAlignment="1">
      <alignment vertical="center" wrapText="1"/>
    </xf>
    <xf numFmtId="0" fontId="18" fillId="8" borderId="0" xfId="0" applyFont="1" applyFill="1" applyAlignment="1">
      <alignment vertical="center" wrapText="1"/>
    </xf>
    <xf numFmtId="0" fontId="18" fillId="7" borderId="0" xfId="0" applyFont="1" applyFill="1" applyAlignment="1">
      <alignment vertical="center" wrapText="1"/>
    </xf>
    <xf numFmtId="0" fontId="17" fillId="4" borderId="44" xfId="0" applyFont="1" applyFill="1" applyBorder="1" applyAlignment="1">
      <alignment vertical="center" wrapText="1"/>
    </xf>
    <xf numFmtId="0" fontId="18" fillId="4" borderId="41" xfId="0" applyFont="1" applyFill="1" applyBorder="1" applyAlignment="1">
      <alignment horizontal="center" vertical="center"/>
    </xf>
    <xf numFmtId="0" fontId="17" fillId="4" borderId="41" xfId="0" applyFont="1" applyFill="1" applyBorder="1" applyAlignment="1">
      <alignment horizontal="center" vertical="center"/>
    </xf>
    <xf numFmtId="167" fontId="18" fillId="4" borderId="41" xfId="0" applyNumberFormat="1" applyFont="1" applyFill="1" applyBorder="1" applyAlignment="1">
      <alignment horizontal="center" vertical="center"/>
    </xf>
    <xf numFmtId="0" fontId="19" fillId="4" borderId="41" xfId="0" applyFont="1" applyFill="1" applyBorder="1" applyAlignment="1">
      <alignment horizontal="center" vertical="center" wrapText="1"/>
    </xf>
    <xf numFmtId="0" fontId="19" fillId="4" borderId="41" xfId="0" applyFont="1" applyFill="1" applyBorder="1" applyAlignment="1">
      <alignment vertical="center" wrapText="1"/>
    </xf>
    <xf numFmtId="0" fontId="18" fillId="4" borderId="41" xfId="0" applyFont="1" applyFill="1" applyBorder="1" applyAlignment="1">
      <alignment vertical="center" wrapText="1"/>
    </xf>
    <xf numFmtId="0" fontId="17" fillId="4" borderId="41" xfId="0" applyFont="1" applyFill="1" applyBorder="1" applyAlignment="1">
      <alignment vertical="center" wrapText="1"/>
    </xf>
    <xf numFmtId="0" fontId="17" fillId="4" borderId="45" xfId="0" applyFont="1" applyFill="1" applyBorder="1" applyAlignment="1">
      <alignment horizontal="center" vertical="center"/>
    </xf>
    <xf numFmtId="0" fontId="18" fillId="4" borderId="44" xfId="0" applyFont="1" applyFill="1" applyBorder="1" applyAlignment="1">
      <alignment vertical="center"/>
    </xf>
    <xf numFmtId="0" fontId="18" fillId="4" borderId="0" xfId="0" applyFont="1" applyFill="1" applyAlignment="1">
      <alignment vertical="center" wrapText="1"/>
    </xf>
    <xf numFmtId="3" fontId="19" fillId="8" borderId="41" xfId="0" applyNumberFormat="1" applyFont="1" applyFill="1" applyBorder="1" applyAlignment="1">
      <alignment horizontal="center" vertical="center" wrapText="1"/>
    </xf>
    <xf numFmtId="0" fontId="20" fillId="7" borderId="29" xfId="0" applyFont="1" applyFill="1" applyBorder="1" applyAlignment="1">
      <alignment wrapText="1"/>
    </xf>
    <xf numFmtId="0" fontId="18" fillId="7" borderId="0" xfId="0" applyFont="1" applyFill="1" applyAlignment="1">
      <alignment horizontal="center" vertical="center"/>
    </xf>
    <xf numFmtId="0" fontId="17" fillId="7" borderId="0" xfId="0" applyFont="1" applyFill="1" applyAlignment="1">
      <alignment horizontal="center" vertical="center"/>
    </xf>
    <xf numFmtId="167" fontId="18" fillId="7" borderId="0" xfId="0" applyNumberFormat="1" applyFont="1" applyFill="1" applyAlignment="1">
      <alignment horizontal="center" vertical="center"/>
    </xf>
    <xf numFmtId="0" fontId="19" fillId="7" borderId="0" xfId="0" applyFont="1" applyFill="1" applyAlignment="1">
      <alignment horizontal="center" vertical="center" wrapText="1"/>
    </xf>
    <xf numFmtId="0" fontId="19" fillId="7" borderId="0" xfId="0" applyFont="1" applyFill="1" applyAlignment="1">
      <alignment vertical="center" wrapText="1"/>
    </xf>
    <xf numFmtId="0" fontId="20" fillId="9" borderId="27" xfId="0" applyFont="1" applyFill="1" applyBorder="1" applyAlignment="1">
      <alignment wrapText="1"/>
    </xf>
    <xf numFmtId="0" fontId="18" fillId="8" borderId="0" xfId="0" applyFont="1" applyFill="1" applyAlignment="1">
      <alignment horizontal="center" vertical="center"/>
    </xf>
    <xf numFmtId="0" fontId="17" fillId="8" borderId="0" xfId="0" applyFont="1" applyFill="1" applyAlignment="1">
      <alignment horizontal="center" vertical="center"/>
    </xf>
    <xf numFmtId="167" fontId="18" fillId="8" borderId="0" xfId="0" applyNumberFormat="1" applyFont="1" applyFill="1" applyAlignment="1">
      <alignment horizontal="center" vertical="center"/>
    </xf>
    <xf numFmtId="0" fontId="19" fillId="8" borderId="0" xfId="0" applyFont="1" applyFill="1" applyAlignment="1">
      <alignment horizontal="center" vertical="center" wrapText="1"/>
    </xf>
    <xf numFmtId="0" fontId="19" fillId="8" borderId="0" xfId="0" applyFont="1" applyFill="1" applyAlignment="1">
      <alignment vertical="center" wrapText="1"/>
    </xf>
    <xf numFmtId="0" fontId="17" fillId="8" borderId="0" xfId="0" applyFont="1" applyFill="1" applyAlignment="1">
      <alignment vertical="center" wrapText="1"/>
    </xf>
    <xf numFmtId="0" fontId="20" fillId="7" borderId="27" xfId="0" applyFont="1" applyFill="1" applyBorder="1" applyAlignment="1">
      <alignment wrapText="1"/>
    </xf>
    <xf numFmtId="0" fontId="20" fillId="8" borderId="29" xfId="0" applyFont="1" applyFill="1" applyBorder="1" applyAlignment="1">
      <alignment vertical="center" wrapText="1"/>
    </xf>
    <xf numFmtId="0" fontId="21" fillId="10" borderId="0" xfId="0" applyFont="1" applyFill="1" applyAlignment="1">
      <alignment horizontal="left"/>
    </xf>
    <xf numFmtId="0" fontId="22" fillId="7" borderId="0" xfId="0" applyFont="1" applyFill="1" applyAlignment="1">
      <alignment horizontal="left"/>
    </xf>
    <xf numFmtId="0" fontId="22" fillId="11" borderId="0" xfId="0" applyFont="1" applyFill="1" applyAlignment="1">
      <alignment horizontal="left"/>
    </xf>
    <xf numFmtId="168" fontId="22" fillId="7" borderId="0" xfId="0" applyNumberFormat="1" applyFont="1" applyFill="1" applyAlignment="1">
      <alignment horizontal="left"/>
    </xf>
    <xf numFmtId="0" fontId="9" fillId="7" borderId="0" xfId="0" applyFont="1" applyFill="1"/>
    <xf numFmtId="0" fontId="22" fillId="9" borderId="0" xfId="0" applyFont="1" applyFill="1" applyAlignment="1">
      <alignment horizontal="left"/>
    </xf>
    <xf numFmtId="0" fontId="9" fillId="9" borderId="0" xfId="0" applyFont="1" applyFill="1"/>
    <xf numFmtId="3" fontId="22" fillId="9" borderId="0" xfId="0" applyNumberFormat="1" applyFont="1" applyFill="1" applyAlignment="1">
      <alignment horizontal="left"/>
    </xf>
    <xf numFmtId="168" fontId="22" fillId="9" borderId="0" xfId="0" applyNumberFormat="1" applyFont="1" applyFill="1" applyAlignment="1">
      <alignment horizontal="left"/>
    </xf>
    <xf numFmtId="3" fontId="22" fillId="7" borderId="0" xfId="0" applyNumberFormat="1" applyFont="1" applyFill="1" applyAlignment="1">
      <alignment horizontal="left"/>
    </xf>
    <xf numFmtId="0" fontId="22" fillId="6" borderId="0" xfId="0" applyFont="1" applyFill="1" applyAlignment="1">
      <alignment horizontal="left"/>
    </xf>
    <xf numFmtId="0" fontId="22" fillId="12" borderId="0" xfId="0" applyFont="1" applyFill="1" applyAlignment="1">
      <alignment horizontal="left"/>
    </xf>
    <xf numFmtId="169" fontId="22" fillId="7" borderId="0" xfId="0" applyNumberFormat="1" applyFont="1" applyFill="1" applyAlignment="1">
      <alignment horizontal="left"/>
    </xf>
    <xf numFmtId="0" fontId="23" fillId="7" borderId="0" xfId="0" applyFont="1" applyFill="1" applyAlignment="1">
      <alignment horizontal="left"/>
    </xf>
    <xf numFmtId="0" fontId="22" fillId="13" borderId="0" xfId="0" applyFont="1" applyFill="1" applyAlignment="1">
      <alignment horizontal="left"/>
    </xf>
    <xf numFmtId="168" fontId="22" fillId="13" borderId="0" xfId="0" applyNumberFormat="1" applyFont="1" applyFill="1" applyAlignment="1">
      <alignment horizontal="left"/>
    </xf>
    <xf numFmtId="0" fontId="9" fillId="13" borderId="0" xfId="0" applyFont="1" applyFill="1"/>
    <xf numFmtId="0" fontId="22" fillId="14" borderId="0" xfId="0" applyFont="1" applyFill="1" applyAlignment="1">
      <alignment horizontal="left"/>
    </xf>
    <xf numFmtId="168" fontId="22" fillId="14" borderId="0" xfId="0" applyNumberFormat="1" applyFont="1" applyFill="1" applyAlignment="1">
      <alignment horizontal="left"/>
    </xf>
    <xf numFmtId="0" fontId="9" fillId="14" borderId="0" xfId="0" applyFont="1" applyFill="1"/>
    <xf numFmtId="0" fontId="24" fillId="9" borderId="0" xfId="0" applyFont="1" applyFill="1" applyAlignment="1">
      <alignment horizontal="left"/>
    </xf>
    <xf numFmtId="169" fontId="22" fillId="9" borderId="0" xfId="0" applyNumberFormat="1" applyFont="1" applyFill="1" applyAlignment="1">
      <alignment horizontal="left"/>
    </xf>
    <xf numFmtId="170" fontId="22" fillId="9" borderId="0" xfId="0" applyNumberFormat="1" applyFont="1" applyFill="1" applyAlignment="1">
      <alignment horizontal="left"/>
    </xf>
    <xf numFmtId="0" fontId="22" fillId="7" borderId="0" xfId="0" quotePrefix="1" applyFont="1" applyFill="1" applyAlignment="1">
      <alignment horizontal="left"/>
    </xf>
    <xf numFmtId="4" fontId="22" fillId="7" borderId="0" xfId="0" applyNumberFormat="1" applyFont="1" applyFill="1" applyAlignment="1">
      <alignment horizontal="left"/>
    </xf>
    <xf numFmtId="0" fontId="25" fillId="7" borderId="0" xfId="0" applyFont="1" applyFill="1" applyAlignment="1">
      <alignment horizontal="left"/>
    </xf>
    <xf numFmtId="4" fontId="22" fillId="9" borderId="0" xfId="0" applyNumberFormat="1" applyFont="1" applyFill="1" applyAlignment="1">
      <alignment horizontal="left"/>
    </xf>
    <xf numFmtId="0" fontId="23" fillId="9" borderId="0" xfId="0" applyFont="1" applyFill="1" applyAlignment="1">
      <alignment horizontal="left"/>
    </xf>
    <xf numFmtId="171" fontId="22" fillId="9" borderId="0" xfId="0" applyNumberFormat="1" applyFont="1" applyFill="1" applyAlignment="1">
      <alignment horizontal="left"/>
    </xf>
    <xf numFmtId="0" fontId="21" fillId="15" borderId="0" xfId="0" applyFont="1" applyFill="1" applyAlignment="1">
      <alignment horizontal="left"/>
    </xf>
    <xf numFmtId="0" fontId="21" fillId="16" borderId="0" xfId="0" applyFont="1" applyFill="1" applyAlignment="1">
      <alignment horizontal="left"/>
    </xf>
    <xf numFmtId="0" fontId="8" fillId="16" borderId="0" xfId="0" applyFont="1" applyFill="1"/>
    <xf numFmtId="0" fontId="26" fillId="15" borderId="0" xfId="0" applyFont="1" applyFill="1"/>
    <xf numFmtId="0" fontId="22" fillId="15" borderId="0" xfId="0" applyFont="1" applyFill="1" applyAlignment="1">
      <alignment horizontal="left"/>
    </xf>
    <xf numFmtId="0" fontId="22" fillId="16" borderId="0" xfId="0" applyFont="1" applyFill="1" applyAlignment="1">
      <alignment horizontal="left"/>
    </xf>
    <xf numFmtId="0" fontId="27" fillId="15" borderId="0" xfId="0" applyFont="1" applyFill="1"/>
    <xf numFmtId="0" fontId="26" fillId="16" borderId="0" xfId="0" applyFont="1" applyFill="1"/>
    <xf numFmtId="0" fontId="28" fillId="16" borderId="0" xfId="0" applyFont="1" applyFill="1"/>
    <xf numFmtId="0" fontId="29" fillId="16" borderId="0" xfId="0" applyFont="1" applyFill="1"/>
    <xf numFmtId="0" fontId="30" fillId="0" borderId="0" xfId="0" applyFont="1"/>
    <xf numFmtId="0" fontId="31" fillId="0" borderId="0" xfId="0" applyFont="1"/>
    <xf numFmtId="0" fontId="32" fillId="17" borderId="0" xfId="0" applyFont="1" applyFill="1" applyAlignment="1">
      <alignment vertical="top"/>
    </xf>
    <xf numFmtId="166" fontId="33" fillId="18" borderId="0" xfId="0" applyNumberFormat="1" applyFont="1" applyFill="1" applyAlignment="1">
      <alignment vertical="top"/>
    </xf>
    <xf numFmtId="0" fontId="32" fillId="19" borderId="0" xfId="0" applyFont="1" applyFill="1" applyAlignment="1">
      <alignment vertical="top"/>
    </xf>
    <xf numFmtId="0" fontId="34" fillId="0" borderId="0" xfId="0" applyFont="1" applyAlignment="1">
      <alignment vertical="top"/>
    </xf>
    <xf numFmtId="0" fontId="35" fillId="0" borderId="0" xfId="0" applyFont="1" applyAlignment="1">
      <alignment vertical="top"/>
    </xf>
    <xf numFmtId="3" fontId="34" fillId="0" borderId="0" xfId="0" applyNumberFormat="1" applyFont="1" applyAlignment="1">
      <alignment vertical="top"/>
    </xf>
    <xf numFmtId="3" fontId="35" fillId="0" borderId="0" xfId="0" applyNumberFormat="1" applyFont="1" applyAlignment="1">
      <alignment vertical="top"/>
    </xf>
    <xf numFmtId="169" fontId="34" fillId="0" borderId="0" xfId="0" applyNumberFormat="1" applyFont="1" applyAlignment="1">
      <alignment vertical="top"/>
    </xf>
    <xf numFmtId="169" fontId="35" fillId="0" borderId="0" xfId="0" applyNumberFormat="1" applyFont="1" applyAlignment="1">
      <alignment vertical="top"/>
    </xf>
    <xf numFmtId="166" fontId="32" fillId="19" borderId="0" xfId="0" applyNumberFormat="1" applyFont="1" applyFill="1" applyAlignment="1">
      <alignment vertical="top"/>
    </xf>
    <xf numFmtId="168" fontId="35" fillId="0" borderId="0" xfId="0" applyNumberFormat="1" applyFont="1" applyAlignment="1">
      <alignment vertical="top"/>
    </xf>
    <xf numFmtId="0" fontId="36" fillId="0" borderId="0" xfId="0" applyFont="1" applyAlignment="1">
      <alignment vertical="top"/>
    </xf>
    <xf numFmtId="168" fontId="34" fillId="0" borderId="0" xfId="0" applyNumberFormat="1" applyFont="1" applyAlignment="1">
      <alignment vertical="top"/>
    </xf>
    <xf numFmtId="0" fontId="33" fillId="0" borderId="0" xfId="0" applyFont="1" applyAlignment="1">
      <alignment vertical="top"/>
    </xf>
    <xf numFmtId="4" fontId="34" fillId="0" borderId="0" xfId="0" applyNumberFormat="1" applyFont="1" applyAlignment="1">
      <alignment vertical="top"/>
    </xf>
    <xf numFmtId="4" fontId="35" fillId="0" borderId="0" xfId="0" applyNumberFormat="1" applyFont="1" applyAlignment="1">
      <alignment vertical="top"/>
    </xf>
    <xf numFmtId="172" fontId="32" fillId="19" borderId="0" xfId="0" applyNumberFormat="1" applyFont="1" applyFill="1" applyAlignment="1">
      <alignment vertical="top"/>
    </xf>
    <xf numFmtId="0" fontId="33" fillId="19" borderId="0" xfId="0" applyFont="1" applyFill="1" applyAlignment="1">
      <alignment vertical="top"/>
    </xf>
    <xf numFmtId="0" fontId="37" fillId="0" borderId="0" xfId="0" applyFont="1" applyAlignment="1">
      <alignment vertical="top"/>
    </xf>
    <xf numFmtId="166" fontId="8" fillId="0" borderId="0" xfId="0" applyNumberFormat="1" applyFont="1"/>
    <xf numFmtId="0" fontId="26" fillId="0" borderId="0" xfId="0" applyFont="1" applyAlignment="1">
      <alignment horizontal="right"/>
    </xf>
    <xf numFmtId="0" fontId="38" fillId="10" borderId="0" xfId="0" applyFont="1" applyFill="1" applyAlignment="1">
      <alignment horizontal="left" wrapText="1"/>
    </xf>
    <xf numFmtId="0" fontId="39" fillId="20" borderId="0" xfId="0" applyFont="1" applyFill="1" applyAlignment="1">
      <alignment horizontal="left"/>
    </xf>
    <xf numFmtId="0" fontId="39" fillId="0" borderId="0" xfId="0" applyFont="1" applyAlignment="1">
      <alignment horizontal="left"/>
    </xf>
    <xf numFmtId="0" fontId="40" fillId="0" borderId="0" xfId="0" applyFont="1" applyAlignment="1">
      <alignment horizontal="left"/>
    </xf>
    <xf numFmtId="0" fontId="41" fillId="10" borderId="0" xfId="0" applyFont="1" applyFill="1" applyAlignment="1">
      <alignment horizontal="left" wrapText="1"/>
    </xf>
    <xf numFmtId="0" fontId="41" fillId="16" borderId="0" xfId="0" applyFont="1" applyFill="1" applyAlignment="1">
      <alignment horizontal="center" wrapText="1"/>
    </xf>
    <xf numFmtId="0" fontId="41" fillId="16" borderId="0" xfId="0" applyFont="1" applyFill="1" applyAlignment="1">
      <alignment horizontal="left" wrapText="1"/>
    </xf>
    <xf numFmtId="0" fontId="41" fillId="10" borderId="0" xfId="0" applyFont="1" applyFill="1" applyAlignment="1">
      <alignment horizontal="left"/>
    </xf>
    <xf numFmtId="0" fontId="9" fillId="10" borderId="0" xfId="0" applyFont="1" applyFill="1"/>
    <xf numFmtId="0" fontId="41" fillId="21" borderId="0" xfId="0" applyFont="1" applyFill="1" applyAlignment="1">
      <alignment horizontal="left" wrapText="1"/>
    </xf>
    <xf numFmtId="0" fontId="42" fillId="10" borderId="0" xfId="0" applyFont="1" applyFill="1" applyAlignment="1">
      <alignment horizontal="left" wrapText="1"/>
    </xf>
    <xf numFmtId="166" fontId="9" fillId="7" borderId="0" xfId="0" applyNumberFormat="1" applyFont="1" applyFill="1" applyAlignment="1">
      <alignment horizontal="left"/>
    </xf>
    <xf numFmtId="0" fontId="9" fillId="7" borderId="0" xfId="0" applyFont="1" applyFill="1" applyAlignment="1">
      <alignment horizontal="left"/>
    </xf>
    <xf numFmtId="0" fontId="9" fillId="16" borderId="0" xfId="0" applyFont="1" applyFill="1" applyAlignment="1">
      <alignment horizontal="center"/>
    </xf>
    <xf numFmtId="0" fontId="9" fillId="16" borderId="0" xfId="0" applyFont="1" applyFill="1" applyAlignment="1">
      <alignment horizontal="left"/>
    </xf>
    <xf numFmtId="3" fontId="9" fillId="7" borderId="0" xfId="0" applyNumberFormat="1" applyFont="1" applyFill="1" applyAlignment="1">
      <alignment horizontal="left"/>
    </xf>
    <xf numFmtId="0" fontId="9" fillId="22" borderId="0" xfId="0" applyFont="1" applyFill="1" applyAlignment="1">
      <alignment horizontal="left" wrapText="1"/>
    </xf>
    <xf numFmtId="0" fontId="9" fillId="21" borderId="0" xfId="0" applyFont="1" applyFill="1" applyAlignment="1">
      <alignment horizontal="left"/>
    </xf>
    <xf numFmtId="0" fontId="42" fillId="7" borderId="0" xfId="0" applyFont="1" applyFill="1" applyAlignment="1">
      <alignment horizontal="left"/>
    </xf>
    <xf numFmtId="166" fontId="9" fillId="9" borderId="0" xfId="0" applyNumberFormat="1" applyFont="1" applyFill="1" applyAlignment="1">
      <alignment horizontal="left"/>
    </xf>
    <xf numFmtId="0" fontId="9" fillId="9" borderId="0" xfId="0" applyFont="1" applyFill="1" applyAlignment="1">
      <alignment horizontal="left"/>
    </xf>
    <xf numFmtId="3" fontId="9" fillId="9" borderId="0" xfId="0" applyNumberFormat="1" applyFont="1" applyFill="1" applyAlignment="1">
      <alignment horizontal="left"/>
    </xf>
    <xf numFmtId="0" fontId="9" fillId="9" borderId="0" xfId="0" applyFont="1" applyFill="1" applyAlignment="1">
      <alignment horizontal="left" wrapText="1"/>
    </xf>
    <xf numFmtId="0" fontId="42" fillId="9" borderId="0" xfId="0" applyFont="1" applyFill="1" applyAlignment="1">
      <alignment horizontal="left"/>
    </xf>
    <xf numFmtId="168" fontId="9" fillId="7" borderId="0" xfId="0" applyNumberFormat="1" applyFont="1" applyFill="1" applyAlignment="1">
      <alignment horizontal="left"/>
    </xf>
    <xf numFmtId="0" fontId="9" fillId="7" borderId="0" xfId="0" applyFont="1" applyFill="1" applyAlignment="1">
      <alignment horizontal="left" wrapText="1"/>
    </xf>
    <xf numFmtId="166" fontId="9" fillId="4" borderId="0" xfId="0" applyNumberFormat="1" applyFont="1" applyFill="1" applyAlignment="1">
      <alignment horizontal="left"/>
    </xf>
    <xf numFmtId="0" fontId="9" fillId="4" borderId="0" xfId="0" applyFont="1" applyFill="1" applyAlignment="1">
      <alignment horizontal="left"/>
    </xf>
    <xf numFmtId="3" fontId="9" fillId="4" borderId="0" xfId="0" applyNumberFormat="1" applyFont="1" applyFill="1" applyAlignment="1">
      <alignment horizontal="left"/>
    </xf>
    <xf numFmtId="0" fontId="9" fillId="4" borderId="0" xfId="0" applyFont="1" applyFill="1"/>
    <xf numFmtId="0" fontId="9" fillId="4" borderId="0" xfId="0" applyFont="1" applyFill="1" applyAlignment="1">
      <alignment horizontal="left" wrapText="1"/>
    </xf>
    <xf numFmtId="168" fontId="9" fillId="4" borderId="0" xfId="0" applyNumberFormat="1" applyFont="1" applyFill="1" applyAlignment="1">
      <alignment horizontal="left"/>
    </xf>
    <xf numFmtId="166" fontId="9" fillId="15" borderId="0" xfId="0" applyNumberFormat="1" applyFont="1" applyFill="1" applyAlignment="1">
      <alignment horizontal="left"/>
    </xf>
    <xf numFmtId="0" fontId="9" fillId="15" borderId="0" xfId="0" applyFont="1" applyFill="1" applyAlignment="1">
      <alignment horizontal="left"/>
    </xf>
    <xf numFmtId="0" fontId="9" fillId="15" borderId="0" xfId="0" applyFont="1" applyFill="1" applyAlignment="1">
      <alignment horizontal="center"/>
    </xf>
    <xf numFmtId="3" fontId="9" fillId="15" borderId="0" xfId="0" applyNumberFormat="1" applyFont="1" applyFill="1" applyAlignment="1">
      <alignment horizontal="left"/>
    </xf>
    <xf numFmtId="0" fontId="9" fillId="15" borderId="0" xfId="0" applyFont="1" applyFill="1"/>
    <xf numFmtId="0" fontId="9" fillId="15" borderId="0" xfId="0" applyFont="1" applyFill="1" applyAlignment="1">
      <alignment horizontal="left" wrapText="1"/>
    </xf>
    <xf numFmtId="0" fontId="42" fillId="15" borderId="0" xfId="0" applyFont="1" applyFill="1" applyAlignment="1">
      <alignment horizontal="left"/>
    </xf>
    <xf numFmtId="0" fontId="43" fillId="16" borderId="0" xfId="0" applyFont="1" applyFill="1" applyAlignment="1">
      <alignment horizontal="center"/>
    </xf>
    <xf numFmtId="0" fontId="43" fillId="15" borderId="0" xfId="0" applyFont="1" applyFill="1" applyAlignment="1">
      <alignment horizontal="center"/>
    </xf>
    <xf numFmtId="0" fontId="43" fillId="15" borderId="0" xfId="0" applyFont="1" applyFill="1" applyAlignment="1">
      <alignment horizontal="left"/>
    </xf>
    <xf numFmtId="169" fontId="9" fillId="7" borderId="0" xfId="0" applyNumberFormat="1" applyFont="1" applyFill="1" applyAlignment="1">
      <alignment horizontal="left"/>
    </xf>
    <xf numFmtId="0" fontId="43" fillId="16" borderId="0" xfId="0" applyFont="1" applyFill="1" applyAlignment="1">
      <alignment horizontal="left"/>
    </xf>
    <xf numFmtId="0" fontId="44" fillId="15" borderId="0" xfId="0" applyFont="1" applyFill="1" applyAlignment="1">
      <alignment horizontal="left"/>
    </xf>
    <xf numFmtId="0" fontId="45" fillId="4" borderId="0" xfId="0" applyFont="1" applyFill="1" applyAlignment="1">
      <alignment horizontal="left"/>
    </xf>
    <xf numFmtId="168" fontId="9" fillId="9" borderId="0" xfId="0" applyNumberFormat="1" applyFont="1" applyFill="1" applyAlignment="1">
      <alignment horizontal="left"/>
    </xf>
    <xf numFmtId="166" fontId="42" fillId="7" borderId="0" xfId="0" applyNumberFormat="1" applyFont="1" applyFill="1" applyAlignment="1">
      <alignment horizontal="left"/>
    </xf>
    <xf numFmtId="0" fontId="42" fillId="16" borderId="0" xfId="0" applyFont="1" applyFill="1" applyAlignment="1">
      <alignment horizontal="center"/>
    </xf>
    <xf numFmtId="0" fontId="42" fillId="16" borderId="0" xfId="0" applyFont="1" applyFill="1" applyAlignment="1">
      <alignment horizontal="left"/>
    </xf>
    <xf numFmtId="0" fontId="42" fillId="7" borderId="0" xfId="0" applyFont="1" applyFill="1" applyAlignment="1">
      <alignment horizontal="left" wrapText="1"/>
    </xf>
    <xf numFmtId="0" fontId="42" fillId="21" borderId="0" xfId="0" applyFont="1" applyFill="1" applyAlignment="1">
      <alignment horizontal="left"/>
    </xf>
    <xf numFmtId="166" fontId="42" fillId="9" borderId="0" xfId="0" applyNumberFormat="1" applyFont="1" applyFill="1" applyAlignment="1">
      <alignment horizontal="left"/>
    </xf>
    <xf numFmtId="0" fontId="42" fillId="9" borderId="0" xfId="0" applyFont="1" applyFill="1" applyAlignment="1">
      <alignment horizontal="left" wrapText="1"/>
    </xf>
    <xf numFmtId="166" fontId="42" fillId="15" borderId="0" xfId="0" applyNumberFormat="1" applyFont="1" applyFill="1" applyAlignment="1">
      <alignment horizontal="left"/>
    </xf>
    <xf numFmtId="0" fontId="42" fillId="15" borderId="0" xfId="0" applyFont="1" applyFill="1" applyAlignment="1">
      <alignment horizontal="left" wrapText="1"/>
    </xf>
    <xf numFmtId="166" fontId="42" fillId="4" borderId="0" xfId="0" applyNumberFormat="1" applyFont="1" applyFill="1" applyAlignment="1">
      <alignment horizontal="left"/>
    </xf>
    <xf numFmtId="0" fontId="42" fillId="4" borderId="0" xfId="0" applyFont="1" applyFill="1" applyAlignment="1">
      <alignment horizontal="left"/>
    </xf>
    <xf numFmtId="0" fontId="42" fillId="4" borderId="0" xfId="0" applyFont="1" applyFill="1" applyAlignment="1">
      <alignment horizontal="left" wrapText="1"/>
    </xf>
    <xf numFmtId="0" fontId="46" fillId="4" borderId="0" xfId="0" applyFont="1" applyFill="1" applyAlignment="1">
      <alignment horizontal="left"/>
    </xf>
    <xf numFmtId="3" fontId="42" fillId="4" borderId="0" xfId="0" applyNumberFormat="1" applyFont="1" applyFill="1" applyAlignment="1">
      <alignment horizontal="left"/>
    </xf>
    <xf numFmtId="0" fontId="42" fillId="15" borderId="0" xfId="0" applyFont="1" applyFill="1" applyAlignment="1">
      <alignment horizontal="center"/>
    </xf>
    <xf numFmtId="0" fontId="42" fillId="4" borderId="0" xfId="0" applyFont="1" applyFill="1" applyAlignment="1">
      <alignment horizontal="center"/>
    </xf>
    <xf numFmtId="166" fontId="42" fillId="23" borderId="0" xfId="0" applyNumberFormat="1" applyFont="1" applyFill="1" applyAlignment="1">
      <alignment horizontal="left"/>
    </xf>
    <xf numFmtId="0" fontId="42" fillId="23" borderId="0" xfId="0" applyFont="1" applyFill="1" applyAlignment="1">
      <alignment horizontal="left"/>
    </xf>
    <xf numFmtId="0" fontId="42" fillId="23" borderId="0" xfId="0" applyFont="1" applyFill="1" applyAlignment="1">
      <alignment horizontal="left" wrapText="1"/>
    </xf>
    <xf numFmtId="166" fontId="43" fillId="19" borderId="0" xfId="0" applyNumberFormat="1" applyFont="1" applyFill="1" applyAlignment="1">
      <alignment vertical="top"/>
    </xf>
    <xf numFmtId="0" fontId="9" fillId="7" borderId="0" xfId="0" applyFont="1" applyFill="1" applyAlignment="1">
      <alignment vertical="top"/>
    </xf>
    <xf numFmtId="0" fontId="9" fillId="16" borderId="0" xfId="0" applyFont="1" applyFill="1" applyAlignment="1">
      <alignment horizontal="center" vertical="top"/>
    </xf>
    <xf numFmtId="0" fontId="9" fillId="16" borderId="0" xfId="0" applyFont="1" applyFill="1" applyAlignment="1">
      <alignment vertical="top"/>
    </xf>
    <xf numFmtId="0" fontId="9" fillId="7" borderId="0" xfId="0" applyFont="1" applyFill="1" applyAlignment="1">
      <alignment vertical="top" wrapText="1"/>
    </xf>
    <xf numFmtId="0" fontId="9" fillId="9" borderId="0" xfId="0" applyFont="1" applyFill="1" applyAlignment="1">
      <alignment vertical="top"/>
    </xf>
    <xf numFmtId="169" fontId="9" fillId="9" borderId="0" xfId="0" applyNumberFormat="1" applyFont="1" applyFill="1" applyAlignment="1">
      <alignment vertical="top"/>
    </xf>
    <xf numFmtId="0" fontId="9" fillId="9" borderId="0" xfId="0" applyFont="1" applyFill="1" applyAlignment="1">
      <alignment vertical="top" wrapText="1"/>
    </xf>
    <xf numFmtId="3" fontId="9" fillId="7" borderId="0" xfId="0" applyNumberFormat="1" applyFont="1" applyFill="1" applyAlignment="1">
      <alignment vertical="top"/>
    </xf>
    <xf numFmtId="166" fontId="43" fillId="15" borderId="0" xfId="0" applyNumberFormat="1" applyFont="1" applyFill="1" applyAlignment="1">
      <alignment vertical="top"/>
    </xf>
    <xf numFmtId="0" fontId="9" fillId="15" borderId="0" xfId="0" applyFont="1" applyFill="1" applyAlignment="1">
      <alignment vertical="top"/>
    </xf>
    <xf numFmtId="0" fontId="9" fillId="15" borderId="0" xfId="0" applyFont="1" applyFill="1" applyAlignment="1">
      <alignment horizontal="center" vertical="top"/>
    </xf>
    <xf numFmtId="0" fontId="9" fillId="15" borderId="0" xfId="0" applyFont="1" applyFill="1" applyAlignment="1">
      <alignment vertical="top" wrapText="1"/>
    </xf>
    <xf numFmtId="166" fontId="43" fillId="4" borderId="0" xfId="0" applyNumberFormat="1" applyFont="1" applyFill="1" applyAlignment="1">
      <alignment vertical="top"/>
    </xf>
    <xf numFmtId="0" fontId="9" fillId="4" borderId="0" xfId="0" applyFont="1" applyFill="1" applyAlignment="1">
      <alignment vertical="top"/>
    </xf>
    <xf numFmtId="0" fontId="9" fillId="4" borderId="0" xfId="0" applyFont="1" applyFill="1" applyAlignment="1">
      <alignment horizontal="center" vertical="top"/>
    </xf>
    <xf numFmtId="0" fontId="9" fillId="4" borderId="0" xfId="0" applyFont="1" applyFill="1" applyAlignment="1">
      <alignment vertical="top" wrapText="1"/>
    </xf>
    <xf numFmtId="3" fontId="9" fillId="9" borderId="0" xfId="0" applyNumberFormat="1" applyFont="1" applyFill="1" applyAlignment="1">
      <alignment vertical="top"/>
    </xf>
    <xf numFmtId="169" fontId="9" fillId="7" borderId="0" xfId="0" applyNumberFormat="1" applyFont="1" applyFill="1" applyAlignment="1">
      <alignment vertical="top"/>
    </xf>
    <xf numFmtId="0" fontId="47" fillId="9" borderId="0" xfId="0" applyFont="1" applyFill="1" applyAlignment="1">
      <alignment vertical="top"/>
    </xf>
    <xf numFmtId="169" fontId="9" fillId="15" borderId="0" xfId="0" applyNumberFormat="1" applyFont="1" applyFill="1" applyAlignment="1">
      <alignment vertical="top"/>
    </xf>
    <xf numFmtId="169" fontId="9" fillId="4" borderId="0" xfId="0" applyNumberFormat="1" applyFont="1" applyFill="1" applyAlignment="1">
      <alignment vertical="top"/>
    </xf>
    <xf numFmtId="3" fontId="9" fillId="15" borderId="0" xfId="0" applyNumberFormat="1" applyFont="1" applyFill="1" applyAlignment="1">
      <alignment vertical="top"/>
    </xf>
    <xf numFmtId="0" fontId="48" fillId="7" borderId="0" xfId="0" applyFont="1" applyFill="1" applyAlignment="1">
      <alignment vertical="top"/>
    </xf>
    <xf numFmtId="3" fontId="9" fillId="4" borderId="0" xfId="0" applyNumberFormat="1" applyFont="1" applyFill="1" applyAlignment="1">
      <alignment vertical="top"/>
    </xf>
    <xf numFmtId="0" fontId="49" fillId="4" borderId="0" xfId="0" applyFont="1" applyFill="1" applyAlignment="1">
      <alignment vertical="top"/>
    </xf>
    <xf numFmtId="166" fontId="43" fillId="23" borderId="0" xfId="0" applyNumberFormat="1" applyFont="1" applyFill="1" applyAlignment="1">
      <alignment vertical="top"/>
    </xf>
    <xf numFmtId="0" fontId="9" fillId="23" borderId="0" xfId="0" applyFont="1" applyFill="1" applyAlignment="1">
      <alignment vertical="top"/>
    </xf>
    <xf numFmtId="0" fontId="9" fillId="23" borderId="0" xfId="0" applyFont="1" applyFill="1" applyAlignment="1">
      <alignment horizontal="center" vertical="top"/>
    </xf>
    <xf numFmtId="0" fontId="50" fillId="23" borderId="0" xfId="0" applyFont="1" applyFill="1" applyAlignment="1">
      <alignment vertical="top"/>
    </xf>
    <xf numFmtId="0" fontId="9" fillId="23" borderId="0" xfId="0" applyFont="1" applyFill="1" applyAlignment="1">
      <alignment vertical="top" wrapText="1"/>
    </xf>
    <xf numFmtId="0" fontId="9" fillId="7" borderId="0" xfId="0" quotePrefix="1" applyFont="1" applyFill="1" applyAlignment="1">
      <alignment vertical="top"/>
    </xf>
    <xf numFmtId="0" fontId="51" fillId="9" borderId="0" xfId="0" applyFont="1" applyFill="1" applyAlignment="1">
      <alignment vertical="top"/>
    </xf>
    <xf numFmtId="0" fontId="52" fillId="7" borderId="0" xfId="0" applyFont="1" applyFill="1" applyAlignment="1">
      <alignment vertical="top"/>
    </xf>
    <xf numFmtId="166" fontId="43" fillId="24" borderId="0" xfId="0" applyNumberFormat="1" applyFont="1" applyFill="1" applyAlignment="1">
      <alignment vertical="top"/>
    </xf>
    <xf numFmtId="0" fontId="53" fillId="24" borderId="0" xfId="0" applyFont="1" applyFill="1" applyAlignment="1">
      <alignment vertical="top"/>
    </xf>
    <xf numFmtId="0" fontId="9" fillId="24" borderId="0" xfId="0" applyFont="1" applyFill="1" applyAlignment="1">
      <alignment vertical="top"/>
    </xf>
    <xf numFmtId="169" fontId="9" fillId="24" borderId="0" xfId="0" applyNumberFormat="1" applyFont="1" applyFill="1" applyAlignment="1">
      <alignment vertical="top"/>
    </xf>
    <xf numFmtId="0" fontId="9" fillId="24" borderId="0" xfId="0" applyFont="1" applyFill="1" applyAlignment="1">
      <alignment vertical="top" wrapText="1"/>
    </xf>
    <xf numFmtId="0" fontId="42" fillId="24" borderId="0" xfId="0" applyFont="1" applyFill="1" applyAlignment="1">
      <alignment horizontal="left"/>
    </xf>
    <xf numFmtId="169" fontId="42" fillId="9" borderId="0" xfId="0" applyNumberFormat="1" applyFont="1" applyFill="1" applyAlignment="1">
      <alignment horizontal="left"/>
    </xf>
    <xf numFmtId="169" fontId="42" fillId="15" borderId="0" xfId="0" applyNumberFormat="1" applyFont="1" applyFill="1" applyAlignment="1">
      <alignment horizontal="left"/>
    </xf>
    <xf numFmtId="169" fontId="42" fillId="4" borderId="0" xfId="0" applyNumberFormat="1" applyFont="1" applyFill="1" applyAlignment="1">
      <alignment horizontal="left"/>
    </xf>
    <xf numFmtId="3" fontId="42" fillId="7" borderId="0" xfId="0" applyNumberFormat="1" applyFont="1" applyFill="1" applyAlignment="1">
      <alignment horizontal="left"/>
    </xf>
    <xf numFmtId="3" fontId="42" fillId="9" borderId="0" xfId="0" applyNumberFormat="1" applyFont="1" applyFill="1" applyAlignment="1">
      <alignment horizontal="left"/>
    </xf>
    <xf numFmtId="169" fontId="42" fillId="7" borderId="0" xfId="0" applyNumberFormat="1" applyFont="1" applyFill="1" applyAlignment="1">
      <alignment horizontal="left"/>
    </xf>
    <xf numFmtId="0" fontId="54" fillId="9" borderId="0" xfId="0" applyFont="1" applyFill="1" applyAlignment="1">
      <alignment horizontal="left"/>
    </xf>
    <xf numFmtId="3" fontId="42" fillId="15" borderId="0" xfId="0" applyNumberFormat="1" applyFont="1" applyFill="1" applyAlignment="1">
      <alignment horizontal="left"/>
    </xf>
    <xf numFmtId="0" fontId="42" fillId="7" borderId="0" xfId="0" applyFont="1" applyFill="1" applyAlignment="1">
      <alignment horizontal="center"/>
    </xf>
    <xf numFmtId="0" fontId="42" fillId="9" borderId="0" xfId="0" applyFont="1" applyFill="1" applyAlignment="1">
      <alignment horizontal="center"/>
    </xf>
    <xf numFmtId="0" fontId="42" fillId="23" borderId="0" xfId="0" applyFont="1" applyFill="1" applyAlignment="1">
      <alignment horizontal="center"/>
    </xf>
    <xf numFmtId="4" fontId="42" fillId="23" borderId="0" xfId="0" applyNumberFormat="1" applyFont="1" applyFill="1" applyAlignment="1">
      <alignment horizontal="left"/>
    </xf>
    <xf numFmtId="0" fontId="55" fillId="15" borderId="0" xfId="0" applyFont="1" applyFill="1" applyAlignment="1">
      <alignment horizontal="left"/>
    </xf>
    <xf numFmtId="169" fontId="42" fillId="23" borderId="0" xfId="0" applyNumberFormat="1" applyFont="1" applyFill="1" applyAlignment="1">
      <alignment horizontal="left"/>
    </xf>
    <xf numFmtId="166" fontId="42" fillId="22" borderId="0" xfId="0" applyNumberFormat="1" applyFont="1" applyFill="1" applyAlignment="1">
      <alignment horizontal="left"/>
    </xf>
    <xf numFmtId="0" fontId="42" fillId="22" borderId="0" xfId="0" applyFont="1" applyFill="1" applyAlignment="1">
      <alignment horizontal="left"/>
    </xf>
    <xf numFmtId="0" fontId="42" fillId="22" borderId="0" xfId="0" applyFont="1" applyFill="1" applyAlignment="1">
      <alignment horizontal="center"/>
    </xf>
    <xf numFmtId="169" fontId="42" fillId="22" borderId="0" xfId="0" applyNumberFormat="1" applyFont="1" applyFill="1" applyAlignment="1">
      <alignment horizontal="left"/>
    </xf>
    <xf numFmtId="0" fontId="42" fillId="22" borderId="0" xfId="0" applyFont="1" applyFill="1" applyAlignment="1">
      <alignment horizontal="left" wrapText="1"/>
    </xf>
    <xf numFmtId="4" fontId="42" fillId="7" borderId="0" xfId="0" applyNumberFormat="1" applyFont="1" applyFill="1" applyAlignment="1">
      <alignment horizontal="left"/>
    </xf>
    <xf numFmtId="4" fontId="42" fillId="9" borderId="0" xfId="0" applyNumberFormat="1" applyFont="1" applyFill="1" applyAlignment="1">
      <alignment horizontal="left"/>
    </xf>
    <xf numFmtId="168" fontId="42" fillId="4" borderId="0" xfId="0" applyNumberFormat="1" applyFont="1" applyFill="1" applyAlignment="1">
      <alignment horizontal="left"/>
    </xf>
    <xf numFmtId="168" fontId="42" fillId="15" borderId="0" xfId="0" applyNumberFormat="1" applyFont="1" applyFill="1" applyAlignment="1">
      <alignment horizontal="left"/>
    </xf>
    <xf numFmtId="168" fontId="42" fillId="9" borderId="0" xfId="0" applyNumberFormat="1" applyFont="1" applyFill="1" applyAlignment="1">
      <alignment horizontal="left"/>
    </xf>
    <xf numFmtId="168" fontId="42" fillId="7" borderId="0" xfId="0" applyNumberFormat="1" applyFont="1" applyFill="1" applyAlignment="1">
      <alignment horizontal="left"/>
    </xf>
    <xf numFmtId="170" fontId="42" fillId="9" borderId="0" xfId="0" applyNumberFormat="1" applyFont="1" applyFill="1" applyAlignment="1">
      <alignment horizontal="left"/>
    </xf>
    <xf numFmtId="166" fontId="42" fillId="25" borderId="0" xfId="0" applyNumberFormat="1" applyFont="1" applyFill="1" applyAlignment="1">
      <alignment horizontal="left"/>
    </xf>
    <xf numFmtId="0" fontId="42" fillId="25" borderId="0" xfId="0" applyFont="1" applyFill="1" applyAlignment="1">
      <alignment horizontal="left"/>
    </xf>
    <xf numFmtId="0" fontId="42" fillId="25" borderId="0" xfId="0" applyFont="1" applyFill="1" applyAlignment="1">
      <alignment horizontal="center"/>
    </xf>
    <xf numFmtId="3" fontId="42" fillId="25" borderId="0" xfId="0" applyNumberFormat="1" applyFont="1" applyFill="1" applyAlignment="1">
      <alignment horizontal="left"/>
    </xf>
    <xf numFmtId="0" fontId="42" fillId="25" borderId="0" xfId="0" applyFont="1" applyFill="1" applyAlignment="1">
      <alignment horizontal="left" wrapText="1"/>
    </xf>
    <xf numFmtId="0" fontId="41" fillId="6" borderId="0" xfId="0" applyFont="1" applyFill="1" applyAlignment="1">
      <alignment horizontal="left" wrapText="1"/>
    </xf>
    <xf numFmtId="0" fontId="42" fillId="10" borderId="0" xfId="0" applyFont="1" applyFill="1" applyAlignment="1">
      <alignment horizontal="left"/>
    </xf>
    <xf numFmtId="0" fontId="56" fillId="10" borderId="0" xfId="0" applyFont="1" applyFill="1" applyAlignment="1">
      <alignment horizontal="left" wrapText="1"/>
    </xf>
    <xf numFmtId="0" fontId="57" fillId="10" borderId="0" xfId="0" applyFont="1" applyFill="1" applyAlignment="1">
      <alignment horizontal="left" wrapText="1"/>
    </xf>
    <xf numFmtId="0" fontId="9" fillId="10" borderId="0" xfId="0" applyFont="1" applyFill="1" applyAlignment="1">
      <alignment horizontal="left" wrapText="1"/>
    </xf>
    <xf numFmtId="0" fontId="42" fillId="26" borderId="0" xfId="0" applyFont="1" applyFill="1" applyAlignment="1">
      <alignment horizontal="left" vertical="top"/>
    </xf>
    <xf numFmtId="0" fontId="41" fillId="26" borderId="0" xfId="0" applyFont="1" applyFill="1" applyAlignment="1">
      <alignment horizontal="left" vertical="top" wrapText="1"/>
    </xf>
    <xf numFmtId="3" fontId="42" fillId="26" borderId="0" xfId="0" applyNumberFormat="1" applyFont="1" applyFill="1" applyAlignment="1">
      <alignment horizontal="left" vertical="top"/>
    </xf>
    <xf numFmtId="0" fontId="42" fillId="26" borderId="0" xfId="0" applyFont="1" applyFill="1" applyAlignment="1">
      <alignment horizontal="left"/>
    </xf>
    <xf numFmtId="169" fontId="42" fillId="26" borderId="0" xfId="0" applyNumberFormat="1" applyFont="1" applyFill="1" applyAlignment="1">
      <alignment horizontal="left" vertical="top"/>
    </xf>
    <xf numFmtId="0" fontId="9" fillId="26" borderId="0" xfId="0" applyFont="1" applyFill="1" applyAlignment="1">
      <alignment horizontal="left" vertical="top"/>
    </xf>
    <xf numFmtId="3" fontId="9" fillId="26" borderId="0" xfId="0" applyNumberFormat="1" applyFont="1" applyFill="1" applyAlignment="1">
      <alignment horizontal="left" vertical="top"/>
    </xf>
    <xf numFmtId="169" fontId="9" fillId="26" borderId="0" xfId="0" applyNumberFormat="1" applyFont="1" applyFill="1" applyAlignment="1">
      <alignment horizontal="left" vertical="top"/>
    </xf>
    <xf numFmtId="168" fontId="42" fillId="26" borderId="0" xfId="0" applyNumberFormat="1" applyFont="1" applyFill="1" applyAlignment="1">
      <alignment horizontal="left" vertical="top"/>
    </xf>
    <xf numFmtId="0" fontId="58" fillId="26" borderId="0" xfId="0" applyFont="1" applyFill="1" applyAlignment="1">
      <alignment horizontal="left" vertical="top"/>
    </xf>
    <xf numFmtId="0" fontId="59" fillId="26" borderId="0" xfId="0" applyFont="1" applyFill="1" applyAlignment="1">
      <alignment horizontal="left" vertical="top"/>
    </xf>
    <xf numFmtId="0" fontId="42" fillId="24" borderId="0" xfId="0" applyFont="1" applyFill="1" applyAlignment="1">
      <alignment horizontal="left" vertical="top"/>
    </xf>
    <xf numFmtId="0" fontId="41" fillId="24" borderId="0" xfId="0" applyFont="1" applyFill="1" applyAlignment="1">
      <alignment horizontal="left" vertical="top" wrapText="1"/>
    </xf>
    <xf numFmtId="169" fontId="42" fillId="24" borderId="0" xfId="0" applyNumberFormat="1" applyFont="1" applyFill="1" applyAlignment="1">
      <alignment horizontal="left" vertical="top"/>
    </xf>
    <xf numFmtId="0" fontId="60" fillId="24" borderId="0" xfId="0" applyFont="1" applyFill="1" applyAlignment="1">
      <alignment horizontal="left" vertical="top"/>
    </xf>
    <xf numFmtId="0" fontId="9" fillId="24" borderId="0" xfId="0" applyFont="1" applyFill="1" applyAlignment="1">
      <alignment horizontal="left" vertical="top"/>
    </xf>
    <xf numFmtId="3" fontId="9" fillId="24" borderId="0" xfId="0" applyNumberFormat="1" applyFont="1" applyFill="1" applyAlignment="1">
      <alignment horizontal="left" vertical="top"/>
    </xf>
    <xf numFmtId="0" fontId="61" fillId="24" borderId="0" xfId="0" applyFont="1" applyFill="1" applyAlignment="1">
      <alignment horizontal="left" vertical="top"/>
    </xf>
    <xf numFmtId="168" fontId="9" fillId="24" borderId="0" xfId="0" applyNumberFormat="1" applyFont="1" applyFill="1" applyAlignment="1">
      <alignment horizontal="left" vertical="top"/>
    </xf>
    <xf numFmtId="169" fontId="9" fillId="24" borderId="0" xfId="0" applyNumberFormat="1" applyFont="1" applyFill="1" applyAlignment="1">
      <alignment horizontal="left" vertical="top"/>
    </xf>
    <xf numFmtId="0" fontId="42" fillId="12" borderId="0" xfId="0" applyFont="1" applyFill="1" applyAlignment="1">
      <alignment horizontal="left" vertical="top"/>
    </xf>
    <xf numFmtId="0" fontId="41" fillId="12" borderId="0" xfId="0" applyFont="1" applyFill="1" applyAlignment="1">
      <alignment horizontal="left" vertical="top" wrapText="1"/>
    </xf>
    <xf numFmtId="3" fontId="42" fillId="12" borderId="0" xfId="0" applyNumberFormat="1" applyFont="1" applyFill="1" applyAlignment="1">
      <alignment horizontal="left" vertical="top"/>
    </xf>
    <xf numFmtId="0" fontId="42" fillId="12" borderId="0" xfId="0" applyFont="1" applyFill="1" applyAlignment="1">
      <alignment horizontal="left"/>
    </xf>
    <xf numFmtId="0" fontId="9" fillId="12" borderId="0" xfId="0" applyFont="1" applyFill="1" applyAlignment="1">
      <alignment horizontal="left" vertical="top"/>
    </xf>
    <xf numFmtId="3" fontId="9" fillId="12" borderId="0" xfId="0" applyNumberFormat="1" applyFont="1" applyFill="1" applyAlignment="1">
      <alignment horizontal="left" vertical="top"/>
    </xf>
    <xf numFmtId="169" fontId="9" fillId="12" borderId="0" xfId="0" applyNumberFormat="1" applyFont="1" applyFill="1" applyAlignment="1">
      <alignment horizontal="left" vertical="top"/>
    </xf>
    <xf numFmtId="0" fontId="9" fillId="16" borderId="0" xfId="0" applyFont="1" applyFill="1"/>
    <xf numFmtId="166" fontId="43" fillId="9" borderId="0" xfId="0" applyNumberFormat="1" applyFont="1" applyFill="1" applyAlignment="1">
      <alignment vertical="top"/>
    </xf>
    <xf numFmtId="166" fontId="43" fillId="7" borderId="0" xfId="0" applyNumberFormat="1" applyFont="1" applyFill="1" applyAlignment="1">
      <alignment vertical="top"/>
    </xf>
    <xf numFmtId="166" fontId="42" fillId="27" borderId="0" xfId="0" applyNumberFormat="1" applyFont="1" applyFill="1" applyAlignment="1">
      <alignment horizontal="left"/>
    </xf>
    <xf numFmtId="0" fontId="42" fillId="27" borderId="0" xfId="0" applyFont="1" applyFill="1" applyAlignment="1">
      <alignment horizontal="left"/>
    </xf>
    <xf numFmtId="169" fontId="42" fillId="27" borderId="0" xfId="0" applyNumberFormat="1" applyFont="1" applyFill="1" applyAlignment="1">
      <alignment horizontal="left"/>
    </xf>
    <xf numFmtId="0" fontId="42" fillId="27" borderId="0" xfId="0" applyFont="1" applyFill="1" applyAlignment="1">
      <alignment horizontal="left" wrapText="1"/>
    </xf>
    <xf numFmtId="166" fontId="43" fillId="27" borderId="0" xfId="0" applyNumberFormat="1" applyFont="1" applyFill="1" applyAlignment="1">
      <alignment vertical="top"/>
    </xf>
    <xf numFmtId="0" fontId="9" fillId="27" borderId="0" xfId="0" applyFont="1" applyFill="1" applyAlignment="1">
      <alignment vertical="top"/>
    </xf>
    <xf numFmtId="3" fontId="9" fillId="27" borderId="0" xfId="0" applyNumberFormat="1" applyFont="1" applyFill="1" applyAlignment="1">
      <alignment vertical="top"/>
    </xf>
    <xf numFmtId="0" fontId="9" fillId="27" borderId="0" xfId="0" applyFont="1" applyFill="1" applyAlignment="1">
      <alignment vertical="top" wrapText="1"/>
    </xf>
    <xf numFmtId="3" fontId="42" fillId="27" borderId="0" xfId="0" applyNumberFormat="1" applyFont="1" applyFill="1" applyAlignment="1">
      <alignment horizontal="left"/>
    </xf>
    <xf numFmtId="0" fontId="38" fillId="28" borderId="0" xfId="0" applyFont="1" applyFill="1" applyAlignment="1">
      <alignment horizontal="left" wrapText="1"/>
    </xf>
    <xf numFmtId="0" fontId="39" fillId="7" borderId="0" xfId="0" applyFont="1" applyFill="1" applyAlignment="1">
      <alignment horizontal="left"/>
    </xf>
    <xf numFmtId="0" fontId="8" fillId="7" borderId="0" xfId="0" applyFont="1" applyFill="1"/>
    <xf numFmtId="0" fontId="8" fillId="7" borderId="0" xfId="0" applyFont="1" applyFill="1" applyAlignment="1">
      <alignment horizontal="center"/>
    </xf>
    <xf numFmtId="0" fontId="8" fillId="7" borderId="0" xfId="0" applyFont="1" applyFill="1" applyAlignment="1">
      <alignment horizontal="left"/>
    </xf>
    <xf numFmtId="0" fontId="62" fillId="7" borderId="0" xfId="0" applyFont="1" applyFill="1" applyAlignment="1">
      <alignment horizontal="left"/>
    </xf>
    <xf numFmtId="0" fontId="39" fillId="16" borderId="0" xfId="0" applyFont="1" applyFill="1" applyAlignment="1">
      <alignment horizontal="left"/>
    </xf>
    <xf numFmtId="0" fontId="8" fillId="16" borderId="0" xfId="0" applyFont="1" applyFill="1" applyAlignment="1">
      <alignment horizontal="center"/>
    </xf>
    <xf numFmtId="0" fontId="8" fillId="16" borderId="0" xfId="0" applyFont="1" applyFill="1" applyAlignment="1">
      <alignment horizontal="left"/>
    </xf>
    <xf numFmtId="0" fontId="38" fillId="7" borderId="0" xfId="0" applyFont="1" applyFill="1" applyAlignment="1">
      <alignment horizontal="left" wrapText="1"/>
    </xf>
    <xf numFmtId="0" fontId="63" fillId="7" borderId="0" xfId="0" applyFont="1" applyFill="1" applyAlignment="1">
      <alignment horizontal="left"/>
    </xf>
    <xf numFmtId="0" fontId="64" fillId="24" borderId="0" xfId="0" applyFont="1" applyFill="1" applyAlignment="1">
      <alignment horizontal="left"/>
    </xf>
    <xf numFmtId="0" fontId="41" fillId="16" borderId="0" xfId="0" applyFont="1" applyFill="1" applyAlignment="1">
      <alignment horizontal="center"/>
    </xf>
    <xf numFmtId="0" fontId="41" fillId="16" borderId="0" xfId="0" applyFont="1" applyFill="1" applyAlignment="1">
      <alignment horizontal="left"/>
    </xf>
    <xf numFmtId="0" fontId="41" fillId="21" borderId="0" xfId="0" applyFont="1" applyFill="1" applyAlignment="1">
      <alignment horizontal="left"/>
    </xf>
    <xf numFmtId="168" fontId="42" fillId="22" borderId="0" xfId="0" applyNumberFormat="1" applyFont="1" applyFill="1" applyAlignment="1">
      <alignment horizontal="left"/>
    </xf>
    <xf numFmtId="166" fontId="43" fillId="19" borderId="0" xfId="0" applyNumberFormat="1" applyFont="1" applyFill="1" applyAlignment="1">
      <alignment horizontal="left" vertical="top"/>
    </xf>
    <xf numFmtId="166" fontId="43" fillId="15" borderId="0" xfId="0" applyNumberFormat="1" applyFont="1" applyFill="1" applyAlignment="1">
      <alignment horizontal="left" vertical="top"/>
    </xf>
    <xf numFmtId="0" fontId="65" fillId="9" borderId="0" xfId="0" applyFont="1" applyFill="1" applyAlignment="1">
      <alignment vertical="top"/>
    </xf>
    <xf numFmtId="0" fontId="9" fillId="22" borderId="0" xfId="0" applyFont="1" applyFill="1" applyAlignment="1">
      <alignment horizontal="left"/>
    </xf>
    <xf numFmtId="166" fontId="42" fillId="29" borderId="0" xfId="0" applyNumberFormat="1" applyFont="1" applyFill="1" applyAlignment="1">
      <alignment horizontal="left"/>
    </xf>
    <xf numFmtId="0" fontId="42" fillId="29" borderId="0" xfId="0" applyFont="1" applyFill="1" applyAlignment="1">
      <alignment horizontal="left"/>
    </xf>
    <xf numFmtId="0" fontId="42" fillId="29" borderId="0" xfId="0" applyFont="1" applyFill="1" applyAlignment="1">
      <alignment horizontal="center"/>
    </xf>
    <xf numFmtId="166" fontId="9" fillId="22" borderId="0" xfId="0" applyNumberFormat="1" applyFont="1" applyFill="1" applyAlignment="1">
      <alignment horizontal="left"/>
    </xf>
    <xf numFmtId="0" fontId="43" fillId="22" borderId="0" xfId="0" applyFont="1" applyFill="1" applyAlignment="1">
      <alignment horizontal="center"/>
    </xf>
    <xf numFmtId="0" fontId="43" fillId="22" borderId="0" xfId="0" applyFont="1" applyFill="1" applyAlignment="1">
      <alignment horizontal="left"/>
    </xf>
    <xf numFmtId="0" fontId="9" fillId="22" borderId="0" xfId="0" applyFont="1" applyFill="1"/>
    <xf numFmtId="0" fontId="9" fillId="22" borderId="0" xfId="0" applyFont="1" applyFill="1" applyAlignment="1">
      <alignment vertical="top"/>
    </xf>
    <xf numFmtId="0" fontId="66" fillId="30" borderId="0" xfId="0" applyFont="1" applyFill="1" applyAlignment="1">
      <alignment vertical="center"/>
    </xf>
    <xf numFmtId="0" fontId="67" fillId="30" borderId="0" xfId="0" applyFont="1" applyFill="1" applyAlignment="1">
      <alignment horizontal="center" vertical="center"/>
    </xf>
    <xf numFmtId="0" fontId="17" fillId="30" borderId="0" xfId="0" applyFont="1" applyFill="1" applyAlignment="1">
      <alignment vertical="center" wrapText="1"/>
    </xf>
    <xf numFmtId="0" fontId="17" fillId="30" borderId="0" xfId="0" applyFont="1" applyFill="1" applyAlignment="1">
      <alignment horizontal="center" vertical="center" wrapText="1"/>
    </xf>
    <xf numFmtId="2" fontId="17" fillId="30" borderId="0" xfId="0" applyNumberFormat="1" applyFont="1" applyFill="1" applyAlignment="1">
      <alignment horizontal="center" vertical="center" wrapText="1"/>
    </xf>
    <xf numFmtId="0" fontId="67" fillId="30" borderId="0" xfId="0" applyFont="1" applyFill="1" applyAlignment="1">
      <alignment vertical="center"/>
    </xf>
    <xf numFmtId="0" fontId="67" fillId="30" borderId="0" xfId="0" applyFont="1" applyFill="1" applyAlignment="1">
      <alignment horizontal="center" vertical="center" wrapText="1"/>
    </xf>
    <xf numFmtId="0" fontId="67" fillId="16" borderId="0" xfId="0" applyFont="1" applyFill="1" applyAlignment="1">
      <alignment vertical="center"/>
    </xf>
    <xf numFmtId="0" fontId="19" fillId="7" borderId="0" xfId="0" applyFont="1" applyFill="1" applyAlignment="1">
      <alignment vertical="center"/>
    </xf>
    <xf numFmtId="0" fontId="68" fillId="7" borderId="0" xfId="0" applyFont="1" applyFill="1" applyAlignment="1">
      <alignment horizontal="center" vertical="center"/>
    </xf>
    <xf numFmtId="0" fontId="17" fillId="7" borderId="0" xfId="0" applyFont="1" applyFill="1" applyAlignment="1">
      <alignment horizontal="center" vertical="center" wrapText="1"/>
    </xf>
    <xf numFmtId="2" fontId="17" fillId="7" borderId="0" xfId="0" applyNumberFormat="1" applyFont="1" applyFill="1" applyAlignment="1">
      <alignment horizontal="center" vertical="center" wrapText="1"/>
    </xf>
    <xf numFmtId="0" fontId="68" fillId="7" borderId="0" xfId="0" applyFont="1" applyFill="1" applyAlignment="1">
      <alignment vertical="center"/>
    </xf>
    <xf numFmtId="0" fontId="68" fillId="7" borderId="0" xfId="0" applyFont="1" applyFill="1" applyAlignment="1">
      <alignment horizontal="center" vertical="center" wrapText="1"/>
    </xf>
    <xf numFmtId="0" fontId="68" fillId="7" borderId="0" xfId="0" applyFont="1" applyFill="1" applyAlignment="1">
      <alignment vertical="center" wrapText="1"/>
    </xf>
    <xf numFmtId="0" fontId="19" fillId="9" borderId="0" xfId="0" applyFont="1" applyFill="1" applyAlignment="1">
      <alignment vertical="center"/>
    </xf>
    <xf numFmtId="0" fontId="68" fillId="9" borderId="0" xfId="0" applyFont="1" applyFill="1" applyAlignment="1">
      <alignment horizontal="center" vertical="center"/>
    </xf>
    <xf numFmtId="0" fontId="17" fillId="9" borderId="0" xfId="0" applyFont="1" applyFill="1" applyAlignment="1">
      <alignment vertical="center" wrapText="1"/>
    </xf>
    <xf numFmtId="0" fontId="17" fillId="9" borderId="0" xfId="0" applyFont="1" applyFill="1" applyAlignment="1">
      <alignment horizontal="center" vertical="center" wrapText="1"/>
    </xf>
    <xf numFmtId="2" fontId="17" fillId="9" borderId="0" xfId="0" applyNumberFormat="1" applyFont="1" applyFill="1" applyAlignment="1">
      <alignment horizontal="center" vertical="center" wrapText="1"/>
    </xf>
    <xf numFmtId="0" fontId="68" fillId="9" borderId="0" xfId="0" applyFont="1" applyFill="1" applyAlignment="1">
      <alignment vertical="center"/>
    </xf>
    <xf numFmtId="0" fontId="68" fillId="9" borderId="0" xfId="0" applyFont="1" applyFill="1" applyAlignment="1">
      <alignment horizontal="center" vertical="center" wrapText="1"/>
    </xf>
    <xf numFmtId="0" fontId="68" fillId="9" borderId="0" xfId="0" applyFont="1" applyFill="1" applyAlignment="1">
      <alignment vertical="center" wrapText="1"/>
    </xf>
    <xf numFmtId="0" fontId="38" fillId="31" borderId="0" xfId="0" applyFont="1" applyFill="1"/>
    <xf numFmtId="0" fontId="69" fillId="7" borderId="0" xfId="0" applyFont="1" applyFill="1" applyAlignment="1">
      <alignment horizontal="left"/>
    </xf>
    <xf numFmtId="0" fontId="69" fillId="7" borderId="0" xfId="0" applyFont="1" applyFill="1" applyAlignment="1">
      <alignment horizontal="right"/>
    </xf>
    <xf numFmtId="173" fontId="31" fillId="0" borderId="0" xfId="0" applyNumberFormat="1" applyFont="1"/>
    <xf numFmtId="168" fontId="31" fillId="0" borderId="0" xfId="0" applyNumberFormat="1" applyFont="1"/>
    <xf numFmtId="0" fontId="70" fillId="0" borderId="0" xfId="0" applyFont="1"/>
    <xf numFmtId="0" fontId="38" fillId="16" borderId="0" xfId="0" applyFont="1" applyFill="1" applyAlignment="1">
      <alignment horizontal="left" wrapText="1"/>
    </xf>
    <xf numFmtId="0" fontId="38" fillId="10" borderId="0" xfId="0" applyFont="1" applyFill="1" applyAlignment="1">
      <alignment horizontal="left"/>
    </xf>
    <xf numFmtId="0" fontId="69" fillId="10" borderId="0" xfId="0" applyFont="1" applyFill="1"/>
    <xf numFmtId="0" fontId="38" fillId="21" borderId="0" xfId="0" applyFont="1" applyFill="1" applyAlignment="1">
      <alignment horizontal="left" wrapText="1"/>
    </xf>
    <xf numFmtId="0" fontId="8" fillId="10" borderId="0" xfId="0" applyFont="1" applyFill="1" applyAlignment="1">
      <alignment horizontal="left" wrapText="1"/>
    </xf>
    <xf numFmtId="166" fontId="1" fillId="7" borderId="0" xfId="0" applyNumberFormat="1" applyFont="1" applyFill="1" applyAlignment="1">
      <alignment horizontal="left"/>
    </xf>
    <xf numFmtId="0" fontId="8" fillId="7" borderId="0" xfId="0" applyFont="1" applyFill="1" applyAlignment="1">
      <alignment horizontal="left" wrapText="1"/>
    </xf>
    <xf numFmtId="0" fontId="8" fillId="21" borderId="0" xfId="0" applyFont="1" applyFill="1" applyAlignment="1">
      <alignment horizontal="left"/>
    </xf>
    <xf numFmtId="166" fontId="1" fillId="9" borderId="0" xfId="0" applyNumberFormat="1" applyFont="1" applyFill="1" applyAlignment="1">
      <alignment horizontal="left"/>
    </xf>
    <xf numFmtId="0" fontId="8" fillId="9" borderId="0" xfId="0" applyFont="1" applyFill="1" applyAlignment="1">
      <alignment horizontal="left"/>
    </xf>
    <xf numFmtId="0" fontId="8" fillId="9" borderId="0" xfId="0" applyFont="1" applyFill="1" applyAlignment="1">
      <alignment horizontal="left" wrapText="1"/>
    </xf>
    <xf numFmtId="166" fontId="1" fillId="15" borderId="0" xfId="0" applyNumberFormat="1" applyFont="1" applyFill="1" applyAlignment="1">
      <alignment horizontal="left"/>
    </xf>
    <xf numFmtId="0" fontId="8" fillId="15" borderId="0" xfId="0" applyFont="1" applyFill="1" applyAlignment="1">
      <alignment horizontal="left"/>
    </xf>
    <xf numFmtId="0" fontId="8" fillId="15" borderId="0" xfId="0" applyFont="1" applyFill="1" applyAlignment="1">
      <alignment horizontal="left" wrapText="1"/>
    </xf>
    <xf numFmtId="0" fontId="69" fillId="9" borderId="0" xfId="0" applyFont="1" applyFill="1" applyAlignment="1">
      <alignment horizontal="left"/>
    </xf>
    <xf numFmtId="166" fontId="1" fillId="4" borderId="0" xfId="0" applyNumberFormat="1" applyFont="1" applyFill="1" applyAlignment="1">
      <alignment horizontal="left"/>
    </xf>
    <xf numFmtId="0" fontId="8" fillId="4" borderId="0" xfId="0" applyFont="1" applyFill="1" applyAlignment="1">
      <alignment horizontal="left"/>
    </xf>
    <xf numFmtId="0" fontId="8" fillId="4" borderId="0" xfId="0" applyFont="1" applyFill="1" applyAlignment="1">
      <alignment horizontal="left" wrapText="1"/>
    </xf>
    <xf numFmtId="0" fontId="69" fillId="4" borderId="0" xfId="0" applyFont="1" applyFill="1" applyAlignment="1">
      <alignment horizontal="left"/>
    </xf>
    <xf numFmtId="0" fontId="71" fillId="4" borderId="0" xfId="0" applyFont="1" applyFill="1" applyAlignment="1">
      <alignment horizontal="left"/>
    </xf>
    <xf numFmtId="0" fontId="69" fillId="15" borderId="0" xfId="0" applyFont="1" applyFill="1" applyAlignment="1">
      <alignment horizontal="left"/>
    </xf>
    <xf numFmtId="166" fontId="1" fillId="23" borderId="0" xfId="0" applyNumberFormat="1" applyFont="1" applyFill="1" applyAlignment="1">
      <alignment horizontal="left"/>
    </xf>
    <xf numFmtId="0" fontId="8" fillId="23" borderId="0" xfId="0" applyFont="1" applyFill="1" applyAlignment="1">
      <alignment horizontal="left"/>
    </xf>
    <xf numFmtId="0" fontId="8" fillId="23" borderId="0" xfId="0" applyFont="1" applyFill="1" applyAlignment="1">
      <alignment horizontal="left" wrapText="1"/>
    </xf>
    <xf numFmtId="0" fontId="69" fillId="16" borderId="0" xfId="0" applyFont="1" applyFill="1" applyAlignment="1">
      <alignment horizontal="left"/>
    </xf>
    <xf numFmtId="0" fontId="69" fillId="9" borderId="0" xfId="0" applyFont="1" applyFill="1" applyAlignment="1">
      <alignment horizontal="left" wrapText="1"/>
    </xf>
    <xf numFmtId="0" fontId="69" fillId="21" borderId="0" xfId="0" applyFont="1" applyFill="1" applyAlignment="1">
      <alignment horizontal="left"/>
    </xf>
    <xf numFmtId="166" fontId="1" fillId="24" borderId="0" xfId="0" applyNumberFormat="1" applyFont="1" applyFill="1" applyAlignment="1">
      <alignment horizontal="left"/>
    </xf>
    <xf numFmtId="0" fontId="8" fillId="24" borderId="0" xfId="0" applyFont="1" applyFill="1" applyAlignment="1">
      <alignment horizontal="left"/>
    </xf>
    <xf numFmtId="0" fontId="69" fillId="24" borderId="0" xfId="0" applyFont="1" applyFill="1" applyAlignment="1">
      <alignment horizontal="left"/>
    </xf>
    <xf numFmtId="0" fontId="8" fillId="24" borderId="0" xfId="0" applyFont="1" applyFill="1" applyAlignment="1">
      <alignment horizontal="left" wrapText="1"/>
    </xf>
    <xf numFmtId="0" fontId="8" fillId="0" borderId="7" xfId="0" applyFont="1" applyBorder="1" applyAlignment="1">
      <alignment horizontal="right"/>
    </xf>
    <xf numFmtId="0" fontId="8" fillId="0" borderId="7" xfId="0" applyFont="1" applyBorder="1"/>
    <xf numFmtId="0" fontId="8" fillId="0" borderId="0" xfId="0" applyFont="1" applyAlignment="1">
      <alignment horizontal="center"/>
    </xf>
    <xf numFmtId="165" fontId="8" fillId="0" borderId="0" xfId="0" applyNumberFormat="1" applyFont="1" applyAlignment="1">
      <alignment horizontal="center"/>
    </xf>
    <xf numFmtId="0" fontId="8" fillId="0" borderId="0" xfId="0" applyFont="1" applyAlignment="1">
      <alignment horizontal="right"/>
    </xf>
    <xf numFmtId="0" fontId="57" fillId="10" borderId="0" xfId="0" applyFont="1" applyFill="1" applyAlignment="1">
      <alignment horizontal="left" vertical="top"/>
    </xf>
    <xf numFmtId="0" fontId="41" fillId="10" borderId="0" xfId="0" applyFont="1" applyFill="1" applyAlignment="1">
      <alignment horizontal="left" vertical="top"/>
    </xf>
    <xf numFmtId="0" fontId="9" fillId="10" borderId="0" xfId="0" applyFont="1" applyFill="1" applyAlignment="1">
      <alignment horizontal="left" vertical="top"/>
    </xf>
    <xf numFmtId="0" fontId="42" fillId="10" borderId="0" xfId="0" applyFont="1" applyFill="1" applyAlignment="1">
      <alignment horizontal="left" vertical="top"/>
    </xf>
    <xf numFmtId="166" fontId="43" fillId="24" borderId="0" xfId="0" applyNumberFormat="1" applyFont="1" applyFill="1" applyAlignment="1">
      <alignment horizontal="left" vertical="top"/>
    </xf>
    <xf numFmtId="0" fontId="73" fillId="24" borderId="0" xfId="0" applyFont="1" applyFill="1" applyAlignment="1">
      <alignment horizontal="left"/>
    </xf>
    <xf numFmtId="0" fontId="9" fillId="9" borderId="0" xfId="0" applyFont="1" applyFill="1" applyAlignment="1">
      <alignment horizontal="left" vertical="top"/>
    </xf>
    <xf numFmtId="0" fontId="9" fillId="16" borderId="0" xfId="0" applyFont="1" applyFill="1" applyAlignment="1">
      <alignment horizontal="left" vertical="top"/>
    </xf>
    <xf numFmtId="169" fontId="9" fillId="9" borderId="0" xfId="0" applyNumberFormat="1" applyFont="1" applyFill="1" applyAlignment="1">
      <alignment horizontal="left" vertical="top"/>
    </xf>
    <xf numFmtId="166" fontId="42" fillId="16" borderId="0" xfId="0" applyNumberFormat="1" applyFont="1" applyFill="1" applyAlignment="1">
      <alignment horizontal="left"/>
    </xf>
    <xf numFmtId="166" fontId="42" fillId="32" borderId="0" xfId="0" applyNumberFormat="1" applyFont="1" applyFill="1" applyAlignment="1">
      <alignment horizontal="left" vertical="top"/>
    </xf>
    <xf numFmtId="0" fontId="42" fillId="32" borderId="0" xfId="0" applyFont="1" applyFill="1" applyAlignment="1">
      <alignment horizontal="left" vertical="top"/>
    </xf>
    <xf numFmtId="166" fontId="9" fillId="4" borderId="0" xfId="0" applyNumberFormat="1" applyFont="1" applyFill="1" applyAlignment="1">
      <alignment horizontal="left" vertical="top"/>
    </xf>
    <xf numFmtId="0" fontId="9" fillId="4" borderId="0" xfId="0" applyFont="1" applyFill="1" applyAlignment="1">
      <alignment horizontal="left" vertical="top"/>
    </xf>
    <xf numFmtId="0" fontId="42" fillId="4" borderId="0" xfId="0" applyFont="1" applyFill="1" applyAlignment="1">
      <alignment horizontal="left" vertical="top"/>
    </xf>
    <xf numFmtId="169" fontId="42" fillId="16" borderId="0" xfId="0" applyNumberFormat="1" applyFont="1" applyFill="1" applyAlignment="1">
      <alignment horizontal="left"/>
    </xf>
    <xf numFmtId="166" fontId="43" fillId="4" borderId="0" xfId="0" applyNumberFormat="1" applyFont="1" applyFill="1" applyAlignment="1">
      <alignment horizontal="left" vertical="top"/>
    </xf>
    <xf numFmtId="0" fontId="9" fillId="15" borderId="0" xfId="0" applyFont="1" applyFill="1" applyAlignment="1">
      <alignment horizontal="left" vertical="top"/>
    </xf>
    <xf numFmtId="169" fontId="9" fillId="4" borderId="0" xfId="0" applyNumberFormat="1" applyFont="1" applyFill="1" applyAlignment="1">
      <alignment horizontal="left" vertical="top"/>
    </xf>
    <xf numFmtId="169" fontId="42" fillId="25" borderId="0" xfId="0" applyNumberFormat="1" applyFont="1" applyFill="1" applyAlignment="1">
      <alignment horizontal="left"/>
    </xf>
    <xf numFmtId="166" fontId="42" fillId="24" borderId="0" xfId="0" applyNumberFormat="1" applyFont="1" applyFill="1" applyAlignment="1">
      <alignment horizontal="left" vertical="top"/>
    </xf>
    <xf numFmtId="4" fontId="42" fillId="24" borderId="0" xfId="0" applyNumberFormat="1" applyFont="1" applyFill="1" applyAlignment="1">
      <alignment horizontal="left" vertical="top"/>
    </xf>
    <xf numFmtId="166" fontId="42" fillId="4" borderId="0" xfId="0" applyNumberFormat="1" applyFont="1" applyFill="1" applyAlignment="1">
      <alignment horizontal="left" vertical="top"/>
    </xf>
    <xf numFmtId="166" fontId="9" fillId="26" borderId="0" xfId="0" applyNumberFormat="1" applyFont="1" applyFill="1" applyAlignment="1">
      <alignment horizontal="left" vertical="top"/>
    </xf>
    <xf numFmtId="0" fontId="42" fillId="29" borderId="0" xfId="0" applyFont="1" applyFill="1" applyAlignment="1">
      <alignment horizontal="left" wrapText="1"/>
    </xf>
    <xf numFmtId="166" fontId="42" fillId="26" borderId="0" xfId="0" applyNumberFormat="1" applyFont="1" applyFill="1" applyAlignment="1">
      <alignment horizontal="left" vertical="top"/>
    </xf>
    <xf numFmtId="166" fontId="9" fillId="15" borderId="0" xfId="0" applyNumberFormat="1" applyFont="1" applyFill="1" applyAlignment="1">
      <alignment horizontal="left" vertical="top"/>
    </xf>
    <xf numFmtId="0" fontId="43" fillId="15" borderId="0" xfId="0" applyFont="1" applyFill="1" applyAlignment="1">
      <alignment horizontal="left" vertical="top"/>
    </xf>
    <xf numFmtId="0" fontId="9" fillId="15" borderId="0" xfId="0" applyFont="1" applyFill="1" applyAlignment="1">
      <alignment horizontal="left" vertical="top" wrapText="1"/>
    </xf>
    <xf numFmtId="0" fontId="42" fillId="15" borderId="0" xfId="0" applyFont="1" applyFill="1" applyAlignment="1">
      <alignment horizontal="left" vertical="top"/>
    </xf>
    <xf numFmtId="0" fontId="9" fillId="7" borderId="0" xfId="0" applyFont="1" applyFill="1" applyAlignment="1">
      <alignment horizontal="left" vertical="top"/>
    </xf>
    <xf numFmtId="3" fontId="9" fillId="7" borderId="0" xfId="0" applyNumberFormat="1" applyFont="1" applyFill="1" applyAlignment="1">
      <alignment horizontal="left" vertical="top"/>
    </xf>
    <xf numFmtId="166" fontId="9" fillId="24" borderId="0" xfId="0" applyNumberFormat="1" applyFont="1" applyFill="1" applyAlignment="1">
      <alignment horizontal="left" vertical="top"/>
    </xf>
    <xf numFmtId="169" fontId="42" fillId="32" borderId="0" xfId="0" applyNumberFormat="1" applyFont="1" applyFill="1" applyAlignment="1">
      <alignment horizontal="left" vertical="top"/>
    </xf>
    <xf numFmtId="168" fontId="42" fillId="25" borderId="0" xfId="0" applyNumberFormat="1" applyFont="1" applyFill="1" applyAlignment="1">
      <alignment horizontal="left"/>
    </xf>
    <xf numFmtId="166" fontId="42" fillId="12" borderId="0" xfId="0" applyNumberFormat="1" applyFont="1" applyFill="1" applyAlignment="1">
      <alignment horizontal="left"/>
    </xf>
    <xf numFmtId="3" fontId="42" fillId="12" borderId="0" xfId="0" applyNumberFormat="1" applyFont="1" applyFill="1" applyAlignment="1">
      <alignment horizontal="left"/>
    </xf>
    <xf numFmtId="169" fontId="9" fillId="9" borderId="0" xfId="0" applyNumberFormat="1" applyFont="1" applyFill="1" applyAlignment="1">
      <alignment horizontal="left"/>
    </xf>
    <xf numFmtId="166" fontId="9" fillId="12" borderId="0" xfId="0" applyNumberFormat="1" applyFont="1" applyFill="1" applyAlignment="1">
      <alignment horizontal="left"/>
    </xf>
    <xf numFmtId="0" fontId="9" fillId="12" borderId="0" xfId="0" applyFont="1" applyFill="1" applyAlignment="1">
      <alignment horizontal="left"/>
    </xf>
    <xf numFmtId="3" fontId="9" fillId="12" borderId="0" xfId="0" applyNumberFormat="1" applyFont="1" applyFill="1" applyAlignment="1">
      <alignment horizontal="left"/>
    </xf>
    <xf numFmtId="166" fontId="42" fillId="15" borderId="0" xfId="0" applyNumberFormat="1" applyFont="1" applyFill="1" applyAlignment="1">
      <alignment horizontal="left" vertical="top"/>
    </xf>
    <xf numFmtId="0" fontId="42" fillId="15" borderId="0" xfId="0" applyFont="1" applyFill="1" applyAlignment="1">
      <alignment horizontal="left" vertical="top" wrapText="1"/>
    </xf>
    <xf numFmtId="166" fontId="42" fillId="7" borderId="0" xfId="0" applyNumberFormat="1" applyFont="1" applyFill="1" applyAlignment="1">
      <alignment horizontal="left" vertical="top"/>
    </xf>
    <xf numFmtId="0" fontId="42" fillId="7" borderId="0" xfId="0" applyFont="1" applyFill="1" applyAlignment="1">
      <alignment horizontal="left" vertical="top"/>
    </xf>
    <xf numFmtId="166" fontId="42" fillId="9" borderId="0" xfId="0" applyNumberFormat="1" applyFont="1" applyFill="1" applyAlignment="1">
      <alignment horizontal="left" vertical="top"/>
    </xf>
    <xf numFmtId="0" fontId="42" fillId="9" borderId="0" xfId="0" applyFont="1" applyFill="1" applyAlignment="1">
      <alignment horizontal="left" vertical="top"/>
    </xf>
    <xf numFmtId="0" fontId="74" fillId="9" borderId="0" xfId="0" applyFont="1" applyFill="1" applyAlignment="1">
      <alignment horizontal="left" vertical="top"/>
    </xf>
    <xf numFmtId="3" fontId="42" fillId="9" borderId="0" xfId="0" applyNumberFormat="1" applyFont="1" applyFill="1" applyAlignment="1">
      <alignment horizontal="left" vertical="top"/>
    </xf>
    <xf numFmtId="0" fontId="75" fillId="7" borderId="0" xfId="0" applyFont="1" applyFill="1" applyAlignment="1">
      <alignment horizontal="left"/>
    </xf>
    <xf numFmtId="0" fontId="43" fillId="24" borderId="0" xfId="0" applyFont="1" applyFill="1" applyAlignment="1">
      <alignment horizontal="left" vertical="top"/>
    </xf>
    <xf numFmtId="0" fontId="76" fillId="24" borderId="0" xfId="0" applyFont="1" applyFill="1" applyAlignment="1">
      <alignment horizontal="left" vertical="top"/>
    </xf>
    <xf numFmtId="0" fontId="42" fillId="24" borderId="0" xfId="0" applyFont="1" applyFill="1" applyAlignment="1">
      <alignment horizontal="left" vertical="top" wrapText="1"/>
    </xf>
    <xf numFmtId="3" fontId="42" fillId="24" borderId="0" xfId="0" applyNumberFormat="1" applyFont="1" applyFill="1" applyAlignment="1">
      <alignment horizontal="left" vertical="top"/>
    </xf>
    <xf numFmtId="169" fontId="9" fillId="7" borderId="0" xfId="0" applyNumberFormat="1" applyFont="1" applyFill="1" applyAlignment="1">
      <alignment horizontal="left" vertical="top"/>
    </xf>
    <xf numFmtId="3" fontId="9" fillId="9" borderId="0" xfId="0" applyNumberFormat="1" applyFont="1" applyFill="1" applyAlignment="1">
      <alignment horizontal="left" vertical="top"/>
    </xf>
    <xf numFmtId="0" fontId="9" fillId="9" borderId="0" xfId="0" quotePrefix="1" applyFont="1" applyFill="1" applyAlignment="1">
      <alignment vertical="top"/>
    </xf>
    <xf numFmtId="166" fontId="9" fillId="25" borderId="0" xfId="0" applyNumberFormat="1" applyFont="1" applyFill="1" applyAlignment="1">
      <alignment horizontal="left" vertical="top"/>
    </xf>
    <xf numFmtId="0" fontId="9" fillId="25" borderId="0" xfId="0" applyFont="1" applyFill="1" applyAlignment="1">
      <alignment horizontal="left" vertical="top"/>
    </xf>
    <xf numFmtId="0" fontId="42" fillId="25" borderId="0" xfId="0" applyFont="1" applyFill="1" applyAlignment="1">
      <alignment horizontal="left" vertical="top"/>
    </xf>
    <xf numFmtId="3" fontId="9" fillId="4" borderId="0" xfId="0" applyNumberFormat="1" applyFont="1" applyFill="1" applyAlignment="1">
      <alignment horizontal="left" vertical="top"/>
    </xf>
    <xf numFmtId="3" fontId="9" fillId="15" borderId="0" xfId="0" applyNumberFormat="1" applyFont="1" applyFill="1" applyAlignment="1">
      <alignment horizontal="left" vertical="top"/>
    </xf>
    <xf numFmtId="0" fontId="77" fillId="24" borderId="0" xfId="0" applyFont="1" applyFill="1" applyAlignment="1">
      <alignment vertical="top"/>
    </xf>
    <xf numFmtId="3" fontId="9" fillId="24" borderId="0" xfId="0" applyNumberFormat="1" applyFont="1" applyFill="1" applyAlignment="1">
      <alignment vertical="top"/>
    </xf>
    <xf numFmtId="0" fontId="78" fillId="24" borderId="0" xfId="0" applyFont="1" applyFill="1" applyAlignment="1">
      <alignment vertical="top"/>
    </xf>
    <xf numFmtId="169" fontId="79" fillId="24" borderId="0" xfId="0" applyNumberFormat="1" applyFont="1" applyFill="1" applyAlignment="1">
      <alignment vertical="top"/>
    </xf>
    <xf numFmtId="166" fontId="42" fillId="24" borderId="0" xfId="0" applyNumberFormat="1" applyFont="1" applyFill="1" applyAlignment="1">
      <alignment horizontal="left"/>
    </xf>
    <xf numFmtId="0" fontId="42" fillId="24" borderId="0" xfId="0" applyFont="1" applyFill="1" applyAlignment="1">
      <alignment horizontal="center"/>
    </xf>
    <xf numFmtId="0" fontId="42" fillId="24" borderId="0" xfId="0" applyFont="1" applyFill="1" applyAlignment="1">
      <alignment horizontal="left" wrapText="1"/>
    </xf>
    <xf numFmtId="169" fontId="42" fillId="24" borderId="0" xfId="0" applyNumberFormat="1" applyFont="1" applyFill="1" applyAlignment="1">
      <alignment horizontal="left"/>
    </xf>
    <xf numFmtId="3" fontId="42" fillId="24" borderId="0" xfId="0" applyNumberFormat="1" applyFont="1" applyFill="1" applyAlignment="1">
      <alignment horizontal="left"/>
    </xf>
    <xf numFmtId="168" fontId="42" fillId="24" borderId="0" xfId="0" applyNumberFormat="1" applyFont="1" applyFill="1" applyAlignment="1">
      <alignment horizontal="left"/>
    </xf>
    <xf numFmtId="0" fontId="80" fillId="7" borderId="0" xfId="0" applyFont="1" applyFill="1" applyAlignment="1">
      <alignment vertical="top"/>
    </xf>
    <xf numFmtId="166" fontId="43" fillId="23" borderId="0" xfId="0" applyNumberFormat="1" applyFont="1" applyFill="1" applyAlignment="1">
      <alignment horizontal="left" vertical="top"/>
    </xf>
    <xf numFmtId="0" fontId="8" fillId="9" borderId="0" xfId="0" applyFont="1" applyFill="1"/>
    <xf numFmtId="0" fontId="13" fillId="0" borderId="52" xfId="0" applyFont="1" applyBorder="1" applyAlignment="1">
      <alignment horizontal="center"/>
    </xf>
    <xf numFmtId="0" fontId="81" fillId="7" borderId="7" xfId="0" applyFont="1" applyFill="1" applyBorder="1" applyAlignment="1">
      <alignment horizontal="center"/>
    </xf>
    <xf numFmtId="0" fontId="13" fillId="0" borderId="7" xfId="0" applyFont="1" applyBorder="1" applyAlignment="1">
      <alignment horizontal="center"/>
    </xf>
    <xf numFmtId="0" fontId="69" fillId="7" borderId="53" xfId="0" applyFont="1" applyFill="1" applyBorder="1" applyAlignment="1">
      <alignment horizontal="right" vertical="center"/>
    </xf>
    <xf numFmtId="0" fontId="69" fillId="7" borderId="10" xfId="0" applyFont="1" applyFill="1" applyBorder="1" applyAlignment="1">
      <alignment horizontal="left" vertical="center"/>
    </xf>
    <xf numFmtId="0" fontId="8" fillId="0" borderId="11" xfId="0" applyFont="1" applyBorder="1" applyAlignment="1">
      <alignment vertical="center"/>
    </xf>
    <xf numFmtId="0" fontId="8" fillId="0" borderId="0" xfId="0" applyFont="1" applyAlignment="1">
      <alignment vertical="center"/>
    </xf>
    <xf numFmtId="0" fontId="69" fillId="7" borderId="54" xfId="0" applyFont="1" applyFill="1" applyBorder="1" applyAlignment="1">
      <alignment horizontal="right" vertical="center"/>
    </xf>
    <xf numFmtId="0" fontId="69" fillId="7" borderId="14" xfId="0" applyFont="1" applyFill="1" applyBorder="1" applyAlignment="1">
      <alignment horizontal="left" vertical="center"/>
    </xf>
    <xf numFmtId="0" fontId="8" fillId="0" borderId="15" xfId="0" applyFont="1" applyBorder="1" applyAlignment="1">
      <alignment vertical="center"/>
    </xf>
    <xf numFmtId="0" fontId="69" fillId="7" borderId="55" xfId="0" applyFont="1" applyFill="1" applyBorder="1" applyAlignment="1">
      <alignment horizontal="right" vertical="center"/>
    </xf>
    <xf numFmtId="0" fontId="69" fillId="7" borderId="40" xfId="0" applyFont="1" applyFill="1" applyBorder="1" applyAlignment="1">
      <alignment horizontal="left" vertical="center"/>
    </xf>
    <xf numFmtId="0" fontId="8" fillId="0" borderId="56" xfId="0" applyFont="1" applyBorder="1" applyAlignment="1">
      <alignment vertical="center"/>
    </xf>
    <xf numFmtId="0" fontId="7" fillId="0" borderId="15" xfId="0" applyFont="1" applyBorder="1" applyAlignment="1">
      <alignment horizontal="center"/>
    </xf>
    <xf numFmtId="0" fontId="3" fillId="0" borderId="16" xfId="0" applyFont="1" applyBorder="1"/>
    <xf numFmtId="0" fontId="3" fillId="0" borderId="14" xfId="0" applyFont="1" applyBorder="1"/>
    <xf numFmtId="0" fontId="7" fillId="0" borderId="19" xfId="0" applyFont="1" applyBorder="1" applyAlignment="1">
      <alignment horizontal="center"/>
    </xf>
    <xf numFmtId="0" fontId="3" fillId="0" borderId="20" xfId="0" applyFont="1" applyBorder="1"/>
    <xf numFmtId="0" fontId="3" fillId="0" borderId="18" xfId="0" applyFont="1" applyBorder="1"/>
    <xf numFmtId="0" fontId="2" fillId="2" borderId="34" xfId="0" applyFont="1" applyFill="1" applyBorder="1" applyAlignment="1">
      <alignment horizontal="center"/>
    </xf>
    <xf numFmtId="0" fontId="3" fillId="0" borderId="35" xfId="0" applyFont="1" applyBorder="1"/>
    <xf numFmtId="0" fontId="3" fillId="0" borderId="36" xfId="0" applyFont="1" applyBorder="1"/>
    <xf numFmtId="0" fontId="13" fillId="0" borderId="0" xfId="0" applyFont="1" applyAlignment="1">
      <alignment horizontal="center"/>
    </xf>
    <xf numFmtId="0" fontId="0" fillId="0" borderId="0" xfId="0"/>
    <xf numFmtId="0" fontId="11" fillId="0" borderId="0" xfId="0" applyFont="1" applyAlignment="1">
      <alignment horizontal="center"/>
    </xf>
    <xf numFmtId="0" fontId="4" fillId="2" borderId="34" xfId="0" applyFont="1" applyFill="1" applyBorder="1" applyAlignment="1">
      <alignment horizontal="center" wrapText="1"/>
    </xf>
    <xf numFmtId="0" fontId="2" fillId="2" borderId="1" xfId="0" applyFont="1" applyFill="1" applyBorder="1" applyAlignment="1">
      <alignment horizontal="center"/>
    </xf>
    <xf numFmtId="0" fontId="3" fillId="0" borderId="2" xfId="0" applyFont="1" applyBorder="1"/>
    <xf numFmtId="0" fontId="3" fillId="0" borderId="3" xfId="0" applyFont="1" applyBorder="1"/>
    <xf numFmtId="0" fontId="4" fillId="2" borderId="1" xfId="0" applyFont="1" applyFill="1" applyBorder="1" applyAlignment="1">
      <alignment horizontal="center"/>
    </xf>
    <xf numFmtId="0" fontId="7" fillId="0" borderId="6" xfId="0" applyFont="1" applyBorder="1" applyAlignment="1">
      <alignment horizontal="center"/>
    </xf>
    <xf numFmtId="0" fontId="3" fillId="0" borderId="7" xfId="0" applyFont="1" applyBorder="1"/>
    <xf numFmtId="0" fontId="3" fillId="0" borderId="5" xfId="0" applyFont="1" applyBorder="1"/>
    <xf numFmtId="0" fontId="7" fillId="0" borderId="11" xfId="0" applyFont="1" applyBorder="1" applyAlignment="1">
      <alignment horizontal="center"/>
    </xf>
    <xf numFmtId="0" fontId="3" fillId="0" borderId="12" xfId="0" applyFont="1" applyBorder="1"/>
    <xf numFmtId="0" fontId="3" fillId="0" borderId="10" xfId="0" applyFont="1" applyBorder="1"/>
    <xf numFmtId="0" fontId="9" fillId="0" borderId="0" xfId="0" applyFont="1"/>
    <xf numFmtId="0" fontId="72" fillId="2" borderId="0" xfId="0" applyFont="1" applyFill="1" applyAlignment="1">
      <alignment horizontal="center" wrapText="1"/>
    </xf>
  </cellXfs>
  <cellStyles count="1">
    <cellStyle name="Normal" xfId="0" builtinId="0"/>
  </cellStyles>
  <dxfs count="126">
    <dxf>
      <fill>
        <patternFill patternType="solid">
          <fgColor rgb="FFB7E1CD"/>
          <bgColor rgb="FFB7E1CD"/>
        </patternFill>
      </fill>
    </dxf>
    <dxf>
      <fill>
        <patternFill patternType="solid">
          <fgColor rgb="FFD9EAD3"/>
          <bgColor rgb="FFD9EAD3"/>
        </patternFill>
      </fill>
    </dxf>
    <dxf>
      <fill>
        <patternFill patternType="solid">
          <fgColor rgb="FFCFE2F3"/>
          <bgColor rgb="FFCFE2F3"/>
        </patternFill>
      </fill>
    </dxf>
    <dxf>
      <fill>
        <patternFill patternType="solid">
          <fgColor rgb="FFD9D2E9"/>
          <bgColor rgb="FFD9D2E9"/>
        </patternFill>
      </fill>
    </dxf>
    <dxf>
      <fill>
        <patternFill patternType="solid">
          <fgColor rgb="FFB7E1CD"/>
          <bgColor rgb="FFB7E1CD"/>
        </patternFill>
      </fill>
    </dxf>
    <dxf>
      <fill>
        <patternFill patternType="solid">
          <fgColor rgb="FFB7E1CD"/>
          <bgColor rgb="FFB7E1CD"/>
        </patternFill>
      </fill>
    </dxf>
    <dxf>
      <fill>
        <patternFill patternType="solid">
          <fgColor rgb="FFD9EAD3"/>
          <bgColor rgb="FFD9EAD3"/>
        </patternFill>
      </fill>
    </dxf>
    <dxf>
      <fill>
        <patternFill patternType="solid">
          <fgColor rgb="FFCFE2F3"/>
          <bgColor rgb="FFCFE2F3"/>
        </patternFill>
      </fill>
    </dxf>
    <dxf>
      <fill>
        <patternFill patternType="solid">
          <fgColor rgb="FFD9D2E9"/>
          <bgColor rgb="FFD9D2E9"/>
        </patternFill>
      </fill>
    </dxf>
    <dxf>
      <fill>
        <patternFill patternType="solid">
          <fgColor rgb="FFB7E1CD"/>
          <bgColor rgb="FFB7E1CD"/>
        </patternFill>
      </fill>
    </dxf>
    <dxf>
      <fill>
        <patternFill patternType="solid">
          <fgColor rgb="FFB7E1CD"/>
          <bgColor rgb="FFB7E1CD"/>
        </patternFill>
      </fill>
    </dxf>
    <dxf>
      <fill>
        <patternFill patternType="solid">
          <fgColor rgb="FFD9EAD3"/>
          <bgColor rgb="FFD9EAD3"/>
        </patternFill>
      </fill>
    </dxf>
    <dxf>
      <fill>
        <patternFill patternType="solid">
          <fgColor rgb="FFCFE2F3"/>
          <bgColor rgb="FFCFE2F3"/>
        </patternFill>
      </fill>
    </dxf>
    <dxf>
      <fill>
        <patternFill patternType="solid">
          <fgColor rgb="FFD9D2E9"/>
          <bgColor rgb="FFD9D2E9"/>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D9D2E9"/>
          <bgColor rgb="FFD9D2E9"/>
        </patternFill>
      </fill>
    </dxf>
    <dxf>
      <fill>
        <patternFill patternType="solid">
          <fgColor rgb="FFFF0000"/>
          <bgColor rgb="FFFF0000"/>
        </patternFill>
      </fill>
    </dxf>
    <dxf>
      <fill>
        <patternFill patternType="solid">
          <fgColor rgb="FFD9EAD3"/>
          <bgColor rgb="FFD9EAD3"/>
        </patternFill>
      </fill>
    </dxf>
    <dxf>
      <fill>
        <patternFill patternType="solid">
          <fgColor rgb="FFCFE2F3"/>
          <bgColor rgb="FFCFE2F3"/>
        </patternFill>
      </fill>
    </dxf>
    <dxf>
      <fill>
        <patternFill patternType="solid">
          <fgColor rgb="FFB7E1CD"/>
          <bgColor rgb="FFB7E1CD"/>
        </patternFill>
      </fill>
    </dxf>
    <dxf>
      <fill>
        <patternFill patternType="solid">
          <fgColor rgb="FFCFE2F3"/>
          <bgColor rgb="FFCFE2F3"/>
        </patternFill>
      </fill>
    </dxf>
    <dxf>
      <fill>
        <patternFill patternType="solid">
          <fgColor rgb="FFD9EAD3"/>
          <bgColor rgb="FFD9EAD3"/>
        </patternFill>
      </fill>
    </dxf>
    <dxf>
      <fill>
        <patternFill patternType="solid">
          <fgColor rgb="FFD9D2E9"/>
          <bgColor rgb="FFD9D2E9"/>
        </patternFill>
      </fill>
    </dxf>
    <dxf>
      <fill>
        <patternFill patternType="solid">
          <fgColor rgb="FFCFE2F3"/>
          <bgColor rgb="FFCFE2F3"/>
        </patternFill>
      </fill>
    </dxf>
    <dxf>
      <fill>
        <patternFill patternType="solid">
          <fgColor rgb="FFD9D2E9"/>
          <bgColor rgb="FFD9D2E9"/>
        </patternFill>
      </fill>
    </dxf>
    <dxf>
      <fill>
        <patternFill patternType="solid">
          <fgColor rgb="FFD9EAD3"/>
          <bgColor rgb="FFD9EAD3"/>
        </patternFill>
      </fill>
    </dxf>
    <dxf>
      <fill>
        <patternFill patternType="solid">
          <fgColor rgb="FF6AA84F"/>
          <bgColor rgb="FF6AA84F"/>
        </patternFill>
      </fill>
    </dxf>
    <dxf>
      <font>
        <color theme="0"/>
      </font>
      <fill>
        <patternFill patternType="solid">
          <fgColor rgb="FF9900FF"/>
          <bgColor rgb="FF9900FF"/>
        </patternFill>
      </fill>
    </dxf>
    <dxf>
      <fill>
        <patternFill patternType="solid">
          <fgColor rgb="FFD9EAD3"/>
          <bgColor rgb="FFD9EAD3"/>
        </patternFill>
      </fill>
    </dxf>
    <dxf>
      <fill>
        <patternFill patternType="solid">
          <fgColor rgb="FFCFE2F3"/>
          <bgColor rgb="FFCFE2F3"/>
        </patternFill>
      </fill>
    </dxf>
    <dxf>
      <fill>
        <patternFill patternType="solid">
          <fgColor rgb="FFD9D2E9"/>
          <bgColor rgb="FFD9D2E9"/>
        </patternFill>
      </fill>
    </dxf>
    <dxf>
      <fill>
        <patternFill patternType="solid">
          <fgColor rgb="FFB7E1CD"/>
          <bgColor rgb="FFB7E1CD"/>
        </patternFill>
      </fill>
    </dxf>
    <dxf>
      <fill>
        <patternFill patternType="solid">
          <fgColor rgb="FFD9EAD3"/>
          <bgColor rgb="FFD9EAD3"/>
        </patternFill>
      </fill>
    </dxf>
    <dxf>
      <fill>
        <patternFill patternType="solid">
          <fgColor rgb="FFCFE2F3"/>
          <bgColor rgb="FFCFE2F3"/>
        </patternFill>
      </fill>
    </dxf>
    <dxf>
      <fill>
        <patternFill patternType="solid">
          <fgColor rgb="FFD9D2E9"/>
          <bgColor rgb="FFD9D2E9"/>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FF0000"/>
          <bgColor rgb="FFFF0000"/>
        </patternFill>
      </fill>
    </dxf>
    <dxf>
      <font>
        <color theme="0"/>
      </font>
      <fill>
        <patternFill patternType="solid">
          <fgColor rgb="FF6AA84F"/>
          <bgColor rgb="FF6AA84F"/>
        </patternFill>
      </fill>
    </dxf>
    <dxf>
      <font>
        <color theme="0"/>
      </font>
      <fill>
        <patternFill patternType="solid">
          <fgColor rgb="FF9900FF"/>
          <bgColor rgb="FF9900FF"/>
        </patternFill>
      </fill>
    </dxf>
    <dxf>
      <fill>
        <patternFill patternType="solid">
          <fgColor rgb="FF8E7CC3"/>
          <bgColor rgb="FF8E7CC3"/>
        </patternFill>
      </fill>
    </dxf>
    <dxf>
      <fill>
        <patternFill patternType="solid">
          <fgColor rgb="FF3D85C6"/>
          <bgColor rgb="FF3D85C6"/>
        </patternFill>
      </fill>
    </dxf>
    <dxf>
      <fill>
        <patternFill patternType="solid">
          <fgColor rgb="FF6AA84F"/>
          <bgColor rgb="FF6AA84F"/>
        </patternFill>
      </fill>
    </dxf>
    <dxf>
      <fill>
        <patternFill patternType="solid">
          <fgColor rgb="FFB7E1CD"/>
          <bgColor rgb="FFB7E1CD"/>
        </patternFill>
      </fill>
    </dxf>
    <dxf>
      <font>
        <color rgb="FFF3F3F3"/>
      </font>
      <fill>
        <patternFill patternType="none"/>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3F3F3"/>
          <bgColor rgb="FFF3F3F3"/>
        </patternFill>
      </fill>
    </dxf>
    <dxf>
      <fill>
        <patternFill patternType="solid">
          <fgColor rgb="FFFFFFFF"/>
          <bgColor rgb="FFFFFFFF"/>
        </patternFill>
      </fill>
    </dxf>
    <dxf>
      <fill>
        <patternFill patternType="solid">
          <fgColor rgb="FFFFFFFF"/>
          <bgColor rgb="FFFFFFFF"/>
        </patternFill>
      </fill>
    </dxf>
    <dxf>
      <fill>
        <patternFill patternType="solid">
          <fgColor rgb="FFF3F3F3"/>
          <bgColor rgb="FFF3F3F3"/>
        </patternFill>
      </fill>
    </dxf>
    <dxf>
      <fill>
        <patternFill patternType="solid">
          <fgColor rgb="FFF3F3F3"/>
          <bgColor rgb="FFF3F3F3"/>
        </patternFill>
      </fill>
    </dxf>
    <dxf>
      <fill>
        <patternFill patternType="solid">
          <fgColor rgb="FFFFFFFF"/>
          <bgColor rgb="FFFFFFFF"/>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3F3F3"/>
          <bgColor rgb="FFF3F3F3"/>
        </patternFill>
      </fill>
    </dxf>
    <dxf>
      <fill>
        <patternFill patternType="solid">
          <fgColor rgb="FFFFFFFF"/>
          <bgColor rgb="FFFFFFFF"/>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3F3F3"/>
          <bgColor rgb="FFF3F3F3"/>
        </patternFill>
      </fill>
    </dxf>
    <dxf>
      <fill>
        <patternFill patternType="solid">
          <fgColor rgb="FFFFFFFF"/>
          <bgColor rgb="FFFFFFFF"/>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3F3F3"/>
          <bgColor rgb="FFF3F3F3"/>
        </patternFill>
      </fill>
    </dxf>
    <dxf>
      <fill>
        <patternFill patternType="solid">
          <fgColor rgb="FFFFFFFF"/>
          <bgColor rgb="FFFFFFFF"/>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3F3F3"/>
          <bgColor rgb="FFF3F3F3"/>
        </patternFill>
      </fill>
    </dxf>
    <dxf>
      <fill>
        <patternFill patternType="solid">
          <fgColor rgb="FFFFFFFF"/>
          <bgColor rgb="FFFFFFFF"/>
        </patternFill>
      </fill>
    </dxf>
  </dxfs>
  <tableStyles count="36">
    <tableStyle name="Totals-style" pivot="0" count="2" xr9:uid="{00000000-0011-0000-FFFF-FFFF00000000}">
      <tableStyleElement type="firstRowStripe" dxfId="125"/>
      <tableStyleElement type="secondRowStripe" dxfId="124"/>
    </tableStyle>
    <tableStyle name="Totals-style 2" pivot="0" count="2" xr9:uid="{00000000-0011-0000-FFFF-FFFF01000000}">
      <tableStyleElement type="firstRowStripe" dxfId="123"/>
      <tableStyleElement type="secondRowStripe" dxfId="122"/>
    </tableStyle>
    <tableStyle name="Totals-style 3" pivot="0" count="2" xr9:uid="{00000000-0011-0000-FFFF-FFFF02000000}">
      <tableStyleElement type="firstRowStripe" dxfId="121"/>
      <tableStyleElement type="secondRowStripe" dxfId="120"/>
    </tableStyle>
    <tableStyle name="Totals-style 4" pivot="0" count="2" xr9:uid="{00000000-0011-0000-FFFF-FFFF03000000}">
      <tableStyleElement type="firstRowStripe" dxfId="119"/>
      <tableStyleElement type="secondRowStripe" dxfId="118"/>
    </tableStyle>
    <tableStyle name="Totals-style 5" pivot="0" count="2" xr9:uid="{00000000-0011-0000-FFFF-FFFF04000000}">
      <tableStyleElement type="firstRowStripe" dxfId="117"/>
      <tableStyleElement type="secondRowStripe" dxfId="116"/>
    </tableStyle>
    <tableStyle name="Totals-style 6" pivot="0" count="2" xr9:uid="{00000000-0011-0000-FFFF-FFFF05000000}">
      <tableStyleElement type="firstRowStripe" dxfId="115"/>
      <tableStyleElement type="secondRowStripe" dxfId="114"/>
    </tableStyle>
    <tableStyle name="Totals-style 7" pivot="0" count="2" xr9:uid="{00000000-0011-0000-FFFF-FFFF06000000}">
      <tableStyleElement type="firstRowStripe" dxfId="113"/>
      <tableStyleElement type="secondRowStripe" dxfId="112"/>
    </tableStyle>
    <tableStyle name="Totals-style 8" pivot="0" count="2" xr9:uid="{00000000-0011-0000-FFFF-FFFF07000000}">
      <tableStyleElement type="firstRowStripe" dxfId="111"/>
      <tableStyleElement type="secondRowStripe" dxfId="110"/>
    </tableStyle>
    <tableStyle name="Totals-style 9" pivot="0" count="2" xr9:uid="{00000000-0011-0000-FFFF-FFFF08000000}">
      <tableStyleElement type="firstRowStripe" dxfId="109"/>
      <tableStyleElement type="secondRowStripe" dxfId="108"/>
    </tableStyle>
    <tableStyle name="Totals-style 10" pivot="0" count="2" xr9:uid="{00000000-0011-0000-FFFF-FFFF09000000}">
      <tableStyleElement type="firstRowStripe" dxfId="107"/>
      <tableStyleElement type="secondRowStripe" dxfId="106"/>
    </tableStyle>
    <tableStyle name="Totals-style 11" pivot="0" count="2" xr9:uid="{00000000-0011-0000-FFFF-FFFF0A000000}">
      <tableStyleElement type="firstRowStripe" dxfId="105"/>
      <tableStyleElement type="secondRowStripe" dxfId="104"/>
    </tableStyle>
    <tableStyle name="Totals-style 12" pivot="0" count="2" xr9:uid="{00000000-0011-0000-FFFF-FFFF0B000000}">
      <tableStyleElement type="firstRowStripe" dxfId="103"/>
      <tableStyleElement type="secondRowStripe" dxfId="102"/>
    </tableStyle>
    <tableStyle name="Totals-style 13" pivot="0" count="2" xr9:uid="{00000000-0011-0000-FFFF-FFFF0C000000}">
      <tableStyleElement type="firstRowStripe" dxfId="101"/>
      <tableStyleElement type="secondRowStripe" dxfId="100"/>
    </tableStyle>
    <tableStyle name="Totals-style 14" pivot="0" count="2" xr9:uid="{00000000-0011-0000-FFFF-FFFF0D000000}">
      <tableStyleElement type="firstRowStripe" dxfId="99"/>
      <tableStyleElement type="secondRowStripe" dxfId="98"/>
    </tableStyle>
    <tableStyle name="Totals-style 15" pivot="0" count="2" xr9:uid="{00000000-0011-0000-FFFF-FFFF0E000000}">
      <tableStyleElement type="firstRowStripe" dxfId="97"/>
      <tableStyleElement type="secondRowStripe" dxfId="96"/>
    </tableStyle>
    <tableStyle name="Totals-style 16" pivot="0" count="2" xr9:uid="{00000000-0011-0000-FFFF-FFFF0F000000}">
      <tableStyleElement type="firstRowStripe" dxfId="95"/>
      <tableStyleElement type="secondRowStripe" dxfId="94"/>
    </tableStyle>
    <tableStyle name="Totals-style 17" pivot="0" count="2" xr9:uid="{00000000-0011-0000-FFFF-FFFF10000000}">
      <tableStyleElement type="firstRowStripe" dxfId="93"/>
      <tableStyleElement type="secondRowStripe" dxfId="92"/>
    </tableStyle>
    <tableStyle name="Totals-style 18" pivot="0" count="2" xr9:uid="{00000000-0011-0000-FFFF-FFFF11000000}">
      <tableStyleElement type="firstRowStripe" dxfId="91"/>
      <tableStyleElement type="secondRowStripe" dxfId="90"/>
    </tableStyle>
    <tableStyle name="Totals-style 19" pivot="0" count="2" xr9:uid="{00000000-0011-0000-FFFF-FFFF12000000}">
      <tableStyleElement type="firstRowStripe" dxfId="89"/>
      <tableStyleElement type="secondRowStripe" dxfId="88"/>
    </tableStyle>
    <tableStyle name="Totals-style 20" pivot="0" count="2" xr9:uid="{00000000-0011-0000-FFFF-FFFF13000000}">
      <tableStyleElement type="firstRowStripe" dxfId="87"/>
      <tableStyleElement type="secondRowStripe" dxfId="86"/>
    </tableStyle>
    <tableStyle name="Totals-style 21" pivot="0" count="2" xr9:uid="{00000000-0011-0000-FFFF-FFFF14000000}">
      <tableStyleElement type="firstRowStripe" dxfId="85"/>
      <tableStyleElement type="secondRowStripe" dxfId="84"/>
    </tableStyle>
    <tableStyle name="Totals-style 22" pivot="0" count="2" xr9:uid="{00000000-0011-0000-FFFF-FFFF15000000}">
      <tableStyleElement type="firstRowStripe" dxfId="83"/>
      <tableStyleElement type="secondRowStripe" dxfId="82"/>
    </tableStyle>
    <tableStyle name="Totals-style 23" pivot="0" count="2" xr9:uid="{00000000-0011-0000-FFFF-FFFF16000000}">
      <tableStyleElement type="firstRowStripe" dxfId="81"/>
      <tableStyleElement type="secondRowStripe" dxfId="80"/>
    </tableStyle>
    <tableStyle name="Totals-style 24" pivot="0" count="2" xr9:uid="{00000000-0011-0000-FFFF-FFFF17000000}">
      <tableStyleElement type="firstRowStripe" dxfId="79"/>
      <tableStyleElement type="secondRowStripe" dxfId="78"/>
    </tableStyle>
    <tableStyle name="Totals-style 25" pivot="0" count="2" xr9:uid="{00000000-0011-0000-FFFF-FFFF18000000}">
      <tableStyleElement type="firstRowStripe" dxfId="77"/>
      <tableStyleElement type="secondRowStripe" dxfId="76"/>
    </tableStyle>
    <tableStyle name="Totals-style 26" pivot="0" count="2" xr9:uid="{00000000-0011-0000-FFFF-FFFF19000000}">
      <tableStyleElement type="firstRowStripe" dxfId="75"/>
      <tableStyleElement type="secondRowStripe" dxfId="74"/>
    </tableStyle>
    <tableStyle name="Totals-style 27" pivot="0" count="2" xr9:uid="{00000000-0011-0000-FFFF-FFFF1A000000}">
      <tableStyleElement type="firstRowStripe" dxfId="73"/>
      <tableStyleElement type="secondRowStripe" dxfId="72"/>
    </tableStyle>
    <tableStyle name="Totals-style 28" pivot="0" count="2" xr9:uid="{00000000-0011-0000-FFFF-FFFF1B000000}">
      <tableStyleElement type="firstRowStripe" dxfId="71"/>
      <tableStyleElement type="secondRowStripe" dxfId="70"/>
    </tableStyle>
    <tableStyle name="Totals-style 29" pivot="0" count="2" xr9:uid="{00000000-0011-0000-FFFF-FFFF1C000000}">
      <tableStyleElement type="firstRowStripe" dxfId="69"/>
      <tableStyleElement type="secondRowStripe" dxfId="68"/>
    </tableStyle>
    <tableStyle name="Totals-style 30" pivot="0" count="2" xr9:uid="{00000000-0011-0000-FFFF-FFFF1D000000}">
      <tableStyleElement type="firstRowStripe" dxfId="67"/>
      <tableStyleElement type="secondRowStripe" dxfId="66"/>
    </tableStyle>
    <tableStyle name="Totals-style 31" pivot="0" count="2" xr9:uid="{00000000-0011-0000-FFFF-FFFF1E000000}">
      <tableStyleElement type="firstRowStripe" dxfId="65"/>
      <tableStyleElement type="secondRowStripe" dxfId="64"/>
    </tableStyle>
    <tableStyle name="For DeepNote Upload- Dev Team U-style" pivot="0" count="3" xr9:uid="{00000000-0011-0000-FFFF-FFFF1F000000}">
      <tableStyleElement type="headerRow" dxfId="63"/>
      <tableStyleElement type="firstRowStripe" dxfId="62"/>
      <tableStyleElement type="secondRowStripe" dxfId="61"/>
    </tableStyle>
    <tableStyle name="For DeepNote Upload- Dev Team U-style 2" pivot="0" count="3" xr9:uid="{00000000-0011-0000-FFFF-FFFF20000000}">
      <tableStyleElement type="headerRow" dxfId="60"/>
      <tableStyleElement type="firstRowStripe" dxfId="59"/>
      <tableStyleElement type="secondRowStripe" dxfId="58"/>
    </tableStyle>
    <tableStyle name="Copy of For DeepNote Upload- De-style" pivot="0" count="3" xr9:uid="{00000000-0011-0000-FFFF-FFFF21000000}">
      <tableStyleElement type="headerRow" dxfId="57"/>
      <tableStyleElement type="firstRowStripe" dxfId="56"/>
      <tableStyleElement type="secondRowStripe" dxfId="55"/>
    </tableStyle>
    <tableStyle name="Asking for transfer to DiT-style" pivot="0" count="2" xr9:uid="{00000000-0011-0000-FFFF-FFFF22000000}">
      <tableStyleElement type="firstRowStripe" dxfId="54"/>
      <tableStyleElement type="secondRowStripe" dxfId="53"/>
    </tableStyle>
    <tableStyle name="Notes-style" pivot="0" count="3" xr9:uid="{00000000-0011-0000-FFFF-FFFF23000000}">
      <tableStyleElement type="headerRow" dxfId="52"/>
      <tableStyleElement type="firstRowStripe" dxfId="51"/>
      <tableStyleElement type="secondRowStripe" dxfId="5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C6:AC12" headerRowCount="0">
  <tableColumns count="27">
    <tableColumn id="1" xr3:uid="{00000000-0010-0000-0000-000001000000}" name="Column1"/>
    <tableColumn id="2" xr3:uid="{00000000-0010-0000-0000-000002000000}" name="Column2"/>
    <tableColumn id="3" xr3:uid="{00000000-0010-0000-0000-000003000000}" name="Column3"/>
    <tableColumn id="4" xr3:uid="{00000000-0010-0000-0000-000004000000}" name="Column4"/>
    <tableColumn id="5" xr3:uid="{00000000-0010-0000-0000-000005000000}" name="Column5"/>
    <tableColumn id="6" xr3:uid="{00000000-0010-0000-0000-000006000000}" name="Column6"/>
    <tableColumn id="7" xr3:uid="{00000000-0010-0000-0000-000007000000}" name="Column7"/>
    <tableColumn id="8" xr3:uid="{00000000-0010-0000-0000-000008000000}" name="Column8"/>
    <tableColumn id="9" xr3:uid="{00000000-0010-0000-0000-000009000000}" name="Column9"/>
    <tableColumn id="10" xr3:uid="{00000000-0010-0000-0000-00000A000000}" name="Column10"/>
    <tableColumn id="11" xr3:uid="{00000000-0010-0000-0000-00000B000000}" name="Column11"/>
    <tableColumn id="12" xr3:uid="{00000000-0010-0000-0000-00000C000000}" name="Column12"/>
    <tableColumn id="13" xr3:uid="{00000000-0010-0000-0000-00000D000000}" name="Column13"/>
    <tableColumn id="14" xr3:uid="{00000000-0010-0000-0000-00000E000000}" name="Column14"/>
    <tableColumn id="15" xr3:uid="{00000000-0010-0000-0000-00000F000000}" name="Column15"/>
    <tableColumn id="16" xr3:uid="{00000000-0010-0000-0000-000010000000}" name="Column16"/>
    <tableColumn id="17" xr3:uid="{00000000-0010-0000-0000-000011000000}" name="Column17"/>
    <tableColumn id="18" xr3:uid="{00000000-0010-0000-0000-000012000000}" name="Column18"/>
    <tableColumn id="19" xr3:uid="{00000000-0010-0000-0000-000013000000}" name="Column19"/>
    <tableColumn id="20" xr3:uid="{00000000-0010-0000-0000-000014000000}" name="Column20"/>
    <tableColumn id="21" xr3:uid="{00000000-0010-0000-0000-000015000000}" name="Column21"/>
    <tableColumn id="22" xr3:uid="{00000000-0010-0000-0000-000016000000}" name="Column22"/>
    <tableColumn id="23" xr3:uid="{00000000-0010-0000-0000-000017000000}" name="Column23"/>
    <tableColumn id="24" xr3:uid="{00000000-0010-0000-0000-000018000000}" name="Column24"/>
    <tableColumn id="25" xr3:uid="{00000000-0010-0000-0000-000019000000}" name="Column25"/>
    <tableColumn id="26" xr3:uid="{00000000-0010-0000-0000-00001A000000}" name="Column26"/>
    <tableColumn id="27" xr3:uid="{00000000-0010-0000-0000-00001B000000}" name="Column27"/>
  </tableColumns>
  <tableStyleInfo name="Totals-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C14:G14" headerRowCount="0">
  <tableColumns count="5">
    <tableColumn id="1" xr3:uid="{00000000-0010-0000-0100-000001000000}" name="Column1"/>
    <tableColumn id="2" xr3:uid="{00000000-0010-0000-0100-000002000000}" name="Column2"/>
    <tableColumn id="3" xr3:uid="{00000000-0010-0000-0100-000003000000}" name="Column3"/>
    <tableColumn id="4" xr3:uid="{00000000-0010-0000-0100-000004000000}" name="Column4"/>
    <tableColumn id="5" xr3:uid="{00000000-0010-0000-0100-000005000000}" name="Column5"/>
  </tableColumns>
  <tableStyleInfo name="Totals-style 2" showFirstColumn="1" showLastColumn="1"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_3" displayName="Table_3" ref="O14:X14" headerRowCount="0">
  <tableColumns count="10">
    <tableColumn id="1" xr3:uid="{00000000-0010-0000-0200-000001000000}" name="Column1"/>
    <tableColumn id="2" xr3:uid="{00000000-0010-0000-0200-000002000000}" name="Column2"/>
    <tableColumn id="3" xr3:uid="{00000000-0010-0000-0200-000003000000}" name="Column3"/>
    <tableColumn id="4" xr3:uid="{00000000-0010-0000-0200-000004000000}" name="Column4"/>
    <tableColumn id="5" xr3:uid="{00000000-0010-0000-0200-000005000000}" name="Column5"/>
    <tableColumn id="6" xr3:uid="{00000000-0010-0000-0200-000006000000}" name="Column6"/>
    <tableColumn id="7" xr3:uid="{00000000-0010-0000-0200-000007000000}" name="Column7"/>
    <tableColumn id="8" xr3:uid="{00000000-0010-0000-0200-000008000000}" name="Column8"/>
    <tableColumn id="9" xr3:uid="{00000000-0010-0000-0200-000009000000}" name="Column9"/>
    <tableColumn id="10" xr3:uid="{00000000-0010-0000-0200-00000A000000}" name="Column10"/>
  </tableColumns>
  <tableStyleInfo name="Totals-style 3" showFirstColumn="1" showLastColumn="1"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_4" displayName="Table_4" ref="I15:L15" headerRowCount="0">
  <tableColumns count="4">
    <tableColumn id="1" xr3:uid="{00000000-0010-0000-0300-000001000000}" name="Column1"/>
    <tableColumn id="2" xr3:uid="{00000000-0010-0000-0300-000002000000}" name="Column2"/>
    <tableColumn id="3" xr3:uid="{00000000-0010-0000-0300-000003000000}" name="Column3"/>
    <tableColumn id="4" xr3:uid="{00000000-0010-0000-0300-000004000000}" name="Column4"/>
  </tableColumns>
  <tableStyleInfo name="Totals-style 4" showFirstColumn="1" showLastColumn="1"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_5" displayName="Table_5" ref="U15:X15" headerRowCount="0">
  <tableColumns count="4">
    <tableColumn id="1" xr3:uid="{00000000-0010-0000-0400-000001000000}" name="Column1"/>
    <tableColumn id="2" xr3:uid="{00000000-0010-0000-0400-000002000000}" name="Column2"/>
    <tableColumn id="3" xr3:uid="{00000000-0010-0000-0400-000003000000}" name="Column3"/>
    <tableColumn id="4" xr3:uid="{00000000-0010-0000-0400-000004000000}" name="Column4"/>
  </tableColumns>
  <tableStyleInfo name="Totals-style 5" showFirstColumn="1" showLastColumn="1"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e_6" displayName="Table_6" ref="C16:F21" headerRowCount="0">
  <tableColumns count="4">
    <tableColumn id="1" xr3:uid="{00000000-0010-0000-0500-000001000000}" name="Column1"/>
    <tableColumn id="2" xr3:uid="{00000000-0010-0000-0500-000002000000}" name="Column2"/>
    <tableColumn id="3" xr3:uid="{00000000-0010-0000-0500-000003000000}" name="Column3"/>
    <tableColumn id="4" xr3:uid="{00000000-0010-0000-0500-000004000000}" name="Column4"/>
  </tableColumns>
  <tableStyleInfo name="Totals-style 6" showFirstColumn="1" showLastColumn="1"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Table_7" displayName="Table_7" ref="O16:R21" headerRowCount="0">
  <tableColumns count="4">
    <tableColumn id="1" xr3:uid="{00000000-0010-0000-0600-000001000000}" name="Column1"/>
    <tableColumn id="2" xr3:uid="{00000000-0010-0000-0600-000002000000}" name="Column2"/>
    <tableColumn id="3" xr3:uid="{00000000-0010-0000-0600-000003000000}" name="Column3"/>
    <tableColumn id="4" xr3:uid="{00000000-0010-0000-0600-000004000000}" name="Column4"/>
  </tableColumns>
  <tableStyleInfo name="Totals-style 7" showFirstColumn="1" showLastColumn="1"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7000000}" name="Table_8" displayName="Table_8" ref="I17:L21" headerRowCount="0">
  <tableColumns count="4">
    <tableColumn id="1" xr3:uid="{00000000-0010-0000-0700-000001000000}" name="Column1"/>
    <tableColumn id="2" xr3:uid="{00000000-0010-0000-0700-000002000000}" name="Column2"/>
    <tableColumn id="3" xr3:uid="{00000000-0010-0000-0700-000003000000}" name="Column3"/>
    <tableColumn id="4" xr3:uid="{00000000-0010-0000-0700-000004000000}" name="Column4"/>
  </tableColumns>
  <tableStyleInfo name="Totals-style 8" showFirstColumn="1" showLastColumn="1"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8000000}" name="Table_9" displayName="Table_9" ref="U17:X19" headerRowCount="0">
  <tableColumns count="4">
    <tableColumn id="1" xr3:uid="{00000000-0010-0000-0800-000001000000}" name="Column1"/>
    <tableColumn id="2" xr3:uid="{00000000-0010-0000-0800-000002000000}" name="Column2"/>
    <tableColumn id="3" xr3:uid="{00000000-0010-0000-0800-000003000000}" name="Column3"/>
    <tableColumn id="4" xr3:uid="{00000000-0010-0000-0800-000004000000}" name="Column4"/>
  </tableColumns>
  <tableStyleInfo name="Totals-style 9" showFirstColumn="1" showLastColumn="1"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9000000}" name="Table_10" displayName="Table_10" ref="D23:L23" headerRowCount="0">
  <tableColumns count="9">
    <tableColumn id="1" xr3:uid="{00000000-0010-0000-0900-000001000000}" name="Column1"/>
    <tableColumn id="2" xr3:uid="{00000000-0010-0000-0900-000002000000}" name="Column2"/>
    <tableColumn id="3" xr3:uid="{00000000-0010-0000-0900-000003000000}" name="Column3"/>
    <tableColumn id="4" xr3:uid="{00000000-0010-0000-0900-000004000000}" name="Column4"/>
    <tableColumn id="5" xr3:uid="{00000000-0010-0000-0900-000005000000}" name="Column5"/>
    <tableColumn id="6" xr3:uid="{00000000-0010-0000-0900-000006000000}" name="Column6"/>
    <tableColumn id="7" xr3:uid="{00000000-0010-0000-0900-000007000000}" name="Column7"/>
    <tableColumn id="8" xr3:uid="{00000000-0010-0000-0900-000008000000}" name="Column8"/>
    <tableColumn id="9" xr3:uid="{00000000-0010-0000-0900-000009000000}" name="Column9"/>
  </tableColumns>
  <tableStyleInfo name="Totals-style 10" showFirstColumn="1" showLastColumn="1"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A000000}" name="Table_11" displayName="Table_11" ref="O25:X25" headerRowCount="0">
  <tableColumns count="10">
    <tableColumn id="1" xr3:uid="{00000000-0010-0000-0A00-000001000000}" name="Column1"/>
    <tableColumn id="2" xr3:uid="{00000000-0010-0000-0A00-000002000000}" name="Column2"/>
    <tableColumn id="3" xr3:uid="{00000000-0010-0000-0A00-000003000000}" name="Column3"/>
    <tableColumn id="4" xr3:uid="{00000000-0010-0000-0A00-000004000000}" name="Column4"/>
    <tableColumn id="5" xr3:uid="{00000000-0010-0000-0A00-000005000000}" name="Column5"/>
    <tableColumn id="6" xr3:uid="{00000000-0010-0000-0A00-000006000000}" name="Column6"/>
    <tableColumn id="7" xr3:uid="{00000000-0010-0000-0A00-000007000000}" name="Column7"/>
    <tableColumn id="8" xr3:uid="{00000000-0010-0000-0A00-000008000000}" name="Column8"/>
    <tableColumn id="9" xr3:uid="{00000000-0010-0000-0A00-000009000000}" name="Column9"/>
    <tableColumn id="10" xr3:uid="{00000000-0010-0000-0A00-00000A000000}" name="Column10"/>
  </tableColumns>
  <tableStyleInfo name="Totals-style 11" showFirstColumn="1" showLastColumn="1"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B000000}" name="Table_12" displayName="Table_12" ref="U26:X26" headerRowCount="0">
  <tableColumns count="4">
    <tableColumn id="1" xr3:uid="{00000000-0010-0000-0B00-000001000000}" name="Column1"/>
    <tableColumn id="2" xr3:uid="{00000000-0010-0000-0B00-000002000000}" name="Column2"/>
    <tableColumn id="3" xr3:uid="{00000000-0010-0000-0B00-000003000000}" name="Column3"/>
    <tableColumn id="4" xr3:uid="{00000000-0010-0000-0B00-000004000000}" name="Column4"/>
  </tableColumns>
  <tableStyleInfo name="Totals-style 12" showFirstColumn="1" showLastColumn="1"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C000000}" name="Table_13" displayName="Table_13" ref="O27:R31" headerRowCount="0">
  <tableColumns count="4">
    <tableColumn id="1" xr3:uid="{00000000-0010-0000-0C00-000001000000}" name="Column1"/>
    <tableColumn id="2" xr3:uid="{00000000-0010-0000-0C00-000002000000}" name="Column2"/>
    <tableColumn id="3" xr3:uid="{00000000-0010-0000-0C00-000003000000}" name="Column3"/>
    <tableColumn id="4" xr3:uid="{00000000-0010-0000-0C00-000004000000}" name="Column4"/>
  </tableColumns>
  <tableStyleInfo name="Totals-style 13" showFirstColumn="1" showLastColumn="1"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D000000}" name="Table_14" displayName="Table_14" ref="U28:X30" headerRowCount="0">
  <tableColumns count="4">
    <tableColumn id="1" xr3:uid="{00000000-0010-0000-0D00-000001000000}" name="Column1"/>
    <tableColumn id="2" xr3:uid="{00000000-0010-0000-0D00-000002000000}" name="Column2"/>
    <tableColumn id="3" xr3:uid="{00000000-0010-0000-0D00-000003000000}" name="Column3"/>
    <tableColumn id="4" xr3:uid="{00000000-0010-0000-0D00-000004000000}" name="Column4"/>
  </tableColumns>
  <tableStyleInfo name="Totals-style 14" showFirstColumn="1" showLastColumn="1"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E000000}" name="Table_15" displayName="Table_15" ref="C30:F30" headerRowCount="0">
  <tableColumns count="4">
    <tableColumn id="1" xr3:uid="{00000000-0010-0000-0E00-000001000000}" name="Column1"/>
    <tableColumn id="2" xr3:uid="{00000000-0010-0000-0E00-000002000000}" name="Column2"/>
    <tableColumn id="3" xr3:uid="{00000000-0010-0000-0E00-000003000000}" name="Column3"/>
    <tableColumn id="4" xr3:uid="{00000000-0010-0000-0E00-000004000000}" name="Column4"/>
  </tableColumns>
  <tableStyleInfo name="Totals-style 15" showFirstColumn="1" showLastColumn="1"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0F000000}" name="Table_16" displayName="Table_16" ref="C32:F32" headerRowCount="0">
  <tableColumns count="4">
    <tableColumn id="1" xr3:uid="{00000000-0010-0000-0F00-000001000000}" name="Column1"/>
    <tableColumn id="2" xr3:uid="{00000000-0010-0000-0F00-000002000000}" name="Column2"/>
    <tableColumn id="3" xr3:uid="{00000000-0010-0000-0F00-000003000000}" name="Column3"/>
    <tableColumn id="4" xr3:uid="{00000000-0010-0000-0F00-000004000000}" name="Column4"/>
  </tableColumns>
  <tableStyleInfo name="Totals-style 16" showFirstColumn="1" showLastColumn="1"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10000000}" name="Table_17" displayName="Table_17" ref="N33:Y37" headerRowCount="0">
  <tableColumns count="12">
    <tableColumn id="1" xr3:uid="{00000000-0010-0000-1000-000001000000}" name="Column1"/>
    <tableColumn id="2" xr3:uid="{00000000-0010-0000-1000-000002000000}" name="Column2"/>
    <tableColumn id="3" xr3:uid="{00000000-0010-0000-1000-000003000000}" name="Column3"/>
    <tableColumn id="4" xr3:uid="{00000000-0010-0000-1000-000004000000}" name="Column4"/>
    <tableColumn id="5" xr3:uid="{00000000-0010-0000-1000-000005000000}" name="Column5"/>
    <tableColumn id="6" xr3:uid="{00000000-0010-0000-1000-000006000000}" name="Column6"/>
    <tableColumn id="7" xr3:uid="{00000000-0010-0000-1000-000007000000}" name="Column7"/>
    <tableColumn id="8" xr3:uid="{00000000-0010-0000-1000-000008000000}" name="Column8"/>
    <tableColumn id="9" xr3:uid="{00000000-0010-0000-1000-000009000000}" name="Column9"/>
    <tableColumn id="10" xr3:uid="{00000000-0010-0000-1000-00000A000000}" name="Column10"/>
    <tableColumn id="11" xr3:uid="{00000000-0010-0000-1000-00000B000000}" name="Column11"/>
    <tableColumn id="12" xr3:uid="{00000000-0010-0000-1000-00000C000000}" name="Column12"/>
  </tableColumns>
  <tableStyleInfo name="Totals-style 17" showFirstColumn="1" showLastColumn="1"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0000000-000C-0000-FFFF-FFFF11000000}" name="Table_18" displayName="Table_18" ref="O40:R40" headerRowCount="0">
  <tableColumns count="4">
    <tableColumn id="1" xr3:uid="{00000000-0010-0000-1100-000001000000}" name="Column1"/>
    <tableColumn id="2" xr3:uid="{00000000-0010-0000-1100-000002000000}" name="Column2"/>
    <tableColumn id="3" xr3:uid="{00000000-0010-0000-1100-000003000000}" name="Column3"/>
    <tableColumn id="4" xr3:uid="{00000000-0010-0000-1100-000004000000}" name="Column4"/>
  </tableColumns>
  <tableStyleInfo name="Totals-style 18" showFirstColumn="1" showLastColumn="1"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0000000-000C-0000-FFFF-FFFF12000000}" name="Table_19" displayName="Table_19" ref="O42:R46" headerRowCount="0">
  <tableColumns count="4">
    <tableColumn id="1" xr3:uid="{00000000-0010-0000-1200-000001000000}" name="Column1"/>
    <tableColumn id="2" xr3:uid="{00000000-0010-0000-1200-000002000000}" name="Column2"/>
    <tableColumn id="3" xr3:uid="{00000000-0010-0000-1200-000003000000}" name="Column3"/>
    <tableColumn id="4" xr3:uid="{00000000-0010-0000-1200-000004000000}" name="Column4"/>
  </tableColumns>
  <tableStyleInfo name="Totals-style 19" showFirstColumn="1" showLastColumn="1"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0000000-000C-0000-FFFF-FFFF13000000}" name="Table_20" displayName="Table_20" ref="D43:L43" headerRowCount="0">
  <tableColumns count="9">
    <tableColumn id="1" xr3:uid="{00000000-0010-0000-1300-000001000000}" name="Column1"/>
    <tableColumn id="2" xr3:uid="{00000000-0010-0000-1300-000002000000}" name="Column2"/>
    <tableColumn id="3" xr3:uid="{00000000-0010-0000-1300-000003000000}" name="Column3"/>
    <tableColumn id="4" xr3:uid="{00000000-0010-0000-1300-000004000000}" name="Column4"/>
    <tableColumn id="5" xr3:uid="{00000000-0010-0000-1300-000005000000}" name="Column5"/>
    <tableColumn id="6" xr3:uid="{00000000-0010-0000-1300-000006000000}" name="Column6"/>
    <tableColumn id="7" xr3:uid="{00000000-0010-0000-1300-000007000000}" name="Column7"/>
    <tableColumn id="8" xr3:uid="{00000000-0010-0000-1300-000008000000}" name="Column8"/>
    <tableColumn id="9" xr3:uid="{00000000-0010-0000-1300-000009000000}" name="Column9"/>
  </tableColumns>
  <tableStyleInfo name="Totals-style 20" showFirstColumn="1" showLastColumn="1"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00000000-000C-0000-FFFF-FFFF14000000}" name="Table_21" displayName="Table_21" ref="O47:R47" headerRowCount="0">
  <tableColumns count="4">
    <tableColumn id="1" xr3:uid="{00000000-0010-0000-1400-000001000000}" name="Column1"/>
    <tableColumn id="2" xr3:uid="{00000000-0010-0000-1400-000002000000}" name="Column2"/>
    <tableColumn id="3" xr3:uid="{00000000-0010-0000-1400-000003000000}" name="Column3"/>
    <tableColumn id="4" xr3:uid="{00000000-0010-0000-1400-000004000000}" name="Column4"/>
  </tableColumns>
  <tableStyleInfo name="Totals-style 21" showFirstColumn="1" showLastColumn="1"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00000000-000C-0000-FFFF-FFFF15000000}" name="Table_22" displayName="Table_22" ref="C49:F49" headerRowCount="0">
  <tableColumns count="4">
    <tableColumn id="1" xr3:uid="{00000000-0010-0000-1500-000001000000}" name="Column1"/>
    <tableColumn id="2" xr3:uid="{00000000-0010-0000-1500-000002000000}" name="Column2"/>
    <tableColumn id="3" xr3:uid="{00000000-0010-0000-1500-000003000000}" name="Column3"/>
    <tableColumn id="4" xr3:uid="{00000000-0010-0000-1500-000004000000}" name="Column4"/>
  </tableColumns>
  <tableStyleInfo name="Totals-style 22" showFirstColumn="1" showLastColumn="1"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00000000-000C-0000-FFFF-FFFF16000000}" name="Table_23" displayName="Table_23" ref="C51:F53" headerRowCount="0">
  <tableColumns count="4">
    <tableColumn id="1" xr3:uid="{00000000-0010-0000-1600-000001000000}" name="Column1"/>
    <tableColumn id="2" xr3:uid="{00000000-0010-0000-1600-000002000000}" name="Column2"/>
    <tableColumn id="3" xr3:uid="{00000000-0010-0000-1600-000003000000}" name="Column3"/>
    <tableColumn id="4" xr3:uid="{00000000-0010-0000-1600-000004000000}" name="Column4"/>
  </tableColumns>
  <tableStyleInfo name="Totals-style 23" showFirstColumn="1" showLastColumn="1"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00000000-000C-0000-FFFF-FFFF17000000}" name="Table_24" displayName="Table_24" ref="D55:L55" headerRowCount="0">
  <tableColumns count="9">
    <tableColumn id="1" xr3:uid="{00000000-0010-0000-1700-000001000000}" name="Column1"/>
    <tableColumn id="2" xr3:uid="{00000000-0010-0000-1700-000002000000}" name="Column2"/>
    <tableColumn id="3" xr3:uid="{00000000-0010-0000-1700-000003000000}" name="Column3"/>
    <tableColumn id="4" xr3:uid="{00000000-0010-0000-1700-000004000000}" name="Column4"/>
    <tableColumn id="5" xr3:uid="{00000000-0010-0000-1700-000005000000}" name="Column5"/>
    <tableColumn id="6" xr3:uid="{00000000-0010-0000-1700-000006000000}" name="Column6"/>
    <tableColumn id="7" xr3:uid="{00000000-0010-0000-1700-000007000000}" name="Column7"/>
    <tableColumn id="8" xr3:uid="{00000000-0010-0000-1700-000008000000}" name="Column8"/>
    <tableColumn id="9" xr3:uid="{00000000-0010-0000-1700-000009000000}" name="Column9"/>
  </tableColumns>
  <tableStyleInfo name="Totals-style 24" showFirstColumn="1" showLastColumn="1"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00000000-000C-0000-FFFF-FFFF18000000}" name="Table_25" displayName="Table_25" ref="C61:F61" headerRowCount="0">
  <tableColumns count="4">
    <tableColumn id="1" xr3:uid="{00000000-0010-0000-1800-000001000000}" name="Column1"/>
    <tableColumn id="2" xr3:uid="{00000000-0010-0000-1800-000002000000}" name="Column2"/>
    <tableColumn id="3" xr3:uid="{00000000-0010-0000-1800-000003000000}" name="Column3"/>
    <tableColumn id="4" xr3:uid="{00000000-0010-0000-1800-000004000000}" name="Column4"/>
  </tableColumns>
  <tableStyleInfo name="Totals-style 25" showFirstColumn="1" showLastColumn="1"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00000000-000C-0000-FFFF-FFFF19000000}" name="Table_26" displayName="Table_26" ref="C63:F65" headerRowCount="0">
  <tableColumns count="4">
    <tableColumn id="1" xr3:uid="{00000000-0010-0000-1900-000001000000}" name="Column1"/>
    <tableColumn id="2" xr3:uid="{00000000-0010-0000-1900-000002000000}" name="Column2"/>
    <tableColumn id="3" xr3:uid="{00000000-0010-0000-1900-000003000000}" name="Column3"/>
    <tableColumn id="4" xr3:uid="{00000000-0010-0000-1900-000004000000}" name="Column4"/>
  </tableColumns>
  <tableStyleInfo name="Totals-style 26" showFirstColumn="1" showLastColumn="1"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00000000-000C-0000-FFFF-FFFF1A000000}" name="Table_27" displayName="Table_27" ref="D67:L67" headerRowCount="0">
  <tableColumns count="9">
    <tableColumn id="1" xr3:uid="{00000000-0010-0000-1A00-000001000000}" name="Column1"/>
    <tableColumn id="2" xr3:uid="{00000000-0010-0000-1A00-000002000000}" name="Column2"/>
    <tableColumn id="3" xr3:uid="{00000000-0010-0000-1A00-000003000000}" name="Column3"/>
    <tableColumn id="4" xr3:uid="{00000000-0010-0000-1A00-000004000000}" name="Column4"/>
    <tableColumn id="5" xr3:uid="{00000000-0010-0000-1A00-000005000000}" name="Column5"/>
    <tableColumn id="6" xr3:uid="{00000000-0010-0000-1A00-000006000000}" name="Column6"/>
    <tableColumn id="7" xr3:uid="{00000000-0010-0000-1A00-000007000000}" name="Column7"/>
    <tableColumn id="8" xr3:uid="{00000000-0010-0000-1A00-000008000000}" name="Column8"/>
    <tableColumn id="9" xr3:uid="{00000000-0010-0000-1A00-000009000000}" name="Column9"/>
  </tableColumns>
  <tableStyleInfo name="Totals-style 27" showFirstColumn="1" showLastColumn="1"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00000000-000C-0000-FFFF-FFFF1B000000}" name="Table_28" displayName="Table_28" ref="C73:F73" headerRowCount="0">
  <tableColumns count="4">
    <tableColumn id="1" xr3:uid="{00000000-0010-0000-1B00-000001000000}" name="Column1"/>
    <tableColumn id="2" xr3:uid="{00000000-0010-0000-1B00-000002000000}" name="Column2"/>
    <tableColumn id="3" xr3:uid="{00000000-0010-0000-1B00-000003000000}" name="Column3"/>
    <tableColumn id="4" xr3:uid="{00000000-0010-0000-1B00-000004000000}" name="Column4"/>
  </tableColumns>
  <tableStyleInfo name="Totals-style 28" showFirstColumn="1" showLastColumn="1"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00000000-000C-0000-FFFF-FFFF1C000000}" name="Table_29" displayName="Table_29" ref="D78:L78" headerRowCount="0">
  <tableColumns count="9">
    <tableColumn id="1" xr3:uid="{00000000-0010-0000-1C00-000001000000}" name="Column1"/>
    <tableColumn id="2" xr3:uid="{00000000-0010-0000-1C00-000002000000}" name="Column2"/>
    <tableColumn id="3" xr3:uid="{00000000-0010-0000-1C00-000003000000}" name="Column3"/>
    <tableColumn id="4" xr3:uid="{00000000-0010-0000-1C00-000004000000}" name="Column4"/>
    <tableColumn id="5" xr3:uid="{00000000-0010-0000-1C00-000005000000}" name="Column5"/>
    <tableColumn id="6" xr3:uid="{00000000-0010-0000-1C00-000006000000}" name="Column6"/>
    <tableColumn id="7" xr3:uid="{00000000-0010-0000-1C00-000007000000}" name="Column7"/>
    <tableColumn id="8" xr3:uid="{00000000-0010-0000-1C00-000008000000}" name="Column8"/>
    <tableColumn id="9" xr3:uid="{00000000-0010-0000-1C00-000009000000}" name="Column9"/>
  </tableColumns>
  <tableStyleInfo name="Totals-style 29" showFirstColumn="1" showLastColumn="1"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00000000-000C-0000-FFFF-FFFF1D000000}" name="Table_30" displayName="Table_30" ref="C84:F84" headerRowCount="0">
  <tableColumns count="4">
    <tableColumn id="1" xr3:uid="{00000000-0010-0000-1D00-000001000000}" name="Column1"/>
    <tableColumn id="2" xr3:uid="{00000000-0010-0000-1D00-000002000000}" name="Column2"/>
    <tableColumn id="3" xr3:uid="{00000000-0010-0000-1D00-000003000000}" name="Column3"/>
    <tableColumn id="4" xr3:uid="{00000000-0010-0000-1D00-000004000000}" name="Column4"/>
  </tableColumns>
  <tableStyleInfo name="Totals-style 30" showFirstColumn="1" showLastColumn="1"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00000000-000C-0000-FFFF-FFFF1E000000}" name="Table_31" displayName="Table_31" ref="C86:F88" headerRowCount="0">
  <tableColumns count="4">
    <tableColumn id="1" xr3:uid="{00000000-0010-0000-1E00-000001000000}" name="Column1"/>
    <tableColumn id="2" xr3:uid="{00000000-0010-0000-1E00-000002000000}" name="Column2"/>
    <tableColumn id="3" xr3:uid="{00000000-0010-0000-1E00-000003000000}" name="Column3"/>
    <tableColumn id="4" xr3:uid="{00000000-0010-0000-1E00-000004000000}" name="Column4"/>
  </tableColumns>
  <tableStyleInfo name="Totals-style 31" showFirstColumn="1" showLastColumn="1"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00000000-000C-0000-FFFF-FFFF1F000000}" name="Table_32" displayName="Table_32" ref="A1:J2">
  <tableColumns count="10">
    <tableColumn id="1" xr3:uid="{00000000-0010-0000-1F00-000001000000}" name="Date_of_Team_Review__c"/>
    <tableColumn id="2" xr3:uid="{00000000-0010-0000-1F00-000002000000}" name="Name"/>
    <tableColumn id="3" xr3:uid="{00000000-0010-0000-1F00-000003000000}" name="Track__c"/>
    <tableColumn id="4" xr3:uid="{00000000-0010-0000-1F00-000004000000}" name="Interview_Day_Status__c"/>
    <tableColumn id="5" xr3:uid="{00000000-0010-0000-1F00-000005000000}" name="Application_Deliberation_Notes__c"/>
    <tableColumn id="6" xr3:uid="{00000000-0010-0000-1F00-000006000000}" name="Post_Interview_Score__c"/>
    <tableColumn id="7" xr3:uid="{00000000-0010-0000-1F00-000007000000}" name="Post_Interview_Status__c"/>
    <tableColumn id="8" xr3:uid="{00000000-0010-0000-1F00-000008000000}" name="Post_Interview_Notes__c"/>
    <tableColumn id="9" xr3:uid="{00000000-0010-0000-1F00-000009000000}" name="Upload Status (True/False)"/>
    <tableColumn id="10" xr3:uid="{00000000-0010-0000-1F00-00000A000000}" name="Error Status"/>
  </tableColumns>
  <tableStyleInfo name="For DeepNote Upload- Dev Team U-style" showFirstColumn="1" showLastColumn="1"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00000000-000C-0000-FFFF-FFFF20000000}" name="Table_33" displayName="Table_33" ref="J711:J771">
  <tableColumns count="1">
    <tableColumn id="1" xr3:uid="{00000000-0010-0000-2000-000001000000}" name="{&quot;created&quot;:false,&quot;errors&quot;:[],&quot;id&quot;:&quot;0064T00000AjpO9QAJ&quot;,&quot;name&quot;:&quot;Auriga Interactive Studios LLC _2022&quot;,&quot;success&quot;:true}"/>
  </tableColumns>
  <tableStyleInfo name="For DeepNote Upload- Dev Team U-style 2" showFirstColumn="1" showLastColumn="1"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00000000-000C-0000-FFFF-FFFF21000000}" name="Table_34" displayName="Table_34" ref="A1:K1" headerRowCount="0">
  <tableColumns count="11">
    <tableColumn id="1" xr3:uid="{00000000-0010-0000-2100-000001000000}" name="Column1"/>
    <tableColumn id="2" xr3:uid="{00000000-0010-0000-2100-000002000000}" name="Column2"/>
    <tableColumn id="3" xr3:uid="{00000000-0010-0000-2100-000003000000}" name="Column3"/>
    <tableColumn id="4" xr3:uid="{00000000-0010-0000-2100-000004000000}" name="Column4"/>
    <tableColumn id="5" xr3:uid="{00000000-0010-0000-2100-000005000000}" name="Column5"/>
    <tableColumn id="6" xr3:uid="{00000000-0010-0000-2100-000006000000}" name="Column6"/>
    <tableColumn id="7" xr3:uid="{00000000-0010-0000-2100-000007000000}" name="Column7"/>
    <tableColumn id="8" xr3:uid="{00000000-0010-0000-2100-000008000000}" name="Column8"/>
    <tableColumn id="9" xr3:uid="{00000000-0010-0000-2100-000009000000}" name="Column9"/>
    <tableColumn id="10" xr3:uid="{00000000-0010-0000-2100-00000A000000}" name="Column10"/>
    <tableColumn id="11" xr3:uid="{00000000-0010-0000-2100-00000B000000}" name="Column11"/>
  </tableColumns>
  <tableStyleInfo name="Copy of For DeepNote Upload- De-style" showFirstColumn="1" showLastColumn="1" showRowStripes="1" showColumnStripes="0"/>
  <extLst>
    <ext uri="GoogleSheetsCustomDataVersion1">
      <go:sheetsCustomData xmlns:go="http://customooxmlschemas.google.com/" headerRowCount="1"/>
    </ext>
  </extLst>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00000000-000C-0000-FFFF-FFFF22000000}" name="Table_35" displayName="Table_35" ref="A1:Z3" headerRowCount="0">
  <tableColumns count="26">
    <tableColumn id="1" xr3:uid="{00000000-0010-0000-2200-000001000000}" name="Column1"/>
    <tableColumn id="2" xr3:uid="{00000000-0010-0000-2200-000002000000}" name="Column2"/>
    <tableColumn id="3" xr3:uid="{00000000-0010-0000-2200-000003000000}" name="Column3"/>
    <tableColumn id="4" xr3:uid="{00000000-0010-0000-2200-000004000000}" name="Column4"/>
    <tableColumn id="5" xr3:uid="{00000000-0010-0000-2200-000005000000}" name="Column5"/>
    <tableColumn id="6" xr3:uid="{00000000-0010-0000-2200-000006000000}" name="Column6"/>
    <tableColumn id="7" xr3:uid="{00000000-0010-0000-2200-000007000000}" name="Column7"/>
    <tableColumn id="8" xr3:uid="{00000000-0010-0000-2200-000008000000}" name="Column8"/>
    <tableColumn id="9" xr3:uid="{00000000-0010-0000-2200-000009000000}" name="Column9"/>
    <tableColumn id="10" xr3:uid="{00000000-0010-0000-2200-00000A000000}" name="Column10"/>
    <tableColumn id="11" xr3:uid="{00000000-0010-0000-2200-00000B000000}" name="Column11"/>
    <tableColumn id="12" xr3:uid="{00000000-0010-0000-2200-00000C000000}" name="Column12"/>
    <tableColumn id="13" xr3:uid="{00000000-0010-0000-2200-00000D000000}" name="Column13"/>
    <tableColumn id="14" xr3:uid="{00000000-0010-0000-2200-00000E000000}" name="Column14"/>
    <tableColumn id="15" xr3:uid="{00000000-0010-0000-2200-00000F000000}" name="Column15"/>
    <tableColumn id="16" xr3:uid="{00000000-0010-0000-2200-000010000000}" name="Column16"/>
    <tableColumn id="17" xr3:uid="{00000000-0010-0000-2200-000011000000}" name="Column17"/>
    <tableColumn id="18" xr3:uid="{00000000-0010-0000-2200-000012000000}" name="Column18"/>
    <tableColumn id="19" xr3:uid="{00000000-0010-0000-2200-000013000000}" name="Column19"/>
    <tableColumn id="20" xr3:uid="{00000000-0010-0000-2200-000014000000}" name="Column20"/>
    <tableColumn id="21" xr3:uid="{00000000-0010-0000-2200-000015000000}" name="Column21"/>
    <tableColumn id="22" xr3:uid="{00000000-0010-0000-2200-000016000000}" name="Column22"/>
    <tableColumn id="23" xr3:uid="{00000000-0010-0000-2200-000017000000}" name="Column23"/>
    <tableColumn id="24" xr3:uid="{00000000-0010-0000-2200-000018000000}" name="Column24"/>
    <tableColumn id="25" xr3:uid="{00000000-0010-0000-2200-000019000000}" name="Column25"/>
    <tableColumn id="26" xr3:uid="{00000000-0010-0000-2200-00001A000000}" name="Column26"/>
  </tableColumns>
  <tableStyleInfo name="Asking for transfer to DiT-style" showFirstColumn="1" showLastColumn="1"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00000000-000C-0000-FFFF-FFFF23000000}" name="Table_36" displayName="Table_36" ref="A1:D75" headerRowCount="0">
  <tableColumns count="4">
    <tableColumn id="1" xr3:uid="{00000000-0010-0000-2300-000001000000}" name="Column1"/>
    <tableColumn id="2" xr3:uid="{00000000-0010-0000-2300-000002000000}" name="Column2"/>
    <tableColumn id="3" xr3:uid="{00000000-0010-0000-2300-000003000000}" name="Column3"/>
    <tableColumn id="4" xr3:uid="{00000000-0010-0000-2300-000004000000}" name="Column4"/>
  </tableColumns>
  <tableStyleInfo name="Notes-style" showFirstColumn="1" showLastColumn="1" showRowStripes="1" showColumnStripes="0"/>
  <extLst>
    <ext uri="GoogleSheetsCustomDataVersion1">
      <go:sheetsCustomData xmlns:go="http://customooxmlschemas.google.com/" headerRowCount="1"/>
    </ext>
  </extLst>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18" Type="http://schemas.openxmlformats.org/officeDocument/2006/relationships/table" Target="../tables/table18.xml"/><Relationship Id="rId26" Type="http://schemas.openxmlformats.org/officeDocument/2006/relationships/table" Target="../tables/table26.xml"/><Relationship Id="rId3" Type="http://schemas.openxmlformats.org/officeDocument/2006/relationships/table" Target="../tables/table3.xml"/><Relationship Id="rId21" Type="http://schemas.openxmlformats.org/officeDocument/2006/relationships/table" Target="../tables/table21.xml"/><Relationship Id="rId7" Type="http://schemas.openxmlformats.org/officeDocument/2006/relationships/table" Target="../tables/table7.xml"/><Relationship Id="rId12" Type="http://schemas.openxmlformats.org/officeDocument/2006/relationships/table" Target="../tables/table12.xml"/><Relationship Id="rId17" Type="http://schemas.openxmlformats.org/officeDocument/2006/relationships/table" Target="../tables/table17.xml"/><Relationship Id="rId25" Type="http://schemas.openxmlformats.org/officeDocument/2006/relationships/table" Target="../tables/table25.xml"/><Relationship Id="rId2" Type="http://schemas.openxmlformats.org/officeDocument/2006/relationships/table" Target="../tables/table2.xml"/><Relationship Id="rId16" Type="http://schemas.openxmlformats.org/officeDocument/2006/relationships/table" Target="../tables/table16.xml"/><Relationship Id="rId20" Type="http://schemas.openxmlformats.org/officeDocument/2006/relationships/table" Target="../tables/table20.xml"/><Relationship Id="rId29" Type="http://schemas.openxmlformats.org/officeDocument/2006/relationships/table" Target="../tables/table29.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24" Type="http://schemas.openxmlformats.org/officeDocument/2006/relationships/table" Target="../tables/table24.xml"/><Relationship Id="rId5" Type="http://schemas.openxmlformats.org/officeDocument/2006/relationships/table" Target="../tables/table5.xml"/><Relationship Id="rId15" Type="http://schemas.openxmlformats.org/officeDocument/2006/relationships/table" Target="../tables/table15.xml"/><Relationship Id="rId23" Type="http://schemas.openxmlformats.org/officeDocument/2006/relationships/table" Target="../tables/table23.xml"/><Relationship Id="rId28" Type="http://schemas.openxmlformats.org/officeDocument/2006/relationships/table" Target="../tables/table28.xml"/><Relationship Id="rId10" Type="http://schemas.openxmlformats.org/officeDocument/2006/relationships/table" Target="../tables/table10.xml"/><Relationship Id="rId19" Type="http://schemas.openxmlformats.org/officeDocument/2006/relationships/table" Target="../tables/table19.xml"/><Relationship Id="rId31" Type="http://schemas.openxmlformats.org/officeDocument/2006/relationships/table" Target="../tables/table31.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 Id="rId22" Type="http://schemas.openxmlformats.org/officeDocument/2006/relationships/table" Target="../tables/table22.xml"/><Relationship Id="rId27" Type="http://schemas.openxmlformats.org/officeDocument/2006/relationships/table" Target="../tables/table27.xml"/><Relationship Id="rId30" Type="http://schemas.openxmlformats.org/officeDocument/2006/relationships/table" Target="../tables/table30.xml"/></Relationships>
</file>

<file path=xl/worksheets/_rels/sheet4.xml.rels><?xml version="1.0" encoding="UTF-8" standalone="yes"?>
<Relationships xmlns="http://schemas.openxmlformats.org/package/2006/relationships"><Relationship Id="rId1" Type="http://schemas.openxmlformats.org/officeDocument/2006/relationships/hyperlink" Target="http://steg.ai/"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parkaisteg.ai/"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www.wiingy.com/studio" TargetMode="External"/><Relationship Id="rId13" Type="http://schemas.openxmlformats.org/officeDocument/2006/relationships/hyperlink" Target="http://iassay.net/" TargetMode="External"/><Relationship Id="rId3" Type="http://schemas.openxmlformats.org/officeDocument/2006/relationships/hyperlink" Target="https://alaian.com/5g-call/" TargetMode="External"/><Relationship Id="rId7" Type="http://schemas.openxmlformats.org/officeDocument/2006/relationships/hyperlink" Target="http://gsdvc.com/" TargetMode="External"/><Relationship Id="rId12" Type="http://schemas.openxmlformats.org/officeDocument/2006/relationships/hyperlink" Target="https://2paragraphs.com/2021/03/ice-beanie-what-happened-after-50000-mark-cuban-shark-tank-deal/" TargetMode="External"/><Relationship Id="rId2" Type="http://schemas.openxmlformats.org/officeDocument/2006/relationships/hyperlink" Target="http://predictnow.ai/" TargetMode="External"/><Relationship Id="rId1" Type="http://schemas.openxmlformats.org/officeDocument/2006/relationships/hyperlink" Target="http://taiyo.ai/" TargetMode="External"/><Relationship Id="rId6" Type="http://schemas.openxmlformats.org/officeDocument/2006/relationships/hyperlink" Target="http://www.365x.io/" TargetMode="External"/><Relationship Id="rId11" Type="http://schemas.openxmlformats.org/officeDocument/2006/relationships/hyperlink" Target="http://mumerz.com/" TargetMode="External"/><Relationship Id="rId5" Type="http://schemas.openxmlformats.org/officeDocument/2006/relationships/hyperlink" Target="http://blings.io/" TargetMode="External"/><Relationship Id="rId15" Type="http://schemas.openxmlformats.org/officeDocument/2006/relationships/hyperlink" Target="https://www.bloomberg.com/news/articles/2022-08-09/overtime-sports-raises-100-million-to-expand-leagues-for-high-school-athletes?utm_term=220809" TargetMode="External"/><Relationship Id="rId10" Type="http://schemas.openxmlformats.org/officeDocument/2006/relationships/hyperlink" Target="https://techcrunch.com/2022/06/29/venture-studio-adanian-labs-fuels-startup-growth-in-africa/" TargetMode="External"/><Relationship Id="rId4" Type="http://schemas.openxmlformats.org/officeDocument/2006/relationships/hyperlink" Target="https://thetokenizer.io/2022/03/30/ix-swap-lists-security-token-of-worlds-most-valuable-sapphire/" TargetMode="External"/><Relationship Id="rId9" Type="http://schemas.openxmlformats.org/officeDocument/2006/relationships/hyperlink" Target="https://www.fusion-vc.com/" TargetMode="External"/><Relationship Id="rId14" Type="http://schemas.openxmlformats.org/officeDocument/2006/relationships/hyperlink" Target="https://www.techstars.com/accelerators/launchpool-web3" TargetMode="External"/></Relationships>
</file>

<file path=xl/worksheets/_rels/sheet10.xml.rels><?xml version="1.0" encoding="UTF-8" standalone="yes"?>
<Relationships xmlns="http://schemas.openxmlformats.org/package/2006/relationships"><Relationship Id="rId2" Type="http://schemas.openxmlformats.org/officeDocument/2006/relationships/hyperlink" Target="http://predictnow.ai/" TargetMode="External"/><Relationship Id="rId1" Type="http://schemas.openxmlformats.org/officeDocument/2006/relationships/hyperlink" Target="http://taiyo.ai/"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s://alaian.com/5g-call/" TargetMode="External"/><Relationship Id="rId2" Type="http://schemas.openxmlformats.org/officeDocument/2006/relationships/hyperlink" Target="http://delivers.ai/" TargetMode="External"/><Relationship Id="rId1" Type="http://schemas.openxmlformats.org/officeDocument/2006/relationships/hyperlink" Target="http://delivers.ai/" TargetMode="External"/><Relationship Id="rId5" Type="http://schemas.openxmlformats.org/officeDocument/2006/relationships/hyperlink" Target="http://icardio.ai/" TargetMode="External"/><Relationship Id="rId4" Type="http://schemas.openxmlformats.org/officeDocument/2006/relationships/hyperlink" Target="https://www.desertcontrol.com/"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2paragraphs.com/2021/03/ice-beanie-what-happened-after-50000-mark-cuban-shark-tank-deal/" TargetMode="External"/></Relationships>
</file>

<file path=xl/worksheets/_rels/sheet13.xml.rels><?xml version="1.0" encoding="UTF-8" standalone="yes"?>
<Relationships xmlns="http://schemas.openxmlformats.org/package/2006/relationships"><Relationship Id="rId2" Type="http://schemas.openxmlformats.org/officeDocument/2006/relationships/table" Target="../tables/table33.xml"/><Relationship Id="rId1" Type="http://schemas.openxmlformats.org/officeDocument/2006/relationships/table" Target="../tables/table32.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34.xml"/></Relationships>
</file>

<file path=xl/worksheets/_rels/sheet15.xml.rels><?xml version="1.0" encoding="UTF-8" standalone="yes"?>
<Relationships xmlns="http://schemas.openxmlformats.org/package/2006/relationships"><Relationship Id="rId3" Type="http://schemas.openxmlformats.org/officeDocument/2006/relationships/hyperlink" Target="http://blings.io/" TargetMode="External"/><Relationship Id="rId2" Type="http://schemas.openxmlformats.org/officeDocument/2006/relationships/hyperlink" Target="https://www.bloomberg.com/news/articles/2022-08-09/overtime-sports-raises-100-million-to-expand-leagues-for-high-school-athletes?utm_term=220809" TargetMode="External"/><Relationship Id="rId1" Type="http://schemas.openxmlformats.org/officeDocument/2006/relationships/hyperlink" Target="https://thetokenizer.io/2022/03/30/ix-swap-lists-security-token-of-worlds-most-valuable-sapphire/" TargetMode="External"/></Relationships>
</file>

<file path=xl/worksheets/_rels/sheet18.xml.rels><?xml version="1.0" encoding="UTF-8" standalone="yes"?>
<Relationships xmlns="http://schemas.openxmlformats.org/package/2006/relationships"><Relationship Id="rId8" Type="http://schemas.openxmlformats.org/officeDocument/2006/relationships/hyperlink" Target="http://openpie.com/" TargetMode="External"/><Relationship Id="rId3" Type="http://schemas.openxmlformats.org/officeDocument/2006/relationships/hyperlink" Target="http://taiyo.ai/" TargetMode="External"/><Relationship Id="rId7" Type="http://schemas.openxmlformats.org/officeDocument/2006/relationships/hyperlink" Target="http://predictnow.ai/" TargetMode="External"/><Relationship Id="rId2" Type="http://schemas.openxmlformats.org/officeDocument/2006/relationships/hyperlink" Target="http://steg.ai/" TargetMode="External"/><Relationship Id="rId1" Type="http://schemas.openxmlformats.org/officeDocument/2006/relationships/hyperlink" Target="http://spiky.ai/" TargetMode="External"/><Relationship Id="rId6" Type="http://schemas.openxmlformats.org/officeDocument/2006/relationships/hyperlink" Target="http://pragyaa.ai/" TargetMode="External"/><Relationship Id="rId5" Type="http://schemas.openxmlformats.org/officeDocument/2006/relationships/hyperlink" Target="http://icardio.ai/" TargetMode="External"/><Relationship Id="rId4" Type="http://schemas.openxmlformats.org/officeDocument/2006/relationships/hyperlink" Target="http://delivers.ai/" TargetMode="External"/><Relationship Id="rId9" Type="http://schemas.openxmlformats.org/officeDocument/2006/relationships/hyperlink" Target="http://blings.io/"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s://alaian.com/5g-call/" TargetMode="External"/></Relationships>
</file>

<file path=xl/worksheets/_rels/sheet21.xml.rels><?xml version="1.0" encoding="UTF-8" standalone="yes"?>
<Relationships xmlns="http://schemas.openxmlformats.org/package/2006/relationships"><Relationship Id="rId8" Type="http://schemas.openxmlformats.org/officeDocument/2006/relationships/hyperlink" Target="https://alaian.com/5g-call/" TargetMode="External"/><Relationship Id="rId13" Type="http://schemas.openxmlformats.org/officeDocument/2006/relationships/hyperlink" Target="https://www.weconomy.de/" TargetMode="External"/><Relationship Id="rId18" Type="http://schemas.openxmlformats.org/officeDocument/2006/relationships/hyperlink" Target="http://mumerz.com/" TargetMode="External"/><Relationship Id="rId26" Type="http://schemas.openxmlformats.org/officeDocument/2006/relationships/hyperlink" Target="http://iassay.net/" TargetMode="External"/><Relationship Id="rId3" Type="http://schemas.openxmlformats.org/officeDocument/2006/relationships/hyperlink" Target="https://www.bloomberg.com/news/articles/2022-08-09/overtime-sports-raises-100-million-to-expand-leagues-for-high-school-athletes?utm_term=220809" TargetMode="External"/><Relationship Id="rId21" Type="http://schemas.openxmlformats.org/officeDocument/2006/relationships/hyperlink" Target="http://rally.io/" TargetMode="External"/><Relationship Id="rId7" Type="http://schemas.openxmlformats.org/officeDocument/2006/relationships/hyperlink" Target="http://delivers.ai/" TargetMode="External"/><Relationship Id="rId12" Type="http://schemas.openxmlformats.org/officeDocument/2006/relationships/hyperlink" Target="https://www.caper.ai/" TargetMode="External"/><Relationship Id="rId17" Type="http://schemas.openxmlformats.org/officeDocument/2006/relationships/hyperlink" Target="https://techcrunch.com/2022/06/29/venture-studio-adanian-labs-fuels-startup-growth-in-africa/" TargetMode="External"/><Relationship Id="rId25" Type="http://schemas.openxmlformats.org/officeDocument/2006/relationships/hyperlink" Target="https://sciencecenter.org/news/the-science-center-awards-600-000-to-three-academic-research-projects" TargetMode="External"/><Relationship Id="rId2" Type="http://schemas.openxmlformats.org/officeDocument/2006/relationships/hyperlink" Target="http://blings.io/" TargetMode="External"/><Relationship Id="rId16" Type="http://schemas.openxmlformats.org/officeDocument/2006/relationships/hyperlink" Target="https://www.fusion-vc.com/" TargetMode="External"/><Relationship Id="rId20" Type="http://schemas.openxmlformats.org/officeDocument/2006/relationships/hyperlink" Target="https://2paragraphs.com/2021/03/ice-beanie-what-happened-after-50000-mark-cuban-shark-tank-deal/" TargetMode="External"/><Relationship Id="rId1" Type="http://schemas.openxmlformats.org/officeDocument/2006/relationships/hyperlink" Target="https://thetokenizer.io/2022/03/30/ix-swap-lists-security-token-of-worlds-most-valuable-sapphire/" TargetMode="External"/><Relationship Id="rId6" Type="http://schemas.openxmlformats.org/officeDocument/2006/relationships/hyperlink" Target="http://delivers.ai/" TargetMode="External"/><Relationship Id="rId11" Type="http://schemas.openxmlformats.org/officeDocument/2006/relationships/hyperlink" Target="http://icardio.ai/" TargetMode="External"/><Relationship Id="rId24" Type="http://schemas.openxmlformats.org/officeDocument/2006/relationships/hyperlink" Target="https://www.linkedin.com/in/ian-dailey" TargetMode="External"/><Relationship Id="rId5" Type="http://schemas.openxmlformats.org/officeDocument/2006/relationships/hyperlink" Target="http://gsdvc.com/" TargetMode="External"/><Relationship Id="rId15" Type="http://schemas.openxmlformats.org/officeDocument/2006/relationships/hyperlink" Target="https://www.wiingy.com/studio" TargetMode="External"/><Relationship Id="rId23" Type="http://schemas.openxmlformats.org/officeDocument/2006/relationships/hyperlink" Target="https://www.startfeld.ch/" TargetMode="External"/><Relationship Id="rId10" Type="http://schemas.openxmlformats.org/officeDocument/2006/relationships/hyperlink" Target="http://taiyo.ai/" TargetMode="External"/><Relationship Id="rId19" Type="http://schemas.openxmlformats.org/officeDocument/2006/relationships/hyperlink" Target="https://www.linkedin.com/in/ian-dailey" TargetMode="External"/><Relationship Id="rId4" Type="http://schemas.openxmlformats.org/officeDocument/2006/relationships/hyperlink" Target="http://www.365x.io/" TargetMode="External"/><Relationship Id="rId9" Type="http://schemas.openxmlformats.org/officeDocument/2006/relationships/hyperlink" Target="https://www.techstars.com/accelerators/launchpool-web3" TargetMode="External"/><Relationship Id="rId14" Type="http://schemas.openxmlformats.org/officeDocument/2006/relationships/hyperlink" Target="http://predictnow.ai/" TargetMode="External"/><Relationship Id="rId22" Type="http://schemas.openxmlformats.org/officeDocument/2006/relationships/hyperlink" Target="https://www.lifesciencesatwork.nl/lsw-venture-challenge" TargetMode="External"/></Relationships>
</file>

<file path=xl/worksheets/_rels/sheet22.xml.rels><?xml version="1.0" encoding="UTF-8" standalone="yes"?>
<Relationships xmlns="http://schemas.openxmlformats.org/package/2006/relationships"><Relationship Id="rId8" Type="http://schemas.openxmlformats.org/officeDocument/2006/relationships/hyperlink" Target="https://alaian.com/5g-call/" TargetMode="External"/><Relationship Id="rId13" Type="http://schemas.openxmlformats.org/officeDocument/2006/relationships/hyperlink" Target="https://www.fusion-vc.com/" TargetMode="External"/><Relationship Id="rId18" Type="http://schemas.openxmlformats.org/officeDocument/2006/relationships/hyperlink" Target="http://rally.io/" TargetMode="External"/><Relationship Id="rId3" Type="http://schemas.openxmlformats.org/officeDocument/2006/relationships/hyperlink" Target="http://blings.io/" TargetMode="External"/><Relationship Id="rId21" Type="http://schemas.openxmlformats.org/officeDocument/2006/relationships/hyperlink" Target="https://www.lifesciencesatwork.nl/lsw-venture-challenge" TargetMode="External"/><Relationship Id="rId7" Type="http://schemas.openxmlformats.org/officeDocument/2006/relationships/hyperlink" Target="http://taiyo.ai/" TargetMode="External"/><Relationship Id="rId12" Type="http://schemas.openxmlformats.org/officeDocument/2006/relationships/hyperlink" Target="https://2paragraphs.com/2021/03/ice-beanie-what-happened-after-50000-mark-cuban-shark-tank-deal/" TargetMode="External"/><Relationship Id="rId17" Type="http://schemas.openxmlformats.org/officeDocument/2006/relationships/hyperlink" Target="https://www.linkedin.com/in/ian-dailey" TargetMode="External"/><Relationship Id="rId2" Type="http://schemas.openxmlformats.org/officeDocument/2006/relationships/hyperlink" Target="https://www.bloomberg.com/news/articles/2022-08-09/overtime-sports-raises-100-million-to-expand-leagues-for-high-school-athletes?utm_term=220809" TargetMode="External"/><Relationship Id="rId16" Type="http://schemas.openxmlformats.org/officeDocument/2006/relationships/hyperlink" Target="http://mumerz.com/" TargetMode="External"/><Relationship Id="rId20" Type="http://schemas.openxmlformats.org/officeDocument/2006/relationships/hyperlink" Target="https://www.linkedin.com/in/ian-dailey" TargetMode="External"/><Relationship Id="rId1" Type="http://schemas.openxmlformats.org/officeDocument/2006/relationships/hyperlink" Target="https://thetokenizer.io/2022/03/30/ix-swap-lists-security-token-of-worlds-most-valuable-sapphire/" TargetMode="External"/><Relationship Id="rId6" Type="http://schemas.openxmlformats.org/officeDocument/2006/relationships/hyperlink" Target="https://www.techstars.com/accelerators/launchpool-web3" TargetMode="External"/><Relationship Id="rId11" Type="http://schemas.openxmlformats.org/officeDocument/2006/relationships/hyperlink" Target="http://iassay.net/" TargetMode="External"/><Relationship Id="rId5" Type="http://schemas.openxmlformats.org/officeDocument/2006/relationships/hyperlink" Target="http://www.365x.io/" TargetMode="External"/><Relationship Id="rId15" Type="http://schemas.openxmlformats.org/officeDocument/2006/relationships/hyperlink" Target="https://techcrunch.com/2022/06/29/venture-studio-adanian-labs-fuels-startup-growth-in-africa/" TargetMode="External"/><Relationship Id="rId10" Type="http://schemas.openxmlformats.org/officeDocument/2006/relationships/hyperlink" Target="https://www.wiingy.com/studio" TargetMode="External"/><Relationship Id="rId19" Type="http://schemas.openxmlformats.org/officeDocument/2006/relationships/hyperlink" Target="https://www.startfeld.ch/" TargetMode="External"/><Relationship Id="rId4" Type="http://schemas.openxmlformats.org/officeDocument/2006/relationships/hyperlink" Target="http://gsdvc.com/" TargetMode="External"/><Relationship Id="rId9" Type="http://schemas.openxmlformats.org/officeDocument/2006/relationships/hyperlink" Target="http://predictnow.ai/" TargetMode="External"/><Relationship Id="rId14" Type="http://schemas.openxmlformats.org/officeDocument/2006/relationships/hyperlink" Target="https://sciencecenter.org/news/the-science-center-awards-600-000-to-three-academic-research-projects" TargetMode="External"/><Relationship Id="rId22" Type="http://schemas.openxmlformats.org/officeDocument/2006/relationships/hyperlink" Target="https://cranium-incubator.com/" TargetMode="External"/></Relationships>
</file>

<file path=xl/worksheets/_rels/sheet23.xml.rels><?xml version="1.0" encoding="UTF-8" standalone="yes"?>
<Relationships xmlns="http://schemas.openxmlformats.org/package/2006/relationships"><Relationship Id="rId1" Type="http://schemas.openxmlformats.org/officeDocument/2006/relationships/table" Target="../tables/table35.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3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C990"/>
  <sheetViews>
    <sheetView workbookViewId="0">
      <selection activeCell="AD13" sqref="AD13"/>
    </sheetView>
  </sheetViews>
  <sheetFormatPr baseColWidth="10" defaultColWidth="14.5" defaultRowHeight="15" customHeight="1"/>
  <cols>
    <col min="1" max="1" width="2.5" customWidth="1"/>
    <col min="2" max="2" width="26.1640625" hidden="1" customWidth="1"/>
    <col min="3" max="3" width="6.6640625" hidden="1" customWidth="1"/>
    <col min="4" max="7" width="5.1640625" hidden="1" customWidth="1"/>
    <col min="8" max="8" width="7.5" hidden="1" customWidth="1"/>
    <col min="9" max="12" width="5.1640625" hidden="1" customWidth="1"/>
    <col min="13" max="13" width="2.5" customWidth="1"/>
    <col min="14" max="14" width="26.5" customWidth="1"/>
    <col min="15" max="15" width="10.1640625" customWidth="1"/>
    <col min="16" max="25" width="5.5" customWidth="1"/>
    <col min="26" max="29" width="2.5" customWidth="1"/>
  </cols>
  <sheetData>
    <row r="1" spans="1:29">
      <c r="A1" s="1"/>
      <c r="B1" s="576" t="s">
        <v>0</v>
      </c>
      <c r="C1" s="577"/>
      <c r="D1" s="577"/>
      <c r="E1" s="577"/>
      <c r="F1" s="577"/>
      <c r="G1" s="577"/>
      <c r="H1" s="577"/>
      <c r="I1" s="577"/>
      <c r="J1" s="577"/>
      <c r="K1" s="577"/>
      <c r="L1" s="578"/>
      <c r="N1" s="579" t="s">
        <v>1</v>
      </c>
      <c r="O1" s="577"/>
      <c r="P1" s="577"/>
      <c r="Q1" s="577"/>
      <c r="R1" s="577"/>
      <c r="S1" s="577"/>
      <c r="T1" s="577"/>
      <c r="U1" s="577"/>
      <c r="V1" s="577"/>
      <c r="W1" s="577"/>
      <c r="X1" s="578"/>
    </row>
    <row r="2" spans="1:29">
      <c r="A2" s="1"/>
      <c r="B2" s="3" t="s">
        <v>2</v>
      </c>
      <c r="C2" s="4">
        <f ca="1">query!H2/query!I2</f>
        <v>0.88146167557932265</v>
      </c>
      <c r="D2" s="580" t="str">
        <f ca="1">IFERROR(__xludf.DUMMYFUNCTION("SPARKLINE(query!H2:I2,{""charttype"",""bar"";""max"",query!I2;""color1"",""#674ea7"";""color2"",""#FFFFFF""})"),"")</f>
        <v/>
      </c>
      <c r="E2" s="581"/>
      <c r="F2" s="581"/>
      <c r="G2" s="581"/>
      <c r="H2" s="581"/>
      <c r="I2" s="581"/>
      <c r="J2" s="581"/>
      <c r="K2" s="582"/>
      <c r="L2" s="5">
        <f>query!I2</f>
        <v>1122</v>
      </c>
      <c r="N2" s="3" t="s">
        <v>2</v>
      </c>
      <c r="O2" s="4">
        <f t="shared" ref="O2:O5" si="0">AA2/AB2</f>
        <v>1</v>
      </c>
      <c r="P2" s="580" t="str">
        <f ca="1">IFERROR(__xludf.DUMMYFUNCTION("SPARKLINE(AA2:AB2,{""charttype"",""bar"";""max"",AB2;""color1"",""#674ea7"";""color2"",""#FFFFFF""})"),"")</f>
        <v/>
      </c>
      <c r="Q2" s="581"/>
      <c r="R2" s="581"/>
      <c r="S2" s="581"/>
      <c r="T2" s="581"/>
      <c r="U2" s="581"/>
      <c r="V2" s="581"/>
      <c r="W2" s="582"/>
      <c r="X2" s="5">
        <f>AA2</f>
        <v>1122</v>
      </c>
      <c r="AA2" s="6">
        <f>SUM(AA3:AA5)</f>
        <v>1122</v>
      </c>
      <c r="AB2" s="6">
        <f t="shared" ref="AB2:AB5" si="1">O8</f>
        <v>1122</v>
      </c>
    </row>
    <row r="3" spans="1:29">
      <c r="A3" s="1"/>
      <c r="B3" s="7" t="s">
        <v>3</v>
      </c>
      <c r="C3" s="8">
        <f ca="1">query!H3/query!I3</f>
        <v>1.0089285714285714</v>
      </c>
      <c r="D3" s="583" t="str">
        <f ca="1">IFERROR(__xludf.DUMMYFUNCTION("SPARKLINE(query!H3:I3,{""charttype"",""bar"";""max"",query!I3;""color1"",""#93c47d"";""color2"",""#FFFFFF""})"),"")</f>
        <v/>
      </c>
      <c r="E3" s="584"/>
      <c r="F3" s="584"/>
      <c r="G3" s="584"/>
      <c r="H3" s="584"/>
      <c r="I3" s="584"/>
      <c r="J3" s="584"/>
      <c r="K3" s="585"/>
      <c r="L3" s="9">
        <f>query!I3</f>
        <v>224</v>
      </c>
      <c r="N3" s="7" t="s">
        <v>3</v>
      </c>
      <c r="O3" s="10">
        <f t="shared" si="0"/>
        <v>1</v>
      </c>
      <c r="P3" s="586" t="str">
        <f ca="1">IFERROR(__xludf.DUMMYFUNCTION("SPARKLINE(AA3:AB3,{""charttype"",""bar"";""max"",AB3;""color1"",""#93c47d"";""color2"",""#FFFFFF""})"),"")</f>
        <v/>
      </c>
      <c r="Q3" s="573"/>
      <c r="R3" s="573"/>
      <c r="S3" s="573"/>
      <c r="T3" s="573"/>
      <c r="U3" s="573"/>
      <c r="V3" s="573"/>
      <c r="W3" s="573"/>
      <c r="X3" s="9">
        <v>223</v>
      </c>
      <c r="AA3" s="6">
        <f>COUNTIF(Track,N3)</f>
        <v>224</v>
      </c>
      <c r="AB3" s="6">
        <f t="shared" si="1"/>
        <v>224</v>
      </c>
    </row>
    <row r="4" spans="1:29">
      <c r="A4" s="1"/>
      <c r="B4" s="7" t="s">
        <v>4</v>
      </c>
      <c r="C4" s="11">
        <f ca="1">query!H4/query!I4</f>
        <v>1.0062893081761006</v>
      </c>
      <c r="D4" s="563" t="str">
        <f ca="1">IFERROR(__xludf.DUMMYFUNCTION("SPARKLINE(query!H4:I4,{""charttype"",""bar"";""max"",query!I4;""color1"",""#3c78d8"";""color2"",""#FFFFFF""})"),"")</f>
        <v/>
      </c>
      <c r="E4" s="564"/>
      <c r="F4" s="564"/>
      <c r="G4" s="564"/>
      <c r="H4" s="564"/>
      <c r="I4" s="564"/>
      <c r="J4" s="564"/>
      <c r="K4" s="565"/>
      <c r="L4" s="12">
        <f>query!I4</f>
        <v>636</v>
      </c>
      <c r="N4" s="7" t="s">
        <v>4</v>
      </c>
      <c r="O4" s="13">
        <f t="shared" si="0"/>
        <v>1</v>
      </c>
      <c r="P4" s="563" t="str">
        <f ca="1">IFERROR(__xludf.DUMMYFUNCTION("SPARKLINE(AA4:AB4,{""charttype"",""bar"";""max"",AB4;""color1"",""#3c78d8"";""color2"",""#FFFFFF""})"),"")</f>
        <v/>
      </c>
      <c r="Q4" s="564"/>
      <c r="R4" s="564"/>
      <c r="S4" s="564"/>
      <c r="T4" s="564"/>
      <c r="U4" s="564"/>
      <c r="V4" s="564"/>
      <c r="W4" s="565"/>
      <c r="X4" s="12">
        <v>633</v>
      </c>
      <c r="AA4" s="6">
        <f>COUNTIF(Track,N4)</f>
        <v>636</v>
      </c>
      <c r="AB4" s="6">
        <f t="shared" si="1"/>
        <v>636</v>
      </c>
    </row>
    <row r="5" spans="1:29">
      <c r="A5" s="1"/>
      <c r="B5" s="3" t="s">
        <v>5</v>
      </c>
      <c r="C5" s="14">
        <f ca="1">query!H5/query!I5</f>
        <v>0.98854961832061072</v>
      </c>
      <c r="D5" s="566" t="str">
        <f ca="1">IFERROR(__xludf.DUMMYFUNCTION("SPARKLINE(query!H5:I5,{""charttype"",""bar"";""max"",query!I5;""color1"",""#6fa8dc"";""color2"",""#FFFFFF""})"),"")</f>
        <v/>
      </c>
      <c r="E5" s="567"/>
      <c r="F5" s="567"/>
      <c r="G5" s="567"/>
      <c r="H5" s="567"/>
      <c r="I5" s="567"/>
      <c r="J5" s="567"/>
      <c r="K5" s="568"/>
      <c r="L5" s="15">
        <f>query!I5</f>
        <v>262</v>
      </c>
      <c r="N5" s="3" t="s">
        <v>5</v>
      </c>
      <c r="O5" s="16">
        <f t="shared" si="0"/>
        <v>1</v>
      </c>
      <c r="P5" s="566" t="str">
        <f ca="1">IFERROR(__xludf.DUMMYFUNCTION("SPARKLINE(AA5:AB5,{""charttype"",""bar"";""max"",AB5;""color1"",""#6fa8dc"";""color2"",""#FFFFFF""})"),"")</f>
        <v/>
      </c>
      <c r="Q5" s="567"/>
      <c r="R5" s="567"/>
      <c r="S5" s="567"/>
      <c r="T5" s="567"/>
      <c r="U5" s="567"/>
      <c r="V5" s="567"/>
      <c r="W5" s="568"/>
      <c r="X5" s="15">
        <v>266</v>
      </c>
      <c r="AA5" s="6">
        <f>COUNTIF(Track,N5)</f>
        <v>262</v>
      </c>
      <c r="AB5" s="6">
        <f t="shared" si="1"/>
        <v>262</v>
      </c>
    </row>
    <row r="6" spans="1:29">
      <c r="A6" s="1"/>
      <c r="B6" s="1"/>
      <c r="C6" s="17"/>
      <c r="D6" s="17"/>
      <c r="E6" s="17"/>
      <c r="F6" s="17"/>
      <c r="G6" s="17"/>
      <c r="H6" s="17"/>
      <c r="I6" s="17"/>
      <c r="J6" s="17"/>
      <c r="K6" s="17"/>
      <c r="L6" s="17"/>
      <c r="M6" s="17"/>
      <c r="N6" s="1"/>
      <c r="O6" s="17"/>
      <c r="P6" s="17"/>
      <c r="Q6" s="17"/>
      <c r="R6" s="17"/>
      <c r="S6" s="17"/>
      <c r="T6" s="17"/>
      <c r="U6" s="17"/>
      <c r="V6" s="17"/>
      <c r="W6" s="17"/>
      <c r="X6" s="17"/>
      <c r="Y6" s="17"/>
      <c r="Z6" s="17"/>
      <c r="AA6" s="17"/>
      <c r="AB6" s="17"/>
      <c r="AC6" s="17"/>
    </row>
    <row r="7" spans="1:29">
      <c r="A7" s="1"/>
      <c r="B7" s="2" t="s">
        <v>6</v>
      </c>
      <c r="C7" s="18"/>
      <c r="D7" s="19">
        <v>1</v>
      </c>
      <c r="E7" s="20" t="s">
        <v>7</v>
      </c>
      <c r="F7" s="19">
        <v>2</v>
      </c>
      <c r="G7" s="20" t="s">
        <v>8</v>
      </c>
      <c r="H7" s="19">
        <v>3</v>
      </c>
      <c r="I7" s="20" t="s">
        <v>9</v>
      </c>
      <c r="J7" s="19">
        <v>4</v>
      </c>
      <c r="K7" s="20" t="s">
        <v>10</v>
      </c>
      <c r="L7" s="21">
        <v>5</v>
      </c>
      <c r="M7" s="22"/>
      <c r="N7" s="2" t="s">
        <v>6</v>
      </c>
      <c r="O7" s="18"/>
      <c r="P7" s="20" t="s">
        <v>11</v>
      </c>
      <c r="Q7" s="19">
        <v>1</v>
      </c>
      <c r="R7" s="20" t="s">
        <v>7</v>
      </c>
      <c r="S7" s="19">
        <v>2</v>
      </c>
      <c r="T7" s="20" t="s">
        <v>8</v>
      </c>
      <c r="U7" s="19">
        <v>3</v>
      </c>
      <c r="V7" s="20" t="s">
        <v>9</v>
      </c>
      <c r="W7" s="19">
        <v>4</v>
      </c>
      <c r="X7" s="20" t="s">
        <v>10</v>
      </c>
      <c r="Y7" s="21">
        <v>5</v>
      </c>
      <c r="Z7" s="22"/>
      <c r="AA7" s="22"/>
      <c r="AB7" s="22"/>
      <c r="AC7" s="22"/>
    </row>
    <row r="8" spans="1:29">
      <c r="A8" s="1"/>
      <c r="B8" s="23" t="s">
        <v>2</v>
      </c>
      <c r="C8" s="24">
        <f ca="1">COUNTA(query!A2:A990)</f>
        <v>989</v>
      </c>
      <c r="D8" s="25">
        <f ca="1">COUNTIF(query!$C:$C,D$7)</f>
        <v>44</v>
      </c>
      <c r="E8" s="26">
        <f ca="1">COUNTIFS(query!$C:$C,E$7,query!$C:$C,"&gt;"&amp;D7)</f>
        <v>75</v>
      </c>
      <c r="F8" s="26">
        <f ca="1">COUNTIF(query!$C:$C,F$7)</f>
        <v>119</v>
      </c>
      <c r="G8" s="26">
        <f ca="1">COUNTIFS(query!$C:$C,G$7,query!$C:$C,"&gt;"&amp;F7)</f>
        <v>212</v>
      </c>
      <c r="H8" s="26">
        <f ca="1">COUNTIF(query!$C:$C,H$7)</f>
        <v>120</v>
      </c>
      <c r="I8" s="26">
        <f ca="1">COUNTIFS(query!$C:$C,I$7,query!$C:$C,"&gt;"&amp;H7)</f>
        <v>290</v>
      </c>
      <c r="J8" s="27">
        <f ca="1">COUNTIF(query!$C:$C,J$7)</f>
        <v>138</v>
      </c>
      <c r="K8" s="26">
        <f ca="1">COUNTIFS(query!$C:$C,K$7,query!$C:$C,"&gt;"&amp;J7)</f>
        <v>106</v>
      </c>
      <c r="L8" s="28">
        <f ca="1">COUNTIF(query!$C:$C,L$7)</f>
        <v>19</v>
      </c>
      <c r="M8" s="29"/>
      <c r="N8" s="3" t="s">
        <v>2</v>
      </c>
      <c r="O8" s="24">
        <f>SUM(O9:O11)</f>
        <v>1122</v>
      </c>
      <c r="P8" s="25">
        <f>COUNTIF(Score,P7)</f>
        <v>2</v>
      </c>
      <c r="Q8" s="25">
        <f>COUNTIFS(Score,Q7)</f>
        <v>44</v>
      </c>
      <c r="R8" s="26">
        <f>COUNTIFS(Score,R7,Score,"&gt;1")</f>
        <v>76</v>
      </c>
      <c r="S8" s="26">
        <f>COUNTIF(Score,S7)</f>
        <v>118</v>
      </c>
      <c r="T8" s="26">
        <f>COUNTIFS(Score,T7,Score,"&gt;2")</f>
        <v>211</v>
      </c>
      <c r="U8" s="26">
        <f>COUNTIF(Score,U7)</f>
        <v>120</v>
      </c>
      <c r="V8" s="26">
        <f>COUNTIFS(Score,V7,Score,"&gt;3")</f>
        <v>288</v>
      </c>
      <c r="W8" s="26">
        <f>COUNTIF(Score,W7)</f>
        <v>138</v>
      </c>
      <c r="X8" s="26">
        <f>COUNTIFS(Score,X7,Score,"&gt;4")</f>
        <v>106</v>
      </c>
      <c r="Y8" s="30">
        <f>COUNTIF(Score,Y7)</f>
        <v>19</v>
      </c>
      <c r="Z8" s="29"/>
      <c r="AA8" s="29"/>
      <c r="AB8" s="29"/>
      <c r="AC8" s="29"/>
    </row>
    <row r="9" spans="1:29">
      <c r="A9" s="1"/>
      <c r="B9" s="31" t="s">
        <v>3</v>
      </c>
      <c r="C9" s="32">
        <f ca="1">COUNTIF(query!D:D,B9)</f>
        <v>226</v>
      </c>
      <c r="D9" s="33">
        <f ca="1">COUNTIFS(query!$C:$C,D$7,query!$D:$D,$B9)</f>
        <v>17</v>
      </c>
      <c r="E9" s="34">
        <f ca="1">COUNTIFS(query!$C:$C,E$7,query!$C:$C,"&gt;"&amp;D$7,query!$D:$D,$B9)</f>
        <v>14</v>
      </c>
      <c r="F9" s="34">
        <f ca="1">COUNTIFS(query!$C:$C,F$7,query!$D:$D,$B9)</f>
        <v>24</v>
      </c>
      <c r="G9" s="34">
        <f ca="1">COUNTIFS(query!$C:$C,G$7,query!$C:$C,"&gt;"&amp;F$7,query!$D:$D,$B9)</f>
        <v>25</v>
      </c>
      <c r="H9" s="34">
        <f ca="1">COUNTIFS(query!$C:$C,H$7,query!$D:$D,$B9)</f>
        <v>16</v>
      </c>
      <c r="I9" s="34">
        <f ca="1">COUNTIFS(query!$C:$C,I$7,query!$C:$C,"&gt;"&amp;H$7,query!$D:$D,$B9)</f>
        <v>45</v>
      </c>
      <c r="J9" s="34">
        <f ca="1">COUNTIFS(query!$C:$C,J$7,query!$D:$D,$B9)</f>
        <v>34</v>
      </c>
      <c r="K9" s="34">
        <f ca="1">COUNTIFS(query!$C:$C,K$7,query!$C:$C,"&gt;"&amp;J$7,query!$D:$D,$B9)</f>
        <v>37</v>
      </c>
      <c r="L9" s="35">
        <f ca="1">COUNTIFS(query!$C:$C,L$7,query!$D:$D,$B9)</f>
        <v>12</v>
      </c>
      <c r="M9" s="29"/>
      <c r="N9" s="7" t="s">
        <v>3</v>
      </c>
      <c r="O9" s="36">
        <f>COUNTIF(Track,N9)</f>
        <v>224</v>
      </c>
      <c r="P9" s="33">
        <f>COUNTIFS(Score,P7,Track,$N9)</f>
        <v>2</v>
      </c>
      <c r="Q9" s="33">
        <f>COUNTIFS(Score,Q7,Track,$N9)</f>
        <v>17</v>
      </c>
      <c r="R9" s="34">
        <f>COUNTIFS(Score,R$7,Score,"&gt;1",Track,$N9)</f>
        <v>14</v>
      </c>
      <c r="S9" s="34">
        <f>COUNTIFS(Score,S7,Track,$N9)</f>
        <v>24</v>
      </c>
      <c r="T9" s="34">
        <f>COUNTIFS(Score,T$7,Score,"&gt;2",Track,$N9)</f>
        <v>25</v>
      </c>
      <c r="U9" s="34">
        <f>COUNTIFS(Score,U7,Track,$N9)</f>
        <v>16</v>
      </c>
      <c r="V9" s="34">
        <f>COUNTIFS(Score,V$7,Score,"&gt;3",Track,$N9)</f>
        <v>43</v>
      </c>
      <c r="W9" s="34">
        <f>COUNTIFS(Score,W7,Track,$N9)</f>
        <v>34</v>
      </c>
      <c r="X9" s="34">
        <f>COUNTIFS(Score,X$7,Score,"&gt;4",Track,$N9)</f>
        <v>37</v>
      </c>
      <c r="Y9" s="35">
        <f>COUNTIFS(Score,Y7,Track,$N9)</f>
        <v>12</v>
      </c>
      <c r="Z9" s="29"/>
      <c r="AA9" s="29"/>
      <c r="AB9" s="29"/>
      <c r="AC9" s="29"/>
    </row>
    <row r="10" spans="1:29">
      <c r="A10" s="1"/>
      <c r="B10" s="31" t="s">
        <v>4</v>
      </c>
      <c r="C10" s="37">
        <f ca="1">COUNTIF(query!D:D,B10)</f>
        <v>640</v>
      </c>
      <c r="D10" s="38">
        <f ca="1">COUNTIFS(query!$C:$C,D$7,query!$D:$D,$B10)</f>
        <v>26</v>
      </c>
      <c r="E10" s="34">
        <f ca="1">COUNTIFS(query!$C:$C,E$7,query!$C:$C,"&gt;"&amp;D$7,query!$D:$D,$B10)</f>
        <v>53</v>
      </c>
      <c r="F10" s="39">
        <f ca="1">COUNTIFS(query!$C:$C,F$7,query!$D:$D,$B10)</f>
        <v>86</v>
      </c>
      <c r="G10" s="34">
        <f ca="1">COUNTIFS(query!$C:$C,G$7,query!$C:$C,"&gt;"&amp;F$7,query!$D:$D,$B10)</f>
        <v>133</v>
      </c>
      <c r="H10" s="39">
        <f ca="1">COUNTIFS(query!$C:$C,H$7,query!$D:$D,$B10)</f>
        <v>62</v>
      </c>
      <c r="I10" s="34">
        <f ca="1">COUNTIFS(query!$C:$C,I$7,query!$C:$C,"&gt;"&amp;H$7,query!$D:$D,$B10)</f>
        <v>162</v>
      </c>
      <c r="J10" s="39">
        <f ca="1">COUNTIFS(query!$C:$C,J$7,query!$D:$D,$B10)</f>
        <v>71</v>
      </c>
      <c r="K10" s="34">
        <f ca="1">COUNTIFS(query!$C:$C,K$7,query!$C:$C,"&gt;"&amp;J$7,query!$D:$D,$B10)</f>
        <v>45</v>
      </c>
      <c r="L10" s="40">
        <f ca="1">COUNTIFS(query!$C:$C,L$7,query!$D:$D,$B10)</f>
        <v>2</v>
      </c>
      <c r="M10" s="29"/>
      <c r="N10" s="7" t="s">
        <v>4</v>
      </c>
      <c r="O10" s="41">
        <f>COUNTIF(Track,N10)</f>
        <v>636</v>
      </c>
      <c r="P10" s="33">
        <f>COUNTIFS(Score,P7,Track,$N10)</f>
        <v>0</v>
      </c>
      <c r="Q10" s="38">
        <f>COUNTIFS(Score,Q7,Track,$N10)</f>
        <v>25</v>
      </c>
      <c r="R10" s="34">
        <f>COUNTIFS(Score,R$7,Score,"&gt;1",Track,$N10)</f>
        <v>54</v>
      </c>
      <c r="S10" s="39">
        <f>COUNTIFS(Score,S7,Track,$N10)</f>
        <v>85</v>
      </c>
      <c r="T10" s="34">
        <f>COUNTIFS(Score,T$7,Score,"&gt;2",Track,$N10)</f>
        <v>132</v>
      </c>
      <c r="U10" s="39">
        <f>COUNTIFS(Score,U7,Track,$N10)</f>
        <v>62</v>
      </c>
      <c r="V10" s="34">
        <f>COUNTIFS(Score,V$7,Score,"&gt;3",Track,$N10)</f>
        <v>161</v>
      </c>
      <c r="W10" s="39">
        <f>COUNTIFS(Score,W7,Track,$N10)</f>
        <v>71</v>
      </c>
      <c r="X10" s="34">
        <f>COUNTIFS(Score,X$7,Score,"&gt;4",Track,$N10)</f>
        <v>44</v>
      </c>
      <c r="Y10" s="40">
        <f>COUNTIFS(Score,Y7,Track,$N10)</f>
        <v>2</v>
      </c>
      <c r="Z10" s="29"/>
      <c r="AA10" s="29"/>
      <c r="AB10" s="29"/>
      <c r="AC10" s="29"/>
    </row>
    <row r="11" spans="1:29">
      <c r="A11" s="1"/>
      <c r="B11" s="23" t="s">
        <v>5</v>
      </c>
      <c r="C11" s="42">
        <f ca="1">COUNTIF(query!D:D,B11)</f>
        <v>259</v>
      </c>
      <c r="D11" s="43">
        <f ca="1">COUNTIFS(query!$C:$C,D$7,query!$D:$D,$B11)</f>
        <v>1</v>
      </c>
      <c r="E11" s="26">
        <f ca="1">COUNTIFS(query!$C:$C,E$7,query!$C:$C,"&gt;"&amp;D$7,query!$D:$D,$B11)</f>
        <v>8</v>
      </c>
      <c r="F11" s="44">
        <f ca="1">COUNTIFS(query!$C:$C,F$7,query!$D:$D,$B11)</f>
        <v>9</v>
      </c>
      <c r="G11" s="26">
        <f ca="1">COUNTIFS(query!$C:$C,G$7,query!$C:$C,"&gt;"&amp;F$7,query!$D:$D,$B11)</f>
        <v>54</v>
      </c>
      <c r="H11" s="44">
        <f ca="1">COUNTIFS(query!$C:$C,H$7,query!$D:$D,$B11)</f>
        <v>42</v>
      </c>
      <c r="I11" s="26">
        <f ca="1">COUNTIFS(query!$C:$C,I$7,query!$C:$C,"&gt;"&amp;H$7,query!$D:$D,$B11)</f>
        <v>83</v>
      </c>
      <c r="J11" s="44">
        <f ca="1">COUNTIFS(query!$C:$C,J$7,query!$D:$D,$B11)</f>
        <v>33</v>
      </c>
      <c r="K11" s="26">
        <f ca="1">COUNTIFS(query!$C:$C,K$7,query!$C:$C,"&gt;"&amp;J$7,query!$D:$D,$B11)</f>
        <v>24</v>
      </c>
      <c r="L11" s="45">
        <f ca="1">COUNTIFS(query!$C:$C,L$7,query!$D:$D,$B11)</f>
        <v>5</v>
      </c>
      <c r="M11" s="29"/>
      <c r="N11" s="3" t="s">
        <v>5</v>
      </c>
      <c r="O11" s="46">
        <f>COUNTIF(Track,N11)</f>
        <v>262</v>
      </c>
      <c r="P11" s="43">
        <f>COUNTIFS(Score,P7,Track,$N11)</f>
        <v>0</v>
      </c>
      <c r="Q11" s="43">
        <f>COUNTIFS(Score,Q7,Track,$N11)</f>
        <v>2</v>
      </c>
      <c r="R11" s="26">
        <f>COUNTIFS(Score,R$7,Score,"&gt;1",Track,$N11)</f>
        <v>8</v>
      </c>
      <c r="S11" s="44">
        <f>COUNTIFS(Score,S7,Track,$N11)</f>
        <v>9</v>
      </c>
      <c r="T11" s="26">
        <f>COUNTIFS(Score,T$7,Score,"&gt;2",Track,$N11)</f>
        <v>54</v>
      </c>
      <c r="U11" s="44">
        <f>COUNTIFS(Score,U7,Track,$N11)</f>
        <v>42</v>
      </c>
      <c r="V11" s="26">
        <f>COUNTIFS(Score,V$7,Score,"&gt;3",Track,$N11)</f>
        <v>84</v>
      </c>
      <c r="W11" s="44">
        <f>COUNTIFS(Score,W7,Track,$N11)</f>
        <v>33</v>
      </c>
      <c r="X11" s="26">
        <f>COUNTIFS(Score,X$7,Score,"&gt;4",Track,$N11)</f>
        <v>25</v>
      </c>
      <c r="Y11" s="45">
        <f>COUNTIFS(Score,Y7,Track,$N11)</f>
        <v>5</v>
      </c>
      <c r="Z11" s="29"/>
      <c r="AA11" s="29"/>
      <c r="AB11" s="29"/>
      <c r="AC11" s="29"/>
    </row>
    <row r="12" spans="1:29">
      <c r="A12" s="1"/>
      <c r="C12" s="47"/>
      <c r="D12" s="29"/>
      <c r="E12" s="29"/>
      <c r="F12" s="29"/>
      <c r="G12" s="29"/>
      <c r="H12" s="29"/>
      <c r="I12" s="29"/>
      <c r="J12" s="29"/>
      <c r="K12" s="29"/>
      <c r="L12" s="17"/>
      <c r="M12" s="29"/>
      <c r="O12" s="47"/>
      <c r="P12" s="29"/>
      <c r="Q12" s="29"/>
      <c r="R12" s="29"/>
      <c r="S12" s="29"/>
      <c r="T12" s="29"/>
      <c r="U12" s="29"/>
      <c r="V12" s="29"/>
      <c r="W12" s="29"/>
      <c r="X12" s="17"/>
      <c r="Y12" s="29"/>
      <c r="Z12" s="29"/>
      <c r="AA12" s="29"/>
      <c r="AB12" s="29"/>
      <c r="AC12" s="29"/>
    </row>
    <row r="13" spans="1:29">
      <c r="A13" s="1"/>
      <c r="B13" s="2" t="s">
        <v>12</v>
      </c>
      <c r="C13" s="48" t="s">
        <v>13</v>
      </c>
      <c r="D13" s="18" t="s">
        <v>14</v>
      </c>
      <c r="E13" s="49" t="s">
        <v>15</v>
      </c>
      <c r="F13" s="50" t="s">
        <v>16</v>
      </c>
      <c r="G13" s="17"/>
      <c r="H13" s="569" t="s">
        <v>17</v>
      </c>
      <c r="I13" s="570"/>
      <c r="J13" s="570"/>
      <c r="K13" s="570"/>
      <c r="L13" s="571"/>
      <c r="N13" s="2" t="s">
        <v>12</v>
      </c>
      <c r="O13" s="48" t="s">
        <v>13</v>
      </c>
      <c r="P13" s="18" t="s">
        <v>14</v>
      </c>
      <c r="Q13" s="49" t="s">
        <v>15</v>
      </c>
      <c r="R13" s="50" t="s">
        <v>16</v>
      </c>
      <c r="S13" s="17"/>
      <c r="T13" s="569" t="s">
        <v>17</v>
      </c>
      <c r="U13" s="570"/>
      <c r="V13" s="570"/>
      <c r="W13" s="570"/>
      <c r="X13" s="571"/>
    </row>
    <row r="14" spans="1:29">
      <c r="A14" s="1"/>
      <c r="B14" s="31" t="s">
        <v>18</v>
      </c>
      <c r="C14" s="51">
        <f ca="1">COUNTIF(query!E:E,B14)</f>
        <v>260</v>
      </c>
      <c r="D14" s="52">
        <f ca="1">COUNTIFS(query!$F:$F,D$13,query!$E:$E,$B14)</f>
        <v>0</v>
      </c>
      <c r="E14" s="34">
        <f ca="1">COUNTIFS(query!$F:$F,E$13,query!$E:$E,$B14)</f>
        <v>0</v>
      </c>
      <c r="F14" s="35">
        <f ca="1">COUNTIFS(query!$F:$F,F$13,query!$E:$E,$B14)</f>
        <v>0</v>
      </c>
      <c r="G14" s="29"/>
      <c r="H14" s="53">
        <f ca="1">SUM(I15:I21)</f>
        <v>260</v>
      </c>
      <c r="I14" s="48" t="s">
        <v>13</v>
      </c>
      <c r="J14" s="18" t="s">
        <v>14</v>
      </c>
      <c r="K14" s="49" t="s">
        <v>15</v>
      </c>
      <c r="L14" s="50" t="s">
        <v>16</v>
      </c>
      <c r="N14" s="31" t="s">
        <v>18</v>
      </c>
      <c r="O14" s="51">
        <f>COUNTIF('Final Review'!S:S,N14)</f>
        <v>181</v>
      </c>
      <c r="P14" s="52">
        <f>COUNTIFS('Final Review'!S:S,N14,'Final Review'!C:C,"Life Sciences")</f>
        <v>57</v>
      </c>
      <c r="Q14" s="34">
        <f>COUNTIFS('Final Review'!S:S,N14,'Final Review'!C:C,"Digital Tech")</f>
        <v>66</v>
      </c>
      <c r="R14" s="35">
        <f>COUNTIFS('Final Review'!S:S,N14,'Final Review'!C:C,"Deep Tech")</f>
        <v>56</v>
      </c>
      <c r="S14" s="29"/>
      <c r="T14" s="53">
        <f>SUM(U15:U20)</f>
        <v>261</v>
      </c>
      <c r="U14" s="48" t="s">
        <v>13</v>
      </c>
      <c r="V14" s="18" t="s">
        <v>14</v>
      </c>
      <c r="W14" s="49" t="s">
        <v>15</v>
      </c>
      <c r="X14" s="50" t="s">
        <v>16</v>
      </c>
    </row>
    <row r="15" spans="1:29">
      <c r="A15" s="1"/>
      <c r="B15" s="31" t="s">
        <v>19</v>
      </c>
      <c r="C15" s="51">
        <f ca="1">COUNTIF(query!E:E,B15)</f>
        <v>31</v>
      </c>
      <c r="D15" s="52">
        <f ca="1">COUNTIFS(query!$F:$F,D$13,query!$E:$E,$B15)</f>
        <v>0</v>
      </c>
      <c r="E15" s="34">
        <f ca="1">COUNTIFS(query!$F:$F,E$13,query!$E:$E,$B15)</f>
        <v>0</v>
      </c>
      <c r="F15" s="35">
        <f ca="1">COUNTIFS(query!$F:$F,F$13,query!$E:$E,$B15)</f>
        <v>0</v>
      </c>
      <c r="G15" s="17"/>
      <c r="H15" s="31">
        <v>5</v>
      </c>
      <c r="I15" s="51">
        <f ca="1">COUNTIFS(query!E:E,"Invite",query!C:C,H15)</f>
        <v>19</v>
      </c>
      <c r="J15" s="52">
        <f ca="1">COUNTIFS(query!E:E,"Invite",query!C:C,H15,query!F:F,"LS")</f>
        <v>0</v>
      </c>
      <c r="K15" s="34">
        <f ca="1">COUNTIFS(query!E:E,"Invite",query!C:C,H15,query!F:F,"DiT")</f>
        <v>0</v>
      </c>
      <c r="L15" s="35">
        <f ca="1">COUNTIFS(query!E:E,"Invite",query!C:C,H15,query!F:F,"DT")</f>
        <v>0</v>
      </c>
      <c r="N15" s="31" t="s">
        <v>19</v>
      </c>
      <c r="O15" s="51">
        <f>COUNTIF('Final Review'!S:S,N15)</f>
        <v>18</v>
      </c>
      <c r="P15" s="52">
        <f>COUNTIFS('Final Review'!S:S,N15,'Final Review'!C:C,"Life Sciences")</f>
        <v>1</v>
      </c>
      <c r="Q15" s="34">
        <f>COUNTIFS('Final Review'!S:S,N15,'Final Review'!C:C,"Digital Tech")</f>
        <v>0</v>
      </c>
      <c r="R15" s="35">
        <f>COUNTIFS('Final Review'!S:S,N15,'Final Review'!C:C,"Deep Tech")</f>
        <v>17</v>
      </c>
      <c r="S15" s="17"/>
      <c r="T15" s="31">
        <v>5</v>
      </c>
      <c r="U15" s="51">
        <f>COUNTIFS('Final Review'!$B:$B,"Invite",'Final Review'!$D:$D,$T15)</f>
        <v>19</v>
      </c>
      <c r="V15" s="52">
        <f>COUNTIFS('Final Review'!$S:$S,"Invite",'Final Review'!$D:$D,$T15,'Final Review'!C:C,"Life Sciences")</f>
        <v>12</v>
      </c>
      <c r="W15" s="34">
        <f>COUNTIFS('Final Review'!$S:$S,"Invite",'Final Review'!$D:$D,$T15,'Final Review'!C:C,"Digital Tech")</f>
        <v>2</v>
      </c>
      <c r="X15" s="35">
        <f>COUNTIFS('Final Review'!$S:$S,"Invite",'Final Review'!$D:$D,$T15,'Final Review'!C:C,"Deep Tech")</f>
        <v>5</v>
      </c>
    </row>
    <row r="16" spans="1:29">
      <c r="A16" s="1"/>
      <c r="B16" s="31" t="s">
        <v>20</v>
      </c>
      <c r="C16" s="51">
        <f ca="1">COUNTIF(query!E:E,B16)</f>
        <v>54</v>
      </c>
      <c r="D16" s="52">
        <f ca="1">COUNTIFS(query!$F:$F,D$13,query!$E:$E,$B16)</f>
        <v>0</v>
      </c>
      <c r="E16" s="34">
        <f ca="1">COUNTIFS(query!$F:$F,E$13,query!$E:$E,$B16)</f>
        <v>0</v>
      </c>
      <c r="F16" s="35">
        <f ca="1">COUNTIFS(query!$F:$F,F$13,query!$E:$E,$B16)</f>
        <v>0</v>
      </c>
      <c r="G16" s="17"/>
      <c r="H16" s="31" t="s">
        <v>10</v>
      </c>
      <c r="I16" s="51">
        <f ca="1">COUNTIFS(query!E:E,"Invite",query!C:C,H16,query!C:C,"&gt;4")</f>
        <v>103</v>
      </c>
      <c r="J16" s="52">
        <f ca="1">COUNTIFS(query!E:E,"Invite",query!C:C,H16,query!C:C,"&gt;4",query!F:F,"LS")</f>
        <v>0</v>
      </c>
      <c r="K16" s="34">
        <f ca="1">COUNTIFS(query!E:E,"Invite",query!C:C,H16,query!C:C,"&gt;4",query!F:F,"DiT")</f>
        <v>0</v>
      </c>
      <c r="L16" s="35">
        <f ca="1">COUNTIFS(query!E:E,"Invite",query!C:C,H16,query!C:C,"&gt;4",query!F:F,"DT")</f>
        <v>0</v>
      </c>
      <c r="N16" s="31" t="s">
        <v>20</v>
      </c>
      <c r="O16" s="51">
        <f>COUNTIF('Final Review'!S:S,N16)</f>
        <v>1</v>
      </c>
      <c r="P16" s="52">
        <f>COUNTIFS('Final Review'!S:S,N16,'Final Review'!C:C,"Life Sciences")</f>
        <v>0</v>
      </c>
      <c r="Q16" s="34">
        <f>COUNTIFS('Final Review'!S:S,N16,'Final Review'!C:C,"Digital Tech")</f>
        <v>0</v>
      </c>
      <c r="R16" s="35">
        <f>COUNTIFS('Final Review'!S:S,N16,'Final Review'!C:C,"Deep Tech")</f>
        <v>1</v>
      </c>
      <c r="S16" s="17"/>
      <c r="T16" s="31" t="s">
        <v>10</v>
      </c>
      <c r="U16" s="51">
        <f>COUNTIFS('Final Review'!$B:$B,"Invite",'Final Review'!$D:$D,$T16,'Final Review'!$D:$D,"&gt;4")</f>
        <v>104</v>
      </c>
      <c r="V16" s="52">
        <f>COUNTIFS('Final Review'!$S:$S,"Invite",'Final Review'!$D:$D,$T16,'Final Review'!$D:$D,"&gt;4",'Final Review'!C:C,"Life Sciences")</f>
        <v>34</v>
      </c>
      <c r="W16" s="34">
        <f>COUNTIFS('Final Review'!$S:$S,"Invite",'Final Review'!$D:$D,$T16,'Final Review'!$D:$D,"&gt;4",'Final Review'!C:C,"Digital Tech")</f>
        <v>36</v>
      </c>
      <c r="X16" s="35">
        <f>COUNTIFS('Final Review'!$S:$S,"Invite",'Final Review'!$D:$D,$T16,'Final Review'!$D:$D,"&gt;4",'Final Review'!C:C,"Deep Tech")</f>
        <v>20</v>
      </c>
    </row>
    <row r="17" spans="1:29">
      <c r="A17" s="1"/>
      <c r="B17" s="31"/>
      <c r="C17" s="54"/>
      <c r="D17" s="55"/>
      <c r="E17" s="56"/>
      <c r="F17" s="57"/>
      <c r="G17" s="17"/>
      <c r="H17" s="31" t="s">
        <v>21</v>
      </c>
      <c r="I17" s="51">
        <f ca="1">COUNTIFS(query!E:E,"Invite",query!C:C,"&lt;3")</f>
        <v>0</v>
      </c>
      <c r="J17" s="52"/>
      <c r="K17" s="34"/>
      <c r="L17" s="35"/>
      <c r="N17" s="31" t="s">
        <v>22</v>
      </c>
      <c r="O17" s="54">
        <f>COUNTIF('Final Review'!S:S,N17)</f>
        <v>27</v>
      </c>
      <c r="P17" s="55">
        <f>COUNTIFS('Final Review'!S:S,N17,'Final Review'!C:C,"Life Sciences")</f>
        <v>11</v>
      </c>
      <c r="Q17" s="56">
        <f>COUNTIFS('Final Review'!S:S,N17,'Final Review'!C:C,"Digital Tech")</f>
        <v>2</v>
      </c>
      <c r="R17" s="57">
        <f>COUNTIFS('Final Review'!S:S,N17,'Final Review'!C:C,"Deep Tech")</f>
        <v>13</v>
      </c>
      <c r="S17" s="17"/>
      <c r="T17" s="31">
        <v>3</v>
      </c>
      <c r="U17" s="51">
        <f>COUNTIFS('Final Review'!$B:$B,"Invite",'Final Review'!$D:$D,$T17)</f>
        <v>1</v>
      </c>
      <c r="V17" s="58">
        <f>COUNTIFS('Final Review'!$S:$S,"Invite",'Final Review'!$D:$D,$T17,'Final Review'!C:C,"Life Sciences")</f>
        <v>0</v>
      </c>
      <c r="W17" s="34">
        <f>COUNTIFS('Final Review'!$B:$B,"Invite",'Final Review'!$D:$D,$T17,'Final Review'!C:C,"Digital Tech")</f>
        <v>0</v>
      </c>
      <c r="X17" s="40">
        <f>COUNTIFS('Final Review'!$S:$S,"Invite",'Final Review'!$D:$D,$T17,'Final Review'!C:C,"Deep Tech")</f>
        <v>0</v>
      </c>
      <c r="Y17" s="6"/>
      <c r="Z17" s="6"/>
      <c r="AA17" s="6"/>
      <c r="AB17" s="6"/>
      <c r="AC17" s="6"/>
    </row>
    <row r="18" spans="1:29">
      <c r="A18" s="1"/>
      <c r="B18" s="31"/>
      <c r="C18" s="54"/>
      <c r="D18" s="55"/>
      <c r="E18" s="56"/>
      <c r="F18" s="57"/>
      <c r="G18" s="17"/>
      <c r="H18" s="31"/>
      <c r="I18" s="51"/>
      <c r="J18" s="52"/>
      <c r="K18" s="34"/>
      <c r="L18" s="35"/>
      <c r="N18" s="31" t="s">
        <v>23</v>
      </c>
      <c r="O18" s="54">
        <f>COUNTIF('Final Review'!S:S,N18)+COUNTIF(Import!R:R,N18)</f>
        <v>47</v>
      </c>
      <c r="P18" s="55">
        <f>COUNTIFS('Final Review'!S:S,N18,'Final Review'!C:C,"Life Sciences")+COUNTIFS(Track,"Life Sciences",Import!R:R,N18)</f>
        <v>39</v>
      </c>
      <c r="Q18" s="56">
        <f>COUNTIFS('Final Review'!S:S,N18,'Final Review'!C:C,"Digital Tech")+COUNTIFS(Track,"Digital Tech",Import!R:R,N18)</f>
        <v>5</v>
      </c>
      <c r="R18" s="57">
        <f>COUNTIFS('Final Review'!S:S,N18,'Final Review'!C:C,"Deep Tech")+COUNTIFS(Track,"Deep Tech",Import!R:R,N18)</f>
        <v>3</v>
      </c>
      <c r="S18" s="17"/>
      <c r="T18" s="31" t="s">
        <v>9</v>
      </c>
      <c r="U18" s="51">
        <f>COUNTIFS('Final Review'!$B:$B,"Invite",'Final Review'!$D:$D,$T18,'Final Review'!$D:$D,"&gt;3")</f>
        <v>23</v>
      </c>
      <c r="V18" s="58">
        <f>COUNTIFS('Final Review'!$S:$S,"Invite",'Final Review'!$D:$D,$T18,'Final Review'!$D:$D,"&gt;3",'Final Review'!C:C,"Life Sciences")</f>
        <v>2</v>
      </c>
      <c r="W18" s="34">
        <f>COUNTIFS('Final Review'!$S:$S,"Invite",'Final Review'!$D:$D,$T18,'Final Review'!$D:$D,"&gt;3",'Final Review'!C:C,"Digital Tech")</f>
        <v>9</v>
      </c>
      <c r="X18" s="40">
        <f>COUNTIFS('Final Review'!$S:$S,"Invite",'Final Review'!$D:$D,$T18,'Final Review'!$D:$D,"&gt;3",'Final Review'!C:C,"Deep Tech")</f>
        <v>10</v>
      </c>
      <c r="Y18" s="6"/>
      <c r="Z18" s="6"/>
      <c r="AA18" s="6"/>
      <c r="AB18" s="6"/>
      <c r="AC18" s="6"/>
    </row>
    <row r="19" spans="1:29">
      <c r="A19" s="1"/>
      <c r="B19" s="31" t="s">
        <v>24</v>
      </c>
      <c r="C19" s="51">
        <f ca="1">COUNTIF(query!E:E,B19)</f>
        <v>758</v>
      </c>
      <c r="D19" s="58">
        <f ca="1">COUNTIFS(query!$F:$F,D$13,query!$E:$E,$B19)</f>
        <v>0</v>
      </c>
      <c r="E19" s="34">
        <f ca="1">COUNTIFS(query!$F:$F,E$13,query!$E:$E,$B19)</f>
        <v>0</v>
      </c>
      <c r="F19" s="40">
        <f ca="1">COUNTIFS(query!$F:$F,F$13,query!$E:$E,$B19)</f>
        <v>0</v>
      </c>
      <c r="G19" s="17"/>
      <c r="H19" s="31">
        <v>4</v>
      </c>
      <c r="I19" s="51">
        <f ca="1">COUNTIFS(query!E:E,"Invite",query!C:C,H19)</f>
        <v>114</v>
      </c>
      <c r="J19" s="52">
        <f ca="1">COUNTIFS(query!E:E,"Invite",query!C:C,H19,query!F:F,"LS")</f>
        <v>0</v>
      </c>
      <c r="K19" s="34">
        <f ca="1">COUNTIFS(query!E:E,"Invite",query!C:C,H19,query!F:F,"DiT")</f>
        <v>0</v>
      </c>
      <c r="L19" s="35">
        <f ca="1">COUNTIFS(query!E:E,"Invite",query!C:C,H19,query!F:F,"DT")</f>
        <v>0</v>
      </c>
      <c r="N19" s="31" t="s">
        <v>24</v>
      </c>
      <c r="O19" s="51">
        <f>COUNTIF('Final Review'!S:S,N19)+COUNTIF(Import!R:R,N19)</f>
        <v>849</v>
      </c>
      <c r="P19" s="58">
        <f>COUNTIFS('Final Review'!S:S,N19,'Final Review'!C:C,"Life Sciences")+COUNTIFS(Track,"Life Sciences",Import!R:R,N19)</f>
        <v>116</v>
      </c>
      <c r="Q19" s="34">
        <f>COUNTIFS('Final Review'!S:S,N19,'Final Review'!C:C,"Digital Tech")+COUNTIFS(Track,"Digital Tech",Import!R:R,N19)</f>
        <v>560</v>
      </c>
      <c r="R19" s="40">
        <f>COUNTIFS('Final Review'!S:S,N19,'Final Review'!C:C,"Deep Tech")+COUNTIFS(Track,"Deep Tech",Import!R:R,N19)</f>
        <v>173</v>
      </c>
      <c r="S19" s="17"/>
      <c r="T19" s="31">
        <v>4</v>
      </c>
      <c r="U19" s="51">
        <f>COUNTIFS('Final Review'!$B:$B,"Invite",'Final Review'!$D:$D,$T19)</f>
        <v>114</v>
      </c>
      <c r="V19" s="52">
        <f>COUNTIFS('Final Review'!$S:$S,"Invite",'Final Review'!$D:$D,$T19,'Final Review'!C:C,"Life Sciences")</f>
        <v>9</v>
      </c>
      <c r="W19" s="34">
        <f>COUNTIFS('Final Review'!$S:$S,"Invite",'Final Review'!$D:$D,$T19,'Final Review'!C:C,"Digital Tech")</f>
        <v>19</v>
      </c>
      <c r="X19" s="35">
        <f>COUNTIFS('Final Review'!$S:$S,"Invite",'Final Review'!$D:$D,$T19,'Final Review'!C:C,"Deep Tech")</f>
        <v>21</v>
      </c>
    </row>
    <row r="20" spans="1:29">
      <c r="A20" s="1"/>
      <c r="B20" s="23" t="s">
        <v>25</v>
      </c>
      <c r="C20" s="59">
        <f ca="1">COUNTIF(query!E:E,B20)</f>
        <v>3</v>
      </c>
      <c r="D20" s="60">
        <f ca="1">COUNTIFS(query!$F:$F,D$13,query!$E:$E,$B20)</f>
        <v>0</v>
      </c>
      <c r="E20" s="26">
        <f ca="1">COUNTIFS(query!$F:$F,E$13,query!$E:$E,$B20)</f>
        <v>0</v>
      </c>
      <c r="F20" s="45">
        <f ca="1">COUNTIFS(query!$F:$F,F$13,query!$E:$E,$B20)</f>
        <v>0</v>
      </c>
      <c r="G20" s="17"/>
      <c r="H20" s="31" t="s">
        <v>9</v>
      </c>
      <c r="I20" s="51">
        <f ca="1">COUNTIFS(query!E:E,"Invite",query!C:C,H20,query!C:C,"&gt;3")</f>
        <v>23</v>
      </c>
      <c r="J20" s="58">
        <f ca="1">COUNTIFS(query!E:E,"Invite",query!C:C,H20,query!C:C,"&gt;3",query!F:F,"LS")</f>
        <v>0</v>
      </c>
      <c r="K20" s="34">
        <f ca="1">COUNTIFS(query!E:E,"Invite",query!C:C,H20,query!C:C,"&gt;3",query!F:F,"DiT")</f>
        <v>0</v>
      </c>
      <c r="L20" s="40">
        <f ca="1">COUNTIFS(query!E:E,"Invite",query!C:C,H20,query!C:C,"&gt;3",query!F:F,"DT")</f>
        <v>0</v>
      </c>
      <c r="N20" s="23" t="s">
        <v>25</v>
      </c>
      <c r="O20" s="59">
        <f>COUNTIF(Import!R:R,N20)</f>
        <v>4</v>
      </c>
      <c r="P20" s="60">
        <f>COUNTIFS(Import!R:R,N20,Track,"Life Sciences")</f>
        <v>1</v>
      </c>
      <c r="Q20" s="26">
        <f>COUNTIFS(Import!R:R,N20,Track,"Digital Tech")</f>
        <v>1</v>
      </c>
      <c r="R20" s="45">
        <f>COUNTIFS(Import!R:R,N20,Track,"Deep Tech")</f>
        <v>2</v>
      </c>
      <c r="S20" s="17"/>
      <c r="T20" s="23" t="s">
        <v>21</v>
      </c>
      <c r="U20" s="59"/>
      <c r="V20" s="60"/>
      <c r="W20" s="26"/>
      <c r="X20" s="45"/>
      <c r="Y20" s="6"/>
      <c r="Z20" s="6"/>
      <c r="AA20" s="6"/>
      <c r="AB20" s="6"/>
      <c r="AC20" s="6"/>
    </row>
    <row r="21" spans="1:29">
      <c r="A21" s="1"/>
      <c r="B21" s="23" t="s">
        <v>26</v>
      </c>
      <c r="C21" s="59">
        <f ca="1">SUM(D21:F21)</f>
        <v>0</v>
      </c>
      <c r="D21" s="61">
        <f t="shared" ref="D21:F21" ca="1" si="2">SUM(D14:D16)</f>
        <v>0</v>
      </c>
      <c r="E21" s="62">
        <f t="shared" ca="1" si="2"/>
        <v>0</v>
      </c>
      <c r="F21" s="63">
        <f t="shared" ca="1" si="2"/>
        <v>0</v>
      </c>
      <c r="G21" s="17"/>
      <c r="H21" s="31">
        <v>3</v>
      </c>
      <c r="I21" s="51">
        <f ca="1">COUNTIFS(query!E:E,"Invite",query!C:C,H21)</f>
        <v>1</v>
      </c>
      <c r="J21" s="58">
        <f ca="1">COUNTIFS(query!E:E,"Invite",query!C:C,H21,query!F:F,"LS")</f>
        <v>0</v>
      </c>
      <c r="K21" s="34">
        <f ca="1">COUNTIFS(query!E:E,"Invite",query!C:C,H21,query!F:F,"DiT")</f>
        <v>0</v>
      </c>
      <c r="L21" s="40">
        <f ca="1">COUNTIFS(query!E:E,"Invite",query!C:C,H21,query!F:F,"DT")</f>
        <v>0</v>
      </c>
      <c r="N21" s="23" t="s">
        <v>26</v>
      </c>
      <c r="O21" s="59">
        <v>345</v>
      </c>
      <c r="P21" s="61">
        <v>97</v>
      </c>
      <c r="Q21" s="62">
        <v>148</v>
      </c>
      <c r="R21" s="63">
        <v>100</v>
      </c>
      <c r="S21" s="17"/>
    </row>
    <row r="22" spans="1:29">
      <c r="A22" s="1"/>
      <c r="B22" s="572" t="s">
        <v>27</v>
      </c>
      <c r="C22" s="573"/>
      <c r="D22" s="573"/>
      <c r="E22" s="573"/>
      <c r="F22" s="573"/>
      <c r="G22" s="573"/>
      <c r="H22" s="573"/>
      <c r="I22" s="573"/>
      <c r="J22" s="573"/>
      <c r="K22" s="573"/>
      <c r="L22" s="573"/>
      <c r="N22" s="6" t="s">
        <v>28</v>
      </c>
      <c r="O22" s="6"/>
      <c r="P22" s="6"/>
      <c r="Q22" s="6"/>
      <c r="R22" s="6"/>
      <c r="S22" s="6"/>
      <c r="T22" s="6"/>
      <c r="U22" s="6"/>
      <c r="V22" s="6"/>
      <c r="W22" s="6"/>
      <c r="X22" s="6"/>
      <c r="Y22" s="6"/>
      <c r="Z22" s="6"/>
      <c r="AA22" s="6"/>
      <c r="AB22" s="6"/>
      <c r="AC22" s="6"/>
    </row>
    <row r="23" spans="1:29">
      <c r="A23" s="1"/>
      <c r="B23" s="65">
        <v>44796</v>
      </c>
      <c r="C23" s="18" t="s">
        <v>13</v>
      </c>
      <c r="D23" s="19">
        <v>1</v>
      </c>
      <c r="E23" s="20" t="s">
        <v>7</v>
      </c>
      <c r="F23" s="19">
        <v>2</v>
      </c>
      <c r="G23" s="20" t="s">
        <v>8</v>
      </c>
      <c r="H23" s="19">
        <v>3</v>
      </c>
      <c r="I23" s="20" t="s">
        <v>9</v>
      </c>
      <c r="J23" s="19">
        <v>4</v>
      </c>
      <c r="K23" s="20" t="s">
        <v>10</v>
      </c>
      <c r="L23" s="21">
        <v>5</v>
      </c>
      <c r="N23" s="6"/>
      <c r="O23" s="6"/>
      <c r="P23" s="6"/>
      <c r="Q23" s="6"/>
      <c r="R23" s="6"/>
      <c r="S23" s="6"/>
      <c r="T23" s="6"/>
      <c r="U23" s="6"/>
      <c r="V23" s="6"/>
      <c r="W23" s="6"/>
      <c r="X23" s="6"/>
      <c r="Y23" s="6"/>
      <c r="Z23" s="6"/>
      <c r="AA23" s="6"/>
      <c r="AB23" s="6"/>
      <c r="AC23" s="6"/>
    </row>
    <row r="24" spans="1:29">
      <c r="A24" s="1"/>
      <c r="B24" s="23" t="s">
        <v>2</v>
      </c>
      <c r="C24" s="24">
        <f ca="1">COUNTIF(query!A$2:A990,$B23)</f>
        <v>250</v>
      </c>
      <c r="D24" s="25">
        <f ca="1">COUNTIFS(query!$C:$C,D$23,query!$A:$A,$B23)</f>
        <v>19</v>
      </c>
      <c r="E24" s="26">
        <f ca="1">COUNTIFS(query!$C:$C,E$23,query!$C:$C,"&gt;"&amp;D$23,query!$A:$A,$B23)</f>
        <v>25</v>
      </c>
      <c r="F24" s="26">
        <f ca="1">COUNTIFS(query!$C:$C,F$23,query!$A:$A,$B$23)</f>
        <v>27</v>
      </c>
      <c r="G24" s="26">
        <f ca="1">COUNTIFS(query!$C:$C,G$23,query!$C:$C,"&gt;"&amp;F$23,query!$A:$A,$B$23)</f>
        <v>54</v>
      </c>
      <c r="H24" s="26">
        <f ca="1">COUNTIFS(query!$C:$C,H$23,query!$A:$A,$B$23)</f>
        <v>36</v>
      </c>
      <c r="I24" s="26">
        <f ca="1">COUNTIFS(query!$C:$C,I$23,query!$C:$C,"&gt;"&amp;H$23,query!$A:$A,$B$23)</f>
        <v>75</v>
      </c>
      <c r="J24" s="26">
        <f ca="1">COUNTIFS(query!$C:$C,J$23,query!$A:$A,$B$23)</f>
        <v>34</v>
      </c>
      <c r="K24" s="26">
        <f ca="1">COUNTIFS(query!$C:$C,K$23,query!$C:$C,"&gt;"&amp;J$23,query!$A:$A,$B$23)</f>
        <v>25</v>
      </c>
      <c r="L24" s="30">
        <f ca="1">COUNTIFS(query!$C:$C,L$23,query!$A:$A,$B$23)</f>
        <v>0</v>
      </c>
      <c r="N24" s="2" t="s">
        <v>12</v>
      </c>
      <c r="O24" s="48" t="s">
        <v>13</v>
      </c>
      <c r="P24" s="18" t="s">
        <v>14</v>
      </c>
      <c r="Q24" s="49" t="s">
        <v>15</v>
      </c>
      <c r="R24" s="50" t="s">
        <v>16</v>
      </c>
      <c r="S24" s="17"/>
      <c r="T24" s="569" t="s">
        <v>17</v>
      </c>
      <c r="U24" s="570"/>
      <c r="V24" s="570"/>
      <c r="W24" s="570"/>
      <c r="X24" s="571"/>
      <c r="Y24" s="6"/>
      <c r="Z24" s="6"/>
      <c r="AA24" s="6"/>
      <c r="AB24" s="6"/>
      <c r="AC24" s="6"/>
    </row>
    <row r="25" spans="1:29">
      <c r="A25" s="1"/>
      <c r="B25" s="31" t="s">
        <v>3</v>
      </c>
      <c r="C25" s="36">
        <f ca="1">COUNTIFS(query!D:D,B25,query!A:A,$B23)</f>
        <v>52</v>
      </c>
      <c r="D25" s="33">
        <f ca="1">COUNTIFS(query!$C:$C,D$23,query!$A:$A,$B23,query!$D:$D,$B25)</f>
        <v>4</v>
      </c>
      <c r="E25" s="34">
        <f ca="1">COUNTIFS(query!$C:$C,E$23,query!$C:$C,"&gt;"&amp;D$23,query!$A:$A,$B23,query!$D:$D,$B25)</f>
        <v>3</v>
      </c>
      <c r="F25" s="34">
        <f ca="1">COUNTIFS(query!$C:$C,F$23,query!$A:$A,$B$23,query!$D:$D,$B25)</f>
        <v>5</v>
      </c>
      <c r="G25" s="34">
        <f ca="1">COUNTIFS(query!$C:$C,G$23,query!$C:$C,"&gt;"&amp;F$23,query!$A:$A,$B$23,query!$D:$D,$B25)</f>
        <v>7</v>
      </c>
      <c r="H25" s="34">
        <f ca="1">COUNTIFS(query!$C:$C,H$23,query!$A:$A,$B$23,query!$D:$D,$B25)</f>
        <v>5</v>
      </c>
      <c r="I25" s="34">
        <f ca="1">COUNTIFS(query!$C:$C,I$23,query!$C:$C,"&gt;"&amp;H$23,query!$A:$A,$B$23,query!$D:$D,$B25)</f>
        <v>12</v>
      </c>
      <c r="J25" s="34">
        <f ca="1">COUNTIFS(query!$C:$C,J$23,query!$A:$A,$B$23,query!$D:$D,$B25)</f>
        <v>9</v>
      </c>
      <c r="K25" s="34">
        <f ca="1">COUNTIFS(query!$C:$C,K$23,query!$C:$C,"&gt;"&amp;J$23,query!$A:$A,$B$23,query!$D:$D,$B25)</f>
        <v>7</v>
      </c>
      <c r="L25" s="35">
        <f ca="1">COUNTIFS(query!$C:$C,L$23,query!$A:$A,$B$23,query!$D:$D,$B25)</f>
        <v>0</v>
      </c>
      <c r="N25" s="31" t="s">
        <v>18</v>
      </c>
      <c r="O25" s="51">
        <v>182</v>
      </c>
      <c r="P25" s="52">
        <v>58</v>
      </c>
      <c r="Q25" s="34">
        <v>67</v>
      </c>
      <c r="R25" s="35">
        <v>57</v>
      </c>
      <c r="S25" s="29"/>
      <c r="T25" s="53">
        <v>260</v>
      </c>
      <c r="U25" s="48" t="s">
        <v>13</v>
      </c>
      <c r="V25" s="18" t="s">
        <v>14</v>
      </c>
      <c r="W25" s="49" t="s">
        <v>15</v>
      </c>
      <c r="X25" s="50" t="s">
        <v>16</v>
      </c>
    </row>
    <row r="26" spans="1:29">
      <c r="A26" s="1"/>
      <c r="B26" s="31" t="s">
        <v>4</v>
      </c>
      <c r="C26" s="41">
        <f ca="1">COUNTIFS(query!D:D,B26,query!A:A,$B23)</f>
        <v>201</v>
      </c>
      <c r="D26" s="38">
        <f ca="1">COUNTIFS(query!$C:$C,D$23,query!$A:$A,$B23,query!$D:$D,$B26)</f>
        <v>15</v>
      </c>
      <c r="E26" s="34">
        <f ca="1">COUNTIFS(query!$C:$C,E$23,query!$C:$C,"&gt;"&amp;D$23,query!$A:$A,$B23,query!$D:$D,$B26)</f>
        <v>20</v>
      </c>
      <c r="F26" s="39">
        <f ca="1">COUNTIFS(query!$C:$C,F$23,query!$A:$A,$B$23,query!$D:$D,$B26)</f>
        <v>22</v>
      </c>
      <c r="G26" s="34">
        <f ca="1">COUNTIFS(query!$C:$C,G$23,query!$C:$C,"&gt;"&amp;F$23,query!$A:$A,$B$23,query!$D:$D,$B26)</f>
        <v>41</v>
      </c>
      <c r="H26" s="39">
        <f ca="1">COUNTIFS(query!$C:$C,H$23,query!$A:$A,$B$23,query!$D:$D,$B26)</f>
        <v>23</v>
      </c>
      <c r="I26" s="34">
        <f ca="1">COUNTIFS(query!$C:$C,I$23,query!$C:$C,"&gt;"&amp;H$23,query!$A:$A,$B$23,query!$D:$D,$B26)</f>
        <v>46</v>
      </c>
      <c r="J26" s="39">
        <f ca="1">COUNTIFS(query!$C:$C,J$23,query!$A:$A,$B$23,query!$D:$D,$B26)</f>
        <v>21</v>
      </c>
      <c r="K26" s="34">
        <f ca="1">COUNTIFS(query!$C:$C,K$23,query!$C:$C,"&gt;"&amp;J$23,query!$A:$A,$B$23,query!$D:$D,$B26)</f>
        <v>13</v>
      </c>
      <c r="L26" s="40">
        <f ca="1">COUNTIFS(query!$C:$C,L$23,query!$A:$A,$B$23,query!$D:$D,$B26)</f>
        <v>0</v>
      </c>
      <c r="N26" s="31" t="s">
        <v>19</v>
      </c>
      <c r="O26" s="51">
        <v>18</v>
      </c>
      <c r="P26" s="52">
        <v>1</v>
      </c>
      <c r="Q26" s="34">
        <v>0</v>
      </c>
      <c r="R26" s="35">
        <v>17</v>
      </c>
      <c r="S26" s="17"/>
      <c r="T26" s="31">
        <v>5</v>
      </c>
      <c r="U26" s="51">
        <v>19</v>
      </c>
      <c r="V26" s="52">
        <v>12</v>
      </c>
      <c r="W26" s="34">
        <v>2</v>
      </c>
      <c r="X26" s="35">
        <v>5</v>
      </c>
    </row>
    <row r="27" spans="1:29">
      <c r="A27" s="1"/>
      <c r="B27" s="23" t="s">
        <v>5</v>
      </c>
      <c r="C27" s="46">
        <f ca="1">COUNTIFS(query!D:D,B27,query!A:A,$B23)</f>
        <v>42</v>
      </c>
      <c r="D27" s="43">
        <f ca="1">COUNTIFS(query!$C:$C,D$23,query!$A:$A,$B23,query!$D:$D,$B27)</f>
        <v>0</v>
      </c>
      <c r="E27" s="26">
        <f ca="1">COUNTIFS(query!$C:$C,E$23,query!$C:$C,"&gt;"&amp;D$23,query!$A:$A,$B23,query!$D:$D,$B27)</f>
        <v>2</v>
      </c>
      <c r="F27" s="44">
        <f ca="1">COUNTIFS(query!$C:$C,F$23,query!$A:$A,$B$23,query!$D:$D,$B27)</f>
        <v>0</v>
      </c>
      <c r="G27" s="26">
        <f ca="1">COUNTIFS(query!$C:$C,G$23,query!$C:$C,"&gt;"&amp;F$23,query!$A:$A,$B$23,query!$D:$D,$B27)</f>
        <v>6</v>
      </c>
      <c r="H27" s="44">
        <f ca="1">COUNTIFS(query!$C:$C,H$23,query!$A:$A,$B$23,query!$D:$D,$B27)</f>
        <v>8</v>
      </c>
      <c r="I27" s="26">
        <f ca="1">COUNTIFS(query!$C:$C,I$23,query!$C:$C,"&gt;"&amp;H$23,query!$A:$A,$B$23,query!$D:$D,$B27)</f>
        <v>17</v>
      </c>
      <c r="J27" s="44">
        <f ca="1">COUNTIFS(query!$C:$C,J$23,query!$A:$A,$B$23,query!$D:$D,$B27)</f>
        <v>4</v>
      </c>
      <c r="K27" s="26">
        <f ca="1">COUNTIFS(query!$C:$C,K$23,query!$C:$C,"&gt;"&amp;J$23,query!$A:$A,$B$23,query!$D:$D,$B27)</f>
        <v>5</v>
      </c>
      <c r="L27" s="45">
        <f ca="1">COUNTIFS(query!$C:$C,L$23,query!$A:$A,$B$23,query!$D:$D,$B27)</f>
        <v>0</v>
      </c>
      <c r="N27" s="31" t="s">
        <v>20</v>
      </c>
      <c r="O27" s="51">
        <v>1</v>
      </c>
      <c r="P27" s="52">
        <v>0</v>
      </c>
      <c r="Q27" s="34">
        <v>0</v>
      </c>
      <c r="R27" s="35">
        <v>1</v>
      </c>
      <c r="S27" s="17"/>
      <c r="T27" s="31" t="s">
        <v>10</v>
      </c>
      <c r="U27" s="51">
        <v>104</v>
      </c>
      <c r="V27" s="52">
        <v>35</v>
      </c>
      <c r="W27" s="34">
        <v>37</v>
      </c>
      <c r="X27" s="35">
        <v>21</v>
      </c>
    </row>
    <row r="28" spans="1:29">
      <c r="A28" s="1"/>
      <c r="B28" s="574" t="s">
        <v>29</v>
      </c>
      <c r="C28" s="573"/>
      <c r="D28" s="573"/>
      <c r="E28" s="573"/>
      <c r="F28" s="573"/>
      <c r="G28" s="17"/>
      <c r="H28" s="17"/>
      <c r="I28" s="17"/>
      <c r="J28" s="17"/>
      <c r="K28" s="17"/>
      <c r="L28" s="17"/>
      <c r="N28" s="31" t="s">
        <v>22</v>
      </c>
      <c r="O28" s="54">
        <v>23</v>
      </c>
      <c r="P28" s="55">
        <v>10</v>
      </c>
      <c r="Q28" s="56">
        <v>1</v>
      </c>
      <c r="R28" s="57">
        <v>12</v>
      </c>
      <c r="S28" s="17"/>
      <c r="T28" s="31">
        <v>3</v>
      </c>
      <c r="U28" s="51">
        <v>1</v>
      </c>
      <c r="V28" s="58">
        <v>0</v>
      </c>
      <c r="W28" s="34">
        <v>0</v>
      </c>
      <c r="X28" s="40">
        <v>0</v>
      </c>
    </row>
    <row r="29" spans="1:29">
      <c r="A29" s="1"/>
      <c r="B29" s="66">
        <v>44796</v>
      </c>
      <c r="C29" s="48" t="s">
        <v>13</v>
      </c>
      <c r="D29" s="18" t="s">
        <v>14</v>
      </c>
      <c r="E29" s="49" t="s">
        <v>15</v>
      </c>
      <c r="F29" s="50" t="s">
        <v>16</v>
      </c>
      <c r="G29" s="17"/>
      <c r="H29" s="17"/>
      <c r="I29" s="17"/>
      <c r="J29" s="17"/>
      <c r="K29" s="17"/>
      <c r="L29" s="17"/>
      <c r="N29" s="31" t="s">
        <v>23</v>
      </c>
      <c r="O29" s="54">
        <v>47</v>
      </c>
      <c r="P29" s="55">
        <v>39</v>
      </c>
      <c r="Q29" s="56">
        <v>5</v>
      </c>
      <c r="R29" s="57">
        <v>3</v>
      </c>
      <c r="S29" s="17"/>
      <c r="T29" s="31" t="s">
        <v>9</v>
      </c>
      <c r="U29" s="51">
        <v>23</v>
      </c>
      <c r="V29" s="58">
        <v>2</v>
      </c>
      <c r="W29" s="34">
        <v>10</v>
      </c>
      <c r="X29" s="40">
        <v>10</v>
      </c>
    </row>
    <row r="30" spans="1:29">
      <c r="A30" s="1"/>
      <c r="B30" s="31" t="s">
        <v>18</v>
      </c>
      <c r="C30" s="51">
        <f ca="1">COUNTIFS(query!E:E,B30,query!A:A,$B$29)</f>
        <v>52</v>
      </c>
      <c r="D30" s="52">
        <f ca="1">COUNTIFS(query!$F:$F,D$13,query!$E:$E,$B30,query!$A:$A,$B$29)</f>
        <v>0</v>
      </c>
      <c r="E30" s="34">
        <f ca="1">COUNTIFS(query!$F:$F,E$13,query!$E:$E,$B30,query!$A:$A,$B$29)</f>
        <v>0</v>
      </c>
      <c r="F30" s="35">
        <f ca="1">COUNTIFS(query!$F:$F,F$13,query!$E:$E,$B30,query!$A:$A,$B$29)</f>
        <v>0</v>
      </c>
      <c r="G30" s="17"/>
      <c r="H30" s="17"/>
      <c r="I30" s="17"/>
      <c r="J30" s="17"/>
      <c r="K30" s="17"/>
      <c r="L30" s="17"/>
      <c r="N30" s="31" t="s">
        <v>24</v>
      </c>
      <c r="O30" s="51">
        <v>849</v>
      </c>
      <c r="P30" s="58">
        <v>116</v>
      </c>
      <c r="Q30" s="34">
        <v>560</v>
      </c>
      <c r="R30" s="40">
        <v>173</v>
      </c>
      <c r="S30" s="17"/>
      <c r="T30" s="31">
        <v>4</v>
      </c>
      <c r="U30" s="51">
        <v>113</v>
      </c>
      <c r="V30" s="52">
        <v>9</v>
      </c>
      <c r="W30" s="34">
        <v>18</v>
      </c>
      <c r="X30" s="35">
        <v>21</v>
      </c>
    </row>
    <row r="31" spans="1:29">
      <c r="A31" s="1"/>
      <c r="B31" s="31" t="s">
        <v>19</v>
      </c>
      <c r="C31" s="51">
        <f ca="1">COUNTIFS(query!E:E,B31,query!A:A,$B$29)</f>
        <v>2</v>
      </c>
      <c r="D31" s="52">
        <f ca="1">COUNTIFS(query!$F:$F,D$13,query!$E:$E,$B31,query!$A:$A,$B$29)</f>
        <v>0</v>
      </c>
      <c r="E31" s="34">
        <f ca="1">COUNTIFS(query!$F:$F,E$13,query!$E:$E,$B31,query!$A:$A,$B$29)</f>
        <v>0</v>
      </c>
      <c r="F31" s="35">
        <f ca="1">COUNTIFS(query!$F:$F,F$13,query!$E:$E,$B31,query!$A:$A,$B$29)</f>
        <v>0</v>
      </c>
      <c r="G31" s="17"/>
      <c r="H31" s="17"/>
      <c r="I31" s="17"/>
      <c r="J31" s="17"/>
      <c r="K31" s="17"/>
      <c r="L31" s="17"/>
      <c r="N31" s="23" t="s">
        <v>25</v>
      </c>
      <c r="O31" s="59">
        <v>4</v>
      </c>
      <c r="P31" s="60">
        <v>1</v>
      </c>
      <c r="Q31" s="26">
        <v>1</v>
      </c>
      <c r="R31" s="45">
        <v>2</v>
      </c>
      <c r="S31" s="17"/>
      <c r="T31" s="23" t="s">
        <v>21</v>
      </c>
      <c r="U31" s="59"/>
      <c r="V31" s="60"/>
      <c r="W31" s="26"/>
      <c r="X31" s="45"/>
    </row>
    <row r="32" spans="1:29">
      <c r="A32" s="1"/>
      <c r="B32" s="31" t="s">
        <v>24</v>
      </c>
      <c r="C32" s="51">
        <f ca="1">COUNTIFS(query!E:E,B32,query!A:A,$B$29)</f>
        <v>227</v>
      </c>
      <c r="D32" s="58">
        <f ca="1">COUNTIFS(query!$F:$F,D$13,query!$E:$E,$B32,query!$A:$A,$B$29)</f>
        <v>0</v>
      </c>
      <c r="E32" s="34">
        <f ca="1">COUNTIFS(query!$F:$F,E$13,query!$E:$E,$B32,query!$A:$A,$B$29)</f>
        <v>0</v>
      </c>
      <c r="F32" s="40">
        <f ca="1">COUNTIFS(query!$F:$F,F$13,query!$E:$E,$B32,query!$A:$A,$B$29)</f>
        <v>0</v>
      </c>
      <c r="G32" s="17"/>
      <c r="H32" s="17"/>
      <c r="I32" s="17"/>
      <c r="J32" s="17"/>
      <c r="K32" s="17"/>
      <c r="L32" s="17"/>
    </row>
    <row r="33" spans="1:25">
      <c r="A33" s="1"/>
      <c r="B33" s="1"/>
      <c r="C33" s="17"/>
      <c r="D33" s="17"/>
      <c r="E33" s="17"/>
      <c r="F33" s="17"/>
      <c r="G33" s="17"/>
      <c r="H33" s="17"/>
      <c r="I33" s="17"/>
      <c r="J33" s="17"/>
      <c r="K33" s="17"/>
      <c r="L33" s="17"/>
      <c r="N33" s="2" t="s">
        <v>30</v>
      </c>
      <c r="O33" s="18"/>
      <c r="P33" s="20" t="s">
        <v>11</v>
      </c>
      <c r="Q33" s="19">
        <v>1</v>
      </c>
      <c r="R33" s="20" t="s">
        <v>7</v>
      </c>
      <c r="S33" s="19">
        <v>2</v>
      </c>
      <c r="T33" s="20" t="s">
        <v>8</v>
      </c>
      <c r="U33" s="19">
        <v>3</v>
      </c>
      <c r="V33" s="20" t="s">
        <v>9</v>
      </c>
      <c r="W33" s="19">
        <v>4</v>
      </c>
      <c r="X33" s="20" t="s">
        <v>10</v>
      </c>
      <c r="Y33" s="21">
        <v>5</v>
      </c>
    </row>
    <row r="34" spans="1:25">
      <c r="A34" s="1"/>
      <c r="B34" s="1"/>
      <c r="C34" s="17"/>
      <c r="D34" s="17"/>
      <c r="E34" s="17"/>
      <c r="F34" s="17"/>
      <c r="G34" s="17"/>
      <c r="H34" s="17"/>
      <c r="I34" s="17"/>
      <c r="J34" s="17"/>
      <c r="K34" s="17"/>
      <c r="L34" s="17"/>
      <c r="N34" s="3" t="s">
        <v>2</v>
      </c>
      <c r="O34" s="24">
        <f t="shared" ref="O34:O37" si="3">SUM(P34:Y34)</f>
        <v>1122</v>
      </c>
      <c r="P34" s="25">
        <v>2</v>
      </c>
      <c r="Q34" s="25">
        <v>44</v>
      </c>
      <c r="R34" s="26">
        <v>76</v>
      </c>
      <c r="S34" s="26">
        <v>118</v>
      </c>
      <c r="T34" s="26">
        <v>211</v>
      </c>
      <c r="U34" s="26">
        <v>120</v>
      </c>
      <c r="V34" s="26">
        <v>288</v>
      </c>
      <c r="W34" s="26">
        <v>138</v>
      </c>
      <c r="X34" s="26">
        <v>106</v>
      </c>
      <c r="Y34" s="30">
        <v>19</v>
      </c>
    </row>
    <row r="35" spans="1:25">
      <c r="A35" s="1"/>
      <c r="B35" s="1"/>
      <c r="C35" s="17"/>
      <c r="D35" s="17"/>
      <c r="E35" s="17"/>
      <c r="F35" s="17"/>
      <c r="G35" s="17"/>
      <c r="H35" s="17"/>
      <c r="I35" s="17"/>
      <c r="J35" s="17"/>
      <c r="K35" s="17"/>
      <c r="L35" s="17"/>
      <c r="N35" s="7" t="s">
        <v>3</v>
      </c>
      <c r="O35" s="36">
        <f t="shared" si="3"/>
        <v>227</v>
      </c>
      <c r="P35" s="33">
        <v>2</v>
      </c>
      <c r="Q35" s="33">
        <v>17</v>
      </c>
      <c r="R35" s="34">
        <v>14</v>
      </c>
      <c r="S35" s="34">
        <v>24</v>
      </c>
      <c r="T35" s="34">
        <v>25</v>
      </c>
      <c r="U35" s="34">
        <v>16</v>
      </c>
      <c r="V35" s="34">
        <v>46</v>
      </c>
      <c r="W35" s="34">
        <v>34</v>
      </c>
      <c r="X35" s="34">
        <v>37</v>
      </c>
      <c r="Y35" s="35">
        <v>12</v>
      </c>
    </row>
    <row r="36" spans="1:25">
      <c r="A36" s="1"/>
      <c r="B36" s="1"/>
      <c r="C36" s="17"/>
      <c r="D36" s="17"/>
      <c r="E36" s="17"/>
      <c r="F36" s="17"/>
      <c r="G36" s="17"/>
      <c r="H36" s="17"/>
      <c r="I36" s="17"/>
      <c r="J36" s="17"/>
      <c r="K36" s="17"/>
      <c r="L36" s="17"/>
      <c r="N36" s="7" t="s">
        <v>4</v>
      </c>
      <c r="O36" s="41">
        <f t="shared" si="3"/>
        <v>637</v>
      </c>
      <c r="P36" s="33"/>
      <c r="Q36" s="38">
        <v>26</v>
      </c>
      <c r="R36" s="34">
        <v>54</v>
      </c>
      <c r="S36" s="39">
        <v>85</v>
      </c>
      <c r="T36" s="34">
        <v>132</v>
      </c>
      <c r="U36" s="39">
        <v>62</v>
      </c>
      <c r="V36" s="34">
        <v>160</v>
      </c>
      <c r="W36" s="39">
        <v>71</v>
      </c>
      <c r="X36" s="34">
        <v>45</v>
      </c>
      <c r="Y36" s="40">
        <v>2</v>
      </c>
    </row>
    <row r="37" spans="1:25">
      <c r="A37" s="1"/>
      <c r="B37" s="1"/>
      <c r="C37" s="17"/>
      <c r="D37" s="17"/>
      <c r="E37" s="17"/>
      <c r="F37" s="17"/>
      <c r="G37" s="17"/>
      <c r="H37" s="17"/>
      <c r="I37" s="17"/>
      <c r="J37" s="17"/>
      <c r="K37" s="17"/>
      <c r="L37" s="17"/>
      <c r="N37" s="3" t="s">
        <v>5</v>
      </c>
      <c r="O37" s="46">
        <f t="shared" si="3"/>
        <v>258</v>
      </c>
      <c r="P37" s="43"/>
      <c r="Q37" s="43">
        <v>1</v>
      </c>
      <c r="R37" s="26">
        <v>8</v>
      </c>
      <c r="S37" s="44">
        <v>9</v>
      </c>
      <c r="T37" s="26">
        <v>54</v>
      </c>
      <c r="U37" s="44">
        <v>42</v>
      </c>
      <c r="V37" s="26">
        <v>82</v>
      </c>
      <c r="W37" s="44">
        <v>33</v>
      </c>
      <c r="X37" s="26">
        <v>24</v>
      </c>
      <c r="Y37" s="45">
        <v>5</v>
      </c>
    </row>
    <row r="38" spans="1:25">
      <c r="A38" s="1"/>
      <c r="B38" s="1"/>
      <c r="C38" s="17"/>
      <c r="D38" s="17"/>
      <c r="E38" s="17"/>
      <c r="F38" s="17"/>
      <c r="G38" s="17"/>
      <c r="H38" s="17"/>
      <c r="I38" s="17"/>
      <c r="J38" s="17"/>
      <c r="K38" s="17"/>
      <c r="L38" s="17"/>
      <c r="N38" s="67"/>
      <c r="O38" s="68"/>
      <c r="P38" s="68"/>
      <c r="Q38" s="68"/>
      <c r="R38" s="68"/>
      <c r="T38" s="69"/>
      <c r="U38" s="69"/>
      <c r="V38" s="69"/>
      <c r="W38" s="69"/>
      <c r="X38" s="69"/>
    </row>
    <row r="39" spans="1:25">
      <c r="A39" s="1"/>
      <c r="B39" s="1"/>
      <c r="C39" s="17"/>
      <c r="D39" s="17"/>
      <c r="E39" s="17"/>
      <c r="F39" s="17"/>
      <c r="G39" s="17"/>
      <c r="H39" s="17"/>
      <c r="I39" s="17"/>
      <c r="J39" s="17"/>
      <c r="K39" s="17"/>
      <c r="L39" s="17"/>
      <c r="N39" s="2" t="s">
        <v>31</v>
      </c>
      <c r="O39" s="70" t="s">
        <v>13</v>
      </c>
      <c r="P39" s="71" t="s">
        <v>14</v>
      </c>
      <c r="Q39" s="71" t="s">
        <v>15</v>
      </c>
      <c r="R39" s="72" t="s">
        <v>16</v>
      </c>
      <c r="T39" s="575" t="s">
        <v>32</v>
      </c>
      <c r="U39" s="570"/>
      <c r="V39" s="570"/>
      <c r="W39" s="570"/>
      <c r="X39" s="571"/>
    </row>
    <row r="40" spans="1:25">
      <c r="A40" s="1"/>
      <c r="B40" s="1" t="s">
        <v>33</v>
      </c>
      <c r="C40" s="17"/>
      <c r="D40" s="17"/>
      <c r="E40" s="17"/>
      <c r="F40" s="17"/>
      <c r="G40" s="17"/>
      <c r="H40" s="17"/>
      <c r="I40" s="17"/>
      <c r="J40" s="17"/>
      <c r="K40" s="17"/>
      <c r="L40" s="17"/>
      <c r="N40" s="31" t="s">
        <v>18</v>
      </c>
      <c r="O40" s="35">
        <v>184</v>
      </c>
      <c r="P40" s="34">
        <v>58</v>
      </c>
      <c r="Q40" s="52">
        <v>70</v>
      </c>
      <c r="R40" s="51">
        <v>56</v>
      </c>
      <c r="T40" s="53"/>
      <c r="U40" s="48" t="s">
        <v>13</v>
      </c>
      <c r="V40" s="18" t="s">
        <v>14</v>
      </c>
      <c r="W40" s="49" t="s">
        <v>15</v>
      </c>
      <c r="X40" s="50" t="s">
        <v>16</v>
      </c>
    </row>
    <row r="41" spans="1:25">
      <c r="A41" s="1"/>
      <c r="B41" s="73" t="s">
        <v>34</v>
      </c>
      <c r="C41" s="17"/>
      <c r="D41" s="17"/>
      <c r="E41" s="17"/>
      <c r="F41" s="17"/>
      <c r="G41" s="17"/>
      <c r="H41" s="17"/>
      <c r="I41" s="17"/>
      <c r="J41" s="17"/>
      <c r="K41" s="17"/>
      <c r="L41" s="17"/>
      <c r="N41" s="31" t="s">
        <v>24</v>
      </c>
      <c r="O41" s="35">
        <v>838</v>
      </c>
      <c r="P41" s="34">
        <v>117</v>
      </c>
      <c r="Q41" s="52">
        <v>549</v>
      </c>
      <c r="R41" s="51">
        <v>172</v>
      </c>
      <c r="T41" s="31">
        <v>5</v>
      </c>
      <c r="U41" s="51">
        <v>19</v>
      </c>
      <c r="V41" s="52">
        <v>12</v>
      </c>
      <c r="W41" s="34">
        <v>2</v>
      </c>
      <c r="X41" s="35">
        <v>5</v>
      </c>
    </row>
    <row r="42" spans="1:25">
      <c r="A42" s="1"/>
      <c r="B42" s="1"/>
      <c r="C42" s="17"/>
      <c r="D42" s="17"/>
      <c r="E42" s="17"/>
      <c r="F42" s="17"/>
      <c r="G42" s="17"/>
      <c r="H42" s="17"/>
      <c r="I42" s="17"/>
      <c r="J42" s="17"/>
      <c r="K42" s="17"/>
      <c r="L42" s="17"/>
      <c r="N42" s="31" t="s">
        <v>25</v>
      </c>
      <c r="O42" s="35">
        <v>3</v>
      </c>
      <c r="P42" s="34">
        <v>1</v>
      </c>
      <c r="Q42" s="52"/>
      <c r="R42" s="51">
        <v>2</v>
      </c>
      <c r="T42" s="31" t="s">
        <v>10</v>
      </c>
      <c r="U42" s="51">
        <v>94</v>
      </c>
      <c r="V42" s="52">
        <v>35</v>
      </c>
      <c r="W42" s="34">
        <v>38</v>
      </c>
      <c r="X42" s="35">
        <v>21</v>
      </c>
    </row>
    <row r="43" spans="1:25">
      <c r="A43" s="1"/>
      <c r="B43" s="66">
        <v>44776</v>
      </c>
      <c r="C43" s="18" t="s">
        <v>13</v>
      </c>
      <c r="D43" s="19">
        <v>1</v>
      </c>
      <c r="E43" s="20" t="s">
        <v>7</v>
      </c>
      <c r="F43" s="19">
        <v>2</v>
      </c>
      <c r="G43" s="20" t="s">
        <v>8</v>
      </c>
      <c r="H43" s="19">
        <v>3</v>
      </c>
      <c r="I43" s="20" t="s">
        <v>9</v>
      </c>
      <c r="J43" s="19">
        <v>4</v>
      </c>
      <c r="K43" s="20" t="s">
        <v>10</v>
      </c>
      <c r="L43" s="21">
        <v>5</v>
      </c>
      <c r="N43" s="31" t="s">
        <v>19</v>
      </c>
      <c r="O43" s="57">
        <v>14</v>
      </c>
      <c r="P43" s="56">
        <v>1</v>
      </c>
      <c r="Q43" s="55">
        <v>5</v>
      </c>
      <c r="R43" s="54">
        <v>8</v>
      </c>
      <c r="T43" s="31">
        <v>4</v>
      </c>
      <c r="U43" s="51">
        <v>48</v>
      </c>
      <c r="V43" s="58">
        <v>9</v>
      </c>
      <c r="W43" s="34">
        <v>19</v>
      </c>
      <c r="X43" s="40">
        <v>20</v>
      </c>
    </row>
    <row r="44" spans="1:25">
      <c r="A44" s="1"/>
      <c r="B44" s="23" t="s">
        <v>2</v>
      </c>
      <c r="C44" s="24">
        <v>74</v>
      </c>
      <c r="D44" s="25">
        <v>4</v>
      </c>
      <c r="E44" s="26">
        <v>8</v>
      </c>
      <c r="F44" s="26">
        <v>6</v>
      </c>
      <c r="G44" s="26">
        <v>13</v>
      </c>
      <c r="H44" s="26">
        <v>8</v>
      </c>
      <c r="I44" s="26">
        <v>11</v>
      </c>
      <c r="J44" s="26">
        <v>15</v>
      </c>
      <c r="K44" s="26">
        <v>5</v>
      </c>
      <c r="L44" s="30">
        <v>4</v>
      </c>
      <c r="N44" s="31" t="s">
        <v>20</v>
      </c>
      <c r="O44" s="57">
        <v>14</v>
      </c>
      <c r="P44" s="56">
        <v>1</v>
      </c>
      <c r="Q44" s="55">
        <v>8</v>
      </c>
      <c r="R44" s="54">
        <v>5</v>
      </c>
      <c r="T44" s="31" t="s">
        <v>9</v>
      </c>
      <c r="U44" s="51">
        <v>23</v>
      </c>
      <c r="V44" s="58">
        <v>2</v>
      </c>
      <c r="W44" s="34">
        <v>11</v>
      </c>
      <c r="X44" s="40">
        <v>10</v>
      </c>
    </row>
    <row r="45" spans="1:25">
      <c r="A45" s="1"/>
      <c r="B45" s="31" t="s">
        <v>3</v>
      </c>
      <c r="C45" s="36">
        <v>20</v>
      </c>
      <c r="D45" s="33">
        <v>3</v>
      </c>
      <c r="E45" s="34">
        <v>3</v>
      </c>
      <c r="F45" s="34">
        <v>1</v>
      </c>
      <c r="G45" s="34">
        <v>2</v>
      </c>
      <c r="H45" s="34">
        <v>1</v>
      </c>
      <c r="I45" s="34">
        <v>0</v>
      </c>
      <c r="J45" s="34">
        <v>7</v>
      </c>
      <c r="K45" s="34">
        <v>1</v>
      </c>
      <c r="L45" s="35">
        <v>2</v>
      </c>
      <c r="N45" s="31" t="s">
        <v>23</v>
      </c>
      <c r="O45" s="40">
        <v>47</v>
      </c>
      <c r="P45" s="34">
        <v>39</v>
      </c>
      <c r="Q45" s="58">
        <v>5</v>
      </c>
      <c r="R45" s="51">
        <v>3</v>
      </c>
      <c r="T45" s="31" t="s">
        <v>21</v>
      </c>
      <c r="U45" s="54"/>
      <c r="V45" s="74"/>
      <c r="W45" s="56"/>
      <c r="X45" s="75"/>
    </row>
    <row r="46" spans="1:25">
      <c r="A46" s="1"/>
      <c r="B46" s="31" t="s">
        <v>4</v>
      </c>
      <c r="C46" s="41">
        <v>20</v>
      </c>
      <c r="D46" s="38">
        <v>0</v>
      </c>
      <c r="E46" s="34">
        <v>2</v>
      </c>
      <c r="F46" s="39">
        <v>3</v>
      </c>
      <c r="G46" s="34">
        <v>4</v>
      </c>
      <c r="H46" s="39">
        <v>3</v>
      </c>
      <c r="I46" s="34">
        <v>3</v>
      </c>
      <c r="J46" s="39">
        <v>2</v>
      </c>
      <c r="K46" s="34">
        <v>3</v>
      </c>
      <c r="L46" s="40">
        <v>0</v>
      </c>
      <c r="N46" s="23" t="s">
        <v>35</v>
      </c>
      <c r="O46" s="45">
        <v>22</v>
      </c>
      <c r="P46" s="26">
        <v>10</v>
      </c>
      <c r="Q46" s="60"/>
      <c r="R46" s="59">
        <v>12</v>
      </c>
      <c r="T46" s="76" t="s">
        <v>2</v>
      </c>
      <c r="U46" s="77">
        <f t="shared" ref="U46:X46" si="4">SUM(U41:U45)</f>
        <v>184</v>
      </c>
      <c r="V46" s="78">
        <f t="shared" si="4"/>
        <v>58</v>
      </c>
      <c r="W46" s="79">
        <f t="shared" si="4"/>
        <v>70</v>
      </c>
      <c r="X46" s="80">
        <f t="shared" si="4"/>
        <v>56</v>
      </c>
    </row>
    <row r="47" spans="1:25">
      <c r="A47" s="1"/>
      <c r="B47" s="23" t="s">
        <v>5</v>
      </c>
      <c r="C47" s="46">
        <v>34</v>
      </c>
      <c r="D47" s="43">
        <v>1</v>
      </c>
      <c r="E47" s="26">
        <v>3</v>
      </c>
      <c r="F47" s="44">
        <v>2</v>
      </c>
      <c r="G47" s="26">
        <v>7</v>
      </c>
      <c r="H47" s="44">
        <v>4</v>
      </c>
      <c r="I47" s="26">
        <v>8</v>
      </c>
      <c r="J47" s="44">
        <v>6</v>
      </c>
      <c r="K47" s="26">
        <v>1</v>
      </c>
      <c r="L47" s="45">
        <v>2</v>
      </c>
      <c r="N47" s="23" t="s">
        <v>36</v>
      </c>
      <c r="O47" s="45">
        <v>1122</v>
      </c>
      <c r="P47" s="26">
        <v>227</v>
      </c>
      <c r="Q47" s="60">
        <v>637</v>
      </c>
      <c r="R47" s="59">
        <v>258</v>
      </c>
    </row>
    <row r="48" spans="1:25">
      <c r="A48" s="1"/>
      <c r="B48" s="66">
        <v>44776</v>
      </c>
      <c r="C48" s="48" t="s">
        <v>13</v>
      </c>
      <c r="D48" s="18" t="s">
        <v>14</v>
      </c>
      <c r="E48" s="49" t="s">
        <v>15</v>
      </c>
      <c r="F48" s="50" t="s">
        <v>16</v>
      </c>
      <c r="G48" s="17"/>
      <c r="H48" s="17"/>
      <c r="I48" s="17"/>
      <c r="J48" s="17"/>
      <c r="K48" s="17"/>
      <c r="L48" s="17"/>
    </row>
    <row r="49" spans="1:12">
      <c r="A49" s="1"/>
      <c r="B49" s="31" t="s">
        <v>18</v>
      </c>
      <c r="C49" s="51">
        <v>23</v>
      </c>
      <c r="D49" s="52">
        <v>10</v>
      </c>
      <c r="E49" s="34">
        <v>4</v>
      </c>
      <c r="F49" s="35">
        <v>9</v>
      </c>
      <c r="G49" s="17"/>
      <c r="H49" s="17"/>
      <c r="I49" s="17"/>
      <c r="J49" s="17"/>
      <c r="K49" s="17"/>
      <c r="L49" s="17"/>
    </row>
    <row r="50" spans="1:12">
      <c r="A50" s="1"/>
      <c r="B50" s="31" t="s">
        <v>19</v>
      </c>
      <c r="C50" s="51">
        <v>4</v>
      </c>
      <c r="D50" s="52">
        <v>0</v>
      </c>
      <c r="E50" s="34">
        <v>1</v>
      </c>
      <c r="F50" s="35">
        <v>3</v>
      </c>
      <c r="G50" s="17"/>
      <c r="H50" s="17"/>
      <c r="I50" s="17"/>
      <c r="J50" s="17"/>
      <c r="K50" s="17"/>
      <c r="L50" s="17"/>
    </row>
    <row r="51" spans="1:12">
      <c r="A51" s="1"/>
      <c r="B51" s="31" t="s">
        <v>20</v>
      </c>
      <c r="C51" s="51">
        <v>8</v>
      </c>
      <c r="D51" s="52">
        <v>0</v>
      </c>
      <c r="E51" s="34">
        <v>1</v>
      </c>
      <c r="F51" s="35">
        <v>7</v>
      </c>
      <c r="G51" s="17"/>
      <c r="H51" s="17"/>
      <c r="I51" s="17"/>
      <c r="J51" s="17"/>
      <c r="K51" s="17"/>
      <c r="L51" s="17"/>
    </row>
    <row r="52" spans="1:12">
      <c r="A52" s="1"/>
      <c r="B52" s="31" t="s">
        <v>24</v>
      </c>
      <c r="C52" s="51">
        <v>38</v>
      </c>
      <c r="D52" s="58">
        <v>9</v>
      </c>
      <c r="E52" s="34">
        <v>14</v>
      </c>
      <c r="F52" s="40">
        <v>15</v>
      </c>
      <c r="G52" s="17"/>
      <c r="H52" s="17"/>
      <c r="I52" s="17"/>
      <c r="J52" s="17"/>
      <c r="K52" s="17"/>
      <c r="L52" s="17"/>
    </row>
    <row r="53" spans="1:12">
      <c r="A53" s="1"/>
      <c r="B53" s="23" t="s">
        <v>25</v>
      </c>
      <c r="C53" s="59">
        <v>1</v>
      </c>
      <c r="D53" s="60">
        <v>1</v>
      </c>
      <c r="E53" s="26">
        <v>0</v>
      </c>
      <c r="F53" s="45">
        <v>0</v>
      </c>
      <c r="G53" s="17"/>
      <c r="H53" s="17"/>
      <c r="I53" s="17"/>
      <c r="J53" s="17"/>
      <c r="K53" s="17"/>
      <c r="L53" s="17"/>
    </row>
    <row r="54" spans="1:12">
      <c r="A54" s="1"/>
      <c r="G54" s="17"/>
      <c r="H54" s="17"/>
      <c r="I54" s="17"/>
      <c r="J54" s="17"/>
      <c r="K54" s="17"/>
      <c r="L54" s="17"/>
    </row>
    <row r="55" spans="1:12">
      <c r="A55" s="1"/>
      <c r="B55" s="66">
        <v>44782</v>
      </c>
      <c r="C55" s="18" t="s">
        <v>13</v>
      </c>
      <c r="D55" s="19">
        <v>1</v>
      </c>
      <c r="E55" s="20" t="s">
        <v>7</v>
      </c>
      <c r="F55" s="19">
        <v>2</v>
      </c>
      <c r="G55" s="20" t="s">
        <v>8</v>
      </c>
      <c r="H55" s="19">
        <v>3</v>
      </c>
      <c r="I55" s="20" t="s">
        <v>9</v>
      </c>
      <c r="J55" s="19">
        <v>4</v>
      </c>
      <c r="K55" s="20" t="s">
        <v>10</v>
      </c>
      <c r="L55" s="21">
        <v>5</v>
      </c>
    </row>
    <row r="56" spans="1:12">
      <c r="A56" s="1"/>
      <c r="B56" s="23" t="s">
        <v>2</v>
      </c>
      <c r="C56" s="24">
        <v>120</v>
      </c>
      <c r="D56" s="25">
        <v>4</v>
      </c>
      <c r="E56" s="26">
        <v>4</v>
      </c>
      <c r="F56" s="26">
        <v>7</v>
      </c>
      <c r="G56" s="26">
        <v>23</v>
      </c>
      <c r="H56" s="26">
        <v>11</v>
      </c>
      <c r="I56" s="26">
        <v>38</v>
      </c>
      <c r="J56" s="26">
        <v>13</v>
      </c>
      <c r="K56" s="26">
        <v>15</v>
      </c>
      <c r="L56" s="30">
        <v>5</v>
      </c>
    </row>
    <row r="57" spans="1:12">
      <c r="A57" s="1"/>
      <c r="B57" s="31" t="s">
        <v>3</v>
      </c>
      <c r="C57" s="36">
        <v>34</v>
      </c>
      <c r="D57" s="33">
        <v>3</v>
      </c>
      <c r="E57" s="34">
        <v>0</v>
      </c>
      <c r="F57" s="34">
        <v>1</v>
      </c>
      <c r="G57" s="34">
        <v>3</v>
      </c>
      <c r="H57" s="34">
        <v>5</v>
      </c>
      <c r="I57" s="34">
        <v>7</v>
      </c>
      <c r="J57" s="34">
        <v>2</v>
      </c>
      <c r="K57" s="34">
        <v>9</v>
      </c>
      <c r="L57" s="35">
        <v>4</v>
      </c>
    </row>
    <row r="58" spans="1:12">
      <c r="A58" s="1"/>
      <c r="B58" s="31" t="s">
        <v>4</v>
      </c>
      <c r="C58" s="41">
        <v>40</v>
      </c>
      <c r="D58" s="38">
        <v>1</v>
      </c>
      <c r="E58" s="34">
        <v>3</v>
      </c>
      <c r="F58" s="39">
        <v>6</v>
      </c>
      <c r="G58" s="34">
        <v>10</v>
      </c>
      <c r="H58" s="39">
        <v>3</v>
      </c>
      <c r="I58" s="34">
        <v>11</v>
      </c>
      <c r="J58" s="39">
        <v>5</v>
      </c>
      <c r="K58" s="34">
        <v>1</v>
      </c>
      <c r="L58" s="40">
        <v>0</v>
      </c>
    </row>
    <row r="59" spans="1:12">
      <c r="A59" s="1"/>
      <c r="B59" s="23" t="s">
        <v>5</v>
      </c>
      <c r="C59" s="46">
        <v>46</v>
      </c>
      <c r="D59" s="43">
        <v>0</v>
      </c>
      <c r="E59" s="26">
        <v>1</v>
      </c>
      <c r="F59" s="44">
        <v>0</v>
      </c>
      <c r="G59" s="26">
        <v>10</v>
      </c>
      <c r="H59" s="44">
        <v>3</v>
      </c>
      <c r="I59" s="26">
        <v>20</v>
      </c>
      <c r="J59" s="44">
        <v>6</v>
      </c>
      <c r="K59" s="26">
        <v>5</v>
      </c>
      <c r="L59" s="45">
        <v>1</v>
      </c>
    </row>
    <row r="60" spans="1:12">
      <c r="A60" s="1"/>
      <c r="B60" s="66">
        <v>44782</v>
      </c>
      <c r="C60" s="48" t="s">
        <v>13</v>
      </c>
      <c r="D60" s="18" t="s">
        <v>14</v>
      </c>
      <c r="E60" s="49" t="s">
        <v>15</v>
      </c>
      <c r="F60" s="50" t="s">
        <v>16</v>
      </c>
      <c r="G60" s="17"/>
      <c r="H60" s="17"/>
      <c r="I60" s="17"/>
      <c r="J60" s="17"/>
      <c r="K60" s="17"/>
      <c r="L60" s="17"/>
    </row>
    <row r="61" spans="1:12">
      <c r="A61" s="1"/>
      <c r="B61" s="31" t="s">
        <v>18</v>
      </c>
      <c r="C61" s="51">
        <v>38</v>
      </c>
      <c r="D61" s="52">
        <v>14</v>
      </c>
      <c r="E61" s="34">
        <v>9</v>
      </c>
      <c r="F61" s="35">
        <v>15</v>
      </c>
      <c r="G61" s="17"/>
      <c r="H61" s="17"/>
      <c r="I61" s="17"/>
      <c r="J61" s="17"/>
      <c r="K61" s="17"/>
      <c r="L61" s="17"/>
    </row>
    <row r="62" spans="1:12">
      <c r="A62" s="1"/>
      <c r="B62" s="31" t="s">
        <v>19</v>
      </c>
      <c r="C62" s="51">
        <v>9</v>
      </c>
      <c r="D62" s="52">
        <v>3</v>
      </c>
      <c r="E62" s="34">
        <v>0</v>
      </c>
      <c r="F62" s="35">
        <v>6</v>
      </c>
      <c r="G62" s="17"/>
      <c r="H62" s="17"/>
      <c r="I62" s="17"/>
      <c r="J62" s="17"/>
      <c r="K62" s="17"/>
      <c r="L62" s="17"/>
    </row>
    <row r="63" spans="1:12">
      <c r="A63" s="1"/>
      <c r="B63" s="31" t="s">
        <v>20</v>
      </c>
      <c r="C63" s="51">
        <v>11</v>
      </c>
      <c r="D63" s="52">
        <v>4</v>
      </c>
      <c r="E63" s="34">
        <v>2</v>
      </c>
      <c r="F63" s="35">
        <v>5</v>
      </c>
      <c r="G63" s="17"/>
      <c r="H63" s="17"/>
      <c r="I63" s="17"/>
      <c r="J63" s="17"/>
      <c r="K63" s="17"/>
      <c r="L63" s="17"/>
    </row>
    <row r="64" spans="1:12">
      <c r="A64" s="1"/>
      <c r="B64" s="31" t="s">
        <v>24</v>
      </c>
      <c r="C64" s="51">
        <v>59</v>
      </c>
      <c r="D64" s="58">
        <v>11</v>
      </c>
      <c r="E64" s="34">
        <v>28</v>
      </c>
      <c r="F64" s="40">
        <v>20</v>
      </c>
      <c r="G64" s="17"/>
      <c r="H64" s="17"/>
      <c r="I64" s="17"/>
      <c r="J64" s="17"/>
      <c r="K64" s="17"/>
      <c r="L64" s="17"/>
    </row>
    <row r="65" spans="1:12">
      <c r="A65" s="1"/>
      <c r="B65" s="23" t="s">
        <v>25</v>
      </c>
      <c r="C65" s="59">
        <v>0</v>
      </c>
      <c r="D65" s="60">
        <v>0</v>
      </c>
      <c r="E65" s="26">
        <v>0</v>
      </c>
      <c r="F65" s="45">
        <v>0</v>
      </c>
      <c r="G65" s="17"/>
      <c r="H65" s="17"/>
      <c r="I65" s="17"/>
      <c r="J65" s="17"/>
      <c r="K65" s="17"/>
      <c r="L65" s="17"/>
    </row>
    <row r="66" spans="1:12">
      <c r="A66" s="1"/>
      <c r="G66" s="17"/>
      <c r="H66" s="17"/>
      <c r="I66" s="17"/>
      <c r="J66" s="17"/>
      <c r="K66" s="17"/>
      <c r="L66" s="17"/>
    </row>
    <row r="67" spans="1:12">
      <c r="A67" s="1"/>
      <c r="B67" s="65">
        <v>44784</v>
      </c>
      <c r="C67" s="18" t="s">
        <v>13</v>
      </c>
      <c r="D67" s="19">
        <v>1</v>
      </c>
      <c r="E67" s="20" t="s">
        <v>7</v>
      </c>
      <c r="F67" s="19">
        <v>2</v>
      </c>
      <c r="G67" s="20" t="s">
        <v>8</v>
      </c>
      <c r="H67" s="19">
        <v>3</v>
      </c>
      <c r="I67" s="20" t="s">
        <v>9</v>
      </c>
      <c r="J67" s="19">
        <v>4</v>
      </c>
      <c r="K67" s="20" t="s">
        <v>10</v>
      </c>
      <c r="L67" s="21">
        <v>5</v>
      </c>
    </row>
    <row r="68" spans="1:12">
      <c r="A68" s="1"/>
      <c r="B68" s="23" t="s">
        <v>2</v>
      </c>
      <c r="C68" s="24">
        <v>153</v>
      </c>
      <c r="D68" s="25">
        <v>6</v>
      </c>
      <c r="E68" s="26">
        <v>10</v>
      </c>
      <c r="F68" s="26">
        <v>24</v>
      </c>
      <c r="G68" s="26">
        <v>33</v>
      </c>
      <c r="H68" s="26">
        <v>12</v>
      </c>
      <c r="I68" s="26">
        <v>36</v>
      </c>
      <c r="J68" s="26">
        <v>14</v>
      </c>
      <c r="K68" s="26">
        <v>13</v>
      </c>
      <c r="L68" s="30">
        <v>4</v>
      </c>
    </row>
    <row r="69" spans="1:12">
      <c r="A69" s="1"/>
      <c r="B69" s="31" t="s">
        <v>3</v>
      </c>
      <c r="C69" s="36">
        <v>25</v>
      </c>
      <c r="D69" s="33">
        <v>3</v>
      </c>
      <c r="E69" s="34">
        <v>3</v>
      </c>
      <c r="F69" s="34">
        <v>5</v>
      </c>
      <c r="G69" s="34">
        <v>5</v>
      </c>
      <c r="H69" s="34">
        <v>0</v>
      </c>
      <c r="I69" s="34">
        <v>3</v>
      </c>
      <c r="J69" s="34">
        <v>2</v>
      </c>
      <c r="K69" s="34">
        <v>0</v>
      </c>
      <c r="L69" s="35">
        <v>3</v>
      </c>
    </row>
    <row r="70" spans="1:12">
      <c r="A70" s="1"/>
      <c r="B70" s="31" t="s">
        <v>4</v>
      </c>
      <c r="C70" s="41">
        <v>87</v>
      </c>
      <c r="D70" s="38">
        <v>3</v>
      </c>
      <c r="E70" s="34">
        <v>6</v>
      </c>
      <c r="F70" s="39">
        <v>17</v>
      </c>
      <c r="G70" s="34">
        <v>20</v>
      </c>
      <c r="H70" s="39">
        <v>6</v>
      </c>
      <c r="I70" s="34">
        <v>20</v>
      </c>
      <c r="J70" s="39">
        <v>7</v>
      </c>
      <c r="K70" s="34">
        <v>8</v>
      </c>
      <c r="L70" s="40">
        <v>0</v>
      </c>
    </row>
    <row r="71" spans="1:12">
      <c r="A71" s="1"/>
      <c r="B71" s="23" t="s">
        <v>5</v>
      </c>
      <c r="C71" s="46">
        <v>40</v>
      </c>
      <c r="D71" s="43">
        <v>0</v>
      </c>
      <c r="E71" s="26">
        <v>1</v>
      </c>
      <c r="F71" s="44">
        <v>2</v>
      </c>
      <c r="G71" s="26">
        <v>8</v>
      </c>
      <c r="H71" s="44">
        <v>6</v>
      </c>
      <c r="I71" s="26">
        <v>13</v>
      </c>
      <c r="J71" s="44">
        <v>4</v>
      </c>
      <c r="K71" s="26">
        <v>5</v>
      </c>
      <c r="L71" s="45">
        <v>1</v>
      </c>
    </row>
    <row r="72" spans="1:12">
      <c r="A72" s="1"/>
      <c r="B72" s="66">
        <v>44784</v>
      </c>
      <c r="C72" s="48" t="s">
        <v>13</v>
      </c>
      <c r="D72" s="18" t="s">
        <v>14</v>
      </c>
      <c r="E72" s="49" t="s">
        <v>15</v>
      </c>
      <c r="F72" s="50" t="s">
        <v>16</v>
      </c>
      <c r="G72" s="17"/>
      <c r="H72" s="17"/>
      <c r="I72" s="17"/>
      <c r="J72" s="17"/>
      <c r="K72" s="17"/>
      <c r="L72" s="17"/>
    </row>
    <row r="73" spans="1:12">
      <c r="A73" s="1"/>
      <c r="B73" s="31" t="s">
        <v>18</v>
      </c>
      <c r="C73" s="51">
        <v>34</v>
      </c>
      <c r="D73" s="52">
        <v>4</v>
      </c>
      <c r="E73" s="34">
        <v>17</v>
      </c>
      <c r="F73" s="35">
        <v>12</v>
      </c>
      <c r="G73" s="17"/>
      <c r="H73" s="17"/>
      <c r="I73" s="17"/>
      <c r="J73" s="17"/>
      <c r="K73" s="17"/>
      <c r="L73" s="17"/>
    </row>
    <row r="74" spans="1:12">
      <c r="A74" s="1"/>
      <c r="B74" s="31" t="s">
        <v>19</v>
      </c>
      <c r="C74" s="51">
        <v>6</v>
      </c>
      <c r="D74" s="52">
        <v>0</v>
      </c>
      <c r="E74" s="34">
        <v>1</v>
      </c>
      <c r="F74" s="35">
        <v>5</v>
      </c>
      <c r="G74" s="17"/>
      <c r="H74" s="17"/>
      <c r="I74" s="17"/>
      <c r="J74" s="17"/>
      <c r="K74" s="17"/>
      <c r="L74" s="17"/>
    </row>
    <row r="75" spans="1:12">
      <c r="A75" s="1"/>
      <c r="B75" s="31" t="s">
        <v>20</v>
      </c>
      <c r="C75" s="51">
        <v>9</v>
      </c>
      <c r="D75" s="52">
        <v>4</v>
      </c>
      <c r="E75" s="34">
        <v>0</v>
      </c>
      <c r="F75" s="35">
        <v>5</v>
      </c>
      <c r="G75" s="17"/>
      <c r="H75" s="17"/>
      <c r="I75" s="17"/>
      <c r="J75" s="17"/>
      <c r="K75" s="17"/>
      <c r="L75" s="17"/>
    </row>
    <row r="76" spans="1:12">
      <c r="A76" s="1"/>
      <c r="B76" s="31" t="s">
        <v>24</v>
      </c>
      <c r="C76" s="51">
        <v>102</v>
      </c>
      <c r="D76" s="58">
        <v>16</v>
      </c>
      <c r="E76" s="34">
        <v>69</v>
      </c>
      <c r="F76" s="40">
        <v>17</v>
      </c>
      <c r="G76" s="17"/>
      <c r="H76" s="17"/>
      <c r="I76" s="17"/>
      <c r="J76" s="17"/>
      <c r="K76" s="17"/>
      <c r="L76" s="17"/>
    </row>
    <row r="77" spans="1:12">
      <c r="A77" s="1"/>
      <c r="B77" s="23" t="s">
        <v>25</v>
      </c>
      <c r="C77" s="59">
        <v>1</v>
      </c>
      <c r="D77" s="60">
        <v>0</v>
      </c>
      <c r="E77" s="26">
        <v>0</v>
      </c>
      <c r="F77" s="45">
        <v>1</v>
      </c>
      <c r="G77" s="17"/>
      <c r="H77" s="17"/>
      <c r="I77" s="17"/>
      <c r="J77" s="17"/>
      <c r="K77" s="17"/>
      <c r="L77" s="17"/>
    </row>
    <row r="78" spans="1:12">
      <c r="A78" s="1"/>
      <c r="B78" s="66">
        <v>44789</v>
      </c>
      <c r="C78" s="18" t="s">
        <v>13</v>
      </c>
      <c r="D78" s="19">
        <v>1</v>
      </c>
      <c r="E78" s="20" t="s">
        <v>7</v>
      </c>
      <c r="F78" s="19">
        <v>2</v>
      </c>
      <c r="G78" s="20" t="s">
        <v>8</v>
      </c>
      <c r="H78" s="19">
        <v>3</v>
      </c>
      <c r="I78" s="20" t="s">
        <v>9</v>
      </c>
      <c r="J78" s="19">
        <v>4</v>
      </c>
      <c r="K78" s="20" t="s">
        <v>10</v>
      </c>
      <c r="L78" s="21">
        <v>5</v>
      </c>
    </row>
    <row r="79" spans="1:12">
      <c r="A79" s="1"/>
      <c r="B79" s="23" t="s">
        <v>2</v>
      </c>
      <c r="C79" s="24">
        <v>314</v>
      </c>
      <c r="D79" s="25">
        <v>2</v>
      </c>
      <c r="E79" s="26">
        <v>16</v>
      </c>
      <c r="F79" s="26">
        <v>21</v>
      </c>
      <c r="G79" s="26">
        <v>39</v>
      </c>
      <c r="H79" s="26">
        <v>18</v>
      </c>
      <c r="I79" s="26">
        <v>55</v>
      </c>
      <c r="J79" s="26">
        <v>23</v>
      </c>
      <c r="K79" s="26">
        <v>17</v>
      </c>
      <c r="L79" s="30">
        <v>4</v>
      </c>
    </row>
    <row r="80" spans="1:12">
      <c r="A80" s="1"/>
      <c r="B80" s="31" t="s">
        <v>3</v>
      </c>
      <c r="C80" s="36">
        <v>129</v>
      </c>
      <c r="D80" s="33">
        <v>2</v>
      </c>
      <c r="E80" s="34">
        <v>3</v>
      </c>
      <c r="F80" s="34">
        <v>5</v>
      </c>
      <c r="G80" s="34">
        <v>5</v>
      </c>
      <c r="H80" s="34">
        <v>5</v>
      </c>
      <c r="I80" s="34">
        <v>10</v>
      </c>
      <c r="J80" s="34">
        <v>7</v>
      </c>
      <c r="K80" s="34">
        <v>8</v>
      </c>
      <c r="L80" s="35">
        <v>2</v>
      </c>
    </row>
    <row r="81" spans="1:12">
      <c r="A81" s="1"/>
      <c r="B81" s="31" t="s">
        <v>4</v>
      </c>
      <c r="C81" s="41">
        <v>119</v>
      </c>
      <c r="D81" s="38">
        <v>0</v>
      </c>
      <c r="E81" s="34">
        <v>12</v>
      </c>
      <c r="F81" s="39">
        <v>13</v>
      </c>
      <c r="G81" s="34">
        <v>21</v>
      </c>
      <c r="H81" s="39">
        <v>4</v>
      </c>
      <c r="I81" s="34">
        <v>27</v>
      </c>
      <c r="J81" s="39">
        <v>12</v>
      </c>
      <c r="K81" s="34">
        <v>5</v>
      </c>
      <c r="L81" s="40">
        <v>1</v>
      </c>
    </row>
    <row r="82" spans="1:12">
      <c r="A82" s="1"/>
      <c r="B82" s="23" t="s">
        <v>5</v>
      </c>
      <c r="C82" s="46">
        <v>62</v>
      </c>
      <c r="D82" s="43">
        <v>0</v>
      </c>
      <c r="E82" s="26">
        <v>1</v>
      </c>
      <c r="F82" s="44">
        <v>3</v>
      </c>
      <c r="G82" s="26">
        <v>13</v>
      </c>
      <c r="H82" s="44">
        <v>9</v>
      </c>
      <c r="I82" s="26">
        <v>17</v>
      </c>
      <c r="J82" s="44">
        <v>4</v>
      </c>
      <c r="K82" s="26">
        <v>4</v>
      </c>
      <c r="L82" s="45">
        <v>1</v>
      </c>
    </row>
    <row r="83" spans="1:12">
      <c r="A83" s="1"/>
      <c r="B83" s="66">
        <v>44789</v>
      </c>
      <c r="C83" s="48" t="s">
        <v>13</v>
      </c>
      <c r="D83" s="18" t="s">
        <v>14</v>
      </c>
      <c r="E83" s="49" t="s">
        <v>15</v>
      </c>
      <c r="F83" s="50" t="s">
        <v>16</v>
      </c>
      <c r="G83" s="17"/>
      <c r="H83" s="17"/>
      <c r="I83" s="17"/>
      <c r="J83" s="17"/>
      <c r="K83" s="17"/>
      <c r="L83" s="17"/>
    </row>
    <row r="84" spans="1:12">
      <c r="A84" s="1"/>
      <c r="B84" s="31" t="s">
        <v>18</v>
      </c>
      <c r="C84" s="51">
        <v>50</v>
      </c>
      <c r="D84" s="52">
        <v>16</v>
      </c>
      <c r="E84" s="34">
        <v>24</v>
      </c>
      <c r="F84" s="35">
        <v>10</v>
      </c>
      <c r="G84" s="17"/>
      <c r="H84" s="17"/>
      <c r="I84" s="17"/>
      <c r="J84" s="17"/>
      <c r="K84" s="17"/>
      <c r="L84" s="17"/>
    </row>
    <row r="85" spans="1:12">
      <c r="A85" s="1"/>
      <c r="B85" s="31" t="s">
        <v>19</v>
      </c>
      <c r="C85" s="51">
        <v>2</v>
      </c>
      <c r="D85" s="52">
        <v>0</v>
      </c>
      <c r="E85" s="34">
        <v>0</v>
      </c>
      <c r="F85" s="35">
        <v>2</v>
      </c>
      <c r="G85" s="17"/>
      <c r="H85" s="17"/>
      <c r="I85" s="17"/>
      <c r="J85" s="17"/>
      <c r="K85" s="17"/>
      <c r="L85" s="17"/>
    </row>
    <row r="86" spans="1:12">
      <c r="A86" s="1"/>
      <c r="B86" s="31" t="s">
        <v>20</v>
      </c>
      <c r="C86" s="51">
        <v>8</v>
      </c>
      <c r="D86" s="52">
        <v>4</v>
      </c>
      <c r="E86" s="34">
        <v>1</v>
      </c>
      <c r="F86" s="35">
        <v>3</v>
      </c>
      <c r="G86" s="17"/>
      <c r="H86" s="17"/>
      <c r="I86" s="17"/>
      <c r="J86" s="17"/>
      <c r="K86" s="17"/>
      <c r="L86" s="17"/>
    </row>
    <row r="87" spans="1:12">
      <c r="A87" s="1"/>
      <c r="B87" s="31" t="s">
        <v>24</v>
      </c>
      <c r="C87" s="51">
        <v>133</v>
      </c>
      <c r="D87" s="58">
        <v>21</v>
      </c>
      <c r="E87" s="34">
        <v>72</v>
      </c>
      <c r="F87" s="40">
        <v>40</v>
      </c>
      <c r="G87" s="17"/>
      <c r="H87" s="17"/>
      <c r="I87" s="17"/>
      <c r="J87" s="17"/>
      <c r="K87" s="17"/>
      <c r="L87" s="17"/>
    </row>
    <row r="88" spans="1:12">
      <c r="A88" s="1"/>
      <c r="B88" s="23" t="s">
        <v>25</v>
      </c>
      <c r="C88" s="59">
        <v>0</v>
      </c>
      <c r="D88" s="60">
        <v>0</v>
      </c>
      <c r="E88" s="26">
        <v>0</v>
      </c>
      <c r="F88" s="45">
        <v>0</v>
      </c>
      <c r="G88" s="17"/>
      <c r="H88" s="17"/>
      <c r="I88" s="17"/>
      <c r="J88" s="17"/>
      <c r="K88" s="17"/>
      <c r="L88" s="17"/>
    </row>
    <row r="89" spans="1:12">
      <c r="A89" s="1"/>
    </row>
    <row r="90" spans="1:12">
      <c r="A90" s="1"/>
      <c r="B90" s="1"/>
      <c r="C90" s="17"/>
      <c r="D90" s="17"/>
      <c r="E90" s="17"/>
      <c r="F90" s="17"/>
      <c r="G90" s="17"/>
      <c r="H90" s="17"/>
      <c r="I90" s="17"/>
      <c r="J90" s="17"/>
      <c r="K90" s="17"/>
      <c r="L90" s="17"/>
    </row>
    <row r="91" spans="1:12">
      <c r="A91" s="1"/>
      <c r="B91" s="1"/>
      <c r="C91" s="17"/>
      <c r="D91" s="17"/>
      <c r="E91" s="17"/>
      <c r="F91" s="17"/>
      <c r="G91" s="17"/>
      <c r="H91" s="17"/>
      <c r="I91" s="17"/>
      <c r="J91" s="17"/>
      <c r="K91" s="17"/>
      <c r="L91" s="17"/>
    </row>
    <row r="92" spans="1:12">
      <c r="A92" s="1"/>
      <c r="B92" s="1"/>
      <c r="C92" s="17"/>
      <c r="D92" s="17"/>
      <c r="E92" s="17"/>
      <c r="F92" s="17"/>
      <c r="G92" s="17"/>
      <c r="H92" s="17"/>
      <c r="I92" s="17"/>
      <c r="J92" s="17"/>
      <c r="K92" s="17"/>
      <c r="L92" s="17"/>
    </row>
    <row r="93" spans="1:12">
      <c r="A93" s="1"/>
      <c r="B93" s="1"/>
      <c r="C93" s="17"/>
      <c r="D93" s="17"/>
      <c r="E93" s="17"/>
      <c r="F93" s="17"/>
      <c r="G93" s="17"/>
      <c r="H93" s="17"/>
      <c r="I93" s="17"/>
      <c r="J93" s="17"/>
      <c r="K93" s="17"/>
      <c r="L93" s="17"/>
    </row>
    <row r="94" spans="1:12">
      <c r="A94" s="1"/>
      <c r="B94" s="1"/>
      <c r="C94" s="17"/>
      <c r="D94" s="17"/>
      <c r="E94" s="17"/>
      <c r="F94" s="17"/>
      <c r="G94" s="17"/>
      <c r="H94" s="17"/>
      <c r="I94" s="17"/>
      <c r="J94" s="17"/>
      <c r="K94" s="17"/>
      <c r="L94" s="17"/>
    </row>
    <row r="95" spans="1:12">
      <c r="A95" s="1"/>
      <c r="B95" s="1"/>
      <c r="C95" s="17"/>
      <c r="D95" s="17"/>
      <c r="E95" s="17"/>
      <c r="F95" s="17"/>
      <c r="G95" s="17"/>
      <c r="H95" s="17"/>
      <c r="I95" s="17"/>
      <c r="J95" s="17"/>
      <c r="K95" s="17"/>
      <c r="L95" s="17"/>
    </row>
    <row r="96" spans="1:12">
      <c r="A96" s="1"/>
      <c r="B96" s="1"/>
      <c r="C96" s="17"/>
      <c r="D96" s="17"/>
      <c r="E96" s="17"/>
      <c r="F96" s="17"/>
      <c r="G96" s="17"/>
      <c r="H96" s="17"/>
      <c r="I96" s="17"/>
      <c r="J96" s="17"/>
      <c r="K96" s="17"/>
      <c r="L96" s="17"/>
    </row>
    <row r="97" spans="1:12">
      <c r="A97" s="1"/>
      <c r="B97" s="1"/>
      <c r="C97" s="17"/>
      <c r="D97" s="17"/>
      <c r="E97" s="17"/>
      <c r="F97" s="17"/>
      <c r="G97" s="17"/>
      <c r="H97" s="17"/>
      <c r="I97" s="17"/>
      <c r="J97" s="17"/>
      <c r="K97" s="17"/>
      <c r="L97" s="17"/>
    </row>
    <row r="98" spans="1:12">
      <c r="A98" s="1"/>
      <c r="B98" s="1"/>
      <c r="C98" s="17"/>
      <c r="D98" s="17"/>
      <c r="E98" s="17"/>
      <c r="F98" s="17"/>
      <c r="G98" s="17"/>
      <c r="H98" s="17"/>
      <c r="I98" s="17"/>
      <c r="J98" s="17"/>
      <c r="K98" s="17"/>
      <c r="L98" s="17"/>
    </row>
    <row r="99" spans="1:12">
      <c r="A99" s="1"/>
      <c r="B99" s="1"/>
      <c r="C99" s="17"/>
      <c r="D99" s="17"/>
      <c r="E99" s="17"/>
      <c r="F99" s="17"/>
      <c r="G99" s="17"/>
      <c r="H99" s="17"/>
      <c r="I99" s="17"/>
      <c r="J99" s="17"/>
      <c r="K99" s="17"/>
      <c r="L99" s="17"/>
    </row>
    <row r="100" spans="1:12">
      <c r="A100" s="1"/>
      <c r="B100" s="1"/>
      <c r="C100" s="17"/>
      <c r="D100" s="17"/>
      <c r="E100" s="17"/>
      <c r="F100" s="17"/>
      <c r="G100" s="17"/>
      <c r="H100" s="17"/>
      <c r="I100" s="17"/>
      <c r="J100" s="17"/>
      <c r="K100" s="17"/>
      <c r="L100" s="17"/>
    </row>
    <row r="101" spans="1:12">
      <c r="A101" s="1"/>
      <c r="B101" s="1"/>
      <c r="C101" s="17"/>
      <c r="D101" s="17"/>
      <c r="E101" s="17"/>
      <c r="F101" s="17"/>
      <c r="G101" s="17"/>
      <c r="H101" s="17"/>
      <c r="I101" s="17"/>
      <c r="J101" s="17"/>
      <c r="K101" s="17"/>
      <c r="L101" s="17"/>
    </row>
    <row r="102" spans="1:12">
      <c r="A102" s="1"/>
      <c r="B102" s="1"/>
      <c r="C102" s="17"/>
      <c r="D102" s="17"/>
      <c r="E102" s="17"/>
      <c r="F102" s="17"/>
      <c r="G102" s="17"/>
      <c r="H102" s="17"/>
      <c r="I102" s="17"/>
      <c r="J102" s="17"/>
      <c r="K102" s="17"/>
      <c r="L102" s="17"/>
    </row>
    <row r="103" spans="1:12">
      <c r="A103" s="1"/>
      <c r="B103" s="1"/>
      <c r="C103" s="17"/>
      <c r="D103" s="17"/>
      <c r="E103" s="17"/>
      <c r="F103" s="17"/>
      <c r="G103" s="17"/>
      <c r="H103" s="17"/>
      <c r="I103" s="17"/>
      <c r="J103" s="17"/>
      <c r="K103" s="17"/>
      <c r="L103" s="17"/>
    </row>
    <row r="104" spans="1:12">
      <c r="A104" s="1"/>
      <c r="B104" s="1"/>
      <c r="C104" s="17"/>
      <c r="D104" s="17"/>
      <c r="E104" s="17"/>
      <c r="F104" s="17"/>
      <c r="G104" s="17"/>
      <c r="H104" s="17"/>
      <c r="I104" s="17"/>
      <c r="J104" s="17"/>
      <c r="K104" s="17"/>
      <c r="L104" s="17"/>
    </row>
    <row r="105" spans="1:12">
      <c r="A105" s="1"/>
      <c r="B105" s="1"/>
      <c r="C105" s="17"/>
      <c r="D105" s="17"/>
      <c r="E105" s="17"/>
      <c r="F105" s="17"/>
      <c r="G105" s="17"/>
      <c r="H105" s="17"/>
      <c r="I105" s="17"/>
      <c r="J105" s="17"/>
      <c r="K105" s="17"/>
      <c r="L105" s="17"/>
    </row>
    <row r="106" spans="1:12">
      <c r="A106" s="1"/>
      <c r="B106" s="1"/>
      <c r="C106" s="17"/>
      <c r="D106" s="17"/>
      <c r="E106" s="17"/>
      <c r="F106" s="17"/>
      <c r="G106" s="17"/>
      <c r="H106" s="17"/>
      <c r="I106" s="17"/>
      <c r="J106" s="17"/>
      <c r="K106" s="17"/>
      <c r="L106" s="17"/>
    </row>
    <row r="107" spans="1:12">
      <c r="A107" s="1"/>
      <c r="B107" s="1"/>
      <c r="C107" s="17"/>
      <c r="D107" s="17"/>
      <c r="E107" s="17"/>
      <c r="F107" s="17"/>
      <c r="G107" s="17"/>
      <c r="H107" s="17"/>
      <c r="I107" s="17"/>
      <c r="J107" s="17"/>
      <c r="K107" s="17"/>
      <c r="L107" s="17"/>
    </row>
    <row r="108" spans="1:12">
      <c r="A108" s="1"/>
      <c r="B108" s="1"/>
      <c r="C108" s="17"/>
      <c r="D108" s="17"/>
      <c r="E108" s="17"/>
      <c r="F108" s="17"/>
      <c r="G108" s="17"/>
      <c r="H108" s="17"/>
      <c r="I108" s="17"/>
      <c r="J108" s="17"/>
      <c r="K108" s="17"/>
      <c r="L108" s="17"/>
    </row>
    <row r="109" spans="1:12">
      <c r="A109" s="1"/>
      <c r="B109" s="1"/>
      <c r="C109" s="17"/>
      <c r="D109" s="17"/>
      <c r="E109" s="17"/>
      <c r="F109" s="17"/>
      <c r="G109" s="17"/>
      <c r="H109" s="17"/>
      <c r="I109" s="17"/>
      <c r="J109" s="17"/>
      <c r="K109" s="17"/>
      <c r="L109" s="17"/>
    </row>
    <row r="110" spans="1:12">
      <c r="A110" s="1"/>
      <c r="B110" s="1"/>
      <c r="C110" s="17"/>
      <c r="D110" s="17"/>
      <c r="E110" s="17"/>
      <c r="F110" s="17"/>
      <c r="G110" s="17"/>
      <c r="H110" s="17"/>
      <c r="I110" s="17"/>
      <c r="J110" s="17"/>
      <c r="K110" s="17"/>
      <c r="L110" s="17"/>
    </row>
    <row r="111" spans="1:12">
      <c r="A111" s="1"/>
      <c r="B111" s="1"/>
      <c r="C111" s="17"/>
      <c r="D111" s="17"/>
      <c r="E111" s="17"/>
      <c r="F111" s="17"/>
      <c r="G111" s="17"/>
      <c r="H111" s="17"/>
      <c r="I111" s="17"/>
      <c r="J111" s="17"/>
      <c r="K111" s="17"/>
      <c r="L111" s="17"/>
    </row>
    <row r="112" spans="1:12">
      <c r="A112" s="1"/>
      <c r="B112" s="1"/>
      <c r="C112" s="17"/>
      <c r="D112" s="17"/>
      <c r="E112" s="17"/>
      <c r="F112" s="17"/>
      <c r="G112" s="17"/>
      <c r="H112" s="17"/>
      <c r="I112" s="17"/>
      <c r="J112" s="17"/>
      <c r="K112" s="17"/>
      <c r="L112" s="17"/>
    </row>
    <row r="113" spans="1:24">
      <c r="A113" s="1"/>
      <c r="B113" s="1"/>
      <c r="C113" s="17"/>
      <c r="D113" s="17"/>
      <c r="E113" s="17"/>
      <c r="F113" s="17"/>
      <c r="G113" s="17"/>
      <c r="H113" s="17"/>
      <c r="I113" s="17"/>
      <c r="J113" s="17"/>
      <c r="K113" s="17"/>
      <c r="L113" s="17"/>
    </row>
    <row r="114" spans="1:24">
      <c r="A114" s="1"/>
      <c r="B114" s="1"/>
      <c r="C114" s="17"/>
      <c r="D114" s="17"/>
      <c r="E114" s="17"/>
      <c r="F114" s="17"/>
      <c r="G114" s="17"/>
      <c r="H114" s="17"/>
      <c r="I114" s="17"/>
      <c r="J114" s="17"/>
      <c r="K114" s="17"/>
      <c r="L114" s="17"/>
    </row>
    <row r="115" spans="1:24">
      <c r="A115" s="1"/>
      <c r="B115" s="1"/>
      <c r="C115" s="17"/>
      <c r="D115" s="17"/>
      <c r="E115" s="17"/>
      <c r="F115" s="17"/>
      <c r="G115" s="17"/>
      <c r="H115" s="17"/>
      <c r="I115" s="17"/>
      <c r="J115" s="17"/>
      <c r="K115" s="17"/>
      <c r="L115" s="17"/>
    </row>
    <row r="116" spans="1:24">
      <c r="A116" s="1"/>
      <c r="B116" s="1"/>
      <c r="C116" s="17"/>
      <c r="D116" s="17"/>
      <c r="E116" s="17"/>
      <c r="F116" s="17"/>
      <c r="G116" s="17"/>
      <c r="H116" s="17"/>
      <c r="I116" s="17"/>
      <c r="J116" s="17"/>
      <c r="K116" s="17"/>
      <c r="L116" s="17"/>
    </row>
    <row r="117" spans="1:24">
      <c r="A117" s="1"/>
      <c r="B117" s="1"/>
      <c r="C117" s="17"/>
      <c r="D117" s="17"/>
      <c r="E117" s="17"/>
      <c r="F117" s="17"/>
      <c r="G117" s="17"/>
      <c r="H117" s="17"/>
      <c r="I117" s="17"/>
      <c r="J117" s="17"/>
      <c r="K117" s="17"/>
      <c r="L117" s="17"/>
    </row>
    <row r="118" spans="1:24">
      <c r="A118" s="1"/>
      <c r="B118" s="1"/>
      <c r="C118" s="17"/>
      <c r="D118" s="17"/>
      <c r="E118" s="17"/>
      <c r="F118" s="17"/>
      <c r="G118" s="17"/>
      <c r="H118" s="17"/>
      <c r="I118" s="17"/>
      <c r="J118" s="17"/>
      <c r="K118" s="17"/>
      <c r="L118" s="17"/>
    </row>
    <row r="119" spans="1:24">
      <c r="A119" s="1"/>
      <c r="B119" s="1"/>
      <c r="C119" s="17"/>
      <c r="D119" s="17"/>
      <c r="E119" s="17"/>
      <c r="F119" s="17"/>
      <c r="G119" s="17"/>
      <c r="H119" s="17"/>
      <c r="I119" s="17"/>
      <c r="J119" s="17"/>
      <c r="K119" s="17"/>
      <c r="L119" s="17"/>
    </row>
    <row r="120" spans="1:24">
      <c r="A120" s="1"/>
      <c r="B120" s="1"/>
      <c r="C120" s="17"/>
      <c r="D120" s="17"/>
      <c r="E120" s="17"/>
      <c r="F120" s="17"/>
      <c r="G120" s="17"/>
      <c r="H120" s="17"/>
      <c r="I120" s="17"/>
      <c r="J120" s="17"/>
      <c r="K120" s="17"/>
      <c r="L120" s="17"/>
    </row>
    <row r="121" spans="1:24">
      <c r="A121" s="1"/>
      <c r="B121" s="1"/>
      <c r="C121" s="17"/>
      <c r="D121" s="17"/>
      <c r="E121" s="17"/>
      <c r="F121" s="17"/>
      <c r="G121" s="17"/>
      <c r="H121" s="17"/>
      <c r="I121" s="17"/>
      <c r="J121" s="17"/>
      <c r="K121" s="17"/>
      <c r="L121" s="17"/>
    </row>
    <row r="122" spans="1:24">
      <c r="A122" s="1"/>
      <c r="B122" s="1"/>
      <c r="C122" s="17"/>
      <c r="D122" s="17"/>
      <c r="E122" s="17"/>
      <c r="F122" s="17"/>
      <c r="G122" s="17"/>
      <c r="H122" s="17"/>
      <c r="I122" s="17"/>
      <c r="J122" s="17"/>
      <c r="K122" s="17"/>
      <c r="L122" s="17"/>
    </row>
    <row r="123" spans="1:24">
      <c r="A123" s="1"/>
      <c r="B123" s="1"/>
      <c r="C123" s="17"/>
      <c r="D123" s="17"/>
      <c r="E123" s="17"/>
      <c r="F123" s="17"/>
      <c r="G123" s="17"/>
      <c r="H123" s="17"/>
      <c r="I123" s="17"/>
      <c r="J123" s="17"/>
      <c r="K123" s="17"/>
      <c r="L123" s="17"/>
    </row>
    <row r="124" spans="1:24">
      <c r="A124" s="1"/>
      <c r="B124" s="1"/>
      <c r="C124" s="17"/>
      <c r="D124" s="17"/>
      <c r="E124" s="17"/>
      <c r="F124" s="17"/>
      <c r="G124" s="17"/>
      <c r="H124" s="17"/>
      <c r="I124" s="17"/>
      <c r="J124" s="17"/>
      <c r="K124" s="17"/>
      <c r="L124" s="17"/>
    </row>
    <row r="125" spans="1:24">
      <c r="A125" s="1"/>
      <c r="B125" s="1"/>
      <c r="C125" s="17"/>
      <c r="D125" s="17"/>
      <c r="E125" s="17"/>
      <c r="F125" s="17"/>
      <c r="G125" s="17"/>
      <c r="H125" s="17"/>
      <c r="I125" s="17"/>
      <c r="J125" s="17"/>
      <c r="K125" s="17"/>
      <c r="L125" s="17"/>
    </row>
    <row r="126" spans="1:24">
      <c r="A126" s="1"/>
      <c r="B126" s="1"/>
      <c r="C126" s="17"/>
      <c r="D126" s="17"/>
      <c r="E126" s="17"/>
      <c r="F126" s="17"/>
      <c r="G126" s="17"/>
      <c r="H126" s="17"/>
      <c r="I126" s="17"/>
      <c r="J126" s="17"/>
      <c r="K126" s="17"/>
      <c r="L126" s="17"/>
    </row>
    <row r="127" spans="1:24">
      <c r="A127" s="1"/>
      <c r="B127" s="1"/>
      <c r="C127" s="17"/>
      <c r="D127" s="17"/>
      <c r="E127" s="17"/>
      <c r="F127" s="17"/>
      <c r="G127" s="17"/>
      <c r="H127" s="17"/>
      <c r="I127" s="17"/>
      <c r="J127" s="17"/>
      <c r="K127" s="17"/>
      <c r="L127" s="17"/>
      <c r="T127" s="17"/>
      <c r="U127" s="17"/>
      <c r="V127" s="17"/>
      <c r="W127" s="17"/>
      <c r="X127" s="17"/>
    </row>
    <row r="128" spans="1:24">
      <c r="A128" s="1"/>
      <c r="B128" s="1"/>
      <c r="C128" s="17"/>
      <c r="D128" s="17"/>
      <c r="E128" s="17"/>
      <c r="F128" s="17"/>
      <c r="G128" s="17"/>
      <c r="H128" s="17"/>
      <c r="I128" s="17"/>
      <c r="J128" s="17"/>
      <c r="K128" s="17"/>
      <c r="L128" s="17"/>
      <c r="T128" s="17"/>
      <c r="U128" s="17"/>
      <c r="V128" s="17"/>
      <c r="W128" s="17"/>
      <c r="X128" s="17"/>
    </row>
    <row r="129" spans="1:24">
      <c r="A129" s="1"/>
      <c r="B129" s="1"/>
      <c r="C129" s="17"/>
      <c r="D129" s="17"/>
      <c r="E129" s="17"/>
      <c r="F129" s="17"/>
      <c r="G129" s="17"/>
      <c r="H129" s="17"/>
      <c r="I129" s="17"/>
      <c r="J129" s="17"/>
      <c r="K129" s="17"/>
      <c r="L129" s="17"/>
      <c r="T129" s="17"/>
      <c r="U129" s="17"/>
      <c r="V129" s="17"/>
      <c r="W129" s="17"/>
      <c r="X129" s="17"/>
    </row>
    <row r="130" spans="1:24">
      <c r="A130" s="1"/>
      <c r="B130" s="1"/>
      <c r="C130" s="17"/>
      <c r="D130" s="17"/>
      <c r="E130" s="17"/>
      <c r="F130" s="17"/>
      <c r="G130" s="17"/>
      <c r="H130" s="17"/>
      <c r="I130" s="17"/>
      <c r="J130" s="17"/>
      <c r="K130" s="17"/>
      <c r="L130" s="17"/>
      <c r="T130" s="17"/>
      <c r="U130" s="17"/>
      <c r="V130" s="17"/>
      <c r="W130" s="17"/>
      <c r="X130" s="17"/>
    </row>
    <row r="131" spans="1:24">
      <c r="A131" s="1"/>
      <c r="B131" s="1"/>
      <c r="C131" s="17"/>
      <c r="D131" s="17"/>
      <c r="E131" s="17"/>
      <c r="F131" s="17"/>
      <c r="G131" s="17"/>
      <c r="H131" s="17"/>
      <c r="I131" s="17"/>
      <c r="J131" s="17"/>
      <c r="K131" s="17"/>
      <c r="L131" s="17"/>
      <c r="T131" s="17"/>
      <c r="U131" s="17"/>
      <c r="V131" s="17"/>
      <c r="W131" s="17"/>
      <c r="X131" s="17"/>
    </row>
    <row r="132" spans="1:24">
      <c r="A132" s="1"/>
      <c r="B132" s="1"/>
      <c r="C132" s="17"/>
      <c r="D132" s="17"/>
      <c r="E132" s="17"/>
      <c r="F132" s="17"/>
      <c r="G132" s="17"/>
      <c r="H132" s="17"/>
      <c r="I132" s="17"/>
      <c r="J132" s="17"/>
      <c r="K132" s="17"/>
      <c r="L132" s="17"/>
      <c r="T132" s="17"/>
      <c r="U132" s="17"/>
      <c r="V132" s="17"/>
      <c r="W132" s="17"/>
      <c r="X132" s="17"/>
    </row>
    <row r="133" spans="1:24">
      <c r="A133" s="1"/>
      <c r="B133" s="1"/>
      <c r="C133" s="17"/>
      <c r="D133" s="17"/>
      <c r="E133" s="17"/>
      <c r="F133" s="17"/>
      <c r="G133" s="17"/>
      <c r="H133" s="17"/>
      <c r="I133" s="17"/>
      <c r="J133" s="17"/>
      <c r="K133" s="17"/>
      <c r="L133" s="17"/>
      <c r="T133" s="17"/>
      <c r="U133" s="17"/>
      <c r="V133" s="17"/>
      <c r="W133" s="17"/>
      <c r="X133" s="17"/>
    </row>
    <row r="134" spans="1:24">
      <c r="A134" s="1"/>
      <c r="B134" s="1"/>
      <c r="C134" s="17"/>
      <c r="D134" s="17"/>
      <c r="E134" s="17"/>
      <c r="F134" s="17"/>
      <c r="G134" s="17"/>
      <c r="H134" s="17"/>
      <c r="I134" s="17"/>
      <c r="J134" s="17"/>
      <c r="K134" s="17"/>
      <c r="L134" s="17"/>
      <c r="T134" s="17"/>
      <c r="U134" s="17"/>
      <c r="V134" s="17"/>
      <c r="W134" s="17"/>
      <c r="X134" s="17"/>
    </row>
    <row r="135" spans="1:24">
      <c r="A135" s="1"/>
      <c r="B135" s="1"/>
      <c r="C135" s="17"/>
      <c r="D135" s="17"/>
      <c r="E135" s="17"/>
      <c r="F135" s="17"/>
      <c r="G135" s="17"/>
      <c r="H135" s="17"/>
      <c r="I135" s="17"/>
      <c r="J135" s="17"/>
      <c r="K135" s="17"/>
      <c r="L135" s="17"/>
      <c r="T135" s="17"/>
      <c r="U135" s="17"/>
      <c r="V135" s="17"/>
      <c r="W135" s="17"/>
      <c r="X135" s="17"/>
    </row>
    <row r="136" spans="1:24">
      <c r="A136" s="1"/>
      <c r="B136" s="1"/>
      <c r="C136" s="17"/>
      <c r="D136" s="17"/>
      <c r="E136" s="17"/>
      <c r="F136" s="17"/>
      <c r="G136" s="17"/>
      <c r="H136" s="17"/>
      <c r="I136" s="17"/>
      <c r="J136" s="17"/>
      <c r="K136" s="17"/>
      <c r="L136" s="17"/>
      <c r="N136" s="1"/>
      <c r="O136" s="17"/>
      <c r="P136" s="17"/>
      <c r="Q136" s="17"/>
      <c r="R136" s="17"/>
      <c r="T136" s="17"/>
      <c r="U136" s="17"/>
      <c r="V136" s="17"/>
      <c r="W136" s="17"/>
      <c r="X136" s="17"/>
    </row>
    <row r="137" spans="1:24">
      <c r="A137" s="1"/>
      <c r="B137" s="1"/>
      <c r="C137" s="17"/>
      <c r="D137" s="17"/>
      <c r="E137" s="17"/>
      <c r="F137" s="17"/>
      <c r="G137" s="17"/>
      <c r="H137" s="17"/>
      <c r="I137" s="17"/>
      <c r="J137" s="17"/>
      <c r="K137" s="17"/>
      <c r="L137" s="17"/>
      <c r="N137" s="1"/>
      <c r="O137" s="17"/>
      <c r="P137" s="17"/>
      <c r="Q137" s="17"/>
      <c r="R137" s="17"/>
      <c r="S137" s="17"/>
      <c r="T137" s="17"/>
      <c r="U137" s="17"/>
      <c r="V137" s="17"/>
      <c r="W137" s="17"/>
      <c r="X137" s="17"/>
    </row>
    <row r="138" spans="1:24">
      <c r="A138" s="1"/>
      <c r="B138" s="1"/>
      <c r="C138" s="17"/>
      <c r="D138" s="17"/>
      <c r="E138" s="17"/>
      <c r="F138" s="17"/>
      <c r="G138" s="17"/>
      <c r="H138" s="17"/>
      <c r="I138" s="17"/>
      <c r="J138" s="17"/>
      <c r="K138" s="17"/>
      <c r="L138" s="17"/>
      <c r="N138" s="1"/>
      <c r="O138" s="17"/>
      <c r="P138" s="17"/>
      <c r="Q138" s="17"/>
      <c r="R138" s="17"/>
      <c r="S138" s="17"/>
      <c r="T138" s="17"/>
      <c r="U138" s="17"/>
      <c r="V138" s="17"/>
      <c r="W138" s="17"/>
      <c r="X138" s="17"/>
    </row>
    <row r="139" spans="1:24">
      <c r="A139" s="1"/>
      <c r="B139" s="1"/>
      <c r="C139" s="17"/>
      <c r="D139" s="17"/>
      <c r="E139" s="17"/>
      <c r="F139" s="17"/>
      <c r="G139" s="17"/>
      <c r="H139" s="17"/>
      <c r="I139" s="17"/>
      <c r="J139" s="17"/>
      <c r="K139" s="17"/>
      <c r="L139" s="17"/>
      <c r="N139" s="1"/>
      <c r="O139" s="17"/>
      <c r="P139" s="17"/>
      <c r="Q139" s="17"/>
      <c r="R139" s="17"/>
      <c r="S139" s="17"/>
      <c r="T139" s="17"/>
      <c r="U139" s="17"/>
      <c r="V139" s="17"/>
      <c r="W139" s="17"/>
      <c r="X139" s="17"/>
    </row>
    <row r="140" spans="1:24">
      <c r="A140" s="1"/>
      <c r="B140" s="1"/>
      <c r="C140" s="17"/>
      <c r="D140" s="17"/>
      <c r="E140" s="17"/>
      <c r="F140" s="17"/>
      <c r="G140" s="17"/>
      <c r="H140" s="17"/>
      <c r="I140" s="17"/>
      <c r="J140" s="17"/>
      <c r="K140" s="17"/>
      <c r="L140" s="17"/>
      <c r="N140" s="1"/>
      <c r="O140" s="17"/>
      <c r="P140" s="17"/>
      <c r="Q140" s="17"/>
      <c r="R140" s="17"/>
      <c r="S140" s="17"/>
      <c r="T140" s="17"/>
      <c r="U140" s="17"/>
      <c r="V140" s="17"/>
      <c r="W140" s="17"/>
      <c r="X140" s="17"/>
    </row>
    <row r="141" spans="1:24">
      <c r="A141" s="1"/>
      <c r="B141" s="1"/>
      <c r="C141" s="17"/>
      <c r="D141" s="17"/>
      <c r="E141" s="17"/>
      <c r="F141" s="17"/>
      <c r="G141" s="17"/>
      <c r="H141" s="17"/>
      <c r="I141" s="17"/>
      <c r="J141" s="17"/>
      <c r="K141" s="17"/>
      <c r="L141" s="17"/>
      <c r="N141" s="1"/>
      <c r="O141" s="17"/>
      <c r="P141" s="17"/>
      <c r="Q141" s="17"/>
      <c r="R141" s="17"/>
      <c r="S141" s="17"/>
      <c r="T141" s="17"/>
      <c r="U141" s="17"/>
      <c r="V141" s="17"/>
      <c r="W141" s="17"/>
      <c r="X141" s="17"/>
    </row>
    <row r="142" spans="1:24">
      <c r="A142" s="1"/>
      <c r="B142" s="1"/>
      <c r="C142" s="17"/>
      <c r="D142" s="17"/>
      <c r="E142" s="17"/>
      <c r="F142" s="17"/>
      <c r="G142" s="17"/>
      <c r="H142" s="17"/>
      <c r="I142" s="17"/>
      <c r="J142" s="17"/>
      <c r="K142" s="17"/>
      <c r="L142" s="17"/>
      <c r="N142" s="1"/>
      <c r="O142" s="17"/>
      <c r="P142" s="17"/>
      <c r="Q142" s="17"/>
      <c r="R142" s="17"/>
      <c r="S142" s="17"/>
      <c r="T142" s="17"/>
      <c r="U142" s="17"/>
      <c r="V142" s="17"/>
      <c r="W142" s="17"/>
      <c r="X142" s="17"/>
    </row>
    <row r="143" spans="1:24">
      <c r="A143" s="1"/>
      <c r="B143" s="1"/>
      <c r="C143" s="17"/>
      <c r="D143" s="17"/>
      <c r="E143" s="17"/>
      <c r="F143" s="17"/>
      <c r="G143" s="17"/>
      <c r="H143" s="17"/>
      <c r="I143" s="17"/>
      <c r="J143" s="17"/>
      <c r="K143" s="17"/>
      <c r="L143" s="17"/>
      <c r="N143" s="1"/>
      <c r="O143" s="17"/>
      <c r="P143" s="17"/>
      <c r="Q143" s="17"/>
      <c r="R143" s="17"/>
      <c r="S143" s="17"/>
      <c r="T143" s="17"/>
      <c r="U143" s="17"/>
      <c r="V143" s="17"/>
      <c r="W143" s="17"/>
      <c r="X143" s="17"/>
    </row>
    <row r="144" spans="1:24">
      <c r="A144" s="1"/>
      <c r="B144" s="1"/>
      <c r="C144" s="17"/>
      <c r="D144" s="17"/>
      <c r="E144" s="17"/>
      <c r="F144" s="17"/>
      <c r="G144" s="17"/>
      <c r="H144" s="17"/>
      <c r="I144" s="17"/>
      <c r="J144" s="17"/>
      <c r="K144" s="17"/>
      <c r="L144" s="17"/>
      <c r="N144" s="1"/>
      <c r="O144" s="17"/>
      <c r="P144" s="17"/>
      <c r="Q144" s="17"/>
      <c r="R144" s="17"/>
      <c r="S144" s="17"/>
      <c r="T144" s="17"/>
      <c r="U144" s="17"/>
      <c r="V144" s="17"/>
      <c r="W144" s="17"/>
      <c r="X144" s="17"/>
    </row>
    <row r="145" spans="1:24">
      <c r="A145" s="1"/>
      <c r="B145" s="1"/>
      <c r="C145" s="17"/>
      <c r="D145" s="17"/>
      <c r="E145" s="17"/>
      <c r="F145" s="17"/>
      <c r="G145" s="17"/>
      <c r="H145" s="17"/>
      <c r="I145" s="17"/>
      <c r="J145" s="17"/>
      <c r="K145" s="17"/>
      <c r="L145" s="17"/>
      <c r="N145" s="1"/>
      <c r="O145" s="17"/>
      <c r="P145" s="17"/>
      <c r="Q145" s="17"/>
      <c r="R145" s="17"/>
      <c r="S145" s="17"/>
      <c r="T145" s="17"/>
      <c r="U145" s="17"/>
      <c r="V145" s="17"/>
      <c r="W145" s="17"/>
      <c r="X145" s="17"/>
    </row>
    <row r="146" spans="1:24">
      <c r="A146" s="1"/>
      <c r="B146" s="1"/>
      <c r="C146" s="17"/>
      <c r="D146" s="17"/>
      <c r="E146" s="17"/>
      <c r="F146" s="17"/>
      <c r="G146" s="17"/>
      <c r="H146" s="17"/>
      <c r="I146" s="17"/>
      <c r="J146" s="17"/>
      <c r="K146" s="17"/>
      <c r="L146" s="17"/>
      <c r="N146" s="1"/>
      <c r="O146" s="17"/>
      <c r="P146" s="17"/>
      <c r="Q146" s="17"/>
      <c r="R146" s="17"/>
      <c r="S146" s="17"/>
      <c r="T146" s="17"/>
      <c r="U146" s="17"/>
      <c r="V146" s="17"/>
      <c r="W146" s="17"/>
      <c r="X146" s="17"/>
    </row>
    <row r="147" spans="1:24">
      <c r="A147" s="1"/>
      <c r="B147" s="1"/>
      <c r="C147" s="17"/>
      <c r="D147" s="17"/>
      <c r="E147" s="17"/>
      <c r="F147" s="17"/>
      <c r="G147" s="17"/>
      <c r="H147" s="17"/>
      <c r="I147" s="17"/>
      <c r="J147" s="17"/>
      <c r="K147" s="17"/>
      <c r="L147" s="17"/>
      <c r="N147" s="1"/>
      <c r="O147" s="17"/>
      <c r="P147" s="17"/>
      <c r="Q147" s="17"/>
      <c r="R147" s="17"/>
      <c r="S147" s="17"/>
      <c r="T147" s="17"/>
      <c r="U147" s="17"/>
      <c r="V147" s="17"/>
      <c r="W147" s="17"/>
      <c r="X147" s="17"/>
    </row>
    <row r="148" spans="1:24">
      <c r="A148" s="1"/>
      <c r="B148" s="1"/>
      <c r="C148" s="17"/>
      <c r="D148" s="17"/>
      <c r="E148" s="17"/>
      <c r="F148" s="17"/>
      <c r="G148" s="17"/>
      <c r="H148" s="17"/>
      <c r="I148" s="17"/>
      <c r="J148" s="17"/>
      <c r="K148" s="17"/>
      <c r="L148" s="17"/>
      <c r="N148" s="1"/>
      <c r="O148" s="17"/>
      <c r="P148" s="17"/>
      <c r="Q148" s="17"/>
      <c r="R148" s="17"/>
      <c r="S148" s="17"/>
      <c r="T148" s="17"/>
      <c r="U148" s="17"/>
      <c r="V148" s="17"/>
      <c r="W148" s="17"/>
      <c r="X148" s="17"/>
    </row>
    <row r="149" spans="1:24">
      <c r="A149" s="1"/>
      <c r="B149" s="1"/>
      <c r="C149" s="17"/>
      <c r="D149" s="17"/>
      <c r="E149" s="17"/>
      <c r="F149" s="17"/>
      <c r="G149" s="17"/>
      <c r="H149" s="17"/>
      <c r="I149" s="17"/>
      <c r="J149" s="17"/>
      <c r="K149" s="17"/>
      <c r="L149" s="17"/>
      <c r="N149" s="1"/>
      <c r="O149" s="17"/>
      <c r="P149" s="17"/>
      <c r="Q149" s="17"/>
      <c r="R149" s="17"/>
      <c r="S149" s="17"/>
      <c r="T149" s="17"/>
      <c r="U149" s="17"/>
      <c r="V149" s="17"/>
      <c r="W149" s="17"/>
      <c r="X149" s="17"/>
    </row>
    <row r="150" spans="1:24">
      <c r="A150" s="1"/>
      <c r="B150" s="1"/>
      <c r="C150" s="17"/>
      <c r="D150" s="17"/>
      <c r="E150" s="17"/>
      <c r="F150" s="17"/>
      <c r="G150" s="17"/>
      <c r="H150" s="17"/>
      <c r="I150" s="17"/>
      <c r="J150" s="17"/>
      <c r="K150" s="17"/>
      <c r="L150" s="17"/>
      <c r="N150" s="1"/>
      <c r="O150" s="17"/>
      <c r="P150" s="17"/>
      <c r="Q150" s="17"/>
      <c r="R150" s="17"/>
      <c r="S150" s="17"/>
      <c r="T150" s="17"/>
      <c r="U150" s="17"/>
      <c r="V150" s="17"/>
      <c r="W150" s="17"/>
      <c r="X150" s="17"/>
    </row>
    <row r="151" spans="1:24">
      <c r="A151" s="1"/>
      <c r="B151" s="1"/>
      <c r="C151" s="17"/>
      <c r="D151" s="17"/>
      <c r="E151" s="17"/>
      <c r="F151" s="17"/>
      <c r="G151" s="17"/>
      <c r="H151" s="17"/>
      <c r="I151" s="17"/>
      <c r="J151" s="17"/>
      <c r="K151" s="17"/>
      <c r="L151" s="17"/>
      <c r="N151" s="1"/>
      <c r="O151" s="17"/>
      <c r="P151" s="17"/>
      <c r="Q151" s="17"/>
      <c r="R151" s="17"/>
      <c r="S151" s="17"/>
      <c r="T151" s="17"/>
      <c r="U151" s="17"/>
      <c r="V151" s="17"/>
      <c r="W151" s="17"/>
      <c r="X151" s="17"/>
    </row>
    <row r="152" spans="1:24">
      <c r="A152" s="1"/>
      <c r="B152" s="1"/>
      <c r="C152" s="17"/>
      <c r="D152" s="17"/>
      <c r="E152" s="17"/>
      <c r="F152" s="17"/>
      <c r="G152" s="17"/>
      <c r="H152" s="17"/>
      <c r="I152" s="17"/>
      <c r="J152" s="17"/>
      <c r="K152" s="17"/>
      <c r="L152" s="17"/>
      <c r="N152" s="1"/>
      <c r="O152" s="17"/>
      <c r="P152" s="17"/>
      <c r="Q152" s="17"/>
      <c r="R152" s="17"/>
      <c r="S152" s="17"/>
      <c r="T152" s="17"/>
      <c r="U152" s="17"/>
      <c r="V152" s="17"/>
      <c r="W152" s="17"/>
      <c r="X152" s="17"/>
    </row>
    <row r="153" spans="1:24">
      <c r="A153" s="1"/>
      <c r="B153" s="1"/>
      <c r="C153" s="17"/>
      <c r="D153" s="17"/>
      <c r="E153" s="17"/>
      <c r="F153" s="17"/>
      <c r="G153" s="17"/>
      <c r="H153" s="17"/>
      <c r="I153" s="17"/>
      <c r="J153" s="17"/>
      <c r="K153" s="17"/>
      <c r="L153" s="17"/>
      <c r="N153" s="1"/>
      <c r="O153" s="17"/>
      <c r="P153" s="17"/>
      <c r="Q153" s="17"/>
      <c r="R153" s="17"/>
      <c r="S153" s="17"/>
      <c r="T153" s="17"/>
      <c r="U153" s="17"/>
      <c r="V153" s="17"/>
      <c r="W153" s="17"/>
      <c r="X153" s="17"/>
    </row>
    <row r="154" spans="1:24">
      <c r="A154" s="1"/>
      <c r="B154" s="1"/>
      <c r="C154" s="17"/>
      <c r="D154" s="17"/>
      <c r="E154" s="17"/>
      <c r="F154" s="17"/>
      <c r="G154" s="17"/>
      <c r="H154" s="17"/>
      <c r="I154" s="17"/>
      <c r="J154" s="17"/>
      <c r="K154" s="17"/>
      <c r="L154" s="17"/>
      <c r="N154" s="1"/>
      <c r="O154" s="17"/>
      <c r="P154" s="17"/>
      <c r="Q154" s="17"/>
      <c r="R154" s="17"/>
      <c r="S154" s="17"/>
      <c r="T154" s="17"/>
      <c r="U154" s="17"/>
      <c r="V154" s="17"/>
      <c r="W154" s="17"/>
      <c r="X154" s="17"/>
    </row>
    <row r="155" spans="1:24">
      <c r="A155" s="1"/>
      <c r="B155" s="1"/>
      <c r="C155" s="17"/>
      <c r="D155" s="17"/>
      <c r="E155" s="17"/>
      <c r="F155" s="17"/>
      <c r="G155" s="17"/>
      <c r="H155" s="17"/>
      <c r="I155" s="17"/>
      <c r="J155" s="17"/>
      <c r="K155" s="17"/>
      <c r="L155" s="17"/>
      <c r="N155" s="1"/>
      <c r="O155" s="17"/>
      <c r="P155" s="17"/>
      <c r="Q155" s="17"/>
      <c r="R155" s="17"/>
      <c r="S155" s="17"/>
      <c r="T155" s="17"/>
      <c r="U155" s="17"/>
      <c r="V155" s="17"/>
      <c r="W155" s="17"/>
      <c r="X155" s="17"/>
    </row>
    <row r="156" spans="1:24">
      <c r="A156" s="1"/>
      <c r="B156" s="1"/>
      <c r="C156" s="17"/>
      <c r="D156" s="17"/>
      <c r="E156" s="17"/>
      <c r="F156" s="17"/>
      <c r="G156" s="17"/>
      <c r="H156" s="17"/>
      <c r="I156" s="17"/>
      <c r="J156" s="17"/>
      <c r="K156" s="17"/>
      <c r="L156" s="17"/>
      <c r="N156" s="1"/>
      <c r="O156" s="17"/>
      <c r="P156" s="17"/>
      <c r="Q156" s="17"/>
      <c r="R156" s="17"/>
      <c r="S156" s="17"/>
      <c r="T156" s="17"/>
      <c r="U156" s="17"/>
      <c r="V156" s="17"/>
      <c r="W156" s="17"/>
      <c r="X156" s="17"/>
    </row>
    <row r="157" spans="1:24">
      <c r="A157" s="1"/>
      <c r="B157" s="1"/>
      <c r="C157" s="17"/>
      <c r="D157" s="17"/>
      <c r="E157" s="17"/>
      <c r="F157" s="17"/>
      <c r="G157" s="17"/>
      <c r="H157" s="17"/>
      <c r="I157" s="17"/>
      <c r="J157" s="17"/>
      <c r="K157" s="17"/>
      <c r="L157" s="17"/>
      <c r="N157" s="1"/>
      <c r="O157" s="17"/>
      <c r="P157" s="17"/>
      <c r="Q157" s="17"/>
      <c r="R157" s="17"/>
      <c r="S157" s="17"/>
      <c r="T157" s="17"/>
      <c r="U157" s="17"/>
      <c r="V157" s="17"/>
      <c r="W157" s="17"/>
      <c r="X157" s="17"/>
    </row>
    <row r="158" spans="1:24">
      <c r="A158" s="1"/>
      <c r="B158" s="1"/>
      <c r="C158" s="17"/>
      <c r="D158" s="17"/>
      <c r="E158" s="17"/>
      <c r="F158" s="17"/>
      <c r="G158" s="17"/>
      <c r="H158" s="17"/>
      <c r="I158" s="17"/>
      <c r="J158" s="17"/>
      <c r="K158" s="17"/>
      <c r="L158" s="17"/>
      <c r="N158" s="1"/>
      <c r="O158" s="17"/>
      <c r="P158" s="17"/>
      <c r="Q158" s="17"/>
      <c r="R158" s="17"/>
      <c r="S158" s="17"/>
      <c r="T158" s="17"/>
      <c r="U158" s="17"/>
      <c r="V158" s="17"/>
      <c r="W158" s="17"/>
      <c r="X158" s="17"/>
    </row>
    <row r="159" spans="1:24">
      <c r="A159" s="1"/>
      <c r="B159" s="1"/>
      <c r="C159" s="17"/>
      <c r="D159" s="17"/>
      <c r="E159" s="17"/>
      <c r="F159" s="17"/>
      <c r="G159" s="17"/>
      <c r="H159" s="17"/>
      <c r="I159" s="17"/>
      <c r="J159" s="17"/>
      <c r="K159" s="17"/>
      <c r="L159" s="17"/>
      <c r="N159" s="1"/>
      <c r="O159" s="17"/>
      <c r="P159" s="17"/>
      <c r="Q159" s="17"/>
      <c r="R159" s="17"/>
      <c r="S159" s="17"/>
      <c r="T159" s="17"/>
      <c r="U159" s="17"/>
      <c r="V159" s="17"/>
      <c r="W159" s="17"/>
      <c r="X159" s="17"/>
    </row>
    <row r="160" spans="1:24">
      <c r="A160" s="1"/>
      <c r="B160" s="1"/>
      <c r="C160" s="17"/>
      <c r="D160" s="17"/>
      <c r="E160" s="17"/>
      <c r="F160" s="17"/>
      <c r="G160" s="17"/>
      <c r="H160" s="17"/>
      <c r="I160" s="17"/>
      <c r="J160" s="17"/>
      <c r="K160" s="17"/>
      <c r="L160" s="17"/>
      <c r="N160" s="1"/>
      <c r="O160" s="17"/>
      <c r="P160" s="17"/>
      <c r="Q160" s="17"/>
      <c r="R160" s="17"/>
      <c r="S160" s="17"/>
      <c r="T160" s="17"/>
      <c r="U160" s="17"/>
      <c r="V160" s="17"/>
      <c r="W160" s="17"/>
      <c r="X160" s="17"/>
    </row>
    <row r="161" spans="1:24">
      <c r="A161" s="1"/>
      <c r="B161" s="1"/>
      <c r="C161" s="17"/>
      <c r="D161" s="17"/>
      <c r="E161" s="17"/>
      <c r="F161" s="17"/>
      <c r="G161" s="17"/>
      <c r="H161" s="17"/>
      <c r="I161" s="17"/>
      <c r="J161" s="17"/>
      <c r="K161" s="17"/>
      <c r="L161" s="17"/>
      <c r="N161" s="1"/>
      <c r="O161" s="17"/>
      <c r="P161" s="17"/>
      <c r="Q161" s="17"/>
      <c r="R161" s="17"/>
      <c r="S161" s="17"/>
      <c r="T161" s="17"/>
      <c r="U161" s="17"/>
      <c r="V161" s="17"/>
      <c r="W161" s="17"/>
      <c r="X161" s="17"/>
    </row>
    <row r="162" spans="1:24">
      <c r="A162" s="1"/>
      <c r="B162" s="1"/>
      <c r="C162" s="17"/>
      <c r="D162" s="17"/>
      <c r="E162" s="17"/>
      <c r="F162" s="17"/>
      <c r="G162" s="17"/>
      <c r="H162" s="17"/>
      <c r="I162" s="17"/>
      <c r="J162" s="17"/>
      <c r="K162" s="17"/>
      <c r="L162" s="17"/>
      <c r="N162" s="1"/>
      <c r="O162" s="17"/>
      <c r="P162" s="17"/>
      <c r="Q162" s="17"/>
      <c r="R162" s="17"/>
      <c r="S162" s="17"/>
      <c r="T162" s="17"/>
      <c r="U162" s="17"/>
      <c r="V162" s="17"/>
      <c r="W162" s="17"/>
      <c r="X162" s="17"/>
    </row>
    <row r="163" spans="1:24">
      <c r="A163" s="1"/>
      <c r="B163" s="1"/>
      <c r="C163" s="17"/>
      <c r="D163" s="17"/>
      <c r="E163" s="17"/>
      <c r="F163" s="17"/>
      <c r="G163" s="17"/>
      <c r="H163" s="17"/>
      <c r="I163" s="17"/>
      <c r="J163" s="17"/>
      <c r="K163" s="17"/>
      <c r="L163" s="17"/>
      <c r="N163" s="1"/>
      <c r="O163" s="17"/>
      <c r="P163" s="17"/>
      <c r="Q163" s="17"/>
      <c r="R163" s="17"/>
      <c r="S163" s="17"/>
      <c r="T163" s="17"/>
      <c r="U163" s="17"/>
      <c r="V163" s="17"/>
      <c r="W163" s="17"/>
      <c r="X163" s="17"/>
    </row>
    <row r="164" spans="1:24">
      <c r="A164" s="1"/>
      <c r="B164" s="1"/>
      <c r="C164" s="17"/>
      <c r="D164" s="17"/>
      <c r="E164" s="17"/>
      <c r="F164" s="17"/>
      <c r="G164" s="17"/>
      <c r="H164" s="17"/>
      <c r="I164" s="17"/>
      <c r="J164" s="17"/>
      <c r="K164" s="17"/>
      <c r="L164" s="17"/>
      <c r="N164" s="1"/>
      <c r="O164" s="17"/>
      <c r="P164" s="17"/>
      <c r="Q164" s="17"/>
      <c r="R164" s="17"/>
      <c r="S164" s="17"/>
      <c r="T164" s="17"/>
      <c r="U164" s="17"/>
      <c r="V164" s="17"/>
      <c r="W164" s="17"/>
      <c r="X164" s="17"/>
    </row>
    <row r="165" spans="1:24">
      <c r="A165" s="1"/>
      <c r="B165" s="1"/>
      <c r="C165" s="17"/>
      <c r="D165" s="17"/>
      <c r="E165" s="17"/>
      <c r="F165" s="17"/>
      <c r="G165" s="17"/>
      <c r="H165" s="17"/>
      <c r="I165" s="17"/>
      <c r="J165" s="17"/>
      <c r="K165" s="17"/>
      <c r="L165" s="17"/>
      <c r="N165" s="1"/>
      <c r="O165" s="17"/>
      <c r="P165" s="17"/>
      <c r="Q165" s="17"/>
      <c r="R165" s="17"/>
      <c r="S165" s="17"/>
      <c r="T165" s="17"/>
      <c r="U165" s="17"/>
      <c r="V165" s="17"/>
      <c r="W165" s="17"/>
      <c r="X165" s="17"/>
    </row>
    <row r="166" spans="1:24">
      <c r="A166" s="1"/>
      <c r="B166" s="1"/>
      <c r="C166" s="17"/>
      <c r="D166" s="17"/>
      <c r="E166" s="17"/>
      <c r="F166" s="17"/>
      <c r="G166" s="17"/>
      <c r="H166" s="17"/>
      <c r="I166" s="17"/>
      <c r="J166" s="17"/>
      <c r="K166" s="17"/>
      <c r="L166" s="17"/>
      <c r="N166" s="1"/>
      <c r="O166" s="17"/>
      <c r="P166" s="17"/>
      <c r="Q166" s="17"/>
      <c r="R166" s="17"/>
      <c r="S166" s="17"/>
      <c r="T166" s="17"/>
      <c r="U166" s="17"/>
      <c r="V166" s="17"/>
      <c r="W166" s="17"/>
      <c r="X166" s="17"/>
    </row>
    <row r="167" spans="1:24">
      <c r="A167" s="1"/>
      <c r="B167" s="1"/>
      <c r="C167" s="17"/>
      <c r="D167" s="17"/>
      <c r="E167" s="17"/>
      <c r="F167" s="17"/>
      <c r="G167" s="17"/>
      <c r="H167" s="17"/>
      <c r="I167" s="17"/>
      <c r="J167" s="17"/>
      <c r="K167" s="17"/>
      <c r="L167" s="17"/>
      <c r="N167" s="1"/>
      <c r="O167" s="17"/>
      <c r="P167" s="17"/>
      <c r="Q167" s="17"/>
      <c r="R167" s="17"/>
      <c r="S167" s="17"/>
      <c r="T167" s="17"/>
      <c r="U167" s="17"/>
      <c r="V167" s="17"/>
      <c r="W167" s="17"/>
      <c r="X167" s="17"/>
    </row>
    <row r="168" spans="1:24">
      <c r="A168" s="1"/>
      <c r="B168" s="1"/>
      <c r="C168" s="17"/>
      <c r="D168" s="17"/>
      <c r="E168" s="17"/>
      <c r="F168" s="17"/>
      <c r="G168" s="17"/>
      <c r="H168" s="17"/>
      <c r="I168" s="17"/>
      <c r="J168" s="17"/>
      <c r="K168" s="17"/>
      <c r="L168" s="17"/>
      <c r="N168" s="1"/>
      <c r="O168" s="17"/>
      <c r="P168" s="17"/>
      <c r="Q168" s="17"/>
      <c r="R168" s="17"/>
      <c r="S168" s="17"/>
      <c r="T168" s="17"/>
      <c r="U168" s="17"/>
      <c r="V168" s="17"/>
      <c r="W168" s="17"/>
      <c r="X168" s="17"/>
    </row>
    <row r="169" spans="1:24">
      <c r="A169" s="1"/>
      <c r="B169" s="1"/>
      <c r="C169" s="17"/>
      <c r="D169" s="17"/>
      <c r="E169" s="17"/>
      <c r="F169" s="17"/>
      <c r="G169" s="17"/>
      <c r="H169" s="17"/>
      <c r="I169" s="17"/>
      <c r="J169" s="17"/>
      <c r="K169" s="17"/>
      <c r="L169" s="17"/>
      <c r="N169" s="1"/>
      <c r="O169" s="17"/>
      <c r="P169" s="17"/>
      <c r="Q169" s="17"/>
      <c r="R169" s="17"/>
      <c r="S169" s="17"/>
      <c r="T169" s="17"/>
      <c r="U169" s="17"/>
      <c r="V169" s="17"/>
      <c r="W169" s="17"/>
      <c r="X169" s="17"/>
    </row>
    <row r="170" spans="1:24">
      <c r="A170" s="1"/>
      <c r="B170" s="1"/>
      <c r="C170" s="17"/>
      <c r="D170" s="17"/>
      <c r="E170" s="17"/>
      <c r="F170" s="17"/>
      <c r="G170" s="17"/>
      <c r="H170" s="17"/>
      <c r="I170" s="17"/>
      <c r="J170" s="17"/>
      <c r="K170" s="17"/>
      <c r="L170" s="17"/>
      <c r="N170" s="1"/>
      <c r="O170" s="17"/>
      <c r="P170" s="17"/>
      <c r="Q170" s="17"/>
      <c r="R170" s="17"/>
      <c r="S170" s="17"/>
      <c r="T170" s="17"/>
      <c r="U170" s="17"/>
      <c r="V170" s="17"/>
      <c r="W170" s="17"/>
      <c r="X170" s="17"/>
    </row>
    <row r="171" spans="1:24">
      <c r="A171" s="1"/>
      <c r="B171" s="1"/>
      <c r="C171" s="17"/>
      <c r="D171" s="17"/>
      <c r="E171" s="17"/>
      <c r="F171" s="17"/>
      <c r="G171" s="17"/>
      <c r="H171" s="17"/>
      <c r="I171" s="17"/>
      <c r="J171" s="17"/>
      <c r="K171" s="17"/>
      <c r="L171" s="17"/>
      <c r="N171" s="1"/>
      <c r="O171" s="17"/>
      <c r="P171" s="17"/>
      <c r="Q171" s="17"/>
      <c r="R171" s="17"/>
      <c r="S171" s="17"/>
      <c r="T171" s="17"/>
      <c r="U171" s="17"/>
      <c r="V171" s="17"/>
      <c r="W171" s="17"/>
      <c r="X171" s="17"/>
    </row>
    <row r="172" spans="1:24">
      <c r="A172" s="1"/>
      <c r="B172" s="1"/>
      <c r="C172" s="17"/>
      <c r="D172" s="17"/>
      <c r="E172" s="17"/>
      <c r="F172" s="17"/>
      <c r="G172" s="17"/>
      <c r="H172" s="17"/>
      <c r="I172" s="17"/>
      <c r="J172" s="17"/>
      <c r="K172" s="17"/>
      <c r="L172" s="17"/>
      <c r="N172" s="1"/>
      <c r="O172" s="17"/>
      <c r="P172" s="17"/>
      <c r="Q172" s="17"/>
      <c r="R172" s="17"/>
      <c r="S172" s="17"/>
      <c r="T172" s="17"/>
      <c r="U172" s="17"/>
      <c r="V172" s="17"/>
      <c r="W172" s="17"/>
      <c r="X172" s="17"/>
    </row>
    <row r="173" spans="1:24">
      <c r="A173" s="1"/>
      <c r="B173" s="1"/>
      <c r="C173" s="17"/>
      <c r="D173" s="17"/>
      <c r="E173" s="17"/>
      <c r="F173" s="17"/>
      <c r="G173" s="17"/>
      <c r="H173" s="17"/>
      <c r="I173" s="17"/>
      <c r="J173" s="17"/>
      <c r="K173" s="17"/>
      <c r="L173" s="17"/>
      <c r="N173" s="1"/>
      <c r="O173" s="17"/>
      <c r="P173" s="17"/>
      <c r="Q173" s="17"/>
      <c r="R173" s="17"/>
      <c r="S173" s="17"/>
      <c r="T173" s="17"/>
      <c r="U173" s="17"/>
      <c r="V173" s="17"/>
      <c r="W173" s="17"/>
      <c r="X173" s="17"/>
    </row>
    <row r="174" spans="1:24">
      <c r="A174" s="1"/>
      <c r="B174" s="1"/>
      <c r="C174" s="17"/>
      <c r="D174" s="17"/>
      <c r="E174" s="17"/>
      <c r="F174" s="17"/>
      <c r="G174" s="17"/>
      <c r="H174" s="17"/>
      <c r="I174" s="17"/>
      <c r="J174" s="17"/>
      <c r="K174" s="17"/>
      <c r="L174" s="17"/>
      <c r="N174" s="1"/>
      <c r="O174" s="17"/>
      <c r="P174" s="17"/>
      <c r="Q174" s="17"/>
      <c r="R174" s="17"/>
      <c r="S174" s="17"/>
      <c r="T174" s="17"/>
      <c r="U174" s="17"/>
      <c r="V174" s="17"/>
      <c r="W174" s="17"/>
      <c r="X174" s="17"/>
    </row>
    <row r="175" spans="1:24">
      <c r="A175" s="1"/>
      <c r="B175" s="1"/>
      <c r="C175" s="17"/>
      <c r="D175" s="17"/>
      <c r="E175" s="17"/>
      <c r="F175" s="17"/>
      <c r="G175" s="17"/>
      <c r="H175" s="17"/>
      <c r="I175" s="17"/>
      <c r="J175" s="17"/>
      <c r="K175" s="17"/>
      <c r="L175" s="17"/>
      <c r="N175" s="1"/>
      <c r="O175" s="17"/>
      <c r="P175" s="17"/>
      <c r="Q175" s="17"/>
      <c r="R175" s="17"/>
      <c r="S175" s="17"/>
      <c r="T175" s="17"/>
      <c r="U175" s="17"/>
      <c r="V175" s="17"/>
      <c r="W175" s="17"/>
      <c r="X175" s="17"/>
    </row>
    <row r="176" spans="1:24">
      <c r="A176" s="1"/>
      <c r="B176" s="1"/>
      <c r="C176" s="17"/>
      <c r="D176" s="17"/>
      <c r="E176" s="17"/>
      <c r="F176" s="17"/>
      <c r="G176" s="17"/>
      <c r="H176" s="17"/>
      <c r="I176" s="17"/>
      <c r="J176" s="17"/>
      <c r="K176" s="17"/>
      <c r="L176" s="17"/>
      <c r="N176" s="1"/>
      <c r="O176" s="17"/>
      <c r="P176" s="17"/>
      <c r="Q176" s="17"/>
      <c r="R176" s="17"/>
      <c r="S176" s="17"/>
      <c r="T176" s="17"/>
      <c r="U176" s="17"/>
      <c r="V176" s="17"/>
      <c r="W176" s="17"/>
      <c r="X176" s="17"/>
    </row>
    <row r="177" spans="1:24">
      <c r="A177" s="1"/>
      <c r="B177" s="1"/>
      <c r="C177" s="17"/>
      <c r="D177" s="17"/>
      <c r="E177" s="17"/>
      <c r="F177" s="17"/>
      <c r="G177" s="17"/>
      <c r="H177" s="17"/>
      <c r="I177" s="17"/>
      <c r="J177" s="17"/>
      <c r="K177" s="17"/>
      <c r="L177" s="17"/>
      <c r="N177" s="1"/>
      <c r="O177" s="17"/>
      <c r="P177" s="17"/>
      <c r="Q177" s="17"/>
      <c r="R177" s="17"/>
      <c r="S177" s="17"/>
      <c r="T177" s="17"/>
      <c r="U177" s="17"/>
      <c r="V177" s="17"/>
      <c r="W177" s="17"/>
      <c r="X177" s="17"/>
    </row>
    <row r="178" spans="1:24">
      <c r="A178" s="1"/>
      <c r="B178" s="1"/>
      <c r="C178" s="17"/>
      <c r="D178" s="17"/>
      <c r="E178" s="17"/>
      <c r="F178" s="17"/>
      <c r="G178" s="17"/>
      <c r="H178" s="17"/>
      <c r="I178" s="17"/>
      <c r="J178" s="17"/>
      <c r="K178" s="17"/>
      <c r="L178" s="17"/>
      <c r="N178" s="1"/>
      <c r="O178" s="17"/>
      <c r="P178" s="17"/>
      <c r="Q178" s="17"/>
      <c r="R178" s="17"/>
      <c r="S178" s="17"/>
      <c r="T178" s="17"/>
      <c r="U178" s="17"/>
      <c r="V178" s="17"/>
      <c r="W178" s="17"/>
      <c r="X178" s="17"/>
    </row>
    <row r="179" spans="1:24">
      <c r="A179" s="1"/>
      <c r="B179" s="1"/>
      <c r="C179" s="17"/>
      <c r="D179" s="17"/>
      <c r="E179" s="17"/>
      <c r="F179" s="17"/>
      <c r="G179" s="17"/>
      <c r="H179" s="17"/>
      <c r="I179" s="17"/>
      <c r="J179" s="17"/>
      <c r="K179" s="17"/>
      <c r="L179" s="17"/>
      <c r="N179" s="1"/>
      <c r="O179" s="17"/>
      <c r="P179" s="17"/>
      <c r="Q179" s="17"/>
      <c r="R179" s="17"/>
      <c r="S179" s="17"/>
      <c r="T179" s="17"/>
      <c r="U179" s="17"/>
      <c r="V179" s="17"/>
      <c r="W179" s="17"/>
      <c r="X179" s="17"/>
    </row>
    <row r="180" spans="1:24">
      <c r="A180" s="1"/>
      <c r="B180" s="1"/>
      <c r="C180" s="17"/>
      <c r="D180" s="17"/>
      <c r="E180" s="17"/>
      <c r="F180" s="17"/>
      <c r="G180" s="17"/>
      <c r="H180" s="17"/>
      <c r="I180" s="17"/>
      <c r="J180" s="17"/>
      <c r="K180" s="17"/>
      <c r="L180" s="17"/>
      <c r="N180" s="1"/>
      <c r="O180" s="17"/>
      <c r="P180" s="17"/>
      <c r="Q180" s="17"/>
      <c r="R180" s="17"/>
      <c r="S180" s="17"/>
      <c r="T180" s="17"/>
      <c r="U180" s="17"/>
      <c r="V180" s="17"/>
      <c r="W180" s="17"/>
      <c r="X180" s="17"/>
    </row>
    <row r="181" spans="1:24">
      <c r="A181" s="1"/>
      <c r="B181" s="1"/>
      <c r="C181" s="17"/>
      <c r="D181" s="17"/>
      <c r="E181" s="17"/>
      <c r="F181" s="17"/>
      <c r="G181" s="17"/>
      <c r="H181" s="17"/>
      <c r="I181" s="17"/>
      <c r="J181" s="17"/>
      <c r="K181" s="17"/>
      <c r="L181" s="17"/>
      <c r="N181" s="1"/>
      <c r="O181" s="17"/>
      <c r="P181" s="17"/>
      <c r="Q181" s="17"/>
      <c r="R181" s="17"/>
      <c r="S181" s="17"/>
      <c r="T181" s="17"/>
      <c r="U181" s="17"/>
      <c r="V181" s="17"/>
      <c r="W181" s="17"/>
      <c r="X181" s="17"/>
    </row>
    <row r="182" spans="1:24">
      <c r="A182" s="1"/>
      <c r="B182" s="1"/>
      <c r="C182" s="17"/>
      <c r="D182" s="17"/>
      <c r="E182" s="17"/>
      <c r="F182" s="17"/>
      <c r="G182" s="17"/>
      <c r="H182" s="17"/>
      <c r="I182" s="17"/>
      <c r="J182" s="17"/>
      <c r="K182" s="17"/>
      <c r="L182" s="17"/>
      <c r="N182" s="1"/>
      <c r="O182" s="17"/>
      <c r="P182" s="17"/>
      <c r="Q182" s="17"/>
      <c r="R182" s="17"/>
      <c r="S182" s="17"/>
      <c r="T182" s="17"/>
      <c r="U182" s="17"/>
      <c r="V182" s="17"/>
      <c r="W182" s="17"/>
      <c r="X182" s="17"/>
    </row>
    <row r="183" spans="1:24">
      <c r="A183" s="1"/>
      <c r="B183" s="1"/>
      <c r="C183" s="17"/>
      <c r="D183" s="17"/>
      <c r="E183" s="17"/>
      <c r="F183" s="17"/>
      <c r="G183" s="17"/>
      <c r="H183" s="17"/>
      <c r="I183" s="17"/>
      <c r="J183" s="17"/>
      <c r="K183" s="17"/>
      <c r="L183" s="17"/>
      <c r="N183" s="1"/>
      <c r="O183" s="17"/>
      <c r="P183" s="17"/>
      <c r="Q183" s="17"/>
      <c r="R183" s="17"/>
      <c r="S183" s="17"/>
      <c r="T183" s="17"/>
      <c r="U183" s="17"/>
      <c r="V183" s="17"/>
      <c r="W183" s="17"/>
      <c r="X183" s="17"/>
    </row>
    <row r="184" spans="1:24">
      <c r="A184" s="1"/>
      <c r="B184" s="1"/>
      <c r="C184" s="17"/>
      <c r="D184" s="17"/>
      <c r="E184" s="17"/>
      <c r="F184" s="17"/>
      <c r="G184" s="17"/>
      <c r="H184" s="17"/>
      <c r="I184" s="17"/>
      <c r="J184" s="17"/>
      <c r="K184" s="17"/>
      <c r="L184" s="17"/>
      <c r="N184" s="1"/>
      <c r="O184" s="17"/>
      <c r="P184" s="17"/>
      <c r="Q184" s="17"/>
      <c r="R184" s="17"/>
      <c r="S184" s="17"/>
      <c r="T184" s="17"/>
      <c r="U184" s="17"/>
      <c r="V184" s="17"/>
      <c r="W184" s="17"/>
      <c r="X184" s="17"/>
    </row>
    <row r="185" spans="1:24">
      <c r="A185" s="1"/>
      <c r="B185" s="1"/>
      <c r="C185" s="17"/>
      <c r="D185" s="17"/>
      <c r="E185" s="17"/>
      <c r="F185" s="17"/>
      <c r="G185" s="17"/>
      <c r="H185" s="17"/>
      <c r="I185" s="17"/>
      <c r="J185" s="17"/>
      <c r="K185" s="17"/>
      <c r="L185" s="17"/>
      <c r="N185" s="1"/>
      <c r="O185" s="17"/>
      <c r="P185" s="17"/>
      <c r="Q185" s="17"/>
      <c r="R185" s="17"/>
      <c r="S185" s="17"/>
      <c r="T185" s="17"/>
      <c r="U185" s="17"/>
      <c r="V185" s="17"/>
      <c r="W185" s="17"/>
      <c r="X185" s="17"/>
    </row>
    <row r="186" spans="1:24">
      <c r="A186" s="1"/>
      <c r="B186" s="1"/>
      <c r="C186" s="17"/>
      <c r="D186" s="17"/>
      <c r="E186" s="17"/>
      <c r="F186" s="17"/>
      <c r="G186" s="17"/>
      <c r="H186" s="17"/>
      <c r="I186" s="17"/>
      <c r="J186" s="17"/>
      <c r="K186" s="17"/>
      <c r="L186" s="17"/>
      <c r="N186" s="1"/>
      <c r="O186" s="17"/>
      <c r="P186" s="17"/>
      <c r="Q186" s="17"/>
      <c r="R186" s="17"/>
      <c r="S186" s="17"/>
      <c r="T186" s="17"/>
      <c r="U186" s="17"/>
      <c r="V186" s="17"/>
      <c r="W186" s="17"/>
      <c r="X186" s="17"/>
    </row>
    <row r="187" spans="1:24">
      <c r="A187" s="1"/>
      <c r="B187" s="1"/>
      <c r="C187" s="17"/>
      <c r="D187" s="17"/>
      <c r="E187" s="17"/>
      <c r="F187" s="17"/>
      <c r="G187" s="17"/>
      <c r="H187" s="17"/>
      <c r="I187" s="17"/>
      <c r="J187" s="17"/>
      <c r="K187" s="17"/>
      <c r="L187" s="17"/>
      <c r="N187" s="1"/>
      <c r="O187" s="17"/>
      <c r="P187" s="17"/>
      <c r="Q187" s="17"/>
      <c r="R187" s="17"/>
      <c r="S187" s="17"/>
      <c r="T187" s="17"/>
      <c r="U187" s="17"/>
      <c r="V187" s="17"/>
      <c r="W187" s="17"/>
      <c r="X187" s="17"/>
    </row>
    <row r="188" spans="1:24">
      <c r="A188" s="1"/>
      <c r="B188" s="1"/>
      <c r="C188" s="17"/>
      <c r="D188" s="17"/>
      <c r="E188" s="17"/>
      <c r="F188" s="17"/>
      <c r="G188" s="17"/>
      <c r="H188" s="17"/>
      <c r="I188" s="17"/>
      <c r="J188" s="17"/>
      <c r="K188" s="17"/>
      <c r="L188" s="17"/>
      <c r="N188" s="1"/>
      <c r="O188" s="17"/>
      <c r="P188" s="17"/>
      <c r="Q188" s="17"/>
      <c r="R188" s="17"/>
      <c r="S188" s="17"/>
      <c r="T188" s="17"/>
      <c r="U188" s="17"/>
      <c r="V188" s="17"/>
      <c r="W188" s="17"/>
      <c r="X188" s="17"/>
    </row>
    <row r="189" spans="1:24">
      <c r="A189" s="1"/>
      <c r="B189" s="1"/>
      <c r="C189" s="17"/>
      <c r="D189" s="17"/>
      <c r="E189" s="17"/>
      <c r="F189" s="17"/>
      <c r="G189" s="17"/>
      <c r="H189" s="17"/>
      <c r="I189" s="17"/>
      <c r="J189" s="17"/>
      <c r="K189" s="17"/>
      <c r="L189" s="17"/>
      <c r="N189" s="1"/>
      <c r="O189" s="17"/>
      <c r="P189" s="17"/>
      <c r="Q189" s="17"/>
      <c r="R189" s="17"/>
      <c r="S189" s="17"/>
      <c r="T189" s="17"/>
      <c r="U189" s="17"/>
      <c r="V189" s="17"/>
      <c r="W189" s="17"/>
      <c r="X189" s="17"/>
    </row>
    <row r="190" spans="1:24">
      <c r="A190" s="1"/>
      <c r="B190" s="1"/>
      <c r="C190" s="17"/>
      <c r="D190" s="17"/>
      <c r="E190" s="17"/>
      <c r="F190" s="17"/>
      <c r="G190" s="17"/>
      <c r="H190" s="17"/>
      <c r="I190" s="17"/>
      <c r="J190" s="17"/>
      <c r="K190" s="17"/>
      <c r="L190" s="17"/>
      <c r="N190" s="1"/>
      <c r="O190" s="17"/>
      <c r="P190" s="17"/>
      <c r="Q190" s="17"/>
      <c r="R190" s="17"/>
      <c r="S190" s="17"/>
      <c r="T190" s="17"/>
      <c r="U190" s="17"/>
      <c r="V190" s="17"/>
      <c r="W190" s="17"/>
      <c r="X190" s="17"/>
    </row>
    <row r="191" spans="1:24">
      <c r="A191" s="1"/>
      <c r="B191" s="1"/>
      <c r="C191" s="17"/>
      <c r="D191" s="17"/>
      <c r="E191" s="17"/>
      <c r="F191" s="17"/>
      <c r="G191" s="17"/>
      <c r="H191" s="17"/>
      <c r="I191" s="17"/>
      <c r="J191" s="17"/>
      <c r="K191" s="17"/>
      <c r="L191" s="17"/>
      <c r="N191" s="1"/>
      <c r="O191" s="17"/>
      <c r="P191" s="17"/>
      <c r="Q191" s="17"/>
      <c r="R191" s="17"/>
      <c r="S191" s="17"/>
      <c r="T191" s="17"/>
      <c r="U191" s="17"/>
      <c r="V191" s="17"/>
      <c r="W191" s="17"/>
      <c r="X191" s="17"/>
    </row>
    <row r="192" spans="1:24">
      <c r="A192" s="1"/>
      <c r="B192" s="1"/>
      <c r="C192" s="17"/>
      <c r="D192" s="17"/>
      <c r="E192" s="17"/>
      <c r="F192" s="17"/>
      <c r="G192" s="17"/>
      <c r="H192" s="17"/>
      <c r="I192" s="17"/>
      <c r="J192" s="17"/>
      <c r="K192" s="17"/>
      <c r="L192" s="17"/>
      <c r="N192" s="1"/>
      <c r="O192" s="17"/>
      <c r="P192" s="17"/>
      <c r="Q192" s="17"/>
      <c r="R192" s="17"/>
      <c r="S192" s="17"/>
      <c r="T192" s="17"/>
      <c r="U192" s="17"/>
      <c r="V192" s="17"/>
      <c r="W192" s="17"/>
      <c r="X192" s="17"/>
    </row>
    <row r="193" spans="1:24">
      <c r="A193" s="1"/>
      <c r="B193" s="1"/>
      <c r="C193" s="17"/>
      <c r="D193" s="17"/>
      <c r="E193" s="17"/>
      <c r="F193" s="17"/>
      <c r="G193" s="17"/>
      <c r="H193" s="17"/>
      <c r="I193" s="17"/>
      <c r="J193" s="17"/>
      <c r="K193" s="17"/>
      <c r="L193" s="17"/>
      <c r="N193" s="1"/>
      <c r="O193" s="17"/>
      <c r="P193" s="17"/>
      <c r="Q193" s="17"/>
      <c r="R193" s="17"/>
      <c r="S193" s="17"/>
      <c r="T193" s="17"/>
      <c r="U193" s="17"/>
      <c r="V193" s="17"/>
      <c r="W193" s="17"/>
      <c r="X193" s="17"/>
    </row>
    <row r="194" spans="1:24">
      <c r="A194" s="1"/>
      <c r="B194" s="1"/>
      <c r="C194" s="17"/>
      <c r="D194" s="17"/>
      <c r="E194" s="17"/>
      <c r="F194" s="17"/>
      <c r="G194" s="17"/>
      <c r="H194" s="17"/>
      <c r="I194" s="17"/>
      <c r="J194" s="17"/>
      <c r="K194" s="17"/>
      <c r="L194" s="17"/>
      <c r="N194" s="1"/>
      <c r="O194" s="17"/>
      <c r="P194" s="17"/>
      <c r="Q194" s="17"/>
      <c r="R194" s="17"/>
      <c r="S194" s="17"/>
      <c r="T194" s="17"/>
      <c r="U194" s="17"/>
      <c r="V194" s="17"/>
      <c r="W194" s="17"/>
      <c r="X194" s="17"/>
    </row>
    <row r="195" spans="1:24">
      <c r="A195" s="1"/>
      <c r="B195" s="1"/>
      <c r="C195" s="17"/>
      <c r="D195" s="17"/>
      <c r="E195" s="17"/>
      <c r="F195" s="17"/>
      <c r="G195" s="17"/>
      <c r="H195" s="17"/>
      <c r="I195" s="17"/>
      <c r="J195" s="17"/>
      <c r="K195" s="17"/>
      <c r="L195" s="17"/>
      <c r="N195" s="1"/>
      <c r="O195" s="17"/>
      <c r="P195" s="17"/>
      <c r="Q195" s="17"/>
      <c r="R195" s="17"/>
      <c r="S195" s="17"/>
      <c r="T195" s="17"/>
      <c r="U195" s="17"/>
      <c r="V195" s="17"/>
      <c r="W195" s="17"/>
      <c r="X195" s="17"/>
    </row>
    <row r="196" spans="1:24">
      <c r="A196" s="1"/>
      <c r="B196" s="1"/>
      <c r="C196" s="17"/>
      <c r="D196" s="17"/>
      <c r="E196" s="17"/>
      <c r="F196" s="17"/>
      <c r="G196" s="17"/>
      <c r="H196" s="17"/>
      <c r="I196" s="17"/>
      <c r="J196" s="17"/>
      <c r="K196" s="17"/>
      <c r="L196" s="17"/>
      <c r="N196" s="1"/>
      <c r="O196" s="17"/>
      <c r="P196" s="17"/>
      <c r="Q196" s="17"/>
      <c r="R196" s="17"/>
      <c r="S196" s="17"/>
      <c r="T196" s="17"/>
      <c r="U196" s="17"/>
      <c r="V196" s="17"/>
      <c r="W196" s="17"/>
      <c r="X196" s="17"/>
    </row>
    <row r="197" spans="1:24">
      <c r="A197" s="1"/>
      <c r="B197" s="1"/>
      <c r="C197" s="17"/>
      <c r="D197" s="17"/>
      <c r="E197" s="17"/>
      <c r="F197" s="17"/>
      <c r="G197" s="17"/>
      <c r="H197" s="17"/>
      <c r="I197" s="17"/>
      <c r="J197" s="17"/>
      <c r="K197" s="17"/>
      <c r="L197" s="17"/>
      <c r="N197" s="1"/>
      <c r="O197" s="17"/>
      <c r="P197" s="17"/>
      <c r="Q197" s="17"/>
      <c r="R197" s="17"/>
      <c r="S197" s="17"/>
      <c r="T197" s="17"/>
      <c r="U197" s="17"/>
      <c r="V197" s="17"/>
      <c r="W197" s="17"/>
      <c r="X197" s="17"/>
    </row>
    <row r="198" spans="1:24">
      <c r="A198" s="1"/>
      <c r="B198" s="1"/>
      <c r="C198" s="17"/>
      <c r="D198" s="17"/>
      <c r="E198" s="17"/>
      <c r="F198" s="17"/>
      <c r="G198" s="17"/>
      <c r="H198" s="17"/>
      <c r="I198" s="17"/>
      <c r="J198" s="17"/>
      <c r="K198" s="17"/>
      <c r="L198" s="17"/>
      <c r="N198" s="1"/>
      <c r="O198" s="17"/>
      <c r="P198" s="17"/>
      <c r="Q198" s="17"/>
      <c r="R198" s="17"/>
      <c r="S198" s="17"/>
      <c r="T198" s="17"/>
      <c r="U198" s="17"/>
      <c r="V198" s="17"/>
      <c r="W198" s="17"/>
      <c r="X198" s="17"/>
    </row>
    <row r="199" spans="1:24">
      <c r="A199" s="1"/>
      <c r="B199" s="1"/>
      <c r="C199" s="17"/>
      <c r="D199" s="17"/>
      <c r="E199" s="17"/>
      <c r="F199" s="17"/>
      <c r="G199" s="17"/>
      <c r="H199" s="17"/>
      <c r="I199" s="17"/>
      <c r="J199" s="17"/>
      <c r="K199" s="17"/>
      <c r="L199" s="17"/>
      <c r="N199" s="1"/>
      <c r="O199" s="17"/>
      <c r="P199" s="17"/>
      <c r="Q199" s="17"/>
      <c r="R199" s="17"/>
      <c r="S199" s="17"/>
      <c r="T199" s="17"/>
      <c r="U199" s="17"/>
      <c r="V199" s="17"/>
      <c r="W199" s="17"/>
      <c r="X199" s="17"/>
    </row>
    <row r="200" spans="1:24">
      <c r="A200" s="1"/>
      <c r="B200" s="1"/>
      <c r="C200" s="17"/>
      <c r="D200" s="17"/>
      <c r="E200" s="17"/>
      <c r="F200" s="17"/>
      <c r="G200" s="17"/>
      <c r="H200" s="17"/>
      <c r="I200" s="17"/>
      <c r="J200" s="17"/>
      <c r="K200" s="17"/>
      <c r="L200" s="17"/>
      <c r="N200" s="1"/>
      <c r="O200" s="17"/>
      <c r="P200" s="17"/>
      <c r="Q200" s="17"/>
      <c r="R200" s="17"/>
      <c r="S200" s="17"/>
      <c r="T200" s="17"/>
      <c r="U200" s="17"/>
      <c r="V200" s="17"/>
      <c r="W200" s="17"/>
      <c r="X200" s="17"/>
    </row>
    <row r="201" spans="1:24">
      <c r="A201" s="1"/>
      <c r="B201" s="1"/>
      <c r="C201" s="17"/>
      <c r="D201" s="17"/>
      <c r="E201" s="17"/>
      <c r="F201" s="17"/>
      <c r="G201" s="17"/>
      <c r="H201" s="17"/>
      <c r="I201" s="17"/>
      <c r="J201" s="17"/>
      <c r="K201" s="17"/>
      <c r="L201" s="17"/>
      <c r="N201" s="1"/>
      <c r="O201" s="17"/>
      <c r="P201" s="17"/>
      <c r="Q201" s="17"/>
      <c r="R201" s="17"/>
      <c r="S201" s="17"/>
      <c r="T201" s="17"/>
      <c r="U201" s="17"/>
      <c r="V201" s="17"/>
      <c r="W201" s="17"/>
      <c r="X201" s="17"/>
    </row>
    <row r="202" spans="1:24">
      <c r="A202" s="1"/>
      <c r="B202" s="1"/>
      <c r="C202" s="17"/>
      <c r="D202" s="17"/>
      <c r="E202" s="17"/>
      <c r="F202" s="17"/>
      <c r="G202" s="17"/>
      <c r="H202" s="17"/>
      <c r="I202" s="17"/>
      <c r="J202" s="17"/>
      <c r="K202" s="17"/>
      <c r="L202" s="17"/>
      <c r="N202" s="1"/>
      <c r="O202" s="17"/>
      <c r="P202" s="17"/>
      <c r="Q202" s="17"/>
      <c r="R202" s="17"/>
      <c r="S202" s="17"/>
      <c r="T202" s="17"/>
      <c r="U202" s="17"/>
      <c r="V202" s="17"/>
      <c r="W202" s="17"/>
      <c r="X202" s="17"/>
    </row>
    <row r="203" spans="1:24">
      <c r="A203" s="1"/>
      <c r="B203" s="1"/>
      <c r="C203" s="17"/>
      <c r="D203" s="17"/>
      <c r="E203" s="17"/>
      <c r="F203" s="17"/>
      <c r="G203" s="17"/>
      <c r="H203" s="17"/>
      <c r="I203" s="17"/>
      <c r="J203" s="17"/>
      <c r="K203" s="17"/>
      <c r="L203" s="17"/>
      <c r="N203" s="1"/>
      <c r="O203" s="17"/>
      <c r="P203" s="17"/>
      <c r="Q203" s="17"/>
      <c r="R203" s="17"/>
      <c r="S203" s="17"/>
      <c r="T203" s="17"/>
      <c r="U203" s="17"/>
      <c r="V203" s="17"/>
      <c r="W203" s="17"/>
      <c r="X203" s="17"/>
    </row>
    <row r="204" spans="1:24">
      <c r="A204" s="1"/>
      <c r="B204" s="1"/>
      <c r="C204" s="17"/>
      <c r="D204" s="17"/>
      <c r="E204" s="17"/>
      <c r="F204" s="17"/>
      <c r="G204" s="17"/>
      <c r="H204" s="17"/>
      <c r="I204" s="17"/>
      <c r="J204" s="17"/>
      <c r="K204" s="17"/>
      <c r="L204" s="17"/>
      <c r="N204" s="1"/>
      <c r="O204" s="17"/>
      <c r="P204" s="17"/>
      <c r="Q204" s="17"/>
      <c r="R204" s="17"/>
      <c r="S204" s="17"/>
      <c r="T204" s="17"/>
      <c r="U204" s="17"/>
      <c r="V204" s="17"/>
      <c r="W204" s="17"/>
      <c r="X204" s="17"/>
    </row>
    <row r="205" spans="1:24">
      <c r="A205" s="1"/>
      <c r="B205" s="1"/>
      <c r="C205" s="17"/>
      <c r="D205" s="17"/>
      <c r="E205" s="17"/>
      <c r="F205" s="17"/>
      <c r="G205" s="17"/>
      <c r="H205" s="17"/>
      <c r="I205" s="17"/>
      <c r="J205" s="17"/>
      <c r="K205" s="17"/>
      <c r="L205" s="17"/>
      <c r="N205" s="1"/>
      <c r="O205" s="17"/>
      <c r="P205" s="17"/>
      <c r="Q205" s="17"/>
      <c r="R205" s="17"/>
      <c r="S205" s="17"/>
      <c r="T205" s="17"/>
      <c r="U205" s="17"/>
      <c r="V205" s="17"/>
      <c r="W205" s="17"/>
      <c r="X205" s="17"/>
    </row>
    <row r="206" spans="1:24">
      <c r="A206" s="1"/>
      <c r="B206" s="1"/>
      <c r="C206" s="17"/>
      <c r="D206" s="17"/>
      <c r="E206" s="17"/>
      <c r="F206" s="17"/>
      <c r="G206" s="17"/>
      <c r="H206" s="17"/>
      <c r="I206" s="17"/>
      <c r="J206" s="17"/>
      <c r="K206" s="17"/>
      <c r="L206" s="17"/>
      <c r="N206" s="1"/>
      <c r="O206" s="17"/>
      <c r="P206" s="17"/>
      <c r="Q206" s="17"/>
      <c r="R206" s="17"/>
      <c r="S206" s="17"/>
      <c r="T206" s="17"/>
      <c r="U206" s="17"/>
      <c r="V206" s="17"/>
      <c r="W206" s="17"/>
      <c r="X206" s="17"/>
    </row>
    <row r="207" spans="1:24">
      <c r="A207" s="1"/>
      <c r="B207" s="1"/>
      <c r="C207" s="17"/>
      <c r="D207" s="17"/>
      <c r="E207" s="17"/>
      <c r="F207" s="17"/>
      <c r="G207" s="17"/>
      <c r="H207" s="17"/>
      <c r="I207" s="17"/>
      <c r="J207" s="17"/>
      <c r="K207" s="17"/>
      <c r="L207" s="17"/>
      <c r="N207" s="1"/>
      <c r="O207" s="17"/>
      <c r="P207" s="17"/>
      <c r="Q207" s="17"/>
      <c r="R207" s="17"/>
      <c r="S207" s="17"/>
      <c r="T207" s="17"/>
      <c r="U207" s="17"/>
      <c r="V207" s="17"/>
      <c r="W207" s="17"/>
      <c r="X207" s="17"/>
    </row>
    <row r="208" spans="1:24">
      <c r="A208" s="1"/>
      <c r="B208" s="1"/>
      <c r="C208" s="17"/>
      <c r="D208" s="17"/>
      <c r="E208" s="17"/>
      <c r="F208" s="17"/>
      <c r="G208" s="17"/>
      <c r="H208" s="17"/>
      <c r="I208" s="17"/>
      <c r="J208" s="17"/>
      <c r="K208" s="17"/>
      <c r="L208" s="17"/>
      <c r="N208" s="1"/>
      <c r="O208" s="17"/>
      <c r="P208" s="17"/>
      <c r="Q208" s="17"/>
      <c r="R208" s="17"/>
      <c r="S208" s="17"/>
      <c r="T208" s="17"/>
      <c r="U208" s="17"/>
      <c r="V208" s="17"/>
      <c r="W208" s="17"/>
      <c r="X208" s="17"/>
    </row>
    <row r="209" spans="1:24">
      <c r="A209" s="1"/>
      <c r="B209" s="1"/>
      <c r="C209" s="17"/>
      <c r="D209" s="17"/>
      <c r="E209" s="17"/>
      <c r="F209" s="17"/>
      <c r="G209" s="17"/>
      <c r="H209" s="17"/>
      <c r="I209" s="17"/>
      <c r="J209" s="17"/>
      <c r="K209" s="17"/>
      <c r="L209" s="17"/>
      <c r="N209" s="1"/>
      <c r="O209" s="17"/>
      <c r="P209" s="17"/>
      <c r="Q209" s="17"/>
      <c r="R209" s="17"/>
      <c r="S209" s="17"/>
      <c r="T209" s="17"/>
      <c r="U209" s="17"/>
      <c r="V209" s="17"/>
      <c r="W209" s="17"/>
      <c r="X209" s="17"/>
    </row>
    <row r="210" spans="1:24">
      <c r="A210" s="1"/>
      <c r="B210" s="1"/>
      <c r="C210" s="17"/>
      <c r="D210" s="17"/>
      <c r="E210" s="17"/>
      <c r="F210" s="17"/>
      <c r="G210" s="17"/>
      <c r="H210" s="17"/>
      <c r="I210" s="17"/>
      <c r="J210" s="17"/>
      <c r="K210" s="17"/>
      <c r="L210" s="17"/>
      <c r="N210" s="1"/>
      <c r="O210" s="17"/>
      <c r="P210" s="17"/>
      <c r="Q210" s="17"/>
      <c r="R210" s="17"/>
      <c r="S210" s="17"/>
      <c r="T210" s="17"/>
      <c r="U210" s="17"/>
      <c r="V210" s="17"/>
      <c r="W210" s="17"/>
      <c r="X210" s="17"/>
    </row>
    <row r="211" spans="1:24">
      <c r="A211" s="1"/>
      <c r="B211" s="1"/>
      <c r="C211" s="17"/>
      <c r="D211" s="17"/>
      <c r="E211" s="17"/>
      <c r="F211" s="17"/>
      <c r="G211" s="17"/>
      <c r="H211" s="17"/>
      <c r="I211" s="17"/>
      <c r="J211" s="17"/>
      <c r="K211" s="17"/>
      <c r="L211" s="17"/>
      <c r="N211" s="1"/>
      <c r="O211" s="17"/>
      <c r="P211" s="17"/>
      <c r="Q211" s="17"/>
      <c r="R211" s="17"/>
      <c r="S211" s="17"/>
      <c r="T211" s="17"/>
      <c r="U211" s="17"/>
      <c r="V211" s="17"/>
      <c r="W211" s="17"/>
      <c r="X211" s="17"/>
    </row>
    <row r="212" spans="1:24">
      <c r="A212" s="1"/>
      <c r="B212" s="1"/>
      <c r="C212" s="17"/>
      <c r="D212" s="17"/>
      <c r="E212" s="17"/>
      <c r="F212" s="17"/>
      <c r="G212" s="17"/>
      <c r="H212" s="17"/>
      <c r="I212" s="17"/>
      <c r="J212" s="17"/>
      <c r="K212" s="17"/>
      <c r="L212" s="17"/>
      <c r="N212" s="1"/>
      <c r="O212" s="17"/>
      <c r="P212" s="17"/>
      <c r="Q212" s="17"/>
      <c r="R212" s="17"/>
      <c r="S212" s="17"/>
      <c r="T212" s="17"/>
      <c r="U212" s="17"/>
      <c r="V212" s="17"/>
      <c r="W212" s="17"/>
      <c r="X212" s="17"/>
    </row>
    <row r="213" spans="1:24">
      <c r="A213" s="1"/>
      <c r="B213" s="1"/>
      <c r="C213" s="17"/>
      <c r="D213" s="17"/>
      <c r="E213" s="17"/>
      <c r="F213" s="17"/>
      <c r="G213" s="17"/>
      <c r="H213" s="17"/>
      <c r="I213" s="17"/>
      <c r="J213" s="17"/>
      <c r="K213" s="17"/>
      <c r="L213" s="17"/>
      <c r="N213" s="1"/>
      <c r="O213" s="17"/>
      <c r="P213" s="17"/>
      <c r="Q213" s="17"/>
      <c r="R213" s="17"/>
      <c r="S213" s="17"/>
      <c r="T213" s="17"/>
      <c r="U213" s="17"/>
      <c r="V213" s="17"/>
      <c r="W213" s="17"/>
      <c r="X213" s="17"/>
    </row>
    <row r="214" spans="1:24">
      <c r="A214" s="1"/>
      <c r="B214" s="1"/>
      <c r="C214" s="17"/>
      <c r="D214" s="17"/>
      <c r="E214" s="17"/>
      <c r="F214" s="17"/>
      <c r="G214" s="17"/>
      <c r="H214" s="17"/>
      <c r="I214" s="17"/>
      <c r="J214" s="17"/>
      <c r="K214" s="17"/>
      <c r="L214" s="17"/>
      <c r="N214" s="1"/>
      <c r="O214" s="17"/>
      <c r="P214" s="17"/>
      <c r="Q214" s="17"/>
      <c r="R214" s="17"/>
      <c r="S214" s="17"/>
      <c r="T214" s="17"/>
      <c r="U214" s="17"/>
      <c r="V214" s="17"/>
      <c r="W214" s="17"/>
      <c r="X214" s="17"/>
    </row>
    <row r="215" spans="1:24">
      <c r="A215" s="1"/>
      <c r="B215" s="1"/>
      <c r="C215" s="17"/>
      <c r="D215" s="17"/>
      <c r="E215" s="17"/>
      <c r="F215" s="17"/>
      <c r="G215" s="17"/>
      <c r="H215" s="17"/>
      <c r="I215" s="17"/>
      <c r="J215" s="17"/>
      <c r="K215" s="17"/>
      <c r="L215" s="17"/>
      <c r="N215" s="1"/>
      <c r="O215" s="17"/>
      <c r="P215" s="17"/>
      <c r="Q215" s="17"/>
      <c r="R215" s="17"/>
      <c r="S215" s="17"/>
      <c r="T215" s="17"/>
      <c r="U215" s="17"/>
      <c r="V215" s="17"/>
      <c r="W215" s="17"/>
      <c r="X215" s="17"/>
    </row>
    <row r="216" spans="1:24">
      <c r="A216" s="1"/>
      <c r="B216" s="1"/>
      <c r="C216" s="17"/>
      <c r="D216" s="17"/>
      <c r="E216" s="17"/>
      <c r="F216" s="17"/>
      <c r="G216" s="17"/>
      <c r="H216" s="17"/>
      <c r="I216" s="17"/>
      <c r="J216" s="17"/>
      <c r="K216" s="17"/>
      <c r="L216" s="17"/>
      <c r="N216" s="1"/>
      <c r="O216" s="17"/>
      <c r="P216" s="17"/>
      <c r="Q216" s="17"/>
      <c r="R216" s="17"/>
      <c r="S216" s="17"/>
      <c r="T216" s="17"/>
      <c r="U216" s="17"/>
      <c r="V216" s="17"/>
      <c r="W216" s="17"/>
      <c r="X216" s="17"/>
    </row>
    <row r="217" spans="1:24">
      <c r="A217" s="1"/>
      <c r="B217" s="1"/>
      <c r="C217" s="17"/>
      <c r="D217" s="17"/>
      <c r="E217" s="17"/>
      <c r="F217" s="17"/>
      <c r="G217" s="17"/>
      <c r="H217" s="17"/>
      <c r="I217" s="17"/>
      <c r="J217" s="17"/>
      <c r="K217" s="17"/>
      <c r="L217" s="17"/>
      <c r="N217" s="1"/>
      <c r="O217" s="17"/>
      <c r="P217" s="17"/>
      <c r="Q217" s="17"/>
      <c r="R217" s="17"/>
      <c r="S217" s="17"/>
      <c r="T217" s="17"/>
      <c r="U217" s="17"/>
      <c r="V217" s="17"/>
      <c r="W217" s="17"/>
      <c r="X217" s="17"/>
    </row>
    <row r="218" spans="1:24">
      <c r="A218" s="1"/>
      <c r="B218" s="1"/>
      <c r="C218" s="17"/>
      <c r="D218" s="17"/>
      <c r="E218" s="17"/>
      <c r="F218" s="17"/>
      <c r="G218" s="17"/>
      <c r="H218" s="17"/>
      <c r="I218" s="17"/>
      <c r="J218" s="17"/>
      <c r="K218" s="17"/>
      <c r="L218" s="17"/>
      <c r="N218" s="1"/>
      <c r="O218" s="17"/>
      <c r="P218" s="17"/>
      <c r="Q218" s="17"/>
      <c r="R218" s="17"/>
      <c r="S218" s="17"/>
      <c r="T218" s="17"/>
      <c r="U218" s="17"/>
      <c r="V218" s="17"/>
      <c r="W218" s="17"/>
      <c r="X218" s="17"/>
    </row>
    <row r="219" spans="1:24">
      <c r="A219" s="1"/>
      <c r="B219" s="1"/>
      <c r="C219" s="17"/>
      <c r="D219" s="17"/>
      <c r="E219" s="17"/>
      <c r="F219" s="17"/>
      <c r="G219" s="17"/>
      <c r="H219" s="17"/>
      <c r="I219" s="17"/>
      <c r="J219" s="17"/>
      <c r="K219" s="17"/>
      <c r="L219" s="17"/>
      <c r="N219" s="1"/>
      <c r="O219" s="17"/>
      <c r="P219" s="17"/>
      <c r="Q219" s="17"/>
      <c r="R219" s="17"/>
      <c r="S219" s="17"/>
      <c r="T219" s="17"/>
      <c r="U219" s="17"/>
      <c r="V219" s="17"/>
      <c r="W219" s="17"/>
      <c r="X219" s="17"/>
    </row>
    <row r="220" spans="1:24">
      <c r="A220" s="1"/>
      <c r="B220" s="1"/>
      <c r="C220" s="17"/>
      <c r="D220" s="17"/>
      <c r="E220" s="17"/>
      <c r="F220" s="17"/>
      <c r="G220" s="17"/>
      <c r="H220" s="17"/>
      <c r="I220" s="17"/>
      <c r="J220" s="17"/>
      <c r="K220" s="17"/>
      <c r="L220" s="17"/>
      <c r="N220" s="1"/>
      <c r="O220" s="17"/>
      <c r="P220" s="17"/>
      <c r="Q220" s="17"/>
      <c r="R220" s="17"/>
      <c r="S220" s="17"/>
      <c r="T220" s="17"/>
      <c r="U220" s="17"/>
      <c r="V220" s="17"/>
      <c r="W220" s="17"/>
      <c r="X220" s="17"/>
    </row>
    <row r="221" spans="1:24">
      <c r="A221" s="1"/>
      <c r="B221" s="1"/>
      <c r="C221" s="17"/>
      <c r="D221" s="17"/>
      <c r="E221" s="17"/>
      <c r="F221" s="17"/>
      <c r="G221" s="17"/>
      <c r="H221" s="17"/>
      <c r="I221" s="17"/>
      <c r="J221" s="17"/>
      <c r="K221" s="17"/>
      <c r="L221" s="17"/>
      <c r="N221" s="1"/>
      <c r="O221" s="17"/>
      <c r="P221" s="17"/>
      <c r="Q221" s="17"/>
      <c r="R221" s="17"/>
      <c r="S221" s="17"/>
      <c r="T221" s="17"/>
      <c r="U221" s="17"/>
      <c r="V221" s="17"/>
      <c r="W221" s="17"/>
      <c r="X221" s="17"/>
    </row>
    <row r="222" spans="1:24">
      <c r="A222" s="1"/>
      <c r="B222" s="1"/>
      <c r="C222" s="17"/>
      <c r="D222" s="17"/>
      <c r="E222" s="17"/>
      <c r="F222" s="17"/>
      <c r="G222" s="17"/>
      <c r="H222" s="17"/>
      <c r="I222" s="17"/>
      <c r="J222" s="17"/>
      <c r="K222" s="17"/>
      <c r="L222" s="17"/>
      <c r="N222" s="1"/>
      <c r="O222" s="17"/>
      <c r="P222" s="17"/>
      <c r="Q222" s="17"/>
      <c r="R222" s="17"/>
      <c r="S222" s="17"/>
      <c r="T222" s="17"/>
      <c r="U222" s="17"/>
      <c r="V222" s="17"/>
      <c r="W222" s="17"/>
      <c r="X222" s="17"/>
    </row>
    <row r="223" spans="1:24">
      <c r="A223" s="1"/>
      <c r="B223" s="1"/>
      <c r="C223" s="17"/>
      <c r="D223" s="17"/>
      <c r="E223" s="17"/>
      <c r="F223" s="17"/>
      <c r="G223" s="17"/>
      <c r="H223" s="17"/>
      <c r="I223" s="17"/>
      <c r="J223" s="17"/>
      <c r="K223" s="17"/>
      <c r="L223" s="17"/>
      <c r="N223" s="1"/>
      <c r="O223" s="17"/>
      <c r="P223" s="17"/>
      <c r="Q223" s="17"/>
      <c r="R223" s="17"/>
      <c r="S223" s="17"/>
      <c r="T223" s="17"/>
      <c r="U223" s="17"/>
      <c r="V223" s="17"/>
      <c r="W223" s="17"/>
      <c r="X223" s="17"/>
    </row>
    <row r="224" spans="1:24">
      <c r="A224" s="1"/>
      <c r="B224" s="1"/>
      <c r="C224" s="17"/>
      <c r="D224" s="17"/>
      <c r="E224" s="17"/>
      <c r="F224" s="17"/>
      <c r="G224" s="17"/>
      <c r="H224" s="17"/>
      <c r="I224" s="17"/>
      <c r="J224" s="17"/>
      <c r="K224" s="17"/>
      <c r="L224" s="17"/>
      <c r="N224" s="1"/>
      <c r="O224" s="17"/>
      <c r="P224" s="17"/>
      <c r="Q224" s="17"/>
      <c r="R224" s="17"/>
      <c r="S224" s="17"/>
      <c r="T224" s="17"/>
      <c r="U224" s="17"/>
      <c r="V224" s="17"/>
      <c r="W224" s="17"/>
      <c r="X224" s="17"/>
    </row>
    <row r="225" spans="1:24">
      <c r="A225" s="1"/>
      <c r="B225" s="1"/>
      <c r="C225" s="17"/>
      <c r="D225" s="17"/>
      <c r="E225" s="17"/>
      <c r="F225" s="17"/>
      <c r="G225" s="17"/>
      <c r="H225" s="17"/>
      <c r="I225" s="17"/>
      <c r="J225" s="17"/>
      <c r="K225" s="17"/>
      <c r="L225" s="17"/>
      <c r="N225" s="1"/>
      <c r="O225" s="17"/>
      <c r="P225" s="17"/>
      <c r="Q225" s="17"/>
      <c r="R225" s="17"/>
      <c r="S225" s="17"/>
      <c r="T225" s="17"/>
      <c r="U225" s="17"/>
      <c r="V225" s="17"/>
      <c r="W225" s="17"/>
      <c r="X225" s="17"/>
    </row>
    <row r="226" spans="1:24">
      <c r="A226" s="1"/>
      <c r="B226" s="1"/>
      <c r="C226" s="17"/>
      <c r="D226" s="17"/>
      <c r="E226" s="17"/>
      <c r="F226" s="17"/>
      <c r="G226" s="17"/>
      <c r="H226" s="17"/>
      <c r="I226" s="17"/>
      <c r="J226" s="17"/>
      <c r="K226" s="17"/>
      <c r="L226" s="17"/>
      <c r="N226" s="1"/>
      <c r="O226" s="17"/>
      <c r="P226" s="17"/>
      <c r="Q226" s="17"/>
      <c r="R226" s="17"/>
      <c r="S226" s="17"/>
      <c r="T226" s="17"/>
      <c r="U226" s="17"/>
      <c r="V226" s="17"/>
      <c r="W226" s="17"/>
      <c r="X226" s="17"/>
    </row>
    <row r="227" spans="1:24">
      <c r="A227" s="1"/>
      <c r="B227" s="1"/>
      <c r="C227" s="17"/>
      <c r="D227" s="17"/>
      <c r="E227" s="17"/>
      <c r="F227" s="17"/>
      <c r="G227" s="17"/>
      <c r="H227" s="17"/>
      <c r="I227" s="17"/>
      <c r="J227" s="17"/>
      <c r="K227" s="17"/>
      <c r="L227" s="17"/>
      <c r="N227" s="1"/>
      <c r="O227" s="17"/>
      <c r="P227" s="17"/>
      <c r="Q227" s="17"/>
      <c r="R227" s="17"/>
      <c r="S227" s="17"/>
      <c r="T227" s="17"/>
      <c r="U227" s="17"/>
      <c r="V227" s="17"/>
      <c r="W227" s="17"/>
      <c r="X227" s="17"/>
    </row>
    <row r="228" spans="1:24">
      <c r="A228" s="1"/>
      <c r="B228" s="1"/>
      <c r="C228" s="17"/>
      <c r="D228" s="17"/>
      <c r="E228" s="17"/>
      <c r="F228" s="17"/>
      <c r="G228" s="17"/>
      <c r="H228" s="17"/>
      <c r="I228" s="17"/>
      <c r="J228" s="17"/>
      <c r="K228" s="17"/>
      <c r="L228" s="17"/>
      <c r="N228" s="1"/>
      <c r="O228" s="17"/>
      <c r="P228" s="17"/>
      <c r="Q228" s="17"/>
      <c r="R228" s="17"/>
      <c r="S228" s="17"/>
      <c r="T228" s="17"/>
      <c r="U228" s="17"/>
      <c r="V228" s="17"/>
      <c r="W228" s="17"/>
      <c r="X228" s="17"/>
    </row>
    <row r="229" spans="1:24">
      <c r="A229" s="1"/>
      <c r="B229" s="1"/>
      <c r="C229" s="17"/>
      <c r="D229" s="17"/>
      <c r="E229" s="17"/>
      <c r="F229" s="17"/>
      <c r="G229" s="17"/>
      <c r="H229" s="17"/>
      <c r="I229" s="17"/>
      <c r="J229" s="17"/>
      <c r="K229" s="17"/>
      <c r="L229" s="17"/>
      <c r="N229" s="1"/>
      <c r="O229" s="17"/>
      <c r="P229" s="17"/>
      <c r="Q229" s="17"/>
      <c r="R229" s="17"/>
      <c r="S229" s="17"/>
      <c r="T229" s="17"/>
      <c r="U229" s="17"/>
      <c r="V229" s="17"/>
      <c r="W229" s="17"/>
      <c r="X229" s="17"/>
    </row>
    <row r="230" spans="1:24">
      <c r="A230" s="1"/>
      <c r="B230" s="1"/>
      <c r="C230" s="17"/>
      <c r="D230" s="17"/>
      <c r="E230" s="17"/>
      <c r="F230" s="17"/>
      <c r="G230" s="17"/>
      <c r="H230" s="17"/>
      <c r="I230" s="17"/>
      <c r="J230" s="17"/>
      <c r="K230" s="17"/>
      <c r="L230" s="17"/>
      <c r="N230" s="1"/>
      <c r="O230" s="17"/>
      <c r="P230" s="17"/>
      <c r="Q230" s="17"/>
      <c r="R230" s="17"/>
      <c r="S230" s="17"/>
      <c r="T230" s="17"/>
      <c r="U230" s="17"/>
      <c r="V230" s="17"/>
      <c r="W230" s="17"/>
      <c r="X230" s="17"/>
    </row>
    <row r="231" spans="1:24">
      <c r="A231" s="1"/>
      <c r="B231" s="1"/>
      <c r="C231" s="17"/>
      <c r="D231" s="17"/>
      <c r="E231" s="17"/>
      <c r="F231" s="17"/>
      <c r="G231" s="17"/>
      <c r="H231" s="17"/>
      <c r="I231" s="17"/>
      <c r="J231" s="17"/>
      <c r="K231" s="17"/>
      <c r="L231" s="17"/>
      <c r="N231" s="1"/>
      <c r="O231" s="17"/>
      <c r="P231" s="17"/>
      <c r="Q231" s="17"/>
      <c r="R231" s="17"/>
      <c r="S231" s="17"/>
      <c r="T231" s="17"/>
      <c r="U231" s="17"/>
      <c r="V231" s="17"/>
      <c r="W231" s="17"/>
      <c r="X231" s="17"/>
    </row>
    <row r="232" spans="1:24">
      <c r="A232" s="1"/>
      <c r="B232" s="1"/>
      <c r="C232" s="17"/>
      <c r="D232" s="17"/>
      <c r="E232" s="17"/>
      <c r="F232" s="17"/>
      <c r="G232" s="17"/>
      <c r="H232" s="17"/>
      <c r="I232" s="17"/>
      <c r="J232" s="17"/>
      <c r="K232" s="17"/>
      <c r="L232" s="17"/>
      <c r="N232" s="1"/>
      <c r="O232" s="17"/>
      <c r="P232" s="17"/>
      <c r="Q232" s="17"/>
      <c r="R232" s="17"/>
      <c r="S232" s="17"/>
      <c r="T232" s="17"/>
      <c r="U232" s="17"/>
      <c r="V232" s="17"/>
      <c r="W232" s="17"/>
      <c r="X232" s="17"/>
    </row>
    <row r="233" spans="1:24">
      <c r="A233" s="1"/>
      <c r="B233" s="1"/>
      <c r="C233" s="17"/>
      <c r="D233" s="17"/>
      <c r="E233" s="17"/>
      <c r="F233" s="17"/>
      <c r="G233" s="17"/>
      <c r="H233" s="17"/>
      <c r="I233" s="17"/>
      <c r="J233" s="17"/>
      <c r="K233" s="17"/>
      <c r="L233" s="17"/>
      <c r="N233" s="1"/>
      <c r="O233" s="17"/>
      <c r="P233" s="17"/>
      <c r="Q233" s="17"/>
      <c r="R233" s="17"/>
      <c r="S233" s="17"/>
      <c r="T233" s="17"/>
      <c r="U233" s="17"/>
      <c r="V233" s="17"/>
      <c r="W233" s="17"/>
      <c r="X233" s="17"/>
    </row>
    <row r="234" spans="1:24">
      <c r="A234" s="1"/>
      <c r="B234" s="1"/>
      <c r="C234" s="17"/>
      <c r="D234" s="17"/>
      <c r="E234" s="17"/>
      <c r="F234" s="17"/>
      <c r="G234" s="17"/>
      <c r="H234" s="17"/>
      <c r="I234" s="17"/>
      <c r="J234" s="17"/>
      <c r="K234" s="17"/>
      <c r="L234" s="17"/>
      <c r="N234" s="1"/>
      <c r="O234" s="17"/>
      <c r="P234" s="17"/>
      <c r="Q234" s="17"/>
      <c r="R234" s="17"/>
      <c r="S234" s="17"/>
      <c r="T234" s="17"/>
      <c r="U234" s="17"/>
      <c r="V234" s="17"/>
      <c r="W234" s="17"/>
      <c r="X234" s="17"/>
    </row>
    <row r="235" spans="1:24">
      <c r="A235" s="1"/>
      <c r="B235" s="1"/>
      <c r="C235" s="17"/>
      <c r="D235" s="17"/>
      <c r="E235" s="17"/>
      <c r="F235" s="17"/>
      <c r="G235" s="17"/>
      <c r="H235" s="17"/>
      <c r="I235" s="17"/>
      <c r="J235" s="17"/>
      <c r="K235" s="17"/>
      <c r="L235" s="17"/>
      <c r="N235" s="1"/>
      <c r="O235" s="17"/>
      <c r="P235" s="17"/>
      <c r="Q235" s="17"/>
      <c r="R235" s="17"/>
      <c r="S235" s="17"/>
      <c r="T235" s="17"/>
      <c r="U235" s="17"/>
      <c r="V235" s="17"/>
      <c r="W235" s="17"/>
      <c r="X235" s="17"/>
    </row>
    <row r="236" spans="1:24">
      <c r="A236" s="1"/>
      <c r="B236" s="1"/>
      <c r="C236" s="17"/>
      <c r="D236" s="17"/>
      <c r="E236" s="17"/>
      <c r="F236" s="17"/>
      <c r="G236" s="17"/>
      <c r="H236" s="17"/>
      <c r="I236" s="17"/>
      <c r="J236" s="17"/>
      <c r="K236" s="17"/>
      <c r="L236" s="17"/>
      <c r="N236" s="1"/>
      <c r="O236" s="17"/>
      <c r="P236" s="17"/>
      <c r="Q236" s="17"/>
      <c r="R236" s="17"/>
      <c r="S236" s="17"/>
      <c r="T236" s="17"/>
      <c r="U236" s="17"/>
      <c r="V236" s="17"/>
      <c r="W236" s="17"/>
      <c r="X236" s="17"/>
    </row>
    <row r="237" spans="1:24">
      <c r="A237" s="1"/>
      <c r="B237" s="1"/>
      <c r="C237" s="17"/>
      <c r="D237" s="17"/>
      <c r="E237" s="17"/>
      <c r="F237" s="17"/>
      <c r="G237" s="17"/>
      <c r="H237" s="17"/>
      <c r="I237" s="17"/>
      <c r="J237" s="17"/>
      <c r="K237" s="17"/>
      <c r="L237" s="17"/>
      <c r="N237" s="1"/>
      <c r="O237" s="17"/>
      <c r="P237" s="17"/>
      <c r="Q237" s="17"/>
      <c r="R237" s="17"/>
      <c r="S237" s="17"/>
      <c r="T237" s="17"/>
      <c r="U237" s="17"/>
      <c r="V237" s="17"/>
      <c r="W237" s="17"/>
      <c r="X237" s="17"/>
    </row>
    <row r="238" spans="1:24">
      <c r="A238" s="1"/>
      <c r="B238" s="1"/>
      <c r="C238" s="17"/>
      <c r="D238" s="17"/>
      <c r="E238" s="17"/>
      <c r="F238" s="17"/>
      <c r="G238" s="17"/>
      <c r="H238" s="17"/>
      <c r="I238" s="17"/>
      <c r="J238" s="17"/>
      <c r="K238" s="17"/>
      <c r="L238" s="17"/>
      <c r="N238" s="1"/>
      <c r="O238" s="17"/>
      <c r="P238" s="17"/>
      <c r="Q238" s="17"/>
      <c r="R238" s="17"/>
      <c r="S238" s="17"/>
      <c r="T238" s="17"/>
      <c r="U238" s="17"/>
      <c r="V238" s="17"/>
      <c r="W238" s="17"/>
      <c r="X238" s="17"/>
    </row>
    <row r="239" spans="1:24">
      <c r="A239" s="1"/>
      <c r="B239" s="1"/>
      <c r="C239" s="17"/>
      <c r="D239" s="17"/>
      <c r="E239" s="17"/>
      <c r="F239" s="17"/>
      <c r="G239" s="17"/>
      <c r="H239" s="17"/>
      <c r="I239" s="17"/>
      <c r="J239" s="17"/>
      <c r="K239" s="17"/>
      <c r="L239" s="17"/>
      <c r="N239" s="1"/>
      <c r="O239" s="17"/>
      <c r="P239" s="17"/>
      <c r="Q239" s="17"/>
      <c r="R239" s="17"/>
      <c r="S239" s="17"/>
      <c r="T239" s="17"/>
      <c r="U239" s="17"/>
      <c r="V239" s="17"/>
      <c r="W239" s="17"/>
      <c r="X239" s="17"/>
    </row>
    <row r="240" spans="1:24">
      <c r="A240" s="1"/>
      <c r="B240" s="1"/>
      <c r="C240" s="17"/>
      <c r="D240" s="17"/>
      <c r="E240" s="17"/>
      <c r="F240" s="17"/>
      <c r="G240" s="17"/>
      <c r="H240" s="17"/>
      <c r="I240" s="17"/>
      <c r="J240" s="17"/>
      <c r="K240" s="17"/>
      <c r="L240" s="17"/>
      <c r="N240" s="1"/>
      <c r="O240" s="17"/>
      <c r="P240" s="17"/>
      <c r="Q240" s="17"/>
      <c r="R240" s="17"/>
      <c r="S240" s="17"/>
      <c r="T240" s="17"/>
      <c r="U240" s="17"/>
      <c r="V240" s="17"/>
      <c r="W240" s="17"/>
      <c r="X240" s="17"/>
    </row>
    <row r="241" spans="1:24">
      <c r="A241" s="1"/>
      <c r="B241" s="1"/>
      <c r="C241" s="17"/>
      <c r="D241" s="17"/>
      <c r="E241" s="17"/>
      <c r="F241" s="17"/>
      <c r="G241" s="17"/>
      <c r="H241" s="17"/>
      <c r="I241" s="17"/>
      <c r="J241" s="17"/>
      <c r="K241" s="17"/>
      <c r="L241" s="17"/>
      <c r="N241" s="1"/>
      <c r="O241" s="17"/>
      <c r="P241" s="17"/>
      <c r="Q241" s="17"/>
      <c r="R241" s="17"/>
      <c r="S241" s="17"/>
      <c r="T241" s="17"/>
      <c r="U241" s="17"/>
      <c r="V241" s="17"/>
      <c r="W241" s="17"/>
      <c r="X241" s="17"/>
    </row>
    <row r="242" spans="1:24">
      <c r="A242" s="1"/>
      <c r="B242" s="1"/>
      <c r="C242" s="17"/>
      <c r="D242" s="17"/>
      <c r="E242" s="17"/>
      <c r="F242" s="17"/>
      <c r="G242" s="17"/>
      <c r="H242" s="17"/>
      <c r="I242" s="17"/>
      <c r="J242" s="17"/>
      <c r="K242" s="17"/>
      <c r="L242" s="17"/>
      <c r="N242" s="1"/>
      <c r="O242" s="17"/>
      <c r="P242" s="17"/>
      <c r="Q242" s="17"/>
      <c r="R242" s="17"/>
      <c r="S242" s="17"/>
      <c r="T242" s="17"/>
      <c r="U242" s="17"/>
      <c r="V242" s="17"/>
      <c r="W242" s="17"/>
      <c r="X242" s="17"/>
    </row>
    <row r="243" spans="1:24">
      <c r="A243" s="1"/>
      <c r="B243" s="1"/>
      <c r="C243" s="17"/>
      <c r="D243" s="17"/>
      <c r="E243" s="17"/>
      <c r="F243" s="17"/>
      <c r="G243" s="17"/>
      <c r="H243" s="17"/>
      <c r="I243" s="17"/>
      <c r="J243" s="17"/>
      <c r="K243" s="17"/>
      <c r="L243" s="17"/>
      <c r="N243" s="1"/>
      <c r="O243" s="17"/>
      <c r="P243" s="17"/>
      <c r="Q243" s="17"/>
      <c r="R243" s="17"/>
      <c r="S243" s="17"/>
      <c r="T243" s="17"/>
      <c r="U243" s="17"/>
      <c r="V243" s="17"/>
      <c r="W243" s="17"/>
      <c r="X243" s="17"/>
    </row>
    <row r="244" spans="1:24">
      <c r="A244" s="1"/>
      <c r="B244" s="1"/>
      <c r="C244" s="17"/>
      <c r="D244" s="17"/>
      <c r="E244" s="17"/>
      <c r="F244" s="17"/>
      <c r="G244" s="17"/>
      <c r="H244" s="17"/>
      <c r="I244" s="17"/>
      <c r="J244" s="17"/>
      <c r="K244" s="17"/>
      <c r="L244" s="17"/>
      <c r="N244" s="1"/>
      <c r="O244" s="17"/>
      <c r="P244" s="17"/>
      <c r="Q244" s="17"/>
      <c r="R244" s="17"/>
      <c r="S244" s="17"/>
      <c r="T244" s="17"/>
      <c r="U244" s="17"/>
      <c r="V244" s="17"/>
      <c r="W244" s="17"/>
      <c r="X244" s="17"/>
    </row>
    <row r="245" spans="1:24">
      <c r="A245" s="1"/>
      <c r="B245" s="1"/>
      <c r="C245" s="17"/>
      <c r="D245" s="17"/>
      <c r="E245" s="17"/>
      <c r="F245" s="17"/>
      <c r="G245" s="17"/>
      <c r="H245" s="17"/>
      <c r="I245" s="17"/>
      <c r="J245" s="17"/>
      <c r="K245" s="17"/>
      <c r="L245" s="17"/>
      <c r="N245" s="1"/>
      <c r="O245" s="17"/>
      <c r="P245" s="17"/>
      <c r="Q245" s="17"/>
      <c r="R245" s="17"/>
      <c r="S245" s="17"/>
      <c r="T245" s="17"/>
      <c r="U245" s="17"/>
      <c r="V245" s="17"/>
      <c r="W245" s="17"/>
      <c r="X245" s="17"/>
    </row>
    <row r="246" spans="1:24">
      <c r="A246" s="1"/>
      <c r="B246" s="1"/>
      <c r="C246" s="17"/>
      <c r="D246" s="17"/>
      <c r="E246" s="17"/>
      <c r="F246" s="17"/>
      <c r="G246" s="17"/>
      <c r="H246" s="17"/>
      <c r="I246" s="17"/>
      <c r="J246" s="17"/>
      <c r="K246" s="17"/>
      <c r="L246" s="17"/>
      <c r="N246" s="1"/>
      <c r="O246" s="17"/>
      <c r="P246" s="17"/>
      <c r="Q246" s="17"/>
      <c r="R246" s="17"/>
      <c r="S246" s="17"/>
      <c r="T246" s="17"/>
      <c r="U246" s="17"/>
      <c r="V246" s="17"/>
      <c r="W246" s="17"/>
      <c r="X246" s="17"/>
    </row>
    <row r="247" spans="1:24">
      <c r="A247" s="1"/>
      <c r="B247" s="1"/>
      <c r="C247" s="17"/>
      <c r="D247" s="17"/>
      <c r="E247" s="17"/>
      <c r="F247" s="17"/>
      <c r="G247" s="17"/>
      <c r="H247" s="17"/>
      <c r="I247" s="17"/>
      <c r="J247" s="17"/>
      <c r="K247" s="17"/>
      <c r="L247" s="17"/>
      <c r="N247" s="1"/>
      <c r="O247" s="17"/>
      <c r="P247" s="17"/>
      <c r="Q247" s="17"/>
      <c r="R247" s="17"/>
      <c r="S247" s="17"/>
      <c r="T247" s="17"/>
      <c r="U247" s="17"/>
      <c r="V247" s="17"/>
      <c r="W247" s="17"/>
      <c r="X247" s="17"/>
    </row>
    <row r="248" spans="1:24">
      <c r="A248" s="1"/>
      <c r="B248" s="1"/>
      <c r="C248" s="17"/>
      <c r="D248" s="17"/>
      <c r="E248" s="17"/>
      <c r="F248" s="17"/>
      <c r="G248" s="17"/>
      <c r="H248" s="17"/>
      <c r="I248" s="17"/>
      <c r="J248" s="17"/>
      <c r="K248" s="17"/>
      <c r="L248" s="17"/>
      <c r="N248" s="1"/>
      <c r="O248" s="17"/>
      <c r="P248" s="17"/>
      <c r="Q248" s="17"/>
      <c r="R248" s="17"/>
      <c r="S248" s="17"/>
      <c r="T248" s="17"/>
      <c r="U248" s="17"/>
      <c r="V248" s="17"/>
      <c r="W248" s="17"/>
      <c r="X248" s="17"/>
    </row>
    <row r="249" spans="1:24">
      <c r="A249" s="1"/>
      <c r="B249" s="1"/>
      <c r="C249" s="17"/>
      <c r="D249" s="17"/>
      <c r="E249" s="17"/>
      <c r="F249" s="17"/>
      <c r="G249" s="17"/>
      <c r="H249" s="17"/>
      <c r="I249" s="17"/>
      <c r="J249" s="17"/>
      <c r="K249" s="17"/>
      <c r="L249" s="17"/>
      <c r="N249" s="1"/>
      <c r="O249" s="17"/>
      <c r="P249" s="17"/>
      <c r="Q249" s="17"/>
      <c r="R249" s="17"/>
      <c r="S249" s="17"/>
      <c r="T249" s="17"/>
      <c r="U249" s="17"/>
      <c r="V249" s="17"/>
      <c r="W249" s="17"/>
      <c r="X249" s="17"/>
    </row>
    <row r="250" spans="1:24">
      <c r="A250" s="1"/>
      <c r="B250" s="1"/>
      <c r="C250" s="17"/>
      <c r="D250" s="17"/>
      <c r="E250" s="17"/>
      <c r="F250" s="17"/>
      <c r="G250" s="17"/>
      <c r="H250" s="17"/>
      <c r="I250" s="17"/>
      <c r="J250" s="17"/>
      <c r="K250" s="17"/>
      <c r="L250" s="17"/>
      <c r="N250" s="1"/>
      <c r="O250" s="17"/>
      <c r="P250" s="17"/>
      <c r="Q250" s="17"/>
      <c r="R250" s="17"/>
      <c r="S250" s="17"/>
      <c r="T250" s="17"/>
      <c r="U250" s="17"/>
      <c r="V250" s="17"/>
      <c r="W250" s="17"/>
      <c r="X250" s="17"/>
    </row>
    <row r="251" spans="1:24">
      <c r="A251" s="1"/>
      <c r="B251" s="1"/>
      <c r="C251" s="17"/>
      <c r="D251" s="17"/>
      <c r="E251" s="17"/>
      <c r="F251" s="17"/>
      <c r="G251" s="17"/>
      <c r="H251" s="17"/>
      <c r="I251" s="17"/>
      <c r="J251" s="17"/>
      <c r="K251" s="17"/>
      <c r="L251" s="17"/>
      <c r="N251" s="1"/>
      <c r="O251" s="17"/>
      <c r="P251" s="17"/>
      <c r="Q251" s="17"/>
      <c r="R251" s="17"/>
      <c r="S251" s="17"/>
      <c r="T251" s="17"/>
      <c r="U251" s="17"/>
      <c r="V251" s="17"/>
      <c r="W251" s="17"/>
      <c r="X251" s="17"/>
    </row>
    <row r="252" spans="1:24">
      <c r="A252" s="1"/>
      <c r="B252" s="1"/>
      <c r="C252" s="17"/>
      <c r="D252" s="17"/>
      <c r="E252" s="17"/>
      <c r="F252" s="17"/>
      <c r="G252" s="17"/>
      <c r="H252" s="17"/>
      <c r="I252" s="17"/>
      <c r="J252" s="17"/>
      <c r="K252" s="17"/>
      <c r="L252" s="17"/>
      <c r="N252" s="1"/>
      <c r="O252" s="17"/>
      <c r="P252" s="17"/>
      <c r="Q252" s="17"/>
      <c r="R252" s="17"/>
      <c r="S252" s="17"/>
      <c r="T252" s="17"/>
      <c r="U252" s="17"/>
      <c r="V252" s="17"/>
      <c r="W252" s="17"/>
      <c r="X252" s="17"/>
    </row>
    <row r="253" spans="1:24">
      <c r="A253" s="1"/>
      <c r="B253" s="1"/>
      <c r="C253" s="17"/>
      <c r="D253" s="17"/>
      <c r="E253" s="17"/>
      <c r="F253" s="17"/>
      <c r="G253" s="17"/>
      <c r="H253" s="17"/>
      <c r="I253" s="17"/>
      <c r="J253" s="17"/>
      <c r="K253" s="17"/>
      <c r="L253" s="17"/>
      <c r="N253" s="1"/>
      <c r="O253" s="17"/>
      <c r="P253" s="17"/>
      <c r="Q253" s="17"/>
      <c r="R253" s="17"/>
      <c r="S253" s="17"/>
      <c r="T253" s="17"/>
      <c r="U253" s="17"/>
      <c r="V253" s="17"/>
      <c r="W253" s="17"/>
      <c r="X253" s="17"/>
    </row>
    <row r="254" spans="1:24">
      <c r="A254" s="1"/>
      <c r="B254" s="1"/>
      <c r="C254" s="17"/>
      <c r="D254" s="17"/>
      <c r="E254" s="17"/>
      <c r="F254" s="17"/>
      <c r="G254" s="17"/>
      <c r="H254" s="17"/>
      <c r="I254" s="17"/>
      <c r="J254" s="17"/>
      <c r="K254" s="17"/>
      <c r="L254" s="17"/>
      <c r="N254" s="1"/>
      <c r="O254" s="17"/>
      <c r="P254" s="17"/>
      <c r="Q254" s="17"/>
      <c r="R254" s="17"/>
      <c r="S254" s="17"/>
      <c r="T254" s="17"/>
      <c r="U254" s="17"/>
      <c r="V254" s="17"/>
      <c r="W254" s="17"/>
      <c r="X254" s="17"/>
    </row>
    <row r="255" spans="1:24">
      <c r="A255" s="1"/>
      <c r="B255" s="1"/>
      <c r="C255" s="17"/>
      <c r="D255" s="17"/>
      <c r="E255" s="17"/>
      <c r="F255" s="17"/>
      <c r="G255" s="17"/>
      <c r="H255" s="17"/>
      <c r="I255" s="17"/>
      <c r="J255" s="17"/>
      <c r="K255" s="17"/>
      <c r="L255" s="17"/>
      <c r="N255" s="1"/>
      <c r="O255" s="17"/>
      <c r="P255" s="17"/>
      <c r="Q255" s="17"/>
      <c r="R255" s="17"/>
      <c r="S255" s="17"/>
      <c r="T255" s="17"/>
      <c r="U255" s="17"/>
      <c r="V255" s="17"/>
      <c r="W255" s="17"/>
      <c r="X255" s="17"/>
    </row>
    <row r="256" spans="1:24">
      <c r="A256" s="1"/>
      <c r="B256" s="1"/>
      <c r="C256" s="17"/>
      <c r="D256" s="17"/>
      <c r="E256" s="17"/>
      <c r="F256" s="17"/>
      <c r="G256" s="17"/>
      <c r="H256" s="17"/>
      <c r="I256" s="17"/>
      <c r="J256" s="17"/>
      <c r="K256" s="17"/>
      <c r="L256" s="17"/>
      <c r="N256" s="1"/>
      <c r="O256" s="17"/>
      <c r="P256" s="17"/>
      <c r="Q256" s="17"/>
      <c r="R256" s="17"/>
      <c r="S256" s="17"/>
      <c r="T256" s="17"/>
      <c r="U256" s="17"/>
      <c r="V256" s="17"/>
      <c r="W256" s="17"/>
      <c r="X256" s="17"/>
    </row>
    <row r="257" spans="1:24">
      <c r="A257" s="1"/>
      <c r="B257" s="1"/>
      <c r="C257" s="17"/>
      <c r="D257" s="17"/>
      <c r="E257" s="17"/>
      <c r="F257" s="17"/>
      <c r="G257" s="17"/>
      <c r="H257" s="17"/>
      <c r="I257" s="17"/>
      <c r="J257" s="17"/>
      <c r="K257" s="17"/>
      <c r="L257" s="17"/>
      <c r="N257" s="1"/>
      <c r="O257" s="17"/>
      <c r="P257" s="17"/>
      <c r="Q257" s="17"/>
      <c r="R257" s="17"/>
      <c r="S257" s="17"/>
      <c r="T257" s="17"/>
      <c r="U257" s="17"/>
      <c r="V257" s="17"/>
      <c r="W257" s="17"/>
      <c r="X257" s="17"/>
    </row>
    <row r="258" spans="1:24">
      <c r="A258" s="1"/>
      <c r="B258" s="1"/>
      <c r="C258" s="17"/>
      <c r="D258" s="17"/>
      <c r="E258" s="17"/>
      <c r="F258" s="17"/>
      <c r="G258" s="17"/>
      <c r="H258" s="17"/>
      <c r="I258" s="17"/>
      <c r="J258" s="17"/>
      <c r="K258" s="17"/>
      <c r="L258" s="17"/>
      <c r="N258" s="1"/>
      <c r="O258" s="17"/>
      <c r="P258" s="17"/>
      <c r="Q258" s="17"/>
      <c r="R258" s="17"/>
      <c r="S258" s="17"/>
      <c r="T258" s="17"/>
      <c r="U258" s="17"/>
      <c r="V258" s="17"/>
      <c r="W258" s="17"/>
      <c r="X258" s="17"/>
    </row>
    <row r="259" spans="1:24">
      <c r="A259" s="1"/>
      <c r="B259" s="1"/>
      <c r="C259" s="17"/>
      <c r="D259" s="17"/>
      <c r="E259" s="17"/>
      <c r="F259" s="17"/>
      <c r="G259" s="17"/>
      <c r="H259" s="17"/>
      <c r="I259" s="17"/>
      <c r="J259" s="17"/>
      <c r="K259" s="17"/>
      <c r="L259" s="17"/>
      <c r="N259" s="1"/>
      <c r="O259" s="17"/>
      <c r="P259" s="17"/>
      <c r="Q259" s="17"/>
      <c r="R259" s="17"/>
      <c r="S259" s="17"/>
      <c r="T259" s="17"/>
      <c r="U259" s="17"/>
      <c r="V259" s="17"/>
      <c r="W259" s="17"/>
      <c r="X259" s="17"/>
    </row>
    <row r="260" spans="1:24">
      <c r="A260" s="1"/>
      <c r="B260" s="1"/>
      <c r="C260" s="17"/>
      <c r="D260" s="17"/>
      <c r="E260" s="17"/>
      <c r="F260" s="17"/>
      <c r="G260" s="17"/>
      <c r="H260" s="17"/>
      <c r="I260" s="17"/>
      <c r="J260" s="17"/>
      <c r="K260" s="17"/>
      <c r="L260" s="17"/>
      <c r="N260" s="1"/>
      <c r="O260" s="17"/>
      <c r="P260" s="17"/>
      <c r="Q260" s="17"/>
      <c r="R260" s="17"/>
      <c r="S260" s="17"/>
      <c r="T260" s="17"/>
      <c r="U260" s="17"/>
      <c r="V260" s="17"/>
      <c r="W260" s="17"/>
      <c r="X260" s="17"/>
    </row>
    <row r="261" spans="1:24">
      <c r="A261" s="1"/>
      <c r="B261" s="1"/>
      <c r="C261" s="17"/>
      <c r="D261" s="17"/>
      <c r="E261" s="17"/>
      <c r="F261" s="17"/>
      <c r="G261" s="17"/>
      <c r="H261" s="17"/>
      <c r="I261" s="17"/>
      <c r="J261" s="17"/>
      <c r="K261" s="17"/>
      <c r="L261" s="17"/>
      <c r="N261" s="1"/>
      <c r="O261" s="17"/>
      <c r="P261" s="17"/>
      <c r="Q261" s="17"/>
      <c r="R261" s="17"/>
      <c r="S261" s="17"/>
      <c r="T261" s="17"/>
      <c r="U261" s="17"/>
      <c r="V261" s="17"/>
      <c r="W261" s="17"/>
      <c r="X261" s="17"/>
    </row>
    <row r="262" spans="1:24">
      <c r="A262" s="1"/>
      <c r="B262" s="1"/>
      <c r="C262" s="17"/>
      <c r="D262" s="17"/>
      <c r="E262" s="17"/>
      <c r="F262" s="17"/>
      <c r="G262" s="17"/>
      <c r="H262" s="17"/>
      <c r="I262" s="17"/>
      <c r="J262" s="17"/>
      <c r="K262" s="17"/>
      <c r="L262" s="17"/>
      <c r="N262" s="1"/>
      <c r="O262" s="17"/>
      <c r="P262" s="17"/>
      <c r="Q262" s="17"/>
      <c r="R262" s="17"/>
      <c r="S262" s="17"/>
      <c r="T262" s="17"/>
      <c r="U262" s="17"/>
      <c r="V262" s="17"/>
      <c r="W262" s="17"/>
      <c r="X262" s="17"/>
    </row>
    <row r="263" spans="1:24">
      <c r="A263" s="1"/>
      <c r="B263" s="1"/>
      <c r="C263" s="17"/>
      <c r="D263" s="17"/>
      <c r="E263" s="17"/>
      <c r="F263" s="17"/>
      <c r="G263" s="17"/>
      <c r="H263" s="17"/>
      <c r="I263" s="17"/>
      <c r="J263" s="17"/>
      <c r="K263" s="17"/>
      <c r="L263" s="17"/>
      <c r="N263" s="1"/>
      <c r="O263" s="17"/>
      <c r="P263" s="17"/>
      <c r="Q263" s="17"/>
      <c r="R263" s="17"/>
      <c r="S263" s="17"/>
      <c r="T263" s="17"/>
      <c r="U263" s="17"/>
      <c r="V263" s="17"/>
      <c r="W263" s="17"/>
      <c r="X263" s="17"/>
    </row>
    <row r="264" spans="1:24">
      <c r="A264" s="1"/>
      <c r="B264" s="1"/>
      <c r="C264" s="17"/>
      <c r="D264" s="17"/>
      <c r="E264" s="17"/>
      <c r="F264" s="17"/>
      <c r="G264" s="17"/>
      <c r="H264" s="17"/>
      <c r="I264" s="17"/>
      <c r="J264" s="17"/>
      <c r="K264" s="17"/>
      <c r="L264" s="17"/>
      <c r="N264" s="1"/>
      <c r="O264" s="17"/>
      <c r="P264" s="17"/>
      <c r="Q264" s="17"/>
      <c r="R264" s="17"/>
      <c r="S264" s="17"/>
      <c r="T264" s="17"/>
      <c r="U264" s="17"/>
      <c r="V264" s="17"/>
      <c r="W264" s="17"/>
      <c r="X264" s="17"/>
    </row>
    <row r="265" spans="1:24">
      <c r="A265" s="1"/>
      <c r="B265" s="1"/>
      <c r="C265" s="17"/>
      <c r="D265" s="17"/>
      <c r="E265" s="17"/>
      <c r="F265" s="17"/>
      <c r="G265" s="17"/>
      <c r="H265" s="17"/>
      <c r="I265" s="17"/>
      <c r="J265" s="17"/>
      <c r="K265" s="17"/>
      <c r="L265" s="17"/>
      <c r="N265" s="1"/>
      <c r="O265" s="17"/>
      <c r="P265" s="17"/>
      <c r="Q265" s="17"/>
      <c r="R265" s="17"/>
      <c r="S265" s="17"/>
      <c r="T265" s="17"/>
      <c r="U265" s="17"/>
      <c r="V265" s="17"/>
      <c r="W265" s="17"/>
      <c r="X265" s="17"/>
    </row>
    <row r="266" spans="1:24">
      <c r="A266" s="1"/>
      <c r="B266" s="1"/>
      <c r="C266" s="17"/>
      <c r="D266" s="17"/>
      <c r="E266" s="17"/>
      <c r="F266" s="17"/>
      <c r="G266" s="17"/>
      <c r="H266" s="17"/>
      <c r="I266" s="17"/>
      <c r="J266" s="17"/>
      <c r="K266" s="17"/>
      <c r="L266" s="17"/>
      <c r="N266" s="1"/>
      <c r="O266" s="17"/>
      <c r="P266" s="17"/>
      <c r="Q266" s="17"/>
      <c r="R266" s="17"/>
      <c r="S266" s="17"/>
      <c r="T266" s="17"/>
      <c r="U266" s="17"/>
      <c r="V266" s="17"/>
      <c r="W266" s="17"/>
      <c r="X266" s="17"/>
    </row>
    <row r="267" spans="1:24">
      <c r="A267" s="1"/>
      <c r="B267" s="1"/>
      <c r="C267" s="17"/>
      <c r="D267" s="17"/>
      <c r="E267" s="17"/>
      <c r="F267" s="17"/>
      <c r="G267" s="17"/>
      <c r="H267" s="17"/>
      <c r="I267" s="17"/>
      <c r="J267" s="17"/>
      <c r="K267" s="17"/>
      <c r="L267" s="17"/>
      <c r="N267" s="1"/>
      <c r="O267" s="17"/>
      <c r="P267" s="17"/>
      <c r="Q267" s="17"/>
      <c r="R267" s="17"/>
      <c r="S267" s="17"/>
      <c r="T267" s="17"/>
      <c r="U267" s="17"/>
      <c r="V267" s="17"/>
      <c r="W267" s="17"/>
      <c r="X267" s="17"/>
    </row>
    <row r="268" spans="1:24">
      <c r="A268" s="1"/>
      <c r="B268" s="1"/>
      <c r="C268" s="17"/>
      <c r="D268" s="17"/>
      <c r="E268" s="17"/>
      <c r="F268" s="17"/>
      <c r="G268" s="17"/>
      <c r="H268" s="17"/>
      <c r="I268" s="17"/>
      <c r="J268" s="17"/>
      <c r="K268" s="17"/>
      <c r="L268" s="17"/>
      <c r="N268" s="1"/>
      <c r="O268" s="17"/>
      <c r="P268" s="17"/>
      <c r="Q268" s="17"/>
      <c r="R268" s="17"/>
      <c r="S268" s="17"/>
      <c r="T268" s="17"/>
      <c r="U268" s="17"/>
      <c r="V268" s="17"/>
      <c r="W268" s="17"/>
      <c r="X268" s="17"/>
    </row>
    <row r="269" spans="1:24">
      <c r="A269" s="1"/>
      <c r="B269" s="1"/>
      <c r="C269" s="17"/>
      <c r="D269" s="17"/>
      <c r="E269" s="17"/>
      <c r="F269" s="17"/>
      <c r="G269" s="17"/>
      <c r="H269" s="17"/>
      <c r="I269" s="17"/>
      <c r="J269" s="17"/>
      <c r="K269" s="17"/>
      <c r="L269" s="17"/>
      <c r="N269" s="1"/>
      <c r="O269" s="17"/>
      <c r="P269" s="17"/>
      <c r="Q269" s="17"/>
      <c r="R269" s="17"/>
      <c r="S269" s="17"/>
      <c r="T269" s="17"/>
      <c r="U269" s="17"/>
      <c r="V269" s="17"/>
      <c r="W269" s="17"/>
      <c r="X269" s="17"/>
    </row>
    <row r="270" spans="1:24">
      <c r="A270" s="1"/>
      <c r="B270" s="1"/>
      <c r="C270" s="17"/>
      <c r="D270" s="17"/>
      <c r="E270" s="17"/>
      <c r="F270" s="17"/>
      <c r="G270" s="17"/>
      <c r="H270" s="17"/>
      <c r="I270" s="17"/>
      <c r="J270" s="17"/>
      <c r="K270" s="17"/>
      <c r="L270" s="17"/>
      <c r="N270" s="1"/>
      <c r="O270" s="17"/>
      <c r="P270" s="17"/>
      <c r="Q270" s="17"/>
      <c r="R270" s="17"/>
      <c r="S270" s="17"/>
      <c r="T270" s="17"/>
      <c r="U270" s="17"/>
      <c r="V270" s="17"/>
      <c r="W270" s="17"/>
      <c r="X270" s="17"/>
    </row>
    <row r="271" spans="1:24">
      <c r="A271" s="1"/>
      <c r="B271" s="1"/>
      <c r="C271" s="17"/>
      <c r="D271" s="17"/>
      <c r="E271" s="17"/>
      <c r="F271" s="17"/>
      <c r="G271" s="17"/>
      <c r="H271" s="17"/>
      <c r="I271" s="17"/>
      <c r="J271" s="17"/>
      <c r="K271" s="17"/>
      <c r="L271" s="17"/>
      <c r="N271" s="1"/>
      <c r="O271" s="17"/>
      <c r="P271" s="17"/>
      <c r="Q271" s="17"/>
      <c r="R271" s="17"/>
      <c r="S271" s="17"/>
      <c r="T271" s="17"/>
      <c r="U271" s="17"/>
      <c r="V271" s="17"/>
      <c r="W271" s="17"/>
      <c r="X271" s="17"/>
    </row>
    <row r="272" spans="1:24">
      <c r="A272" s="1"/>
      <c r="B272" s="1"/>
      <c r="C272" s="17"/>
      <c r="D272" s="17"/>
      <c r="E272" s="17"/>
      <c r="F272" s="17"/>
      <c r="G272" s="17"/>
      <c r="H272" s="17"/>
      <c r="I272" s="17"/>
      <c r="J272" s="17"/>
      <c r="K272" s="17"/>
      <c r="L272" s="17"/>
      <c r="N272" s="1"/>
      <c r="O272" s="17"/>
      <c r="P272" s="17"/>
      <c r="Q272" s="17"/>
      <c r="R272" s="17"/>
      <c r="S272" s="17"/>
      <c r="T272" s="17"/>
      <c r="U272" s="17"/>
      <c r="V272" s="17"/>
      <c r="W272" s="17"/>
      <c r="X272" s="17"/>
    </row>
    <row r="273" spans="1:24">
      <c r="A273" s="1"/>
      <c r="B273" s="1"/>
      <c r="C273" s="17"/>
      <c r="D273" s="17"/>
      <c r="E273" s="17"/>
      <c r="F273" s="17"/>
      <c r="G273" s="17"/>
      <c r="H273" s="17"/>
      <c r="I273" s="17"/>
      <c r="J273" s="17"/>
      <c r="K273" s="17"/>
      <c r="L273" s="17"/>
      <c r="N273" s="1"/>
      <c r="O273" s="17"/>
      <c r="P273" s="17"/>
      <c r="Q273" s="17"/>
      <c r="R273" s="17"/>
      <c r="S273" s="17"/>
      <c r="T273" s="17"/>
      <c r="U273" s="17"/>
      <c r="V273" s="17"/>
      <c r="W273" s="17"/>
      <c r="X273" s="17"/>
    </row>
    <row r="274" spans="1:24">
      <c r="A274" s="1"/>
      <c r="B274" s="1"/>
      <c r="C274" s="17"/>
      <c r="D274" s="17"/>
      <c r="E274" s="17"/>
      <c r="F274" s="17"/>
      <c r="G274" s="17"/>
      <c r="H274" s="17"/>
      <c r="I274" s="17"/>
      <c r="J274" s="17"/>
      <c r="K274" s="17"/>
      <c r="L274" s="17"/>
      <c r="N274" s="1"/>
      <c r="O274" s="17"/>
      <c r="P274" s="17"/>
      <c r="Q274" s="17"/>
      <c r="R274" s="17"/>
      <c r="S274" s="17"/>
      <c r="T274" s="17"/>
      <c r="U274" s="17"/>
      <c r="V274" s="17"/>
      <c r="W274" s="17"/>
      <c r="X274" s="17"/>
    </row>
    <row r="275" spans="1:24">
      <c r="A275" s="1"/>
      <c r="B275" s="1"/>
      <c r="C275" s="17"/>
      <c r="D275" s="17"/>
      <c r="E275" s="17"/>
      <c r="F275" s="17"/>
      <c r="G275" s="17"/>
      <c r="H275" s="17"/>
      <c r="I275" s="17"/>
      <c r="J275" s="17"/>
      <c r="K275" s="17"/>
      <c r="L275" s="17"/>
      <c r="N275" s="1"/>
      <c r="O275" s="17"/>
      <c r="P275" s="17"/>
      <c r="Q275" s="17"/>
      <c r="R275" s="17"/>
      <c r="S275" s="17"/>
      <c r="T275" s="17"/>
      <c r="U275" s="17"/>
      <c r="V275" s="17"/>
      <c r="W275" s="17"/>
      <c r="X275" s="17"/>
    </row>
    <row r="276" spans="1:24">
      <c r="A276" s="1"/>
      <c r="B276" s="1"/>
      <c r="C276" s="17"/>
      <c r="D276" s="17"/>
      <c r="E276" s="17"/>
      <c r="F276" s="17"/>
      <c r="G276" s="17"/>
      <c r="H276" s="17"/>
      <c r="I276" s="17"/>
      <c r="J276" s="17"/>
      <c r="K276" s="17"/>
      <c r="L276" s="17"/>
      <c r="N276" s="1"/>
      <c r="O276" s="17"/>
      <c r="P276" s="17"/>
      <c r="Q276" s="17"/>
      <c r="R276" s="17"/>
      <c r="S276" s="17"/>
      <c r="T276" s="17"/>
      <c r="U276" s="17"/>
      <c r="V276" s="17"/>
      <c r="W276" s="17"/>
      <c r="X276" s="17"/>
    </row>
    <row r="277" spans="1:24">
      <c r="A277" s="1"/>
      <c r="B277" s="1"/>
      <c r="C277" s="17"/>
      <c r="D277" s="17"/>
      <c r="E277" s="17"/>
      <c r="F277" s="17"/>
      <c r="G277" s="17"/>
      <c r="H277" s="17"/>
      <c r="I277" s="17"/>
      <c r="J277" s="17"/>
      <c r="K277" s="17"/>
      <c r="L277" s="17"/>
      <c r="N277" s="1"/>
      <c r="O277" s="17"/>
      <c r="P277" s="17"/>
      <c r="Q277" s="17"/>
      <c r="R277" s="17"/>
      <c r="S277" s="17"/>
      <c r="T277" s="17"/>
      <c r="U277" s="17"/>
      <c r="V277" s="17"/>
      <c r="W277" s="17"/>
      <c r="X277" s="17"/>
    </row>
    <row r="278" spans="1:24">
      <c r="A278" s="1"/>
      <c r="B278" s="1"/>
      <c r="C278" s="17"/>
      <c r="D278" s="17"/>
      <c r="E278" s="17"/>
      <c r="F278" s="17"/>
      <c r="G278" s="17"/>
      <c r="H278" s="17"/>
      <c r="I278" s="17"/>
      <c r="J278" s="17"/>
      <c r="K278" s="17"/>
      <c r="L278" s="17"/>
      <c r="N278" s="1"/>
      <c r="O278" s="17"/>
      <c r="P278" s="17"/>
      <c r="Q278" s="17"/>
      <c r="R278" s="17"/>
      <c r="S278" s="17"/>
      <c r="T278" s="17"/>
      <c r="U278" s="17"/>
      <c r="V278" s="17"/>
      <c r="W278" s="17"/>
      <c r="X278" s="17"/>
    </row>
    <row r="279" spans="1:24">
      <c r="A279" s="1"/>
      <c r="B279" s="1"/>
      <c r="C279" s="17"/>
      <c r="D279" s="17"/>
      <c r="E279" s="17"/>
      <c r="F279" s="17"/>
      <c r="G279" s="17"/>
      <c r="H279" s="17"/>
      <c r="I279" s="17"/>
      <c r="J279" s="17"/>
      <c r="K279" s="17"/>
      <c r="L279" s="17"/>
      <c r="N279" s="1"/>
      <c r="O279" s="17"/>
      <c r="P279" s="17"/>
      <c r="Q279" s="17"/>
      <c r="R279" s="17"/>
      <c r="S279" s="17"/>
      <c r="T279" s="17"/>
      <c r="U279" s="17"/>
      <c r="V279" s="17"/>
      <c r="W279" s="17"/>
      <c r="X279" s="17"/>
    </row>
    <row r="280" spans="1:24">
      <c r="A280" s="1"/>
      <c r="B280" s="1"/>
      <c r="C280" s="17"/>
      <c r="D280" s="17"/>
      <c r="E280" s="17"/>
      <c r="F280" s="17"/>
      <c r="G280" s="17"/>
      <c r="H280" s="17"/>
      <c r="I280" s="17"/>
      <c r="J280" s="17"/>
      <c r="K280" s="17"/>
      <c r="L280" s="17"/>
      <c r="N280" s="1"/>
      <c r="O280" s="17"/>
      <c r="P280" s="17"/>
      <c r="Q280" s="17"/>
      <c r="R280" s="17"/>
      <c r="S280" s="17"/>
      <c r="T280" s="17"/>
      <c r="U280" s="17"/>
      <c r="V280" s="17"/>
      <c r="W280" s="17"/>
      <c r="X280" s="17"/>
    </row>
    <row r="281" spans="1:24">
      <c r="A281" s="1"/>
      <c r="B281" s="1"/>
      <c r="C281" s="17"/>
      <c r="D281" s="17"/>
      <c r="E281" s="17"/>
      <c r="F281" s="17"/>
      <c r="G281" s="17"/>
      <c r="H281" s="17"/>
      <c r="I281" s="17"/>
      <c r="J281" s="17"/>
      <c r="K281" s="17"/>
      <c r="L281" s="17"/>
      <c r="N281" s="1"/>
      <c r="O281" s="17"/>
      <c r="P281" s="17"/>
      <c r="Q281" s="17"/>
      <c r="R281" s="17"/>
      <c r="S281" s="17"/>
      <c r="T281" s="17"/>
      <c r="U281" s="17"/>
      <c r="V281" s="17"/>
      <c r="W281" s="17"/>
      <c r="X281" s="17"/>
    </row>
    <row r="282" spans="1:24">
      <c r="A282" s="1"/>
      <c r="B282" s="1"/>
      <c r="C282" s="17"/>
      <c r="D282" s="17"/>
      <c r="E282" s="17"/>
      <c r="F282" s="17"/>
      <c r="G282" s="17"/>
      <c r="H282" s="17"/>
      <c r="I282" s="17"/>
      <c r="J282" s="17"/>
      <c r="K282" s="17"/>
      <c r="L282" s="17"/>
      <c r="N282" s="1"/>
      <c r="O282" s="17"/>
      <c r="P282" s="17"/>
      <c r="Q282" s="17"/>
      <c r="R282" s="17"/>
      <c r="S282" s="17"/>
      <c r="T282" s="17"/>
      <c r="U282" s="17"/>
      <c r="V282" s="17"/>
      <c r="W282" s="17"/>
      <c r="X282" s="17"/>
    </row>
    <row r="283" spans="1:24">
      <c r="A283" s="1"/>
      <c r="B283" s="1"/>
      <c r="C283" s="17"/>
      <c r="D283" s="17"/>
      <c r="E283" s="17"/>
      <c r="F283" s="17"/>
      <c r="G283" s="17"/>
      <c r="H283" s="17"/>
      <c r="I283" s="17"/>
      <c r="J283" s="17"/>
      <c r="K283" s="17"/>
      <c r="L283" s="17"/>
      <c r="N283" s="1"/>
      <c r="O283" s="17"/>
      <c r="P283" s="17"/>
      <c r="Q283" s="17"/>
      <c r="R283" s="17"/>
      <c r="S283" s="17"/>
      <c r="T283" s="17"/>
      <c r="U283" s="17"/>
      <c r="V283" s="17"/>
      <c r="W283" s="17"/>
      <c r="X283" s="17"/>
    </row>
    <row r="284" spans="1:24">
      <c r="A284" s="1"/>
      <c r="B284" s="1"/>
      <c r="C284" s="17"/>
      <c r="D284" s="17"/>
      <c r="E284" s="17"/>
      <c r="F284" s="17"/>
      <c r="G284" s="17"/>
      <c r="H284" s="17"/>
      <c r="I284" s="17"/>
      <c r="J284" s="17"/>
      <c r="K284" s="17"/>
      <c r="L284" s="17"/>
      <c r="N284" s="1"/>
      <c r="O284" s="17"/>
      <c r="P284" s="17"/>
      <c r="Q284" s="17"/>
      <c r="R284" s="17"/>
      <c r="S284" s="17"/>
      <c r="T284" s="17"/>
      <c r="U284" s="17"/>
      <c r="V284" s="17"/>
      <c r="W284" s="17"/>
      <c r="X284" s="17"/>
    </row>
    <row r="285" spans="1:24">
      <c r="A285" s="1"/>
      <c r="B285" s="1"/>
      <c r="C285" s="17"/>
      <c r="D285" s="17"/>
      <c r="E285" s="17"/>
      <c r="F285" s="17"/>
      <c r="G285" s="17"/>
      <c r="H285" s="17"/>
      <c r="I285" s="17"/>
      <c r="J285" s="17"/>
      <c r="K285" s="17"/>
      <c r="L285" s="17"/>
      <c r="N285" s="1"/>
      <c r="O285" s="17"/>
      <c r="P285" s="17"/>
      <c r="Q285" s="17"/>
      <c r="R285" s="17"/>
      <c r="S285" s="17"/>
      <c r="T285" s="17"/>
      <c r="U285" s="17"/>
      <c r="V285" s="17"/>
      <c r="W285" s="17"/>
      <c r="X285" s="17"/>
    </row>
    <row r="286" spans="1:24">
      <c r="A286" s="1"/>
      <c r="B286" s="1"/>
      <c r="C286" s="17"/>
      <c r="D286" s="17"/>
      <c r="E286" s="17"/>
      <c r="F286" s="17"/>
      <c r="G286" s="17"/>
      <c r="H286" s="17"/>
      <c r="I286" s="17"/>
      <c r="J286" s="17"/>
      <c r="K286" s="17"/>
      <c r="L286" s="17"/>
      <c r="N286" s="1"/>
      <c r="O286" s="17"/>
      <c r="P286" s="17"/>
      <c r="Q286" s="17"/>
      <c r="R286" s="17"/>
      <c r="S286" s="17"/>
      <c r="T286" s="17"/>
      <c r="U286" s="17"/>
      <c r="V286" s="17"/>
      <c r="W286" s="17"/>
      <c r="X286" s="17"/>
    </row>
    <row r="287" spans="1:24">
      <c r="A287" s="1"/>
      <c r="B287" s="1"/>
      <c r="C287" s="17"/>
      <c r="D287" s="17"/>
      <c r="E287" s="17"/>
      <c r="F287" s="17"/>
      <c r="G287" s="17"/>
      <c r="H287" s="17"/>
      <c r="I287" s="17"/>
      <c r="J287" s="17"/>
      <c r="K287" s="17"/>
      <c r="L287" s="17"/>
      <c r="N287" s="1"/>
      <c r="O287" s="17"/>
      <c r="P287" s="17"/>
      <c r="Q287" s="17"/>
      <c r="R287" s="17"/>
      <c r="S287" s="17"/>
      <c r="T287" s="17"/>
      <c r="U287" s="17"/>
      <c r="V287" s="17"/>
      <c r="W287" s="17"/>
      <c r="X287" s="17"/>
    </row>
    <row r="288" spans="1:24">
      <c r="A288" s="1"/>
      <c r="B288" s="1"/>
      <c r="C288" s="17"/>
      <c r="D288" s="17"/>
      <c r="E288" s="17"/>
      <c r="F288" s="17"/>
      <c r="G288" s="17"/>
      <c r="H288" s="17"/>
      <c r="I288" s="17"/>
      <c r="J288" s="17"/>
      <c r="K288" s="17"/>
      <c r="L288" s="17"/>
      <c r="N288" s="1"/>
      <c r="O288" s="17"/>
      <c r="P288" s="17"/>
      <c r="Q288" s="17"/>
      <c r="R288" s="17"/>
      <c r="S288" s="17"/>
      <c r="T288" s="17"/>
      <c r="U288" s="17"/>
      <c r="V288" s="17"/>
      <c r="W288" s="17"/>
      <c r="X288" s="17"/>
    </row>
    <row r="289" spans="1:24">
      <c r="A289" s="1"/>
      <c r="B289" s="1"/>
      <c r="C289" s="17"/>
      <c r="D289" s="17"/>
      <c r="E289" s="17"/>
      <c r="F289" s="17"/>
      <c r="G289" s="17"/>
      <c r="H289" s="17"/>
      <c r="I289" s="17"/>
      <c r="J289" s="17"/>
      <c r="K289" s="17"/>
      <c r="L289" s="17"/>
      <c r="N289" s="1"/>
      <c r="O289" s="17"/>
      <c r="P289" s="17"/>
      <c r="Q289" s="17"/>
      <c r="R289" s="17"/>
      <c r="S289" s="17"/>
      <c r="T289" s="17"/>
      <c r="U289" s="17"/>
      <c r="V289" s="17"/>
      <c r="W289" s="17"/>
      <c r="X289" s="17"/>
    </row>
    <row r="290" spans="1:24">
      <c r="A290" s="1"/>
      <c r="B290" s="1"/>
      <c r="C290" s="17"/>
      <c r="D290" s="17"/>
      <c r="E290" s="17"/>
      <c r="F290" s="17"/>
      <c r="G290" s="17"/>
      <c r="H290" s="17"/>
      <c r="I290" s="17"/>
      <c r="J290" s="17"/>
      <c r="K290" s="17"/>
      <c r="L290" s="17"/>
      <c r="N290" s="1"/>
      <c r="O290" s="17"/>
      <c r="P290" s="17"/>
      <c r="Q290" s="17"/>
      <c r="R290" s="17"/>
      <c r="S290" s="17"/>
      <c r="T290" s="17"/>
      <c r="U290" s="17"/>
      <c r="V290" s="17"/>
      <c r="W290" s="17"/>
      <c r="X290" s="17"/>
    </row>
    <row r="291" spans="1:24">
      <c r="A291" s="1"/>
      <c r="B291" s="1"/>
      <c r="C291" s="17"/>
      <c r="D291" s="17"/>
      <c r="E291" s="17"/>
      <c r="F291" s="17"/>
      <c r="G291" s="17"/>
      <c r="H291" s="17"/>
      <c r="I291" s="17"/>
      <c r="J291" s="17"/>
      <c r="K291" s="17"/>
      <c r="L291" s="17"/>
      <c r="N291" s="1"/>
      <c r="O291" s="17"/>
      <c r="P291" s="17"/>
      <c r="Q291" s="17"/>
      <c r="R291" s="17"/>
      <c r="S291" s="17"/>
      <c r="T291" s="17"/>
      <c r="U291" s="17"/>
      <c r="V291" s="17"/>
      <c r="W291" s="17"/>
      <c r="X291" s="17"/>
    </row>
    <row r="292" spans="1:24">
      <c r="A292" s="1"/>
      <c r="B292" s="1"/>
      <c r="C292" s="17"/>
      <c r="D292" s="17"/>
      <c r="E292" s="17"/>
      <c r="F292" s="17"/>
      <c r="G292" s="17"/>
      <c r="H292" s="17"/>
      <c r="I292" s="17"/>
      <c r="J292" s="17"/>
      <c r="K292" s="17"/>
      <c r="L292" s="17"/>
      <c r="N292" s="1"/>
      <c r="O292" s="17"/>
      <c r="P292" s="17"/>
      <c r="Q292" s="17"/>
      <c r="R292" s="17"/>
      <c r="S292" s="17"/>
      <c r="T292" s="17"/>
      <c r="U292" s="17"/>
      <c r="V292" s="17"/>
      <c r="W292" s="17"/>
      <c r="X292" s="17"/>
    </row>
    <row r="293" spans="1:24">
      <c r="A293" s="1"/>
      <c r="B293" s="1"/>
      <c r="C293" s="17"/>
      <c r="D293" s="17"/>
      <c r="E293" s="17"/>
      <c r="F293" s="17"/>
      <c r="G293" s="17"/>
      <c r="H293" s="17"/>
      <c r="I293" s="17"/>
      <c r="J293" s="17"/>
      <c r="K293" s="17"/>
      <c r="L293" s="17"/>
      <c r="N293" s="1"/>
      <c r="O293" s="17"/>
      <c r="P293" s="17"/>
      <c r="Q293" s="17"/>
      <c r="R293" s="17"/>
      <c r="S293" s="17"/>
      <c r="T293" s="17"/>
      <c r="U293" s="17"/>
      <c r="V293" s="17"/>
      <c r="W293" s="17"/>
      <c r="X293" s="17"/>
    </row>
    <row r="294" spans="1:24">
      <c r="A294" s="1"/>
      <c r="B294" s="1"/>
      <c r="C294" s="17"/>
      <c r="D294" s="17"/>
      <c r="E294" s="17"/>
      <c r="F294" s="17"/>
      <c r="G294" s="17"/>
      <c r="H294" s="17"/>
      <c r="I294" s="17"/>
      <c r="J294" s="17"/>
      <c r="K294" s="17"/>
      <c r="L294" s="17"/>
      <c r="N294" s="1"/>
      <c r="O294" s="17"/>
      <c r="P294" s="17"/>
      <c r="Q294" s="17"/>
      <c r="R294" s="17"/>
      <c r="S294" s="17"/>
      <c r="T294" s="17"/>
      <c r="U294" s="17"/>
      <c r="V294" s="17"/>
      <c r="W294" s="17"/>
      <c r="X294" s="17"/>
    </row>
    <row r="295" spans="1:24">
      <c r="A295" s="1"/>
      <c r="B295" s="1"/>
      <c r="C295" s="17"/>
      <c r="D295" s="17"/>
      <c r="E295" s="17"/>
      <c r="F295" s="17"/>
      <c r="G295" s="17"/>
      <c r="H295" s="17"/>
      <c r="I295" s="17"/>
      <c r="J295" s="17"/>
      <c r="K295" s="17"/>
      <c r="L295" s="17"/>
      <c r="N295" s="1"/>
      <c r="O295" s="17"/>
      <c r="P295" s="17"/>
      <c r="Q295" s="17"/>
      <c r="R295" s="17"/>
      <c r="S295" s="17"/>
      <c r="T295" s="17"/>
      <c r="U295" s="17"/>
      <c r="V295" s="17"/>
      <c r="W295" s="17"/>
      <c r="X295" s="17"/>
    </row>
    <row r="296" spans="1:24">
      <c r="A296" s="1"/>
      <c r="B296" s="1"/>
      <c r="C296" s="17"/>
      <c r="D296" s="17"/>
      <c r="E296" s="17"/>
      <c r="F296" s="17"/>
      <c r="G296" s="17"/>
      <c r="H296" s="17"/>
      <c r="I296" s="17"/>
      <c r="J296" s="17"/>
      <c r="K296" s="17"/>
      <c r="L296" s="17"/>
      <c r="N296" s="1"/>
      <c r="O296" s="17"/>
      <c r="P296" s="17"/>
      <c r="Q296" s="17"/>
      <c r="R296" s="17"/>
      <c r="S296" s="17"/>
      <c r="T296" s="17"/>
      <c r="U296" s="17"/>
      <c r="V296" s="17"/>
      <c r="W296" s="17"/>
      <c r="X296" s="17"/>
    </row>
    <row r="297" spans="1:24">
      <c r="A297" s="1"/>
      <c r="B297" s="1"/>
      <c r="C297" s="17"/>
      <c r="D297" s="17"/>
      <c r="E297" s="17"/>
      <c r="F297" s="17"/>
      <c r="G297" s="17"/>
      <c r="H297" s="17"/>
      <c r="I297" s="17"/>
      <c r="J297" s="17"/>
      <c r="K297" s="17"/>
      <c r="L297" s="17"/>
      <c r="N297" s="1"/>
      <c r="O297" s="17"/>
      <c r="P297" s="17"/>
      <c r="Q297" s="17"/>
      <c r="R297" s="17"/>
      <c r="S297" s="17"/>
      <c r="T297" s="17"/>
      <c r="U297" s="17"/>
      <c r="V297" s="17"/>
      <c r="W297" s="17"/>
      <c r="X297" s="17"/>
    </row>
    <row r="298" spans="1:24">
      <c r="A298" s="1"/>
      <c r="B298" s="1"/>
      <c r="C298" s="17"/>
      <c r="D298" s="17"/>
      <c r="E298" s="17"/>
      <c r="F298" s="17"/>
      <c r="G298" s="17"/>
      <c r="H298" s="17"/>
      <c r="I298" s="17"/>
      <c r="J298" s="17"/>
      <c r="K298" s="17"/>
      <c r="L298" s="17"/>
      <c r="N298" s="1"/>
      <c r="O298" s="17"/>
      <c r="P298" s="17"/>
      <c r="Q298" s="17"/>
      <c r="R298" s="17"/>
      <c r="S298" s="17"/>
      <c r="T298" s="17"/>
      <c r="U298" s="17"/>
      <c r="V298" s="17"/>
      <c r="W298" s="17"/>
      <c r="X298" s="17"/>
    </row>
    <row r="299" spans="1:24">
      <c r="A299" s="1"/>
      <c r="B299" s="1"/>
      <c r="C299" s="17"/>
      <c r="D299" s="17"/>
      <c r="E299" s="17"/>
      <c r="F299" s="17"/>
      <c r="G299" s="17"/>
      <c r="H299" s="17"/>
      <c r="I299" s="17"/>
      <c r="J299" s="17"/>
      <c r="K299" s="17"/>
      <c r="L299" s="17"/>
      <c r="N299" s="1"/>
      <c r="O299" s="17"/>
      <c r="P299" s="17"/>
      <c r="Q299" s="17"/>
      <c r="R299" s="17"/>
      <c r="S299" s="17"/>
      <c r="T299" s="17"/>
      <c r="U299" s="17"/>
      <c r="V299" s="17"/>
      <c r="W299" s="17"/>
      <c r="X299" s="17"/>
    </row>
    <row r="300" spans="1:24">
      <c r="A300" s="1"/>
      <c r="B300" s="1"/>
      <c r="C300" s="17"/>
      <c r="D300" s="17"/>
      <c r="E300" s="17"/>
      <c r="F300" s="17"/>
      <c r="G300" s="17"/>
      <c r="H300" s="17"/>
      <c r="I300" s="17"/>
      <c r="J300" s="17"/>
      <c r="K300" s="17"/>
      <c r="L300" s="17"/>
      <c r="N300" s="1"/>
      <c r="O300" s="17"/>
      <c r="P300" s="17"/>
      <c r="Q300" s="17"/>
      <c r="R300" s="17"/>
      <c r="S300" s="17"/>
      <c r="T300" s="17"/>
      <c r="U300" s="17"/>
      <c r="V300" s="17"/>
      <c r="W300" s="17"/>
      <c r="X300" s="17"/>
    </row>
    <row r="301" spans="1:24">
      <c r="A301" s="1"/>
      <c r="B301" s="1"/>
      <c r="C301" s="17"/>
      <c r="D301" s="17"/>
      <c r="E301" s="17"/>
      <c r="F301" s="17"/>
      <c r="G301" s="17"/>
      <c r="H301" s="17"/>
      <c r="I301" s="17"/>
      <c r="J301" s="17"/>
      <c r="K301" s="17"/>
      <c r="L301" s="17"/>
      <c r="N301" s="1"/>
      <c r="O301" s="17"/>
      <c r="P301" s="17"/>
      <c r="Q301" s="17"/>
      <c r="R301" s="17"/>
      <c r="S301" s="17"/>
      <c r="T301" s="17"/>
      <c r="U301" s="17"/>
      <c r="V301" s="17"/>
      <c r="W301" s="17"/>
      <c r="X301" s="17"/>
    </row>
    <row r="302" spans="1:24">
      <c r="A302" s="1"/>
      <c r="B302" s="1"/>
      <c r="C302" s="17"/>
      <c r="D302" s="17"/>
      <c r="E302" s="17"/>
      <c r="F302" s="17"/>
      <c r="G302" s="17"/>
      <c r="H302" s="17"/>
      <c r="I302" s="17"/>
      <c r="J302" s="17"/>
      <c r="K302" s="17"/>
      <c r="L302" s="17"/>
      <c r="N302" s="1"/>
      <c r="O302" s="17"/>
      <c r="P302" s="17"/>
      <c r="Q302" s="17"/>
      <c r="R302" s="17"/>
      <c r="S302" s="17"/>
      <c r="T302" s="17"/>
      <c r="U302" s="17"/>
      <c r="V302" s="17"/>
      <c r="W302" s="17"/>
      <c r="X302" s="17"/>
    </row>
    <row r="303" spans="1:24">
      <c r="A303" s="1"/>
      <c r="B303" s="1"/>
      <c r="C303" s="17"/>
      <c r="D303" s="17"/>
      <c r="E303" s="17"/>
      <c r="F303" s="17"/>
      <c r="G303" s="17"/>
      <c r="H303" s="17"/>
      <c r="I303" s="17"/>
      <c r="J303" s="17"/>
      <c r="K303" s="17"/>
      <c r="L303" s="17"/>
      <c r="N303" s="1"/>
      <c r="O303" s="17"/>
      <c r="P303" s="17"/>
      <c r="Q303" s="17"/>
      <c r="R303" s="17"/>
      <c r="S303" s="17"/>
      <c r="T303" s="17"/>
      <c r="U303" s="17"/>
      <c r="V303" s="17"/>
      <c r="W303" s="17"/>
      <c r="X303" s="17"/>
    </row>
    <row r="304" spans="1:24">
      <c r="A304" s="1"/>
      <c r="B304" s="1"/>
      <c r="C304" s="17"/>
      <c r="D304" s="17"/>
      <c r="E304" s="17"/>
      <c r="F304" s="17"/>
      <c r="G304" s="17"/>
      <c r="H304" s="17"/>
      <c r="I304" s="17"/>
      <c r="J304" s="17"/>
      <c r="K304" s="17"/>
      <c r="L304" s="17"/>
      <c r="N304" s="1"/>
      <c r="O304" s="17"/>
      <c r="P304" s="17"/>
      <c r="Q304" s="17"/>
      <c r="R304" s="17"/>
      <c r="S304" s="17"/>
      <c r="T304" s="17"/>
      <c r="U304" s="17"/>
      <c r="V304" s="17"/>
      <c r="W304" s="17"/>
      <c r="X304" s="17"/>
    </row>
    <row r="305" spans="1:24">
      <c r="A305" s="1"/>
      <c r="B305" s="1"/>
      <c r="C305" s="17"/>
      <c r="D305" s="17"/>
      <c r="E305" s="17"/>
      <c r="F305" s="17"/>
      <c r="G305" s="17"/>
      <c r="H305" s="17"/>
      <c r="I305" s="17"/>
      <c r="J305" s="17"/>
      <c r="K305" s="17"/>
      <c r="L305" s="17"/>
      <c r="N305" s="1"/>
      <c r="O305" s="17"/>
      <c r="P305" s="17"/>
      <c r="Q305" s="17"/>
      <c r="R305" s="17"/>
      <c r="S305" s="17"/>
      <c r="T305" s="17"/>
      <c r="U305" s="17"/>
      <c r="V305" s="17"/>
      <c r="W305" s="17"/>
      <c r="X305" s="17"/>
    </row>
    <row r="306" spans="1:24">
      <c r="A306" s="1"/>
      <c r="B306" s="1"/>
      <c r="C306" s="17"/>
      <c r="D306" s="17"/>
      <c r="E306" s="17"/>
      <c r="F306" s="17"/>
      <c r="G306" s="17"/>
      <c r="H306" s="17"/>
      <c r="I306" s="17"/>
      <c r="J306" s="17"/>
      <c r="K306" s="17"/>
      <c r="L306" s="17"/>
      <c r="N306" s="1"/>
      <c r="O306" s="17"/>
      <c r="P306" s="17"/>
      <c r="Q306" s="17"/>
      <c r="R306" s="17"/>
      <c r="S306" s="17"/>
      <c r="T306" s="17"/>
      <c r="U306" s="17"/>
      <c r="V306" s="17"/>
      <c r="W306" s="17"/>
      <c r="X306" s="17"/>
    </row>
    <row r="307" spans="1:24">
      <c r="A307" s="1"/>
      <c r="B307" s="1"/>
      <c r="C307" s="17"/>
      <c r="D307" s="17"/>
      <c r="E307" s="17"/>
      <c r="F307" s="17"/>
      <c r="G307" s="17"/>
      <c r="H307" s="17"/>
      <c r="I307" s="17"/>
      <c r="J307" s="17"/>
      <c r="K307" s="17"/>
      <c r="L307" s="17"/>
      <c r="N307" s="1"/>
      <c r="O307" s="17"/>
      <c r="P307" s="17"/>
      <c r="Q307" s="17"/>
      <c r="R307" s="17"/>
      <c r="S307" s="17"/>
      <c r="T307" s="17"/>
      <c r="U307" s="17"/>
      <c r="V307" s="17"/>
      <c r="W307" s="17"/>
      <c r="X307" s="17"/>
    </row>
    <row r="308" spans="1:24">
      <c r="A308" s="1"/>
      <c r="B308" s="1"/>
      <c r="C308" s="17"/>
      <c r="D308" s="17"/>
      <c r="E308" s="17"/>
      <c r="F308" s="17"/>
      <c r="G308" s="17"/>
      <c r="H308" s="17"/>
      <c r="I308" s="17"/>
      <c r="J308" s="17"/>
      <c r="K308" s="17"/>
      <c r="L308" s="17"/>
      <c r="N308" s="1"/>
      <c r="O308" s="17"/>
      <c r="P308" s="17"/>
      <c r="Q308" s="17"/>
      <c r="R308" s="17"/>
      <c r="S308" s="17"/>
      <c r="T308" s="17"/>
      <c r="U308" s="17"/>
      <c r="V308" s="17"/>
      <c r="W308" s="17"/>
      <c r="X308" s="17"/>
    </row>
    <row r="309" spans="1:24">
      <c r="A309" s="1"/>
      <c r="B309" s="1"/>
      <c r="C309" s="17"/>
      <c r="D309" s="17"/>
      <c r="E309" s="17"/>
      <c r="F309" s="17"/>
      <c r="G309" s="17"/>
      <c r="H309" s="17"/>
      <c r="I309" s="17"/>
      <c r="J309" s="17"/>
      <c r="K309" s="17"/>
      <c r="L309" s="17"/>
      <c r="N309" s="1"/>
      <c r="O309" s="17"/>
      <c r="P309" s="17"/>
      <c r="Q309" s="17"/>
      <c r="R309" s="17"/>
      <c r="S309" s="17"/>
      <c r="T309" s="17"/>
      <c r="U309" s="17"/>
      <c r="V309" s="17"/>
      <c r="W309" s="17"/>
      <c r="X309" s="17"/>
    </row>
    <row r="310" spans="1:24">
      <c r="A310" s="1"/>
      <c r="B310" s="1"/>
      <c r="C310" s="17"/>
      <c r="D310" s="17"/>
      <c r="E310" s="17"/>
      <c r="F310" s="17"/>
      <c r="G310" s="17"/>
      <c r="H310" s="17"/>
      <c r="I310" s="17"/>
      <c r="J310" s="17"/>
      <c r="K310" s="17"/>
      <c r="L310" s="17"/>
      <c r="N310" s="1"/>
      <c r="O310" s="17"/>
      <c r="P310" s="17"/>
      <c r="Q310" s="17"/>
      <c r="R310" s="17"/>
      <c r="S310" s="17"/>
      <c r="T310" s="17"/>
      <c r="U310" s="17"/>
      <c r="V310" s="17"/>
      <c r="W310" s="17"/>
      <c r="X310" s="17"/>
    </row>
    <row r="311" spans="1:24">
      <c r="A311" s="1"/>
      <c r="B311" s="1"/>
      <c r="C311" s="17"/>
      <c r="D311" s="17"/>
      <c r="E311" s="17"/>
      <c r="F311" s="17"/>
      <c r="G311" s="17"/>
      <c r="H311" s="17"/>
      <c r="I311" s="17"/>
      <c r="J311" s="17"/>
      <c r="K311" s="17"/>
      <c r="L311" s="17"/>
      <c r="N311" s="1"/>
      <c r="O311" s="17"/>
      <c r="P311" s="17"/>
      <c r="Q311" s="17"/>
      <c r="R311" s="17"/>
      <c r="S311" s="17"/>
      <c r="T311" s="17"/>
      <c r="U311" s="17"/>
      <c r="V311" s="17"/>
      <c r="W311" s="17"/>
      <c r="X311" s="17"/>
    </row>
    <row r="312" spans="1:24">
      <c r="A312" s="1"/>
      <c r="B312" s="1"/>
      <c r="C312" s="17"/>
      <c r="D312" s="17"/>
      <c r="E312" s="17"/>
      <c r="F312" s="17"/>
      <c r="G312" s="17"/>
      <c r="H312" s="17"/>
      <c r="I312" s="17"/>
      <c r="J312" s="17"/>
      <c r="K312" s="17"/>
      <c r="L312" s="17"/>
      <c r="N312" s="1"/>
      <c r="O312" s="17"/>
      <c r="P312" s="17"/>
      <c r="Q312" s="17"/>
      <c r="R312" s="17"/>
      <c r="S312" s="17"/>
      <c r="T312" s="17"/>
      <c r="U312" s="17"/>
      <c r="V312" s="17"/>
      <c r="W312" s="17"/>
      <c r="X312" s="17"/>
    </row>
    <row r="313" spans="1:24">
      <c r="A313" s="1"/>
      <c r="B313" s="1"/>
      <c r="C313" s="17"/>
      <c r="D313" s="17"/>
      <c r="E313" s="17"/>
      <c r="F313" s="17"/>
      <c r="G313" s="17"/>
      <c r="H313" s="17"/>
      <c r="I313" s="17"/>
      <c r="J313" s="17"/>
      <c r="K313" s="17"/>
      <c r="L313" s="17"/>
      <c r="N313" s="1"/>
      <c r="O313" s="17"/>
      <c r="P313" s="17"/>
      <c r="Q313" s="17"/>
      <c r="R313" s="17"/>
      <c r="S313" s="17"/>
      <c r="T313" s="17"/>
      <c r="U313" s="17"/>
      <c r="V313" s="17"/>
      <c r="W313" s="17"/>
      <c r="X313" s="17"/>
    </row>
    <row r="314" spans="1:24">
      <c r="A314" s="1"/>
      <c r="B314" s="1"/>
      <c r="C314" s="17"/>
      <c r="D314" s="17"/>
      <c r="E314" s="17"/>
      <c r="F314" s="17"/>
      <c r="G314" s="17"/>
      <c r="H314" s="17"/>
      <c r="I314" s="17"/>
      <c r="J314" s="17"/>
      <c r="K314" s="17"/>
      <c r="L314" s="17"/>
      <c r="N314" s="1"/>
      <c r="O314" s="17"/>
      <c r="P314" s="17"/>
      <c r="Q314" s="17"/>
      <c r="R314" s="17"/>
      <c r="S314" s="17"/>
      <c r="T314" s="17"/>
      <c r="U314" s="17"/>
      <c r="V314" s="17"/>
      <c r="W314" s="17"/>
      <c r="X314" s="17"/>
    </row>
    <row r="315" spans="1:24">
      <c r="A315" s="1"/>
      <c r="B315" s="1"/>
      <c r="C315" s="17"/>
      <c r="D315" s="17"/>
      <c r="E315" s="17"/>
      <c r="F315" s="17"/>
      <c r="G315" s="17"/>
      <c r="H315" s="17"/>
      <c r="I315" s="17"/>
      <c r="J315" s="17"/>
      <c r="K315" s="17"/>
      <c r="L315" s="17"/>
      <c r="N315" s="1"/>
      <c r="O315" s="17"/>
      <c r="P315" s="17"/>
      <c r="Q315" s="17"/>
      <c r="R315" s="17"/>
      <c r="S315" s="17"/>
      <c r="T315" s="17"/>
      <c r="U315" s="17"/>
      <c r="V315" s="17"/>
      <c r="W315" s="17"/>
      <c r="X315" s="17"/>
    </row>
    <row r="316" spans="1:24">
      <c r="A316" s="1"/>
      <c r="B316" s="1"/>
      <c r="C316" s="17"/>
      <c r="D316" s="17"/>
      <c r="E316" s="17"/>
      <c r="F316" s="17"/>
      <c r="G316" s="17"/>
      <c r="H316" s="17"/>
      <c r="I316" s="17"/>
      <c r="J316" s="17"/>
      <c r="K316" s="17"/>
      <c r="L316" s="17"/>
      <c r="N316" s="1"/>
      <c r="O316" s="17"/>
      <c r="P316" s="17"/>
      <c r="Q316" s="17"/>
      <c r="R316" s="17"/>
      <c r="S316" s="17"/>
      <c r="T316" s="17"/>
      <c r="U316" s="17"/>
      <c r="V316" s="17"/>
      <c r="W316" s="17"/>
      <c r="X316" s="17"/>
    </row>
    <row r="317" spans="1:24">
      <c r="A317" s="1"/>
      <c r="B317" s="1"/>
      <c r="C317" s="17"/>
      <c r="D317" s="17"/>
      <c r="E317" s="17"/>
      <c r="F317" s="17"/>
      <c r="G317" s="17"/>
      <c r="H317" s="17"/>
      <c r="I317" s="17"/>
      <c r="J317" s="17"/>
      <c r="K317" s="17"/>
      <c r="L317" s="17"/>
      <c r="N317" s="1"/>
      <c r="O317" s="17"/>
      <c r="P317" s="17"/>
      <c r="Q317" s="17"/>
      <c r="R317" s="17"/>
      <c r="S317" s="17"/>
      <c r="T317" s="17"/>
      <c r="U317" s="17"/>
      <c r="V317" s="17"/>
      <c r="W317" s="17"/>
      <c r="X317" s="17"/>
    </row>
    <row r="318" spans="1:24">
      <c r="A318" s="1"/>
      <c r="B318" s="1"/>
      <c r="C318" s="17"/>
      <c r="D318" s="17"/>
      <c r="E318" s="17"/>
      <c r="F318" s="17"/>
      <c r="G318" s="17"/>
      <c r="H318" s="17"/>
      <c r="I318" s="17"/>
      <c r="J318" s="17"/>
      <c r="K318" s="17"/>
      <c r="L318" s="17"/>
      <c r="N318" s="1"/>
      <c r="O318" s="17"/>
      <c r="P318" s="17"/>
      <c r="Q318" s="17"/>
      <c r="R318" s="17"/>
      <c r="S318" s="17"/>
      <c r="T318" s="17"/>
      <c r="U318" s="17"/>
      <c r="V318" s="17"/>
      <c r="W318" s="17"/>
      <c r="X318" s="17"/>
    </row>
    <row r="319" spans="1:24">
      <c r="A319" s="1"/>
      <c r="B319" s="1"/>
      <c r="C319" s="17"/>
      <c r="D319" s="17"/>
      <c r="E319" s="17"/>
      <c r="F319" s="17"/>
      <c r="G319" s="17"/>
      <c r="H319" s="17"/>
      <c r="I319" s="17"/>
      <c r="J319" s="17"/>
      <c r="K319" s="17"/>
      <c r="L319" s="17"/>
      <c r="N319" s="1"/>
      <c r="O319" s="17"/>
      <c r="P319" s="17"/>
      <c r="Q319" s="17"/>
      <c r="R319" s="17"/>
      <c r="S319" s="17"/>
      <c r="T319" s="17"/>
      <c r="U319" s="17"/>
      <c r="V319" s="17"/>
      <c r="W319" s="17"/>
      <c r="X319" s="17"/>
    </row>
    <row r="320" spans="1:24">
      <c r="A320" s="1"/>
      <c r="B320" s="1"/>
      <c r="C320" s="17"/>
      <c r="D320" s="17"/>
      <c r="E320" s="17"/>
      <c r="F320" s="17"/>
      <c r="G320" s="17"/>
      <c r="H320" s="17"/>
      <c r="I320" s="17"/>
      <c r="J320" s="17"/>
      <c r="K320" s="17"/>
      <c r="L320" s="17"/>
      <c r="N320" s="1"/>
      <c r="O320" s="17"/>
      <c r="P320" s="17"/>
      <c r="Q320" s="17"/>
      <c r="R320" s="17"/>
      <c r="S320" s="17"/>
      <c r="T320" s="17"/>
      <c r="U320" s="17"/>
      <c r="V320" s="17"/>
      <c r="W320" s="17"/>
      <c r="X320" s="17"/>
    </row>
    <row r="321" spans="1:24">
      <c r="A321" s="1"/>
      <c r="B321" s="1"/>
      <c r="C321" s="17"/>
      <c r="D321" s="17"/>
      <c r="E321" s="17"/>
      <c r="F321" s="17"/>
      <c r="G321" s="17"/>
      <c r="H321" s="17"/>
      <c r="I321" s="17"/>
      <c r="J321" s="17"/>
      <c r="K321" s="17"/>
      <c r="L321" s="17"/>
      <c r="N321" s="1"/>
      <c r="O321" s="17"/>
      <c r="P321" s="17"/>
      <c r="Q321" s="17"/>
      <c r="R321" s="17"/>
      <c r="S321" s="17"/>
      <c r="T321" s="17"/>
      <c r="U321" s="17"/>
      <c r="V321" s="17"/>
      <c r="W321" s="17"/>
      <c r="X321" s="17"/>
    </row>
    <row r="322" spans="1:24">
      <c r="A322" s="1"/>
      <c r="B322" s="1"/>
      <c r="C322" s="17"/>
      <c r="D322" s="17"/>
      <c r="E322" s="17"/>
      <c r="F322" s="17"/>
      <c r="G322" s="17"/>
      <c r="H322" s="17"/>
      <c r="I322" s="17"/>
      <c r="J322" s="17"/>
      <c r="K322" s="17"/>
      <c r="L322" s="17"/>
      <c r="N322" s="1"/>
      <c r="O322" s="17"/>
      <c r="P322" s="17"/>
      <c r="Q322" s="17"/>
      <c r="R322" s="17"/>
      <c r="S322" s="17"/>
      <c r="T322" s="17"/>
      <c r="U322" s="17"/>
      <c r="V322" s="17"/>
      <c r="W322" s="17"/>
      <c r="X322" s="17"/>
    </row>
    <row r="323" spans="1:24">
      <c r="A323" s="1"/>
      <c r="B323" s="1"/>
      <c r="C323" s="17"/>
      <c r="D323" s="17"/>
      <c r="E323" s="17"/>
      <c r="F323" s="17"/>
      <c r="G323" s="17"/>
      <c r="H323" s="17"/>
      <c r="I323" s="17"/>
      <c r="J323" s="17"/>
      <c r="K323" s="17"/>
      <c r="L323" s="17"/>
      <c r="N323" s="1"/>
      <c r="O323" s="17"/>
      <c r="P323" s="17"/>
      <c r="Q323" s="17"/>
      <c r="R323" s="17"/>
      <c r="S323" s="17"/>
      <c r="T323" s="17"/>
      <c r="U323" s="17"/>
      <c r="V323" s="17"/>
      <c r="W323" s="17"/>
      <c r="X323" s="17"/>
    </row>
    <row r="324" spans="1:24">
      <c r="A324" s="1"/>
      <c r="B324" s="1"/>
      <c r="C324" s="17"/>
      <c r="D324" s="17"/>
      <c r="E324" s="17"/>
      <c r="F324" s="17"/>
      <c r="G324" s="17"/>
      <c r="H324" s="17"/>
      <c r="I324" s="17"/>
      <c r="J324" s="17"/>
      <c r="K324" s="17"/>
      <c r="L324" s="17"/>
      <c r="N324" s="1"/>
      <c r="O324" s="17"/>
      <c r="P324" s="17"/>
      <c r="Q324" s="17"/>
      <c r="R324" s="17"/>
      <c r="S324" s="17"/>
      <c r="T324" s="17"/>
      <c r="U324" s="17"/>
      <c r="V324" s="17"/>
      <c r="W324" s="17"/>
      <c r="X324" s="17"/>
    </row>
    <row r="325" spans="1:24">
      <c r="A325" s="1"/>
      <c r="B325" s="1"/>
      <c r="C325" s="17"/>
      <c r="D325" s="17"/>
      <c r="E325" s="17"/>
      <c r="F325" s="17"/>
      <c r="G325" s="17"/>
      <c r="H325" s="17"/>
      <c r="I325" s="17"/>
      <c r="J325" s="17"/>
      <c r="K325" s="17"/>
      <c r="L325" s="17"/>
      <c r="N325" s="1"/>
      <c r="O325" s="17"/>
      <c r="P325" s="17"/>
      <c r="Q325" s="17"/>
      <c r="R325" s="17"/>
      <c r="S325" s="17"/>
      <c r="T325" s="17"/>
      <c r="U325" s="17"/>
      <c r="V325" s="17"/>
      <c r="W325" s="17"/>
      <c r="X325" s="17"/>
    </row>
    <row r="326" spans="1:24">
      <c r="A326" s="1"/>
      <c r="B326" s="1"/>
      <c r="C326" s="17"/>
      <c r="D326" s="17"/>
      <c r="E326" s="17"/>
      <c r="F326" s="17"/>
      <c r="G326" s="17"/>
      <c r="H326" s="17"/>
      <c r="I326" s="17"/>
      <c r="J326" s="17"/>
      <c r="K326" s="17"/>
      <c r="L326" s="17"/>
      <c r="N326" s="1"/>
      <c r="O326" s="17"/>
      <c r="P326" s="17"/>
      <c r="Q326" s="17"/>
      <c r="R326" s="17"/>
      <c r="S326" s="17"/>
      <c r="T326" s="17"/>
      <c r="U326" s="17"/>
      <c r="V326" s="17"/>
      <c r="W326" s="17"/>
      <c r="X326" s="17"/>
    </row>
    <row r="327" spans="1:24">
      <c r="A327" s="1"/>
      <c r="B327" s="1"/>
      <c r="C327" s="17"/>
      <c r="D327" s="17"/>
      <c r="E327" s="17"/>
      <c r="F327" s="17"/>
      <c r="G327" s="17"/>
      <c r="H327" s="17"/>
      <c r="I327" s="17"/>
      <c r="J327" s="17"/>
      <c r="K327" s="17"/>
      <c r="L327" s="17"/>
      <c r="N327" s="1"/>
      <c r="O327" s="17"/>
      <c r="P327" s="17"/>
      <c r="Q327" s="17"/>
      <c r="R327" s="17"/>
      <c r="S327" s="17"/>
      <c r="T327" s="17"/>
      <c r="U327" s="17"/>
      <c r="V327" s="17"/>
      <c r="W327" s="17"/>
      <c r="X327" s="17"/>
    </row>
    <row r="328" spans="1:24">
      <c r="A328" s="1"/>
      <c r="B328" s="1"/>
      <c r="C328" s="17"/>
      <c r="D328" s="17"/>
      <c r="E328" s="17"/>
      <c r="F328" s="17"/>
      <c r="G328" s="17"/>
      <c r="H328" s="17"/>
      <c r="I328" s="17"/>
      <c r="J328" s="17"/>
      <c r="K328" s="17"/>
      <c r="L328" s="17"/>
      <c r="N328" s="1"/>
      <c r="O328" s="17"/>
      <c r="P328" s="17"/>
      <c r="Q328" s="17"/>
      <c r="R328" s="17"/>
      <c r="S328" s="17"/>
      <c r="T328" s="17"/>
      <c r="U328" s="17"/>
      <c r="V328" s="17"/>
      <c r="W328" s="17"/>
      <c r="X328" s="17"/>
    </row>
    <row r="329" spans="1:24">
      <c r="A329" s="1"/>
      <c r="B329" s="1"/>
      <c r="C329" s="17"/>
      <c r="D329" s="17"/>
      <c r="E329" s="17"/>
      <c r="F329" s="17"/>
      <c r="G329" s="17"/>
      <c r="H329" s="17"/>
      <c r="I329" s="17"/>
      <c r="J329" s="17"/>
      <c r="K329" s="17"/>
      <c r="L329" s="17"/>
      <c r="N329" s="1"/>
      <c r="O329" s="17"/>
      <c r="P329" s="17"/>
      <c r="Q329" s="17"/>
      <c r="R329" s="17"/>
      <c r="S329" s="17"/>
      <c r="T329" s="17"/>
      <c r="U329" s="17"/>
      <c r="V329" s="17"/>
      <c r="W329" s="17"/>
      <c r="X329" s="17"/>
    </row>
    <row r="330" spans="1:24">
      <c r="A330" s="1"/>
      <c r="B330" s="1"/>
      <c r="C330" s="17"/>
      <c r="D330" s="17"/>
      <c r="E330" s="17"/>
      <c r="F330" s="17"/>
      <c r="G330" s="17"/>
      <c r="H330" s="17"/>
      <c r="I330" s="17"/>
      <c r="J330" s="17"/>
      <c r="K330" s="17"/>
      <c r="L330" s="17"/>
      <c r="N330" s="1"/>
      <c r="O330" s="17"/>
      <c r="P330" s="17"/>
      <c r="Q330" s="17"/>
      <c r="R330" s="17"/>
      <c r="S330" s="17"/>
      <c r="T330" s="17"/>
      <c r="U330" s="17"/>
      <c r="V330" s="17"/>
      <c r="W330" s="17"/>
      <c r="X330" s="17"/>
    </row>
    <row r="331" spans="1:24">
      <c r="A331" s="1"/>
      <c r="B331" s="1"/>
      <c r="C331" s="17"/>
      <c r="D331" s="17"/>
      <c r="E331" s="17"/>
      <c r="F331" s="17"/>
      <c r="G331" s="17"/>
      <c r="H331" s="17"/>
      <c r="I331" s="17"/>
      <c r="J331" s="17"/>
      <c r="K331" s="17"/>
      <c r="L331" s="17"/>
      <c r="N331" s="1"/>
      <c r="O331" s="17"/>
      <c r="P331" s="17"/>
      <c r="Q331" s="17"/>
      <c r="R331" s="17"/>
      <c r="S331" s="17"/>
      <c r="T331" s="17"/>
      <c r="U331" s="17"/>
      <c r="V331" s="17"/>
      <c r="W331" s="17"/>
      <c r="X331" s="17"/>
    </row>
    <row r="332" spans="1:24">
      <c r="A332" s="1"/>
      <c r="B332" s="1"/>
      <c r="C332" s="17"/>
      <c r="D332" s="17"/>
      <c r="E332" s="17"/>
      <c r="F332" s="17"/>
      <c r="G332" s="17"/>
      <c r="H332" s="17"/>
      <c r="I332" s="17"/>
      <c r="J332" s="17"/>
      <c r="K332" s="17"/>
      <c r="L332" s="17"/>
      <c r="N332" s="1"/>
      <c r="O332" s="17"/>
      <c r="P332" s="17"/>
      <c r="Q332" s="17"/>
      <c r="R332" s="17"/>
      <c r="S332" s="17"/>
      <c r="T332" s="17"/>
      <c r="U332" s="17"/>
      <c r="V332" s="17"/>
      <c r="W332" s="17"/>
      <c r="X332" s="17"/>
    </row>
    <row r="333" spans="1:24">
      <c r="A333" s="1"/>
      <c r="B333" s="1"/>
      <c r="C333" s="17"/>
      <c r="D333" s="17"/>
      <c r="E333" s="17"/>
      <c r="F333" s="17"/>
      <c r="G333" s="17"/>
      <c r="H333" s="17"/>
      <c r="I333" s="17"/>
      <c r="J333" s="17"/>
      <c r="K333" s="17"/>
      <c r="L333" s="17"/>
      <c r="N333" s="1"/>
      <c r="O333" s="17"/>
      <c r="P333" s="17"/>
      <c r="Q333" s="17"/>
      <c r="R333" s="17"/>
      <c r="S333" s="17"/>
      <c r="T333" s="17"/>
      <c r="U333" s="17"/>
      <c r="V333" s="17"/>
      <c r="W333" s="17"/>
      <c r="X333" s="17"/>
    </row>
    <row r="334" spans="1:24">
      <c r="A334" s="1"/>
      <c r="B334" s="1"/>
      <c r="C334" s="17"/>
      <c r="D334" s="17"/>
      <c r="E334" s="17"/>
      <c r="F334" s="17"/>
      <c r="G334" s="17"/>
      <c r="H334" s="17"/>
      <c r="I334" s="17"/>
      <c r="J334" s="17"/>
      <c r="K334" s="17"/>
      <c r="L334" s="17"/>
      <c r="N334" s="1"/>
      <c r="O334" s="17"/>
      <c r="P334" s="17"/>
      <c r="Q334" s="17"/>
      <c r="R334" s="17"/>
      <c r="S334" s="17"/>
      <c r="T334" s="17"/>
      <c r="U334" s="17"/>
      <c r="V334" s="17"/>
      <c r="W334" s="17"/>
      <c r="X334" s="17"/>
    </row>
    <row r="335" spans="1:24">
      <c r="A335" s="1"/>
      <c r="B335" s="1"/>
      <c r="C335" s="17"/>
      <c r="D335" s="17"/>
      <c r="E335" s="17"/>
      <c r="F335" s="17"/>
      <c r="G335" s="17"/>
      <c r="H335" s="17"/>
      <c r="I335" s="17"/>
      <c r="J335" s="17"/>
      <c r="K335" s="17"/>
      <c r="L335" s="17"/>
      <c r="N335" s="1"/>
      <c r="O335" s="17"/>
      <c r="P335" s="17"/>
      <c r="Q335" s="17"/>
      <c r="R335" s="17"/>
      <c r="S335" s="17"/>
      <c r="T335" s="17"/>
      <c r="U335" s="17"/>
      <c r="V335" s="17"/>
      <c r="W335" s="17"/>
      <c r="X335" s="17"/>
    </row>
    <row r="336" spans="1:24">
      <c r="A336" s="1"/>
      <c r="B336" s="1"/>
      <c r="C336" s="17"/>
      <c r="D336" s="17"/>
      <c r="E336" s="17"/>
      <c r="F336" s="17"/>
      <c r="G336" s="17"/>
      <c r="H336" s="17"/>
      <c r="I336" s="17"/>
      <c r="J336" s="17"/>
      <c r="K336" s="17"/>
      <c r="L336" s="17"/>
      <c r="N336" s="1"/>
      <c r="O336" s="17"/>
      <c r="P336" s="17"/>
      <c r="Q336" s="17"/>
      <c r="R336" s="17"/>
      <c r="S336" s="17"/>
      <c r="T336" s="17"/>
      <c r="U336" s="17"/>
      <c r="V336" s="17"/>
      <c r="W336" s="17"/>
      <c r="X336" s="17"/>
    </row>
    <row r="337" spans="1:24">
      <c r="A337" s="1"/>
      <c r="B337" s="1"/>
      <c r="C337" s="17"/>
      <c r="D337" s="17"/>
      <c r="E337" s="17"/>
      <c r="F337" s="17"/>
      <c r="G337" s="17"/>
      <c r="H337" s="17"/>
      <c r="I337" s="17"/>
      <c r="J337" s="17"/>
      <c r="K337" s="17"/>
      <c r="L337" s="17"/>
      <c r="N337" s="1"/>
      <c r="O337" s="17"/>
      <c r="P337" s="17"/>
      <c r="Q337" s="17"/>
      <c r="R337" s="17"/>
      <c r="S337" s="17"/>
      <c r="T337" s="17"/>
      <c r="U337" s="17"/>
      <c r="V337" s="17"/>
      <c r="W337" s="17"/>
      <c r="X337" s="17"/>
    </row>
    <row r="338" spans="1:24">
      <c r="A338" s="1"/>
      <c r="B338" s="1"/>
      <c r="C338" s="17"/>
      <c r="D338" s="17"/>
      <c r="E338" s="17"/>
      <c r="F338" s="17"/>
      <c r="G338" s="17"/>
      <c r="H338" s="17"/>
      <c r="I338" s="17"/>
      <c r="J338" s="17"/>
      <c r="K338" s="17"/>
      <c r="L338" s="17"/>
      <c r="N338" s="1"/>
      <c r="O338" s="17"/>
      <c r="P338" s="17"/>
      <c r="Q338" s="17"/>
      <c r="R338" s="17"/>
      <c r="S338" s="17"/>
      <c r="T338" s="17"/>
      <c r="U338" s="17"/>
      <c r="V338" s="17"/>
      <c r="W338" s="17"/>
      <c r="X338" s="17"/>
    </row>
    <row r="339" spans="1:24">
      <c r="A339" s="1"/>
      <c r="B339" s="1"/>
      <c r="C339" s="17"/>
      <c r="D339" s="17"/>
      <c r="E339" s="17"/>
      <c r="F339" s="17"/>
      <c r="G339" s="17"/>
      <c r="H339" s="17"/>
      <c r="I339" s="17"/>
      <c r="J339" s="17"/>
      <c r="K339" s="17"/>
      <c r="L339" s="17"/>
      <c r="N339" s="1"/>
      <c r="O339" s="17"/>
      <c r="P339" s="17"/>
      <c r="Q339" s="17"/>
      <c r="R339" s="17"/>
      <c r="S339" s="17"/>
      <c r="T339" s="17"/>
      <c r="U339" s="17"/>
      <c r="V339" s="17"/>
      <c r="W339" s="17"/>
      <c r="X339" s="17"/>
    </row>
    <row r="340" spans="1:24">
      <c r="A340" s="1"/>
      <c r="B340" s="1"/>
      <c r="C340" s="17"/>
      <c r="D340" s="17"/>
      <c r="E340" s="17"/>
      <c r="F340" s="17"/>
      <c r="G340" s="17"/>
      <c r="H340" s="17"/>
      <c r="I340" s="17"/>
      <c r="J340" s="17"/>
      <c r="K340" s="17"/>
      <c r="L340" s="17"/>
      <c r="N340" s="1"/>
      <c r="O340" s="17"/>
      <c r="P340" s="17"/>
      <c r="Q340" s="17"/>
      <c r="R340" s="17"/>
      <c r="S340" s="17"/>
      <c r="T340" s="17"/>
      <c r="U340" s="17"/>
      <c r="V340" s="17"/>
      <c r="W340" s="17"/>
      <c r="X340" s="17"/>
    </row>
    <row r="341" spans="1:24">
      <c r="A341" s="1"/>
      <c r="B341" s="1"/>
      <c r="C341" s="17"/>
      <c r="D341" s="17"/>
      <c r="E341" s="17"/>
      <c r="F341" s="17"/>
      <c r="G341" s="17"/>
      <c r="H341" s="17"/>
      <c r="I341" s="17"/>
      <c r="J341" s="17"/>
      <c r="K341" s="17"/>
      <c r="L341" s="17"/>
      <c r="N341" s="1"/>
      <c r="O341" s="17"/>
      <c r="P341" s="17"/>
      <c r="Q341" s="17"/>
      <c r="R341" s="17"/>
      <c r="S341" s="17"/>
      <c r="T341" s="17"/>
      <c r="U341" s="17"/>
      <c r="V341" s="17"/>
      <c r="W341" s="17"/>
      <c r="X341" s="17"/>
    </row>
    <row r="342" spans="1:24">
      <c r="A342" s="1"/>
      <c r="B342" s="1"/>
      <c r="C342" s="17"/>
      <c r="D342" s="17"/>
      <c r="E342" s="17"/>
      <c r="F342" s="17"/>
      <c r="G342" s="17"/>
      <c r="H342" s="17"/>
      <c r="I342" s="17"/>
      <c r="J342" s="17"/>
      <c r="K342" s="17"/>
      <c r="L342" s="17"/>
      <c r="N342" s="1"/>
      <c r="O342" s="17"/>
      <c r="P342" s="17"/>
      <c r="Q342" s="17"/>
      <c r="R342" s="17"/>
      <c r="S342" s="17"/>
      <c r="T342" s="17"/>
      <c r="U342" s="17"/>
      <c r="V342" s="17"/>
      <c r="W342" s="17"/>
      <c r="X342" s="17"/>
    </row>
    <row r="343" spans="1:24">
      <c r="A343" s="1"/>
      <c r="B343" s="1"/>
      <c r="C343" s="17"/>
      <c r="D343" s="17"/>
      <c r="E343" s="17"/>
      <c r="F343" s="17"/>
      <c r="G343" s="17"/>
      <c r="H343" s="17"/>
      <c r="I343" s="17"/>
      <c r="J343" s="17"/>
      <c r="K343" s="17"/>
      <c r="L343" s="17"/>
      <c r="N343" s="1"/>
      <c r="O343" s="17"/>
      <c r="P343" s="17"/>
      <c r="Q343" s="17"/>
      <c r="R343" s="17"/>
      <c r="S343" s="17"/>
      <c r="T343" s="17"/>
      <c r="U343" s="17"/>
      <c r="V343" s="17"/>
      <c r="W343" s="17"/>
      <c r="X343" s="17"/>
    </row>
    <row r="344" spans="1:24">
      <c r="A344" s="1"/>
      <c r="B344" s="1"/>
      <c r="C344" s="17"/>
      <c r="D344" s="17"/>
      <c r="E344" s="17"/>
      <c r="F344" s="17"/>
      <c r="G344" s="17"/>
      <c r="H344" s="17"/>
      <c r="I344" s="17"/>
      <c r="J344" s="17"/>
      <c r="K344" s="17"/>
      <c r="L344" s="17"/>
      <c r="N344" s="1"/>
      <c r="O344" s="17"/>
      <c r="P344" s="17"/>
      <c r="Q344" s="17"/>
      <c r="R344" s="17"/>
      <c r="S344" s="17"/>
      <c r="T344" s="17"/>
      <c r="U344" s="17"/>
      <c r="V344" s="17"/>
      <c r="W344" s="17"/>
      <c r="X344" s="17"/>
    </row>
    <row r="345" spans="1:24">
      <c r="A345" s="1"/>
      <c r="B345" s="1"/>
      <c r="C345" s="17"/>
      <c r="D345" s="17"/>
      <c r="E345" s="17"/>
      <c r="F345" s="17"/>
      <c r="G345" s="17"/>
      <c r="H345" s="17"/>
      <c r="I345" s="17"/>
      <c r="J345" s="17"/>
      <c r="K345" s="17"/>
      <c r="L345" s="17"/>
      <c r="N345" s="1"/>
      <c r="O345" s="17"/>
      <c r="P345" s="17"/>
      <c r="Q345" s="17"/>
      <c r="R345" s="17"/>
      <c r="S345" s="17"/>
      <c r="T345" s="17"/>
      <c r="U345" s="17"/>
      <c r="V345" s="17"/>
      <c r="W345" s="17"/>
      <c r="X345" s="17"/>
    </row>
    <row r="346" spans="1:24">
      <c r="A346" s="1"/>
      <c r="B346" s="1"/>
      <c r="C346" s="17"/>
      <c r="D346" s="17"/>
      <c r="E346" s="17"/>
      <c r="F346" s="17"/>
      <c r="G346" s="17"/>
      <c r="H346" s="17"/>
      <c r="I346" s="17"/>
      <c r="J346" s="17"/>
      <c r="K346" s="17"/>
      <c r="L346" s="17"/>
      <c r="N346" s="1"/>
      <c r="O346" s="17"/>
      <c r="P346" s="17"/>
      <c r="Q346" s="17"/>
      <c r="R346" s="17"/>
      <c r="S346" s="17"/>
      <c r="T346" s="17"/>
      <c r="U346" s="17"/>
      <c r="V346" s="17"/>
      <c r="W346" s="17"/>
      <c r="X346" s="17"/>
    </row>
    <row r="347" spans="1:24">
      <c r="A347" s="1"/>
      <c r="B347" s="1"/>
      <c r="C347" s="17"/>
      <c r="D347" s="17"/>
      <c r="E347" s="17"/>
      <c r="F347" s="17"/>
      <c r="G347" s="17"/>
      <c r="H347" s="17"/>
      <c r="I347" s="17"/>
      <c r="J347" s="17"/>
      <c r="K347" s="17"/>
      <c r="L347" s="17"/>
      <c r="N347" s="1"/>
      <c r="O347" s="17"/>
      <c r="P347" s="17"/>
      <c r="Q347" s="17"/>
      <c r="R347" s="17"/>
      <c r="S347" s="17"/>
      <c r="T347" s="17"/>
      <c r="U347" s="17"/>
      <c r="V347" s="17"/>
      <c r="W347" s="17"/>
      <c r="X347" s="17"/>
    </row>
    <row r="348" spans="1:24">
      <c r="A348" s="1"/>
      <c r="B348" s="1"/>
      <c r="C348" s="17"/>
      <c r="D348" s="17"/>
      <c r="E348" s="17"/>
      <c r="F348" s="17"/>
      <c r="G348" s="17"/>
      <c r="H348" s="17"/>
      <c r="I348" s="17"/>
      <c r="J348" s="17"/>
      <c r="K348" s="17"/>
      <c r="L348" s="17"/>
      <c r="N348" s="1"/>
      <c r="O348" s="17"/>
      <c r="P348" s="17"/>
      <c r="Q348" s="17"/>
      <c r="R348" s="17"/>
      <c r="S348" s="17"/>
      <c r="T348" s="17"/>
      <c r="U348" s="17"/>
      <c r="V348" s="17"/>
      <c r="W348" s="17"/>
      <c r="X348" s="17"/>
    </row>
    <row r="349" spans="1:24">
      <c r="A349" s="1"/>
      <c r="B349" s="1"/>
      <c r="C349" s="17"/>
      <c r="D349" s="17"/>
      <c r="E349" s="17"/>
      <c r="F349" s="17"/>
      <c r="G349" s="17"/>
      <c r="H349" s="17"/>
      <c r="I349" s="17"/>
      <c r="J349" s="17"/>
      <c r="K349" s="17"/>
      <c r="L349" s="17"/>
      <c r="N349" s="1"/>
      <c r="O349" s="17"/>
      <c r="P349" s="17"/>
      <c r="Q349" s="17"/>
      <c r="R349" s="17"/>
      <c r="S349" s="17"/>
      <c r="T349" s="17"/>
      <c r="U349" s="17"/>
      <c r="V349" s="17"/>
      <c r="W349" s="17"/>
      <c r="X349" s="17"/>
    </row>
    <row r="350" spans="1:24">
      <c r="A350" s="1"/>
      <c r="B350" s="1"/>
      <c r="C350" s="17"/>
      <c r="D350" s="17"/>
      <c r="E350" s="17"/>
      <c r="F350" s="17"/>
      <c r="G350" s="17"/>
      <c r="H350" s="17"/>
      <c r="I350" s="17"/>
      <c r="J350" s="17"/>
      <c r="K350" s="17"/>
      <c r="L350" s="17"/>
      <c r="N350" s="1"/>
      <c r="O350" s="17"/>
      <c r="P350" s="17"/>
      <c r="Q350" s="17"/>
      <c r="R350" s="17"/>
      <c r="S350" s="17"/>
      <c r="T350" s="17"/>
      <c r="U350" s="17"/>
      <c r="V350" s="17"/>
      <c r="W350" s="17"/>
      <c r="X350" s="17"/>
    </row>
    <row r="351" spans="1:24">
      <c r="A351" s="1"/>
      <c r="B351" s="1"/>
      <c r="C351" s="17"/>
      <c r="D351" s="17"/>
      <c r="E351" s="17"/>
      <c r="F351" s="17"/>
      <c r="G351" s="17"/>
      <c r="H351" s="17"/>
      <c r="I351" s="17"/>
      <c r="J351" s="17"/>
      <c r="K351" s="17"/>
      <c r="L351" s="17"/>
      <c r="N351" s="1"/>
      <c r="O351" s="17"/>
      <c r="P351" s="17"/>
      <c r="Q351" s="17"/>
      <c r="R351" s="17"/>
      <c r="S351" s="17"/>
      <c r="T351" s="17"/>
      <c r="U351" s="17"/>
      <c r="V351" s="17"/>
      <c r="W351" s="17"/>
      <c r="X351" s="17"/>
    </row>
    <row r="352" spans="1:24">
      <c r="A352" s="1"/>
      <c r="B352" s="1"/>
      <c r="C352" s="17"/>
      <c r="D352" s="17"/>
      <c r="E352" s="17"/>
      <c r="F352" s="17"/>
      <c r="G352" s="17"/>
      <c r="H352" s="17"/>
      <c r="I352" s="17"/>
      <c r="J352" s="17"/>
      <c r="K352" s="17"/>
      <c r="L352" s="17"/>
      <c r="N352" s="1"/>
      <c r="O352" s="17"/>
      <c r="P352" s="17"/>
      <c r="Q352" s="17"/>
      <c r="R352" s="17"/>
      <c r="S352" s="17"/>
      <c r="T352" s="17"/>
      <c r="U352" s="17"/>
      <c r="V352" s="17"/>
      <c r="W352" s="17"/>
      <c r="X352" s="17"/>
    </row>
    <row r="353" spans="1:24">
      <c r="A353" s="1"/>
      <c r="B353" s="1"/>
      <c r="C353" s="17"/>
      <c r="D353" s="17"/>
      <c r="E353" s="17"/>
      <c r="F353" s="17"/>
      <c r="G353" s="17"/>
      <c r="H353" s="17"/>
      <c r="I353" s="17"/>
      <c r="J353" s="17"/>
      <c r="K353" s="17"/>
      <c r="L353" s="17"/>
      <c r="N353" s="1"/>
      <c r="O353" s="17"/>
      <c r="P353" s="17"/>
      <c r="Q353" s="17"/>
      <c r="R353" s="17"/>
      <c r="S353" s="17"/>
      <c r="T353" s="17"/>
      <c r="U353" s="17"/>
      <c r="V353" s="17"/>
      <c r="W353" s="17"/>
      <c r="X353" s="17"/>
    </row>
    <row r="354" spans="1:24">
      <c r="A354" s="1"/>
      <c r="B354" s="1"/>
      <c r="C354" s="17"/>
      <c r="D354" s="17"/>
      <c r="E354" s="17"/>
      <c r="F354" s="17"/>
      <c r="G354" s="17"/>
      <c r="H354" s="17"/>
      <c r="I354" s="17"/>
      <c r="J354" s="17"/>
      <c r="K354" s="17"/>
      <c r="L354" s="17"/>
      <c r="N354" s="1"/>
      <c r="O354" s="17"/>
      <c r="P354" s="17"/>
      <c r="Q354" s="17"/>
      <c r="R354" s="17"/>
      <c r="S354" s="17"/>
      <c r="T354" s="17"/>
      <c r="U354" s="17"/>
      <c r="V354" s="17"/>
      <c r="W354" s="17"/>
      <c r="X354" s="17"/>
    </row>
    <row r="355" spans="1:24">
      <c r="A355" s="1"/>
      <c r="B355" s="1"/>
      <c r="C355" s="17"/>
      <c r="D355" s="17"/>
      <c r="E355" s="17"/>
      <c r="F355" s="17"/>
      <c r="G355" s="17"/>
      <c r="H355" s="17"/>
      <c r="I355" s="17"/>
      <c r="J355" s="17"/>
      <c r="K355" s="17"/>
      <c r="L355" s="17"/>
      <c r="N355" s="1"/>
      <c r="O355" s="17"/>
      <c r="P355" s="17"/>
      <c r="Q355" s="17"/>
      <c r="R355" s="17"/>
      <c r="S355" s="17"/>
      <c r="T355" s="17"/>
      <c r="U355" s="17"/>
      <c r="V355" s="17"/>
      <c r="W355" s="17"/>
      <c r="X355" s="17"/>
    </row>
    <row r="356" spans="1:24">
      <c r="A356" s="1"/>
      <c r="B356" s="1"/>
      <c r="C356" s="17"/>
      <c r="D356" s="17"/>
      <c r="E356" s="17"/>
      <c r="F356" s="17"/>
      <c r="G356" s="17"/>
      <c r="H356" s="17"/>
      <c r="I356" s="17"/>
      <c r="J356" s="17"/>
      <c r="K356" s="17"/>
      <c r="L356" s="17"/>
      <c r="N356" s="1"/>
      <c r="O356" s="17"/>
      <c r="P356" s="17"/>
      <c r="Q356" s="17"/>
      <c r="R356" s="17"/>
      <c r="S356" s="17"/>
      <c r="T356" s="17"/>
      <c r="U356" s="17"/>
      <c r="V356" s="17"/>
      <c r="W356" s="17"/>
      <c r="X356" s="17"/>
    </row>
    <row r="357" spans="1:24">
      <c r="A357" s="1"/>
      <c r="B357" s="1"/>
      <c r="C357" s="17"/>
      <c r="D357" s="17"/>
      <c r="E357" s="17"/>
      <c r="F357" s="17"/>
      <c r="G357" s="17"/>
      <c r="H357" s="17"/>
      <c r="I357" s="17"/>
      <c r="J357" s="17"/>
      <c r="K357" s="17"/>
      <c r="L357" s="17"/>
      <c r="N357" s="1"/>
      <c r="O357" s="17"/>
      <c r="P357" s="17"/>
      <c r="Q357" s="17"/>
      <c r="R357" s="17"/>
      <c r="S357" s="17"/>
      <c r="T357" s="17"/>
      <c r="U357" s="17"/>
      <c r="V357" s="17"/>
      <c r="W357" s="17"/>
      <c r="X357" s="17"/>
    </row>
    <row r="358" spans="1:24">
      <c r="A358" s="1"/>
      <c r="B358" s="1"/>
      <c r="C358" s="17"/>
      <c r="D358" s="17"/>
      <c r="E358" s="17"/>
      <c r="F358" s="17"/>
      <c r="G358" s="17"/>
      <c r="H358" s="17"/>
      <c r="I358" s="17"/>
      <c r="J358" s="17"/>
      <c r="K358" s="17"/>
      <c r="L358" s="17"/>
      <c r="N358" s="1"/>
      <c r="O358" s="17"/>
      <c r="P358" s="17"/>
      <c r="Q358" s="17"/>
      <c r="R358" s="17"/>
      <c r="S358" s="17"/>
      <c r="T358" s="17"/>
      <c r="U358" s="17"/>
      <c r="V358" s="17"/>
      <c r="W358" s="17"/>
      <c r="X358" s="17"/>
    </row>
    <row r="359" spans="1:24">
      <c r="A359" s="1"/>
      <c r="B359" s="1"/>
      <c r="C359" s="17"/>
      <c r="D359" s="17"/>
      <c r="E359" s="17"/>
      <c r="F359" s="17"/>
      <c r="G359" s="17"/>
      <c r="H359" s="17"/>
      <c r="I359" s="17"/>
      <c r="J359" s="17"/>
      <c r="K359" s="17"/>
      <c r="L359" s="17"/>
      <c r="N359" s="1"/>
      <c r="O359" s="17"/>
      <c r="P359" s="17"/>
      <c r="Q359" s="17"/>
      <c r="R359" s="17"/>
      <c r="S359" s="17"/>
      <c r="T359" s="17"/>
      <c r="U359" s="17"/>
      <c r="V359" s="17"/>
      <c r="W359" s="17"/>
      <c r="X359" s="17"/>
    </row>
    <row r="360" spans="1:24">
      <c r="A360" s="1"/>
      <c r="B360" s="1"/>
      <c r="C360" s="17"/>
      <c r="D360" s="17"/>
      <c r="E360" s="17"/>
      <c r="F360" s="17"/>
      <c r="G360" s="17"/>
      <c r="H360" s="17"/>
      <c r="I360" s="17"/>
      <c r="J360" s="17"/>
      <c r="K360" s="17"/>
      <c r="L360" s="17"/>
      <c r="N360" s="1"/>
      <c r="O360" s="17"/>
      <c r="P360" s="17"/>
      <c r="Q360" s="17"/>
      <c r="R360" s="17"/>
      <c r="S360" s="17"/>
      <c r="T360" s="17"/>
      <c r="U360" s="17"/>
      <c r="V360" s="17"/>
      <c r="W360" s="17"/>
      <c r="X360" s="17"/>
    </row>
    <row r="361" spans="1:24">
      <c r="A361" s="1"/>
      <c r="B361" s="1"/>
      <c r="C361" s="17"/>
      <c r="D361" s="17"/>
      <c r="E361" s="17"/>
      <c r="F361" s="17"/>
      <c r="G361" s="17"/>
      <c r="H361" s="17"/>
      <c r="I361" s="17"/>
      <c r="J361" s="17"/>
      <c r="K361" s="17"/>
      <c r="L361" s="17"/>
      <c r="N361" s="1"/>
      <c r="O361" s="17"/>
      <c r="P361" s="17"/>
      <c r="Q361" s="17"/>
      <c r="R361" s="17"/>
      <c r="S361" s="17"/>
      <c r="T361" s="17"/>
      <c r="U361" s="17"/>
      <c r="V361" s="17"/>
      <c r="W361" s="17"/>
      <c r="X361" s="17"/>
    </row>
    <row r="362" spans="1:24">
      <c r="A362" s="1"/>
      <c r="B362" s="1"/>
      <c r="C362" s="17"/>
      <c r="D362" s="17"/>
      <c r="E362" s="17"/>
      <c r="F362" s="17"/>
      <c r="G362" s="17"/>
      <c r="H362" s="17"/>
      <c r="I362" s="17"/>
      <c r="J362" s="17"/>
      <c r="K362" s="17"/>
      <c r="L362" s="17"/>
      <c r="N362" s="1"/>
      <c r="O362" s="17"/>
      <c r="P362" s="17"/>
      <c r="Q362" s="17"/>
      <c r="R362" s="17"/>
      <c r="S362" s="17"/>
      <c r="T362" s="17"/>
      <c r="U362" s="17"/>
      <c r="V362" s="17"/>
      <c r="W362" s="17"/>
      <c r="X362" s="17"/>
    </row>
    <row r="363" spans="1:24">
      <c r="A363" s="1"/>
      <c r="B363" s="1"/>
      <c r="C363" s="17"/>
      <c r="D363" s="17"/>
      <c r="E363" s="17"/>
      <c r="F363" s="17"/>
      <c r="G363" s="17"/>
      <c r="H363" s="17"/>
      <c r="I363" s="17"/>
      <c r="J363" s="17"/>
      <c r="K363" s="17"/>
      <c r="L363" s="17"/>
      <c r="N363" s="1"/>
      <c r="O363" s="17"/>
      <c r="P363" s="17"/>
      <c r="Q363" s="17"/>
      <c r="R363" s="17"/>
      <c r="S363" s="17"/>
      <c r="T363" s="17"/>
      <c r="U363" s="17"/>
      <c r="V363" s="17"/>
      <c r="W363" s="17"/>
      <c r="X363" s="17"/>
    </row>
    <row r="364" spans="1:24">
      <c r="A364" s="1"/>
      <c r="B364" s="1"/>
      <c r="C364" s="17"/>
      <c r="D364" s="17"/>
      <c r="E364" s="17"/>
      <c r="F364" s="17"/>
      <c r="G364" s="17"/>
      <c r="H364" s="17"/>
      <c r="I364" s="17"/>
      <c r="J364" s="17"/>
      <c r="K364" s="17"/>
      <c r="L364" s="17"/>
      <c r="N364" s="1"/>
      <c r="O364" s="17"/>
      <c r="P364" s="17"/>
      <c r="Q364" s="17"/>
      <c r="R364" s="17"/>
      <c r="S364" s="17"/>
      <c r="T364" s="17"/>
      <c r="U364" s="17"/>
      <c r="V364" s="17"/>
      <c r="W364" s="17"/>
      <c r="X364" s="17"/>
    </row>
    <row r="365" spans="1:24">
      <c r="A365" s="1"/>
      <c r="B365" s="1"/>
      <c r="C365" s="17"/>
      <c r="D365" s="17"/>
      <c r="E365" s="17"/>
      <c r="F365" s="17"/>
      <c r="G365" s="17"/>
      <c r="H365" s="17"/>
      <c r="I365" s="17"/>
      <c r="J365" s="17"/>
      <c r="K365" s="17"/>
      <c r="L365" s="17"/>
      <c r="N365" s="1"/>
      <c r="O365" s="17"/>
      <c r="P365" s="17"/>
      <c r="Q365" s="17"/>
      <c r="R365" s="17"/>
      <c r="S365" s="17"/>
      <c r="T365" s="17"/>
      <c r="U365" s="17"/>
      <c r="V365" s="17"/>
      <c r="W365" s="17"/>
      <c r="X365" s="17"/>
    </row>
    <row r="366" spans="1:24">
      <c r="A366" s="1"/>
      <c r="B366" s="1"/>
      <c r="C366" s="17"/>
      <c r="D366" s="17"/>
      <c r="E366" s="17"/>
      <c r="F366" s="17"/>
      <c r="G366" s="17"/>
      <c r="H366" s="17"/>
      <c r="I366" s="17"/>
      <c r="J366" s="17"/>
      <c r="K366" s="17"/>
      <c r="L366" s="17"/>
      <c r="N366" s="1"/>
      <c r="O366" s="17"/>
      <c r="P366" s="17"/>
      <c r="Q366" s="17"/>
      <c r="R366" s="17"/>
      <c r="S366" s="17"/>
      <c r="T366" s="17"/>
      <c r="U366" s="17"/>
      <c r="V366" s="17"/>
      <c r="W366" s="17"/>
      <c r="X366" s="17"/>
    </row>
    <row r="367" spans="1:24">
      <c r="A367" s="1"/>
      <c r="B367" s="1"/>
      <c r="C367" s="17"/>
      <c r="D367" s="17"/>
      <c r="E367" s="17"/>
      <c r="F367" s="17"/>
      <c r="G367" s="17"/>
      <c r="H367" s="17"/>
      <c r="I367" s="17"/>
      <c r="J367" s="17"/>
      <c r="K367" s="17"/>
      <c r="L367" s="17"/>
      <c r="N367" s="1"/>
      <c r="O367" s="17"/>
      <c r="P367" s="17"/>
      <c r="Q367" s="17"/>
      <c r="R367" s="17"/>
      <c r="S367" s="17"/>
      <c r="T367" s="17"/>
      <c r="U367" s="17"/>
      <c r="V367" s="17"/>
      <c r="W367" s="17"/>
      <c r="X367" s="17"/>
    </row>
    <row r="368" spans="1:24">
      <c r="A368" s="1"/>
      <c r="B368" s="1"/>
      <c r="C368" s="17"/>
      <c r="D368" s="17"/>
      <c r="E368" s="17"/>
      <c r="F368" s="17"/>
      <c r="G368" s="17"/>
      <c r="H368" s="17"/>
      <c r="I368" s="17"/>
      <c r="J368" s="17"/>
      <c r="K368" s="17"/>
      <c r="L368" s="17"/>
      <c r="N368" s="1"/>
      <c r="O368" s="17"/>
      <c r="P368" s="17"/>
      <c r="Q368" s="17"/>
      <c r="R368" s="17"/>
      <c r="S368" s="17"/>
      <c r="T368" s="17"/>
      <c r="U368" s="17"/>
      <c r="V368" s="17"/>
      <c r="W368" s="17"/>
      <c r="X368" s="17"/>
    </row>
    <row r="369" spans="1:24">
      <c r="A369" s="1"/>
      <c r="B369" s="1"/>
      <c r="C369" s="17"/>
      <c r="D369" s="17"/>
      <c r="E369" s="17"/>
      <c r="F369" s="17"/>
      <c r="G369" s="17"/>
      <c r="H369" s="17"/>
      <c r="I369" s="17"/>
      <c r="J369" s="17"/>
      <c r="K369" s="17"/>
      <c r="L369" s="17"/>
      <c r="N369" s="1"/>
      <c r="O369" s="17"/>
      <c r="P369" s="17"/>
      <c r="Q369" s="17"/>
      <c r="R369" s="17"/>
      <c r="S369" s="17"/>
      <c r="T369" s="17"/>
      <c r="U369" s="17"/>
      <c r="V369" s="17"/>
      <c r="W369" s="17"/>
      <c r="X369" s="17"/>
    </row>
    <row r="370" spans="1:24">
      <c r="A370" s="1"/>
      <c r="B370" s="1"/>
      <c r="C370" s="17"/>
      <c r="D370" s="17"/>
      <c r="E370" s="17"/>
      <c r="F370" s="17"/>
      <c r="G370" s="17"/>
      <c r="H370" s="17"/>
      <c r="I370" s="17"/>
      <c r="J370" s="17"/>
      <c r="K370" s="17"/>
      <c r="L370" s="17"/>
      <c r="N370" s="1"/>
      <c r="O370" s="17"/>
      <c r="P370" s="17"/>
      <c r="Q370" s="17"/>
      <c r="R370" s="17"/>
      <c r="S370" s="17"/>
      <c r="T370" s="17"/>
      <c r="U370" s="17"/>
      <c r="V370" s="17"/>
      <c r="W370" s="17"/>
      <c r="X370" s="17"/>
    </row>
    <row r="371" spans="1:24">
      <c r="A371" s="1"/>
      <c r="B371" s="1"/>
      <c r="C371" s="17"/>
      <c r="D371" s="17"/>
      <c r="E371" s="17"/>
      <c r="F371" s="17"/>
      <c r="G371" s="17"/>
      <c r="H371" s="17"/>
      <c r="I371" s="17"/>
      <c r="J371" s="17"/>
      <c r="K371" s="17"/>
      <c r="L371" s="17"/>
      <c r="N371" s="1"/>
      <c r="O371" s="17"/>
      <c r="P371" s="17"/>
      <c r="Q371" s="17"/>
      <c r="R371" s="17"/>
      <c r="S371" s="17"/>
      <c r="T371" s="17"/>
      <c r="U371" s="17"/>
      <c r="V371" s="17"/>
      <c r="W371" s="17"/>
      <c r="X371" s="17"/>
    </row>
    <row r="372" spans="1:24">
      <c r="A372" s="1"/>
      <c r="B372" s="1"/>
      <c r="C372" s="17"/>
      <c r="D372" s="17"/>
      <c r="E372" s="17"/>
      <c r="F372" s="17"/>
      <c r="G372" s="17"/>
      <c r="H372" s="17"/>
      <c r="I372" s="17"/>
      <c r="J372" s="17"/>
      <c r="K372" s="17"/>
      <c r="L372" s="17"/>
      <c r="N372" s="1"/>
      <c r="O372" s="17"/>
      <c r="P372" s="17"/>
      <c r="Q372" s="17"/>
      <c r="R372" s="17"/>
      <c r="S372" s="17"/>
      <c r="T372" s="17"/>
      <c r="U372" s="17"/>
      <c r="V372" s="17"/>
      <c r="W372" s="17"/>
      <c r="X372" s="17"/>
    </row>
    <row r="373" spans="1:24">
      <c r="A373" s="1"/>
      <c r="B373" s="1"/>
      <c r="C373" s="17"/>
      <c r="D373" s="17"/>
      <c r="E373" s="17"/>
      <c r="F373" s="17"/>
      <c r="G373" s="17"/>
      <c r="H373" s="17"/>
      <c r="I373" s="17"/>
      <c r="J373" s="17"/>
      <c r="K373" s="17"/>
      <c r="L373" s="17"/>
      <c r="N373" s="1"/>
      <c r="O373" s="17"/>
      <c r="P373" s="17"/>
      <c r="Q373" s="17"/>
      <c r="R373" s="17"/>
      <c r="S373" s="17"/>
      <c r="T373" s="17"/>
      <c r="U373" s="17"/>
      <c r="V373" s="17"/>
      <c r="W373" s="17"/>
      <c r="X373" s="17"/>
    </row>
    <row r="374" spans="1:24">
      <c r="A374" s="1"/>
      <c r="B374" s="1"/>
      <c r="C374" s="17"/>
      <c r="D374" s="17"/>
      <c r="E374" s="17"/>
      <c r="F374" s="17"/>
      <c r="G374" s="17"/>
      <c r="H374" s="17"/>
      <c r="I374" s="17"/>
      <c r="J374" s="17"/>
      <c r="K374" s="17"/>
      <c r="L374" s="17"/>
      <c r="N374" s="1"/>
      <c r="O374" s="17"/>
      <c r="P374" s="17"/>
      <c r="Q374" s="17"/>
      <c r="R374" s="17"/>
      <c r="S374" s="17"/>
      <c r="T374" s="17"/>
      <c r="U374" s="17"/>
      <c r="V374" s="17"/>
      <c r="W374" s="17"/>
      <c r="X374" s="17"/>
    </row>
    <row r="375" spans="1:24">
      <c r="A375" s="1"/>
      <c r="B375" s="1"/>
      <c r="C375" s="17"/>
      <c r="D375" s="17"/>
      <c r="E375" s="17"/>
      <c r="F375" s="17"/>
      <c r="G375" s="17"/>
      <c r="H375" s="17"/>
      <c r="I375" s="17"/>
      <c r="J375" s="17"/>
      <c r="K375" s="17"/>
      <c r="L375" s="17"/>
      <c r="N375" s="1"/>
      <c r="O375" s="17"/>
      <c r="P375" s="17"/>
      <c r="Q375" s="17"/>
      <c r="R375" s="17"/>
      <c r="S375" s="17"/>
      <c r="T375" s="17"/>
      <c r="U375" s="17"/>
      <c r="V375" s="17"/>
      <c r="W375" s="17"/>
      <c r="X375" s="17"/>
    </row>
    <row r="376" spans="1:24">
      <c r="A376" s="1"/>
      <c r="B376" s="1"/>
      <c r="C376" s="17"/>
      <c r="D376" s="17"/>
      <c r="E376" s="17"/>
      <c r="F376" s="17"/>
      <c r="G376" s="17"/>
      <c r="H376" s="17"/>
      <c r="I376" s="17"/>
      <c r="J376" s="17"/>
      <c r="K376" s="17"/>
      <c r="L376" s="17"/>
      <c r="N376" s="1"/>
      <c r="O376" s="17"/>
      <c r="P376" s="17"/>
      <c r="Q376" s="17"/>
      <c r="R376" s="17"/>
      <c r="S376" s="17"/>
      <c r="T376" s="17"/>
      <c r="U376" s="17"/>
      <c r="V376" s="17"/>
      <c r="W376" s="17"/>
      <c r="X376" s="17"/>
    </row>
    <row r="377" spans="1:24">
      <c r="A377" s="1"/>
      <c r="B377" s="1"/>
      <c r="C377" s="17"/>
      <c r="D377" s="17"/>
      <c r="E377" s="17"/>
      <c r="F377" s="17"/>
      <c r="G377" s="17"/>
      <c r="H377" s="17"/>
      <c r="I377" s="17"/>
      <c r="J377" s="17"/>
      <c r="K377" s="17"/>
      <c r="L377" s="17"/>
      <c r="N377" s="1"/>
      <c r="O377" s="17"/>
      <c r="P377" s="17"/>
      <c r="Q377" s="17"/>
      <c r="R377" s="17"/>
      <c r="S377" s="17"/>
      <c r="T377" s="17"/>
      <c r="U377" s="17"/>
      <c r="V377" s="17"/>
      <c r="W377" s="17"/>
      <c r="X377" s="17"/>
    </row>
    <row r="378" spans="1:24">
      <c r="A378" s="1"/>
      <c r="B378" s="1"/>
      <c r="C378" s="17"/>
      <c r="D378" s="17"/>
      <c r="E378" s="17"/>
      <c r="F378" s="17"/>
      <c r="G378" s="17"/>
      <c r="H378" s="17"/>
      <c r="I378" s="17"/>
      <c r="J378" s="17"/>
      <c r="K378" s="17"/>
      <c r="L378" s="17"/>
      <c r="N378" s="1"/>
      <c r="O378" s="17"/>
      <c r="P378" s="17"/>
      <c r="Q378" s="17"/>
      <c r="R378" s="17"/>
      <c r="S378" s="17"/>
      <c r="T378" s="17"/>
      <c r="U378" s="17"/>
      <c r="V378" s="17"/>
      <c r="W378" s="17"/>
      <c r="X378" s="17"/>
    </row>
    <row r="379" spans="1:24">
      <c r="A379" s="1"/>
      <c r="B379" s="1"/>
      <c r="C379" s="17"/>
      <c r="D379" s="17"/>
      <c r="E379" s="17"/>
      <c r="F379" s="17"/>
      <c r="G379" s="17"/>
      <c r="H379" s="17"/>
      <c r="I379" s="17"/>
      <c r="J379" s="17"/>
      <c r="K379" s="17"/>
      <c r="L379" s="17"/>
      <c r="N379" s="1"/>
      <c r="O379" s="17"/>
      <c r="P379" s="17"/>
      <c r="Q379" s="17"/>
      <c r="R379" s="17"/>
      <c r="S379" s="17"/>
      <c r="T379" s="17"/>
      <c r="U379" s="17"/>
      <c r="V379" s="17"/>
      <c r="W379" s="17"/>
      <c r="X379" s="17"/>
    </row>
    <row r="380" spans="1:24">
      <c r="A380" s="1"/>
      <c r="B380" s="1"/>
      <c r="C380" s="17"/>
      <c r="D380" s="17"/>
      <c r="E380" s="17"/>
      <c r="F380" s="17"/>
      <c r="G380" s="17"/>
      <c r="H380" s="17"/>
      <c r="I380" s="17"/>
      <c r="J380" s="17"/>
      <c r="K380" s="17"/>
      <c r="L380" s="17"/>
      <c r="N380" s="1"/>
      <c r="O380" s="17"/>
      <c r="P380" s="17"/>
      <c r="Q380" s="17"/>
      <c r="R380" s="17"/>
      <c r="S380" s="17"/>
      <c r="T380" s="17"/>
      <c r="U380" s="17"/>
      <c r="V380" s="17"/>
      <c r="W380" s="17"/>
      <c r="X380" s="17"/>
    </row>
    <row r="381" spans="1:24">
      <c r="A381" s="1"/>
      <c r="B381" s="1"/>
      <c r="C381" s="17"/>
      <c r="D381" s="17"/>
      <c r="E381" s="17"/>
      <c r="F381" s="17"/>
      <c r="G381" s="17"/>
      <c r="H381" s="17"/>
      <c r="I381" s="17"/>
      <c r="J381" s="17"/>
      <c r="K381" s="17"/>
      <c r="L381" s="17"/>
      <c r="N381" s="1"/>
      <c r="O381" s="17"/>
      <c r="P381" s="17"/>
      <c r="Q381" s="17"/>
      <c r="R381" s="17"/>
      <c r="S381" s="17"/>
      <c r="T381" s="17"/>
      <c r="U381" s="17"/>
      <c r="V381" s="17"/>
      <c r="W381" s="17"/>
      <c r="X381" s="17"/>
    </row>
    <row r="382" spans="1:24">
      <c r="A382" s="1"/>
      <c r="B382" s="1"/>
      <c r="C382" s="17"/>
      <c r="D382" s="17"/>
      <c r="E382" s="17"/>
      <c r="F382" s="17"/>
      <c r="G382" s="17"/>
      <c r="H382" s="17"/>
      <c r="I382" s="17"/>
      <c r="J382" s="17"/>
      <c r="K382" s="17"/>
      <c r="L382" s="17"/>
      <c r="N382" s="1"/>
      <c r="O382" s="17"/>
      <c r="P382" s="17"/>
      <c r="Q382" s="17"/>
      <c r="R382" s="17"/>
      <c r="S382" s="17"/>
      <c r="T382" s="17"/>
      <c r="U382" s="17"/>
      <c r="V382" s="17"/>
      <c r="W382" s="17"/>
      <c r="X382" s="17"/>
    </row>
    <row r="383" spans="1:24">
      <c r="A383" s="1"/>
      <c r="B383" s="1"/>
      <c r="C383" s="17"/>
      <c r="D383" s="17"/>
      <c r="E383" s="17"/>
      <c r="F383" s="17"/>
      <c r="G383" s="17"/>
      <c r="H383" s="17"/>
      <c r="I383" s="17"/>
      <c r="J383" s="17"/>
      <c r="K383" s="17"/>
      <c r="L383" s="17"/>
      <c r="N383" s="1"/>
      <c r="O383" s="17"/>
      <c r="P383" s="17"/>
      <c r="Q383" s="17"/>
      <c r="R383" s="17"/>
      <c r="S383" s="17"/>
      <c r="T383" s="17"/>
      <c r="U383" s="17"/>
      <c r="V383" s="17"/>
      <c r="W383" s="17"/>
      <c r="X383" s="17"/>
    </row>
    <row r="384" spans="1:24">
      <c r="A384" s="1"/>
      <c r="B384" s="1"/>
      <c r="C384" s="17"/>
      <c r="D384" s="17"/>
      <c r="E384" s="17"/>
      <c r="F384" s="17"/>
      <c r="G384" s="17"/>
      <c r="H384" s="17"/>
      <c r="I384" s="17"/>
      <c r="J384" s="17"/>
      <c r="K384" s="17"/>
      <c r="L384" s="17"/>
      <c r="N384" s="1"/>
      <c r="O384" s="17"/>
      <c r="P384" s="17"/>
      <c r="Q384" s="17"/>
      <c r="R384" s="17"/>
      <c r="S384" s="17"/>
      <c r="T384" s="17"/>
      <c r="U384" s="17"/>
      <c r="V384" s="17"/>
      <c r="W384" s="17"/>
      <c r="X384" s="17"/>
    </row>
    <row r="385" spans="1:24">
      <c r="A385" s="1"/>
      <c r="B385" s="1"/>
      <c r="C385" s="17"/>
      <c r="D385" s="17"/>
      <c r="E385" s="17"/>
      <c r="F385" s="17"/>
      <c r="G385" s="17"/>
      <c r="H385" s="17"/>
      <c r="I385" s="17"/>
      <c r="J385" s="17"/>
      <c r="K385" s="17"/>
      <c r="L385" s="17"/>
      <c r="N385" s="1"/>
      <c r="O385" s="17"/>
      <c r="P385" s="17"/>
      <c r="Q385" s="17"/>
      <c r="R385" s="17"/>
      <c r="S385" s="17"/>
      <c r="T385" s="17"/>
      <c r="U385" s="17"/>
      <c r="V385" s="17"/>
      <c r="W385" s="17"/>
      <c r="X385" s="17"/>
    </row>
    <row r="386" spans="1:24">
      <c r="A386" s="1"/>
      <c r="B386" s="1"/>
      <c r="C386" s="17"/>
      <c r="D386" s="17"/>
      <c r="E386" s="17"/>
      <c r="F386" s="17"/>
      <c r="G386" s="17"/>
      <c r="H386" s="17"/>
      <c r="I386" s="17"/>
      <c r="J386" s="17"/>
      <c r="K386" s="17"/>
      <c r="L386" s="17"/>
      <c r="N386" s="1"/>
      <c r="O386" s="17"/>
      <c r="P386" s="17"/>
      <c r="Q386" s="17"/>
      <c r="R386" s="17"/>
      <c r="S386" s="17"/>
      <c r="T386" s="17"/>
      <c r="U386" s="17"/>
      <c r="V386" s="17"/>
      <c r="W386" s="17"/>
      <c r="X386" s="17"/>
    </row>
    <row r="387" spans="1:24">
      <c r="A387" s="1"/>
      <c r="B387" s="1"/>
      <c r="C387" s="17"/>
      <c r="D387" s="17"/>
      <c r="E387" s="17"/>
      <c r="F387" s="17"/>
      <c r="G387" s="17"/>
      <c r="H387" s="17"/>
      <c r="I387" s="17"/>
      <c r="J387" s="17"/>
      <c r="K387" s="17"/>
      <c r="L387" s="17"/>
      <c r="N387" s="1"/>
      <c r="O387" s="17"/>
      <c r="P387" s="17"/>
      <c r="Q387" s="17"/>
      <c r="R387" s="17"/>
      <c r="S387" s="17"/>
      <c r="T387" s="17"/>
      <c r="U387" s="17"/>
      <c r="V387" s="17"/>
      <c r="W387" s="17"/>
      <c r="X387" s="17"/>
    </row>
    <row r="388" spans="1:24">
      <c r="A388" s="1"/>
      <c r="B388" s="1"/>
      <c r="C388" s="17"/>
      <c r="D388" s="17"/>
      <c r="E388" s="17"/>
      <c r="F388" s="17"/>
      <c r="G388" s="17"/>
      <c r="H388" s="17"/>
      <c r="I388" s="17"/>
      <c r="J388" s="17"/>
      <c r="K388" s="17"/>
      <c r="L388" s="17"/>
      <c r="N388" s="1"/>
      <c r="O388" s="17"/>
      <c r="P388" s="17"/>
      <c r="Q388" s="17"/>
      <c r="R388" s="17"/>
      <c r="S388" s="17"/>
      <c r="T388" s="17"/>
      <c r="U388" s="17"/>
      <c r="V388" s="17"/>
      <c r="W388" s="17"/>
      <c r="X388" s="17"/>
    </row>
    <row r="389" spans="1:24">
      <c r="A389" s="1"/>
      <c r="B389" s="1"/>
      <c r="C389" s="17"/>
      <c r="D389" s="17"/>
      <c r="E389" s="17"/>
      <c r="F389" s="17"/>
      <c r="G389" s="17"/>
      <c r="H389" s="17"/>
      <c r="I389" s="17"/>
      <c r="J389" s="17"/>
      <c r="K389" s="17"/>
      <c r="L389" s="17"/>
      <c r="N389" s="1"/>
      <c r="O389" s="17"/>
      <c r="P389" s="17"/>
      <c r="Q389" s="17"/>
      <c r="R389" s="17"/>
      <c r="S389" s="17"/>
      <c r="T389" s="17"/>
      <c r="U389" s="17"/>
      <c r="V389" s="17"/>
      <c r="W389" s="17"/>
      <c r="X389" s="17"/>
    </row>
    <row r="390" spans="1:24">
      <c r="A390" s="1"/>
      <c r="B390" s="1"/>
      <c r="C390" s="17"/>
      <c r="D390" s="17"/>
      <c r="E390" s="17"/>
      <c r="F390" s="17"/>
      <c r="G390" s="17"/>
      <c r="H390" s="17"/>
      <c r="I390" s="17"/>
      <c r="J390" s="17"/>
      <c r="K390" s="17"/>
      <c r="L390" s="17"/>
      <c r="N390" s="1"/>
      <c r="O390" s="17"/>
      <c r="P390" s="17"/>
      <c r="Q390" s="17"/>
      <c r="R390" s="17"/>
      <c r="S390" s="17"/>
      <c r="T390" s="17"/>
      <c r="U390" s="17"/>
      <c r="V390" s="17"/>
      <c r="W390" s="17"/>
      <c r="X390" s="17"/>
    </row>
    <row r="391" spans="1:24">
      <c r="A391" s="1"/>
      <c r="B391" s="1"/>
      <c r="C391" s="17"/>
      <c r="D391" s="17"/>
      <c r="E391" s="17"/>
      <c r="F391" s="17"/>
      <c r="G391" s="17"/>
      <c r="H391" s="17"/>
      <c r="I391" s="17"/>
      <c r="J391" s="17"/>
      <c r="K391" s="17"/>
      <c r="L391" s="17"/>
      <c r="N391" s="1"/>
      <c r="O391" s="17"/>
      <c r="P391" s="17"/>
      <c r="Q391" s="17"/>
      <c r="R391" s="17"/>
      <c r="S391" s="17"/>
      <c r="T391" s="17"/>
      <c r="U391" s="17"/>
      <c r="V391" s="17"/>
      <c r="W391" s="17"/>
      <c r="X391" s="17"/>
    </row>
    <row r="392" spans="1:24">
      <c r="A392" s="1"/>
      <c r="B392" s="1"/>
      <c r="C392" s="17"/>
      <c r="D392" s="17"/>
      <c r="E392" s="17"/>
      <c r="F392" s="17"/>
      <c r="G392" s="17"/>
      <c r="H392" s="17"/>
      <c r="I392" s="17"/>
      <c r="J392" s="17"/>
      <c r="K392" s="17"/>
      <c r="L392" s="17"/>
      <c r="N392" s="1"/>
      <c r="O392" s="17"/>
      <c r="P392" s="17"/>
      <c r="Q392" s="17"/>
      <c r="R392" s="17"/>
      <c r="S392" s="17"/>
      <c r="T392" s="17"/>
      <c r="U392" s="17"/>
      <c r="V392" s="17"/>
      <c r="W392" s="17"/>
      <c r="X392" s="17"/>
    </row>
    <row r="393" spans="1:24">
      <c r="A393" s="1"/>
      <c r="B393" s="1"/>
      <c r="C393" s="17"/>
      <c r="D393" s="17"/>
      <c r="E393" s="17"/>
      <c r="F393" s="17"/>
      <c r="G393" s="17"/>
      <c r="H393" s="17"/>
      <c r="I393" s="17"/>
      <c r="J393" s="17"/>
      <c r="K393" s="17"/>
      <c r="L393" s="17"/>
      <c r="N393" s="1"/>
      <c r="O393" s="17"/>
      <c r="P393" s="17"/>
      <c r="Q393" s="17"/>
      <c r="R393" s="17"/>
      <c r="S393" s="17"/>
      <c r="T393" s="17"/>
      <c r="U393" s="17"/>
      <c r="V393" s="17"/>
      <c r="W393" s="17"/>
      <c r="X393" s="17"/>
    </row>
    <row r="394" spans="1:24">
      <c r="A394" s="1"/>
      <c r="B394" s="1"/>
      <c r="C394" s="17"/>
      <c r="D394" s="17"/>
      <c r="E394" s="17"/>
      <c r="F394" s="17"/>
      <c r="G394" s="17"/>
      <c r="H394" s="17"/>
      <c r="I394" s="17"/>
      <c r="J394" s="17"/>
      <c r="K394" s="17"/>
      <c r="L394" s="17"/>
      <c r="N394" s="1"/>
      <c r="O394" s="17"/>
      <c r="P394" s="17"/>
      <c r="Q394" s="17"/>
      <c r="R394" s="17"/>
      <c r="S394" s="17"/>
      <c r="T394" s="17"/>
      <c r="U394" s="17"/>
      <c r="V394" s="17"/>
      <c r="W394" s="17"/>
      <c r="X394" s="17"/>
    </row>
    <row r="395" spans="1:24">
      <c r="A395" s="1"/>
      <c r="B395" s="1"/>
      <c r="C395" s="17"/>
      <c r="D395" s="17"/>
      <c r="E395" s="17"/>
      <c r="F395" s="17"/>
      <c r="G395" s="17"/>
      <c r="H395" s="17"/>
      <c r="I395" s="17"/>
      <c r="J395" s="17"/>
      <c r="K395" s="17"/>
      <c r="L395" s="17"/>
      <c r="N395" s="1"/>
      <c r="O395" s="17"/>
      <c r="P395" s="17"/>
      <c r="Q395" s="17"/>
      <c r="R395" s="17"/>
      <c r="S395" s="17"/>
      <c r="T395" s="17"/>
      <c r="U395" s="17"/>
      <c r="V395" s="17"/>
      <c r="W395" s="17"/>
      <c r="X395" s="17"/>
    </row>
    <row r="396" spans="1:24">
      <c r="A396" s="1"/>
      <c r="B396" s="1"/>
      <c r="C396" s="17"/>
      <c r="D396" s="17"/>
      <c r="E396" s="17"/>
      <c r="F396" s="17"/>
      <c r="G396" s="17"/>
      <c r="H396" s="17"/>
      <c r="I396" s="17"/>
      <c r="J396" s="17"/>
      <c r="K396" s="17"/>
      <c r="L396" s="17"/>
      <c r="N396" s="1"/>
      <c r="O396" s="17"/>
      <c r="P396" s="17"/>
      <c r="Q396" s="17"/>
      <c r="R396" s="17"/>
      <c r="S396" s="17"/>
      <c r="T396" s="17"/>
      <c r="U396" s="17"/>
      <c r="V396" s="17"/>
      <c r="W396" s="17"/>
      <c r="X396" s="17"/>
    </row>
    <row r="397" spans="1:24">
      <c r="A397" s="1"/>
      <c r="B397" s="1"/>
      <c r="C397" s="17"/>
      <c r="D397" s="17"/>
      <c r="E397" s="17"/>
      <c r="F397" s="17"/>
      <c r="G397" s="17"/>
      <c r="H397" s="17"/>
      <c r="I397" s="17"/>
      <c r="J397" s="17"/>
      <c r="K397" s="17"/>
      <c r="L397" s="17"/>
      <c r="N397" s="1"/>
      <c r="O397" s="17"/>
      <c r="P397" s="17"/>
      <c r="Q397" s="17"/>
      <c r="R397" s="17"/>
      <c r="S397" s="17"/>
      <c r="T397" s="17"/>
      <c r="U397" s="17"/>
      <c r="V397" s="17"/>
      <c r="W397" s="17"/>
      <c r="X397" s="17"/>
    </row>
    <row r="398" spans="1:24">
      <c r="A398" s="1"/>
      <c r="B398" s="1"/>
      <c r="C398" s="17"/>
      <c r="D398" s="17"/>
      <c r="E398" s="17"/>
      <c r="F398" s="17"/>
      <c r="G398" s="17"/>
      <c r="H398" s="17"/>
      <c r="I398" s="17"/>
      <c r="J398" s="17"/>
      <c r="K398" s="17"/>
      <c r="L398" s="17"/>
      <c r="N398" s="1"/>
      <c r="O398" s="17"/>
      <c r="P398" s="17"/>
      <c r="Q398" s="17"/>
      <c r="R398" s="17"/>
      <c r="S398" s="17"/>
      <c r="T398" s="17"/>
      <c r="U398" s="17"/>
      <c r="V398" s="17"/>
      <c r="W398" s="17"/>
      <c r="X398" s="17"/>
    </row>
    <row r="399" spans="1:24">
      <c r="A399" s="1"/>
      <c r="B399" s="1"/>
      <c r="C399" s="17"/>
      <c r="D399" s="17"/>
      <c r="E399" s="17"/>
      <c r="F399" s="17"/>
      <c r="G399" s="17"/>
      <c r="H399" s="17"/>
      <c r="I399" s="17"/>
      <c r="J399" s="17"/>
      <c r="K399" s="17"/>
      <c r="L399" s="17"/>
      <c r="N399" s="1"/>
      <c r="O399" s="17"/>
      <c r="P399" s="17"/>
      <c r="Q399" s="17"/>
      <c r="R399" s="17"/>
      <c r="S399" s="17"/>
      <c r="T399" s="17"/>
      <c r="U399" s="17"/>
      <c r="V399" s="17"/>
      <c r="W399" s="17"/>
      <c r="X399" s="17"/>
    </row>
    <row r="400" spans="1:24">
      <c r="A400" s="1"/>
      <c r="B400" s="1"/>
      <c r="C400" s="17"/>
      <c r="D400" s="17"/>
      <c r="E400" s="17"/>
      <c r="F400" s="17"/>
      <c r="G400" s="17"/>
      <c r="H400" s="17"/>
      <c r="I400" s="17"/>
      <c r="J400" s="17"/>
      <c r="K400" s="17"/>
      <c r="L400" s="17"/>
      <c r="N400" s="1"/>
      <c r="O400" s="17"/>
      <c r="P400" s="17"/>
      <c r="Q400" s="17"/>
      <c r="R400" s="17"/>
      <c r="S400" s="17"/>
      <c r="T400" s="17"/>
      <c r="U400" s="17"/>
      <c r="V400" s="17"/>
      <c r="W400" s="17"/>
      <c r="X400" s="17"/>
    </row>
    <row r="401" spans="1:24">
      <c r="A401" s="1"/>
      <c r="B401" s="1"/>
      <c r="C401" s="17"/>
      <c r="D401" s="17"/>
      <c r="E401" s="17"/>
      <c r="F401" s="17"/>
      <c r="G401" s="17"/>
      <c r="H401" s="17"/>
      <c r="I401" s="17"/>
      <c r="J401" s="17"/>
      <c r="K401" s="17"/>
      <c r="L401" s="17"/>
      <c r="N401" s="1"/>
      <c r="O401" s="17"/>
      <c r="P401" s="17"/>
      <c r="Q401" s="17"/>
      <c r="R401" s="17"/>
      <c r="S401" s="17"/>
      <c r="T401" s="17"/>
      <c r="U401" s="17"/>
      <c r="V401" s="17"/>
      <c r="W401" s="17"/>
      <c r="X401" s="17"/>
    </row>
    <row r="402" spans="1:24">
      <c r="A402" s="1"/>
      <c r="B402" s="1"/>
      <c r="C402" s="17"/>
      <c r="D402" s="17"/>
      <c r="E402" s="17"/>
      <c r="F402" s="17"/>
      <c r="G402" s="17"/>
      <c r="H402" s="17"/>
      <c r="I402" s="17"/>
      <c r="J402" s="17"/>
      <c r="K402" s="17"/>
      <c r="L402" s="17"/>
      <c r="N402" s="1"/>
      <c r="O402" s="17"/>
      <c r="P402" s="17"/>
      <c r="Q402" s="17"/>
      <c r="R402" s="17"/>
      <c r="S402" s="17"/>
      <c r="T402" s="17"/>
      <c r="U402" s="17"/>
      <c r="V402" s="17"/>
      <c r="W402" s="17"/>
      <c r="X402" s="17"/>
    </row>
    <row r="403" spans="1:24">
      <c r="A403" s="1"/>
      <c r="B403" s="1"/>
      <c r="C403" s="17"/>
      <c r="D403" s="17"/>
      <c r="E403" s="17"/>
      <c r="F403" s="17"/>
      <c r="G403" s="17"/>
      <c r="H403" s="17"/>
      <c r="I403" s="17"/>
      <c r="J403" s="17"/>
      <c r="K403" s="17"/>
      <c r="L403" s="17"/>
      <c r="N403" s="1"/>
      <c r="O403" s="17"/>
      <c r="P403" s="17"/>
      <c r="Q403" s="17"/>
      <c r="R403" s="17"/>
      <c r="S403" s="17"/>
      <c r="T403" s="17"/>
      <c r="U403" s="17"/>
      <c r="V403" s="17"/>
      <c r="W403" s="17"/>
      <c r="X403" s="17"/>
    </row>
    <row r="404" spans="1:24">
      <c r="A404" s="1"/>
      <c r="B404" s="1"/>
      <c r="C404" s="17"/>
      <c r="D404" s="17"/>
      <c r="E404" s="17"/>
      <c r="F404" s="17"/>
      <c r="G404" s="17"/>
      <c r="H404" s="17"/>
      <c r="I404" s="17"/>
      <c r="J404" s="17"/>
      <c r="K404" s="17"/>
      <c r="L404" s="17"/>
      <c r="N404" s="1"/>
      <c r="O404" s="17"/>
      <c r="P404" s="17"/>
      <c r="Q404" s="17"/>
      <c r="R404" s="17"/>
      <c r="S404" s="17"/>
      <c r="T404" s="17"/>
      <c r="U404" s="17"/>
      <c r="V404" s="17"/>
      <c r="W404" s="17"/>
      <c r="X404" s="17"/>
    </row>
    <row r="405" spans="1:24">
      <c r="A405" s="1"/>
      <c r="B405" s="1"/>
      <c r="C405" s="17"/>
      <c r="D405" s="17"/>
      <c r="E405" s="17"/>
      <c r="F405" s="17"/>
      <c r="G405" s="17"/>
      <c r="H405" s="17"/>
      <c r="I405" s="17"/>
      <c r="J405" s="17"/>
      <c r="K405" s="17"/>
      <c r="L405" s="17"/>
      <c r="N405" s="1"/>
      <c r="O405" s="17"/>
      <c r="P405" s="17"/>
      <c r="Q405" s="17"/>
      <c r="R405" s="17"/>
      <c r="S405" s="17"/>
      <c r="T405" s="17"/>
      <c r="U405" s="17"/>
      <c r="V405" s="17"/>
      <c r="W405" s="17"/>
      <c r="X405" s="17"/>
    </row>
    <row r="406" spans="1:24">
      <c r="A406" s="1"/>
      <c r="B406" s="1"/>
      <c r="C406" s="17"/>
      <c r="D406" s="17"/>
      <c r="E406" s="17"/>
      <c r="F406" s="17"/>
      <c r="G406" s="17"/>
      <c r="H406" s="17"/>
      <c r="I406" s="17"/>
      <c r="J406" s="17"/>
      <c r="K406" s="17"/>
      <c r="L406" s="17"/>
      <c r="N406" s="1"/>
      <c r="O406" s="17"/>
      <c r="P406" s="17"/>
      <c r="Q406" s="17"/>
      <c r="R406" s="17"/>
      <c r="S406" s="17"/>
      <c r="T406" s="17"/>
      <c r="U406" s="17"/>
      <c r="V406" s="17"/>
      <c r="W406" s="17"/>
      <c r="X406" s="17"/>
    </row>
    <row r="407" spans="1:24">
      <c r="A407" s="1"/>
      <c r="B407" s="1"/>
      <c r="C407" s="17"/>
      <c r="D407" s="17"/>
      <c r="E407" s="17"/>
      <c r="F407" s="17"/>
      <c r="G407" s="17"/>
      <c r="H407" s="17"/>
      <c r="I407" s="17"/>
      <c r="J407" s="17"/>
      <c r="K407" s="17"/>
      <c r="L407" s="17"/>
      <c r="N407" s="1"/>
      <c r="O407" s="17"/>
      <c r="P407" s="17"/>
      <c r="Q407" s="17"/>
      <c r="R407" s="17"/>
      <c r="S407" s="17"/>
      <c r="T407" s="17"/>
      <c r="U407" s="17"/>
      <c r="V407" s="17"/>
      <c r="W407" s="17"/>
      <c r="X407" s="17"/>
    </row>
    <row r="408" spans="1:24">
      <c r="A408" s="1"/>
      <c r="B408" s="1"/>
      <c r="C408" s="17"/>
      <c r="D408" s="17"/>
      <c r="E408" s="17"/>
      <c r="F408" s="17"/>
      <c r="G408" s="17"/>
      <c r="H408" s="17"/>
      <c r="I408" s="17"/>
      <c r="J408" s="17"/>
      <c r="K408" s="17"/>
      <c r="L408" s="17"/>
      <c r="N408" s="1"/>
      <c r="O408" s="17"/>
      <c r="P408" s="17"/>
      <c r="Q408" s="17"/>
      <c r="R408" s="17"/>
      <c r="S408" s="17"/>
      <c r="T408" s="17"/>
      <c r="U408" s="17"/>
      <c r="V408" s="17"/>
      <c r="W408" s="17"/>
      <c r="X408" s="17"/>
    </row>
    <row r="409" spans="1:24">
      <c r="A409" s="1"/>
      <c r="B409" s="1"/>
      <c r="C409" s="17"/>
      <c r="D409" s="17"/>
      <c r="E409" s="17"/>
      <c r="F409" s="17"/>
      <c r="G409" s="17"/>
      <c r="H409" s="17"/>
      <c r="I409" s="17"/>
      <c r="J409" s="17"/>
      <c r="K409" s="17"/>
      <c r="L409" s="17"/>
      <c r="N409" s="1"/>
      <c r="O409" s="17"/>
      <c r="P409" s="17"/>
      <c r="Q409" s="17"/>
      <c r="R409" s="17"/>
      <c r="S409" s="17"/>
      <c r="T409" s="17"/>
      <c r="U409" s="17"/>
      <c r="V409" s="17"/>
      <c r="W409" s="17"/>
      <c r="X409" s="17"/>
    </row>
    <row r="410" spans="1:24">
      <c r="A410" s="1"/>
      <c r="B410" s="1"/>
      <c r="C410" s="17"/>
      <c r="D410" s="17"/>
      <c r="E410" s="17"/>
      <c r="F410" s="17"/>
      <c r="G410" s="17"/>
      <c r="H410" s="17"/>
      <c r="I410" s="17"/>
      <c r="J410" s="17"/>
      <c r="K410" s="17"/>
      <c r="L410" s="17"/>
      <c r="N410" s="1"/>
      <c r="O410" s="17"/>
      <c r="P410" s="17"/>
      <c r="Q410" s="17"/>
      <c r="R410" s="17"/>
      <c r="S410" s="17"/>
      <c r="T410" s="17"/>
      <c r="U410" s="17"/>
      <c r="V410" s="17"/>
      <c r="W410" s="17"/>
      <c r="X410" s="17"/>
    </row>
    <row r="411" spans="1:24">
      <c r="A411" s="1"/>
      <c r="B411" s="1"/>
      <c r="C411" s="17"/>
      <c r="D411" s="17"/>
      <c r="E411" s="17"/>
      <c r="F411" s="17"/>
      <c r="G411" s="17"/>
      <c r="H411" s="17"/>
      <c r="I411" s="17"/>
      <c r="J411" s="17"/>
      <c r="K411" s="17"/>
      <c r="L411" s="17"/>
      <c r="N411" s="1"/>
      <c r="O411" s="17"/>
      <c r="P411" s="17"/>
      <c r="Q411" s="17"/>
      <c r="R411" s="17"/>
      <c r="S411" s="17"/>
      <c r="T411" s="17"/>
      <c r="U411" s="17"/>
      <c r="V411" s="17"/>
      <c r="W411" s="17"/>
      <c r="X411" s="17"/>
    </row>
    <row r="412" spans="1:24">
      <c r="A412" s="1"/>
      <c r="B412" s="1"/>
      <c r="C412" s="17"/>
      <c r="D412" s="17"/>
      <c r="E412" s="17"/>
      <c r="F412" s="17"/>
      <c r="G412" s="17"/>
      <c r="H412" s="17"/>
      <c r="I412" s="17"/>
      <c r="J412" s="17"/>
      <c r="K412" s="17"/>
      <c r="L412" s="17"/>
      <c r="N412" s="1"/>
      <c r="O412" s="17"/>
      <c r="P412" s="17"/>
      <c r="Q412" s="17"/>
      <c r="R412" s="17"/>
      <c r="S412" s="17"/>
      <c r="T412" s="17"/>
      <c r="U412" s="17"/>
      <c r="V412" s="17"/>
      <c r="W412" s="17"/>
      <c r="X412" s="17"/>
    </row>
    <row r="413" spans="1:24">
      <c r="A413" s="1"/>
      <c r="B413" s="1"/>
      <c r="C413" s="17"/>
      <c r="D413" s="17"/>
      <c r="E413" s="17"/>
      <c r="F413" s="17"/>
      <c r="G413" s="17"/>
      <c r="H413" s="17"/>
      <c r="I413" s="17"/>
      <c r="J413" s="17"/>
      <c r="K413" s="17"/>
      <c r="L413" s="17"/>
      <c r="N413" s="1"/>
      <c r="O413" s="17"/>
      <c r="P413" s="17"/>
      <c r="Q413" s="17"/>
      <c r="R413" s="17"/>
      <c r="S413" s="17"/>
      <c r="T413" s="17"/>
      <c r="U413" s="17"/>
      <c r="V413" s="17"/>
      <c r="W413" s="17"/>
      <c r="X413" s="17"/>
    </row>
    <row r="414" spans="1:24">
      <c r="A414" s="1"/>
      <c r="B414" s="1"/>
      <c r="C414" s="17"/>
      <c r="D414" s="17"/>
      <c r="E414" s="17"/>
      <c r="F414" s="17"/>
      <c r="G414" s="17"/>
      <c r="H414" s="17"/>
      <c r="I414" s="17"/>
      <c r="J414" s="17"/>
      <c r="K414" s="17"/>
      <c r="L414" s="17"/>
      <c r="N414" s="1"/>
      <c r="O414" s="17"/>
      <c r="P414" s="17"/>
      <c r="Q414" s="17"/>
      <c r="R414" s="17"/>
      <c r="S414" s="17"/>
      <c r="T414" s="17"/>
      <c r="U414" s="17"/>
      <c r="V414" s="17"/>
      <c r="W414" s="17"/>
      <c r="X414" s="17"/>
    </row>
    <row r="415" spans="1:24">
      <c r="A415" s="1"/>
      <c r="B415" s="1"/>
      <c r="C415" s="17"/>
      <c r="D415" s="17"/>
      <c r="E415" s="17"/>
      <c r="F415" s="17"/>
      <c r="G415" s="17"/>
      <c r="H415" s="17"/>
      <c r="I415" s="17"/>
      <c r="J415" s="17"/>
      <c r="K415" s="17"/>
      <c r="L415" s="17"/>
      <c r="N415" s="1"/>
      <c r="O415" s="17"/>
      <c r="P415" s="17"/>
      <c r="Q415" s="17"/>
      <c r="R415" s="17"/>
      <c r="S415" s="17"/>
      <c r="T415" s="17"/>
      <c r="U415" s="17"/>
      <c r="V415" s="17"/>
      <c r="W415" s="17"/>
      <c r="X415" s="17"/>
    </row>
    <row r="416" spans="1:24">
      <c r="A416" s="1"/>
      <c r="B416" s="1"/>
      <c r="C416" s="17"/>
      <c r="D416" s="17"/>
      <c r="E416" s="17"/>
      <c r="F416" s="17"/>
      <c r="G416" s="17"/>
      <c r="H416" s="17"/>
      <c r="I416" s="17"/>
      <c r="J416" s="17"/>
      <c r="K416" s="17"/>
      <c r="L416" s="17"/>
      <c r="N416" s="1"/>
      <c r="O416" s="17"/>
      <c r="P416" s="17"/>
      <c r="Q416" s="17"/>
      <c r="R416" s="17"/>
      <c r="S416" s="17"/>
      <c r="T416" s="17"/>
      <c r="U416" s="17"/>
      <c r="V416" s="17"/>
      <c r="W416" s="17"/>
      <c r="X416" s="17"/>
    </row>
    <row r="417" spans="1:24">
      <c r="A417" s="1"/>
      <c r="B417" s="1"/>
      <c r="C417" s="17"/>
      <c r="D417" s="17"/>
      <c r="E417" s="17"/>
      <c r="F417" s="17"/>
      <c r="G417" s="17"/>
      <c r="H417" s="17"/>
      <c r="I417" s="17"/>
      <c r="J417" s="17"/>
      <c r="K417" s="17"/>
      <c r="L417" s="17"/>
      <c r="N417" s="1"/>
      <c r="O417" s="17"/>
      <c r="P417" s="17"/>
      <c r="Q417" s="17"/>
      <c r="R417" s="17"/>
      <c r="S417" s="17"/>
      <c r="T417" s="17"/>
      <c r="U417" s="17"/>
      <c r="V417" s="17"/>
      <c r="W417" s="17"/>
      <c r="X417" s="17"/>
    </row>
    <row r="418" spans="1:24">
      <c r="A418" s="1"/>
      <c r="B418" s="1"/>
      <c r="C418" s="17"/>
      <c r="D418" s="17"/>
      <c r="E418" s="17"/>
      <c r="F418" s="17"/>
      <c r="G418" s="17"/>
      <c r="H418" s="17"/>
      <c r="I418" s="17"/>
      <c r="J418" s="17"/>
      <c r="K418" s="17"/>
      <c r="L418" s="17"/>
      <c r="N418" s="1"/>
      <c r="O418" s="17"/>
      <c r="P418" s="17"/>
      <c r="Q418" s="17"/>
      <c r="R418" s="17"/>
      <c r="S418" s="17"/>
      <c r="T418" s="17"/>
      <c r="U418" s="17"/>
      <c r="V418" s="17"/>
      <c r="W418" s="17"/>
      <c r="X418" s="17"/>
    </row>
    <row r="419" spans="1:24">
      <c r="A419" s="1"/>
      <c r="B419" s="1"/>
      <c r="C419" s="17"/>
      <c r="D419" s="17"/>
      <c r="E419" s="17"/>
      <c r="F419" s="17"/>
      <c r="G419" s="17"/>
      <c r="H419" s="17"/>
      <c r="I419" s="17"/>
      <c r="J419" s="17"/>
      <c r="K419" s="17"/>
      <c r="L419" s="17"/>
      <c r="N419" s="1"/>
      <c r="O419" s="17"/>
      <c r="P419" s="17"/>
      <c r="Q419" s="17"/>
      <c r="R419" s="17"/>
      <c r="S419" s="17"/>
      <c r="T419" s="17"/>
      <c r="U419" s="17"/>
      <c r="V419" s="17"/>
      <c r="W419" s="17"/>
      <c r="X419" s="17"/>
    </row>
    <row r="420" spans="1:24">
      <c r="A420" s="1"/>
      <c r="B420" s="1"/>
      <c r="C420" s="17"/>
      <c r="D420" s="17"/>
      <c r="E420" s="17"/>
      <c r="F420" s="17"/>
      <c r="G420" s="17"/>
      <c r="H420" s="17"/>
      <c r="I420" s="17"/>
      <c r="J420" s="17"/>
      <c r="K420" s="17"/>
      <c r="L420" s="17"/>
      <c r="N420" s="1"/>
      <c r="O420" s="17"/>
      <c r="P420" s="17"/>
      <c r="Q420" s="17"/>
      <c r="R420" s="17"/>
      <c r="S420" s="17"/>
      <c r="T420" s="17"/>
      <c r="U420" s="17"/>
      <c r="V420" s="17"/>
      <c r="W420" s="17"/>
      <c r="X420" s="17"/>
    </row>
    <row r="421" spans="1:24">
      <c r="A421" s="1"/>
      <c r="B421" s="1"/>
      <c r="C421" s="17"/>
      <c r="D421" s="17"/>
      <c r="E421" s="17"/>
      <c r="F421" s="17"/>
      <c r="G421" s="17"/>
      <c r="H421" s="17"/>
      <c r="I421" s="17"/>
      <c r="J421" s="17"/>
      <c r="K421" s="17"/>
      <c r="L421" s="17"/>
      <c r="N421" s="1"/>
      <c r="O421" s="17"/>
      <c r="P421" s="17"/>
      <c r="Q421" s="17"/>
      <c r="R421" s="17"/>
      <c r="S421" s="17"/>
      <c r="T421" s="17"/>
      <c r="U421" s="17"/>
      <c r="V421" s="17"/>
      <c r="W421" s="17"/>
      <c r="X421" s="17"/>
    </row>
    <row r="422" spans="1:24">
      <c r="A422" s="1"/>
      <c r="B422" s="1"/>
      <c r="C422" s="17"/>
      <c r="D422" s="17"/>
      <c r="E422" s="17"/>
      <c r="F422" s="17"/>
      <c r="G422" s="17"/>
      <c r="H422" s="17"/>
      <c r="I422" s="17"/>
      <c r="J422" s="17"/>
      <c r="K422" s="17"/>
      <c r="L422" s="17"/>
      <c r="N422" s="1"/>
      <c r="O422" s="17"/>
      <c r="P422" s="17"/>
      <c r="Q422" s="17"/>
      <c r="R422" s="17"/>
      <c r="S422" s="17"/>
      <c r="T422" s="17"/>
      <c r="U422" s="17"/>
      <c r="V422" s="17"/>
      <c r="W422" s="17"/>
      <c r="X422" s="17"/>
    </row>
    <row r="423" spans="1:24">
      <c r="A423" s="1"/>
      <c r="B423" s="1"/>
      <c r="C423" s="17"/>
      <c r="D423" s="17"/>
      <c r="E423" s="17"/>
      <c r="F423" s="17"/>
      <c r="G423" s="17"/>
      <c r="H423" s="17"/>
      <c r="I423" s="17"/>
      <c r="J423" s="17"/>
      <c r="K423" s="17"/>
      <c r="L423" s="17"/>
      <c r="N423" s="1"/>
      <c r="O423" s="17"/>
      <c r="P423" s="17"/>
      <c r="Q423" s="17"/>
      <c r="R423" s="17"/>
      <c r="S423" s="17"/>
      <c r="T423" s="17"/>
      <c r="U423" s="17"/>
      <c r="V423" s="17"/>
      <c r="W423" s="17"/>
      <c r="X423" s="17"/>
    </row>
    <row r="424" spans="1:24">
      <c r="A424" s="1"/>
      <c r="B424" s="1"/>
      <c r="C424" s="17"/>
      <c r="D424" s="17"/>
      <c r="E424" s="17"/>
      <c r="F424" s="17"/>
      <c r="G424" s="17"/>
      <c r="H424" s="17"/>
      <c r="I424" s="17"/>
      <c r="J424" s="17"/>
      <c r="K424" s="17"/>
      <c r="L424" s="17"/>
      <c r="N424" s="1"/>
      <c r="O424" s="17"/>
      <c r="P424" s="17"/>
      <c r="Q424" s="17"/>
      <c r="R424" s="17"/>
      <c r="S424" s="17"/>
      <c r="T424" s="17"/>
      <c r="U424" s="17"/>
      <c r="V424" s="17"/>
      <c r="W424" s="17"/>
      <c r="X424" s="17"/>
    </row>
    <row r="425" spans="1:24">
      <c r="A425" s="1"/>
      <c r="B425" s="1"/>
      <c r="C425" s="17"/>
      <c r="D425" s="17"/>
      <c r="E425" s="17"/>
      <c r="F425" s="17"/>
      <c r="G425" s="17"/>
      <c r="H425" s="17"/>
      <c r="I425" s="17"/>
      <c r="J425" s="17"/>
      <c r="K425" s="17"/>
      <c r="L425" s="17"/>
      <c r="N425" s="1"/>
      <c r="O425" s="17"/>
      <c r="P425" s="17"/>
      <c r="Q425" s="17"/>
      <c r="R425" s="17"/>
      <c r="S425" s="17"/>
      <c r="T425" s="17"/>
      <c r="U425" s="17"/>
      <c r="V425" s="17"/>
      <c r="W425" s="17"/>
      <c r="X425" s="17"/>
    </row>
    <row r="426" spans="1:24">
      <c r="A426" s="1"/>
      <c r="B426" s="1"/>
      <c r="C426" s="17"/>
      <c r="D426" s="17"/>
      <c r="E426" s="17"/>
      <c r="F426" s="17"/>
      <c r="G426" s="17"/>
      <c r="H426" s="17"/>
      <c r="I426" s="17"/>
      <c r="J426" s="17"/>
      <c r="K426" s="17"/>
      <c r="L426" s="17"/>
      <c r="N426" s="1"/>
      <c r="O426" s="17"/>
      <c r="P426" s="17"/>
      <c r="Q426" s="17"/>
      <c r="R426" s="17"/>
      <c r="S426" s="17"/>
      <c r="T426" s="17"/>
      <c r="U426" s="17"/>
      <c r="V426" s="17"/>
      <c r="W426" s="17"/>
      <c r="X426" s="17"/>
    </row>
    <row r="427" spans="1:24">
      <c r="A427" s="1"/>
      <c r="B427" s="1"/>
      <c r="C427" s="17"/>
      <c r="D427" s="17"/>
      <c r="E427" s="17"/>
      <c r="F427" s="17"/>
      <c r="G427" s="17"/>
      <c r="H427" s="17"/>
      <c r="I427" s="17"/>
      <c r="J427" s="17"/>
      <c r="K427" s="17"/>
      <c r="L427" s="17"/>
      <c r="N427" s="1"/>
      <c r="O427" s="17"/>
      <c r="P427" s="17"/>
      <c r="Q427" s="17"/>
      <c r="R427" s="17"/>
      <c r="S427" s="17"/>
      <c r="T427" s="17"/>
      <c r="U427" s="17"/>
      <c r="V427" s="17"/>
      <c r="W427" s="17"/>
      <c r="X427" s="17"/>
    </row>
    <row r="428" spans="1:24">
      <c r="A428" s="1"/>
      <c r="B428" s="1"/>
      <c r="C428" s="17"/>
      <c r="D428" s="17"/>
      <c r="E428" s="17"/>
      <c r="F428" s="17"/>
      <c r="G428" s="17"/>
      <c r="H428" s="17"/>
      <c r="I428" s="17"/>
      <c r="J428" s="17"/>
      <c r="K428" s="17"/>
      <c r="L428" s="17"/>
      <c r="N428" s="1"/>
      <c r="O428" s="17"/>
      <c r="P428" s="17"/>
      <c r="Q428" s="17"/>
      <c r="R428" s="17"/>
      <c r="S428" s="17"/>
      <c r="T428" s="17"/>
      <c r="U428" s="17"/>
      <c r="V428" s="17"/>
      <c r="W428" s="17"/>
      <c r="X428" s="17"/>
    </row>
    <row r="429" spans="1:24">
      <c r="A429" s="1"/>
      <c r="B429" s="1"/>
      <c r="C429" s="17"/>
      <c r="D429" s="17"/>
      <c r="E429" s="17"/>
      <c r="F429" s="17"/>
      <c r="G429" s="17"/>
      <c r="H429" s="17"/>
      <c r="I429" s="17"/>
      <c r="J429" s="17"/>
      <c r="K429" s="17"/>
      <c r="L429" s="17"/>
      <c r="N429" s="1"/>
      <c r="O429" s="17"/>
      <c r="P429" s="17"/>
      <c r="Q429" s="17"/>
      <c r="R429" s="17"/>
      <c r="S429" s="17"/>
      <c r="T429" s="17"/>
      <c r="U429" s="17"/>
      <c r="V429" s="17"/>
      <c r="W429" s="17"/>
      <c r="X429" s="17"/>
    </row>
    <row r="430" spans="1:24">
      <c r="A430" s="1"/>
      <c r="B430" s="1"/>
      <c r="C430" s="17"/>
      <c r="D430" s="17"/>
      <c r="E430" s="17"/>
      <c r="F430" s="17"/>
      <c r="G430" s="17"/>
      <c r="H430" s="17"/>
      <c r="I430" s="17"/>
      <c r="J430" s="17"/>
      <c r="K430" s="17"/>
      <c r="L430" s="17"/>
      <c r="N430" s="1"/>
      <c r="O430" s="17"/>
      <c r="P430" s="17"/>
      <c r="Q430" s="17"/>
      <c r="R430" s="17"/>
      <c r="S430" s="17"/>
      <c r="T430" s="17"/>
      <c r="U430" s="17"/>
      <c r="V430" s="17"/>
      <c r="W430" s="17"/>
      <c r="X430" s="17"/>
    </row>
    <row r="431" spans="1:24">
      <c r="A431" s="1"/>
      <c r="B431" s="1"/>
      <c r="C431" s="17"/>
      <c r="D431" s="17"/>
      <c r="E431" s="17"/>
      <c r="F431" s="17"/>
      <c r="G431" s="17"/>
      <c r="H431" s="17"/>
      <c r="I431" s="17"/>
      <c r="J431" s="17"/>
      <c r="K431" s="17"/>
      <c r="L431" s="17"/>
      <c r="N431" s="1"/>
      <c r="O431" s="17"/>
      <c r="P431" s="17"/>
      <c r="Q431" s="17"/>
      <c r="R431" s="17"/>
      <c r="S431" s="17"/>
      <c r="T431" s="17"/>
      <c r="U431" s="17"/>
      <c r="V431" s="17"/>
      <c r="W431" s="17"/>
      <c r="X431" s="17"/>
    </row>
    <row r="432" spans="1:24">
      <c r="A432" s="1"/>
      <c r="B432" s="1"/>
      <c r="C432" s="17"/>
      <c r="D432" s="17"/>
      <c r="E432" s="17"/>
      <c r="F432" s="17"/>
      <c r="G432" s="17"/>
      <c r="H432" s="17"/>
      <c r="I432" s="17"/>
      <c r="J432" s="17"/>
      <c r="K432" s="17"/>
      <c r="L432" s="17"/>
      <c r="N432" s="1"/>
      <c r="O432" s="17"/>
      <c r="P432" s="17"/>
      <c r="Q432" s="17"/>
      <c r="R432" s="17"/>
      <c r="S432" s="17"/>
      <c r="T432" s="17"/>
      <c r="U432" s="17"/>
      <c r="V432" s="17"/>
      <c r="W432" s="17"/>
      <c r="X432" s="17"/>
    </row>
    <row r="433" spans="1:24">
      <c r="A433" s="1"/>
      <c r="B433" s="1"/>
      <c r="C433" s="17"/>
      <c r="D433" s="17"/>
      <c r="E433" s="17"/>
      <c r="F433" s="17"/>
      <c r="G433" s="17"/>
      <c r="H433" s="17"/>
      <c r="I433" s="17"/>
      <c r="J433" s="17"/>
      <c r="K433" s="17"/>
      <c r="L433" s="17"/>
      <c r="N433" s="1"/>
      <c r="O433" s="17"/>
      <c r="P433" s="17"/>
      <c r="Q433" s="17"/>
      <c r="R433" s="17"/>
      <c r="S433" s="17"/>
      <c r="T433" s="17"/>
      <c r="U433" s="17"/>
      <c r="V433" s="17"/>
      <c r="W433" s="17"/>
      <c r="X433" s="17"/>
    </row>
    <row r="434" spans="1:24">
      <c r="A434" s="1"/>
      <c r="B434" s="1"/>
      <c r="C434" s="17"/>
      <c r="D434" s="17"/>
      <c r="E434" s="17"/>
      <c r="F434" s="17"/>
      <c r="G434" s="17"/>
      <c r="H434" s="17"/>
      <c r="I434" s="17"/>
      <c r="J434" s="17"/>
      <c r="K434" s="17"/>
      <c r="L434" s="17"/>
      <c r="N434" s="1"/>
      <c r="O434" s="17"/>
      <c r="P434" s="17"/>
      <c r="Q434" s="17"/>
      <c r="R434" s="17"/>
      <c r="S434" s="17"/>
      <c r="T434" s="17"/>
      <c r="U434" s="17"/>
      <c r="V434" s="17"/>
      <c r="W434" s="17"/>
      <c r="X434" s="17"/>
    </row>
    <row r="435" spans="1:24">
      <c r="A435" s="1"/>
      <c r="B435" s="1"/>
      <c r="C435" s="17"/>
      <c r="D435" s="17"/>
      <c r="E435" s="17"/>
      <c r="F435" s="17"/>
      <c r="G435" s="17"/>
      <c r="H435" s="17"/>
      <c r="I435" s="17"/>
      <c r="J435" s="17"/>
      <c r="K435" s="17"/>
      <c r="L435" s="17"/>
      <c r="N435" s="1"/>
      <c r="O435" s="17"/>
      <c r="P435" s="17"/>
      <c r="Q435" s="17"/>
      <c r="R435" s="17"/>
      <c r="S435" s="17"/>
      <c r="T435" s="17"/>
      <c r="U435" s="17"/>
      <c r="V435" s="17"/>
      <c r="W435" s="17"/>
      <c r="X435" s="17"/>
    </row>
    <row r="436" spans="1:24">
      <c r="A436" s="1"/>
      <c r="B436" s="1"/>
      <c r="C436" s="17"/>
      <c r="D436" s="17"/>
      <c r="E436" s="17"/>
      <c r="F436" s="17"/>
      <c r="G436" s="17"/>
      <c r="H436" s="17"/>
      <c r="I436" s="17"/>
      <c r="J436" s="17"/>
      <c r="K436" s="17"/>
      <c r="L436" s="17"/>
      <c r="N436" s="1"/>
      <c r="O436" s="17"/>
      <c r="P436" s="17"/>
      <c r="Q436" s="17"/>
      <c r="R436" s="17"/>
      <c r="S436" s="17"/>
      <c r="T436" s="17"/>
      <c r="U436" s="17"/>
      <c r="V436" s="17"/>
      <c r="W436" s="17"/>
      <c r="X436" s="17"/>
    </row>
    <row r="437" spans="1:24">
      <c r="A437" s="1"/>
      <c r="B437" s="1"/>
      <c r="C437" s="17"/>
      <c r="D437" s="17"/>
      <c r="E437" s="17"/>
      <c r="F437" s="17"/>
      <c r="G437" s="17"/>
      <c r="H437" s="17"/>
      <c r="I437" s="17"/>
      <c r="J437" s="17"/>
      <c r="K437" s="17"/>
      <c r="L437" s="17"/>
      <c r="N437" s="1"/>
      <c r="O437" s="17"/>
      <c r="P437" s="17"/>
      <c r="Q437" s="17"/>
      <c r="R437" s="17"/>
      <c r="S437" s="17"/>
      <c r="T437" s="17"/>
      <c r="U437" s="17"/>
      <c r="V437" s="17"/>
      <c r="W437" s="17"/>
      <c r="X437" s="17"/>
    </row>
    <row r="438" spans="1:24">
      <c r="A438" s="1"/>
      <c r="B438" s="1"/>
      <c r="C438" s="17"/>
      <c r="D438" s="17"/>
      <c r="E438" s="17"/>
      <c r="F438" s="17"/>
      <c r="G438" s="17"/>
      <c r="H438" s="17"/>
      <c r="I438" s="17"/>
      <c r="J438" s="17"/>
      <c r="K438" s="17"/>
      <c r="L438" s="17"/>
      <c r="N438" s="1"/>
      <c r="O438" s="17"/>
      <c r="P438" s="17"/>
      <c r="Q438" s="17"/>
      <c r="R438" s="17"/>
      <c r="S438" s="17"/>
      <c r="T438" s="17"/>
      <c r="U438" s="17"/>
      <c r="V438" s="17"/>
      <c r="W438" s="17"/>
      <c r="X438" s="17"/>
    </row>
    <row r="439" spans="1:24">
      <c r="A439" s="1"/>
      <c r="B439" s="1"/>
      <c r="C439" s="17"/>
      <c r="D439" s="17"/>
      <c r="E439" s="17"/>
      <c r="F439" s="17"/>
      <c r="G439" s="17"/>
      <c r="H439" s="17"/>
      <c r="I439" s="17"/>
      <c r="J439" s="17"/>
      <c r="K439" s="17"/>
      <c r="L439" s="17"/>
      <c r="N439" s="1"/>
      <c r="O439" s="17"/>
      <c r="P439" s="17"/>
      <c r="Q439" s="17"/>
      <c r="R439" s="17"/>
      <c r="S439" s="17"/>
      <c r="T439" s="17"/>
      <c r="U439" s="17"/>
      <c r="V439" s="17"/>
      <c r="W439" s="17"/>
      <c r="X439" s="17"/>
    </row>
    <row r="440" spans="1:24">
      <c r="A440" s="1"/>
      <c r="B440" s="1"/>
      <c r="C440" s="17"/>
      <c r="D440" s="17"/>
      <c r="E440" s="17"/>
      <c r="F440" s="17"/>
      <c r="G440" s="17"/>
      <c r="H440" s="17"/>
      <c r="I440" s="17"/>
      <c r="J440" s="17"/>
      <c r="K440" s="17"/>
      <c r="L440" s="17"/>
      <c r="N440" s="1"/>
      <c r="O440" s="17"/>
      <c r="P440" s="17"/>
      <c r="Q440" s="17"/>
      <c r="R440" s="17"/>
      <c r="S440" s="17"/>
      <c r="T440" s="17"/>
      <c r="U440" s="17"/>
      <c r="V440" s="17"/>
      <c r="W440" s="17"/>
      <c r="X440" s="17"/>
    </row>
    <row r="441" spans="1:24">
      <c r="A441" s="1"/>
      <c r="B441" s="1"/>
      <c r="C441" s="17"/>
      <c r="D441" s="17"/>
      <c r="E441" s="17"/>
      <c r="F441" s="17"/>
      <c r="G441" s="17"/>
      <c r="H441" s="17"/>
      <c r="I441" s="17"/>
      <c r="J441" s="17"/>
      <c r="K441" s="17"/>
      <c r="L441" s="17"/>
      <c r="N441" s="1"/>
      <c r="O441" s="17"/>
      <c r="P441" s="17"/>
      <c r="Q441" s="17"/>
      <c r="R441" s="17"/>
      <c r="S441" s="17"/>
      <c r="T441" s="17"/>
      <c r="U441" s="17"/>
      <c r="V441" s="17"/>
      <c r="W441" s="17"/>
      <c r="X441" s="17"/>
    </row>
    <row r="442" spans="1:24">
      <c r="A442" s="1"/>
      <c r="B442" s="1"/>
      <c r="C442" s="17"/>
      <c r="D442" s="17"/>
      <c r="E442" s="17"/>
      <c r="F442" s="17"/>
      <c r="G442" s="17"/>
      <c r="H442" s="17"/>
      <c r="I442" s="17"/>
      <c r="J442" s="17"/>
      <c r="K442" s="17"/>
      <c r="L442" s="17"/>
      <c r="N442" s="1"/>
      <c r="O442" s="17"/>
      <c r="P442" s="17"/>
      <c r="Q442" s="17"/>
      <c r="R442" s="17"/>
      <c r="S442" s="17"/>
      <c r="T442" s="17"/>
      <c r="U442" s="17"/>
      <c r="V442" s="17"/>
      <c r="W442" s="17"/>
      <c r="X442" s="17"/>
    </row>
    <row r="443" spans="1:24">
      <c r="A443" s="1"/>
      <c r="B443" s="1"/>
      <c r="C443" s="17"/>
      <c r="D443" s="17"/>
      <c r="E443" s="17"/>
      <c r="F443" s="17"/>
      <c r="G443" s="17"/>
      <c r="H443" s="17"/>
      <c r="I443" s="17"/>
      <c r="J443" s="17"/>
      <c r="K443" s="17"/>
      <c r="L443" s="17"/>
      <c r="N443" s="1"/>
      <c r="O443" s="17"/>
      <c r="P443" s="17"/>
      <c r="Q443" s="17"/>
      <c r="R443" s="17"/>
      <c r="S443" s="17"/>
      <c r="T443" s="17"/>
      <c r="U443" s="17"/>
      <c r="V443" s="17"/>
      <c r="W443" s="17"/>
      <c r="X443" s="17"/>
    </row>
    <row r="444" spans="1:24">
      <c r="A444" s="1"/>
      <c r="B444" s="1"/>
      <c r="C444" s="17"/>
      <c r="D444" s="17"/>
      <c r="E444" s="17"/>
      <c r="F444" s="17"/>
      <c r="G444" s="17"/>
      <c r="H444" s="17"/>
      <c r="I444" s="17"/>
      <c r="J444" s="17"/>
      <c r="K444" s="17"/>
      <c r="L444" s="17"/>
      <c r="N444" s="1"/>
      <c r="O444" s="17"/>
      <c r="P444" s="17"/>
      <c r="Q444" s="17"/>
      <c r="R444" s="17"/>
      <c r="S444" s="17"/>
      <c r="T444" s="17"/>
      <c r="U444" s="17"/>
      <c r="V444" s="17"/>
      <c r="W444" s="17"/>
      <c r="X444" s="17"/>
    </row>
    <row r="445" spans="1:24">
      <c r="A445" s="1"/>
      <c r="B445" s="1"/>
      <c r="C445" s="17"/>
      <c r="D445" s="17"/>
      <c r="E445" s="17"/>
      <c r="F445" s="17"/>
      <c r="G445" s="17"/>
      <c r="H445" s="17"/>
      <c r="I445" s="17"/>
      <c r="J445" s="17"/>
      <c r="K445" s="17"/>
      <c r="L445" s="17"/>
      <c r="N445" s="1"/>
      <c r="O445" s="17"/>
      <c r="P445" s="17"/>
      <c r="Q445" s="17"/>
      <c r="R445" s="17"/>
      <c r="S445" s="17"/>
      <c r="T445" s="17"/>
      <c r="U445" s="17"/>
      <c r="V445" s="17"/>
      <c r="W445" s="17"/>
      <c r="X445" s="17"/>
    </row>
    <row r="446" spans="1:24">
      <c r="A446" s="1"/>
      <c r="B446" s="1"/>
      <c r="C446" s="17"/>
      <c r="D446" s="17"/>
      <c r="E446" s="17"/>
      <c r="F446" s="17"/>
      <c r="G446" s="17"/>
      <c r="H446" s="17"/>
      <c r="I446" s="17"/>
      <c r="J446" s="17"/>
      <c r="K446" s="17"/>
      <c r="L446" s="17"/>
      <c r="N446" s="1"/>
      <c r="O446" s="17"/>
      <c r="P446" s="17"/>
      <c r="Q446" s="17"/>
      <c r="R446" s="17"/>
      <c r="S446" s="17"/>
      <c r="T446" s="17"/>
      <c r="U446" s="17"/>
      <c r="V446" s="17"/>
      <c r="W446" s="17"/>
      <c r="X446" s="17"/>
    </row>
    <row r="447" spans="1:24">
      <c r="A447" s="1"/>
      <c r="B447" s="1"/>
      <c r="C447" s="17"/>
      <c r="D447" s="17"/>
      <c r="E447" s="17"/>
      <c r="F447" s="17"/>
      <c r="G447" s="17"/>
      <c r="H447" s="17"/>
      <c r="I447" s="17"/>
      <c r="J447" s="17"/>
      <c r="K447" s="17"/>
      <c r="L447" s="17"/>
      <c r="N447" s="1"/>
      <c r="O447" s="17"/>
      <c r="P447" s="17"/>
      <c r="Q447" s="17"/>
      <c r="R447" s="17"/>
      <c r="S447" s="17"/>
      <c r="T447" s="17"/>
      <c r="U447" s="17"/>
      <c r="V447" s="17"/>
      <c r="W447" s="17"/>
      <c r="X447" s="17"/>
    </row>
    <row r="448" spans="1:24">
      <c r="A448" s="1"/>
      <c r="B448" s="1"/>
      <c r="C448" s="17"/>
      <c r="D448" s="17"/>
      <c r="E448" s="17"/>
      <c r="F448" s="17"/>
      <c r="G448" s="17"/>
      <c r="H448" s="17"/>
      <c r="I448" s="17"/>
      <c r="J448" s="17"/>
      <c r="K448" s="17"/>
      <c r="L448" s="17"/>
      <c r="N448" s="1"/>
      <c r="O448" s="17"/>
      <c r="P448" s="17"/>
      <c r="Q448" s="17"/>
      <c r="R448" s="17"/>
      <c r="S448" s="17"/>
      <c r="T448" s="17"/>
      <c r="U448" s="17"/>
      <c r="V448" s="17"/>
      <c r="W448" s="17"/>
      <c r="X448" s="17"/>
    </row>
    <row r="449" spans="1:24">
      <c r="A449" s="1"/>
      <c r="B449" s="1"/>
      <c r="C449" s="17"/>
      <c r="D449" s="17"/>
      <c r="E449" s="17"/>
      <c r="F449" s="17"/>
      <c r="G449" s="17"/>
      <c r="H449" s="17"/>
      <c r="I449" s="17"/>
      <c r="J449" s="17"/>
      <c r="K449" s="17"/>
      <c r="L449" s="17"/>
      <c r="N449" s="1"/>
      <c r="O449" s="17"/>
      <c r="P449" s="17"/>
      <c r="Q449" s="17"/>
      <c r="R449" s="17"/>
      <c r="S449" s="17"/>
      <c r="T449" s="17"/>
      <c r="U449" s="17"/>
      <c r="V449" s="17"/>
      <c r="W449" s="17"/>
      <c r="X449" s="17"/>
    </row>
    <row r="450" spans="1:24">
      <c r="A450" s="1"/>
      <c r="B450" s="1"/>
      <c r="C450" s="17"/>
      <c r="D450" s="17"/>
      <c r="E450" s="17"/>
      <c r="F450" s="17"/>
      <c r="G450" s="17"/>
      <c r="H450" s="17"/>
      <c r="I450" s="17"/>
      <c r="J450" s="17"/>
      <c r="K450" s="17"/>
      <c r="L450" s="17"/>
      <c r="N450" s="1"/>
      <c r="O450" s="17"/>
      <c r="P450" s="17"/>
      <c r="Q450" s="17"/>
      <c r="R450" s="17"/>
      <c r="S450" s="17"/>
      <c r="T450" s="17"/>
      <c r="U450" s="17"/>
      <c r="V450" s="17"/>
      <c r="W450" s="17"/>
      <c r="X450" s="17"/>
    </row>
    <row r="451" spans="1:24">
      <c r="A451" s="1"/>
      <c r="B451" s="1"/>
      <c r="C451" s="17"/>
      <c r="D451" s="17"/>
      <c r="E451" s="17"/>
      <c r="F451" s="17"/>
      <c r="G451" s="17"/>
      <c r="H451" s="17"/>
      <c r="I451" s="17"/>
      <c r="J451" s="17"/>
      <c r="K451" s="17"/>
      <c r="L451" s="17"/>
      <c r="N451" s="1"/>
      <c r="O451" s="17"/>
      <c r="P451" s="17"/>
      <c r="Q451" s="17"/>
      <c r="R451" s="17"/>
      <c r="S451" s="17"/>
      <c r="T451" s="17"/>
      <c r="U451" s="17"/>
      <c r="V451" s="17"/>
      <c r="W451" s="17"/>
      <c r="X451" s="17"/>
    </row>
    <row r="452" spans="1:24">
      <c r="A452" s="1"/>
      <c r="B452" s="1"/>
      <c r="C452" s="17"/>
      <c r="D452" s="17"/>
      <c r="E452" s="17"/>
      <c r="F452" s="17"/>
      <c r="G452" s="17"/>
      <c r="H452" s="17"/>
      <c r="I452" s="17"/>
      <c r="J452" s="17"/>
      <c r="K452" s="17"/>
      <c r="L452" s="17"/>
      <c r="N452" s="1"/>
      <c r="O452" s="17"/>
      <c r="P452" s="17"/>
      <c r="Q452" s="17"/>
      <c r="R452" s="17"/>
      <c r="S452" s="17"/>
      <c r="T452" s="17"/>
      <c r="U452" s="17"/>
      <c r="V452" s="17"/>
      <c r="W452" s="17"/>
      <c r="X452" s="17"/>
    </row>
    <row r="453" spans="1:24">
      <c r="A453" s="1"/>
      <c r="B453" s="1"/>
      <c r="C453" s="17"/>
      <c r="D453" s="17"/>
      <c r="E453" s="17"/>
      <c r="F453" s="17"/>
      <c r="G453" s="17"/>
      <c r="H453" s="17"/>
      <c r="I453" s="17"/>
      <c r="J453" s="17"/>
      <c r="K453" s="17"/>
      <c r="L453" s="17"/>
      <c r="N453" s="1"/>
      <c r="O453" s="17"/>
      <c r="P453" s="17"/>
      <c r="Q453" s="17"/>
      <c r="R453" s="17"/>
      <c r="S453" s="17"/>
      <c r="T453" s="17"/>
      <c r="U453" s="17"/>
      <c r="V453" s="17"/>
      <c r="W453" s="17"/>
      <c r="X453" s="17"/>
    </row>
    <row r="454" spans="1:24">
      <c r="A454" s="1"/>
      <c r="B454" s="1"/>
      <c r="C454" s="17"/>
      <c r="D454" s="17"/>
      <c r="E454" s="17"/>
      <c r="F454" s="17"/>
      <c r="G454" s="17"/>
      <c r="H454" s="17"/>
      <c r="I454" s="17"/>
      <c r="J454" s="17"/>
      <c r="K454" s="17"/>
      <c r="L454" s="17"/>
      <c r="N454" s="1"/>
      <c r="O454" s="17"/>
      <c r="P454" s="17"/>
      <c r="Q454" s="17"/>
      <c r="R454" s="17"/>
      <c r="S454" s="17"/>
      <c r="T454" s="17"/>
      <c r="U454" s="17"/>
      <c r="V454" s="17"/>
      <c r="W454" s="17"/>
      <c r="X454" s="17"/>
    </row>
    <row r="455" spans="1:24">
      <c r="A455" s="1"/>
      <c r="B455" s="1"/>
      <c r="C455" s="17"/>
      <c r="D455" s="17"/>
      <c r="E455" s="17"/>
      <c r="F455" s="17"/>
      <c r="G455" s="17"/>
      <c r="H455" s="17"/>
      <c r="I455" s="17"/>
      <c r="J455" s="17"/>
      <c r="K455" s="17"/>
      <c r="L455" s="17"/>
      <c r="N455" s="1"/>
      <c r="O455" s="17"/>
      <c r="P455" s="17"/>
      <c r="Q455" s="17"/>
      <c r="R455" s="17"/>
      <c r="S455" s="17"/>
      <c r="T455" s="17"/>
      <c r="U455" s="17"/>
      <c r="V455" s="17"/>
      <c r="W455" s="17"/>
      <c r="X455" s="17"/>
    </row>
    <row r="456" spans="1:24">
      <c r="A456" s="1"/>
      <c r="B456" s="1"/>
      <c r="C456" s="17"/>
      <c r="D456" s="17"/>
      <c r="E456" s="17"/>
      <c r="F456" s="17"/>
      <c r="G456" s="17"/>
      <c r="H456" s="17"/>
      <c r="I456" s="17"/>
      <c r="J456" s="17"/>
      <c r="K456" s="17"/>
      <c r="L456" s="17"/>
      <c r="N456" s="1"/>
      <c r="O456" s="17"/>
      <c r="P456" s="17"/>
      <c r="Q456" s="17"/>
      <c r="R456" s="17"/>
      <c r="S456" s="17"/>
      <c r="T456" s="17"/>
      <c r="U456" s="17"/>
      <c r="V456" s="17"/>
      <c r="W456" s="17"/>
      <c r="X456" s="17"/>
    </row>
    <row r="457" spans="1:24">
      <c r="A457" s="1"/>
      <c r="B457" s="1"/>
      <c r="C457" s="17"/>
      <c r="D457" s="17"/>
      <c r="E457" s="17"/>
      <c r="F457" s="17"/>
      <c r="G457" s="17"/>
      <c r="H457" s="17"/>
      <c r="I457" s="17"/>
      <c r="J457" s="17"/>
      <c r="K457" s="17"/>
      <c r="L457" s="17"/>
      <c r="N457" s="1"/>
      <c r="O457" s="17"/>
      <c r="P457" s="17"/>
      <c r="Q457" s="17"/>
      <c r="R457" s="17"/>
      <c r="S457" s="17"/>
      <c r="T457" s="17"/>
      <c r="U457" s="17"/>
      <c r="V457" s="17"/>
      <c r="W457" s="17"/>
      <c r="X457" s="17"/>
    </row>
    <row r="458" spans="1:24">
      <c r="A458" s="1"/>
      <c r="B458" s="1"/>
      <c r="C458" s="17"/>
      <c r="D458" s="17"/>
      <c r="E458" s="17"/>
      <c r="F458" s="17"/>
      <c r="G458" s="17"/>
      <c r="H458" s="17"/>
      <c r="I458" s="17"/>
      <c r="J458" s="17"/>
      <c r="K458" s="17"/>
      <c r="L458" s="17"/>
      <c r="N458" s="1"/>
      <c r="O458" s="17"/>
      <c r="P458" s="17"/>
      <c r="Q458" s="17"/>
      <c r="R458" s="17"/>
      <c r="S458" s="17"/>
      <c r="T458" s="17"/>
      <c r="U458" s="17"/>
      <c r="V458" s="17"/>
      <c r="W458" s="17"/>
      <c r="X458" s="17"/>
    </row>
    <row r="459" spans="1:24">
      <c r="A459" s="1"/>
      <c r="B459" s="1"/>
      <c r="C459" s="17"/>
      <c r="D459" s="17"/>
      <c r="E459" s="17"/>
      <c r="F459" s="17"/>
      <c r="G459" s="17"/>
      <c r="H459" s="17"/>
      <c r="I459" s="17"/>
      <c r="J459" s="17"/>
      <c r="K459" s="17"/>
      <c r="L459" s="17"/>
      <c r="N459" s="1"/>
      <c r="O459" s="17"/>
      <c r="P459" s="17"/>
      <c r="Q459" s="17"/>
      <c r="R459" s="17"/>
      <c r="S459" s="17"/>
      <c r="T459" s="17"/>
      <c r="U459" s="17"/>
      <c r="V459" s="17"/>
      <c r="W459" s="17"/>
      <c r="X459" s="17"/>
    </row>
    <row r="460" spans="1:24">
      <c r="A460" s="1"/>
      <c r="B460" s="1"/>
      <c r="C460" s="17"/>
      <c r="D460" s="17"/>
      <c r="E460" s="17"/>
      <c r="F460" s="17"/>
      <c r="G460" s="17"/>
      <c r="H460" s="17"/>
      <c r="I460" s="17"/>
      <c r="J460" s="17"/>
      <c r="K460" s="17"/>
      <c r="L460" s="17"/>
      <c r="N460" s="1"/>
      <c r="O460" s="17"/>
      <c r="P460" s="17"/>
      <c r="Q460" s="17"/>
      <c r="R460" s="17"/>
      <c r="S460" s="17"/>
      <c r="T460" s="17"/>
      <c r="U460" s="17"/>
      <c r="V460" s="17"/>
      <c r="W460" s="17"/>
      <c r="X460" s="17"/>
    </row>
    <row r="461" spans="1:24">
      <c r="A461" s="1"/>
      <c r="B461" s="1"/>
      <c r="C461" s="17"/>
      <c r="D461" s="17"/>
      <c r="E461" s="17"/>
      <c r="F461" s="17"/>
      <c r="G461" s="17"/>
      <c r="H461" s="17"/>
      <c r="I461" s="17"/>
      <c r="J461" s="17"/>
      <c r="K461" s="17"/>
      <c r="L461" s="17"/>
      <c r="N461" s="1"/>
      <c r="O461" s="17"/>
      <c r="P461" s="17"/>
      <c r="Q461" s="17"/>
      <c r="R461" s="17"/>
      <c r="S461" s="17"/>
      <c r="T461" s="17"/>
      <c r="U461" s="17"/>
      <c r="V461" s="17"/>
      <c r="W461" s="17"/>
      <c r="X461" s="17"/>
    </row>
    <row r="462" spans="1:24">
      <c r="A462" s="1"/>
      <c r="B462" s="1"/>
      <c r="C462" s="17"/>
      <c r="D462" s="17"/>
      <c r="E462" s="17"/>
      <c r="F462" s="17"/>
      <c r="G462" s="17"/>
      <c r="H462" s="17"/>
      <c r="I462" s="17"/>
      <c r="J462" s="17"/>
      <c r="K462" s="17"/>
      <c r="L462" s="17"/>
      <c r="N462" s="1"/>
      <c r="O462" s="17"/>
      <c r="P462" s="17"/>
      <c r="Q462" s="17"/>
      <c r="R462" s="17"/>
      <c r="S462" s="17"/>
      <c r="T462" s="17"/>
      <c r="U462" s="17"/>
      <c r="V462" s="17"/>
      <c r="W462" s="17"/>
      <c r="X462" s="17"/>
    </row>
    <row r="463" spans="1:24">
      <c r="A463" s="1"/>
      <c r="B463" s="1"/>
      <c r="C463" s="17"/>
      <c r="D463" s="17"/>
      <c r="E463" s="17"/>
      <c r="F463" s="17"/>
      <c r="G463" s="17"/>
      <c r="H463" s="17"/>
      <c r="I463" s="17"/>
      <c r="J463" s="17"/>
      <c r="K463" s="17"/>
      <c r="L463" s="17"/>
      <c r="N463" s="1"/>
      <c r="O463" s="17"/>
      <c r="P463" s="17"/>
      <c r="Q463" s="17"/>
      <c r="R463" s="17"/>
      <c r="S463" s="17"/>
      <c r="T463" s="17"/>
      <c r="U463" s="17"/>
      <c r="V463" s="17"/>
      <c r="W463" s="17"/>
      <c r="X463" s="17"/>
    </row>
    <row r="464" spans="1:24">
      <c r="A464" s="1"/>
      <c r="B464" s="1"/>
      <c r="C464" s="17"/>
      <c r="D464" s="17"/>
      <c r="E464" s="17"/>
      <c r="F464" s="17"/>
      <c r="G464" s="17"/>
      <c r="H464" s="17"/>
      <c r="I464" s="17"/>
      <c r="J464" s="17"/>
      <c r="K464" s="17"/>
      <c r="L464" s="17"/>
      <c r="N464" s="1"/>
      <c r="O464" s="17"/>
      <c r="P464" s="17"/>
      <c r="Q464" s="17"/>
      <c r="R464" s="17"/>
      <c r="S464" s="17"/>
      <c r="T464" s="17"/>
      <c r="U464" s="17"/>
      <c r="V464" s="17"/>
      <c r="W464" s="17"/>
      <c r="X464" s="17"/>
    </row>
    <row r="465" spans="1:24">
      <c r="A465" s="1"/>
      <c r="B465" s="1"/>
      <c r="C465" s="17"/>
      <c r="D465" s="17"/>
      <c r="E465" s="17"/>
      <c r="F465" s="17"/>
      <c r="G465" s="17"/>
      <c r="H465" s="17"/>
      <c r="I465" s="17"/>
      <c r="J465" s="17"/>
      <c r="K465" s="17"/>
      <c r="L465" s="17"/>
      <c r="N465" s="1"/>
      <c r="O465" s="17"/>
      <c r="P465" s="17"/>
      <c r="Q465" s="17"/>
      <c r="R465" s="17"/>
      <c r="S465" s="17"/>
      <c r="T465" s="17"/>
      <c r="U465" s="17"/>
      <c r="V465" s="17"/>
      <c r="W465" s="17"/>
      <c r="X465" s="17"/>
    </row>
    <row r="466" spans="1:24">
      <c r="A466" s="1"/>
      <c r="B466" s="1"/>
      <c r="C466" s="17"/>
      <c r="D466" s="17"/>
      <c r="E466" s="17"/>
      <c r="F466" s="17"/>
      <c r="G466" s="17"/>
      <c r="H466" s="17"/>
      <c r="I466" s="17"/>
      <c r="J466" s="17"/>
      <c r="K466" s="17"/>
      <c r="L466" s="17"/>
      <c r="N466" s="1"/>
      <c r="O466" s="17"/>
      <c r="P466" s="17"/>
      <c r="Q466" s="17"/>
      <c r="R466" s="17"/>
      <c r="S466" s="17"/>
      <c r="T466" s="17"/>
      <c r="U466" s="17"/>
      <c r="V466" s="17"/>
      <c r="W466" s="17"/>
      <c r="X466" s="17"/>
    </row>
    <row r="467" spans="1:24">
      <c r="A467" s="1"/>
      <c r="B467" s="1"/>
      <c r="C467" s="17"/>
      <c r="D467" s="17"/>
      <c r="E467" s="17"/>
      <c r="F467" s="17"/>
      <c r="G467" s="17"/>
      <c r="H467" s="17"/>
      <c r="I467" s="17"/>
      <c r="J467" s="17"/>
      <c r="K467" s="17"/>
      <c r="L467" s="17"/>
      <c r="N467" s="1"/>
      <c r="O467" s="17"/>
      <c r="P467" s="17"/>
      <c r="Q467" s="17"/>
      <c r="R467" s="17"/>
      <c r="S467" s="17"/>
      <c r="T467" s="17"/>
      <c r="U467" s="17"/>
      <c r="V467" s="17"/>
      <c r="W467" s="17"/>
      <c r="X467" s="17"/>
    </row>
    <row r="468" spans="1:24">
      <c r="A468" s="1"/>
      <c r="B468" s="1"/>
      <c r="C468" s="17"/>
      <c r="D468" s="17"/>
      <c r="E468" s="17"/>
      <c r="F468" s="17"/>
      <c r="G468" s="17"/>
      <c r="H468" s="17"/>
      <c r="I468" s="17"/>
      <c r="J468" s="17"/>
      <c r="K468" s="17"/>
      <c r="L468" s="17"/>
      <c r="N468" s="1"/>
      <c r="O468" s="17"/>
      <c r="P468" s="17"/>
      <c r="Q468" s="17"/>
      <c r="R468" s="17"/>
      <c r="S468" s="17"/>
      <c r="T468" s="17"/>
      <c r="U468" s="17"/>
      <c r="V468" s="17"/>
      <c r="W468" s="17"/>
      <c r="X468" s="17"/>
    </row>
    <row r="469" spans="1:24">
      <c r="A469" s="1"/>
      <c r="B469" s="1"/>
      <c r="C469" s="17"/>
      <c r="D469" s="17"/>
      <c r="E469" s="17"/>
      <c r="F469" s="17"/>
      <c r="G469" s="17"/>
      <c r="H469" s="17"/>
      <c r="I469" s="17"/>
      <c r="J469" s="17"/>
      <c r="K469" s="17"/>
      <c r="L469" s="17"/>
      <c r="N469" s="1"/>
      <c r="O469" s="17"/>
      <c r="P469" s="17"/>
      <c r="Q469" s="17"/>
      <c r="R469" s="17"/>
      <c r="S469" s="17"/>
      <c r="T469" s="17"/>
      <c r="U469" s="17"/>
      <c r="V469" s="17"/>
      <c r="W469" s="17"/>
      <c r="X469" s="17"/>
    </row>
    <row r="470" spans="1:24">
      <c r="A470" s="1"/>
      <c r="B470" s="1"/>
      <c r="C470" s="17"/>
      <c r="D470" s="17"/>
      <c r="E470" s="17"/>
      <c r="F470" s="17"/>
      <c r="G470" s="17"/>
      <c r="H470" s="17"/>
      <c r="I470" s="17"/>
      <c r="J470" s="17"/>
      <c r="K470" s="17"/>
      <c r="L470" s="17"/>
      <c r="N470" s="1"/>
      <c r="O470" s="17"/>
      <c r="P470" s="17"/>
      <c r="Q470" s="17"/>
      <c r="R470" s="17"/>
      <c r="S470" s="17"/>
      <c r="T470" s="17"/>
      <c r="U470" s="17"/>
      <c r="V470" s="17"/>
      <c r="W470" s="17"/>
      <c r="X470" s="17"/>
    </row>
    <row r="471" spans="1:24">
      <c r="A471" s="1"/>
      <c r="B471" s="1"/>
      <c r="C471" s="17"/>
      <c r="D471" s="17"/>
      <c r="E471" s="17"/>
      <c r="F471" s="17"/>
      <c r="G471" s="17"/>
      <c r="H471" s="17"/>
      <c r="I471" s="17"/>
      <c r="J471" s="17"/>
      <c r="K471" s="17"/>
      <c r="L471" s="17"/>
      <c r="N471" s="1"/>
      <c r="O471" s="17"/>
      <c r="P471" s="17"/>
      <c r="Q471" s="17"/>
      <c r="R471" s="17"/>
      <c r="S471" s="17"/>
      <c r="T471" s="17"/>
      <c r="U471" s="17"/>
      <c r="V471" s="17"/>
      <c r="W471" s="17"/>
      <c r="X471" s="17"/>
    </row>
    <row r="472" spans="1:24">
      <c r="A472" s="1"/>
      <c r="B472" s="1"/>
      <c r="C472" s="17"/>
      <c r="D472" s="17"/>
      <c r="E472" s="17"/>
      <c r="F472" s="17"/>
      <c r="G472" s="17"/>
      <c r="H472" s="17"/>
      <c r="I472" s="17"/>
      <c r="J472" s="17"/>
      <c r="K472" s="17"/>
      <c r="L472" s="17"/>
      <c r="N472" s="1"/>
      <c r="O472" s="17"/>
      <c r="P472" s="17"/>
      <c r="Q472" s="17"/>
      <c r="R472" s="17"/>
      <c r="S472" s="17"/>
      <c r="T472" s="17"/>
      <c r="U472" s="17"/>
      <c r="V472" s="17"/>
      <c r="W472" s="17"/>
      <c r="X472" s="17"/>
    </row>
    <row r="473" spans="1:24">
      <c r="A473" s="1"/>
      <c r="B473" s="1"/>
      <c r="C473" s="17"/>
      <c r="D473" s="17"/>
      <c r="E473" s="17"/>
      <c r="F473" s="17"/>
      <c r="G473" s="17"/>
      <c r="H473" s="17"/>
      <c r="I473" s="17"/>
      <c r="J473" s="17"/>
      <c r="K473" s="17"/>
      <c r="L473" s="17"/>
      <c r="N473" s="1"/>
      <c r="O473" s="17"/>
      <c r="P473" s="17"/>
      <c r="Q473" s="17"/>
      <c r="R473" s="17"/>
      <c r="S473" s="17"/>
      <c r="T473" s="17"/>
      <c r="U473" s="17"/>
      <c r="V473" s="17"/>
      <c r="W473" s="17"/>
      <c r="X473" s="17"/>
    </row>
    <row r="474" spans="1:24">
      <c r="A474" s="1"/>
      <c r="B474" s="1"/>
      <c r="C474" s="17"/>
      <c r="D474" s="17"/>
      <c r="E474" s="17"/>
      <c r="F474" s="17"/>
      <c r="G474" s="17"/>
      <c r="H474" s="17"/>
      <c r="I474" s="17"/>
      <c r="J474" s="17"/>
      <c r="K474" s="17"/>
      <c r="L474" s="17"/>
      <c r="N474" s="1"/>
      <c r="O474" s="17"/>
      <c r="P474" s="17"/>
      <c r="Q474" s="17"/>
      <c r="R474" s="17"/>
      <c r="S474" s="17"/>
      <c r="T474" s="17"/>
      <c r="U474" s="17"/>
      <c r="V474" s="17"/>
      <c r="W474" s="17"/>
      <c r="X474" s="17"/>
    </row>
    <row r="475" spans="1:24">
      <c r="A475" s="1"/>
      <c r="B475" s="1"/>
      <c r="C475" s="17"/>
      <c r="D475" s="17"/>
      <c r="E475" s="17"/>
      <c r="F475" s="17"/>
      <c r="G475" s="17"/>
      <c r="H475" s="17"/>
      <c r="I475" s="17"/>
      <c r="J475" s="17"/>
      <c r="K475" s="17"/>
      <c r="L475" s="17"/>
      <c r="N475" s="1"/>
      <c r="O475" s="17"/>
      <c r="P475" s="17"/>
      <c r="Q475" s="17"/>
      <c r="R475" s="17"/>
      <c r="S475" s="17"/>
      <c r="T475" s="17"/>
      <c r="U475" s="17"/>
      <c r="V475" s="17"/>
      <c r="W475" s="17"/>
      <c r="X475" s="17"/>
    </row>
    <row r="476" spans="1:24">
      <c r="A476" s="1"/>
      <c r="B476" s="1"/>
      <c r="C476" s="17"/>
      <c r="D476" s="17"/>
      <c r="E476" s="17"/>
      <c r="F476" s="17"/>
      <c r="G476" s="17"/>
      <c r="H476" s="17"/>
      <c r="I476" s="17"/>
      <c r="J476" s="17"/>
      <c r="K476" s="17"/>
      <c r="L476" s="17"/>
      <c r="N476" s="1"/>
      <c r="O476" s="17"/>
      <c r="P476" s="17"/>
      <c r="Q476" s="17"/>
      <c r="R476" s="17"/>
      <c r="S476" s="17"/>
      <c r="T476" s="17"/>
      <c r="U476" s="17"/>
      <c r="V476" s="17"/>
      <c r="W476" s="17"/>
      <c r="X476" s="17"/>
    </row>
    <row r="477" spans="1:24">
      <c r="A477" s="1"/>
      <c r="B477" s="1"/>
      <c r="C477" s="17"/>
      <c r="D477" s="17"/>
      <c r="E477" s="17"/>
      <c r="F477" s="17"/>
      <c r="G477" s="17"/>
      <c r="H477" s="17"/>
      <c r="I477" s="17"/>
      <c r="J477" s="17"/>
      <c r="K477" s="17"/>
      <c r="L477" s="17"/>
      <c r="N477" s="1"/>
      <c r="O477" s="17"/>
      <c r="P477" s="17"/>
      <c r="Q477" s="17"/>
      <c r="R477" s="17"/>
      <c r="S477" s="17"/>
      <c r="T477" s="17"/>
      <c r="U477" s="17"/>
      <c r="V477" s="17"/>
      <c r="W477" s="17"/>
      <c r="X477" s="17"/>
    </row>
    <row r="478" spans="1:24">
      <c r="A478" s="1"/>
      <c r="B478" s="1"/>
      <c r="C478" s="17"/>
      <c r="D478" s="17"/>
      <c r="E478" s="17"/>
      <c r="F478" s="17"/>
      <c r="G478" s="17"/>
      <c r="H478" s="17"/>
      <c r="I478" s="17"/>
      <c r="J478" s="17"/>
      <c r="K478" s="17"/>
      <c r="L478" s="17"/>
      <c r="N478" s="1"/>
      <c r="O478" s="17"/>
      <c r="P478" s="17"/>
      <c r="Q478" s="17"/>
      <c r="R478" s="17"/>
      <c r="S478" s="17"/>
      <c r="T478" s="17"/>
      <c r="U478" s="17"/>
      <c r="V478" s="17"/>
      <c r="W478" s="17"/>
      <c r="X478" s="17"/>
    </row>
    <row r="479" spans="1:24">
      <c r="A479" s="1"/>
      <c r="B479" s="1"/>
      <c r="C479" s="17"/>
      <c r="D479" s="17"/>
      <c r="E479" s="17"/>
      <c r="F479" s="17"/>
      <c r="G479" s="17"/>
      <c r="H479" s="17"/>
      <c r="I479" s="17"/>
      <c r="J479" s="17"/>
      <c r="K479" s="17"/>
      <c r="L479" s="17"/>
      <c r="N479" s="1"/>
      <c r="O479" s="17"/>
      <c r="P479" s="17"/>
      <c r="Q479" s="17"/>
      <c r="R479" s="17"/>
      <c r="S479" s="17"/>
      <c r="T479" s="17"/>
      <c r="U479" s="17"/>
      <c r="V479" s="17"/>
      <c r="W479" s="17"/>
      <c r="X479" s="17"/>
    </row>
    <row r="480" spans="1:24">
      <c r="A480" s="1"/>
      <c r="B480" s="1"/>
      <c r="C480" s="17"/>
      <c r="D480" s="17"/>
      <c r="E480" s="17"/>
      <c r="F480" s="17"/>
      <c r="G480" s="17"/>
      <c r="H480" s="17"/>
      <c r="I480" s="17"/>
      <c r="J480" s="17"/>
      <c r="K480" s="17"/>
      <c r="L480" s="17"/>
      <c r="N480" s="1"/>
      <c r="O480" s="17"/>
      <c r="P480" s="17"/>
      <c r="Q480" s="17"/>
      <c r="R480" s="17"/>
      <c r="S480" s="17"/>
      <c r="T480" s="17"/>
      <c r="U480" s="17"/>
      <c r="V480" s="17"/>
      <c r="W480" s="17"/>
      <c r="X480" s="17"/>
    </row>
    <row r="481" spans="1:24">
      <c r="A481" s="1"/>
      <c r="B481" s="1"/>
      <c r="C481" s="17"/>
      <c r="D481" s="17"/>
      <c r="E481" s="17"/>
      <c r="F481" s="17"/>
      <c r="G481" s="17"/>
      <c r="H481" s="17"/>
      <c r="I481" s="17"/>
      <c r="J481" s="17"/>
      <c r="K481" s="17"/>
      <c r="L481" s="17"/>
      <c r="N481" s="1"/>
      <c r="O481" s="17"/>
      <c r="P481" s="17"/>
      <c r="Q481" s="17"/>
      <c r="R481" s="17"/>
      <c r="S481" s="17"/>
      <c r="T481" s="17"/>
      <c r="U481" s="17"/>
      <c r="V481" s="17"/>
      <c r="W481" s="17"/>
      <c r="X481" s="17"/>
    </row>
    <row r="482" spans="1:24">
      <c r="A482" s="1"/>
      <c r="B482" s="1"/>
      <c r="C482" s="17"/>
      <c r="D482" s="17"/>
      <c r="E482" s="17"/>
      <c r="F482" s="17"/>
      <c r="G482" s="17"/>
      <c r="H482" s="17"/>
      <c r="I482" s="17"/>
      <c r="J482" s="17"/>
      <c r="K482" s="17"/>
      <c r="L482" s="17"/>
      <c r="N482" s="1"/>
      <c r="O482" s="17"/>
      <c r="P482" s="17"/>
      <c r="Q482" s="17"/>
      <c r="R482" s="17"/>
      <c r="S482" s="17"/>
      <c r="T482" s="17"/>
      <c r="U482" s="17"/>
      <c r="V482" s="17"/>
      <c r="W482" s="17"/>
      <c r="X482" s="17"/>
    </row>
    <row r="483" spans="1:24">
      <c r="A483" s="1"/>
      <c r="B483" s="1"/>
      <c r="C483" s="17"/>
      <c r="D483" s="17"/>
      <c r="E483" s="17"/>
      <c r="F483" s="17"/>
      <c r="G483" s="17"/>
      <c r="H483" s="17"/>
      <c r="I483" s="17"/>
      <c r="J483" s="17"/>
      <c r="K483" s="17"/>
      <c r="L483" s="17"/>
      <c r="N483" s="1"/>
      <c r="O483" s="17"/>
      <c r="P483" s="17"/>
      <c r="Q483" s="17"/>
      <c r="R483" s="17"/>
      <c r="S483" s="17"/>
      <c r="T483" s="17"/>
      <c r="U483" s="17"/>
      <c r="V483" s="17"/>
      <c r="W483" s="17"/>
      <c r="X483" s="17"/>
    </row>
    <row r="484" spans="1:24">
      <c r="A484" s="1"/>
      <c r="B484" s="1"/>
      <c r="C484" s="17"/>
      <c r="D484" s="17"/>
      <c r="E484" s="17"/>
      <c r="F484" s="17"/>
      <c r="G484" s="17"/>
      <c r="H484" s="17"/>
      <c r="I484" s="17"/>
      <c r="J484" s="17"/>
      <c r="K484" s="17"/>
      <c r="L484" s="17"/>
      <c r="N484" s="1"/>
      <c r="O484" s="17"/>
      <c r="P484" s="17"/>
      <c r="Q484" s="17"/>
      <c r="R484" s="17"/>
      <c r="S484" s="17"/>
      <c r="T484" s="17"/>
      <c r="U484" s="17"/>
      <c r="V484" s="17"/>
      <c r="W484" s="17"/>
      <c r="X484" s="17"/>
    </row>
    <row r="485" spans="1:24">
      <c r="A485" s="1"/>
      <c r="B485" s="1"/>
      <c r="C485" s="17"/>
      <c r="D485" s="17"/>
      <c r="E485" s="17"/>
      <c r="F485" s="17"/>
      <c r="G485" s="17"/>
      <c r="H485" s="17"/>
      <c r="I485" s="17"/>
      <c r="J485" s="17"/>
      <c r="K485" s="17"/>
      <c r="L485" s="17"/>
      <c r="N485" s="1"/>
      <c r="O485" s="17"/>
      <c r="P485" s="17"/>
      <c r="Q485" s="17"/>
      <c r="R485" s="17"/>
      <c r="S485" s="17"/>
      <c r="T485" s="17"/>
      <c r="U485" s="17"/>
      <c r="V485" s="17"/>
      <c r="W485" s="17"/>
      <c r="X485" s="17"/>
    </row>
    <row r="486" spans="1:24">
      <c r="A486" s="1"/>
      <c r="B486" s="1"/>
      <c r="C486" s="17"/>
      <c r="D486" s="17"/>
      <c r="E486" s="17"/>
      <c r="F486" s="17"/>
      <c r="G486" s="17"/>
      <c r="H486" s="17"/>
      <c r="I486" s="17"/>
      <c r="J486" s="17"/>
      <c r="K486" s="17"/>
      <c r="L486" s="17"/>
      <c r="N486" s="1"/>
      <c r="O486" s="17"/>
      <c r="P486" s="17"/>
      <c r="Q486" s="17"/>
      <c r="R486" s="17"/>
      <c r="S486" s="17"/>
      <c r="T486" s="17"/>
      <c r="U486" s="17"/>
      <c r="V486" s="17"/>
      <c r="W486" s="17"/>
      <c r="X486" s="17"/>
    </row>
    <row r="487" spans="1:24">
      <c r="A487" s="1"/>
      <c r="B487" s="1"/>
      <c r="C487" s="17"/>
      <c r="D487" s="17"/>
      <c r="E487" s="17"/>
      <c r="F487" s="17"/>
      <c r="G487" s="17"/>
      <c r="H487" s="17"/>
      <c r="I487" s="17"/>
      <c r="J487" s="17"/>
      <c r="K487" s="17"/>
      <c r="L487" s="17"/>
      <c r="N487" s="1"/>
      <c r="O487" s="17"/>
      <c r="P487" s="17"/>
      <c r="Q487" s="17"/>
      <c r="R487" s="17"/>
      <c r="S487" s="17"/>
      <c r="T487" s="17"/>
      <c r="U487" s="17"/>
      <c r="V487" s="17"/>
      <c r="W487" s="17"/>
      <c r="X487" s="17"/>
    </row>
    <row r="488" spans="1:24">
      <c r="A488" s="1"/>
      <c r="B488" s="1"/>
      <c r="C488" s="17"/>
      <c r="D488" s="17"/>
      <c r="E488" s="17"/>
      <c r="F488" s="17"/>
      <c r="G488" s="17"/>
      <c r="H488" s="17"/>
      <c r="I488" s="17"/>
      <c r="J488" s="17"/>
      <c r="K488" s="17"/>
      <c r="L488" s="17"/>
      <c r="N488" s="1"/>
      <c r="O488" s="17"/>
      <c r="P488" s="17"/>
      <c r="Q488" s="17"/>
      <c r="R488" s="17"/>
      <c r="S488" s="17"/>
      <c r="T488" s="17"/>
      <c r="U488" s="17"/>
      <c r="V488" s="17"/>
      <c r="W488" s="17"/>
      <c r="X488" s="17"/>
    </row>
    <row r="489" spans="1:24">
      <c r="A489" s="1"/>
      <c r="B489" s="1"/>
      <c r="C489" s="17"/>
      <c r="D489" s="17"/>
      <c r="E489" s="17"/>
      <c r="F489" s="17"/>
      <c r="G489" s="17"/>
      <c r="H489" s="17"/>
      <c r="I489" s="17"/>
      <c r="J489" s="17"/>
      <c r="K489" s="17"/>
      <c r="L489" s="17"/>
      <c r="N489" s="1"/>
      <c r="O489" s="17"/>
      <c r="P489" s="17"/>
      <c r="Q489" s="17"/>
      <c r="R489" s="17"/>
      <c r="S489" s="17"/>
      <c r="T489" s="17"/>
      <c r="U489" s="17"/>
      <c r="V489" s="17"/>
      <c r="W489" s="17"/>
      <c r="X489" s="17"/>
    </row>
    <row r="490" spans="1:24">
      <c r="A490" s="1"/>
      <c r="B490" s="1"/>
      <c r="C490" s="17"/>
      <c r="D490" s="17"/>
      <c r="E490" s="17"/>
      <c r="F490" s="17"/>
      <c r="G490" s="17"/>
      <c r="H490" s="17"/>
      <c r="I490" s="17"/>
      <c r="J490" s="17"/>
      <c r="K490" s="17"/>
      <c r="L490" s="17"/>
      <c r="N490" s="1"/>
      <c r="O490" s="17"/>
      <c r="P490" s="17"/>
      <c r="Q490" s="17"/>
      <c r="R490" s="17"/>
      <c r="S490" s="17"/>
      <c r="T490" s="17"/>
      <c r="U490" s="17"/>
      <c r="V490" s="17"/>
      <c r="W490" s="17"/>
      <c r="X490" s="17"/>
    </row>
    <row r="491" spans="1:24">
      <c r="A491" s="1"/>
      <c r="B491" s="1"/>
      <c r="C491" s="17"/>
      <c r="D491" s="17"/>
      <c r="E491" s="17"/>
      <c r="F491" s="17"/>
      <c r="G491" s="17"/>
      <c r="H491" s="17"/>
      <c r="I491" s="17"/>
      <c r="J491" s="17"/>
      <c r="K491" s="17"/>
      <c r="L491" s="17"/>
      <c r="N491" s="1"/>
      <c r="O491" s="17"/>
      <c r="P491" s="17"/>
      <c r="Q491" s="17"/>
      <c r="R491" s="17"/>
      <c r="S491" s="17"/>
      <c r="T491" s="17"/>
      <c r="U491" s="17"/>
      <c r="V491" s="17"/>
      <c r="W491" s="17"/>
      <c r="X491" s="17"/>
    </row>
    <row r="492" spans="1:24">
      <c r="A492" s="1"/>
      <c r="B492" s="1"/>
      <c r="C492" s="17"/>
      <c r="D492" s="17"/>
      <c r="E492" s="17"/>
      <c r="F492" s="17"/>
      <c r="G492" s="17"/>
      <c r="H492" s="17"/>
      <c r="I492" s="17"/>
      <c r="J492" s="17"/>
      <c r="K492" s="17"/>
      <c r="L492" s="17"/>
      <c r="N492" s="1"/>
      <c r="O492" s="17"/>
      <c r="P492" s="17"/>
      <c r="Q492" s="17"/>
      <c r="R492" s="17"/>
      <c r="S492" s="17"/>
      <c r="T492" s="17"/>
      <c r="U492" s="17"/>
      <c r="V492" s="17"/>
      <c r="W492" s="17"/>
      <c r="X492" s="17"/>
    </row>
    <row r="493" spans="1:24">
      <c r="A493" s="1"/>
      <c r="B493" s="1"/>
      <c r="C493" s="17"/>
      <c r="D493" s="17"/>
      <c r="E493" s="17"/>
      <c r="F493" s="17"/>
      <c r="G493" s="17"/>
      <c r="H493" s="17"/>
      <c r="I493" s="17"/>
      <c r="J493" s="17"/>
      <c r="K493" s="17"/>
      <c r="L493" s="17"/>
      <c r="N493" s="1"/>
      <c r="O493" s="17"/>
      <c r="P493" s="17"/>
      <c r="Q493" s="17"/>
      <c r="R493" s="17"/>
      <c r="S493" s="17"/>
      <c r="T493" s="17"/>
      <c r="U493" s="17"/>
      <c r="V493" s="17"/>
      <c r="W493" s="17"/>
      <c r="X493" s="17"/>
    </row>
    <row r="494" spans="1:24">
      <c r="A494" s="1"/>
      <c r="B494" s="1"/>
      <c r="C494" s="17"/>
      <c r="D494" s="17"/>
      <c r="E494" s="17"/>
      <c r="F494" s="17"/>
      <c r="G494" s="17"/>
      <c r="H494" s="17"/>
      <c r="I494" s="17"/>
      <c r="J494" s="17"/>
      <c r="K494" s="17"/>
      <c r="L494" s="17"/>
      <c r="N494" s="1"/>
      <c r="O494" s="17"/>
      <c r="P494" s="17"/>
      <c r="Q494" s="17"/>
      <c r="R494" s="17"/>
      <c r="S494" s="17"/>
      <c r="T494" s="17"/>
      <c r="U494" s="17"/>
      <c r="V494" s="17"/>
      <c r="W494" s="17"/>
      <c r="X494" s="17"/>
    </row>
    <row r="495" spans="1:24">
      <c r="A495" s="1"/>
      <c r="B495" s="1"/>
      <c r="C495" s="17"/>
      <c r="D495" s="17"/>
      <c r="E495" s="17"/>
      <c r="F495" s="17"/>
      <c r="G495" s="17"/>
      <c r="H495" s="17"/>
      <c r="I495" s="17"/>
      <c r="J495" s="17"/>
      <c r="K495" s="17"/>
      <c r="L495" s="17"/>
      <c r="N495" s="1"/>
      <c r="O495" s="17"/>
      <c r="P495" s="17"/>
      <c r="Q495" s="17"/>
      <c r="R495" s="17"/>
      <c r="S495" s="17"/>
      <c r="T495" s="17"/>
      <c r="U495" s="17"/>
      <c r="V495" s="17"/>
      <c r="W495" s="17"/>
      <c r="X495" s="17"/>
    </row>
    <row r="496" spans="1:24">
      <c r="A496" s="1"/>
      <c r="B496" s="1"/>
      <c r="C496" s="17"/>
      <c r="D496" s="17"/>
      <c r="E496" s="17"/>
      <c r="F496" s="17"/>
      <c r="G496" s="17"/>
      <c r="H496" s="17"/>
      <c r="I496" s="17"/>
      <c r="J496" s="17"/>
      <c r="K496" s="17"/>
      <c r="L496" s="17"/>
      <c r="N496" s="1"/>
      <c r="O496" s="17"/>
      <c r="P496" s="17"/>
      <c r="Q496" s="17"/>
      <c r="R496" s="17"/>
      <c r="S496" s="17"/>
      <c r="T496" s="17"/>
      <c r="U496" s="17"/>
      <c r="V496" s="17"/>
      <c r="W496" s="17"/>
      <c r="X496" s="17"/>
    </row>
    <row r="497" spans="1:24">
      <c r="A497" s="1"/>
      <c r="B497" s="1"/>
      <c r="C497" s="17"/>
      <c r="D497" s="17"/>
      <c r="E497" s="17"/>
      <c r="F497" s="17"/>
      <c r="G497" s="17"/>
      <c r="H497" s="17"/>
      <c r="I497" s="17"/>
      <c r="J497" s="17"/>
      <c r="K497" s="17"/>
      <c r="L497" s="17"/>
      <c r="N497" s="1"/>
      <c r="O497" s="17"/>
      <c r="P497" s="17"/>
      <c r="Q497" s="17"/>
      <c r="R497" s="17"/>
      <c r="S497" s="17"/>
      <c r="T497" s="17"/>
      <c r="U497" s="17"/>
      <c r="V497" s="17"/>
      <c r="W497" s="17"/>
      <c r="X497" s="17"/>
    </row>
    <row r="498" spans="1:24">
      <c r="A498" s="1"/>
      <c r="B498" s="1"/>
      <c r="C498" s="17"/>
      <c r="D498" s="17"/>
      <c r="E498" s="17"/>
      <c r="F498" s="17"/>
      <c r="G498" s="17"/>
      <c r="H498" s="17"/>
      <c r="I498" s="17"/>
      <c r="J498" s="17"/>
      <c r="K498" s="17"/>
      <c r="L498" s="17"/>
      <c r="N498" s="1"/>
      <c r="O498" s="17"/>
      <c r="P498" s="17"/>
      <c r="Q498" s="17"/>
      <c r="R498" s="17"/>
      <c r="S498" s="17"/>
      <c r="T498" s="17"/>
      <c r="U498" s="17"/>
      <c r="V498" s="17"/>
      <c r="W498" s="17"/>
      <c r="X498" s="17"/>
    </row>
    <row r="499" spans="1:24">
      <c r="A499" s="1"/>
      <c r="B499" s="1"/>
      <c r="C499" s="17"/>
      <c r="D499" s="17"/>
      <c r="E499" s="17"/>
      <c r="F499" s="17"/>
      <c r="G499" s="17"/>
      <c r="H499" s="17"/>
      <c r="I499" s="17"/>
      <c r="J499" s="17"/>
      <c r="K499" s="17"/>
      <c r="L499" s="17"/>
      <c r="N499" s="1"/>
      <c r="O499" s="17"/>
      <c r="P499" s="17"/>
      <c r="Q499" s="17"/>
      <c r="R499" s="17"/>
      <c r="S499" s="17"/>
      <c r="T499" s="17"/>
      <c r="U499" s="17"/>
      <c r="V499" s="17"/>
      <c r="W499" s="17"/>
      <c r="X499" s="17"/>
    </row>
    <row r="500" spans="1:24">
      <c r="A500" s="1"/>
      <c r="B500" s="1"/>
      <c r="C500" s="17"/>
      <c r="D500" s="17"/>
      <c r="E500" s="17"/>
      <c r="F500" s="17"/>
      <c r="G500" s="17"/>
      <c r="H500" s="17"/>
      <c r="I500" s="17"/>
      <c r="J500" s="17"/>
      <c r="K500" s="17"/>
      <c r="L500" s="17"/>
      <c r="N500" s="1"/>
      <c r="O500" s="17"/>
      <c r="P500" s="17"/>
      <c r="Q500" s="17"/>
      <c r="R500" s="17"/>
      <c r="S500" s="17"/>
      <c r="T500" s="17"/>
      <c r="U500" s="17"/>
      <c r="V500" s="17"/>
      <c r="W500" s="17"/>
      <c r="X500" s="17"/>
    </row>
    <row r="501" spans="1:24">
      <c r="A501" s="1"/>
      <c r="B501" s="1"/>
      <c r="C501" s="17"/>
      <c r="D501" s="17"/>
      <c r="E501" s="17"/>
      <c r="F501" s="17"/>
      <c r="G501" s="17"/>
      <c r="H501" s="17"/>
      <c r="I501" s="17"/>
      <c r="J501" s="17"/>
      <c r="K501" s="17"/>
      <c r="L501" s="17"/>
      <c r="N501" s="1"/>
      <c r="O501" s="17"/>
      <c r="P501" s="17"/>
      <c r="Q501" s="17"/>
      <c r="R501" s="17"/>
      <c r="S501" s="17"/>
      <c r="T501" s="17"/>
      <c r="U501" s="17"/>
      <c r="V501" s="17"/>
      <c r="W501" s="17"/>
      <c r="X501" s="17"/>
    </row>
    <row r="502" spans="1:24">
      <c r="A502" s="1"/>
      <c r="B502" s="1"/>
      <c r="C502" s="17"/>
      <c r="D502" s="17"/>
      <c r="E502" s="17"/>
      <c r="F502" s="17"/>
      <c r="G502" s="17"/>
      <c r="H502" s="17"/>
      <c r="I502" s="17"/>
      <c r="J502" s="17"/>
      <c r="K502" s="17"/>
      <c r="L502" s="17"/>
      <c r="N502" s="1"/>
      <c r="O502" s="17"/>
      <c r="P502" s="17"/>
      <c r="Q502" s="17"/>
      <c r="R502" s="17"/>
      <c r="S502" s="17"/>
      <c r="T502" s="17"/>
      <c r="U502" s="17"/>
      <c r="V502" s="17"/>
      <c r="W502" s="17"/>
      <c r="X502" s="17"/>
    </row>
    <row r="503" spans="1:24">
      <c r="A503" s="1"/>
      <c r="B503" s="1"/>
      <c r="C503" s="17"/>
      <c r="D503" s="17"/>
      <c r="E503" s="17"/>
      <c r="F503" s="17"/>
      <c r="G503" s="17"/>
      <c r="H503" s="17"/>
      <c r="I503" s="17"/>
      <c r="J503" s="17"/>
      <c r="K503" s="17"/>
      <c r="L503" s="17"/>
      <c r="N503" s="1"/>
      <c r="O503" s="17"/>
      <c r="P503" s="17"/>
      <c r="Q503" s="17"/>
      <c r="R503" s="17"/>
      <c r="S503" s="17"/>
      <c r="T503" s="17"/>
      <c r="U503" s="17"/>
      <c r="V503" s="17"/>
      <c r="W503" s="17"/>
      <c r="X503" s="17"/>
    </row>
    <row r="504" spans="1:24">
      <c r="A504" s="1"/>
      <c r="B504" s="1"/>
      <c r="C504" s="17"/>
      <c r="D504" s="17"/>
      <c r="E504" s="17"/>
      <c r="F504" s="17"/>
      <c r="G504" s="17"/>
      <c r="H504" s="17"/>
      <c r="I504" s="17"/>
      <c r="J504" s="17"/>
      <c r="K504" s="17"/>
      <c r="L504" s="17"/>
      <c r="N504" s="1"/>
      <c r="O504" s="17"/>
      <c r="P504" s="17"/>
      <c r="Q504" s="17"/>
      <c r="R504" s="17"/>
      <c r="S504" s="17"/>
      <c r="T504" s="17"/>
      <c r="U504" s="17"/>
      <c r="V504" s="17"/>
      <c r="W504" s="17"/>
      <c r="X504" s="17"/>
    </row>
    <row r="505" spans="1:24">
      <c r="A505" s="1"/>
      <c r="B505" s="1"/>
      <c r="C505" s="17"/>
      <c r="D505" s="17"/>
      <c r="E505" s="17"/>
      <c r="F505" s="17"/>
      <c r="G505" s="17"/>
      <c r="H505" s="17"/>
      <c r="I505" s="17"/>
      <c r="J505" s="17"/>
      <c r="K505" s="17"/>
      <c r="L505" s="17"/>
      <c r="N505" s="1"/>
      <c r="O505" s="17"/>
      <c r="P505" s="17"/>
      <c r="Q505" s="17"/>
      <c r="R505" s="17"/>
      <c r="S505" s="17"/>
      <c r="T505" s="17"/>
      <c r="U505" s="17"/>
      <c r="V505" s="17"/>
      <c r="W505" s="17"/>
      <c r="X505" s="17"/>
    </row>
    <row r="506" spans="1:24">
      <c r="A506" s="1"/>
      <c r="B506" s="1"/>
      <c r="C506" s="17"/>
      <c r="D506" s="17"/>
      <c r="E506" s="17"/>
      <c r="F506" s="17"/>
      <c r="G506" s="17"/>
      <c r="H506" s="17"/>
      <c r="I506" s="17"/>
      <c r="J506" s="17"/>
      <c r="K506" s="17"/>
      <c r="L506" s="17"/>
      <c r="N506" s="1"/>
      <c r="O506" s="17"/>
      <c r="P506" s="17"/>
      <c r="Q506" s="17"/>
      <c r="R506" s="17"/>
      <c r="S506" s="17"/>
      <c r="T506" s="17"/>
      <c r="U506" s="17"/>
      <c r="V506" s="17"/>
      <c r="W506" s="17"/>
      <c r="X506" s="17"/>
    </row>
    <row r="507" spans="1:24">
      <c r="A507" s="1"/>
      <c r="B507" s="1"/>
      <c r="C507" s="17"/>
      <c r="D507" s="17"/>
      <c r="E507" s="17"/>
      <c r="F507" s="17"/>
      <c r="G507" s="17"/>
      <c r="H507" s="17"/>
      <c r="I507" s="17"/>
      <c r="J507" s="17"/>
      <c r="K507" s="17"/>
      <c r="L507" s="17"/>
      <c r="N507" s="1"/>
      <c r="O507" s="17"/>
      <c r="P507" s="17"/>
      <c r="Q507" s="17"/>
      <c r="R507" s="17"/>
      <c r="S507" s="17"/>
      <c r="T507" s="17"/>
      <c r="U507" s="17"/>
      <c r="V507" s="17"/>
      <c r="W507" s="17"/>
      <c r="X507" s="17"/>
    </row>
    <row r="508" spans="1:24">
      <c r="A508" s="1"/>
      <c r="B508" s="1"/>
      <c r="C508" s="17"/>
      <c r="D508" s="17"/>
      <c r="E508" s="17"/>
      <c r="F508" s="17"/>
      <c r="G508" s="17"/>
      <c r="H508" s="17"/>
      <c r="I508" s="17"/>
      <c r="J508" s="17"/>
      <c r="K508" s="17"/>
      <c r="L508" s="17"/>
      <c r="N508" s="1"/>
      <c r="O508" s="17"/>
      <c r="P508" s="17"/>
      <c r="Q508" s="17"/>
      <c r="R508" s="17"/>
      <c r="S508" s="17"/>
      <c r="T508" s="17"/>
      <c r="U508" s="17"/>
      <c r="V508" s="17"/>
      <c r="W508" s="17"/>
      <c r="X508" s="17"/>
    </row>
    <row r="509" spans="1:24">
      <c r="A509" s="1"/>
      <c r="B509" s="1"/>
      <c r="C509" s="17"/>
      <c r="D509" s="17"/>
      <c r="E509" s="17"/>
      <c r="F509" s="17"/>
      <c r="G509" s="17"/>
      <c r="H509" s="17"/>
      <c r="I509" s="17"/>
      <c r="J509" s="17"/>
      <c r="K509" s="17"/>
      <c r="L509" s="17"/>
      <c r="N509" s="1"/>
      <c r="O509" s="17"/>
      <c r="P509" s="17"/>
      <c r="Q509" s="17"/>
      <c r="R509" s="17"/>
      <c r="S509" s="17"/>
      <c r="T509" s="17"/>
      <c r="U509" s="17"/>
      <c r="V509" s="17"/>
      <c r="W509" s="17"/>
      <c r="X509" s="17"/>
    </row>
    <row r="510" spans="1:24">
      <c r="A510" s="1"/>
      <c r="B510" s="1"/>
      <c r="C510" s="17"/>
      <c r="D510" s="17"/>
      <c r="E510" s="17"/>
      <c r="F510" s="17"/>
      <c r="G510" s="17"/>
      <c r="H510" s="17"/>
      <c r="I510" s="17"/>
      <c r="J510" s="17"/>
      <c r="K510" s="17"/>
      <c r="L510" s="17"/>
      <c r="N510" s="1"/>
      <c r="O510" s="17"/>
      <c r="P510" s="17"/>
      <c r="Q510" s="17"/>
      <c r="R510" s="17"/>
      <c r="S510" s="17"/>
      <c r="T510" s="17"/>
      <c r="U510" s="17"/>
      <c r="V510" s="17"/>
      <c r="W510" s="17"/>
      <c r="X510" s="17"/>
    </row>
    <row r="511" spans="1:24">
      <c r="A511" s="1"/>
      <c r="B511" s="1"/>
      <c r="C511" s="17"/>
      <c r="D511" s="17"/>
      <c r="E511" s="17"/>
      <c r="F511" s="17"/>
      <c r="G511" s="17"/>
      <c r="H511" s="17"/>
      <c r="I511" s="17"/>
      <c r="J511" s="17"/>
      <c r="K511" s="17"/>
      <c r="L511" s="17"/>
      <c r="N511" s="1"/>
      <c r="O511" s="17"/>
      <c r="P511" s="17"/>
      <c r="Q511" s="17"/>
      <c r="R511" s="17"/>
      <c r="S511" s="17"/>
      <c r="T511" s="17"/>
      <c r="U511" s="17"/>
      <c r="V511" s="17"/>
      <c r="W511" s="17"/>
      <c r="X511" s="17"/>
    </row>
    <row r="512" spans="1:24">
      <c r="A512" s="1"/>
      <c r="B512" s="1"/>
      <c r="C512" s="17"/>
      <c r="D512" s="17"/>
      <c r="E512" s="17"/>
      <c r="F512" s="17"/>
      <c r="G512" s="17"/>
      <c r="H512" s="17"/>
      <c r="I512" s="17"/>
      <c r="J512" s="17"/>
      <c r="K512" s="17"/>
      <c r="L512" s="17"/>
      <c r="N512" s="1"/>
      <c r="O512" s="17"/>
      <c r="P512" s="17"/>
      <c r="Q512" s="17"/>
      <c r="R512" s="17"/>
      <c r="S512" s="17"/>
      <c r="T512" s="17"/>
      <c r="U512" s="17"/>
      <c r="V512" s="17"/>
      <c r="W512" s="17"/>
      <c r="X512" s="17"/>
    </row>
    <row r="513" spans="1:24">
      <c r="A513" s="1"/>
      <c r="B513" s="1"/>
      <c r="C513" s="17"/>
      <c r="D513" s="17"/>
      <c r="E513" s="17"/>
      <c r="F513" s="17"/>
      <c r="G513" s="17"/>
      <c r="H513" s="17"/>
      <c r="I513" s="17"/>
      <c r="J513" s="17"/>
      <c r="K513" s="17"/>
      <c r="L513" s="17"/>
      <c r="N513" s="1"/>
      <c r="O513" s="17"/>
      <c r="P513" s="17"/>
      <c r="Q513" s="17"/>
      <c r="R513" s="17"/>
      <c r="S513" s="17"/>
      <c r="T513" s="17"/>
      <c r="U513" s="17"/>
      <c r="V513" s="17"/>
      <c r="W513" s="17"/>
      <c r="X513" s="17"/>
    </row>
    <row r="514" spans="1:24">
      <c r="A514" s="1"/>
      <c r="B514" s="1"/>
      <c r="C514" s="17"/>
      <c r="D514" s="17"/>
      <c r="E514" s="17"/>
      <c r="F514" s="17"/>
      <c r="G514" s="17"/>
      <c r="H514" s="17"/>
      <c r="I514" s="17"/>
      <c r="J514" s="17"/>
      <c r="K514" s="17"/>
      <c r="L514" s="17"/>
      <c r="N514" s="1"/>
      <c r="O514" s="17"/>
      <c r="P514" s="17"/>
      <c r="Q514" s="17"/>
      <c r="R514" s="17"/>
      <c r="S514" s="17"/>
      <c r="T514" s="17"/>
      <c r="U514" s="17"/>
      <c r="V514" s="17"/>
      <c r="W514" s="17"/>
      <c r="X514" s="17"/>
    </row>
    <row r="515" spans="1:24">
      <c r="A515" s="1"/>
      <c r="B515" s="1"/>
      <c r="C515" s="17"/>
      <c r="D515" s="17"/>
      <c r="E515" s="17"/>
      <c r="F515" s="17"/>
      <c r="G515" s="17"/>
      <c r="H515" s="17"/>
      <c r="I515" s="17"/>
      <c r="J515" s="17"/>
      <c r="K515" s="17"/>
      <c r="L515" s="17"/>
      <c r="N515" s="1"/>
      <c r="O515" s="17"/>
      <c r="P515" s="17"/>
      <c r="Q515" s="17"/>
      <c r="R515" s="17"/>
      <c r="S515" s="17"/>
      <c r="T515" s="17"/>
      <c r="U515" s="17"/>
      <c r="V515" s="17"/>
      <c r="W515" s="17"/>
      <c r="X515" s="17"/>
    </row>
    <row r="516" spans="1:24">
      <c r="A516" s="1"/>
      <c r="B516" s="1"/>
      <c r="C516" s="17"/>
      <c r="D516" s="17"/>
      <c r="E516" s="17"/>
      <c r="F516" s="17"/>
      <c r="G516" s="17"/>
      <c r="H516" s="17"/>
      <c r="I516" s="17"/>
      <c r="J516" s="17"/>
      <c r="K516" s="17"/>
      <c r="L516" s="17"/>
      <c r="N516" s="1"/>
      <c r="O516" s="17"/>
      <c r="P516" s="17"/>
      <c r="Q516" s="17"/>
      <c r="R516" s="17"/>
      <c r="S516" s="17"/>
      <c r="T516" s="17"/>
      <c r="U516" s="17"/>
      <c r="V516" s="17"/>
      <c r="W516" s="17"/>
      <c r="X516" s="17"/>
    </row>
    <row r="517" spans="1:24">
      <c r="A517" s="1"/>
      <c r="B517" s="1"/>
      <c r="C517" s="17"/>
      <c r="D517" s="17"/>
      <c r="E517" s="17"/>
      <c r="F517" s="17"/>
      <c r="G517" s="17"/>
      <c r="H517" s="17"/>
      <c r="I517" s="17"/>
      <c r="J517" s="17"/>
      <c r="K517" s="17"/>
      <c r="L517" s="17"/>
      <c r="N517" s="1"/>
      <c r="O517" s="17"/>
      <c r="P517" s="17"/>
      <c r="Q517" s="17"/>
      <c r="R517" s="17"/>
      <c r="S517" s="17"/>
      <c r="T517" s="17"/>
      <c r="U517" s="17"/>
      <c r="V517" s="17"/>
      <c r="W517" s="17"/>
      <c r="X517" s="17"/>
    </row>
    <row r="518" spans="1:24">
      <c r="A518" s="1"/>
      <c r="B518" s="1"/>
      <c r="C518" s="17"/>
      <c r="D518" s="17"/>
      <c r="E518" s="17"/>
      <c r="F518" s="17"/>
      <c r="G518" s="17"/>
      <c r="H518" s="17"/>
      <c r="I518" s="17"/>
      <c r="J518" s="17"/>
      <c r="K518" s="17"/>
      <c r="L518" s="17"/>
      <c r="N518" s="1"/>
      <c r="O518" s="17"/>
      <c r="P518" s="17"/>
      <c r="Q518" s="17"/>
      <c r="R518" s="17"/>
      <c r="S518" s="17"/>
      <c r="T518" s="17"/>
      <c r="U518" s="17"/>
      <c r="V518" s="17"/>
      <c r="W518" s="17"/>
      <c r="X518" s="17"/>
    </row>
    <row r="519" spans="1:24">
      <c r="A519" s="1"/>
      <c r="B519" s="1"/>
      <c r="C519" s="17"/>
      <c r="D519" s="17"/>
      <c r="E519" s="17"/>
      <c r="F519" s="17"/>
      <c r="G519" s="17"/>
      <c r="H519" s="17"/>
      <c r="I519" s="17"/>
      <c r="J519" s="17"/>
      <c r="K519" s="17"/>
      <c r="L519" s="17"/>
      <c r="N519" s="1"/>
      <c r="O519" s="17"/>
      <c r="P519" s="17"/>
      <c r="Q519" s="17"/>
      <c r="R519" s="17"/>
      <c r="S519" s="17"/>
      <c r="T519" s="17"/>
      <c r="U519" s="17"/>
      <c r="V519" s="17"/>
      <c r="W519" s="17"/>
      <c r="X519" s="17"/>
    </row>
    <row r="520" spans="1:24">
      <c r="A520" s="1"/>
      <c r="B520" s="1"/>
      <c r="C520" s="17"/>
      <c r="D520" s="17"/>
      <c r="E520" s="17"/>
      <c r="F520" s="17"/>
      <c r="G520" s="17"/>
      <c r="H520" s="17"/>
      <c r="I520" s="17"/>
      <c r="J520" s="17"/>
      <c r="K520" s="17"/>
      <c r="L520" s="17"/>
      <c r="N520" s="1"/>
      <c r="O520" s="17"/>
      <c r="P520" s="17"/>
      <c r="Q520" s="17"/>
      <c r="R520" s="17"/>
      <c r="S520" s="17"/>
      <c r="T520" s="17"/>
      <c r="U520" s="17"/>
      <c r="V520" s="17"/>
      <c r="W520" s="17"/>
      <c r="X520" s="17"/>
    </row>
    <row r="521" spans="1:24">
      <c r="A521" s="1"/>
      <c r="B521" s="1"/>
      <c r="C521" s="17"/>
      <c r="D521" s="17"/>
      <c r="E521" s="17"/>
      <c r="F521" s="17"/>
      <c r="G521" s="17"/>
      <c r="H521" s="17"/>
      <c r="I521" s="17"/>
      <c r="J521" s="17"/>
      <c r="K521" s="17"/>
      <c r="L521" s="17"/>
      <c r="N521" s="1"/>
      <c r="O521" s="17"/>
      <c r="P521" s="17"/>
      <c r="Q521" s="17"/>
      <c r="R521" s="17"/>
      <c r="S521" s="17"/>
      <c r="T521" s="17"/>
      <c r="U521" s="17"/>
      <c r="V521" s="17"/>
      <c r="W521" s="17"/>
      <c r="X521" s="17"/>
    </row>
    <row r="522" spans="1:24">
      <c r="A522" s="1"/>
      <c r="B522" s="1"/>
      <c r="C522" s="17"/>
      <c r="D522" s="17"/>
      <c r="E522" s="17"/>
      <c r="F522" s="17"/>
      <c r="G522" s="17"/>
      <c r="H522" s="17"/>
      <c r="I522" s="17"/>
      <c r="J522" s="17"/>
      <c r="K522" s="17"/>
      <c r="L522" s="17"/>
      <c r="N522" s="1"/>
      <c r="O522" s="17"/>
      <c r="P522" s="17"/>
      <c r="Q522" s="17"/>
      <c r="R522" s="17"/>
      <c r="S522" s="17"/>
      <c r="T522" s="17"/>
      <c r="U522" s="17"/>
      <c r="V522" s="17"/>
      <c r="W522" s="17"/>
      <c r="X522" s="17"/>
    </row>
    <row r="523" spans="1:24">
      <c r="A523" s="1"/>
      <c r="B523" s="1"/>
      <c r="C523" s="17"/>
      <c r="D523" s="17"/>
      <c r="E523" s="17"/>
      <c r="F523" s="17"/>
      <c r="G523" s="17"/>
      <c r="H523" s="17"/>
      <c r="I523" s="17"/>
      <c r="J523" s="17"/>
      <c r="K523" s="17"/>
      <c r="L523" s="17"/>
      <c r="N523" s="1"/>
      <c r="O523" s="17"/>
      <c r="P523" s="17"/>
      <c r="Q523" s="17"/>
      <c r="R523" s="17"/>
      <c r="S523" s="17"/>
      <c r="T523" s="17"/>
      <c r="U523" s="17"/>
      <c r="V523" s="17"/>
      <c r="W523" s="17"/>
      <c r="X523" s="17"/>
    </row>
    <row r="524" spans="1:24">
      <c r="A524" s="1"/>
      <c r="B524" s="1"/>
      <c r="C524" s="17"/>
      <c r="D524" s="17"/>
      <c r="E524" s="17"/>
      <c r="F524" s="17"/>
      <c r="G524" s="17"/>
      <c r="H524" s="17"/>
      <c r="I524" s="17"/>
      <c r="J524" s="17"/>
      <c r="K524" s="17"/>
      <c r="L524" s="17"/>
      <c r="N524" s="1"/>
      <c r="O524" s="17"/>
      <c r="P524" s="17"/>
      <c r="Q524" s="17"/>
      <c r="R524" s="17"/>
      <c r="S524" s="17"/>
      <c r="T524" s="17"/>
      <c r="U524" s="17"/>
      <c r="V524" s="17"/>
      <c r="W524" s="17"/>
      <c r="X524" s="17"/>
    </row>
    <row r="525" spans="1:24">
      <c r="A525" s="1"/>
      <c r="B525" s="1"/>
      <c r="C525" s="17"/>
      <c r="D525" s="17"/>
      <c r="E525" s="17"/>
      <c r="F525" s="17"/>
      <c r="G525" s="17"/>
      <c r="H525" s="17"/>
      <c r="I525" s="17"/>
      <c r="J525" s="17"/>
      <c r="K525" s="17"/>
      <c r="L525" s="17"/>
      <c r="N525" s="1"/>
      <c r="O525" s="17"/>
      <c r="P525" s="17"/>
      <c r="Q525" s="17"/>
      <c r="R525" s="17"/>
      <c r="S525" s="17"/>
      <c r="T525" s="17"/>
      <c r="U525" s="17"/>
      <c r="V525" s="17"/>
      <c r="W525" s="17"/>
      <c r="X525" s="17"/>
    </row>
    <row r="526" spans="1:24">
      <c r="A526" s="1"/>
      <c r="B526" s="1"/>
      <c r="C526" s="17"/>
      <c r="D526" s="17"/>
      <c r="E526" s="17"/>
      <c r="F526" s="17"/>
      <c r="G526" s="17"/>
      <c r="H526" s="17"/>
      <c r="I526" s="17"/>
      <c r="J526" s="17"/>
      <c r="K526" s="17"/>
      <c r="L526" s="17"/>
      <c r="N526" s="1"/>
      <c r="O526" s="17"/>
      <c r="P526" s="17"/>
      <c r="Q526" s="17"/>
      <c r="R526" s="17"/>
      <c r="S526" s="17"/>
      <c r="T526" s="17"/>
      <c r="U526" s="17"/>
      <c r="V526" s="17"/>
      <c r="W526" s="17"/>
      <c r="X526" s="17"/>
    </row>
    <row r="527" spans="1:24">
      <c r="A527" s="1"/>
      <c r="B527" s="1"/>
      <c r="C527" s="17"/>
      <c r="D527" s="17"/>
      <c r="E527" s="17"/>
      <c r="F527" s="17"/>
      <c r="G527" s="17"/>
      <c r="H527" s="17"/>
      <c r="I527" s="17"/>
      <c r="J527" s="17"/>
      <c r="K527" s="17"/>
      <c r="L527" s="17"/>
      <c r="N527" s="1"/>
      <c r="O527" s="17"/>
      <c r="P527" s="17"/>
      <c r="Q527" s="17"/>
      <c r="R527" s="17"/>
      <c r="S527" s="17"/>
      <c r="T527" s="17"/>
      <c r="U527" s="17"/>
      <c r="V527" s="17"/>
      <c r="W527" s="17"/>
      <c r="X527" s="17"/>
    </row>
    <row r="528" spans="1:24">
      <c r="A528" s="1"/>
      <c r="B528" s="1"/>
      <c r="C528" s="17"/>
      <c r="D528" s="17"/>
      <c r="E528" s="17"/>
      <c r="F528" s="17"/>
      <c r="G528" s="17"/>
      <c r="H528" s="17"/>
      <c r="I528" s="17"/>
      <c r="J528" s="17"/>
      <c r="K528" s="17"/>
      <c r="L528" s="17"/>
      <c r="N528" s="1"/>
      <c r="O528" s="17"/>
      <c r="P528" s="17"/>
      <c r="Q528" s="17"/>
      <c r="R528" s="17"/>
      <c r="S528" s="17"/>
      <c r="T528" s="17"/>
      <c r="U528" s="17"/>
      <c r="V528" s="17"/>
      <c r="W528" s="17"/>
      <c r="X528" s="17"/>
    </row>
    <row r="529" spans="1:24">
      <c r="A529" s="1"/>
      <c r="B529" s="1"/>
      <c r="C529" s="17"/>
      <c r="D529" s="17"/>
      <c r="E529" s="17"/>
      <c r="F529" s="17"/>
      <c r="G529" s="17"/>
      <c r="H529" s="17"/>
      <c r="I529" s="17"/>
      <c r="J529" s="17"/>
      <c r="K529" s="17"/>
      <c r="L529" s="17"/>
      <c r="N529" s="1"/>
      <c r="O529" s="17"/>
      <c r="P529" s="17"/>
      <c r="Q529" s="17"/>
      <c r="R529" s="17"/>
      <c r="S529" s="17"/>
      <c r="T529" s="17"/>
      <c r="U529" s="17"/>
      <c r="V529" s="17"/>
      <c r="W529" s="17"/>
      <c r="X529" s="17"/>
    </row>
    <row r="530" spans="1:24">
      <c r="A530" s="1"/>
      <c r="B530" s="1"/>
      <c r="C530" s="17"/>
      <c r="D530" s="17"/>
      <c r="E530" s="17"/>
      <c r="F530" s="17"/>
      <c r="G530" s="17"/>
      <c r="H530" s="17"/>
      <c r="I530" s="17"/>
      <c r="J530" s="17"/>
      <c r="K530" s="17"/>
      <c r="L530" s="17"/>
      <c r="N530" s="1"/>
      <c r="O530" s="17"/>
      <c r="P530" s="17"/>
      <c r="Q530" s="17"/>
      <c r="R530" s="17"/>
      <c r="S530" s="17"/>
      <c r="T530" s="17"/>
      <c r="U530" s="17"/>
      <c r="V530" s="17"/>
      <c r="W530" s="17"/>
      <c r="X530" s="17"/>
    </row>
    <row r="531" spans="1:24">
      <c r="A531" s="1"/>
      <c r="B531" s="1"/>
      <c r="C531" s="17"/>
      <c r="D531" s="17"/>
      <c r="E531" s="17"/>
      <c r="F531" s="17"/>
      <c r="G531" s="17"/>
      <c r="H531" s="17"/>
      <c r="I531" s="17"/>
      <c r="J531" s="17"/>
      <c r="K531" s="17"/>
      <c r="L531" s="17"/>
      <c r="N531" s="1"/>
      <c r="O531" s="17"/>
      <c r="P531" s="17"/>
      <c r="Q531" s="17"/>
      <c r="R531" s="17"/>
      <c r="S531" s="17"/>
      <c r="T531" s="17"/>
      <c r="U531" s="17"/>
      <c r="V531" s="17"/>
      <c r="W531" s="17"/>
      <c r="X531" s="17"/>
    </row>
    <row r="532" spans="1:24">
      <c r="A532" s="1"/>
      <c r="B532" s="1"/>
      <c r="C532" s="17"/>
      <c r="D532" s="17"/>
      <c r="E532" s="17"/>
      <c r="F532" s="17"/>
      <c r="G532" s="17"/>
      <c r="H532" s="17"/>
      <c r="I532" s="17"/>
      <c r="J532" s="17"/>
      <c r="K532" s="17"/>
      <c r="L532" s="17"/>
      <c r="N532" s="1"/>
      <c r="O532" s="17"/>
      <c r="P532" s="17"/>
      <c r="Q532" s="17"/>
      <c r="R532" s="17"/>
      <c r="S532" s="17"/>
      <c r="T532" s="17"/>
      <c r="U532" s="17"/>
      <c r="V532" s="17"/>
      <c r="W532" s="17"/>
      <c r="X532" s="17"/>
    </row>
    <row r="533" spans="1:24">
      <c r="A533" s="1"/>
      <c r="B533" s="1"/>
      <c r="C533" s="17"/>
      <c r="D533" s="17"/>
      <c r="E533" s="17"/>
      <c r="F533" s="17"/>
      <c r="G533" s="17"/>
      <c r="H533" s="17"/>
      <c r="I533" s="17"/>
      <c r="J533" s="17"/>
      <c r="K533" s="17"/>
      <c r="L533" s="17"/>
      <c r="N533" s="1"/>
      <c r="O533" s="17"/>
      <c r="P533" s="17"/>
      <c r="Q533" s="17"/>
      <c r="R533" s="17"/>
      <c r="S533" s="17"/>
      <c r="T533" s="17"/>
      <c r="U533" s="17"/>
      <c r="V533" s="17"/>
      <c r="W533" s="17"/>
      <c r="X533" s="17"/>
    </row>
    <row r="534" spans="1:24">
      <c r="A534" s="1"/>
      <c r="B534" s="1"/>
      <c r="C534" s="17"/>
      <c r="D534" s="17"/>
      <c r="E534" s="17"/>
      <c r="F534" s="17"/>
      <c r="G534" s="17"/>
      <c r="H534" s="17"/>
      <c r="I534" s="17"/>
      <c r="J534" s="17"/>
      <c r="K534" s="17"/>
      <c r="L534" s="17"/>
      <c r="N534" s="1"/>
      <c r="O534" s="17"/>
      <c r="P534" s="17"/>
      <c r="Q534" s="17"/>
      <c r="R534" s="17"/>
      <c r="S534" s="17"/>
      <c r="T534" s="17"/>
      <c r="U534" s="17"/>
      <c r="V534" s="17"/>
      <c r="W534" s="17"/>
      <c r="X534" s="17"/>
    </row>
    <row r="535" spans="1:24">
      <c r="A535" s="1"/>
      <c r="B535" s="1"/>
      <c r="C535" s="17"/>
      <c r="D535" s="17"/>
      <c r="E535" s="17"/>
      <c r="F535" s="17"/>
      <c r="G535" s="17"/>
      <c r="H535" s="17"/>
      <c r="I535" s="17"/>
      <c r="J535" s="17"/>
      <c r="K535" s="17"/>
      <c r="L535" s="17"/>
      <c r="N535" s="1"/>
      <c r="O535" s="17"/>
      <c r="P535" s="17"/>
      <c r="Q535" s="17"/>
      <c r="R535" s="17"/>
      <c r="S535" s="17"/>
      <c r="T535" s="17"/>
      <c r="U535" s="17"/>
      <c r="V535" s="17"/>
      <c r="W535" s="17"/>
      <c r="X535" s="17"/>
    </row>
    <row r="536" spans="1:24">
      <c r="A536" s="1"/>
      <c r="B536" s="1"/>
      <c r="C536" s="17"/>
      <c r="D536" s="17"/>
      <c r="E536" s="17"/>
      <c r="F536" s="17"/>
      <c r="G536" s="17"/>
      <c r="H536" s="17"/>
      <c r="I536" s="17"/>
      <c r="J536" s="17"/>
      <c r="K536" s="17"/>
      <c r="L536" s="17"/>
      <c r="N536" s="1"/>
      <c r="O536" s="17"/>
      <c r="P536" s="17"/>
      <c r="Q536" s="17"/>
      <c r="R536" s="17"/>
      <c r="S536" s="17"/>
      <c r="T536" s="17"/>
      <c r="U536" s="17"/>
      <c r="V536" s="17"/>
      <c r="W536" s="17"/>
      <c r="X536" s="17"/>
    </row>
    <row r="537" spans="1:24">
      <c r="A537" s="1"/>
      <c r="B537" s="1"/>
      <c r="C537" s="17"/>
      <c r="D537" s="17"/>
      <c r="E537" s="17"/>
      <c r="F537" s="17"/>
      <c r="G537" s="17"/>
      <c r="H537" s="17"/>
      <c r="I537" s="17"/>
      <c r="J537" s="17"/>
      <c r="K537" s="17"/>
      <c r="L537" s="17"/>
      <c r="N537" s="1"/>
      <c r="O537" s="17"/>
      <c r="P537" s="17"/>
      <c r="Q537" s="17"/>
      <c r="R537" s="17"/>
      <c r="S537" s="17"/>
      <c r="T537" s="17"/>
      <c r="U537" s="17"/>
      <c r="V537" s="17"/>
      <c r="W537" s="17"/>
      <c r="X537" s="17"/>
    </row>
    <row r="538" spans="1:24">
      <c r="A538" s="1"/>
      <c r="B538" s="1"/>
      <c r="C538" s="17"/>
      <c r="D538" s="17"/>
      <c r="E538" s="17"/>
      <c r="F538" s="17"/>
      <c r="G538" s="17"/>
      <c r="H538" s="17"/>
      <c r="I538" s="17"/>
      <c r="J538" s="17"/>
      <c r="K538" s="17"/>
      <c r="L538" s="17"/>
      <c r="N538" s="1"/>
      <c r="O538" s="17"/>
      <c r="P538" s="17"/>
      <c r="Q538" s="17"/>
      <c r="R538" s="17"/>
      <c r="S538" s="17"/>
      <c r="T538" s="17"/>
      <c r="U538" s="17"/>
      <c r="V538" s="17"/>
      <c r="W538" s="17"/>
      <c r="X538" s="17"/>
    </row>
    <row r="539" spans="1:24">
      <c r="A539" s="1"/>
      <c r="B539" s="1"/>
      <c r="C539" s="17"/>
      <c r="D539" s="17"/>
      <c r="E539" s="17"/>
      <c r="F539" s="17"/>
      <c r="G539" s="17"/>
      <c r="H539" s="17"/>
      <c r="I539" s="17"/>
      <c r="J539" s="17"/>
      <c r="K539" s="17"/>
      <c r="L539" s="17"/>
      <c r="N539" s="1"/>
      <c r="O539" s="17"/>
      <c r="P539" s="17"/>
      <c r="Q539" s="17"/>
      <c r="R539" s="17"/>
      <c r="S539" s="17"/>
      <c r="T539" s="17"/>
      <c r="U539" s="17"/>
      <c r="V539" s="17"/>
      <c r="W539" s="17"/>
      <c r="X539" s="17"/>
    </row>
    <row r="540" spans="1:24">
      <c r="A540" s="1"/>
      <c r="B540" s="1"/>
      <c r="C540" s="17"/>
      <c r="D540" s="17"/>
      <c r="E540" s="17"/>
      <c r="F540" s="17"/>
      <c r="G540" s="17"/>
      <c r="H540" s="17"/>
      <c r="I540" s="17"/>
      <c r="J540" s="17"/>
      <c r="K540" s="17"/>
      <c r="L540" s="17"/>
      <c r="N540" s="1"/>
      <c r="O540" s="17"/>
      <c r="P540" s="17"/>
      <c r="Q540" s="17"/>
      <c r="R540" s="17"/>
      <c r="S540" s="17"/>
      <c r="T540" s="17"/>
      <c r="U540" s="17"/>
      <c r="V540" s="17"/>
      <c r="W540" s="17"/>
      <c r="X540" s="17"/>
    </row>
    <row r="541" spans="1:24">
      <c r="A541" s="1"/>
      <c r="B541" s="1"/>
      <c r="C541" s="17"/>
      <c r="D541" s="17"/>
      <c r="E541" s="17"/>
      <c r="F541" s="17"/>
      <c r="G541" s="17"/>
      <c r="H541" s="17"/>
      <c r="I541" s="17"/>
      <c r="J541" s="17"/>
      <c r="K541" s="17"/>
      <c r="L541" s="17"/>
      <c r="N541" s="1"/>
      <c r="O541" s="17"/>
      <c r="P541" s="17"/>
      <c r="Q541" s="17"/>
      <c r="R541" s="17"/>
      <c r="S541" s="17"/>
      <c r="T541" s="17"/>
      <c r="U541" s="17"/>
      <c r="V541" s="17"/>
      <c r="W541" s="17"/>
      <c r="X541" s="17"/>
    </row>
    <row r="542" spans="1:24">
      <c r="A542" s="1"/>
      <c r="B542" s="1"/>
      <c r="C542" s="17"/>
      <c r="D542" s="17"/>
      <c r="E542" s="17"/>
      <c r="F542" s="17"/>
      <c r="G542" s="17"/>
      <c r="H542" s="17"/>
      <c r="I542" s="17"/>
      <c r="J542" s="17"/>
      <c r="K542" s="17"/>
      <c r="L542" s="17"/>
      <c r="N542" s="1"/>
      <c r="O542" s="17"/>
      <c r="P542" s="17"/>
      <c r="Q542" s="17"/>
      <c r="R542" s="17"/>
      <c r="S542" s="17"/>
      <c r="T542" s="17"/>
      <c r="U542" s="17"/>
      <c r="V542" s="17"/>
      <c r="W542" s="17"/>
      <c r="X542" s="17"/>
    </row>
    <row r="543" spans="1:24">
      <c r="A543" s="1"/>
      <c r="B543" s="1"/>
      <c r="C543" s="17"/>
      <c r="D543" s="17"/>
      <c r="E543" s="17"/>
      <c r="F543" s="17"/>
      <c r="G543" s="17"/>
      <c r="H543" s="17"/>
      <c r="I543" s="17"/>
      <c r="J543" s="17"/>
      <c r="K543" s="17"/>
      <c r="L543" s="17"/>
      <c r="N543" s="1"/>
      <c r="O543" s="17"/>
      <c r="P543" s="17"/>
      <c r="Q543" s="17"/>
      <c r="R543" s="17"/>
      <c r="S543" s="17"/>
      <c r="T543" s="17"/>
      <c r="U543" s="17"/>
      <c r="V543" s="17"/>
      <c r="W543" s="17"/>
      <c r="X543" s="17"/>
    </row>
    <row r="544" spans="1:24">
      <c r="A544" s="1"/>
      <c r="B544" s="1"/>
      <c r="C544" s="17"/>
      <c r="D544" s="17"/>
      <c r="E544" s="17"/>
      <c r="F544" s="17"/>
      <c r="G544" s="17"/>
      <c r="H544" s="17"/>
      <c r="I544" s="17"/>
      <c r="J544" s="17"/>
      <c r="K544" s="17"/>
      <c r="L544" s="17"/>
      <c r="N544" s="1"/>
      <c r="O544" s="17"/>
      <c r="P544" s="17"/>
      <c r="Q544" s="17"/>
      <c r="R544" s="17"/>
      <c r="S544" s="17"/>
      <c r="T544" s="17"/>
      <c r="U544" s="17"/>
      <c r="V544" s="17"/>
      <c r="W544" s="17"/>
      <c r="X544" s="17"/>
    </row>
    <row r="545" spans="1:24">
      <c r="A545" s="1"/>
      <c r="B545" s="1"/>
      <c r="C545" s="17"/>
      <c r="D545" s="17"/>
      <c r="E545" s="17"/>
      <c r="F545" s="17"/>
      <c r="G545" s="17"/>
      <c r="H545" s="17"/>
      <c r="I545" s="17"/>
      <c r="J545" s="17"/>
      <c r="K545" s="17"/>
      <c r="L545" s="17"/>
      <c r="N545" s="1"/>
      <c r="O545" s="17"/>
      <c r="P545" s="17"/>
      <c r="Q545" s="17"/>
      <c r="R545" s="17"/>
      <c r="S545" s="17"/>
      <c r="T545" s="17"/>
      <c r="U545" s="17"/>
      <c r="V545" s="17"/>
      <c r="W545" s="17"/>
      <c r="X545" s="17"/>
    </row>
    <row r="546" spans="1:24">
      <c r="A546" s="1"/>
      <c r="B546" s="1"/>
      <c r="C546" s="17"/>
      <c r="D546" s="17"/>
      <c r="E546" s="17"/>
      <c r="F546" s="17"/>
      <c r="G546" s="17"/>
      <c r="H546" s="17"/>
      <c r="I546" s="17"/>
      <c r="J546" s="17"/>
      <c r="K546" s="17"/>
      <c r="L546" s="17"/>
      <c r="N546" s="1"/>
      <c r="O546" s="17"/>
      <c r="P546" s="17"/>
      <c r="Q546" s="17"/>
      <c r="R546" s="17"/>
      <c r="S546" s="17"/>
      <c r="T546" s="17"/>
      <c r="U546" s="17"/>
      <c r="V546" s="17"/>
      <c r="W546" s="17"/>
      <c r="X546" s="17"/>
    </row>
    <row r="547" spans="1:24">
      <c r="A547" s="1"/>
      <c r="B547" s="1"/>
      <c r="C547" s="17"/>
      <c r="D547" s="17"/>
      <c r="E547" s="17"/>
      <c r="F547" s="17"/>
      <c r="G547" s="17"/>
      <c r="H547" s="17"/>
      <c r="I547" s="17"/>
      <c r="J547" s="17"/>
      <c r="K547" s="17"/>
      <c r="L547" s="17"/>
      <c r="N547" s="1"/>
      <c r="O547" s="17"/>
      <c r="P547" s="17"/>
      <c r="Q547" s="17"/>
      <c r="R547" s="17"/>
      <c r="S547" s="17"/>
      <c r="T547" s="17"/>
      <c r="U547" s="17"/>
      <c r="V547" s="17"/>
      <c r="W547" s="17"/>
      <c r="X547" s="17"/>
    </row>
    <row r="548" spans="1:24">
      <c r="A548" s="1"/>
      <c r="B548" s="1"/>
      <c r="C548" s="17"/>
      <c r="D548" s="17"/>
      <c r="E548" s="17"/>
      <c r="F548" s="17"/>
      <c r="G548" s="17"/>
      <c r="H548" s="17"/>
      <c r="I548" s="17"/>
      <c r="J548" s="17"/>
      <c r="K548" s="17"/>
      <c r="L548" s="17"/>
      <c r="N548" s="1"/>
      <c r="O548" s="17"/>
      <c r="P548" s="17"/>
      <c r="Q548" s="17"/>
      <c r="R548" s="17"/>
      <c r="S548" s="17"/>
      <c r="T548" s="17"/>
      <c r="U548" s="17"/>
      <c r="V548" s="17"/>
      <c r="W548" s="17"/>
      <c r="X548" s="17"/>
    </row>
    <row r="549" spans="1:24">
      <c r="A549" s="1"/>
      <c r="B549" s="1"/>
      <c r="C549" s="17"/>
      <c r="D549" s="17"/>
      <c r="E549" s="17"/>
      <c r="F549" s="17"/>
      <c r="G549" s="17"/>
      <c r="H549" s="17"/>
      <c r="I549" s="17"/>
      <c r="J549" s="17"/>
      <c r="K549" s="17"/>
      <c r="L549" s="17"/>
      <c r="N549" s="1"/>
      <c r="O549" s="17"/>
      <c r="P549" s="17"/>
      <c r="Q549" s="17"/>
      <c r="R549" s="17"/>
      <c r="S549" s="17"/>
      <c r="T549" s="17"/>
      <c r="U549" s="17"/>
      <c r="V549" s="17"/>
      <c r="W549" s="17"/>
      <c r="X549" s="17"/>
    </row>
    <row r="550" spans="1:24">
      <c r="A550" s="1"/>
      <c r="B550" s="1"/>
      <c r="C550" s="17"/>
      <c r="D550" s="17"/>
      <c r="E550" s="17"/>
      <c r="F550" s="17"/>
      <c r="G550" s="17"/>
      <c r="H550" s="17"/>
      <c r="I550" s="17"/>
      <c r="J550" s="17"/>
      <c r="K550" s="17"/>
      <c r="L550" s="17"/>
      <c r="N550" s="1"/>
      <c r="O550" s="17"/>
      <c r="P550" s="17"/>
      <c r="Q550" s="17"/>
      <c r="R550" s="17"/>
      <c r="S550" s="17"/>
      <c r="T550" s="17"/>
      <c r="U550" s="17"/>
      <c r="V550" s="17"/>
      <c r="W550" s="17"/>
      <c r="X550" s="17"/>
    </row>
    <row r="551" spans="1:24">
      <c r="A551" s="1"/>
      <c r="B551" s="1"/>
      <c r="C551" s="17"/>
      <c r="D551" s="17"/>
      <c r="E551" s="17"/>
      <c r="F551" s="17"/>
      <c r="G551" s="17"/>
      <c r="H551" s="17"/>
      <c r="I551" s="17"/>
      <c r="J551" s="17"/>
      <c r="K551" s="17"/>
      <c r="L551" s="17"/>
      <c r="N551" s="1"/>
      <c r="O551" s="17"/>
      <c r="P551" s="17"/>
      <c r="Q551" s="17"/>
      <c r="R551" s="17"/>
      <c r="S551" s="17"/>
      <c r="T551" s="17"/>
      <c r="U551" s="17"/>
      <c r="V551" s="17"/>
      <c r="W551" s="17"/>
      <c r="X551" s="17"/>
    </row>
    <row r="552" spans="1:24">
      <c r="A552" s="1"/>
      <c r="B552" s="1"/>
      <c r="C552" s="17"/>
      <c r="D552" s="17"/>
      <c r="E552" s="17"/>
      <c r="F552" s="17"/>
      <c r="G552" s="17"/>
      <c r="H552" s="17"/>
      <c r="I552" s="17"/>
      <c r="J552" s="17"/>
      <c r="K552" s="17"/>
      <c r="L552" s="17"/>
      <c r="N552" s="1"/>
      <c r="O552" s="17"/>
      <c r="P552" s="17"/>
      <c r="Q552" s="17"/>
      <c r="R552" s="17"/>
      <c r="S552" s="17"/>
      <c r="T552" s="17"/>
      <c r="U552" s="17"/>
      <c r="V552" s="17"/>
      <c r="W552" s="17"/>
      <c r="X552" s="17"/>
    </row>
    <row r="553" spans="1:24">
      <c r="A553" s="1"/>
      <c r="B553" s="1"/>
      <c r="C553" s="17"/>
      <c r="D553" s="17"/>
      <c r="E553" s="17"/>
      <c r="F553" s="17"/>
      <c r="G553" s="17"/>
      <c r="H553" s="17"/>
      <c r="I553" s="17"/>
      <c r="J553" s="17"/>
      <c r="K553" s="17"/>
      <c r="L553" s="17"/>
      <c r="N553" s="1"/>
      <c r="O553" s="17"/>
      <c r="P553" s="17"/>
      <c r="Q553" s="17"/>
      <c r="R553" s="17"/>
      <c r="S553" s="17"/>
      <c r="T553" s="17"/>
      <c r="U553" s="17"/>
      <c r="V553" s="17"/>
      <c r="W553" s="17"/>
      <c r="X553" s="17"/>
    </row>
    <row r="554" spans="1:24">
      <c r="A554" s="1"/>
      <c r="B554" s="1"/>
      <c r="C554" s="17"/>
      <c r="D554" s="17"/>
      <c r="E554" s="17"/>
      <c r="F554" s="17"/>
      <c r="G554" s="17"/>
      <c r="H554" s="17"/>
      <c r="I554" s="17"/>
      <c r="J554" s="17"/>
      <c r="K554" s="17"/>
      <c r="L554" s="17"/>
      <c r="N554" s="1"/>
      <c r="O554" s="17"/>
      <c r="P554" s="17"/>
      <c r="Q554" s="17"/>
      <c r="R554" s="17"/>
      <c r="S554" s="17"/>
      <c r="T554" s="17"/>
      <c r="U554" s="17"/>
      <c r="V554" s="17"/>
      <c r="W554" s="17"/>
      <c r="X554" s="17"/>
    </row>
    <row r="555" spans="1:24">
      <c r="A555" s="1"/>
      <c r="B555" s="1"/>
      <c r="C555" s="17"/>
      <c r="D555" s="17"/>
      <c r="E555" s="17"/>
      <c r="F555" s="17"/>
      <c r="G555" s="17"/>
      <c r="H555" s="17"/>
      <c r="I555" s="17"/>
      <c r="J555" s="17"/>
      <c r="K555" s="17"/>
      <c r="L555" s="17"/>
      <c r="N555" s="1"/>
      <c r="O555" s="17"/>
      <c r="P555" s="17"/>
      <c r="Q555" s="17"/>
      <c r="R555" s="17"/>
      <c r="S555" s="17"/>
      <c r="T555" s="17"/>
      <c r="U555" s="17"/>
      <c r="V555" s="17"/>
      <c r="W555" s="17"/>
      <c r="X555" s="17"/>
    </row>
    <row r="556" spans="1:24">
      <c r="A556" s="1"/>
      <c r="B556" s="1"/>
      <c r="C556" s="17"/>
      <c r="D556" s="17"/>
      <c r="E556" s="17"/>
      <c r="F556" s="17"/>
      <c r="G556" s="17"/>
      <c r="H556" s="17"/>
      <c r="I556" s="17"/>
      <c r="J556" s="17"/>
      <c r="K556" s="17"/>
      <c r="L556" s="17"/>
      <c r="N556" s="1"/>
      <c r="O556" s="17"/>
      <c r="P556" s="17"/>
      <c r="Q556" s="17"/>
      <c r="R556" s="17"/>
      <c r="S556" s="17"/>
      <c r="T556" s="17"/>
      <c r="U556" s="17"/>
      <c r="V556" s="17"/>
      <c r="W556" s="17"/>
      <c r="X556" s="17"/>
    </row>
    <row r="557" spans="1:24">
      <c r="A557" s="1"/>
      <c r="B557" s="1"/>
      <c r="C557" s="17"/>
      <c r="D557" s="17"/>
      <c r="E557" s="17"/>
      <c r="F557" s="17"/>
      <c r="G557" s="17"/>
      <c r="H557" s="17"/>
      <c r="I557" s="17"/>
      <c r="J557" s="17"/>
      <c r="K557" s="17"/>
      <c r="L557" s="17"/>
      <c r="N557" s="1"/>
      <c r="O557" s="17"/>
      <c r="P557" s="17"/>
      <c r="Q557" s="17"/>
      <c r="R557" s="17"/>
      <c r="S557" s="17"/>
      <c r="T557" s="17"/>
      <c r="U557" s="17"/>
      <c r="V557" s="17"/>
      <c r="W557" s="17"/>
      <c r="X557" s="17"/>
    </row>
    <row r="558" spans="1:24">
      <c r="A558" s="1"/>
      <c r="B558" s="1"/>
      <c r="C558" s="17"/>
      <c r="D558" s="17"/>
      <c r="E558" s="17"/>
      <c r="F558" s="17"/>
      <c r="G558" s="17"/>
      <c r="H558" s="17"/>
      <c r="I558" s="17"/>
      <c r="J558" s="17"/>
      <c r="K558" s="17"/>
      <c r="L558" s="17"/>
      <c r="N558" s="1"/>
      <c r="O558" s="17"/>
      <c r="P558" s="17"/>
      <c r="Q558" s="17"/>
      <c r="R558" s="17"/>
      <c r="S558" s="17"/>
      <c r="T558" s="17"/>
      <c r="U558" s="17"/>
      <c r="V558" s="17"/>
      <c r="W558" s="17"/>
      <c r="X558" s="17"/>
    </row>
    <row r="559" spans="1:24">
      <c r="A559" s="1"/>
      <c r="B559" s="1"/>
      <c r="C559" s="17"/>
      <c r="D559" s="17"/>
      <c r="E559" s="17"/>
      <c r="F559" s="17"/>
      <c r="G559" s="17"/>
      <c r="H559" s="17"/>
      <c r="I559" s="17"/>
      <c r="J559" s="17"/>
      <c r="K559" s="17"/>
      <c r="L559" s="17"/>
      <c r="N559" s="1"/>
      <c r="O559" s="17"/>
      <c r="P559" s="17"/>
      <c r="Q559" s="17"/>
      <c r="R559" s="17"/>
      <c r="S559" s="17"/>
      <c r="T559" s="17"/>
      <c r="U559" s="17"/>
      <c r="V559" s="17"/>
      <c r="W559" s="17"/>
      <c r="X559" s="17"/>
    </row>
    <row r="560" spans="1:24">
      <c r="A560" s="1"/>
      <c r="B560" s="1"/>
      <c r="C560" s="17"/>
      <c r="D560" s="17"/>
      <c r="E560" s="17"/>
      <c r="F560" s="17"/>
      <c r="G560" s="17"/>
      <c r="H560" s="17"/>
      <c r="I560" s="17"/>
      <c r="J560" s="17"/>
      <c r="K560" s="17"/>
      <c r="L560" s="17"/>
      <c r="N560" s="1"/>
      <c r="O560" s="17"/>
      <c r="P560" s="17"/>
      <c r="Q560" s="17"/>
      <c r="R560" s="17"/>
      <c r="S560" s="17"/>
      <c r="T560" s="17"/>
      <c r="U560" s="17"/>
      <c r="V560" s="17"/>
      <c r="W560" s="17"/>
      <c r="X560" s="17"/>
    </row>
    <row r="561" spans="1:24">
      <c r="A561" s="1"/>
      <c r="B561" s="1"/>
      <c r="C561" s="17"/>
      <c r="D561" s="17"/>
      <c r="E561" s="17"/>
      <c r="F561" s="17"/>
      <c r="G561" s="17"/>
      <c r="H561" s="17"/>
      <c r="I561" s="17"/>
      <c r="J561" s="17"/>
      <c r="K561" s="17"/>
      <c r="L561" s="17"/>
      <c r="N561" s="1"/>
      <c r="O561" s="17"/>
      <c r="P561" s="17"/>
      <c r="Q561" s="17"/>
      <c r="R561" s="17"/>
      <c r="S561" s="17"/>
      <c r="T561" s="17"/>
      <c r="U561" s="17"/>
      <c r="V561" s="17"/>
      <c r="W561" s="17"/>
      <c r="X561" s="17"/>
    </row>
    <row r="562" spans="1:24">
      <c r="A562" s="1"/>
      <c r="B562" s="1"/>
      <c r="C562" s="17"/>
      <c r="D562" s="17"/>
      <c r="E562" s="17"/>
      <c r="F562" s="17"/>
      <c r="G562" s="17"/>
      <c r="H562" s="17"/>
      <c r="I562" s="17"/>
      <c r="J562" s="17"/>
      <c r="K562" s="17"/>
      <c r="L562" s="17"/>
      <c r="N562" s="1"/>
      <c r="O562" s="17"/>
      <c r="P562" s="17"/>
      <c r="Q562" s="17"/>
      <c r="R562" s="17"/>
      <c r="S562" s="17"/>
      <c r="T562" s="17"/>
      <c r="U562" s="17"/>
      <c r="V562" s="17"/>
      <c r="W562" s="17"/>
      <c r="X562" s="17"/>
    </row>
    <row r="563" spans="1:24">
      <c r="A563" s="1"/>
      <c r="B563" s="1"/>
      <c r="C563" s="17"/>
      <c r="D563" s="17"/>
      <c r="E563" s="17"/>
      <c r="F563" s="17"/>
      <c r="G563" s="17"/>
      <c r="H563" s="17"/>
      <c r="I563" s="17"/>
      <c r="J563" s="17"/>
      <c r="K563" s="17"/>
      <c r="L563" s="17"/>
      <c r="N563" s="1"/>
      <c r="O563" s="17"/>
      <c r="P563" s="17"/>
      <c r="Q563" s="17"/>
      <c r="R563" s="17"/>
      <c r="S563" s="17"/>
      <c r="T563" s="17"/>
      <c r="U563" s="17"/>
      <c r="V563" s="17"/>
      <c r="W563" s="17"/>
      <c r="X563" s="17"/>
    </row>
    <row r="564" spans="1:24">
      <c r="A564" s="1"/>
      <c r="B564" s="1"/>
      <c r="C564" s="17"/>
      <c r="D564" s="17"/>
      <c r="E564" s="17"/>
      <c r="F564" s="17"/>
      <c r="G564" s="17"/>
      <c r="H564" s="17"/>
      <c r="I564" s="17"/>
      <c r="J564" s="17"/>
      <c r="K564" s="17"/>
      <c r="L564" s="17"/>
      <c r="N564" s="1"/>
      <c r="O564" s="17"/>
      <c r="P564" s="17"/>
      <c r="Q564" s="17"/>
      <c r="R564" s="17"/>
      <c r="S564" s="17"/>
      <c r="T564" s="17"/>
      <c r="U564" s="17"/>
      <c r="V564" s="17"/>
      <c r="W564" s="17"/>
      <c r="X564" s="17"/>
    </row>
    <row r="565" spans="1:24">
      <c r="A565" s="1"/>
      <c r="B565" s="1"/>
      <c r="C565" s="17"/>
      <c r="D565" s="17"/>
      <c r="E565" s="17"/>
      <c r="F565" s="17"/>
      <c r="G565" s="17"/>
      <c r="H565" s="17"/>
      <c r="I565" s="17"/>
      <c r="J565" s="17"/>
      <c r="K565" s="17"/>
      <c r="L565" s="17"/>
      <c r="N565" s="1"/>
      <c r="O565" s="17"/>
      <c r="P565" s="17"/>
      <c r="Q565" s="17"/>
      <c r="R565" s="17"/>
      <c r="S565" s="17"/>
      <c r="T565" s="17"/>
      <c r="U565" s="17"/>
      <c r="V565" s="17"/>
      <c r="W565" s="17"/>
      <c r="X565" s="17"/>
    </row>
    <row r="566" spans="1:24">
      <c r="A566" s="1"/>
      <c r="B566" s="1"/>
      <c r="C566" s="17"/>
      <c r="D566" s="17"/>
      <c r="E566" s="17"/>
      <c r="F566" s="17"/>
      <c r="G566" s="17"/>
      <c r="H566" s="17"/>
      <c r="I566" s="17"/>
      <c r="J566" s="17"/>
      <c r="K566" s="17"/>
      <c r="L566" s="17"/>
      <c r="N566" s="1"/>
      <c r="O566" s="17"/>
      <c r="P566" s="17"/>
      <c r="Q566" s="17"/>
      <c r="R566" s="17"/>
      <c r="S566" s="17"/>
      <c r="T566" s="17"/>
      <c r="U566" s="17"/>
      <c r="V566" s="17"/>
      <c r="W566" s="17"/>
      <c r="X566" s="17"/>
    </row>
    <row r="567" spans="1:24">
      <c r="A567" s="1"/>
      <c r="B567" s="1"/>
      <c r="C567" s="17"/>
      <c r="D567" s="17"/>
      <c r="E567" s="17"/>
      <c r="F567" s="17"/>
      <c r="G567" s="17"/>
      <c r="H567" s="17"/>
      <c r="I567" s="17"/>
      <c r="J567" s="17"/>
      <c r="K567" s="17"/>
      <c r="L567" s="17"/>
      <c r="N567" s="1"/>
      <c r="O567" s="17"/>
      <c r="P567" s="17"/>
      <c r="Q567" s="17"/>
      <c r="R567" s="17"/>
      <c r="S567" s="17"/>
      <c r="T567" s="17"/>
      <c r="U567" s="17"/>
      <c r="V567" s="17"/>
      <c r="W567" s="17"/>
      <c r="X567" s="17"/>
    </row>
    <row r="568" spans="1:24">
      <c r="A568" s="1"/>
      <c r="B568" s="1"/>
      <c r="C568" s="17"/>
      <c r="D568" s="17"/>
      <c r="E568" s="17"/>
      <c r="F568" s="17"/>
      <c r="G568" s="17"/>
      <c r="H568" s="17"/>
      <c r="I568" s="17"/>
      <c r="J568" s="17"/>
      <c r="K568" s="17"/>
      <c r="L568" s="17"/>
      <c r="N568" s="1"/>
      <c r="O568" s="17"/>
      <c r="P568" s="17"/>
      <c r="Q568" s="17"/>
      <c r="R568" s="17"/>
      <c r="S568" s="17"/>
      <c r="T568" s="17"/>
      <c r="U568" s="17"/>
      <c r="V568" s="17"/>
      <c r="W568" s="17"/>
      <c r="X568" s="17"/>
    </row>
    <row r="569" spans="1:24">
      <c r="A569" s="1"/>
      <c r="B569" s="1"/>
      <c r="C569" s="17"/>
      <c r="D569" s="17"/>
      <c r="E569" s="17"/>
      <c r="F569" s="17"/>
      <c r="G569" s="17"/>
      <c r="H569" s="17"/>
      <c r="I569" s="17"/>
      <c r="J569" s="17"/>
      <c r="K569" s="17"/>
      <c r="L569" s="17"/>
      <c r="N569" s="1"/>
      <c r="O569" s="17"/>
      <c r="P569" s="17"/>
      <c r="Q569" s="17"/>
      <c r="R569" s="17"/>
      <c r="S569" s="17"/>
      <c r="T569" s="17"/>
      <c r="U569" s="17"/>
      <c r="V569" s="17"/>
      <c r="W569" s="17"/>
      <c r="X569" s="17"/>
    </row>
    <row r="570" spans="1:24">
      <c r="A570" s="1"/>
      <c r="B570" s="1"/>
      <c r="C570" s="17"/>
      <c r="D570" s="17"/>
      <c r="E570" s="17"/>
      <c r="F570" s="17"/>
      <c r="G570" s="17"/>
      <c r="H570" s="17"/>
      <c r="I570" s="17"/>
      <c r="J570" s="17"/>
      <c r="K570" s="17"/>
      <c r="L570" s="17"/>
      <c r="N570" s="1"/>
      <c r="O570" s="17"/>
      <c r="P570" s="17"/>
      <c r="Q570" s="17"/>
      <c r="R570" s="17"/>
      <c r="S570" s="17"/>
      <c r="T570" s="17"/>
      <c r="U570" s="17"/>
      <c r="V570" s="17"/>
      <c r="W570" s="17"/>
      <c r="X570" s="17"/>
    </row>
    <row r="571" spans="1:24">
      <c r="A571" s="1"/>
      <c r="B571" s="1"/>
      <c r="C571" s="17"/>
      <c r="D571" s="17"/>
      <c r="E571" s="17"/>
      <c r="F571" s="17"/>
      <c r="G571" s="17"/>
      <c r="H571" s="17"/>
      <c r="I571" s="17"/>
      <c r="J571" s="17"/>
      <c r="K571" s="17"/>
      <c r="L571" s="17"/>
      <c r="N571" s="1"/>
      <c r="O571" s="17"/>
      <c r="P571" s="17"/>
      <c r="Q571" s="17"/>
      <c r="R571" s="17"/>
      <c r="S571" s="17"/>
      <c r="T571" s="17"/>
      <c r="U571" s="17"/>
      <c r="V571" s="17"/>
      <c r="W571" s="17"/>
      <c r="X571" s="17"/>
    </row>
    <row r="572" spans="1:24">
      <c r="A572" s="1"/>
      <c r="B572" s="1"/>
      <c r="C572" s="17"/>
      <c r="D572" s="17"/>
      <c r="E572" s="17"/>
      <c r="F572" s="17"/>
      <c r="G572" s="17"/>
      <c r="H572" s="17"/>
      <c r="I572" s="17"/>
      <c r="J572" s="17"/>
      <c r="K572" s="17"/>
      <c r="L572" s="17"/>
      <c r="N572" s="1"/>
      <c r="O572" s="17"/>
      <c r="P572" s="17"/>
      <c r="Q572" s="17"/>
      <c r="R572" s="17"/>
      <c r="S572" s="17"/>
      <c r="T572" s="17"/>
      <c r="U572" s="17"/>
      <c r="V572" s="17"/>
      <c r="W572" s="17"/>
      <c r="X572" s="17"/>
    </row>
    <row r="573" spans="1:24">
      <c r="A573" s="1"/>
      <c r="B573" s="1"/>
      <c r="C573" s="17"/>
      <c r="D573" s="17"/>
      <c r="E573" s="17"/>
      <c r="F573" s="17"/>
      <c r="G573" s="17"/>
      <c r="H573" s="17"/>
      <c r="I573" s="17"/>
      <c r="J573" s="17"/>
      <c r="K573" s="17"/>
      <c r="L573" s="17"/>
      <c r="N573" s="1"/>
      <c r="O573" s="17"/>
      <c r="P573" s="17"/>
      <c r="Q573" s="17"/>
      <c r="R573" s="17"/>
      <c r="S573" s="17"/>
      <c r="T573" s="17"/>
      <c r="U573" s="17"/>
      <c r="V573" s="17"/>
      <c r="W573" s="17"/>
      <c r="X573" s="17"/>
    </row>
    <row r="574" spans="1:24">
      <c r="A574" s="1"/>
      <c r="B574" s="1"/>
      <c r="C574" s="17"/>
      <c r="D574" s="17"/>
      <c r="E574" s="17"/>
      <c r="F574" s="17"/>
      <c r="G574" s="17"/>
      <c r="H574" s="17"/>
      <c r="I574" s="17"/>
      <c r="J574" s="17"/>
      <c r="K574" s="17"/>
      <c r="L574" s="17"/>
      <c r="N574" s="1"/>
      <c r="O574" s="17"/>
      <c r="P574" s="17"/>
      <c r="Q574" s="17"/>
      <c r="R574" s="17"/>
      <c r="S574" s="17"/>
      <c r="T574" s="17"/>
      <c r="U574" s="17"/>
      <c r="V574" s="17"/>
      <c r="W574" s="17"/>
      <c r="X574" s="17"/>
    </row>
    <row r="575" spans="1:24">
      <c r="A575" s="1"/>
      <c r="B575" s="1"/>
      <c r="C575" s="17"/>
      <c r="D575" s="17"/>
      <c r="E575" s="17"/>
      <c r="F575" s="17"/>
      <c r="G575" s="17"/>
      <c r="H575" s="17"/>
      <c r="I575" s="17"/>
      <c r="J575" s="17"/>
      <c r="K575" s="17"/>
      <c r="L575" s="17"/>
      <c r="N575" s="1"/>
      <c r="O575" s="17"/>
      <c r="P575" s="17"/>
      <c r="Q575" s="17"/>
      <c r="R575" s="17"/>
      <c r="S575" s="17"/>
      <c r="T575" s="17"/>
      <c r="U575" s="17"/>
      <c r="V575" s="17"/>
      <c r="W575" s="17"/>
      <c r="X575" s="17"/>
    </row>
    <row r="576" spans="1:24">
      <c r="A576" s="1"/>
      <c r="B576" s="1"/>
      <c r="C576" s="17"/>
      <c r="D576" s="17"/>
      <c r="E576" s="17"/>
      <c r="F576" s="17"/>
      <c r="G576" s="17"/>
      <c r="H576" s="17"/>
      <c r="I576" s="17"/>
      <c r="J576" s="17"/>
      <c r="K576" s="17"/>
      <c r="L576" s="17"/>
      <c r="N576" s="1"/>
      <c r="O576" s="17"/>
      <c r="P576" s="17"/>
      <c r="Q576" s="17"/>
      <c r="R576" s="17"/>
      <c r="S576" s="17"/>
      <c r="T576" s="17"/>
      <c r="U576" s="17"/>
      <c r="V576" s="17"/>
      <c r="W576" s="17"/>
      <c r="X576" s="17"/>
    </row>
    <row r="577" spans="1:24">
      <c r="A577" s="1"/>
      <c r="B577" s="1"/>
      <c r="C577" s="17"/>
      <c r="D577" s="17"/>
      <c r="E577" s="17"/>
      <c r="F577" s="17"/>
      <c r="G577" s="17"/>
      <c r="H577" s="17"/>
      <c r="I577" s="17"/>
      <c r="J577" s="17"/>
      <c r="K577" s="17"/>
      <c r="L577" s="17"/>
      <c r="N577" s="1"/>
      <c r="O577" s="17"/>
      <c r="P577" s="17"/>
      <c r="Q577" s="17"/>
      <c r="R577" s="17"/>
      <c r="S577" s="17"/>
      <c r="T577" s="17"/>
      <c r="U577" s="17"/>
      <c r="V577" s="17"/>
      <c r="W577" s="17"/>
      <c r="X577" s="17"/>
    </row>
    <row r="578" spans="1:24">
      <c r="A578" s="1"/>
      <c r="B578" s="1"/>
      <c r="C578" s="17"/>
      <c r="D578" s="17"/>
      <c r="E578" s="17"/>
      <c r="F578" s="17"/>
      <c r="G578" s="17"/>
      <c r="H578" s="17"/>
      <c r="I578" s="17"/>
      <c r="J578" s="17"/>
      <c r="K578" s="17"/>
      <c r="L578" s="17"/>
      <c r="N578" s="1"/>
      <c r="O578" s="17"/>
      <c r="P578" s="17"/>
      <c r="Q578" s="17"/>
      <c r="R578" s="17"/>
      <c r="S578" s="17"/>
      <c r="T578" s="17"/>
      <c r="U578" s="17"/>
      <c r="V578" s="17"/>
      <c r="W578" s="17"/>
      <c r="X578" s="17"/>
    </row>
    <row r="579" spans="1:24">
      <c r="A579" s="1"/>
      <c r="B579" s="1"/>
      <c r="C579" s="17"/>
      <c r="D579" s="17"/>
      <c r="E579" s="17"/>
      <c r="F579" s="17"/>
      <c r="G579" s="17"/>
      <c r="H579" s="17"/>
      <c r="I579" s="17"/>
      <c r="J579" s="17"/>
      <c r="K579" s="17"/>
      <c r="L579" s="17"/>
      <c r="N579" s="1"/>
      <c r="O579" s="17"/>
      <c r="P579" s="17"/>
      <c r="Q579" s="17"/>
      <c r="R579" s="17"/>
      <c r="S579" s="17"/>
      <c r="T579" s="17"/>
      <c r="U579" s="17"/>
      <c r="V579" s="17"/>
      <c r="W579" s="17"/>
      <c r="X579" s="17"/>
    </row>
    <row r="580" spans="1:24">
      <c r="A580" s="1"/>
      <c r="B580" s="1"/>
      <c r="C580" s="17"/>
      <c r="D580" s="17"/>
      <c r="E580" s="17"/>
      <c r="F580" s="17"/>
      <c r="G580" s="17"/>
      <c r="H580" s="17"/>
      <c r="I580" s="17"/>
      <c r="J580" s="17"/>
      <c r="K580" s="17"/>
      <c r="L580" s="17"/>
      <c r="N580" s="1"/>
      <c r="O580" s="17"/>
      <c r="P580" s="17"/>
      <c r="Q580" s="17"/>
      <c r="R580" s="17"/>
      <c r="S580" s="17"/>
      <c r="T580" s="17"/>
      <c r="U580" s="17"/>
      <c r="V580" s="17"/>
      <c r="W580" s="17"/>
      <c r="X580" s="17"/>
    </row>
    <row r="581" spans="1:24">
      <c r="A581" s="1"/>
      <c r="B581" s="1"/>
      <c r="C581" s="17"/>
      <c r="D581" s="17"/>
      <c r="E581" s="17"/>
      <c r="F581" s="17"/>
      <c r="G581" s="17"/>
      <c r="H581" s="17"/>
      <c r="I581" s="17"/>
      <c r="J581" s="17"/>
      <c r="K581" s="17"/>
      <c r="L581" s="17"/>
      <c r="N581" s="1"/>
      <c r="O581" s="17"/>
      <c r="P581" s="17"/>
      <c r="Q581" s="17"/>
      <c r="R581" s="17"/>
      <c r="S581" s="17"/>
      <c r="T581" s="17"/>
      <c r="U581" s="17"/>
      <c r="V581" s="17"/>
      <c r="W581" s="17"/>
      <c r="X581" s="17"/>
    </row>
    <row r="582" spans="1:24">
      <c r="A582" s="1"/>
      <c r="B582" s="1"/>
      <c r="C582" s="17"/>
      <c r="D582" s="17"/>
      <c r="E582" s="17"/>
      <c r="F582" s="17"/>
      <c r="G582" s="17"/>
      <c r="H582" s="17"/>
      <c r="I582" s="17"/>
      <c r="J582" s="17"/>
      <c r="K582" s="17"/>
      <c r="L582" s="17"/>
      <c r="N582" s="1"/>
      <c r="O582" s="17"/>
      <c r="P582" s="17"/>
      <c r="Q582" s="17"/>
      <c r="R582" s="17"/>
      <c r="S582" s="17"/>
      <c r="T582" s="17"/>
      <c r="U582" s="17"/>
      <c r="V582" s="17"/>
      <c r="W582" s="17"/>
      <c r="X582" s="17"/>
    </row>
    <row r="583" spans="1:24">
      <c r="A583" s="1"/>
      <c r="B583" s="1"/>
      <c r="C583" s="17"/>
      <c r="D583" s="17"/>
      <c r="E583" s="17"/>
      <c r="F583" s="17"/>
      <c r="G583" s="17"/>
      <c r="H583" s="17"/>
      <c r="I583" s="17"/>
      <c r="J583" s="17"/>
      <c r="K583" s="17"/>
      <c r="L583" s="17"/>
      <c r="N583" s="1"/>
      <c r="O583" s="17"/>
      <c r="P583" s="17"/>
      <c r="Q583" s="17"/>
      <c r="R583" s="17"/>
      <c r="S583" s="17"/>
      <c r="T583" s="17"/>
      <c r="U583" s="17"/>
      <c r="V583" s="17"/>
      <c r="W583" s="17"/>
      <c r="X583" s="17"/>
    </row>
    <row r="584" spans="1:24">
      <c r="A584" s="1"/>
      <c r="B584" s="1"/>
      <c r="C584" s="17"/>
      <c r="D584" s="17"/>
      <c r="E584" s="17"/>
      <c r="F584" s="17"/>
      <c r="G584" s="17"/>
      <c r="H584" s="17"/>
      <c r="I584" s="17"/>
      <c r="J584" s="17"/>
      <c r="K584" s="17"/>
      <c r="L584" s="17"/>
      <c r="N584" s="1"/>
      <c r="O584" s="17"/>
      <c r="P584" s="17"/>
      <c r="Q584" s="17"/>
      <c r="R584" s="17"/>
      <c r="S584" s="17"/>
      <c r="T584" s="17"/>
      <c r="U584" s="17"/>
      <c r="V584" s="17"/>
      <c r="W584" s="17"/>
      <c r="X584" s="17"/>
    </row>
    <row r="585" spans="1:24">
      <c r="A585" s="1"/>
      <c r="B585" s="1"/>
      <c r="C585" s="17"/>
      <c r="D585" s="17"/>
      <c r="E585" s="17"/>
      <c r="F585" s="17"/>
      <c r="G585" s="17"/>
      <c r="H585" s="17"/>
      <c r="I585" s="17"/>
      <c r="J585" s="17"/>
      <c r="K585" s="17"/>
      <c r="L585" s="17"/>
      <c r="N585" s="1"/>
      <c r="O585" s="17"/>
      <c r="P585" s="17"/>
      <c r="Q585" s="17"/>
      <c r="R585" s="17"/>
      <c r="S585" s="17"/>
      <c r="T585" s="17"/>
      <c r="U585" s="17"/>
      <c r="V585" s="17"/>
      <c r="W585" s="17"/>
      <c r="X585" s="17"/>
    </row>
    <row r="586" spans="1:24">
      <c r="A586" s="1"/>
      <c r="B586" s="1"/>
      <c r="C586" s="17"/>
      <c r="D586" s="17"/>
      <c r="E586" s="17"/>
      <c r="F586" s="17"/>
      <c r="G586" s="17"/>
      <c r="H586" s="17"/>
      <c r="I586" s="17"/>
      <c r="J586" s="17"/>
      <c r="K586" s="17"/>
      <c r="L586" s="17"/>
      <c r="N586" s="1"/>
      <c r="O586" s="17"/>
      <c r="P586" s="17"/>
      <c r="Q586" s="17"/>
      <c r="R586" s="17"/>
      <c r="S586" s="17"/>
      <c r="T586" s="17"/>
      <c r="U586" s="17"/>
      <c r="V586" s="17"/>
      <c r="W586" s="17"/>
      <c r="X586" s="17"/>
    </row>
    <row r="587" spans="1:24">
      <c r="A587" s="1"/>
      <c r="B587" s="1"/>
      <c r="C587" s="17"/>
      <c r="D587" s="17"/>
      <c r="E587" s="17"/>
      <c r="F587" s="17"/>
      <c r="G587" s="17"/>
      <c r="H587" s="17"/>
      <c r="I587" s="17"/>
      <c r="J587" s="17"/>
      <c r="K587" s="17"/>
      <c r="L587" s="17"/>
      <c r="N587" s="1"/>
      <c r="O587" s="17"/>
      <c r="P587" s="17"/>
      <c r="Q587" s="17"/>
      <c r="R587" s="17"/>
      <c r="S587" s="17"/>
      <c r="T587" s="17"/>
      <c r="U587" s="17"/>
      <c r="V587" s="17"/>
      <c r="W587" s="17"/>
      <c r="X587" s="17"/>
    </row>
    <row r="588" spans="1:24">
      <c r="A588" s="1"/>
      <c r="B588" s="1"/>
      <c r="C588" s="17"/>
      <c r="D588" s="17"/>
      <c r="E588" s="17"/>
      <c r="F588" s="17"/>
      <c r="G588" s="17"/>
      <c r="H588" s="17"/>
      <c r="I588" s="17"/>
      <c r="J588" s="17"/>
      <c r="K588" s="17"/>
      <c r="L588" s="17"/>
      <c r="N588" s="1"/>
      <c r="O588" s="17"/>
      <c r="P588" s="17"/>
      <c r="Q588" s="17"/>
      <c r="R588" s="17"/>
      <c r="S588" s="17"/>
      <c r="T588" s="17"/>
      <c r="U588" s="17"/>
      <c r="V588" s="17"/>
      <c r="W588" s="17"/>
      <c r="X588" s="17"/>
    </row>
    <row r="589" spans="1:24">
      <c r="A589" s="1"/>
      <c r="B589" s="1"/>
      <c r="C589" s="17"/>
      <c r="D589" s="17"/>
      <c r="E589" s="17"/>
      <c r="F589" s="17"/>
      <c r="G589" s="17"/>
      <c r="H589" s="17"/>
      <c r="I589" s="17"/>
      <c r="J589" s="17"/>
      <c r="K589" s="17"/>
      <c r="L589" s="17"/>
      <c r="N589" s="1"/>
      <c r="O589" s="17"/>
      <c r="P589" s="17"/>
      <c r="Q589" s="17"/>
      <c r="R589" s="17"/>
      <c r="S589" s="17"/>
      <c r="T589" s="17"/>
      <c r="U589" s="17"/>
      <c r="V589" s="17"/>
      <c r="W589" s="17"/>
      <c r="X589" s="17"/>
    </row>
    <row r="590" spans="1:24">
      <c r="A590" s="1"/>
      <c r="B590" s="1"/>
      <c r="C590" s="17"/>
      <c r="D590" s="17"/>
      <c r="E590" s="17"/>
      <c r="F590" s="17"/>
      <c r="G590" s="17"/>
      <c r="H590" s="17"/>
      <c r="I590" s="17"/>
      <c r="J590" s="17"/>
      <c r="K590" s="17"/>
      <c r="L590" s="17"/>
      <c r="N590" s="1"/>
      <c r="O590" s="17"/>
      <c r="P590" s="17"/>
      <c r="Q590" s="17"/>
      <c r="R590" s="17"/>
      <c r="S590" s="17"/>
      <c r="T590" s="17"/>
      <c r="U590" s="17"/>
      <c r="V590" s="17"/>
      <c r="W590" s="17"/>
      <c r="X590" s="17"/>
    </row>
    <row r="591" spans="1:24">
      <c r="A591" s="1"/>
      <c r="B591" s="1"/>
      <c r="C591" s="17"/>
      <c r="D591" s="17"/>
      <c r="E591" s="17"/>
      <c r="F591" s="17"/>
      <c r="G591" s="17"/>
      <c r="H591" s="17"/>
      <c r="I591" s="17"/>
      <c r="J591" s="17"/>
      <c r="K591" s="17"/>
      <c r="L591" s="17"/>
      <c r="N591" s="1"/>
      <c r="O591" s="17"/>
      <c r="P591" s="17"/>
      <c r="Q591" s="17"/>
      <c r="R591" s="17"/>
      <c r="S591" s="17"/>
      <c r="T591" s="17"/>
      <c r="U591" s="17"/>
      <c r="V591" s="17"/>
      <c r="W591" s="17"/>
      <c r="X591" s="17"/>
    </row>
    <row r="592" spans="1:24">
      <c r="A592" s="1"/>
      <c r="B592" s="1"/>
      <c r="C592" s="17"/>
      <c r="D592" s="17"/>
      <c r="E592" s="17"/>
      <c r="F592" s="17"/>
      <c r="G592" s="17"/>
      <c r="H592" s="17"/>
      <c r="I592" s="17"/>
      <c r="J592" s="17"/>
      <c r="K592" s="17"/>
      <c r="L592" s="17"/>
      <c r="N592" s="1"/>
      <c r="O592" s="17"/>
      <c r="P592" s="17"/>
      <c r="Q592" s="17"/>
      <c r="R592" s="17"/>
      <c r="S592" s="17"/>
      <c r="T592" s="17"/>
      <c r="U592" s="17"/>
      <c r="V592" s="17"/>
      <c r="W592" s="17"/>
      <c r="X592" s="17"/>
    </row>
    <row r="593" spans="1:24">
      <c r="A593" s="1"/>
      <c r="B593" s="1"/>
      <c r="C593" s="17"/>
      <c r="D593" s="17"/>
      <c r="E593" s="17"/>
      <c r="F593" s="17"/>
      <c r="G593" s="17"/>
      <c r="H593" s="17"/>
      <c r="I593" s="17"/>
      <c r="J593" s="17"/>
      <c r="K593" s="17"/>
      <c r="L593" s="17"/>
      <c r="N593" s="1"/>
      <c r="O593" s="17"/>
      <c r="P593" s="17"/>
      <c r="Q593" s="17"/>
      <c r="R593" s="17"/>
      <c r="S593" s="17"/>
      <c r="T593" s="17"/>
      <c r="U593" s="17"/>
      <c r="V593" s="17"/>
      <c r="W593" s="17"/>
      <c r="X593" s="17"/>
    </row>
    <row r="594" spans="1:24">
      <c r="A594" s="1"/>
      <c r="B594" s="1"/>
      <c r="C594" s="17"/>
      <c r="D594" s="17"/>
      <c r="E594" s="17"/>
      <c r="F594" s="17"/>
      <c r="G594" s="17"/>
      <c r="H594" s="17"/>
      <c r="I594" s="17"/>
      <c r="J594" s="17"/>
      <c r="K594" s="17"/>
      <c r="L594" s="17"/>
      <c r="N594" s="1"/>
      <c r="O594" s="17"/>
      <c r="P594" s="17"/>
      <c r="Q594" s="17"/>
      <c r="R594" s="17"/>
      <c r="S594" s="17"/>
      <c r="T594" s="17"/>
      <c r="U594" s="17"/>
      <c r="V594" s="17"/>
      <c r="W594" s="17"/>
      <c r="X594" s="17"/>
    </row>
    <row r="595" spans="1:24">
      <c r="A595" s="1"/>
      <c r="B595" s="1"/>
      <c r="C595" s="17"/>
      <c r="D595" s="17"/>
      <c r="E595" s="17"/>
      <c r="F595" s="17"/>
      <c r="G595" s="17"/>
      <c r="H595" s="17"/>
      <c r="I595" s="17"/>
      <c r="J595" s="17"/>
      <c r="K595" s="17"/>
      <c r="L595" s="17"/>
      <c r="N595" s="1"/>
      <c r="O595" s="17"/>
      <c r="P595" s="17"/>
      <c r="Q595" s="17"/>
      <c r="R595" s="17"/>
      <c r="S595" s="17"/>
      <c r="T595" s="17"/>
      <c r="U595" s="17"/>
      <c r="V595" s="17"/>
      <c r="W595" s="17"/>
      <c r="X595" s="17"/>
    </row>
    <row r="596" spans="1:24">
      <c r="A596" s="1"/>
      <c r="B596" s="1"/>
      <c r="C596" s="17"/>
      <c r="D596" s="17"/>
      <c r="E596" s="17"/>
      <c r="F596" s="17"/>
      <c r="G596" s="17"/>
      <c r="H596" s="17"/>
      <c r="I596" s="17"/>
      <c r="J596" s="17"/>
      <c r="K596" s="17"/>
      <c r="L596" s="17"/>
      <c r="N596" s="1"/>
      <c r="O596" s="17"/>
      <c r="P596" s="17"/>
      <c r="Q596" s="17"/>
      <c r="R596" s="17"/>
      <c r="S596" s="17"/>
      <c r="T596" s="17"/>
      <c r="U596" s="17"/>
      <c r="V596" s="17"/>
      <c r="W596" s="17"/>
      <c r="X596" s="17"/>
    </row>
    <row r="597" spans="1:24">
      <c r="A597" s="1"/>
      <c r="B597" s="1"/>
      <c r="C597" s="17"/>
      <c r="D597" s="17"/>
      <c r="E597" s="17"/>
      <c r="F597" s="17"/>
      <c r="G597" s="17"/>
      <c r="H597" s="17"/>
      <c r="I597" s="17"/>
      <c r="J597" s="17"/>
      <c r="K597" s="17"/>
      <c r="L597" s="17"/>
      <c r="N597" s="1"/>
      <c r="O597" s="17"/>
      <c r="P597" s="17"/>
      <c r="Q597" s="17"/>
      <c r="R597" s="17"/>
      <c r="S597" s="17"/>
      <c r="T597" s="17"/>
      <c r="U597" s="17"/>
      <c r="V597" s="17"/>
      <c r="W597" s="17"/>
      <c r="X597" s="17"/>
    </row>
    <row r="598" spans="1:24">
      <c r="A598" s="1"/>
      <c r="B598" s="1"/>
      <c r="C598" s="17"/>
      <c r="D598" s="17"/>
      <c r="E598" s="17"/>
      <c r="F598" s="17"/>
      <c r="G598" s="17"/>
      <c r="H598" s="17"/>
      <c r="I598" s="17"/>
      <c r="J598" s="17"/>
      <c r="K598" s="17"/>
      <c r="L598" s="17"/>
      <c r="N598" s="1"/>
      <c r="O598" s="17"/>
      <c r="P598" s="17"/>
      <c r="Q598" s="17"/>
      <c r="R598" s="17"/>
      <c r="S598" s="17"/>
      <c r="T598" s="17"/>
      <c r="U598" s="17"/>
      <c r="V598" s="17"/>
      <c r="W598" s="17"/>
      <c r="X598" s="17"/>
    </row>
    <row r="599" spans="1:24">
      <c r="A599" s="1"/>
      <c r="B599" s="1"/>
      <c r="C599" s="17"/>
      <c r="D599" s="17"/>
      <c r="E599" s="17"/>
      <c r="F599" s="17"/>
      <c r="G599" s="17"/>
      <c r="H599" s="17"/>
      <c r="I599" s="17"/>
      <c r="J599" s="17"/>
      <c r="K599" s="17"/>
      <c r="L599" s="17"/>
      <c r="N599" s="1"/>
      <c r="O599" s="17"/>
      <c r="P599" s="17"/>
      <c r="Q599" s="17"/>
      <c r="R599" s="17"/>
      <c r="S599" s="17"/>
      <c r="T599" s="17"/>
      <c r="U599" s="17"/>
      <c r="V599" s="17"/>
      <c r="W599" s="17"/>
      <c r="X599" s="17"/>
    </row>
    <row r="600" spans="1:24">
      <c r="A600" s="1"/>
      <c r="B600" s="1"/>
      <c r="C600" s="17"/>
      <c r="D600" s="17"/>
      <c r="E600" s="17"/>
      <c r="F600" s="17"/>
      <c r="G600" s="17"/>
      <c r="H600" s="17"/>
      <c r="I600" s="17"/>
      <c r="J600" s="17"/>
      <c r="K600" s="17"/>
      <c r="L600" s="17"/>
      <c r="N600" s="1"/>
      <c r="O600" s="17"/>
      <c r="P600" s="17"/>
      <c r="Q600" s="17"/>
      <c r="R600" s="17"/>
      <c r="S600" s="17"/>
      <c r="T600" s="17"/>
      <c r="U600" s="17"/>
      <c r="V600" s="17"/>
      <c r="W600" s="17"/>
      <c r="X600" s="17"/>
    </row>
    <row r="601" spans="1:24">
      <c r="A601" s="1"/>
      <c r="B601" s="1"/>
      <c r="C601" s="17"/>
      <c r="D601" s="17"/>
      <c r="E601" s="17"/>
      <c r="F601" s="17"/>
      <c r="G601" s="17"/>
      <c r="H601" s="17"/>
      <c r="I601" s="17"/>
      <c r="J601" s="17"/>
      <c r="K601" s="17"/>
      <c r="L601" s="17"/>
      <c r="N601" s="1"/>
      <c r="O601" s="17"/>
      <c r="P601" s="17"/>
      <c r="Q601" s="17"/>
      <c r="R601" s="17"/>
      <c r="S601" s="17"/>
      <c r="T601" s="17"/>
      <c r="U601" s="17"/>
      <c r="V601" s="17"/>
      <c r="W601" s="17"/>
      <c r="X601" s="17"/>
    </row>
    <row r="602" spans="1:24">
      <c r="A602" s="1"/>
      <c r="B602" s="1"/>
      <c r="C602" s="17"/>
      <c r="D602" s="17"/>
      <c r="E602" s="17"/>
      <c r="F602" s="17"/>
      <c r="G602" s="17"/>
      <c r="H602" s="17"/>
      <c r="I602" s="17"/>
      <c r="J602" s="17"/>
      <c r="K602" s="17"/>
      <c r="L602" s="17"/>
      <c r="N602" s="1"/>
      <c r="O602" s="17"/>
      <c r="P602" s="17"/>
      <c r="Q602" s="17"/>
      <c r="R602" s="17"/>
      <c r="S602" s="17"/>
      <c r="T602" s="17"/>
      <c r="U602" s="17"/>
      <c r="V602" s="17"/>
      <c r="W602" s="17"/>
      <c r="X602" s="17"/>
    </row>
    <row r="603" spans="1:24">
      <c r="A603" s="1"/>
      <c r="B603" s="1"/>
      <c r="C603" s="17"/>
      <c r="D603" s="17"/>
      <c r="E603" s="17"/>
      <c r="F603" s="17"/>
      <c r="G603" s="17"/>
      <c r="H603" s="17"/>
      <c r="I603" s="17"/>
      <c r="J603" s="17"/>
      <c r="K603" s="17"/>
      <c r="L603" s="17"/>
      <c r="N603" s="1"/>
      <c r="O603" s="17"/>
      <c r="P603" s="17"/>
      <c r="Q603" s="17"/>
      <c r="R603" s="17"/>
      <c r="S603" s="17"/>
      <c r="T603" s="17"/>
      <c r="U603" s="17"/>
      <c r="V603" s="17"/>
      <c r="W603" s="17"/>
      <c r="X603" s="17"/>
    </row>
    <row r="604" spans="1:24">
      <c r="A604" s="1"/>
      <c r="B604" s="1"/>
      <c r="C604" s="17"/>
      <c r="D604" s="17"/>
      <c r="E604" s="17"/>
      <c r="F604" s="17"/>
      <c r="G604" s="17"/>
      <c r="H604" s="17"/>
      <c r="I604" s="17"/>
      <c r="J604" s="17"/>
      <c r="K604" s="17"/>
      <c r="L604" s="17"/>
      <c r="N604" s="1"/>
      <c r="O604" s="17"/>
      <c r="P604" s="17"/>
      <c r="Q604" s="17"/>
      <c r="R604" s="17"/>
      <c r="S604" s="17"/>
      <c r="T604" s="17"/>
      <c r="U604" s="17"/>
      <c r="V604" s="17"/>
      <c r="W604" s="17"/>
      <c r="X604" s="17"/>
    </row>
    <row r="605" spans="1:24">
      <c r="A605" s="1"/>
      <c r="B605" s="1"/>
      <c r="C605" s="17"/>
      <c r="D605" s="17"/>
      <c r="E605" s="17"/>
      <c r="F605" s="17"/>
      <c r="G605" s="17"/>
      <c r="H605" s="17"/>
      <c r="I605" s="17"/>
      <c r="J605" s="17"/>
      <c r="K605" s="17"/>
      <c r="L605" s="17"/>
      <c r="N605" s="1"/>
      <c r="O605" s="17"/>
      <c r="P605" s="17"/>
      <c r="Q605" s="17"/>
      <c r="R605" s="17"/>
      <c r="S605" s="17"/>
      <c r="T605" s="17"/>
      <c r="U605" s="17"/>
      <c r="V605" s="17"/>
      <c r="W605" s="17"/>
      <c r="X605" s="17"/>
    </row>
    <row r="606" spans="1:24">
      <c r="A606" s="1"/>
      <c r="B606" s="1"/>
      <c r="C606" s="17"/>
      <c r="D606" s="17"/>
      <c r="E606" s="17"/>
      <c r="F606" s="17"/>
      <c r="G606" s="17"/>
      <c r="H606" s="17"/>
      <c r="I606" s="17"/>
      <c r="J606" s="17"/>
      <c r="K606" s="17"/>
      <c r="L606" s="17"/>
      <c r="N606" s="1"/>
      <c r="O606" s="17"/>
      <c r="P606" s="17"/>
      <c r="Q606" s="17"/>
      <c r="R606" s="17"/>
      <c r="S606" s="17"/>
      <c r="T606" s="17"/>
      <c r="U606" s="17"/>
      <c r="V606" s="17"/>
      <c r="W606" s="17"/>
      <c r="X606" s="17"/>
    </row>
    <row r="607" spans="1:24">
      <c r="A607" s="1"/>
      <c r="B607" s="1"/>
      <c r="C607" s="17"/>
      <c r="D607" s="17"/>
      <c r="E607" s="17"/>
      <c r="F607" s="17"/>
      <c r="G607" s="17"/>
      <c r="H607" s="17"/>
      <c r="I607" s="17"/>
      <c r="J607" s="17"/>
      <c r="K607" s="17"/>
      <c r="L607" s="17"/>
      <c r="N607" s="1"/>
      <c r="O607" s="17"/>
      <c r="P607" s="17"/>
      <c r="Q607" s="17"/>
      <c r="R607" s="17"/>
      <c r="S607" s="17"/>
      <c r="T607" s="17"/>
      <c r="U607" s="17"/>
      <c r="V607" s="17"/>
      <c r="W607" s="17"/>
      <c r="X607" s="17"/>
    </row>
    <row r="608" spans="1:24">
      <c r="A608" s="1"/>
      <c r="B608" s="1"/>
      <c r="C608" s="17"/>
      <c r="D608" s="17"/>
      <c r="E608" s="17"/>
      <c r="F608" s="17"/>
      <c r="G608" s="17"/>
      <c r="H608" s="17"/>
      <c r="I608" s="17"/>
      <c r="J608" s="17"/>
      <c r="K608" s="17"/>
      <c r="L608" s="17"/>
      <c r="N608" s="1"/>
      <c r="O608" s="17"/>
      <c r="P608" s="17"/>
      <c r="Q608" s="17"/>
      <c r="R608" s="17"/>
      <c r="S608" s="17"/>
      <c r="T608" s="17"/>
      <c r="U608" s="17"/>
      <c r="V608" s="17"/>
      <c r="W608" s="17"/>
      <c r="X608" s="17"/>
    </row>
    <row r="609" spans="1:24">
      <c r="A609" s="1"/>
      <c r="B609" s="1"/>
      <c r="C609" s="17"/>
      <c r="D609" s="17"/>
      <c r="E609" s="17"/>
      <c r="F609" s="17"/>
      <c r="G609" s="17"/>
      <c r="H609" s="17"/>
      <c r="I609" s="17"/>
      <c r="J609" s="17"/>
      <c r="K609" s="17"/>
      <c r="L609" s="17"/>
      <c r="N609" s="1"/>
      <c r="O609" s="17"/>
      <c r="P609" s="17"/>
      <c r="Q609" s="17"/>
      <c r="R609" s="17"/>
      <c r="S609" s="17"/>
      <c r="T609" s="17"/>
      <c r="U609" s="17"/>
      <c r="V609" s="17"/>
      <c r="W609" s="17"/>
      <c r="X609" s="17"/>
    </row>
    <row r="610" spans="1:24">
      <c r="A610" s="1"/>
      <c r="B610" s="1"/>
      <c r="C610" s="17"/>
      <c r="D610" s="17"/>
      <c r="E610" s="17"/>
      <c r="F610" s="17"/>
      <c r="G610" s="17"/>
      <c r="H610" s="17"/>
      <c r="I610" s="17"/>
      <c r="J610" s="17"/>
      <c r="K610" s="17"/>
      <c r="L610" s="17"/>
      <c r="N610" s="1"/>
      <c r="O610" s="17"/>
      <c r="P610" s="17"/>
      <c r="Q610" s="17"/>
      <c r="R610" s="17"/>
      <c r="S610" s="17"/>
      <c r="T610" s="17"/>
      <c r="U610" s="17"/>
      <c r="V610" s="17"/>
      <c r="W610" s="17"/>
      <c r="X610" s="17"/>
    </row>
    <row r="611" spans="1:24">
      <c r="A611" s="1"/>
      <c r="B611" s="1"/>
      <c r="C611" s="17"/>
      <c r="D611" s="17"/>
      <c r="E611" s="17"/>
      <c r="F611" s="17"/>
      <c r="G611" s="17"/>
      <c r="H611" s="17"/>
      <c r="I611" s="17"/>
      <c r="J611" s="17"/>
      <c r="K611" s="17"/>
      <c r="L611" s="17"/>
      <c r="N611" s="1"/>
      <c r="O611" s="17"/>
      <c r="P611" s="17"/>
      <c r="Q611" s="17"/>
      <c r="R611" s="17"/>
      <c r="S611" s="17"/>
      <c r="T611" s="17"/>
      <c r="U611" s="17"/>
      <c r="V611" s="17"/>
      <c r="W611" s="17"/>
      <c r="X611" s="17"/>
    </row>
    <row r="612" spans="1:24">
      <c r="A612" s="1"/>
      <c r="B612" s="1"/>
      <c r="C612" s="17"/>
      <c r="D612" s="17"/>
      <c r="E612" s="17"/>
      <c r="F612" s="17"/>
      <c r="G612" s="17"/>
      <c r="H612" s="17"/>
      <c r="I612" s="17"/>
      <c r="J612" s="17"/>
      <c r="K612" s="17"/>
      <c r="L612" s="17"/>
      <c r="N612" s="1"/>
      <c r="O612" s="17"/>
      <c r="P612" s="17"/>
      <c r="Q612" s="17"/>
      <c r="R612" s="17"/>
      <c r="S612" s="17"/>
      <c r="T612" s="17"/>
      <c r="U612" s="17"/>
      <c r="V612" s="17"/>
      <c r="W612" s="17"/>
      <c r="X612" s="17"/>
    </row>
    <row r="613" spans="1:24">
      <c r="A613" s="1"/>
      <c r="B613" s="1"/>
      <c r="C613" s="17"/>
      <c r="D613" s="17"/>
      <c r="E613" s="17"/>
      <c r="F613" s="17"/>
      <c r="G613" s="17"/>
      <c r="H613" s="17"/>
      <c r="I613" s="17"/>
      <c r="J613" s="17"/>
      <c r="K613" s="17"/>
      <c r="L613" s="17"/>
      <c r="N613" s="1"/>
      <c r="O613" s="17"/>
      <c r="P613" s="17"/>
      <c r="Q613" s="17"/>
      <c r="R613" s="17"/>
      <c r="S613" s="17"/>
      <c r="T613" s="17"/>
      <c r="U613" s="17"/>
      <c r="V613" s="17"/>
      <c r="W613" s="17"/>
      <c r="X613" s="17"/>
    </row>
    <row r="614" spans="1:24">
      <c r="A614" s="1"/>
      <c r="B614" s="1"/>
      <c r="C614" s="17"/>
      <c r="D614" s="17"/>
      <c r="E614" s="17"/>
      <c r="F614" s="17"/>
      <c r="G614" s="17"/>
      <c r="H614" s="17"/>
      <c r="I614" s="17"/>
      <c r="J614" s="17"/>
      <c r="K614" s="17"/>
      <c r="L614" s="17"/>
      <c r="N614" s="1"/>
      <c r="O614" s="17"/>
      <c r="P614" s="17"/>
      <c r="Q614" s="17"/>
      <c r="R614" s="17"/>
      <c r="S614" s="17"/>
      <c r="T614" s="17"/>
      <c r="U614" s="17"/>
      <c r="V614" s="17"/>
      <c r="W614" s="17"/>
      <c r="X614" s="17"/>
    </row>
    <row r="615" spans="1:24">
      <c r="A615" s="1"/>
      <c r="B615" s="1"/>
      <c r="C615" s="17"/>
      <c r="D615" s="17"/>
      <c r="E615" s="17"/>
      <c r="F615" s="17"/>
      <c r="G615" s="17"/>
      <c r="H615" s="17"/>
      <c r="I615" s="17"/>
      <c r="J615" s="17"/>
      <c r="K615" s="17"/>
      <c r="L615" s="17"/>
      <c r="N615" s="1"/>
      <c r="O615" s="17"/>
      <c r="P615" s="17"/>
      <c r="Q615" s="17"/>
      <c r="R615" s="17"/>
      <c r="S615" s="17"/>
      <c r="T615" s="17"/>
      <c r="U615" s="17"/>
      <c r="V615" s="17"/>
      <c r="W615" s="17"/>
      <c r="X615" s="17"/>
    </row>
    <row r="616" spans="1:24">
      <c r="A616" s="1"/>
      <c r="B616" s="1"/>
      <c r="C616" s="17"/>
      <c r="D616" s="17"/>
      <c r="E616" s="17"/>
      <c r="F616" s="17"/>
      <c r="G616" s="17"/>
      <c r="H616" s="17"/>
      <c r="I616" s="17"/>
      <c r="J616" s="17"/>
      <c r="K616" s="17"/>
      <c r="L616" s="17"/>
      <c r="N616" s="1"/>
      <c r="O616" s="17"/>
      <c r="P616" s="17"/>
      <c r="Q616" s="17"/>
      <c r="R616" s="17"/>
      <c r="S616" s="17"/>
      <c r="T616" s="17"/>
      <c r="U616" s="17"/>
      <c r="V616" s="17"/>
      <c r="W616" s="17"/>
      <c r="X616" s="17"/>
    </row>
    <row r="617" spans="1:24">
      <c r="A617" s="1"/>
      <c r="B617" s="1"/>
      <c r="C617" s="17"/>
      <c r="D617" s="17"/>
      <c r="E617" s="17"/>
      <c r="F617" s="17"/>
      <c r="G617" s="17"/>
      <c r="H617" s="17"/>
      <c r="I617" s="17"/>
      <c r="J617" s="17"/>
      <c r="K617" s="17"/>
      <c r="L617" s="17"/>
      <c r="N617" s="1"/>
      <c r="O617" s="17"/>
      <c r="P617" s="17"/>
      <c r="Q617" s="17"/>
      <c r="R617" s="17"/>
      <c r="S617" s="17"/>
      <c r="T617" s="17"/>
      <c r="U617" s="17"/>
      <c r="V617" s="17"/>
      <c r="W617" s="17"/>
      <c r="X617" s="17"/>
    </row>
    <row r="618" spans="1:24">
      <c r="A618" s="1"/>
      <c r="B618" s="1"/>
      <c r="C618" s="17"/>
      <c r="D618" s="17"/>
      <c r="E618" s="17"/>
      <c r="F618" s="17"/>
      <c r="G618" s="17"/>
      <c r="H618" s="17"/>
      <c r="I618" s="17"/>
      <c r="J618" s="17"/>
      <c r="K618" s="17"/>
      <c r="L618" s="17"/>
      <c r="N618" s="1"/>
      <c r="O618" s="17"/>
      <c r="P618" s="17"/>
      <c r="Q618" s="17"/>
      <c r="R618" s="17"/>
      <c r="S618" s="17"/>
      <c r="T618" s="17"/>
      <c r="U618" s="17"/>
      <c r="V618" s="17"/>
      <c r="W618" s="17"/>
      <c r="X618" s="17"/>
    </row>
    <row r="619" spans="1:24">
      <c r="A619" s="1"/>
      <c r="B619" s="1"/>
      <c r="C619" s="17"/>
      <c r="D619" s="17"/>
      <c r="E619" s="17"/>
      <c r="F619" s="17"/>
      <c r="G619" s="17"/>
      <c r="H619" s="17"/>
      <c r="I619" s="17"/>
      <c r="J619" s="17"/>
      <c r="K619" s="17"/>
      <c r="L619" s="17"/>
      <c r="N619" s="1"/>
      <c r="O619" s="17"/>
      <c r="P619" s="17"/>
      <c r="Q619" s="17"/>
      <c r="R619" s="17"/>
      <c r="S619" s="17"/>
      <c r="T619" s="17"/>
      <c r="U619" s="17"/>
      <c r="V619" s="17"/>
      <c r="W619" s="17"/>
      <c r="X619" s="17"/>
    </row>
    <row r="620" spans="1:24">
      <c r="A620" s="1"/>
      <c r="B620" s="1"/>
      <c r="C620" s="17"/>
      <c r="D620" s="17"/>
      <c r="E620" s="17"/>
      <c r="F620" s="17"/>
      <c r="G620" s="17"/>
      <c r="H620" s="17"/>
      <c r="I620" s="17"/>
      <c r="J620" s="17"/>
      <c r="K620" s="17"/>
      <c r="L620" s="17"/>
      <c r="N620" s="1"/>
      <c r="O620" s="17"/>
      <c r="P620" s="17"/>
      <c r="Q620" s="17"/>
      <c r="R620" s="17"/>
      <c r="S620" s="17"/>
      <c r="T620" s="17"/>
      <c r="U620" s="17"/>
      <c r="V620" s="17"/>
      <c r="W620" s="17"/>
      <c r="X620" s="17"/>
    </row>
    <row r="621" spans="1:24">
      <c r="A621" s="1"/>
      <c r="B621" s="1"/>
      <c r="C621" s="17"/>
      <c r="D621" s="17"/>
      <c r="E621" s="17"/>
      <c r="F621" s="17"/>
      <c r="G621" s="17"/>
      <c r="H621" s="17"/>
      <c r="I621" s="17"/>
      <c r="J621" s="17"/>
      <c r="K621" s="17"/>
      <c r="L621" s="17"/>
      <c r="N621" s="1"/>
      <c r="O621" s="17"/>
      <c r="P621" s="17"/>
      <c r="Q621" s="17"/>
      <c r="R621" s="17"/>
      <c r="S621" s="17"/>
      <c r="T621" s="17"/>
      <c r="U621" s="17"/>
      <c r="V621" s="17"/>
      <c r="W621" s="17"/>
      <c r="X621" s="17"/>
    </row>
    <row r="622" spans="1:24">
      <c r="A622" s="1"/>
      <c r="B622" s="1"/>
      <c r="C622" s="17"/>
      <c r="D622" s="17"/>
      <c r="E622" s="17"/>
      <c r="F622" s="17"/>
      <c r="G622" s="17"/>
      <c r="H622" s="17"/>
      <c r="I622" s="17"/>
      <c r="J622" s="17"/>
      <c r="K622" s="17"/>
      <c r="L622" s="17"/>
      <c r="N622" s="1"/>
      <c r="O622" s="17"/>
      <c r="P622" s="17"/>
      <c r="Q622" s="17"/>
      <c r="R622" s="17"/>
      <c r="S622" s="17"/>
      <c r="T622" s="17"/>
      <c r="U622" s="17"/>
      <c r="V622" s="17"/>
      <c r="W622" s="17"/>
      <c r="X622" s="17"/>
    </row>
    <row r="623" spans="1:24">
      <c r="A623" s="1"/>
      <c r="B623" s="1"/>
      <c r="C623" s="17"/>
      <c r="D623" s="17"/>
      <c r="E623" s="17"/>
      <c r="F623" s="17"/>
      <c r="G623" s="17"/>
      <c r="H623" s="17"/>
      <c r="I623" s="17"/>
      <c r="J623" s="17"/>
      <c r="K623" s="17"/>
      <c r="L623" s="17"/>
      <c r="N623" s="1"/>
      <c r="O623" s="17"/>
      <c r="P623" s="17"/>
      <c r="Q623" s="17"/>
      <c r="R623" s="17"/>
      <c r="S623" s="17"/>
      <c r="T623" s="17"/>
      <c r="U623" s="17"/>
      <c r="V623" s="17"/>
      <c r="W623" s="17"/>
      <c r="X623" s="17"/>
    </row>
    <row r="624" spans="1:24">
      <c r="A624" s="1"/>
      <c r="B624" s="1"/>
      <c r="C624" s="17"/>
      <c r="D624" s="17"/>
      <c r="E624" s="17"/>
      <c r="F624" s="17"/>
      <c r="G624" s="17"/>
      <c r="H624" s="17"/>
      <c r="I624" s="17"/>
      <c r="J624" s="17"/>
      <c r="K624" s="17"/>
      <c r="L624" s="17"/>
      <c r="N624" s="1"/>
      <c r="O624" s="17"/>
      <c r="P624" s="17"/>
      <c r="Q624" s="17"/>
      <c r="R624" s="17"/>
      <c r="S624" s="17"/>
      <c r="T624" s="17"/>
      <c r="U624" s="17"/>
      <c r="V624" s="17"/>
      <c r="W624" s="17"/>
      <c r="X624" s="17"/>
    </row>
    <row r="625" spans="1:24">
      <c r="A625" s="1"/>
      <c r="B625" s="1"/>
      <c r="C625" s="17"/>
      <c r="D625" s="17"/>
      <c r="E625" s="17"/>
      <c r="F625" s="17"/>
      <c r="G625" s="17"/>
      <c r="H625" s="17"/>
      <c r="I625" s="17"/>
      <c r="J625" s="17"/>
      <c r="K625" s="17"/>
      <c r="L625" s="17"/>
      <c r="N625" s="1"/>
      <c r="O625" s="17"/>
      <c r="P625" s="17"/>
      <c r="Q625" s="17"/>
      <c r="R625" s="17"/>
      <c r="S625" s="17"/>
      <c r="T625" s="17"/>
      <c r="U625" s="17"/>
      <c r="V625" s="17"/>
      <c r="W625" s="17"/>
      <c r="X625" s="17"/>
    </row>
    <row r="626" spans="1:24">
      <c r="A626" s="1"/>
      <c r="B626" s="1"/>
      <c r="C626" s="17"/>
      <c r="D626" s="17"/>
      <c r="E626" s="17"/>
      <c r="F626" s="17"/>
      <c r="G626" s="17"/>
      <c r="H626" s="17"/>
      <c r="I626" s="17"/>
      <c r="J626" s="17"/>
      <c r="K626" s="17"/>
      <c r="L626" s="17"/>
      <c r="N626" s="1"/>
      <c r="O626" s="17"/>
      <c r="P626" s="17"/>
      <c r="Q626" s="17"/>
      <c r="R626" s="17"/>
      <c r="S626" s="17"/>
      <c r="T626" s="17"/>
      <c r="U626" s="17"/>
      <c r="V626" s="17"/>
      <c r="W626" s="17"/>
      <c r="X626" s="17"/>
    </row>
    <row r="627" spans="1:24">
      <c r="A627" s="1"/>
      <c r="B627" s="1"/>
      <c r="C627" s="17"/>
      <c r="D627" s="17"/>
      <c r="E627" s="17"/>
      <c r="F627" s="17"/>
      <c r="G627" s="17"/>
      <c r="H627" s="17"/>
      <c r="I627" s="17"/>
      <c r="J627" s="17"/>
      <c r="K627" s="17"/>
      <c r="L627" s="17"/>
      <c r="N627" s="1"/>
      <c r="O627" s="17"/>
      <c r="P627" s="17"/>
      <c r="Q627" s="17"/>
      <c r="R627" s="17"/>
      <c r="S627" s="17"/>
      <c r="T627" s="17"/>
      <c r="U627" s="17"/>
      <c r="V627" s="17"/>
      <c r="W627" s="17"/>
      <c r="X627" s="17"/>
    </row>
    <row r="628" spans="1:24">
      <c r="A628" s="1"/>
      <c r="B628" s="1"/>
      <c r="C628" s="17"/>
      <c r="D628" s="17"/>
      <c r="E628" s="17"/>
      <c r="F628" s="17"/>
      <c r="G628" s="17"/>
      <c r="H628" s="17"/>
      <c r="I628" s="17"/>
      <c r="J628" s="17"/>
      <c r="K628" s="17"/>
      <c r="L628" s="17"/>
      <c r="N628" s="1"/>
      <c r="O628" s="17"/>
      <c r="P628" s="17"/>
      <c r="Q628" s="17"/>
      <c r="R628" s="17"/>
      <c r="S628" s="17"/>
      <c r="T628" s="17"/>
      <c r="U628" s="17"/>
      <c r="V628" s="17"/>
      <c r="W628" s="17"/>
      <c r="X628" s="17"/>
    </row>
    <row r="629" spans="1:24">
      <c r="A629" s="1"/>
      <c r="B629" s="1"/>
      <c r="C629" s="17"/>
      <c r="D629" s="17"/>
      <c r="E629" s="17"/>
      <c r="F629" s="17"/>
      <c r="G629" s="17"/>
      <c r="H629" s="17"/>
      <c r="I629" s="17"/>
      <c r="J629" s="17"/>
      <c r="K629" s="17"/>
      <c r="L629" s="17"/>
      <c r="N629" s="1"/>
      <c r="O629" s="17"/>
      <c r="P629" s="17"/>
      <c r="Q629" s="17"/>
      <c r="R629" s="17"/>
      <c r="S629" s="17"/>
      <c r="T629" s="17"/>
      <c r="U629" s="17"/>
      <c r="V629" s="17"/>
      <c r="W629" s="17"/>
      <c r="X629" s="17"/>
    </row>
    <row r="630" spans="1:24">
      <c r="A630" s="1"/>
      <c r="B630" s="1"/>
      <c r="C630" s="17"/>
      <c r="D630" s="17"/>
      <c r="E630" s="17"/>
      <c r="F630" s="17"/>
      <c r="G630" s="17"/>
      <c r="H630" s="17"/>
      <c r="I630" s="17"/>
      <c r="J630" s="17"/>
      <c r="K630" s="17"/>
      <c r="L630" s="17"/>
      <c r="N630" s="1"/>
      <c r="O630" s="17"/>
      <c r="P630" s="17"/>
      <c r="Q630" s="17"/>
      <c r="R630" s="17"/>
      <c r="S630" s="17"/>
      <c r="T630" s="17"/>
      <c r="U630" s="17"/>
      <c r="V630" s="17"/>
      <c r="W630" s="17"/>
      <c r="X630" s="17"/>
    </row>
    <row r="631" spans="1:24">
      <c r="A631" s="1"/>
      <c r="B631" s="1"/>
      <c r="C631" s="17"/>
      <c r="D631" s="17"/>
      <c r="E631" s="17"/>
      <c r="F631" s="17"/>
      <c r="G631" s="17"/>
      <c r="H631" s="17"/>
      <c r="I631" s="17"/>
      <c r="J631" s="17"/>
      <c r="K631" s="17"/>
      <c r="L631" s="17"/>
      <c r="N631" s="1"/>
      <c r="O631" s="17"/>
      <c r="P631" s="17"/>
      <c r="Q631" s="17"/>
      <c r="R631" s="17"/>
      <c r="S631" s="17"/>
      <c r="T631" s="17"/>
      <c r="U631" s="17"/>
      <c r="V631" s="17"/>
      <c r="W631" s="17"/>
      <c r="X631" s="17"/>
    </row>
    <row r="632" spans="1:24">
      <c r="A632" s="1"/>
      <c r="B632" s="1"/>
      <c r="C632" s="17"/>
      <c r="D632" s="17"/>
      <c r="E632" s="17"/>
      <c r="F632" s="17"/>
      <c r="G632" s="17"/>
      <c r="H632" s="17"/>
      <c r="I632" s="17"/>
      <c r="J632" s="17"/>
      <c r="K632" s="17"/>
      <c r="L632" s="17"/>
      <c r="N632" s="1"/>
      <c r="O632" s="17"/>
      <c r="P632" s="17"/>
      <c r="Q632" s="17"/>
      <c r="R632" s="17"/>
      <c r="S632" s="17"/>
      <c r="T632" s="17"/>
      <c r="U632" s="17"/>
      <c r="V632" s="17"/>
      <c r="W632" s="17"/>
      <c r="X632" s="17"/>
    </row>
    <row r="633" spans="1:24">
      <c r="A633" s="1"/>
      <c r="B633" s="1"/>
      <c r="C633" s="17"/>
      <c r="D633" s="17"/>
      <c r="E633" s="17"/>
      <c r="F633" s="17"/>
      <c r="G633" s="17"/>
      <c r="H633" s="17"/>
      <c r="I633" s="17"/>
      <c r="J633" s="17"/>
      <c r="K633" s="17"/>
      <c r="L633" s="17"/>
      <c r="N633" s="1"/>
      <c r="O633" s="17"/>
      <c r="P633" s="17"/>
      <c r="Q633" s="17"/>
      <c r="R633" s="17"/>
      <c r="S633" s="17"/>
      <c r="T633" s="17"/>
      <c r="U633" s="17"/>
      <c r="V633" s="17"/>
      <c r="W633" s="17"/>
      <c r="X633" s="17"/>
    </row>
    <row r="634" spans="1:24">
      <c r="A634" s="1"/>
      <c r="B634" s="1"/>
      <c r="C634" s="17"/>
      <c r="D634" s="17"/>
      <c r="E634" s="17"/>
      <c r="F634" s="17"/>
      <c r="G634" s="17"/>
      <c r="H634" s="17"/>
      <c r="I634" s="17"/>
      <c r="J634" s="17"/>
      <c r="K634" s="17"/>
      <c r="L634" s="17"/>
      <c r="N634" s="1"/>
      <c r="O634" s="17"/>
      <c r="P634" s="17"/>
      <c r="Q634" s="17"/>
      <c r="R634" s="17"/>
      <c r="S634" s="17"/>
      <c r="T634" s="17"/>
      <c r="U634" s="17"/>
      <c r="V634" s="17"/>
      <c r="W634" s="17"/>
      <c r="X634" s="17"/>
    </row>
    <row r="635" spans="1:24">
      <c r="A635" s="1"/>
      <c r="B635" s="1"/>
      <c r="C635" s="17"/>
      <c r="D635" s="17"/>
      <c r="E635" s="17"/>
      <c r="F635" s="17"/>
      <c r="G635" s="17"/>
      <c r="H635" s="17"/>
      <c r="I635" s="17"/>
      <c r="J635" s="17"/>
      <c r="K635" s="17"/>
      <c r="L635" s="17"/>
      <c r="N635" s="1"/>
      <c r="O635" s="17"/>
      <c r="P635" s="17"/>
      <c r="Q635" s="17"/>
      <c r="R635" s="17"/>
      <c r="S635" s="17"/>
      <c r="T635" s="17"/>
      <c r="U635" s="17"/>
      <c r="V635" s="17"/>
      <c r="W635" s="17"/>
      <c r="X635" s="17"/>
    </row>
    <row r="636" spans="1:24">
      <c r="A636" s="1"/>
      <c r="B636" s="1"/>
      <c r="C636" s="17"/>
      <c r="D636" s="17"/>
      <c r="E636" s="17"/>
      <c r="F636" s="17"/>
      <c r="G636" s="17"/>
      <c r="H636" s="17"/>
      <c r="I636" s="17"/>
      <c r="J636" s="17"/>
      <c r="K636" s="17"/>
      <c r="L636" s="17"/>
      <c r="N636" s="1"/>
      <c r="O636" s="17"/>
      <c r="P636" s="17"/>
      <c r="Q636" s="17"/>
      <c r="R636" s="17"/>
      <c r="S636" s="17"/>
      <c r="T636" s="17"/>
      <c r="U636" s="17"/>
      <c r="V636" s="17"/>
      <c r="W636" s="17"/>
      <c r="X636" s="17"/>
    </row>
    <row r="637" spans="1:24">
      <c r="A637" s="1"/>
      <c r="B637" s="1"/>
      <c r="C637" s="17"/>
      <c r="D637" s="17"/>
      <c r="E637" s="17"/>
      <c r="F637" s="17"/>
      <c r="G637" s="17"/>
      <c r="H637" s="17"/>
      <c r="I637" s="17"/>
      <c r="J637" s="17"/>
      <c r="K637" s="17"/>
      <c r="L637" s="17"/>
      <c r="N637" s="1"/>
      <c r="O637" s="17"/>
      <c r="P637" s="17"/>
      <c r="Q637" s="17"/>
      <c r="R637" s="17"/>
      <c r="S637" s="17"/>
      <c r="T637" s="17"/>
      <c r="U637" s="17"/>
      <c r="V637" s="17"/>
      <c r="W637" s="17"/>
      <c r="X637" s="17"/>
    </row>
    <row r="638" spans="1:24">
      <c r="A638" s="1"/>
      <c r="B638" s="1"/>
      <c r="C638" s="17"/>
      <c r="D638" s="17"/>
      <c r="E638" s="17"/>
      <c r="F638" s="17"/>
      <c r="G638" s="17"/>
      <c r="H638" s="17"/>
      <c r="I638" s="17"/>
      <c r="J638" s="17"/>
      <c r="K638" s="17"/>
      <c r="L638" s="17"/>
      <c r="N638" s="1"/>
      <c r="O638" s="17"/>
      <c r="P638" s="17"/>
      <c r="Q638" s="17"/>
      <c r="R638" s="17"/>
      <c r="S638" s="17"/>
      <c r="T638" s="17"/>
      <c r="U638" s="17"/>
      <c r="V638" s="17"/>
      <c r="W638" s="17"/>
      <c r="X638" s="17"/>
    </row>
    <row r="639" spans="1:24">
      <c r="A639" s="1"/>
      <c r="B639" s="1"/>
      <c r="C639" s="17"/>
      <c r="D639" s="17"/>
      <c r="E639" s="17"/>
      <c r="F639" s="17"/>
      <c r="G639" s="17"/>
      <c r="H639" s="17"/>
      <c r="I639" s="17"/>
      <c r="J639" s="17"/>
      <c r="K639" s="17"/>
      <c r="L639" s="17"/>
      <c r="N639" s="1"/>
      <c r="O639" s="17"/>
      <c r="P639" s="17"/>
      <c r="Q639" s="17"/>
      <c r="R639" s="17"/>
      <c r="S639" s="17"/>
      <c r="T639" s="17"/>
      <c r="U639" s="17"/>
      <c r="V639" s="17"/>
      <c r="W639" s="17"/>
      <c r="X639" s="17"/>
    </row>
    <row r="640" spans="1:24">
      <c r="A640" s="1"/>
      <c r="B640" s="1"/>
      <c r="C640" s="17"/>
      <c r="D640" s="17"/>
      <c r="E640" s="17"/>
      <c r="F640" s="17"/>
      <c r="G640" s="17"/>
      <c r="H640" s="17"/>
      <c r="I640" s="17"/>
      <c r="J640" s="17"/>
      <c r="K640" s="17"/>
      <c r="L640" s="17"/>
      <c r="N640" s="1"/>
      <c r="O640" s="17"/>
      <c r="P640" s="17"/>
      <c r="Q640" s="17"/>
      <c r="R640" s="17"/>
      <c r="S640" s="17"/>
      <c r="T640" s="17"/>
      <c r="U640" s="17"/>
      <c r="V640" s="17"/>
      <c r="W640" s="17"/>
      <c r="X640" s="17"/>
    </row>
    <row r="641" spans="1:24">
      <c r="A641" s="1"/>
      <c r="B641" s="1"/>
      <c r="C641" s="17"/>
      <c r="D641" s="17"/>
      <c r="E641" s="17"/>
      <c r="F641" s="17"/>
      <c r="G641" s="17"/>
      <c r="H641" s="17"/>
      <c r="I641" s="17"/>
      <c r="J641" s="17"/>
      <c r="K641" s="17"/>
      <c r="L641" s="17"/>
      <c r="N641" s="1"/>
      <c r="O641" s="17"/>
      <c r="P641" s="17"/>
      <c r="Q641" s="17"/>
      <c r="R641" s="17"/>
      <c r="S641" s="17"/>
      <c r="T641" s="17"/>
      <c r="U641" s="17"/>
      <c r="V641" s="17"/>
      <c r="W641" s="17"/>
      <c r="X641" s="17"/>
    </row>
    <row r="642" spans="1:24">
      <c r="A642" s="1"/>
      <c r="B642" s="1"/>
      <c r="C642" s="17"/>
      <c r="D642" s="17"/>
      <c r="E642" s="17"/>
      <c r="F642" s="17"/>
      <c r="G642" s="17"/>
      <c r="H642" s="17"/>
      <c r="I642" s="17"/>
      <c r="J642" s="17"/>
      <c r="K642" s="17"/>
      <c r="L642" s="17"/>
      <c r="N642" s="1"/>
      <c r="O642" s="17"/>
      <c r="P642" s="17"/>
      <c r="Q642" s="17"/>
      <c r="R642" s="17"/>
      <c r="S642" s="17"/>
      <c r="T642" s="17"/>
      <c r="U642" s="17"/>
      <c r="V642" s="17"/>
      <c r="W642" s="17"/>
      <c r="X642" s="17"/>
    </row>
    <row r="643" spans="1:24">
      <c r="A643" s="1"/>
      <c r="B643" s="1"/>
      <c r="C643" s="17"/>
      <c r="D643" s="17"/>
      <c r="E643" s="17"/>
      <c r="F643" s="17"/>
      <c r="G643" s="17"/>
      <c r="H643" s="17"/>
      <c r="I643" s="17"/>
      <c r="J643" s="17"/>
      <c r="K643" s="17"/>
      <c r="L643" s="17"/>
      <c r="N643" s="1"/>
      <c r="O643" s="17"/>
      <c r="P643" s="17"/>
      <c r="Q643" s="17"/>
      <c r="R643" s="17"/>
      <c r="S643" s="17"/>
      <c r="T643" s="17"/>
      <c r="U643" s="17"/>
      <c r="V643" s="17"/>
      <c r="W643" s="17"/>
      <c r="X643" s="17"/>
    </row>
    <row r="644" spans="1:24">
      <c r="A644" s="1"/>
      <c r="B644" s="1"/>
      <c r="C644" s="17"/>
      <c r="D644" s="17"/>
      <c r="E644" s="17"/>
      <c r="F644" s="17"/>
      <c r="G644" s="17"/>
      <c r="H644" s="17"/>
      <c r="I644" s="17"/>
      <c r="J644" s="17"/>
      <c r="K644" s="17"/>
      <c r="L644" s="17"/>
      <c r="N644" s="1"/>
      <c r="O644" s="17"/>
      <c r="P644" s="17"/>
      <c r="Q644" s="17"/>
      <c r="R644" s="17"/>
      <c r="S644" s="17"/>
      <c r="T644" s="17"/>
      <c r="U644" s="17"/>
      <c r="V644" s="17"/>
      <c r="W644" s="17"/>
      <c r="X644" s="17"/>
    </row>
    <row r="645" spans="1:24">
      <c r="A645" s="1"/>
      <c r="B645" s="1"/>
      <c r="C645" s="17"/>
      <c r="D645" s="17"/>
      <c r="E645" s="17"/>
      <c r="F645" s="17"/>
      <c r="G645" s="17"/>
      <c r="H645" s="17"/>
      <c r="I645" s="17"/>
      <c r="J645" s="17"/>
      <c r="K645" s="17"/>
      <c r="L645" s="17"/>
      <c r="N645" s="1"/>
      <c r="O645" s="17"/>
      <c r="P645" s="17"/>
      <c r="Q645" s="17"/>
      <c r="R645" s="17"/>
      <c r="S645" s="17"/>
      <c r="T645" s="17"/>
      <c r="U645" s="17"/>
      <c r="V645" s="17"/>
      <c r="W645" s="17"/>
      <c r="X645" s="17"/>
    </row>
    <row r="646" spans="1:24">
      <c r="A646" s="1"/>
      <c r="B646" s="1"/>
      <c r="C646" s="17"/>
      <c r="D646" s="17"/>
      <c r="E646" s="17"/>
      <c r="F646" s="17"/>
      <c r="G646" s="17"/>
      <c r="H646" s="17"/>
      <c r="I646" s="17"/>
      <c r="J646" s="17"/>
      <c r="K646" s="17"/>
      <c r="L646" s="17"/>
      <c r="N646" s="1"/>
      <c r="O646" s="17"/>
      <c r="P646" s="17"/>
      <c r="Q646" s="17"/>
      <c r="R646" s="17"/>
      <c r="S646" s="17"/>
      <c r="T646" s="17"/>
      <c r="U646" s="17"/>
      <c r="V646" s="17"/>
      <c r="W646" s="17"/>
      <c r="X646" s="17"/>
    </row>
    <row r="647" spans="1:24">
      <c r="A647" s="1"/>
      <c r="B647" s="1"/>
      <c r="C647" s="17"/>
      <c r="D647" s="17"/>
      <c r="E647" s="17"/>
      <c r="F647" s="17"/>
      <c r="G647" s="17"/>
      <c r="H647" s="17"/>
      <c r="I647" s="17"/>
      <c r="J647" s="17"/>
      <c r="K647" s="17"/>
      <c r="L647" s="17"/>
      <c r="N647" s="1"/>
      <c r="O647" s="17"/>
      <c r="P647" s="17"/>
      <c r="Q647" s="17"/>
      <c r="R647" s="17"/>
      <c r="S647" s="17"/>
      <c r="T647" s="17"/>
      <c r="U647" s="17"/>
      <c r="V647" s="17"/>
      <c r="W647" s="17"/>
      <c r="X647" s="17"/>
    </row>
    <row r="648" spans="1:24">
      <c r="A648" s="1"/>
      <c r="B648" s="1"/>
      <c r="C648" s="17"/>
      <c r="D648" s="17"/>
      <c r="E648" s="17"/>
      <c r="F648" s="17"/>
      <c r="G648" s="17"/>
      <c r="H648" s="17"/>
      <c r="I648" s="17"/>
      <c r="J648" s="17"/>
      <c r="K648" s="17"/>
      <c r="L648" s="17"/>
      <c r="N648" s="1"/>
      <c r="O648" s="17"/>
      <c r="P648" s="17"/>
      <c r="Q648" s="17"/>
      <c r="R648" s="17"/>
      <c r="S648" s="17"/>
      <c r="T648" s="17"/>
      <c r="U648" s="17"/>
      <c r="V648" s="17"/>
      <c r="W648" s="17"/>
      <c r="X648" s="17"/>
    </row>
    <row r="649" spans="1:24">
      <c r="A649" s="1"/>
      <c r="B649" s="1"/>
      <c r="C649" s="17"/>
      <c r="D649" s="17"/>
      <c r="E649" s="17"/>
      <c r="F649" s="17"/>
      <c r="G649" s="17"/>
      <c r="H649" s="17"/>
      <c r="I649" s="17"/>
      <c r="J649" s="17"/>
      <c r="K649" s="17"/>
      <c r="L649" s="17"/>
      <c r="N649" s="1"/>
      <c r="O649" s="17"/>
      <c r="P649" s="17"/>
      <c r="Q649" s="17"/>
      <c r="R649" s="17"/>
      <c r="S649" s="17"/>
      <c r="T649" s="17"/>
      <c r="U649" s="17"/>
      <c r="V649" s="17"/>
      <c r="W649" s="17"/>
      <c r="X649" s="17"/>
    </row>
    <row r="650" spans="1:24">
      <c r="A650" s="1"/>
      <c r="B650" s="1"/>
      <c r="C650" s="17"/>
      <c r="D650" s="17"/>
      <c r="E650" s="17"/>
      <c r="F650" s="17"/>
      <c r="G650" s="17"/>
      <c r="H650" s="17"/>
      <c r="I650" s="17"/>
      <c r="J650" s="17"/>
      <c r="K650" s="17"/>
      <c r="L650" s="17"/>
      <c r="N650" s="1"/>
      <c r="O650" s="17"/>
      <c r="P650" s="17"/>
      <c r="Q650" s="17"/>
      <c r="R650" s="17"/>
      <c r="S650" s="17"/>
      <c r="T650" s="17"/>
      <c r="U650" s="17"/>
      <c r="V650" s="17"/>
      <c r="W650" s="17"/>
      <c r="X650" s="17"/>
    </row>
    <row r="651" spans="1:24">
      <c r="A651" s="1"/>
      <c r="B651" s="1"/>
      <c r="C651" s="17"/>
      <c r="D651" s="17"/>
      <c r="E651" s="17"/>
      <c r="F651" s="17"/>
      <c r="G651" s="17"/>
      <c r="H651" s="17"/>
      <c r="I651" s="17"/>
      <c r="J651" s="17"/>
      <c r="K651" s="17"/>
      <c r="L651" s="17"/>
      <c r="N651" s="1"/>
      <c r="O651" s="17"/>
      <c r="P651" s="17"/>
      <c r="Q651" s="17"/>
      <c r="R651" s="17"/>
      <c r="S651" s="17"/>
      <c r="T651" s="17"/>
      <c r="U651" s="17"/>
      <c r="V651" s="17"/>
      <c r="W651" s="17"/>
      <c r="X651" s="17"/>
    </row>
    <row r="652" spans="1:24">
      <c r="A652" s="1"/>
      <c r="B652" s="1"/>
      <c r="C652" s="17"/>
      <c r="D652" s="17"/>
      <c r="E652" s="17"/>
      <c r="F652" s="17"/>
      <c r="G652" s="17"/>
      <c r="H652" s="17"/>
      <c r="I652" s="17"/>
      <c r="J652" s="17"/>
      <c r="K652" s="17"/>
      <c r="L652" s="17"/>
      <c r="N652" s="1"/>
      <c r="O652" s="17"/>
      <c r="P652" s="17"/>
      <c r="Q652" s="17"/>
      <c r="R652" s="17"/>
      <c r="S652" s="17"/>
      <c r="T652" s="17"/>
      <c r="U652" s="17"/>
      <c r="V652" s="17"/>
      <c r="W652" s="17"/>
      <c r="X652" s="17"/>
    </row>
    <row r="653" spans="1:24">
      <c r="A653" s="1"/>
      <c r="B653" s="1"/>
      <c r="C653" s="17"/>
      <c r="D653" s="17"/>
      <c r="E653" s="17"/>
      <c r="F653" s="17"/>
      <c r="G653" s="17"/>
      <c r="H653" s="17"/>
      <c r="I653" s="17"/>
      <c r="J653" s="17"/>
      <c r="K653" s="17"/>
      <c r="L653" s="17"/>
      <c r="N653" s="1"/>
      <c r="O653" s="17"/>
      <c r="P653" s="17"/>
      <c r="Q653" s="17"/>
      <c r="R653" s="17"/>
      <c r="S653" s="17"/>
      <c r="T653" s="17"/>
      <c r="U653" s="17"/>
      <c r="V653" s="17"/>
      <c r="W653" s="17"/>
      <c r="X653" s="17"/>
    </row>
    <row r="654" spans="1:24">
      <c r="A654" s="1"/>
      <c r="B654" s="1"/>
      <c r="C654" s="17"/>
      <c r="D654" s="17"/>
      <c r="E654" s="17"/>
      <c r="F654" s="17"/>
      <c r="G654" s="17"/>
      <c r="H654" s="17"/>
      <c r="I654" s="17"/>
      <c r="J654" s="17"/>
      <c r="K654" s="17"/>
      <c r="L654" s="17"/>
      <c r="N654" s="1"/>
      <c r="O654" s="17"/>
      <c r="P654" s="17"/>
      <c r="Q654" s="17"/>
      <c r="R654" s="17"/>
      <c r="S654" s="17"/>
      <c r="T654" s="17"/>
      <c r="U654" s="17"/>
      <c r="V654" s="17"/>
      <c r="W654" s="17"/>
      <c r="X654" s="17"/>
    </row>
    <row r="655" spans="1:24">
      <c r="A655" s="1"/>
      <c r="B655" s="1"/>
      <c r="C655" s="17"/>
      <c r="D655" s="17"/>
      <c r="E655" s="17"/>
      <c r="F655" s="17"/>
      <c r="G655" s="17"/>
      <c r="H655" s="17"/>
      <c r="I655" s="17"/>
      <c r="J655" s="17"/>
      <c r="K655" s="17"/>
      <c r="L655" s="17"/>
      <c r="N655" s="1"/>
      <c r="O655" s="17"/>
      <c r="P655" s="17"/>
      <c r="Q655" s="17"/>
      <c r="R655" s="17"/>
      <c r="S655" s="17"/>
      <c r="T655" s="17"/>
      <c r="U655" s="17"/>
      <c r="V655" s="17"/>
      <c r="W655" s="17"/>
      <c r="X655" s="17"/>
    </row>
    <row r="656" spans="1:24">
      <c r="A656" s="1"/>
      <c r="B656" s="1"/>
      <c r="C656" s="17"/>
      <c r="D656" s="17"/>
      <c r="E656" s="17"/>
      <c r="F656" s="17"/>
      <c r="G656" s="17"/>
      <c r="H656" s="17"/>
      <c r="I656" s="17"/>
      <c r="J656" s="17"/>
      <c r="K656" s="17"/>
      <c r="L656" s="17"/>
      <c r="N656" s="1"/>
      <c r="O656" s="17"/>
      <c r="P656" s="17"/>
      <c r="Q656" s="17"/>
      <c r="R656" s="17"/>
      <c r="S656" s="17"/>
      <c r="T656" s="17"/>
      <c r="U656" s="17"/>
      <c r="V656" s="17"/>
      <c r="W656" s="17"/>
      <c r="X656" s="17"/>
    </row>
    <row r="657" spans="1:24">
      <c r="A657" s="1"/>
      <c r="B657" s="1"/>
      <c r="C657" s="17"/>
      <c r="D657" s="17"/>
      <c r="E657" s="17"/>
      <c r="F657" s="17"/>
      <c r="G657" s="17"/>
      <c r="H657" s="17"/>
      <c r="I657" s="17"/>
      <c r="J657" s="17"/>
      <c r="K657" s="17"/>
      <c r="L657" s="17"/>
      <c r="N657" s="1"/>
      <c r="O657" s="17"/>
      <c r="P657" s="17"/>
      <c r="Q657" s="17"/>
      <c r="R657" s="17"/>
      <c r="S657" s="17"/>
      <c r="T657" s="17"/>
      <c r="U657" s="17"/>
      <c r="V657" s="17"/>
      <c r="W657" s="17"/>
      <c r="X657" s="17"/>
    </row>
    <row r="658" spans="1:24">
      <c r="A658" s="1"/>
      <c r="B658" s="1"/>
      <c r="C658" s="17"/>
      <c r="D658" s="17"/>
      <c r="E658" s="17"/>
      <c r="F658" s="17"/>
      <c r="G658" s="17"/>
      <c r="H658" s="17"/>
      <c r="I658" s="17"/>
      <c r="J658" s="17"/>
      <c r="K658" s="17"/>
      <c r="L658" s="17"/>
      <c r="N658" s="1"/>
      <c r="O658" s="17"/>
      <c r="P658" s="17"/>
      <c r="Q658" s="17"/>
      <c r="R658" s="17"/>
      <c r="S658" s="17"/>
      <c r="T658" s="17"/>
      <c r="U658" s="17"/>
      <c r="V658" s="17"/>
      <c r="W658" s="17"/>
      <c r="X658" s="17"/>
    </row>
    <row r="659" spans="1:24">
      <c r="A659" s="1"/>
      <c r="B659" s="1"/>
      <c r="C659" s="17"/>
      <c r="D659" s="17"/>
      <c r="E659" s="17"/>
      <c r="F659" s="17"/>
      <c r="G659" s="17"/>
      <c r="H659" s="17"/>
      <c r="I659" s="17"/>
      <c r="J659" s="17"/>
      <c r="K659" s="17"/>
      <c r="L659" s="17"/>
      <c r="N659" s="1"/>
      <c r="O659" s="17"/>
      <c r="P659" s="17"/>
      <c r="Q659" s="17"/>
      <c r="R659" s="17"/>
      <c r="S659" s="17"/>
      <c r="T659" s="17"/>
      <c r="U659" s="17"/>
      <c r="V659" s="17"/>
      <c r="W659" s="17"/>
      <c r="X659" s="17"/>
    </row>
    <row r="660" spans="1:24">
      <c r="A660" s="1"/>
      <c r="B660" s="1"/>
      <c r="C660" s="17"/>
      <c r="D660" s="17"/>
      <c r="E660" s="17"/>
      <c r="F660" s="17"/>
      <c r="G660" s="17"/>
      <c r="H660" s="17"/>
      <c r="I660" s="17"/>
      <c r="J660" s="17"/>
      <c r="K660" s="17"/>
      <c r="L660" s="17"/>
      <c r="N660" s="1"/>
      <c r="O660" s="17"/>
      <c r="P660" s="17"/>
      <c r="Q660" s="17"/>
      <c r="R660" s="17"/>
      <c r="S660" s="17"/>
      <c r="T660" s="17"/>
      <c r="U660" s="17"/>
      <c r="V660" s="17"/>
      <c r="W660" s="17"/>
      <c r="X660" s="17"/>
    </row>
    <row r="661" spans="1:24">
      <c r="A661" s="1"/>
      <c r="B661" s="1"/>
      <c r="C661" s="17"/>
      <c r="D661" s="17"/>
      <c r="E661" s="17"/>
      <c r="F661" s="17"/>
      <c r="G661" s="17"/>
      <c r="H661" s="17"/>
      <c r="I661" s="17"/>
      <c r="J661" s="17"/>
      <c r="K661" s="17"/>
      <c r="L661" s="17"/>
      <c r="N661" s="1"/>
      <c r="O661" s="17"/>
      <c r="P661" s="17"/>
      <c r="Q661" s="17"/>
      <c r="R661" s="17"/>
      <c r="S661" s="17"/>
      <c r="T661" s="17"/>
      <c r="U661" s="17"/>
      <c r="V661" s="17"/>
      <c r="W661" s="17"/>
      <c r="X661" s="17"/>
    </row>
    <row r="662" spans="1:24">
      <c r="A662" s="1"/>
      <c r="B662" s="1"/>
      <c r="C662" s="17"/>
      <c r="D662" s="17"/>
      <c r="E662" s="17"/>
      <c r="F662" s="17"/>
      <c r="G662" s="17"/>
      <c r="H662" s="17"/>
      <c r="I662" s="17"/>
      <c r="J662" s="17"/>
      <c r="K662" s="17"/>
      <c r="L662" s="17"/>
      <c r="N662" s="1"/>
      <c r="O662" s="17"/>
      <c r="P662" s="17"/>
      <c r="Q662" s="17"/>
      <c r="R662" s="17"/>
      <c r="S662" s="17"/>
      <c r="T662" s="17"/>
      <c r="U662" s="17"/>
      <c r="V662" s="17"/>
      <c r="W662" s="17"/>
      <c r="X662" s="17"/>
    </row>
    <row r="663" spans="1:24">
      <c r="A663" s="1"/>
      <c r="B663" s="1"/>
      <c r="C663" s="17"/>
      <c r="D663" s="17"/>
      <c r="E663" s="17"/>
      <c r="F663" s="17"/>
      <c r="G663" s="17"/>
      <c r="H663" s="17"/>
      <c r="I663" s="17"/>
      <c r="J663" s="17"/>
      <c r="K663" s="17"/>
      <c r="L663" s="17"/>
      <c r="N663" s="1"/>
      <c r="O663" s="17"/>
      <c r="P663" s="17"/>
      <c r="Q663" s="17"/>
      <c r="R663" s="17"/>
      <c r="S663" s="17"/>
      <c r="T663" s="17"/>
      <c r="U663" s="17"/>
      <c r="V663" s="17"/>
      <c r="W663" s="17"/>
      <c r="X663" s="17"/>
    </row>
    <row r="664" spans="1:24">
      <c r="A664" s="1"/>
      <c r="B664" s="1"/>
      <c r="C664" s="17"/>
      <c r="D664" s="17"/>
      <c r="E664" s="17"/>
      <c r="F664" s="17"/>
      <c r="G664" s="17"/>
      <c r="H664" s="17"/>
      <c r="I664" s="17"/>
      <c r="J664" s="17"/>
      <c r="K664" s="17"/>
      <c r="L664" s="17"/>
      <c r="N664" s="1"/>
      <c r="O664" s="17"/>
      <c r="P664" s="17"/>
      <c r="Q664" s="17"/>
      <c r="R664" s="17"/>
      <c r="S664" s="17"/>
      <c r="T664" s="17"/>
      <c r="U664" s="17"/>
      <c r="V664" s="17"/>
      <c r="W664" s="17"/>
      <c r="X664" s="17"/>
    </row>
    <row r="665" spans="1:24">
      <c r="A665" s="1"/>
      <c r="B665" s="1"/>
      <c r="C665" s="17"/>
      <c r="D665" s="17"/>
      <c r="E665" s="17"/>
      <c r="F665" s="17"/>
      <c r="G665" s="17"/>
      <c r="H665" s="17"/>
      <c r="I665" s="17"/>
      <c r="J665" s="17"/>
      <c r="K665" s="17"/>
      <c r="L665" s="17"/>
      <c r="N665" s="1"/>
      <c r="O665" s="17"/>
      <c r="P665" s="17"/>
      <c r="Q665" s="17"/>
      <c r="R665" s="17"/>
      <c r="S665" s="17"/>
      <c r="T665" s="17"/>
      <c r="U665" s="17"/>
      <c r="V665" s="17"/>
      <c r="W665" s="17"/>
      <c r="X665" s="17"/>
    </row>
    <row r="666" spans="1:24">
      <c r="A666" s="1"/>
      <c r="B666" s="1"/>
      <c r="C666" s="17"/>
      <c r="D666" s="17"/>
      <c r="E666" s="17"/>
      <c r="F666" s="17"/>
      <c r="G666" s="17"/>
      <c r="H666" s="17"/>
      <c r="I666" s="17"/>
      <c r="J666" s="17"/>
      <c r="K666" s="17"/>
      <c r="L666" s="17"/>
      <c r="N666" s="1"/>
      <c r="O666" s="17"/>
      <c r="P666" s="17"/>
      <c r="Q666" s="17"/>
      <c r="R666" s="17"/>
      <c r="S666" s="17"/>
      <c r="T666" s="17"/>
      <c r="U666" s="17"/>
      <c r="V666" s="17"/>
      <c r="W666" s="17"/>
      <c r="X666" s="17"/>
    </row>
    <row r="667" spans="1:24">
      <c r="A667" s="1"/>
      <c r="B667" s="1"/>
      <c r="C667" s="17"/>
      <c r="D667" s="17"/>
      <c r="E667" s="17"/>
      <c r="F667" s="17"/>
      <c r="G667" s="17"/>
      <c r="H667" s="17"/>
      <c r="I667" s="17"/>
      <c r="J667" s="17"/>
      <c r="K667" s="17"/>
      <c r="L667" s="17"/>
      <c r="N667" s="1"/>
      <c r="O667" s="17"/>
      <c r="P667" s="17"/>
      <c r="Q667" s="17"/>
      <c r="R667" s="17"/>
      <c r="S667" s="17"/>
      <c r="T667" s="17"/>
      <c r="U667" s="17"/>
      <c r="V667" s="17"/>
      <c r="W667" s="17"/>
      <c r="X667" s="17"/>
    </row>
    <row r="668" spans="1:24">
      <c r="A668" s="1"/>
      <c r="B668" s="1"/>
      <c r="C668" s="17"/>
      <c r="D668" s="17"/>
      <c r="E668" s="17"/>
      <c r="F668" s="17"/>
      <c r="G668" s="17"/>
      <c r="H668" s="17"/>
      <c r="I668" s="17"/>
      <c r="J668" s="17"/>
      <c r="K668" s="17"/>
      <c r="L668" s="17"/>
      <c r="N668" s="1"/>
      <c r="O668" s="17"/>
      <c r="P668" s="17"/>
      <c r="Q668" s="17"/>
      <c r="R668" s="17"/>
      <c r="S668" s="17"/>
      <c r="T668" s="17"/>
      <c r="U668" s="17"/>
      <c r="V668" s="17"/>
      <c r="W668" s="17"/>
      <c r="X668" s="17"/>
    </row>
    <row r="669" spans="1:24">
      <c r="A669" s="1"/>
      <c r="B669" s="1"/>
      <c r="C669" s="17"/>
      <c r="D669" s="17"/>
      <c r="E669" s="17"/>
      <c r="F669" s="17"/>
      <c r="G669" s="17"/>
      <c r="H669" s="17"/>
      <c r="I669" s="17"/>
      <c r="J669" s="17"/>
      <c r="K669" s="17"/>
      <c r="L669" s="17"/>
      <c r="N669" s="1"/>
      <c r="O669" s="17"/>
      <c r="P669" s="17"/>
      <c r="Q669" s="17"/>
      <c r="R669" s="17"/>
      <c r="S669" s="17"/>
      <c r="T669" s="17"/>
      <c r="U669" s="17"/>
      <c r="V669" s="17"/>
      <c r="W669" s="17"/>
      <c r="X669" s="17"/>
    </row>
    <row r="670" spans="1:24">
      <c r="A670" s="1"/>
      <c r="B670" s="1"/>
      <c r="C670" s="17"/>
      <c r="D670" s="17"/>
      <c r="E670" s="17"/>
      <c r="F670" s="17"/>
      <c r="G670" s="17"/>
      <c r="H670" s="17"/>
      <c r="I670" s="17"/>
      <c r="J670" s="17"/>
      <c r="K670" s="17"/>
      <c r="L670" s="17"/>
      <c r="N670" s="1"/>
      <c r="O670" s="17"/>
      <c r="P670" s="17"/>
      <c r="Q670" s="17"/>
      <c r="R670" s="17"/>
      <c r="S670" s="17"/>
      <c r="T670" s="17"/>
      <c r="U670" s="17"/>
      <c r="V670" s="17"/>
      <c r="W670" s="17"/>
      <c r="X670" s="17"/>
    </row>
    <row r="671" spans="1:24">
      <c r="A671" s="1"/>
      <c r="B671" s="1"/>
      <c r="C671" s="17"/>
      <c r="D671" s="17"/>
      <c r="E671" s="17"/>
      <c r="F671" s="17"/>
      <c r="G671" s="17"/>
      <c r="H671" s="17"/>
      <c r="I671" s="17"/>
      <c r="J671" s="17"/>
      <c r="K671" s="17"/>
      <c r="L671" s="17"/>
      <c r="N671" s="1"/>
      <c r="O671" s="17"/>
      <c r="P671" s="17"/>
      <c r="Q671" s="17"/>
      <c r="R671" s="17"/>
      <c r="S671" s="17"/>
      <c r="T671" s="17"/>
      <c r="U671" s="17"/>
      <c r="V671" s="17"/>
      <c r="W671" s="17"/>
      <c r="X671" s="17"/>
    </row>
    <row r="672" spans="1:24">
      <c r="A672" s="1"/>
      <c r="B672" s="1"/>
      <c r="C672" s="17"/>
      <c r="D672" s="17"/>
      <c r="E672" s="17"/>
      <c r="F672" s="17"/>
      <c r="G672" s="17"/>
      <c r="H672" s="17"/>
      <c r="I672" s="17"/>
      <c r="J672" s="17"/>
      <c r="K672" s="17"/>
      <c r="L672" s="17"/>
      <c r="N672" s="1"/>
      <c r="O672" s="17"/>
      <c r="P672" s="17"/>
      <c r="Q672" s="17"/>
      <c r="R672" s="17"/>
      <c r="S672" s="17"/>
      <c r="T672" s="17"/>
      <c r="U672" s="17"/>
      <c r="V672" s="17"/>
      <c r="W672" s="17"/>
      <c r="X672" s="17"/>
    </row>
    <row r="673" spans="1:24">
      <c r="A673" s="1"/>
      <c r="B673" s="1"/>
      <c r="C673" s="17"/>
      <c r="D673" s="17"/>
      <c r="E673" s="17"/>
      <c r="F673" s="17"/>
      <c r="G673" s="17"/>
      <c r="H673" s="17"/>
      <c r="I673" s="17"/>
      <c r="J673" s="17"/>
      <c r="K673" s="17"/>
      <c r="L673" s="17"/>
      <c r="N673" s="1"/>
      <c r="O673" s="17"/>
      <c r="P673" s="17"/>
      <c r="Q673" s="17"/>
      <c r="R673" s="17"/>
      <c r="S673" s="17"/>
      <c r="T673" s="17"/>
      <c r="U673" s="17"/>
      <c r="V673" s="17"/>
      <c r="W673" s="17"/>
      <c r="X673" s="17"/>
    </row>
    <row r="674" spans="1:24">
      <c r="A674" s="1"/>
      <c r="B674" s="1"/>
      <c r="C674" s="17"/>
      <c r="D674" s="17"/>
      <c r="E674" s="17"/>
      <c r="F674" s="17"/>
      <c r="G674" s="17"/>
      <c r="H674" s="17"/>
      <c r="I674" s="17"/>
      <c r="J674" s="17"/>
      <c r="K674" s="17"/>
      <c r="L674" s="17"/>
      <c r="N674" s="1"/>
      <c r="O674" s="17"/>
      <c r="P674" s="17"/>
      <c r="Q674" s="17"/>
      <c r="R674" s="17"/>
      <c r="S674" s="17"/>
      <c r="T674" s="17"/>
      <c r="U674" s="17"/>
      <c r="V674" s="17"/>
      <c r="W674" s="17"/>
      <c r="X674" s="17"/>
    </row>
    <row r="675" spans="1:24">
      <c r="A675" s="1"/>
      <c r="B675" s="1"/>
      <c r="C675" s="17"/>
      <c r="D675" s="17"/>
      <c r="E675" s="17"/>
      <c r="F675" s="17"/>
      <c r="G675" s="17"/>
      <c r="H675" s="17"/>
      <c r="I675" s="17"/>
      <c r="J675" s="17"/>
      <c r="K675" s="17"/>
      <c r="L675" s="17"/>
      <c r="N675" s="1"/>
      <c r="O675" s="17"/>
      <c r="P675" s="17"/>
      <c r="Q675" s="17"/>
      <c r="R675" s="17"/>
      <c r="S675" s="17"/>
      <c r="T675" s="17"/>
      <c r="U675" s="17"/>
      <c r="V675" s="17"/>
      <c r="W675" s="17"/>
      <c r="X675" s="17"/>
    </row>
    <row r="676" spans="1:24">
      <c r="A676" s="1"/>
      <c r="B676" s="1"/>
      <c r="C676" s="17"/>
      <c r="D676" s="17"/>
      <c r="E676" s="17"/>
      <c r="F676" s="17"/>
      <c r="G676" s="17"/>
      <c r="H676" s="17"/>
      <c r="I676" s="17"/>
      <c r="J676" s="17"/>
      <c r="K676" s="17"/>
      <c r="L676" s="17"/>
      <c r="N676" s="1"/>
      <c r="O676" s="17"/>
      <c r="P676" s="17"/>
      <c r="Q676" s="17"/>
      <c r="R676" s="17"/>
      <c r="S676" s="17"/>
      <c r="T676" s="17"/>
      <c r="U676" s="17"/>
      <c r="V676" s="17"/>
      <c r="W676" s="17"/>
      <c r="X676" s="17"/>
    </row>
    <row r="677" spans="1:24">
      <c r="A677" s="1"/>
      <c r="B677" s="1"/>
      <c r="C677" s="17"/>
      <c r="D677" s="17"/>
      <c r="E677" s="17"/>
      <c r="F677" s="17"/>
      <c r="G677" s="17"/>
      <c r="H677" s="17"/>
      <c r="I677" s="17"/>
      <c r="J677" s="17"/>
      <c r="K677" s="17"/>
      <c r="L677" s="17"/>
      <c r="N677" s="1"/>
      <c r="O677" s="17"/>
      <c r="P677" s="17"/>
      <c r="Q677" s="17"/>
      <c r="R677" s="17"/>
      <c r="S677" s="17"/>
      <c r="T677" s="17"/>
      <c r="U677" s="17"/>
      <c r="V677" s="17"/>
      <c r="W677" s="17"/>
      <c r="X677" s="17"/>
    </row>
    <row r="678" spans="1:24">
      <c r="A678" s="1"/>
      <c r="B678" s="1"/>
      <c r="C678" s="17"/>
      <c r="D678" s="17"/>
      <c r="E678" s="17"/>
      <c r="F678" s="17"/>
      <c r="G678" s="17"/>
      <c r="H678" s="17"/>
      <c r="I678" s="17"/>
      <c r="J678" s="17"/>
      <c r="K678" s="17"/>
      <c r="L678" s="17"/>
      <c r="N678" s="1"/>
      <c r="O678" s="17"/>
      <c r="P678" s="17"/>
      <c r="Q678" s="17"/>
      <c r="R678" s="17"/>
      <c r="S678" s="17"/>
      <c r="T678" s="17"/>
      <c r="U678" s="17"/>
      <c r="V678" s="17"/>
      <c r="W678" s="17"/>
      <c r="X678" s="17"/>
    </row>
    <row r="679" spans="1:24">
      <c r="A679" s="1"/>
      <c r="B679" s="1"/>
      <c r="C679" s="17"/>
      <c r="D679" s="17"/>
      <c r="E679" s="17"/>
      <c r="F679" s="17"/>
      <c r="G679" s="17"/>
      <c r="H679" s="17"/>
      <c r="I679" s="17"/>
      <c r="J679" s="17"/>
      <c r="K679" s="17"/>
      <c r="L679" s="17"/>
      <c r="N679" s="1"/>
      <c r="O679" s="17"/>
      <c r="P679" s="17"/>
      <c r="Q679" s="17"/>
      <c r="R679" s="17"/>
      <c r="S679" s="17"/>
      <c r="T679" s="17"/>
      <c r="U679" s="17"/>
      <c r="V679" s="17"/>
      <c r="W679" s="17"/>
      <c r="X679" s="17"/>
    </row>
    <row r="680" spans="1:24">
      <c r="A680" s="1"/>
      <c r="B680" s="1"/>
      <c r="C680" s="17"/>
      <c r="D680" s="17"/>
      <c r="E680" s="17"/>
      <c r="F680" s="17"/>
      <c r="G680" s="17"/>
      <c r="H680" s="17"/>
      <c r="I680" s="17"/>
      <c r="J680" s="17"/>
      <c r="K680" s="17"/>
      <c r="L680" s="17"/>
      <c r="N680" s="1"/>
      <c r="O680" s="17"/>
      <c r="P680" s="17"/>
      <c r="Q680" s="17"/>
      <c r="R680" s="17"/>
      <c r="S680" s="17"/>
      <c r="T680" s="17"/>
      <c r="U680" s="17"/>
      <c r="V680" s="17"/>
      <c r="W680" s="17"/>
      <c r="X680" s="17"/>
    </row>
    <row r="681" spans="1:24">
      <c r="A681" s="1"/>
      <c r="B681" s="1"/>
      <c r="C681" s="17"/>
      <c r="D681" s="17"/>
      <c r="E681" s="17"/>
      <c r="F681" s="17"/>
      <c r="G681" s="17"/>
      <c r="H681" s="17"/>
      <c r="I681" s="17"/>
      <c r="J681" s="17"/>
      <c r="K681" s="17"/>
      <c r="L681" s="17"/>
      <c r="N681" s="1"/>
      <c r="O681" s="17"/>
      <c r="P681" s="17"/>
      <c r="Q681" s="17"/>
      <c r="R681" s="17"/>
      <c r="S681" s="17"/>
      <c r="T681" s="17"/>
      <c r="U681" s="17"/>
      <c r="V681" s="17"/>
      <c r="W681" s="17"/>
      <c r="X681" s="17"/>
    </row>
    <row r="682" spans="1:24">
      <c r="A682" s="1"/>
      <c r="B682" s="1"/>
      <c r="C682" s="17"/>
      <c r="D682" s="17"/>
      <c r="E682" s="17"/>
      <c r="F682" s="17"/>
      <c r="G682" s="17"/>
      <c r="H682" s="17"/>
      <c r="I682" s="17"/>
      <c r="J682" s="17"/>
      <c r="K682" s="17"/>
      <c r="L682" s="17"/>
      <c r="N682" s="1"/>
      <c r="O682" s="17"/>
      <c r="P682" s="17"/>
      <c r="Q682" s="17"/>
      <c r="R682" s="17"/>
      <c r="S682" s="17"/>
      <c r="T682" s="17"/>
      <c r="U682" s="17"/>
      <c r="V682" s="17"/>
      <c r="W682" s="17"/>
      <c r="X682" s="17"/>
    </row>
    <row r="683" spans="1:24">
      <c r="A683" s="1"/>
      <c r="B683" s="1"/>
      <c r="C683" s="17"/>
      <c r="D683" s="17"/>
      <c r="E683" s="17"/>
      <c r="F683" s="17"/>
      <c r="G683" s="17"/>
      <c r="H683" s="17"/>
      <c r="I683" s="17"/>
      <c r="J683" s="17"/>
      <c r="K683" s="17"/>
      <c r="L683" s="17"/>
      <c r="N683" s="1"/>
      <c r="O683" s="17"/>
      <c r="P683" s="17"/>
      <c r="Q683" s="17"/>
      <c r="R683" s="17"/>
      <c r="S683" s="17"/>
      <c r="T683" s="17"/>
      <c r="U683" s="17"/>
      <c r="V683" s="17"/>
      <c r="W683" s="17"/>
      <c r="X683" s="17"/>
    </row>
    <row r="684" spans="1:24">
      <c r="A684" s="1"/>
      <c r="B684" s="1"/>
      <c r="C684" s="17"/>
      <c r="D684" s="17"/>
      <c r="E684" s="17"/>
      <c r="F684" s="17"/>
      <c r="G684" s="17"/>
      <c r="H684" s="17"/>
      <c r="I684" s="17"/>
      <c r="J684" s="17"/>
      <c r="K684" s="17"/>
      <c r="L684" s="17"/>
      <c r="N684" s="1"/>
      <c r="O684" s="17"/>
      <c r="P684" s="17"/>
      <c r="Q684" s="17"/>
      <c r="R684" s="17"/>
      <c r="S684" s="17"/>
      <c r="T684" s="17"/>
      <c r="U684" s="17"/>
      <c r="V684" s="17"/>
      <c r="W684" s="17"/>
      <c r="X684" s="17"/>
    </row>
    <row r="685" spans="1:24">
      <c r="A685" s="1"/>
      <c r="B685" s="1"/>
      <c r="C685" s="17"/>
      <c r="D685" s="17"/>
      <c r="E685" s="17"/>
      <c r="F685" s="17"/>
      <c r="G685" s="17"/>
      <c r="H685" s="17"/>
      <c r="I685" s="17"/>
      <c r="J685" s="17"/>
      <c r="K685" s="17"/>
      <c r="L685" s="17"/>
      <c r="N685" s="1"/>
      <c r="O685" s="17"/>
      <c r="P685" s="17"/>
      <c r="Q685" s="17"/>
      <c r="R685" s="17"/>
      <c r="S685" s="17"/>
      <c r="T685" s="17"/>
      <c r="U685" s="17"/>
      <c r="V685" s="17"/>
      <c r="W685" s="17"/>
      <c r="X685" s="17"/>
    </row>
    <row r="686" spans="1:24">
      <c r="A686" s="1"/>
      <c r="B686" s="1"/>
      <c r="C686" s="17"/>
      <c r="D686" s="17"/>
      <c r="E686" s="17"/>
      <c r="F686" s="17"/>
      <c r="G686" s="17"/>
      <c r="H686" s="17"/>
      <c r="I686" s="17"/>
      <c r="J686" s="17"/>
      <c r="K686" s="17"/>
      <c r="L686" s="17"/>
      <c r="N686" s="1"/>
      <c r="O686" s="17"/>
      <c r="P686" s="17"/>
      <c r="Q686" s="17"/>
      <c r="R686" s="17"/>
      <c r="S686" s="17"/>
      <c r="T686" s="17"/>
      <c r="U686" s="17"/>
      <c r="V686" s="17"/>
      <c r="W686" s="17"/>
      <c r="X686" s="17"/>
    </row>
    <row r="687" spans="1:24">
      <c r="A687" s="1"/>
      <c r="B687" s="1"/>
      <c r="C687" s="17"/>
      <c r="D687" s="17"/>
      <c r="E687" s="17"/>
      <c r="F687" s="17"/>
      <c r="G687" s="17"/>
      <c r="H687" s="17"/>
      <c r="I687" s="17"/>
      <c r="J687" s="17"/>
      <c r="K687" s="17"/>
      <c r="L687" s="17"/>
      <c r="N687" s="1"/>
      <c r="O687" s="17"/>
      <c r="P687" s="17"/>
      <c r="Q687" s="17"/>
      <c r="R687" s="17"/>
      <c r="S687" s="17"/>
      <c r="T687" s="17"/>
      <c r="U687" s="17"/>
      <c r="V687" s="17"/>
      <c r="W687" s="17"/>
      <c r="X687" s="17"/>
    </row>
    <row r="688" spans="1:24">
      <c r="A688" s="1"/>
      <c r="B688" s="1"/>
      <c r="C688" s="17"/>
      <c r="D688" s="17"/>
      <c r="E688" s="17"/>
      <c r="F688" s="17"/>
      <c r="G688" s="17"/>
      <c r="H688" s="17"/>
      <c r="I688" s="17"/>
      <c r="J688" s="17"/>
      <c r="K688" s="17"/>
      <c r="L688" s="17"/>
      <c r="N688" s="1"/>
      <c r="O688" s="17"/>
      <c r="P688" s="17"/>
      <c r="Q688" s="17"/>
      <c r="R688" s="17"/>
      <c r="S688" s="17"/>
      <c r="T688" s="17"/>
      <c r="U688" s="17"/>
      <c r="V688" s="17"/>
      <c r="W688" s="17"/>
      <c r="X688" s="17"/>
    </row>
    <row r="689" spans="1:24">
      <c r="A689" s="1"/>
      <c r="B689" s="1"/>
      <c r="C689" s="17"/>
      <c r="D689" s="17"/>
      <c r="E689" s="17"/>
      <c r="F689" s="17"/>
      <c r="G689" s="17"/>
      <c r="H689" s="17"/>
      <c r="I689" s="17"/>
      <c r="J689" s="17"/>
      <c r="K689" s="17"/>
      <c r="L689" s="17"/>
      <c r="N689" s="1"/>
      <c r="O689" s="17"/>
      <c r="P689" s="17"/>
      <c r="Q689" s="17"/>
      <c r="R689" s="17"/>
      <c r="S689" s="17"/>
      <c r="T689" s="17"/>
      <c r="U689" s="17"/>
      <c r="V689" s="17"/>
      <c r="W689" s="17"/>
      <c r="X689" s="17"/>
    </row>
    <row r="690" spans="1:24">
      <c r="A690" s="1"/>
      <c r="B690" s="1"/>
      <c r="C690" s="17"/>
      <c r="D690" s="17"/>
      <c r="E690" s="17"/>
      <c r="F690" s="17"/>
      <c r="G690" s="17"/>
      <c r="H690" s="17"/>
      <c r="I690" s="17"/>
      <c r="J690" s="17"/>
      <c r="K690" s="17"/>
      <c r="L690" s="17"/>
      <c r="N690" s="1"/>
      <c r="O690" s="17"/>
      <c r="P690" s="17"/>
      <c r="Q690" s="17"/>
      <c r="R690" s="17"/>
      <c r="S690" s="17"/>
      <c r="T690" s="17"/>
      <c r="U690" s="17"/>
      <c r="V690" s="17"/>
      <c r="W690" s="17"/>
      <c r="X690" s="17"/>
    </row>
    <row r="691" spans="1:24">
      <c r="A691" s="1"/>
      <c r="B691" s="1"/>
      <c r="C691" s="17"/>
      <c r="D691" s="17"/>
      <c r="E691" s="17"/>
      <c r="F691" s="17"/>
      <c r="G691" s="17"/>
      <c r="H691" s="17"/>
      <c r="I691" s="17"/>
      <c r="J691" s="17"/>
      <c r="K691" s="17"/>
      <c r="L691" s="17"/>
      <c r="N691" s="1"/>
      <c r="O691" s="17"/>
      <c r="P691" s="17"/>
      <c r="Q691" s="17"/>
      <c r="R691" s="17"/>
      <c r="S691" s="17"/>
      <c r="T691" s="17"/>
      <c r="U691" s="17"/>
      <c r="V691" s="17"/>
      <c r="W691" s="17"/>
      <c r="X691" s="17"/>
    </row>
    <row r="692" spans="1:24">
      <c r="A692" s="1"/>
      <c r="B692" s="1"/>
      <c r="C692" s="17"/>
      <c r="D692" s="17"/>
      <c r="E692" s="17"/>
      <c r="F692" s="17"/>
      <c r="G692" s="17"/>
      <c r="H692" s="17"/>
      <c r="I692" s="17"/>
      <c r="J692" s="17"/>
      <c r="K692" s="17"/>
      <c r="L692" s="17"/>
      <c r="N692" s="1"/>
      <c r="O692" s="17"/>
      <c r="P692" s="17"/>
      <c r="Q692" s="17"/>
      <c r="R692" s="17"/>
      <c r="S692" s="17"/>
      <c r="T692" s="17"/>
      <c r="U692" s="17"/>
      <c r="V692" s="17"/>
      <c r="W692" s="17"/>
      <c r="X692" s="17"/>
    </row>
    <row r="693" spans="1:24">
      <c r="A693" s="1"/>
      <c r="B693" s="1"/>
      <c r="C693" s="17"/>
      <c r="D693" s="17"/>
      <c r="E693" s="17"/>
      <c r="F693" s="17"/>
      <c r="G693" s="17"/>
      <c r="H693" s="17"/>
      <c r="I693" s="17"/>
      <c r="J693" s="17"/>
      <c r="K693" s="17"/>
      <c r="L693" s="17"/>
      <c r="N693" s="1"/>
      <c r="O693" s="17"/>
      <c r="P693" s="17"/>
      <c r="Q693" s="17"/>
      <c r="R693" s="17"/>
      <c r="S693" s="17"/>
      <c r="T693" s="17"/>
      <c r="U693" s="17"/>
      <c r="V693" s="17"/>
      <c r="W693" s="17"/>
      <c r="X693" s="17"/>
    </row>
    <row r="694" spans="1:24">
      <c r="A694" s="1"/>
      <c r="B694" s="1"/>
      <c r="C694" s="17"/>
      <c r="D694" s="17"/>
      <c r="E694" s="17"/>
      <c r="F694" s="17"/>
      <c r="G694" s="17"/>
      <c r="H694" s="17"/>
      <c r="I694" s="17"/>
      <c r="J694" s="17"/>
      <c r="K694" s="17"/>
      <c r="L694" s="17"/>
      <c r="N694" s="1"/>
      <c r="O694" s="17"/>
      <c r="P694" s="17"/>
      <c r="Q694" s="17"/>
      <c r="R694" s="17"/>
      <c r="S694" s="17"/>
      <c r="T694" s="17"/>
      <c r="U694" s="17"/>
      <c r="V694" s="17"/>
      <c r="W694" s="17"/>
      <c r="X694" s="17"/>
    </row>
    <row r="695" spans="1:24">
      <c r="A695" s="1"/>
      <c r="B695" s="1"/>
      <c r="C695" s="17"/>
      <c r="D695" s="17"/>
      <c r="E695" s="17"/>
      <c r="F695" s="17"/>
      <c r="G695" s="17"/>
      <c r="H695" s="17"/>
      <c r="I695" s="17"/>
      <c r="J695" s="17"/>
      <c r="K695" s="17"/>
      <c r="L695" s="17"/>
      <c r="N695" s="1"/>
      <c r="O695" s="17"/>
      <c r="P695" s="17"/>
      <c r="Q695" s="17"/>
      <c r="R695" s="17"/>
      <c r="S695" s="17"/>
      <c r="T695" s="17"/>
      <c r="U695" s="17"/>
      <c r="V695" s="17"/>
      <c r="W695" s="17"/>
      <c r="X695" s="17"/>
    </row>
    <row r="696" spans="1:24">
      <c r="A696" s="1"/>
      <c r="B696" s="1"/>
      <c r="C696" s="17"/>
      <c r="D696" s="17"/>
      <c r="E696" s="17"/>
      <c r="F696" s="17"/>
      <c r="G696" s="17"/>
      <c r="H696" s="17"/>
      <c r="I696" s="17"/>
      <c r="J696" s="17"/>
      <c r="K696" s="17"/>
      <c r="L696" s="17"/>
      <c r="N696" s="1"/>
      <c r="O696" s="17"/>
      <c r="P696" s="17"/>
      <c r="Q696" s="17"/>
      <c r="R696" s="17"/>
      <c r="S696" s="17"/>
      <c r="T696" s="17"/>
      <c r="U696" s="17"/>
      <c r="V696" s="17"/>
      <c r="W696" s="17"/>
      <c r="X696" s="17"/>
    </row>
    <row r="697" spans="1:24">
      <c r="A697" s="1"/>
      <c r="B697" s="1"/>
      <c r="C697" s="17"/>
      <c r="D697" s="17"/>
      <c r="E697" s="17"/>
      <c r="F697" s="17"/>
      <c r="G697" s="17"/>
      <c r="H697" s="17"/>
      <c r="I697" s="17"/>
      <c r="J697" s="17"/>
      <c r="K697" s="17"/>
      <c r="L697" s="17"/>
      <c r="N697" s="1"/>
      <c r="O697" s="17"/>
      <c r="P697" s="17"/>
      <c r="Q697" s="17"/>
      <c r="R697" s="17"/>
      <c r="S697" s="17"/>
      <c r="T697" s="17"/>
      <c r="U697" s="17"/>
      <c r="V697" s="17"/>
      <c r="W697" s="17"/>
      <c r="X697" s="17"/>
    </row>
    <row r="698" spans="1:24">
      <c r="A698" s="1"/>
      <c r="B698" s="1"/>
      <c r="C698" s="17"/>
      <c r="D698" s="17"/>
      <c r="E698" s="17"/>
      <c r="F698" s="17"/>
      <c r="G698" s="17"/>
      <c r="H698" s="17"/>
      <c r="I698" s="17"/>
      <c r="J698" s="17"/>
      <c r="K698" s="17"/>
      <c r="L698" s="17"/>
      <c r="N698" s="1"/>
      <c r="O698" s="17"/>
      <c r="P698" s="17"/>
      <c r="Q698" s="17"/>
      <c r="R698" s="17"/>
      <c r="S698" s="17"/>
      <c r="T698" s="17"/>
      <c r="U698" s="17"/>
      <c r="V698" s="17"/>
      <c r="W698" s="17"/>
      <c r="X698" s="17"/>
    </row>
    <row r="699" spans="1:24">
      <c r="A699" s="1"/>
      <c r="B699" s="1"/>
      <c r="C699" s="17"/>
      <c r="D699" s="17"/>
      <c r="E699" s="17"/>
      <c r="F699" s="17"/>
      <c r="G699" s="17"/>
      <c r="H699" s="17"/>
      <c r="I699" s="17"/>
      <c r="J699" s="17"/>
      <c r="K699" s="17"/>
      <c r="L699" s="17"/>
      <c r="N699" s="1"/>
      <c r="O699" s="17"/>
      <c r="P699" s="17"/>
      <c r="Q699" s="17"/>
      <c r="R699" s="17"/>
      <c r="S699" s="17"/>
      <c r="T699" s="17"/>
      <c r="U699" s="17"/>
      <c r="V699" s="17"/>
      <c r="W699" s="17"/>
      <c r="X699" s="17"/>
    </row>
    <row r="700" spans="1:24">
      <c r="A700" s="1"/>
      <c r="B700" s="1"/>
      <c r="C700" s="17"/>
      <c r="D700" s="17"/>
      <c r="E700" s="17"/>
      <c r="F700" s="17"/>
      <c r="G700" s="17"/>
      <c r="H700" s="17"/>
      <c r="I700" s="17"/>
      <c r="J700" s="17"/>
      <c r="K700" s="17"/>
      <c r="L700" s="17"/>
      <c r="N700" s="1"/>
      <c r="O700" s="17"/>
      <c r="P700" s="17"/>
      <c r="Q700" s="17"/>
      <c r="R700" s="17"/>
      <c r="S700" s="17"/>
      <c r="T700" s="17"/>
      <c r="U700" s="17"/>
      <c r="V700" s="17"/>
      <c r="W700" s="17"/>
      <c r="X700" s="17"/>
    </row>
    <row r="701" spans="1:24">
      <c r="A701" s="1"/>
      <c r="B701" s="1"/>
      <c r="C701" s="17"/>
      <c r="D701" s="17"/>
      <c r="E701" s="17"/>
      <c r="F701" s="17"/>
      <c r="G701" s="17"/>
      <c r="H701" s="17"/>
      <c r="I701" s="17"/>
      <c r="J701" s="17"/>
      <c r="K701" s="17"/>
      <c r="L701" s="17"/>
      <c r="N701" s="1"/>
      <c r="O701" s="17"/>
      <c r="P701" s="17"/>
      <c r="Q701" s="17"/>
      <c r="R701" s="17"/>
      <c r="S701" s="17"/>
      <c r="T701" s="17"/>
      <c r="U701" s="17"/>
      <c r="V701" s="17"/>
      <c r="W701" s="17"/>
      <c r="X701" s="17"/>
    </row>
    <row r="702" spans="1:24">
      <c r="A702" s="1"/>
      <c r="B702" s="1"/>
      <c r="C702" s="17"/>
      <c r="D702" s="17"/>
      <c r="E702" s="17"/>
      <c r="F702" s="17"/>
      <c r="G702" s="17"/>
      <c r="H702" s="17"/>
      <c r="I702" s="17"/>
      <c r="J702" s="17"/>
      <c r="K702" s="17"/>
      <c r="L702" s="17"/>
      <c r="N702" s="1"/>
      <c r="O702" s="17"/>
      <c r="P702" s="17"/>
      <c r="Q702" s="17"/>
      <c r="R702" s="17"/>
      <c r="S702" s="17"/>
      <c r="T702" s="17"/>
      <c r="U702" s="17"/>
      <c r="V702" s="17"/>
      <c r="W702" s="17"/>
      <c r="X702" s="17"/>
    </row>
    <row r="703" spans="1:24">
      <c r="A703" s="1"/>
      <c r="B703" s="1"/>
      <c r="C703" s="17"/>
      <c r="D703" s="17"/>
      <c r="E703" s="17"/>
      <c r="F703" s="17"/>
      <c r="G703" s="17"/>
      <c r="H703" s="17"/>
      <c r="I703" s="17"/>
      <c r="J703" s="17"/>
      <c r="K703" s="17"/>
      <c r="L703" s="17"/>
      <c r="N703" s="1"/>
      <c r="O703" s="17"/>
      <c r="P703" s="17"/>
      <c r="Q703" s="17"/>
      <c r="R703" s="17"/>
      <c r="S703" s="17"/>
      <c r="T703" s="17"/>
      <c r="U703" s="17"/>
      <c r="V703" s="17"/>
      <c r="W703" s="17"/>
      <c r="X703" s="17"/>
    </row>
    <row r="704" spans="1:24">
      <c r="A704" s="1"/>
      <c r="B704" s="1"/>
      <c r="C704" s="17"/>
      <c r="D704" s="17"/>
      <c r="E704" s="17"/>
      <c r="F704" s="17"/>
      <c r="G704" s="17"/>
      <c r="H704" s="17"/>
      <c r="I704" s="17"/>
      <c r="J704" s="17"/>
      <c r="K704" s="17"/>
      <c r="L704" s="17"/>
      <c r="N704" s="1"/>
      <c r="O704" s="17"/>
      <c r="P704" s="17"/>
      <c r="Q704" s="17"/>
      <c r="R704" s="17"/>
      <c r="S704" s="17"/>
      <c r="T704" s="17"/>
      <c r="U704" s="17"/>
      <c r="V704" s="17"/>
      <c r="W704" s="17"/>
      <c r="X704" s="17"/>
    </row>
    <row r="705" spans="1:24">
      <c r="A705" s="1"/>
      <c r="B705" s="1"/>
      <c r="C705" s="17"/>
      <c r="D705" s="17"/>
      <c r="E705" s="17"/>
      <c r="F705" s="17"/>
      <c r="G705" s="17"/>
      <c r="H705" s="17"/>
      <c r="I705" s="17"/>
      <c r="J705" s="17"/>
      <c r="K705" s="17"/>
      <c r="L705" s="17"/>
      <c r="N705" s="1"/>
      <c r="O705" s="17"/>
      <c r="P705" s="17"/>
      <c r="Q705" s="17"/>
      <c r="R705" s="17"/>
      <c r="S705" s="17"/>
      <c r="T705" s="17"/>
      <c r="U705" s="17"/>
      <c r="V705" s="17"/>
      <c r="W705" s="17"/>
      <c r="X705" s="17"/>
    </row>
    <row r="706" spans="1:24">
      <c r="A706" s="1"/>
      <c r="B706" s="1"/>
      <c r="C706" s="17"/>
      <c r="D706" s="17"/>
      <c r="E706" s="17"/>
      <c r="F706" s="17"/>
      <c r="G706" s="17"/>
      <c r="H706" s="17"/>
      <c r="I706" s="17"/>
      <c r="J706" s="17"/>
      <c r="K706" s="17"/>
      <c r="L706" s="17"/>
      <c r="N706" s="1"/>
      <c r="O706" s="17"/>
      <c r="P706" s="17"/>
      <c r="Q706" s="17"/>
      <c r="R706" s="17"/>
      <c r="S706" s="17"/>
      <c r="T706" s="17"/>
      <c r="U706" s="17"/>
      <c r="V706" s="17"/>
      <c r="W706" s="17"/>
      <c r="X706" s="17"/>
    </row>
    <row r="707" spans="1:24">
      <c r="A707" s="1"/>
      <c r="B707" s="1"/>
      <c r="C707" s="17"/>
      <c r="D707" s="17"/>
      <c r="E707" s="17"/>
      <c r="F707" s="17"/>
      <c r="G707" s="17"/>
      <c r="H707" s="17"/>
      <c r="I707" s="17"/>
      <c r="J707" s="17"/>
      <c r="K707" s="17"/>
      <c r="L707" s="17"/>
      <c r="N707" s="1"/>
      <c r="O707" s="17"/>
      <c r="P707" s="17"/>
      <c r="Q707" s="17"/>
      <c r="R707" s="17"/>
      <c r="S707" s="17"/>
      <c r="T707" s="17"/>
      <c r="U707" s="17"/>
      <c r="V707" s="17"/>
      <c r="W707" s="17"/>
      <c r="X707" s="17"/>
    </row>
    <row r="708" spans="1:24">
      <c r="A708" s="1"/>
      <c r="B708" s="1"/>
      <c r="C708" s="17"/>
      <c r="D708" s="17"/>
      <c r="E708" s="17"/>
      <c r="F708" s="17"/>
      <c r="G708" s="17"/>
      <c r="H708" s="17"/>
      <c r="I708" s="17"/>
      <c r="J708" s="17"/>
      <c r="K708" s="17"/>
      <c r="L708" s="17"/>
      <c r="N708" s="1"/>
      <c r="O708" s="17"/>
      <c r="P708" s="17"/>
      <c r="Q708" s="17"/>
      <c r="R708" s="17"/>
      <c r="S708" s="17"/>
      <c r="T708" s="17"/>
      <c r="U708" s="17"/>
      <c r="V708" s="17"/>
      <c r="W708" s="17"/>
      <c r="X708" s="17"/>
    </row>
    <row r="709" spans="1:24">
      <c r="A709" s="1"/>
      <c r="B709" s="1"/>
      <c r="C709" s="17"/>
      <c r="D709" s="17"/>
      <c r="E709" s="17"/>
      <c r="F709" s="17"/>
      <c r="G709" s="17"/>
      <c r="H709" s="17"/>
      <c r="I709" s="17"/>
      <c r="J709" s="17"/>
      <c r="K709" s="17"/>
      <c r="L709" s="17"/>
      <c r="N709" s="1"/>
      <c r="O709" s="17"/>
      <c r="P709" s="17"/>
      <c r="Q709" s="17"/>
      <c r="R709" s="17"/>
      <c r="S709" s="17"/>
      <c r="T709" s="17"/>
      <c r="U709" s="17"/>
      <c r="V709" s="17"/>
      <c r="W709" s="17"/>
      <c r="X709" s="17"/>
    </row>
    <row r="710" spans="1:24">
      <c r="A710" s="1"/>
      <c r="B710" s="1"/>
      <c r="C710" s="17"/>
      <c r="D710" s="17"/>
      <c r="E710" s="17"/>
      <c r="F710" s="17"/>
      <c r="G710" s="17"/>
      <c r="H710" s="17"/>
      <c r="I710" s="17"/>
      <c r="J710" s="17"/>
      <c r="K710" s="17"/>
      <c r="L710" s="17"/>
      <c r="N710" s="1"/>
      <c r="O710" s="17"/>
      <c r="P710" s="17"/>
      <c r="Q710" s="17"/>
      <c r="R710" s="17"/>
      <c r="S710" s="17"/>
      <c r="T710" s="17"/>
      <c r="U710" s="17"/>
      <c r="V710" s="17"/>
      <c r="W710" s="17"/>
      <c r="X710" s="17"/>
    </row>
    <row r="711" spans="1:24">
      <c r="A711" s="1"/>
      <c r="B711" s="1"/>
      <c r="C711" s="17"/>
      <c r="D711" s="17"/>
      <c r="E711" s="17"/>
      <c r="F711" s="17"/>
      <c r="G711" s="17"/>
      <c r="H711" s="17"/>
      <c r="I711" s="17"/>
      <c r="J711" s="17"/>
      <c r="K711" s="17"/>
      <c r="L711" s="17"/>
      <c r="N711" s="1"/>
      <c r="O711" s="17"/>
      <c r="P711" s="17"/>
      <c r="Q711" s="17"/>
      <c r="R711" s="17"/>
      <c r="S711" s="17"/>
      <c r="T711" s="17"/>
      <c r="U711" s="17"/>
      <c r="V711" s="17"/>
      <c r="W711" s="17"/>
      <c r="X711" s="17"/>
    </row>
    <row r="712" spans="1:24">
      <c r="A712" s="1"/>
      <c r="B712" s="1"/>
      <c r="C712" s="17"/>
      <c r="D712" s="17"/>
      <c r="E712" s="17"/>
      <c r="F712" s="17"/>
      <c r="G712" s="17"/>
      <c r="H712" s="17"/>
      <c r="I712" s="17"/>
      <c r="J712" s="17"/>
      <c r="K712" s="17"/>
      <c r="L712" s="17"/>
      <c r="N712" s="1"/>
      <c r="O712" s="17"/>
      <c r="P712" s="17"/>
      <c r="Q712" s="17"/>
      <c r="R712" s="17"/>
      <c r="S712" s="17"/>
      <c r="T712" s="17"/>
      <c r="U712" s="17"/>
      <c r="V712" s="17"/>
      <c r="W712" s="17"/>
      <c r="X712" s="17"/>
    </row>
    <row r="713" spans="1:24">
      <c r="A713" s="1"/>
      <c r="B713" s="1"/>
      <c r="C713" s="17"/>
      <c r="D713" s="17"/>
      <c r="E713" s="17"/>
      <c r="F713" s="17"/>
      <c r="G713" s="17"/>
      <c r="H713" s="17"/>
      <c r="I713" s="17"/>
      <c r="J713" s="17"/>
      <c r="K713" s="17"/>
      <c r="L713" s="17"/>
      <c r="N713" s="1"/>
      <c r="O713" s="17"/>
      <c r="P713" s="17"/>
      <c r="Q713" s="17"/>
      <c r="R713" s="17"/>
      <c r="S713" s="17"/>
      <c r="T713" s="17"/>
      <c r="U713" s="17"/>
      <c r="V713" s="17"/>
      <c r="W713" s="17"/>
      <c r="X713" s="17"/>
    </row>
    <row r="714" spans="1:24">
      <c r="A714" s="1"/>
      <c r="B714" s="1"/>
      <c r="C714" s="17"/>
      <c r="D714" s="17"/>
      <c r="E714" s="17"/>
      <c r="F714" s="17"/>
      <c r="G714" s="17"/>
      <c r="H714" s="17"/>
      <c r="I714" s="17"/>
      <c r="J714" s="17"/>
      <c r="K714" s="17"/>
      <c r="L714" s="17"/>
      <c r="N714" s="1"/>
      <c r="O714" s="17"/>
      <c r="P714" s="17"/>
      <c r="Q714" s="17"/>
      <c r="R714" s="17"/>
      <c r="S714" s="17"/>
      <c r="T714" s="17"/>
      <c r="U714" s="17"/>
      <c r="V714" s="17"/>
      <c r="W714" s="17"/>
      <c r="X714" s="17"/>
    </row>
    <row r="715" spans="1:24">
      <c r="A715" s="1"/>
      <c r="B715" s="1"/>
      <c r="C715" s="17"/>
      <c r="D715" s="17"/>
      <c r="E715" s="17"/>
      <c r="F715" s="17"/>
      <c r="G715" s="17"/>
      <c r="H715" s="17"/>
      <c r="I715" s="17"/>
      <c r="J715" s="17"/>
      <c r="K715" s="17"/>
      <c r="L715" s="17"/>
      <c r="N715" s="1"/>
      <c r="O715" s="17"/>
      <c r="P715" s="17"/>
      <c r="Q715" s="17"/>
      <c r="R715" s="17"/>
      <c r="S715" s="17"/>
      <c r="T715" s="17"/>
      <c r="U715" s="17"/>
      <c r="V715" s="17"/>
      <c r="W715" s="17"/>
      <c r="X715" s="17"/>
    </row>
    <row r="716" spans="1:24">
      <c r="A716" s="1"/>
      <c r="B716" s="1"/>
      <c r="C716" s="17"/>
      <c r="D716" s="17"/>
      <c r="E716" s="17"/>
      <c r="F716" s="17"/>
      <c r="G716" s="17"/>
      <c r="H716" s="17"/>
      <c r="I716" s="17"/>
      <c r="J716" s="17"/>
      <c r="K716" s="17"/>
      <c r="L716" s="17"/>
      <c r="N716" s="1"/>
      <c r="O716" s="17"/>
      <c r="P716" s="17"/>
      <c r="Q716" s="17"/>
      <c r="R716" s="17"/>
      <c r="S716" s="17"/>
      <c r="T716" s="17"/>
      <c r="U716" s="17"/>
      <c r="V716" s="17"/>
      <c r="W716" s="17"/>
      <c r="X716" s="17"/>
    </row>
    <row r="717" spans="1:24">
      <c r="A717" s="1"/>
      <c r="B717" s="1"/>
      <c r="C717" s="17"/>
      <c r="D717" s="17"/>
      <c r="E717" s="17"/>
      <c r="F717" s="17"/>
      <c r="G717" s="17"/>
      <c r="H717" s="17"/>
      <c r="I717" s="17"/>
      <c r="J717" s="17"/>
      <c r="K717" s="17"/>
      <c r="L717" s="17"/>
      <c r="N717" s="1"/>
      <c r="O717" s="17"/>
      <c r="P717" s="17"/>
      <c r="Q717" s="17"/>
      <c r="R717" s="17"/>
      <c r="S717" s="17"/>
      <c r="T717" s="17"/>
      <c r="U717" s="17"/>
      <c r="V717" s="17"/>
      <c r="W717" s="17"/>
      <c r="X717" s="17"/>
    </row>
    <row r="718" spans="1:24">
      <c r="A718" s="1"/>
      <c r="B718" s="1"/>
      <c r="C718" s="17"/>
      <c r="D718" s="17"/>
      <c r="E718" s="17"/>
      <c r="F718" s="17"/>
      <c r="G718" s="17"/>
      <c r="H718" s="17"/>
      <c r="I718" s="17"/>
      <c r="J718" s="17"/>
      <c r="K718" s="17"/>
      <c r="L718" s="17"/>
      <c r="N718" s="1"/>
      <c r="O718" s="17"/>
      <c r="P718" s="17"/>
      <c r="Q718" s="17"/>
      <c r="R718" s="17"/>
      <c r="S718" s="17"/>
      <c r="T718" s="17"/>
      <c r="U718" s="17"/>
      <c r="V718" s="17"/>
      <c r="W718" s="17"/>
      <c r="X718" s="17"/>
    </row>
    <row r="719" spans="1:24">
      <c r="A719" s="1"/>
      <c r="B719" s="1"/>
      <c r="C719" s="17"/>
      <c r="D719" s="17"/>
      <c r="E719" s="17"/>
      <c r="F719" s="17"/>
      <c r="G719" s="17"/>
      <c r="H719" s="17"/>
      <c r="I719" s="17"/>
      <c r="J719" s="17"/>
      <c r="K719" s="17"/>
      <c r="L719" s="17"/>
      <c r="N719" s="1"/>
      <c r="O719" s="17"/>
      <c r="P719" s="17"/>
      <c r="Q719" s="17"/>
      <c r="R719" s="17"/>
      <c r="S719" s="17"/>
      <c r="T719" s="17"/>
      <c r="U719" s="17"/>
      <c r="V719" s="17"/>
      <c r="W719" s="17"/>
      <c r="X719" s="17"/>
    </row>
    <row r="720" spans="1:24">
      <c r="A720" s="1"/>
      <c r="B720" s="1"/>
      <c r="C720" s="17"/>
      <c r="D720" s="17"/>
      <c r="E720" s="17"/>
      <c r="F720" s="17"/>
      <c r="G720" s="17"/>
      <c r="H720" s="17"/>
      <c r="I720" s="17"/>
      <c r="J720" s="17"/>
      <c r="K720" s="17"/>
      <c r="L720" s="17"/>
      <c r="N720" s="1"/>
      <c r="O720" s="17"/>
      <c r="P720" s="17"/>
      <c r="Q720" s="17"/>
      <c r="R720" s="17"/>
      <c r="S720" s="17"/>
      <c r="T720" s="17"/>
      <c r="U720" s="17"/>
      <c r="V720" s="17"/>
      <c r="W720" s="17"/>
      <c r="X720" s="17"/>
    </row>
    <row r="721" spans="1:24">
      <c r="A721" s="1"/>
      <c r="B721" s="1"/>
      <c r="C721" s="17"/>
      <c r="D721" s="17"/>
      <c r="E721" s="17"/>
      <c r="F721" s="17"/>
      <c r="G721" s="17"/>
      <c r="H721" s="17"/>
      <c r="I721" s="17"/>
      <c r="J721" s="17"/>
      <c r="K721" s="17"/>
      <c r="L721" s="17"/>
      <c r="N721" s="1"/>
      <c r="O721" s="17"/>
      <c r="P721" s="17"/>
      <c r="Q721" s="17"/>
      <c r="R721" s="17"/>
      <c r="S721" s="17"/>
      <c r="T721" s="17"/>
      <c r="U721" s="17"/>
      <c r="V721" s="17"/>
      <c r="W721" s="17"/>
      <c r="X721" s="17"/>
    </row>
    <row r="722" spans="1:24">
      <c r="A722" s="1"/>
      <c r="B722" s="1"/>
      <c r="C722" s="17"/>
      <c r="D722" s="17"/>
      <c r="E722" s="17"/>
      <c r="F722" s="17"/>
      <c r="G722" s="17"/>
      <c r="H722" s="17"/>
      <c r="I722" s="17"/>
      <c r="J722" s="17"/>
      <c r="K722" s="17"/>
      <c r="L722" s="17"/>
      <c r="N722" s="1"/>
      <c r="O722" s="17"/>
      <c r="P722" s="17"/>
      <c r="Q722" s="17"/>
      <c r="R722" s="17"/>
      <c r="S722" s="17"/>
      <c r="T722" s="17"/>
      <c r="U722" s="17"/>
      <c r="V722" s="17"/>
      <c r="W722" s="17"/>
      <c r="X722" s="17"/>
    </row>
    <row r="723" spans="1:24">
      <c r="A723" s="1"/>
      <c r="B723" s="1"/>
      <c r="C723" s="17"/>
      <c r="D723" s="17"/>
      <c r="E723" s="17"/>
      <c r="F723" s="17"/>
      <c r="G723" s="17"/>
      <c r="H723" s="17"/>
      <c r="I723" s="17"/>
      <c r="J723" s="17"/>
      <c r="K723" s="17"/>
      <c r="L723" s="17"/>
      <c r="N723" s="1"/>
      <c r="O723" s="17"/>
      <c r="P723" s="17"/>
      <c r="Q723" s="17"/>
      <c r="R723" s="17"/>
      <c r="S723" s="17"/>
      <c r="T723" s="17"/>
      <c r="U723" s="17"/>
      <c r="V723" s="17"/>
      <c r="W723" s="17"/>
      <c r="X723" s="17"/>
    </row>
    <row r="724" spans="1:24">
      <c r="A724" s="1"/>
      <c r="B724" s="1"/>
      <c r="C724" s="17"/>
      <c r="D724" s="17"/>
      <c r="E724" s="17"/>
      <c r="F724" s="17"/>
      <c r="G724" s="17"/>
      <c r="H724" s="17"/>
      <c r="I724" s="17"/>
      <c r="J724" s="17"/>
      <c r="K724" s="17"/>
      <c r="L724" s="17"/>
      <c r="N724" s="1"/>
      <c r="O724" s="17"/>
      <c r="P724" s="17"/>
      <c r="Q724" s="17"/>
      <c r="R724" s="17"/>
      <c r="S724" s="17"/>
      <c r="T724" s="17"/>
      <c r="U724" s="17"/>
      <c r="V724" s="17"/>
      <c r="W724" s="17"/>
      <c r="X724" s="17"/>
    </row>
    <row r="725" spans="1:24">
      <c r="A725" s="1"/>
      <c r="B725" s="1"/>
      <c r="C725" s="17"/>
      <c r="D725" s="17"/>
      <c r="E725" s="17"/>
      <c r="F725" s="17"/>
      <c r="G725" s="17"/>
      <c r="H725" s="17"/>
      <c r="I725" s="17"/>
      <c r="J725" s="17"/>
      <c r="K725" s="17"/>
      <c r="L725" s="17"/>
      <c r="N725" s="1"/>
      <c r="O725" s="17"/>
      <c r="P725" s="17"/>
      <c r="Q725" s="17"/>
      <c r="R725" s="17"/>
      <c r="S725" s="17"/>
      <c r="T725" s="17"/>
      <c r="U725" s="17"/>
      <c r="V725" s="17"/>
      <c r="W725" s="17"/>
      <c r="X725" s="17"/>
    </row>
    <row r="726" spans="1:24">
      <c r="A726" s="1"/>
      <c r="B726" s="1"/>
      <c r="C726" s="17"/>
      <c r="D726" s="17"/>
      <c r="E726" s="17"/>
      <c r="F726" s="17"/>
      <c r="G726" s="17"/>
      <c r="H726" s="17"/>
      <c r="I726" s="17"/>
      <c r="J726" s="17"/>
      <c r="K726" s="17"/>
      <c r="L726" s="17"/>
      <c r="N726" s="1"/>
      <c r="O726" s="17"/>
      <c r="P726" s="17"/>
      <c r="Q726" s="17"/>
      <c r="R726" s="17"/>
      <c r="S726" s="17"/>
      <c r="T726" s="17"/>
      <c r="U726" s="17"/>
      <c r="V726" s="17"/>
      <c r="W726" s="17"/>
      <c r="X726" s="17"/>
    </row>
    <row r="727" spans="1:24">
      <c r="A727" s="1"/>
      <c r="B727" s="1"/>
      <c r="C727" s="17"/>
      <c r="D727" s="17"/>
      <c r="E727" s="17"/>
      <c r="F727" s="17"/>
      <c r="G727" s="17"/>
      <c r="H727" s="17"/>
      <c r="I727" s="17"/>
      <c r="J727" s="17"/>
      <c r="K727" s="17"/>
      <c r="L727" s="17"/>
      <c r="N727" s="1"/>
      <c r="O727" s="17"/>
      <c r="P727" s="17"/>
      <c r="Q727" s="17"/>
      <c r="R727" s="17"/>
      <c r="S727" s="17"/>
      <c r="T727" s="17"/>
      <c r="U727" s="17"/>
      <c r="V727" s="17"/>
      <c r="W727" s="17"/>
      <c r="X727" s="17"/>
    </row>
    <row r="728" spans="1:24">
      <c r="A728" s="1"/>
      <c r="B728" s="1"/>
      <c r="C728" s="17"/>
      <c r="D728" s="17"/>
      <c r="E728" s="17"/>
      <c r="F728" s="17"/>
      <c r="G728" s="17"/>
      <c r="H728" s="17"/>
      <c r="I728" s="17"/>
      <c r="J728" s="17"/>
      <c r="K728" s="17"/>
      <c r="L728" s="17"/>
      <c r="N728" s="1"/>
      <c r="O728" s="17"/>
      <c r="P728" s="17"/>
      <c r="Q728" s="17"/>
      <c r="R728" s="17"/>
      <c r="S728" s="17"/>
      <c r="T728" s="17"/>
      <c r="U728" s="17"/>
      <c r="V728" s="17"/>
      <c r="W728" s="17"/>
      <c r="X728" s="17"/>
    </row>
    <row r="729" spans="1:24">
      <c r="A729" s="1"/>
      <c r="B729" s="1"/>
      <c r="C729" s="17"/>
      <c r="D729" s="17"/>
      <c r="E729" s="17"/>
      <c r="F729" s="17"/>
      <c r="G729" s="17"/>
      <c r="H729" s="17"/>
      <c r="I729" s="17"/>
      <c r="J729" s="17"/>
      <c r="K729" s="17"/>
      <c r="L729" s="17"/>
      <c r="N729" s="1"/>
      <c r="O729" s="17"/>
      <c r="P729" s="17"/>
      <c r="Q729" s="17"/>
      <c r="R729" s="17"/>
      <c r="S729" s="17"/>
      <c r="T729" s="17"/>
      <c r="U729" s="17"/>
      <c r="V729" s="17"/>
      <c r="W729" s="17"/>
      <c r="X729" s="17"/>
    </row>
    <row r="730" spans="1:24">
      <c r="A730" s="1"/>
      <c r="B730" s="1"/>
      <c r="C730" s="17"/>
      <c r="D730" s="17"/>
      <c r="E730" s="17"/>
      <c r="F730" s="17"/>
      <c r="G730" s="17"/>
      <c r="H730" s="17"/>
      <c r="I730" s="17"/>
      <c r="J730" s="17"/>
      <c r="K730" s="17"/>
      <c r="L730" s="17"/>
      <c r="N730" s="1"/>
      <c r="O730" s="17"/>
      <c r="P730" s="17"/>
      <c r="Q730" s="17"/>
      <c r="R730" s="17"/>
      <c r="S730" s="17"/>
      <c r="T730" s="17"/>
      <c r="U730" s="17"/>
      <c r="V730" s="17"/>
      <c r="W730" s="17"/>
      <c r="X730" s="17"/>
    </row>
    <row r="731" spans="1:24">
      <c r="A731" s="1"/>
      <c r="B731" s="1"/>
      <c r="C731" s="17"/>
      <c r="D731" s="17"/>
      <c r="E731" s="17"/>
      <c r="F731" s="17"/>
      <c r="G731" s="17"/>
      <c r="H731" s="17"/>
      <c r="I731" s="17"/>
      <c r="J731" s="17"/>
      <c r="K731" s="17"/>
      <c r="L731" s="17"/>
      <c r="N731" s="1"/>
      <c r="O731" s="17"/>
      <c r="P731" s="17"/>
      <c r="Q731" s="17"/>
      <c r="R731" s="17"/>
      <c r="S731" s="17"/>
      <c r="T731" s="17"/>
      <c r="U731" s="17"/>
      <c r="V731" s="17"/>
      <c r="W731" s="17"/>
      <c r="X731" s="17"/>
    </row>
    <row r="732" spans="1:24">
      <c r="A732" s="1"/>
      <c r="B732" s="1"/>
      <c r="C732" s="17"/>
      <c r="D732" s="17"/>
      <c r="E732" s="17"/>
      <c r="F732" s="17"/>
      <c r="G732" s="17"/>
      <c r="H732" s="17"/>
      <c r="I732" s="17"/>
      <c r="J732" s="17"/>
      <c r="K732" s="17"/>
      <c r="L732" s="17"/>
      <c r="N732" s="1"/>
      <c r="O732" s="17"/>
      <c r="P732" s="17"/>
      <c r="Q732" s="17"/>
      <c r="R732" s="17"/>
      <c r="S732" s="17"/>
      <c r="T732" s="17"/>
      <c r="U732" s="17"/>
      <c r="V732" s="17"/>
      <c r="W732" s="17"/>
      <c r="X732" s="17"/>
    </row>
    <row r="733" spans="1:24">
      <c r="A733" s="1"/>
      <c r="B733" s="1"/>
      <c r="C733" s="17"/>
      <c r="D733" s="17"/>
      <c r="E733" s="17"/>
      <c r="F733" s="17"/>
      <c r="G733" s="17"/>
      <c r="H733" s="17"/>
      <c r="I733" s="17"/>
      <c r="J733" s="17"/>
      <c r="K733" s="17"/>
      <c r="L733" s="17"/>
      <c r="N733" s="1"/>
      <c r="O733" s="17"/>
      <c r="P733" s="17"/>
      <c r="Q733" s="17"/>
      <c r="R733" s="17"/>
      <c r="S733" s="17"/>
      <c r="T733" s="17"/>
      <c r="U733" s="17"/>
      <c r="V733" s="17"/>
      <c r="W733" s="17"/>
      <c r="X733" s="17"/>
    </row>
    <row r="734" spans="1:24">
      <c r="A734" s="1"/>
      <c r="B734" s="1"/>
      <c r="C734" s="17"/>
      <c r="D734" s="17"/>
      <c r="E734" s="17"/>
      <c r="F734" s="17"/>
      <c r="G734" s="17"/>
      <c r="H734" s="17"/>
      <c r="I734" s="17"/>
      <c r="J734" s="17"/>
      <c r="K734" s="17"/>
      <c r="L734" s="17"/>
      <c r="N734" s="1"/>
      <c r="O734" s="17"/>
      <c r="P734" s="17"/>
      <c r="Q734" s="17"/>
      <c r="R734" s="17"/>
      <c r="S734" s="17"/>
      <c r="T734" s="17"/>
      <c r="U734" s="17"/>
      <c r="V734" s="17"/>
      <c r="W734" s="17"/>
      <c r="X734" s="17"/>
    </row>
    <row r="735" spans="1:24">
      <c r="A735" s="1"/>
      <c r="B735" s="1"/>
      <c r="C735" s="17"/>
      <c r="D735" s="17"/>
      <c r="E735" s="17"/>
      <c r="F735" s="17"/>
      <c r="G735" s="17"/>
      <c r="H735" s="17"/>
      <c r="I735" s="17"/>
      <c r="J735" s="17"/>
      <c r="K735" s="17"/>
      <c r="L735" s="17"/>
      <c r="N735" s="1"/>
      <c r="O735" s="17"/>
      <c r="P735" s="17"/>
      <c r="Q735" s="17"/>
      <c r="R735" s="17"/>
      <c r="S735" s="17"/>
      <c r="T735" s="17"/>
      <c r="U735" s="17"/>
      <c r="V735" s="17"/>
      <c r="W735" s="17"/>
      <c r="X735" s="17"/>
    </row>
    <row r="736" spans="1:24">
      <c r="A736" s="1"/>
      <c r="B736" s="1"/>
      <c r="C736" s="17"/>
      <c r="D736" s="17"/>
      <c r="E736" s="17"/>
      <c r="F736" s="17"/>
      <c r="G736" s="17"/>
      <c r="H736" s="17"/>
      <c r="I736" s="17"/>
      <c r="J736" s="17"/>
      <c r="K736" s="17"/>
      <c r="L736" s="17"/>
      <c r="N736" s="1"/>
      <c r="O736" s="17"/>
      <c r="P736" s="17"/>
      <c r="Q736" s="17"/>
      <c r="R736" s="17"/>
      <c r="S736" s="17"/>
      <c r="T736" s="17"/>
      <c r="U736" s="17"/>
      <c r="V736" s="17"/>
      <c r="W736" s="17"/>
      <c r="X736" s="17"/>
    </row>
    <row r="737" spans="1:24">
      <c r="A737" s="1"/>
      <c r="B737" s="1"/>
      <c r="C737" s="17"/>
      <c r="D737" s="17"/>
      <c r="E737" s="17"/>
      <c r="F737" s="17"/>
      <c r="G737" s="17"/>
      <c r="H737" s="17"/>
      <c r="I737" s="17"/>
      <c r="J737" s="17"/>
      <c r="K737" s="17"/>
      <c r="L737" s="17"/>
      <c r="N737" s="1"/>
      <c r="O737" s="17"/>
      <c r="P737" s="17"/>
      <c r="Q737" s="17"/>
      <c r="R737" s="17"/>
      <c r="S737" s="17"/>
      <c r="T737" s="17"/>
      <c r="U737" s="17"/>
      <c r="V737" s="17"/>
      <c r="W737" s="17"/>
      <c r="X737" s="17"/>
    </row>
    <row r="738" spans="1:24">
      <c r="A738" s="1"/>
      <c r="B738" s="1"/>
      <c r="C738" s="17"/>
      <c r="D738" s="17"/>
      <c r="E738" s="17"/>
      <c r="F738" s="17"/>
      <c r="G738" s="17"/>
      <c r="H738" s="17"/>
      <c r="I738" s="17"/>
      <c r="J738" s="17"/>
      <c r="K738" s="17"/>
      <c r="L738" s="17"/>
      <c r="N738" s="1"/>
      <c r="O738" s="17"/>
      <c r="P738" s="17"/>
      <c r="Q738" s="17"/>
      <c r="R738" s="17"/>
      <c r="S738" s="17"/>
      <c r="T738" s="17"/>
      <c r="U738" s="17"/>
      <c r="V738" s="17"/>
      <c r="W738" s="17"/>
      <c r="X738" s="17"/>
    </row>
    <row r="739" spans="1:24">
      <c r="A739" s="1"/>
      <c r="B739" s="1"/>
      <c r="C739" s="17"/>
      <c r="D739" s="17"/>
      <c r="E739" s="17"/>
      <c r="F739" s="17"/>
      <c r="G739" s="17"/>
      <c r="H739" s="17"/>
      <c r="I739" s="17"/>
      <c r="J739" s="17"/>
      <c r="K739" s="17"/>
      <c r="L739" s="17"/>
      <c r="N739" s="1"/>
      <c r="O739" s="17"/>
      <c r="P739" s="17"/>
      <c r="Q739" s="17"/>
      <c r="R739" s="17"/>
      <c r="S739" s="17"/>
      <c r="T739" s="17"/>
      <c r="U739" s="17"/>
      <c r="V739" s="17"/>
      <c r="W739" s="17"/>
      <c r="X739" s="17"/>
    </row>
    <row r="740" spans="1:24">
      <c r="A740" s="1"/>
      <c r="B740" s="1"/>
      <c r="C740" s="17"/>
      <c r="D740" s="17"/>
      <c r="E740" s="17"/>
      <c r="F740" s="17"/>
      <c r="G740" s="17"/>
      <c r="H740" s="17"/>
      <c r="I740" s="17"/>
      <c r="J740" s="17"/>
      <c r="K740" s="17"/>
      <c r="L740" s="17"/>
      <c r="N740" s="1"/>
      <c r="O740" s="17"/>
      <c r="P740" s="17"/>
      <c r="Q740" s="17"/>
      <c r="R740" s="17"/>
      <c r="S740" s="17"/>
      <c r="T740" s="17"/>
      <c r="U740" s="17"/>
      <c r="V740" s="17"/>
      <c r="W740" s="17"/>
      <c r="X740" s="17"/>
    </row>
    <row r="741" spans="1:24">
      <c r="A741" s="1"/>
      <c r="B741" s="1"/>
      <c r="C741" s="17"/>
      <c r="D741" s="17"/>
      <c r="E741" s="17"/>
      <c r="F741" s="17"/>
      <c r="G741" s="17"/>
      <c r="H741" s="17"/>
      <c r="I741" s="17"/>
      <c r="J741" s="17"/>
      <c r="K741" s="17"/>
      <c r="L741" s="17"/>
      <c r="N741" s="1"/>
      <c r="O741" s="17"/>
      <c r="P741" s="17"/>
      <c r="Q741" s="17"/>
      <c r="R741" s="17"/>
      <c r="S741" s="17"/>
      <c r="T741" s="17"/>
      <c r="U741" s="17"/>
      <c r="V741" s="17"/>
      <c r="W741" s="17"/>
      <c r="X741" s="17"/>
    </row>
    <row r="742" spans="1:24">
      <c r="A742" s="1"/>
      <c r="B742" s="1"/>
      <c r="C742" s="17"/>
      <c r="D742" s="17"/>
      <c r="E742" s="17"/>
      <c r="F742" s="17"/>
      <c r="G742" s="17"/>
      <c r="H742" s="17"/>
      <c r="I742" s="17"/>
      <c r="J742" s="17"/>
      <c r="K742" s="17"/>
      <c r="L742" s="17"/>
      <c r="N742" s="1"/>
      <c r="O742" s="17"/>
      <c r="P742" s="17"/>
      <c r="Q742" s="17"/>
      <c r="R742" s="17"/>
      <c r="S742" s="17"/>
      <c r="T742" s="17"/>
      <c r="U742" s="17"/>
      <c r="V742" s="17"/>
      <c r="W742" s="17"/>
      <c r="X742" s="17"/>
    </row>
    <row r="743" spans="1:24">
      <c r="A743" s="1"/>
      <c r="B743" s="1"/>
      <c r="C743" s="17"/>
      <c r="D743" s="17"/>
      <c r="E743" s="17"/>
      <c r="F743" s="17"/>
      <c r="G743" s="17"/>
      <c r="H743" s="17"/>
      <c r="I743" s="17"/>
      <c r="J743" s="17"/>
      <c r="K743" s="17"/>
      <c r="L743" s="17"/>
      <c r="N743" s="1"/>
      <c r="O743" s="17"/>
      <c r="P743" s="17"/>
      <c r="Q743" s="17"/>
      <c r="R743" s="17"/>
      <c r="S743" s="17"/>
      <c r="T743" s="17"/>
      <c r="U743" s="17"/>
      <c r="V743" s="17"/>
      <c r="W743" s="17"/>
      <c r="X743" s="17"/>
    </row>
    <row r="744" spans="1:24">
      <c r="A744" s="1"/>
      <c r="B744" s="1"/>
      <c r="C744" s="17"/>
      <c r="D744" s="17"/>
      <c r="E744" s="17"/>
      <c r="F744" s="17"/>
      <c r="G744" s="17"/>
      <c r="H744" s="17"/>
      <c r="I744" s="17"/>
      <c r="J744" s="17"/>
      <c r="K744" s="17"/>
      <c r="L744" s="17"/>
      <c r="N744" s="1"/>
      <c r="O744" s="17"/>
      <c r="P744" s="17"/>
      <c r="Q744" s="17"/>
      <c r="R744" s="17"/>
      <c r="S744" s="17"/>
      <c r="T744" s="17"/>
      <c r="U744" s="17"/>
      <c r="V744" s="17"/>
      <c r="W744" s="17"/>
      <c r="X744" s="17"/>
    </row>
    <row r="745" spans="1:24">
      <c r="A745" s="1"/>
      <c r="B745" s="1"/>
      <c r="C745" s="17"/>
      <c r="D745" s="17"/>
      <c r="E745" s="17"/>
      <c r="F745" s="17"/>
      <c r="G745" s="17"/>
      <c r="H745" s="17"/>
      <c r="I745" s="17"/>
      <c r="J745" s="17"/>
      <c r="K745" s="17"/>
      <c r="L745" s="17"/>
      <c r="N745" s="1"/>
      <c r="O745" s="17"/>
      <c r="P745" s="17"/>
      <c r="Q745" s="17"/>
      <c r="R745" s="17"/>
      <c r="S745" s="17"/>
      <c r="T745" s="17"/>
      <c r="U745" s="17"/>
      <c r="V745" s="17"/>
      <c r="W745" s="17"/>
      <c r="X745" s="17"/>
    </row>
    <row r="746" spans="1:24">
      <c r="A746" s="1"/>
      <c r="B746" s="1"/>
      <c r="C746" s="17"/>
      <c r="D746" s="17"/>
      <c r="E746" s="17"/>
      <c r="F746" s="17"/>
      <c r="G746" s="17"/>
      <c r="H746" s="17"/>
      <c r="I746" s="17"/>
      <c r="J746" s="17"/>
      <c r="K746" s="17"/>
      <c r="L746" s="17"/>
      <c r="N746" s="1"/>
      <c r="O746" s="17"/>
      <c r="P746" s="17"/>
      <c r="Q746" s="17"/>
      <c r="R746" s="17"/>
      <c r="S746" s="17"/>
      <c r="T746" s="17"/>
      <c r="U746" s="17"/>
      <c r="V746" s="17"/>
      <c r="W746" s="17"/>
      <c r="X746" s="17"/>
    </row>
    <row r="747" spans="1:24">
      <c r="A747" s="1"/>
      <c r="B747" s="1"/>
      <c r="C747" s="17"/>
      <c r="D747" s="17"/>
      <c r="E747" s="17"/>
      <c r="F747" s="17"/>
      <c r="G747" s="17"/>
      <c r="H747" s="17"/>
      <c r="I747" s="17"/>
      <c r="J747" s="17"/>
      <c r="K747" s="17"/>
      <c r="L747" s="17"/>
      <c r="N747" s="1"/>
      <c r="O747" s="17"/>
      <c r="P747" s="17"/>
      <c r="Q747" s="17"/>
      <c r="R747" s="17"/>
      <c r="S747" s="17"/>
      <c r="T747" s="17"/>
      <c r="U747" s="17"/>
      <c r="V747" s="17"/>
      <c r="W747" s="17"/>
      <c r="X747" s="17"/>
    </row>
    <row r="748" spans="1:24">
      <c r="A748" s="1"/>
      <c r="B748" s="1"/>
      <c r="C748" s="17"/>
      <c r="D748" s="17"/>
      <c r="E748" s="17"/>
      <c r="F748" s="17"/>
      <c r="G748" s="17"/>
      <c r="H748" s="17"/>
      <c r="I748" s="17"/>
      <c r="J748" s="17"/>
      <c r="K748" s="17"/>
      <c r="L748" s="17"/>
      <c r="N748" s="1"/>
      <c r="O748" s="17"/>
      <c r="P748" s="17"/>
      <c r="Q748" s="17"/>
      <c r="R748" s="17"/>
      <c r="S748" s="17"/>
      <c r="T748" s="17"/>
      <c r="U748" s="17"/>
      <c r="V748" s="17"/>
      <c r="W748" s="17"/>
      <c r="X748" s="17"/>
    </row>
    <row r="749" spans="1:24">
      <c r="A749" s="1"/>
      <c r="B749" s="1"/>
      <c r="C749" s="17"/>
      <c r="D749" s="17"/>
      <c r="E749" s="17"/>
      <c r="F749" s="17"/>
      <c r="G749" s="17"/>
      <c r="H749" s="17"/>
      <c r="I749" s="17"/>
      <c r="J749" s="17"/>
      <c r="K749" s="17"/>
      <c r="L749" s="17"/>
      <c r="N749" s="1"/>
      <c r="O749" s="17"/>
      <c r="P749" s="17"/>
      <c r="Q749" s="17"/>
      <c r="R749" s="17"/>
      <c r="S749" s="17"/>
      <c r="T749" s="17"/>
      <c r="U749" s="17"/>
      <c r="V749" s="17"/>
      <c r="W749" s="17"/>
      <c r="X749" s="17"/>
    </row>
    <row r="750" spans="1:24">
      <c r="A750" s="1"/>
      <c r="B750" s="1"/>
      <c r="C750" s="17"/>
      <c r="D750" s="17"/>
      <c r="E750" s="17"/>
      <c r="F750" s="17"/>
      <c r="G750" s="17"/>
      <c r="H750" s="17"/>
      <c r="I750" s="17"/>
      <c r="J750" s="17"/>
      <c r="K750" s="17"/>
      <c r="L750" s="17"/>
      <c r="N750" s="1"/>
      <c r="O750" s="17"/>
      <c r="P750" s="17"/>
      <c r="Q750" s="17"/>
      <c r="R750" s="17"/>
      <c r="S750" s="17"/>
      <c r="T750" s="17"/>
      <c r="U750" s="17"/>
      <c r="V750" s="17"/>
      <c r="W750" s="17"/>
      <c r="X750" s="17"/>
    </row>
    <row r="751" spans="1:24">
      <c r="A751" s="1"/>
      <c r="B751" s="1"/>
      <c r="C751" s="17"/>
      <c r="D751" s="17"/>
      <c r="E751" s="17"/>
      <c r="F751" s="17"/>
      <c r="G751" s="17"/>
      <c r="H751" s="17"/>
      <c r="I751" s="17"/>
      <c r="J751" s="17"/>
      <c r="K751" s="17"/>
      <c r="L751" s="17"/>
      <c r="N751" s="1"/>
      <c r="O751" s="17"/>
      <c r="P751" s="17"/>
      <c r="Q751" s="17"/>
      <c r="R751" s="17"/>
      <c r="S751" s="17"/>
      <c r="T751" s="17"/>
      <c r="U751" s="17"/>
      <c r="V751" s="17"/>
      <c r="W751" s="17"/>
      <c r="X751" s="17"/>
    </row>
    <row r="752" spans="1:24">
      <c r="A752" s="1"/>
      <c r="B752" s="1"/>
      <c r="C752" s="17"/>
      <c r="D752" s="17"/>
      <c r="E752" s="17"/>
      <c r="F752" s="17"/>
      <c r="G752" s="17"/>
      <c r="H752" s="17"/>
      <c r="I752" s="17"/>
      <c r="J752" s="17"/>
      <c r="K752" s="17"/>
      <c r="L752" s="17"/>
      <c r="N752" s="1"/>
      <c r="O752" s="17"/>
      <c r="P752" s="17"/>
      <c r="Q752" s="17"/>
      <c r="R752" s="17"/>
      <c r="S752" s="17"/>
      <c r="T752" s="17"/>
      <c r="U752" s="17"/>
      <c r="V752" s="17"/>
      <c r="W752" s="17"/>
      <c r="X752" s="17"/>
    </row>
    <row r="753" spans="1:24">
      <c r="A753" s="1"/>
      <c r="B753" s="1"/>
      <c r="C753" s="17"/>
      <c r="D753" s="17"/>
      <c r="E753" s="17"/>
      <c r="F753" s="17"/>
      <c r="G753" s="17"/>
      <c r="H753" s="17"/>
      <c r="I753" s="17"/>
      <c r="J753" s="17"/>
      <c r="K753" s="17"/>
      <c r="L753" s="17"/>
      <c r="N753" s="1"/>
      <c r="O753" s="17"/>
      <c r="P753" s="17"/>
      <c r="Q753" s="17"/>
      <c r="R753" s="17"/>
      <c r="S753" s="17"/>
      <c r="T753" s="17"/>
      <c r="U753" s="17"/>
      <c r="V753" s="17"/>
      <c r="W753" s="17"/>
      <c r="X753" s="17"/>
    </row>
    <row r="754" spans="1:24">
      <c r="A754" s="1"/>
      <c r="B754" s="1"/>
      <c r="C754" s="17"/>
      <c r="D754" s="17"/>
      <c r="E754" s="17"/>
      <c r="F754" s="17"/>
      <c r="G754" s="17"/>
      <c r="H754" s="17"/>
      <c r="I754" s="17"/>
      <c r="J754" s="17"/>
      <c r="K754" s="17"/>
      <c r="L754" s="17"/>
      <c r="N754" s="1"/>
      <c r="O754" s="17"/>
      <c r="P754" s="17"/>
      <c r="Q754" s="17"/>
      <c r="R754" s="17"/>
      <c r="S754" s="17"/>
      <c r="T754" s="17"/>
      <c r="U754" s="17"/>
      <c r="V754" s="17"/>
      <c r="W754" s="17"/>
      <c r="X754" s="17"/>
    </row>
    <row r="755" spans="1:24">
      <c r="A755" s="1"/>
      <c r="B755" s="1"/>
      <c r="C755" s="17"/>
      <c r="D755" s="17"/>
      <c r="E755" s="17"/>
      <c r="F755" s="17"/>
      <c r="G755" s="17"/>
      <c r="H755" s="17"/>
      <c r="I755" s="17"/>
      <c r="J755" s="17"/>
      <c r="K755" s="17"/>
      <c r="L755" s="17"/>
      <c r="N755" s="1"/>
      <c r="O755" s="17"/>
      <c r="P755" s="17"/>
      <c r="Q755" s="17"/>
      <c r="R755" s="17"/>
      <c r="S755" s="17"/>
      <c r="T755" s="17"/>
      <c r="U755" s="17"/>
      <c r="V755" s="17"/>
      <c r="W755" s="17"/>
      <c r="X755" s="17"/>
    </row>
    <row r="756" spans="1:24">
      <c r="A756" s="1"/>
      <c r="B756" s="1"/>
      <c r="C756" s="17"/>
      <c r="D756" s="17"/>
      <c r="E756" s="17"/>
      <c r="F756" s="17"/>
      <c r="G756" s="17"/>
      <c r="H756" s="17"/>
      <c r="I756" s="17"/>
      <c r="J756" s="17"/>
      <c r="K756" s="17"/>
      <c r="L756" s="17"/>
      <c r="N756" s="1"/>
      <c r="O756" s="17"/>
      <c r="P756" s="17"/>
      <c r="Q756" s="17"/>
      <c r="R756" s="17"/>
      <c r="S756" s="17"/>
      <c r="T756" s="17"/>
      <c r="U756" s="17"/>
      <c r="V756" s="17"/>
      <c r="W756" s="17"/>
      <c r="X756" s="17"/>
    </row>
    <row r="757" spans="1:24">
      <c r="A757" s="1"/>
      <c r="B757" s="1"/>
      <c r="C757" s="17"/>
      <c r="D757" s="17"/>
      <c r="E757" s="17"/>
      <c r="F757" s="17"/>
      <c r="G757" s="17"/>
      <c r="H757" s="17"/>
      <c r="I757" s="17"/>
      <c r="J757" s="17"/>
      <c r="K757" s="17"/>
      <c r="L757" s="17"/>
      <c r="N757" s="1"/>
      <c r="O757" s="17"/>
      <c r="P757" s="17"/>
      <c r="Q757" s="17"/>
      <c r="R757" s="17"/>
      <c r="S757" s="17"/>
      <c r="T757" s="17"/>
      <c r="U757" s="17"/>
      <c r="V757" s="17"/>
      <c r="W757" s="17"/>
      <c r="X757" s="17"/>
    </row>
    <row r="758" spans="1:24">
      <c r="A758" s="1"/>
      <c r="B758" s="1"/>
      <c r="C758" s="17"/>
      <c r="D758" s="17"/>
      <c r="E758" s="17"/>
      <c r="F758" s="17"/>
      <c r="G758" s="17"/>
      <c r="H758" s="17"/>
      <c r="I758" s="17"/>
      <c r="J758" s="17"/>
      <c r="K758" s="17"/>
      <c r="L758" s="17"/>
      <c r="N758" s="1"/>
      <c r="O758" s="17"/>
      <c r="P758" s="17"/>
      <c r="Q758" s="17"/>
      <c r="R758" s="17"/>
      <c r="S758" s="17"/>
      <c r="T758" s="17"/>
      <c r="U758" s="17"/>
      <c r="V758" s="17"/>
      <c r="W758" s="17"/>
      <c r="X758" s="17"/>
    </row>
    <row r="759" spans="1:24">
      <c r="A759" s="1"/>
      <c r="B759" s="1"/>
      <c r="C759" s="17"/>
      <c r="D759" s="17"/>
      <c r="E759" s="17"/>
      <c r="F759" s="17"/>
      <c r="G759" s="17"/>
      <c r="H759" s="17"/>
      <c r="I759" s="17"/>
      <c r="J759" s="17"/>
      <c r="K759" s="17"/>
      <c r="L759" s="17"/>
      <c r="N759" s="1"/>
      <c r="O759" s="17"/>
      <c r="P759" s="17"/>
      <c r="Q759" s="17"/>
      <c r="R759" s="17"/>
      <c r="S759" s="17"/>
      <c r="T759" s="17"/>
      <c r="U759" s="17"/>
      <c r="V759" s="17"/>
      <c r="W759" s="17"/>
      <c r="X759" s="17"/>
    </row>
    <row r="760" spans="1:24">
      <c r="A760" s="1"/>
      <c r="B760" s="1"/>
      <c r="C760" s="17"/>
      <c r="D760" s="17"/>
      <c r="E760" s="17"/>
      <c r="F760" s="17"/>
      <c r="G760" s="17"/>
      <c r="H760" s="17"/>
      <c r="I760" s="17"/>
      <c r="J760" s="17"/>
      <c r="K760" s="17"/>
      <c r="L760" s="17"/>
      <c r="N760" s="1"/>
      <c r="O760" s="17"/>
      <c r="P760" s="17"/>
      <c r="Q760" s="17"/>
      <c r="R760" s="17"/>
      <c r="S760" s="17"/>
      <c r="T760" s="17"/>
      <c r="U760" s="17"/>
      <c r="V760" s="17"/>
      <c r="W760" s="17"/>
      <c r="X760" s="17"/>
    </row>
    <row r="761" spans="1:24">
      <c r="A761" s="1"/>
      <c r="B761" s="1"/>
      <c r="C761" s="17"/>
      <c r="D761" s="17"/>
      <c r="E761" s="17"/>
      <c r="F761" s="17"/>
      <c r="G761" s="17"/>
      <c r="H761" s="17"/>
      <c r="I761" s="17"/>
      <c r="J761" s="17"/>
      <c r="K761" s="17"/>
      <c r="L761" s="17"/>
      <c r="N761" s="1"/>
      <c r="O761" s="17"/>
      <c r="P761" s="17"/>
      <c r="Q761" s="17"/>
      <c r="R761" s="17"/>
      <c r="S761" s="17"/>
      <c r="T761" s="17"/>
      <c r="U761" s="17"/>
      <c r="V761" s="17"/>
      <c r="W761" s="17"/>
      <c r="X761" s="17"/>
    </row>
    <row r="762" spans="1:24">
      <c r="A762" s="1"/>
      <c r="B762" s="1"/>
      <c r="C762" s="17"/>
      <c r="D762" s="17"/>
      <c r="E762" s="17"/>
      <c r="F762" s="17"/>
      <c r="G762" s="17"/>
      <c r="H762" s="17"/>
      <c r="I762" s="17"/>
      <c r="J762" s="17"/>
      <c r="K762" s="17"/>
      <c r="L762" s="17"/>
      <c r="N762" s="1"/>
      <c r="O762" s="17"/>
      <c r="P762" s="17"/>
      <c r="Q762" s="17"/>
      <c r="R762" s="17"/>
      <c r="S762" s="17"/>
      <c r="T762" s="17"/>
      <c r="U762" s="17"/>
      <c r="V762" s="17"/>
      <c r="W762" s="17"/>
      <c r="X762" s="17"/>
    </row>
    <row r="763" spans="1:24">
      <c r="A763" s="1"/>
      <c r="B763" s="1"/>
      <c r="C763" s="17"/>
      <c r="D763" s="17"/>
      <c r="E763" s="17"/>
      <c r="F763" s="17"/>
      <c r="G763" s="17"/>
      <c r="H763" s="17"/>
      <c r="I763" s="17"/>
      <c r="J763" s="17"/>
      <c r="K763" s="17"/>
      <c r="L763" s="17"/>
      <c r="N763" s="1"/>
      <c r="O763" s="17"/>
      <c r="P763" s="17"/>
      <c r="Q763" s="17"/>
      <c r="R763" s="17"/>
      <c r="S763" s="17"/>
      <c r="T763" s="17"/>
      <c r="U763" s="17"/>
      <c r="V763" s="17"/>
      <c r="W763" s="17"/>
      <c r="X763" s="17"/>
    </row>
    <row r="764" spans="1:24">
      <c r="A764" s="1"/>
      <c r="B764" s="1"/>
      <c r="C764" s="17"/>
      <c r="D764" s="17"/>
      <c r="E764" s="17"/>
      <c r="F764" s="17"/>
      <c r="G764" s="17"/>
      <c r="H764" s="17"/>
      <c r="I764" s="17"/>
      <c r="J764" s="17"/>
      <c r="K764" s="17"/>
      <c r="L764" s="17"/>
      <c r="N764" s="1"/>
      <c r="O764" s="17"/>
      <c r="P764" s="17"/>
      <c r="Q764" s="17"/>
      <c r="R764" s="17"/>
      <c r="S764" s="17"/>
      <c r="T764" s="17"/>
      <c r="U764" s="17"/>
      <c r="V764" s="17"/>
      <c r="W764" s="17"/>
      <c r="X764" s="17"/>
    </row>
    <row r="765" spans="1:24">
      <c r="A765" s="1"/>
      <c r="B765" s="1"/>
      <c r="C765" s="17"/>
      <c r="D765" s="17"/>
      <c r="E765" s="17"/>
      <c r="F765" s="17"/>
      <c r="G765" s="17"/>
      <c r="H765" s="17"/>
      <c r="I765" s="17"/>
      <c r="J765" s="17"/>
      <c r="K765" s="17"/>
      <c r="L765" s="17"/>
      <c r="N765" s="1"/>
      <c r="O765" s="17"/>
      <c r="P765" s="17"/>
      <c r="Q765" s="17"/>
      <c r="R765" s="17"/>
      <c r="S765" s="17"/>
      <c r="T765" s="17"/>
      <c r="U765" s="17"/>
      <c r="V765" s="17"/>
      <c r="W765" s="17"/>
      <c r="X765" s="17"/>
    </row>
    <row r="766" spans="1:24">
      <c r="A766" s="1"/>
      <c r="B766" s="1"/>
      <c r="C766" s="17"/>
      <c r="D766" s="17"/>
      <c r="E766" s="17"/>
      <c r="F766" s="17"/>
      <c r="G766" s="17"/>
      <c r="H766" s="17"/>
      <c r="I766" s="17"/>
      <c r="J766" s="17"/>
      <c r="K766" s="17"/>
      <c r="L766" s="17"/>
      <c r="N766" s="1"/>
      <c r="O766" s="17"/>
      <c r="P766" s="17"/>
      <c r="Q766" s="17"/>
      <c r="R766" s="17"/>
      <c r="S766" s="17"/>
      <c r="T766" s="17"/>
      <c r="U766" s="17"/>
      <c r="V766" s="17"/>
      <c r="W766" s="17"/>
      <c r="X766" s="17"/>
    </row>
    <row r="767" spans="1:24">
      <c r="A767" s="1"/>
      <c r="B767" s="1"/>
      <c r="C767" s="17"/>
      <c r="D767" s="17"/>
      <c r="E767" s="17"/>
      <c r="F767" s="17"/>
      <c r="G767" s="17"/>
      <c r="H767" s="17"/>
      <c r="I767" s="17"/>
      <c r="J767" s="17"/>
      <c r="K767" s="17"/>
      <c r="L767" s="17"/>
      <c r="N767" s="1"/>
      <c r="O767" s="17"/>
      <c r="P767" s="17"/>
      <c r="Q767" s="17"/>
      <c r="R767" s="17"/>
      <c r="S767" s="17"/>
      <c r="T767" s="17"/>
      <c r="U767" s="17"/>
      <c r="V767" s="17"/>
      <c r="W767" s="17"/>
      <c r="X767" s="17"/>
    </row>
    <row r="768" spans="1:24">
      <c r="A768" s="1"/>
      <c r="B768" s="1"/>
      <c r="C768" s="17"/>
      <c r="D768" s="17"/>
      <c r="E768" s="17"/>
      <c r="F768" s="17"/>
      <c r="G768" s="17"/>
      <c r="H768" s="17"/>
      <c r="I768" s="17"/>
      <c r="J768" s="17"/>
      <c r="K768" s="17"/>
      <c r="L768" s="17"/>
      <c r="N768" s="1"/>
      <c r="O768" s="17"/>
      <c r="P768" s="17"/>
      <c r="Q768" s="17"/>
      <c r="R768" s="17"/>
      <c r="S768" s="17"/>
      <c r="T768" s="17"/>
      <c r="U768" s="17"/>
      <c r="V768" s="17"/>
      <c r="W768" s="17"/>
      <c r="X768" s="17"/>
    </row>
    <row r="769" spans="1:24">
      <c r="A769" s="1"/>
      <c r="B769" s="1"/>
      <c r="C769" s="17"/>
      <c r="D769" s="17"/>
      <c r="E769" s="17"/>
      <c r="F769" s="17"/>
      <c r="G769" s="17"/>
      <c r="H769" s="17"/>
      <c r="I769" s="17"/>
      <c r="J769" s="17"/>
      <c r="K769" s="17"/>
      <c r="L769" s="17"/>
      <c r="N769" s="1"/>
      <c r="O769" s="17"/>
      <c r="P769" s="17"/>
      <c r="Q769" s="17"/>
      <c r="R769" s="17"/>
      <c r="S769" s="17"/>
      <c r="T769" s="17"/>
      <c r="U769" s="17"/>
      <c r="V769" s="17"/>
      <c r="W769" s="17"/>
      <c r="X769" s="17"/>
    </row>
    <row r="770" spans="1:24">
      <c r="A770" s="1"/>
      <c r="B770" s="1"/>
      <c r="C770" s="17"/>
      <c r="D770" s="17"/>
      <c r="E770" s="17"/>
      <c r="F770" s="17"/>
      <c r="G770" s="17"/>
      <c r="H770" s="17"/>
      <c r="I770" s="17"/>
      <c r="J770" s="17"/>
      <c r="K770" s="17"/>
      <c r="L770" s="17"/>
      <c r="N770" s="1"/>
      <c r="O770" s="17"/>
      <c r="P770" s="17"/>
      <c r="Q770" s="17"/>
      <c r="R770" s="17"/>
      <c r="S770" s="17"/>
      <c r="T770" s="17"/>
      <c r="U770" s="17"/>
      <c r="V770" s="17"/>
      <c r="W770" s="17"/>
      <c r="X770" s="17"/>
    </row>
    <row r="771" spans="1:24">
      <c r="A771" s="1"/>
      <c r="B771" s="1"/>
      <c r="C771" s="17"/>
      <c r="D771" s="17"/>
      <c r="E771" s="17"/>
      <c r="F771" s="17"/>
      <c r="G771" s="17"/>
      <c r="H771" s="17"/>
      <c r="I771" s="17"/>
      <c r="J771" s="17"/>
      <c r="K771" s="17"/>
      <c r="L771" s="17"/>
      <c r="N771" s="1"/>
      <c r="O771" s="17"/>
      <c r="P771" s="17"/>
      <c r="Q771" s="17"/>
      <c r="R771" s="17"/>
      <c r="S771" s="17"/>
      <c r="T771" s="17"/>
      <c r="U771" s="17"/>
      <c r="V771" s="17"/>
      <c r="W771" s="17"/>
      <c r="X771" s="17"/>
    </row>
    <row r="772" spans="1:24">
      <c r="A772" s="1"/>
      <c r="B772" s="1"/>
      <c r="C772" s="17"/>
      <c r="D772" s="17"/>
      <c r="E772" s="17"/>
      <c r="F772" s="17"/>
      <c r="G772" s="17"/>
      <c r="H772" s="17"/>
      <c r="I772" s="17"/>
      <c r="J772" s="17"/>
      <c r="K772" s="17"/>
      <c r="L772" s="17"/>
      <c r="N772" s="1"/>
      <c r="O772" s="17"/>
      <c r="P772" s="17"/>
      <c r="Q772" s="17"/>
      <c r="R772" s="17"/>
      <c r="S772" s="17"/>
      <c r="T772" s="17"/>
      <c r="U772" s="17"/>
      <c r="V772" s="17"/>
      <c r="W772" s="17"/>
      <c r="X772" s="17"/>
    </row>
    <row r="773" spans="1:24">
      <c r="A773" s="1"/>
      <c r="B773" s="1"/>
      <c r="C773" s="17"/>
      <c r="D773" s="17"/>
      <c r="E773" s="17"/>
      <c r="F773" s="17"/>
      <c r="G773" s="17"/>
      <c r="H773" s="17"/>
      <c r="I773" s="17"/>
      <c r="J773" s="17"/>
      <c r="K773" s="17"/>
      <c r="L773" s="17"/>
      <c r="N773" s="1"/>
      <c r="O773" s="17"/>
      <c r="P773" s="17"/>
      <c r="Q773" s="17"/>
      <c r="R773" s="17"/>
      <c r="S773" s="17"/>
      <c r="T773" s="17"/>
      <c r="U773" s="17"/>
      <c r="V773" s="17"/>
      <c r="W773" s="17"/>
      <c r="X773" s="17"/>
    </row>
    <row r="774" spans="1:24">
      <c r="A774" s="1"/>
      <c r="B774" s="1"/>
      <c r="C774" s="17"/>
      <c r="D774" s="17"/>
      <c r="E774" s="17"/>
      <c r="F774" s="17"/>
      <c r="G774" s="17"/>
      <c r="H774" s="17"/>
      <c r="I774" s="17"/>
      <c r="J774" s="17"/>
      <c r="K774" s="17"/>
      <c r="L774" s="17"/>
      <c r="N774" s="1"/>
      <c r="O774" s="17"/>
      <c r="P774" s="17"/>
      <c r="Q774" s="17"/>
      <c r="R774" s="17"/>
      <c r="S774" s="17"/>
      <c r="T774" s="17"/>
      <c r="U774" s="17"/>
      <c r="V774" s="17"/>
      <c r="W774" s="17"/>
      <c r="X774" s="17"/>
    </row>
    <row r="775" spans="1:24">
      <c r="A775" s="1"/>
      <c r="B775" s="1"/>
      <c r="C775" s="17"/>
      <c r="D775" s="17"/>
      <c r="E775" s="17"/>
      <c r="F775" s="17"/>
      <c r="G775" s="17"/>
      <c r="H775" s="17"/>
      <c r="I775" s="17"/>
      <c r="J775" s="17"/>
      <c r="K775" s="17"/>
      <c r="L775" s="17"/>
      <c r="N775" s="1"/>
      <c r="O775" s="17"/>
      <c r="P775" s="17"/>
      <c r="Q775" s="17"/>
      <c r="R775" s="17"/>
      <c r="S775" s="17"/>
      <c r="T775" s="17"/>
      <c r="U775" s="17"/>
      <c r="V775" s="17"/>
      <c r="W775" s="17"/>
      <c r="X775" s="17"/>
    </row>
    <row r="776" spans="1:24">
      <c r="A776" s="1"/>
      <c r="B776" s="1"/>
      <c r="C776" s="17"/>
      <c r="D776" s="17"/>
      <c r="E776" s="17"/>
      <c r="F776" s="17"/>
      <c r="G776" s="17"/>
      <c r="H776" s="17"/>
      <c r="I776" s="17"/>
      <c r="J776" s="17"/>
      <c r="K776" s="17"/>
      <c r="L776" s="17"/>
      <c r="N776" s="1"/>
      <c r="O776" s="17"/>
      <c r="P776" s="17"/>
      <c r="Q776" s="17"/>
      <c r="R776" s="17"/>
      <c r="S776" s="17"/>
      <c r="T776" s="17"/>
      <c r="U776" s="17"/>
      <c r="V776" s="17"/>
      <c r="W776" s="17"/>
      <c r="X776" s="17"/>
    </row>
    <row r="777" spans="1:24">
      <c r="A777" s="1"/>
      <c r="B777" s="1"/>
      <c r="C777" s="17"/>
      <c r="D777" s="17"/>
      <c r="E777" s="17"/>
      <c r="F777" s="17"/>
      <c r="G777" s="17"/>
      <c r="H777" s="17"/>
      <c r="I777" s="17"/>
      <c r="J777" s="17"/>
      <c r="K777" s="17"/>
      <c r="L777" s="17"/>
      <c r="N777" s="1"/>
      <c r="O777" s="17"/>
      <c r="P777" s="17"/>
      <c r="Q777" s="17"/>
      <c r="R777" s="17"/>
      <c r="S777" s="17"/>
      <c r="T777" s="17"/>
      <c r="U777" s="17"/>
      <c r="V777" s="17"/>
      <c r="W777" s="17"/>
      <c r="X777" s="17"/>
    </row>
    <row r="778" spans="1:24">
      <c r="A778" s="1"/>
      <c r="B778" s="1"/>
      <c r="C778" s="17"/>
      <c r="D778" s="17"/>
      <c r="E778" s="17"/>
      <c r="F778" s="17"/>
      <c r="G778" s="17"/>
      <c r="H778" s="17"/>
      <c r="I778" s="17"/>
      <c r="J778" s="17"/>
      <c r="K778" s="17"/>
      <c r="L778" s="17"/>
      <c r="N778" s="1"/>
      <c r="O778" s="17"/>
      <c r="P778" s="17"/>
      <c r="Q778" s="17"/>
      <c r="R778" s="17"/>
      <c r="S778" s="17"/>
      <c r="T778" s="17"/>
      <c r="U778" s="17"/>
      <c r="V778" s="17"/>
      <c r="W778" s="17"/>
      <c r="X778" s="17"/>
    </row>
    <row r="779" spans="1:24">
      <c r="A779" s="1"/>
      <c r="B779" s="1"/>
      <c r="C779" s="17"/>
      <c r="D779" s="17"/>
      <c r="E779" s="17"/>
      <c r="F779" s="17"/>
      <c r="G779" s="17"/>
      <c r="H779" s="17"/>
      <c r="I779" s="17"/>
      <c r="J779" s="17"/>
      <c r="K779" s="17"/>
      <c r="L779" s="17"/>
      <c r="N779" s="1"/>
      <c r="O779" s="17"/>
      <c r="P779" s="17"/>
      <c r="Q779" s="17"/>
      <c r="R779" s="17"/>
      <c r="S779" s="17"/>
      <c r="T779" s="17"/>
      <c r="U779" s="17"/>
      <c r="V779" s="17"/>
      <c r="W779" s="17"/>
      <c r="X779" s="17"/>
    </row>
    <row r="780" spans="1:24">
      <c r="A780" s="1"/>
      <c r="B780" s="1"/>
      <c r="C780" s="17"/>
      <c r="D780" s="17"/>
      <c r="E780" s="17"/>
      <c r="F780" s="17"/>
      <c r="G780" s="17"/>
      <c r="H780" s="17"/>
      <c r="I780" s="17"/>
      <c r="J780" s="17"/>
      <c r="K780" s="17"/>
      <c r="L780" s="17"/>
      <c r="N780" s="1"/>
      <c r="O780" s="17"/>
      <c r="P780" s="17"/>
      <c r="Q780" s="17"/>
      <c r="R780" s="17"/>
      <c r="S780" s="17"/>
      <c r="T780" s="17"/>
      <c r="U780" s="17"/>
      <c r="V780" s="17"/>
      <c r="W780" s="17"/>
      <c r="X780" s="17"/>
    </row>
    <row r="781" spans="1:24">
      <c r="A781" s="1"/>
      <c r="B781" s="1"/>
      <c r="C781" s="17"/>
      <c r="D781" s="17"/>
      <c r="E781" s="17"/>
      <c r="F781" s="17"/>
      <c r="G781" s="17"/>
      <c r="H781" s="17"/>
      <c r="I781" s="17"/>
      <c r="J781" s="17"/>
      <c r="K781" s="17"/>
      <c r="L781" s="17"/>
      <c r="N781" s="1"/>
      <c r="O781" s="17"/>
      <c r="P781" s="17"/>
      <c r="Q781" s="17"/>
      <c r="R781" s="17"/>
      <c r="S781" s="17"/>
      <c r="T781" s="17"/>
      <c r="U781" s="17"/>
      <c r="V781" s="17"/>
      <c r="W781" s="17"/>
      <c r="X781" s="17"/>
    </row>
    <row r="782" spans="1:24">
      <c r="A782" s="1"/>
      <c r="B782" s="1"/>
      <c r="C782" s="17"/>
      <c r="D782" s="17"/>
      <c r="E782" s="17"/>
      <c r="F782" s="17"/>
      <c r="G782" s="17"/>
      <c r="H782" s="17"/>
      <c r="I782" s="17"/>
      <c r="J782" s="17"/>
      <c r="K782" s="17"/>
      <c r="L782" s="17"/>
      <c r="N782" s="1"/>
      <c r="O782" s="17"/>
      <c r="P782" s="17"/>
      <c r="Q782" s="17"/>
      <c r="R782" s="17"/>
      <c r="S782" s="17"/>
      <c r="T782" s="17"/>
      <c r="U782" s="17"/>
      <c r="V782" s="17"/>
      <c r="W782" s="17"/>
      <c r="X782" s="17"/>
    </row>
    <row r="783" spans="1:24">
      <c r="A783" s="1"/>
      <c r="B783" s="1"/>
      <c r="C783" s="17"/>
      <c r="D783" s="17"/>
      <c r="E783" s="17"/>
      <c r="F783" s="17"/>
      <c r="G783" s="17"/>
      <c r="H783" s="17"/>
      <c r="I783" s="17"/>
      <c r="J783" s="17"/>
      <c r="K783" s="17"/>
      <c r="L783" s="17"/>
      <c r="N783" s="1"/>
      <c r="O783" s="17"/>
      <c r="P783" s="17"/>
      <c r="Q783" s="17"/>
      <c r="R783" s="17"/>
      <c r="S783" s="17"/>
      <c r="T783" s="17"/>
      <c r="U783" s="17"/>
      <c r="V783" s="17"/>
      <c r="W783" s="17"/>
      <c r="X783" s="17"/>
    </row>
    <row r="784" spans="1:24">
      <c r="A784" s="1"/>
      <c r="B784" s="1"/>
      <c r="C784" s="17"/>
      <c r="D784" s="17"/>
      <c r="E784" s="17"/>
      <c r="F784" s="17"/>
      <c r="G784" s="17"/>
      <c r="H784" s="17"/>
      <c r="I784" s="17"/>
      <c r="J784" s="17"/>
      <c r="K784" s="17"/>
      <c r="L784" s="17"/>
      <c r="N784" s="1"/>
      <c r="O784" s="17"/>
      <c r="P784" s="17"/>
      <c r="Q784" s="17"/>
      <c r="R784" s="17"/>
      <c r="S784" s="17"/>
      <c r="T784" s="17"/>
      <c r="U784" s="17"/>
      <c r="V784" s="17"/>
      <c r="W784" s="17"/>
      <c r="X784" s="17"/>
    </row>
    <row r="785" spans="1:24">
      <c r="A785" s="1"/>
      <c r="B785" s="1"/>
      <c r="C785" s="17"/>
      <c r="D785" s="17"/>
      <c r="E785" s="17"/>
      <c r="F785" s="17"/>
      <c r="G785" s="17"/>
      <c r="H785" s="17"/>
      <c r="I785" s="17"/>
      <c r="J785" s="17"/>
      <c r="K785" s="17"/>
      <c r="L785" s="17"/>
      <c r="N785" s="1"/>
      <c r="O785" s="17"/>
      <c r="P785" s="17"/>
      <c r="Q785" s="17"/>
      <c r="R785" s="17"/>
      <c r="S785" s="17"/>
      <c r="T785" s="17"/>
      <c r="U785" s="17"/>
      <c r="V785" s="17"/>
      <c r="W785" s="17"/>
      <c r="X785" s="17"/>
    </row>
    <row r="786" spans="1:24">
      <c r="A786" s="1"/>
      <c r="B786" s="1"/>
      <c r="C786" s="17"/>
      <c r="D786" s="17"/>
      <c r="E786" s="17"/>
      <c r="F786" s="17"/>
      <c r="G786" s="17"/>
      <c r="H786" s="17"/>
      <c r="I786" s="17"/>
      <c r="J786" s="17"/>
      <c r="K786" s="17"/>
      <c r="L786" s="17"/>
      <c r="N786" s="1"/>
      <c r="O786" s="17"/>
      <c r="P786" s="17"/>
      <c r="Q786" s="17"/>
      <c r="R786" s="17"/>
      <c r="S786" s="17"/>
      <c r="T786" s="17"/>
      <c r="U786" s="17"/>
      <c r="V786" s="17"/>
      <c r="W786" s="17"/>
      <c r="X786" s="17"/>
    </row>
    <row r="787" spans="1:24">
      <c r="A787" s="1"/>
      <c r="B787" s="1"/>
      <c r="C787" s="17"/>
      <c r="D787" s="17"/>
      <c r="E787" s="17"/>
      <c r="F787" s="17"/>
      <c r="G787" s="17"/>
      <c r="H787" s="17"/>
      <c r="I787" s="17"/>
      <c r="J787" s="17"/>
      <c r="K787" s="17"/>
      <c r="L787" s="17"/>
      <c r="N787" s="1"/>
      <c r="O787" s="17"/>
      <c r="P787" s="17"/>
      <c r="Q787" s="17"/>
      <c r="R787" s="17"/>
      <c r="S787" s="17"/>
      <c r="T787" s="17"/>
      <c r="U787" s="17"/>
      <c r="V787" s="17"/>
      <c r="W787" s="17"/>
      <c r="X787" s="17"/>
    </row>
    <row r="788" spans="1:24">
      <c r="A788" s="1"/>
      <c r="B788" s="1"/>
      <c r="C788" s="17"/>
      <c r="D788" s="17"/>
      <c r="E788" s="17"/>
      <c r="F788" s="17"/>
      <c r="G788" s="17"/>
      <c r="H788" s="17"/>
      <c r="I788" s="17"/>
      <c r="J788" s="17"/>
      <c r="K788" s="17"/>
      <c r="L788" s="17"/>
      <c r="N788" s="1"/>
      <c r="O788" s="17"/>
      <c r="P788" s="17"/>
      <c r="Q788" s="17"/>
      <c r="R788" s="17"/>
      <c r="S788" s="17"/>
      <c r="T788" s="17"/>
      <c r="U788" s="17"/>
      <c r="V788" s="17"/>
      <c r="W788" s="17"/>
      <c r="X788" s="17"/>
    </row>
    <row r="789" spans="1:24">
      <c r="A789" s="1"/>
      <c r="B789" s="1"/>
      <c r="C789" s="17"/>
      <c r="D789" s="17"/>
      <c r="E789" s="17"/>
      <c r="F789" s="17"/>
      <c r="G789" s="17"/>
      <c r="H789" s="17"/>
      <c r="I789" s="17"/>
      <c r="J789" s="17"/>
      <c r="K789" s="17"/>
      <c r="L789" s="17"/>
      <c r="N789" s="1"/>
      <c r="O789" s="17"/>
      <c r="P789" s="17"/>
      <c r="Q789" s="17"/>
      <c r="R789" s="17"/>
      <c r="S789" s="17"/>
      <c r="T789" s="17"/>
      <c r="U789" s="17"/>
      <c r="V789" s="17"/>
      <c r="W789" s="17"/>
      <c r="X789" s="17"/>
    </row>
    <row r="790" spans="1:24">
      <c r="A790" s="1"/>
      <c r="B790" s="1"/>
      <c r="C790" s="17"/>
      <c r="D790" s="17"/>
      <c r="E790" s="17"/>
      <c r="F790" s="17"/>
      <c r="G790" s="17"/>
      <c r="H790" s="17"/>
      <c r="I790" s="17"/>
      <c r="J790" s="17"/>
      <c r="K790" s="17"/>
      <c r="L790" s="17"/>
      <c r="N790" s="1"/>
      <c r="O790" s="17"/>
      <c r="P790" s="17"/>
      <c r="Q790" s="17"/>
      <c r="R790" s="17"/>
      <c r="S790" s="17"/>
      <c r="T790" s="17"/>
      <c r="U790" s="17"/>
      <c r="V790" s="17"/>
      <c r="W790" s="17"/>
      <c r="X790" s="17"/>
    </row>
    <row r="791" spans="1:24">
      <c r="A791" s="1"/>
      <c r="B791" s="1"/>
      <c r="C791" s="17"/>
      <c r="D791" s="17"/>
      <c r="E791" s="17"/>
      <c r="F791" s="17"/>
      <c r="G791" s="17"/>
      <c r="H791" s="17"/>
      <c r="I791" s="17"/>
      <c r="J791" s="17"/>
      <c r="K791" s="17"/>
      <c r="L791" s="17"/>
      <c r="N791" s="1"/>
      <c r="O791" s="17"/>
      <c r="P791" s="17"/>
      <c r="Q791" s="17"/>
      <c r="R791" s="17"/>
      <c r="S791" s="17"/>
      <c r="T791" s="17"/>
      <c r="U791" s="17"/>
      <c r="V791" s="17"/>
      <c r="W791" s="17"/>
      <c r="X791" s="17"/>
    </row>
    <row r="792" spans="1:24">
      <c r="A792" s="1"/>
      <c r="B792" s="1"/>
      <c r="C792" s="17"/>
      <c r="D792" s="17"/>
      <c r="E792" s="17"/>
      <c r="F792" s="17"/>
      <c r="G792" s="17"/>
      <c r="H792" s="17"/>
      <c r="I792" s="17"/>
      <c r="J792" s="17"/>
      <c r="K792" s="17"/>
      <c r="L792" s="17"/>
      <c r="N792" s="1"/>
      <c r="O792" s="17"/>
      <c r="P792" s="17"/>
      <c r="Q792" s="17"/>
      <c r="R792" s="17"/>
      <c r="S792" s="17"/>
      <c r="T792" s="17"/>
      <c r="U792" s="17"/>
      <c r="V792" s="17"/>
      <c r="W792" s="17"/>
      <c r="X792" s="17"/>
    </row>
    <row r="793" spans="1:24">
      <c r="A793" s="1"/>
      <c r="B793" s="1"/>
      <c r="C793" s="17"/>
      <c r="D793" s="17"/>
      <c r="E793" s="17"/>
      <c r="F793" s="17"/>
      <c r="G793" s="17"/>
      <c r="H793" s="17"/>
      <c r="I793" s="17"/>
      <c r="J793" s="17"/>
      <c r="K793" s="17"/>
      <c r="L793" s="17"/>
      <c r="N793" s="1"/>
      <c r="O793" s="17"/>
      <c r="P793" s="17"/>
      <c r="Q793" s="17"/>
      <c r="R793" s="17"/>
      <c r="S793" s="17"/>
      <c r="T793" s="17"/>
      <c r="U793" s="17"/>
      <c r="V793" s="17"/>
      <c r="W793" s="17"/>
      <c r="X793" s="17"/>
    </row>
    <row r="794" spans="1:24">
      <c r="A794" s="1"/>
      <c r="B794" s="1"/>
      <c r="C794" s="17"/>
      <c r="D794" s="17"/>
      <c r="E794" s="17"/>
      <c r="F794" s="17"/>
      <c r="G794" s="17"/>
      <c r="H794" s="17"/>
      <c r="I794" s="17"/>
      <c r="J794" s="17"/>
      <c r="K794" s="17"/>
      <c r="L794" s="17"/>
      <c r="N794" s="1"/>
      <c r="O794" s="17"/>
      <c r="P794" s="17"/>
      <c r="Q794" s="17"/>
      <c r="R794" s="17"/>
      <c r="S794" s="17"/>
      <c r="T794" s="17"/>
      <c r="U794" s="17"/>
      <c r="V794" s="17"/>
      <c r="W794" s="17"/>
      <c r="X794" s="17"/>
    </row>
    <row r="795" spans="1:24">
      <c r="A795" s="1"/>
      <c r="B795" s="1"/>
      <c r="C795" s="17"/>
      <c r="D795" s="17"/>
      <c r="E795" s="17"/>
      <c r="F795" s="17"/>
      <c r="G795" s="17"/>
      <c r="H795" s="17"/>
      <c r="I795" s="17"/>
      <c r="J795" s="17"/>
      <c r="K795" s="17"/>
      <c r="L795" s="17"/>
      <c r="N795" s="1"/>
      <c r="O795" s="17"/>
      <c r="P795" s="17"/>
      <c r="Q795" s="17"/>
      <c r="R795" s="17"/>
      <c r="S795" s="17"/>
      <c r="T795" s="17"/>
      <c r="U795" s="17"/>
      <c r="V795" s="17"/>
      <c r="W795" s="17"/>
      <c r="X795" s="17"/>
    </row>
    <row r="796" spans="1:24">
      <c r="A796" s="1"/>
      <c r="B796" s="1"/>
      <c r="C796" s="17"/>
      <c r="D796" s="17"/>
      <c r="E796" s="17"/>
      <c r="F796" s="17"/>
      <c r="G796" s="17"/>
      <c r="H796" s="17"/>
      <c r="I796" s="17"/>
      <c r="J796" s="17"/>
      <c r="K796" s="17"/>
      <c r="L796" s="17"/>
      <c r="N796" s="1"/>
      <c r="O796" s="17"/>
      <c r="P796" s="17"/>
      <c r="Q796" s="17"/>
      <c r="R796" s="17"/>
      <c r="S796" s="17"/>
      <c r="T796" s="17"/>
      <c r="U796" s="17"/>
      <c r="V796" s="17"/>
      <c r="W796" s="17"/>
      <c r="X796" s="17"/>
    </row>
    <row r="797" spans="1:24">
      <c r="A797" s="1"/>
      <c r="B797" s="1"/>
      <c r="C797" s="17"/>
      <c r="D797" s="17"/>
      <c r="E797" s="17"/>
      <c r="F797" s="17"/>
      <c r="G797" s="17"/>
      <c r="H797" s="17"/>
      <c r="I797" s="17"/>
      <c r="J797" s="17"/>
      <c r="K797" s="17"/>
      <c r="L797" s="17"/>
      <c r="N797" s="1"/>
      <c r="O797" s="17"/>
      <c r="P797" s="17"/>
      <c r="Q797" s="17"/>
      <c r="R797" s="17"/>
      <c r="S797" s="17"/>
      <c r="T797" s="17"/>
      <c r="U797" s="17"/>
      <c r="V797" s="17"/>
      <c r="W797" s="17"/>
      <c r="X797" s="17"/>
    </row>
    <row r="798" spans="1:24">
      <c r="A798" s="1"/>
      <c r="B798" s="1"/>
      <c r="C798" s="17"/>
      <c r="D798" s="17"/>
      <c r="E798" s="17"/>
      <c r="F798" s="17"/>
      <c r="G798" s="17"/>
      <c r="H798" s="17"/>
      <c r="I798" s="17"/>
      <c r="J798" s="17"/>
      <c r="K798" s="17"/>
      <c r="L798" s="17"/>
      <c r="N798" s="1"/>
      <c r="O798" s="17"/>
      <c r="P798" s="17"/>
      <c r="Q798" s="17"/>
      <c r="R798" s="17"/>
      <c r="S798" s="17"/>
      <c r="T798" s="17"/>
      <c r="U798" s="17"/>
      <c r="V798" s="17"/>
      <c r="W798" s="17"/>
      <c r="X798" s="17"/>
    </row>
    <row r="799" spans="1:24">
      <c r="A799" s="1"/>
      <c r="B799" s="1"/>
      <c r="C799" s="17"/>
      <c r="D799" s="17"/>
      <c r="E799" s="17"/>
      <c r="F799" s="17"/>
      <c r="G799" s="17"/>
      <c r="H799" s="17"/>
      <c r="I799" s="17"/>
      <c r="J799" s="17"/>
      <c r="K799" s="17"/>
      <c r="L799" s="17"/>
      <c r="N799" s="1"/>
      <c r="O799" s="17"/>
      <c r="P799" s="17"/>
      <c r="Q799" s="17"/>
      <c r="R799" s="17"/>
      <c r="S799" s="17"/>
      <c r="T799" s="17"/>
      <c r="U799" s="17"/>
      <c r="V799" s="17"/>
      <c r="W799" s="17"/>
      <c r="X799" s="17"/>
    </row>
    <row r="800" spans="1:24">
      <c r="A800" s="1"/>
      <c r="B800" s="1"/>
      <c r="C800" s="17"/>
      <c r="D800" s="17"/>
      <c r="E800" s="17"/>
      <c r="F800" s="17"/>
      <c r="G800" s="17"/>
      <c r="H800" s="17"/>
      <c r="I800" s="17"/>
      <c r="J800" s="17"/>
      <c r="K800" s="17"/>
      <c r="L800" s="17"/>
      <c r="N800" s="1"/>
      <c r="O800" s="17"/>
      <c r="P800" s="17"/>
      <c r="Q800" s="17"/>
      <c r="R800" s="17"/>
      <c r="S800" s="17"/>
      <c r="T800" s="17"/>
      <c r="U800" s="17"/>
      <c r="V800" s="17"/>
      <c r="W800" s="17"/>
      <c r="X800" s="17"/>
    </row>
    <row r="801" spans="1:24">
      <c r="A801" s="1"/>
      <c r="B801" s="1"/>
      <c r="C801" s="17"/>
      <c r="D801" s="17"/>
      <c r="E801" s="17"/>
      <c r="F801" s="17"/>
      <c r="G801" s="17"/>
      <c r="H801" s="17"/>
      <c r="I801" s="17"/>
      <c r="J801" s="17"/>
      <c r="K801" s="17"/>
      <c r="L801" s="17"/>
      <c r="N801" s="1"/>
      <c r="O801" s="17"/>
      <c r="P801" s="17"/>
      <c r="Q801" s="17"/>
      <c r="R801" s="17"/>
      <c r="S801" s="17"/>
      <c r="T801" s="17"/>
      <c r="U801" s="17"/>
      <c r="V801" s="17"/>
      <c r="W801" s="17"/>
      <c r="X801" s="17"/>
    </row>
    <row r="802" spans="1:24">
      <c r="A802" s="1"/>
      <c r="B802" s="1"/>
      <c r="C802" s="17"/>
      <c r="D802" s="17"/>
      <c r="E802" s="17"/>
      <c r="F802" s="17"/>
      <c r="G802" s="17"/>
      <c r="H802" s="17"/>
      <c r="I802" s="17"/>
      <c r="J802" s="17"/>
      <c r="K802" s="17"/>
      <c r="L802" s="17"/>
      <c r="N802" s="1"/>
      <c r="O802" s="17"/>
      <c r="P802" s="17"/>
      <c r="Q802" s="17"/>
      <c r="R802" s="17"/>
      <c r="S802" s="17"/>
      <c r="T802" s="17"/>
      <c r="U802" s="17"/>
      <c r="V802" s="17"/>
      <c r="W802" s="17"/>
      <c r="X802" s="17"/>
    </row>
    <row r="803" spans="1:24">
      <c r="A803" s="1"/>
      <c r="B803" s="1"/>
      <c r="C803" s="17"/>
      <c r="D803" s="17"/>
      <c r="E803" s="17"/>
      <c r="F803" s="17"/>
      <c r="G803" s="17"/>
      <c r="H803" s="17"/>
      <c r="I803" s="17"/>
      <c r="J803" s="17"/>
      <c r="K803" s="17"/>
      <c r="L803" s="17"/>
      <c r="N803" s="1"/>
      <c r="O803" s="17"/>
      <c r="P803" s="17"/>
      <c r="Q803" s="17"/>
      <c r="R803" s="17"/>
      <c r="S803" s="17"/>
      <c r="T803" s="17"/>
      <c r="U803" s="17"/>
      <c r="V803" s="17"/>
      <c r="W803" s="17"/>
      <c r="X803" s="17"/>
    </row>
    <row r="804" spans="1:24">
      <c r="A804" s="1"/>
      <c r="B804" s="1"/>
      <c r="C804" s="17"/>
      <c r="D804" s="17"/>
      <c r="E804" s="17"/>
      <c r="F804" s="17"/>
      <c r="G804" s="17"/>
      <c r="H804" s="17"/>
      <c r="I804" s="17"/>
      <c r="J804" s="17"/>
      <c r="K804" s="17"/>
      <c r="L804" s="17"/>
      <c r="N804" s="1"/>
      <c r="O804" s="17"/>
      <c r="P804" s="17"/>
      <c r="Q804" s="17"/>
      <c r="R804" s="17"/>
      <c r="S804" s="17"/>
      <c r="T804" s="17"/>
      <c r="U804" s="17"/>
      <c r="V804" s="17"/>
      <c r="W804" s="17"/>
      <c r="X804" s="17"/>
    </row>
    <row r="805" spans="1:24">
      <c r="A805" s="1"/>
      <c r="B805" s="1"/>
      <c r="C805" s="17"/>
      <c r="D805" s="17"/>
      <c r="E805" s="17"/>
      <c r="F805" s="17"/>
      <c r="G805" s="17"/>
      <c r="H805" s="17"/>
      <c r="I805" s="17"/>
      <c r="J805" s="17"/>
      <c r="K805" s="17"/>
      <c r="L805" s="17"/>
      <c r="N805" s="1"/>
      <c r="O805" s="17"/>
      <c r="P805" s="17"/>
      <c r="Q805" s="17"/>
      <c r="R805" s="17"/>
      <c r="S805" s="17"/>
      <c r="T805" s="17"/>
      <c r="U805" s="17"/>
      <c r="V805" s="17"/>
      <c r="W805" s="17"/>
      <c r="X805" s="17"/>
    </row>
    <row r="806" spans="1:24">
      <c r="A806" s="1"/>
      <c r="B806" s="1"/>
      <c r="C806" s="17"/>
      <c r="D806" s="17"/>
      <c r="E806" s="17"/>
      <c r="F806" s="17"/>
      <c r="G806" s="17"/>
      <c r="H806" s="17"/>
      <c r="I806" s="17"/>
      <c r="J806" s="17"/>
      <c r="K806" s="17"/>
      <c r="L806" s="17"/>
      <c r="N806" s="1"/>
      <c r="O806" s="17"/>
      <c r="P806" s="17"/>
      <c r="Q806" s="17"/>
      <c r="R806" s="17"/>
      <c r="S806" s="17"/>
      <c r="T806" s="17"/>
      <c r="U806" s="17"/>
      <c r="V806" s="17"/>
      <c r="W806" s="17"/>
      <c r="X806" s="17"/>
    </row>
    <row r="807" spans="1:24">
      <c r="A807" s="1"/>
      <c r="B807" s="1"/>
      <c r="C807" s="17"/>
      <c r="D807" s="17"/>
      <c r="E807" s="17"/>
      <c r="F807" s="17"/>
      <c r="G807" s="17"/>
      <c r="H807" s="17"/>
      <c r="I807" s="17"/>
      <c r="J807" s="17"/>
      <c r="K807" s="17"/>
      <c r="L807" s="17"/>
      <c r="N807" s="1"/>
      <c r="O807" s="17"/>
      <c r="P807" s="17"/>
      <c r="Q807" s="17"/>
      <c r="R807" s="17"/>
      <c r="S807" s="17"/>
      <c r="T807" s="17"/>
      <c r="U807" s="17"/>
      <c r="V807" s="17"/>
      <c r="W807" s="17"/>
      <c r="X807" s="17"/>
    </row>
    <row r="808" spans="1:24">
      <c r="A808" s="1"/>
      <c r="B808" s="1"/>
      <c r="C808" s="17"/>
      <c r="D808" s="17"/>
      <c r="E808" s="17"/>
      <c r="F808" s="17"/>
      <c r="G808" s="17"/>
      <c r="H808" s="17"/>
      <c r="I808" s="17"/>
      <c r="J808" s="17"/>
      <c r="K808" s="17"/>
      <c r="L808" s="17"/>
      <c r="N808" s="1"/>
      <c r="O808" s="17"/>
      <c r="P808" s="17"/>
      <c r="Q808" s="17"/>
      <c r="R808" s="17"/>
      <c r="S808" s="17"/>
      <c r="T808" s="17"/>
      <c r="U808" s="17"/>
      <c r="V808" s="17"/>
      <c r="W808" s="17"/>
      <c r="X808" s="17"/>
    </row>
    <row r="809" spans="1:24">
      <c r="A809" s="1"/>
      <c r="B809" s="1"/>
      <c r="C809" s="17"/>
      <c r="D809" s="17"/>
      <c r="E809" s="17"/>
      <c r="F809" s="17"/>
      <c r="G809" s="17"/>
      <c r="H809" s="17"/>
      <c r="I809" s="17"/>
      <c r="J809" s="17"/>
      <c r="K809" s="17"/>
      <c r="L809" s="17"/>
      <c r="N809" s="1"/>
      <c r="O809" s="17"/>
      <c r="P809" s="17"/>
      <c r="Q809" s="17"/>
      <c r="R809" s="17"/>
      <c r="S809" s="17"/>
      <c r="T809" s="17"/>
      <c r="U809" s="17"/>
      <c r="V809" s="17"/>
      <c r="W809" s="17"/>
      <c r="X809" s="17"/>
    </row>
    <row r="810" spans="1:24">
      <c r="A810" s="1"/>
      <c r="B810" s="1"/>
      <c r="C810" s="17"/>
      <c r="D810" s="17"/>
      <c r="E810" s="17"/>
      <c r="F810" s="17"/>
      <c r="G810" s="17"/>
      <c r="H810" s="17"/>
      <c r="I810" s="17"/>
      <c r="J810" s="17"/>
      <c r="K810" s="17"/>
      <c r="L810" s="17"/>
      <c r="N810" s="1"/>
      <c r="O810" s="17"/>
      <c r="P810" s="17"/>
      <c r="Q810" s="17"/>
      <c r="R810" s="17"/>
      <c r="S810" s="17"/>
      <c r="T810" s="17"/>
      <c r="U810" s="17"/>
      <c r="V810" s="17"/>
      <c r="W810" s="17"/>
      <c r="X810" s="17"/>
    </row>
    <row r="811" spans="1:24">
      <c r="A811" s="1"/>
      <c r="B811" s="1"/>
      <c r="C811" s="17"/>
      <c r="D811" s="17"/>
      <c r="E811" s="17"/>
      <c r="F811" s="17"/>
      <c r="G811" s="17"/>
      <c r="H811" s="17"/>
      <c r="I811" s="17"/>
      <c r="J811" s="17"/>
      <c r="K811" s="17"/>
      <c r="L811" s="17"/>
      <c r="N811" s="1"/>
      <c r="O811" s="17"/>
      <c r="P811" s="17"/>
      <c r="Q811" s="17"/>
      <c r="R811" s="17"/>
      <c r="S811" s="17"/>
      <c r="T811" s="17"/>
      <c r="U811" s="17"/>
      <c r="V811" s="17"/>
      <c r="W811" s="17"/>
      <c r="X811" s="17"/>
    </row>
    <row r="812" spans="1:24">
      <c r="A812" s="1"/>
      <c r="B812" s="1"/>
      <c r="C812" s="17"/>
      <c r="D812" s="17"/>
      <c r="E812" s="17"/>
      <c r="F812" s="17"/>
      <c r="G812" s="17"/>
      <c r="H812" s="17"/>
      <c r="I812" s="17"/>
      <c r="J812" s="17"/>
      <c r="K812" s="17"/>
      <c r="L812" s="17"/>
      <c r="N812" s="1"/>
      <c r="O812" s="17"/>
      <c r="P812" s="17"/>
      <c r="Q812" s="17"/>
      <c r="R812" s="17"/>
      <c r="S812" s="17"/>
      <c r="T812" s="17"/>
      <c r="U812" s="17"/>
      <c r="V812" s="17"/>
      <c r="W812" s="17"/>
      <c r="X812" s="17"/>
    </row>
    <row r="813" spans="1:24">
      <c r="A813" s="1"/>
      <c r="B813" s="1"/>
      <c r="C813" s="17"/>
      <c r="D813" s="17"/>
      <c r="E813" s="17"/>
      <c r="F813" s="17"/>
      <c r="G813" s="17"/>
      <c r="H813" s="17"/>
      <c r="I813" s="17"/>
      <c r="J813" s="17"/>
      <c r="K813" s="17"/>
      <c r="L813" s="17"/>
      <c r="N813" s="1"/>
      <c r="O813" s="17"/>
      <c r="P813" s="17"/>
      <c r="Q813" s="17"/>
      <c r="R813" s="17"/>
      <c r="S813" s="17"/>
      <c r="T813" s="17"/>
      <c r="U813" s="17"/>
      <c r="V813" s="17"/>
      <c r="W813" s="17"/>
      <c r="X813" s="17"/>
    </row>
    <row r="814" spans="1:24">
      <c r="A814" s="1"/>
      <c r="B814" s="1"/>
      <c r="C814" s="17"/>
      <c r="D814" s="17"/>
      <c r="E814" s="17"/>
      <c r="F814" s="17"/>
      <c r="G814" s="17"/>
      <c r="H814" s="17"/>
      <c r="I814" s="17"/>
      <c r="J814" s="17"/>
      <c r="K814" s="17"/>
      <c r="L814" s="17"/>
      <c r="N814" s="1"/>
      <c r="O814" s="17"/>
      <c r="P814" s="17"/>
      <c r="Q814" s="17"/>
      <c r="R814" s="17"/>
      <c r="S814" s="17"/>
      <c r="T814" s="17"/>
      <c r="U814" s="17"/>
      <c r="V814" s="17"/>
      <c r="W814" s="17"/>
      <c r="X814" s="17"/>
    </row>
    <row r="815" spans="1:24">
      <c r="A815" s="1"/>
      <c r="B815" s="1"/>
      <c r="C815" s="17"/>
      <c r="D815" s="17"/>
      <c r="E815" s="17"/>
      <c r="F815" s="17"/>
      <c r="G815" s="17"/>
      <c r="H815" s="17"/>
      <c r="I815" s="17"/>
      <c r="J815" s="17"/>
      <c r="K815" s="17"/>
      <c r="L815" s="17"/>
      <c r="N815" s="1"/>
      <c r="O815" s="17"/>
      <c r="P815" s="17"/>
      <c r="Q815" s="17"/>
      <c r="R815" s="17"/>
      <c r="S815" s="17"/>
      <c r="T815" s="17"/>
      <c r="U815" s="17"/>
      <c r="V815" s="17"/>
      <c r="W815" s="17"/>
      <c r="X815" s="17"/>
    </row>
    <row r="816" spans="1:24">
      <c r="A816" s="1"/>
      <c r="B816" s="1"/>
      <c r="C816" s="17"/>
      <c r="D816" s="17"/>
      <c r="E816" s="17"/>
      <c r="F816" s="17"/>
      <c r="G816" s="17"/>
      <c r="H816" s="17"/>
      <c r="I816" s="17"/>
      <c r="J816" s="17"/>
      <c r="K816" s="17"/>
      <c r="L816" s="17"/>
      <c r="N816" s="1"/>
      <c r="O816" s="17"/>
      <c r="P816" s="17"/>
      <c r="Q816" s="17"/>
      <c r="R816" s="17"/>
      <c r="S816" s="17"/>
      <c r="T816" s="17"/>
      <c r="U816" s="17"/>
      <c r="V816" s="17"/>
      <c r="W816" s="17"/>
      <c r="X816" s="17"/>
    </row>
    <row r="817" spans="1:24">
      <c r="A817" s="1"/>
      <c r="B817" s="1"/>
      <c r="C817" s="17"/>
      <c r="D817" s="17"/>
      <c r="E817" s="17"/>
      <c r="F817" s="17"/>
      <c r="G817" s="17"/>
      <c r="H817" s="17"/>
      <c r="I817" s="17"/>
      <c r="J817" s="17"/>
      <c r="K817" s="17"/>
      <c r="L817" s="17"/>
      <c r="N817" s="1"/>
      <c r="O817" s="17"/>
      <c r="P817" s="17"/>
      <c r="Q817" s="17"/>
      <c r="R817" s="17"/>
      <c r="S817" s="17"/>
      <c r="T817" s="17"/>
      <c r="U817" s="17"/>
      <c r="V817" s="17"/>
      <c r="W817" s="17"/>
      <c r="X817" s="17"/>
    </row>
    <row r="818" spans="1:24">
      <c r="A818" s="1"/>
      <c r="B818" s="1"/>
      <c r="C818" s="17"/>
      <c r="D818" s="17"/>
      <c r="E818" s="17"/>
      <c r="F818" s="17"/>
      <c r="G818" s="17"/>
      <c r="H818" s="17"/>
      <c r="I818" s="17"/>
      <c r="J818" s="17"/>
      <c r="K818" s="17"/>
      <c r="L818" s="17"/>
      <c r="N818" s="1"/>
      <c r="O818" s="17"/>
      <c r="P818" s="17"/>
      <c r="Q818" s="17"/>
      <c r="R818" s="17"/>
      <c r="S818" s="17"/>
      <c r="T818" s="17"/>
      <c r="U818" s="17"/>
      <c r="V818" s="17"/>
      <c r="W818" s="17"/>
      <c r="X818" s="17"/>
    </row>
    <row r="819" spans="1:24">
      <c r="A819" s="1"/>
      <c r="B819" s="1"/>
      <c r="C819" s="17"/>
      <c r="D819" s="17"/>
      <c r="E819" s="17"/>
      <c r="F819" s="17"/>
      <c r="G819" s="17"/>
      <c r="H819" s="17"/>
      <c r="I819" s="17"/>
      <c r="J819" s="17"/>
      <c r="K819" s="17"/>
      <c r="L819" s="17"/>
      <c r="N819" s="1"/>
      <c r="O819" s="17"/>
      <c r="P819" s="17"/>
      <c r="Q819" s="17"/>
      <c r="R819" s="17"/>
      <c r="S819" s="17"/>
      <c r="T819" s="17"/>
      <c r="U819" s="17"/>
      <c r="V819" s="17"/>
      <c r="W819" s="17"/>
      <c r="X819" s="17"/>
    </row>
    <row r="820" spans="1:24">
      <c r="A820" s="1"/>
      <c r="B820" s="1"/>
      <c r="C820" s="17"/>
      <c r="D820" s="17"/>
      <c r="E820" s="17"/>
      <c r="F820" s="17"/>
      <c r="G820" s="17"/>
      <c r="H820" s="17"/>
      <c r="I820" s="17"/>
      <c r="J820" s="17"/>
      <c r="K820" s="17"/>
      <c r="L820" s="17"/>
      <c r="N820" s="1"/>
      <c r="O820" s="17"/>
      <c r="P820" s="17"/>
      <c r="Q820" s="17"/>
      <c r="R820" s="17"/>
      <c r="S820" s="17"/>
      <c r="T820" s="17"/>
      <c r="U820" s="17"/>
      <c r="V820" s="17"/>
      <c r="W820" s="17"/>
      <c r="X820" s="17"/>
    </row>
    <row r="821" spans="1:24">
      <c r="A821" s="1"/>
      <c r="B821" s="1"/>
      <c r="C821" s="17"/>
      <c r="D821" s="17"/>
      <c r="E821" s="17"/>
      <c r="F821" s="17"/>
      <c r="G821" s="17"/>
      <c r="H821" s="17"/>
      <c r="I821" s="17"/>
      <c r="J821" s="17"/>
      <c r="K821" s="17"/>
      <c r="L821" s="17"/>
      <c r="N821" s="1"/>
      <c r="O821" s="17"/>
      <c r="P821" s="17"/>
      <c r="Q821" s="17"/>
      <c r="R821" s="17"/>
      <c r="S821" s="17"/>
      <c r="T821" s="17"/>
      <c r="U821" s="17"/>
      <c r="V821" s="17"/>
      <c r="W821" s="17"/>
      <c r="X821" s="17"/>
    </row>
    <row r="822" spans="1:24">
      <c r="A822" s="1"/>
      <c r="B822" s="1"/>
      <c r="C822" s="17"/>
      <c r="D822" s="17"/>
      <c r="E822" s="17"/>
      <c r="F822" s="17"/>
      <c r="G822" s="17"/>
      <c r="H822" s="17"/>
      <c r="I822" s="17"/>
      <c r="J822" s="17"/>
      <c r="K822" s="17"/>
      <c r="L822" s="17"/>
      <c r="N822" s="1"/>
      <c r="O822" s="17"/>
      <c r="P822" s="17"/>
      <c r="Q822" s="17"/>
      <c r="R822" s="17"/>
      <c r="S822" s="17"/>
      <c r="T822" s="17"/>
      <c r="U822" s="17"/>
      <c r="V822" s="17"/>
      <c r="W822" s="17"/>
      <c r="X822" s="17"/>
    </row>
    <row r="823" spans="1:24">
      <c r="A823" s="1"/>
      <c r="B823" s="1"/>
      <c r="C823" s="17"/>
      <c r="D823" s="17"/>
      <c r="E823" s="17"/>
      <c r="F823" s="17"/>
      <c r="G823" s="17"/>
      <c r="H823" s="17"/>
      <c r="I823" s="17"/>
      <c r="J823" s="17"/>
      <c r="K823" s="17"/>
      <c r="L823" s="17"/>
      <c r="N823" s="1"/>
      <c r="O823" s="17"/>
      <c r="P823" s="17"/>
      <c r="Q823" s="17"/>
      <c r="R823" s="17"/>
      <c r="S823" s="17"/>
      <c r="T823" s="17"/>
      <c r="U823" s="17"/>
      <c r="V823" s="17"/>
      <c r="W823" s="17"/>
      <c r="X823" s="17"/>
    </row>
    <row r="824" spans="1:24">
      <c r="A824" s="1"/>
      <c r="B824" s="1"/>
      <c r="C824" s="17"/>
      <c r="D824" s="17"/>
      <c r="E824" s="17"/>
      <c r="F824" s="17"/>
      <c r="G824" s="17"/>
      <c r="H824" s="17"/>
      <c r="I824" s="17"/>
      <c r="J824" s="17"/>
      <c r="K824" s="17"/>
      <c r="L824" s="17"/>
      <c r="N824" s="1"/>
      <c r="O824" s="17"/>
      <c r="P824" s="17"/>
      <c r="Q824" s="17"/>
      <c r="R824" s="17"/>
      <c r="S824" s="17"/>
      <c r="T824" s="17"/>
      <c r="U824" s="17"/>
      <c r="V824" s="17"/>
      <c r="W824" s="17"/>
      <c r="X824" s="17"/>
    </row>
    <row r="825" spans="1:24">
      <c r="A825" s="1"/>
      <c r="B825" s="1"/>
      <c r="C825" s="17"/>
      <c r="D825" s="17"/>
      <c r="E825" s="17"/>
      <c r="F825" s="17"/>
      <c r="G825" s="17"/>
      <c r="H825" s="17"/>
      <c r="I825" s="17"/>
      <c r="J825" s="17"/>
      <c r="K825" s="17"/>
      <c r="L825" s="17"/>
      <c r="N825" s="1"/>
      <c r="O825" s="17"/>
      <c r="P825" s="17"/>
      <c r="Q825" s="17"/>
      <c r="R825" s="17"/>
      <c r="S825" s="17"/>
      <c r="T825" s="17"/>
      <c r="U825" s="17"/>
      <c r="V825" s="17"/>
      <c r="W825" s="17"/>
      <c r="X825" s="17"/>
    </row>
    <row r="826" spans="1:24">
      <c r="A826" s="1"/>
      <c r="B826" s="1"/>
      <c r="C826" s="17"/>
      <c r="D826" s="17"/>
      <c r="E826" s="17"/>
      <c r="F826" s="17"/>
      <c r="G826" s="17"/>
      <c r="H826" s="17"/>
      <c r="I826" s="17"/>
      <c r="J826" s="17"/>
      <c r="K826" s="17"/>
      <c r="L826" s="17"/>
      <c r="N826" s="1"/>
      <c r="O826" s="17"/>
      <c r="P826" s="17"/>
      <c r="Q826" s="17"/>
      <c r="R826" s="17"/>
      <c r="S826" s="17"/>
      <c r="T826" s="17"/>
      <c r="U826" s="17"/>
      <c r="V826" s="17"/>
      <c r="W826" s="17"/>
      <c r="X826" s="17"/>
    </row>
    <row r="827" spans="1:24">
      <c r="A827" s="1"/>
      <c r="B827" s="1"/>
      <c r="C827" s="17"/>
      <c r="D827" s="17"/>
      <c r="E827" s="17"/>
      <c r="F827" s="17"/>
      <c r="G827" s="17"/>
      <c r="H827" s="17"/>
      <c r="I827" s="17"/>
      <c r="J827" s="17"/>
      <c r="K827" s="17"/>
      <c r="L827" s="17"/>
      <c r="N827" s="1"/>
      <c r="O827" s="17"/>
      <c r="P827" s="17"/>
      <c r="Q827" s="17"/>
      <c r="R827" s="17"/>
      <c r="S827" s="17"/>
      <c r="T827" s="17"/>
      <c r="U827" s="17"/>
      <c r="V827" s="17"/>
      <c r="W827" s="17"/>
      <c r="X827" s="17"/>
    </row>
    <row r="828" spans="1:24">
      <c r="A828" s="1"/>
      <c r="B828" s="1"/>
      <c r="C828" s="17"/>
      <c r="D828" s="17"/>
      <c r="E828" s="17"/>
      <c r="F828" s="17"/>
      <c r="G828" s="17"/>
      <c r="H828" s="17"/>
      <c r="I828" s="17"/>
      <c r="J828" s="17"/>
      <c r="K828" s="17"/>
      <c r="L828" s="17"/>
      <c r="N828" s="1"/>
      <c r="O828" s="17"/>
      <c r="P828" s="17"/>
      <c r="Q828" s="17"/>
      <c r="R828" s="17"/>
      <c r="S828" s="17"/>
      <c r="T828" s="17"/>
      <c r="U828" s="17"/>
      <c r="V828" s="17"/>
      <c r="W828" s="17"/>
      <c r="X828" s="17"/>
    </row>
    <row r="829" spans="1:24">
      <c r="A829" s="1"/>
      <c r="B829" s="1"/>
      <c r="C829" s="17"/>
      <c r="D829" s="17"/>
      <c r="E829" s="17"/>
      <c r="F829" s="17"/>
      <c r="G829" s="17"/>
      <c r="H829" s="17"/>
      <c r="I829" s="17"/>
      <c r="J829" s="17"/>
      <c r="K829" s="17"/>
      <c r="L829" s="17"/>
      <c r="N829" s="1"/>
      <c r="O829" s="17"/>
      <c r="P829" s="17"/>
      <c r="Q829" s="17"/>
      <c r="R829" s="17"/>
      <c r="S829" s="17"/>
      <c r="T829" s="17"/>
      <c r="U829" s="17"/>
      <c r="V829" s="17"/>
      <c r="W829" s="17"/>
      <c r="X829" s="17"/>
    </row>
    <row r="830" spans="1:24">
      <c r="A830" s="1"/>
      <c r="B830" s="1"/>
      <c r="C830" s="17"/>
      <c r="D830" s="17"/>
      <c r="E830" s="17"/>
      <c r="F830" s="17"/>
      <c r="G830" s="17"/>
      <c r="H830" s="17"/>
      <c r="I830" s="17"/>
      <c r="J830" s="17"/>
      <c r="K830" s="17"/>
      <c r="L830" s="17"/>
      <c r="N830" s="1"/>
      <c r="O830" s="17"/>
      <c r="P830" s="17"/>
      <c r="Q830" s="17"/>
      <c r="R830" s="17"/>
      <c r="S830" s="17"/>
      <c r="T830" s="17"/>
      <c r="U830" s="17"/>
      <c r="V830" s="17"/>
      <c r="W830" s="17"/>
      <c r="X830" s="17"/>
    </row>
    <row r="831" spans="1:24">
      <c r="A831" s="1"/>
      <c r="B831" s="1"/>
      <c r="C831" s="17"/>
      <c r="D831" s="17"/>
      <c r="E831" s="17"/>
      <c r="F831" s="17"/>
      <c r="G831" s="17"/>
      <c r="H831" s="17"/>
      <c r="I831" s="17"/>
      <c r="J831" s="17"/>
      <c r="K831" s="17"/>
      <c r="L831" s="17"/>
      <c r="N831" s="1"/>
      <c r="O831" s="17"/>
      <c r="P831" s="17"/>
      <c r="Q831" s="17"/>
      <c r="R831" s="17"/>
      <c r="S831" s="17"/>
      <c r="T831" s="17"/>
      <c r="U831" s="17"/>
      <c r="V831" s="17"/>
      <c r="W831" s="17"/>
      <c r="X831" s="17"/>
    </row>
    <row r="832" spans="1:24">
      <c r="A832" s="1"/>
      <c r="B832" s="1"/>
      <c r="C832" s="17"/>
      <c r="D832" s="17"/>
      <c r="E832" s="17"/>
      <c r="F832" s="17"/>
      <c r="G832" s="17"/>
      <c r="H832" s="17"/>
      <c r="I832" s="17"/>
      <c r="J832" s="17"/>
      <c r="K832" s="17"/>
      <c r="L832" s="17"/>
      <c r="N832" s="1"/>
      <c r="O832" s="17"/>
      <c r="P832" s="17"/>
      <c r="Q832" s="17"/>
      <c r="R832" s="17"/>
      <c r="S832" s="17"/>
      <c r="T832" s="17"/>
      <c r="U832" s="17"/>
      <c r="V832" s="17"/>
      <c r="W832" s="17"/>
      <c r="X832" s="17"/>
    </row>
    <row r="833" spans="1:24">
      <c r="A833" s="1"/>
      <c r="B833" s="1"/>
      <c r="C833" s="17"/>
      <c r="D833" s="17"/>
      <c r="E833" s="17"/>
      <c r="F833" s="17"/>
      <c r="G833" s="17"/>
      <c r="H833" s="17"/>
      <c r="I833" s="17"/>
      <c r="J833" s="17"/>
      <c r="K833" s="17"/>
      <c r="L833" s="17"/>
      <c r="N833" s="1"/>
      <c r="O833" s="17"/>
      <c r="P833" s="17"/>
      <c r="Q833" s="17"/>
      <c r="R833" s="17"/>
      <c r="S833" s="17"/>
      <c r="T833" s="17"/>
      <c r="U833" s="17"/>
      <c r="V833" s="17"/>
      <c r="W833" s="17"/>
      <c r="X833" s="17"/>
    </row>
    <row r="834" spans="1:24">
      <c r="A834" s="1"/>
      <c r="B834" s="1"/>
      <c r="C834" s="17"/>
      <c r="D834" s="17"/>
      <c r="E834" s="17"/>
      <c r="F834" s="17"/>
      <c r="G834" s="17"/>
      <c r="H834" s="17"/>
      <c r="I834" s="17"/>
      <c r="J834" s="17"/>
      <c r="K834" s="17"/>
      <c r="L834" s="17"/>
      <c r="N834" s="1"/>
      <c r="O834" s="17"/>
      <c r="P834" s="17"/>
      <c r="Q834" s="17"/>
      <c r="R834" s="17"/>
      <c r="S834" s="17"/>
      <c r="T834" s="17"/>
      <c r="U834" s="17"/>
      <c r="V834" s="17"/>
      <c r="W834" s="17"/>
      <c r="X834" s="17"/>
    </row>
    <row r="835" spans="1:24">
      <c r="A835" s="1"/>
      <c r="B835" s="1"/>
      <c r="C835" s="17"/>
      <c r="D835" s="17"/>
      <c r="E835" s="17"/>
      <c r="F835" s="17"/>
      <c r="G835" s="17"/>
      <c r="H835" s="17"/>
      <c r="I835" s="17"/>
      <c r="J835" s="17"/>
      <c r="K835" s="17"/>
      <c r="L835" s="17"/>
      <c r="N835" s="1"/>
      <c r="O835" s="17"/>
      <c r="P835" s="17"/>
      <c r="Q835" s="17"/>
      <c r="R835" s="17"/>
      <c r="S835" s="17"/>
      <c r="T835" s="17"/>
      <c r="U835" s="17"/>
      <c r="V835" s="17"/>
      <c r="W835" s="17"/>
      <c r="X835" s="17"/>
    </row>
    <row r="836" spans="1:24">
      <c r="A836" s="1"/>
      <c r="B836" s="1"/>
      <c r="C836" s="17"/>
      <c r="D836" s="17"/>
      <c r="E836" s="17"/>
      <c r="F836" s="17"/>
      <c r="G836" s="17"/>
      <c r="H836" s="17"/>
      <c r="I836" s="17"/>
      <c r="J836" s="17"/>
      <c r="K836" s="17"/>
      <c r="L836" s="17"/>
      <c r="N836" s="1"/>
      <c r="O836" s="17"/>
      <c r="P836" s="17"/>
      <c r="Q836" s="17"/>
      <c r="R836" s="17"/>
      <c r="S836" s="17"/>
      <c r="T836" s="17"/>
      <c r="U836" s="17"/>
      <c r="V836" s="17"/>
      <c r="W836" s="17"/>
      <c r="X836" s="17"/>
    </row>
    <row r="837" spans="1:24">
      <c r="A837" s="1"/>
      <c r="B837" s="1"/>
      <c r="C837" s="17"/>
      <c r="D837" s="17"/>
      <c r="E837" s="17"/>
      <c r="F837" s="17"/>
      <c r="G837" s="17"/>
      <c r="H837" s="17"/>
      <c r="I837" s="17"/>
      <c r="J837" s="17"/>
      <c r="K837" s="17"/>
      <c r="L837" s="17"/>
      <c r="N837" s="1"/>
      <c r="O837" s="17"/>
      <c r="P837" s="17"/>
      <c r="Q837" s="17"/>
      <c r="R837" s="17"/>
      <c r="S837" s="17"/>
      <c r="T837" s="17"/>
      <c r="U837" s="17"/>
      <c r="V837" s="17"/>
      <c r="W837" s="17"/>
      <c r="X837" s="17"/>
    </row>
    <row r="838" spans="1:24">
      <c r="A838" s="1"/>
      <c r="B838" s="1"/>
      <c r="C838" s="17"/>
      <c r="D838" s="17"/>
      <c r="E838" s="17"/>
      <c r="F838" s="17"/>
      <c r="G838" s="17"/>
      <c r="H838" s="17"/>
      <c r="I838" s="17"/>
      <c r="J838" s="17"/>
      <c r="K838" s="17"/>
      <c r="L838" s="17"/>
      <c r="N838" s="1"/>
      <c r="O838" s="17"/>
      <c r="P838" s="17"/>
      <c r="Q838" s="17"/>
      <c r="R838" s="17"/>
      <c r="S838" s="17"/>
      <c r="T838" s="17"/>
      <c r="U838" s="17"/>
      <c r="V838" s="17"/>
      <c r="W838" s="17"/>
      <c r="X838" s="17"/>
    </row>
    <row r="839" spans="1:24">
      <c r="A839" s="1"/>
      <c r="B839" s="1"/>
      <c r="C839" s="17"/>
      <c r="D839" s="17"/>
      <c r="E839" s="17"/>
      <c r="F839" s="17"/>
      <c r="G839" s="17"/>
      <c r="H839" s="17"/>
      <c r="I839" s="17"/>
      <c r="J839" s="17"/>
      <c r="K839" s="17"/>
      <c r="L839" s="17"/>
      <c r="N839" s="1"/>
      <c r="O839" s="17"/>
      <c r="P839" s="17"/>
      <c r="Q839" s="17"/>
      <c r="R839" s="17"/>
      <c r="S839" s="17"/>
      <c r="T839" s="17"/>
      <c r="U839" s="17"/>
      <c r="V839" s="17"/>
      <c r="W839" s="17"/>
      <c r="X839" s="17"/>
    </row>
    <row r="840" spans="1:24">
      <c r="A840" s="1"/>
      <c r="B840" s="1"/>
      <c r="C840" s="17"/>
      <c r="D840" s="17"/>
      <c r="E840" s="17"/>
      <c r="F840" s="17"/>
      <c r="G840" s="17"/>
      <c r="H840" s="17"/>
      <c r="I840" s="17"/>
      <c r="J840" s="17"/>
      <c r="K840" s="17"/>
      <c r="L840" s="17"/>
      <c r="N840" s="1"/>
      <c r="O840" s="17"/>
      <c r="P840" s="17"/>
      <c r="Q840" s="17"/>
      <c r="R840" s="17"/>
      <c r="S840" s="17"/>
      <c r="T840" s="17"/>
      <c r="U840" s="17"/>
      <c r="V840" s="17"/>
      <c r="W840" s="17"/>
      <c r="X840" s="17"/>
    </row>
    <row r="841" spans="1:24">
      <c r="A841" s="1"/>
      <c r="B841" s="1"/>
      <c r="C841" s="17"/>
      <c r="D841" s="17"/>
      <c r="E841" s="17"/>
      <c r="F841" s="17"/>
      <c r="G841" s="17"/>
      <c r="H841" s="17"/>
      <c r="I841" s="17"/>
      <c r="J841" s="17"/>
      <c r="K841" s="17"/>
      <c r="L841" s="17"/>
      <c r="N841" s="1"/>
      <c r="O841" s="17"/>
      <c r="P841" s="17"/>
      <c r="Q841" s="17"/>
      <c r="R841" s="17"/>
      <c r="S841" s="17"/>
      <c r="T841" s="17"/>
      <c r="U841" s="17"/>
      <c r="V841" s="17"/>
      <c r="W841" s="17"/>
      <c r="X841" s="17"/>
    </row>
    <row r="842" spans="1:24">
      <c r="A842" s="1"/>
      <c r="B842" s="1"/>
      <c r="C842" s="17"/>
      <c r="D842" s="17"/>
      <c r="E842" s="17"/>
      <c r="F842" s="17"/>
      <c r="G842" s="17"/>
      <c r="H842" s="17"/>
      <c r="I842" s="17"/>
      <c r="J842" s="17"/>
      <c r="K842" s="17"/>
      <c r="L842" s="17"/>
      <c r="N842" s="1"/>
      <c r="O842" s="17"/>
      <c r="P842" s="17"/>
      <c r="Q842" s="17"/>
      <c r="R842" s="17"/>
      <c r="S842" s="17"/>
      <c r="T842" s="17"/>
      <c r="U842" s="17"/>
      <c r="V842" s="17"/>
      <c r="W842" s="17"/>
      <c r="X842" s="17"/>
    </row>
    <row r="843" spans="1:24">
      <c r="A843" s="1"/>
      <c r="B843" s="1"/>
      <c r="C843" s="17"/>
      <c r="D843" s="17"/>
      <c r="E843" s="17"/>
      <c r="F843" s="17"/>
      <c r="G843" s="17"/>
      <c r="H843" s="17"/>
      <c r="I843" s="17"/>
      <c r="J843" s="17"/>
      <c r="K843" s="17"/>
      <c r="L843" s="17"/>
      <c r="N843" s="1"/>
      <c r="O843" s="17"/>
      <c r="P843" s="17"/>
      <c r="Q843" s="17"/>
      <c r="R843" s="17"/>
      <c r="S843" s="17"/>
      <c r="T843" s="17"/>
      <c r="U843" s="17"/>
      <c r="V843" s="17"/>
      <c r="W843" s="17"/>
      <c r="X843" s="17"/>
    </row>
    <row r="844" spans="1:24">
      <c r="A844" s="1"/>
      <c r="B844" s="1"/>
      <c r="C844" s="17"/>
      <c r="D844" s="17"/>
      <c r="E844" s="17"/>
      <c r="F844" s="17"/>
      <c r="G844" s="17"/>
      <c r="H844" s="17"/>
      <c r="I844" s="17"/>
      <c r="J844" s="17"/>
      <c r="K844" s="17"/>
      <c r="L844" s="17"/>
      <c r="N844" s="1"/>
      <c r="O844" s="17"/>
      <c r="P844" s="17"/>
      <c r="Q844" s="17"/>
      <c r="R844" s="17"/>
      <c r="S844" s="17"/>
      <c r="T844" s="17"/>
      <c r="U844" s="17"/>
      <c r="V844" s="17"/>
      <c r="W844" s="17"/>
      <c r="X844" s="17"/>
    </row>
    <row r="845" spans="1:24">
      <c r="A845" s="1"/>
      <c r="B845" s="1"/>
      <c r="C845" s="17"/>
      <c r="D845" s="17"/>
      <c r="E845" s="17"/>
      <c r="F845" s="17"/>
      <c r="G845" s="17"/>
      <c r="H845" s="17"/>
      <c r="I845" s="17"/>
      <c r="J845" s="17"/>
      <c r="K845" s="17"/>
      <c r="L845" s="17"/>
      <c r="N845" s="1"/>
      <c r="O845" s="17"/>
      <c r="P845" s="17"/>
      <c r="Q845" s="17"/>
      <c r="R845" s="17"/>
      <c r="S845" s="17"/>
      <c r="T845" s="17"/>
      <c r="U845" s="17"/>
      <c r="V845" s="17"/>
      <c r="W845" s="17"/>
      <c r="X845" s="17"/>
    </row>
    <row r="846" spans="1:24">
      <c r="A846" s="1"/>
      <c r="B846" s="1"/>
      <c r="C846" s="17"/>
      <c r="D846" s="17"/>
      <c r="E846" s="17"/>
      <c r="F846" s="17"/>
      <c r="G846" s="17"/>
      <c r="H846" s="17"/>
      <c r="I846" s="17"/>
      <c r="J846" s="17"/>
      <c r="K846" s="17"/>
      <c r="L846" s="17"/>
      <c r="N846" s="1"/>
      <c r="O846" s="17"/>
      <c r="P846" s="17"/>
      <c r="Q846" s="17"/>
      <c r="R846" s="17"/>
      <c r="S846" s="17"/>
      <c r="T846" s="17"/>
      <c r="U846" s="17"/>
      <c r="V846" s="17"/>
      <c r="W846" s="17"/>
      <c r="X846" s="17"/>
    </row>
    <row r="847" spans="1:24">
      <c r="A847" s="1"/>
      <c r="B847" s="1"/>
      <c r="C847" s="17"/>
      <c r="D847" s="17"/>
      <c r="E847" s="17"/>
      <c r="F847" s="17"/>
      <c r="G847" s="17"/>
      <c r="H847" s="17"/>
      <c r="I847" s="17"/>
      <c r="J847" s="17"/>
      <c r="K847" s="17"/>
      <c r="L847" s="17"/>
      <c r="N847" s="1"/>
      <c r="O847" s="17"/>
      <c r="P847" s="17"/>
      <c r="Q847" s="17"/>
      <c r="R847" s="17"/>
      <c r="S847" s="17"/>
      <c r="T847" s="17"/>
      <c r="U847" s="17"/>
      <c r="V847" s="17"/>
      <c r="W847" s="17"/>
      <c r="X847" s="17"/>
    </row>
    <row r="848" spans="1:24">
      <c r="A848" s="1"/>
      <c r="B848" s="1"/>
      <c r="C848" s="17"/>
      <c r="D848" s="17"/>
      <c r="E848" s="17"/>
      <c r="F848" s="17"/>
      <c r="G848" s="17"/>
      <c r="H848" s="17"/>
      <c r="I848" s="17"/>
      <c r="J848" s="17"/>
      <c r="K848" s="17"/>
      <c r="L848" s="17"/>
      <c r="N848" s="1"/>
      <c r="O848" s="17"/>
      <c r="P848" s="17"/>
      <c r="Q848" s="17"/>
      <c r="R848" s="17"/>
      <c r="S848" s="17"/>
      <c r="T848" s="17"/>
      <c r="U848" s="17"/>
      <c r="V848" s="17"/>
      <c r="W848" s="17"/>
      <c r="X848" s="17"/>
    </row>
    <row r="849" spans="1:24">
      <c r="A849" s="1"/>
      <c r="B849" s="1"/>
      <c r="C849" s="17"/>
      <c r="D849" s="17"/>
      <c r="E849" s="17"/>
      <c r="F849" s="17"/>
      <c r="G849" s="17"/>
      <c r="H849" s="17"/>
      <c r="I849" s="17"/>
      <c r="J849" s="17"/>
      <c r="K849" s="17"/>
      <c r="L849" s="17"/>
      <c r="N849" s="1"/>
      <c r="O849" s="17"/>
      <c r="P849" s="17"/>
      <c r="Q849" s="17"/>
      <c r="R849" s="17"/>
      <c r="S849" s="17"/>
      <c r="T849" s="17"/>
      <c r="U849" s="17"/>
      <c r="V849" s="17"/>
      <c r="W849" s="17"/>
      <c r="X849" s="17"/>
    </row>
    <row r="850" spans="1:24">
      <c r="A850" s="1"/>
      <c r="B850" s="1"/>
      <c r="C850" s="17"/>
      <c r="D850" s="17"/>
      <c r="E850" s="17"/>
      <c r="F850" s="17"/>
      <c r="G850" s="17"/>
      <c r="H850" s="17"/>
      <c r="I850" s="17"/>
      <c r="J850" s="17"/>
      <c r="K850" s="17"/>
      <c r="L850" s="17"/>
      <c r="N850" s="1"/>
      <c r="O850" s="17"/>
      <c r="P850" s="17"/>
      <c r="Q850" s="17"/>
      <c r="R850" s="17"/>
      <c r="S850" s="17"/>
      <c r="T850" s="17"/>
      <c r="U850" s="17"/>
      <c r="V850" s="17"/>
      <c r="W850" s="17"/>
      <c r="X850" s="17"/>
    </row>
    <row r="851" spans="1:24">
      <c r="A851" s="1"/>
      <c r="B851" s="1"/>
      <c r="C851" s="17"/>
      <c r="D851" s="17"/>
      <c r="E851" s="17"/>
      <c r="F851" s="17"/>
      <c r="G851" s="17"/>
      <c r="H851" s="17"/>
      <c r="I851" s="17"/>
      <c r="J851" s="17"/>
      <c r="K851" s="17"/>
      <c r="L851" s="17"/>
      <c r="N851" s="1"/>
      <c r="O851" s="17"/>
      <c r="P851" s="17"/>
      <c r="Q851" s="17"/>
      <c r="R851" s="17"/>
      <c r="S851" s="17"/>
      <c r="T851" s="17"/>
      <c r="U851" s="17"/>
      <c r="V851" s="17"/>
      <c r="W851" s="17"/>
      <c r="X851" s="17"/>
    </row>
    <row r="852" spans="1:24">
      <c r="A852" s="1"/>
      <c r="B852" s="1"/>
      <c r="C852" s="17"/>
      <c r="D852" s="17"/>
      <c r="E852" s="17"/>
      <c r="F852" s="17"/>
      <c r="G852" s="17"/>
      <c r="H852" s="17"/>
      <c r="I852" s="17"/>
      <c r="J852" s="17"/>
      <c r="K852" s="17"/>
      <c r="L852" s="17"/>
      <c r="N852" s="1"/>
      <c r="O852" s="17"/>
      <c r="P852" s="17"/>
      <c r="Q852" s="17"/>
      <c r="R852" s="17"/>
      <c r="S852" s="17"/>
      <c r="T852" s="17"/>
      <c r="U852" s="17"/>
      <c r="V852" s="17"/>
      <c r="W852" s="17"/>
      <c r="X852" s="17"/>
    </row>
    <row r="853" spans="1:24">
      <c r="A853" s="1"/>
      <c r="B853" s="1"/>
      <c r="C853" s="17"/>
      <c r="D853" s="17"/>
      <c r="E853" s="17"/>
      <c r="F853" s="17"/>
      <c r="G853" s="17"/>
      <c r="H853" s="17"/>
      <c r="I853" s="17"/>
      <c r="J853" s="17"/>
      <c r="K853" s="17"/>
      <c r="L853" s="17"/>
      <c r="N853" s="1"/>
      <c r="O853" s="17"/>
      <c r="P853" s="17"/>
      <c r="Q853" s="17"/>
      <c r="R853" s="17"/>
      <c r="S853" s="17"/>
      <c r="T853" s="17"/>
      <c r="U853" s="17"/>
      <c r="V853" s="17"/>
      <c r="W853" s="17"/>
      <c r="X853" s="17"/>
    </row>
    <row r="854" spans="1:24">
      <c r="A854" s="1"/>
      <c r="B854" s="1"/>
      <c r="C854" s="17"/>
      <c r="D854" s="17"/>
      <c r="E854" s="17"/>
      <c r="F854" s="17"/>
      <c r="G854" s="17"/>
      <c r="H854" s="17"/>
      <c r="I854" s="17"/>
      <c r="J854" s="17"/>
      <c r="K854" s="17"/>
      <c r="L854" s="17"/>
      <c r="N854" s="1"/>
      <c r="O854" s="17"/>
      <c r="P854" s="17"/>
      <c r="Q854" s="17"/>
      <c r="R854" s="17"/>
      <c r="S854" s="17"/>
      <c r="T854" s="17"/>
      <c r="U854" s="17"/>
      <c r="V854" s="17"/>
      <c r="W854" s="17"/>
      <c r="X854" s="17"/>
    </row>
    <row r="855" spans="1:24">
      <c r="A855" s="1"/>
      <c r="B855" s="1"/>
      <c r="C855" s="17"/>
      <c r="D855" s="17"/>
      <c r="E855" s="17"/>
      <c r="F855" s="17"/>
      <c r="G855" s="17"/>
      <c r="H855" s="17"/>
      <c r="I855" s="17"/>
      <c r="J855" s="17"/>
      <c r="K855" s="17"/>
      <c r="L855" s="17"/>
      <c r="N855" s="1"/>
      <c r="O855" s="17"/>
      <c r="P855" s="17"/>
      <c r="Q855" s="17"/>
      <c r="R855" s="17"/>
      <c r="S855" s="17"/>
      <c r="T855" s="17"/>
      <c r="U855" s="17"/>
      <c r="V855" s="17"/>
      <c r="W855" s="17"/>
      <c r="X855" s="17"/>
    </row>
    <row r="856" spans="1:24">
      <c r="A856" s="1"/>
      <c r="B856" s="1"/>
      <c r="C856" s="17"/>
      <c r="D856" s="17"/>
      <c r="E856" s="17"/>
      <c r="F856" s="17"/>
      <c r="G856" s="17"/>
      <c r="H856" s="17"/>
      <c r="I856" s="17"/>
      <c r="J856" s="17"/>
      <c r="K856" s="17"/>
      <c r="L856" s="17"/>
      <c r="N856" s="1"/>
      <c r="O856" s="17"/>
      <c r="P856" s="17"/>
      <c r="Q856" s="17"/>
      <c r="R856" s="17"/>
      <c r="S856" s="17"/>
      <c r="T856" s="17"/>
      <c r="U856" s="17"/>
      <c r="V856" s="17"/>
      <c r="W856" s="17"/>
      <c r="X856" s="17"/>
    </row>
    <row r="857" spans="1:24">
      <c r="A857" s="1"/>
      <c r="B857" s="1"/>
      <c r="C857" s="17"/>
      <c r="D857" s="17"/>
      <c r="E857" s="17"/>
      <c r="F857" s="17"/>
      <c r="G857" s="17"/>
      <c r="H857" s="17"/>
      <c r="I857" s="17"/>
      <c r="J857" s="17"/>
      <c r="K857" s="17"/>
      <c r="L857" s="17"/>
      <c r="N857" s="1"/>
      <c r="O857" s="17"/>
      <c r="P857" s="17"/>
      <c r="Q857" s="17"/>
      <c r="R857" s="17"/>
      <c r="S857" s="17"/>
      <c r="T857" s="17"/>
      <c r="U857" s="17"/>
      <c r="V857" s="17"/>
      <c r="W857" s="17"/>
      <c r="X857" s="17"/>
    </row>
    <row r="858" spans="1:24">
      <c r="A858" s="1"/>
      <c r="B858" s="1"/>
      <c r="C858" s="17"/>
      <c r="D858" s="17"/>
      <c r="E858" s="17"/>
      <c r="F858" s="17"/>
      <c r="G858" s="17"/>
      <c r="H858" s="17"/>
      <c r="I858" s="17"/>
      <c r="J858" s="17"/>
      <c r="K858" s="17"/>
      <c r="L858" s="17"/>
      <c r="N858" s="1"/>
      <c r="O858" s="17"/>
      <c r="P858" s="17"/>
      <c r="Q858" s="17"/>
      <c r="R858" s="17"/>
      <c r="S858" s="17"/>
      <c r="T858" s="17"/>
      <c r="U858" s="17"/>
      <c r="V858" s="17"/>
      <c r="W858" s="17"/>
      <c r="X858" s="17"/>
    </row>
    <row r="859" spans="1:24">
      <c r="A859" s="1"/>
      <c r="B859" s="1"/>
      <c r="C859" s="17"/>
      <c r="D859" s="17"/>
      <c r="E859" s="17"/>
      <c r="F859" s="17"/>
      <c r="G859" s="17"/>
      <c r="H859" s="17"/>
      <c r="I859" s="17"/>
      <c r="J859" s="17"/>
      <c r="K859" s="17"/>
      <c r="L859" s="17"/>
      <c r="N859" s="1"/>
      <c r="O859" s="17"/>
      <c r="P859" s="17"/>
      <c r="Q859" s="17"/>
      <c r="R859" s="17"/>
      <c r="S859" s="17"/>
      <c r="T859" s="17"/>
      <c r="U859" s="17"/>
      <c r="V859" s="17"/>
      <c r="W859" s="17"/>
      <c r="X859" s="17"/>
    </row>
    <row r="860" spans="1:24">
      <c r="A860" s="1"/>
      <c r="B860" s="1"/>
      <c r="C860" s="17"/>
      <c r="D860" s="17"/>
      <c r="E860" s="17"/>
      <c r="F860" s="17"/>
      <c r="G860" s="17"/>
      <c r="H860" s="17"/>
      <c r="I860" s="17"/>
      <c r="J860" s="17"/>
      <c r="K860" s="17"/>
      <c r="L860" s="17"/>
      <c r="N860" s="1"/>
      <c r="O860" s="17"/>
      <c r="P860" s="17"/>
      <c r="Q860" s="17"/>
      <c r="R860" s="17"/>
      <c r="S860" s="17"/>
      <c r="T860" s="17"/>
      <c r="U860" s="17"/>
      <c r="V860" s="17"/>
      <c r="W860" s="17"/>
      <c r="X860" s="17"/>
    </row>
    <row r="861" spans="1:24">
      <c r="A861" s="1"/>
      <c r="B861" s="1"/>
      <c r="C861" s="17"/>
      <c r="D861" s="17"/>
      <c r="E861" s="17"/>
      <c r="F861" s="17"/>
      <c r="G861" s="17"/>
      <c r="H861" s="17"/>
      <c r="I861" s="17"/>
      <c r="J861" s="17"/>
      <c r="K861" s="17"/>
      <c r="L861" s="17"/>
      <c r="N861" s="1"/>
      <c r="O861" s="17"/>
      <c r="P861" s="17"/>
      <c r="Q861" s="17"/>
      <c r="R861" s="17"/>
      <c r="S861" s="17"/>
      <c r="T861" s="17"/>
      <c r="U861" s="17"/>
      <c r="V861" s="17"/>
      <c r="W861" s="17"/>
      <c r="X861" s="17"/>
    </row>
    <row r="862" spans="1:24">
      <c r="A862" s="1"/>
      <c r="B862" s="1"/>
      <c r="C862" s="17"/>
      <c r="D862" s="17"/>
      <c r="E862" s="17"/>
      <c r="F862" s="17"/>
      <c r="G862" s="17"/>
      <c r="H862" s="17"/>
      <c r="I862" s="17"/>
      <c r="J862" s="17"/>
      <c r="K862" s="17"/>
      <c r="L862" s="17"/>
      <c r="N862" s="1"/>
      <c r="O862" s="17"/>
      <c r="P862" s="17"/>
      <c r="Q862" s="17"/>
      <c r="R862" s="17"/>
      <c r="S862" s="17"/>
      <c r="T862" s="17"/>
      <c r="U862" s="17"/>
      <c r="V862" s="17"/>
      <c r="W862" s="17"/>
      <c r="X862" s="17"/>
    </row>
    <row r="863" spans="1:24">
      <c r="A863" s="1"/>
      <c r="B863" s="1"/>
      <c r="C863" s="17"/>
      <c r="D863" s="17"/>
      <c r="E863" s="17"/>
      <c r="F863" s="17"/>
      <c r="G863" s="17"/>
      <c r="H863" s="17"/>
      <c r="I863" s="17"/>
      <c r="J863" s="17"/>
      <c r="K863" s="17"/>
      <c r="L863" s="17"/>
      <c r="N863" s="1"/>
      <c r="O863" s="17"/>
      <c r="P863" s="17"/>
      <c r="Q863" s="17"/>
      <c r="R863" s="17"/>
      <c r="S863" s="17"/>
      <c r="T863" s="17"/>
      <c r="U863" s="17"/>
      <c r="V863" s="17"/>
      <c r="W863" s="17"/>
      <c r="X863" s="17"/>
    </row>
    <row r="864" spans="1:24">
      <c r="A864" s="1"/>
      <c r="B864" s="1"/>
      <c r="C864" s="17"/>
      <c r="D864" s="17"/>
      <c r="E864" s="17"/>
      <c r="F864" s="17"/>
      <c r="G864" s="17"/>
      <c r="H864" s="17"/>
      <c r="I864" s="17"/>
      <c r="J864" s="17"/>
      <c r="K864" s="17"/>
      <c r="L864" s="17"/>
      <c r="N864" s="1"/>
      <c r="O864" s="17"/>
      <c r="P864" s="17"/>
      <c r="Q864" s="17"/>
      <c r="R864" s="17"/>
      <c r="S864" s="17"/>
      <c r="T864" s="17"/>
      <c r="U864" s="17"/>
      <c r="V864" s="17"/>
      <c r="W864" s="17"/>
      <c r="X864" s="17"/>
    </row>
    <row r="865" spans="1:24">
      <c r="A865" s="1"/>
      <c r="B865" s="1"/>
      <c r="C865" s="17"/>
      <c r="D865" s="17"/>
      <c r="E865" s="17"/>
      <c r="F865" s="17"/>
      <c r="G865" s="17"/>
      <c r="H865" s="17"/>
      <c r="I865" s="17"/>
      <c r="J865" s="17"/>
      <c r="K865" s="17"/>
      <c r="L865" s="17"/>
      <c r="N865" s="1"/>
      <c r="O865" s="17"/>
      <c r="P865" s="17"/>
      <c r="Q865" s="17"/>
      <c r="R865" s="17"/>
      <c r="S865" s="17"/>
      <c r="T865" s="17"/>
      <c r="U865" s="17"/>
      <c r="V865" s="17"/>
      <c r="W865" s="17"/>
      <c r="X865" s="17"/>
    </row>
    <row r="866" spans="1:24">
      <c r="A866" s="1"/>
      <c r="B866" s="1"/>
      <c r="C866" s="17"/>
      <c r="D866" s="17"/>
      <c r="E866" s="17"/>
      <c r="F866" s="17"/>
      <c r="G866" s="17"/>
      <c r="H866" s="17"/>
      <c r="I866" s="17"/>
      <c r="J866" s="17"/>
      <c r="K866" s="17"/>
      <c r="L866" s="17"/>
      <c r="N866" s="1"/>
      <c r="O866" s="17"/>
      <c r="P866" s="17"/>
      <c r="Q866" s="17"/>
      <c r="R866" s="17"/>
      <c r="S866" s="17"/>
      <c r="T866" s="17"/>
      <c r="U866" s="17"/>
      <c r="V866" s="17"/>
      <c r="W866" s="17"/>
      <c r="X866" s="17"/>
    </row>
    <row r="867" spans="1:24">
      <c r="A867" s="1"/>
      <c r="B867" s="1"/>
      <c r="C867" s="17"/>
      <c r="D867" s="17"/>
      <c r="E867" s="17"/>
      <c r="F867" s="17"/>
      <c r="G867" s="17"/>
      <c r="H867" s="17"/>
      <c r="I867" s="17"/>
      <c r="J867" s="17"/>
      <c r="K867" s="17"/>
      <c r="L867" s="17"/>
      <c r="N867" s="1"/>
      <c r="O867" s="17"/>
      <c r="P867" s="17"/>
      <c r="Q867" s="17"/>
      <c r="R867" s="17"/>
      <c r="S867" s="17"/>
      <c r="T867" s="17"/>
      <c r="U867" s="17"/>
      <c r="V867" s="17"/>
      <c r="W867" s="17"/>
      <c r="X867" s="17"/>
    </row>
    <row r="868" spans="1:24">
      <c r="A868" s="1"/>
      <c r="B868" s="1"/>
      <c r="C868" s="17"/>
      <c r="D868" s="17"/>
      <c r="E868" s="17"/>
      <c r="F868" s="17"/>
      <c r="G868" s="17"/>
      <c r="H868" s="17"/>
      <c r="I868" s="17"/>
      <c r="J868" s="17"/>
      <c r="K868" s="17"/>
      <c r="L868" s="17"/>
      <c r="N868" s="1"/>
      <c r="O868" s="17"/>
      <c r="P868" s="17"/>
      <c r="Q868" s="17"/>
      <c r="R868" s="17"/>
      <c r="S868" s="17"/>
      <c r="T868" s="17"/>
      <c r="U868" s="17"/>
      <c r="V868" s="17"/>
      <c r="W868" s="17"/>
      <c r="X868" s="17"/>
    </row>
    <row r="869" spans="1:24">
      <c r="A869" s="1"/>
      <c r="B869" s="1"/>
      <c r="C869" s="17"/>
      <c r="D869" s="17"/>
      <c r="E869" s="17"/>
      <c r="F869" s="17"/>
      <c r="G869" s="17"/>
      <c r="H869" s="17"/>
      <c r="I869" s="17"/>
      <c r="J869" s="17"/>
      <c r="K869" s="17"/>
      <c r="L869" s="17"/>
      <c r="N869" s="1"/>
      <c r="O869" s="17"/>
      <c r="P869" s="17"/>
      <c r="Q869" s="17"/>
      <c r="R869" s="17"/>
      <c r="S869" s="17"/>
      <c r="T869" s="17"/>
      <c r="U869" s="17"/>
      <c r="V869" s="17"/>
      <c r="W869" s="17"/>
      <c r="X869" s="17"/>
    </row>
    <row r="870" spans="1:24">
      <c r="A870" s="1"/>
      <c r="B870" s="1"/>
      <c r="C870" s="17"/>
      <c r="D870" s="17"/>
      <c r="E870" s="17"/>
      <c r="F870" s="17"/>
      <c r="G870" s="17"/>
      <c r="H870" s="17"/>
      <c r="I870" s="17"/>
      <c r="J870" s="17"/>
      <c r="K870" s="17"/>
      <c r="L870" s="17"/>
      <c r="N870" s="1"/>
      <c r="O870" s="17"/>
      <c r="P870" s="17"/>
      <c r="Q870" s="17"/>
      <c r="R870" s="17"/>
      <c r="S870" s="17"/>
      <c r="T870" s="17"/>
      <c r="U870" s="17"/>
      <c r="V870" s="17"/>
      <c r="W870" s="17"/>
      <c r="X870" s="17"/>
    </row>
    <row r="871" spans="1:24">
      <c r="A871" s="1"/>
      <c r="B871" s="1"/>
      <c r="C871" s="17"/>
      <c r="D871" s="17"/>
      <c r="E871" s="17"/>
      <c r="F871" s="17"/>
      <c r="G871" s="17"/>
      <c r="H871" s="17"/>
      <c r="I871" s="17"/>
      <c r="J871" s="17"/>
      <c r="K871" s="17"/>
      <c r="L871" s="17"/>
      <c r="N871" s="1"/>
      <c r="O871" s="17"/>
      <c r="P871" s="17"/>
      <c r="Q871" s="17"/>
      <c r="R871" s="17"/>
      <c r="S871" s="17"/>
      <c r="T871" s="17"/>
      <c r="U871" s="17"/>
      <c r="V871" s="17"/>
      <c r="W871" s="17"/>
      <c r="X871" s="17"/>
    </row>
    <row r="872" spans="1:24">
      <c r="A872" s="1"/>
      <c r="B872" s="1"/>
      <c r="C872" s="17"/>
      <c r="D872" s="17"/>
      <c r="E872" s="17"/>
      <c r="F872" s="17"/>
      <c r="G872" s="17"/>
      <c r="H872" s="17"/>
      <c r="I872" s="17"/>
      <c r="J872" s="17"/>
      <c r="K872" s="17"/>
      <c r="L872" s="17"/>
      <c r="N872" s="1"/>
      <c r="O872" s="17"/>
      <c r="P872" s="17"/>
      <c r="Q872" s="17"/>
      <c r="R872" s="17"/>
      <c r="S872" s="17"/>
      <c r="T872" s="17"/>
      <c r="U872" s="17"/>
      <c r="V872" s="17"/>
      <c r="W872" s="17"/>
      <c r="X872" s="17"/>
    </row>
    <row r="873" spans="1:24">
      <c r="A873" s="1"/>
      <c r="B873" s="1"/>
      <c r="C873" s="17"/>
      <c r="D873" s="17"/>
      <c r="E873" s="17"/>
      <c r="F873" s="17"/>
      <c r="G873" s="17"/>
      <c r="H873" s="17"/>
      <c r="I873" s="17"/>
      <c r="J873" s="17"/>
      <c r="K873" s="17"/>
      <c r="L873" s="17"/>
      <c r="N873" s="1"/>
      <c r="O873" s="17"/>
      <c r="P873" s="17"/>
      <c r="Q873" s="17"/>
      <c r="R873" s="17"/>
      <c r="S873" s="17"/>
      <c r="T873" s="17"/>
      <c r="U873" s="17"/>
      <c r="V873" s="17"/>
      <c r="W873" s="17"/>
      <c r="X873" s="17"/>
    </row>
    <row r="874" spans="1:24">
      <c r="A874" s="1"/>
      <c r="B874" s="1"/>
      <c r="C874" s="17"/>
      <c r="D874" s="17"/>
      <c r="E874" s="17"/>
      <c r="F874" s="17"/>
      <c r="G874" s="17"/>
      <c r="H874" s="17"/>
      <c r="I874" s="17"/>
      <c r="J874" s="17"/>
      <c r="K874" s="17"/>
      <c r="L874" s="17"/>
      <c r="N874" s="1"/>
      <c r="O874" s="17"/>
      <c r="P874" s="17"/>
      <c r="Q874" s="17"/>
      <c r="R874" s="17"/>
      <c r="S874" s="17"/>
      <c r="T874" s="17"/>
      <c r="U874" s="17"/>
      <c r="V874" s="17"/>
      <c r="W874" s="17"/>
      <c r="X874" s="17"/>
    </row>
    <row r="875" spans="1:24">
      <c r="A875" s="1"/>
      <c r="B875" s="1"/>
      <c r="C875" s="17"/>
      <c r="D875" s="17"/>
      <c r="E875" s="17"/>
      <c r="F875" s="17"/>
      <c r="G875" s="17"/>
      <c r="H875" s="17"/>
      <c r="I875" s="17"/>
      <c r="J875" s="17"/>
      <c r="K875" s="17"/>
      <c r="L875" s="17"/>
      <c r="N875" s="1"/>
      <c r="O875" s="17"/>
      <c r="P875" s="17"/>
      <c r="Q875" s="17"/>
      <c r="R875" s="17"/>
      <c r="S875" s="17"/>
      <c r="T875" s="17"/>
      <c r="U875" s="17"/>
      <c r="V875" s="17"/>
      <c r="W875" s="17"/>
      <c r="X875" s="17"/>
    </row>
    <row r="876" spans="1:24">
      <c r="A876" s="1"/>
      <c r="B876" s="1"/>
      <c r="C876" s="17"/>
      <c r="D876" s="17"/>
      <c r="E876" s="17"/>
      <c r="F876" s="17"/>
      <c r="G876" s="17"/>
      <c r="H876" s="17"/>
      <c r="I876" s="17"/>
      <c r="J876" s="17"/>
      <c r="K876" s="17"/>
      <c r="L876" s="17"/>
      <c r="N876" s="1"/>
      <c r="O876" s="17"/>
      <c r="P876" s="17"/>
      <c r="Q876" s="17"/>
      <c r="R876" s="17"/>
      <c r="S876" s="17"/>
      <c r="T876" s="17"/>
      <c r="U876" s="17"/>
      <c r="V876" s="17"/>
      <c r="W876" s="17"/>
      <c r="X876" s="17"/>
    </row>
    <row r="877" spans="1:24">
      <c r="A877" s="1"/>
      <c r="B877" s="1"/>
      <c r="C877" s="17"/>
      <c r="D877" s="17"/>
      <c r="E877" s="17"/>
      <c r="F877" s="17"/>
      <c r="G877" s="17"/>
      <c r="H877" s="17"/>
      <c r="I877" s="17"/>
      <c r="J877" s="17"/>
      <c r="K877" s="17"/>
      <c r="L877" s="17"/>
      <c r="N877" s="1"/>
      <c r="O877" s="17"/>
      <c r="P877" s="17"/>
      <c r="Q877" s="17"/>
      <c r="R877" s="17"/>
      <c r="S877" s="17"/>
      <c r="T877" s="17"/>
      <c r="U877" s="17"/>
      <c r="V877" s="17"/>
      <c r="W877" s="17"/>
      <c r="X877" s="17"/>
    </row>
    <row r="878" spans="1:24">
      <c r="A878" s="1"/>
      <c r="B878" s="1"/>
      <c r="C878" s="17"/>
      <c r="D878" s="17"/>
      <c r="E878" s="17"/>
      <c r="F878" s="17"/>
      <c r="G878" s="17"/>
      <c r="H878" s="17"/>
      <c r="I878" s="17"/>
      <c r="J878" s="17"/>
      <c r="K878" s="17"/>
      <c r="L878" s="17"/>
      <c r="N878" s="1"/>
      <c r="O878" s="17"/>
      <c r="P878" s="17"/>
      <c r="Q878" s="17"/>
      <c r="R878" s="17"/>
      <c r="S878" s="17"/>
      <c r="T878" s="17"/>
      <c r="U878" s="17"/>
      <c r="V878" s="17"/>
      <c r="W878" s="17"/>
      <c r="X878" s="17"/>
    </row>
    <row r="879" spans="1:24">
      <c r="A879" s="1"/>
      <c r="B879" s="1"/>
      <c r="C879" s="17"/>
      <c r="D879" s="17"/>
      <c r="E879" s="17"/>
      <c r="F879" s="17"/>
      <c r="G879" s="17"/>
      <c r="H879" s="17"/>
      <c r="I879" s="17"/>
      <c r="J879" s="17"/>
      <c r="K879" s="17"/>
      <c r="L879" s="17"/>
      <c r="N879" s="1"/>
      <c r="O879" s="17"/>
      <c r="P879" s="17"/>
      <c r="Q879" s="17"/>
      <c r="R879" s="17"/>
      <c r="S879" s="17"/>
      <c r="T879" s="17"/>
      <c r="U879" s="17"/>
      <c r="V879" s="17"/>
      <c r="W879" s="17"/>
      <c r="X879" s="17"/>
    </row>
    <row r="880" spans="1:24">
      <c r="A880" s="1"/>
      <c r="B880" s="1"/>
      <c r="C880" s="17"/>
      <c r="D880" s="17"/>
      <c r="E880" s="17"/>
      <c r="F880" s="17"/>
      <c r="G880" s="17"/>
      <c r="H880" s="17"/>
      <c r="I880" s="17"/>
      <c r="J880" s="17"/>
      <c r="K880" s="17"/>
      <c r="L880" s="17"/>
      <c r="N880" s="1"/>
      <c r="O880" s="17"/>
      <c r="P880" s="17"/>
      <c r="Q880" s="17"/>
      <c r="R880" s="17"/>
      <c r="S880" s="17"/>
      <c r="T880" s="17"/>
      <c r="U880" s="17"/>
      <c r="V880" s="17"/>
      <c r="W880" s="17"/>
      <c r="X880" s="17"/>
    </row>
    <row r="881" spans="1:24">
      <c r="A881" s="1"/>
      <c r="B881" s="1"/>
      <c r="C881" s="17"/>
      <c r="D881" s="17"/>
      <c r="E881" s="17"/>
      <c r="F881" s="17"/>
      <c r="G881" s="17"/>
      <c r="H881" s="17"/>
      <c r="I881" s="17"/>
      <c r="J881" s="17"/>
      <c r="K881" s="17"/>
      <c r="L881" s="17"/>
      <c r="N881" s="1"/>
      <c r="O881" s="17"/>
      <c r="P881" s="17"/>
      <c r="Q881" s="17"/>
      <c r="R881" s="17"/>
      <c r="S881" s="17"/>
      <c r="T881" s="17"/>
      <c r="U881" s="17"/>
      <c r="V881" s="17"/>
      <c r="W881" s="17"/>
      <c r="X881" s="17"/>
    </row>
    <row r="882" spans="1:24">
      <c r="A882" s="1"/>
      <c r="B882" s="1"/>
      <c r="C882" s="17"/>
      <c r="D882" s="17"/>
      <c r="E882" s="17"/>
      <c r="F882" s="17"/>
      <c r="G882" s="17"/>
      <c r="H882" s="17"/>
      <c r="I882" s="17"/>
      <c r="J882" s="17"/>
      <c r="K882" s="17"/>
      <c r="L882" s="17"/>
      <c r="N882" s="1"/>
      <c r="O882" s="17"/>
      <c r="P882" s="17"/>
      <c r="Q882" s="17"/>
      <c r="R882" s="17"/>
      <c r="S882" s="17"/>
      <c r="T882" s="17"/>
      <c r="U882" s="17"/>
      <c r="V882" s="17"/>
      <c r="W882" s="17"/>
      <c r="X882" s="17"/>
    </row>
    <row r="883" spans="1:24">
      <c r="A883" s="1"/>
      <c r="B883" s="1"/>
      <c r="C883" s="17"/>
      <c r="D883" s="17"/>
      <c r="E883" s="17"/>
      <c r="F883" s="17"/>
      <c r="G883" s="17"/>
      <c r="H883" s="17"/>
      <c r="I883" s="17"/>
      <c r="J883" s="17"/>
      <c r="K883" s="17"/>
      <c r="L883" s="17"/>
      <c r="N883" s="1"/>
      <c r="O883" s="17"/>
      <c r="P883" s="17"/>
      <c r="Q883" s="17"/>
      <c r="R883" s="17"/>
      <c r="S883" s="17"/>
      <c r="T883" s="17"/>
      <c r="U883" s="17"/>
      <c r="V883" s="17"/>
      <c r="W883" s="17"/>
      <c r="X883" s="17"/>
    </row>
    <row r="884" spans="1:24">
      <c r="A884" s="1"/>
      <c r="B884" s="1"/>
      <c r="C884" s="17"/>
      <c r="D884" s="17"/>
      <c r="E884" s="17"/>
      <c r="F884" s="17"/>
      <c r="G884" s="17"/>
      <c r="H884" s="17"/>
      <c r="I884" s="17"/>
      <c r="J884" s="17"/>
      <c r="K884" s="17"/>
      <c r="L884" s="17"/>
      <c r="N884" s="1"/>
      <c r="O884" s="17"/>
      <c r="P884" s="17"/>
      <c r="Q884" s="17"/>
      <c r="R884" s="17"/>
      <c r="S884" s="17"/>
      <c r="T884" s="17"/>
      <c r="U884" s="17"/>
      <c r="V884" s="17"/>
      <c r="W884" s="17"/>
      <c r="X884" s="17"/>
    </row>
    <row r="885" spans="1:24">
      <c r="A885" s="1"/>
      <c r="B885" s="1"/>
      <c r="C885" s="17"/>
      <c r="D885" s="17"/>
      <c r="E885" s="17"/>
      <c r="F885" s="17"/>
      <c r="G885" s="17"/>
      <c r="H885" s="17"/>
      <c r="I885" s="17"/>
      <c r="J885" s="17"/>
      <c r="K885" s="17"/>
      <c r="L885" s="17"/>
      <c r="N885" s="1"/>
      <c r="O885" s="17"/>
      <c r="P885" s="17"/>
      <c r="Q885" s="17"/>
      <c r="R885" s="17"/>
      <c r="S885" s="17"/>
      <c r="T885" s="17"/>
      <c r="U885" s="17"/>
      <c r="V885" s="17"/>
      <c r="W885" s="17"/>
      <c r="X885" s="17"/>
    </row>
    <row r="886" spans="1:24">
      <c r="A886" s="1"/>
      <c r="B886" s="1"/>
      <c r="C886" s="17"/>
      <c r="D886" s="17"/>
      <c r="E886" s="17"/>
      <c r="F886" s="17"/>
      <c r="G886" s="17"/>
      <c r="H886" s="17"/>
      <c r="I886" s="17"/>
      <c r="J886" s="17"/>
      <c r="K886" s="17"/>
      <c r="L886" s="17"/>
      <c r="N886" s="1"/>
      <c r="O886" s="17"/>
      <c r="P886" s="17"/>
      <c r="Q886" s="17"/>
      <c r="R886" s="17"/>
      <c r="S886" s="17"/>
      <c r="T886" s="17"/>
      <c r="U886" s="17"/>
      <c r="V886" s="17"/>
      <c r="W886" s="17"/>
      <c r="X886" s="17"/>
    </row>
    <row r="887" spans="1:24">
      <c r="A887" s="1"/>
      <c r="B887" s="1"/>
      <c r="C887" s="17"/>
      <c r="D887" s="17"/>
      <c r="E887" s="17"/>
      <c r="F887" s="17"/>
      <c r="G887" s="17"/>
      <c r="H887" s="17"/>
      <c r="I887" s="17"/>
      <c r="J887" s="17"/>
      <c r="K887" s="17"/>
      <c r="L887" s="17"/>
      <c r="N887" s="1"/>
      <c r="O887" s="17"/>
      <c r="P887" s="17"/>
      <c r="Q887" s="17"/>
      <c r="R887" s="17"/>
      <c r="S887" s="17"/>
      <c r="T887" s="17"/>
      <c r="U887" s="17"/>
      <c r="V887" s="17"/>
      <c r="W887" s="17"/>
      <c r="X887" s="17"/>
    </row>
    <row r="888" spans="1:24">
      <c r="A888" s="1"/>
      <c r="B888" s="1"/>
      <c r="C888" s="17"/>
      <c r="D888" s="17"/>
      <c r="E888" s="17"/>
      <c r="F888" s="17"/>
      <c r="G888" s="17"/>
      <c r="H888" s="17"/>
      <c r="I888" s="17"/>
      <c r="J888" s="17"/>
      <c r="K888" s="17"/>
      <c r="L888" s="17"/>
      <c r="N888" s="1"/>
      <c r="O888" s="17"/>
      <c r="P888" s="17"/>
      <c r="Q888" s="17"/>
      <c r="R888" s="17"/>
      <c r="S888" s="17"/>
      <c r="T888" s="17"/>
      <c r="U888" s="17"/>
      <c r="V888" s="17"/>
      <c r="W888" s="17"/>
      <c r="X888" s="17"/>
    </row>
    <row r="889" spans="1:24">
      <c r="A889" s="1"/>
      <c r="B889" s="1"/>
      <c r="C889" s="17"/>
      <c r="D889" s="17"/>
      <c r="E889" s="17"/>
      <c r="F889" s="17"/>
      <c r="G889" s="17"/>
      <c r="H889" s="17"/>
      <c r="I889" s="17"/>
      <c r="J889" s="17"/>
      <c r="K889" s="17"/>
      <c r="L889" s="17"/>
      <c r="N889" s="1"/>
      <c r="O889" s="17"/>
      <c r="P889" s="17"/>
      <c r="Q889" s="17"/>
      <c r="R889" s="17"/>
      <c r="S889" s="17"/>
      <c r="T889" s="17"/>
      <c r="U889" s="17"/>
      <c r="V889" s="17"/>
      <c r="W889" s="17"/>
      <c r="X889" s="17"/>
    </row>
    <row r="890" spans="1:24">
      <c r="A890" s="1"/>
      <c r="B890" s="1"/>
      <c r="C890" s="17"/>
      <c r="D890" s="17"/>
      <c r="E890" s="17"/>
      <c r="F890" s="17"/>
      <c r="G890" s="17"/>
      <c r="H890" s="17"/>
      <c r="I890" s="17"/>
      <c r="J890" s="17"/>
      <c r="K890" s="17"/>
      <c r="L890" s="17"/>
      <c r="N890" s="1"/>
      <c r="O890" s="17"/>
      <c r="P890" s="17"/>
      <c r="Q890" s="17"/>
      <c r="R890" s="17"/>
      <c r="S890" s="17"/>
      <c r="T890" s="17"/>
      <c r="U890" s="17"/>
      <c r="V890" s="17"/>
      <c r="W890" s="17"/>
      <c r="X890" s="17"/>
    </row>
    <row r="891" spans="1:24">
      <c r="A891" s="1"/>
      <c r="B891" s="1"/>
      <c r="C891" s="17"/>
      <c r="D891" s="17"/>
      <c r="E891" s="17"/>
      <c r="F891" s="17"/>
      <c r="G891" s="17"/>
      <c r="H891" s="17"/>
      <c r="I891" s="17"/>
      <c r="J891" s="17"/>
      <c r="K891" s="17"/>
      <c r="L891" s="17"/>
      <c r="N891" s="1"/>
      <c r="O891" s="17"/>
      <c r="P891" s="17"/>
      <c r="Q891" s="17"/>
      <c r="R891" s="17"/>
      <c r="S891" s="17"/>
      <c r="T891" s="17"/>
      <c r="U891" s="17"/>
      <c r="V891" s="17"/>
      <c r="W891" s="17"/>
      <c r="X891" s="17"/>
    </row>
    <row r="892" spans="1:24">
      <c r="A892" s="1"/>
      <c r="B892" s="1"/>
      <c r="C892" s="17"/>
      <c r="D892" s="17"/>
      <c r="E892" s="17"/>
      <c r="F892" s="17"/>
      <c r="G892" s="17"/>
      <c r="H892" s="17"/>
      <c r="I892" s="17"/>
      <c r="J892" s="17"/>
      <c r="K892" s="17"/>
      <c r="L892" s="17"/>
      <c r="N892" s="1"/>
      <c r="O892" s="17"/>
      <c r="P892" s="17"/>
      <c r="Q892" s="17"/>
      <c r="R892" s="17"/>
      <c r="S892" s="17"/>
      <c r="T892" s="17"/>
      <c r="U892" s="17"/>
      <c r="V892" s="17"/>
      <c r="W892" s="17"/>
      <c r="X892" s="17"/>
    </row>
    <row r="893" spans="1:24">
      <c r="A893" s="1"/>
      <c r="B893" s="1"/>
      <c r="C893" s="17"/>
      <c r="D893" s="17"/>
      <c r="E893" s="17"/>
      <c r="F893" s="17"/>
      <c r="G893" s="17"/>
      <c r="H893" s="17"/>
      <c r="I893" s="17"/>
      <c r="J893" s="17"/>
      <c r="K893" s="17"/>
      <c r="L893" s="17"/>
      <c r="N893" s="1"/>
      <c r="O893" s="17"/>
      <c r="P893" s="17"/>
      <c r="Q893" s="17"/>
      <c r="R893" s="17"/>
      <c r="S893" s="17"/>
      <c r="T893" s="17"/>
      <c r="U893" s="17"/>
      <c r="V893" s="17"/>
      <c r="W893" s="17"/>
      <c r="X893" s="17"/>
    </row>
    <row r="894" spans="1:24">
      <c r="A894" s="1"/>
      <c r="B894" s="1"/>
      <c r="C894" s="17"/>
      <c r="D894" s="17"/>
      <c r="E894" s="17"/>
      <c r="F894" s="17"/>
      <c r="G894" s="17"/>
      <c r="H894" s="17"/>
      <c r="I894" s="17"/>
      <c r="J894" s="17"/>
      <c r="K894" s="17"/>
      <c r="L894" s="17"/>
      <c r="N894" s="1"/>
      <c r="O894" s="17"/>
      <c r="P894" s="17"/>
      <c r="Q894" s="17"/>
      <c r="R894" s="17"/>
      <c r="S894" s="17"/>
      <c r="T894" s="17"/>
      <c r="U894" s="17"/>
      <c r="V894" s="17"/>
      <c r="W894" s="17"/>
      <c r="X894" s="17"/>
    </row>
    <row r="895" spans="1:24">
      <c r="A895" s="1"/>
      <c r="B895" s="1"/>
      <c r="C895" s="17"/>
      <c r="D895" s="17"/>
      <c r="E895" s="17"/>
      <c r="F895" s="17"/>
      <c r="G895" s="17"/>
      <c r="H895" s="17"/>
      <c r="I895" s="17"/>
      <c r="J895" s="17"/>
      <c r="K895" s="17"/>
      <c r="L895" s="17"/>
      <c r="N895" s="1"/>
      <c r="O895" s="17"/>
      <c r="P895" s="17"/>
      <c r="Q895" s="17"/>
      <c r="R895" s="17"/>
      <c r="S895" s="17"/>
      <c r="T895" s="17"/>
      <c r="U895" s="17"/>
      <c r="V895" s="17"/>
      <c r="W895" s="17"/>
      <c r="X895" s="17"/>
    </row>
    <row r="896" spans="1:24">
      <c r="A896" s="1"/>
      <c r="B896" s="1"/>
      <c r="C896" s="17"/>
      <c r="D896" s="17"/>
      <c r="E896" s="17"/>
      <c r="F896" s="17"/>
      <c r="G896" s="17"/>
      <c r="H896" s="17"/>
      <c r="I896" s="17"/>
      <c r="J896" s="17"/>
      <c r="K896" s="17"/>
      <c r="L896" s="17"/>
      <c r="N896" s="1"/>
      <c r="O896" s="17"/>
      <c r="P896" s="17"/>
      <c r="Q896" s="17"/>
      <c r="R896" s="17"/>
      <c r="S896" s="17"/>
      <c r="T896" s="17"/>
      <c r="U896" s="17"/>
      <c r="V896" s="17"/>
      <c r="W896" s="17"/>
      <c r="X896" s="17"/>
    </row>
    <row r="897" spans="1:24">
      <c r="A897" s="1"/>
      <c r="B897" s="1"/>
      <c r="C897" s="17"/>
      <c r="D897" s="17"/>
      <c r="E897" s="17"/>
      <c r="F897" s="17"/>
      <c r="G897" s="17"/>
      <c r="H897" s="17"/>
      <c r="I897" s="17"/>
      <c r="J897" s="17"/>
      <c r="K897" s="17"/>
      <c r="L897" s="17"/>
      <c r="N897" s="1"/>
      <c r="O897" s="17"/>
      <c r="P897" s="17"/>
      <c r="Q897" s="17"/>
      <c r="R897" s="17"/>
      <c r="S897" s="17"/>
      <c r="T897" s="17"/>
      <c r="U897" s="17"/>
      <c r="V897" s="17"/>
      <c r="W897" s="17"/>
      <c r="X897" s="17"/>
    </row>
    <row r="898" spans="1:24">
      <c r="A898" s="1"/>
      <c r="B898" s="1"/>
      <c r="C898" s="17"/>
      <c r="D898" s="17"/>
      <c r="E898" s="17"/>
      <c r="F898" s="17"/>
      <c r="G898" s="17"/>
      <c r="H898" s="17"/>
      <c r="I898" s="17"/>
      <c r="J898" s="17"/>
      <c r="K898" s="17"/>
      <c r="L898" s="17"/>
      <c r="N898" s="1"/>
      <c r="O898" s="17"/>
      <c r="P898" s="17"/>
      <c r="Q898" s="17"/>
      <c r="R898" s="17"/>
      <c r="S898" s="17"/>
      <c r="T898" s="17"/>
      <c r="U898" s="17"/>
      <c r="V898" s="17"/>
      <c r="W898" s="17"/>
      <c r="X898" s="17"/>
    </row>
    <row r="899" spans="1:24">
      <c r="A899" s="1"/>
      <c r="B899" s="1"/>
      <c r="C899" s="17"/>
      <c r="D899" s="17"/>
      <c r="E899" s="17"/>
      <c r="F899" s="17"/>
      <c r="G899" s="17"/>
      <c r="H899" s="17"/>
      <c r="I899" s="17"/>
      <c r="J899" s="17"/>
      <c r="K899" s="17"/>
      <c r="L899" s="17"/>
      <c r="N899" s="1"/>
      <c r="O899" s="17"/>
      <c r="P899" s="17"/>
      <c r="Q899" s="17"/>
      <c r="R899" s="17"/>
      <c r="S899" s="17"/>
      <c r="T899" s="17"/>
      <c r="U899" s="17"/>
      <c r="V899" s="17"/>
      <c r="W899" s="17"/>
      <c r="X899" s="17"/>
    </row>
    <row r="900" spans="1:24">
      <c r="A900" s="1"/>
      <c r="B900" s="1"/>
      <c r="C900" s="17"/>
      <c r="D900" s="17"/>
      <c r="E900" s="17"/>
      <c r="F900" s="17"/>
      <c r="G900" s="17"/>
      <c r="H900" s="17"/>
      <c r="I900" s="17"/>
      <c r="J900" s="17"/>
      <c r="K900" s="17"/>
      <c r="L900" s="17"/>
      <c r="N900" s="1"/>
      <c r="O900" s="17"/>
      <c r="P900" s="17"/>
      <c r="Q900" s="17"/>
      <c r="R900" s="17"/>
      <c r="S900" s="17"/>
      <c r="T900" s="17"/>
      <c r="U900" s="17"/>
      <c r="V900" s="17"/>
      <c r="W900" s="17"/>
      <c r="X900" s="17"/>
    </row>
    <row r="901" spans="1:24">
      <c r="A901" s="1"/>
      <c r="B901" s="1"/>
      <c r="C901" s="17"/>
      <c r="D901" s="17"/>
      <c r="E901" s="17"/>
      <c r="F901" s="17"/>
      <c r="G901" s="17"/>
      <c r="H901" s="17"/>
      <c r="I901" s="17"/>
      <c r="J901" s="17"/>
      <c r="K901" s="17"/>
      <c r="L901" s="17"/>
      <c r="N901" s="1"/>
      <c r="O901" s="17"/>
      <c r="P901" s="17"/>
      <c r="Q901" s="17"/>
      <c r="R901" s="17"/>
      <c r="S901" s="17"/>
      <c r="T901" s="17"/>
      <c r="U901" s="17"/>
      <c r="V901" s="17"/>
      <c r="W901" s="17"/>
      <c r="X901" s="17"/>
    </row>
    <row r="902" spans="1:24">
      <c r="A902" s="1"/>
      <c r="B902" s="1"/>
      <c r="C902" s="17"/>
      <c r="D902" s="17"/>
      <c r="E902" s="17"/>
      <c r="F902" s="17"/>
      <c r="G902" s="17"/>
      <c r="H902" s="17"/>
      <c r="I902" s="17"/>
      <c r="J902" s="17"/>
      <c r="K902" s="17"/>
      <c r="L902" s="17"/>
      <c r="N902" s="1"/>
      <c r="O902" s="17"/>
      <c r="P902" s="17"/>
      <c r="Q902" s="17"/>
      <c r="R902" s="17"/>
      <c r="S902" s="17"/>
      <c r="T902" s="17"/>
      <c r="U902" s="17"/>
      <c r="V902" s="17"/>
      <c r="W902" s="17"/>
      <c r="X902" s="17"/>
    </row>
    <row r="903" spans="1:24">
      <c r="A903" s="1"/>
      <c r="B903" s="1"/>
      <c r="C903" s="17"/>
      <c r="D903" s="17"/>
      <c r="E903" s="17"/>
      <c r="F903" s="17"/>
      <c r="G903" s="17"/>
      <c r="H903" s="17"/>
      <c r="I903" s="17"/>
      <c r="J903" s="17"/>
      <c r="K903" s="17"/>
      <c r="L903" s="17"/>
      <c r="N903" s="1"/>
      <c r="O903" s="17"/>
      <c r="P903" s="17"/>
      <c r="Q903" s="17"/>
      <c r="R903" s="17"/>
      <c r="S903" s="17"/>
      <c r="T903" s="17"/>
      <c r="U903" s="17"/>
      <c r="V903" s="17"/>
      <c r="W903" s="17"/>
      <c r="X903" s="17"/>
    </row>
    <row r="904" spans="1:24">
      <c r="A904" s="1"/>
      <c r="B904" s="1"/>
      <c r="C904" s="17"/>
      <c r="D904" s="17"/>
      <c r="E904" s="17"/>
      <c r="F904" s="17"/>
      <c r="G904" s="17"/>
      <c r="H904" s="17"/>
      <c r="I904" s="17"/>
      <c r="J904" s="17"/>
      <c r="K904" s="17"/>
      <c r="L904" s="17"/>
      <c r="N904" s="1"/>
      <c r="O904" s="17"/>
      <c r="P904" s="17"/>
      <c r="Q904" s="17"/>
      <c r="R904" s="17"/>
      <c r="S904" s="17"/>
      <c r="T904" s="17"/>
      <c r="U904" s="17"/>
      <c r="V904" s="17"/>
      <c r="W904" s="17"/>
      <c r="X904" s="17"/>
    </row>
    <row r="905" spans="1:24">
      <c r="A905" s="1"/>
      <c r="B905" s="1"/>
      <c r="C905" s="17"/>
      <c r="D905" s="17"/>
      <c r="E905" s="17"/>
      <c r="F905" s="17"/>
      <c r="G905" s="17"/>
      <c r="H905" s="17"/>
      <c r="I905" s="17"/>
      <c r="J905" s="17"/>
      <c r="K905" s="17"/>
      <c r="L905" s="17"/>
      <c r="N905" s="1"/>
      <c r="O905" s="17"/>
      <c r="P905" s="17"/>
      <c r="Q905" s="17"/>
      <c r="R905" s="17"/>
      <c r="S905" s="17"/>
      <c r="T905" s="17"/>
      <c r="U905" s="17"/>
      <c r="V905" s="17"/>
      <c r="W905" s="17"/>
      <c r="X905" s="17"/>
    </row>
    <row r="906" spans="1:24">
      <c r="A906" s="1"/>
      <c r="B906" s="1"/>
      <c r="C906" s="17"/>
      <c r="D906" s="17"/>
      <c r="E906" s="17"/>
      <c r="F906" s="17"/>
      <c r="G906" s="17"/>
      <c r="H906" s="17"/>
      <c r="I906" s="17"/>
      <c r="J906" s="17"/>
      <c r="K906" s="17"/>
      <c r="L906" s="17"/>
      <c r="N906" s="1"/>
      <c r="O906" s="17"/>
      <c r="P906" s="17"/>
      <c r="Q906" s="17"/>
      <c r="R906" s="17"/>
      <c r="S906" s="17"/>
      <c r="T906" s="17"/>
      <c r="U906" s="17"/>
      <c r="V906" s="17"/>
      <c r="W906" s="17"/>
      <c r="X906" s="17"/>
    </row>
    <row r="907" spans="1:24">
      <c r="A907" s="1"/>
      <c r="B907" s="1"/>
      <c r="C907" s="17"/>
      <c r="D907" s="17"/>
      <c r="E907" s="17"/>
      <c r="F907" s="17"/>
      <c r="G907" s="17"/>
      <c r="H907" s="17"/>
      <c r="I907" s="17"/>
      <c r="J907" s="17"/>
      <c r="K907" s="17"/>
      <c r="L907" s="17"/>
      <c r="N907" s="1"/>
      <c r="O907" s="17"/>
      <c r="P907" s="17"/>
      <c r="Q907" s="17"/>
      <c r="R907" s="17"/>
      <c r="S907" s="17"/>
      <c r="T907" s="17"/>
      <c r="U907" s="17"/>
      <c r="V907" s="17"/>
      <c r="W907" s="17"/>
      <c r="X907" s="17"/>
    </row>
    <row r="908" spans="1:24">
      <c r="A908" s="1"/>
      <c r="B908" s="1"/>
      <c r="C908" s="17"/>
      <c r="D908" s="17"/>
      <c r="E908" s="17"/>
      <c r="F908" s="17"/>
      <c r="G908" s="17"/>
      <c r="H908" s="17"/>
      <c r="I908" s="17"/>
      <c r="J908" s="17"/>
      <c r="K908" s="17"/>
      <c r="L908" s="17"/>
      <c r="N908" s="1"/>
      <c r="O908" s="17"/>
      <c r="P908" s="17"/>
      <c r="Q908" s="17"/>
      <c r="R908" s="17"/>
      <c r="S908" s="17"/>
      <c r="T908" s="17"/>
      <c r="U908" s="17"/>
      <c r="V908" s="17"/>
      <c r="W908" s="17"/>
      <c r="X908" s="17"/>
    </row>
    <row r="909" spans="1:24">
      <c r="A909" s="1"/>
      <c r="B909" s="1"/>
      <c r="C909" s="17"/>
      <c r="D909" s="17"/>
      <c r="E909" s="17"/>
      <c r="F909" s="17"/>
      <c r="G909" s="17"/>
      <c r="H909" s="17"/>
      <c r="I909" s="17"/>
      <c r="J909" s="17"/>
      <c r="K909" s="17"/>
      <c r="L909" s="17"/>
      <c r="N909" s="1"/>
      <c r="O909" s="17"/>
      <c r="P909" s="17"/>
      <c r="Q909" s="17"/>
      <c r="R909" s="17"/>
      <c r="S909" s="17"/>
      <c r="T909" s="17"/>
      <c r="U909" s="17"/>
      <c r="V909" s="17"/>
      <c r="W909" s="17"/>
      <c r="X909" s="17"/>
    </row>
    <row r="910" spans="1:24">
      <c r="A910" s="1"/>
      <c r="B910" s="1"/>
      <c r="C910" s="17"/>
      <c r="D910" s="17"/>
      <c r="E910" s="17"/>
      <c r="F910" s="17"/>
      <c r="G910" s="17"/>
      <c r="H910" s="17"/>
      <c r="I910" s="17"/>
      <c r="J910" s="17"/>
      <c r="K910" s="17"/>
      <c r="L910" s="17"/>
      <c r="N910" s="1"/>
      <c r="O910" s="17"/>
      <c r="P910" s="17"/>
      <c r="Q910" s="17"/>
      <c r="R910" s="17"/>
      <c r="S910" s="17"/>
      <c r="T910" s="17"/>
      <c r="U910" s="17"/>
      <c r="V910" s="17"/>
      <c r="W910" s="17"/>
      <c r="X910" s="17"/>
    </row>
    <row r="911" spans="1:24">
      <c r="A911" s="1"/>
      <c r="B911" s="1"/>
      <c r="C911" s="17"/>
      <c r="D911" s="17"/>
      <c r="E911" s="17"/>
      <c r="F911" s="17"/>
      <c r="G911" s="17"/>
      <c r="H911" s="17"/>
      <c r="I911" s="17"/>
      <c r="J911" s="17"/>
      <c r="K911" s="17"/>
      <c r="L911" s="17"/>
      <c r="N911" s="1"/>
      <c r="O911" s="17"/>
      <c r="P911" s="17"/>
      <c r="Q911" s="17"/>
      <c r="R911" s="17"/>
      <c r="S911" s="17"/>
      <c r="T911" s="17"/>
      <c r="U911" s="17"/>
      <c r="V911" s="17"/>
      <c r="W911" s="17"/>
      <c r="X911" s="17"/>
    </row>
    <row r="912" spans="1:24">
      <c r="A912" s="1"/>
      <c r="B912" s="1"/>
      <c r="C912" s="17"/>
      <c r="D912" s="17"/>
      <c r="E912" s="17"/>
      <c r="F912" s="17"/>
      <c r="G912" s="17"/>
      <c r="H912" s="17"/>
      <c r="I912" s="17"/>
      <c r="J912" s="17"/>
      <c r="K912" s="17"/>
      <c r="L912" s="17"/>
      <c r="N912" s="1"/>
      <c r="O912" s="17"/>
      <c r="P912" s="17"/>
      <c r="Q912" s="17"/>
      <c r="R912" s="17"/>
      <c r="S912" s="17"/>
      <c r="T912" s="17"/>
      <c r="U912" s="17"/>
      <c r="V912" s="17"/>
      <c r="W912" s="17"/>
      <c r="X912" s="17"/>
    </row>
    <row r="913" spans="1:24">
      <c r="A913" s="1"/>
      <c r="B913" s="1"/>
      <c r="C913" s="17"/>
      <c r="D913" s="17"/>
      <c r="E913" s="17"/>
      <c r="F913" s="17"/>
      <c r="G913" s="17"/>
      <c r="H913" s="17"/>
      <c r="I913" s="17"/>
      <c r="J913" s="17"/>
      <c r="K913" s="17"/>
      <c r="L913" s="17"/>
      <c r="N913" s="1"/>
      <c r="O913" s="17"/>
      <c r="P913" s="17"/>
      <c r="Q913" s="17"/>
      <c r="R913" s="17"/>
      <c r="S913" s="17"/>
      <c r="T913" s="17"/>
      <c r="U913" s="17"/>
      <c r="V913" s="17"/>
      <c r="W913" s="17"/>
      <c r="X913" s="17"/>
    </row>
    <row r="914" spans="1:24">
      <c r="A914" s="1"/>
      <c r="B914" s="1"/>
      <c r="C914" s="17"/>
      <c r="D914" s="17"/>
      <c r="E914" s="17"/>
      <c r="F914" s="17"/>
      <c r="G914" s="17"/>
      <c r="H914" s="17"/>
      <c r="I914" s="17"/>
      <c r="J914" s="17"/>
      <c r="K914" s="17"/>
      <c r="L914" s="17"/>
      <c r="N914" s="1"/>
      <c r="O914" s="17"/>
      <c r="P914" s="17"/>
      <c r="Q914" s="17"/>
      <c r="R914" s="17"/>
      <c r="S914" s="17"/>
      <c r="T914" s="17"/>
      <c r="U914" s="17"/>
      <c r="V914" s="17"/>
      <c r="W914" s="17"/>
      <c r="X914" s="17"/>
    </row>
    <row r="915" spans="1:24">
      <c r="A915" s="1"/>
      <c r="B915" s="1"/>
      <c r="C915" s="17"/>
      <c r="D915" s="17"/>
      <c r="E915" s="17"/>
      <c r="F915" s="17"/>
      <c r="G915" s="17"/>
      <c r="H915" s="17"/>
      <c r="I915" s="17"/>
      <c r="J915" s="17"/>
      <c r="K915" s="17"/>
      <c r="L915" s="17"/>
      <c r="N915" s="1"/>
      <c r="O915" s="17"/>
      <c r="P915" s="17"/>
      <c r="Q915" s="17"/>
      <c r="R915" s="17"/>
      <c r="S915" s="17"/>
      <c r="T915" s="17"/>
      <c r="U915" s="17"/>
      <c r="V915" s="17"/>
      <c r="W915" s="17"/>
      <c r="X915" s="17"/>
    </row>
    <row r="916" spans="1:24">
      <c r="A916" s="1"/>
      <c r="B916" s="1"/>
      <c r="C916" s="17"/>
      <c r="D916" s="17"/>
      <c r="E916" s="17"/>
      <c r="F916" s="17"/>
      <c r="G916" s="17"/>
      <c r="H916" s="17"/>
      <c r="I916" s="17"/>
      <c r="J916" s="17"/>
      <c r="K916" s="17"/>
      <c r="L916" s="17"/>
      <c r="N916" s="1"/>
      <c r="O916" s="17"/>
      <c r="P916" s="17"/>
      <c r="Q916" s="17"/>
      <c r="R916" s="17"/>
      <c r="S916" s="17"/>
      <c r="T916" s="17"/>
      <c r="U916" s="17"/>
      <c r="V916" s="17"/>
      <c r="W916" s="17"/>
      <c r="X916" s="17"/>
    </row>
    <row r="917" spans="1:24">
      <c r="A917" s="1"/>
      <c r="B917" s="1"/>
      <c r="C917" s="17"/>
      <c r="D917" s="17"/>
      <c r="E917" s="17"/>
      <c r="F917" s="17"/>
      <c r="G917" s="17"/>
      <c r="H917" s="17"/>
      <c r="I917" s="17"/>
      <c r="J917" s="17"/>
      <c r="K917" s="17"/>
      <c r="L917" s="17"/>
      <c r="N917" s="1"/>
      <c r="O917" s="17"/>
      <c r="P917" s="17"/>
      <c r="Q917" s="17"/>
      <c r="R917" s="17"/>
      <c r="S917" s="17"/>
      <c r="T917" s="17"/>
      <c r="U917" s="17"/>
      <c r="V917" s="17"/>
      <c r="W917" s="17"/>
      <c r="X917" s="17"/>
    </row>
    <row r="918" spans="1:24">
      <c r="A918" s="1"/>
      <c r="B918" s="1"/>
      <c r="C918" s="17"/>
      <c r="D918" s="17"/>
      <c r="E918" s="17"/>
      <c r="F918" s="17"/>
      <c r="G918" s="17"/>
      <c r="H918" s="17"/>
      <c r="I918" s="17"/>
      <c r="J918" s="17"/>
      <c r="K918" s="17"/>
      <c r="L918" s="17"/>
      <c r="N918" s="1"/>
      <c r="O918" s="17"/>
      <c r="P918" s="17"/>
      <c r="Q918" s="17"/>
      <c r="R918" s="17"/>
      <c r="S918" s="17"/>
      <c r="T918" s="17"/>
      <c r="U918" s="17"/>
      <c r="V918" s="17"/>
      <c r="W918" s="17"/>
      <c r="X918" s="17"/>
    </row>
    <row r="919" spans="1:24">
      <c r="A919" s="1"/>
      <c r="B919" s="1"/>
      <c r="C919" s="17"/>
      <c r="D919" s="17"/>
      <c r="E919" s="17"/>
      <c r="F919" s="17"/>
      <c r="G919" s="17"/>
      <c r="H919" s="17"/>
      <c r="I919" s="17"/>
      <c r="J919" s="17"/>
      <c r="K919" s="17"/>
      <c r="L919" s="17"/>
      <c r="N919" s="1"/>
      <c r="O919" s="17"/>
      <c r="P919" s="17"/>
      <c r="Q919" s="17"/>
      <c r="R919" s="17"/>
      <c r="S919" s="17"/>
      <c r="T919" s="17"/>
      <c r="U919" s="17"/>
      <c r="V919" s="17"/>
      <c r="W919" s="17"/>
      <c r="X919" s="17"/>
    </row>
    <row r="920" spans="1:24">
      <c r="A920" s="1"/>
      <c r="B920" s="1"/>
      <c r="C920" s="17"/>
      <c r="D920" s="17"/>
      <c r="E920" s="17"/>
      <c r="F920" s="17"/>
      <c r="G920" s="17"/>
      <c r="H920" s="17"/>
      <c r="I920" s="17"/>
      <c r="J920" s="17"/>
      <c r="K920" s="17"/>
      <c r="L920" s="17"/>
      <c r="N920" s="1"/>
      <c r="O920" s="17"/>
      <c r="P920" s="17"/>
      <c r="Q920" s="17"/>
      <c r="R920" s="17"/>
      <c r="S920" s="17"/>
      <c r="T920" s="17"/>
      <c r="U920" s="17"/>
      <c r="V920" s="17"/>
      <c r="W920" s="17"/>
      <c r="X920" s="17"/>
    </row>
    <row r="921" spans="1:24">
      <c r="A921" s="1"/>
      <c r="B921" s="1"/>
      <c r="C921" s="17"/>
      <c r="D921" s="17"/>
      <c r="E921" s="17"/>
      <c r="F921" s="17"/>
      <c r="G921" s="17"/>
      <c r="H921" s="17"/>
      <c r="I921" s="17"/>
      <c r="J921" s="17"/>
      <c r="K921" s="17"/>
      <c r="L921" s="17"/>
      <c r="N921" s="1"/>
      <c r="O921" s="17"/>
      <c r="P921" s="17"/>
      <c r="Q921" s="17"/>
      <c r="R921" s="17"/>
      <c r="S921" s="17"/>
      <c r="T921" s="17"/>
      <c r="U921" s="17"/>
      <c r="V921" s="17"/>
      <c r="W921" s="17"/>
      <c r="X921" s="17"/>
    </row>
    <row r="922" spans="1:24">
      <c r="A922" s="1"/>
      <c r="B922" s="1"/>
      <c r="C922" s="17"/>
      <c r="D922" s="17"/>
      <c r="E922" s="17"/>
      <c r="F922" s="17"/>
      <c r="G922" s="17"/>
      <c r="H922" s="17"/>
      <c r="I922" s="17"/>
      <c r="J922" s="17"/>
      <c r="K922" s="17"/>
      <c r="L922" s="17"/>
      <c r="N922" s="1"/>
      <c r="O922" s="17"/>
      <c r="P922" s="17"/>
      <c r="Q922" s="17"/>
      <c r="R922" s="17"/>
      <c r="S922" s="17"/>
      <c r="T922" s="17"/>
      <c r="U922" s="17"/>
      <c r="V922" s="17"/>
      <c r="W922" s="17"/>
      <c r="X922" s="17"/>
    </row>
    <row r="923" spans="1:24">
      <c r="A923" s="1"/>
      <c r="B923" s="1"/>
      <c r="C923" s="17"/>
      <c r="D923" s="17"/>
      <c r="E923" s="17"/>
      <c r="F923" s="17"/>
      <c r="G923" s="17"/>
      <c r="H923" s="17"/>
      <c r="I923" s="17"/>
      <c r="J923" s="17"/>
      <c r="K923" s="17"/>
      <c r="L923" s="17"/>
      <c r="N923" s="1"/>
      <c r="O923" s="17"/>
      <c r="P923" s="17"/>
      <c r="Q923" s="17"/>
      <c r="R923" s="17"/>
      <c r="S923" s="17"/>
      <c r="T923" s="17"/>
      <c r="U923" s="17"/>
      <c r="V923" s="17"/>
      <c r="W923" s="17"/>
      <c r="X923" s="17"/>
    </row>
    <row r="924" spans="1:24">
      <c r="A924" s="1"/>
      <c r="B924" s="1"/>
      <c r="C924" s="17"/>
      <c r="D924" s="17"/>
      <c r="E924" s="17"/>
      <c r="F924" s="17"/>
      <c r="G924" s="17"/>
      <c r="H924" s="17"/>
      <c r="I924" s="17"/>
      <c r="J924" s="17"/>
      <c r="K924" s="17"/>
      <c r="L924" s="17"/>
      <c r="N924" s="1"/>
      <c r="O924" s="17"/>
      <c r="P924" s="17"/>
      <c r="Q924" s="17"/>
      <c r="R924" s="17"/>
      <c r="S924" s="17"/>
      <c r="T924" s="17"/>
      <c r="U924" s="17"/>
      <c r="V924" s="17"/>
      <c r="W924" s="17"/>
      <c r="X924" s="17"/>
    </row>
    <row r="925" spans="1:24">
      <c r="A925" s="1"/>
      <c r="B925" s="1"/>
      <c r="C925" s="17"/>
      <c r="D925" s="17"/>
      <c r="E925" s="17"/>
      <c r="F925" s="17"/>
      <c r="G925" s="17"/>
      <c r="H925" s="17"/>
      <c r="I925" s="17"/>
      <c r="J925" s="17"/>
      <c r="K925" s="17"/>
      <c r="L925" s="17"/>
      <c r="N925" s="1"/>
      <c r="O925" s="17"/>
      <c r="P925" s="17"/>
      <c r="Q925" s="17"/>
      <c r="R925" s="17"/>
      <c r="S925" s="17"/>
      <c r="T925" s="17"/>
      <c r="U925" s="17"/>
      <c r="V925" s="17"/>
      <c r="W925" s="17"/>
      <c r="X925" s="17"/>
    </row>
    <row r="926" spans="1:24">
      <c r="A926" s="1"/>
      <c r="B926" s="1"/>
      <c r="C926" s="17"/>
      <c r="D926" s="17"/>
      <c r="E926" s="17"/>
      <c r="F926" s="17"/>
      <c r="G926" s="17"/>
      <c r="H926" s="17"/>
      <c r="I926" s="17"/>
      <c r="J926" s="17"/>
      <c r="K926" s="17"/>
      <c r="L926" s="17"/>
      <c r="N926" s="1"/>
      <c r="O926" s="17"/>
      <c r="P926" s="17"/>
      <c r="Q926" s="17"/>
      <c r="R926" s="17"/>
      <c r="S926" s="17"/>
      <c r="T926" s="17"/>
      <c r="U926" s="17"/>
      <c r="V926" s="17"/>
      <c r="W926" s="17"/>
      <c r="X926" s="17"/>
    </row>
    <row r="927" spans="1:24">
      <c r="A927" s="1"/>
      <c r="B927" s="1"/>
      <c r="C927" s="17"/>
      <c r="D927" s="17"/>
      <c r="E927" s="17"/>
      <c r="F927" s="17"/>
      <c r="G927" s="17"/>
      <c r="H927" s="17"/>
      <c r="I927" s="17"/>
      <c r="J927" s="17"/>
      <c r="K927" s="17"/>
      <c r="L927" s="17"/>
      <c r="N927" s="1"/>
      <c r="O927" s="17"/>
      <c r="P927" s="17"/>
      <c r="Q927" s="17"/>
      <c r="R927" s="17"/>
      <c r="S927" s="17"/>
      <c r="T927" s="17"/>
      <c r="U927" s="17"/>
      <c r="V927" s="17"/>
      <c r="W927" s="17"/>
      <c r="X927" s="17"/>
    </row>
    <row r="928" spans="1:24">
      <c r="A928" s="1"/>
      <c r="B928" s="1"/>
      <c r="C928" s="17"/>
      <c r="D928" s="17"/>
      <c r="E928" s="17"/>
      <c r="F928" s="17"/>
      <c r="G928" s="17"/>
      <c r="H928" s="17"/>
      <c r="I928" s="17"/>
      <c r="J928" s="17"/>
      <c r="K928" s="17"/>
      <c r="L928" s="17"/>
      <c r="N928" s="1"/>
      <c r="O928" s="17"/>
      <c r="P928" s="17"/>
      <c r="Q928" s="17"/>
      <c r="R928" s="17"/>
      <c r="S928" s="17"/>
      <c r="T928" s="17"/>
      <c r="U928" s="17"/>
      <c r="V928" s="17"/>
      <c r="W928" s="17"/>
      <c r="X928" s="17"/>
    </row>
    <row r="929" spans="1:24">
      <c r="A929" s="1"/>
      <c r="B929" s="1"/>
      <c r="C929" s="17"/>
      <c r="D929" s="17"/>
      <c r="E929" s="17"/>
      <c r="F929" s="17"/>
      <c r="G929" s="17"/>
      <c r="H929" s="17"/>
      <c r="I929" s="17"/>
      <c r="J929" s="17"/>
      <c r="K929" s="17"/>
      <c r="L929" s="17"/>
      <c r="N929" s="1"/>
      <c r="O929" s="17"/>
      <c r="P929" s="17"/>
      <c r="Q929" s="17"/>
      <c r="R929" s="17"/>
      <c r="S929" s="17"/>
      <c r="T929" s="17"/>
      <c r="U929" s="17"/>
      <c r="V929" s="17"/>
      <c r="W929" s="17"/>
      <c r="X929" s="17"/>
    </row>
    <row r="930" spans="1:24">
      <c r="A930" s="1"/>
      <c r="B930" s="1"/>
      <c r="C930" s="17"/>
      <c r="D930" s="17"/>
      <c r="E930" s="17"/>
      <c r="F930" s="17"/>
      <c r="G930" s="17"/>
      <c r="H930" s="17"/>
      <c r="I930" s="17"/>
      <c r="J930" s="17"/>
      <c r="K930" s="17"/>
      <c r="L930" s="17"/>
      <c r="N930" s="1"/>
      <c r="O930" s="17"/>
      <c r="P930" s="17"/>
      <c r="Q930" s="17"/>
      <c r="R930" s="17"/>
      <c r="S930" s="17"/>
      <c r="T930" s="17"/>
      <c r="U930" s="17"/>
      <c r="V930" s="17"/>
      <c r="W930" s="17"/>
      <c r="X930" s="17"/>
    </row>
    <row r="931" spans="1:24">
      <c r="A931" s="1"/>
      <c r="B931" s="1"/>
      <c r="C931" s="17"/>
      <c r="D931" s="17"/>
      <c r="E931" s="17"/>
      <c r="F931" s="17"/>
      <c r="G931" s="17"/>
      <c r="H931" s="17"/>
      <c r="I931" s="17"/>
      <c r="J931" s="17"/>
      <c r="K931" s="17"/>
      <c r="L931" s="17"/>
      <c r="N931" s="1"/>
      <c r="O931" s="17"/>
      <c r="P931" s="17"/>
      <c r="Q931" s="17"/>
      <c r="R931" s="17"/>
      <c r="S931" s="17"/>
      <c r="T931" s="17"/>
      <c r="U931" s="17"/>
      <c r="V931" s="17"/>
      <c r="W931" s="17"/>
      <c r="X931" s="17"/>
    </row>
    <row r="932" spans="1:24">
      <c r="A932" s="1"/>
      <c r="B932" s="1"/>
      <c r="C932" s="17"/>
      <c r="D932" s="17"/>
      <c r="E932" s="17"/>
      <c r="F932" s="17"/>
      <c r="G932" s="17"/>
      <c r="H932" s="17"/>
      <c r="I932" s="17"/>
      <c r="J932" s="17"/>
      <c r="K932" s="17"/>
      <c r="L932" s="17"/>
      <c r="N932" s="1"/>
      <c r="O932" s="17"/>
      <c r="P932" s="17"/>
      <c r="Q932" s="17"/>
      <c r="R932" s="17"/>
      <c r="S932" s="17"/>
      <c r="T932" s="17"/>
      <c r="U932" s="17"/>
      <c r="V932" s="17"/>
      <c r="W932" s="17"/>
      <c r="X932" s="17"/>
    </row>
    <row r="933" spans="1:24">
      <c r="A933" s="1"/>
      <c r="B933" s="1"/>
      <c r="C933" s="17"/>
      <c r="D933" s="17"/>
      <c r="E933" s="17"/>
      <c r="F933" s="17"/>
      <c r="G933" s="17"/>
      <c r="H933" s="17"/>
      <c r="I933" s="17"/>
      <c r="J933" s="17"/>
      <c r="K933" s="17"/>
      <c r="L933" s="17"/>
      <c r="N933" s="1"/>
      <c r="O933" s="17"/>
      <c r="P933" s="17"/>
      <c r="Q933" s="17"/>
      <c r="R933" s="17"/>
      <c r="S933" s="17"/>
      <c r="T933" s="17"/>
      <c r="U933" s="17"/>
      <c r="V933" s="17"/>
      <c r="W933" s="17"/>
      <c r="X933" s="17"/>
    </row>
    <row r="934" spans="1:24">
      <c r="A934" s="1"/>
      <c r="B934" s="1"/>
      <c r="C934" s="17"/>
      <c r="D934" s="17"/>
      <c r="E934" s="17"/>
      <c r="F934" s="17"/>
      <c r="G934" s="17"/>
      <c r="H934" s="17"/>
      <c r="I934" s="17"/>
      <c r="J934" s="17"/>
      <c r="K934" s="17"/>
      <c r="L934" s="17"/>
      <c r="N934" s="1"/>
      <c r="O934" s="17"/>
      <c r="P934" s="17"/>
      <c r="Q934" s="17"/>
      <c r="R934" s="17"/>
      <c r="S934" s="17"/>
      <c r="T934" s="17"/>
      <c r="U934" s="17"/>
      <c r="V934" s="17"/>
      <c r="W934" s="17"/>
      <c r="X934" s="17"/>
    </row>
    <row r="935" spans="1:24">
      <c r="A935" s="1"/>
      <c r="B935" s="1"/>
      <c r="C935" s="17"/>
      <c r="D935" s="17"/>
      <c r="E935" s="17"/>
      <c r="F935" s="17"/>
      <c r="G935" s="17"/>
      <c r="H935" s="17"/>
      <c r="I935" s="17"/>
      <c r="J935" s="17"/>
      <c r="K935" s="17"/>
      <c r="L935" s="17"/>
      <c r="N935" s="1"/>
      <c r="O935" s="17"/>
      <c r="P935" s="17"/>
      <c r="Q935" s="17"/>
      <c r="R935" s="17"/>
      <c r="S935" s="17"/>
      <c r="T935" s="17"/>
      <c r="U935" s="17"/>
      <c r="V935" s="17"/>
      <c r="W935" s="17"/>
      <c r="X935" s="17"/>
    </row>
    <row r="936" spans="1:24">
      <c r="A936" s="1"/>
      <c r="B936" s="1"/>
      <c r="C936" s="17"/>
      <c r="D936" s="17"/>
      <c r="E936" s="17"/>
      <c r="F936" s="17"/>
      <c r="G936" s="17"/>
      <c r="H936" s="17"/>
      <c r="I936" s="17"/>
      <c r="J936" s="17"/>
      <c r="K936" s="17"/>
      <c r="L936" s="17"/>
      <c r="N936" s="1"/>
      <c r="O936" s="17"/>
      <c r="P936" s="17"/>
      <c r="Q936" s="17"/>
      <c r="R936" s="17"/>
      <c r="S936" s="17"/>
      <c r="T936" s="17"/>
      <c r="U936" s="17"/>
      <c r="V936" s="17"/>
      <c r="W936" s="17"/>
      <c r="X936" s="17"/>
    </row>
    <row r="937" spans="1:24">
      <c r="A937" s="1"/>
      <c r="B937" s="1"/>
      <c r="C937" s="17"/>
      <c r="D937" s="17"/>
      <c r="E937" s="17"/>
      <c r="F937" s="17"/>
      <c r="G937" s="17"/>
      <c r="H937" s="17"/>
      <c r="I937" s="17"/>
      <c r="J937" s="17"/>
      <c r="K937" s="17"/>
      <c r="L937" s="17"/>
      <c r="N937" s="1"/>
      <c r="O937" s="17"/>
      <c r="P937" s="17"/>
      <c r="Q937" s="17"/>
      <c r="R937" s="17"/>
      <c r="S937" s="17"/>
      <c r="T937" s="17"/>
      <c r="U937" s="17"/>
      <c r="V937" s="17"/>
      <c r="W937" s="17"/>
      <c r="X937" s="17"/>
    </row>
    <row r="938" spans="1:24">
      <c r="A938" s="1"/>
      <c r="B938" s="1"/>
      <c r="C938" s="17"/>
      <c r="D938" s="17"/>
      <c r="E938" s="17"/>
      <c r="F938" s="17"/>
      <c r="G938" s="17"/>
      <c r="H938" s="17"/>
      <c r="I938" s="17"/>
      <c r="J938" s="17"/>
      <c r="K938" s="17"/>
      <c r="L938" s="17"/>
      <c r="N938" s="1"/>
      <c r="O938" s="17"/>
      <c r="P938" s="17"/>
      <c r="Q938" s="17"/>
      <c r="R938" s="17"/>
      <c r="S938" s="17"/>
      <c r="T938" s="17"/>
      <c r="U938" s="17"/>
      <c r="V938" s="17"/>
      <c r="W938" s="17"/>
      <c r="X938" s="17"/>
    </row>
    <row r="939" spans="1:24">
      <c r="A939" s="1"/>
      <c r="B939" s="1"/>
      <c r="C939" s="17"/>
      <c r="D939" s="17"/>
      <c r="E939" s="17"/>
      <c r="F939" s="17"/>
      <c r="G939" s="17"/>
      <c r="H939" s="17"/>
      <c r="I939" s="17"/>
      <c r="J939" s="17"/>
      <c r="K939" s="17"/>
      <c r="L939" s="17"/>
      <c r="N939" s="1"/>
      <c r="O939" s="17"/>
      <c r="P939" s="17"/>
      <c r="Q939" s="17"/>
      <c r="R939" s="17"/>
      <c r="S939" s="17"/>
      <c r="T939" s="17"/>
      <c r="U939" s="17"/>
      <c r="V939" s="17"/>
      <c r="W939" s="17"/>
      <c r="X939" s="17"/>
    </row>
    <row r="940" spans="1:24">
      <c r="A940" s="1"/>
      <c r="B940" s="1"/>
      <c r="C940" s="17"/>
      <c r="D940" s="17"/>
      <c r="E940" s="17"/>
      <c r="F940" s="17"/>
      <c r="G940" s="17"/>
      <c r="H940" s="17"/>
      <c r="I940" s="17"/>
      <c r="J940" s="17"/>
      <c r="K940" s="17"/>
      <c r="L940" s="17"/>
      <c r="N940" s="1"/>
      <c r="O940" s="17"/>
      <c r="P940" s="17"/>
      <c r="Q940" s="17"/>
      <c r="R940" s="17"/>
      <c r="S940" s="17"/>
      <c r="T940" s="17"/>
      <c r="U940" s="17"/>
      <c r="V940" s="17"/>
      <c r="W940" s="17"/>
      <c r="X940" s="17"/>
    </row>
    <row r="941" spans="1:24">
      <c r="A941" s="1"/>
      <c r="B941" s="1"/>
      <c r="C941" s="17"/>
      <c r="D941" s="17"/>
      <c r="E941" s="17"/>
      <c r="F941" s="17"/>
      <c r="G941" s="17"/>
      <c r="H941" s="17"/>
      <c r="I941" s="17"/>
      <c r="J941" s="17"/>
      <c r="K941" s="17"/>
      <c r="L941" s="17"/>
      <c r="N941" s="1"/>
      <c r="O941" s="17"/>
      <c r="P941" s="17"/>
      <c r="Q941" s="17"/>
      <c r="R941" s="17"/>
      <c r="S941" s="17"/>
      <c r="T941" s="17"/>
      <c r="U941" s="17"/>
      <c r="V941" s="17"/>
      <c r="W941" s="17"/>
      <c r="X941" s="17"/>
    </row>
    <row r="942" spans="1:24">
      <c r="A942" s="1"/>
      <c r="B942" s="1"/>
      <c r="C942" s="17"/>
      <c r="D942" s="17"/>
      <c r="E942" s="17"/>
      <c r="F942" s="17"/>
      <c r="G942" s="17"/>
      <c r="H942" s="17"/>
      <c r="I942" s="17"/>
      <c r="J942" s="17"/>
      <c r="K942" s="17"/>
      <c r="L942" s="17"/>
      <c r="N942" s="1"/>
      <c r="O942" s="17"/>
      <c r="P942" s="17"/>
      <c r="Q942" s="17"/>
      <c r="R942" s="17"/>
      <c r="S942" s="17"/>
      <c r="T942" s="17"/>
      <c r="U942" s="17"/>
      <c r="V942" s="17"/>
      <c r="W942" s="17"/>
      <c r="X942" s="17"/>
    </row>
    <row r="943" spans="1:24">
      <c r="A943" s="1"/>
      <c r="B943" s="1"/>
      <c r="C943" s="17"/>
      <c r="D943" s="17"/>
      <c r="E943" s="17"/>
      <c r="F943" s="17"/>
      <c r="G943" s="17"/>
      <c r="H943" s="17"/>
      <c r="I943" s="17"/>
      <c r="J943" s="17"/>
      <c r="K943" s="17"/>
      <c r="L943" s="17"/>
      <c r="N943" s="1"/>
      <c r="O943" s="17"/>
      <c r="P943" s="17"/>
      <c r="Q943" s="17"/>
      <c r="R943" s="17"/>
      <c r="S943" s="17"/>
      <c r="T943" s="17"/>
      <c r="U943" s="17"/>
      <c r="V943" s="17"/>
      <c r="W943" s="17"/>
      <c r="X943" s="17"/>
    </row>
    <row r="944" spans="1:24">
      <c r="A944" s="1"/>
      <c r="B944" s="1"/>
      <c r="C944" s="17"/>
      <c r="D944" s="17"/>
      <c r="E944" s="17"/>
      <c r="F944" s="17"/>
      <c r="G944" s="17"/>
      <c r="H944" s="17"/>
      <c r="I944" s="17"/>
      <c r="J944" s="17"/>
      <c r="K944" s="17"/>
      <c r="L944" s="17"/>
      <c r="N944" s="1"/>
      <c r="O944" s="17"/>
      <c r="P944" s="17"/>
      <c r="Q944" s="17"/>
      <c r="R944" s="17"/>
      <c r="S944" s="17"/>
      <c r="T944" s="17"/>
      <c r="U944" s="17"/>
      <c r="V944" s="17"/>
      <c r="W944" s="17"/>
      <c r="X944" s="17"/>
    </row>
    <row r="945" spans="1:24">
      <c r="A945" s="1"/>
      <c r="B945" s="1"/>
      <c r="C945" s="17"/>
      <c r="D945" s="17"/>
      <c r="E945" s="17"/>
      <c r="F945" s="17"/>
      <c r="G945" s="17"/>
      <c r="H945" s="17"/>
      <c r="I945" s="17"/>
      <c r="J945" s="17"/>
      <c r="K945" s="17"/>
      <c r="L945" s="17"/>
      <c r="N945" s="1"/>
      <c r="O945" s="17"/>
      <c r="P945" s="17"/>
      <c r="Q945" s="17"/>
      <c r="R945" s="17"/>
      <c r="S945" s="17"/>
      <c r="T945" s="17"/>
      <c r="U945" s="17"/>
      <c r="V945" s="17"/>
      <c r="W945" s="17"/>
      <c r="X945" s="17"/>
    </row>
    <row r="946" spans="1:24">
      <c r="A946" s="1"/>
      <c r="B946" s="1"/>
      <c r="C946" s="17"/>
      <c r="D946" s="17"/>
      <c r="E946" s="17"/>
      <c r="F946" s="17"/>
      <c r="G946" s="17"/>
      <c r="H946" s="17"/>
      <c r="I946" s="17"/>
      <c r="J946" s="17"/>
      <c r="K946" s="17"/>
      <c r="L946" s="17"/>
      <c r="N946" s="1"/>
      <c r="O946" s="17"/>
      <c r="P946" s="17"/>
      <c r="Q946" s="17"/>
      <c r="R946" s="17"/>
      <c r="S946" s="17"/>
      <c r="T946" s="17"/>
      <c r="U946" s="17"/>
      <c r="V946" s="17"/>
      <c r="W946" s="17"/>
      <c r="X946" s="17"/>
    </row>
    <row r="947" spans="1:24">
      <c r="A947" s="1"/>
      <c r="B947" s="1"/>
      <c r="C947" s="17"/>
      <c r="D947" s="17"/>
      <c r="E947" s="17"/>
      <c r="F947" s="17"/>
      <c r="G947" s="17"/>
      <c r="H947" s="17"/>
      <c r="I947" s="17"/>
      <c r="J947" s="17"/>
      <c r="K947" s="17"/>
      <c r="L947" s="17"/>
      <c r="N947" s="1"/>
      <c r="O947" s="17"/>
      <c r="P947" s="17"/>
      <c r="Q947" s="17"/>
      <c r="R947" s="17"/>
      <c r="S947" s="17"/>
      <c r="T947" s="17"/>
      <c r="U947" s="17"/>
      <c r="V947" s="17"/>
      <c r="W947" s="17"/>
      <c r="X947" s="17"/>
    </row>
    <row r="948" spans="1:24">
      <c r="A948" s="1"/>
      <c r="B948" s="1"/>
      <c r="C948" s="17"/>
      <c r="D948" s="17"/>
      <c r="E948" s="17"/>
      <c r="F948" s="17"/>
      <c r="G948" s="17"/>
      <c r="H948" s="17"/>
      <c r="I948" s="17"/>
      <c r="J948" s="17"/>
      <c r="K948" s="17"/>
      <c r="L948" s="17"/>
      <c r="N948" s="1"/>
      <c r="O948" s="17"/>
      <c r="P948" s="17"/>
      <c r="Q948" s="17"/>
      <c r="R948" s="17"/>
      <c r="S948" s="17"/>
      <c r="T948" s="17"/>
      <c r="U948" s="17"/>
      <c r="V948" s="17"/>
      <c r="W948" s="17"/>
      <c r="X948" s="17"/>
    </row>
    <row r="949" spans="1:24">
      <c r="A949" s="1"/>
      <c r="B949" s="1"/>
      <c r="C949" s="17"/>
      <c r="D949" s="17"/>
      <c r="E949" s="17"/>
      <c r="F949" s="17"/>
      <c r="G949" s="17"/>
      <c r="H949" s="17"/>
      <c r="I949" s="17"/>
      <c r="J949" s="17"/>
      <c r="K949" s="17"/>
      <c r="L949" s="17"/>
      <c r="N949" s="1"/>
      <c r="O949" s="17"/>
      <c r="P949" s="17"/>
      <c r="Q949" s="17"/>
      <c r="R949" s="17"/>
      <c r="S949" s="17"/>
      <c r="T949" s="17"/>
      <c r="U949" s="17"/>
      <c r="V949" s="17"/>
      <c r="W949" s="17"/>
      <c r="X949" s="17"/>
    </row>
    <row r="950" spans="1:24">
      <c r="A950" s="1"/>
      <c r="B950" s="1"/>
      <c r="C950" s="17"/>
      <c r="D950" s="17"/>
      <c r="E950" s="17"/>
      <c r="F950" s="17"/>
      <c r="G950" s="17"/>
      <c r="H950" s="17"/>
      <c r="I950" s="17"/>
      <c r="J950" s="17"/>
      <c r="K950" s="17"/>
      <c r="L950" s="17"/>
      <c r="N950" s="1"/>
      <c r="O950" s="17"/>
      <c r="P950" s="17"/>
      <c r="Q950" s="17"/>
      <c r="R950" s="17"/>
      <c r="S950" s="17"/>
      <c r="T950" s="17"/>
      <c r="U950" s="17"/>
      <c r="V950" s="17"/>
      <c r="W950" s="17"/>
      <c r="X950" s="17"/>
    </row>
    <row r="951" spans="1:24">
      <c r="A951" s="1"/>
      <c r="B951" s="1"/>
      <c r="C951" s="17"/>
      <c r="D951" s="17"/>
      <c r="E951" s="17"/>
      <c r="F951" s="17"/>
      <c r="G951" s="17"/>
      <c r="H951" s="17"/>
      <c r="I951" s="17"/>
      <c r="J951" s="17"/>
      <c r="K951" s="17"/>
      <c r="L951" s="17"/>
      <c r="N951" s="1"/>
      <c r="O951" s="17"/>
      <c r="P951" s="17"/>
      <c r="Q951" s="17"/>
      <c r="R951" s="17"/>
      <c r="S951" s="17"/>
      <c r="T951" s="17"/>
      <c r="U951" s="17"/>
      <c r="V951" s="17"/>
      <c r="W951" s="17"/>
      <c r="X951" s="17"/>
    </row>
    <row r="952" spans="1:24">
      <c r="A952" s="1"/>
      <c r="B952" s="1"/>
      <c r="C952" s="17"/>
      <c r="D952" s="17"/>
      <c r="E952" s="17"/>
      <c r="F952" s="17"/>
      <c r="G952" s="17"/>
      <c r="H952" s="17"/>
      <c r="I952" s="17"/>
      <c r="J952" s="17"/>
      <c r="K952" s="17"/>
      <c r="L952" s="17"/>
      <c r="N952" s="1"/>
      <c r="O952" s="17"/>
      <c r="P952" s="17"/>
      <c r="Q952" s="17"/>
      <c r="R952" s="17"/>
      <c r="S952" s="17"/>
      <c r="T952" s="17"/>
      <c r="U952" s="17"/>
      <c r="V952" s="17"/>
      <c r="W952" s="17"/>
      <c r="X952" s="17"/>
    </row>
    <row r="953" spans="1:24">
      <c r="A953" s="1"/>
      <c r="B953" s="1"/>
      <c r="C953" s="17"/>
      <c r="D953" s="17"/>
      <c r="E953" s="17"/>
      <c r="F953" s="17"/>
      <c r="G953" s="17"/>
      <c r="H953" s="17"/>
      <c r="I953" s="17"/>
      <c r="J953" s="17"/>
      <c r="K953" s="17"/>
      <c r="L953" s="17"/>
      <c r="N953" s="1"/>
      <c r="O953" s="17"/>
      <c r="P953" s="17"/>
      <c r="Q953" s="17"/>
      <c r="R953" s="17"/>
      <c r="S953" s="17"/>
      <c r="T953" s="17"/>
      <c r="U953" s="17"/>
      <c r="V953" s="17"/>
      <c r="W953" s="17"/>
      <c r="X953" s="17"/>
    </row>
    <row r="954" spans="1:24">
      <c r="A954" s="1"/>
      <c r="B954" s="1"/>
      <c r="C954" s="17"/>
      <c r="D954" s="17"/>
      <c r="E954" s="17"/>
      <c r="F954" s="17"/>
      <c r="G954" s="17"/>
      <c r="H954" s="17"/>
      <c r="I954" s="17"/>
      <c r="J954" s="17"/>
      <c r="K954" s="17"/>
      <c r="L954" s="17"/>
      <c r="N954" s="1"/>
      <c r="O954" s="17"/>
      <c r="P954" s="17"/>
      <c r="Q954" s="17"/>
      <c r="R954" s="17"/>
      <c r="S954" s="17"/>
      <c r="T954" s="17"/>
      <c r="U954" s="17"/>
      <c r="V954" s="17"/>
      <c r="W954" s="17"/>
      <c r="X954" s="17"/>
    </row>
    <row r="955" spans="1:24">
      <c r="A955" s="1"/>
      <c r="B955" s="1"/>
      <c r="C955" s="17"/>
      <c r="D955" s="17"/>
      <c r="E955" s="17"/>
      <c r="F955" s="17"/>
      <c r="G955" s="17"/>
      <c r="H955" s="17"/>
      <c r="I955" s="17"/>
      <c r="J955" s="17"/>
      <c r="K955" s="17"/>
      <c r="L955" s="17"/>
      <c r="N955" s="1"/>
      <c r="O955" s="17"/>
      <c r="P955" s="17"/>
      <c r="Q955" s="17"/>
      <c r="R955" s="17"/>
      <c r="S955" s="17"/>
      <c r="T955" s="17"/>
      <c r="U955" s="17"/>
      <c r="V955" s="17"/>
      <c r="W955" s="17"/>
      <c r="X955" s="17"/>
    </row>
    <row r="956" spans="1:24">
      <c r="A956" s="1"/>
      <c r="B956" s="1"/>
      <c r="C956" s="17"/>
      <c r="D956" s="17"/>
      <c r="E956" s="17"/>
      <c r="F956" s="17"/>
      <c r="G956" s="17"/>
      <c r="H956" s="17"/>
      <c r="I956" s="17"/>
      <c r="J956" s="17"/>
      <c r="K956" s="17"/>
      <c r="L956" s="17"/>
      <c r="N956" s="1"/>
      <c r="O956" s="17"/>
      <c r="P956" s="17"/>
      <c r="Q956" s="17"/>
      <c r="R956" s="17"/>
      <c r="S956" s="17"/>
      <c r="T956" s="17"/>
      <c r="U956" s="17"/>
      <c r="V956" s="17"/>
      <c r="W956" s="17"/>
      <c r="X956" s="17"/>
    </row>
    <row r="957" spans="1:24">
      <c r="A957" s="1"/>
      <c r="B957" s="1"/>
      <c r="C957" s="17"/>
      <c r="D957" s="17"/>
      <c r="E957" s="17"/>
      <c r="F957" s="17"/>
      <c r="G957" s="17"/>
      <c r="H957" s="17"/>
      <c r="I957" s="17"/>
      <c r="J957" s="17"/>
      <c r="K957" s="17"/>
      <c r="L957" s="17"/>
      <c r="N957" s="1"/>
      <c r="O957" s="17"/>
      <c r="P957" s="17"/>
      <c r="Q957" s="17"/>
      <c r="R957" s="17"/>
      <c r="S957" s="17"/>
      <c r="T957" s="17"/>
      <c r="U957" s="17"/>
      <c r="V957" s="17"/>
      <c r="W957" s="17"/>
      <c r="X957" s="17"/>
    </row>
    <row r="958" spans="1:24">
      <c r="A958" s="1"/>
      <c r="B958" s="1"/>
      <c r="C958" s="17"/>
      <c r="D958" s="17"/>
      <c r="E958" s="17"/>
      <c r="F958" s="17"/>
      <c r="G958" s="17"/>
      <c r="H958" s="17"/>
      <c r="I958" s="17"/>
      <c r="J958" s="17"/>
      <c r="K958" s="17"/>
      <c r="L958" s="17"/>
      <c r="N958" s="1"/>
      <c r="O958" s="17"/>
      <c r="P958" s="17"/>
      <c r="Q958" s="17"/>
      <c r="R958" s="17"/>
      <c r="S958" s="17"/>
      <c r="T958" s="17"/>
      <c r="U958" s="17"/>
      <c r="V958" s="17"/>
      <c r="W958" s="17"/>
      <c r="X958" s="17"/>
    </row>
    <row r="959" spans="1:24">
      <c r="A959" s="1"/>
      <c r="B959" s="1"/>
      <c r="C959" s="17"/>
      <c r="D959" s="17"/>
      <c r="E959" s="17"/>
      <c r="F959" s="17"/>
      <c r="G959" s="17"/>
      <c r="H959" s="17"/>
      <c r="I959" s="17"/>
      <c r="J959" s="17"/>
      <c r="K959" s="17"/>
      <c r="L959" s="17"/>
      <c r="N959" s="1"/>
      <c r="O959" s="17"/>
      <c r="P959" s="17"/>
      <c r="Q959" s="17"/>
      <c r="R959" s="17"/>
      <c r="S959" s="17"/>
      <c r="T959" s="17"/>
      <c r="U959" s="17"/>
      <c r="V959" s="17"/>
      <c r="W959" s="17"/>
      <c r="X959" s="17"/>
    </row>
    <row r="960" spans="1:24">
      <c r="A960" s="1"/>
      <c r="B960" s="1"/>
      <c r="C960" s="17"/>
      <c r="D960" s="17"/>
      <c r="E960" s="17"/>
      <c r="F960" s="17"/>
      <c r="G960" s="17"/>
      <c r="H960" s="17"/>
      <c r="I960" s="17"/>
      <c r="J960" s="17"/>
      <c r="K960" s="17"/>
      <c r="L960" s="17"/>
      <c r="N960" s="1"/>
      <c r="O960" s="17"/>
      <c r="P960" s="17"/>
      <c r="Q960" s="17"/>
      <c r="R960" s="17"/>
      <c r="S960" s="17"/>
      <c r="T960" s="17"/>
      <c r="U960" s="17"/>
      <c r="V960" s="17"/>
      <c r="W960" s="17"/>
      <c r="X960" s="17"/>
    </row>
    <row r="961" spans="1:24">
      <c r="A961" s="1"/>
      <c r="B961" s="1"/>
      <c r="C961" s="17"/>
      <c r="D961" s="17"/>
      <c r="E961" s="17"/>
      <c r="F961" s="17"/>
      <c r="G961" s="17"/>
      <c r="H961" s="17"/>
      <c r="I961" s="17"/>
      <c r="J961" s="17"/>
      <c r="K961" s="17"/>
      <c r="L961" s="17"/>
      <c r="N961" s="1"/>
      <c r="O961" s="17"/>
      <c r="P961" s="17"/>
      <c r="Q961" s="17"/>
      <c r="R961" s="17"/>
      <c r="S961" s="17"/>
      <c r="T961" s="17"/>
      <c r="U961" s="17"/>
      <c r="V961" s="17"/>
      <c r="W961" s="17"/>
      <c r="X961" s="17"/>
    </row>
    <row r="962" spans="1:24">
      <c r="A962" s="1"/>
      <c r="B962" s="1"/>
      <c r="C962" s="17"/>
      <c r="D962" s="17"/>
      <c r="E962" s="17"/>
      <c r="F962" s="17"/>
      <c r="G962" s="17"/>
      <c r="H962" s="17"/>
      <c r="I962" s="17"/>
      <c r="J962" s="17"/>
      <c r="K962" s="17"/>
      <c r="L962" s="17"/>
      <c r="N962" s="1"/>
      <c r="O962" s="17"/>
      <c r="P962" s="17"/>
      <c r="Q962" s="17"/>
      <c r="R962" s="17"/>
      <c r="S962" s="17"/>
      <c r="T962" s="17"/>
      <c r="U962" s="17"/>
      <c r="V962" s="17"/>
      <c r="W962" s="17"/>
      <c r="X962" s="17"/>
    </row>
    <row r="963" spans="1:24">
      <c r="A963" s="1"/>
      <c r="B963" s="1"/>
      <c r="C963" s="17"/>
      <c r="D963" s="17"/>
      <c r="E963" s="17"/>
      <c r="F963" s="17"/>
      <c r="G963" s="17"/>
      <c r="H963" s="17"/>
      <c r="I963" s="17"/>
      <c r="J963" s="17"/>
      <c r="K963" s="17"/>
      <c r="L963" s="17"/>
      <c r="N963" s="1"/>
      <c r="O963" s="17"/>
      <c r="P963" s="17"/>
      <c r="Q963" s="17"/>
      <c r="R963" s="17"/>
      <c r="S963" s="17"/>
      <c r="T963" s="17"/>
      <c r="U963" s="17"/>
      <c r="V963" s="17"/>
      <c r="W963" s="17"/>
      <c r="X963" s="17"/>
    </row>
    <row r="964" spans="1:24">
      <c r="A964" s="1"/>
      <c r="B964" s="1"/>
      <c r="C964" s="17"/>
      <c r="D964" s="17"/>
      <c r="E964" s="17"/>
      <c r="F964" s="17"/>
      <c r="G964" s="17"/>
      <c r="H964" s="17"/>
      <c r="I964" s="17"/>
      <c r="J964" s="17"/>
      <c r="K964" s="17"/>
      <c r="L964" s="17"/>
      <c r="N964" s="1"/>
      <c r="O964" s="17"/>
      <c r="P964" s="17"/>
      <c r="Q964" s="17"/>
      <c r="R964" s="17"/>
      <c r="S964" s="17"/>
      <c r="T964" s="17"/>
      <c r="U964" s="17"/>
      <c r="V964" s="17"/>
      <c r="W964" s="17"/>
      <c r="X964" s="17"/>
    </row>
    <row r="965" spans="1:24">
      <c r="A965" s="1"/>
      <c r="B965" s="1"/>
      <c r="C965" s="17"/>
      <c r="D965" s="17"/>
      <c r="E965" s="17"/>
      <c r="F965" s="17"/>
      <c r="G965" s="17"/>
      <c r="H965" s="17"/>
      <c r="I965" s="17"/>
      <c r="J965" s="17"/>
      <c r="K965" s="17"/>
      <c r="L965" s="17"/>
      <c r="N965" s="1"/>
      <c r="O965" s="17"/>
      <c r="P965" s="17"/>
      <c r="Q965" s="17"/>
      <c r="R965" s="17"/>
      <c r="S965" s="17"/>
      <c r="T965" s="17"/>
      <c r="U965" s="17"/>
      <c r="V965" s="17"/>
      <c r="W965" s="17"/>
      <c r="X965" s="17"/>
    </row>
    <row r="966" spans="1:24">
      <c r="A966" s="1"/>
      <c r="B966" s="1"/>
      <c r="C966" s="17"/>
      <c r="D966" s="17"/>
      <c r="E966" s="17"/>
      <c r="F966" s="17"/>
      <c r="G966" s="17"/>
      <c r="H966" s="17"/>
      <c r="I966" s="17"/>
      <c r="J966" s="17"/>
      <c r="K966" s="17"/>
      <c r="L966" s="17"/>
      <c r="N966" s="1"/>
      <c r="O966" s="17"/>
      <c r="P966" s="17"/>
      <c r="Q966" s="17"/>
      <c r="R966" s="17"/>
      <c r="S966" s="17"/>
      <c r="T966" s="17"/>
      <c r="U966" s="17"/>
      <c r="V966" s="17"/>
      <c r="W966" s="17"/>
      <c r="X966" s="17"/>
    </row>
    <row r="967" spans="1:24">
      <c r="A967" s="1"/>
      <c r="B967" s="1"/>
      <c r="C967" s="17"/>
      <c r="D967" s="17"/>
      <c r="E967" s="17"/>
      <c r="F967" s="17"/>
      <c r="G967" s="17"/>
      <c r="H967" s="17"/>
      <c r="I967" s="17"/>
      <c r="J967" s="17"/>
      <c r="K967" s="17"/>
      <c r="L967" s="17"/>
      <c r="N967" s="1"/>
      <c r="O967" s="17"/>
      <c r="P967" s="17"/>
      <c r="Q967" s="17"/>
      <c r="R967" s="17"/>
      <c r="S967" s="17"/>
      <c r="T967" s="17"/>
      <c r="U967" s="17"/>
      <c r="V967" s="17"/>
      <c r="W967" s="17"/>
      <c r="X967" s="17"/>
    </row>
    <row r="968" spans="1:24">
      <c r="A968" s="1"/>
      <c r="B968" s="1"/>
      <c r="C968" s="17"/>
      <c r="D968" s="17"/>
      <c r="E968" s="17"/>
      <c r="F968" s="17"/>
      <c r="G968" s="17"/>
      <c r="H968" s="17"/>
      <c r="I968" s="17"/>
      <c r="J968" s="17"/>
      <c r="K968" s="17"/>
      <c r="L968" s="17"/>
      <c r="N968" s="1"/>
      <c r="O968" s="17"/>
      <c r="P968" s="17"/>
      <c r="Q968" s="17"/>
      <c r="R968" s="17"/>
      <c r="S968" s="17"/>
      <c r="T968" s="17"/>
      <c r="U968" s="17"/>
      <c r="V968" s="17"/>
      <c r="W968" s="17"/>
      <c r="X968" s="17"/>
    </row>
    <row r="969" spans="1:24">
      <c r="A969" s="1"/>
      <c r="B969" s="1"/>
      <c r="C969" s="17"/>
      <c r="D969" s="17"/>
      <c r="E969" s="17"/>
      <c r="F969" s="17"/>
      <c r="G969" s="17"/>
      <c r="H969" s="17"/>
      <c r="I969" s="17"/>
      <c r="J969" s="17"/>
      <c r="K969" s="17"/>
      <c r="L969" s="17"/>
      <c r="N969" s="1"/>
      <c r="O969" s="17"/>
      <c r="P969" s="17"/>
      <c r="Q969" s="17"/>
      <c r="R969" s="17"/>
      <c r="S969" s="17"/>
      <c r="T969" s="17"/>
      <c r="U969" s="17"/>
      <c r="V969" s="17"/>
      <c r="W969" s="17"/>
      <c r="X969" s="17"/>
    </row>
    <row r="970" spans="1:24">
      <c r="A970" s="1"/>
      <c r="B970" s="1"/>
      <c r="C970" s="17"/>
      <c r="D970" s="17"/>
      <c r="E970" s="17"/>
      <c r="F970" s="17"/>
      <c r="G970" s="17"/>
      <c r="H970" s="17"/>
      <c r="I970" s="17"/>
      <c r="J970" s="17"/>
      <c r="K970" s="17"/>
      <c r="L970" s="17"/>
      <c r="N970" s="1"/>
      <c r="O970" s="17"/>
      <c r="P970" s="17"/>
      <c r="Q970" s="17"/>
      <c r="R970" s="17"/>
      <c r="S970" s="17"/>
      <c r="T970" s="17"/>
      <c r="U970" s="17"/>
      <c r="V970" s="17"/>
      <c r="W970" s="17"/>
      <c r="X970" s="17"/>
    </row>
    <row r="971" spans="1:24">
      <c r="A971" s="1"/>
      <c r="B971" s="1"/>
      <c r="C971" s="17"/>
      <c r="D971" s="17"/>
      <c r="E971" s="17"/>
      <c r="F971" s="17"/>
      <c r="G971" s="17"/>
      <c r="H971" s="17"/>
      <c r="I971" s="17"/>
      <c r="J971" s="17"/>
      <c r="K971" s="17"/>
      <c r="L971" s="17"/>
      <c r="N971" s="1"/>
      <c r="O971" s="17"/>
      <c r="P971" s="17"/>
      <c r="Q971" s="17"/>
      <c r="R971" s="17"/>
      <c r="S971" s="17"/>
      <c r="T971" s="17"/>
      <c r="U971" s="17"/>
      <c r="V971" s="17"/>
      <c r="W971" s="17"/>
      <c r="X971" s="17"/>
    </row>
    <row r="972" spans="1:24">
      <c r="A972" s="1"/>
      <c r="B972" s="1"/>
      <c r="C972" s="17"/>
      <c r="D972" s="17"/>
      <c r="E972" s="17"/>
      <c r="F972" s="17"/>
      <c r="G972" s="17"/>
      <c r="H972" s="17"/>
      <c r="I972" s="17"/>
      <c r="J972" s="17"/>
      <c r="K972" s="17"/>
      <c r="L972" s="17"/>
      <c r="N972" s="1"/>
      <c r="O972" s="17"/>
      <c r="P972" s="17"/>
      <c r="Q972" s="17"/>
      <c r="R972" s="17"/>
      <c r="S972" s="17"/>
      <c r="T972" s="17"/>
      <c r="U972" s="17"/>
      <c r="V972" s="17"/>
      <c r="W972" s="17"/>
      <c r="X972" s="17"/>
    </row>
    <row r="973" spans="1:24">
      <c r="A973" s="1"/>
      <c r="B973" s="1"/>
      <c r="C973" s="17"/>
      <c r="D973" s="17"/>
      <c r="E973" s="17"/>
      <c r="F973" s="17"/>
      <c r="G973" s="17"/>
      <c r="H973" s="17"/>
      <c r="I973" s="17"/>
      <c r="J973" s="17"/>
      <c r="K973" s="17"/>
      <c r="L973" s="17"/>
      <c r="N973" s="1"/>
      <c r="O973" s="17"/>
      <c r="P973" s="17"/>
      <c r="Q973" s="17"/>
      <c r="R973" s="17"/>
      <c r="S973" s="17"/>
      <c r="T973" s="17"/>
      <c r="U973" s="17"/>
      <c r="V973" s="17"/>
      <c r="W973" s="17"/>
      <c r="X973" s="17"/>
    </row>
    <row r="974" spans="1:24">
      <c r="A974" s="1"/>
      <c r="B974" s="1"/>
      <c r="C974" s="17"/>
      <c r="D974" s="17"/>
      <c r="E974" s="17"/>
      <c r="F974" s="17"/>
      <c r="G974" s="17"/>
      <c r="H974" s="17"/>
      <c r="I974" s="17"/>
      <c r="J974" s="17"/>
      <c r="K974" s="17"/>
      <c r="L974" s="17"/>
      <c r="N974" s="1"/>
      <c r="O974" s="17"/>
      <c r="P974" s="17"/>
      <c r="Q974" s="17"/>
      <c r="R974" s="17"/>
      <c r="S974" s="17"/>
      <c r="T974" s="17"/>
      <c r="U974" s="17"/>
      <c r="V974" s="17"/>
      <c r="W974" s="17"/>
      <c r="X974" s="17"/>
    </row>
    <row r="975" spans="1:24">
      <c r="A975" s="1"/>
      <c r="B975" s="1"/>
      <c r="C975" s="17"/>
      <c r="D975" s="17"/>
      <c r="E975" s="17"/>
      <c r="F975" s="17"/>
      <c r="G975" s="17"/>
      <c r="H975" s="17"/>
      <c r="I975" s="17"/>
      <c r="J975" s="17"/>
      <c r="K975" s="17"/>
      <c r="L975" s="17"/>
      <c r="N975" s="1"/>
      <c r="O975" s="17"/>
      <c r="P975" s="17"/>
      <c r="Q975" s="17"/>
      <c r="R975" s="17"/>
      <c r="S975" s="17"/>
      <c r="T975" s="17"/>
      <c r="U975" s="17"/>
      <c r="V975" s="17"/>
      <c r="W975" s="17"/>
      <c r="X975" s="17"/>
    </row>
    <row r="976" spans="1:24">
      <c r="A976" s="1"/>
      <c r="B976" s="1"/>
      <c r="C976" s="17"/>
      <c r="D976" s="17"/>
      <c r="E976" s="17"/>
      <c r="F976" s="17"/>
      <c r="G976" s="17"/>
      <c r="H976" s="17"/>
      <c r="I976" s="17"/>
      <c r="J976" s="17"/>
      <c r="K976" s="17"/>
      <c r="L976" s="17"/>
      <c r="N976" s="1"/>
      <c r="O976" s="17"/>
      <c r="P976" s="17"/>
      <c r="Q976" s="17"/>
      <c r="R976" s="17"/>
      <c r="S976" s="17"/>
      <c r="T976" s="17"/>
      <c r="U976" s="17"/>
      <c r="V976" s="17"/>
      <c r="W976" s="17"/>
      <c r="X976" s="17"/>
    </row>
    <row r="977" spans="1:24">
      <c r="A977" s="1"/>
      <c r="B977" s="1"/>
      <c r="C977" s="17"/>
      <c r="D977" s="17"/>
      <c r="E977" s="17"/>
      <c r="F977" s="17"/>
      <c r="G977" s="17"/>
      <c r="H977" s="17"/>
      <c r="I977" s="17"/>
      <c r="J977" s="17"/>
      <c r="K977" s="17"/>
      <c r="L977" s="17"/>
      <c r="N977" s="1"/>
      <c r="O977" s="17"/>
      <c r="P977" s="17"/>
      <c r="Q977" s="17"/>
      <c r="R977" s="17"/>
      <c r="S977" s="17"/>
      <c r="T977" s="17"/>
      <c r="U977" s="17"/>
      <c r="V977" s="17"/>
      <c r="W977" s="17"/>
      <c r="X977" s="17"/>
    </row>
    <row r="978" spans="1:24">
      <c r="A978" s="1"/>
      <c r="B978" s="1"/>
      <c r="C978" s="17"/>
      <c r="D978" s="17"/>
      <c r="E978" s="17"/>
      <c r="F978" s="17"/>
      <c r="G978" s="17"/>
      <c r="H978" s="17"/>
      <c r="I978" s="17"/>
      <c r="J978" s="17"/>
      <c r="K978" s="17"/>
      <c r="L978" s="17"/>
      <c r="N978" s="1"/>
      <c r="O978" s="17"/>
      <c r="P978" s="17"/>
      <c r="Q978" s="17"/>
      <c r="R978" s="17"/>
      <c r="S978" s="17"/>
      <c r="T978" s="17"/>
      <c r="U978" s="17"/>
      <c r="V978" s="17"/>
      <c r="W978" s="17"/>
      <c r="X978" s="17"/>
    </row>
    <row r="979" spans="1:24">
      <c r="A979" s="1"/>
      <c r="B979" s="1"/>
      <c r="C979" s="17"/>
      <c r="D979" s="17"/>
      <c r="E979" s="17"/>
      <c r="F979" s="17"/>
      <c r="G979" s="17"/>
      <c r="H979" s="17"/>
      <c r="I979" s="17"/>
      <c r="J979" s="17"/>
      <c r="K979" s="17"/>
      <c r="L979" s="17"/>
      <c r="N979" s="1"/>
      <c r="O979" s="17"/>
      <c r="P979" s="17"/>
      <c r="Q979" s="17"/>
      <c r="R979" s="17"/>
      <c r="S979" s="17"/>
      <c r="T979" s="17"/>
      <c r="U979" s="17"/>
      <c r="V979" s="17"/>
      <c r="W979" s="17"/>
      <c r="X979" s="17"/>
    </row>
    <row r="980" spans="1:24">
      <c r="A980" s="1"/>
      <c r="B980" s="1"/>
      <c r="C980" s="17"/>
      <c r="D980" s="17"/>
      <c r="E980" s="17"/>
      <c r="F980" s="17"/>
      <c r="G980" s="17"/>
      <c r="H980" s="17"/>
      <c r="I980" s="17"/>
      <c r="J980" s="17"/>
      <c r="K980" s="17"/>
      <c r="L980" s="17"/>
      <c r="N980" s="1"/>
      <c r="O980" s="17"/>
      <c r="P980" s="17"/>
      <c r="Q980" s="17"/>
      <c r="R980" s="17"/>
      <c r="S980" s="17"/>
    </row>
    <row r="981" spans="1:24">
      <c r="A981" s="1"/>
      <c r="B981" s="1"/>
      <c r="C981" s="17"/>
      <c r="D981" s="17"/>
      <c r="E981" s="17"/>
      <c r="F981" s="17"/>
      <c r="G981" s="17"/>
      <c r="H981" s="17"/>
      <c r="I981" s="17"/>
      <c r="J981" s="17"/>
      <c r="K981" s="17"/>
      <c r="L981" s="17"/>
      <c r="N981" s="1"/>
      <c r="O981" s="17"/>
      <c r="P981" s="17"/>
      <c r="Q981" s="17"/>
      <c r="R981" s="17"/>
      <c r="S981" s="17"/>
    </row>
    <row r="982" spans="1:24">
      <c r="A982" s="1"/>
      <c r="B982" s="1"/>
      <c r="C982" s="17"/>
      <c r="D982" s="17"/>
      <c r="E982" s="17"/>
      <c r="F982" s="17"/>
      <c r="G982" s="17"/>
      <c r="H982" s="17"/>
      <c r="I982" s="17"/>
      <c r="J982" s="17"/>
      <c r="K982" s="17"/>
      <c r="L982" s="17"/>
      <c r="N982" s="1"/>
      <c r="O982" s="17"/>
      <c r="P982" s="17"/>
      <c r="Q982" s="17"/>
      <c r="R982" s="17"/>
      <c r="S982" s="17"/>
    </row>
    <row r="983" spans="1:24">
      <c r="A983" s="1"/>
      <c r="B983" s="1"/>
      <c r="C983" s="17"/>
      <c r="D983" s="17"/>
      <c r="E983" s="17"/>
      <c r="F983" s="17"/>
      <c r="G983" s="17"/>
      <c r="H983" s="17"/>
      <c r="I983" s="17"/>
      <c r="J983" s="17"/>
      <c r="K983" s="17"/>
      <c r="L983" s="17"/>
      <c r="N983" s="1"/>
      <c r="O983" s="17"/>
      <c r="P983" s="17"/>
      <c r="Q983" s="17"/>
      <c r="R983" s="17"/>
      <c r="S983" s="17"/>
    </row>
    <row r="984" spans="1:24">
      <c r="A984" s="1"/>
      <c r="B984" s="1"/>
      <c r="C984" s="17"/>
      <c r="D984" s="17"/>
      <c r="E984" s="17"/>
      <c r="F984" s="17"/>
      <c r="G984" s="17"/>
      <c r="H984" s="17"/>
      <c r="I984" s="17"/>
      <c r="J984" s="17"/>
      <c r="K984" s="17"/>
      <c r="L984" s="17"/>
      <c r="N984" s="1"/>
      <c r="O984" s="17"/>
      <c r="P984" s="17"/>
      <c r="Q984" s="17"/>
      <c r="R984" s="17"/>
      <c r="S984" s="17"/>
    </row>
    <row r="985" spans="1:24">
      <c r="A985" s="1"/>
      <c r="B985" s="1"/>
      <c r="C985" s="17"/>
      <c r="D985" s="17"/>
      <c r="E985" s="17"/>
      <c r="F985" s="17"/>
      <c r="G985" s="17"/>
      <c r="H985" s="17"/>
      <c r="I985" s="17"/>
      <c r="J985" s="17"/>
      <c r="K985" s="17"/>
      <c r="L985" s="17"/>
      <c r="N985" s="1"/>
      <c r="O985" s="17"/>
      <c r="P985" s="17"/>
      <c r="Q985" s="17"/>
      <c r="R985" s="17"/>
      <c r="S985" s="17"/>
    </row>
    <row r="986" spans="1:24">
      <c r="A986" s="1"/>
      <c r="B986" s="1"/>
      <c r="C986" s="17"/>
      <c r="D986" s="17"/>
      <c r="E986" s="17"/>
      <c r="F986" s="17"/>
      <c r="G986" s="17"/>
      <c r="H986" s="17"/>
      <c r="I986" s="17"/>
      <c r="J986" s="17"/>
      <c r="K986" s="17"/>
      <c r="L986" s="17"/>
      <c r="N986" s="1"/>
      <c r="O986" s="17"/>
      <c r="P986" s="17"/>
      <c r="Q986" s="17"/>
      <c r="R986" s="17"/>
      <c r="S986" s="17"/>
    </row>
    <row r="987" spans="1:24">
      <c r="A987" s="1"/>
      <c r="B987" s="1"/>
      <c r="C987" s="17"/>
      <c r="D987" s="17"/>
      <c r="E987" s="17"/>
      <c r="F987" s="17"/>
      <c r="G987" s="17"/>
      <c r="H987" s="17"/>
      <c r="I987" s="17"/>
      <c r="J987" s="17"/>
      <c r="K987" s="17"/>
      <c r="L987" s="17"/>
      <c r="N987" s="1"/>
      <c r="O987" s="17"/>
      <c r="P987" s="17"/>
      <c r="Q987" s="17"/>
      <c r="R987" s="17"/>
      <c r="S987" s="17"/>
    </row>
    <row r="988" spans="1:24">
      <c r="A988" s="1"/>
      <c r="B988" s="1"/>
      <c r="C988" s="17"/>
      <c r="D988" s="17"/>
      <c r="E988" s="17"/>
      <c r="F988" s="17"/>
      <c r="G988" s="17"/>
      <c r="H988" s="17"/>
      <c r="I988" s="17"/>
      <c r="J988" s="17"/>
      <c r="K988" s="17"/>
      <c r="L988" s="17"/>
      <c r="N988" s="1"/>
      <c r="O988" s="17"/>
      <c r="P988" s="17"/>
      <c r="Q988" s="17"/>
      <c r="R988" s="17"/>
      <c r="S988" s="17"/>
    </row>
    <row r="989" spans="1:24">
      <c r="A989" s="1"/>
      <c r="B989" s="1"/>
      <c r="C989" s="17"/>
      <c r="D989" s="17"/>
      <c r="E989" s="17"/>
      <c r="F989" s="17"/>
      <c r="G989" s="17"/>
      <c r="H989" s="17"/>
      <c r="I989" s="17"/>
      <c r="J989" s="17"/>
      <c r="K989" s="17"/>
      <c r="L989" s="17"/>
      <c r="S989" s="17"/>
    </row>
    <row r="990" spans="1:24">
      <c r="A990" s="1"/>
      <c r="B990" s="1"/>
      <c r="C990" s="17"/>
      <c r="D990" s="17"/>
      <c r="E990" s="17"/>
      <c r="F990" s="17"/>
      <c r="G990" s="17"/>
      <c r="H990" s="17"/>
      <c r="I990" s="17"/>
      <c r="J990" s="17"/>
      <c r="K990" s="17"/>
      <c r="L990" s="17"/>
      <c r="S990" s="17"/>
    </row>
  </sheetData>
  <mergeCells count="16">
    <mergeCell ref="T24:X24"/>
    <mergeCell ref="B28:F28"/>
    <mergeCell ref="T39:X39"/>
    <mergeCell ref="B1:L1"/>
    <mergeCell ref="N1:X1"/>
    <mergeCell ref="D2:K2"/>
    <mergeCell ref="P2:W2"/>
    <mergeCell ref="D3:K3"/>
    <mergeCell ref="P3:W3"/>
    <mergeCell ref="P4:W4"/>
    <mergeCell ref="P5:W5"/>
    <mergeCell ref="D4:K4"/>
    <mergeCell ref="D5:K5"/>
    <mergeCell ref="H13:L13"/>
    <mergeCell ref="T13:X13"/>
    <mergeCell ref="B22:L22"/>
  </mergeCells>
  <conditionalFormatting sqref="D8:L11 P8:Y11 C14:F21 O14:R21 I15:L21 U15:X21 D24:L27 O25:R31 U26:X31 C30:F32 P34:Y37 O40:R47 U40:X48 D44:L47 C49:F54 U50:X57 D56:L59 C61:F66 G68:L72 D68:F89 C73:C78 G79:L83 C84:C89">
    <cfRule type="cellIs" dxfId="49" priority="1" operator="equal">
      <formula>0</formula>
    </cfRule>
  </conditionalFormatting>
  <pageMargins left="0.7" right="0.7" top="0.75" bottom="0.75" header="0.3" footer="0.3"/>
  <tableParts count="31">
    <tablePart r:id="rId1"/>
    <tablePart r:id="rId2"/>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outlinePr summaryBelow="0" summaryRight="0"/>
  </sheetPr>
  <dimension ref="A1:Y351"/>
  <sheetViews>
    <sheetView workbookViewId="0">
      <pane xSplit="4" ySplit="1" topLeftCell="E2" activePane="bottomRight" state="frozen"/>
      <selection pane="topRight" activeCell="E1" sqref="E1"/>
      <selection pane="bottomLeft" activeCell="A2" sqref="A2"/>
      <selection pane="bottomRight" activeCell="E2" sqref="E2"/>
    </sheetView>
  </sheetViews>
  <sheetFormatPr baseColWidth="10" defaultColWidth="14.5" defaultRowHeight="15" customHeight="1"/>
  <cols>
    <col min="1" max="1" width="26.1640625" customWidth="1"/>
    <col min="2" max="2" width="11.5" customWidth="1"/>
    <col min="3" max="3" width="13.33203125" customWidth="1"/>
    <col min="4" max="4" width="6.1640625" customWidth="1"/>
    <col min="5" max="5" width="5.6640625" customWidth="1"/>
    <col min="7" max="7" width="17.83203125" customWidth="1"/>
    <col min="9" max="12" width="54.6640625" customWidth="1"/>
    <col min="14" max="15" width="12.83203125" customWidth="1"/>
    <col min="16" max="16" width="20.5" customWidth="1"/>
    <col min="17" max="17" width="15.6640625" customWidth="1"/>
    <col min="18" max="18" width="11.83203125" customWidth="1"/>
    <col min="19" max="19" width="14.5" hidden="1"/>
    <col min="21" max="21" width="12.5" hidden="1" customWidth="1"/>
    <col min="22" max="22" width="12.5" customWidth="1"/>
    <col min="23" max="23" width="12.5" hidden="1" customWidth="1"/>
    <col min="24" max="24" width="26.1640625" hidden="1" customWidth="1"/>
    <col min="25" max="25" width="28" customWidth="1"/>
  </cols>
  <sheetData>
    <row r="1" spans="1:25" ht="28">
      <c r="A1" s="81" t="s">
        <v>37</v>
      </c>
      <c r="B1" s="81" t="s">
        <v>38</v>
      </c>
      <c r="C1" s="82" t="s">
        <v>39</v>
      </c>
      <c r="D1" s="81" t="s">
        <v>40</v>
      </c>
      <c r="E1" s="83" t="s">
        <v>41</v>
      </c>
      <c r="F1" s="81" t="s">
        <v>42</v>
      </c>
      <c r="G1" s="81" t="s">
        <v>43</v>
      </c>
      <c r="H1" s="81" t="s">
        <v>44</v>
      </c>
      <c r="I1" s="81" t="s">
        <v>45</v>
      </c>
      <c r="J1" s="81" t="s">
        <v>46</v>
      </c>
      <c r="K1" s="81" t="s">
        <v>47</v>
      </c>
      <c r="L1" s="81" t="s">
        <v>48</v>
      </c>
      <c r="M1" s="81" t="s">
        <v>49</v>
      </c>
      <c r="N1" s="81" t="s">
        <v>50</v>
      </c>
      <c r="O1" s="81" t="s">
        <v>51</v>
      </c>
      <c r="P1" s="82" t="s">
        <v>52</v>
      </c>
      <c r="Q1" s="81" t="s">
        <v>53</v>
      </c>
      <c r="R1" s="84" t="s">
        <v>54</v>
      </c>
      <c r="S1" s="82" t="s">
        <v>55</v>
      </c>
      <c r="T1" s="82" t="s">
        <v>56</v>
      </c>
      <c r="U1" s="82" t="s">
        <v>35</v>
      </c>
      <c r="V1" s="82" t="s">
        <v>57</v>
      </c>
      <c r="W1" s="82" t="s">
        <v>58</v>
      </c>
      <c r="X1" s="82" t="s">
        <v>59</v>
      </c>
      <c r="Y1" s="82" t="s">
        <v>60</v>
      </c>
    </row>
    <row r="2" spans="1:25" ht="44" hidden="1">
      <c r="A2" s="85" t="s">
        <v>61</v>
      </c>
      <c r="B2" s="86" t="str">
        <f t="array" ref="B2">INDEX(Interview,MATCH(A2,Name,0))</f>
        <v>Invite</v>
      </c>
      <c r="C2" s="86" t="str">
        <f t="array" ref="C2">INDEX(Track,MATCH(A2,Name,0))</f>
        <v>Deep Tech</v>
      </c>
      <c r="D2" s="87">
        <f t="array" ref="D2">INDEX(Score,MATCH(A2,Name,0))</f>
        <v>4</v>
      </c>
      <c r="E2" s="88">
        <f t="array" aca="1" ref="E2" ca="1">INDEX(Date,MATCH(A2,Name,0))</f>
        <v>44797</v>
      </c>
      <c r="F2" s="86" t="s">
        <v>13304</v>
      </c>
      <c r="G2" s="86" t="s">
        <v>13305</v>
      </c>
      <c r="H2" s="86" t="str">
        <f t="array" ref="H2">IFERROR(INDEX('2022-2023 Third Reviews'!K:K,MATCH(A2,'2022-2023 Third Reviews'!C:C,0)),"")</f>
        <v/>
      </c>
      <c r="I2" s="89" t="s">
        <v>11308</v>
      </c>
      <c r="J2" s="89" t="s">
        <v>11309</v>
      </c>
      <c r="K2" s="89" t="str">
        <f t="array" ref="K2">IFERROR(INDEX('2022-2023 Third Reviews'!L:L,MATCH(A2,'2022-2023 Third Reviews'!C:C,0)),"")</f>
        <v/>
      </c>
      <c r="L2" s="90" t="str">
        <f t="array" ref="L2">INDEX(AppNotes,MATCH(A2,Name,0))</f>
        <v>Change to DT; Water and energy saving faucet;</v>
      </c>
      <c r="M2" s="91" t="str">
        <f t="array" aca="1" ref="M2" ca="1">INDEX(Team,MATCH(A2,'Key Metrics'!B:B,0))</f>
        <v>Man, Man</v>
      </c>
      <c r="N2" s="87" t="str">
        <f t="array" aca="1" ref="N2" ca="1">IF(INDEX('Key Metrics'!F:F,MATCH(A2,'Key Metrics'!B:B,0))="Woman","Yes","")</f>
        <v/>
      </c>
      <c r="O2" s="87" t="str">
        <f t="shared" ref="O2:O256" ca="1" si="0">IF(COUNTIF(M2,"*"&amp;"Woman"&amp;"*")&gt;=1,"Yes","")</f>
        <v/>
      </c>
      <c r="P2" s="92">
        <f t="array" ref="P2">INDEX(Referral,MATCH(A2,Name,0))</f>
        <v>0</v>
      </c>
      <c r="Q2" s="92">
        <f t="array" aca="1" ref="Q2" ca="1">IF(INDEX(NYUAfillType,MATCH(A2,'Key Metrics'!B:B,0))="Other (please specify)",INDEX('Key Metrics'!N:N,MATCH(A2,'Key Metrics'!B:B,0)),INDEX(NYUAfillType,MATCH(A2,'Key Metrics'!B:B,0)))</f>
        <v>0</v>
      </c>
      <c r="R2" s="93" t="str">
        <f t="array" aca="1" ref="R2" ca="1">IF(INDEX('Key Metrics'!Q:Q,MATCH(A2,'Key Metrics'!B:B,0))="No","",INDEX('Key Metrics'!Q:Q,MATCH(A2,'Key Metrics'!B:B,0)))</f>
        <v/>
      </c>
      <c r="S2" s="94" t="str">
        <f t="shared" ref="S2:S256" si="1">IF(T2="",B2,T2)</f>
        <v>Invite</v>
      </c>
      <c r="T2" s="95" t="s">
        <v>18</v>
      </c>
      <c r="U2" s="95" t="b">
        <v>0</v>
      </c>
      <c r="V2" s="95" t="b">
        <v>0</v>
      </c>
      <c r="W2" s="95" t="b">
        <v>0</v>
      </c>
      <c r="X2" s="96"/>
      <c r="Y2" s="94" t="str">
        <f t="array" ref="Y2">INDEX('DT Short List'!F:F,MATCH(A2,'DT Short List'!A:A,0))</f>
        <v>Invite</v>
      </c>
    </row>
    <row r="3" spans="1:25" ht="44">
      <c r="A3" s="97" t="s">
        <v>62</v>
      </c>
      <c r="B3" s="98" t="str">
        <f t="array" ref="B3">INDEX(Interview,MATCH(A3,Name,0))</f>
        <v>Invite</v>
      </c>
      <c r="C3" s="98" t="str">
        <f t="array" ref="C3">INDEX(Track,MATCH(A3,Name,0))</f>
        <v>Deep Tech</v>
      </c>
      <c r="D3" s="99">
        <f t="array" ref="D3">INDEX(Score,MATCH(A3,Name,0))</f>
        <v>4.25</v>
      </c>
      <c r="E3" s="100">
        <f t="array" aca="1" ref="E3" ca="1">INDEX(Date,MATCH(A3,Name,0))</f>
        <v>44789</v>
      </c>
      <c r="F3" s="98" t="s">
        <v>13306</v>
      </c>
      <c r="G3" s="98" t="s">
        <v>13307</v>
      </c>
      <c r="H3" s="98" t="str">
        <f t="array" aca="1" ref="H3" ca="1">IFERROR(INDEX('2022-2023 Third Reviews'!K:K,MATCH(A3,'2022-2023 Third Reviews'!C:C,0)),"")</f>
        <v>Nick Schmandt
1</v>
      </c>
      <c r="I3" s="101" t="s">
        <v>10311</v>
      </c>
      <c r="J3" s="101" t="s">
        <v>10312</v>
      </c>
      <c r="K3" s="101" t="str">
        <f t="array" aca="1" ref="K3" ca="1">IFERROR(INDEX('2022-2023 Third Reviews'!L:L,MATCH(A3,'2022-2023 Third Reviews'!C:C,0)),"")</f>
        <v>The addressable market seems grossly overstated, and there is no mention of simple regular electric wheelchairs, which would allow the elderly to steer themselves at a much lower cost. This proposal does not make any sense to me.</v>
      </c>
      <c r="L3" s="102">
        <f t="array" ref="L3">INDEX(AppNotes,MATCH(A3,Name,0))</f>
        <v>0</v>
      </c>
      <c r="M3" s="103" t="str">
        <f t="array" aca="1" ref="M3" ca="1">INDEX(Team,MATCH(A3,'Key Metrics'!B:B,0))</f>
        <v>Man, Woman, Man</v>
      </c>
      <c r="N3" s="99" t="str">
        <f t="array" aca="1" ref="N3" ca="1">IF(INDEX('Key Metrics'!F:F,MATCH(A3,'Key Metrics'!B:B,0))="Woman","Yes","")</f>
        <v/>
      </c>
      <c r="O3" s="99" t="str">
        <f t="shared" ca="1" si="0"/>
        <v>Yes</v>
      </c>
      <c r="P3" s="104">
        <f t="array" ref="P3">INDEX(Referral,MATCH(A3,Name,0))</f>
        <v>0</v>
      </c>
      <c r="Q3" s="104">
        <f t="array" aca="1" ref="Q3" ca="1">IF(INDEX(NYUAfillType,MATCH(A3,'Key Metrics'!B:B,0))="Other (please specify)",INDEX('Key Metrics'!N:N,MATCH(A3,'Key Metrics'!B:B,0)),INDEX(NYUAfillType,MATCH(A3,'Key Metrics'!B:B,0)))</f>
        <v>0</v>
      </c>
      <c r="R3" s="105" t="str">
        <f t="array" aca="1" ref="R3" ca="1">IF(INDEX('Key Metrics'!Q:Q,MATCH(A3,'Key Metrics'!B:B,0))="No","",INDEX('Key Metrics'!Q:Q,MATCH(A3,'Key Metrics'!B:B,0)))</f>
        <v/>
      </c>
      <c r="S3" s="106" t="str">
        <f t="shared" si="1"/>
        <v>Invite</v>
      </c>
      <c r="T3" s="107" t="s">
        <v>18</v>
      </c>
      <c r="U3" s="107" t="b">
        <v>0</v>
      </c>
      <c r="V3" s="107" t="b">
        <v>0</v>
      </c>
      <c r="W3" s="107" t="b">
        <v>0</v>
      </c>
      <c r="X3" s="108"/>
      <c r="Y3" s="106" t="str">
        <f t="array" ref="Y3">INDEX('DT Short List'!F:F,MATCH(A3,'DT Short List'!A:A,0))</f>
        <v>Invite</v>
      </c>
    </row>
    <row r="4" spans="1:25" ht="44" hidden="1">
      <c r="A4" s="109" t="s">
        <v>63</v>
      </c>
      <c r="B4" s="86" t="str">
        <f t="array" ref="B4">INDEX(Interview,MATCH(A4,Name,0))</f>
        <v>Revisit/ Cluster</v>
      </c>
      <c r="C4" s="86" t="str">
        <f t="array" ref="C4">INDEX(Track,MATCH(A4,Name,0))</f>
        <v>Deep Tech</v>
      </c>
      <c r="D4" s="87">
        <f t="array" ref="D4">INDEX(Score,MATCH(A4,Name,0))</f>
        <v>3.5</v>
      </c>
      <c r="E4" s="88">
        <f t="array" aca="1" ref="E4" ca="1">INDEX(Date,MATCH(A4,Name,0))</f>
        <v>44789</v>
      </c>
      <c r="F4" s="86" t="s">
        <v>13308</v>
      </c>
      <c r="G4" s="86" t="s">
        <v>13309</v>
      </c>
      <c r="H4" s="86" t="str">
        <f t="array" aca="1" ref="H4" ca="1">IFERROR(INDEX('2022-2023 Third Reviews'!K:K,MATCH(A4,'2022-2023 Third Reviews'!C:C,0)),"")</f>
        <v>Jason Yu
3</v>
      </c>
      <c r="I4" s="89" t="s">
        <v>10818</v>
      </c>
      <c r="J4" s="89" t="s">
        <v>10819</v>
      </c>
      <c r="K4" s="89" t="str">
        <f t="array" aca="1" ref="K4" ca="1">IFERROR(INDEX('2022-2023 Third Reviews'!L:L,MATCH(A4,'2022-2023 Third Reviews'!C:C,0)),"")</f>
        <v>Technology may be easy to replicate and there are already competitors in the market. Team appears to have the necessary experience to develop the technology.</v>
      </c>
      <c r="L4" s="90" t="str">
        <f t="array" ref="L4">INDEX(AppNotes,MATCH(A4,Name,0))</f>
        <v>Change to DiT</v>
      </c>
      <c r="M4" s="91" t="str">
        <f t="array" aca="1" ref="M4" ca="1">INDEX(Team,MATCH(A4,'Key Metrics'!B:B,0))</f>
        <v>Woman</v>
      </c>
      <c r="N4" s="87" t="str">
        <f t="array" aca="1" ref="N4" ca="1">IF(INDEX('Key Metrics'!F:F,MATCH(A4,'Key Metrics'!B:B,0))="Woman","Yes","")</f>
        <v>Yes</v>
      </c>
      <c r="O4" s="87" t="str">
        <f t="shared" ca="1" si="0"/>
        <v>Yes</v>
      </c>
      <c r="P4" s="92">
        <f t="array" ref="P4">INDEX(Referral,MATCH(A4,Name,0))</f>
        <v>0</v>
      </c>
      <c r="Q4" s="92">
        <f t="array" aca="1" ref="Q4" ca="1">IF(INDEX(NYUAfillType,MATCH(A4,'Key Metrics'!B:B,0))="Other (please specify)",INDEX('Key Metrics'!N:N,MATCH(A4,'Key Metrics'!B:B,0)),INDEX(NYUAfillType,MATCH(A4,'Key Metrics'!B:B,0)))</f>
        <v>0</v>
      </c>
      <c r="R4" s="93" t="str">
        <f t="array" aca="1" ref="R4" ca="1">IF(INDEX('Key Metrics'!Q:Q,MATCH(A4,'Key Metrics'!B:B,0))="No","",INDEX('Key Metrics'!Q:Q,MATCH(A4,'Key Metrics'!B:B,0)))</f>
        <v/>
      </c>
      <c r="S4" s="94" t="str">
        <f t="shared" si="1"/>
        <v>Invite Next Year</v>
      </c>
      <c r="T4" s="95" t="s">
        <v>24</v>
      </c>
      <c r="U4" s="95" t="b">
        <v>0</v>
      </c>
      <c r="V4" s="95" t="b">
        <v>0</v>
      </c>
      <c r="W4" s="95" t="b">
        <v>0</v>
      </c>
      <c r="X4" s="96"/>
      <c r="Y4" s="94" t="str">
        <f t="array" ref="Y4">INDEX('DT Short List'!F:F,MATCH(A4,'DT Short List'!A:A,0))</f>
        <v>Invite Next Year</v>
      </c>
    </row>
    <row r="5" spans="1:25" ht="88">
      <c r="A5" s="97" t="s">
        <v>64</v>
      </c>
      <c r="B5" s="98" t="str">
        <f t="array" ref="B5">INDEX(Interview,MATCH(A5,Name,0))</f>
        <v>Invite</v>
      </c>
      <c r="C5" s="98" t="str">
        <f t="array" ref="C5">INDEX(Track,MATCH(A5,Name,0))</f>
        <v>Deep Tech</v>
      </c>
      <c r="D5" s="99">
        <f t="array" ref="D5">INDEX(Score,MATCH(A5,Name,0))</f>
        <v>5</v>
      </c>
      <c r="E5" s="100">
        <f t="array" aca="1" ref="E5" ca="1">INDEX(Date,MATCH(A5,Name,0))</f>
        <v>44789</v>
      </c>
      <c r="F5" s="98" t="s">
        <v>13310</v>
      </c>
      <c r="G5" s="98" t="s">
        <v>13311</v>
      </c>
      <c r="H5" s="98" t="str">
        <f t="array" ref="H5">IFERROR(INDEX('2022-2023 Third Reviews'!K:K,MATCH(A5,'2022-2023 Third Reviews'!C:C,0)),"")</f>
        <v/>
      </c>
      <c r="I5" s="101" t="s">
        <v>10905</v>
      </c>
      <c r="J5" s="101" t="s">
        <v>463</v>
      </c>
      <c r="K5" s="101" t="str">
        <f t="array" ref="K5">IFERROR(INDEX('2022-2023 Third Reviews'!L:L,MATCH(A5,'2022-2023 Third Reviews'!C:C,0)),"")</f>
        <v/>
      </c>
      <c r="L5" s="102" t="str">
        <f t="array" ref="L5">INDEX(AppNotes,MATCH(A5,Name,0))</f>
        <v>change to DT; Strong expert Team; applied last year strong interview last year; non EFL staff/mentor interviews, but other feedback was "does not seem coachable" Make sure EFL TEAM interviews</v>
      </c>
      <c r="M5" s="103" t="str">
        <f t="array" aca="1" ref="M5" ca="1">INDEX(Team,MATCH(A5,'Key Metrics'!B:B,0))</f>
        <v>Woman, Woman</v>
      </c>
      <c r="N5" s="99" t="str">
        <f t="array" aca="1" ref="N5" ca="1">IF(INDEX('Key Metrics'!F:F,MATCH(A5,'Key Metrics'!B:B,0))="Woman","Yes","")</f>
        <v>Yes</v>
      </c>
      <c r="O5" s="99" t="str">
        <f t="shared" ca="1" si="0"/>
        <v>Yes</v>
      </c>
      <c r="P5" s="104" t="str">
        <f t="array" ref="P5">INDEX(Referral,MATCH(A5,Name,0))</f>
        <v>Alan Pereira - Seldor Capital</v>
      </c>
      <c r="Q5" s="104">
        <f t="array" aca="1" ref="Q5" ca="1">IF(INDEX(NYUAfillType,MATCH(A5,'Key Metrics'!B:B,0))="Other (please specify)",INDEX('Key Metrics'!N:N,MATCH(A5,'Key Metrics'!B:B,0)),INDEX(NYUAfillType,MATCH(A5,'Key Metrics'!B:B,0)))</f>
        <v>0</v>
      </c>
      <c r="R5" s="105" t="str">
        <f t="array" aca="1" ref="R5" ca="1">IF(INDEX('Key Metrics'!Q:Q,MATCH(A5,'Key Metrics'!B:B,0))="No","",INDEX('Key Metrics'!Q:Q,MATCH(A5,'Key Metrics'!B:B,0)))</f>
        <v>Yes</v>
      </c>
      <c r="S5" s="106" t="str">
        <f t="shared" si="1"/>
        <v>Invite</v>
      </c>
      <c r="T5" s="107" t="s">
        <v>18</v>
      </c>
      <c r="U5" s="107" t="b">
        <v>0</v>
      </c>
      <c r="V5" s="107" t="b">
        <v>0</v>
      </c>
      <c r="W5" s="107" t="b">
        <v>0</v>
      </c>
      <c r="X5" s="108"/>
      <c r="Y5" s="106" t="str">
        <f t="array" ref="Y5">INDEX('DT Short List'!F:F,MATCH(A5,'DT Short List'!A:A,0))</f>
        <v>Invite</v>
      </c>
    </row>
    <row r="6" spans="1:25" ht="55" hidden="1">
      <c r="A6" s="109" t="s">
        <v>65</v>
      </c>
      <c r="B6" s="86" t="str">
        <f t="array" ref="B6">INDEX(Interview,MATCH(A6,Name,0))</f>
        <v>Invite</v>
      </c>
      <c r="C6" s="86" t="str">
        <f t="array" ref="C6">INDEX(Track,MATCH(A6,Name,0))</f>
        <v>Deep Tech</v>
      </c>
      <c r="D6" s="87">
        <f t="array" ref="D6">INDEX(Score,MATCH(A6,Name,0))</f>
        <v>4.25</v>
      </c>
      <c r="E6" s="88">
        <f t="array" aca="1" ref="E6" ca="1">INDEX(Date,MATCH(A6,Name,0))</f>
        <v>44782</v>
      </c>
      <c r="F6" s="86" t="s">
        <v>13306</v>
      </c>
      <c r="G6" s="86" t="s">
        <v>13312</v>
      </c>
      <c r="H6" s="86" t="str">
        <f t="array" aca="1" ref="H6" ca="1">IFERROR(INDEX('2022-2023 Third Reviews'!K:K,MATCH(A6,'2022-2023 Third Reviews'!C:C,0)),"")</f>
        <v>Nick Schmandt
5</v>
      </c>
      <c r="I6" s="89" t="s">
        <v>10420</v>
      </c>
      <c r="J6" s="89" t="s">
        <v>10421</v>
      </c>
      <c r="K6" s="89" t="str">
        <f t="array" aca="1" ref="K6" ca="1">IFERROR(INDEX('2022-2023 Third Reviews'!L:L,MATCH(A6,'2022-2023 Third Reviews'!C:C,0)),"")</f>
        <v>Very solid revenue income</v>
      </c>
      <c r="L6" s="90">
        <f t="array" ref="L6">INDEX(AppNotes,MATCH(A6,Name,0))</f>
        <v>0</v>
      </c>
      <c r="M6" s="91" t="str">
        <f t="array" aca="1" ref="M6" ca="1">INDEX(Team,MATCH(A6,'Key Metrics'!B:B,0))</f>
        <v>Man, Man</v>
      </c>
      <c r="N6" s="87" t="str">
        <f t="array" aca="1" ref="N6" ca="1">IF(INDEX('Key Metrics'!F:F,MATCH(A6,'Key Metrics'!B:B,0))="Woman","Yes","")</f>
        <v/>
      </c>
      <c r="O6" s="87" t="str">
        <f t="shared" ca="1" si="0"/>
        <v/>
      </c>
      <c r="P6" s="92">
        <f t="array" ref="P6">INDEX(Referral,MATCH(A6,Name,0))</f>
        <v>0</v>
      </c>
      <c r="Q6" s="92">
        <f t="array" aca="1" ref="Q6" ca="1">IF(INDEX(NYUAfillType,MATCH(A6,'Key Metrics'!B:B,0))="Other (please specify)",INDEX('Key Metrics'!N:N,MATCH(A6,'Key Metrics'!B:B,0)),INDEX(NYUAfillType,MATCH(A6,'Key Metrics'!B:B,0)))</f>
        <v>0</v>
      </c>
      <c r="R6" s="93" t="str">
        <f t="array" aca="1" ref="R6" ca="1">IF(INDEX('Key Metrics'!Q:Q,MATCH(A6,'Key Metrics'!B:B,0))="No","",INDEX('Key Metrics'!Q:Q,MATCH(A6,'Key Metrics'!B:B,0)))</f>
        <v/>
      </c>
      <c r="S6" s="94" t="str">
        <f t="shared" si="1"/>
        <v>Invite</v>
      </c>
      <c r="T6" s="95" t="s">
        <v>18</v>
      </c>
      <c r="U6" s="95" t="b">
        <v>0</v>
      </c>
      <c r="V6" s="95" t="b">
        <v>0</v>
      </c>
      <c r="W6" s="95" t="b">
        <v>0</v>
      </c>
      <c r="X6" s="96"/>
      <c r="Y6" s="94" t="str">
        <f t="array" ref="Y6">INDEX('DT Short List'!F:F,MATCH(A6,'DT Short List'!A:A,0))</f>
        <v>Invite</v>
      </c>
    </row>
    <row r="7" spans="1:25" ht="33" hidden="1">
      <c r="A7" s="97" t="s">
        <v>66</v>
      </c>
      <c r="B7" s="98" t="str">
        <f t="array" ref="B7">INDEX(Interview,MATCH(A7,Name,0))</f>
        <v>Revisit/ Cluster</v>
      </c>
      <c r="C7" s="98" t="str">
        <f t="array" ref="C7">INDEX(Track,MATCH(A7,Name,0))</f>
        <v>Deep Tech</v>
      </c>
      <c r="D7" s="99">
        <f t="array" ref="D7">INDEX(Score,MATCH(A7,Name,0))</f>
        <v>3.5</v>
      </c>
      <c r="E7" s="100">
        <f t="array" aca="1" ref="E7" ca="1">INDEX(Date,MATCH(A7,Name,0))</f>
        <v>44782</v>
      </c>
      <c r="F7" s="98" t="s">
        <v>13313</v>
      </c>
      <c r="G7" s="98" t="s">
        <v>13314</v>
      </c>
      <c r="H7" s="98" t="str">
        <f t="array" aca="1" ref="H7" ca="1">IFERROR(INDEX('2022-2023 Third Reviews'!K:K,MATCH(A7,'2022-2023 Third Reviews'!C:C,0)),"")</f>
        <v>Jason Yu
5</v>
      </c>
      <c r="I7" s="101" t="s">
        <v>9459</v>
      </c>
      <c r="J7" s="101" t="s">
        <v>9460</v>
      </c>
      <c r="K7" s="101" t="str">
        <f t="array" aca="1" ref="K7" ca="1">IFERROR(INDEX('2022-2023 Third Reviews'!L:L,MATCH(A7,'2022-2023 Third Reviews'!C:C,0)),"")</f>
        <v>Viable and proven product. Their current goal is following funding, build a batch of our imaging technology platform and sell them at a preferred rate to leading institutions.</v>
      </c>
      <c r="L7" s="102" t="str">
        <f t="array" ref="L7">INDEX(AppNotes,MATCH(A7,Name,0))</f>
        <v>change to DT; cluster with other similar</v>
      </c>
      <c r="M7" s="103" t="str">
        <f t="array" aca="1" ref="M7" ca="1">INDEX(Team,MATCH(A7,'Key Metrics'!B:B,0))</f>
        <v>Man, Man, Man</v>
      </c>
      <c r="N7" s="99" t="str">
        <f t="array" aca="1" ref="N7" ca="1">IF(INDEX('Key Metrics'!F:F,MATCH(A7,'Key Metrics'!B:B,0))="Woman","Yes","")</f>
        <v/>
      </c>
      <c r="O7" s="99" t="str">
        <f t="shared" ca="1" si="0"/>
        <v/>
      </c>
      <c r="P7" s="104">
        <f t="array" ref="P7">INDEX(Referral,MATCH(A7,Name,0))</f>
        <v>0</v>
      </c>
      <c r="Q7" s="104">
        <f t="array" aca="1" ref="Q7" ca="1">IF(INDEX(NYUAfillType,MATCH(A7,'Key Metrics'!B:B,0))="Other (please specify)",INDEX('Key Metrics'!N:N,MATCH(A7,'Key Metrics'!B:B,0)),INDEX(NYUAfillType,MATCH(A7,'Key Metrics'!B:B,0)))</f>
        <v>0</v>
      </c>
      <c r="R7" s="105" t="str">
        <f t="array" aca="1" ref="R7" ca="1">IF(INDEX('Key Metrics'!Q:Q,MATCH(A7,'Key Metrics'!B:B,0))="No","",INDEX('Key Metrics'!Q:Q,MATCH(A7,'Key Metrics'!B:B,0)))</f>
        <v/>
      </c>
      <c r="S7" s="106" t="str">
        <f t="shared" si="1"/>
        <v>Revisit</v>
      </c>
      <c r="T7" s="107" t="s">
        <v>19</v>
      </c>
      <c r="U7" s="107" t="b">
        <v>0</v>
      </c>
      <c r="V7" s="107" t="b">
        <v>0</v>
      </c>
      <c r="W7" s="107" t="b">
        <v>0</v>
      </c>
      <c r="X7" s="108"/>
      <c r="Y7" s="106" t="e">
        <f t="array" ref="Y7">INDEX('DT Short List'!F:F,MATCH(A7,'DT Short List'!A:A,0))</f>
        <v>#N/A</v>
      </c>
    </row>
    <row r="8" spans="1:25" ht="55">
      <c r="A8" s="109" t="s">
        <v>67</v>
      </c>
      <c r="B8" s="86" t="str">
        <f t="array" ref="B8">INDEX(Interview,MATCH(A8,Name,0))</f>
        <v>Revisit/ Cluster</v>
      </c>
      <c r="C8" s="86" t="str">
        <f t="array" ref="C8">INDEX(Track,MATCH(A8,Name,0))</f>
        <v>Deep Tech</v>
      </c>
      <c r="D8" s="87">
        <f t="array" ref="D8">INDEX(Score,MATCH(A8,Name,0))</f>
        <v>4</v>
      </c>
      <c r="E8" s="88">
        <f t="array" aca="1" ref="E8" ca="1">INDEX(Date,MATCH(A8,Name,0))</f>
        <v>44784</v>
      </c>
      <c r="F8" s="86" t="s">
        <v>13315</v>
      </c>
      <c r="G8" s="86" t="s">
        <v>13314</v>
      </c>
      <c r="H8" s="86" t="str">
        <f t="array" aca="1" ref="H8" ca="1">IFERROR(INDEX('2022-2023 Third Reviews'!K:K,MATCH(A8,'2022-2023 Third Reviews'!C:C,0)),"")</f>
        <v>Jason Yu
5</v>
      </c>
      <c r="I8" s="89" t="s">
        <v>489</v>
      </c>
      <c r="J8" s="89" t="s">
        <v>490</v>
      </c>
      <c r="K8" s="89" t="str">
        <f t="array" aca="1" ref="K8" ca="1">IFERROR(INDEX('2022-2023 Third Reviews'!L:L,MATCH(A8,'2022-2023 Third Reviews'!C:C,0)),"")</f>
        <v>Experienced founders. Affiliated with a number of other startup programs. Viable product. "Currently, the biggest obstacle to our success is related to supply chain issues that could cause manufacturing delays, due to shortages in electronic components."</v>
      </c>
      <c r="L8" s="90" t="str">
        <f t="array" ref="L8">INDEX(AppNotes,MATCH(A8,Name,0))</f>
        <v>Change to DT; variable device like AppleWatch; recognizes strokes and connects to healthcare providers in real time; team is from Yale; have decent raise so far; moving to clinical trials in next 6mos; tech is not well explained in terms of how is is detecting strokes in wearers: to be uncovered in interviews</v>
      </c>
      <c r="M8" s="91" t="str">
        <f t="array" aca="1" ref="M8" ca="1">INDEX(Team,MATCH(A8,'Key Metrics'!B:B,0))</f>
        <v>Woman, Man, Man</v>
      </c>
      <c r="N8" s="87" t="str">
        <f t="array" aca="1" ref="N8" ca="1">IF(INDEX('Key Metrics'!F:F,MATCH(A8,'Key Metrics'!B:B,0))="Woman","Yes","")</f>
        <v>Yes</v>
      </c>
      <c r="O8" s="87" t="str">
        <f t="shared" ca="1" si="0"/>
        <v>Yes</v>
      </c>
      <c r="P8" s="92">
        <f t="array" ref="P8">INDEX(Referral,MATCH(A8,Name,0))</f>
        <v>0</v>
      </c>
      <c r="Q8" s="92">
        <f t="array" aca="1" ref="Q8" ca="1">IF(INDEX(NYUAfillType,MATCH(A8,'Key Metrics'!B:B,0))="Other (please specify)",INDEX('Key Metrics'!N:N,MATCH(A8,'Key Metrics'!B:B,0)),INDEX(NYUAfillType,MATCH(A8,'Key Metrics'!B:B,0)))</f>
        <v>0</v>
      </c>
      <c r="R8" s="93" t="str">
        <f t="array" aca="1" ref="R8" ca="1">IF(INDEX('Key Metrics'!Q:Q,MATCH(A8,'Key Metrics'!B:B,0))="No","",INDEX('Key Metrics'!Q:Q,MATCH(A8,'Key Metrics'!B:B,0)))</f>
        <v/>
      </c>
      <c r="S8" s="94" t="str">
        <f t="shared" si="1"/>
        <v>Invite</v>
      </c>
      <c r="T8" s="95" t="s">
        <v>18</v>
      </c>
      <c r="U8" s="95" t="b">
        <v>0</v>
      </c>
      <c r="V8" s="95" t="b">
        <v>0</v>
      </c>
      <c r="W8" s="95" t="b">
        <v>0</v>
      </c>
      <c r="X8" s="96"/>
      <c r="Y8" s="94" t="str">
        <f t="array" ref="Y8">INDEX('DT Short List'!F:F,MATCH(A8,'DT Short List'!A:A,0))</f>
        <v>Invite</v>
      </c>
    </row>
    <row r="9" spans="1:25" ht="33">
      <c r="A9" s="97" t="s">
        <v>68</v>
      </c>
      <c r="B9" s="98" t="str">
        <f t="array" ref="B9">INDEX(Interview,MATCH(A9,Name,0))</f>
        <v>Invite</v>
      </c>
      <c r="C9" s="98" t="str">
        <f t="array" ref="C9">INDEX(Track,MATCH(A9,Name,0))</f>
        <v>Deep Tech</v>
      </c>
      <c r="D9" s="99">
        <f t="array" ref="D9">INDEX(Score,MATCH(A9,Name,0))</f>
        <v>4</v>
      </c>
      <c r="E9" s="100">
        <f t="array" aca="1" ref="E9" ca="1">INDEX(Date,MATCH(A9,Name,0))</f>
        <v>44782</v>
      </c>
      <c r="F9" s="98" t="s">
        <v>13306</v>
      </c>
      <c r="G9" s="98" t="s">
        <v>13316</v>
      </c>
      <c r="H9" s="98" t="str">
        <f t="array" aca="1" ref="H9" ca="1">IFERROR(INDEX('2022-2023 Third Reviews'!K:K,MATCH(A9,'2022-2023 Third Reviews'!C:C,0)),"")</f>
        <v>Nick Schmandt
4</v>
      </c>
      <c r="I9" s="101" t="s">
        <v>10503</v>
      </c>
      <c r="J9" s="101" t="s">
        <v>10504</v>
      </c>
      <c r="K9" s="101" t="str">
        <f t="array" aca="1" ref="K9" ca="1">IFERROR(INDEX('2022-2023 Third Reviews'!L:L,MATCH(A9,'2022-2023 Third Reviews'!C:C,0)),"")</f>
        <v>I would like to know more details about the size of their addressable market. If this is robust and they have a strong number of use cases, the product is likely to have a bright future.</v>
      </c>
      <c r="L9" s="102">
        <f t="array" ref="L9">INDEX(AppNotes,MATCH(A9,Name,0))</f>
        <v>0</v>
      </c>
      <c r="M9" s="103" t="str">
        <f t="array" aca="1" ref="M9" ca="1">INDEX(Team,MATCH(A9,'Key Metrics'!B:B,0))</f>
        <v>Woman, Woman, Man</v>
      </c>
      <c r="N9" s="99" t="str">
        <f t="array" aca="1" ref="N9" ca="1">IF(INDEX('Key Metrics'!F:F,MATCH(A9,'Key Metrics'!B:B,0))="Woman","Yes","")</f>
        <v>Yes</v>
      </c>
      <c r="O9" s="99" t="str">
        <f t="shared" ca="1" si="0"/>
        <v>Yes</v>
      </c>
      <c r="P9" s="104">
        <f t="array" ref="P9">INDEX(Referral,MATCH(A9,Name,0))</f>
        <v>0</v>
      </c>
      <c r="Q9" s="104">
        <f t="array" aca="1" ref="Q9" ca="1">IF(INDEX(NYUAfillType,MATCH(A9,'Key Metrics'!B:B,0))="Other (please specify)",INDEX('Key Metrics'!N:N,MATCH(A9,'Key Metrics'!B:B,0)),INDEX(NYUAfillType,MATCH(A9,'Key Metrics'!B:B,0)))</f>
        <v>0</v>
      </c>
      <c r="R9" s="105" t="str">
        <f t="array" aca="1" ref="R9" ca="1">IF(INDEX('Key Metrics'!Q:Q,MATCH(A9,'Key Metrics'!B:B,0))="No","",INDEX('Key Metrics'!Q:Q,MATCH(A9,'Key Metrics'!B:B,0)))</f>
        <v>Yes</v>
      </c>
      <c r="S9" s="106" t="str">
        <f t="shared" si="1"/>
        <v>Invite</v>
      </c>
      <c r="T9" s="107" t="s">
        <v>18</v>
      </c>
      <c r="U9" s="107" t="b">
        <v>0</v>
      </c>
      <c r="V9" s="107" t="b">
        <v>0</v>
      </c>
      <c r="W9" s="107" t="b">
        <v>0</v>
      </c>
      <c r="X9" s="108"/>
      <c r="Y9" s="106" t="str">
        <f t="array" ref="Y9">INDEX('DT Short List'!F:F,MATCH(A9,'DT Short List'!A:A,0))</f>
        <v>Invite</v>
      </c>
    </row>
    <row r="10" spans="1:25" ht="44">
      <c r="A10" s="109" t="s">
        <v>69</v>
      </c>
      <c r="B10" s="86" t="str">
        <f t="array" ref="B10">INDEX(Interview,MATCH(A10,Name,0))</f>
        <v>Invite</v>
      </c>
      <c r="C10" s="86" t="str">
        <f t="array" ref="C10">INDEX(Track,MATCH(A10,Name,0))</f>
        <v>Deep Tech</v>
      </c>
      <c r="D10" s="87">
        <f t="array" ref="D10">INDEX(Score,MATCH(A10,Name,0))</f>
        <v>5</v>
      </c>
      <c r="E10" s="88">
        <f t="array" aca="1" ref="E10" ca="1">INDEX(Date,MATCH(A10,Name,0))</f>
        <v>44776</v>
      </c>
      <c r="F10" s="86" t="s">
        <v>13317</v>
      </c>
      <c r="G10" s="86" t="s">
        <v>13318</v>
      </c>
      <c r="H10" s="86" t="str">
        <f t="array" ref="H10">IFERROR(INDEX('2022-2023 Third Reviews'!K:K,MATCH(A10,'2022-2023 Third Reviews'!C:C,0)),"")</f>
        <v/>
      </c>
      <c r="I10" s="89" t="s">
        <v>481</v>
      </c>
      <c r="J10" s="89" t="s">
        <v>11454</v>
      </c>
      <c r="K10" s="89" t="str">
        <f t="array" ref="K10">IFERROR(INDEX('2022-2023 Third Reviews'!L:L,MATCH(A10,'2022-2023 Third Reviews'!C:C,0)),"")</f>
        <v/>
      </c>
      <c r="L10" s="90" t="str">
        <f t="array" ref="L10">INDEX(AppNotes,MATCH(A10,Name,0))</f>
        <v>Missed similar company previously; good mission and partnerships in UK with affordable housing; strong room to grow</v>
      </c>
      <c r="M10" s="91" t="str">
        <f t="array" aca="1" ref="M10" ca="1">INDEX(Team,MATCH(A10,'Key Metrics'!B:B,0))</f>
        <v>Woman, Man, Woman</v>
      </c>
      <c r="N10" s="87" t="str">
        <f t="array" aca="1" ref="N10" ca="1">IF(INDEX('Key Metrics'!F:F,MATCH(A10,'Key Metrics'!B:B,0))="Woman","Yes","")</f>
        <v>Yes</v>
      </c>
      <c r="O10" s="87" t="str">
        <f t="shared" ca="1" si="0"/>
        <v>Yes</v>
      </c>
      <c r="P10" s="92">
        <f t="array" ref="P10">INDEX(Referral,MATCH(A10,Name,0))</f>
        <v>0</v>
      </c>
      <c r="Q10" s="92">
        <f t="array" aca="1" ref="Q10" ca="1">IF(INDEX(NYUAfillType,MATCH(A10,'Key Metrics'!B:B,0))="Other (please specify)",INDEX('Key Metrics'!N:N,MATCH(A10,'Key Metrics'!B:B,0)),INDEX(NYUAfillType,MATCH(A10,'Key Metrics'!B:B,0)))</f>
        <v>0</v>
      </c>
      <c r="R10" s="93" t="str">
        <f t="array" aca="1" ref="R10" ca="1">IF(INDEX('Key Metrics'!Q:Q,MATCH(A10,'Key Metrics'!B:B,0))="No","",INDEX('Key Metrics'!Q:Q,MATCH(A10,'Key Metrics'!B:B,0)))</f>
        <v/>
      </c>
      <c r="S10" s="94" t="str">
        <f t="shared" si="1"/>
        <v>Invite</v>
      </c>
      <c r="T10" s="95" t="s">
        <v>18</v>
      </c>
      <c r="U10" s="95" t="b">
        <v>0</v>
      </c>
      <c r="V10" s="95" t="b">
        <v>0</v>
      </c>
      <c r="W10" s="95" t="b">
        <v>0</v>
      </c>
      <c r="X10" s="96"/>
      <c r="Y10" s="94" t="str">
        <f t="array" ref="Y10">INDEX('DT Short List'!F:F,MATCH(A10,'DT Short List'!A:A,0))</f>
        <v>Invite</v>
      </c>
    </row>
    <row r="11" spans="1:25" ht="44" hidden="1">
      <c r="A11" s="97" t="s">
        <v>70</v>
      </c>
      <c r="B11" s="98" t="str">
        <f t="array" ref="B11">INDEX(Interview,MATCH(A11,Name,0))</f>
        <v>Invite</v>
      </c>
      <c r="C11" s="98" t="str">
        <f t="array" ref="C11">INDEX(Track,MATCH(A11,Name,0))</f>
        <v>Deep Tech</v>
      </c>
      <c r="D11" s="99">
        <f t="array" ref="D11">INDEX(Score,MATCH(A11,Name,0))</f>
        <v>4</v>
      </c>
      <c r="E11" s="100">
        <f t="array" aca="1" ref="E11" ca="1">INDEX(Date,MATCH(A11,Name,0))</f>
        <v>44782</v>
      </c>
      <c r="F11" s="98" t="s">
        <v>13319</v>
      </c>
      <c r="G11" s="98" t="s">
        <v>13320</v>
      </c>
      <c r="H11" s="98" t="str">
        <f t="array" aca="1" ref="H11" ca="1">IFERROR(INDEX('2022-2023 Third Reviews'!K:K,MATCH(A11,'2022-2023 Third Reviews'!C:C,0)),"")</f>
        <v>Nick Schmandt
4</v>
      </c>
      <c r="I11" s="101" t="s">
        <v>2248</v>
      </c>
      <c r="J11" s="101" t="s">
        <v>481</v>
      </c>
      <c r="K11" s="101" t="str">
        <f t="array" aca="1" ref="K11" ca="1">IFERROR(INDEX('2022-2023 Third Reviews'!L:L,MATCH(A11,'2022-2023 Third Reviews'!C:C,0)),"")</f>
        <v>Great product, long road to marketability, and questionable team experience.</v>
      </c>
      <c r="L11" s="102" t="str">
        <f t="array" ref="L11">INDEX(AppNotes,MATCH(A11,Name,0))</f>
        <v>change to DT; Y com grads</v>
      </c>
      <c r="M11" s="103" t="str">
        <f t="array" aca="1" ref="M11" ca="1">INDEX(Team,MATCH(A11,'Key Metrics'!B:B,0))</f>
        <v>Man, Man</v>
      </c>
      <c r="N11" s="99" t="str">
        <f t="array" aca="1" ref="N11" ca="1">IF(INDEX('Key Metrics'!F:F,MATCH(A11,'Key Metrics'!B:B,0))="Woman","Yes","")</f>
        <v/>
      </c>
      <c r="O11" s="99" t="str">
        <f t="shared" ca="1" si="0"/>
        <v/>
      </c>
      <c r="P11" s="104">
        <f t="array" ref="P11">INDEX(Referral,MATCH(A11,Name,0))</f>
        <v>0</v>
      </c>
      <c r="Q11" s="104">
        <f t="array" aca="1" ref="Q11" ca="1">IF(INDEX(NYUAfillType,MATCH(A11,'Key Metrics'!B:B,0))="Other (please specify)",INDEX('Key Metrics'!N:N,MATCH(A11,'Key Metrics'!B:B,0)),INDEX(NYUAfillType,MATCH(A11,'Key Metrics'!B:B,0)))</f>
        <v>0</v>
      </c>
      <c r="R11" s="105" t="str">
        <f t="array" aca="1" ref="R11" ca="1">IF(INDEX('Key Metrics'!Q:Q,MATCH(A11,'Key Metrics'!B:B,0))="No","",INDEX('Key Metrics'!Q:Q,MATCH(A11,'Key Metrics'!B:B,0)))</f>
        <v/>
      </c>
      <c r="S11" s="106" t="str">
        <f t="shared" si="1"/>
        <v>Invite Next Year</v>
      </c>
      <c r="T11" s="107" t="s">
        <v>24</v>
      </c>
      <c r="U11" s="107" t="b">
        <v>0</v>
      </c>
      <c r="V11" s="107" t="b">
        <v>0</v>
      </c>
      <c r="W11" s="107" t="b">
        <v>0</v>
      </c>
      <c r="X11" s="108"/>
      <c r="Y11" s="106" t="str">
        <f t="array" ref="Y11">INDEX('DT Short List'!F:F,MATCH(A11,'DT Short List'!A:A,0))</f>
        <v>Invite Next Year</v>
      </c>
    </row>
    <row r="12" spans="1:25" ht="55" hidden="1">
      <c r="A12" s="109" t="s">
        <v>71</v>
      </c>
      <c r="B12" s="86" t="str">
        <f t="array" ref="B12">INDEX(Interview,MATCH(A12,Name,0))</f>
        <v>Invite</v>
      </c>
      <c r="C12" s="86" t="str">
        <f t="array" ref="C12">INDEX(Track,MATCH(A12,Name,0))</f>
        <v>Deep Tech</v>
      </c>
      <c r="D12" s="87">
        <f t="array" ref="D12">INDEX(Score,MATCH(A12,Name,0))</f>
        <v>4</v>
      </c>
      <c r="E12" s="88">
        <f t="array" aca="1" ref="E12" ca="1">INDEX(Date,MATCH(A12,Name,0))</f>
        <v>44776</v>
      </c>
      <c r="F12" s="86" t="s">
        <v>13305</v>
      </c>
      <c r="G12" s="86" t="s">
        <v>13312</v>
      </c>
      <c r="H12" s="86" t="str">
        <f t="array" ref="H12">IFERROR(INDEX('2022-2023 Third Reviews'!K:K,MATCH(A12,'2022-2023 Third Reviews'!C:C,0)),"")</f>
        <v/>
      </c>
      <c r="I12" s="89" t="s">
        <v>515</v>
      </c>
      <c r="J12" s="89" t="s">
        <v>11451</v>
      </c>
      <c r="K12" s="89" t="str">
        <f t="array" ref="K12">IFERROR(INDEX('2022-2023 Third Reviews'!L:L,MATCH(A12,'2022-2023 Third Reviews'!C:C,0)),"")</f>
        <v/>
      </c>
      <c r="L12" s="90">
        <f t="array" ref="L12">INDEX(AppNotes,MATCH(A12,Name,0))</f>
        <v>0</v>
      </c>
      <c r="M12" s="91" t="str">
        <f t="array" aca="1" ref="M12" ca="1">INDEX(Team,MATCH(A12,'Key Metrics'!B:B,0))</f>
        <v>Man</v>
      </c>
      <c r="N12" s="87" t="str">
        <f t="array" aca="1" ref="N12" ca="1">IF(INDEX('Key Metrics'!F:F,MATCH(A12,'Key Metrics'!B:B,0))="Woman","Yes","")</f>
        <v/>
      </c>
      <c r="O12" s="87" t="str">
        <f t="shared" ca="1" si="0"/>
        <v/>
      </c>
      <c r="P12" s="92">
        <f t="array" ref="P12">INDEX(Referral,MATCH(A12,Name,0))</f>
        <v>0</v>
      </c>
      <c r="Q12" s="92">
        <f t="array" aca="1" ref="Q12" ca="1">IF(INDEX(NYUAfillType,MATCH(A12,'Key Metrics'!B:B,0))="Other (please specify)",INDEX('Key Metrics'!N:N,MATCH(A12,'Key Metrics'!B:B,0)),INDEX(NYUAfillType,MATCH(A12,'Key Metrics'!B:B,0)))</f>
        <v>0</v>
      </c>
      <c r="R12" s="93" t="str">
        <f t="array" aca="1" ref="R12" ca="1">IF(INDEX('Key Metrics'!Q:Q,MATCH(A12,'Key Metrics'!B:B,0))="No","",INDEX('Key Metrics'!Q:Q,MATCH(A12,'Key Metrics'!B:B,0)))</f>
        <v/>
      </c>
      <c r="S12" s="94" t="str">
        <f t="shared" si="1"/>
        <v>Invite</v>
      </c>
      <c r="T12" s="95" t="s">
        <v>18</v>
      </c>
      <c r="U12" s="95" t="b">
        <v>0</v>
      </c>
      <c r="V12" s="95" t="b">
        <v>0</v>
      </c>
      <c r="W12" s="95" t="b">
        <v>0</v>
      </c>
      <c r="X12" s="96"/>
      <c r="Y12" s="94" t="str">
        <f t="array" ref="Y12">INDEX('DT Short List'!F:F,MATCH(A12,'DT Short List'!A:A,0))</f>
        <v>Invite</v>
      </c>
    </row>
    <row r="13" spans="1:25" ht="44" hidden="1">
      <c r="A13" s="97" t="s">
        <v>72</v>
      </c>
      <c r="B13" s="98" t="str">
        <f t="array" ref="B13">INDEX(Interview,MATCH(A13,Name,0))</f>
        <v>Invite</v>
      </c>
      <c r="C13" s="98" t="str">
        <f t="array" ref="C13">INDEX(Track,MATCH(A13,Name,0))</f>
        <v>Deep Tech</v>
      </c>
      <c r="D13" s="99">
        <f t="array" ref="D13">INDEX(Score,MATCH(A13,Name,0))</f>
        <v>4.75</v>
      </c>
      <c r="E13" s="100">
        <f t="array" aca="1" ref="E13" ca="1">INDEX(Date,MATCH(A13,Name,0))</f>
        <v>44784</v>
      </c>
      <c r="F13" s="98" t="s">
        <v>13306</v>
      </c>
      <c r="G13" s="98" t="s">
        <v>13318</v>
      </c>
      <c r="H13" s="98" t="str">
        <f t="array" ref="H13">IFERROR(INDEX('2022-2023 Third Reviews'!K:K,MATCH(A13,'2022-2023 Third Reviews'!C:C,0)),"")</f>
        <v/>
      </c>
      <c r="I13" s="101" t="s">
        <v>11266</v>
      </c>
      <c r="J13" s="101" t="s">
        <v>11267</v>
      </c>
      <c r="K13" s="101" t="str">
        <f t="array" ref="K13">IFERROR(INDEX('2022-2023 Third Reviews'!L:L,MATCH(A13,'2022-2023 Third Reviews'!C:C,0)),"")</f>
        <v/>
      </c>
      <c r="L13" s="102" t="str">
        <f t="array" ref="L13">INDEX(AppNotes,MATCH(A13,Name,0))</f>
        <v>application specific quantum computing; different approach than the more general quantum computing companies</v>
      </c>
      <c r="M13" s="103" t="str">
        <f t="array" aca="1" ref="M13" ca="1">INDEX(Team,MATCH(A13,'Key Metrics'!B:B,0))</f>
        <v>Man</v>
      </c>
      <c r="N13" s="99" t="str">
        <f t="array" aca="1" ref="N13" ca="1">IF(INDEX('Key Metrics'!F:F,MATCH(A13,'Key Metrics'!B:B,0))="Woman","Yes","")</f>
        <v/>
      </c>
      <c r="O13" s="99" t="str">
        <f t="shared" ca="1" si="0"/>
        <v/>
      </c>
      <c r="P13" s="104" t="str">
        <f t="array" ref="P13">INDEX(Referral,MATCH(A13,Name,0))</f>
        <v>Yash Rohera, Surface Ventures</v>
      </c>
      <c r="Q13" s="104">
        <f t="array" aca="1" ref="Q13" ca="1">IF(INDEX(NYUAfillType,MATCH(A13,'Key Metrics'!B:B,0))="Other (please specify)",INDEX('Key Metrics'!N:N,MATCH(A13,'Key Metrics'!B:B,0)),INDEX(NYUAfillType,MATCH(A13,'Key Metrics'!B:B,0)))</f>
        <v>0</v>
      </c>
      <c r="R13" s="105" t="str">
        <f t="array" aca="1" ref="R13" ca="1">IF(INDEX('Key Metrics'!Q:Q,MATCH(A13,'Key Metrics'!B:B,0))="No","",INDEX('Key Metrics'!Q:Q,MATCH(A13,'Key Metrics'!B:B,0)))</f>
        <v/>
      </c>
      <c r="S13" s="106" t="str">
        <f t="shared" si="1"/>
        <v>Invite</v>
      </c>
      <c r="T13" s="107" t="s">
        <v>18</v>
      </c>
      <c r="U13" s="107" t="b">
        <v>0</v>
      </c>
      <c r="V13" s="107" t="b">
        <v>0</v>
      </c>
      <c r="W13" s="107" t="b">
        <v>0</v>
      </c>
      <c r="X13" s="108"/>
      <c r="Y13" s="106" t="str">
        <f t="array" ref="Y13">INDEX('DT Short List'!F:F,MATCH(A13,'DT Short List'!A:A,0))</f>
        <v>Invite</v>
      </c>
    </row>
    <row r="14" spans="1:25" ht="55" hidden="1">
      <c r="A14" s="109" t="s">
        <v>73</v>
      </c>
      <c r="B14" s="86" t="str">
        <f t="array" ref="B14">INDEX(Interview,MATCH(A14,Name,0))</f>
        <v>Revisit/ Cluster</v>
      </c>
      <c r="C14" s="86" t="str">
        <f t="array" ref="C14">INDEX(Track,MATCH(A14,Name,0))</f>
        <v>Deep Tech</v>
      </c>
      <c r="D14" s="87">
        <f t="array" ref="D14">INDEX(Score,MATCH(A14,Name,0))</f>
        <v>4</v>
      </c>
      <c r="E14" s="88">
        <f t="array" aca="1" ref="E14" ca="1">INDEX(Date,MATCH(A14,Name,0))</f>
        <v>44776</v>
      </c>
      <c r="F14" s="86" t="s">
        <v>13305</v>
      </c>
      <c r="G14" s="86" t="s">
        <v>13321</v>
      </c>
      <c r="H14" s="86" t="str">
        <f t="array" aca="1" ref="H14" ca="1">IFERROR(INDEX('2022-2023 Third Reviews'!K:K,MATCH(A14,'2022-2023 Third Reviews'!C:C,0)),"")</f>
        <v>Jason Yu
5</v>
      </c>
      <c r="I14" s="89" t="s">
        <v>481</v>
      </c>
      <c r="J14" s="89" t="s">
        <v>10207</v>
      </c>
      <c r="K14" s="89" t="str">
        <f t="array" aca="1" ref="K14" ca="1">IFERROR(INDEX('2022-2023 Third Reviews'!L:L,MATCH(A14,'2022-2023 Third Reviews'!C:C,0)),"")</f>
        <v>Tested product. The company is looking to scale. "The main risk for our success is our capacity to deliver perfect execution if we engage too many clients at the same time."</v>
      </c>
      <c r="L14" s="90" t="str">
        <f t="array" ref="L14">INDEX(AppNotes,MATCH(A14,Name,0))</f>
        <v>potential DiT</v>
      </c>
      <c r="M14" s="91" t="str">
        <f t="array" aca="1" ref="M14" ca="1">INDEX(Team,MATCH(A14,'Key Metrics'!B:B,0))</f>
        <v>Man, Man, Man, Man, Man</v>
      </c>
      <c r="N14" s="87" t="str">
        <f t="array" aca="1" ref="N14" ca="1">IF(INDEX('Key Metrics'!F:F,MATCH(A14,'Key Metrics'!B:B,0))="Woman","Yes","")</f>
        <v/>
      </c>
      <c r="O14" s="87" t="str">
        <f t="shared" ca="1" si="0"/>
        <v/>
      </c>
      <c r="P14" s="92">
        <f t="array" ref="P14">INDEX(Referral,MATCH(A14,Name,0))</f>
        <v>0</v>
      </c>
      <c r="Q14" s="92">
        <f t="array" aca="1" ref="Q14" ca="1">IF(INDEX(NYUAfillType,MATCH(A14,'Key Metrics'!B:B,0))="Other (please specify)",INDEX('Key Metrics'!N:N,MATCH(A14,'Key Metrics'!B:B,0)),INDEX(NYUAfillType,MATCH(A14,'Key Metrics'!B:B,0)))</f>
        <v>0</v>
      </c>
      <c r="R14" s="93" t="str">
        <f t="array" aca="1" ref="R14" ca="1">IF(INDEX('Key Metrics'!Q:Q,MATCH(A14,'Key Metrics'!B:B,0))="No","",INDEX('Key Metrics'!Q:Q,MATCH(A14,'Key Metrics'!B:B,0)))</f>
        <v/>
      </c>
      <c r="S14" s="94" t="str">
        <f t="shared" si="1"/>
        <v>Revisit</v>
      </c>
      <c r="T14" s="95" t="s">
        <v>19</v>
      </c>
      <c r="U14" s="95" t="b">
        <v>0</v>
      </c>
      <c r="V14" s="95" t="b">
        <v>0</v>
      </c>
      <c r="W14" s="95" t="b">
        <v>0</v>
      </c>
      <c r="X14" s="96"/>
      <c r="Y14" s="94" t="e">
        <f t="array" ref="Y14">INDEX('DT Short List'!F:F,MATCH(A14,'DT Short List'!A:A,0))</f>
        <v>#N/A</v>
      </c>
    </row>
    <row r="15" spans="1:25" ht="33" hidden="1">
      <c r="A15" s="97" t="s">
        <v>74</v>
      </c>
      <c r="B15" s="98" t="str">
        <f t="array" ref="B15">INDEX(Interview,MATCH(A15,Name,0))</f>
        <v>Revisit/ Cluster</v>
      </c>
      <c r="C15" s="98" t="str">
        <f t="array" ref="C15">INDEX(Track,MATCH(A15,Name,0))</f>
        <v>Deep Tech</v>
      </c>
      <c r="D15" s="99">
        <f t="array" ref="D15">INDEX(Score,MATCH(A15,Name,0))</f>
        <v>3.25</v>
      </c>
      <c r="E15" s="100">
        <f t="array" aca="1" ref="E15" ca="1">INDEX(Date,MATCH(A15,Name,0))</f>
        <v>44782</v>
      </c>
      <c r="F15" s="98" t="s">
        <v>13322</v>
      </c>
      <c r="G15" s="98" t="s">
        <v>13323</v>
      </c>
      <c r="H15" s="98" t="str">
        <f t="array" aca="1" ref="H15" ca="1">IFERROR(INDEX('2022-2023 Third Reviews'!K:K,MATCH(A15,'2022-2023 Third Reviews'!C:C,0)),"")</f>
        <v>Jason Yu
4</v>
      </c>
      <c r="I15" s="101" t="s">
        <v>9570</v>
      </c>
      <c r="J15" s="101" t="s">
        <v>481</v>
      </c>
      <c r="K15" s="101" t="str">
        <f t="array" aca="1" ref="K15" ca="1">IFERROR(INDEX('2022-2023 Third Reviews'!L:L,MATCH(A15,'2022-2023 Third Reviews'!C:C,0)),"")</f>
        <v>Has a viable product. Current challenges: market conditions, product market fit, funding, cashflows etc.</v>
      </c>
      <c r="L15" s="102" t="str">
        <f t="array" ref="L15">INDEX(AppNotes,MATCH(A15,Name,0))</f>
        <v>change to DT; already commercialized and in hospitals; potentially was referred by Amazon's CMO. Check on reference to confirm person. despite this not seeing a lot of innovative tech</v>
      </c>
      <c r="M15" s="103" t="str">
        <f t="array" aca="1" ref="M15" ca="1">INDEX(Team,MATCH(A15,'Key Metrics'!B:B,0))</f>
        <v>Man</v>
      </c>
      <c r="N15" s="99" t="str">
        <f t="array" aca="1" ref="N15" ca="1">IF(INDEX('Key Metrics'!F:F,MATCH(A15,'Key Metrics'!B:B,0))="Woman","Yes","")</f>
        <v/>
      </c>
      <c r="O15" s="99" t="str">
        <f t="shared" ca="1" si="0"/>
        <v/>
      </c>
      <c r="P15" s="104" t="str">
        <f t="array" ref="P15">INDEX(Referral,MATCH(A15,Name,0))</f>
        <v>Maulik Mazumdar</v>
      </c>
      <c r="Q15" s="104">
        <f t="array" aca="1" ref="Q15" ca="1">IF(INDEX(NYUAfillType,MATCH(A15,'Key Metrics'!B:B,0))="Other (please specify)",INDEX('Key Metrics'!N:N,MATCH(A15,'Key Metrics'!B:B,0)),INDEX(NYUAfillType,MATCH(A15,'Key Metrics'!B:B,0)))</f>
        <v>0</v>
      </c>
      <c r="R15" s="105" t="str">
        <f t="array" aca="1" ref="R15" ca="1">IF(INDEX('Key Metrics'!Q:Q,MATCH(A15,'Key Metrics'!B:B,0))="No","",INDEX('Key Metrics'!Q:Q,MATCH(A15,'Key Metrics'!B:B,0)))</f>
        <v/>
      </c>
      <c r="S15" s="106" t="str">
        <f t="shared" si="1"/>
        <v>Revisit</v>
      </c>
      <c r="T15" s="107" t="s">
        <v>19</v>
      </c>
      <c r="U15" s="107" t="b">
        <v>0</v>
      </c>
      <c r="V15" s="107" t="b">
        <v>0</v>
      </c>
      <c r="W15" s="107" t="b">
        <v>0</v>
      </c>
      <c r="X15" s="108"/>
      <c r="Y15" s="106" t="e">
        <f t="array" ref="Y15">INDEX('DT Short List'!F:F,MATCH(A15,'DT Short List'!A:A,0))</f>
        <v>#N/A</v>
      </c>
    </row>
    <row r="16" spans="1:25" ht="28">
      <c r="A16" s="109" t="s">
        <v>75</v>
      </c>
      <c r="B16" s="86" t="str">
        <f t="array" ref="B16">INDEX(Interview,MATCH(A16,Name,0))</f>
        <v>Invite</v>
      </c>
      <c r="C16" s="86" t="str">
        <f t="array" ref="C16">INDEX(Track,MATCH(A16,Name,0))</f>
        <v>Deep Tech</v>
      </c>
      <c r="D16" s="87">
        <f t="array" ref="D16">INDEX(Score,MATCH(A16,Name,0))</f>
        <v>4</v>
      </c>
      <c r="E16" s="88">
        <f t="array" aca="1" ref="E16" ca="1">INDEX(Date,MATCH(A16,Name,0))</f>
        <v>44776</v>
      </c>
      <c r="F16" s="86" t="s">
        <v>13306</v>
      </c>
      <c r="G16" s="86" t="s">
        <v>13309</v>
      </c>
      <c r="H16" s="86" t="str">
        <f t="array" ref="H16">IFERROR(INDEX('2022-2023 Third Reviews'!K:K,MATCH(A16,'2022-2023 Third Reviews'!C:C,0)),"")</f>
        <v/>
      </c>
      <c r="I16" s="89" t="s">
        <v>542</v>
      </c>
      <c r="J16" s="89" t="s">
        <v>11432</v>
      </c>
      <c r="K16" s="89" t="str">
        <f t="array" ref="K16">IFERROR(INDEX('2022-2023 Third Reviews'!L:L,MATCH(A16,'2022-2023 Third Reviews'!C:C,0)),"")</f>
        <v/>
      </c>
      <c r="L16" s="90">
        <f t="array" ref="L16">INDEX(AppNotes,MATCH(A16,Name,0))</f>
        <v>0</v>
      </c>
      <c r="M16" s="91" t="str">
        <f t="array" aca="1" ref="M16" ca="1">INDEX(Team,MATCH(A16,'Key Metrics'!B:B,0))</f>
        <v>Woman, Woman, Man</v>
      </c>
      <c r="N16" s="87" t="str">
        <f t="array" aca="1" ref="N16" ca="1">IF(INDEX('Key Metrics'!F:F,MATCH(A16,'Key Metrics'!B:B,0))="Woman","Yes","")</f>
        <v>Yes</v>
      </c>
      <c r="O16" s="87" t="str">
        <f t="shared" ca="1" si="0"/>
        <v>Yes</v>
      </c>
      <c r="P16" s="92">
        <f t="array" ref="P16">INDEX(Referral,MATCH(A16,Name,0))</f>
        <v>0</v>
      </c>
      <c r="Q16" s="92">
        <f t="array" aca="1" ref="Q16" ca="1">IF(INDEX(NYUAfillType,MATCH(A16,'Key Metrics'!B:B,0))="Other (please specify)",INDEX('Key Metrics'!N:N,MATCH(A16,'Key Metrics'!B:B,0)),INDEX(NYUAfillType,MATCH(A16,'Key Metrics'!B:B,0)))</f>
        <v>0</v>
      </c>
      <c r="R16" s="93" t="str">
        <f t="array" aca="1" ref="R16" ca="1">IF(INDEX('Key Metrics'!Q:Q,MATCH(A16,'Key Metrics'!B:B,0))="No","",INDEX('Key Metrics'!Q:Q,MATCH(A16,'Key Metrics'!B:B,0)))</f>
        <v/>
      </c>
      <c r="S16" s="94" t="str">
        <f t="shared" si="1"/>
        <v>Invite</v>
      </c>
      <c r="T16" s="95" t="s">
        <v>18</v>
      </c>
      <c r="U16" s="95" t="b">
        <v>0</v>
      </c>
      <c r="V16" s="95" t="b">
        <v>0</v>
      </c>
      <c r="W16" s="95" t="b">
        <v>0</v>
      </c>
      <c r="X16" s="96"/>
      <c r="Y16" s="94" t="str">
        <f t="array" ref="Y16">INDEX('DT Short List'!F:F,MATCH(A16,'DT Short List'!A:A,0))</f>
        <v>Invite</v>
      </c>
    </row>
    <row r="17" spans="1:25" ht="44">
      <c r="A17" s="97" t="s">
        <v>76</v>
      </c>
      <c r="B17" s="98" t="str">
        <f t="array" ref="B17">INDEX(Interview,MATCH(A17,Name,0))</f>
        <v>Invite Next Year</v>
      </c>
      <c r="C17" s="98" t="str">
        <f t="array" ref="C17">INDEX(Track,MATCH(A17,Name,0))</f>
        <v>Deep Tech</v>
      </c>
      <c r="D17" s="99">
        <f t="array" ref="D17">INDEX(Score,MATCH(A17,Name,0))</f>
        <v>3.5</v>
      </c>
      <c r="E17" s="100">
        <f t="array" aca="1" ref="E17" ca="1">INDEX(Date,MATCH(A17,Name,0))</f>
        <v>44796</v>
      </c>
      <c r="F17" s="98" t="s">
        <v>13324</v>
      </c>
      <c r="G17" s="98" t="s">
        <v>13307</v>
      </c>
      <c r="H17" s="98" t="str">
        <f t="array" ref="H17">IFERROR(INDEX('2022-2023 Third Reviews'!K:K,MATCH(A17,'2022-2023 Third Reviews'!C:C,0)),"")</f>
        <v/>
      </c>
      <c r="I17" s="101" t="s">
        <v>11134</v>
      </c>
      <c r="J17" s="101" t="s">
        <v>11135</v>
      </c>
      <c r="K17" s="101" t="str">
        <f t="array" ref="K17">IFERROR(INDEX('2022-2023 Third Reviews'!L:L,MATCH(A17,'2022-2023 Third Reviews'!C:C,0)),"")</f>
        <v/>
      </c>
      <c r="L17" s="102" t="str">
        <f t="array" ref="L17">INDEX(AppNotes,MATCH(A17,Name,0))</f>
        <v>fund raising issues</v>
      </c>
      <c r="M17" s="103" t="str">
        <f t="array" aca="1" ref="M17" ca="1">INDEX(Team,MATCH(A17,'Key Metrics'!B:B,0))</f>
        <v>Man, Man, Woman</v>
      </c>
      <c r="N17" s="99" t="str">
        <f t="array" aca="1" ref="N17" ca="1">IF(INDEX('Key Metrics'!F:F,MATCH(A17,'Key Metrics'!B:B,0))="Woman","Yes","")</f>
        <v/>
      </c>
      <c r="O17" s="99" t="str">
        <f t="shared" ca="1" si="0"/>
        <v>Yes</v>
      </c>
      <c r="P17" s="104">
        <f t="array" ref="P17">INDEX(Referral,MATCH(A17,Name,0))</f>
        <v>0</v>
      </c>
      <c r="Q17" s="104">
        <f t="array" aca="1" ref="Q17" ca="1">IF(INDEX(NYUAfillType,MATCH(A17,'Key Metrics'!B:B,0))="Other (please specify)",INDEX('Key Metrics'!N:N,MATCH(A17,'Key Metrics'!B:B,0)),INDEX(NYUAfillType,MATCH(A17,'Key Metrics'!B:B,0)))</f>
        <v>0</v>
      </c>
      <c r="R17" s="105" t="str">
        <f t="array" aca="1" ref="R17" ca="1">IF(INDEX('Key Metrics'!Q:Q,MATCH(A17,'Key Metrics'!B:B,0))="No","",INDEX('Key Metrics'!Q:Q,MATCH(A17,'Key Metrics'!B:B,0)))</f>
        <v/>
      </c>
      <c r="S17" s="106" t="str">
        <f t="shared" si="1"/>
        <v>Invite</v>
      </c>
      <c r="T17" s="107" t="s">
        <v>18</v>
      </c>
      <c r="U17" s="107" t="b">
        <v>0</v>
      </c>
      <c r="V17" s="107" t="b">
        <v>0</v>
      </c>
      <c r="W17" s="107" t="b">
        <v>0</v>
      </c>
      <c r="X17" s="108"/>
      <c r="Y17" s="106" t="str">
        <f t="array" ref="Y17">INDEX('DT Short List'!F:F,MATCH(A17,'DT Short List'!A:A,0))</f>
        <v>Invite</v>
      </c>
    </row>
    <row r="18" spans="1:25" ht="66">
      <c r="A18" s="109" t="s">
        <v>77</v>
      </c>
      <c r="B18" s="86" t="str">
        <f t="array" ref="B18">INDEX(Interview,MATCH(A18,Name,0))</f>
        <v>Invite</v>
      </c>
      <c r="C18" s="86" t="str">
        <f t="array" ref="C18">INDEX(Track,MATCH(A18,Name,0))</f>
        <v>Deep Tech</v>
      </c>
      <c r="D18" s="87">
        <f t="array" ref="D18">INDEX(Score,MATCH(A18,Name,0))</f>
        <v>4</v>
      </c>
      <c r="E18" s="88">
        <f t="array" aca="1" ref="E18" ca="1">INDEX(Date,MATCH(A18,Name,0))</f>
        <v>44789</v>
      </c>
      <c r="F18" s="86" t="s">
        <v>13305</v>
      </c>
      <c r="G18" s="86" t="s">
        <v>13321</v>
      </c>
      <c r="H18" s="86" t="str">
        <f t="array" ref="H18">IFERROR(INDEX('2022-2023 Third Reviews'!K:K,MATCH(A18,'2022-2023 Third Reviews'!C:C,0)),"")</f>
        <v/>
      </c>
      <c r="I18" s="89" t="s">
        <v>10782</v>
      </c>
      <c r="J18" s="89" t="s">
        <v>10783</v>
      </c>
      <c r="K18" s="89" t="str">
        <f t="array" ref="K18">IFERROR(INDEX('2022-2023 Third Reviews'!L:L,MATCH(A18,'2022-2023 Third Reviews'!C:C,0)),"")</f>
        <v/>
      </c>
      <c r="L18" s="90" t="str">
        <f t="array" ref="L18">INDEX(AppNotes,MATCH(A18,Name,0))</f>
        <v>applied LY; still struggling with fundraising but otherwise has had some growth</v>
      </c>
      <c r="M18" s="91" t="str">
        <f t="array" aca="1" ref="M18" ca="1">INDEX(Team,MATCH(A18,'Key Metrics'!B:B,0))</f>
        <v>Man, Woman, Man</v>
      </c>
      <c r="N18" s="87" t="str">
        <f t="array" aca="1" ref="N18" ca="1">IF(INDEX('Key Metrics'!F:F,MATCH(A18,'Key Metrics'!B:B,0))="Woman","Yes","")</f>
        <v/>
      </c>
      <c r="O18" s="87" t="str">
        <f t="shared" ca="1" si="0"/>
        <v>Yes</v>
      </c>
      <c r="P18" s="92">
        <f t="array" ref="P18">INDEX(Referral,MATCH(A18,Name,0))</f>
        <v>0</v>
      </c>
      <c r="Q18" s="92" t="str">
        <f t="array" aca="1" ref="Q18" ca="1">IF(INDEX(NYUAfillType,MATCH(A18,'Key Metrics'!B:B,0))="Other (please specify)",INDEX('Key Metrics'!N:N,MATCH(A18,'Key Metrics'!B:B,0)),INDEX(NYUAfillType,MATCH(A18,'Key Metrics'!B:B,0)))</f>
        <v>NYU Alumni</v>
      </c>
      <c r="R18" s="93" t="str">
        <f t="array" aca="1" ref="R18" ca="1">IF(INDEX('Key Metrics'!Q:Q,MATCH(A18,'Key Metrics'!B:B,0))="No","",INDEX('Key Metrics'!Q:Q,MATCH(A18,'Key Metrics'!B:B,0)))</f>
        <v>Yes</v>
      </c>
      <c r="S18" s="94" t="str">
        <f t="shared" si="1"/>
        <v>Invite</v>
      </c>
      <c r="T18" s="95" t="s">
        <v>18</v>
      </c>
      <c r="U18" s="95" t="b">
        <v>0</v>
      </c>
      <c r="V18" s="95" t="b">
        <v>0</v>
      </c>
      <c r="W18" s="95" t="b">
        <v>1</v>
      </c>
      <c r="X18" s="96"/>
      <c r="Y18" s="94" t="str">
        <f t="array" ref="Y18">INDEX('DT Short List'!F:F,MATCH(A18,'DT Short List'!A:A,0))</f>
        <v>Invite</v>
      </c>
    </row>
    <row r="19" spans="1:25" ht="77">
      <c r="A19" s="97" t="s">
        <v>78</v>
      </c>
      <c r="B19" s="98" t="str">
        <f t="array" ref="B19">INDEX(Interview,MATCH(A19,Name,0))</f>
        <v>Invite</v>
      </c>
      <c r="C19" s="98" t="str">
        <f t="array" ref="C19">INDEX(Track,MATCH(A19,Name,0))</f>
        <v>Deep Tech</v>
      </c>
      <c r="D19" s="99">
        <f t="array" ref="D19">INDEX(Score,MATCH(A19,Name,0))</f>
        <v>4.75</v>
      </c>
      <c r="E19" s="100">
        <f t="array" aca="1" ref="E19" ca="1">INDEX(Date,MATCH(A19,Name,0))</f>
        <v>44796</v>
      </c>
      <c r="F19" s="98" t="s">
        <v>13317</v>
      </c>
      <c r="G19" s="98" t="s">
        <v>13325</v>
      </c>
      <c r="H19" s="98" t="str">
        <f t="array" ref="H19">IFERROR(INDEX('2022-2023 Third Reviews'!K:K,MATCH(A19,'2022-2023 Third Reviews'!C:C,0)),"")</f>
        <v/>
      </c>
      <c r="I19" s="101" t="s">
        <v>10857</v>
      </c>
      <c r="J19" s="101" t="s">
        <v>10858</v>
      </c>
      <c r="K19" s="101" t="str">
        <f t="array" ref="K19">IFERROR(INDEX('2022-2023 Third Reviews'!L:L,MATCH(A19,'2022-2023 Third Reviews'!C:C,0)),"")</f>
        <v/>
      </c>
      <c r="L19" s="102" t="str">
        <f t="array" ref="L19">INDEX(AppNotes,MATCH(A19,Name,0))</f>
        <v>Strong team but interested in how tech is differentiated and how they plan to scale up;</v>
      </c>
      <c r="M19" s="103" t="str">
        <f t="array" aca="1" ref="M19" ca="1">INDEX(Team,MATCH(A19,'Key Metrics'!B:B,0))</f>
        <v>Man, Woman, Woman, Man, Man</v>
      </c>
      <c r="N19" s="99" t="str">
        <f t="array" aca="1" ref="N19" ca="1">IF(INDEX('Key Metrics'!F:F,MATCH(A19,'Key Metrics'!B:B,0))="Woman","Yes","")</f>
        <v/>
      </c>
      <c r="O19" s="99" t="str">
        <f t="shared" ca="1" si="0"/>
        <v>Yes</v>
      </c>
      <c r="P19" s="104">
        <f t="array" ref="P19">INDEX(Referral,MATCH(A19,Name,0))</f>
        <v>0</v>
      </c>
      <c r="Q19" s="104">
        <f t="array" aca="1" ref="Q19" ca="1">IF(INDEX(NYUAfillType,MATCH(A19,'Key Metrics'!B:B,0))="Other (please specify)",INDEX('Key Metrics'!N:N,MATCH(A19,'Key Metrics'!B:B,0)),INDEX(NYUAfillType,MATCH(A19,'Key Metrics'!B:B,0)))</f>
        <v>0</v>
      </c>
      <c r="R19" s="105" t="str">
        <f t="array" aca="1" ref="R19" ca="1">IF(INDEX('Key Metrics'!Q:Q,MATCH(A19,'Key Metrics'!B:B,0))="No","",INDEX('Key Metrics'!Q:Q,MATCH(A19,'Key Metrics'!B:B,0)))</f>
        <v/>
      </c>
      <c r="S19" s="106" t="str">
        <f t="shared" si="1"/>
        <v>Invite</v>
      </c>
      <c r="T19" s="107" t="s">
        <v>18</v>
      </c>
      <c r="U19" s="107" t="b">
        <v>0</v>
      </c>
      <c r="V19" s="107" t="b">
        <v>0</v>
      </c>
      <c r="W19" s="107" t="b">
        <v>0</v>
      </c>
      <c r="X19" s="108"/>
      <c r="Y19" s="106" t="str">
        <f t="array" ref="Y19">INDEX('DT Short List'!F:F,MATCH(A19,'DT Short List'!A:A,0))</f>
        <v>Invite</v>
      </c>
    </row>
    <row r="20" spans="1:25" ht="110" hidden="1">
      <c r="A20" s="109" t="s">
        <v>79</v>
      </c>
      <c r="B20" s="86" t="str">
        <f t="array" ref="B20">INDEX(Interview,MATCH(A20,Name,0))</f>
        <v>Revisit/ Cluster</v>
      </c>
      <c r="C20" s="86" t="str">
        <f t="array" ref="C20">INDEX(Track,MATCH(A20,Name,0))</f>
        <v>Deep Tech</v>
      </c>
      <c r="D20" s="87">
        <f t="array" ref="D20">INDEX(Score,MATCH(A20,Name,0))</f>
        <v>3.75</v>
      </c>
      <c r="E20" s="88">
        <f t="array" aca="1" ref="E20" ca="1">INDEX(Date,MATCH(A20,Name,0))</f>
        <v>44796</v>
      </c>
      <c r="F20" s="86" t="s">
        <v>13319</v>
      </c>
      <c r="G20" s="86" t="s">
        <v>13326</v>
      </c>
      <c r="H20" s="86" t="str">
        <f t="array" ref="H20">IFERROR(INDEX('2022-2023 Third Reviews'!K:K,MATCH(A20,'2022-2023 Third Reviews'!C:C,0)),"")</f>
        <v/>
      </c>
      <c r="I20" s="89" t="s">
        <v>2383</v>
      </c>
      <c r="J20" s="89" t="s">
        <v>2384</v>
      </c>
      <c r="K20" s="89" t="str">
        <f t="array" ref="K20">IFERROR(INDEX('2022-2023 Third Reviews'!L:L,MATCH(A20,'2022-2023 Third Reviews'!C:C,0)),"")</f>
        <v/>
      </c>
      <c r="L20" s="90" t="str">
        <f t="array" ref="L20">INDEX(AppNotes,MATCH(A20,Name,0))</f>
        <v>change to DT; Microneedle array for compound testing; CEO has 6 prior exits, though not in healthcare;</v>
      </c>
      <c r="M20" s="91" t="str">
        <f t="array" aca="1" ref="M20" ca="1">INDEX(Team,MATCH(A20,'Key Metrics'!B:B,0))</f>
        <v>Man, Man, Man</v>
      </c>
      <c r="N20" s="87" t="str">
        <f t="array" aca="1" ref="N20" ca="1">IF(INDEX('Key Metrics'!F:F,MATCH(A20,'Key Metrics'!B:B,0))="Woman","Yes","")</f>
        <v/>
      </c>
      <c r="O20" s="87" t="str">
        <f t="shared" ca="1" si="0"/>
        <v/>
      </c>
      <c r="P20" s="92">
        <f t="array" ref="P20">INDEX(Referral,MATCH(A20,Name,0))</f>
        <v>0</v>
      </c>
      <c r="Q20" s="92">
        <f t="array" aca="1" ref="Q20" ca="1">IF(INDEX(NYUAfillType,MATCH(A20,'Key Metrics'!B:B,0))="Other (please specify)",INDEX('Key Metrics'!N:N,MATCH(A20,'Key Metrics'!B:B,0)),INDEX(NYUAfillType,MATCH(A20,'Key Metrics'!B:B,0)))</f>
        <v>0</v>
      </c>
      <c r="R20" s="93" t="str">
        <f t="array" aca="1" ref="R20" ca="1">IF(INDEX('Key Metrics'!Q:Q,MATCH(A20,'Key Metrics'!B:B,0))="No","",INDEX('Key Metrics'!Q:Q,MATCH(A20,'Key Metrics'!B:B,0)))</f>
        <v/>
      </c>
      <c r="S20" s="94" t="str">
        <f t="shared" si="1"/>
        <v>Invite Next Year</v>
      </c>
      <c r="T20" s="95" t="s">
        <v>24</v>
      </c>
      <c r="U20" s="95" t="b">
        <v>0</v>
      </c>
      <c r="V20" s="95" t="b">
        <v>0</v>
      </c>
      <c r="W20" s="95" t="b">
        <v>0</v>
      </c>
      <c r="X20" s="96"/>
      <c r="Y20" s="94" t="str">
        <f t="array" ref="Y20">INDEX('DT Short List'!F:F,MATCH(A20,'DT Short List'!A:A,0))</f>
        <v>Invite Next Year</v>
      </c>
    </row>
    <row r="21" spans="1:25" ht="66" hidden="1">
      <c r="A21" s="97" t="s">
        <v>80</v>
      </c>
      <c r="B21" s="98" t="str">
        <f t="array" ref="B21">INDEX(Interview,MATCH(A21,Name,0))</f>
        <v>Invite</v>
      </c>
      <c r="C21" s="98" t="str">
        <f t="array" ref="C21">INDEX(Track,MATCH(A21,Name,0))</f>
        <v>Deep Tech</v>
      </c>
      <c r="D21" s="99">
        <f t="array" ref="D21">INDEX(Score,MATCH(A21,Name,0))</f>
        <v>4.75</v>
      </c>
      <c r="E21" s="100">
        <f t="array" aca="1" ref="E21" ca="1">INDEX(Date,MATCH(A21,Name,0))</f>
        <v>44784</v>
      </c>
      <c r="F21" s="98" t="s">
        <v>13306</v>
      </c>
      <c r="G21" s="98" t="s">
        <v>13318</v>
      </c>
      <c r="H21" s="98" t="str">
        <f t="array" ref="H21">IFERROR(INDEX('2022-2023 Third Reviews'!K:K,MATCH(A21,'2022-2023 Third Reviews'!C:C,0)),"")</f>
        <v/>
      </c>
      <c r="I21" s="101" t="s">
        <v>10410</v>
      </c>
      <c r="J21" s="101" t="s">
        <v>10411</v>
      </c>
      <c r="K21" s="101" t="str">
        <f t="array" ref="K21">IFERROR(INDEX('2022-2023 Third Reviews'!L:L,MATCH(A21,'2022-2023 Third Reviews'!C:C,0)),"")</f>
        <v/>
      </c>
      <c r="L21" s="102" t="str">
        <f t="array" ref="L21">INDEX(AppNotes,MATCH(A21,Name,0))</f>
        <v>Can deploy charging stations within 5 hours; already have 900K in revenue; strong industry based team; "air BnB of charging station"</v>
      </c>
      <c r="M21" s="103" t="str">
        <f t="array" aca="1" ref="M21" ca="1">INDEX(Team,MATCH(A21,'Key Metrics'!B:B,0))</f>
        <v>Man</v>
      </c>
      <c r="N21" s="99" t="str">
        <f t="array" aca="1" ref="N21" ca="1">IF(INDEX('Key Metrics'!F:F,MATCH(A21,'Key Metrics'!B:B,0))="Woman","Yes","")</f>
        <v/>
      </c>
      <c r="O21" s="99" t="str">
        <f t="shared" ca="1" si="0"/>
        <v/>
      </c>
      <c r="P21" s="104">
        <f t="array" ref="P21">INDEX(Referral,MATCH(A21,Name,0))</f>
        <v>0</v>
      </c>
      <c r="Q21" s="104">
        <f t="array" aca="1" ref="Q21" ca="1">IF(INDEX(NYUAfillType,MATCH(A21,'Key Metrics'!B:B,0))="Other (please specify)",INDEX('Key Metrics'!N:N,MATCH(A21,'Key Metrics'!B:B,0)),INDEX(NYUAfillType,MATCH(A21,'Key Metrics'!B:B,0)))</f>
        <v>0</v>
      </c>
      <c r="R21" s="105" t="str">
        <f t="array" aca="1" ref="R21" ca="1">IF(INDEX('Key Metrics'!Q:Q,MATCH(A21,'Key Metrics'!B:B,0))="No","",INDEX('Key Metrics'!Q:Q,MATCH(A21,'Key Metrics'!B:B,0)))</f>
        <v/>
      </c>
      <c r="S21" s="106" t="str">
        <f t="shared" si="1"/>
        <v>Invite</v>
      </c>
      <c r="T21" s="107" t="s">
        <v>18</v>
      </c>
      <c r="U21" s="107" t="b">
        <v>0</v>
      </c>
      <c r="V21" s="107" t="b">
        <v>0</v>
      </c>
      <c r="W21" s="107" t="b">
        <v>0</v>
      </c>
      <c r="X21" s="108"/>
      <c r="Y21" s="106" t="str">
        <f t="array" ref="Y21">INDEX('DT Short List'!F:F,MATCH(A21,'DT Short List'!A:A,0))</f>
        <v>Invite</v>
      </c>
    </row>
    <row r="22" spans="1:25" ht="44" hidden="1">
      <c r="A22" s="109" t="s">
        <v>81</v>
      </c>
      <c r="B22" s="86" t="str">
        <f t="array" ref="B22">INDEX(Interview,MATCH(A22,Name,0))</f>
        <v>Revisit/ Cluster</v>
      </c>
      <c r="C22" s="86" t="str">
        <f t="array" ref="C22">INDEX(Track,MATCH(A22,Name,0))</f>
        <v>Deep Tech</v>
      </c>
      <c r="D22" s="87">
        <f t="array" ref="D22">INDEX(Score,MATCH(A22,Name,0))</f>
        <v>3.75</v>
      </c>
      <c r="E22" s="88">
        <f t="array" aca="1" ref="E22" ca="1">INDEX(Date,MATCH(A22,Name,0))</f>
        <v>44782</v>
      </c>
      <c r="F22" s="86" t="s">
        <v>13308</v>
      </c>
      <c r="G22" s="86" t="s">
        <v>13321</v>
      </c>
      <c r="H22" s="86" t="str">
        <f t="array" aca="1" ref="H22" ca="1">IFERROR(INDEX('2022-2023 Third Reviews'!K:K,MATCH(A22,'2022-2023 Third Reviews'!C:C,0)),"")</f>
        <v>Jason Yu
3</v>
      </c>
      <c r="I22" s="89" t="s">
        <v>582</v>
      </c>
      <c r="J22" s="89" t="s">
        <v>583</v>
      </c>
      <c r="K22" s="89" t="str">
        <f t="array" aca="1" ref="K22" ca="1">IFERROR(INDEX('2022-2023 Third Reviews'!L:L,MATCH(A22,'2022-2023 Third Reviews'!C:C,0)),"")</f>
        <v>The biggest obstacle is the regulatory framework of the sidewalk delivery robots.</v>
      </c>
      <c r="L22" s="90" t="str">
        <f t="array" ref="L22">INDEX(AppNotes,MATCH(A22,Name,0))</f>
        <v>Europe based; tied to 5/6 companies in europe currently. 5000 bots deployed around europe. satuated market, but what makes them unique is the mapping technology that they use to do it. Further along than other apps in this space than we've seen before, but still unsure about bringing in a company from this space.</v>
      </c>
      <c r="M22" s="91" t="str">
        <f t="array" aca="1" ref="M22" ca="1">INDEX(Team,MATCH(A22,'Key Metrics'!B:B,0))</f>
        <v>Man, Man</v>
      </c>
      <c r="N22" s="87" t="str">
        <f t="array" aca="1" ref="N22" ca="1">IF(INDEX('Key Metrics'!F:F,MATCH(A22,'Key Metrics'!B:B,0))="Woman","Yes","")</f>
        <v/>
      </c>
      <c r="O22" s="87" t="str">
        <f t="shared" ca="1" si="0"/>
        <v/>
      </c>
      <c r="P22" s="92" t="str">
        <f t="array" ref="P22">INDEX(Referral,MATCH(A22,Name,0))</f>
        <v>DEEPAK HEGDE</v>
      </c>
      <c r="Q22" s="92">
        <f t="array" aca="1" ref="Q22" ca="1">IF(INDEX(NYUAfillType,MATCH(A22,'Key Metrics'!B:B,0))="Other (please specify)",INDEX('Key Metrics'!N:N,MATCH(A22,'Key Metrics'!B:B,0)),INDEX(NYUAfillType,MATCH(A22,'Key Metrics'!B:B,0)))</f>
        <v>0</v>
      </c>
      <c r="R22" s="93" t="str">
        <f t="array" aca="1" ref="R22" ca="1">IF(INDEX('Key Metrics'!Q:Q,MATCH(A22,'Key Metrics'!B:B,0))="No","",INDEX('Key Metrics'!Q:Q,MATCH(A22,'Key Metrics'!B:B,0)))</f>
        <v/>
      </c>
      <c r="S22" s="94" t="str">
        <f t="shared" si="1"/>
        <v>Invite</v>
      </c>
      <c r="T22" s="95" t="s">
        <v>18</v>
      </c>
      <c r="U22" s="95" t="b">
        <v>0</v>
      </c>
      <c r="V22" s="95" t="b">
        <v>0</v>
      </c>
      <c r="W22" s="95" t="b">
        <v>0</v>
      </c>
      <c r="X22" s="96"/>
      <c r="Y22" s="94" t="str">
        <f t="array" ref="Y22">INDEX('DT Short List'!F:F,MATCH(A22,'DT Short List'!A:A,0))</f>
        <v>Invite</v>
      </c>
    </row>
    <row r="23" spans="1:25" ht="66">
      <c r="A23" s="97" t="s">
        <v>82</v>
      </c>
      <c r="B23" s="98" t="str">
        <f t="array" ref="B23">INDEX(Interview,MATCH(A23,Name,0))</f>
        <v>Invite</v>
      </c>
      <c r="C23" s="98" t="str">
        <f t="array" ref="C23">INDEX(Track,MATCH(A23,Name,0))</f>
        <v>Deep Tech</v>
      </c>
      <c r="D23" s="99">
        <f t="array" ref="D23">INDEX(Score,MATCH(A23,Name,0))</f>
        <v>4.5</v>
      </c>
      <c r="E23" s="100">
        <f t="array" aca="1" ref="E23" ca="1">INDEX(Date,MATCH(A23,Name,0))</f>
        <v>44796</v>
      </c>
      <c r="F23" s="98" t="s">
        <v>13327</v>
      </c>
      <c r="G23" s="98" t="s">
        <v>13328</v>
      </c>
      <c r="H23" s="98" t="str">
        <f t="array" ref="H23">IFERROR(INDEX('2022-2023 Third Reviews'!K:K,MATCH(A23,'2022-2023 Third Reviews'!C:C,0)),"")</f>
        <v/>
      </c>
      <c r="I23" s="101" t="s">
        <v>592</v>
      </c>
      <c r="J23" s="101" t="s">
        <v>593</v>
      </c>
      <c r="K23" s="101" t="str">
        <f t="array" ref="K23">IFERROR(INDEX('2022-2023 Third Reviews'!L:L,MATCH(A23,'2022-2023 Third Reviews'!C:C,0)),"")</f>
        <v/>
      </c>
      <c r="L23" s="102" t="str">
        <f t="array" ref="L23">INDEX(AppNotes,MATCH(A23,Name,0))</f>
        <v>Change to DT; variable device for PTs with tremors; young team out of MIT; currenlty in pilot with Mass Gen Hospital; further along than other variable devices; in interview: ask more about their competitors, and how they see their market</v>
      </c>
      <c r="M23" s="103" t="str">
        <f t="array" aca="1" ref="M23" ca="1">INDEX(Team,MATCH(A23,'Key Metrics'!B:B,0))</f>
        <v>Man, Man, Woman</v>
      </c>
      <c r="N23" s="99" t="str">
        <f t="array" aca="1" ref="N23" ca="1">IF(INDEX('Key Metrics'!F:F,MATCH(A23,'Key Metrics'!B:B,0))="Woman","Yes","")</f>
        <v/>
      </c>
      <c r="O23" s="99" t="str">
        <f t="shared" ca="1" si="0"/>
        <v>Yes</v>
      </c>
      <c r="P23" s="104">
        <f t="array" ref="P23">INDEX(Referral,MATCH(A23,Name,0))</f>
        <v>0</v>
      </c>
      <c r="Q23" s="104">
        <f t="array" aca="1" ref="Q23" ca="1">IF(INDEX(NYUAfillType,MATCH(A23,'Key Metrics'!B:B,0))="Other (please specify)",INDEX('Key Metrics'!N:N,MATCH(A23,'Key Metrics'!B:B,0)),INDEX(NYUAfillType,MATCH(A23,'Key Metrics'!B:B,0)))</f>
        <v>0</v>
      </c>
      <c r="R23" s="105" t="str">
        <f t="array" aca="1" ref="R23" ca="1">IF(INDEX('Key Metrics'!Q:Q,MATCH(A23,'Key Metrics'!B:B,0))="No","",INDEX('Key Metrics'!Q:Q,MATCH(A23,'Key Metrics'!B:B,0)))</f>
        <v>Yes</v>
      </c>
      <c r="S23" s="106" t="str">
        <f t="shared" si="1"/>
        <v>Invite</v>
      </c>
      <c r="T23" s="107" t="s">
        <v>18</v>
      </c>
      <c r="U23" s="107" t="b">
        <v>0</v>
      </c>
      <c r="V23" s="107" t="b">
        <v>0</v>
      </c>
      <c r="W23" s="107" t="b">
        <v>0</v>
      </c>
      <c r="X23" s="108"/>
      <c r="Y23" s="106" t="str">
        <f t="array" ref="Y23">INDEX('DT Short List'!F:F,MATCH(A23,'DT Short List'!A:A,0))</f>
        <v>Invite</v>
      </c>
    </row>
    <row r="24" spans="1:25" ht="77" hidden="1">
      <c r="A24" s="109" t="s">
        <v>83</v>
      </c>
      <c r="B24" s="86" t="str">
        <f t="array" ref="B24">INDEX(Interview,MATCH(A24,Name,0))</f>
        <v>Invite</v>
      </c>
      <c r="C24" s="86" t="str">
        <f t="array" ref="C24">INDEX(Track,MATCH(A24,Name,0))</f>
        <v>Deep Tech</v>
      </c>
      <c r="D24" s="87">
        <f t="array" ref="D24">INDEX(Score,MATCH(A24,Name,0))</f>
        <v>4.25</v>
      </c>
      <c r="E24" s="88">
        <f t="array" aca="1" ref="E24" ca="1">INDEX(Date,MATCH(A24,Name,0))</f>
        <v>44776</v>
      </c>
      <c r="F24" s="86" t="s">
        <v>13306</v>
      </c>
      <c r="G24" s="86" t="s">
        <v>13307</v>
      </c>
      <c r="H24" s="86" t="str">
        <f t="array" ref="H24">IFERROR(INDEX('2022-2023 Third Reviews'!K:K,MATCH(A24,'2022-2023 Third Reviews'!C:C,0)),"")</f>
        <v/>
      </c>
      <c r="I24" s="89" t="s">
        <v>1117</v>
      </c>
      <c r="J24" s="89" t="s">
        <v>11391</v>
      </c>
      <c r="K24" s="89" t="str">
        <f t="array" ref="K24">IFERROR(INDEX('2022-2023 Third Reviews'!L:L,MATCH(A24,'2022-2023 Third Reviews'!C:C,0)),"")</f>
        <v/>
      </c>
      <c r="L24" s="90" t="str">
        <f t="array" ref="L24">INDEX(AppNotes,MATCH(A24,Name,0))</f>
        <v>Potential change to Digital tech;</v>
      </c>
      <c r="M24" s="91" t="str">
        <f t="array" aca="1" ref="M24" ca="1">INDEX(Team,MATCH(A24,'Key Metrics'!B:B,0))</f>
        <v>Man, Man</v>
      </c>
      <c r="N24" s="87" t="str">
        <f t="array" aca="1" ref="N24" ca="1">IF(INDEX('Key Metrics'!F:F,MATCH(A24,'Key Metrics'!B:B,0))="Woman","Yes","")</f>
        <v/>
      </c>
      <c r="O24" s="87" t="str">
        <f t="shared" ca="1" si="0"/>
        <v/>
      </c>
      <c r="P24" s="92" t="str">
        <f t="array" ref="P24">INDEX(Referral,MATCH(A24,Name,0))</f>
        <v>Serhat Pala</v>
      </c>
      <c r="Q24" s="92">
        <f t="array" aca="1" ref="Q24" ca="1">IF(INDEX(NYUAfillType,MATCH(A24,'Key Metrics'!B:B,0))="Other (please specify)",INDEX('Key Metrics'!N:N,MATCH(A24,'Key Metrics'!B:B,0)),INDEX(NYUAfillType,MATCH(A24,'Key Metrics'!B:B,0)))</f>
        <v>0</v>
      </c>
      <c r="R24" s="93" t="str">
        <f t="array" aca="1" ref="R24" ca="1">IF(INDEX('Key Metrics'!Q:Q,MATCH(A24,'Key Metrics'!B:B,0))="No","",INDEX('Key Metrics'!Q:Q,MATCH(A24,'Key Metrics'!B:B,0)))</f>
        <v/>
      </c>
      <c r="S24" s="94" t="str">
        <f t="shared" si="1"/>
        <v>Revisit</v>
      </c>
      <c r="T24" s="95" t="s">
        <v>19</v>
      </c>
      <c r="U24" s="95" t="b">
        <v>0</v>
      </c>
      <c r="V24" s="95" t="b">
        <v>0</v>
      </c>
      <c r="W24" s="95" t="b">
        <v>0</v>
      </c>
      <c r="X24" s="96"/>
      <c r="Y24" s="94" t="e">
        <f t="array" ref="Y24">INDEX('DT Short List'!F:F,MATCH(A24,'DT Short List'!A:A,0))</f>
        <v>#N/A</v>
      </c>
    </row>
    <row r="25" spans="1:25" ht="44" hidden="1">
      <c r="A25" s="97" t="s">
        <v>84</v>
      </c>
      <c r="B25" s="98" t="str">
        <f t="array" ref="B25">INDEX(Interview,MATCH(A25,Name,0))</f>
        <v>Invite</v>
      </c>
      <c r="C25" s="98" t="str">
        <f t="array" ref="C25">INDEX(Track,MATCH(A25,Name,0))</f>
        <v>Deep Tech</v>
      </c>
      <c r="D25" s="99">
        <f t="array" ref="D25">INDEX(Score,MATCH(A25,Name,0))</f>
        <v>4.5</v>
      </c>
      <c r="E25" s="100">
        <f t="array" aca="1" ref="E25" ca="1">INDEX(Date,MATCH(A25,Name,0))</f>
        <v>44791</v>
      </c>
      <c r="F25" s="98" t="s">
        <v>13329</v>
      </c>
      <c r="G25" s="98" t="s">
        <v>13330</v>
      </c>
      <c r="H25" s="98" t="str">
        <f t="array" aca="1" ref="H25" ca="1">IFERROR(INDEX('2022-2023 Third Reviews'!K:K,MATCH(A25,'2022-2023 Third Reviews'!C:C,0)),"")</f>
        <v>John McDonald
4</v>
      </c>
      <c r="I25" s="101" t="s">
        <v>603</v>
      </c>
      <c r="J25" s="101" t="s">
        <v>11104</v>
      </c>
      <c r="K25" s="101">
        <f t="array" aca="1" ref="K25" ca="1">IFERROR(INDEX('2022-2023 Third Reviews'!L:L,MATCH(A25,'2022-2023 Third Reviews'!C:C,0)),"")</f>
        <v>0</v>
      </c>
      <c r="L25" s="102" t="str">
        <f t="array" ref="L25">INDEX(AppNotes,MATCH(A25,Name,0))</f>
        <v>change to DT; harnessing solar for DC charging / conversion; strong CEO with multiple large companies grown to $5B; good traction so far YTD 600K in revenue forecast $1M;</v>
      </c>
      <c r="M25" s="103" t="str">
        <f t="array" aca="1" ref="M25" ca="1">INDEX(Team,MATCH(A25,'Key Metrics'!B:B,0))</f>
        <v>Man, Man, Man, Man</v>
      </c>
      <c r="N25" s="99" t="str">
        <f t="array" aca="1" ref="N25" ca="1">IF(INDEX('Key Metrics'!F:F,MATCH(A25,'Key Metrics'!B:B,0))="Woman","Yes","")</f>
        <v/>
      </c>
      <c r="O25" s="99" t="str">
        <f t="shared" ca="1" si="0"/>
        <v/>
      </c>
      <c r="P25" s="104">
        <f t="array" ref="P25">INDEX(Referral,MATCH(A25,Name,0))</f>
        <v>0</v>
      </c>
      <c r="Q25" s="104">
        <f t="array" aca="1" ref="Q25" ca="1">IF(INDEX(NYUAfillType,MATCH(A25,'Key Metrics'!B:B,0))="Other (please specify)",INDEX('Key Metrics'!N:N,MATCH(A25,'Key Metrics'!B:B,0)),INDEX(NYUAfillType,MATCH(A25,'Key Metrics'!B:B,0)))</f>
        <v>0</v>
      </c>
      <c r="R25" s="105" t="str">
        <f t="array" aca="1" ref="R25" ca="1">IF(INDEX('Key Metrics'!Q:Q,MATCH(A25,'Key Metrics'!B:B,0))="No","",INDEX('Key Metrics'!Q:Q,MATCH(A25,'Key Metrics'!B:B,0)))</f>
        <v/>
      </c>
      <c r="S25" s="106" t="str">
        <f t="shared" si="1"/>
        <v>Invite</v>
      </c>
      <c r="T25" s="107" t="s">
        <v>18</v>
      </c>
      <c r="U25" s="107" t="b">
        <v>0</v>
      </c>
      <c r="V25" s="107" t="b">
        <v>0</v>
      </c>
      <c r="W25" s="107" t="b">
        <v>0</v>
      </c>
      <c r="X25" s="108"/>
      <c r="Y25" s="106" t="str">
        <f t="array" ref="Y25">INDEX('DT Short List'!F:F,MATCH(A25,'DT Short List'!A:A,0))</f>
        <v>Invite</v>
      </c>
    </row>
    <row r="26" spans="1:25" ht="44" hidden="1">
      <c r="A26" s="109" t="s">
        <v>85</v>
      </c>
      <c r="B26" s="86" t="str">
        <f t="array" ref="B26">INDEX(Interview,MATCH(A26,Name,0))</f>
        <v>Revisit</v>
      </c>
      <c r="C26" s="86" t="str">
        <f t="array" ref="C26">INDEX(Track,MATCH(A26,Name,0))</f>
        <v>Deep Tech</v>
      </c>
      <c r="D26" s="87">
        <f t="array" ref="D26">INDEX(Score,MATCH(A26,Name,0))</f>
        <v>3.25</v>
      </c>
      <c r="E26" s="88">
        <f t="array" aca="1" ref="E26" ca="1">INDEX(Date,MATCH(A26,Name,0))</f>
        <v>44784</v>
      </c>
      <c r="F26" s="86" t="s">
        <v>13308</v>
      </c>
      <c r="G26" s="86" t="s">
        <v>13331</v>
      </c>
      <c r="H26" s="86" t="str">
        <f t="array" ref="H26">IFERROR(INDEX('2022-2023 Third Reviews'!K:K,MATCH(A26,'2022-2023 Third Reviews'!C:C,0)),"")</f>
        <v/>
      </c>
      <c r="I26" s="89" t="s">
        <v>10406</v>
      </c>
      <c r="J26" s="89" t="s">
        <v>10407</v>
      </c>
      <c r="K26" s="89" t="str">
        <f t="array" ref="K26">IFERROR(INDEX('2022-2023 Third Reviews'!L:L,MATCH(A26,'2022-2023 Third Reviews'!C:C,0)),"")</f>
        <v/>
      </c>
      <c r="L26" s="90" t="str">
        <f t="array" ref="L26">INDEX(AppNotes,MATCH(A26,Name,0))</f>
        <v>dredging system; has revenue but hesitations</v>
      </c>
      <c r="M26" s="91" t="str">
        <f t="array" aca="1" ref="M26" ca="1">INDEX(Team,MATCH(A26,'Key Metrics'!B:B,0))</f>
        <v>Man, Man</v>
      </c>
      <c r="N26" s="87" t="str">
        <f t="array" aca="1" ref="N26" ca="1">IF(INDEX('Key Metrics'!F:F,MATCH(A26,'Key Metrics'!B:B,0))="Woman","Yes","")</f>
        <v/>
      </c>
      <c r="O26" s="87" t="str">
        <f t="shared" ca="1" si="0"/>
        <v/>
      </c>
      <c r="P26" s="92" t="str">
        <f t="array" ref="P26">INDEX(Referral,MATCH(A26,Name,0))</f>
        <v>Undisclosed</v>
      </c>
      <c r="Q26" s="92">
        <f t="array" aca="1" ref="Q26" ca="1">IF(INDEX(NYUAfillType,MATCH(A26,'Key Metrics'!B:B,0))="Other (please specify)",INDEX('Key Metrics'!N:N,MATCH(A26,'Key Metrics'!B:B,0)),INDEX(NYUAfillType,MATCH(A26,'Key Metrics'!B:B,0)))</f>
        <v>0</v>
      </c>
      <c r="R26" s="93" t="str">
        <f t="array" aca="1" ref="R26" ca="1">IF(INDEX('Key Metrics'!Q:Q,MATCH(A26,'Key Metrics'!B:B,0))="No","",INDEX('Key Metrics'!Q:Q,MATCH(A26,'Key Metrics'!B:B,0)))</f>
        <v/>
      </c>
      <c r="S26" s="94" t="str">
        <f t="shared" si="1"/>
        <v>Revisit</v>
      </c>
      <c r="T26" s="95" t="s">
        <v>19</v>
      </c>
      <c r="U26" s="95" t="b">
        <v>0</v>
      </c>
      <c r="V26" s="95" t="b">
        <v>0</v>
      </c>
      <c r="W26" s="95" t="b">
        <v>0</v>
      </c>
      <c r="X26" s="96"/>
      <c r="Y26" s="94" t="e">
        <f t="array" ref="Y26">INDEX('DT Short List'!F:F,MATCH(A26,'DT Short List'!A:A,0))</f>
        <v>#N/A</v>
      </c>
    </row>
    <row r="27" spans="1:25" ht="44">
      <c r="A27" s="97" t="s">
        <v>86</v>
      </c>
      <c r="B27" s="98" t="str">
        <f t="array" ref="B27">INDEX(Interview,MATCH(A27,Name,0))</f>
        <v>Revisit/ Cluster</v>
      </c>
      <c r="C27" s="98" t="str">
        <f t="array" ref="C27">INDEX(Track,MATCH(A27,Name,0))</f>
        <v>Deep Tech</v>
      </c>
      <c r="D27" s="99">
        <f t="array" ref="D27">INDEX(Score,MATCH(A27,Name,0))</f>
        <v>4</v>
      </c>
      <c r="E27" s="100">
        <f t="array" aca="1" ref="E27" ca="1">INDEX(Date,MATCH(A27,Name,0))</f>
        <v>44789</v>
      </c>
      <c r="F27" s="98" t="s">
        <v>13319</v>
      </c>
      <c r="G27" s="98" t="s">
        <v>13314</v>
      </c>
      <c r="H27" s="98" t="str">
        <f t="array" aca="1" ref="H27" ca="1">IFERROR(INDEX('2022-2023 Third Reviews'!K:K,MATCH(A27,'2022-2023 Third Reviews'!C:C,0)),"")</f>
        <v>Jason Yu
4</v>
      </c>
      <c r="I27" s="101" t="s">
        <v>612</v>
      </c>
      <c r="J27" s="101" t="s">
        <v>613</v>
      </c>
      <c r="K27" s="101" t="str">
        <f t="array" aca="1" ref="K27" ca="1">IFERROR(INDEX('2022-2023 Third Reviews'!L:L,MATCH(A27,'2022-2023 Third Reviews'!C:C,0)),"")</f>
        <v>We have technology developed and tested in real life environment and now we are capital
raising to fund production facilities building and to continue R&amp;D in the field of BSF bioactives. We have enough funds to continue our R&amp;D for another 12-14 month, however capital for facilities is crucial for capacity building and commercialization of the technology.</v>
      </c>
      <c r="L27" s="102" t="str">
        <f t="array" ref="L27">INDEX(AppNotes,MATCH(A27,Name,0))</f>
        <v>change to DT; strong funding and sales so far; IP not protected yet, should file;</v>
      </c>
      <c r="M27" s="103" t="str">
        <f t="array" aca="1" ref="M27" ca="1">INDEX(Team,MATCH(A27,'Key Metrics'!B:B,0))</f>
        <v>Man, Woman</v>
      </c>
      <c r="N27" s="99" t="str">
        <f t="array" aca="1" ref="N27" ca="1">IF(INDEX('Key Metrics'!F:F,MATCH(A27,'Key Metrics'!B:B,0))="Woman","Yes","")</f>
        <v/>
      </c>
      <c r="O27" s="99" t="str">
        <f t="shared" ca="1" si="0"/>
        <v>Yes</v>
      </c>
      <c r="P27" s="104">
        <f t="array" ref="P27">INDEX(Referral,MATCH(A27,Name,0))</f>
        <v>0</v>
      </c>
      <c r="Q27" s="104">
        <f t="array" aca="1" ref="Q27" ca="1">IF(INDEX(NYUAfillType,MATCH(A27,'Key Metrics'!B:B,0))="Other (please specify)",INDEX('Key Metrics'!N:N,MATCH(A27,'Key Metrics'!B:B,0)),INDEX(NYUAfillType,MATCH(A27,'Key Metrics'!B:B,0)))</f>
        <v>0</v>
      </c>
      <c r="R27" s="105" t="str">
        <f t="array" aca="1" ref="R27" ca="1">IF(INDEX('Key Metrics'!Q:Q,MATCH(A27,'Key Metrics'!B:B,0))="No","",INDEX('Key Metrics'!Q:Q,MATCH(A27,'Key Metrics'!B:B,0)))</f>
        <v/>
      </c>
      <c r="S27" s="106" t="str">
        <f t="shared" si="1"/>
        <v>Invite</v>
      </c>
      <c r="T27" s="107" t="s">
        <v>18</v>
      </c>
      <c r="U27" s="107" t="b">
        <v>0</v>
      </c>
      <c r="V27" s="107" t="b">
        <v>0</v>
      </c>
      <c r="W27" s="107" t="b">
        <v>0</v>
      </c>
      <c r="X27" s="108"/>
      <c r="Y27" s="106" t="str">
        <f t="array" ref="Y27">INDEX('DT Short List'!F:F,MATCH(A27,'DT Short List'!A:A,0))</f>
        <v>Invite</v>
      </c>
    </row>
    <row r="28" spans="1:25" ht="55" hidden="1">
      <c r="A28" s="109" t="s">
        <v>87</v>
      </c>
      <c r="B28" s="86" t="str">
        <f t="array" ref="B28">INDEX(Interview,MATCH(A28,Name,0))</f>
        <v>Revisit/ Cluster</v>
      </c>
      <c r="C28" s="86" t="str">
        <f t="array" ref="C28">INDEX(Track,MATCH(A28,Name,0))</f>
        <v>Deep Tech</v>
      </c>
      <c r="D28" s="87">
        <f t="array" ref="D28">INDEX(Score,MATCH(A28,Name,0))</f>
        <v>4</v>
      </c>
      <c r="E28" s="88">
        <f t="array" aca="1" ref="E28" ca="1">INDEX(Date,MATCH(A28,Name,0))</f>
        <v>44791</v>
      </c>
      <c r="F28" s="86" t="s">
        <v>13319</v>
      </c>
      <c r="G28" s="86" t="s">
        <v>13314</v>
      </c>
      <c r="H28" s="86" t="str">
        <f t="array" aca="1" ref="H28" ca="1">IFERROR(INDEX('2022-2023 Third Reviews'!K:K,MATCH(A28,'2022-2023 Third Reviews'!C:C,0)),"")</f>
        <v>John McDonald
4</v>
      </c>
      <c r="I28" s="89" t="s">
        <v>2579</v>
      </c>
      <c r="J28" s="89" t="s">
        <v>2580</v>
      </c>
      <c r="K28" s="89">
        <f t="array" aca="1" ref="K28" ca="1">IFERROR(INDEX('2022-2023 Third Reviews'!L:L,MATCH(A28,'2022-2023 Third Reviews'!C:C,0)),"")</f>
        <v>0</v>
      </c>
      <c r="L28" s="90" t="str">
        <f t="array" ref="L28">INDEX(AppNotes,MATCH(A28,Name,0))</f>
        <v>Change to DT; bathroom scale for imaging for diabetic foot ulcers; relays to clinical team without need to patient to use app or send themselves; star advisors;</v>
      </c>
      <c r="M28" s="91" t="str">
        <f t="array" aca="1" ref="M28" ca="1">INDEX(Team,MATCH(A28,'Key Metrics'!B:B,0))</f>
        <v>Man, Man</v>
      </c>
      <c r="N28" s="87" t="str">
        <f t="array" aca="1" ref="N28" ca="1">IF(INDEX('Key Metrics'!F:F,MATCH(A28,'Key Metrics'!B:B,0))="Woman","Yes","")</f>
        <v/>
      </c>
      <c r="O28" s="87" t="str">
        <f t="shared" ca="1" si="0"/>
        <v/>
      </c>
      <c r="P28" s="92" t="str">
        <f t="array" ref="P28">INDEX(Referral,MATCH(A28,Name,0))</f>
        <v>Dov Shamir (Mount Sinai Elementa Labs)</v>
      </c>
      <c r="Q28" s="92">
        <f t="array" aca="1" ref="Q28" ca="1">IF(INDEX(NYUAfillType,MATCH(A28,'Key Metrics'!B:B,0))="Other (please specify)",INDEX('Key Metrics'!N:N,MATCH(A28,'Key Metrics'!B:B,0)),INDEX(NYUAfillType,MATCH(A28,'Key Metrics'!B:B,0)))</f>
        <v>0</v>
      </c>
      <c r="R28" s="93" t="str">
        <f t="array" aca="1" ref="R28" ca="1">IF(INDEX('Key Metrics'!Q:Q,MATCH(A28,'Key Metrics'!B:B,0))="No","",INDEX('Key Metrics'!Q:Q,MATCH(A28,'Key Metrics'!B:B,0)))</f>
        <v/>
      </c>
      <c r="S28" s="94" t="str">
        <f t="shared" si="1"/>
        <v>Invite Next Year</v>
      </c>
      <c r="T28" s="95" t="s">
        <v>24</v>
      </c>
      <c r="U28" s="95" t="b">
        <v>0</v>
      </c>
      <c r="V28" s="95" t="b">
        <v>0</v>
      </c>
      <c r="W28" s="95" t="b">
        <v>0</v>
      </c>
      <c r="X28" s="96"/>
      <c r="Y28" s="94" t="str">
        <f t="array" ref="Y28">INDEX('DT Short List'!F:F,MATCH(A28,'DT Short List'!A:A,0))</f>
        <v>Invite Next Year</v>
      </c>
    </row>
    <row r="29" spans="1:25" ht="44" hidden="1">
      <c r="A29" s="97" t="s">
        <v>88</v>
      </c>
      <c r="B29" s="98" t="str">
        <f t="array" ref="B29">INDEX(Interview,MATCH(A29,Name,0))</f>
        <v>Invite</v>
      </c>
      <c r="C29" s="98" t="str">
        <f t="array" ref="C29">INDEX(Track,MATCH(A29,Name,0))</f>
        <v>Deep Tech</v>
      </c>
      <c r="D29" s="99">
        <f t="array" ref="D29">INDEX(Score,MATCH(A29,Name,0))</f>
        <v>4</v>
      </c>
      <c r="E29" s="100">
        <f t="array" aca="1" ref="E29" ca="1">INDEX(Date,MATCH(A29,Name,0))</f>
        <v>44782</v>
      </c>
      <c r="F29" s="98" t="s">
        <v>13305</v>
      </c>
      <c r="G29" s="98" t="s">
        <v>13332</v>
      </c>
      <c r="H29" s="98" t="str">
        <f t="array" aca="1" ref="H29" ca="1">IFERROR(INDEX('2022-2023 Third Reviews'!K:K,MATCH(A29,'2022-2023 Third Reviews'!C:C,0)),"")</f>
        <v>John McDonald
2</v>
      </c>
      <c r="I29" s="101" t="s">
        <v>10697</v>
      </c>
      <c r="J29" s="101" t="s">
        <v>10698</v>
      </c>
      <c r="K29" s="101">
        <f t="array" aca="1" ref="K29" ca="1">IFERROR(INDEX('2022-2023 Third Reviews'!L:L,MATCH(A29,'2022-2023 Third Reviews'!C:C,0)),"")</f>
        <v>0</v>
      </c>
      <c r="L29" s="102" t="str">
        <f t="array" ref="L29">INDEX(AppNotes,MATCH(A29,Name,0))</f>
        <v>Tech is interesting, but would face regulatory issues</v>
      </c>
      <c r="M29" s="103" t="str">
        <f t="array" aca="1" ref="M29" ca="1">INDEX(Team,MATCH(A29,'Key Metrics'!B:B,0))</f>
        <v>Man, Man</v>
      </c>
      <c r="N29" s="99" t="str">
        <f t="array" aca="1" ref="N29" ca="1">IF(INDEX('Key Metrics'!F:F,MATCH(A29,'Key Metrics'!B:B,0))="Woman","Yes","")</f>
        <v/>
      </c>
      <c r="O29" s="99" t="str">
        <f t="shared" ca="1" si="0"/>
        <v/>
      </c>
      <c r="P29" s="104">
        <f t="array" ref="P29">INDEX(Referral,MATCH(A29,Name,0))</f>
        <v>0</v>
      </c>
      <c r="Q29" s="104">
        <f t="array" aca="1" ref="Q29" ca="1">IF(INDEX(NYUAfillType,MATCH(A29,'Key Metrics'!B:B,0))="Other (please specify)",INDEX('Key Metrics'!N:N,MATCH(A29,'Key Metrics'!B:B,0)),INDEX(NYUAfillType,MATCH(A29,'Key Metrics'!B:B,0)))</f>
        <v>0</v>
      </c>
      <c r="R29" s="105" t="str">
        <f t="array" aca="1" ref="R29" ca="1">IF(INDEX('Key Metrics'!Q:Q,MATCH(A29,'Key Metrics'!B:B,0))="No","",INDEX('Key Metrics'!Q:Q,MATCH(A29,'Key Metrics'!B:B,0)))</f>
        <v/>
      </c>
      <c r="S29" s="106" t="str">
        <f t="shared" si="1"/>
        <v>Invite</v>
      </c>
      <c r="T29" s="107" t="s">
        <v>18</v>
      </c>
      <c r="U29" s="107" t="b">
        <v>0</v>
      </c>
      <c r="V29" s="107" t="b">
        <v>0</v>
      </c>
      <c r="W29" s="107" t="b">
        <v>0</v>
      </c>
      <c r="X29" s="108"/>
      <c r="Y29" s="106" t="str">
        <f t="array" ref="Y29">INDEX('DT Short List'!F:F,MATCH(A29,'DT Short List'!A:A,0))</f>
        <v>Invite</v>
      </c>
    </row>
    <row r="30" spans="1:25" ht="66" hidden="1">
      <c r="A30" s="109" t="s">
        <v>89</v>
      </c>
      <c r="B30" s="86" t="str">
        <f t="array" ref="B30">INDEX(Interview,MATCH(A30,Name,0))</f>
        <v>Invite</v>
      </c>
      <c r="C30" s="86" t="str">
        <f t="array" ref="C30">INDEX(Track,MATCH(A30,Name,0))</f>
        <v>Deep Tech</v>
      </c>
      <c r="D30" s="87">
        <f t="array" ref="D30">INDEX(Score,MATCH(A30,Name,0))</f>
        <v>4.25</v>
      </c>
      <c r="E30" s="88">
        <f t="array" aca="1" ref="E30" ca="1">INDEX(Date,MATCH(A30,Name,0))</f>
        <v>44789</v>
      </c>
      <c r="F30" s="86" t="s">
        <v>13305</v>
      </c>
      <c r="G30" s="86" t="s">
        <v>13325</v>
      </c>
      <c r="H30" s="86" t="str">
        <f t="array" aca="1" ref="H30" ca="1">IFERROR(INDEX('2022-2023 Third Reviews'!K:K,MATCH(A30,'2022-2023 Third Reviews'!C:C,0)),"")</f>
        <v>John McDonald
4</v>
      </c>
      <c r="I30" s="89" t="s">
        <v>11488</v>
      </c>
      <c r="J30" s="89" t="s">
        <v>11489</v>
      </c>
      <c r="K30" s="89">
        <f t="array" aca="1" ref="K30" ca="1">IFERROR(INDEX('2022-2023 Third Reviews'!L:L,MATCH(A30,'2022-2023 Third Reviews'!C:C,0)),"")</f>
        <v>0</v>
      </c>
      <c r="L30" s="90">
        <f t="array" ref="L30">INDEX(AppNotes,MATCH(A30,Name,0))</f>
        <v>0</v>
      </c>
      <c r="M30" s="91" t="str">
        <f t="array" aca="1" ref="M30" ca="1">INDEX(Team,MATCH(A30,'Key Metrics'!B:B,0))</f>
        <v>Man</v>
      </c>
      <c r="N30" s="87" t="str">
        <f t="array" aca="1" ref="N30" ca="1">IF(INDEX('Key Metrics'!F:F,MATCH(A30,'Key Metrics'!B:B,0))="Woman","Yes","")</f>
        <v/>
      </c>
      <c r="O30" s="87" t="str">
        <f t="shared" ca="1" si="0"/>
        <v/>
      </c>
      <c r="P30" s="92">
        <f t="array" ref="P30">INDEX(Referral,MATCH(A30,Name,0))</f>
        <v>0</v>
      </c>
      <c r="Q30" s="92">
        <f t="array" aca="1" ref="Q30" ca="1">IF(INDEX(NYUAfillType,MATCH(A30,'Key Metrics'!B:B,0))="Other (please specify)",INDEX('Key Metrics'!N:N,MATCH(A30,'Key Metrics'!B:B,0)),INDEX(NYUAfillType,MATCH(A30,'Key Metrics'!B:B,0)))</f>
        <v>0</v>
      </c>
      <c r="R30" s="93" t="str">
        <f t="array" aca="1" ref="R30" ca="1">IF(INDEX('Key Metrics'!Q:Q,MATCH(A30,'Key Metrics'!B:B,0))="No","",INDEX('Key Metrics'!Q:Q,MATCH(A30,'Key Metrics'!B:B,0)))</f>
        <v>Yes</v>
      </c>
      <c r="S30" s="94" t="str">
        <f t="shared" si="1"/>
        <v>Invite</v>
      </c>
      <c r="T30" s="95" t="s">
        <v>18</v>
      </c>
      <c r="U30" s="95" t="b">
        <v>0</v>
      </c>
      <c r="V30" s="95" t="b">
        <v>0</v>
      </c>
      <c r="W30" s="95" t="b">
        <v>0</v>
      </c>
      <c r="X30" s="96"/>
      <c r="Y30" s="94" t="str">
        <f t="array" ref="Y30">INDEX('DT Short List'!F:F,MATCH(A30,'DT Short List'!A:A,0))</f>
        <v>Invite</v>
      </c>
    </row>
    <row r="31" spans="1:25" ht="55" hidden="1">
      <c r="A31" s="97" t="s">
        <v>90</v>
      </c>
      <c r="B31" s="98" t="str">
        <f t="array" ref="B31">INDEX(Interview,MATCH(A31,Name,0))</f>
        <v>Revisit/ Cluster</v>
      </c>
      <c r="C31" s="98" t="str">
        <f t="array" ref="C31">INDEX(Track,MATCH(A31,Name,0))</f>
        <v>Deep Tech</v>
      </c>
      <c r="D31" s="99">
        <f t="array" ref="D31">INDEX(Score,MATCH(A31,Name,0))</f>
        <v>3.75</v>
      </c>
      <c r="E31" s="100">
        <f t="array" aca="1" ref="E31" ca="1">INDEX(Date,MATCH(A31,Name,0))</f>
        <v>44784</v>
      </c>
      <c r="F31" s="98" t="s">
        <v>13308</v>
      </c>
      <c r="G31" s="98" t="s">
        <v>13332</v>
      </c>
      <c r="H31" s="98" t="str">
        <f t="array" ref="H31">IFERROR(INDEX('2022-2023 Third Reviews'!K:K,MATCH(A31,'2022-2023 Third Reviews'!C:C,0)),"")</f>
        <v/>
      </c>
      <c r="I31" s="101" t="s">
        <v>10569</v>
      </c>
      <c r="J31" s="101" t="s">
        <v>481</v>
      </c>
      <c r="K31" s="101" t="str">
        <f t="array" ref="K31">IFERROR(INDEX('2022-2023 Third Reviews'!L:L,MATCH(A31,'2022-2023 Third Reviews'!C:C,0)),"")</f>
        <v/>
      </c>
      <c r="L31" s="102" t="str">
        <f t="array" ref="L31">INDEX(AppNotes,MATCH(A31,Name,0))</f>
        <v>seems early stage; using seeds to provide medical compounds; strong idea cluster with other AgTech companies?</v>
      </c>
      <c r="M31" s="103" t="str">
        <f t="array" aca="1" ref="M31" ca="1">INDEX(Team,MATCH(A31,'Key Metrics'!B:B,0))</f>
        <v>Man, Man, Man, Man</v>
      </c>
      <c r="N31" s="99" t="str">
        <f t="array" aca="1" ref="N31" ca="1">IF(INDEX('Key Metrics'!F:F,MATCH(A31,'Key Metrics'!B:B,0))="Woman","Yes","")</f>
        <v/>
      </c>
      <c r="O31" s="99" t="str">
        <f t="shared" ca="1" si="0"/>
        <v/>
      </c>
      <c r="P31" s="104" t="str">
        <f t="array" ref="P31">INDEX(Referral,MATCH(A31,Name,0))</f>
        <v>Nic Weber</v>
      </c>
      <c r="Q31" s="104">
        <f t="array" aca="1" ref="Q31" ca="1">IF(INDEX(NYUAfillType,MATCH(A31,'Key Metrics'!B:B,0))="Other (please specify)",INDEX('Key Metrics'!N:N,MATCH(A31,'Key Metrics'!B:B,0)),INDEX(NYUAfillType,MATCH(A31,'Key Metrics'!B:B,0)))</f>
        <v>0</v>
      </c>
      <c r="R31" s="105" t="str">
        <f t="array" aca="1" ref="R31" ca="1">IF(INDEX('Key Metrics'!Q:Q,MATCH(A31,'Key Metrics'!B:B,0))="No","",INDEX('Key Metrics'!Q:Q,MATCH(A31,'Key Metrics'!B:B,0)))</f>
        <v/>
      </c>
      <c r="S31" s="106" t="str">
        <f t="shared" si="1"/>
        <v>Invite</v>
      </c>
      <c r="T31" s="107" t="s">
        <v>18</v>
      </c>
      <c r="U31" s="107" t="b">
        <v>0</v>
      </c>
      <c r="V31" s="107" t="b">
        <v>0</v>
      </c>
      <c r="W31" s="107" t="b">
        <v>0</v>
      </c>
      <c r="X31" s="108"/>
      <c r="Y31" s="106" t="str">
        <f t="array" ref="Y31">INDEX('DT Short List'!F:F,MATCH(A31,'DT Short List'!A:A,0))</f>
        <v>Invite</v>
      </c>
    </row>
    <row r="32" spans="1:25" ht="77" hidden="1">
      <c r="A32" s="109" t="s">
        <v>91</v>
      </c>
      <c r="B32" s="86" t="str">
        <f t="array" ref="B32">INDEX(Interview,MATCH(A32,Name,0))</f>
        <v>Invite</v>
      </c>
      <c r="C32" s="86" t="str">
        <f t="array" ref="C32">INDEX(Track,MATCH(A32,Name,0))</f>
        <v>Deep Tech</v>
      </c>
      <c r="D32" s="87">
        <f t="array" ref="D32">INDEX(Score,MATCH(A32,Name,0))</f>
        <v>3.5</v>
      </c>
      <c r="E32" s="88">
        <f t="array" aca="1" ref="E32" ca="1">INDEX(Date,MATCH(A32,Name,0))</f>
        <v>44776</v>
      </c>
      <c r="F32" s="86" t="s">
        <v>13305</v>
      </c>
      <c r="G32" s="86" t="s">
        <v>13333</v>
      </c>
      <c r="H32" s="86" t="str">
        <f t="array" ref="H32">IFERROR(INDEX('2022-2023 Third Reviews'!K:K,MATCH(A32,'2022-2023 Third Reviews'!C:C,0)),"")</f>
        <v/>
      </c>
      <c r="I32" s="89" t="s">
        <v>647</v>
      </c>
      <c r="J32" s="89" t="s">
        <v>11479</v>
      </c>
      <c r="K32" s="89" t="str">
        <f t="array" ref="K32">IFERROR(INDEX('2022-2023 Third Reviews'!L:L,MATCH(A32,'2022-2023 Third Reviews'!C:C,0)),"")</f>
        <v/>
      </c>
      <c r="L32" s="90" t="str">
        <f t="array" ref="L32">INDEX(AppNotes,MATCH(A32,Name,0))</f>
        <v>Highly technical team; unique to sector; ask about prototyping in interview</v>
      </c>
      <c r="M32" s="91" t="str">
        <f t="array" aca="1" ref="M32" ca="1">INDEX(Team,MATCH(A32,'Key Metrics'!B:B,0))</f>
        <v>Man, Man</v>
      </c>
      <c r="N32" s="87" t="str">
        <f t="array" aca="1" ref="N32" ca="1">IF(INDEX('Key Metrics'!F:F,MATCH(A32,'Key Metrics'!B:B,0))="Woman","Yes","")</f>
        <v/>
      </c>
      <c r="O32" s="87" t="str">
        <f t="shared" ca="1" si="0"/>
        <v/>
      </c>
      <c r="P32" s="92" t="str">
        <f t="array" ref="P32">INDEX(Referral,MATCH(A32,Name,0))</f>
        <v>Chris Mosher</v>
      </c>
      <c r="Q32" s="92">
        <f t="array" aca="1" ref="Q32" ca="1">IF(INDEX(NYUAfillType,MATCH(A32,'Key Metrics'!B:B,0))="Other (please specify)",INDEX('Key Metrics'!N:N,MATCH(A32,'Key Metrics'!B:B,0)),INDEX(NYUAfillType,MATCH(A32,'Key Metrics'!B:B,0)))</f>
        <v>0</v>
      </c>
      <c r="R32" s="93" t="str">
        <f t="array" aca="1" ref="R32" ca="1">IF(INDEX('Key Metrics'!Q:Q,MATCH(A32,'Key Metrics'!B:B,0))="No","",INDEX('Key Metrics'!Q:Q,MATCH(A32,'Key Metrics'!B:B,0)))</f>
        <v/>
      </c>
      <c r="S32" s="94" t="str">
        <f t="shared" si="1"/>
        <v>Invite</v>
      </c>
      <c r="T32" s="95" t="s">
        <v>18</v>
      </c>
      <c r="U32" s="95" t="b">
        <v>0</v>
      </c>
      <c r="V32" s="95" t="b">
        <v>0</v>
      </c>
      <c r="W32" s="95" t="b">
        <v>0</v>
      </c>
      <c r="X32" s="96"/>
      <c r="Y32" s="94" t="str">
        <f t="array" ref="Y32">INDEX('DT Short List'!F:F,MATCH(A32,'DT Short List'!A:A,0))</f>
        <v>Invite</v>
      </c>
    </row>
    <row r="33" spans="1:25" ht="55">
      <c r="A33" s="97" t="s">
        <v>92</v>
      </c>
      <c r="B33" s="98" t="str">
        <f t="array" ref="B33">INDEX(Interview,MATCH(A33,Name,0))</f>
        <v>Invite</v>
      </c>
      <c r="C33" s="98" t="str">
        <f t="array" ref="C33">INDEX(Track,MATCH(A33,Name,0))</f>
        <v>Deep Tech</v>
      </c>
      <c r="D33" s="99">
        <f t="array" ref="D33">INDEX(Score,MATCH(A33,Name,0))</f>
        <v>5</v>
      </c>
      <c r="E33" s="100">
        <f t="array" aca="1" ref="E33" ca="1">INDEX(Date,MATCH(A33,Name,0))</f>
        <v>44782</v>
      </c>
      <c r="F33" s="98" t="s">
        <v>13310</v>
      </c>
      <c r="G33" s="98" t="s">
        <v>13311</v>
      </c>
      <c r="H33" s="98" t="str">
        <f t="array" aca="1" ref="H33" ca="1">IFERROR(INDEX('2022-2023 Third Reviews'!K:K,MATCH(A33,'2022-2023 Third Reviews'!C:C,0)),"")</f>
        <v>John McDonald
5</v>
      </c>
      <c r="I33" s="101" t="s">
        <v>656</v>
      </c>
      <c r="J33" s="101" t="s">
        <v>481</v>
      </c>
      <c r="K33" s="101">
        <f t="array" aca="1" ref="K33" ca="1">IFERROR(INDEX('2022-2023 Third Reviews'!L:L,MATCH(A33,'2022-2023 Third Reviews'!C:C,0)),"")</f>
        <v>0</v>
      </c>
      <c r="L33" s="102" t="str">
        <f t="array" ref="L33">INDEX(AppNotes,MATCH(A33,Name,0))</f>
        <v>Change to DT; have a multiple center 100 patient trial coming up; very promising data so far; patent issues from pitch that Beth attended; patent would only cover design of device</v>
      </c>
      <c r="M33" s="103" t="str">
        <f t="array" aca="1" ref="M33" ca="1">INDEX(Team,MATCH(A33,'Key Metrics'!B:B,0))</f>
        <v>Woman, Woman, Woman, Man</v>
      </c>
      <c r="N33" s="99" t="str">
        <f t="array" aca="1" ref="N33" ca="1">IF(INDEX('Key Metrics'!F:F,MATCH(A33,'Key Metrics'!B:B,0))="Woman","Yes","")</f>
        <v>Yes</v>
      </c>
      <c r="O33" s="99" t="str">
        <f t="shared" ca="1" si="0"/>
        <v>Yes</v>
      </c>
      <c r="P33" s="104">
        <f t="array" ref="P33">INDEX(Referral,MATCH(A33,Name,0))</f>
        <v>0</v>
      </c>
      <c r="Q33" s="104">
        <f t="array" aca="1" ref="Q33" ca="1">IF(INDEX(NYUAfillType,MATCH(A33,'Key Metrics'!B:B,0))="Other (please specify)",INDEX('Key Metrics'!N:N,MATCH(A33,'Key Metrics'!B:B,0)),INDEX(NYUAfillType,MATCH(A33,'Key Metrics'!B:B,0)))</f>
        <v>0</v>
      </c>
      <c r="R33" s="105" t="str">
        <f t="array" aca="1" ref="R33" ca="1">IF(INDEX('Key Metrics'!Q:Q,MATCH(A33,'Key Metrics'!B:B,0))="No","",INDEX('Key Metrics'!Q:Q,MATCH(A33,'Key Metrics'!B:B,0)))</f>
        <v/>
      </c>
      <c r="S33" s="106" t="str">
        <f t="shared" si="1"/>
        <v>Invite</v>
      </c>
      <c r="T33" s="107" t="s">
        <v>18</v>
      </c>
      <c r="U33" s="107" t="b">
        <v>0</v>
      </c>
      <c r="V33" s="107" t="b">
        <v>0</v>
      </c>
      <c r="W33" s="107" t="b">
        <v>0</v>
      </c>
      <c r="X33" s="108"/>
      <c r="Y33" s="106" t="str">
        <f t="array" ref="Y33">INDEX('DT Short List'!F:F,MATCH(A33,'DT Short List'!A:A,0))</f>
        <v>Invite</v>
      </c>
    </row>
    <row r="34" spans="1:25" ht="44">
      <c r="A34" s="109" t="s">
        <v>93</v>
      </c>
      <c r="B34" s="86" t="str">
        <f t="array" ref="B34">INDEX(Interview,MATCH(A34,Name,0))</f>
        <v>Invite</v>
      </c>
      <c r="C34" s="86" t="str">
        <f t="array" ref="C34">INDEX(Track,MATCH(A34,Name,0))</f>
        <v>Deep Tech</v>
      </c>
      <c r="D34" s="87">
        <f t="array" ref="D34">INDEX(Score,MATCH(A34,Name,0))</f>
        <v>4</v>
      </c>
      <c r="E34" s="88">
        <f t="array" aca="1" ref="E34" ca="1">INDEX(Date,MATCH(A34,Name,0))</f>
        <v>44791</v>
      </c>
      <c r="F34" s="86" t="s">
        <v>13305</v>
      </c>
      <c r="G34" s="86" t="s">
        <v>13307</v>
      </c>
      <c r="H34" s="86" t="str">
        <f t="array" ref="H34">IFERROR(INDEX('2022-2023 Third Reviews'!K:K,MATCH(A34,'2022-2023 Third Reviews'!C:C,0)),"")</f>
        <v/>
      </c>
      <c r="I34" s="89" t="s">
        <v>11280</v>
      </c>
      <c r="J34" s="89" t="s">
        <v>11281</v>
      </c>
      <c r="K34" s="89" t="str">
        <f t="array" ref="K34">IFERROR(INDEX('2022-2023 Third Reviews'!L:L,MATCH(A34,'2022-2023 Third Reviews'!C:C,0)),"")</f>
        <v/>
      </c>
      <c r="L34" s="90" t="str">
        <f t="array" ref="L34">INDEX(AppNotes,MATCH(A34,Name,0))</f>
        <v>strong raise; 2 main founders are PHDs from Oxford; market is particularly developed yet, though they are patent protected; scaling is an issue;</v>
      </c>
      <c r="M34" s="91" t="str">
        <f t="array" aca="1" ref="M34" ca="1">INDEX(Team,MATCH(A34,'Key Metrics'!B:B,0))</f>
        <v>Man, Woman</v>
      </c>
      <c r="N34" s="87" t="str">
        <f t="array" aca="1" ref="N34" ca="1">IF(INDEX('Key Metrics'!F:F,MATCH(A34,'Key Metrics'!B:B,0))="Woman","Yes","")</f>
        <v/>
      </c>
      <c r="O34" s="87" t="str">
        <f t="shared" ca="1" si="0"/>
        <v>Yes</v>
      </c>
      <c r="P34" s="92">
        <f t="array" ref="P34">INDEX(Referral,MATCH(A34,Name,0))</f>
        <v>0</v>
      </c>
      <c r="Q34" s="92">
        <f t="array" aca="1" ref="Q34" ca="1">IF(INDEX(NYUAfillType,MATCH(A34,'Key Metrics'!B:B,0))="Other (please specify)",INDEX('Key Metrics'!N:N,MATCH(A34,'Key Metrics'!B:B,0)),INDEX(NYUAfillType,MATCH(A34,'Key Metrics'!B:B,0)))</f>
        <v>0</v>
      </c>
      <c r="R34" s="93" t="str">
        <f t="array" aca="1" ref="R34" ca="1">IF(INDEX('Key Metrics'!Q:Q,MATCH(A34,'Key Metrics'!B:B,0))="No","",INDEX('Key Metrics'!Q:Q,MATCH(A34,'Key Metrics'!B:B,0)))</f>
        <v/>
      </c>
      <c r="S34" s="94" t="str">
        <f t="shared" si="1"/>
        <v>Invite</v>
      </c>
      <c r="T34" s="95" t="s">
        <v>18</v>
      </c>
      <c r="U34" s="95" t="b">
        <v>0</v>
      </c>
      <c r="V34" s="95" t="b">
        <v>0</v>
      </c>
      <c r="W34" s="95" t="b">
        <v>0</v>
      </c>
      <c r="X34" s="96"/>
      <c r="Y34" s="94" t="str">
        <f t="array" ref="Y34">INDEX('DT Short List'!F:F,MATCH(A34,'DT Short List'!A:A,0))</f>
        <v>Invite</v>
      </c>
    </row>
    <row r="35" spans="1:25" ht="56" hidden="1">
      <c r="A35" s="97" t="s">
        <v>94</v>
      </c>
      <c r="B35" s="98" t="str">
        <f t="array" ref="B35">INDEX(Interview,MATCH(A35,Name,0))</f>
        <v>Invite</v>
      </c>
      <c r="C35" s="98" t="str">
        <f t="array" ref="C35">INDEX(Track,MATCH(A35,Name,0))</f>
        <v>Deep Tech</v>
      </c>
      <c r="D35" s="99">
        <f t="array" ref="D35">INDEX(Score,MATCH(A35,Name,0))</f>
        <v>4.5</v>
      </c>
      <c r="E35" s="100">
        <f t="array" aca="1" ref="E35" ca="1">INDEX(Date,MATCH(A35,Name,0))</f>
        <v>44791</v>
      </c>
      <c r="F35" s="98" t="s">
        <v>13317</v>
      </c>
      <c r="G35" s="98" t="s">
        <v>13307</v>
      </c>
      <c r="H35" s="98" t="str">
        <f t="array" aca="1" ref="H35" ca="1">IFERROR(INDEX('2022-2023 Third Reviews'!K:K,MATCH(A35,'2022-2023 Third Reviews'!C:C,0)),"")</f>
        <v>Nick Schmandt
5</v>
      </c>
      <c r="I35" s="101" t="s">
        <v>11144</v>
      </c>
      <c r="J35" s="101" t="s">
        <v>11145</v>
      </c>
      <c r="K35" s="101" t="str">
        <f t="array" aca="1" ref="K35" ca="1">IFERROR(INDEX('2022-2023 Third Reviews'!L:L,MATCH(A35,'2022-2023 Third Reviews'!C:C,0)),"")</f>
        <v>While there are some weaknesses in the background of the team members and the usability of the tech remains unclear, this is a very lucrative area where many other banks will be competing to offer superior products, making what they offer very valuable.</v>
      </c>
      <c r="L35" s="102" t="str">
        <f t="array" ref="L35">INDEX(AppNotes,MATCH(A35,Name,0))</f>
        <v>Strong trials and currently in 12M raise; pivoted product during covid era; in interview: more data and how are trials going; they're not just in US, also doing trials outside of US;</v>
      </c>
      <c r="M35" s="103" t="str">
        <f t="array" aca="1" ref="M35" ca="1">INDEX(Team,MATCH(A35,'Key Metrics'!B:B,0))</f>
        <v>Man, Prefer not to respond, Prefer not to respond, Prefer not to respond</v>
      </c>
      <c r="N35" s="99" t="str">
        <f t="array" aca="1" ref="N35" ca="1">IF(INDEX('Key Metrics'!F:F,MATCH(A35,'Key Metrics'!B:B,0))="Woman","Yes","")</f>
        <v/>
      </c>
      <c r="O35" s="99" t="str">
        <f t="shared" ca="1" si="0"/>
        <v/>
      </c>
      <c r="P35" s="104" t="str">
        <f t="array" ref="P35">INDEX(Referral,MATCH(A35,Name,0))</f>
        <v>scott@livingstonsecurities.com</v>
      </c>
      <c r="Q35" s="104">
        <f t="array" aca="1" ref="Q35" ca="1">IF(INDEX(NYUAfillType,MATCH(A35,'Key Metrics'!B:B,0))="Other (please specify)",INDEX('Key Metrics'!N:N,MATCH(A35,'Key Metrics'!B:B,0)),INDEX(NYUAfillType,MATCH(A35,'Key Metrics'!B:B,0)))</f>
        <v>0</v>
      </c>
      <c r="R35" s="105" t="str">
        <f t="array" aca="1" ref="R35" ca="1">IF(INDEX('Key Metrics'!Q:Q,MATCH(A35,'Key Metrics'!B:B,0))="No","",INDEX('Key Metrics'!Q:Q,MATCH(A35,'Key Metrics'!B:B,0)))</f>
        <v/>
      </c>
      <c r="S35" s="106" t="str">
        <f t="shared" si="1"/>
        <v>Invite</v>
      </c>
      <c r="T35" s="107" t="s">
        <v>18</v>
      </c>
      <c r="U35" s="107" t="b">
        <v>0</v>
      </c>
      <c r="V35" s="107" t="b">
        <v>0</v>
      </c>
      <c r="W35" s="107" t="b">
        <v>0</v>
      </c>
      <c r="X35" s="108"/>
      <c r="Y35" s="106" t="str">
        <f t="array" ref="Y35">INDEX('DT Short List'!F:F,MATCH(A35,'DT Short List'!A:A,0))</f>
        <v>Invite</v>
      </c>
    </row>
    <row r="36" spans="1:25" ht="33" hidden="1">
      <c r="A36" s="109" t="s">
        <v>95</v>
      </c>
      <c r="B36" s="86" t="str">
        <f t="array" ref="B36">INDEX(Interview,MATCH(A36,Name,0))</f>
        <v>Revisit/ Cluster</v>
      </c>
      <c r="C36" s="86" t="str">
        <f t="array" ref="C36">INDEX(Track,MATCH(A36,Name,0))</f>
        <v>Deep Tech</v>
      </c>
      <c r="D36" s="87">
        <f t="array" ref="D36">INDEX(Score,MATCH(A36,Name,0))</f>
        <v>3.5</v>
      </c>
      <c r="E36" s="88">
        <f t="array" aca="1" ref="E36" ca="1">INDEX(Date,MATCH(A36,Name,0))</f>
        <v>44776</v>
      </c>
      <c r="F36" s="86" t="s">
        <v>13308</v>
      </c>
      <c r="G36" s="86" t="s">
        <v>13334</v>
      </c>
      <c r="H36" s="86" t="str">
        <f t="array" aca="1" ref="H36" ca="1">IFERROR(INDEX('2022-2023 Third Reviews'!K:K,MATCH(A36,'2022-2023 Third Reviews'!C:C,0)),"")</f>
        <v>Jason Yu
3</v>
      </c>
      <c r="I36" s="89" t="s">
        <v>2745</v>
      </c>
      <c r="J36" s="89" t="s">
        <v>2746</v>
      </c>
      <c r="K36" s="89" t="str">
        <f t="array" aca="1" ref="K36" ca="1">IFERROR(INDEX('2022-2023 Third Reviews'!L:L,MATCH(A36,'2022-2023 Third Reviews'!C:C,0)),"")</f>
        <v>FDA clearance is the biggest obstacle.</v>
      </c>
      <c r="L36" s="90" t="str">
        <f t="array" ref="L36">INDEX(AppNotes,MATCH(A36,Name,0))</f>
        <v>Khoa will revisit</v>
      </c>
      <c r="M36" s="91" t="str">
        <f t="array" aca="1" ref="M36" ca="1">INDEX(Team,MATCH(A36,'Key Metrics'!B:B,0))</f>
        <v>Man, Man, Man</v>
      </c>
      <c r="N36" s="87" t="str">
        <f t="array" aca="1" ref="N36" ca="1">IF(INDEX('Key Metrics'!F:F,MATCH(A36,'Key Metrics'!B:B,0))="Woman","Yes","")</f>
        <v/>
      </c>
      <c r="O36" s="87" t="str">
        <f t="shared" ca="1" si="0"/>
        <v/>
      </c>
      <c r="P36" s="92" t="str">
        <f t="array" ref="P36">INDEX(Referral,MATCH(A36,Name,0))</f>
        <v>lum</v>
      </c>
      <c r="Q36" s="92">
        <f t="array" aca="1" ref="Q36" ca="1">IF(INDEX(NYUAfillType,MATCH(A36,'Key Metrics'!B:B,0))="Other (please specify)",INDEX('Key Metrics'!N:N,MATCH(A36,'Key Metrics'!B:B,0)),INDEX(NYUAfillType,MATCH(A36,'Key Metrics'!B:B,0)))</f>
        <v>0</v>
      </c>
      <c r="R36" s="93" t="str">
        <f t="array" aca="1" ref="R36" ca="1">IF(INDEX('Key Metrics'!Q:Q,MATCH(A36,'Key Metrics'!B:B,0))="No","",INDEX('Key Metrics'!Q:Q,MATCH(A36,'Key Metrics'!B:B,0)))</f>
        <v/>
      </c>
      <c r="S36" s="94" t="str">
        <f t="shared" si="1"/>
        <v>Invite Next Year</v>
      </c>
      <c r="T36" s="95" t="s">
        <v>24</v>
      </c>
      <c r="U36" s="95" t="b">
        <v>0</v>
      </c>
      <c r="V36" s="95" t="b">
        <v>0</v>
      </c>
      <c r="W36" s="95" t="b">
        <v>0</v>
      </c>
      <c r="X36" s="96"/>
      <c r="Y36" s="94" t="str">
        <f t="array" ref="Y36">INDEX('DT Short List'!F:F,MATCH(A36,'DT Short List'!A:A,0))</f>
        <v>Invite Next Year</v>
      </c>
    </row>
    <row r="37" spans="1:25" ht="66">
      <c r="A37" s="97" t="s">
        <v>96</v>
      </c>
      <c r="B37" s="98" t="str">
        <f t="array" ref="B37">INDEX(Interview,MATCH(A37,Name,0))</f>
        <v>Invite</v>
      </c>
      <c r="C37" s="98" t="str">
        <f t="array" ref="C37">INDEX(Track,MATCH(A37,Name,0))</f>
        <v>Deep Tech</v>
      </c>
      <c r="D37" s="99">
        <f t="array" ref="D37">INDEX(Score,MATCH(A37,Name,0))</f>
        <v>4</v>
      </c>
      <c r="E37" s="100">
        <f t="array" aca="1" ref="E37" ca="1">INDEX(Date,MATCH(A37,Name,0))</f>
        <v>44789</v>
      </c>
      <c r="F37" s="98" t="s">
        <v>13305</v>
      </c>
      <c r="G37" s="98" t="s">
        <v>13321</v>
      </c>
      <c r="H37" s="98" t="str">
        <f t="array" aca="1" ref="H37" ca="1">IFERROR(INDEX('2022-2023 Third Reviews'!K:K,MATCH(A37,'2022-2023 Third Reviews'!C:C,0)),"")</f>
        <v>Jason Yu
4</v>
      </c>
      <c r="I37" s="101" t="s">
        <v>10301</v>
      </c>
      <c r="J37" s="101" t="s">
        <v>10302</v>
      </c>
      <c r="K37" s="101" t="str">
        <f t="array" aca="1" ref="K37" ca="1">IFERROR(INDEX('2022-2023 Third Reviews'!L:L,MATCH(A37,'2022-2023 Third Reviews'!C:C,0)),"")</f>
        <v>Biggest obstacle is figuring out how to scale as efficiently as possible.</v>
      </c>
      <c r="L37" s="102">
        <f t="array" ref="L37">INDEX(AppNotes,MATCH(A37,Name,0))</f>
        <v>0</v>
      </c>
      <c r="M37" s="103" t="str">
        <f t="array" aca="1" ref="M37" ca="1">INDEX(Team,MATCH(A37,'Key Metrics'!B:B,0))</f>
        <v>Woman, Man, Man, Man, Woman, Man</v>
      </c>
      <c r="N37" s="99" t="str">
        <f t="array" aca="1" ref="N37" ca="1">IF(INDEX('Key Metrics'!F:F,MATCH(A37,'Key Metrics'!B:B,0))="Woman","Yes","")</f>
        <v>Yes</v>
      </c>
      <c r="O37" s="99" t="str">
        <f t="shared" ca="1" si="0"/>
        <v>Yes</v>
      </c>
      <c r="P37" s="104" t="str">
        <f t="array" ref="P37">INDEX(Referral,MATCH(A37,Name,0))</f>
        <v>Sten Tamkivi</v>
      </c>
      <c r="Q37" s="104">
        <f t="array" aca="1" ref="Q37" ca="1">IF(INDEX(NYUAfillType,MATCH(A37,'Key Metrics'!B:B,0))="Other (please specify)",INDEX('Key Metrics'!N:N,MATCH(A37,'Key Metrics'!B:B,0)),INDEX(NYUAfillType,MATCH(A37,'Key Metrics'!B:B,0)))</f>
        <v>0</v>
      </c>
      <c r="R37" s="105" t="str">
        <f t="array" aca="1" ref="R37" ca="1">IF(INDEX('Key Metrics'!Q:Q,MATCH(A37,'Key Metrics'!B:B,0))="No","",INDEX('Key Metrics'!Q:Q,MATCH(A37,'Key Metrics'!B:B,0)))</f>
        <v/>
      </c>
      <c r="S37" s="106" t="str">
        <f t="shared" si="1"/>
        <v>Invite</v>
      </c>
      <c r="T37" s="107" t="s">
        <v>18</v>
      </c>
      <c r="U37" s="107" t="b">
        <v>0</v>
      </c>
      <c r="V37" s="107" t="b">
        <v>0</v>
      </c>
      <c r="W37" s="107" t="b">
        <v>0</v>
      </c>
      <c r="X37" s="108"/>
      <c r="Y37" s="106" t="str">
        <f t="array" ref="Y37">INDEX('DT Short List'!F:F,MATCH(A37,'DT Short List'!A:A,0))</f>
        <v>Invite</v>
      </c>
    </row>
    <row r="38" spans="1:25" ht="33" hidden="1">
      <c r="A38" s="109" t="s">
        <v>97</v>
      </c>
      <c r="B38" s="86" t="str">
        <f t="array" ref="B38">INDEX(Interview,MATCH(A38,Name,0))</f>
        <v>Invite</v>
      </c>
      <c r="C38" s="86" t="str">
        <f t="array" ref="C38">INDEX(Track,MATCH(A38,Name,0))</f>
        <v>Deep Tech</v>
      </c>
      <c r="D38" s="87">
        <f t="array" ref="D38">INDEX(Score,MATCH(A38,Name,0))</f>
        <v>4.5</v>
      </c>
      <c r="E38" s="88">
        <f t="array" aca="1" ref="E38" ca="1">INDEX(Date,MATCH(A38,Name,0))</f>
        <v>44784</v>
      </c>
      <c r="F38" s="86" t="s">
        <v>13317</v>
      </c>
      <c r="G38" s="86" t="s">
        <v>13332</v>
      </c>
      <c r="H38" s="86" t="str">
        <f t="array" aca="1" ref="H38" ca="1">IFERROR(INDEX('2022-2023 Third Reviews'!K:K,MATCH(A38,'2022-2023 Third Reviews'!C:C,0)),"")</f>
        <v>John McDonald
4</v>
      </c>
      <c r="I38" s="89" t="s">
        <v>10446</v>
      </c>
      <c r="J38" s="89" t="s">
        <v>707</v>
      </c>
      <c r="K38" s="89">
        <f t="array" aca="1" ref="K38" ca="1">IFERROR(INDEX('2022-2023 Third Reviews'!L:L,MATCH(A38,'2022-2023 Third Reviews'!C:C,0)),"")</f>
        <v>0</v>
      </c>
      <c r="L38" s="90" t="str">
        <f t="array" ref="L38">INDEX(AppNotes,MATCH(A38,Name,0))</f>
        <v>drone can carry shipping containers; currently seeking 10M raise; can also be used with emergency vehicles; think Jetpack but larger scale and more apps</v>
      </c>
      <c r="M38" s="91" t="str">
        <f t="array" aca="1" ref="M38" ca="1">INDEX(Team,MATCH(A38,'Key Metrics'!B:B,0))</f>
        <v>Man, Man</v>
      </c>
      <c r="N38" s="87" t="str">
        <f t="array" aca="1" ref="N38" ca="1">IF(INDEX('Key Metrics'!F:F,MATCH(A38,'Key Metrics'!B:B,0))="Woman","Yes","")</f>
        <v/>
      </c>
      <c r="O38" s="87" t="str">
        <f t="shared" ca="1" si="0"/>
        <v/>
      </c>
      <c r="P38" s="92" t="str">
        <f t="array" ref="P38">INDEX(Referral,MATCH(A38,Name,0))</f>
        <v>Professor Deepak Hegde</v>
      </c>
      <c r="Q38" s="92">
        <f t="array" aca="1" ref="Q38" ca="1">IF(INDEX(NYUAfillType,MATCH(A38,'Key Metrics'!B:B,0))="Other (please specify)",INDEX('Key Metrics'!N:N,MATCH(A38,'Key Metrics'!B:B,0)),INDEX(NYUAfillType,MATCH(A38,'Key Metrics'!B:B,0)))</f>
        <v>0</v>
      </c>
      <c r="R38" s="93" t="str">
        <f t="array" aca="1" ref="R38" ca="1">IF(INDEX('Key Metrics'!Q:Q,MATCH(A38,'Key Metrics'!B:B,0))="No","",INDEX('Key Metrics'!Q:Q,MATCH(A38,'Key Metrics'!B:B,0)))</f>
        <v/>
      </c>
      <c r="S38" s="94" t="str">
        <f t="shared" si="1"/>
        <v>Invite</v>
      </c>
      <c r="T38" s="95" t="s">
        <v>18</v>
      </c>
      <c r="U38" s="95" t="b">
        <v>0</v>
      </c>
      <c r="V38" s="95" t="b">
        <v>0</v>
      </c>
      <c r="W38" s="95" t="b">
        <v>0</v>
      </c>
      <c r="X38" s="96"/>
      <c r="Y38" s="94" t="str">
        <f t="array" ref="Y38">INDEX('DT Short List'!F:F,MATCH(A38,'DT Short List'!A:A,0))</f>
        <v>Invite</v>
      </c>
    </row>
    <row r="39" spans="1:25" hidden="1">
      <c r="A39" s="97" t="s">
        <v>98</v>
      </c>
      <c r="B39" s="98" t="e">
        <f t="array" ref="B39">INDEX(Interview,MATCH(A39,Name,0))</f>
        <v>#N/A</v>
      </c>
      <c r="C39" s="98" t="e">
        <f t="array" ref="C39">INDEX(Track,MATCH(A39,Name,0))</f>
        <v>#N/A</v>
      </c>
      <c r="D39" s="99" t="e">
        <f t="array" ref="D39">INDEX(Score,MATCH(A39,Name,0))</f>
        <v>#N/A</v>
      </c>
      <c r="E39" s="100" t="e">
        <f t="array" ref="E39">INDEX(Date,MATCH(A39,Name,0))</f>
        <v>#N/A</v>
      </c>
      <c r="F39" s="98" t="s">
        <v>13335</v>
      </c>
      <c r="G39" s="98" t="s">
        <v>13335</v>
      </c>
      <c r="H39" s="98" t="str">
        <f t="array" ref="H39">IFERROR(INDEX('2022-2023 Third Reviews'!K:K,MATCH(A39,'2022-2023 Third Reviews'!C:C,0)),"")</f>
        <v/>
      </c>
      <c r="I39" s="101" t="s">
        <v>13335</v>
      </c>
      <c r="J39" s="101" t="s">
        <v>13335</v>
      </c>
      <c r="K39" s="101" t="str">
        <f t="array" ref="K39">IFERROR(INDEX('2022-2023 Third Reviews'!L:L,MATCH(A39,'2022-2023 Third Reviews'!C:C,0)),"")</f>
        <v/>
      </c>
      <c r="L39" s="102" t="e">
        <f t="array" ref="L39">INDEX(AppNotes,MATCH(A39,Name,0))</f>
        <v>#N/A</v>
      </c>
      <c r="M39" s="103" t="str">
        <f t="array" aca="1" ref="M39" ca="1">INDEX(Team,MATCH(A39,'Key Metrics'!B:B,0))</f>
        <v>Man, Man</v>
      </c>
      <c r="N39" s="99" t="str">
        <f t="array" aca="1" ref="N39" ca="1">IF(INDEX('Key Metrics'!F:F,MATCH(A39,'Key Metrics'!B:B,0))="Woman","Yes","")</f>
        <v/>
      </c>
      <c r="O39" s="99" t="str">
        <f t="shared" ca="1" si="0"/>
        <v/>
      </c>
      <c r="P39" s="104" t="e">
        <f t="array" ref="P39">INDEX(Referral,MATCH(A39,Name,0))</f>
        <v>#N/A</v>
      </c>
      <c r="Q39" s="104" t="str">
        <f t="array" aca="1" ref="Q39" ca="1">IF(INDEX(NYUAfillType,MATCH(A39,'Key Metrics'!B:B,0))="Other (please specify)",INDEX('Key Metrics'!N:N,MATCH(A39,'Key Metrics'!B:B,0)),INDEX(NYUAfillType,MATCH(A39,'Key Metrics'!B:B,0)))</f>
        <v>NYU Alumni</v>
      </c>
      <c r="R39" s="105" t="str">
        <f t="array" aca="1" ref="R39" ca="1">IF(INDEX('Key Metrics'!Q:Q,MATCH(A39,'Key Metrics'!B:B,0))="No","",INDEX('Key Metrics'!Q:Q,MATCH(A39,'Key Metrics'!B:B,0)))</f>
        <v/>
      </c>
      <c r="S39" s="106" t="str">
        <f t="shared" si="1"/>
        <v>Invite</v>
      </c>
      <c r="T39" s="107" t="s">
        <v>18</v>
      </c>
      <c r="U39" s="107" t="b">
        <v>0</v>
      </c>
      <c r="V39" s="107" t="b">
        <v>0</v>
      </c>
      <c r="W39" s="107" t="b">
        <v>0</v>
      </c>
      <c r="X39" s="108"/>
      <c r="Y39" s="106" t="str">
        <f t="array" ref="Y39">INDEX('DT Short List'!F:F,MATCH(A39,'DT Short List'!A:A,0))</f>
        <v>Invite</v>
      </c>
    </row>
    <row r="40" spans="1:25" ht="33">
      <c r="A40" s="109" t="s">
        <v>99</v>
      </c>
      <c r="B40" s="86" t="str">
        <f t="array" ref="B40">INDEX(Interview,MATCH(A40,Name,0))</f>
        <v>Invite</v>
      </c>
      <c r="C40" s="86" t="str">
        <f t="array" ref="C40">INDEX(Track,MATCH(A40,Name,0))</f>
        <v>Deep Tech</v>
      </c>
      <c r="D40" s="87">
        <f t="array" ref="D40">INDEX(Score,MATCH(A40,Name,0))</f>
        <v>4.5</v>
      </c>
      <c r="E40" s="88">
        <f t="array" aca="1" ref="E40" ca="1">INDEX(Date,MATCH(A40,Name,0))</f>
        <v>44784</v>
      </c>
      <c r="F40" s="86" t="s">
        <v>13336</v>
      </c>
      <c r="G40" s="86" t="s">
        <v>13337</v>
      </c>
      <c r="H40" s="86" t="str">
        <f t="array" aca="1" ref="H40" ca="1">IFERROR(INDEX('2022-2023 Third Reviews'!K:K,MATCH(A40,'2022-2023 Third Reviews'!C:C,0)),"")</f>
        <v>Jason Yu
2</v>
      </c>
      <c r="I40" s="89" t="s">
        <v>10323</v>
      </c>
      <c r="J40" s="89" t="s">
        <v>10324</v>
      </c>
      <c r="K40" s="89" t="str">
        <f t="array" aca="1" ref="K40" ca="1">IFERROR(INDEX('2022-2023 Third Reviews'!L:L,MATCH(A40,'2022-2023 Third Reviews'!C:C,0)),"")</f>
        <v>Current turbine design requires more engineering and investigation to become a commercial model.</v>
      </c>
      <c r="L40" s="90" t="str">
        <f t="array" ref="L40">INDEX(AppNotes,MATCH(A40,Name,0))</f>
        <v>change to DT; strong team; eye mask that helps reset circadian rythym; without medication has ability to help people sleep better, science is coming out of research from stanford</v>
      </c>
      <c r="M40" s="91" t="str">
        <f t="array" aca="1" ref="M40" ca="1">INDEX(Team,MATCH(A40,'Key Metrics'!B:B,0))</f>
        <v>Woman</v>
      </c>
      <c r="N40" s="87" t="str">
        <f t="array" aca="1" ref="N40" ca="1">IF(INDEX('Key Metrics'!F:F,MATCH(A40,'Key Metrics'!B:B,0))="Woman","Yes","")</f>
        <v>Yes</v>
      </c>
      <c r="O40" s="87" t="str">
        <f t="shared" ca="1" si="0"/>
        <v>Yes</v>
      </c>
      <c r="P40" s="92">
        <f t="array" ref="P40">INDEX(Referral,MATCH(A40,Name,0))</f>
        <v>0</v>
      </c>
      <c r="Q40" s="92">
        <f t="array" aca="1" ref="Q40" ca="1">IF(INDEX(NYUAfillType,MATCH(A40,'Key Metrics'!B:B,0))="Other (please specify)",INDEX('Key Metrics'!N:N,MATCH(A40,'Key Metrics'!B:B,0)),INDEX(NYUAfillType,MATCH(A40,'Key Metrics'!B:B,0)))</f>
        <v>0</v>
      </c>
      <c r="R40" s="93" t="str">
        <f t="array" aca="1" ref="R40" ca="1">IF(INDEX('Key Metrics'!Q:Q,MATCH(A40,'Key Metrics'!B:B,0))="No","",INDEX('Key Metrics'!Q:Q,MATCH(A40,'Key Metrics'!B:B,0)))</f>
        <v/>
      </c>
      <c r="S40" s="94" t="str">
        <f t="shared" si="1"/>
        <v>Invite</v>
      </c>
      <c r="T40" s="95" t="s">
        <v>18</v>
      </c>
      <c r="U40" s="95" t="b">
        <v>0</v>
      </c>
      <c r="V40" s="95" t="b">
        <v>0</v>
      </c>
      <c r="W40" s="95" t="b">
        <v>0</v>
      </c>
      <c r="X40" s="96"/>
      <c r="Y40" s="94" t="str">
        <f t="array" ref="Y40">INDEX('DT Short List'!F:F,MATCH(A40,'DT Short List'!A:A,0))</f>
        <v>Invite</v>
      </c>
    </row>
    <row r="41" spans="1:25" ht="56" hidden="1">
      <c r="A41" s="97" t="s">
        <v>100</v>
      </c>
      <c r="B41" s="98" t="str">
        <f t="array" ref="B41">INDEX(Interview,MATCH(A41,Name,0))</f>
        <v>Invite</v>
      </c>
      <c r="C41" s="98" t="str">
        <f t="array" ref="C41">INDEX(Track,MATCH(A41,Name,0))</f>
        <v>Deep Tech</v>
      </c>
      <c r="D41" s="99">
        <f t="array" ref="D41">INDEX(Score,MATCH(A41,Name,0))</f>
        <v>3.5</v>
      </c>
      <c r="E41" s="100">
        <f t="array" aca="1" ref="E41" ca="1">INDEX(Date,MATCH(A41,Name,0))</f>
        <v>44784</v>
      </c>
      <c r="F41" s="98" t="s">
        <v>13324</v>
      </c>
      <c r="G41" s="98" t="s">
        <v>13307</v>
      </c>
      <c r="H41" s="98" t="str">
        <f t="array" aca="1" ref="H41" ca="1">IFERROR(INDEX('2022-2023 Third Reviews'!K:K,MATCH(A41,'2022-2023 Third Reviews'!C:C,0)),"")</f>
        <v>Nick Schmandt
4</v>
      </c>
      <c r="I41" s="101" t="s">
        <v>10551</v>
      </c>
      <c r="J41" s="101" t="s">
        <v>10552</v>
      </c>
      <c r="K41" s="101" t="str">
        <f t="array" aca="1" ref="K41" ca="1">IFERROR(INDEX('2022-2023 Third Reviews'!L:L,MATCH(A41,'2022-2023 Third Reviews'!C:C,0)),"")</f>
        <v>The strength of this application is their number of paying customers and revenue. If they can continue to grow this, they will be very successful. I think they will have a hard time getting larger insurance companies to use their system, though.</v>
      </c>
      <c r="L41" s="102" t="str">
        <f t="array" ref="L41">INDEX(AppNotes,MATCH(A41,Name,0))</f>
        <v>compare to EV charging stations</v>
      </c>
      <c r="M41" s="103" t="str">
        <f t="array" aca="1" ref="M41" ca="1">INDEX(Team,MATCH(A41,'Key Metrics'!B:B,0))</f>
        <v>Man</v>
      </c>
      <c r="N41" s="99" t="str">
        <f t="array" aca="1" ref="N41" ca="1">IF(INDEX('Key Metrics'!F:F,MATCH(A41,'Key Metrics'!B:B,0))="Woman","Yes","")</f>
        <v/>
      </c>
      <c r="O41" s="99" t="str">
        <f t="shared" ca="1" si="0"/>
        <v/>
      </c>
      <c r="P41" s="104" t="str">
        <f t="array" ref="P41">INDEX(Referral,MATCH(A41,Name,0))</f>
        <v>Dee Dao of the Leslie Elab referred us to this program.</v>
      </c>
      <c r="Q41" s="104" t="str">
        <f t="array" aca="1" ref="Q41" ca="1">IF(INDEX(NYUAfillType,MATCH(A41,'Key Metrics'!B:B,0))="Other (please specify)",INDEX('Key Metrics'!N:N,MATCH(A41,'Key Metrics'!B:B,0)),INDEX(NYUAfillType,MATCH(A41,'Key Metrics'!B:B,0)))</f>
        <v>Greg Besner - Adjunct Professor of Entrepreneurship in Stern</v>
      </c>
      <c r="R41" s="105" t="str">
        <f t="array" aca="1" ref="R41" ca="1">IF(INDEX('Key Metrics'!Q:Q,MATCH(A41,'Key Metrics'!B:B,0))="No","",INDEX('Key Metrics'!Q:Q,MATCH(A41,'Key Metrics'!B:B,0)))</f>
        <v/>
      </c>
      <c r="S41" s="106" t="str">
        <f t="shared" si="1"/>
        <v>Invite</v>
      </c>
      <c r="T41" s="107" t="s">
        <v>18</v>
      </c>
      <c r="U41" s="107" t="b">
        <v>0</v>
      </c>
      <c r="V41" s="107" t="b">
        <v>0</v>
      </c>
      <c r="W41" s="107" t="b">
        <v>0</v>
      </c>
      <c r="X41" s="108"/>
      <c r="Y41" s="106" t="str">
        <f t="array" ref="Y41">INDEX('DT Short List'!F:F,MATCH(A41,'DT Short List'!A:A,0))</f>
        <v>Invite</v>
      </c>
    </row>
    <row r="42" spans="1:25" ht="55">
      <c r="A42" s="109" t="s">
        <v>101</v>
      </c>
      <c r="B42" s="86" t="str">
        <f t="array" ref="B42">INDEX(Interview,MATCH(A42,Name,0))</f>
        <v>Invite</v>
      </c>
      <c r="C42" s="86" t="str">
        <f t="array" ref="C42">INDEX(Track,MATCH(A42,Name,0))</f>
        <v>Deep Tech</v>
      </c>
      <c r="D42" s="87">
        <f t="array" ref="D42">INDEX(Score,MATCH(A42,Name,0))</f>
        <v>4.25</v>
      </c>
      <c r="E42" s="88">
        <f t="array" aca="1" ref="E42" ca="1">INDEX(Date,MATCH(A42,Name,0))</f>
        <v>44791</v>
      </c>
      <c r="F42" s="86" t="s">
        <v>13306</v>
      </c>
      <c r="G42" s="86" t="s">
        <v>13332</v>
      </c>
      <c r="H42" s="86" t="str">
        <f t="array" aca="1" ref="H42" ca="1">IFERROR(INDEX('2022-2023 Third Reviews'!K:K,MATCH(A42,'2022-2023 Third Reviews'!C:C,0)),"")</f>
        <v>John McDonald
4</v>
      </c>
      <c r="I42" s="89" t="s">
        <v>10286</v>
      </c>
      <c r="J42" s="89" t="s">
        <v>749</v>
      </c>
      <c r="K42" s="89">
        <f t="array" aca="1" ref="K42" ca="1">IFERROR(INDEX('2022-2023 Third Reviews'!L:L,MATCH(A42,'2022-2023 Third Reviews'!C:C,0)),"")</f>
        <v>0</v>
      </c>
      <c r="L42" s="90">
        <f t="array" ref="L42">INDEX(AppNotes,MATCH(A42,Name,0))</f>
        <v>0</v>
      </c>
      <c r="M42" s="91" t="str">
        <f t="array" aca="1" ref="M42" ca="1">INDEX(Team,MATCH(A42,'Key Metrics'!B:B,0))</f>
        <v>Woman, Woman, Man</v>
      </c>
      <c r="N42" s="87" t="str">
        <f t="array" aca="1" ref="N42" ca="1">IF(INDEX('Key Metrics'!F:F,MATCH(A42,'Key Metrics'!B:B,0))="Woman","Yes","")</f>
        <v>Yes</v>
      </c>
      <c r="O42" s="87" t="str">
        <f t="shared" ca="1" si="0"/>
        <v>Yes</v>
      </c>
      <c r="P42" s="92" t="str">
        <f t="array" ref="P42">INDEX(Referral,MATCH(A42,Name,0))</f>
        <v>Jogchum Brinksma, Mentor at EFL and Investor in Metalmark</v>
      </c>
      <c r="Q42" s="92">
        <f t="array" aca="1" ref="Q42" ca="1">IF(INDEX(NYUAfillType,MATCH(A42,'Key Metrics'!B:B,0))="Other (please specify)",INDEX('Key Metrics'!N:N,MATCH(A42,'Key Metrics'!B:B,0)),INDEX(NYUAfillType,MATCH(A42,'Key Metrics'!B:B,0)))</f>
        <v>0</v>
      </c>
      <c r="R42" s="93" t="str">
        <f t="array" aca="1" ref="R42" ca="1">IF(INDEX('Key Metrics'!Q:Q,MATCH(A42,'Key Metrics'!B:B,0))="No","",INDEX('Key Metrics'!Q:Q,MATCH(A42,'Key Metrics'!B:B,0)))</f>
        <v/>
      </c>
      <c r="S42" s="94" t="str">
        <f t="shared" si="1"/>
        <v>Invite</v>
      </c>
      <c r="T42" s="95" t="s">
        <v>18</v>
      </c>
      <c r="U42" s="95" t="b">
        <v>0</v>
      </c>
      <c r="V42" s="95" t="b">
        <v>0</v>
      </c>
      <c r="W42" s="95" t="b">
        <v>0</v>
      </c>
      <c r="X42" s="96"/>
      <c r="Y42" s="94" t="str">
        <f t="array" ref="Y42">INDEX('DT Short List'!F:F,MATCH(A42,'DT Short List'!A:A,0))</f>
        <v>Invite</v>
      </c>
    </row>
    <row r="43" spans="1:25" ht="44" hidden="1">
      <c r="A43" s="97" t="s">
        <v>102</v>
      </c>
      <c r="B43" s="98" t="str">
        <f t="array" ref="B43">INDEX(Interview,MATCH(A43,Name,0))</f>
        <v>Revisit</v>
      </c>
      <c r="C43" s="98" t="str">
        <f t="array" ref="C43">INDEX(Track,MATCH(A43,Name,0))</f>
        <v>Deep Tech</v>
      </c>
      <c r="D43" s="99">
        <f t="array" ref="D43">INDEX(Score,MATCH(A43,Name,0))</f>
        <v>3.25</v>
      </c>
      <c r="E43" s="100">
        <f t="array" aca="1" ref="E43" ca="1">INDEX(Date,MATCH(A43,Name,0))</f>
        <v>44782</v>
      </c>
      <c r="F43" s="98" t="s">
        <v>13313</v>
      </c>
      <c r="G43" s="98" t="s">
        <v>13338</v>
      </c>
      <c r="H43" s="98" t="str">
        <f t="array" aca="1" ref="H43" ca="1">IFERROR(INDEX('2022-2023 Third Reviews'!K:K,MATCH(A43,'2022-2023 Third Reviews'!C:C,0)),"")</f>
        <v>Nick Schmandt
4</v>
      </c>
      <c r="I43" s="101" t="s">
        <v>9451</v>
      </c>
      <c r="J43" s="101" t="s">
        <v>481</v>
      </c>
      <c r="K43" s="101" t="str">
        <f t="array" aca="1" ref="K43" ca="1">IFERROR(INDEX('2022-2023 Third Reviews'!L:L,MATCH(A43,'2022-2023 Third Reviews'!C:C,0)),"")</f>
        <v>A really interesting idea, but some hurdles remain: why are there no paying customers already, if the price reduction is so dramatic? Also, they don't talk about reliability, using a low-resolution camera to make higher resolution images: are people really going to trust something like that for a self-driving car? Possible value here, but many questions.</v>
      </c>
      <c r="L43" s="102" t="str">
        <f t="array" ref="L43">INDEX(AppNotes,MATCH(A43,Name,0))</f>
        <v>change to DT; automates throat swaps. wild idea, would people want a robot swabbing throat? Khoa to revisit potentially</v>
      </c>
      <c r="M43" s="103" t="str">
        <f t="array" aca="1" ref="M43" ca="1">INDEX(Team,MATCH(A43,'Key Metrics'!B:B,0))</f>
        <v>Man, Woman, Man, Woman</v>
      </c>
      <c r="N43" s="99" t="str">
        <f t="array" aca="1" ref="N43" ca="1">IF(INDEX('Key Metrics'!F:F,MATCH(A43,'Key Metrics'!B:B,0))="Woman","Yes","")</f>
        <v/>
      </c>
      <c r="O43" s="99" t="str">
        <f t="shared" ca="1" si="0"/>
        <v>Yes</v>
      </c>
      <c r="P43" s="104">
        <f t="array" ref="P43">INDEX(Referral,MATCH(A43,Name,0))</f>
        <v>0</v>
      </c>
      <c r="Q43" s="104">
        <f t="array" aca="1" ref="Q43" ca="1">IF(INDEX(NYUAfillType,MATCH(A43,'Key Metrics'!B:B,0))="Other (please specify)",INDEX('Key Metrics'!N:N,MATCH(A43,'Key Metrics'!B:B,0)),INDEX(NYUAfillType,MATCH(A43,'Key Metrics'!B:B,0)))</f>
        <v>0</v>
      </c>
      <c r="R43" s="105" t="str">
        <f t="array" aca="1" ref="R43" ca="1">IF(INDEX('Key Metrics'!Q:Q,MATCH(A43,'Key Metrics'!B:B,0))="No","",INDEX('Key Metrics'!Q:Q,MATCH(A43,'Key Metrics'!B:B,0)))</f>
        <v/>
      </c>
      <c r="S43" s="106" t="str">
        <f t="shared" si="1"/>
        <v>Revisit</v>
      </c>
      <c r="T43" s="107" t="s">
        <v>19</v>
      </c>
      <c r="U43" s="107" t="b">
        <v>0</v>
      </c>
      <c r="V43" s="107" t="b">
        <v>0</v>
      </c>
      <c r="W43" s="107" t="b">
        <v>0</v>
      </c>
      <c r="X43" s="108"/>
      <c r="Y43" s="106" t="e">
        <f t="array" ref="Y43">INDEX('DT Short List'!F:F,MATCH(A43,'DT Short List'!A:A,0))</f>
        <v>#N/A</v>
      </c>
    </row>
    <row r="44" spans="1:25" ht="55" hidden="1">
      <c r="A44" s="109" t="s">
        <v>103</v>
      </c>
      <c r="B44" s="86" t="str">
        <f t="array" ref="B44">INDEX(Interview,MATCH(A44,Name,0))</f>
        <v>Invite</v>
      </c>
      <c r="C44" s="86" t="str">
        <f t="array" ref="C44">INDEX(Track,MATCH(A44,Name,0))</f>
        <v>Deep Tech</v>
      </c>
      <c r="D44" s="87">
        <f t="array" ref="D44">INDEX(Score,MATCH(A44,Name,0))</f>
        <v>3.75</v>
      </c>
      <c r="E44" s="88">
        <f t="array" aca="1" ref="E44" ca="1">INDEX(Date,MATCH(A44,Name,0))</f>
        <v>44784</v>
      </c>
      <c r="F44" s="86" t="s">
        <v>13305</v>
      </c>
      <c r="G44" s="86" t="s">
        <v>13309</v>
      </c>
      <c r="H44" s="86" t="str">
        <f t="array" aca="1" ref="H44" ca="1">IFERROR(INDEX('2022-2023 Third Reviews'!K:K,MATCH(A44,'2022-2023 Third Reviews'!C:C,0)),"")</f>
        <v>Jason Yu
4</v>
      </c>
      <c r="I44" s="89" t="s">
        <v>10750</v>
      </c>
      <c r="J44" s="89" t="s">
        <v>10751</v>
      </c>
      <c r="K44" s="89" t="str">
        <f t="array" aca="1" ref="K44" ca="1">IFERROR(INDEX('2022-2023 Third Reviews'!L:L,MATCH(A44,'2022-2023 Third Reviews'!C:C,0)),"")</f>
        <v>There is only PET or nuclear-based metabolic assessment available today. This limits the
availability of the assessment in a timely manner due to logistics and radiation risk.|By using an already installed MRI scanner and our Oxy17Fusion medium we can do two things|1. Rapid assessment of the location and status of tissue status|2. Simultaneously provide the needed Oxygen to Oxygen starved tissue due to the episode</v>
      </c>
      <c r="L44" s="90" t="str">
        <f t="array" ref="L44">INDEX(AppNotes,MATCH(A44,Name,0))</f>
        <v>unique factor is creation of supercap in required shape for purchaser; seems too early; has lab testing so far; interested to see how they move into production</v>
      </c>
      <c r="M44" s="91" t="str">
        <f t="array" aca="1" ref="M44" ca="1">INDEX(Team,MATCH(A44,'Key Metrics'!B:B,0))</f>
        <v>Man, Man, Man, Man</v>
      </c>
      <c r="N44" s="87" t="str">
        <f t="array" aca="1" ref="N44" ca="1">IF(INDEX('Key Metrics'!F:F,MATCH(A44,'Key Metrics'!B:B,0))="Woman","Yes","")</f>
        <v/>
      </c>
      <c r="O44" s="87" t="str">
        <f t="shared" ca="1" si="0"/>
        <v/>
      </c>
      <c r="P44" s="92">
        <f t="array" ref="P44">INDEX(Referral,MATCH(A44,Name,0))</f>
        <v>0</v>
      </c>
      <c r="Q44" s="92">
        <f t="array" aca="1" ref="Q44" ca="1">IF(INDEX(NYUAfillType,MATCH(A44,'Key Metrics'!B:B,0))="Other (please specify)",INDEX('Key Metrics'!N:N,MATCH(A44,'Key Metrics'!B:B,0)),INDEX(NYUAfillType,MATCH(A44,'Key Metrics'!B:B,0)))</f>
        <v>0</v>
      </c>
      <c r="R44" s="93" t="str">
        <f t="array" aca="1" ref="R44" ca="1">IF(INDEX('Key Metrics'!Q:Q,MATCH(A44,'Key Metrics'!B:B,0))="No","",INDEX('Key Metrics'!Q:Q,MATCH(A44,'Key Metrics'!B:B,0)))</f>
        <v/>
      </c>
      <c r="S44" s="94" t="str">
        <f t="shared" si="1"/>
        <v>Invite</v>
      </c>
      <c r="T44" s="95" t="s">
        <v>18</v>
      </c>
      <c r="U44" s="95" t="b">
        <v>0</v>
      </c>
      <c r="V44" s="95" t="b">
        <v>0</v>
      </c>
      <c r="W44" s="95" t="b">
        <v>0</v>
      </c>
      <c r="X44" s="96"/>
      <c r="Y44" s="94" t="str">
        <f t="array" ref="Y44">INDEX('DT Short List'!F:F,MATCH(A44,'DT Short List'!A:A,0))</f>
        <v>Invite</v>
      </c>
    </row>
    <row r="45" spans="1:25" ht="66">
      <c r="A45" s="97" t="s">
        <v>104</v>
      </c>
      <c r="B45" s="98" t="str">
        <f t="array" ref="B45">INDEX(Interview,MATCH(A45,Name,0))</f>
        <v>Invite</v>
      </c>
      <c r="C45" s="98" t="str">
        <f t="array" ref="C45">INDEX(Track,MATCH(A45,Name,0))</f>
        <v>Deep Tech</v>
      </c>
      <c r="D45" s="99">
        <f t="array" ref="D45">INDEX(Score,MATCH(A45,Name,0))</f>
        <v>4.5</v>
      </c>
      <c r="E45" s="100">
        <f t="array" aca="1" ref="E45" ca="1">INDEX(Date,MATCH(A45,Name,0))</f>
        <v>44796</v>
      </c>
      <c r="F45" s="98" t="s">
        <v>13306</v>
      </c>
      <c r="G45" s="98" t="s">
        <v>13339</v>
      </c>
      <c r="H45" s="98" t="str">
        <f t="array" aca="1" ref="H45" ca="1">IFERROR(INDEX('2022-2023 Third Reviews'!K:K,MATCH(A45,'2022-2023 Third Reviews'!C:C,0)),"")</f>
        <v>Ahmed Bahgat
2</v>
      </c>
      <c r="I45" s="101" t="s">
        <v>11297</v>
      </c>
      <c r="J45" s="101" t="s">
        <v>11298</v>
      </c>
      <c r="K45" s="101" t="str">
        <f t="array" aca="1" ref="K45" ca="1">IFERROR(INDEX('2022-2023 Third Reviews'!L:L,MATCH(A45,'2022-2023 Third Reviews'!C:C,0)),"")</f>
        <v xml:space="preserve">Replicating existing solutions to accessing crypto markets, no clear market defined hence no unique specific customer pain being addressed. </v>
      </c>
      <c r="L45" s="102">
        <f t="array" ref="L45">INDEX(AppNotes,MATCH(A45,Name,0))</f>
        <v>0</v>
      </c>
      <c r="M45" s="103" t="str">
        <f t="array" aca="1" ref="M45" ca="1">INDEX(Team,MATCH(A45,'Key Metrics'!B:B,0))</f>
        <v>Man, Woman, Man, Man</v>
      </c>
      <c r="N45" s="99" t="str">
        <f t="array" aca="1" ref="N45" ca="1">IF(INDEX('Key Metrics'!F:F,MATCH(A45,'Key Metrics'!B:B,0))="Woman","Yes","")</f>
        <v/>
      </c>
      <c r="O45" s="99" t="str">
        <f t="shared" ca="1" si="0"/>
        <v>Yes</v>
      </c>
      <c r="P45" s="104">
        <f t="array" ref="P45">INDEX(Referral,MATCH(A45,Name,0))</f>
        <v>0</v>
      </c>
      <c r="Q45" s="104">
        <f t="array" aca="1" ref="Q45" ca="1">IF(INDEX(NYUAfillType,MATCH(A45,'Key Metrics'!B:B,0))="Other (please specify)",INDEX('Key Metrics'!N:N,MATCH(A45,'Key Metrics'!B:B,0)),INDEX(NYUAfillType,MATCH(A45,'Key Metrics'!B:B,0)))</f>
        <v>0</v>
      </c>
      <c r="R45" s="105" t="str">
        <f t="array" aca="1" ref="R45" ca="1">IF(INDEX('Key Metrics'!Q:Q,MATCH(A45,'Key Metrics'!B:B,0))="No","",INDEX('Key Metrics'!Q:Q,MATCH(A45,'Key Metrics'!B:B,0)))</f>
        <v/>
      </c>
      <c r="S45" s="106" t="str">
        <f t="shared" si="1"/>
        <v>Invite</v>
      </c>
      <c r="T45" s="107" t="s">
        <v>18</v>
      </c>
      <c r="U45" s="107" t="b">
        <v>0</v>
      </c>
      <c r="V45" s="107" t="b">
        <v>0</v>
      </c>
      <c r="W45" s="107" t="b">
        <v>0</v>
      </c>
      <c r="X45" s="108"/>
      <c r="Y45" s="106" t="str">
        <f t="array" ref="Y45">INDEX('DT Short List'!F:F,MATCH(A45,'DT Short List'!A:A,0))</f>
        <v>Invite</v>
      </c>
    </row>
    <row r="46" spans="1:25" ht="55" hidden="1">
      <c r="A46" s="109" t="s">
        <v>105</v>
      </c>
      <c r="B46" s="86" t="str">
        <f t="array" ref="B46">INDEX(Interview,MATCH(A46,Name,0))</f>
        <v>Invite</v>
      </c>
      <c r="C46" s="86" t="str">
        <f t="array" ref="C46">INDEX(Track,MATCH(A46,Name,0))</f>
        <v>Deep Tech</v>
      </c>
      <c r="D46" s="87">
        <f t="array" ref="D46">INDEX(Score,MATCH(A46,Name,0))</f>
        <v>4</v>
      </c>
      <c r="E46" s="88">
        <f t="array" aca="1" ref="E46" ca="1">INDEX(Date,MATCH(A46,Name,0))</f>
        <v>44789</v>
      </c>
      <c r="F46" s="86" t="s">
        <v>13305</v>
      </c>
      <c r="G46" s="86" t="s">
        <v>13307</v>
      </c>
      <c r="H46" s="86" t="str">
        <f t="array" aca="1" ref="H46" ca="1">IFERROR(INDEX('2022-2023 Third Reviews'!K:K,MATCH(A46,'2022-2023 Third Reviews'!C:C,0)),"")</f>
        <v>Ahmed Bahgat
4</v>
      </c>
      <c r="I46" s="89" t="s">
        <v>10997</v>
      </c>
      <c r="J46" s="89" t="s">
        <v>10998</v>
      </c>
      <c r="K46" s="89" t="str">
        <f t="array" aca="1" ref="K46" ca="1">IFERROR(INDEX('2022-2023 Third Reviews'!L:L,MATCH(A46,'2022-2023 Third Reviews'!C:C,0)),"")</f>
        <v xml:space="preserve">Well positioned to really benefit from EFL. </v>
      </c>
      <c r="L46" s="90">
        <f t="array" ref="L46">INDEX(AppNotes,MATCH(A46,Name,0))</f>
        <v>0</v>
      </c>
      <c r="M46" s="91" t="str">
        <f t="array" aca="1" ref="M46" ca="1">INDEX(Team,MATCH(A46,'Key Metrics'!B:B,0))</f>
        <v>Man, Man</v>
      </c>
      <c r="N46" s="87" t="str">
        <f t="array" aca="1" ref="N46" ca="1">IF(INDEX('Key Metrics'!F:F,MATCH(A46,'Key Metrics'!B:B,0))="Woman","Yes","")</f>
        <v/>
      </c>
      <c r="O46" s="87" t="str">
        <f t="shared" ca="1" si="0"/>
        <v/>
      </c>
      <c r="P46" s="92">
        <f t="array" ref="P46">INDEX(Referral,MATCH(A46,Name,0))</f>
        <v>0</v>
      </c>
      <c r="Q46" s="92">
        <f t="array" aca="1" ref="Q46" ca="1">IF(INDEX(NYUAfillType,MATCH(A46,'Key Metrics'!B:B,0))="Other (please specify)",INDEX('Key Metrics'!N:N,MATCH(A46,'Key Metrics'!B:B,0)),INDEX(NYUAfillType,MATCH(A46,'Key Metrics'!B:B,0)))</f>
        <v>0</v>
      </c>
      <c r="R46" s="93" t="str">
        <f t="array" aca="1" ref="R46" ca="1">IF(INDEX('Key Metrics'!Q:Q,MATCH(A46,'Key Metrics'!B:B,0))="No","",INDEX('Key Metrics'!Q:Q,MATCH(A46,'Key Metrics'!B:B,0)))</f>
        <v/>
      </c>
      <c r="S46" s="94" t="str">
        <f t="shared" si="1"/>
        <v>Invite</v>
      </c>
      <c r="T46" s="95" t="s">
        <v>18</v>
      </c>
      <c r="U46" s="95" t="b">
        <v>0</v>
      </c>
      <c r="V46" s="95" t="b">
        <v>0</v>
      </c>
      <c r="W46" s="95" t="b">
        <v>0</v>
      </c>
      <c r="X46" s="96"/>
      <c r="Y46" s="94" t="str">
        <f t="array" ref="Y46">INDEX('DT Short List'!F:F,MATCH(A46,'DT Short List'!A:A,0))</f>
        <v>Invite</v>
      </c>
    </row>
    <row r="47" spans="1:25" ht="55">
      <c r="A47" s="97" t="s">
        <v>106</v>
      </c>
      <c r="B47" s="98" t="str">
        <f t="array" ref="B47">INDEX(Interview,MATCH(A47,Name,0))</f>
        <v>Invite</v>
      </c>
      <c r="C47" s="98" t="str">
        <f t="array" ref="C47">INDEX(Track,MATCH(A47,Name,0))</f>
        <v>Deep Tech</v>
      </c>
      <c r="D47" s="99">
        <f t="array" ref="D47">INDEX(Score,MATCH(A47,Name,0))</f>
        <v>3.25</v>
      </c>
      <c r="E47" s="100">
        <f t="array" aca="1" ref="E47" ca="1">INDEX(Date,MATCH(A47,Name,0))</f>
        <v>44784</v>
      </c>
      <c r="F47" s="98" t="s">
        <v>13308</v>
      </c>
      <c r="G47" s="98" t="s">
        <v>13333</v>
      </c>
      <c r="H47" s="98" t="str">
        <f t="array" aca="1" ref="H47" ca="1">IFERROR(INDEX('2022-2023 Third Reviews'!K:K,MATCH(A47,'2022-2023 Third Reviews'!C:C,0)),"")</f>
        <v>Ahmed Bahgat
5</v>
      </c>
      <c r="I47" s="101" t="s">
        <v>10610</v>
      </c>
      <c r="J47" s="101" t="s">
        <v>10611</v>
      </c>
      <c r="K47" s="101" t="str">
        <f t="array" aca="1" ref="K47" ca="1">IFERROR(INDEX('2022-2023 Third Reviews'!L:L,MATCH(A47,'2022-2023 Third Reviews'!C:C,0)),"")</f>
        <v>Solid team with a strong and novel technology solution for heavy industries focused on delivering on the needs of the oil condition monitoring market. They are well positioned to expedite their commercialization with EFL's help.</v>
      </c>
      <c r="L47" s="102" t="str">
        <f t="array" ref="L47">INDEX(AppNotes,MATCH(A47,Name,0))</f>
        <v>Mentors would be interested?; minimalistic EV car; would need intense capital build; 16M in pre book revenue allegedly, but their math doesn't quite work out; NYU founded team;</v>
      </c>
      <c r="M47" s="103" t="str">
        <f t="array" aca="1" ref="M47" ca="1">INDEX(Team,MATCH(A47,'Key Metrics'!B:B,0))</f>
        <v>Man, Woman</v>
      </c>
      <c r="N47" s="99" t="str">
        <f t="array" aca="1" ref="N47" ca="1">IF(INDEX('Key Metrics'!F:F,MATCH(A47,'Key Metrics'!B:B,0))="Woman","Yes","")</f>
        <v/>
      </c>
      <c r="O47" s="99" t="str">
        <f t="shared" ca="1" si="0"/>
        <v>Yes</v>
      </c>
      <c r="P47" s="104">
        <f t="array" ref="P47">INDEX(Referral,MATCH(A47,Name,0))</f>
        <v>0</v>
      </c>
      <c r="Q47" s="104">
        <f t="array" aca="1" ref="Q47" ca="1">IF(INDEX(NYUAfillType,MATCH(A47,'Key Metrics'!B:B,0))="Other (please specify)",INDEX('Key Metrics'!N:N,MATCH(A47,'Key Metrics'!B:B,0)),INDEX(NYUAfillType,MATCH(A47,'Key Metrics'!B:B,0)))</f>
        <v>0</v>
      </c>
      <c r="R47" s="105" t="str">
        <f t="array" aca="1" ref="R47" ca="1">IF(INDEX('Key Metrics'!Q:Q,MATCH(A47,'Key Metrics'!B:B,0))="No","",INDEX('Key Metrics'!Q:Q,MATCH(A47,'Key Metrics'!B:B,0)))</f>
        <v/>
      </c>
      <c r="S47" s="106" t="str">
        <f t="shared" si="1"/>
        <v>Invite</v>
      </c>
      <c r="T47" s="107" t="s">
        <v>18</v>
      </c>
      <c r="U47" s="107" t="b">
        <v>0</v>
      </c>
      <c r="V47" s="107" t="b">
        <v>0</v>
      </c>
      <c r="W47" s="107" t="b">
        <v>0</v>
      </c>
      <c r="X47" s="108"/>
      <c r="Y47" s="106" t="str">
        <f t="array" ref="Y47">INDEX('DT Short List'!F:F,MATCH(A47,'DT Short List'!A:A,0))</f>
        <v>Invite</v>
      </c>
    </row>
    <row r="48" spans="1:25" ht="55" hidden="1">
      <c r="A48" s="109" t="s">
        <v>107</v>
      </c>
      <c r="B48" s="86" t="str">
        <f t="array" ref="B48">INDEX(Interview,MATCH(A48,Name,0))</f>
        <v>Revisit/ Cluster</v>
      </c>
      <c r="C48" s="86" t="str">
        <f t="array" ref="C48">INDEX(Track,MATCH(A48,Name,0))</f>
        <v>Deep Tech</v>
      </c>
      <c r="D48" s="87">
        <f t="array" ref="D48">INDEX(Score,MATCH(A48,Name,0))</f>
        <v>3.75</v>
      </c>
      <c r="E48" s="88">
        <f t="array" aca="1" ref="E48" ca="1">INDEX(Date,MATCH(A48,Name,0))</f>
        <v>44789</v>
      </c>
      <c r="F48" s="86" t="s">
        <v>13308</v>
      </c>
      <c r="G48" s="86" t="s">
        <v>13321</v>
      </c>
      <c r="H48" s="86" t="str">
        <f t="array" aca="1" ref="H48" ca="1">IFERROR(INDEX('2022-2023 Third Reviews'!K:K,MATCH(A48,'2022-2023 Third Reviews'!C:C,0)),"")</f>
        <v>Nick Schmandt
3</v>
      </c>
      <c r="I48" s="89" t="s">
        <v>10254</v>
      </c>
      <c r="J48" s="89" t="s">
        <v>10255</v>
      </c>
      <c r="K48" s="89" t="str">
        <f t="array" aca="1" ref="K48" ca="1">IFERROR(INDEX('2022-2023 Third Reviews'!L:L,MATCH(A48,'2022-2023 Third Reviews'!C:C,0)),"")</f>
        <v>I wish I could rate this higher, but the CEO is inexperienced and he is describing a deliverable that is not what he is demoing. I believe the process of hooking up an electrical vehicle to the grid and having it take in/push out electricity is more complicated than they describe and not all electrical grids can handle it.</v>
      </c>
      <c r="L48" s="90" t="str">
        <f t="array" ref="L48">INDEX(AppNotes,MATCH(A48,Name,0))</f>
        <v>applied last year; new design</v>
      </c>
      <c r="M48" s="91" t="str">
        <f t="array" aca="1" ref="M48" ca="1">INDEX(Team,MATCH(A48,'Key Metrics'!B:B,0))</f>
        <v>Man</v>
      </c>
      <c r="N48" s="87" t="str">
        <f t="array" aca="1" ref="N48" ca="1">IF(INDEX('Key Metrics'!F:F,MATCH(A48,'Key Metrics'!B:B,0))="Woman","Yes","")</f>
        <v/>
      </c>
      <c r="O48" s="87" t="str">
        <f t="shared" ca="1" si="0"/>
        <v/>
      </c>
      <c r="P48" s="92">
        <f t="array" ref="P48">INDEX(Referral,MATCH(A48,Name,0))</f>
        <v>0</v>
      </c>
      <c r="Q48" s="92">
        <f t="array" aca="1" ref="Q48" ca="1">IF(INDEX(NYUAfillType,MATCH(A48,'Key Metrics'!B:B,0))="Other (please specify)",INDEX('Key Metrics'!N:N,MATCH(A48,'Key Metrics'!B:B,0)),INDEX(NYUAfillType,MATCH(A48,'Key Metrics'!B:B,0)))</f>
        <v>0</v>
      </c>
      <c r="R48" s="93" t="str">
        <f t="array" aca="1" ref="R48" ca="1">IF(INDEX('Key Metrics'!Q:Q,MATCH(A48,'Key Metrics'!B:B,0))="No","",INDEX('Key Metrics'!Q:Q,MATCH(A48,'Key Metrics'!B:B,0)))</f>
        <v/>
      </c>
      <c r="S48" s="94" t="str">
        <f t="shared" si="1"/>
        <v>Invite Next Year</v>
      </c>
      <c r="T48" s="95" t="s">
        <v>24</v>
      </c>
      <c r="U48" s="95" t="b">
        <v>0</v>
      </c>
      <c r="V48" s="95" t="b">
        <v>0</v>
      </c>
      <c r="W48" s="95" t="b">
        <v>0</v>
      </c>
      <c r="X48" s="96"/>
      <c r="Y48" s="94" t="str">
        <f t="array" ref="Y48">INDEX('DT Short List'!F:F,MATCH(A48,'DT Short List'!A:A,0))</f>
        <v>Invite Next Year</v>
      </c>
    </row>
    <row r="49" spans="1:25" ht="22">
      <c r="A49" s="97" t="s">
        <v>108</v>
      </c>
      <c r="B49" s="98" t="str">
        <f t="array" ref="B49">INDEX(Interview,MATCH(A49,Name,0))</f>
        <v>Invite</v>
      </c>
      <c r="C49" s="98" t="str">
        <f t="array" ref="C49">INDEX(Track,MATCH(A49,Name,0))</f>
        <v>Deep Tech</v>
      </c>
      <c r="D49" s="99">
        <f t="array" ref="D49">INDEX(Score,MATCH(A49,Name,0))</f>
        <v>5</v>
      </c>
      <c r="E49" s="100">
        <f t="array" aca="1" ref="E49" ca="1">INDEX(Date,MATCH(A49,Name,0))</f>
        <v>44776</v>
      </c>
      <c r="F49" s="98" t="s">
        <v>13317</v>
      </c>
      <c r="G49" s="98" t="s">
        <v>13340</v>
      </c>
      <c r="H49" s="98" t="str">
        <f t="array" ref="H49">IFERROR(INDEX('2022-2023 Third Reviews'!K:K,MATCH(A49,'2022-2023 Third Reviews'!C:C,0)),"")</f>
        <v/>
      </c>
      <c r="I49" s="101" t="s">
        <v>792</v>
      </c>
      <c r="J49" s="101" t="s">
        <v>11399</v>
      </c>
      <c r="K49" s="101" t="str">
        <f t="array" ref="K49">IFERROR(INDEX('2022-2023 Third Reviews'!L:L,MATCH(A49,'2022-2023 Third Reviews'!C:C,0)),"")</f>
        <v/>
      </c>
      <c r="L49" s="102">
        <f t="array" ref="L49">INDEX(AppNotes,MATCH(A49,Name,0))</f>
        <v>0</v>
      </c>
      <c r="M49" s="103" t="str">
        <f t="array" aca="1" ref="M49" ca="1">INDEX(Team,MATCH(A49,'Key Metrics'!B:B,0))</f>
        <v>Woman, Man</v>
      </c>
      <c r="N49" s="99" t="str">
        <f t="array" aca="1" ref="N49" ca="1">IF(INDEX('Key Metrics'!F:F,MATCH(A49,'Key Metrics'!B:B,0))="Woman","Yes","")</f>
        <v>Yes</v>
      </c>
      <c r="O49" s="99" t="str">
        <f t="shared" ca="1" si="0"/>
        <v>Yes</v>
      </c>
      <c r="P49" s="104">
        <f t="array" ref="P49">INDEX(Referral,MATCH(A49,Name,0))</f>
        <v>0</v>
      </c>
      <c r="Q49" s="104">
        <f t="array" aca="1" ref="Q49" ca="1">IF(INDEX(NYUAfillType,MATCH(A49,'Key Metrics'!B:B,0))="Other (please specify)",INDEX('Key Metrics'!N:N,MATCH(A49,'Key Metrics'!B:B,0)),INDEX(NYUAfillType,MATCH(A49,'Key Metrics'!B:B,0)))</f>
        <v>0</v>
      </c>
      <c r="R49" s="105" t="str">
        <f t="array" aca="1" ref="R49" ca="1">IF(INDEX('Key Metrics'!Q:Q,MATCH(A49,'Key Metrics'!B:B,0))="No","",INDEX('Key Metrics'!Q:Q,MATCH(A49,'Key Metrics'!B:B,0)))</f>
        <v/>
      </c>
      <c r="S49" s="106" t="str">
        <f t="shared" si="1"/>
        <v>Invite</v>
      </c>
      <c r="T49" s="107" t="s">
        <v>18</v>
      </c>
      <c r="U49" s="107" t="b">
        <v>0</v>
      </c>
      <c r="V49" s="107" t="b">
        <v>0</v>
      </c>
      <c r="W49" s="107" t="b">
        <v>0</v>
      </c>
      <c r="X49" s="108"/>
      <c r="Y49" s="106" t="str">
        <f t="array" ref="Y49">INDEX('DT Short List'!F:F,MATCH(A49,'DT Short List'!A:A,0))</f>
        <v>Invite</v>
      </c>
    </row>
    <row r="50" spans="1:25" ht="44" hidden="1">
      <c r="A50" s="109" t="s">
        <v>109</v>
      </c>
      <c r="B50" s="86" t="str">
        <f t="array" ref="B50">INDEX(Interview,MATCH(A50,Name,0))</f>
        <v>Invite</v>
      </c>
      <c r="C50" s="86" t="str">
        <f t="array" ref="C50">INDEX(Track,MATCH(A50,Name,0))</f>
        <v>Deep Tech</v>
      </c>
      <c r="D50" s="87">
        <f t="array" ref="D50">INDEX(Score,MATCH(A50,Name,0))</f>
        <v>4</v>
      </c>
      <c r="E50" s="88">
        <f t="array" aca="1" ref="E50" ca="1">INDEX(Date,MATCH(A50,Name,0))</f>
        <v>44791</v>
      </c>
      <c r="F50" s="86" t="s">
        <v>13305</v>
      </c>
      <c r="G50" s="86" t="s">
        <v>13307</v>
      </c>
      <c r="H50" s="86" t="str">
        <f t="array" aca="1" ref="H50" ca="1">IFERROR(INDEX('2022-2023 Third Reviews'!K:K,MATCH(A50,'2022-2023 Third Reviews'!C:C,0)),"")</f>
        <v>Ahmed Bahgat
5</v>
      </c>
      <c r="I50" s="89" t="s">
        <v>11152</v>
      </c>
      <c r="J50" s="89" t="s">
        <v>11153</v>
      </c>
      <c r="K50" s="89" t="str">
        <f t="array" aca="1" ref="K50" ca="1">IFERROR(INDEX('2022-2023 Third Reviews'!L:L,MATCH(A50,'2022-2023 Third Reviews'!C:C,0)),"")</f>
        <v xml:space="preserve">Solid team executing a strong vision in a ripe target market. They have a strong product and a market fit and looking to figure out the best way to scale </v>
      </c>
      <c r="L50" s="90">
        <f t="array" ref="L50">INDEX(AppNotes,MATCH(A50,Name,0))</f>
        <v>0</v>
      </c>
      <c r="M50" s="91" t="str">
        <f t="array" aca="1" ref="M50" ca="1">INDEX(Team,MATCH(A50,'Key Metrics'!B:B,0))</f>
        <v>Man, Man</v>
      </c>
      <c r="N50" s="87" t="str">
        <f t="array" aca="1" ref="N50" ca="1">IF(INDEX('Key Metrics'!F:F,MATCH(A50,'Key Metrics'!B:B,0))="Woman","Yes","")</f>
        <v/>
      </c>
      <c r="O50" s="87" t="str">
        <f t="shared" ca="1" si="0"/>
        <v/>
      </c>
      <c r="P50" s="92">
        <f t="array" ref="P50">INDEX(Referral,MATCH(A50,Name,0))</f>
        <v>0</v>
      </c>
      <c r="Q50" s="92">
        <f t="array" aca="1" ref="Q50" ca="1">IF(INDEX(NYUAfillType,MATCH(A50,'Key Metrics'!B:B,0))="Other (please specify)",INDEX('Key Metrics'!N:N,MATCH(A50,'Key Metrics'!B:B,0)),INDEX(NYUAfillType,MATCH(A50,'Key Metrics'!B:B,0)))</f>
        <v>0</v>
      </c>
      <c r="R50" s="93" t="str">
        <f t="array" aca="1" ref="R50" ca="1">IF(INDEX('Key Metrics'!Q:Q,MATCH(A50,'Key Metrics'!B:B,0))="No","",INDEX('Key Metrics'!Q:Q,MATCH(A50,'Key Metrics'!B:B,0)))</f>
        <v/>
      </c>
      <c r="S50" s="94" t="str">
        <f t="shared" si="1"/>
        <v>Invite</v>
      </c>
      <c r="T50" s="95" t="s">
        <v>18</v>
      </c>
      <c r="U50" s="95" t="b">
        <v>0</v>
      </c>
      <c r="V50" s="95" t="b">
        <v>0</v>
      </c>
      <c r="W50" s="95" t="b">
        <v>0</v>
      </c>
      <c r="X50" s="96"/>
      <c r="Y50" s="94" t="str">
        <f t="array" ref="Y50">INDEX('DT Short List'!F:F,MATCH(A50,'DT Short List'!A:A,0))</f>
        <v>Invite</v>
      </c>
    </row>
    <row r="51" spans="1:25" ht="66" hidden="1">
      <c r="A51" s="97" t="s">
        <v>110</v>
      </c>
      <c r="B51" s="98" t="str">
        <f t="array" ref="B51">INDEX(Interview,MATCH(A51,Name,0))</f>
        <v>Invite</v>
      </c>
      <c r="C51" s="98" t="str">
        <f t="array" ref="C51">INDEX(Track,MATCH(A51,Name,0))</f>
        <v>Life Sciences</v>
      </c>
      <c r="D51" s="99">
        <f t="array" ref="D51">INDEX(Score,MATCH(A51,Name,0))</f>
        <v>4.25</v>
      </c>
      <c r="E51" s="100">
        <f t="array" aca="1" ref="E51" ca="1">INDEX(Date,MATCH(A51,Name,0))</f>
        <v>44791</v>
      </c>
      <c r="F51" s="98" t="s">
        <v>13306</v>
      </c>
      <c r="G51" s="98" t="s">
        <v>13321</v>
      </c>
      <c r="H51" s="98" t="str">
        <f t="array" ref="H51">IFERROR(INDEX('2022-2023 Third Reviews'!K:K,MATCH(A51,'2022-2023 Third Reviews'!C:C,0)),"")</f>
        <v/>
      </c>
      <c r="I51" s="101" t="s">
        <v>11368</v>
      </c>
      <c r="J51" s="101" t="s">
        <v>11369</v>
      </c>
      <c r="K51" s="101" t="str">
        <f t="array" ref="K51">IFERROR(INDEX('2022-2023 Third Reviews'!L:L,MATCH(A51,'2022-2023 Third Reviews'!C:C,0)),"")</f>
        <v/>
      </c>
      <c r="L51" s="102">
        <f t="array" ref="L51">INDEX(AppNotes,MATCH(A51,Name,0))</f>
        <v>0</v>
      </c>
      <c r="M51" s="103" t="str">
        <f t="array" aca="1" ref="M51" ca="1">INDEX(Team,MATCH(A51,'Key Metrics'!B:B,0))</f>
        <v>Man, Man</v>
      </c>
      <c r="N51" s="99" t="str">
        <f t="array" aca="1" ref="N51" ca="1">IF(INDEX('Key Metrics'!F:F,MATCH(A51,'Key Metrics'!B:B,0))="Woman","Yes","")</f>
        <v/>
      </c>
      <c r="O51" s="99" t="str">
        <f t="shared" ca="1" si="0"/>
        <v/>
      </c>
      <c r="P51" s="104">
        <f t="array" ref="P51">INDEX(Referral,MATCH(A51,Name,0))</f>
        <v>0</v>
      </c>
      <c r="Q51" s="104">
        <f t="array" aca="1" ref="Q51" ca="1">IF(INDEX(NYUAfillType,MATCH(A51,'Key Metrics'!B:B,0))="Other (please specify)",INDEX('Key Metrics'!N:N,MATCH(A51,'Key Metrics'!B:B,0)),INDEX(NYUAfillType,MATCH(A51,'Key Metrics'!B:B,0)))</f>
        <v>0</v>
      </c>
      <c r="R51" s="105" t="str">
        <f t="array" aca="1" ref="R51" ca="1">IF(INDEX('Key Metrics'!Q:Q,MATCH(A51,'Key Metrics'!B:B,0))="No","",INDEX('Key Metrics'!Q:Q,MATCH(A51,'Key Metrics'!B:B,0)))</f>
        <v/>
      </c>
      <c r="S51" s="106" t="str">
        <f t="shared" si="1"/>
        <v>Revisit</v>
      </c>
      <c r="T51" s="107" t="s">
        <v>19</v>
      </c>
      <c r="U51" s="107" t="b">
        <v>0</v>
      </c>
      <c r="V51" s="107" t="b">
        <v>0</v>
      </c>
      <c r="W51" s="107" t="b">
        <v>0</v>
      </c>
      <c r="X51" s="108"/>
      <c r="Y51" s="106" t="e">
        <f t="array" ref="Y51">INDEX('DT Short List'!F:F,MATCH(A51,'DT Short List'!A:A,0))</f>
        <v>#N/A</v>
      </c>
    </row>
    <row r="52" spans="1:25" ht="55" hidden="1">
      <c r="A52" s="109" t="s">
        <v>111</v>
      </c>
      <c r="B52" s="86" t="str">
        <f t="array" ref="B52">INDEX(Interview,MATCH(A52,Name,0))</f>
        <v>Revisit</v>
      </c>
      <c r="C52" s="86" t="str">
        <f t="array" ref="C52">INDEX(Track,MATCH(A52,Name,0))</f>
        <v>Deep Tech</v>
      </c>
      <c r="D52" s="87">
        <f t="array" ref="D52">INDEX(Score,MATCH(A52,Name,0))</f>
        <v>3.5</v>
      </c>
      <c r="E52" s="88">
        <f t="array" aca="1" ref="E52" ca="1">INDEX(Date,MATCH(A52,Name,0))</f>
        <v>44789</v>
      </c>
      <c r="F52" s="86" t="s">
        <v>13308</v>
      </c>
      <c r="G52" s="86" t="s">
        <v>13309</v>
      </c>
      <c r="H52" s="86" t="str">
        <f t="array" aca="1" ref="H52" ca="1">IFERROR(INDEX('2022-2023 Third Reviews'!K:K,MATCH(A52,'2022-2023 Third Reviews'!C:C,0)),"")</f>
        <v>Jason Yu
3</v>
      </c>
      <c r="I52" s="89" t="s">
        <v>10359</v>
      </c>
      <c r="J52" s="89" t="s">
        <v>10360</v>
      </c>
      <c r="K52" s="89" t="str">
        <f t="array" aca="1" ref="K52" ca="1">IFERROR(INDEX('2022-2023 Third Reviews'!L:L,MATCH(A52,'2022-2023 Third Reviews'!C:C,0)),"")</f>
        <v>Our primary customer segment, Quick Commerce, is facing massive headwinds in the current economic scenario. Therefore, their willingness to experiment/ adopt a disruptive technology is currently diminished.</v>
      </c>
      <c r="L52" s="90" t="str">
        <f t="array" ref="L52">INDEX(AppNotes,MATCH(A52,Name,0))</f>
        <v>Change to DiT;</v>
      </c>
      <c r="M52" s="91" t="str">
        <f t="array" aca="1" ref="M52" ca="1">INDEX(Team,MATCH(A52,'Key Metrics'!B:B,0))</f>
        <v>Woman, Man, Man</v>
      </c>
      <c r="N52" s="87" t="str">
        <f t="array" aca="1" ref="N52" ca="1">IF(INDEX('Key Metrics'!F:F,MATCH(A52,'Key Metrics'!B:B,0))="Woman","Yes","")</f>
        <v>Yes</v>
      </c>
      <c r="O52" s="87" t="str">
        <f t="shared" ca="1" si="0"/>
        <v>Yes</v>
      </c>
      <c r="P52" s="92">
        <f t="array" ref="P52">INDEX(Referral,MATCH(A52,Name,0))</f>
        <v>0</v>
      </c>
      <c r="Q52" s="92">
        <f t="array" aca="1" ref="Q52" ca="1">IF(INDEX(NYUAfillType,MATCH(A52,'Key Metrics'!B:B,0))="Other (please specify)",INDEX('Key Metrics'!N:N,MATCH(A52,'Key Metrics'!B:B,0)),INDEX(NYUAfillType,MATCH(A52,'Key Metrics'!B:B,0)))</f>
        <v>0</v>
      </c>
      <c r="R52" s="93" t="str">
        <f t="array" aca="1" ref="R52" ca="1">IF(INDEX('Key Metrics'!Q:Q,MATCH(A52,'Key Metrics'!B:B,0))="No","",INDEX('Key Metrics'!Q:Q,MATCH(A52,'Key Metrics'!B:B,0)))</f>
        <v>Yes</v>
      </c>
      <c r="S52" s="94" t="str">
        <f t="shared" si="1"/>
        <v>Revisit</v>
      </c>
      <c r="T52" s="95" t="s">
        <v>19</v>
      </c>
      <c r="U52" s="95" t="b">
        <v>0</v>
      </c>
      <c r="V52" s="95" t="b">
        <v>0</v>
      </c>
      <c r="W52" s="95" t="b">
        <v>0</v>
      </c>
      <c r="X52" s="96"/>
      <c r="Y52" s="94" t="e">
        <f t="array" ref="Y52">INDEX('DT Short List'!F:F,MATCH(A52,'DT Short List'!A:A,0))</f>
        <v>#N/A</v>
      </c>
    </row>
    <row r="53" spans="1:25" ht="55">
      <c r="A53" s="97" t="s">
        <v>112</v>
      </c>
      <c r="B53" s="98" t="str">
        <f t="array" ref="B53">INDEX(Interview,MATCH(A53,Name,0))</f>
        <v>Revisit</v>
      </c>
      <c r="C53" s="98" t="str">
        <f t="array" ref="C53">INDEX(Track,MATCH(A53,Name,0))</f>
        <v>Deep Tech</v>
      </c>
      <c r="D53" s="99">
        <f t="array" ref="D53">INDEX(Score,MATCH(A53,Name,0))</f>
        <v>4</v>
      </c>
      <c r="E53" s="100">
        <f t="array" aca="1" ref="E53" ca="1">INDEX(Date,MATCH(A53,Name,0))</f>
        <v>44784</v>
      </c>
      <c r="F53" s="98" t="s">
        <v>13341</v>
      </c>
      <c r="G53" s="98" t="s">
        <v>13316</v>
      </c>
      <c r="H53" s="98" t="str">
        <f t="array" aca="1" ref="H53" ca="1">IFERROR(INDEX('2022-2023 Third Reviews'!K:K,MATCH(A53,'2022-2023 Third Reviews'!C:C,0)),"")</f>
        <v>Ahmed Bahgat
5</v>
      </c>
      <c r="I53" s="101" t="s">
        <v>807</v>
      </c>
      <c r="J53" s="101" t="s">
        <v>11332</v>
      </c>
      <c r="K53" s="101" t="str">
        <f t="array" aca="1" ref="K53" ca="1">IFERROR(INDEX('2022-2023 Third Reviews'!L:L,MATCH(A53,'2022-2023 Third Reviews'!C:C,0)),"")</f>
        <v>Solid team with a strong PoC. Well positioned to benefit from EFL for mentorship to help scale their PoC.</v>
      </c>
      <c r="L53" s="102" t="str">
        <f t="array" ref="L53">INDEX(AppNotes,MATCH(A53,Name,0))</f>
        <v>Founders are only part-time; uses microbes over chemicals, but microbes are hard to protect during transport, created protective coating; significantly chepaer than current processes; very strong team, but very early in company; committed to 8-10 hours/week for EFL; currently working out relationship with MIT</v>
      </c>
      <c r="M53" s="103" t="str">
        <f t="array" aca="1" ref="M53" ca="1">INDEX(Team,MATCH(A53,'Key Metrics'!B:B,0))</f>
        <v>Man, Woman</v>
      </c>
      <c r="N53" s="99" t="str">
        <f t="array" aca="1" ref="N53" ca="1">IF(INDEX('Key Metrics'!F:F,MATCH(A53,'Key Metrics'!B:B,0))="Woman","Yes","")</f>
        <v/>
      </c>
      <c r="O53" s="99" t="str">
        <f t="shared" ca="1" si="0"/>
        <v>Yes</v>
      </c>
      <c r="P53" s="104" t="str">
        <f t="array" ref="P53">INDEX(Referral,MATCH(A53,Name,0))</f>
        <v>Mark Flynn</v>
      </c>
      <c r="Q53" s="104">
        <f t="array" aca="1" ref="Q53" ca="1">IF(INDEX(NYUAfillType,MATCH(A53,'Key Metrics'!B:B,0))="Other (please specify)",INDEX('Key Metrics'!N:N,MATCH(A53,'Key Metrics'!B:B,0)),INDEX(NYUAfillType,MATCH(A53,'Key Metrics'!B:B,0)))</f>
        <v>0</v>
      </c>
      <c r="R53" s="105" t="str">
        <f t="array" aca="1" ref="R53" ca="1">IF(INDEX('Key Metrics'!Q:Q,MATCH(A53,'Key Metrics'!B:B,0))="No","",INDEX('Key Metrics'!Q:Q,MATCH(A53,'Key Metrics'!B:B,0)))</f>
        <v/>
      </c>
      <c r="S53" s="106" t="str">
        <f t="shared" si="1"/>
        <v>Invite</v>
      </c>
      <c r="T53" s="107" t="s">
        <v>18</v>
      </c>
      <c r="U53" s="107" t="b">
        <v>0</v>
      </c>
      <c r="V53" s="107" t="b">
        <v>0</v>
      </c>
      <c r="W53" s="107" t="b">
        <v>0</v>
      </c>
      <c r="X53" s="108"/>
      <c r="Y53" s="106" t="str">
        <f t="array" ref="Y53">INDEX('DT Short List'!F:F,MATCH(A53,'DT Short List'!A:A,0))</f>
        <v>Invite</v>
      </c>
    </row>
    <row r="54" spans="1:25" ht="44" hidden="1">
      <c r="A54" s="109" t="s">
        <v>113</v>
      </c>
      <c r="B54" s="86" t="str">
        <f t="array" ref="B54">INDEX(Interview,MATCH(A54,Name,0))</f>
        <v>Invite</v>
      </c>
      <c r="C54" s="86" t="str">
        <f t="array" ref="C54">INDEX(Track,MATCH(A54,Name,0))</f>
        <v>Deep Tech</v>
      </c>
      <c r="D54" s="87">
        <f t="array" ref="D54">INDEX(Score,MATCH(A54,Name,0))</f>
        <v>4</v>
      </c>
      <c r="E54" s="88">
        <f t="array" aca="1" ref="E54" ca="1">INDEX(Date,MATCH(A54,Name,0))</f>
        <v>44782</v>
      </c>
      <c r="F54" s="86" t="s">
        <v>13305</v>
      </c>
      <c r="G54" s="86" t="s">
        <v>13307</v>
      </c>
      <c r="H54" s="86" t="str">
        <f t="array" aca="1" ref="H54" ca="1">IFERROR(INDEX('2022-2023 Third Reviews'!K:K,MATCH(A54,'2022-2023 Third Reviews'!C:C,0)),"")</f>
        <v>Ahmed Bahgat
5</v>
      </c>
      <c r="I54" s="89" t="s">
        <v>10521</v>
      </c>
      <c r="J54" s="89" t="s">
        <v>10522</v>
      </c>
      <c r="K54" s="89" t="str">
        <f t="array" aca="1" ref="K54" ca="1">IFERROR(INDEX('2022-2023 Third Reviews'!L:L,MATCH(A54,'2022-2023 Third Reviews'!C:C,0)),"")</f>
        <v xml:space="preserve">Business is well positioned to grow/scale in the coming months. They are primarily looking to add mentors to better help them scale.   </v>
      </c>
      <c r="L54" s="90" t="str">
        <f t="array" ref="L54">INDEX(AppNotes,MATCH(A54,Name,0))</f>
        <v>for int: what differentiates you from other energy storage companies?</v>
      </c>
      <c r="M54" s="91" t="str">
        <f t="array" aca="1" ref="M54" ca="1">INDEX(Team,MATCH(A54,'Key Metrics'!B:B,0))</f>
        <v>Man, Man, Man, Man</v>
      </c>
      <c r="N54" s="87" t="str">
        <f t="array" aca="1" ref="N54" ca="1">IF(INDEX('Key Metrics'!F:F,MATCH(A54,'Key Metrics'!B:B,0))="Woman","Yes","")</f>
        <v/>
      </c>
      <c r="O54" s="87" t="str">
        <f t="shared" ca="1" si="0"/>
        <v/>
      </c>
      <c r="P54" s="92">
        <f t="array" ref="P54">INDEX(Referral,MATCH(A54,Name,0))</f>
        <v>0</v>
      </c>
      <c r="Q54" s="92" t="str">
        <f t="array" aca="1" ref="Q54" ca="1">IF(INDEX(NYUAfillType,MATCH(A54,'Key Metrics'!B:B,0))="Other (please specify)",INDEX('Key Metrics'!N:N,MATCH(A54,'Key Metrics'!B:B,0)),INDEX(NYUAfillType,MATCH(A54,'Key Metrics'!B:B,0)))</f>
        <v>NYU Alumni</v>
      </c>
      <c r="R54" s="93" t="str">
        <f t="array" aca="1" ref="R54" ca="1">IF(INDEX('Key Metrics'!Q:Q,MATCH(A54,'Key Metrics'!B:B,0))="No","",INDEX('Key Metrics'!Q:Q,MATCH(A54,'Key Metrics'!B:B,0)))</f>
        <v/>
      </c>
      <c r="S54" s="94" t="str">
        <f t="shared" si="1"/>
        <v>Invite</v>
      </c>
      <c r="T54" s="95" t="s">
        <v>18</v>
      </c>
      <c r="U54" s="95" t="b">
        <v>0</v>
      </c>
      <c r="V54" s="95" t="b">
        <v>0</v>
      </c>
      <c r="W54" s="95" t="b">
        <v>0</v>
      </c>
      <c r="X54" s="96"/>
      <c r="Y54" s="94" t="str">
        <f t="array" ref="Y54">INDEX('DT Short List'!F:F,MATCH(A54,'DT Short List'!A:A,0))</f>
        <v>Invite</v>
      </c>
    </row>
    <row r="55" spans="1:25" ht="44" hidden="1">
      <c r="A55" s="97" t="s">
        <v>114</v>
      </c>
      <c r="B55" s="98" t="str">
        <f t="array" ref="B55">INDEX(Interview,MATCH(A55,Name,0))</f>
        <v>Invite</v>
      </c>
      <c r="C55" s="98" t="str">
        <f t="array" ref="C55">INDEX(Track,MATCH(A55,Name,0))</f>
        <v>Deep Tech</v>
      </c>
      <c r="D55" s="99">
        <f t="array" ref="D55">INDEX(Score,MATCH(A55,Name,0))</f>
        <v>4</v>
      </c>
      <c r="E55" s="100">
        <f t="array" aca="1" ref="E55" ca="1">INDEX(Date,MATCH(A55,Name,0))</f>
        <v>44796</v>
      </c>
      <c r="F55" s="98" t="s">
        <v>13306</v>
      </c>
      <c r="G55" s="98" t="s">
        <v>13334</v>
      </c>
      <c r="H55" s="98" t="str">
        <f t="array" aca="1" ref="H55" ca="1">IFERROR(INDEX('2022-2023 Third Reviews'!K:K,MATCH(A55,'2022-2023 Third Reviews'!C:C,0)),"")</f>
        <v>Ahmed Bahgat
5</v>
      </c>
      <c r="I55" s="101" t="s">
        <v>11492</v>
      </c>
      <c r="J55" s="101" t="s">
        <v>11493</v>
      </c>
      <c r="K55" s="101" t="str">
        <f t="array" aca="1" ref="K55" ca="1">IFERROR(INDEX('2022-2023 Third Reviews'!L:L,MATCH(A55,'2022-2023 Third Reviews'!C:C,0)),"")</f>
        <v>Business is Dutch-focused and looking to expand to the US market and is looking to EFL to do so. They clearly articulate list of prioritized issues they are looking to work on during EFL, which tells me they are well positioned and looking to make the most from EFL.</v>
      </c>
      <c r="L55" s="102">
        <f t="array" ref="L55">INDEX(AppNotes,MATCH(A55,Name,0))</f>
        <v>0</v>
      </c>
      <c r="M55" s="103" t="str">
        <f t="array" aca="1" ref="M55" ca="1">INDEX(Team,MATCH(A55,'Key Metrics'!B:B,0))</f>
        <v>Man, Man, Man, Man</v>
      </c>
      <c r="N55" s="99" t="str">
        <f t="array" aca="1" ref="N55" ca="1">IF(INDEX('Key Metrics'!F:F,MATCH(A55,'Key Metrics'!B:B,0))="Woman","Yes","")</f>
        <v/>
      </c>
      <c r="O55" s="99" t="str">
        <f t="shared" ca="1" si="0"/>
        <v/>
      </c>
      <c r="P55" s="104">
        <f t="array" ref="P55">INDEX(Referral,MATCH(A55,Name,0))</f>
        <v>0</v>
      </c>
      <c r="Q55" s="104">
        <f t="array" aca="1" ref="Q55" ca="1">IF(INDEX(NYUAfillType,MATCH(A55,'Key Metrics'!B:B,0))="Other (please specify)",INDEX('Key Metrics'!N:N,MATCH(A55,'Key Metrics'!B:B,0)),INDEX(NYUAfillType,MATCH(A55,'Key Metrics'!B:B,0)))</f>
        <v>0</v>
      </c>
      <c r="R55" s="105" t="str">
        <f t="array" aca="1" ref="R55" ca="1">IF(INDEX('Key Metrics'!Q:Q,MATCH(A55,'Key Metrics'!B:B,0))="No","",INDEX('Key Metrics'!Q:Q,MATCH(A55,'Key Metrics'!B:B,0)))</f>
        <v/>
      </c>
      <c r="S55" s="106" t="str">
        <f t="shared" si="1"/>
        <v>Invite</v>
      </c>
      <c r="T55" s="107" t="s">
        <v>18</v>
      </c>
      <c r="U55" s="107" t="b">
        <v>0</v>
      </c>
      <c r="V55" s="107" t="b">
        <v>0</v>
      </c>
      <c r="W55" s="107" t="b">
        <v>0</v>
      </c>
      <c r="X55" s="108"/>
      <c r="Y55" s="106" t="str">
        <f t="array" ref="Y55">INDEX('DT Short List'!F:F,MATCH(A55,'DT Short List'!A:A,0))</f>
        <v>Invite</v>
      </c>
    </row>
    <row r="56" spans="1:25" ht="55" hidden="1">
      <c r="A56" s="109" t="s">
        <v>115</v>
      </c>
      <c r="B56" s="86" t="str">
        <f t="array" ref="B56">INDEX(Interview,MATCH(A56,Name,0))</f>
        <v>Invite</v>
      </c>
      <c r="C56" s="86" t="str">
        <f t="array" ref="C56">INDEX(Track,MATCH(A56,Name,0))</f>
        <v>Deep Tech</v>
      </c>
      <c r="D56" s="87">
        <f t="array" ref="D56">INDEX(Score,MATCH(A56,Name,0))</f>
        <v>4.5</v>
      </c>
      <c r="E56" s="88">
        <f t="array" aca="1" ref="E56" ca="1">INDEX(Date,MATCH(A56,Name,0))</f>
        <v>44789</v>
      </c>
      <c r="F56" s="86" t="s">
        <v>13305</v>
      </c>
      <c r="G56" s="86" t="s">
        <v>13318</v>
      </c>
      <c r="H56" s="86" t="str">
        <f t="array" aca="1" ref="H56" ca="1">IFERROR(INDEX('2022-2023 Third Reviews'!K:K,MATCH(A56,'2022-2023 Third Reviews'!C:C,0)),"")</f>
        <v>Ahmed Bahgat
5</v>
      </c>
      <c r="I56" s="89" t="s">
        <v>10769</v>
      </c>
      <c r="J56" s="89" t="s">
        <v>10770</v>
      </c>
      <c r="K56" s="89" t="str">
        <f t="array" aca="1" ref="K56" ca="1">IFERROR(INDEX('2022-2023 Third Reviews'!L:L,MATCH(A56,'2022-2023 Third Reviews'!C:C,0)),"")</f>
        <v>Business was launched in Europe and looking to expand in the US. They seem to be very well positioned to benefit from everything EFL offers such as mentoring, local market knowledge, product/market fit, etc.</v>
      </c>
      <c r="L56" s="90" t="str">
        <f t="array" ref="L56">INDEX(AppNotes,MATCH(A56,Name,0))</f>
        <v>still pending FDA approval; for at home non specialized user ultrasounds; question for interview: can the average person really diagnose themselves? what is the ease of use?</v>
      </c>
      <c r="M56" s="91" t="str">
        <f t="array" aca="1" ref="M56" ca="1">INDEX(Team,MATCH(A56,'Key Metrics'!B:B,0))</f>
        <v>Man, Man</v>
      </c>
      <c r="N56" s="87" t="str">
        <f t="array" aca="1" ref="N56" ca="1">IF(INDEX('Key Metrics'!F:F,MATCH(A56,'Key Metrics'!B:B,0))="Woman","Yes","")</f>
        <v/>
      </c>
      <c r="O56" s="87" t="str">
        <f t="shared" ca="1" si="0"/>
        <v/>
      </c>
      <c r="P56" s="92">
        <f t="array" ref="P56">INDEX(Referral,MATCH(A56,Name,0))</f>
        <v>0</v>
      </c>
      <c r="Q56" s="92">
        <f t="array" aca="1" ref="Q56" ca="1">IF(INDEX(NYUAfillType,MATCH(A56,'Key Metrics'!B:B,0))="Other (please specify)",INDEX('Key Metrics'!N:N,MATCH(A56,'Key Metrics'!B:B,0)),INDEX(NYUAfillType,MATCH(A56,'Key Metrics'!B:B,0)))</f>
        <v>0</v>
      </c>
      <c r="R56" s="93" t="str">
        <f t="array" aca="1" ref="R56" ca="1">IF(INDEX('Key Metrics'!Q:Q,MATCH(A56,'Key Metrics'!B:B,0))="No","",INDEX('Key Metrics'!Q:Q,MATCH(A56,'Key Metrics'!B:B,0)))</f>
        <v/>
      </c>
      <c r="S56" s="94" t="str">
        <f t="shared" si="1"/>
        <v>Invite</v>
      </c>
      <c r="T56" s="95" t="s">
        <v>18</v>
      </c>
      <c r="U56" s="95" t="b">
        <v>0</v>
      </c>
      <c r="V56" s="95" t="b">
        <v>0</v>
      </c>
      <c r="W56" s="95" t="b">
        <v>0</v>
      </c>
      <c r="X56" s="96"/>
      <c r="Y56" s="94" t="str">
        <f t="array" ref="Y56">INDEX('DT Short List'!F:F,MATCH(A56,'DT Short List'!A:A,0))</f>
        <v>Invite</v>
      </c>
    </row>
    <row r="57" spans="1:25" ht="44">
      <c r="A57" s="97" t="s">
        <v>116</v>
      </c>
      <c r="B57" s="98" t="str">
        <f t="array" ref="B57">INDEX(Interview,MATCH(A57,Name,0))</f>
        <v>Invite</v>
      </c>
      <c r="C57" s="98" t="str">
        <f t="array" ref="C57">INDEX(Track,MATCH(A57,Name,0))</f>
        <v>Digital Tech</v>
      </c>
      <c r="D57" s="99">
        <f t="array" ref="D57">INDEX(Score,MATCH(A57,Name,0))</f>
        <v>4</v>
      </c>
      <c r="E57" s="100">
        <f t="array" aca="1" ref="E57" ca="1">INDEX(Date,MATCH(A57,Name,0))</f>
        <v>44791</v>
      </c>
      <c r="F57" s="98" t="s">
        <v>13305</v>
      </c>
      <c r="G57" s="98" t="s">
        <v>13307</v>
      </c>
      <c r="H57" s="98" t="str">
        <f t="array" aca="1" ref="H57" ca="1">IFERROR(INDEX('2022-2023 Third Reviews'!K:K,MATCH(A57,'2022-2023 Third Reviews'!C:C,0)),"")</f>
        <v>Joshua Rubnitz
2</v>
      </c>
      <c r="I57" s="101" t="s">
        <v>10881</v>
      </c>
      <c r="J57" s="101" t="s">
        <v>10882</v>
      </c>
      <c r="K57" s="101" t="str">
        <f t="array" aca="1" ref="K57" ca="1">IFERROR(INDEX('2022-2023 Third Reviews'!L:L,MATCH(A57,'2022-2023 Third Reviews'!C:C,0)),"")</f>
        <v>Good vision to produce nutritious food for a region that has typically had problems with food supply, but no clear differentiator or strategy. Startup has not taken shape yet.</v>
      </c>
      <c r="L57" s="102">
        <f t="array" ref="L57">INDEX(AppNotes,MATCH(A57,Name,0))</f>
        <v>0</v>
      </c>
      <c r="M57" s="103" t="str">
        <f t="array" aca="1" ref="M57" ca="1">INDEX(Team,MATCH(A57,'Key Metrics'!B:B,0))</f>
        <v>Man, Woman, Man</v>
      </c>
      <c r="N57" s="99" t="str">
        <f t="array" aca="1" ref="N57" ca="1">IF(INDEX('Key Metrics'!F:F,MATCH(A57,'Key Metrics'!B:B,0))="Woman","Yes","")</f>
        <v/>
      </c>
      <c r="O57" s="99" t="str">
        <f t="shared" ca="1" si="0"/>
        <v>Yes</v>
      </c>
      <c r="P57" s="104">
        <f t="array" ref="P57">INDEX(Referral,MATCH(A57,Name,0))</f>
        <v>0</v>
      </c>
      <c r="Q57" s="104">
        <f t="array" aca="1" ref="Q57" ca="1">IF(INDEX(NYUAfillType,MATCH(A57,'Key Metrics'!B:B,0))="Other (please specify)",INDEX('Key Metrics'!N:N,MATCH(A57,'Key Metrics'!B:B,0)),INDEX(NYUAfillType,MATCH(A57,'Key Metrics'!B:B,0)))</f>
        <v>0</v>
      </c>
      <c r="R57" s="105" t="str">
        <f t="array" aca="1" ref="R57" ca="1">IF(INDEX('Key Metrics'!Q:Q,MATCH(A57,'Key Metrics'!B:B,0))="No","",INDEX('Key Metrics'!Q:Q,MATCH(A57,'Key Metrics'!B:B,0)))</f>
        <v/>
      </c>
      <c r="S57" s="106" t="str">
        <f t="shared" si="1"/>
        <v>Invite</v>
      </c>
      <c r="T57" s="107" t="s">
        <v>18</v>
      </c>
      <c r="U57" s="107" t="b">
        <v>0</v>
      </c>
      <c r="V57" s="107" t="b">
        <v>0</v>
      </c>
      <c r="W57" s="107" t="b">
        <v>0</v>
      </c>
      <c r="X57" s="108"/>
      <c r="Y57" s="106" t="str">
        <f t="array" ref="Y57">INDEX('DT Short List'!F:F,MATCH(A57,'DT Short List'!A:A,0))</f>
        <v>Invite</v>
      </c>
    </row>
    <row r="58" spans="1:25" ht="88">
      <c r="A58" s="109" t="s">
        <v>117</v>
      </c>
      <c r="B58" s="86" t="str">
        <f t="array" ref="B58">INDEX(Interview,MATCH(A58,Name,0))</f>
        <v>Invite Next Year</v>
      </c>
      <c r="C58" s="86" t="str">
        <f t="array" ref="C58">INDEX(Track,MATCH(A58,Name,0))</f>
        <v>Deep Tech</v>
      </c>
      <c r="D58" s="87">
        <f t="array" ref="D58">INDEX(Score,MATCH(A58,Name,0))</f>
        <v>3.25</v>
      </c>
      <c r="E58" s="88">
        <f t="array" aca="1" ref="E58" ca="1">INDEX(Date,MATCH(A58,Name,0))</f>
        <v>44796</v>
      </c>
      <c r="F58" s="86" t="s">
        <v>13324</v>
      </c>
      <c r="G58" s="86" t="s">
        <v>13316</v>
      </c>
      <c r="H58" s="86" t="str">
        <f t="array" aca="1" ref="H58" ca="1">IFERROR(INDEX('2022-2023 Third Reviews'!K:K,MATCH(A58,'2022-2023 Third Reviews'!C:C,0)),"")</f>
        <v>Joshua Rubnitz
4</v>
      </c>
      <c r="I58" s="89" t="s">
        <v>11116</v>
      </c>
      <c r="J58" s="89" t="s">
        <v>11117</v>
      </c>
      <c r="K58" s="89" t="str">
        <f t="array" aca="1" ref="K58" ca="1">IFERROR(INDEX('2022-2023 Third Reviews'!L:L,MATCH(A58,'2022-2023 Third Reviews'!C:C,0)),"")</f>
        <v xml:space="preserve">The promise of this product is huge. If the tech works as advertised, it could be very powerful for IoT, automation, edge compute etc. and would unlock a huge market. They are addressing a very difficult problem to solve, so there is some value in being first mover. 
The team did not supply a deck and did not specify market size or the plan/amount of funding they are raising (but they are raising funding). The team also sees no competition except for internal efforts of companies trying to build their own edge AI systems–this is possibly inaccurate. </v>
      </c>
      <c r="L58" s="90" t="str">
        <f t="array" ref="L58">INDEX(AppNotes,MATCH(A58,Name,0))</f>
        <v>seems funded by parent company; looking for application for hardware that doesn't quite exist yet? slightly confusing; should we speak to them to understand more?</v>
      </c>
      <c r="M58" s="91" t="str">
        <f t="array" aca="1" ref="M58" ca="1">INDEX(Team,MATCH(A58,'Key Metrics'!B:B,0))</f>
        <v>Man, Woman, Woman</v>
      </c>
      <c r="N58" s="87" t="str">
        <f t="array" aca="1" ref="N58" ca="1">IF(INDEX('Key Metrics'!F:F,MATCH(A58,'Key Metrics'!B:B,0))="Woman","Yes","")</f>
        <v/>
      </c>
      <c r="O58" s="87" t="str">
        <f t="shared" ca="1" si="0"/>
        <v>Yes</v>
      </c>
      <c r="P58" s="92" t="str">
        <f t="array" ref="P58">INDEX(Referral,MATCH(A58,Name,0))</f>
        <v>Deepak Hegde</v>
      </c>
      <c r="Q58" s="92">
        <f t="array" aca="1" ref="Q58" ca="1">IF(INDEX(NYUAfillType,MATCH(A58,'Key Metrics'!B:B,0))="Other (please specify)",INDEX('Key Metrics'!N:N,MATCH(A58,'Key Metrics'!B:B,0)),INDEX(NYUAfillType,MATCH(A58,'Key Metrics'!B:B,0)))</f>
        <v>0</v>
      </c>
      <c r="R58" s="93" t="str">
        <f t="array" aca="1" ref="R58" ca="1">IF(INDEX('Key Metrics'!Q:Q,MATCH(A58,'Key Metrics'!B:B,0))="No","",INDEX('Key Metrics'!Q:Q,MATCH(A58,'Key Metrics'!B:B,0)))</f>
        <v/>
      </c>
      <c r="S58" s="94" t="str">
        <f t="shared" si="1"/>
        <v>Invite</v>
      </c>
      <c r="T58" s="95" t="s">
        <v>18</v>
      </c>
      <c r="U58" s="95" t="b">
        <v>0</v>
      </c>
      <c r="V58" s="95" t="b">
        <v>0</v>
      </c>
      <c r="W58" s="95" t="b">
        <v>0</v>
      </c>
      <c r="X58" s="96"/>
      <c r="Y58" s="94" t="str">
        <f t="array" ref="Y58">INDEX('DT Short List'!F:F,MATCH(A58,'DT Short List'!A:A,0))</f>
        <v>Invite</v>
      </c>
    </row>
    <row r="59" spans="1:25" ht="99" hidden="1">
      <c r="A59" s="97" t="s">
        <v>118</v>
      </c>
      <c r="B59" s="98" t="str">
        <f t="array" ref="B59">INDEX(Interview,MATCH(A59,Name,0))</f>
        <v>Revisit/ Cluster</v>
      </c>
      <c r="C59" s="98" t="str">
        <f t="array" ref="C59">INDEX(Track,MATCH(A59,Name,0))</f>
        <v>Deep Tech</v>
      </c>
      <c r="D59" s="99">
        <f t="array" ref="D59">INDEX(Score,MATCH(A59,Name,0))</f>
        <v>3.75</v>
      </c>
      <c r="E59" s="100">
        <f t="array" aca="1" ref="E59" ca="1">INDEX(Date,MATCH(A59,Name,0))</f>
        <v>44784</v>
      </c>
      <c r="F59" s="98" t="s">
        <v>13319</v>
      </c>
      <c r="G59" s="98" t="s">
        <v>13342</v>
      </c>
      <c r="H59" s="98" t="str">
        <f t="array" aca="1" ref="H59" ca="1">IFERROR(INDEX('2022-2023 Third Reviews'!K:K,MATCH(A59,'2022-2023 Third Reviews'!C:C,0)),"")</f>
        <v>Joshua Rubnitz
5</v>
      </c>
      <c r="I59" s="101" t="s">
        <v>847</v>
      </c>
      <c r="J59" s="101" t="s">
        <v>848</v>
      </c>
      <c r="K59" s="101" t="str">
        <f t="array" aca="1" ref="K59" ca="1">IFERROR(INDEX('2022-2023 Third Reviews'!L:L,MATCH(A59,'2022-2023 Third Reviews'!C:C,0)),"")</f>
        <v>Forward thinking tech that will take significant resources to reach scale. Impressive team that has potential to tackle a large challenge. Only 2-5 months of runway. Could benefit from EFL's network and consultation to survive to profitability.</v>
      </c>
      <c r="L59" s="102" t="str">
        <f t="array" ref="L59">INDEX(AppNotes,MATCH(A59,Name,0))</f>
        <v>Change to DT; could be LS, but better in DT; uses AI gait analysis to predict movement in realtime to move patient via exoskeleton; currently prototyped, have done market research; recent patent submission; not much validation so far</v>
      </c>
      <c r="M59" s="103" t="str">
        <f t="array" aca="1" ref="M59" ca="1">INDEX(Team,MATCH(A59,'Key Metrics'!B:B,0))</f>
        <v>Man, Man</v>
      </c>
      <c r="N59" s="99" t="str">
        <f t="array" aca="1" ref="N59" ca="1">IF(INDEX('Key Metrics'!F:F,MATCH(A59,'Key Metrics'!B:B,0))="Woman","Yes","")</f>
        <v/>
      </c>
      <c r="O59" s="99" t="str">
        <f t="shared" ca="1" si="0"/>
        <v/>
      </c>
      <c r="P59" s="104">
        <f t="array" ref="P59">INDEX(Referral,MATCH(A59,Name,0))</f>
        <v>0</v>
      </c>
      <c r="Q59" s="104">
        <f t="array" aca="1" ref="Q59" ca="1">IF(INDEX(NYUAfillType,MATCH(A59,'Key Metrics'!B:B,0))="Other (please specify)",INDEX('Key Metrics'!N:N,MATCH(A59,'Key Metrics'!B:B,0)),INDEX(NYUAfillType,MATCH(A59,'Key Metrics'!B:B,0)))</f>
        <v>0</v>
      </c>
      <c r="R59" s="105" t="str">
        <f t="array" aca="1" ref="R59" ca="1">IF(INDEX('Key Metrics'!Q:Q,MATCH(A59,'Key Metrics'!B:B,0))="No","",INDEX('Key Metrics'!Q:Q,MATCH(A59,'Key Metrics'!B:B,0)))</f>
        <v/>
      </c>
      <c r="S59" s="106" t="str">
        <f t="shared" si="1"/>
        <v>Invite</v>
      </c>
      <c r="T59" s="107" t="s">
        <v>18</v>
      </c>
      <c r="U59" s="107" t="b">
        <v>0</v>
      </c>
      <c r="V59" s="107" t="b">
        <v>0</v>
      </c>
      <c r="W59" s="107" t="b">
        <v>0</v>
      </c>
      <c r="X59" s="108"/>
      <c r="Y59" s="106" t="str">
        <f t="array" ref="Y59">INDEX('DT Short List'!F:F,MATCH(A59,'DT Short List'!A:A,0))</f>
        <v>Invite</v>
      </c>
    </row>
    <row r="60" spans="1:25" ht="55">
      <c r="A60" s="109" t="s">
        <v>119</v>
      </c>
      <c r="B60" s="86" t="str">
        <f t="array" ref="B60">INDEX(Interview,MATCH(A60,Name,0))</f>
        <v>Invite</v>
      </c>
      <c r="C60" s="86" t="str">
        <f t="array" ref="C60">INDEX(Track,MATCH(A60,Name,0))</f>
        <v>Deep Tech</v>
      </c>
      <c r="D60" s="87">
        <f t="array" ref="D60">INDEX(Score,MATCH(A60,Name,0))</f>
        <v>4.25</v>
      </c>
      <c r="E60" s="88">
        <f t="array" aca="1" ref="E60" ca="1">INDEX(Date,MATCH(A60,Name,0))</f>
        <v>44782</v>
      </c>
      <c r="F60" s="86" t="s">
        <v>13306</v>
      </c>
      <c r="G60" s="86" t="s">
        <v>13321</v>
      </c>
      <c r="H60" s="86" t="str">
        <f t="array" aca="1" ref="H60" ca="1">IFERROR(INDEX('2022-2023 Third Reviews'!K:K,MATCH(A60,'2022-2023 Third Reviews'!C:C,0)),"")</f>
        <v>Joshua Rubnitz
4</v>
      </c>
      <c r="I60" s="89" t="s">
        <v>10635</v>
      </c>
      <c r="J60" s="89" t="s">
        <v>10636</v>
      </c>
      <c r="K60" s="89" t="str">
        <f t="array" aca="1" ref="K60" ca="1">IFERROR(INDEX('2022-2023 Third Reviews'!L:L,MATCH(A60,'2022-2023 Third Reviews'!C:C,0)),"")</f>
        <v>Very compelling product and a good team to launch, although most team members are part-time. The company is generating revenue from a large corporate customer. Only concern is that the company has been through many startup accelerators already and product that is essentially fully built out, the team may be having trouble finding market fit? Likely needs help in this department.</v>
      </c>
      <c r="L60" s="90">
        <f t="array" ref="L60">INDEX(AppNotes,MATCH(A60,Name,0))</f>
        <v>0</v>
      </c>
      <c r="M60" s="91" t="str">
        <f t="array" aca="1" ref="M60" ca="1">INDEX(Team,MATCH(A60,'Key Metrics'!B:B,0))</f>
        <v>Woman, Man</v>
      </c>
      <c r="N60" s="87" t="str">
        <f t="array" aca="1" ref="N60" ca="1">IF(INDEX('Key Metrics'!F:F,MATCH(A60,'Key Metrics'!B:B,0))="Woman","Yes","")</f>
        <v>Yes</v>
      </c>
      <c r="O60" s="87" t="str">
        <f t="shared" ca="1" si="0"/>
        <v>Yes</v>
      </c>
      <c r="P60" s="92" t="str">
        <f t="array" ref="P60">INDEX(Referral,MATCH(A60,Name,0))</f>
        <v>Dr. Magali Soumillon</v>
      </c>
      <c r="Q60" s="92">
        <f t="array" aca="1" ref="Q60" ca="1">IF(INDEX(NYUAfillType,MATCH(A60,'Key Metrics'!B:B,0))="Other (please specify)",INDEX('Key Metrics'!N:N,MATCH(A60,'Key Metrics'!B:B,0)),INDEX(NYUAfillType,MATCH(A60,'Key Metrics'!B:B,0)))</f>
        <v>0</v>
      </c>
      <c r="R60" s="93" t="str">
        <f t="array" aca="1" ref="R60" ca="1">IF(INDEX('Key Metrics'!Q:Q,MATCH(A60,'Key Metrics'!B:B,0))="No","",INDEX('Key Metrics'!Q:Q,MATCH(A60,'Key Metrics'!B:B,0)))</f>
        <v/>
      </c>
      <c r="S60" s="94" t="str">
        <f t="shared" si="1"/>
        <v>Invite</v>
      </c>
      <c r="T60" s="95" t="s">
        <v>18</v>
      </c>
      <c r="U60" s="95" t="b">
        <v>0</v>
      </c>
      <c r="V60" s="95" t="b">
        <v>0</v>
      </c>
      <c r="W60" s="95" t="b">
        <v>0</v>
      </c>
      <c r="X60" s="96"/>
      <c r="Y60" s="94" t="str">
        <f t="array" ref="Y60">INDEX('DT Short List'!F:F,MATCH(A60,'DT Short List'!A:A,0))</f>
        <v>Invite</v>
      </c>
    </row>
    <row r="61" spans="1:25" ht="44" hidden="1">
      <c r="A61" s="97" t="s">
        <v>120</v>
      </c>
      <c r="B61" s="98" t="str">
        <f t="array" ref="B61">INDEX(Interview,MATCH(A61,Name,0))</f>
        <v>Invite</v>
      </c>
      <c r="C61" s="98" t="str">
        <f t="array" ref="C61">INDEX(Track,MATCH(A61,Name,0))</f>
        <v>Deep Tech</v>
      </c>
      <c r="D61" s="99">
        <f t="array" ref="D61">INDEX(Score,MATCH(A61,Name,0))</f>
        <v>3.75</v>
      </c>
      <c r="E61" s="100">
        <f t="array" aca="1" ref="E61" ca="1">INDEX(Date,MATCH(A61,Name,0))</f>
        <v>44782</v>
      </c>
      <c r="F61" s="98" t="s">
        <v>13308</v>
      </c>
      <c r="G61" s="98" t="s">
        <v>13321</v>
      </c>
      <c r="H61" s="98" t="str">
        <f t="array" ref="H61">IFERROR(INDEX('2022-2023 Third Reviews'!K:K,MATCH(A61,'2022-2023 Third Reviews'!C:C,0)),"")</f>
        <v/>
      </c>
      <c r="I61" s="101" t="s">
        <v>10457</v>
      </c>
      <c r="J61" s="101" t="s">
        <v>866</v>
      </c>
      <c r="K61" s="101" t="str">
        <f t="array" ref="K61">IFERROR(INDEX('2022-2023 Third Reviews'!L:L,MATCH(A61,'2022-2023 Third Reviews'!C:C,0)),"")</f>
        <v/>
      </c>
      <c r="L61" s="102" t="str">
        <f t="array" ref="L61">INDEX(AppNotes,MATCH(A61,Name,0))</f>
        <v>semiconductor company; targeting five companies currently, trying to solve supply chain in chip shortages. trying to see if they can be acquired by larger tech companies; have raised good funding; scaling in this market is a concern</v>
      </c>
      <c r="M61" s="103" t="str">
        <f t="array" aca="1" ref="M61" ca="1">INDEX(Team,MATCH(A61,'Key Metrics'!B:B,0))</f>
        <v>Man, Man</v>
      </c>
      <c r="N61" s="99" t="str">
        <f t="array" aca="1" ref="N61" ca="1">IF(INDEX('Key Metrics'!F:F,MATCH(A61,'Key Metrics'!B:B,0))="Woman","Yes","")</f>
        <v/>
      </c>
      <c r="O61" s="99" t="str">
        <f t="shared" ca="1" si="0"/>
        <v/>
      </c>
      <c r="P61" s="104">
        <f t="array" ref="P61">INDEX(Referral,MATCH(A61,Name,0))</f>
        <v>0</v>
      </c>
      <c r="Q61" s="104">
        <f t="array" aca="1" ref="Q61" ca="1">IF(INDEX(NYUAfillType,MATCH(A61,'Key Metrics'!B:B,0))="Other (please specify)",INDEX('Key Metrics'!N:N,MATCH(A61,'Key Metrics'!B:B,0)),INDEX(NYUAfillType,MATCH(A61,'Key Metrics'!B:B,0)))</f>
        <v>0</v>
      </c>
      <c r="R61" s="105" t="str">
        <f t="array" aca="1" ref="R61" ca="1">IF(INDEX('Key Metrics'!Q:Q,MATCH(A61,'Key Metrics'!B:B,0))="No","",INDEX('Key Metrics'!Q:Q,MATCH(A61,'Key Metrics'!B:B,0)))</f>
        <v/>
      </c>
      <c r="S61" s="106" t="str">
        <f t="shared" si="1"/>
        <v>Invite</v>
      </c>
      <c r="T61" s="107" t="s">
        <v>18</v>
      </c>
      <c r="U61" s="107" t="b">
        <v>0</v>
      </c>
      <c r="V61" s="107" t="b">
        <v>0</v>
      </c>
      <c r="W61" s="107" t="b">
        <v>0</v>
      </c>
      <c r="X61" s="108"/>
      <c r="Y61" s="106" t="str">
        <f t="array" ref="Y61">INDEX('DT Short List'!F:F,MATCH(A61,'DT Short List'!A:A,0))</f>
        <v>Invite</v>
      </c>
    </row>
    <row r="62" spans="1:25" ht="44" hidden="1">
      <c r="A62" s="109" t="s">
        <v>121</v>
      </c>
      <c r="B62" s="86" t="str">
        <f t="array" ref="B62">INDEX(Interview,MATCH(A62,Name,0))</f>
        <v>Revisit</v>
      </c>
      <c r="C62" s="86" t="str">
        <f t="array" ref="C62">INDEX(Track,MATCH(A62,Name,0))</f>
        <v>Deep Tech</v>
      </c>
      <c r="D62" s="87">
        <f t="array" ref="D62">INDEX(Score,MATCH(A62,Name,0))</f>
        <v>2.5</v>
      </c>
      <c r="E62" s="88">
        <f t="array" aca="1" ref="E62" ca="1">INDEX(Date,MATCH(A62,Name,0))</f>
        <v>44784</v>
      </c>
      <c r="F62" s="86" t="s">
        <v>13343</v>
      </c>
      <c r="G62" s="86" t="s">
        <v>13323</v>
      </c>
      <c r="H62" s="86" t="str">
        <f t="array" aca="1" ref="H62" ca="1">IFERROR(INDEX('2022-2023 Third Reviews'!K:K,MATCH(A62,'2022-2023 Third Reviews'!C:C,0)),"")</f>
        <v>Ahmed Bahgat
5</v>
      </c>
      <c r="I62" s="89" t="s">
        <v>3100</v>
      </c>
      <c r="J62" s="89" t="s">
        <v>3101</v>
      </c>
      <c r="K62" s="89" t="str">
        <f t="array" aca="1" ref="K62" ca="1">IFERROR(INDEX('2022-2023 Third Reviews'!L:L,MATCH(A62,'2022-2023 Third Reviews'!C:C,0)),"")</f>
        <v>Well positioned to benefit from EFL through refining their business model/go-to-market strategy and how best to scale once product pilot is complete.</v>
      </c>
      <c r="L62" s="90" t="str">
        <f t="array" ref="L62">INDEX(AppNotes,MATCH(A62,Name,0))</f>
        <v>change to DT; Khoa to look at app; optical thin film to act as glasses; founders have 4 prior exits; product won't be ready for another 18 months invite next year, but also as a special reject type deal; interested in idea, they're just not they're yet</v>
      </c>
      <c r="M62" s="91" t="str">
        <f t="array" aca="1" ref="M62" ca="1">INDEX(Team,MATCH(A62,'Key Metrics'!B:B,0))</f>
        <v>Man, Man, Woman</v>
      </c>
      <c r="N62" s="87" t="str">
        <f t="array" aca="1" ref="N62" ca="1">IF(INDEX('Key Metrics'!F:F,MATCH(A62,'Key Metrics'!B:B,0))="Woman","Yes","")</f>
        <v/>
      </c>
      <c r="O62" s="87" t="str">
        <f t="shared" ca="1" si="0"/>
        <v>Yes</v>
      </c>
      <c r="P62" s="92">
        <f t="array" ref="P62">INDEX(Referral,MATCH(A62,Name,0))</f>
        <v>0</v>
      </c>
      <c r="Q62" s="92">
        <f t="array" aca="1" ref="Q62" ca="1">IF(INDEX(NYUAfillType,MATCH(A62,'Key Metrics'!B:B,0))="Other (please specify)",INDEX('Key Metrics'!N:N,MATCH(A62,'Key Metrics'!B:B,0)),INDEX(NYUAfillType,MATCH(A62,'Key Metrics'!B:B,0)))</f>
        <v>0</v>
      </c>
      <c r="R62" s="93" t="str">
        <f t="array" aca="1" ref="R62" ca="1">IF(INDEX('Key Metrics'!Q:Q,MATCH(A62,'Key Metrics'!B:B,0))="No","",INDEX('Key Metrics'!Q:Q,MATCH(A62,'Key Metrics'!B:B,0)))</f>
        <v/>
      </c>
      <c r="S62" s="94" t="str">
        <f t="shared" si="1"/>
        <v>Invite Next Year</v>
      </c>
      <c r="T62" s="95" t="s">
        <v>24</v>
      </c>
      <c r="U62" s="95" t="b">
        <v>0</v>
      </c>
      <c r="V62" s="95" t="b">
        <v>0</v>
      </c>
      <c r="W62" s="95" t="b">
        <v>0</v>
      </c>
      <c r="X62" s="96"/>
      <c r="Y62" s="94" t="str">
        <f t="array" ref="Y62">INDEX('DT Short List'!F:F,MATCH(A62,'DT Short List'!A:A,0))</f>
        <v>Invite Next Year</v>
      </c>
    </row>
    <row r="63" spans="1:25" ht="55" hidden="1">
      <c r="A63" s="97" t="s">
        <v>122</v>
      </c>
      <c r="B63" s="98" t="str">
        <f t="array" ref="B63">INDEX(Interview,MATCH(A63,Name,0))</f>
        <v>Invite</v>
      </c>
      <c r="C63" s="98" t="str">
        <f t="array" ref="C63">INDEX(Track,MATCH(A63,Name,0))</f>
        <v>Deep Tech</v>
      </c>
      <c r="D63" s="99">
        <f t="array" ref="D63">INDEX(Score,MATCH(A63,Name,0))</f>
        <v>4.25</v>
      </c>
      <c r="E63" s="100">
        <f t="array" aca="1" ref="E63" ca="1">INDEX(Date,MATCH(A63,Name,0))</f>
        <v>44789</v>
      </c>
      <c r="F63" s="98" t="s">
        <v>13305</v>
      </c>
      <c r="G63" s="98" t="s">
        <v>13325</v>
      </c>
      <c r="H63" s="98" t="str">
        <f t="array" ref="H63">IFERROR(INDEX('2022-2023 Third Reviews'!K:K,MATCH(A63,'2022-2023 Third Reviews'!C:C,0)),"")</f>
        <v/>
      </c>
      <c r="I63" s="101" t="s">
        <v>481</v>
      </c>
      <c r="J63" s="101" t="s">
        <v>10794</v>
      </c>
      <c r="K63" s="101" t="str">
        <f t="array" ref="K63">IFERROR(INDEX('2022-2023 Third Reviews'!L:L,MATCH(A63,'2022-2023 Third Reviews'!C:C,0)),"")</f>
        <v/>
      </c>
      <c r="L63" s="102" t="str">
        <f t="array" ref="L63">INDEX(AppNotes,MATCH(A63,Name,0))</f>
        <v>applied LY or 2020; now partnered with LYFT; strong team with growth since last app; however tech not particularly novel</v>
      </c>
      <c r="M63" s="103" t="str">
        <f t="array" aca="1" ref="M63" ca="1">INDEX(Team,MATCH(A63,'Key Metrics'!B:B,0))</f>
        <v>Man, Man</v>
      </c>
      <c r="N63" s="99" t="str">
        <f t="array" aca="1" ref="N63" ca="1">IF(INDEX('Key Metrics'!F:F,MATCH(A63,'Key Metrics'!B:B,0))="Woman","Yes","")</f>
        <v/>
      </c>
      <c r="O63" s="99" t="str">
        <f t="shared" ca="1" si="0"/>
        <v/>
      </c>
      <c r="P63" s="104" t="str">
        <f t="array" ref="P63">INDEX(Referral,MATCH(A63,Name,0))</f>
        <v>Contacted by email after Pitch at Venture Summit.</v>
      </c>
      <c r="Q63" s="104">
        <f t="array" aca="1" ref="Q63" ca="1">IF(INDEX(NYUAfillType,MATCH(A63,'Key Metrics'!B:B,0))="Other (please specify)",INDEX('Key Metrics'!N:N,MATCH(A63,'Key Metrics'!B:B,0)),INDEX(NYUAfillType,MATCH(A63,'Key Metrics'!B:B,0)))</f>
        <v>0</v>
      </c>
      <c r="R63" s="105" t="str">
        <f t="array" aca="1" ref="R63" ca="1">IF(INDEX('Key Metrics'!Q:Q,MATCH(A63,'Key Metrics'!B:B,0))="No","",INDEX('Key Metrics'!Q:Q,MATCH(A63,'Key Metrics'!B:B,0)))</f>
        <v>Yes</v>
      </c>
      <c r="S63" s="106" t="str">
        <f t="shared" si="1"/>
        <v>Invite</v>
      </c>
      <c r="T63" s="107" t="s">
        <v>18</v>
      </c>
      <c r="U63" s="107" t="b">
        <v>0</v>
      </c>
      <c r="V63" s="107" t="b">
        <v>0</v>
      </c>
      <c r="W63" s="107" t="b">
        <v>0</v>
      </c>
      <c r="X63" s="108"/>
      <c r="Y63" s="106" t="str">
        <f t="array" ref="Y63">INDEX('DT Short List'!F:F,MATCH(A63,'DT Short List'!A:A,0))</f>
        <v>Invite</v>
      </c>
    </row>
    <row r="64" spans="1:25" ht="22" hidden="1">
      <c r="A64" s="109" t="s">
        <v>123</v>
      </c>
      <c r="B64" s="86" t="str">
        <f t="array" ref="B64">INDEX(Interview,MATCH(A64,Name,0))</f>
        <v>Revisit/ Cluster</v>
      </c>
      <c r="C64" s="86" t="str">
        <f t="array" ref="C64">INDEX(Track,MATCH(A64,Name,0))</f>
        <v>Deep Tech</v>
      </c>
      <c r="D64" s="87">
        <f t="array" ref="D64">INDEX(Score,MATCH(A64,Name,0))</f>
        <v>4</v>
      </c>
      <c r="E64" s="88">
        <f t="array" aca="1" ref="E64" ca="1">INDEX(Date,MATCH(A64,Name,0))</f>
        <v>44796</v>
      </c>
      <c r="F64" s="86" t="s">
        <v>13315</v>
      </c>
      <c r="G64" s="86" t="s">
        <v>13320</v>
      </c>
      <c r="H64" s="86" t="str">
        <f t="array" ref="H64">IFERROR(INDEX('2022-2023 Third Reviews'!K:K,MATCH(A64,'2022-2023 Third Reviews'!C:C,0)),"")</f>
        <v/>
      </c>
      <c r="I64" s="89" t="s">
        <v>9474</v>
      </c>
      <c r="J64" s="89" t="s">
        <v>9475</v>
      </c>
      <c r="K64" s="89" t="str">
        <f t="array" ref="K64">IFERROR(INDEX('2022-2023 Third Reviews'!L:L,MATCH(A64,'2022-2023 Third Reviews'!C:C,0)),"")</f>
        <v/>
      </c>
      <c r="L64" s="90" t="str">
        <f t="array" ref="L64">INDEX(AppNotes,MATCH(A64,Name,0))</f>
        <v>CRYSPR, but in plants; 3 pronged approach; have a patent; did not show data or validation; unique in that the target is plants not humans or cells; cluster with other AG Techs in DT;</v>
      </c>
      <c r="M64" s="91" t="str">
        <f t="array" aca="1" ref="M64" ca="1">INDEX(Team,MATCH(A64,'Key Metrics'!B:B,0))</f>
        <v>Man, Man</v>
      </c>
      <c r="N64" s="87" t="str">
        <f t="array" aca="1" ref="N64" ca="1">IF(INDEX('Key Metrics'!F:F,MATCH(A64,'Key Metrics'!B:B,0))="Woman","Yes","")</f>
        <v/>
      </c>
      <c r="O64" s="87" t="str">
        <f t="shared" ca="1" si="0"/>
        <v/>
      </c>
      <c r="P64" s="92">
        <f t="array" ref="P64">INDEX(Referral,MATCH(A64,Name,0))</f>
        <v>0</v>
      </c>
      <c r="Q64" s="92">
        <f t="array" aca="1" ref="Q64" ca="1">IF(INDEX(NYUAfillType,MATCH(A64,'Key Metrics'!B:B,0))="Other (please specify)",INDEX('Key Metrics'!N:N,MATCH(A64,'Key Metrics'!B:B,0)),INDEX(NYUAfillType,MATCH(A64,'Key Metrics'!B:B,0)))</f>
        <v>0</v>
      </c>
      <c r="R64" s="93" t="str">
        <f t="array" aca="1" ref="R64" ca="1">IF(INDEX('Key Metrics'!Q:Q,MATCH(A64,'Key Metrics'!B:B,0))="No","",INDEX('Key Metrics'!Q:Q,MATCH(A64,'Key Metrics'!B:B,0)))</f>
        <v/>
      </c>
      <c r="S64" s="94" t="str">
        <f t="shared" si="1"/>
        <v>Revisit/ Cluster</v>
      </c>
      <c r="T64" s="95" t="s">
        <v>20</v>
      </c>
      <c r="U64" s="95" t="b">
        <v>0</v>
      </c>
      <c r="V64" s="95" t="b">
        <v>0</v>
      </c>
      <c r="W64" s="95" t="b">
        <v>0</v>
      </c>
      <c r="X64" s="96"/>
      <c r="Y64" s="94" t="str">
        <f t="array" ref="Y64">INDEX('DT Short List'!F:F,MATCH(A64,'DT Short List'!A:A,0))</f>
        <v>Revisit/ Cluster</v>
      </c>
    </row>
    <row r="65" spans="1:25" ht="44">
      <c r="A65" s="97" t="s">
        <v>124</v>
      </c>
      <c r="B65" s="98" t="str">
        <f t="array" ref="B65">INDEX(Interview,MATCH(A65,Name,0))</f>
        <v>Invite</v>
      </c>
      <c r="C65" s="98" t="str">
        <f t="array" ref="C65">INDEX(Track,MATCH(A65,Name,0))</f>
        <v>Deep Tech</v>
      </c>
      <c r="D65" s="99">
        <f t="array" ref="D65">INDEX(Score,MATCH(A65,Name,0))</f>
        <v>4</v>
      </c>
      <c r="E65" s="100">
        <f t="array" aca="1" ref="E65" ca="1">INDEX(Date,MATCH(A65,Name,0))</f>
        <v>44784</v>
      </c>
      <c r="F65" s="98" t="s">
        <v>13305</v>
      </c>
      <c r="G65" s="98" t="s">
        <v>13307</v>
      </c>
      <c r="H65" s="98" t="str">
        <f t="array" aca="1" ref="H65" ca="1">IFERROR(INDEX('2022-2023 Third Reviews'!K:K,MATCH(A65,'2022-2023 Third Reviews'!C:C,0)),"")</f>
        <v>John McDonald
3</v>
      </c>
      <c r="I65" s="101" t="s">
        <v>10553</v>
      </c>
      <c r="J65" s="101" t="s">
        <v>10554</v>
      </c>
      <c r="K65" s="101">
        <f t="array" aca="1" ref="K65" ca="1">IFERROR(INDEX('2022-2023 Third Reviews'!L:L,MATCH(A65,'2022-2023 Third Reviews'!C:C,0)),"")</f>
        <v>0</v>
      </c>
      <c r="L65" s="102">
        <f t="array" ref="L65">INDEX(AppNotes,MATCH(A65,Name,0))</f>
        <v>0</v>
      </c>
      <c r="M65" s="103" t="str">
        <f t="array" aca="1" ref="M65" ca="1">INDEX(Team,MATCH(A65,'Key Metrics'!B:B,0))</f>
        <v>Woman, Man</v>
      </c>
      <c r="N65" s="99" t="str">
        <f t="array" aca="1" ref="N65" ca="1">IF(INDEX('Key Metrics'!F:F,MATCH(A65,'Key Metrics'!B:B,0))="Woman","Yes","")</f>
        <v>Yes</v>
      </c>
      <c r="O65" s="99" t="str">
        <f t="shared" ca="1" si="0"/>
        <v>Yes</v>
      </c>
      <c r="P65" s="104">
        <f t="array" ref="P65">INDEX(Referral,MATCH(A65,Name,0))</f>
        <v>0</v>
      </c>
      <c r="Q65" s="104">
        <f t="array" aca="1" ref="Q65" ca="1">IF(INDEX(NYUAfillType,MATCH(A65,'Key Metrics'!B:B,0))="Other (please specify)",INDEX('Key Metrics'!N:N,MATCH(A65,'Key Metrics'!B:B,0)),INDEX(NYUAfillType,MATCH(A65,'Key Metrics'!B:B,0)))</f>
        <v>0</v>
      </c>
      <c r="R65" s="105" t="str">
        <f t="array" aca="1" ref="R65" ca="1">IF(INDEX('Key Metrics'!Q:Q,MATCH(A65,'Key Metrics'!B:B,0))="No","",INDEX('Key Metrics'!Q:Q,MATCH(A65,'Key Metrics'!B:B,0)))</f>
        <v>Yes</v>
      </c>
      <c r="S65" s="106" t="str">
        <f t="shared" si="1"/>
        <v>Invite</v>
      </c>
      <c r="T65" s="107" t="s">
        <v>18</v>
      </c>
      <c r="U65" s="107" t="b">
        <v>0</v>
      </c>
      <c r="V65" s="107" t="b">
        <v>0</v>
      </c>
      <c r="W65" s="107" t="b">
        <v>0</v>
      </c>
      <c r="X65" s="108"/>
      <c r="Y65" s="106" t="str">
        <f t="array" ref="Y65">INDEX('DT Short List'!F:F,MATCH(A65,'DT Short List'!A:A,0))</f>
        <v>Invite</v>
      </c>
    </row>
    <row r="66" spans="1:25" ht="44" hidden="1">
      <c r="A66" s="109" t="s">
        <v>125</v>
      </c>
      <c r="B66" s="86" t="str">
        <f t="array" ref="B66">INDEX(Interview,MATCH(A66,Name,0))</f>
        <v>Invite</v>
      </c>
      <c r="C66" s="86" t="str">
        <f t="array" ref="C66">INDEX(Track,MATCH(A66,Name,0))</f>
        <v>Deep Tech</v>
      </c>
      <c r="D66" s="87">
        <f t="array" ref="D66">INDEX(Score,MATCH(A66,Name,0))</f>
        <v>4.25</v>
      </c>
      <c r="E66" s="88">
        <f t="array" aca="1" ref="E66" ca="1">INDEX(Date,MATCH(A66,Name,0))</f>
        <v>44782</v>
      </c>
      <c r="F66" s="86" t="s">
        <v>13305</v>
      </c>
      <c r="G66" s="86" t="s">
        <v>13325</v>
      </c>
      <c r="H66" s="86" t="str">
        <f t="array" aca="1" ref="H66" ca="1">IFERROR(INDEX('2022-2023 Third Reviews'!K:K,MATCH(A66,'2022-2023 Third Reviews'!C:C,0)),"")</f>
        <v>Chris Millisits
2</v>
      </c>
      <c r="I66" s="89" t="s">
        <v>10251</v>
      </c>
      <c r="J66" s="89" t="s">
        <v>894</v>
      </c>
      <c r="K66" s="89" t="str">
        <f t="array" aca="1" ref="K66" ca="1">IFERROR(INDEX('2022-2023 Third Reviews'!L:L,MATCH(A66,'2022-2023 Third Reviews'!C:C,0)),"")</f>
        <v>Raising $15m and wants to immediately scale production. Not a lot of consideration about route to market other than low flow toilets often being subsidized by the US government. Generally, the founder did not take the application seriously and was flippant with many of his answers.</v>
      </c>
      <c r="L66" s="90" t="str">
        <f t="array" ref="L66">INDEX(AppNotes,MATCH(A66,Name,0))</f>
        <v>strong company right now; going through EFL would give them a much more competitive edge</v>
      </c>
      <c r="M66" s="91" t="str">
        <f t="array" aca="1" ref="M66" ca="1">INDEX(Team,MATCH(A66,'Key Metrics'!B:B,0))</f>
        <v>Man, Man, Man</v>
      </c>
      <c r="N66" s="87" t="str">
        <f t="array" aca="1" ref="N66" ca="1">IF(INDEX('Key Metrics'!F:F,MATCH(A66,'Key Metrics'!B:B,0))="Woman","Yes","")</f>
        <v/>
      </c>
      <c r="O66" s="87" t="str">
        <f t="shared" ca="1" si="0"/>
        <v/>
      </c>
      <c r="P66" s="92">
        <f t="array" ref="P66">INDEX(Referral,MATCH(A66,Name,0))</f>
        <v>0</v>
      </c>
      <c r="Q66" s="92">
        <f t="array" aca="1" ref="Q66" ca="1">IF(INDEX(NYUAfillType,MATCH(A66,'Key Metrics'!B:B,0))="Other (please specify)",INDEX('Key Metrics'!N:N,MATCH(A66,'Key Metrics'!B:B,0)),INDEX(NYUAfillType,MATCH(A66,'Key Metrics'!B:B,0)))</f>
        <v>0</v>
      </c>
      <c r="R66" s="93" t="str">
        <f t="array" aca="1" ref="R66" ca="1">IF(INDEX('Key Metrics'!Q:Q,MATCH(A66,'Key Metrics'!B:B,0))="No","",INDEX('Key Metrics'!Q:Q,MATCH(A66,'Key Metrics'!B:B,0)))</f>
        <v/>
      </c>
      <c r="S66" s="94" t="str">
        <f t="shared" si="1"/>
        <v>Invite</v>
      </c>
      <c r="T66" s="95" t="s">
        <v>18</v>
      </c>
      <c r="U66" s="95" t="b">
        <v>0</v>
      </c>
      <c r="V66" s="95" t="b">
        <v>0</v>
      </c>
      <c r="W66" s="95" t="b">
        <v>0</v>
      </c>
      <c r="X66" s="96"/>
      <c r="Y66" s="94" t="str">
        <f t="array" ref="Y66">INDEX('DT Short List'!F:F,MATCH(A66,'DT Short List'!A:A,0))</f>
        <v>Invite</v>
      </c>
    </row>
    <row r="67" spans="1:25" ht="66" hidden="1">
      <c r="A67" s="97" t="s">
        <v>126</v>
      </c>
      <c r="B67" s="98" t="str">
        <f t="array" ref="B67">INDEX(Interview,MATCH(A67,Name,0))</f>
        <v>Revisit/ Cluster</v>
      </c>
      <c r="C67" s="98" t="str">
        <f t="array" ref="C67">INDEX(Track,MATCH(A67,Name,0))</f>
        <v>Deep Tech</v>
      </c>
      <c r="D67" s="99">
        <f t="array" ref="D67">INDEX(Score,MATCH(A67,Name,0))</f>
        <v>3</v>
      </c>
      <c r="E67" s="100">
        <f t="array" aca="1" ref="E67" ca="1">INDEX(Date,MATCH(A67,Name,0))</f>
        <v>44776</v>
      </c>
      <c r="F67" s="98" t="s">
        <v>13324</v>
      </c>
      <c r="G67" s="98" t="s">
        <v>13331</v>
      </c>
      <c r="H67" s="98" t="str">
        <f t="array" aca="1" ref="H67" ca="1">IFERROR(INDEX('2022-2023 Third Reviews'!K:K,MATCH(A67,'2022-2023 Third Reviews'!C:C,0)),"")</f>
        <v>Ahmed Bahgat
2</v>
      </c>
      <c r="I67" s="101" t="s">
        <v>9543</v>
      </c>
      <c r="J67" s="101" t="s">
        <v>10277</v>
      </c>
      <c r="K67" s="101" t="str">
        <f t="array" aca="1" ref="K67" ca="1">IFERROR(INDEX('2022-2023 Third Reviews'!L:L,MATCH(A67,'2022-2023 Third Reviews'!C:C,0)),"")</f>
        <v>Team looking to commercialize a technology that seems to be already available in the market and do not a clear idea of the specific target market (pain point) that their product seeks to address.</v>
      </c>
      <c r="L67" s="102" t="str">
        <f t="array" ref="L67">INDEX(AppNotes,MATCH(A67,Name,0))</f>
        <v>DiT</v>
      </c>
      <c r="M67" s="103" t="str">
        <f t="array" aca="1" ref="M67" ca="1">INDEX(Team,MATCH(A67,'Key Metrics'!B:B,0))</f>
        <v>Man</v>
      </c>
      <c r="N67" s="99" t="str">
        <f t="array" aca="1" ref="N67" ca="1">IF(INDEX('Key Metrics'!F:F,MATCH(A67,'Key Metrics'!B:B,0))="Woman","Yes","")</f>
        <v/>
      </c>
      <c r="O67" s="99" t="str">
        <f t="shared" ca="1" si="0"/>
        <v/>
      </c>
      <c r="P67" s="104">
        <f t="array" ref="P67">INDEX(Referral,MATCH(A67,Name,0))</f>
        <v>0</v>
      </c>
      <c r="Q67" s="104">
        <f t="array" aca="1" ref="Q67" ca="1">IF(INDEX(NYUAfillType,MATCH(A67,'Key Metrics'!B:B,0))="Other (please specify)",INDEX('Key Metrics'!N:N,MATCH(A67,'Key Metrics'!B:B,0)),INDEX(NYUAfillType,MATCH(A67,'Key Metrics'!B:B,0)))</f>
        <v>0</v>
      </c>
      <c r="R67" s="105" t="str">
        <f t="array" aca="1" ref="R67" ca="1">IF(INDEX('Key Metrics'!Q:Q,MATCH(A67,'Key Metrics'!B:B,0))="No","",INDEX('Key Metrics'!Q:Q,MATCH(A67,'Key Metrics'!B:B,0)))</f>
        <v>Yes</v>
      </c>
      <c r="S67" s="106" t="str">
        <f t="shared" si="1"/>
        <v>Revisit</v>
      </c>
      <c r="T67" s="107" t="s">
        <v>19</v>
      </c>
      <c r="U67" s="107" t="b">
        <v>0</v>
      </c>
      <c r="V67" s="107" t="b">
        <v>0</v>
      </c>
      <c r="W67" s="107" t="b">
        <v>0</v>
      </c>
      <c r="X67" s="108"/>
      <c r="Y67" s="106" t="e">
        <f t="array" ref="Y67">INDEX('DT Short List'!F:F,MATCH(A67,'DT Short List'!A:A,0))</f>
        <v>#N/A</v>
      </c>
    </row>
    <row r="68" spans="1:25" ht="44" hidden="1">
      <c r="A68" s="109" t="s">
        <v>127</v>
      </c>
      <c r="B68" s="86" t="str">
        <f t="array" ref="B68">INDEX(Interview,MATCH(A68,Name,0))</f>
        <v>Invite</v>
      </c>
      <c r="C68" s="86" t="str">
        <f t="array" ref="C68">INDEX(Track,MATCH(A68,Name,0))</f>
        <v>Deep Tech</v>
      </c>
      <c r="D68" s="87">
        <f t="array" ref="D68">INDEX(Score,MATCH(A68,Name,0))</f>
        <v>4</v>
      </c>
      <c r="E68" s="88">
        <f t="array" aca="1" ref="E68" ca="1">INDEX(Date,MATCH(A68,Name,0))</f>
        <v>44784</v>
      </c>
      <c r="F68" s="86" t="s">
        <v>13305</v>
      </c>
      <c r="G68" s="86" t="s">
        <v>13307</v>
      </c>
      <c r="H68" s="86" t="str">
        <f t="array" aca="1" ref="H68" ca="1">IFERROR(INDEX('2022-2023 Third Reviews'!K:K,MATCH(A68,'2022-2023 Third Reviews'!C:C,0)),"")</f>
        <v>Chris Millisits
4</v>
      </c>
      <c r="I68" s="89" t="s">
        <v>10588</v>
      </c>
      <c r="J68" s="89" t="s">
        <v>10589</v>
      </c>
      <c r="K68" s="89" t="str">
        <f t="array" aca="1" ref="K68" ca="1">IFERROR(INDEX('2022-2023 Third Reviews'!L:L,MATCH(A68,'2022-2023 Third Reviews'!C:C,0)),"")</f>
        <v>Raising $48m, so very late stage. Team has experience running companies in the space - CEO has biochemistry PhD and built an applied materials company previously. There are competitors, but this company's solution is well-defended by patents. Market should be sizable, even as a fraction of the overall lithium-ion battery market.</v>
      </c>
      <c r="L68" s="90">
        <f t="array" ref="L68">INDEX(AppNotes,MATCH(A68,Name,0))</f>
        <v>0</v>
      </c>
      <c r="M68" s="91" t="str">
        <f t="array" aca="1" ref="M68" ca="1">INDEX(Team,MATCH(A68,'Key Metrics'!B:B,0))</f>
        <v>Man, Transgender</v>
      </c>
      <c r="N68" s="87" t="str">
        <f t="array" aca="1" ref="N68" ca="1">IF(INDEX('Key Metrics'!F:F,MATCH(A68,'Key Metrics'!B:B,0))="Woman","Yes","")</f>
        <v/>
      </c>
      <c r="O68" s="87" t="str">
        <f t="shared" ca="1" si="0"/>
        <v/>
      </c>
      <c r="P68" s="92">
        <f t="array" ref="P68">INDEX(Referral,MATCH(A68,Name,0))</f>
        <v>0</v>
      </c>
      <c r="Q68" s="92">
        <f t="array" aca="1" ref="Q68" ca="1">IF(INDEX(NYUAfillType,MATCH(A68,'Key Metrics'!B:B,0))="Other (please specify)",INDEX('Key Metrics'!N:N,MATCH(A68,'Key Metrics'!B:B,0)),INDEX(NYUAfillType,MATCH(A68,'Key Metrics'!B:B,0)))</f>
        <v>0</v>
      </c>
      <c r="R68" s="93" t="str">
        <f t="array" aca="1" ref="R68" ca="1">IF(INDEX('Key Metrics'!Q:Q,MATCH(A68,'Key Metrics'!B:B,0))="No","",INDEX('Key Metrics'!Q:Q,MATCH(A68,'Key Metrics'!B:B,0)))</f>
        <v/>
      </c>
      <c r="S68" s="94" t="str">
        <f t="shared" si="1"/>
        <v>Invite</v>
      </c>
      <c r="T68" s="95" t="s">
        <v>18</v>
      </c>
      <c r="U68" s="95" t="b">
        <v>0</v>
      </c>
      <c r="V68" s="95" t="b">
        <v>0</v>
      </c>
      <c r="W68" s="95" t="b">
        <v>0</v>
      </c>
      <c r="X68" s="96"/>
      <c r="Y68" s="94" t="str">
        <f t="array" ref="Y68">INDEX('DT Short List'!F:F,MATCH(A68,'DT Short List'!A:A,0))</f>
        <v>Invite</v>
      </c>
    </row>
    <row r="69" spans="1:25" ht="44" hidden="1">
      <c r="A69" s="97" t="s">
        <v>128</v>
      </c>
      <c r="B69" s="98" t="str">
        <f t="array" ref="B69">INDEX(Interview,MATCH(A69,Name,0))</f>
        <v>Invite</v>
      </c>
      <c r="C69" s="98" t="str">
        <f t="array" ref="C69">INDEX(Track,MATCH(A69,Name,0))</f>
        <v>Deep Tech</v>
      </c>
      <c r="D69" s="99">
        <f t="array" ref="D69">INDEX(Score,MATCH(A69,Name,0))</f>
        <v>5</v>
      </c>
      <c r="E69" s="100">
        <f t="array" aca="1" ref="E69" ca="1">INDEX(Date,MATCH(A69,Name,0))</f>
        <v>44784</v>
      </c>
      <c r="F69" s="98" t="s">
        <v>13317</v>
      </c>
      <c r="G69" s="98" t="s">
        <v>13340</v>
      </c>
      <c r="H69" s="98" t="str">
        <f t="array" ref="H69">IFERROR(INDEX('2022-2023 Third Reviews'!K:K,MATCH(A69,'2022-2023 Third Reviews'!C:C,0)),"")</f>
        <v/>
      </c>
      <c r="I69" s="101" t="s">
        <v>10430</v>
      </c>
      <c r="J69" s="101" t="s">
        <v>10431</v>
      </c>
      <c r="K69" s="101" t="str">
        <f t="array" ref="K69">IFERROR(INDEX('2022-2023 Third Reviews'!L:L,MATCH(A69,'2022-2023 Third Reviews'!C:C,0)),"")</f>
        <v/>
      </c>
      <c r="L69" s="102" t="str">
        <f t="array" ref="L69">INDEX(AppNotes,MATCH(A69,Name,0))</f>
        <v>Strong seed round funding; strong milestones already established; founders involved with SpaceX previously, YC experience as well</v>
      </c>
      <c r="M69" s="103" t="str">
        <f t="array" aca="1" ref="M69" ca="1">INDEX(Team,MATCH(A69,'Key Metrics'!B:B,0))</f>
        <v>Man, Man, Man</v>
      </c>
      <c r="N69" s="99" t="str">
        <f t="array" aca="1" ref="N69" ca="1">IF(INDEX('Key Metrics'!F:F,MATCH(A69,'Key Metrics'!B:B,0))="Woman","Yes","")</f>
        <v/>
      </c>
      <c r="O69" s="99" t="str">
        <f t="shared" ca="1" si="0"/>
        <v/>
      </c>
      <c r="P69" s="104">
        <f t="array" ref="P69">INDEX(Referral,MATCH(A69,Name,0))</f>
        <v>0</v>
      </c>
      <c r="Q69" s="104">
        <f t="array" aca="1" ref="Q69" ca="1">IF(INDEX(NYUAfillType,MATCH(A69,'Key Metrics'!B:B,0))="Other (please specify)",INDEX('Key Metrics'!N:N,MATCH(A69,'Key Metrics'!B:B,0)),INDEX(NYUAfillType,MATCH(A69,'Key Metrics'!B:B,0)))</f>
        <v>0</v>
      </c>
      <c r="R69" s="105" t="str">
        <f t="array" aca="1" ref="R69" ca="1">IF(INDEX('Key Metrics'!Q:Q,MATCH(A69,'Key Metrics'!B:B,0))="No","",INDEX('Key Metrics'!Q:Q,MATCH(A69,'Key Metrics'!B:B,0)))</f>
        <v/>
      </c>
      <c r="S69" s="106" t="str">
        <f t="shared" si="1"/>
        <v>Invite</v>
      </c>
      <c r="T69" s="107" t="s">
        <v>18</v>
      </c>
      <c r="U69" s="107" t="b">
        <v>0</v>
      </c>
      <c r="V69" s="107" t="b">
        <v>0</v>
      </c>
      <c r="W69" s="107" t="b">
        <v>0</v>
      </c>
      <c r="X69" s="108"/>
      <c r="Y69" s="106" t="str">
        <f t="array" ref="Y69">INDEX('DT Short List'!F:F,MATCH(A69,'DT Short List'!A:A,0))</f>
        <v>Invite</v>
      </c>
    </row>
    <row r="70" spans="1:25" ht="55" hidden="1">
      <c r="A70" s="109" t="s">
        <v>129</v>
      </c>
      <c r="B70" s="86" t="str">
        <f t="array" ref="B70">INDEX(Interview,MATCH(A70,Name,0))</f>
        <v>Invite</v>
      </c>
      <c r="C70" s="86" t="str">
        <f t="array" ref="C70">INDEX(Track,MATCH(A70,Name,0))</f>
        <v>Deep Tech</v>
      </c>
      <c r="D70" s="87">
        <f t="array" ref="D70">INDEX(Score,MATCH(A70,Name,0))</f>
        <v>4</v>
      </c>
      <c r="E70" s="88">
        <f t="array" aca="1" ref="E70" ca="1">INDEX(Date,MATCH(A70,Name,0))</f>
        <v>44782</v>
      </c>
      <c r="F70" s="86" t="s">
        <v>13305</v>
      </c>
      <c r="G70" s="86" t="s">
        <v>13307</v>
      </c>
      <c r="H70" s="86" t="str">
        <f t="array" aca="1" ref="H70" ca="1">IFERROR(INDEX('2022-2023 Third Reviews'!K:K,MATCH(A70,'2022-2023 Third Reviews'!C:C,0)),"")</f>
        <v>Chris Millisits
3</v>
      </c>
      <c r="I70" s="89" t="s">
        <v>931</v>
      </c>
      <c r="J70" s="89" t="s">
        <v>10364</v>
      </c>
      <c r="K70" s="89" t="str">
        <f t="array" aca="1" ref="K70" ca="1">IFERROR(INDEX('2022-2023 Third Reviews'!L:L,MATCH(A70,'2022-2023 Third Reviews'!C:C,0)),"")</f>
        <v>Licensing the tech, so this business is about getting into large water utility plants. The team is a decent fit for the task, not exceptional. That said, selling into a single plant could produce enough revenue for a venture-scale outcome.</v>
      </c>
      <c r="L70" s="90">
        <f t="array" ref="L70">INDEX(AppNotes,MATCH(A70,Name,0))</f>
        <v>0</v>
      </c>
      <c r="M70" s="91" t="str">
        <f t="array" aca="1" ref="M70" ca="1">INDEX(Team,MATCH(A70,'Key Metrics'!B:B,0))</f>
        <v>Man, Man</v>
      </c>
      <c r="N70" s="87" t="str">
        <f t="array" aca="1" ref="N70" ca="1">IF(INDEX('Key Metrics'!F:F,MATCH(A70,'Key Metrics'!B:B,0))="Woman","Yes","")</f>
        <v/>
      </c>
      <c r="O70" s="87" t="str">
        <f t="shared" ca="1" si="0"/>
        <v/>
      </c>
      <c r="P70" s="92" t="str">
        <f t="array" ref="P70">INDEX(Referral,MATCH(A70,Name,0))</f>
        <v>Gust</v>
      </c>
      <c r="Q70" s="92">
        <f t="array" aca="1" ref="Q70" ca="1">IF(INDEX(NYUAfillType,MATCH(A70,'Key Metrics'!B:B,0))="Other (please specify)",INDEX('Key Metrics'!N:N,MATCH(A70,'Key Metrics'!B:B,0)),INDEX(NYUAfillType,MATCH(A70,'Key Metrics'!B:B,0)))</f>
        <v>0</v>
      </c>
      <c r="R70" s="93" t="str">
        <f t="array" aca="1" ref="R70" ca="1">IF(INDEX('Key Metrics'!Q:Q,MATCH(A70,'Key Metrics'!B:B,0))="No","",INDEX('Key Metrics'!Q:Q,MATCH(A70,'Key Metrics'!B:B,0)))</f>
        <v/>
      </c>
      <c r="S70" s="94" t="str">
        <f t="shared" si="1"/>
        <v>Invite</v>
      </c>
      <c r="T70" s="95" t="s">
        <v>18</v>
      </c>
      <c r="U70" s="95" t="b">
        <v>0</v>
      </c>
      <c r="V70" s="95" t="b">
        <v>0</v>
      </c>
      <c r="W70" s="95" t="b">
        <v>0</v>
      </c>
      <c r="X70" s="96"/>
      <c r="Y70" s="94" t="str">
        <f t="array" ref="Y70">INDEX('DT Short List'!F:F,MATCH(A70,'DT Short List'!A:A,0))</f>
        <v>Invite</v>
      </c>
    </row>
    <row r="71" spans="1:25" ht="77" hidden="1">
      <c r="A71" s="97" t="s">
        <v>130</v>
      </c>
      <c r="B71" s="98" t="str">
        <f t="array" ref="B71">INDEX(Interview,MATCH(A71,Name,0))</f>
        <v>Revisit</v>
      </c>
      <c r="C71" s="98" t="str">
        <f t="array" ref="C71">INDEX(Track,MATCH(A71,Name,0))</f>
        <v>Deep Tech</v>
      </c>
      <c r="D71" s="99">
        <f t="array" ref="D71">INDEX(Score,MATCH(A71,Name,0))</f>
        <v>2.75</v>
      </c>
      <c r="E71" s="100">
        <f t="array" aca="1" ref="E71" ca="1">INDEX(Date,MATCH(A71,Name,0))</f>
        <v>44784</v>
      </c>
      <c r="F71" s="98" t="s">
        <v>13313</v>
      </c>
      <c r="G71" s="98" t="s">
        <v>13344</v>
      </c>
      <c r="H71" s="98" t="str">
        <f t="array" aca="1" ref="H71" ca="1">IFERROR(INDEX('2022-2023 Third Reviews'!K:K,MATCH(A71,'2022-2023 Third Reviews'!C:C,0)),"")</f>
        <v>Joshua Rubnitz
4</v>
      </c>
      <c r="I71" s="101" t="s">
        <v>3180</v>
      </c>
      <c r="J71" s="101" t="s">
        <v>10298</v>
      </c>
      <c r="K71" s="101" t="str">
        <f t="array" aca="1" ref="K71" ca="1">IFERROR(INDEX('2022-2023 Third Reviews'!L:L,MATCH(A71,'2022-2023 Third Reviews'!C:C,0)),"")</f>
        <v>Technically proficient team with customers that really like the product (customers have been asking for early access). In a large market with room for quick revenue growth. Could generate tons of undiscovered solutions and useful data for their customers. 
Likely to eventually run into competition from similar services down the road. Would need to be very strategic to sustain business long term. Will likely run into data privacy issues that need to be prepared for.</v>
      </c>
      <c r="L71" s="102" t="str">
        <f t="array" ref="L71">INDEX(AppNotes,MATCH(A71,Name,0))</f>
        <v>Change to DT; can't find data published anywhere and unclear how it works; uses radio frequency rather than chemical reagents to direct pathogens; used in covid dection with 99% accuracy, however data isn't published anywhere; have a US patent</v>
      </c>
      <c r="M71" s="103" t="str">
        <f t="array" aca="1" ref="M71" ca="1">INDEX(Team,MATCH(A71,'Key Metrics'!B:B,0))</f>
        <v>Man, Man</v>
      </c>
      <c r="N71" s="99" t="str">
        <f t="array" aca="1" ref="N71" ca="1">IF(INDEX('Key Metrics'!F:F,MATCH(A71,'Key Metrics'!B:B,0))="Woman","Yes","")</f>
        <v/>
      </c>
      <c r="O71" s="99" t="str">
        <f t="shared" ca="1" si="0"/>
        <v/>
      </c>
      <c r="P71" s="104">
        <f t="array" ref="P71">INDEX(Referral,MATCH(A71,Name,0))</f>
        <v>0</v>
      </c>
      <c r="Q71" s="104">
        <f t="array" aca="1" ref="Q71" ca="1">IF(INDEX(NYUAfillType,MATCH(A71,'Key Metrics'!B:B,0))="Other (please specify)",INDEX('Key Metrics'!N:N,MATCH(A71,'Key Metrics'!B:B,0)),INDEX(NYUAfillType,MATCH(A71,'Key Metrics'!B:B,0)))</f>
        <v>0</v>
      </c>
      <c r="R71" s="105" t="str">
        <f t="array" aca="1" ref="R71" ca="1">IF(INDEX('Key Metrics'!Q:Q,MATCH(A71,'Key Metrics'!B:B,0))="No","",INDEX('Key Metrics'!Q:Q,MATCH(A71,'Key Metrics'!B:B,0)))</f>
        <v>Yes</v>
      </c>
      <c r="S71" s="106" t="str">
        <f t="shared" si="1"/>
        <v>Invite Next Year</v>
      </c>
      <c r="T71" s="107" t="s">
        <v>24</v>
      </c>
      <c r="U71" s="107" t="b">
        <v>0</v>
      </c>
      <c r="V71" s="107" t="b">
        <v>0</v>
      </c>
      <c r="W71" s="107" t="b">
        <v>0</v>
      </c>
      <c r="X71" s="108"/>
      <c r="Y71" s="106" t="str">
        <f t="array" ref="Y71">INDEX('DT Short List'!F:F,MATCH(A71,'DT Short List'!A:A,0))</f>
        <v>Invite Next Year</v>
      </c>
    </row>
    <row r="72" spans="1:25" ht="33" hidden="1">
      <c r="A72" s="109" t="s">
        <v>131</v>
      </c>
      <c r="B72" s="86" t="str">
        <f t="array" ref="B72">INDEX(Interview,MATCH(A72,Name,0))</f>
        <v>Revisit</v>
      </c>
      <c r="C72" s="86" t="str">
        <f t="array" ref="C72">INDEX(Track,MATCH(A72,Name,0))</f>
        <v>Deep Tech</v>
      </c>
      <c r="D72" s="87">
        <f t="array" ref="D72">INDEX(Score,MATCH(A72,Name,0))</f>
        <v>3.75</v>
      </c>
      <c r="E72" s="88">
        <f t="array" aca="1" ref="E72" ca="1">INDEX(Date,MATCH(A72,Name,0))</f>
        <v>44782</v>
      </c>
      <c r="F72" s="86" t="s">
        <v>13308</v>
      </c>
      <c r="G72" s="86" t="s">
        <v>13321</v>
      </c>
      <c r="H72" s="86" t="str">
        <f t="array" aca="1" ref="H72" ca="1">IFERROR(INDEX('2022-2023 Third Reviews'!K:K,MATCH(A72,'2022-2023 Third Reviews'!C:C,0)),"")</f>
        <v>Joshua Rubnitz
2</v>
      </c>
      <c r="I72" s="89" t="s">
        <v>9363</v>
      </c>
      <c r="J72" s="89" t="s">
        <v>10425</v>
      </c>
      <c r="K72" s="89" t="str">
        <f t="array" aca="1" ref="K72" ca="1">IFERROR(INDEX('2022-2023 Third Reviews'!L:L,MATCH(A72,'2022-2023 Third Reviews'!C:C,0)),"")</f>
        <v>Not any clear technical differentiator and technology is not advertised at all in the pitch. Good market to target, but startup is likely not ready for accelerator.</v>
      </c>
      <c r="L72" s="90" t="str">
        <f t="array" ref="L72">INDEX(AppNotes,MATCH(A72,Name,0))</f>
        <v>change to DiT; mark and beth to review</v>
      </c>
      <c r="M72" s="91" t="str">
        <f t="array" aca="1" ref="M72" ca="1">INDEX(Team,MATCH(A72,'Key Metrics'!B:B,0))</f>
        <v>Man</v>
      </c>
      <c r="N72" s="87" t="str">
        <f t="array" aca="1" ref="N72" ca="1">IF(INDEX('Key Metrics'!F:F,MATCH(A72,'Key Metrics'!B:B,0))="Woman","Yes","")</f>
        <v/>
      </c>
      <c r="O72" s="87" t="str">
        <f t="shared" ca="1" si="0"/>
        <v/>
      </c>
      <c r="P72" s="92">
        <f t="array" ref="P72">INDEX(Referral,MATCH(A72,Name,0))</f>
        <v>0</v>
      </c>
      <c r="Q72" s="92">
        <f t="array" aca="1" ref="Q72" ca="1">IF(INDEX(NYUAfillType,MATCH(A72,'Key Metrics'!B:B,0))="Other (please specify)",INDEX('Key Metrics'!N:N,MATCH(A72,'Key Metrics'!B:B,0)),INDEX(NYUAfillType,MATCH(A72,'Key Metrics'!B:B,0)))</f>
        <v>0</v>
      </c>
      <c r="R72" s="93" t="str">
        <f t="array" aca="1" ref="R72" ca="1">IF(INDEX('Key Metrics'!Q:Q,MATCH(A72,'Key Metrics'!B:B,0))="No","",INDEX('Key Metrics'!Q:Q,MATCH(A72,'Key Metrics'!B:B,0)))</f>
        <v/>
      </c>
      <c r="S72" s="94" t="str">
        <f t="shared" si="1"/>
        <v>Revisit</v>
      </c>
      <c r="T72" s="95" t="s">
        <v>19</v>
      </c>
      <c r="U72" s="95" t="b">
        <v>0</v>
      </c>
      <c r="V72" s="95" t="b">
        <v>0</v>
      </c>
      <c r="W72" s="95" t="b">
        <v>0</v>
      </c>
      <c r="X72" s="96"/>
      <c r="Y72" s="94" t="e">
        <f t="array" ref="Y72">INDEX('DT Short List'!F:F,MATCH(A72,'DT Short List'!A:A,0))</f>
        <v>#N/A</v>
      </c>
    </row>
    <row r="73" spans="1:25" ht="22" hidden="1">
      <c r="A73" s="97" t="s">
        <v>132</v>
      </c>
      <c r="B73" s="98" t="str">
        <f t="array" ref="B73">INDEX(Interview,MATCH(A73,Name,0))</f>
        <v>Revisit/ Cluster</v>
      </c>
      <c r="C73" s="98" t="str">
        <f t="array" ref="C73">INDEX(Track,MATCH(A73,Name,0))</f>
        <v>Deep Tech</v>
      </c>
      <c r="D73" s="99">
        <f t="array" ref="D73">INDEX(Score,MATCH(A73,Name,0))</f>
        <v>3.75</v>
      </c>
      <c r="E73" s="100">
        <f t="array" aca="1" ref="E73" ca="1">INDEX(Date,MATCH(A73,Name,0))</f>
        <v>44782</v>
      </c>
      <c r="F73" s="98" t="s">
        <v>13308</v>
      </c>
      <c r="G73" s="98" t="s">
        <v>13321</v>
      </c>
      <c r="H73" s="98" t="str">
        <f t="array" ref="H73">IFERROR(INDEX('2022-2023 Third Reviews'!K:K,MATCH(A73,'2022-2023 Third Reviews'!C:C,0)),"")</f>
        <v/>
      </c>
      <c r="I73" s="101" t="s">
        <v>10519</v>
      </c>
      <c r="J73" s="101" t="s">
        <v>10520</v>
      </c>
      <c r="K73" s="101" t="str">
        <f t="array" ref="K73">IFERROR(INDEX('2022-2023 Third Reviews'!L:L,MATCH(A73,'2022-2023 Third Reviews'!C:C,0)),"")</f>
        <v/>
      </c>
      <c r="L73" s="102" t="str">
        <f t="array" ref="L73">INDEX(AppNotes,MATCH(A73,Name,0))</f>
        <v>yet to have a full scale product, but unique factor is an AI assesses storage space cooling in facilties; good funding raised so far. Khoa to revisit later to see if there's others in this space</v>
      </c>
      <c r="M73" s="103" t="str">
        <f t="array" aca="1" ref="M73" ca="1">INDEX(Team,MATCH(A73,'Key Metrics'!B:B,0))</f>
        <v>Man, Man</v>
      </c>
      <c r="N73" s="99" t="str">
        <f t="array" aca="1" ref="N73" ca="1">IF(INDEX('Key Metrics'!F:F,MATCH(A73,'Key Metrics'!B:B,0))="Woman","Yes","")</f>
        <v/>
      </c>
      <c r="O73" s="99" t="str">
        <f t="shared" ca="1" si="0"/>
        <v/>
      </c>
      <c r="P73" s="104">
        <f t="array" ref="P73">INDEX(Referral,MATCH(A73,Name,0))</f>
        <v>0</v>
      </c>
      <c r="Q73" s="104">
        <f t="array" aca="1" ref="Q73" ca="1">IF(INDEX(NYUAfillType,MATCH(A73,'Key Metrics'!B:B,0))="Other (please specify)",INDEX('Key Metrics'!N:N,MATCH(A73,'Key Metrics'!B:B,0)),INDEX(NYUAfillType,MATCH(A73,'Key Metrics'!B:B,0)))</f>
        <v>0</v>
      </c>
      <c r="R73" s="105" t="str">
        <f t="array" aca="1" ref="R73" ca="1">IF(INDEX('Key Metrics'!Q:Q,MATCH(A73,'Key Metrics'!B:B,0))="No","",INDEX('Key Metrics'!Q:Q,MATCH(A73,'Key Metrics'!B:B,0)))</f>
        <v/>
      </c>
      <c r="S73" s="106" t="str">
        <f t="shared" si="1"/>
        <v>Invite Next Year</v>
      </c>
      <c r="T73" s="107" t="s">
        <v>24</v>
      </c>
      <c r="U73" s="107" t="b">
        <v>0</v>
      </c>
      <c r="V73" s="107" t="b">
        <v>0</v>
      </c>
      <c r="W73" s="107" t="b">
        <v>0</v>
      </c>
      <c r="X73" s="108"/>
      <c r="Y73" s="106" t="str">
        <f t="array" ref="Y73">INDEX('DT Short List'!F:F,MATCH(A73,'DT Short List'!A:A,0))</f>
        <v>Invite Next Year</v>
      </c>
    </row>
    <row r="74" spans="1:25" ht="66" hidden="1">
      <c r="A74" s="109" t="s">
        <v>133</v>
      </c>
      <c r="B74" s="86" t="str">
        <f t="array" ref="B74">INDEX(Interview,MATCH(A74,Name,0))</f>
        <v>Invite</v>
      </c>
      <c r="C74" s="86" t="str">
        <f t="array" ref="C74">INDEX(Track,MATCH(A74,Name,0))</f>
        <v>Deep Tech</v>
      </c>
      <c r="D74" s="87">
        <f t="array" ref="D74">INDEX(Score,MATCH(A74,Name,0))</f>
        <v>4.75</v>
      </c>
      <c r="E74" s="88">
        <f t="array" aca="1" ref="E74" ca="1">INDEX(Date,MATCH(A74,Name,0))</f>
        <v>44791</v>
      </c>
      <c r="F74" s="86" t="s">
        <v>13327</v>
      </c>
      <c r="G74" s="86" t="s">
        <v>13345</v>
      </c>
      <c r="H74" s="86" t="str">
        <f t="array" ref="H74">IFERROR(INDEX('2022-2023 Third Reviews'!K:K,MATCH(A74,'2022-2023 Third Reviews'!C:C,0)),"")</f>
        <v/>
      </c>
      <c r="I74" s="89" t="s">
        <v>940</v>
      </c>
      <c r="J74" s="89" t="s">
        <v>11037</v>
      </c>
      <c r="K74" s="89" t="str">
        <f t="array" ref="K74">IFERROR(INDEX('2022-2023 Third Reviews'!L:L,MATCH(A74,'2022-2023 Third Reviews'!C:C,0)),"")</f>
        <v/>
      </c>
      <c r="L74" s="90" t="str">
        <f t="array" ref="L74">INDEX(AppNotes,MATCH(A74,Name,0))</f>
        <v>change to DT; to replace continuous flow pumps during surgery; demonstrations in pig, IP protected; on board is NYU surgeon who performed pig to human heart transplants</v>
      </c>
      <c r="M74" s="91" t="str">
        <f t="array" aca="1" ref="M74" ca="1">INDEX(Team,MATCH(A74,'Key Metrics'!B:B,0))</f>
        <v>Man</v>
      </c>
      <c r="N74" s="87" t="str">
        <f t="array" aca="1" ref="N74" ca="1">IF(INDEX('Key Metrics'!F:F,MATCH(A74,'Key Metrics'!B:B,0))="Woman","Yes","")</f>
        <v/>
      </c>
      <c r="O74" s="87" t="str">
        <f t="shared" ca="1" si="0"/>
        <v/>
      </c>
      <c r="P74" s="92" t="str">
        <f t="array" ref="P74">INDEX(Referral,MATCH(A74,Name,0))</f>
        <v>Marc Sadam</v>
      </c>
      <c r="Q74" s="92" t="str">
        <f t="array" aca="1" ref="Q74" ca="1">IF(INDEX(NYUAfillType,MATCH(A74,'Key Metrics'!B:B,0))="Other (please specify)",INDEX('Key Metrics'!N:N,MATCH(A74,'Key Metrics'!B:B,0)),INDEX(NYUAfillType,MATCH(A74,'Key Metrics'!B:B,0)))</f>
        <v>NYU Staff</v>
      </c>
      <c r="R74" s="93" t="str">
        <f t="array" aca="1" ref="R74" ca="1">IF(INDEX('Key Metrics'!Q:Q,MATCH(A74,'Key Metrics'!B:B,0))="No","",INDEX('Key Metrics'!Q:Q,MATCH(A74,'Key Metrics'!B:B,0)))</f>
        <v/>
      </c>
      <c r="S74" s="94" t="str">
        <f t="shared" si="1"/>
        <v>Invite</v>
      </c>
      <c r="T74" s="95" t="s">
        <v>18</v>
      </c>
      <c r="U74" s="95" t="b">
        <v>0</v>
      </c>
      <c r="V74" s="95" t="b">
        <v>0</v>
      </c>
      <c r="W74" s="95" t="b">
        <v>0</v>
      </c>
      <c r="X74" s="96"/>
      <c r="Y74" s="94" t="str">
        <f t="array" ref="Y74">INDEX('DT Short List'!F:F,MATCH(A74,'DT Short List'!A:A,0))</f>
        <v>Invite</v>
      </c>
    </row>
    <row r="75" spans="1:25" ht="66" hidden="1">
      <c r="A75" s="97" t="s">
        <v>134</v>
      </c>
      <c r="B75" s="98" t="str">
        <f t="array" ref="B75">INDEX(Interview,MATCH(A75,Name,0))</f>
        <v>Revisit</v>
      </c>
      <c r="C75" s="98" t="str">
        <f t="array" ref="C75">INDEX(Track,MATCH(A75,Name,0))</f>
        <v>Deep Tech</v>
      </c>
      <c r="D75" s="99">
        <f t="array" ref="D75">INDEX(Score,MATCH(A75,Name,0))</f>
        <v>3.75</v>
      </c>
      <c r="E75" s="100">
        <f t="array" aca="1" ref="E75" ca="1">INDEX(Date,MATCH(A75,Name,0))</f>
        <v>44782</v>
      </c>
      <c r="F75" s="98" t="s">
        <v>13305</v>
      </c>
      <c r="G75" s="98" t="s">
        <v>13346</v>
      </c>
      <c r="H75" s="98" t="str">
        <f t="array" aca="1" ref="H75" ca="1">IFERROR(INDEX('2022-2023 Third Reviews'!K:K,MATCH(A75,'2022-2023 Third Reviews'!C:C,0)),"")</f>
        <v>Joshua Rubnitz
5</v>
      </c>
      <c r="I75" s="101" t="s">
        <v>9370</v>
      </c>
      <c r="J75" s="101" t="s">
        <v>10317</v>
      </c>
      <c r="K75" s="101" t="str">
        <f t="array" aca="1" ref="K75" ca="1">IFERROR(INDEX('2022-2023 Third Reviews'!L:L,MATCH(A75,'2022-2023 Third Reviews'!C:C,0)),"")</f>
        <v xml:space="preserve">Experienced founding team in an industry that is ready for disruption, but can be difficult to gain traction in. Good product and excellent use case for web 3 defi technology that can capitalize on a strong network effect if properly positioned. </v>
      </c>
      <c r="L75" s="102" t="str">
        <f t="array" ref="L75">INDEX(AppNotes,MATCH(A75,Name,0))</f>
        <v>change to DiT; good team in FinTech; mark and beth to review</v>
      </c>
      <c r="M75" s="103" t="str">
        <f t="array" aca="1" ref="M75" ca="1">INDEX(Team,MATCH(A75,'Key Metrics'!B:B,0))</f>
        <v>Man, Woman, Man, Man</v>
      </c>
      <c r="N75" s="99" t="str">
        <f t="array" aca="1" ref="N75" ca="1">IF(INDEX('Key Metrics'!F:F,MATCH(A75,'Key Metrics'!B:B,0))="Woman","Yes","")</f>
        <v/>
      </c>
      <c r="O75" s="99" t="str">
        <f t="shared" ca="1" si="0"/>
        <v>Yes</v>
      </c>
      <c r="P75" s="104">
        <f t="array" ref="P75">INDEX(Referral,MATCH(A75,Name,0))</f>
        <v>0</v>
      </c>
      <c r="Q75" s="104" t="str">
        <f t="array" aca="1" ref="Q75" ca="1">IF(INDEX(NYUAfillType,MATCH(A75,'Key Metrics'!B:B,0))="Other (please specify)",INDEX('Key Metrics'!N:N,MATCH(A75,'Key Metrics'!B:B,0)),INDEX(NYUAfillType,MATCH(A75,'Key Metrics'!B:B,0)))</f>
        <v>NYU Alumni</v>
      </c>
      <c r="R75" s="105" t="str">
        <f t="array" aca="1" ref="R75" ca="1">IF(INDEX('Key Metrics'!Q:Q,MATCH(A75,'Key Metrics'!B:B,0))="No","",INDEX('Key Metrics'!Q:Q,MATCH(A75,'Key Metrics'!B:B,0)))</f>
        <v/>
      </c>
      <c r="S75" s="106" t="str">
        <f t="shared" si="1"/>
        <v>Revisit</v>
      </c>
      <c r="T75" s="107" t="s">
        <v>19</v>
      </c>
      <c r="U75" s="107" t="b">
        <v>0</v>
      </c>
      <c r="V75" s="107" t="b">
        <v>0</v>
      </c>
      <c r="W75" s="107" t="b">
        <v>0</v>
      </c>
      <c r="X75" s="108"/>
      <c r="Y75" s="106" t="e">
        <f t="array" ref="Y75">INDEX('DT Short List'!F:F,MATCH(A75,'DT Short List'!A:A,0))</f>
        <v>#N/A</v>
      </c>
    </row>
    <row r="76" spans="1:25" ht="55" hidden="1">
      <c r="A76" s="109" t="s">
        <v>135</v>
      </c>
      <c r="B76" s="86" t="str">
        <f t="array" ref="B76">INDEX(Interview,MATCH(A76,Name,0))</f>
        <v>Invite</v>
      </c>
      <c r="C76" s="86" t="str">
        <f t="array" ref="C76">INDEX(Track,MATCH(A76,Name,0))</f>
        <v>Deep Tech</v>
      </c>
      <c r="D76" s="87">
        <f t="array" ref="D76">INDEX(Score,MATCH(A76,Name,0))</f>
        <v>4.25</v>
      </c>
      <c r="E76" s="88">
        <f t="array" aca="1" ref="E76" ca="1">INDEX(Date,MATCH(A76,Name,0))</f>
        <v>44796</v>
      </c>
      <c r="F76" s="86" t="s">
        <v>13306</v>
      </c>
      <c r="G76" s="86" t="s">
        <v>13332</v>
      </c>
      <c r="H76" s="86" t="str">
        <f t="array" ref="H76">IFERROR(INDEX('2022-2023 Third Reviews'!K:K,MATCH(A76,'2022-2023 Third Reviews'!C:C,0)),"")</f>
        <v/>
      </c>
      <c r="I76" s="89" t="s">
        <v>10974</v>
      </c>
      <c r="J76" s="89" t="s">
        <v>10975</v>
      </c>
      <c r="K76" s="89" t="str">
        <f t="array" ref="K76">IFERROR(INDEX('2022-2023 Third Reviews'!L:L,MATCH(A76,'2022-2023 Third Reviews'!C:C,0)),"")</f>
        <v/>
      </c>
      <c r="L76" s="90" t="str">
        <f t="array" ref="L76">INDEX(AppNotes,MATCH(A76,Name,0))</f>
        <v>have pilots going currently, booking more contracts;</v>
      </c>
      <c r="M76" s="91" t="str">
        <f t="array" aca="1" ref="M76" ca="1">INDEX(Team,MATCH(A76,'Key Metrics'!B:B,0))</f>
        <v>Man, Man, Man</v>
      </c>
      <c r="N76" s="87" t="str">
        <f t="array" aca="1" ref="N76" ca="1">IF(INDEX('Key Metrics'!F:F,MATCH(A76,'Key Metrics'!B:B,0))="Woman","Yes","")</f>
        <v/>
      </c>
      <c r="O76" s="87" t="str">
        <f t="shared" ca="1" si="0"/>
        <v/>
      </c>
      <c r="P76" s="92">
        <f t="array" ref="P76">INDEX(Referral,MATCH(A76,Name,0))</f>
        <v>0</v>
      </c>
      <c r="Q76" s="92">
        <f t="array" aca="1" ref="Q76" ca="1">IF(INDEX(NYUAfillType,MATCH(A76,'Key Metrics'!B:B,0))="Other (please specify)",INDEX('Key Metrics'!N:N,MATCH(A76,'Key Metrics'!B:B,0)),INDEX(NYUAfillType,MATCH(A76,'Key Metrics'!B:B,0)))</f>
        <v>0</v>
      </c>
      <c r="R76" s="93" t="str">
        <f t="array" aca="1" ref="R76" ca="1">IF(INDEX('Key Metrics'!Q:Q,MATCH(A76,'Key Metrics'!B:B,0))="No","",INDEX('Key Metrics'!Q:Q,MATCH(A76,'Key Metrics'!B:B,0)))</f>
        <v/>
      </c>
      <c r="S76" s="94" t="str">
        <f t="shared" si="1"/>
        <v>Invite</v>
      </c>
      <c r="T76" s="95" t="s">
        <v>18</v>
      </c>
      <c r="U76" s="95" t="b">
        <v>0</v>
      </c>
      <c r="V76" s="95" t="b">
        <v>0</v>
      </c>
      <c r="W76" s="95" t="b">
        <v>0</v>
      </c>
      <c r="X76" s="96"/>
      <c r="Y76" s="94" t="str">
        <f t="array" ref="Y76">INDEX('DT Short List'!F:F,MATCH(A76,'DT Short List'!A:A,0))</f>
        <v>Invite</v>
      </c>
    </row>
    <row r="77" spans="1:25" ht="44" hidden="1">
      <c r="A77" s="97" t="s">
        <v>136</v>
      </c>
      <c r="B77" s="98" t="str">
        <f t="array" ref="B77">INDEX(Interview,MATCH(A77,Name,0))</f>
        <v>Revisit</v>
      </c>
      <c r="C77" s="98" t="str">
        <f t="array" ref="C77">INDEX(Track,MATCH(A77,Name,0))</f>
        <v>Deep Tech</v>
      </c>
      <c r="D77" s="99">
        <f t="array" ref="D77">INDEX(Score,MATCH(A77,Name,0))</f>
        <v>4</v>
      </c>
      <c r="E77" s="100">
        <f t="array" aca="1" ref="E77" ca="1">INDEX(Date,MATCH(A77,Name,0))</f>
        <v>44776</v>
      </c>
      <c r="F77" s="98" t="s">
        <v>13305</v>
      </c>
      <c r="G77" s="98" t="s">
        <v>13312</v>
      </c>
      <c r="H77" s="98" t="str">
        <f t="array" aca="1" ref="H77" ca="1">IFERROR(INDEX('2022-2023 Third Reviews'!K:K,MATCH(A77,'2022-2023 Third Reviews'!C:C,0)),"")</f>
        <v>Joshua Rubnitz
2</v>
      </c>
      <c r="I77" s="101" t="s">
        <v>11480</v>
      </c>
      <c r="J77" s="101" t="s">
        <v>11481</v>
      </c>
      <c r="K77" s="101" t="str">
        <f t="array" aca="1" ref="K77" ca="1">IFERROR(INDEX('2022-2023 Third Reviews'!L:L,MATCH(A77,'2022-2023 Third Reviews'!C:C,0)),"")</f>
        <v>There is no new tech being invented here, but new features and new market. Startup is also already in series B and has raised $37M already. Is also generating significant revenue. Probably not a good fit for EFL.</v>
      </c>
      <c r="L77" s="102" t="str">
        <f t="array" ref="L77">INDEX(AppNotes,MATCH(A77,Name,0))</f>
        <v>Khoa will revisit if room; need addt'l info to assess how tech works</v>
      </c>
      <c r="M77" s="103" t="str">
        <f t="array" aca="1" ref="M77" ca="1">INDEX(Team,MATCH(A77,'Key Metrics'!B:B,0))</f>
        <v>Man, --Please select--</v>
      </c>
      <c r="N77" s="99" t="str">
        <f t="array" aca="1" ref="N77" ca="1">IF(INDEX('Key Metrics'!F:F,MATCH(A77,'Key Metrics'!B:B,0))="Woman","Yes","")</f>
        <v/>
      </c>
      <c r="O77" s="99" t="str">
        <f t="shared" ca="1" si="0"/>
        <v/>
      </c>
      <c r="P77" s="104">
        <f t="array" ref="P77">INDEX(Referral,MATCH(A77,Name,0))</f>
        <v>0</v>
      </c>
      <c r="Q77" s="104">
        <f t="array" aca="1" ref="Q77" ca="1">IF(INDEX(NYUAfillType,MATCH(A77,'Key Metrics'!B:B,0))="Other (please specify)",INDEX('Key Metrics'!N:N,MATCH(A77,'Key Metrics'!B:B,0)),INDEX(NYUAfillType,MATCH(A77,'Key Metrics'!B:B,0)))</f>
        <v>0</v>
      </c>
      <c r="R77" s="105" t="str">
        <f t="array" aca="1" ref="R77" ca="1">IF(INDEX('Key Metrics'!Q:Q,MATCH(A77,'Key Metrics'!B:B,0))="No","",INDEX('Key Metrics'!Q:Q,MATCH(A77,'Key Metrics'!B:B,0)))</f>
        <v>Yes</v>
      </c>
      <c r="S77" s="106" t="str">
        <f t="shared" si="1"/>
        <v>Invite Next Year</v>
      </c>
      <c r="T77" s="107" t="s">
        <v>24</v>
      </c>
      <c r="U77" s="107" t="b">
        <v>0</v>
      </c>
      <c r="V77" s="107" t="b">
        <v>0</v>
      </c>
      <c r="W77" s="107" t="b">
        <v>0</v>
      </c>
      <c r="X77" s="108"/>
      <c r="Y77" s="106" t="str">
        <f t="array" ref="Y77">INDEX('DT Short List'!F:F,MATCH(A77,'DT Short List'!A:A,0))</f>
        <v>Invite Next Year</v>
      </c>
    </row>
    <row r="78" spans="1:25" ht="66" hidden="1">
      <c r="A78" s="109" t="s">
        <v>137</v>
      </c>
      <c r="B78" s="86" t="str">
        <f t="array" ref="B78">INDEX(Interview,MATCH(A78,Name,0))</f>
        <v>Revisit</v>
      </c>
      <c r="C78" s="86" t="str">
        <f t="array" ref="C78">INDEX(Track,MATCH(A78,Name,0))</f>
        <v>Deep Tech</v>
      </c>
      <c r="D78" s="87">
        <f t="array" ref="D78">INDEX(Score,MATCH(A78,Name,0))</f>
        <v>3.5</v>
      </c>
      <c r="E78" s="88">
        <f t="array" aca="1" ref="E78" ca="1">INDEX(Date,MATCH(A78,Name,0))</f>
        <v>44776</v>
      </c>
      <c r="F78" s="86" t="s">
        <v>13331</v>
      </c>
      <c r="G78" s="86" t="s">
        <v>13307</v>
      </c>
      <c r="H78" s="86" t="str">
        <f t="array" aca="1" ref="H78" ca="1">IFERROR(INDEX('2022-2023 Third Reviews'!K:K,MATCH(A78,'2022-2023 Third Reviews'!C:C,0)),"")</f>
        <v>Joshua Rubnitz
3</v>
      </c>
      <c r="I78" s="89" t="s">
        <v>11213</v>
      </c>
      <c r="J78" s="89" t="s">
        <v>11214</v>
      </c>
      <c r="K78" s="89" t="str">
        <f t="array" aca="1" ref="K78" ca="1">IFERROR(INDEX('2022-2023 Third Reviews'!L:L,MATCH(A78,'2022-2023 Third Reviews'!C:C,0)),"")</f>
        <v>If the team is able to create 3D printed water purification that would be a very compelling product &amp; company. There is no data to show the progress, there are no customers, the patent has just been filed, and the team is not seeking funding.</v>
      </c>
      <c r="L78" s="90" t="str">
        <f t="array" ref="L78">INDEX(AppNotes,MATCH(A78,Name,0))</f>
        <v>Khoa will revisit</v>
      </c>
      <c r="M78" s="91" t="str">
        <f t="array" aca="1" ref="M78" ca="1">INDEX(Team,MATCH(A78,'Key Metrics'!B:B,0))</f>
        <v>Man</v>
      </c>
      <c r="N78" s="87" t="str">
        <f t="array" aca="1" ref="N78" ca="1">IF(INDEX('Key Metrics'!F:F,MATCH(A78,'Key Metrics'!B:B,0))="Woman","Yes","")</f>
        <v/>
      </c>
      <c r="O78" s="87" t="str">
        <f t="shared" ca="1" si="0"/>
        <v/>
      </c>
      <c r="P78" s="92">
        <f t="array" ref="P78">INDEX(Referral,MATCH(A78,Name,0))</f>
        <v>0</v>
      </c>
      <c r="Q78" s="92">
        <f t="array" aca="1" ref="Q78" ca="1">IF(INDEX(NYUAfillType,MATCH(A78,'Key Metrics'!B:B,0))="Other (please specify)",INDEX('Key Metrics'!N:N,MATCH(A78,'Key Metrics'!B:B,0)),INDEX(NYUAfillType,MATCH(A78,'Key Metrics'!B:B,0)))</f>
        <v>0</v>
      </c>
      <c r="R78" s="93" t="str">
        <f t="array" aca="1" ref="R78" ca="1">IF(INDEX('Key Metrics'!Q:Q,MATCH(A78,'Key Metrics'!B:B,0))="No","",INDEX('Key Metrics'!Q:Q,MATCH(A78,'Key Metrics'!B:B,0)))</f>
        <v/>
      </c>
      <c r="S78" s="94" t="str">
        <f t="shared" si="1"/>
        <v>Invite Next Year</v>
      </c>
      <c r="T78" s="95" t="s">
        <v>24</v>
      </c>
      <c r="U78" s="95" t="b">
        <v>0</v>
      </c>
      <c r="V78" s="95" t="b">
        <v>0</v>
      </c>
      <c r="W78" s="95" t="b">
        <v>0</v>
      </c>
      <c r="X78" s="96"/>
      <c r="Y78" s="94" t="str">
        <f t="array" ref="Y78">INDEX('DT Short List'!F:F,MATCH(A78,'DT Short List'!A:A,0))</f>
        <v>Invite Next Year</v>
      </c>
    </row>
    <row r="79" spans="1:25" ht="33">
      <c r="A79" s="97" t="s">
        <v>138</v>
      </c>
      <c r="B79" s="98" t="str">
        <f t="array" ref="B79">INDEX(Interview,MATCH(A79,Name,0))</f>
        <v>Invite</v>
      </c>
      <c r="C79" s="98" t="str">
        <f t="array" ref="C79">INDEX(Track,MATCH(A79,Name,0))</f>
        <v>Deep Tech</v>
      </c>
      <c r="D79" s="99">
        <f t="array" ref="D79">INDEX(Score,MATCH(A79,Name,0))</f>
        <v>4.5</v>
      </c>
      <c r="E79" s="100">
        <f t="array" aca="1" ref="E79" ca="1">INDEX(Date,MATCH(A79,Name,0))</f>
        <v>44796</v>
      </c>
      <c r="F79" s="98" t="s">
        <v>13347</v>
      </c>
      <c r="G79" s="98" t="s">
        <v>13328</v>
      </c>
      <c r="H79" s="98" t="str">
        <f t="array" ref="H79">IFERROR(INDEX('2022-2023 Third Reviews'!K:K,MATCH(A79,'2022-2023 Third Reviews'!C:C,0)),"")</f>
        <v/>
      </c>
      <c r="I79" s="101" t="s">
        <v>11491</v>
      </c>
      <c r="J79" s="101" t="s">
        <v>963</v>
      </c>
      <c r="K79" s="101" t="str">
        <f t="array" ref="K79">IFERROR(INDEX('2022-2023 Third Reviews'!L:L,MATCH(A79,'2022-2023 Third Reviews'!C:C,0)),"")</f>
        <v/>
      </c>
      <c r="L79" s="102" t="str">
        <f t="array" ref="L79">INDEX(AppNotes,MATCH(A79,Name,0))</f>
        <v>change to DT; out of Un. Washington Accel. Strong fundraising, but not a lot of revenue (about 10 customers); looks like direct to consumer right now, but have plans to expand into other applications</v>
      </c>
      <c r="M79" s="103" t="str">
        <f t="array" aca="1" ref="M79" ca="1">INDEX(Team,MATCH(A79,'Key Metrics'!B:B,0))</f>
        <v>Man, Woman</v>
      </c>
      <c r="N79" s="99" t="str">
        <f t="array" aca="1" ref="N79" ca="1">IF(INDEX('Key Metrics'!F:F,MATCH(A79,'Key Metrics'!B:B,0))="Woman","Yes","")</f>
        <v/>
      </c>
      <c r="O79" s="99" t="str">
        <f t="shared" ca="1" si="0"/>
        <v>Yes</v>
      </c>
      <c r="P79" s="104">
        <f t="array" ref="P79">INDEX(Referral,MATCH(A79,Name,0))</f>
        <v>0</v>
      </c>
      <c r="Q79" s="104">
        <f t="array" aca="1" ref="Q79" ca="1">IF(INDEX(NYUAfillType,MATCH(A79,'Key Metrics'!B:B,0))="Other (please specify)",INDEX('Key Metrics'!N:N,MATCH(A79,'Key Metrics'!B:B,0)),INDEX(NYUAfillType,MATCH(A79,'Key Metrics'!B:B,0)))</f>
        <v>0</v>
      </c>
      <c r="R79" s="105" t="str">
        <f t="array" aca="1" ref="R79" ca="1">IF(INDEX('Key Metrics'!Q:Q,MATCH(A79,'Key Metrics'!B:B,0))="No","",INDEX('Key Metrics'!Q:Q,MATCH(A79,'Key Metrics'!B:B,0)))</f>
        <v/>
      </c>
      <c r="S79" s="106" t="str">
        <f t="shared" si="1"/>
        <v>Invite</v>
      </c>
      <c r="T79" s="107" t="s">
        <v>18</v>
      </c>
      <c r="U79" s="107" t="b">
        <v>0</v>
      </c>
      <c r="V79" s="107" t="b">
        <v>0</v>
      </c>
      <c r="W79" s="107" t="b">
        <v>0</v>
      </c>
      <c r="X79" s="108"/>
      <c r="Y79" s="106" t="str">
        <f t="array" ref="Y79">INDEX('DT Short List'!F:F,MATCH(A79,'DT Short List'!A:A,0))</f>
        <v>Invite</v>
      </c>
    </row>
    <row r="80" spans="1:25" ht="33" hidden="1">
      <c r="A80" s="109" t="s">
        <v>139</v>
      </c>
      <c r="B80" s="86" t="str">
        <f t="array" ref="B80">INDEX(Interview,MATCH(A80,Name,0))</f>
        <v>Revisit</v>
      </c>
      <c r="C80" s="86" t="str">
        <f t="array" ref="C80">INDEX(Track,MATCH(A80,Name,0))</f>
        <v>Deep Tech</v>
      </c>
      <c r="D80" s="87">
        <f t="array" ref="D80">INDEX(Score,MATCH(A80,Name,0))</f>
        <v>3.75</v>
      </c>
      <c r="E80" s="88">
        <f t="array" aca="1" ref="E80" ca="1">INDEX(Date,MATCH(A80,Name,0))</f>
        <v>44784</v>
      </c>
      <c r="F80" s="86" t="s">
        <v>13348</v>
      </c>
      <c r="G80" s="86" t="s">
        <v>13349</v>
      </c>
      <c r="H80" s="86" t="str">
        <f t="array" aca="1" ref="H80" ca="1">IFERROR(INDEX('2022-2023 Third Reviews'!K:K,MATCH(A80,'2022-2023 Third Reviews'!C:C,0)),"")</f>
        <v>Joshua Rubnitz
2</v>
      </c>
      <c r="I80" s="89" t="s">
        <v>10334</v>
      </c>
      <c r="J80" s="89" t="s">
        <v>3263</v>
      </c>
      <c r="K80" s="89" t="str">
        <f t="array" aca="1" ref="K80" ca="1">IFERROR(INDEX('2022-2023 Third Reviews'!L:L,MATCH(A80,'2022-2023 Third Reviews'!C:C,0)),"")</f>
        <v>Would be a nice to have product for many students. The product has no new tech and could be imitated. Competes with big existing services.</v>
      </c>
      <c r="L80" s="90" t="str">
        <f t="array" ref="L80">INDEX(AppNotes,MATCH(A80,Name,0))</f>
        <v>change to DT; currently working with 5 Law enforcement agencies/AR15 models; app controlled gunlocking. Seems timely; founder is 38+ years experience as police chief; unclear if its more software or more hardware</v>
      </c>
      <c r="M80" s="91" t="str">
        <f t="array" aca="1" ref="M80" ca="1">INDEX(Team,MATCH(A80,'Key Metrics'!B:B,0))</f>
        <v>Man</v>
      </c>
      <c r="N80" s="87" t="str">
        <f t="array" aca="1" ref="N80" ca="1">IF(INDEX('Key Metrics'!F:F,MATCH(A80,'Key Metrics'!B:B,0))="Woman","Yes","")</f>
        <v/>
      </c>
      <c r="O80" s="87" t="str">
        <f t="shared" ca="1" si="0"/>
        <v/>
      </c>
      <c r="P80" s="92" t="str">
        <f t="array" ref="P80">INDEX(Referral,MATCH(A80,Name,0))</f>
        <v>Chris Mosher</v>
      </c>
      <c r="Q80" s="92">
        <f t="array" aca="1" ref="Q80" ca="1">IF(INDEX(NYUAfillType,MATCH(A80,'Key Metrics'!B:B,0))="Other (please specify)",INDEX('Key Metrics'!N:N,MATCH(A80,'Key Metrics'!B:B,0)),INDEX(NYUAfillType,MATCH(A80,'Key Metrics'!B:B,0)))</f>
        <v>0</v>
      </c>
      <c r="R80" s="93" t="str">
        <f t="array" aca="1" ref="R80" ca="1">IF(INDEX('Key Metrics'!Q:Q,MATCH(A80,'Key Metrics'!B:B,0))="No","",INDEX('Key Metrics'!Q:Q,MATCH(A80,'Key Metrics'!B:B,0)))</f>
        <v/>
      </c>
      <c r="S80" s="94" t="str">
        <f t="shared" si="1"/>
        <v>Invite Next Year</v>
      </c>
      <c r="T80" s="95" t="s">
        <v>24</v>
      </c>
      <c r="U80" s="95" t="b">
        <v>0</v>
      </c>
      <c r="V80" s="95" t="b">
        <v>0</v>
      </c>
      <c r="W80" s="95" t="b">
        <v>0</v>
      </c>
      <c r="X80" s="96"/>
      <c r="Y80" s="94" t="str">
        <f t="array" ref="Y80">INDEX('DT Short List'!F:F,MATCH(A80,'DT Short List'!A:A,0))</f>
        <v>Invite Next Year</v>
      </c>
    </row>
    <row r="81" spans="1:25" ht="66" hidden="1">
      <c r="A81" s="97" t="s">
        <v>140</v>
      </c>
      <c r="B81" s="98" t="str">
        <f t="array" ref="B81">INDEX(Interview,MATCH(A81,Name,0))</f>
        <v>Revisit</v>
      </c>
      <c r="C81" s="98" t="str">
        <f t="array" ref="C81">INDEX(Track,MATCH(A81,Name,0))</f>
        <v>Deep Tech</v>
      </c>
      <c r="D81" s="99">
        <f t="array" ref="D81">INDEX(Score,MATCH(A81,Name,0))</f>
        <v>3.5</v>
      </c>
      <c r="E81" s="100">
        <f t="array" aca="1" ref="E81" ca="1">INDEX(Date,MATCH(A81,Name,0))</f>
        <v>44789</v>
      </c>
      <c r="F81" s="98" t="s">
        <v>13308</v>
      </c>
      <c r="G81" s="98" t="s">
        <v>13309</v>
      </c>
      <c r="H81" s="98" t="str">
        <f t="array" aca="1" ref="H81" ca="1">IFERROR(INDEX('2022-2023 Third Reviews'!K:K,MATCH(A81,'2022-2023 Third Reviews'!C:C,0)),"")</f>
        <v>Joshua Rubnitz
3</v>
      </c>
      <c r="I81" s="101" t="s">
        <v>10616</v>
      </c>
      <c r="J81" s="101" t="s">
        <v>10617</v>
      </c>
      <c r="K81" s="101" t="str">
        <f t="array" aca="1" ref="K81" ca="1">IFERROR(INDEX('2022-2023 Third Reviews'!L:L,MATCH(A81,'2022-2023 Third Reviews'!C:C,0)),"")</f>
        <v>The tech is not very novel, but the platform does bring together fractured parts of telehealth into one concise interface. Allows long term care to be done at home and can cut out data entry costs/time so that doctors can focus on the patient</v>
      </c>
      <c r="L81" s="102" t="str">
        <f t="array" ref="L81">INDEX(AppNotes,MATCH(A81,Name,0))</f>
        <v>Change to DiT;</v>
      </c>
      <c r="M81" s="103" t="str">
        <f t="array" aca="1" ref="M81" ca="1">INDEX(Team,MATCH(A81,'Key Metrics'!B:B,0))</f>
        <v>Man, Woman, Man</v>
      </c>
      <c r="N81" s="99" t="str">
        <f t="array" aca="1" ref="N81" ca="1">IF(INDEX('Key Metrics'!F:F,MATCH(A81,'Key Metrics'!B:B,0))="Woman","Yes","")</f>
        <v/>
      </c>
      <c r="O81" s="99" t="str">
        <f t="shared" ca="1" si="0"/>
        <v>Yes</v>
      </c>
      <c r="P81" s="104" t="str">
        <f t="array" ref="P81">INDEX(Referral,MATCH(A81,Name,0))</f>
        <v>Deepak Hegde</v>
      </c>
      <c r="Q81" s="104">
        <f t="array" aca="1" ref="Q81" ca="1">IF(INDEX(NYUAfillType,MATCH(A81,'Key Metrics'!B:B,0))="Other (please specify)",INDEX('Key Metrics'!N:N,MATCH(A81,'Key Metrics'!B:B,0)),INDEX(NYUAfillType,MATCH(A81,'Key Metrics'!B:B,0)))</f>
        <v>0</v>
      </c>
      <c r="R81" s="105" t="str">
        <f t="array" aca="1" ref="R81" ca="1">IF(INDEX('Key Metrics'!Q:Q,MATCH(A81,'Key Metrics'!B:B,0))="No","",INDEX('Key Metrics'!Q:Q,MATCH(A81,'Key Metrics'!B:B,0)))</f>
        <v/>
      </c>
      <c r="S81" s="106" t="str">
        <f t="shared" si="1"/>
        <v>Revisit</v>
      </c>
      <c r="T81" s="107" t="s">
        <v>19</v>
      </c>
      <c r="U81" s="107" t="b">
        <v>0</v>
      </c>
      <c r="V81" s="107" t="b">
        <v>0</v>
      </c>
      <c r="W81" s="107" t="b">
        <v>0</v>
      </c>
      <c r="X81" s="108"/>
      <c r="Y81" s="106" t="e">
        <f t="array" ref="Y81">INDEX('DT Short List'!F:F,MATCH(A81,'DT Short List'!A:A,0))</f>
        <v>#N/A</v>
      </c>
    </row>
    <row r="82" spans="1:25" ht="99" hidden="1">
      <c r="A82" s="109" t="s">
        <v>141</v>
      </c>
      <c r="B82" s="86" t="str">
        <f t="array" ref="B82">INDEX(Interview,MATCH(A82,Name,0))</f>
        <v>Revisit/ Cluster</v>
      </c>
      <c r="C82" s="86" t="str">
        <f t="array" ref="C82">INDEX(Track,MATCH(A82,Name,0))</f>
        <v>Deep Tech</v>
      </c>
      <c r="D82" s="87">
        <f t="array" ref="D82">INDEX(Score,MATCH(A82,Name,0))</f>
        <v>3.5</v>
      </c>
      <c r="E82" s="88">
        <f t="array" aca="1" ref="E82" ca="1">INDEX(Date,MATCH(A82,Name,0))</f>
        <v>44782</v>
      </c>
      <c r="F82" s="86" t="s">
        <v>13324</v>
      </c>
      <c r="G82" s="86" t="s">
        <v>13307</v>
      </c>
      <c r="H82" s="86" t="str">
        <f t="array" aca="1" ref="H82" ca="1">IFERROR(INDEX('2022-2023 Third Reviews'!K:K,MATCH(A82,'2022-2023 Third Reviews'!C:C,0)),"")</f>
        <v>Joshua Rubnitz
5</v>
      </c>
      <c r="I82" s="89" t="s">
        <v>10438</v>
      </c>
      <c r="J82" s="89" t="s">
        <v>10439</v>
      </c>
      <c r="K82" s="89" t="str">
        <f t="array" aca="1" ref="K82" ca="1">IFERROR(INDEX('2022-2023 Third Reviews'!L:L,MATCH(A82,'2022-2023 Third Reviews'!C:C,0)),"")</f>
        <v xml:space="preserve">Team is full of experts and has an incredibly useful, disruptive product that could make video meetings infinitely better than in-person meetings. Incredible quote: "50 people converge to a consensus answer in 25 mins. 500 in 30 mins and 5,000 in 38 mins."
Use cases range across many industries. 
Team could use business consultation: the initial product description &amp; elevator pitch are not very concrete and miss the compelling solution to customer pain point. The team could use EFL's business insight to polish their pitch &amp; strategize the business more effectively. </v>
      </c>
      <c r="L82" s="90" t="str">
        <f t="array" ref="L82">INDEX(AppNotes,MATCH(A82,Name,0))</f>
        <v>DiT change; marketing to insurance companies to avoid paying out damages for water damage. currently only one certified for metering; did not explain their marketing approach very well. solo founder. too early/not big enough yet. stronger data companies in DIT already</v>
      </c>
      <c r="M82" s="91" t="str">
        <f t="array" aca="1" ref="M82" ca="1">INDEX(Team,MATCH(A82,'Key Metrics'!B:B,0))</f>
        <v>Man</v>
      </c>
      <c r="N82" s="87" t="str">
        <f t="array" aca="1" ref="N82" ca="1">IF(INDEX('Key Metrics'!F:F,MATCH(A82,'Key Metrics'!B:B,0))="Woman","Yes","")</f>
        <v/>
      </c>
      <c r="O82" s="87" t="str">
        <f t="shared" ca="1" si="0"/>
        <v/>
      </c>
      <c r="P82" s="92">
        <f t="array" ref="P82">INDEX(Referral,MATCH(A82,Name,0))</f>
        <v>0</v>
      </c>
      <c r="Q82" s="92">
        <f t="array" aca="1" ref="Q82" ca="1">IF(INDEX(NYUAfillType,MATCH(A82,'Key Metrics'!B:B,0))="Other (please specify)",INDEX('Key Metrics'!N:N,MATCH(A82,'Key Metrics'!B:B,0)),INDEX(NYUAfillType,MATCH(A82,'Key Metrics'!B:B,0)))</f>
        <v>0</v>
      </c>
      <c r="R82" s="93" t="str">
        <f t="array" aca="1" ref="R82" ca="1">IF(INDEX('Key Metrics'!Q:Q,MATCH(A82,'Key Metrics'!B:B,0))="No","",INDEX('Key Metrics'!Q:Q,MATCH(A82,'Key Metrics'!B:B,0)))</f>
        <v/>
      </c>
      <c r="S82" s="94" t="str">
        <f t="shared" si="1"/>
        <v>Revisit</v>
      </c>
      <c r="T82" s="95" t="s">
        <v>19</v>
      </c>
      <c r="U82" s="95" t="b">
        <v>0</v>
      </c>
      <c r="V82" s="95" t="b">
        <v>0</v>
      </c>
      <c r="W82" s="95" t="b">
        <v>0</v>
      </c>
      <c r="X82" s="96"/>
      <c r="Y82" s="94" t="e">
        <f t="array" ref="Y82">INDEX('DT Short List'!F:F,MATCH(A82,'DT Short List'!A:A,0))</f>
        <v>#N/A</v>
      </c>
    </row>
    <row r="83" spans="1:25" ht="44" hidden="1">
      <c r="A83" s="97" t="s">
        <v>142</v>
      </c>
      <c r="B83" s="98" t="str">
        <f t="array" ref="B83">INDEX(Interview,MATCH(A83,Name,0))</f>
        <v>Invite</v>
      </c>
      <c r="C83" s="98" t="str">
        <f t="array" ref="C83">INDEX(Track,MATCH(A83,Name,0))</f>
        <v>Deep Tech</v>
      </c>
      <c r="D83" s="99">
        <f t="array" ref="D83">INDEX(Score,MATCH(A83,Name,0))</f>
        <v>4</v>
      </c>
      <c r="E83" s="100">
        <f t="array" aca="1" ref="E83" ca="1">INDEX(Date,MATCH(A83,Name,0))</f>
        <v>44791</v>
      </c>
      <c r="F83" s="98" t="s">
        <v>13305</v>
      </c>
      <c r="G83" s="98" t="s">
        <v>13307</v>
      </c>
      <c r="H83" s="98" t="str">
        <f t="array" ref="H83">IFERROR(INDEX('2022-2023 Third Reviews'!K:K,MATCH(A83,'2022-2023 Third Reviews'!C:C,0)),"")</f>
        <v/>
      </c>
      <c r="I83" s="101" t="s">
        <v>11346</v>
      </c>
      <c r="J83" s="101" t="s">
        <v>11347</v>
      </c>
      <c r="K83" s="101" t="str">
        <f t="array" ref="K83">IFERROR(INDEX('2022-2023 Third Reviews'!L:L,MATCH(A83,'2022-2023 Third Reviews'!C:C,0)),"")</f>
        <v/>
      </c>
      <c r="L83" s="102">
        <f t="array" ref="L83">INDEX(AppNotes,MATCH(A83,Name,0))</f>
        <v>0</v>
      </c>
      <c r="M83" s="103" t="str">
        <f t="array" aca="1" ref="M83" ca="1">INDEX(Team,MATCH(A83,'Key Metrics'!B:B,0))</f>
        <v>Man</v>
      </c>
      <c r="N83" s="99" t="str">
        <f t="array" aca="1" ref="N83" ca="1">IF(INDEX('Key Metrics'!F:F,MATCH(A83,'Key Metrics'!B:B,0))="Woman","Yes","")</f>
        <v/>
      </c>
      <c r="O83" s="99" t="str">
        <f t="shared" ca="1" si="0"/>
        <v/>
      </c>
      <c r="P83" s="104">
        <f t="array" ref="P83">INDEX(Referral,MATCH(A83,Name,0))</f>
        <v>0</v>
      </c>
      <c r="Q83" s="104">
        <f t="array" aca="1" ref="Q83" ca="1">IF(INDEX(NYUAfillType,MATCH(A83,'Key Metrics'!B:B,0))="Other (please specify)",INDEX('Key Metrics'!N:N,MATCH(A83,'Key Metrics'!B:B,0)),INDEX(NYUAfillType,MATCH(A83,'Key Metrics'!B:B,0)))</f>
        <v>0</v>
      </c>
      <c r="R83" s="105" t="str">
        <f t="array" aca="1" ref="R83" ca="1">IF(INDEX('Key Metrics'!Q:Q,MATCH(A83,'Key Metrics'!B:B,0))="No","",INDEX('Key Metrics'!Q:Q,MATCH(A83,'Key Metrics'!B:B,0)))</f>
        <v/>
      </c>
      <c r="S83" s="106" t="str">
        <f t="shared" si="1"/>
        <v>Invite</v>
      </c>
      <c r="T83" s="107" t="s">
        <v>18</v>
      </c>
      <c r="U83" s="107" t="b">
        <v>0</v>
      </c>
      <c r="V83" s="107" t="b">
        <v>0</v>
      </c>
      <c r="W83" s="107" t="b">
        <v>0</v>
      </c>
      <c r="X83" s="108"/>
      <c r="Y83" s="106" t="str">
        <f t="array" ref="Y83">INDEX('DT Short List'!F:F,MATCH(A83,'DT Short List'!A:A,0))</f>
        <v>Invite</v>
      </c>
    </row>
    <row r="84" spans="1:25" ht="66" hidden="1">
      <c r="A84" s="109" t="s">
        <v>143</v>
      </c>
      <c r="B84" s="86" t="str">
        <f t="array" ref="B84">INDEX(Interview,MATCH(A84,Name,0))</f>
        <v>Invite</v>
      </c>
      <c r="C84" s="86" t="str">
        <f t="array" ref="C84">INDEX(Track,MATCH(A84,Name,0))</f>
        <v>Deep Tech</v>
      </c>
      <c r="D84" s="87">
        <f t="array" ref="D84">INDEX(Score,MATCH(A84,Name,0))</f>
        <v>4</v>
      </c>
      <c r="E84" s="88">
        <f t="array" aca="1" ref="E84" ca="1">INDEX(Date,MATCH(A84,Name,0))</f>
        <v>44776</v>
      </c>
      <c r="F84" s="86" t="s">
        <v>13305</v>
      </c>
      <c r="G84" s="86" t="s">
        <v>13312</v>
      </c>
      <c r="H84" s="86" t="str">
        <f t="array" ref="H84">IFERROR(INDEX('2022-2023 Third Reviews'!K:K,MATCH(A84,'2022-2023 Third Reviews'!C:C,0)),"")</f>
        <v/>
      </c>
      <c r="I84" s="89" t="s">
        <v>980</v>
      </c>
      <c r="J84" s="89" t="s">
        <v>11223</v>
      </c>
      <c r="K84" s="89" t="str">
        <f t="array" ref="K84">IFERROR(INDEX('2022-2023 Third Reviews'!L:L,MATCH(A84,'2022-2023 Third Reviews'!C:C,0)),"")</f>
        <v/>
      </c>
      <c r="L84" s="90">
        <f t="array" ref="L84">INDEX(AppNotes,MATCH(A84,Name,0))</f>
        <v>0</v>
      </c>
      <c r="M84" s="91" t="str">
        <f t="array" aca="1" ref="M84" ca="1">INDEX(Team,MATCH(A84,'Key Metrics'!B:B,0))</f>
        <v>Man, Man</v>
      </c>
      <c r="N84" s="87" t="str">
        <f t="array" aca="1" ref="N84" ca="1">IF(INDEX('Key Metrics'!F:F,MATCH(A84,'Key Metrics'!B:B,0))="Woman","Yes","")</f>
        <v/>
      </c>
      <c r="O84" s="87" t="str">
        <f t="shared" ca="1" si="0"/>
        <v/>
      </c>
      <c r="P84" s="92">
        <f t="array" ref="P84">INDEX(Referral,MATCH(A84,Name,0))</f>
        <v>0</v>
      </c>
      <c r="Q84" s="92">
        <f t="array" aca="1" ref="Q84" ca="1">IF(INDEX(NYUAfillType,MATCH(A84,'Key Metrics'!B:B,0))="Other (please specify)",INDEX('Key Metrics'!N:N,MATCH(A84,'Key Metrics'!B:B,0)),INDEX(NYUAfillType,MATCH(A84,'Key Metrics'!B:B,0)))</f>
        <v>0</v>
      </c>
      <c r="R84" s="93" t="str">
        <f t="array" aca="1" ref="R84" ca="1">IF(INDEX('Key Metrics'!Q:Q,MATCH(A84,'Key Metrics'!B:B,0))="No","",INDEX('Key Metrics'!Q:Q,MATCH(A84,'Key Metrics'!B:B,0)))</f>
        <v/>
      </c>
      <c r="S84" s="94" t="str">
        <f t="shared" si="1"/>
        <v>Invite</v>
      </c>
      <c r="T84" s="95" t="s">
        <v>18</v>
      </c>
      <c r="U84" s="95" t="b">
        <v>0</v>
      </c>
      <c r="V84" s="95" t="b">
        <v>0</v>
      </c>
      <c r="W84" s="95" t="b">
        <v>0</v>
      </c>
      <c r="X84" s="96"/>
      <c r="Y84" s="94" t="str">
        <f t="array" ref="Y84">INDEX('DT Short List'!F:F,MATCH(A84,'DT Short List'!A:A,0))</f>
        <v>Invite</v>
      </c>
    </row>
    <row r="85" spans="1:25" ht="55" hidden="1">
      <c r="A85" s="97" t="s">
        <v>144</v>
      </c>
      <c r="B85" s="98" t="str">
        <f t="array" ref="B85">INDEX(Interview,MATCH(A85,Name,0))</f>
        <v>Revisit/ Cluster</v>
      </c>
      <c r="C85" s="98" t="str">
        <f t="array" ref="C85">INDEX(Track,MATCH(A85,Name,0))</f>
        <v>Deep Tech</v>
      </c>
      <c r="D85" s="99">
        <f t="array" ref="D85">INDEX(Score,MATCH(A85,Name,0))</f>
        <v>3.75</v>
      </c>
      <c r="E85" s="100">
        <f t="array" aca="1" ref="E85" ca="1">INDEX(Date,MATCH(A85,Name,0))</f>
        <v>44784</v>
      </c>
      <c r="F85" s="98" t="s">
        <v>13308</v>
      </c>
      <c r="G85" s="98" t="s">
        <v>13307</v>
      </c>
      <c r="H85" s="98" t="str">
        <f t="array" ref="H85">IFERROR(INDEX('2022-2023 Third Reviews'!K:K,MATCH(A85,'2022-2023 Third Reviews'!C:C,0)),"")</f>
        <v/>
      </c>
      <c r="I85" s="101" t="s">
        <v>10433</v>
      </c>
      <c r="J85" s="101" t="s">
        <v>10434</v>
      </c>
      <c r="K85" s="101" t="str">
        <f t="array" ref="K85">IFERROR(INDEX('2022-2023 Third Reviews'!L:L,MATCH(A85,'2022-2023 Third Reviews'!C:C,0)),"")</f>
        <v/>
      </c>
      <c r="L85" s="102" t="str">
        <f t="array" ref="L85">INDEX(AppNotes,MATCH(A85,Name,0))</f>
        <v>Simialr to Zainar; not as far along; picks up where GPS leaves off (when GPS in unavailable or blocked); started with DoD partnership, currently 1M in revenue; missing data outside of gov't contracts</v>
      </c>
      <c r="M85" s="103" t="str">
        <f t="array" aca="1" ref="M85" ca="1">INDEX(Team,MATCH(A85,'Key Metrics'!B:B,0))</f>
        <v>Man, Man</v>
      </c>
      <c r="N85" s="99" t="str">
        <f t="array" aca="1" ref="N85" ca="1">IF(INDEX('Key Metrics'!F:F,MATCH(A85,'Key Metrics'!B:B,0))="Woman","Yes","")</f>
        <v/>
      </c>
      <c r="O85" s="99" t="str">
        <f t="shared" ca="1" si="0"/>
        <v/>
      </c>
      <c r="P85" s="104">
        <f t="array" ref="P85">INDEX(Referral,MATCH(A85,Name,0))</f>
        <v>0</v>
      </c>
      <c r="Q85" s="104">
        <f t="array" aca="1" ref="Q85" ca="1">IF(INDEX(NYUAfillType,MATCH(A85,'Key Metrics'!B:B,0))="Other (please specify)",INDEX('Key Metrics'!N:N,MATCH(A85,'Key Metrics'!B:B,0)),INDEX(NYUAfillType,MATCH(A85,'Key Metrics'!B:B,0)))</f>
        <v>0</v>
      </c>
      <c r="R85" s="105" t="str">
        <f t="array" aca="1" ref="R85" ca="1">IF(INDEX('Key Metrics'!Q:Q,MATCH(A85,'Key Metrics'!B:B,0))="No","",INDEX('Key Metrics'!Q:Q,MATCH(A85,'Key Metrics'!B:B,0)))</f>
        <v/>
      </c>
      <c r="S85" s="106" t="str">
        <f t="shared" si="1"/>
        <v>Invite Next Year</v>
      </c>
      <c r="T85" s="107" t="s">
        <v>24</v>
      </c>
      <c r="U85" s="107" t="b">
        <v>0</v>
      </c>
      <c r="V85" s="107" t="b">
        <v>0</v>
      </c>
      <c r="W85" s="107" t="b">
        <v>0</v>
      </c>
      <c r="X85" s="108"/>
      <c r="Y85" s="106" t="str">
        <f t="array" ref="Y85">INDEX('DT Short List'!F:F,MATCH(A85,'DT Short List'!A:A,0))</f>
        <v>Invite Next Year</v>
      </c>
    </row>
    <row r="86" spans="1:25" ht="33" hidden="1">
      <c r="A86" s="109" t="s">
        <v>145</v>
      </c>
      <c r="B86" s="86" t="str">
        <f t="array" ref="B86">INDEX(Interview,MATCH(A86,Name,0))</f>
        <v>Invite</v>
      </c>
      <c r="C86" s="86" t="str">
        <f t="array" ref="C86">INDEX(Track,MATCH(A86,Name,0))</f>
        <v>Digital Tech</v>
      </c>
      <c r="D86" s="87">
        <f t="array" ref="D86">INDEX(Score,MATCH(A86,Name,0))</f>
        <v>4.75</v>
      </c>
      <c r="E86" s="88">
        <f t="array" aca="1" ref="E86" ca="1">INDEX(Date,MATCH(A86,Name,0))</f>
        <v>44791</v>
      </c>
      <c r="F86" s="86" t="s">
        <v>13341</v>
      </c>
      <c r="G86" s="86" t="s">
        <v>13350</v>
      </c>
      <c r="H86" s="86" t="str">
        <f t="array" ref="H86">IFERROR(INDEX('2022-2023 Third Reviews'!K:K,MATCH(A86,'2022-2023 Third Reviews'!C:C,0)),"")</f>
        <v/>
      </c>
      <c r="I86" s="89" t="s">
        <v>989</v>
      </c>
      <c r="J86" s="89" t="s">
        <v>991</v>
      </c>
      <c r="K86" s="89" t="str">
        <f t="array" ref="K86">IFERROR(INDEX('2022-2023 Third Reviews'!L:L,MATCH(A86,'2022-2023 Third Reviews'!C:C,0)),"")</f>
        <v/>
      </c>
      <c r="L86" s="90" t="str">
        <f t="array" ref="L86">INDEX(AppNotes,MATCH(A86,Name,0))</f>
        <v>Strong advisors; but unclear on who the team is (no deck or demo); 14M in contracts, including NASA; has worked with DoD and National Secuirty community; CEO is former $2B NGO; other strong team members as well</v>
      </c>
      <c r="M86" s="91" t="str">
        <f t="array" aca="1" ref="M86" ca="1">INDEX(Team,MATCH(A86,'Key Metrics'!B:B,0))</f>
        <v>Man</v>
      </c>
      <c r="N86" s="87" t="str">
        <f t="array" aca="1" ref="N86" ca="1">IF(INDEX('Key Metrics'!F:F,MATCH(A86,'Key Metrics'!B:B,0))="Woman","Yes","")</f>
        <v/>
      </c>
      <c r="O86" s="87" t="str">
        <f t="shared" ca="1" si="0"/>
        <v/>
      </c>
      <c r="P86" s="92">
        <f t="array" ref="P86">INDEX(Referral,MATCH(A86,Name,0))</f>
        <v>0</v>
      </c>
      <c r="Q86" s="92">
        <f t="array" aca="1" ref="Q86" ca="1">IF(INDEX(NYUAfillType,MATCH(A86,'Key Metrics'!B:B,0))="Other (please specify)",INDEX('Key Metrics'!N:N,MATCH(A86,'Key Metrics'!B:B,0)),INDEX(NYUAfillType,MATCH(A86,'Key Metrics'!B:B,0)))</f>
        <v>0</v>
      </c>
      <c r="R86" s="93" t="str">
        <f t="array" aca="1" ref="R86" ca="1">IF(INDEX('Key Metrics'!Q:Q,MATCH(A86,'Key Metrics'!B:B,0))="No","",INDEX('Key Metrics'!Q:Q,MATCH(A86,'Key Metrics'!B:B,0)))</f>
        <v/>
      </c>
      <c r="S86" s="94" t="str">
        <f t="shared" si="1"/>
        <v>Invite</v>
      </c>
      <c r="T86" s="95" t="s">
        <v>18</v>
      </c>
      <c r="U86" s="95" t="b">
        <v>0</v>
      </c>
      <c r="V86" s="95" t="b">
        <v>0</v>
      </c>
      <c r="W86" s="95" t="b">
        <v>0</v>
      </c>
      <c r="X86" s="96"/>
      <c r="Y86" s="94" t="str">
        <f t="array" ref="Y86">INDEX('DiT - 2022-2023 Applications Re'!U:U,MATCH(A86,'DiT - 2022-2023 Applications Re'!B:B,0))</f>
        <v>Invite</v>
      </c>
    </row>
    <row r="87" spans="1:25" ht="44" hidden="1">
      <c r="A87" s="97" t="s">
        <v>146</v>
      </c>
      <c r="B87" s="98" t="str">
        <f t="array" ref="B87">INDEX(Interview,MATCH(A87,Name,0))</f>
        <v>Revisit</v>
      </c>
      <c r="C87" s="98" t="str">
        <f t="array" ref="C87">INDEX(Track,MATCH(A87,Name,0))</f>
        <v>Deep Tech</v>
      </c>
      <c r="D87" s="99">
        <f t="array" ref="D87">INDEX(Score,MATCH(A87,Name,0))</f>
        <v>3.75</v>
      </c>
      <c r="E87" s="100">
        <f t="array" aca="1" ref="E87" ca="1">INDEX(Date,MATCH(A87,Name,0))</f>
        <v>44782</v>
      </c>
      <c r="F87" s="98" t="s">
        <v>13308</v>
      </c>
      <c r="G87" s="98" t="s">
        <v>13307</v>
      </c>
      <c r="H87" s="98" t="str">
        <f t="array" aca="1" ref="H87" ca="1">IFERROR(INDEX('2022-2023 Third Reviews'!K:K,MATCH(A87,'2022-2023 Third Reviews'!C:C,0)),"")</f>
        <v>Jason Yu
3</v>
      </c>
      <c r="I87" s="101" t="s">
        <v>10475</v>
      </c>
      <c r="J87" s="101" t="s">
        <v>10476</v>
      </c>
      <c r="K87" s="101">
        <f t="array" aca="1" ref="K87" ca="1">IFERROR(INDEX('2022-2023 Third Reviews'!L:L,MATCH(A87,'2022-2023 Third Reviews'!C:C,0)),"")</f>
        <v>0</v>
      </c>
      <c r="L87" s="102" t="str">
        <f t="array" ref="L87">INDEX(AppNotes,MATCH(A87,Name,0))</f>
        <v>change to DiT; mark and beth to review</v>
      </c>
      <c r="M87" s="103" t="str">
        <f t="array" aca="1" ref="M87" ca="1">INDEX(Team,MATCH(A87,'Key Metrics'!B:B,0))</f>
        <v>Man, Man, Man</v>
      </c>
      <c r="N87" s="99" t="str">
        <f t="array" aca="1" ref="N87" ca="1">IF(INDEX('Key Metrics'!F:F,MATCH(A87,'Key Metrics'!B:B,0))="Woman","Yes","")</f>
        <v/>
      </c>
      <c r="O87" s="99" t="str">
        <f t="shared" ca="1" si="0"/>
        <v/>
      </c>
      <c r="P87" s="104">
        <f t="array" ref="P87">INDEX(Referral,MATCH(A87,Name,0))</f>
        <v>0</v>
      </c>
      <c r="Q87" s="104" t="str">
        <f t="array" aca="1" ref="Q87" ca="1">IF(INDEX(NYUAfillType,MATCH(A87,'Key Metrics'!B:B,0))="Other (please specify)",INDEX('Key Metrics'!N:N,MATCH(A87,'Key Metrics'!B:B,0)),INDEX(NYUAfillType,MATCH(A87,'Key Metrics'!B:B,0)))</f>
        <v>NYU Veterans Futures Lab</v>
      </c>
      <c r="R87" s="105" t="str">
        <f t="array" aca="1" ref="R87" ca="1">IF(INDEX('Key Metrics'!Q:Q,MATCH(A87,'Key Metrics'!B:B,0))="No","",INDEX('Key Metrics'!Q:Q,MATCH(A87,'Key Metrics'!B:B,0)))</f>
        <v/>
      </c>
      <c r="S87" s="106" t="str">
        <f t="shared" si="1"/>
        <v>Revisit</v>
      </c>
      <c r="T87" s="107" t="s">
        <v>19</v>
      </c>
      <c r="U87" s="107" t="b">
        <v>0</v>
      </c>
      <c r="V87" s="107" t="b">
        <v>0</v>
      </c>
      <c r="W87" s="107" t="b">
        <v>0</v>
      </c>
      <c r="X87" s="108"/>
      <c r="Y87" s="106" t="e">
        <f t="array" ref="Y87">INDEX('DT Short List'!F:F,MATCH(A87,'DT Short List'!A:A,0))</f>
        <v>#N/A</v>
      </c>
    </row>
    <row r="88" spans="1:25" ht="44" hidden="1">
      <c r="A88" s="109" t="s">
        <v>147</v>
      </c>
      <c r="B88" s="86" t="str">
        <f t="array" ref="B88">INDEX(Interview,MATCH(A88,Name,0))</f>
        <v>Revisit</v>
      </c>
      <c r="C88" s="86" t="str">
        <f t="array" ref="C88">INDEX(Track,MATCH(A88,Name,0))</f>
        <v>Deep Tech</v>
      </c>
      <c r="D88" s="87">
        <f t="array" ref="D88">INDEX(Score,MATCH(A88,Name,0))</f>
        <v>3.25</v>
      </c>
      <c r="E88" s="88">
        <f t="array" aca="1" ref="E88" ca="1">INDEX(Date,MATCH(A88,Name,0))</f>
        <v>44782</v>
      </c>
      <c r="F88" s="86" t="s">
        <v>13324</v>
      </c>
      <c r="G88" s="86" t="s">
        <v>13309</v>
      </c>
      <c r="H88" s="86" t="str">
        <f t="array" aca="1" ref="H88" ca="1">IFERROR(INDEX('2022-2023 Third Reviews'!K:K,MATCH(A88,'2022-2023 Third Reviews'!C:C,0)),"")</f>
        <v>Jason Yu
3</v>
      </c>
      <c r="I88" s="89" t="s">
        <v>11205</v>
      </c>
      <c r="J88" s="89" t="s">
        <v>9393</v>
      </c>
      <c r="K88" s="89" t="str">
        <f t="array" aca="1" ref="K88" ca="1">IFERROR(INDEX('2022-2023 Third Reviews'!L:L,MATCH(A88,'2022-2023 Third Reviews'!C:C,0)),"")</f>
        <v>Biggest obstacle is if animal studies do not produce positive therapeutic results.</v>
      </c>
      <c r="L88" s="90" t="str">
        <f t="array" ref="L88">INDEX(AppNotes,MATCH(A88,Name,0))</f>
        <v>Change to DiT; applied last year</v>
      </c>
      <c r="M88" s="91" t="str">
        <f t="array" aca="1" ref="M88" ca="1">INDEX(Team,MATCH(A88,'Key Metrics'!B:B,0))</f>
        <v>Man</v>
      </c>
      <c r="N88" s="87" t="str">
        <f t="array" aca="1" ref="N88" ca="1">IF(INDEX('Key Metrics'!F:F,MATCH(A88,'Key Metrics'!B:B,0))="Woman","Yes","")</f>
        <v/>
      </c>
      <c r="O88" s="87" t="str">
        <f t="shared" ca="1" si="0"/>
        <v/>
      </c>
      <c r="P88" s="92">
        <f t="array" ref="P88">INDEX(Referral,MATCH(A88,Name,0))</f>
        <v>0</v>
      </c>
      <c r="Q88" s="92">
        <f t="array" aca="1" ref="Q88" ca="1">IF(INDEX(NYUAfillType,MATCH(A88,'Key Metrics'!B:B,0))="Other (please specify)",INDEX('Key Metrics'!N:N,MATCH(A88,'Key Metrics'!B:B,0)),INDEX(NYUAfillType,MATCH(A88,'Key Metrics'!B:B,0)))</f>
        <v>0</v>
      </c>
      <c r="R88" s="93" t="str">
        <f t="array" aca="1" ref="R88" ca="1">IF(INDEX('Key Metrics'!Q:Q,MATCH(A88,'Key Metrics'!B:B,0))="No","",INDEX('Key Metrics'!Q:Q,MATCH(A88,'Key Metrics'!B:B,0)))</f>
        <v/>
      </c>
      <c r="S88" s="94" t="str">
        <f t="shared" si="1"/>
        <v>Revisit</v>
      </c>
      <c r="T88" s="95" t="s">
        <v>19</v>
      </c>
      <c r="U88" s="95" t="b">
        <v>0</v>
      </c>
      <c r="V88" s="95" t="b">
        <v>0</v>
      </c>
      <c r="W88" s="95" t="b">
        <v>0</v>
      </c>
      <c r="X88" s="96"/>
      <c r="Y88" s="94" t="e">
        <f t="array" ref="Y88">INDEX('DT Short List'!F:F,MATCH(A88,'DT Short List'!A:A,0))</f>
        <v>#N/A</v>
      </c>
    </row>
    <row r="89" spans="1:25" ht="22" hidden="1">
      <c r="A89" s="97" t="s">
        <v>148</v>
      </c>
      <c r="B89" s="98" t="str">
        <f t="array" ref="B89">INDEX(Interview,MATCH(A89,Name,0))</f>
        <v>Invite</v>
      </c>
      <c r="C89" s="98" t="str">
        <f t="array" ref="C89">INDEX(Track,MATCH(A89,Name,0))</f>
        <v>Digital Tech</v>
      </c>
      <c r="D89" s="99">
        <f t="array" ref="D89">INDEX(Score,MATCH(A89,Name,0))</f>
        <v>4.75</v>
      </c>
      <c r="E89" s="100">
        <f t="array" aca="1" ref="E89" ca="1">INDEX(Date,MATCH(A89,Name,0))</f>
        <v>44796</v>
      </c>
      <c r="F89" s="98" t="s">
        <v>13347</v>
      </c>
      <c r="G89" s="98" t="s">
        <v>13350</v>
      </c>
      <c r="H89" s="98" t="str">
        <f t="array" ref="H89">IFERROR(INDEX('2022-2023 Third Reviews'!K:K,MATCH(A89,'2022-2023 Third Reviews'!C:C,0)),"")</f>
        <v/>
      </c>
      <c r="I89" s="101" t="s">
        <v>10764</v>
      </c>
      <c r="J89" s="101" t="s">
        <v>999</v>
      </c>
      <c r="K89" s="101" t="str">
        <f t="array" ref="K89">IFERROR(INDEX('2022-2023 Third Reviews'!L:L,MATCH(A89,'2022-2023 Third Reviews'!C:C,0)),"")</f>
        <v/>
      </c>
      <c r="L89" s="102" t="str">
        <f t="array" ref="L89">INDEX(AppNotes,MATCH(A89,Name,0))</f>
        <v>simple yet effect; exploring partnership with Walmart; team has strong background in retail and computer vision</v>
      </c>
      <c r="M89" s="103" t="str">
        <f t="array" aca="1" ref="M89" ca="1">INDEX(Team,MATCH(A89,'Key Metrics'!B:B,0))</f>
        <v>Man, Man</v>
      </c>
      <c r="N89" s="99" t="str">
        <f t="array" aca="1" ref="N89" ca="1">IF(INDEX('Key Metrics'!F:F,MATCH(A89,'Key Metrics'!B:B,0))="Woman","Yes","")</f>
        <v/>
      </c>
      <c r="O89" s="99" t="str">
        <f t="shared" ca="1" si="0"/>
        <v/>
      </c>
      <c r="P89" s="104">
        <f t="array" ref="P89">INDEX(Referral,MATCH(A89,Name,0))</f>
        <v>0</v>
      </c>
      <c r="Q89" s="104">
        <f t="array" aca="1" ref="Q89" ca="1">IF(INDEX(NYUAfillType,MATCH(A89,'Key Metrics'!B:B,0))="Other (please specify)",INDEX('Key Metrics'!N:N,MATCH(A89,'Key Metrics'!B:B,0)),INDEX(NYUAfillType,MATCH(A89,'Key Metrics'!B:B,0)))</f>
        <v>0</v>
      </c>
      <c r="R89" s="105" t="str">
        <f t="array" aca="1" ref="R89" ca="1">IF(INDEX('Key Metrics'!Q:Q,MATCH(A89,'Key Metrics'!B:B,0))="No","",INDEX('Key Metrics'!Q:Q,MATCH(A89,'Key Metrics'!B:B,0)))</f>
        <v/>
      </c>
      <c r="S89" s="106" t="str">
        <f t="shared" si="1"/>
        <v>Invite</v>
      </c>
      <c r="T89" s="107" t="s">
        <v>18</v>
      </c>
      <c r="U89" s="107" t="b">
        <v>0</v>
      </c>
      <c r="V89" s="107" t="b">
        <v>0</v>
      </c>
      <c r="W89" s="107" t="b">
        <v>0</v>
      </c>
      <c r="X89" s="108"/>
      <c r="Y89" s="106" t="str">
        <f t="array" ref="Y89">INDEX('DiT - 2022-2023 Applications Re'!U:U,MATCH(A89,'DiT - 2022-2023 Applications Re'!B:B,0))</f>
        <v>Invite</v>
      </c>
    </row>
    <row r="90" spans="1:25" ht="55" hidden="1">
      <c r="A90" s="109" t="s">
        <v>149</v>
      </c>
      <c r="B90" s="86" t="str">
        <f t="array" ref="B90">INDEX(Interview,MATCH(A90,Name,0))</f>
        <v>Invite</v>
      </c>
      <c r="C90" s="86" t="str">
        <f t="array" ref="C90">INDEX(Track,MATCH(A90,Name,0))</f>
        <v>Digital Tech</v>
      </c>
      <c r="D90" s="87">
        <f t="array" ref="D90">INDEX(Score,MATCH(A90,Name,0))</f>
        <v>4.5</v>
      </c>
      <c r="E90" s="88">
        <f t="array" aca="1" ref="E90" ca="1">INDEX(Date,MATCH(A90,Name,0))</f>
        <v>44782</v>
      </c>
      <c r="F90" s="86" t="s">
        <v>13341</v>
      </c>
      <c r="G90" s="86" t="s">
        <v>13351</v>
      </c>
      <c r="H90" s="86" t="str">
        <f t="array" ref="H90">IFERROR(INDEX('2022-2023 Third Reviews'!K:K,MATCH(A90,'2022-2023 Third Reviews'!C:C,0)),"")</f>
        <v/>
      </c>
      <c r="I90" s="89" t="s">
        <v>10233</v>
      </c>
      <c r="J90" s="89" t="s">
        <v>10234</v>
      </c>
      <c r="K90" s="89" t="str">
        <f t="array" ref="K90">IFERROR(INDEX('2022-2023 Third Reviews'!L:L,MATCH(A90,'2022-2023 Third Reviews'!C:C,0)),"")</f>
        <v/>
      </c>
      <c r="L90" s="90" t="str">
        <f t="array" ref="L90">INDEX(AppNotes,MATCH(A90,Name,0))</f>
        <v>interview from last year, were very close LY; addresses supply chain issues in a very manual process; has an offer from UK gov't. Definitely interview; timing is important now in r/t global supply chain issues in shipping and customs work; very timely company</v>
      </c>
      <c r="M90" s="91" t="str">
        <f t="array" aca="1" ref="M90" ca="1">INDEX(Team,MATCH(A90,'Key Metrics'!B:B,0))</f>
        <v>Man, Man, Man, Man, Man</v>
      </c>
      <c r="N90" s="87" t="str">
        <f t="array" aca="1" ref="N90" ca="1">IF(INDEX('Key Metrics'!F:F,MATCH(A90,'Key Metrics'!B:B,0))="Woman","Yes","")</f>
        <v/>
      </c>
      <c r="O90" s="87" t="str">
        <f t="shared" ca="1" si="0"/>
        <v/>
      </c>
      <c r="P90" s="92">
        <f t="array" ref="P90">INDEX(Referral,MATCH(A90,Name,0))</f>
        <v>0</v>
      </c>
      <c r="Q90" s="92">
        <f t="array" aca="1" ref="Q90" ca="1">IF(INDEX(NYUAfillType,MATCH(A90,'Key Metrics'!B:B,0))="Other (please specify)",INDEX('Key Metrics'!N:N,MATCH(A90,'Key Metrics'!B:B,0)),INDEX(NYUAfillType,MATCH(A90,'Key Metrics'!B:B,0)))</f>
        <v>0</v>
      </c>
      <c r="R90" s="93" t="str">
        <f t="array" aca="1" ref="R90" ca="1">IF(INDEX('Key Metrics'!Q:Q,MATCH(A90,'Key Metrics'!B:B,0))="No","",INDEX('Key Metrics'!Q:Q,MATCH(A90,'Key Metrics'!B:B,0)))</f>
        <v>Yes</v>
      </c>
      <c r="S90" s="94" t="str">
        <f t="shared" si="1"/>
        <v>Invite</v>
      </c>
      <c r="T90" s="95" t="s">
        <v>18</v>
      </c>
      <c r="U90" s="95" t="b">
        <v>0</v>
      </c>
      <c r="V90" s="95" t="b">
        <v>0</v>
      </c>
      <c r="W90" s="95" t="b">
        <v>0</v>
      </c>
      <c r="X90" s="96"/>
      <c r="Y90" s="94" t="str">
        <f t="array" ref="Y90">INDEX('DiT - 2022-2023 Applications Re'!U:U,MATCH(A90,'DiT - 2022-2023 Applications Re'!B:B,0))</f>
        <v>Invite</v>
      </c>
    </row>
    <row r="91" spans="1:25" ht="110" hidden="1">
      <c r="A91" s="97" t="s">
        <v>150</v>
      </c>
      <c r="B91" s="98" t="str">
        <f t="array" ref="B91">INDEX(Interview,MATCH(A91,Name,0))</f>
        <v>Invite</v>
      </c>
      <c r="C91" s="98" t="str">
        <f t="array" ref="C91">INDEX(Track,MATCH(A91,Name,0))</f>
        <v>Deep Tech</v>
      </c>
      <c r="D91" s="99">
        <f t="array" ref="D91">INDEX(Score,MATCH(A91,Name,0))</f>
        <v>4.5</v>
      </c>
      <c r="E91" s="100">
        <f t="array" aca="1" ref="E91" ca="1">INDEX(Date,MATCH(A91,Name,0))</f>
        <v>44784</v>
      </c>
      <c r="F91" s="98" t="s">
        <v>13327</v>
      </c>
      <c r="G91" s="98" t="s">
        <v>13328</v>
      </c>
      <c r="H91" s="98" t="str">
        <f t="array" aca="1" ref="H91" ca="1">IFERROR(INDEX('2022-2023 Third Reviews'!K:K,MATCH(A91,'2022-2023 Third Reviews'!C:C,0)),"")</f>
        <v>Chris Millisits
2</v>
      </c>
      <c r="I91" s="101" t="s">
        <v>10278</v>
      </c>
      <c r="J91" s="101" t="s">
        <v>3408</v>
      </c>
      <c r="K91" s="101" t="str">
        <f t="array" aca="1" ref="K91" ca="1">IFERROR(INDEX('2022-2023 Third Reviews'!L:L,MATCH(A91,'2022-2023 Third Reviews'!C:C,0)),"")</f>
        <v>Young team with some relevant experience. No medical background though. Competitors in market, so claims on differentiation need to be proven out (but no validation from customers to date).</v>
      </c>
      <c r="L91" s="102" t="str">
        <f t="array" ref="L91">INDEX(AppNotes,MATCH(A91,Name,0))</f>
        <v>Change to DT; very NY centric team, was shutdown in 2020 for covid; ask in interview how that is effecting/did effect them; strong team with loose connection to Cornell</v>
      </c>
      <c r="M91" s="103" t="str">
        <f t="array" aca="1" ref="M91" ca="1">INDEX(Team,MATCH(A91,'Key Metrics'!B:B,0))</f>
        <v>Man, Man, Woman, Man</v>
      </c>
      <c r="N91" s="99" t="str">
        <f t="array" aca="1" ref="N91" ca="1">IF(INDEX('Key Metrics'!F:F,MATCH(A91,'Key Metrics'!B:B,0))="Woman","Yes","")</f>
        <v/>
      </c>
      <c r="O91" s="99" t="str">
        <f t="shared" ca="1" si="0"/>
        <v>Yes</v>
      </c>
      <c r="P91" s="104">
        <f t="array" ref="P91">INDEX(Referral,MATCH(A91,Name,0))</f>
        <v>0</v>
      </c>
      <c r="Q91" s="104">
        <f t="array" aca="1" ref="Q91" ca="1">IF(INDEX(NYUAfillType,MATCH(A91,'Key Metrics'!B:B,0))="Other (please specify)",INDEX('Key Metrics'!N:N,MATCH(A91,'Key Metrics'!B:B,0)),INDEX(NYUAfillType,MATCH(A91,'Key Metrics'!B:B,0)))</f>
        <v>0</v>
      </c>
      <c r="R91" s="105" t="str">
        <f t="array" aca="1" ref="R91" ca="1">IF(INDEX('Key Metrics'!Q:Q,MATCH(A91,'Key Metrics'!B:B,0))="No","",INDEX('Key Metrics'!Q:Q,MATCH(A91,'Key Metrics'!B:B,0)))</f>
        <v/>
      </c>
      <c r="S91" s="106" t="str">
        <f t="shared" si="1"/>
        <v>Invite Next Year</v>
      </c>
      <c r="T91" s="107" t="s">
        <v>24</v>
      </c>
      <c r="U91" s="107" t="b">
        <v>0</v>
      </c>
      <c r="V91" s="107" t="b">
        <v>0</v>
      </c>
      <c r="W91" s="107" t="b">
        <v>0</v>
      </c>
      <c r="X91" s="108"/>
      <c r="Y91" s="106" t="str">
        <f t="array" ref="Y91">INDEX('DT Short List'!F:F,MATCH(A91,'DT Short List'!A:A,0))</f>
        <v>Invite Next Year</v>
      </c>
    </row>
    <row r="92" spans="1:25" ht="44" hidden="1">
      <c r="A92" s="109" t="s">
        <v>61</v>
      </c>
      <c r="B92" s="86" t="str">
        <f t="array" ref="B92">INDEX(Interview,MATCH(A92,Name,0))</f>
        <v>Invite</v>
      </c>
      <c r="C92" s="86" t="str">
        <f t="array" ref="C92">INDEX(Track,MATCH(A92,Name,0))</f>
        <v>Deep Tech</v>
      </c>
      <c r="D92" s="87">
        <f t="array" ref="D92">INDEX(Score,MATCH(A92,Name,0))</f>
        <v>4</v>
      </c>
      <c r="E92" s="88">
        <f t="array" aca="1" ref="E92" ca="1">INDEX(Date,MATCH(A92,Name,0))</f>
        <v>44797</v>
      </c>
      <c r="F92" s="86" t="s">
        <v>13304</v>
      </c>
      <c r="G92" s="86" t="s">
        <v>13305</v>
      </c>
      <c r="H92" s="86" t="str">
        <f t="array" ref="H92">IFERROR(INDEX('2022-2023 Third Reviews'!K:K,MATCH(A92,'2022-2023 Third Reviews'!C:C,0)),"")</f>
        <v/>
      </c>
      <c r="I92" s="89" t="s">
        <v>11308</v>
      </c>
      <c r="J92" s="89" t="s">
        <v>11309</v>
      </c>
      <c r="K92" s="89" t="str">
        <f t="array" ref="K92">IFERROR(INDEX('2022-2023 Third Reviews'!L:L,MATCH(A92,'2022-2023 Third Reviews'!C:C,0)),"")</f>
        <v/>
      </c>
      <c r="L92" s="90" t="str">
        <f t="array" ref="L92">INDEX(AppNotes,MATCH(A92,Name,0))</f>
        <v>Change to DT; Water and energy saving faucet;</v>
      </c>
      <c r="M92" s="91" t="str">
        <f t="array" aca="1" ref="M92" ca="1">INDEX(Team,MATCH(A92,'Key Metrics'!B:B,0))</f>
        <v>Man, Man</v>
      </c>
      <c r="N92" s="87" t="str">
        <f t="array" aca="1" ref="N92" ca="1">IF(INDEX('Key Metrics'!F:F,MATCH(A92,'Key Metrics'!B:B,0))="Woman","Yes","")</f>
        <v/>
      </c>
      <c r="O92" s="87" t="str">
        <f t="shared" ca="1" si="0"/>
        <v/>
      </c>
      <c r="P92" s="92">
        <f t="array" ref="P92">INDEX(Referral,MATCH(A92,Name,0))</f>
        <v>0</v>
      </c>
      <c r="Q92" s="92">
        <f t="array" aca="1" ref="Q92" ca="1">IF(INDEX(NYUAfillType,MATCH(A92,'Key Metrics'!B:B,0))="Other (please specify)",INDEX('Key Metrics'!N:N,MATCH(A92,'Key Metrics'!B:B,0)),INDEX(NYUAfillType,MATCH(A92,'Key Metrics'!B:B,0)))</f>
        <v>0</v>
      </c>
      <c r="R92" s="93" t="str">
        <f t="array" aca="1" ref="R92" ca="1">IF(INDEX('Key Metrics'!Q:Q,MATCH(A92,'Key Metrics'!B:B,0))="No","",INDEX('Key Metrics'!Q:Q,MATCH(A92,'Key Metrics'!B:B,0)))</f>
        <v/>
      </c>
      <c r="S92" s="94" t="str">
        <f t="shared" si="1"/>
        <v>Revisit</v>
      </c>
      <c r="T92" s="95" t="s">
        <v>19</v>
      </c>
      <c r="U92" s="95" t="b">
        <v>0</v>
      </c>
      <c r="V92" s="95" t="b">
        <v>0</v>
      </c>
      <c r="W92" s="95" t="b">
        <v>0</v>
      </c>
      <c r="X92" s="96"/>
      <c r="Y92" s="94" t="str">
        <f t="array" ref="Y92">INDEX('DT Short List'!F:F,MATCH(A92,'DT Short List'!A:A,0))</f>
        <v>Invite</v>
      </c>
    </row>
    <row r="93" spans="1:25" ht="44">
      <c r="A93" s="97" t="s">
        <v>151</v>
      </c>
      <c r="B93" s="98" t="str">
        <f t="array" ref="B93">INDEX(Interview,MATCH(A93,Name,0))</f>
        <v>Invite</v>
      </c>
      <c r="C93" s="98" t="str">
        <f t="array" ref="C93">INDEX(Track,MATCH(A93,Name,0))</f>
        <v>Digital Tech</v>
      </c>
      <c r="D93" s="99">
        <f t="array" ref="D93">INDEX(Score,MATCH(A93,Name,0))</f>
        <v>4</v>
      </c>
      <c r="E93" s="100">
        <f t="array" aca="1" ref="E93" ca="1">INDEX(Date,MATCH(A93,Name,0))</f>
        <v>44782</v>
      </c>
      <c r="F93" s="98" t="s">
        <v>13337</v>
      </c>
      <c r="G93" s="98" t="s">
        <v>13312</v>
      </c>
      <c r="H93" s="98" t="str">
        <f t="array" aca="1" ref="H93" ca="1">IFERROR(INDEX('2022-2023 Third Reviews'!K:K,MATCH(A93,'2022-2023 Third Reviews'!C:C,0)),"")</f>
        <v>Nick Schmandt
5</v>
      </c>
      <c r="I93" s="101" t="s">
        <v>1016</v>
      </c>
      <c r="J93" s="101" t="s">
        <v>10193</v>
      </c>
      <c r="K93" s="101" t="str">
        <f t="array" aca="1" ref="K93" ca="1">IFERROR(INDEX('2022-2023 Third Reviews'!L:L,MATCH(A93,'2022-2023 Third Reviews'!C:C,0)),"")</f>
        <v>I really like this group, they already have strong revenue growth and are definitely addressing a growing population segment and need.</v>
      </c>
      <c r="L93" s="102" t="str">
        <f t="array" ref="L93">INDEX(AppNotes,MATCH(A93,Name,0))</f>
        <v>similar to DiDi; high potential for high valuation down the road;</v>
      </c>
      <c r="M93" s="103" t="str">
        <f t="array" aca="1" ref="M93" ca="1">INDEX(Team,MATCH(A93,'Key Metrics'!B:B,0))</f>
        <v>Man, Woman, Man</v>
      </c>
      <c r="N93" s="99" t="str">
        <f t="array" aca="1" ref="N93" ca="1">IF(INDEX('Key Metrics'!F:F,MATCH(A93,'Key Metrics'!B:B,0))="Woman","Yes","")</f>
        <v/>
      </c>
      <c r="O93" s="99" t="str">
        <f t="shared" ca="1" si="0"/>
        <v>Yes</v>
      </c>
      <c r="P93" s="104">
        <f t="array" ref="P93">INDEX(Referral,MATCH(A93,Name,0))</f>
        <v>0</v>
      </c>
      <c r="Q93" s="104">
        <f t="array" aca="1" ref="Q93" ca="1">IF(INDEX(NYUAfillType,MATCH(A93,'Key Metrics'!B:B,0))="Other (please specify)",INDEX('Key Metrics'!N:N,MATCH(A93,'Key Metrics'!B:B,0)),INDEX(NYUAfillType,MATCH(A93,'Key Metrics'!B:B,0)))</f>
        <v>0</v>
      </c>
      <c r="R93" s="105" t="str">
        <f t="array" aca="1" ref="R93" ca="1">IF(INDEX('Key Metrics'!Q:Q,MATCH(A93,'Key Metrics'!B:B,0))="No","",INDEX('Key Metrics'!Q:Q,MATCH(A93,'Key Metrics'!B:B,0)))</f>
        <v/>
      </c>
      <c r="S93" s="106" t="str">
        <f t="shared" si="1"/>
        <v>Invite</v>
      </c>
      <c r="T93" s="107" t="s">
        <v>18</v>
      </c>
      <c r="U93" s="107" t="b">
        <v>0</v>
      </c>
      <c r="V93" s="107" t="b">
        <v>0</v>
      </c>
      <c r="W93" s="107" t="b">
        <v>0</v>
      </c>
      <c r="X93" s="108"/>
      <c r="Y93" s="106" t="str">
        <f t="array" ref="Y93">INDEX('DiT - 2022-2023 Applications Re'!U:U,MATCH(A93,'DiT - 2022-2023 Applications Re'!B:B,0))</f>
        <v>Invite</v>
      </c>
    </row>
    <row r="94" spans="1:25" ht="88" hidden="1">
      <c r="A94" s="109" t="s">
        <v>152</v>
      </c>
      <c r="B94" s="86" t="str">
        <f t="array" ref="B94">INDEX(Interview,MATCH(A94,Name,0))</f>
        <v>Invite</v>
      </c>
      <c r="C94" s="86" t="str">
        <f t="array" ref="C94">INDEX(Track,MATCH(A94,Name,0))</f>
        <v>Digital Tech</v>
      </c>
      <c r="D94" s="87">
        <f t="array" ref="D94">INDEX(Score,MATCH(A94,Name,0))</f>
        <v>4.25</v>
      </c>
      <c r="E94" s="88">
        <f t="array" aca="1" ref="E94" ca="1">INDEX(Date,MATCH(A94,Name,0))</f>
        <v>44791</v>
      </c>
      <c r="F94" s="86" t="s">
        <v>13306</v>
      </c>
      <c r="G94" s="86" t="s">
        <v>13321</v>
      </c>
      <c r="H94" s="86" t="str">
        <f t="array" ref="H94">IFERROR(INDEX('2022-2023 Third Reviews'!K:K,MATCH(A94,'2022-2023 Third Reviews'!C:C,0)),"")</f>
        <v/>
      </c>
      <c r="I94" s="89" t="s">
        <v>11006</v>
      </c>
      <c r="J94" s="89" t="s">
        <v>11007</v>
      </c>
      <c r="K94" s="89" t="str">
        <f t="array" ref="K94">IFERROR(INDEX('2022-2023 Third Reviews'!L:L,MATCH(A94,'2022-2023 Third Reviews'!C:C,0)),"")</f>
        <v/>
      </c>
      <c r="L94" s="90" t="str">
        <f t="array" ref="L94">INDEX(AppNotes,MATCH(A94,Name,0))</f>
        <v>Change to DiT; strong funding so far</v>
      </c>
      <c r="M94" s="91" t="str">
        <f t="array" aca="1" ref="M94" ca="1">INDEX(Team,MATCH(A94,'Key Metrics'!B:B,0))</f>
        <v>Man</v>
      </c>
      <c r="N94" s="87" t="str">
        <f t="array" aca="1" ref="N94" ca="1">IF(INDEX('Key Metrics'!F:F,MATCH(A94,'Key Metrics'!B:B,0))="Woman","Yes","")</f>
        <v/>
      </c>
      <c r="O94" s="87" t="str">
        <f t="shared" ca="1" si="0"/>
        <v/>
      </c>
      <c r="P94" s="92">
        <f t="array" ref="P94">INDEX(Referral,MATCH(A94,Name,0))</f>
        <v>0</v>
      </c>
      <c r="Q94" s="92">
        <f t="array" aca="1" ref="Q94" ca="1">IF(INDEX(NYUAfillType,MATCH(A94,'Key Metrics'!B:B,0))="Other (please specify)",INDEX('Key Metrics'!N:N,MATCH(A94,'Key Metrics'!B:B,0)),INDEX(NYUAfillType,MATCH(A94,'Key Metrics'!B:B,0)))</f>
        <v>0</v>
      </c>
      <c r="R94" s="93" t="str">
        <f t="array" aca="1" ref="R94" ca="1">IF(INDEX('Key Metrics'!Q:Q,MATCH(A94,'Key Metrics'!B:B,0))="No","",INDEX('Key Metrics'!Q:Q,MATCH(A94,'Key Metrics'!B:B,0)))</f>
        <v/>
      </c>
      <c r="S94" s="94" t="str">
        <f t="shared" si="1"/>
        <v>Invite</v>
      </c>
      <c r="T94" s="95" t="s">
        <v>18</v>
      </c>
      <c r="U94" s="95" t="b">
        <v>0</v>
      </c>
      <c r="V94" s="95" t="b">
        <v>0</v>
      </c>
      <c r="W94" s="95" t="b">
        <v>0</v>
      </c>
      <c r="X94" s="96"/>
      <c r="Y94" s="94" t="str">
        <f t="array" ref="Y94">INDEX('DiT - 2022-2023 Applications Re'!U:U,MATCH(A94,'DiT - 2022-2023 Applications Re'!B:B,0))</f>
        <v>Invite</v>
      </c>
    </row>
    <row r="95" spans="1:25" ht="55">
      <c r="A95" s="97" t="s">
        <v>153</v>
      </c>
      <c r="B95" s="98" t="str">
        <f t="array" ref="B95">INDEX(Interview,MATCH(A95,Name,0))</f>
        <v>Invite</v>
      </c>
      <c r="C95" s="98" t="str">
        <f t="array" ref="C95">INDEX(Track,MATCH(A95,Name,0))</f>
        <v>Digital Tech</v>
      </c>
      <c r="D95" s="99">
        <f t="array" ref="D95">INDEX(Score,MATCH(A95,Name,0))</f>
        <v>3.63</v>
      </c>
      <c r="E95" s="100">
        <f t="array" aca="1" ref="E95" ca="1">INDEX(Date,MATCH(A95,Name,0))</f>
        <v>44796</v>
      </c>
      <c r="F95" s="98" t="s">
        <v>13352</v>
      </c>
      <c r="G95" s="98" t="s">
        <v>13353</v>
      </c>
      <c r="H95" s="98" t="str">
        <f t="array" aca="1" ref="H95" ca="1">IFERROR(INDEX('2022-2023 Third Reviews'!K:K,MATCH(A95,'2022-2023 Third Reviews'!C:C,0)),"")</f>
        <v>Nick Schmandt
4</v>
      </c>
      <c r="I95" s="101" t="s">
        <v>10452</v>
      </c>
      <c r="J95" s="101" t="s">
        <v>1037</v>
      </c>
      <c r="K95" s="101" t="str">
        <f t="array" aca="1" ref="K95" ca="1">IFERROR(INDEX('2022-2023 Third Reviews'!L:L,MATCH(A95,'2022-2023 Third Reviews'!C:C,0)),"")</f>
        <v>They are already generating pretty strong revenue and have raised an impressive amount of money and have good revenue. My only issue is it's really not clear why they are operating in Indonesia, and I think they are downplaying competition from regular social media, where creators can market content as well for less overhead. But overall I think they have a workable product with at least some size of addressable market.</v>
      </c>
      <c r="L95" s="102" t="str">
        <f t="array" ref="L95">INDEX(AppNotes,MATCH(A95,Name,0))</f>
        <v>connects creatives with brands (not the novel part), issues essentially a credit score to these partnered creatives for lending and other financial institutions to use; could turn into credit score API;</v>
      </c>
      <c r="M95" s="103" t="str">
        <f t="array" aca="1" ref="M95" ca="1">INDEX(Team,MATCH(A95,'Key Metrics'!B:B,0))</f>
        <v>Man, Woman, Man, Man</v>
      </c>
      <c r="N95" s="99" t="str">
        <f t="array" aca="1" ref="N95" ca="1">IF(INDEX('Key Metrics'!F:F,MATCH(A95,'Key Metrics'!B:B,0))="Woman","Yes","")</f>
        <v/>
      </c>
      <c r="O95" s="99" t="str">
        <f t="shared" ca="1" si="0"/>
        <v>Yes</v>
      </c>
      <c r="P95" s="104">
        <f t="array" ref="P95">INDEX(Referral,MATCH(A95,Name,0))</f>
        <v>0</v>
      </c>
      <c r="Q95" s="104">
        <f t="array" aca="1" ref="Q95" ca="1">IF(INDEX(NYUAfillType,MATCH(A95,'Key Metrics'!B:B,0))="Other (please specify)",INDEX('Key Metrics'!N:N,MATCH(A95,'Key Metrics'!B:B,0)),INDEX(NYUAfillType,MATCH(A95,'Key Metrics'!B:B,0)))</f>
        <v>0</v>
      </c>
      <c r="R95" s="105" t="str">
        <f t="array" aca="1" ref="R95" ca="1">IF(INDEX('Key Metrics'!Q:Q,MATCH(A95,'Key Metrics'!B:B,0))="No","",INDEX('Key Metrics'!Q:Q,MATCH(A95,'Key Metrics'!B:B,0)))</f>
        <v/>
      </c>
      <c r="S95" s="106" t="str">
        <f t="shared" si="1"/>
        <v>Invite</v>
      </c>
      <c r="T95" s="107" t="s">
        <v>18</v>
      </c>
      <c r="U95" s="107" t="b">
        <v>0</v>
      </c>
      <c r="V95" s="107" t="b">
        <v>0</v>
      </c>
      <c r="W95" s="107" t="b">
        <v>0</v>
      </c>
      <c r="X95" s="108"/>
      <c r="Y95" s="106" t="str">
        <f t="array" ref="Y95">INDEX('DiT - 2022-2023 Applications Re'!U:U,MATCH(A95,'DiT - 2022-2023 Applications Re'!B:B,0))</f>
        <v>Invite</v>
      </c>
    </row>
    <row r="96" spans="1:25" ht="44" hidden="1">
      <c r="A96" s="109" t="s">
        <v>154</v>
      </c>
      <c r="B96" s="86" t="str">
        <f t="array" ref="B96">INDEX(Interview,MATCH(A96,Name,0))</f>
        <v>Invite</v>
      </c>
      <c r="C96" s="86" t="str">
        <f t="array" ref="C96">INDEX(Track,MATCH(A96,Name,0))</f>
        <v>Digital Tech</v>
      </c>
      <c r="D96" s="87">
        <f t="array" ref="D96">INDEX(Score,MATCH(A96,Name,0))</f>
        <v>4</v>
      </c>
      <c r="E96" s="88">
        <f t="array" aca="1" ref="E96" ca="1">INDEX(Date,MATCH(A96,Name,0))</f>
        <v>44789</v>
      </c>
      <c r="F96" s="86" t="s">
        <v>13337</v>
      </c>
      <c r="G96" s="86" t="s">
        <v>13354</v>
      </c>
      <c r="H96" s="86" t="str">
        <f t="array" aca="1" ref="H96" ca="1">IFERROR(INDEX('2022-2023 Third Reviews'!K:K,MATCH(A96,'2022-2023 Third Reviews'!C:C,0)),"")</f>
        <v>Nick Schmandt
3</v>
      </c>
      <c r="I96" s="89" t="s">
        <v>10248</v>
      </c>
      <c r="J96" s="89" t="s">
        <v>1046</v>
      </c>
      <c r="K96" s="89" t="str">
        <f t="array" aca="1" ref="K96" ca="1">IFERROR(INDEX('2022-2023 Third Reviews'!L:L,MATCH(A96,'2022-2023 Third Reviews'!C:C,0)),"")</f>
        <v>Again this would be stronger if the team was more experienced and if the value to the end user was more clear. Right now it seems that it still needs some work to truly identify a large addressable market.</v>
      </c>
      <c r="L96" s="90">
        <f t="array" ref="L96">INDEX(AppNotes,MATCH(A96,Name,0))</f>
        <v>0</v>
      </c>
      <c r="M96" s="91" t="str">
        <f t="array" aca="1" ref="M96" ca="1">INDEX(Team,MATCH(A96,'Key Metrics'!B:B,0))</f>
        <v>Man, Man</v>
      </c>
      <c r="N96" s="87" t="str">
        <f t="array" aca="1" ref="N96" ca="1">IF(INDEX('Key Metrics'!F:F,MATCH(A96,'Key Metrics'!B:B,0))="Woman","Yes","")</f>
        <v/>
      </c>
      <c r="O96" s="87" t="str">
        <f t="shared" ca="1" si="0"/>
        <v/>
      </c>
      <c r="P96" s="92" t="str">
        <f t="array" ref="P96">INDEX(Referral,MATCH(A96,Name,0))</f>
        <v>Deepak Hegde</v>
      </c>
      <c r="Q96" s="92" t="str">
        <f t="array" aca="1" ref="Q96" ca="1">IF(INDEX(NYUAfillType,MATCH(A96,'Key Metrics'!B:B,0))="Other (please specify)",INDEX('Key Metrics'!N:N,MATCH(A96,'Key Metrics'!B:B,0)),INDEX(NYUAfillType,MATCH(A96,'Key Metrics'!B:B,0)))</f>
        <v>NYU Student</v>
      </c>
      <c r="R96" s="93" t="str">
        <f t="array" aca="1" ref="R96" ca="1">IF(INDEX('Key Metrics'!Q:Q,MATCH(A96,'Key Metrics'!B:B,0))="No","",INDEX('Key Metrics'!Q:Q,MATCH(A96,'Key Metrics'!B:B,0)))</f>
        <v/>
      </c>
      <c r="S96" s="94" t="str">
        <f t="shared" si="1"/>
        <v>Invite</v>
      </c>
      <c r="T96" s="95" t="s">
        <v>18</v>
      </c>
      <c r="U96" s="95" t="b">
        <v>0</v>
      </c>
      <c r="V96" s="95" t="b">
        <v>0</v>
      </c>
      <c r="W96" s="95" t="b">
        <v>0</v>
      </c>
      <c r="X96" s="96"/>
      <c r="Y96" s="94" t="str">
        <f t="array" ref="Y96">INDEX('DiT - 2022-2023 Applications Re'!U:U,MATCH(A96,'DiT - 2022-2023 Applications Re'!B:B,0))</f>
        <v>Invite</v>
      </c>
    </row>
    <row r="97" spans="1:25" ht="55" hidden="1">
      <c r="A97" s="97" t="s">
        <v>155</v>
      </c>
      <c r="B97" s="98" t="str">
        <f t="array" ref="B97">INDEX(Interview,MATCH(A97,Name,0))</f>
        <v>Revisit</v>
      </c>
      <c r="C97" s="98" t="str">
        <f t="array" ref="C97">INDEX(Track,MATCH(A97,Name,0))</f>
        <v>Deep Tech</v>
      </c>
      <c r="D97" s="99">
        <f t="array" ref="D97">INDEX(Score,MATCH(A97,Name,0))</f>
        <v>3.25</v>
      </c>
      <c r="E97" s="100">
        <f t="array" aca="1" ref="E97" ca="1">INDEX(Date,MATCH(A97,Name,0))</f>
        <v>44782</v>
      </c>
      <c r="F97" s="98" t="s">
        <v>13308</v>
      </c>
      <c r="G97" s="98" t="s">
        <v>13333</v>
      </c>
      <c r="H97" s="98" t="str">
        <f t="array" aca="1" ref="H97" ca="1">IFERROR(INDEX('2022-2023 Third Reviews'!K:K,MATCH(A97,'2022-2023 Third Reviews'!C:C,0)),"")</f>
        <v>Chris Millisits
3</v>
      </c>
      <c r="I97" s="101" t="s">
        <v>10479</v>
      </c>
      <c r="J97" s="101" t="s">
        <v>10480</v>
      </c>
      <c r="K97" s="101" t="str">
        <f t="array" aca="1" ref="K97" ca="1">IFERROR(INDEX('2022-2023 Third Reviews'!L:L,MATCH(A97,'2022-2023 Third Reviews'!C:C,0)),"")</f>
        <v>It's a biotech firm. Previous biotech exit at $750m for founder. Vision is just to look for unmet needs in cancer and infectious diseases, but the founder has done biotech before. Would be a founder bet.</v>
      </c>
      <c r="L97" s="102" t="str">
        <f t="array" ref="L97">INDEX(AppNotes,MATCH(A97,Name,0))</f>
        <v>change to DiT</v>
      </c>
      <c r="M97" s="103" t="str">
        <f t="array" aca="1" ref="M97" ca="1">INDEX(Team,MATCH(A97,'Key Metrics'!B:B,0))</f>
        <v>Man, Man</v>
      </c>
      <c r="N97" s="99" t="str">
        <f t="array" aca="1" ref="N97" ca="1">IF(INDEX('Key Metrics'!F:F,MATCH(A97,'Key Metrics'!B:B,0))="Woman","Yes","")</f>
        <v/>
      </c>
      <c r="O97" s="99" t="str">
        <f t="shared" ca="1" si="0"/>
        <v/>
      </c>
      <c r="P97" s="104">
        <f t="array" ref="P97">INDEX(Referral,MATCH(A97,Name,0))</f>
        <v>0</v>
      </c>
      <c r="Q97" s="104">
        <f t="array" aca="1" ref="Q97" ca="1">IF(INDEX(NYUAfillType,MATCH(A97,'Key Metrics'!B:B,0))="Other (please specify)",INDEX('Key Metrics'!N:N,MATCH(A97,'Key Metrics'!B:B,0)),INDEX(NYUAfillType,MATCH(A97,'Key Metrics'!B:B,0)))</f>
        <v>0</v>
      </c>
      <c r="R97" s="105" t="str">
        <f t="array" aca="1" ref="R97" ca="1">IF(INDEX('Key Metrics'!Q:Q,MATCH(A97,'Key Metrics'!B:B,0))="No","",INDEX('Key Metrics'!Q:Q,MATCH(A97,'Key Metrics'!B:B,0)))</f>
        <v/>
      </c>
      <c r="S97" s="106" t="str">
        <f t="shared" si="1"/>
        <v>Revisit</v>
      </c>
      <c r="T97" s="107" t="s">
        <v>19</v>
      </c>
      <c r="U97" s="107" t="b">
        <v>0</v>
      </c>
      <c r="V97" s="107" t="b">
        <v>0</v>
      </c>
      <c r="W97" s="107" t="b">
        <v>0</v>
      </c>
      <c r="X97" s="108"/>
      <c r="Y97" s="106" t="e">
        <f t="array" ref="Y97">INDEX('DT Short List'!F:F,MATCH(A97,'DT Short List'!A:A,0))</f>
        <v>#N/A</v>
      </c>
    </row>
    <row r="98" spans="1:25" ht="33" hidden="1">
      <c r="A98" s="109" t="s">
        <v>156</v>
      </c>
      <c r="B98" s="86" t="str">
        <f t="array" ref="B98">INDEX(Interview,MATCH(A98,Name,0))</f>
        <v>Invite</v>
      </c>
      <c r="C98" s="86" t="str">
        <f t="array" ref="C98">INDEX(Track,MATCH(A98,Name,0))</f>
        <v>Digital Tech</v>
      </c>
      <c r="D98" s="87">
        <f t="array" ref="D98">INDEX(Score,MATCH(A98,Name,0))</f>
        <v>4.25</v>
      </c>
      <c r="E98" s="88">
        <f t="array" aca="1" ref="E98" ca="1">INDEX(Date,MATCH(A98,Name,0))</f>
        <v>44776</v>
      </c>
      <c r="F98" s="86" t="s">
        <v>13341</v>
      </c>
      <c r="G98" s="86" t="s">
        <v>13349</v>
      </c>
      <c r="H98" s="86" t="str">
        <f t="array" ref="H98">IFERROR(INDEX('2022-2023 Third Reviews'!K:K,MATCH(A98,'2022-2023 Third Reviews'!C:C,0)),"")</f>
        <v/>
      </c>
      <c r="I98" s="89" t="s">
        <v>11390</v>
      </c>
      <c r="J98" s="89" t="s">
        <v>481</v>
      </c>
      <c r="K98" s="89" t="str">
        <f t="array" ref="K98">IFERROR(INDEX('2022-2023 Third Reviews'!L:L,MATCH(A98,'2022-2023 Third Reviews'!C:C,0)),"")</f>
        <v/>
      </c>
      <c r="L98" s="90">
        <f t="array" ref="L98">INDEX(AppNotes,MATCH(A98,Name,0))</f>
        <v>0</v>
      </c>
      <c r="M98" s="91" t="str">
        <f t="array" aca="1" ref="M98" ca="1">INDEX(Team,MATCH(A98,'Key Metrics'!B:B,0))</f>
        <v>Man</v>
      </c>
      <c r="N98" s="87" t="str">
        <f t="array" aca="1" ref="N98" ca="1">IF(INDEX('Key Metrics'!F:F,MATCH(A98,'Key Metrics'!B:B,0))="Woman","Yes","")</f>
        <v/>
      </c>
      <c r="O98" s="87" t="str">
        <f t="shared" ca="1" si="0"/>
        <v/>
      </c>
      <c r="P98" s="92">
        <f t="array" ref="P98">INDEX(Referral,MATCH(A98,Name,0))</f>
        <v>0</v>
      </c>
      <c r="Q98" s="92">
        <f t="array" aca="1" ref="Q98" ca="1">IF(INDEX(NYUAfillType,MATCH(A98,'Key Metrics'!B:B,0))="Other (please specify)",INDEX('Key Metrics'!N:N,MATCH(A98,'Key Metrics'!B:B,0)),INDEX(NYUAfillType,MATCH(A98,'Key Metrics'!B:B,0)))</f>
        <v>0</v>
      </c>
      <c r="R98" s="93" t="str">
        <f t="array" aca="1" ref="R98" ca="1">IF(INDEX('Key Metrics'!Q:Q,MATCH(A98,'Key Metrics'!B:B,0))="No","",INDEX('Key Metrics'!Q:Q,MATCH(A98,'Key Metrics'!B:B,0)))</f>
        <v/>
      </c>
      <c r="S98" s="94" t="str">
        <f t="shared" si="1"/>
        <v>Invite</v>
      </c>
      <c r="T98" s="95" t="s">
        <v>18</v>
      </c>
      <c r="U98" s="95" t="b">
        <v>0</v>
      </c>
      <c r="V98" s="95" t="b">
        <v>0</v>
      </c>
      <c r="W98" s="95" t="b">
        <v>0</v>
      </c>
      <c r="X98" s="96"/>
      <c r="Y98" s="94" t="str">
        <f t="array" ref="Y98">INDEX('DiT - 2022-2023 Applications Re'!U:U,MATCH(A98,'DiT - 2022-2023 Applications Re'!B:B,0))</f>
        <v>Invite</v>
      </c>
    </row>
    <row r="99" spans="1:25" ht="44">
      <c r="A99" s="97" t="s">
        <v>157</v>
      </c>
      <c r="B99" s="98" t="str">
        <f t="array" ref="B99">INDEX(Interview,MATCH(A99,Name,0))</f>
        <v>Invite</v>
      </c>
      <c r="C99" s="98" t="str">
        <f t="array" ref="C99">INDEX(Track,MATCH(A99,Name,0))</f>
        <v>Digital Tech</v>
      </c>
      <c r="D99" s="99">
        <f t="array" ref="D99">INDEX(Score,MATCH(A99,Name,0))</f>
        <v>4</v>
      </c>
      <c r="E99" s="100">
        <f t="array" aca="1" ref="E99" ca="1">INDEX(Date,MATCH(A99,Name,0))</f>
        <v>44789</v>
      </c>
      <c r="F99" s="98" t="s">
        <v>13329</v>
      </c>
      <c r="G99" s="98" t="s">
        <v>13349</v>
      </c>
      <c r="H99" s="98" t="str">
        <f t="array" ref="H99">IFERROR(INDEX('2022-2023 Third Reviews'!K:K,MATCH(A99,'2022-2023 Third Reviews'!C:C,0)),"")</f>
        <v/>
      </c>
      <c r="I99" s="101" t="s">
        <v>1061</v>
      </c>
      <c r="J99" s="101" t="s">
        <v>10906</v>
      </c>
      <c r="K99" s="101" t="str">
        <f t="array" ref="K99">IFERROR(INDEX('2022-2023 Third Reviews'!L:L,MATCH(A99,'2022-2023 Third Reviews'!C:C,0)),"")</f>
        <v/>
      </c>
      <c r="L99" s="102">
        <f t="array" ref="L99">INDEX(AppNotes,MATCH(A99,Name,0))</f>
        <v>0</v>
      </c>
      <c r="M99" s="103" t="str">
        <f t="array" aca="1" ref="M99" ca="1">INDEX(Team,MATCH(A99,'Key Metrics'!B:B,0))</f>
        <v>Woman, Man, Man</v>
      </c>
      <c r="N99" s="99" t="str">
        <f t="array" aca="1" ref="N99" ca="1">IF(INDEX('Key Metrics'!F:F,MATCH(A99,'Key Metrics'!B:B,0))="Woman","Yes","")</f>
        <v>Yes</v>
      </c>
      <c r="O99" s="99" t="str">
        <f t="shared" ca="1" si="0"/>
        <v>Yes</v>
      </c>
      <c r="P99" s="104" t="str">
        <f t="array" ref="P99">INDEX(Referral,MATCH(A99,Name,0))</f>
        <v>Robert Padulo</v>
      </c>
      <c r="Q99" s="104">
        <f t="array" aca="1" ref="Q99" ca="1">IF(INDEX(NYUAfillType,MATCH(A99,'Key Metrics'!B:B,0))="Other (please specify)",INDEX('Key Metrics'!N:N,MATCH(A99,'Key Metrics'!B:B,0)),INDEX(NYUAfillType,MATCH(A99,'Key Metrics'!B:B,0)))</f>
        <v>0</v>
      </c>
      <c r="R99" s="105" t="str">
        <f t="array" aca="1" ref="R99" ca="1">IF(INDEX('Key Metrics'!Q:Q,MATCH(A99,'Key Metrics'!B:B,0))="No","",INDEX('Key Metrics'!Q:Q,MATCH(A99,'Key Metrics'!B:B,0)))</f>
        <v/>
      </c>
      <c r="S99" s="106" t="str">
        <f t="shared" si="1"/>
        <v>Invite</v>
      </c>
      <c r="T99" s="107" t="s">
        <v>18</v>
      </c>
      <c r="U99" s="107" t="b">
        <v>0</v>
      </c>
      <c r="V99" s="107" t="b">
        <v>0</v>
      </c>
      <c r="W99" s="107" t="b">
        <v>0</v>
      </c>
      <c r="X99" s="108"/>
      <c r="Y99" s="106" t="str">
        <f t="array" ref="Y99">INDEX('DiT - 2022-2023 Applications Re'!U:U,MATCH(A99,'DiT - 2022-2023 Applications Re'!B:B,0))</f>
        <v>Invite</v>
      </c>
    </row>
    <row r="100" spans="1:25" ht="110" hidden="1">
      <c r="A100" s="109" t="s">
        <v>158</v>
      </c>
      <c r="B100" s="86" t="str">
        <f t="array" ref="B100">INDEX(Interview,MATCH(A100,Name,0))</f>
        <v>Revisit/ Cluster</v>
      </c>
      <c r="C100" s="86" t="str">
        <f t="array" ref="C100">INDEX(Track,MATCH(A100,Name,0))</f>
        <v>Deep Tech</v>
      </c>
      <c r="D100" s="87">
        <f t="array" ref="D100">INDEX(Score,MATCH(A100,Name,0))</f>
        <v>3</v>
      </c>
      <c r="E100" s="88">
        <f t="array" aca="1" ref="E100" ca="1">INDEX(Date,MATCH(A100,Name,0))</f>
        <v>44776</v>
      </c>
      <c r="F100" s="86" t="s">
        <v>13308</v>
      </c>
      <c r="G100" s="86" t="s">
        <v>13355</v>
      </c>
      <c r="H100" s="86" t="str">
        <f t="array" aca="1" ref="H100" ca="1">IFERROR(INDEX('2022-2023 Third Reviews'!K:K,MATCH(A100,'2022-2023 Third Reviews'!C:C,0)),"")</f>
        <v>Chris Millisits
2</v>
      </c>
      <c r="I100" s="89" t="s">
        <v>11394</v>
      </c>
      <c r="J100" s="89" t="s">
        <v>11395</v>
      </c>
      <c r="K100" s="89" t="str">
        <f t="array" aca="1" ref="K100" ca="1">IFERROR(INDEX('2022-2023 Third Reviews'!L:L,MATCH(A100,'2022-2023 Third Reviews'!C:C,0)),"")</f>
        <v>Another productivity tool powered by AI. This is a crowded space and there is nothing in application materials or website to suggest that this team has the right to win in this space.</v>
      </c>
      <c r="L100" s="90" t="str">
        <f t="array" ref="L100">INDEX(AppNotes,MATCH(A100,Name,0))</f>
        <v>Khoa + DT TAs to revisit</v>
      </c>
      <c r="M100" s="91" t="str">
        <f t="array" aca="1" ref="M100" ca="1">INDEX(Team,MATCH(A100,'Key Metrics'!B:B,0))</f>
        <v>Man, Man</v>
      </c>
      <c r="N100" s="87" t="str">
        <f t="array" aca="1" ref="N100" ca="1">IF(INDEX('Key Metrics'!F:F,MATCH(A100,'Key Metrics'!B:B,0))="Woman","Yes","")</f>
        <v/>
      </c>
      <c r="O100" s="87" t="str">
        <f t="shared" ca="1" si="0"/>
        <v/>
      </c>
      <c r="P100" s="92">
        <f t="array" ref="P100">INDEX(Referral,MATCH(A100,Name,0))</f>
        <v>0</v>
      </c>
      <c r="Q100" s="92">
        <f t="array" aca="1" ref="Q100" ca="1">IF(INDEX(NYUAfillType,MATCH(A100,'Key Metrics'!B:B,0))="Other (please specify)",INDEX('Key Metrics'!N:N,MATCH(A100,'Key Metrics'!B:B,0)),INDEX(NYUAfillType,MATCH(A100,'Key Metrics'!B:B,0)))</f>
        <v>0</v>
      </c>
      <c r="R100" s="93" t="str">
        <f t="array" aca="1" ref="R100" ca="1">IF(INDEX('Key Metrics'!Q:Q,MATCH(A100,'Key Metrics'!B:B,0))="No","",INDEX('Key Metrics'!Q:Q,MATCH(A100,'Key Metrics'!B:B,0)))</f>
        <v/>
      </c>
      <c r="S100" s="94" t="str">
        <f t="shared" si="1"/>
        <v>Invite Next Year</v>
      </c>
      <c r="T100" s="95" t="s">
        <v>24</v>
      </c>
      <c r="U100" s="95" t="b">
        <v>0</v>
      </c>
      <c r="V100" s="95" t="b">
        <v>0</v>
      </c>
      <c r="W100" s="95" t="b">
        <v>0</v>
      </c>
      <c r="X100" s="96"/>
      <c r="Y100" s="94" t="str">
        <f t="array" ref="Y100">INDEX('DT Short List'!F:F,MATCH(A100,'DT Short List'!A:A,0))</f>
        <v>Invite Next Year</v>
      </c>
    </row>
    <row r="101" spans="1:25" ht="77" hidden="1">
      <c r="A101" s="97" t="s">
        <v>159</v>
      </c>
      <c r="B101" s="98" t="str">
        <f t="array" ref="B101">INDEX(Interview,MATCH(A101,Name,0))</f>
        <v>Revisit</v>
      </c>
      <c r="C101" s="98" t="str">
        <f t="array" ref="C101">INDEX(Track,MATCH(A101,Name,0))</f>
        <v>Deep Tech</v>
      </c>
      <c r="D101" s="99">
        <f t="array" ref="D101">INDEX(Score,MATCH(A101,Name,0))</f>
        <v>4.25</v>
      </c>
      <c r="E101" s="100">
        <f t="array" aca="1" ref="E101" ca="1">INDEX(Date,MATCH(A101,Name,0))</f>
        <v>44791</v>
      </c>
      <c r="F101" s="98" t="s">
        <v>13319</v>
      </c>
      <c r="G101" s="98" t="s">
        <v>13328</v>
      </c>
      <c r="H101" s="98" t="str">
        <f t="array" aca="1" ref="H101" ca="1">IFERROR(INDEX('2022-2023 Third Reviews'!K:K,MATCH(A101,'2022-2023 Third Reviews'!C:C,0)),"")</f>
        <v>Chris Millisits
3</v>
      </c>
      <c r="I101" s="101" t="s">
        <v>3553</v>
      </c>
      <c r="J101" s="101" t="s">
        <v>10948</v>
      </c>
      <c r="K101" s="101" t="str">
        <f t="array" aca="1" ref="K101" ca="1">IFERROR(INDEX('2022-2023 Third Reviews'!L:L,MATCH(A101,'2022-2023 Third Reviews'!C:C,0)),"")</f>
        <v>Not a novel technology, but founders have exited a similar company before. They have traction. Market size is a question with 30k addressable customers.</v>
      </c>
      <c r="L101" s="102" t="str">
        <f t="array" ref="L101">INDEX(AppNotes,MATCH(A101,Name,0))</f>
        <v>change to DT; continuous white LED light that's safe for humans (similar to UV lighting but not hazardous for people); ideal for hospitals/bathrooms; not exciting but effective; IP well protected; other questions: fund raising questions?</v>
      </c>
      <c r="M101" s="103" t="str">
        <f t="array" aca="1" ref="M101" ca="1">INDEX(Team,MATCH(A101,'Key Metrics'!B:B,0))</f>
        <v>Woman, Woman, Man</v>
      </c>
      <c r="N101" s="99" t="str">
        <f t="array" aca="1" ref="N101" ca="1">IF(INDEX('Key Metrics'!F:F,MATCH(A101,'Key Metrics'!B:B,0))="Woman","Yes","")</f>
        <v>Yes</v>
      </c>
      <c r="O101" s="99" t="str">
        <f t="shared" ca="1" si="0"/>
        <v>Yes</v>
      </c>
      <c r="P101" s="104">
        <f t="array" ref="P101">INDEX(Referral,MATCH(A101,Name,0))</f>
        <v>0</v>
      </c>
      <c r="Q101" s="104" t="str">
        <f t="array" aca="1" ref="Q101" ca="1">IF(INDEX(NYUAfillType,MATCH(A101,'Key Metrics'!B:B,0))="Other (please specify)",INDEX('Key Metrics'!N:N,MATCH(A101,'Key Metrics'!B:B,0)),INDEX(NYUAfillType,MATCH(A101,'Key Metrics'!B:B,0)))</f>
        <v>NYU Staff</v>
      </c>
      <c r="R101" s="105" t="str">
        <f t="array" aca="1" ref="R101" ca="1">IF(INDEX('Key Metrics'!Q:Q,MATCH(A101,'Key Metrics'!B:B,0))="No","",INDEX('Key Metrics'!Q:Q,MATCH(A101,'Key Metrics'!B:B,0)))</f>
        <v/>
      </c>
      <c r="S101" s="106" t="str">
        <f t="shared" si="1"/>
        <v>Invite Next Year</v>
      </c>
      <c r="T101" s="107" t="s">
        <v>24</v>
      </c>
      <c r="U101" s="107" t="b">
        <v>0</v>
      </c>
      <c r="V101" s="107" t="b">
        <v>0</v>
      </c>
      <c r="W101" s="107" t="b">
        <v>0</v>
      </c>
      <c r="X101" s="108"/>
      <c r="Y101" s="106" t="str">
        <f t="array" ref="Y101">INDEX('DT Short List'!F:F,MATCH(A101,'DT Short List'!A:A,0))</f>
        <v>Invite Next Year</v>
      </c>
    </row>
    <row r="102" spans="1:25" ht="22" hidden="1">
      <c r="A102" s="109" t="s">
        <v>160</v>
      </c>
      <c r="B102" s="86" t="str">
        <f t="array" ref="B102">INDEX(Interview,MATCH(A102,Name,0))</f>
        <v>Invite</v>
      </c>
      <c r="C102" s="86" t="str">
        <f t="array" ref="C102">INDEX(Track,MATCH(A102,Name,0))</f>
        <v>Digital Tech</v>
      </c>
      <c r="D102" s="87">
        <f t="array" ref="D102">INDEX(Score,MATCH(A102,Name,0))</f>
        <v>4.25</v>
      </c>
      <c r="E102" s="88">
        <f t="array" aca="1" ref="E102" ca="1">INDEX(Date,MATCH(A102,Name,0))</f>
        <v>44796</v>
      </c>
      <c r="F102" s="86" t="s">
        <v>13347</v>
      </c>
      <c r="G102" s="86" t="s">
        <v>13356</v>
      </c>
      <c r="H102" s="86" t="str">
        <f t="array" ref="H102">IFERROR(INDEX('2022-2023 Third Reviews'!K:K,MATCH(A102,'2022-2023 Third Reviews'!C:C,0)),"")</f>
        <v/>
      </c>
      <c r="I102" s="89" t="s">
        <v>11255</v>
      </c>
      <c r="J102" s="89" t="s">
        <v>481</v>
      </c>
      <c r="K102" s="89" t="str">
        <f t="array" ref="K102">IFERROR(INDEX('2022-2023 Third Reviews'!L:L,MATCH(A102,'2022-2023 Third Reviews'!C:C,0)),"")</f>
        <v/>
      </c>
      <c r="L102" s="90">
        <f t="array" ref="L102">INDEX(AppNotes,MATCH(A102,Name,0))</f>
        <v>0</v>
      </c>
      <c r="M102" s="91" t="str">
        <f t="array" aca="1" ref="M102" ca="1">INDEX(Team,MATCH(A102,'Key Metrics'!B:B,0))</f>
        <v>Man</v>
      </c>
      <c r="N102" s="87" t="str">
        <f t="array" aca="1" ref="N102" ca="1">IF(INDEX('Key Metrics'!F:F,MATCH(A102,'Key Metrics'!B:B,0))="Woman","Yes","")</f>
        <v/>
      </c>
      <c r="O102" s="87" t="str">
        <f t="shared" ca="1" si="0"/>
        <v/>
      </c>
      <c r="P102" s="92">
        <f t="array" ref="P102">INDEX(Referral,MATCH(A102,Name,0))</f>
        <v>0</v>
      </c>
      <c r="Q102" s="92">
        <f t="array" aca="1" ref="Q102" ca="1">IF(INDEX(NYUAfillType,MATCH(A102,'Key Metrics'!B:B,0))="Other (please specify)",INDEX('Key Metrics'!N:N,MATCH(A102,'Key Metrics'!B:B,0)),INDEX(NYUAfillType,MATCH(A102,'Key Metrics'!B:B,0)))</f>
        <v>0</v>
      </c>
      <c r="R102" s="93" t="str">
        <f t="array" aca="1" ref="R102" ca="1">IF(INDEX('Key Metrics'!Q:Q,MATCH(A102,'Key Metrics'!B:B,0))="No","",INDEX('Key Metrics'!Q:Q,MATCH(A102,'Key Metrics'!B:B,0)))</f>
        <v/>
      </c>
      <c r="S102" s="94" t="str">
        <f t="shared" si="1"/>
        <v>Invite</v>
      </c>
      <c r="T102" s="95" t="s">
        <v>18</v>
      </c>
      <c r="U102" s="95" t="b">
        <v>0</v>
      </c>
      <c r="V102" s="95" t="b">
        <v>0</v>
      </c>
      <c r="W102" s="95" t="b">
        <v>0</v>
      </c>
      <c r="X102" s="96"/>
      <c r="Y102" s="94" t="str">
        <f t="array" ref="Y102">INDEX('DiT - 2022-2023 Applications Re'!U:U,MATCH(A102,'DiT - 2022-2023 Applications Re'!B:B,0))</f>
        <v>Invite</v>
      </c>
    </row>
    <row r="103" spans="1:25" ht="28">
      <c r="A103" s="97" t="s">
        <v>161</v>
      </c>
      <c r="B103" s="98" t="str">
        <f t="array" ref="B103">INDEX(Interview,MATCH(A103,Name,0))</f>
        <v>Invite</v>
      </c>
      <c r="C103" s="98" t="str">
        <f t="array" ref="C103">INDEX(Track,MATCH(A103,Name,0))</f>
        <v>Digital Tech</v>
      </c>
      <c r="D103" s="99">
        <f t="array" ref="D103">INDEX(Score,MATCH(A103,Name,0))</f>
        <v>4.25</v>
      </c>
      <c r="E103" s="100">
        <f t="array" aca="1" ref="E103" ca="1">INDEX(Date,MATCH(A103,Name,0))</f>
        <v>44797</v>
      </c>
      <c r="F103" s="98" t="s">
        <v>13347</v>
      </c>
      <c r="G103" s="98" t="s">
        <v>13314</v>
      </c>
      <c r="H103" s="98" t="str">
        <f t="array" ref="H103">IFERROR(INDEX('2022-2023 Third Reviews'!K:K,MATCH(A103,'2022-2023 Third Reviews'!C:C,0)),"")</f>
        <v/>
      </c>
      <c r="I103" s="101" t="s">
        <v>481</v>
      </c>
      <c r="J103" s="101" t="s">
        <v>1080</v>
      </c>
      <c r="K103" s="101" t="str">
        <f t="array" ref="K103">IFERROR(INDEX('2022-2023 Third Reviews'!L:L,MATCH(A103,'2022-2023 Third Reviews'!C:C,0)),"")</f>
        <v/>
      </c>
      <c r="L103" s="102">
        <f t="array" ref="L103">INDEX(AppNotes,MATCH(A103,Name,0))</f>
        <v>0</v>
      </c>
      <c r="M103" s="103" t="str">
        <f t="array" aca="1" ref="M103" ca="1">INDEX(Team,MATCH(A103,'Key Metrics'!B:B,0))</f>
        <v>Man, Man, Woman, Man</v>
      </c>
      <c r="N103" s="99" t="str">
        <f t="array" aca="1" ref="N103" ca="1">IF(INDEX('Key Metrics'!F:F,MATCH(A103,'Key Metrics'!B:B,0))="Woman","Yes","")</f>
        <v/>
      </c>
      <c r="O103" s="99" t="str">
        <f t="shared" ca="1" si="0"/>
        <v>Yes</v>
      </c>
      <c r="P103" s="104">
        <f t="array" ref="P103">INDEX(Referral,MATCH(A103,Name,0))</f>
        <v>0</v>
      </c>
      <c r="Q103" s="104">
        <f t="array" aca="1" ref="Q103" ca="1">IF(INDEX(NYUAfillType,MATCH(A103,'Key Metrics'!B:B,0))="Other (please specify)",INDEX('Key Metrics'!N:N,MATCH(A103,'Key Metrics'!B:B,0)),INDEX(NYUAfillType,MATCH(A103,'Key Metrics'!B:B,0)))</f>
        <v>0</v>
      </c>
      <c r="R103" s="105" t="str">
        <f t="array" aca="1" ref="R103" ca="1">IF(INDEX('Key Metrics'!Q:Q,MATCH(A103,'Key Metrics'!B:B,0))="No","",INDEX('Key Metrics'!Q:Q,MATCH(A103,'Key Metrics'!B:B,0)))</f>
        <v/>
      </c>
      <c r="S103" s="106" t="str">
        <f t="shared" si="1"/>
        <v>Invite</v>
      </c>
      <c r="T103" s="107" t="s">
        <v>18</v>
      </c>
      <c r="U103" s="107" t="b">
        <v>0</v>
      </c>
      <c r="V103" s="107" t="b">
        <v>0</v>
      </c>
      <c r="W103" s="107" t="b">
        <v>0</v>
      </c>
      <c r="X103" s="108"/>
      <c r="Y103" s="106" t="str">
        <f t="array" ref="Y103">INDEX('DiT - 2022-2023 Applications Re'!U:U,MATCH(A103,'DiT - 2022-2023 Applications Re'!B:B,0))</f>
        <v>Invite</v>
      </c>
    </row>
    <row r="104" spans="1:25" ht="33" hidden="1">
      <c r="A104" s="109" t="s">
        <v>162</v>
      </c>
      <c r="B104" s="86" t="str">
        <f t="array" ref="B104">INDEX(Interview,MATCH(A104,Name,0))</f>
        <v>Invite</v>
      </c>
      <c r="C104" s="86" t="str">
        <f t="array" ref="C104">INDEX(Track,MATCH(A104,Name,0))</f>
        <v>Deep Tech</v>
      </c>
      <c r="D104" s="87">
        <f t="array" ref="D104">INDEX(Score,MATCH(A104,Name,0))</f>
        <v>4</v>
      </c>
      <c r="E104" s="88">
        <f t="array" aca="1" ref="E104" ca="1">INDEX(Date,MATCH(A104,Name,0))</f>
        <v>44789</v>
      </c>
      <c r="F104" s="86" t="s">
        <v>13324</v>
      </c>
      <c r="G104" s="86" t="s">
        <v>13318</v>
      </c>
      <c r="H104" s="86" t="str">
        <f t="array" aca="1" ref="H104" ca="1">IFERROR(INDEX('2022-2023 Third Reviews'!K:K,MATCH(A104,'2022-2023 Third Reviews'!C:C,0)),"")</f>
        <v>Chris Millisits
3</v>
      </c>
      <c r="I104" s="89" t="s">
        <v>10803</v>
      </c>
      <c r="J104" s="89" t="s">
        <v>10804</v>
      </c>
      <c r="K104" s="89" t="str">
        <f t="array" aca="1" ref="K104" ca="1">IFERROR(INDEX('2022-2023 Third Reviews'!L:L,MATCH(A104,'2022-2023 Third Reviews'!C:C,0)),"")</f>
        <v>Strong team backgrounds in data science and medicine across the 4 members of the team. Strong traction. But it is hard to build a revolutionary AI/ML solution that truly stands out.</v>
      </c>
      <c r="L104" s="90" t="str">
        <f t="array" ref="L104">INDEX(AppNotes,MATCH(A104,Name,0))</f>
        <v>strong funding and customer base; patented idea; however single application in fruit packaging, is this exciting? what are their next steps or how will they move into a new stage?</v>
      </c>
      <c r="M104" s="91" t="str">
        <f t="array" aca="1" ref="M104" ca="1">INDEX(Team,MATCH(A104,'Key Metrics'!B:B,0))</f>
        <v>Man, Man, Man</v>
      </c>
      <c r="N104" s="87" t="str">
        <f t="array" aca="1" ref="N104" ca="1">IF(INDEX('Key Metrics'!F:F,MATCH(A104,'Key Metrics'!B:B,0))="Woman","Yes","")</f>
        <v/>
      </c>
      <c r="O104" s="87" t="str">
        <f t="shared" ca="1" si="0"/>
        <v/>
      </c>
      <c r="P104" s="92">
        <f t="array" ref="P104">INDEX(Referral,MATCH(A104,Name,0))</f>
        <v>0</v>
      </c>
      <c r="Q104" s="92">
        <f t="array" aca="1" ref="Q104" ca="1">IF(INDEX(NYUAfillType,MATCH(A104,'Key Metrics'!B:B,0))="Other (please specify)",INDEX('Key Metrics'!N:N,MATCH(A104,'Key Metrics'!B:B,0)),INDEX(NYUAfillType,MATCH(A104,'Key Metrics'!B:B,0)))</f>
        <v>0</v>
      </c>
      <c r="R104" s="93" t="str">
        <f t="array" aca="1" ref="R104" ca="1">IF(INDEX('Key Metrics'!Q:Q,MATCH(A104,'Key Metrics'!B:B,0))="No","",INDEX('Key Metrics'!Q:Q,MATCH(A104,'Key Metrics'!B:B,0)))</f>
        <v/>
      </c>
      <c r="S104" s="94" t="str">
        <f t="shared" si="1"/>
        <v>Special Reject</v>
      </c>
      <c r="T104" s="95" t="s">
        <v>23</v>
      </c>
      <c r="U104" s="95" t="b">
        <v>0</v>
      </c>
      <c r="V104" s="95" t="b">
        <v>0</v>
      </c>
      <c r="W104" s="95" t="b">
        <v>0</v>
      </c>
      <c r="X104" s="96"/>
      <c r="Y104" s="94" t="str">
        <f t="array" ref="Y104">INDEX('DT Short List'!F:F,MATCH(A104,'DT Short List'!A:A,0))</f>
        <v>Special Reject</v>
      </c>
    </row>
    <row r="105" spans="1:25" ht="28">
      <c r="A105" s="97" t="s">
        <v>163</v>
      </c>
      <c r="B105" s="98" t="str">
        <f t="array" ref="B105">INDEX(Interview,MATCH(A105,Name,0))</f>
        <v>Invite</v>
      </c>
      <c r="C105" s="98" t="str">
        <f t="array" ref="C105">INDEX(Track,MATCH(A105,Name,0))</f>
        <v>Digital Tech</v>
      </c>
      <c r="D105" s="99">
        <f t="array" ref="D105">INDEX(Score,MATCH(A105,Name,0))</f>
        <v>4.63</v>
      </c>
      <c r="E105" s="100">
        <f t="array" aca="1" ref="E105" ca="1">INDEX(Date,MATCH(A105,Name,0))</f>
        <v>44796</v>
      </c>
      <c r="F105" s="98" t="s">
        <v>13357</v>
      </c>
      <c r="G105" s="98" t="s">
        <v>13358</v>
      </c>
      <c r="H105" s="98" t="str">
        <f t="array" ref="H105">IFERROR(INDEX('2022-2023 Third Reviews'!K:K,MATCH(A105,'2022-2023 Third Reviews'!C:C,0)),"")</f>
        <v/>
      </c>
      <c r="I105" s="101" t="s">
        <v>1086</v>
      </c>
      <c r="J105" s="101" t="s">
        <v>1087</v>
      </c>
      <c r="K105" s="101" t="str">
        <f t="array" ref="K105">IFERROR(INDEX('2022-2023 Third Reviews'!L:L,MATCH(A105,'2022-2023 Third Reviews'!C:C,0)),"")</f>
        <v/>
      </c>
      <c r="L105" s="102">
        <f t="array" ref="L105">INDEX(AppNotes,MATCH(A105,Name,0))</f>
        <v>0</v>
      </c>
      <c r="M105" s="103" t="str">
        <f t="array" aca="1" ref="M105" ca="1">INDEX(Team,MATCH(A105,'Key Metrics'!B:B,0))</f>
        <v>Man, Man, Man, Woman, Man</v>
      </c>
      <c r="N105" s="99" t="str">
        <f t="array" aca="1" ref="N105" ca="1">IF(INDEX('Key Metrics'!F:F,MATCH(A105,'Key Metrics'!B:B,0))="Woman","Yes","")</f>
        <v/>
      </c>
      <c r="O105" s="99" t="str">
        <f t="shared" ca="1" si="0"/>
        <v>Yes</v>
      </c>
      <c r="P105" s="104">
        <f t="array" ref="P105">INDEX(Referral,MATCH(A105,Name,0))</f>
        <v>0</v>
      </c>
      <c r="Q105" s="104">
        <f t="array" aca="1" ref="Q105" ca="1">IF(INDEX(NYUAfillType,MATCH(A105,'Key Metrics'!B:B,0))="Other (please specify)",INDEX('Key Metrics'!N:N,MATCH(A105,'Key Metrics'!B:B,0)),INDEX(NYUAfillType,MATCH(A105,'Key Metrics'!B:B,0)))</f>
        <v>0</v>
      </c>
      <c r="R105" s="105" t="str">
        <f t="array" aca="1" ref="R105" ca="1">IF(INDEX('Key Metrics'!Q:Q,MATCH(A105,'Key Metrics'!B:B,0))="No","",INDEX('Key Metrics'!Q:Q,MATCH(A105,'Key Metrics'!B:B,0)))</f>
        <v>Yes</v>
      </c>
      <c r="S105" s="106" t="str">
        <f t="shared" si="1"/>
        <v>Invite</v>
      </c>
      <c r="T105" s="107" t="s">
        <v>18</v>
      </c>
      <c r="U105" s="107" t="b">
        <v>0</v>
      </c>
      <c r="V105" s="107" t="b">
        <v>1</v>
      </c>
      <c r="W105" s="107" t="b">
        <v>0</v>
      </c>
      <c r="X105" s="108"/>
      <c r="Y105" s="106" t="str">
        <f t="array" ref="Y105">INDEX('DiT - 2022-2023 Applications Re'!U:U,MATCH(A105,'DiT - 2022-2023 Applications Re'!B:B,0))</f>
        <v>Invite</v>
      </c>
    </row>
    <row r="106" spans="1:25" ht="33" hidden="1">
      <c r="A106" s="109" t="s">
        <v>164</v>
      </c>
      <c r="B106" s="86" t="str">
        <f t="array" ref="B106">INDEX(Interview,MATCH(A106,Name,0))</f>
        <v>Revisit/ Cluster</v>
      </c>
      <c r="C106" s="86" t="str">
        <f t="array" ref="C106">INDEX(Track,MATCH(A106,Name,0))</f>
        <v>Deep Tech</v>
      </c>
      <c r="D106" s="87">
        <f t="array" ref="D106">INDEX(Score,MATCH(A106,Name,0))</f>
        <v>2.5</v>
      </c>
      <c r="E106" s="88">
        <f t="array" aca="1" ref="E106" ca="1">INDEX(Date,MATCH(A106,Name,0))</f>
        <v>44782</v>
      </c>
      <c r="F106" s="86" t="s">
        <v>13324</v>
      </c>
      <c r="G106" s="86" t="s">
        <v>13359</v>
      </c>
      <c r="H106" s="86" t="str">
        <f t="array" aca="1" ref="H106" ca="1">IFERROR(INDEX('2022-2023 Third Reviews'!K:K,MATCH(A106,'2022-2023 Third Reviews'!C:C,0)),"")</f>
        <v>Chris Millisits
3</v>
      </c>
      <c r="I106" s="89" t="s">
        <v>11140</v>
      </c>
      <c r="J106" s="89" t="s">
        <v>11141</v>
      </c>
      <c r="K106" s="89" t="str">
        <f t="array" aca="1" ref="K106" ca="1">IFERROR(INDEX('2022-2023 Third Reviews'!L:L,MATCH(A106,'2022-2023 Third Reviews'!C:C,0)),"")</f>
        <v>Good team background for this solution. Working closely with potential customers, but would like to see more validation of the solution. IP protection is questionable. Assumption is that the existing system can be replaced is a large assumption.</v>
      </c>
      <c r="L106" s="90" t="str">
        <f t="array" ref="L106">INDEX(AppNotes,MATCH(A106,Name,0))</f>
        <v>Change to DiT; cluster with other digital health</v>
      </c>
      <c r="M106" s="91" t="str">
        <f t="array" aca="1" ref="M106" ca="1">INDEX(Team,MATCH(A106,'Key Metrics'!B:B,0))</f>
        <v>Man</v>
      </c>
      <c r="N106" s="87" t="str">
        <f t="array" aca="1" ref="N106" ca="1">IF(INDEX('Key Metrics'!F:F,MATCH(A106,'Key Metrics'!B:B,0))="Woman","Yes","")</f>
        <v/>
      </c>
      <c r="O106" s="87" t="str">
        <f t="shared" ca="1" si="0"/>
        <v/>
      </c>
      <c r="P106" s="92">
        <f t="array" ref="P106">INDEX(Referral,MATCH(A106,Name,0))</f>
        <v>0</v>
      </c>
      <c r="Q106" s="92">
        <f t="array" aca="1" ref="Q106" ca="1">IF(INDEX(NYUAfillType,MATCH(A106,'Key Metrics'!B:B,0))="Other (please specify)",INDEX('Key Metrics'!N:N,MATCH(A106,'Key Metrics'!B:B,0)),INDEX(NYUAfillType,MATCH(A106,'Key Metrics'!B:B,0)))</f>
        <v>0</v>
      </c>
      <c r="R106" s="93" t="str">
        <f t="array" aca="1" ref="R106" ca="1">IF(INDEX('Key Metrics'!Q:Q,MATCH(A106,'Key Metrics'!B:B,0))="No","",INDEX('Key Metrics'!Q:Q,MATCH(A106,'Key Metrics'!B:B,0)))</f>
        <v/>
      </c>
      <c r="S106" s="94" t="str">
        <f t="shared" si="1"/>
        <v>Revisit</v>
      </c>
      <c r="T106" s="95" t="s">
        <v>19</v>
      </c>
      <c r="U106" s="95" t="b">
        <v>0</v>
      </c>
      <c r="V106" s="95" t="b">
        <v>0</v>
      </c>
      <c r="W106" s="95" t="b">
        <v>0</v>
      </c>
      <c r="X106" s="96"/>
      <c r="Y106" s="94" t="e">
        <f t="array" ref="Y106">INDEX('DT Short List'!F:F,MATCH(A106,'DT Short List'!A:A,0))</f>
        <v>#N/A</v>
      </c>
    </row>
    <row r="107" spans="1:25" ht="44" hidden="1">
      <c r="A107" s="97" t="s">
        <v>165</v>
      </c>
      <c r="B107" s="98" t="str">
        <f t="array" ref="B107">INDEX(Interview,MATCH(A107,Name,0))</f>
        <v>Invite</v>
      </c>
      <c r="C107" s="98" t="str">
        <f t="array" ref="C107">INDEX(Track,MATCH(A107,Name,0))</f>
        <v>Digital Tech</v>
      </c>
      <c r="D107" s="99">
        <f t="array" ref="D107">INDEX(Score,MATCH(A107,Name,0))</f>
        <v>4.75</v>
      </c>
      <c r="E107" s="100">
        <f t="array" aca="1" ref="E107" ca="1">INDEX(Date,MATCH(A107,Name,0))</f>
        <v>44789</v>
      </c>
      <c r="F107" s="98" t="s">
        <v>13351</v>
      </c>
      <c r="G107" s="98" t="s">
        <v>13360</v>
      </c>
      <c r="H107" s="98" t="str">
        <f t="array" aca="1" ref="H107" ca="1">IFERROR(INDEX('2022-2023 Third Reviews'!K:K,MATCH(A107,'2022-2023 Third Reviews'!C:C,0)),"")</f>
        <v>Chris Millisits
1</v>
      </c>
      <c r="I107" s="101" t="s">
        <v>10249</v>
      </c>
      <c r="J107" s="101" t="s">
        <v>3644</v>
      </c>
      <c r="K107" s="101" t="str">
        <f t="array" aca="1" ref="K107" ca="1">IFERROR(INDEX('2022-2023 Third Reviews'!L:L,MATCH(A107,'2022-2023 Third Reviews'!C:C,0)),"")</f>
        <v>This one was misclassified as Life Sciences. They want to create a social network. As far as I know, that's outside the scope of EFL. Vague application overall, unsure as to what they're building but it's a "better" and "more connected" social media experience.</v>
      </c>
      <c r="L107" s="102" t="str">
        <f t="array" ref="L107">INDEX(AppNotes,MATCH(A107,Name,0))</f>
        <v>unique tech combining event cameras with other cameras; event cameras are new in world of computer vision; not a lot of analytic software out there so far; experienced founders</v>
      </c>
      <c r="M107" s="103" t="str">
        <f t="array" aca="1" ref="M107" ca="1">INDEX(Team,MATCH(A107,'Key Metrics'!B:B,0))</f>
        <v>Man, Man</v>
      </c>
      <c r="N107" s="99" t="str">
        <f t="array" aca="1" ref="N107" ca="1">IF(INDEX('Key Metrics'!F:F,MATCH(A107,'Key Metrics'!B:B,0))="Woman","Yes","")</f>
        <v/>
      </c>
      <c r="O107" s="99" t="str">
        <f t="shared" ca="1" si="0"/>
        <v/>
      </c>
      <c r="P107" s="104">
        <f t="array" ref="P107">INDEX(Referral,MATCH(A107,Name,0))</f>
        <v>0</v>
      </c>
      <c r="Q107" s="104">
        <f t="array" aca="1" ref="Q107" ca="1">IF(INDEX(NYUAfillType,MATCH(A107,'Key Metrics'!B:B,0))="Other (please specify)",INDEX('Key Metrics'!N:N,MATCH(A107,'Key Metrics'!B:B,0)),INDEX(NYUAfillType,MATCH(A107,'Key Metrics'!B:B,0)))</f>
        <v>0</v>
      </c>
      <c r="R107" s="105" t="str">
        <f t="array" aca="1" ref="R107" ca="1">IF(INDEX('Key Metrics'!Q:Q,MATCH(A107,'Key Metrics'!B:B,0))="No","",INDEX('Key Metrics'!Q:Q,MATCH(A107,'Key Metrics'!B:B,0)))</f>
        <v/>
      </c>
      <c r="S107" s="106" t="str">
        <f t="shared" si="1"/>
        <v>Invite Next Year</v>
      </c>
      <c r="T107" s="107" t="s">
        <v>24</v>
      </c>
      <c r="U107" s="107" t="b">
        <v>0</v>
      </c>
      <c r="V107" s="107" t="b">
        <v>0</v>
      </c>
      <c r="W107" s="107" t="b">
        <v>0</v>
      </c>
      <c r="X107" s="108"/>
      <c r="Y107" s="106" t="str">
        <f t="array" ref="Y107">INDEX('DiT - 2022-2023 Applications Re'!U:U,MATCH(A107,'DiT - 2022-2023 Applications Re'!B:B,0))</f>
        <v>Invite Next Year</v>
      </c>
    </row>
    <row r="108" spans="1:25" ht="33" hidden="1">
      <c r="A108" s="109" t="s">
        <v>166</v>
      </c>
      <c r="B108" s="86" t="str">
        <f t="array" ref="B108">INDEX(Interview,MATCH(A108,Name,0))</f>
        <v>Invite</v>
      </c>
      <c r="C108" s="86" t="str">
        <f t="array" ref="C108">INDEX(Track,MATCH(A108,Name,0))</f>
        <v>Digital Tech</v>
      </c>
      <c r="D108" s="87">
        <f t="array" ref="D108">INDEX(Score,MATCH(A108,Name,0))</f>
        <v>4.5</v>
      </c>
      <c r="E108" s="88">
        <f t="array" aca="1" ref="E108" ca="1">INDEX(Date,MATCH(A108,Name,0))</f>
        <v>44797</v>
      </c>
      <c r="F108" s="86" t="s">
        <v>13305</v>
      </c>
      <c r="G108" s="86" t="s">
        <v>13361</v>
      </c>
      <c r="H108" s="86" t="str">
        <f t="array" ref="H108">IFERROR(INDEX('2022-2023 Third Reviews'!K:K,MATCH(A108,'2022-2023 Third Reviews'!C:C,0)),"")</f>
        <v/>
      </c>
      <c r="I108" s="89" t="s">
        <v>11327</v>
      </c>
      <c r="J108" s="89" t="s">
        <v>3652</v>
      </c>
      <c r="K108" s="89" t="str">
        <f t="array" ref="K108">IFERROR(INDEX('2022-2023 Third Reviews'!L:L,MATCH(A108,'2022-2023 Third Reviews'!C:C,0)),"")</f>
        <v/>
      </c>
      <c r="L108" s="90" t="str">
        <f t="array" ref="L108">INDEX(AppNotes,MATCH(A108,Name,0))</f>
        <v>Change to DiT; revenue already; strong team; could be a big idea if it catches on, US does not have this infrastructure yet</v>
      </c>
      <c r="M108" s="91" t="str">
        <f t="array" aca="1" ref="M108" ca="1">INDEX(Team,MATCH(A108,'Key Metrics'!B:B,0))</f>
        <v>Woman, Woman</v>
      </c>
      <c r="N108" s="87" t="str">
        <f t="array" aca="1" ref="N108" ca="1">IF(INDEX('Key Metrics'!F:F,MATCH(A108,'Key Metrics'!B:B,0))="Woman","Yes","")</f>
        <v>Yes</v>
      </c>
      <c r="O108" s="87" t="str">
        <f t="shared" ca="1" si="0"/>
        <v>Yes</v>
      </c>
      <c r="P108" s="92">
        <f t="array" ref="P108">INDEX(Referral,MATCH(A108,Name,0))</f>
        <v>0</v>
      </c>
      <c r="Q108" s="92">
        <f t="array" aca="1" ref="Q108" ca="1">IF(INDEX(NYUAfillType,MATCH(A108,'Key Metrics'!B:B,0))="Other (please specify)",INDEX('Key Metrics'!N:N,MATCH(A108,'Key Metrics'!B:B,0)),INDEX(NYUAfillType,MATCH(A108,'Key Metrics'!B:B,0)))</f>
        <v>0</v>
      </c>
      <c r="R108" s="93" t="str">
        <f t="array" aca="1" ref="R108" ca="1">IF(INDEX('Key Metrics'!Q:Q,MATCH(A108,'Key Metrics'!B:B,0))="No","",INDEX('Key Metrics'!Q:Q,MATCH(A108,'Key Metrics'!B:B,0)))</f>
        <v/>
      </c>
      <c r="S108" s="94" t="str">
        <f t="shared" si="1"/>
        <v>WaitList</v>
      </c>
      <c r="T108" s="95" t="s">
        <v>22</v>
      </c>
      <c r="U108" s="95" t="b">
        <v>0</v>
      </c>
      <c r="V108" s="95" t="b">
        <v>0</v>
      </c>
      <c r="W108" s="95" t="b">
        <v>0</v>
      </c>
      <c r="X108" s="96"/>
      <c r="Y108" s="94" t="str">
        <f t="array" ref="Y108">INDEX('DiT - 2022-2023 Applications Re'!U:U,MATCH(A108,'DiT - 2022-2023 Applications Re'!B:B,0))</f>
        <v>Waitlist</v>
      </c>
    </row>
    <row r="109" spans="1:25" ht="33">
      <c r="A109" s="97" t="s">
        <v>167</v>
      </c>
      <c r="B109" s="98" t="str">
        <f t="array" ref="B109">INDEX(Interview,MATCH(A109,Name,0))</f>
        <v>Invite</v>
      </c>
      <c r="C109" s="98" t="str">
        <f t="array" ref="C109">INDEX(Track,MATCH(A109,Name,0))</f>
        <v>Digital Tech</v>
      </c>
      <c r="D109" s="99">
        <f t="array" ref="D109">INDEX(Score,MATCH(A109,Name,0))</f>
        <v>4.5</v>
      </c>
      <c r="E109" s="100">
        <f t="array" aca="1" ref="E109" ca="1">INDEX(Date,MATCH(A109,Name,0))</f>
        <v>44784</v>
      </c>
      <c r="F109" s="98" t="s">
        <v>13362</v>
      </c>
      <c r="G109" s="98" t="s">
        <v>13349</v>
      </c>
      <c r="H109" s="98" t="str">
        <f t="array" aca="1" ref="H109" ca="1">IFERROR(INDEX('2022-2023 Third Reviews'!K:K,MATCH(A109,'2022-2023 Third Reviews'!C:C,0)),"")</f>
        <v>John McDonald
5</v>
      </c>
      <c r="I109" s="101" t="s">
        <v>10760</v>
      </c>
      <c r="J109" s="101" t="s">
        <v>1095</v>
      </c>
      <c r="K109" s="101" t="str">
        <f t="array" aca="1" ref="K109" ca="1">IFERROR(INDEX('2022-2023 Third Reviews'!L:L,MATCH(A109,'2022-2023 Third Reviews'!C:C,0)),"")</f>
        <v>Looks like a great company, with experienced management team of Doctors, millions of USD raised, actual recorded revenue, and hope to see them in the program.</v>
      </c>
      <c r="L109" s="102">
        <f t="array" ref="L109">INDEX(AppNotes,MATCH(A109,Name,0))</f>
        <v>0</v>
      </c>
      <c r="M109" s="103" t="str">
        <f t="array" aca="1" ref="M109" ca="1">INDEX(Team,MATCH(A109,'Key Metrics'!B:B,0))</f>
        <v>Man, Man, Woman</v>
      </c>
      <c r="N109" s="99" t="str">
        <f t="array" aca="1" ref="N109" ca="1">IF(INDEX('Key Metrics'!F:F,MATCH(A109,'Key Metrics'!B:B,0))="Woman","Yes","")</f>
        <v/>
      </c>
      <c r="O109" s="99" t="str">
        <f t="shared" ca="1" si="0"/>
        <v>Yes</v>
      </c>
      <c r="P109" s="104" t="str">
        <f t="array" ref="P109">INDEX(Referral,MATCH(A109,Name,0))</f>
        <v>Daniel Lubin</v>
      </c>
      <c r="Q109" s="104">
        <f t="array" aca="1" ref="Q109" ca="1">IF(INDEX(NYUAfillType,MATCH(A109,'Key Metrics'!B:B,0))="Other (please specify)",INDEX('Key Metrics'!N:N,MATCH(A109,'Key Metrics'!B:B,0)),INDEX(NYUAfillType,MATCH(A109,'Key Metrics'!B:B,0)))</f>
        <v>0</v>
      </c>
      <c r="R109" s="105" t="str">
        <f t="array" aca="1" ref="R109" ca="1">IF(INDEX('Key Metrics'!Q:Q,MATCH(A109,'Key Metrics'!B:B,0))="No","",INDEX('Key Metrics'!Q:Q,MATCH(A109,'Key Metrics'!B:B,0)))</f>
        <v/>
      </c>
      <c r="S109" s="106" t="str">
        <f t="shared" si="1"/>
        <v>Invite</v>
      </c>
      <c r="T109" s="107" t="s">
        <v>18</v>
      </c>
      <c r="U109" s="107" t="b">
        <v>0</v>
      </c>
      <c r="V109" s="107" t="b">
        <v>0</v>
      </c>
      <c r="W109" s="107" t="b">
        <v>0</v>
      </c>
      <c r="X109" s="108"/>
      <c r="Y109" s="106" t="str">
        <f t="array" ref="Y109">INDEX('DiT - 2022-2023 Applications Re'!U:U,MATCH(A109,'DiT - 2022-2023 Applications Re'!B:B,0))</f>
        <v>Invite</v>
      </c>
    </row>
    <row r="110" spans="1:25" ht="22" hidden="1">
      <c r="A110" s="109" t="s">
        <v>168</v>
      </c>
      <c r="B110" s="86" t="str">
        <f t="array" ref="B110">INDEX(Interview,MATCH(A110,Name,0))</f>
        <v>Revisit/ Cluster</v>
      </c>
      <c r="C110" s="86" t="str">
        <f t="array" ref="C110">INDEX(Track,MATCH(A110,Name,0))</f>
        <v>Digital Tech</v>
      </c>
      <c r="D110" s="87">
        <f t="array" ref="D110">INDEX(Score,MATCH(A110,Name,0))</f>
        <v>4.25</v>
      </c>
      <c r="E110" s="88">
        <f t="array" aca="1" ref="E110" ca="1">INDEX(Date,MATCH(A110,Name,0))</f>
        <v>44796</v>
      </c>
      <c r="F110" s="86" t="s">
        <v>13363</v>
      </c>
      <c r="G110" s="86" t="s">
        <v>13350</v>
      </c>
      <c r="H110" s="86" t="str">
        <f t="array" ref="H110">IFERROR(INDEX('2022-2023 Third Reviews'!K:K,MATCH(A110,'2022-2023 Third Reviews'!C:C,0)),"")</f>
        <v/>
      </c>
      <c r="I110" s="89" t="s">
        <v>11275</v>
      </c>
      <c r="J110" s="89" t="s">
        <v>3661</v>
      </c>
      <c r="K110" s="89" t="str">
        <f t="array" ref="K110">IFERROR(INDEX('2022-2023 Third Reviews'!L:L,MATCH(A110,'2022-2023 Third Reviews'!C:C,0)),"")</f>
        <v/>
      </c>
      <c r="L110" s="90" t="str">
        <f t="array" ref="L110">INDEX(AppNotes,MATCH(A110,Name,0))</f>
        <v>score disrepency</v>
      </c>
      <c r="M110" s="91" t="str">
        <f t="array" aca="1" ref="M110" ca="1">INDEX(Team,MATCH(A110,'Key Metrics'!B:B,0))</f>
        <v>Man</v>
      </c>
      <c r="N110" s="87" t="str">
        <f t="array" aca="1" ref="N110" ca="1">IF(INDEX('Key Metrics'!F:F,MATCH(A110,'Key Metrics'!B:B,0))="Woman","Yes","")</f>
        <v/>
      </c>
      <c r="O110" s="87" t="str">
        <f t="shared" ca="1" si="0"/>
        <v/>
      </c>
      <c r="P110" s="92">
        <f t="array" ref="P110">INDEX(Referral,MATCH(A110,Name,0))</f>
        <v>0</v>
      </c>
      <c r="Q110" s="92">
        <f t="array" aca="1" ref="Q110" ca="1">IF(INDEX(NYUAfillType,MATCH(A110,'Key Metrics'!B:B,0))="Other (please specify)",INDEX('Key Metrics'!N:N,MATCH(A110,'Key Metrics'!B:B,0)),INDEX(NYUAfillType,MATCH(A110,'Key Metrics'!B:B,0)))</f>
        <v>0</v>
      </c>
      <c r="R110" s="93" t="str">
        <f t="array" aca="1" ref="R110" ca="1">IF(INDEX('Key Metrics'!Q:Q,MATCH(A110,'Key Metrics'!B:B,0))="No","",INDEX('Key Metrics'!Q:Q,MATCH(A110,'Key Metrics'!B:B,0)))</f>
        <v/>
      </c>
      <c r="S110" s="94" t="str">
        <f t="shared" si="1"/>
        <v>Invite Next Year</v>
      </c>
      <c r="T110" s="95" t="s">
        <v>24</v>
      </c>
      <c r="U110" s="95" t="b">
        <v>0</v>
      </c>
      <c r="V110" s="95" t="b">
        <v>0</v>
      </c>
      <c r="W110" s="95" t="b">
        <v>0</v>
      </c>
      <c r="X110" s="96"/>
      <c r="Y110" s="94" t="str">
        <f t="array" ref="Y110">INDEX('DiT - 2022-2023 Applications Re'!U:U,MATCH(A110,'DiT - 2022-2023 Applications Re'!B:B,0))</f>
        <v>Invite Next Year</v>
      </c>
    </row>
    <row r="111" spans="1:25" ht="33" hidden="1">
      <c r="A111" s="97" t="s">
        <v>169</v>
      </c>
      <c r="B111" s="98" t="str">
        <f t="array" ref="B111">INDEX(Interview,MATCH(A111,Name,0))</f>
        <v>Invite</v>
      </c>
      <c r="C111" s="98" t="str">
        <f t="array" ref="C111">INDEX(Track,MATCH(A111,Name,0))</f>
        <v>Digital Tech</v>
      </c>
      <c r="D111" s="99">
        <f t="array" ref="D111">INDEX(Score,MATCH(A111,Name,0))</f>
        <v>4.25</v>
      </c>
      <c r="E111" s="100">
        <f t="array" aca="1" ref="E111" ca="1">INDEX(Date,MATCH(A111,Name,0))</f>
        <v>44796</v>
      </c>
      <c r="F111" s="98" t="s">
        <v>13347</v>
      </c>
      <c r="G111" s="98" t="s">
        <v>13364</v>
      </c>
      <c r="H111" s="98" t="str">
        <f t="array" ref="H111">IFERROR(INDEX('2022-2023 Third Reviews'!K:K,MATCH(A111,'2022-2023 Third Reviews'!C:C,0)),"")</f>
        <v/>
      </c>
      <c r="I111" s="101" t="s">
        <v>10620</v>
      </c>
      <c r="J111" s="101" t="s">
        <v>10621</v>
      </c>
      <c r="K111" s="101" t="str">
        <f t="array" ref="K111">IFERROR(INDEX('2022-2023 Third Reviews'!L:L,MATCH(A111,'2022-2023 Third Reviews'!C:C,0)),"")</f>
        <v/>
      </c>
      <c r="L111" s="102">
        <f t="array" ref="L111">INDEX(AppNotes,MATCH(A111,Name,0))</f>
        <v>0</v>
      </c>
      <c r="M111" s="103" t="str">
        <f t="array" aca="1" ref="M111" ca="1">INDEX(Team,MATCH(A111,'Key Metrics'!B:B,0))</f>
        <v>Man</v>
      </c>
      <c r="N111" s="99" t="str">
        <f t="array" aca="1" ref="N111" ca="1">IF(INDEX('Key Metrics'!F:F,MATCH(A111,'Key Metrics'!B:B,0))="Woman","Yes","")</f>
        <v/>
      </c>
      <c r="O111" s="99" t="str">
        <f t="shared" ca="1" si="0"/>
        <v/>
      </c>
      <c r="P111" s="104">
        <f t="array" ref="P111">INDEX(Referral,MATCH(A111,Name,0))</f>
        <v>0</v>
      </c>
      <c r="Q111" s="104">
        <f t="array" aca="1" ref="Q111" ca="1">IF(INDEX(NYUAfillType,MATCH(A111,'Key Metrics'!B:B,0))="Other (please specify)",INDEX('Key Metrics'!N:N,MATCH(A111,'Key Metrics'!B:B,0)),INDEX(NYUAfillType,MATCH(A111,'Key Metrics'!B:B,0)))</f>
        <v>0</v>
      </c>
      <c r="R111" s="105" t="str">
        <f t="array" aca="1" ref="R111" ca="1">IF(INDEX('Key Metrics'!Q:Q,MATCH(A111,'Key Metrics'!B:B,0))="No","",INDEX('Key Metrics'!Q:Q,MATCH(A111,'Key Metrics'!B:B,0)))</f>
        <v/>
      </c>
      <c r="S111" s="106" t="str">
        <f t="shared" si="1"/>
        <v>Invite Next Year</v>
      </c>
      <c r="T111" s="107" t="s">
        <v>24</v>
      </c>
      <c r="U111" s="107" t="b">
        <v>0</v>
      </c>
      <c r="V111" s="107" t="b">
        <v>0</v>
      </c>
      <c r="W111" s="107" t="b">
        <v>0</v>
      </c>
      <c r="X111" s="108"/>
      <c r="Y111" s="106" t="str">
        <f t="array" ref="Y111">INDEX('DiT - 2022-2023 Applications Re'!U:U,MATCH(A111,'DiT - 2022-2023 Applications Re'!B:B,0))</f>
        <v>Invite Next Year</v>
      </c>
    </row>
    <row r="112" spans="1:25" ht="28" hidden="1">
      <c r="A112" s="109" t="s">
        <v>170</v>
      </c>
      <c r="B112" s="86" t="str">
        <f t="array" ref="B112">INDEX(Interview,MATCH(A112,Name,0))</f>
        <v>Invite</v>
      </c>
      <c r="C112" s="86" t="str">
        <f t="array" ref="C112">INDEX(Track,MATCH(A112,Name,0))</f>
        <v>Digital Tech</v>
      </c>
      <c r="D112" s="87">
        <f t="array" ref="D112">INDEX(Score,MATCH(A112,Name,0))</f>
        <v>4.25</v>
      </c>
      <c r="E112" s="88">
        <f t="array" aca="1" ref="E112" ca="1">INDEX(Date,MATCH(A112,Name,0))</f>
        <v>44797</v>
      </c>
      <c r="F112" s="86" t="s">
        <v>13347</v>
      </c>
      <c r="G112" s="86" t="s">
        <v>13314</v>
      </c>
      <c r="H112" s="86" t="str">
        <f t="array" ref="H112">IFERROR(INDEX('2022-2023 Third Reviews'!K:K,MATCH(A112,'2022-2023 Third Reviews'!C:C,0)),"")</f>
        <v/>
      </c>
      <c r="I112" s="89" t="s">
        <v>481</v>
      </c>
      <c r="J112" s="89" t="s">
        <v>1102</v>
      </c>
      <c r="K112" s="89" t="str">
        <f t="array" ref="K112">IFERROR(INDEX('2022-2023 Third Reviews'!L:L,MATCH(A112,'2022-2023 Third Reviews'!C:C,0)),"")</f>
        <v/>
      </c>
      <c r="L112" s="90">
        <f t="array" ref="L112">INDEX(AppNotes,MATCH(A112,Name,0))</f>
        <v>0</v>
      </c>
      <c r="M112" s="91" t="str">
        <f t="array" aca="1" ref="M112" ca="1">INDEX(Team,MATCH(A112,'Key Metrics'!B:B,0))</f>
        <v>Man, Man, Man, Man</v>
      </c>
      <c r="N112" s="87" t="str">
        <f t="array" aca="1" ref="N112" ca="1">IF(INDEX('Key Metrics'!F:F,MATCH(A112,'Key Metrics'!B:B,0))="Woman","Yes","")</f>
        <v/>
      </c>
      <c r="O112" s="87" t="str">
        <f t="shared" ca="1" si="0"/>
        <v/>
      </c>
      <c r="P112" s="92">
        <f t="array" ref="P112">INDEX(Referral,MATCH(A112,Name,0))</f>
        <v>0</v>
      </c>
      <c r="Q112" s="92">
        <f t="array" aca="1" ref="Q112" ca="1">IF(INDEX(NYUAfillType,MATCH(A112,'Key Metrics'!B:B,0))="Other (please specify)",INDEX('Key Metrics'!N:N,MATCH(A112,'Key Metrics'!B:B,0)),INDEX(NYUAfillType,MATCH(A112,'Key Metrics'!B:B,0)))</f>
        <v>0</v>
      </c>
      <c r="R112" s="93" t="str">
        <f t="array" aca="1" ref="R112" ca="1">IF(INDEX('Key Metrics'!Q:Q,MATCH(A112,'Key Metrics'!B:B,0))="No","",INDEX('Key Metrics'!Q:Q,MATCH(A112,'Key Metrics'!B:B,0)))</f>
        <v/>
      </c>
      <c r="S112" s="94" t="str">
        <f t="shared" si="1"/>
        <v>Invite</v>
      </c>
      <c r="T112" s="95" t="s">
        <v>18</v>
      </c>
      <c r="U112" s="95" t="b">
        <v>0</v>
      </c>
      <c r="V112" s="95" t="b">
        <v>0</v>
      </c>
      <c r="W112" s="95" t="b">
        <v>0</v>
      </c>
      <c r="X112" s="96"/>
      <c r="Y112" s="94" t="str">
        <f t="array" ref="Y112">INDEX('DiT - 2022-2023 Applications Re'!U:U,MATCH(A112,'DiT - 2022-2023 Applications Re'!B:B,0))</f>
        <v>Invite</v>
      </c>
    </row>
    <row r="113" spans="1:25" ht="55" hidden="1">
      <c r="A113" s="97" t="s">
        <v>171</v>
      </c>
      <c r="B113" s="98" t="str">
        <f t="array" ref="B113">INDEX(Interview,MATCH(A113,Name,0))</f>
        <v>Invite</v>
      </c>
      <c r="C113" s="98" t="str">
        <f t="array" ref="C113">INDEX(Track,MATCH(A113,Name,0))</f>
        <v>Digital Tech</v>
      </c>
      <c r="D113" s="99">
        <f t="array" ref="D113">INDEX(Score,MATCH(A113,Name,0))</f>
        <v>4.25</v>
      </c>
      <c r="E113" s="100">
        <f t="array" aca="1" ref="E113" ca="1">INDEX(Date,MATCH(A113,Name,0))</f>
        <v>44784</v>
      </c>
      <c r="F113" s="98" t="s">
        <v>13319</v>
      </c>
      <c r="G113" s="98" t="s">
        <v>13328</v>
      </c>
      <c r="H113" s="98" t="str">
        <f t="array" aca="1" ref="H113" ca="1">IFERROR(INDEX('2022-2023 Third Reviews'!K:K,MATCH(A113,'2022-2023 Third Reviews'!C:C,0)),"")</f>
        <v>Nick Schmandt
3</v>
      </c>
      <c r="I113" s="101" t="s">
        <v>3677</v>
      </c>
      <c r="J113" s="101" t="s">
        <v>3678</v>
      </c>
      <c r="K113" s="101" t="str">
        <f t="array" aca="1" ref="K113" ca="1">IFERROR(INDEX('2022-2023 Third Reviews'!L:L,MATCH(A113,'2022-2023 Third Reviews'!C:C,0)),"")</f>
        <v>I want to rank these guys higher, it's a very sexy product with potentially massive returns, but my biggest issue is that it's not clear what stage the product is in, if it's finished or when it will be finished, and how they will prove it works. It's possible it ultimately fails, though they could presumably simply adjust the software, but that will take time and they don't seem to have thought about that. They may not have enough funds to get the product to market.</v>
      </c>
      <c r="L113" s="102" t="str">
        <f t="array" ref="L113">INDEX(AppNotes,MATCH(A113,Name,0))</f>
        <v>Change to DiT; using exec function training in a game-ified app; tech is based on research but does not have patient study yet; referred by IndieBio;</v>
      </c>
      <c r="M113" s="103" t="str">
        <f t="array" aca="1" ref="M113" ca="1">INDEX(Team,MATCH(A113,'Key Metrics'!B:B,0))</f>
        <v>Man, Man, Man</v>
      </c>
      <c r="N113" s="99" t="str">
        <f t="array" aca="1" ref="N113" ca="1">IF(INDEX('Key Metrics'!F:F,MATCH(A113,'Key Metrics'!B:B,0))="Woman","Yes","")</f>
        <v/>
      </c>
      <c r="O113" s="99" t="str">
        <f t="shared" ca="1" si="0"/>
        <v/>
      </c>
      <c r="P113" s="104" t="str">
        <f t="array" ref="P113">INDEX(Referral,MATCH(A113,Name,0))</f>
        <v>IndieBio Ny</v>
      </c>
      <c r="Q113" s="104">
        <f t="array" aca="1" ref="Q113" ca="1">IF(INDEX(NYUAfillType,MATCH(A113,'Key Metrics'!B:B,0))="Other (please specify)",INDEX('Key Metrics'!N:N,MATCH(A113,'Key Metrics'!B:B,0)),INDEX(NYUAfillType,MATCH(A113,'Key Metrics'!B:B,0)))</f>
        <v>0</v>
      </c>
      <c r="R113" s="105" t="str">
        <f t="array" aca="1" ref="R113" ca="1">IF(INDEX('Key Metrics'!Q:Q,MATCH(A113,'Key Metrics'!B:B,0))="No","",INDEX('Key Metrics'!Q:Q,MATCH(A113,'Key Metrics'!B:B,0)))</f>
        <v/>
      </c>
      <c r="S113" s="106" t="str">
        <f t="shared" si="1"/>
        <v>Invite Next Year</v>
      </c>
      <c r="T113" s="107" t="s">
        <v>24</v>
      </c>
      <c r="U113" s="107" t="b">
        <v>0</v>
      </c>
      <c r="V113" s="107" t="b">
        <v>0</v>
      </c>
      <c r="W113" s="107" t="b">
        <v>0</v>
      </c>
      <c r="X113" s="108"/>
      <c r="Y113" s="106" t="str">
        <f t="array" ref="Y113">INDEX('DiT - 2022-2023 Applications Re'!U:U,MATCH(A113,'DiT - 2022-2023 Applications Re'!B:B,0))</f>
        <v>Invite Next Year</v>
      </c>
    </row>
    <row r="114" spans="1:25" ht="44">
      <c r="A114" s="109" t="s">
        <v>172</v>
      </c>
      <c r="B114" s="86" t="str">
        <f t="array" ref="B114">INDEX(Interview,MATCH(A114,Name,0))</f>
        <v>Invite</v>
      </c>
      <c r="C114" s="86" t="str">
        <f t="array" ref="C114">INDEX(Track,MATCH(A114,Name,0))</f>
        <v>Digital Tech</v>
      </c>
      <c r="D114" s="87">
        <f t="array" ref="D114">INDEX(Score,MATCH(A114,Name,0))</f>
        <v>4.5</v>
      </c>
      <c r="E114" s="88">
        <f t="array" aca="1" ref="E114" ca="1">INDEX(Date,MATCH(A114,Name,0))</f>
        <v>44776</v>
      </c>
      <c r="F114" s="86" t="s">
        <v>13341</v>
      </c>
      <c r="G114" s="86" t="s">
        <v>13351</v>
      </c>
      <c r="H114" s="86" t="str">
        <f t="array" aca="1" ref="H114" ca="1">IFERROR(INDEX('2022-2023 Third Reviews'!K:K,MATCH(A114,'2022-2023 Third Reviews'!C:C,0)),"")</f>
        <v>John McDonald
4</v>
      </c>
      <c r="I114" s="89" t="s">
        <v>1109</v>
      </c>
      <c r="J114" s="89" t="s">
        <v>1110</v>
      </c>
      <c r="K114" s="89">
        <f t="array" aca="1" ref="K114" ca="1">IFERROR(INDEX('2022-2023 Third Reviews'!L:L,MATCH(A114,'2022-2023 Third Reviews'!C:C,0)),"")</f>
        <v>0</v>
      </c>
      <c r="L114" s="90" t="str">
        <f t="array" ref="L114">INDEX(AppNotes,MATCH(A114,Name,0))</f>
        <v>Need to better understand how they tapped into the insurance market</v>
      </c>
      <c r="M114" s="91" t="str">
        <f t="array" aca="1" ref="M114" ca="1">INDEX(Team,MATCH(A114,'Key Metrics'!B:B,0))</f>
        <v>Woman, Man, Woman, Woman</v>
      </c>
      <c r="N114" s="87" t="str">
        <f t="array" aca="1" ref="N114" ca="1">IF(INDEX('Key Metrics'!F:F,MATCH(A114,'Key Metrics'!B:B,0))="Woman","Yes","")</f>
        <v>Yes</v>
      </c>
      <c r="O114" s="87" t="str">
        <f t="shared" ca="1" si="0"/>
        <v>Yes</v>
      </c>
      <c r="P114" s="92">
        <f t="array" ref="P114">INDEX(Referral,MATCH(A114,Name,0))</f>
        <v>0</v>
      </c>
      <c r="Q114" s="92">
        <f t="array" aca="1" ref="Q114" ca="1">IF(INDEX(NYUAfillType,MATCH(A114,'Key Metrics'!B:B,0))="Other (please specify)",INDEX('Key Metrics'!N:N,MATCH(A114,'Key Metrics'!B:B,0)),INDEX(NYUAfillType,MATCH(A114,'Key Metrics'!B:B,0)))</f>
        <v>0</v>
      </c>
      <c r="R114" s="93" t="str">
        <f t="array" aca="1" ref="R114" ca="1">IF(INDEX('Key Metrics'!Q:Q,MATCH(A114,'Key Metrics'!B:B,0))="No","",INDEX('Key Metrics'!Q:Q,MATCH(A114,'Key Metrics'!B:B,0)))</f>
        <v/>
      </c>
      <c r="S114" s="94" t="str">
        <f t="shared" si="1"/>
        <v>Invite</v>
      </c>
      <c r="T114" s="95" t="s">
        <v>18</v>
      </c>
      <c r="U114" s="95" t="b">
        <v>0</v>
      </c>
      <c r="V114" s="95" t="b">
        <v>0</v>
      </c>
      <c r="W114" s="95" t="b">
        <v>0</v>
      </c>
      <c r="X114" s="96"/>
      <c r="Y114" s="94" t="str">
        <f t="array" ref="Y114">INDEX('DiT - 2022-2023 Applications Re'!U:U,MATCH(A114,'DiT - 2022-2023 Applications Re'!B:B,0))</f>
        <v>Invite</v>
      </c>
    </row>
    <row r="115" spans="1:25" ht="44" hidden="1">
      <c r="A115" s="97" t="s">
        <v>173</v>
      </c>
      <c r="B115" s="98" t="str">
        <f t="array" ref="B115">INDEX(Interview,MATCH(A115,Name,0))</f>
        <v>Invite</v>
      </c>
      <c r="C115" s="98" t="str">
        <f t="array" ref="C115">INDEX(Track,MATCH(A115,Name,0))</f>
        <v>Digital Tech</v>
      </c>
      <c r="D115" s="99">
        <f t="array" ref="D115">INDEX(Score,MATCH(A115,Name,0))</f>
        <v>4.25</v>
      </c>
      <c r="E115" s="100">
        <f t="array" aca="1" ref="E115" ca="1">INDEX(Date,MATCH(A115,Name,0))</f>
        <v>44782</v>
      </c>
      <c r="F115" s="98" t="s">
        <v>13327</v>
      </c>
      <c r="G115" s="98" t="s">
        <v>13314</v>
      </c>
      <c r="H115" s="98" t="str">
        <f t="array" aca="1" ref="H115" ca="1">IFERROR(INDEX('2022-2023 Third Reviews'!K:K,MATCH(A115,'2022-2023 Third Reviews'!C:C,0)),"")</f>
        <v>Nick Schmandt
4</v>
      </c>
      <c r="I115" s="101" t="s">
        <v>1127</v>
      </c>
      <c r="J115" s="101" t="s">
        <v>1128</v>
      </c>
      <c r="K115" s="101" t="str">
        <f t="array" aca="1" ref="K115" ca="1">IFERROR(INDEX('2022-2023 Third Reviews'!L:L,MATCH(A115,'2022-2023 Third Reviews'!C:C,0)),"")</f>
        <v>While this is a great idea with a huge addressable market, it is not at all novel and there are many very strong competitors. The competitive edge appears to be their focus on logistics, but it's not clear to me how much of an edge they really have.</v>
      </c>
      <c r="L115" s="102" t="str">
        <f t="array" ref="L115">INDEX(AppNotes,MATCH(A115,Name,0))</f>
        <v>change to DiT; SaaS for patient data for forecasting and prediction. Contract with big LexusNexus currently; team has run companies before. good idea for Healthcare analytics</v>
      </c>
      <c r="M115" s="103" t="str">
        <f t="array" aca="1" ref="M115" ca="1">INDEX(Team,MATCH(A115,'Key Metrics'!B:B,0))</f>
        <v>Man, Man</v>
      </c>
      <c r="N115" s="99" t="str">
        <f t="array" aca="1" ref="N115" ca="1">IF(INDEX('Key Metrics'!F:F,MATCH(A115,'Key Metrics'!B:B,0))="Woman","Yes","")</f>
        <v/>
      </c>
      <c r="O115" s="99" t="str">
        <f t="shared" ca="1" si="0"/>
        <v/>
      </c>
      <c r="P115" s="104">
        <f t="array" ref="P115">INDEX(Referral,MATCH(A115,Name,0))</f>
        <v>0</v>
      </c>
      <c r="Q115" s="104">
        <f t="array" aca="1" ref="Q115" ca="1">IF(INDEX(NYUAfillType,MATCH(A115,'Key Metrics'!B:B,0))="Other (please specify)",INDEX('Key Metrics'!N:N,MATCH(A115,'Key Metrics'!B:B,0)),INDEX(NYUAfillType,MATCH(A115,'Key Metrics'!B:B,0)))</f>
        <v>0</v>
      </c>
      <c r="R115" s="105" t="str">
        <f t="array" aca="1" ref="R115" ca="1">IF(INDEX('Key Metrics'!Q:Q,MATCH(A115,'Key Metrics'!B:B,0))="No","",INDEX('Key Metrics'!Q:Q,MATCH(A115,'Key Metrics'!B:B,0)))</f>
        <v/>
      </c>
      <c r="S115" s="106" t="str">
        <f t="shared" si="1"/>
        <v>Invite</v>
      </c>
      <c r="T115" s="107" t="s">
        <v>18</v>
      </c>
      <c r="U115" s="107" t="b">
        <v>0</v>
      </c>
      <c r="V115" s="107" t="b">
        <v>0</v>
      </c>
      <c r="W115" s="107" t="b">
        <v>0</v>
      </c>
      <c r="X115" s="108"/>
      <c r="Y115" s="106" t="str">
        <f t="array" ref="Y115">INDEX('DiT - 2022-2023 Applications Re'!U:U,MATCH(A115,'DiT - 2022-2023 Applications Re'!B:B,0))</f>
        <v>Invite</v>
      </c>
    </row>
    <row r="116" spans="1:25" ht="33" hidden="1">
      <c r="A116" s="109" t="s">
        <v>174</v>
      </c>
      <c r="B116" s="86" t="str">
        <f t="array" ref="B116">INDEX(Interview,MATCH(A116,Name,0))</f>
        <v>Invite</v>
      </c>
      <c r="C116" s="86" t="str">
        <f t="array" ref="C116">INDEX(Track,MATCH(A116,Name,0))</f>
        <v>Digital Tech</v>
      </c>
      <c r="D116" s="87">
        <f t="array" ref="D116">INDEX(Score,MATCH(A116,Name,0))</f>
        <v>4.25</v>
      </c>
      <c r="E116" s="88">
        <f t="array" aca="1" ref="E116" ca="1">INDEX(Date,MATCH(A116,Name,0))</f>
        <v>44796</v>
      </c>
      <c r="F116" s="86" t="s">
        <v>13365</v>
      </c>
      <c r="G116" s="86" t="s">
        <v>13366</v>
      </c>
      <c r="H116" s="86" t="str">
        <f t="array" aca="1" ref="H116" ca="1">IFERROR(INDEX('2022-2023 Third Reviews'!K:K,MATCH(A116,'2022-2023 Third Reviews'!C:C,0)),"")</f>
        <v>John McDonald
2</v>
      </c>
      <c r="I116" s="89" t="s">
        <v>3687</v>
      </c>
      <c r="J116" s="89" t="s">
        <v>3688</v>
      </c>
      <c r="K116" s="89">
        <f t="array" aca="1" ref="K116" ca="1">IFERROR(INDEX('2022-2023 Third Reviews'!L:L,MATCH(A116,'2022-2023 Third Reviews'!C:C,0)),"")</f>
        <v>0</v>
      </c>
      <c r="L116" s="90" t="str">
        <f t="array" ref="L116">INDEX(AppNotes,MATCH(A116,Name,0))</f>
        <v>distinction from competetitors: incorporates behavioral input and cognitive prediction; poised to grow rapidly; early-ish in validation, but already in two hospitals with neurosurgeons; FDA QSUB meeting in March, submitting as breakthrough device in Aug 2022</v>
      </c>
      <c r="M116" s="91" t="str">
        <f t="array" aca="1" ref="M116" ca="1">INDEX(Team,MATCH(A116,'Key Metrics'!B:B,0))</f>
        <v>Man, Man, Man</v>
      </c>
      <c r="N116" s="87" t="str">
        <f t="array" aca="1" ref="N116" ca="1">IF(INDEX('Key Metrics'!F:F,MATCH(A116,'Key Metrics'!B:B,0))="Woman","Yes","")</f>
        <v/>
      </c>
      <c r="O116" s="87" t="str">
        <f t="shared" ca="1" si="0"/>
        <v/>
      </c>
      <c r="P116" s="92">
        <f t="array" ref="P116">INDEX(Referral,MATCH(A116,Name,0))</f>
        <v>0</v>
      </c>
      <c r="Q116" s="92">
        <f t="array" aca="1" ref="Q116" ca="1">IF(INDEX(NYUAfillType,MATCH(A116,'Key Metrics'!B:B,0))="Other (please specify)",INDEX('Key Metrics'!N:N,MATCH(A116,'Key Metrics'!B:B,0)),INDEX(NYUAfillType,MATCH(A116,'Key Metrics'!B:B,0)))</f>
        <v>0</v>
      </c>
      <c r="R116" s="93" t="str">
        <f t="array" aca="1" ref="R116" ca="1">IF(INDEX('Key Metrics'!Q:Q,MATCH(A116,'Key Metrics'!B:B,0))="No","",INDEX('Key Metrics'!Q:Q,MATCH(A116,'Key Metrics'!B:B,0)))</f>
        <v/>
      </c>
      <c r="S116" s="94" t="str">
        <f t="shared" si="1"/>
        <v>Invite Next Year</v>
      </c>
      <c r="T116" s="95" t="s">
        <v>24</v>
      </c>
      <c r="U116" s="95" t="b">
        <v>0</v>
      </c>
      <c r="V116" s="95" t="b">
        <v>0</v>
      </c>
      <c r="W116" s="95" t="b">
        <v>0</v>
      </c>
      <c r="X116" s="96"/>
      <c r="Y116" s="94" t="str">
        <f t="array" ref="Y116">INDEX('DiT - 2022-2023 Applications Re'!U:U,MATCH(A116,'DiT - 2022-2023 Applications Re'!B:B,0))</f>
        <v>Invite Next Year</v>
      </c>
    </row>
    <row r="117" spans="1:25" ht="66" hidden="1">
      <c r="A117" s="97" t="s">
        <v>175</v>
      </c>
      <c r="B117" s="98" t="str">
        <f t="array" ref="B117">INDEX(Interview,MATCH(A117,Name,0))</f>
        <v>Invite</v>
      </c>
      <c r="C117" s="98" t="str">
        <f t="array" ref="C117">INDEX(Track,MATCH(A117,Name,0))</f>
        <v>Digital Tech</v>
      </c>
      <c r="D117" s="99">
        <f t="array" ref="D117">INDEX(Score,MATCH(A117,Name,0))</f>
        <v>4.25</v>
      </c>
      <c r="E117" s="100">
        <f t="array" aca="1" ref="E117" ca="1">INDEX(Date,MATCH(A117,Name,0))</f>
        <v>44797</v>
      </c>
      <c r="F117" s="98" t="s">
        <v>13351</v>
      </c>
      <c r="G117" s="98" t="s">
        <v>13307</v>
      </c>
      <c r="H117" s="98" t="str">
        <f t="array" ref="H117">IFERROR(INDEX('2022-2023 Third Reviews'!K:K,MATCH(A117,'2022-2023 Third Reviews'!C:C,0)),"")</f>
        <v/>
      </c>
      <c r="I117" s="101" t="s">
        <v>10558</v>
      </c>
      <c r="J117" s="101" t="s">
        <v>10559</v>
      </c>
      <c r="K117" s="101" t="str">
        <f t="array" ref="K117">IFERROR(INDEX('2022-2023 Third Reviews'!L:L,MATCH(A117,'2022-2023 Third Reviews'!C:C,0)),"")</f>
        <v/>
      </c>
      <c r="L117" s="102">
        <f t="array" ref="L117">INDEX(AppNotes,MATCH(A117,Name,0))</f>
        <v>0</v>
      </c>
      <c r="M117" s="103" t="str">
        <f t="array" aca="1" ref="M117" ca="1">INDEX(Team,MATCH(A117,'Key Metrics'!B:B,0))</f>
        <v>Man</v>
      </c>
      <c r="N117" s="99" t="str">
        <f t="array" aca="1" ref="N117" ca="1">IF(INDEX('Key Metrics'!F:F,MATCH(A117,'Key Metrics'!B:B,0))="Woman","Yes","")</f>
        <v/>
      </c>
      <c r="O117" s="99" t="str">
        <f t="shared" ca="1" si="0"/>
        <v/>
      </c>
      <c r="P117" s="104">
        <f t="array" ref="P117">INDEX(Referral,MATCH(A117,Name,0))</f>
        <v>0</v>
      </c>
      <c r="Q117" s="104">
        <f t="array" aca="1" ref="Q117" ca="1">IF(INDEX(NYUAfillType,MATCH(A117,'Key Metrics'!B:B,0))="Other (please specify)",INDEX('Key Metrics'!N:N,MATCH(A117,'Key Metrics'!B:B,0)),INDEX(NYUAfillType,MATCH(A117,'Key Metrics'!B:B,0)))</f>
        <v>0</v>
      </c>
      <c r="R117" s="105" t="str">
        <f t="array" aca="1" ref="R117" ca="1">IF(INDEX('Key Metrics'!Q:Q,MATCH(A117,'Key Metrics'!B:B,0))="No","",INDEX('Key Metrics'!Q:Q,MATCH(A117,'Key Metrics'!B:B,0)))</f>
        <v/>
      </c>
      <c r="S117" s="106" t="str">
        <f t="shared" si="1"/>
        <v>Invite Next Year</v>
      </c>
      <c r="T117" s="107" t="s">
        <v>24</v>
      </c>
      <c r="U117" s="107" t="b">
        <v>0</v>
      </c>
      <c r="V117" s="107" t="b">
        <v>0</v>
      </c>
      <c r="W117" s="107" t="b">
        <v>0</v>
      </c>
      <c r="X117" s="108"/>
      <c r="Y117" s="106" t="str">
        <f t="array" ref="Y117">INDEX('DiT - 2022-2023 Applications Re'!U:U,MATCH(A117,'DiT - 2022-2023 Applications Re'!B:B,0))</f>
        <v>Invite Next Year</v>
      </c>
    </row>
    <row r="118" spans="1:25" ht="44">
      <c r="A118" s="109" t="s">
        <v>176</v>
      </c>
      <c r="B118" s="86" t="str">
        <f t="array" ref="B118">INDEX(Interview,MATCH(A118,Name,0))</f>
        <v>Invite</v>
      </c>
      <c r="C118" s="86" t="str">
        <f t="array" ref="C118">INDEX(Track,MATCH(A118,Name,0))</f>
        <v>Digital Tech</v>
      </c>
      <c r="D118" s="87">
        <f t="array" ref="D118">INDEX(Score,MATCH(A118,Name,0))</f>
        <v>4</v>
      </c>
      <c r="E118" s="88">
        <f t="array" aca="1" ref="E118" ca="1">INDEX(Date,MATCH(A118,Name,0))</f>
        <v>44791</v>
      </c>
      <c r="F118" s="86" t="s">
        <v>13329</v>
      </c>
      <c r="G118" s="86" t="s">
        <v>13364</v>
      </c>
      <c r="H118" s="86" t="str">
        <f t="array" aca="1" ref="H118" ca="1">IFERROR(INDEX('2022-2023 Third Reviews'!K:K,MATCH(A118,'2022-2023 Third Reviews'!C:C,0)),"")</f>
        <v>John McDonald
3</v>
      </c>
      <c r="I118" s="89" t="s">
        <v>1136</v>
      </c>
      <c r="J118" s="89" t="s">
        <v>11040</v>
      </c>
      <c r="K118" s="89">
        <f t="array" aca="1" ref="K118" ca="1">IFERROR(INDEX('2022-2023 Third Reviews'!L:L,MATCH(A118,'2022-2023 Third Reviews'!C:C,0)),"")</f>
        <v>0</v>
      </c>
      <c r="L118" s="90">
        <f t="array" ref="L118">INDEX(AppNotes,MATCH(A118,Name,0))</f>
        <v>0</v>
      </c>
      <c r="M118" s="91" t="str">
        <f t="array" aca="1" ref="M118" ca="1">INDEX(Team,MATCH(A118,'Key Metrics'!B:B,0))</f>
        <v>Woman, Woman</v>
      </c>
      <c r="N118" s="87" t="str">
        <f t="array" aca="1" ref="N118" ca="1">IF(INDEX('Key Metrics'!F:F,MATCH(A118,'Key Metrics'!B:B,0))="Woman","Yes","")</f>
        <v>Yes</v>
      </c>
      <c r="O118" s="87" t="str">
        <f t="shared" ca="1" si="0"/>
        <v>Yes</v>
      </c>
      <c r="P118" s="92">
        <f t="array" ref="P118">INDEX(Referral,MATCH(A118,Name,0))</f>
        <v>0</v>
      </c>
      <c r="Q118" s="92">
        <f t="array" aca="1" ref="Q118" ca="1">IF(INDEX(NYUAfillType,MATCH(A118,'Key Metrics'!B:B,0))="Other (please specify)",INDEX('Key Metrics'!N:N,MATCH(A118,'Key Metrics'!B:B,0)),INDEX(NYUAfillType,MATCH(A118,'Key Metrics'!B:B,0)))</f>
        <v>0</v>
      </c>
      <c r="R118" s="93" t="str">
        <f t="array" aca="1" ref="R118" ca="1">IF(INDEX('Key Metrics'!Q:Q,MATCH(A118,'Key Metrics'!B:B,0))="No","",INDEX('Key Metrics'!Q:Q,MATCH(A118,'Key Metrics'!B:B,0)))</f>
        <v/>
      </c>
      <c r="S118" s="94" t="str">
        <f t="shared" si="1"/>
        <v>Invite</v>
      </c>
      <c r="T118" s="95" t="s">
        <v>18</v>
      </c>
      <c r="U118" s="95" t="b">
        <v>0</v>
      </c>
      <c r="V118" s="95" t="b">
        <v>0</v>
      </c>
      <c r="W118" s="95" t="b">
        <v>0</v>
      </c>
      <c r="X118" s="96"/>
      <c r="Y118" s="94" t="str">
        <f t="array" ref="Y118">INDEX('DiT - 2022-2023 Applications Re'!U:U,MATCH(A118,'DiT - 2022-2023 Applications Re'!B:B,0))</f>
        <v>Invite</v>
      </c>
    </row>
    <row r="119" spans="1:25" ht="55" hidden="1">
      <c r="A119" s="97" t="s">
        <v>177</v>
      </c>
      <c r="B119" s="98" t="str">
        <f t="array" ref="B119">INDEX(Interview,MATCH(A119,Name,0))</f>
        <v>Invite</v>
      </c>
      <c r="C119" s="98" t="str">
        <f t="array" ref="C119">INDEX(Track,MATCH(A119,Name,0))</f>
        <v>Digital Tech</v>
      </c>
      <c r="D119" s="99">
        <f t="array" ref="D119">INDEX(Score,MATCH(A119,Name,0))</f>
        <v>4</v>
      </c>
      <c r="E119" s="100">
        <f t="array" aca="1" ref="E119" ca="1">INDEX(Date,MATCH(A119,Name,0))</f>
        <v>44796</v>
      </c>
      <c r="F119" s="98" t="s">
        <v>13337</v>
      </c>
      <c r="G119" s="98" t="s">
        <v>13367</v>
      </c>
      <c r="H119" s="98" t="str">
        <f t="array" ref="H119">IFERROR(INDEX('2022-2023 Third Reviews'!K:K,MATCH(A119,'2022-2023 Third Reviews'!C:C,0)),"")</f>
        <v/>
      </c>
      <c r="I119" s="101" t="s">
        <v>10488</v>
      </c>
      <c r="J119" s="101" t="s">
        <v>3703</v>
      </c>
      <c r="K119" s="101" t="str">
        <f t="array" ref="K119">IFERROR(INDEX('2022-2023 Third Reviews'!L:L,MATCH(A119,'2022-2023 Third Reviews'!C:C,0)),"")</f>
        <v/>
      </c>
      <c r="L119" s="102">
        <f t="array" ref="L119">INDEX(AppNotes,MATCH(A119,Name,0))</f>
        <v>0</v>
      </c>
      <c r="M119" s="103" t="str">
        <f t="array" aca="1" ref="M119" ca="1">INDEX(Team,MATCH(A119,'Key Metrics'!B:B,0))</f>
        <v>Man</v>
      </c>
      <c r="N119" s="99" t="str">
        <f t="array" aca="1" ref="N119" ca="1">IF(INDEX('Key Metrics'!F:F,MATCH(A119,'Key Metrics'!B:B,0))="Woman","Yes","")</f>
        <v/>
      </c>
      <c r="O119" s="99" t="str">
        <f t="shared" ca="1" si="0"/>
        <v/>
      </c>
      <c r="P119" s="104">
        <f t="array" ref="P119">INDEX(Referral,MATCH(A119,Name,0))</f>
        <v>0</v>
      </c>
      <c r="Q119" s="104">
        <f t="array" aca="1" ref="Q119" ca="1">IF(INDEX(NYUAfillType,MATCH(A119,'Key Metrics'!B:B,0))="Other (please specify)",INDEX('Key Metrics'!N:N,MATCH(A119,'Key Metrics'!B:B,0)),INDEX(NYUAfillType,MATCH(A119,'Key Metrics'!B:B,0)))</f>
        <v>0</v>
      </c>
      <c r="R119" s="105" t="str">
        <f t="array" aca="1" ref="R119" ca="1">IF(INDEX('Key Metrics'!Q:Q,MATCH(A119,'Key Metrics'!B:B,0))="No","",INDEX('Key Metrics'!Q:Q,MATCH(A119,'Key Metrics'!B:B,0)))</f>
        <v/>
      </c>
      <c r="S119" s="106" t="str">
        <f t="shared" si="1"/>
        <v>Invite Next Year</v>
      </c>
      <c r="T119" s="107" t="s">
        <v>24</v>
      </c>
      <c r="U119" s="107" t="b">
        <v>0</v>
      </c>
      <c r="V119" s="107" t="b">
        <v>0</v>
      </c>
      <c r="W119" s="107" t="b">
        <v>0</v>
      </c>
      <c r="X119" s="108"/>
      <c r="Y119" s="106" t="str">
        <f t="array" ref="Y119">INDEX('DiT - 2022-2023 Applications Re'!U:U,MATCH(A119,'DiT - 2022-2023 Applications Re'!B:B,0))</f>
        <v>Invite Next Year</v>
      </c>
    </row>
    <row r="120" spans="1:25" ht="70" hidden="1">
      <c r="A120" s="109" t="s">
        <v>178</v>
      </c>
      <c r="B120" s="86" t="str">
        <f t="array" ref="B120">INDEX(Interview,MATCH(A120,Name,0))</f>
        <v>Invite</v>
      </c>
      <c r="C120" s="86" t="str">
        <f t="array" ref="C120">INDEX(Track,MATCH(A120,Name,0))</f>
        <v>Digital Tech</v>
      </c>
      <c r="D120" s="87">
        <f t="array" ref="D120">INDEX(Score,MATCH(A120,Name,0))</f>
        <v>4</v>
      </c>
      <c r="E120" s="88">
        <f t="array" aca="1" ref="E120" ca="1">INDEX(Date,MATCH(A120,Name,0))</f>
        <v>44789</v>
      </c>
      <c r="F120" s="86" t="s">
        <v>13337</v>
      </c>
      <c r="G120" s="86" t="s">
        <v>13354</v>
      </c>
      <c r="H120" s="86" t="str">
        <f t="array" ref="H120">IFERROR(INDEX('2022-2023 Third Reviews'!K:K,MATCH(A120,'2022-2023 Third Reviews'!C:C,0)),"")</f>
        <v/>
      </c>
      <c r="I120" s="89" t="s">
        <v>10228</v>
      </c>
      <c r="J120" s="89" t="s">
        <v>3712</v>
      </c>
      <c r="K120" s="89" t="str">
        <f t="array" ref="K120">IFERROR(INDEX('2022-2023 Third Reviews'!L:L,MATCH(A120,'2022-2023 Third Reviews'!C:C,0)),"")</f>
        <v/>
      </c>
      <c r="L120" s="90">
        <f t="array" ref="L120">INDEX(AppNotes,MATCH(A120,Name,0))</f>
        <v>0</v>
      </c>
      <c r="M120" s="91" t="str">
        <f t="array" aca="1" ref="M120" ca="1">INDEX(Team,MATCH(A120,'Key Metrics'!B:B,0))</f>
        <v>Man, Woman, Woman</v>
      </c>
      <c r="N120" s="87" t="str">
        <f t="array" aca="1" ref="N120" ca="1">IF(INDEX('Key Metrics'!F:F,MATCH(A120,'Key Metrics'!B:B,0))="Woman","Yes","")</f>
        <v/>
      </c>
      <c r="O120" s="87" t="str">
        <f t="shared" ca="1" si="0"/>
        <v>Yes</v>
      </c>
      <c r="P120" s="92" t="str">
        <f t="array" ref="P120">INDEX(Referral,MATCH(A120,Name,0))</f>
        <v>We were referred from the director of Runway and Spinouts at Jacobs Technion-Cornell, Fernando Gómez-Baquero</v>
      </c>
      <c r="Q120" s="92">
        <f t="array" aca="1" ref="Q120" ca="1">IF(INDEX(NYUAfillType,MATCH(A120,'Key Metrics'!B:B,0))="Other (please specify)",INDEX('Key Metrics'!N:N,MATCH(A120,'Key Metrics'!B:B,0)),INDEX(NYUAfillType,MATCH(A120,'Key Metrics'!B:B,0)))</f>
        <v>0</v>
      </c>
      <c r="R120" s="93" t="str">
        <f t="array" aca="1" ref="R120" ca="1">IF(INDEX('Key Metrics'!Q:Q,MATCH(A120,'Key Metrics'!B:B,0))="No","",INDEX('Key Metrics'!Q:Q,MATCH(A120,'Key Metrics'!B:B,0)))</f>
        <v/>
      </c>
      <c r="S120" s="94" t="str">
        <f t="shared" si="1"/>
        <v>Invite Next Year</v>
      </c>
      <c r="T120" s="95" t="s">
        <v>24</v>
      </c>
      <c r="U120" s="95" t="b">
        <v>0</v>
      </c>
      <c r="V120" s="95" t="b">
        <v>0</v>
      </c>
      <c r="W120" s="95" t="b">
        <v>0</v>
      </c>
      <c r="X120" s="96"/>
      <c r="Y120" s="94" t="str">
        <f t="array" ref="Y120">INDEX('DiT - 2022-2023 Applications Re'!U:U,MATCH(A120,'DiT - 2022-2023 Applications Re'!B:B,0))</f>
        <v>Invite Next Year</v>
      </c>
    </row>
    <row r="121" spans="1:25" ht="44">
      <c r="A121" s="97" t="s">
        <v>179</v>
      </c>
      <c r="B121" s="98" t="str">
        <f t="array" ref="B121">INDEX(Interview,MATCH(A121,Name,0))</f>
        <v>Invite</v>
      </c>
      <c r="C121" s="98" t="str">
        <f t="array" ref="C121">INDEX(Track,MATCH(A121,Name,0))</f>
        <v>Digital Tech</v>
      </c>
      <c r="D121" s="99">
        <f t="array" ref="D121">INDEX(Score,MATCH(A121,Name,0))</f>
        <v>4.75</v>
      </c>
      <c r="E121" s="100">
        <f t="array" aca="1" ref="E121" ca="1">INDEX(Date,MATCH(A121,Name,0))</f>
        <v>44796</v>
      </c>
      <c r="F121" s="98" t="s">
        <v>13347</v>
      </c>
      <c r="G121" s="98" t="s">
        <v>13330</v>
      </c>
      <c r="H121" s="98" t="str">
        <f t="array" ref="H121">IFERROR(INDEX('2022-2023 Third Reviews'!K:K,MATCH(A121,'2022-2023 Third Reviews'!C:C,0)),"")</f>
        <v/>
      </c>
      <c r="I121" s="101" t="s">
        <v>481</v>
      </c>
      <c r="J121" s="101" t="s">
        <v>10995</v>
      </c>
      <c r="K121" s="101" t="str">
        <f t="array" ref="K121">IFERROR(INDEX('2022-2023 Third Reviews'!L:L,MATCH(A121,'2022-2023 Third Reviews'!C:C,0)),"")</f>
        <v/>
      </c>
      <c r="L121" s="102">
        <f t="array" ref="L121">INDEX(AppNotes,MATCH(A121,Name,0))</f>
        <v>0</v>
      </c>
      <c r="M121" s="103" t="str">
        <f t="array" aca="1" ref="M121" ca="1">INDEX(Team,MATCH(A121,'Key Metrics'!B:B,0))</f>
        <v>Man, Woman, Man, Man, Man</v>
      </c>
      <c r="N121" s="99" t="str">
        <f t="array" aca="1" ref="N121" ca="1">IF(INDEX('Key Metrics'!F:F,MATCH(A121,'Key Metrics'!B:B,0))="Woman","Yes","")</f>
        <v/>
      </c>
      <c r="O121" s="99" t="str">
        <f t="shared" ca="1" si="0"/>
        <v>Yes</v>
      </c>
      <c r="P121" s="104">
        <f t="array" ref="P121">INDEX(Referral,MATCH(A121,Name,0))</f>
        <v>0</v>
      </c>
      <c r="Q121" s="104" t="str">
        <f t="array" aca="1" ref="Q121" ca="1">IF(INDEX(NYUAfillType,MATCH(A121,'Key Metrics'!B:B,0))="Other (please specify)",INDEX('Key Metrics'!N:N,MATCH(A121,'Key Metrics'!B:B,0)),INDEX(NYUAfillType,MATCH(A121,'Key Metrics'!B:B,0)))</f>
        <v>--Please select--</v>
      </c>
      <c r="R121" s="105" t="str">
        <f t="array" aca="1" ref="R121" ca="1">IF(INDEX('Key Metrics'!Q:Q,MATCH(A121,'Key Metrics'!B:B,0))="No","",INDEX('Key Metrics'!Q:Q,MATCH(A121,'Key Metrics'!B:B,0)))</f>
        <v/>
      </c>
      <c r="S121" s="106" t="str">
        <f t="shared" si="1"/>
        <v>Invite</v>
      </c>
      <c r="T121" s="107" t="s">
        <v>18</v>
      </c>
      <c r="U121" s="107" t="b">
        <v>0</v>
      </c>
      <c r="V121" s="107" t="b">
        <v>0</v>
      </c>
      <c r="W121" s="107" t="b">
        <v>0</v>
      </c>
      <c r="X121" s="108"/>
      <c r="Y121" s="106" t="str">
        <f t="array" ref="Y121">INDEX('DiT - 2022-2023 Applications Re'!U:U,MATCH(A121,'DiT - 2022-2023 Applications Re'!B:B,0))</f>
        <v>Invite</v>
      </c>
    </row>
    <row r="122" spans="1:25" ht="22" hidden="1">
      <c r="A122" s="109" t="s">
        <v>180</v>
      </c>
      <c r="B122" s="86" t="str">
        <f t="array" ref="B122">INDEX(Interview,MATCH(A122,Name,0))</f>
        <v>Invite</v>
      </c>
      <c r="C122" s="86" t="str">
        <f t="array" ref="C122">INDEX(Track,MATCH(A122,Name,0))</f>
        <v>Digital Tech</v>
      </c>
      <c r="D122" s="87">
        <f t="array" ref="D122">INDEX(Score,MATCH(A122,Name,0))</f>
        <v>4</v>
      </c>
      <c r="E122" s="88">
        <f t="array" aca="1" ref="E122" ca="1">INDEX(Date,MATCH(A122,Name,0))</f>
        <v>44796</v>
      </c>
      <c r="F122" s="86" t="s">
        <v>13304</v>
      </c>
      <c r="G122" s="86" t="s">
        <v>13367</v>
      </c>
      <c r="H122" s="86" t="str">
        <f t="array" ref="H122">IFERROR(INDEX('2022-2023 Third Reviews'!K:K,MATCH(A122,'2022-2023 Third Reviews'!C:C,0)),"")</f>
        <v/>
      </c>
      <c r="I122" s="89" t="s">
        <v>11342</v>
      </c>
      <c r="J122" s="89" t="s">
        <v>3721</v>
      </c>
      <c r="K122" s="89" t="str">
        <f t="array" ref="K122">IFERROR(INDEX('2022-2023 Third Reviews'!L:L,MATCH(A122,'2022-2023 Third Reviews'!C:C,0)),"")</f>
        <v/>
      </c>
      <c r="L122" s="90">
        <f t="array" ref="L122">INDEX(AppNotes,MATCH(A122,Name,0))</f>
        <v>0</v>
      </c>
      <c r="M122" s="91" t="str">
        <f t="array" aca="1" ref="M122" ca="1">INDEX(Team,MATCH(A122,'Key Metrics'!B:B,0))</f>
        <v>Man</v>
      </c>
      <c r="N122" s="87" t="str">
        <f t="array" aca="1" ref="N122" ca="1">IF(INDEX('Key Metrics'!F:F,MATCH(A122,'Key Metrics'!B:B,0))="Woman","Yes","")</f>
        <v/>
      </c>
      <c r="O122" s="87" t="str">
        <f t="shared" ca="1" si="0"/>
        <v/>
      </c>
      <c r="P122" s="92">
        <f t="array" ref="P122">INDEX(Referral,MATCH(A122,Name,0))</f>
        <v>0</v>
      </c>
      <c r="Q122" s="92">
        <f t="array" aca="1" ref="Q122" ca="1">IF(INDEX(NYUAfillType,MATCH(A122,'Key Metrics'!B:B,0))="Other (please specify)",INDEX('Key Metrics'!N:N,MATCH(A122,'Key Metrics'!B:B,0)),INDEX(NYUAfillType,MATCH(A122,'Key Metrics'!B:B,0)))</f>
        <v>0</v>
      </c>
      <c r="R122" s="93" t="str">
        <f t="array" aca="1" ref="R122" ca="1">IF(INDEX('Key Metrics'!Q:Q,MATCH(A122,'Key Metrics'!B:B,0))="No","",INDEX('Key Metrics'!Q:Q,MATCH(A122,'Key Metrics'!B:B,0)))</f>
        <v/>
      </c>
      <c r="S122" s="94" t="str">
        <f t="shared" si="1"/>
        <v>Invite Next Year</v>
      </c>
      <c r="T122" s="95" t="s">
        <v>24</v>
      </c>
      <c r="U122" s="95" t="b">
        <v>0</v>
      </c>
      <c r="V122" s="95" t="b">
        <v>0</v>
      </c>
      <c r="W122" s="95" t="b">
        <v>0</v>
      </c>
      <c r="X122" s="96"/>
      <c r="Y122" s="94" t="str">
        <f t="array" ref="Y122">INDEX('DiT - 2022-2023 Applications Re'!U:U,MATCH(A122,'DiT - 2022-2023 Applications Re'!B:B,0))</f>
        <v>Invite Next Year</v>
      </c>
    </row>
    <row r="123" spans="1:25" ht="66" hidden="1">
      <c r="A123" s="97" t="s">
        <v>181</v>
      </c>
      <c r="B123" s="98" t="str">
        <f t="array" ref="B123">INDEX(Interview,MATCH(A123,Name,0))</f>
        <v>Invite</v>
      </c>
      <c r="C123" s="98" t="str">
        <f t="array" ref="C123">INDEX(Track,MATCH(A123,Name,0))</f>
        <v>Digital Tech</v>
      </c>
      <c r="D123" s="99">
        <f t="array" ref="D123">INDEX(Score,MATCH(A123,Name,0))</f>
        <v>4</v>
      </c>
      <c r="E123" s="100">
        <f t="array" aca="1" ref="E123" ca="1">INDEX(Date,MATCH(A123,Name,0))</f>
        <v>44784</v>
      </c>
      <c r="F123" s="98" t="s">
        <v>13305</v>
      </c>
      <c r="G123" s="98" t="s">
        <v>13321</v>
      </c>
      <c r="H123" s="98" t="str">
        <f t="array" aca="1" ref="H123" ca="1">IFERROR(INDEX('2022-2023 Third Reviews'!K:K,MATCH(A123,'2022-2023 Third Reviews'!C:C,0)),"")</f>
        <v>Nick Schmandt
4</v>
      </c>
      <c r="I123" s="101" t="s">
        <v>10459</v>
      </c>
      <c r="J123" s="101" t="s">
        <v>10460</v>
      </c>
      <c r="K123" s="101" t="str">
        <f t="array" aca="1" ref="K123" ca="1">IFERROR(INDEX('2022-2023 Third Reviews'!L:L,MATCH(A123,'2022-2023 Third Reviews'!C:C,0)),"")</f>
        <v>The team is extremely strong, that is likely why they have so much money on a relatively unproven technology. Though, the technology is not extremely complex and should work reliably, it does not seem they have actually deployed it and detected wildfires. They must have thought of this, but isn't over controlling wildfires actually worse for forests, leading to uncontrolled burning? Also what if the fire is so remote that the fire fighters cannot reach the area? But, the amount of money they have raised speaks for itself.</v>
      </c>
      <c r="L123" s="102" t="str">
        <f t="array" ref="L123">INDEX(AppNotes,MATCH(A123,Name,0))</f>
        <v>change to DiT;</v>
      </c>
      <c r="M123" s="103" t="str">
        <f t="array" aca="1" ref="M123" ca="1">INDEX(Team,MATCH(A123,'Key Metrics'!B:B,0))</f>
        <v>Man, Man, Man, Man, Man, Man</v>
      </c>
      <c r="N123" s="99" t="str">
        <f t="array" aca="1" ref="N123" ca="1">IF(INDEX('Key Metrics'!F:F,MATCH(A123,'Key Metrics'!B:B,0))="Woman","Yes","")</f>
        <v/>
      </c>
      <c r="O123" s="99" t="str">
        <f t="shared" ca="1" si="0"/>
        <v/>
      </c>
      <c r="P123" s="104">
        <f t="array" ref="P123">INDEX(Referral,MATCH(A123,Name,0))</f>
        <v>0</v>
      </c>
      <c r="Q123" s="104">
        <f t="array" aca="1" ref="Q123" ca="1">IF(INDEX(NYUAfillType,MATCH(A123,'Key Metrics'!B:B,0))="Other (please specify)",INDEX('Key Metrics'!N:N,MATCH(A123,'Key Metrics'!B:B,0)),INDEX(NYUAfillType,MATCH(A123,'Key Metrics'!B:B,0)))</f>
        <v>0</v>
      </c>
      <c r="R123" s="105" t="str">
        <f t="array" aca="1" ref="R123" ca="1">IF(INDEX('Key Metrics'!Q:Q,MATCH(A123,'Key Metrics'!B:B,0))="No","",INDEX('Key Metrics'!Q:Q,MATCH(A123,'Key Metrics'!B:B,0)))</f>
        <v/>
      </c>
      <c r="S123" s="106" t="str">
        <f t="shared" si="1"/>
        <v>Invite</v>
      </c>
      <c r="T123" s="107" t="s">
        <v>18</v>
      </c>
      <c r="U123" s="107" t="b">
        <v>0</v>
      </c>
      <c r="V123" s="107" t="b">
        <v>0</v>
      </c>
      <c r="W123" s="107" t="b">
        <v>0</v>
      </c>
      <c r="X123" s="108"/>
      <c r="Y123" s="106" t="str">
        <f t="array" ref="Y123">INDEX('DiT - 2022-2023 Applications Re'!U:U,MATCH(A123,'DiT - 2022-2023 Applications Re'!B:B,0))</f>
        <v>Invite</v>
      </c>
    </row>
    <row r="124" spans="1:25" ht="77" hidden="1">
      <c r="A124" s="109" t="s">
        <v>182</v>
      </c>
      <c r="B124" s="86" t="str">
        <f t="array" ref="B124">INDEX(Interview,MATCH(A124,Name,0))</f>
        <v>Invite</v>
      </c>
      <c r="C124" s="86" t="str">
        <f t="array" ref="C124">INDEX(Track,MATCH(A124,Name,0))</f>
        <v>Digital Tech</v>
      </c>
      <c r="D124" s="87">
        <f t="array" ref="D124">INDEX(Score,MATCH(A124,Name,0))</f>
        <v>4</v>
      </c>
      <c r="E124" s="88">
        <f t="array" aca="1" ref="E124" ca="1">INDEX(Date,MATCH(A124,Name,0))</f>
        <v>44784</v>
      </c>
      <c r="F124" s="86" t="s">
        <v>13329</v>
      </c>
      <c r="G124" s="86" t="s">
        <v>13312</v>
      </c>
      <c r="H124" s="86" t="str">
        <f t="array" ref="H124">IFERROR(INDEX('2022-2023 Third Reviews'!K:K,MATCH(A124,'2022-2023 Third Reviews'!C:C,0)),"")</f>
        <v/>
      </c>
      <c r="I124" s="89" t="s">
        <v>3737</v>
      </c>
      <c r="J124" s="89" t="s">
        <v>10999</v>
      </c>
      <c r="K124" s="89" t="str">
        <f t="array" ref="K124">IFERROR(INDEX('2022-2023 Third Reviews'!L:L,MATCH(A124,'2022-2023 Third Reviews'!C:C,0)),"")</f>
        <v/>
      </c>
      <c r="L124" s="90">
        <f t="array" ref="L124">INDEX(AppNotes,MATCH(A124,Name,0))</f>
        <v>0</v>
      </c>
      <c r="M124" s="91" t="str">
        <f t="array" aca="1" ref="M124" ca="1">INDEX(Team,MATCH(A124,'Key Metrics'!B:B,0))</f>
        <v>Man, Man</v>
      </c>
      <c r="N124" s="87" t="str">
        <f t="array" aca="1" ref="N124" ca="1">IF(INDEX('Key Metrics'!F:F,MATCH(A124,'Key Metrics'!B:B,0))="Woman","Yes","")</f>
        <v/>
      </c>
      <c r="O124" s="87" t="str">
        <f t="shared" ca="1" si="0"/>
        <v/>
      </c>
      <c r="P124" s="92">
        <f t="array" ref="P124">INDEX(Referral,MATCH(A124,Name,0))</f>
        <v>0</v>
      </c>
      <c r="Q124" s="92">
        <f t="array" aca="1" ref="Q124" ca="1">IF(INDEX(NYUAfillType,MATCH(A124,'Key Metrics'!B:B,0))="Other (please specify)",INDEX('Key Metrics'!N:N,MATCH(A124,'Key Metrics'!B:B,0)),INDEX(NYUAfillType,MATCH(A124,'Key Metrics'!B:B,0)))</f>
        <v>0</v>
      </c>
      <c r="R124" s="93" t="str">
        <f t="array" aca="1" ref="R124" ca="1">IF(INDEX('Key Metrics'!Q:Q,MATCH(A124,'Key Metrics'!B:B,0))="No","",INDEX('Key Metrics'!Q:Q,MATCH(A124,'Key Metrics'!B:B,0)))</f>
        <v/>
      </c>
      <c r="S124" s="94" t="str">
        <f t="shared" si="1"/>
        <v>Invite Next Year</v>
      </c>
      <c r="T124" s="95" t="s">
        <v>24</v>
      </c>
      <c r="U124" s="95" t="b">
        <v>0</v>
      </c>
      <c r="V124" s="95" t="b">
        <v>0</v>
      </c>
      <c r="W124" s="95" t="b">
        <v>0</v>
      </c>
      <c r="X124" s="96"/>
      <c r="Y124" s="94" t="str">
        <f t="array" ref="Y124">INDEX('DiT - 2022-2023 Applications Re'!U:U,MATCH(A124,'DiT - 2022-2023 Applications Re'!B:B,0))</f>
        <v>Invite Next Year</v>
      </c>
    </row>
    <row r="125" spans="1:25" ht="55" hidden="1">
      <c r="A125" s="97" t="s">
        <v>183</v>
      </c>
      <c r="B125" s="98" t="str">
        <f t="array" ref="B125">INDEX(Interview,MATCH(A125,Name,0))</f>
        <v>Invite</v>
      </c>
      <c r="C125" s="98" t="str">
        <f t="array" ref="C125">INDEX(Track,MATCH(A125,Name,0))</f>
        <v>Digital Tech</v>
      </c>
      <c r="D125" s="99">
        <f t="array" ref="D125">INDEX(Score,MATCH(A125,Name,0))</f>
        <v>4</v>
      </c>
      <c r="E125" s="100">
        <f t="array" aca="1" ref="E125" ca="1">INDEX(Date,MATCH(A125,Name,0))</f>
        <v>44789</v>
      </c>
      <c r="F125" s="98" t="s">
        <v>13337</v>
      </c>
      <c r="G125" s="98" t="s">
        <v>13354</v>
      </c>
      <c r="H125" s="98" t="str">
        <f t="array" ref="H125">IFERROR(INDEX('2022-2023 Third Reviews'!K:K,MATCH(A125,'2022-2023 Third Reviews'!C:C,0)),"")</f>
        <v/>
      </c>
      <c r="I125" s="101" t="s">
        <v>11464</v>
      </c>
      <c r="J125" s="101" t="s">
        <v>1161</v>
      </c>
      <c r="K125" s="101" t="str">
        <f t="array" ref="K125">IFERROR(INDEX('2022-2023 Third Reviews'!L:L,MATCH(A125,'2022-2023 Third Reviews'!C:C,0)),"")</f>
        <v/>
      </c>
      <c r="L125" s="102">
        <f t="array" ref="L125">INDEX(AppNotes,MATCH(A125,Name,0))</f>
        <v>0</v>
      </c>
      <c r="M125" s="103" t="str">
        <f t="array" aca="1" ref="M125" ca="1">INDEX(Team,MATCH(A125,'Key Metrics'!B:B,0))</f>
        <v>Man, Man, Man, Man</v>
      </c>
      <c r="N125" s="99" t="str">
        <f t="array" aca="1" ref="N125" ca="1">IF(INDEX('Key Metrics'!F:F,MATCH(A125,'Key Metrics'!B:B,0))="Woman","Yes","")</f>
        <v/>
      </c>
      <c r="O125" s="99" t="str">
        <f t="shared" ca="1" si="0"/>
        <v/>
      </c>
      <c r="P125" s="104">
        <f t="array" ref="P125">INDEX(Referral,MATCH(A125,Name,0))</f>
        <v>0</v>
      </c>
      <c r="Q125" s="104">
        <f t="array" aca="1" ref="Q125" ca="1">IF(INDEX(NYUAfillType,MATCH(A125,'Key Metrics'!B:B,0))="Other (please specify)",INDEX('Key Metrics'!N:N,MATCH(A125,'Key Metrics'!B:B,0)),INDEX(NYUAfillType,MATCH(A125,'Key Metrics'!B:B,0)))</f>
        <v>0</v>
      </c>
      <c r="R125" s="105" t="str">
        <f t="array" aca="1" ref="R125" ca="1">IF(INDEX('Key Metrics'!Q:Q,MATCH(A125,'Key Metrics'!B:B,0))="No","",INDEX('Key Metrics'!Q:Q,MATCH(A125,'Key Metrics'!B:B,0)))</f>
        <v/>
      </c>
      <c r="S125" s="106" t="str">
        <f t="shared" si="1"/>
        <v>Invite</v>
      </c>
      <c r="T125" s="107" t="s">
        <v>18</v>
      </c>
      <c r="U125" s="107" t="b">
        <v>0</v>
      </c>
      <c r="V125" s="107" t="b">
        <v>0</v>
      </c>
      <c r="W125" s="107" t="b">
        <v>0</v>
      </c>
      <c r="X125" s="108"/>
      <c r="Y125" s="106" t="str">
        <f t="array" ref="Y125">INDEX('DiT - 2022-2023 Applications Re'!U:U,MATCH(A125,'DiT - 2022-2023 Applications Re'!B:B,0))</f>
        <v>Invite</v>
      </c>
    </row>
    <row r="126" spans="1:25" ht="22">
      <c r="A126" s="109" t="s">
        <v>184</v>
      </c>
      <c r="B126" s="86" t="str">
        <f t="array" ref="B126">INDEX(Interview,MATCH(A126,Name,0))</f>
        <v>Invite</v>
      </c>
      <c r="C126" s="86" t="str">
        <f t="array" ref="C126">INDEX(Track,MATCH(A126,Name,0))</f>
        <v>Digital Tech</v>
      </c>
      <c r="D126" s="87">
        <f t="array" ref="D126">INDEX(Score,MATCH(A126,Name,0))</f>
        <v>4.25</v>
      </c>
      <c r="E126" s="88">
        <f t="array" aca="1" ref="E126" ca="1">INDEX(Date,MATCH(A126,Name,0))</f>
        <v>44796</v>
      </c>
      <c r="F126" s="86" t="s">
        <v>13347</v>
      </c>
      <c r="G126" s="86" t="s">
        <v>13364</v>
      </c>
      <c r="H126" s="86" t="str">
        <f t="array" ref="H126">IFERROR(INDEX('2022-2023 Third Reviews'!K:K,MATCH(A126,'2022-2023 Third Reviews'!C:C,0)),"")</f>
        <v/>
      </c>
      <c r="I126" s="89" t="s">
        <v>11243</v>
      </c>
      <c r="J126" s="89" t="s">
        <v>1169</v>
      </c>
      <c r="K126" s="89" t="str">
        <f t="array" ref="K126">IFERROR(INDEX('2022-2023 Third Reviews'!L:L,MATCH(A126,'2022-2023 Third Reviews'!C:C,0)),"")</f>
        <v/>
      </c>
      <c r="L126" s="90" t="str">
        <f t="array" ref="L126">INDEX(AppNotes,MATCH(A126,Name,0))</f>
        <v>interviewed last year; MF gave 7; Great founder, pay particularly attention to them this year; grown since last app</v>
      </c>
      <c r="M126" s="91" t="str">
        <f t="array" aca="1" ref="M126" ca="1">INDEX(Team,MATCH(A126,'Key Metrics'!B:B,0))</f>
        <v>Man, Woman</v>
      </c>
      <c r="N126" s="87" t="str">
        <f t="array" aca="1" ref="N126" ca="1">IF(INDEX('Key Metrics'!F:F,MATCH(A126,'Key Metrics'!B:B,0))="Woman","Yes","")</f>
        <v/>
      </c>
      <c r="O126" s="87" t="str">
        <f t="shared" ca="1" si="0"/>
        <v>Yes</v>
      </c>
      <c r="P126" s="92">
        <f t="array" ref="P126">INDEX(Referral,MATCH(A126,Name,0))</f>
        <v>0</v>
      </c>
      <c r="Q126" s="92">
        <f t="array" aca="1" ref="Q126" ca="1">IF(INDEX(NYUAfillType,MATCH(A126,'Key Metrics'!B:B,0))="Other (please specify)",INDEX('Key Metrics'!N:N,MATCH(A126,'Key Metrics'!B:B,0)),INDEX(NYUAfillType,MATCH(A126,'Key Metrics'!B:B,0)))</f>
        <v>0</v>
      </c>
      <c r="R126" s="93" t="str">
        <f t="array" aca="1" ref="R126" ca="1">IF(INDEX('Key Metrics'!Q:Q,MATCH(A126,'Key Metrics'!B:B,0))="No","",INDEX('Key Metrics'!Q:Q,MATCH(A126,'Key Metrics'!B:B,0)))</f>
        <v>Yes|No</v>
      </c>
      <c r="S126" s="94" t="str">
        <f t="shared" si="1"/>
        <v>Invite</v>
      </c>
      <c r="T126" s="95" t="s">
        <v>18</v>
      </c>
      <c r="U126" s="95" t="b">
        <v>0</v>
      </c>
      <c r="V126" s="95" t="b">
        <v>0</v>
      </c>
      <c r="W126" s="95" t="b">
        <v>0</v>
      </c>
      <c r="X126" s="96"/>
      <c r="Y126" s="94" t="str">
        <f t="array" ref="Y126">INDEX('DiT - 2022-2023 Applications Re'!U:U,MATCH(A126,'DiT - 2022-2023 Applications Re'!B:B,0))</f>
        <v>Invite</v>
      </c>
    </row>
    <row r="127" spans="1:25" ht="88" hidden="1">
      <c r="A127" s="97" t="s">
        <v>185</v>
      </c>
      <c r="B127" s="98" t="str">
        <f t="array" ref="B127">INDEX(Interview,MATCH(A127,Name,0))</f>
        <v>Invite</v>
      </c>
      <c r="C127" s="98" t="str">
        <f t="array" ref="C127">INDEX(Track,MATCH(A127,Name,0))</f>
        <v>Digital Tech</v>
      </c>
      <c r="D127" s="99">
        <f t="array" ref="D127">INDEX(Score,MATCH(A127,Name,0))</f>
        <v>3.75</v>
      </c>
      <c r="E127" s="100">
        <f t="array" aca="1" ref="E127" ca="1">INDEX(Date,MATCH(A127,Name,0))</f>
        <v>44796</v>
      </c>
      <c r="F127" s="98" t="s">
        <v>13304</v>
      </c>
      <c r="G127" s="98" t="s">
        <v>13368</v>
      </c>
      <c r="H127" s="98" t="str">
        <f t="array" ref="H127">IFERROR(INDEX('2022-2023 Third Reviews'!K:K,MATCH(A127,'2022-2023 Third Reviews'!C:C,0)),"")</f>
        <v/>
      </c>
      <c r="I127" s="101" t="s">
        <v>11132</v>
      </c>
      <c r="J127" s="101" t="s">
        <v>1178</v>
      </c>
      <c r="K127" s="101" t="str">
        <f t="array" ref="K127">IFERROR(INDEX('2022-2023 Third Reviews'!L:L,MATCH(A127,'2022-2023 Third Reviews'!C:C,0)),"")</f>
        <v/>
      </c>
      <c r="L127" s="102" t="str">
        <f t="array" ref="L127">INDEX(AppNotes,MATCH(A127,Name,0))</f>
        <v>AI/Decentralized investing, sort of like crowd funding but to the next level; does not have much if any tech protection; "hard to patent a mathmatical formula";</v>
      </c>
      <c r="M127" s="103" t="str">
        <f t="array" aca="1" ref="M127" ca="1">INDEX(Team,MATCH(A127,'Key Metrics'!B:B,0))</f>
        <v>Man, Man</v>
      </c>
      <c r="N127" s="99" t="str">
        <f t="array" aca="1" ref="N127" ca="1">IF(INDEX('Key Metrics'!F:F,MATCH(A127,'Key Metrics'!B:B,0))="Woman","Yes","")</f>
        <v/>
      </c>
      <c r="O127" s="99" t="str">
        <f t="shared" ca="1" si="0"/>
        <v/>
      </c>
      <c r="P127" s="104">
        <f t="array" ref="P127">INDEX(Referral,MATCH(A127,Name,0))</f>
        <v>0</v>
      </c>
      <c r="Q127" s="104">
        <f t="array" aca="1" ref="Q127" ca="1">IF(INDEX(NYUAfillType,MATCH(A127,'Key Metrics'!B:B,0))="Other (please specify)",INDEX('Key Metrics'!N:N,MATCH(A127,'Key Metrics'!B:B,0)),INDEX(NYUAfillType,MATCH(A127,'Key Metrics'!B:B,0)))</f>
        <v>0</v>
      </c>
      <c r="R127" s="105" t="str">
        <f t="array" aca="1" ref="R127" ca="1">IF(INDEX('Key Metrics'!Q:Q,MATCH(A127,'Key Metrics'!B:B,0))="No","",INDEX('Key Metrics'!Q:Q,MATCH(A127,'Key Metrics'!B:B,0)))</f>
        <v/>
      </c>
      <c r="S127" s="106" t="str">
        <f t="shared" si="1"/>
        <v>Invite</v>
      </c>
      <c r="T127" s="107" t="s">
        <v>18</v>
      </c>
      <c r="U127" s="107" t="b">
        <v>0</v>
      </c>
      <c r="V127" s="107" t="b">
        <v>0</v>
      </c>
      <c r="W127" s="107" t="b">
        <v>0</v>
      </c>
      <c r="X127" s="108"/>
      <c r="Y127" s="106" t="str">
        <f t="array" ref="Y127">INDEX('DiT - 2022-2023 Applications Re'!U:U,MATCH(A127,'DiT - 2022-2023 Applications Re'!B:B,0))</f>
        <v>Invite</v>
      </c>
    </row>
    <row r="128" spans="1:25" ht="33" hidden="1">
      <c r="A128" s="109" t="s">
        <v>186</v>
      </c>
      <c r="B128" s="86" t="str">
        <f t="array" ref="B128">INDEX(Interview,MATCH(A128,Name,0))</f>
        <v>Invite</v>
      </c>
      <c r="C128" s="86" t="str">
        <f t="array" ref="C128">INDEX(Track,MATCH(A128,Name,0))</f>
        <v>Digital Tech</v>
      </c>
      <c r="D128" s="87">
        <f t="array" ref="D128">INDEX(Score,MATCH(A128,Name,0))</f>
        <v>4</v>
      </c>
      <c r="E128" s="88">
        <f t="array" aca="1" ref="E128" ca="1">INDEX(Date,MATCH(A128,Name,0))</f>
        <v>44784</v>
      </c>
      <c r="F128" s="86" t="s">
        <v>13337</v>
      </c>
      <c r="G128" s="86" t="s">
        <v>13349</v>
      </c>
      <c r="H128" s="86" t="str">
        <f t="array" ref="H128">IFERROR(INDEX('2022-2023 Third Reviews'!K:K,MATCH(A128,'2022-2023 Third Reviews'!C:C,0)),"")</f>
        <v/>
      </c>
      <c r="I128" s="89" t="s">
        <v>10721</v>
      </c>
      <c r="J128" s="89" t="s">
        <v>3746</v>
      </c>
      <c r="K128" s="89" t="str">
        <f t="array" ref="K128">IFERROR(INDEX('2022-2023 Third Reviews'!L:L,MATCH(A128,'2022-2023 Third Reviews'!C:C,0)),"")</f>
        <v/>
      </c>
      <c r="L128" s="90">
        <f t="array" ref="L128">INDEX(AppNotes,MATCH(A128,Name,0))</f>
        <v>0</v>
      </c>
      <c r="M128" s="91" t="str">
        <f t="array" aca="1" ref="M128" ca="1">INDEX(Team,MATCH(A128,'Key Metrics'!B:B,0))</f>
        <v>Man, Man</v>
      </c>
      <c r="N128" s="87" t="str">
        <f t="array" aca="1" ref="N128" ca="1">IF(INDEX('Key Metrics'!F:F,MATCH(A128,'Key Metrics'!B:B,0))="Woman","Yes","")</f>
        <v/>
      </c>
      <c r="O128" s="87" t="str">
        <f t="shared" ca="1" si="0"/>
        <v/>
      </c>
      <c r="P128" s="92">
        <f t="array" ref="P128">INDEX(Referral,MATCH(A128,Name,0))</f>
        <v>0</v>
      </c>
      <c r="Q128" s="92">
        <f t="array" aca="1" ref="Q128" ca="1">IF(INDEX(NYUAfillType,MATCH(A128,'Key Metrics'!B:B,0))="Other (please specify)",INDEX('Key Metrics'!N:N,MATCH(A128,'Key Metrics'!B:B,0)),INDEX(NYUAfillType,MATCH(A128,'Key Metrics'!B:B,0)))</f>
        <v>0</v>
      </c>
      <c r="R128" s="93" t="str">
        <f t="array" aca="1" ref="R128" ca="1">IF(INDEX('Key Metrics'!Q:Q,MATCH(A128,'Key Metrics'!B:B,0))="No","",INDEX('Key Metrics'!Q:Q,MATCH(A128,'Key Metrics'!B:B,0)))</f>
        <v/>
      </c>
      <c r="S128" s="94" t="str">
        <f t="shared" si="1"/>
        <v>Invite Next Year</v>
      </c>
      <c r="T128" s="95" t="s">
        <v>24</v>
      </c>
      <c r="U128" s="95" t="b">
        <v>0</v>
      </c>
      <c r="V128" s="95" t="b">
        <v>0</v>
      </c>
      <c r="W128" s="95" t="b">
        <v>0</v>
      </c>
      <c r="X128" s="96"/>
      <c r="Y128" s="94" t="str">
        <f t="array" ref="Y128">INDEX('DiT - 2022-2023 Applications Re'!U:U,MATCH(A128,'DiT - 2022-2023 Applications Re'!B:B,0))</f>
        <v>Invite Next Year</v>
      </c>
    </row>
    <row r="129" spans="1:25" ht="44" hidden="1">
      <c r="A129" s="97" t="s">
        <v>187</v>
      </c>
      <c r="B129" s="98" t="str">
        <f t="array" ref="B129">INDEX(Interview,MATCH(A129,Name,0))</f>
        <v>Invite</v>
      </c>
      <c r="C129" s="98" t="str">
        <f t="array" ref="C129">INDEX(Track,MATCH(A129,Name,0))</f>
        <v>Digital Tech</v>
      </c>
      <c r="D129" s="99">
        <f t="array" ref="D129">INDEX(Score,MATCH(A129,Name,0))</f>
        <v>4.25</v>
      </c>
      <c r="E129" s="100">
        <f t="array" aca="1" ref="E129" ca="1">INDEX(Date,MATCH(A129,Name,0))</f>
        <v>44796</v>
      </c>
      <c r="F129" s="98" t="s">
        <v>13347</v>
      </c>
      <c r="G129" s="98" t="s">
        <v>13369</v>
      </c>
      <c r="H129" s="98" t="str">
        <f t="array" ref="H129">IFERROR(INDEX('2022-2023 Third Reviews'!K:K,MATCH(A129,'2022-2023 Third Reviews'!C:C,0)),"")</f>
        <v/>
      </c>
      <c r="I129" s="101" t="s">
        <v>11273</v>
      </c>
      <c r="J129" s="101" t="s">
        <v>1188</v>
      </c>
      <c r="K129" s="101" t="str">
        <f t="array" ref="K129">IFERROR(INDEX('2022-2023 Third Reviews'!L:L,MATCH(A129,'2022-2023 Third Reviews'!C:C,0)),"")</f>
        <v/>
      </c>
      <c r="L129" s="102">
        <f t="array" ref="L129">INDEX(AppNotes,MATCH(A129,Name,0))</f>
        <v>0</v>
      </c>
      <c r="M129" s="103" t="str">
        <f t="array" aca="1" ref="M129" ca="1">INDEX(Team,MATCH(A129,'Key Metrics'!B:B,0))</f>
        <v>Man, Man, Man</v>
      </c>
      <c r="N129" s="99" t="str">
        <f t="array" aca="1" ref="N129" ca="1">IF(INDEX('Key Metrics'!F:F,MATCH(A129,'Key Metrics'!B:B,0))="Woman","Yes","")</f>
        <v/>
      </c>
      <c r="O129" s="99" t="str">
        <f t="shared" ca="1" si="0"/>
        <v/>
      </c>
      <c r="P129" s="104" t="str">
        <f t="array" ref="P129">INDEX(Referral,MATCH(A129,Name,0))</f>
        <v>Jonathan Begg</v>
      </c>
      <c r="Q129" s="104">
        <f t="array" aca="1" ref="Q129" ca="1">IF(INDEX(NYUAfillType,MATCH(A129,'Key Metrics'!B:B,0))="Other (please specify)",INDEX('Key Metrics'!N:N,MATCH(A129,'Key Metrics'!B:B,0)),INDEX(NYUAfillType,MATCH(A129,'Key Metrics'!B:B,0)))</f>
        <v>0</v>
      </c>
      <c r="R129" s="105" t="str">
        <f t="array" aca="1" ref="R129" ca="1">IF(INDEX('Key Metrics'!Q:Q,MATCH(A129,'Key Metrics'!B:B,0))="No","",INDEX('Key Metrics'!Q:Q,MATCH(A129,'Key Metrics'!B:B,0)))</f>
        <v/>
      </c>
      <c r="S129" s="106" t="str">
        <f t="shared" si="1"/>
        <v>Invite</v>
      </c>
      <c r="T129" s="107" t="s">
        <v>18</v>
      </c>
      <c r="U129" s="107" t="b">
        <v>0</v>
      </c>
      <c r="V129" s="107" t="b">
        <v>0</v>
      </c>
      <c r="W129" s="107" t="b">
        <v>0</v>
      </c>
      <c r="X129" s="108"/>
      <c r="Y129" s="106" t="str">
        <f t="array" ref="Y129">INDEX('DiT - 2022-2023 Applications Re'!U:U,MATCH(A129,'DiT - 2022-2023 Applications Re'!B:B,0))</f>
        <v>Invite</v>
      </c>
    </row>
    <row r="130" spans="1:25" ht="44" hidden="1">
      <c r="A130" s="109" t="s">
        <v>188</v>
      </c>
      <c r="B130" s="86" t="str">
        <f t="array" ref="B130">INDEX(Interview,MATCH(A130,Name,0))</f>
        <v>Revisit/ Cluster</v>
      </c>
      <c r="C130" s="86" t="str">
        <f t="array" ref="C130">INDEX(Track,MATCH(A130,Name,0))</f>
        <v>Digital Tech</v>
      </c>
      <c r="D130" s="87">
        <f t="array" ref="D130">INDEX(Score,MATCH(A130,Name,0))</f>
        <v>4</v>
      </c>
      <c r="E130" s="88">
        <f t="array" aca="1" ref="E130" ca="1">INDEX(Date,MATCH(A130,Name,0))</f>
        <v>44796</v>
      </c>
      <c r="F130" s="86" t="s">
        <v>13337</v>
      </c>
      <c r="G130" s="86" t="s">
        <v>13370</v>
      </c>
      <c r="H130" s="86" t="str">
        <f t="array" ref="H130">IFERROR(INDEX('2022-2023 Third Reviews'!K:K,MATCH(A130,'2022-2023 Third Reviews'!C:C,0)),"")</f>
        <v/>
      </c>
      <c r="I130" s="89" t="s">
        <v>11499</v>
      </c>
      <c r="J130" s="89" t="s">
        <v>3755</v>
      </c>
      <c r="K130" s="89" t="str">
        <f t="array" ref="K130">IFERROR(INDEX('2022-2023 Third Reviews'!L:L,MATCH(A130,'2022-2023 Third Reviews'!C:C,0)),"")</f>
        <v/>
      </c>
      <c r="L130" s="90" t="str">
        <f t="array" ref="L130">INDEX(AppNotes,MATCH(A130,Name,0))</f>
        <v>Using AI for legal review/edit to make more efficient; 2M in revenue, but no plans to raise more funding; 17/20 top law firms in JP are already using, looking to expand into US; would mentors be interested if they are not fund raising? cluster with other legal companies?</v>
      </c>
      <c r="M130" s="91" t="str">
        <f t="array" aca="1" ref="M130" ca="1">INDEX(Team,MATCH(A130,'Key Metrics'!B:B,0))</f>
        <v>Man, Man</v>
      </c>
      <c r="N130" s="87" t="str">
        <f t="array" aca="1" ref="N130" ca="1">IF(INDEX('Key Metrics'!F:F,MATCH(A130,'Key Metrics'!B:B,0))="Woman","Yes","")</f>
        <v/>
      </c>
      <c r="O130" s="87" t="str">
        <f t="shared" ca="1" si="0"/>
        <v/>
      </c>
      <c r="P130" s="92" t="str">
        <f t="array" ref="P130">INDEX(Referral,MATCH(A130,Name,0))</f>
        <v>Simone Zhang</v>
      </c>
      <c r="Q130" s="92" t="str">
        <f t="array" aca="1" ref="Q130" ca="1">IF(INDEX(NYUAfillType,MATCH(A130,'Key Metrics'!B:B,0))="Other (please specify)",INDEX('Key Metrics'!N:N,MATCH(A130,'Key Metrics'!B:B,0)),INDEX(NYUAfillType,MATCH(A130,'Key Metrics'!B:B,0)))</f>
        <v>NYU Student</v>
      </c>
      <c r="R130" s="93" t="str">
        <f t="array" aca="1" ref="R130" ca="1">IF(INDEX('Key Metrics'!Q:Q,MATCH(A130,'Key Metrics'!B:B,0))="No","",INDEX('Key Metrics'!Q:Q,MATCH(A130,'Key Metrics'!B:B,0)))</f>
        <v/>
      </c>
      <c r="S130" s="94" t="str">
        <f t="shared" si="1"/>
        <v>Invite Next Year</v>
      </c>
      <c r="T130" s="95" t="s">
        <v>24</v>
      </c>
      <c r="U130" s="95" t="b">
        <v>0</v>
      </c>
      <c r="V130" s="95" t="b">
        <v>0</v>
      </c>
      <c r="W130" s="95" t="b">
        <v>0</v>
      </c>
      <c r="X130" s="96"/>
      <c r="Y130" s="94" t="str">
        <f t="array" ref="Y130">INDEX('DiT - 2022-2023 Applications Re'!U:U,MATCH(A130,'DiT - 2022-2023 Applications Re'!B:B,0))</f>
        <v>Invite Next Year</v>
      </c>
    </row>
    <row r="131" spans="1:25" ht="22" hidden="1">
      <c r="A131" s="97" t="s">
        <v>189</v>
      </c>
      <c r="B131" s="98" t="str">
        <f t="array" ref="B131">INDEX(Interview,MATCH(A131,Name,0))</f>
        <v>Invite</v>
      </c>
      <c r="C131" s="98" t="str">
        <f t="array" ref="C131">INDEX(Track,MATCH(A131,Name,0))</f>
        <v>Digital Tech</v>
      </c>
      <c r="D131" s="99">
        <f t="array" ref="D131">INDEX(Score,MATCH(A131,Name,0))</f>
        <v>4</v>
      </c>
      <c r="E131" s="100">
        <f t="array" aca="1" ref="E131" ca="1">INDEX(Date,MATCH(A131,Name,0))</f>
        <v>44797</v>
      </c>
      <c r="F131" s="98" t="s">
        <v>13304</v>
      </c>
      <c r="G131" s="98" t="s">
        <v>13314</v>
      </c>
      <c r="H131" s="98" t="str">
        <f t="array" ref="H131">IFERROR(INDEX('2022-2023 Third Reviews'!K:K,MATCH(A131,'2022-2023 Third Reviews'!C:C,0)),"")</f>
        <v/>
      </c>
      <c r="I131" s="101" t="s">
        <v>11274</v>
      </c>
      <c r="J131" s="101" t="s">
        <v>3764</v>
      </c>
      <c r="K131" s="101" t="str">
        <f t="array" ref="K131">IFERROR(INDEX('2022-2023 Third Reviews'!L:L,MATCH(A131,'2022-2023 Third Reviews'!C:C,0)),"")</f>
        <v/>
      </c>
      <c r="L131" s="102">
        <f t="array" ref="L131">INDEX(AppNotes,MATCH(A131,Name,0))</f>
        <v>0</v>
      </c>
      <c r="M131" s="103" t="str">
        <f t="array" aca="1" ref="M131" ca="1">INDEX(Team,MATCH(A131,'Key Metrics'!B:B,0))</f>
        <v>Man</v>
      </c>
      <c r="N131" s="99" t="str">
        <f t="array" aca="1" ref="N131" ca="1">IF(INDEX('Key Metrics'!F:F,MATCH(A131,'Key Metrics'!B:B,0))="Woman","Yes","")</f>
        <v/>
      </c>
      <c r="O131" s="99" t="str">
        <f t="shared" ca="1" si="0"/>
        <v/>
      </c>
      <c r="P131" s="104">
        <f t="array" ref="P131">INDEX(Referral,MATCH(A131,Name,0))</f>
        <v>0</v>
      </c>
      <c r="Q131" s="104">
        <f t="array" aca="1" ref="Q131" ca="1">IF(INDEX(NYUAfillType,MATCH(A131,'Key Metrics'!B:B,0))="Other (please specify)",INDEX('Key Metrics'!N:N,MATCH(A131,'Key Metrics'!B:B,0)),INDEX(NYUAfillType,MATCH(A131,'Key Metrics'!B:B,0)))</f>
        <v>0</v>
      </c>
      <c r="R131" s="105" t="str">
        <f t="array" aca="1" ref="R131" ca="1">IF(INDEX('Key Metrics'!Q:Q,MATCH(A131,'Key Metrics'!B:B,0))="No","",INDEX('Key Metrics'!Q:Q,MATCH(A131,'Key Metrics'!B:B,0)))</f>
        <v/>
      </c>
      <c r="S131" s="106" t="str">
        <f t="shared" si="1"/>
        <v>Invite Next Year</v>
      </c>
      <c r="T131" s="107" t="s">
        <v>24</v>
      </c>
      <c r="U131" s="107" t="b">
        <v>0</v>
      </c>
      <c r="V131" s="107" t="b">
        <v>0</v>
      </c>
      <c r="W131" s="107" t="b">
        <v>0</v>
      </c>
      <c r="X131" s="108"/>
      <c r="Y131" s="106" t="str">
        <f t="array" ref="Y131">INDEX('DiT - 2022-2023 Applications Re'!U:U,MATCH(A131,'DiT - 2022-2023 Applications Re'!B:B,0))</f>
        <v>Invite Next Year</v>
      </c>
    </row>
    <row r="132" spans="1:25" ht="55" hidden="1">
      <c r="A132" s="109" t="s">
        <v>190</v>
      </c>
      <c r="B132" s="86" t="str">
        <f t="array" ref="B132">INDEX(Interview,MATCH(A132,Name,0))</f>
        <v>Revisit/ Cluster</v>
      </c>
      <c r="C132" s="86" t="str">
        <f t="array" ref="C132">INDEX(Track,MATCH(A132,Name,0))</f>
        <v>Digital Tech</v>
      </c>
      <c r="D132" s="87">
        <f t="array" ref="D132">INDEX(Score,MATCH(A132,Name,0))</f>
        <v>4</v>
      </c>
      <c r="E132" s="88">
        <f t="array" aca="1" ref="E132" ca="1">INDEX(Date,MATCH(A132,Name,0))</f>
        <v>44776</v>
      </c>
      <c r="F132" s="86" t="s">
        <v>13329</v>
      </c>
      <c r="G132" s="86" t="s">
        <v>13349</v>
      </c>
      <c r="H132" s="86" t="str">
        <f t="array" aca="1" ref="H132" ca="1">IFERROR(INDEX('2022-2023 Third Reviews'!K:K,MATCH(A132,'2022-2023 Third Reviews'!C:C,0)),"")</f>
        <v>Jason Yu
3</v>
      </c>
      <c r="I132" s="89" t="s">
        <v>11408</v>
      </c>
      <c r="J132" s="89" t="s">
        <v>3771</v>
      </c>
      <c r="K132" s="89" t="str">
        <f t="array" aca="1" ref="K132" ca="1">IFERROR(INDEX('2022-2023 Third Reviews'!L:L,MATCH(A132,'2022-2023 Third Reviews'!C:C,0)),"")</f>
        <v>No current customer base. Unclear what the demand for this software will be.</v>
      </c>
      <c r="L132" s="90" t="str">
        <f t="array" ref="L132">INDEX(AppNotes,MATCH(A132,Name,0))</f>
        <v>NYU affiliation; concerns with performance in relation to competition</v>
      </c>
      <c r="M132" s="91" t="str">
        <f t="array" aca="1" ref="M132" ca="1">INDEX(Team,MATCH(A132,'Key Metrics'!B:B,0))</f>
        <v>Woman, Man, Man</v>
      </c>
      <c r="N132" s="87" t="str">
        <f t="array" aca="1" ref="N132" ca="1">IF(INDEX('Key Metrics'!F:F,MATCH(A132,'Key Metrics'!B:B,0))="Woman","Yes","")</f>
        <v>Yes</v>
      </c>
      <c r="O132" s="87" t="str">
        <f t="shared" ca="1" si="0"/>
        <v>Yes</v>
      </c>
      <c r="P132" s="92" t="str">
        <f t="array" ref="P132">INDEX(Referral,MATCH(A132,Name,0))</f>
        <v>AWS!</v>
      </c>
      <c r="Q132" s="92" t="str">
        <f t="array" aca="1" ref="Q132" ca="1">IF(INDEX(NYUAfillType,MATCH(A132,'Key Metrics'!B:B,0))="Other (please specify)",INDEX('Key Metrics'!N:N,MATCH(A132,'Key Metrics'!B:B,0)),INDEX(NYUAfillType,MATCH(A132,'Key Metrics'!B:B,0)))</f>
        <v>NYU Faculty</v>
      </c>
      <c r="R132" s="93" t="str">
        <f t="array" aca="1" ref="R132" ca="1">IF(INDEX('Key Metrics'!Q:Q,MATCH(A132,'Key Metrics'!B:B,0))="No","",INDEX('Key Metrics'!Q:Q,MATCH(A132,'Key Metrics'!B:B,0)))</f>
        <v/>
      </c>
      <c r="S132" s="94" t="str">
        <f t="shared" si="1"/>
        <v>Invite Next Year</v>
      </c>
      <c r="T132" s="95" t="s">
        <v>24</v>
      </c>
      <c r="U132" s="95" t="b">
        <v>0</v>
      </c>
      <c r="V132" s="95" t="b">
        <v>0</v>
      </c>
      <c r="W132" s="95" t="b">
        <v>0</v>
      </c>
      <c r="X132" s="96"/>
      <c r="Y132" s="94" t="str">
        <f t="array" ref="Y132">INDEX('DiT - 2022-2023 Applications Re'!U:U,MATCH(A132,'DiT - 2022-2023 Applications Re'!B:B,0))</f>
        <v>Invite Next Year</v>
      </c>
    </row>
    <row r="133" spans="1:25" ht="44" hidden="1">
      <c r="A133" s="97" t="s">
        <v>191</v>
      </c>
      <c r="B133" s="98" t="str">
        <f t="array" ref="B133">INDEX(Interview,MATCH(A133,Name,0))</f>
        <v>Invite</v>
      </c>
      <c r="C133" s="98" t="str">
        <f t="array" ref="C133">INDEX(Track,MATCH(A133,Name,0))</f>
        <v>Digital Tech</v>
      </c>
      <c r="D133" s="99">
        <f t="array" ref="D133">INDEX(Score,MATCH(A133,Name,0))</f>
        <v>4</v>
      </c>
      <c r="E133" s="100">
        <f t="array" aca="1" ref="E133" ca="1">INDEX(Date,MATCH(A133,Name,0))</f>
        <v>44797</v>
      </c>
      <c r="F133" s="98" t="s">
        <v>13329</v>
      </c>
      <c r="G133" s="98" t="s">
        <v>13369</v>
      </c>
      <c r="H133" s="98" t="str">
        <f t="array" ref="H133">IFERROR(INDEX('2022-2023 Third Reviews'!K:K,MATCH(A133,'2022-2023 Third Reviews'!C:C,0)),"")</f>
        <v/>
      </c>
      <c r="I133" s="101" t="s">
        <v>1195</v>
      </c>
      <c r="J133" s="101" t="s">
        <v>1196</v>
      </c>
      <c r="K133" s="101" t="str">
        <f t="array" ref="K133">IFERROR(INDEX('2022-2023 Third Reviews'!L:L,MATCH(A133,'2022-2023 Third Reviews'!C:C,0)),"")</f>
        <v/>
      </c>
      <c r="L133" s="102">
        <f t="array" ref="L133">INDEX(AppNotes,MATCH(A133,Name,0))</f>
        <v>0</v>
      </c>
      <c r="M133" s="103" t="str">
        <f t="array" aca="1" ref="M133" ca="1">INDEX(Team,MATCH(A133,'Key Metrics'!B:B,0))</f>
        <v>Man, Man, Man</v>
      </c>
      <c r="N133" s="99" t="str">
        <f t="array" aca="1" ref="N133" ca="1">IF(INDEX('Key Metrics'!F:F,MATCH(A133,'Key Metrics'!B:B,0))="Woman","Yes","")</f>
        <v/>
      </c>
      <c r="O133" s="99" t="str">
        <f t="shared" ca="1" si="0"/>
        <v/>
      </c>
      <c r="P133" s="104">
        <f t="array" ref="P133">INDEX(Referral,MATCH(A133,Name,0))</f>
        <v>0</v>
      </c>
      <c r="Q133" s="104">
        <f t="array" aca="1" ref="Q133" ca="1">IF(INDEX(NYUAfillType,MATCH(A133,'Key Metrics'!B:B,0))="Other (please specify)",INDEX('Key Metrics'!N:N,MATCH(A133,'Key Metrics'!B:B,0)),INDEX(NYUAfillType,MATCH(A133,'Key Metrics'!B:B,0)))</f>
        <v>0</v>
      </c>
      <c r="R133" s="105" t="str">
        <f t="array" aca="1" ref="R133" ca="1">IF(INDEX('Key Metrics'!Q:Q,MATCH(A133,'Key Metrics'!B:B,0))="No","",INDEX('Key Metrics'!Q:Q,MATCH(A133,'Key Metrics'!B:B,0)))</f>
        <v/>
      </c>
      <c r="S133" s="106" t="str">
        <f t="shared" si="1"/>
        <v>Invite</v>
      </c>
      <c r="T133" s="107" t="s">
        <v>18</v>
      </c>
      <c r="U133" s="107" t="b">
        <v>0</v>
      </c>
      <c r="V133" s="107" t="b">
        <v>0</v>
      </c>
      <c r="W133" s="107" t="b">
        <v>0</v>
      </c>
      <c r="X133" s="108"/>
      <c r="Y133" s="106" t="str">
        <f t="array" ref="Y133">INDEX('DiT - 2022-2023 Applications Re'!U:U,MATCH(A133,'DiT - 2022-2023 Applications Re'!B:B,0))</f>
        <v>Invite</v>
      </c>
    </row>
    <row r="134" spans="1:25" ht="55" hidden="1">
      <c r="A134" s="109" t="s">
        <v>192</v>
      </c>
      <c r="B134" s="86" t="str">
        <f t="array" ref="B134">INDEX(Interview,MATCH(A134,Name,0))</f>
        <v>Invite</v>
      </c>
      <c r="C134" s="86" t="str">
        <f t="array" ref="C134">INDEX(Track,MATCH(A134,Name,0))</f>
        <v>Digital Tech</v>
      </c>
      <c r="D134" s="87">
        <f t="array" ref="D134">INDEX(Score,MATCH(A134,Name,0))</f>
        <v>4</v>
      </c>
      <c r="E134" s="88">
        <f t="array" aca="1" ref="E134" ca="1">INDEX(Date,MATCH(A134,Name,0))</f>
        <v>44796</v>
      </c>
      <c r="F134" s="86" t="s">
        <v>13347</v>
      </c>
      <c r="G134" s="86" t="s">
        <v>13346</v>
      </c>
      <c r="H134" s="86" t="str">
        <f t="array" ref="H134">IFERROR(INDEX('2022-2023 Third Reviews'!K:K,MATCH(A134,'2022-2023 Third Reviews'!C:C,0)),"")</f>
        <v/>
      </c>
      <c r="I134" s="89" t="s">
        <v>11099</v>
      </c>
      <c r="J134" s="89" t="s">
        <v>11100</v>
      </c>
      <c r="K134" s="89" t="str">
        <f t="array" ref="K134">IFERROR(INDEX('2022-2023 Third Reviews'!L:L,MATCH(A134,'2022-2023 Third Reviews'!C:C,0)),"")</f>
        <v/>
      </c>
      <c r="L134" s="90">
        <f t="array" ref="L134">INDEX(AppNotes,MATCH(A134,Name,0))</f>
        <v>0</v>
      </c>
      <c r="M134" s="91" t="str">
        <f t="array" aca="1" ref="M134" ca="1">INDEX(Team,MATCH(A134,'Key Metrics'!B:B,0))</f>
        <v>Woman, Woman, Woman, Man, Man</v>
      </c>
      <c r="N134" s="87" t="str">
        <f t="array" aca="1" ref="N134" ca="1">IF(INDEX('Key Metrics'!F:F,MATCH(A134,'Key Metrics'!B:B,0))="Woman","Yes","")</f>
        <v>Yes</v>
      </c>
      <c r="O134" s="87" t="str">
        <f t="shared" ca="1" si="0"/>
        <v>Yes</v>
      </c>
      <c r="P134" s="92">
        <f t="array" ref="P134">INDEX(Referral,MATCH(A134,Name,0))</f>
        <v>0</v>
      </c>
      <c r="Q134" s="92">
        <f t="array" aca="1" ref="Q134" ca="1">IF(INDEX(NYUAfillType,MATCH(A134,'Key Metrics'!B:B,0))="Other (please specify)",INDEX('Key Metrics'!N:N,MATCH(A134,'Key Metrics'!B:B,0)),INDEX(NYUAfillType,MATCH(A134,'Key Metrics'!B:B,0)))</f>
        <v>0</v>
      </c>
      <c r="R134" s="93" t="str">
        <f t="array" aca="1" ref="R134" ca="1">IF(INDEX('Key Metrics'!Q:Q,MATCH(A134,'Key Metrics'!B:B,0))="No","",INDEX('Key Metrics'!Q:Q,MATCH(A134,'Key Metrics'!B:B,0)))</f>
        <v/>
      </c>
      <c r="S134" s="94" t="str">
        <f t="shared" si="1"/>
        <v>Invite Next Year</v>
      </c>
      <c r="T134" s="95" t="s">
        <v>24</v>
      </c>
      <c r="U134" s="95" t="b">
        <v>0</v>
      </c>
      <c r="V134" s="95" t="b">
        <v>0</v>
      </c>
      <c r="W134" s="95" t="b">
        <v>0</v>
      </c>
      <c r="X134" s="96"/>
      <c r="Y134" s="94" t="str">
        <f t="array" ref="Y134">INDEX('DiT - 2022-2023 Applications Re'!U:U,MATCH(A134,'DiT - 2022-2023 Applications Re'!B:B,0))</f>
        <v>Invite Next Year</v>
      </c>
    </row>
    <row r="135" spans="1:25" ht="28">
      <c r="A135" s="97" t="s">
        <v>193</v>
      </c>
      <c r="B135" s="98" t="str">
        <f t="array" ref="B135">INDEX(Interview,MATCH(A135,Name,0))</f>
        <v>Invite</v>
      </c>
      <c r="C135" s="98" t="str">
        <f t="array" ref="C135">INDEX(Track,MATCH(A135,Name,0))</f>
        <v>Digital Tech</v>
      </c>
      <c r="D135" s="99">
        <f t="array" ref="D135">INDEX(Score,MATCH(A135,Name,0))</f>
        <v>4.5</v>
      </c>
      <c r="E135" s="100">
        <f t="array" aca="1" ref="E135" ca="1">INDEX(Date,MATCH(A135,Name,0))</f>
        <v>44789</v>
      </c>
      <c r="F135" s="98" t="s">
        <v>13341</v>
      </c>
      <c r="G135" s="98" t="s">
        <v>13371</v>
      </c>
      <c r="H135" s="98" t="str">
        <f t="array" aca="1" ref="H135" ca="1">IFERROR(INDEX('2022-2023 Third Reviews'!K:K,MATCH(A135,'2022-2023 Third Reviews'!C:C,0)),"")</f>
        <v>John McDonald
4</v>
      </c>
      <c r="I135" s="101" t="s">
        <v>1203</v>
      </c>
      <c r="J135" s="101" t="s">
        <v>1204</v>
      </c>
      <c r="K135" s="101">
        <f t="array" aca="1" ref="K135" ca="1">IFERROR(INDEX('2022-2023 Third Reviews'!L:L,MATCH(A135,'2022-2023 Third Reviews'!C:C,0)),"")</f>
        <v>0</v>
      </c>
      <c r="L135" s="102">
        <f t="array" ref="L135">INDEX(AppNotes,MATCH(A135,Name,0))</f>
        <v>0</v>
      </c>
      <c r="M135" s="103" t="str">
        <f t="array" aca="1" ref="M135" ca="1">INDEX(Team,MATCH(A135,'Key Metrics'!B:B,0))</f>
        <v>Man, Man, Woman, Man</v>
      </c>
      <c r="N135" s="99" t="str">
        <f t="array" aca="1" ref="N135" ca="1">IF(INDEX('Key Metrics'!F:F,MATCH(A135,'Key Metrics'!B:B,0))="Woman","Yes","")</f>
        <v/>
      </c>
      <c r="O135" s="99" t="str">
        <f t="shared" ca="1" si="0"/>
        <v>Yes</v>
      </c>
      <c r="P135" s="104">
        <f t="array" ref="P135">INDEX(Referral,MATCH(A135,Name,0))</f>
        <v>0</v>
      </c>
      <c r="Q135" s="104">
        <f t="array" aca="1" ref="Q135" ca="1">IF(INDEX(NYUAfillType,MATCH(A135,'Key Metrics'!B:B,0))="Other (please specify)",INDEX('Key Metrics'!N:N,MATCH(A135,'Key Metrics'!B:B,0)),INDEX(NYUAfillType,MATCH(A135,'Key Metrics'!B:B,0)))</f>
        <v>0</v>
      </c>
      <c r="R135" s="105" t="str">
        <f t="array" aca="1" ref="R135" ca="1">IF(INDEX('Key Metrics'!Q:Q,MATCH(A135,'Key Metrics'!B:B,0))="No","",INDEX('Key Metrics'!Q:Q,MATCH(A135,'Key Metrics'!B:B,0)))</f>
        <v>Yes</v>
      </c>
      <c r="S135" s="106" t="str">
        <f t="shared" si="1"/>
        <v>Invite</v>
      </c>
      <c r="T135" s="107" t="s">
        <v>18</v>
      </c>
      <c r="U135" s="107" t="b">
        <v>0</v>
      </c>
      <c r="V135" s="107" t="b">
        <v>0</v>
      </c>
      <c r="W135" s="107" t="b">
        <v>0</v>
      </c>
      <c r="X135" s="108"/>
      <c r="Y135" s="106" t="str">
        <f t="array" ref="Y135">INDEX('DiT - 2022-2023 Applications Re'!U:U,MATCH(A135,'DiT - 2022-2023 Applications Re'!B:B,0))</f>
        <v>Invite</v>
      </c>
    </row>
    <row r="136" spans="1:25" ht="33">
      <c r="A136" s="109" t="s">
        <v>194</v>
      </c>
      <c r="B136" s="86" t="str">
        <f t="array" ref="B136">INDEX(Interview,MATCH(A136,Name,0))</f>
        <v>Invite</v>
      </c>
      <c r="C136" s="86" t="str">
        <f t="array" ref="C136">INDEX(Track,MATCH(A136,Name,0))</f>
        <v>Digital Tech</v>
      </c>
      <c r="D136" s="87">
        <f t="array" ref="D136">INDEX(Score,MATCH(A136,Name,0))</f>
        <v>3.88</v>
      </c>
      <c r="E136" s="88">
        <f t="array" aca="1" ref="E136" ca="1">INDEX(Date,MATCH(A136,Name,0))</f>
        <v>44782</v>
      </c>
      <c r="F136" s="86" t="s">
        <v>13329</v>
      </c>
      <c r="G136" s="86" t="s">
        <v>13372</v>
      </c>
      <c r="H136" s="86" t="str">
        <f t="array" aca="1" ref="H136" ca="1">IFERROR(INDEX('2022-2023 Third Reviews'!K:K,MATCH(A136,'2022-2023 Third Reviews'!C:C,0)),"")</f>
        <v>Nick Schmandt
3</v>
      </c>
      <c r="I136" s="89" t="s">
        <v>10191</v>
      </c>
      <c r="J136" s="89" t="s">
        <v>1212</v>
      </c>
      <c r="K136" s="89" t="str">
        <f t="array" aca="1" ref="K136" ca="1">IFERROR(INDEX('2022-2023 Third Reviews'!L:L,MATCH(A136,'2022-2023 Third Reviews'!C:C,0)),"")</f>
        <v>It's a good idea, but they have very little money and I'm not sure they have the ability to grow the product further. Also this is a very competitive space.</v>
      </c>
      <c r="L136" s="90" t="str">
        <f t="array" ref="L136">INDEX(AppNotes,MATCH(A136,Name,0))</f>
        <v>currenlty serving 1500 companies, strong revenue, CEO has founded other companies that were later acquired. strong team that compliments each other well</v>
      </c>
      <c r="M136" s="91" t="str">
        <f t="array" aca="1" ref="M136" ca="1">INDEX(Team,MATCH(A136,'Key Metrics'!B:B,0))</f>
        <v>Man, Man, Woman</v>
      </c>
      <c r="N136" s="87" t="str">
        <f t="array" aca="1" ref="N136" ca="1">IF(INDEX('Key Metrics'!F:F,MATCH(A136,'Key Metrics'!B:B,0))="Woman","Yes","")</f>
        <v/>
      </c>
      <c r="O136" s="87" t="str">
        <f t="shared" ca="1" si="0"/>
        <v>Yes</v>
      </c>
      <c r="P136" s="92">
        <f t="array" ref="P136">INDEX(Referral,MATCH(A136,Name,0))</f>
        <v>0</v>
      </c>
      <c r="Q136" s="92">
        <f t="array" aca="1" ref="Q136" ca="1">IF(INDEX(NYUAfillType,MATCH(A136,'Key Metrics'!B:B,0))="Other (please specify)",INDEX('Key Metrics'!N:N,MATCH(A136,'Key Metrics'!B:B,0)),INDEX(NYUAfillType,MATCH(A136,'Key Metrics'!B:B,0)))</f>
        <v>0</v>
      </c>
      <c r="R136" s="93" t="str">
        <f t="array" aca="1" ref="R136" ca="1">IF(INDEX('Key Metrics'!Q:Q,MATCH(A136,'Key Metrics'!B:B,0))="No","",INDEX('Key Metrics'!Q:Q,MATCH(A136,'Key Metrics'!B:B,0)))</f>
        <v/>
      </c>
      <c r="S136" s="94" t="str">
        <f t="shared" si="1"/>
        <v>Invite</v>
      </c>
      <c r="T136" s="95" t="s">
        <v>18</v>
      </c>
      <c r="U136" s="95" t="b">
        <v>0</v>
      </c>
      <c r="V136" s="95" t="b">
        <v>0</v>
      </c>
      <c r="W136" s="95" t="b">
        <v>0</v>
      </c>
      <c r="X136" s="96"/>
      <c r="Y136" s="94" t="str">
        <f t="array" ref="Y136">INDEX('DiT - 2022-2023 Applications Re'!U:U,MATCH(A136,'DiT - 2022-2023 Applications Re'!B:B,0))</f>
        <v>Invite</v>
      </c>
    </row>
    <row r="137" spans="1:25" ht="44" hidden="1">
      <c r="A137" s="97" t="s">
        <v>195</v>
      </c>
      <c r="B137" s="98" t="str">
        <f t="array" ref="B137">INDEX(Interview,MATCH(A137,Name,0))</f>
        <v>Invite</v>
      </c>
      <c r="C137" s="98" t="str">
        <f t="array" ref="C137">INDEX(Track,MATCH(A137,Name,0))</f>
        <v>Digital Tech</v>
      </c>
      <c r="D137" s="99">
        <f t="array" ref="D137">INDEX(Score,MATCH(A137,Name,0))</f>
        <v>3.88</v>
      </c>
      <c r="E137" s="100">
        <f t="array" aca="1" ref="E137" ca="1">INDEX(Date,MATCH(A137,Name,0))</f>
        <v>44789</v>
      </c>
      <c r="F137" s="98" t="s">
        <v>13351</v>
      </c>
      <c r="G137" s="98" t="s">
        <v>13373</v>
      </c>
      <c r="H137" s="98" t="str">
        <f t="array" aca="1" ref="H137" ca="1">IFERROR(INDEX('2022-2023 Third Reviews'!K:K,MATCH(A137,'2022-2023 Third Reviews'!C:C,0)),"")</f>
        <v>John McDonald
2</v>
      </c>
      <c r="I137" s="101" t="s">
        <v>10652</v>
      </c>
      <c r="J137" s="101" t="s">
        <v>1229</v>
      </c>
      <c r="K137" s="101">
        <f t="array" aca="1" ref="K137" ca="1">IFERROR(INDEX('2022-2023 Third Reviews'!L:L,MATCH(A137,'2022-2023 Third Reviews'!C:C,0)),"")</f>
        <v>0</v>
      </c>
      <c r="L137" s="102" t="str">
        <f t="array" ref="L137">INDEX(AppNotes,MATCH(A137,Name,0))</f>
        <v>three pronged technical approach; one of founders is coming off of managing Israel's covid-19 prevention efforts; technically feels strong with dedicated team; raised a decent seed so far; however tech is not validated yet, with no customers or revenue</v>
      </c>
      <c r="M137" s="103" t="str">
        <f t="array" aca="1" ref="M137" ca="1">INDEX(Team,MATCH(A137,'Key Metrics'!B:B,0))</f>
        <v>Man, Man, Man</v>
      </c>
      <c r="N137" s="99" t="str">
        <f t="array" aca="1" ref="N137" ca="1">IF(INDEX('Key Metrics'!F:F,MATCH(A137,'Key Metrics'!B:B,0))="Woman","Yes","")</f>
        <v/>
      </c>
      <c r="O137" s="99" t="str">
        <f t="shared" ca="1" si="0"/>
        <v/>
      </c>
      <c r="P137" s="104">
        <f t="array" ref="P137">INDEX(Referral,MATCH(A137,Name,0))</f>
        <v>0</v>
      </c>
      <c r="Q137" s="104">
        <f t="array" aca="1" ref="Q137" ca="1">IF(INDEX(NYUAfillType,MATCH(A137,'Key Metrics'!B:B,0))="Other (please specify)",INDEX('Key Metrics'!N:N,MATCH(A137,'Key Metrics'!B:B,0)),INDEX(NYUAfillType,MATCH(A137,'Key Metrics'!B:B,0)))</f>
        <v>0</v>
      </c>
      <c r="R137" s="105" t="str">
        <f t="array" aca="1" ref="R137" ca="1">IF(INDEX('Key Metrics'!Q:Q,MATCH(A137,'Key Metrics'!B:B,0))="No","",INDEX('Key Metrics'!Q:Q,MATCH(A137,'Key Metrics'!B:B,0)))</f>
        <v/>
      </c>
      <c r="S137" s="106" t="str">
        <f t="shared" si="1"/>
        <v>Invite</v>
      </c>
      <c r="T137" s="107" t="s">
        <v>18</v>
      </c>
      <c r="U137" s="107" t="b">
        <v>0</v>
      </c>
      <c r="V137" s="107" t="b">
        <v>0</v>
      </c>
      <c r="W137" s="107" t="b">
        <v>0</v>
      </c>
      <c r="X137" s="108"/>
      <c r="Y137" s="106" t="str">
        <f t="array" ref="Y137">INDEX('DiT - 2022-2023 Applications Re'!U:U,MATCH(A137,'DiT - 2022-2023 Applications Re'!B:B,0))</f>
        <v>Invite</v>
      </c>
    </row>
    <row r="138" spans="1:25" ht="55" hidden="1">
      <c r="A138" s="109" t="s">
        <v>196</v>
      </c>
      <c r="B138" s="86" t="str">
        <f t="array" ref="B138">INDEX(Interview,MATCH(A138,Name,0))</f>
        <v>Revisit/ Cluster</v>
      </c>
      <c r="C138" s="86" t="str">
        <f t="array" ref="C138">INDEX(Track,MATCH(A138,Name,0))</f>
        <v>Digital Tech</v>
      </c>
      <c r="D138" s="87">
        <f t="array" ref="D138">INDEX(Score,MATCH(A138,Name,0))</f>
        <v>4</v>
      </c>
      <c r="E138" s="88">
        <f t="array" aca="1" ref="E138" ca="1">INDEX(Date,MATCH(A138,Name,0))</f>
        <v>44791</v>
      </c>
      <c r="F138" s="86" t="s">
        <v>13337</v>
      </c>
      <c r="G138" s="86" t="s">
        <v>13356</v>
      </c>
      <c r="H138" s="86" t="str">
        <f t="array" aca="1" ref="H138" ca="1">IFERROR(INDEX('2022-2023 Third Reviews'!K:K,MATCH(A138,'2022-2023 Third Reviews'!C:C,0)),"")</f>
        <v>Nick Schmandt
4</v>
      </c>
      <c r="I138" s="89" t="s">
        <v>10497</v>
      </c>
      <c r="J138" s="89" t="s">
        <v>481</v>
      </c>
      <c r="K138" s="89" t="str">
        <f t="array" aca="1" ref="K138" ca="1">IFERROR(INDEX('2022-2023 Third Reviews'!L:L,MATCH(A138,'2022-2023 Third Reviews'!C:C,0)),"")</f>
        <v>I worked on something similar to this, helping people be able to code algos into financial markets for equities. I think there is definitely the potential for people to use it, but it's unfortunate they limited themselves to crypto, which is likely going to be a serious liability over the next few years. They need to expand to traditional assets as soon as possible, but the regulatory barriers are much higher there.</v>
      </c>
      <c r="L138" s="90" t="str">
        <f t="array" ref="L138">INDEX(AppNotes,MATCH(A138,Name,0))</f>
        <v>strong well rounded team; low code no code bots for crypto/nft space; is this something we've seen before, mote isn't very technical, its more in the networking; do they have something truly unique to warrant us bringing them in? significant drop in revenue; 1.2M to 860K, but theres traction in the community;</v>
      </c>
      <c r="M138" s="91" t="str">
        <f t="array" aca="1" ref="M138" ca="1">INDEX(Team,MATCH(A138,'Key Metrics'!B:B,0))</f>
        <v>Man, Man, Man</v>
      </c>
      <c r="N138" s="87" t="str">
        <f t="array" aca="1" ref="N138" ca="1">IF(INDEX('Key Metrics'!F:F,MATCH(A138,'Key Metrics'!B:B,0))="Woman","Yes","")</f>
        <v/>
      </c>
      <c r="O138" s="87" t="str">
        <f t="shared" ca="1" si="0"/>
        <v/>
      </c>
      <c r="P138" s="92">
        <f t="array" ref="P138">INDEX(Referral,MATCH(A138,Name,0))</f>
        <v>0</v>
      </c>
      <c r="Q138" s="92">
        <f t="array" aca="1" ref="Q138" ca="1">IF(INDEX(NYUAfillType,MATCH(A138,'Key Metrics'!B:B,0))="Other (please specify)",INDEX('Key Metrics'!N:N,MATCH(A138,'Key Metrics'!B:B,0)),INDEX(NYUAfillType,MATCH(A138,'Key Metrics'!B:B,0)))</f>
        <v>0</v>
      </c>
      <c r="R138" s="93" t="str">
        <f t="array" aca="1" ref="R138" ca="1">IF(INDEX('Key Metrics'!Q:Q,MATCH(A138,'Key Metrics'!B:B,0))="No","",INDEX('Key Metrics'!Q:Q,MATCH(A138,'Key Metrics'!B:B,0)))</f>
        <v/>
      </c>
      <c r="S138" s="94" t="str">
        <f t="shared" si="1"/>
        <v>Invite Next Year</v>
      </c>
      <c r="T138" s="95" t="s">
        <v>24</v>
      </c>
      <c r="U138" s="95" t="b">
        <v>0</v>
      </c>
      <c r="V138" s="95" t="b">
        <v>0</v>
      </c>
      <c r="W138" s="95" t="b">
        <v>0</v>
      </c>
      <c r="X138" s="96"/>
      <c r="Y138" s="94" t="str">
        <f t="array" ref="Y138">INDEX('DiT - 2022-2023 Applications Re'!U:U,MATCH(A138,'DiT - 2022-2023 Applications Re'!B:B,0))</f>
        <v>Invite Next Year</v>
      </c>
    </row>
    <row r="139" spans="1:25" ht="28" hidden="1">
      <c r="A139" s="97" t="s">
        <v>197</v>
      </c>
      <c r="B139" s="98" t="str">
        <f t="array" ref="B139">INDEX(Interview,MATCH(A139,Name,0))</f>
        <v>Invite</v>
      </c>
      <c r="C139" s="98" t="str">
        <f t="array" ref="C139">INDEX(Track,MATCH(A139,Name,0))</f>
        <v>Digital Tech</v>
      </c>
      <c r="D139" s="99">
        <f t="array" ref="D139">INDEX(Score,MATCH(A139,Name,0))</f>
        <v>4.13</v>
      </c>
      <c r="E139" s="100">
        <f t="array" aca="1" ref="E139" ca="1">INDEX(Date,MATCH(A139,Name,0))</f>
        <v>44791</v>
      </c>
      <c r="F139" s="98" t="s">
        <v>13374</v>
      </c>
      <c r="G139" s="98" t="s">
        <v>13354</v>
      </c>
      <c r="H139" s="98" t="str">
        <f t="array" aca="1" ref="H139" ca="1">IFERROR(INDEX('2022-2023 Third Reviews'!K:K,MATCH(A139,'2022-2023 Third Reviews'!C:C,0)),"")</f>
        <v>John McDonald
4</v>
      </c>
      <c r="I139" s="101" t="s">
        <v>1246</v>
      </c>
      <c r="J139" s="101" t="s">
        <v>1247</v>
      </c>
      <c r="K139" s="101">
        <f t="array" aca="1" ref="K139" ca="1">IFERROR(INDEX('2022-2023 Third Reviews'!L:L,MATCH(A139,'2022-2023 Third Reviews'!C:C,0)),"")</f>
        <v>0</v>
      </c>
      <c r="L139" s="102">
        <f t="array" ref="L139">INDEX(AppNotes,MATCH(A139,Name,0))</f>
        <v>0</v>
      </c>
      <c r="M139" s="103" t="str">
        <f t="array" aca="1" ref="M139" ca="1">INDEX(Team,MATCH(A139,'Key Metrics'!B:B,0))</f>
        <v>Man, Man, Man, Man, Man</v>
      </c>
      <c r="N139" s="99" t="str">
        <f t="array" aca="1" ref="N139" ca="1">IF(INDEX('Key Metrics'!F:F,MATCH(A139,'Key Metrics'!B:B,0))="Woman","Yes","")</f>
        <v/>
      </c>
      <c r="O139" s="99" t="str">
        <f t="shared" ca="1" si="0"/>
        <v/>
      </c>
      <c r="P139" s="104" t="str">
        <f t="array" ref="P139">INDEX(Referral,MATCH(A139,Name,0))</f>
        <v>Chris Mosher</v>
      </c>
      <c r="Q139" s="104">
        <f t="array" aca="1" ref="Q139" ca="1">IF(INDEX(NYUAfillType,MATCH(A139,'Key Metrics'!B:B,0))="Other (please specify)",INDEX('Key Metrics'!N:N,MATCH(A139,'Key Metrics'!B:B,0)),INDEX(NYUAfillType,MATCH(A139,'Key Metrics'!B:B,0)))</f>
        <v>0</v>
      </c>
      <c r="R139" s="105" t="str">
        <f t="array" aca="1" ref="R139" ca="1">IF(INDEX('Key Metrics'!Q:Q,MATCH(A139,'Key Metrics'!B:B,0))="No","",INDEX('Key Metrics'!Q:Q,MATCH(A139,'Key Metrics'!B:B,0)))</f>
        <v/>
      </c>
      <c r="S139" s="106" t="str">
        <f t="shared" si="1"/>
        <v>Invite</v>
      </c>
      <c r="T139" s="107" t="s">
        <v>18</v>
      </c>
      <c r="U139" s="107" t="b">
        <v>0</v>
      </c>
      <c r="V139" s="107" t="b">
        <v>0</v>
      </c>
      <c r="W139" s="107" t="b">
        <v>0</v>
      </c>
      <c r="X139" s="108"/>
      <c r="Y139" s="106" t="str">
        <f t="array" ref="Y139">INDEX('DiT - 2022-2023 Applications Re'!U:U,MATCH(A139,'DiT - 2022-2023 Applications Re'!B:B,0))</f>
        <v>Invite</v>
      </c>
    </row>
    <row r="140" spans="1:25" ht="56" hidden="1">
      <c r="A140" s="109" t="s">
        <v>198</v>
      </c>
      <c r="B140" s="86" t="str">
        <f t="array" ref="B140">INDEX(Interview,MATCH(A140,Name,0))</f>
        <v>Invite</v>
      </c>
      <c r="C140" s="86" t="str">
        <f t="array" ref="C140">INDEX(Track,MATCH(A140,Name,0))</f>
        <v>Digital Tech</v>
      </c>
      <c r="D140" s="87">
        <f t="array" ref="D140">INDEX(Score,MATCH(A140,Name,0))</f>
        <v>4</v>
      </c>
      <c r="E140" s="88">
        <f t="array" aca="1" ref="E140" ca="1">INDEX(Date,MATCH(A140,Name,0))</f>
        <v>44782</v>
      </c>
      <c r="F140" s="86" t="s">
        <v>13351</v>
      </c>
      <c r="G140" s="86" t="s">
        <v>13375</v>
      </c>
      <c r="H140" s="86" t="str">
        <f t="array" ref="H140">IFERROR(INDEX('2022-2023 Third Reviews'!K:K,MATCH(A140,'2022-2023 Third Reviews'!C:C,0)),"")</f>
        <v/>
      </c>
      <c r="I140" s="89" t="s">
        <v>11416</v>
      </c>
      <c r="J140" s="89" t="s">
        <v>11417</v>
      </c>
      <c r="K140" s="89" t="str">
        <f t="array" ref="K140">IFERROR(INDEX('2022-2023 Third Reviews'!L:L,MATCH(A140,'2022-2023 Third Reviews'!C:C,0)),"")</f>
        <v/>
      </c>
      <c r="L140" s="90">
        <f t="array" ref="L140">INDEX(AppNotes,MATCH(A140,Name,0))</f>
        <v>0</v>
      </c>
      <c r="M140" s="91" t="str">
        <f t="array" aca="1" ref="M140" ca="1">INDEX(Team,MATCH(A140,'Key Metrics'!B:B,0))</f>
        <v>Man, Man, Man</v>
      </c>
      <c r="N140" s="87" t="str">
        <f t="array" aca="1" ref="N140" ca="1">IF(INDEX('Key Metrics'!F:F,MATCH(A140,'Key Metrics'!B:B,0))="Woman","Yes","")</f>
        <v/>
      </c>
      <c r="O140" s="87" t="str">
        <f t="shared" ca="1" si="0"/>
        <v/>
      </c>
      <c r="P140" s="92">
        <f t="array" ref="P140">INDEX(Referral,MATCH(A140,Name,0))</f>
        <v>0</v>
      </c>
      <c r="Q140" s="92" t="str">
        <f t="array" aca="1" ref="Q140" ca="1">IF(INDEX(NYUAfillType,MATCH(A140,'Key Metrics'!B:B,0))="Other (please specify)",INDEX('Key Metrics'!N:N,MATCH(A140,'Key Metrics'!B:B,0)),INDEX(NYUAfillType,MATCH(A140,'Key Metrics'!B:B,0)))</f>
        <v>Our CPO, Pankaj Parekh's daughter is a current NYU undergrad Student</v>
      </c>
      <c r="R140" s="93" t="str">
        <f t="array" aca="1" ref="R140" ca="1">IF(INDEX('Key Metrics'!Q:Q,MATCH(A140,'Key Metrics'!B:B,0))="No","",INDEX('Key Metrics'!Q:Q,MATCH(A140,'Key Metrics'!B:B,0)))</f>
        <v/>
      </c>
      <c r="S140" s="94" t="str">
        <f t="shared" si="1"/>
        <v>Invite Next Year</v>
      </c>
      <c r="T140" s="95" t="s">
        <v>24</v>
      </c>
      <c r="U140" s="95" t="b">
        <v>0</v>
      </c>
      <c r="V140" s="95" t="b">
        <v>0</v>
      </c>
      <c r="W140" s="95" t="b">
        <v>0</v>
      </c>
      <c r="X140" s="96"/>
      <c r="Y140" s="94" t="str">
        <f t="array" ref="Y140">INDEX('DiT - 2022-2023 Applications Re'!U:U,MATCH(A140,'DiT - 2022-2023 Applications Re'!B:B,0))</f>
        <v>Invite Next Year</v>
      </c>
    </row>
    <row r="141" spans="1:25" ht="55" hidden="1">
      <c r="A141" s="97" t="s">
        <v>199</v>
      </c>
      <c r="B141" s="98" t="str">
        <f t="array" ref="B141">INDEX(Interview,MATCH(A141,Name,0))</f>
        <v>Invite</v>
      </c>
      <c r="C141" s="98" t="str">
        <f t="array" ref="C141">INDEX(Track,MATCH(A141,Name,0))</f>
        <v>Digital Tech</v>
      </c>
      <c r="D141" s="99">
        <f t="array" ref="D141">INDEX(Score,MATCH(A141,Name,0))</f>
        <v>3.75</v>
      </c>
      <c r="E141" s="100">
        <f t="array" aca="1" ref="E141" ca="1">INDEX(Date,MATCH(A141,Name,0))</f>
        <v>44789</v>
      </c>
      <c r="F141" s="98" t="s">
        <v>13329</v>
      </c>
      <c r="G141" s="98" t="s">
        <v>13375</v>
      </c>
      <c r="H141" s="98" t="str">
        <f t="array" aca="1" ref="H141" ca="1">IFERROR(INDEX('2022-2023 Third Reviews'!K:K,MATCH(A141,'2022-2023 Third Reviews'!C:C,0)),"")</f>
        <v>John McDonald
4</v>
      </c>
      <c r="I141" s="101" t="s">
        <v>1254</v>
      </c>
      <c r="J141" s="101" t="s">
        <v>10928</v>
      </c>
      <c r="K141" s="101">
        <f t="array" aca="1" ref="K141" ca="1">IFERROR(INDEX('2022-2023 Third Reviews'!L:L,MATCH(A141,'2022-2023 Third Reviews'!C:C,0)),"")</f>
        <v>0</v>
      </c>
      <c r="L141" s="102" t="str">
        <f t="array" ref="L141">INDEX(AppNotes,MATCH(A141,Name,0))</f>
        <v>strong potential market; strong, seasonsed exectutive team; interesting idea and would benefit from EFL helping with traction gaining;</v>
      </c>
      <c r="M141" s="103" t="str">
        <f t="array" aca="1" ref="M141" ca="1">INDEX(Team,MATCH(A141,'Key Metrics'!B:B,0))</f>
        <v>Man, Man, Man</v>
      </c>
      <c r="N141" s="99" t="str">
        <f t="array" aca="1" ref="N141" ca="1">IF(INDEX('Key Metrics'!F:F,MATCH(A141,'Key Metrics'!B:B,0))="Woman","Yes","")</f>
        <v/>
      </c>
      <c r="O141" s="99" t="str">
        <f t="shared" ca="1" si="0"/>
        <v/>
      </c>
      <c r="P141" s="104">
        <f t="array" ref="P141">INDEX(Referral,MATCH(A141,Name,0))</f>
        <v>0</v>
      </c>
      <c r="Q141" s="104">
        <f t="array" aca="1" ref="Q141" ca="1">IF(INDEX(NYUAfillType,MATCH(A141,'Key Metrics'!B:B,0))="Other (please specify)",INDEX('Key Metrics'!N:N,MATCH(A141,'Key Metrics'!B:B,0)),INDEX(NYUAfillType,MATCH(A141,'Key Metrics'!B:B,0)))</f>
        <v>0</v>
      </c>
      <c r="R141" s="105" t="str">
        <f t="array" aca="1" ref="R141" ca="1">IF(INDEX('Key Metrics'!Q:Q,MATCH(A141,'Key Metrics'!B:B,0))="No","",INDEX('Key Metrics'!Q:Q,MATCH(A141,'Key Metrics'!B:B,0)))</f>
        <v/>
      </c>
      <c r="S141" s="106" t="str">
        <f t="shared" si="1"/>
        <v>Invite</v>
      </c>
      <c r="T141" s="107" t="s">
        <v>18</v>
      </c>
      <c r="U141" s="107" t="b">
        <v>0</v>
      </c>
      <c r="V141" s="107" t="b">
        <v>0</v>
      </c>
      <c r="W141" s="107" t="b">
        <v>0</v>
      </c>
      <c r="X141" s="108"/>
      <c r="Y141" s="106" t="str">
        <f t="array" ref="Y141">INDEX('DiT - 2022-2023 Applications Re'!U:U,MATCH(A141,'DiT - 2022-2023 Applications Re'!B:B,0))</f>
        <v>Invite</v>
      </c>
    </row>
    <row r="142" spans="1:25" ht="55">
      <c r="A142" s="109" t="s">
        <v>200</v>
      </c>
      <c r="B142" s="86" t="str">
        <f t="array" ref="B142">INDEX(Interview,MATCH(A142,Name,0))</f>
        <v>Invite</v>
      </c>
      <c r="C142" s="86" t="str">
        <f t="array" ref="C142">INDEX(Track,MATCH(A142,Name,0))</f>
        <v>Digital Tech</v>
      </c>
      <c r="D142" s="87">
        <f t="array" ref="D142">INDEX(Score,MATCH(A142,Name,0))</f>
        <v>4.25</v>
      </c>
      <c r="E142" s="88">
        <f t="array" aca="1" ref="E142" ca="1">INDEX(Date,MATCH(A142,Name,0))</f>
        <v>44784</v>
      </c>
      <c r="F142" s="86" t="s">
        <v>13351</v>
      </c>
      <c r="G142" s="86" t="s">
        <v>13349</v>
      </c>
      <c r="H142" s="86" t="str">
        <f t="array" aca="1" ref="H142" ca="1">IFERROR(INDEX('2022-2023 Third Reviews'!K:K,MATCH(A142,'2022-2023 Third Reviews'!C:C,0)),"")</f>
        <v>Nick Schmandt
3</v>
      </c>
      <c r="I142" s="89" t="s">
        <v>10383</v>
      </c>
      <c r="J142" s="89" t="s">
        <v>10384</v>
      </c>
      <c r="K142" s="89" t="str">
        <f t="array" aca="1" ref="K142" ca="1">IFERROR(INDEX('2022-2023 Third Reviews'!L:L,MATCH(A142,'2022-2023 Third Reviews'!C:C,0)),"")</f>
        <v>Cool product, but intensively competitive area and will likely struggle to maintain growth over the next year as markets go down.</v>
      </c>
      <c r="L142" s="90">
        <f t="array" ref="L142">INDEX(AppNotes,MATCH(A142,Name,0))</f>
        <v>0</v>
      </c>
      <c r="M142" s="91" t="str">
        <f t="array" aca="1" ref="M142" ca="1">INDEX(Team,MATCH(A142,'Key Metrics'!B:B,0))</f>
        <v>Man, Man, Woman, Man</v>
      </c>
      <c r="N142" s="87" t="str">
        <f t="array" aca="1" ref="N142" ca="1">IF(INDEX('Key Metrics'!F:F,MATCH(A142,'Key Metrics'!B:B,0))="Woman","Yes","")</f>
        <v/>
      </c>
      <c r="O142" s="87" t="str">
        <f t="shared" ca="1" si="0"/>
        <v>Yes</v>
      </c>
      <c r="P142" s="92">
        <f t="array" ref="P142">INDEX(Referral,MATCH(A142,Name,0))</f>
        <v>0</v>
      </c>
      <c r="Q142" s="92">
        <f t="array" aca="1" ref="Q142" ca="1">IF(INDEX(NYUAfillType,MATCH(A142,'Key Metrics'!B:B,0))="Other (please specify)",INDEX('Key Metrics'!N:N,MATCH(A142,'Key Metrics'!B:B,0)),INDEX(NYUAfillType,MATCH(A142,'Key Metrics'!B:B,0)))</f>
        <v>0</v>
      </c>
      <c r="R142" s="93" t="str">
        <f t="array" aca="1" ref="R142" ca="1">IF(INDEX('Key Metrics'!Q:Q,MATCH(A142,'Key Metrics'!B:B,0))="No","",INDEX('Key Metrics'!Q:Q,MATCH(A142,'Key Metrics'!B:B,0)))</f>
        <v/>
      </c>
      <c r="S142" s="94" t="str">
        <f t="shared" si="1"/>
        <v>Invite</v>
      </c>
      <c r="T142" s="95" t="s">
        <v>18</v>
      </c>
      <c r="U142" s="95" t="b">
        <v>0</v>
      </c>
      <c r="V142" s="95" t="b">
        <v>0</v>
      </c>
      <c r="W142" s="95" t="b">
        <v>0</v>
      </c>
      <c r="X142" s="96"/>
      <c r="Y142" s="94" t="str">
        <f t="array" ref="Y142">INDEX('DiT - 2022-2023 Applications Re'!U:U,MATCH(A142,'DiT - 2022-2023 Applications Re'!B:B,0))</f>
        <v>Invite</v>
      </c>
    </row>
    <row r="143" spans="1:25" ht="33" hidden="1">
      <c r="A143" s="97" t="s">
        <v>201</v>
      </c>
      <c r="B143" s="98" t="str">
        <f t="array" ref="B143">INDEX(Interview,MATCH(A143,Name,0))</f>
        <v>Invite</v>
      </c>
      <c r="C143" s="98" t="str">
        <f t="array" ref="C143">INDEX(Track,MATCH(A143,Name,0))</f>
        <v>Digital Tech</v>
      </c>
      <c r="D143" s="99">
        <f t="array" ref="D143">INDEX(Score,MATCH(A143,Name,0))</f>
        <v>4</v>
      </c>
      <c r="E143" s="100">
        <f t="array" aca="1" ref="E143" ca="1">INDEX(Date,MATCH(A143,Name,0))</f>
        <v>44789</v>
      </c>
      <c r="F143" s="98" t="s">
        <v>13337</v>
      </c>
      <c r="G143" s="98" t="s">
        <v>13354</v>
      </c>
      <c r="H143" s="98" t="str">
        <f t="array" aca="1" ref="H143" ca="1">IFERROR(INDEX('2022-2023 Third Reviews'!K:K,MATCH(A143,'2022-2023 Third Reviews'!C:C,0)),"")</f>
        <v>John McDonald
3</v>
      </c>
      <c r="I143" s="101" t="s">
        <v>10671</v>
      </c>
      <c r="J143" s="101" t="s">
        <v>3805</v>
      </c>
      <c r="K143" s="101" t="str">
        <f t="array" aca="1" ref="K143" ca="1">IFERROR(INDEX('2022-2023 Third Reviews'!L:L,MATCH(A143,'2022-2023 Third Reviews'!C:C,0)),"")</f>
        <v>Wants to raise money but not sure how much/when.  Most money raised thus far from NIH Grants</v>
      </c>
      <c r="L143" s="102">
        <f t="array" ref="L143">INDEX(AppNotes,MATCH(A143,Name,0))</f>
        <v>0</v>
      </c>
      <c r="M143" s="103" t="str">
        <f t="array" aca="1" ref="M143" ca="1">INDEX(Team,MATCH(A143,'Key Metrics'!B:B,0))</f>
        <v>Man, Man</v>
      </c>
      <c r="N143" s="99" t="str">
        <f t="array" aca="1" ref="N143" ca="1">IF(INDEX('Key Metrics'!F:F,MATCH(A143,'Key Metrics'!B:B,0))="Woman","Yes","")</f>
        <v/>
      </c>
      <c r="O143" s="99" t="str">
        <f t="shared" ca="1" si="0"/>
        <v/>
      </c>
      <c r="P143" s="104">
        <f t="array" ref="P143">INDEX(Referral,MATCH(A143,Name,0))</f>
        <v>0</v>
      </c>
      <c r="Q143" s="104">
        <f t="array" aca="1" ref="Q143" ca="1">IF(INDEX(NYUAfillType,MATCH(A143,'Key Metrics'!B:B,0))="Other (please specify)",INDEX('Key Metrics'!N:N,MATCH(A143,'Key Metrics'!B:B,0)),INDEX(NYUAfillType,MATCH(A143,'Key Metrics'!B:B,0)))</f>
        <v>0</v>
      </c>
      <c r="R143" s="105" t="str">
        <f t="array" aca="1" ref="R143" ca="1">IF(INDEX('Key Metrics'!Q:Q,MATCH(A143,'Key Metrics'!B:B,0))="No","",INDEX('Key Metrics'!Q:Q,MATCH(A143,'Key Metrics'!B:B,0)))</f>
        <v/>
      </c>
      <c r="S143" s="106" t="str">
        <f t="shared" si="1"/>
        <v>Invite Next Year</v>
      </c>
      <c r="T143" s="107" t="s">
        <v>24</v>
      </c>
      <c r="U143" s="107" t="b">
        <v>0</v>
      </c>
      <c r="V143" s="107" t="b">
        <v>0</v>
      </c>
      <c r="W143" s="107" t="b">
        <v>0</v>
      </c>
      <c r="X143" s="108"/>
      <c r="Y143" s="106" t="str">
        <f t="array" ref="Y143">INDEX('DiT - 2022-2023 Applications Re'!U:U,MATCH(A143,'DiT - 2022-2023 Applications Re'!B:B,0))</f>
        <v>Invite Next Year</v>
      </c>
    </row>
    <row r="144" spans="1:25" ht="66" hidden="1">
      <c r="A144" s="109" t="s">
        <v>202</v>
      </c>
      <c r="B144" s="86" t="str">
        <f t="array" ref="B144">INDEX(Interview,MATCH(A144,Name,0))</f>
        <v>Invite</v>
      </c>
      <c r="C144" s="86" t="str">
        <f t="array" ref="C144">INDEX(Track,MATCH(A144,Name,0))</f>
        <v>Digital Tech</v>
      </c>
      <c r="D144" s="87">
        <f t="array" ref="D144">INDEX(Score,MATCH(A144,Name,0))</f>
        <v>4.5</v>
      </c>
      <c r="E144" s="88">
        <f t="array" aca="1" ref="E144" ca="1">INDEX(Date,MATCH(A144,Name,0))</f>
        <v>44789</v>
      </c>
      <c r="F144" s="86" t="s">
        <v>13341</v>
      </c>
      <c r="G144" s="86" t="s">
        <v>13376</v>
      </c>
      <c r="H144" s="86" t="str">
        <f t="array" aca="1" ref="H144" ca="1">IFERROR(INDEX('2022-2023 Third Reviews'!K:K,MATCH(A144,'2022-2023 Third Reviews'!C:C,0)),"")</f>
        <v>John McDonald
5</v>
      </c>
      <c r="I144" s="89" t="s">
        <v>1270</v>
      </c>
      <c r="J144" s="89" t="s">
        <v>11049</v>
      </c>
      <c r="K144" s="89">
        <f t="array" aca="1" ref="K144" ca="1">IFERROR(INDEX('2022-2023 Third Reviews'!L:L,MATCH(A144,'2022-2023 Third Reviews'!C:C,0)),"")</f>
        <v>0</v>
      </c>
      <c r="L144" s="90" t="str">
        <f t="array" ref="L144">INDEX(AppNotes,MATCH(A144,Name,0))</f>
        <v>key differentiator is quick data analytics; converts data into meaninful, useable data; out of harvard; renowned harvard advisor; good traction so far; strong client feedback so far</v>
      </c>
      <c r="M144" s="91" t="str">
        <f t="array" aca="1" ref="M144" ca="1">INDEX(Team,MATCH(A144,'Key Metrics'!B:B,0))</f>
        <v>Man, Prefer not to respond, Man</v>
      </c>
      <c r="N144" s="87" t="str">
        <f t="array" aca="1" ref="N144" ca="1">IF(INDEX('Key Metrics'!F:F,MATCH(A144,'Key Metrics'!B:B,0))="Woman","Yes","")</f>
        <v/>
      </c>
      <c r="O144" s="87" t="str">
        <f t="shared" ca="1" si="0"/>
        <v/>
      </c>
      <c r="P144" s="92" t="str">
        <f t="array" ref="P144">INDEX(Referral,MATCH(A144,Name,0))</f>
        <v>Serhat Pala (current EFL mentor) asked us to join</v>
      </c>
      <c r="Q144" s="92" t="str">
        <f t="array" aca="1" ref="Q144" ca="1">IF(INDEX(NYUAfillType,MATCH(A144,'Key Metrics'!B:B,0))="Other (please specify)",INDEX('Key Metrics'!N:N,MATCH(A144,'Key Metrics'!B:B,0)),INDEX(NYUAfillType,MATCH(A144,'Key Metrics'!B:B,0)))</f>
        <v>NYU Alumni</v>
      </c>
      <c r="R144" s="93" t="str">
        <f t="array" aca="1" ref="R144" ca="1">IF(INDEX('Key Metrics'!Q:Q,MATCH(A144,'Key Metrics'!B:B,0))="No","",INDEX('Key Metrics'!Q:Q,MATCH(A144,'Key Metrics'!B:B,0)))</f>
        <v/>
      </c>
      <c r="S144" s="94" t="str">
        <f t="shared" si="1"/>
        <v>Invite</v>
      </c>
      <c r="T144" s="95" t="s">
        <v>18</v>
      </c>
      <c r="U144" s="95" t="b">
        <v>0</v>
      </c>
      <c r="V144" s="95" t="b">
        <v>0</v>
      </c>
      <c r="W144" s="95" t="b">
        <v>0</v>
      </c>
      <c r="X144" s="96"/>
      <c r="Y144" s="94" t="str">
        <f t="array" ref="Y144">INDEX('DiT - 2022-2023 Applications Re'!U:U,MATCH(A144,'DiT - 2022-2023 Applications Re'!B:B,0))</f>
        <v>Invite</v>
      </c>
    </row>
    <row r="145" spans="1:25" ht="55" hidden="1">
      <c r="A145" s="97" t="s">
        <v>203</v>
      </c>
      <c r="B145" s="98" t="str">
        <f t="array" ref="B145">INDEX(Interview,MATCH(A145,Name,0))</f>
        <v>Invite</v>
      </c>
      <c r="C145" s="98" t="str">
        <f t="array" ref="C145">INDEX(Track,MATCH(A145,Name,0))</f>
        <v>Digital Tech</v>
      </c>
      <c r="D145" s="99">
        <f t="array" ref="D145">INDEX(Score,MATCH(A145,Name,0))</f>
        <v>4</v>
      </c>
      <c r="E145" s="100">
        <f t="array" aca="1" ref="E145" ca="1">INDEX(Date,MATCH(A145,Name,0))</f>
        <v>44784</v>
      </c>
      <c r="F145" s="98" t="s">
        <v>13329</v>
      </c>
      <c r="G145" s="98" t="s">
        <v>13349</v>
      </c>
      <c r="H145" s="98" t="str">
        <f t="array" ref="H145">IFERROR(INDEX('2022-2023 Third Reviews'!K:K,MATCH(A145,'2022-2023 Third Reviews'!C:C,0)),"")</f>
        <v/>
      </c>
      <c r="I145" s="101" t="s">
        <v>11473</v>
      </c>
      <c r="J145" s="101" t="s">
        <v>3813</v>
      </c>
      <c r="K145" s="101" t="str">
        <f t="array" ref="K145">IFERROR(INDEX('2022-2023 Third Reviews'!L:L,MATCH(A145,'2022-2023 Third Reviews'!C:C,0)),"")</f>
        <v/>
      </c>
      <c r="L145" s="102">
        <f t="array" ref="L145">INDEX(AppNotes,MATCH(A145,Name,0))</f>
        <v>0</v>
      </c>
      <c r="M145" s="103" t="str">
        <f t="array" aca="1" ref="M145" ca="1">INDEX(Team,MATCH(A145,'Key Metrics'!B:B,0))</f>
        <v>Man, Man</v>
      </c>
      <c r="N145" s="99" t="str">
        <f t="array" aca="1" ref="N145" ca="1">IF(INDEX('Key Metrics'!F:F,MATCH(A145,'Key Metrics'!B:B,0))="Woman","Yes","")</f>
        <v/>
      </c>
      <c r="O145" s="99" t="str">
        <f t="shared" ca="1" si="0"/>
        <v/>
      </c>
      <c r="P145" s="104">
        <f t="array" ref="P145">INDEX(Referral,MATCH(A145,Name,0))</f>
        <v>0</v>
      </c>
      <c r="Q145" s="104">
        <f t="array" aca="1" ref="Q145" ca="1">IF(INDEX(NYUAfillType,MATCH(A145,'Key Metrics'!B:B,0))="Other (please specify)",INDEX('Key Metrics'!N:N,MATCH(A145,'Key Metrics'!B:B,0)),INDEX(NYUAfillType,MATCH(A145,'Key Metrics'!B:B,0)))</f>
        <v>0</v>
      </c>
      <c r="R145" s="105" t="str">
        <f t="array" aca="1" ref="R145" ca="1">IF(INDEX('Key Metrics'!Q:Q,MATCH(A145,'Key Metrics'!B:B,0))="No","",INDEX('Key Metrics'!Q:Q,MATCH(A145,'Key Metrics'!B:B,0)))</f>
        <v/>
      </c>
      <c r="S145" s="106" t="str">
        <f t="shared" si="1"/>
        <v>Invite Next Year</v>
      </c>
      <c r="T145" s="107" t="s">
        <v>24</v>
      </c>
      <c r="U145" s="107" t="b">
        <v>0</v>
      </c>
      <c r="V145" s="107" t="b">
        <v>0</v>
      </c>
      <c r="W145" s="107" t="b">
        <v>0</v>
      </c>
      <c r="X145" s="108"/>
      <c r="Y145" s="106" t="str">
        <f t="array" ref="Y145">INDEX('DiT - 2022-2023 Applications Re'!U:U,MATCH(A145,'DiT - 2022-2023 Applications Re'!B:B,0))</f>
        <v>Invite Next Year</v>
      </c>
    </row>
    <row r="146" spans="1:25" ht="33" hidden="1">
      <c r="A146" s="109" t="s">
        <v>204</v>
      </c>
      <c r="B146" s="86" t="str">
        <f t="array" ref="B146">INDEX(Interview,MATCH(A146,Name,0))</f>
        <v>Invite</v>
      </c>
      <c r="C146" s="86" t="str">
        <f t="array" ref="C146">INDEX(Track,MATCH(A146,Name,0))</f>
        <v>Digital Tech</v>
      </c>
      <c r="D146" s="87">
        <f t="array" ref="D146">INDEX(Score,MATCH(A146,Name,0))</f>
        <v>4</v>
      </c>
      <c r="E146" s="88">
        <f t="array" aca="1" ref="E146" ca="1">INDEX(Date,MATCH(A146,Name,0))</f>
        <v>44796</v>
      </c>
      <c r="F146" s="86" t="s">
        <v>13304</v>
      </c>
      <c r="G146" s="86" t="s">
        <v>13364</v>
      </c>
      <c r="H146" s="86" t="str">
        <f t="array" ref="H146">IFERROR(INDEX('2022-2023 Third Reviews'!K:K,MATCH(A146,'2022-2023 Third Reviews'!C:C,0)),"")</f>
        <v/>
      </c>
      <c r="I146" s="89" t="s">
        <v>3820</v>
      </c>
      <c r="J146" s="89" t="s">
        <v>10768</v>
      </c>
      <c r="K146" s="89" t="str">
        <f t="array" ref="K146">IFERROR(INDEX('2022-2023 Third Reviews'!L:L,MATCH(A146,'2022-2023 Third Reviews'!C:C,0)),"")</f>
        <v/>
      </c>
      <c r="L146" s="90">
        <f t="array" ref="L146">INDEX(AppNotes,MATCH(A146,Name,0))</f>
        <v>0</v>
      </c>
      <c r="M146" s="91" t="str">
        <f t="array" aca="1" ref="M146" ca="1">INDEX(Team,MATCH(A146,'Key Metrics'!B:B,0))</f>
        <v>Man, Man, Man</v>
      </c>
      <c r="N146" s="87" t="str">
        <f t="array" aca="1" ref="N146" ca="1">IF(INDEX('Key Metrics'!F:F,MATCH(A146,'Key Metrics'!B:B,0))="Woman","Yes","")</f>
        <v/>
      </c>
      <c r="O146" s="87" t="str">
        <f t="shared" ca="1" si="0"/>
        <v/>
      </c>
      <c r="P146" s="92">
        <f t="array" ref="P146">INDEX(Referral,MATCH(A146,Name,0))</f>
        <v>0</v>
      </c>
      <c r="Q146" s="92">
        <f t="array" aca="1" ref="Q146" ca="1">IF(INDEX(NYUAfillType,MATCH(A146,'Key Metrics'!B:B,0))="Other (please specify)",INDEX('Key Metrics'!N:N,MATCH(A146,'Key Metrics'!B:B,0)),INDEX(NYUAfillType,MATCH(A146,'Key Metrics'!B:B,0)))</f>
        <v>0</v>
      </c>
      <c r="R146" s="93" t="str">
        <f t="array" aca="1" ref="R146" ca="1">IF(INDEX('Key Metrics'!Q:Q,MATCH(A146,'Key Metrics'!B:B,0))="No","",INDEX('Key Metrics'!Q:Q,MATCH(A146,'Key Metrics'!B:B,0)))</f>
        <v/>
      </c>
      <c r="S146" s="94" t="str">
        <f t="shared" si="1"/>
        <v>Invite Next Year</v>
      </c>
      <c r="T146" s="95" t="s">
        <v>24</v>
      </c>
      <c r="U146" s="95" t="b">
        <v>0</v>
      </c>
      <c r="V146" s="95" t="b">
        <v>0</v>
      </c>
      <c r="W146" s="95" t="b">
        <v>0</v>
      </c>
      <c r="X146" s="96"/>
      <c r="Y146" s="94" t="str">
        <f t="array" ref="Y146">INDEX('DiT - 2022-2023 Applications Re'!U:U,MATCH(A146,'DiT - 2022-2023 Applications Re'!B:B,0))</f>
        <v>Invite Next Year</v>
      </c>
    </row>
    <row r="147" spans="1:25" ht="55" hidden="1">
      <c r="A147" s="97" t="s">
        <v>205</v>
      </c>
      <c r="B147" s="98" t="str">
        <f t="array" ref="B147">INDEX(Interview,MATCH(A147,Name,0))</f>
        <v>Invite</v>
      </c>
      <c r="C147" s="98" t="str">
        <f t="array" ref="C147">INDEX(Track,MATCH(A147,Name,0))</f>
        <v>Digital Tech</v>
      </c>
      <c r="D147" s="99">
        <f t="array" ref="D147">INDEX(Score,MATCH(A147,Name,0))</f>
        <v>4</v>
      </c>
      <c r="E147" s="100">
        <f t="array" aca="1" ref="E147" ca="1">INDEX(Date,MATCH(A147,Name,0))</f>
        <v>44796</v>
      </c>
      <c r="F147" s="98" t="s">
        <v>13354</v>
      </c>
      <c r="G147" s="98" t="s">
        <v>13364</v>
      </c>
      <c r="H147" s="98" t="str">
        <f t="array" aca="1" ref="H147" ca="1">IFERROR(INDEX('2022-2023 Third Reviews'!K:K,MATCH(A147,'2022-2023 Third Reviews'!C:C,0)),"")</f>
        <v>Nick Schmandt
4</v>
      </c>
      <c r="I147" s="101" t="s">
        <v>3829</v>
      </c>
      <c r="J147" s="101" t="s">
        <v>10180</v>
      </c>
      <c r="K147" s="101" t="str">
        <f t="array" aca="1" ref="K147" ca="1">IFERROR(INDEX('2022-2023 Third Reviews'!L:L,MATCH(A147,'2022-2023 Third Reviews'!C:C,0)),"")</f>
        <v>I want to give them a five, they are already turning in 2.6M in revenue, likely with plenty of room to expand. However, the team is small, though reasonably experienced, and its not clear how sophisticated this tech really is.</v>
      </c>
      <c r="L147" s="102">
        <f t="array" ref="L147">INDEX(AppNotes,MATCH(A147,Name,0))</f>
        <v>0</v>
      </c>
      <c r="M147" s="103" t="str">
        <f t="array" aca="1" ref="M147" ca="1">INDEX(Team,MATCH(A147,'Key Metrics'!B:B,0))</f>
        <v>Man</v>
      </c>
      <c r="N147" s="99" t="str">
        <f t="array" aca="1" ref="N147" ca="1">IF(INDEX('Key Metrics'!F:F,MATCH(A147,'Key Metrics'!B:B,0))="Woman","Yes","")</f>
        <v/>
      </c>
      <c r="O147" s="99" t="str">
        <f t="shared" ca="1" si="0"/>
        <v/>
      </c>
      <c r="P147" s="104" t="str">
        <f t="array" ref="P147">INDEX(Referral,MATCH(A147,Name,0))</f>
        <v>Y Combinator I think</v>
      </c>
      <c r="Q147" s="104">
        <f t="array" aca="1" ref="Q147" ca="1">IF(INDEX(NYUAfillType,MATCH(A147,'Key Metrics'!B:B,0))="Other (please specify)",INDEX('Key Metrics'!N:N,MATCH(A147,'Key Metrics'!B:B,0)),INDEX(NYUAfillType,MATCH(A147,'Key Metrics'!B:B,0)))</f>
        <v>0</v>
      </c>
      <c r="R147" s="105" t="str">
        <f t="array" aca="1" ref="R147" ca="1">IF(INDEX('Key Metrics'!Q:Q,MATCH(A147,'Key Metrics'!B:B,0))="No","",INDEX('Key Metrics'!Q:Q,MATCH(A147,'Key Metrics'!B:B,0)))</f>
        <v/>
      </c>
      <c r="S147" s="106" t="str">
        <f t="shared" si="1"/>
        <v>Invite Next Year</v>
      </c>
      <c r="T147" s="107" t="s">
        <v>24</v>
      </c>
      <c r="U147" s="107" t="b">
        <v>0</v>
      </c>
      <c r="V147" s="107" t="b">
        <v>0</v>
      </c>
      <c r="W147" s="107" t="b">
        <v>0</v>
      </c>
      <c r="X147" s="108"/>
      <c r="Y147" s="106" t="str">
        <f t="array" ref="Y147">INDEX('DiT - 2022-2023 Applications Re'!U:U,MATCH(A147,'DiT - 2022-2023 Applications Re'!B:B,0))</f>
        <v>Invite Next Year</v>
      </c>
    </row>
    <row r="148" spans="1:25" ht="33" hidden="1">
      <c r="A148" s="109" t="s">
        <v>206</v>
      </c>
      <c r="B148" s="86" t="str">
        <f t="array" ref="B148">INDEX(Interview,MATCH(A148,Name,0))</f>
        <v>Invite</v>
      </c>
      <c r="C148" s="86" t="str">
        <f t="array" ref="C148">INDEX(Track,MATCH(A148,Name,0))</f>
        <v>Digital Tech</v>
      </c>
      <c r="D148" s="87">
        <f t="array" ref="D148">INDEX(Score,MATCH(A148,Name,0))</f>
        <v>4.25</v>
      </c>
      <c r="E148" s="88">
        <f t="array" aca="1" ref="E148" ca="1">INDEX(Date,MATCH(A148,Name,0))</f>
        <v>44796</v>
      </c>
      <c r="F148" s="86" t="s">
        <v>13347</v>
      </c>
      <c r="G148" s="86" t="s">
        <v>13377</v>
      </c>
      <c r="H148" s="86" t="str">
        <f t="array" ref="H148">IFERROR(INDEX('2022-2023 Third Reviews'!K:K,MATCH(A148,'2022-2023 Third Reviews'!C:C,0)),"")</f>
        <v/>
      </c>
      <c r="I148" s="89" t="s">
        <v>11200</v>
      </c>
      <c r="J148" s="89" t="s">
        <v>1282</v>
      </c>
      <c r="K148" s="89" t="str">
        <f t="array" ref="K148">IFERROR(INDEX('2022-2023 Third Reviews'!L:L,MATCH(A148,'2022-2023 Third Reviews'!C:C,0)),"")</f>
        <v/>
      </c>
      <c r="L148" s="90">
        <f t="array" ref="L148">INDEX(AppNotes,MATCH(A148,Name,0))</f>
        <v>0</v>
      </c>
      <c r="M148" s="91" t="str">
        <f t="array" aca="1" ref="M148" ca="1">INDEX(Team,MATCH(A148,'Key Metrics'!B:B,0))</f>
        <v>Man, Man</v>
      </c>
      <c r="N148" s="87" t="str">
        <f t="array" aca="1" ref="N148" ca="1">IF(INDEX('Key Metrics'!F:F,MATCH(A148,'Key Metrics'!B:B,0))="Woman","Yes","")</f>
        <v/>
      </c>
      <c r="O148" s="87" t="str">
        <f t="shared" ca="1" si="0"/>
        <v/>
      </c>
      <c r="P148" s="92">
        <f t="array" ref="P148">INDEX(Referral,MATCH(A148,Name,0))</f>
        <v>0</v>
      </c>
      <c r="Q148" s="92">
        <f t="array" aca="1" ref="Q148" ca="1">IF(INDEX(NYUAfillType,MATCH(A148,'Key Metrics'!B:B,0))="Other (please specify)",INDEX('Key Metrics'!N:N,MATCH(A148,'Key Metrics'!B:B,0)),INDEX(NYUAfillType,MATCH(A148,'Key Metrics'!B:B,0)))</f>
        <v>0</v>
      </c>
      <c r="R148" s="93" t="str">
        <f t="array" aca="1" ref="R148" ca="1">IF(INDEX('Key Metrics'!Q:Q,MATCH(A148,'Key Metrics'!B:B,0))="No","",INDEX('Key Metrics'!Q:Q,MATCH(A148,'Key Metrics'!B:B,0)))</f>
        <v/>
      </c>
      <c r="S148" s="94" t="str">
        <f t="shared" si="1"/>
        <v>Invite</v>
      </c>
      <c r="T148" s="95" t="s">
        <v>18</v>
      </c>
      <c r="U148" s="95" t="b">
        <v>0</v>
      </c>
      <c r="V148" s="95" t="b">
        <v>0</v>
      </c>
      <c r="W148" s="95" t="b">
        <v>0</v>
      </c>
      <c r="X148" s="96"/>
      <c r="Y148" s="94" t="str">
        <f t="array" ref="Y148">INDEX('DiT - 2022-2023 Applications Re'!U:U,MATCH(A148,'DiT - 2022-2023 Applications Re'!B:B,0))</f>
        <v>Invite</v>
      </c>
    </row>
    <row r="149" spans="1:25" ht="33" hidden="1">
      <c r="A149" s="97" t="s">
        <v>207</v>
      </c>
      <c r="B149" s="98" t="str">
        <f t="array" ref="B149">INDEX(Interview,MATCH(A149,Name,0))</f>
        <v>Invite</v>
      </c>
      <c r="C149" s="98" t="str">
        <f t="array" ref="C149">INDEX(Track,MATCH(A149,Name,0))</f>
        <v>Digital Tech</v>
      </c>
      <c r="D149" s="99">
        <f t="array" ref="D149">INDEX(Score,MATCH(A149,Name,0))</f>
        <v>4</v>
      </c>
      <c r="E149" s="100">
        <f t="array" aca="1" ref="E149" ca="1">INDEX(Date,MATCH(A149,Name,0))</f>
        <v>44789</v>
      </c>
      <c r="F149" s="98" t="s">
        <v>13337</v>
      </c>
      <c r="G149" s="98" t="s">
        <v>13354</v>
      </c>
      <c r="H149" s="98" t="str">
        <f t="array" aca="1" ref="H149" ca="1">IFERROR(INDEX('2022-2023 Third Reviews'!K:K,MATCH(A149,'2022-2023 Third Reviews'!C:C,0)),"")</f>
        <v>John McDonald
2</v>
      </c>
      <c r="I149" s="101" t="s">
        <v>10665</v>
      </c>
      <c r="J149" s="101" t="s">
        <v>481</v>
      </c>
      <c r="K149" s="101">
        <f t="array" aca="1" ref="K149" ca="1">IFERROR(INDEX('2022-2023 Third Reviews'!L:L,MATCH(A149,'2022-2023 Third Reviews'!C:C,0)),"")</f>
        <v>0</v>
      </c>
      <c r="L149" s="102">
        <f t="array" ref="L149">INDEX(AppNotes,MATCH(A149,Name,0))</f>
        <v>0</v>
      </c>
      <c r="M149" s="103" t="str">
        <f t="array" aca="1" ref="M149" ca="1">INDEX(Team,MATCH(A149,'Key Metrics'!B:B,0))</f>
        <v>Man, Woman</v>
      </c>
      <c r="N149" s="99" t="str">
        <f t="array" aca="1" ref="N149" ca="1">IF(INDEX('Key Metrics'!F:F,MATCH(A149,'Key Metrics'!B:B,0))="Woman","Yes","")</f>
        <v/>
      </c>
      <c r="O149" s="99" t="str">
        <f t="shared" ca="1" si="0"/>
        <v>Yes</v>
      </c>
      <c r="P149" s="104">
        <f t="array" ref="P149">INDEX(Referral,MATCH(A149,Name,0))</f>
        <v>0</v>
      </c>
      <c r="Q149" s="104">
        <f t="array" aca="1" ref="Q149" ca="1">IF(INDEX(NYUAfillType,MATCH(A149,'Key Metrics'!B:B,0))="Other (please specify)",INDEX('Key Metrics'!N:N,MATCH(A149,'Key Metrics'!B:B,0)),INDEX(NYUAfillType,MATCH(A149,'Key Metrics'!B:B,0)))</f>
        <v>0</v>
      </c>
      <c r="R149" s="105" t="str">
        <f t="array" aca="1" ref="R149" ca="1">IF(INDEX('Key Metrics'!Q:Q,MATCH(A149,'Key Metrics'!B:B,0))="No","",INDEX('Key Metrics'!Q:Q,MATCH(A149,'Key Metrics'!B:B,0)))</f>
        <v/>
      </c>
      <c r="S149" s="106" t="str">
        <f t="shared" si="1"/>
        <v>Invite Next Year</v>
      </c>
      <c r="T149" s="107" t="s">
        <v>24</v>
      </c>
      <c r="U149" s="107" t="b">
        <v>0</v>
      </c>
      <c r="V149" s="107" t="b">
        <v>0</v>
      </c>
      <c r="W149" s="107" t="b">
        <v>0</v>
      </c>
      <c r="X149" s="108"/>
      <c r="Y149" s="106" t="str">
        <f t="array" ref="Y149">INDEX('DiT - 2022-2023 Applications Re'!U:U,MATCH(A149,'DiT - 2022-2023 Applications Re'!B:B,0))</f>
        <v>Invite Next Year</v>
      </c>
    </row>
    <row r="150" spans="1:25" ht="44" hidden="1">
      <c r="A150" s="109" t="s">
        <v>208</v>
      </c>
      <c r="B150" s="86" t="str">
        <f t="array" ref="B150">INDEX(Interview,MATCH(A150,Name,0))</f>
        <v>Invite</v>
      </c>
      <c r="C150" s="86" t="str">
        <f t="array" ref="C150">INDEX(Track,MATCH(A150,Name,0))</f>
        <v>Digital Tech</v>
      </c>
      <c r="D150" s="87">
        <f t="array" ref="D150">INDEX(Score,MATCH(A150,Name,0))</f>
        <v>4</v>
      </c>
      <c r="E150" s="88">
        <f t="array" aca="1" ref="E150" ca="1">INDEX(Date,MATCH(A150,Name,0))</f>
        <v>44782</v>
      </c>
      <c r="F150" s="86" t="s">
        <v>13329</v>
      </c>
      <c r="G150" s="86" t="s">
        <v>13349</v>
      </c>
      <c r="H150" s="86" t="str">
        <f t="array" ref="H150">IFERROR(INDEX('2022-2023 Third Reviews'!K:K,MATCH(A150,'2022-2023 Third Reviews'!C:C,0)),"")</f>
        <v/>
      </c>
      <c r="I150" s="89" t="s">
        <v>3844</v>
      </c>
      <c r="J150" s="89" t="s">
        <v>3845</v>
      </c>
      <c r="K150" s="89" t="str">
        <f t="array" ref="K150">IFERROR(INDEX('2022-2023 Third Reviews'!L:L,MATCH(A150,'2022-2023 Third Reviews'!C:C,0)),"")</f>
        <v/>
      </c>
      <c r="L150" s="90" t="str">
        <f t="array" ref="L150">INDEX(AppNotes,MATCH(A150,Name,0))</f>
        <v>using blockchain to pay for content consumed; maybe not revolutionary but UC berkley skydeck, strong advisors inc. from META; strong momentum, but in a populated field. Has received grants from google and amazon; positive data around them; in interview discover what makes them unique</v>
      </c>
      <c r="M150" s="91" t="str">
        <f t="array" aca="1" ref="M150" ca="1">INDEX(Team,MATCH(A150,'Key Metrics'!B:B,0))</f>
        <v>Man</v>
      </c>
      <c r="N150" s="87" t="str">
        <f t="array" aca="1" ref="N150" ca="1">IF(INDEX('Key Metrics'!F:F,MATCH(A150,'Key Metrics'!B:B,0))="Woman","Yes","")</f>
        <v/>
      </c>
      <c r="O150" s="87" t="str">
        <f t="shared" ca="1" si="0"/>
        <v/>
      </c>
      <c r="P150" s="92" t="str">
        <f t="array" ref="P150">INDEX(Referral,MATCH(A150,Name,0))</f>
        <v>Beth Xie</v>
      </c>
      <c r="Q150" s="92">
        <f t="array" aca="1" ref="Q150" ca="1">IF(INDEX(NYUAfillType,MATCH(A150,'Key Metrics'!B:B,0))="Other (please specify)",INDEX('Key Metrics'!N:N,MATCH(A150,'Key Metrics'!B:B,0)),INDEX(NYUAfillType,MATCH(A150,'Key Metrics'!B:B,0)))</f>
        <v>0</v>
      </c>
      <c r="R150" s="93" t="str">
        <f t="array" aca="1" ref="R150" ca="1">IF(INDEX('Key Metrics'!Q:Q,MATCH(A150,'Key Metrics'!B:B,0))="No","",INDEX('Key Metrics'!Q:Q,MATCH(A150,'Key Metrics'!B:B,0)))</f>
        <v/>
      </c>
      <c r="S150" s="94" t="str">
        <f t="shared" si="1"/>
        <v>Invite Next Year</v>
      </c>
      <c r="T150" s="95" t="s">
        <v>24</v>
      </c>
      <c r="U150" s="95" t="b">
        <v>0</v>
      </c>
      <c r="V150" s="95" t="b">
        <v>0</v>
      </c>
      <c r="W150" s="95" t="b">
        <v>0</v>
      </c>
      <c r="X150" s="96"/>
      <c r="Y150" s="94" t="str">
        <f t="array" ref="Y150">INDEX('DiT - 2022-2023 Applications Re'!U:U,MATCH(A150,'DiT - 2022-2023 Applications Re'!B:B,0))</f>
        <v>Invite Next Year</v>
      </c>
    </row>
    <row r="151" spans="1:25" ht="55" hidden="1">
      <c r="A151" s="97" t="s">
        <v>209</v>
      </c>
      <c r="B151" s="98" t="str">
        <f t="array" ref="B151">INDEX(Interview,MATCH(A151,Name,0))</f>
        <v>Invite</v>
      </c>
      <c r="C151" s="98" t="str">
        <f t="array" ref="C151">INDEX(Track,MATCH(A151,Name,0))</f>
        <v>Digital Tech</v>
      </c>
      <c r="D151" s="99">
        <f t="array" ref="D151">INDEX(Score,MATCH(A151,Name,0))</f>
        <v>4</v>
      </c>
      <c r="E151" s="100">
        <f t="array" aca="1" ref="E151" ca="1">INDEX(Date,MATCH(A151,Name,0))</f>
        <v>44796</v>
      </c>
      <c r="F151" s="98" t="s">
        <v>13305</v>
      </c>
      <c r="G151" s="98" t="s">
        <v>13369</v>
      </c>
      <c r="H151" s="98" t="str">
        <f t="array" ref="H151">IFERROR(INDEX('2022-2023 Third Reviews'!K:K,MATCH(A151,'2022-2023 Third Reviews'!C:C,0)),"")</f>
        <v/>
      </c>
      <c r="I151" s="101" t="s">
        <v>11241</v>
      </c>
      <c r="J151" s="101" t="s">
        <v>3854</v>
      </c>
      <c r="K151" s="101" t="str">
        <f t="array" ref="K151">IFERROR(INDEX('2022-2023 Third Reviews'!L:L,MATCH(A151,'2022-2023 Third Reviews'!C:C,0)),"")</f>
        <v/>
      </c>
      <c r="L151" s="102">
        <f t="array" ref="L151">INDEX(AppNotes,MATCH(A151,Name,0))</f>
        <v>0</v>
      </c>
      <c r="M151" s="103" t="str">
        <f t="array" aca="1" ref="M151" ca="1">INDEX(Team,MATCH(A151,'Key Metrics'!B:B,0))</f>
        <v>Man, Woman, Man</v>
      </c>
      <c r="N151" s="99" t="str">
        <f t="array" aca="1" ref="N151" ca="1">IF(INDEX('Key Metrics'!F:F,MATCH(A151,'Key Metrics'!B:B,0))="Woman","Yes","")</f>
        <v/>
      </c>
      <c r="O151" s="99" t="str">
        <f t="shared" ca="1" si="0"/>
        <v>Yes</v>
      </c>
      <c r="P151" s="104">
        <f t="array" ref="P151">INDEX(Referral,MATCH(A151,Name,0))</f>
        <v>0</v>
      </c>
      <c r="Q151" s="104">
        <f t="array" aca="1" ref="Q151" ca="1">IF(INDEX(NYUAfillType,MATCH(A151,'Key Metrics'!B:B,0))="Other (please specify)",INDEX('Key Metrics'!N:N,MATCH(A151,'Key Metrics'!B:B,0)),INDEX(NYUAfillType,MATCH(A151,'Key Metrics'!B:B,0)))</f>
        <v>0</v>
      </c>
      <c r="R151" s="105" t="str">
        <f t="array" aca="1" ref="R151" ca="1">IF(INDEX('Key Metrics'!Q:Q,MATCH(A151,'Key Metrics'!B:B,0))="No","",INDEX('Key Metrics'!Q:Q,MATCH(A151,'Key Metrics'!B:B,0)))</f>
        <v/>
      </c>
      <c r="S151" s="106" t="str">
        <f t="shared" si="1"/>
        <v>Invite Next Year</v>
      </c>
      <c r="T151" s="107" t="s">
        <v>24</v>
      </c>
      <c r="U151" s="107" t="b">
        <v>0</v>
      </c>
      <c r="V151" s="107" t="b">
        <v>0</v>
      </c>
      <c r="W151" s="107" t="b">
        <v>0</v>
      </c>
      <c r="X151" s="108"/>
      <c r="Y151" s="106" t="str">
        <f t="array" ref="Y151">INDEX('DiT - 2022-2023 Applications Re'!U:U,MATCH(A151,'DiT - 2022-2023 Applications Re'!B:B,0))</f>
        <v>Invite Next Year</v>
      </c>
    </row>
    <row r="152" spans="1:25" ht="55" hidden="1">
      <c r="A152" s="109" t="s">
        <v>210</v>
      </c>
      <c r="B152" s="86" t="str">
        <f t="array" ref="B152">INDEX(Interview,MATCH(A152,Name,0))</f>
        <v>Invite</v>
      </c>
      <c r="C152" s="86" t="str">
        <f t="array" ref="C152">INDEX(Track,MATCH(A152,Name,0))</f>
        <v>Digital Tech</v>
      </c>
      <c r="D152" s="87">
        <f t="array" ref="D152">INDEX(Score,MATCH(A152,Name,0))</f>
        <v>4</v>
      </c>
      <c r="E152" s="88">
        <f t="array" aca="1" ref="E152" ca="1">INDEX(Date,MATCH(A152,Name,0))</f>
        <v>44796</v>
      </c>
      <c r="F152" s="86" t="s">
        <v>13304</v>
      </c>
      <c r="G152" s="86" t="s">
        <v>13369</v>
      </c>
      <c r="H152" s="86" t="str">
        <f t="array" ref="H152">IFERROR(INDEX('2022-2023 Third Reviews'!K:K,MATCH(A152,'2022-2023 Third Reviews'!C:C,0)),"")</f>
        <v/>
      </c>
      <c r="I152" s="89" t="s">
        <v>11490</v>
      </c>
      <c r="J152" s="89" t="s">
        <v>3862</v>
      </c>
      <c r="K152" s="89" t="str">
        <f t="array" ref="K152">IFERROR(INDEX('2022-2023 Third Reviews'!L:L,MATCH(A152,'2022-2023 Third Reviews'!C:C,0)),"")</f>
        <v/>
      </c>
      <c r="L152" s="90">
        <f t="array" ref="L152">INDEX(AppNotes,MATCH(A152,Name,0))</f>
        <v>0</v>
      </c>
      <c r="M152" s="91" t="str">
        <f t="array" aca="1" ref="M152" ca="1">INDEX(Team,MATCH(A152,'Key Metrics'!B:B,0))</f>
        <v>Man, Man, Man</v>
      </c>
      <c r="N152" s="87" t="str">
        <f t="array" aca="1" ref="N152" ca="1">IF(INDEX('Key Metrics'!F:F,MATCH(A152,'Key Metrics'!B:B,0))="Woman","Yes","")</f>
        <v/>
      </c>
      <c r="O152" s="87" t="str">
        <f t="shared" ca="1" si="0"/>
        <v/>
      </c>
      <c r="P152" s="92">
        <f t="array" ref="P152">INDEX(Referral,MATCH(A152,Name,0))</f>
        <v>0</v>
      </c>
      <c r="Q152" s="92">
        <f t="array" aca="1" ref="Q152" ca="1">IF(INDEX(NYUAfillType,MATCH(A152,'Key Metrics'!B:B,0))="Other (please specify)",INDEX('Key Metrics'!N:N,MATCH(A152,'Key Metrics'!B:B,0)),INDEX(NYUAfillType,MATCH(A152,'Key Metrics'!B:B,0)))</f>
        <v>0</v>
      </c>
      <c r="R152" s="93" t="str">
        <f t="array" aca="1" ref="R152" ca="1">IF(INDEX('Key Metrics'!Q:Q,MATCH(A152,'Key Metrics'!B:B,0))="No","",INDEX('Key Metrics'!Q:Q,MATCH(A152,'Key Metrics'!B:B,0)))</f>
        <v/>
      </c>
      <c r="S152" s="94" t="str">
        <f t="shared" si="1"/>
        <v>Invite Next Year</v>
      </c>
      <c r="T152" s="95" t="s">
        <v>24</v>
      </c>
      <c r="U152" s="95" t="b">
        <v>0</v>
      </c>
      <c r="V152" s="95" t="b">
        <v>0</v>
      </c>
      <c r="W152" s="95" t="b">
        <v>0</v>
      </c>
      <c r="X152" s="96"/>
      <c r="Y152" s="94" t="str">
        <f t="array" ref="Y152">INDEX('DiT - 2022-2023 Applications Re'!U:U,MATCH(A152,'DiT - 2022-2023 Applications Re'!B:B,0))</f>
        <v>Invite Next Year</v>
      </c>
    </row>
    <row r="153" spans="1:25" ht="22" hidden="1">
      <c r="A153" s="97" t="s">
        <v>211</v>
      </c>
      <c r="B153" s="98" t="str">
        <f t="array" ref="B153">INDEX(Interview,MATCH(A153,Name,0))</f>
        <v>Invite</v>
      </c>
      <c r="C153" s="98" t="str">
        <f t="array" ref="C153">INDEX(Track,MATCH(A153,Name,0))</f>
        <v>Digital Tech</v>
      </c>
      <c r="D153" s="99">
        <f t="array" ref="D153">INDEX(Score,MATCH(A153,Name,0))</f>
        <v>4</v>
      </c>
      <c r="E153" s="100">
        <f t="array" aca="1" ref="E153" ca="1">INDEX(Date,MATCH(A153,Name,0))</f>
        <v>44797</v>
      </c>
      <c r="F153" s="98" t="s">
        <v>13304</v>
      </c>
      <c r="G153" s="98" t="s">
        <v>13369</v>
      </c>
      <c r="H153" s="98" t="str">
        <f t="array" ref="H153">IFERROR(INDEX('2022-2023 Third Reviews'!K:K,MATCH(A153,'2022-2023 Third Reviews'!C:C,0)),"")</f>
        <v/>
      </c>
      <c r="I153" s="101" t="s">
        <v>11299</v>
      </c>
      <c r="J153" s="101" t="s">
        <v>3869</v>
      </c>
      <c r="K153" s="101" t="str">
        <f t="array" ref="K153">IFERROR(INDEX('2022-2023 Third Reviews'!L:L,MATCH(A153,'2022-2023 Third Reviews'!C:C,0)),"")</f>
        <v/>
      </c>
      <c r="L153" s="102">
        <f t="array" ref="L153">INDEX(AppNotes,MATCH(A153,Name,0))</f>
        <v>0</v>
      </c>
      <c r="M153" s="103" t="str">
        <f t="array" aca="1" ref="M153" ca="1">INDEX(Team,MATCH(A153,'Key Metrics'!B:B,0))</f>
        <v>Man, Man</v>
      </c>
      <c r="N153" s="99" t="str">
        <f t="array" aca="1" ref="N153" ca="1">IF(INDEX('Key Metrics'!F:F,MATCH(A153,'Key Metrics'!B:B,0))="Woman","Yes","")</f>
        <v/>
      </c>
      <c r="O153" s="99" t="str">
        <f t="shared" ca="1" si="0"/>
        <v/>
      </c>
      <c r="P153" s="104">
        <f t="array" ref="P153">INDEX(Referral,MATCH(A153,Name,0))</f>
        <v>0</v>
      </c>
      <c r="Q153" s="104">
        <f t="array" aca="1" ref="Q153" ca="1">IF(INDEX(NYUAfillType,MATCH(A153,'Key Metrics'!B:B,0))="Other (please specify)",INDEX('Key Metrics'!N:N,MATCH(A153,'Key Metrics'!B:B,0)),INDEX(NYUAfillType,MATCH(A153,'Key Metrics'!B:B,0)))</f>
        <v>0</v>
      </c>
      <c r="R153" s="105" t="str">
        <f t="array" aca="1" ref="R153" ca="1">IF(INDEX('Key Metrics'!Q:Q,MATCH(A153,'Key Metrics'!B:B,0))="No","",INDEX('Key Metrics'!Q:Q,MATCH(A153,'Key Metrics'!B:B,0)))</f>
        <v/>
      </c>
      <c r="S153" s="106" t="str">
        <f t="shared" si="1"/>
        <v>Invite Next Year</v>
      </c>
      <c r="T153" s="107" t="s">
        <v>24</v>
      </c>
      <c r="U153" s="107" t="b">
        <v>0</v>
      </c>
      <c r="V153" s="107" t="b">
        <v>0</v>
      </c>
      <c r="W153" s="107" t="b">
        <v>0</v>
      </c>
      <c r="X153" s="108"/>
      <c r="Y153" s="106" t="str">
        <f t="array" ref="Y153">INDEX('DiT - 2022-2023 Applications Re'!U:U,MATCH(A153,'DiT - 2022-2023 Applications Re'!B:B,0))</f>
        <v>Invite Next Year</v>
      </c>
    </row>
    <row r="154" spans="1:25" ht="28">
      <c r="A154" s="109" t="s">
        <v>212</v>
      </c>
      <c r="B154" s="86" t="str">
        <f t="array" ref="B154">INDEX(Interview,MATCH(A154,Name,0))</f>
        <v>Invite</v>
      </c>
      <c r="C154" s="86" t="str">
        <f t="array" ref="C154">INDEX(Track,MATCH(A154,Name,0))</f>
        <v>Digital Tech</v>
      </c>
      <c r="D154" s="87">
        <f t="array" ref="D154">INDEX(Score,MATCH(A154,Name,0))</f>
        <v>4</v>
      </c>
      <c r="E154" s="88">
        <f t="array" aca="1" ref="E154" ca="1">INDEX(Date,MATCH(A154,Name,0))</f>
        <v>44791</v>
      </c>
      <c r="F154" s="86" t="s">
        <v>13304</v>
      </c>
      <c r="G154" s="86" t="s">
        <v>13354</v>
      </c>
      <c r="H154" s="86" t="str">
        <f t="array" ref="H154">IFERROR(INDEX('2022-2023 Third Reviews'!K:K,MATCH(A154,'2022-2023 Third Reviews'!C:C,0)),"")</f>
        <v/>
      </c>
      <c r="I154" s="89" t="s">
        <v>1289</v>
      </c>
      <c r="J154" s="89" t="s">
        <v>1290</v>
      </c>
      <c r="K154" s="89" t="str">
        <f t="array" ref="K154">IFERROR(INDEX('2022-2023 Third Reviews'!L:L,MATCH(A154,'2022-2023 Third Reviews'!C:C,0)),"")</f>
        <v/>
      </c>
      <c r="L154" s="90">
        <f t="array" ref="L154">INDEX(AppNotes,MATCH(A154,Name,0))</f>
        <v>0</v>
      </c>
      <c r="M154" s="91" t="str">
        <f t="array" aca="1" ref="M154" ca="1">INDEX(Team,MATCH(A154,'Key Metrics'!B:B,0))</f>
        <v>Man, Man, Woman, Man, Woman</v>
      </c>
      <c r="N154" s="87" t="str">
        <f t="array" aca="1" ref="N154" ca="1">IF(INDEX('Key Metrics'!F:F,MATCH(A154,'Key Metrics'!B:B,0))="Woman","Yes","")</f>
        <v/>
      </c>
      <c r="O154" s="87" t="str">
        <f t="shared" ca="1" si="0"/>
        <v>Yes</v>
      </c>
      <c r="P154" s="92">
        <f t="array" ref="P154">INDEX(Referral,MATCH(A154,Name,0))</f>
        <v>0</v>
      </c>
      <c r="Q154" s="92">
        <f t="array" aca="1" ref="Q154" ca="1">IF(INDEX(NYUAfillType,MATCH(A154,'Key Metrics'!B:B,0))="Other (please specify)",INDEX('Key Metrics'!N:N,MATCH(A154,'Key Metrics'!B:B,0)),INDEX(NYUAfillType,MATCH(A154,'Key Metrics'!B:B,0)))</f>
        <v>0</v>
      </c>
      <c r="R154" s="93" t="str">
        <f t="array" aca="1" ref="R154" ca="1">IF(INDEX('Key Metrics'!Q:Q,MATCH(A154,'Key Metrics'!B:B,0))="No","",INDEX('Key Metrics'!Q:Q,MATCH(A154,'Key Metrics'!B:B,0)))</f>
        <v/>
      </c>
      <c r="S154" s="94" t="str">
        <f t="shared" si="1"/>
        <v>Invite</v>
      </c>
      <c r="T154" s="95" t="s">
        <v>18</v>
      </c>
      <c r="U154" s="95" t="b">
        <v>0</v>
      </c>
      <c r="V154" s="95" t="b">
        <v>0</v>
      </c>
      <c r="W154" s="95" t="b">
        <v>0</v>
      </c>
      <c r="X154" s="96"/>
      <c r="Y154" s="94" t="str">
        <f t="array" ref="Y154">INDEX('DiT - 2022-2023 Applications Re'!U:U,MATCH(A154,'DiT - 2022-2023 Applications Re'!B:B,0))</f>
        <v>Invite</v>
      </c>
    </row>
    <row r="155" spans="1:25" ht="33" hidden="1">
      <c r="A155" s="97" t="s">
        <v>213</v>
      </c>
      <c r="B155" s="98" t="str">
        <f t="array" ref="B155">INDEX(Interview,MATCH(A155,Name,0))</f>
        <v>Invite</v>
      </c>
      <c r="C155" s="98" t="str">
        <f t="array" ref="C155">INDEX(Track,MATCH(A155,Name,0))</f>
        <v>Digital Tech</v>
      </c>
      <c r="D155" s="99">
        <f t="array" ref="D155">INDEX(Score,MATCH(A155,Name,0))</f>
        <v>4.5</v>
      </c>
      <c r="E155" s="100">
        <f t="array" aca="1" ref="E155" ca="1">INDEX(Date,MATCH(A155,Name,0))</f>
        <v>44791</v>
      </c>
      <c r="F155" s="98" t="s">
        <v>13362</v>
      </c>
      <c r="G155" s="98" t="s">
        <v>13366</v>
      </c>
      <c r="H155" s="98" t="str">
        <f t="array" ref="H155">IFERROR(INDEX('2022-2023 Third Reviews'!K:K,MATCH(A155,'2022-2023 Third Reviews'!C:C,0)),"")</f>
        <v/>
      </c>
      <c r="I155" s="101" t="s">
        <v>11466</v>
      </c>
      <c r="J155" s="101" t="s">
        <v>11467</v>
      </c>
      <c r="K155" s="101" t="str">
        <f t="array" ref="K155">IFERROR(INDEX('2022-2023 Third Reviews'!L:L,MATCH(A155,'2022-2023 Third Reviews'!C:C,0)),"")</f>
        <v/>
      </c>
      <c r="L155" s="102">
        <f t="array" ref="L155">INDEX(AppNotes,MATCH(A155,Name,0))</f>
        <v>0</v>
      </c>
      <c r="M155" s="103" t="str">
        <f t="array" aca="1" ref="M155" ca="1">INDEX(Team,MATCH(A155,'Key Metrics'!B:B,0))</f>
        <v>Man</v>
      </c>
      <c r="N155" s="99" t="str">
        <f t="array" aca="1" ref="N155" ca="1">IF(INDEX('Key Metrics'!F:F,MATCH(A155,'Key Metrics'!B:B,0))="Woman","Yes","")</f>
        <v/>
      </c>
      <c r="O155" s="99" t="str">
        <f t="shared" ca="1" si="0"/>
        <v/>
      </c>
      <c r="P155" s="104">
        <f t="array" ref="P155">INDEX(Referral,MATCH(A155,Name,0))</f>
        <v>0</v>
      </c>
      <c r="Q155" s="104">
        <f t="array" aca="1" ref="Q155" ca="1">IF(INDEX(NYUAfillType,MATCH(A155,'Key Metrics'!B:B,0))="Other (please specify)",INDEX('Key Metrics'!N:N,MATCH(A155,'Key Metrics'!B:B,0)),INDEX(NYUAfillType,MATCH(A155,'Key Metrics'!B:B,0)))</f>
        <v>0</v>
      </c>
      <c r="R155" s="105" t="str">
        <f t="array" aca="1" ref="R155" ca="1">IF(INDEX('Key Metrics'!Q:Q,MATCH(A155,'Key Metrics'!B:B,0))="No","",INDEX('Key Metrics'!Q:Q,MATCH(A155,'Key Metrics'!B:B,0)))</f>
        <v/>
      </c>
      <c r="S155" s="106" t="str">
        <f t="shared" si="1"/>
        <v>Invite</v>
      </c>
      <c r="T155" s="107" t="s">
        <v>18</v>
      </c>
      <c r="U155" s="107" t="b">
        <v>0</v>
      </c>
      <c r="V155" s="107" t="b">
        <v>0</v>
      </c>
      <c r="W155" s="107" t="b">
        <v>0</v>
      </c>
      <c r="X155" s="108"/>
      <c r="Y155" s="106" t="str">
        <f t="array" ref="Y155">INDEX('DiT - 2022-2023 Applications Re'!U:U,MATCH(A155,'DiT - 2022-2023 Applications Re'!B:B,0))</f>
        <v>Invite</v>
      </c>
    </row>
    <row r="156" spans="1:25" ht="66" hidden="1">
      <c r="A156" s="109" t="s">
        <v>214</v>
      </c>
      <c r="B156" s="86" t="str">
        <f t="array" ref="B156">INDEX(Interview,MATCH(A156,Name,0))</f>
        <v>Invite</v>
      </c>
      <c r="C156" s="86" t="str">
        <f t="array" ref="C156">INDEX(Track,MATCH(A156,Name,0))</f>
        <v>Digital Tech</v>
      </c>
      <c r="D156" s="87">
        <f t="array" ref="D156">INDEX(Score,MATCH(A156,Name,0))</f>
        <v>4</v>
      </c>
      <c r="E156" s="88">
        <f t="array" aca="1" ref="E156" ca="1">INDEX(Date,MATCH(A156,Name,0))</f>
        <v>44796</v>
      </c>
      <c r="F156" s="86" t="s">
        <v>13337</v>
      </c>
      <c r="G156" s="86" t="s">
        <v>13369</v>
      </c>
      <c r="H156" s="86" t="str">
        <f t="array" ref="H156">IFERROR(INDEX('2022-2023 Third Reviews'!K:K,MATCH(A156,'2022-2023 Third Reviews'!C:C,0)),"")</f>
        <v/>
      </c>
      <c r="I156" s="89" t="s">
        <v>10517</v>
      </c>
      <c r="J156" s="89" t="s">
        <v>3877</v>
      </c>
      <c r="K156" s="89" t="str">
        <f t="array" ref="K156">IFERROR(INDEX('2022-2023 Third Reviews'!L:L,MATCH(A156,'2022-2023 Third Reviews'!C:C,0)),"")</f>
        <v/>
      </c>
      <c r="L156" s="90">
        <f t="array" ref="L156">INDEX(AppNotes,MATCH(A156,Name,0))</f>
        <v>0</v>
      </c>
      <c r="M156" s="91" t="str">
        <f t="array" aca="1" ref="M156" ca="1">INDEX(Team,MATCH(A156,'Key Metrics'!B:B,0))</f>
        <v>Man, Man, Man</v>
      </c>
      <c r="N156" s="87" t="str">
        <f t="array" aca="1" ref="N156" ca="1">IF(INDEX('Key Metrics'!F:F,MATCH(A156,'Key Metrics'!B:B,0))="Woman","Yes","")</f>
        <v/>
      </c>
      <c r="O156" s="87" t="str">
        <f t="shared" ca="1" si="0"/>
        <v/>
      </c>
      <c r="P156" s="92">
        <f t="array" ref="P156">INDEX(Referral,MATCH(A156,Name,0))</f>
        <v>0</v>
      </c>
      <c r="Q156" s="92">
        <f t="array" aca="1" ref="Q156" ca="1">IF(INDEX(NYUAfillType,MATCH(A156,'Key Metrics'!B:B,0))="Other (please specify)",INDEX('Key Metrics'!N:N,MATCH(A156,'Key Metrics'!B:B,0)),INDEX(NYUAfillType,MATCH(A156,'Key Metrics'!B:B,0)))</f>
        <v>0</v>
      </c>
      <c r="R156" s="93" t="str">
        <f t="array" aca="1" ref="R156" ca="1">IF(INDEX('Key Metrics'!Q:Q,MATCH(A156,'Key Metrics'!B:B,0))="No","",INDEX('Key Metrics'!Q:Q,MATCH(A156,'Key Metrics'!B:B,0)))</f>
        <v/>
      </c>
      <c r="S156" s="94" t="str">
        <f t="shared" si="1"/>
        <v>Invite Next Year</v>
      </c>
      <c r="T156" s="95" t="s">
        <v>24</v>
      </c>
      <c r="U156" s="95" t="b">
        <v>0</v>
      </c>
      <c r="V156" s="95" t="b">
        <v>0</v>
      </c>
      <c r="W156" s="95" t="b">
        <v>0</v>
      </c>
      <c r="X156" s="96"/>
      <c r="Y156" s="94" t="str">
        <f t="array" ref="Y156">INDEX('DiT - 2022-2023 Applications Re'!U:U,MATCH(A156,'DiT - 2022-2023 Applications Re'!B:B,0))</f>
        <v>Invite Next Year</v>
      </c>
    </row>
    <row r="157" spans="1:25" ht="33" hidden="1">
      <c r="A157" s="97" t="s">
        <v>215</v>
      </c>
      <c r="B157" s="98" t="str">
        <f t="array" ref="B157">INDEX(Interview,MATCH(A157,Name,0))</f>
        <v>Invite</v>
      </c>
      <c r="C157" s="98" t="str">
        <f t="array" ref="C157">INDEX(Track,MATCH(A157,Name,0))</f>
        <v>Digital Tech</v>
      </c>
      <c r="D157" s="99">
        <f t="array" ref="D157">INDEX(Score,MATCH(A157,Name,0))</f>
        <v>4</v>
      </c>
      <c r="E157" s="100">
        <f t="array" aca="1" ref="E157" ca="1">INDEX(Date,MATCH(A157,Name,0))</f>
        <v>44784</v>
      </c>
      <c r="F157" s="98" t="s">
        <v>13329</v>
      </c>
      <c r="G157" s="98" t="s">
        <v>13349</v>
      </c>
      <c r="H157" s="98" t="str">
        <f t="array" aca="1" ref="H157" ca="1">IFERROR(INDEX('2022-2023 Third Reviews'!K:K,MATCH(A157,'2022-2023 Third Reviews'!C:C,0)),"")</f>
        <v>Nick Schmandt
2</v>
      </c>
      <c r="I157" s="101" t="s">
        <v>3892</v>
      </c>
      <c r="J157" s="101" t="s">
        <v>3893</v>
      </c>
      <c r="K157" s="101" t="str">
        <f t="array" aca="1" ref="K157" ca="1">IFERROR(INDEX('2022-2023 Third Reviews'!L:L,MATCH(A157,'2022-2023 Third Reviews'!C:C,0)),"")</f>
        <v>This technology is just not new enough, and I don't see companies paying a lot for it. Also, I didn't see validation that it would protect against things like a printout of someone's face, or how reliable the tech is.</v>
      </c>
      <c r="L157" s="102">
        <f t="array" ref="L157">INDEX(AppNotes,MATCH(A157,Name,0))</f>
        <v>0</v>
      </c>
      <c r="M157" s="103" t="str">
        <f t="array" aca="1" ref="M157" ca="1">INDEX(Team,MATCH(A157,'Key Metrics'!B:B,0))</f>
        <v>Man, Woman, Man</v>
      </c>
      <c r="N157" s="99" t="str">
        <f t="array" aca="1" ref="N157" ca="1">IF(INDEX('Key Metrics'!F:F,MATCH(A157,'Key Metrics'!B:B,0))="Woman","Yes","")</f>
        <v/>
      </c>
      <c r="O157" s="99" t="str">
        <f t="shared" ca="1" si="0"/>
        <v>Yes</v>
      </c>
      <c r="P157" s="104">
        <f t="array" ref="P157">INDEX(Referral,MATCH(A157,Name,0))</f>
        <v>0</v>
      </c>
      <c r="Q157" s="104">
        <f t="array" aca="1" ref="Q157" ca="1">IF(INDEX(NYUAfillType,MATCH(A157,'Key Metrics'!B:B,0))="Other (please specify)",INDEX('Key Metrics'!N:N,MATCH(A157,'Key Metrics'!B:B,0)),INDEX(NYUAfillType,MATCH(A157,'Key Metrics'!B:B,0)))</f>
        <v>0</v>
      </c>
      <c r="R157" s="105" t="str">
        <f t="array" aca="1" ref="R157" ca="1">IF(INDEX('Key Metrics'!Q:Q,MATCH(A157,'Key Metrics'!B:B,0))="No","",INDEX('Key Metrics'!Q:Q,MATCH(A157,'Key Metrics'!B:B,0)))</f>
        <v/>
      </c>
      <c r="S157" s="106" t="str">
        <f t="shared" si="1"/>
        <v>Invite Next Year</v>
      </c>
      <c r="T157" s="107" t="s">
        <v>24</v>
      </c>
      <c r="U157" s="107" t="b">
        <v>0</v>
      </c>
      <c r="V157" s="107" t="b">
        <v>0</v>
      </c>
      <c r="W157" s="107" t="b">
        <v>0</v>
      </c>
      <c r="X157" s="108"/>
      <c r="Y157" s="106" t="str">
        <f t="array" ref="Y157">INDEX('DiT - 2022-2023 Applications Re'!U:U,MATCH(A157,'DiT - 2022-2023 Applications Re'!B:B,0))</f>
        <v>Invite Next Year</v>
      </c>
    </row>
    <row r="158" spans="1:25" ht="22" hidden="1">
      <c r="A158" s="109" t="s">
        <v>216</v>
      </c>
      <c r="B158" s="86" t="str">
        <f t="array" ref="B158">INDEX(Interview,MATCH(A158,Name,0))</f>
        <v>Invite</v>
      </c>
      <c r="C158" s="86" t="str">
        <f t="array" ref="C158">INDEX(Track,MATCH(A158,Name,0))</f>
        <v>Digital Tech</v>
      </c>
      <c r="D158" s="87">
        <f t="array" ref="D158">INDEX(Score,MATCH(A158,Name,0))</f>
        <v>4</v>
      </c>
      <c r="E158" s="88">
        <f t="array" aca="1" ref="E158" ca="1">INDEX(Date,MATCH(A158,Name,0))</f>
        <v>44784</v>
      </c>
      <c r="F158" s="86" t="s">
        <v>13305</v>
      </c>
      <c r="G158" s="86" t="s">
        <v>13321</v>
      </c>
      <c r="H158" s="86" t="str">
        <f t="array" aca="1" ref="H158" ca="1">IFERROR(INDEX('2022-2023 Third Reviews'!K:K,MATCH(A158,'2022-2023 Third Reviews'!C:C,0)),"")</f>
        <v>John McDonald
4</v>
      </c>
      <c r="I158" s="89" t="s">
        <v>481</v>
      </c>
      <c r="J158" s="89" t="s">
        <v>10692</v>
      </c>
      <c r="K158" s="89">
        <f t="array" aca="1" ref="K158" ca="1">IFERROR(INDEX('2022-2023 Third Reviews'!L:L,MATCH(A158,'2022-2023 Third Reviews'!C:C,0)),"")</f>
        <v>0</v>
      </c>
      <c r="L158" s="90" t="str">
        <f t="array" ref="L158">INDEX(AppNotes,MATCH(A158,Name,0))</f>
        <v>change to DiT; generates digital face to create new videos going forward with uploaded face; team from Google/Meta, exp. with Metaverse work;</v>
      </c>
      <c r="M158" s="91" t="str">
        <f t="array" aca="1" ref="M158" ca="1">INDEX(Team,MATCH(A158,'Key Metrics'!B:B,0))</f>
        <v>Woman</v>
      </c>
      <c r="N158" s="87" t="str">
        <f t="array" aca="1" ref="N158" ca="1">IF(INDEX('Key Metrics'!F:F,MATCH(A158,'Key Metrics'!B:B,0))="Woman","Yes","")</f>
        <v>Yes</v>
      </c>
      <c r="O158" s="87" t="str">
        <f t="shared" ca="1" si="0"/>
        <v>Yes</v>
      </c>
      <c r="P158" s="92" t="str">
        <f t="array" ref="P158">INDEX(Referral,MATCH(A158,Name,0))</f>
        <v>Deepak Hegde</v>
      </c>
      <c r="Q158" s="92">
        <f t="array" aca="1" ref="Q158" ca="1">IF(INDEX(NYUAfillType,MATCH(A158,'Key Metrics'!B:B,0))="Other (please specify)",INDEX('Key Metrics'!N:N,MATCH(A158,'Key Metrics'!B:B,0)),INDEX(NYUAfillType,MATCH(A158,'Key Metrics'!B:B,0)))</f>
        <v>0</v>
      </c>
      <c r="R158" s="93" t="str">
        <f t="array" aca="1" ref="R158" ca="1">IF(INDEX('Key Metrics'!Q:Q,MATCH(A158,'Key Metrics'!B:B,0))="No","",INDEX('Key Metrics'!Q:Q,MATCH(A158,'Key Metrics'!B:B,0)))</f>
        <v/>
      </c>
      <c r="S158" s="94" t="str">
        <f t="shared" si="1"/>
        <v>Invite Next Year</v>
      </c>
      <c r="T158" s="95" t="s">
        <v>24</v>
      </c>
      <c r="U158" s="95" t="b">
        <v>0</v>
      </c>
      <c r="V158" s="95" t="b">
        <v>0</v>
      </c>
      <c r="W158" s="95" t="b">
        <v>0</v>
      </c>
      <c r="X158" s="96"/>
      <c r="Y158" s="94" t="str">
        <f t="array" ref="Y158">INDEX('DiT - 2022-2023 Applications Re'!U:U,MATCH(A158,'DiT - 2022-2023 Applications Re'!B:B,0))</f>
        <v>Invite Next Year</v>
      </c>
    </row>
    <row r="159" spans="1:25" ht="33" hidden="1">
      <c r="A159" s="97" t="s">
        <v>217</v>
      </c>
      <c r="B159" s="98" t="str">
        <f t="array" ref="B159">INDEX(Interview,MATCH(A159,Name,0))</f>
        <v>Invite</v>
      </c>
      <c r="C159" s="98" t="str">
        <f t="array" ref="C159">INDEX(Track,MATCH(A159,Name,0))</f>
        <v>Digital Tech</v>
      </c>
      <c r="D159" s="99">
        <f t="array" ref="D159">INDEX(Score,MATCH(A159,Name,0))</f>
        <v>4</v>
      </c>
      <c r="E159" s="100">
        <f t="array" aca="1" ref="E159" ca="1">INDEX(Date,MATCH(A159,Name,0))</f>
        <v>44796</v>
      </c>
      <c r="F159" s="98" t="s">
        <v>13305</v>
      </c>
      <c r="G159" s="98" t="s">
        <v>13378</v>
      </c>
      <c r="H159" s="98" t="str">
        <f t="array" ref="H159">IFERROR(INDEX('2022-2023 Third Reviews'!K:K,MATCH(A159,'2022-2023 Third Reviews'!C:C,0)),"")</f>
        <v/>
      </c>
      <c r="I159" s="101" t="s">
        <v>11343</v>
      </c>
      <c r="J159" s="101" t="s">
        <v>481</v>
      </c>
      <c r="K159" s="101" t="str">
        <f t="array" ref="K159">IFERROR(INDEX('2022-2023 Third Reviews'!L:L,MATCH(A159,'2022-2023 Third Reviews'!C:C,0)),"")</f>
        <v/>
      </c>
      <c r="L159" s="102">
        <f t="array" ref="L159">INDEX(AppNotes,MATCH(A159,Name,0))</f>
        <v>0</v>
      </c>
      <c r="M159" s="103" t="str">
        <f t="array" aca="1" ref="M159" ca="1">INDEX(Team,MATCH(A159,'Key Metrics'!B:B,0))</f>
        <v>Man, Man</v>
      </c>
      <c r="N159" s="99" t="str">
        <f t="array" aca="1" ref="N159" ca="1">IF(INDEX('Key Metrics'!F:F,MATCH(A159,'Key Metrics'!B:B,0))="Woman","Yes","")</f>
        <v/>
      </c>
      <c r="O159" s="99" t="str">
        <f t="shared" ca="1" si="0"/>
        <v/>
      </c>
      <c r="P159" s="104">
        <f t="array" ref="P159">INDEX(Referral,MATCH(A159,Name,0))</f>
        <v>0</v>
      </c>
      <c r="Q159" s="104">
        <f t="array" aca="1" ref="Q159" ca="1">IF(INDEX(NYUAfillType,MATCH(A159,'Key Metrics'!B:B,0))="Other (please specify)",INDEX('Key Metrics'!N:N,MATCH(A159,'Key Metrics'!B:B,0)),INDEX(NYUAfillType,MATCH(A159,'Key Metrics'!B:B,0)))</f>
        <v>0</v>
      </c>
      <c r="R159" s="105" t="str">
        <f t="array" aca="1" ref="R159" ca="1">IF(INDEX('Key Metrics'!Q:Q,MATCH(A159,'Key Metrics'!B:B,0))="No","",INDEX('Key Metrics'!Q:Q,MATCH(A159,'Key Metrics'!B:B,0)))</f>
        <v/>
      </c>
      <c r="S159" s="106" t="str">
        <f t="shared" si="1"/>
        <v>Invite Next Year</v>
      </c>
      <c r="T159" s="107" t="s">
        <v>24</v>
      </c>
      <c r="U159" s="107" t="b">
        <v>0</v>
      </c>
      <c r="V159" s="107" t="b">
        <v>0</v>
      </c>
      <c r="W159" s="107" t="b">
        <v>0</v>
      </c>
      <c r="X159" s="108"/>
      <c r="Y159" s="106" t="str">
        <f t="array" ref="Y159">INDEX('DiT - 2022-2023 Applications Re'!U:U,MATCH(A159,'DiT - 2022-2023 Applications Re'!B:B,0))</f>
        <v>Invite Next Year</v>
      </c>
    </row>
    <row r="160" spans="1:25" ht="99">
      <c r="A160" s="109" t="s">
        <v>218</v>
      </c>
      <c r="B160" s="86" t="str">
        <f t="array" ref="B160">INDEX(Interview,MATCH(A160,Name,0))</f>
        <v>Invite</v>
      </c>
      <c r="C160" s="86" t="str">
        <f t="array" ref="C160">INDEX(Track,MATCH(A160,Name,0))</f>
        <v>Digital Tech</v>
      </c>
      <c r="D160" s="87">
        <f t="array" ref="D160">INDEX(Score,MATCH(A160,Name,0))</f>
        <v>4</v>
      </c>
      <c r="E160" s="88">
        <f t="array" aca="1" ref="E160" ca="1">INDEX(Date,MATCH(A160,Name,0))</f>
        <v>44796</v>
      </c>
      <c r="F160" s="86" t="s">
        <v>13347</v>
      </c>
      <c r="G160" s="86" t="s">
        <v>13368</v>
      </c>
      <c r="H160" s="86" t="str">
        <f t="array" ref="H160">IFERROR(INDEX('2022-2023 Third Reviews'!K:K,MATCH(A160,'2022-2023 Third Reviews'!C:C,0)),"")</f>
        <v/>
      </c>
      <c r="I160" s="89" t="s">
        <v>10866</v>
      </c>
      <c r="J160" s="89" t="s">
        <v>1305</v>
      </c>
      <c r="K160" s="89" t="str">
        <f t="array" ref="K160">IFERROR(INDEX('2022-2023 Third Reviews'!L:L,MATCH(A160,'2022-2023 Third Reviews'!C:C,0)),"")</f>
        <v/>
      </c>
      <c r="L160" s="90">
        <f t="array" ref="L160">INDEX(AppNotes,MATCH(A160,Name,0))</f>
        <v>0</v>
      </c>
      <c r="M160" s="91" t="str">
        <f t="array" aca="1" ref="M160" ca="1">INDEX(Team,MATCH(A160,'Key Metrics'!B:B,0))</f>
        <v>Man, Woman, Man</v>
      </c>
      <c r="N160" s="87" t="str">
        <f t="array" aca="1" ref="N160" ca="1">IF(INDEX('Key Metrics'!F:F,MATCH(A160,'Key Metrics'!B:B,0))="Woman","Yes","")</f>
        <v/>
      </c>
      <c r="O160" s="87" t="str">
        <f t="shared" ca="1" si="0"/>
        <v>Yes</v>
      </c>
      <c r="P160" s="92" t="str">
        <f t="array" ref="P160">INDEX(Referral,MATCH(A160,Name,0))</f>
        <v>From one of your associate directors - Beth Xie, our I-Corp Industry Mentor.</v>
      </c>
      <c r="Q160" s="92">
        <f t="array" aca="1" ref="Q160" ca="1">IF(INDEX(NYUAfillType,MATCH(A160,'Key Metrics'!B:B,0))="Other (please specify)",INDEX('Key Metrics'!N:N,MATCH(A160,'Key Metrics'!B:B,0)),INDEX(NYUAfillType,MATCH(A160,'Key Metrics'!B:B,0)))</f>
        <v>0</v>
      </c>
      <c r="R160" s="93" t="str">
        <f t="array" aca="1" ref="R160" ca="1">IF(INDEX('Key Metrics'!Q:Q,MATCH(A160,'Key Metrics'!B:B,0))="No","",INDEX('Key Metrics'!Q:Q,MATCH(A160,'Key Metrics'!B:B,0)))</f>
        <v/>
      </c>
      <c r="S160" s="94" t="str">
        <f t="shared" si="1"/>
        <v>Invite</v>
      </c>
      <c r="T160" s="95" t="s">
        <v>18</v>
      </c>
      <c r="U160" s="95" t="b">
        <v>0</v>
      </c>
      <c r="V160" s="95" t="b">
        <v>0</v>
      </c>
      <c r="W160" s="95" t="b">
        <v>0</v>
      </c>
      <c r="X160" s="96"/>
      <c r="Y160" s="94" t="str">
        <f t="array" ref="Y160">INDEX('DiT - 2022-2023 Applications Re'!U:U,MATCH(A160,'DiT - 2022-2023 Applications Re'!B:B,0))</f>
        <v>Invite</v>
      </c>
    </row>
    <row r="161" spans="1:25" ht="66">
      <c r="A161" s="97" t="s">
        <v>219</v>
      </c>
      <c r="B161" s="98" t="str">
        <f t="array" ref="B161">INDEX(Interview,MATCH(A161,Name,0))</f>
        <v>Invite</v>
      </c>
      <c r="C161" s="98" t="str">
        <f t="array" ref="C161">INDEX(Track,MATCH(A161,Name,0))</f>
        <v>Digital Tech</v>
      </c>
      <c r="D161" s="99">
        <f t="array" ref="D161">INDEX(Score,MATCH(A161,Name,0))</f>
        <v>4.5</v>
      </c>
      <c r="E161" s="100">
        <f t="array" aca="1" ref="E161" ca="1">INDEX(Date,MATCH(A161,Name,0))</f>
        <v>44796</v>
      </c>
      <c r="F161" s="98" t="s">
        <v>13351</v>
      </c>
      <c r="G161" s="98" t="s">
        <v>13365</v>
      </c>
      <c r="H161" s="98" t="str">
        <f t="array" ref="H161">IFERROR(INDEX('2022-2023 Third Reviews'!K:K,MATCH(A161,'2022-2023 Third Reviews'!C:C,0)),"")</f>
        <v/>
      </c>
      <c r="I161" s="101" t="s">
        <v>11056</v>
      </c>
      <c r="J161" s="101" t="s">
        <v>1315</v>
      </c>
      <c r="K161" s="101" t="str">
        <f t="array" ref="K161">IFERROR(INDEX('2022-2023 Third Reviews'!L:L,MATCH(A161,'2022-2023 Third Reviews'!C:C,0)),"")</f>
        <v/>
      </c>
      <c r="L161" s="102">
        <f t="array" ref="L161">INDEX(AppNotes,MATCH(A161,Name,0))</f>
        <v>0</v>
      </c>
      <c r="M161" s="103" t="str">
        <f t="array" aca="1" ref="M161" ca="1">INDEX(Team,MATCH(A161,'Key Metrics'!B:B,0))</f>
        <v>Man, Woman, Woman, Man, Man, Woman</v>
      </c>
      <c r="N161" s="99" t="str">
        <f t="array" aca="1" ref="N161" ca="1">IF(INDEX('Key Metrics'!F:F,MATCH(A161,'Key Metrics'!B:B,0))="Woman","Yes","")</f>
        <v/>
      </c>
      <c r="O161" s="99" t="str">
        <f t="shared" ca="1" si="0"/>
        <v>Yes</v>
      </c>
      <c r="P161" s="104">
        <f t="array" ref="P161">INDEX(Referral,MATCH(A161,Name,0))</f>
        <v>0</v>
      </c>
      <c r="Q161" s="104">
        <f t="array" aca="1" ref="Q161" ca="1">IF(INDEX(NYUAfillType,MATCH(A161,'Key Metrics'!B:B,0))="Other (please specify)",INDEX('Key Metrics'!N:N,MATCH(A161,'Key Metrics'!B:B,0)),INDEX(NYUAfillType,MATCH(A161,'Key Metrics'!B:B,0)))</f>
        <v>0</v>
      </c>
      <c r="R161" s="105" t="str">
        <f t="array" aca="1" ref="R161" ca="1">IF(INDEX('Key Metrics'!Q:Q,MATCH(A161,'Key Metrics'!B:B,0))="No","",INDEX('Key Metrics'!Q:Q,MATCH(A161,'Key Metrics'!B:B,0)))</f>
        <v/>
      </c>
      <c r="S161" s="106" t="str">
        <f t="shared" si="1"/>
        <v>Invite</v>
      </c>
      <c r="T161" s="107" t="s">
        <v>18</v>
      </c>
      <c r="U161" s="107" t="b">
        <v>0</v>
      </c>
      <c r="V161" s="107" t="b">
        <v>0</v>
      </c>
      <c r="W161" s="107" t="b">
        <v>0</v>
      </c>
      <c r="X161" s="108"/>
      <c r="Y161" s="106" t="str">
        <f t="array" ref="Y161">INDEX('DiT - 2022-2023 Applications Re'!U:U,MATCH(A161,'DiT - 2022-2023 Applications Re'!B:B,0))</f>
        <v>Invite</v>
      </c>
    </row>
    <row r="162" spans="1:25" ht="28">
      <c r="A162" s="109" t="s">
        <v>220</v>
      </c>
      <c r="B162" s="86" t="str">
        <f t="array" ref="B162">INDEX(Interview,MATCH(A162,Name,0))</f>
        <v>Invite</v>
      </c>
      <c r="C162" s="86" t="str">
        <f t="array" ref="C162">INDEX(Track,MATCH(A162,Name,0))</f>
        <v>Digital Tech</v>
      </c>
      <c r="D162" s="87">
        <f t="array" ref="D162">INDEX(Score,MATCH(A162,Name,0))</f>
        <v>4</v>
      </c>
      <c r="E162" s="88">
        <f t="array" aca="1" ref="E162" ca="1">INDEX(Date,MATCH(A162,Name,0))</f>
        <v>44789</v>
      </c>
      <c r="F162" s="86" t="s">
        <v>13337</v>
      </c>
      <c r="G162" s="86" t="s">
        <v>13354</v>
      </c>
      <c r="H162" s="86" t="str">
        <f t="array" aca="1" ref="H162" ca="1">IFERROR(INDEX('2022-2023 Third Reviews'!K:K,MATCH(A162,'2022-2023 Third Reviews'!C:C,0)),"")</f>
        <v>Jason Yu
4</v>
      </c>
      <c r="I162" s="89" t="s">
        <v>11446</v>
      </c>
      <c r="J162" s="89" t="s">
        <v>1322</v>
      </c>
      <c r="K162" s="89" t="str">
        <f t="array" aca="1" ref="K162" ca="1">IFERROR(INDEX('2022-2023 Third Reviews'!L:L,MATCH(A162,'2022-2023 Third Reviews'!C:C,0)),"")</f>
        <v>Lack of fundraising and engineering bandwidth constraints.</v>
      </c>
      <c r="L162" s="90">
        <f t="array" ref="L162">INDEX(AppNotes,MATCH(A162,Name,0))</f>
        <v>0</v>
      </c>
      <c r="M162" s="91" t="str">
        <f t="array" aca="1" ref="M162" ca="1">INDEX(Team,MATCH(A162,'Key Metrics'!B:B,0))</f>
        <v>Man, Woman, Man, Man, Man</v>
      </c>
      <c r="N162" s="87" t="str">
        <f t="array" aca="1" ref="N162" ca="1">IF(INDEX('Key Metrics'!F:F,MATCH(A162,'Key Metrics'!B:B,0))="Woman","Yes","")</f>
        <v/>
      </c>
      <c r="O162" s="87" t="str">
        <f t="shared" ca="1" si="0"/>
        <v>Yes</v>
      </c>
      <c r="P162" s="92" t="str">
        <f t="array" ref="P162">INDEX(Referral,MATCH(A162,Name,0))</f>
        <v>Gill Sawhney</v>
      </c>
      <c r="Q162" s="92" t="str">
        <f t="array" aca="1" ref="Q162" ca="1">IF(INDEX(NYUAfillType,MATCH(A162,'Key Metrics'!B:B,0))="Other (please specify)",INDEX('Key Metrics'!N:N,MATCH(A162,'Key Metrics'!B:B,0)),INDEX(NYUAfillType,MATCH(A162,'Key Metrics'!B:B,0)))</f>
        <v>NYU Alumni</v>
      </c>
      <c r="R162" s="93" t="str">
        <f t="array" aca="1" ref="R162" ca="1">IF(INDEX('Key Metrics'!Q:Q,MATCH(A162,'Key Metrics'!B:B,0))="No","",INDEX('Key Metrics'!Q:Q,MATCH(A162,'Key Metrics'!B:B,0)))</f>
        <v/>
      </c>
      <c r="S162" s="94" t="str">
        <f t="shared" si="1"/>
        <v>Invite</v>
      </c>
      <c r="T162" s="95" t="s">
        <v>18</v>
      </c>
      <c r="U162" s="95" t="b">
        <v>0</v>
      </c>
      <c r="V162" s="95" t="b">
        <v>0</v>
      </c>
      <c r="W162" s="95" t="b">
        <v>0</v>
      </c>
      <c r="X162" s="96"/>
      <c r="Y162" s="94" t="str">
        <f t="array" ref="Y162">INDEX('DiT - 2022-2023 Applications Re'!U:U,MATCH(A162,'DiT - 2022-2023 Applications Re'!B:B,0))</f>
        <v>Invite</v>
      </c>
    </row>
    <row r="163" spans="1:25" ht="33" hidden="1">
      <c r="A163" s="97" t="s">
        <v>221</v>
      </c>
      <c r="B163" s="98" t="str">
        <f t="array" ref="B163">INDEX(Interview,MATCH(A163,Name,0))</f>
        <v>Invite</v>
      </c>
      <c r="C163" s="98" t="str">
        <f t="array" ref="C163">INDEX(Track,MATCH(A163,Name,0))</f>
        <v>Digital Tech</v>
      </c>
      <c r="D163" s="99">
        <f t="array" ref="D163">INDEX(Score,MATCH(A163,Name,0))</f>
        <v>4</v>
      </c>
      <c r="E163" s="100">
        <f t="array" aca="1" ref="E163" ca="1">INDEX(Date,MATCH(A163,Name,0))</f>
        <v>44782</v>
      </c>
      <c r="F163" s="98" t="s">
        <v>13337</v>
      </c>
      <c r="G163" s="98" t="s">
        <v>13349</v>
      </c>
      <c r="H163" s="98" t="str">
        <f t="array" aca="1" ref="H163" ca="1">IFERROR(INDEX('2022-2023 Third Reviews'!K:K,MATCH(A163,'2022-2023 Third Reviews'!C:C,0)),"")</f>
        <v>Nick Schmandt
5</v>
      </c>
      <c r="I163" s="101" t="s">
        <v>10366</v>
      </c>
      <c r="J163" s="101" t="s">
        <v>3916</v>
      </c>
      <c r="K163" s="101" t="str">
        <f t="array" aca="1" ref="K163" ca="1">IFERROR(INDEX('2022-2023 Third Reviews'!L:L,MATCH(A163,'2022-2023 Third Reviews'!C:C,0)),"")</f>
        <v>Pretty impressive revenue and growth potential, in a lucrative and fast-growing market. This seems very solid.</v>
      </c>
      <c r="L163" s="102">
        <f t="array" ref="L163">INDEX(AppNotes,MATCH(A163,Name,0))</f>
        <v>0</v>
      </c>
      <c r="M163" s="103" t="str">
        <f t="array" aca="1" ref="M163" ca="1">INDEX(Team,MATCH(A163,'Key Metrics'!B:B,0))</f>
        <v>Man, Man, Woman, Man, Man, Woman</v>
      </c>
      <c r="N163" s="99" t="str">
        <f t="array" aca="1" ref="N163" ca="1">IF(INDEX('Key Metrics'!F:F,MATCH(A163,'Key Metrics'!B:B,0))="Woman","Yes","")</f>
        <v/>
      </c>
      <c r="O163" s="99" t="str">
        <f t="shared" ca="1" si="0"/>
        <v>Yes</v>
      </c>
      <c r="P163" s="104">
        <f t="array" ref="P163">INDEX(Referral,MATCH(A163,Name,0))</f>
        <v>0</v>
      </c>
      <c r="Q163" s="104">
        <f t="array" aca="1" ref="Q163" ca="1">IF(INDEX(NYUAfillType,MATCH(A163,'Key Metrics'!B:B,0))="Other (please specify)",INDEX('Key Metrics'!N:N,MATCH(A163,'Key Metrics'!B:B,0)),INDEX(NYUAfillType,MATCH(A163,'Key Metrics'!B:B,0)))</f>
        <v>0</v>
      </c>
      <c r="R163" s="105" t="str">
        <f t="array" aca="1" ref="R163" ca="1">IF(INDEX('Key Metrics'!Q:Q,MATCH(A163,'Key Metrics'!B:B,0))="No","",INDEX('Key Metrics'!Q:Q,MATCH(A163,'Key Metrics'!B:B,0)))</f>
        <v/>
      </c>
      <c r="S163" s="106" t="str">
        <f t="shared" si="1"/>
        <v>Invite Next Year</v>
      </c>
      <c r="T163" s="107" t="s">
        <v>24</v>
      </c>
      <c r="U163" s="107" t="b">
        <v>0</v>
      </c>
      <c r="V163" s="107" t="b">
        <v>0</v>
      </c>
      <c r="W163" s="107" t="b">
        <v>0</v>
      </c>
      <c r="X163" s="108"/>
      <c r="Y163" s="106" t="str">
        <f t="array" ref="Y163">INDEX('DiT - 2022-2023 Applications Re'!U:U,MATCH(A163,'DiT - 2022-2023 Applications Re'!B:B,0))</f>
        <v>Invite Next Year</v>
      </c>
    </row>
    <row r="164" spans="1:25" ht="33" hidden="1">
      <c r="A164" s="109" t="s">
        <v>222</v>
      </c>
      <c r="B164" s="86" t="str">
        <f t="array" ref="B164">INDEX(Interview,MATCH(A164,Name,0))</f>
        <v>Invite</v>
      </c>
      <c r="C164" s="86" t="str">
        <f t="array" ref="C164">INDEX(Track,MATCH(A164,Name,0))</f>
        <v>Digital Tech</v>
      </c>
      <c r="D164" s="87">
        <f t="array" ref="D164">INDEX(Score,MATCH(A164,Name,0))</f>
        <v>4</v>
      </c>
      <c r="E164" s="88">
        <f t="array" aca="1" ref="E164" ca="1">INDEX(Date,MATCH(A164,Name,0))</f>
        <v>44791</v>
      </c>
      <c r="F164" s="86" t="s">
        <v>13337</v>
      </c>
      <c r="G164" s="86" t="s">
        <v>13378</v>
      </c>
      <c r="H164" s="86" t="str">
        <f t="array" ref="H164">IFERROR(INDEX('2022-2023 Third Reviews'!K:K,MATCH(A164,'2022-2023 Third Reviews'!C:C,0)),"")</f>
        <v/>
      </c>
      <c r="I164" s="89" t="s">
        <v>11397</v>
      </c>
      <c r="J164" s="89" t="s">
        <v>481</v>
      </c>
      <c r="K164" s="89" t="str">
        <f t="array" ref="K164">IFERROR(INDEX('2022-2023 Third Reviews'!L:L,MATCH(A164,'2022-2023 Third Reviews'!C:C,0)),"")</f>
        <v/>
      </c>
      <c r="L164" s="90">
        <f t="array" ref="L164">INDEX(AppNotes,MATCH(A164,Name,0))</f>
        <v>0</v>
      </c>
      <c r="M164" s="91" t="str">
        <f t="array" aca="1" ref="M164" ca="1">INDEX(Team,MATCH(A164,'Key Metrics'!B:B,0))</f>
        <v>Man, Man, Man</v>
      </c>
      <c r="N164" s="87" t="str">
        <f t="array" aca="1" ref="N164" ca="1">IF(INDEX('Key Metrics'!F:F,MATCH(A164,'Key Metrics'!B:B,0))="Woman","Yes","")</f>
        <v/>
      </c>
      <c r="O164" s="87" t="str">
        <f t="shared" ca="1" si="0"/>
        <v/>
      </c>
      <c r="P164" s="92">
        <f t="array" ref="P164">INDEX(Referral,MATCH(A164,Name,0))</f>
        <v>0</v>
      </c>
      <c r="Q164" s="92">
        <f t="array" aca="1" ref="Q164" ca="1">IF(INDEX(NYUAfillType,MATCH(A164,'Key Metrics'!B:B,0))="Other (please specify)",INDEX('Key Metrics'!N:N,MATCH(A164,'Key Metrics'!B:B,0)),INDEX(NYUAfillType,MATCH(A164,'Key Metrics'!B:B,0)))</f>
        <v>0</v>
      </c>
      <c r="R164" s="93" t="str">
        <f t="array" aca="1" ref="R164" ca="1">IF(INDEX('Key Metrics'!Q:Q,MATCH(A164,'Key Metrics'!B:B,0))="No","",INDEX('Key Metrics'!Q:Q,MATCH(A164,'Key Metrics'!B:B,0)))</f>
        <v/>
      </c>
      <c r="S164" s="94" t="str">
        <f t="shared" si="1"/>
        <v>Invite Next Year</v>
      </c>
      <c r="T164" s="95" t="s">
        <v>24</v>
      </c>
      <c r="U164" s="95" t="b">
        <v>0</v>
      </c>
      <c r="V164" s="95" t="b">
        <v>0</v>
      </c>
      <c r="W164" s="95" t="b">
        <v>0</v>
      </c>
      <c r="X164" s="96"/>
      <c r="Y164" s="94" t="str">
        <f t="array" ref="Y164">INDEX('DiT - 2022-2023 Applications Re'!U:U,MATCH(A164,'DiT - 2022-2023 Applications Re'!B:B,0))</f>
        <v>Invite Next Year</v>
      </c>
    </row>
    <row r="165" spans="1:25" ht="77">
      <c r="A165" s="97" t="s">
        <v>223</v>
      </c>
      <c r="B165" s="98" t="str">
        <f t="array" ref="B165">INDEX(Interview,MATCH(A165,Name,0))</f>
        <v>Invite</v>
      </c>
      <c r="C165" s="98" t="str">
        <f t="array" ref="C165">INDEX(Track,MATCH(A165,Name,0))</f>
        <v>Digital Tech</v>
      </c>
      <c r="D165" s="99">
        <f t="array" ref="D165">INDEX(Score,MATCH(A165,Name,0))</f>
        <v>4.38</v>
      </c>
      <c r="E165" s="100">
        <f t="array" aca="1" ref="E165" ca="1">INDEX(Date,MATCH(A165,Name,0))</f>
        <v>44784</v>
      </c>
      <c r="F165" s="98" t="s">
        <v>13304</v>
      </c>
      <c r="G165" s="98" t="s">
        <v>13379</v>
      </c>
      <c r="H165" s="98" t="str">
        <f t="array" aca="1" ref="H165" ca="1">IFERROR(INDEX('2022-2023 Third Reviews'!K:K,MATCH(A165,'2022-2023 Third Reviews'!C:C,0)),"")</f>
        <v>Ahmed Bahgat
3</v>
      </c>
      <c r="I165" s="101" t="s">
        <v>1340</v>
      </c>
      <c r="J165" s="101" t="s">
        <v>11424</v>
      </c>
      <c r="K165" s="101" t="str">
        <f t="array" aca="1" ref="K165" ca="1">IFERROR(INDEX('2022-2023 Third Reviews'!L:L,MATCH(A165,'2022-2023 Third Reviews'!C:C,0)),"")</f>
        <v xml:space="preserve">Good team with a slightly differentiated product in a very competitive market. Looking for EFL to conduct market research and for fundraising. </v>
      </c>
      <c r="L165" s="102">
        <f t="array" ref="L165">INDEX(AppNotes,MATCH(A165,Name,0))</f>
        <v>0</v>
      </c>
      <c r="M165" s="103" t="str">
        <f t="array" aca="1" ref="M165" ca="1">INDEX(Team,MATCH(A165,'Key Metrics'!B:B,0))</f>
        <v>Man, Woman, Man, Man</v>
      </c>
      <c r="N165" s="99" t="str">
        <f t="array" aca="1" ref="N165" ca="1">IF(INDEX('Key Metrics'!F:F,MATCH(A165,'Key Metrics'!B:B,0))="Woman","Yes","")</f>
        <v/>
      </c>
      <c r="O165" s="99" t="str">
        <f t="shared" ca="1" si="0"/>
        <v>Yes</v>
      </c>
      <c r="P165" s="104" t="str">
        <f t="array" ref="P165">INDEX(Referral,MATCH(A165,Name,0))</f>
        <v>Deepak Hedge</v>
      </c>
      <c r="Q165" s="104">
        <f t="array" aca="1" ref="Q165" ca="1">IF(INDEX(NYUAfillType,MATCH(A165,'Key Metrics'!B:B,0))="Other (please specify)",INDEX('Key Metrics'!N:N,MATCH(A165,'Key Metrics'!B:B,0)),INDEX(NYUAfillType,MATCH(A165,'Key Metrics'!B:B,0)))</f>
        <v>0</v>
      </c>
      <c r="R165" s="105" t="str">
        <f t="array" aca="1" ref="R165" ca="1">IF(INDEX('Key Metrics'!Q:Q,MATCH(A165,'Key Metrics'!B:B,0))="No","",INDEX('Key Metrics'!Q:Q,MATCH(A165,'Key Metrics'!B:B,0)))</f>
        <v>Yes</v>
      </c>
      <c r="S165" s="106" t="str">
        <f t="shared" si="1"/>
        <v>Invite</v>
      </c>
      <c r="T165" s="107" t="s">
        <v>18</v>
      </c>
      <c r="U165" s="107" t="b">
        <v>0</v>
      </c>
      <c r="V165" s="107" t="b">
        <v>0</v>
      </c>
      <c r="W165" s="107" t="b">
        <v>0</v>
      </c>
      <c r="X165" s="108"/>
      <c r="Y165" s="106" t="str">
        <f t="array" ref="Y165">INDEX('DiT - 2022-2023 Applications Re'!U:U,MATCH(A165,'DiT - 2022-2023 Applications Re'!B:B,0))</f>
        <v>Invite</v>
      </c>
    </row>
    <row r="166" spans="1:25" ht="55">
      <c r="A166" s="109" t="s">
        <v>224</v>
      </c>
      <c r="B166" s="86" t="str">
        <f t="array" ref="B166">INDEX(Interview,MATCH(A166,Name,0))</f>
        <v>Invite</v>
      </c>
      <c r="C166" s="86" t="str">
        <f t="array" ref="C166">INDEX(Track,MATCH(A166,Name,0))</f>
        <v>Digital Tech</v>
      </c>
      <c r="D166" s="87">
        <f t="array" ref="D166">INDEX(Score,MATCH(A166,Name,0))</f>
        <v>4.5</v>
      </c>
      <c r="E166" s="88">
        <f t="array" aca="1" ref="E166" ca="1">INDEX(Date,MATCH(A166,Name,0))</f>
        <v>44797</v>
      </c>
      <c r="F166" s="86" t="s">
        <v>13351</v>
      </c>
      <c r="G166" s="86" t="s">
        <v>13380</v>
      </c>
      <c r="H166" s="86" t="str">
        <f t="array" ref="H166">IFERROR(INDEX('2022-2023 Third Reviews'!K:K,MATCH(A166,'2022-2023 Third Reviews'!C:C,0)),"")</f>
        <v/>
      </c>
      <c r="I166" s="89" t="s">
        <v>10340</v>
      </c>
      <c r="J166" s="89" t="s">
        <v>1351</v>
      </c>
      <c r="K166" s="89" t="str">
        <f t="array" ref="K166">IFERROR(INDEX('2022-2023 Third Reviews'!L:L,MATCH(A166,'2022-2023 Third Reviews'!C:C,0)),"")</f>
        <v/>
      </c>
      <c r="L166" s="90" t="str">
        <f t="array" ref="L166">INDEX(AppNotes,MATCH(A166,Name,0))</f>
        <v>Strong raise, customer centric</v>
      </c>
      <c r="M166" s="91" t="str">
        <f t="array" aca="1" ref="M166" ca="1">INDEX(Team,MATCH(A166,'Key Metrics'!B:B,0))</f>
        <v>Man, Woman, Man</v>
      </c>
      <c r="N166" s="87" t="str">
        <f t="array" aca="1" ref="N166" ca="1">IF(INDEX('Key Metrics'!F:F,MATCH(A166,'Key Metrics'!B:B,0))="Woman","Yes","")</f>
        <v/>
      </c>
      <c r="O166" s="87" t="str">
        <f t="shared" ca="1" si="0"/>
        <v>Yes</v>
      </c>
      <c r="P166" s="92">
        <f t="array" ref="P166">INDEX(Referral,MATCH(A166,Name,0))</f>
        <v>0</v>
      </c>
      <c r="Q166" s="92">
        <f t="array" aca="1" ref="Q166" ca="1">IF(INDEX(NYUAfillType,MATCH(A166,'Key Metrics'!B:B,0))="Other (please specify)",INDEX('Key Metrics'!N:N,MATCH(A166,'Key Metrics'!B:B,0)),INDEX(NYUAfillType,MATCH(A166,'Key Metrics'!B:B,0)))</f>
        <v>0</v>
      </c>
      <c r="R166" s="93" t="str">
        <f t="array" aca="1" ref="R166" ca="1">IF(INDEX('Key Metrics'!Q:Q,MATCH(A166,'Key Metrics'!B:B,0))="No","",INDEX('Key Metrics'!Q:Q,MATCH(A166,'Key Metrics'!B:B,0)))</f>
        <v/>
      </c>
      <c r="S166" s="94" t="str">
        <f t="shared" si="1"/>
        <v>Invite</v>
      </c>
      <c r="T166" s="95" t="s">
        <v>18</v>
      </c>
      <c r="U166" s="95" t="b">
        <v>0</v>
      </c>
      <c r="V166" s="95" t="b">
        <v>0</v>
      </c>
      <c r="W166" s="95" t="b">
        <v>0</v>
      </c>
      <c r="X166" s="96"/>
      <c r="Y166" s="94" t="str">
        <f t="array" ref="Y166">INDEX('DiT - 2022-2023 Applications Re'!U:U,MATCH(A166,'DiT - 2022-2023 Applications Re'!B:B,0))</f>
        <v>Invite</v>
      </c>
    </row>
    <row r="167" spans="1:25" ht="33" hidden="1">
      <c r="A167" s="97" t="s">
        <v>225</v>
      </c>
      <c r="B167" s="98" t="str">
        <f t="array" ref="B167">INDEX(Interview,MATCH(A167,Name,0))</f>
        <v>Invite</v>
      </c>
      <c r="C167" s="98" t="str">
        <f t="array" ref="C167">INDEX(Track,MATCH(A167,Name,0))</f>
        <v>Digital Tech</v>
      </c>
      <c r="D167" s="99">
        <f t="array" ref="D167">INDEX(Score,MATCH(A167,Name,0))</f>
        <v>4</v>
      </c>
      <c r="E167" s="100">
        <f t="array" aca="1" ref="E167" ca="1">INDEX(Date,MATCH(A167,Name,0))</f>
        <v>44796</v>
      </c>
      <c r="F167" s="98" t="s">
        <v>13354</v>
      </c>
      <c r="G167" s="98" t="s">
        <v>13377</v>
      </c>
      <c r="H167" s="98" t="str">
        <f t="array" ref="H167">IFERROR(INDEX('2022-2023 Third Reviews'!K:K,MATCH(A167,'2022-2023 Third Reviews'!C:C,0)),"")</f>
        <v/>
      </c>
      <c r="I167" s="101" t="s">
        <v>3930</v>
      </c>
      <c r="J167" s="101" t="s">
        <v>3931</v>
      </c>
      <c r="K167" s="101" t="str">
        <f t="array" ref="K167">IFERROR(INDEX('2022-2023 Third Reviews'!L:L,MATCH(A167,'2022-2023 Third Reviews'!C:C,0)),"")</f>
        <v/>
      </c>
      <c r="L167" s="102">
        <f t="array" ref="L167">INDEX(AppNotes,MATCH(A167,Name,0))</f>
        <v>0</v>
      </c>
      <c r="M167" s="103" t="str">
        <f t="array" aca="1" ref="M167" ca="1">INDEX(Team,MATCH(A167,'Key Metrics'!B:B,0))</f>
        <v>Man, Woman, Man, Man, Man, Man</v>
      </c>
      <c r="N167" s="99" t="str">
        <f t="array" aca="1" ref="N167" ca="1">IF(INDEX('Key Metrics'!F:F,MATCH(A167,'Key Metrics'!B:B,0))="Woman","Yes","")</f>
        <v/>
      </c>
      <c r="O167" s="99" t="str">
        <f t="shared" ca="1" si="0"/>
        <v>Yes</v>
      </c>
      <c r="P167" s="104">
        <f t="array" ref="P167">INDEX(Referral,MATCH(A167,Name,0))</f>
        <v>0</v>
      </c>
      <c r="Q167" s="104">
        <f t="array" aca="1" ref="Q167" ca="1">IF(INDEX(NYUAfillType,MATCH(A167,'Key Metrics'!B:B,0))="Other (please specify)",INDEX('Key Metrics'!N:N,MATCH(A167,'Key Metrics'!B:B,0)),INDEX(NYUAfillType,MATCH(A167,'Key Metrics'!B:B,0)))</f>
        <v>0</v>
      </c>
      <c r="R167" s="105" t="str">
        <f t="array" aca="1" ref="R167" ca="1">IF(INDEX('Key Metrics'!Q:Q,MATCH(A167,'Key Metrics'!B:B,0))="No","",INDEX('Key Metrics'!Q:Q,MATCH(A167,'Key Metrics'!B:B,0)))</f>
        <v/>
      </c>
      <c r="S167" s="106" t="str">
        <f t="shared" si="1"/>
        <v>Invite Next Year</v>
      </c>
      <c r="T167" s="107" t="s">
        <v>24</v>
      </c>
      <c r="U167" s="107" t="b">
        <v>0</v>
      </c>
      <c r="V167" s="107" t="b">
        <v>0</v>
      </c>
      <c r="W167" s="107" t="b">
        <v>0</v>
      </c>
      <c r="X167" s="108"/>
      <c r="Y167" s="106" t="str">
        <f t="array" ref="Y167">INDEX('DiT - 2022-2023 Applications Re'!U:U,MATCH(A167,'DiT - 2022-2023 Applications Re'!B:B,0))</f>
        <v>Invite Next Year</v>
      </c>
    </row>
    <row r="168" spans="1:25" ht="33" hidden="1">
      <c r="A168" s="109" t="s">
        <v>226</v>
      </c>
      <c r="B168" s="86" t="str">
        <f t="array" ref="B168">INDEX(Interview,MATCH(A168,Name,0))</f>
        <v>Invite</v>
      </c>
      <c r="C168" s="86" t="str">
        <f t="array" ref="C168">INDEX(Track,MATCH(A168,Name,0))</f>
        <v>Digital Tech</v>
      </c>
      <c r="D168" s="87">
        <f t="array" ref="D168">INDEX(Score,MATCH(A168,Name,0))</f>
        <v>4</v>
      </c>
      <c r="E168" s="88">
        <f t="array" aca="1" ref="E168" ca="1">INDEX(Date,MATCH(A168,Name,0))</f>
        <v>44797</v>
      </c>
      <c r="F168" s="86" t="s">
        <v>13368</v>
      </c>
      <c r="G168" s="86" t="s">
        <v>13380</v>
      </c>
      <c r="H168" s="86" t="str">
        <f t="array" ref="H168">IFERROR(INDEX('2022-2023 Third Reviews'!K:K,MATCH(A168,'2022-2023 Third Reviews'!C:C,0)),"")</f>
        <v/>
      </c>
      <c r="I168" s="89" t="s">
        <v>3938</v>
      </c>
      <c r="J168" s="89" t="s">
        <v>3939</v>
      </c>
      <c r="K168" s="89" t="str">
        <f t="array" ref="K168">IFERROR(INDEX('2022-2023 Third Reviews'!L:L,MATCH(A168,'2022-2023 Third Reviews'!C:C,0)),"")</f>
        <v/>
      </c>
      <c r="L168" s="90">
        <f t="array" ref="L168">INDEX(AppNotes,MATCH(A168,Name,0))</f>
        <v>0</v>
      </c>
      <c r="M168" s="91" t="str">
        <f t="array" aca="1" ref="M168" ca="1">INDEX(Team,MATCH(A168,'Key Metrics'!B:B,0))</f>
        <v>Man, Man, Man, Man</v>
      </c>
      <c r="N168" s="87" t="str">
        <f t="array" aca="1" ref="N168" ca="1">IF(INDEX('Key Metrics'!F:F,MATCH(A168,'Key Metrics'!B:B,0))="Woman","Yes","")</f>
        <v/>
      </c>
      <c r="O168" s="87" t="str">
        <f t="shared" ca="1" si="0"/>
        <v/>
      </c>
      <c r="P168" s="92">
        <f t="array" ref="P168">INDEX(Referral,MATCH(A168,Name,0))</f>
        <v>0</v>
      </c>
      <c r="Q168" s="92">
        <f t="array" aca="1" ref="Q168" ca="1">IF(INDEX(NYUAfillType,MATCH(A168,'Key Metrics'!B:B,0))="Other (please specify)",INDEX('Key Metrics'!N:N,MATCH(A168,'Key Metrics'!B:B,0)),INDEX(NYUAfillType,MATCH(A168,'Key Metrics'!B:B,0)))</f>
        <v>0</v>
      </c>
      <c r="R168" s="93" t="str">
        <f t="array" aca="1" ref="R168" ca="1">IF(INDEX('Key Metrics'!Q:Q,MATCH(A168,'Key Metrics'!B:B,0))="No","",INDEX('Key Metrics'!Q:Q,MATCH(A168,'Key Metrics'!B:B,0)))</f>
        <v/>
      </c>
      <c r="S168" s="94" t="str">
        <f t="shared" si="1"/>
        <v>Invite Next Year</v>
      </c>
      <c r="T168" s="95" t="s">
        <v>24</v>
      </c>
      <c r="U168" s="95" t="b">
        <v>0</v>
      </c>
      <c r="V168" s="95" t="b">
        <v>0</v>
      </c>
      <c r="W168" s="95" t="b">
        <v>0</v>
      </c>
      <c r="X168" s="96"/>
      <c r="Y168" s="94" t="str">
        <f t="array" ref="Y168">INDEX('DiT - 2022-2023 Applications Re'!U:U,MATCH(A168,'DiT - 2022-2023 Applications Re'!B:B,0))</f>
        <v>Invite Next Year</v>
      </c>
    </row>
    <row r="169" spans="1:25" ht="44" hidden="1">
      <c r="A169" s="97" t="s">
        <v>227</v>
      </c>
      <c r="B169" s="98" t="str">
        <f t="array" ref="B169">INDEX(Interview,MATCH(A169,Name,0))</f>
        <v>Invite</v>
      </c>
      <c r="C169" s="98" t="str">
        <f t="array" ref="C169">INDEX(Track,MATCH(A169,Name,0))</f>
        <v>Digital Tech</v>
      </c>
      <c r="D169" s="99">
        <f t="array" ref="D169">INDEX(Score,MATCH(A169,Name,0))</f>
        <v>3.5</v>
      </c>
      <c r="E169" s="100">
        <f t="array" aca="1" ref="E169" ca="1">INDEX(Date,MATCH(A169,Name,0))</f>
        <v>44782</v>
      </c>
      <c r="F169" s="98" t="s">
        <v>13329</v>
      </c>
      <c r="G169" s="98" t="s">
        <v>13381</v>
      </c>
      <c r="H169" s="98" t="str">
        <f t="array" aca="1" ref="H169" ca="1">IFERROR(INDEX('2022-2023 Third Reviews'!K:K,MATCH(A169,'2022-2023 Third Reviews'!C:C,0)),"")</f>
        <v>Ahmed Bahgat
4</v>
      </c>
      <c r="I169" s="101" t="s">
        <v>1359</v>
      </c>
      <c r="J169" s="101" t="s">
        <v>10390</v>
      </c>
      <c r="K169" s="101" t="str">
        <f t="array" aca="1" ref="K169" ca="1">IFERROR(INDEX('2022-2023 Third Reviews'!L:L,MATCH(A169,'2022-2023 Third Reviews'!C:C,0)),"")</f>
        <v>It seems that phase II trials are the next phase for testing this treatment with funding being the biggest obstacle to get there. Aside from seeking funding, it does not seem that they are particularly looking for mentors/advisors or business plan refinement, hence
they might not be optimally positioned to reap what EFL has to offer.</v>
      </c>
      <c r="L169" s="102" t="str">
        <f t="array" ref="L169">INDEX(AppNotes,MATCH(A169,Name,0))</f>
        <v>low to no code platform; looking for non tech developers. would tap into a large market and allow non dev type users to create complicated uses. surprisingly strong funding raised so far. analysis in presentation showed revenue for investors very well; scaling very well so far. unsure of demand side for product</v>
      </c>
      <c r="M169" s="103" t="str">
        <f t="array" aca="1" ref="M169" ca="1">INDEX(Team,MATCH(A169,'Key Metrics'!B:B,0))</f>
        <v>Man</v>
      </c>
      <c r="N169" s="99" t="str">
        <f t="array" aca="1" ref="N169" ca="1">IF(INDEX('Key Metrics'!F:F,MATCH(A169,'Key Metrics'!B:B,0))="Woman","Yes","")</f>
        <v/>
      </c>
      <c r="O169" s="99" t="str">
        <f t="shared" ca="1" si="0"/>
        <v/>
      </c>
      <c r="P169" s="104">
        <f t="array" ref="P169">INDEX(Referral,MATCH(A169,Name,0))</f>
        <v>0</v>
      </c>
      <c r="Q169" s="104">
        <f t="array" aca="1" ref="Q169" ca="1">IF(INDEX(NYUAfillType,MATCH(A169,'Key Metrics'!B:B,0))="Other (please specify)",INDEX('Key Metrics'!N:N,MATCH(A169,'Key Metrics'!B:B,0)),INDEX(NYUAfillType,MATCH(A169,'Key Metrics'!B:B,0)))</f>
        <v>0</v>
      </c>
      <c r="R169" s="105" t="str">
        <f t="array" aca="1" ref="R169" ca="1">IF(INDEX('Key Metrics'!Q:Q,MATCH(A169,'Key Metrics'!B:B,0))="No","",INDEX('Key Metrics'!Q:Q,MATCH(A169,'Key Metrics'!B:B,0)))</f>
        <v/>
      </c>
      <c r="S169" s="106" t="str">
        <f t="shared" si="1"/>
        <v>Invite</v>
      </c>
      <c r="T169" s="107" t="s">
        <v>18</v>
      </c>
      <c r="U169" s="107" t="b">
        <v>0</v>
      </c>
      <c r="V169" s="107" t="b">
        <v>0</v>
      </c>
      <c r="W169" s="107" t="b">
        <v>0</v>
      </c>
      <c r="X169" s="108"/>
      <c r="Y169" s="106" t="str">
        <f t="array" ref="Y169">INDEX('DiT - 2022-2023 Applications Re'!U:U,MATCH(A169,'DiT - 2022-2023 Applications Re'!B:B,0))</f>
        <v>Invite</v>
      </c>
    </row>
    <row r="170" spans="1:25" ht="28" hidden="1">
      <c r="A170" s="109" t="s">
        <v>228</v>
      </c>
      <c r="B170" s="86" t="str">
        <f t="array" ref="B170">INDEX(Interview,MATCH(A170,Name,0))</f>
        <v>Invite</v>
      </c>
      <c r="C170" s="86" t="str">
        <f t="array" ref="C170">INDEX(Track,MATCH(A170,Name,0))</f>
        <v>Digital Tech</v>
      </c>
      <c r="D170" s="87">
        <f t="array" ref="D170">INDEX(Score,MATCH(A170,Name,0))</f>
        <v>4</v>
      </c>
      <c r="E170" s="88">
        <f t="array" aca="1" ref="E170" ca="1">INDEX(Date,MATCH(A170,Name,0))</f>
        <v>44796</v>
      </c>
      <c r="F170" s="86" t="s">
        <v>13304</v>
      </c>
      <c r="G170" s="86" t="s">
        <v>13377</v>
      </c>
      <c r="H170" s="86" t="str">
        <f t="array" ref="H170">IFERROR(INDEX('2022-2023 Third Reviews'!K:K,MATCH(A170,'2022-2023 Third Reviews'!C:C,0)),"")</f>
        <v/>
      </c>
      <c r="I170" s="89" t="s">
        <v>10923</v>
      </c>
      <c r="J170" s="89" t="s">
        <v>3947</v>
      </c>
      <c r="K170" s="89" t="str">
        <f t="array" ref="K170">IFERROR(INDEX('2022-2023 Third Reviews'!L:L,MATCH(A170,'2022-2023 Third Reviews'!C:C,0)),"")</f>
        <v/>
      </c>
      <c r="L170" s="90">
        <f t="array" ref="L170">INDEX(AppNotes,MATCH(A170,Name,0))</f>
        <v>0</v>
      </c>
      <c r="M170" s="91" t="str">
        <f t="array" aca="1" ref="M170" ca="1">INDEX(Team,MATCH(A170,'Key Metrics'!B:B,0))</f>
        <v>Man, Woman, Woman, Man</v>
      </c>
      <c r="N170" s="87" t="str">
        <f t="array" aca="1" ref="N170" ca="1">IF(INDEX('Key Metrics'!F:F,MATCH(A170,'Key Metrics'!B:B,0))="Woman","Yes","")</f>
        <v/>
      </c>
      <c r="O170" s="87" t="str">
        <f t="shared" ca="1" si="0"/>
        <v>Yes</v>
      </c>
      <c r="P170" s="92">
        <f t="array" ref="P170">INDEX(Referral,MATCH(A170,Name,0))</f>
        <v>0</v>
      </c>
      <c r="Q170" s="92">
        <f t="array" aca="1" ref="Q170" ca="1">IF(INDEX(NYUAfillType,MATCH(A170,'Key Metrics'!B:B,0))="Other (please specify)",INDEX('Key Metrics'!N:N,MATCH(A170,'Key Metrics'!B:B,0)),INDEX(NYUAfillType,MATCH(A170,'Key Metrics'!B:B,0)))</f>
        <v>0</v>
      </c>
      <c r="R170" s="93" t="str">
        <f t="array" aca="1" ref="R170" ca="1">IF(INDEX('Key Metrics'!Q:Q,MATCH(A170,'Key Metrics'!B:B,0))="No","",INDEX('Key Metrics'!Q:Q,MATCH(A170,'Key Metrics'!B:B,0)))</f>
        <v/>
      </c>
      <c r="S170" s="94" t="str">
        <f t="shared" si="1"/>
        <v>Invite Next Year</v>
      </c>
      <c r="T170" s="95" t="s">
        <v>24</v>
      </c>
      <c r="U170" s="95" t="b">
        <v>0</v>
      </c>
      <c r="V170" s="95" t="b">
        <v>0</v>
      </c>
      <c r="W170" s="95" t="b">
        <v>0</v>
      </c>
      <c r="X170" s="96"/>
      <c r="Y170" s="94" t="str">
        <f t="array" ref="Y170">INDEX('DiT - 2022-2023 Applications Re'!U:U,MATCH(A170,'DiT - 2022-2023 Applications Re'!B:B,0))</f>
        <v>Invite Next Year</v>
      </c>
    </row>
    <row r="171" spans="1:25" ht="22" hidden="1">
      <c r="A171" s="97" t="s">
        <v>229</v>
      </c>
      <c r="B171" s="98" t="str">
        <f t="array" ref="B171">INDEX(Interview,MATCH(A171,Name,0))</f>
        <v>Invite</v>
      </c>
      <c r="C171" s="98" t="str">
        <f t="array" ref="C171">INDEX(Track,MATCH(A171,Name,0))</f>
        <v>Digital Tech</v>
      </c>
      <c r="D171" s="99">
        <f t="array" ref="D171">INDEX(Score,MATCH(A171,Name,0))</f>
        <v>4</v>
      </c>
      <c r="E171" s="100">
        <f t="array" aca="1" ref="E171" ca="1">INDEX(Date,MATCH(A171,Name,0))</f>
        <v>44796</v>
      </c>
      <c r="F171" s="98" t="s">
        <v>13354</v>
      </c>
      <c r="G171" s="98" t="s">
        <v>13366</v>
      </c>
      <c r="H171" s="98" t="str">
        <f t="array" ref="H171">IFERROR(INDEX('2022-2023 Third Reviews'!K:K,MATCH(A171,'2022-2023 Third Reviews'!C:C,0)),"")</f>
        <v/>
      </c>
      <c r="I171" s="101" t="s">
        <v>3955</v>
      </c>
      <c r="J171" s="101" t="s">
        <v>3956</v>
      </c>
      <c r="K171" s="101" t="str">
        <f t="array" ref="K171">IFERROR(INDEX('2022-2023 Third Reviews'!L:L,MATCH(A171,'2022-2023 Third Reviews'!C:C,0)),"")</f>
        <v/>
      </c>
      <c r="L171" s="102">
        <f t="array" ref="L171">INDEX(AppNotes,MATCH(A171,Name,0))</f>
        <v>0</v>
      </c>
      <c r="M171" s="103" t="str">
        <f t="array" aca="1" ref="M171" ca="1">INDEX(Team,MATCH(A171,'Key Metrics'!B:B,0))</f>
        <v>Man, Man, Man</v>
      </c>
      <c r="N171" s="99" t="str">
        <f t="array" aca="1" ref="N171" ca="1">IF(INDEX('Key Metrics'!F:F,MATCH(A171,'Key Metrics'!B:B,0))="Woman","Yes","")</f>
        <v/>
      </c>
      <c r="O171" s="99" t="str">
        <f t="shared" ca="1" si="0"/>
        <v/>
      </c>
      <c r="P171" s="104" t="str">
        <f t="array" ref="P171">INDEX(Referral,MATCH(A171,Name,0))</f>
        <v>Oded Agam</v>
      </c>
      <c r="Q171" s="104" t="str">
        <f t="array" aca="1" ref="Q171" ca="1">IF(INDEX(NYUAfillType,MATCH(A171,'Key Metrics'!B:B,0))="Other (please specify)",INDEX('Key Metrics'!N:N,MATCH(A171,'Key Metrics'!B:B,0)),INDEX(NYUAfillType,MATCH(A171,'Key Metrics'!B:B,0)))</f>
        <v>NYU Alumni</v>
      </c>
      <c r="R171" s="105" t="str">
        <f t="array" aca="1" ref="R171" ca="1">IF(INDEX('Key Metrics'!Q:Q,MATCH(A171,'Key Metrics'!B:B,0))="No","",INDEX('Key Metrics'!Q:Q,MATCH(A171,'Key Metrics'!B:B,0)))</f>
        <v/>
      </c>
      <c r="S171" s="106" t="str">
        <f t="shared" si="1"/>
        <v>Invite Next Year</v>
      </c>
      <c r="T171" s="107" t="s">
        <v>24</v>
      </c>
      <c r="U171" s="107" t="b">
        <v>0</v>
      </c>
      <c r="V171" s="107" t="b">
        <v>0</v>
      </c>
      <c r="W171" s="107" t="b">
        <v>0</v>
      </c>
      <c r="X171" s="108"/>
      <c r="Y171" s="106" t="str">
        <f t="array" ref="Y171">INDEX('DiT - 2022-2023 Applications Re'!U:U,MATCH(A171,'DiT - 2022-2023 Applications Re'!B:B,0))</f>
        <v>Invite Next Year</v>
      </c>
    </row>
    <row r="172" spans="1:25" ht="55" hidden="1">
      <c r="A172" s="109" t="s">
        <v>230</v>
      </c>
      <c r="B172" s="86" t="str">
        <f t="array" ref="B172">INDEX(Interview,MATCH(A172,Name,0))</f>
        <v>Invite</v>
      </c>
      <c r="C172" s="86" t="str">
        <f t="array" ref="C172">INDEX(Track,MATCH(A172,Name,0))</f>
        <v>Digital Tech</v>
      </c>
      <c r="D172" s="87">
        <f t="array" ref="D172">INDEX(Score,MATCH(A172,Name,0))</f>
        <v>4</v>
      </c>
      <c r="E172" s="88">
        <f t="array" aca="1" ref="E172" ca="1">INDEX(Date,MATCH(A172,Name,0))</f>
        <v>44782</v>
      </c>
      <c r="F172" s="86" t="s">
        <v>13337</v>
      </c>
      <c r="G172" s="86" t="s">
        <v>13320</v>
      </c>
      <c r="H172" s="86" t="str">
        <f t="array" aca="1" ref="H172" ca="1">IFERROR(INDEX('2022-2023 Third Reviews'!K:K,MATCH(A172,'2022-2023 Third Reviews'!C:C,0)),"")</f>
        <v>Ahmed Bahgat
4</v>
      </c>
      <c r="I172" s="89" t="s">
        <v>10428</v>
      </c>
      <c r="J172" s="89" t="s">
        <v>3964</v>
      </c>
      <c r="K172" s="89" t="str">
        <f t="array" aca="1" ref="K172" ca="1">IFERROR(INDEX('2022-2023 Third Reviews'!L:L,MATCH(A172,'2022-2023 Third Reviews'!C:C,0)),"")</f>
        <v xml:space="preserve">Great business with a strong team, primary goals are customer acquisition and fund raising. I believe they are well-positioned to get the most out of EFL, whether it be a strong marketing study or senior advisor guidance through commercialization.   </v>
      </c>
      <c r="L172" s="90">
        <f t="array" ref="L172">INDEX(AppNotes,MATCH(A172,Name,0))</f>
        <v>0</v>
      </c>
      <c r="M172" s="91" t="str">
        <f t="array" aca="1" ref="M172" ca="1">INDEX(Team,MATCH(A172,'Key Metrics'!B:B,0))</f>
        <v>Woman</v>
      </c>
      <c r="N172" s="87" t="str">
        <f t="array" aca="1" ref="N172" ca="1">IF(INDEX('Key Metrics'!F:F,MATCH(A172,'Key Metrics'!B:B,0))="Woman","Yes","")</f>
        <v>Yes</v>
      </c>
      <c r="O172" s="87" t="str">
        <f t="shared" ca="1" si="0"/>
        <v>Yes</v>
      </c>
      <c r="P172" s="92" t="str">
        <f t="array" ref="P172">INDEX(Referral,MATCH(A172,Name,0))</f>
        <v>Cedric Odje</v>
      </c>
      <c r="Q172" s="92">
        <f t="array" aca="1" ref="Q172" ca="1">IF(INDEX(NYUAfillType,MATCH(A172,'Key Metrics'!B:B,0))="Other (please specify)",INDEX('Key Metrics'!N:N,MATCH(A172,'Key Metrics'!B:B,0)),INDEX(NYUAfillType,MATCH(A172,'Key Metrics'!B:B,0)))</f>
        <v>0</v>
      </c>
      <c r="R172" s="93" t="str">
        <f t="array" aca="1" ref="R172" ca="1">IF(INDEX('Key Metrics'!Q:Q,MATCH(A172,'Key Metrics'!B:B,0))="No","",INDEX('Key Metrics'!Q:Q,MATCH(A172,'Key Metrics'!B:B,0)))</f>
        <v/>
      </c>
      <c r="S172" s="94" t="str">
        <f t="shared" si="1"/>
        <v>Invite Next Year</v>
      </c>
      <c r="T172" s="95" t="s">
        <v>24</v>
      </c>
      <c r="U172" s="95" t="b">
        <v>0</v>
      </c>
      <c r="V172" s="95" t="b">
        <v>0</v>
      </c>
      <c r="W172" s="95" t="b">
        <v>0</v>
      </c>
      <c r="X172" s="96"/>
      <c r="Y172" s="94" t="str">
        <f t="array" ref="Y172">INDEX('DiT - 2022-2023 Applications Re'!U:U,MATCH(A172,'DiT - 2022-2023 Applications Re'!B:B,0))</f>
        <v>Invite Next Year</v>
      </c>
    </row>
    <row r="173" spans="1:25" ht="55">
      <c r="A173" s="97" t="s">
        <v>231</v>
      </c>
      <c r="B173" s="98" t="str">
        <f t="array" ref="B173">INDEX(Interview,MATCH(A173,Name,0))</f>
        <v>Invite</v>
      </c>
      <c r="C173" s="98" t="str">
        <f t="array" ref="C173">INDEX(Track,MATCH(A173,Name,0))</f>
        <v>Digital Tech</v>
      </c>
      <c r="D173" s="99">
        <f t="array" ref="D173">INDEX(Score,MATCH(A173,Name,0))</f>
        <v>5</v>
      </c>
      <c r="E173" s="100">
        <f t="array" aca="1" ref="E173" ca="1">INDEX(Date,MATCH(A173,Name,0))</f>
        <v>44791</v>
      </c>
      <c r="F173" s="98" t="s">
        <v>13362</v>
      </c>
      <c r="G173" s="98" t="s">
        <v>13382</v>
      </c>
      <c r="H173" s="98" t="str">
        <f t="array" ref="H173">IFERROR(INDEX('2022-2023 Third Reviews'!K:K,MATCH(A173,'2022-2023 Third Reviews'!C:C,0)),"")</f>
        <v/>
      </c>
      <c r="I173" s="101" t="s">
        <v>10502</v>
      </c>
      <c r="J173" s="101" t="s">
        <v>1372</v>
      </c>
      <c r="K173" s="101" t="str">
        <f t="array" ref="K173">IFERROR(INDEX('2022-2023 Third Reviews'!L:L,MATCH(A173,'2022-2023 Third Reviews'!C:C,0)),"")</f>
        <v/>
      </c>
      <c r="L173" s="102" t="str">
        <f t="array" ref="L173">INDEX(AppNotes,MATCH(A173,Name,0))</f>
        <v>real time updates via AI; founders together have many years of logistics exp, phd/mba education; 1.2M in revenue!; timely company for global supply chain crisis;</v>
      </c>
      <c r="M173" s="103" t="str">
        <f t="array" aca="1" ref="M173" ca="1">INDEX(Team,MATCH(A173,'Key Metrics'!B:B,0))</f>
        <v>Woman, Man</v>
      </c>
      <c r="N173" s="99" t="str">
        <f t="array" aca="1" ref="N173" ca="1">IF(INDEX('Key Metrics'!F:F,MATCH(A173,'Key Metrics'!B:B,0))="Woman","Yes","")</f>
        <v>Yes</v>
      </c>
      <c r="O173" s="99" t="str">
        <f t="shared" ca="1" si="0"/>
        <v>Yes</v>
      </c>
      <c r="P173" s="104" t="str">
        <f t="array" ref="P173">INDEX(Referral,MATCH(A173,Name,0))</f>
        <v>Llew Claasen</v>
      </c>
      <c r="Q173" s="104">
        <f t="array" aca="1" ref="Q173" ca="1">IF(INDEX(NYUAfillType,MATCH(A173,'Key Metrics'!B:B,0))="Other (please specify)",INDEX('Key Metrics'!N:N,MATCH(A173,'Key Metrics'!B:B,0)),INDEX(NYUAfillType,MATCH(A173,'Key Metrics'!B:B,0)))</f>
        <v>0</v>
      </c>
      <c r="R173" s="105" t="str">
        <f t="array" aca="1" ref="R173" ca="1">IF(INDEX('Key Metrics'!Q:Q,MATCH(A173,'Key Metrics'!B:B,0))="No","",INDEX('Key Metrics'!Q:Q,MATCH(A173,'Key Metrics'!B:B,0)))</f>
        <v/>
      </c>
      <c r="S173" s="106" t="str">
        <f t="shared" si="1"/>
        <v>Invite</v>
      </c>
      <c r="T173" s="107" t="s">
        <v>18</v>
      </c>
      <c r="U173" s="107" t="b">
        <v>0</v>
      </c>
      <c r="V173" s="107" t="b">
        <v>0</v>
      </c>
      <c r="W173" s="107" t="b">
        <v>0</v>
      </c>
      <c r="X173" s="108"/>
      <c r="Y173" s="106" t="str">
        <f t="array" ref="Y173">INDEX('DiT - 2022-2023 Applications Re'!U:U,MATCH(A173,'DiT - 2022-2023 Applications Re'!B:B,0))</f>
        <v>Invite</v>
      </c>
    </row>
    <row r="174" spans="1:25" ht="66" hidden="1">
      <c r="A174" s="109" t="s">
        <v>232</v>
      </c>
      <c r="B174" s="86" t="str">
        <f t="array" ref="B174">INDEX(Interview,MATCH(A174,Name,0))</f>
        <v>Invite</v>
      </c>
      <c r="C174" s="86" t="str">
        <f t="array" ref="C174">INDEX(Track,MATCH(A174,Name,0))</f>
        <v>Digital Tech</v>
      </c>
      <c r="D174" s="87">
        <f t="array" ref="D174">INDEX(Score,MATCH(A174,Name,0))</f>
        <v>4</v>
      </c>
      <c r="E174" s="88">
        <f t="array" aca="1" ref="E174" ca="1">INDEX(Date,MATCH(A174,Name,0))</f>
        <v>44784</v>
      </c>
      <c r="F174" s="86" t="s">
        <v>13305</v>
      </c>
      <c r="G174" s="86" t="s">
        <v>13312</v>
      </c>
      <c r="H174" s="86" t="str">
        <f t="array" aca="1" ref="H174" ca="1">IFERROR(INDEX('2022-2023 Third Reviews'!K:K,MATCH(A174,'2022-2023 Third Reviews'!C:C,0)),"")</f>
        <v>Ahmed Bahgat
5</v>
      </c>
      <c r="I174" s="89" t="s">
        <v>10580</v>
      </c>
      <c r="J174" s="89" t="s">
        <v>10581</v>
      </c>
      <c r="K174" s="89" t="str">
        <f t="array" aca="1" ref="K174" ca="1">IFERROR(INDEX('2022-2023 Third Reviews'!L:L,MATCH(A174,'2022-2023 Third Reviews'!C:C,0)),"")</f>
        <v>Note my assessment above is based on a very limited comprehension of the technology provided as presented in the application and deck.
Application seems inconsistent with the link to the deck provided. MVP was done, validated with 20+ customers and completed 1st product sale. 
Business is well positioned to make use of EFL through market research and revisiting the existing business model.</v>
      </c>
      <c r="L174" s="90" t="str">
        <f t="array" ref="L174">INDEX(AppNotes,MATCH(A174,Name,0))</f>
        <v>change to DiT; strong team with previous strong sell</v>
      </c>
      <c r="M174" s="91" t="str">
        <f t="array" aca="1" ref="M174" ca="1">INDEX(Team,MATCH(A174,'Key Metrics'!B:B,0))</f>
        <v>Man, Man</v>
      </c>
      <c r="N174" s="87" t="str">
        <f t="array" aca="1" ref="N174" ca="1">IF(INDEX('Key Metrics'!F:F,MATCH(A174,'Key Metrics'!B:B,0))="Woman","Yes","")</f>
        <v/>
      </c>
      <c r="O174" s="87" t="str">
        <f t="shared" ca="1" si="0"/>
        <v/>
      </c>
      <c r="P174" s="92">
        <f t="array" ref="P174">INDEX(Referral,MATCH(A174,Name,0))</f>
        <v>0</v>
      </c>
      <c r="Q174" s="92">
        <f t="array" aca="1" ref="Q174" ca="1">IF(INDEX(NYUAfillType,MATCH(A174,'Key Metrics'!B:B,0))="Other (please specify)",INDEX('Key Metrics'!N:N,MATCH(A174,'Key Metrics'!B:B,0)),INDEX(NYUAfillType,MATCH(A174,'Key Metrics'!B:B,0)))</f>
        <v>0</v>
      </c>
      <c r="R174" s="93" t="str">
        <f t="array" aca="1" ref="R174" ca="1">IF(INDEX('Key Metrics'!Q:Q,MATCH(A174,'Key Metrics'!B:B,0))="No","",INDEX('Key Metrics'!Q:Q,MATCH(A174,'Key Metrics'!B:B,0)))</f>
        <v/>
      </c>
      <c r="S174" s="94" t="str">
        <f t="shared" si="1"/>
        <v>Invite Next Year</v>
      </c>
      <c r="T174" s="95" t="s">
        <v>24</v>
      </c>
      <c r="U174" s="95" t="b">
        <v>0</v>
      </c>
      <c r="V174" s="95" t="b">
        <v>0</v>
      </c>
      <c r="W174" s="95" t="b">
        <v>0</v>
      </c>
      <c r="X174" s="96"/>
      <c r="Y174" s="94" t="str">
        <f t="array" ref="Y174">INDEX('DiT - 2022-2023 Applications Re'!U:U,MATCH(A174,'DiT - 2022-2023 Applications Re'!B:B,0))</f>
        <v>Invite Next Year</v>
      </c>
    </row>
    <row r="175" spans="1:25" ht="33" hidden="1">
      <c r="A175" s="97" t="s">
        <v>233</v>
      </c>
      <c r="B175" s="98" t="str">
        <f t="array" ref="B175">INDEX(Interview,MATCH(A175,Name,0))</f>
        <v>Invite</v>
      </c>
      <c r="C175" s="98" t="str">
        <f t="array" ref="C175">INDEX(Track,MATCH(A175,Name,0))</f>
        <v>Digital Tech</v>
      </c>
      <c r="D175" s="99">
        <f t="array" ref="D175">INDEX(Score,MATCH(A175,Name,0))</f>
        <v>4.25</v>
      </c>
      <c r="E175" s="100">
        <f t="array" aca="1" ref="E175" ca="1">INDEX(Date,MATCH(A175,Name,0))</f>
        <v>44789</v>
      </c>
      <c r="F175" s="98" t="s">
        <v>13351</v>
      </c>
      <c r="G175" s="98" t="s">
        <v>13354</v>
      </c>
      <c r="H175" s="98" t="str">
        <f t="array" aca="1" ref="H175" ca="1">IFERROR(INDEX('2022-2023 Third Reviews'!K:K,MATCH(A175,'2022-2023 Third Reviews'!C:C,0)),"")</f>
        <v>Ahmed Bahgat
5</v>
      </c>
      <c r="I175" s="101" t="s">
        <v>10749</v>
      </c>
      <c r="J175" s="101" t="s">
        <v>1383</v>
      </c>
      <c r="K175" s="101" t="str">
        <f t="array" aca="1" ref="K175" ca="1">IFERROR(INDEX('2022-2023 Third Reviews'!L:L,MATCH(A175,'2022-2023 Third Reviews'!C:C,0)),"")</f>
        <v xml:space="preserve">Solid business that is well positioned to benefit from EFL as they are looking for mentors/advisors, and potentially business model refinement and market research. </v>
      </c>
      <c r="L175" s="102">
        <f t="array" ref="L175">INDEX(AppNotes,MATCH(A175,Name,0))</f>
        <v>0</v>
      </c>
      <c r="M175" s="103" t="str">
        <f t="array" aca="1" ref="M175" ca="1">INDEX(Team,MATCH(A175,'Key Metrics'!B:B,0))</f>
        <v>Man, Man, Man, Man</v>
      </c>
      <c r="N175" s="99" t="str">
        <f t="array" aca="1" ref="N175" ca="1">IF(INDEX('Key Metrics'!F:F,MATCH(A175,'Key Metrics'!B:B,0))="Woman","Yes","")</f>
        <v/>
      </c>
      <c r="O175" s="99" t="str">
        <f t="shared" ca="1" si="0"/>
        <v/>
      </c>
      <c r="P175" s="104" t="str">
        <f t="array" ref="P175">INDEX(Referral,MATCH(A175,Name,0))</f>
        <v>Deepak Hegde</v>
      </c>
      <c r="Q175" s="104">
        <f t="array" aca="1" ref="Q175" ca="1">IF(INDEX(NYUAfillType,MATCH(A175,'Key Metrics'!B:B,0))="Other (please specify)",INDEX('Key Metrics'!N:N,MATCH(A175,'Key Metrics'!B:B,0)),INDEX(NYUAfillType,MATCH(A175,'Key Metrics'!B:B,0)))</f>
        <v>0</v>
      </c>
      <c r="R175" s="105" t="str">
        <f t="array" aca="1" ref="R175" ca="1">IF(INDEX('Key Metrics'!Q:Q,MATCH(A175,'Key Metrics'!B:B,0))="No","",INDEX('Key Metrics'!Q:Q,MATCH(A175,'Key Metrics'!B:B,0)))</f>
        <v/>
      </c>
      <c r="S175" s="106" t="str">
        <f t="shared" si="1"/>
        <v>Invite</v>
      </c>
      <c r="T175" s="107" t="s">
        <v>18</v>
      </c>
      <c r="U175" s="107" t="b">
        <v>0</v>
      </c>
      <c r="V175" s="107" t="b">
        <v>0</v>
      </c>
      <c r="W175" s="107" t="b">
        <v>0</v>
      </c>
      <c r="X175" s="108"/>
      <c r="Y175" s="106" t="str">
        <f t="array" ref="Y175">INDEX('DiT - 2022-2023 Applications Re'!U:U,MATCH(A175,'DiT - 2022-2023 Applications Re'!B:B,0))</f>
        <v>Invite</v>
      </c>
    </row>
    <row r="176" spans="1:25" ht="44" hidden="1">
      <c r="A176" s="109" t="s">
        <v>234</v>
      </c>
      <c r="B176" s="86" t="str">
        <f t="array" ref="B176">INDEX(Interview,MATCH(A176,Name,0))</f>
        <v>Invite</v>
      </c>
      <c r="C176" s="86" t="str">
        <f t="array" ref="C176">INDEX(Track,MATCH(A176,Name,0))</f>
        <v>Digital Tech</v>
      </c>
      <c r="D176" s="87">
        <f t="array" ref="D176">INDEX(Score,MATCH(A176,Name,0))</f>
        <v>4</v>
      </c>
      <c r="E176" s="88">
        <f t="array" aca="1" ref="E176" ca="1">INDEX(Date,MATCH(A176,Name,0))</f>
        <v>44797</v>
      </c>
      <c r="F176" s="86" t="s">
        <v>13324</v>
      </c>
      <c r="G176" s="86" t="s">
        <v>13382</v>
      </c>
      <c r="H176" s="86" t="str">
        <f t="array" ref="H176">IFERROR(INDEX('2022-2023 Third Reviews'!K:K,MATCH(A176,'2022-2023 Third Reviews'!C:C,0)),"")</f>
        <v/>
      </c>
      <c r="I176" s="89" t="s">
        <v>11294</v>
      </c>
      <c r="J176" s="89" t="s">
        <v>3982</v>
      </c>
      <c r="K176" s="89" t="str">
        <f t="array" ref="K176">IFERROR(INDEX('2022-2023 Third Reviews'!L:L,MATCH(A176,'2022-2023 Third Reviews'!C:C,0)),"")</f>
        <v/>
      </c>
      <c r="L176" s="90">
        <f t="array" ref="L176">INDEX(AppNotes,MATCH(A176,Name,0))</f>
        <v>0</v>
      </c>
      <c r="M176" s="91" t="str">
        <f t="array" aca="1" ref="M176" ca="1">INDEX(Team,MATCH(A176,'Key Metrics'!B:B,0))</f>
        <v>Man, Man</v>
      </c>
      <c r="N176" s="87" t="str">
        <f t="array" aca="1" ref="N176" ca="1">IF(INDEX('Key Metrics'!F:F,MATCH(A176,'Key Metrics'!B:B,0))="Woman","Yes","")</f>
        <v/>
      </c>
      <c r="O176" s="87" t="str">
        <f t="shared" ca="1" si="0"/>
        <v/>
      </c>
      <c r="P176" s="92">
        <f t="array" ref="P176">INDEX(Referral,MATCH(A176,Name,0))</f>
        <v>0</v>
      </c>
      <c r="Q176" s="92">
        <f t="array" aca="1" ref="Q176" ca="1">IF(INDEX(NYUAfillType,MATCH(A176,'Key Metrics'!B:B,0))="Other (please specify)",INDEX('Key Metrics'!N:N,MATCH(A176,'Key Metrics'!B:B,0)),INDEX(NYUAfillType,MATCH(A176,'Key Metrics'!B:B,0)))</f>
        <v>0</v>
      </c>
      <c r="R176" s="93" t="str">
        <f t="array" aca="1" ref="R176" ca="1">IF(INDEX('Key Metrics'!Q:Q,MATCH(A176,'Key Metrics'!B:B,0))="No","",INDEX('Key Metrics'!Q:Q,MATCH(A176,'Key Metrics'!B:B,0)))</f>
        <v/>
      </c>
      <c r="S176" s="94" t="str">
        <f t="shared" si="1"/>
        <v>Invite Next Year</v>
      </c>
      <c r="T176" s="95" t="s">
        <v>24</v>
      </c>
      <c r="U176" s="95" t="b">
        <v>0</v>
      </c>
      <c r="V176" s="95" t="b">
        <v>0</v>
      </c>
      <c r="W176" s="95" t="b">
        <v>0</v>
      </c>
      <c r="X176" s="96"/>
      <c r="Y176" s="94" t="str">
        <f t="array" ref="Y176">INDEX('DiT - 2022-2023 Applications Re'!U:U,MATCH(A176,'DiT - 2022-2023 Applications Re'!B:B,0))</f>
        <v>Invite Next Year</v>
      </c>
    </row>
    <row r="177" spans="1:25" ht="44" hidden="1">
      <c r="A177" s="97" t="s">
        <v>235</v>
      </c>
      <c r="B177" s="98" t="str">
        <f t="array" ref="B177">INDEX(Interview,MATCH(A177,Name,0))</f>
        <v>Invite</v>
      </c>
      <c r="C177" s="98" t="str">
        <f t="array" ref="C177">INDEX(Track,MATCH(A177,Name,0))</f>
        <v>Digital Tech</v>
      </c>
      <c r="D177" s="99">
        <f t="array" ref="D177">INDEX(Score,MATCH(A177,Name,0))</f>
        <v>4</v>
      </c>
      <c r="E177" s="100">
        <f t="array" aca="1" ref="E177" ca="1">INDEX(Date,MATCH(A177,Name,0))</f>
        <v>44789</v>
      </c>
      <c r="F177" s="98" t="s">
        <v>13337</v>
      </c>
      <c r="G177" s="98" t="s">
        <v>13354</v>
      </c>
      <c r="H177" s="98" t="str">
        <f t="array" aca="1" ref="H177" ca="1">IFERROR(INDEX('2022-2023 Third Reviews'!K:K,MATCH(A177,'2022-2023 Third Reviews'!C:C,0)),"")</f>
        <v>Joshua Rubnitz
5</v>
      </c>
      <c r="I177" s="101" t="s">
        <v>10676</v>
      </c>
      <c r="J177" s="101" t="s">
        <v>3989</v>
      </c>
      <c r="K177" s="101" t="str">
        <f t="array" aca="1" ref="K177" ca="1">IFERROR(INDEX('2022-2023 Third Reviews'!L:L,MATCH(A177,'2022-2023 Third Reviews'!C:C,0)),"")</f>
        <v>Impressive founders that invented the tech and have exclusive rights to it. Long term potential for growth with little room for competition to enter. Could use EFL's network to build out the strategy and prepare to raise significant funding required for healthcare startups. The current pitch deck has very little financial insight or information.</v>
      </c>
      <c r="L177" s="102">
        <f t="array" ref="L177">INDEX(AppNotes,MATCH(A177,Name,0))</f>
        <v>0</v>
      </c>
      <c r="M177" s="103" t="str">
        <f t="array" aca="1" ref="M177" ca="1">INDEX(Team,MATCH(A177,'Key Metrics'!B:B,0))</f>
        <v>Man, Man</v>
      </c>
      <c r="N177" s="99" t="str">
        <f t="array" aca="1" ref="N177" ca="1">IF(INDEX('Key Metrics'!F:F,MATCH(A177,'Key Metrics'!B:B,0))="Woman","Yes","")</f>
        <v/>
      </c>
      <c r="O177" s="99" t="str">
        <f t="shared" ca="1" si="0"/>
        <v/>
      </c>
      <c r="P177" s="104">
        <f t="array" ref="P177">INDEX(Referral,MATCH(A177,Name,0))</f>
        <v>0</v>
      </c>
      <c r="Q177" s="104">
        <f t="array" aca="1" ref="Q177" ca="1">IF(INDEX(NYUAfillType,MATCH(A177,'Key Metrics'!B:B,0))="Other (please specify)",INDEX('Key Metrics'!N:N,MATCH(A177,'Key Metrics'!B:B,0)),INDEX(NYUAfillType,MATCH(A177,'Key Metrics'!B:B,0)))</f>
        <v>0</v>
      </c>
      <c r="R177" s="105" t="str">
        <f t="array" aca="1" ref="R177" ca="1">IF(INDEX('Key Metrics'!Q:Q,MATCH(A177,'Key Metrics'!B:B,0))="No","",INDEX('Key Metrics'!Q:Q,MATCH(A177,'Key Metrics'!B:B,0)))</f>
        <v/>
      </c>
      <c r="S177" s="106" t="str">
        <f t="shared" si="1"/>
        <v>Invite Next Year</v>
      </c>
      <c r="T177" s="107" t="s">
        <v>24</v>
      </c>
      <c r="U177" s="107" t="b">
        <v>0</v>
      </c>
      <c r="V177" s="107" t="b">
        <v>0</v>
      </c>
      <c r="W177" s="107" t="b">
        <v>0</v>
      </c>
      <c r="X177" s="108"/>
      <c r="Y177" s="106" t="str">
        <f t="array" ref="Y177">INDEX('DiT - 2022-2023 Applications Re'!U:U,MATCH(A177,'DiT - 2022-2023 Applications Re'!B:B,0))</f>
        <v>Invite Next Year</v>
      </c>
    </row>
    <row r="178" spans="1:25" ht="77" hidden="1">
      <c r="A178" s="109" t="s">
        <v>236</v>
      </c>
      <c r="B178" s="86" t="str">
        <f t="array" ref="B178">INDEX(Interview,MATCH(A178,Name,0))</f>
        <v>Invite</v>
      </c>
      <c r="C178" s="86" t="str">
        <f t="array" ref="C178">INDEX(Track,MATCH(A178,Name,0))</f>
        <v>Digital Tech</v>
      </c>
      <c r="D178" s="87">
        <f t="array" ref="D178">INDEX(Score,MATCH(A178,Name,0))</f>
        <v>4</v>
      </c>
      <c r="E178" s="88">
        <f t="array" aca="1" ref="E178" ca="1">INDEX(Date,MATCH(A178,Name,0))</f>
        <v>44796</v>
      </c>
      <c r="F178" s="86" t="s">
        <v>13337</v>
      </c>
      <c r="G178" s="86" t="s">
        <v>13383</v>
      </c>
      <c r="H178" s="86" t="str">
        <f t="array" ref="H178">IFERROR(INDEX('2022-2023 Third Reviews'!K:K,MATCH(A178,'2022-2023 Third Reviews'!C:C,0)),"")</f>
        <v/>
      </c>
      <c r="I178" s="89" t="s">
        <v>10540</v>
      </c>
      <c r="J178" s="89" t="s">
        <v>3997</v>
      </c>
      <c r="K178" s="89" t="str">
        <f t="array" ref="K178">IFERROR(INDEX('2022-2023 Third Reviews'!L:L,MATCH(A178,'2022-2023 Third Reviews'!C:C,0)),"")</f>
        <v/>
      </c>
      <c r="L178" s="90">
        <f t="array" ref="L178">INDEX(AppNotes,MATCH(A178,Name,0))</f>
        <v>0</v>
      </c>
      <c r="M178" s="91" t="str">
        <f t="array" aca="1" ref="M178" ca="1">INDEX(Team,MATCH(A178,'Key Metrics'!B:B,0))</f>
        <v>Man, Man</v>
      </c>
      <c r="N178" s="87" t="str">
        <f t="array" aca="1" ref="N178" ca="1">IF(INDEX('Key Metrics'!F:F,MATCH(A178,'Key Metrics'!B:B,0))="Woman","Yes","")</f>
        <v/>
      </c>
      <c r="O178" s="87" t="str">
        <f t="shared" ca="1" si="0"/>
        <v/>
      </c>
      <c r="P178" s="92">
        <f t="array" ref="P178">INDEX(Referral,MATCH(A178,Name,0))</f>
        <v>0</v>
      </c>
      <c r="Q178" s="92">
        <f t="array" aca="1" ref="Q178" ca="1">IF(INDEX(NYUAfillType,MATCH(A178,'Key Metrics'!B:B,0))="Other (please specify)",INDEX('Key Metrics'!N:N,MATCH(A178,'Key Metrics'!B:B,0)),INDEX(NYUAfillType,MATCH(A178,'Key Metrics'!B:B,0)))</f>
        <v>0</v>
      </c>
      <c r="R178" s="93" t="str">
        <f t="array" aca="1" ref="R178" ca="1">IF(INDEX('Key Metrics'!Q:Q,MATCH(A178,'Key Metrics'!B:B,0))="No","",INDEX('Key Metrics'!Q:Q,MATCH(A178,'Key Metrics'!B:B,0)))</f>
        <v/>
      </c>
      <c r="S178" s="94" t="str">
        <f t="shared" si="1"/>
        <v>Invite Next Year</v>
      </c>
      <c r="T178" s="95" t="s">
        <v>24</v>
      </c>
      <c r="U178" s="95" t="b">
        <v>0</v>
      </c>
      <c r="V178" s="95" t="b">
        <v>0</v>
      </c>
      <c r="W178" s="95" t="b">
        <v>0</v>
      </c>
      <c r="X178" s="96"/>
      <c r="Y178" s="94" t="str">
        <f t="array" ref="Y178">INDEX('DiT - 2022-2023 Applications Re'!U:U,MATCH(A178,'DiT - 2022-2023 Applications Re'!B:B,0))</f>
        <v>Invite Next Year</v>
      </c>
    </row>
    <row r="179" spans="1:25" ht="66" hidden="1">
      <c r="A179" s="97" t="s">
        <v>237</v>
      </c>
      <c r="B179" s="98" t="str">
        <f t="array" ref="B179">INDEX(Interview,MATCH(A179,Name,0))</f>
        <v>Invite</v>
      </c>
      <c r="C179" s="98" t="str">
        <f t="array" ref="C179">INDEX(Track,MATCH(A179,Name,0))</f>
        <v>Digital Tech</v>
      </c>
      <c r="D179" s="99">
        <f t="array" ref="D179">INDEX(Score,MATCH(A179,Name,0))</f>
        <v>4.75</v>
      </c>
      <c r="E179" s="100">
        <f t="array" aca="1" ref="E179" ca="1">INDEX(Date,MATCH(A179,Name,0))</f>
        <v>44796</v>
      </c>
      <c r="F179" s="98" t="s">
        <v>13351</v>
      </c>
      <c r="G179" s="98" t="s">
        <v>13382</v>
      </c>
      <c r="H179" s="98" t="str">
        <f t="array" ref="H179">IFERROR(INDEX('2022-2023 Third Reviews'!K:K,MATCH(A179,'2022-2023 Third Reviews'!C:C,0)),"")</f>
        <v/>
      </c>
      <c r="I179" s="101" t="s">
        <v>10575</v>
      </c>
      <c r="J179" s="101" t="s">
        <v>1392</v>
      </c>
      <c r="K179" s="101" t="str">
        <f t="array" ref="K179">IFERROR(INDEX('2022-2023 Third Reviews'!L:L,MATCH(A179,'2022-2023 Third Reviews'!C:C,0)),"")</f>
        <v/>
      </c>
      <c r="L179" s="102" t="str">
        <f t="array" ref="L179">INDEX(AppNotes,MATCH(A179,Name,0))</f>
        <v>on track to double ARR by EoY; cultivating partnerships with US army, hired new professional CO with truck/truck tech space; 4.2M in grants, 5M in seed</v>
      </c>
      <c r="M179" s="103" t="str">
        <f t="array" aca="1" ref="M179" ca="1">INDEX(Team,MATCH(A179,'Key Metrics'!B:B,0))</f>
        <v>Man, Man, Man</v>
      </c>
      <c r="N179" s="99" t="str">
        <f t="array" aca="1" ref="N179" ca="1">IF(INDEX('Key Metrics'!F:F,MATCH(A179,'Key Metrics'!B:B,0))="Woman","Yes","")</f>
        <v/>
      </c>
      <c r="O179" s="99" t="str">
        <f t="shared" ca="1" si="0"/>
        <v/>
      </c>
      <c r="P179" s="104">
        <f t="array" ref="P179">INDEX(Referral,MATCH(A179,Name,0))</f>
        <v>0</v>
      </c>
      <c r="Q179" s="104">
        <f t="array" aca="1" ref="Q179" ca="1">IF(INDEX(NYUAfillType,MATCH(A179,'Key Metrics'!B:B,0))="Other (please specify)",INDEX('Key Metrics'!N:N,MATCH(A179,'Key Metrics'!B:B,0)),INDEX(NYUAfillType,MATCH(A179,'Key Metrics'!B:B,0)))</f>
        <v>0</v>
      </c>
      <c r="R179" s="105" t="str">
        <f t="array" aca="1" ref="R179" ca="1">IF(INDEX('Key Metrics'!Q:Q,MATCH(A179,'Key Metrics'!B:B,0))="No","",INDEX('Key Metrics'!Q:Q,MATCH(A179,'Key Metrics'!B:B,0)))</f>
        <v/>
      </c>
      <c r="S179" s="106" t="str">
        <f t="shared" si="1"/>
        <v>Invite</v>
      </c>
      <c r="T179" s="107" t="s">
        <v>18</v>
      </c>
      <c r="U179" s="107" t="b">
        <v>0</v>
      </c>
      <c r="V179" s="107" t="b">
        <v>0</v>
      </c>
      <c r="W179" s="107" t="b">
        <v>0</v>
      </c>
      <c r="X179" s="108"/>
      <c r="Y179" s="106" t="str">
        <f t="array" ref="Y179">INDEX('DiT - 2022-2023 Applications Re'!U:U,MATCH(A179,'DiT - 2022-2023 Applications Re'!B:B,0))</f>
        <v>Invite</v>
      </c>
    </row>
    <row r="180" spans="1:25" ht="55" hidden="1">
      <c r="A180" s="109" t="s">
        <v>238</v>
      </c>
      <c r="B180" s="86" t="str">
        <f t="array" ref="B180">INDEX(Interview,MATCH(A180,Name,0))</f>
        <v>Invite</v>
      </c>
      <c r="C180" s="86" t="str">
        <f t="array" ref="C180">INDEX(Track,MATCH(A180,Name,0))</f>
        <v>Digital Tech</v>
      </c>
      <c r="D180" s="87">
        <f t="array" ref="D180">INDEX(Score,MATCH(A180,Name,0))</f>
        <v>4</v>
      </c>
      <c r="E180" s="88">
        <f t="array" aca="1" ref="E180" ca="1">INDEX(Date,MATCH(A180,Name,0))</f>
        <v>44789</v>
      </c>
      <c r="F180" s="86" t="s">
        <v>13337</v>
      </c>
      <c r="G180" s="86" t="s">
        <v>13354</v>
      </c>
      <c r="H180" s="86" t="str">
        <f t="array" aca="1" ref="H180" ca="1">IFERROR(INDEX('2022-2023 Third Reviews'!K:K,MATCH(A180,'2022-2023 Third Reviews'!C:C,0)),"")</f>
        <v>Joshua Rubnitz
3</v>
      </c>
      <c r="I180" s="89" t="s">
        <v>481</v>
      </c>
      <c r="J180" s="89" t="s">
        <v>4004</v>
      </c>
      <c r="K180" s="89" t="str">
        <f t="array" aca="1" ref="K180" ca="1">IFERROR(INDEX('2022-2023 Third Reviews'!L:L,MATCH(A180,'2022-2023 Third Reviews'!C:C,0)),"")</f>
        <v>If the tech performs as advertised, it could be very powerful in bringing the NLU future that the founder believes will define computing.
There is very little business due diligence in this pitch and there are no numbers to validate performance of the technology.</v>
      </c>
      <c r="L180" s="90">
        <f t="array" ref="L180">INDEX(AppNotes,MATCH(A180,Name,0))</f>
        <v>0</v>
      </c>
      <c r="M180" s="91" t="str">
        <f t="array" aca="1" ref="M180" ca="1">INDEX(Team,MATCH(A180,'Key Metrics'!B:B,0))</f>
        <v>Woman, Man, Man</v>
      </c>
      <c r="N180" s="87" t="str">
        <f t="array" aca="1" ref="N180" ca="1">IF(INDEX('Key Metrics'!F:F,MATCH(A180,'Key Metrics'!B:B,0))="Woman","Yes","")</f>
        <v>Yes</v>
      </c>
      <c r="O180" s="87" t="str">
        <f t="shared" ca="1" si="0"/>
        <v>Yes</v>
      </c>
      <c r="P180" s="92">
        <f t="array" ref="P180">INDEX(Referral,MATCH(A180,Name,0))</f>
        <v>0</v>
      </c>
      <c r="Q180" s="92" t="str">
        <f t="array" aca="1" ref="Q180" ca="1">IF(INDEX(NYUAfillType,MATCH(A180,'Key Metrics'!B:B,0))="Other (please specify)",INDEX('Key Metrics'!N:N,MATCH(A180,'Key Metrics'!B:B,0)),INDEX(NYUAfillType,MATCH(A180,'Key Metrics'!B:B,0)))</f>
        <v>NYU Alumni</v>
      </c>
      <c r="R180" s="93" t="str">
        <f t="array" aca="1" ref="R180" ca="1">IF(INDEX('Key Metrics'!Q:Q,MATCH(A180,'Key Metrics'!B:B,0))="No","",INDEX('Key Metrics'!Q:Q,MATCH(A180,'Key Metrics'!B:B,0)))</f>
        <v>Yes</v>
      </c>
      <c r="S180" s="94" t="str">
        <f t="shared" si="1"/>
        <v>Invite Next Year</v>
      </c>
      <c r="T180" s="95" t="s">
        <v>24</v>
      </c>
      <c r="U180" s="95" t="b">
        <v>0</v>
      </c>
      <c r="V180" s="95" t="b">
        <v>0</v>
      </c>
      <c r="W180" s="95" t="b">
        <v>0</v>
      </c>
      <c r="X180" s="96"/>
      <c r="Y180" s="94" t="str">
        <f t="array" ref="Y180">INDEX('DiT - 2022-2023 Applications Re'!U:U,MATCH(A180,'DiT - 2022-2023 Applications Re'!B:B,0))</f>
        <v>Invite Next Year</v>
      </c>
    </row>
    <row r="181" spans="1:25" ht="66" hidden="1">
      <c r="A181" s="97" t="s">
        <v>239</v>
      </c>
      <c r="B181" s="98" t="str">
        <f t="array" ref="B181">INDEX(Interview,MATCH(A181,Name,0))</f>
        <v>Invite</v>
      </c>
      <c r="C181" s="98" t="str">
        <f t="array" ref="C181">INDEX(Track,MATCH(A181,Name,0))</f>
        <v>Digital Tech</v>
      </c>
      <c r="D181" s="99">
        <f t="array" ref="D181">INDEX(Score,MATCH(A181,Name,0))</f>
        <v>4</v>
      </c>
      <c r="E181" s="100">
        <f t="array" aca="1" ref="E181" ca="1">INDEX(Date,MATCH(A181,Name,0))</f>
        <v>44784</v>
      </c>
      <c r="F181" s="98" t="s">
        <v>13337</v>
      </c>
      <c r="G181" s="98" t="s">
        <v>13349</v>
      </c>
      <c r="H181" s="98" t="str">
        <f t="array" aca="1" ref="H181" ca="1">IFERROR(INDEX('2022-2023 Third Reviews'!K:K,MATCH(A181,'2022-2023 Third Reviews'!C:C,0)),"")</f>
        <v>Joshua Rubnitz
3</v>
      </c>
      <c r="I181" s="101" t="s">
        <v>10732</v>
      </c>
      <c r="J181" s="101" t="s">
        <v>10733</v>
      </c>
      <c r="K181" s="101" t="str">
        <f t="array" aca="1" ref="K181" ca="1">IFERROR(INDEX('2022-2023 Third Reviews'!L:L,MATCH(A181,'2022-2023 Third Reviews'!C:C,0)),"")</f>
        <v>Tech seems to be validated by customer revenue already generated. Could disrupt a stagnant market, but no new inimitable tech.
The team is very impressive and has formed a partnership with pwc. 
Large spend on infrastructure impending.</v>
      </c>
      <c r="L181" s="102">
        <f t="array" ref="L181">INDEX(AppNotes,MATCH(A181,Name,0))</f>
        <v>0</v>
      </c>
      <c r="M181" s="103" t="str">
        <f t="array" aca="1" ref="M181" ca="1">INDEX(Team,MATCH(A181,'Key Metrics'!B:B,0))</f>
        <v>Man, Man</v>
      </c>
      <c r="N181" s="99" t="str">
        <f t="array" aca="1" ref="N181" ca="1">IF(INDEX('Key Metrics'!F:F,MATCH(A181,'Key Metrics'!B:B,0))="Woman","Yes","")</f>
        <v/>
      </c>
      <c r="O181" s="99" t="str">
        <f t="shared" ca="1" si="0"/>
        <v/>
      </c>
      <c r="P181" s="104">
        <f t="array" ref="P181">INDEX(Referral,MATCH(A181,Name,0))</f>
        <v>0</v>
      </c>
      <c r="Q181" s="104">
        <f t="array" aca="1" ref="Q181" ca="1">IF(INDEX(NYUAfillType,MATCH(A181,'Key Metrics'!B:B,0))="Other (please specify)",INDEX('Key Metrics'!N:N,MATCH(A181,'Key Metrics'!B:B,0)),INDEX(NYUAfillType,MATCH(A181,'Key Metrics'!B:B,0)))</f>
        <v>0</v>
      </c>
      <c r="R181" s="105" t="str">
        <f t="array" aca="1" ref="R181" ca="1">IF(INDEX('Key Metrics'!Q:Q,MATCH(A181,'Key Metrics'!B:B,0))="No","",INDEX('Key Metrics'!Q:Q,MATCH(A181,'Key Metrics'!B:B,0)))</f>
        <v/>
      </c>
      <c r="S181" s="106" t="str">
        <f t="shared" si="1"/>
        <v>Invite Next Year</v>
      </c>
      <c r="T181" s="107" t="s">
        <v>24</v>
      </c>
      <c r="U181" s="107" t="b">
        <v>0</v>
      </c>
      <c r="V181" s="107" t="b">
        <v>0</v>
      </c>
      <c r="W181" s="107" t="b">
        <v>0</v>
      </c>
      <c r="X181" s="108"/>
      <c r="Y181" s="106" t="str">
        <f t="array" ref="Y181">INDEX('DiT - 2022-2023 Applications Re'!U:U,MATCH(A181,'DiT - 2022-2023 Applications Re'!B:B,0))</f>
        <v>Invite Next Year</v>
      </c>
    </row>
    <row r="182" spans="1:25" ht="33" hidden="1">
      <c r="A182" s="109" t="s">
        <v>240</v>
      </c>
      <c r="B182" s="86" t="str">
        <f t="array" ref="B182">INDEX(Interview,MATCH(A182,Name,0))</f>
        <v>Invite</v>
      </c>
      <c r="C182" s="86" t="str">
        <f t="array" ref="C182">INDEX(Track,MATCH(A182,Name,0))</f>
        <v>Digital Tech</v>
      </c>
      <c r="D182" s="87">
        <f t="array" ref="D182">INDEX(Score,MATCH(A182,Name,0))</f>
        <v>4</v>
      </c>
      <c r="E182" s="88">
        <f t="array" aca="1" ref="E182" ca="1">INDEX(Date,MATCH(A182,Name,0))</f>
        <v>44797</v>
      </c>
      <c r="F182" s="86" t="s">
        <v>13354</v>
      </c>
      <c r="G182" s="86" t="s">
        <v>13314</v>
      </c>
      <c r="H182" s="86" t="str">
        <f t="array" ref="H182">IFERROR(INDEX('2022-2023 Third Reviews'!K:K,MATCH(A182,'2022-2023 Third Reviews'!C:C,0)),"")</f>
        <v/>
      </c>
      <c r="I182" s="89" t="s">
        <v>1407</v>
      </c>
      <c r="J182" s="89" t="s">
        <v>1408</v>
      </c>
      <c r="K182" s="89" t="str">
        <f t="array" ref="K182">IFERROR(INDEX('2022-2023 Third Reviews'!L:L,MATCH(A182,'2022-2023 Third Reviews'!C:C,0)),"")</f>
        <v/>
      </c>
      <c r="L182" s="90" t="str">
        <f t="array" ref="L182">INDEX(AppNotes,MATCH(A182,Name,0))</f>
        <v>Two US Patents; EFL fits?: already have revenue, no plans to raise further; their goal is to use EFL to "go to next level"; already well established; in interview dive into why they think they need us;</v>
      </c>
      <c r="M182" s="91" t="str">
        <f t="array" aca="1" ref="M182" ca="1">INDEX(Team,MATCH(A182,'Key Metrics'!B:B,0))</f>
        <v>Man, Man</v>
      </c>
      <c r="N182" s="87" t="str">
        <f t="array" aca="1" ref="N182" ca="1">IF(INDEX('Key Metrics'!F:F,MATCH(A182,'Key Metrics'!B:B,0))="Woman","Yes","")</f>
        <v/>
      </c>
      <c r="O182" s="87" t="str">
        <f t="shared" ca="1" si="0"/>
        <v/>
      </c>
      <c r="P182" s="92">
        <f t="array" ref="P182">INDEX(Referral,MATCH(A182,Name,0))</f>
        <v>0</v>
      </c>
      <c r="Q182" s="92" t="str">
        <f t="array" aca="1" ref="Q182" ca="1">IF(INDEX(NYUAfillType,MATCH(A182,'Key Metrics'!B:B,0))="Other (please specify)",INDEX('Key Metrics'!N:N,MATCH(A182,'Key Metrics'!B:B,0)),INDEX(NYUAfillType,MATCH(A182,'Key Metrics'!B:B,0)))</f>
        <v>Former NYU Fellow/Faculty/Staff</v>
      </c>
      <c r="R182" s="93" t="str">
        <f t="array" aca="1" ref="R182" ca="1">IF(INDEX('Key Metrics'!Q:Q,MATCH(A182,'Key Metrics'!B:B,0))="No","",INDEX('Key Metrics'!Q:Q,MATCH(A182,'Key Metrics'!B:B,0)))</f>
        <v/>
      </c>
      <c r="S182" s="94" t="str">
        <f t="shared" si="1"/>
        <v>Invite</v>
      </c>
      <c r="T182" s="95" t="s">
        <v>18</v>
      </c>
      <c r="U182" s="95" t="b">
        <v>0</v>
      </c>
      <c r="V182" s="95" t="b">
        <v>0</v>
      </c>
      <c r="W182" s="95" t="b">
        <v>0</v>
      </c>
      <c r="X182" s="96"/>
      <c r="Y182" s="94" t="str">
        <f t="array" ref="Y182">INDEX('DiT - 2022-2023 Applications Re'!U:U,MATCH(A182,'DiT - 2022-2023 Applications Re'!B:B,0))</f>
        <v>Invite</v>
      </c>
    </row>
    <row r="183" spans="1:25" ht="44">
      <c r="A183" s="97" t="s">
        <v>241</v>
      </c>
      <c r="B183" s="98" t="str">
        <f t="array" ref="B183">INDEX(Interview,MATCH(A183,Name,0))</f>
        <v>Invite</v>
      </c>
      <c r="C183" s="98" t="str">
        <f t="array" ref="C183">INDEX(Track,MATCH(A183,Name,0))</f>
        <v>Digital Tech</v>
      </c>
      <c r="D183" s="99">
        <f t="array" ref="D183">INDEX(Score,MATCH(A183,Name,0))</f>
        <v>4.25</v>
      </c>
      <c r="E183" s="100">
        <f t="array" aca="1" ref="E183" ca="1">INDEX(Date,MATCH(A183,Name,0))</f>
        <v>44784</v>
      </c>
      <c r="F183" s="98" t="s">
        <v>13329</v>
      </c>
      <c r="G183" s="98" t="s">
        <v>13351</v>
      </c>
      <c r="H183" s="98" t="str">
        <f t="array" ref="H183">IFERROR(INDEX('2022-2023 Third Reviews'!K:K,MATCH(A183,'2022-2023 Third Reviews'!C:C,0)),"")</f>
        <v/>
      </c>
      <c r="I183" s="101" t="s">
        <v>1418</v>
      </c>
      <c r="J183" s="101" t="s">
        <v>11457</v>
      </c>
      <c r="K183" s="101" t="str">
        <f t="array" ref="K183">IFERROR(INDEX('2022-2023 Third Reviews'!L:L,MATCH(A183,'2022-2023 Third Reviews'!C:C,0)),"")</f>
        <v/>
      </c>
      <c r="L183" s="102" t="str">
        <f t="array" ref="L183">INDEX(AppNotes,MATCH(A183,Name,0))</f>
        <v>Bud Mishra is current advisor; text to song software for improved learning outcomes in children w/ learning disabilities; strong complimentary team. Solution is interesting; 60% of students in first test, 70% in second had increased comprehension. Currently targeting schools; EFL can help come up with other creative markets for them to tap into; also working with Google Classroom</v>
      </c>
      <c r="M183" s="103" t="str">
        <f t="array" aca="1" ref="M183" ca="1">INDEX(Team,MATCH(A183,'Key Metrics'!B:B,0))</f>
        <v>Man, Woman, Man</v>
      </c>
      <c r="N183" s="99" t="str">
        <f t="array" aca="1" ref="N183" ca="1">IF(INDEX('Key Metrics'!F:F,MATCH(A183,'Key Metrics'!B:B,0))="Woman","Yes","")</f>
        <v/>
      </c>
      <c r="O183" s="99" t="str">
        <f t="shared" ca="1" si="0"/>
        <v>Yes</v>
      </c>
      <c r="P183" s="104" t="str">
        <f t="array" ref="P183">INDEX(Referral,MATCH(A183,Name,0))</f>
        <v>Prof Bud Mishra</v>
      </c>
      <c r="Q183" s="104" t="str">
        <f t="array" aca="1" ref="Q183" ca="1">IF(INDEX(NYUAfillType,MATCH(A183,'Key Metrics'!B:B,0))="Other (please specify)",INDEX('Key Metrics'!N:N,MATCH(A183,'Key Metrics'!B:B,0)),INDEX(NYUAfillType,MATCH(A183,'Key Metrics'!B:B,0)))</f>
        <v>NYU Faculty</v>
      </c>
      <c r="R183" s="105" t="str">
        <f t="array" aca="1" ref="R183" ca="1">IF(INDEX('Key Metrics'!Q:Q,MATCH(A183,'Key Metrics'!B:B,0))="No","",INDEX('Key Metrics'!Q:Q,MATCH(A183,'Key Metrics'!B:B,0)))</f>
        <v/>
      </c>
      <c r="S183" s="106" t="str">
        <f t="shared" si="1"/>
        <v>Invite</v>
      </c>
      <c r="T183" s="107" t="s">
        <v>18</v>
      </c>
      <c r="U183" s="107" t="b">
        <v>0</v>
      </c>
      <c r="V183" s="107" t="b">
        <v>0</v>
      </c>
      <c r="W183" s="107" t="b">
        <v>0</v>
      </c>
      <c r="X183" s="108"/>
      <c r="Y183" s="106" t="str">
        <f t="array" ref="Y183">INDEX('DiT - 2022-2023 Applications Re'!U:U,MATCH(A183,'DiT - 2022-2023 Applications Re'!B:B,0))</f>
        <v>Invite</v>
      </c>
    </row>
    <row r="184" spans="1:25" ht="66" hidden="1">
      <c r="A184" s="109" t="s">
        <v>242</v>
      </c>
      <c r="B184" s="86" t="str">
        <f t="array" ref="B184">INDEX(Interview,MATCH(A184,Name,0))</f>
        <v>Revisit/ Cluster</v>
      </c>
      <c r="C184" s="86" t="str">
        <f t="array" ref="C184">INDEX(Track,MATCH(A184,Name,0))</f>
        <v>Digital Tech</v>
      </c>
      <c r="D184" s="87">
        <f t="array" ref="D184">INDEX(Score,MATCH(A184,Name,0))</f>
        <v>4</v>
      </c>
      <c r="E184" s="88">
        <f t="array" aca="1" ref="E184" ca="1">INDEX(Date,MATCH(A184,Name,0))</f>
        <v>44791</v>
      </c>
      <c r="F184" s="86" t="s">
        <v>13304</v>
      </c>
      <c r="G184" s="86" t="s">
        <v>13354</v>
      </c>
      <c r="H184" s="86" t="str">
        <f t="array" aca="1" ref="H184" ca="1">IFERROR(INDEX('2022-2023 Third Reviews'!K:K,MATCH(A184,'2022-2023 Third Reviews'!C:C,0)),"")</f>
        <v>Joshua Rubnitz
4</v>
      </c>
      <c r="I184" s="89" t="s">
        <v>10352</v>
      </c>
      <c r="J184" s="89" t="s">
        <v>4022</v>
      </c>
      <c r="K184" s="89" t="str">
        <f t="array" aca="1" ref="K184" ca="1">IFERROR(INDEX('2022-2023 Third Reviews'!L:L,MATCH(A184,'2022-2023 Third Reviews'!C:C,0)),"")</f>
        <v xml:space="preserve">This is a product that should find market fit quickly. Customers clearly like it: they are generating revenue pre-launch. 
One gripe with the tech: they are not inventing any real, new, tech...they are just integrating and packaging it nicely. It is possible that their AI solution to make video look professional would be hard to imitate. </v>
      </c>
      <c r="L184" s="90" t="str">
        <f t="array" ref="L184">INDEX(AppNotes,MATCH(A184,Name,0))</f>
        <v>converts legal wording into more plain language for non-legal users; tricky in that legal docs are complex intentionally; how does the tech decide what to convert vs what not to; question how is decides; protection is just constant innovation; use specifically in medical malpractice currently; more summarizing than like truncating information;  currently no validation?</v>
      </c>
      <c r="M184" s="91" t="str">
        <f t="array" aca="1" ref="M184" ca="1">INDEX(Team,MATCH(A184,'Key Metrics'!B:B,0))</f>
        <v>Man, Man</v>
      </c>
      <c r="N184" s="87" t="str">
        <f t="array" aca="1" ref="N184" ca="1">IF(INDEX('Key Metrics'!F:F,MATCH(A184,'Key Metrics'!B:B,0))="Woman","Yes","")</f>
        <v/>
      </c>
      <c r="O184" s="87" t="str">
        <f t="shared" ca="1" si="0"/>
        <v/>
      </c>
      <c r="P184" s="92">
        <f t="array" ref="P184">INDEX(Referral,MATCH(A184,Name,0))</f>
        <v>0</v>
      </c>
      <c r="Q184" s="92">
        <f t="array" aca="1" ref="Q184" ca="1">IF(INDEX(NYUAfillType,MATCH(A184,'Key Metrics'!B:B,0))="Other (please specify)",INDEX('Key Metrics'!N:N,MATCH(A184,'Key Metrics'!B:B,0)),INDEX(NYUAfillType,MATCH(A184,'Key Metrics'!B:B,0)))</f>
        <v>0</v>
      </c>
      <c r="R184" s="93" t="str">
        <f t="array" aca="1" ref="R184" ca="1">IF(INDEX('Key Metrics'!Q:Q,MATCH(A184,'Key Metrics'!B:B,0))="No","",INDEX('Key Metrics'!Q:Q,MATCH(A184,'Key Metrics'!B:B,0)))</f>
        <v/>
      </c>
      <c r="S184" s="94" t="str">
        <f t="shared" si="1"/>
        <v>Invite Next Year</v>
      </c>
      <c r="T184" s="95" t="s">
        <v>24</v>
      </c>
      <c r="U184" s="95" t="b">
        <v>0</v>
      </c>
      <c r="V184" s="95" t="b">
        <v>0</v>
      </c>
      <c r="W184" s="95" t="b">
        <v>0</v>
      </c>
      <c r="X184" s="96"/>
      <c r="Y184" s="94" t="str">
        <f t="array" ref="Y184">INDEX('DiT - 2022-2023 Applications Re'!U:U,MATCH(A184,'DiT - 2022-2023 Applications Re'!B:B,0))</f>
        <v>Invite Next Year</v>
      </c>
    </row>
    <row r="185" spans="1:25" ht="77" hidden="1">
      <c r="A185" s="97" t="s">
        <v>243</v>
      </c>
      <c r="B185" s="98" t="str">
        <f t="array" ref="B185">INDEX(Interview,MATCH(A185,Name,0))</f>
        <v>Invite</v>
      </c>
      <c r="C185" s="98" t="str">
        <f t="array" ref="C185">INDEX(Track,MATCH(A185,Name,0))</f>
        <v>Digital Tech</v>
      </c>
      <c r="D185" s="99">
        <f t="array" ref="D185">INDEX(Score,MATCH(A185,Name,0))</f>
        <v>4</v>
      </c>
      <c r="E185" s="100">
        <f t="array" aca="1" ref="E185" ca="1">INDEX(Date,MATCH(A185,Name,0))</f>
        <v>44791</v>
      </c>
      <c r="F185" s="98" t="s">
        <v>13329</v>
      </c>
      <c r="G185" s="98" t="s">
        <v>13312</v>
      </c>
      <c r="H185" s="98" t="str">
        <f t="array" aca="1" ref="H185" ca="1">IFERROR(INDEX('2022-2023 Third Reviews'!K:K,MATCH(A185,'2022-2023 Third Reviews'!C:C,0)),"")</f>
        <v>Joshua Rubnitz
3</v>
      </c>
      <c r="I185" s="101" t="s">
        <v>4029</v>
      </c>
      <c r="J185" s="101" t="s">
        <v>11069</v>
      </c>
      <c r="K185" s="101" t="str">
        <f t="array" aca="1" ref="K185" ca="1">IFERROR(INDEX('2022-2023 Third Reviews'!L:L,MATCH(A185,'2022-2023 Third Reviews'!C:C,0)),"")</f>
        <v>The founders have picked a concise problem and are gaining market share.
They have built a platform for farmers to get insights on crop growing &amp; make data-driven decisions and ultimately cut out the middle steps in the supply chain between farmer and grocery store/consumer.
Not any inimitable tech.</v>
      </c>
      <c r="L185" s="102">
        <f t="array" ref="L185">INDEX(AppNotes,MATCH(A185,Name,0))</f>
        <v>0</v>
      </c>
      <c r="M185" s="103" t="str">
        <f t="array" aca="1" ref="M185" ca="1">INDEX(Team,MATCH(A185,'Key Metrics'!B:B,0))</f>
        <v>Man, Man</v>
      </c>
      <c r="N185" s="99" t="str">
        <f t="array" aca="1" ref="N185" ca="1">IF(INDEX('Key Metrics'!F:F,MATCH(A185,'Key Metrics'!B:B,0))="Woman","Yes","")</f>
        <v/>
      </c>
      <c r="O185" s="99" t="str">
        <f t="shared" ca="1" si="0"/>
        <v/>
      </c>
      <c r="P185" s="104">
        <f t="array" ref="P185">INDEX(Referral,MATCH(A185,Name,0))</f>
        <v>0</v>
      </c>
      <c r="Q185" s="104">
        <f t="array" aca="1" ref="Q185" ca="1">IF(INDEX(NYUAfillType,MATCH(A185,'Key Metrics'!B:B,0))="Other (please specify)",INDEX('Key Metrics'!N:N,MATCH(A185,'Key Metrics'!B:B,0)),INDEX(NYUAfillType,MATCH(A185,'Key Metrics'!B:B,0)))</f>
        <v>0</v>
      </c>
      <c r="R185" s="105" t="str">
        <f t="array" aca="1" ref="R185" ca="1">IF(INDEX('Key Metrics'!Q:Q,MATCH(A185,'Key Metrics'!B:B,0))="No","",INDEX('Key Metrics'!Q:Q,MATCH(A185,'Key Metrics'!B:B,0)))</f>
        <v/>
      </c>
      <c r="S185" s="106" t="str">
        <f t="shared" si="1"/>
        <v>Invite Next Year</v>
      </c>
      <c r="T185" s="107" t="s">
        <v>24</v>
      </c>
      <c r="U185" s="107" t="b">
        <v>0</v>
      </c>
      <c r="V185" s="107" t="b">
        <v>0</v>
      </c>
      <c r="W185" s="107" t="b">
        <v>0</v>
      </c>
      <c r="X185" s="108"/>
      <c r="Y185" s="106" t="str">
        <f t="array" ref="Y185">INDEX('DiT - 2022-2023 Applications Re'!U:U,MATCH(A185,'DiT - 2022-2023 Applications Re'!B:B,0))</f>
        <v>Invite Next Year</v>
      </c>
    </row>
    <row r="186" spans="1:25" ht="44" hidden="1">
      <c r="A186" s="109" t="s">
        <v>244</v>
      </c>
      <c r="B186" s="86" t="str">
        <f t="array" ref="B186">INDEX(Interview,MATCH(A186,Name,0))</f>
        <v>Invite</v>
      </c>
      <c r="C186" s="86" t="str">
        <f t="array" ref="C186">INDEX(Track,MATCH(A186,Name,0))</f>
        <v>Digital Tech</v>
      </c>
      <c r="D186" s="87">
        <f t="array" ref="D186">INDEX(Score,MATCH(A186,Name,0))</f>
        <v>4</v>
      </c>
      <c r="E186" s="88">
        <f t="array" aca="1" ref="E186" ca="1">INDEX(Date,MATCH(A186,Name,0))</f>
        <v>44797</v>
      </c>
      <c r="F186" s="86" t="s">
        <v>13337</v>
      </c>
      <c r="G186" s="86" t="s">
        <v>13384</v>
      </c>
      <c r="H186" s="86" t="str">
        <f t="array" ref="H186">IFERROR(INDEX('2022-2023 Third Reviews'!K:K,MATCH(A186,'2022-2023 Third Reviews'!C:C,0)),"")</f>
        <v/>
      </c>
      <c r="I186" s="89" t="s">
        <v>11253</v>
      </c>
      <c r="J186" s="89" t="s">
        <v>4038</v>
      </c>
      <c r="K186" s="89" t="str">
        <f t="array" ref="K186">IFERROR(INDEX('2022-2023 Third Reviews'!L:L,MATCH(A186,'2022-2023 Third Reviews'!C:C,0)),"")</f>
        <v/>
      </c>
      <c r="L186" s="90">
        <f t="array" ref="L186">INDEX(AppNotes,MATCH(A186,Name,0))</f>
        <v>0</v>
      </c>
      <c r="M186" s="91" t="str">
        <f t="array" aca="1" ref="M186" ca="1">INDEX(Team,MATCH(A186,'Key Metrics'!B:B,0))</f>
        <v>Man, Woman, Woman</v>
      </c>
      <c r="N186" s="87" t="str">
        <f t="array" aca="1" ref="N186" ca="1">IF(INDEX('Key Metrics'!F:F,MATCH(A186,'Key Metrics'!B:B,0))="Woman","Yes","")</f>
        <v/>
      </c>
      <c r="O186" s="87" t="str">
        <f t="shared" ca="1" si="0"/>
        <v>Yes</v>
      </c>
      <c r="P186" s="92">
        <f t="array" ref="P186">INDEX(Referral,MATCH(A186,Name,0))</f>
        <v>0</v>
      </c>
      <c r="Q186" s="92" t="str">
        <f t="array" aca="1" ref="Q186" ca="1">IF(INDEX(NYUAfillType,MATCH(A186,'Key Metrics'!B:B,0))="Other (please specify)",INDEX('Key Metrics'!N:N,MATCH(A186,'Key Metrics'!B:B,0)),INDEX(NYUAfillType,MATCH(A186,'Key Metrics'!B:B,0)))</f>
        <v>NYU Staff</v>
      </c>
      <c r="R186" s="93" t="str">
        <f t="array" aca="1" ref="R186" ca="1">IF(INDEX('Key Metrics'!Q:Q,MATCH(A186,'Key Metrics'!B:B,0))="No","",INDEX('Key Metrics'!Q:Q,MATCH(A186,'Key Metrics'!B:B,0)))</f>
        <v/>
      </c>
      <c r="S186" s="94" t="str">
        <f t="shared" si="1"/>
        <v>Invite Next Year</v>
      </c>
      <c r="T186" s="95" t="s">
        <v>24</v>
      </c>
      <c r="U186" s="95" t="b">
        <v>0</v>
      </c>
      <c r="V186" s="95" t="b">
        <v>0</v>
      </c>
      <c r="W186" s="95" t="b">
        <v>0</v>
      </c>
      <c r="X186" s="96"/>
      <c r="Y186" s="94" t="str">
        <f t="array" ref="Y186">INDEX('DiT - 2022-2023 Applications Re'!U:U,MATCH(A186,'DiT - 2022-2023 Applications Re'!B:B,0))</f>
        <v>Invite Next Year</v>
      </c>
    </row>
    <row r="187" spans="1:25" ht="55" hidden="1">
      <c r="A187" s="97" t="s">
        <v>245</v>
      </c>
      <c r="B187" s="98" t="str">
        <f t="array" ref="B187">INDEX(Interview,MATCH(A187,Name,0))</f>
        <v>Revisit</v>
      </c>
      <c r="C187" s="98" t="str">
        <f t="array" ref="C187">INDEX(Track,MATCH(A187,Name,0))</f>
        <v>Digital Tech</v>
      </c>
      <c r="D187" s="99">
        <f t="array" ref="D187">INDEX(Score,MATCH(A187,Name,0))</f>
        <v>4</v>
      </c>
      <c r="E187" s="100">
        <f t="array" aca="1" ref="E187" ca="1">INDEX(Date,MATCH(A187,Name,0))</f>
        <v>44791</v>
      </c>
      <c r="F187" s="98" t="s">
        <v>13305</v>
      </c>
      <c r="G187" s="98" t="s">
        <v>13307</v>
      </c>
      <c r="H187" s="98" t="str">
        <f t="array" ref="H187">IFERROR(INDEX('2022-2023 Third Reviews'!K:K,MATCH(A187,'2022-2023 Third Reviews'!C:C,0)),"")</f>
        <v/>
      </c>
      <c r="I187" s="101" t="s">
        <v>11333</v>
      </c>
      <c r="J187" s="101" t="s">
        <v>11334</v>
      </c>
      <c r="K187" s="101" t="str">
        <f t="array" ref="K187">IFERROR(INDEX('2022-2023 Third Reviews'!L:L,MATCH(A187,'2022-2023 Third Reviews'!C:C,0)),"")</f>
        <v/>
      </c>
      <c r="L187" s="102" t="str">
        <f t="array" ref="L187">INDEX(AppNotes,MATCH(A187,Name,0))</f>
        <v>Change to DiT; growing and scaling space (esport engagement);</v>
      </c>
      <c r="M187" s="103" t="str">
        <f t="array" aca="1" ref="M187" ca="1">INDEX(Team,MATCH(A187,'Key Metrics'!B:B,0))</f>
        <v>Man, Man</v>
      </c>
      <c r="N187" s="99" t="str">
        <f t="array" aca="1" ref="N187" ca="1">IF(INDEX('Key Metrics'!F:F,MATCH(A187,'Key Metrics'!B:B,0))="Woman","Yes","")</f>
        <v/>
      </c>
      <c r="O187" s="99" t="str">
        <f t="shared" ca="1" si="0"/>
        <v/>
      </c>
      <c r="P187" s="104">
        <f t="array" ref="P187">INDEX(Referral,MATCH(A187,Name,0))</f>
        <v>0</v>
      </c>
      <c r="Q187" s="104">
        <f t="array" aca="1" ref="Q187" ca="1">IF(INDEX(NYUAfillType,MATCH(A187,'Key Metrics'!B:B,0))="Other (please specify)",INDEX('Key Metrics'!N:N,MATCH(A187,'Key Metrics'!B:B,0)),INDEX(NYUAfillType,MATCH(A187,'Key Metrics'!B:B,0)))</f>
        <v>0</v>
      </c>
      <c r="R187" s="105" t="str">
        <f t="array" aca="1" ref="R187" ca="1">IF(INDEX('Key Metrics'!Q:Q,MATCH(A187,'Key Metrics'!B:B,0))="No","",INDEX('Key Metrics'!Q:Q,MATCH(A187,'Key Metrics'!B:B,0)))</f>
        <v/>
      </c>
      <c r="S187" s="106" t="str">
        <f t="shared" si="1"/>
        <v>Invite</v>
      </c>
      <c r="T187" s="107" t="s">
        <v>18</v>
      </c>
      <c r="U187" s="107" t="b">
        <v>0</v>
      </c>
      <c r="V187" s="107" t="b">
        <v>0</v>
      </c>
      <c r="W187" s="107" t="b">
        <v>0</v>
      </c>
      <c r="X187" s="108"/>
      <c r="Y187" s="106" t="str">
        <f t="array" ref="Y187">INDEX('DiT - 2022-2023 Applications Re'!U:U,MATCH(A187,'DiT - 2022-2023 Applications Re'!B:B,0))</f>
        <v>Invite</v>
      </c>
    </row>
    <row r="188" spans="1:25" ht="55" hidden="1">
      <c r="A188" s="109" t="s">
        <v>246</v>
      </c>
      <c r="B188" s="86" t="str">
        <f t="array" ref="B188">INDEX(Interview,MATCH(A188,Name,0))</f>
        <v>Revisit</v>
      </c>
      <c r="C188" s="86" t="str">
        <f t="array" ref="C188">INDEX(Track,MATCH(A188,Name,0))</f>
        <v>Digital Tech</v>
      </c>
      <c r="D188" s="87">
        <f t="array" ref="D188">INDEX(Score,MATCH(A188,Name,0))</f>
        <v>4</v>
      </c>
      <c r="E188" s="88">
        <f t="array" aca="1" ref="E188" ca="1">INDEX(Date,MATCH(A188,Name,0))</f>
        <v>44796</v>
      </c>
      <c r="F188" s="86" t="s">
        <v>13319</v>
      </c>
      <c r="G188" s="86" t="s">
        <v>13314</v>
      </c>
      <c r="H188" s="86" t="str">
        <f t="array" aca="1" ref="H188" ca="1">IFERROR(INDEX('2022-2023 Third Reviews'!K:K,MATCH(A188,'2022-2023 Third Reviews'!C:C,0)),"")</f>
        <v>Joshua Rubnitz
4</v>
      </c>
      <c r="I188" s="89" t="s">
        <v>1438</v>
      </c>
      <c r="J188" s="89" t="s">
        <v>1439</v>
      </c>
      <c r="K188" s="89" t="str">
        <f t="array" aca="1" ref="K188" ca="1">IFERROR(INDEX('2022-2023 Third Reviews'!L:L,MATCH(A188,'2022-2023 Third Reviews'!C:C,0)),"")</f>
        <v>Very compelling product, but no real data on the status of the product. The business does have customers and claims to be generating revenue, but does not specify how much. The founding team is technically proficient and has good mentors. If this product is realized at scale the use cases could be endless. Could help founders determine an initial strategy to grow their market share in a niche online service provider.</v>
      </c>
      <c r="L188" s="90" t="str">
        <f t="array" ref="L188">INDEX(AppNotes,MATCH(A188,Name,0))</f>
        <v>Change to DiT; gameified therapy; trials in multiple hospitals currently</v>
      </c>
      <c r="M188" s="91" t="str">
        <f t="array" aca="1" ref="M188" ca="1">INDEX(Team,MATCH(A188,'Key Metrics'!B:B,0))</f>
        <v>Man, Man</v>
      </c>
      <c r="N188" s="87" t="str">
        <f t="array" aca="1" ref="N188" ca="1">IF(INDEX('Key Metrics'!F:F,MATCH(A188,'Key Metrics'!B:B,0))="Woman","Yes","")</f>
        <v/>
      </c>
      <c r="O188" s="87" t="str">
        <f t="shared" ca="1" si="0"/>
        <v/>
      </c>
      <c r="P188" s="92">
        <f t="array" ref="P188">INDEX(Referral,MATCH(A188,Name,0))</f>
        <v>0</v>
      </c>
      <c r="Q188" s="92">
        <f t="array" aca="1" ref="Q188" ca="1">IF(INDEX(NYUAfillType,MATCH(A188,'Key Metrics'!B:B,0))="Other (please specify)",INDEX('Key Metrics'!N:N,MATCH(A188,'Key Metrics'!B:B,0)),INDEX(NYUAfillType,MATCH(A188,'Key Metrics'!B:B,0)))</f>
        <v>0</v>
      </c>
      <c r="R188" s="93" t="str">
        <f t="array" aca="1" ref="R188" ca="1">IF(INDEX('Key Metrics'!Q:Q,MATCH(A188,'Key Metrics'!B:B,0))="No","",INDEX('Key Metrics'!Q:Q,MATCH(A188,'Key Metrics'!B:B,0)))</f>
        <v/>
      </c>
      <c r="S188" s="94" t="str">
        <f t="shared" si="1"/>
        <v>Invite</v>
      </c>
      <c r="T188" s="95" t="s">
        <v>18</v>
      </c>
      <c r="U188" s="95" t="b">
        <v>0</v>
      </c>
      <c r="V188" s="95" t="b">
        <v>0</v>
      </c>
      <c r="W188" s="95" t="b">
        <v>0</v>
      </c>
      <c r="X188" s="96"/>
      <c r="Y188" s="94" t="str">
        <f t="array" ref="Y188">INDEX('DiT - 2022-2023 Applications Re'!U:U,MATCH(A188,'DiT - 2022-2023 Applications Re'!B:B,0))</f>
        <v>Invite</v>
      </c>
    </row>
    <row r="189" spans="1:25" ht="66" hidden="1">
      <c r="A189" s="97" t="s">
        <v>247</v>
      </c>
      <c r="B189" s="98" t="str">
        <f t="array" ref="B189">INDEX(Interview,MATCH(A189,Name,0))</f>
        <v>Invite</v>
      </c>
      <c r="C189" s="98" t="str">
        <f t="array" ref="C189">INDEX(Track,MATCH(A189,Name,0))</f>
        <v>Digital Tech</v>
      </c>
      <c r="D189" s="99">
        <f t="array" ref="D189">INDEX(Score,MATCH(A189,Name,0))</f>
        <v>4</v>
      </c>
      <c r="E189" s="100">
        <f t="array" aca="1" ref="E189" ca="1">INDEX(Date,MATCH(A189,Name,0))</f>
        <v>44797</v>
      </c>
      <c r="F189" s="98" t="s">
        <v>13304</v>
      </c>
      <c r="G189" s="98" t="s">
        <v>13384</v>
      </c>
      <c r="H189" s="98" t="str">
        <f t="array" ref="H189">IFERROR(INDEX('2022-2023 Third Reviews'!K:K,MATCH(A189,'2022-2023 Third Reviews'!C:C,0)),"")</f>
        <v/>
      </c>
      <c r="I189" s="101" t="s">
        <v>10213</v>
      </c>
      <c r="J189" s="101" t="s">
        <v>4045</v>
      </c>
      <c r="K189" s="101" t="str">
        <f t="array" ref="K189">IFERROR(INDEX('2022-2023 Third Reviews'!L:L,MATCH(A189,'2022-2023 Third Reviews'!C:C,0)),"")</f>
        <v/>
      </c>
      <c r="L189" s="102">
        <f t="array" ref="L189">INDEX(AppNotes,MATCH(A189,Name,0))</f>
        <v>0</v>
      </c>
      <c r="M189" s="103" t="str">
        <f t="array" aca="1" ref="M189" ca="1">INDEX(Team,MATCH(A189,'Key Metrics'!B:B,0))</f>
        <v>Man, Man</v>
      </c>
      <c r="N189" s="99" t="str">
        <f t="array" aca="1" ref="N189" ca="1">IF(INDEX('Key Metrics'!F:F,MATCH(A189,'Key Metrics'!B:B,0))="Woman","Yes","")</f>
        <v/>
      </c>
      <c r="O189" s="99" t="str">
        <f t="shared" ca="1" si="0"/>
        <v/>
      </c>
      <c r="P189" s="104" t="str">
        <f t="array" ref="P189">INDEX(Referral,MATCH(A189,Name,0))</f>
        <v>Mahak Chhajer - NYU Stern School of Business, Class of 2023</v>
      </c>
      <c r="Q189" s="104">
        <f t="array" aca="1" ref="Q189" ca="1">IF(INDEX(NYUAfillType,MATCH(A189,'Key Metrics'!B:B,0))="Other (please specify)",INDEX('Key Metrics'!N:N,MATCH(A189,'Key Metrics'!B:B,0)),INDEX(NYUAfillType,MATCH(A189,'Key Metrics'!B:B,0)))</f>
        <v>0</v>
      </c>
      <c r="R189" s="105" t="str">
        <f t="array" aca="1" ref="R189" ca="1">IF(INDEX('Key Metrics'!Q:Q,MATCH(A189,'Key Metrics'!B:B,0))="No","",INDEX('Key Metrics'!Q:Q,MATCH(A189,'Key Metrics'!B:B,0)))</f>
        <v/>
      </c>
      <c r="S189" s="106" t="str">
        <f t="shared" si="1"/>
        <v>Invite Next Year</v>
      </c>
      <c r="T189" s="107" t="s">
        <v>24</v>
      </c>
      <c r="U189" s="107" t="b">
        <v>0</v>
      </c>
      <c r="V189" s="107" t="b">
        <v>0</v>
      </c>
      <c r="W189" s="107" t="b">
        <v>0</v>
      </c>
      <c r="X189" s="108"/>
      <c r="Y189" s="106" t="str">
        <f t="array" ref="Y189">INDEX('DiT - 2022-2023 Applications Re'!U:U,MATCH(A189,'DiT - 2022-2023 Applications Re'!B:B,0))</f>
        <v>Invite Next Year</v>
      </c>
    </row>
    <row r="190" spans="1:25" ht="44" hidden="1">
      <c r="A190" s="109" t="s">
        <v>248</v>
      </c>
      <c r="B190" s="86" t="str">
        <f t="array" ref="B190">INDEX(Interview,MATCH(A190,Name,0))</f>
        <v>Invite</v>
      </c>
      <c r="C190" s="86" t="str">
        <f t="array" ref="C190">INDEX(Track,MATCH(A190,Name,0))</f>
        <v>Digital Tech</v>
      </c>
      <c r="D190" s="87">
        <f t="array" ref="D190">INDEX(Score,MATCH(A190,Name,0))</f>
        <v>4</v>
      </c>
      <c r="E190" s="88">
        <f t="array" aca="1" ref="E190" ca="1">INDEX(Date,MATCH(A190,Name,0))</f>
        <v>44796</v>
      </c>
      <c r="F190" s="86" t="s">
        <v>13304</v>
      </c>
      <c r="G190" s="86" t="s">
        <v>13385</v>
      </c>
      <c r="H190" s="86" t="str">
        <f t="array" ref="H190">IFERROR(INDEX('2022-2023 Third Reviews'!K:K,MATCH(A190,'2022-2023 Third Reviews'!C:C,0)),"")</f>
        <v/>
      </c>
      <c r="I190" s="89" t="s">
        <v>11209</v>
      </c>
      <c r="J190" s="89" t="s">
        <v>4055</v>
      </c>
      <c r="K190" s="89" t="str">
        <f t="array" ref="K190">IFERROR(INDEX('2022-2023 Third Reviews'!L:L,MATCH(A190,'2022-2023 Third Reviews'!C:C,0)),"")</f>
        <v/>
      </c>
      <c r="L190" s="90">
        <f t="array" ref="L190">INDEX(AppNotes,MATCH(A190,Name,0))</f>
        <v>0</v>
      </c>
      <c r="M190" s="91" t="str">
        <f t="array" aca="1" ref="M190" ca="1">INDEX(Team,MATCH(A190,'Key Metrics'!B:B,0))</f>
        <v>Man, Man, Man</v>
      </c>
      <c r="N190" s="87" t="str">
        <f t="array" aca="1" ref="N190" ca="1">IF(INDEX('Key Metrics'!F:F,MATCH(A190,'Key Metrics'!B:B,0))="Woman","Yes","")</f>
        <v/>
      </c>
      <c r="O190" s="87" t="str">
        <f t="shared" ca="1" si="0"/>
        <v/>
      </c>
      <c r="P190" s="92">
        <f t="array" ref="P190">INDEX(Referral,MATCH(A190,Name,0))</f>
        <v>0</v>
      </c>
      <c r="Q190" s="92">
        <f t="array" aca="1" ref="Q190" ca="1">IF(INDEX(NYUAfillType,MATCH(A190,'Key Metrics'!B:B,0))="Other (please specify)",INDEX('Key Metrics'!N:N,MATCH(A190,'Key Metrics'!B:B,0)),INDEX(NYUAfillType,MATCH(A190,'Key Metrics'!B:B,0)))</f>
        <v>0</v>
      </c>
      <c r="R190" s="93" t="str">
        <f t="array" aca="1" ref="R190" ca="1">IF(INDEX('Key Metrics'!Q:Q,MATCH(A190,'Key Metrics'!B:B,0))="No","",INDEX('Key Metrics'!Q:Q,MATCH(A190,'Key Metrics'!B:B,0)))</f>
        <v/>
      </c>
      <c r="S190" s="94" t="str">
        <f t="shared" si="1"/>
        <v>Invite Next Year</v>
      </c>
      <c r="T190" s="95" t="s">
        <v>24</v>
      </c>
      <c r="U190" s="95" t="b">
        <v>0</v>
      </c>
      <c r="V190" s="95" t="b">
        <v>0</v>
      </c>
      <c r="W190" s="95" t="b">
        <v>0</v>
      </c>
      <c r="X190" s="96"/>
      <c r="Y190" s="94" t="str">
        <f t="array" ref="Y190">INDEX('DiT - 2022-2023 Applications Re'!U:U,MATCH(A190,'DiT - 2022-2023 Applications Re'!B:B,0))</f>
        <v>Invite Next Year</v>
      </c>
    </row>
    <row r="191" spans="1:25" ht="44" hidden="1">
      <c r="A191" s="97" t="s">
        <v>249</v>
      </c>
      <c r="B191" s="98" t="str">
        <f t="array" ref="B191">INDEX(Interview,MATCH(A191,Name,0))</f>
        <v>Invite</v>
      </c>
      <c r="C191" s="98" t="str">
        <f t="array" ref="C191">INDEX(Track,MATCH(A191,Name,0))</f>
        <v>Digital Tech</v>
      </c>
      <c r="D191" s="99">
        <f t="array" ref="D191">INDEX(Score,MATCH(A191,Name,0))</f>
        <v>4</v>
      </c>
      <c r="E191" s="100">
        <f t="array" aca="1" ref="E191" ca="1">INDEX(Date,MATCH(A191,Name,0))</f>
        <v>44789</v>
      </c>
      <c r="F191" s="98" t="s">
        <v>13337</v>
      </c>
      <c r="G191" s="98" t="s">
        <v>13354</v>
      </c>
      <c r="H191" s="98" t="str">
        <f t="array" aca="1" ref="H191" ca="1">IFERROR(INDEX('2022-2023 Third Reviews'!K:K,MATCH(A191,'2022-2023 Third Reviews'!C:C,0)),"")</f>
        <v>Chris Millisits
2</v>
      </c>
      <c r="I191" s="101" t="s">
        <v>10719</v>
      </c>
      <c r="J191" s="101" t="s">
        <v>4065</v>
      </c>
      <c r="K191" s="101" t="str">
        <f t="array" aca="1" ref="K191" ca="1">IFERROR(INDEX('2022-2023 Third Reviews'!L:L,MATCH(A191,'2022-2023 Third Reviews'!C:C,0)),"")</f>
        <v>Small market size, limited ability to pay from ICP, and it's a non-profit. Additionally, training-based program is unlikely to serve as much of a moat, despite VR angle.</v>
      </c>
      <c r="L191" s="102">
        <f t="array" ref="L191">INDEX(AppNotes,MATCH(A191,Name,0))</f>
        <v>0</v>
      </c>
      <c r="M191" s="103" t="str">
        <f t="array" aca="1" ref="M191" ca="1">INDEX(Team,MATCH(A191,'Key Metrics'!B:B,0))</f>
        <v>Woman, Man</v>
      </c>
      <c r="N191" s="99" t="str">
        <f t="array" aca="1" ref="N191" ca="1">IF(INDEX('Key Metrics'!F:F,MATCH(A191,'Key Metrics'!B:B,0))="Woman","Yes","")</f>
        <v>Yes</v>
      </c>
      <c r="O191" s="99" t="str">
        <f t="shared" ca="1" si="0"/>
        <v>Yes</v>
      </c>
      <c r="P191" s="104">
        <f t="array" ref="P191">INDEX(Referral,MATCH(A191,Name,0))</f>
        <v>0</v>
      </c>
      <c r="Q191" s="104">
        <f t="array" aca="1" ref="Q191" ca="1">IF(INDEX(NYUAfillType,MATCH(A191,'Key Metrics'!B:B,0))="Other (please specify)",INDEX('Key Metrics'!N:N,MATCH(A191,'Key Metrics'!B:B,0)),INDEX(NYUAfillType,MATCH(A191,'Key Metrics'!B:B,0)))</f>
        <v>0</v>
      </c>
      <c r="R191" s="105" t="str">
        <f t="array" aca="1" ref="R191" ca="1">IF(INDEX('Key Metrics'!Q:Q,MATCH(A191,'Key Metrics'!B:B,0))="No","",INDEX('Key Metrics'!Q:Q,MATCH(A191,'Key Metrics'!B:B,0)))</f>
        <v/>
      </c>
      <c r="S191" s="106" t="str">
        <f t="shared" si="1"/>
        <v>Invite Next Year</v>
      </c>
      <c r="T191" s="107" t="s">
        <v>24</v>
      </c>
      <c r="U191" s="107" t="b">
        <v>0</v>
      </c>
      <c r="V191" s="107" t="b">
        <v>0</v>
      </c>
      <c r="W191" s="107" t="b">
        <v>0</v>
      </c>
      <c r="X191" s="108"/>
      <c r="Y191" s="106" t="str">
        <f t="array" ref="Y191">INDEX('DiT - 2022-2023 Applications Re'!U:U,MATCH(A191,'DiT - 2022-2023 Applications Re'!B:B,0))</f>
        <v>Invite Next Year</v>
      </c>
    </row>
    <row r="192" spans="1:25" ht="88" hidden="1">
      <c r="A192" s="109" t="s">
        <v>250</v>
      </c>
      <c r="B192" s="86" t="str">
        <f t="array" ref="B192">INDEX(Interview,MATCH(A192,Name,0))</f>
        <v>Invite</v>
      </c>
      <c r="C192" s="86" t="str">
        <f t="array" ref="C192">INDEX(Track,MATCH(A192,Name,0))</f>
        <v>Digital Tech</v>
      </c>
      <c r="D192" s="87">
        <f t="array" ref="D192">INDEX(Score,MATCH(A192,Name,0))</f>
        <v>3.75</v>
      </c>
      <c r="E192" s="88">
        <f t="array" aca="1" ref="E192" ca="1">INDEX(Date,MATCH(A192,Name,0))</f>
        <v>44782</v>
      </c>
      <c r="F192" s="86" t="s">
        <v>13306</v>
      </c>
      <c r="G192" s="86" t="s">
        <v>13331</v>
      </c>
      <c r="H192" s="86" t="str">
        <f t="array" aca="1" ref="H192" ca="1">IFERROR(INDEX('2022-2023 Third Reviews'!K:K,MATCH(A192,'2022-2023 Third Reviews'!C:C,0)),"")</f>
        <v>Joshua Rubnitz
4</v>
      </c>
      <c r="I192" s="89" t="s">
        <v>1447</v>
      </c>
      <c r="J192" s="89" t="s">
        <v>1448</v>
      </c>
      <c r="K192" s="89" t="str">
        <f t="array" aca="1" ref="K192" ca="1">IFERROR(INDEX('2022-2023 Third Reviews'!L:L,MATCH(A192,'2022-2023 Third Reviews'!C:C,0)),"")</f>
        <v>The team has built a no-code AI data analytics tool that they claim is better than competitors and with no funding is already generating $20K MRR. They are focusing on the banking industry. This is a huge and growing market.
In the EFL application and the pitch they did not really hone in an any very specific or compelling use-cases, but it is safe to assume that there are plenty of specific data-related problems in the banking industry (and beyond).
Team is mostly business focused, and claim to be MI/AI experts as well. The early figures they have generated are impressive, probably need to strategize growth quickly to keep this edge.</v>
      </c>
      <c r="L192" s="90" t="str">
        <f t="array" ref="L192">INDEX(AppNotes,MATCH(A192,Name,0))</f>
        <v>change to DiT; mark and beth to review; currently in 30M Series B round; are they too late for us? part of world pioneers forum, great team. potentially applying to expand into US market; invite to dig deeper into them!</v>
      </c>
      <c r="M192" s="91" t="str">
        <f t="array" aca="1" ref="M192" ca="1">INDEX(Team,MATCH(A192,'Key Metrics'!B:B,0))</f>
        <v>Man, Man, Man, Man</v>
      </c>
      <c r="N192" s="87" t="str">
        <f t="array" aca="1" ref="N192" ca="1">IF(INDEX('Key Metrics'!F:F,MATCH(A192,'Key Metrics'!B:B,0))="Woman","Yes","")</f>
        <v/>
      </c>
      <c r="O192" s="87" t="str">
        <f t="shared" ca="1" si="0"/>
        <v/>
      </c>
      <c r="P192" s="92" t="str">
        <f t="array" ref="P192">INDEX(Referral,MATCH(A192,Name,0))</f>
        <v>Khoa Ma</v>
      </c>
      <c r="Q192" s="92">
        <f t="array" aca="1" ref="Q192" ca="1">IF(INDEX(NYUAfillType,MATCH(A192,'Key Metrics'!B:B,0))="Other (please specify)",INDEX('Key Metrics'!N:N,MATCH(A192,'Key Metrics'!B:B,0)),INDEX(NYUAfillType,MATCH(A192,'Key Metrics'!B:B,0)))</f>
        <v>0</v>
      </c>
      <c r="R192" s="93" t="str">
        <f t="array" aca="1" ref="R192" ca="1">IF(INDEX('Key Metrics'!Q:Q,MATCH(A192,'Key Metrics'!B:B,0))="No","",INDEX('Key Metrics'!Q:Q,MATCH(A192,'Key Metrics'!B:B,0)))</f>
        <v/>
      </c>
      <c r="S192" s="94" t="str">
        <f t="shared" si="1"/>
        <v>Invite</v>
      </c>
      <c r="T192" s="95" t="s">
        <v>18</v>
      </c>
      <c r="U192" s="95" t="b">
        <v>0</v>
      </c>
      <c r="V192" s="95" t="b">
        <v>0</v>
      </c>
      <c r="W192" s="95" t="b">
        <v>0</v>
      </c>
      <c r="X192" s="96"/>
      <c r="Y192" s="94" t="str">
        <f t="array" ref="Y192">INDEX('DiT - 2022-2023 Applications Re'!U:U,MATCH(A192,'DiT - 2022-2023 Applications Re'!B:B,0))</f>
        <v>Invite</v>
      </c>
    </row>
    <row r="193" spans="1:25" ht="55" hidden="1">
      <c r="A193" s="97" t="s">
        <v>251</v>
      </c>
      <c r="B193" s="98" t="str">
        <f t="array" ref="B193">INDEX(Interview,MATCH(A193,Name,0))</f>
        <v>Invite</v>
      </c>
      <c r="C193" s="98" t="str">
        <f t="array" ref="C193">INDEX(Track,MATCH(A193,Name,0))</f>
        <v>Digital Tech</v>
      </c>
      <c r="D193" s="99">
        <f t="array" ref="D193">INDEX(Score,MATCH(A193,Name,0))</f>
        <v>4</v>
      </c>
      <c r="E193" s="100">
        <f t="array" aca="1" ref="E193" ca="1">INDEX(Date,MATCH(A193,Name,0))</f>
        <v>44797</v>
      </c>
      <c r="F193" s="98" t="s">
        <v>13337</v>
      </c>
      <c r="G193" s="98" t="s">
        <v>13384</v>
      </c>
      <c r="H193" s="98" t="str">
        <f t="array" ref="H193">IFERROR(INDEX('2022-2023 Third Reviews'!K:K,MATCH(A193,'2022-2023 Third Reviews'!C:C,0)),"")</f>
        <v/>
      </c>
      <c r="I193" s="101" t="s">
        <v>11380</v>
      </c>
      <c r="J193" s="101" t="s">
        <v>1458</v>
      </c>
      <c r="K193" s="101" t="str">
        <f t="array" ref="K193">IFERROR(INDEX('2022-2023 Third Reviews'!L:L,MATCH(A193,'2022-2023 Third Reviews'!C:C,0)),"")</f>
        <v/>
      </c>
      <c r="L193" s="102">
        <f t="array" ref="L193">INDEX(AppNotes,MATCH(A193,Name,0))</f>
        <v>0</v>
      </c>
      <c r="M193" s="103" t="str">
        <f t="array" aca="1" ref="M193" ca="1">INDEX(Team,MATCH(A193,'Key Metrics'!B:B,0))</f>
        <v>Man, Man, Man</v>
      </c>
      <c r="N193" s="99" t="str">
        <f t="array" aca="1" ref="N193" ca="1">IF(INDEX('Key Metrics'!F:F,MATCH(A193,'Key Metrics'!B:B,0))="Woman","Yes","")</f>
        <v/>
      </c>
      <c r="O193" s="99" t="str">
        <f t="shared" ca="1" si="0"/>
        <v/>
      </c>
      <c r="P193" s="104">
        <f t="array" ref="P193">INDEX(Referral,MATCH(A193,Name,0))</f>
        <v>0</v>
      </c>
      <c r="Q193" s="104">
        <f t="array" aca="1" ref="Q193" ca="1">IF(INDEX(NYUAfillType,MATCH(A193,'Key Metrics'!B:B,0))="Other (please specify)",INDEX('Key Metrics'!N:N,MATCH(A193,'Key Metrics'!B:B,0)),INDEX(NYUAfillType,MATCH(A193,'Key Metrics'!B:B,0)))</f>
        <v>0</v>
      </c>
      <c r="R193" s="105" t="str">
        <f t="array" aca="1" ref="R193" ca="1">IF(INDEX('Key Metrics'!Q:Q,MATCH(A193,'Key Metrics'!B:B,0))="No","",INDEX('Key Metrics'!Q:Q,MATCH(A193,'Key Metrics'!B:B,0)))</f>
        <v/>
      </c>
      <c r="S193" s="106" t="str">
        <f t="shared" si="1"/>
        <v>Invite</v>
      </c>
      <c r="T193" s="107" t="s">
        <v>18</v>
      </c>
      <c r="U193" s="107" t="b">
        <v>0</v>
      </c>
      <c r="V193" s="107" t="b">
        <v>0</v>
      </c>
      <c r="W193" s="107" t="b">
        <v>0</v>
      </c>
      <c r="X193" s="108"/>
      <c r="Y193" s="106" t="str">
        <f t="array" ref="Y193">INDEX('DiT - 2022-2023 Applications Re'!U:U,MATCH(A193,'DiT - 2022-2023 Applications Re'!B:B,0))</f>
        <v>Invite</v>
      </c>
    </row>
    <row r="194" spans="1:25" ht="55">
      <c r="A194" s="109" t="s">
        <v>252</v>
      </c>
      <c r="B194" s="86" t="str">
        <f t="array" ref="B194">INDEX(Interview,MATCH(A194,Name,0))</f>
        <v>Invite</v>
      </c>
      <c r="C194" s="86" t="str">
        <f t="array" ref="C194">INDEX(Track,MATCH(A194,Name,0))</f>
        <v>Digital Tech</v>
      </c>
      <c r="D194" s="87">
        <f t="array" ref="D194">INDEX(Score,MATCH(A194,Name,0))</f>
        <v>4</v>
      </c>
      <c r="E194" s="88">
        <f t="array" aca="1" ref="E194" ca="1">INDEX(Date,MATCH(A194,Name,0))</f>
        <v>44796</v>
      </c>
      <c r="F194" s="86" t="s">
        <v>13354</v>
      </c>
      <c r="G194" s="86" t="s">
        <v>13384</v>
      </c>
      <c r="H194" s="86" t="str">
        <f t="array" aca="1" ref="H194" ca="1">IFERROR(INDEX('2022-2023 Third Reviews'!K:K,MATCH(A194,'2022-2023 Third Reviews'!C:C,0)),"")</f>
        <v>Joshua Rubnitz
4</v>
      </c>
      <c r="I194" s="89" t="s">
        <v>1465</v>
      </c>
      <c r="J194" s="89" t="s">
        <v>1466</v>
      </c>
      <c r="K194" s="89" t="str">
        <f t="array" aca="1" ref="K194" ca="1">IFERROR(INDEX('2022-2023 Third Reviews'!L:L,MATCH(A194,'2022-2023 Third Reviews'!C:C,0)),"")</f>
        <v>The product has shown promising data toward recovery of some patients and longer expected survival after clinical I trials. There is currently no treatment for GBM.
The survival rate was still low, but better than no treatment.</v>
      </c>
      <c r="L194" s="90">
        <f t="array" ref="L194">INDEX(AppNotes,MATCH(A194,Name,0))</f>
        <v>0</v>
      </c>
      <c r="M194" s="91" t="str">
        <f t="array" aca="1" ref="M194" ca="1">INDEX(Team,MATCH(A194,'Key Metrics'!B:B,0))</f>
        <v>Woman, Woman, Man, Transgender</v>
      </c>
      <c r="N194" s="87" t="str">
        <f t="array" aca="1" ref="N194" ca="1">IF(INDEX('Key Metrics'!F:F,MATCH(A194,'Key Metrics'!B:B,0))="Woman","Yes","")</f>
        <v>Yes</v>
      </c>
      <c r="O194" s="87" t="str">
        <f t="shared" ca="1" si="0"/>
        <v>Yes</v>
      </c>
      <c r="P194" s="92">
        <f t="array" ref="P194">INDEX(Referral,MATCH(A194,Name,0))</f>
        <v>0</v>
      </c>
      <c r="Q194" s="92" t="str">
        <f t="array" aca="1" ref="Q194" ca="1">IF(INDEX(NYUAfillType,MATCH(A194,'Key Metrics'!B:B,0))="Other (please specify)",INDEX('Key Metrics'!N:N,MATCH(A194,'Key Metrics'!B:B,0)),INDEX(NYUAfillType,MATCH(A194,'Key Metrics'!B:B,0)))</f>
        <v>NYU Student</v>
      </c>
      <c r="R194" s="93" t="str">
        <f t="array" aca="1" ref="R194" ca="1">IF(INDEX('Key Metrics'!Q:Q,MATCH(A194,'Key Metrics'!B:B,0))="No","",INDEX('Key Metrics'!Q:Q,MATCH(A194,'Key Metrics'!B:B,0)))</f>
        <v/>
      </c>
      <c r="S194" s="94" t="str">
        <f t="shared" si="1"/>
        <v>Invite</v>
      </c>
      <c r="T194" s="95" t="s">
        <v>18</v>
      </c>
      <c r="U194" s="95" t="b">
        <v>0</v>
      </c>
      <c r="V194" s="95" t="b">
        <v>0</v>
      </c>
      <c r="W194" s="95" t="b">
        <v>0</v>
      </c>
      <c r="X194" s="96"/>
      <c r="Y194" s="94" t="str">
        <f t="array" ref="Y194">INDEX('DiT - 2022-2023 Applications Re'!U:U,MATCH(A194,'DiT - 2022-2023 Applications Re'!B:B,0))</f>
        <v>Invite</v>
      </c>
    </row>
    <row r="195" spans="1:25" ht="55" hidden="1">
      <c r="A195" s="97" t="s">
        <v>253</v>
      </c>
      <c r="B195" s="98" t="str">
        <f t="array" ref="B195">INDEX(Interview,MATCH(A195,Name,0))</f>
        <v>Invite</v>
      </c>
      <c r="C195" s="98" t="str">
        <f t="array" ref="C195">INDEX(Track,MATCH(A195,Name,0))</f>
        <v>Digital Tech</v>
      </c>
      <c r="D195" s="99">
        <f t="array" ref="D195">INDEX(Score,MATCH(A195,Name,0))</f>
        <v>4</v>
      </c>
      <c r="E195" s="100">
        <f t="array" aca="1" ref="E195" ca="1">INDEX(Date,MATCH(A195,Name,0))</f>
        <v>44797</v>
      </c>
      <c r="F195" s="98" t="s">
        <v>13337</v>
      </c>
      <c r="G195" s="98" t="s">
        <v>13307</v>
      </c>
      <c r="H195" s="98" t="str">
        <f t="array" ref="H195">IFERROR(INDEX('2022-2023 Third Reviews'!K:K,MATCH(A195,'2022-2023 Third Reviews'!C:C,0)),"")</f>
        <v/>
      </c>
      <c r="I195" s="101" t="s">
        <v>10414</v>
      </c>
      <c r="J195" s="101" t="s">
        <v>10415</v>
      </c>
      <c r="K195" s="101" t="str">
        <f t="array" ref="K195">IFERROR(INDEX('2022-2023 Third Reviews'!L:L,MATCH(A195,'2022-2023 Third Reviews'!C:C,0)),"")</f>
        <v/>
      </c>
      <c r="L195" s="102">
        <f t="array" ref="L195">INDEX(AppNotes,MATCH(A195,Name,0))</f>
        <v>0</v>
      </c>
      <c r="M195" s="103" t="str">
        <f t="array" aca="1" ref="M195" ca="1">INDEX(Team,MATCH(A195,'Key Metrics'!B:B,0))</f>
        <v>Man, Woman, Man</v>
      </c>
      <c r="N195" s="99" t="str">
        <f t="array" aca="1" ref="N195" ca="1">IF(INDEX('Key Metrics'!F:F,MATCH(A195,'Key Metrics'!B:B,0))="Woman","Yes","")</f>
        <v/>
      </c>
      <c r="O195" s="99" t="str">
        <f t="shared" ca="1" si="0"/>
        <v>Yes</v>
      </c>
      <c r="P195" s="104">
        <f t="array" ref="P195">INDEX(Referral,MATCH(A195,Name,0))</f>
        <v>0</v>
      </c>
      <c r="Q195" s="104">
        <f t="array" aca="1" ref="Q195" ca="1">IF(INDEX(NYUAfillType,MATCH(A195,'Key Metrics'!B:B,0))="Other (please specify)",INDEX('Key Metrics'!N:N,MATCH(A195,'Key Metrics'!B:B,0)),INDEX(NYUAfillType,MATCH(A195,'Key Metrics'!B:B,0)))</f>
        <v>0</v>
      </c>
      <c r="R195" s="105" t="str">
        <f t="array" aca="1" ref="R195" ca="1">IF(INDEX('Key Metrics'!Q:Q,MATCH(A195,'Key Metrics'!B:B,0))="No","",INDEX('Key Metrics'!Q:Q,MATCH(A195,'Key Metrics'!B:B,0)))</f>
        <v>Yes</v>
      </c>
      <c r="S195" s="106" t="str">
        <f t="shared" si="1"/>
        <v>Invite Next Year</v>
      </c>
      <c r="T195" s="107" t="s">
        <v>24</v>
      </c>
      <c r="U195" s="107" t="b">
        <v>0</v>
      </c>
      <c r="V195" s="107" t="b">
        <v>0</v>
      </c>
      <c r="W195" s="107" t="b">
        <v>0</v>
      </c>
      <c r="X195" s="108"/>
      <c r="Y195" s="106" t="str">
        <f t="array" ref="Y195">INDEX('DiT - 2022-2023 Applications Re'!U:U,MATCH(A195,'DiT - 2022-2023 Applications Re'!B:B,0))</f>
        <v>Invite Next Year</v>
      </c>
    </row>
    <row r="196" spans="1:25" hidden="1">
      <c r="A196" s="109" t="s">
        <v>254</v>
      </c>
      <c r="B196" s="86" t="str">
        <f t="array" ref="B196">INDEX(Interview,MATCH(A196,Name,0))</f>
        <v>Invite</v>
      </c>
      <c r="C196" s="86" t="str">
        <f t="array" ref="C196">INDEX(Track,MATCH(A196,Name,0))</f>
        <v>Digital Tech</v>
      </c>
      <c r="D196" s="87">
        <f t="array" ref="D196">INDEX(Score,MATCH(A196,Name,0))</f>
        <v>4</v>
      </c>
      <c r="E196" s="88">
        <f t="array" aca="1" ref="E196" ca="1">INDEX(Date,MATCH(A196,Name,0))</f>
        <v>44797</v>
      </c>
      <c r="F196" s="86" t="s">
        <v>13304</v>
      </c>
      <c r="G196" s="86" t="s">
        <v>13385</v>
      </c>
      <c r="H196" s="86" t="str">
        <f t="array" ref="H196">IFERROR(INDEX('2022-2023 Third Reviews'!K:K,MATCH(A196,'2022-2023 Third Reviews'!C:C,0)),"")</f>
        <v/>
      </c>
      <c r="I196" s="89" t="s">
        <v>4083</v>
      </c>
      <c r="J196" s="89" t="s">
        <v>481</v>
      </c>
      <c r="K196" s="89" t="str">
        <f t="array" ref="K196">IFERROR(INDEX('2022-2023 Third Reviews'!L:L,MATCH(A196,'2022-2023 Third Reviews'!C:C,0)),"")</f>
        <v/>
      </c>
      <c r="L196" s="90">
        <f t="array" ref="L196">INDEX(AppNotes,MATCH(A196,Name,0))</f>
        <v>0</v>
      </c>
      <c r="M196" s="91" t="str">
        <f t="array" aca="1" ref="M196" ca="1">INDEX(Team,MATCH(A196,'Key Metrics'!B:B,0))</f>
        <v>Woman, Man</v>
      </c>
      <c r="N196" s="87" t="str">
        <f t="array" aca="1" ref="N196" ca="1">IF(INDEX('Key Metrics'!F:F,MATCH(A196,'Key Metrics'!B:B,0))="Woman","Yes","")</f>
        <v>Yes</v>
      </c>
      <c r="O196" s="87" t="str">
        <f t="shared" ca="1" si="0"/>
        <v>Yes</v>
      </c>
      <c r="P196" s="92">
        <f t="array" ref="P196">INDEX(Referral,MATCH(A196,Name,0))</f>
        <v>0</v>
      </c>
      <c r="Q196" s="92">
        <f t="array" aca="1" ref="Q196" ca="1">IF(INDEX(NYUAfillType,MATCH(A196,'Key Metrics'!B:B,0))="Other (please specify)",INDEX('Key Metrics'!N:N,MATCH(A196,'Key Metrics'!B:B,0)),INDEX(NYUAfillType,MATCH(A196,'Key Metrics'!B:B,0)))</f>
        <v>0</v>
      </c>
      <c r="R196" s="93" t="str">
        <f t="array" aca="1" ref="R196" ca="1">IF(INDEX('Key Metrics'!Q:Q,MATCH(A196,'Key Metrics'!B:B,0))="No","",INDEX('Key Metrics'!Q:Q,MATCH(A196,'Key Metrics'!B:B,0)))</f>
        <v/>
      </c>
      <c r="S196" s="94" t="str">
        <f t="shared" si="1"/>
        <v>Invite Next Year</v>
      </c>
      <c r="T196" s="95" t="s">
        <v>24</v>
      </c>
      <c r="U196" s="95" t="b">
        <v>0</v>
      </c>
      <c r="V196" s="95" t="b">
        <v>0</v>
      </c>
      <c r="W196" s="95" t="b">
        <v>0</v>
      </c>
      <c r="X196" s="96"/>
      <c r="Y196" s="94" t="str">
        <f t="array" ref="Y196">INDEX('DiT - 2022-2023 Applications Re'!U:U,MATCH(A196,'DiT - 2022-2023 Applications Re'!B:B,0))</f>
        <v>Invite Next Year</v>
      </c>
    </row>
    <row r="197" spans="1:25" ht="33" hidden="1">
      <c r="A197" s="97" t="s">
        <v>255</v>
      </c>
      <c r="B197" s="98" t="str">
        <f t="array" ref="B197">INDEX(Interview,MATCH(A197,Name,0))</f>
        <v>Invite</v>
      </c>
      <c r="C197" s="98" t="str">
        <f t="array" ref="C197">INDEX(Track,MATCH(A197,Name,0))</f>
        <v>Digital Tech</v>
      </c>
      <c r="D197" s="99">
        <f t="array" ref="D197">INDEX(Score,MATCH(A197,Name,0))</f>
        <v>4</v>
      </c>
      <c r="E197" s="100">
        <f t="array" aca="1" ref="E197" ca="1">INDEX(Date,MATCH(A197,Name,0))</f>
        <v>44789</v>
      </c>
      <c r="F197" s="98" t="s">
        <v>13329</v>
      </c>
      <c r="G197" s="98" t="s">
        <v>13349</v>
      </c>
      <c r="H197" s="98" t="str">
        <f t="array" aca="1" ref="H197" ca="1">IFERROR(INDEX('2022-2023 Third Reviews'!K:K,MATCH(A197,'2022-2023 Third Reviews'!C:C,0)),"")</f>
        <v>Chris Millisits
3</v>
      </c>
      <c r="I197" s="101" t="s">
        <v>4100</v>
      </c>
      <c r="J197" s="101" t="s">
        <v>10862</v>
      </c>
      <c r="K197" s="101" t="str">
        <f t="array" aca="1" ref="K197" ca="1">IFERROR(INDEX('2022-2023 Third Reviews'!L:L,MATCH(A197,'2022-2023 Third Reviews'!C:C,0)),"")</f>
        <v>Seems to have hit a nerve with the old school aesthetic on an EV, given the pre-orders. Moderate experience in automotive industry, but mostly as consultants (not much time on the inside). Could see growing pains with production - launching an auto manufacturer isn't trivial.</v>
      </c>
      <c r="L197" s="102">
        <f t="array" ref="L197">INDEX(AppNotes,MATCH(A197,Name,0))</f>
        <v>0</v>
      </c>
      <c r="M197" s="103" t="str">
        <f t="array" aca="1" ref="M197" ca="1">INDEX(Team,MATCH(A197,'Key Metrics'!B:B,0))</f>
        <v>Man, Man</v>
      </c>
      <c r="N197" s="99" t="str">
        <f t="array" aca="1" ref="N197" ca="1">IF(INDEX('Key Metrics'!F:F,MATCH(A197,'Key Metrics'!B:B,0))="Woman","Yes","")</f>
        <v/>
      </c>
      <c r="O197" s="99" t="str">
        <f t="shared" ca="1" si="0"/>
        <v/>
      </c>
      <c r="P197" s="104">
        <f t="array" ref="P197">INDEX(Referral,MATCH(A197,Name,0))</f>
        <v>0</v>
      </c>
      <c r="Q197" s="104">
        <f t="array" aca="1" ref="Q197" ca="1">IF(INDEX(NYUAfillType,MATCH(A197,'Key Metrics'!B:B,0))="Other (please specify)",INDEX('Key Metrics'!N:N,MATCH(A197,'Key Metrics'!B:B,0)),INDEX(NYUAfillType,MATCH(A197,'Key Metrics'!B:B,0)))</f>
        <v>0</v>
      </c>
      <c r="R197" s="105" t="str">
        <f t="array" aca="1" ref="R197" ca="1">IF(INDEX('Key Metrics'!Q:Q,MATCH(A197,'Key Metrics'!B:B,0))="No","",INDEX('Key Metrics'!Q:Q,MATCH(A197,'Key Metrics'!B:B,0)))</f>
        <v/>
      </c>
      <c r="S197" s="106" t="str">
        <f t="shared" si="1"/>
        <v>Invite Next Year</v>
      </c>
      <c r="T197" s="107" t="s">
        <v>24</v>
      </c>
      <c r="U197" s="107" t="b">
        <v>0</v>
      </c>
      <c r="V197" s="107" t="b">
        <v>0</v>
      </c>
      <c r="W197" s="107" t="b">
        <v>0</v>
      </c>
      <c r="X197" s="108"/>
      <c r="Y197" s="106" t="str">
        <f t="array" ref="Y197">INDEX('DiT - 2022-2023 Applications Re'!U:U,MATCH(A197,'DiT - 2022-2023 Applications Re'!B:B,0))</f>
        <v>Invite Next Year</v>
      </c>
    </row>
    <row r="198" spans="1:25" ht="55">
      <c r="A198" s="109" t="s">
        <v>256</v>
      </c>
      <c r="B198" s="86" t="str">
        <f t="array" ref="B198">INDEX(Interview,MATCH(A198,Name,0))</f>
        <v>Invite</v>
      </c>
      <c r="C198" s="86" t="str">
        <f t="array" ref="C198">INDEX(Track,MATCH(A198,Name,0))</f>
        <v>Digital Tech</v>
      </c>
      <c r="D198" s="87">
        <f t="array" ref="D198">INDEX(Score,MATCH(A198,Name,0))</f>
        <v>5</v>
      </c>
      <c r="E198" s="88">
        <f t="array" aca="1" ref="E198" ca="1">INDEX(Date,MATCH(A198,Name,0))</f>
        <v>44789</v>
      </c>
      <c r="F198" s="86" t="s">
        <v>13317</v>
      </c>
      <c r="G198" s="86" t="s">
        <v>13318</v>
      </c>
      <c r="H198" s="86" t="str">
        <f t="array" aca="1" ref="H198" ca="1">IFERROR(INDEX('2022-2023 Third Reviews'!K:K,MATCH(A198,'2022-2023 Third Reviews'!C:C,0)),"")</f>
        <v>Joshua Rubnitz
1</v>
      </c>
      <c r="I198" s="89" t="s">
        <v>10820</v>
      </c>
      <c r="J198" s="89" t="s">
        <v>10821</v>
      </c>
      <c r="K198" s="89" t="str">
        <f t="array" aca="1" ref="K198" ca="1">IFERROR(INDEX('2022-2023 Third Reviews'!L:L,MATCH(A198,'2022-2023 Third Reviews'!C:C,0)),"")</f>
        <v>The product is not built out yet and is not novel digital tech. 
Good goal of building educational metaverse for children.</v>
      </c>
      <c r="L198" s="90" t="str">
        <f t="array" ref="L198">INDEX(AppNotes,MATCH(A198,Name,0))</f>
        <v>Change to DiT;</v>
      </c>
      <c r="M198" s="91" t="str">
        <f t="array" aca="1" ref="M198" ca="1">INDEX(Team,MATCH(A198,'Key Metrics'!B:B,0))</f>
        <v>Man, Woman, Man, Man, Woman, Man</v>
      </c>
      <c r="N198" s="87" t="str">
        <f t="array" aca="1" ref="N198" ca="1">IF(INDEX('Key Metrics'!F:F,MATCH(A198,'Key Metrics'!B:B,0))="Woman","Yes","")</f>
        <v/>
      </c>
      <c r="O198" s="87" t="str">
        <f t="shared" ca="1" si="0"/>
        <v>Yes</v>
      </c>
      <c r="P198" s="92" t="str">
        <f t="array" ref="P198">INDEX(Referral,MATCH(A198,Name,0))</f>
        <v>Deloitte</v>
      </c>
      <c r="Q198" s="92">
        <f t="array" aca="1" ref="Q198" ca="1">IF(INDEX(NYUAfillType,MATCH(A198,'Key Metrics'!B:B,0))="Other (please specify)",INDEX('Key Metrics'!N:N,MATCH(A198,'Key Metrics'!B:B,0)),INDEX(NYUAfillType,MATCH(A198,'Key Metrics'!B:B,0)))</f>
        <v>0</v>
      </c>
      <c r="R198" s="93" t="str">
        <f t="array" aca="1" ref="R198" ca="1">IF(INDEX('Key Metrics'!Q:Q,MATCH(A198,'Key Metrics'!B:B,0))="No","",INDEX('Key Metrics'!Q:Q,MATCH(A198,'Key Metrics'!B:B,0)))</f>
        <v/>
      </c>
      <c r="S198" s="94" t="str">
        <f t="shared" si="1"/>
        <v>Invite</v>
      </c>
      <c r="T198" s="95" t="s">
        <v>18</v>
      </c>
      <c r="U198" s="95" t="b">
        <v>0</v>
      </c>
      <c r="V198" s="95" t="b">
        <v>0</v>
      </c>
      <c r="W198" s="95" t="b">
        <v>0</v>
      </c>
      <c r="X198" s="96"/>
      <c r="Y198" s="94" t="str">
        <f t="array" ref="Y198">INDEX('DiT - 2022-2023 Applications Re'!U:U,MATCH(A198,'DiT - 2022-2023 Applications Re'!B:B,0))</f>
        <v>Invite</v>
      </c>
    </row>
    <row r="199" spans="1:25" ht="88">
      <c r="A199" s="97" t="s">
        <v>257</v>
      </c>
      <c r="B199" s="98" t="str">
        <f t="array" ref="B199">INDEX(Interview,MATCH(A199,Name,0))</f>
        <v>Invite</v>
      </c>
      <c r="C199" s="98" t="str">
        <f t="array" ref="C199">INDEX(Track,MATCH(A199,Name,0))</f>
        <v>Digital Tech</v>
      </c>
      <c r="D199" s="99">
        <f t="array" ref="D199">INDEX(Score,MATCH(A199,Name,0))</f>
        <v>4.25</v>
      </c>
      <c r="E199" s="100">
        <f t="array" aca="1" ref="E199" ca="1">INDEX(Date,MATCH(A199,Name,0))</f>
        <v>44797</v>
      </c>
      <c r="F199" s="98" t="s">
        <v>13329</v>
      </c>
      <c r="G199" s="98" t="s">
        <v>13380</v>
      </c>
      <c r="H199" s="98" t="str">
        <f t="array" aca="1" ref="H199" ca="1">IFERROR(INDEX('2022-2023 Third Reviews'!K:K,MATCH(A199,'2022-2023 Third Reviews'!C:C,0)),"")</f>
        <v>Joshua Rubnitz
5</v>
      </c>
      <c r="I199" s="101" t="s">
        <v>1483</v>
      </c>
      <c r="J199" s="101" t="s">
        <v>10206</v>
      </c>
      <c r="K199" s="101" t="str">
        <f t="array" aca="1" ref="K199" ca="1">IFERROR(INDEX('2022-2023 Third Reviews'!L:L,MATCH(A199,'2022-2023 Third Reviews'!C:C,0)),"")</f>
        <v>Terecircuits has identified and addressed specific problems in back-end semi production and has room to grow to tangential applications. 
There are competitors (with some weaknesses) and this is an incredibly competitive industry in general. One competitor was acquired by Apple, but this may be a positive sign as that tech will now be exclusive to Apple.
Industry is growing because of recent events, but is very competitive. 
Founding team is (almost) entirely PhD level chemists, except for CEO. Could use EFL's network and guidance.</v>
      </c>
      <c r="L199" s="102" t="str">
        <f t="array" ref="L199">INDEX(AppNotes,MATCH(A199,Name,0))</f>
        <v>idea is to speed up results from days down to hours in clinics/hospitals; good award traction</v>
      </c>
      <c r="M199" s="103" t="str">
        <f t="array" aca="1" ref="M199" ca="1">INDEX(Team,MATCH(A199,'Key Metrics'!B:B,0))</f>
        <v>Woman, Man</v>
      </c>
      <c r="N199" s="99" t="str">
        <f t="array" aca="1" ref="N199" ca="1">IF(INDEX('Key Metrics'!F:F,MATCH(A199,'Key Metrics'!B:B,0))="Woman","Yes","")</f>
        <v>Yes</v>
      </c>
      <c r="O199" s="99" t="str">
        <f t="shared" ca="1" si="0"/>
        <v>Yes</v>
      </c>
      <c r="P199" s="104" t="str">
        <f t="array" ref="P199">INDEX(Referral,MATCH(A199,Name,0))</f>
        <v>Jennifer Tegan referred me and spoke with Beth Xie</v>
      </c>
      <c r="Q199" s="104">
        <f t="array" aca="1" ref="Q199" ca="1">IF(INDEX(NYUAfillType,MATCH(A199,'Key Metrics'!B:B,0))="Other (please specify)",INDEX('Key Metrics'!N:N,MATCH(A199,'Key Metrics'!B:B,0)),INDEX(NYUAfillType,MATCH(A199,'Key Metrics'!B:B,0)))</f>
        <v>0</v>
      </c>
      <c r="R199" s="105" t="str">
        <f t="array" aca="1" ref="R199" ca="1">IF(INDEX('Key Metrics'!Q:Q,MATCH(A199,'Key Metrics'!B:B,0))="No","",INDEX('Key Metrics'!Q:Q,MATCH(A199,'Key Metrics'!B:B,0)))</f>
        <v/>
      </c>
      <c r="S199" s="106" t="str">
        <f t="shared" si="1"/>
        <v>Invite</v>
      </c>
      <c r="T199" s="107" t="s">
        <v>18</v>
      </c>
      <c r="U199" s="107" t="b">
        <v>0</v>
      </c>
      <c r="V199" s="107" t="b">
        <v>0</v>
      </c>
      <c r="W199" s="107" t="b">
        <v>0</v>
      </c>
      <c r="X199" s="108"/>
      <c r="Y199" s="106" t="str">
        <f t="array" ref="Y199">INDEX('DiT - 2022-2023 Applications Re'!U:U,MATCH(A199,'DiT - 2022-2023 Applications Re'!B:B,0))</f>
        <v>Invite</v>
      </c>
    </row>
    <row r="200" spans="1:25" ht="77" hidden="1">
      <c r="A200" s="109" t="s">
        <v>258</v>
      </c>
      <c r="B200" s="86" t="str">
        <f t="array" ref="B200">INDEX(Interview,MATCH(A200,Name,0))</f>
        <v>Invite</v>
      </c>
      <c r="C200" s="86" t="str">
        <f t="array" ref="C200">INDEX(Track,MATCH(A200,Name,0))</f>
        <v>Digital Tech</v>
      </c>
      <c r="D200" s="87">
        <f t="array" ref="D200">INDEX(Score,MATCH(A200,Name,0))</f>
        <v>4.5</v>
      </c>
      <c r="E200" s="88">
        <f t="array" aca="1" ref="E200" ca="1">INDEX(Date,MATCH(A200,Name,0))</f>
        <v>44784</v>
      </c>
      <c r="F200" s="86" t="s">
        <v>13317</v>
      </c>
      <c r="G200" s="86" t="s">
        <v>13307</v>
      </c>
      <c r="H200" s="86" t="str">
        <f t="array" aca="1" ref="H200" ca="1">IFERROR(INDEX('2022-2023 Third Reviews'!K:K,MATCH(A200,'2022-2023 Third Reviews'!C:C,0)),"")</f>
        <v>John McDonald
4</v>
      </c>
      <c r="I200" s="89" t="s">
        <v>11364</v>
      </c>
      <c r="J200" s="89" t="s">
        <v>11365</v>
      </c>
      <c r="K200" s="89">
        <f t="array" aca="1" ref="K200" ca="1">IFERROR(INDEX('2022-2023 Third Reviews'!L:L,MATCH(A200,'2022-2023 Third Reviews'!C:C,0)),"")</f>
        <v>0</v>
      </c>
      <c r="L200" s="90" t="str">
        <f t="array" ref="L200">INDEX(AppNotes,MATCH(A200,Name,0))</f>
        <v>change to DiT; strong team out of harvard; 1M in revenue, has market and customers already. Late app but definitely worth it</v>
      </c>
      <c r="M200" s="91" t="str">
        <f t="array" aca="1" ref="M200" ca="1">INDEX(Team,MATCH(A200,'Key Metrics'!B:B,0))</f>
        <v>Man, Man</v>
      </c>
      <c r="N200" s="87" t="str">
        <f t="array" aca="1" ref="N200" ca="1">IF(INDEX('Key Metrics'!F:F,MATCH(A200,'Key Metrics'!B:B,0))="Woman","Yes","")</f>
        <v/>
      </c>
      <c r="O200" s="87" t="str">
        <f t="shared" ca="1" si="0"/>
        <v/>
      </c>
      <c r="P200" s="92" t="str">
        <f t="array" ref="P200">INDEX(Referral,MATCH(A200,Name,0))</f>
        <v>Khoa Ma</v>
      </c>
      <c r="Q200" s="92" t="str">
        <f t="array" aca="1" ref="Q200" ca="1">IF(INDEX(NYUAfillType,MATCH(A200,'Key Metrics'!B:B,0))="Other (please specify)",INDEX('Key Metrics'!N:N,MATCH(A200,'Key Metrics'!B:B,0)),INDEX(NYUAfillType,MATCH(A200,'Key Metrics'!B:B,0)))</f>
        <v>NYU Student</v>
      </c>
      <c r="R200" s="93" t="str">
        <f t="array" aca="1" ref="R200" ca="1">IF(INDEX('Key Metrics'!Q:Q,MATCH(A200,'Key Metrics'!B:B,0))="No","",INDEX('Key Metrics'!Q:Q,MATCH(A200,'Key Metrics'!B:B,0)))</f>
        <v/>
      </c>
      <c r="S200" s="94" t="str">
        <f t="shared" si="1"/>
        <v>Invite</v>
      </c>
      <c r="T200" s="95" t="s">
        <v>18</v>
      </c>
      <c r="U200" s="95" t="b">
        <v>0</v>
      </c>
      <c r="V200" s="95" t="b">
        <v>0</v>
      </c>
      <c r="W200" s="95" t="b">
        <v>0</v>
      </c>
      <c r="X200" s="96"/>
      <c r="Y200" s="94" t="str">
        <f t="array" ref="Y200">INDEX('DiT - 2022-2023 Applications Re'!U:U,MATCH(A200,'DiT - 2022-2023 Applications Re'!B:B,0))</f>
        <v>Invite</v>
      </c>
    </row>
    <row r="201" spans="1:25" ht="55">
      <c r="A201" s="97" t="s">
        <v>259</v>
      </c>
      <c r="B201" s="98" t="str">
        <f t="array" ref="B201">INDEX(Interview,MATCH(A201,Name,0))</f>
        <v>Revisit</v>
      </c>
      <c r="C201" s="98" t="str">
        <f t="array" ref="C201">INDEX(Track,MATCH(A201,Name,0))</f>
        <v>Digital Tech</v>
      </c>
      <c r="D201" s="99">
        <f t="array" ref="D201">INDEX(Score,MATCH(A201,Name,0))</f>
        <v>3.75</v>
      </c>
      <c r="E201" s="100">
        <f t="array" aca="1" ref="E201" ca="1">INDEX(Date,MATCH(A201,Name,0))</f>
        <v>44776</v>
      </c>
      <c r="F201" s="98" t="s">
        <v>13308</v>
      </c>
      <c r="G201" s="98" t="s">
        <v>13307</v>
      </c>
      <c r="H201" s="98" t="str">
        <f t="array" aca="1" ref="H201" ca="1">IFERROR(INDEX('2022-2023 Third Reviews'!K:K,MATCH(A201,'2022-2023 Third Reviews'!C:C,0)),"")</f>
        <v>Jason Yu
2</v>
      </c>
      <c r="I201" s="101" t="s">
        <v>1502</v>
      </c>
      <c r="J201" s="101" t="s">
        <v>11475</v>
      </c>
      <c r="K201" s="101" t="str">
        <f t="array" aca="1" ref="K201" ca="1">IFERROR(INDEX('2022-2023 Third Reviews'!L:L,MATCH(A201,'2022-2023 Third Reviews'!C:C,0)),"")</f>
        <v>Application was unclear</v>
      </c>
      <c r="L201" s="102" t="str">
        <f t="array" ref="L201">INDEX(AppNotes,MATCH(A201,Name,0))</f>
        <v>Definitely DiT</v>
      </c>
      <c r="M201" s="103" t="str">
        <f t="array" aca="1" ref="M201" ca="1">INDEX(Team,MATCH(A201,'Key Metrics'!B:B,0))</f>
        <v>Woman, Man</v>
      </c>
      <c r="N201" s="99" t="str">
        <f t="array" aca="1" ref="N201" ca="1">IF(INDEX('Key Metrics'!F:F,MATCH(A201,'Key Metrics'!B:B,0))="Woman","Yes","")</f>
        <v>Yes</v>
      </c>
      <c r="O201" s="99" t="str">
        <f t="shared" ca="1" si="0"/>
        <v>Yes</v>
      </c>
      <c r="P201" s="104" t="str">
        <f t="array" ref="P201">INDEX(Referral,MATCH(A201,Name,0))</f>
        <v>5G Open Innovation Lab</v>
      </c>
      <c r="Q201" s="104">
        <f t="array" aca="1" ref="Q201" ca="1">IF(INDEX(NYUAfillType,MATCH(A201,'Key Metrics'!B:B,0))="Other (please specify)",INDEX('Key Metrics'!N:N,MATCH(A201,'Key Metrics'!B:B,0)),INDEX(NYUAfillType,MATCH(A201,'Key Metrics'!B:B,0)))</f>
        <v>0</v>
      </c>
      <c r="R201" s="105" t="str">
        <f t="array" aca="1" ref="R201" ca="1">IF(INDEX('Key Metrics'!Q:Q,MATCH(A201,'Key Metrics'!B:B,0))="No","",INDEX('Key Metrics'!Q:Q,MATCH(A201,'Key Metrics'!B:B,0)))</f>
        <v/>
      </c>
      <c r="S201" s="106" t="str">
        <f t="shared" si="1"/>
        <v>Invite</v>
      </c>
      <c r="T201" s="107" t="s">
        <v>18</v>
      </c>
      <c r="U201" s="107" t="b">
        <v>0</v>
      </c>
      <c r="V201" s="107" t="b">
        <v>0</v>
      </c>
      <c r="W201" s="107" t="b">
        <v>0</v>
      </c>
      <c r="X201" s="108"/>
      <c r="Y201" s="106" t="str">
        <f t="array" ref="Y201">INDEX('DiT - 2022-2023 Applications Re'!U:U,MATCH(A201,'DiT - 2022-2023 Applications Re'!B:B,0))</f>
        <v>Invite</v>
      </c>
    </row>
    <row r="202" spans="1:25" ht="55">
      <c r="A202" s="109" t="s">
        <v>260</v>
      </c>
      <c r="B202" s="86" t="str">
        <f t="array" ref="B202">INDEX(Interview,MATCH(A202,Name,0))</f>
        <v>Invite</v>
      </c>
      <c r="C202" s="86" t="str">
        <f t="array" ref="C202">INDEX(Track,MATCH(A202,Name,0))</f>
        <v>Digital Tech</v>
      </c>
      <c r="D202" s="87">
        <f t="array" ref="D202">INDEX(Score,MATCH(A202,Name,0))</f>
        <v>4.5</v>
      </c>
      <c r="E202" s="88">
        <f t="array" aca="1" ref="E202" ca="1">INDEX(Date,MATCH(A202,Name,0))</f>
        <v>44776</v>
      </c>
      <c r="F202" s="86" t="s">
        <v>13341</v>
      </c>
      <c r="G202" s="86" t="s">
        <v>13371</v>
      </c>
      <c r="H202" s="86" t="str">
        <f t="array" aca="1" ref="H202" ca="1">IFERROR(INDEX('2022-2023 Third Reviews'!K:K,MATCH(A202,'2022-2023 Third Reviews'!C:C,0)),"")</f>
        <v>John McDonald
3</v>
      </c>
      <c r="I202" s="89" t="s">
        <v>11419</v>
      </c>
      <c r="J202" s="89" t="s">
        <v>11420</v>
      </c>
      <c r="K202" s="89">
        <f t="array" aca="1" ref="K202" ca="1">IFERROR(INDEX('2022-2023 Third Reviews'!L:L,MATCH(A202,'2022-2023 Third Reviews'!C:C,0)),"")</f>
        <v>0</v>
      </c>
      <c r="L202" s="90">
        <f t="array" ref="L202">INDEX(AppNotes,MATCH(A202,Name,0))</f>
        <v>0</v>
      </c>
      <c r="M202" s="91" t="str">
        <f t="array" aca="1" ref="M202" ca="1">INDEX(Team,MATCH(A202,'Key Metrics'!B:B,0))</f>
        <v>Man, Woman, Man, Man</v>
      </c>
      <c r="N202" s="87" t="str">
        <f t="array" aca="1" ref="N202" ca="1">IF(INDEX('Key Metrics'!F:F,MATCH(A202,'Key Metrics'!B:B,0))="Woman","Yes","")</f>
        <v/>
      </c>
      <c r="O202" s="87" t="str">
        <f t="shared" ca="1" si="0"/>
        <v>Yes</v>
      </c>
      <c r="P202" s="92" t="str">
        <f t="array" ref="P202">INDEX(Referral,MATCH(A202,Name,0))</f>
        <v>Khoa Ma</v>
      </c>
      <c r="Q202" s="92" t="str">
        <f t="array" aca="1" ref="Q202" ca="1">IF(INDEX(NYUAfillType,MATCH(A202,'Key Metrics'!B:B,0))="Other (please specify)",INDEX('Key Metrics'!N:N,MATCH(A202,'Key Metrics'!B:B,0)),INDEX(NYUAfillType,MATCH(A202,'Key Metrics'!B:B,0)))</f>
        <v>Former NYU Fellow/Faculty/Staff</v>
      </c>
      <c r="R202" s="93" t="str">
        <f t="array" aca="1" ref="R202" ca="1">IF(INDEX('Key Metrics'!Q:Q,MATCH(A202,'Key Metrics'!B:B,0))="No","",INDEX('Key Metrics'!Q:Q,MATCH(A202,'Key Metrics'!B:B,0)))</f>
        <v>Yes</v>
      </c>
      <c r="S202" s="94" t="str">
        <f t="shared" si="1"/>
        <v>Invite</v>
      </c>
      <c r="T202" s="95" t="s">
        <v>18</v>
      </c>
      <c r="U202" s="95" t="b">
        <v>0</v>
      </c>
      <c r="V202" s="95" t="b">
        <v>0</v>
      </c>
      <c r="W202" s="95" t="b">
        <v>0</v>
      </c>
      <c r="X202" s="96"/>
      <c r="Y202" s="94" t="str">
        <f t="array" ref="Y202">INDEX('DiT - 2022-2023 Applications Re'!U:U,MATCH(A202,'DiT - 2022-2023 Applications Re'!B:B,0))</f>
        <v>Invite</v>
      </c>
    </row>
    <row r="203" spans="1:25" ht="44" hidden="1">
      <c r="A203" s="97" t="s">
        <v>261</v>
      </c>
      <c r="B203" s="98" t="str">
        <f t="array" ref="B203">INDEX(Interview,MATCH(A203,Name,0))</f>
        <v>Invite</v>
      </c>
      <c r="C203" s="98" t="str">
        <f t="array" ref="C203">INDEX(Track,MATCH(A203,Name,0))</f>
        <v>Digital Tech</v>
      </c>
      <c r="D203" s="99">
        <f t="array" ref="D203">INDEX(Score,MATCH(A203,Name,0))</f>
        <v>4.25</v>
      </c>
      <c r="E203" s="100">
        <f t="array" aca="1" ref="E203" ca="1">INDEX(Date,MATCH(A203,Name,0))</f>
        <v>44797</v>
      </c>
      <c r="F203" s="98" t="s">
        <v>13351</v>
      </c>
      <c r="G203" s="98" t="s">
        <v>13321</v>
      </c>
      <c r="H203" s="98" t="str">
        <f t="array" ref="H203">IFERROR(INDEX('2022-2023 Third Reviews'!K:K,MATCH(A203,'2022-2023 Third Reviews'!C:C,0)),"")</f>
        <v/>
      </c>
      <c r="I203" s="101" t="s">
        <v>1518</v>
      </c>
      <c r="J203" s="101" t="s">
        <v>10648</v>
      </c>
      <c r="K203" s="101" t="str">
        <f t="array" ref="K203">IFERROR(INDEX('2022-2023 Third Reviews'!L:L,MATCH(A203,'2022-2023 Third Reviews'!C:C,0)),"")</f>
        <v/>
      </c>
      <c r="L203" s="102">
        <f t="array" ref="L203">INDEX(AppNotes,MATCH(A203,Name,0))</f>
        <v>0</v>
      </c>
      <c r="M203" s="103" t="str">
        <f t="array" aca="1" ref="M203" ca="1">INDEX(Team,MATCH(A203,'Key Metrics'!B:B,0))</f>
        <v>Other, Man</v>
      </c>
      <c r="N203" s="99" t="str">
        <f t="array" aca="1" ref="N203" ca="1">IF(INDEX('Key Metrics'!F:F,MATCH(A203,'Key Metrics'!B:B,0))="Woman","Yes","")</f>
        <v/>
      </c>
      <c r="O203" s="99" t="str">
        <f t="shared" ca="1" si="0"/>
        <v/>
      </c>
      <c r="P203" s="104">
        <f t="array" ref="P203">INDEX(Referral,MATCH(A203,Name,0))</f>
        <v>0</v>
      </c>
      <c r="Q203" s="104">
        <f t="array" aca="1" ref="Q203" ca="1">IF(INDEX(NYUAfillType,MATCH(A203,'Key Metrics'!B:B,0))="Other (please specify)",INDEX('Key Metrics'!N:N,MATCH(A203,'Key Metrics'!B:B,0)),INDEX(NYUAfillType,MATCH(A203,'Key Metrics'!B:B,0)))</f>
        <v>0</v>
      </c>
      <c r="R203" s="105" t="str">
        <f t="array" aca="1" ref="R203" ca="1">IF(INDEX('Key Metrics'!Q:Q,MATCH(A203,'Key Metrics'!B:B,0))="No","",INDEX('Key Metrics'!Q:Q,MATCH(A203,'Key Metrics'!B:B,0)))</f>
        <v/>
      </c>
      <c r="S203" s="106" t="str">
        <f t="shared" si="1"/>
        <v>Invite</v>
      </c>
      <c r="T203" s="107" t="s">
        <v>18</v>
      </c>
      <c r="U203" s="107" t="b">
        <v>0</v>
      </c>
      <c r="V203" s="107" t="b">
        <v>0</v>
      </c>
      <c r="W203" s="107" t="b">
        <v>0</v>
      </c>
      <c r="X203" s="108"/>
      <c r="Y203" s="106" t="str">
        <f t="array" ref="Y203">INDEX('DiT - 2022-2023 Applications Re'!U:U,MATCH(A203,'DiT - 2022-2023 Applications Re'!B:B,0))</f>
        <v>Invite</v>
      </c>
    </row>
    <row r="204" spans="1:25" ht="66" hidden="1">
      <c r="A204" s="109" t="s">
        <v>262</v>
      </c>
      <c r="B204" s="86" t="str">
        <f t="array" ref="B204">INDEX(Interview,MATCH(A204,Name,0))</f>
        <v>Invite</v>
      </c>
      <c r="C204" s="86" t="str">
        <f t="array" ref="C204">INDEX(Track,MATCH(A204,Name,0))</f>
        <v>Digital Tech</v>
      </c>
      <c r="D204" s="87">
        <f t="array" ref="D204">INDEX(Score,MATCH(A204,Name,0))</f>
        <v>4</v>
      </c>
      <c r="E204" s="88">
        <f t="array" aca="1" ref="E204" ca="1">INDEX(Date,MATCH(A204,Name,0))</f>
        <v>44776</v>
      </c>
      <c r="F204" s="86" t="s">
        <v>13337</v>
      </c>
      <c r="G204" s="86" t="s">
        <v>13349</v>
      </c>
      <c r="H204" s="86" t="str">
        <f t="array" aca="1" ref="H204" ca="1">IFERROR(INDEX('2022-2023 Third Reviews'!K:K,MATCH(A204,'2022-2023 Third Reviews'!C:C,0)),"")</f>
        <v>Chris Millisits
1</v>
      </c>
      <c r="I204" s="89" t="s">
        <v>1526</v>
      </c>
      <c r="J204" s="89" t="s">
        <v>1527</v>
      </c>
      <c r="K204" s="89" t="str">
        <f t="array" aca="1" ref="K204" ca="1">IFERROR(INDEX('2022-2023 Third Reviews'!L:L,MATCH(A204,'2022-2023 Third Reviews'!C:C,0)),"")</f>
        <v>Hyper competitive industry. Founder has limited work experience, especially in AI.</v>
      </c>
      <c r="L204" s="90" t="str">
        <f t="array" ref="L204">INDEX(AppNotes,MATCH(A204,Name,0))</f>
        <v>ask in interview about openness to sharing company information</v>
      </c>
      <c r="M204" s="91" t="str">
        <f t="array" aca="1" ref="M204" ca="1">INDEX(Team,MATCH(A204,'Key Metrics'!B:B,0))</f>
        <v>Man, Man</v>
      </c>
      <c r="N204" s="87" t="str">
        <f t="array" aca="1" ref="N204" ca="1">IF(INDEX('Key Metrics'!F:F,MATCH(A204,'Key Metrics'!B:B,0))="Woman","Yes","")</f>
        <v/>
      </c>
      <c r="O204" s="87" t="str">
        <f t="shared" ca="1" si="0"/>
        <v/>
      </c>
      <c r="P204" s="92">
        <f t="array" ref="P204">INDEX(Referral,MATCH(A204,Name,0))</f>
        <v>0</v>
      </c>
      <c r="Q204" s="92">
        <f t="array" aca="1" ref="Q204" ca="1">IF(INDEX(NYUAfillType,MATCH(A204,'Key Metrics'!B:B,0))="Other (please specify)",INDEX('Key Metrics'!N:N,MATCH(A204,'Key Metrics'!B:B,0)),INDEX(NYUAfillType,MATCH(A204,'Key Metrics'!B:B,0)))</f>
        <v>0</v>
      </c>
      <c r="R204" s="93" t="str">
        <f t="array" aca="1" ref="R204" ca="1">IF(INDEX('Key Metrics'!Q:Q,MATCH(A204,'Key Metrics'!B:B,0))="No","",INDEX('Key Metrics'!Q:Q,MATCH(A204,'Key Metrics'!B:B,0)))</f>
        <v/>
      </c>
      <c r="S204" s="94" t="str">
        <f t="shared" si="1"/>
        <v>Invite</v>
      </c>
      <c r="T204" s="95" t="s">
        <v>18</v>
      </c>
      <c r="U204" s="95" t="b">
        <v>0</v>
      </c>
      <c r="V204" s="95" t="b">
        <v>0</v>
      </c>
      <c r="W204" s="95" t="b">
        <v>0</v>
      </c>
      <c r="X204" s="96"/>
      <c r="Y204" s="94" t="str">
        <f t="array" ref="Y204">INDEX('DiT - 2022-2023 Applications Re'!U:U,MATCH(A204,'DiT - 2022-2023 Applications Re'!B:B,0))</f>
        <v>Invite</v>
      </c>
    </row>
    <row r="205" spans="1:25" ht="33" hidden="1">
      <c r="A205" s="97" t="s">
        <v>263</v>
      </c>
      <c r="B205" s="98" t="str">
        <f t="array" ref="B205">INDEX(Interview,MATCH(A205,Name,0))</f>
        <v>Invite</v>
      </c>
      <c r="C205" s="98" t="str">
        <f t="array" ref="C205">INDEX(Track,MATCH(A205,Name,0))</f>
        <v>Digital Tech</v>
      </c>
      <c r="D205" s="99">
        <f t="array" ref="D205">INDEX(Score,MATCH(A205,Name,0))</f>
        <v>4</v>
      </c>
      <c r="E205" s="100">
        <f t="array" aca="1" ref="E205" ca="1">INDEX(Date,MATCH(A205,Name,0))</f>
        <v>44796</v>
      </c>
      <c r="F205" s="98" t="s">
        <v>13304</v>
      </c>
      <c r="G205" s="98" t="s">
        <v>13354</v>
      </c>
      <c r="H205" s="98" t="str">
        <f t="array" ref="H205">IFERROR(INDEX('2022-2023 Third Reviews'!K:K,MATCH(A205,'2022-2023 Third Reviews'!C:C,0)),"")</f>
        <v/>
      </c>
      <c r="I205" s="101" t="s">
        <v>11090</v>
      </c>
      <c r="J205" s="101" t="s">
        <v>4108</v>
      </c>
      <c r="K205" s="101" t="str">
        <f t="array" ref="K205">IFERROR(INDEX('2022-2023 Third Reviews'!L:L,MATCH(A205,'2022-2023 Third Reviews'!C:C,0)),"")</f>
        <v/>
      </c>
      <c r="L205" s="102">
        <f t="array" ref="L205">INDEX(AppNotes,MATCH(A205,Name,0))</f>
        <v>0</v>
      </c>
      <c r="M205" s="103" t="str">
        <f t="array" aca="1" ref="M205" ca="1">INDEX(Team,MATCH(A205,'Key Metrics'!B:B,0))</f>
        <v>Man, Woman, Man</v>
      </c>
      <c r="N205" s="99" t="str">
        <f t="array" aca="1" ref="N205" ca="1">IF(INDEX('Key Metrics'!F:F,MATCH(A205,'Key Metrics'!B:B,0))="Woman","Yes","")</f>
        <v/>
      </c>
      <c r="O205" s="99" t="str">
        <f t="shared" ca="1" si="0"/>
        <v>Yes</v>
      </c>
      <c r="P205" s="104" t="str">
        <f t="array" ref="P205">INDEX(Referral,MATCH(A205,Name,0))</f>
        <v>Chris Mosher, Ph.D.</v>
      </c>
      <c r="Q205" s="104">
        <f t="array" aca="1" ref="Q205" ca="1">IF(INDEX(NYUAfillType,MATCH(A205,'Key Metrics'!B:B,0))="Other (please specify)",INDEX('Key Metrics'!N:N,MATCH(A205,'Key Metrics'!B:B,0)),INDEX(NYUAfillType,MATCH(A205,'Key Metrics'!B:B,0)))</f>
        <v>0</v>
      </c>
      <c r="R205" s="105" t="str">
        <f t="array" aca="1" ref="R205" ca="1">IF(INDEX('Key Metrics'!Q:Q,MATCH(A205,'Key Metrics'!B:B,0))="No","",INDEX('Key Metrics'!Q:Q,MATCH(A205,'Key Metrics'!B:B,0)))</f>
        <v/>
      </c>
      <c r="S205" s="106" t="str">
        <f t="shared" si="1"/>
        <v>Invite Next Year</v>
      </c>
      <c r="T205" s="107" t="s">
        <v>24</v>
      </c>
      <c r="U205" s="107" t="b">
        <v>0</v>
      </c>
      <c r="V205" s="107" t="b">
        <v>0</v>
      </c>
      <c r="W205" s="107" t="b">
        <v>0</v>
      </c>
      <c r="X205" s="108"/>
      <c r="Y205" s="106" t="str">
        <f t="array" ref="Y205">INDEX('DiT - 2022-2023 Applications Re'!U:U,MATCH(A205,'DiT - 2022-2023 Applications Re'!B:B,0))</f>
        <v>Invite Next Year</v>
      </c>
    </row>
    <row r="206" spans="1:25" ht="33" hidden="1">
      <c r="A206" s="109" t="s">
        <v>264</v>
      </c>
      <c r="B206" s="86" t="str">
        <f t="array" ref="B206">INDEX(Interview,MATCH(A206,Name,0))</f>
        <v>Invite</v>
      </c>
      <c r="C206" s="86" t="str">
        <f t="array" ref="C206">INDEX(Track,MATCH(A206,Name,0))</f>
        <v>Digital Tech</v>
      </c>
      <c r="D206" s="87">
        <f t="array" ref="D206">INDEX(Score,MATCH(A206,Name,0))</f>
        <v>4</v>
      </c>
      <c r="E206" s="88">
        <f t="array" aca="1" ref="E206" ca="1">INDEX(Date,MATCH(A206,Name,0))</f>
        <v>44789</v>
      </c>
      <c r="F206" s="86" t="s">
        <v>13329</v>
      </c>
      <c r="G206" s="86" t="s">
        <v>13312</v>
      </c>
      <c r="H206" s="86" t="str">
        <f t="array" aca="1" ref="H206" ca="1">IFERROR(INDEX('2022-2023 Third Reviews'!K:K,MATCH(A206,'2022-2023 Third Reviews'!C:C,0)),"")</f>
        <v>Chris Millisits
3</v>
      </c>
      <c r="I206" s="89" t="s">
        <v>4117</v>
      </c>
      <c r="J206" s="89" t="s">
        <v>10901</v>
      </c>
      <c r="K206" s="89" t="str">
        <f t="array" aca="1" ref="K206" ca="1">IFERROR(INDEX('2022-2023 Third Reviews'!L:L,MATCH(A206,'2022-2023 Third Reviews'!C:C,0)),"")</f>
        <v>Team has moderate experience in the industry. Technology's potential is interesting, but the ability to deliver is in question - especially given the revenue split is 60% SaaS and 40% consulting work.</v>
      </c>
      <c r="L206" s="90" t="str">
        <f t="array" ref="L206">INDEX(AppNotes,MATCH(A206,Name,0))</f>
        <v>applied last year; gained new customers from last app; starting to build more US partnerships; not stellar, but worth another look this year</v>
      </c>
      <c r="M206" s="91" t="str">
        <f t="array" aca="1" ref="M206" ca="1">INDEX(Team,MATCH(A206,'Key Metrics'!B:B,0))</f>
        <v>Man, Man, Man</v>
      </c>
      <c r="N206" s="87" t="str">
        <f t="array" aca="1" ref="N206" ca="1">IF(INDEX('Key Metrics'!F:F,MATCH(A206,'Key Metrics'!B:B,0))="Woman","Yes","")</f>
        <v/>
      </c>
      <c r="O206" s="87" t="str">
        <f t="shared" ca="1" si="0"/>
        <v/>
      </c>
      <c r="P206" s="92" t="str">
        <f t="array" ref="P206">INDEX(Referral,MATCH(A206,Name,0))</f>
        <v>Fernando Gomez-Baquero</v>
      </c>
      <c r="Q206" s="92">
        <f t="array" aca="1" ref="Q206" ca="1">IF(INDEX(NYUAfillType,MATCH(A206,'Key Metrics'!B:B,0))="Other (please specify)",INDEX('Key Metrics'!N:N,MATCH(A206,'Key Metrics'!B:B,0)),INDEX(NYUAfillType,MATCH(A206,'Key Metrics'!B:B,0)))</f>
        <v>0</v>
      </c>
      <c r="R206" s="93" t="str">
        <f t="array" aca="1" ref="R206" ca="1">IF(INDEX('Key Metrics'!Q:Q,MATCH(A206,'Key Metrics'!B:B,0))="No","",INDEX('Key Metrics'!Q:Q,MATCH(A206,'Key Metrics'!B:B,0)))</f>
        <v>Yes</v>
      </c>
      <c r="S206" s="94" t="str">
        <f t="shared" si="1"/>
        <v>Invite Next Year</v>
      </c>
      <c r="T206" s="95" t="s">
        <v>24</v>
      </c>
      <c r="U206" s="95" t="b">
        <v>0</v>
      </c>
      <c r="V206" s="95" t="b">
        <v>0</v>
      </c>
      <c r="W206" s="95" t="b">
        <v>0</v>
      </c>
      <c r="X206" s="96"/>
      <c r="Y206" s="94" t="str">
        <f t="array" ref="Y206">INDEX('DiT - 2022-2023 Applications Re'!U:U,MATCH(A206,'DiT - 2022-2023 Applications Re'!B:B,0))</f>
        <v>Invite Next Year</v>
      </c>
    </row>
    <row r="207" spans="1:25" ht="22" hidden="1">
      <c r="A207" s="97" t="s">
        <v>265</v>
      </c>
      <c r="B207" s="98" t="str">
        <f t="array" ref="B207">INDEX(Interview,MATCH(A207,Name,0))</f>
        <v>Invite</v>
      </c>
      <c r="C207" s="98" t="str">
        <f t="array" ref="C207">INDEX(Track,MATCH(A207,Name,0))</f>
        <v>Digital Tech</v>
      </c>
      <c r="D207" s="99">
        <f t="array" ref="D207">INDEX(Score,MATCH(A207,Name,0))</f>
        <v>4</v>
      </c>
      <c r="E207" s="100">
        <f t="array" aca="1" ref="E207" ca="1">INDEX(Date,MATCH(A207,Name,0))</f>
        <v>44796</v>
      </c>
      <c r="F207" s="98" t="s">
        <v>13304</v>
      </c>
      <c r="G207" s="98" t="s">
        <v>13354</v>
      </c>
      <c r="H207" s="98" t="str">
        <f t="array" ref="H207">IFERROR(INDEX('2022-2023 Third Reviews'!K:K,MATCH(A207,'2022-2023 Third Reviews'!C:C,0)),"")</f>
        <v/>
      </c>
      <c r="I207" s="101" t="s">
        <v>10266</v>
      </c>
      <c r="J207" s="101" t="s">
        <v>4127</v>
      </c>
      <c r="K207" s="101" t="str">
        <f t="array" ref="K207">IFERROR(INDEX('2022-2023 Third Reviews'!L:L,MATCH(A207,'2022-2023 Third Reviews'!C:C,0)),"")</f>
        <v/>
      </c>
      <c r="L207" s="102">
        <f t="array" ref="L207">INDEX(AppNotes,MATCH(A207,Name,0))</f>
        <v>0</v>
      </c>
      <c r="M207" s="103" t="str">
        <f t="array" aca="1" ref="M207" ca="1">INDEX(Team,MATCH(A207,'Key Metrics'!B:B,0))</f>
        <v>Man, Man</v>
      </c>
      <c r="N207" s="99" t="str">
        <f t="array" aca="1" ref="N207" ca="1">IF(INDEX('Key Metrics'!F:F,MATCH(A207,'Key Metrics'!B:B,0))="Woman","Yes","")</f>
        <v/>
      </c>
      <c r="O207" s="99" t="str">
        <f t="shared" ca="1" si="0"/>
        <v/>
      </c>
      <c r="P207" s="104" t="str">
        <f t="array" ref="P207">INDEX(Referral,MATCH(A207,Name,0))</f>
        <v>Beth Xie</v>
      </c>
      <c r="Q207" s="104" t="str">
        <f t="array" aca="1" ref="Q207" ca="1">IF(INDEX(NYUAfillType,MATCH(A207,'Key Metrics'!B:B,0))="Other (please specify)",INDEX('Key Metrics'!N:N,MATCH(A207,'Key Metrics'!B:B,0)),INDEX(NYUAfillType,MATCH(A207,'Key Metrics'!B:B,0)))</f>
        <v>NYU Alumni</v>
      </c>
      <c r="R207" s="105" t="str">
        <f t="array" aca="1" ref="R207" ca="1">IF(INDEX('Key Metrics'!Q:Q,MATCH(A207,'Key Metrics'!B:B,0))="No","",INDEX('Key Metrics'!Q:Q,MATCH(A207,'Key Metrics'!B:B,0)))</f>
        <v/>
      </c>
      <c r="S207" s="106" t="str">
        <f t="shared" si="1"/>
        <v>Invite Next Year</v>
      </c>
      <c r="T207" s="107" t="s">
        <v>24</v>
      </c>
      <c r="U207" s="107" t="b">
        <v>0</v>
      </c>
      <c r="V207" s="107" t="b">
        <v>0</v>
      </c>
      <c r="W207" s="107" t="b">
        <v>0</v>
      </c>
      <c r="X207" s="108"/>
      <c r="Y207" s="106" t="str">
        <f t="array" ref="Y207">INDEX('DiT - 2022-2023 Applications Re'!U:U,MATCH(A207,'DiT - 2022-2023 Applications Re'!B:B,0))</f>
        <v>Invite Next Year</v>
      </c>
    </row>
    <row r="208" spans="1:25" ht="44" hidden="1">
      <c r="A208" s="109" t="s">
        <v>266</v>
      </c>
      <c r="B208" s="86" t="str">
        <f t="array" ref="B208">INDEX(Interview,MATCH(A208,Name,0))</f>
        <v>Invite</v>
      </c>
      <c r="C208" s="86" t="str">
        <f t="array" ref="C208">INDEX(Track,MATCH(A208,Name,0))</f>
        <v>Digital Tech</v>
      </c>
      <c r="D208" s="87">
        <f t="array" ref="D208">INDEX(Score,MATCH(A208,Name,0))</f>
        <v>4.25</v>
      </c>
      <c r="E208" s="88">
        <f t="array" aca="1" ref="E208" ca="1">INDEX(Date,MATCH(A208,Name,0))</f>
        <v>44784</v>
      </c>
      <c r="F208" s="86" t="s">
        <v>13329</v>
      </c>
      <c r="G208" s="86" t="s">
        <v>13371</v>
      </c>
      <c r="H208" s="86" t="str">
        <f t="array" aca="1" ref="H208" ca="1">IFERROR(INDEX('2022-2023 Third Reviews'!K:K,MATCH(A208,'2022-2023 Third Reviews'!C:C,0)),"")</f>
        <v>Chris Millisits
4</v>
      </c>
      <c r="I208" s="89" t="s">
        <v>1534</v>
      </c>
      <c r="J208" s="89" t="s">
        <v>481</v>
      </c>
      <c r="K208" s="89" t="str">
        <f t="array" aca="1" ref="K208" ca="1">IFERROR(INDEX('2022-2023 Third Reviews'!L:L,MATCH(A208,'2022-2023 Third Reviews'!C:C,0)),"")</f>
        <v>CEO has relevant experience, seems like a novel approach compared to competitors. Non-trivial market size.</v>
      </c>
      <c r="L208" s="90" t="str">
        <f t="array" ref="L208">INDEX(AppNotes,MATCH(A208,Name,0))</f>
        <v>Not usually a terribly exciting field, but a novel and unique idea; provides insurance on AI decisions; new idea in a growing field; strong founding team; sophistacted math in idea; new market: challenge would be convincing customers, currently no revenue</v>
      </c>
      <c r="M208" s="91" t="str">
        <f t="array" aca="1" ref="M208" ca="1">INDEX(Team,MATCH(A208,'Key Metrics'!B:B,0))</f>
        <v>Man, Man, Man</v>
      </c>
      <c r="N208" s="87" t="str">
        <f t="array" aca="1" ref="N208" ca="1">IF(INDEX('Key Metrics'!F:F,MATCH(A208,'Key Metrics'!B:B,0))="Woman","Yes","")</f>
        <v/>
      </c>
      <c r="O208" s="87" t="str">
        <f t="shared" ca="1" si="0"/>
        <v/>
      </c>
      <c r="P208" s="92" t="str">
        <f t="array" ref="P208">INDEX(Referral,MATCH(A208,Name,0))</f>
        <v>Ron Lennox</v>
      </c>
      <c r="Q208" s="92" t="str">
        <f t="array" aca="1" ref="Q208" ca="1">IF(INDEX(NYUAfillType,MATCH(A208,'Key Metrics'!B:B,0))="Other (please specify)",INDEX('Key Metrics'!N:N,MATCH(A208,'Key Metrics'!B:B,0)),INDEX(NYUAfillType,MATCH(A208,'Key Metrics'!B:B,0)))</f>
        <v>Former NYU Fellow/Faculty/Staff</v>
      </c>
      <c r="R208" s="93" t="str">
        <f t="array" aca="1" ref="R208" ca="1">IF(INDEX('Key Metrics'!Q:Q,MATCH(A208,'Key Metrics'!B:B,0))="No","",INDEX('Key Metrics'!Q:Q,MATCH(A208,'Key Metrics'!B:B,0)))</f>
        <v/>
      </c>
      <c r="S208" s="94" t="str">
        <f t="shared" si="1"/>
        <v>Invite</v>
      </c>
      <c r="T208" s="95" t="s">
        <v>18</v>
      </c>
      <c r="U208" s="95" t="b">
        <v>0</v>
      </c>
      <c r="V208" s="95" t="b">
        <v>0</v>
      </c>
      <c r="W208" s="95" t="b">
        <v>0</v>
      </c>
      <c r="X208" s="96"/>
      <c r="Y208" s="94" t="str">
        <f t="array" ref="Y208">INDEX('DiT - 2022-2023 Applications Re'!U:U,MATCH(A208,'DiT - 2022-2023 Applications Re'!B:B,0))</f>
        <v>Invite</v>
      </c>
    </row>
    <row r="209" spans="1:25" ht="66" hidden="1">
      <c r="A209" s="97" t="s">
        <v>267</v>
      </c>
      <c r="B209" s="98" t="str">
        <f t="array" ref="B209">INDEX(Interview,MATCH(A209,Name,0))</f>
        <v>Invite</v>
      </c>
      <c r="C209" s="98" t="str">
        <f t="array" ref="C209">INDEX(Track,MATCH(A209,Name,0))</f>
        <v>Digital Tech</v>
      </c>
      <c r="D209" s="99">
        <f t="array" ref="D209">INDEX(Score,MATCH(A209,Name,0))</f>
        <v>3.75</v>
      </c>
      <c r="E209" s="100">
        <f t="array" aca="1" ref="E209" ca="1">INDEX(Date,MATCH(A209,Name,0))</f>
        <v>44789</v>
      </c>
      <c r="F209" s="98" t="s">
        <v>13386</v>
      </c>
      <c r="G209" s="98" t="s">
        <v>13337</v>
      </c>
      <c r="H209" s="98" t="str">
        <f t="array" aca="1" ref="H209" ca="1">IFERROR(INDEX('2022-2023 Third Reviews'!K:K,MATCH(A209,'2022-2023 Third Reviews'!C:C,0)),"")</f>
        <v>Chris Millisits
3</v>
      </c>
      <c r="I209" s="101" t="s">
        <v>1543</v>
      </c>
      <c r="J209" s="101" t="s">
        <v>10742</v>
      </c>
      <c r="K209" s="101" t="str">
        <f t="array" aca="1" ref="K209" ca="1">IFERROR(INDEX('2022-2023 Third Reviews'!L:L,MATCH(A209,'2022-2023 Third Reviews'!C:C,0)),"")</f>
        <v>Novel solution with expansion potential. Team has been working in the lab on the solution. Whether there is sufficient market demand is a question mark.</v>
      </c>
      <c r="L209" s="102" t="str">
        <f t="array" ref="L209">INDEX(AppNotes,MATCH(A209,Name,0))</f>
        <v>would be useful for our founders in taking video and turning it into professional quality; if not interview, should we use them? have pre launch revenue</v>
      </c>
      <c r="M209" s="103" t="str">
        <f t="array" aca="1" ref="M209" ca="1">INDEX(Team,MATCH(A209,'Key Metrics'!B:B,0))</f>
        <v>Man, Man</v>
      </c>
      <c r="N209" s="99" t="str">
        <f t="array" aca="1" ref="N209" ca="1">IF(INDEX('Key Metrics'!F:F,MATCH(A209,'Key Metrics'!B:B,0))="Woman","Yes","")</f>
        <v/>
      </c>
      <c r="O209" s="99" t="str">
        <f t="shared" ca="1" si="0"/>
        <v/>
      </c>
      <c r="P209" s="104" t="str">
        <f t="array" ref="P209">INDEX(Referral,MATCH(A209,Name,0))</f>
        <v>Khoa Ma</v>
      </c>
      <c r="Q209" s="104" t="str">
        <f t="array" aca="1" ref="Q209" ca="1">IF(INDEX(NYUAfillType,MATCH(A209,'Key Metrics'!B:B,0))="Other (please specify)",INDEX('Key Metrics'!N:N,MATCH(A209,'Key Metrics'!B:B,0)),INDEX(NYUAfillType,MATCH(A209,'Key Metrics'!B:B,0)))</f>
        <v>NYU Alumni</v>
      </c>
      <c r="R209" s="105" t="str">
        <f t="array" aca="1" ref="R209" ca="1">IF(INDEX('Key Metrics'!Q:Q,MATCH(A209,'Key Metrics'!B:B,0))="No","",INDEX('Key Metrics'!Q:Q,MATCH(A209,'Key Metrics'!B:B,0)))</f>
        <v/>
      </c>
      <c r="S209" s="106" t="str">
        <f t="shared" si="1"/>
        <v>Invite</v>
      </c>
      <c r="T209" s="107" t="s">
        <v>18</v>
      </c>
      <c r="U209" s="107" t="b">
        <v>0</v>
      </c>
      <c r="V209" s="107" t="b">
        <v>0</v>
      </c>
      <c r="W209" s="107" t="b">
        <v>0</v>
      </c>
      <c r="X209" s="108"/>
      <c r="Y209" s="106" t="str">
        <f t="array" ref="Y209">INDEX('DiT - 2022-2023 Applications Re'!U:U,MATCH(A209,'DiT - 2022-2023 Applications Re'!B:B,0))</f>
        <v>Invite</v>
      </c>
    </row>
    <row r="210" spans="1:25" ht="77" hidden="1">
      <c r="A210" s="109" t="s">
        <v>268</v>
      </c>
      <c r="B210" s="86" t="str">
        <f t="array" ref="B210">INDEX(Interview,MATCH(A210,Name,0))</f>
        <v>Revisit/ Cluster</v>
      </c>
      <c r="C210" s="86" t="str">
        <f t="array" ref="C210">INDEX(Track,MATCH(A210,Name,0))</f>
        <v>Digital Tech</v>
      </c>
      <c r="D210" s="87">
        <f t="array" ref="D210">INDEX(Score,MATCH(A210,Name,0))</f>
        <v>4.25</v>
      </c>
      <c r="E210" s="88">
        <f t="array" aca="1" ref="E210" ca="1">INDEX(Date,MATCH(A210,Name,0))</f>
        <v>44796</v>
      </c>
      <c r="F210" s="86" t="s">
        <v>13319</v>
      </c>
      <c r="G210" s="86" t="s">
        <v>13328</v>
      </c>
      <c r="H210" s="86" t="str">
        <f t="array" ref="H210">IFERROR(INDEX('2022-2023 Third Reviews'!K:K,MATCH(A210,'2022-2023 Third Reviews'!C:C,0)),"")</f>
        <v/>
      </c>
      <c r="I210" s="89" t="s">
        <v>10357</v>
      </c>
      <c r="J210" s="89" t="s">
        <v>1552</v>
      </c>
      <c r="K210" s="89" t="str">
        <f t="array" ref="K210">IFERROR(INDEX('2022-2023 Third Reviews'!L:L,MATCH(A210,'2022-2023 Third Reviews'!C:C,0)),"")</f>
        <v/>
      </c>
      <c r="L210" s="90" t="str">
        <f t="array" ref="L210">INDEX(AppNotes,MATCH(A210,Name,0))</f>
        <v>change to DiT; wearable device and app; thryoid eye diseases/thyroid disease is target market; algorithim to Dx; app connects with telemedicine; 90% accuracy claimed in app, but did not show data; have applied for 27 patents (none yet granted); if 90% is true, amazing tech!</v>
      </c>
      <c r="M210" s="91" t="str">
        <f t="array" aca="1" ref="M210" ca="1">INDEX(Team,MATCH(A210,'Key Metrics'!B:B,0))</f>
        <v>Man, Man, Man, Man, Man</v>
      </c>
      <c r="N210" s="87" t="str">
        <f t="array" aca="1" ref="N210" ca="1">IF(INDEX('Key Metrics'!F:F,MATCH(A210,'Key Metrics'!B:B,0))="Woman","Yes","")</f>
        <v/>
      </c>
      <c r="O210" s="87" t="str">
        <f t="shared" ca="1" si="0"/>
        <v/>
      </c>
      <c r="P210" s="92">
        <f t="array" ref="P210">INDEX(Referral,MATCH(A210,Name,0))</f>
        <v>0</v>
      </c>
      <c r="Q210" s="92">
        <f t="array" aca="1" ref="Q210" ca="1">IF(INDEX(NYUAfillType,MATCH(A210,'Key Metrics'!B:B,0))="Other (please specify)",INDEX('Key Metrics'!N:N,MATCH(A210,'Key Metrics'!B:B,0)),INDEX(NYUAfillType,MATCH(A210,'Key Metrics'!B:B,0)))</f>
        <v>0</v>
      </c>
      <c r="R210" s="93" t="str">
        <f t="array" aca="1" ref="R210" ca="1">IF(INDEX('Key Metrics'!Q:Q,MATCH(A210,'Key Metrics'!B:B,0))="No","",INDEX('Key Metrics'!Q:Q,MATCH(A210,'Key Metrics'!B:B,0)))</f>
        <v/>
      </c>
      <c r="S210" s="94" t="str">
        <f t="shared" si="1"/>
        <v>Invite</v>
      </c>
      <c r="T210" s="95" t="s">
        <v>18</v>
      </c>
      <c r="U210" s="95" t="b">
        <v>0</v>
      </c>
      <c r="V210" s="95" t="b">
        <v>0</v>
      </c>
      <c r="W210" s="95" t="b">
        <v>0</v>
      </c>
      <c r="X210" s="96"/>
      <c r="Y210" s="94" t="str">
        <f t="array" ref="Y210">INDEX('DiT - 2022-2023 Applications Re'!U:U,MATCH(A210,'DiT - 2022-2023 Applications Re'!B:B,0))</f>
        <v>Invite</v>
      </c>
    </row>
    <row r="211" spans="1:25" ht="88" hidden="1">
      <c r="A211" s="97" t="s">
        <v>269</v>
      </c>
      <c r="B211" s="98" t="str">
        <f t="array" ref="B211">INDEX(Interview,MATCH(A211,Name,0))</f>
        <v>Invite</v>
      </c>
      <c r="C211" s="98" t="str">
        <f t="array" ref="C211">INDEX(Track,MATCH(A211,Name,0))</f>
        <v>Digital Tech</v>
      </c>
      <c r="D211" s="99">
        <f t="array" ref="D211">INDEX(Score,MATCH(A211,Name,0))</f>
        <v>4.25</v>
      </c>
      <c r="E211" s="100">
        <f t="array" aca="1" ref="E211" ca="1">INDEX(Date,MATCH(A211,Name,0))</f>
        <v>44797</v>
      </c>
      <c r="F211" s="98" t="s">
        <v>13351</v>
      </c>
      <c r="G211" s="98" t="s">
        <v>13307</v>
      </c>
      <c r="H211" s="98" t="str">
        <f t="array" ref="H211">IFERROR(INDEX('2022-2023 Third Reviews'!K:K,MATCH(A211,'2022-2023 Third Reviews'!C:C,0)),"")</f>
        <v/>
      </c>
      <c r="I211" s="101" t="s">
        <v>10512</v>
      </c>
      <c r="J211" s="101" t="s">
        <v>10513</v>
      </c>
      <c r="K211" s="101" t="str">
        <f t="array" ref="K211">IFERROR(INDEX('2022-2023 Third Reviews'!L:L,MATCH(A211,'2022-2023 Third Reviews'!C:C,0)),"")</f>
        <v/>
      </c>
      <c r="L211" s="102" t="str">
        <f t="array" ref="L211">INDEX(AppNotes,MATCH(A211,Name,0))</f>
        <v>from application, unclear as to why/how they were the first to develop something like this (should have already existed?); referral to Slyce Data; for interview: why is now the time to automate this process, why hasn't it done before, is there a need?</v>
      </c>
      <c r="M211" s="103" t="str">
        <f t="array" aca="1" ref="M211" ca="1">INDEX(Team,MATCH(A211,'Key Metrics'!B:B,0))</f>
        <v>Man, Man</v>
      </c>
      <c r="N211" s="99" t="str">
        <f t="array" aca="1" ref="N211" ca="1">IF(INDEX('Key Metrics'!F:F,MATCH(A211,'Key Metrics'!B:B,0))="Woman","Yes","")</f>
        <v/>
      </c>
      <c r="O211" s="99" t="str">
        <f t="shared" ca="1" si="0"/>
        <v/>
      </c>
      <c r="P211" s="104" t="str">
        <f t="array" ref="P211">INDEX(Referral,MATCH(A211,Name,0))</f>
        <v>Chris Harrison / Slyce Data</v>
      </c>
      <c r="Q211" s="104">
        <f t="array" aca="1" ref="Q211" ca="1">IF(INDEX(NYUAfillType,MATCH(A211,'Key Metrics'!B:B,0))="Other (please specify)",INDEX('Key Metrics'!N:N,MATCH(A211,'Key Metrics'!B:B,0)),INDEX(NYUAfillType,MATCH(A211,'Key Metrics'!B:B,0)))</f>
        <v>0</v>
      </c>
      <c r="R211" s="105" t="str">
        <f t="array" aca="1" ref="R211" ca="1">IF(INDEX('Key Metrics'!Q:Q,MATCH(A211,'Key Metrics'!B:B,0))="No","",INDEX('Key Metrics'!Q:Q,MATCH(A211,'Key Metrics'!B:B,0)))</f>
        <v/>
      </c>
      <c r="S211" s="106" t="str">
        <f t="shared" si="1"/>
        <v>Invite</v>
      </c>
      <c r="T211" s="107" t="s">
        <v>18</v>
      </c>
      <c r="U211" s="107" t="b">
        <v>0</v>
      </c>
      <c r="V211" s="107" t="b">
        <v>0</v>
      </c>
      <c r="W211" s="107" t="b">
        <v>0</v>
      </c>
      <c r="X211" s="108"/>
      <c r="Y211" s="106" t="str">
        <f t="array" ref="Y211">INDEX('DiT - 2022-2023 Applications Re'!U:U,MATCH(A211,'DiT - 2022-2023 Applications Re'!B:B,0))</f>
        <v>Invite</v>
      </c>
    </row>
    <row r="212" spans="1:25" ht="44" hidden="1">
      <c r="A212" s="109" t="s">
        <v>270</v>
      </c>
      <c r="B212" s="86" t="str">
        <f t="array" ref="B212">INDEX(Interview,MATCH(A212,Name,0))</f>
        <v>Invite</v>
      </c>
      <c r="C212" s="86" t="str">
        <f t="array" ref="C212">INDEX(Track,MATCH(A212,Name,0))</f>
        <v>Digital Tech</v>
      </c>
      <c r="D212" s="87">
        <f t="array" ref="D212">INDEX(Score,MATCH(A212,Name,0))</f>
        <v>4</v>
      </c>
      <c r="E212" s="88">
        <f t="array" aca="1" ref="E212" ca="1">INDEX(Date,MATCH(A212,Name,0))</f>
        <v>44797</v>
      </c>
      <c r="F212" s="86" t="s">
        <v>13354</v>
      </c>
      <c r="G212" s="86" t="s">
        <v>13321</v>
      </c>
      <c r="H212" s="86" t="str">
        <f t="array" ref="H212">IFERROR(INDEX('2022-2023 Third Reviews'!K:K,MATCH(A212,'2022-2023 Third Reviews'!C:C,0)),"")</f>
        <v/>
      </c>
      <c r="I212" s="89" t="s">
        <v>1568</v>
      </c>
      <c r="J212" s="89" t="s">
        <v>11151</v>
      </c>
      <c r="K212" s="89" t="str">
        <f t="array" ref="K212">IFERROR(INDEX('2022-2023 Third Reviews'!L:L,MATCH(A212,'2022-2023 Third Reviews'!C:C,0)),"")</f>
        <v/>
      </c>
      <c r="L212" s="90">
        <f t="array" ref="L212">INDEX(AppNotes,MATCH(A212,Name,0))</f>
        <v>0</v>
      </c>
      <c r="M212" s="91" t="str">
        <f t="array" aca="1" ref="M212" ca="1">INDEX(Team,MATCH(A212,'Key Metrics'!B:B,0))</f>
        <v>Man</v>
      </c>
      <c r="N212" s="87" t="str">
        <f t="array" aca="1" ref="N212" ca="1">IF(INDEX('Key Metrics'!F:F,MATCH(A212,'Key Metrics'!B:B,0))="Woman","Yes","")</f>
        <v/>
      </c>
      <c r="O212" s="87" t="str">
        <f t="shared" ca="1" si="0"/>
        <v/>
      </c>
      <c r="P212" s="92">
        <f t="array" ref="P212">INDEX(Referral,MATCH(A212,Name,0))</f>
        <v>0</v>
      </c>
      <c r="Q212" s="92">
        <f t="array" aca="1" ref="Q212" ca="1">IF(INDEX(NYUAfillType,MATCH(A212,'Key Metrics'!B:B,0))="Other (please specify)",INDEX('Key Metrics'!N:N,MATCH(A212,'Key Metrics'!B:B,0)),INDEX(NYUAfillType,MATCH(A212,'Key Metrics'!B:B,0)))</f>
        <v>0</v>
      </c>
      <c r="R212" s="93" t="str">
        <f t="array" aca="1" ref="R212" ca="1">IF(INDEX('Key Metrics'!Q:Q,MATCH(A212,'Key Metrics'!B:B,0))="No","",INDEX('Key Metrics'!Q:Q,MATCH(A212,'Key Metrics'!B:B,0)))</f>
        <v/>
      </c>
      <c r="S212" s="94" t="str">
        <f t="shared" si="1"/>
        <v>Invite</v>
      </c>
      <c r="T212" s="95" t="s">
        <v>18</v>
      </c>
      <c r="U212" s="95" t="b">
        <v>0</v>
      </c>
      <c r="V212" s="95" t="b">
        <v>0</v>
      </c>
      <c r="W212" s="95" t="b">
        <v>0</v>
      </c>
      <c r="X212" s="96"/>
      <c r="Y212" s="94" t="str">
        <f t="array" ref="Y212">INDEX('DiT - 2022-2023 Applications Re'!U:U,MATCH(A212,'DiT - 2022-2023 Applications Re'!B:B,0))</f>
        <v>Invite</v>
      </c>
    </row>
    <row r="213" spans="1:25" ht="55" hidden="1">
      <c r="A213" s="97" t="s">
        <v>271</v>
      </c>
      <c r="B213" s="98" t="str">
        <f t="array" ref="B213">INDEX(Interview,MATCH(A213,Name,0))</f>
        <v>Invite</v>
      </c>
      <c r="C213" s="98" t="str">
        <f t="array" ref="C213">INDEX(Track,MATCH(A213,Name,0))</f>
        <v>Digital Tech</v>
      </c>
      <c r="D213" s="99">
        <f t="array" ref="D213">INDEX(Score,MATCH(A213,Name,0))</f>
        <v>3.88</v>
      </c>
      <c r="E213" s="100">
        <f t="array" aca="1" ref="E213" ca="1">INDEX(Date,MATCH(A213,Name,0))</f>
        <v>44789</v>
      </c>
      <c r="F213" s="98" t="s">
        <v>13329</v>
      </c>
      <c r="G213" s="98" t="s">
        <v>13387</v>
      </c>
      <c r="H213" s="98" t="str">
        <f t="array" ref="H213">IFERROR(INDEX('2022-2023 Third Reviews'!K:K,MATCH(A213,'2022-2023 Third Reviews'!C:C,0)),"")</f>
        <v/>
      </c>
      <c r="I213" s="101" t="s">
        <v>4145</v>
      </c>
      <c r="J213" s="101" t="s">
        <v>4146</v>
      </c>
      <c r="K213" s="101" t="str">
        <f t="array" ref="K213">IFERROR(INDEX('2022-2023 Third Reviews'!L:L,MATCH(A213,'2022-2023 Third Reviews'!C:C,0)),"")</f>
        <v/>
      </c>
      <c r="L213" s="102" t="str">
        <f t="array" ref="L213">INDEX(AppNotes,MATCH(A213,Name,0))</f>
        <v>unusual company for EFL, almost antithesis to EFL fits; looking to expediate reentry; tech light but an exciting company with a true social impact cause; app suggests they're looking deep into their process, reevaluating and fine tuning based on feedback; strong momemtum so far</v>
      </c>
      <c r="M213" s="103" t="str">
        <f t="array" aca="1" ref="M213" ca="1">INDEX(Team,MATCH(A213,'Key Metrics'!B:B,0))</f>
        <v>Man, Man</v>
      </c>
      <c r="N213" s="99" t="str">
        <f t="array" aca="1" ref="N213" ca="1">IF(INDEX('Key Metrics'!F:F,MATCH(A213,'Key Metrics'!B:B,0))="Woman","Yes","")</f>
        <v/>
      </c>
      <c r="O213" s="99" t="str">
        <f t="shared" ca="1" si="0"/>
        <v/>
      </c>
      <c r="P213" s="104">
        <f t="array" ref="P213">INDEX(Referral,MATCH(A213,Name,0))</f>
        <v>0</v>
      </c>
      <c r="Q213" s="104">
        <f t="array" aca="1" ref="Q213" ca="1">IF(INDEX(NYUAfillType,MATCH(A213,'Key Metrics'!B:B,0))="Other (please specify)",INDEX('Key Metrics'!N:N,MATCH(A213,'Key Metrics'!B:B,0)),INDEX(NYUAfillType,MATCH(A213,'Key Metrics'!B:B,0)))</f>
        <v>0</v>
      </c>
      <c r="R213" s="105" t="str">
        <f t="array" aca="1" ref="R213" ca="1">IF(INDEX('Key Metrics'!Q:Q,MATCH(A213,'Key Metrics'!B:B,0))="No","",INDEX('Key Metrics'!Q:Q,MATCH(A213,'Key Metrics'!B:B,0)))</f>
        <v/>
      </c>
      <c r="S213" s="106" t="str">
        <f t="shared" si="1"/>
        <v>Invite Next Year</v>
      </c>
      <c r="T213" s="107" t="s">
        <v>24</v>
      </c>
      <c r="U213" s="107" t="b">
        <v>0</v>
      </c>
      <c r="V213" s="107" t="b">
        <v>0</v>
      </c>
      <c r="W213" s="107" t="b">
        <v>0</v>
      </c>
      <c r="X213" s="108"/>
      <c r="Y213" s="106" t="str">
        <f t="array" ref="Y213">INDEX('DiT - 2022-2023 Applications Re'!U:U,MATCH(A213,'DiT - 2022-2023 Applications Re'!B:B,0))</f>
        <v>Invite Next Year</v>
      </c>
    </row>
    <row r="214" spans="1:25" ht="44">
      <c r="A214" s="109" t="s">
        <v>272</v>
      </c>
      <c r="B214" s="86" t="str">
        <f t="array" ref="B214">INDEX(Interview,MATCH(A214,Name,0))</f>
        <v>Invite</v>
      </c>
      <c r="C214" s="86" t="str">
        <f t="array" ref="C214">INDEX(Track,MATCH(A214,Name,0))</f>
        <v>Digital Tech</v>
      </c>
      <c r="D214" s="87">
        <f t="array" ref="D214">INDEX(Score,MATCH(A214,Name,0))</f>
        <v>4</v>
      </c>
      <c r="E214" s="88">
        <f t="array" aca="1" ref="E214" ca="1">INDEX(Date,MATCH(A214,Name,0))</f>
        <v>44797</v>
      </c>
      <c r="F214" s="86" t="s">
        <v>13337</v>
      </c>
      <c r="G214" s="86" t="s">
        <v>13305</v>
      </c>
      <c r="H214" s="86" t="str">
        <f t="array" ref="H214">IFERROR(INDEX('2022-2023 Third Reviews'!K:K,MATCH(A214,'2022-2023 Third Reviews'!C:C,0)),"")</f>
        <v/>
      </c>
      <c r="I214" s="89" t="s">
        <v>10792</v>
      </c>
      <c r="J214" s="89" t="s">
        <v>10793</v>
      </c>
      <c r="K214" s="89" t="str">
        <f t="array" ref="K214">IFERROR(INDEX('2022-2023 Third Reviews'!L:L,MATCH(A214,'2022-2023 Third Reviews'!C:C,0)),"")</f>
        <v/>
      </c>
      <c r="L214" s="90">
        <f t="array" ref="L214">INDEX(AppNotes,MATCH(A214,Name,0))</f>
        <v>0</v>
      </c>
      <c r="M214" s="91" t="str">
        <f t="array" aca="1" ref="M214" ca="1">INDEX(Team,MATCH(A214,'Key Metrics'!B:B,0))</f>
        <v>Woman, Man, Man</v>
      </c>
      <c r="N214" s="87" t="str">
        <f t="array" aca="1" ref="N214" ca="1">IF(INDEX('Key Metrics'!F:F,MATCH(A214,'Key Metrics'!B:B,0))="Woman","Yes","")</f>
        <v>Yes</v>
      </c>
      <c r="O214" s="87" t="str">
        <f t="shared" ca="1" si="0"/>
        <v>Yes</v>
      </c>
      <c r="P214" s="92">
        <f t="array" ref="P214">INDEX(Referral,MATCH(A214,Name,0))</f>
        <v>0</v>
      </c>
      <c r="Q214" s="92">
        <f t="array" aca="1" ref="Q214" ca="1">IF(INDEX(NYUAfillType,MATCH(A214,'Key Metrics'!B:B,0))="Other (please specify)",INDEX('Key Metrics'!N:N,MATCH(A214,'Key Metrics'!B:B,0)),INDEX(NYUAfillType,MATCH(A214,'Key Metrics'!B:B,0)))</f>
        <v>0</v>
      </c>
      <c r="R214" s="93" t="str">
        <f t="array" aca="1" ref="R214" ca="1">IF(INDEX('Key Metrics'!Q:Q,MATCH(A214,'Key Metrics'!B:B,0))="No","",INDEX('Key Metrics'!Q:Q,MATCH(A214,'Key Metrics'!B:B,0)))</f>
        <v/>
      </c>
      <c r="S214" s="94" t="str">
        <f t="shared" si="1"/>
        <v>Invite</v>
      </c>
      <c r="T214" s="95" t="s">
        <v>18</v>
      </c>
      <c r="U214" s="95" t="b">
        <v>0</v>
      </c>
      <c r="V214" s="95" t="b">
        <v>0</v>
      </c>
      <c r="W214" s="95" t="b">
        <v>0</v>
      </c>
      <c r="X214" s="96"/>
      <c r="Y214" s="94" t="str">
        <f t="array" ref="Y214">INDEX('DiT - 2022-2023 Applications Re'!U:U,MATCH(A214,'DiT - 2022-2023 Applications Re'!B:B,0))</f>
        <v>Invite</v>
      </c>
    </row>
    <row r="215" spans="1:25" ht="44" hidden="1">
      <c r="A215" s="97" t="s">
        <v>273</v>
      </c>
      <c r="B215" s="98" t="str">
        <f t="array" ref="B215">INDEX(Interview,MATCH(A215,Name,0))</f>
        <v>Revisit/ Cluster</v>
      </c>
      <c r="C215" s="98" t="str">
        <f t="array" ref="C215">INDEX(Track,MATCH(A215,Name,0))</f>
        <v>Digital Tech</v>
      </c>
      <c r="D215" s="99">
        <f t="array" ref="D215">INDEX(Score,MATCH(A215,Name,0))</f>
        <v>3.88</v>
      </c>
      <c r="E215" s="100">
        <f t="array" aca="1" ref="E215" ca="1">INDEX(Date,MATCH(A215,Name,0))</f>
        <v>44782</v>
      </c>
      <c r="F215" s="98" t="s">
        <v>13388</v>
      </c>
      <c r="G215" s="98" t="s">
        <v>13349</v>
      </c>
      <c r="H215" s="98" t="str">
        <f t="array" aca="1" ref="H215" ca="1">IFERROR(INDEX('2022-2023 Third Reviews'!K:K,MATCH(A215,'2022-2023 Third Reviews'!C:C,0)),"")</f>
        <v>Jason Yu
3</v>
      </c>
      <c r="I215" s="101" t="s">
        <v>9509</v>
      </c>
      <c r="J215" s="101" t="s">
        <v>9510</v>
      </c>
      <c r="K215" s="101" t="str">
        <f t="array" aca="1" ref="K215" ca="1">IFERROR(INDEX('2022-2023 Third Reviews'!L:L,MATCH(A215,'2022-2023 Third Reviews'!C:C,0)),"")</f>
        <v>Biggest risks are 1) PMF challenges with crypto political fundraising, and 2) lack of consumer interest in the voting app.</v>
      </c>
      <c r="L215" s="102" t="str">
        <f t="array" ref="L215">INDEX(AppNotes,MATCH(A215,Name,0))</f>
        <v>founder has amassed stellar advisors from both political parties in donation spaces (company allows crypto to be used in political donations/fundraising). exciting and new space, invite to interview to see more about what this space is. does volatile cryto market make this unstable? bound by campaign finance laws, etc.</v>
      </c>
      <c r="M215" s="103" t="str">
        <f t="array" aca="1" ref="M215" ca="1">INDEX(Team,MATCH(A215,'Key Metrics'!B:B,0))</f>
        <v>Man, Man, Man</v>
      </c>
      <c r="N215" s="99" t="str">
        <f t="array" aca="1" ref="N215" ca="1">IF(INDEX('Key Metrics'!F:F,MATCH(A215,'Key Metrics'!B:B,0))="Woman","Yes","")</f>
        <v/>
      </c>
      <c r="O215" s="99" t="str">
        <f t="shared" ca="1" si="0"/>
        <v/>
      </c>
      <c r="P215" s="104">
        <f t="array" ref="P215">INDEX(Referral,MATCH(A215,Name,0))</f>
        <v>0</v>
      </c>
      <c r="Q215" s="104">
        <f t="array" aca="1" ref="Q215" ca="1">IF(INDEX(NYUAfillType,MATCH(A215,'Key Metrics'!B:B,0))="Other (please specify)",INDEX('Key Metrics'!N:N,MATCH(A215,'Key Metrics'!B:B,0)),INDEX(NYUAfillType,MATCH(A215,'Key Metrics'!B:B,0)))</f>
        <v>0</v>
      </c>
      <c r="R215" s="105" t="str">
        <f t="array" aca="1" ref="R215" ca="1">IF(INDEX('Key Metrics'!Q:Q,MATCH(A215,'Key Metrics'!B:B,0))="No","",INDEX('Key Metrics'!Q:Q,MATCH(A215,'Key Metrics'!B:B,0)))</f>
        <v/>
      </c>
      <c r="S215" s="106" t="str">
        <f t="shared" si="1"/>
        <v>Invite Next Year</v>
      </c>
      <c r="T215" s="107" t="s">
        <v>24</v>
      </c>
      <c r="U215" s="107" t="b">
        <v>0</v>
      </c>
      <c r="V215" s="107" t="b">
        <v>0</v>
      </c>
      <c r="W215" s="107" t="b">
        <v>0</v>
      </c>
      <c r="X215" s="108"/>
      <c r="Y215" s="106">
        <f t="array" ref="Y215">INDEX('DiT - 2022-2023 Applications Re'!U:U,MATCH(A215,'DiT - 2022-2023 Applications Re'!B:B,0))</f>
        <v>0</v>
      </c>
    </row>
    <row r="216" spans="1:25" ht="55" hidden="1">
      <c r="A216" s="109" t="s">
        <v>274</v>
      </c>
      <c r="B216" s="86" t="str">
        <f t="array" ref="B216">INDEX(Interview,MATCH(A216,Name,0))</f>
        <v>Revisit</v>
      </c>
      <c r="C216" s="86" t="str">
        <f t="array" ref="C216">INDEX(Track,MATCH(A216,Name,0))</f>
        <v>Digital Tech</v>
      </c>
      <c r="D216" s="87">
        <f t="array" ref="D216">INDEX(Score,MATCH(A216,Name,0))</f>
        <v>3.75</v>
      </c>
      <c r="E216" s="88">
        <f t="array" aca="1" ref="E216" ca="1">INDEX(Date,MATCH(A216,Name,0))</f>
        <v>44784</v>
      </c>
      <c r="F216" s="86" t="s">
        <v>13324</v>
      </c>
      <c r="G216" s="86" t="s">
        <v>13339</v>
      </c>
      <c r="H216" s="86" t="str">
        <f t="array" aca="1" ref="H216" ca="1">IFERROR(INDEX('2022-2023 Third Reviews'!K:K,MATCH(A216,'2022-2023 Third Reviews'!C:C,0)),"")</f>
        <v>Jason Yu
4</v>
      </c>
      <c r="I216" s="89" t="s">
        <v>10642</v>
      </c>
      <c r="J216" s="89" t="s">
        <v>10643</v>
      </c>
      <c r="K216" s="89" t="str">
        <f t="array" aca="1" ref="K216" ca="1">IFERROR(INDEX('2022-2023 Third Reviews'!L:L,MATCH(A216,'2022-2023 Third Reviews'!C:C,0)),"")</f>
        <v xml:space="preserve">Appears to have a viable product and customers but there are a number of competitors in the space. </v>
      </c>
      <c r="L216" s="90" t="str">
        <f t="array" ref="L216">INDEX(AppNotes,MATCH(A216,Name,0))</f>
        <v>change to DiT; reimagines online cart abandonment using AB testing via messages; currently have customers and 100K/mo in reoccuring revenue; need more data/validation</v>
      </c>
      <c r="M216" s="91" t="str">
        <f t="array" aca="1" ref="M216" ca="1">INDEX(Team,MATCH(A216,'Key Metrics'!B:B,0))</f>
        <v>Man, Man</v>
      </c>
      <c r="N216" s="87" t="str">
        <f t="array" aca="1" ref="N216" ca="1">IF(INDEX('Key Metrics'!F:F,MATCH(A216,'Key Metrics'!B:B,0))="Woman","Yes","")</f>
        <v/>
      </c>
      <c r="O216" s="87" t="str">
        <f t="shared" ca="1" si="0"/>
        <v/>
      </c>
      <c r="P216" s="92">
        <f t="array" ref="P216">INDEX(Referral,MATCH(A216,Name,0))</f>
        <v>0</v>
      </c>
      <c r="Q216" s="92">
        <f t="array" aca="1" ref="Q216" ca="1">IF(INDEX(NYUAfillType,MATCH(A216,'Key Metrics'!B:B,0))="Other (please specify)",INDEX('Key Metrics'!N:N,MATCH(A216,'Key Metrics'!B:B,0)),INDEX(NYUAfillType,MATCH(A216,'Key Metrics'!B:B,0)))</f>
        <v>0</v>
      </c>
      <c r="R216" s="93" t="str">
        <f t="array" aca="1" ref="R216" ca="1">IF(INDEX('Key Metrics'!Q:Q,MATCH(A216,'Key Metrics'!B:B,0))="No","",INDEX('Key Metrics'!Q:Q,MATCH(A216,'Key Metrics'!B:B,0)))</f>
        <v/>
      </c>
      <c r="S216" s="94" t="str">
        <f t="shared" si="1"/>
        <v>Invite Next Year</v>
      </c>
      <c r="T216" s="95" t="s">
        <v>24</v>
      </c>
      <c r="U216" s="95" t="b">
        <v>0</v>
      </c>
      <c r="V216" s="95" t="b">
        <v>0</v>
      </c>
      <c r="W216" s="95" t="b">
        <v>0</v>
      </c>
      <c r="X216" s="96"/>
      <c r="Y216" s="94">
        <f t="array" ref="Y216">INDEX('DiT - 2022-2023 Applications Re'!U:U,MATCH(A216,'DiT - 2022-2023 Applications Re'!B:B,0))</f>
        <v>0</v>
      </c>
    </row>
    <row r="217" spans="1:25" ht="55" hidden="1">
      <c r="A217" s="97" t="s">
        <v>275</v>
      </c>
      <c r="B217" s="98" t="str">
        <f t="array" ref="B217">INDEX(Interview,MATCH(A217,Name,0))</f>
        <v>Invite</v>
      </c>
      <c r="C217" s="98" t="str">
        <f t="array" ref="C217">INDEX(Track,MATCH(A217,Name,0))</f>
        <v>Digital Tech</v>
      </c>
      <c r="D217" s="99">
        <f t="array" ref="D217">INDEX(Score,MATCH(A217,Name,0))</f>
        <v>4.25</v>
      </c>
      <c r="E217" s="100">
        <f t="array" aca="1" ref="E217" ca="1">INDEX(Date,MATCH(A217,Name,0))</f>
        <v>44784</v>
      </c>
      <c r="F217" s="98" t="s">
        <v>13329</v>
      </c>
      <c r="G217" s="98" t="s">
        <v>13351</v>
      </c>
      <c r="H217" s="98" t="str">
        <f t="array" aca="1" ref="H217" ca="1">IFERROR(INDEX('2022-2023 Third Reviews'!K:K,MATCH(A217,'2022-2023 Third Reviews'!C:C,0)),"")</f>
        <v>Chris Millisits
2</v>
      </c>
      <c r="I217" s="101" t="s">
        <v>1586</v>
      </c>
      <c r="J217" s="101" t="s">
        <v>10318</v>
      </c>
      <c r="K217" s="101" t="str">
        <f t="array" aca="1" ref="K217" ca="1">IFERROR(INDEX('2022-2023 Third Reviews'!L:L,MATCH(A217,'2022-2023 Third Reviews'!C:C,0)),"")</f>
        <v>Business model was a bit unclear from the application and their website, but seems to consist of building a database of cancer patient data, allowing patients and researchers alike the ability to get analytics on their data. Founder is a researcher, but has not scaled a tech business like this before.</v>
      </c>
      <c r="L217" s="102">
        <f t="array" ref="L217">INDEX(AppNotes,MATCH(A217,Name,0))</f>
        <v>0</v>
      </c>
      <c r="M217" s="103" t="str">
        <f t="array" aca="1" ref="M217" ca="1">INDEX(Team,MATCH(A217,'Key Metrics'!B:B,0))</f>
        <v>Man, Man, Man, Man</v>
      </c>
      <c r="N217" s="99" t="str">
        <f t="array" aca="1" ref="N217" ca="1">IF(INDEX('Key Metrics'!F:F,MATCH(A217,'Key Metrics'!B:B,0))="Woman","Yes","")</f>
        <v/>
      </c>
      <c r="O217" s="99" t="str">
        <f t="shared" ca="1" si="0"/>
        <v/>
      </c>
      <c r="P217" s="104">
        <f t="array" ref="P217">INDEX(Referral,MATCH(A217,Name,0))</f>
        <v>0</v>
      </c>
      <c r="Q217" s="104">
        <f t="array" aca="1" ref="Q217" ca="1">IF(INDEX(NYUAfillType,MATCH(A217,'Key Metrics'!B:B,0))="Other (please specify)",INDEX('Key Metrics'!N:N,MATCH(A217,'Key Metrics'!B:B,0)),INDEX(NYUAfillType,MATCH(A217,'Key Metrics'!B:B,0)))</f>
        <v>0</v>
      </c>
      <c r="R217" s="105" t="str">
        <f t="array" aca="1" ref="R217" ca="1">IF(INDEX('Key Metrics'!Q:Q,MATCH(A217,'Key Metrics'!B:B,0))="No","",INDEX('Key Metrics'!Q:Q,MATCH(A217,'Key Metrics'!B:B,0)))</f>
        <v/>
      </c>
      <c r="S217" s="106" t="str">
        <f t="shared" si="1"/>
        <v>Invite</v>
      </c>
      <c r="T217" s="107" t="s">
        <v>18</v>
      </c>
      <c r="U217" s="107" t="b">
        <v>0</v>
      </c>
      <c r="V217" s="107" t="b">
        <v>0</v>
      </c>
      <c r="W217" s="107" t="b">
        <v>0</v>
      </c>
      <c r="X217" s="108"/>
      <c r="Y217" s="106" t="str">
        <f t="array" ref="Y217">INDEX('DiT - 2022-2023 Applications Re'!U:U,MATCH(A217,'DiT - 2022-2023 Applications Re'!B:B,0))</f>
        <v>Invite</v>
      </c>
    </row>
    <row r="218" spans="1:25" ht="44" hidden="1">
      <c r="A218" s="109" t="s">
        <v>276</v>
      </c>
      <c r="B218" s="86" t="str">
        <f t="array" ref="B218">INDEX(Interview,MATCH(A218,Name,0))</f>
        <v>Revisit/ Cluster</v>
      </c>
      <c r="C218" s="86" t="str">
        <f t="array" ref="C218">INDEX(Track,MATCH(A218,Name,0))</f>
        <v>Digital Tech</v>
      </c>
      <c r="D218" s="87">
        <f t="array" ref="D218">INDEX(Score,MATCH(A218,Name,0))</f>
        <v>3.75</v>
      </c>
      <c r="E218" s="88">
        <f t="array" aca="1" ref="E218" ca="1">INDEX(Date,MATCH(A218,Name,0))</f>
        <v>44791</v>
      </c>
      <c r="F218" s="86" t="s">
        <v>13329</v>
      </c>
      <c r="G218" s="86" t="s">
        <v>13368</v>
      </c>
      <c r="H218" s="86" t="str">
        <f t="array" ref="H218">IFERROR(INDEX('2022-2023 Third Reviews'!K:K,MATCH(A218,'2022-2023 Third Reviews'!C:C,0)),"")</f>
        <v/>
      </c>
      <c r="I218" s="89" t="s">
        <v>4174</v>
      </c>
      <c r="J218" s="89" t="s">
        <v>4175</v>
      </c>
      <c r="K218" s="89" t="str">
        <f t="array" ref="K218">IFERROR(INDEX('2022-2023 Third Reviews'!L:L,MATCH(A218,'2022-2023 Third Reviews'!C:C,0)),"")</f>
        <v/>
      </c>
      <c r="L218" s="90" t="str">
        <f t="array" ref="L218">INDEX(AppNotes,MATCH(A218,Name,0))</f>
        <v>mentor referral; real time feedback for speech issues/targeted towards stutters; fills gaps between speech therapy sessions; 15K downloads is 63 countries; tech light for EFL, but great team and great idea; a lot of their citations however are dated, competive assessment one is 13 years old;</v>
      </c>
      <c r="M218" s="91" t="str">
        <f t="array" aca="1" ref="M218" ca="1">INDEX(Team,MATCH(A218,'Key Metrics'!B:B,0))</f>
        <v>Man, Man, Man</v>
      </c>
      <c r="N218" s="87" t="str">
        <f t="array" aca="1" ref="N218" ca="1">IF(INDEX('Key Metrics'!F:F,MATCH(A218,'Key Metrics'!B:B,0))="Woman","Yes","")</f>
        <v/>
      </c>
      <c r="O218" s="87" t="str">
        <f t="shared" ca="1" si="0"/>
        <v/>
      </c>
      <c r="P218" s="92" t="str">
        <f t="array" ref="P218">INDEX(Referral,MATCH(A218,Name,0))</f>
        <v>Serhat Pala (pala@breakaway.partners)</v>
      </c>
      <c r="Q218" s="92">
        <f t="array" aca="1" ref="Q218" ca="1">IF(INDEX(NYUAfillType,MATCH(A218,'Key Metrics'!B:B,0))="Other (please specify)",INDEX('Key Metrics'!N:N,MATCH(A218,'Key Metrics'!B:B,0)),INDEX(NYUAfillType,MATCH(A218,'Key Metrics'!B:B,0)))</f>
        <v>0</v>
      </c>
      <c r="R218" s="93" t="str">
        <f t="array" aca="1" ref="R218" ca="1">IF(INDEX('Key Metrics'!Q:Q,MATCH(A218,'Key Metrics'!B:B,0))="No","",INDEX('Key Metrics'!Q:Q,MATCH(A218,'Key Metrics'!B:B,0)))</f>
        <v/>
      </c>
      <c r="S218" s="94" t="str">
        <f t="shared" si="1"/>
        <v>Invite Next Year</v>
      </c>
      <c r="T218" s="95" t="s">
        <v>24</v>
      </c>
      <c r="U218" s="95" t="b">
        <v>0</v>
      </c>
      <c r="V218" s="95" t="b">
        <v>0</v>
      </c>
      <c r="W218" s="95" t="b">
        <v>0</v>
      </c>
      <c r="X218" s="96"/>
      <c r="Y218" s="94" t="str">
        <f t="array" ref="Y218">INDEX('DiT - 2022-2023 Applications Re'!U:U,MATCH(A218,'DiT - 2022-2023 Applications Re'!B:B,0))</f>
        <v>Invite Next Year</v>
      </c>
    </row>
    <row r="219" spans="1:25" ht="88" hidden="1">
      <c r="A219" s="97" t="s">
        <v>277</v>
      </c>
      <c r="B219" s="98" t="str">
        <f t="array" ref="B219">INDEX(Interview,MATCH(A219,Name,0))</f>
        <v>Invite</v>
      </c>
      <c r="C219" s="98" t="str">
        <f t="array" ref="C219">INDEX(Track,MATCH(A219,Name,0))</f>
        <v>Life Sciences</v>
      </c>
      <c r="D219" s="99">
        <f t="array" ref="D219">INDEX(Score,MATCH(A219,Name,0))</f>
        <v>4.75</v>
      </c>
      <c r="E219" s="100">
        <f t="array" aca="1" ref="E219" ca="1">INDEX(Date,MATCH(A219,Name,0))</f>
        <v>44789</v>
      </c>
      <c r="F219" s="98" t="s">
        <v>13327</v>
      </c>
      <c r="G219" s="98" t="s">
        <v>13311</v>
      </c>
      <c r="H219" s="98" t="str">
        <f t="array" ref="H219">IFERROR(INDEX('2022-2023 Third Reviews'!K:K,MATCH(A219,'2022-2023 Third Reviews'!C:C,0)),"")</f>
        <v/>
      </c>
      <c r="I219" s="101" t="s">
        <v>10860</v>
      </c>
      <c r="J219" s="101" t="s">
        <v>1603</v>
      </c>
      <c r="K219" s="101" t="str">
        <f t="array" ref="K219">IFERROR(INDEX('2022-2023 Third Reviews'!L:L,MATCH(A219,'2022-2023 Third Reviews'!C:C,0)),"")</f>
        <v/>
      </c>
      <c r="L219" s="102">
        <f t="array" ref="L219">INDEX(AppNotes,MATCH(A219,Name,0))</f>
        <v>0</v>
      </c>
      <c r="M219" s="103" t="str">
        <f t="array" aca="1" ref="M219" ca="1">INDEX(Team,MATCH(A219,'Key Metrics'!B:B,0))</f>
        <v>Man</v>
      </c>
      <c r="N219" s="99" t="str">
        <f t="array" aca="1" ref="N219" ca="1">IF(INDEX('Key Metrics'!F:F,MATCH(A219,'Key Metrics'!B:B,0))="Woman","Yes","")</f>
        <v/>
      </c>
      <c r="O219" s="99" t="str">
        <f t="shared" ca="1" si="0"/>
        <v/>
      </c>
      <c r="P219" s="104">
        <f t="array" ref="P219">INDEX(Referral,MATCH(A219,Name,0))</f>
        <v>0</v>
      </c>
      <c r="Q219" s="104">
        <f t="array" aca="1" ref="Q219" ca="1">IF(INDEX(NYUAfillType,MATCH(A219,'Key Metrics'!B:B,0))="Other (please specify)",INDEX('Key Metrics'!N:N,MATCH(A219,'Key Metrics'!B:B,0)),INDEX(NYUAfillType,MATCH(A219,'Key Metrics'!B:B,0)))</f>
        <v>0</v>
      </c>
      <c r="R219" s="105" t="str">
        <f t="array" aca="1" ref="R219" ca="1">IF(INDEX('Key Metrics'!Q:Q,MATCH(A219,'Key Metrics'!B:B,0))="No","",INDEX('Key Metrics'!Q:Q,MATCH(A219,'Key Metrics'!B:B,0)))</f>
        <v/>
      </c>
      <c r="S219" s="106" t="str">
        <f t="shared" si="1"/>
        <v>Invite</v>
      </c>
      <c r="T219" s="107" t="s">
        <v>18</v>
      </c>
      <c r="U219" s="107" t="b">
        <v>0</v>
      </c>
      <c r="V219" s="107" t="b">
        <v>0</v>
      </c>
      <c r="W219" s="107" t="b">
        <v>0</v>
      </c>
      <c r="X219" s="103"/>
      <c r="Y219" s="110" t="str">
        <f t="array" ref="Y219">INDEX('LS Shortlist'!U:U,MATCH(A219,'LS Shortlist'!B:B,0))</f>
        <v>Invite</v>
      </c>
    </row>
    <row r="220" spans="1:25" ht="55" hidden="1">
      <c r="A220" s="109" t="s">
        <v>278</v>
      </c>
      <c r="B220" s="86" t="str">
        <f t="array" ref="B220">INDEX(Interview,MATCH(A220,Name,0))</f>
        <v>Revisit</v>
      </c>
      <c r="C220" s="86" t="str">
        <f t="array" ref="C220">INDEX(Track,MATCH(A220,Name,0))</f>
        <v>Digital Tech</v>
      </c>
      <c r="D220" s="87">
        <f t="array" ref="D220">INDEX(Score,MATCH(A220,Name,0))</f>
        <v>3.75</v>
      </c>
      <c r="E220" s="88">
        <f t="array" aca="1" ref="E220" ca="1">INDEX(Date,MATCH(A220,Name,0))</f>
        <v>44791</v>
      </c>
      <c r="F220" s="86" t="s">
        <v>13308</v>
      </c>
      <c r="G220" s="86" t="s">
        <v>13332</v>
      </c>
      <c r="H220" s="86" t="str">
        <f t="array" ref="H220">IFERROR(INDEX('2022-2023 Third Reviews'!K:K,MATCH(A220,'2022-2023 Third Reviews'!C:C,0)),"")</f>
        <v/>
      </c>
      <c r="I220" s="89" t="s">
        <v>11320</v>
      </c>
      <c r="J220" s="89" t="s">
        <v>11321</v>
      </c>
      <c r="K220" s="89" t="str">
        <f t="array" ref="K220">IFERROR(INDEX('2022-2023 Third Reviews'!L:L,MATCH(A220,'2022-2023 Third Reviews'!C:C,0)),"")</f>
        <v/>
      </c>
      <c r="L220" s="90" t="str">
        <f t="array" ref="L220">INDEX(AppNotes,MATCH(A220,Name,0))</f>
        <v>change to DiT; strong team, revenue, easily understandable product</v>
      </c>
      <c r="M220" s="91" t="str">
        <f t="array" aca="1" ref="M220" ca="1">INDEX(Team,MATCH(A220,'Key Metrics'!B:B,0))</f>
        <v>Man, Woman, Man</v>
      </c>
      <c r="N220" s="87" t="str">
        <f t="array" aca="1" ref="N220" ca="1">IF(INDEX('Key Metrics'!F:F,MATCH(A220,'Key Metrics'!B:B,0))="Woman","Yes","")</f>
        <v/>
      </c>
      <c r="O220" s="87" t="str">
        <f t="shared" ca="1" si="0"/>
        <v>Yes</v>
      </c>
      <c r="P220" s="92">
        <f t="array" ref="P220">INDEX(Referral,MATCH(A220,Name,0))</f>
        <v>0</v>
      </c>
      <c r="Q220" s="92">
        <f t="array" aca="1" ref="Q220" ca="1">IF(INDEX(NYUAfillType,MATCH(A220,'Key Metrics'!B:B,0))="Other (please specify)",INDEX('Key Metrics'!N:N,MATCH(A220,'Key Metrics'!B:B,0)),INDEX(NYUAfillType,MATCH(A220,'Key Metrics'!B:B,0)))</f>
        <v>0</v>
      </c>
      <c r="R220" s="93" t="str">
        <f t="array" aca="1" ref="R220" ca="1">IF(INDEX('Key Metrics'!Q:Q,MATCH(A220,'Key Metrics'!B:B,0))="No","",INDEX('Key Metrics'!Q:Q,MATCH(A220,'Key Metrics'!B:B,0)))</f>
        <v/>
      </c>
      <c r="S220" s="94" t="str">
        <f t="shared" si="1"/>
        <v>Invite Next Year</v>
      </c>
      <c r="T220" s="95" t="s">
        <v>24</v>
      </c>
      <c r="U220" s="95" t="b">
        <v>0</v>
      </c>
      <c r="V220" s="95" t="b">
        <v>0</v>
      </c>
      <c r="W220" s="95" t="b">
        <v>0</v>
      </c>
      <c r="X220" s="96"/>
      <c r="Y220" s="94">
        <f t="array" ref="Y220">INDEX('DiT - 2022-2023 Applications Re'!U:U,MATCH(A220,'DiT - 2022-2023 Applications Re'!B:B,0))</f>
        <v>0</v>
      </c>
    </row>
    <row r="221" spans="1:25" ht="165" hidden="1">
      <c r="A221" s="97" t="s">
        <v>279</v>
      </c>
      <c r="B221" s="98" t="str">
        <f t="array" ref="B221">INDEX(Interview,MATCH(A221,Name,0))</f>
        <v>Invite</v>
      </c>
      <c r="C221" s="98" t="str">
        <f t="array" ref="C221">INDEX(Track,MATCH(A221,Name,0))</f>
        <v>Digital Tech</v>
      </c>
      <c r="D221" s="99">
        <f t="array" ref="D221">INDEX(Score,MATCH(A221,Name,0))</f>
        <v>3.75</v>
      </c>
      <c r="E221" s="100">
        <f t="array" aca="1" ref="E221" ca="1">INDEX(Date,MATCH(A221,Name,0))</f>
        <v>44796</v>
      </c>
      <c r="F221" s="98" t="s">
        <v>13327</v>
      </c>
      <c r="G221" s="98" t="s">
        <v>13389</v>
      </c>
      <c r="H221" s="98" t="str">
        <f t="array" ref="H221">IFERROR(INDEX('2022-2023 Third Reviews'!K:K,MATCH(A221,'2022-2023 Third Reviews'!C:C,0)),"")</f>
        <v/>
      </c>
      <c r="I221" s="101" t="s">
        <v>1236</v>
      </c>
      <c r="J221" s="101" t="s">
        <v>481</v>
      </c>
      <c r="K221" s="101" t="str">
        <f t="array" ref="K221">IFERROR(INDEX('2022-2023 Third Reviews'!L:L,MATCH(A221,'2022-2023 Third Reviews'!C:C,0)),"")</f>
        <v/>
      </c>
      <c r="L221" s="102" t="str">
        <f t="array" ref="L221">INDEX(AppNotes,MATCH(A221,Name,0))</f>
        <v>Out of Veterans Furture lab; tech stars alumni; serial entrep. team; one hesitation: founder mentions a connection to Polaris, but not listed in their decks;</v>
      </c>
      <c r="M221" s="103" t="str">
        <f t="array" aca="1" ref="M221" ca="1">INDEX(Team,MATCH(A221,'Key Metrics'!B:B,0))</f>
        <v>Man, Man, Man</v>
      </c>
      <c r="N221" s="99" t="str">
        <f t="array" aca="1" ref="N221" ca="1">IF(INDEX('Key Metrics'!F:F,MATCH(A221,'Key Metrics'!B:B,0))="Woman","Yes","")</f>
        <v/>
      </c>
      <c r="O221" s="99" t="str">
        <f t="shared" ca="1" si="0"/>
        <v/>
      </c>
      <c r="P221" s="104" t="str">
        <f t="array" ref="P221">INDEX(Referral,MATCH(A221,Name,0))</f>
        <v>Alexa Modero NYU Veterans Future Lab Director</v>
      </c>
      <c r="Q221" s="104">
        <f t="array" aca="1" ref="Q221" ca="1">IF(INDEX(NYUAfillType,MATCH(A221,'Key Metrics'!B:B,0))="Other (please specify)",INDEX('Key Metrics'!N:N,MATCH(A221,'Key Metrics'!B:B,0)),INDEX(NYUAfillType,MATCH(A221,'Key Metrics'!B:B,0)))</f>
        <v>0</v>
      </c>
      <c r="R221" s="105" t="str">
        <f t="array" aca="1" ref="R221" ca="1">IF(INDEX('Key Metrics'!Q:Q,MATCH(A221,'Key Metrics'!B:B,0))="No","",INDEX('Key Metrics'!Q:Q,MATCH(A221,'Key Metrics'!B:B,0)))</f>
        <v/>
      </c>
      <c r="S221" s="106" t="str">
        <f t="shared" si="1"/>
        <v>Invite Next Year</v>
      </c>
      <c r="T221" s="107" t="s">
        <v>24</v>
      </c>
      <c r="U221" s="107" t="b">
        <v>0</v>
      </c>
      <c r="V221" s="107" t="b">
        <v>0</v>
      </c>
      <c r="W221" s="107" t="b">
        <v>0</v>
      </c>
      <c r="X221" s="108"/>
      <c r="Y221" s="106">
        <f t="array" ref="Y221">INDEX('DiT - 2022-2023 Applications Re'!U:U,MATCH(A221,'DiT - 2022-2023 Applications Re'!B:B,0))</f>
        <v>0</v>
      </c>
    </row>
    <row r="222" spans="1:25" ht="44" hidden="1">
      <c r="A222" s="109" t="s">
        <v>280</v>
      </c>
      <c r="B222" s="86" t="str">
        <f t="array" ref="B222">INDEX(Interview,MATCH(A222,Name,0))</f>
        <v>Revisit/ Cluster</v>
      </c>
      <c r="C222" s="86" t="str">
        <f t="array" ref="C222">INDEX(Track,MATCH(A222,Name,0))</f>
        <v>Digital Tech</v>
      </c>
      <c r="D222" s="87">
        <f t="array" ref="D222">INDEX(Score,MATCH(A222,Name,0))</f>
        <v>3.75</v>
      </c>
      <c r="E222" s="88">
        <f t="array" aca="1" ref="E222" ca="1">INDEX(Date,MATCH(A222,Name,0))</f>
        <v>44782</v>
      </c>
      <c r="F222" s="86" t="s">
        <v>13351</v>
      </c>
      <c r="G222" s="86" t="s">
        <v>13381</v>
      </c>
      <c r="H222" s="86" t="str">
        <f t="array" aca="1" ref="H222" ca="1">IFERROR(INDEX('2022-2023 Third Reviews'!K:K,MATCH(A222,'2022-2023 Third Reviews'!C:C,0)),"")</f>
        <v>Jason Yu
3</v>
      </c>
      <c r="I222" s="89" t="s">
        <v>11406</v>
      </c>
      <c r="J222" s="89" t="s">
        <v>9518</v>
      </c>
      <c r="K222" s="89" t="str">
        <f t="array" aca="1" ref="K222" ca="1">IFERROR(INDEX('2022-2023 Third Reviews'!L:L,MATCH(A222,'2022-2023 Third Reviews'!C:C,0)),"")</f>
        <v>Still gathering information to determine their target audience. The actual demand for their product is unclear.</v>
      </c>
      <c r="L222" s="90" t="str">
        <f t="array" ref="L222">INDEX(AppNotes,MATCH(A222,Name,0))</f>
        <v>Financial planning for high med bill patients; interesting intersection of FInTech and Digital Health; not a lot of other companies in this space, feels timely now. Questions for int: what is their expertise in helping with this planning, what makes their advice unique (whats the difference between this advice in relation to health issues vs. general financial advice?).</v>
      </c>
      <c r="M222" s="91" t="str">
        <f t="array" aca="1" ref="M222" ca="1">INDEX(Team,MATCH(A222,'Key Metrics'!B:B,0))</f>
        <v>Man, Man</v>
      </c>
      <c r="N222" s="87" t="str">
        <f t="array" aca="1" ref="N222" ca="1">IF(INDEX('Key Metrics'!F:F,MATCH(A222,'Key Metrics'!B:B,0))="Woman","Yes","")</f>
        <v/>
      </c>
      <c r="O222" s="87" t="str">
        <f t="shared" ca="1" si="0"/>
        <v/>
      </c>
      <c r="P222" s="92" t="str">
        <f t="array" ref="P222">INDEX(Referral,MATCH(A222,Name,0))</f>
        <v>Garnet Heraman</v>
      </c>
      <c r="Q222" s="92" t="str">
        <f t="array" aca="1" ref="Q222" ca="1">IF(INDEX(NYUAfillType,MATCH(A222,'Key Metrics'!B:B,0))="Other (please specify)",INDEX('Key Metrics'!N:N,MATCH(A222,'Key Metrics'!B:B,0)),INDEX(NYUAfillType,MATCH(A222,'Key Metrics'!B:B,0)))</f>
        <v>NYU Alumni</v>
      </c>
      <c r="R222" s="93" t="str">
        <f t="array" aca="1" ref="R222" ca="1">IF(INDEX('Key Metrics'!Q:Q,MATCH(A222,'Key Metrics'!B:B,0))="No","",INDEX('Key Metrics'!Q:Q,MATCH(A222,'Key Metrics'!B:B,0)))</f>
        <v/>
      </c>
      <c r="S222" s="94" t="str">
        <f t="shared" si="1"/>
        <v>Invite Next Year</v>
      </c>
      <c r="T222" s="95" t="s">
        <v>24</v>
      </c>
      <c r="U222" s="95" t="b">
        <v>0</v>
      </c>
      <c r="V222" s="95" t="b">
        <v>0</v>
      </c>
      <c r="W222" s="95" t="b">
        <v>0</v>
      </c>
      <c r="X222" s="96"/>
      <c r="Y222" s="94">
        <f t="array" ref="Y222">INDEX('DiT - 2022-2023 Applications Re'!U:U,MATCH(A222,'DiT - 2022-2023 Applications Re'!B:B,0))</f>
        <v>0</v>
      </c>
    </row>
    <row r="223" spans="1:25" ht="44" hidden="1">
      <c r="A223" s="97" t="s">
        <v>281</v>
      </c>
      <c r="B223" s="98" t="str">
        <f t="array" ref="B223">INDEX(Interview,MATCH(A223,Name,0))</f>
        <v>Invite</v>
      </c>
      <c r="C223" s="98" t="str">
        <f t="array" ref="C223">INDEX(Track,MATCH(A223,Name,0))</f>
        <v>Digital Tech</v>
      </c>
      <c r="D223" s="99">
        <f t="array" ref="D223">INDEX(Score,MATCH(A223,Name,0))</f>
        <v>3.75</v>
      </c>
      <c r="E223" s="100">
        <f t="array" aca="1" ref="E223" ca="1">INDEX(Date,MATCH(A223,Name,0))</f>
        <v>44784</v>
      </c>
      <c r="F223" s="98" t="s">
        <v>13337</v>
      </c>
      <c r="G223" s="98" t="s">
        <v>13375</v>
      </c>
      <c r="H223" s="98" t="str">
        <f t="array" aca="1" ref="H223" ca="1">IFERROR(INDEX('2022-2023 Third Reviews'!K:K,MATCH(A223,'2022-2023 Third Reviews'!C:C,0)),"")</f>
        <v>Nick Schmandt
4</v>
      </c>
      <c r="I223" s="101" t="s">
        <v>10339</v>
      </c>
      <c r="J223" s="101" t="s">
        <v>4309</v>
      </c>
      <c r="K223" s="101" t="str">
        <f t="array" aca="1" ref="K223" ca="1">IFERROR(INDEX('2022-2023 Third Reviews'!L:L,MATCH(A223,'2022-2023 Third Reviews'!C:C,0)),"")</f>
        <v>It seems like they have a great product, but the lack of firm sponsorships and very low level of funds raised so far are problematic. This group will likely pick up speed once the device gets approval, and of course will fail completely if it doesn't, but it seems to already be far along in the process.</v>
      </c>
      <c r="L223" s="102" t="str">
        <f t="array" ref="L223">INDEX(AppNotes,MATCH(A223,Name,0))</f>
        <v>automates financial research, relays 600 stock signals and provides realtime anlaysis of outside factors; strong technical team out of berkley with previous sale to PE fund; still needs to gain traction but fascinating tech</v>
      </c>
      <c r="M223" s="103" t="str">
        <f t="array" aca="1" ref="M223" ca="1">INDEX(Team,MATCH(A223,'Key Metrics'!B:B,0))</f>
        <v>Man, Man, Woman</v>
      </c>
      <c r="N223" s="99" t="str">
        <f t="array" aca="1" ref="N223" ca="1">IF(INDEX('Key Metrics'!F:F,MATCH(A223,'Key Metrics'!B:B,0))="Woman","Yes","")</f>
        <v/>
      </c>
      <c r="O223" s="99" t="str">
        <f t="shared" ca="1" si="0"/>
        <v>Yes</v>
      </c>
      <c r="P223" s="104">
        <f t="array" ref="P223">INDEX(Referral,MATCH(A223,Name,0))</f>
        <v>0</v>
      </c>
      <c r="Q223" s="104">
        <f t="array" aca="1" ref="Q223" ca="1">IF(INDEX(NYUAfillType,MATCH(A223,'Key Metrics'!B:B,0))="Other (please specify)",INDEX('Key Metrics'!N:N,MATCH(A223,'Key Metrics'!B:B,0)),INDEX(NYUAfillType,MATCH(A223,'Key Metrics'!B:B,0)))</f>
        <v>0</v>
      </c>
      <c r="R223" s="105" t="str">
        <f t="array" aca="1" ref="R223" ca="1">IF(INDEX('Key Metrics'!Q:Q,MATCH(A223,'Key Metrics'!B:B,0))="No","",INDEX('Key Metrics'!Q:Q,MATCH(A223,'Key Metrics'!B:B,0)))</f>
        <v/>
      </c>
      <c r="S223" s="106" t="str">
        <f t="shared" si="1"/>
        <v>Invite Next Year</v>
      </c>
      <c r="T223" s="107" t="s">
        <v>24</v>
      </c>
      <c r="U223" s="107" t="b">
        <v>0</v>
      </c>
      <c r="V223" s="107" t="b">
        <v>0</v>
      </c>
      <c r="W223" s="107" t="b">
        <v>0</v>
      </c>
      <c r="X223" s="108"/>
      <c r="Y223" s="106">
        <f t="array" ref="Y223">INDEX('DiT - 2022-2023 Applications Re'!U:U,MATCH(A223,'DiT - 2022-2023 Applications Re'!B:B,0))</f>
        <v>0</v>
      </c>
    </row>
    <row r="224" spans="1:25" ht="77" hidden="1">
      <c r="A224" s="109" t="s">
        <v>282</v>
      </c>
      <c r="B224" s="86" t="str">
        <f t="array" ref="B224">INDEX(Interview,MATCH(A224,Name,0))</f>
        <v>Invite</v>
      </c>
      <c r="C224" s="86" t="str">
        <f t="array" ref="C224">INDEX(Track,MATCH(A224,Name,0))</f>
        <v>Life Sciences</v>
      </c>
      <c r="D224" s="87">
        <f t="array" ref="D224">INDEX(Score,MATCH(A224,Name,0))</f>
        <v>4.25</v>
      </c>
      <c r="E224" s="88">
        <f t="array" aca="1" ref="E224" ca="1">INDEX(Date,MATCH(A224,Name,0))</f>
        <v>44791</v>
      </c>
      <c r="F224" s="86" t="s">
        <v>13319</v>
      </c>
      <c r="G224" s="86" t="s">
        <v>13328</v>
      </c>
      <c r="H224" s="86" t="str">
        <f t="array" ref="H224">IFERROR(INDEX('2022-2023 Third Reviews'!K:K,MATCH(A224,'2022-2023 Third Reviews'!C:C,0)),"")</f>
        <v/>
      </c>
      <c r="I224" s="89" t="s">
        <v>1610</v>
      </c>
      <c r="J224" s="89" t="s">
        <v>10989</v>
      </c>
      <c r="K224" s="89" t="str">
        <f t="array" ref="K224">IFERROR(INDEX('2022-2023 Third Reviews'!L:L,MATCH(A224,'2022-2023 Third Reviews'!C:C,0)),"")</f>
        <v/>
      </c>
      <c r="L224" s="90" t="str">
        <f t="array" ref="L224">INDEX(AppNotes,MATCH(A224,Name,0))</f>
        <v>POC for clotting diseases; validated in human blood samples for 6 clotting diseases; no data on sensitivity or specificity; no discussion of regulatory pathway; $5M in grants;</v>
      </c>
      <c r="M224" s="91" t="str">
        <f t="array" aca="1" ref="M224" ca="1">INDEX(Team,MATCH(A224,'Key Metrics'!B:B,0))</f>
        <v>Man</v>
      </c>
      <c r="N224" s="87" t="str">
        <f t="array" aca="1" ref="N224" ca="1">IF(INDEX('Key Metrics'!F:F,MATCH(A224,'Key Metrics'!B:B,0))="Woman","Yes","")</f>
        <v/>
      </c>
      <c r="O224" s="87" t="str">
        <f t="shared" ca="1" si="0"/>
        <v/>
      </c>
      <c r="P224" s="92" t="str">
        <f t="array" ref="P224">INDEX(Referral,MATCH(A224,Name,0))</f>
        <v>Sid Angle, CEO, Regenosine</v>
      </c>
      <c r="Q224" s="92">
        <f t="array" aca="1" ref="Q224" ca="1">IF(INDEX(NYUAfillType,MATCH(A224,'Key Metrics'!B:B,0))="Other (please specify)",INDEX('Key Metrics'!N:N,MATCH(A224,'Key Metrics'!B:B,0)),INDEX(NYUAfillType,MATCH(A224,'Key Metrics'!B:B,0)))</f>
        <v>0</v>
      </c>
      <c r="R224" s="93" t="str">
        <f t="array" aca="1" ref="R224" ca="1">IF(INDEX('Key Metrics'!Q:Q,MATCH(A224,'Key Metrics'!B:B,0))="No","",INDEX('Key Metrics'!Q:Q,MATCH(A224,'Key Metrics'!B:B,0)))</f>
        <v/>
      </c>
      <c r="S224" s="94" t="str">
        <f t="shared" si="1"/>
        <v>Invite</v>
      </c>
      <c r="T224" s="95" t="s">
        <v>18</v>
      </c>
      <c r="U224" s="95" t="b">
        <v>0</v>
      </c>
      <c r="V224" s="95" t="b">
        <v>0</v>
      </c>
      <c r="W224" s="95" t="b">
        <v>0</v>
      </c>
      <c r="X224" s="91"/>
      <c r="Y224" s="111" t="str">
        <f t="array" ref="Y224">INDEX('LS Shortlist'!U:U,MATCH(A224,'LS Shortlist'!B:B,0))</f>
        <v>Invite</v>
      </c>
    </row>
    <row r="225" spans="1:25" ht="44" hidden="1">
      <c r="A225" s="97" t="s">
        <v>283</v>
      </c>
      <c r="B225" s="98" t="str">
        <f t="array" ref="B225">INDEX(Interview,MATCH(A225,Name,0))</f>
        <v>Revisit</v>
      </c>
      <c r="C225" s="98" t="str">
        <f t="array" ref="C225">INDEX(Track,MATCH(A225,Name,0))</f>
        <v>Digital Tech</v>
      </c>
      <c r="D225" s="99">
        <f t="array" ref="D225">INDEX(Score,MATCH(A225,Name,0))</f>
        <v>3.75</v>
      </c>
      <c r="E225" s="100">
        <f t="array" aca="1" ref="E225" ca="1">INDEX(Date,MATCH(A225,Name,0))</f>
        <v>44797</v>
      </c>
      <c r="F225" s="98" t="s">
        <v>13342</v>
      </c>
      <c r="G225" s="98" t="s">
        <v>13320</v>
      </c>
      <c r="H225" s="98" t="str">
        <f t="array" ref="H225">IFERROR(INDEX('2022-2023 Third Reviews'!K:K,MATCH(A225,'2022-2023 Third Reviews'!C:C,0)),"")</f>
        <v/>
      </c>
      <c r="I225" s="101" t="s">
        <v>11252</v>
      </c>
      <c r="J225" s="101" t="s">
        <v>9173</v>
      </c>
      <c r="K225" s="101" t="str">
        <f t="array" ref="K225">IFERROR(INDEX('2022-2023 Third Reviews'!L:L,MATCH(A225,'2022-2023 Third Reviews'!C:C,0)),"")</f>
        <v/>
      </c>
      <c r="L225" s="102" t="str">
        <f t="array" ref="L225">INDEX(AppNotes,MATCH(A225,Name,0))</f>
        <v>change to DiT; data analytics; strong team our of carnegie mellon/cambridge; no patenting; generating revenue; referred by Nicole McKnight; not necessarily novel; no platform yet, more like a service for now; applied in AY20, have shown a lot of growth since then; unsure if the tech is innovative, patentable, etc;</v>
      </c>
      <c r="M225" s="103" t="str">
        <f t="array" aca="1" ref="M225" ca="1">INDEX(Team,MATCH(A225,'Key Metrics'!B:B,0))</f>
        <v>Man</v>
      </c>
      <c r="N225" s="99" t="str">
        <f t="array" aca="1" ref="N225" ca="1">IF(INDEX('Key Metrics'!F:F,MATCH(A225,'Key Metrics'!B:B,0))="Woman","Yes","")</f>
        <v/>
      </c>
      <c r="O225" s="99" t="str">
        <f t="shared" ca="1" si="0"/>
        <v/>
      </c>
      <c r="P225" s="104" t="str">
        <f t="array" ref="P225">INDEX(Referral,MATCH(A225,Name,0))</f>
        <v>Nicole McKnight</v>
      </c>
      <c r="Q225" s="104">
        <f t="array" aca="1" ref="Q225" ca="1">IF(INDEX(NYUAfillType,MATCH(A225,'Key Metrics'!B:B,0))="Other (please specify)",INDEX('Key Metrics'!N:N,MATCH(A225,'Key Metrics'!B:B,0)),INDEX(NYUAfillType,MATCH(A225,'Key Metrics'!B:B,0)))</f>
        <v>0</v>
      </c>
      <c r="R225" s="105" t="str">
        <f t="array" aca="1" ref="R225" ca="1">IF(INDEX('Key Metrics'!Q:Q,MATCH(A225,'Key Metrics'!B:B,0))="No","",INDEX('Key Metrics'!Q:Q,MATCH(A225,'Key Metrics'!B:B,0)))</f>
        <v>Yes</v>
      </c>
      <c r="S225" s="106" t="str">
        <f t="shared" si="1"/>
        <v>Invite Next Year</v>
      </c>
      <c r="T225" s="107" t="s">
        <v>24</v>
      </c>
      <c r="U225" s="107" t="b">
        <v>0</v>
      </c>
      <c r="V225" s="107" t="b">
        <v>0</v>
      </c>
      <c r="W225" s="107" t="b">
        <v>0</v>
      </c>
      <c r="X225" s="108"/>
      <c r="Y225" s="106">
        <f t="array" ref="Y225">INDEX('DiT - 2022-2023 Applications Re'!U:U,MATCH(A225,'DiT - 2022-2023 Applications Re'!B:B,0))</f>
        <v>0</v>
      </c>
    </row>
    <row r="226" spans="1:25" ht="33" hidden="1">
      <c r="A226" s="109" t="s">
        <v>284</v>
      </c>
      <c r="B226" s="86" t="str">
        <f t="array" ref="B226">INDEX(Interview,MATCH(A226,Name,0))</f>
        <v>Invite</v>
      </c>
      <c r="C226" s="86" t="str">
        <f t="array" ref="C226">INDEX(Track,MATCH(A226,Name,0))</f>
        <v>Life Sciences</v>
      </c>
      <c r="D226" s="87">
        <f t="array" ref="D226">INDEX(Score,MATCH(A226,Name,0))</f>
        <v>4</v>
      </c>
      <c r="E226" s="88">
        <f t="array" aca="1" ref="E226" ca="1">INDEX(Date,MATCH(A226,Name,0))</f>
        <v>44776</v>
      </c>
      <c r="F226" s="86" t="s">
        <v>13319</v>
      </c>
      <c r="G226" s="86" t="s">
        <v>13320</v>
      </c>
      <c r="H226" s="86" t="str">
        <f t="array" aca="1" ref="H226" ca="1">IFERROR(INDEX('2022-2023 Third Reviews'!K:K,MATCH(A226,'2022-2023 Third Reviews'!C:C,0)),"")</f>
        <v>Nick Schmandt
4</v>
      </c>
      <c r="I226" s="89" t="s">
        <v>1619</v>
      </c>
      <c r="J226" s="89" t="s">
        <v>1620</v>
      </c>
      <c r="K226" s="89" t="str">
        <f t="array" aca="1" ref="K226" ca="1">IFERROR(INDEX('2022-2023 Third Reviews'!L:L,MATCH(A226,'2022-2023 Third Reviews'!C:C,0)),"")</f>
        <v>It's a good idea and they seem to have a good product, but the marketing strategy is unclear.</v>
      </c>
      <c r="L226" s="90">
        <f t="array" ref="L226">INDEX(AppNotes,MATCH(A226,Name,0))</f>
        <v>0</v>
      </c>
      <c r="M226" s="91" t="str">
        <f t="array" aca="1" ref="M226" ca="1">INDEX(Team,MATCH(A226,'Key Metrics'!B:B,0))</f>
        <v>Man, Man, Man</v>
      </c>
      <c r="N226" s="87" t="str">
        <f t="array" aca="1" ref="N226" ca="1">IF(INDEX('Key Metrics'!F:F,MATCH(A226,'Key Metrics'!B:B,0))="Woman","Yes","")</f>
        <v/>
      </c>
      <c r="O226" s="87" t="str">
        <f t="shared" ca="1" si="0"/>
        <v/>
      </c>
      <c r="P226" s="92">
        <f t="array" ref="P226">INDEX(Referral,MATCH(A226,Name,0))</f>
        <v>0</v>
      </c>
      <c r="Q226" s="92">
        <f t="array" aca="1" ref="Q226" ca="1">IF(INDEX(NYUAfillType,MATCH(A226,'Key Metrics'!B:B,0))="Other (please specify)",INDEX('Key Metrics'!N:N,MATCH(A226,'Key Metrics'!B:B,0)),INDEX(NYUAfillType,MATCH(A226,'Key Metrics'!B:B,0)))</f>
        <v>0</v>
      </c>
      <c r="R226" s="93" t="str">
        <f t="array" aca="1" ref="R226" ca="1">IF(INDEX('Key Metrics'!Q:Q,MATCH(A226,'Key Metrics'!B:B,0))="No","",INDEX('Key Metrics'!Q:Q,MATCH(A226,'Key Metrics'!B:B,0)))</f>
        <v/>
      </c>
      <c r="S226" s="94" t="str">
        <f t="shared" si="1"/>
        <v>Invite</v>
      </c>
      <c r="T226" s="95" t="s">
        <v>18</v>
      </c>
      <c r="U226" s="95" t="b">
        <v>0</v>
      </c>
      <c r="V226" s="95" t="b">
        <v>0</v>
      </c>
      <c r="W226" s="95" t="b">
        <v>0</v>
      </c>
      <c r="X226" s="91"/>
      <c r="Y226" s="111" t="str">
        <f t="array" ref="Y226">INDEX('LS Shortlist'!U:U,MATCH(A226,'LS Shortlist'!B:B,0))</f>
        <v>Invite</v>
      </c>
    </row>
    <row r="227" spans="1:25" ht="44" hidden="1">
      <c r="A227" s="97" t="s">
        <v>285</v>
      </c>
      <c r="B227" s="98" t="str">
        <f t="array" ref="B227">INDEX(Interview,MATCH(A227,Name,0))</f>
        <v>Invite</v>
      </c>
      <c r="C227" s="98" t="str">
        <f t="array" ref="C227">INDEX(Track,MATCH(A227,Name,0))</f>
        <v>Life Sciences</v>
      </c>
      <c r="D227" s="99">
        <f t="array" ref="D227">INDEX(Score,MATCH(A227,Name,0))</f>
        <v>5</v>
      </c>
      <c r="E227" s="100">
        <f t="array" aca="1" ref="E227" ca="1">INDEX(Date,MATCH(A227,Name,0))</f>
        <v>44782</v>
      </c>
      <c r="F227" s="98" t="s">
        <v>13310</v>
      </c>
      <c r="G227" s="98" t="s">
        <v>13390</v>
      </c>
      <c r="H227" s="98" t="str">
        <f t="array" ref="H227">IFERROR(INDEX('2022-2023 Third Reviews'!K:K,MATCH(A227,'2022-2023 Third Reviews'!C:C,0)),"")</f>
        <v/>
      </c>
      <c r="I227" s="101" t="s">
        <v>10208</v>
      </c>
      <c r="J227" s="101" t="s">
        <v>481</v>
      </c>
      <c r="K227" s="101" t="str">
        <f t="array" ref="K227">IFERROR(INDEX('2022-2023 Third Reviews'!L:L,MATCH(A227,'2022-2023 Third Reviews'!C:C,0)),"")</f>
        <v/>
      </c>
      <c r="L227" s="102">
        <f t="array" ref="L227">INDEX(AppNotes,MATCH(A227,Name,0))</f>
        <v>0</v>
      </c>
      <c r="M227" s="103" t="str">
        <f t="array" aca="1" ref="M227" ca="1">INDEX(Team,MATCH(A227,'Key Metrics'!B:B,0))</f>
        <v>Man, Man, Man</v>
      </c>
      <c r="N227" s="99" t="str">
        <f t="array" aca="1" ref="N227" ca="1">IF(INDEX('Key Metrics'!F:F,MATCH(A227,'Key Metrics'!B:B,0))="Woman","Yes","")</f>
        <v/>
      </c>
      <c r="O227" s="99" t="str">
        <f t="shared" ca="1" si="0"/>
        <v/>
      </c>
      <c r="P227" s="104">
        <f t="array" ref="P227">INDEX(Referral,MATCH(A227,Name,0))</f>
        <v>0</v>
      </c>
      <c r="Q227" s="104">
        <f t="array" aca="1" ref="Q227" ca="1">IF(INDEX(NYUAfillType,MATCH(A227,'Key Metrics'!B:B,0))="Other (please specify)",INDEX('Key Metrics'!N:N,MATCH(A227,'Key Metrics'!B:B,0)),INDEX(NYUAfillType,MATCH(A227,'Key Metrics'!B:B,0)))</f>
        <v>0</v>
      </c>
      <c r="R227" s="105" t="str">
        <f t="array" aca="1" ref="R227" ca="1">IF(INDEX('Key Metrics'!Q:Q,MATCH(A227,'Key Metrics'!B:B,0))="No","",INDEX('Key Metrics'!Q:Q,MATCH(A227,'Key Metrics'!B:B,0)))</f>
        <v/>
      </c>
      <c r="S227" s="106" t="str">
        <f t="shared" si="1"/>
        <v>Invite</v>
      </c>
      <c r="T227" s="107" t="s">
        <v>18</v>
      </c>
      <c r="U227" s="107" t="b">
        <v>0</v>
      </c>
      <c r="V227" s="107" t="b">
        <v>0</v>
      </c>
      <c r="W227" s="107" t="b">
        <v>0</v>
      </c>
      <c r="X227" s="103"/>
      <c r="Y227" s="110" t="str">
        <f t="array" ref="Y227">INDEX('LS Shortlist'!U:U,MATCH(A227,'LS Shortlist'!B:B,0))</f>
        <v>Invite</v>
      </c>
    </row>
    <row r="228" spans="1:25" ht="44">
      <c r="A228" s="109" t="s">
        <v>286</v>
      </c>
      <c r="B228" s="86" t="str">
        <f t="array" ref="B228">INDEX(Interview,MATCH(A228,Name,0))</f>
        <v>Invite</v>
      </c>
      <c r="C228" s="86" t="str">
        <f t="array" ref="C228">INDEX(Track,MATCH(A228,Name,0))</f>
        <v>Life Sciences</v>
      </c>
      <c r="D228" s="87">
        <f t="array" ref="D228">INDEX(Score,MATCH(A228,Name,0))</f>
        <v>4.5</v>
      </c>
      <c r="E228" s="88">
        <f t="array" aca="1" ref="E228" ca="1">INDEX(Date,MATCH(A228,Name,0))</f>
        <v>44789</v>
      </c>
      <c r="F228" s="86" t="s">
        <v>13327</v>
      </c>
      <c r="G228" s="86" t="s">
        <v>13328</v>
      </c>
      <c r="H228" s="86" t="str">
        <f t="array" ref="H228">IFERROR(INDEX('2022-2023 Third Reviews'!K:K,MATCH(A228,'2022-2023 Third Reviews'!C:C,0)),"")</f>
        <v/>
      </c>
      <c r="I228" s="89" t="s">
        <v>1633</v>
      </c>
      <c r="J228" s="89" t="s">
        <v>1634</v>
      </c>
      <c r="K228" s="89" t="str">
        <f t="array" ref="K228">IFERROR(INDEX('2022-2023 Third Reviews'!L:L,MATCH(A228,'2022-2023 Third Reviews'!C:C,0)),"")</f>
        <v/>
      </c>
      <c r="L228" s="90">
        <f t="array" ref="L228">INDEX(AppNotes,MATCH(A228,Name,0))</f>
        <v>0</v>
      </c>
      <c r="M228" s="91" t="str">
        <f t="array" aca="1" ref="M228" ca="1">INDEX(Team,MATCH(A228,'Key Metrics'!B:B,0))</f>
        <v>Woman, Man, Man</v>
      </c>
      <c r="N228" s="87" t="str">
        <f t="array" aca="1" ref="N228" ca="1">IF(INDEX('Key Metrics'!F:F,MATCH(A228,'Key Metrics'!B:B,0))="Woman","Yes","")</f>
        <v>Yes</v>
      </c>
      <c r="O228" s="87" t="str">
        <f t="shared" ca="1" si="0"/>
        <v>Yes</v>
      </c>
      <c r="P228" s="92">
        <f t="array" ref="P228">INDEX(Referral,MATCH(A228,Name,0))</f>
        <v>0</v>
      </c>
      <c r="Q228" s="92">
        <f t="array" aca="1" ref="Q228" ca="1">IF(INDEX(NYUAfillType,MATCH(A228,'Key Metrics'!B:B,0))="Other (please specify)",INDEX('Key Metrics'!N:N,MATCH(A228,'Key Metrics'!B:B,0)),INDEX(NYUAfillType,MATCH(A228,'Key Metrics'!B:B,0)))</f>
        <v>0</v>
      </c>
      <c r="R228" s="93" t="str">
        <f t="array" aca="1" ref="R228" ca="1">IF(INDEX('Key Metrics'!Q:Q,MATCH(A228,'Key Metrics'!B:B,0))="No","",INDEX('Key Metrics'!Q:Q,MATCH(A228,'Key Metrics'!B:B,0)))</f>
        <v/>
      </c>
      <c r="S228" s="94" t="str">
        <f t="shared" si="1"/>
        <v>Invite</v>
      </c>
      <c r="T228" s="95" t="s">
        <v>18</v>
      </c>
      <c r="U228" s="95" t="b">
        <v>0</v>
      </c>
      <c r="V228" s="95" t="b">
        <v>0</v>
      </c>
      <c r="W228" s="95" t="b">
        <v>0</v>
      </c>
      <c r="X228" s="91"/>
      <c r="Y228" s="111" t="str">
        <f t="array" ref="Y228">INDEX('LS Shortlist'!U:U,MATCH(A228,'LS Shortlist'!B:B,0))</f>
        <v>Invite</v>
      </c>
    </row>
    <row r="229" spans="1:25" hidden="1">
      <c r="A229" s="97" t="s">
        <v>287</v>
      </c>
      <c r="B229" s="98" t="str">
        <f t="array" ref="B229">INDEX(Interview,MATCH(A229,Name,0))</f>
        <v>Invite</v>
      </c>
      <c r="C229" s="98" t="str">
        <f t="array" ref="C229">INDEX(Track,MATCH(A229,Name,0))</f>
        <v>Life Sciences</v>
      </c>
      <c r="D229" s="99">
        <f t="array" ref="D229">INDEX(Score,MATCH(A229,Name,0))</f>
        <v>5</v>
      </c>
      <c r="E229" s="100">
        <f t="array" aca="1" ref="E229" ca="1">INDEX(Date,MATCH(A229,Name,0))</f>
        <v>44776</v>
      </c>
      <c r="F229" s="98" t="s">
        <v>13310</v>
      </c>
      <c r="G229" s="98" t="s">
        <v>13390</v>
      </c>
      <c r="H229" s="98" t="str">
        <f t="array" ref="H229">IFERROR(INDEX('2022-2023 Third Reviews'!K:K,MATCH(A229,'2022-2023 Third Reviews'!C:C,0)),"")</f>
        <v/>
      </c>
      <c r="I229" s="101" t="s">
        <v>481</v>
      </c>
      <c r="J229" s="101" t="s">
        <v>481</v>
      </c>
      <c r="K229" s="101" t="str">
        <f t="array" ref="K229">IFERROR(INDEX('2022-2023 Third Reviews'!L:L,MATCH(A229,'2022-2023 Third Reviews'!C:C,0)),"")</f>
        <v/>
      </c>
      <c r="L229" s="102" t="str">
        <f t="array" ref="L229">INDEX(AppNotes,MATCH(A229,Name,0))</f>
        <v>One full-time founder - ask about part-time in the interview</v>
      </c>
      <c r="M229" s="103" t="str">
        <f t="array" aca="1" ref="M229" ca="1">INDEX(Team,MATCH(A229,'Key Metrics'!B:B,0))</f>
        <v>Man, Man</v>
      </c>
      <c r="N229" s="99" t="str">
        <f t="array" aca="1" ref="N229" ca="1">IF(INDEX('Key Metrics'!F:F,MATCH(A229,'Key Metrics'!B:B,0))="Woman","Yes","")</f>
        <v/>
      </c>
      <c r="O229" s="99" t="str">
        <f t="shared" ca="1" si="0"/>
        <v/>
      </c>
      <c r="P229" s="104">
        <f t="array" ref="P229">INDEX(Referral,MATCH(A229,Name,0))</f>
        <v>0</v>
      </c>
      <c r="Q229" s="104">
        <f t="array" aca="1" ref="Q229" ca="1">IF(INDEX(NYUAfillType,MATCH(A229,'Key Metrics'!B:B,0))="Other (please specify)",INDEX('Key Metrics'!N:N,MATCH(A229,'Key Metrics'!B:B,0)),INDEX(NYUAfillType,MATCH(A229,'Key Metrics'!B:B,0)))</f>
        <v>0</v>
      </c>
      <c r="R229" s="105" t="str">
        <f t="array" aca="1" ref="R229" ca="1">IF(INDEX('Key Metrics'!Q:Q,MATCH(A229,'Key Metrics'!B:B,0))="No","",INDEX('Key Metrics'!Q:Q,MATCH(A229,'Key Metrics'!B:B,0)))</f>
        <v/>
      </c>
      <c r="S229" s="106" t="str">
        <f t="shared" si="1"/>
        <v>Invite</v>
      </c>
      <c r="T229" s="107" t="s">
        <v>18</v>
      </c>
      <c r="U229" s="107" t="b">
        <v>0</v>
      </c>
      <c r="V229" s="107" t="b">
        <v>0</v>
      </c>
      <c r="W229" s="107" t="b">
        <v>0</v>
      </c>
      <c r="X229" s="103"/>
      <c r="Y229" s="110" t="str">
        <f t="array" ref="Y229">INDEX('LS Shortlist'!U:U,MATCH(A229,'LS Shortlist'!B:B,0))</f>
        <v>Invite</v>
      </c>
    </row>
    <row r="230" spans="1:25" ht="55" hidden="1">
      <c r="A230" s="109" t="s">
        <v>288</v>
      </c>
      <c r="B230" s="86" t="str">
        <f t="array" ref="B230">INDEX(Interview,MATCH(A230,Name,0))</f>
        <v>Revisit/ Cluster</v>
      </c>
      <c r="C230" s="86" t="str">
        <f t="array" ref="C230">INDEX(Track,MATCH(A230,Name,0))</f>
        <v>Digital Tech</v>
      </c>
      <c r="D230" s="87">
        <f t="array" ref="D230">INDEX(Score,MATCH(A230,Name,0))</f>
        <v>3.75</v>
      </c>
      <c r="E230" s="88">
        <f t="array" aca="1" ref="E230" ca="1">INDEX(Date,MATCH(A230,Name,0))</f>
        <v>44776</v>
      </c>
      <c r="F230" s="86" t="s">
        <v>13308</v>
      </c>
      <c r="G230" s="86" t="s">
        <v>13321</v>
      </c>
      <c r="H230" s="86" t="str">
        <f t="array" aca="1" ref="H230" ca="1">IFERROR(INDEX('2022-2023 Third Reviews'!K:K,MATCH(A230,'2022-2023 Third Reviews'!C:C,0)),"")</f>
        <v>John McDonald
3</v>
      </c>
      <c r="I230" s="89" t="s">
        <v>9551</v>
      </c>
      <c r="J230" s="89" t="s">
        <v>10281</v>
      </c>
      <c r="K230" s="89">
        <f t="array" aca="1" ref="K230" ca="1">IFERROR(INDEX('2022-2023 Third Reviews'!L:L,MATCH(A230,'2022-2023 Third Reviews'!C:C,0)),"")</f>
        <v>0</v>
      </c>
      <c r="L230" s="90" t="str">
        <f t="array" ref="L230">INDEX(AppNotes,MATCH(A230,Name,0))</f>
        <v>Likely DiT</v>
      </c>
      <c r="M230" s="91" t="str">
        <f t="array" aca="1" ref="M230" ca="1">INDEX(Team,MATCH(A230,'Key Metrics'!B:B,0))</f>
        <v>Man, Man</v>
      </c>
      <c r="N230" s="87" t="str">
        <f t="array" aca="1" ref="N230" ca="1">IF(INDEX('Key Metrics'!F:F,MATCH(A230,'Key Metrics'!B:B,0))="Woman","Yes","")</f>
        <v/>
      </c>
      <c r="O230" s="87" t="str">
        <f t="shared" ca="1" si="0"/>
        <v/>
      </c>
      <c r="P230" s="92">
        <f t="array" ref="P230">INDEX(Referral,MATCH(A230,Name,0))</f>
        <v>0</v>
      </c>
      <c r="Q230" s="92">
        <f t="array" aca="1" ref="Q230" ca="1">IF(INDEX(NYUAfillType,MATCH(A230,'Key Metrics'!B:B,0))="Other (please specify)",INDEX('Key Metrics'!N:N,MATCH(A230,'Key Metrics'!B:B,0)),INDEX(NYUAfillType,MATCH(A230,'Key Metrics'!B:B,0)))</f>
        <v>0</v>
      </c>
      <c r="R230" s="93" t="str">
        <f t="array" aca="1" ref="R230" ca="1">IF(INDEX('Key Metrics'!Q:Q,MATCH(A230,'Key Metrics'!B:B,0))="No","",INDEX('Key Metrics'!Q:Q,MATCH(A230,'Key Metrics'!B:B,0)))</f>
        <v/>
      </c>
      <c r="S230" s="94" t="str">
        <f t="shared" si="1"/>
        <v>Invite Next Year</v>
      </c>
      <c r="T230" s="95" t="s">
        <v>24</v>
      </c>
      <c r="U230" s="95" t="b">
        <v>0</v>
      </c>
      <c r="V230" s="95" t="b">
        <v>0</v>
      </c>
      <c r="W230" s="95" t="b">
        <v>0</v>
      </c>
      <c r="X230" s="96"/>
      <c r="Y230" s="94">
        <f t="array" ref="Y230">INDEX('DiT - 2022-2023 Applications Re'!U:U,MATCH(A230,'DiT - 2022-2023 Applications Re'!B:B,0))</f>
        <v>0</v>
      </c>
    </row>
    <row r="231" spans="1:25" ht="55" hidden="1">
      <c r="A231" s="97" t="s">
        <v>289</v>
      </c>
      <c r="B231" s="98" t="str">
        <f t="array" ref="B231">INDEX(Interview,MATCH(A231,Name,0))</f>
        <v>Invite</v>
      </c>
      <c r="C231" s="98" t="str">
        <f t="array" ref="C231">INDEX(Track,MATCH(A231,Name,0))</f>
        <v>Digital Tech</v>
      </c>
      <c r="D231" s="99">
        <f t="array" ref="D231">INDEX(Score,MATCH(A231,Name,0))</f>
        <v>3.75</v>
      </c>
      <c r="E231" s="100">
        <f t="array" aca="1" ref="E231" ca="1">INDEX(Date,MATCH(A231,Name,0))</f>
        <v>44784</v>
      </c>
      <c r="F231" s="98" t="s">
        <v>13337</v>
      </c>
      <c r="G231" s="98" t="s">
        <v>13346</v>
      </c>
      <c r="H231" s="98" t="str">
        <f t="array" aca="1" ref="H231" ca="1">IFERROR(INDEX('2022-2023 Third Reviews'!K:K,MATCH(A231,'2022-2023 Third Reviews'!C:C,0)),"")</f>
        <v>Chris Millisits
3</v>
      </c>
      <c r="I231" s="101" t="s">
        <v>10737</v>
      </c>
      <c r="J231" s="101" t="s">
        <v>10738</v>
      </c>
      <c r="K231" s="101" t="str">
        <f t="array" aca="1" ref="K231" ca="1">IFERROR(INDEX('2022-2023 Third Reviews'!L:L,MATCH(A231,'2022-2023 Third Reviews'!C:C,0)),"")</f>
        <v>Strong team with successful founding experience in the space. Seems to be direct competition for this product. Market size is moderate, with applications in healthcare and military. Raising $10m seed round.</v>
      </c>
      <c r="L231" s="102" t="str">
        <f t="array" ref="L231">INDEX(AppNotes,MATCH(A231,Name,0))</f>
        <v>founder has strong educational startup experience; already gaining a lot of traction; early investor is same early investor as Zoom and Canva, similar vibe to Canva; can be used even with limited internet connections</v>
      </c>
      <c r="M231" s="103" t="str">
        <f t="array" aca="1" ref="M231" ca="1">INDEX(Team,MATCH(A231,'Key Metrics'!B:B,0))</f>
        <v>Man, Man</v>
      </c>
      <c r="N231" s="99" t="str">
        <f t="array" aca="1" ref="N231" ca="1">IF(INDEX('Key Metrics'!F:F,MATCH(A231,'Key Metrics'!B:B,0))="Woman","Yes","")</f>
        <v/>
      </c>
      <c r="O231" s="99" t="str">
        <f t="shared" ca="1" si="0"/>
        <v/>
      </c>
      <c r="P231" s="104">
        <f t="array" ref="P231">INDEX(Referral,MATCH(A231,Name,0))</f>
        <v>0</v>
      </c>
      <c r="Q231" s="104">
        <f t="array" aca="1" ref="Q231" ca="1">IF(INDEX(NYUAfillType,MATCH(A231,'Key Metrics'!B:B,0))="Other (please specify)",INDEX('Key Metrics'!N:N,MATCH(A231,'Key Metrics'!B:B,0)),INDEX(NYUAfillType,MATCH(A231,'Key Metrics'!B:B,0)))</f>
        <v>0</v>
      </c>
      <c r="R231" s="105" t="str">
        <f t="array" aca="1" ref="R231" ca="1">IF(INDEX('Key Metrics'!Q:Q,MATCH(A231,'Key Metrics'!B:B,0))="No","",INDEX('Key Metrics'!Q:Q,MATCH(A231,'Key Metrics'!B:B,0)))</f>
        <v/>
      </c>
      <c r="S231" s="106" t="str">
        <f t="shared" si="1"/>
        <v>Invite Next Year</v>
      </c>
      <c r="T231" s="107" t="s">
        <v>24</v>
      </c>
      <c r="U231" s="107" t="b">
        <v>0</v>
      </c>
      <c r="V231" s="107" t="b">
        <v>0</v>
      </c>
      <c r="W231" s="107" t="b">
        <v>0</v>
      </c>
      <c r="X231" s="108"/>
      <c r="Y231" s="106">
        <f t="array" ref="Y231">INDEX('DiT - 2022-2023 Applications Re'!U:U,MATCH(A231,'DiT - 2022-2023 Applications Re'!B:B,0))</f>
        <v>0</v>
      </c>
    </row>
    <row r="232" spans="1:25" ht="44" hidden="1">
      <c r="A232" s="109" t="s">
        <v>290</v>
      </c>
      <c r="B232" s="86" t="str">
        <f t="array" ref="B232">INDEX(Interview,MATCH(A232,Name,0))</f>
        <v>Revisit</v>
      </c>
      <c r="C232" s="86" t="str">
        <f t="array" ref="C232">INDEX(Track,MATCH(A232,Name,0))</f>
        <v>Digital Tech</v>
      </c>
      <c r="D232" s="87">
        <f t="array" ref="D232">INDEX(Score,MATCH(A232,Name,0))</f>
        <v>3.75</v>
      </c>
      <c r="E232" s="88">
        <f t="array" aca="1" ref="E232" ca="1">INDEX(Date,MATCH(A232,Name,0))</f>
        <v>44796</v>
      </c>
      <c r="F232" s="86" t="s">
        <v>13305</v>
      </c>
      <c r="G232" s="86" t="s">
        <v>13334</v>
      </c>
      <c r="H232" s="86" t="str">
        <f t="array" ref="H232">IFERROR(INDEX('2022-2023 Third Reviews'!K:K,MATCH(A232,'2022-2023 Third Reviews'!C:C,0)),"")</f>
        <v/>
      </c>
      <c r="I232" s="89" t="s">
        <v>11494</v>
      </c>
      <c r="J232" s="89" t="s">
        <v>9443</v>
      </c>
      <c r="K232" s="89" t="str">
        <f t="array" ref="K232">IFERROR(INDEX('2022-2023 Third Reviews'!L:L,MATCH(A232,'2022-2023 Third Reviews'!C:C,0)),"")</f>
        <v/>
      </c>
      <c r="L232" s="90" t="str">
        <f t="array" ref="L232">INDEX(AppNotes,MATCH(A232,Name,0))</f>
        <v>Change to DiT; live translation AI; in 10M raise currently</v>
      </c>
      <c r="M232" s="91" t="str">
        <f t="array" aca="1" ref="M232" ca="1">INDEX(Team,MATCH(A232,'Key Metrics'!B:B,0))</f>
        <v>Man, Man, --Please select--</v>
      </c>
      <c r="N232" s="87" t="str">
        <f t="array" aca="1" ref="N232" ca="1">IF(INDEX('Key Metrics'!F:F,MATCH(A232,'Key Metrics'!B:B,0))="Woman","Yes","")</f>
        <v/>
      </c>
      <c r="O232" s="87" t="str">
        <f t="shared" ca="1" si="0"/>
        <v/>
      </c>
      <c r="P232" s="92">
        <f t="array" ref="P232">INDEX(Referral,MATCH(A232,Name,0))</f>
        <v>0</v>
      </c>
      <c r="Q232" s="92">
        <f t="array" aca="1" ref="Q232" ca="1">IF(INDEX(NYUAfillType,MATCH(A232,'Key Metrics'!B:B,0))="Other (please specify)",INDEX('Key Metrics'!N:N,MATCH(A232,'Key Metrics'!B:B,0)),INDEX(NYUAfillType,MATCH(A232,'Key Metrics'!B:B,0)))</f>
        <v>0</v>
      </c>
      <c r="R232" s="93" t="str">
        <f t="array" aca="1" ref="R232" ca="1">IF(INDEX('Key Metrics'!Q:Q,MATCH(A232,'Key Metrics'!B:B,0))="No","",INDEX('Key Metrics'!Q:Q,MATCH(A232,'Key Metrics'!B:B,0)))</f>
        <v/>
      </c>
      <c r="S232" s="94" t="str">
        <f t="shared" si="1"/>
        <v>Invite Next Year</v>
      </c>
      <c r="T232" s="95" t="s">
        <v>24</v>
      </c>
      <c r="U232" s="95" t="b">
        <v>0</v>
      </c>
      <c r="V232" s="95" t="b">
        <v>0</v>
      </c>
      <c r="W232" s="95" t="b">
        <v>0</v>
      </c>
      <c r="X232" s="96"/>
      <c r="Y232" s="94">
        <f t="array" ref="Y232">INDEX('DiT - 2022-2023 Applications Re'!U:U,MATCH(A232,'DiT - 2022-2023 Applications Re'!B:B,0))</f>
        <v>0</v>
      </c>
    </row>
    <row r="233" spans="1:25" ht="44" hidden="1">
      <c r="A233" s="97" t="s">
        <v>291</v>
      </c>
      <c r="B233" s="98" t="str">
        <f t="array" ref="B233">INDEX(Interview,MATCH(A233,Name,0))</f>
        <v>Invite</v>
      </c>
      <c r="C233" s="98" t="str">
        <f t="array" ref="C233">INDEX(Track,MATCH(A233,Name,0))</f>
        <v>Life Sciences</v>
      </c>
      <c r="D233" s="99">
        <f t="array" ref="D233">INDEX(Score,MATCH(A233,Name,0))</f>
        <v>4.25</v>
      </c>
      <c r="E233" s="100">
        <f t="array" aca="1" ref="E233" ca="1">INDEX(Date,MATCH(A233,Name,0))</f>
        <v>44782</v>
      </c>
      <c r="F233" s="98" t="s">
        <v>13327</v>
      </c>
      <c r="G233" s="98" t="s">
        <v>13320</v>
      </c>
      <c r="H233" s="98" t="str">
        <f t="array" ref="H233">IFERROR(INDEX('2022-2023 Third Reviews'!K:K,MATCH(A233,'2022-2023 Third Reviews'!C:C,0)),"")</f>
        <v/>
      </c>
      <c r="I233" s="101" t="s">
        <v>1648</v>
      </c>
      <c r="J233" s="101" t="s">
        <v>481</v>
      </c>
      <c r="K233" s="101" t="str">
        <f t="array" ref="K233">IFERROR(INDEX('2022-2023 Third Reviews'!L:L,MATCH(A233,'2022-2023 Third Reviews'!C:C,0)),"")</f>
        <v/>
      </c>
      <c r="L233" s="102">
        <f t="array" ref="L233">INDEX(AppNotes,MATCH(A233,Name,0))</f>
        <v>0</v>
      </c>
      <c r="M233" s="103" t="str">
        <f t="array" aca="1" ref="M233" ca="1">INDEX(Team,MATCH(A233,'Key Metrics'!B:B,0))</f>
        <v>Man, Man</v>
      </c>
      <c r="N233" s="99" t="str">
        <f t="array" aca="1" ref="N233" ca="1">IF(INDEX('Key Metrics'!F:F,MATCH(A233,'Key Metrics'!B:B,0))="Woman","Yes","")</f>
        <v/>
      </c>
      <c r="O233" s="99" t="str">
        <f t="shared" ca="1" si="0"/>
        <v/>
      </c>
      <c r="P233" s="104" t="str">
        <f t="array" ref="P233">INDEX(Referral,MATCH(A233,Name,0))</f>
        <v>Gill Swahney</v>
      </c>
      <c r="Q233" s="104">
        <f t="array" aca="1" ref="Q233" ca="1">IF(INDEX(NYUAfillType,MATCH(A233,'Key Metrics'!B:B,0))="Other (please specify)",INDEX('Key Metrics'!N:N,MATCH(A233,'Key Metrics'!B:B,0)),INDEX(NYUAfillType,MATCH(A233,'Key Metrics'!B:B,0)))</f>
        <v>0</v>
      </c>
      <c r="R233" s="105" t="str">
        <f t="array" aca="1" ref="R233" ca="1">IF(INDEX('Key Metrics'!Q:Q,MATCH(A233,'Key Metrics'!B:B,0))="No","",INDEX('Key Metrics'!Q:Q,MATCH(A233,'Key Metrics'!B:B,0)))</f>
        <v/>
      </c>
      <c r="S233" s="106" t="str">
        <f t="shared" si="1"/>
        <v>Invite</v>
      </c>
      <c r="T233" s="107" t="s">
        <v>18</v>
      </c>
      <c r="U233" s="107" t="b">
        <v>0</v>
      </c>
      <c r="V233" s="107" t="b">
        <v>0</v>
      </c>
      <c r="W233" s="107" t="b">
        <v>0</v>
      </c>
      <c r="X233" s="103"/>
      <c r="Y233" s="110" t="str">
        <f t="array" ref="Y233">INDEX('LS Shortlist'!U:U,MATCH(A233,'LS Shortlist'!B:B,0))</f>
        <v>Invite</v>
      </c>
    </row>
    <row r="234" spans="1:25" ht="44" hidden="1">
      <c r="A234" s="109" t="s">
        <v>292</v>
      </c>
      <c r="B234" s="86" t="str">
        <f t="array" ref="B234">INDEX(Interview,MATCH(A234,Name,0))</f>
        <v>Invite</v>
      </c>
      <c r="C234" s="86" t="str">
        <f t="array" ref="C234">INDEX(Track,MATCH(A234,Name,0))</f>
        <v>Digital Tech</v>
      </c>
      <c r="D234" s="87">
        <f t="array" ref="D234">INDEX(Score,MATCH(A234,Name,0))</f>
        <v>3.63</v>
      </c>
      <c r="E234" s="88">
        <f t="array" aca="1" ref="E234" ca="1">INDEX(Date,MATCH(A234,Name,0))</f>
        <v>44782</v>
      </c>
      <c r="F234" s="86" t="s">
        <v>13388</v>
      </c>
      <c r="G234" s="86" t="s">
        <v>13375</v>
      </c>
      <c r="H234" s="86" t="str">
        <f t="array" ref="H234">IFERROR(INDEX('2022-2023 Third Reviews'!K:K,MATCH(A234,'2022-2023 Third Reviews'!C:C,0)),"")</f>
        <v/>
      </c>
      <c r="I234" s="89" t="s">
        <v>11216</v>
      </c>
      <c r="J234" s="89" t="s">
        <v>11217</v>
      </c>
      <c r="K234" s="89" t="str">
        <f t="array" ref="K234">IFERROR(INDEX('2022-2023 Third Reviews'!L:L,MATCH(A234,'2022-2023 Third Reviews'!C:C,0)),"")</f>
        <v/>
      </c>
      <c r="L234" s="90" t="str">
        <f t="array" ref="L234">INDEX(AppNotes,MATCH(A234,Name,0))</f>
        <v>works in compliance in supply chain; looks for sanctions and other fees/fines; has been in a number of incubators in Taiwan and Hong Kong and done well; worth taking a look at in interview</v>
      </c>
      <c r="M234" s="91" t="str">
        <f t="array" aca="1" ref="M234" ca="1">INDEX(Team,MATCH(A234,'Key Metrics'!B:B,0))</f>
        <v>Man, Woman, Man, Man, Woman</v>
      </c>
      <c r="N234" s="87" t="str">
        <f t="array" aca="1" ref="N234" ca="1">IF(INDEX('Key Metrics'!F:F,MATCH(A234,'Key Metrics'!B:B,0))="Woman","Yes","")</f>
        <v/>
      </c>
      <c r="O234" s="87" t="str">
        <f t="shared" ca="1" si="0"/>
        <v>Yes</v>
      </c>
      <c r="P234" s="92">
        <f t="array" ref="P234">INDEX(Referral,MATCH(A234,Name,0))</f>
        <v>0</v>
      </c>
      <c r="Q234" s="92">
        <f t="array" aca="1" ref="Q234" ca="1">IF(INDEX(NYUAfillType,MATCH(A234,'Key Metrics'!B:B,0))="Other (please specify)",INDEX('Key Metrics'!N:N,MATCH(A234,'Key Metrics'!B:B,0)),INDEX(NYUAfillType,MATCH(A234,'Key Metrics'!B:B,0)))</f>
        <v>0</v>
      </c>
      <c r="R234" s="93" t="str">
        <f t="array" aca="1" ref="R234" ca="1">IF(INDEX('Key Metrics'!Q:Q,MATCH(A234,'Key Metrics'!B:B,0))="No","",INDEX('Key Metrics'!Q:Q,MATCH(A234,'Key Metrics'!B:B,0)))</f>
        <v/>
      </c>
      <c r="S234" s="94" t="str">
        <f t="shared" si="1"/>
        <v>Invite Next Year</v>
      </c>
      <c r="T234" s="95" t="s">
        <v>24</v>
      </c>
      <c r="U234" s="95" t="b">
        <v>0</v>
      </c>
      <c r="V234" s="95" t="b">
        <v>0</v>
      </c>
      <c r="W234" s="95" t="b">
        <v>0</v>
      </c>
      <c r="X234" s="96"/>
      <c r="Y234" s="94">
        <f t="array" ref="Y234">INDEX('DiT - 2022-2023 Applications Re'!U:U,MATCH(A234,'DiT - 2022-2023 Applications Re'!B:B,0))</f>
        <v>0</v>
      </c>
    </row>
    <row r="235" spans="1:25" ht="66" hidden="1">
      <c r="A235" s="97" t="s">
        <v>293</v>
      </c>
      <c r="B235" s="98" t="str">
        <f t="array" ref="B235">INDEX(Interview,MATCH(A235,Name,0))</f>
        <v>Invite</v>
      </c>
      <c r="C235" s="98" t="str">
        <f t="array" ref="C235">INDEX(Track,MATCH(A235,Name,0))</f>
        <v>Digital Tech</v>
      </c>
      <c r="D235" s="99">
        <f t="array" ref="D235">INDEX(Score,MATCH(A235,Name,0))</f>
        <v>3.63</v>
      </c>
      <c r="E235" s="100">
        <f t="array" aca="1" ref="E235" ca="1">INDEX(Date,MATCH(A235,Name,0))</f>
        <v>44789</v>
      </c>
      <c r="F235" s="98" t="s">
        <v>13388</v>
      </c>
      <c r="G235" s="98" t="s">
        <v>13368</v>
      </c>
      <c r="H235" s="98" t="str">
        <f t="array" aca="1" ref="H235" ca="1">IFERROR(INDEX('2022-2023 Third Reviews'!K:K,MATCH(A235,'2022-2023 Third Reviews'!C:C,0)),"")</f>
        <v>John McDonald
4</v>
      </c>
      <c r="I235" s="101" t="s">
        <v>10704</v>
      </c>
      <c r="J235" s="101" t="s">
        <v>4497</v>
      </c>
      <c r="K235" s="101">
        <f t="array" aca="1" ref="K235" ca="1">IFERROR(INDEX('2022-2023 Third Reviews'!L:L,MATCH(A235,'2022-2023 Third Reviews'!C:C,0)),"")</f>
        <v>0</v>
      </c>
      <c r="L235" s="102" t="str">
        <f t="array" ref="L235">INDEX(AppNotes,MATCH(A235,Name,0))</f>
        <v>SaaS for speech and laguage therapists; end to end product; tech isn't revolutionary, but sets up mass collection of data on patients including response to treatment; interested to see if they would branch out; connect to Kintsugi?</v>
      </c>
      <c r="M235" s="103" t="str">
        <f t="array" aca="1" ref="M235" ca="1">INDEX(Team,MATCH(A235,'Key Metrics'!B:B,0))</f>
        <v>Woman</v>
      </c>
      <c r="N235" s="99" t="str">
        <f t="array" aca="1" ref="N235" ca="1">IF(INDEX('Key Metrics'!F:F,MATCH(A235,'Key Metrics'!B:B,0))="Woman","Yes","")</f>
        <v>Yes</v>
      </c>
      <c r="O235" s="99" t="str">
        <f t="shared" ca="1" si="0"/>
        <v>Yes</v>
      </c>
      <c r="P235" s="104">
        <f t="array" ref="P235">INDEX(Referral,MATCH(A235,Name,0))</f>
        <v>0</v>
      </c>
      <c r="Q235" s="104">
        <f t="array" aca="1" ref="Q235" ca="1">IF(INDEX(NYUAfillType,MATCH(A235,'Key Metrics'!B:B,0))="Other (please specify)",INDEX('Key Metrics'!N:N,MATCH(A235,'Key Metrics'!B:B,0)),INDEX(NYUAfillType,MATCH(A235,'Key Metrics'!B:B,0)))</f>
        <v>0</v>
      </c>
      <c r="R235" s="105" t="str">
        <f t="array" aca="1" ref="R235" ca="1">IF(INDEX('Key Metrics'!Q:Q,MATCH(A235,'Key Metrics'!B:B,0))="No","",INDEX('Key Metrics'!Q:Q,MATCH(A235,'Key Metrics'!B:B,0)))</f>
        <v/>
      </c>
      <c r="S235" s="106" t="str">
        <f t="shared" si="1"/>
        <v>Invite Next Year</v>
      </c>
      <c r="T235" s="107" t="s">
        <v>24</v>
      </c>
      <c r="U235" s="107" t="b">
        <v>0</v>
      </c>
      <c r="V235" s="107" t="b">
        <v>0</v>
      </c>
      <c r="W235" s="107" t="b">
        <v>0</v>
      </c>
      <c r="X235" s="108"/>
      <c r="Y235" s="106">
        <f t="array" ref="Y235">INDEX('DiT - 2022-2023 Applications Re'!U:U,MATCH(A235,'DiT - 2022-2023 Applications Re'!B:B,0))</f>
        <v>0</v>
      </c>
    </row>
    <row r="236" spans="1:25" ht="77" hidden="1">
      <c r="A236" s="109" t="s">
        <v>294</v>
      </c>
      <c r="B236" s="86" t="str">
        <f t="array" ref="B236">INDEX(Interview,MATCH(A236,Name,0))</f>
        <v>Invite</v>
      </c>
      <c r="C236" s="86" t="str">
        <f t="array" ref="C236">INDEX(Track,MATCH(A236,Name,0))</f>
        <v>Life Sciences</v>
      </c>
      <c r="D236" s="87">
        <f t="array" ref="D236">INDEX(Score,MATCH(A236,Name,0))</f>
        <v>4.5</v>
      </c>
      <c r="E236" s="88">
        <f t="array" aca="1" ref="E236" ca="1">INDEX(Date,MATCH(A236,Name,0))</f>
        <v>44796</v>
      </c>
      <c r="F236" s="86" t="s">
        <v>13327</v>
      </c>
      <c r="G236" s="86" t="s">
        <v>13391</v>
      </c>
      <c r="H236" s="86" t="str">
        <f t="array" ref="H236">IFERROR(INDEX('2022-2023 Third Reviews'!K:K,MATCH(A236,'2022-2023 Third Reviews'!C:C,0)),"")</f>
        <v/>
      </c>
      <c r="I236" s="89" t="s">
        <v>1654</v>
      </c>
      <c r="J236" s="89" t="s">
        <v>1655</v>
      </c>
      <c r="K236" s="89" t="str">
        <f t="array" ref="K236">IFERROR(INDEX('2022-2023 Third Reviews'!L:L,MATCH(A236,'2022-2023 Third Reviews'!C:C,0)),"")</f>
        <v/>
      </c>
      <c r="L236" s="90">
        <f t="array" ref="L236">INDEX(AppNotes,MATCH(A236,Name,0))</f>
        <v>0</v>
      </c>
      <c r="M236" s="91" t="str">
        <f t="array" aca="1" ref="M236" ca="1">INDEX(Team,MATCH(A236,'Key Metrics'!B:B,0))</f>
        <v>Man, Man</v>
      </c>
      <c r="N236" s="87" t="str">
        <f t="array" aca="1" ref="N236" ca="1">IF(INDEX('Key Metrics'!F:F,MATCH(A236,'Key Metrics'!B:B,0))="Woman","Yes","")</f>
        <v/>
      </c>
      <c r="O236" s="87" t="str">
        <f t="shared" ca="1" si="0"/>
        <v/>
      </c>
      <c r="P236" s="92">
        <f t="array" ref="P236">INDEX(Referral,MATCH(A236,Name,0))</f>
        <v>0</v>
      </c>
      <c r="Q236" s="92" t="str">
        <f t="array" aca="1" ref="Q236" ca="1">IF(INDEX(NYUAfillType,MATCH(A236,'Key Metrics'!B:B,0))="Other (please specify)",INDEX('Key Metrics'!N:N,MATCH(A236,'Key Metrics'!B:B,0)),INDEX(NYUAfillType,MATCH(A236,'Key Metrics'!B:B,0)))</f>
        <v>NYU Alumni</v>
      </c>
      <c r="R236" s="93" t="str">
        <f t="array" aca="1" ref="R236" ca="1">IF(INDEX('Key Metrics'!Q:Q,MATCH(A236,'Key Metrics'!B:B,0))="No","",INDEX('Key Metrics'!Q:Q,MATCH(A236,'Key Metrics'!B:B,0)))</f>
        <v/>
      </c>
      <c r="S236" s="94" t="str">
        <f t="shared" si="1"/>
        <v>Invite</v>
      </c>
      <c r="T236" s="95" t="s">
        <v>18</v>
      </c>
      <c r="U236" s="95" t="b">
        <v>0</v>
      </c>
      <c r="V236" s="95" t="b">
        <v>0</v>
      </c>
      <c r="W236" s="95" t="b">
        <v>0</v>
      </c>
      <c r="X236" s="91"/>
      <c r="Y236" s="111" t="str">
        <f t="array" ref="Y236">INDEX('LS Shortlist'!U:U,MATCH(A236,'LS Shortlist'!B:B,0))</f>
        <v>Invite</v>
      </c>
    </row>
    <row r="237" spans="1:25" ht="66" hidden="1">
      <c r="A237" s="97" t="s">
        <v>295</v>
      </c>
      <c r="B237" s="98" t="str">
        <f t="array" ref="B237">INDEX(Interview,MATCH(A237,Name,0))</f>
        <v>Invite</v>
      </c>
      <c r="C237" s="98" t="str">
        <f t="array" ref="C237">INDEX(Track,MATCH(A237,Name,0))</f>
        <v>Digital Tech</v>
      </c>
      <c r="D237" s="99">
        <f t="array" ref="D237">INDEX(Score,MATCH(A237,Name,0))</f>
        <v>3.63</v>
      </c>
      <c r="E237" s="100">
        <f t="array" aca="1" ref="E237" ca="1">INDEX(Date,MATCH(A237,Name,0))</f>
        <v>44789</v>
      </c>
      <c r="F237" s="98" t="s">
        <v>13388</v>
      </c>
      <c r="G237" s="98" t="s">
        <v>13346</v>
      </c>
      <c r="H237" s="98" t="str">
        <f t="array" aca="1" ref="H237" ca="1">IFERROR(INDEX('2022-2023 Third Reviews'!K:K,MATCH(A237,'2022-2023 Third Reviews'!C:C,0)),"")</f>
        <v>Joshua Rubnitz
5</v>
      </c>
      <c r="I237" s="101" t="s">
        <v>10896</v>
      </c>
      <c r="J237" s="101" t="s">
        <v>10897</v>
      </c>
      <c r="K237" s="101" t="str">
        <f t="array" aca="1" ref="K237" ca="1">IFERROR(INDEX('2022-2023 Third Reviews'!L:L,MATCH(A237,'2022-2023 Third Reviews'!C:C,0)),"")</f>
        <v>Exceptional team that has developed a promising product still in development that leverages industry regulation and precision agriculture trends. 
TerMir has identified weaknesses with almost all other competitors in the market. Could use EFL's guidance to get a product to market quickly.</v>
      </c>
      <c r="L237" s="102" t="str">
        <f t="array" ref="L237">INDEX(AppNotes,MATCH(A237,Name,0))</f>
        <v>uses computer vision to check if id cards are real or fake; uses multiple angles of ID checks; need more development in tech, and customer growth</v>
      </c>
      <c r="M237" s="103" t="str">
        <f t="array" aca="1" ref="M237" ca="1">INDEX(Team,MATCH(A237,'Key Metrics'!B:B,0))</f>
        <v>Woman, Woman</v>
      </c>
      <c r="N237" s="99" t="str">
        <f t="array" aca="1" ref="N237" ca="1">IF(INDEX('Key Metrics'!F:F,MATCH(A237,'Key Metrics'!B:B,0))="Woman","Yes","")</f>
        <v>Yes</v>
      </c>
      <c r="O237" s="99" t="str">
        <f t="shared" ca="1" si="0"/>
        <v>Yes</v>
      </c>
      <c r="P237" s="104">
        <f t="array" ref="P237">INDEX(Referral,MATCH(A237,Name,0))</f>
        <v>0</v>
      </c>
      <c r="Q237" s="104">
        <f t="array" aca="1" ref="Q237" ca="1">IF(INDEX(NYUAfillType,MATCH(A237,'Key Metrics'!B:B,0))="Other (please specify)",INDEX('Key Metrics'!N:N,MATCH(A237,'Key Metrics'!B:B,0)),INDEX(NYUAfillType,MATCH(A237,'Key Metrics'!B:B,0)))</f>
        <v>0</v>
      </c>
      <c r="R237" s="105" t="str">
        <f t="array" aca="1" ref="R237" ca="1">IF(INDEX('Key Metrics'!Q:Q,MATCH(A237,'Key Metrics'!B:B,0))="No","",INDEX('Key Metrics'!Q:Q,MATCH(A237,'Key Metrics'!B:B,0)))</f>
        <v/>
      </c>
      <c r="S237" s="106" t="str">
        <f t="shared" si="1"/>
        <v>Invite Next Year</v>
      </c>
      <c r="T237" s="107" t="s">
        <v>24</v>
      </c>
      <c r="U237" s="107" t="b">
        <v>0</v>
      </c>
      <c r="V237" s="107" t="b">
        <v>0</v>
      </c>
      <c r="W237" s="107" t="b">
        <v>0</v>
      </c>
      <c r="X237" s="108"/>
      <c r="Y237" s="106">
        <f t="array" ref="Y237">INDEX('DiT - 2022-2023 Applications Re'!U:U,MATCH(A237,'DiT - 2022-2023 Applications Re'!B:B,0))</f>
        <v>0</v>
      </c>
    </row>
    <row r="238" spans="1:25" ht="88">
      <c r="A238" s="109" t="s">
        <v>296</v>
      </c>
      <c r="B238" s="86" t="str">
        <f t="array" ref="B238">INDEX(Interview,MATCH(A238,Name,0))</f>
        <v>Revisit/ Cluster</v>
      </c>
      <c r="C238" s="86" t="str">
        <f t="array" ref="C238">INDEX(Track,MATCH(A238,Name,0))</f>
        <v>Life Sciences</v>
      </c>
      <c r="D238" s="87">
        <f t="array" ref="D238">INDEX(Score,MATCH(A238,Name,0))</f>
        <v>4</v>
      </c>
      <c r="E238" s="88">
        <f t="array" aca="1" ref="E238" ca="1">INDEX(Date,MATCH(A238,Name,0))</f>
        <v>44796</v>
      </c>
      <c r="F238" s="86" t="s">
        <v>13392</v>
      </c>
      <c r="G238" s="86" t="s">
        <v>13320</v>
      </c>
      <c r="H238" s="86" t="str">
        <f t="array" ref="H238">IFERROR(INDEX('2022-2023 Third Reviews'!K:K,MATCH(A238,'2022-2023 Third Reviews'!C:C,0)),"")</f>
        <v/>
      </c>
      <c r="I238" s="89" t="s">
        <v>11250</v>
      </c>
      <c r="J238" s="89" t="s">
        <v>1664</v>
      </c>
      <c r="K238" s="89" t="str">
        <f t="array" ref="K238">IFERROR(INDEX('2022-2023 Third Reviews'!L:L,MATCH(A238,'2022-2023 Third Reviews'!C:C,0)),"")</f>
        <v/>
      </c>
      <c r="L238" s="90" t="str">
        <f t="array" ref="L238">INDEX(AppNotes,MATCH(A238,Name,0))</f>
        <v>Has applied in 20, 21, and now 22; Mentor referral; in prior apps had only done testing in cell line, assumed would translate to primary cells; LY did not have enough validation; does not seem like there's too much improvement; special reject if not selected for this;</v>
      </c>
      <c r="M238" s="91" t="str">
        <f t="array" aca="1" ref="M238" ca="1">INDEX(Team,MATCH(A238,'Key Metrics'!B:B,0))</f>
        <v>Man, Woman, Woman</v>
      </c>
      <c r="N238" s="87" t="str">
        <f t="array" aca="1" ref="N238" ca="1">IF(INDEX('Key Metrics'!F:F,MATCH(A238,'Key Metrics'!B:B,0))="Woman","Yes","")</f>
        <v/>
      </c>
      <c r="O238" s="87" t="str">
        <f t="shared" ca="1" si="0"/>
        <v>Yes</v>
      </c>
      <c r="P238" s="92" t="str">
        <f t="array" ref="P238">INDEX(Referral,MATCH(A238,Name,0))</f>
        <v>EFL reached out to us via a principal at one of our investors, Jonathan Friedlander, who is also an advisor with EFL.</v>
      </c>
      <c r="Q238" s="92">
        <f t="array" aca="1" ref="Q238" ca="1">IF(INDEX(NYUAfillType,MATCH(A238,'Key Metrics'!B:B,0))="Other (please specify)",INDEX('Key Metrics'!N:N,MATCH(A238,'Key Metrics'!B:B,0)),INDEX(NYUAfillType,MATCH(A238,'Key Metrics'!B:B,0)))</f>
        <v>0</v>
      </c>
      <c r="R238" s="93" t="str">
        <f t="array" aca="1" ref="R238" ca="1">IF(INDEX('Key Metrics'!Q:Q,MATCH(A238,'Key Metrics'!B:B,0))="No","",INDEX('Key Metrics'!Q:Q,MATCH(A238,'Key Metrics'!B:B,0)))</f>
        <v>Yes</v>
      </c>
      <c r="S238" s="94" t="str">
        <f t="shared" si="1"/>
        <v>Invite</v>
      </c>
      <c r="T238" s="95" t="s">
        <v>18</v>
      </c>
      <c r="U238" s="95" t="b">
        <v>0</v>
      </c>
      <c r="V238" s="95" t="b">
        <v>0</v>
      </c>
      <c r="W238" s="95" t="b">
        <v>0</v>
      </c>
      <c r="X238" s="91"/>
      <c r="Y238" s="111" t="str">
        <f t="array" ref="Y238">INDEX('LS Shortlist'!U:U,MATCH(A238,'LS Shortlist'!B:B,0))</f>
        <v>Invite</v>
      </c>
    </row>
    <row r="239" spans="1:25" ht="55" hidden="1">
      <c r="A239" s="97" t="s">
        <v>297</v>
      </c>
      <c r="B239" s="98" t="str">
        <f t="array" ref="B239">INDEX(Interview,MATCH(A239,Name,0))</f>
        <v>Revisit</v>
      </c>
      <c r="C239" s="98" t="str">
        <f t="array" ref="C239">INDEX(Track,MATCH(A239,Name,0))</f>
        <v>Digital Tech</v>
      </c>
      <c r="D239" s="99">
        <f t="array" ref="D239">INDEX(Score,MATCH(A239,Name,0))</f>
        <v>3.5</v>
      </c>
      <c r="E239" s="100">
        <f t="array" aca="1" ref="E239" ca="1">INDEX(Date,MATCH(A239,Name,0))</f>
        <v>44776</v>
      </c>
      <c r="F239" s="98" t="s">
        <v>13329</v>
      </c>
      <c r="G239" s="98" t="s">
        <v>13393</v>
      </c>
      <c r="H239" s="98" t="str">
        <f t="array" aca="1" ref="H239" ca="1">IFERROR(INDEX('2022-2023 Third Reviews'!K:K,MATCH(A239,'2022-2023 Third Reviews'!C:C,0)),"")</f>
        <v>Jason Yu
3</v>
      </c>
      <c r="I239" s="101" t="s">
        <v>10185</v>
      </c>
      <c r="J239" s="101" t="s">
        <v>4572</v>
      </c>
      <c r="K239" s="101" t="str">
        <f t="array" aca="1" ref="K239" ca="1">IFERROR(INDEX('2022-2023 Third Reviews'!L:L,MATCH(A239,'2022-2023 Third Reviews'!C:C,0)),"")</f>
        <v>Have a viable product with a limited customer base.
"We want to gain a deeper understanding of the American marketplace and identify gaps in our current structure that will allow for a smooth transition south."</v>
      </c>
      <c r="L239" s="102" t="str">
        <f t="array" ref="L239">INDEX(AppNotes,MATCH(A239,Name,0))</f>
        <v>Less exciting tech; thoughtful founder &amp; good growth potential</v>
      </c>
      <c r="M239" s="103" t="str">
        <f t="array" aca="1" ref="M239" ca="1">INDEX(Team,MATCH(A239,'Key Metrics'!B:B,0))</f>
        <v>Man, Man</v>
      </c>
      <c r="N239" s="99" t="str">
        <f t="array" aca="1" ref="N239" ca="1">IF(INDEX('Key Metrics'!F:F,MATCH(A239,'Key Metrics'!B:B,0))="Woman","Yes","")</f>
        <v/>
      </c>
      <c r="O239" s="99" t="str">
        <f t="shared" ca="1" si="0"/>
        <v/>
      </c>
      <c r="P239" s="104">
        <f t="array" ref="P239">INDEX(Referral,MATCH(A239,Name,0))</f>
        <v>0</v>
      </c>
      <c r="Q239" s="104">
        <f t="array" aca="1" ref="Q239" ca="1">IF(INDEX(NYUAfillType,MATCH(A239,'Key Metrics'!B:B,0))="Other (please specify)",INDEX('Key Metrics'!N:N,MATCH(A239,'Key Metrics'!B:B,0)),INDEX(NYUAfillType,MATCH(A239,'Key Metrics'!B:B,0)))</f>
        <v>0</v>
      </c>
      <c r="R239" s="105" t="str">
        <f t="array" aca="1" ref="R239" ca="1">IF(INDEX('Key Metrics'!Q:Q,MATCH(A239,'Key Metrics'!B:B,0))="No","",INDEX('Key Metrics'!Q:Q,MATCH(A239,'Key Metrics'!B:B,0)))</f>
        <v/>
      </c>
      <c r="S239" s="106" t="str">
        <f t="shared" si="1"/>
        <v>Invite Next Year</v>
      </c>
      <c r="T239" s="107" t="s">
        <v>24</v>
      </c>
      <c r="U239" s="107" t="b">
        <v>0</v>
      </c>
      <c r="V239" s="107" t="b">
        <v>0</v>
      </c>
      <c r="W239" s="107" t="b">
        <v>0</v>
      </c>
      <c r="X239" s="108"/>
      <c r="Y239" s="106" t="str">
        <f t="array" ref="Y239">INDEX('DiT - 2022-2023 Applications Re'!U:U,MATCH(A239,'DiT - 2022-2023 Applications Re'!B:B,0))</f>
        <v>Invite Next Year</v>
      </c>
    </row>
    <row r="240" spans="1:25" ht="55" hidden="1">
      <c r="A240" s="109" t="s">
        <v>298</v>
      </c>
      <c r="B240" s="86" t="str">
        <f t="array" ref="B240">INDEX(Interview,MATCH(A240,Name,0))</f>
        <v>Invite</v>
      </c>
      <c r="C240" s="86" t="str">
        <f t="array" ref="C240">INDEX(Track,MATCH(A240,Name,0))</f>
        <v>Life Sciences</v>
      </c>
      <c r="D240" s="87">
        <f t="array" ref="D240">INDEX(Score,MATCH(A240,Name,0))</f>
        <v>5</v>
      </c>
      <c r="E240" s="88">
        <f t="array" aca="1" ref="E240" ca="1">INDEX(Date,MATCH(A240,Name,0))</f>
        <v>44782</v>
      </c>
      <c r="F240" s="86" t="s">
        <v>13310</v>
      </c>
      <c r="G240" s="86" t="s">
        <v>13311</v>
      </c>
      <c r="H240" s="86" t="str">
        <f t="array" ref="H240">IFERROR(INDEX('2022-2023 Third Reviews'!K:K,MATCH(A240,'2022-2023 Third Reviews'!C:C,0)),"")</f>
        <v/>
      </c>
      <c r="I240" s="89" t="s">
        <v>10453</v>
      </c>
      <c r="J240" s="89" t="s">
        <v>481</v>
      </c>
      <c r="K240" s="89" t="str">
        <f t="array" ref="K240">IFERROR(INDEX('2022-2023 Third Reviews'!L:L,MATCH(A240,'2022-2023 Third Reviews'!C:C,0)),"")</f>
        <v/>
      </c>
      <c r="L240" s="90">
        <f t="array" ref="L240">INDEX(AppNotes,MATCH(A240,Name,0))</f>
        <v>0</v>
      </c>
      <c r="M240" s="91" t="str">
        <f t="array" aca="1" ref="M240" ca="1">INDEX(Team,MATCH(A240,'Key Metrics'!B:B,0))</f>
        <v>Man, Man, Man, Man, Man</v>
      </c>
      <c r="N240" s="87" t="str">
        <f t="array" aca="1" ref="N240" ca="1">IF(INDEX('Key Metrics'!F:F,MATCH(A240,'Key Metrics'!B:B,0))="Woman","Yes","")</f>
        <v/>
      </c>
      <c r="O240" s="87" t="str">
        <f t="shared" ca="1" si="0"/>
        <v/>
      </c>
      <c r="P240" s="92">
        <f t="array" ref="P240">INDEX(Referral,MATCH(A240,Name,0))</f>
        <v>0</v>
      </c>
      <c r="Q240" s="92">
        <f t="array" aca="1" ref="Q240" ca="1">IF(INDEX(NYUAfillType,MATCH(A240,'Key Metrics'!B:B,0))="Other (please specify)",INDEX('Key Metrics'!N:N,MATCH(A240,'Key Metrics'!B:B,0)),INDEX(NYUAfillType,MATCH(A240,'Key Metrics'!B:B,0)))</f>
        <v>0</v>
      </c>
      <c r="R240" s="93" t="str">
        <f t="array" aca="1" ref="R240" ca="1">IF(INDEX('Key Metrics'!Q:Q,MATCH(A240,'Key Metrics'!B:B,0))="No","",INDEX('Key Metrics'!Q:Q,MATCH(A240,'Key Metrics'!B:B,0)))</f>
        <v>Yes</v>
      </c>
      <c r="S240" s="94" t="str">
        <f t="shared" si="1"/>
        <v>Invite</v>
      </c>
      <c r="T240" s="95" t="s">
        <v>18</v>
      </c>
      <c r="U240" s="95" t="b">
        <v>0</v>
      </c>
      <c r="V240" s="95" t="b">
        <v>0</v>
      </c>
      <c r="W240" s="95" t="b">
        <v>0</v>
      </c>
      <c r="X240" s="91"/>
      <c r="Y240" s="111" t="str">
        <f t="array" ref="Y240">INDEX('LS Shortlist'!U:U,MATCH(A240,'LS Shortlist'!B:B,0))</f>
        <v>Invite</v>
      </c>
    </row>
    <row r="241" spans="1:25" ht="55" hidden="1">
      <c r="A241" s="97" t="s">
        <v>299</v>
      </c>
      <c r="B241" s="98" t="str">
        <f t="array" ref="B241">INDEX(Interview,MATCH(A241,Name,0))</f>
        <v>Revisit/ Cluster</v>
      </c>
      <c r="C241" s="98" t="str">
        <f t="array" ref="C241">INDEX(Track,MATCH(A241,Name,0))</f>
        <v>Digital Tech</v>
      </c>
      <c r="D241" s="99">
        <f t="array" ref="D241">INDEX(Score,MATCH(A241,Name,0))</f>
        <v>3.5</v>
      </c>
      <c r="E241" s="100">
        <f t="array" aca="1" ref="E241" ca="1">INDEX(Date,MATCH(A241,Name,0))</f>
        <v>44782</v>
      </c>
      <c r="F241" s="98" t="s">
        <v>13319</v>
      </c>
      <c r="G241" s="98" t="s">
        <v>13394</v>
      </c>
      <c r="H241" s="98" t="str">
        <f t="array" aca="1" ref="H241" ca="1">IFERROR(INDEX('2022-2023 Third Reviews'!K:K,MATCH(A241,'2022-2023 Third Reviews'!C:C,0)),"")</f>
        <v>Jason Yu
4</v>
      </c>
      <c r="I241" s="101" t="s">
        <v>4666</v>
      </c>
      <c r="J241" s="101" t="s">
        <v>481</v>
      </c>
      <c r="K241" s="101" t="str">
        <f t="array" aca="1" ref="K241" ca="1">IFERROR(INDEX('2022-2023 Third Reviews'!L:L,MATCH(A241,'2022-2023 Third Reviews'!C:C,0)),"")</f>
        <v>They have customers and revenue the biggest obstacle is a delay in the launch of MVP 1 UAT based on financial constraints.</v>
      </c>
      <c r="L241" s="102" t="str">
        <f t="array" ref="L241">INDEX(AppNotes,MATCH(A241,Name,0))</f>
        <v>change to DiT; uses AI and ML to improve outcomes and suggest interventions; revisit cluster possibly, but made 375K raise into millions in revenue. interested because tech isn't that innovative, but they've made a surprising amount of money so far; revenue may be coming from other products offered, not the variable device they applying with. No real advantage over other devices like an apple watch for ex. potential reject after cluster</v>
      </c>
      <c r="M241" s="103" t="str">
        <f t="array" aca="1" ref="M241" ca="1">INDEX(Team,MATCH(A241,'Key Metrics'!B:B,0))</f>
        <v>Man</v>
      </c>
      <c r="N241" s="99" t="str">
        <f t="array" aca="1" ref="N241" ca="1">IF(INDEX('Key Metrics'!F:F,MATCH(A241,'Key Metrics'!B:B,0))="Woman","Yes","")</f>
        <v/>
      </c>
      <c r="O241" s="99" t="str">
        <f t="shared" ca="1" si="0"/>
        <v/>
      </c>
      <c r="P241" s="104">
        <f t="array" ref="P241">INDEX(Referral,MATCH(A241,Name,0))</f>
        <v>0</v>
      </c>
      <c r="Q241" s="104">
        <f t="array" aca="1" ref="Q241" ca="1">IF(INDEX(NYUAfillType,MATCH(A241,'Key Metrics'!B:B,0))="Other (please specify)",INDEX('Key Metrics'!N:N,MATCH(A241,'Key Metrics'!B:B,0)),INDEX(NYUAfillType,MATCH(A241,'Key Metrics'!B:B,0)))</f>
        <v>0</v>
      </c>
      <c r="R241" s="105" t="str">
        <f t="array" aca="1" ref="R241" ca="1">IF(INDEX('Key Metrics'!Q:Q,MATCH(A241,'Key Metrics'!B:B,0))="No","",INDEX('Key Metrics'!Q:Q,MATCH(A241,'Key Metrics'!B:B,0)))</f>
        <v/>
      </c>
      <c r="S241" s="106" t="str">
        <f t="shared" si="1"/>
        <v>Invite Next Year</v>
      </c>
      <c r="T241" s="107" t="s">
        <v>24</v>
      </c>
      <c r="U241" s="107" t="b">
        <v>0</v>
      </c>
      <c r="V241" s="107" t="b">
        <v>0</v>
      </c>
      <c r="W241" s="107" t="b">
        <v>0</v>
      </c>
      <c r="X241" s="108"/>
      <c r="Y241" s="106" t="str">
        <f t="array" ref="Y241">INDEX('DiT - 2022-2023 Applications Re'!U:U,MATCH(A241,'DiT - 2022-2023 Applications Re'!B:B,0))</f>
        <v>Invite Next Year</v>
      </c>
    </row>
    <row r="242" spans="1:25" ht="99" hidden="1">
      <c r="A242" s="109" t="s">
        <v>300</v>
      </c>
      <c r="B242" s="86" t="str">
        <f t="array" ref="B242">INDEX(Interview,MATCH(A242,Name,0))</f>
        <v>Invite</v>
      </c>
      <c r="C242" s="86" t="str">
        <f t="array" ref="C242">INDEX(Track,MATCH(A242,Name,0))</f>
        <v>Life Sciences</v>
      </c>
      <c r="D242" s="87">
        <f t="array" ref="D242">INDEX(Score,MATCH(A242,Name,0))</f>
        <v>4.75</v>
      </c>
      <c r="E242" s="88">
        <f t="array" aca="1" ref="E242" ca="1">INDEX(Date,MATCH(A242,Name,0))</f>
        <v>44796</v>
      </c>
      <c r="F242" s="86" t="s">
        <v>13327</v>
      </c>
      <c r="G242" s="86" t="s">
        <v>13311</v>
      </c>
      <c r="H242" s="86" t="str">
        <f t="array" ref="H242">IFERROR(INDEX('2022-2023 Third Reviews'!K:K,MATCH(A242,'2022-2023 Third Reviews'!C:C,0)),"")</f>
        <v/>
      </c>
      <c r="I242" s="89" t="s">
        <v>1676</v>
      </c>
      <c r="J242" s="89" t="s">
        <v>1677</v>
      </c>
      <c r="K242" s="89" t="str">
        <f t="array" ref="K242">IFERROR(INDEX('2022-2023 Third Reviews'!L:L,MATCH(A242,'2022-2023 Third Reviews'!C:C,0)),"")</f>
        <v/>
      </c>
      <c r="L242" s="90" t="str">
        <f t="array" ref="L242">INDEX(AppNotes,MATCH(A242,Name,0))</f>
        <v>Strong team with prior acquisitions, has patent; for interview is team fully spun out from princeton, who is your customer base currently?</v>
      </c>
      <c r="M242" s="91" t="str">
        <f t="array" aca="1" ref="M242" ca="1">INDEX(Team,MATCH(A242,'Key Metrics'!B:B,0))</f>
        <v>Prefer not to respond, Prefer not to respond</v>
      </c>
      <c r="N242" s="87" t="str">
        <f t="array" aca="1" ref="N242" ca="1">IF(INDEX('Key Metrics'!F:F,MATCH(A242,'Key Metrics'!B:B,0))="Woman","Yes","")</f>
        <v/>
      </c>
      <c r="O242" s="87" t="str">
        <f t="shared" ca="1" si="0"/>
        <v/>
      </c>
      <c r="P242" s="92">
        <f t="array" ref="P242">INDEX(Referral,MATCH(A242,Name,0))</f>
        <v>0</v>
      </c>
      <c r="Q242" s="92">
        <f t="array" aca="1" ref="Q242" ca="1">IF(INDEX(NYUAfillType,MATCH(A242,'Key Metrics'!B:B,0))="Other (please specify)",INDEX('Key Metrics'!N:N,MATCH(A242,'Key Metrics'!B:B,0)),INDEX(NYUAfillType,MATCH(A242,'Key Metrics'!B:B,0)))</f>
        <v>0</v>
      </c>
      <c r="R242" s="93" t="str">
        <f t="array" aca="1" ref="R242" ca="1">IF(INDEX('Key Metrics'!Q:Q,MATCH(A242,'Key Metrics'!B:B,0))="No","",INDEX('Key Metrics'!Q:Q,MATCH(A242,'Key Metrics'!B:B,0)))</f>
        <v/>
      </c>
      <c r="S242" s="94" t="str">
        <f t="shared" si="1"/>
        <v>Invite</v>
      </c>
      <c r="T242" s="95" t="s">
        <v>18</v>
      </c>
      <c r="U242" s="95" t="b">
        <v>0</v>
      </c>
      <c r="V242" s="95" t="b">
        <v>0</v>
      </c>
      <c r="W242" s="95" t="b">
        <v>0</v>
      </c>
      <c r="X242" s="91"/>
      <c r="Y242" s="111" t="str">
        <f t="array" ref="Y242">INDEX('LS Shortlist'!U:U,MATCH(A242,'LS Shortlist'!B:B,0))</f>
        <v>Invite</v>
      </c>
    </row>
    <row r="243" spans="1:25" ht="44">
      <c r="A243" s="97" t="s">
        <v>301</v>
      </c>
      <c r="B243" s="98" t="str">
        <f t="array" ref="B243">INDEX(Interview,MATCH(A243,Name,0))</f>
        <v>Invite</v>
      </c>
      <c r="C243" s="98" t="str">
        <f t="array" ref="C243">INDEX(Track,MATCH(A243,Name,0))</f>
        <v>Life Sciences</v>
      </c>
      <c r="D243" s="99">
        <f t="array" ref="D243">INDEX(Score,MATCH(A243,Name,0))</f>
        <v>5</v>
      </c>
      <c r="E243" s="100">
        <f t="array" aca="1" ref="E243" ca="1">INDEX(Date,MATCH(A243,Name,0))</f>
        <v>44784</v>
      </c>
      <c r="F243" s="98" t="s">
        <v>13310</v>
      </c>
      <c r="G243" s="98" t="s">
        <v>13345</v>
      </c>
      <c r="H243" s="98" t="str">
        <f t="array" ref="H243">IFERROR(INDEX('2022-2023 Third Reviews'!K:K,MATCH(A243,'2022-2023 Third Reviews'!C:C,0)),"")</f>
        <v/>
      </c>
      <c r="I243" s="101" t="s">
        <v>1685</v>
      </c>
      <c r="J243" s="101" t="s">
        <v>1686</v>
      </c>
      <c r="K243" s="101" t="str">
        <f t="array" ref="K243">IFERROR(INDEX('2022-2023 Third Reviews'!L:L,MATCH(A243,'2022-2023 Third Reviews'!C:C,0)),"")</f>
        <v/>
      </c>
      <c r="L243" s="102" t="str">
        <f t="array" ref="L243">INDEX(AppNotes,MATCH(A243,Name,0))</f>
        <v>developing parkinson discrete device to help patients walk without wobbling; already selling in the UK; demo video seems to show quite a remarkable and immediate change for patients when using device. Also reminds patients to take meds</v>
      </c>
      <c r="M243" s="103" t="str">
        <f t="array" aca="1" ref="M243" ca="1">INDEX(Team,MATCH(A243,'Key Metrics'!B:B,0))</f>
        <v>Woman, Man, Man, Woman</v>
      </c>
      <c r="N243" s="99" t="str">
        <f t="array" aca="1" ref="N243" ca="1">IF(INDEX('Key Metrics'!F:F,MATCH(A243,'Key Metrics'!B:B,0))="Woman","Yes","")</f>
        <v>Yes</v>
      </c>
      <c r="O243" s="99" t="str">
        <f t="shared" ca="1" si="0"/>
        <v>Yes</v>
      </c>
      <c r="P243" s="104" t="str">
        <f t="array" ref="P243">INDEX(Referral,MATCH(A243,Name,0))</f>
        <v>Deepak Hegde</v>
      </c>
      <c r="Q243" s="104">
        <f t="array" aca="1" ref="Q243" ca="1">IF(INDEX(NYUAfillType,MATCH(A243,'Key Metrics'!B:B,0))="Other (please specify)",INDEX('Key Metrics'!N:N,MATCH(A243,'Key Metrics'!B:B,0)),INDEX(NYUAfillType,MATCH(A243,'Key Metrics'!B:B,0)))</f>
        <v>0</v>
      </c>
      <c r="R243" s="105" t="str">
        <f t="array" aca="1" ref="R243" ca="1">IF(INDEX('Key Metrics'!Q:Q,MATCH(A243,'Key Metrics'!B:B,0))="No","",INDEX('Key Metrics'!Q:Q,MATCH(A243,'Key Metrics'!B:B,0)))</f>
        <v/>
      </c>
      <c r="S243" s="106" t="str">
        <f t="shared" si="1"/>
        <v>Invite</v>
      </c>
      <c r="T243" s="107" t="s">
        <v>18</v>
      </c>
      <c r="U243" s="107" t="b">
        <v>0</v>
      </c>
      <c r="V243" s="107" t="b">
        <v>0</v>
      </c>
      <c r="W243" s="107" t="b">
        <v>0</v>
      </c>
      <c r="X243" s="103"/>
      <c r="Y243" s="110" t="str">
        <f t="array" ref="Y243">INDEX('LS Shortlist'!U:U,MATCH(A243,'LS Shortlist'!B:B,0))</f>
        <v>Invite</v>
      </c>
    </row>
    <row r="244" spans="1:25" ht="88" hidden="1">
      <c r="A244" s="109" t="s">
        <v>302</v>
      </c>
      <c r="B244" s="86" t="str">
        <f t="array" ref="B244">INDEX(Interview,MATCH(A244,Name,0))</f>
        <v>Revisit</v>
      </c>
      <c r="C244" s="86" t="str">
        <f t="array" ref="C244">INDEX(Track,MATCH(A244,Name,0))</f>
        <v>Digital Tech</v>
      </c>
      <c r="D244" s="87">
        <f t="array" ref="D244">INDEX(Score,MATCH(A244,Name,0))</f>
        <v>3.5</v>
      </c>
      <c r="E244" s="88">
        <f t="array" aca="1" ref="E244" ca="1">INDEX(Date,MATCH(A244,Name,0))</f>
        <v>44797</v>
      </c>
      <c r="F244" s="86" t="s">
        <v>13313</v>
      </c>
      <c r="G244" s="86" t="s">
        <v>13377</v>
      </c>
      <c r="H244" s="86" t="str">
        <f t="array" ref="H244">IFERROR(INDEX('2022-2023 Third Reviews'!K:K,MATCH(A244,'2022-2023 Third Reviews'!C:C,0)),"")</f>
        <v/>
      </c>
      <c r="I244" s="89" t="s">
        <v>9433</v>
      </c>
      <c r="J244" s="89" t="s">
        <v>9434</v>
      </c>
      <c r="K244" s="89" t="str">
        <f t="array" ref="K244">IFERROR(INDEX('2022-2023 Third Reviews'!L:L,MATCH(A244,'2022-2023 Third Reviews'!C:C,0)),"")</f>
        <v/>
      </c>
      <c r="L244" s="90" t="str">
        <f t="array" ref="L244">INDEX(AppNotes,MATCH(A244,Name,0))</f>
        <v>no code; aim to be excel of big data; demo only shows small data set manipulation; validation not described very well; large market opp, google advisors; have 90K in revenue from beta version; likely not patentable;</v>
      </c>
      <c r="M244" s="91" t="str">
        <f t="array" aca="1" ref="M244" ca="1">INDEX(Team,MATCH(A244,'Key Metrics'!B:B,0))</f>
        <v>Man, Man</v>
      </c>
      <c r="N244" s="87" t="str">
        <f t="array" aca="1" ref="N244" ca="1">IF(INDEX('Key Metrics'!F:F,MATCH(A244,'Key Metrics'!B:B,0))="Woman","Yes","")</f>
        <v/>
      </c>
      <c r="O244" s="87" t="str">
        <f t="shared" ca="1" si="0"/>
        <v/>
      </c>
      <c r="P244" s="92">
        <f t="array" ref="P244">INDEX(Referral,MATCH(A244,Name,0))</f>
        <v>0</v>
      </c>
      <c r="Q244" s="92">
        <f t="array" aca="1" ref="Q244" ca="1">IF(INDEX(NYUAfillType,MATCH(A244,'Key Metrics'!B:B,0))="Other (please specify)",INDEX('Key Metrics'!N:N,MATCH(A244,'Key Metrics'!B:B,0)),INDEX(NYUAfillType,MATCH(A244,'Key Metrics'!B:B,0)))</f>
        <v>0</v>
      </c>
      <c r="R244" s="93" t="str">
        <f t="array" aca="1" ref="R244" ca="1">IF(INDEX('Key Metrics'!Q:Q,MATCH(A244,'Key Metrics'!B:B,0))="No","",INDEX('Key Metrics'!Q:Q,MATCH(A244,'Key Metrics'!B:B,0)))</f>
        <v/>
      </c>
      <c r="S244" s="94" t="str">
        <f t="shared" si="1"/>
        <v>Invite Next Year</v>
      </c>
      <c r="T244" s="95" t="s">
        <v>24</v>
      </c>
      <c r="U244" s="95" t="b">
        <v>0</v>
      </c>
      <c r="V244" s="95" t="b">
        <v>0</v>
      </c>
      <c r="W244" s="95" t="b">
        <v>0</v>
      </c>
      <c r="X244" s="96"/>
      <c r="Y244" s="94">
        <f t="array" ref="Y244">INDEX('DiT - 2022-2023 Applications Re'!U:U,MATCH(A244,'DiT - 2022-2023 Applications Re'!B:B,0))</f>
        <v>0</v>
      </c>
    </row>
    <row r="245" spans="1:25" ht="154" hidden="1">
      <c r="A245" s="97" t="s">
        <v>303</v>
      </c>
      <c r="B245" s="98" t="str">
        <f t="array" ref="B245">INDEX(Interview,MATCH(A245,Name,0))</f>
        <v>Invite</v>
      </c>
      <c r="C245" s="98" t="str">
        <f t="array" ref="C245">INDEX(Track,MATCH(A245,Name,0))</f>
        <v>Life Sciences</v>
      </c>
      <c r="D245" s="99">
        <f t="array" ref="D245">INDEX(Score,MATCH(A245,Name,0))</f>
        <v>4.25</v>
      </c>
      <c r="E245" s="100">
        <f t="array" aca="1" ref="E245" ca="1">INDEX(Date,MATCH(A245,Name,0))</f>
        <v>44796</v>
      </c>
      <c r="F245" s="98" t="s">
        <v>13327</v>
      </c>
      <c r="G245" s="98" t="s">
        <v>13314</v>
      </c>
      <c r="H245" s="98" t="str">
        <f t="array" ref="H245">IFERROR(INDEX('2022-2023 Third Reviews'!K:K,MATCH(A245,'2022-2023 Third Reviews'!C:C,0)),"")</f>
        <v/>
      </c>
      <c r="I245" s="101" t="s">
        <v>10705</v>
      </c>
      <c r="J245" s="101" t="s">
        <v>10706</v>
      </c>
      <c r="K245" s="101" t="str">
        <f t="array" ref="K245">IFERROR(INDEX('2022-2023 Third Reviews'!L:L,MATCH(A245,'2022-2023 Third Reviews'!C:C,0)),"")</f>
        <v/>
      </c>
      <c r="L245" s="102">
        <f t="array" ref="L245">INDEX(AppNotes,MATCH(A245,Name,0))</f>
        <v>0</v>
      </c>
      <c r="M245" s="103" t="str">
        <f t="array" aca="1" ref="M245" ca="1">INDEX(Team,MATCH(A245,'Key Metrics'!B:B,0))</f>
        <v>Man, Man, Man, Man</v>
      </c>
      <c r="N245" s="99" t="str">
        <f t="array" aca="1" ref="N245" ca="1">IF(INDEX('Key Metrics'!F:F,MATCH(A245,'Key Metrics'!B:B,0))="Woman","Yes","")</f>
        <v/>
      </c>
      <c r="O245" s="99" t="str">
        <f t="shared" ca="1" si="0"/>
        <v/>
      </c>
      <c r="P245" s="104">
        <f t="array" ref="P245">INDEX(Referral,MATCH(A245,Name,0))</f>
        <v>0</v>
      </c>
      <c r="Q245" s="104">
        <f t="array" aca="1" ref="Q245" ca="1">IF(INDEX(NYUAfillType,MATCH(A245,'Key Metrics'!B:B,0))="Other (please specify)",INDEX('Key Metrics'!N:N,MATCH(A245,'Key Metrics'!B:B,0)),INDEX(NYUAfillType,MATCH(A245,'Key Metrics'!B:B,0)))</f>
        <v>0</v>
      </c>
      <c r="R245" s="105" t="str">
        <f t="array" aca="1" ref="R245" ca="1">IF(INDEX('Key Metrics'!Q:Q,MATCH(A245,'Key Metrics'!B:B,0))="No","",INDEX('Key Metrics'!Q:Q,MATCH(A245,'Key Metrics'!B:B,0)))</f>
        <v/>
      </c>
      <c r="S245" s="106" t="str">
        <f t="shared" si="1"/>
        <v>Invite</v>
      </c>
      <c r="T245" s="107" t="s">
        <v>18</v>
      </c>
      <c r="U245" s="107" t="b">
        <v>0</v>
      </c>
      <c r="V245" s="107" t="b">
        <v>0</v>
      </c>
      <c r="W245" s="107" t="b">
        <v>0</v>
      </c>
      <c r="X245" s="103"/>
      <c r="Y245" s="110" t="str">
        <f t="array" ref="Y245">INDEX('LS Shortlist'!U:U,MATCH(A245,'LS Shortlist'!B:B,0))</f>
        <v>Invite</v>
      </c>
    </row>
    <row r="246" spans="1:25" ht="42" hidden="1">
      <c r="A246" s="109" t="s">
        <v>304</v>
      </c>
      <c r="B246" s="86" t="str">
        <f t="array" ref="B246">INDEX(Interview,MATCH(A246,Name,0))</f>
        <v>Revisit/ Cluster</v>
      </c>
      <c r="C246" s="86" t="str">
        <f t="array" ref="C246">INDEX(Track,MATCH(A246,Name,0))</f>
        <v>Digital Tech</v>
      </c>
      <c r="D246" s="87">
        <f t="array" ref="D246">INDEX(Score,MATCH(A246,Name,0))</f>
        <v>3.5</v>
      </c>
      <c r="E246" s="88">
        <f t="array" aca="1" ref="E246" ca="1">INDEX(Date,MATCH(A246,Name,0))</f>
        <v>44789</v>
      </c>
      <c r="F246" s="86" t="s">
        <v>13313</v>
      </c>
      <c r="G246" s="86" t="s">
        <v>13315</v>
      </c>
      <c r="H246" s="86" t="str">
        <f t="array" aca="1" ref="H246" ca="1">IFERROR(INDEX('2022-2023 Third Reviews'!K:K,MATCH(A246,'2022-2023 Third Reviews'!C:C,0)),"")</f>
        <v>John McDonald
2</v>
      </c>
      <c r="I246" s="89" t="s">
        <v>11462</v>
      </c>
      <c r="J246" s="89" t="s">
        <v>9528</v>
      </c>
      <c r="K246" s="89">
        <f t="array" aca="1" ref="K246" ca="1">IFERROR(INDEX('2022-2023 Third Reviews'!L:L,MATCH(A246,'2022-2023 Third Reviews'!C:C,0)),"")</f>
        <v>0</v>
      </c>
      <c r="L246" s="90" t="str">
        <f t="array" ref="L246">INDEX(AppNotes,MATCH(A246,Name,0))</f>
        <v>change to DiT; machine learning component to improve efficiency of clinical trials; strong team out of oxford mckinsey, google, astrozeneca; not a lot of data supplied; want to see results of trials not just their anecdotal evidence of improvement in workflow</v>
      </c>
      <c r="M246" s="91" t="str">
        <f t="array" aca="1" ref="M246" ca="1">INDEX(Team,MATCH(A246,'Key Metrics'!B:B,0))</f>
        <v>Man, Gender-nonconforming, Man</v>
      </c>
      <c r="N246" s="87" t="str">
        <f t="array" aca="1" ref="N246" ca="1">IF(INDEX('Key Metrics'!F:F,MATCH(A246,'Key Metrics'!B:B,0))="Woman","Yes","")</f>
        <v/>
      </c>
      <c r="O246" s="87" t="str">
        <f t="shared" ca="1" si="0"/>
        <v/>
      </c>
      <c r="P246" s="92">
        <f t="array" ref="P246">INDEX(Referral,MATCH(A246,Name,0))</f>
        <v>0</v>
      </c>
      <c r="Q246" s="92">
        <f t="array" aca="1" ref="Q246" ca="1">IF(INDEX(NYUAfillType,MATCH(A246,'Key Metrics'!B:B,0))="Other (please specify)",INDEX('Key Metrics'!N:N,MATCH(A246,'Key Metrics'!B:B,0)),INDEX(NYUAfillType,MATCH(A246,'Key Metrics'!B:B,0)))</f>
        <v>0</v>
      </c>
      <c r="R246" s="93" t="str">
        <f t="array" aca="1" ref="R246" ca="1">IF(INDEX('Key Metrics'!Q:Q,MATCH(A246,'Key Metrics'!B:B,0))="No","",INDEX('Key Metrics'!Q:Q,MATCH(A246,'Key Metrics'!B:B,0)))</f>
        <v/>
      </c>
      <c r="S246" s="94" t="str">
        <f t="shared" si="1"/>
        <v>Invite Next Year</v>
      </c>
      <c r="T246" s="95" t="s">
        <v>24</v>
      </c>
      <c r="U246" s="95" t="b">
        <v>0</v>
      </c>
      <c r="V246" s="95" t="b">
        <v>0</v>
      </c>
      <c r="W246" s="95" t="b">
        <v>0</v>
      </c>
      <c r="X246" s="96"/>
      <c r="Y246" s="94">
        <f t="array" ref="Y246">INDEX('DiT - 2022-2023 Applications Re'!U:U,MATCH(A246,'DiT - 2022-2023 Applications Re'!B:B,0))</f>
        <v>0</v>
      </c>
    </row>
    <row r="247" spans="1:25" ht="66" hidden="1">
      <c r="A247" s="97" t="s">
        <v>305</v>
      </c>
      <c r="B247" s="98" t="str">
        <f t="array" ref="B247">INDEX(Interview,MATCH(A247,Name,0))</f>
        <v>Revisit/ Cluster</v>
      </c>
      <c r="C247" s="98" t="str">
        <f t="array" ref="C247">INDEX(Track,MATCH(A247,Name,0))</f>
        <v>Digital Tech</v>
      </c>
      <c r="D247" s="99">
        <f t="array" ref="D247">INDEX(Score,MATCH(A247,Name,0))</f>
        <v>3.5</v>
      </c>
      <c r="E247" s="100">
        <f t="array" aca="1" ref="E247" ca="1">INDEX(Date,MATCH(A247,Name,0))</f>
        <v>44776</v>
      </c>
      <c r="F247" s="98" t="s">
        <v>13324</v>
      </c>
      <c r="G247" s="98" t="s">
        <v>13307</v>
      </c>
      <c r="H247" s="98" t="str">
        <f t="array" aca="1" ref="H247" ca="1">IFERROR(INDEX('2022-2023 Third Reviews'!K:K,MATCH(A247,'2022-2023 Third Reviews'!C:C,0)),"")</f>
        <v>Chris Millisits
4</v>
      </c>
      <c r="I247" s="101" t="s">
        <v>9561</v>
      </c>
      <c r="J247" s="101" t="s">
        <v>11458</v>
      </c>
      <c r="K247" s="101" t="str">
        <f t="array" aca="1" ref="K247" ca="1">IFERROR(INDEX('2022-2023 Third Reviews'!L:L,MATCH(A247,'2022-2023 Third Reviews'!C:C,0)),"")</f>
        <v>Strong team with repeat founder. Strong traction.
Biggest concern is that this idea rests on the notion that hotels want to move away from dynamic pricing for business travelers. The hypothesis would be that enough buildup of corporate demand for noktos would put pressure on hotels to offer fixed (but still premium) pricing.</v>
      </c>
      <c r="L247" s="102" t="str">
        <f t="array" ref="L247">INDEX(AppNotes,MATCH(A247,Name,0))</f>
        <v>Potential DiT; Stern alum; NYU affiliations; Mark to revisit</v>
      </c>
      <c r="M247" s="103" t="str">
        <f t="array" aca="1" ref="M247" ca="1">INDEX(Team,MATCH(A247,'Key Metrics'!B:B,0))</f>
        <v>Man, Man, Man, Man</v>
      </c>
      <c r="N247" s="99" t="str">
        <f t="array" aca="1" ref="N247" ca="1">IF(INDEX('Key Metrics'!F:F,MATCH(A247,'Key Metrics'!B:B,0))="Woman","Yes","")</f>
        <v/>
      </c>
      <c r="O247" s="99" t="str">
        <f t="shared" ca="1" si="0"/>
        <v/>
      </c>
      <c r="P247" s="104">
        <f t="array" ref="P247">INDEX(Referral,MATCH(A247,Name,0))</f>
        <v>0</v>
      </c>
      <c r="Q247" s="104">
        <f t="array" aca="1" ref="Q247" ca="1">IF(INDEX(NYUAfillType,MATCH(A247,'Key Metrics'!B:B,0))="Other (please specify)",INDEX('Key Metrics'!N:N,MATCH(A247,'Key Metrics'!B:B,0)),INDEX(NYUAfillType,MATCH(A247,'Key Metrics'!B:B,0)))</f>
        <v>0</v>
      </c>
      <c r="R247" s="105" t="str">
        <f t="array" aca="1" ref="R247" ca="1">IF(INDEX('Key Metrics'!Q:Q,MATCH(A247,'Key Metrics'!B:B,0))="No","",INDEX('Key Metrics'!Q:Q,MATCH(A247,'Key Metrics'!B:B,0)))</f>
        <v/>
      </c>
      <c r="S247" s="106" t="str">
        <f t="shared" si="1"/>
        <v>Invite Next Year</v>
      </c>
      <c r="T247" s="107" t="s">
        <v>24</v>
      </c>
      <c r="U247" s="107" t="b">
        <v>0</v>
      </c>
      <c r="V247" s="107" t="b">
        <v>0</v>
      </c>
      <c r="W247" s="107" t="b">
        <v>0</v>
      </c>
      <c r="X247" s="108"/>
      <c r="Y247" s="106">
        <f t="array" ref="Y247">INDEX('DiT - 2022-2023 Applications Re'!U:U,MATCH(A247,'DiT - 2022-2023 Applications Re'!B:B,0))</f>
        <v>0</v>
      </c>
    </row>
    <row r="248" spans="1:25" ht="55" hidden="1">
      <c r="A248" s="109" t="s">
        <v>306</v>
      </c>
      <c r="B248" s="86" t="str">
        <f t="array" ref="B248">INDEX(Interview,MATCH(A248,Name,0))</f>
        <v>Revisit/ Cluster</v>
      </c>
      <c r="C248" s="86" t="str">
        <f t="array" ref="C248">INDEX(Track,MATCH(A248,Name,0))</f>
        <v>Digital Tech</v>
      </c>
      <c r="D248" s="87">
        <f t="array" ref="D248">INDEX(Score,MATCH(A248,Name,0))</f>
        <v>3.25</v>
      </c>
      <c r="E248" s="88">
        <f t="array" aca="1" ref="E248" ca="1">INDEX(Date,MATCH(A248,Name,0))</f>
        <v>44776</v>
      </c>
      <c r="F248" s="86" t="s">
        <v>13324</v>
      </c>
      <c r="G248" s="86" t="s">
        <v>13309</v>
      </c>
      <c r="H248" s="86" t="str">
        <f t="array" ref="H248">IFERROR(INDEX('2022-2023 Third Reviews'!K:K,MATCH(A248,'2022-2023 Third Reviews'!C:C,0)),"")</f>
        <v/>
      </c>
      <c r="I248" s="89" t="s">
        <v>9501</v>
      </c>
      <c r="J248" s="89" t="s">
        <v>10226</v>
      </c>
      <c r="K248" s="89" t="str">
        <f t="array" ref="K248">IFERROR(INDEX('2022-2023 Third Reviews'!L:L,MATCH(A248,'2022-2023 Third Reviews'!C:C,0)),"")</f>
        <v/>
      </c>
      <c r="L248" s="90" t="str">
        <f t="array" ref="L248">INDEX(AppNotes,MATCH(A248,Name,0))</f>
        <v>DiT; strong tech; revisit if no representation in this space; further along</v>
      </c>
      <c r="M248" s="91" t="str">
        <f t="array" aca="1" ref="M248" ca="1">INDEX(Team,MATCH(A248,'Key Metrics'!B:B,0))</f>
        <v>Man, Man</v>
      </c>
      <c r="N248" s="87" t="str">
        <f t="array" aca="1" ref="N248" ca="1">IF(INDEX('Key Metrics'!F:F,MATCH(A248,'Key Metrics'!B:B,0))="Woman","Yes","")</f>
        <v/>
      </c>
      <c r="O248" s="87" t="str">
        <f t="shared" ca="1" si="0"/>
        <v/>
      </c>
      <c r="P248" s="92" t="str">
        <f t="array" ref="P248">INDEX(Referral,MATCH(A248,Name,0))</f>
        <v>Beth Xie</v>
      </c>
      <c r="Q248" s="92">
        <f t="array" aca="1" ref="Q248" ca="1">IF(INDEX(NYUAfillType,MATCH(A248,'Key Metrics'!B:B,0))="Other (please specify)",INDEX('Key Metrics'!N:N,MATCH(A248,'Key Metrics'!B:B,0)),INDEX(NYUAfillType,MATCH(A248,'Key Metrics'!B:B,0)))</f>
        <v>0</v>
      </c>
      <c r="R248" s="93" t="str">
        <f t="array" aca="1" ref="R248" ca="1">IF(INDEX('Key Metrics'!Q:Q,MATCH(A248,'Key Metrics'!B:B,0))="No","",INDEX('Key Metrics'!Q:Q,MATCH(A248,'Key Metrics'!B:B,0)))</f>
        <v/>
      </c>
      <c r="S248" s="94" t="str">
        <f t="shared" si="1"/>
        <v>Invite Next Year</v>
      </c>
      <c r="T248" s="95" t="s">
        <v>24</v>
      </c>
      <c r="U248" s="95" t="b">
        <v>0</v>
      </c>
      <c r="V248" s="95" t="b">
        <v>0</v>
      </c>
      <c r="W248" s="95" t="b">
        <v>0</v>
      </c>
      <c r="X248" s="96"/>
      <c r="Y248" s="94">
        <f t="array" ref="Y248">INDEX('DiT - 2022-2023 Applications Re'!U:U,MATCH(A248,'DiT - 2022-2023 Applications Re'!B:B,0))</f>
        <v>0</v>
      </c>
    </row>
    <row r="249" spans="1:25" ht="66" hidden="1">
      <c r="A249" s="97" t="s">
        <v>307</v>
      </c>
      <c r="B249" s="98" t="str">
        <f t="array" ref="B249">INDEX(Interview,MATCH(A249,Name,0))</f>
        <v>Revisit</v>
      </c>
      <c r="C249" s="98" t="str">
        <f t="array" ref="C249">INDEX(Track,MATCH(A249,Name,0))</f>
        <v>Digital Tech</v>
      </c>
      <c r="D249" s="99">
        <f t="array" ref="D249">INDEX(Score,MATCH(A249,Name,0))</f>
        <v>3.25</v>
      </c>
      <c r="E249" s="100">
        <f t="array" aca="1" ref="E249" ca="1">INDEX(Date,MATCH(A249,Name,0))</f>
        <v>44791</v>
      </c>
      <c r="F249" s="98" t="s">
        <v>13308</v>
      </c>
      <c r="G249" s="98" t="s">
        <v>13333</v>
      </c>
      <c r="H249" s="98" t="str">
        <f t="array" ref="H249">IFERROR(INDEX('2022-2023 Third Reviews'!K:K,MATCH(A249,'2022-2023 Third Reviews'!C:C,0)),"")</f>
        <v/>
      </c>
      <c r="I249" s="101" t="s">
        <v>11290</v>
      </c>
      <c r="J249" s="101" t="s">
        <v>11291</v>
      </c>
      <c r="K249" s="101" t="str">
        <f t="array" ref="K249">IFERROR(INDEX('2022-2023 Third Reviews'!L:L,MATCH(A249,'2022-2023 Third Reviews'!C:C,0)),"")</f>
        <v/>
      </c>
      <c r="L249" s="102" t="str">
        <f t="array" ref="L249">INDEX(AppNotes,MATCH(A249,Name,0))</f>
        <v>change to DiT; claim to have 10M in sales; unclear why they need EFL's help/mentorship? looking more for NYU resources/funding access</v>
      </c>
      <c r="M249" s="103" t="str">
        <f t="array" aca="1" ref="M249" ca="1">INDEX(Team,MATCH(A249,'Key Metrics'!B:B,0))</f>
        <v>Man</v>
      </c>
      <c r="N249" s="99" t="str">
        <f t="array" aca="1" ref="N249" ca="1">IF(INDEX('Key Metrics'!F:F,MATCH(A249,'Key Metrics'!B:B,0))="Woman","Yes","")</f>
        <v/>
      </c>
      <c r="O249" s="99" t="str">
        <f t="shared" ca="1" si="0"/>
        <v/>
      </c>
      <c r="P249" s="104">
        <f t="array" ref="P249">INDEX(Referral,MATCH(A249,Name,0))</f>
        <v>0</v>
      </c>
      <c r="Q249" s="104">
        <f t="array" aca="1" ref="Q249" ca="1">IF(INDEX(NYUAfillType,MATCH(A249,'Key Metrics'!B:B,0))="Other (please specify)",INDEX('Key Metrics'!N:N,MATCH(A249,'Key Metrics'!B:B,0)),INDEX(NYUAfillType,MATCH(A249,'Key Metrics'!B:B,0)))</f>
        <v>0</v>
      </c>
      <c r="R249" s="105" t="str">
        <f t="array" aca="1" ref="R249" ca="1">IF(INDEX('Key Metrics'!Q:Q,MATCH(A249,'Key Metrics'!B:B,0))="No","",INDEX('Key Metrics'!Q:Q,MATCH(A249,'Key Metrics'!B:B,0)))</f>
        <v/>
      </c>
      <c r="S249" s="106" t="str">
        <f t="shared" si="1"/>
        <v>Invite Next Year</v>
      </c>
      <c r="T249" s="107" t="s">
        <v>24</v>
      </c>
      <c r="U249" s="107" t="b">
        <v>0</v>
      </c>
      <c r="V249" s="107" t="b">
        <v>0</v>
      </c>
      <c r="W249" s="107" t="b">
        <v>0</v>
      </c>
      <c r="X249" s="108"/>
      <c r="Y249" s="106">
        <f t="array" ref="Y249">INDEX('DiT - 2022-2023 Applications Re'!U:U,MATCH(A249,'DiT - 2022-2023 Applications Re'!B:B,0))</f>
        <v>0</v>
      </c>
    </row>
    <row r="250" spans="1:25" ht="33" hidden="1">
      <c r="A250" s="109" t="s">
        <v>308</v>
      </c>
      <c r="B250" s="86" t="str">
        <f t="array" ref="B250">INDEX(Interview,MATCH(A250,Name,0))</f>
        <v>Revisit/ Cluster</v>
      </c>
      <c r="C250" s="86" t="str">
        <f t="array" ref="C250">INDEX(Track,MATCH(A250,Name,0))</f>
        <v>Life Sciences</v>
      </c>
      <c r="D250" s="87">
        <f t="array" ref="D250">INDEX(Score,MATCH(A250,Name,0))</f>
        <v>3</v>
      </c>
      <c r="E250" s="88">
        <f t="array" aca="1" ref="E250" ca="1">INDEX(Date,MATCH(A250,Name,0))</f>
        <v>44782</v>
      </c>
      <c r="F250" s="86" t="s">
        <v>13313</v>
      </c>
      <c r="G250" s="86" t="s">
        <v>13394</v>
      </c>
      <c r="H250" s="86" t="str">
        <f t="array" aca="1" ref="H250" ca="1">IFERROR(INDEX('2022-2023 Third Reviews'!K:K,MATCH(A250,'2022-2023 Third Reviews'!C:C,0)),"")</f>
        <v>Jason Yu
3</v>
      </c>
      <c r="I250" s="89" t="s">
        <v>9653</v>
      </c>
      <c r="J250" s="89" t="s">
        <v>9654</v>
      </c>
      <c r="K250" s="89" t="str">
        <f t="array" aca="1" ref="K250" ca="1">IFERROR(INDEX('2022-2023 Third Reviews'!L:L,MATCH(A250,'2022-2023 Third Reviews'!C:C,0)),"")</f>
        <v>Underlying technology is unclear.</v>
      </c>
      <c r="L250" s="90" t="str">
        <f t="array" ref="L250">INDEX(AppNotes,MATCH(A250,Name,0))</f>
        <v>Change to DT; eliminated synthetic fert and pest; have shown success in 130 crops so far; revisit and cluster</v>
      </c>
      <c r="M250" s="91" t="str">
        <f t="array" aca="1" ref="M250" ca="1">INDEX(Team,MATCH(A250,'Key Metrics'!B:B,0))</f>
        <v>Man, Man</v>
      </c>
      <c r="N250" s="87" t="str">
        <f t="array" aca="1" ref="N250" ca="1">IF(INDEX('Key Metrics'!F:F,MATCH(A250,'Key Metrics'!B:B,0))="Woman","Yes","")</f>
        <v/>
      </c>
      <c r="O250" s="87" t="str">
        <f t="shared" ca="1" si="0"/>
        <v/>
      </c>
      <c r="P250" s="92" t="str">
        <f t="array" ref="P250">INDEX(Referral,MATCH(A250,Name,0))</f>
        <v>Chris Mosher &lt;czm8092@stern.nyu.edu&gt;</v>
      </c>
      <c r="Q250" s="92">
        <f t="array" aca="1" ref="Q250" ca="1">IF(INDEX(NYUAfillType,MATCH(A250,'Key Metrics'!B:B,0))="Other (please specify)",INDEX('Key Metrics'!N:N,MATCH(A250,'Key Metrics'!B:B,0)),INDEX(NYUAfillType,MATCH(A250,'Key Metrics'!B:B,0)))</f>
        <v>0</v>
      </c>
      <c r="R250" s="93" t="str">
        <f t="array" aca="1" ref="R250" ca="1">IF(INDEX('Key Metrics'!Q:Q,MATCH(A250,'Key Metrics'!B:B,0))="No","",INDEX('Key Metrics'!Q:Q,MATCH(A250,'Key Metrics'!B:B,0)))</f>
        <v/>
      </c>
      <c r="S250" s="94" t="str">
        <f t="shared" si="1"/>
        <v>Special Reject</v>
      </c>
      <c r="T250" s="95" t="s">
        <v>23</v>
      </c>
      <c r="U250" s="95" t="b">
        <v>0</v>
      </c>
      <c r="V250" s="95" t="b">
        <v>1</v>
      </c>
      <c r="W250" s="95" t="b">
        <v>0</v>
      </c>
      <c r="X250" s="91"/>
      <c r="Y250" s="111" t="str">
        <f t="array" ref="Y250">INDEX('LS Shortlist'!U:U,MATCH(A250,'LS Shortlist'!B:B,0))</f>
        <v>Special Reject</v>
      </c>
    </row>
    <row r="251" spans="1:25" ht="88">
      <c r="A251" s="97" t="s">
        <v>309</v>
      </c>
      <c r="B251" s="98" t="str">
        <f t="array" ref="B251">INDEX(Interview,MATCH(A251,Name,0))</f>
        <v>Invite</v>
      </c>
      <c r="C251" s="98" t="str">
        <f t="array" ref="C251">INDEX(Track,MATCH(A251,Name,0))</f>
        <v>Digital Tech</v>
      </c>
      <c r="D251" s="99">
        <f t="array" ref="D251">INDEX(Score,MATCH(A251,Name,0))</f>
        <v>4.75</v>
      </c>
      <c r="E251" s="100">
        <f t="array" aca="1" ref="E251" ca="1">INDEX(Date,MATCH(A251,Name,0))</f>
        <v>44789</v>
      </c>
      <c r="F251" s="98" t="s">
        <v>13362</v>
      </c>
      <c r="G251" s="98" t="s">
        <v>13365</v>
      </c>
      <c r="H251" s="98" t="str">
        <f t="array" ref="H251">IFERROR(INDEX('2022-2023 Third Reviews'!K:K,MATCH(A251,'2022-2023 Third Reviews'!C:C,0)),"")</f>
        <v/>
      </c>
      <c r="I251" s="101" t="s">
        <v>11460</v>
      </c>
      <c r="J251" s="101" t="s">
        <v>1595</v>
      </c>
      <c r="K251" s="101" t="str">
        <f t="array" ref="K251">IFERROR(INDEX('2022-2023 Third Reviews'!L:L,MATCH(A251,'2022-2023 Third Reviews'!C:C,0)),"")</f>
        <v/>
      </c>
      <c r="L251" s="102" t="str">
        <f t="array" ref="L251">INDEX(AppNotes,MATCH(A251,Name,0))</f>
        <v>Uses AI to interpret newborn cries for follow up action by caregivers; strong global market; contract agreements with 3 larges baby companies in europe, US and China; also working with LG electronics and has done testing in hospitals; strong demand and good traction</v>
      </c>
      <c r="M251" s="103" t="str">
        <f t="array" aca="1" ref="M251" ca="1">INDEX(Team,MATCH(A251,'Key Metrics'!B:B,0))</f>
        <v>Man, Woman, Man, Man</v>
      </c>
      <c r="N251" s="99" t="str">
        <f t="array" aca="1" ref="N251" ca="1">IF(INDEX('Key Metrics'!F:F,MATCH(A251,'Key Metrics'!B:B,0))="Woman","Yes","")</f>
        <v/>
      </c>
      <c r="O251" s="99" t="str">
        <f t="shared" ca="1" si="0"/>
        <v>Yes</v>
      </c>
      <c r="P251" s="104">
        <f t="array" ref="P251">INDEX(Referral,MATCH(A251,Name,0))</f>
        <v>0</v>
      </c>
      <c r="Q251" s="104">
        <f t="array" aca="1" ref="Q251" ca="1">IF(INDEX(NYUAfillType,MATCH(A251,'Key Metrics'!B:B,0))="Other (please specify)",INDEX('Key Metrics'!N:N,MATCH(A251,'Key Metrics'!B:B,0)),INDEX(NYUAfillType,MATCH(A251,'Key Metrics'!B:B,0)))</f>
        <v>0</v>
      </c>
      <c r="R251" s="105" t="str">
        <f t="array" aca="1" ref="R251" ca="1">IF(INDEX('Key Metrics'!Q:Q,MATCH(A251,'Key Metrics'!B:B,0))="No","",INDEX('Key Metrics'!Q:Q,MATCH(A251,'Key Metrics'!B:B,0)))</f>
        <v/>
      </c>
      <c r="S251" s="106" t="str">
        <f t="shared" si="1"/>
        <v>Invite</v>
      </c>
      <c r="T251" s="107" t="s">
        <v>18</v>
      </c>
      <c r="U251" s="107" t="b">
        <v>0</v>
      </c>
      <c r="V251" s="107" t="b">
        <v>0</v>
      </c>
      <c r="W251" s="107" t="b">
        <v>0</v>
      </c>
      <c r="X251" s="108"/>
      <c r="Y251" s="106" t="str">
        <f t="array" ref="Y251">INDEX('DiT - 2022-2023 Applications Re'!U:U,MATCH(A251,'DiT - 2022-2023 Applications Re'!B:B,0))</f>
        <v>Invite</v>
      </c>
    </row>
    <row r="252" spans="1:25" ht="55">
      <c r="A252" s="109" t="s">
        <v>310</v>
      </c>
      <c r="B252" s="86" t="str">
        <f t="array" ref="B252">INDEX(Interview,MATCH(A252,Name,0))</f>
        <v>Invite</v>
      </c>
      <c r="C252" s="86" t="str">
        <f t="array" ref="C252">INDEX(Track,MATCH(A252,Name,0))</f>
        <v>Life Sciences</v>
      </c>
      <c r="D252" s="87">
        <f t="array" ref="D252">INDEX(Score,MATCH(A252,Name,0))</f>
        <v>4.5</v>
      </c>
      <c r="E252" s="88">
        <f t="array" aca="1" ref="E252" ca="1">INDEX(Date,MATCH(A252,Name,0))</f>
        <v>44789</v>
      </c>
      <c r="F252" s="86" t="s">
        <v>13327</v>
      </c>
      <c r="G252" s="86" t="s">
        <v>13328</v>
      </c>
      <c r="H252" s="86" t="str">
        <f t="array" aca="1" ref="H252" ca="1">IFERROR(INDEX('2022-2023 Third Reviews'!K:K,MATCH(A252,'2022-2023 Third Reviews'!C:C,0)),"")</f>
        <v>John McDonald
5</v>
      </c>
      <c r="I252" s="89" t="s">
        <v>1702</v>
      </c>
      <c r="J252" s="89" t="s">
        <v>1703</v>
      </c>
      <c r="K252" s="89">
        <f t="array" aca="1" ref="K252" ca="1">IFERROR(INDEX('2022-2023 Third Reviews'!L:L,MATCH(A252,'2022-2023 Third Reviews'!C:C,0)),"")</f>
        <v>0</v>
      </c>
      <c r="L252" s="90">
        <f t="array" ref="L252">INDEX(AppNotes,MATCH(A252,Name,0))</f>
        <v>0</v>
      </c>
      <c r="M252" s="91" t="str">
        <f t="array" aca="1" ref="M252" ca="1">INDEX(Team,MATCH(A252,'Key Metrics'!B:B,0))</f>
        <v>Man, Woman</v>
      </c>
      <c r="N252" s="87" t="str">
        <f t="array" aca="1" ref="N252" ca="1">IF(INDEX('Key Metrics'!F:F,MATCH(A252,'Key Metrics'!B:B,0))="Woman","Yes","")</f>
        <v/>
      </c>
      <c r="O252" s="87" t="str">
        <f t="shared" ca="1" si="0"/>
        <v>Yes</v>
      </c>
      <c r="P252" s="92">
        <f t="array" ref="P252">INDEX(Referral,MATCH(A252,Name,0))</f>
        <v>0</v>
      </c>
      <c r="Q252" s="92">
        <f t="array" aca="1" ref="Q252" ca="1">IF(INDEX(NYUAfillType,MATCH(A252,'Key Metrics'!B:B,0))="Other (please specify)",INDEX('Key Metrics'!N:N,MATCH(A252,'Key Metrics'!B:B,0)),INDEX(NYUAfillType,MATCH(A252,'Key Metrics'!B:B,0)))</f>
        <v>0</v>
      </c>
      <c r="R252" s="93" t="str">
        <f t="array" aca="1" ref="R252" ca="1">IF(INDEX('Key Metrics'!Q:Q,MATCH(A252,'Key Metrics'!B:B,0))="No","",INDEX('Key Metrics'!Q:Q,MATCH(A252,'Key Metrics'!B:B,0)))</f>
        <v/>
      </c>
      <c r="S252" s="94" t="str">
        <f t="shared" si="1"/>
        <v>Invite</v>
      </c>
      <c r="T252" s="95" t="s">
        <v>18</v>
      </c>
      <c r="U252" s="95" t="b">
        <v>0</v>
      </c>
      <c r="V252" s="95" t="b">
        <v>0</v>
      </c>
      <c r="W252" s="95" t="b">
        <v>0</v>
      </c>
      <c r="X252" s="91"/>
      <c r="Y252" s="111" t="str">
        <f t="array" ref="Y252">INDEX('LS Shortlist'!U:U,MATCH(A252,'LS Shortlist'!B:B,0))</f>
        <v>Invite</v>
      </c>
    </row>
    <row r="253" spans="1:25" ht="33" hidden="1">
      <c r="A253" s="97" t="s">
        <v>311</v>
      </c>
      <c r="B253" s="98" t="str">
        <f t="array" ref="B253">INDEX(Interview,MATCH(A253,Name,0))</f>
        <v>Invite</v>
      </c>
      <c r="C253" s="98" t="str">
        <f t="array" ref="C253">INDEX(Track,MATCH(A253,Name,0))</f>
        <v>Life Sciences</v>
      </c>
      <c r="D253" s="99">
        <f t="array" ref="D253">INDEX(Score,MATCH(A253,Name,0))</f>
        <v>5</v>
      </c>
      <c r="E253" s="100">
        <f t="array" aca="1" ref="E253" ca="1">INDEX(Date,MATCH(A253,Name,0))</f>
        <v>44782</v>
      </c>
      <c r="F253" s="98" t="s">
        <v>13310</v>
      </c>
      <c r="G253" s="98" t="s">
        <v>13390</v>
      </c>
      <c r="H253" s="98" t="str">
        <f t="array" ref="H253">IFERROR(INDEX('2022-2023 Third Reviews'!K:K,MATCH(A253,'2022-2023 Third Reviews'!C:C,0)),"")</f>
        <v/>
      </c>
      <c r="I253" s="101" t="s">
        <v>1710</v>
      </c>
      <c r="J253" s="101" t="s">
        <v>11413</v>
      </c>
      <c r="K253" s="101" t="str">
        <f t="array" ref="K253">IFERROR(INDEX('2022-2023 Third Reviews'!L:L,MATCH(A253,'2022-2023 Third Reviews'!C:C,0)),"")</f>
        <v/>
      </c>
      <c r="L253" s="102">
        <f t="array" ref="L253">INDEX(AppNotes,MATCH(A253,Name,0))</f>
        <v>0</v>
      </c>
      <c r="M253" s="103" t="str">
        <f t="array" aca="1" ref="M253" ca="1">INDEX(Team,MATCH(A253,'Key Metrics'!B:B,0))</f>
        <v>Man</v>
      </c>
      <c r="N253" s="99" t="str">
        <f t="array" aca="1" ref="N253" ca="1">IF(INDEX('Key Metrics'!F:F,MATCH(A253,'Key Metrics'!B:B,0))="Woman","Yes","")</f>
        <v/>
      </c>
      <c r="O253" s="99" t="str">
        <f t="shared" ca="1" si="0"/>
        <v/>
      </c>
      <c r="P253" s="104" t="str">
        <f t="array" ref="P253">INDEX(Referral,MATCH(A253,Name,0))</f>
        <v>Brenton Fargnoli</v>
      </c>
      <c r="Q253" s="104">
        <f t="array" aca="1" ref="Q253" ca="1">IF(INDEX(NYUAfillType,MATCH(A253,'Key Metrics'!B:B,0))="Other (please specify)",INDEX('Key Metrics'!N:N,MATCH(A253,'Key Metrics'!B:B,0)),INDEX(NYUAfillType,MATCH(A253,'Key Metrics'!B:B,0)))</f>
        <v>0</v>
      </c>
      <c r="R253" s="105" t="str">
        <f t="array" aca="1" ref="R253" ca="1">IF(INDEX('Key Metrics'!Q:Q,MATCH(A253,'Key Metrics'!B:B,0))="No","",INDEX('Key Metrics'!Q:Q,MATCH(A253,'Key Metrics'!B:B,0)))</f>
        <v/>
      </c>
      <c r="S253" s="106" t="str">
        <f t="shared" si="1"/>
        <v>Invite</v>
      </c>
      <c r="T253" s="107" t="s">
        <v>18</v>
      </c>
      <c r="U253" s="107" t="b">
        <v>0</v>
      </c>
      <c r="V253" s="107" t="b">
        <v>0</v>
      </c>
      <c r="W253" s="107" t="b">
        <v>0</v>
      </c>
      <c r="X253" s="103"/>
      <c r="Y253" s="110" t="str">
        <f t="array" ref="Y253">INDEX('LS Shortlist'!U:U,MATCH(A253,'LS Shortlist'!B:B,0))</f>
        <v>Invite</v>
      </c>
    </row>
    <row r="254" spans="1:25" ht="110" hidden="1">
      <c r="A254" s="109" t="s">
        <v>312</v>
      </c>
      <c r="B254" s="86" t="str">
        <f t="array" ref="B254">INDEX(Interview,MATCH(A254,Name,0))</f>
        <v>Invite</v>
      </c>
      <c r="C254" s="86" t="str">
        <f t="array" ref="C254">INDEX(Track,MATCH(A254,Name,0))</f>
        <v>Life Sciences</v>
      </c>
      <c r="D254" s="87">
        <f t="array" ref="D254">INDEX(Score,MATCH(A254,Name,0))</f>
        <v>3.75</v>
      </c>
      <c r="E254" s="88">
        <f t="array" aca="1" ref="E254" ca="1">INDEX(Date,MATCH(A254,Name,0))</f>
        <v>44791</v>
      </c>
      <c r="F254" s="86" t="s">
        <v>13322</v>
      </c>
      <c r="G254" s="86" t="s">
        <v>13314</v>
      </c>
      <c r="H254" s="86" t="str">
        <f t="array" aca="1" ref="H254" ca="1">IFERROR(INDEX('2022-2023 Third Reviews'!K:K,MATCH(A254,'2022-2023 Third Reviews'!C:C,0)),"")</f>
        <v>Nick Schmandt
5</v>
      </c>
      <c r="I254" s="89" t="s">
        <v>9662</v>
      </c>
      <c r="J254" s="89" t="s">
        <v>9663</v>
      </c>
      <c r="K254" s="89" t="str">
        <f t="array" aca="1" ref="K254" ca="1">IFERROR(INDEX('2022-2023 Third Reviews'!L:L,MATCH(A254,'2022-2023 Third Reviews'!C:C,0)),"")</f>
        <v>Seems like a great product, I'm unclear why they chose toothpaste as the delivery vector, instead of something like gum or other oral medication. But certainly looks promising.</v>
      </c>
      <c r="L254" s="90" t="str">
        <f t="array" ref="L254">INDEX(AppNotes,MATCH(A254,Name,0))</f>
        <v>revist in DT or keep in LS?; toothpaste to cure allergies; (think low dose exposure but instead of injections its in the toothpaste); dosage is controlled by pump they send you; 2.5K in revenue; tested in 100s of patients, say they've posted data but not submitted; accomplished a lot with small raise; team doesn't have exp. in allergy or immuno field; pharma mentors perhaps not interested? Invite in LS, maybe move to DT after interview</v>
      </c>
      <c r="M254" s="91" t="str">
        <f t="array" aca="1" ref="M254" ca="1">INDEX(Team,MATCH(A254,'Key Metrics'!B:B,0))</f>
        <v>Man, Woman, Man, Man, Woman</v>
      </c>
      <c r="N254" s="87" t="str">
        <f t="array" aca="1" ref="N254" ca="1">IF(INDEX('Key Metrics'!F:F,MATCH(A254,'Key Metrics'!B:B,0))="Woman","Yes","")</f>
        <v/>
      </c>
      <c r="O254" s="87" t="str">
        <f t="shared" ca="1" si="0"/>
        <v>Yes</v>
      </c>
      <c r="P254" s="92" t="str">
        <f t="array" ref="P254">INDEX(Referral,MATCH(A254,Name,0))</f>
        <v>Chris Mosher</v>
      </c>
      <c r="Q254" s="92">
        <f t="array" aca="1" ref="Q254" ca="1">IF(INDEX(NYUAfillType,MATCH(A254,'Key Metrics'!B:B,0))="Other (please specify)",INDEX('Key Metrics'!N:N,MATCH(A254,'Key Metrics'!B:B,0)),INDEX(NYUAfillType,MATCH(A254,'Key Metrics'!B:B,0)))</f>
        <v>0</v>
      </c>
      <c r="R254" s="93" t="str">
        <f t="array" aca="1" ref="R254" ca="1">IF(INDEX('Key Metrics'!Q:Q,MATCH(A254,'Key Metrics'!B:B,0))="No","",INDEX('Key Metrics'!Q:Q,MATCH(A254,'Key Metrics'!B:B,0)))</f>
        <v/>
      </c>
      <c r="S254" s="94" t="str">
        <f t="shared" si="1"/>
        <v>Special Reject</v>
      </c>
      <c r="T254" s="95" t="s">
        <v>23</v>
      </c>
      <c r="U254" s="95" t="b">
        <v>0</v>
      </c>
      <c r="V254" s="95" t="b">
        <v>0</v>
      </c>
      <c r="W254" s="95" t="b">
        <v>0</v>
      </c>
      <c r="X254" s="91"/>
      <c r="Y254" s="111" t="str">
        <f t="array" ref="Y254">INDEX('LS Shortlist'!U:U,MATCH(A254,'LS Shortlist'!B:B,0))</f>
        <v>Special Reject</v>
      </c>
    </row>
    <row r="255" spans="1:25" ht="44" hidden="1">
      <c r="A255" s="97" t="s">
        <v>313</v>
      </c>
      <c r="B255" s="98" t="str">
        <f t="array" ref="B255">INDEX(Interview,MATCH(A255,Name,0))</f>
        <v>Invite</v>
      </c>
      <c r="C255" s="98" t="str">
        <f t="array" ref="C255">INDEX(Track,MATCH(A255,Name,0))</f>
        <v>Life Sciences</v>
      </c>
      <c r="D255" s="99">
        <f t="array" ref="D255">INDEX(Score,MATCH(A255,Name,0))</f>
        <v>4.75</v>
      </c>
      <c r="E255" s="100">
        <f t="array" aca="1" ref="E255" ca="1">INDEX(Date,MATCH(A255,Name,0))</f>
        <v>44782</v>
      </c>
      <c r="F255" s="98" t="s">
        <v>13310</v>
      </c>
      <c r="G255" s="98" t="s">
        <v>13328</v>
      </c>
      <c r="H255" s="98" t="str">
        <f t="array" ref="H255">IFERROR(INDEX('2022-2023 Third Reviews'!K:K,MATCH(A255,'2022-2023 Third Reviews'!C:C,0)),"")</f>
        <v/>
      </c>
      <c r="I255" s="101" t="s">
        <v>1719</v>
      </c>
      <c r="J255" s="101" t="s">
        <v>1720</v>
      </c>
      <c r="K255" s="101" t="str">
        <f t="array" ref="K255">IFERROR(INDEX('2022-2023 Third Reviews'!L:L,MATCH(A255,'2022-2023 Third Reviews'!C:C,0)),"")</f>
        <v/>
      </c>
      <c r="L255" s="102">
        <f t="array" ref="L255">INDEX(AppNotes,MATCH(A255,Name,0))</f>
        <v>0</v>
      </c>
      <c r="M255" s="103" t="str">
        <f t="array" aca="1" ref="M255" ca="1">INDEX(Team,MATCH(A255,'Key Metrics'!B:B,0))</f>
        <v>Man, Man</v>
      </c>
      <c r="N255" s="99" t="str">
        <f t="array" aca="1" ref="N255" ca="1">IF(INDEX('Key Metrics'!F:F,MATCH(A255,'Key Metrics'!B:B,0))="Woman","Yes","")</f>
        <v/>
      </c>
      <c r="O255" s="99" t="str">
        <f t="shared" ca="1" si="0"/>
        <v/>
      </c>
      <c r="P255" s="104">
        <f t="array" ref="P255">INDEX(Referral,MATCH(A255,Name,0))</f>
        <v>0</v>
      </c>
      <c r="Q255" s="104">
        <f t="array" aca="1" ref="Q255" ca="1">IF(INDEX(NYUAfillType,MATCH(A255,'Key Metrics'!B:B,0))="Other (please specify)",INDEX('Key Metrics'!N:N,MATCH(A255,'Key Metrics'!B:B,0)),INDEX(NYUAfillType,MATCH(A255,'Key Metrics'!B:B,0)))</f>
        <v>0</v>
      </c>
      <c r="R255" s="105" t="str">
        <f t="array" aca="1" ref="R255" ca="1">IF(INDEX('Key Metrics'!Q:Q,MATCH(A255,'Key Metrics'!B:B,0))="No","",INDEX('Key Metrics'!Q:Q,MATCH(A255,'Key Metrics'!B:B,0)))</f>
        <v/>
      </c>
      <c r="S255" s="106" t="str">
        <f t="shared" si="1"/>
        <v>Invite</v>
      </c>
      <c r="T255" s="107" t="s">
        <v>18</v>
      </c>
      <c r="U255" s="107" t="b">
        <v>0</v>
      </c>
      <c r="V255" s="107" t="b">
        <v>0</v>
      </c>
      <c r="W255" s="107" t="b">
        <v>0</v>
      </c>
      <c r="X255" s="103"/>
      <c r="Y255" s="110" t="str">
        <f t="array" ref="Y255">INDEX('LS Shortlist'!U:U,MATCH(A255,'LS Shortlist'!B:B,0))</f>
        <v>Invite</v>
      </c>
    </row>
    <row r="256" spans="1:25" ht="44" hidden="1">
      <c r="A256" s="109" t="s">
        <v>314</v>
      </c>
      <c r="B256" s="86" t="str">
        <f t="array" ref="B256">INDEX(Interview,MATCH(A256,Name,0))</f>
        <v>Invite</v>
      </c>
      <c r="C256" s="86" t="str">
        <f t="array" ref="C256">INDEX(Track,MATCH(A256,Name,0))</f>
        <v>Life Sciences</v>
      </c>
      <c r="D256" s="87">
        <f t="array" ref="D256">INDEX(Score,MATCH(A256,Name,0))</f>
        <v>5</v>
      </c>
      <c r="E256" s="88">
        <f t="array" aca="1" ref="E256" ca="1">INDEX(Date,MATCH(A256,Name,0))</f>
        <v>44791</v>
      </c>
      <c r="F256" s="86" t="s">
        <v>13336</v>
      </c>
      <c r="G256" s="86" t="s">
        <v>13311</v>
      </c>
      <c r="H256" s="86" t="str">
        <f t="array" ref="H256">IFERROR(INDEX('2022-2023 Third Reviews'!K:K,MATCH(A256,'2022-2023 Third Reviews'!C:C,0)),"")</f>
        <v/>
      </c>
      <c r="I256" s="89" t="s">
        <v>10523</v>
      </c>
      <c r="J256" s="89" t="s">
        <v>1728</v>
      </c>
      <c r="K256" s="89" t="str">
        <f t="array" ref="K256">IFERROR(INDEX('2022-2023 Third Reviews'!L:L,MATCH(A256,'2022-2023 Third Reviews'!C:C,0)),"")</f>
        <v/>
      </c>
      <c r="L256" s="90" t="str">
        <f t="array" ref="L256">INDEX(AppNotes,MATCH(A256,Name,0))</f>
        <v>team is combo of MBAs and PHDs from Duke; One of founders is out of a Pfizer acquired startup; platform not fully developed, but background science solid; concern: most of team is part time, one full time founder (Director of R&amp;D);</v>
      </c>
      <c r="M256" s="91" t="str">
        <f t="array" aca="1" ref="M256" ca="1">INDEX(Team,MATCH(A256,'Key Metrics'!B:B,0))</f>
        <v>Man, Man, Man, Man</v>
      </c>
      <c r="N256" s="87" t="str">
        <f t="array" aca="1" ref="N256" ca="1">IF(INDEX('Key Metrics'!F:F,MATCH(A256,'Key Metrics'!B:B,0))="Woman","Yes","")</f>
        <v/>
      </c>
      <c r="O256" s="87" t="str">
        <f t="shared" ca="1" si="0"/>
        <v/>
      </c>
      <c r="P256" s="92">
        <f t="array" ref="P256">INDEX(Referral,MATCH(A256,Name,0))</f>
        <v>0</v>
      </c>
      <c r="Q256" s="92">
        <f t="array" aca="1" ref="Q256" ca="1">IF(INDEX(NYUAfillType,MATCH(A256,'Key Metrics'!B:B,0))="Other (please specify)",INDEX('Key Metrics'!N:N,MATCH(A256,'Key Metrics'!B:B,0)),INDEX(NYUAfillType,MATCH(A256,'Key Metrics'!B:B,0)))</f>
        <v>0</v>
      </c>
      <c r="R256" s="93" t="str">
        <f t="array" aca="1" ref="R256" ca="1">IF(INDEX('Key Metrics'!Q:Q,MATCH(A256,'Key Metrics'!B:B,0))="No","",INDEX('Key Metrics'!Q:Q,MATCH(A256,'Key Metrics'!B:B,0)))</f>
        <v/>
      </c>
      <c r="S256" s="94" t="str">
        <f t="shared" si="1"/>
        <v>Invite</v>
      </c>
      <c r="T256" s="95" t="s">
        <v>18</v>
      </c>
      <c r="U256" s="95" t="b">
        <v>0</v>
      </c>
      <c r="V256" s="95" t="b">
        <v>0</v>
      </c>
      <c r="W256" s="95" t="b">
        <v>0</v>
      </c>
      <c r="X256" s="91"/>
      <c r="Y256" s="111" t="str">
        <f t="array" ref="Y256">INDEX('LS Shortlist'!U:U,MATCH(A256,'LS Shortlist'!B:B,0))</f>
        <v>Invite</v>
      </c>
    </row>
    <row r="257" spans="1:25" ht="44">
      <c r="A257" s="97" t="s">
        <v>315</v>
      </c>
      <c r="B257" s="98" t="str">
        <f t="array" ref="B257">INDEX(Interview,MATCH(A257,Name,0))</f>
        <v>Invite</v>
      </c>
      <c r="C257" s="98" t="str">
        <f t="array" ref="C257">INDEX(Track,MATCH(A257,Name,0))</f>
        <v>Life Sciences</v>
      </c>
      <c r="D257" s="99">
        <f t="array" ref="D257">INDEX(Score,MATCH(A257,Name,0))</f>
        <v>4</v>
      </c>
      <c r="E257" s="100">
        <f t="array" aca="1" ref="E257" ca="1">INDEX(Date,MATCH(A257,Name,0))</f>
        <v>44789</v>
      </c>
      <c r="F257" s="98" t="s">
        <v>13319</v>
      </c>
      <c r="G257" s="98" t="s">
        <v>13314</v>
      </c>
      <c r="H257" s="98" t="str">
        <f t="array" aca="1" ref="H257" ca="1">IFERROR(INDEX('2022-2023 Third Reviews'!K:K,MATCH(A257,'2022-2023 Third Reviews'!C:C,0)),"")</f>
        <v>Nick Schmandt
2</v>
      </c>
      <c r="I257" s="101" t="s">
        <v>1736</v>
      </c>
      <c r="J257" s="101" t="s">
        <v>1737</v>
      </c>
      <c r="K257" s="101" t="str">
        <f t="array" aca="1" ref="K257" ca="1">IFERROR(INDEX('2022-2023 Third Reviews'!L:L,MATCH(A257,'2022-2023 Third Reviews'!C:C,0)),"")</f>
        <v xml:space="preserve">Very unproven technology, inexperienced team. </v>
      </c>
      <c r="L257" s="102">
        <f t="array" ref="L257">INDEX(AppNotes,MATCH(A257,Name,0))</f>
        <v>0</v>
      </c>
      <c r="M257" s="103" t="str">
        <f t="array" aca="1" ref="M257" ca="1">INDEX(Team,MATCH(A257,'Key Metrics'!B:B,0))</f>
        <v>Woman, Prefer not to respond</v>
      </c>
      <c r="N257" s="99" t="str">
        <f t="array" aca="1" ref="N257" ca="1">IF(INDEX('Key Metrics'!F:F,MATCH(A257,'Key Metrics'!B:B,0))="Woman","Yes","")</f>
        <v>Yes</v>
      </c>
      <c r="O257" s="99" t="str">
        <f t="shared" ref="O257:O351" ca="1" si="2">IF(COUNTIF(M257,"*"&amp;"Woman"&amp;"*")&gt;=1,"Yes","")</f>
        <v>Yes</v>
      </c>
      <c r="P257" s="104" t="str">
        <f t="array" ref="P257">INDEX(Referral,MATCH(A257,Name,0))</f>
        <v>DEEPAK HEGDE, Professor of Management, NEC Faculty Fellow</v>
      </c>
      <c r="Q257" s="104">
        <f t="array" aca="1" ref="Q257" ca="1">IF(INDEX(NYUAfillType,MATCH(A257,'Key Metrics'!B:B,0))="Other (please specify)",INDEX('Key Metrics'!N:N,MATCH(A257,'Key Metrics'!B:B,0)),INDEX(NYUAfillType,MATCH(A257,'Key Metrics'!B:B,0)))</f>
        <v>0</v>
      </c>
      <c r="R257" s="105" t="str">
        <f t="array" aca="1" ref="R257" ca="1">IF(INDEX('Key Metrics'!Q:Q,MATCH(A257,'Key Metrics'!B:B,0))="No","",INDEX('Key Metrics'!Q:Q,MATCH(A257,'Key Metrics'!B:B,0)))</f>
        <v/>
      </c>
      <c r="S257" s="106" t="str">
        <f t="shared" ref="S257:S351" si="3">IF(T257="",B257,T257)</f>
        <v>Invite</v>
      </c>
      <c r="T257" s="107" t="s">
        <v>18</v>
      </c>
      <c r="U257" s="107" t="b">
        <v>0</v>
      </c>
      <c r="V257" s="107" t="b">
        <v>0</v>
      </c>
      <c r="W257" s="107" t="b">
        <v>0</v>
      </c>
      <c r="X257" s="103"/>
      <c r="Y257" s="110" t="str">
        <f t="array" ref="Y257">INDEX('LS Shortlist'!U:U,MATCH(A257,'LS Shortlist'!B:B,0))</f>
        <v>Invite</v>
      </c>
    </row>
    <row r="258" spans="1:25" ht="66">
      <c r="A258" s="109" t="s">
        <v>316</v>
      </c>
      <c r="B258" s="86" t="str">
        <f t="array" ref="B258">INDEX(Interview,MATCH(A258,Name,0))</f>
        <v>Invite</v>
      </c>
      <c r="C258" s="86" t="str">
        <f t="array" ref="C258">INDEX(Track,MATCH(A258,Name,0))</f>
        <v>Life Sciences</v>
      </c>
      <c r="D258" s="87">
        <f t="array" ref="D258">INDEX(Score,MATCH(A258,Name,0))</f>
        <v>4.5</v>
      </c>
      <c r="E258" s="88">
        <f t="array" aca="1" ref="E258" ca="1">INDEX(Date,MATCH(A258,Name,0))</f>
        <v>44782</v>
      </c>
      <c r="F258" s="86" t="s">
        <v>13327</v>
      </c>
      <c r="G258" s="86" t="s">
        <v>13328</v>
      </c>
      <c r="H258" s="86" t="str">
        <f t="array" aca="1" ref="H258" ca="1">IFERROR(INDEX('2022-2023 Third Reviews'!K:K,MATCH(A258,'2022-2023 Third Reviews'!C:C,0)),"")</f>
        <v>John McDonald
4</v>
      </c>
      <c r="I258" s="89" t="s">
        <v>1745</v>
      </c>
      <c r="J258" s="89" t="s">
        <v>1746</v>
      </c>
      <c r="K258" s="89">
        <f t="array" aca="1" ref="K258" ca="1">IFERROR(INDEX('2022-2023 Third Reviews'!L:L,MATCH(A258,'2022-2023 Third Reviews'!C:C,0)),"")</f>
        <v>0</v>
      </c>
      <c r="L258" s="90">
        <f t="array" ref="L258">INDEX(AppNotes,MATCH(A258,Name,0))</f>
        <v>0</v>
      </c>
      <c r="M258" s="91" t="str">
        <f t="array" aca="1" ref="M258" ca="1">INDEX(Team,MATCH(A258,'Key Metrics'!B:B,0))</f>
        <v>Woman, Man</v>
      </c>
      <c r="N258" s="87" t="str">
        <f t="array" aca="1" ref="N258" ca="1">IF(INDEX('Key Metrics'!F:F,MATCH(A258,'Key Metrics'!B:B,0))="Woman","Yes","")</f>
        <v>Yes</v>
      </c>
      <c r="O258" s="87" t="str">
        <f t="shared" ca="1" si="2"/>
        <v>Yes</v>
      </c>
      <c r="P258" s="92">
        <f t="array" ref="P258">INDEX(Referral,MATCH(A258,Name,0))</f>
        <v>0</v>
      </c>
      <c r="Q258" s="92" t="str">
        <f t="array" aca="1" ref="Q258" ca="1">IF(INDEX(NYUAfillType,MATCH(A258,'Key Metrics'!B:B,0))="Other (please specify)",INDEX('Key Metrics'!N:N,MATCH(A258,'Key Metrics'!B:B,0)),INDEX(NYUAfillType,MATCH(A258,'Key Metrics'!B:B,0)))</f>
        <v>NYU Staff</v>
      </c>
      <c r="R258" s="93" t="str">
        <f t="array" aca="1" ref="R258" ca="1">IF(INDEX('Key Metrics'!Q:Q,MATCH(A258,'Key Metrics'!B:B,0))="No","",INDEX('Key Metrics'!Q:Q,MATCH(A258,'Key Metrics'!B:B,0)))</f>
        <v>Yes</v>
      </c>
      <c r="S258" s="94" t="str">
        <f t="shared" si="3"/>
        <v>Invite</v>
      </c>
      <c r="T258" s="95" t="s">
        <v>18</v>
      </c>
      <c r="U258" s="95" t="b">
        <v>0</v>
      </c>
      <c r="V258" s="95" t="b">
        <v>0</v>
      </c>
      <c r="W258" s="95" t="b">
        <v>0</v>
      </c>
      <c r="X258" s="91"/>
      <c r="Y258" s="111" t="str">
        <f t="array" ref="Y258">INDEX('LS Shortlist'!U:U,MATCH(A258,'LS Shortlist'!B:B,0))</f>
        <v>Invite</v>
      </c>
    </row>
    <row r="259" spans="1:25" ht="66" hidden="1">
      <c r="A259" s="97" t="s">
        <v>317</v>
      </c>
      <c r="B259" s="98" t="str">
        <f t="array" ref="B259">INDEX(Interview,MATCH(A259,Name,0))</f>
        <v>Invite</v>
      </c>
      <c r="C259" s="98" t="str">
        <f t="array" ref="C259">INDEX(Track,MATCH(A259,Name,0))</f>
        <v>Life Sciences</v>
      </c>
      <c r="D259" s="99">
        <f t="array" ref="D259">INDEX(Score,MATCH(A259,Name,0))</f>
        <v>4.25</v>
      </c>
      <c r="E259" s="100">
        <f t="array" aca="1" ref="E259" ca="1">INDEX(Date,MATCH(A259,Name,0))</f>
        <v>44789</v>
      </c>
      <c r="F259" s="98" t="s">
        <v>13327</v>
      </c>
      <c r="G259" s="98" t="s">
        <v>13314</v>
      </c>
      <c r="H259" s="98" t="str">
        <f t="array" ref="H259">IFERROR(INDEX('2022-2023 Third Reviews'!K:K,MATCH(A259,'2022-2023 Third Reviews'!C:C,0)),"")</f>
        <v/>
      </c>
      <c r="I259" s="101" t="s">
        <v>1753</v>
      </c>
      <c r="J259" s="101" t="s">
        <v>1754</v>
      </c>
      <c r="K259" s="101" t="str">
        <f t="array" ref="K259">IFERROR(INDEX('2022-2023 Third Reviews'!L:L,MATCH(A259,'2022-2023 Third Reviews'!C:C,0)),"")</f>
        <v/>
      </c>
      <c r="L259" s="102">
        <f t="array" ref="L259">INDEX(AppNotes,MATCH(A259,Name,0))</f>
        <v>0</v>
      </c>
      <c r="M259" s="103" t="str">
        <f t="array" aca="1" ref="M259" ca="1">INDEX(Team,MATCH(A259,'Key Metrics'!B:B,0))</f>
        <v>Man, Man, Man, Man</v>
      </c>
      <c r="N259" s="99" t="str">
        <f t="array" aca="1" ref="N259" ca="1">IF(INDEX('Key Metrics'!F:F,MATCH(A259,'Key Metrics'!B:B,0))="Woman","Yes","")</f>
        <v/>
      </c>
      <c r="O259" s="99" t="str">
        <f t="shared" ca="1" si="2"/>
        <v/>
      </c>
      <c r="P259" s="104" t="str">
        <f t="array" ref="P259">INDEX(Referral,MATCH(A259,Name,0))</f>
        <v>Marc Weill</v>
      </c>
      <c r="Q259" s="104">
        <f t="array" aca="1" ref="Q259" ca="1">IF(INDEX(NYUAfillType,MATCH(A259,'Key Metrics'!B:B,0))="Other (please specify)",INDEX('Key Metrics'!N:N,MATCH(A259,'Key Metrics'!B:B,0)),INDEX(NYUAfillType,MATCH(A259,'Key Metrics'!B:B,0)))</f>
        <v>0</v>
      </c>
      <c r="R259" s="105" t="str">
        <f t="array" aca="1" ref="R259" ca="1">IF(INDEX('Key Metrics'!Q:Q,MATCH(A259,'Key Metrics'!B:B,0))="No","",INDEX('Key Metrics'!Q:Q,MATCH(A259,'Key Metrics'!B:B,0)))</f>
        <v/>
      </c>
      <c r="S259" s="106" t="str">
        <f t="shared" si="3"/>
        <v>Invite</v>
      </c>
      <c r="T259" s="107" t="s">
        <v>18</v>
      </c>
      <c r="U259" s="107" t="b">
        <v>0</v>
      </c>
      <c r="V259" s="107" t="b">
        <v>0</v>
      </c>
      <c r="W259" s="107" t="b">
        <v>0</v>
      </c>
      <c r="X259" s="103"/>
      <c r="Y259" s="110" t="str">
        <f t="array" ref="Y259">INDEX('LS Shortlist'!U:U,MATCH(A259,'LS Shortlist'!B:B,0))</f>
        <v>Invite</v>
      </c>
    </row>
    <row r="260" spans="1:25" ht="33" hidden="1">
      <c r="A260" s="109" t="s">
        <v>318</v>
      </c>
      <c r="B260" s="86" t="str">
        <f t="array" ref="B260">INDEX(Interview,MATCH(A260,Name,0))</f>
        <v>Invite</v>
      </c>
      <c r="C260" s="86" t="str">
        <f t="array" ref="C260">INDEX(Track,MATCH(A260,Name,0))</f>
        <v>Life Sciences</v>
      </c>
      <c r="D260" s="87">
        <f t="array" ref="D260">INDEX(Score,MATCH(A260,Name,0))</f>
        <v>4</v>
      </c>
      <c r="E260" s="88">
        <f t="array" aca="1" ref="E260" ca="1">INDEX(Date,MATCH(A260,Name,0))</f>
        <v>44796</v>
      </c>
      <c r="F260" s="86" t="s">
        <v>13304</v>
      </c>
      <c r="G260" s="86" t="s">
        <v>13320</v>
      </c>
      <c r="H260" s="86" t="str">
        <f t="array" ref="H260">IFERROR(INDEX('2022-2023 Third Reviews'!K:K,MATCH(A260,'2022-2023 Third Reviews'!C:C,0)),"")</f>
        <v/>
      </c>
      <c r="I260" s="89" t="s">
        <v>11379</v>
      </c>
      <c r="J260" s="89" t="s">
        <v>9681</v>
      </c>
      <c r="K260" s="89" t="str">
        <f t="array" ref="K260">IFERROR(INDEX('2022-2023 Third Reviews'!L:L,MATCH(A260,'2022-2023 Third Reviews'!C:C,0)),"")</f>
        <v/>
      </c>
      <c r="L260" s="90">
        <f t="array" ref="L260">INDEX(AppNotes,MATCH(A260,Name,0))</f>
        <v>0</v>
      </c>
      <c r="M260" s="91" t="str">
        <f t="array" aca="1" ref="M260" ca="1">INDEX(Team,MATCH(A260,'Key Metrics'!B:B,0))</f>
        <v>Woman, Man, Man, Man</v>
      </c>
      <c r="N260" s="87" t="str">
        <f t="array" aca="1" ref="N260" ca="1">IF(INDEX('Key Metrics'!F:F,MATCH(A260,'Key Metrics'!B:B,0))="Woman","Yes","")</f>
        <v>Yes</v>
      </c>
      <c r="O260" s="87" t="str">
        <f t="shared" ca="1" si="2"/>
        <v>Yes</v>
      </c>
      <c r="P260" s="92">
        <f t="array" ref="P260">INDEX(Referral,MATCH(A260,Name,0))</f>
        <v>0</v>
      </c>
      <c r="Q260" s="92">
        <f t="array" aca="1" ref="Q260" ca="1">IF(INDEX(NYUAfillType,MATCH(A260,'Key Metrics'!B:B,0))="Other (please specify)",INDEX('Key Metrics'!N:N,MATCH(A260,'Key Metrics'!B:B,0)),INDEX(NYUAfillType,MATCH(A260,'Key Metrics'!B:B,0)))</f>
        <v>0</v>
      </c>
      <c r="R260" s="93" t="str">
        <f t="array" aca="1" ref="R260" ca="1">IF(INDEX('Key Metrics'!Q:Q,MATCH(A260,'Key Metrics'!B:B,0))="No","",INDEX('Key Metrics'!Q:Q,MATCH(A260,'Key Metrics'!B:B,0)))</f>
        <v/>
      </c>
      <c r="S260" s="94" t="str">
        <f t="shared" si="3"/>
        <v>Special Reject</v>
      </c>
      <c r="T260" s="95" t="s">
        <v>23</v>
      </c>
      <c r="U260" s="95" t="b">
        <v>0</v>
      </c>
      <c r="V260" s="95" t="b">
        <v>1</v>
      </c>
      <c r="W260" s="95" t="b">
        <v>0</v>
      </c>
      <c r="X260" s="91"/>
      <c r="Y260" s="111" t="str">
        <f t="array" ref="Y260">INDEX('LS Shortlist'!U:U,MATCH(A260,'LS Shortlist'!B:B,0))</f>
        <v>Special Reject</v>
      </c>
    </row>
    <row r="261" spans="1:25" ht="55" hidden="1">
      <c r="A261" s="97" t="s">
        <v>319</v>
      </c>
      <c r="B261" s="98" t="str">
        <f t="array" ref="B261">INDEX(Interview,MATCH(A261,Name,0))</f>
        <v>Invite</v>
      </c>
      <c r="C261" s="98" t="str">
        <f t="array" ref="C261">INDEX(Track,MATCH(A261,Name,0))</f>
        <v>Life Sciences</v>
      </c>
      <c r="D261" s="99">
        <f t="array" ref="D261">INDEX(Score,MATCH(A261,Name,0))</f>
        <v>4</v>
      </c>
      <c r="E261" s="100">
        <f t="array" aca="1" ref="E261" ca="1">INDEX(Date,MATCH(A261,Name,0))</f>
        <v>44789</v>
      </c>
      <c r="F261" s="98" t="s">
        <v>13319</v>
      </c>
      <c r="G261" s="98" t="s">
        <v>13320</v>
      </c>
      <c r="H261" s="98" t="str">
        <f t="array" aca="1" ref="H261" ca="1">IFERROR(INDEX('2022-2023 Third Reviews'!K:K,MATCH(A261,'2022-2023 Third Reviews'!C:C,0)),"")</f>
        <v>John McDonald
5</v>
      </c>
      <c r="I261" s="101" t="s">
        <v>1761</v>
      </c>
      <c r="J261" s="101" t="s">
        <v>1762</v>
      </c>
      <c r="K261" s="101">
        <f t="array" aca="1" ref="K261" ca="1">IFERROR(INDEX('2022-2023 Third Reviews'!L:L,MATCH(A261,'2022-2023 Third Reviews'!C:C,0)),"")</f>
        <v>0</v>
      </c>
      <c r="L261" s="102">
        <f t="array" ref="L261">INDEX(AppNotes,MATCH(A261,Name,0))</f>
        <v>0</v>
      </c>
      <c r="M261" s="103" t="str">
        <f t="array" aca="1" ref="M261" ca="1">INDEX(Team,MATCH(A261,'Key Metrics'!B:B,0))</f>
        <v>Man, Man</v>
      </c>
      <c r="N261" s="99" t="str">
        <f t="array" aca="1" ref="N261" ca="1">IF(INDEX('Key Metrics'!F:F,MATCH(A261,'Key Metrics'!B:B,0))="Woman","Yes","")</f>
        <v/>
      </c>
      <c r="O261" s="99" t="str">
        <f t="shared" ca="1" si="2"/>
        <v/>
      </c>
      <c r="P261" s="104">
        <f t="array" ref="P261">INDEX(Referral,MATCH(A261,Name,0))</f>
        <v>0</v>
      </c>
      <c r="Q261" s="104">
        <f t="array" aca="1" ref="Q261" ca="1">IF(INDEX(NYUAfillType,MATCH(A261,'Key Metrics'!B:B,0))="Other (please specify)",INDEX('Key Metrics'!N:N,MATCH(A261,'Key Metrics'!B:B,0)),INDEX(NYUAfillType,MATCH(A261,'Key Metrics'!B:B,0)))</f>
        <v>0</v>
      </c>
      <c r="R261" s="105" t="str">
        <f t="array" aca="1" ref="R261" ca="1">IF(INDEX('Key Metrics'!Q:Q,MATCH(A261,'Key Metrics'!B:B,0))="No","",INDEX('Key Metrics'!Q:Q,MATCH(A261,'Key Metrics'!B:B,0)))</f>
        <v/>
      </c>
      <c r="S261" s="106" t="str">
        <f t="shared" si="3"/>
        <v>Invite</v>
      </c>
      <c r="T261" s="107" t="s">
        <v>18</v>
      </c>
      <c r="U261" s="107" t="b">
        <v>0</v>
      </c>
      <c r="V261" s="107" t="b">
        <v>0</v>
      </c>
      <c r="W261" s="107" t="b">
        <v>0</v>
      </c>
      <c r="X261" s="103"/>
      <c r="Y261" s="110" t="str">
        <f t="array" ref="Y261">INDEX('LS Shortlist'!U:U,MATCH(A261,'LS Shortlist'!B:B,0))</f>
        <v>Invite</v>
      </c>
    </row>
    <row r="262" spans="1:25" ht="33">
      <c r="A262" s="109" t="s">
        <v>320</v>
      </c>
      <c r="B262" s="86" t="str">
        <f t="array" ref="B262">INDEX(Interview,MATCH(A262,Name,0))</f>
        <v>Invite</v>
      </c>
      <c r="C262" s="86" t="str">
        <f t="array" ref="C262">INDEX(Track,MATCH(A262,Name,0))</f>
        <v>Life Sciences</v>
      </c>
      <c r="D262" s="87">
        <f t="array" ref="D262">INDEX(Score,MATCH(A262,Name,0))</f>
        <v>4.25</v>
      </c>
      <c r="E262" s="88">
        <f t="array" aca="1" ref="E262" ca="1">INDEX(Date,MATCH(A262,Name,0))</f>
        <v>44782</v>
      </c>
      <c r="F262" s="86" t="s">
        <v>13319</v>
      </c>
      <c r="G262" s="86" t="s">
        <v>13328</v>
      </c>
      <c r="H262" s="86" t="str">
        <f t="array" aca="1" ref="H262" ca="1">IFERROR(INDEX('2022-2023 Third Reviews'!K:K,MATCH(A262,'2022-2023 Third Reviews'!C:C,0)),"")</f>
        <v>Nick Schmandt
2</v>
      </c>
      <c r="I262" s="89" t="s">
        <v>1769</v>
      </c>
      <c r="J262" s="89" t="s">
        <v>1770</v>
      </c>
      <c r="K262" s="89" t="str">
        <f t="array" aca="1" ref="K262" ca="1">IFERROR(INDEX('2022-2023 Third Reviews'!L:L,MATCH(A262,'2022-2023 Third Reviews'!C:C,0)),"")</f>
        <v>This drug is a long way from human trials, though it might get spun off before then. The very low amounts of funds raised so far is also a red flag that they have not started doing serious testing of their proposed drug.</v>
      </c>
      <c r="L262" s="90">
        <f t="array" ref="L262">INDEX(AppNotes,MATCH(A262,Name,0))</f>
        <v>0</v>
      </c>
      <c r="M262" s="91" t="str">
        <f t="array" aca="1" ref="M262" ca="1">INDEX(Team,MATCH(A262,'Key Metrics'!B:B,0))</f>
        <v>Woman, Woman, Man, Man, Man</v>
      </c>
      <c r="N262" s="87" t="str">
        <f t="array" aca="1" ref="N262" ca="1">IF(INDEX('Key Metrics'!F:F,MATCH(A262,'Key Metrics'!B:B,0))="Woman","Yes","")</f>
        <v>Yes</v>
      </c>
      <c r="O262" s="87" t="str">
        <f t="shared" ca="1" si="2"/>
        <v>Yes</v>
      </c>
      <c r="P262" s="92">
        <f t="array" ref="P262">INDEX(Referral,MATCH(A262,Name,0))</f>
        <v>0</v>
      </c>
      <c r="Q262" s="92">
        <f t="array" aca="1" ref="Q262" ca="1">IF(INDEX(NYUAfillType,MATCH(A262,'Key Metrics'!B:B,0))="Other (please specify)",INDEX('Key Metrics'!N:N,MATCH(A262,'Key Metrics'!B:B,0)),INDEX(NYUAfillType,MATCH(A262,'Key Metrics'!B:B,0)))</f>
        <v>0</v>
      </c>
      <c r="R262" s="93" t="str">
        <f t="array" aca="1" ref="R262" ca="1">IF(INDEX('Key Metrics'!Q:Q,MATCH(A262,'Key Metrics'!B:B,0))="No","",INDEX('Key Metrics'!Q:Q,MATCH(A262,'Key Metrics'!B:B,0)))</f>
        <v/>
      </c>
      <c r="S262" s="94" t="str">
        <f t="shared" si="3"/>
        <v>Invite</v>
      </c>
      <c r="T262" s="95" t="s">
        <v>18</v>
      </c>
      <c r="U262" s="95" t="b">
        <v>0</v>
      </c>
      <c r="V262" s="95" t="b">
        <v>0</v>
      </c>
      <c r="W262" s="95" t="b">
        <v>0</v>
      </c>
      <c r="X262" s="91"/>
      <c r="Y262" s="111" t="str">
        <f t="array" ref="Y262">INDEX('LS Shortlist'!U:U,MATCH(A262,'LS Shortlist'!B:B,0))</f>
        <v>Invite</v>
      </c>
    </row>
    <row r="263" spans="1:25" hidden="1">
      <c r="A263" s="97" t="s">
        <v>321</v>
      </c>
      <c r="B263" s="98" t="str">
        <f t="array" ref="B263">INDEX(Interview,MATCH(A263,Name,0))</f>
        <v>Invite</v>
      </c>
      <c r="C263" s="98" t="str">
        <f t="array" ref="C263">INDEX(Track,MATCH(A263,Name,0))</f>
        <v>Life Sciences</v>
      </c>
      <c r="D263" s="99">
        <f t="array" ref="D263">INDEX(Score,MATCH(A263,Name,0))</f>
        <v>4.63</v>
      </c>
      <c r="E263" s="100">
        <f t="array" aca="1" ref="E263" ca="1">INDEX(Date,MATCH(A263,Name,0))</f>
        <v>44789</v>
      </c>
      <c r="F263" s="98" t="s">
        <v>13395</v>
      </c>
      <c r="G263" s="98" t="s">
        <v>13396</v>
      </c>
      <c r="H263" s="98" t="str">
        <f t="array" ref="H263">IFERROR(INDEX('2022-2023 Third Reviews'!K:K,MATCH(A263,'2022-2023 Third Reviews'!C:C,0)),"")</f>
        <v/>
      </c>
      <c r="I263" s="101" t="s">
        <v>481</v>
      </c>
      <c r="J263" s="101" t="s">
        <v>481</v>
      </c>
      <c r="K263" s="101" t="str">
        <f t="array" ref="K263">IFERROR(INDEX('2022-2023 Third Reviews'!L:L,MATCH(A263,'2022-2023 Third Reviews'!C:C,0)),"")</f>
        <v/>
      </c>
      <c r="L263" s="102" t="str">
        <f t="array" ref="L263">INDEX(AppNotes,MATCH(A263,Name,0))</f>
        <v>very early stage without too much funding right now, but otherwise extremely exciting tech</v>
      </c>
      <c r="M263" s="103" t="str">
        <f t="array" aca="1" ref="M263" ca="1">INDEX(Team,MATCH(A263,'Key Metrics'!B:B,0))</f>
        <v>Man</v>
      </c>
      <c r="N263" s="99" t="str">
        <f t="array" aca="1" ref="N263" ca="1">IF(INDEX('Key Metrics'!F:F,MATCH(A263,'Key Metrics'!B:B,0))="Woman","Yes","")</f>
        <v/>
      </c>
      <c r="O263" s="99" t="str">
        <f t="shared" ca="1" si="2"/>
        <v/>
      </c>
      <c r="P263" s="104" t="str">
        <f t="array" ref="P263">INDEX(Referral,MATCH(A263,Name,0))</f>
        <v>Giovanni Traverso</v>
      </c>
      <c r="Q263" s="104">
        <f t="array" aca="1" ref="Q263" ca="1">IF(INDEX(NYUAfillType,MATCH(A263,'Key Metrics'!B:B,0))="Other (please specify)",INDEX('Key Metrics'!N:N,MATCH(A263,'Key Metrics'!B:B,0)),INDEX(NYUAfillType,MATCH(A263,'Key Metrics'!B:B,0)))</f>
        <v>0</v>
      </c>
      <c r="R263" s="105" t="str">
        <f t="array" aca="1" ref="R263" ca="1">IF(INDEX('Key Metrics'!Q:Q,MATCH(A263,'Key Metrics'!B:B,0))="No","",INDEX('Key Metrics'!Q:Q,MATCH(A263,'Key Metrics'!B:B,0)))</f>
        <v/>
      </c>
      <c r="S263" s="106" t="str">
        <f t="shared" si="3"/>
        <v>Invite</v>
      </c>
      <c r="T263" s="107" t="s">
        <v>18</v>
      </c>
      <c r="U263" s="107" t="b">
        <v>0</v>
      </c>
      <c r="V263" s="107" t="b">
        <v>0</v>
      </c>
      <c r="W263" s="107" t="b">
        <v>0</v>
      </c>
      <c r="X263" s="103"/>
      <c r="Y263" s="110" t="str">
        <f t="array" ref="Y263">INDEX('LS Shortlist'!U:U,MATCH(A263,'LS Shortlist'!B:B,0))</f>
        <v>Invite</v>
      </c>
    </row>
    <row r="264" spans="1:25" ht="66" hidden="1">
      <c r="A264" s="112" t="s">
        <v>322</v>
      </c>
      <c r="B264" s="113" t="str">
        <f t="array" ref="B264">INDEX(Interview,MATCH(A264,Name,0))</f>
        <v>Revisit/ Cluster</v>
      </c>
      <c r="C264" s="113" t="str">
        <f t="array" ref="C264">INDEX(Track,MATCH(A264,Name,0))</f>
        <v>Life Sciences</v>
      </c>
      <c r="D264" s="114">
        <f t="array" ref="D264">INDEX(Score,MATCH(A264,Name,0))</f>
        <v>3.75</v>
      </c>
      <c r="E264" s="115">
        <f t="array" aca="1" ref="E264" ca="1">INDEX(Date,MATCH(A264,Name,0))</f>
        <v>44789</v>
      </c>
      <c r="F264" s="113" t="s">
        <v>13319</v>
      </c>
      <c r="G264" s="113" t="s">
        <v>13326</v>
      </c>
      <c r="H264" s="113" t="str">
        <f t="array" aca="1" ref="H264" ca="1">IFERROR(INDEX('2022-2023 Third Reviews'!K:K,MATCH(A264,'2022-2023 Third Reviews'!C:C,0)),"")</f>
        <v>Jason Yu
3</v>
      </c>
      <c r="I264" s="116" t="s">
        <v>1783</v>
      </c>
      <c r="J264" s="116" t="s">
        <v>1784</v>
      </c>
      <c r="K264" s="116" t="str">
        <f t="array" aca="1" ref="K264" ca="1">IFERROR(INDEX('2022-2023 Third Reviews'!L:L,MATCH(A264,'2022-2023 Third Reviews'!C:C,0)),"")</f>
        <v>Unclear how far along their technology is.</v>
      </c>
      <c r="L264" s="117" t="str">
        <f t="array" ref="L264">INDEX(AppNotes,MATCH(A264,Name,0))</f>
        <v>competitor to immuneAI; skydeck alum, berkely association; IP not protected yet, validation is unclear; perhaps too early for cohort, but exiciting company</v>
      </c>
      <c r="M264" s="118" t="str">
        <f t="array" aca="1" ref="M264" ca="1">INDEX(Team,MATCH(A264,'Key Metrics'!B:B,0))</f>
        <v>Man, Man, Man</v>
      </c>
      <c r="N264" s="114" t="str">
        <f t="array" aca="1" ref="N264" ca="1">IF(INDEX('Key Metrics'!F:F,MATCH(A264,'Key Metrics'!B:B,0))="Woman","Yes","")</f>
        <v/>
      </c>
      <c r="O264" s="114" t="str">
        <f t="shared" ca="1" si="2"/>
        <v/>
      </c>
      <c r="P264" s="119">
        <f t="array" ref="P264">INDEX(Referral,MATCH(A264,Name,0))</f>
        <v>0</v>
      </c>
      <c r="Q264" s="119">
        <f t="array" aca="1" ref="Q264" ca="1">IF(INDEX(NYUAfillType,MATCH(A264,'Key Metrics'!B:B,0))="Other (please specify)",INDEX('Key Metrics'!N:N,MATCH(A264,'Key Metrics'!B:B,0)),INDEX(NYUAfillType,MATCH(A264,'Key Metrics'!B:B,0)))</f>
        <v>0</v>
      </c>
      <c r="R264" s="120" t="str">
        <f t="array" aca="1" ref="R264" ca="1">IF(INDEX('Key Metrics'!Q:Q,MATCH(A264,'Key Metrics'!B:B,0))="No","",INDEX('Key Metrics'!Q:Q,MATCH(A264,'Key Metrics'!B:B,0)))</f>
        <v/>
      </c>
      <c r="S264" s="94" t="str">
        <f t="shared" si="3"/>
        <v>Invite</v>
      </c>
      <c r="T264" s="121" t="s">
        <v>18</v>
      </c>
      <c r="U264" s="121" t="b">
        <v>0</v>
      </c>
      <c r="V264" s="121" t="b">
        <v>0</v>
      </c>
      <c r="W264" s="121" t="b">
        <v>0</v>
      </c>
      <c r="X264" s="118"/>
      <c r="Y264" s="122" t="str">
        <f t="array" ref="Y264">INDEX('LS Shortlist'!U:U,MATCH(A264,'LS Shortlist'!B:B,0))</f>
        <v>Invite</v>
      </c>
    </row>
    <row r="265" spans="1:25" ht="70" hidden="1">
      <c r="A265" s="97" t="s">
        <v>323</v>
      </c>
      <c r="B265" s="98" t="str">
        <f t="array" ref="B265">INDEX(Interview,MATCH(A265,Name,0))</f>
        <v>Invite</v>
      </c>
      <c r="C265" s="98" t="str">
        <f t="array" ref="C265">INDEX(Track,MATCH(A265,Name,0))</f>
        <v>Life Sciences</v>
      </c>
      <c r="D265" s="99">
        <f t="array" ref="D265">INDEX(Score,MATCH(A265,Name,0))</f>
        <v>4.38</v>
      </c>
      <c r="E265" s="100">
        <f t="array" aca="1" ref="E265" ca="1">INDEX(Date,MATCH(A265,Name,0))</f>
        <v>44796</v>
      </c>
      <c r="F265" s="98" t="s">
        <v>13315</v>
      </c>
      <c r="G265" s="98" t="s">
        <v>13396</v>
      </c>
      <c r="H265" s="98" t="str">
        <f t="array" ref="H265">IFERROR(INDEX('2022-2023 Third Reviews'!K:K,MATCH(A265,'2022-2023 Third Reviews'!C:C,0)),"")</f>
        <v/>
      </c>
      <c r="I265" s="101" t="s">
        <v>1792</v>
      </c>
      <c r="J265" s="101" t="s">
        <v>1793</v>
      </c>
      <c r="K265" s="101" t="str">
        <f t="array" ref="K265">IFERROR(INDEX('2022-2023 Third Reviews'!L:L,MATCH(A265,'2022-2023 Third Reviews'!C:C,0)),"")</f>
        <v/>
      </c>
      <c r="L265" s="102">
        <f t="array" ref="L265">INDEX(AppNotes,MATCH(A265,Name,0))</f>
        <v>0</v>
      </c>
      <c r="M265" s="103" t="str">
        <f t="array" aca="1" ref="M265" ca="1">INDEX(Team,MATCH(A265,'Key Metrics'!B:B,0))</f>
        <v>Man, Man, Man</v>
      </c>
      <c r="N265" s="99" t="str">
        <f t="array" aca="1" ref="N265" ca="1">IF(INDEX('Key Metrics'!F:F,MATCH(A265,'Key Metrics'!B:B,0))="Woman","Yes","")</f>
        <v/>
      </c>
      <c r="O265" s="99" t="str">
        <f t="shared" ca="1" si="2"/>
        <v/>
      </c>
      <c r="P265" s="104" t="str">
        <f t="array" ref="P265">INDEX(Referral,MATCH(A265,Name,0))</f>
        <v>Mark Esposito (founder of KayoThera); Christian Theriault (EFL mentor); Mike Wiley (New Jersey Health Foundation)</v>
      </c>
      <c r="Q265" s="104">
        <f t="array" aca="1" ref="Q265" ca="1">IF(INDEX(NYUAfillType,MATCH(A265,'Key Metrics'!B:B,0))="Other (please specify)",INDEX('Key Metrics'!N:N,MATCH(A265,'Key Metrics'!B:B,0)),INDEX(NYUAfillType,MATCH(A265,'Key Metrics'!B:B,0)))</f>
        <v>0</v>
      </c>
      <c r="R265" s="105" t="str">
        <f t="array" aca="1" ref="R265" ca="1">IF(INDEX('Key Metrics'!Q:Q,MATCH(A265,'Key Metrics'!B:B,0))="No","",INDEX('Key Metrics'!Q:Q,MATCH(A265,'Key Metrics'!B:B,0)))</f>
        <v/>
      </c>
      <c r="S265" s="106" t="str">
        <f t="shared" si="3"/>
        <v>Invite</v>
      </c>
      <c r="T265" s="107" t="s">
        <v>18</v>
      </c>
      <c r="U265" s="107" t="b">
        <v>0</v>
      </c>
      <c r="V265" s="107" t="b">
        <v>0</v>
      </c>
      <c r="W265" s="107" t="b">
        <v>0</v>
      </c>
      <c r="X265" s="103"/>
      <c r="Y265" s="110" t="str">
        <f t="array" ref="Y265">INDEX('LS Shortlist'!U:U,MATCH(A265,'LS Shortlist'!B:B,0))</f>
        <v>Invite</v>
      </c>
    </row>
    <row r="266" spans="1:25" ht="56" hidden="1">
      <c r="A266" s="109" t="s">
        <v>324</v>
      </c>
      <c r="B266" s="86" t="str">
        <f t="array" ref="B266">INDEX(Interview,MATCH(A266,Name,0))</f>
        <v>Invite</v>
      </c>
      <c r="C266" s="86" t="str">
        <f t="array" ref="C266">INDEX(Track,MATCH(A266,Name,0))</f>
        <v>Life Sciences</v>
      </c>
      <c r="D266" s="87">
        <f t="array" ref="D266">INDEX(Score,MATCH(A266,Name,0))</f>
        <v>4.25</v>
      </c>
      <c r="E266" s="88">
        <f t="array" aca="1" ref="E266" ca="1">INDEX(Date,MATCH(A266,Name,0))</f>
        <v>44791</v>
      </c>
      <c r="F266" s="86" t="s">
        <v>13327</v>
      </c>
      <c r="G266" s="86" t="s">
        <v>13320</v>
      </c>
      <c r="H266" s="86" t="str">
        <f t="array" aca="1" ref="H266" ca="1">IFERROR(INDEX('2022-2023 Third Reviews'!K:K,MATCH(A266,'2022-2023 Third Reviews'!C:C,0)),"")</f>
        <v>John McDonald
4</v>
      </c>
      <c r="I266" s="89" t="s">
        <v>1801</v>
      </c>
      <c r="J266" s="89" t="s">
        <v>1802</v>
      </c>
      <c r="K266" s="89">
        <f t="array" aca="1" ref="K266" ca="1">IFERROR(INDEX('2022-2023 Third Reviews'!L:L,MATCH(A266,'2022-2023 Third Reviews'!C:C,0)),"")</f>
        <v>0</v>
      </c>
      <c r="L266" s="90">
        <f t="array" ref="L266">INDEX(AppNotes,MATCH(A266,Name,0))</f>
        <v>0</v>
      </c>
      <c r="M266" s="91" t="str">
        <f t="array" aca="1" ref="M266" ca="1">INDEX(Team,MATCH(A266,'Key Metrics'!B:B,0))</f>
        <v>Man, Man</v>
      </c>
      <c r="N266" s="87" t="str">
        <f t="array" aca="1" ref="N266" ca="1">IF(INDEX('Key Metrics'!F:F,MATCH(A266,'Key Metrics'!B:B,0))="Woman","Yes","")</f>
        <v/>
      </c>
      <c r="O266" s="87" t="str">
        <f t="shared" ca="1" si="2"/>
        <v/>
      </c>
      <c r="P266" s="92" t="str">
        <f t="array" ref="P266">INDEX(Referral,MATCH(A266,Name,0))</f>
        <v>Chris Mosher, Julie Wolf, Stephen Chambers, Louis Walcer, Gregory Ray, Brad Treat</v>
      </c>
      <c r="Q266" s="92">
        <f t="array" aca="1" ref="Q266" ca="1">IF(INDEX(NYUAfillType,MATCH(A266,'Key Metrics'!B:B,0))="Other (please specify)",INDEX('Key Metrics'!N:N,MATCH(A266,'Key Metrics'!B:B,0)),INDEX(NYUAfillType,MATCH(A266,'Key Metrics'!B:B,0)))</f>
        <v>0</v>
      </c>
      <c r="R266" s="93" t="str">
        <f t="array" aca="1" ref="R266" ca="1">IF(INDEX('Key Metrics'!Q:Q,MATCH(A266,'Key Metrics'!B:B,0))="No","",INDEX('Key Metrics'!Q:Q,MATCH(A266,'Key Metrics'!B:B,0)))</f>
        <v/>
      </c>
      <c r="S266" s="94" t="str">
        <f t="shared" si="3"/>
        <v>Invite</v>
      </c>
      <c r="T266" s="95" t="s">
        <v>18</v>
      </c>
      <c r="U266" s="95" t="b">
        <v>0</v>
      </c>
      <c r="V266" s="95" t="b">
        <v>0</v>
      </c>
      <c r="W266" s="95" t="b">
        <v>0</v>
      </c>
      <c r="X266" s="91"/>
      <c r="Y266" s="111" t="str">
        <f t="array" ref="Y266">INDEX('LS Shortlist'!U:U,MATCH(A266,'LS Shortlist'!B:B,0))</f>
        <v>Invite</v>
      </c>
    </row>
    <row r="267" spans="1:25" ht="88">
      <c r="A267" s="97" t="s">
        <v>325</v>
      </c>
      <c r="B267" s="98" t="str">
        <f t="array" ref="B267">INDEX(Interview,MATCH(A267,Name,0))</f>
        <v>Invite</v>
      </c>
      <c r="C267" s="98" t="str">
        <f t="array" ref="C267">INDEX(Track,MATCH(A267,Name,0))</f>
        <v>Life Sciences</v>
      </c>
      <c r="D267" s="99">
        <f t="array" ref="D267">INDEX(Score,MATCH(A267,Name,0))</f>
        <v>4.5</v>
      </c>
      <c r="E267" s="100">
        <f t="array" aca="1" ref="E267" ca="1">INDEX(Date,MATCH(A267,Name,0))</f>
        <v>44791</v>
      </c>
      <c r="F267" s="98" t="s">
        <v>13327</v>
      </c>
      <c r="G267" s="98" t="s">
        <v>13391</v>
      </c>
      <c r="H267" s="98" t="str">
        <f t="array" ref="H267">IFERROR(INDEX('2022-2023 Third Reviews'!K:K,MATCH(A267,'2022-2023 Third Reviews'!C:C,0)),"")</f>
        <v/>
      </c>
      <c r="I267" s="101" t="s">
        <v>1810</v>
      </c>
      <c r="J267" s="101" t="s">
        <v>481</v>
      </c>
      <c r="K267" s="101" t="str">
        <f t="array" ref="K267">IFERROR(INDEX('2022-2023 Third Reviews'!L:L,MATCH(A267,'2022-2023 Third Reviews'!C:C,0)),"")</f>
        <v/>
      </c>
      <c r="L267" s="102">
        <f t="array" ref="L267">INDEX(AppNotes,MATCH(A267,Name,0))</f>
        <v>0</v>
      </c>
      <c r="M267" s="103" t="str">
        <f t="array" aca="1" ref="M267" ca="1">INDEX(Team,MATCH(A267,'Key Metrics'!B:B,0))</f>
        <v>Man, Man, Woman</v>
      </c>
      <c r="N267" s="99" t="str">
        <f t="array" aca="1" ref="N267" ca="1">IF(INDEX('Key Metrics'!F:F,MATCH(A267,'Key Metrics'!B:B,0))="Woman","Yes","")</f>
        <v/>
      </c>
      <c r="O267" s="99" t="str">
        <f t="shared" ca="1" si="2"/>
        <v>Yes</v>
      </c>
      <c r="P267" s="104">
        <f t="array" ref="P267">INDEX(Referral,MATCH(A267,Name,0))</f>
        <v>0</v>
      </c>
      <c r="Q267" s="104">
        <f t="array" aca="1" ref="Q267" ca="1">IF(INDEX(NYUAfillType,MATCH(A267,'Key Metrics'!B:B,0))="Other (please specify)",INDEX('Key Metrics'!N:N,MATCH(A267,'Key Metrics'!B:B,0)),INDEX(NYUAfillType,MATCH(A267,'Key Metrics'!B:B,0)))</f>
        <v>0</v>
      </c>
      <c r="R267" s="105" t="str">
        <f t="array" aca="1" ref="R267" ca="1">IF(INDEX('Key Metrics'!Q:Q,MATCH(A267,'Key Metrics'!B:B,0))="No","",INDEX('Key Metrics'!Q:Q,MATCH(A267,'Key Metrics'!B:B,0)))</f>
        <v/>
      </c>
      <c r="S267" s="106" t="str">
        <f t="shared" si="3"/>
        <v>Invite</v>
      </c>
      <c r="T267" s="107" t="s">
        <v>18</v>
      </c>
      <c r="U267" s="107" t="b">
        <v>0</v>
      </c>
      <c r="V267" s="107" t="b">
        <v>0</v>
      </c>
      <c r="W267" s="107" t="b">
        <v>0</v>
      </c>
      <c r="X267" s="103"/>
      <c r="Y267" s="110" t="str">
        <f t="array" ref="Y267">INDEX('LS Shortlist'!U:U,MATCH(A267,'LS Shortlist'!B:B,0))</f>
        <v>Invite</v>
      </c>
    </row>
    <row r="268" spans="1:25" ht="66" hidden="1">
      <c r="A268" s="109" t="s">
        <v>326</v>
      </c>
      <c r="B268" s="86" t="str">
        <f t="array" ref="B268">INDEX(Interview,MATCH(A268,Name,0))</f>
        <v>Invite</v>
      </c>
      <c r="C268" s="86" t="str">
        <f t="array" ref="C268">INDEX(Track,MATCH(A268,Name,0))</f>
        <v>Life Sciences</v>
      </c>
      <c r="D268" s="87">
        <f t="array" ref="D268">INDEX(Score,MATCH(A268,Name,0))</f>
        <v>4</v>
      </c>
      <c r="E268" s="88">
        <f t="array" aca="1" ref="E268" ca="1">INDEX(Date,MATCH(A268,Name,0))</f>
        <v>44789</v>
      </c>
      <c r="F268" s="86" t="s">
        <v>13319</v>
      </c>
      <c r="G268" s="86" t="s">
        <v>13320</v>
      </c>
      <c r="H268" s="86" t="str">
        <f t="array" aca="1" ref="H268" ca="1">IFERROR(INDEX('2022-2023 Third Reviews'!K:K,MATCH(A268,'2022-2023 Third Reviews'!C:C,0)),"")</f>
        <v>Nick Schmandt
4</v>
      </c>
      <c r="I268" s="89" t="s">
        <v>1818</v>
      </c>
      <c r="J268" s="89" t="s">
        <v>1819</v>
      </c>
      <c r="K268" s="89" t="str">
        <f t="array" aca="1" ref="K268" ca="1">IFERROR(INDEX('2022-2023 Third Reviews'!L:L,MATCH(A268,'2022-2023 Third Reviews'!C:C,0)),"")</f>
        <v>This could be a groundbreaking way to make more effective vaccines, but it will have to survive clinical trials.</v>
      </c>
      <c r="L268" s="90">
        <f t="array" ref="L268">INDEX(AppNotes,MATCH(A268,Name,0))</f>
        <v>0</v>
      </c>
      <c r="M268" s="91" t="str">
        <f t="array" aca="1" ref="M268" ca="1">INDEX(Team,MATCH(A268,'Key Metrics'!B:B,0))</f>
        <v>Man</v>
      </c>
      <c r="N268" s="87" t="str">
        <f t="array" aca="1" ref="N268" ca="1">IF(INDEX('Key Metrics'!F:F,MATCH(A268,'Key Metrics'!B:B,0))="Woman","Yes","")</f>
        <v/>
      </c>
      <c r="O268" s="87" t="str">
        <f t="shared" ca="1" si="2"/>
        <v/>
      </c>
      <c r="P268" s="92">
        <f t="array" ref="P268">INDEX(Referral,MATCH(A268,Name,0))</f>
        <v>0</v>
      </c>
      <c r="Q268" s="92">
        <f t="array" aca="1" ref="Q268" ca="1">IF(INDEX(NYUAfillType,MATCH(A268,'Key Metrics'!B:B,0))="Other (please specify)",INDEX('Key Metrics'!N:N,MATCH(A268,'Key Metrics'!B:B,0)),INDEX(NYUAfillType,MATCH(A268,'Key Metrics'!B:B,0)))</f>
        <v>0</v>
      </c>
      <c r="R268" s="93" t="str">
        <f t="array" aca="1" ref="R268" ca="1">IF(INDEX('Key Metrics'!Q:Q,MATCH(A268,'Key Metrics'!B:B,0))="No","",INDEX('Key Metrics'!Q:Q,MATCH(A268,'Key Metrics'!B:B,0)))</f>
        <v/>
      </c>
      <c r="S268" s="94" t="str">
        <f t="shared" si="3"/>
        <v>Invite</v>
      </c>
      <c r="T268" s="95" t="s">
        <v>18</v>
      </c>
      <c r="U268" s="95" t="b">
        <v>0</v>
      </c>
      <c r="V268" s="95" t="b">
        <v>0</v>
      </c>
      <c r="W268" s="95" t="b">
        <v>0</v>
      </c>
      <c r="X268" s="91"/>
      <c r="Y268" s="111" t="str">
        <f t="array" ref="Y268">INDEX('LS Shortlist'!U:U,MATCH(A268,'LS Shortlist'!B:B,0))</f>
        <v>Invite</v>
      </c>
    </row>
    <row r="269" spans="1:25" ht="55" hidden="1">
      <c r="A269" s="97" t="s">
        <v>327</v>
      </c>
      <c r="B269" s="98" t="str">
        <f t="array" ref="B269">INDEX(Interview,MATCH(A269,Name,0))</f>
        <v>Invite</v>
      </c>
      <c r="C269" s="98" t="str">
        <f t="array" ref="C269">INDEX(Track,MATCH(A269,Name,0))</f>
        <v>Life Sciences</v>
      </c>
      <c r="D269" s="99">
        <f t="array" ref="D269">INDEX(Score,MATCH(A269,Name,0))</f>
        <v>5</v>
      </c>
      <c r="E269" s="100">
        <f t="array" aca="1" ref="E269" ca="1">INDEX(Date,MATCH(A269,Name,0))</f>
        <v>44782</v>
      </c>
      <c r="F269" s="98" t="s">
        <v>13310</v>
      </c>
      <c r="G269" s="98" t="s">
        <v>13345</v>
      </c>
      <c r="H269" s="98" t="str">
        <f t="array" ref="H269">IFERROR(INDEX('2022-2023 Third Reviews'!K:K,MATCH(A269,'2022-2023 Third Reviews'!C:C,0)),"")</f>
        <v/>
      </c>
      <c r="I269" s="101" t="s">
        <v>1826</v>
      </c>
      <c r="J269" s="101" t="s">
        <v>481</v>
      </c>
      <c r="K269" s="101" t="str">
        <f t="array" ref="K269">IFERROR(INDEX('2022-2023 Third Reviews'!L:L,MATCH(A269,'2022-2023 Third Reviews'!C:C,0)),"")</f>
        <v/>
      </c>
      <c r="L269" s="102">
        <f t="array" ref="L269">INDEX(AppNotes,MATCH(A269,Name,0))</f>
        <v>0</v>
      </c>
      <c r="M269" s="103" t="str">
        <f t="array" aca="1" ref="M269" ca="1">INDEX(Team,MATCH(A269,'Key Metrics'!B:B,0))</f>
        <v>Man</v>
      </c>
      <c r="N269" s="99" t="str">
        <f t="array" aca="1" ref="N269" ca="1">IF(INDEX('Key Metrics'!F:F,MATCH(A269,'Key Metrics'!B:B,0))="Woman","Yes","")</f>
        <v/>
      </c>
      <c r="O269" s="99" t="str">
        <f t="shared" ca="1" si="2"/>
        <v/>
      </c>
      <c r="P269" s="104">
        <f t="array" ref="P269">INDEX(Referral,MATCH(A269,Name,0))</f>
        <v>0</v>
      </c>
      <c r="Q269" s="104">
        <f t="array" aca="1" ref="Q269" ca="1">IF(INDEX(NYUAfillType,MATCH(A269,'Key Metrics'!B:B,0))="Other (please specify)",INDEX('Key Metrics'!N:N,MATCH(A269,'Key Metrics'!B:B,0)),INDEX(NYUAfillType,MATCH(A269,'Key Metrics'!B:B,0)))</f>
        <v>0</v>
      </c>
      <c r="R269" s="105" t="str">
        <f t="array" aca="1" ref="R269" ca="1">IF(INDEX('Key Metrics'!Q:Q,MATCH(A269,'Key Metrics'!B:B,0))="No","",INDEX('Key Metrics'!Q:Q,MATCH(A269,'Key Metrics'!B:B,0)))</f>
        <v/>
      </c>
      <c r="S269" s="106" t="str">
        <f t="shared" si="3"/>
        <v>Invite</v>
      </c>
      <c r="T269" s="107" t="s">
        <v>18</v>
      </c>
      <c r="U269" s="107" t="b">
        <v>0</v>
      </c>
      <c r="V269" s="107" t="b">
        <v>0</v>
      </c>
      <c r="W269" s="107" t="b">
        <v>0</v>
      </c>
      <c r="X269" s="103"/>
      <c r="Y269" s="110" t="str">
        <f t="array" ref="Y269">INDEX('LS Shortlist'!U:U,MATCH(A269,'LS Shortlist'!B:B,0))</f>
        <v>Invite</v>
      </c>
    </row>
    <row r="270" spans="1:25" ht="44">
      <c r="A270" s="109" t="s">
        <v>328</v>
      </c>
      <c r="B270" s="86" t="str">
        <f t="array" ref="B270">INDEX(Interview,MATCH(A270,Name,0))</f>
        <v>Invite</v>
      </c>
      <c r="C270" s="86" t="str">
        <f t="array" ref="C270">INDEX(Track,MATCH(A270,Name,0))</f>
        <v>Life Sciences</v>
      </c>
      <c r="D270" s="87">
        <f t="array" ref="D270">INDEX(Score,MATCH(A270,Name,0))</f>
        <v>4.5</v>
      </c>
      <c r="E270" s="88">
        <f t="array" aca="1" ref="E270" ca="1">INDEX(Date,MATCH(A270,Name,0))</f>
        <v>44791</v>
      </c>
      <c r="F270" s="86" t="s">
        <v>13327</v>
      </c>
      <c r="G270" s="86" t="s">
        <v>13328</v>
      </c>
      <c r="H270" s="86" t="str">
        <f t="array" aca="1" ref="H270" ca="1">IFERROR(INDEX('2022-2023 Third Reviews'!K:K,MATCH(A270,'2022-2023 Third Reviews'!C:C,0)),"")</f>
        <v>John McDonald
4</v>
      </c>
      <c r="I270" s="89" t="s">
        <v>1833</v>
      </c>
      <c r="J270" s="89" t="s">
        <v>10638</v>
      </c>
      <c r="K270" s="89">
        <f t="array" aca="1" ref="K270" ca="1">IFERROR(INDEX('2022-2023 Third Reviews'!L:L,MATCH(A270,'2022-2023 Third Reviews'!C:C,0)),"")</f>
        <v>0</v>
      </c>
      <c r="L270" s="90">
        <f t="array" ref="L270">INDEX(AppNotes,MATCH(A270,Name,0))</f>
        <v>0</v>
      </c>
      <c r="M270" s="91" t="str">
        <f t="array" aca="1" ref="M270" ca="1">INDEX(Team,MATCH(A270,'Key Metrics'!B:B,0))</f>
        <v>Man, Man, Woman</v>
      </c>
      <c r="N270" s="87" t="str">
        <f t="array" aca="1" ref="N270" ca="1">IF(INDEX('Key Metrics'!F:F,MATCH(A270,'Key Metrics'!B:B,0))="Woman","Yes","")</f>
        <v/>
      </c>
      <c r="O270" s="87" t="str">
        <f t="shared" ca="1" si="2"/>
        <v>Yes</v>
      </c>
      <c r="P270" s="92">
        <f t="array" ref="P270">INDEX(Referral,MATCH(A270,Name,0))</f>
        <v>0</v>
      </c>
      <c r="Q270" s="92">
        <f t="array" aca="1" ref="Q270" ca="1">IF(INDEX(NYUAfillType,MATCH(A270,'Key Metrics'!B:B,0))="Other (please specify)",INDEX('Key Metrics'!N:N,MATCH(A270,'Key Metrics'!B:B,0)),INDEX(NYUAfillType,MATCH(A270,'Key Metrics'!B:B,0)))</f>
        <v>0</v>
      </c>
      <c r="R270" s="93" t="str">
        <f t="array" aca="1" ref="R270" ca="1">IF(INDEX('Key Metrics'!Q:Q,MATCH(A270,'Key Metrics'!B:B,0))="No","",INDEX('Key Metrics'!Q:Q,MATCH(A270,'Key Metrics'!B:B,0)))</f>
        <v/>
      </c>
      <c r="S270" s="94" t="str">
        <f t="shared" si="3"/>
        <v>Invite</v>
      </c>
      <c r="T270" s="95" t="s">
        <v>18</v>
      </c>
      <c r="U270" s="95" t="b">
        <v>0</v>
      </c>
      <c r="V270" s="95" t="b">
        <v>0</v>
      </c>
      <c r="W270" s="95" t="b">
        <v>0</v>
      </c>
      <c r="X270" s="91"/>
      <c r="Y270" s="111" t="str">
        <f t="array" ref="Y270">INDEX('LS Shortlist'!U:U,MATCH(A270,'LS Shortlist'!B:B,0))</f>
        <v>Invite</v>
      </c>
    </row>
    <row r="271" spans="1:25" ht="33">
      <c r="A271" s="97" t="s">
        <v>329</v>
      </c>
      <c r="B271" s="98" t="str">
        <f t="array" ref="B271">INDEX(Interview,MATCH(A271,Name,0))</f>
        <v>Invite</v>
      </c>
      <c r="C271" s="98" t="str">
        <f t="array" ref="C271">INDEX(Track,MATCH(A271,Name,0))</f>
        <v>Life Sciences</v>
      </c>
      <c r="D271" s="99">
        <f t="array" ref="D271">INDEX(Score,MATCH(A271,Name,0))</f>
        <v>4.5</v>
      </c>
      <c r="E271" s="100">
        <f t="array" aca="1" ref="E271" ca="1">INDEX(Date,MATCH(A271,Name,0))</f>
        <v>44789</v>
      </c>
      <c r="F271" s="98" t="s">
        <v>13395</v>
      </c>
      <c r="G271" s="98" t="s">
        <v>13391</v>
      </c>
      <c r="H271" s="98" t="str">
        <f t="array" aca="1" ref="H271" ca="1">IFERROR(INDEX('2022-2023 Third Reviews'!K:K,MATCH(A271,'2022-2023 Third Reviews'!C:C,0)),"")</f>
        <v>Jason Yu
5</v>
      </c>
      <c r="I271" s="101" t="s">
        <v>10624</v>
      </c>
      <c r="J271" s="101" t="s">
        <v>1842</v>
      </c>
      <c r="K271" s="101" t="str">
        <f t="array" aca="1" ref="K271" ca="1">IFERROR(INDEX('2022-2023 Third Reviews'!L:L,MATCH(A271,'2022-2023 Third Reviews'!C:C,0)),"")</f>
        <v>Viable product currently lacking financing to expand our sales and marketing efforts.</v>
      </c>
      <c r="L271" s="102" t="str">
        <f t="array" ref="L271">INDEX(AppNotes,MATCH(A271,Name,0))</f>
        <v>developed new way to synthesize single strand DNA; uses in CRSPYR; invited last year for interview, but no notes from last year; potentially not discovered where did interview feedback from LY go?</v>
      </c>
      <c r="M271" s="103" t="str">
        <f t="array" aca="1" ref="M271" ca="1">INDEX(Team,MATCH(A271,'Key Metrics'!B:B,0))</f>
        <v>Woman, Man</v>
      </c>
      <c r="N271" s="99" t="str">
        <f t="array" aca="1" ref="N271" ca="1">IF(INDEX('Key Metrics'!F:F,MATCH(A271,'Key Metrics'!B:B,0))="Woman","Yes","")</f>
        <v>Yes</v>
      </c>
      <c r="O271" s="99" t="str">
        <f t="shared" ca="1" si="2"/>
        <v>Yes</v>
      </c>
      <c r="P271" s="104">
        <f t="array" ref="P271">INDEX(Referral,MATCH(A271,Name,0))</f>
        <v>0</v>
      </c>
      <c r="Q271" s="104">
        <f t="array" aca="1" ref="Q271" ca="1">IF(INDEX(NYUAfillType,MATCH(A271,'Key Metrics'!B:B,0))="Other (please specify)",INDEX('Key Metrics'!N:N,MATCH(A271,'Key Metrics'!B:B,0)),INDEX(NYUAfillType,MATCH(A271,'Key Metrics'!B:B,0)))</f>
        <v>0</v>
      </c>
      <c r="R271" s="105" t="str">
        <f t="array" aca="1" ref="R271" ca="1">IF(INDEX('Key Metrics'!Q:Q,MATCH(A271,'Key Metrics'!B:B,0))="No","",INDEX('Key Metrics'!Q:Q,MATCH(A271,'Key Metrics'!B:B,0)))</f>
        <v>Yes</v>
      </c>
      <c r="S271" s="106" t="str">
        <f t="shared" si="3"/>
        <v>Invite</v>
      </c>
      <c r="T271" s="107" t="s">
        <v>18</v>
      </c>
      <c r="U271" s="107" t="b">
        <v>0</v>
      </c>
      <c r="V271" s="107" t="b">
        <v>0</v>
      </c>
      <c r="W271" s="107" t="b">
        <v>0</v>
      </c>
      <c r="X271" s="103"/>
      <c r="Y271" s="110" t="str">
        <f t="array" ref="Y271">INDEX('LS Shortlist'!U:U,MATCH(A271,'LS Shortlist'!B:B,0))</f>
        <v>Invite</v>
      </c>
    </row>
    <row r="272" spans="1:25" ht="44" hidden="1">
      <c r="A272" s="109" t="s">
        <v>330</v>
      </c>
      <c r="B272" s="86" t="str">
        <f t="array" ref="B272">INDEX(Interview,MATCH(A272,Name,0))</f>
        <v>Invite</v>
      </c>
      <c r="C272" s="86" t="str">
        <f t="array" ref="C272">INDEX(Track,MATCH(A272,Name,0))</f>
        <v>Life Sciences</v>
      </c>
      <c r="D272" s="87">
        <f t="array" ref="D272">INDEX(Score,MATCH(A272,Name,0))</f>
        <v>4</v>
      </c>
      <c r="E272" s="88">
        <f t="array" aca="1" ref="E272" ca="1">INDEX(Date,MATCH(A272,Name,0))</f>
        <v>44797</v>
      </c>
      <c r="F272" s="86" t="s">
        <v>13315</v>
      </c>
      <c r="G272" s="86" t="s">
        <v>13320</v>
      </c>
      <c r="H272" s="86" t="str">
        <f t="array" ref="H272">IFERROR(INDEX('2022-2023 Third Reviews'!K:K,MATCH(A272,'2022-2023 Third Reviews'!C:C,0)),"")</f>
        <v/>
      </c>
      <c r="I272" s="89" t="s">
        <v>10816</v>
      </c>
      <c r="J272" s="89" t="s">
        <v>9689</v>
      </c>
      <c r="K272" s="89" t="str">
        <f t="array" ref="K272">IFERROR(INDEX('2022-2023 Third Reviews'!L:L,MATCH(A272,'2022-2023 Third Reviews'!C:C,0)),"")</f>
        <v/>
      </c>
      <c r="L272" s="90">
        <f t="array" ref="L272">INDEX(AppNotes,MATCH(A272,Name,0))</f>
        <v>0</v>
      </c>
      <c r="M272" s="91" t="str">
        <f t="array" aca="1" ref="M272" ca="1">INDEX(Team,MATCH(A272,'Key Metrics'!B:B,0))</f>
        <v>Man, Man</v>
      </c>
      <c r="N272" s="87" t="str">
        <f t="array" aca="1" ref="N272" ca="1">IF(INDEX('Key Metrics'!F:F,MATCH(A272,'Key Metrics'!B:B,0))="Woman","Yes","")</f>
        <v/>
      </c>
      <c r="O272" s="87" t="str">
        <f t="shared" ca="1" si="2"/>
        <v/>
      </c>
      <c r="P272" s="92">
        <f t="array" ref="P272">INDEX(Referral,MATCH(A272,Name,0))</f>
        <v>0</v>
      </c>
      <c r="Q272" s="92">
        <f t="array" aca="1" ref="Q272" ca="1">IF(INDEX(NYUAfillType,MATCH(A272,'Key Metrics'!B:B,0))="Other (please specify)",INDEX('Key Metrics'!N:N,MATCH(A272,'Key Metrics'!B:B,0)),INDEX(NYUAfillType,MATCH(A272,'Key Metrics'!B:B,0)))</f>
        <v>0</v>
      </c>
      <c r="R272" s="93" t="str">
        <f t="array" aca="1" ref="R272" ca="1">IF(INDEX('Key Metrics'!Q:Q,MATCH(A272,'Key Metrics'!B:B,0))="No","",INDEX('Key Metrics'!Q:Q,MATCH(A272,'Key Metrics'!B:B,0)))</f>
        <v/>
      </c>
      <c r="S272" s="94" t="str">
        <f t="shared" si="3"/>
        <v>Special Reject</v>
      </c>
      <c r="T272" s="95" t="s">
        <v>23</v>
      </c>
      <c r="U272" s="95" t="b">
        <v>0</v>
      </c>
      <c r="V272" s="95" t="b">
        <v>0</v>
      </c>
      <c r="W272" s="95" t="b">
        <v>0</v>
      </c>
      <c r="X272" s="91"/>
      <c r="Y272" s="111" t="str">
        <f t="array" ref="Y272">INDEX('LS Shortlist'!U:U,MATCH(A272,'LS Shortlist'!B:B,0))</f>
        <v>Special Reject</v>
      </c>
    </row>
    <row r="273" spans="1:25" ht="99">
      <c r="A273" s="97" t="s">
        <v>331</v>
      </c>
      <c r="B273" s="98" t="str">
        <f t="array" ref="B273">INDEX(Interview,MATCH(A273,Name,0))</f>
        <v>Invite</v>
      </c>
      <c r="C273" s="98" t="str">
        <f t="array" ref="C273">INDEX(Track,MATCH(A273,Name,0))</f>
        <v>Life Sciences</v>
      </c>
      <c r="D273" s="99">
        <f t="array" ref="D273">INDEX(Score,MATCH(A273,Name,0))</f>
        <v>5</v>
      </c>
      <c r="E273" s="100">
        <f t="array" aca="1" ref="E273" ca="1">INDEX(Date,MATCH(A273,Name,0))</f>
        <v>44789</v>
      </c>
      <c r="F273" s="98" t="s">
        <v>13310</v>
      </c>
      <c r="G273" s="98" t="s">
        <v>13311</v>
      </c>
      <c r="H273" s="98" t="str">
        <f t="array" ref="H273">IFERROR(INDEX('2022-2023 Third Reviews'!K:K,MATCH(A273,'2022-2023 Third Reviews'!C:C,0)),"")</f>
        <v/>
      </c>
      <c r="I273" s="101" t="s">
        <v>10216</v>
      </c>
      <c r="J273" s="101" t="s">
        <v>1851</v>
      </c>
      <c r="K273" s="101" t="str">
        <f t="array" ref="K273">IFERROR(INDEX('2022-2023 Third Reviews'!L:L,MATCH(A273,'2022-2023 Third Reviews'!C:C,0)),"")</f>
        <v/>
      </c>
      <c r="L273" s="102">
        <f t="array" ref="L273">INDEX(AppNotes,MATCH(A273,Name,0))</f>
        <v>0</v>
      </c>
      <c r="M273" s="103" t="str">
        <f t="array" aca="1" ref="M273" ca="1">INDEX(Team,MATCH(A273,'Key Metrics'!B:B,0))</f>
        <v>Man, Woman, Man, Man</v>
      </c>
      <c r="N273" s="99" t="str">
        <f t="array" aca="1" ref="N273" ca="1">IF(INDEX('Key Metrics'!F:F,MATCH(A273,'Key Metrics'!B:B,0))="Woman","Yes","")</f>
        <v/>
      </c>
      <c r="O273" s="99" t="str">
        <f t="shared" ca="1" si="2"/>
        <v>Yes</v>
      </c>
      <c r="P273" s="104" t="str">
        <f t="array" ref="P273">INDEX(Referral,MATCH(A273,Name,0))</f>
        <v>Chris Mosher</v>
      </c>
      <c r="Q273" s="104" t="str">
        <f t="array" aca="1" ref="Q273" ca="1">IF(INDEX(NYUAfillType,MATCH(A273,'Key Metrics'!B:B,0))="Other (please specify)",INDEX('Key Metrics'!N:N,MATCH(A273,'Key Metrics'!B:B,0)),INDEX(NYUAfillType,MATCH(A273,'Key Metrics'!B:B,0)))</f>
        <v>NYU Faculty</v>
      </c>
      <c r="R273" s="105" t="str">
        <f t="array" aca="1" ref="R273" ca="1">IF(INDEX('Key Metrics'!Q:Q,MATCH(A273,'Key Metrics'!B:B,0))="No","",INDEX('Key Metrics'!Q:Q,MATCH(A273,'Key Metrics'!B:B,0)))</f>
        <v/>
      </c>
      <c r="S273" s="106" t="str">
        <f t="shared" si="3"/>
        <v>Invite</v>
      </c>
      <c r="T273" s="107" t="s">
        <v>18</v>
      </c>
      <c r="U273" s="107" t="b">
        <v>0</v>
      </c>
      <c r="V273" s="107" t="b">
        <v>0</v>
      </c>
      <c r="W273" s="107" t="b">
        <v>0</v>
      </c>
      <c r="X273" s="103"/>
      <c r="Y273" s="110" t="str">
        <f t="array" ref="Y273">INDEX('LS Shortlist'!U:U,MATCH(A273,'LS Shortlist'!B:B,0))</f>
        <v>Invite</v>
      </c>
    </row>
    <row r="274" spans="1:25" ht="33" hidden="1">
      <c r="A274" s="109" t="s">
        <v>332</v>
      </c>
      <c r="B274" s="86" t="str">
        <f t="array" ref="B274">INDEX(Interview,MATCH(A274,Name,0))</f>
        <v>Invite</v>
      </c>
      <c r="C274" s="86" t="str">
        <f t="array" ref="C274">INDEX(Track,MATCH(A274,Name,0))</f>
        <v>Life Sciences</v>
      </c>
      <c r="D274" s="87">
        <f t="array" ref="D274">INDEX(Score,MATCH(A274,Name,0))</f>
        <v>4</v>
      </c>
      <c r="E274" s="88">
        <f t="array" aca="1" ref="E274" ca="1">INDEX(Date,MATCH(A274,Name,0))</f>
        <v>44791</v>
      </c>
      <c r="F274" s="86" t="s">
        <v>13304</v>
      </c>
      <c r="G274" s="86" t="s">
        <v>13315</v>
      </c>
      <c r="H274" s="86" t="str">
        <f t="array" aca="1" ref="H274" ca="1">IFERROR(INDEX('2022-2023 Third Reviews'!K:K,MATCH(A274,'2022-2023 Third Reviews'!C:C,0)),"")</f>
        <v>Nick Schmandt
2</v>
      </c>
      <c r="I274" s="89" t="s">
        <v>10528</v>
      </c>
      <c r="J274" s="89" t="s">
        <v>481</v>
      </c>
      <c r="K274" s="89" t="str">
        <f t="array" aca="1" ref="K274" ca="1">IFERROR(INDEX('2022-2023 Third Reviews'!L:L,MATCH(A274,'2022-2023 Third Reviews'!C:C,0)),"")</f>
        <v>It seems like a great idea, but it's not clear if the founder is really serious about it. He has not built a team and has only raised a very small sum of money. He will need more efficacy data to get the product to raise serious money.</v>
      </c>
      <c r="L274" s="90">
        <f t="array" ref="L274">INDEX(AppNotes,MATCH(A274,Name,0))</f>
        <v>0</v>
      </c>
      <c r="M274" s="91" t="str">
        <f t="array" aca="1" ref="M274" ca="1">INDEX(Team,MATCH(A274,'Key Metrics'!B:B,0))</f>
        <v>Man</v>
      </c>
      <c r="N274" s="87" t="str">
        <f t="array" aca="1" ref="N274" ca="1">IF(INDEX('Key Metrics'!F:F,MATCH(A274,'Key Metrics'!B:B,0))="Woman","Yes","")</f>
        <v/>
      </c>
      <c r="O274" s="87" t="str">
        <f t="shared" ca="1" si="2"/>
        <v/>
      </c>
      <c r="P274" s="92" t="str">
        <f t="array" ref="P274">INDEX(Referral,MATCH(A274,Name,0))</f>
        <v>Kathi Durdon MDIC</v>
      </c>
      <c r="Q274" s="92">
        <f t="array" aca="1" ref="Q274" ca="1">IF(INDEX(NYUAfillType,MATCH(A274,'Key Metrics'!B:B,0))="Other (please specify)",INDEX('Key Metrics'!N:N,MATCH(A274,'Key Metrics'!B:B,0)),INDEX(NYUAfillType,MATCH(A274,'Key Metrics'!B:B,0)))</f>
        <v>0</v>
      </c>
      <c r="R274" s="93" t="str">
        <f t="array" aca="1" ref="R274" ca="1">IF(INDEX('Key Metrics'!Q:Q,MATCH(A274,'Key Metrics'!B:B,0))="No","",INDEX('Key Metrics'!Q:Q,MATCH(A274,'Key Metrics'!B:B,0)))</f>
        <v/>
      </c>
      <c r="S274" s="94" t="str">
        <f t="shared" si="3"/>
        <v>Special Reject</v>
      </c>
      <c r="T274" s="95" t="s">
        <v>23</v>
      </c>
      <c r="U274" s="95" t="b">
        <v>0</v>
      </c>
      <c r="V274" s="95" t="b">
        <v>1</v>
      </c>
      <c r="W274" s="95" t="b">
        <v>0</v>
      </c>
      <c r="X274" s="91"/>
      <c r="Y274" s="111" t="str">
        <f t="array" ref="Y274">INDEX('LS Shortlist'!U:U,MATCH(A274,'LS Shortlist'!B:B,0))</f>
        <v>Special Reject</v>
      </c>
    </row>
    <row r="275" spans="1:25" ht="66" hidden="1">
      <c r="A275" s="97" t="s">
        <v>110</v>
      </c>
      <c r="B275" s="98" t="str">
        <f t="array" ref="B275">INDEX(Interview,MATCH(A275,Name,0))</f>
        <v>Invite</v>
      </c>
      <c r="C275" s="98" t="str">
        <f t="array" ref="C275">INDEX(Track,MATCH(A275,Name,0))</f>
        <v>Life Sciences</v>
      </c>
      <c r="D275" s="99">
        <f t="array" ref="D275">INDEX(Score,MATCH(A275,Name,0))</f>
        <v>4.25</v>
      </c>
      <c r="E275" s="100">
        <f t="array" aca="1" ref="E275" ca="1">INDEX(Date,MATCH(A275,Name,0))</f>
        <v>44791</v>
      </c>
      <c r="F275" s="98" t="s">
        <v>13306</v>
      </c>
      <c r="G275" s="98" t="s">
        <v>13321</v>
      </c>
      <c r="H275" s="98" t="str">
        <f t="array" ref="H275">IFERROR(INDEX('2022-2023 Third Reviews'!K:K,MATCH(A275,'2022-2023 Third Reviews'!C:C,0)),"")</f>
        <v/>
      </c>
      <c r="I275" s="101" t="s">
        <v>11368</v>
      </c>
      <c r="J275" s="101" t="s">
        <v>11369</v>
      </c>
      <c r="K275" s="101" t="str">
        <f t="array" ref="K275">IFERROR(INDEX('2022-2023 Third Reviews'!L:L,MATCH(A275,'2022-2023 Third Reviews'!C:C,0)),"")</f>
        <v/>
      </c>
      <c r="L275" s="102">
        <f t="array" ref="L275">INDEX(AppNotes,MATCH(A275,Name,0))</f>
        <v>0</v>
      </c>
      <c r="M275" s="103" t="str">
        <f t="array" aca="1" ref="M275" ca="1">INDEX(Team,MATCH(A275,'Key Metrics'!B:B,0))</f>
        <v>Man, Man</v>
      </c>
      <c r="N275" s="99" t="str">
        <f t="array" aca="1" ref="N275" ca="1">IF(INDEX('Key Metrics'!F:F,MATCH(A275,'Key Metrics'!B:B,0))="Woman","Yes","")</f>
        <v/>
      </c>
      <c r="O275" s="99" t="str">
        <f t="shared" ca="1" si="2"/>
        <v/>
      </c>
      <c r="P275" s="104">
        <f t="array" ref="P275">INDEX(Referral,MATCH(A275,Name,0))</f>
        <v>0</v>
      </c>
      <c r="Q275" s="104">
        <f t="array" aca="1" ref="Q275" ca="1">IF(INDEX(NYUAfillType,MATCH(A275,'Key Metrics'!B:B,0))="Other (please specify)",INDEX('Key Metrics'!N:N,MATCH(A275,'Key Metrics'!B:B,0)),INDEX(NYUAfillType,MATCH(A275,'Key Metrics'!B:B,0)))</f>
        <v>0</v>
      </c>
      <c r="R275" s="105" t="str">
        <f t="array" aca="1" ref="R275" ca="1">IF(INDEX('Key Metrics'!Q:Q,MATCH(A275,'Key Metrics'!B:B,0))="No","",INDEX('Key Metrics'!Q:Q,MATCH(A275,'Key Metrics'!B:B,0)))</f>
        <v/>
      </c>
      <c r="S275" s="106" t="str">
        <f t="shared" si="3"/>
        <v>Invite</v>
      </c>
      <c r="T275" s="107" t="s">
        <v>18</v>
      </c>
      <c r="U275" s="107" t="b">
        <v>0</v>
      </c>
      <c r="V275" s="107" t="b">
        <v>0</v>
      </c>
      <c r="W275" s="107" t="b">
        <v>0</v>
      </c>
      <c r="X275" s="103"/>
      <c r="Y275" s="110" t="str">
        <f t="array" ref="Y275">INDEX('LS Shortlist'!U:U,MATCH(A275,'LS Shortlist'!B:B,0))</f>
        <v>Invite</v>
      </c>
    </row>
    <row r="276" spans="1:25" ht="44">
      <c r="A276" s="109" t="s">
        <v>333</v>
      </c>
      <c r="B276" s="86" t="str">
        <f t="array" ref="B276">INDEX(Interview,MATCH(A276,Name,0))</f>
        <v>Invite</v>
      </c>
      <c r="C276" s="86" t="str">
        <f t="array" ref="C276">INDEX(Track,MATCH(A276,Name,0))</f>
        <v>Life Sciences</v>
      </c>
      <c r="D276" s="87">
        <f t="array" ref="D276">INDEX(Score,MATCH(A276,Name,0))</f>
        <v>4.5</v>
      </c>
      <c r="E276" s="88">
        <f t="array" aca="1" ref="E276" ca="1">INDEX(Date,MATCH(A276,Name,0))</f>
        <v>44782</v>
      </c>
      <c r="F276" s="86" t="s">
        <v>13327</v>
      </c>
      <c r="G276" s="86" t="s">
        <v>13328</v>
      </c>
      <c r="H276" s="86" t="str">
        <f t="array" ref="H276">IFERROR(INDEX('2022-2023 Third Reviews'!K:K,MATCH(A276,'2022-2023 Third Reviews'!C:C,0)),"")</f>
        <v/>
      </c>
      <c r="I276" s="89" t="s">
        <v>1868</v>
      </c>
      <c r="J276" s="89" t="s">
        <v>1869</v>
      </c>
      <c r="K276" s="89" t="str">
        <f t="array" ref="K276">IFERROR(INDEX('2022-2023 Third Reviews'!L:L,MATCH(A276,'2022-2023 Third Reviews'!C:C,0)),"")</f>
        <v/>
      </c>
      <c r="L276" s="90">
        <f t="array" ref="L276">INDEX(AppNotes,MATCH(A276,Name,0))</f>
        <v>0</v>
      </c>
      <c r="M276" s="91" t="str">
        <f t="array" aca="1" ref="M276" ca="1">INDEX(Team,MATCH(A276,'Key Metrics'!B:B,0))</f>
        <v>Man, Prefer not to respond, Woman</v>
      </c>
      <c r="N276" s="87" t="str">
        <f t="array" aca="1" ref="N276" ca="1">IF(INDEX('Key Metrics'!F:F,MATCH(A276,'Key Metrics'!B:B,0))="Woman","Yes","")</f>
        <v/>
      </c>
      <c r="O276" s="87" t="str">
        <f t="shared" ca="1" si="2"/>
        <v>Yes</v>
      </c>
      <c r="P276" s="92">
        <f t="array" ref="P276">INDEX(Referral,MATCH(A276,Name,0))</f>
        <v>0</v>
      </c>
      <c r="Q276" s="92">
        <f t="array" aca="1" ref="Q276" ca="1">IF(INDEX(NYUAfillType,MATCH(A276,'Key Metrics'!B:B,0))="Other (please specify)",INDEX('Key Metrics'!N:N,MATCH(A276,'Key Metrics'!B:B,0)),INDEX(NYUAfillType,MATCH(A276,'Key Metrics'!B:B,0)))</f>
        <v>0</v>
      </c>
      <c r="R276" s="93" t="str">
        <f t="array" aca="1" ref="R276" ca="1">IF(INDEX('Key Metrics'!Q:Q,MATCH(A276,'Key Metrics'!B:B,0))="No","",INDEX('Key Metrics'!Q:Q,MATCH(A276,'Key Metrics'!B:B,0)))</f>
        <v/>
      </c>
      <c r="S276" s="94" t="str">
        <f t="shared" si="3"/>
        <v>Invite</v>
      </c>
      <c r="T276" s="95" t="s">
        <v>18</v>
      </c>
      <c r="U276" s="95" t="b">
        <v>0</v>
      </c>
      <c r="V276" s="95" t="b">
        <v>0</v>
      </c>
      <c r="W276" s="95" t="b">
        <v>0</v>
      </c>
      <c r="X276" s="91"/>
      <c r="Y276" s="111" t="str">
        <f t="array" ref="Y276">INDEX('LS Shortlist'!U:U,MATCH(A276,'LS Shortlist'!B:B,0))</f>
        <v>Invite</v>
      </c>
    </row>
    <row r="277" spans="1:25" ht="28">
      <c r="A277" s="97" t="s">
        <v>334</v>
      </c>
      <c r="B277" s="98" t="str">
        <f t="array" ref="B277">INDEX(Interview,MATCH(A277,Name,0))</f>
        <v>Invite</v>
      </c>
      <c r="C277" s="98" t="str">
        <f t="array" ref="C277">INDEX(Track,MATCH(A277,Name,0))</f>
        <v>Life Sciences</v>
      </c>
      <c r="D277" s="99">
        <f t="array" ref="D277">INDEX(Score,MATCH(A277,Name,0))</f>
        <v>5</v>
      </c>
      <c r="E277" s="100">
        <f t="array" aca="1" ref="E277" ca="1">INDEX(Date,MATCH(A277,Name,0))</f>
        <v>44776</v>
      </c>
      <c r="F277" s="98" t="s">
        <v>13310</v>
      </c>
      <c r="G277" s="98" t="s">
        <v>13345</v>
      </c>
      <c r="H277" s="98" t="str">
        <f t="array" ref="H277">IFERROR(INDEX('2022-2023 Third Reviews'!K:K,MATCH(A277,'2022-2023 Third Reviews'!C:C,0)),"")</f>
        <v/>
      </c>
      <c r="I277" s="101" t="s">
        <v>1875</v>
      </c>
      <c r="J277" s="101" t="s">
        <v>481</v>
      </c>
      <c r="K277" s="101" t="str">
        <f t="array" ref="K277">IFERROR(INDEX('2022-2023 Third Reviews'!L:L,MATCH(A277,'2022-2023 Third Reviews'!C:C,0)),"")</f>
        <v/>
      </c>
      <c r="L277" s="102">
        <f t="array" ref="L277">INDEX(AppNotes,MATCH(A277,Name,0))</f>
        <v>0</v>
      </c>
      <c r="M277" s="103" t="str">
        <f t="array" aca="1" ref="M277" ca="1">INDEX(Team,MATCH(A277,'Key Metrics'!B:B,0))</f>
        <v>Woman, Man, Man, Woman</v>
      </c>
      <c r="N277" s="99" t="str">
        <f t="array" aca="1" ref="N277" ca="1">IF(INDEX('Key Metrics'!F:F,MATCH(A277,'Key Metrics'!B:B,0))="Woman","Yes","")</f>
        <v>Yes</v>
      </c>
      <c r="O277" s="99" t="str">
        <f t="shared" ca="1" si="2"/>
        <v>Yes</v>
      </c>
      <c r="P277" s="104">
        <f t="array" ref="P277">INDEX(Referral,MATCH(A277,Name,0))</f>
        <v>0</v>
      </c>
      <c r="Q277" s="104">
        <f t="array" aca="1" ref="Q277" ca="1">IF(INDEX(NYUAfillType,MATCH(A277,'Key Metrics'!B:B,0))="Other (please specify)",INDEX('Key Metrics'!N:N,MATCH(A277,'Key Metrics'!B:B,0)),INDEX(NYUAfillType,MATCH(A277,'Key Metrics'!B:B,0)))</f>
        <v>0</v>
      </c>
      <c r="R277" s="105" t="str">
        <f t="array" aca="1" ref="R277" ca="1">IF(INDEX('Key Metrics'!Q:Q,MATCH(A277,'Key Metrics'!B:B,0))="No","",INDEX('Key Metrics'!Q:Q,MATCH(A277,'Key Metrics'!B:B,0)))</f>
        <v/>
      </c>
      <c r="S277" s="106" t="str">
        <f t="shared" si="3"/>
        <v>Invite</v>
      </c>
      <c r="T277" s="107" t="s">
        <v>18</v>
      </c>
      <c r="U277" s="107" t="b">
        <v>0</v>
      </c>
      <c r="V277" s="107" t="b">
        <v>0</v>
      </c>
      <c r="W277" s="107" t="b">
        <v>0</v>
      </c>
      <c r="X277" s="103"/>
      <c r="Y277" s="110" t="str">
        <f t="array" ref="Y277">INDEX('LS Shortlist'!U:U,MATCH(A277,'LS Shortlist'!B:B,0))</f>
        <v>Invite</v>
      </c>
    </row>
    <row r="278" spans="1:25" ht="22" hidden="1">
      <c r="A278" s="109" t="s">
        <v>335</v>
      </c>
      <c r="B278" s="86" t="str">
        <f t="array" ref="B278">INDEX(Interview,MATCH(A278,Name,0))</f>
        <v>Invite</v>
      </c>
      <c r="C278" s="86" t="str">
        <f t="array" ref="C278">INDEX(Track,MATCH(A278,Name,0))</f>
        <v>Life Sciences</v>
      </c>
      <c r="D278" s="87">
        <f t="array" ref="D278">INDEX(Score,MATCH(A278,Name,0))</f>
        <v>4.5</v>
      </c>
      <c r="E278" s="88">
        <f t="array" aca="1" ref="E278" ca="1">INDEX(Date,MATCH(A278,Name,0))</f>
        <v>44797</v>
      </c>
      <c r="F278" s="86" t="s">
        <v>13395</v>
      </c>
      <c r="G278" s="86" t="s">
        <v>13391</v>
      </c>
      <c r="H278" s="86" t="str">
        <f t="array" ref="H278">IFERROR(INDEX('2022-2023 Third Reviews'!K:K,MATCH(A278,'2022-2023 Third Reviews'!C:C,0)),"")</f>
        <v/>
      </c>
      <c r="I278" s="89" t="s">
        <v>11226</v>
      </c>
      <c r="J278" s="89" t="s">
        <v>481</v>
      </c>
      <c r="K278" s="89" t="str">
        <f t="array" ref="K278">IFERROR(INDEX('2022-2023 Third Reviews'!L:L,MATCH(A278,'2022-2023 Third Reviews'!C:C,0)),"")</f>
        <v/>
      </c>
      <c r="L278" s="90" t="str">
        <f t="array" ref="L278">INDEX(AppNotes,MATCH(A278,Name,0))</f>
        <v>Perhaps a little late, but currently in bridge, not yet Series B</v>
      </c>
      <c r="M278" s="91" t="str">
        <f t="array" aca="1" ref="M278" ca="1">INDEX(Team,MATCH(A278,'Key Metrics'!B:B,0))</f>
        <v>Man, Man</v>
      </c>
      <c r="N278" s="87" t="str">
        <f t="array" aca="1" ref="N278" ca="1">IF(INDEX('Key Metrics'!F:F,MATCH(A278,'Key Metrics'!B:B,0))="Woman","Yes","")</f>
        <v/>
      </c>
      <c r="O278" s="87" t="str">
        <f t="shared" ca="1" si="2"/>
        <v/>
      </c>
      <c r="P278" s="92">
        <f t="array" ref="P278">INDEX(Referral,MATCH(A278,Name,0))</f>
        <v>0</v>
      </c>
      <c r="Q278" s="92">
        <f t="array" aca="1" ref="Q278" ca="1">IF(INDEX(NYUAfillType,MATCH(A278,'Key Metrics'!B:B,0))="Other (please specify)",INDEX('Key Metrics'!N:N,MATCH(A278,'Key Metrics'!B:B,0)),INDEX(NYUAfillType,MATCH(A278,'Key Metrics'!B:B,0)))</f>
        <v>0</v>
      </c>
      <c r="R278" s="93" t="str">
        <f t="array" aca="1" ref="R278" ca="1">IF(INDEX('Key Metrics'!Q:Q,MATCH(A278,'Key Metrics'!B:B,0))="No","",INDEX('Key Metrics'!Q:Q,MATCH(A278,'Key Metrics'!B:B,0)))</f>
        <v/>
      </c>
      <c r="S278" s="94" t="str">
        <f t="shared" si="3"/>
        <v>Invite</v>
      </c>
      <c r="T278" s="95" t="s">
        <v>18</v>
      </c>
      <c r="U278" s="95" t="b">
        <v>0</v>
      </c>
      <c r="V278" s="95" t="b">
        <v>0</v>
      </c>
      <c r="W278" s="95" t="b">
        <v>0</v>
      </c>
      <c r="X278" s="91"/>
      <c r="Y278" s="111" t="str">
        <f t="array" ref="Y278">INDEX('LS Shortlist'!U:U,MATCH(A278,'LS Shortlist'!B:B,0))</f>
        <v>Invite</v>
      </c>
    </row>
    <row r="279" spans="1:25" ht="66">
      <c r="A279" s="97" t="s">
        <v>336</v>
      </c>
      <c r="B279" s="98" t="str">
        <f t="array" ref="B279">INDEX(Interview,MATCH(A279,Name,0))</f>
        <v>Invite</v>
      </c>
      <c r="C279" s="98" t="str">
        <f t="array" ref="C279">INDEX(Track,MATCH(A279,Name,0))</f>
        <v>Life Sciences</v>
      </c>
      <c r="D279" s="99">
        <f t="array" ref="D279">INDEX(Score,MATCH(A279,Name,0))</f>
        <v>4.25</v>
      </c>
      <c r="E279" s="100">
        <f t="array" aca="1" ref="E279" ca="1">INDEX(Date,MATCH(A279,Name,0))</f>
        <v>44782</v>
      </c>
      <c r="F279" s="98" t="s">
        <v>13327</v>
      </c>
      <c r="G279" s="98" t="s">
        <v>13320</v>
      </c>
      <c r="H279" s="98" t="str">
        <f t="array" ref="H279">IFERROR(INDEX('2022-2023 Third Reviews'!K:K,MATCH(A279,'2022-2023 Third Reviews'!C:C,0)),"")</f>
        <v/>
      </c>
      <c r="I279" s="101" t="s">
        <v>1900</v>
      </c>
      <c r="J279" s="101" t="s">
        <v>481</v>
      </c>
      <c r="K279" s="101" t="str">
        <f t="array" ref="K279">IFERROR(INDEX('2022-2023 Third Reviews'!L:L,MATCH(A279,'2022-2023 Third Reviews'!C:C,0)),"")</f>
        <v/>
      </c>
      <c r="L279" s="102">
        <f t="array" ref="L279">INDEX(AppNotes,MATCH(A279,Name,0))</f>
        <v>0</v>
      </c>
      <c r="M279" s="103" t="str">
        <f t="array" aca="1" ref="M279" ca="1">INDEX(Team,MATCH(A279,'Key Metrics'!B:B,0))</f>
        <v>Man, Man, Woman, Man, Man, Woman</v>
      </c>
      <c r="N279" s="99" t="str">
        <f t="array" aca="1" ref="N279" ca="1">IF(INDEX('Key Metrics'!F:F,MATCH(A279,'Key Metrics'!B:B,0))="Woman","Yes","")</f>
        <v/>
      </c>
      <c r="O279" s="99" t="str">
        <f t="shared" ca="1" si="2"/>
        <v>Yes</v>
      </c>
      <c r="P279" s="104">
        <f t="array" ref="P279">INDEX(Referral,MATCH(A279,Name,0))</f>
        <v>0</v>
      </c>
      <c r="Q279" s="104">
        <f t="array" aca="1" ref="Q279" ca="1">IF(INDEX(NYUAfillType,MATCH(A279,'Key Metrics'!B:B,0))="Other (please specify)",INDEX('Key Metrics'!N:N,MATCH(A279,'Key Metrics'!B:B,0)),INDEX(NYUAfillType,MATCH(A279,'Key Metrics'!B:B,0)))</f>
        <v>0</v>
      </c>
      <c r="R279" s="105" t="str">
        <f t="array" aca="1" ref="R279" ca="1">IF(INDEX('Key Metrics'!Q:Q,MATCH(A279,'Key Metrics'!B:B,0))="No","",INDEX('Key Metrics'!Q:Q,MATCH(A279,'Key Metrics'!B:B,0)))</f>
        <v/>
      </c>
      <c r="S279" s="106" t="str">
        <f t="shared" si="3"/>
        <v>Invite</v>
      </c>
      <c r="T279" s="107" t="s">
        <v>18</v>
      </c>
      <c r="U279" s="107" t="b">
        <v>0</v>
      </c>
      <c r="V279" s="107" t="b">
        <v>0</v>
      </c>
      <c r="W279" s="107" t="b">
        <v>0</v>
      </c>
      <c r="X279" s="103"/>
      <c r="Y279" s="110" t="str">
        <f t="array" ref="Y279">INDEX('LS Shortlist'!U:U,MATCH(A279,'LS Shortlist'!B:B,0))</f>
        <v>Invite</v>
      </c>
    </row>
    <row r="280" spans="1:25" ht="77">
      <c r="A280" s="109" t="s">
        <v>337</v>
      </c>
      <c r="B280" s="86" t="str">
        <f t="array" ref="B280">INDEX(Interview,MATCH(A280,Name,0))</f>
        <v>Invite</v>
      </c>
      <c r="C280" s="86" t="str">
        <f t="array" ref="C280">INDEX(Track,MATCH(A280,Name,0))</f>
        <v>Life Sciences</v>
      </c>
      <c r="D280" s="87">
        <f t="array" ref="D280">INDEX(Score,MATCH(A280,Name,0))</f>
        <v>4.25</v>
      </c>
      <c r="E280" s="88">
        <f t="array" aca="1" ref="E280" ca="1">INDEX(Date,MATCH(A280,Name,0))</f>
        <v>44791</v>
      </c>
      <c r="F280" s="86" t="s">
        <v>13319</v>
      </c>
      <c r="G280" s="86" t="s">
        <v>13328</v>
      </c>
      <c r="H280" s="86" t="str">
        <f t="array" aca="1" ref="H280" ca="1">IFERROR(INDEX('2022-2023 Third Reviews'!K:K,MATCH(A280,'2022-2023 Third Reviews'!C:C,0)),"")</f>
        <v>Ahmed Bahgat
5</v>
      </c>
      <c r="I280" s="89" t="s">
        <v>10938</v>
      </c>
      <c r="J280" s="89" t="s">
        <v>10939</v>
      </c>
      <c r="K280" s="89" t="str">
        <f t="array" aca="1" ref="K280" ca="1">IFERROR(INDEX('2022-2023 Third Reviews'!L:L,MATCH(A280,'2022-2023 Third Reviews'!C:C,0)),"")</f>
        <v xml:space="preserve">Business is doing great and growing rapidly. They are scaling and have strong advisors to help them do so.  I question how EFL can support them at this stage given that they are scaling and have a strong set of advisors to help them do so. </v>
      </c>
      <c r="L280" s="90" t="str">
        <f t="array" ref="L280">INDEX(AppNotes,MATCH(A280,Name,0))</f>
        <v>visual analysis of tumors; multi-omics; for interview: are bio markers just cellular structural; IP well protected; pilot with hospital underway; Dick Foster on team; seems stronger than similar apps from LY;</v>
      </c>
      <c r="M280" s="91" t="str">
        <f t="array" aca="1" ref="M280" ca="1">INDEX(Team,MATCH(A280,'Key Metrics'!B:B,0))</f>
        <v>Woman, Man</v>
      </c>
      <c r="N280" s="87" t="str">
        <f t="array" aca="1" ref="N280" ca="1">IF(INDEX('Key Metrics'!F:F,MATCH(A280,'Key Metrics'!B:B,0))="Woman","Yes","")</f>
        <v>Yes</v>
      </c>
      <c r="O280" s="87" t="str">
        <f t="shared" ca="1" si="2"/>
        <v>Yes</v>
      </c>
      <c r="P280" s="92" t="str">
        <f t="array" ref="P280">INDEX(Referral,MATCH(A280,Name,0))</f>
        <v>Richard N. Foster (Panakeia's board chair)</v>
      </c>
      <c r="Q280" s="92">
        <f t="array" aca="1" ref="Q280" ca="1">IF(INDEX(NYUAfillType,MATCH(A280,'Key Metrics'!B:B,0))="Other (please specify)",INDEX('Key Metrics'!N:N,MATCH(A280,'Key Metrics'!B:B,0)),INDEX(NYUAfillType,MATCH(A280,'Key Metrics'!B:B,0)))</f>
        <v>0</v>
      </c>
      <c r="R280" s="93" t="str">
        <f t="array" aca="1" ref="R280" ca="1">IF(INDEX('Key Metrics'!Q:Q,MATCH(A280,'Key Metrics'!B:B,0))="No","",INDEX('Key Metrics'!Q:Q,MATCH(A280,'Key Metrics'!B:B,0)))</f>
        <v/>
      </c>
      <c r="S280" s="94" t="str">
        <f t="shared" si="3"/>
        <v>Invite</v>
      </c>
      <c r="T280" s="95" t="s">
        <v>18</v>
      </c>
      <c r="U280" s="95" t="b">
        <v>0</v>
      </c>
      <c r="V280" s="95" t="b">
        <v>0</v>
      </c>
      <c r="W280" s="95" t="b">
        <v>0</v>
      </c>
      <c r="X280" s="91"/>
      <c r="Y280" s="111" t="str">
        <f t="array" ref="Y280">INDEX('LS Shortlist'!U:U,MATCH(A280,'LS Shortlist'!B:B,0))</f>
        <v>Invite</v>
      </c>
    </row>
    <row r="281" spans="1:25" ht="66" hidden="1">
      <c r="A281" s="97" t="s">
        <v>338</v>
      </c>
      <c r="B281" s="98" t="str">
        <f t="array" ref="B281">INDEX(Interview,MATCH(A281,Name,0))</f>
        <v>Invite</v>
      </c>
      <c r="C281" s="98" t="str">
        <f t="array" ref="C281">INDEX(Track,MATCH(A281,Name,0))</f>
        <v>Life Sciences</v>
      </c>
      <c r="D281" s="99">
        <f t="array" ref="D281">INDEX(Score,MATCH(A281,Name,0))</f>
        <v>5</v>
      </c>
      <c r="E281" s="100">
        <f t="array" aca="1" ref="E281" ca="1">INDEX(Date,MATCH(A281,Name,0))</f>
        <v>44789</v>
      </c>
      <c r="F281" s="98" t="s">
        <v>13310</v>
      </c>
      <c r="G281" s="98" t="s">
        <v>13345</v>
      </c>
      <c r="H281" s="98" t="str">
        <f t="array" ref="H281">IFERROR(INDEX('2022-2023 Third Reviews'!K:K,MATCH(A281,'2022-2023 Third Reviews'!C:C,0)),"")</f>
        <v/>
      </c>
      <c r="I281" s="101" t="s">
        <v>1918</v>
      </c>
      <c r="J281" s="101" t="s">
        <v>1919</v>
      </c>
      <c r="K281" s="101" t="str">
        <f t="array" ref="K281">IFERROR(INDEX('2022-2023 Third Reviews'!L:L,MATCH(A281,'2022-2023 Third Reviews'!C:C,0)),"")</f>
        <v/>
      </c>
      <c r="L281" s="102">
        <f t="array" ref="L281">INDEX(AppNotes,MATCH(A281,Name,0))</f>
        <v>0</v>
      </c>
      <c r="M281" s="103" t="str">
        <f t="array" aca="1" ref="M281" ca="1">INDEX(Team,MATCH(A281,'Key Metrics'!B:B,0))</f>
        <v>Man, Man</v>
      </c>
      <c r="N281" s="99" t="str">
        <f t="array" aca="1" ref="N281" ca="1">IF(INDEX('Key Metrics'!F:F,MATCH(A281,'Key Metrics'!B:B,0))="Woman","Yes","")</f>
        <v/>
      </c>
      <c r="O281" s="99" t="str">
        <f t="shared" ca="1" si="2"/>
        <v/>
      </c>
      <c r="P281" s="104" t="str">
        <f t="array" ref="P281">INDEX(Referral,MATCH(A281,Name,0))</f>
        <v>Tugba Oncu, MBA Candidate, Class of 2024  NYU Leonard N. Stern School of Business</v>
      </c>
      <c r="Q281" s="104">
        <f t="array" aca="1" ref="Q281" ca="1">IF(INDEX(NYUAfillType,MATCH(A281,'Key Metrics'!B:B,0))="Other (please specify)",INDEX('Key Metrics'!N:N,MATCH(A281,'Key Metrics'!B:B,0)),INDEX(NYUAfillType,MATCH(A281,'Key Metrics'!B:B,0)))</f>
        <v>0</v>
      </c>
      <c r="R281" s="105" t="str">
        <f t="array" aca="1" ref="R281" ca="1">IF(INDEX('Key Metrics'!Q:Q,MATCH(A281,'Key Metrics'!B:B,0))="No","",INDEX('Key Metrics'!Q:Q,MATCH(A281,'Key Metrics'!B:B,0)))</f>
        <v/>
      </c>
      <c r="S281" s="106" t="str">
        <f t="shared" si="3"/>
        <v>Invite</v>
      </c>
      <c r="T281" s="107" t="s">
        <v>18</v>
      </c>
      <c r="U281" s="107" t="b">
        <v>0</v>
      </c>
      <c r="V281" s="107" t="b">
        <v>0</v>
      </c>
      <c r="W281" s="107" t="b">
        <v>0</v>
      </c>
      <c r="X281" s="103"/>
      <c r="Y281" s="110" t="str">
        <f t="array" ref="Y281">INDEX('LS Shortlist'!U:U,MATCH(A281,'LS Shortlist'!B:B,0))</f>
        <v>Invite</v>
      </c>
    </row>
    <row r="282" spans="1:25" ht="66" hidden="1">
      <c r="A282" s="109" t="s">
        <v>339</v>
      </c>
      <c r="B282" s="86" t="str">
        <f t="array" ref="B282">INDEX(Interview,MATCH(A282,Name,0))</f>
        <v>Invite</v>
      </c>
      <c r="C282" s="86" t="str">
        <f t="array" ref="C282">INDEX(Track,MATCH(A282,Name,0))</f>
        <v>Life Sciences</v>
      </c>
      <c r="D282" s="87">
        <f t="array" ref="D282">INDEX(Score,MATCH(A282,Name,0))</f>
        <v>4.25</v>
      </c>
      <c r="E282" s="88">
        <f t="array" aca="1" ref="E282" ca="1">INDEX(Date,MATCH(A282,Name,0))</f>
        <v>44789</v>
      </c>
      <c r="F282" s="86" t="s">
        <v>13327</v>
      </c>
      <c r="G282" s="86" t="s">
        <v>13320</v>
      </c>
      <c r="H282" s="86" t="str">
        <f t="array" aca="1" ref="H282" ca="1">IFERROR(INDEX('2022-2023 Third Reviews'!K:K,MATCH(A282,'2022-2023 Third Reviews'!C:C,0)),"")</f>
        <v>Ahmed Bahgat
5</v>
      </c>
      <c r="I282" s="89" t="s">
        <v>1930</v>
      </c>
      <c r="J282" s="89" t="s">
        <v>11018</v>
      </c>
      <c r="K282" s="89" t="str">
        <f t="array" aca="1" ref="K282" ca="1">IFERROR(INDEX('2022-2023 Third Reviews'!L:L,MATCH(A282,'2022-2023 Third Reviews'!C:C,0)),"")</f>
        <v xml:space="preserve">Solid business with a strong team to execute their vision. They are looking for EFL to help them scale, further market research and product development. They are well positioned to benefit from EFL. </v>
      </c>
      <c r="L282" s="90">
        <f t="array" ref="L282">INDEX(AppNotes,MATCH(A282,Name,0))</f>
        <v>0</v>
      </c>
      <c r="M282" s="91" t="str">
        <f t="array" aca="1" ref="M282" ca="1">INDEX(Team,MATCH(A282,'Key Metrics'!B:B,0))</f>
        <v>Man, Man, Man</v>
      </c>
      <c r="N282" s="87" t="str">
        <f t="array" aca="1" ref="N282" ca="1">IF(INDEX('Key Metrics'!F:F,MATCH(A282,'Key Metrics'!B:B,0))="Woman","Yes","")</f>
        <v/>
      </c>
      <c r="O282" s="87" t="str">
        <f t="shared" ca="1" si="2"/>
        <v/>
      </c>
      <c r="P282" s="92">
        <f t="array" ref="P282">INDEX(Referral,MATCH(A282,Name,0))</f>
        <v>0</v>
      </c>
      <c r="Q282" s="92">
        <f t="array" aca="1" ref="Q282" ca="1">IF(INDEX(NYUAfillType,MATCH(A282,'Key Metrics'!B:B,0))="Other (please specify)",INDEX('Key Metrics'!N:N,MATCH(A282,'Key Metrics'!B:B,0)),INDEX(NYUAfillType,MATCH(A282,'Key Metrics'!B:B,0)))</f>
        <v>0</v>
      </c>
      <c r="R282" s="93" t="str">
        <f t="array" aca="1" ref="R282" ca="1">IF(INDEX('Key Metrics'!Q:Q,MATCH(A282,'Key Metrics'!B:B,0))="No","",INDEX('Key Metrics'!Q:Q,MATCH(A282,'Key Metrics'!B:B,0)))</f>
        <v/>
      </c>
      <c r="S282" s="94" t="str">
        <f t="shared" si="3"/>
        <v>Invite</v>
      </c>
      <c r="T282" s="95" t="s">
        <v>18</v>
      </c>
      <c r="U282" s="95" t="b">
        <v>0</v>
      </c>
      <c r="V282" s="95" t="b">
        <v>0</v>
      </c>
      <c r="W282" s="95" t="b">
        <v>0</v>
      </c>
      <c r="X282" s="91"/>
      <c r="Y282" s="111" t="str">
        <f t="array" ref="Y282">INDEX('LS Shortlist'!U:U,MATCH(A282,'LS Shortlist'!B:B,0))</f>
        <v>Invite</v>
      </c>
    </row>
    <row r="283" spans="1:25" ht="99">
      <c r="A283" s="97" t="s">
        <v>340</v>
      </c>
      <c r="B283" s="98" t="str">
        <f t="array" ref="B283">INDEX(Interview,MATCH(A283,Name,0))</f>
        <v>Invite</v>
      </c>
      <c r="C283" s="98" t="str">
        <f t="array" ref="C283">INDEX(Track,MATCH(A283,Name,0))</f>
        <v>Life Sciences</v>
      </c>
      <c r="D283" s="99">
        <f t="array" ref="D283">INDEX(Score,MATCH(A283,Name,0))</f>
        <v>4</v>
      </c>
      <c r="E283" s="100">
        <f t="array" aca="1" ref="E283" ca="1">INDEX(Date,MATCH(A283,Name,0))</f>
        <v>44797</v>
      </c>
      <c r="F283" s="98" t="s">
        <v>13319</v>
      </c>
      <c r="G283" s="98" t="s">
        <v>13320</v>
      </c>
      <c r="H283" s="98" t="str">
        <f t="array" ref="H283">IFERROR(INDEX('2022-2023 Third Reviews'!K:K,MATCH(A283,'2022-2023 Third Reviews'!C:C,0)),"")</f>
        <v/>
      </c>
      <c r="I283" s="101" t="s">
        <v>11261</v>
      </c>
      <c r="J283" s="101" t="s">
        <v>1939</v>
      </c>
      <c r="K283" s="101" t="str">
        <f t="array" ref="K283">IFERROR(INDEX('2022-2023 Third Reviews'!L:L,MATCH(A283,'2022-2023 Third Reviews'!C:C,0)),"")</f>
        <v/>
      </c>
      <c r="L283" s="102">
        <f t="array" ref="L283">INDEX(AppNotes,MATCH(A283,Name,0))</f>
        <v>0</v>
      </c>
      <c r="M283" s="103" t="str">
        <f t="array" aca="1" ref="M283" ca="1">INDEX(Team,MATCH(A283,'Key Metrics'!B:B,0))</f>
        <v>Man, Woman, Man, Man</v>
      </c>
      <c r="N283" s="99" t="str">
        <f t="array" aca="1" ref="N283" ca="1">IF(INDEX('Key Metrics'!F:F,MATCH(A283,'Key Metrics'!B:B,0))="Woman","Yes","")</f>
        <v/>
      </c>
      <c r="O283" s="99" t="str">
        <f t="shared" ca="1" si="2"/>
        <v>Yes</v>
      </c>
      <c r="P283" s="104" t="str">
        <f t="array" ref="P283">INDEX(Referral,MATCH(A283,Name,0))</f>
        <v>CEO of Biorchestra</v>
      </c>
      <c r="Q283" s="104">
        <f t="array" aca="1" ref="Q283" ca="1">IF(INDEX(NYUAfillType,MATCH(A283,'Key Metrics'!B:B,0))="Other (please specify)",INDEX('Key Metrics'!N:N,MATCH(A283,'Key Metrics'!B:B,0)),INDEX(NYUAfillType,MATCH(A283,'Key Metrics'!B:B,0)))</f>
        <v>0</v>
      </c>
      <c r="R283" s="105" t="str">
        <f t="array" aca="1" ref="R283" ca="1">IF(INDEX('Key Metrics'!Q:Q,MATCH(A283,'Key Metrics'!B:B,0))="No","",INDEX('Key Metrics'!Q:Q,MATCH(A283,'Key Metrics'!B:B,0)))</f>
        <v/>
      </c>
      <c r="S283" s="106" t="str">
        <f t="shared" si="3"/>
        <v>Invite</v>
      </c>
      <c r="T283" s="107" t="s">
        <v>18</v>
      </c>
      <c r="U283" s="107" t="b">
        <v>0</v>
      </c>
      <c r="V283" s="107" t="b">
        <v>0</v>
      </c>
      <c r="W283" s="107" t="b">
        <v>0</v>
      </c>
      <c r="X283" s="103"/>
      <c r="Y283" s="110" t="str">
        <f t="array" ref="Y283">INDEX('LS Shortlist'!U:U,MATCH(A283,'LS Shortlist'!B:B,0))</f>
        <v>Invite</v>
      </c>
    </row>
    <row r="284" spans="1:25" ht="42" hidden="1">
      <c r="A284" s="109" t="s">
        <v>341</v>
      </c>
      <c r="B284" s="86" t="str">
        <f t="array" ref="B284">INDEX(Interview,MATCH(A284,Name,0))</f>
        <v>Invite</v>
      </c>
      <c r="C284" s="86" t="str">
        <f t="array" ref="C284">INDEX(Track,MATCH(A284,Name,0))</f>
        <v>Life Sciences</v>
      </c>
      <c r="D284" s="87">
        <f t="array" ref="D284">INDEX(Score,MATCH(A284,Name,0))</f>
        <v>4</v>
      </c>
      <c r="E284" s="88">
        <f t="array" aca="1" ref="E284" ca="1">INDEX(Date,MATCH(A284,Name,0))</f>
        <v>44776</v>
      </c>
      <c r="F284" s="86" t="s">
        <v>13319</v>
      </c>
      <c r="G284" s="86" t="s">
        <v>13315</v>
      </c>
      <c r="H284" s="86" t="str">
        <f t="array" ref="H284">IFERROR(INDEX('2022-2023 Third Reviews'!K:K,MATCH(A284,'2022-2023 Third Reviews'!C:C,0)),"")</f>
        <v/>
      </c>
      <c r="I284" s="89" t="s">
        <v>9715</v>
      </c>
      <c r="J284" s="89" t="s">
        <v>9716</v>
      </c>
      <c r="K284" s="89" t="str">
        <f t="array" ref="K284">IFERROR(INDEX('2022-2023 Third Reviews'!L:L,MATCH(A284,'2022-2023 Third Reviews'!C:C,0)),"")</f>
        <v/>
      </c>
      <c r="L284" s="90">
        <f t="array" ref="L284">INDEX(AppNotes,MATCH(A284,Name,0))</f>
        <v>0</v>
      </c>
      <c r="M284" s="91" t="str">
        <f t="array" aca="1" ref="M284" ca="1">INDEX(Team,MATCH(A284,'Key Metrics'!B:B,0))</f>
        <v>Woman, Man, Woman, Man, Man, Man</v>
      </c>
      <c r="N284" s="87" t="str">
        <f t="array" aca="1" ref="N284" ca="1">IF(INDEX('Key Metrics'!F:F,MATCH(A284,'Key Metrics'!B:B,0))="Woman","Yes","")</f>
        <v>Yes</v>
      </c>
      <c r="O284" s="87" t="str">
        <f t="shared" ca="1" si="2"/>
        <v>Yes</v>
      </c>
      <c r="P284" s="92" t="str">
        <f t="array" ref="P284">INDEX(Referral,MATCH(A284,Name,0))</f>
        <v>Mike Malloy from Halcyon Incubator</v>
      </c>
      <c r="Q284" s="92">
        <f t="array" aca="1" ref="Q284" ca="1">IF(INDEX(NYUAfillType,MATCH(A284,'Key Metrics'!B:B,0))="Other (please specify)",INDEX('Key Metrics'!N:N,MATCH(A284,'Key Metrics'!B:B,0)),INDEX(NYUAfillType,MATCH(A284,'Key Metrics'!B:B,0)))</f>
        <v>0</v>
      </c>
      <c r="R284" s="93" t="str">
        <f t="array" aca="1" ref="R284" ca="1">IF(INDEX('Key Metrics'!Q:Q,MATCH(A284,'Key Metrics'!B:B,0))="No","",INDEX('Key Metrics'!Q:Q,MATCH(A284,'Key Metrics'!B:B,0)))</f>
        <v/>
      </c>
      <c r="S284" s="94" t="str">
        <f t="shared" si="3"/>
        <v>Special Reject</v>
      </c>
      <c r="T284" s="95" t="s">
        <v>23</v>
      </c>
      <c r="U284" s="95" t="b">
        <v>0</v>
      </c>
      <c r="V284" s="95" t="b">
        <v>1</v>
      </c>
      <c r="W284" s="95" t="b">
        <v>0</v>
      </c>
      <c r="X284" s="91"/>
      <c r="Y284" s="111" t="str">
        <f t="array" ref="Y284">INDEX('LS Shortlist'!U:U,MATCH(A284,'LS Shortlist'!B:B,0))</f>
        <v>Special Reject</v>
      </c>
    </row>
    <row r="285" spans="1:25" hidden="1">
      <c r="A285" s="97" t="s">
        <v>342</v>
      </c>
      <c r="B285" s="98" t="str">
        <f t="array" ref="B285">INDEX(Interview,MATCH(A285,Name,0))</f>
        <v>Invite</v>
      </c>
      <c r="C285" s="98" t="str">
        <f t="array" ref="C285">INDEX(Track,MATCH(A285,Name,0))</f>
        <v>Life Sciences</v>
      </c>
      <c r="D285" s="99">
        <f t="array" ref="D285">INDEX(Score,MATCH(A285,Name,0))</f>
        <v>4.5</v>
      </c>
      <c r="E285" s="100">
        <f t="array" aca="1" ref="E285" ca="1">INDEX(Date,MATCH(A285,Name,0))</f>
        <v>44797</v>
      </c>
      <c r="F285" s="98" t="s">
        <v>13315</v>
      </c>
      <c r="G285" s="98" t="s">
        <v>13311</v>
      </c>
      <c r="H285" s="98" t="str">
        <f t="array" ref="H285">IFERROR(INDEX('2022-2023 Third Reviews'!K:K,MATCH(A285,'2022-2023 Third Reviews'!C:C,0)),"")</f>
        <v/>
      </c>
      <c r="I285" s="101" t="s">
        <v>1947</v>
      </c>
      <c r="J285" s="101" t="s">
        <v>1948</v>
      </c>
      <c r="K285" s="101" t="str">
        <f t="array" ref="K285">IFERROR(INDEX('2022-2023 Third Reviews'!L:L,MATCH(A285,'2022-2023 Third Reviews'!C:C,0)),"")</f>
        <v/>
      </c>
      <c r="L285" s="102">
        <f t="array" ref="L285">INDEX(AppNotes,MATCH(A285,Name,0))</f>
        <v>0</v>
      </c>
      <c r="M285" s="103" t="str">
        <f t="array" aca="1" ref="M285" ca="1">INDEX(Team,MATCH(A285,'Key Metrics'!B:B,0))</f>
        <v>Man, Man, Man</v>
      </c>
      <c r="N285" s="99" t="str">
        <f t="array" aca="1" ref="N285" ca="1">IF(INDEX('Key Metrics'!F:F,MATCH(A285,'Key Metrics'!B:B,0))="Woman","Yes","")</f>
        <v/>
      </c>
      <c r="O285" s="99" t="str">
        <f t="shared" ca="1" si="2"/>
        <v/>
      </c>
      <c r="P285" s="104">
        <f t="array" ref="P285">INDEX(Referral,MATCH(A285,Name,0))</f>
        <v>0</v>
      </c>
      <c r="Q285" s="104">
        <f t="array" aca="1" ref="Q285" ca="1">IF(INDEX(NYUAfillType,MATCH(A285,'Key Metrics'!B:B,0))="Other (please specify)",INDEX('Key Metrics'!N:N,MATCH(A285,'Key Metrics'!B:B,0)),INDEX(NYUAfillType,MATCH(A285,'Key Metrics'!B:B,0)))</f>
        <v>0</v>
      </c>
      <c r="R285" s="105" t="str">
        <f t="array" aca="1" ref="R285" ca="1">IF(INDEX('Key Metrics'!Q:Q,MATCH(A285,'Key Metrics'!B:B,0))="No","",INDEX('Key Metrics'!Q:Q,MATCH(A285,'Key Metrics'!B:B,0)))</f>
        <v/>
      </c>
      <c r="S285" s="106" t="str">
        <f t="shared" si="3"/>
        <v>Invite</v>
      </c>
      <c r="T285" s="107" t="s">
        <v>18</v>
      </c>
      <c r="U285" s="107" t="b">
        <v>0</v>
      </c>
      <c r="V285" s="107" t="b">
        <v>0</v>
      </c>
      <c r="W285" s="107" t="b">
        <v>0</v>
      </c>
      <c r="X285" s="103"/>
      <c r="Y285" s="110" t="str">
        <f t="array" ref="Y285">INDEX('LS Shortlist'!U:U,MATCH(A285,'LS Shortlist'!B:B,0))</f>
        <v>Invite</v>
      </c>
    </row>
    <row r="286" spans="1:25" ht="55" hidden="1">
      <c r="A286" s="109" t="s">
        <v>343</v>
      </c>
      <c r="B286" s="86" t="str">
        <f t="array" ref="B286">INDEX(Interview,MATCH(A286,Name,0))</f>
        <v>Invite</v>
      </c>
      <c r="C286" s="86" t="str">
        <f t="array" ref="C286">INDEX(Track,MATCH(A286,Name,0))</f>
        <v>Life Sciences</v>
      </c>
      <c r="D286" s="87">
        <f t="array" ref="D286">INDEX(Score,MATCH(A286,Name,0))</f>
        <v>4</v>
      </c>
      <c r="E286" s="88">
        <f t="array" aca="1" ref="E286" ca="1">INDEX(Date,MATCH(A286,Name,0))</f>
        <v>44789</v>
      </c>
      <c r="F286" s="86" t="s">
        <v>13315</v>
      </c>
      <c r="G286" s="86" t="s">
        <v>13320</v>
      </c>
      <c r="H286" s="86" t="str">
        <f t="array" ref="H286">IFERROR(INDEX('2022-2023 Third Reviews'!K:K,MATCH(A286,'2022-2023 Third Reviews'!C:C,0)),"")</f>
        <v/>
      </c>
      <c r="I286" s="89" t="s">
        <v>11339</v>
      </c>
      <c r="J286" s="89" t="s">
        <v>1957</v>
      </c>
      <c r="K286" s="89" t="str">
        <f t="array" ref="K286">IFERROR(INDEX('2022-2023 Third Reviews'!L:L,MATCH(A286,'2022-2023 Third Reviews'!C:C,0)),"")</f>
        <v/>
      </c>
      <c r="L286" s="90">
        <f t="array" ref="L286">INDEX(AppNotes,MATCH(A286,Name,0))</f>
        <v>0</v>
      </c>
      <c r="M286" s="91" t="str">
        <f t="array" aca="1" ref="M286" ca="1">INDEX(Team,MATCH(A286,'Key Metrics'!B:B,0))</f>
        <v>Man, Man</v>
      </c>
      <c r="N286" s="87" t="str">
        <f t="array" aca="1" ref="N286" ca="1">IF(INDEX('Key Metrics'!F:F,MATCH(A286,'Key Metrics'!B:B,0))="Woman","Yes","")</f>
        <v/>
      </c>
      <c r="O286" s="87" t="str">
        <f t="shared" ca="1" si="2"/>
        <v/>
      </c>
      <c r="P286" s="92" t="str">
        <f t="array" ref="P286">INDEX(Referral,MATCH(A286,Name,0))</f>
        <v>Luis Vollach CTO Immuneai</v>
      </c>
      <c r="Q286" s="92">
        <f t="array" aca="1" ref="Q286" ca="1">IF(INDEX(NYUAfillType,MATCH(A286,'Key Metrics'!B:B,0))="Other (please specify)",INDEX('Key Metrics'!N:N,MATCH(A286,'Key Metrics'!B:B,0)),INDEX(NYUAfillType,MATCH(A286,'Key Metrics'!B:B,0)))</f>
        <v>0</v>
      </c>
      <c r="R286" s="93" t="str">
        <f t="array" aca="1" ref="R286" ca="1">IF(INDEX('Key Metrics'!Q:Q,MATCH(A286,'Key Metrics'!B:B,0))="No","",INDEX('Key Metrics'!Q:Q,MATCH(A286,'Key Metrics'!B:B,0)))</f>
        <v/>
      </c>
      <c r="S286" s="94" t="str">
        <f t="shared" si="3"/>
        <v>Invite</v>
      </c>
      <c r="T286" s="95" t="s">
        <v>18</v>
      </c>
      <c r="U286" s="95" t="b">
        <v>0</v>
      </c>
      <c r="V286" s="95" t="b">
        <v>0</v>
      </c>
      <c r="W286" s="95" t="b">
        <v>0</v>
      </c>
      <c r="X286" s="91"/>
      <c r="Y286" s="111" t="str">
        <f t="array" ref="Y286">INDEX('LS Shortlist'!U:U,MATCH(A286,'LS Shortlist'!B:B,0))</f>
        <v>Invite</v>
      </c>
    </row>
    <row r="287" spans="1:25" ht="66">
      <c r="A287" s="97" t="s">
        <v>344</v>
      </c>
      <c r="B287" s="98" t="str">
        <f t="array" ref="B287">INDEX(Interview,MATCH(A287,Name,0))</f>
        <v>Invite</v>
      </c>
      <c r="C287" s="98" t="str">
        <f t="array" ref="C287">INDEX(Track,MATCH(A287,Name,0))</f>
        <v>Life Sciences</v>
      </c>
      <c r="D287" s="99">
        <f t="array" ref="D287">INDEX(Score,MATCH(A287,Name,0))</f>
        <v>4.5</v>
      </c>
      <c r="E287" s="100">
        <f t="array" aca="1" ref="E287" ca="1">INDEX(Date,MATCH(A287,Name,0))</f>
        <v>44791</v>
      </c>
      <c r="F287" s="98" t="s">
        <v>13347</v>
      </c>
      <c r="G287" s="98" t="s">
        <v>13328</v>
      </c>
      <c r="H287" s="98" t="str">
        <f t="array" aca="1" ref="H287" ca="1">IFERROR(INDEX('2022-2023 Third Reviews'!K:K,MATCH(A287,'2022-2023 Third Reviews'!C:C,0)),"")</f>
        <v>Joshua Rubnitz
5</v>
      </c>
      <c r="I287" s="101" t="s">
        <v>10607</v>
      </c>
      <c r="J287" s="101" t="s">
        <v>1966</v>
      </c>
      <c r="K287" s="101" t="str">
        <f t="array" aca="1" ref="K287" ca="1">IFERROR(INDEX('2022-2023 Third Reviews'!L:L,MATCH(A287,'2022-2023 Third Reviews'!C:C,0)),"")</f>
        <v>Founder has put together an exceptional plan to solve a specific problem, an outlook for growth, concrete uses of funding, and is already targeting to be acquired  if all goes well. The biggest risk is the technology not working, although initial data is promising. Founder does not have any business specialists on the team, but has an impressive advisory board. Startup has been funded by the founder &amp; family.
Some oversight from business experts at EFL could go a long way.</v>
      </c>
      <c r="L287" s="102">
        <f t="array" ref="L287">INDEX(AppNotes,MATCH(A287,Name,0))</f>
        <v>0</v>
      </c>
      <c r="M287" s="103" t="str">
        <f t="array" aca="1" ref="M287" ca="1">INDEX(Team,MATCH(A287,'Key Metrics'!B:B,0))</f>
        <v>Man, Woman, Man, Man, Man, Man</v>
      </c>
      <c r="N287" s="99" t="str">
        <f t="array" aca="1" ref="N287" ca="1">IF(INDEX('Key Metrics'!F:F,MATCH(A287,'Key Metrics'!B:B,0))="Woman","Yes","")</f>
        <v/>
      </c>
      <c r="O287" s="99" t="str">
        <f t="shared" ca="1" si="2"/>
        <v>Yes</v>
      </c>
      <c r="P287" s="104">
        <f t="array" ref="P287">INDEX(Referral,MATCH(A287,Name,0))</f>
        <v>0</v>
      </c>
      <c r="Q287" s="104">
        <f t="array" aca="1" ref="Q287" ca="1">IF(INDEX(NYUAfillType,MATCH(A287,'Key Metrics'!B:B,0))="Other (please specify)",INDEX('Key Metrics'!N:N,MATCH(A287,'Key Metrics'!B:B,0)),INDEX(NYUAfillType,MATCH(A287,'Key Metrics'!B:B,0)))</f>
        <v>0</v>
      </c>
      <c r="R287" s="105" t="str">
        <f t="array" aca="1" ref="R287" ca="1">IF(INDEX('Key Metrics'!Q:Q,MATCH(A287,'Key Metrics'!B:B,0))="No","",INDEX('Key Metrics'!Q:Q,MATCH(A287,'Key Metrics'!B:B,0)))</f>
        <v/>
      </c>
      <c r="S287" s="106" t="str">
        <f t="shared" si="3"/>
        <v>Invite</v>
      </c>
      <c r="T287" s="107" t="s">
        <v>18</v>
      </c>
      <c r="U287" s="107" t="b">
        <v>0</v>
      </c>
      <c r="V287" s="107" t="b">
        <v>0</v>
      </c>
      <c r="W287" s="107" t="b">
        <v>0</v>
      </c>
      <c r="X287" s="103"/>
      <c r="Y287" s="110" t="str">
        <f t="array" ref="Y287">INDEX('LS Shortlist'!U:U,MATCH(A287,'LS Shortlist'!B:B,0))</f>
        <v>Invite</v>
      </c>
    </row>
    <row r="288" spans="1:25" ht="77">
      <c r="A288" s="109" t="s">
        <v>345</v>
      </c>
      <c r="B288" s="86" t="str">
        <f t="array" ref="B288">INDEX(Interview,MATCH(A288,Name,0))</f>
        <v>Invite</v>
      </c>
      <c r="C288" s="86" t="str">
        <f t="array" ref="C288">INDEX(Track,MATCH(A288,Name,0))</f>
        <v>Life Sciences</v>
      </c>
      <c r="D288" s="87">
        <f t="array" ref="D288">INDEX(Score,MATCH(A288,Name,0))</f>
        <v>4.75</v>
      </c>
      <c r="E288" s="88">
        <f t="array" aca="1" ref="E288" ca="1">INDEX(Date,MATCH(A288,Name,0))</f>
        <v>44791</v>
      </c>
      <c r="F288" s="86" t="s">
        <v>13327</v>
      </c>
      <c r="G288" s="86" t="s">
        <v>13311</v>
      </c>
      <c r="H288" s="86" t="str">
        <f t="array" aca="1" ref="H288" ca="1">IFERROR(INDEX('2022-2023 Third Reviews'!K:K,MATCH(A288,'2022-2023 Third Reviews'!C:C,0)),"")</f>
        <v>Joshua Rubnitz
3</v>
      </c>
      <c r="I288" s="89" t="s">
        <v>1973</v>
      </c>
      <c r="J288" s="89" t="s">
        <v>1974</v>
      </c>
      <c r="K288" s="89" t="str">
        <f t="array" aca="1" ref="K288" ca="1">IFERROR(INDEX('2022-2023 Third Reviews'!L:L,MATCH(A288,'2022-2023 Third Reviews'!C:C,0)),"")</f>
        <v>Interesting product that can allow anyone with a smartphone to invest in any financial asset in any market on earth through the power of tokenization of assets.
I see 3 strategic issues: 1) similar solutions already exist 2) targeting low resource customers for trading will not unlock much capital and customers will be low WTP 3) It is ironically a web 3.0/DeFi service that relies on traditional financial systems 
Worth consideration for EFL because of the sheer size of the possible market and the ability to quickly win customer loyalty once assets are purchased on the app.</v>
      </c>
      <c r="L288" s="90" t="str">
        <f t="array" ref="L288">INDEX(AppNotes,MATCH(A288,Name,0))</f>
        <v>Discovery/design/validation all in one; also mentioned a focus on space medicine and personal medicine, focus is perhaps a bit confusing; pilots claimed but not quite explained; CEO part time, COO full time superstar; In interview: ask more about pilot studies, validation data, and lead indication</v>
      </c>
      <c r="M288" s="91" t="str">
        <f t="array" aca="1" ref="M288" ca="1">INDEX(Team,MATCH(A288,'Key Metrics'!B:B,0))</f>
        <v>Woman, Man</v>
      </c>
      <c r="N288" s="87" t="str">
        <f t="array" aca="1" ref="N288" ca="1">IF(INDEX('Key Metrics'!F:F,MATCH(A288,'Key Metrics'!B:B,0))="Woman","Yes","")</f>
        <v>Yes</v>
      </c>
      <c r="O288" s="87" t="str">
        <f t="shared" ca="1" si="2"/>
        <v>Yes</v>
      </c>
      <c r="P288" s="92" t="str">
        <f t="array" ref="P288">INDEX(Referral,MATCH(A288,Name,0))</f>
        <v>Deepak Hegde</v>
      </c>
      <c r="Q288" s="92">
        <f t="array" aca="1" ref="Q288" ca="1">IF(INDEX(NYUAfillType,MATCH(A288,'Key Metrics'!B:B,0))="Other (please specify)",INDEX('Key Metrics'!N:N,MATCH(A288,'Key Metrics'!B:B,0)),INDEX(NYUAfillType,MATCH(A288,'Key Metrics'!B:B,0)))</f>
        <v>0</v>
      </c>
      <c r="R288" s="93" t="str">
        <f t="array" aca="1" ref="R288" ca="1">IF(INDEX('Key Metrics'!Q:Q,MATCH(A288,'Key Metrics'!B:B,0))="No","",INDEX('Key Metrics'!Q:Q,MATCH(A288,'Key Metrics'!B:B,0)))</f>
        <v/>
      </c>
      <c r="S288" s="94" t="str">
        <f t="shared" si="3"/>
        <v>Invite</v>
      </c>
      <c r="T288" s="95" t="s">
        <v>18</v>
      </c>
      <c r="U288" s="95" t="b">
        <v>0</v>
      </c>
      <c r="V288" s="95" t="b">
        <v>0</v>
      </c>
      <c r="W288" s="95" t="b">
        <v>0</v>
      </c>
      <c r="X288" s="91"/>
      <c r="Y288" s="111" t="str">
        <f t="array" ref="Y288">INDEX('LS Shortlist'!U:U,MATCH(A288,'LS Shortlist'!B:B,0))</f>
        <v>Invite</v>
      </c>
    </row>
    <row r="289" spans="1:25" ht="132">
      <c r="A289" s="97" t="s">
        <v>346</v>
      </c>
      <c r="B289" s="98" t="str">
        <f t="array" ref="B289">INDEX(Interview,MATCH(A289,Name,0))</f>
        <v>Invite</v>
      </c>
      <c r="C289" s="98" t="str">
        <f t="array" ref="C289">INDEX(Track,MATCH(A289,Name,0))</f>
        <v>Life Sciences</v>
      </c>
      <c r="D289" s="99">
        <f t="array" ref="D289">INDEX(Score,MATCH(A289,Name,0))</f>
        <v>4.25</v>
      </c>
      <c r="E289" s="100">
        <f t="array" aca="1" ref="E289" ca="1">INDEX(Date,MATCH(A289,Name,0))</f>
        <v>44797</v>
      </c>
      <c r="F289" s="98" t="s">
        <v>13327</v>
      </c>
      <c r="G289" s="98" t="s">
        <v>13320</v>
      </c>
      <c r="H289" s="98" t="str">
        <f t="array" aca="1" ref="H289" ca="1">IFERROR(INDEX('2022-2023 Third Reviews'!K:K,MATCH(A289,'2022-2023 Third Reviews'!C:C,0)),"")</f>
        <v>Joshua Rubnitz
5</v>
      </c>
      <c r="I289" s="101" t="s">
        <v>1983</v>
      </c>
      <c r="J289" s="101" t="s">
        <v>1984</v>
      </c>
      <c r="K289" s="101" t="str">
        <f t="array" aca="1" ref="K289" ca="1">IFERROR(INDEX('2022-2023 Third Reviews'!L:L,MATCH(A289,'2022-2023 Third Reviews'!C:C,0)),"")</f>
        <v>The technology clearly has some advantages over existing machine vision tech. There is a huge risk in actually implementing any new technology in an industry where there is no room for error. Long term development costs may be huge.
The founders are very familiar with the industry and have impressive backgrounds. They have developed strategic partnerships and there are no competitors in the industry using this laser-imaging technology for these applications.</v>
      </c>
      <c r="L289" s="102" t="str">
        <f t="array" ref="L289">INDEX(AppNotes,MATCH(A289,Name,0))</f>
        <v>similar to ONCOPrecision from LY and another app from this year; slightly different tech to onco, can achieve in one week;</v>
      </c>
      <c r="M289" s="103" t="str">
        <f t="array" aca="1" ref="M289" ca="1">INDEX(Team,MATCH(A289,'Key Metrics'!B:B,0))</f>
        <v>Man, Woman</v>
      </c>
      <c r="N289" s="99" t="str">
        <f t="array" aca="1" ref="N289" ca="1">IF(INDEX('Key Metrics'!F:F,MATCH(A289,'Key Metrics'!B:B,0))="Woman","Yes","")</f>
        <v/>
      </c>
      <c r="O289" s="99" t="str">
        <f t="shared" ca="1" si="2"/>
        <v>Yes</v>
      </c>
      <c r="P289" s="104">
        <f t="array" ref="P289">INDEX(Referral,MATCH(A289,Name,0))</f>
        <v>0</v>
      </c>
      <c r="Q289" s="104" t="str">
        <f t="array" aca="1" ref="Q289" ca="1">IF(INDEX(NYUAfillType,MATCH(A289,'Key Metrics'!B:B,0))="Other (please specify)",INDEX('Key Metrics'!N:N,MATCH(A289,'Key Metrics'!B:B,0)),INDEX(NYUAfillType,MATCH(A289,'Key Metrics'!B:B,0)))</f>
        <v>NYU Faculty</v>
      </c>
      <c r="R289" s="105" t="str">
        <f t="array" aca="1" ref="R289" ca="1">IF(INDEX('Key Metrics'!Q:Q,MATCH(A289,'Key Metrics'!B:B,0))="No","",INDEX('Key Metrics'!Q:Q,MATCH(A289,'Key Metrics'!B:B,0)))</f>
        <v/>
      </c>
      <c r="S289" s="106" t="str">
        <f t="shared" si="3"/>
        <v>Invite</v>
      </c>
      <c r="T289" s="107" t="s">
        <v>18</v>
      </c>
      <c r="U289" s="107" t="b">
        <v>0</v>
      </c>
      <c r="V289" s="107" t="b">
        <v>0</v>
      </c>
      <c r="W289" s="107" t="b">
        <v>0</v>
      </c>
      <c r="X289" s="103"/>
      <c r="Y289" s="110" t="str">
        <f t="array" ref="Y289">INDEX('LS Shortlist'!U:U,MATCH(A289,'LS Shortlist'!B:B,0))</f>
        <v>Invite</v>
      </c>
    </row>
    <row r="290" spans="1:25" ht="88" hidden="1">
      <c r="A290" s="109" t="s">
        <v>347</v>
      </c>
      <c r="B290" s="86" t="str">
        <f t="array" ref="B290">INDEX(Interview,MATCH(A290,Name,0))</f>
        <v>Invite</v>
      </c>
      <c r="C290" s="86" t="str">
        <f t="array" ref="C290">INDEX(Track,MATCH(A290,Name,0))</f>
        <v>Life Sciences</v>
      </c>
      <c r="D290" s="87">
        <f t="array" ref="D290">INDEX(Score,MATCH(A290,Name,0))</f>
        <v>4</v>
      </c>
      <c r="E290" s="88">
        <f t="array" aca="1" ref="E290" ca="1">INDEX(Date,MATCH(A290,Name,0))</f>
        <v>44797</v>
      </c>
      <c r="F290" s="86" t="s">
        <v>13315</v>
      </c>
      <c r="G290" s="86" t="s">
        <v>13320</v>
      </c>
      <c r="H290" s="86" t="str">
        <f t="array" aca="1" ref="H290" ca="1">IFERROR(INDEX('2022-2023 Third Reviews'!K:K,MATCH(A290,'2022-2023 Third Reviews'!C:C,0)),"")</f>
        <v>Joshua Rubnitz
4</v>
      </c>
      <c r="I290" s="89" t="s">
        <v>1991</v>
      </c>
      <c r="J290" s="89" t="s">
        <v>1992</v>
      </c>
      <c r="K290" s="89" t="str">
        <f t="array" aca="1" ref="K290" ca="1">IFERROR(INDEX('2022-2023 Third Reviews'!L:L,MATCH(A290,'2022-2023 Third Reviews'!C:C,0)),"")</f>
        <v>There is little proprietary tech except for their statistical model of AI accuracy so that they can price insurance policies properly.
Although there is no direct technical advancement, this insurance that can appease risk averse stakeholders could unlock AI in medicine.
The tech is not protected from imitation by other insurance companies at all. They plan to move fast and be acquired.</v>
      </c>
      <c r="L290" s="90">
        <f t="array" ref="L290">INDEX(AppNotes,MATCH(A290,Name,0))</f>
        <v>0</v>
      </c>
      <c r="M290" s="91" t="str">
        <f t="array" aca="1" ref="M290" ca="1">INDEX(Team,MATCH(A290,'Key Metrics'!B:B,0))</f>
        <v>Man, Man</v>
      </c>
      <c r="N290" s="87" t="str">
        <f t="array" aca="1" ref="N290" ca="1">IF(INDEX('Key Metrics'!F:F,MATCH(A290,'Key Metrics'!B:B,0))="Woman","Yes","")</f>
        <v/>
      </c>
      <c r="O290" s="87" t="str">
        <f t="shared" ca="1" si="2"/>
        <v/>
      </c>
      <c r="P290" s="92" t="str">
        <f t="array" ref="P290">INDEX(Referral,MATCH(A290,Name,0))</f>
        <v>do not recall</v>
      </c>
      <c r="Q290" s="92">
        <f t="array" aca="1" ref="Q290" ca="1">IF(INDEX(NYUAfillType,MATCH(A290,'Key Metrics'!B:B,0))="Other (please specify)",INDEX('Key Metrics'!N:N,MATCH(A290,'Key Metrics'!B:B,0)),INDEX(NYUAfillType,MATCH(A290,'Key Metrics'!B:B,0)))</f>
        <v>0</v>
      </c>
      <c r="R290" s="93" t="str">
        <f t="array" aca="1" ref="R290" ca="1">IF(INDEX('Key Metrics'!Q:Q,MATCH(A290,'Key Metrics'!B:B,0))="No","",INDEX('Key Metrics'!Q:Q,MATCH(A290,'Key Metrics'!B:B,0)))</f>
        <v/>
      </c>
      <c r="S290" s="94" t="str">
        <f t="shared" si="3"/>
        <v>Invite</v>
      </c>
      <c r="T290" s="95" t="s">
        <v>18</v>
      </c>
      <c r="U290" s="95" t="b">
        <v>0</v>
      </c>
      <c r="V290" s="95" t="b">
        <v>0</v>
      </c>
      <c r="W290" s="95" t="b">
        <v>0</v>
      </c>
      <c r="X290" s="91"/>
      <c r="Y290" s="111" t="str">
        <f t="array" ref="Y290">INDEX('LS Shortlist'!U:U,MATCH(A290,'LS Shortlist'!B:B,0))</f>
        <v>Invite</v>
      </c>
    </row>
    <row r="291" spans="1:25" ht="121">
      <c r="A291" s="97" t="s">
        <v>348</v>
      </c>
      <c r="B291" s="98" t="str">
        <f t="array" ref="B291">INDEX(Interview,MATCH(A291,Name,0))</f>
        <v>Invite</v>
      </c>
      <c r="C291" s="98" t="str">
        <f t="array" ref="C291">INDEX(Track,MATCH(A291,Name,0))</f>
        <v>Life Sciences</v>
      </c>
      <c r="D291" s="99">
        <f t="array" ref="D291">INDEX(Score,MATCH(A291,Name,0))</f>
        <v>4.75</v>
      </c>
      <c r="E291" s="100">
        <f t="array" aca="1" ref="E291" ca="1">INDEX(Date,MATCH(A291,Name,0))</f>
        <v>44797</v>
      </c>
      <c r="F291" s="98" t="s">
        <v>13327</v>
      </c>
      <c r="G291" s="98" t="s">
        <v>13345</v>
      </c>
      <c r="H291" s="98" t="str">
        <f t="array" ref="H291">IFERROR(INDEX('2022-2023 Third Reviews'!K:K,MATCH(A291,'2022-2023 Third Reviews'!C:C,0)),"")</f>
        <v/>
      </c>
      <c r="I291" s="101" t="s">
        <v>1999</v>
      </c>
      <c r="J291" s="101" t="s">
        <v>2000</v>
      </c>
      <c r="K291" s="101" t="str">
        <f t="array" ref="K291">IFERROR(INDEX('2022-2023 Third Reviews'!L:L,MATCH(A291,'2022-2023 Third Reviews'!C:C,0)),"")</f>
        <v/>
      </c>
      <c r="L291" s="102" t="str">
        <f t="array" ref="L291">INDEX(AppNotes,MATCH(A291,Name,0))</f>
        <v>solo founder listed, but more team on website; Tech is amazing but questions around how do they scale up the team?</v>
      </c>
      <c r="M291" s="103" t="str">
        <f t="array" aca="1" ref="M291" ca="1">INDEX(Team,MATCH(A291,'Key Metrics'!B:B,0))</f>
        <v>Woman</v>
      </c>
      <c r="N291" s="99" t="str">
        <f t="array" aca="1" ref="N291" ca="1">IF(INDEX('Key Metrics'!F:F,MATCH(A291,'Key Metrics'!B:B,0))="Woman","Yes","")</f>
        <v>Yes</v>
      </c>
      <c r="O291" s="99" t="str">
        <f t="shared" ca="1" si="2"/>
        <v>Yes</v>
      </c>
      <c r="P291" s="104" t="str">
        <f t="array" ref="P291">INDEX(Referral,MATCH(A291,Name,0))</f>
        <v>Nate Akhavan</v>
      </c>
      <c r="Q291" s="104">
        <f t="array" aca="1" ref="Q291" ca="1">IF(INDEX(NYUAfillType,MATCH(A291,'Key Metrics'!B:B,0))="Other (please specify)",INDEX('Key Metrics'!N:N,MATCH(A291,'Key Metrics'!B:B,0)),INDEX(NYUAfillType,MATCH(A291,'Key Metrics'!B:B,0)))</f>
        <v>0</v>
      </c>
      <c r="R291" s="105" t="str">
        <f t="array" aca="1" ref="R291" ca="1">IF(INDEX('Key Metrics'!Q:Q,MATCH(A291,'Key Metrics'!B:B,0))="No","",INDEX('Key Metrics'!Q:Q,MATCH(A291,'Key Metrics'!B:B,0)))</f>
        <v/>
      </c>
      <c r="S291" s="106" t="str">
        <f t="shared" si="3"/>
        <v>Invite</v>
      </c>
      <c r="T291" s="107" t="s">
        <v>18</v>
      </c>
      <c r="U291" s="107" t="b">
        <v>0</v>
      </c>
      <c r="V291" s="107" t="b">
        <v>0</v>
      </c>
      <c r="W291" s="107" t="b">
        <v>0</v>
      </c>
      <c r="X291" s="103"/>
      <c r="Y291" s="110" t="str">
        <f t="array" ref="Y291">INDEX('LS Shortlist'!U:U,MATCH(A291,'LS Shortlist'!B:B,0))</f>
        <v>Invite</v>
      </c>
    </row>
    <row r="292" spans="1:25" ht="55" hidden="1">
      <c r="A292" s="109" t="s">
        <v>349</v>
      </c>
      <c r="B292" s="86" t="str">
        <f t="array" ref="B292">INDEX(Interview,MATCH(A292,Name,0))</f>
        <v>Invite</v>
      </c>
      <c r="C292" s="86" t="str">
        <f t="array" ref="C292">INDEX(Track,MATCH(A292,Name,0))</f>
        <v>Life Sciences</v>
      </c>
      <c r="D292" s="87">
        <f t="array" ref="D292">INDEX(Score,MATCH(A292,Name,0))</f>
        <v>4.25</v>
      </c>
      <c r="E292" s="88">
        <f t="array" aca="1" ref="E292" ca="1">INDEX(Date,MATCH(A292,Name,0))</f>
        <v>44782</v>
      </c>
      <c r="F292" s="86" t="s">
        <v>13327</v>
      </c>
      <c r="G292" s="86" t="s">
        <v>13320</v>
      </c>
      <c r="H292" s="86" t="str">
        <f t="array" ref="H292">IFERROR(INDEX('2022-2023 Third Reviews'!K:K,MATCH(A292,'2022-2023 Third Reviews'!C:C,0)),"")</f>
        <v/>
      </c>
      <c r="I292" s="89" t="s">
        <v>2009</v>
      </c>
      <c r="J292" s="89" t="s">
        <v>481</v>
      </c>
      <c r="K292" s="89" t="str">
        <f t="array" ref="K292">IFERROR(INDEX('2022-2023 Third Reviews'!L:L,MATCH(A292,'2022-2023 Third Reviews'!C:C,0)),"")</f>
        <v/>
      </c>
      <c r="L292" s="90">
        <f t="array" ref="L292">INDEX(AppNotes,MATCH(A292,Name,0))</f>
        <v>0</v>
      </c>
      <c r="M292" s="91" t="str">
        <f t="array" aca="1" ref="M292" ca="1">INDEX(Team,MATCH(A292,'Key Metrics'!B:B,0))</f>
        <v>Man, Man, Man</v>
      </c>
      <c r="N292" s="87" t="str">
        <f t="array" aca="1" ref="N292" ca="1">IF(INDEX('Key Metrics'!F:F,MATCH(A292,'Key Metrics'!B:B,0))="Woman","Yes","")</f>
        <v/>
      </c>
      <c r="O292" s="87" t="str">
        <f t="shared" ca="1" si="2"/>
        <v/>
      </c>
      <c r="P292" s="92">
        <f t="array" ref="P292">INDEX(Referral,MATCH(A292,Name,0))</f>
        <v>0</v>
      </c>
      <c r="Q292" s="92">
        <f t="array" aca="1" ref="Q292" ca="1">IF(INDEX(NYUAfillType,MATCH(A292,'Key Metrics'!B:B,0))="Other (please specify)",INDEX('Key Metrics'!N:N,MATCH(A292,'Key Metrics'!B:B,0)),INDEX(NYUAfillType,MATCH(A292,'Key Metrics'!B:B,0)))</f>
        <v>0</v>
      </c>
      <c r="R292" s="93" t="str">
        <f t="array" aca="1" ref="R292" ca="1">IF(INDEX('Key Metrics'!Q:Q,MATCH(A292,'Key Metrics'!B:B,0))="No","",INDEX('Key Metrics'!Q:Q,MATCH(A292,'Key Metrics'!B:B,0)))</f>
        <v/>
      </c>
      <c r="S292" s="94" t="str">
        <f t="shared" si="3"/>
        <v>Invite</v>
      </c>
      <c r="T292" s="95" t="s">
        <v>18</v>
      </c>
      <c r="U292" s="95" t="b">
        <v>0</v>
      </c>
      <c r="V292" s="95" t="b">
        <v>0</v>
      </c>
      <c r="W292" s="95" t="b">
        <v>0</v>
      </c>
      <c r="X292" s="91"/>
      <c r="Y292" s="111" t="str">
        <f t="array" ref="Y292">INDEX('LS Shortlist'!U:U,MATCH(A292,'LS Shortlist'!B:B,0))</f>
        <v>Invite</v>
      </c>
    </row>
    <row r="293" spans="1:25" ht="77" hidden="1">
      <c r="A293" s="97" t="s">
        <v>350</v>
      </c>
      <c r="B293" s="98" t="str">
        <f t="array" ref="B293">INDEX(Interview,MATCH(A293,Name,0))</f>
        <v>Invite</v>
      </c>
      <c r="C293" s="98" t="str">
        <f t="array" ref="C293">INDEX(Track,MATCH(A293,Name,0))</f>
        <v>Life Sciences</v>
      </c>
      <c r="D293" s="99">
        <f t="array" ref="D293">INDEX(Score,MATCH(A293,Name,0))</f>
        <v>4</v>
      </c>
      <c r="E293" s="100">
        <f t="array" aca="1" ref="E293" ca="1">INDEX(Date,MATCH(A293,Name,0))</f>
        <v>44789</v>
      </c>
      <c r="F293" s="98" t="s">
        <v>13319</v>
      </c>
      <c r="G293" s="98" t="s">
        <v>13314</v>
      </c>
      <c r="H293" s="98" t="str">
        <f t="array" aca="1" ref="H293" ca="1">IFERROR(INDEX('2022-2023 Third Reviews'!K:K,MATCH(A293,'2022-2023 Third Reviews'!C:C,0)),"")</f>
        <v>John McDonald
4</v>
      </c>
      <c r="I293" s="101" t="s">
        <v>9724</v>
      </c>
      <c r="J293" s="101" t="s">
        <v>9725</v>
      </c>
      <c r="K293" s="101">
        <f t="array" aca="1" ref="K293" ca="1">IFERROR(INDEX('2022-2023 Third Reviews'!L:L,MATCH(A293,'2022-2023 Third Reviews'!C:C,0)),"")</f>
        <v>0</v>
      </c>
      <c r="L293" s="102">
        <f t="array" ref="L293">INDEX(AppNotes,MATCH(A293,Name,0))</f>
        <v>0</v>
      </c>
      <c r="M293" s="103" t="str">
        <f t="array" aca="1" ref="M293" ca="1">INDEX(Team,MATCH(A293,'Key Metrics'!B:B,0))</f>
        <v>Man, Woman, Woman</v>
      </c>
      <c r="N293" s="99" t="str">
        <f t="array" aca="1" ref="N293" ca="1">IF(INDEX('Key Metrics'!F:F,MATCH(A293,'Key Metrics'!B:B,0))="Woman","Yes","")</f>
        <v/>
      </c>
      <c r="O293" s="99" t="str">
        <f t="shared" ca="1" si="2"/>
        <v>Yes</v>
      </c>
      <c r="P293" s="104">
        <f t="array" ref="P293">INDEX(Referral,MATCH(A293,Name,0))</f>
        <v>0</v>
      </c>
      <c r="Q293" s="104">
        <f t="array" aca="1" ref="Q293" ca="1">IF(INDEX(NYUAfillType,MATCH(A293,'Key Metrics'!B:B,0))="Other (please specify)",INDEX('Key Metrics'!N:N,MATCH(A293,'Key Metrics'!B:B,0)),INDEX(NYUAfillType,MATCH(A293,'Key Metrics'!B:B,0)))</f>
        <v>0</v>
      </c>
      <c r="R293" s="105" t="str">
        <f t="array" aca="1" ref="R293" ca="1">IF(INDEX('Key Metrics'!Q:Q,MATCH(A293,'Key Metrics'!B:B,0))="No","",INDEX('Key Metrics'!Q:Q,MATCH(A293,'Key Metrics'!B:B,0)))</f>
        <v/>
      </c>
      <c r="S293" s="106" t="str">
        <f t="shared" si="3"/>
        <v>Special Reject</v>
      </c>
      <c r="T293" s="107" t="s">
        <v>23</v>
      </c>
      <c r="U293" s="107" t="b">
        <v>0</v>
      </c>
      <c r="V293" s="107" t="b">
        <v>1</v>
      </c>
      <c r="W293" s="107" t="b">
        <v>0</v>
      </c>
      <c r="X293" s="103"/>
      <c r="Y293" s="110" t="str">
        <f t="array" ref="Y293">INDEX('LS Shortlist'!U:U,MATCH(A293,'LS Shortlist'!B:B,0))</f>
        <v>Special Reject</v>
      </c>
    </row>
    <row r="294" spans="1:25" ht="88" hidden="1">
      <c r="A294" s="109" t="s">
        <v>351</v>
      </c>
      <c r="B294" s="86" t="str">
        <f t="array" ref="B294">INDEX(Interview,MATCH(A294,Name,0))</f>
        <v>Invite</v>
      </c>
      <c r="C294" s="86" t="str">
        <f t="array" ref="C294">INDEX(Track,MATCH(A294,Name,0))</f>
        <v>Life Sciences</v>
      </c>
      <c r="D294" s="87">
        <f t="array" ref="D294">INDEX(Score,MATCH(A294,Name,0))</f>
        <v>4</v>
      </c>
      <c r="E294" s="88">
        <f t="array" aca="1" ref="E294" ca="1">INDEX(Date,MATCH(A294,Name,0))</f>
        <v>44796</v>
      </c>
      <c r="F294" s="86" t="s">
        <v>13319</v>
      </c>
      <c r="G294" s="86" t="s">
        <v>13314</v>
      </c>
      <c r="H294" s="86" t="str">
        <f t="array" ref="H294">IFERROR(INDEX('2022-2023 Third Reviews'!K:K,MATCH(A294,'2022-2023 Third Reviews'!C:C,0)),"")</f>
        <v/>
      </c>
      <c r="I294" s="89" t="s">
        <v>9732</v>
      </c>
      <c r="J294" s="89" t="s">
        <v>9733</v>
      </c>
      <c r="K294" s="89" t="str">
        <f t="array" ref="K294">IFERROR(INDEX('2022-2023 Third Reviews'!L:L,MATCH(A294,'2022-2023 Third Reviews'!C:C,0)),"")</f>
        <v/>
      </c>
      <c r="L294" s="90">
        <f t="array" ref="L294">INDEX(AppNotes,MATCH(A294,Name,0))</f>
        <v>0</v>
      </c>
      <c r="M294" s="91" t="str">
        <f t="array" aca="1" ref="M294" ca="1">INDEX(Team,MATCH(A294,'Key Metrics'!B:B,0))</f>
        <v>Woman, Man</v>
      </c>
      <c r="N294" s="87" t="str">
        <f t="array" aca="1" ref="N294" ca="1">IF(INDEX('Key Metrics'!F:F,MATCH(A294,'Key Metrics'!B:B,0))="Woman","Yes","")</f>
        <v>Yes</v>
      </c>
      <c r="O294" s="87" t="str">
        <f t="shared" ca="1" si="2"/>
        <v>Yes</v>
      </c>
      <c r="P294" s="92">
        <f t="array" ref="P294">INDEX(Referral,MATCH(A294,Name,0))</f>
        <v>0</v>
      </c>
      <c r="Q294" s="92">
        <f t="array" aca="1" ref="Q294" ca="1">IF(INDEX(NYUAfillType,MATCH(A294,'Key Metrics'!B:B,0))="Other (please specify)",INDEX('Key Metrics'!N:N,MATCH(A294,'Key Metrics'!B:B,0)),INDEX(NYUAfillType,MATCH(A294,'Key Metrics'!B:B,0)))</f>
        <v>0</v>
      </c>
      <c r="R294" s="93" t="str">
        <f t="array" aca="1" ref="R294" ca="1">IF(INDEX('Key Metrics'!Q:Q,MATCH(A294,'Key Metrics'!B:B,0))="No","",INDEX('Key Metrics'!Q:Q,MATCH(A294,'Key Metrics'!B:B,0)))</f>
        <v/>
      </c>
      <c r="S294" s="94" t="str">
        <f t="shared" si="3"/>
        <v>Special Reject</v>
      </c>
      <c r="T294" s="95" t="s">
        <v>23</v>
      </c>
      <c r="U294" s="95" t="b">
        <v>0</v>
      </c>
      <c r="V294" s="95" t="b">
        <v>1</v>
      </c>
      <c r="W294" s="95" t="b">
        <v>0</v>
      </c>
      <c r="X294" s="91"/>
      <c r="Y294" s="111" t="str">
        <f t="array" ref="Y294">INDEX('LS Shortlist'!U:U,MATCH(A294,'LS Shortlist'!B:B,0))</f>
        <v>Special Reject</v>
      </c>
    </row>
    <row r="295" spans="1:25" ht="66" hidden="1">
      <c r="A295" s="97" t="s">
        <v>352</v>
      </c>
      <c r="B295" s="98" t="str">
        <f t="array" ref="B295">INDEX(Interview,MATCH(A295,Name,0))</f>
        <v>Revisit/ Cluster</v>
      </c>
      <c r="C295" s="98" t="str">
        <f t="array" ref="C295">INDEX(Track,MATCH(A295,Name,0))</f>
        <v>Deep Tech</v>
      </c>
      <c r="D295" s="99">
        <f t="array" ref="D295">INDEX(Score,MATCH(A295,Name,0))</f>
        <v>4</v>
      </c>
      <c r="E295" s="100">
        <f t="array" aca="1" ref="E295" ca="1">INDEX(Date,MATCH(A295,Name,0))</f>
        <v>44796</v>
      </c>
      <c r="F295" s="98" t="s">
        <v>13319</v>
      </c>
      <c r="G295" s="98" t="s">
        <v>13314</v>
      </c>
      <c r="H295" s="98" t="str">
        <f t="array" ref="H295">IFERROR(INDEX('2022-2023 Third Reviews'!K:K,MATCH(A295,'2022-2023 Third Reviews'!C:C,0)),"")</f>
        <v/>
      </c>
      <c r="I295" s="101" t="s">
        <v>10570</v>
      </c>
      <c r="J295" s="101" t="s">
        <v>3610</v>
      </c>
      <c r="K295" s="101" t="str">
        <f t="array" ref="K295">IFERROR(INDEX('2022-2023 Third Reviews'!L:L,MATCH(A295,'2022-2023 Third Reviews'!C:C,0)),"")</f>
        <v/>
      </c>
      <c r="L295" s="102" t="str">
        <f t="array" ref="L295">INDEX(AppNotes,MATCH(A295,Name,0))</f>
        <v>change to DT; POC device; testing in blood and urine at John Hopkins, out of oxford and imperial collge;</v>
      </c>
      <c r="M295" s="103" t="str">
        <f t="array" aca="1" ref="M295" ca="1">INDEX(Team,MATCH(A295,'Key Metrics'!B:B,0))</f>
        <v>Man, Man</v>
      </c>
      <c r="N295" s="99" t="str">
        <f t="array" aca="1" ref="N295" ca="1">IF(INDEX('Key Metrics'!F:F,MATCH(A295,'Key Metrics'!B:B,0))="Woman","Yes","")</f>
        <v/>
      </c>
      <c r="O295" s="99" t="str">
        <f t="shared" ca="1" si="2"/>
        <v/>
      </c>
      <c r="P295" s="104">
        <f t="array" ref="P295">INDEX(Referral,MATCH(A295,Name,0))</f>
        <v>0</v>
      </c>
      <c r="Q295" s="104">
        <f t="array" aca="1" ref="Q295" ca="1">IF(INDEX(NYUAfillType,MATCH(A295,'Key Metrics'!B:B,0))="Other (please specify)",INDEX('Key Metrics'!N:N,MATCH(A295,'Key Metrics'!B:B,0)),INDEX(NYUAfillType,MATCH(A295,'Key Metrics'!B:B,0)))</f>
        <v>0</v>
      </c>
      <c r="R295" s="105" t="str">
        <f t="array" aca="1" ref="R295" ca="1">IF(INDEX('Key Metrics'!Q:Q,MATCH(A295,'Key Metrics'!B:B,0))="No","",INDEX('Key Metrics'!Q:Q,MATCH(A295,'Key Metrics'!B:B,0)))</f>
        <v/>
      </c>
      <c r="S295" s="106" t="str">
        <f t="shared" si="3"/>
        <v>Invite</v>
      </c>
      <c r="T295" s="107" t="s">
        <v>18</v>
      </c>
      <c r="U295" s="107" t="b">
        <v>0</v>
      </c>
      <c r="V295" s="107" t="b">
        <v>0</v>
      </c>
      <c r="W295" s="107" t="b">
        <v>0</v>
      </c>
      <c r="X295" s="108"/>
      <c r="Y295" s="106" t="str">
        <f t="array" ref="Y295">INDEX('DT Short List'!F:F,MATCH(A295,'DT Short List'!A:A,0))</f>
        <v>Invite</v>
      </c>
    </row>
    <row r="296" spans="1:25" ht="66" hidden="1">
      <c r="A296" s="109" t="s">
        <v>353</v>
      </c>
      <c r="B296" s="86" t="str">
        <f t="array" ref="B296">INDEX(Interview,MATCH(A296,Name,0))</f>
        <v>Revisit/ Cluster</v>
      </c>
      <c r="C296" s="86" t="str">
        <f t="array" ref="C296">INDEX(Track,MATCH(A296,Name,0))</f>
        <v>Life Sciences</v>
      </c>
      <c r="D296" s="87">
        <f t="array" ref="D296">INDEX(Score,MATCH(A296,Name,0))</f>
        <v>4</v>
      </c>
      <c r="E296" s="88">
        <f t="array" aca="1" ref="E296" ca="1">INDEX(Date,MATCH(A296,Name,0))</f>
        <v>44784</v>
      </c>
      <c r="F296" s="86" t="s">
        <v>13319</v>
      </c>
      <c r="G296" s="86" t="s">
        <v>13314</v>
      </c>
      <c r="H296" s="86" t="str">
        <f t="array" aca="1" ref="H296" ca="1">IFERROR(INDEX('2022-2023 Third Reviews'!K:K,MATCH(A296,'2022-2023 Third Reviews'!C:C,0)),"")</f>
        <v>John McDonald
5</v>
      </c>
      <c r="I296" s="89" t="s">
        <v>9740</v>
      </c>
      <c r="J296" s="89" t="s">
        <v>9741</v>
      </c>
      <c r="K296" s="89">
        <f t="array" aca="1" ref="K296" ca="1">IFERROR(INDEX('2022-2023 Third Reviews'!L:L,MATCH(A296,'2022-2023 Third Reviews'!C:C,0)),"")</f>
        <v>0</v>
      </c>
      <c r="L296" s="90" t="str">
        <f t="array" ref="L296">INDEX(AppNotes,MATCH(A296,Name,0))</f>
        <v>narrow scope, only used in one type of surgery; cluster with other osteo companies; IP strongly protected outside of US, but US patent pending since 2009; strong team otherwise, likely to be acquired by Zimmer?</v>
      </c>
      <c r="M296" s="91" t="str">
        <f t="array" aca="1" ref="M296" ca="1">INDEX(Team,MATCH(A296,'Key Metrics'!B:B,0))</f>
        <v>Man, Man, Man, Man, Man, Man</v>
      </c>
      <c r="N296" s="87" t="str">
        <f t="array" aca="1" ref="N296" ca="1">IF(INDEX('Key Metrics'!F:F,MATCH(A296,'Key Metrics'!B:B,0))="Woman","Yes","")</f>
        <v/>
      </c>
      <c r="O296" s="87" t="str">
        <f t="shared" ca="1" si="2"/>
        <v/>
      </c>
      <c r="P296" s="92">
        <f t="array" ref="P296">INDEX(Referral,MATCH(A296,Name,0))</f>
        <v>0</v>
      </c>
      <c r="Q296" s="92">
        <f t="array" aca="1" ref="Q296" ca="1">IF(INDEX(NYUAfillType,MATCH(A296,'Key Metrics'!B:B,0))="Other (please specify)",INDEX('Key Metrics'!N:N,MATCH(A296,'Key Metrics'!B:B,0)),INDEX(NYUAfillType,MATCH(A296,'Key Metrics'!B:B,0)))</f>
        <v>0</v>
      </c>
      <c r="R296" s="93" t="str">
        <f t="array" aca="1" ref="R296" ca="1">IF(INDEX('Key Metrics'!Q:Q,MATCH(A296,'Key Metrics'!B:B,0))="No","",INDEX('Key Metrics'!Q:Q,MATCH(A296,'Key Metrics'!B:B,0)))</f>
        <v/>
      </c>
      <c r="S296" s="94" t="str">
        <f t="shared" si="3"/>
        <v>Special Reject</v>
      </c>
      <c r="T296" s="95" t="s">
        <v>23</v>
      </c>
      <c r="U296" s="95" t="b">
        <v>0</v>
      </c>
      <c r="V296" s="95" t="b">
        <v>1</v>
      </c>
      <c r="W296" s="95" t="b">
        <v>0</v>
      </c>
      <c r="X296" s="91"/>
      <c r="Y296" s="111" t="str">
        <f t="array" ref="Y296">INDEX('LS Shortlist'!U:U,MATCH(A296,'LS Shortlist'!B:B,0))</f>
        <v>Special Reject</v>
      </c>
    </row>
    <row r="297" spans="1:25" ht="33" hidden="1">
      <c r="A297" s="97" t="s">
        <v>354</v>
      </c>
      <c r="B297" s="98" t="str">
        <f t="array" ref="B297">INDEX(Interview,MATCH(A297,Name,0))</f>
        <v>Invite</v>
      </c>
      <c r="C297" s="98" t="str">
        <f t="array" ref="C297">INDEX(Track,MATCH(A297,Name,0))</f>
        <v>Life Sciences</v>
      </c>
      <c r="D297" s="99">
        <f t="array" ref="D297">INDEX(Score,MATCH(A297,Name,0))</f>
        <v>4.25</v>
      </c>
      <c r="E297" s="100">
        <f t="array" aca="1" ref="E297" ca="1">INDEX(Date,MATCH(A297,Name,0))</f>
        <v>44791</v>
      </c>
      <c r="F297" s="98" t="s">
        <v>13304</v>
      </c>
      <c r="G297" s="98" t="s">
        <v>13391</v>
      </c>
      <c r="H297" s="98" t="str">
        <f t="array" aca="1" ref="H297" ca="1">IFERROR(INDEX('2022-2023 Third Reviews'!K:K,MATCH(A297,'2022-2023 Third Reviews'!C:C,0)),"")</f>
        <v>Jason Yu
3</v>
      </c>
      <c r="I297" s="101" t="s">
        <v>10547</v>
      </c>
      <c r="J297" s="101" t="s">
        <v>481</v>
      </c>
      <c r="K297" s="101" t="str">
        <f t="array" aca="1" ref="K297" ca="1">IFERROR(INDEX('2022-2023 Third Reviews'!L:L,MATCH(A297,'2022-2023 Third Reviews'!C:C,0)),"")</f>
        <v>May need to rethink their target market of airports</v>
      </c>
      <c r="L297" s="102">
        <f t="array" ref="L297">INDEX(AppNotes,MATCH(A297,Name,0))</f>
        <v>0</v>
      </c>
      <c r="M297" s="103" t="str">
        <f t="array" aca="1" ref="M297" ca="1">INDEX(Team,MATCH(A297,'Key Metrics'!B:B,0))</f>
        <v>Woman, Man</v>
      </c>
      <c r="N297" s="99" t="str">
        <f t="array" aca="1" ref="N297" ca="1">IF(INDEX('Key Metrics'!F:F,MATCH(A297,'Key Metrics'!B:B,0))="Woman","Yes","")</f>
        <v>Yes</v>
      </c>
      <c r="O297" s="99" t="str">
        <f t="shared" ca="1" si="2"/>
        <v>Yes</v>
      </c>
      <c r="P297" s="104">
        <f t="array" ref="P297">INDEX(Referral,MATCH(A297,Name,0))</f>
        <v>0</v>
      </c>
      <c r="Q297" s="104">
        <f t="array" aca="1" ref="Q297" ca="1">IF(INDEX(NYUAfillType,MATCH(A297,'Key Metrics'!B:B,0))="Other (please specify)",INDEX('Key Metrics'!N:N,MATCH(A297,'Key Metrics'!B:B,0)),INDEX(NYUAfillType,MATCH(A297,'Key Metrics'!B:B,0)))</f>
        <v>0</v>
      </c>
      <c r="R297" s="105" t="str">
        <f t="array" aca="1" ref="R297" ca="1">IF(INDEX('Key Metrics'!Q:Q,MATCH(A297,'Key Metrics'!B:B,0))="No","",INDEX('Key Metrics'!Q:Q,MATCH(A297,'Key Metrics'!B:B,0)))</f>
        <v/>
      </c>
      <c r="S297" s="106" t="str">
        <f t="shared" si="3"/>
        <v>Special Reject</v>
      </c>
      <c r="T297" s="107" t="s">
        <v>23</v>
      </c>
      <c r="U297" s="107" t="b">
        <v>0</v>
      </c>
      <c r="V297" s="107" t="b">
        <v>1</v>
      </c>
      <c r="W297" s="107" t="b">
        <v>0</v>
      </c>
      <c r="X297" s="103"/>
      <c r="Y297" s="110" t="str">
        <f t="array" ref="Y297">INDEX('LS Shortlist'!U:U,MATCH(A297,'LS Shortlist'!B:B,0))</f>
        <v>Special Reject</v>
      </c>
    </row>
    <row r="298" spans="1:25" ht="55" hidden="1">
      <c r="A298" s="109" t="s">
        <v>355</v>
      </c>
      <c r="B298" s="86" t="str">
        <f t="array" ref="B298">INDEX(Interview,MATCH(A298,Name,0))</f>
        <v>Invite</v>
      </c>
      <c r="C298" s="86" t="str">
        <f t="array" ref="C298">INDEX(Track,MATCH(A298,Name,0))</f>
        <v>Life Sciences</v>
      </c>
      <c r="D298" s="87">
        <f t="array" ref="D298">INDEX(Score,MATCH(A298,Name,0))</f>
        <v>4</v>
      </c>
      <c r="E298" s="88">
        <f t="array" aca="1" ref="E298" ca="1">INDEX(Date,MATCH(A298,Name,0))</f>
        <v>44776</v>
      </c>
      <c r="F298" s="86" t="s">
        <v>13319</v>
      </c>
      <c r="G298" s="86" t="s">
        <v>13314</v>
      </c>
      <c r="H298" s="86" t="str">
        <f t="array" ref="H298">IFERROR(INDEX('2022-2023 Third Reviews'!K:K,MATCH(A298,'2022-2023 Third Reviews'!C:C,0)),"")</f>
        <v/>
      </c>
      <c r="I298" s="89" t="s">
        <v>9765</v>
      </c>
      <c r="J298" s="89" t="s">
        <v>9766</v>
      </c>
      <c r="K298" s="89" t="str">
        <f t="array" ref="K298">IFERROR(INDEX('2022-2023 Third Reviews'!L:L,MATCH(A298,'2022-2023 Third Reviews'!C:C,0)),"")</f>
        <v/>
      </c>
      <c r="L298" s="90" t="str">
        <f t="array" ref="L298">INDEX(AppNotes,MATCH(A298,Name,0))</f>
        <v>Mentor referral; IndieBio graduate; concerns with competitive landscape; in interview, ask about ability to scale; flag with demo in application
Potential DH connection</v>
      </c>
      <c r="M298" s="91" t="str">
        <f t="array" aca="1" ref="M298" ca="1">INDEX(Team,MATCH(A298,'Key Metrics'!B:B,0))</f>
        <v>Man, Man, Man, Man, Man</v>
      </c>
      <c r="N298" s="87" t="str">
        <f t="array" aca="1" ref="N298" ca="1">IF(INDEX('Key Metrics'!F:F,MATCH(A298,'Key Metrics'!B:B,0))="Woman","Yes","")</f>
        <v/>
      </c>
      <c r="O298" s="87" t="str">
        <f t="shared" ca="1" si="2"/>
        <v/>
      </c>
      <c r="P298" s="92" t="str">
        <f t="array" ref="P298">INDEX(Referral,MATCH(A298,Name,0))</f>
        <v>Israeli Ran</v>
      </c>
      <c r="Q298" s="92">
        <f t="array" aca="1" ref="Q298" ca="1">IF(INDEX(NYUAfillType,MATCH(A298,'Key Metrics'!B:B,0))="Other (please specify)",INDEX('Key Metrics'!N:N,MATCH(A298,'Key Metrics'!B:B,0)),INDEX(NYUAfillType,MATCH(A298,'Key Metrics'!B:B,0)))</f>
        <v>0</v>
      </c>
      <c r="R298" s="93" t="str">
        <f t="array" aca="1" ref="R298" ca="1">IF(INDEX('Key Metrics'!Q:Q,MATCH(A298,'Key Metrics'!B:B,0))="No","",INDEX('Key Metrics'!Q:Q,MATCH(A298,'Key Metrics'!B:B,0)))</f>
        <v/>
      </c>
      <c r="S298" s="94" t="str">
        <f t="shared" si="3"/>
        <v>Special Reject</v>
      </c>
      <c r="T298" s="95" t="s">
        <v>23</v>
      </c>
      <c r="U298" s="95" t="b">
        <v>0</v>
      </c>
      <c r="V298" s="95" t="b">
        <v>1</v>
      </c>
      <c r="W298" s="95" t="b">
        <v>0</v>
      </c>
      <c r="X298" s="91"/>
      <c r="Y298" s="111" t="str">
        <f t="array" ref="Y298">INDEX('LS Shortlist'!U:U,MATCH(A298,'LS Shortlist'!B:B,0))</f>
        <v>Special Reject</v>
      </c>
    </row>
    <row r="299" spans="1:25" ht="28">
      <c r="A299" s="97" t="s">
        <v>356</v>
      </c>
      <c r="B299" s="98" t="e">
        <f t="array" ref="B299">INDEX(Interview,MATCH(A299,Name,0))</f>
        <v>#N/A</v>
      </c>
      <c r="C299" s="98" t="e">
        <f t="array" ref="C299">INDEX(Track,MATCH(A299,Name,0))</f>
        <v>#N/A</v>
      </c>
      <c r="D299" s="99" t="e">
        <f t="array" ref="D299">INDEX(Score,MATCH(A299,Name,0))</f>
        <v>#N/A</v>
      </c>
      <c r="E299" s="100" t="e">
        <f t="array" ref="E299">INDEX(Date,MATCH(A299,Name,0))</f>
        <v>#N/A</v>
      </c>
      <c r="F299" s="98" t="s">
        <v>13335</v>
      </c>
      <c r="G299" s="98" t="s">
        <v>13335</v>
      </c>
      <c r="H299" s="98" t="str">
        <f t="array" aca="1" ref="H299" ca="1">IFERROR(INDEX('2022-2023 Third Reviews'!K:K,MATCH(A299,'2022-2023 Third Reviews'!C:C,0)),"")</f>
        <v>Jason Yu
3</v>
      </c>
      <c r="I299" s="101" t="s">
        <v>13335</v>
      </c>
      <c r="J299" s="101" t="s">
        <v>13335</v>
      </c>
      <c r="K299" s="101" t="str">
        <f t="array" aca="1" ref="K299" ca="1">IFERROR(INDEX('2022-2023 Third Reviews'!L:L,MATCH(A299,'2022-2023 Third Reviews'!C:C,0)),"")</f>
        <v>The biggest obstacle is technical. No one has demonstrated a successful version of this
technology.</v>
      </c>
      <c r="L299" s="102" t="e">
        <f t="array" ref="L299">INDEX(AppNotes,MATCH(A299,Name,0))</f>
        <v>#N/A</v>
      </c>
      <c r="M299" s="103" t="str">
        <f t="array" aca="1" ref="M299" ca="1">INDEX(Team,MATCH(A299,'Key Metrics'!B:B,0))</f>
        <v>Woman, Man</v>
      </c>
      <c r="N299" s="99" t="str">
        <f t="array" aca="1" ref="N299" ca="1">IF(INDEX('Key Metrics'!F:F,MATCH(A299,'Key Metrics'!B:B,0))="Woman","Yes","")</f>
        <v>Yes</v>
      </c>
      <c r="O299" s="99" t="str">
        <f t="shared" ca="1" si="2"/>
        <v>Yes</v>
      </c>
      <c r="P299" s="104" t="e">
        <f t="array" ref="P299">INDEX(Referral,MATCH(A299,Name,0))</f>
        <v>#N/A</v>
      </c>
      <c r="Q299" s="104">
        <f t="array" aca="1" ref="Q299" ca="1">IF(INDEX(NYUAfillType,MATCH(A299,'Key Metrics'!B:B,0))="Other (please specify)",INDEX('Key Metrics'!N:N,MATCH(A299,'Key Metrics'!B:B,0)),INDEX(NYUAfillType,MATCH(A299,'Key Metrics'!B:B,0)))</f>
        <v>0</v>
      </c>
      <c r="R299" s="105" t="str">
        <f t="array" aca="1" ref="R299" ca="1">IF(INDEX('Key Metrics'!Q:Q,MATCH(A299,'Key Metrics'!B:B,0))="No","",INDEX('Key Metrics'!Q:Q,MATCH(A299,'Key Metrics'!B:B,0)))</f>
        <v/>
      </c>
      <c r="S299" s="106" t="str">
        <f t="shared" si="3"/>
        <v>Invite</v>
      </c>
      <c r="T299" s="107" t="s">
        <v>18</v>
      </c>
      <c r="U299" s="107" t="b">
        <v>0</v>
      </c>
      <c r="V299" s="107" t="b">
        <v>0</v>
      </c>
      <c r="W299" s="107" t="b">
        <v>0</v>
      </c>
      <c r="X299" s="103"/>
      <c r="Y299" s="110" t="str">
        <f t="array" ref="Y299">INDEX('LS Shortlist'!U:U,MATCH(A299,'LS Shortlist'!B:B,0))</f>
        <v>Invite</v>
      </c>
    </row>
    <row r="300" spans="1:25" ht="33" hidden="1">
      <c r="A300" s="109" t="s">
        <v>357</v>
      </c>
      <c r="B300" s="86" t="str">
        <f t="array" ref="B300">INDEX(Interview,MATCH(A300,Name,0))</f>
        <v>Revisit/ Cluster</v>
      </c>
      <c r="C300" s="86" t="str">
        <f t="array" ref="C300">INDEX(Track,MATCH(A300,Name,0))</f>
        <v>Life Sciences</v>
      </c>
      <c r="D300" s="87">
        <f t="array" ref="D300">INDEX(Score,MATCH(A300,Name,0))</f>
        <v>3.25</v>
      </c>
      <c r="E300" s="88">
        <f t="array" aca="1" ref="E300" ca="1">INDEX(Date,MATCH(A300,Name,0))</f>
        <v>44797</v>
      </c>
      <c r="F300" s="86" t="s">
        <v>13342</v>
      </c>
      <c r="G300" s="86" t="s">
        <v>13323</v>
      </c>
      <c r="H300" s="86" t="str">
        <f t="array" ref="H300">IFERROR(INDEX('2022-2023 Third Reviews'!K:K,MATCH(A300,'2022-2023 Third Reviews'!C:C,0)),"")</f>
        <v/>
      </c>
      <c r="I300" s="89" t="s">
        <v>11242</v>
      </c>
      <c r="J300" s="89" t="s">
        <v>9788</v>
      </c>
      <c r="K300" s="89" t="str">
        <f t="array" ref="K300">IFERROR(INDEX('2022-2023 Third Reviews'!L:L,MATCH(A300,'2022-2023 Third Reviews'!C:C,0)),"")</f>
        <v/>
      </c>
      <c r="L300" s="90" t="str">
        <f t="array" ref="L300">INDEX(AppNotes,MATCH(A300,Name,0))</f>
        <v>Cancer early detection; high 90s sensitivity for for uterine and ovarian cancer</v>
      </c>
      <c r="M300" s="91" t="str">
        <f t="array" aca="1" ref="M300" ca="1">INDEX(Team,MATCH(A300,'Key Metrics'!B:B,0))</f>
        <v>Man, Man</v>
      </c>
      <c r="N300" s="87" t="str">
        <f t="array" aca="1" ref="N300" ca="1">IF(INDEX('Key Metrics'!F:F,MATCH(A300,'Key Metrics'!B:B,0))="Woman","Yes","")</f>
        <v/>
      </c>
      <c r="O300" s="87" t="str">
        <f t="shared" ca="1" si="2"/>
        <v/>
      </c>
      <c r="P300" s="92">
        <f t="array" ref="P300">INDEX(Referral,MATCH(A300,Name,0))</f>
        <v>0</v>
      </c>
      <c r="Q300" s="92">
        <f t="array" aca="1" ref="Q300" ca="1">IF(INDEX(NYUAfillType,MATCH(A300,'Key Metrics'!B:B,0))="Other (please specify)",INDEX('Key Metrics'!N:N,MATCH(A300,'Key Metrics'!B:B,0)),INDEX(NYUAfillType,MATCH(A300,'Key Metrics'!B:B,0)))</f>
        <v>0</v>
      </c>
      <c r="R300" s="93" t="str">
        <f t="array" aca="1" ref="R300" ca="1">IF(INDEX('Key Metrics'!Q:Q,MATCH(A300,'Key Metrics'!B:B,0))="No","",INDEX('Key Metrics'!Q:Q,MATCH(A300,'Key Metrics'!B:B,0)))</f>
        <v/>
      </c>
      <c r="S300" s="94" t="str">
        <f t="shared" si="3"/>
        <v>Special Reject</v>
      </c>
      <c r="T300" s="95" t="s">
        <v>23</v>
      </c>
      <c r="U300" s="95" t="b">
        <v>0</v>
      </c>
      <c r="V300" s="95" t="b">
        <v>1</v>
      </c>
      <c r="W300" s="95" t="b">
        <v>0</v>
      </c>
      <c r="X300" s="91"/>
      <c r="Y300" s="111" t="str">
        <f t="array" ref="Y300">INDEX('LS Shortlist'!U:U,MATCH(A300,'LS Shortlist'!B:B,0))</f>
        <v>Special Reject</v>
      </c>
    </row>
    <row r="301" spans="1:25" ht="110">
      <c r="A301" s="112" t="s">
        <v>358</v>
      </c>
      <c r="B301" s="113" t="str">
        <f t="array" ref="B301">INDEX(Interview,MATCH(A301,Name,0))</f>
        <v>Invite</v>
      </c>
      <c r="C301" s="113" t="str">
        <f t="array" ref="C301">INDEX(Track,MATCH(A301,Name,0))</f>
        <v>Life Sciences</v>
      </c>
      <c r="D301" s="114">
        <f t="array" ref="D301">INDEX(Score,MATCH(A301,Name,0))</f>
        <v>4.25</v>
      </c>
      <c r="E301" s="115">
        <f t="array" aca="1" ref="E301" ca="1">INDEX(Date,MATCH(A301,Name,0))</f>
        <v>44789</v>
      </c>
      <c r="F301" s="113" t="s">
        <v>13347</v>
      </c>
      <c r="G301" s="113" t="s">
        <v>13320</v>
      </c>
      <c r="H301" s="113" t="str">
        <f t="array" aca="1" ref="H301" ca="1">IFERROR(INDEX('2022-2023 Third Reviews'!K:K,MATCH(A301,'2022-2023 Third Reviews'!C:C,0)),"")</f>
        <v>Chris Millisits
3</v>
      </c>
      <c r="I301" s="116" t="s">
        <v>10549</v>
      </c>
      <c r="J301" s="116" t="s">
        <v>2025</v>
      </c>
      <c r="K301" s="116" t="str">
        <f t="array" aca="1" ref="K301" ca="1">IFERROR(INDEX('2022-2023 Third Reviews'!L:L,MATCH(A301,'2022-2023 Third Reviews'!C:C,0)),"")</f>
        <v>Given the stage of the company, traction is less impressive. This is the classic Digital Health delivery model, but I haven't seen a direct competitor here yet, so that's a positive sign. Founder is a former VC and still a solo founder to date.</v>
      </c>
      <c r="L301" s="117" t="str">
        <f t="array" ref="L301">INDEX(AppNotes,MATCH(A301,Name,0))</f>
        <v>already in clinical trials for new calcium channel blockers for cancer therapy; no updates to studies since Apr 2018; for interview: what has happened since then?</v>
      </c>
      <c r="M301" s="118" t="str">
        <f t="array" aca="1" ref="M301" ca="1">INDEX(Team,MATCH(A301,'Key Metrics'!B:B,0))</f>
        <v>Woman</v>
      </c>
      <c r="N301" s="114" t="str">
        <f t="array" aca="1" ref="N301" ca="1">IF(INDEX('Key Metrics'!F:F,MATCH(A301,'Key Metrics'!B:B,0))="Woman","Yes","")</f>
        <v>Yes</v>
      </c>
      <c r="O301" s="114" t="str">
        <f t="shared" ca="1" si="2"/>
        <v>Yes</v>
      </c>
      <c r="P301" s="119">
        <f t="array" ref="P301">INDEX(Referral,MATCH(A301,Name,0))</f>
        <v>0</v>
      </c>
      <c r="Q301" s="119">
        <f t="array" aca="1" ref="Q301" ca="1">IF(INDEX(NYUAfillType,MATCH(A301,'Key Metrics'!B:B,0))="Other (please specify)",INDEX('Key Metrics'!N:N,MATCH(A301,'Key Metrics'!B:B,0)),INDEX(NYUAfillType,MATCH(A301,'Key Metrics'!B:B,0)))</f>
        <v>0</v>
      </c>
      <c r="R301" s="120" t="str">
        <f t="array" aca="1" ref="R301" ca="1">IF(INDEX('Key Metrics'!Q:Q,MATCH(A301,'Key Metrics'!B:B,0))="No","",INDEX('Key Metrics'!Q:Q,MATCH(A301,'Key Metrics'!B:B,0)))</f>
        <v/>
      </c>
      <c r="S301" s="106" t="str">
        <f t="shared" si="3"/>
        <v>Invite</v>
      </c>
      <c r="T301" s="121" t="s">
        <v>18</v>
      </c>
      <c r="U301" s="121" t="b">
        <v>0</v>
      </c>
      <c r="V301" s="121" t="b">
        <v>0</v>
      </c>
      <c r="W301" s="121" t="b">
        <v>0</v>
      </c>
      <c r="X301" s="118" t="s">
        <v>359</v>
      </c>
      <c r="Y301" s="122" t="str">
        <f t="array" ref="Y301">INDEX('LS Shortlist'!U:U,MATCH(A301,'LS Shortlist'!B:B,0))</f>
        <v>Invite</v>
      </c>
    </row>
    <row r="302" spans="1:25" ht="88" hidden="1">
      <c r="A302" s="109" t="s">
        <v>360</v>
      </c>
      <c r="B302" s="86" t="str">
        <f t="array" ref="B302">INDEX(Interview,MATCH(A302,Name,0))</f>
        <v>Invite</v>
      </c>
      <c r="C302" s="86" t="str">
        <f t="array" ref="C302">INDEX(Track,MATCH(A302,Name,0))</f>
        <v>Life Sciences</v>
      </c>
      <c r="D302" s="87">
        <f t="array" ref="D302">INDEX(Score,MATCH(A302,Name,0))</f>
        <v>5</v>
      </c>
      <c r="E302" s="88">
        <f t="array" aca="1" ref="E302" ca="1">INDEX(Date,MATCH(A302,Name,0))</f>
        <v>44784</v>
      </c>
      <c r="F302" s="86" t="s">
        <v>13310</v>
      </c>
      <c r="G302" s="86" t="s">
        <v>13311</v>
      </c>
      <c r="H302" s="86" t="str">
        <f t="array" aca="1" ref="H302" ca="1">IFERROR(INDEX('2022-2023 Third Reviews'!K:K,MATCH(A302,'2022-2023 Third Reviews'!C:C,0)),"")</f>
        <v>Chris Millisits
3</v>
      </c>
      <c r="I302" s="89" t="s">
        <v>2033</v>
      </c>
      <c r="J302" s="89" t="s">
        <v>2034</v>
      </c>
      <c r="K302" s="89" t="str">
        <f t="array" aca="1" ref="K302" ca="1">IFERROR(INDEX('2022-2023 Third Reviews'!L:L,MATCH(A302,'2022-2023 Third Reviews'!C:C,0)),"")</f>
        <v>Solution isn't terribly novel (hardware pill dispenser plus an app). It's a better Digital Health solution than many on the market, given it is an integrated solution for heart failure including the hardware elements. Team has good experience. Market size for heart failure is moderate, and expansion into other market segments will be difficult due to competition levels and need for specialized solutions by condition.</v>
      </c>
      <c r="L302" s="90" t="str">
        <f t="array" ref="L302">INDEX(AppNotes,MATCH(A302,Name,0))</f>
        <v>similar to a company from LY interfaceBio, however different approach and further along. Great partnerships already, currenlty scaling. Strong team, everyone is part-time except CEO; for Int: do you plan to have more full-time as you scale</v>
      </c>
      <c r="M302" s="91" t="str">
        <f t="array" aca="1" ref="M302" ca="1">INDEX(Team,MATCH(A302,'Key Metrics'!B:B,0))</f>
        <v>Man, Man, Man, Man, Man, Man</v>
      </c>
      <c r="N302" s="87" t="str">
        <f t="array" aca="1" ref="N302" ca="1">IF(INDEX('Key Metrics'!F:F,MATCH(A302,'Key Metrics'!B:B,0))="Woman","Yes","")</f>
        <v/>
      </c>
      <c r="O302" s="87" t="str">
        <f t="shared" ca="1" si="2"/>
        <v/>
      </c>
      <c r="P302" s="92">
        <f t="array" ref="P302">INDEX(Referral,MATCH(A302,Name,0))</f>
        <v>0</v>
      </c>
      <c r="Q302" s="92">
        <f t="array" aca="1" ref="Q302" ca="1">IF(INDEX(NYUAfillType,MATCH(A302,'Key Metrics'!B:B,0))="Other (please specify)",INDEX('Key Metrics'!N:N,MATCH(A302,'Key Metrics'!B:B,0)),INDEX(NYUAfillType,MATCH(A302,'Key Metrics'!B:B,0)))</f>
        <v>0</v>
      </c>
      <c r="R302" s="93" t="str">
        <f t="array" aca="1" ref="R302" ca="1">IF(INDEX('Key Metrics'!Q:Q,MATCH(A302,'Key Metrics'!B:B,0))="No","",INDEX('Key Metrics'!Q:Q,MATCH(A302,'Key Metrics'!B:B,0)))</f>
        <v/>
      </c>
      <c r="S302" s="94" t="str">
        <f t="shared" si="3"/>
        <v>Invite</v>
      </c>
      <c r="T302" s="95" t="s">
        <v>18</v>
      </c>
      <c r="U302" s="95" t="b">
        <v>0</v>
      </c>
      <c r="V302" s="95" t="b">
        <v>0</v>
      </c>
      <c r="W302" s="95" t="b">
        <v>0</v>
      </c>
      <c r="X302" s="91"/>
      <c r="Y302" s="111" t="str">
        <f t="array" ref="Y302">INDEX('LS Shortlist'!U:U,MATCH(A302,'LS Shortlist'!B:B,0))</f>
        <v>Invite</v>
      </c>
    </row>
    <row r="303" spans="1:25" ht="33" hidden="1">
      <c r="A303" s="97" t="s">
        <v>361</v>
      </c>
      <c r="B303" s="98" t="str">
        <f t="array" ref="B303">INDEX(Interview,MATCH(A303,Name,0))</f>
        <v>Invite</v>
      </c>
      <c r="C303" s="98" t="str">
        <f t="array" ref="C303">INDEX(Track,MATCH(A303,Name,0))</f>
        <v>Life Sciences</v>
      </c>
      <c r="D303" s="99">
        <f t="array" ref="D303">INDEX(Score,MATCH(A303,Name,0))</f>
        <v>4.75</v>
      </c>
      <c r="E303" s="100">
        <f t="array" aca="1" ref="E303" ca="1">INDEX(Date,MATCH(A303,Name,0))</f>
        <v>44796</v>
      </c>
      <c r="F303" s="98" t="s">
        <v>13336</v>
      </c>
      <c r="G303" s="98" t="s">
        <v>13391</v>
      </c>
      <c r="H303" s="98" t="str">
        <f t="array" ref="H303">IFERROR(INDEX('2022-2023 Third Reviews'!K:K,MATCH(A303,'2022-2023 Third Reviews'!C:C,0)),"")</f>
        <v/>
      </c>
      <c r="I303" s="101" t="s">
        <v>2041</v>
      </c>
      <c r="J303" s="101" t="s">
        <v>2042</v>
      </c>
      <c r="K303" s="101" t="str">
        <f t="array" ref="K303">IFERROR(INDEX('2022-2023 Third Reviews'!L:L,MATCH(A303,'2022-2023 Third Reviews'!C:C,0)),"")</f>
        <v/>
      </c>
      <c r="L303" s="102" t="str">
        <f t="array" ref="L303">INDEX(AppNotes,MATCH(A303,Name,0))</f>
        <v>strong team out of MIT Cornell and Duke; not through FDA approval yet, but good initital data and a platform with a wide range of applications</v>
      </c>
      <c r="M303" s="103" t="str">
        <f t="array" aca="1" ref="M303" ca="1">INDEX(Team,MATCH(A303,'Key Metrics'!B:B,0))</f>
        <v>Man, Man, Man, Man</v>
      </c>
      <c r="N303" s="99" t="str">
        <f t="array" aca="1" ref="N303" ca="1">IF(INDEX('Key Metrics'!F:F,MATCH(A303,'Key Metrics'!B:B,0))="Woman","Yes","")</f>
        <v/>
      </c>
      <c r="O303" s="99" t="str">
        <f t="shared" ca="1" si="2"/>
        <v/>
      </c>
      <c r="P303" s="104" t="str">
        <f t="array" ref="P303">INDEX(Referral,MATCH(A303,Name,0))</f>
        <v>Aaron Nelson</v>
      </c>
      <c r="Q303" s="104">
        <f t="array" aca="1" ref="Q303" ca="1">IF(INDEX(NYUAfillType,MATCH(A303,'Key Metrics'!B:B,0))="Other (please specify)",INDEX('Key Metrics'!N:N,MATCH(A303,'Key Metrics'!B:B,0)),INDEX(NYUAfillType,MATCH(A303,'Key Metrics'!B:B,0)))</f>
        <v>0</v>
      </c>
      <c r="R303" s="105" t="str">
        <f t="array" aca="1" ref="R303" ca="1">IF(INDEX('Key Metrics'!Q:Q,MATCH(A303,'Key Metrics'!B:B,0))="No","",INDEX('Key Metrics'!Q:Q,MATCH(A303,'Key Metrics'!B:B,0)))</f>
        <v/>
      </c>
      <c r="S303" s="106" t="str">
        <f t="shared" si="3"/>
        <v>Invite</v>
      </c>
      <c r="T303" s="107" t="s">
        <v>18</v>
      </c>
      <c r="U303" s="107" t="b">
        <v>0</v>
      </c>
      <c r="V303" s="107" t="b">
        <v>0</v>
      </c>
      <c r="W303" s="107" t="b">
        <v>0</v>
      </c>
      <c r="X303" s="103"/>
      <c r="Y303" s="110" t="str">
        <f t="array" ref="Y303">INDEX('LS Shortlist'!U:U,MATCH(A303,'LS Shortlist'!B:B,0))</f>
        <v>Invite</v>
      </c>
    </row>
    <row r="304" spans="1:25" ht="99">
      <c r="A304" s="109" t="s">
        <v>362</v>
      </c>
      <c r="B304" s="86" t="str">
        <f t="array" ref="B304">INDEX(Interview,MATCH(A304,Name,0))</f>
        <v>Invite</v>
      </c>
      <c r="C304" s="86" t="str">
        <f t="array" ref="C304">INDEX(Track,MATCH(A304,Name,0))</f>
        <v>Life Sciences</v>
      </c>
      <c r="D304" s="87">
        <f t="array" ref="D304">INDEX(Score,MATCH(A304,Name,0))</f>
        <v>4</v>
      </c>
      <c r="E304" s="88">
        <f t="array" aca="1" ref="E304" ca="1">INDEX(Date,MATCH(A304,Name,0))</f>
        <v>44797</v>
      </c>
      <c r="F304" s="86" t="s">
        <v>13319</v>
      </c>
      <c r="G304" s="86" t="s">
        <v>13320</v>
      </c>
      <c r="H304" s="86" t="str">
        <f t="array" ref="H304">IFERROR(INDEX('2022-2023 Third Reviews'!K:K,MATCH(A304,'2022-2023 Third Reviews'!C:C,0)),"")</f>
        <v/>
      </c>
      <c r="I304" s="89" t="s">
        <v>2050</v>
      </c>
      <c r="J304" s="89" t="s">
        <v>2051</v>
      </c>
      <c r="K304" s="89" t="str">
        <f t="array" ref="K304">IFERROR(INDEX('2022-2023 Third Reviews'!L:L,MATCH(A304,'2022-2023 Third Reviews'!C:C,0)),"")</f>
        <v/>
      </c>
      <c r="L304" s="90">
        <f t="array" ref="L304">INDEX(AppNotes,MATCH(A304,Name,0))</f>
        <v>0</v>
      </c>
      <c r="M304" s="91" t="str">
        <f t="array" aca="1" ref="M304" ca="1">INDEX(Team,MATCH(A304,'Key Metrics'!B:B,0))</f>
        <v>Woman, Man, Man, Man</v>
      </c>
      <c r="N304" s="87" t="str">
        <f t="array" aca="1" ref="N304" ca="1">IF(INDEX('Key Metrics'!F:F,MATCH(A304,'Key Metrics'!B:B,0))="Woman","Yes","")</f>
        <v>Yes</v>
      </c>
      <c r="O304" s="87" t="str">
        <f t="shared" ca="1" si="2"/>
        <v>Yes</v>
      </c>
      <c r="P304" s="92">
        <f t="array" ref="P304">INDEX(Referral,MATCH(A304,Name,0))</f>
        <v>0</v>
      </c>
      <c r="Q304" s="92">
        <f t="array" aca="1" ref="Q304" ca="1">IF(INDEX(NYUAfillType,MATCH(A304,'Key Metrics'!B:B,0))="Other (please specify)",INDEX('Key Metrics'!N:N,MATCH(A304,'Key Metrics'!B:B,0)),INDEX(NYUAfillType,MATCH(A304,'Key Metrics'!B:B,0)))</f>
        <v>0</v>
      </c>
      <c r="R304" s="93" t="str">
        <f t="array" aca="1" ref="R304" ca="1">IF(INDEX('Key Metrics'!Q:Q,MATCH(A304,'Key Metrics'!B:B,0))="No","",INDEX('Key Metrics'!Q:Q,MATCH(A304,'Key Metrics'!B:B,0)))</f>
        <v/>
      </c>
      <c r="S304" s="94" t="str">
        <f t="shared" si="3"/>
        <v>Invite</v>
      </c>
      <c r="T304" s="95" t="s">
        <v>18</v>
      </c>
      <c r="U304" s="95" t="b">
        <v>0</v>
      </c>
      <c r="V304" s="95" t="b">
        <v>0</v>
      </c>
      <c r="W304" s="95" t="b">
        <v>0</v>
      </c>
      <c r="X304" s="91"/>
      <c r="Y304" s="111" t="str">
        <f t="array" ref="Y304">INDEX('LS Shortlist'!U:U,MATCH(A304,'LS Shortlist'!B:B,0))</f>
        <v>Invite</v>
      </c>
    </row>
    <row r="305" spans="1:25" hidden="1">
      <c r="A305" s="97" t="s">
        <v>363</v>
      </c>
      <c r="B305" s="98" t="str">
        <f t="array" ref="B305">INDEX(Interview,MATCH(A305,Name,0))</f>
        <v>Invite</v>
      </c>
      <c r="C305" s="98" t="str">
        <f t="array" ref="C305">INDEX(Track,MATCH(A305,Name,0))</f>
        <v>Life Sciences</v>
      </c>
      <c r="D305" s="99">
        <f t="array" ref="D305">INDEX(Score,MATCH(A305,Name,0))</f>
        <v>4.5</v>
      </c>
      <c r="E305" s="100">
        <f t="array" aca="1" ref="E305" ca="1">INDEX(Date,MATCH(A305,Name,0))</f>
        <v>44776</v>
      </c>
      <c r="F305" s="98" t="s">
        <v>13319</v>
      </c>
      <c r="G305" s="98" t="s">
        <v>13345</v>
      </c>
      <c r="H305" s="98" t="str">
        <f t="array" aca="1" ref="H305" ca="1">IFERROR(INDEX('2022-2023 Third Reviews'!K:K,MATCH(A305,'2022-2023 Third Reviews'!C:C,0)),"")</f>
        <v>Chris Millisits
3</v>
      </c>
      <c r="I305" s="101" t="s">
        <v>2057</v>
      </c>
      <c r="J305" s="101" t="s">
        <v>481</v>
      </c>
      <c r="K305" s="101" t="str">
        <f t="array" aca="1" ref="K305" ca="1">IFERROR(INDEX('2022-2023 Third Reviews'!L:L,MATCH(A305,'2022-2023 Third Reviews'!C:C,0)),"")</f>
        <v>Strong team, but IP is licensed and the tech is not yet validated. It's just very early.</v>
      </c>
      <c r="L305" s="102">
        <f t="array" ref="L305">INDEX(AppNotes,MATCH(A305,Name,0))</f>
        <v>0</v>
      </c>
      <c r="M305" s="103" t="str">
        <f t="array" aca="1" ref="M305" ca="1">INDEX(Team,MATCH(A305,'Key Metrics'!B:B,0))</f>
        <v>Man, Man</v>
      </c>
      <c r="N305" s="99" t="str">
        <f t="array" aca="1" ref="N305" ca="1">IF(INDEX('Key Metrics'!F:F,MATCH(A305,'Key Metrics'!B:B,0))="Woman","Yes","")</f>
        <v/>
      </c>
      <c r="O305" s="99" t="str">
        <f t="shared" ca="1" si="2"/>
        <v/>
      </c>
      <c r="P305" s="104" t="str">
        <f t="array" ref="P305">INDEX(Referral,MATCH(A305,Name,0))</f>
        <v>Nanea Reeves</v>
      </c>
      <c r="Q305" s="104">
        <f t="array" aca="1" ref="Q305" ca="1">IF(INDEX(NYUAfillType,MATCH(A305,'Key Metrics'!B:B,0))="Other (please specify)",INDEX('Key Metrics'!N:N,MATCH(A305,'Key Metrics'!B:B,0)),INDEX(NYUAfillType,MATCH(A305,'Key Metrics'!B:B,0)))</f>
        <v>0</v>
      </c>
      <c r="R305" s="105" t="str">
        <f t="array" aca="1" ref="R305" ca="1">IF(INDEX('Key Metrics'!Q:Q,MATCH(A305,'Key Metrics'!B:B,0))="No","",INDEX('Key Metrics'!Q:Q,MATCH(A305,'Key Metrics'!B:B,0)))</f>
        <v>Yes</v>
      </c>
      <c r="S305" s="106" t="str">
        <f t="shared" si="3"/>
        <v>Invite</v>
      </c>
      <c r="T305" s="107" t="s">
        <v>18</v>
      </c>
      <c r="U305" s="107" t="b">
        <v>0</v>
      </c>
      <c r="V305" s="107" t="b">
        <v>0</v>
      </c>
      <c r="W305" s="107" t="b">
        <v>0</v>
      </c>
      <c r="X305" s="103"/>
      <c r="Y305" s="110" t="str">
        <f t="array" ref="Y305">INDEX('LS Shortlist'!U:U,MATCH(A305,'LS Shortlist'!B:B,0))</f>
        <v>Invite</v>
      </c>
    </row>
    <row r="306" spans="1:25" ht="55" hidden="1">
      <c r="A306" s="109" t="s">
        <v>364</v>
      </c>
      <c r="B306" s="86" t="str">
        <f t="array" ref="B306">INDEX(Interview,MATCH(A306,Name,0))</f>
        <v>Revisit/ Cluster</v>
      </c>
      <c r="C306" s="86" t="str">
        <f t="array" ref="C306">INDEX(Track,MATCH(A306,Name,0))</f>
        <v>Life Sciences</v>
      </c>
      <c r="D306" s="87">
        <f t="array" ref="D306">INDEX(Score,MATCH(A306,Name,0))</f>
        <v>3.75</v>
      </c>
      <c r="E306" s="88">
        <f t="array" aca="1" ref="E306" ca="1">INDEX(Date,MATCH(A306,Name,0))</f>
        <v>44789</v>
      </c>
      <c r="F306" s="86" t="s">
        <v>13322</v>
      </c>
      <c r="G306" s="86" t="s">
        <v>13320</v>
      </c>
      <c r="H306" s="86" t="str">
        <f t="array" aca="1" ref="H306" ca="1">IFERROR(INDEX('2022-2023 Third Reviews'!K:K,MATCH(A306,'2022-2023 Third Reviews'!C:C,0)),"")</f>
        <v>Jason Yu
3</v>
      </c>
      <c r="I306" s="89" t="s">
        <v>9795</v>
      </c>
      <c r="J306" s="89" t="s">
        <v>481</v>
      </c>
      <c r="K306" s="89" t="str">
        <f t="array" aca="1" ref="K306" ca="1">IFERROR(INDEX('2022-2023 Third Reviews'!L:L,MATCH(A306,'2022-2023 Third Reviews'!C:C,0)),"")</f>
        <v>Concerned with licensing rights from IP developed by the founder at MIT.</v>
      </c>
      <c r="L306" s="90" t="str">
        <f t="array" ref="L306">INDEX(AppNotes,MATCH(A306,Name,0))</f>
        <v>animal and human cell data; referred by Hala; applied last year with only 1 team member, but team has grown in last year; potential special reject</v>
      </c>
      <c r="M306" s="91" t="str">
        <f t="array" aca="1" ref="M306" ca="1">INDEX(Team,MATCH(A306,'Key Metrics'!B:B,0))</f>
        <v>Man, Man</v>
      </c>
      <c r="N306" s="87" t="str">
        <f t="array" aca="1" ref="N306" ca="1">IF(INDEX('Key Metrics'!F:F,MATCH(A306,'Key Metrics'!B:B,0))="Woman","Yes","")</f>
        <v/>
      </c>
      <c r="O306" s="87" t="str">
        <f t="shared" ca="1" si="2"/>
        <v/>
      </c>
      <c r="P306" s="92" t="str">
        <f t="array" ref="P306">INDEX(Referral,MATCH(A306,Name,0))</f>
        <v>The New Jersey Health Foundation/ Foundation Venture Capital Group.</v>
      </c>
      <c r="Q306" s="92">
        <f t="array" aca="1" ref="Q306" ca="1">IF(INDEX(NYUAfillType,MATCH(A306,'Key Metrics'!B:B,0))="Other (please specify)",INDEX('Key Metrics'!N:N,MATCH(A306,'Key Metrics'!B:B,0)),INDEX(NYUAfillType,MATCH(A306,'Key Metrics'!B:B,0)))</f>
        <v>0</v>
      </c>
      <c r="R306" s="93" t="str">
        <f t="array" aca="1" ref="R306" ca="1">IF(INDEX('Key Metrics'!Q:Q,MATCH(A306,'Key Metrics'!B:B,0))="No","",INDEX('Key Metrics'!Q:Q,MATCH(A306,'Key Metrics'!B:B,0)))</f>
        <v>Yes</v>
      </c>
      <c r="S306" s="94" t="str">
        <f t="shared" si="3"/>
        <v>Special Reject</v>
      </c>
      <c r="T306" s="95" t="s">
        <v>23</v>
      </c>
      <c r="U306" s="95" t="b">
        <v>0</v>
      </c>
      <c r="V306" s="95" t="b">
        <v>1</v>
      </c>
      <c r="W306" s="95" t="b">
        <v>0</v>
      </c>
      <c r="X306" s="91"/>
      <c r="Y306" s="111" t="str">
        <f t="array" ref="Y306">INDEX('LS Shortlist'!U:U,MATCH(A306,'LS Shortlist'!B:B,0))</f>
        <v>Special Reject</v>
      </c>
    </row>
    <row r="307" spans="1:25" ht="66" hidden="1">
      <c r="A307" s="97" t="s">
        <v>365</v>
      </c>
      <c r="B307" s="98" t="str">
        <f t="array" ref="B307">INDEX(Interview,MATCH(A307,Name,0))</f>
        <v>Invite</v>
      </c>
      <c r="C307" s="98" t="str">
        <f t="array" ref="C307">INDEX(Track,MATCH(A307,Name,0))</f>
        <v>Life Sciences</v>
      </c>
      <c r="D307" s="99">
        <f t="array" ref="D307">INDEX(Score,MATCH(A307,Name,0))</f>
        <v>4</v>
      </c>
      <c r="E307" s="100">
        <f t="array" aca="1" ref="E307" ca="1">INDEX(Date,MATCH(A307,Name,0))</f>
        <v>44796</v>
      </c>
      <c r="F307" s="98" t="s">
        <v>13315</v>
      </c>
      <c r="G307" s="98" t="s">
        <v>13320</v>
      </c>
      <c r="H307" s="98" t="str">
        <f t="array" aca="1" ref="H307" ca="1">IFERROR(INDEX('2022-2023 Third Reviews'!K:K,MATCH(A307,'2022-2023 Third Reviews'!C:C,0)),"")</f>
        <v>Ahmed Bahgat
2</v>
      </c>
      <c r="I307" s="101" t="s">
        <v>9803</v>
      </c>
      <c r="J307" s="101" t="s">
        <v>9804</v>
      </c>
      <c r="K307" s="101" t="str">
        <f t="array" aca="1" ref="K307" ca="1">IFERROR(INDEX('2022-2023 Third Reviews'!L:L,MATCH(A307,'2022-2023 Third Reviews'!C:C,0)),"")</f>
        <v xml:space="preserve">Still in ideation stage, looking for EFL to refine the idea of how to break up dental treatments and preventive care. This does not seem to be a business yet, hence I do not believe the team is well positioned to make the most use of EFL. </v>
      </c>
      <c r="L307" s="102">
        <f t="array" ref="L307">INDEX(AppNotes,MATCH(A307,Name,0))</f>
        <v>0</v>
      </c>
      <c r="M307" s="103" t="str">
        <f t="array" aca="1" ref="M307" ca="1">INDEX(Team,MATCH(A307,'Key Metrics'!B:B,0))</f>
        <v>Man</v>
      </c>
      <c r="N307" s="99" t="str">
        <f t="array" aca="1" ref="N307" ca="1">IF(INDEX('Key Metrics'!F:F,MATCH(A307,'Key Metrics'!B:B,0))="Woman","Yes","")</f>
        <v/>
      </c>
      <c r="O307" s="99" t="str">
        <f t="shared" ca="1" si="2"/>
        <v/>
      </c>
      <c r="P307" s="104">
        <f t="array" ref="P307">INDEX(Referral,MATCH(A307,Name,0))</f>
        <v>0</v>
      </c>
      <c r="Q307" s="104" t="str">
        <f t="array" aca="1" ref="Q307" ca="1">IF(INDEX(NYUAfillType,MATCH(A307,'Key Metrics'!B:B,0))="Other (please specify)",INDEX('Key Metrics'!N:N,MATCH(A307,'Key Metrics'!B:B,0)),INDEX(NYUAfillType,MATCH(A307,'Key Metrics'!B:B,0)))</f>
        <v>NYU Alumni</v>
      </c>
      <c r="R307" s="105" t="str">
        <f t="array" aca="1" ref="R307" ca="1">IF(INDEX('Key Metrics'!Q:Q,MATCH(A307,'Key Metrics'!B:B,0))="No","",INDEX('Key Metrics'!Q:Q,MATCH(A307,'Key Metrics'!B:B,0)))</f>
        <v/>
      </c>
      <c r="S307" s="106" t="str">
        <f t="shared" si="3"/>
        <v>Special Reject</v>
      </c>
      <c r="T307" s="107" t="s">
        <v>23</v>
      </c>
      <c r="U307" s="107" t="b">
        <v>0</v>
      </c>
      <c r="V307" s="107" t="b">
        <v>1</v>
      </c>
      <c r="W307" s="107" t="b">
        <v>0</v>
      </c>
      <c r="X307" s="103"/>
      <c r="Y307" s="110" t="str">
        <f t="array" ref="Y307">INDEX('LS Shortlist'!U:U,MATCH(A307,'LS Shortlist'!B:B,0))</f>
        <v>Special Reject</v>
      </c>
    </row>
    <row r="308" spans="1:25" ht="42" hidden="1">
      <c r="A308" s="109" t="s">
        <v>366</v>
      </c>
      <c r="B308" s="86" t="str">
        <f t="array" ref="B308">INDEX(Interview,MATCH(A308,Name,0))</f>
        <v>Revisit/ Cluster</v>
      </c>
      <c r="C308" s="86" t="str">
        <f t="array" ref="C308">INDEX(Track,MATCH(A308,Name,0))</f>
        <v>Life Sciences</v>
      </c>
      <c r="D308" s="87">
        <f t="array" ref="D308">INDEX(Score,MATCH(A308,Name,0))</f>
        <v>4</v>
      </c>
      <c r="E308" s="88">
        <f t="array" aca="1" ref="E308" ca="1">INDEX(Date,MATCH(A308,Name,0))</f>
        <v>44797</v>
      </c>
      <c r="F308" s="86" t="s">
        <v>13315</v>
      </c>
      <c r="G308" s="86" t="s">
        <v>13320</v>
      </c>
      <c r="H308" s="86" t="str">
        <f t="array" ref="H308">IFERROR(INDEX('2022-2023 Third Reviews'!K:K,MATCH(A308,'2022-2023 Third Reviews'!C:C,0)),"")</f>
        <v/>
      </c>
      <c r="I308" s="89" t="s">
        <v>9809</v>
      </c>
      <c r="J308" s="89" t="s">
        <v>9810</v>
      </c>
      <c r="K308" s="89" t="str">
        <f t="array" ref="K308">IFERROR(INDEX('2022-2023 Third Reviews'!L:L,MATCH(A308,'2022-2023 Third Reviews'!C:C,0)),"")</f>
        <v/>
      </c>
      <c r="L308" s="90" t="str">
        <f t="array" ref="L308">INDEX(AppNotes,MATCH(A308,Name,0))</f>
        <v>Blood test to replace lung biopsy; 93% sensitivity, 97% specificity; unsure if for predicition of disease or confirmation</v>
      </c>
      <c r="M308" s="91" t="str">
        <f t="array" aca="1" ref="M308" ca="1">INDEX(Team,MATCH(A308,'Key Metrics'!B:B,0))</f>
        <v>Woman, Man, Man, Man</v>
      </c>
      <c r="N308" s="87" t="str">
        <f t="array" aca="1" ref="N308" ca="1">IF(INDEX('Key Metrics'!F:F,MATCH(A308,'Key Metrics'!B:B,0))="Woman","Yes","")</f>
        <v>Yes</v>
      </c>
      <c r="O308" s="87" t="str">
        <f t="shared" ca="1" si="2"/>
        <v>Yes</v>
      </c>
      <c r="P308" s="92">
        <f t="array" ref="P308">INDEX(Referral,MATCH(A308,Name,0))</f>
        <v>0</v>
      </c>
      <c r="Q308" s="92">
        <f t="array" aca="1" ref="Q308" ca="1">IF(INDEX(NYUAfillType,MATCH(A308,'Key Metrics'!B:B,0))="Other (please specify)",INDEX('Key Metrics'!N:N,MATCH(A308,'Key Metrics'!B:B,0)),INDEX(NYUAfillType,MATCH(A308,'Key Metrics'!B:B,0)))</f>
        <v>0</v>
      </c>
      <c r="R308" s="93" t="str">
        <f t="array" aca="1" ref="R308" ca="1">IF(INDEX('Key Metrics'!Q:Q,MATCH(A308,'Key Metrics'!B:B,0))="No","",INDEX('Key Metrics'!Q:Q,MATCH(A308,'Key Metrics'!B:B,0)))</f>
        <v/>
      </c>
      <c r="S308" s="94" t="str">
        <f t="shared" si="3"/>
        <v>Special Reject</v>
      </c>
      <c r="T308" s="95" t="s">
        <v>23</v>
      </c>
      <c r="U308" s="95" t="b">
        <v>0</v>
      </c>
      <c r="V308" s="95" t="b">
        <v>1</v>
      </c>
      <c r="W308" s="95" t="b">
        <v>0</v>
      </c>
      <c r="X308" s="91" t="s">
        <v>367</v>
      </c>
      <c r="Y308" s="111" t="str">
        <f t="array" ref="Y308">INDEX('LS Shortlist'!U:U,MATCH(A308,'LS Shortlist'!B:B,0))</f>
        <v>Special Reject</v>
      </c>
    </row>
    <row r="309" spans="1:25" ht="44" hidden="1">
      <c r="A309" s="97" t="s">
        <v>368</v>
      </c>
      <c r="B309" s="98" t="str">
        <f t="array" ref="B309">INDEX(Interview,MATCH(A309,Name,0))</f>
        <v>Invite</v>
      </c>
      <c r="C309" s="98" t="str">
        <f t="array" ref="C309">INDEX(Track,MATCH(A309,Name,0))</f>
        <v>Life Sciences</v>
      </c>
      <c r="D309" s="99">
        <f t="array" ref="D309">INDEX(Score,MATCH(A309,Name,0))</f>
        <v>5</v>
      </c>
      <c r="E309" s="100">
        <f t="array" aca="1" ref="E309" ca="1">INDEX(Date,MATCH(A309,Name,0))</f>
        <v>44784</v>
      </c>
      <c r="F309" s="98" t="s">
        <v>13310</v>
      </c>
      <c r="G309" s="98" t="s">
        <v>13390</v>
      </c>
      <c r="H309" s="98" t="str">
        <f t="array" ref="H309">IFERROR(INDEX('2022-2023 Third Reviews'!K:K,MATCH(A309,'2022-2023 Third Reviews'!C:C,0)),"")</f>
        <v/>
      </c>
      <c r="I309" s="101" t="s">
        <v>2065</v>
      </c>
      <c r="J309" s="101" t="s">
        <v>2066</v>
      </c>
      <c r="K309" s="101" t="str">
        <f t="array" ref="K309">IFERROR(INDEX('2022-2023 Third Reviews'!L:L,MATCH(A309,'2022-2023 Third Reviews'!C:C,0)),"")</f>
        <v/>
      </c>
      <c r="L309" s="102" t="str">
        <f t="array" ref="L309">INDEX(AppNotes,MATCH(A309,Name,0))</f>
        <v>Extremely strong team and application; easy 5</v>
      </c>
      <c r="M309" s="103" t="str">
        <f t="array" aca="1" ref="M309" ca="1">INDEX(Team,MATCH(A309,'Key Metrics'!B:B,0))</f>
        <v>Man, Man, Man</v>
      </c>
      <c r="N309" s="99" t="str">
        <f t="array" aca="1" ref="N309" ca="1">IF(INDEX('Key Metrics'!F:F,MATCH(A309,'Key Metrics'!B:B,0))="Woman","Yes","")</f>
        <v/>
      </c>
      <c r="O309" s="99" t="str">
        <f t="shared" ca="1" si="2"/>
        <v/>
      </c>
      <c r="P309" s="104">
        <f t="array" ref="P309">INDEX(Referral,MATCH(A309,Name,0))</f>
        <v>0</v>
      </c>
      <c r="Q309" s="104">
        <f t="array" aca="1" ref="Q309" ca="1">IF(INDEX(NYUAfillType,MATCH(A309,'Key Metrics'!B:B,0))="Other (please specify)",INDEX('Key Metrics'!N:N,MATCH(A309,'Key Metrics'!B:B,0)),INDEX(NYUAfillType,MATCH(A309,'Key Metrics'!B:B,0)))</f>
        <v>0</v>
      </c>
      <c r="R309" s="105" t="str">
        <f t="array" aca="1" ref="R309" ca="1">IF(INDEX('Key Metrics'!Q:Q,MATCH(A309,'Key Metrics'!B:B,0))="No","",INDEX('Key Metrics'!Q:Q,MATCH(A309,'Key Metrics'!B:B,0)))</f>
        <v/>
      </c>
      <c r="S309" s="106" t="str">
        <f t="shared" si="3"/>
        <v>Invite</v>
      </c>
      <c r="T309" s="107" t="s">
        <v>18</v>
      </c>
      <c r="U309" s="107" t="b">
        <v>0</v>
      </c>
      <c r="V309" s="107" t="b">
        <v>0</v>
      </c>
      <c r="W309" s="107" t="b">
        <v>0</v>
      </c>
      <c r="X309" s="103"/>
      <c r="Y309" s="110" t="str">
        <f t="array" ref="Y309">INDEX('LS Shortlist'!U:U,MATCH(A309,'LS Shortlist'!B:B,0))</f>
        <v>Invite</v>
      </c>
    </row>
    <row r="310" spans="1:25" ht="22" hidden="1">
      <c r="A310" s="109" t="s">
        <v>369</v>
      </c>
      <c r="B310" s="86" t="str">
        <f t="array" ref="B310">INDEX(Interview,MATCH(A310,Name,0))</f>
        <v>Invite</v>
      </c>
      <c r="C310" s="86" t="str">
        <f t="array" ref="C310">INDEX(Track,MATCH(A310,Name,0))</f>
        <v>Life Sciences</v>
      </c>
      <c r="D310" s="87">
        <f t="array" ref="D310">INDEX(Score,MATCH(A310,Name,0))</f>
        <v>4.75</v>
      </c>
      <c r="E310" s="88">
        <f t="array" aca="1" ref="E310" ca="1">INDEX(Date,MATCH(A310,Name,0))</f>
        <v>44796</v>
      </c>
      <c r="F310" s="86" t="s">
        <v>13390</v>
      </c>
      <c r="G310" s="86" t="s">
        <v>13328</v>
      </c>
      <c r="H310" s="86" t="str">
        <f t="array" ref="H310">IFERROR(INDEX('2022-2023 Third Reviews'!K:K,MATCH(A310,'2022-2023 Third Reviews'!C:C,0)),"")</f>
        <v/>
      </c>
      <c r="I310" s="89" t="s">
        <v>2075</v>
      </c>
      <c r="J310" s="89" t="s">
        <v>2076</v>
      </c>
      <c r="K310" s="89" t="str">
        <f t="array" ref="K310">IFERROR(INDEX('2022-2023 Third Reviews'!L:L,MATCH(A310,'2022-2023 Third Reviews'!C:C,0)),"")</f>
        <v/>
      </c>
      <c r="L310" s="90" t="str">
        <f t="array" ref="L310">INDEX(AppNotes,MATCH(A310,Name,0))</f>
        <v>strong team with previous successful exit, VP is out of oxford nanocore (sp?); a lot of promising data so far; tech is extremely sensitive and efficient;</v>
      </c>
      <c r="M310" s="91" t="str">
        <f t="array" aca="1" ref="M310" ca="1">INDEX(Team,MATCH(A310,'Key Metrics'!B:B,0))</f>
        <v>Man</v>
      </c>
      <c r="N310" s="87" t="str">
        <f t="array" aca="1" ref="N310" ca="1">IF(INDEX('Key Metrics'!F:F,MATCH(A310,'Key Metrics'!B:B,0))="Woman","Yes","")</f>
        <v/>
      </c>
      <c r="O310" s="87" t="str">
        <f t="shared" ca="1" si="2"/>
        <v/>
      </c>
      <c r="P310" s="92">
        <f t="array" ref="P310">INDEX(Referral,MATCH(A310,Name,0))</f>
        <v>0</v>
      </c>
      <c r="Q310" s="92">
        <f t="array" aca="1" ref="Q310" ca="1">IF(INDEX(NYUAfillType,MATCH(A310,'Key Metrics'!B:B,0))="Other (please specify)",INDEX('Key Metrics'!N:N,MATCH(A310,'Key Metrics'!B:B,0)),INDEX(NYUAfillType,MATCH(A310,'Key Metrics'!B:B,0)))</f>
        <v>0</v>
      </c>
      <c r="R310" s="93" t="str">
        <f t="array" aca="1" ref="R310" ca="1">IF(INDEX('Key Metrics'!Q:Q,MATCH(A310,'Key Metrics'!B:B,0))="No","",INDEX('Key Metrics'!Q:Q,MATCH(A310,'Key Metrics'!B:B,0)))</f>
        <v/>
      </c>
      <c r="S310" s="94" t="str">
        <f t="shared" si="3"/>
        <v>Invite</v>
      </c>
      <c r="T310" s="95" t="s">
        <v>18</v>
      </c>
      <c r="U310" s="95" t="b">
        <v>0</v>
      </c>
      <c r="V310" s="95" t="b">
        <v>0</v>
      </c>
      <c r="W310" s="95" t="b">
        <v>0</v>
      </c>
      <c r="X310" s="91"/>
      <c r="Y310" s="111" t="str">
        <f t="array" ref="Y310">INDEX('LS Shortlist'!U:U,MATCH(A310,'LS Shortlist'!B:B,0))</f>
        <v>Invite</v>
      </c>
    </row>
    <row r="311" spans="1:25" ht="88" hidden="1">
      <c r="A311" s="97" t="s">
        <v>370</v>
      </c>
      <c r="B311" s="98" t="str">
        <f t="array" ref="B311">INDEX(Interview,MATCH(A311,Name,0))</f>
        <v>Revisit/ Cluster</v>
      </c>
      <c r="C311" s="98" t="str">
        <f t="array" ref="C311">INDEX(Track,MATCH(A311,Name,0))</f>
        <v>Life Sciences</v>
      </c>
      <c r="D311" s="99">
        <f t="array" ref="D311">INDEX(Score,MATCH(A311,Name,0))</f>
        <v>3.75</v>
      </c>
      <c r="E311" s="100">
        <f t="array" aca="1" ref="E311" ca="1">INDEX(Date,MATCH(A311,Name,0))</f>
        <v>44784</v>
      </c>
      <c r="F311" s="98" t="s">
        <v>13319</v>
      </c>
      <c r="G311" s="98" t="s">
        <v>13338</v>
      </c>
      <c r="H311" s="98" t="str">
        <f t="array" aca="1" ref="H311" ca="1">IFERROR(INDEX('2022-2023 Third Reviews'!K:K,MATCH(A311,'2022-2023 Third Reviews'!C:C,0)),"")</f>
        <v>Chris Millisits
2</v>
      </c>
      <c r="I311" s="101" t="s">
        <v>11403</v>
      </c>
      <c r="J311" s="101" t="s">
        <v>2086</v>
      </c>
      <c r="K311" s="101" t="str">
        <f t="array" aca="1" ref="K311" ca="1">IFERROR(INDEX('2022-2023 Third Reviews'!L:L,MATCH(A311,'2022-2023 Third Reviews'!C:C,0)),"")</f>
        <v>Raising $40m. Limited customer discovery and no customers. Founding team doesn't have strong technical background. Overestimate of market opportunity, assumptions around growth of use of therapy if there was an AI option.</v>
      </c>
      <c r="L311" s="102" t="str">
        <f t="array" ref="L311">INDEX(AppNotes,MATCH(A311,Name,0))</f>
        <v>large scope, first indication is alzhiemers; mouse studies have shwon increased lifespan, however deck shows almost too much data to understand what they're actually doing. early stage with convoluted stories; not a lot of funding and unclear if they'll survive to get to EFL</v>
      </c>
      <c r="M311" s="103" t="str">
        <f t="array" aca="1" ref="M311" ca="1">INDEX(Team,MATCH(A311,'Key Metrics'!B:B,0))</f>
        <v>Man, Man</v>
      </c>
      <c r="N311" s="99" t="str">
        <f t="array" aca="1" ref="N311" ca="1">IF(INDEX('Key Metrics'!F:F,MATCH(A311,'Key Metrics'!B:B,0))="Woman","Yes","")</f>
        <v/>
      </c>
      <c r="O311" s="99" t="str">
        <f t="shared" ca="1" si="2"/>
        <v/>
      </c>
      <c r="P311" s="104">
        <f t="array" ref="P311">INDEX(Referral,MATCH(A311,Name,0))</f>
        <v>0</v>
      </c>
      <c r="Q311" s="104">
        <f t="array" aca="1" ref="Q311" ca="1">IF(INDEX(NYUAfillType,MATCH(A311,'Key Metrics'!B:B,0))="Other (please specify)",INDEX('Key Metrics'!N:N,MATCH(A311,'Key Metrics'!B:B,0)),INDEX(NYUAfillType,MATCH(A311,'Key Metrics'!B:B,0)))</f>
        <v>0</v>
      </c>
      <c r="R311" s="105" t="str">
        <f t="array" aca="1" ref="R311" ca="1">IF(INDEX('Key Metrics'!Q:Q,MATCH(A311,'Key Metrics'!B:B,0))="No","",INDEX('Key Metrics'!Q:Q,MATCH(A311,'Key Metrics'!B:B,0)))</f>
        <v/>
      </c>
      <c r="S311" s="106" t="str">
        <f t="shared" si="3"/>
        <v>Invite</v>
      </c>
      <c r="T311" s="107" t="s">
        <v>18</v>
      </c>
      <c r="U311" s="107" t="b">
        <v>0</v>
      </c>
      <c r="V311" s="107" t="b">
        <v>0</v>
      </c>
      <c r="W311" s="107" t="b">
        <v>0</v>
      </c>
      <c r="X311" s="103"/>
      <c r="Y311" s="110" t="str">
        <f t="array" ref="Y311">INDEX('LS Shortlist'!U:U,MATCH(A311,'LS Shortlist'!B:B,0))</f>
        <v>Invite</v>
      </c>
    </row>
    <row r="312" spans="1:25" ht="55" hidden="1">
      <c r="A312" s="109" t="s">
        <v>371</v>
      </c>
      <c r="B312" s="86" t="str">
        <f t="array" ref="B312">INDEX(Interview,MATCH(A312,Name,0))</f>
        <v>Invite</v>
      </c>
      <c r="C312" s="86" t="str">
        <f t="array" ref="C312">INDEX(Track,MATCH(A312,Name,0))</f>
        <v>Deep Tech</v>
      </c>
      <c r="D312" s="87">
        <f t="array" ref="D312">INDEX(Score,MATCH(A312,Name,0))</f>
        <v>4.25</v>
      </c>
      <c r="E312" s="88">
        <f t="array" aca="1" ref="E312" ca="1">INDEX(Date,MATCH(A312,Name,0))</f>
        <v>44791</v>
      </c>
      <c r="F312" s="86" t="s">
        <v>13305</v>
      </c>
      <c r="G312" s="86" t="s">
        <v>13325</v>
      </c>
      <c r="H312" s="86" t="str">
        <f t="array" ref="H312">IFERROR(INDEX('2022-2023 Third Reviews'!K:K,MATCH(A312,'2022-2023 Third Reviews'!C:C,0)),"")</f>
        <v/>
      </c>
      <c r="I312" s="89" t="s">
        <v>11246</v>
      </c>
      <c r="J312" s="89" t="s">
        <v>11247</v>
      </c>
      <c r="K312" s="89" t="str">
        <f t="array" ref="K312">IFERROR(INDEX('2022-2023 Third Reviews'!L:L,MATCH(A312,'2022-2023 Third Reviews'!C:C,0)),"")</f>
        <v/>
      </c>
      <c r="L312" s="90">
        <f t="array" ref="L312">INDEX(AppNotes,MATCH(A312,Name,0))</f>
        <v>0</v>
      </c>
      <c r="M312" s="91" t="str">
        <f t="array" aca="1" ref="M312" ca="1">INDEX(Team,MATCH(A312,'Key Metrics'!B:B,0))</f>
        <v>Woman, Man</v>
      </c>
      <c r="N312" s="87" t="str">
        <f t="array" aca="1" ref="N312" ca="1">IF(INDEX('Key Metrics'!F:F,MATCH(A312,'Key Metrics'!B:B,0))="Woman","Yes","")</f>
        <v>Yes</v>
      </c>
      <c r="O312" s="87" t="str">
        <f t="shared" ca="1" si="2"/>
        <v>Yes</v>
      </c>
      <c r="P312" s="92" t="str">
        <f t="array" ref="P312">INDEX(Referral,MATCH(A312,Name,0))</f>
        <v>DEEPAK HEGDE, Endless Frontier Labs &amp; MORTEZA AHMADI, Qidni Labs</v>
      </c>
      <c r="Q312" s="92">
        <f t="array" aca="1" ref="Q312" ca="1">IF(INDEX(NYUAfillType,MATCH(A312,'Key Metrics'!B:B,0))="Other (please specify)",INDEX('Key Metrics'!N:N,MATCH(A312,'Key Metrics'!B:B,0)),INDEX(NYUAfillType,MATCH(A312,'Key Metrics'!B:B,0)))</f>
        <v>0</v>
      </c>
      <c r="R312" s="93" t="str">
        <f t="array" aca="1" ref="R312" ca="1">IF(INDEX('Key Metrics'!Q:Q,MATCH(A312,'Key Metrics'!B:B,0))="No","",INDEX('Key Metrics'!Q:Q,MATCH(A312,'Key Metrics'!B:B,0)))</f>
        <v/>
      </c>
      <c r="S312" s="94" t="str">
        <f t="shared" si="3"/>
        <v>WaitList</v>
      </c>
      <c r="T312" s="95" t="s">
        <v>22</v>
      </c>
      <c r="U312" s="95" t="b">
        <v>1</v>
      </c>
      <c r="V312" s="95" t="b">
        <v>0</v>
      </c>
      <c r="W312" s="95" t="b">
        <v>0</v>
      </c>
      <c r="X312" s="96"/>
      <c r="Y312" s="94" t="str">
        <f t="array" ref="Y312">INDEX('DT Short List'!F:F,MATCH(A312,'DT Short List'!A:A,0))</f>
        <v>Waitlist</v>
      </c>
    </row>
    <row r="313" spans="1:25" ht="44" hidden="1">
      <c r="A313" s="97" t="s">
        <v>372</v>
      </c>
      <c r="B313" s="98" t="str">
        <f t="array" ref="B313">INDEX(Interview,MATCH(A313,Name,0))</f>
        <v>Invite</v>
      </c>
      <c r="C313" s="98" t="str">
        <f t="array" ref="C313">INDEX(Track,MATCH(A313,Name,0))</f>
        <v>Deep Tech</v>
      </c>
      <c r="D313" s="99">
        <f t="array" ref="D313">INDEX(Score,MATCH(A313,Name,0))</f>
        <v>4</v>
      </c>
      <c r="E313" s="100">
        <f t="array" aca="1" ref="E313" ca="1">INDEX(Date,MATCH(A313,Name,0))</f>
        <v>44776</v>
      </c>
      <c r="F313" s="98" t="s">
        <v>13305</v>
      </c>
      <c r="G313" s="98" t="s">
        <v>13332</v>
      </c>
      <c r="H313" s="98" t="str">
        <f t="array" aca="1" ref="H313" ca="1">IFERROR(INDEX('2022-2023 Third Reviews'!K:K,MATCH(A313,'2022-2023 Third Reviews'!C:C,0)),"")</f>
        <v>Nick Schmandt
1</v>
      </c>
      <c r="I313" s="101" t="s">
        <v>9995</v>
      </c>
      <c r="J313" s="101" t="s">
        <v>10178</v>
      </c>
      <c r="K313" s="101" t="str">
        <f t="array" aca="1" ref="K313" ca="1">IFERROR(INDEX('2022-2023 Third Reviews'!L:L,MATCH(A313,'2022-2023 Third Reviews'!C:C,0)),"")</f>
        <v>This is a cool idea and it's great they have government funding, but they are not going to get anywhere near a working product any time soon.</v>
      </c>
      <c r="L313" s="102" t="str">
        <f t="array" ref="L313">INDEX(AppNotes,MATCH(A313,Name,0))</f>
        <v>Potentially remove from interview list; very comparable to other companies</v>
      </c>
      <c r="M313" s="103" t="str">
        <f t="array" aca="1" ref="M313" ca="1">INDEX(Team,MATCH(A313,'Key Metrics'!B:B,0))</f>
        <v>Man, Man, Man</v>
      </c>
      <c r="N313" s="99" t="str">
        <f t="array" aca="1" ref="N313" ca="1">IF(INDEX('Key Metrics'!F:F,MATCH(A313,'Key Metrics'!B:B,0))="Woman","Yes","")</f>
        <v/>
      </c>
      <c r="O313" s="99" t="str">
        <f t="shared" ca="1" si="2"/>
        <v/>
      </c>
      <c r="P313" s="104">
        <f t="array" ref="P313">INDEX(Referral,MATCH(A313,Name,0))</f>
        <v>0</v>
      </c>
      <c r="Q313" s="104">
        <f t="array" aca="1" ref="Q313" ca="1">IF(INDEX(NYUAfillType,MATCH(A313,'Key Metrics'!B:B,0))="Other (please specify)",INDEX('Key Metrics'!N:N,MATCH(A313,'Key Metrics'!B:B,0)),INDEX(NYUAfillType,MATCH(A313,'Key Metrics'!B:B,0)))</f>
        <v>0</v>
      </c>
      <c r="R313" s="105" t="str">
        <f t="array" aca="1" ref="R313" ca="1">IF(INDEX('Key Metrics'!Q:Q,MATCH(A313,'Key Metrics'!B:B,0))="No","",INDEX('Key Metrics'!Q:Q,MATCH(A313,'Key Metrics'!B:B,0)))</f>
        <v>Yes</v>
      </c>
      <c r="S313" s="106" t="str">
        <f t="shared" si="3"/>
        <v>WaitList</v>
      </c>
      <c r="T313" s="107" t="s">
        <v>22</v>
      </c>
      <c r="U313" s="107" t="b">
        <v>1</v>
      </c>
      <c r="V313" s="107" t="b">
        <v>0</v>
      </c>
      <c r="W313" s="107" t="b">
        <v>0</v>
      </c>
      <c r="X313" s="108"/>
      <c r="Y313" s="106" t="str">
        <f t="array" ref="Y313">INDEX('DT Short List'!F:F,MATCH(A313,'DT Short List'!A:A,0))</f>
        <v>Waitlist</v>
      </c>
    </row>
    <row r="314" spans="1:25" ht="77" hidden="1">
      <c r="A314" s="109" t="s">
        <v>373</v>
      </c>
      <c r="B314" s="86" t="str">
        <f t="array" ref="B314">INDEX(Interview,MATCH(A314,Name,0))</f>
        <v>Invite</v>
      </c>
      <c r="C314" s="86" t="str">
        <f t="array" ref="C314">INDEX(Track,MATCH(A314,Name,0))</f>
        <v>Deep Tech</v>
      </c>
      <c r="D314" s="87">
        <f t="array" ref="D314">INDEX(Score,MATCH(A314,Name,0))</f>
        <v>3</v>
      </c>
      <c r="E314" s="88">
        <f t="array" aca="1" ref="E314" ca="1">INDEX(Date,MATCH(A314,Name,0))</f>
        <v>44789</v>
      </c>
      <c r="F314" s="86" t="s">
        <v>13313</v>
      </c>
      <c r="G314" s="86" t="s">
        <v>13397</v>
      </c>
      <c r="H314" s="86" t="str">
        <f t="array" aca="1" ref="H314" ca="1">IFERROR(INDEX('2022-2023 Third Reviews'!K:K,MATCH(A314,'2022-2023 Third Reviews'!C:C,0)),"")</f>
        <v>Nick Schmandt
4</v>
      </c>
      <c r="I314" s="89" t="s">
        <v>10342</v>
      </c>
      <c r="J314" s="89" t="s">
        <v>10343</v>
      </c>
      <c r="K314" s="89" t="str">
        <f t="array" aca="1" ref="K314" ca="1">IFERROR(INDEX('2022-2023 Third Reviews'!L:L,MATCH(A314,'2022-2023 Third Reviews'!C:C,0)),"")</f>
        <v>They have great revenue and customer retention, however they seem to be small scale, and it may be challenging to ramp up in such a competitive marketspace. Also potentially an issue for elderly to use a device like this.</v>
      </c>
      <c r="L314" s="90" t="str">
        <f t="array" ref="L314">INDEX(AppNotes,MATCH(A314,Name,0))</f>
        <v>change to DT; has 49K/month in revenue, has shown adherence improvement; 95% retention rates in users; forbes 30u30 founders, but not big ties to the field; sold on amazon; as of 2023 they think they can reimburse clinicians; app leans digital tech, but box leans deep tech;</v>
      </c>
      <c r="M314" s="91" t="str">
        <f t="array" aca="1" ref="M314" ca="1">INDEX(Team,MATCH(A314,'Key Metrics'!B:B,0))</f>
        <v>Woman, Man, Man</v>
      </c>
      <c r="N314" s="87" t="str">
        <f t="array" aca="1" ref="N314" ca="1">IF(INDEX('Key Metrics'!F:F,MATCH(A314,'Key Metrics'!B:B,0))="Woman","Yes","")</f>
        <v>Yes</v>
      </c>
      <c r="O314" s="87" t="str">
        <f t="shared" ca="1" si="2"/>
        <v>Yes</v>
      </c>
      <c r="P314" s="92" t="str">
        <f t="array" ref="P314">INDEX(Referral,MATCH(A314,Name,0))</f>
        <v>Chris Mosher</v>
      </c>
      <c r="Q314" s="92">
        <f t="array" aca="1" ref="Q314" ca="1">IF(INDEX(NYUAfillType,MATCH(A314,'Key Metrics'!B:B,0))="Other (please specify)",INDEX('Key Metrics'!N:N,MATCH(A314,'Key Metrics'!B:B,0)),INDEX(NYUAfillType,MATCH(A314,'Key Metrics'!B:B,0)))</f>
        <v>0</v>
      </c>
      <c r="R314" s="93" t="str">
        <f t="array" aca="1" ref="R314" ca="1">IF(INDEX('Key Metrics'!Q:Q,MATCH(A314,'Key Metrics'!B:B,0))="No","",INDEX('Key Metrics'!Q:Q,MATCH(A314,'Key Metrics'!B:B,0)))</f>
        <v/>
      </c>
      <c r="S314" s="94" t="str">
        <f t="shared" si="3"/>
        <v>WaitList</v>
      </c>
      <c r="T314" s="95" t="s">
        <v>22</v>
      </c>
      <c r="U314" s="95" t="b">
        <v>1</v>
      </c>
      <c r="V314" s="95" t="b">
        <v>0</v>
      </c>
      <c r="W314" s="95" t="b">
        <v>0</v>
      </c>
      <c r="X314" s="96"/>
      <c r="Y314" s="94" t="str">
        <f t="array" ref="Y314">INDEX('DT Short List'!F:F,MATCH(A314,'DT Short List'!A:A,0))</f>
        <v>Waitlist</v>
      </c>
    </row>
    <row r="315" spans="1:25" ht="66" hidden="1">
      <c r="A315" s="97" t="s">
        <v>374</v>
      </c>
      <c r="B315" s="98" t="str">
        <f t="array" ref="B315">INDEX(Interview,MATCH(A315,Name,0))</f>
        <v>Revisit</v>
      </c>
      <c r="C315" s="98" t="str">
        <f t="array" ref="C315">INDEX(Track,MATCH(A315,Name,0))</f>
        <v>Life Sciences</v>
      </c>
      <c r="D315" s="99">
        <f t="array" ref="D315">INDEX(Score,MATCH(A315,Name,0))</f>
        <v>3</v>
      </c>
      <c r="E315" s="100">
        <f t="array" aca="1" ref="E315" ca="1">INDEX(Date,MATCH(A315,Name,0))</f>
        <v>44782</v>
      </c>
      <c r="F315" s="98" t="s">
        <v>13343</v>
      </c>
      <c r="G315" s="98" t="s">
        <v>13314</v>
      </c>
      <c r="H315" s="98" t="str">
        <f t="array" aca="1" ref="H315" ca="1">IFERROR(INDEX('2022-2023 Third Reviews'!K:K,MATCH(A315,'2022-2023 Third Reviews'!C:C,0)),"")</f>
        <v>Nick Schmandt
4</v>
      </c>
      <c r="I315" s="101" t="s">
        <v>9838</v>
      </c>
      <c r="J315" s="101" t="s">
        <v>11422</v>
      </c>
      <c r="K315" s="101" t="str">
        <f t="array" aca="1" ref="K315" ca="1">IFERROR(INDEX('2022-2023 Third Reviews'!L:L,MATCH(A315,'2022-2023 Third Reviews'!C:C,0)),"")</f>
        <v>While this is a very innovative product, they do not address the fundamental issue behind the material, namely its instability. They have raised a lot of money, but a lot of it is from grants, not normal seed funding. While the team is highly competent, they are heavily academic. This one is a tough call.</v>
      </c>
      <c r="L315" s="102" t="str">
        <f t="array" ref="L315">INDEX(AppNotes,MATCH(A315,Name,0))</f>
        <v>interviewed last year; drug discovery based in MRNA delivery. uses NCI tech, not necessarily their own tech. Precision in delivery is what makes the company unique, but the tech is not theirs. complete pivot from their app last year; previously acquired by J&amp;J, strong team overall; low scored in interviews, did not seem coachable and lacked roadmap/strategy. no growth from last year in terms of interview feedback</v>
      </c>
      <c r="M315" s="103" t="str">
        <f t="array" aca="1" ref="M315" ca="1">INDEX(Team,MATCH(A315,'Key Metrics'!B:B,0))</f>
        <v>Man, Man, Man</v>
      </c>
      <c r="N315" s="99" t="str">
        <f t="array" aca="1" ref="N315" ca="1">IF(INDEX('Key Metrics'!F:F,MATCH(A315,'Key Metrics'!B:B,0))="Woman","Yes","")</f>
        <v/>
      </c>
      <c r="O315" s="99" t="str">
        <f t="shared" ca="1" si="2"/>
        <v/>
      </c>
      <c r="P315" s="104">
        <f t="array" ref="P315">INDEX(Referral,MATCH(A315,Name,0))</f>
        <v>0</v>
      </c>
      <c r="Q315" s="104">
        <f t="array" aca="1" ref="Q315" ca="1">IF(INDEX(NYUAfillType,MATCH(A315,'Key Metrics'!B:B,0))="Other (please specify)",INDEX('Key Metrics'!N:N,MATCH(A315,'Key Metrics'!B:B,0)),INDEX(NYUAfillType,MATCH(A315,'Key Metrics'!B:B,0)))</f>
        <v>0</v>
      </c>
      <c r="R315" s="105" t="str">
        <f t="array" aca="1" ref="R315" ca="1">IF(INDEX('Key Metrics'!Q:Q,MATCH(A315,'Key Metrics'!B:B,0))="No","",INDEX('Key Metrics'!Q:Q,MATCH(A315,'Key Metrics'!B:B,0)))</f>
        <v>Yes</v>
      </c>
      <c r="S315" s="106" t="str">
        <f t="shared" si="3"/>
        <v>Special Reject</v>
      </c>
      <c r="T315" s="107" t="s">
        <v>23</v>
      </c>
      <c r="U315" s="107" t="b">
        <v>0</v>
      </c>
      <c r="V315" s="107" t="b">
        <v>1</v>
      </c>
      <c r="W315" s="107" t="b">
        <v>0</v>
      </c>
      <c r="X315" s="103"/>
      <c r="Y315" s="110" t="str">
        <f t="array" ref="Y315">INDEX('LS Shortlist'!U:U,MATCH(A315,'LS Shortlist'!B:B,0))</f>
        <v>Special Reject</v>
      </c>
    </row>
    <row r="316" spans="1:25" ht="44" hidden="1">
      <c r="A316" s="109" t="s">
        <v>375</v>
      </c>
      <c r="B316" s="86" t="str">
        <f t="array" ref="B316">INDEX(Interview,MATCH(A316,Name,0))</f>
        <v>Invite</v>
      </c>
      <c r="C316" s="86" t="str">
        <f t="array" ref="C316">INDEX(Track,MATCH(A316,Name,0))</f>
        <v>Deep Tech</v>
      </c>
      <c r="D316" s="87">
        <f t="array" ref="D316">INDEX(Score,MATCH(A316,Name,0))</f>
        <v>3.5</v>
      </c>
      <c r="E316" s="88">
        <f t="array" aca="1" ref="E316" ca="1">INDEX(Date,MATCH(A316,Name,0))</f>
        <v>44782</v>
      </c>
      <c r="F316" s="86" t="s">
        <v>13305</v>
      </c>
      <c r="G316" s="86" t="s">
        <v>13398</v>
      </c>
      <c r="H316" s="86" t="str">
        <f t="array" aca="1" ref="H316" ca="1">IFERROR(INDEX('2022-2023 Third Reviews'!K:K,MATCH(A316,'2022-2023 Third Reviews'!C:C,0)),"")</f>
        <v>John McDonald
2</v>
      </c>
      <c r="I316" s="89" t="s">
        <v>11201</v>
      </c>
      <c r="J316" s="89" t="s">
        <v>11202</v>
      </c>
      <c r="K316" s="89">
        <f t="array" aca="1" ref="K316" ca="1">IFERROR(INDEX('2022-2023 Third Reviews'!L:L,MATCH(A316,'2022-2023 Third Reviews'!C:C,0)),"")</f>
        <v>0</v>
      </c>
      <c r="L316" s="90">
        <f t="array" ref="L316">INDEX(AppNotes,MATCH(A316,Name,0))</f>
        <v>0</v>
      </c>
      <c r="M316" s="91" t="str">
        <f t="array" aca="1" ref="M316" ca="1">INDEX(Team,MATCH(A316,'Key Metrics'!B:B,0))</f>
        <v>Man, Man</v>
      </c>
      <c r="N316" s="87" t="str">
        <f t="array" aca="1" ref="N316" ca="1">IF(INDEX('Key Metrics'!F:F,MATCH(A316,'Key Metrics'!B:B,0))="Woman","Yes","")</f>
        <v/>
      </c>
      <c r="O316" s="87" t="str">
        <f t="shared" ca="1" si="2"/>
        <v/>
      </c>
      <c r="P316" s="92" t="str">
        <f t="array" ref="P316">INDEX(Referral,MATCH(A316,Name,0))</f>
        <v>Khoa Ma</v>
      </c>
      <c r="Q316" s="92">
        <f t="array" aca="1" ref="Q316" ca="1">IF(INDEX(NYUAfillType,MATCH(A316,'Key Metrics'!B:B,0))="Other (please specify)",INDEX('Key Metrics'!N:N,MATCH(A316,'Key Metrics'!B:B,0)),INDEX(NYUAfillType,MATCH(A316,'Key Metrics'!B:B,0)))</f>
        <v>0</v>
      </c>
      <c r="R316" s="93" t="str">
        <f t="array" aca="1" ref="R316" ca="1">IF(INDEX('Key Metrics'!Q:Q,MATCH(A316,'Key Metrics'!B:B,0))="No","",INDEX('Key Metrics'!Q:Q,MATCH(A316,'Key Metrics'!B:B,0)))</f>
        <v/>
      </c>
      <c r="S316" s="94" t="str">
        <f t="shared" si="3"/>
        <v>WaitList</v>
      </c>
      <c r="T316" s="95" t="s">
        <v>22</v>
      </c>
      <c r="U316" s="95" t="b">
        <v>1</v>
      </c>
      <c r="V316" s="95" t="b">
        <v>0</v>
      </c>
      <c r="W316" s="95" t="b">
        <v>0</v>
      </c>
      <c r="X316" s="96"/>
      <c r="Y316" s="94" t="str">
        <f t="array" ref="Y316">INDEX('DT Short List'!F:F,MATCH(A316,'DT Short List'!A:A,0))</f>
        <v>Waitlist</v>
      </c>
    </row>
    <row r="317" spans="1:25" ht="28" hidden="1">
      <c r="A317" s="97" t="s">
        <v>376</v>
      </c>
      <c r="B317" s="98" t="str">
        <f t="array" ref="B317">INDEX(Interview,MATCH(A317,Name,0))</f>
        <v>Invite</v>
      </c>
      <c r="C317" s="98" t="str">
        <f t="array" ref="C317">INDEX(Track,MATCH(A317,Name,0))</f>
        <v>Deep Tech</v>
      </c>
      <c r="D317" s="99">
        <f t="array" ref="D317">INDEX(Score,MATCH(A317,Name,0))</f>
        <v>4</v>
      </c>
      <c r="E317" s="100">
        <f t="array" aca="1" ref="E317" ca="1">INDEX(Date,MATCH(A317,Name,0))</f>
        <v>44776</v>
      </c>
      <c r="F317" s="98" t="s">
        <v>13305</v>
      </c>
      <c r="G317" s="98" t="s">
        <v>13321</v>
      </c>
      <c r="H317" s="98" t="str">
        <f t="array" aca="1" ref="H317" ca="1">IFERROR(INDEX('2022-2023 Third Reviews'!K:K,MATCH(A317,'2022-2023 Third Reviews'!C:C,0)),"")</f>
        <v>Nick Schmandt
2</v>
      </c>
      <c r="I317" s="101" t="s">
        <v>10020</v>
      </c>
      <c r="J317" s="101" t="s">
        <v>10021</v>
      </c>
      <c r="K317" s="101" t="str">
        <f t="array" aca="1" ref="K317" ca="1">IFERROR(INDEX('2022-2023 Third Reviews'!L:L,MATCH(A317,'2022-2023 Third Reviews'!C:C,0)),"")</f>
        <v>Adressable market is very limited, and the entire team is two people who are in a relationship.</v>
      </c>
      <c r="L317" s="102" t="str">
        <f t="array" ref="L317">INDEX(AppNotes,MATCH(A317,Name,0))</f>
        <v>Move to dit khoa will f/u with ads</v>
      </c>
      <c r="M317" s="103" t="str">
        <f t="array" aca="1" ref="M317" ca="1">INDEX(Team,MATCH(A317,'Key Metrics'!B:B,0))</f>
        <v>Woman, Man</v>
      </c>
      <c r="N317" s="99" t="str">
        <f t="array" aca="1" ref="N317" ca="1">IF(INDEX('Key Metrics'!F:F,MATCH(A317,'Key Metrics'!B:B,0))="Woman","Yes","")</f>
        <v>Yes</v>
      </c>
      <c r="O317" s="99" t="str">
        <f t="shared" ca="1" si="2"/>
        <v>Yes</v>
      </c>
      <c r="P317" s="104" t="str">
        <f t="array" ref="P317">INDEX(Referral,MATCH(A317,Name,0))</f>
        <v>Scott Roman from Whiteshark Management</v>
      </c>
      <c r="Q317" s="104">
        <f t="array" aca="1" ref="Q317" ca="1">IF(INDEX(NYUAfillType,MATCH(A317,'Key Metrics'!B:B,0))="Other (please specify)",INDEX('Key Metrics'!N:N,MATCH(A317,'Key Metrics'!B:B,0)),INDEX(NYUAfillType,MATCH(A317,'Key Metrics'!B:B,0)))</f>
        <v>0</v>
      </c>
      <c r="R317" s="105" t="str">
        <f t="array" aca="1" ref="R317" ca="1">IF(INDEX('Key Metrics'!Q:Q,MATCH(A317,'Key Metrics'!B:B,0))="No","",INDEX('Key Metrics'!Q:Q,MATCH(A317,'Key Metrics'!B:B,0)))</f>
        <v/>
      </c>
      <c r="S317" s="106" t="str">
        <f t="shared" si="3"/>
        <v>WaitList</v>
      </c>
      <c r="T317" s="107" t="s">
        <v>22</v>
      </c>
      <c r="U317" s="107" t="b">
        <v>1</v>
      </c>
      <c r="V317" s="107" t="b">
        <v>0</v>
      </c>
      <c r="W317" s="107" t="b">
        <v>0</v>
      </c>
      <c r="X317" s="108"/>
      <c r="Y317" s="106" t="str">
        <f t="array" ref="Y317">INDEX('DT Short List'!F:F,MATCH(A317,'DT Short List'!A:A,0))</f>
        <v>Waitlist</v>
      </c>
    </row>
    <row r="318" spans="1:25" ht="112" hidden="1">
      <c r="A318" s="109" t="s">
        <v>377</v>
      </c>
      <c r="B318" s="86" t="str">
        <f t="array" ref="B318">INDEX(Interview,MATCH(A318,Name,0))</f>
        <v>Revisit</v>
      </c>
      <c r="C318" s="86" t="str">
        <f t="array" ref="C318">INDEX(Track,MATCH(A318,Name,0))</f>
        <v>Life Sciences</v>
      </c>
      <c r="D318" s="87">
        <f t="array" ref="D318">INDEX(Score,MATCH(A318,Name,0))</f>
        <v>4</v>
      </c>
      <c r="E318" s="88">
        <f t="array" aca="1" ref="E318" ca="1">INDEX(Date,MATCH(A318,Name,0))</f>
        <v>44791</v>
      </c>
      <c r="F318" s="86" t="s">
        <v>13315</v>
      </c>
      <c r="G318" s="86" t="s">
        <v>13320</v>
      </c>
      <c r="H318" s="86" t="str">
        <f t="array" aca="1" ref="H318" ca="1">IFERROR(INDEX('2022-2023 Third Reviews'!K:K,MATCH(A318,'2022-2023 Third Reviews'!C:C,0)),"")</f>
        <v>Joshua Rubnitz
4</v>
      </c>
      <c r="I318" s="89" t="s">
        <v>10265</v>
      </c>
      <c r="J318" s="89" t="s">
        <v>9857</v>
      </c>
      <c r="K318" s="89" t="str">
        <f t="array" aca="1" ref="K318" ca="1">IFERROR(INDEX('2022-2023 Third Reviews'!L:L,MATCH(A318,'2022-2023 Third Reviews'!C:C,0)),"")</f>
        <v>Team has much expertise in the field and has recently brought on a business expert. The solution to the problem has been proven clinically. There are some strategic questions that an investor would naturally ask that have not been answered in the application or the pitch. Not clear if the problem can be monetized effectively. Not sure if the team has granular and effective outlook on their growth strategy or the pricing of the product that would win market share. Could be a good opportunity for EFL to support a team with strategic insight.</v>
      </c>
      <c r="L318" s="90" t="str">
        <f t="array" ref="L318">INDEX(AppNotes,MATCH(A318,Name,0))</f>
        <v>for unhealing wounds (months to years-long) creating membrane from patient blood plasma/platelets; some validation data, but small studies (17 people in venous leg ulcers) (5 in diabetic foot ulcers); downside, needs to be done individualized per patient; no patent, but old company; currently running validation with 200 people; process is common, how unique or differentiated is this company</v>
      </c>
      <c r="M318" s="91" t="str">
        <f t="array" aca="1" ref="M318" ca="1">INDEX(Team,MATCH(A318,'Key Metrics'!B:B,0))</f>
        <v>Prefer not to respond, Prefer not to respond, Prefer not to respond, Prefer not to respond, Prefer not to respond, Prefer not to respond</v>
      </c>
      <c r="N318" s="87" t="str">
        <f t="array" aca="1" ref="N318" ca="1">IF(INDEX('Key Metrics'!F:F,MATCH(A318,'Key Metrics'!B:B,0))="Woman","Yes","")</f>
        <v/>
      </c>
      <c r="O318" s="87" t="str">
        <f t="shared" ca="1" si="2"/>
        <v/>
      </c>
      <c r="P318" s="92" t="str">
        <f t="array" ref="P318">INDEX(Referral,MATCH(A318,Name,0))</f>
        <v>My wife graduated from NYU with a Masters in Social Work degree. She suggested I look into whether NYU had any programs to assist me with our business.</v>
      </c>
      <c r="Q318" s="92">
        <f t="array" aca="1" ref="Q318" ca="1">IF(INDEX(NYUAfillType,MATCH(A318,'Key Metrics'!B:B,0))="Other (please specify)",INDEX('Key Metrics'!N:N,MATCH(A318,'Key Metrics'!B:B,0)),INDEX(NYUAfillType,MATCH(A318,'Key Metrics'!B:B,0)))</f>
        <v>0</v>
      </c>
      <c r="R318" s="93" t="str">
        <f t="array" aca="1" ref="R318" ca="1">IF(INDEX('Key Metrics'!Q:Q,MATCH(A318,'Key Metrics'!B:B,0))="No","",INDEX('Key Metrics'!Q:Q,MATCH(A318,'Key Metrics'!B:B,0)))</f>
        <v/>
      </c>
      <c r="S318" s="94" t="str">
        <f t="shared" si="3"/>
        <v>Special Reject</v>
      </c>
      <c r="T318" s="95" t="s">
        <v>23</v>
      </c>
      <c r="U318" s="95" t="b">
        <v>0</v>
      </c>
      <c r="V318" s="95" t="b">
        <v>1</v>
      </c>
      <c r="W318" s="95" t="b">
        <v>0</v>
      </c>
      <c r="X318" s="91"/>
      <c r="Y318" s="111" t="str">
        <f t="array" ref="Y318">INDEX('LS Shortlist'!U:U,MATCH(A318,'LS Shortlist'!B:B,0))</f>
        <v>Special Reject</v>
      </c>
    </row>
    <row r="319" spans="1:25" ht="56" hidden="1">
      <c r="A319" s="97" t="s">
        <v>378</v>
      </c>
      <c r="B319" s="98" t="str">
        <f t="array" ref="B319">INDEX(Interview,MATCH(A319,Name,0))</f>
        <v>Revisit/ Cluster</v>
      </c>
      <c r="C319" s="98" t="str">
        <f t="array" ref="C319">INDEX(Track,MATCH(A319,Name,0))</f>
        <v>Life Sciences</v>
      </c>
      <c r="D319" s="99">
        <f t="array" ref="D319">INDEX(Score,MATCH(A319,Name,0))</f>
        <v>3.75</v>
      </c>
      <c r="E319" s="100">
        <f t="array" aca="1" ref="E319" ca="1">INDEX(Date,MATCH(A319,Name,0))</f>
        <v>44797</v>
      </c>
      <c r="F319" s="98" t="s">
        <v>13342</v>
      </c>
      <c r="G319" s="98" t="s">
        <v>13320</v>
      </c>
      <c r="H319" s="98" t="str">
        <f t="array" ref="H319">IFERROR(INDEX('2022-2023 Third Reviews'!K:K,MATCH(A319,'2022-2023 Third Reviews'!C:C,0)),"")</f>
        <v/>
      </c>
      <c r="I319" s="101" t="s">
        <v>9865</v>
      </c>
      <c r="J319" s="101" t="s">
        <v>9866</v>
      </c>
      <c r="K319" s="101" t="str">
        <f t="array" ref="K319">IFERROR(INDEX('2022-2023 Third Reviews'!L:L,MATCH(A319,'2022-2023 Third Reviews'!C:C,0)),"")</f>
        <v/>
      </c>
      <c r="L319" s="102" t="str">
        <f t="array" ref="L319">INDEX(AppNotes,MATCH(A319,Name,0))</f>
        <v>Cancer Dx; proof of concept study with 95% sensitivity; two patents pending; data was not explained well in terms of their quantum-optics use;</v>
      </c>
      <c r="M319" s="103" t="str">
        <f t="array" aca="1" ref="M319" ca="1">INDEX(Team,MATCH(A319,'Key Metrics'!B:B,0))</f>
        <v>Man, Man, Man, Man</v>
      </c>
      <c r="N319" s="99" t="str">
        <f t="array" aca="1" ref="N319" ca="1">IF(INDEX('Key Metrics'!F:F,MATCH(A319,'Key Metrics'!B:B,0))="Woman","Yes","")</f>
        <v/>
      </c>
      <c r="O319" s="99" t="str">
        <f t="shared" ca="1" si="2"/>
        <v/>
      </c>
      <c r="P319" s="104" t="str">
        <f t="array" ref="P319">INDEX(Referral,MATCH(A319,Name,0))</f>
        <v>Albert Sheu, NYU Stern MBA 2003 &amp; Alberto Pagliarini NYU Stern MBA 2005 Alumni</v>
      </c>
      <c r="Q319" s="104">
        <f t="array" aca="1" ref="Q319" ca="1">IF(INDEX(NYUAfillType,MATCH(A319,'Key Metrics'!B:B,0))="Other (please specify)",INDEX('Key Metrics'!N:N,MATCH(A319,'Key Metrics'!B:B,0)),INDEX(NYUAfillType,MATCH(A319,'Key Metrics'!B:B,0)))</f>
        <v>0</v>
      </c>
      <c r="R319" s="105" t="str">
        <f t="array" aca="1" ref="R319" ca="1">IF(INDEX('Key Metrics'!Q:Q,MATCH(A319,'Key Metrics'!B:B,0))="No","",INDEX('Key Metrics'!Q:Q,MATCH(A319,'Key Metrics'!B:B,0)))</f>
        <v/>
      </c>
      <c r="S319" s="106" t="str">
        <f t="shared" si="3"/>
        <v>Special Reject</v>
      </c>
      <c r="T319" s="107" t="s">
        <v>23</v>
      </c>
      <c r="U319" s="107" t="b">
        <v>0</v>
      </c>
      <c r="V319" s="107" t="b">
        <v>1</v>
      </c>
      <c r="W319" s="107" t="b">
        <v>0</v>
      </c>
      <c r="X319" s="103"/>
      <c r="Y319" s="110" t="str">
        <f t="array" ref="Y319">INDEX('LS Shortlist'!U:U,MATCH(A319,'LS Shortlist'!B:B,0))</f>
        <v>Special Reject</v>
      </c>
    </row>
    <row r="320" spans="1:25" ht="77" hidden="1">
      <c r="A320" s="109" t="s">
        <v>379</v>
      </c>
      <c r="B320" s="86" t="str">
        <f t="array" ref="B320">INDEX(Interview,MATCH(A320,Name,0))</f>
        <v>Revisit/ Cluster</v>
      </c>
      <c r="C320" s="86" t="str">
        <f t="array" ref="C320">INDEX(Track,MATCH(A320,Name,0))</f>
        <v>Deep Tech</v>
      </c>
      <c r="D320" s="87">
        <f t="array" ref="D320">INDEX(Score,MATCH(A320,Name,0))</f>
        <v>4</v>
      </c>
      <c r="E320" s="88">
        <f t="array" aca="1" ref="E320" ca="1">INDEX(Date,MATCH(A320,Name,0))</f>
        <v>44796</v>
      </c>
      <c r="F320" s="86" t="s">
        <v>13319</v>
      </c>
      <c r="G320" s="86" t="s">
        <v>13314</v>
      </c>
      <c r="H320" s="86" t="str">
        <f t="array" ref="H320">IFERROR(INDEX('2022-2023 Third Reviews'!K:K,MATCH(A320,'2022-2023 Third Reviews'!C:C,0)),"")</f>
        <v/>
      </c>
      <c r="I320" s="89" t="s">
        <v>10029</v>
      </c>
      <c r="J320" s="89" t="s">
        <v>10030</v>
      </c>
      <c r="K320" s="89" t="str">
        <f t="array" ref="K320">IFERROR(INDEX('2022-2023 Third Reviews'!L:L,MATCH(A320,'2022-2023 Third Reviews'!C:C,0)),"")</f>
        <v/>
      </c>
      <c r="L320" s="90" t="str">
        <f t="array" ref="L320">INDEX(AppNotes,MATCH(A320,Name,0))</f>
        <v>interview LY; 4 before interview last year, KM and MF interviewed; similar to last year app, but has shwon some expansion;</v>
      </c>
      <c r="M320" s="91" t="str">
        <f t="array" aca="1" ref="M320" ca="1">INDEX(Team,MATCH(A320,'Key Metrics'!B:B,0))</f>
        <v>Man, Man</v>
      </c>
      <c r="N320" s="87" t="str">
        <f t="array" aca="1" ref="N320" ca="1">IF(INDEX('Key Metrics'!F:F,MATCH(A320,'Key Metrics'!B:B,0))="Woman","Yes","")</f>
        <v/>
      </c>
      <c r="O320" s="87" t="str">
        <f t="shared" ca="1" si="2"/>
        <v/>
      </c>
      <c r="P320" s="92">
        <f t="array" ref="P320">INDEX(Referral,MATCH(A320,Name,0))</f>
        <v>0</v>
      </c>
      <c r="Q320" s="92">
        <f t="array" aca="1" ref="Q320" ca="1">IF(INDEX(NYUAfillType,MATCH(A320,'Key Metrics'!B:B,0))="Other (please specify)",INDEX('Key Metrics'!N:N,MATCH(A320,'Key Metrics'!B:B,0)),INDEX(NYUAfillType,MATCH(A320,'Key Metrics'!B:B,0)))</f>
        <v>0</v>
      </c>
      <c r="R320" s="93" t="str">
        <f t="array" aca="1" ref="R320" ca="1">IF(INDEX('Key Metrics'!Q:Q,MATCH(A320,'Key Metrics'!B:B,0))="No","",INDEX('Key Metrics'!Q:Q,MATCH(A320,'Key Metrics'!B:B,0)))</f>
        <v/>
      </c>
      <c r="S320" s="94" t="str">
        <f t="shared" si="3"/>
        <v>WaitList</v>
      </c>
      <c r="T320" s="95" t="s">
        <v>22</v>
      </c>
      <c r="U320" s="95" t="b">
        <v>1</v>
      </c>
      <c r="V320" s="95" t="b">
        <v>0</v>
      </c>
      <c r="W320" s="95" t="b">
        <v>0</v>
      </c>
      <c r="X320" s="96"/>
      <c r="Y320" s="94" t="str">
        <f t="array" ref="Y320">INDEX('DT Short List'!F:F,MATCH(A320,'DT Short List'!A:A,0))</f>
        <v>Waitlist</v>
      </c>
    </row>
    <row r="321" spans="1:25" ht="28" hidden="1">
      <c r="A321" s="97" t="s">
        <v>380</v>
      </c>
      <c r="B321" s="98" t="str">
        <f t="array" ref="B321">INDEX(Interview,MATCH(A321,Name,0))</f>
        <v>Invite</v>
      </c>
      <c r="C321" s="98" t="str">
        <f t="array" ref="C321">INDEX(Track,MATCH(A321,Name,0))</f>
        <v>Life Sciences</v>
      </c>
      <c r="D321" s="99">
        <f t="array" ref="D321">INDEX(Score,MATCH(A321,Name,0))</f>
        <v>4</v>
      </c>
      <c r="E321" s="100">
        <f t="array" aca="1" ref="E321" ca="1">INDEX(Date,MATCH(A321,Name,0))</f>
        <v>44796</v>
      </c>
      <c r="F321" s="98" t="s">
        <v>13304</v>
      </c>
      <c r="G321" s="98" t="s">
        <v>13320</v>
      </c>
      <c r="H321" s="98" t="str">
        <f t="array" ref="H321">IFERROR(INDEX('2022-2023 Third Reviews'!K:K,MATCH(A321,'2022-2023 Third Reviews'!C:C,0)),"")</f>
        <v/>
      </c>
      <c r="I321" s="101" t="s">
        <v>10784</v>
      </c>
      <c r="J321" s="101" t="s">
        <v>9896</v>
      </c>
      <c r="K321" s="101" t="str">
        <f t="array" ref="K321">IFERROR(INDEX('2022-2023 Third Reviews'!L:L,MATCH(A321,'2022-2023 Third Reviews'!C:C,0)),"")</f>
        <v/>
      </c>
      <c r="L321" s="102">
        <f t="array" ref="L321">INDEX(AppNotes,MATCH(A321,Name,0))</f>
        <v>0</v>
      </c>
      <c r="M321" s="103" t="str">
        <f t="array" aca="1" ref="M321" ca="1">INDEX(Team,MATCH(A321,'Key Metrics'!B:B,0))</f>
        <v>Man, Man</v>
      </c>
      <c r="N321" s="99" t="str">
        <f t="array" aca="1" ref="N321" ca="1">IF(INDEX('Key Metrics'!F:F,MATCH(A321,'Key Metrics'!B:B,0))="Woman","Yes","")</f>
        <v/>
      </c>
      <c r="O321" s="99" t="str">
        <f t="shared" ca="1" si="2"/>
        <v/>
      </c>
      <c r="P321" s="104">
        <f t="array" ref="P321">INDEX(Referral,MATCH(A321,Name,0))</f>
        <v>0</v>
      </c>
      <c r="Q321" s="104">
        <f t="array" aca="1" ref="Q321" ca="1">IF(INDEX(NYUAfillType,MATCH(A321,'Key Metrics'!B:B,0))="Other (please specify)",INDEX('Key Metrics'!N:N,MATCH(A321,'Key Metrics'!B:B,0)),INDEX(NYUAfillType,MATCH(A321,'Key Metrics'!B:B,0)))</f>
        <v>0</v>
      </c>
      <c r="R321" s="105" t="str">
        <f t="array" aca="1" ref="R321" ca="1">IF(INDEX('Key Metrics'!Q:Q,MATCH(A321,'Key Metrics'!B:B,0))="No","",INDEX('Key Metrics'!Q:Q,MATCH(A321,'Key Metrics'!B:B,0)))</f>
        <v/>
      </c>
      <c r="S321" s="106" t="str">
        <f t="shared" si="3"/>
        <v>Special Reject</v>
      </c>
      <c r="T321" s="107" t="s">
        <v>23</v>
      </c>
      <c r="U321" s="107" t="b">
        <v>0</v>
      </c>
      <c r="V321" s="107" t="b">
        <v>1</v>
      </c>
      <c r="W321" s="107" t="b">
        <v>0</v>
      </c>
      <c r="X321" s="103"/>
      <c r="Y321" s="110" t="str">
        <f t="array" ref="Y321">INDEX('LS Shortlist'!U:U,MATCH(A321,'LS Shortlist'!B:B,0))</f>
        <v>Special Reject</v>
      </c>
    </row>
    <row r="322" spans="1:25" ht="33" hidden="1">
      <c r="A322" s="109" t="s">
        <v>381</v>
      </c>
      <c r="B322" s="86" t="str">
        <f t="array" ref="B322">INDEX(Interview,MATCH(A322,Name,0))</f>
        <v>Invite</v>
      </c>
      <c r="C322" s="86" t="str">
        <f t="array" ref="C322">INDEX(Track,MATCH(A322,Name,0))</f>
        <v>Deep Tech</v>
      </c>
      <c r="D322" s="87">
        <f t="array" ref="D322">INDEX(Score,MATCH(A322,Name,0))</f>
        <v>3.75</v>
      </c>
      <c r="E322" s="88">
        <f t="array" aca="1" ref="E322" ca="1">INDEX(Date,MATCH(A322,Name,0))</f>
        <v>44784</v>
      </c>
      <c r="F322" s="86" t="s">
        <v>13308</v>
      </c>
      <c r="G322" s="86" t="s">
        <v>13307</v>
      </c>
      <c r="H322" s="86" t="str">
        <f t="array" ref="H322">IFERROR(INDEX('2022-2023 Third Reviews'!K:K,MATCH(A322,'2022-2023 Third Reviews'!C:C,0)),"")</f>
        <v/>
      </c>
      <c r="I322" s="89" t="s">
        <v>10699</v>
      </c>
      <c r="J322" s="89" t="s">
        <v>10700</v>
      </c>
      <c r="K322" s="89" t="str">
        <f t="array" ref="K322">IFERROR(INDEX('2022-2023 Third Reviews'!L:L,MATCH(A322,'2022-2023 Third Reviews'!C:C,0)),"")</f>
        <v/>
      </c>
      <c r="L322" s="90" t="str">
        <f t="array" ref="L322">INDEX(AppNotes,MATCH(A322,Name,0))</f>
        <v>Needs more validation in real world, however strong idea in a needed market (broken food); improves second life of food on shelves rather than being trashed; 600K raise; primarily focus in Europe rn, EFL would help expand into US</v>
      </c>
      <c r="M322" s="91" t="str">
        <f t="array" aca="1" ref="M322" ca="1">INDEX(Team,MATCH(A322,'Key Metrics'!B:B,0))</f>
        <v>Man, Woman, Man</v>
      </c>
      <c r="N322" s="87" t="str">
        <f t="array" aca="1" ref="N322" ca="1">IF(INDEX('Key Metrics'!F:F,MATCH(A322,'Key Metrics'!B:B,0))="Woman","Yes","")</f>
        <v/>
      </c>
      <c r="O322" s="87" t="str">
        <f t="shared" ca="1" si="2"/>
        <v>Yes</v>
      </c>
      <c r="P322" s="92">
        <f t="array" ref="P322">INDEX(Referral,MATCH(A322,Name,0))</f>
        <v>0</v>
      </c>
      <c r="Q322" s="92">
        <f t="array" aca="1" ref="Q322" ca="1">IF(INDEX(NYUAfillType,MATCH(A322,'Key Metrics'!B:B,0))="Other (please specify)",INDEX('Key Metrics'!N:N,MATCH(A322,'Key Metrics'!B:B,0)),INDEX(NYUAfillType,MATCH(A322,'Key Metrics'!B:B,0)))</f>
        <v>0</v>
      </c>
      <c r="R322" s="93" t="str">
        <f t="array" aca="1" ref="R322" ca="1">IF(INDEX('Key Metrics'!Q:Q,MATCH(A322,'Key Metrics'!B:B,0))="No","",INDEX('Key Metrics'!Q:Q,MATCH(A322,'Key Metrics'!B:B,0)))</f>
        <v/>
      </c>
      <c r="S322" s="94" t="str">
        <f t="shared" si="3"/>
        <v>WaitList</v>
      </c>
      <c r="T322" s="95" t="s">
        <v>22</v>
      </c>
      <c r="U322" s="95" t="b">
        <v>0</v>
      </c>
      <c r="V322" s="95" t="b">
        <v>0</v>
      </c>
      <c r="W322" s="95" t="b">
        <v>0</v>
      </c>
      <c r="X322" s="96"/>
      <c r="Y322" s="94" t="str">
        <f t="array" ref="Y322">INDEX('DT Short List'!F:F,MATCH(A322,'DT Short List'!A:A,0))</f>
        <v>Waitlist</v>
      </c>
    </row>
    <row r="323" spans="1:25" ht="33" hidden="1">
      <c r="A323" s="97" t="s">
        <v>382</v>
      </c>
      <c r="B323" s="98" t="str">
        <f t="array" ref="B323">INDEX(Interview,MATCH(A323,Name,0))</f>
        <v>Invite</v>
      </c>
      <c r="C323" s="98" t="str">
        <f t="array" ref="C323">INDEX(Track,MATCH(A323,Name,0))</f>
        <v>Deep Tech</v>
      </c>
      <c r="D323" s="99">
        <f t="array" ref="D323">INDEX(Score,MATCH(A323,Name,0))</f>
        <v>4</v>
      </c>
      <c r="E323" s="100">
        <f t="array" aca="1" ref="E323" ca="1">INDEX(Date,MATCH(A323,Name,0))</f>
        <v>44782</v>
      </c>
      <c r="F323" s="98" t="s">
        <v>13305</v>
      </c>
      <c r="G323" s="98" t="s">
        <v>13321</v>
      </c>
      <c r="H323" s="98" t="str">
        <f t="array" aca="1" ref="H323" ca="1">IFERROR(INDEX('2022-2023 Third Reviews'!K:K,MATCH(A323,'2022-2023 Third Reviews'!C:C,0)),"")</f>
        <v>Ahmed Bahgat
4</v>
      </c>
      <c r="I323" s="101" t="s">
        <v>10509</v>
      </c>
      <c r="J323" s="123" t="s">
        <v>481</v>
      </c>
      <c r="K323" s="101" t="str">
        <f t="array" aca="1" ref="K323" ca="1">IFERROR(INDEX('2022-2023 Third Reviews'!L:L,MATCH(A323,'2022-2023 Third Reviews'!C:C,0)),"")</f>
        <v xml:space="preserve">Strong team executing a strong vision. While focused on fundraising, EFL can support with how best to scale through business model review and more in-depth market research to develop a refined target market. </v>
      </c>
      <c r="L323" s="102">
        <f t="array" ref="L323">INDEX(AppNotes,MATCH(A323,Name,0))</f>
        <v>0</v>
      </c>
      <c r="M323" s="103" t="str">
        <f t="array" aca="1" ref="M323" ca="1">INDEX(Team,MATCH(A323,'Key Metrics'!B:B,0))</f>
        <v>Man, Man, Man</v>
      </c>
      <c r="N323" s="99" t="str">
        <f t="array" aca="1" ref="N323" ca="1">IF(INDEX('Key Metrics'!F:F,MATCH(A323,'Key Metrics'!B:B,0))="Woman","Yes","")</f>
        <v/>
      </c>
      <c r="O323" s="99" t="str">
        <f t="shared" ca="1" si="2"/>
        <v/>
      </c>
      <c r="P323" s="104" t="str">
        <f t="array" ref="P323">INDEX(Referral,MATCH(A323,Name,0))</f>
        <v>Anna Mora, Entrepreneur First</v>
      </c>
      <c r="Q323" s="104">
        <f t="array" aca="1" ref="Q323" ca="1">IF(INDEX(NYUAfillType,MATCH(A323,'Key Metrics'!B:B,0))="Other (please specify)",INDEX('Key Metrics'!N:N,MATCH(A323,'Key Metrics'!B:B,0)),INDEX(NYUAfillType,MATCH(A323,'Key Metrics'!B:B,0)))</f>
        <v>0</v>
      </c>
      <c r="R323" s="105" t="str">
        <f t="array" aca="1" ref="R323" ca="1">IF(INDEX('Key Metrics'!Q:Q,MATCH(A323,'Key Metrics'!B:B,0))="No","",INDEX('Key Metrics'!Q:Q,MATCH(A323,'Key Metrics'!B:B,0)))</f>
        <v/>
      </c>
      <c r="S323" s="106" t="str">
        <f t="shared" si="3"/>
        <v>WaitList</v>
      </c>
      <c r="T323" s="107" t="s">
        <v>22</v>
      </c>
      <c r="U323" s="107" t="b">
        <v>0</v>
      </c>
      <c r="V323" s="107" t="b">
        <v>0</v>
      </c>
      <c r="W323" s="107" t="b">
        <v>0</v>
      </c>
      <c r="X323" s="108"/>
      <c r="Y323" s="106" t="str">
        <f t="array" ref="Y323">INDEX('DT Short List'!F:F,MATCH(A323,'DT Short List'!A:A,0))</f>
        <v>Waitlist</v>
      </c>
    </row>
    <row r="324" spans="1:25" ht="55" hidden="1">
      <c r="A324" s="109" t="s">
        <v>383</v>
      </c>
      <c r="B324" s="86" t="str">
        <f t="array" ref="B324">INDEX(Interview,MATCH(A324,Name,0))</f>
        <v>Revisit</v>
      </c>
      <c r="C324" s="86" t="str">
        <f t="array" ref="C324">INDEX(Track,MATCH(A324,Name,0))</f>
        <v>Life Sciences</v>
      </c>
      <c r="D324" s="87">
        <f t="array" ref="D324">INDEX(Score,MATCH(A324,Name,0))</f>
        <v>3.25</v>
      </c>
      <c r="E324" s="88">
        <f t="array" aca="1" ref="E324" ca="1">INDEX(Date,MATCH(A324,Name,0))</f>
        <v>44791</v>
      </c>
      <c r="F324" s="86" t="s">
        <v>13342</v>
      </c>
      <c r="G324" s="86" t="s">
        <v>13323</v>
      </c>
      <c r="H324" s="86" t="str">
        <f t="array" aca="1" ref="H324" ca="1">IFERROR(INDEX('2022-2023 Third Reviews'!K:K,MATCH(A324,'2022-2023 Third Reviews'!C:C,0)),"")</f>
        <v>Joshua Rubnitz
1</v>
      </c>
      <c r="I324" s="89" t="s">
        <v>11138</v>
      </c>
      <c r="J324" s="89" t="s">
        <v>9913</v>
      </c>
      <c r="K324" s="89" t="str">
        <f t="array" aca="1" ref="K324" ca="1">IFERROR(INDEX('2022-2023 Third Reviews'!L:L,MATCH(A324,'2022-2023 Third Reviews'!C:C,0)),"")</f>
        <v>The team did not put much effort into the application or market analysis. Product is just in concept form. Product is not technically differentiated.</v>
      </c>
      <c r="L324" s="90">
        <f t="array" ref="L324">INDEX(AppNotes,MATCH(A324,Name,0))</f>
        <v>0</v>
      </c>
      <c r="M324" s="91" t="str">
        <f t="array" aca="1" ref="M324" ca="1">INDEX(Team,MATCH(A324,'Key Metrics'!B:B,0))</f>
        <v>Man, Man</v>
      </c>
      <c r="N324" s="87" t="str">
        <f t="array" aca="1" ref="N324" ca="1">IF(INDEX('Key Metrics'!F:F,MATCH(A324,'Key Metrics'!B:B,0))="Woman","Yes","")</f>
        <v/>
      </c>
      <c r="O324" s="87" t="str">
        <f t="shared" ca="1" si="2"/>
        <v/>
      </c>
      <c r="P324" s="92">
        <f t="array" ref="P324">INDEX(Referral,MATCH(A324,Name,0))</f>
        <v>0</v>
      </c>
      <c r="Q324" s="92">
        <f t="array" aca="1" ref="Q324" ca="1">IF(INDEX(NYUAfillType,MATCH(A324,'Key Metrics'!B:B,0))="Other (please specify)",INDEX('Key Metrics'!N:N,MATCH(A324,'Key Metrics'!B:B,0)),INDEX(NYUAfillType,MATCH(A324,'Key Metrics'!B:B,0)))</f>
        <v>0</v>
      </c>
      <c r="R324" s="93" t="str">
        <f t="array" aca="1" ref="R324" ca="1">IF(INDEX('Key Metrics'!Q:Q,MATCH(A324,'Key Metrics'!B:B,0))="No","",INDEX('Key Metrics'!Q:Q,MATCH(A324,'Key Metrics'!B:B,0)))</f>
        <v/>
      </c>
      <c r="S324" s="94" t="str">
        <f t="shared" si="3"/>
        <v>Special Reject</v>
      </c>
      <c r="T324" s="95" t="s">
        <v>23</v>
      </c>
      <c r="U324" s="95" t="b">
        <v>0</v>
      </c>
      <c r="V324" s="95" t="b">
        <v>1</v>
      </c>
      <c r="W324" s="95" t="b">
        <v>0</v>
      </c>
      <c r="X324" s="91"/>
      <c r="Y324" s="111" t="str">
        <f t="array" ref="Y324">INDEX('LS Shortlist'!U:U,MATCH(A324,'LS Shortlist'!B:B,0))</f>
        <v>Special Reject</v>
      </c>
    </row>
    <row r="325" spans="1:25" ht="33" hidden="1">
      <c r="A325" s="97" t="s">
        <v>384</v>
      </c>
      <c r="B325" s="98" t="str">
        <f t="array" ref="B325">INDEX(Interview,MATCH(A325,Name,0))</f>
        <v>Revisit/ Cluster</v>
      </c>
      <c r="C325" s="98" t="str">
        <f t="array" ref="C325">INDEX(Track,MATCH(A325,Name,0))</f>
        <v>Deep Tech</v>
      </c>
      <c r="D325" s="99">
        <f t="array" ref="D325">INDEX(Score,MATCH(A325,Name,0))</f>
        <v>3.75</v>
      </c>
      <c r="E325" s="100">
        <f t="array" aca="1" ref="E325" ca="1">INDEX(Date,MATCH(A325,Name,0))</f>
        <v>44782</v>
      </c>
      <c r="F325" s="98" t="s">
        <v>13308</v>
      </c>
      <c r="G325" s="98" t="s">
        <v>13332</v>
      </c>
      <c r="H325" s="98" t="str">
        <f t="array" aca="1" ref="H325" ca="1">IFERROR(INDEX('2022-2023 Third Reviews'!K:K,MATCH(A325,'2022-2023 Third Reviews'!C:C,0)),"")</f>
        <v>Ahmed Bahgat
4</v>
      </c>
      <c r="I325" s="101" t="s">
        <v>10055</v>
      </c>
      <c r="J325" s="101" t="s">
        <v>10056</v>
      </c>
      <c r="K325" s="101" t="str">
        <f t="array" aca="1" ref="K325" ca="1">IFERROR(INDEX('2022-2023 Third Reviews'!L:L,MATCH(A325,'2022-2023 Third Reviews'!C:C,0)),"")</f>
        <v xml:space="preserve">Strong team looking to EFL for mentorship and partnerships in cancer diagnostics. They listed issues that they believe EFL could help them with including product market fit refinement, business model refinement, among others. Overall, well positioned to benefit from EFL.  </v>
      </c>
      <c r="L325" s="102" t="str">
        <f t="array" ref="L325">INDEX(AppNotes,MATCH(A325,Name,0))</f>
        <v>a lot of rocket ones this year, revisit and cluster</v>
      </c>
      <c r="M325" s="103" t="str">
        <f t="array" aca="1" ref="M325" ca="1">INDEX(Team,MATCH(A325,'Key Metrics'!B:B,0))</f>
        <v>Other, Man</v>
      </c>
      <c r="N325" s="99" t="str">
        <f t="array" aca="1" ref="N325" ca="1">IF(INDEX('Key Metrics'!F:F,MATCH(A325,'Key Metrics'!B:B,0))="Woman","Yes","")</f>
        <v/>
      </c>
      <c r="O325" s="99" t="str">
        <f t="shared" ca="1" si="2"/>
        <v/>
      </c>
      <c r="P325" s="104" t="str">
        <f t="array" ref="P325">INDEX(Referral,MATCH(A325,Name,0))</f>
        <v>Deepak Hegde</v>
      </c>
      <c r="Q325" s="104">
        <f t="array" aca="1" ref="Q325" ca="1">IF(INDEX(NYUAfillType,MATCH(A325,'Key Metrics'!B:B,0))="Other (please specify)",INDEX('Key Metrics'!N:N,MATCH(A325,'Key Metrics'!B:B,0)),INDEX(NYUAfillType,MATCH(A325,'Key Metrics'!B:B,0)))</f>
        <v>0</v>
      </c>
      <c r="R325" s="105" t="str">
        <f t="array" aca="1" ref="R325" ca="1">IF(INDEX('Key Metrics'!Q:Q,MATCH(A325,'Key Metrics'!B:B,0))="No","",INDEX('Key Metrics'!Q:Q,MATCH(A325,'Key Metrics'!B:B,0)))</f>
        <v/>
      </c>
      <c r="S325" s="106" t="str">
        <f t="shared" si="3"/>
        <v>WaitList</v>
      </c>
      <c r="T325" s="107" t="s">
        <v>22</v>
      </c>
      <c r="U325" s="107" t="b">
        <v>1</v>
      </c>
      <c r="V325" s="107" t="b">
        <v>0</v>
      </c>
      <c r="W325" s="107" t="b">
        <v>0</v>
      </c>
      <c r="X325" s="108"/>
      <c r="Y325" s="106" t="str">
        <f t="array" ref="Y325">INDEX('DT Short List'!F:F,MATCH(A325,'DT Short List'!A:A,0))</f>
        <v>Waitlist</v>
      </c>
    </row>
    <row r="326" spans="1:25" ht="66" hidden="1">
      <c r="A326" s="109" t="s">
        <v>385</v>
      </c>
      <c r="B326" s="86" t="str">
        <f t="array" ref="B326">INDEX(Interview,MATCH(A326,Name,0))</f>
        <v>Invite</v>
      </c>
      <c r="C326" s="86" t="str">
        <f t="array" ref="C326">INDEX(Track,MATCH(A326,Name,0))</f>
        <v>Life Sciences</v>
      </c>
      <c r="D326" s="87">
        <f t="array" ref="D326">INDEX(Score,MATCH(A326,Name,0))</f>
        <v>4</v>
      </c>
      <c r="E326" s="88">
        <f t="array" aca="1" ref="E326" ca="1">INDEX(Date,MATCH(A326,Name,0))</f>
        <v>44776</v>
      </c>
      <c r="F326" s="86" t="s">
        <v>13319</v>
      </c>
      <c r="G326" s="86" t="s">
        <v>13320</v>
      </c>
      <c r="H326" s="86" t="str">
        <f t="array" aca="1" ref="H326" ca="1">IFERROR(INDEX('2022-2023 Third Reviews'!K:K,MATCH(A326,'2022-2023 Third Reviews'!C:C,0)),"")</f>
        <v>Joshua Rubnitz
2</v>
      </c>
      <c r="I326" s="89" t="s">
        <v>9920</v>
      </c>
      <c r="J326" s="89" t="s">
        <v>9921</v>
      </c>
      <c r="K326" s="89" t="str">
        <f t="array" aca="1" ref="K326" ca="1">IFERROR(INDEX('2022-2023 Third Reviews'!L:L,MATCH(A326,'2022-2023 Third Reviews'!C:C,0)),"")</f>
        <v>This app would allow for amateur traders to copy the portfolio of professional traders.
Provides a service that consumers would likely have a moderate to high WTP for, as it promises good financial returns.
Very little or no new tech. Tech team is not built out yet.</v>
      </c>
      <c r="L326" s="90" t="str">
        <f t="array" ref="L326">INDEX(AppNotes,MATCH(A326,Name,0))</f>
        <v>Fully integrated lab data system; nyu and Columbia have similar systems that dominate market, but this company is still pulling in 15k/month despite this. Track change to digital tech</v>
      </c>
      <c r="M326" s="91" t="str">
        <f t="array" aca="1" ref="M326" ca="1">INDEX(Team,MATCH(A326,'Key Metrics'!B:B,0))</f>
        <v>Man, Man</v>
      </c>
      <c r="N326" s="87" t="str">
        <f t="array" aca="1" ref="N326" ca="1">IF(INDEX('Key Metrics'!F:F,MATCH(A326,'Key Metrics'!B:B,0))="Woman","Yes","")</f>
        <v/>
      </c>
      <c r="O326" s="87" t="str">
        <f t="shared" ca="1" si="2"/>
        <v/>
      </c>
      <c r="P326" s="92">
        <f t="array" ref="P326">INDEX(Referral,MATCH(A326,Name,0))</f>
        <v>0</v>
      </c>
      <c r="Q326" s="92">
        <f t="array" aca="1" ref="Q326" ca="1">IF(INDEX(NYUAfillType,MATCH(A326,'Key Metrics'!B:B,0))="Other (please specify)",INDEX('Key Metrics'!N:N,MATCH(A326,'Key Metrics'!B:B,0)),INDEX(NYUAfillType,MATCH(A326,'Key Metrics'!B:B,0)))</f>
        <v>0</v>
      </c>
      <c r="R326" s="93" t="str">
        <f t="array" aca="1" ref="R326" ca="1">IF(INDEX('Key Metrics'!Q:Q,MATCH(A326,'Key Metrics'!B:B,0))="No","",INDEX('Key Metrics'!Q:Q,MATCH(A326,'Key Metrics'!B:B,0)))</f>
        <v/>
      </c>
      <c r="S326" s="94" t="str">
        <f t="shared" si="3"/>
        <v>Special Reject</v>
      </c>
      <c r="T326" s="95" t="s">
        <v>23</v>
      </c>
      <c r="U326" s="95" t="b">
        <v>0</v>
      </c>
      <c r="V326" s="95" t="b">
        <v>1</v>
      </c>
      <c r="W326" s="95" t="b">
        <v>0</v>
      </c>
      <c r="X326" s="91"/>
      <c r="Y326" s="111" t="str">
        <f t="array" ref="Y326">INDEX('LS Shortlist'!U:U,MATCH(A326,'LS Shortlist'!B:B,0))</f>
        <v>Special Reject</v>
      </c>
    </row>
    <row r="327" spans="1:25" ht="55" hidden="1">
      <c r="A327" s="97" t="s">
        <v>386</v>
      </c>
      <c r="B327" s="98" t="str">
        <f t="array" ref="B327">INDEX(Interview,MATCH(A327,Name,0))</f>
        <v>Revisit/ Cluster</v>
      </c>
      <c r="C327" s="98" t="str">
        <f t="array" ref="C327">INDEX(Track,MATCH(A327,Name,0))</f>
        <v>Deep Tech</v>
      </c>
      <c r="D327" s="99">
        <f t="array" ref="D327">INDEX(Score,MATCH(A327,Name,0))</f>
        <v>3.75</v>
      </c>
      <c r="E327" s="100">
        <f t="array" aca="1" ref="E327" ca="1">INDEX(Date,MATCH(A327,Name,0))</f>
        <v>44784</v>
      </c>
      <c r="F327" s="98" t="s">
        <v>13308</v>
      </c>
      <c r="G327" s="98" t="s">
        <v>13332</v>
      </c>
      <c r="H327" s="98" t="str">
        <f t="array" aca="1" ref="H327" ca="1">IFERROR(INDEX('2022-2023 Third Reviews'!K:K,MATCH(A327,'2022-2023 Third Reviews'!C:C,0)),"")</f>
        <v>Joshua Rubnitz
5</v>
      </c>
      <c r="I327" s="101" t="s">
        <v>10380</v>
      </c>
      <c r="J327" s="101" t="s">
        <v>10065</v>
      </c>
      <c r="K327" s="101" t="str">
        <f t="array" aca="1" ref="K327" ca="1">IFERROR(INDEX('2022-2023 Third Reviews'!L:L,MATCH(A327,'2022-2023 Third Reviews'!C:C,0)),"")</f>
        <v>This is a compelling product that could prevent billions of wasted natural gas from emitting carbon into the atmosphere, and could turn the waste into a useful product. The team has generated backing from many established energy company's executives and has even brought one on board. EFL could help then generate market fit and prepare them to receive funding for a real proof of product.</v>
      </c>
      <c r="L327" s="102" t="str">
        <f t="array" ref="L327">INDEX(AppNotes,MATCH(A327,Name,0))</f>
        <v>more deviced based system; trying to tackle ischemia by delivering targeted oxygen; sort of unclear on application</v>
      </c>
      <c r="M327" s="103" t="str">
        <f t="array" aca="1" ref="M327" ca="1">INDEX(Team,MATCH(A327,'Key Metrics'!B:B,0))</f>
        <v>Man, Man</v>
      </c>
      <c r="N327" s="99" t="str">
        <f t="array" aca="1" ref="N327" ca="1">IF(INDEX('Key Metrics'!F:F,MATCH(A327,'Key Metrics'!B:B,0))="Woman","Yes","")</f>
        <v/>
      </c>
      <c r="O327" s="99" t="str">
        <f t="shared" ca="1" si="2"/>
        <v/>
      </c>
      <c r="P327" s="104">
        <f t="array" ref="P327">INDEX(Referral,MATCH(A327,Name,0))</f>
        <v>0</v>
      </c>
      <c r="Q327" s="104">
        <f t="array" aca="1" ref="Q327" ca="1">IF(INDEX(NYUAfillType,MATCH(A327,'Key Metrics'!B:B,0))="Other (please specify)",INDEX('Key Metrics'!N:N,MATCH(A327,'Key Metrics'!B:B,0)),INDEX(NYUAfillType,MATCH(A327,'Key Metrics'!B:B,0)))</f>
        <v>0</v>
      </c>
      <c r="R327" s="105" t="str">
        <f t="array" aca="1" ref="R327" ca="1">IF(INDEX('Key Metrics'!Q:Q,MATCH(A327,'Key Metrics'!B:B,0))="No","",INDEX('Key Metrics'!Q:Q,MATCH(A327,'Key Metrics'!B:B,0)))</f>
        <v/>
      </c>
      <c r="S327" s="106" t="str">
        <f t="shared" si="3"/>
        <v>WaitList</v>
      </c>
      <c r="T327" s="107" t="s">
        <v>22</v>
      </c>
      <c r="U327" s="107" t="b">
        <v>1</v>
      </c>
      <c r="V327" s="107" t="b">
        <v>0</v>
      </c>
      <c r="W327" s="107" t="b">
        <v>0</v>
      </c>
      <c r="X327" s="108"/>
      <c r="Y327" s="106" t="str">
        <f t="array" ref="Y327">INDEX('DT Short List'!F:F,MATCH(A327,'DT Short List'!A:A,0))</f>
        <v>Waitlist</v>
      </c>
    </row>
    <row r="328" spans="1:25" ht="33" hidden="1">
      <c r="A328" s="109" t="s">
        <v>387</v>
      </c>
      <c r="B328" s="86" t="str">
        <f t="array" ref="B328">INDEX(Interview,MATCH(A328,Name,0))</f>
        <v>Invite</v>
      </c>
      <c r="C328" s="86" t="str">
        <f t="array" ref="C328">INDEX(Track,MATCH(A328,Name,0))</f>
        <v>Deep Tech</v>
      </c>
      <c r="D328" s="87">
        <f t="array" ref="D328">INDEX(Score,MATCH(A328,Name,0))</f>
        <v>4</v>
      </c>
      <c r="E328" s="88">
        <f t="array" aca="1" ref="E328" ca="1">INDEX(Date,MATCH(A328,Name,0))</f>
        <v>44791</v>
      </c>
      <c r="F328" s="86" t="s">
        <v>13305</v>
      </c>
      <c r="G328" s="86" t="s">
        <v>13307</v>
      </c>
      <c r="H328" s="86" t="str">
        <f t="array" aca="1" ref="H328" ca="1">IFERROR(INDEX('2022-2023 Third Reviews'!K:K,MATCH(A328,'2022-2023 Third Reviews'!C:C,0)),"")</f>
        <v>Chris Millisits
3</v>
      </c>
      <c r="I328" s="89" t="s">
        <v>10877</v>
      </c>
      <c r="J328" s="89" t="s">
        <v>10878</v>
      </c>
      <c r="K328" s="89" t="str">
        <f t="array" aca="1" ref="K328" ca="1">IFERROR(INDEX('2022-2023 Third Reviews'!L:L,MATCH(A328,'2022-2023 Third Reviews'!C:C,0)),"")</f>
        <v>Good team to build this product. Seems to be a marginally improved product over the competition, so might not be as clean a path to market as the team thinks. In pilot, no paying customers yet.</v>
      </c>
      <c r="L328" s="90">
        <f t="array" ref="L328">INDEX(AppNotes,MATCH(A328,Name,0))</f>
        <v>0</v>
      </c>
      <c r="M328" s="91" t="str">
        <f t="array" aca="1" ref="M328" ca="1">INDEX(Team,MATCH(A328,'Key Metrics'!B:B,0))</f>
        <v>Man, Man</v>
      </c>
      <c r="N328" s="87" t="str">
        <f t="array" aca="1" ref="N328" ca="1">IF(INDEX('Key Metrics'!F:F,MATCH(A328,'Key Metrics'!B:B,0))="Woman","Yes","")</f>
        <v/>
      </c>
      <c r="O328" s="87" t="str">
        <f t="shared" ca="1" si="2"/>
        <v/>
      </c>
      <c r="P328" s="92">
        <f t="array" ref="P328">INDEX(Referral,MATCH(A328,Name,0))</f>
        <v>0</v>
      </c>
      <c r="Q328" s="92">
        <f t="array" aca="1" ref="Q328" ca="1">IF(INDEX(NYUAfillType,MATCH(A328,'Key Metrics'!B:B,0))="Other (please specify)",INDEX('Key Metrics'!N:N,MATCH(A328,'Key Metrics'!B:B,0)),INDEX(NYUAfillType,MATCH(A328,'Key Metrics'!B:B,0)))</f>
        <v>0</v>
      </c>
      <c r="R328" s="93" t="str">
        <f t="array" aca="1" ref="R328" ca="1">IF(INDEX('Key Metrics'!Q:Q,MATCH(A328,'Key Metrics'!B:B,0))="No","",INDEX('Key Metrics'!Q:Q,MATCH(A328,'Key Metrics'!B:B,0)))</f>
        <v/>
      </c>
      <c r="S328" s="94" t="str">
        <f t="shared" si="3"/>
        <v>WaitList</v>
      </c>
      <c r="T328" s="95" t="s">
        <v>22</v>
      </c>
      <c r="U328" s="95" t="b">
        <v>1</v>
      </c>
      <c r="V328" s="95" t="b">
        <v>0</v>
      </c>
      <c r="W328" s="95" t="b">
        <v>0</v>
      </c>
      <c r="X328" s="96"/>
      <c r="Y328" s="94" t="str">
        <f t="array" ref="Y328">INDEX('DT Short List'!F:F,MATCH(A328,'DT Short List'!A:A,0))</f>
        <v>Waitlist</v>
      </c>
    </row>
    <row r="329" spans="1:25" ht="66" hidden="1">
      <c r="A329" s="97" t="s">
        <v>388</v>
      </c>
      <c r="B329" s="98" t="str">
        <f t="array" ref="B329">INDEX(Interview,MATCH(A329,Name,0))</f>
        <v>Revisit/ Cluster</v>
      </c>
      <c r="C329" s="98" t="str">
        <f t="array" ref="C329">INDEX(Track,MATCH(A329,Name,0))</f>
        <v>Life Sciences</v>
      </c>
      <c r="D329" s="99">
        <f t="array" ref="D329">INDEX(Score,MATCH(A329,Name,0))</f>
        <v>3.5</v>
      </c>
      <c r="E329" s="100">
        <f t="array" aca="1" ref="E329" ca="1">INDEX(Date,MATCH(A329,Name,0))</f>
        <v>44784</v>
      </c>
      <c r="F329" s="98" t="s">
        <v>13313</v>
      </c>
      <c r="G329" s="98" t="s">
        <v>13314</v>
      </c>
      <c r="H329" s="98" t="str">
        <f t="array" ref="H329">IFERROR(INDEX('2022-2023 Third Reviews'!K:K,MATCH(A329,'2022-2023 Third Reviews'!C:C,0)),"")</f>
        <v/>
      </c>
      <c r="I329" s="101" t="s">
        <v>9928</v>
      </c>
      <c r="J329" s="101" t="s">
        <v>9929</v>
      </c>
      <c r="K329" s="101" t="str">
        <f t="array" ref="K329">IFERROR(INDEX('2022-2023 Third Reviews'!L:L,MATCH(A329,'2022-2023 Third Reviews'!C:C,0)),"")</f>
        <v/>
      </c>
      <c r="L329" s="102" t="str">
        <f t="array" ref="L329">INDEX(AppNotes,MATCH(A329,Name,0))</f>
        <v>would benefit from EFL's help in crafting a business model and planning next steps; otherwise not very novel idea, seems as if they're taking a shot in the dark for applications of science</v>
      </c>
      <c r="M329" s="103" t="str">
        <f t="array" aca="1" ref="M329" ca="1">INDEX(Team,MATCH(A329,'Key Metrics'!B:B,0))</f>
        <v>Man</v>
      </c>
      <c r="N329" s="99" t="str">
        <f t="array" aca="1" ref="N329" ca="1">IF(INDEX('Key Metrics'!F:F,MATCH(A329,'Key Metrics'!B:B,0))="Woman","Yes","")</f>
        <v/>
      </c>
      <c r="O329" s="99" t="str">
        <f t="shared" ca="1" si="2"/>
        <v/>
      </c>
      <c r="P329" s="104" t="str">
        <f t="array" ref="P329">INDEX(Referral,MATCH(A329,Name,0))</f>
        <v>Chris Mosher</v>
      </c>
      <c r="Q329" s="104">
        <f t="array" aca="1" ref="Q329" ca="1">IF(INDEX(NYUAfillType,MATCH(A329,'Key Metrics'!B:B,0))="Other (please specify)",INDEX('Key Metrics'!N:N,MATCH(A329,'Key Metrics'!B:B,0)),INDEX(NYUAfillType,MATCH(A329,'Key Metrics'!B:B,0)))</f>
        <v>0</v>
      </c>
      <c r="R329" s="105" t="str">
        <f t="array" aca="1" ref="R329" ca="1">IF(INDEX('Key Metrics'!Q:Q,MATCH(A329,'Key Metrics'!B:B,0))="No","",INDEX('Key Metrics'!Q:Q,MATCH(A329,'Key Metrics'!B:B,0)))</f>
        <v/>
      </c>
      <c r="S329" s="106" t="str">
        <f t="shared" si="3"/>
        <v>Special Reject</v>
      </c>
      <c r="T329" s="107" t="s">
        <v>23</v>
      </c>
      <c r="U329" s="107" t="b">
        <v>0</v>
      </c>
      <c r="V329" s="107" t="b">
        <v>1</v>
      </c>
      <c r="W329" s="107" t="b">
        <v>0</v>
      </c>
      <c r="X329" s="103"/>
      <c r="Y329" s="110" t="str">
        <f t="array" ref="Y329">INDEX('LS Shortlist'!U:U,MATCH(A329,'LS Shortlist'!B:B,0))</f>
        <v>Special Reject</v>
      </c>
    </row>
    <row r="330" spans="1:25" ht="44" hidden="1">
      <c r="A330" s="109" t="s">
        <v>389</v>
      </c>
      <c r="B330" s="86" t="str">
        <f t="array" ref="B330">INDEX(Interview,MATCH(A330,Name,0))</f>
        <v>Invite</v>
      </c>
      <c r="C330" s="86" t="str">
        <f t="array" ref="C330">INDEX(Track,MATCH(A330,Name,0))</f>
        <v>Deep Tech</v>
      </c>
      <c r="D330" s="87">
        <f t="array" ref="D330">INDEX(Score,MATCH(A330,Name,0))</f>
        <v>4</v>
      </c>
      <c r="E330" s="88">
        <f t="array" aca="1" ref="E330" ca="1">INDEX(Date,MATCH(A330,Name,0))</f>
        <v>44776</v>
      </c>
      <c r="F330" s="86" t="s">
        <v>13319</v>
      </c>
      <c r="G330" s="86" t="s">
        <v>13315</v>
      </c>
      <c r="H330" s="86" t="str">
        <f t="array" ref="H330">IFERROR(INDEX('2022-2023 Third Reviews'!K:K,MATCH(A330,'2022-2023 Third Reviews'!C:C,0)),"")</f>
        <v/>
      </c>
      <c r="I330" s="89" t="s">
        <v>481</v>
      </c>
      <c r="J330" s="89" t="s">
        <v>10282</v>
      </c>
      <c r="K330" s="89" t="str">
        <f t="array" ref="K330">IFERROR(INDEX('2022-2023 Third Reviews'!L:L,MATCH(A330,'2022-2023 Third Reviews'!C:C,0)),"")</f>
        <v/>
      </c>
      <c r="L330" s="90" t="str">
        <f t="array" ref="L330">INDEX(AppNotes,MATCH(A330,Name,0))</f>
        <v>ask in interview what type of product; potential DT</v>
      </c>
      <c r="M330" s="91" t="str">
        <f t="array" aca="1" ref="M330" ca="1">INDEX(Team,MATCH(A330,'Key Metrics'!B:B,0))</f>
        <v>Prefer not to respond</v>
      </c>
      <c r="N330" s="87" t="str">
        <f t="array" aca="1" ref="N330" ca="1">IF(INDEX('Key Metrics'!F:F,MATCH(A330,'Key Metrics'!B:B,0))="Woman","Yes","")</f>
        <v/>
      </c>
      <c r="O330" s="87" t="str">
        <f t="shared" ca="1" si="2"/>
        <v/>
      </c>
      <c r="P330" s="92">
        <f t="array" ref="P330">INDEX(Referral,MATCH(A330,Name,0))</f>
        <v>0</v>
      </c>
      <c r="Q330" s="92">
        <f t="array" aca="1" ref="Q330" ca="1">IF(INDEX(NYUAfillType,MATCH(A330,'Key Metrics'!B:B,0))="Other (please specify)",INDEX('Key Metrics'!N:N,MATCH(A330,'Key Metrics'!B:B,0)),INDEX(NYUAfillType,MATCH(A330,'Key Metrics'!B:B,0)))</f>
        <v>0</v>
      </c>
      <c r="R330" s="93" t="str">
        <f t="array" aca="1" ref="R330" ca="1">IF(INDEX('Key Metrics'!Q:Q,MATCH(A330,'Key Metrics'!B:B,0))="No","",INDEX('Key Metrics'!Q:Q,MATCH(A330,'Key Metrics'!B:B,0)))</f>
        <v/>
      </c>
      <c r="S330" s="94" t="str">
        <f t="shared" si="3"/>
        <v>WaitList</v>
      </c>
      <c r="T330" s="95" t="s">
        <v>22</v>
      </c>
      <c r="U330" s="95" t="b">
        <v>1</v>
      </c>
      <c r="V330" s="95" t="b">
        <v>0</v>
      </c>
      <c r="W330" s="95" t="b">
        <v>0</v>
      </c>
      <c r="X330" s="96"/>
      <c r="Y330" s="94" t="str">
        <f t="array" ref="Y330">INDEX('DT Short List'!F:F,MATCH(A330,'DT Short List'!A:A,0))</f>
        <v>Waitlist</v>
      </c>
    </row>
    <row r="331" spans="1:25" ht="33" hidden="1">
      <c r="A331" s="97" t="s">
        <v>390</v>
      </c>
      <c r="B331" s="98" t="str">
        <f t="array" ref="B331">INDEX(Interview,MATCH(A331,Name,0))</f>
        <v>Revisit/ Cluster</v>
      </c>
      <c r="C331" s="98" t="str">
        <f t="array" ref="C331">INDEX(Track,MATCH(A331,Name,0))</f>
        <v>Digital Tech</v>
      </c>
      <c r="D331" s="99">
        <f t="array" ref="D331">INDEX(Score,MATCH(A331,Name,0))</f>
        <v>2.88</v>
      </c>
      <c r="E331" s="100">
        <f t="array" aca="1" ref="E331" ca="1">INDEX(Date,MATCH(A331,Name,0))</f>
        <v>44791</v>
      </c>
      <c r="F331" s="98" t="s">
        <v>13388</v>
      </c>
      <c r="G331" s="98" t="s">
        <v>13399</v>
      </c>
      <c r="H331" s="98" t="str">
        <f t="array" ref="H331">IFERROR(INDEX('2022-2023 Third Reviews'!K:K,MATCH(A331,'2022-2023 Third Reviews'!C:C,0)),"")</f>
        <v/>
      </c>
      <c r="I331" s="101" t="s">
        <v>10585</v>
      </c>
      <c r="J331" s="101" t="s">
        <v>481</v>
      </c>
      <c r="K331" s="101" t="str">
        <f t="array" ref="K331">IFERROR(INDEX('2022-2023 Third Reviews'!L:L,MATCH(A331,'2022-2023 Third Reviews'!C:C,0)),"")</f>
        <v/>
      </c>
      <c r="L331" s="102" t="str">
        <f t="array" ref="L331">INDEX(AppNotes,MATCH(A331,Name,0))</f>
        <v>cluster with other legal tech;</v>
      </c>
      <c r="M331" s="103" t="str">
        <f t="array" aca="1" ref="M331" ca="1">INDEX(Team,MATCH(A331,'Key Metrics'!B:B,0))</f>
        <v>Man, Woman, Man</v>
      </c>
      <c r="N331" s="99" t="str">
        <f t="array" aca="1" ref="N331" ca="1">IF(INDEX('Key Metrics'!F:F,MATCH(A331,'Key Metrics'!B:B,0))="Woman","Yes","")</f>
        <v/>
      </c>
      <c r="O331" s="99" t="str">
        <f t="shared" ca="1" si="2"/>
        <v>Yes</v>
      </c>
      <c r="P331" s="104">
        <f t="array" ref="P331">INDEX(Referral,MATCH(A331,Name,0))</f>
        <v>0</v>
      </c>
      <c r="Q331" s="104">
        <f t="array" aca="1" ref="Q331" ca="1">IF(INDEX(NYUAfillType,MATCH(A331,'Key Metrics'!B:B,0))="Other (please specify)",INDEX('Key Metrics'!N:N,MATCH(A331,'Key Metrics'!B:B,0)),INDEX(NYUAfillType,MATCH(A331,'Key Metrics'!B:B,0)))</f>
        <v>0</v>
      </c>
      <c r="R331" s="105" t="str">
        <f t="array" aca="1" ref="R331" ca="1">IF(INDEX('Key Metrics'!Q:Q,MATCH(A331,'Key Metrics'!B:B,0))="No","",INDEX('Key Metrics'!Q:Q,MATCH(A331,'Key Metrics'!B:B,0)))</f>
        <v/>
      </c>
      <c r="S331" s="106" t="str">
        <f t="shared" si="3"/>
        <v>Invite Next Year</v>
      </c>
      <c r="T331" s="107" t="s">
        <v>24</v>
      </c>
      <c r="U331" s="107" t="b">
        <v>0</v>
      </c>
      <c r="V331" s="107" t="b">
        <v>0</v>
      </c>
      <c r="W331" s="107" t="b">
        <v>0</v>
      </c>
      <c r="X331" s="108"/>
      <c r="Y331" s="106">
        <f t="array" ref="Y331">INDEX('DiT - 2022-2023 Applications Re'!U:U,MATCH(A331,'DiT - 2022-2023 Applications Re'!B:B,0))</f>
        <v>0</v>
      </c>
    </row>
    <row r="332" spans="1:25" ht="77" hidden="1">
      <c r="A332" s="109" t="s">
        <v>391</v>
      </c>
      <c r="B332" s="86" t="str">
        <f t="array" ref="B332">INDEX(Interview,MATCH(A332,Name,0))</f>
        <v>Revisit</v>
      </c>
      <c r="C332" s="86" t="str">
        <f t="array" ref="C332">INDEX(Track,MATCH(A332,Name,0))</f>
        <v>Life Sciences</v>
      </c>
      <c r="D332" s="87">
        <f t="array" ref="D332">INDEX(Score,MATCH(A332,Name,0))</f>
        <v>4</v>
      </c>
      <c r="E332" s="88">
        <f t="array" aca="1" ref="E332" ca="1">INDEX(Date,MATCH(A332,Name,0))</f>
        <v>44782</v>
      </c>
      <c r="F332" s="86" t="s">
        <v>13319</v>
      </c>
      <c r="G332" s="86" t="s">
        <v>13320</v>
      </c>
      <c r="H332" s="86" t="str">
        <f t="array" ref="H332">IFERROR(INDEX('2022-2023 Third Reviews'!K:K,MATCH(A332,'2022-2023 Third Reviews'!C:C,0)),"")</f>
        <v/>
      </c>
      <c r="I332" s="89" t="s">
        <v>11385</v>
      </c>
      <c r="J332" s="89" t="s">
        <v>481</v>
      </c>
      <c r="K332" s="89" t="str">
        <f t="array" ref="K332">IFERROR(INDEX('2022-2023 Third Reviews'!L:L,MATCH(A332,'2022-2023 Third Reviews'!C:C,0)),"")</f>
        <v/>
      </c>
      <c r="L332" s="90" t="str">
        <f t="array" ref="L332">INDEX(AppNotes,MATCH(A332,Name,0))</f>
        <v>strong team and tech, but currently only has part time founders; revisit later</v>
      </c>
      <c r="M332" s="91" t="str">
        <f t="array" aca="1" ref="M332" ca="1">INDEX(Team,MATCH(A332,'Key Metrics'!B:B,0))</f>
        <v>Man, Man</v>
      </c>
      <c r="N332" s="87" t="str">
        <f t="array" aca="1" ref="N332" ca="1">IF(INDEX('Key Metrics'!F:F,MATCH(A332,'Key Metrics'!B:B,0))="Woman","Yes","")</f>
        <v/>
      </c>
      <c r="O332" s="87" t="str">
        <f t="shared" ca="1" si="2"/>
        <v/>
      </c>
      <c r="P332" s="92">
        <f t="array" ref="P332">INDEX(Referral,MATCH(A332,Name,0))</f>
        <v>0</v>
      </c>
      <c r="Q332" s="92">
        <f t="array" aca="1" ref="Q332" ca="1">IF(INDEX(NYUAfillType,MATCH(A332,'Key Metrics'!B:B,0))="Other (please specify)",INDEX('Key Metrics'!N:N,MATCH(A332,'Key Metrics'!B:B,0)),INDEX(NYUAfillType,MATCH(A332,'Key Metrics'!B:B,0)))</f>
        <v>0</v>
      </c>
      <c r="R332" s="93" t="str">
        <f t="array" aca="1" ref="R332" ca="1">IF(INDEX('Key Metrics'!Q:Q,MATCH(A332,'Key Metrics'!B:B,0))="No","",INDEX('Key Metrics'!Q:Q,MATCH(A332,'Key Metrics'!B:B,0)))</f>
        <v/>
      </c>
      <c r="S332" s="94" t="str">
        <f t="shared" si="3"/>
        <v>WaitList</v>
      </c>
      <c r="T332" s="95" t="s">
        <v>22</v>
      </c>
      <c r="U332" s="95" t="b">
        <v>1</v>
      </c>
      <c r="V332" s="95" t="b">
        <v>0</v>
      </c>
      <c r="W332" s="95" t="b">
        <v>0</v>
      </c>
      <c r="X332" s="91" t="s">
        <v>392</v>
      </c>
      <c r="Y332" s="111" t="str">
        <f t="array" ref="Y332">INDEX('LS Shortlist'!U:U,MATCH(A332,'LS Shortlist'!B:B,0))</f>
        <v>Waitlist</v>
      </c>
    </row>
    <row r="333" spans="1:25" ht="44" hidden="1">
      <c r="A333" s="97" t="s">
        <v>393</v>
      </c>
      <c r="B333" s="98" t="str">
        <f t="array" ref="B333">INDEX(Interview,MATCH(A333,Name,0))</f>
        <v>Revisit/ Cluster</v>
      </c>
      <c r="C333" s="98" t="str">
        <f t="array" ref="C333">INDEX(Track,MATCH(A333,Name,0))</f>
        <v>Deep Tech</v>
      </c>
      <c r="D333" s="99">
        <f t="array" ref="D333">INDEX(Score,MATCH(A333,Name,0))</f>
        <v>3.5</v>
      </c>
      <c r="E333" s="100">
        <f t="array" aca="1" ref="E333" ca="1">INDEX(Date,MATCH(A333,Name,0))</f>
        <v>44791</v>
      </c>
      <c r="F333" s="98" t="s">
        <v>13397</v>
      </c>
      <c r="G333" s="98" t="s">
        <v>13314</v>
      </c>
      <c r="H333" s="98" t="str">
        <f t="array" aca="1" ref="H333" ca="1">IFERROR(INDEX('2022-2023 Third Reviews'!K:K,MATCH(A333,'2022-2023 Third Reviews'!C:C,0)),"")</f>
        <v>Chris Millisits
2</v>
      </c>
      <c r="I333" s="101" t="s">
        <v>11071</v>
      </c>
      <c r="J333" s="101" t="s">
        <v>3626</v>
      </c>
      <c r="K333" s="101" t="str">
        <f t="array" aca="1" ref="K333" ca="1">IFERROR(INDEX('2022-2023 Third Reviews'!L:L,MATCH(A333,'2022-2023 Third Reviews'!C:C,0)),"")</f>
        <v>Crop management software. Limited traction. Team experience is not exceptionally relevant to this solution. Limited WTP in this space.</v>
      </c>
      <c r="L333" s="102" t="str">
        <f t="array" ref="L333">INDEX(AppNotes,MATCH(A333,Name,0))</f>
        <v>change to DT; maybe early in terms of funding; have 2 US patents;</v>
      </c>
      <c r="M333" s="103" t="str">
        <f t="array" aca="1" ref="M333" ca="1">INDEX(Team,MATCH(A333,'Key Metrics'!B:B,0))</f>
        <v>Man, Man, Man</v>
      </c>
      <c r="N333" s="99" t="str">
        <f t="array" aca="1" ref="N333" ca="1">IF(INDEX('Key Metrics'!F:F,MATCH(A333,'Key Metrics'!B:B,0))="Woman","Yes","")</f>
        <v/>
      </c>
      <c r="O333" s="99" t="str">
        <f t="shared" ca="1" si="2"/>
        <v/>
      </c>
      <c r="P333" s="104">
        <f t="array" ref="P333">INDEX(Referral,MATCH(A333,Name,0))</f>
        <v>0</v>
      </c>
      <c r="Q333" s="104">
        <f t="array" aca="1" ref="Q333" ca="1">IF(INDEX(NYUAfillType,MATCH(A333,'Key Metrics'!B:B,0))="Other (please specify)",INDEX('Key Metrics'!N:N,MATCH(A333,'Key Metrics'!B:B,0)),INDEX(NYUAfillType,MATCH(A333,'Key Metrics'!B:B,0)))</f>
        <v>0</v>
      </c>
      <c r="R333" s="105" t="str">
        <f t="array" aca="1" ref="R333" ca="1">IF(INDEX('Key Metrics'!Q:Q,MATCH(A333,'Key Metrics'!B:B,0))="No","",INDEX('Key Metrics'!Q:Q,MATCH(A333,'Key Metrics'!B:B,0)))</f>
        <v/>
      </c>
      <c r="S333" s="106" t="str">
        <f t="shared" si="3"/>
        <v>Invite Next Year</v>
      </c>
      <c r="T333" s="107" t="s">
        <v>24</v>
      </c>
      <c r="U333" s="107" t="b">
        <v>0</v>
      </c>
      <c r="V333" s="107" t="b">
        <v>0</v>
      </c>
      <c r="W333" s="107" t="b">
        <v>0</v>
      </c>
      <c r="X333" s="108"/>
      <c r="Y333" s="106" t="str">
        <f t="array" ref="Y333">INDEX('DT Short List'!F:F,MATCH(A333,'DT Short List'!A:A,0))</f>
        <v>Invite Next Year</v>
      </c>
    </row>
    <row r="334" spans="1:25" ht="33" hidden="1">
      <c r="A334" s="109" t="s">
        <v>394</v>
      </c>
      <c r="B334" s="86" t="str">
        <f t="array" ref="B334">INDEX(Interview,MATCH(A334,Name,0))</f>
        <v>Invite</v>
      </c>
      <c r="C334" s="86" t="str">
        <f t="array" ref="C334">INDEX(Track,MATCH(A334,Name,0))</f>
        <v>Life Sciences</v>
      </c>
      <c r="D334" s="87">
        <f t="array" ref="D334">INDEX(Score,MATCH(A334,Name,0))</f>
        <v>4</v>
      </c>
      <c r="E334" s="88">
        <f t="array" aca="1" ref="E334" ca="1">INDEX(Date,MATCH(A334,Name,0))</f>
        <v>44776</v>
      </c>
      <c r="F334" s="86" t="s">
        <v>13319</v>
      </c>
      <c r="G334" s="86" t="s">
        <v>13320</v>
      </c>
      <c r="H334" s="86" t="str">
        <f t="array" aca="1" ref="H334" ca="1">IFERROR(INDEX('2022-2023 Third Reviews'!K:K,MATCH(A334,'2022-2023 Third Reviews'!C:C,0)),"")</f>
        <v>Nick Schmandt
2</v>
      </c>
      <c r="I334" s="89" t="s">
        <v>9948</v>
      </c>
      <c r="J334" s="89" t="s">
        <v>481</v>
      </c>
      <c r="K334" s="89" t="str">
        <f t="array" aca="1" ref="K334" ca="1">IFERROR(INDEX('2022-2023 Third Reviews'!L:L,MATCH(A334,'2022-2023 Third Reviews'!C:C,0)),"")</f>
        <v>It's a great idea, but I just don't see the market for something like this to go large scale anytime soon. The lack of funding thus far reflects that. If other industry sponsors could be obtained, that would certainly help.</v>
      </c>
      <c r="L334" s="90">
        <f t="array" ref="L334">INDEX(AppNotes,MATCH(A334,Name,0))</f>
        <v>0</v>
      </c>
      <c r="M334" s="91" t="str">
        <f t="array" aca="1" ref="M334" ca="1">INDEX(Team,MATCH(A334,'Key Metrics'!B:B,0))</f>
        <v>Man</v>
      </c>
      <c r="N334" s="87" t="str">
        <f t="array" aca="1" ref="N334" ca="1">IF(INDEX('Key Metrics'!F:F,MATCH(A334,'Key Metrics'!B:B,0))="Woman","Yes","")</f>
        <v/>
      </c>
      <c r="O334" s="87" t="str">
        <f t="shared" ca="1" si="2"/>
        <v/>
      </c>
      <c r="P334" s="92">
        <f t="array" ref="P334">INDEX(Referral,MATCH(A334,Name,0))</f>
        <v>0</v>
      </c>
      <c r="Q334" s="92" t="str">
        <f t="array" aca="1" ref="Q334" ca="1">IF(INDEX(NYUAfillType,MATCH(A334,'Key Metrics'!B:B,0))="Other (please specify)",INDEX('Key Metrics'!N:N,MATCH(A334,'Key Metrics'!B:B,0)),INDEX(NYUAfillType,MATCH(A334,'Key Metrics'!B:B,0)))</f>
        <v>N/A</v>
      </c>
      <c r="R334" s="93" t="str">
        <f t="array" aca="1" ref="R334" ca="1">IF(INDEX('Key Metrics'!Q:Q,MATCH(A334,'Key Metrics'!B:B,0))="No","",INDEX('Key Metrics'!Q:Q,MATCH(A334,'Key Metrics'!B:B,0)))</f>
        <v>Yes</v>
      </c>
      <c r="S334" s="94" t="str">
        <f t="shared" si="3"/>
        <v>Special Reject</v>
      </c>
      <c r="T334" s="95" t="s">
        <v>23</v>
      </c>
      <c r="U334" s="95" t="b">
        <v>0</v>
      </c>
      <c r="V334" s="95" t="b">
        <v>1</v>
      </c>
      <c r="W334" s="95" t="b">
        <v>0</v>
      </c>
      <c r="X334" s="91"/>
      <c r="Y334" s="111" t="str">
        <f t="array" ref="Y334">INDEX('LS Shortlist'!U:U,MATCH(A334,'LS Shortlist'!B:B,0))</f>
        <v>Special Reject</v>
      </c>
    </row>
    <row r="335" spans="1:25" ht="42" hidden="1">
      <c r="A335" s="97" t="s">
        <v>395</v>
      </c>
      <c r="B335" s="98" t="str">
        <f t="array" ref="B335">INDEX(Interview,MATCH(A335,Name,0))</f>
        <v>Invite</v>
      </c>
      <c r="C335" s="98" t="str">
        <f t="array" ref="C335">INDEX(Track,MATCH(A335,Name,0))</f>
        <v>Life Sciences</v>
      </c>
      <c r="D335" s="99">
        <f t="array" ref="D335">INDEX(Score,MATCH(A335,Name,0))</f>
        <v>4</v>
      </c>
      <c r="E335" s="100">
        <f t="array" aca="1" ref="E335" ca="1">INDEX(Date,MATCH(A335,Name,0))</f>
        <v>44776</v>
      </c>
      <c r="F335" s="98" t="s">
        <v>13319</v>
      </c>
      <c r="G335" s="98" t="s">
        <v>13315</v>
      </c>
      <c r="H335" s="98" t="str">
        <f t="array" ref="H335">IFERROR(INDEX('2022-2023 Third Reviews'!K:K,MATCH(A335,'2022-2023 Third Reviews'!C:C,0)),"")</f>
        <v/>
      </c>
      <c r="I335" s="101" t="s">
        <v>10099</v>
      </c>
      <c r="J335" s="101" t="s">
        <v>11411</v>
      </c>
      <c r="K335" s="101" t="str">
        <f t="array" ref="K335">IFERROR(INDEX('2022-2023 Third Reviews'!L:L,MATCH(A335,'2022-2023 Third Reviews'!C:C,0)),"")</f>
        <v/>
      </c>
      <c r="L335" s="102">
        <f t="array" ref="L335">INDEX(AppNotes,MATCH(A335,Name,0))</f>
        <v>0</v>
      </c>
      <c r="M335" s="103" t="str">
        <f t="array" aca="1" ref="M335" ca="1">INDEX(Team,MATCH(A335,'Key Metrics'!B:B,0))</f>
        <v>Man, Man</v>
      </c>
      <c r="N335" s="99" t="str">
        <f t="array" aca="1" ref="N335" ca="1">IF(INDEX('Key Metrics'!F:F,MATCH(A335,'Key Metrics'!B:B,0))="Woman","Yes","")</f>
        <v/>
      </c>
      <c r="O335" s="99" t="str">
        <f t="shared" ca="1" si="2"/>
        <v/>
      </c>
      <c r="P335" s="104" t="str">
        <f t="array" ref="P335">INDEX(Referral,MATCH(A335,Name,0))</f>
        <v>Milad Riazifar, PhD, CEO of Entelexo Biotherapeutics, EFL alumnus</v>
      </c>
      <c r="Q335" s="104">
        <f t="array" aca="1" ref="Q335" ca="1">IF(INDEX(NYUAfillType,MATCH(A335,'Key Metrics'!B:B,0))="Other (please specify)",INDEX('Key Metrics'!N:N,MATCH(A335,'Key Metrics'!B:B,0)),INDEX(NYUAfillType,MATCH(A335,'Key Metrics'!B:B,0)))</f>
        <v>0</v>
      </c>
      <c r="R335" s="105" t="str">
        <f t="array" aca="1" ref="R335" ca="1">IF(INDEX('Key Metrics'!Q:Q,MATCH(A335,'Key Metrics'!B:B,0))="No","",INDEX('Key Metrics'!Q:Q,MATCH(A335,'Key Metrics'!B:B,0)))</f>
        <v/>
      </c>
      <c r="S335" s="106" t="str">
        <f t="shared" si="3"/>
        <v>WaitList</v>
      </c>
      <c r="T335" s="107" t="s">
        <v>22</v>
      </c>
      <c r="U335" s="107" t="b">
        <v>1</v>
      </c>
      <c r="V335" s="107" t="b">
        <v>0</v>
      </c>
      <c r="W335" s="107" t="b">
        <v>0</v>
      </c>
      <c r="X335" s="103" t="s">
        <v>396</v>
      </c>
      <c r="Y335" s="110" t="str">
        <f t="array" ref="Y335">INDEX('LS Shortlist'!U:U,MATCH(A335,'LS Shortlist'!B:B,0))</f>
        <v>Waitlist</v>
      </c>
    </row>
    <row r="336" spans="1:25" ht="66" hidden="1">
      <c r="A336" s="109" t="s">
        <v>397</v>
      </c>
      <c r="B336" s="86" t="str">
        <f t="array" ref="B336">INDEX(Interview,MATCH(A336,Name,0))</f>
        <v>Invite</v>
      </c>
      <c r="C336" s="86" t="str">
        <f t="array" ref="C336">INDEX(Track,MATCH(A336,Name,0))</f>
        <v>Life Sciences</v>
      </c>
      <c r="D336" s="87">
        <f t="array" ref="D336">INDEX(Score,MATCH(A336,Name,0))</f>
        <v>4</v>
      </c>
      <c r="E336" s="88">
        <f t="array" aca="1" ref="E336" ca="1">INDEX(Date,MATCH(A336,Name,0))</f>
        <v>44782</v>
      </c>
      <c r="F336" s="86" t="s">
        <v>13319</v>
      </c>
      <c r="G336" s="86" t="s">
        <v>13314</v>
      </c>
      <c r="H336" s="86" t="str">
        <f t="array" aca="1" ref="H336" ca="1">IFERROR(INDEX('2022-2023 Third Reviews'!K:K,MATCH(A336,'2022-2023 Third Reviews'!C:C,0)),"")</f>
        <v>Chris Millisits
4</v>
      </c>
      <c r="I336" s="89" t="s">
        <v>9956</v>
      </c>
      <c r="J336" s="89" t="s">
        <v>9957</v>
      </c>
      <c r="K336" s="89" t="str">
        <f t="array" aca="1" ref="K336" ca="1">IFERROR(INDEX('2022-2023 Third Reviews'!L:L,MATCH(A336,'2022-2023 Third Reviews'!C:C,0)),"")</f>
        <v>Already raised $10m+, and raising $30m+ for their Series A. Already burning $500k / month. Pre-clinical. Somewhat novel, good team experience, history of drug development.</v>
      </c>
      <c r="L336" s="90">
        <f t="array" ref="L336">INDEX(AppNotes,MATCH(A336,Name,0))</f>
        <v>0</v>
      </c>
      <c r="M336" s="91" t="str">
        <f t="array" aca="1" ref="M336" ca="1">INDEX(Team,MATCH(A336,'Key Metrics'!B:B,0))</f>
        <v>Man, Man</v>
      </c>
      <c r="N336" s="87" t="str">
        <f t="array" aca="1" ref="N336" ca="1">IF(INDEX('Key Metrics'!F:F,MATCH(A336,'Key Metrics'!B:B,0))="Woman","Yes","")</f>
        <v/>
      </c>
      <c r="O336" s="87" t="str">
        <f t="shared" ca="1" si="2"/>
        <v/>
      </c>
      <c r="P336" s="92">
        <f t="array" ref="P336">INDEX(Referral,MATCH(A336,Name,0))</f>
        <v>0</v>
      </c>
      <c r="Q336" s="92">
        <f t="array" aca="1" ref="Q336" ca="1">IF(INDEX(NYUAfillType,MATCH(A336,'Key Metrics'!B:B,0))="Other (please specify)",INDEX('Key Metrics'!N:N,MATCH(A336,'Key Metrics'!B:B,0)),INDEX(NYUAfillType,MATCH(A336,'Key Metrics'!B:B,0)))</f>
        <v>0</v>
      </c>
      <c r="R336" s="93" t="str">
        <f t="array" aca="1" ref="R336" ca="1">IF(INDEX('Key Metrics'!Q:Q,MATCH(A336,'Key Metrics'!B:B,0))="No","",INDEX('Key Metrics'!Q:Q,MATCH(A336,'Key Metrics'!B:B,0)))</f>
        <v/>
      </c>
      <c r="S336" s="94" t="str">
        <f t="shared" si="3"/>
        <v>Special Reject</v>
      </c>
      <c r="T336" s="95" t="s">
        <v>23</v>
      </c>
      <c r="U336" s="95" t="b">
        <v>0</v>
      </c>
      <c r="V336" s="95" t="b">
        <v>0</v>
      </c>
      <c r="W336" s="95" t="b">
        <v>0</v>
      </c>
      <c r="X336" s="91"/>
      <c r="Y336" s="111" t="str">
        <f t="array" ref="Y336">INDEX('LS Shortlist'!U:U,MATCH(A336,'LS Shortlist'!B:B,0))</f>
        <v>Special Reject</v>
      </c>
    </row>
    <row r="337" spans="1:25" ht="77" hidden="1">
      <c r="A337" s="97" t="s">
        <v>398</v>
      </c>
      <c r="B337" s="98" t="str">
        <f t="array" ref="B337">INDEX(Interview,MATCH(A337,Name,0))</f>
        <v>Invite</v>
      </c>
      <c r="C337" s="98" t="str">
        <f t="array" ref="C337">INDEX(Track,MATCH(A337,Name,0))</f>
        <v>Life Sciences</v>
      </c>
      <c r="D337" s="99">
        <f t="array" ref="D337">INDEX(Score,MATCH(A337,Name,0))</f>
        <v>4</v>
      </c>
      <c r="E337" s="100">
        <f t="array" aca="1" ref="E337" ca="1">INDEX(Date,MATCH(A337,Name,0))</f>
        <v>44796</v>
      </c>
      <c r="F337" s="98" t="s">
        <v>13319</v>
      </c>
      <c r="G337" s="98" t="s">
        <v>13314</v>
      </c>
      <c r="H337" s="98" t="str">
        <f t="array" aca="1" ref="H337" ca="1">IFERROR(INDEX('2022-2023 Third Reviews'!K:K,MATCH(A337,'2022-2023 Third Reviews'!C:C,0)),"")</f>
        <v>Chris Millisits
2</v>
      </c>
      <c r="I337" s="101" t="s">
        <v>9964</v>
      </c>
      <c r="J337" s="101" t="s">
        <v>10556</v>
      </c>
      <c r="K337" s="101" t="str">
        <f t="array" aca="1" ref="K337" ca="1">IFERROR(INDEX('2022-2023 Third Reviews'!L:L,MATCH(A337,'2022-2023 Third Reviews'!C:C,0)),"")</f>
        <v>There's a lack of focus in this idea. It wants to be the source of truth middleman across many industries and use cases. An unspecialized marketplace model is tough to make work.</v>
      </c>
      <c r="L337" s="102">
        <f t="array" ref="L337">INDEX(AppNotes,MATCH(A337,Name,0))</f>
        <v>0</v>
      </c>
      <c r="M337" s="103" t="str">
        <f t="array" aca="1" ref="M337" ca="1">INDEX(Team,MATCH(A337,'Key Metrics'!B:B,0))</f>
        <v>Woman, Man</v>
      </c>
      <c r="N337" s="99" t="str">
        <f t="array" aca="1" ref="N337" ca="1">IF(INDEX('Key Metrics'!F:F,MATCH(A337,'Key Metrics'!B:B,0))="Woman","Yes","")</f>
        <v>Yes</v>
      </c>
      <c r="O337" s="99" t="str">
        <f t="shared" ca="1" si="2"/>
        <v>Yes</v>
      </c>
      <c r="P337" s="104">
        <f t="array" ref="P337">INDEX(Referral,MATCH(A337,Name,0))</f>
        <v>0</v>
      </c>
      <c r="Q337" s="104">
        <f t="array" aca="1" ref="Q337" ca="1">IF(INDEX(NYUAfillType,MATCH(A337,'Key Metrics'!B:B,0))="Other (please specify)",INDEX('Key Metrics'!N:N,MATCH(A337,'Key Metrics'!B:B,0)),INDEX(NYUAfillType,MATCH(A337,'Key Metrics'!B:B,0)))</f>
        <v>0</v>
      </c>
      <c r="R337" s="105" t="str">
        <f t="array" aca="1" ref="R337" ca="1">IF(INDEX('Key Metrics'!Q:Q,MATCH(A337,'Key Metrics'!B:B,0))="No","",INDEX('Key Metrics'!Q:Q,MATCH(A337,'Key Metrics'!B:B,0)))</f>
        <v/>
      </c>
      <c r="S337" s="106" t="str">
        <f t="shared" si="3"/>
        <v>Special Reject</v>
      </c>
      <c r="T337" s="107" t="s">
        <v>23</v>
      </c>
      <c r="U337" s="107" t="b">
        <v>0</v>
      </c>
      <c r="V337" s="107" t="b">
        <v>0</v>
      </c>
      <c r="W337" s="107" t="b">
        <v>0</v>
      </c>
      <c r="X337" s="103"/>
      <c r="Y337" s="110" t="str">
        <f t="array" ref="Y337">INDEX('LS Shortlist'!U:U,MATCH(A337,'LS Shortlist'!B:B,0))</f>
        <v>Special Reject</v>
      </c>
    </row>
    <row r="338" spans="1:25" ht="70" hidden="1">
      <c r="A338" s="109" t="s">
        <v>399</v>
      </c>
      <c r="B338" s="86" t="str">
        <f t="array" ref="B338">INDEX(Interview,MATCH(A338,Name,0))</f>
        <v>Invite</v>
      </c>
      <c r="C338" s="86" t="str">
        <f t="array" ref="C338">INDEX(Track,MATCH(A338,Name,0))</f>
        <v>Life Sciences</v>
      </c>
      <c r="D338" s="87">
        <f t="array" ref="D338">INDEX(Score,MATCH(A338,Name,0))</f>
        <v>4</v>
      </c>
      <c r="E338" s="88">
        <f t="array" aca="1" ref="E338" ca="1">INDEX(Date,MATCH(A338,Name,0))</f>
        <v>44789</v>
      </c>
      <c r="F338" s="86" t="s">
        <v>13319</v>
      </c>
      <c r="G338" s="86" t="s">
        <v>13314</v>
      </c>
      <c r="H338" s="86" t="str">
        <f t="array" ref="H338">IFERROR(INDEX('2022-2023 Third Reviews'!K:K,MATCH(A338,'2022-2023 Third Reviews'!C:C,0)),"")</f>
        <v/>
      </c>
      <c r="I338" s="89" t="s">
        <v>10108</v>
      </c>
      <c r="J338" s="89" t="s">
        <v>10109</v>
      </c>
      <c r="K338" s="89" t="str">
        <f t="array" ref="K338">IFERROR(INDEX('2022-2023 Third Reviews'!L:L,MATCH(A338,'2022-2023 Third Reviews'!C:C,0)),"")</f>
        <v/>
      </c>
      <c r="L338" s="90">
        <f t="array" ref="L338">INDEX(AppNotes,MATCH(A338,Name,0))</f>
        <v>0</v>
      </c>
      <c r="M338" s="91" t="str">
        <f t="array" aca="1" ref="M338" ca="1">INDEX(Team,MATCH(A338,'Key Metrics'!B:B,0))</f>
        <v>Man</v>
      </c>
      <c r="N338" s="87" t="str">
        <f t="array" aca="1" ref="N338" ca="1">IF(INDEX('Key Metrics'!F:F,MATCH(A338,'Key Metrics'!B:B,0))="Woman","Yes","")</f>
        <v/>
      </c>
      <c r="O338" s="87" t="str">
        <f t="shared" ca="1" si="2"/>
        <v/>
      </c>
      <c r="P338" s="92">
        <f t="array" ref="P338">INDEX(Referral,MATCH(A338,Name,0))</f>
        <v>0</v>
      </c>
      <c r="Q338" s="92">
        <f t="array" aca="1" ref="Q338" ca="1">IF(INDEX(NYUAfillType,MATCH(A338,'Key Metrics'!B:B,0))="Other (please specify)",INDEX('Key Metrics'!N:N,MATCH(A338,'Key Metrics'!B:B,0)),INDEX(NYUAfillType,MATCH(A338,'Key Metrics'!B:B,0)))</f>
        <v>0</v>
      </c>
      <c r="R338" s="93" t="str">
        <f t="array" aca="1" ref="R338" ca="1">IF(INDEX('Key Metrics'!Q:Q,MATCH(A338,'Key Metrics'!B:B,0))="No","",INDEX('Key Metrics'!Q:Q,MATCH(A338,'Key Metrics'!B:B,0)))</f>
        <v/>
      </c>
      <c r="S338" s="94" t="str">
        <f t="shared" si="3"/>
        <v>WaitList</v>
      </c>
      <c r="T338" s="95" t="s">
        <v>22</v>
      </c>
      <c r="U338" s="95" t="b">
        <v>1</v>
      </c>
      <c r="V338" s="95" t="b">
        <v>0</v>
      </c>
      <c r="W338" s="95" t="b">
        <v>0</v>
      </c>
      <c r="X338" s="91" t="s">
        <v>400</v>
      </c>
      <c r="Y338" s="111" t="str">
        <f t="array" ref="Y338">INDEX('LS Shortlist'!U:U,MATCH(A338,'LS Shortlist'!B:B,0))</f>
        <v>Waitlist</v>
      </c>
    </row>
    <row r="339" spans="1:25" ht="66" hidden="1">
      <c r="A339" s="97" t="s">
        <v>401</v>
      </c>
      <c r="B339" s="98" t="str">
        <f t="array" ref="B339">INDEX(Interview,MATCH(A339,Name,0))</f>
        <v>Revisit/ Cluster</v>
      </c>
      <c r="C339" s="98" t="str">
        <f t="array" ref="C339">INDEX(Track,MATCH(A339,Name,0))</f>
        <v>Life Sciences</v>
      </c>
      <c r="D339" s="99">
        <f t="array" ref="D339">INDEX(Score,MATCH(A339,Name,0))</f>
        <v>4</v>
      </c>
      <c r="E339" s="100">
        <f t="array" aca="1" ref="E339" ca="1">INDEX(Date,MATCH(A339,Name,0))</f>
        <v>44791</v>
      </c>
      <c r="F339" s="98" t="s">
        <v>13315</v>
      </c>
      <c r="G339" s="98" t="s">
        <v>13314</v>
      </c>
      <c r="H339" s="98" t="str">
        <f t="array" ref="H339">IFERROR(INDEX('2022-2023 Third Reviews'!K:K,MATCH(A339,'2022-2023 Third Reviews'!C:C,0)),"")</f>
        <v/>
      </c>
      <c r="I339" s="101" t="s">
        <v>10116</v>
      </c>
      <c r="J339" s="101" t="s">
        <v>10994</v>
      </c>
      <c r="K339" s="101" t="str">
        <f t="array" ref="K339">IFERROR(INDEX('2022-2023 Third Reviews'!L:L,MATCH(A339,'2022-2023 Third Reviews'!C:C,0)),"")</f>
        <v/>
      </c>
      <c r="L339" s="102" t="str">
        <f t="array" ref="L339">INDEX(AppNotes,MATCH(A339,Name,0))</f>
        <v>in situ cell editing; impressive data; seems like a one person team; good advisors but only one team member mentioned, but for the amount of data they must have more team members; will this eventually fall apart if it's one person?</v>
      </c>
      <c r="M339" s="103" t="str">
        <f t="array" aca="1" ref="M339" ca="1">INDEX(Team,MATCH(A339,'Key Metrics'!B:B,0))</f>
        <v>Man</v>
      </c>
      <c r="N339" s="99" t="str">
        <f t="array" aca="1" ref="N339" ca="1">IF(INDEX('Key Metrics'!F:F,MATCH(A339,'Key Metrics'!B:B,0))="Woman","Yes","")</f>
        <v/>
      </c>
      <c r="O339" s="99" t="str">
        <f t="shared" ca="1" si="2"/>
        <v/>
      </c>
      <c r="P339" s="104">
        <f t="array" ref="P339">INDEX(Referral,MATCH(A339,Name,0))</f>
        <v>0</v>
      </c>
      <c r="Q339" s="104">
        <f t="array" aca="1" ref="Q339" ca="1">IF(INDEX(NYUAfillType,MATCH(A339,'Key Metrics'!B:B,0))="Other (please specify)",INDEX('Key Metrics'!N:N,MATCH(A339,'Key Metrics'!B:B,0)),INDEX(NYUAfillType,MATCH(A339,'Key Metrics'!B:B,0)))</f>
        <v>0</v>
      </c>
      <c r="R339" s="105" t="str">
        <f t="array" aca="1" ref="R339" ca="1">IF(INDEX('Key Metrics'!Q:Q,MATCH(A339,'Key Metrics'!B:B,0))="No","",INDEX('Key Metrics'!Q:Q,MATCH(A339,'Key Metrics'!B:B,0)))</f>
        <v/>
      </c>
      <c r="S339" s="106" t="str">
        <f t="shared" si="3"/>
        <v>WaitList</v>
      </c>
      <c r="T339" s="107" t="s">
        <v>22</v>
      </c>
      <c r="U339" s="107" t="b">
        <v>1</v>
      </c>
      <c r="V339" s="107" t="b">
        <v>0</v>
      </c>
      <c r="W339" s="107" t="b">
        <v>0</v>
      </c>
      <c r="X339" s="103" t="s">
        <v>402</v>
      </c>
      <c r="Y339" s="110" t="str">
        <f t="array" ref="Y339">INDEX('LS Shortlist'!U:U,MATCH(A339,'LS Shortlist'!B:B,0))</f>
        <v>Waitlist</v>
      </c>
    </row>
    <row r="340" spans="1:25" ht="55" hidden="1">
      <c r="A340" s="109" t="s">
        <v>403</v>
      </c>
      <c r="B340" s="86" t="str">
        <f t="array" ref="B340">INDEX(Interview,MATCH(A340,Name,0))</f>
        <v>Revisit/ Cluster</v>
      </c>
      <c r="C340" s="86" t="str">
        <f t="array" ref="C340">INDEX(Track,MATCH(A340,Name,0))</f>
        <v>Life Sciences</v>
      </c>
      <c r="D340" s="87">
        <f t="array" ref="D340">INDEX(Score,MATCH(A340,Name,0))</f>
        <v>3.75</v>
      </c>
      <c r="E340" s="88">
        <f t="array" aca="1" ref="E340" ca="1">INDEX(Date,MATCH(A340,Name,0))</f>
        <v>44784</v>
      </c>
      <c r="F340" s="86" t="s">
        <v>13319</v>
      </c>
      <c r="G340" s="86" t="s">
        <v>13342</v>
      </c>
      <c r="H340" s="86" t="str">
        <f t="array" aca="1" ref="H340" ca="1">IFERROR(INDEX('2022-2023 Third Reviews'!K:K,MATCH(A340,'2022-2023 Third Reviews'!C:C,0)),"")</f>
        <v>Jason Yu
4</v>
      </c>
      <c r="I340" s="89" t="s">
        <v>10124</v>
      </c>
      <c r="J340" s="89" t="s">
        <v>10367</v>
      </c>
      <c r="K340" s="89" t="str">
        <f t="array" aca="1" ref="K340" ca="1">IFERROR(INDEX('2022-2023 Third Reviews'!L:L,MATCH(A340,'2022-2023 Third Reviews'!C:C,0)),"")</f>
        <v>Minimum viable product and associated with another accelerator. They are currently lookint to improve network on east coast, feedback on indications and business model, recruiting and exposure.</v>
      </c>
      <c r="L340" s="90" t="str">
        <f t="array" ref="L340">INDEX(AppNotes,MATCH(A340,Name,0))</f>
        <v>not new tech, but a stronger iteration of CRISP-HR tech</v>
      </c>
      <c r="M340" s="91" t="str">
        <f t="array" aca="1" ref="M340" ca="1">INDEX(Team,MATCH(A340,'Key Metrics'!B:B,0))</f>
        <v>Man, Man</v>
      </c>
      <c r="N340" s="87" t="str">
        <f t="array" aca="1" ref="N340" ca="1">IF(INDEX('Key Metrics'!F:F,MATCH(A340,'Key Metrics'!B:B,0))="Woman","Yes","")</f>
        <v/>
      </c>
      <c r="O340" s="87" t="str">
        <f t="shared" ca="1" si="2"/>
        <v/>
      </c>
      <c r="P340" s="92" t="str">
        <f t="array" ref="P340">INDEX(Referral,MATCH(A340,Name,0))</f>
        <v>Chris Mosher</v>
      </c>
      <c r="Q340" s="92" t="str">
        <f t="array" aca="1" ref="Q340" ca="1">IF(INDEX(NYUAfillType,MATCH(A340,'Key Metrics'!B:B,0))="Other (please specify)",INDEX('Key Metrics'!N:N,MATCH(A340,'Key Metrics'!B:B,0)),INDEX(NYUAfillType,MATCH(A340,'Key Metrics'!B:B,0)))</f>
        <v>--Please select--</v>
      </c>
      <c r="R340" s="93" t="str">
        <f t="array" aca="1" ref="R340" ca="1">IF(INDEX('Key Metrics'!Q:Q,MATCH(A340,'Key Metrics'!B:B,0))="No","",INDEX('Key Metrics'!Q:Q,MATCH(A340,'Key Metrics'!B:B,0)))</f>
        <v/>
      </c>
      <c r="S340" s="94" t="str">
        <f t="shared" si="3"/>
        <v>WaitList</v>
      </c>
      <c r="T340" s="95" t="s">
        <v>22</v>
      </c>
      <c r="U340" s="95" t="b">
        <v>1</v>
      </c>
      <c r="V340" s="95" t="b">
        <v>0</v>
      </c>
      <c r="W340" s="95" t="b">
        <v>0</v>
      </c>
      <c r="X340" s="91" t="s">
        <v>404</v>
      </c>
      <c r="Y340" s="111" t="str">
        <f t="array" ref="Y340">INDEX('LS Shortlist'!U:U,MATCH(A340,'LS Shortlist'!B:B,0))</f>
        <v>Waitlist</v>
      </c>
    </row>
    <row r="341" spans="1:25" ht="55" hidden="1">
      <c r="A341" s="97" t="s">
        <v>405</v>
      </c>
      <c r="B341" s="98" t="str">
        <f t="array" ref="B341">INDEX(Interview,MATCH(A341,Name,0))</f>
        <v>Revisit/ Cluster</v>
      </c>
      <c r="C341" s="98" t="str">
        <f t="array" ref="C341">INDEX(Track,MATCH(A341,Name,0))</f>
        <v>Life Sciences</v>
      </c>
      <c r="D341" s="99">
        <f t="array" ref="D341">INDEX(Score,MATCH(A341,Name,0))</f>
        <v>3.75</v>
      </c>
      <c r="E341" s="100">
        <f t="array" aca="1" ref="E341" ca="1">INDEX(Date,MATCH(A341,Name,0))</f>
        <v>44789</v>
      </c>
      <c r="F341" s="98" t="s">
        <v>13319</v>
      </c>
      <c r="G341" s="98" t="s">
        <v>13342</v>
      </c>
      <c r="H341" s="98" t="str">
        <f t="array" aca="1" ref="H341" ca="1">IFERROR(INDEX('2022-2023 Third Reviews'!K:K,MATCH(A341,'2022-2023 Third Reviews'!C:C,0)),"")</f>
        <v>Jason Yu
4</v>
      </c>
      <c r="I341" s="101" t="s">
        <v>10133</v>
      </c>
      <c r="J341" s="101" t="s">
        <v>10491</v>
      </c>
      <c r="K341" s="101" t="str">
        <f t="array" aca="1" ref="K341" ca="1">IFERROR(INDEX('2022-2023 Third Reviews'!L:L,MATCH(A341,'2022-2023 Third Reviews'!C:C,0)),"")</f>
        <v>FDA approval/ regulatory risks</v>
      </c>
      <c r="L341" s="102" t="str">
        <f t="array" ref="L341">INDEX(AppNotes,MATCH(A341,Name,0))</f>
        <v>no data in app; patent pending; women led team from UK; great team; cluster with other gene editing companies</v>
      </c>
      <c r="M341" s="103" t="str">
        <f t="array" aca="1" ref="M341" ca="1">INDEX(Team,MATCH(A341,'Key Metrics'!B:B,0))</f>
        <v>Woman, Woman, Man</v>
      </c>
      <c r="N341" s="99" t="str">
        <f t="array" aca="1" ref="N341" ca="1">IF(INDEX('Key Metrics'!F:F,MATCH(A341,'Key Metrics'!B:B,0))="Woman","Yes","")</f>
        <v>Yes</v>
      </c>
      <c r="O341" s="99" t="str">
        <f t="shared" ca="1" si="2"/>
        <v>Yes</v>
      </c>
      <c r="P341" s="104" t="str">
        <f t="array" ref="P341">INDEX(Referral,MATCH(A341,Name,0))</f>
        <v>Chris Mosher</v>
      </c>
      <c r="Q341" s="104">
        <f t="array" aca="1" ref="Q341" ca="1">IF(INDEX(NYUAfillType,MATCH(A341,'Key Metrics'!B:B,0))="Other (please specify)",INDEX('Key Metrics'!N:N,MATCH(A341,'Key Metrics'!B:B,0)),INDEX(NYUAfillType,MATCH(A341,'Key Metrics'!B:B,0)))</f>
        <v>0</v>
      </c>
      <c r="R341" s="105" t="str">
        <f t="array" aca="1" ref="R341" ca="1">IF(INDEX('Key Metrics'!Q:Q,MATCH(A341,'Key Metrics'!B:B,0))="No","",INDEX('Key Metrics'!Q:Q,MATCH(A341,'Key Metrics'!B:B,0)))</f>
        <v/>
      </c>
      <c r="S341" s="106" t="str">
        <f t="shared" si="3"/>
        <v>WaitList</v>
      </c>
      <c r="T341" s="107" t="s">
        <v>22</v>
      </c>
      <c r="U341" s="107" t="b">
        <v>1</v>
      </c>
      <c r="V341" s="107" t="b">
        <v>0</v>
      </c>
      <c r="W341" s="107" t="b">
        <v>0</v>
      </c>
      <c r="X341" s="103" t="s">
        <v>406</v>
      </c>
      <c r="Y341" s="110" t="str">
        <f t="array" ref="Y341">INDEX('LS Shortlist'!U:U,MATCH(A341,'LS Shortlist'!B:B,0))</f>
        <v>Waitlist</v>
      </c>
    </row>
    <row r="342" spans="1:25" hidden="1">
      <c r="A342" s="109" t="s">
        <v>407</v>
      </c>
      <c r="B342" s="86" t="str">
        <f t="array" ref="B342">INDEX(Interview,MATCH(A342,Name,0))</f>
        <v>Invite</v>
      </c>
      <c r="C342" s="86" t="str">
        <f t="array" ref="C342">INDEX(Track,MATCH(A342,Name,0))</f>
        <v>Life Sciences</v>
      </c>
      <c r="D342" s="87">
        <f t="array" ref="D342">INDEX(Score,MATCH(A342,Name,0))</f>
        <v>4</v>
      </c>
      <c r="E342" s="88">
        <f t="array" aca="1" ref="E342" ca="1">INDEX(Date,MATCH(A342,Name,0))</f>
        <v>44796</v>
      </c>
      <c r="F342" s="86" t="s">
        <v>13304</v>
      </c>
      <c r="G342" s="86" t="s">
        <v>13320</v>
      </c>
      <c r="H342" s="86" t="str">
        <f t="array" ref="H342">IFERROR(INDEX('2022-2023 Third Reviews'!K:K,MATCH(A342,'2022-2023 Third Reviews'!C:C,0)),"")</f>
        <v/>
      </c>
      <c r="I342" s="89" t="s">
        <v>9971</v>
      </c>
      <c r="J342" s="89" t="s">
        <v>9972</v>
      </c>
      <c r="K342" s="89" t="str">
        <f t="array" ref="K342">IFERROR(INDEX('2022-2023 Third Reviews'!L:L,MATCH(A342,'2022-2023 Third Reviews'!C:C,0)),"")</f>
        <v/>
      </c>
      <c r="L342" s="90">
        <f t="array" ref="L342">INDEX(AppNotes,MATCH(A342,Name,0))</f>
        <v>0</v>
      </c>
      <c r="M342" s="91" t="str">
        <f t="array" aca="1" ref="M342" ca="1">INDEX(Team,MATCH(A342,'Key Metrics'!B:B,0))</f>
        <v>Man</v>
      </c>
      <c r="N342" s="87" t="str">
        <f t="array" aca="1" ref="N342" ca="1">IF(INDEX('Key Metrics'!F:F,MATCH(A342,'Key Metrics'!B:B,0))="Woman","Yes","")</f>
        <v/>
      </c>
      <c r="O342" s="87" t="str">
        <f t="shared" ca="1" si="2"/>
        <v/>
      </c>
      <c r="P342" s="92">
        <f t="array" ref="P342">INDEX(Referral,MATCH(A342,Name,0))</f>
        <v>0</v>
      </c>
      <c r="Q342" s="92">
        <f t="array" aca="1" ref="Q342" ca="1">IF(INDEX(NYUAfillType,MATCH(A342,'Key Metrics'!B:B,0))="Other (please specify)",INDEX('Key Metrics'!N:N,MATCH(A342,'Key Metrics'!B:B,0)),INDEX(NYUAfillType,MATCH(A342,'Key Metrics'!B:B,0)))</f>
        <v>0</v>
      </c>
      <c r="R342" s="93" t="str">
        <f t="array" aca="1" ref="R342" ca="1">IF(INDEX('Key Metrics'!Q:Q,MATCH(A342,'Key Metrics'!B:B,0))="No","",INDEX('Key Metrics'!Q:Q,MATCH(A342,'Key Metrics'!B:B,0)))</f>
        <v/>
      </c>
      <c r="S342" s="94" t="str">
        <f t="shared" si="3"/>
        <v>Special Reject</v>
      </c>
      <c r="T342" s="95" t="s">
        <v>23</v>
      </c>
      <c r="U342" s="95" t="b">
        <v>0</v>
      </c>
      <c r="V342" s="95" t="b">
        <v>1</v>
      </c>
      <c r="W342" s="95" t="b">
        <v>0</v>
      </c>
      <c r="X342" s="91"/>
      <c r="Y342" s="111" t="str">
        <f t="array" ref="Y342">INDEX('LS Shortlist'!U:U,MATCH(A342,'LS Shortlist'!B:B,0))</f>
        <v>Special Reject</v>
      </c>
    </row>
    <row r="343" spans="1:25" ht="66" hidden="1">
      <c r="A343" s="97" t="s">
        <v>408</v>
      </c>
      <c r="B343" s="98" t="str">
        <f t="array" ref="B343">INDEX(Interview,MATCH(A343,Name,0))</f>
        <v>Invite</v>
      </c>
      <c r="C343" s="98" t="str">
        <f t="array" ref="C343">INDEX(Track,MATCH(A343,Name,0))</f>
        <v>Life Sciences</v>
      </c>
      <c r="D343" s="99">
        <f t="array" ref="D343">INDEX(Score,MATCH(A343,Name,0))</f>
        <v>4</v>
      </c>
      <c r="E343" s="100">
        <f t="array" aca="1" ref="E343" ca="1">INDEX(Date,MATCH(A343,Name,0))</f>
        <v>44791</v>
      </c>
      <c r="F343" s="98" t="s">
        <v>13319</v>
      </c>
      <c r="G343" s="98" t="s">
        <v>13314</v>
      </c>
      <c r="H343" s="98" t="str">
        <f t="array" aca="1" ref="H343" ca="1">IFERROR(INDEX('2022-2023 Third Reviews'!K:K,MATCH(A343,'2022-2023 Third Reviews'!C:C,0)),"")</f>
        <v>Nick Schmandt
5</v>
      </c>
      <c r="I343" s="101" t="s">
        <v>1882</v>
      </c>
      <c r="J343" s="101" t="s">
        <v>1883</v>
      </c>
      <c r="K343" s="101" t="str">
        <f t="array" aca="1" ref="K343" ca="1">IFERROR(INDEX('2022-2023 Third Reviews'!L:L,MATCH(A343,'2022-2023 Third Reviews'!C:C,0)),"")</f>
        <v xml:space="preserve">Looks rock solid. The tech is definitely useful and has done very well in animal studies. It's not a drug, not going to have widely different outcomes in human trials. The team is academic but they are clearly successful at raising funds. </v>
      </c>
      <c r="L343" s="102">
        <f t="array" ref="L343">INDEX(AppNotes,MATCH(A343,Name,0))</f>
        <v>0</v>
      </c>
      <c r="M343" s="103" t="str">
        <f t="array" aca="1" ref="M343" ca="1">INDEX(Team,MATCH(A343,'Key Metrics'!B:B,0))</f>
        <v>Man, Man, Woman, Man</v>
      </c>
      <c r="N343" s="99" t="str">
        <f t="array" aca="1" ref="N343" ca="1">IF(INDEX('Key Metrics'!F:F,MATCH(A343,'Key Metrics'!B:B,0))="Woman","Yes","")</f>
        <v/>
      </c>
      <c r="O343" s="99" t="str">
        <f t="shared" ca="1" si="2"/>
        <v>Yes</v>
      </c>
      <c r="P343" s="104" t="str">
        <f t="array" ref="P343">INDEX(Referral,MATCH(A343,Name,0))</f>
        <v>Maria Athanasiou, MarPam Pharma</v>
      </c>
      <c r="Q343" s="104">
        <f t="array" aca="1" ref="Q343" ca="1">IF(INDEX(NYUAfillType,MATCH(A343,'Key Metrics'!B:B,0))="Other (please specify)",INDEX('Key Metrics'!N:N,MATCH(A343,'Key Metrics'!B:B,0)),INDEX(NYUAfillType,MATCH(A343,'Key Metrics'!B:B,0)))</f>
        <v>0</v>
      </c>
      <c r="R343" s="105" t="str">
        <f t="array" aca="1" ref="R343" ca="1">IF(INDEX('Key Metrics'!Q:Q,MATCH(A343,'Key Metrics'!B:B,0))="No","",INDEX('Key Metrics'!Q:Q,MATCH(A343,'Key Metrics'!B:B,0)))</f>
        <v/>
      </c>
      <c r="S343" s="106" t="str">
        <f t="shared" si="3"/>
        <v>WaitList</v>
      </c>
      <c r="T343" s="107" t="s">
        <v>22</v>
      </c>
      <c r="U343" s="107" t="b">
        <v>1</v>
      </c>
      <c r="V343" s="107" t="b">
        <v>0</v>
      </c>
      <c r="W343" s="107" t="b">
        <v>0</v>
      </c>
      <c r="X343" s="103" t="s">
        <v>409</v>
      </c>
      <c r="Y343" s="110" t="str">
        <f t="array" ref="Y343">INDEX('LS Shortlist'!U:U,MATCH(A343,'LS Shortlist'!B:B,0))</f>
        <v>Invite</v>
      </c>
    </row>
    <row r="344" spans="1:25" ht="55" hidden="1">
      <c r="A344" s="109" t="s">
        <v>410</v>
      </c>
      <c r="B344" s="86" t="str">
        <f t="array" ref="B344">INDEX(Interview,MATCH(A344,Name,0))</f>
        <v>Revisit/ Cluster</v>
      </c>
      <c r="C344" s="86" t="str">
        <f t="array" ref="C344">INDEX(Track,MATCH(A344,Name,0))</f>
        <v>Life Sciences</v>
      </c>
      <c r="D344" s="87">
        <f t="array" ref="D344">INDEX(Score,MATCH(A344,Name,0))</f>
        <v>3.75</v>
      </c>
      <c r="E344" s="88">
        <f t="array" aca="1" ref="E344" ca="1">INDEX(Date,MATCH(A344,Name,0))</f>
        <v>44789</v>
      </c>
      <c r="F344" s="86" t="s">
        <v>13319</v>
      </c>
      <c r="G344" s="86" t="s">
        <v>13326</v>
      </c>
      <c r="H344" s="86" t="str">
        <f t="array" aca="1" ref="H344" ca="1">IFERROR(INDEX('2022-2023 Third Reviews'!K:K,MATCH(A344,'2022-2023 Third Reviews'!C:C,0)),"")</f>
        <v>Chris Millisits
2</v>
      </c>
      <c r="I344" s="89" t="s">
        <v>9978</v>
      </c>
      <c r="J344" s="89" t="s">
        <v>9979</v>
      </c>
      <c r="K344" s="89" t="str">
        <f t="array" aca="1" ref="K344" ca="1">IFERROR(INDEX('2022-2023 Third Reviews'!L:L,MATCH(A344,'2022-2023 Third Reviews'!C:C,0)),"")</f>
        <v>Limited information on the founder. Competitive market, wants to compete with Snowflake. Limited traction for size of previous rounds.</v>
      </c>
      <c r="L344" s="90" t="str">
        <f t="array" ref="L344">INDEX(AppNotes,MATCH(A344,Name,0))</f>
        <v>mostly part-time team; tech is very early stage, but promising for next year</v>
      </c>
      <c r="M344" s="91" t="str">
        <f t="array" aca="1" ref="M344" ca="1">INDEX(Team,MATCH(A344,'Key Metrics'!B:B,0))</f>
        <v>Man, Woman, Man</v>
      </c>
      <c r="N344" s="87" t="str">
        <f t="array" aca="1" ref="N344" ca="1">IF(INDEX('Key Metrics'!F:F,MATCH(A344,'Key Metrics'!B:B,0))="Woman","Yes","")</f>
        <v/>
      </c>
      <c r="O344" s="87" t="str">
        <f t="shared" ca="1" si="2"/>
        <v>Yes</v>
      </c>
      <c r="P344" s="92" t="str">
        <f t="array" ref="P344">INDEX(Referral,MATCH(A344,Name,0))</f>
        <v>Weill Cornell BioVenture Elab</v>
      </c>
      <c r="Q344" s="92">
        <f t="array" aca="1" ref="Q344" ca="1">IF(INDEX(NYUAfillType,MATCH(A344,'Key Metrics'!B:B,0))="Other (please specify)",INDEX('Key Metrics'!N:N,MATCH(A344,'Key Metrics'!B:B,0)),INDEX(NYUAfillType,MATCH(A344,'Key Metrics'!B:B,0)))</f>
        <v>0</v>
      </c>
      <c r="R344" s="93" t="str">
        <f t="array" aca="1" ref="R344" ca="1">IF(INDEX('Key Metrics'!Q:Q,MATCH(A344,'Key Metrics'!B:B,0))="No","",INDEX('Key Metrics'!Q:Q,MATCH(A344,'Key Metrics'!B:B,0)))</f>
        <v/>
      </c>
      <c r="S344" s="94" t="str">
        <f t="shared" si="3"/>
        <v>Special Reject</v>
      </c>
      <c r="T344" s="95" t="s">
        <v>23</v>
      </c>
      <c r="U344" s="95" t="b">
        <v>0</v>
      </c>
      <c r="V344" s="95" t="b">
        <v>1</v>
      </c>
      <c r="W344" s="95" t="b">
        <v>0</v>
      </c>
      <c r="X344" s="91"/>
      <c r="Y344" s="111" t="str">
        <f t="array" ref="Y344">INDEX('LS Shortlist'!U:U,MATCH(A344,'LS Shortlist'!B:B,0))</f>
        <v>Special Reject</v>
      </c>
    </row>
    <row r="345" spans="1:25" ht="44" hidden="1">
      <c r="A345" s="97" t="s">
        <v>411</v>
      </c>
      <c r="B345" s="98" t="str">
        <f t="array" ref="B345">INDEX(Interview,MATCH(A345,Name,0))</f>
        <v>Invite</v>
      </c>
      <c r="C345" s="98" t="str">
        <f t="array" ref="C345">INDEX(Track,MATCH(A345,Name,0))</f>
        <v>Life Sciences</v>
      </c>
      <c r="D345" s="99">
        <f t="array" ref="D345">INDEX(Score,MATCH(A345,Name,0))</f>
        <v>4</v>
      </c>
      <c r="E345" s="100">
        <f t="array" aca="1" ref="E345" ca="1">INDEX(Date,MATCH(A345,Name,0))</f>
        <v>44784</v>
      </c>
      <c r="F345" s="98" t="s">
        <v>13319</v>
      </c>
      <c r="G345" s="98" t="s">
        <v>13315</v>
      </c>
      <c r="H345" s="98" t="str">
        <f t="array" aca="1" ref="H345" ca="1">IFERROR(INDEX('2022-2023 Third Reviews'!K:K,MATCH(A345,'2022-2023 Third Reviews'!C:C,0)),"")</f>
        <v>Nick Schmandt
4</v>
      </c>
      <c r="I345" s="101" t="s">
        <v>10141</v>
      </c>
      <c r="J345" s="101" t="s">
        <v>10142</v>
      </c>
      <c r="K345" s="101" t="str">
        <f t="array" aca="1" ref="K345" ca="1">IFERROR(INDEX('2022-2023 Third Reviews'!L:L,MATCH(A345,'2022-2023 Third Reviews'!C:C,0)),"")</f>
        <v>This is a very promising technology, but the devil will be in the details of how it can successfully integrate in human conversations or respond to human commands. It will likely work much better for smaller organizations. The fact that they have at least a good starting revenue is encouraging.</v>
      </c>
      <c r="L345" s="102">
        <f t="array" ref="L345">INDEX(AppNotes,MATCH(A345,Name,0))</f>
        <v>0</v>
      </c>
      <c r="M345" s="103" t="str">
        <f t="array" aca="1" ref="M345" ca="1">INDEX(Team,MATCH(A345,'Key Metrics'!B:B,0))</f>
        <v>Woman, Man, Man, Man</v>
      </c>
      <c r="N345" s="99" t="str">
        <f t="array" aca="1" ref="N345" ca="1">IF(INDEX('Key Metrics'!F:F,MATCH(A345,'Key Metrics'!B:B,0))="Woman","Yes","")</f>
        <v>Yes</v>
      </c>
      <c r="O345" s="99" t="str">
        <f t="shared" ca="1" si="2"/>
        <v>Yes</v>
      </c>
      <c r="P345" s="104">
        <f t="array" ref="P345">INDEX(Referral,MATCH(A345,Name,0))</f>
        <v>0</v>
      </c>
      <c r="Q345" s="104">
        <f t="array" aca="1" ref="Q345" ca="1">IF(INDEX(NYUAfillType,MATCH(A345,'Key Metrics'!B:B,0))="Other (please specify)",INDEX('Key Metrics'!N:N,MATCH(A345,'Key Metrics'!B:B,0)),INDEX(NYUAfillType,MATCH(A345,'Key Metrics'!B:B,0)))</f>
        <v>0</v>
      </c>
      <c r="R345" s="105" t="str">
        <f t="array" aca="1" ref="R345" ca="1">IF(INDEX('Key Metrics'!Q:Q,MATCH(A345,'Key Metrics'!B:B,0))="No","",INDEX('Key Metrics'!Q:Q,MATCH(A345,'Key Metrics'!B:B,0)))</f>
        <v/>
      </c>
      <c r="S345" s="106" t="str">
        <f t="shared" si="3"/>
        <v>WaitList</v>
      </c>
      <c r="T345" s="107" t="s">
        <v>22</v>
      </c>
      <c r="U345" s="107" t="b">
        <v>1</v>
      </c>
      <c r="V345" s="107" t="b">
        <v>0</v>
      </c>
      <c r="W345" s="107" t="b">
        <v>0</v>
      </c>
      <c r="X345" s="103"/>
      <c r="Y345" s="110" t="str">
        <f t="array" ref="Y345">INDEX('LS Shortlist'!U:U,MATCH(A345,'LS Shortlist'!B:B,0))</f>
        <v>Waitlist</v>
      </c>
    </row>
    <row r="346" spans="1:25" ht="88" hidden="1">
      <c r="A346" s="109" t="s">
        <v>412</v>
      </c>
      <c r="B346" s="86" t="str">
        <f t="array" ref="B346">INDEX(Interview,MATCH(A346,Name,0))</f>
        <v>Invite</v>
      </c>
      <c r="C346" s="86" t="str">
        <f t="array" ref="C346">INDEX(Track,MATCH(A346,Name,0))</f>
        <v>Life Sciences</v>
      </c>
      <c r="D346" s="87">
        <f t="array" ref="D346">INDEX(Score,MATCH(A346,Name,0))</f>
        <v>4</v>
      </c>
      <c r="E346" s="88">
        <f t="array" aca="1" ref="E346" ca="1">INDEX(Date,MATCH(A346,Name,0))</f>
        <v>44796</v>
      </c>
      <c r="F346" s="86" t="s">
        <v>13304</v>
      </c>
      <c r="G346" s="86" t="s">
        <v>13320</v>
      </c>
      <c r="H346" s="86" t="str">
        <f t="array" aca="1" ref="H346" ca="1">IFERROR(INDEX('2022-2023 Third Reviews'!K:K,MATCH(A346,'2022-2023 Third Reviews'!C:C,0)),"")</f>
        <v>Joshua Rubnitz
4</v>
      </c>
      <c r="I346" s="89" t="s">
        <v>10798</v>
      </c>
      <c r="J346" s="89" t="s">
        <v>10151</v>
      </c>
      <c r="K346" s="89" t="str">
        <f t="array" aca="1" ref="K346" ca="1">IFERROR(INDEX('2022-2023 Third Reviews'!L:L,MATCH(A346,'2022-2023 Third Reviews'!C:C,0)),"")</f>
        <v>Good tech that is patent protected. Can help to bring human-machine interface to more applications and de-mystify the control of robots.
The whole pitch is very generalized. There is very little mention of specific, concrete pain points or problem solved. The product has been around for 4 years and is just beginning to generate some revenue. EFL could be essential for accelerating their business.
Both founder are full-time.</v>
      </c>
      <c r="L346" s="90">
        <f t="array" ref="L346">INDEX(AppNotes,MATCH(A346,Name,0))</f>
        <v>0</v>
      </c>
      <c r="M346" s="91" t="str">
        <f t="array" aca="1" ref="M346" ca="1">INDEX(Team,MATCH(A346,'Key Metrics'!B:B,0))</f>
        <v>Man, Man</v>
      </c>
      <c r="N346" s="87" t="str">
        <f t="array" aca="1" ref="N346" ca="1">IF(INDEX('Key Metrics'!F:F,MATCH(A346,'Key Metrics'!B:B,0))="Woman","Yes","")</f>
        <v/>
      </c>
      <c r="O346" s="87" t="str">
        <f t="shared" ca="1" si="2"/>
        <v/>
      </c>
      <c r="P346" s="92" t="str">
        <f t="array" ref="P346">INDEX(Referral,MATCH(A346,Name,0))</f>
        <v>Morteza from Qidni</v>
      </c>
      <c r="Q346" s="92">
        <f t="array" aca="1" ref="Q346" ca="1">IF(INDEX(NYUAfillType,MATCH(A346,'Key Metrics'!B:B,0))="Other (please specify)",INDEX('Key Metrics'!N:N,MATCH(A346,'Key Metrics'!B:B,0)),INDEX(NYUAfillType,MATCH(A346,'Key Metrics'!B:B,0)))</f>
        <v>0</v>
      </c>
      <c r="R346" s="93" t="str">
        <f t="array" aca="1" ref="R346" ca="1">IF(INDEX('Key Metrics'!Q:Q,MATCH(A346,'Key Metrics'!B:B,0))="No","",INDEX('Key Metrics'!Q:Q,MATCH(A346,'Key Metrics'!B:B,0)))</f>
        <v/>
      </c>
      <c r="S346" s="94" t="str">
        <f t="shared" si="3"/>
        <v>WaitList</v>
      </c>
      <c r="T346" s="95" t="s">
        <v>22</v>
      </c>
      <c r="U346" s="95" t="b">
        <v>1</v>
      </c>
      <c r="V346" s="95" t="b">
        <v>0</v>
      </c>
      <c r="W346" s="95" t="b">
        <v>0</v>
      </c>
      <c r="X346" s="91" t="s">
        <v>413</v>
      </c>
      <c r="Y346" s="111" t="str">
        <f t="array" ref="Y346">INDEX('LS Shortlist'!U:U,MATCH(A346,'LS Shortlist'!B:B,0))</f>
        <v>Waitlist</v>
      </c>
    </row>
    <row r="347" spans="1:25" ht="70" hidden="1">
      <c r="A347" s="97" t="s">
        <v>414</v>
      </c>
      <c r="B347" s="98" t="str">
        <f t="array" ref="B347">INDEX(Interview,MATCH(A347,Name,0))</f>
        <v>Invite</v>
      </c>
      <c r="C347" s="98" t="str">
        <f t="array" ref="C347">INDEX(Track,MATCH(A347,Name,0))</f>
        <v>Life Sciences</v>
      </c>
      <c r="D347" s="99">
        <f t="array" ref="D347">INDEX(Score,MATCH(A347,Name,0))</f>
        <v>4.25</v>
      </c>
      <c r="E347" s="100">
        <f t="array" aca="1" ref="E347" ca="1">INDEX(Date,MATCH(A347,Name,0))</f>
        <v>44782</v>
      </c>
      <c r="F347" s="98" t="s">
        <v>13327</v>
      </c>
      <c r="G347" s="98" t="s">
        <v>13320</v>
      </c>
      <c r="H347" s="98" t="str">
        <f t="array" aca="1" ref="H347" ca="1">IFERROR(INDEX('2022-2023 Third Reviews'!K:K,MATCH(A347,'2022-2023 Third Reviews'!C:C,0)),"")</f>
        <v>Joshua Rubnitz
3</v>
      </c>
      <c r="I347" s="101" t="s">
        <v>10441</v>
      </c>
      <c r="J347" s="101" t="s">
        <v>481</v>
      </c>
      <c r="K347" s="101" t="str">
        <f t="array" aca="1" ref="K347" ca="1">IFERROR(INDEX('2022-2023 Third Reviews'!L:L,MATCH(A347,'2022-2023 Third Reviews'!C:C,0)),"")</f>
        <v>Impressive team in a decent market, but not much inimitable tech. 
The data sourcing tool can be trained on a per-user basis so that customers are only seeing relevant, need-to-know information and possibly save time.</v>
      </c>
      <c r="L347" s="102">
        <f t="array" ref="L347">INDEX(AppNotes,MATCH(A347,Name,0))</f>
        <v>0</v>
      </c>
      <c r="M347" s="103" t="str">
        <f t="array" aca="1" ref="M347" ca="1">INDEX(Team,MATCH(A347,'Key Metrics'!B:B,0))</f>
        <v>Man, Woman, Man</v>
      </c>
      <c r="N347" s="99" t="str">
        <f t="array" aca="1" ref="N347" ca="1">IF(INDEX('Key Metrics'!F:F,MATCH(A347,'Key Metrics'!B:B,0))="Woman","Yes","")</f>
        <v/>
      </c>
      <c r="O347" s="99" t="str">
        <f t="shared" ca="1" si="2"/>
        <v>Yes</v>
      </c>
      <c r="P347" s="104">
        <f t="array" ref="P347">INDEX(Referral,MATCH(A347,Name,0))</f>
        <v>0</v>
      </c>
      <c r="Q347" s="104">
        <f t="array" aca="1" ref="Q347" ca="1">IF(INDEX(NYUAfillType,MATCH(A347,'Key Metrics'!B:B,0))="Other (please specify)",INDEX('Key Metrics'!N:N,MATCH(A347,'Key Metrics'!B:B,0)),INDEX(NYUAfillType,MATCH(A347,'Key Metrics'!B:B,0)))</f>
        <v>0</v>
      </c>
      <c r="R347" s="105" t="str">
        <f t="array" aca="1" ref="R347" ca="1">IF(INDEX('Key Metrics'!Q:Q,MATCH(A347,'Key Metrics'!B:B,0))="No","",INDEX('Key Metrics'!Q:Q,MATCH(A347,'Key Metrics'!B:B,0)))</f>
        <v>Yes</v>
      </c>
      <c r="S347" s="106" t="str">
        <f t="shared" si="3"/>
        <v>WaitList</v>
      </c>
      <c r="T347" s="107" t="s">
        <v>22</v>
      </c>
      <c r="U347" s="107" t="b">
        <v>1</v>
      </c>
      <c r="V347" s="107" t="b">
        <v>0</v>
      </c>
      <c r="W347" s="107" t="b">
        <v>0</v>
      </c>
      <c r="X347" s="103" t="s">
        <v>415</v>
      </c>
      <c r="Y347" s="110" t="str">
        <f t="array" ref="Y347">INDEX('LS Shortlist'!U:U,MATCH(A347,'LS Shortlist'!B:B,0))</f>
        <v>Waitlist</v>
      </c>
    </row>
    <row r="348" spans="1:25" ht="70">
      <c r="A348" s="124" t="s">
        <v>416</v>
      </c>
      <c r="B348" s="125" t="str">
        <f t="array" ref="B348">INDEX(Interview,MATCH(A348,Name,0))</f>
        <v>Invite</v>
      </c>
      <c r="C348" s="125" t="str">
        <f t="array" ref="C348">INDEX(Track,MATCH(A348,Name,0))</f>
        <v>Digital Tech</v>
      </c>
      <c r="D348" s="126">
        <f t="array" ref="D348">INDEX(Score,MATCH(A348,Name,0))</f>
        <v>4.5</v>
      </c>
      <c r="E348" s="127">
        <f t="array" aca="1" ref="E348" ca="1">INDEX(Date,MATCH(A348,Name,0))</f>
        <v>44782</v>
      </c>
      <c r="F348" s="125" t="s">
        <v>13305</v>
      </c>
      <c r="G348" s="125" t="s">
        <v>13318</v>
      </c>
      <c r="H348" s="125" t="str">
        <f t="array" aca="1" ref="H348" ca="1">IFERROR(INDEX('2022-2023 Third Reviews'!K:K,MATCH(A348,'2022-2023 Third Reviews'!C:C,0)),"")</f>
        <v>John McDonald
4</v>
      </c>
      <c r="I348" s="128" t="s">
        <v>481</v>
      </c>
      <c r="J348" s="128" t="s">
        <v>10442</v>
      </c>
      <c r="K348" s="128">
        <f t="array" aca="1" ref="K348" ca="1">IFERROR(INDEX('2022-2023 Third Reviews'!L:L,MATCH(A348,'2022-2023 Third Reviews'!C:C,0)),"")</f>
        <v>0</v>
      </c>
      <c r="L348" s="129" t="str">
        <f t="array" ref="L348">INDEX(AppNotes,MATCH(A348,Name,0))</f>
        <v>DiT change; software to accelorate deep learning modules; has raised good funding so far; strong team</v>
      </c>
      <c r="M348" s="111" t="str">
        <f t="array" aca="1" ref="M348" ca="1">INDEX(Team,MATCH(A348,'Key Metrics'!B:B,0))</f>
        <v>Man, Man</v>
      </c>
      <c r="N348" s="126" t="str">
        <f t="array" aca="1" ref="N348" ca="1">IF(INDEX('Key Metrics'!F:F,MATCH(A348,'Key Metrics'!B:B,0))="Woman","Yes","")</f>
        <v/>
      </c>
      <c r="O348" s="126" t="str">
        <f t="shared" ca="1" si="2"/>
        <v/>
      </c>
      <c r="P348" s="85">
        <f t="array" ref="P348">INDEX(Referral,MATCH(A348,Name,0))</f>
        <v>0</v>
      </c>
      <c r="Q348" s="85" t="str">
        <f t="array" aca="1" ref="Q348" ca="1">IF(INDEX(NYUAfillType,MATCH(A348,'Key Metrics'!B:B,0))="Other (please specify)",INDEX('Key Metrics'!N:N,MATCH(A348,'Key Metrics'!B:B,0)),INDEX(NYUAfillType,MATCH(A348,'Key Metrics'!B:B,0)))</f>
        <v>Former NYU Fellow/Faculty/Staff</v>
      </c>
      <c r="R348" s="126" t="str">
        <f t="array" aca="1" ref="R348" ca="1">IF(INDEX('Key Metrics'!Q:Q,MATCH(A348,'Key Metrics'!B:B,0))="No","",INDEX('Key Metrics'!Q:Q,MATCH(A348,'Key Metrics'!B:B,0)))</f>
        <v/>
      </c>
      <c r="S348" s="94" t="str">
        <f t="shared" si="3"/>
        <v>WaitList</v>
      </c>
      <c r="T348" s="94" t="s">
        <v>22</v>
      </c>
      <c r="U348" s="94" t="b">
        <v>1</v>
      </c>
      <c r="V348" s="94" t="b">
        <v>0</v>
      </c>
      <c r="W348" s="94" t="b">
        <v>0</v>
      </c>
      <c r="X348" s="111" t="s">
        <v>415</v>
      </c>
      <c r="Y348" s="111" t="e">
        <f t="array" ref="Y348">INDEX('LS Shortlist'!U:U,MATCH(A348,'LS Shortlist'!B:B,0))</f>
        <v>#N/A</v>
      </c>
    </row>
    <row r="349" spans="1:25" ht="70">
      <c r="A349" s="130" t="s">
        <v>417</v>
      </c>
      <c r="B349" s="131" t="str">
        <f t="array" ref="B349">INDEX(Interview,MATCH(A349,Name,0))</f>
        <v>Invite</v>
      </c>
      <c r="C349" s="131" t="str">
        <f t="array" ref="C349">INDEX(Track,MATCH(A349,Name,0))</f>
        <v>Deep Tech</v>
      </c>
      <c r="D349" s="132">
        <f t="array" ref="D349">INDEX(Score,MATCH(A349,Name,0))</f>
        <v>4.75</v>
      </c>
      <c r="E349" s="133">
        <f t="array" aca="1" ref="E349" ca="1">INDEX(Date,MATCH(A349,Name,0))</f>
        <v>44782</v>
      </c>
      <c r="F349" s="131" t="s">
        <v>13306</v>
      </c>
      <c r="G349" s="131" t="s">
        <v>13318</v>
      </c>
      <c r="H349" s="131" t="str">
        <f t="array" ref="H349">IFERROR(INDEX('2022-2023 Third Reviews'!K:K,MATCH(A349,'2022-2023 Third Reviews'!C:C,0)),"")</f>
        <v/>
      </c>
      <c r="I349" s="134" t="s">
        <v>717</v>
      </c>
      <c r="J349" s="134" t="s">
        <v>10316</v>
      </c>
      <c r="K349" s="134" t="str">
        <f t="array" ref="K349">IFERROR(INDEX('2022-2023 Third Reviews'!L:L,MATCH(A349,'2022-2023 Third Reviews'!C:C,0)),"")</f>
        <v/>
      </c>
      <c r="L349" s="135" t="str">
        <f t="array" ref="L349">INDEX(AppNotes,MATCH(A349,Name,0))</f>
        <v>More DiT type company; provides real time scans for metaverse (similar to kinetix)</v>
      </c>
      <c r="M349" s="110" t="e">
        <f t="array" aca="1" ref="M349" ca="1">INDEX(Team,MATCH(A349,'Key Metrics'!B:B,0))</f>
        <v>#N/A</v>
      </c>
      <c r="N349" s="132" t="e">
        <f t="array" aca="1" ref="N349" ca="1">IF(INDEX('Key Metrics'!F:F,MATCH(A349,'Key Metrics'!B:B,0))="Woman","Yes","")</f>
        <v>#N/A</v>
      </c>
      <c r="O349" s="132" t="str">
        <f t="shared" ca="1" si="2"/>
        <v/>
      </c>
      <c r="P349" s="136">
        <f t="array" ref="P349">INDEX(Referral,MATCH(A349,Name,0))</f>
        <v>0</v>
      </c>
      <c r="Q349" s="136" t="e">
        <f t="array" aca="1" ref="Q349" ca="1">IF(INDEX(NYUAfillType,MATCH(A349,'Key Metrics'!B:B,0))="Other (please specify)",INDEX('Key Metrics'!N:N,MATCH(A349,'Key Metrics'!B:B,0)),INDEX(NYUAfillType,MATCH(A349,'Key Metrics'!B:B,0)))</f>
        <v>#N/A</v>
      </c>
      <c r="R349" s="132" t="e">
        <f t="array" aca="1" ref="R349" ca="1">IF(INDEX('Key Metrics'!Q:Q,MATCH(A349,'Key Metrics'!B:B,0))="No","",INDEX('Key Metrics'!Q:Q,MATCH(A349,'Key Metrics'!B:B,0)))</f>
        <v>#N/A</v>
      </c>
      <c r="S349" s="106" t="str">
        <f t="shared" si="3"/>
        <v>WaitList</v>
      </c>
      <c r="T349" s="106" t="s">
        <v>22</v>
      </c>
      <c r="U349" s="106" t="b">
        <v>1</v>
      </c>
      <c r="V349" s="106" t="b">
        <v>0</v>
      </c>
      <c r="W349" s="106" t="b">
        <v>0</v>
      </c>
      <c r="X349" s="110" t="s">
        <v>415</v>
      </c>
      <c r="Y349" s="110" t="e">
        <f t="array" ref="Y349">INDEX('LS Shortlist'!U:U,MATCH(A349,'LS Shortlist'!B:B,0))</f>
        <v>#N/A</v>
      </c>
    </row>
    <row r="350" spans="1:25" ht="99">
      <c r="A350" s="137" t="s">
        <v>418</v>
      </c>
      <c r="B350" s="125" t="str">
        <f t="array" ref="B350">INDEX(Interview,MATCH(A350,Name,0))</f>
        <v>Invite</v>
      </c>
      <c r="C350" s="125" t="str">
        <f t="array" ref="C350">INDEX(Track,MATCH(A350,Name,0))</f>
        <v>Life Sciences</v>
      </c>
      <c r="D350" s="126">
        <f t="array" ref="D350">INDEX(Score,MATCH(A350,Name,0))</f>
        <v>4.25</v>
      </c>
      <c r="E350" s="127">
        <f t="array" aca="1" ref="E350" ca="1">INDEX(Date,MATCH(A350,Name,0))</f>
        <v>44796</v>
      </c>
      <c r="F350" s="125" t="s">
        <v>13327</v>
      </c>
      <c r="G350" s="125" t="s">
        <v>13314</v>
      </c>
      <c r="H350" s="125" t="str">
        <f t="array" ref="H350">IFERROR(INDEX('2022-2023 Third Reviews'!K:K,MATCH(A350,'2022-2023 Third Reviews'!C:C,0)),"")</f>
        <v/>
      </c>
      <c r="I350" s="128" t="s">
        <v>2016</v>
      </c>
      <c r="J350" s="128" t="s">
        <v>2017</v>
      </c>
      <c r="K350" s="128" t="str">
        <f t="array" ref="K350">IFERROR(INDEX('2022-2023 Third Reviews'!L:L,MATCH(A350,'2022-2023 Third Reviews'!C:C,0)),"")</f>
        <v/>
      </c>
      <c r="L350" s="129">
        <f t="array" ref="L350">INDEX(AppNotes,MATCH(A350,Name,0))</f>
        <v>0</v>
      </c>
      <c r="M350" s="111" t="e">
        <f t="array" aca="1" ref="M350" ca="1">INDEX(Team,MATCH(A350,'Key Metrics'!B:B,0))</f>
        <v>#N/A</v>
      </c>
      <c r="N350" s="126" t="e">
        <f t="array" aca="1" ref="N350" ca="1">IF(INDEX('Key Metrics'!F:F,MATCH(A350,'Key Metrics'!B:B,0))="Woman","Yes","")</f>
        <v>#N/A</v>
      </c>
      <c r="O350" s="126" t="str">
        <f t="shared" ca="1" si="2"/>
        <v/>
      </c>
      <c r="P350" s="85" t="str">
        <f t="array" ref="P350">INDEX(Referral,MATCH(A350,Name,0))</f>
        <v>Avi Rosenbaum</v>
      </c>
      <c r="Q350" s="85" t="e">
        <f t="array" aca="1" ref="Q350" ca="1">IF(INDEX(NYUAfillType,MATCH(A350,'Key Metrics'!B:B,0))="Other (please specify)",INDEX('Key Metrics'!N:N,MATCH(A350,'Key Metrics'!B:B,0)),INDEX(NYUAfillType,MATCH(A350,'Key Metrics'!B:B,0)))</f>
        <v>#N/A</v>
      </c>
      <c r="R350" s="126" t="e">
        <f t="array" aca="1" ref="R350" ca="1">IF(INDEX('Key Metrics'!Q:Q,MATCH(A350,'Key Metrics'!B:B,0))="No","",INDEX('Key Metrics'!Q:Q,MATCH(A350,'Key Metrics'!B:B,0)))</f>
        <v>#N/A</v>
      </c>
      <c r="S350" s="94" t="str">
        <f t="shared" si="3"/>
        <v>WaitList</v>
      </c>
      <c r="T350" s="94" t="s">
        <v>22</v>
      </c>
      <c r="U350" s="94" t="b">
        <v>1</v>
      </c>
      <c r="V350" s="94" t="b">
        <v>0</v>
      </c>
      <c r="W350" s="94" t="b">
        <v>0</v>
      </c>
      <c r="X350" s="111" t="s">
        <v>415</v>
      </c>
      <c r="Y350" s="111" t="e">
        <f t="array" ref="Y350">INDEX('LS Shortlist'!U:U,MATCH(A350,'LS Shortlist'!B:B,0))</f>
        <v>#N/A</v>
      </c>
    </row>
    <row r="351" spans="1:25" ht="70">
      <c r="A351" s="138"/>
      <c r="B351" s="131" t="e">
        <f t="array" ref="B351">INDEX(Interview,MATCH(A351,Name,0))</f>
        <v>#N/A</v>
      </c>
      <c r="C351" s="131" t="e">
        <f t="array" ref="C351">INDEX(Track,MATCH(A351,Name,0))</f>
        <v>#N/A</v>
      </c>
      <c r="D351" s="132" t="e">
        <f t="array" ref="D351">INDEX(Score,MATCH(A351,Name,0))</f>
        <v>#N/A</v>
      </c>
      <c r="E351" s="133" t="e">
        <f t="array" ref="E351">INDEX(Date,MATCH(A351,Name,0))</f>
        <v>#N/A</v>
      </c>
      <c r="F351" s="131" t="s">
        <v>13335</v>
      </c>
      <c r="G351" s="131" t="s">
        <v>13335</v>
      </c>
      <c r="H351" s="131" t="str">
        <f t="array" ref="H351">IFERROR(INDEX('2022-2023 Third Reviews'!K:K,MATCH(A351,'2022-2023 Third Reviews'!C:C,0)),"")</f>
        <v/>
      </c>
      <c r="I351" s="134" t="s">
        <v>13335</v>
      </c>
      <c r="J351" s="134" t="s">
        <v>13335</v>
      </c>
      <c r="K351" s="134" t="str">
        <f t="array" ref="K351">IFERROR(INDEX('2022-2023 Third Reviews'!L:L,MATCH(A351,'2022-2023 Third Reviews'!C:C,0)),"")</f>
        <v/>
      </c>
      <c r="L351" s="135" t="e">
        <f t="array" ref="L351">INDEX(AppNotes,MATCH(A351,Name,0))</f>
        <v>#N/A</v>
      </c>
      <c r="M351" s="110" t="e">
        <f t="array" aca="1" ref="M351" ca="1">INDEX(Team,MATCH(A351,'Key Metrics'!B:B,0))</f>
        <v>#N/A</v>
      </c>
      <c r="N351" s="132" t="e">
        <f t="array" aca="1" ref="N351" ca="1">IF(INDEX('Key Metrics'!F:F,MATCH(A351,'Key Metrics'!B:B,0))="Woman","Yes","")</f>
        <v>#N/A</v>
      </c>
      <c r="O351" s="132" t="str">
        <f t="shared" ca="1" si="2"/>
        <v/>
      </c>
      <c r="P351" s="136" t="e">
        <f t="array" ref="P351">INDEX(Referral,MATCH(A351,Name,0))</f>
        <v>#N/A</v>
      </c>
      <c r="Q351" s="136" t="e">
        <f t="array" aca="1" ref="Q351" ca="1">IF(INDEX(NYUAfillType,MATCH(A351,'Key Metrics'!B:B,0))="Other (please specify)",INDEX('Key Metrics'!N:N,MATCH(A351,'Key Metrics'!B:B,0)),INDEX(NYUAfillType,MATCH(A351,'Key Metrics'!B:B,0)))</f>
        <v>#N/A</v>
      </c>
      <c r="R351" s="132" t="e">
        <f t="array" aca="1" ref="R351" ca="1">IF(INDEX('Key Metrics'!Q:Q,MATCH(A351,'Key Metrics'!B:B,0))="No","",INDEX('Key Metrics'!Q:Q,MATCH(A351,'Key Metrics'!B:B,0)))</f>
        <v>#N/A</v>
      </c>
      <c r="S351" s="106" t="str">
        <f t="shared" si="3"/>
        <v>WaitList</v>
      </c>
      <c r="T351" s="106" t="s">
        <v>22</v>
      </c>
      <c r="U351" s="106" t="b">
        <v>1</v>
      </c>
      <c r="V351" s="106" t="b">
        <v>0</v>
      </c>
      <c r="W351" s="106" t="b">
        <v>0</v>
      </c>
      <c r="X351" s="110" t="s">
        <v>415</v>
      </c>
      <c r="Y351" s="110" t="e">
        <f t="array" ref="Y351">INDEX('LS Shortlist'!U:U,MATCH(A351,'LS Shortlist'!B:B,0))</f>
        <v>#N/A</v>
      </c>
    </row>
  </sheetData>
  <autoFilter ref="A1:Y347" xr:uid="{00000000-0009-0000-0000-000001000000}">
    <filterColumn colId="14">
      <filters>
        <filter val="Yes"/>
      </filters>
    </filterColumn>
    <filterColumn colId="19">
      <filters>
        <filter val="Invite"/>
      </filters>
    </filterColumn>
  </autoFilter>
  <conditionalFormatting sqref="T2:T351">
    <cfRule type="expression" dxfId="48" priority="1">
      <formula>$T2&lt;&gt;$Y2</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xr:uid="{00000000-0002-0000-0100-000000000000}">
          <x14:formula1>
            <xm:f>Totals!$N$14:$N$20</xm:f>
          </x14:formula1>
          <xm:sqref>T2:T351</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B1123"/>
  <sheetViews>
    <sheetView workbookViewId="0">
      <pane xSplit="2" ySplit="1" topLeftCell="E2" activePane="bottomRight" state="frozen"/>
      <selection pane="topRight" activeCell="C1" sqref="C1"/>
      <selection pane="bottomLeft" activeCell="A2" sqref="A2"/>
      <selection pane="bottomRight" activeCell="C2" sqref="C2"/>
    </sheetView>
  </sheetViews>
  <sheetFormatPr baseColWidth="10" defaultColWidth="14.5" defaultRowHeight="15" customHeight="1" outlineLevelCol="2"/>
  <cols>
    <col min="1" max="1" width="22" hidden="1" customWidth="1"/>
    <col min="2" max="4" width="22" customWidth="1"/>
    <col min="5" max="5" width="105.33203125" customWidth="1"/>
    <col min="6" max="8" width="22" customWidth="1"/>
    <col min="9" max="9" width="22" customWidth="1" outlineLevel="2"/>
    <col min="10" max="10" width="62.83203125" customWidth="1" outlineLevel="2"/>
    <col min="11" max="19" width="22" customWidth="1" outlineLevel="2"/>
    <col min="20" max="20" width="75.5" customWidth="1" outlineLevel="1"/>
    <col min="21" max="21" width="18" customWidth="1"/>
    <col min="22" max="22" width="22" customWidth="1"/>
    <col min="23" max="23" width="27" customWidth="1"/>
    <col min="24" max="24" width="38.5" customWidth="1"/>
    <col min="25" max="25" width="22" customWidth="1"/>
    <col min="26" max="28" width="38.5" customWidth="1"/>
  </cols>
  <sheetData>
    <row r="1" spans="1:28">
      <c r="A1" s="139" t="s">
        <v>419</v>
      </c>
      <c r="B1" s="139" t="s">
        <v>420</v>
      </c>
      <c r="C1" s="139" t="s">
        <v>421</v>
      </c>
      <c r="D1" s="139" t="s">
        <v>422</v>
      </c>
      <c r="E1" s="139" t="s">
        <v>423</v>
      </c>
      <c r="F1" s="139" t="s">
        <v>39</v>
      </c>
      <c r="G1" s="139" t="s">
        <v>424</v>
      </c>
      <c r="H1" s="139" t="s">
        <v>425</v>
      </c>
      <c r="I1" s="139" t="s">
        <v>42</v>
      </c>
      <c r="J1" s="139" t="s">
        <v>426</v>
      </c>
      <c r="K1" s="139" t="s">
        <v>427</v>
      </c>
      <c r="L1" s="139" t="s">
        <v>43</v>
      </c>
      <c r="M1" s="139" t="s">
        <v>428</v>
      </c>
      <c r="N1" s="139" t="s">
        <v>429</v>
      </c>
      <c r="O1" s="139" t="s">
        <v>430</v>
      </c>
      <c r="P1" s="139" t="s">
        <v>431</v>
      </c>
      <c r="Q1" s="139" t="s">
        <v>432</v>
      </c>
      <c r="R1" s="139" t="s">
        <v>433</v>
      </c>
      <c r="S1" s="139" t="s">
        <v>434</v>
      </c>
      <c r="T1" s="139" t="s">
        <v>435</v>
      </c>
      <c r="U1" s="139" t="s">
        <v>436</v>
      </c>
      <c r="V1" s="139" t="s">
        <v>437</v>
      </c>
      <c r="W1" s="139" t="s">
        <v>438</v>
      </c>
      <c r="X1" s="139" t="s">
        <v>439</v>
      </c>
      <c r="Y1" s="139" t="s">
        <v>440</v>
      </c>
      <c r="Z1" s="139" t="s">
        <v>441</v>
      </c>
      <c r="AA1" s="139" t="s">
        <v>442</v>
      </c>
      <c r="AB1" s="139"/>
    </row>
    <row r="2" spans="1:28">
      <c r="A2" s="140" t="s">
        <v>443</v>
      </c>
      <c r="B2" s="140" t="s">
        <v>62</v>
      </c>
      <c r="C2" s="140" t="s">
        <v>444</v>
      </c>
      <c r="D2" s="140" t="s">
        <v>445</v>
      </c>
      <c r="E2" s="140" t="s">
        <v>446</v>
      </c>
      <c r="F2" s="141" t="s">
        <v>5</v>
      </c>
      <c r="G2" s="140">
        <v>4.25</v>
      </c>
      <c r="H2" s="140" t="s">
        <v>18</v>
      </c>
      <c r="I2" s="140" t="s">
        <v>447</v>
      </c>
      <c r="J2" s="140" t="s">
        <v>448</v>
      </c>
      <c r="K2" s="140">
        <v>4.5</v>
      </c>
      <c r="L2" s="140" t="s">
        <v>449</v>
      </c>
      <c r="M2" s="140" t="s">
        <v>450</v>
      </c>
      <c r="N2" s="140">
        <v>4</v>
      </c>
      <c r="O2" s="140" t="s">
        <v>451</v>
      </c>
      <c r="P2" s="142">
        <v>3000000</v>
      </c>
      <c r="Q2" s="140" t="s">
        <v>452</v>
      </c>
      <c r="R2" s="140" t="s">
        <v>453</v>
      </c>
      <c r="S2" s="140"/>
      <c r="T2" s="140"/>
      <c r="U2" s="143" t="s">
        <v>454</v>
      </c>
      <c r="V2" s="143"/>
      <c r="W2" s="143"/>
      <c r="X2" s="140" t="s">
        <v>455</v>
      </c>
      <c r="Y2" s="140" t="s">
        <v>456</v>
      </c>
      <c r="Z2" s="140" t="e">
        <f>IF(VLOOKUP($Y2,'For Lookup'!$A:$B,1, FALSE)=$Y2,"Yes","No")</f>
        <v>#N/A</v>
      </c>
      <c r="AA2" s="140"/>
      <c r="AB2" s="140" t="e">
        <f t="array" aca="1" ref="AB2" ca="1">_xludf.IFS(F2="Deep Tech", INDEX('DT Short List'!U:U,MATCH(B2,'DT Short List'!A:A,0)),F2="Life Sciences",INDEX('LS Shortlist'!T:T,MATCH(B2,'LS Shortlist'!B:B,0)),F2="Digital Tech",INDEX('DiT - Shortlist'!T:T,MATCH(B2,'DiT - Shortlist'!B:B,0)))</f>
        <v>#NAME?</v>
      </c>
    </row>
    <row r="3" spans="1:28">
      <c r="A3" s="144" t="s">
        <v>443</v>
      </c>
      <c r="B3" s="144" t="s">
        <v>64</v>
      </c>
      <c r="C3" s="144" t="s">
        <v>457</v>
      </c>
      <c r="D3" s="144" t="s">
        <v>458</v>
      </c>
      <c r="E3" s="144" t="s">
        <v>459</v>
      </c>
      <c r="F3" s="141" t="s">
        <v>5</v>
      </c>
      <c r="G3" s="144">
        <v>5</v>
      </c>
      <c r="H3" s="144" t="s">
        <v>18</v>
      </c>
      <c r="I3" s="144" t="s">
        <v>460</v>
      </c>
      <c r="J3" s="144" t="s">
        <v>461</v>
      </c>
      <c r="K3" s="144">
        <v>5</v>
      </c>
      <c r="L3" s="144" t="s">
        <v>462</v>
      </c>
      <c r="M3" s="144" t="s">
        <v>463</v>
      </c>
      <c r="N3" s="144">
        <v>5</v>
      </c>
      <c r="O3" s="144" t="s">
        <v>451</v>
      </c>
      <c r="P3" s="144" t="s">
        <v>464</v>
      </c>
      <c r="Q3" s="144" t="s">
        <v>465</v>
      </c>
      <c r="R3" s="144" t="s">
        <v>466</v>
      </c>
      <c r="S3" s="144" t="s">
        <v>467</v>
      </c>
      <c r="T3" s="144" t="s">
        <v>468</v>
      </c>
      <c r="U3" s="145" t="s">
        <v>454</v>
      </c>
      <c r="V3" s="145"/>
      <c r="W3" s="145" t="s">
        <v>467</v>
      </c>
      <c r="X3" s="144" t="s">
        <v>469</v>
      </c>
      <c r="Y3" s="144" t="s">
        <v>470</v>
      </c>
      <c r="Z3" s="144" t="str">
        <f>IF(VLOOKUP($Y3,'For Lookup'!$A:$B,1, FALSE)=$Y3,"Yes","No")</f>
        <v>Yes</v>
      </c>
      <c r="AA3" s="144" t="str">
        <f ca="1">IFERROR(__xludf.DUMMYFUNCTION("IFERROR(VLOOKUP($B3, IMPORTRANGE(""https://docs.google.com/spreadsheets/d/1OjDWN-MnlsliZWDp7tUpoHotUZhL7CZVzcaMFLQRu24/edit"", ""Matches!$A$8:$ZZ""),7, FALSE),"""")"),"")</f>
        <v/>
      </c>
      <c r="AB3" s="144" t="e">
        <f t="array" aca="1" ref="AB3" ca="1">_xludf.IFS(F3="Deep Tech", INDEX('DT Short List'!U:U,MATCH(B3,'DT Short List'!A:A,0)),F3="Life Sciences",INDEX('LS Shortlist'!T:T,MATCH(B3,'LS Shortlist'!B:B,0)),F3="Digital Tech",INDEX('DiT - Shortlist'!T:T,MATCH(B3,'DiT - Shortlist'!B:B,0)))</f>
        <v>#NAME?</v>
      </c>
    </row>
    <row r="4" spans="1:28">
      <c r="A4" s="140" t="s">
        <v>471</v>
      </c>
      <c r="B4" s="140" t="s">
        <v>65</v>
      </c>
      <c r="C4" s="140" t="s">
        <v>472</v>
      </c>
      <c r="D4" s="140" t="s">
        <v>473</v>
      </c>
      <c r="E4" s="140" t="s">
        <v>474</v>
      </c>
      <c r="F4" s="141" t="s">
        <v>5</v>
      </c>
      <c r="G4" s="140">
        <v>4.25</v>
      </c>
      <c r="H4" s="140" t="s">
        <v>18</v>
      </c>
      <c r="I4" s="140" t="s">
        <v>447</v>
      </c>
      <c r="J4" s="140" t="s">
        <v>475</v>
      </c>
      <c r="K4" s="140">
        <v>4.5</v>
      </c>
      <c r="L4" s="140" t="s">
        <v>476</v>
      </c>
      <c r="M4" s="140" t="s">
        <v>477</v>
      </c>
      <c r="N4" s="140">
        <v>4</v>
      </c>
      <c r="O4" s="140" t="s">
        <v>478</v>
      </c>
      <c r="P4" s="140" t="s">
        <v>479</v>
      </c>
      <c r="Q4" s="140" t="s">
        <v>452</v>
      </c>
      <c r="R4" s="140" t="s">
        <v>480</v>
      </c>
      <c r="S4" s="140"/>
      <c r="T4" s="140"/>
      <c r="U4" s="143" t="s">
        <v>481</v>
      </c>
      <c r="V4" s="143"/>
      <c r="W4" s="143"/>
      <c r="X4" s="140" t="s">
        <v>482</v>
      </c>
      <c r="Y4" s="140" t="s">
        <v>483</v>
      </c>
      <c r="Z4" s="140" t="e">
        <f>IF(VLOOKUP($Y4,'For Lookup'!$A:$B,1, FALSE)=$Y4,"Yes","No")</f>
        <v>#N/A</v>
      </c>
      <c r="AA4" s="140"/>
      <c r="AB4" s="140" t="e">
        <f t="array" aca="1" ref="AB4" ca="1">_xludf.IFS(F4="Deep Tech", INDEX('DT Short List'!U:U,MATCH(B4,'DT Short List'!A:A,0)),F4="Life Sciences",INDEX('LS Shortlist'!T:T,MATCH(B4,'LS Shortlist'!B:B,0)),F4="Digital Tech",INDEX('DiT - Shortlist'!T:T,MATCH(B4,'DiT - Shortlist'!B:B,0)))</f>
        <v>#NAME?</v>
      </c>
    </row>
    <row r="5" spans="1:28">
      <c r="A5" s="144" t="s">
        <v>484</v>
      </c>
      <c r="B5" s="144" t="s">
        <v>67</v>
      </c>
      <c r="C5" s="144" t="s">
        <v>485</v>
      </c>
      <c r="D5" s="144" t="s">
        <v>486</v>
      </c>
      <c r="E5" s="144" t="s">
        <v>487</v>
      </c>
      <c r="F5" s="141" t="s">
        <v>5</v>
      </c>
      <c r="G5" s="144">
        <v>4</v>
      </c>
      <c r="H5" s="144" t="s">
        <v>18</v>
      </c>
      <c r="I5" s="144" t="s">
        <v>488</v>
      </c>
      <c r="J5" s="144" t="s">
        <v>489</v>
      </c>
      <c r="K5" s="144">
        <v>4</v>
      </c>
      <c r="L5" s="144" t="s">
        <v>462</v>
      </c>
      <c r="M5" s="144" t="s">
        <v>490</v>
      </c>
      <c r="N5" s="144">
        <v>4</v>
      </c>
      <c r="O5" s="144"/>
      <c r="P5" s="144"/>
      <c r="Q5" s="144" t="s">
        <v>452</v>
      </c>
      <c r="R5" s="144" t="s">
        <v>491</v>
      </c>
      <c r="S5" s="144"/>
      <c r="T5" s="144" t="s">
        <v>492</v>
      </c>
      <c r="U5" s="145" t="s">
        <v>454</v>
      </c>
      <c r="V5" s="145"/>
      <c r="W5" s="145"/>
      <c r="X5" s="144" t="s">
        <v>493</v>
      </c>
      <c r="Y5" s="144" t="s">
        <v>494</v>
      </c>
      <c r="Z5" s="144" t="e">
        <f>IF(VLOOKUP($Y5,'For Lookup'!$A:$B,1, FALSE)=$Y5,"Yes","No")</f>
        <v>#N/A</v>
      </c>
      <c r="AA5" s="144"/>
      <c r="AB5" s="144" t="e">
        <f t="array" aca="1" ref="AB5" ca="1">_xludf.IFS(F5="Deep Tech", INDEX('DT Short List'!U:U,MATCH(B5,'DT Short List'!A:A,0)),F5="Life Sciences",INDEX('LS Shortlist'!T:T,MATCH(B5,'LS Shortlist'!B:B,0)),F5="Digital Tech",INDEX('DiT - Shortlist'!T:T,MATCH(B5,'DiT - Shortlist'!B:B,0)))</f>
        <v>#NAME?</v>
      </c>
    </row>
    <row r="6" spans="1:28">
      <c r="A6" s="140" t="s">
        <v>471</v>
      </c>
      <c r="B6" s="140" t="s">
        <v>68</v>
      </c>
      <c r="C6" s="140" t="s">
        <v>495</v>
      </c>
      <c r="D6" s="140" t="s">
        <v>496</v>
      </c>
      <c r="E6" s="140" t="s">
        <v>497</v>
      </c>
      <c r="F6" s="141" t="s">
        <v>5</v>
      </c>
      <c r="G6" s="140">
        <v>4</v>
      </c>
      <c r="H6" s="140" t="s">
        <v>18</v>
      </c>
      <c r="I6" s="140" t="s">
        <v>447</v>
      </c>
      <c r="J6" s="140" t="s">
        <v>498</v>
      </c>
      <c r="K6" s="140">
        <v>4.5</v>
      </c>
      <c r="L6" s="140" t="s">
        <v>449</v>
      </c>
      <c r="M6" s="140" t="s">
        <v>499</v>
      </c>
      <c r="N6" s="140">
        <v>3.5</v>
      </c>
      <c r="O6" s="140" t="s">
        <v>451</v>
      </c>
      <c r="P6" s="142">
        <v>2000000</v>
      </c>
      <c r="Q6" s="140" t="s">
        <v>452</v>
      </c>
      <c r="R6" s="140" t="s">
        <v>500</v>
      </c>
      <c r="S6" s="140"/>
      <c r="T6" s="140"/>
      <c r="U6" s="143" t="s">
        <v>454</v>
      </c>
      <c r="V6" s="143"/>
      <c r="W6" s="143"/>
      <c r="X6" s="140" t="s">
        <v>501</v>
      </c>
      <c r="Y6" s="140" t="s">
        <v>502</v>
      </c>
      <c r="Z6" s="140" t="e">
        <f>IF(VLOOKUP($Y6,'For Lookup'!$A:$B,1, FALSE)=$Y6,"Yes","No")</f>
        <v>#N/A</v>
      </c>
      <c r="AA6" s="140"/>
      <c r="AB6" s="140" t="e">
        <f t="array" aca="1" ref="AB6" ca="1">_xludf.IFS(F6="Deep Tech", INDEX('DT Short List'!U:U,MATCH(B6,'DT Short List'!A:A,0)),F6="Life Sciences",INDEX('LS Shortlist'!T:T,MATCH(B6,'LS Shortlist'!B:B,0)),F6="Digital Tech",INDEX('DiT - Shortlist'!T:T,MATCH(B6,'DiT - Shortlist'!B:B,0)))</f>
        <v>#NAME?</v>
      </c>
    </row>
    <row r="7" spans="1:28">
      <c r="A7" s="144" t="s">
        <v>503</v>
      </c>
      <c r="B7" s="144" t="s">
        <v>69</v>
      </c>
      <c r="C7" s="144" t="s">
        <v>504</v>
      </c>
      <c r="D7" s="144" t="s">
        <v>505</v>
      </c>
      <c r="E7" s="144" t="s">
        <v>506</v>
      </c>
      <c r="F7" s="141" t="s">
        <v>5</v>
      </c>
      <c r="G7" s="144">
        <v>5</v>
      </c>
      <c r="H7" s="144" t="s">
        <v>18</v>
      </c>
      <c r="I7" s="144" t="s">
        <v>447</v>
      </c>
      <c r="J7" s="144"/>
      <c r="K7" s="144">
        <v>5</v>
      </c>
      <c r="L7" s="144" t="s">
        <v>449</v>
      </c>
      <c r="M7" s="144" t="s">
        <v>507</v>
      </c>
      <c r="N7" s="144">
        <v>5</v>
      </c>
      <c r="O7" s="144" t="s">
        <v>451</v>
      </c>
      <c r="P7" s="146">
        <v>3000000</v>
      </c>
      <c r="Q7" s="144" t="s">
        <v>452</v>
      </c>
      <c r="R7" s="144" t="s">
        <v>508</v>
      </c>
      <c r="S7" s="144"/>
      <c r="T7" s="144" t="s">
        <v>509</v>
      </c>
      <c r="U7" s="145" t="s">
        <v>454</v>
      </c>
      <c r="V7" s="145"/>
      <c r="W7" s="145"/>
      <c r="X7" s="144" t="s">
        <v>510</v>
      </c>
      <c r="Y7" s="144" t="s">
        <v>511</v>
      </c>
      <c r="Z7" s="144" t="str">
        <f>IF(VLOOKUP($Y7,'For Lookup'!$A:$B,1, FALSE)=$Y7,"Yes","No")</f>
        <v>Yes</v>
      </c>
      <c r="AA7" s="144"/>
      <c r="AB7" s="144" t="e">
        <f t="array" aca="1" ref="AB7" ca="1">_xludf.IFS(F7="Deep Tech", INDEX('DT Short List'!U:U,MATCH(B7,'DT Short List'!A:A,0)),F7="Life Sciences",INDEX('LS Shortlist'!T:T,MATCH(B7,'LS Shortlist'!B:B,0)),F7="Digital Tech",INDEX('DiT - Shortlist'!T:T,MATCH(B7,'DiT - Shortlist'!B:B,0)))</f>
        <v>#NAME?</v>
      </c>
    </row>
    <row r="8" spans="1:28">
      <c r="A8" s="140" t="s">
        <v>503</v>
      </c>
      <c r="B8" s="140" t="s">
        <v>71</v>
      </c>
      <c r="C8" s="140" t="s">
        <v>512</v>
      </c>
      <c r="D8" s="140" t="s">
        <v>513</v>
      </c>
      <c r="E8" s="140" t="s">
        <v>514</v>
      </c>
      <c r="F8" s="141" t="s">
        <v>5</v>
      </c>
      <c r="G8" s="140">
        <v>4</v>
      </c>
      <c r="H8" s="140" t="s">
        <v>18</v>
      </c>
      <c r="I8" s="140" t="s">
        <v>447</v>
      </c>
      <c r="J8" s="140" t="s">
        <v>515</v>
      </c>
      <c r="K8" s="140">
        <v>4</v>
      </c>
      <c r="L8" s="140" t="s">
        <v>476</v>
      </c>
      <c r="M8" s="140" t="s">
        <v>516</v>
      </c>
      <c r="N8" s="140">
        <v>4</v>
      </c>
      <c r="O8" s="140"/>
      <c r="P8" s="140"/>
      <c r="Q8" s="140" t="s">
        <v>452</v>
      </c>
      <c r="R8" s="140" t="s">
        <v>452</v>
      </c>
      <c r="S8" s="140"/>
      <c r="T8" s="140"/>
      <c r="U8" s="143" t="s">
        <v>481</v>
      </c>
      <c r="V8" s="143"/>
      <c r="W8" s="143"/>
      <c r="X8" s="140" t="s">
        <v>517</v>
      </c>
      <c r="Y8" s="140" t="s">
        <v>518</v>
      </c>
      <c r="Z8" s="140" t="e">
        <f>IF(VLOOKUP($Y8,'For Lookup'!$A:$B,1, FALSE)=$Y8,"Yes","No")</f>
        <v>#N/A</v>
      </c>
      <c r="AA8" s="140"/>
      <c r="AB8" s="140" t="e">
        <f t="array" aca="1" ref="AB8" ca="1">_xludf.IFS(F8="Deep Tech", INDEX('DT Short List'!U:U,MATCH(B8,'DT Short List'!A:A,0)),F8="Life Sciences",INDEX('LS Shortlist'!T:T,MATCH(B8,'LS Shortlist'!B:B,0)),F8="Digital Tech",INDEX('DiT - Shortlist'!T:T,MATCH(B8,'DiT - Shortlist'!B:B,0)))</f>
        <v>#NAME?</v>
      </c>
    </row>
    <row r="9" spans="1:28">
      <c r="A9" s="144" t="s">
        <v>484</v>
      </c>
      <c r="B9" s="144" t="s">
        <v>72</v>
      </c>
      <c r="C9" s="144" t="s">
        <v>519</v>
      </c>
      <c r="D9" s="144" t="s">
        <v>520</v>
      </c>
      <c r="E9" s="144" t="s">
        <v>521</v>
      </c>
      <c r="F9" s="141" t="s">
        <v>5</v>
      </c>
      <c r="G9" s="144">
        <v>4.75</v>
      </c>
      <c r="H9" s="144" t="s">
        <v>18</v>
      </c>
      <c r="I9" s="144" t="s">
        <v>447</v>
      </c>
      <c r="J9" s="144" t="s">
        <v>522</v>
      </c>
      <c r="K9" s="144">
        <v>4.5</v>
      </c>
      <c r="L9" s="144" t="s">
        <v>449</v>
      </c>
      <c r="M9" s="144" t="s">
        <v>523</v>
      </c>
      <c r="N9" s="144">
        <v>5</v>
      </c>
      <c r="O9" s="144" t="s">
        <v>478</v>
      </c>
      <c r="P9" s="147">
        <v>16000000</v>
      </c>
      <c r="Q9" s="144" t="s">
        <v>452</v>
      </c>
      <c r="R9" s="144" t="s">
        <v>524</v>
      </c>
      <c r="S9" s="144" t="s">
        <v>525</v>
      </c>
      <c r="T9" s="144" t="s">
        <v>526</v>
      </c>
      <c r="U9" s="145" t="s">
        <v>481</v>
      </c>
      <c r="V9" s="145"/>
      <c r="W9" s="145" t="s">
        <v>525</v>
      </c>
      <c r="X9" s="144" t="s">
        <v>527</v>
      </c>
      <c r="Y9" s="144" t="s">
        <v>528</v>
      </c>
      <c r="Z9" s="144" t="str">
        <f>IF(VLOOKUP($Y9,'For Lookup'!$A:$B,1, FALSE)=$Y9,"Yes","No")</f>
        <v>Yes</v>
      </c>
      <c r="AA9" s="144"/>
      <c r="AB9" s="144" t="e">
        <f t="array" aca="1" ref="AB9" ca="1">_xludf.IFS(F9="Deep Tech", INDEX('DT Short List'!U:U,MATCH(B9,'DT Short List'!A:A,0)),F9="Life Sciences",INDEX('LS Shortlist'!T:T,MATCH(B9,'LS Shortlist'!B:B,0)),F9="Digital Tech",INDEX('DiT - Shortlist'!T:T,MATCH(B9,'DiT - Shortlist'!B:B,0)))</f>
        <v>#NAME?</v>
      </c>
    </row>
    <row r="10" spans="1:28">
      <c r="A10" s="140" t="s">
        <v>529</v>
      </c>
      <c r="B10" s="140" t="s">
        <v>76</v>
      </c>
      <c r="C10" s="140" t="s">
        <v>530</v>
      </c>
      <c r="D10" s="140" t="s">
        <v>531</v>
      </c>
      <c r="E10" s="140" t="s">
        <v>532</v>
      </c>
      <c r="F10" s="141" t="s">
        <v>5</v>
      </c>
      <c r="G10" s="140">
        <v>3.5</v>
      </c>
      <c r="H10" s="140" t="s">
        <v>18</v>
      </c>
      <c r="I10" s="140" t="s">
        <v>447</v>
      </c>
      <c r="J10" s="140" t="s">
        <v>533</v>
      </c>
      <c r="K10" s="140">
        <v>3</v>
      </c>
      <c r="L10" s="140" t="s">
        <v>449</v>
      </c>
      <c r="M10" s="140" t="s">
        <v>534</v>
      </c>
      <c r="N10" s="140">
        <v>4</v>
      </c>
      <c r="O10" s="140" t="s">
        <v>451</v>
      </c>
      <c r="P10" s="142">
        <v>6500000</v>
      </c>
      <c r="Q10" s="140" t="s">
        <v>452</v>
      </c>
      <c r="R10" s="140" t="s">
        <v>535</v>
      </c>
      <c r="S10" s="140"/>
      <c r="T10" s="140" t="s">
        <v>536</v>
      </c>
      <c r="U10" s="143" t="s">
        <v>454</v>
      </c>
      <c r="V10" s="143"/>
      <c r="W10" s="143"/>
      <c r="X10" s="140" t="s">
        <v>537</v>
      </c>
      <c r="Y10" s="140" t="s">
        <v>538</v>
      </c>
      <c r="Z10" s="140" t="e">
        <f>IF(VLOOKUP($Y10,'For Lookup'!$A:$B,1, FALSE)=$Y10,"Yes","No")</f>
        <v>#N/A</v>
      </c>
      <c r="AA10" s="140"/>
      <c r="AB10" s="140" t="e">
        <f t="array" aca="1" ref="AB10" ca="1">_xludf.IFS(F10="Deep Tech", INDEX('DT Short List'!U:U,MATCH(B10,'DT Short List'!A:A,0)),F10="Life Sciences",INDEX('LS Shortlist'!T:T,MATCH(B10,'LS Shortlist'!B:B,0)),F10="Digital Tech",INDEX('DiT - Shortlist'!T:T,MATCH(B10,'DiT - Shortlist'!B:B,0)))</f>
        <v>#NAME?</v>
      </c>
    </row>
    <row r="11" spans="1:28">
      <c r="A11" s="144" t="s">
        <v>503</v>
      </c>
      <c r="B11" s="144" t="s">
        <v>75</v>
      </c>
      <c r="C11" s="144" t="s">
        <v>539</v>
      </c>
      <c r="D11" s="144" t="s">
        <v>540</v>
      </c>
      <c r="E11" s="144" t="s">
        <v>541</v>
      </c>
      <c r="F11" s="141" t="s">
        <v>5</v>
      </c>
      <c r="G11" s="144">
        <v>4</v>
      </c>
      <c r="H11" s="144" t="s">
        <v>18</v>
      </c>
      <c r="I11" s="144" t="s">
        <v>447</v>
      </c>
      <c r="J11" s="144" t="s">
        <v>542</v>
      </c>
      <c r="K11" s="144">
        <v>4.5</v>
      </c>
      <c r="L11" s="144" t="s">
        <v>543</v>
      </c>
      <c r="M11" s="144" t="s">
        <v>544</v>
      </c>
      <c r="N11" s="144">
        <v>3.5</v>
      </c>
      <c r="O11" s="144" t="s">
        <v>545</v>
      </c>
      <c r="P11" s="144" t="s">
        <v>546</v>
      </c>
      <c r="Q11" s="144" t="s">
        <v>452</v>
      </c>
      <c r="R11" s="144" t="s">
        <v>547</v>
      </c>
      <c r="S11" s="144"/>
      <c r="T11" s="144"/>
      <c r="U11" s="145" t="s">
        <v>454</v>
      </c>
      <c r="V11" s="145"/>
      <c r="W11" s="145"/>
      <c r="X11" s="144" t="s">
        <v>548</v>
      </c>
      <c r="Y11" s="144" t="s">
        <v>549</v>
      </c>
      <c r="Z11" s="144" t="e">
        <f>IF(VLOOKUP($Y11,'For Lookup'!$A:$B,1, FALSE)=$Y11,"Yes","No")</f>
        <v>#N/A</v>
      </c>
      <c r="AA11" s="144"/>
      <c r="AB11" s="144" t="e">
        <f t="array" aca="1" ref="AB11" ca="1">_xludf.IFS(F11="Deep Tech", INDEX('DT Short List'!U:U,MATCH(B11,'DT Short List'!A:A,0)),F11="Life Sciences",INDEX('LS Shortlist'!T:T,MATCH(B11,'LS Shortlist'!B:B,0)),F11="Digital Tech",INDEX('DiT - Shortlist'!T:T,MATCH(B11,'DiT - Shortlist'!B:B,0)))</f>
        <v>#NAME?</v>
      </c>
    </row>
    <row r="12" spans="1:28">
      <c r="A12" s="140" t="s">
        <v>443</v>
      </c>
      <c r="B12" s="140" t="s">
        <v>77</v>
      </c>
      <c r="C12" s="140" t="s">
        <v>550</v>
      </c>
      <c r="D12" s="140" t="s">
        <v>551</v>
      </c>
      <c r="E12" s="140" t="s">
        <v>552</v>
      </c>
      <c r="F12" s="141" t="s">
        <v>5</v>
      </c>
      <c r="G12" s="140">
        <v>4</v>
      </c>
      <c r="H12" s="140" t="s">
        <v>18</v>
      </c>
      <c r="I12" s="140" t="s">
        <v>447</v>
      </c>
      <c r="J12" s="140" t="s">
        <v>553</v>
      </c>
      <c r="K12" s="140">
        <v>4</v>
      </c>
      <c r="L12" s="140" t="s">
        <v>543</v>
      </c>
      <c r="M12" s="140" t="s">
        <v>554</v>
      </c>
      <c r="N12" s="140">
        <v>4</v>
      </c>
      <c r="O12" s="140" t="s">
        <v>451</v>
      </c>
      <c r="P12" s="142">
        <v>11000000</v>
      </c>
      <c r="Q12" s="140" t="s">
        <v>454</v>
      </c>
      <c r="R12" s="140" t="s">
        <v>555</v>
      </c>
      <c r="S12" s="140"/>
      <c r="T12" s="140" t="s">
        <v>556</v>
      </c>
      <c r="U12" s="143" t="s">
        <v>454</v>
      </c>
      <c r="V12" s="143" t="s">
        <v>557</v>
      </c>
      <c r="W12" s="143"/>
      <c r="X12" s="140" t="s">
        <v>558</v>
      </c>
      <c r="Y12" s="140" t="s">
        <v>559</v>
      </c>
      <c r="Z12" s="140" t="e">
        <f>IF(VLOOKUP($Y12,'For Lookup'!$A:$B,1, FALSE)=$Y12,"Yes","No")</f>
        <v>#N/A</v>
      </c>
      <c r="AA12" s="140"/>
      <c r="AB12" s="140" t="e">
        <f t="array" aca="1" ref="AB12" ca="1">_xludf.IFS(F12="Deep Tech", INDEX('DT Short List'!U:U,MATCH(B12,'DT Short List'!A:A,0)),F12="Life Sciences",INDEX('LS Shortlist'!T:T,MATCH(B12,'LS Shortlist'!B:B,0)),F12="Digital Tech",INDEX('DiT - Shortlist'!T:T,MATCH(B12,'DiT - Shortlist'!B:B,0)))</f>
        <v>#NAME?</v>
      </c>
    </row>
    <row r="13" spans="1:28">
      <c r="A13" s="144" t="s">
        <v>529</v>
      </c>
      <c r="B13" s="144" t="s">
        <v>78</v>
      </c>
      <c r="C13" s="144" t="s">
        <v>560</v>
      </c>
      <c r="D13" s="144" t="s">
        <v>561</v>
      </c>
      <c r="E13" s="144" t="s">
        <v>562</v>
      </c>
      <c r="F13" s="141" t="s">
        <v>5</v>
      </c>
      <c r="G13" s="144">
        <v>4.75</v>
      </c>
      <c r="H13" s="144" t="s">
        <v>18</v>
      </c>
      <c r="I13" s="144" t="s">
        <v>447</v>
      </c>
      <c r="J13" s="144" t="s">
        <v>563</v>
      </c>
      <c r="K13" s="144">
        <v>5</v>
      </c>
      <c r="L13" s="144" t="s">
        <v>543</v>
      </c>
      <c r="M13" s="144" t="s">
        <v>564</v>
      </c>
      <c r="N13" s="144">
        <v>4.5</v>
      </c>
      <c r="O13" s="144" t="s">
        <v>478</v>
      </c>
      <c r="P13" s="144" t="s">
        <v>565</v>
      </c>
      <c r="Q13" s="144" t="s">
        <v>452</v>
      </c>
      <c r="R13" s="144" t="s">
        <v>566</v>
      </c>
      <c r="S13" s="144"/>
      <c r="T13" s="144" t="s">
        <v>567</v>
      </c>
      <c r="U13" s="145" t="s">
        <v>454</v>
      </c>
      <c r="V13" s="145"/>
      <c r="W13" s="145"/>
      <c r="X13" s="144" t="s">
        <v>568</v>
      </c>
      <c r="Y13" s="144" t="s">
        <v>569</v>
      </c>
      <c r="Z13" s="144" t="str">
        <f>IF(VLOOKUP($Y13,'For Lookup'!$A:$B,1, FALSE)=$Y13,"Yes","No")</f>
        <v>Yes</v>
      </c>
      <c r="AA13" s="144"/>
      <c r="AB13" s="144" t="e">
        <f t="array" aca="1" ref="AB13" ca="1">_xludf.IFS(F13="Deep Tech", INDEX('DT Short List'!U:U,MATCH(B13,'DT Short List'!A:A,0)),F13="Life Sciences",INDEX('LS Shortlist'!T:T,MATCH(B13,'LS Shortlist'!B:B,0)),F13="Digital Tech",INDEX('DiT - Shortlist'!T:T,MATCH(B13,'DiT - Shortlist'!B:B,0)))</f>
        <v>#NAME?</v>
      </c>
    </row>
    <row r="14" spans="1:28">
      <c r="A14" s="140" t="s">
        <v>484</v>
      </c>
      <c r="B14" s="140" t="s">
        <v>80</v>
      </c>
      <c r="C14" s="140" t="s">
        <v>570</v>
      </c>
      <c r="D14" s="140" t="s">
        <v>571</v>
      </c>
      <c r="E14" s="140" t="s">
        <v>572</v>
      </c>
      <c r="F14" s="141" t="s">
        <v>5</v>
      </c>
      <c r="G14" s="140">
        <v>4.75</v>
      </c>
      <c r="H14" s="140" t="s">
        <v>18</v>
      </c>
      <c r="I14" s="140" t="s">
        <v>447</v>
      </c>
      <c r="J14" s="140" t="s">
        <v>573</v>
      </c>
      <c r="K14" s="140">
        <v>4.5</v>
      </c>
      <c r="L14" s="140" t="s">
        <v>449</v>
      </c>
      <c r="M14" s="140" t="s">
        <v>574</v>
      </c>
      <c r="N14" s="140">
        <v>5</v>
      </c>
      <c r="O14" s="140" t="s">
        <v>451</v>
      </c>
      <c r="P14" s="148">
        <v>5000000</v>
      </c>
      <c r="Q14" s="140" t="s">
        <v>465</v>
      </c>
      <c r="R14" s="140" t="s">
        <v>575</v>
      </c>
      <c r="S14" s="140"/>
      <c r="T14" s="140" t="s">
        <v>576</v>
      </c>
      <c r="U14" s="143" t="s">
        <v>481</v>
      </c>
      <c r="V14" s="143"/>
      <c r="W14" s="143"/>
      <c r="X14" s="140" t="s">
        <v>577</v>
      </c>
      <c r="Y14" s="140" t="s">
        <v>578</v>
      </c>
      <c r="Z14" s="140" t="str">
        <f>IF(VLOOKUP($Y14,'For Lookup'!$A:$B,1, FALSE)=$Y14,"Yes","No")</f>
        <v>Yes</v>
      </c>
      <c r="AA14" s="140"/>
      <c r="AB14" s="140" t="e">
        <f t="array" aca="1" ref="AB14" ca="1">_xludf.IFS(F14="Deep Tech", INDEX('DT Short List'!U:U,MATCH(B14,'DT Short List'!A:A,0)),F14="Life Sciences",INDEX('LS Shortlist'!T:T,MATCH(B14,'LS Shortlist'!B:B,0)),F14="Digital Tech",INDEX('DiT - Shortlist'!T:T,MATCH(B14,'DiT - Shortlist'!B:B,0)))</f>
        <v>#NAME?</v>
      </c>
    </row>
    <row r="15" spans="1:28">
      <c r="A15" s="144" t="s">
        <v>471</v>
      </c>
      <c r="B15" s="144" t="s">
        <v>81</v>
      </c>
      <c r="C15" s="144" t="s">
        <v>579</v>
      </c>
      <c r="D15" s="144" t="s">
        <v>580</v>
      </c>
      <c r="E15" s="144" t="s">
        <v>581</v>
      </c>
      <c r="F15" s="141" t="s">
        <v>5</v>
      </c>
      <c r="G15" s="144">
        <v>3.75</v>
      </c>
      <c r="H15" s="144" t="s">
        <v>18</v>
      </c>
      <c r="I15" s="144" t="s">
        <v>447</v>
      </c>
      <c r="J15" s="144" t="s">
        <v>582</v>
      </c>
      <c r="K15" s="144">
        <v>3.5</v>
      </c>
      <c r="L15" s="144" t="s">
        <v>543</v>
      </c>
      <c r="M15" s="144" t="s">
        <v>583</v>
      </c>
      <c r="N15" s="144">
        <v>4</v>
      </c>
      <c r="O15" s="144" t="s">
        <v>478</v>
      </c>
      <c r="P15" s="146">
        <v>8500000</v>
      </c>
      <c r="Q15" s="144" t="s">
        <v>452</v>
      </c>
      <c r="R15" s="144" t="s">
        <v>584</v>
      </c>
      <c r="S15" s="144" t="s">
        <v>585</v>
      </c>
      <c r="T15" s="144" t="s">
        <v>586</v>
      </c>
      <c r="U15" s="145" t="s">
        <v>481</v>
      </c>
      <c r="V15" s="145"/>
      <c r="W15" s="145" t="s">
        <v>585</v>
      </c>
      <c r="X15" s="144" t="s">
        <v>587</v>
      </c>
      <c r="Y15" s="144" t="s">
        <v>588</v>
      </c>
      <c r="Z15" s="144" t="e">
        <f>IF(VLOOKUP($Y15,'For Lookup'!$A:$B,1, FALSE)=$Y15,"Yes","No")</f>
        <v>#N/A</v>
      </c>
      <c r="AA15" s="144"/>
      <c r="AB15" s="144" t="e">
        <f t="array" aca="1" ref="AB15" ca="1">_xludf.IFS(F15="Deep Tech", INDEX('DT Short List'!U:U,MATCH(B15,'DT Short List'!A:A,0)),F15="Life Sciences",INDEX('LS Shortlist'!T:T,MATCH(B15,'LS Shortlist'!B:B,0)),F15="Digital Tech",INDEX('DiT - Shortlist'!T:T,MATCH(B15,'DiT - Shortlist'!B:B,0)))</f>
        <v>#NAME?</v>
      </c>
    </row>
    <row r="16" spans="1:28">
      <c r="A16" s="140" t="s">
        <v>529</v>
      </c>
      <c r="B16" s="140" t="s">
        <v>82</v>
      </c>
      <c r="C16" s="140" t="s">
        <v>589</v>
      </c>
      <c r="D16" s="140" t="s">
        <v>590</v>
      </c>
      <c r="E16" s="140" t="s">
        <v>591</v>
      </c>
      <c r="F16" s="141" t="s">
        <v>5</v>
      </c>
      <c r="G16" s="140">
        <v>4.5</v>
      </c>
      <c r="H16" s="140" t="s">
        <v>18</v>
      </c>
      <c r="I16" s="140" t="s">
        <v>460</v>
      </c>
      <c r="J16" s="140" t="s">
        <v>592</v>
      </c>
      <c r="K16" s="140">
        <v>4.5</v>
      </c>
      <c r="L16" s="140" t="s">
        <v>462</v>
      </c>
      <c r="M16" s="140" t="s">
        <v>593</v>
      </c>
      <c r="N16" s="140">
        <v>4.5</v>
      </c>
      <c r="O16" s="140" t="s">
        <v>451</v>
      </c>
      <c r="P16" s="142">
        <v>3000000</v>
      </c>
      <c r="Q16" s="140" t="s">
        <v>452</v>
      </c>
      <c r="R16" s="140" t="s">
        <v>594</v>
      </c>
      <c r="S16" s="140"/>
      <c r="T16" s="140" t="s">
        <v>595</v>
      </c>
      <c r="U16" s="143" t="s">
        <v>454</v>
      </c>
      <c r="V16" s="143"/>
      <c r="W16" s="143"/>
      <c r="X16" s="140" t="s">
        <v>596</v>
      </c>
      <c r="Y16" s="140" t="s">
        <v>597</v>
      </c>
      <c r="Z16" s="140" t="e">
        <f>IF(VLOOKUP($Y16,'For Lookup'!$A:$B,1, FALSE)=$Y16,"Yes","No")</f>
        <v>#N/A</v>
      </c>
      <c r="AA16" s="140"/>
      <c r="AB16" s="140" t="e">
        <f t="array" aca="1" ref="AB16" ca="1">_xludf.IFS(F16="Deep Tech", INDEX('DT Short List'!U:U,MATCH(B16,'DT Short List'!A:A,0)),F16="Life Sciences",INDEX('LS Shortlist'!T:T,MATCH(B16,'LS Shortlist'!B:B,0)),F16="Digital Tech",INDEX('DiT - Shortlist'!T:T,MATCH(B16,'DiT - Shortlist'!B:B,0)))</f>
        <v>#NAME?</v>
      </c>
    </row>
    <row r="17" spans="1:28">
      <c r="A17" s="144" t="s">
        <v>598</v>
      </c>
      <c r="B17" s="144" t="s">
        <v>84</v>
      </c>
      <c r="C17" s="144" t="s">
        <v>599</v>
      </c>
      <c r="D17" s="144" t="s">
        <v>600</v>
      </c>
      <c r="E17" s="144" t="s">
        <v>601</v>
      </c>
      <c r="F17" s="141" t="s">
        <v>5</v>
      </c>
      <c r="G17" s="144">
        <v>4.5</v>
      </c>
      <c r="H17" s="144" t="s">
        <v>18</v>
      </c>
      <c r="I17" s="144" t="s">
        <v>602</v>
      </c>
      <c r="J17" s="144" t="s">
        <v>603</v>
      </c>
      <c r="K17" s="144">
        <v>4</v>
      </c>
      <c r="L17" s="144" t="s">
        <v>604</v>
      </c>
      <c r="M17" s="144" t="s">
        <v>605</v>
      </c>
      <c r="N17" s="144">
        <v>5</v>
      </c>
      <c r="O17" s="144"/>
      <c r="P17" s="144"/>
      <c r="Q17" s="144" t="s">
        <v>465</v>
      </c>
      <c r="R17" s="144" t="s">
        <v>452</v>
      </c>
      <c r="S17" s="144"/>
      <c r="T17" s="144" t="s">
        <v>606</v>
      </c>
      <c r="U17" s="145" t="s">
        <v>481</v>
      </c>
      <c r="V17" s="145"/>
      <c r="W17" s="145"/>
      <c r="X17" s="144" t="s">
        <v>607</v>
      </c>
      <c r="Y17" s="144" t="s">
        <v>608</v>
      </c>
      <c r="Z17" s="144" t="e">
        <f>IF(VLOOKUP($Y17,'For Lookup'!$A:$B,1, FALSE)=$Y17,"Yes","No")</f>
        <v>#N/A</v>
      </c>
      <c r="AA17" s="144"/>
      <c r="AB17" s="144" t="e">
        <f t="array" aca="1" ref="AB17" ca="1">_xludf.IFS(F17="Deep Tech", INDEX('DT Short List'!U:U,MATCH(B17,'DT Short List'!A:A,0)),F17="Life Sciences",INDEX('LS Shortlist'!T:T,MATCH(B17,'LS Shortlist'!B:B,0)),F17="Digital Tech",INDEX('DiT - Shortlist'!T:T,MATCH(B17,'DiT - Shortlist'!B:B,0)))</f>
        <v>#NAME?</v>
      </c>
    </row>
    <row r="18" spans="1:28">
      <c r="A18" s="140" t="s">
        <v>443</v>
      </c>
      <c r="B18" s="140" t="s">
        <v>86</v>
      </c>
      <c r="C18" s="140" t="s">
        <v>609</v>
      </c>
      <c r="D18" s="140" t="s">
        <v>610</v>
      </c>
      <c r="E18" s="140" t="s">
        <v>611</v>
      </c>
      <c r="F18" s="141" t="s">
        <v>5</v>
      </c>
      <c r="G18" s="140">
        <v>4</v>
      </c>
      <c r="H18" s="140" t="s">
        <v>18</v>
      </c>
      <c r="I18" s="140" t="s">
        <v>460</v>
      </c>
      <c r="J18" s="140" t="s">
        <v>612</v>
      </c>
      <c r="K18" s="140">
        <v>4</v>
      </c>
      <c r="L18" s="140" t="s">
        <v>462</v>
      </c>
      <c r="M18" s="140" t="s">
        <v>613</v>
      </c>
      <c r="N18" s="140">
        <v>4</v>
      </c>
      <c r="O18" s="140" t="s">
        <v>478</v>
      </c>
      <c r="P18" s="140" t="s">
        <v>614</v>
      </c>
      <c r="Q18" s="140" t="s">
        <v>452</v>
      </c>
      <c r="R18" s="140" t="s">
        <v>452</v>
      </c>
      <c r="S18" s="140"/>
      <c r="T18" s="140" t="s">
        <v>615</v>
      </c>
      <c r="U18" s="143" t="s">
        <v>454</v>
      </c>
      <c r="V18" s="143"/>
      <c r="W18" s="143"/>
      <c r="X18" s="140" t="s">
        <v>616</v>
      </c>
      <c r="Y18" s="140" t="s">
        <v>617</v>
      </c>
      <c r="Z18" s="140" t="e">
        <f>IF(VLOOKUP($Y18,'For Lookup'!$A:$B,1, FALSE)=$Y18,"Yes","No")</f>
        <v>#N/A</v>
      </c>
      <c r="AA18" s="140"/>
      <c r="AB18" s="140" t="e">
        <f t="array" aca="1" ref="AB18" ca="1">_xludf.IFS(F18="Deep Tech", INDEX('DT Short List'!U:U,MATCH(B18,'DT Short List'!A:A,0)),F18="Life Sciences",INDEX('LS Shortlist'!T:T,MATCH(B18,'LS Shortlist'!B:B,0)),F18="Digital Tech",INDEX('DiT - Shortlist'!T:T,MATCH(B18,'DiT - Shortlist'!B:B,0)))</f>
        <v>#NAME?</v>
      </c>
    </row>
    <row r="19" spans="1:28">
      <c r="A19" s="144" t="s">
        <v>471</v>
      </c>
      <c r="B19" s="144" t="s">
        <v>88</v>
      </c>
      <c r="C19" s="144" t="s">
        <v>618</v>
      </c>
      <c r="D19" s="144" t="s">
        <v>619</v>
      </c>
      <c r="E19" s="144" t="s">
        <v>620</v>
      </c>
      <c r="F19" s="141" t="s">
        <v>5</v>
      </c>
      <c r="G19" s="144">
        <v>4</v>
      </c>
      <c r="H19" s="144" t="s">
        <v>18</v>
      </c>
      <c r="I19" s="144" t="s">
        <v>447</v>
      </c>
      <c r="J19" s="144" t="s">
        <v>621</v>
      </c>
      <c r="K19" s="144">
        <v>4</v>
      </c>
      <c r="L19" s="144" t="s">
        <v>622</v>
      </c>
      <c r="M19" s="144" t="s">
        <v>623</v>
      </c>
      <c r="N19" s="144">
        <v>4</v>
      </c>
      <c r="O19" s="144" t="s">
        <v>478</v>
      </c>
      <c r="P19" s="147">
        <v>3000000</v>
      </c>
      <c r="Q19" s="144" t="s">
        <v>452</v>
      </c>
      <c r="R19" s="144" t="s">
        <v>452</v>
      </c>
      <c r="S19" s="144"/>
      <c r="T19" s="144" t="s">
        <v>624</v>
      </c>
      <c r="U19" s="145" t="s">
        <v>481</v>
      </c>
      <c r="V19" s="145"/>
      <c r="W19" s="145"/>
      <c r="X19" s="144" t="s">
        <v>625</v>
      </c>
      <c r="Y19" s="144" t="s">
        <v>626</v>
      </c>
      <c r="Z19" s="144" t="e">
        <f>IF(VLOOKUP($Y19,'For Lookup'!$A:$B,1, FALSE)=$Y19,"Yes","No")</f>
        <v>#N/A</v>
      </c>
      <c r="AA19" s="144"/>
      <c r="AB19" s="144" t="e">
        <f t="array" aca="1" ref="AB19" ca="1">_xludf.IFS(F19="Deep Tech", INDEX('DT Short List'!U:U,MATCH(B19,'DT Short List'!A:A,0)),F19="Life Sciences",INDEX('LS Shortlist'!T:T,MATCH(B19,'LS Shortlist'!B:B,0)),F19="Digital Tech",INDEX('DiT - Shortlist'!T:T,MATCH(B19,'DiT - Shortlist'!B:B,0)))</f>
        <v>#NAME?</v>
      </c>
    </row>
    <row r="20" spans="1:28">
      <c r="A20" s="140" t="s">
        <v>443</v>
      </c>
      <c r="B20" s="140" t="s">
        <v>89</v>
      </c>
      <c r="C20" s="140" t="s">
        <v>627</v>
      </c>
      <c r="D20" s="140" t="s">
        <v>628</v>
      </c>
      <c r="E20" s="140" t="s">
        <v>629</v>
      </c>
      <c r="F20" s="141" t="s">
        <v>5</v>
      </c>
      <c r="G20" s="140">
        <v>4.25</v>
      </c>
      <c r="H20" s="140" t="s">
        <v>18</v>
      </c>
      <c r="I20" s="140" t="s">
        <v>447</v>
      </c>
      <c r="J20" s="140" t="s">
        <v>630</v>
      </c>
      <c r="K20" s="140">
        <v>4</v>
      </c>
      <c r="L20" s="140" t="s">
        <v>543</v>
      </c>
      <c r="M20" s="140" t="s">
        <v>631</v>
      </c>
      <c r="N20" s="140">
        <v>4.5</v>
      </c>
      <c r="O20" s="140" t="s">
        <v>478</v>
      </c>
      <c r="P20" s="142">
        <v>15000000</v>
      </c>
      <c r="Q20" s="140" t="s">
        <v>452</v>
      </c>
      <c r="R20" s="140" t="s">
        <v>632</v>
      </c>
      <c r="S20" s="140"/>
      <c r="T20" s="140"/>
      <c r="U20" s="143" t="s">
        <v>481</v>
      </c>
      <c r="V20" s="143"/>
      <c r="W20" s="143"/>
      <c r="X20" s="140" t="s">
        <v>633</v>
      </c>
      <c r="Y20" s="140" t="s">
        <v>634</v>
      </c>
      <c r="Z20" s="140" t="e">
        <f>IF(VLOOKUP($Y20,'For Lookup'!$A:$B,1, FALSE)=$Y20,"Yes","No")</f>
        <v>#N/A</v>
      </c>
      <c r="AA20" s="140"/>
      <c r="AB20" s="140" t="e">
        <f t="array" aca="1" ref="AB20" ca="1">_xludf.IFS(F20="Deep Tech", INDEX('DT Short List'!U:U,MATCH(B20,'DT Short List'!A:A,0)),F20="Life Sciences",INDEX('LS Shortlist'!T:T,MATCH(B20,'LS Shortlist'!B:B,0)),F20="Digital Tech",INDEX('DiT - Shortlist'!T:T,MATCH(B20,'DiT - Shortlist'!B:B,0)))</f>
        <v>#NAME?</v>
      </c>
    </row>
    <row r="21" spans="1:28">
      <c r="A21" s="144" t="s">
        <v>484</v>
      </c>
      <c r="B21" s="144" t="s">
        <v>635</v>
      </c>
      <c r="C21" s="144" t="s">
        <v>636</v>
      </c>
      <c r="D21" s="144" t="s">
        <v>637</v>
      </c>
      <c r="E21" s="144" t="s">
        <v>638</v>
      </c>
      <c r="F21" s="141" t="s">
        <v>5</v>
      </c>
      <c r="G21" s="144">
        <v>3.75</v>
      </c>
      <c r="H21" s="144" t="s">
        <v>18</v>
      </c>
      <c r="I21" s="144" t="s">
        <v>447</v>
      </c>
      <c r="J21" s="144" t="s">
        <v>639</v>
      </c>
      <c r="K21" s="144">
        <v>3.5</v>
      </c>
      <c r="L21" s="144" t="s">
        <v>622</v>
      </c>
      <c r="M21" s="144"/>
      <c r="N21" s="144">
        <v>4</v>
      </c>
      <c r="O21" s="144"/>
      <c r="P21" s="144"/>
      <c r="Q21" s="144" t="s">
        <v>452</v>
      </c>
      <c r="R21" s="144" t="s">
        <v>575</v>
      </c>
      <c r="S21" s="144" t="s">
        <v>640</v>
      </c>
      <c r="T21" s="144" t="s">
        <v>641</v>
      </c>
      <c r="U21" s="145"/>
      <c r="V21" s="145"/>
      <c r="W21" s="145"/>
      <c r="X21" s="144" t="s">
        <v>642</v>
      </c>
      <c r="Y21" s="144" t="s">
        <v>643</v>
      </c>
      <c r="Z21" s="144" t="e">
        <f>IF(VLOOKUP($Y21,'For Lookup'!$A:$B,1, FALSE)=$Y21,"Yes","No")</f>
        <v>#N/A</v>
      </c>
      <c r="AA21" s="144"/>
      <c r="AB21" s="144" t="e">
        <f t="array" aca="1" ref="AB21" ca="1">_xludf.IFS(F21="Deep Tech", INDEX('DT Short List'!U:U,MATCH(B21,'DT Short List'!A:A,0)),F21="Life Sciences",INDEX('LS Shortlist'!T:T,MATCH(B21,'LS Shortlist'!B:B,0)),F21="Digital Tech",INDEX('DiT - Shortlist'!T:T,MATCH(B21,'DiT - Shortlist'!B:B,0)))</f>
        <v>#NAME?</v>
      </c>
    </row>
    <row r="22" spans="1:28">
      <c r="A22" s="140" t="s">
        <v>503</v>
      </c>
      <c r="B22" s="140" t="s">
        <v>91</v>
      </c>
      <c r="C22" s="140" t="s">
        <v>644</v>
      </c>
      <c r="D22" s="140" t="s">
        <v>645</v>
      </c>
      <c r="E22" s="140" t="s">
        <v>646</v>
      </c>
      <c r="F22" s="141" t="s">
        <v>5</v>
      </c>
      <c r="G22" s="140">
        <v>3.5</v>
      </c>
      <c r="H22" s="140" t="s">
        <v>18</v>
      </c>
      <c r="I22" s="140" t="s">
        <v>447</v>
      </c>
      <c r="J22" s="140" t="s">
        <v>647</v>
      </c>
      <c r="K22" s="140">
        <v>4</v>
      </c>
      <c r="L22" s="140" t="s">
        <v>543</v>
      </c>
      <c r="M22" s="140" t="s">
        <v>648</v>
      </c>
      <c r="N22" s="140">
        <v>3</v>
      </c>
      <c r="O22" s="140" t="s">
        <v>451</v>
      </c>
      <c r="P22" s="140">
        <v>4000000</v>
      </c>
      <c r="Q22" s="140" t="s">
        <v>465</v>
      </c>
      <c r="R22" s="140" t="s">
        <v>649</v>
      </c>
      <c r="S22" s="140" t="s">
        <v>460</v>
      </c>
      <c r="T22" s="140" t="s">
        <v>650</v>
      </c>
      <c r="U22" s="143" t="s">
        <v>481</v>
      </c>
      <c r="V22" s="143"/>
      <c r="W22" s="143" t="s">
        <v>460</v>
      </c>
      <c r="X22" s="140" t="s">
        <v>651</v>
      </c>
      <c r="Y22" s="140" t="s">
        <v>652</v>
      </c>
      <c r="Z22" s="140" t="e">
        <f>IF(VLOOKUP($Y22,'For Lookup'!$A:$B,1, FALSE)=$Y22,"Yes","No")</f>
        <v>#N/A</v>
      </c>
      <c r="AA22" s="140"/>
      <c r="AB22" s="140" t="e">
        <f t="array" aca="1" ref="AB22" ca="1">_xludf.IFS(F22="Deep Tech", INDEX('DT Short List'!U:U,MATCH(B22,'DT Short List'!A:A,0)),F22="Life Sciences",INDEX('LS Shortlist'!T:T,MATCH(B22,'LS Shortlist'!B:B,0)),F22="Digital Tech",INDEX('DiT - Shortlist'!T:T,MATCH(B22,'DiT - Shortlist'!B:B,0)))</f>
        <v>#NAME?</v>
      </c>
    </row>
    <row r="23" spans="1:28">
      <c r="A23" s="144" t="s">
        <v>471</v>
      </c>
      <c r="B23" s="144" t="s">
        <v>92</v>
      </c>
      <c r="C23" s="144" t="s">
        <v>653</v>
      </c>
      <c r="D23" s="144" t="s">
        <v>654</v>
      </c>
      <c r="E23" s="144" t="s">
        <v>655</v>
      </c>
      <c r="F23" s="141" t="s">
        <v>5</v>
      </c>
      <c r="G23" s="144">
        <v>5</v>
      </c>
      <c r="H23" s="144" t="s">
        <v>18</v>
      </c>
      <c r="I23" s="144" t="s">
        <v>460</v>
      </c>
      <c r="J23" s="144" t="s">
        <v>656</v>
      </c>
      <c r="K23" s="144">
        <v>5</v>
      </c>
      <c r="L23" s="144" t="s">
        <v>462</v>
      </c>
      <c r="M23" s="144"/>
      <c r="N23" s="144">
        <v>5</v>
      </c>
      <c r="O23" s="144" t="s">
        <v>451</v>
      </c>
      <c r="P23" s="147">
        <v>3000000</v>
      </c>
      <c r="Q23" s="144" t="s">
        <v>452</v>
      </c>
      <c r="R23" s="144" t="s">
        <v>657</v>
      </c>
      <c r="S23" s="144"/>
      <c r="T23" s="144" t="s">
        <v>658</v>
      </c>
      <c r="U23" s="145" t="s">
        <v>454</v>
      </c>
      <c r="V23" s="145"/>
      <c r="W23" s="145"/>
      <c r="X23" s="144" t="s">
        <v>659</v>
      </c>
      <c r="Y23" s="144" t="s">
        <v>660</v>
      </c>
      <c r="Z23" s="144" t="str">
        <f>IF(VLOOKUP($Y23,'For Lookup'!$A:$B,1, FALSE)=$Y23,"Yes","No")</f>
        <v>Yes</v>
      </c>
      <c r="AA23" s="144"/>
      <c r="AB23" s="144" t="e">
        <f t="array" aca="1" ref="AB23" ca="1">_xludf.IFS(F23="Deep Tech", INDEX('DT Short List'!U:U,MATCH(B23,'DT Short List'!A:A,0)),F23="Life Sciences",INDEX('LS Shortlist'!T:T,MATCH(B23,'LS Shortlist'!B:B,0)),F23="Digital Tech",INDEX('DiT - Shortlist'!T:T,MATCH(B23,'DiT - Shortlist'!B:B,0)))</f>
        <v>#NAME?</v>
      </c>
    </row>
    <row r="24" spans="1:28">
      <c r="A24" s="140" t="s">
        <v>529</v>
      </c>
      <c r="B24" s="140" t="s">
        <v>661</v>
      </c>
      <c r="C24" s="140" t="s">
        <v>662</v>
      </c>
      <c r="D24" s="140" t="s">
        <v>663</v>
      </c>
      <c r="E24" s="140" t="s">
        <v>664</v>
      </c>
      <c r="F24" s="140" t="s">
        <v>5</v>
      </c>
      <c r="G24" s="140">
        <v>3.75</v>
      </c>
      <c r="H24" s="140" t="s">
        <v>18</v>
      </c>
      <c r="I24" s="140" t="s">
        <v>447</v>
      </c>
      <c r="J24" s="140" t="s">
        <v>665</v>
      </c>
      <c r="K24" s="140">
        <v>3.5</v>
      </c>
      <c r="L24" s="140" t="s">
        <v>543</v>
      </c>
      <c r="M24" s="140" t="s">
        <v>666</v>
      </c>
      <c r="N24" s="140">
        <v>4</v>
      </c>
      <c r="O24" s="140" t="s">
        <v>451</v>
      </c>
      <c r="P24" s="148">
        <v>2500000</v>
      </c>
      <c r="Q24" s="140" t="s">
        <v>452</v>
      </c>
      <c r="R24" s="140" t="s">
        <v>667</v>
      </c>
      <c r="S24" s="140" t="s">
        <v>668</v>
      </c>
      <c r="T24" s="140" t="s">
        <v>669</v>
      </c>
      <c r="U24" s="143"/>
      <c r="V24" s="143"/>
      <c r="W24" s="143"/>
      <c r="X24" s="140" t="s">
        <v>670</v>
      </c>
      <c r="Y24" s="140" t="s">
        <v>671</v>
      </c>
      <c r="Z24" s="140" t="str">
        <f ca="1">IFERROR(__xludf.DUMMYFUNCTION("IF(VLOOKUP($Y24, IMPORTRANGE(""https://docs.google.com/spreadsheets/d/1WsTKRjz8_fF2119Ff9dhKIIYXSaUEHzuWr8pBkxmwQQ/edit"", ""Form Responses 1!$B:$Z""),1, FALSE)=$Y24,""Yes"",""No"")"),"#N/A")</f>
        <v>#N/A</v>
      </c>
      <c r="AA24" s="140"/>
      <c r="AB24" s="140" t="e">
        <f t="array" aca="1" ref="AB24" ca="1">_xludf.IFS(F24="Deep Tech", INDEX('DT Short List'!U:U,MATCH(B24,'DT Short List'!A:A,0)),F24="Life Sciences",INDEX('LS Shortlist'!T:T,MATCH(B24,'LS Shortlist'!B:B,0)),F24="Digital Tech",INDEX('DiT - Shortlist'!T:T,MATCH(B24,'DiT - Shortlist'!B:B,0)))</f>
        <v>#NAME?</v>
      </c>
    </row>
    <row r="25" spans="1:28">
      <c r="A25" s="144" t="s">
        <v>598</v>
      </c>
      <c r="B25" s="144" t="s">
        <v>93</v>
      </c>
      <c r="C25" s="144" t="s">
        <v>672</v>
      </c>
      <c r="D25" s="144" t="s">
        <v>673</v>
      </c>
      <c r="E25" s="144" t="s">
        <v>674</v>
      </c>
      <c r="F25" s="141" t="s">
        <v>5</v>
      </c>
      <c r="G25" s="144">
        <v>4</v>
      </c>
      <c r="H25" s="144" t="s">
        <v>18</v>
      </c>
      <c r="I25" s="144" t="s">
        <v>447</v>
      </c>
      <c r="J25" s="144" t="s">
        <v>675</v>
      </c>
      <c r="K25" s="144">
        <v>4</v>
      </c>
      <c r="L25" s="144" t="s">
        <v>449</v>
      </c>
      <c r="M25" s="144" t="s">
        <v>676</v>
      </c>
      <c r="N25" s="144">
        <v>4</v>
      </c>
      <c r="O25" s="144" t="s">
        <v>677</v>
      </c>
      <c r="P25" s="144" t="s">
        <v>678</v>
      </c>
      <c r="Q25" s="144" t="s">
        <v>452</v>
      </c>
      <c r="R25" s="144" t="s">
        <v>679</v>
      </c>
      <c r="S25" s="144"/>
      <c r="T25" s="144" t="s">
        <v>680</v>
      </c>
      <c r="U25" s="145" t="s">
        <v>454</v>
      </c>
      <c r="V25" s="145"/>
      <c r="W25" s="145"/>
      <c r="X25" s="144" t="s">
        <v>681</v>
      </c>
      <c r="Y25" s="144" t="s">
        <v>682</v>
      </c>
      <c r="Z25" s="144" t="e">
        <f>IF(VLOOKUP($Y25,'For Lookup'!$A:$B,1, FALSE)=$Y25,"Yes","No")</f>
        <v>#N/A</v>
      </c>
      <c r="AA25" s="144"/>
      <c r="AB25" s="144" t="e">
        <f t="array" aca="1" ref="AB25" ca="1">_xludf.IFS(F25="Deep Tech", INDEX('DT Short List'!U:U,MATCH(B25,'DT Short List'!A:A,0)),F25="Life Sciences",INDEX('LS Shortlist'!T:T,MATCH(B25,'LS Shortlist'!B:B,0)),F25="Digital Tech",INDEX('DiT - Shortlist'!T:T,MATCH(B25,'DiT - Shortlist'!B:B,0)))</f>
        <v>#NAME?</v>
      </c>
    </row>
    <row r="26" spans="1:28">
      <c r="A26" s="140" t="s">
        <v>598</v>
      </c>
      <c r="B26" s="140" t="s">
        <v>94</v>
      </c>
      <c r="C26" s="140" t="s">
        <v>683</v>
      </c>
      <c r="D26" s="140" t="s">
        <v>684</v>
      </c>
      <c r="E26" s="140" t="s">
        <v>685</v>
      </c>
      <c r="F26" s="141" t="s">
        <v>5</v>
      </c>
      <c r="G26" s="140">
        <v>4.5</v>
      </c>
      <c r="H26" s="140" t="s">
        <v>18</v>
      </c>
      <c r="I26" s="140" t="s">
        <v>447</v>
      </c>
      <c r="J26" s="140" t="s">
        <v>686</v>
      </c>
      <c r="K26" s="140">
        <v>5</v>
      </c>
      <c r="L26" s="140" t="s">
        <v>449</v>
      </c>
      <c r="M26" s="140" t="s">
        <v>687</v>
      </c>
      <c r="N26" s="140">
        <v>4</v>
      </c>
      <c r="O26" s="140" t="s">
        <v>478</v>
      </c>
      <c r="P26" s="142">
        <v>12000000</v>
      </c>
      <c r="Q26" s="140" t="s">
        <v>452</v>
      </c>
      <c r="R26" s="140" t="s">
        <v>688</v>
      </c>
      <c r="S26" s="140" t="s">
        <v>689</v>
      </c>
      <c r="T26" s="140" t="s">
        <v>690</v>
      </c>
      <c r="U26" s="143" t="s">
        <v>481</v>
      </c>
      <c r="V26" s="143"/>
      <c r="W26" s="143" t="s">
        <v>689</v>
      </c>
      <c r="X26" s="140" t="s">
        <v>691</v>
      </c>
      <c r="Y26" s="140" t="s">
        <v>692</v>
      </c>
      <c r="Z26" s="140" t="e">
        <f>IF(VLOOKUP($Y26,'For Lookup'!$A:$B,1, FALSE)=$Y26,"Yes","No")</f>
        <v>#N/A</v>
      </c>
      <c r="AA26" s="140"/>
      <c r="AB26" s="140" t="e">
        <f t="array" aca="1" ref="AB26" ca="1">_xludf.IFS(F26="Deep Tech", INDEX('DT Short List'!U:U,MATCH(B26,'DT Short List'!A:A,0)),F26="Life Sciences",INDEX('LS Shortlist'!T:T,MATCH(B26,'LS Shortlist'!B:B,0)),F26="Digital Tech",INDEX('DiT - Shortlist'!T:T,MATCH(B26,'DiT - Shortlist'!B:B,0)))</f>
        <v>#NAME?</v>
      </c>
    </row>
    <row r="27" spans="1:28">
      <c r="A27" s="144" t="s">
        <v>443</v>
      </c>
      <c r="B27" s="144" t="s">
        <v>693</v>
      </c>
      <c r="C27" s="144" t="s">
        <v>694</v>
      </c>
      <c r="D27" s="144" t="s">
        <v>695</v>
      </c>
      <c r="E27" s="144" t="s">
        <v>696</v>
      </c>
      <c r="F27" s="141" t="s">
        <v>5</v>
      </c>
      <c r="G27" s="144">
        <v>4</v>
      </c>
      <c r="H27" s="144" t="s">
        <v>18</v>
      </c>
      <c r="I27" s="144" t="s">
        <v>447</v>
      </c>
      <c r="J27" s="144" t="s">
        <v>697</v>
      </c>
      <c r="K27" s="144">
        <v>4</v>
      </c>
      <c r="L27" s="144" t="s">
        <v>543</v>
      </c>
      <c r="M27" s="144" t="s">
        <v>698</v>
      </c>
      <c r="N27" s="144">
        <v>4</v>
      </c>
      <c r="O27" s="144" t="s">
        <v>451</v>
      </c>
      <c r="P27" s="144">
        <v>3000000</v>
      </c>
      <c r="Q27" s="144" t="s">
        <v>452</v>
      </c>
      <c r="R27" s="144" t="s">
        <v>699</v>
      </c>
      <c r="S27" s="144" t="s">
        <v>700</v>
      </c>
      <c r="T27" s="144"/>
      <c r="U27" s="145" t="s">
        <v>454</v>
      </c>
      <c r="V27" s="145"/>
      <c r="W27" s="145" t="s">
        <v>700</v>
      </c>
      <c r="X27" s="144" t="s">
        <v>701</v>
      </c>
      <c r="Y27" s="144" t="s">
        <v>702</v>
      </c>
      <c r="Z27" s="144" t="e">
        <f>IF(VLOOKUP($Y27,'For Lookup'!$A:$B,1, FALSE)=$Y27,"Yes","No")</f>
        <v>#N/A</v>
      </c>
      <c r="AA27" s="144"/>
      <c r="AB27" s="144" t="e">
        <f t="array" aca="1" ref="AB27" ca="1">_xludf.IFS(F27="Deep Tech", INDEX('DT Short List'!U:U,MATCH(B27,'DT Short List'!A:A,0)),F27="Life Sciences",INDEX('LS Shortlist'!T:T,MATCH(B27,'LS Shortlist'!B:B,0)),F27="Digital Tech",INDEX('DiT - Shortlist'!T:T,MATCH(B27,'DiT - Shortlist'!B:B,0)))</f>
        <v>#NAME?</v>
      </c>
    </row>
    <row r="28" spans="1:28">
      <c r="A28" s="140" t="s">
        <v>484</v>
      </c>
      <c r="B28" s="140" t="s">
        <v>97</v>
      </c>
      <c r="C28" s="140" t="s">
        <v>703</v>
      </c>
      <c r="D28" s="140" t="s">
        <v>704</v>
      </c>
      <c r="E28" s="140" t="s">
        <v>705</v>
      </c>
      <c r="F28" s="141" t="s">
        <v>5</v>
      </c>
      <c r="G28" s="140">
        <v>4.5</v>
      </c>
      <c r="H28" s="140" t="s">
        <v>18</v>
      </c>
      <c r="I28" s="140" t="s">
        <v>447</v>
      </c>
      <c r="J28" s="140" t="s">
        <v>706</v>
      </c>
      <c r="K28" s="140">
        <v>5</v>
      </c>
      <c r="L28" s="140" t="s">
        <v>622</v>
      </c>
      <c r="M28" s="140" t="s">
        <v>707</v>
      </c>
      <c r="N28" s="140">
        <v>4</v>
      </c>
      <c r="O28" s="140" t="s">
        <v>451</v>
      </c>
      <c r="P28" s="140" t="s">
        <v>708</v>
      </c>
      <c r="Q28" s="140" t="s">
        <v>452</v>
      </c>
      <c r="R28" s="140" t="s">
        <v>709</v>
      </c>
      <c r="S28" s="140" t="s">
        <v>710</v>
      </c>
      <c r="T28" s="140" t="s">
        <v>711</v>
      </c>
      <c r="U28" s="143" t="s">
        <v>481</v>
      </c>
      <c r="V28" s="143"/>
      <c r="W28" s="143" t="s">
        <v>710</v>
      </c>
      <c r="X28" s="140" t="s">
        <v>712</v>
      </c>
      <c r="Y28" s="140" t="s">
        <v>713</v>
      </c>
      <c r="Z28" s="140" t="e">
        <f>IF(VLOOKUP($Y28,'For Lookup'!$A:$B,1, FALSE)=$Y28,"Yes","No")</f>
        <v>#N/A</v>
      </c>
      <c r="AA28" s="140"/>
      <c r="AB28" s="140" t="e">
        <f t="array" aca="1" ref="AB28" ca="1">_xludf.IFS(F28="Deep Tech", INDEX('DT Short List'!U:U,MATCH(B28,'DT Short List'!A:A,0)),F28="Life Sciences",INDEX('LS Shortlist'!T:T,MATCH(B28,'LS Shortlist'!B:B,0)),F28="Digital Tech",INDEX('DiT - Shortlist'!T:T,MATCH(B28,'DiT - Shortlist'!B:B,0)))</f>
        <v>#NAME?</v>
      </c>
    </row>
    <row r="29" spans="1:28">
      <c r="A29" s="144" t="s">
        <v>471</v>
      </c>
      <c r="B29" s="144" t="s">
        <v>98</v>
      </c>
      <c r="C29" s="144" t="s">
        <v>714</v>
      </c>
      <c r="D29" s="144" t="s">
        <v>715</v>
      </c>
      <c r="E29" s="144" t="s">
        <v>716</v>
      </c>
      <c r="F29" s="141" t="s">
        <v>5</v>
      </c>
      <c r="G29" s="144">
        <v>4.75</v>
      </c>
      <c r="H29" s="144" t="s">
        <v>18</v>
      </c>
      <c r="I29" s="144" t="s">
        <v>447</v>
      </c>
      <c r="J29" s="144" t="s">
        <v>717</v>
      </c>
      <c r="K29" s="144">
        <v>4.5</v>
      </c>
      <c r="L29" s="144" t="s">
        <v>449</v>
      </c>
      <c r="M29" s="144" t="s">
        <v>718</v>
      </c>
      <c r="N29" s="144">
        <v>5</v>
      </c>
      <c r="O29" s="144" t="s">
        <v>451</v>
      </c>
      <c r="P29" s="144">
        <v>6000000</v>
      </c>
      <c r="Q29" s="144" t="s">
        <v>454</v>
      </c>
      <c r="R29" s="144" t="s">
        <v>452</v>
      </c>
      <c r="S29" s="144"/>
      <c r="T29" s="144" t="s">
        <v>719</v>
      </c>
      <c r="U29" s="145" t="s">
        <v>481</v>
      </c>
      <c r="V29" s="145" t="s">
        <v>557</v>
      </c>
      <c r="W29" s="145"/>
      <c r="X29" s="144" t="s">
        <v>720</v>
      </c>
      <c r="Y29" s="144" t="s">
        <v>721</v>
      </c>
      <c r="Z29" s="144" t="str">
        <f>IF(VLOOKUP($Y29,'For Lookup'!$A:$B,1, FALSE)=$Y29,"Yes","No")</f>
        <v>Yes</v>
      </c>
      <c r="AA29" s="144"/>
      <c r="AB29" s="144" t="e">
        <f t="array" aca="1" ref="AB29" ca="1">_xludf.IFS(F29="Deep Tech", INDEX('DT Short List'!U:U,MATCH(B29,'DT Short List'!A:A,0)),F29="Life Sciences",INDEX('LS Shortlist'!T:T,MATCH(B29,'LS Shortlist'!B:B,0)),F29="Digital Tech",INDEX('DiT - Shortlist'!T:T,MATCH(B29,'DiT - Shortlist'!B:B,0)))</f>
        <v>#NAME?</v>
      </c>
    </row>
    <row r="30" spans="1:28">
      <c r="A30" s="140" t="s">
        <v>484</v>
      </c>
      <c r="B30" s="140" t="s">
        <v>99</v>
      </c>
      <c r="C30" s="140" t="s">
        <v>722</v>
      </c>
      <c r="D30" s="140" t="s">
        <v>723</v>
      </c>
      <c r="E30" s="140" t="s">
        <v>724</v>
      </c>
      <c r="F30" s="141" t="s">
        <v>5</v>
      </c>
      <c r="G30" s="140">
        <v>4.5</v>
      </c>
      <c r="H30" s="140" t="s">
        <v>18</v>
      </c>
      <c r="I30" s="140" t="s">
        <v>725</v>
      </c>
      <c r="J30" s="140" t="s">
        <v>726</v>
      </c>
      <c r="K30" s="140">
        <v>5</v>
      </c>
      <c r="L30" s="140" t="s">
        <v>727</v>
      </c>
      <c r="M30" s="140" t="s">
        <v>728</v>
      </c>
      <c r="N30" s="140">
        <v>4</v>
      </c>
      <c r="O30" s="140" t="s">
        <v>451</v>
      </c>
      <c r="P30" s="140" t="s">
        <v>729</v>
      </c>
      <c r="Q30" s="140" t="s">
        <v>452</v>
      </c>
      <c r="R30" s="140" t="s">
        <v>730</v>
      </c>
      <c r="S30" s="140"/>
      <c r="T30" s="140" t="s">
        <v>731</v>
      </c>
      <c r="U30" s="143" t="s">
        <v>454</v>
      </c>
      <c r="V30" s="143"/>
      <c r="W30" s="143"/>
      <c r="X30" s="140" t="s">
        <v>732</v>
      </c>
      <c r="Y30" s="140" t="s">
        <v>733</v>
      </c>
      <c r="Z30" s="140" t="e">
        <f>IF(VLOOKUP($Y30,'For Lookup'!$A:$B,1, FALSE)=$Y30,"Yes","No")</f>
        <v>#N/A</v>
      </c>
      <c r="AA30" s="140"/>
      <c r="AB30" s="140" t="e">
        <f t="array" aca="1" ref="AB30" ca="1">_xludf.IFS(F30="Deep Tech", INDEX('DT Short List'!U:U,MATCH(B30,'DT Short List'!A:A,0)),F30="Life Sciences",INDEX('LS Shortlist'!T:T,MATCH(B30,'LS Shortlist'!B:B,0)),F30="Digital Tech",INDEX('DiT - Shortlist'!T:T,MATCH(B30,'DiT - Shortlist'!B:B,0)))</f>
        <v>#NAME?</v>
      </c>
    </row>
    <row r="31" spans="1:28">
      <c r="A31" s="144" t="s">
        <v>484</v>
      </c>
      <c r="B31" s="144" t="s">
        <v>100</v>
      </c>
      <c r="C31" s="144" t="s">
        <v>734</v>
      </c>
      <c r="D31" s="144" t="s">
        <v>735</v>
      </c>
      <c r="E31" s="144" t="s">
        <v>736</v>
      </c>
      <c r="F31" s="141" t="s">
        <v>5</v>
      </c>
      <c r="G31" s="144">
        <v>3.5</v>
      </c>
      <c r="H31" s="144" t="s">
        <v>18</v>
      </c>
      <c r="I31" s="144" t="s">
        <v>447</v>
      </c>
      <c r="J31" s="144" t="s">
        <v>737</v>
      </c>
      <c r="K31" s="144">
        <v>3</v>
      </c>
      <c r="L31" s="144" t="s">
        <v>449</v>
      </c>
      <c r="M31" s="144" t="s">
        <v>738</v>
      </c>
      <c r="N31" s="144">
        <v>4</v>
      </c>
      <c r="O31" s="144" t="s">
        <v>451</v>
      </c>
      <c r="P31" s="147">
        <v>5750000</v>
      </c>
      <c r="Q31" s="144" t="s">
        <v>454</v>
      </c>
      <c r="R31" s="144" t="s">
        <v>739</v>
      </c>
      <c r="S31" s="144" t="s">
        <v>740</v>
      </c>
      <c r="T31" s="144" t="s">
        <v>741</v>
      </c>
      <c r="U31" s="145" t="s">
        <v>481</v>
      </c>
      <c r="V31" s="145" t="s">
        <v>742</v>
      </c>
      <c r="W31" s="145" t="s">
        <v>740</v>
      </c>
      <c r="X31" s="144" t="s">
        <v>743</v>
      </c>
      <c r="Y31" s="144" t="s">
        <v>744</v>
      </c>
      <c r="Z31" s="144" t="e">
        <f>IF(VLOOKUP($Y31,'For Lookup'!$A:$B,1, FALSE)=$Y31,"Yes","No")</f>
        <v>#N/A</v>
      </c>
      <c r="AA31" s="144"/>
      <c r="AB31" s="144" t="e">
        <f t="array" aca="1" ref="AB31" ca="1">_xludf.IFS(F31="Deep Tech", INDEX('DT Short List'!U:U,MATCH(B31,'DT Short List'!A:A,0)),F31="Life Sciences",INDEX('LS Shortlist'!T:T,MATCH(B31,'LS Shortlist'!B:B,0)),F31="Digital Tech",INDEX('DiT - Shortlist'!T:T,MATCH(B31,'DiT - Shortlist'!B:B,0)))</f>
        <v>#NAME?</v>
      </c>
    </row>
    <row r="32" spans="1:28">
      <c r="A32" s="140" t="s">
        <v>598</v>
      </c>
      <c r="B32" s="140" t="s">
        <v>101</v>
      </c>
      <c r="C32" s="140" t="s">
        <v>745</v>
      </c>
      <c r="D32" s="140" t="s">
        <v>746</v>
      </c>
      <c r="E32" s="140" t="s">
        <v>747</v>
      </c>
      <c r="F32" s="141" t="s">
        <v>5</v>
      </c>
      <c r="G32" s="140">
        <v>4.25</v>
      </c>
      <c r="H32" s="140" t="s">
        <v>18</v>
      </c>
      <c r="I32" s="140" t="s">
        <v>447</v>
      </c>
      <c r="J32" s="140" t="s">
        <v>748</v>
      </c>
      <c r="K32" s="140">
        <v>4.5</v>
      </c>
      <c r="L32" s="140" t="s">
        <v>622</v>
      </c>
      <c r="M32" s="140" t="s">
        <v>749</v>
      </c>
      <c r="N32" s="140">
        <v>4</v>
      </c>
      <c r="O32" s="140"/>
      <c r="P32" s="140"/>
      <c r="Q32" s="140" t="s">
        <v>452</v>
      </c>
      <c r="R32" s="140" t="s">
        <v>750</v>
      </c>
      <c r="S32" s="140" t="s">
        <v>751</v>
      </c>
      <c r="T32" s="140"/>
      <c r="U32" s="143" t="s">
        <v>454</v>
      </c>
      <c r="V32" s="143"/>
      <c r="W32" s="143" t="s">
        <v>751</v>
      </c>
      <c r="X32" s="140" t="s">
        <v>752</v>
      </c>
      <c r="Y32" s="140" t="s">
        <v>753</v>
      </c>
      <c r="Z32" s="140" t="e">
        <f>IF(VLOOKUP($Y32,'For Lookup'!$A:$B,1, FALSE)=$Y32,"Yes","No")</f>
        <v>#N/A</v>
      </c>
      <c r="AA32" s="140"/>
      <c r="AB32" s="140" t="e">
        <f t="array" aca="1" ref="AB32" ca="1">_xludf.IFS(F32="Deep Tech", INDEX('DT Short List'!U:U,MATCH(B32,'DT Short List'!A:A,0)),F32="Life Sciences",INDEX('LS Shortlist'!T:T,MATCH(B32,'LS Shortlist'!B:B,0)),F32="Digital Tech",INDEX('DiT - Shortlist'!T:T,MATCH(B32,'DiT - Shortlist'!B:B,0)))</f>
        <v>#NAME?</v>
      </c>
    </row>
    <row r="33" spans="1:28">
      <c r="A33" s="144" t="s">
        <v>484</v>
      </c>
      <c r="B33" s="144" t="s">
        <v>103</v>
      </c>
      <c r="C33" s="144" t="s">
        <v>754</v>
      </c>
      <c r="D33" s="144" t="s">
        <v>755</v>
      </c>
      <c r="E33" s="144" t="s">
        <v>756</v>
      </c>
      <c r="F33" s="141" t="s">
        <v>5</v>
      </c>
      <c r="G33" s="144">
        <v>3.75</v>
      </c>
      <c r="H33" s="144" t="s">
        <v>18</v>
      </c>
      <c r="I33" s="144" t="s">
        <v>447</v>
      </c>
      <c r="J33" s="144" t="s">
        <v>757</v>
      </c>
      <c r="K33" s="144">
        <v>4</v>
      </c>
      <c r="L33" s="144" t="s">
        <v>543</v>
      </c>
      <c r="M33" s="144" t="s">
        <v>758</v>
      </c>
      <c r="N33" s="144">
        <v>3.5</v>
      </c>
      <c r="O33" s="144"/>
      <c r="P33" s="144"/>
      <c r="Q33" s="144" t="s">
        <v>452</v>
      </c>
      <c r="R33" s="144" t="s">
        <v>759</v>
      </c>
      <c r="S33" s="144"/>
      <c r="T33" s="144" t="s">
        <v>760</v>
      </c>
      <c r="U33" s="145" t="s">
        <v>481</v>
      </c>
      <c r="V33" s="145"/>
      <c r="W33" s="145"/>
      <c r="X33" s="144" t="s">
        <v>761</v>
      </c>
      <c r="Y33" s="144" t="s">
        <v>762</v>
      </c>
      <c r="Z33" s="144" t="e">
        <f>IF(VLOOKUP($Y33,'For Lookup'!$A:$B,1, FALSE)=$Y33,"Yes","No")</f>
        <v>#N/A</v>
      </c>
      <c r="AA33" s="144"/>
      <c r="AB33" s="144" t="e">
        <f t="array" aca="1" ref="AB33" ca="1">_xludf.IFS(F33="Deep Tech", INDEX('DT Short List'!U:U,MATCH(B33,'DT Short List'!A:A,0)),F33="Life Sciences",INDEX('LS Shortlist'!T:T,MATCH(B33,'LS Shortlist'!B:B,0)),F33="Digital Tech",INDEX('DiT - Shortlist'!T:T,MATCH(B33,'DiT - Shortlist'!B:B,0)))</f>
        <v>#NAME?</v>
      </c>
    </row>
    <row r="34" spans="1:28">
      <c r="A34" s="140" t="s">
        <v>529</v>
      </c>
      <c r="B34" s="140" t="s">
        <v>104</v>
      </c>
      <c r="C34" s="140" t="s">
        <v>763</v>
      </c>
      <c r="D34" s="140" t="s">
        <v>764</v>
      </c>
      <c r="E34" s="140" t="s">
        <v>765</v>
      </c>
      <c r="F34" s="141" t="s">
        <v>5</v>
      </c>
      <c r="G34" s="140">
        <v>4.5</v>
      </c>
      <c r="H34" s="140" t="s">
        <v>18</v>
      </c>
      <c r="I34" s="140" t="s">
        <v>447</v>
      </c>
      <c r="J34" s="140" t="s">
        <v>766</v>
      </c>
      <c r="K34" s="140">
        <v>4.5</v>
      </c>
      <c r="L34" s="140" t="s">
        <v>449</v>
      </c>
      <c r="M34" s="140" t="s">
        <v>767</v>
      </c>
      <c r="N34" s="140">
        <v>4.5</v>
      </c>
      <c r="O34" s="140" t="s">
        <v>768</v>
      </c>
      <c r="P34" s="142">
        <v>48500000</v>
      </c>
      <c r="Q34" s="140" t="s">
        <v>452</v>
      </c>
      <c r="R34" s="140" t="s">
        <v>452</v>
      </c>
      <c r="S34" s="140"/>
      <c r="T34" s="140"/>
      <c r="U34" s="143" t="s">
        <v>454</v>
      </c>
      <c r="V34" s="143"/>
      <c r="W34" s="143"/>
      <c r="X34" s="140" t="s">
        <v>769</v>
      </c>
      <c r="Y34" s="140" t="s">
        <v>770</v>
      </c>
      <c r="Z34" s="140" t="e">
        <f>IF(VLOOKUP($Y34,'For Lookup'!$A:$B,1, FALSE)=$Y34,"Yes","No")</f>
        <v>#N/A</v>
      </c>
      <c r="AA34" s="140"/>
      <c r="AB34" s="140" t="e">
        <f t="array" aca="1" ref="AB34" ca="1">_xludf.IFS(F34="Deep Tech", INDEX('DT Short List'!U:U,MATCH(B34,'DT Short List'!A:A,0)),F34="Life Sciences",INDEX('LS Shortlist'!T:T,MATCH(B34,'LS Shortlist'!B:B,0)),F34="Digital Tech",INDEX('DiT - Shortlist'!T:T,MATCH(B34,'DiT - Shortlist'!B:B,0)))</f>
        <v>#NAME?</v>
      </c>
    </row>
    <row r="35" spans="1:28">
      <c r="A35" s="144" t="s">
        <v>443</v>
      </c>
      <c r="B35" s="144" t="s">
        <v>105</v>
      </c>
      <c r="C35" s="144" t="s">
        <v>771</v>
      </c>
      <c r="D35" s="144" t="s">
        <v>772</v>
      </c>
      <c r="E35" s="144" t="s">
        <v>773</v>
      </c>
      <c r="F35" s="141" t="s">
        <v>5</v>
      </c>
      <c r="G35" s="144">
        <v>4</v>
      </c>
      <c r="H35" s="144" t="s">
        <v>18</v>
      </c>
      <c r="I35" s="144" t="s">
        <v>447</v>
      </c>
      <c r="J35" s="144" t="s">
        <v>774</v>
      </c>
      <c r="K35" s="144">
        <v>4</v>
      </c>
      <c r="L35" s="144" t="s">
        <v>449</v>
      </c>
      <c r="M35" s="144" t="s">
        <v>775</v>
      </c>
      <c r="N35" s="144">
        <v>4</v>
      </c>
      <c r="O35" s="144" t="s">
        <v>478</v>
      </c>
      <c r="P35" s="146">
        <v>20000000</v>
      </c>
      <c r="Q35" s="144" t="s">
        <v>452</v>
      </c>
      <c r="R35" s="144" t="s">
        <v>776</v>
      </c>
      <c r="S35" s="144"/>
      <c r="T35" s="144"/>
      <c r="U35" s="145" t="s">
        <v>481</v>
      </c>
      <c r="V35" s="145"/>
      <c r="W35" s="145"/>
      <c r="X35" s="144" t="s">
        <v>777</v>
      </c>
      <c r="Y35" s="144" t="s">
        <v>778</v>
      </c>
      <c r="Z35" s="144" t="e">
        <f>IF(VLOOKUP($Y35,'For Lookup'!$A:$B,1, FALSE)=$Y35,"Yes","No")</f>
        <v>#N/A</v>
      </c>
      <c r="AA35" s="144"/>
      <c r="AB35" s="144" t="e">
        <f t="array" aca="1" ref="AB35" ca="1">_xludf.IFS(F35="Deep Tech", INDEX('DT Short List'!U:U,MATCH(B35,'DT Short List'!A:A,0)),F35="Life Sciences",INDEX('LS Shortlist'!T:T,MATCH(B35,'LS Shortlist'!B:B,0)),F35="Digital Tech",INDEX('DiT - Shortlist'!T:T,MATCH(B35,'DiT - Shortlist'!B:B,0)))</f>
        <v>#NAME?</v>
      </c>
    </row>
    <row r="36" spans="1:28">
      <c r="A36" s="140" t="s">
        <v>484</v>
      </c>
      <c r="B36" s="140" t="s">
        <v>106</v>
      </c>
      <c r="C36" s="140" t="s">
        <v>779</v>
      </c>
      <c r="D36" s="140" t="s">
        <v>780</v>
      </c>
      <c r="E36" s="140" t="s">
        <v>781</v>
      </c>
      <c r="F36" s="141" t="s">
        <v>5</v>
      </c>
      <c r="G36" s="140">
        <v>3.25</v>
      </c>
      <c r="H36" s="140" t="s">
        <v>18</v>
      </c>
      <c r="I36" s="140" t="s">
        <v>447</v>
      </c>
      <c r="J36" s="140" t="s">
        <v>782</v>
      </c>
      <c r="K36" s="140">
        <v>3.5</v>
      </c>
      <c r="L36" s="140" t="s">
        <v>543</v>
      </c>
      <c r="M36" s="140" t="s">
        <v>783</v>
      </c>
      <c r="N36" s="140">
        <v>3</v>
      </c>
      <c r="O36" s="140" t="s">
        <v>784</v>
      </c>
      <c r="P36" s="140">
        <v>4000000</v>
      </c>
      <c r="Q36" s="140" t="s">
        <v>465</v>
      </c>
      <c r="R36" s="140" t="s">
        <v>785</v>
      </c>
      <c r="S36" s="140"/>
      <c r="T36" s="140" t="s">
        <v>786</v>
      </c>
      <c r="U36" s="143" t="s">
        <v>454</v>
      </c>
      <c r="V36" s="143"/>
      <c r="W36" s="143"/>
      <c r="X36" s="140" t="s">
        <v>787</v>
      </c>
      <c r="Y36" s="140" t="s">
        <v>788</v>
      </c>
      <c r="Z36" s="140" t="e">
        <f>IF(VLOOKUP($Y36,'For Lookup'!$A:$B,1, FALSE)=$Y36,"Yes","No")</f>
        <v>#N/A</v>
      </c>
      <c r="AA36" s="140"/>
      <c r="AB36" s="140" t="e">
        <f t="array" aca="1" ref="AB36" ca="1">_xludf.IFS(F36="Deep Tech", INDEX('DT Short List'!U:U,MATCH(B36,'DT Short List'!A:A,0)),F36="Life Sciences",INDEX('LS Shortlist'!T:T,MATCH(B36,'LS Shortlist'!B:B,0)),F36="Digital Tech",INDEX('DiT - Shortlist'!T:T,MATCH(B36,'DiT - Shortlist'!B:B,0)))</f>
        <v>#NAME?</v>
      </c>
    </row>
    <row r="37" spans="1:28">
      <c r="A37" s="144" t="s">
        <v>503</v>
      </c>
      <c r="B37" s="144" t="s">
        <v>108</v>
      </c>
      <c r="C37" s="144" t="s">
        <v>789</v>
      </c>
      <c r="D37" s="144" t="s">
        <v>790</v>
      </c>
      <c r="E37" s="144" t="s">
        <v>791</v>
      </c>
      <c r="F37" s="141" t="s">
        <v>5</v>
      </c>
      <c r="G37" s="144">
        <v>5</v>
      </c>
      <c r="H37" s="144" t="s">
        <v>18</v>
      </c>
      <c r="I37" s="144" t="s">
        <v>447</v>
      </c>
      <c r="J37" s="144" t="s">
        <v>792</v>
      </c>
      <c r="K37" s="144">
        <v>5</v>
      </c>
      <c r="L37" s="144" t="s">
        <v>543</v>
      </c>
      <c r="M37" s="144" t="s">
        <v>793</v>
      </c>
      <c r="N37" s="144">
        <v>5</v>
      </c>
      <c r="O37" s="144" t="s">
        <v>478</v>
      </c>
      <c r="P37" s="146">
        <v>30000000</v>
      </c>
      <c r="Q37" s="144" t="s">
        <v>452</v>
      </c>
      <c r="R37" s="144" t="s">
        <v>794</v>
      </c>
      <c r="S37" s="144"/>
      <c r="T37" s="144"/>
      <c r="U37" s="145" t="s">
        <v>454</v>
      </c>
      <c r="V37" s="145"/>
      <c r="W37" s="145"/>
      <c r="X37" s="144" t="s">
        <v>795</v>
      </c>
      <c r="Y37" s="144" t="s">
        <v>796</v>
      </c>
      <c r="Z37" s="144" t="str">
        <f>IF(VLOOKUP($Y37,'For Lookup'!$A:$B,1, FALSE)=$Y37,"Yes","No")</f>
        <v>Yes</v>
      </c>
      <c r="AA37" s="144"/>
      <c r="AB37" s="144" t="e">
        <f t="array" aca="1" ref="AB37" ca="1">_xludf.IFS(F37="Deep Tech", INDEX('DT Short List'!U:U,MATCH(B37,'DT Short List'!A:A,0)),F37="Life Sciences",INDEX('LS Shortlist'!T:T,MATCH(B37,'LS Shortlist'!B:B,0)),F37="Digital Tech",INDEX('DiT - Shortlist'!T:T,MATCH(B37,'DiT - Shortlist'!B:B,0)))</f>
        <v>#NAME?</v>
      </c>
    </row>
    <row r="38" spans="1:28">
      <c r="A38" s="140" t="s">
        <v>598</v>
      </c>
      <c r="B38" s="140" t="s">
        <v>109</v>
      </c>
      <c r="C38" s="140" t="s">
        <v>797</v>
      </c>
      <c r="D38" s="140" t="s">
        <v>798</v>
      </c>
      <c r="E38" s="140" t="s">
        <v>799</v>
      </c>
      <c r="F38" s="141" t="s">
        <v>5</v>
      </c>
      <c r="G38" s="140">
        <v>4</v>
      </c>
      <c r="H38" s="140" t="s">
        <v>18</v>
      </c>
      <c r="I38" s="140" t="s">
        <v>447</v>
      </c>
      <c r="J38" s="140" t="s">
        <v>800</v>
      </c>
      <c r="K38" s="140">
        <v>4</v>
      </c>
      <c r="L38" s="140" t="s">
        <v>449</v>
      </c>
      <c r="M38" s="140" t="s">
        <v>801</v>
      </c>
      <c r="N38" s="140">
        <v>4</v>
      </c>
      <c r="O38" s="140" t="s">
        <v>478</v>
      </c>
      <c r="P38" s="142">
        <v>12000000</v>
      </c>
      <c r="Q38" s="140" t="s">
        <v>452</v>
      </c>
      <c r="R38" s="140" t="s">
        <v>452</v>
      </c>
      <c r="S38" s="140"/>
      <c r="T38" s="140"/>
      <c r="U38" s="143" t="s">
        <v>481</v>
      </c>
      <c r="V38" s="143"/>
      <c r="W38" s="143"/>
      <c r="X38" s="140" t="s">
        <v>802</v>
      </c>
      <c r="Y38" s="140" t="s">
        <v>803</v>
      </c>
      <c r="Z38" s="140" t="e">
        <f>IF(VLOOKUP($Y38,'For Lookup'!$A:$B,1, FALSE)=$Y38,"Yes","No")</f>
        <v>#N/A</v>
      </c>
      <c r="AA38" s="140"/>
      <c r="AB38" s="140" t="e">
        <f t="array" aca="1" ref="AB38" ca="1">_xludf.IFS(F38="Deep Tech", INDEX('DT Short List'!U:U,MATCH(B38,'DT Short List'!A:A,0)),F38="Life Sciences",INDEX('LS Shortlist'!T:T,MATCH(B38,'LS Shortlist'!B:B,0)),F38="Digital Tech",INDEX('DiT - Shortlist'!T:T,MATCH(B38,'DiT - Shortlist'!B:B,0)))</f>
        <v>#NAME?</v>
      </c>
    </row>
    <row r="39" spans="1:28">
      <c r="A39" s="144" t="s">
        <v>484</v>
      </c>
      <c r="B39" s="144" t="s">
        <v>112</v>
      </c>
      <c r="C39" s="144" t="s">
        <v>804</v>
      </c>
      <c r="D39" s="144" t="s">
        <v>805</v>
      </c>
      <c r="E39" s="144" t="s">
        <v>806</v>
      </c>
      <c r="F39" s="141" t="s">
        <v>5</v>
      </c>
      <c r="G39" s="144">
        <v>4</v>
      </c>
      <c r="H39" s="144" t="s">
        <v>18</v>
      </c>
      <c r="I39" s="144" t="s">
        <v>602</v>
      </c>
      <c r="J39" s="144" t="s">
        <v>807</v>
      </c>
      <c r="K39" s="144">
        <v>4.5</v>
      </c>
      <c r="L39" s="144" t="s">
        <v>449</v>
      </c>
      <c r="M39" s="144" t="s">
        <v>808</v>
      </c>
      <c r="N39" s="144">
        <v>3.5</v>
      </c>
      <c r="O39" s="144"/>
      <c r="P39" s="144"/>
      <c r="Q39" s="144" t="s">
        <v>452</v>
      </c>
      <c r="R39" s="144" t="s">
        <v>809</v>
      </c>
      <c r="S39" s="144" t="s">
        <v>602</v>
      </c>
      <c r="T39" s="144" t="s">
        <v>810</v>
      </c>
      <c r="U39" s="145" t="s">
        <v>454</v>
      </c>
      <c r="V39" s="145"/>
      <c r="W39" s="145" t="s">
        <v>602</v>
      </c>
      <c r="X39" s="144" t="s">
        <v>752</v>
      </c>
      <c r="Y39" s="144" t="s">
        <v>811</v>
      </c>
      <c r="Z39" s="144" t="e">
        <f>IF(VLOOKUP($Y39,'For Lookup'!$A:$B,1, FALSE)=$Y39,"Yes","No")</f>
        <v>#N/A</v>
      </c>
      <c r="AA39" s="144"/>
      <c r="AB39" s="144" t="e">
        <f t="array" aca="1" ref="AB39" ca="1">_xludf.IFS(F39="Deep Tech", INDEX('DT Short List'!U:U,MATCH(B39,'DT Short List'!A:A,0)),F39="Life Sciences",INDEX('LS Shortlist'!T:T,MATCH(B39,'LS Shortlist'!B:B,0)),F39="Digital Tech",INDEX('DiT - Shortlist'!T:T,MATCH(B39,'DiT - Shortlist'!B:B,0)))</f>
        <v>#NAME?</v>
      </c>
    </row>
    <row r="40" spans="1:28">
      <c r="A40" s="140" t="s">
        <v>471</v>
      </c>
      <c r="B40" s="140" t="s">
        <v>113</v>
      </c>
      <c r="C40" s="140" t="s">
        <v>812</v>
      </c>
      <c r="D40" s="140" t="s">
        <v>813</v>
      </c>
      <c r="E40" s="140" t="s">
        <v>814</v>
      </c>
      <c r="F40" s="141" t="s">
        <v>5</v>
      </c>
      <c r="G40" s="140">
        <v>4</v>
      </c>
      <c r="H40" s="140" t="s">
        <v>18</v>
      </c>
      <c r="I40" s="140" t="s">
        <v>447</v>
      </c>
      <c r="J40" s="140" t="s">
        <v>815</v>
      </c>
      <c r="K40" s="140">
        <v>4</v>
      </c>
      <c r="L40" s="140" t="s">
        <v>449</v>
      </c>
      <c r="M40" s="140" t="s">
        <v>816</v>
      </c>
      <c r="N40" s="140">
        <v>4</v>
      </c>
      <c r="O40" s="140" t="s">
        <v>451</v>
      </c>
      <c r="P40" s="148">
        <v>2000000</v>
      </c>
      <c r="Q40" s="140" t="s">
        <v>454</v>
      </c>
      <c r="R40" s="140" t="s">
        <v>452</v>
      </c>
      <c r="S40" s="140"/>
      <c r="T40" s="140" t="s">
        <v>817</v>
      </c>
      <c r="U40" s="143" t="s">
        <v>481</v>
      </c>
      <c r="V40" s="143" t="s">
        <v>557</v>
      </c>
      <c r="W40" s="143"/>
      <c r="X40" s="140" t="s">
        <v>818</v>
      </c>
      <c r="Y40" s="140" t="s">
        <v>819</v>
      </c>
      <c r="Z40" s="140" t="e">
        <f>IF(VLOOKUP($Y40,'For Lookup'!$A:$B,1, FALSE)=$Y40,"Yes","No")</f>
        <v>#N/A</v>
      </c>
      <c r="AA40" s="140"/>
      <c r="AB40" s="140" t="e">
        <f t="array" aca="1" ref="AB40" ca="1">_xludf.IFS(F40="Deep Tech", INDEX('DT Short List'!U:U,MATCH(B40,'DT Short List'!A:A,0)),F40="Life Sciences",INDEX('LS Shortlist'!T:T,MATCH(B40,'LS Shortlist'!B:B,0)),F40="Digital Tech",INDEX('DiT - Shortlist'!T:T,MATCH(B40,'DiT - Shortlist'!B:B,0)))</f>
        <v>#NAME?</v>
      </c>
    </row>
    <row r="41" spans="1:28">
      <c r="A41" s="144" t="s">
        <v>529</v>
      </c>
      <c r="B41" s="144" t="s">
        <v>114</v>
      </c>
      <c r="C41" s="144" t="s">
        <v>820</v>
      </c>
      <c r="D41" s="144" t="s">
        <v>821</v>
      </c>
      <c r="E41" s="144" t="s">
        <v>822</v>
      </c>
      <c r="F41" s="141" t="s">
        <v>5</v>
      </c>
      <c r="G41" s="144">
        <v>4</v>
      </c>
      <c r="H41" s="144" t="s">
        <v>18</v>
      </c>
      <c r="I41" s="144" t="s">
        <v>447</v>
      </c>
      <c r="J41" s="144" t="s">
        <v>823</v>
      </c>
      <c r="K41" s="144">
        <v>4.5</v>
      </c>
      <c r="L41" s="144" t="s">
        <v>622</v>
      </c>
      <c r="M41" s="144" t="s">
        <v>824</v>
      </c>
      <c r="N41" s="144">
        <v>3.5</v>
      </c>
      <c r="O41" s="144" t="s">
        <v>478</v>
      </c>
      <c r="P41" s="147">
        <v>15000000</v>
      </c>
      <c r="Q41" s="144" t="s">
        <v>452</v>
      </c>
      <c r="R41" s="144" t="s">
        <v>825</v>
      </c>
      <c r="S41" s="144"/>
      <c r="T41" s="144"/>
      <c r="U41" s="145" t="s">
        <v>481</v>
      </c>
      <c r="V41" s="145"/>
      <c r="W41" s="145"/>
      <c r="X41" s="144" t="s">
        <v>493</v>
      </c>
      <c r="Y41" s="144" t="s">
        <v>826</v>
      </c>
      <c r="Z41" s="144" t="e">
        <f>IF(VLOOKUP($Y41,'For Lookup'!$A:$B,1, FALSE)=$Y41,"Yes","No")</f>
        <v>#N/A</v>
      </c>
      <c r="AA41" s="144"/>
      <c r="AB41" s="144" t="e">
        <f t="array" aca="1" ref="AB41" ca="1">_xludf.IFS(F41="Deep Tech", INDEX('DT Short List'!U:U,MATCH(B41,'DT Short List'!A:A,0)),F41="Life Sciences",INDEX('LS Shortlist'!T:T,MATCH(B41,'LS Shortlist'!B:B,0)),F41="Digital Tech",INDEX('DiT - Shortlist'!T:T,MATCH(B41,'DiT - Shortlist'!B:B,0)))</f>
        <v>#NAME?</v>
      </c>
    </row>
    <row r="42" spans="1:28">
      <c r="A42" s="140" t="s">
        <v>443</v>
      </c>
      <c r="B42" s="140" t="s">
        <v>115</v>
      </c>
      <c r="C42" s="140" t="s">
        <v>827</v>
      </c>
      <c r="D42" s="140" t="s">
        <v>828</v>
      </c>
      <c r="E42" s="140" t="s">
        <v>829</v>
      </c>
      <c r="F42" s="141" t="s">
        <v>5</v>
      </c>
      <c r="G42" s="140">
        <v>4.5</v>
      </c>
      <c r="H42" s="140" t="s">
        <v>18</v>
      </c>
      <c r="I42" s="140" t="s">
        <v>447</v>
      </c>
      <c r="J42" s="140" t="s">
        <v>830</v>
      </c>
      <c r="K42" s="140">
        <v>4</v>
      </c>
      <c r="L42" s="140" t="s">
        <v>449</v>
      </c>
      <c r="M42" s="140" t="s">
        <v>831</v>
      </c>
      <c r="N42" s="140">
        <v>5</v>
      </c>
      <c r="O42" s="140" t="s">
        <v>451</v>
      </c>
      <c r="P42" s="140">
        <v>2000000</v>
      </c>
      <c r="Q42" s="140" t="s">
        <v>452</v>
      </c>
      <c r="R42" s="140" t="s">
        <v>832</v>
      </c>
      <c r="S42" s="140"/>
      <c r="T42" s="140" t="s">
        <v>833</v>
      </c>
      <c r="U42" s="143" t="s">
        <v>481</v>
      </c>
      <c r="V42" s="143"/>
      <c r="W42" s="143"/>
      <c r="X42" s="140" t="s">
        <v>834</v>
      </c>
      <c r="Y42" s="140" t="s">
        <v>835</v>
      </c>
      <c r="Z42" s="140" t="e">
        <f>IF(VLOOKUP($Y42,'For Lookup'!$A:$B,1, FALSE)=$Y42,"Yes","No")</f>
        <v>#N/A</v>
      </c>
      <c r="AA42" s="140"/>
      <c r="AB42" s="140" t="e">
        <f t="array" aca="1" ref="AB42" ca="1">_xludf.IFS(F42="Deep Tech", INDEX('DT Short List'!U:U,MATCH(B42,'DT Short List'!A:A,0)),F42="Life Sciences",INDEX('LS Shortlist'!T:T,MATCH(B42,'LS Shortlist'!B:B,0)),F42="Digital Tech",INDEX('DiT - Shortlist'!T:T,MATCH(B42,'DiT - Shortlist'!B:B,0)))</f>
        <v>#NAME?</v>
      </c>
    </row>
    <row r="43" spans="1:28">
      <c r="A43" s="144" t="s">
        <v>529</v>
      </c>
      <c r="B43" s="144" t="s">
        <v>117</v>
      </c>
      <c r="C43" s="144" t="s">
        <v>836</v>
      </c>
      <c r="D43" s="144" t="s">
        <v>837</v>
      </c>
      <c r="E43" s="144" t="s">
        <v>838</v>
      </c>
      <c r="F43" s="141" t="s">
        <v>5</v>
      </c>
      <c r="G43" s="144">
        <v>3.25</v>
      </c>
      <c r="H43" s="144" t="s">
        <v>18</v>
      </c>
      <c r="I43" s="144" t="s">
        <v>447</v>
      </c>
      <c r="J43" s="144" t="s">
        <v>839</v>
      </c>
      <c r="K43" s="144">
        <v>3</v>
      </c>
      <c r="L43" s="144" t="s">
        <v>449</v>
      </c>
      <c r="M43" s="144" t="s">
        <v>840</v>
      </c>
      <c r="N43" s="144">
        <v>3.5</v>
      </c>
      <c r="O43" s="144"/>
      <c r="P43" s="144"/>
      <c r="Q43" s="144" t="s">
        <v>452</v>
      </c>
      <c r="R43" s="144" t="s">
        <v>452</v>
      </c>
      <c r="S43" s="144" t="s">
        <v>725</v>
      </c>
      <c r="T43" s="144" t="s">
        <v>841</v>
      </c>
      <c r="U43" s="145" t="s">
        <v>454</v>
      </c>
      <c r="V43" s="145"/>
      <c r="W43" s="145" t="s">
        <v>725</v>
      </c>
      <c r="X43" s="144" t="s">
        <v>842</v>
      </c>
      <c r="Y43" s="144" t="s">
        <v>843</v>
      </c>
      <c r="Z43" s="144" t="e">
        <f>IF(VLOOKUP($Y43,'For Lookup'!$A:$B,1, FALSE)=$Y43,"Yes","No")</f>
        <v>#N/A</v>
      </c>
      <c r="AA43" s="144"/>
      <c r="AB43" s="144" t="e">
        <f t="array" aca="1" ref="AB43" ca="1">_xludf.IFS(F43="Deep Tech", INDEX('DT Short List'!U:U,MATCH(B43,'DT Short List'!A:A,0)),F43="Life Sciences",INDEX('LS Shortlist'!T:T,MATCH(B43,'LS Shortlist'!B:B,0)),F43="Digital Tech",INDEX('DiT - Shortlist'!T:T,MATCH(B43,'DiT - Shortlist'!B:B,0)))</f>
        <v>#NAME?</v>
      </c>
    </row>
    <row r="44" spans="1:28">
      <c r="A44" s="140" t="s">
        <v>484</v>
      </c>
      <c r="B44" s="140" t="s">
        <v>118</v>
      </c>
      <c r="C44" s="140" t="s">
        <v>844</v>
      </c>
      <c r="D44" s="140" t="s">
        <v>845</v>
      </c>
      <c r="E44" s="140" t="s">
        <v>846</v>
      </c>
      <c r="F44" s="141" t="s">
        <v>5</v>
      </c>
      <c r="G44" s="140">
        <v>3.75</v>
      </c>
      <c r="H44" s="140" t="s">
        <v>18</v>
      </c>
      <c r="I44" s="140" t="s">
        <v>460</v>
      </c>
      <c r="J44" s="140" t="s">
        <v>847</v>
      </c>
      <c r="K44" s="140">
        <v>4</v>
      </c>
      <c r="L44" s="140" t="s">
        <v>488</v>
      </c>
      <c r="M44" s="140" t="s">
        <v>848</v>
      </c>
      <c r="N44" s="140">
        <v>3.5</v>
      </c>
      <c r="O44" s="140" t="s">
        <v>451</v>
      </c>
      <c r="P44" s="148">
        <v>3000000</v>
      </c>
      <c r="Q44" s="140" t="s">
        <v>452</v>
      </c>
      <c r="R44" s="140" t="s">
        <v>849</v>
      </c>
      <c r="S44" s="140"/>
      <c r="T44" s="140" t="s">
        <v>850</v>
      </c>
      <c r="U44" s="143" t="s">
        <v>481</v>
      </c>
      <c r="V44" s="143"/>
      <c r="W44" s="143"/>
      <c r="X44" s="140" t="s">
        <v>851</v>
      </c>
      <c r="Y44" s="140" t="s">
        <v>852</v>
      </c>
      <c r="Z44" s="140" t="e">
        <f>IF(VLOOKUP($Y44,'For Lookup'!$A:$B,1, FALSE)=$Y44,"Yes","No")</f>
        <v>#N/A</v>
      </c>
      <c r="AA44" s="140"/>
      <c r="AB44" s="140" t="e">
        <f t="array" aca="1" ref="AB44" ca="1">_xludf.IFS(F44="Deep Tech", INDEX('DT Short List'!U:U,MATCH(B44,'DT Short List'!A:A,0)),F44="Life Sciences",INDEX('LS Shortlist'!T:T,MATCH(B44,'LS Shortlist'!B:B,0)),F44="Digital Tech",INDEX('DiT - Shortlist'!T:T,MATCH(B44,'DiT - Shortlist'!B:B,0)))</f>
        <v>#NAME?</v>
      </c>
    </row>
    <row r="45" spans="1:28">
      <c r="A45" s="144" t="s">
        <v>471</v>
      </c>
      <c r="B45" s="144" t="s">
        <v>119</v>
      </c>
      <c r="C45" s="144" t="s">
        <v>853</v>
      </c>
      <c r="D45" s="144" t="s">
        <v>854</v>
      </c>
      <c r="E45" s="144" t="s">
        <v>855</v>
      </c>
      <c r="F45" s="141" t="s">
        <v>5</v>
      </c>
      <c r="G45" s="144">
        <v>4.25</v>
      </c>
      <c r="H45" s="144" t="s">
        <v>18</v>
      </c>
      <c r="I45" s="144" t="s">
        <v>447</v>
      </c>
      <c r="J45" s="144" t="s">
        <v>856</v>
      </c>
      <c r="K45" s="144">
        <v>4.5</v>
      </c>
      <c r="L45" s="144" t="s">
        <v>543</v>
      </c>
      <c r="M45" s="144" t="s">
        <v>857</v>
      </c>
      <c r="N45" s="144">
        <v>4</v>
      </c>
      <c r="O45" s="144" t="s">
        <v>451</v>
      </c>
      <c r="P45" s="147">
        <v>2000000</v>
      </c>
      <c r="Q45" s="144" t="s">
        <v>452</v>
      </c>
      <c r="R45" s="144" t="s">
        <v>858</v>
      </c>
      <c r="S45" s="144" t="s">
        <v>859</v>
      </c>
      <c r="T45" s="144"/>
      <c r="U45" s="145" t="s">
        <v>454</v>
      </c>
      <c r="V45" s="145"/>
      <c r="W45" s="145" t="s">
        <v>859</v>
      </c>
      <c r="X45" s="144" t="s">
        <v>860</v>
      </c>
      <c r="Y45" s="144" t="s">
        <v>861</v>
      </c>
      <c r="Z45" s="144" t="e">
        <f>IF(VLOOKUP($Y45,'For Lookup'!$A:$B,1, FALSE)=$Y45,"Yes","No")</f>
        <v>#N/A</v>
      </c>
      <c r="AA45" s="144"/>
      <c r="AB45" s="144" t="e">
        <f t="array" aca="1" ref="AB45" ca="1">_xludf.IFS(F45="Deep Tech", INDEX('DT Short List'!U:U,MATCH(B45,'DT Short List'!A:A,0)),F45="Life Sciences",INDEX('LS Shortlist'!T:T,MATCH(B45,'LS Shortlist'!B:B,0)),F45="Digital Tech",INDEX('DiT - Shortlist'!T:T,MATCH(B45,'DiT - Shortlist'!B:B,0)))</f>
        <v>#NAME?</v>
      </c>
    </row>
    <row r="46" spans="1:28">
      <c r="A46" s="140" t="s">
        <v>471</v>
      </c>
      <c r="B46" s="140" t="s">
        <v>120</v>
      </c>
      <c r="C46" s="140" t="s">
        <v>862</v>
      </c>
      <c r="D46" s="140" t="s">
        <v>863</v>
      </c>
      <c r="E46" s="140" t="s">
        <v>864</v>
      </c>
      <c r="F46" s="141" t="s">
        <v>5</v>
      </c>
      <c r="G46" s="140">
        <v>3.75</v>
      </c>
      <c r="H46" s="140" t="s">
        <v>18</v>
      </c>
      <c r="I46" s="140" t="s">
        <v>447</v>
      </c>
      <c r="J46" s="140" t="s">
        <v>865</v>
      </c>
      <c r="K46" s="140">
        <v>3.5</v>
      </c>
      <c r="L46" s="140" t="s">
        <v>543</v>
      </c>
      <c r="M46" s="140" t="s">
        <v>866</v>
      </c>
      <c r="N46" s="140">
        <v>4</v>
      </c>
      <c r="O46" s="140"/>
      <c r="P46" s="140"/>
      <c r="Q46" s="140" t="s">
        <v>452</v>
      </c>
      <c r="R46" s="140" t="s">
        <v>452</v>
      </c>
      <c r="S46" s="140"/>
      <c r="T46" s="140" t="s">
        <v>867</v>
      </c>
      <c r="U46" s="143" t="s">
        <v>481</v>
      </c>
      <c r="V46" s="143"/>
      <c r="W46" s="143"/>
      <c r="X46" s="140" t="s">
        <v>868</v>
      </c>
      <c r="Y46" s="140" t="s">
        <v>869</v>
      </c>
      <c r="Z46" s="140" t="e">
        <f>IF(VLOOKUP($Y46,'For Lookup'!$A:$B,1, FALSE)=$Y46,"Yes","No")</f>
        <v>#N/A</v>
      </c>
      <c r="AA46" s="140"/>
      <c r="AB46" s="140" t="e">
        <f t="array" aca="1" ref="AB46" ca="1">_xludf.IFS(F46="Deep Tech", INDEX('DT Short List'!U:U,MATCH(B46,'DT Short List'!A:A,0)),F46="Life Sciences",INDEX('LS Shortlist'!T:T,MATCH(B46,'LS Shortlist'!B:B,0)),F46="Digital Tech",INDEX('DiT - Shortlist'!T:T,MATCH(B46,'DiT - Shortlist'!B:B,0)))</f>
        <v>#NAME?</v>
      </c>
    </row>
    <row r="47" spans="1:28">
      <c r="A47" s="144" t="s">
        <v>443</v>
      </c>
      <c r="B47" s="144" t="s">
        <v>122</v>
      </c>
      <c r="C47" s="144" t="s">
        <v>870</v>
      </c>
      <c r="D47" s="144" t="s">
        <v>871</v>
      </c>
      <c r="E47" s="144" t="s">
        <v>872</v>
      </c>
      <c r="F47" s="141" t="s">
        <v>5</v>
      </c>
      <c r="G47" s="144">
        <v>4.25</v>
      </c>
      <c r="H47" s="144" t="s">
        <v>18</v>
      </c>
      <c r="I47" s="144" t="s">
        <v>447</v>
      </c>
      <c r="J47" s="144"/>
      <c r="K47" s="144">
        <v>4</v>
      </c>
      <c r="L47" s="144" t="s">
        <v>543</v>
      </c>
      <c r="M47" s="144" t="s">
        <v>873</v>
      </c>
      <c r="N47" s="144">
        <v>4.5</v>
      </c>
      <c r="O47" s="144" t="s">
        <v>451</v>
      </c>
      <c r="P47" s="144" t="s">
        <v>874</v>
      </c>
      <c r="Q47" s="144" t="s">
        <v>452</v>
      </c>
      <c r="R47" s="144" t="s">
        <v>875</v>
      </c>
      <c r="S47" s="144" t="s">
        <v>876</v>
      </c>
      <c r="T47" s="144" t="s">
        <v>877</v>
      </c>
      <c r="U47" s="145" t="s">
        <v>481</v>
      </c>
      <c r="V47" s="145"/>
      <c r="W47" s="145" t="s">
        <v>876</v>
      </c>
      <c r="X47" s="144" t="s">
        <v>878</v>
      </c>
      <c r="Y47" s="144" t="s">
        <v>879</v>
      </c>
      <c r="Z47" s="144" t="e">
        <f>IF(VLOOKUP($Y47,'For Lookup'!$A:$B,1, FALSE)=$Y47,"Yes","No")</f>
        <v>#N/A</v>
      </c>
      <c r="AA47" s="144"/>
      <c r="AB47" s="144" t="e">
        <f t="array" aca="1" ref="AB47" ca="1">_xludf.IFS(F47="Deep Tech", INDEX('DT Short List'!U:U,MATCH(B47,'DT Short List'!A:A,0)),F47="Life Sciences",INDEX('LS Shortlist'!T:T,MATCH(B47,'LS Shortlist'!B:B,0)),F47="Digital Tech",INDEX('DiT - Shortlist'!T:T,MATCH(B47,'DiT - Shortlist'!B:B,0)))</f>
        <v>#NAME?</v>
      </c>
    </row>
    <row r="48" spans="1:28">
      <c r="A48" s="140" t="s">
        <v>484</v>
      </c>
      <c r="B48" s="140" t="s">
        <v>124</v>
      </c>
      <c r="C48" s="140" t="s">
        <v>880</v>
      </c>
      <c r="D48" s="140" t="s">
        <v>881</v>
      </c>
      <c r="E48" s="140" t="s">
        <v>882</v>
      </c>
      <c r="F48" s="141" t="s">
        <v>5</v>
      </c>
      <c r="G48" s="140">
        <v>4</v>
      </c>
      <c r="H48" s="140" t="s">
        <v>18</v>
      </c>
      <c r="I48" s="140" t="s">
        <v>447</v>
      </c>
      <c r="J48" s="140" t="s">
        <v>883</v>
      </c>
      <c r="K48" s="140">
        <v>4</v>
      </c>
      <c r="L48" s="140" t="s">
        <v>449</v>
      </c>
      <c r="M48" s="140" t="s">
        <v>884</v>
      </c>
      <c r="N48" s="140">
        <v>4</v>
      </c>
      <c r="O48" s="140" t="s">
        <v>885</v>
      </c>
      <c r="P48" s="140" t="s">
        <v>886</v>
      </c>
      <c r="Q48" s="140" t="s">
        <v>452</v>
      </c>
      <c r="R48" s="140" t="s">
        <v>887</v>
      </c>
      <c r="S48" s="140"/>
      <c r="T48" s="140"/>
      <c r="U48" s="143" t="s">
        <v>454</v>
      </c>
      <c r="V48" s="143"/>
      <c r="W48" s="143"/>
      <c r="X48" s="140" t="s">
        <v>888</v>
      </c>
      <c r="Y48" s="140" t="s">
        <v>889</v>
      </c>
      <c r="Z48" s="140" t="e">
        <f>IF(VLOOKUP($Y48,'For Lookup'!$A:$B,1, FALSE)=$Y48,"Yes","No")</f>
        <v>#N/A</v>
      </c>
      <c r="AA48" s="140"/>
      <c r="AB48" s="140" t="e">
        <f t="array" aca="1" ref="AB48" ca="1">_xludf.IFS(F48="Deep Tech", INDEX('DT Short List'!U:U,MATCH(B48,'DT Short List'!A:A,0)),F48="Life Sciences",INDEX('LS Shortlist'!T:T,MATCH(B48,'LS Shortlist'!B:B,0)),F48="Digital Tech",INDEX('DiT - Shortlist'!T:T,MATCH(B48,'DiT - Shortlist'!B:B,0)))</f>
        <v>#NAME?</v>
      </c>
    </row>
    <row r="49" spans="1:28">
      <c r="A49" s="144" t="s">
        <v>471</v>
      </c>
      <c r="B49" s="144" t="s">
        <v>125</v>
      </c>
      <c r="C49" s="144" t="s">
        <v>890</v>
      </c>
      <c r="D49" s="144" t="s">
        <v>891</v>
      </c>
      <c r="E49" s="144" t="s">
        <v>892</v>
      </c>
      <c r="F49" s="141" t="s">
        <v>5</v>
      </c>
      <c r="G49" s="144">
        <v>4.25</v>
      </c>
      <c r="H49" s="144" t="s">
        <v>18</v>
      </c>
      <c r="I49" s="144" t="s">
        <v>447</v>
      </c>
      <c r="J49" s="144" t="s">
        <v>893</v>
      </c>
      <c r="K49" s="144">
        <v>4</v>
      </c>
      <c r="L49" s="144" t="s">
        <v>543</v>
      </c>
      <c r="M49" s="144" t="s">
        <v>894</v>
      </c>
      <c r="N49" s="144">
        <v>4.5</v>
      </c>
      <c r="O49" s="144" t="s">
        <v>478</v>
      </c>
      <c r="P49" s="147">
        <v>3000000</v>
      </c>
      <c r="Q49" s="144" t="s">
        <v>452</v>
      </c>
      <c r="R49" s="144" t="s">
        <v>895</v>
      </c>
      <c r="S49" s="144"/>
      <c r="T49" s="144" t="s">
        <v>896</v>
      </c>
      <c r="U49" s="145" t="s">
        <v>481</v>
      </c>
      <c r="V49" s="145"/>
      <c r="W49" s="145"/>
      <c r="X49" s="144" t="s">
        <v>897</v>
      </c>
      <c r="Y49" s="144" t="s">
        <v>898</v>
      </c>
      <c r="Z49" s="144" t="e">
        <f>IF(VLOOKUP($Y49,'For Lookup'!$A:$B,1, FALSE)=$Y49,"Yes","No")</f>
        <v>#N/A</v>
      </c>
      <c r="AA49" s="144"/>
      <c r="AB49" s="144" t="e">
        <f t="array" aca="1" ref="AB49" ca="1">_xludf.IFS(F49="Deep Tech", INDEX('DT Short List'!U:U,MATCH(B49,'DT Short List'!A:A,0)),F49="Life Sciences",INDEX('LS Shortlist'!T:T,MATCH(B49,'LS Shortlist'!B:B,0)),F49="Digital Tech",INDEX('DiT - Shortlist'!T:T,MATCH(B49,'DiT - Shortlist'!B:B,0)))</f>
        <v>#NAME?</v>
      </c>
    </row>
    <row r="50" spans="1:28">
      <c r="A50" s="140" t="s">
        <v>484</v>
      </c>
      <c r="B50" s="140" t="s">
        <v>127</v>
      </c>
      <c r="C50" s="140" t="s">
        <v>899</v>
      </c>
      <c r="D50" s="140" t="s">
        <v>900</v>
      </c>
      <c r="E50" s="140" t="s">
        <v>901</v>
      </c>
      <c r="F50" s="141" t="s">
        <v>5</v>
      </c>
      <c r="G50" s="140">
        <v>4</v>
      </c>
      <c r="H50" s="140" t="s">
        <v>18</v>
      </c>
      <c r="I50" s="140" t="s">
        <v>447</v>
      </c>
      <c r="J50" s="140" t="s">
        <v>902</v>
      </c>
      <c r="K50" s="140">
        <v>4</v>
      </c>
      <c r="L50" s="140" t="s">
        <v>449</v>
      </c>
      <c r="M50" s="140" t="s">
        <v>903</v>
      </c>
      <c r="N50" s="140">
        <v>4</v>
      </c>
      <c r="O50" s="140" t="s">
        <v>451</v>
      </c>
      <c r="P50" s="142">
        <v>4000000</v>
      </c>
      <c r="Q50" s="140" t="s">
        <v>452</v>
      </c>
      <c r="R50" s="140" t="s">
        <v>904</v>
      </c>
      <c r="S50" s="140"/>
      <c r="T50" s="140"/>
      <c r="U50" s="143" t="s">
        <v>481</v>
      </c>
      <c r="V50" s="143"/>
      <c r="W50" s="143"/>
      <c r="X50" s="140" t="s">
        <v>905</v>
      </c>
      <c r="Y50" s="140" t="s">
        <v>906</v>
      </c>
      <c r="Z50" s="140" t="e">
        <f>IF(VLOOKUP($Y50,'For Lookup'!$A:$B,1, FALSE)=$Y50,"Yes","No")</f>
        <v>#N/A</v>
      </c>
      <c r="AA50" s="140"/>
      <c r="AB50" s="140" t="e">
        <f t="array" aca="1" ref="AB50" ca="1">_xludf.IFS(F50="Deep Tech", INDEX('DT Short List'!U:U,MATCH(B50,'DT Short List'!A:A,0)),F50="Life Sciences",INDEX('LS Shortlist'!T:T,MATCH(B50,'LS Shortlist'!B:B,0)),F50="Digital Tech",INDEX('DiT - Shortlist'!T:T,MATCH(B50,'DiT - Shortlist'!B:B,0)))</f>
        <v>#NAME?</v>
      </c>
    </row>
    <row r="51" spans="1:28">
      <c r="A51" s="144" t="s">
        <v>907</v>
      </c>
      <c r="B51" s="144" t="s">
        <v>61</v>
      </c>
      <c r="C51" s="144" t="s">
        <v>908</v>
      </c>
      <c r="D51" s="144" t="s">
        <v>909</v>
      </c>
      <c r="E51" s="144" t="s">
        <v>910</v>
      </c>
      <c r="F51" s="141" t="s">
        <v>5</v>
      </c>
      <c r="G51" s="144">
        <v>4</v>
      </c>
      <c r="H51" s="144" t="s">
        <v>18</v>
      </c>
      <c r="I51" s="144" t="s">
        <v>725</v>
      </c>
      <c r="J51" s="144" t="s">
        <v>911</v>
      </c>
      <c r="K51" s="144">
        <v>4</v>
      </c>
      <c r="L51" s="144" t="s">
        <v>447</v>
      </c>
      <c r="M51" s="144" t="s">
        <v>912</v>
      </c>
      <c r="N51" s="144">
        <v>4</v>
      </c>
      <c r="O51" s="144" t="s">
        <v>913</v>
      </c>
      <c r="P51" s="144">
        <v>850000</v>
      </c>
      <c r="Q51" s="144" t="s">
        <v>452</v>
      </c>
      <c r="R51" s="144" t="s">
        <v>914</v>
      </c>
      <c r="S51" s="144"/>
      <c r="T51" s="144" t="s">
        <v>915</v>
      </c>
      <c r="U51" s="145" t="s">
        <v>481</v>
      </c>
      <c r="V51" s="145"/>
      <c r="W51" s="145"/>
      <c r="X51" s="144" t="s">
        <v>916</v>
      </c>
      <c r="Y51" s="144" t="s">
        <v>917</v>
      </c>
      <c r="Z51" s="144" t="e">
        <f>IF(VLOOKUP($Y51,'For Lookup'!$A:$B,1, FALSE)=$Y51,"Yes","No")</f>
        <v>#N/A</v>
      </c>
      <c r="AA51" s="144"/>
      <c r="AB51" s="144" t="e">
        <f t="array" aca="1" ref="AB51" ca="1">_xludf.IFS(F51="Deep Tech", INDEX('DT Short List'!U:U,MATCH(B51,'DT Short List'!A:A,0)),F51="Life Sciences",INDEX('LS Shortlist'!T:T,MATCH(B51,'LS Shortlist'!B:B,0)),F51="Digital Tech",INDEX('DiT - Shortlist'!T:T,MATCH(B51,'DiT - Shortlist'!B:B,0)))</f>
        <v>#NAME?</v>
      </c>
    </row>
    <row r="52" spans="1:28">
      <c r="A52" s="140" t="s">
        <v>484</v>
      </c>
      <c r="B52" s="140" t="s">
        <v>128</v>
      </c>
      <c r="C52" s="140" t="s">
        <v>918</v>
      </c>
      <c r="D52" s="140" t="s">
        <v>919</v>
      </c>
      <c r="E52" s="140" t="s">
        <v>920</v>
      </c>
      <c r="F52" s="141" t="s">
        <v>5</v>
      </c>
      <c r="G52" s="140">
        <v>5</v>
      </c>
      <c r="H52" s="140" t="s">
        <v>18</v>
      </c>
      <c r="I52" s="140" t="s">
        <v>447</v>
      </c>
      <c r="J52" s="140" t="s">
        <v>921</v>
      </c>
      <c r="K52" s="140">
        <v>5</v>
      </c>
      <c r="L52" s="140" t="s">
        <v>543</v>
      </c>
      <c r="M52" s="140" t="s">
        <v>922</v>
      </c>
      <c r="N52" s="140">
        <v>5</v>
      </c>
      <c r="O52" s="140" t="s">
        <v>923</v>
      </c>
      <c r="P52" s="142">
        <v>3000000</v>
      </c>
      <c r="Q52" s="140" t="s">
        <v>452</v>
      </c>
      <c r="R52" s="140" t="s">
        <v>924</v>
      </c>
      <c r="S52" s="140"/>
      <c r="T52" s="140" t="s">
        <v>925</v>
      </c>
      <c r="U52" s="143" t="s">
        <v>481</v>
      </c>
      <c r="V52" s="143"/>
      <c r="W52" s="143"/>
      <c r="X52" s="140" t="s">
        <v>926</v>
      </c>
      <c r="Y52" s="140" t="s">
        <v>927</v>
      </c>
      <c r="Z52" s="140" t="str">
        <f>IF(VLOOKUP($Y52,'For Lookup'!$A:$B,1, FALSE)=$Y52,"Yes","No")</f>
        <v>Yes</v>
      </c>
      <c r="AA52" s="140"/>
      <c r="AB52" s="140" t="e">
        <f t="array" aca="1" ref="AB52" ca="1">_xludf.IFS(F52="Deep Tech", INDEX('DT Short List'!U:U,MATCH(B52,'DT Short List'!A:A,0)),F52="Life Sciences",INDEX('LS Shortlist'!T:T,MATCH(B52,'LS Shortlist'!B:B,0)),F52="Digital Tech",INDEX('DiT - Shortlist'!T:T,MATCH(B52,'DiT - Shortlist'!B:B,0)))</f>
        <v>#NAME?</v>
      </c>
    </row>
    <row r="53" spans="1:28">
      <c r="A53" s="144" t="s">
        <v>471</v>
      </c>
      <c r="B53" s="144" t="s">
        <v>129</v>
      </c>
      <c r="C53" s="144" t="s">
        <v>928</v>
      </c>
      <c r="D53" s="144" t="s">
        <v>929</v>
      </c>
      <c r="E53" s="144" t="s">
        <v>930</v>
      </c>
      <c r="F53" s="141" t="s">
        <v>5</v>
      </c>
      <c r="G53" s="144">
        <v>4</v>
      </c>
      <c r="H53" s="144" t="s">
        <v>18</v>
      </c>
      <c r="I53" s="144" t="s">
        <v>447</v>
      </c>
      <c r="J53" s="144" t="s">
        <v>931</v>
      </c>
      <c r="K53" s="144">
        <v>4</v>
      </c>
      <c r="L53" s="144" t="s">
        <v>449</v>
      </c>
      <c r="M53" s="144" t="s">
        <v>932</v>
      </c>
      <c r="N53" s="144">
        <v>4</v>
      </c>
      <c r="O53" s="144" t="s">
        <v>478</v>
      </c>
      <c r="P53" s="144">
        <v>5000000</v>
      </c>
      <c r="Q53" s="144" t="s">
        <v>452</v>
      </c>
      <c r="R53" s="144" t="s">
        <v>933</v>
      </c>
      <c r="S53" s="144" t="s">
        <v>934</v>
      </c>
      <c r="T53" s="144"/>
      <c r="U53" s="145" t="s">
        <v>481</v>
      </c>
      <c r="V53" s="145"/>
      <c r="W53" s="145" t="s">
        <v>934</v>
      </c>
      <c r="X53" s="144" t="s">
        <v>935</v>
      </c>
      <c r="Y53" s="144" t="s">
        <v>936</v>
      </c>
      <c r="Z53" s="144" t="e">
        <f>IF(VLOOKUP($Y53,'For Lookup'!$A:$B,1, FALSE)=$Y53,"Yes","No")</f>
        <v>#N/A</v>
      </c>
      <c r="AA53" s="144"/>
      <c r="AB53" s="144" t="e">
        <f t="array" aca="1" ref="AB53" ca="1">_xludf.IFS(F53="Deep Tech", INDEX('DT Short List'!U:U,MATCH(B53,'DT Short List'!A:A,0)),F53="Life Sciences",INDEX('LS Shortlist'!T:T,MATCH(B53,'LS Shortlist'!B:B,0)),F53="Digital Tech",INDEX('DiT - Shortlist'!T:T,MATCH(B53,'DiT - Shortlist'!B:B,0)))</f>
        <v>#NAME?</v>
      </c>
    </row>
    <row r="54" spans="1:28">
      <c r="A54" s="140" t="s">
        <v>598</v>
      </c>
      <c r="B54" s="140" t="s">
        <v>133</v>
      </c>
      <c r="C54" s="140" t="s">
        <v>937</v>
      </c>
      <c r="D54" s="140" t="s">
        <v>938</v>
      </c>
      <c r="E54" s="140" t="s">
        <v>939</v>
      </c>
      <c r="F54" s="141" t="s">
        <v>5</v>
      </c>
      <c r="G54" s="140">
        <v>4.75</v>
      </c>
      <c r="H54" s="140" t="s">
        <v>18</v>
      </c>
      <c r="I54" s="140" t="s">
        <v>460</v>
      </c>
      <c r="J54" s="140" t="s">
        <v>940</v>
      </c>
      <c r="K54" s="140">
        <v>4.5</v>
      </c>
      <c r="L54" s="140" t="s">
        <v>941</v>
      </c>
      <c r="M54" s="140" t="s">
        <v>942</v>
      </c>
      <c r="N54" s="140">
        <v>5</v>
      </c>
      <c r="O54" s="140" t="s">
        <v>923</v>
      </c>
      <c r="P54" s="140" t="s">
        <v>943</v>
      </c>
      <c r="Q54" s="140" t="s">
        <v>454</v>
      </c>
      <c r="R54" s="140" t="s">
        <v>944</v>
      </c>
      <c r="S54" s="140" t="s">
        <v>945</v>
      </c>
      <c r="T54" s="140" t="s">
        <v>946</v>
      </c>
      <c r="U54" s="143" t="s">
        <v>481</v>
      </c>
      <c r="V54" s="143" t="s">
        <v>947</v>
      </c>
      <c r="W54" s="143" t="s">
        <v>945</v>
      </c>
      <c r="X54" s="140" t="s">
        <v>948</v>
      </c>
      <c r="Y54" s="140" t="s">
        <v>949</v>
      </c>
      <c r="Z54" s="140" t="str">
        <f>IF(VLOOKUP($Y54,'For Lookup'!$A:$B,1, FALSE)=$Y54,"Yes","No")</f>
        <v>Yes</v>
      </c>
      <c r="AA54" s="140"/>
      <c r="AB54" s="140" t="e">
        <f t="array" aca="1" ref="AB54" ca="1">_xludf.IFS(F54="Deep Tech", INDEX('DT Short List'!U:U,MATCH(B54,'DT Short List'!A:A,0)),F54="Life Sciences",INDEX('LS Shortlist'!T:T,MATCH(B54,'LS Shortlist'!B:B,0)),F54="Digital Tech",INDEX('DiT - Shortlist'!T:T,MATCH(B54,'DiT - Shortlist'!B:B,0)))</f>
        <v>#NAME?</v>
      </c>
    </row>
    <row r="55" spans="1:28">
      <c r="A55" s="144" t="s">
        <v>529</v>
      </c>
      <c r="B55" s="144" t="s">
        <v>135</v>
      </c>
      <c r="C55" s="144" t="s">
        <v>950</v>
      </c>
      <c r="D55" s="144" t="s">
        <v>951</v>
      </c>
      <c r="E55" s="144" t="s">
        <v>952</v>
      </c>
      <c r="F55" s="141" t="s">
        <v>5</v>
      </c>
      <c r="G55" s="144">
        <v>4.25</v>
      </c>
      <c r="H55" s="144" t="s">
        <v>18</v>
      </c>
      <c r="I55" s="144" t="s">
        <v>447</v>
      </c>
      <c r="J55" s="144" t="s">
        <v>953</v>
      </c>
      <c r="K55" s="144">
        <v>4.5</v>
      </c>
      <c r="L55" s="144" t="s">
        <v>622</v>
      </c>
      <c r="M55" s="144" t="s">
        <v>954</v>
      </c>
      <c r="N55" s="144">
        <v>4</v>
      </c>
      <c r="O55" s="144"/>
      <c r="P55" s="144"/>
      <c r="Q55" s="144" t="s">
        <v>452</v>
      </c>
      <c r="R55" s="144" t="s">
        <v>955</v>
      </c>
      <c r="S55" s="144"/>
      <c r="T55" s="144" t="s">
        <v>956</v>
      </c>
      <c r="U55" s="145" t="s">
        <v>481</v>
      </c>
      <c r="V55" s="145"/>
      <c r="W55" s="145"/>
      <c r="X55" s="144" t="s">
        <v>957</v>
      </c>
      <c r="Y55" s="144" t="s">
        <v>958</v>
      </c>
      <c r="Z55" s="144" t="e">
        <f>IF(VLOOKUP($Y55,'For Lookup'!$A:$B,1, FALSE)=$Y55,"Yes","No")</f>
        <v>#N/A</v>
      </c>
      <c r="AA55" s="144"/>
      <c r="AB55" s="144" t="e">
        <f t="array" aca="1" ref="AB55" ca="1">_xludf.IFS(F55="Deep Tech", INDEX('DT Short List'!U:U,MATCH(B55,'DT Short List'!A:A,0)),F55="Life Sciences",INDEX('LS Shortlist'!T:T,MATCH(B55,'LS Shortlist'!B:B,0)),F55="Digital Tech",INDEX('DiT - Shortlist'!T:T,MATCH(B55,'DiT - Shortlist'!B:B,0)))</f>
        <v>#NAME?</v>
      </c>
    </row>
    <row r="56" spans="1:28">
      <c r="A56" s="140" t="s">
        <v>529</v>
      </c>
      <c r="B56" s="140" t="s">
        <v>138</v>
      </c>
      <c r="C56" s="140" t="s">
        <v>959</v>
      </c>
      <c r="D56" s="140" t="s">
        <v>960</v>
      </c>
      <c r="E56" s="140" t="s">
        <v>961</v>
      </c>
      <c r="F56" s="141" t="s">
        <v>5</v>
      </c>
      <c r="G56" s="140">
        <v>4.5</v>
      </c>
      <c r="H56" s="140" t="s">
        <v>18</v>
      </c>
      <c r="I56" s="140" t="s">
        <v>725</v>
      </c>
      <c r="J56" s="140" t="s">
        <v>962</v>
      </c>
      <c r="K56" s="140">
        <v>4.5</v>
      </c>
      <c r="L56" s="140" t="s">
        <v>462</v>
      </c>
      <c r="M56" s="140" t="s">
        <v>963</v>
      </c>
      <c r="N56" s="140">
        <v>4.5</v>
      </c>
      <c r="O56" s="140"/>
      <c r="P56" s="140"/>
      <c r="Q56" s="140" t="s">
        <v>452</v>
      </c>
      <c r="R56" s="140" t="s">
        <v>964</v>
      </c>
      <c r="S56" s="140"/>
      <c r="T56" s="140" t="s">
        <v>965</v>
      </c>
      <c r="U56" s="143" t="s">
        <v>454</v>
      </c>
      <c r="V56" s="143"/>
      <c r="W56" s="143"/>
      <c r="X56" s="140" t="s">
        <v>966</v>
      </c>
      <c r="Y56" s="140" t="s">
        <v>967</v>
      </c>
      <c r="Z56" s="140" t="e">
        <f>IF(VLOOKUP($Y56,'For Lookup'!$A:$B,1, FALSE)=$Y56,"Yes","No")</f>
        <v>#N/A</v>
      </c>
      <c r="AA56" s="140"/>
      <c r="AB56" s="140" t="e">
        <f t="array" aca="1" ref="AB56" ca="1">_xludf.IFS(F56="Deep Tech", INDEX('DT Short List'!U:U,MATCH(B56,'DT Short List'!A:A,0)),F56="Life Sciences",INDEX('LS Shortlist'!T:T,MATCH(B56,'LS Shortlist'!B:B,0)),F56="Digital Tech",INDEX('DiT - Shortlist'!T:T,MATCH(B56,'DiT - Shortlist'!B:B,0)))</f>
        <v>#NAME?</v>
      </c>
    </row>
    <row r="57" spans="1:28">
      <c r="A57" s="144" t="s">
        <v>598</v>
      </c>
      <c r="B57" s="144" t="s">
        <v>142</v>
      </c>
      <c r="C57" s="144" t="s">
        <v>968</v>
      </c>
      <c r="D57" s="144" t="s">
        <v>969</v>
      </c>
      <c r="E57" s="144" t="s">
        <v>970</v>
      </c>
      <c r="F57" s="141" t="s">
        <v>5</v>
      </c>
      <c r="G57" s="144">
        <v>4</v>
      </c>
      <c r="H57" s="144" t="s">
        <v>18</v>
      </c>
      <c r="I57" s="144" t="s">
        <v>447</v>
      </c>
      <c r="J57" s="144" t="s">
        <v>971</v>
      </c>
      <c r="K57" s="144">
        <v>4</v>
      </c>
      <c r="L57" s="144" t="s">
        <v>449</v>
      </c>
      <c r="M57" s="144" t="s">
        <v>972</v>
      </c>
      <c r="N57" s="144">
        <v>4</v>
      </c>
      <c r="O57" s="144" t="s">
        <v>973</v>
      </c>
      <c r="P57" s="144" t="s">
        <v>708</v>
      </c>
      <c r="Q57" s="144" t="s">
        <v>452</v>
      </c>
      <c r="R57" s="144" t="s">
        <v>974</v>
      </c>
      <c r="S57" s="144"/>
      <c r="T57" s="144"/>
      <c r="U57" s="145" t="s">
        <v>481</v>
      </c>
      <c r="V57" s="145"/>
      <c r="W57" s="145"/>
      <c r="X57" s="144" t="s">
        <v>975</v>
      </c>
      <c r="Y57" s="144" t="s">
        <v>976</v>
      </c>
      <c r="Z57" s="144" t="e">
        <f>IF(VLOOKUP($Y57,'For Lookup'!$A:$B,1, FALSE)=$Y57,"Yes","No")</f>
        <v>#N/A</v>
      </c>
      <c r="AA57" s="144"/>
      <c r="AB57" s="144" t="e">
        <f t="array" aca="1" ref="AB57" ca="1">_xludf.IFS(F57="Deep Tech", INDEX('DT Short List'!U:U,MATCH(B57,'DT Short List'!A:A,0)),F57="Life Sciences",INDEX('LS Shortlist'!T:T,MATCH(B57,'LS Shortlist'!B:B,0)),F57="Digital Tech",INDEX('DiT - Shortlist'!T:T,MATCH(B57,'DiT - Shortlist'!B:B,0)))</f>
        <v>#NAME?</v>
      </c>
    </row>
    <row r="58" spans="1:28">
      <c r="A58" s="140" t="s">
        <v>503</v>
      </c>
      <c r="B58" s="140" t="s">
        <v>143</v>
      </c>
      <c r="C58" s="140" t="s">
        <v>977</v>
      </c>
      <c r="D58" s="140" t="s">
        <v>978</v>
      </c>
      <c r="E58" s="140" t="s">
        <v>979</v>
      </c>
      <c r="F58" s="141" t="s">
        <v>5</v>
      </c>
      <c r="G58" s="140">
        <v>4</v>
      </c>
      <c r="H58" s="140" t="s">
        <v>18</v>
      </c>
      <c r="I58" s="140" t="s">
        <v>447</v>
      </c>
      <c r="J58" s="140" t="s">
        <v>980</v>
      </c>
      <c r="K58" s="140">
        <v>4</v>
      </c>
      <c r="L58" s="140" t="s">
        <v>476</v>
      </c>
      <c r="M58" s="140" t="s">
        <v>981</v>
      </c>
      <c r="N58" s="140">
        <v>4</v>
      </c>
      <c r="O58" s="140" t="s">
        <v>451</v>
      </c>
      <c r="P58" s="140" t="s">
        <v>982</v>
      </c>
      <c r="Q58" s="140" t="s">
        <v>452</v>
      </c>
      <c r="R58" s="140" t="s">
        <v>983</v>
      </c>
      <c r="S58" s="140"/>
      <c r="T58" s="140"/>
      <c r="U58" s="143" t="s">
        <v>481</v>
      </c>
      <c r="V58" s="143"/>
      <c r="W58" s="143"/>
      <c r="X58" s="140" t="s">
        <v>984</v>
      </c>
      <c r="Y58" s="140" t="s">
        <v>985</v>
      </c>
      <c r="Z58" s="140" t="e">
        <f>IF(VLOOKUP($Y58,'For Lookup'!$A:$B,1, FALSE)=$Y58,"Yes","No")</f>
        <v>#N/A</v>
      </c>
      <c r="AA58" s="140"/>
      <c r="AB58" s="140" t="e">
        <f t="array" aca="1" ref="AB58" ca="1">_xludf.IFS(F58="Deep Tech", INDEX('DT Short List'!U:U,MATCH(B58,'DT Short List'!A:A,0)),F58="Life Sciences",INDEX('LS Shortlist'!T:T,MATCH(B58,'LS Shortlist'!B:B,0)),F58="Digital Tech",INDEX('DiT - Shortlist'!T:T,MATCH(B58,'DiT - Shortlist'!B:B,0)))</f>
        <v>#NAME?</v>
      </c>
    </row>
    <row r="59" spans="1:28">
      <c r="A59" s="144" t="s">
        <v>598</v>
      </c>
      <c r="B59" s="144" t="s">
        <v>145</v>
      </c>
      <c r="C59" s="144" t="s">
        <v>986</v>
      </c>
      <c r="D59" s="144" t="s">
        <v>987</v>
      </c>
      <c r="E59" s="144" t="s">
        <v>988</v>
      </c>
      <c r="F59" s="149" t="s">
        <v>4</v>
      </c>
      <c r="G59" s="144">
        <v>4.75</v>
      </c>
      <c r="H59" s="144" t="s">
        <v>18</v>
      </c>
      <c r="I59" s="144" t="s">
        <v>602</v>
      </c>
      <c r="J59" s="144" t="s">
        <v>989</v>
      </c>
      <c r="K59" s="144">
        <v>4.5</v>
      </c>
      <c r="L59" s="144" t="s">
        <v>990</v>
      </c>
      <c r="M59" s="144" t="s">
        <v>991</v>
      </c>
      <c r="N59" s="144">
        <v>5</v>
      </c>
      <c r="O59" s="144"/>
      <c r="P59" s="144"/>
      <c r="Q59" s="144" t="s">
        <v>452</v>
      </c>
      <c r="R59" s="144" t="s">
        <v>452</v>
      </c>
      <c r="S59" s="144"/>
      <c r="T59" s="144" t="s">
        <v>992</v>
      </c>
      <c r="U59" s="145" t="s">
        <v>481</v>
      </c>
      <c r="V59" s="145"/>
      <c r="W59" s="145"/>
      <c r="X59" s="144" t="s">
        <v>993</v>
      </c>
      <c r="Y59" s="144" t="s">
        <v>994</v>
      </c>
      <c r="Z59" s="144" t="str">
        <f>IF(VLOOKUP($Y59,'For Lookup'!$A:$B,1, FALSE)=$Y59,"Yes","No")</f>
        <v>Yes</v>
      </c>
      <c r="AA59" s="144"/>
      <c r="AB59" s="144" t="e">
        <f t="array" aca="1" ref="AB59" ca="1">_xludf.IFS(F59="Deep Tech", INDEX('DT Short List'!U:U,MATCH(B59,'DT Short List'!A:A,0)),F59="Life Sciences",INDEX('LS Shortlist'!T:T,MATCH(B59,'LS Shortlist'!B:B,0)),F59="Digital Tech",INDEX('DiT - Shortlist'!T:T,MATCH(B59,'DiT - Shortlist'!B:B,0)))</f>
        <v>#NAME?</v>
      </c>
    </row>
    <row r="60" spans="1:28">
      <c r="A60" s="140" t="s">
        <v>529</v>
      </c>
      <c r="B60" s="140" t="s">
        <v>148</v>
      </c>
      <c r="C60" s="140" t="s">
        <v>995</v>
      </c>
      <c r="D60" s="140" t="s">
        <v>996</v>
      </c>
      <c r="E60" s="140" t="s">
        <v>997</v>
      </c>
      <c r="F60" s="149" t="s">
        <v>4</v>
      </c>
      <c r="G60" s="140">
        <v>4.75</v>
      </c>
      <c r="H60" s="140" t="s">
        <v>18</v>
      </c>
      <c r="I60" s="140" t="s">
        <v>725</v>
      </c>
      <c r="J60" s="140" t="s">
        <v>998</v>
      </c>
      <c r="K60" s="140">
        <v>4.5</v>
      </c>
      <c r="L60" s="140" t="s">
        <v>990</v>
      </c>
      <c r="M60" s="140" t="s">
        <v>999</v>
      </c>
      <c r="N60" s="140">
        <v>5</v>
      </c>
      <c r="O60" s="140" t="s">
        <v>451</v>
      </c>
      <c r="P60" s="142">
        <v>5000000</v>
      </c>
      <c r="Q60" s="140" t="s">
        <v>452</v>
      </c>
      <c r="R60" s="140" t="s">
        <v>1000</v>
      </c>
      <c r="S60" s="140"/>
      <c r="T60" s="140" t="s">
        <v>1001</v>
      </c>
      <c r="U60" s="143" t="s">
        <v>481</v>
      </c>
      <c r="V60" s="143"/>
      <c r="W60" s="143"/>
      <c r="X60" s="140" t="s">
        <v>1002</v>
      </c>
      <c r="Y60" s="140" t="s">
        <v>1003</v>
      </c>
      <c r="Z60" s="140" t="str">
        <f>IF(VLOOKUP($Y60,'For Lookup'!$A:$B,1, FALSE)=$Y60,"Yes","No")</f>
        <v>Yes</v>
      </c>
      <c r="AA60" s="140"/>
      <c r="AB60" s="140" t="e">
        <f t="array" aca="1" ref="AB60" ca="1">_xludf.IFS(F60="Deep Tech", INDEX('DT Short List'!U:U,MATCH(B60,'DT Short List'!A:A,0)),F60="Life Sciences",INDEX('LS Shortlist'!T:T,MATCH(B60,'LS Shortlist'!B:B,0)),F60="Digital Tech",INDEX('DiT - Shortlist'!T:T,MATCH(B60,'DiT - Shortlist'!B:B,0)))</f>
        <v>#NAME?</v>
      </c>
    </row>
    <row r="61" spans="1:28">
      <c r="A61" s="144" t="s">
        <v>471</v>
      </c>
      <c r="B61" s="144" t="s">
        <v>149</v>
      </c>
      <c r="C61" s="144" t="s">
        <v>1004</v>
      </c>
      <c r="D61" s="144" t="s">
        <v>1005</v>
      </c>
      <c r="E61" s="144" t="s">
        <v>1006</v>
      </c>
      <c r="F61" s="149" t="s">
        <v>4</v>
      </c>
      <c r="G61" s="144">
        <v>4.5</v>
      </c>
      <c r="H61" s="144" t="s">
        <v>18</v>
      </c>
      <c r="I61" s="144" t="s">
        <v>602</v>
      </c>
      <c r="J61" s="144" t="s">
        <v>1007</v>
      </c>
      <c r="K61" s="144">
        <v>4.5</v>
      </c>
      <c r="L61" s="144" t="s">
        <v>727</v>
      </c>
      <c r="M61" s="144" t="s">
        <v>1008</v>
      </c>
      <c r="N61" s="144">
        <v>4.5</v>
      </c>
      <c r="O61" s="144"/>
      <c r="P61" s="144"/>
      <c r="Q61" s="144" t="s">
        <v>452</v>
      </c>
      <c r="R61" s="144" t="s">
        <v>1009</v>
      </c>
      <c r="S61" s="144"/>
      <c r="T61" s="144" t="s">
        <v>1010</v>
      </c>
      <c r="U61" s="145" t="s">
        <v>481</v>
      </c>
      <c r="V61" s="145"/>
      <c r="W61" s="145"/>
      <c r="X61" s="144" t="s">
        <v>1011</v>
      </c>
      <c r="Y61" s="144" t="s">
        <v>1012</v>
      </c>
      <c r="Z61" s="144" t="str">
        <f>IF(VLOOKUP($Y61,'For Lookup'!$A:$B,1, FALSE)=$Y61,"Yes","No")</f>
        <v>Yes</v>
      </c>
      <c r="AA61" s="144"/>
      <c r="AB61" s="144" t="e">
        <f t="array" aca="1" ref="AB61" ca="1">_xludf.IFS(F61="Deep Tech", INDEX('DT Short List'!U:U,MATCH(B61,'DT Short List'!A:A,0)),F61="Life Sciences",INDEX('LS Shortlist'!T:T,MATCH(B61,'LS Shortlist'!B:B,0)),F61="Digital Tech",INDEX('DiT - Shortlist'!T:T,MATCH(B61,'DiT - Shortlist'!B:B,0)))</f>
        <v>#NAME?</v>
      </c>
    </row>
    <row r="62" spans="1:28">
      <c r="A62" s="140" t="s">
        <v>471</v>
      </c>
      <c r="B62" s="140" t="s">
        <v>151</v>
      </c>
      <c r="C62" s="140" t="s">
        <v>1013</v>
      </c>
      <c r="D62" s="140" t="s">
        <v>1014</v>
      </c>
      <c r="E62" s="140" t="s">
        <v>1015</v>
      </c>
      <c r="F62" s="149" t="s">
        <v>4</v>
      </c>
      <c r="G62" s="140">
        <v>4</v>
      </c>
      <c r="H62" s="140" t="s">
        <v>18</v>
      </c>
      <c r="I62" s="140" t="s">
        <v>727</v>
      </c>
      <c r="J62" s="140" t="s">
        <v>1016</v>
      </c>
      <c r="K62" s="140">
        <v>4</v>
      </c>
      <c r="L62" s="140" t="s">
        <v>476</v>
      </c>
      <c r="M62" s="140" t="s">
        <v>1017</v>
      </c>
      <c r="N62" s="140">
        <v>4</v>
      </c>
      <c r="O62" s="140" t="s">
        <v>451</v>
      </c>
      <c r="P62" s="142">
        <v>14000000</v>
      </c>
      <c r="Q62" s="140" t="s">
        <v>452</v>
      </c>
      <c r="R62" s="140" t="s">
        <v>1018</v>
      </c>
      <c r="S62" s="140"/>
      <c r="T62" s="140" t="s">
        <v>1019</v>
      </c>
      <c r="U62" s="143" t="s">
        <v>454</v>
      </c>
      <c r="V62" s="143"/>
      <c r="W62" s="143"/>
      <c r="X62" s="140" t="s">
        <v>1020</v>
      </c>
      <c r="Y62" s="140" t="s">
        <v>1021</v>
      </c>
      <c r="Z62" s="140" t="e">
        <f>IF(VLOOKUP($Y62,'For Lookup'!$A:$B,1, FALSE)=$Y62,"Yes","No")</f>
        <v>#N/A</v>
      </c>
      <c r="AA62" s="140"/>
      <c r="AB62" s="140" t="e">
        <f t="array" aca="1" ref="AB62" ca="1">_xludf.IFS(F62="Deep Tech", INDEX('DT Short List'!U:U,MATCH(B62,'DT Short List'!A:A,0)),F62="Life Sciences",INDEX('LS Shortlist'!T:T,MATCH(B62,'LS Shortlist'!B:B,0)),F62="Digital Tech",INDEX('DiT - Shortlist'!T:T,MATCH(B62,'DiT - Shortlist'!B:B,0)))</f>
        <v>#NAME?</v>
      </c>
    </row>
    <row r="63" spans="1:28">
      <c r="A63" s="144" t="s">
        <v>598</v>
      </c>
      <c r="B63" s="144" t="s">
        <v>152</v>
      </c>
      <c r="C63" s="144" t="s">
        <v>1022</v>
      </c>
      <c r="D63" s="144" t="s">
        <v>1023</v>
      </c>
      <c r="E63" s="144" t="s">
        <v>1024</v>
      </c>
      <c r="F63" s="149" t="s">
        <v>4</v>
      </c>
      <c r="G63" s="144">
        <v>4.25</v>
      </c>
      <c r="H63" s="144" t="s">
        <v>18</v>
      </c>
      <c r="I63" s="144" t="s">
        <v>447</v>
      </c>
      <c r="J63" s="144" t="s">
        <v>1025</v>
      </c>
      <c r="K63" s="144">
        <v>4.5</v>
      </c>
      <c r="L63" s="144" t="s">
        <v>543</v>
      </c>
      <c r="M63" s="144" t="s">
        <v>1026</v>
      </c>
      <c r="N63" s="144">
        <v>4</v>
      </c>
      <c r="O63" s="144" t="s">
        <v>478</v>
      </c>
      <c r="P63" s="144" t="s">
        <v>1027</v>
      </c>
      <c r="Q63" s="144" t="s">
        <v>452</v>
      </c>
      <c r="R63" s="144" t="s">
        <v>1028</v>
      </c>
      <c r="S63" s="144"/>
      <c r="T63" s="144" t="s">
        <v>1029</v>
      </c>
      <c r="U63" s="145" t="s">
        <v>481</v>
      </c>
      <c r="V63" s="145"/>
      <c r="W63" s="145"/>
      <c r="X63" s="144" t="s">
        <v>1030</v>
      </c>
      <c r="Y63" s="144" t="s">
        <v>1031</v>
      </c>
      <c r="Z63" s="144" t="e">
        <f>IF(VLOOKUP($Y63,'For Lookup'!$A:$B,1, FALSE)=$Y63,"Yes","No")</f>
        <v>#N/A</v>
      </c>
      <c r="AA63" s="144"/>
      <c r="AB63" s="144" t="e">
        <f t="array" aca="1" ref="AB63" ca="1">_xludf.IFS(F63="Deep Tech", INDEX('DT Short List'!U:U,MATCH(B63,'DT Short List'!A:A,0)),F63="Life Sciences",INDEX('LS Shortlist'!T:T,MATCH(B63,'LS Shortlist'!B:B,0)),F63="Digital Tech",INDEX('DiT - Shortlist'!T:T,MATCH(B63,'DiT - Shortlist'!B:B,0)))</f>
        <v>#NAME?</v>
      </c>
    </row>
    <row r="64" spans="1:28">
      <c r="A64" s="140" t="s">
        <v>529</v>
      </c>
      <c r="B64" s="140" t="s">
        <v>153</v>
      </c>
      <c r="C64" s="140" t="s">
        <v>1032</v>
      </c>
      <c r="D64" s="140" t="s">
        <v>1033</v>
      </c>
      <c r="E64" s="140" t="s">
        <v>1034</v>
      </c>
      <c r="F64" s="149" t="s">
        <v>4</v>
      </c>
      <c r="G64" s="140">
        <v>3.63</v>
      </c>
      <c r="H64" s="140" t="s">
        <v>18</v>
      </c>
      <c r="I64" s="140" t="s">
        <v>727</v>
      </c>
      <c r="J64" s="140" t="s">
        <v>1035</v>
      </c>
      <c r="K64" s="140">
        <v>4.25</v>
      </c>
      <c r="L64" s="140" t="s">
        <v>1036</v>
      </c>
      <c r="M64" s="140" t="s">
        <v>1037</v>
      </c>
      <c r="N64" s="140">
        <v>3</v>
      </c>
      <c r="O64" s="140" t="s">
        <v>451</v>
      </c>
      <c r="P64" s="148">
        <v>1000000</v>
      </c>
      <c r="Q64" s="140" t="s">
        <v>452</v>
      </c>
      <c r="R64" s="140" t="s">
        <v>452</v>
      </c>
      <c r="S64" s="140"/>
      <c r="T64" s="140" t="s">
        <v>1038</v>
      </c>
      <c r="U64" s="143" t="s">
        <v>454</v>
      </c>
      <c r="V64" s="143"/>
      <c r="W64" s="143"/>
      <c r="X64" s="140" t="s">
        <v>1039</v>
      </c>
      <c r="Y64" s="140" t="s">
        <v>1040</v>
      </c>
      <c r="Z64" s="140" t="e">
        <f>IF(VLOOKUP($Y64,'For Lookup'!$A:$B,1, FALSE)=$Y64,"Yes","No")</f>
        <v>#N/A</v>
      </c>
      <c r="AA64" s="140"/>
      <c r="AB64" s="140" t="e">
        <f t="array" aca="1" ref="AB64" ca="1">_xludf.IFS(F64="Deep Tech", INDEX('DT Short List'!U:U,MATCH(B64,'DT Short List'!A:A,0)),F64="Life Sciences",INDEX('LS Shortlist'!T:T,MATCH(B64,'LS Shortlist'!B:B,0)),F64="Digital Tech",INDEX('DiT - Shortlist'!T:T,MATCH(B64,'DiT - Shortlist'!B:B,0)))</f>
        <v>#NAME?</v>
      </c>
    </row>
    <row r="65" spans="1:28">
      <c r="A65" s="144" t="s">
        <v>443</v>
      </c>
      <c r="B65" s="144" t="s">
        <v>154</v>
      </c>
      <c r="C65" s="144" t="s">
        <v>1041</v>
      </c>
      <c r="D65" s="144" t="s">
        <v>1042</v>
      </c>
      <c r="E65" s="144" t="s">
        <v>1043</v>
      </c>
      <c r="F65" s="149" t="s">
        <v>4</v>
      </c>
      <c r="G65" s="144">
        <v>4</v>
      </c>
      <c r="H65" s="144" t="s">
        <v>18</v>
      </c>
      <c r="I65" s="144" t="s">
        <v>727</v>
      </c>
      <c r="J65" s="144" t="s">
        <v>1044</v>
      </c>
      <c r="K65" s="144">
        <v>4</v>
      </c>
      <c r="L65" s="144" t="s">
        <v>1045</v>
      </c>
      <c r="M65" s="144" t="s">
        <v>1046</v>
      </c>
      <c r="N65" s="144">
        <v>4</v>
      </c>
      <c r="O65" s="144"/>
      <c r="P65" s="144"/>
      <c r="Q65" s="144" t="s">
        <v>454</v>
      </c>
      <c r="R65" s="144" t="s">
        <v>1047</v>
      </c>
      <c r="S65" s="144" t="s">
        <v>725</v>
      </c>
      <c r="T65" s="144"/>
      <c r="U65" s="145" t="s">
        <v>481</v>
      </c>
      <c r="V65" s="145" t="s">
        <v>1048</v>
      </c>
      <c r="W65" s="145" t="s">
        <v>725</v>
      </c>
      <c r="X65" s="144" t="s">
        <v>1020</v>
      </c>
      <c r="Y65" s="144" t="s">
        <v>1049</v>
      </c>
      <c r="Z65" s="144" t="e">
        <f>IF(VLOOKUP($Y65,'For Lookup'!$A:$B,1, FALSE)=$Y65,"Yes","No")</f>
        <v>#N/A</v>
      </c>
      <c r="AA65" s="144"/>
      <c r="AB65" s="144" t="e">
        <f t="array" aca="1" ref="AB65" ca="1">_xludf.IFS(F65="Deep Tech", INDEX('DT Short List'!U:U,MATCH(B65,'DT Short List'!A:A,0)),F65="Life Sciences",INDEX('LS Shortlist'!T:T,MATCH(B65,'LS Shortlist'!B:B,0)),F65="Digital Tech",INDEX('DiT - Shortlist'!T:T,MATCH(B65,'DiT - Shortlist'!B:B,0)))</f>
        <v>#NAME?</v>
      </c>
    </row>
    <row r="66" spans="1:28">
      <c r="A66" s="140" t="s">
        <v>503</v>
      </c>
      <c r="B66" s="140" t="s">
        <v>156</v>
      </c>
      <c r="C66" s="140" t="s">
        <v>1050</v>
      </c>
      <c r="D66" s="140" t="s">
        <v>1051</v>
      </c>
      <c r="E66" s="140" t="s">
        <v>1052</v>
      </c>
      <c r="F66" s="149" t="s">
        <v>4</v>
      </c>
      <c r="G66" s="140">
        <v>4.25</v>
      </c>
      <c r="H66" s="140" t="s">
        <v>18</v>
      </c>
      <c r="I66" s="140" t="s">
        <v>602</v>
      </c>
      <c r="J66" s="140" t="s">
        <v>1053</v>
      </c>
      <c r="K66" s="140">
        <v>4.5</v>
      </c>
      <c r="L66" s="140" t="s">
        <v>1054</v>
      </c>
      <c r="M66" s="140"/>
      <c r="N66" s="140">
        <v>4</v>
      </c>
      <c r="O66" s="140" t="s">
        <v>451</v>
      </c>
      <c r="P66" s="140">
        <v>4000000</v>
      </c>
      <c r="Q66" s="140" t="s">
        <v>465</v>
      </c>
      <c r="R66" s="140" t="s">
        <v>1055</v>
      </c>
      <c r="S66" s="140"/>
      <c r="T66" s="140"/>
      <c r="U66" s="143" t="s">
        <v>481</v>
      </c>
      <c r="V66" s="143"/>
      <c r="W66" s="143"/>
      <c r="X66" s="140" t="s">
        <v>1056</v>
      </c>
      <c r="Y66" s="140" t="s">
        <v>1057</v>
      </c>
      <c r="Z66" s="140" t="e">
        <f>IF(VLOOKUP($Y66,'For Lookup'!$A:$B,1, FALSE)=$Y66,"Yes","No")</f>
        <v>#N/A</v>
      </c>
      <c r="AA66" s="140"/>
      <c r="AB66" s="140" t="e">
        <f t="array" aca="1" ref="AB66" ca="1">_xludf.IFS(F66="Deep Tech", INDEX('DT Short List'!U:U,MATCH(B66,'DT Short List'!A:A,0)),F66="Life Sciences",INDEX('LS Shortlist'!T:T,MATCH(B66,'LS Shortlist'!B:B,0)),F66="Digital Tech",INDEX('DiT - Shortlist'!T:T,MATCH(B66,'DiT - Shortlist'!B:B,0)))</f>
        <v>#NAME?</v>
      </c>
    </row>
    <row r="67" spans="1:28">
      <c r="A67" s="144" t="s">
        <v>443</v>
      </c>
      <c r="B67" s="144" t="s">
        <v>157</v>
      </c>
      <c r="C67" s="144" t="s">
        <v>1058</v>
      </c>
      <c r="D67" s="144" t="s">
        <v>1059</v>
      </c>
      <c r="E67" s="144" t="s">
        <v>1060</v>
      </c>
      <c r="F67" s="149" t="s">
        <v>4</v>
      </c>
      <c r="G67" s="144">
        <v>4</v>
      </c>
      <c r="H67" s="144" t="s">
        <v>18</v>
      </c>
      <c r="I67" s="144" t="s">
        <v>602</v>
      </c>
      <c r="J67" s="144" t="s">
        <v>1061</v>
      </c>
      <c r="K67" s="144">
        <v>4</v>
      </c>
      <c r="L67" s="144" t="s">
        <v>1054</v>
      </c>
      <c r="M67" s="144" t="s">
        <v>1062</v>
      </c>
      <c r="N67" s="144">
        <v>4</v>
      </c>
      <c r="O67" s="144" t="s">
        <v>1063</v>
      </c>
      <c r="P67" s="144" t="s">
        <v>1064</v>
      </c>
      <c r="Q67" s="144" t="s">
        <v>452</v>
      </c>
      <c r="R67" s="144" t="s">
        <v>1065</v>
      </c>
      <c r="S67" s="144" t="s">
        <v>1066</v>
      </c>
      <c r="T67" s="144"/>
      <c r="U67" s="145" t="s">
        <v>454</v>
      </c>
      <c r="V67" s="145"/>
      <c r="W67" s="145" t="s">
        <v>1066</v>
      </c>
      <c r="X67" s="144" t="s">
        <v>1067</v>
      </c>
      <c r="Y67" s="144" t="s">
        <v>1068</v>
      </c>
      <c r="Z67" s="144" t="e">
        <f>IF(VLOOKUP($Y67,'For Lookup'!$A:$B,1, FALSE)=$Y67,"Yes","No")</f>
        <v>#N/A</v>
      </c>
      <c r="AA67" s="144"/>
      <c r="AB67" s="144" t="e">
        <f t="array" aca="1" ref="AB67" ca="1">_xludf.IFS(F67="Deep Tech", INDEX('DT Short List'!U:U,MATCH(B67,'DT Short List'!A:A,0)),F67="Life Sciences",INDEX('LS Shortlist'!T:T,MATCH(B67,'LS Shortlist'!B:B,0)),F67="Digital Tech",INDEX('DiT - Shortlist'!T:T,MATCH(B67,'DiT - Shortlist'!B:B,0)))</f>
        <v>#NAME?</v>
      </c>
    </row>
    <row r="68" spans="1:28">
      <c r="A68" s="140" t="s">
        <v>529</v>
      </c>
      <c r="B68" s="140" t="s">
        <v>160</v>
      </c>
      <c r="C68" s="140" t="s">
        <v>1069</v>
      </c>
      <c r="D68" s="140" t="s">
        <v>1070</v>
      </c>
      <c r="E68" s="140" t="s">
        <v>1071</v>
      </c>
      <c r="F68" s="149" t="s">
        <v>4</v>
      </c>
      <c r="G68" s="140">
        <v>4.25</v>
      </c>
      <c r="H68" s="140" t="s">
        <v>18</v>
      </c>
      <c r="I68" s="140" t="s">
        <v>725</v>
      </c>
      <c r="J68" s="140" t="s">
        <v>1072</v>
      </c>
      <c r="K68" s="140">
        <v>4.5</v>
      </c>
      <c r="L68" s="140" t="s">
        <v>1073</v>
      </c>
      <c r="M68" s="140"/>
      <c r="N68" s="140">
        <v>4</v>
      </c>
      <c r="O68" s="140" t="s">
        <v>1074</v>
      </c>
      <c r="P68" s="142">
        <v>20000000</v>
      </c>
      <c r="Q68" s="140" t="s">
        <v>452</v>
      </c>
      <c r="R68" s="140" t="s">
        <v>452</v>
      </c>
      <c r="S68" s="140"/>
      <c r="T68" s="140"/>
      <c r="U68" s="143" t="s">
        <v>481</v>
      </c>
      <c r="V68" s="143"/>
      <c r="W68" s="143"/>
      <c r="X68" s="140" t="s">
        <v>1075</v>
      </c>
      <c r="Y68" s="140" t="s">
        <v>1076</v>
      </c>
      <c r="Z68" s="140" t="e">
        <f>IF(VLOOKUP($Y68,'For Lookup'!$A:$B,1, FALSE)=$Y68,"Yes","No")</f>
        <v>#N/A</v>
      </c>
      <c r="AA68" s="140"/>
      <c r="AB68" s="140" t="e">
        <f t="array" aca="1" ref="AB68" ca="1">_xludf.IFS(F68="Deep Tech", INDEX('DT Short List'!U:U,MATCH(B68,'DT Short List'!A:A,0)),F68="Life Sciences",INDEX('LS Shortlist'!T:T,MATCH(B68,'LS Shortlist'!B:B,0)),F68="Digital Tech",INDEX('DiT - Shortlist'!T:T,MATCH(B68,'DiT - Shortlist'!B:B,0)))</f>
        <v>#NAME?</v>
      </c>
    </row>
    <row r="69" spans="1:28">
      <c r="A69" s="144" t="s">
        <v>907</v>
      </c>
      <c r="B69" s="144" t="s">
        <v>161</v>
      </c>
      <c r="C69" s="144" t="s">
        <v>1077</v>
      </c>
      <c r="D69" s="144" t="s">
        <v>1078</v>
      </c>
      <c r="E69" s="144" t="s">
        <v>1079</v>
      </c>
      <c r="F69" s="149" t="s">
        <v>4</v>
      </c>
      <c r="G69" s="144">
        <v>4.25</v>
      </c>
      <c r="H69" s="144" t="s">
        <v>18</v>
      </c>
      <c r="I69" s="144" t="s">
        <v>725</v>
      </c>
      <c r="J69" s="144"/>
      <c r="K69" s="144">
        <v>4.5</v>
      </c>
      <c r="L69" s="144" t="s">
        <v>462</v>
      </c>
      <c r="M69" s="144" t="s">
        <v>1080</v>
      </c>
      <c r="N69" s="144">
        <v>4</v>
      </c>
      <c r="O69" s="144" t="s">
        <v>451</v>
      </c>
      <c r="P69" s="144">
        <v>10000000</v>
      </c>
      <c r="Q69" s="144" t="s">
        <v>452</v>
      </c>
      <c r="R69" s="144" t="s">
        <v>974</v>
      </c>
      <c r="S69" s="144"/>
      <c r="T69" s="144"/>
      <c r="U69" s="145" t="s">
        <v>454</v>
      </c>
      <c r="V69" s="145"/>
      <c r="W69" s="145"/>
      <c r="X69" s="144" t="s">
        <v>1081</v>
      </c>
      <c r="Y69" s="144" t="s">
        <v>1082</v>
      </c>
      <c r="Z69" s="144" t="e">
        <f>IF(VLOOKUP($Y69,'For Lookup'!$A:$B,1, FALSE)=$Y69,"Yes","No")</f>
        <v>#N/A</v>
      </c>
      <c r="AA69" s="144"/>
      <c r="AB69" s="144" t="e">
        <f t="array" aca="1" ref="AB69" ca="1">_xludf.IFS(F69="Deep Tech", INDEX('DT Short List'!U:U,MATCH(B69,'DT Short List'!A:A,0)),F69="Life Sciences",INDEX('LS Shortlist'!T:T,MATCH(B69,'LS Shortlist'!B:B,0)),F69="Digital Tech",INDEX('DiT - Shortlist'!T:T,MATCH(B69,'DiT - Shortlist'!B:B,0)))</f>
        <v>#NAME?</v>
      </c>
    </row>
    <row r="70" spans="1:28">
      <c r="A70" s="140" t="s">
        <v>529</v>
      </c>
      <c r="B70" s="140" t="s">
        <v>163</v>
      </c>
      <c r="C70" s="140" t="s">
        <v>1083</v>
      </c>
      <c r="D70" s="140" t="s">
        <v>1084</v>
      </c>
      <c r="E70" s="140" t="s">
        <v>1085</v>
      </c>
      <c r="F70" s="149" t="s">
        <v>4</v>
      </c>
      <c r="G70" s="140">
        <v>4.63</v>
      </c>
      <c r="H70" s="140" t="s">
        <v>18</v>
      </c>
      <c r="I70" s="140" t="s">
        <v>725</v>
      </c>
      <c r="J70" s="140" t="s">
        <v>1086</v>
      </c>
      <c r="K70" s="140">
        <v>4.25</v>
      </c>
      <c r="L70" s="140" t="s">
        <v>1073</v>
      </c>
      <c r="M70" s="140" t="s">
        <v>1087</v>
      </c>
      <c r="N70" s="140">
        <v>5</v>
      </c>
      <c r="O70" s="140" t="s">
        <v>784</v>
      </c>
      <c r="P70" s="140">
        <v>500000</v>
      </c>
      <c r="Q70" s="140" t="s">
        <v>452</v>
      </c>
      <c r="R70" s="140" t="s">
        <v>1088</v>
      </c>
      <c r="S70" s="140"/>
      <c r="T70" s="140"/>
      <c r="U70" s="143" t="s">
        <v>454</v>
      </c>
      <c r="V70" s="143"/>
      <c r="W70" s="143"/>
      <c r="X70" s="140" t="s">
        <v>1089</v>
      </c>
      <c r="Y70" s="140" t="s">
        <v>1090</v>
      </c>
      <c r="Z70" s="140" t="str">
        <f>IF(VLOOKUP($Y70,'For Lookup'!$A:$B,1, FALSE)=$Y70,"Yes","No")</f>
        <v>Yes</v>
      </c>
      <c r="AA70" s="140"/>
      <c r="AB70" s="140" t="e">
        <f t="array" aca="1" ref="AB70" ca="1">_xludf.IFS(F70="Deep Tech", INDEX('DT Short List'!U:U,MATCH(B70,'DT Short List'!A:A,0)),F70="Life Sciences",INDEX('LS Shortlist'!T:T,MATCH(B70,'LS Shortlist'!B:B,0)),F70="Digital Tech",INDEX('DiT - Shortlist'!T:T,MATCH(B70,'DiT - Shortlist'!B:B,0)))</f>
        <v>#NAME?</v>
      </c>
    </row>
    <row r="71" spans="1:28">
      <c r="A71" s="144" t="s">
        <v>484</v>
      </c>
      <c r="B71" s="144" t="s">
        <v>167</v>
      </c>
      <c r="C71" s="144" t="s">
        <v>1091</v>
      </c>
      <c r="D71" s="144" t="s">
        <v>1092</v>
      </c>
      <c r="E71" s="144" t="s">
        <v>1093</v>
      </c>
      <c r="F71" s="149" t="s">
        <v>4</v>
      </c>
      <c r="G71" s="144">
        <v>4.5</v>
      </c>
      <c r="H71" s="144" t="s">
        <v>18</v>
      </c>
      <c r="I71" s="144" t="s">
        <v>727</v>
      </c>
      <c r="J71" s="144" t="s">
        <v>1094</v>
      </c>
      <c r="K71" s="144">
        <v>5</v>
      </c>
      <c r="L71" s="144" t="s">
        <v>1054</v>
      </c>
      <c r="M71" s="144" t="s">
        <v>1095</v>
      </c>
      <c r="N71" s="144">
        <v>4</v>
      </c>
      <c r="O71" s="144" t="s">
        <v>451</v>
      </c>
      <c r="P71" s="146">
        <v>7000000</v>
      </c>
      <c r="Q71" s="144" t="s">
        <v>452</v>
      </c>
      <c r="R71" s="144" t="s">
        <v>452</v>
      </c>
      <c r="S71" s="144" t="s">
        <v>1096</v>
      </c>
      <c r="T71" s="144"/>
      <c r="U71" s="145" t="s">
        <v>454</v>
      </c>
      <c r="V71" s="145"/>
      <c r="W71" s="145" t="s">
        <v>1096</v>
      </c>
      <c r="X71" s="144" t="s">
        <v>1097</v>
      </c>
      <c r="Y71" s="144" t="s">
        <v>1098</v>
      </c>
      <c r="Z71" s="144" t="str">
        <f>IF(VLOOKUP($Y71,'For Lookup'!$A:$B,1, FALSE)=$Y71,"Yes","No")</f>
        <v>Yes</v>
      </c>
      <c r="AA71" s="144"/>
      <c r="AB71" s="144" t="e">
        <f t="array" aca="1" ref="AB71" ca="1">_xludf.IFS(F71="Deep Tech", INDEX('DT Short List'!U:U,MATCH(B71,'DT Short List'!A:A,0)),F71="Life Sciences",INDEX('LS Shortlist'!T:T,MATCH(B71,'LS Shortlist'!B:B,0)),F71="Digital Tech",INDEX('DiT - Shortlist'!T:T,MATCH(B71,'DiT - Shortlist'!B:B,0)))</f>
        <v>#NAME?</v>
      </c>
    </row>
    <row r="72" spans="1:28">
      <c r="A72" s="140" t="s">
        <v>907</v>
      </c>
      <c r="B72" s="140" t="s">
        <v>170</v>
      </c>
      <c r="C72" s="140" t="s">
        <v>1099</v>
      </c>
      <c r="D72" s="140" t="s">
        <v>1100</v>
      </c>
      <c r="E72" s="140" t="s">
        <v>1101</v>
      </c>
      <c r="F72" s="149" t="s">
        <v>4</v>
      </c>
      <c r="G72" s="140">
        <v>4.25</v>
      </c>
      <c r="H72" s="140" t="s">
        <v>18</v>
      </c>
      <c r="I72" s="140" t="s">
        <v>725</v>
      </c>
      <c r="J72" s="140"/>
      <c r="K72" s="140">
        <v>4.5</v>
      </c>
      <c r="L72" s="140" t="s">
        <v>462</v>
      </c>
      <c r="M72" s="140" t="s">
        <v>1102</v>
      </c>
      <c r="N72" s="140">
        <v>4</v>
      </c>
      <c r="O72" s="140" t="s">
        <v>1103</v>
      </c>
      <c r="P72" s="142">
        <v>8000000</v>
      </c>
      <c r="Q72" s="140" t="s">
        <v>452</v>
      </c>
      <c r="R72" s="140" t="s">
        <v>575</v>
      </c>
      <c r="S72" s="140"/>
      <c r="T72" s="140"/>
      <c r="U72" s="143" t="s">
        <v>481</v>
      </c>
      <c r="V72" s="143"/>
      <c r="W72" s="143"/>
      <c r="X72" s="140" t="s">
        <v>1104</v>
      </c>
      <c r="Y72" s="140" t="s">
        <v>1105</v>
      </c>
      <c r="Z72" s="140" t="e">
        <f>IF(VLOOKUP($Y72,'For Lookup'!$A:$B,1, FALSE)=$Y72,"Yes","No")</f>
        <v>#N/A</v>
      </c>
      <c r="AA72" s="140"/>
      <c r="AB72" s="140" t="e">
        <f t="array" aca="1" ref="AB72" ca="1">_xludf.IFS(F72="Deep Tech", INDEX('DT Short List'!U:U,MATCH(B72,'DT Short List'!A:A,0)),F72="Life Sciences",INDEX('LS Shortlist'!T:T,MATCH(B72,'LS Shortlist'!B:B,0)),F72="Digital Tech",INDEX('DiT - Shortlist'!T:T,MATCH(B72,'DiT - Shortlist'!B:B,0)))</f>
        <v>#NAME?</v>
      </c>
    </row>
    <row r="73" spans="1:28">
      <c r="A73" s="144" t="s">
        <v>503</v>
      </c>
      <c r="B73" s="144" t="s">
        <v>172</v>
      </c>
      <c r="C73" s="144" t="s">
        <v>1106</v>
      </c>
      <c r="D73" s="144" t="s">
        <v>1107</v>
      </c>
      <c r="E73" s="144" t="s">
        <v>1108</v>
      </c>
      <c r="F73" s="149" t="s">
        <v>4</v>
      </c>
      <c r="G73" s="144">
        <v>4.5</v>
      </c>
      <c r="H73" s="144" t="s">
        <v>18</v>
      </c>
      <c r="I73" s="144" t="s">
        <v>602</v>
      </c>
      <c r="J73" s="144" t="s">
        <v>1109</v>
      </c>
      <c r="K73" s="144">
        <v>4.5</v>
      </c>
      <c r="L73" s="144" t="s">
        <v>727</v>
      </c>
      <c r="M73" s="144" t="s">
        <v>1110</v>
      </c>
      <c r="N73" s="144">
        <v>4.5</v>
      </c>
      <c r="O73" s="144"/>
      <c r="P73" s="144"/>
      <c r="Q73" s="144" t="s">
        <v>465</v>
      </c>
      <c r="R73" s="144" t="s">
        <v>452</v>
      </c>
      <c r="S73" s="144"/>
      <c r="T73" s="144" t="s">
        <v>1111</v>
      </c>
      <c r="U73" s="145" t="s">
        <v>454</v>
      </c>
      <c r="V73" s="145"/>
      <c r="W73" s="145"/>
      <c r="X73" s="144" t="s">
        <v>1112</v>
      </c>
      <c r="Y73" s="144" t="s">
        <v>1113</v>
      </c>
      <c r="Z73" s="144" t="str">
        <f>IF(VLOOKUP($Y73,'For Lookup'!$A:$B,1, FALSE)=$Y73,"Yes","No")</f>
        <v>Yes</v>
      </c>
      <c r="AA73" s="144"/>
      <c r="AB73" s="144" t="e">
        <f t="array" aca="1" ref="AB73" ca="1">_xludf.IFS(F73="Deep Tech", INDEX('DT Short List'!U:U,MATCH(B73,'DT Short List'!A:A,0)),F73="Life Sciences",INDEX('LS Shortlist'!T:T,MATCH(B73,'LS Shortlist'!B:B,0)),F73="Digital Tech",INDEX('DiT - Shortlist'!T:T,MATCH(B73,'DiT - Shortlist'!B:B,0)))</f>
        <v>#NAME?</v>
      </c>
    </row>
    <row r="74" spans="1:28">
      <c r="A74" s="140" t="s">
        <v>503</v>
      </c>
      <c r="B74" s="140" t="s">
        <v>83</v>
      </c>
      <c r="C74" s="140" t="s">
        <v>1114</v>
      </c>
      <c r="D74" s="140" t="s">
        <v>1115</v>
      </c>
      <c r="E74" s="140" t="s">
        <v>1116</v>
      </c>
      <c r="F74" s="149" t="s">
        <v>4</v>
      </c>
      <c r="G74" s="140">
        <v>4.25</v>
      </c>
      <c r="H74" s="140" t="s">
        <v>18</v>
      </c>
      <c r="I74" s="140" t="s">
        <v>447</v>
      </c>
      <c r="J74" s="140" t="s">
        <v>1117</v>
      </c>
      <c r="K74" s="140">
        <v>4.5</v>
      </c>
      <c r="L74" s="140" t="s">
        <v>449</v>
      </c>
      <c r="M74" s="140" t="s">
        <v>1118</v>
      </c>
      <c r="N74" s="140">
        <v>4</v>
      </c>
      <c r="O74" s="140" t="s">
        <v>451</v>
      </c>
      <c r="P74" s="148">
        <v>3500000</v>
      </c>
      <c r="Q74" s="140" t="s">
        <v>452</v>
      </c>
      <c r="R74" s="140" t="s">
        <v>1119</v>
      </c>
      <c r="S74" s="140" t="s">
        <v>1120</v>
      </c>
      <c r="T74" s="140" t="s">
        <v>1121</v>
      </c>
      <c r="U74" s="143" t="s">
        <v>481</v>
      </c>
      <c r="V74" s="143"/>
      <c r="W74" s="143" t="s">
        <v>1120</v>
      </c>
      <c r="X74" s="140" t="s">
        <v>1122</v>
      </c>
      <c r="Y74" s="140" t="s">
        <v>1123</v>
      </c>
      <c r="Z74" s="140" t="e">
        <f>IF(VLOOKUP($Y74,'For Lookup'!$A:$B,1, FALSE)=$Y74,"Yes","No")</f>
        <v>#N/A</v>
      </c>
      <c r="AA74" s="140"/>
      <c r="AB74" s="140" t="e">
        <f t="array" aca="1" ref="AB74" ca="1">_xludf.IFS(F74="Deep Tech", INDEX('DT Short List'!U:U,MATCH(B74,'DT Short List'!A:A,0)),F74="Life Sciences",INDEX('LS Shortlist'!T:T,MATCH(B74,'LS Shortlist'!B:B,0)),F74="Digital Tech",INDEX('DiT - Shortlist'!T:T,MATCH(B74,'DiT - Shortlist'!B:B,0)))</f>
        <v>#NAME?</v>
      </c>
    </row>
    <row r="75" spans="1:28">
      <c r="A75" s="144" t="s">
        <v>471</v>
      </c>
      <c r="B75" s="144" t="s">
        <v>173</v>
      </c>
      <c r="C75" s="144" t="s">
        <v>1124</v>
      </c>
      <c r="D75" s="144" t="s">
        <v>1125</v>
      </c>
      <c r="E75" s="144" t="s">
        <v>1126</v>
      </c>
      <c r="F75" s="149" t="s">
        <v>4</v>
      </c>
      <c r="G75" s="144">
        <v>4.25</v>
      </c>
      <c r="H75" s="144" t="s">
        <v>18</v>
      </c>
      <c r="I75" s="144" t="s">
        <v>460</v>
      </c>
      <c r="J75" s="144" t="s">
        <v>1127</v>
      </c>
      <c r="K75" s="144">
        <v>4.5</v>
      </c>
      <c r="L75" s="144" t="s">
        <v>462</v>
      </c>
      <c r="M75" s="144" t="s">
        <v>1128</v>
      </c>
      <c r="N75" s="144">
        <v>4</v>
      </c>
      <c r="O75" s="144" t="s">
        <v>451</v>
      </c>
      <c r="P75" s="147">
        <v>2000000</v>
      </c>
      <c r="Q75" s="144" t="s">
        <v>452</v>
      </c>
      <c r="R75" s="144" t="s">
        <v>1129</v>
      </c>
      <c r="S75" s="144"/>
      <c r="T75" s="144" t="s">
        <v>1130</v>
      </c>
      <c r="U75" s="145" t="s">
        <v>481</v>
      </c>
      <c r="V75" s="145"/>
      <c r="W75" s="145"/>
      <c r="X75" s="144" t="s">
        <v>1131</v>
      </c>
      <c r="Y75" s="144" t="s">
        <v>1132</v>
      </c>
      <c r="Z75" s="144" t="e">
        <f>IF(VLOOKUP($Y75,'For Lookup'!$A:$B,1, FALSE)=$Y75,"Yes","No")</f>
        <v>#N/A</v>
      </c>
      <c r="AA75" s="144"/>
      <c r="AB75" s="144" t="e">
        <f t="array" aca="1" ref="AB75" ca="1">_xludf.IFS(F75="Deep Tech", INDEX('DT Short List'!U:U,MATCH(B75,'DT Short List'!A:A,0)),F75="Life Sciences",INDEX('LS Shortlist'!T:T,MATCH(B75,'LS Shortlist'!B:B,0)),F75="Digital Tech",INDEX('DiT - Shortlist'!T:T,MATCH(B75,'DiT - Shortlist'!B:B,0)))</f>
        <v>#NAME?</v>
      </c>
    </row>
    <row r="76" spans="1:28">
      <c r="A76" s="140" t="s">
        <v>598</v>
      </c>
      <c r="B76" s="140" t="s">
        <v>176</v>
      </c>
      <c r="C76" s="140" t="s">
        <v>1133</v>
      </c>
      <c r="D76" s="140" t="s">
        <v>1134</v>
      </c>
      <c r="E76" s="140" t="s">
        <v>1135</v>
      </c>
      <c r="F76" s="149" t="s">
        <v>4</v>
      </c>
      <c r="G76" s="140">
        <v>4</v>
      </c>
      <c r="H76" s="140" t="s">
        <v>18</v>
      </c>
      <c r="I76" s="140" t="s">
        <v>602</v>
      </c>
      <c r="J76" s="140" t="s">
        <v>1136</v>
      </c>
      <c r="K76" s="140">
        <v>4</v>
      </c>
      <c r="L76" s="140" t="s">
        <v>604</v>
      </c>
      <c r="M76" s="140" t="s">
        <v>1137</v>
      </c>
      <c r="N76" s="140">
        <v>4</v>
      </c>
      <c r="O76" s="140" t="s">
        <v>451</v>
      </c>
      <c r="P76" s="148">
        <v>1500000</v>
      </c>
      <c r="Q76" s="140" t="s">
        <v>452</v>
      </c>
      <c r="R76" s="140" t="s">
        <v>1138</v>
      </c>
      <c r="S76" s="140"/>
      <c r="T76" s="140"/>
      <c r="U76" s="143" t="s">
        <v>454</v>
      </c>
      <c r="V76" s="143"/>
      <c r="W76" s="143"/>
      <c r="X76" s="140" t="s">
        <v>1139</v>
      </c>
      <c r="Y76" s="140" t="s">
        <v>1140</v>
      </c>
      <c r="Z76" s="140" t="e">
        <f>IF(VLOOKUP($Y76,'For Lookup'!$A:$B,1, FALSE)=$Y76,"Yes","No")</f>
        <v>#N/A</v>
      </c>
      <c r="AA76" s="140"/>
      <c r="AB76" s="140" t="e">
        <f t="array" aca="1" ref="AB76" ca="1">_xludf.IFS(F76="Deep Tech", INDEX('DT Short List'!U:U,MATCH(B76,'DT Short List'!A:A,0)),F76="Life Sciences",INDEX('LS Shortlist'!T:T,MATCH(B76,'LS Shortlist'!B:B,0)),F76="Digital Tech",INDEX('DiT - Shortlist'!T:T,MATCH(B76,'DiT - Shortlist'!B:B,0)))</f>
        <v>#NAME?</v>
      </c>
    </row>
    <row r="77" spans="1:28">
      <c r="A77" s="144" t="s">
        <v>529</v>
      </c>
      <c r="B77" s="144" t="s">
        <v>179</v>
      </c>
      <c r="C77" s="144" t="s">
        <v>1141</v>
      </c>
      <c r="D77" s="144" t="s">
        <v>1142</v>
      </c>
      <c r="E77" s="144" t="s">
        <v>1143</v>
      </c>
      <c r="F77" s="149" t="s">
        <v>4</v>
      </c>
      <c r="G77" s="144">
        <v>4.75</v>
      </c>
      <c r="H77" s="144" t="s">
        <v>18</v>
      </c>
      <c r="I77" s="144" t="s">
        <v>725</v>
      </c>
      <c r="J77" s="144"/>
      <c r="K77" s="144">
        <v>4.5</v>
      </c>
      <c r="L77" s="144" t="s">
        <v>604</v>
      </c>
      <c r="M77" s="144" t="s">
        <v>1144</v>
      </c>
      <c r="N77" s="144">
        <v>5</v>
      </c>
      <c r="O77" s="144"/>
      <c r="P77" s="144"/>
      <c r="Q77" s="144" t="s">
        <v>454</v>
      </c>
      <c r="R77" s="144" t="s">
        <v>1145</v>
      </c>
      <c r="S77" s="144"/>
      <c r="T77" s="144"/>
      <c r="U77" s="145" t="s">
        <v>454</v>
      </c>
      <c r="V77" s="145" t="s">
        <v>465</v>
      </c>
      <c r="W77" s="145"/>
      <c r="X77" s="144" t="s">
        <v>1146</v>
      </c>
      <c r="Y77" s="144" t="s">
        <v>1147</v>
      </c>
      <c r="Z77" s="144" t="str">
        <f>IF(VLOOKUP($Y77,'For Lookup'!$A:$B,1, FALSE)=$Y77,"Yes","No")</f>
        <v>Yes</v>
      </c>
      <c r="AA77" s="144"/>
      <c r="AB77" s="144" t="e">
        <f t="array" aca="1" ref="AB77" ca="1">_xludf.IFS(F77="Deep Tech", INDEX('DT Short List'!U:U,MATCH(B77,'DT Short List'!A:A,0)),F77="Life Sciences",INDEX('LS Shortlist'!T:T,MATCH(B77,'LS Shortlist'!B:B,0)),F77="Digital Tech",INDEX('DiT - Shortlist'!T:T,MATCH(B77,'DiT - Shortlist'!B:B,0)))</f>
        <v>#NAME?</v>
      </c>
    </row>
    <row r="78" spans="1:28">
      <c r="A78" s="140" t="s">
        <v>484</v>
      </c>
      <c r="B78" s="140" t="s">
        <v>181</v>
      </c>
      <c r="C78" s="140" t="s">
        <v>1148</v>
      </c>
      <c r="D78" s="140" t="s">
        <v>1149</v>
      </c>
      <c r="E78" s="140" t="s">
        <v>1150</v>
      </c>
      <c r="F78" s="149" t="s">
        <v>4</v>
      </c>
      <c r="G78" s="140">
        <v>4</v>
      </c>
      <c r="H78" s="140" t="s">
        <v>18</v>
      </c>
      <c r="I78" s="140" t="s">
        <v>447</v>
      </c>
      <c r="J78" s="140" t="s">
        <v>1151</v>
      </c>
      <c r="K78" s="140">
        <v>4</v>
      </c>
      <c r="L78" s="140" t="s">
        <v>543</v>
      </c>
      <c r="M78" s="140" t="s">
        <v>1152</v>
      </c>
      <c r="N78" s="140">
        <v>4</v>
      </c>
      <c r="O78" s="140" t="s">
        <v>478</v>
      </c>
      <c r="P78" s="142">
        <v>10000000</v>
      </c>
      <c r="Q78" s="140" t="s">
        <v>452</v>
      </c>
      <c r="R78" s="140" t="s">
        <v>1153</v>
      </c>
      <c r="S78" s="140"/>
      <c r="T78" s="140" t="s">
        <v>1154</v>
      </c>
      <c r="U78" s="143" t="s">
        <v>481</v>
      </c>
      <c r="V78" s="143"/>
      <c r="W78" s="143"/>
      <c r="X78" s="140" t="s">
        <v>1155</v>
      </c>
      <c r="Y78" s="140" t="s">
        <v>1156</v>
      </c>
      <c r="Z78" s="140" t="e">
        <f>IF(VLOOKUP($Y78,'For Lookup'!$A:$B,1, FALSE)=$Y78,"Yes","No")</f>
        <v>#N/A</v>
      </c>
      <c r="AA78" s="140"/>
      <c r="AB78" s="140" t="e">
        <f t="array" aca="1" ref="AB78" ca="1">_xludf.IFS(F78="Deep Tech", INDEX('DT Short List'!U:U,MATCH(B78,'DT Short List'!A:A,0)),F78="Life Sciences",INDEX('LS Shortlist'!T:T,MATCH(B78,'LS Shortlist'!B:B,0)),F78="Digital Tech",INDEX('DiT - Shortlist'!T:T,MATCH(B78,'DiT - Shortlist'!B:B,0)))</f>
        <v>#NAME?</v>
      </c>
    </row>
    <row r="79" spans="1:28">
      <c r="A79" s="144" t="s">
        <v>443</v>
      </c>
      <c r="B79" s="144" t="s">
        <v>183</v>
      </c>
      <c r="C79" s="144" t="s">
        <v>1157</v>
      </c>
      <c r="D79" s="144" t="s">
        <v>1158</v>
      </c>
      <c r="E79" s="144" t="s">
        <v>1159</v>
      </c>
      <c r="F79" s="149" t="s">
        <v>4</v>
      </c>
      <c r="G79" s="144">
        <v>4</v>
      </c>
      <c r="H79" s="144" t="s">
        <v>18</v>
      </c>
      <c r="I79" s="144" t="s">
        <v>727</v>
      </c>
      <c r="J79" s="144" t="s">
        <v>1160</v>
      </c>
      <c r="K79" s="144">
        <v>4</v>
      </c>
      <c r="L79" s="144" t="s">
        <v>1045</v>
      </c>
      <c r="M79" s="144" t="s">
        <v>1161</v>
      </c>
      <c r="N79" s="144">
        <v>4</v>
      </c>
      <c r="O79" s="144"/>
      <c r="P79" s="144"/>
      <c r="Q79" s="144"/>
      <c r="R79" s="144" t="s">
        <v>1162</v>
      </c>
      <c r="S79" s="144"/>
      <c r="T79" s="144"/>
      <c r="U79" s="145" t="s">
        <v>481</v>
      </c>
      <c r="V79" s="145"/>
      <c r="W79" s="145"/>
      <c r="X79" s="144" t="s">
        <v>1163</v>
      </c>
      <c r="Y79" s="144" t="s">
        <v>1164</v>
      </c>
      <c r="Z79" s="144" t="e">
        <f>IF(VLOOKUP($Y79,'For Lookup'!$A:$B,1, FALSE)=$Y79,"Yes","No")</f>
        <v>#N/A</v>
      </c>
      <c r="AA79" s="144"/>
      <c r="AB79" s="144" t="e">
        <f t="array" aca="1" ref="AB79" ca="1">_xludf.IFS(F79="Deep Tech", INDEX('DT Short List'!U:U,MATCH(B79,'DT Short List'!A:A,0)),F79="Life Sciences",INDEX('LS Shortlist'!T:T,MATCH(B79,'LS Shortlist'!B:B,0)),F79="Digital Tech",INDEX('DiT - Shortlist'!T:T,MATCH(B79,'DiT - Shortlist'!B:B,0)))</f>
        <v>#NAME?</v>
      </c>
    </row>
    <row r="80" spans="1:28">
      <c r="A80" s="140" t="s">
        <v>529</v>
      </c>
      <c r="B80" s="140" t="s">
        <v>184</v>
      </c>
      <c r="C80" s="140" t="s">
        <v>1165</v>
      </c>
      <c r="D80" s="140" t="s">
        <v>1166</v>
      </c>
      <c r="E80" s="140" t="s">
        <v>1167</v>
      </c>
      <c r="F80" s="149" t="s">
        <v>4</v>
      </c>
      <c r="G80" s="140">
        <v>4.25</v>
      </c>
      <c r="H80" s="140" t="s">
        <v>18</v>
      </c>
      <c r="I80" s="140" t="s">
        <v>725</v>
      </c>
      <c r="J80" s="140" t="s">
        <v>1168</v>
      </c>
      <c r="K80" s="140">
        <v>4.5</v>
      </c>
      <c r="L80" s="140" t="s">
        <v>604</v>
      </c>
      <c r="M80" s="140" t="s">
        <v>1169</v>
      </c>
      <c r="N80" s="140">
        <v>4</v>
      </c>
      <c r="O80" s="140" t="s">
        <v>451</v>
      </c>
      <c r="P80" s="140">
        <v>3000000</v>
      </c>
      <c r="Q80" s="140" t="s">
        <v>452</v>
      </c>
      <c r="R80" s="140" t="s">
        <v>1170</v>
      </c>
      <c r="S80" s="140"/>
      <c r="T80" s="140" t="s">
        <v>1171</v>
      </c>
      <c r="U80" s="143" t="s">
        <v>454</v>
      </c>
      <c r="V80" s="143"/>
      <c r="W80" s="143"/>
      <c r="X80" s="140" t="s">
        <v>1172</v>
      </c>
      <c r="Y80" s="140" t="s">
        <v>1173</v>
      </c>
      <c r="Z80" s="140" t="e">
        <f>IF(VLOOKUP($Y80,'For Lookup'!$A:$B,1, FALSE)=$Y80,"Yes","No")</f>
        <v>#N/A</v>
      </c>
      <c r="AA80" s="140"/>
      <c r="AB80" s="140" t="e">
        <f t="array" aca="1" ref="AB80" ca="1">_xludf.IFS(F80="Deep Tech", INDEX('DT Short List'!U:U,MATCH(B80,'DT Short List'!A:A,0)),F80="Life Sciences",INDEX('LS Shortlist'!T:T,MATCH(B80,'LS Shortlist'!B:B,0)),F80="Digital Tech",INDEX('DiT - Shortlist'!T:T,MATCH(B80,'DiT - Shortlist'!B:B,0)))</f>
        <v>#NAME?</v>
      </c>
    </row>
    <row r="81" spans="1:28">
      <c r="A81" s="144" t="s">
        <v>529</v>
      </c>
      <c r="B81" s="144" t="s">
        <v>185</v>
      </c>
      <c r="C81" s="144" t="s">
        <v>1174</v>
      </c>
      <c r="D81" s="144" t="s">
        <v>1175</v>
      </c>
      <c r="E81" s="144" t="s">
        <v>1176</v>
      </c>
      <c r="F81" s="149" t="s">
        <v>4</v>
      </c>
      <c r="G81" s="144">
        <v>3.75</v>
      </c>
      <c r="H81" s="144" t="s">
        <v>18</v>
      </c>
      <c r="I81" s="144" t="s">
        <v>725</v>
      </c>
      <c r="J81" s="144" t="s">
        <v>1177</v>
      </c>
      <c r="K81" s="144">
        <v>4</v>
      </c>
      <c r="L81" s="144" t="s">
        <v>1045</v>
      </c>
      <c r="M81" s="144" t="s">
        <v>1178</v>
      </c>
      <c r="N81" s="144">
        <v>3.5</v>
      </c>
      <c r="O81" s="144"/>
      <c r="P81" s="144"/>
      <c r="Q81" s="144" t="s">
        <v>452</v>
      </c>
      <c r="R81" s="144" t="s">
        <v>1179</v>
      </c>
      <c r="S81" s="144"/>
      <c r="T81" s="144" t="s">
        <v>1180</v>
      </c>
      <c r="U81" s="145" t="s">
        <v>481</v>
      </c>
      <c r="V81" s="145"/>
      <c r="W81" s="145"/>
      <c r="X81" s="144" t="s">
        <v>1181</v>
      </c>
      <c r="Y81" s="144" t="s">
        <v>1182</v>
      </c>
      <c r="Z81" s="144" t="e">
        <f>IF(VLOOKUP($Y81,'For Lookup'!$A:$B,1, FALSE)=$Y81,"Yes","No")</f>
        <v>#N/A</v>
      </c>
      <c r="AA81" s="144"/>
      <c r="AB81" s="144" t="e">
        <f t="array" aca="1" ref="AB81" ca="1">_xludf.IFS(F81="Deep Tech", INDEX('DT Short List'!U:U,MATCH(B81,'DT Short List'!A:A,0)),F81="Life Sciences",INDEX('LS Shortlist'!T:T,MATCH(B81,'LS Shortlist'!B:B,0)),F81="Digital Tech",INDEX('DiT - Shortlist'!T:T,MATCH(B81,'DiT - Shortlist'!B:B,0)))</f>
        <v>#NAME?</v>
      </c>
    </row>
    <row r="82" spans="1:28">
      <c r="A82" s="140" t="s">
        <v>529</v>
      </c>
      <c r="B82" s="140" t="s">
        <v>187</v>
      </c>
      <c r="C82" s="140" t="s">
        <v>1183</v>
      </c>
      <c r="D82" s="140" t="s">
        <v>1184</v>
      </c>
      <c r="E82" s="140" t="s">
        <v>1185</v>
      </c>
      <c r="F82" s="149" t="s">
        <v>4</v>
      </c>
      <c r="G82" s="140">
        <v>4.25</v>
      </c>
      <c r="H82" s="140" t="s">
        <v>18</v>
      </c>
      <c r="I82" s="140" t="s">
        <v>725</v>
      </c>
      <c r="J82" s="140" t="s">
        <v>1186</v>
      </c>
      <c r="K82" s="140">
        <v>4.5</v>
      </c>
      <c r="L82" s="140" t="s">
        <v>1187</v>
      </c>
      <c r="M82" s="140" t="s">
        <v>1188</v>
      </c>
      <c r="N82" s="140">
        <v>4</v>
      </c>
      <c r="O82" s="140" t="s">
        <v>451</v>
      </c>
      <c r="P82" s="140">
        <v>4000000</v>
      </c>
      <c r="Q82" s="140" t="s">
        <v>452</v>
      </c>
      <c r="R82" s="140" t="s">
        <v>452</v>
      </c>
      <c r="S82" s="140" t="s">
        <v>1189</v>
      </c>
      <c r="T82" s="140"/>
      <c r="U82" s="143" t="s">
        <v>481</v>
      </c>
      <c r="V82" s="143"/>
      <c r="W82" s="143" t="s">
        <v>1189</v>
      </c>
      <c r="X82" s="140" t="s">
        <v>1190</v>
      </c>
      <c r="Y82" s="140" t="s">
        <v>1191</v>
      </c>
      <c r="Z82" s="140" t="e">
        <f>IF(VLOOKUP($Y82,'For Lookup'!$A:$B,1, FALSE)=$Y82,"Yes","No")</f>
        <v>#N/A</v>
      </c>
      <c r="AA82" s="140"/>
      <c r="AB82" s="140" t="e">
        <f t="array" aca="1" ref="AB82" ca="1">_xludf.IFS(F82="Deep Tech", INDEX('DT Short List'!U:U,MATCH(B82,'DT Short List'!A:A,0)),F82="Life Sciences",INDEX('LS Shortlist'!T:T,MATCH(B82,'LS Shortlist'!B:B,0)),F82="Digital Tech",INDEX('DiT - Shortlist'!T:T,MATCH(B82,'DiT - Shortlist'!B:B,0)))</f>
        <v>#NAME?</v>
      </c>
    </row>
    <row r="83" spans="1:28">
      <c r="A83" s="144" t="s">
        <v>907</v>
      </c>
      <c r="B83" s="144" t="s">
        <v>191</v>
      </c>
      <c r="C83" s="144" t="s">
        <v>1192</v>
      </c>
      <c r="D83" s="144" t="s">
        <v>1193</v>
      </c>
      <c r="E83" s="144" t="s">
        <v>1194</v>
      </c>
      <c r="F83" s="149" t="s">
        <v>4</v>
      </c>
      <c r="G83" s="144">
        <v>4</v>
      </c>
      <c r="H83" s="144" t="s">
        <v>18</v>
      </c>
      <c r="I83" s="144" t="s">
        <v>602</v>
      </c>
      <c r="J83" s="144" t="s">
        <v>1195</v>
      </c>
      <c r="K83" s="144">
        <v>4</v>
      </c>
      <c r="L83" s="144" t="s">
        <v>1187</v>
      </c>
      <c r="M83" s="144" t="s">
        <v>1196</v>
      </c>
      <c r="N83" s="144">
        <v>4</v>
      </c>
      <c r="O83" s="144" t="s">
        <v>451</v>
      </c>
      <c r="P83" s="144">
        <v>3000000</v>
      </c>
      <c r="Q83" s="144" t="s">
        <v>465</v>
      </c>
      <c r="R83" s="144" t="s">
        <v>1197</v>
      </c>
      <c r="S83" s="144"/>
      <c r="T83" s="144"/>
      <c r="U83" s="145" t="s">
        <v>481</v>
      </c>
      <c r="V83" s="145"/>
      <c r="W83" s="145"/>
      <c r="X83" s="144" t="s">
        <v>1198</v>
      </c>
      <c r="Y83" s="144" t="s">
        <v>1199</v>
      </c>
      <c r="Z83" s="144" t="e">
        <f>IF(VLOOKUP($Y83,'For Lookup'!$A:$B,1, FALSE)=$Y83,"Yes","No")</f>
        <v>#N/A</v>
      </c>
      <c r="AA83" s="144"/>
      <c r="AB83" s="144" t="e">
        <f t="array" aca="1" ref="AB83" ca="1">_xludf.IFS(F83="Deep Tech", INDEX('DT Short List'!U:U,MATCH(B83,'DT Short List'!A:A,0)),F83="Life Sciences",INDEX('LS Shortlist'!T:T,MATCH(B83,'LS Shortlist'!B:B,0)),F83="Digital Tech",INDEX('DiT - Shortlist'!T:T,MATCH(B83,'DiT - Shortlist'!B:B,0)))</f>
        <v>#NAME?</v>
      </c>
    </row>
    <row r="84" spans="1:28">
      <c r="A84" s="140" t="s">
        <v>443</v>
      </c>
      <c r="B84" s="140" t="s">
        <v>193</v>
      </c>
      <c r="C84" s="140" t="s">
        <v>1200</v>
      </c>
      <c r="D84" s="140" t="s">
        <v>1201</v>
      </c>
      <c r="E84" s="140" t="s">
        <v>1202</v>
      </c>
      <c r="F84" s="149" t="s">
        <v>4</v>
      </c>
      <c r="G84" s="140">
        <v>4.5</v>
      </c>
      <c r="H84" s="140" t="s">
        <v>18</v>
      </c>
      <c r="I84" s="140" t="s">
        <v>602</v>
      </c>
      <c r="J84" s="140" t="s">
        <v>1203</v>
      </c>
      <c r="K84" s="140">
        <v>4.5</v>
      </c>
      <c r="L84" s="140" t="s">
        <v>1054</v>
      </c>
      <c r="M84" s="140" t="s">
        <v>1204</v>
      </c>
      <c r="N84" s="140">
        <v>4.5</v>
      </c>
      <c r="O84" s="140"/>
      <c r="P84" s="140"/>
      <c r="Q84" s="140" t="s">
        <v>452</v>
      </c>
      <c r="R84" s="140" t="s">
        <v>1205</v>
      </c>
      <c r="S84" s="140"/>
      <c r="T84" s="140"/>
      <c r="U84" s="143" t="s">
        <v>454</v>
      </c>
      <c r="V84" s="143"/>
      <c r="W84" s="143"/>
      <c r="X84" s="140" t="s">
        <v>1206</v>
      </c>
      <c r="Y84" s="140" t="s">
        <v>1207</v>
      </c>
      <c r="Z84" s="140" t="str">
        <f>IF(VLOOKUP($Y84,'For Lookup'!$A:$B,1, FALSE)=$Y84,"Yes","No")</f>
        <v>Yes</v>
      </c>
      <c r="AA84" s="140"/>
      <c r="AB84" s="140" t="e">
        <f t="array" aca="1" ref="AB84" ca="1">_xludf.IFS(F84="Deep Tech", INDEX('DT Short List'!U:U,MATCH(B84,'DT Short List'!A:A,0)),F84="Life Sciences",INDEX('LS Shortlist'!T:T,MATCH(B84,'LS Shortlist'!B:B,0)),F84="Digital Tech",INDEX('DiT - Shortlist'!T:T,MATCH(B84,'DiT - Shortlist'!B:B,0)))</f>
        <v>#NAME?</v>
      </c>
    </row>
    <row r="85" spans="1:28">
      <c r="A85" s="144" t="s">
        <v>471</v>
      </c>
      <c r="B85" s="144" t="s">
        <v>194</v>
      </c>
      <c r="C85" s="144" t="s">
        <v>1208</v>
      </c>
      <c r="D85" s="144" t="s">
        <v>1209</v>
      </c>
      <c r="E85" s="144" t="s">
        <v>1210</v>
      </c>
      <c r="F85" s="149" t="s">
        <v>4</v>
      </c>
      <c r="G85" s="144">
        <v>3.88</v>
      </c>
      <c r="H85" s="144" t="s">
        <v>18</v>
      </c>
      <c r="I85" s="144" t="s">
        <v>602</v>
      </c>
      <c r="J85" s="144" t="s">
        <v>1211</v>
      </c>
      <c r="K85" s="144">
        <v>4</v>
      </c>
      <c r="L85" s="144" t="s">
        <v>1054</v>
      </c>
      <c r="M85" s="144" t="s">
        <v>1212</v>
      </c>
      <c r="N85" s="144">
        <v>3.75</v>
      </c>
      <c r="O85" s="144" t="s">
        <v>478</v>
      </c>
      <c r="P85" s="144">
        <v>3000000</v>
      </c>
      <c r="Q85" s="144" t="s">
        <v>465</v>
      </c>
      <c r="R85" s="144" t="s">
        <v>1213</v>
      </c>
      <c r="S85" s="144"/>
      <c r="T85" s="144" t="s">
        <v>1214</v>
      </c>
      <c r="U85" s="145" t="s">
        <v>454</v>
      </c>
      <c r="V85" s="145"/>
      <c r="W85" s="145"/>
      <c r="X85" s="144" t="s">
        <v>1215</v>
      </c>
      <c r="Y85" s="144" t="s">
        <v>1216</v>
      </c>
      <c r="Z85" s="144" t="e">
        <f>IF(VLOOKUP($Y85,'For Lookup'!$A:$B,1, FALSE)=$Y85,"Yes","No")</f>
        <v>#N/A</v>
      </c>
      <c r="AA85" s="144"/>
      <c r="AB85" s="144" t="e">
        <f t="array" aca="1" ref="AB85" ca="1">_xludf.IFS(F85="Deep Tech", INDEX('DT Short List'!U:U,MATCH(B85,'DT Short List'!A:A,0)),F85="Life Sciences",INDEX('LS Shortlist'!T:T,MATCH(B85,'LS Shortlist'!B:B,0)),F85="Digital Tech",INDEX('DiT - Shortlist'!T:T,MATCH(B85,'DiT - Shortlist'!B:B,0)))</f>
        <v>#NAME?</v>
      </c>
    </row>
    <row r="86" spans="1:28">
      <c r="A86" s="140" t="s">
        <v>471</v>
      </c>
      <c r="B86" s="140" t="s">
        <v>416</v>
      </c>
      <c r="C86" s="140" t="s">
        <v>1217</v>
      </c>
      <c r="D86" s="140" t="s">
        <v>1218</v>
      </c>
      <c r="E86" s="140" t="s">
        <v>1219</v>
      </c>
      <c r="F86" s="149" t="s">
        <v>4</v>
      </c>
      <c r="G86" s="140">
        <v>4.5</v>
      </c>
      <c r="H86" s="140" t="s">
        <v>18</v>
      </c>
      <c r="I86" s="140" t="s">
        <v>447</v>
      </c>
      <c r="J86" s="140"/>
      <c r="K86" s="140">
        <v>4</v>
      </c>
      <c r="L86" s="140" t="s">
        <v>449</v>
      </c>
      <c r="M86" s="140" t="s">
        <v>1220</v>
      </c>
      <c r="N86" s="140">
        <v>5</v>
      </c>
      <c r="O86" s="140" t="s">
        <v>478</v>
      </c>
      <c r="P86" s="148">
        <v>15000000</v>
      </c>
      <c r="Q86" s="140" t="s">
        <v>454</v>
      </c>
      <c r="R86" s="140" t="s">
        <v>1221</v>
      </c>
      <c r="S86" s="140"/>
      <c r="T86" s="140" t="s">
        <v>1222</v>
      </c>
      <c r="U86" s="143"/>
      <c r="V86" s="143"/>
      <c r="W86" s="143"/>
      <c r="X86" s="140" t="s">
        <v>1223</v>
      </c>
      <c r="Y86" s="140" t="s">
        <v>1224</v>
      </c>
      <c r="Z86" s="140" t="str">
        <f>IF(VLOOKUP($Y86,'For Lookup'!$A:$B,1, FALSE)=$Y86,"Yes","No")</f>
        <v>Yes</v>
      </c>
      <c r="AA86" s="140"/>
      <c r="AB86" s="140" t="e">
        <f t="array" aca="1" ref="AB86" ca="1">_xludf.IFS(F86="Deep Tech", INDEX('DT Short List'!U:U,MATCH(B86,'DT Short List'!A:A,0)),F86="Life Sciences",INDEX('LS Shortlist'!T:T,MATCH(B86,'LS Shortlist'!B:B,0)),F86="Digital Tech",INDEX('DiT - Shortlist'!T:T,MATCH(B86,'DiT - Shortlist'!B:B,0)))</f>
        <v>#NAME?</v>
      </c>
    </row>
    <row r="87" spans="1:28">
      <c r="A87" s="144" t="s">
        <v>443</v>
      </c>
      <c r="B87" s="144" t="s">
        <v>195</v>
      </c>
      <c r="C87" s="144" t="s">
        <v>1225</v>
      </c>
      <c r="D87" s="144" t="s">
        <v>1226</v>
      </c>
      <c r="E87" s="144" t="s">
        <v>1227</v>
      </c>
      <c r="F87" s="149" t="s">
        <v>4</v>
      </c>
      <c r="G87" s="144">
        <v>3.88</v>
      </c>
      <c r="H87" s="144" t="s">
        <v>18</v>
      </c>
      <c r="I87" s="144" t="s">
        <v>727</v>
      </c>
      <c r="J87" s="144" t="s">
        <v>1228</v>
      </c>
      <c r="K87" s="144">
        <v>4.5</v>
      </c>
      <c r="L87" s="144" t="s">
        <v>1045</v>
      </c>
      <c r="M87" s="144" t="s">
        <v>1229</v>
      </c>
      <c r="N87" s="144">
        <v>3.25</v>
      </c>
      <c r="O87" s="144" t="s">
        <v>784</v>
      </c>
      <c r="P87" s="147">
        <v>1500000</v>
      </c>
      <c r="Q87" s="144" t="s">
        <v>452</v>
      </c>
      <c r="R87" s="144" t="s">
        <v>452</v>
      </c>
      <c r="S87" s="144"/>
      <c r="T87" s="144" t="s">
        <v>1230</v>
      </c>
      <c r="U87" s="145" t="s">
        <v>481</v>
      </c>
      <c r="V87" s="145"/>
      <c r="W87" s="145"/>
      <c r="X87" s="144" t="s">
        <v>1231</v>
      </c>
      <c r="Y87" s="144" t="s">
        <v>1232</v>
      </c>
      <c r="Z87" s="144" t="e">
        <f>IF(VLOOKUP($Y87,'For Lookup'!$A:$B,1, FALSE)=$Y87,"Yes","No")</f>
        <v>#N/A</v>
      </c>
      <c r="AA87" s="144"/>
      <c r="AB87" s="144" t="e">
        <f t="array" aca="1" ref="AB87" ca="1">_xludf.IFS(F87="Deep Tech", INDEX('DT Short List'!U:U,MATCH(B87,'DT Short List'!A:A,0)),F87="Life Sciences",INDEX('LS Shortlist'!T:T,MATCH(B87,'LS Shortlist'!B:B,0)),F87="Digital Tech",INDEX('DiT - Shortlist'!T:T,MATCH(B87,'DiT - Shortlist'!B:B,0)))</f>
        <v>#NAME?</v>
      </c>
    </row>
    <row r="88" spans="1:28">
      <c r="A88" s="140" t="s">
        <v>529</v>
      </c>
      <c r="B88" s="140" t="s">
        <v>279</v>
      </c>
      <c r="C88" s="140" t="s">
        <v>1233</v>
      </c>
      <c r="D88" s="140" t="s">
        <v>1234</v>
      </c>
      <c r="E88" s="140" t="s">
        <v>1235</v>
      </c>
      <c r="F88" s="149" t="s">
        <v>4</v>
      </c>
      <c r="G88" s="140">
        <v>3.75</v>
      </c>
      <c r="H88" s="140" t="s">
        <v>18</v>
      </c>
      <c r="I88" s="140" t="s">
        <v>460</v>
      </c>
      <c r="J88" s="140" t="s">
        <v>1236</v>
      </c>
      <c r="K88" s="140">
        <v>4.5</v>
      </c>
      <c r="L88" s="140" t="s">
        <v>1237</v>
      </c>
      <c r="M88" s="140"/>
      <c r="N88" s="140">
        <v>3</v>
      </c>
      <c r="O88" s="140"/>
      <c r="P88" s="140"/>
      <c r="Q88" s="140" t="s">
        <v>465</v>
      </c>
      <c r="R88" s="140" t="s">
        <v>1238</v>
      </c>
      <c r="S88" s="140" t="s">
        <v>1239</v>
      </c>
      <c r="T88" s="140" t="s">
        <v>1240</v>
      </c>
      <c r="U88" s="143" t="s">
        <v>481</v>
      </c>
      <c r="V88" s="143"/>
      <c r="W88" s="143" t="s">
        <v>1239</v>
      </c>
      <c r="X88" s="140" t="s">
        <v>1241</v>
      </c>
      <c r="Y88" s="140" t="s">
        <v>1242</v>
      </c>
      <c r="Z88" s="140" t="e">
        <f>IF(VLOOKUP($Y88,'For Lookup'!$A:$B,1, FALSE)=$Y88,"Yes","No")</f>
        <v>#N/A</v>
      </c>
      <c r="AA88" s="140"/>
      <c r="AB88" s="140" t="e">
        <f t="array" aca="1" ref="AB88" ca="1">_xludf.IFS(F88="Deep Tech", INDEX('DT Short List'!U:U,MATCH(B88,'DT Short List'!A:A,0)),F88="Life Sciences",INDEX('LS Shortlist'!T:T,MATCH(B88,'LS Shortlist'!B:B,0)),F88="Digital Tech",INDEX('DiT - Shortlist'!T:T,MATCH(B88,'DiT - Shortlist'!B:B,0)))</f>
        <v>#NAME?</v>
      </c>
    </row>
    <row r="89" spans="1:28">
      <c r="A89" s="144" t="s">
        <v>598</v>
      </c>
      <c r="B89" s="144" t="s">
        <v>197</v>
      </c>
      <c r="C89" s="144" t="s">
        <v>1243</v>
      </c>
      <c r="D89" s="144" t="s">
        <v>1244</v>
      </c>
      <c r="E89" s="144" t="s">
        <v>1245</v>
      </c>
      <c r="F89" s="149" t="s">
        <v>4</v>
      </c>
      <c r="G89" s="144">
        <v>4.13</v>
      </c>
      <c r="H89" s="144" t="s">
        <v>18</v>
      </c>
      <c r="I89" s="144" t="s">
        <v>602</v>
      </c>
      <c r="J89" s="144" t="s">
        <v>1246</v>
      </c>
      <c r="K89" s="144">
        <v>4.25</v>
      </c>
      <c r="L89" s="144" t="s">
        <v>1045</v>
      </c>
      <c r="M89" s="144" t="s">
        <v>1247</v>
      </c>
      <c r="N89" s="144">
        <v>4</v>
      </c>
      <c r="O89" s="144" t="s">
        <v>478</v>
      </c>
      <c r="P89" s="144" t="s">
        <v>1248</v>
      </c>
      <c r="Q89" s="144" t="s">
        <v>452</v>
      </c>
      <c r="R89" s="144" t="s">
        <v>452</v>
      </c>
      <c r="S89" s="144" t="s">
        <v>460</v>
      </c>
      <c r="T89" s="144"/>
      <c r="U89" s="145" t="s">
        <v>481</v>
      </c>
      <c r="V89" s="145"/>
      <c r="W89" s="145" t="s">
        <v>460</v>
      </c>
      <c r="X89" s="144" t="s">
        <v>1249</v>
      </c>
      <c r="Y89" s="144" t="s">
        <v>1250</v>
      </c>
      <c r="Z89" s="144" t="e">
        <f>IF(VLOOKUP($Y89,'For Lookup'!$A:$B,1, FALSE)=$Y89,"Yes","No")</f>
        <v>#N/A</v>
      </c>
      <c r="AA89" s="144"/>
      <c r="AB89" s="144" t="e">
        <f t="array" aca="1" ref="AB89" ca="1">_xludf.IFS(F89="Deep Tech", INDEX('DT Short List'!U:U,MATCH(B89,'DT Short List'!A:A,0)),F89="Life Sciences",INDEX('LS Shortlist'!T:T,MATCH(B89,'LS Shortlist'!B:B,0)),F89="Digital Tech",INDEX('DiT - Shortlist'!T:T,MATCH(B89,'DiT - Shortlist'!B:B,0)))</f>
        <v>#NAME?</v>
      </c>
    </row>
    <row r="90" spans="1:28">
      <c r="A90" s="140" t="s">
        <v>443</v>
      </c>
      <c r="B90" s="140" t="s">
        <v>199</v>
      </c>
      <c r="C90" s="140" t="s">
        <v>1251</v>
      </c>
      <c r="D90" s="140" t="s">
        <v>1252</v>
      </c>
      <c r="E90" s="140" t="s">
        <v>1253</v>
      </c>
      <c r="F90" s="149" t="s">
        <v>4</v>
      </c>
      <c r="G90" s="140">
        <v>3.75</v>
      </c>
      <c r="H90" s="140" t="s">
        <v>18</v>
      </c>
      <c r="I90" s="140" t="s">
        <v>602</v>
      </c>
      <c r="J90" s="140" t="s">
        <v>1254</v>
      </c>
      <c r="K90" s="140">
        <v>4</v>
      </c>
      <c r="L90" s="140" t="s">
        <v>1054</v>
      </c>
      <c r="M90" s="140" t="s">
        <v>1255</v>
      </c>
      <c r="N90" s="140">
        <v>3.5</v>
      </c>
      <c r="O90" s="140" t="s">
        <v>451</v>
      </c>
      <c r="P90" s="142">
        <v>2000000</v>
      </c>
      <c r="Q90" s="140" t="s">
        <v>465</v>
      </c>
      <c r="R90" s="140" t="s">
        <v>1256</v>
      </c>
      <c r="S90" s="140"/>
      <c r="T90" s="140" t="s">
        <v>1257</v>
      </c>
      <c r="U90" s="143" t="s">
        <v>481</v>
      </c>
      <c r="V90" s="143"/>
      <c r="W90" s="143"/>
      <c r="X90" s="140" t="s">
        <v>1258</v>
      </c>
      <c r="Y90" s="140" t="s">
        <v>1259</v>
      </c>
      <c r="Z90" s="140" t="e">
        <f>IF(VLOOKUP($Y90,'For Lookup'!$A:$B,1, FALSE)=$Y90,"Yes","No")</f>
        <v>#N/A</v>
      </c>
      <c r="AA90" s="140"/>
      <c r="AB90" s="140" t="e">
        <f t="array" aca="1" ref="AB90" ca="1">_xludf.IFS(F90="Deep Tech", INDEX('DT Short List'!U:U,MATCH(B90,'DT Short List'!A:A,0)),F90="Life Sciences",INDEX('LS Shortlist'!T:T,MATCH(B90,'LS Shortlist'!B:B,0)),F90="Digital Tech",INDEX('DiT - Shortlist'!T:T,MATCH(B90,'DiT - Shortlist'!B:B,0)))</f>
        <v>#NAME?</v>
      </c>
    </row>
    <row r="91" spans="1:28">
      <c r="A91" s="144" t="s">
        <v>484</v>
      </c>
      <c r="B91" s="144" t="s">
        <v>200</v>
      </c>
      <c r="C91" s="144" t="s">
        <v>1260</v>
      </c>
      <c r="D91" s="144" t="s">
        <v>1261</v>
      </c>
      <c r="E91" s="144" t="s">
        <v>1262</v>
      </c>
      <c r="F91" s="149" t="s">
        <v>4</v>
      </c>
      <c r="G91" s="144">
        <v>4.25</v>
      </c>
      <c r="H91" s="144" t="s">
        <v>18</v>
      </c>
      <c r="I91" s="144" t="s">
        <v>727</v>
      </c>
      <c r="J91" s="144" t="s">
        <v>1263</v>
      </c>
      <c r="K91" s="144">
        <v>4.5</v>
      </c>
      <c r="L91" s="144" t="s">
        <v>1054</v>
      </c>
      <c r="M91" s="144" t="s">
        <v>1264</v>
      </c>
      <c r="N91" s="144">
        <v>4</v>
      </c>
      <c r="O91" s="144" t="s">
        <v>451</v>
      </c>
      <c r="P91" s="147">
        <v>2000000</v>
      </c>
      <c r="Q91" s="144" t="s">
        <v>465</v>
      </c>
      <c r="R91" s="144" t="s">
        <v>452</v>
      </c>
      <c r="S91" s="144"/>
      <c r="T91" s="144"/>
      <c r="U91" s="145" t="s">
        <v>454</v>
      </c>
      <c r="V91" s="145"/>
      <c r="W91" s="145"/>
      <c r="X91" s="144" t="s">
        <v>1265</v>
      </c>
      <c r="Y91" s="144" t="s">
        <v>1266</v>
      </c>
      <c r="Z91" s="144" t="e">
        <f>IF(VLOOKUP($Y91,'For Lookup'!$A:$B,1, FALSE)=$Y91,"Yes","No")</f>
        <v>#N/A</v>
      </c>
      <c r="AA91" s="144"/>
      <c r="AB91" s="144" t="e">
        <f t="array" aca="1" ref="AB91" ca="1">_xludf.IFS(F91="Deep Tech", INDEX('DT Short List'!U:U,MATCH(B91,'DT Short List'!A:A,0)),F91="Life Sciences",INDEX('LS Shortlist'!T:T,MATCH(B91,'LS Shortlist'!B:B,0)),F91="Digital Tech",INDEX('DiT - Shortlist'!T:T,MATCH(B91,'DiT - Shortlist'!B:B,0)))</f>
        <v>#NAME?</v>
      </c>
    </row>
    <row r="92" spans="1:28">
      <c r="A92" s="140" t="s">
        <v>443</v>
      </c>
      <c r="B92" s="140" t="s">
        <v>202</v>
      </c>
      <c r="C92" s="140" t="s">
        <v>1267</v>
      </c>
      <c r="D92" s="140" t="s">
        <v>1268</v>
      </c>
      <c r="E92" s="140" t="s">
        <v>1269</v>
      </c>
      <c r="F92" s="149" t="s">
        <v>4</v>
      </c>
      <c r="G92" s="140">
        <v>4.5</v>
      </c>
      <c r="H92" s="140" t="s">
        <v>18</v>
      </c>
      <c r="I92" s="140" t="s">
        <v>602</v>
      </c>
      <c r="J92" s="140" t="s">
        <v>1270</v>
      </c>
      <c r="K92" s="140">
        <v>4.5</v>
      </c>
      <c r="L92" s="140" t="s">
        <v>476</v>
      </c>
      <c r="M92" s="140" t="s">
        <v>1271</v>
      </c>
      <c r="N92" s="140">
        <v>4.5</v>
      </c>
      <c r="O92" s="140"/>
      <c r="P92" s="140"/>
      <c r="Q92" s="140" t="s">
        <v>454</v>
      </c>
      <c r="R92" s="140" t="s">
        <v>1272</v>
      </c>
      <c r="S92" s="140" t="s">
        <v>1273</v>
      </c>
      <c r="T92" s="140" t="s">
        <v>1274</v>
      </c>
      <c r="U92" s="143" t="s">
        <v>481</v>
      </c>
      <c r="V92" s="143" t="s">
        <v>557</v>
      </c>
      <c r="W92" s="143" t="s">
        <v>1273</v>
      </c>
      <c r="X92" s="140" t="s">
        <v>1275</v>
      </c>
      <c r="Y92" s="140" t="s">
        <v>1276</v>
      </c>
      <c r="Z92" s="140" t="str">
        <f>IF(VLOOKUP($Y92,'For Lookup'!$A:$B,1, FALSE)=$Y92,"Yes","No")</f>
        <v>Yes</v>
      </c>
      <c r="AA92" s="140"/>
      <c r="AB92" s="140" t="e">
        <f t="array" aca="1" ref="AB92" ca="1">_xludf.IFS(F92="Deep Tech", INDEX('DT Short List'!U:U,MATCH(B92,'DT Short List'!A:A,0)),F92="Life Sciences",INDEX('LS Shortlist'!T:T,MATCH(B92,'LS Shortlist'!B:B,0)),F92="Digital Tech",INDEX('DiT - Shortlist'!T:T,MATCH(B92,'DiT - Shortlist'!B:B,0)))</f>
        <v>#NAME?</v>
      </c>
    </row>
    <row r="93" spans="1:28">
      <c r="A93" s="144" t="s">
        <v>529</v>
      </c>
      <c r="B93" s="144" t="s">
        <v>206</v>
      </c>
      <c r="C93" s="144" t="s">
        <v>1277</v>
      </c>
      <c r="D93" s="144" t="s">
        <v>1278</v>
      </c>
      <c r="E93" s="144" t="s">
        <v>1279</v>
      </c>
      <c r="F93" s="149" t="s">
        <v>4</v>
      </c>
      <c r="G93" s="144">
        <v>4.25</v>
      </c>
      <c r="H93" s="144" t="s">
        <v>18</v>
      </c>
      <c r="I93" s="144" t="s">
        <v>725</v>
      </c>
      <c r="J93" s="144" t="s">
        <v>1280</v>
      </c>
      <c r="K93" s="144">
        <v>4.5</v>
      </c>
      <c r="L93" s="144" t="s">
        <v>1281</v>
      </c>
      <c r="M93" s="144" t="s">
        <v>1282</v>
      </c>
      <c r="N93" s="144">
        <v>4</v>
      </c>
      <c r="O93" s="144" t="s">
        <v>451</v>
      </c>
      <c r="P93" s="146">
        <v>350000</v>
      </c>
      <c r="Q93" s="144" t="s">
        <v>452</v>
      </c>
      <c r="R93" s="144" t="s">
        <v>1283</v>
      </c>
      <c r="S93" s="144"/>
      <c r="T93" s="144"/>
      <c r="U93" s="145" t="s">
        <v>481</v>
      </c>
      <c r="V93" s="145"/>
      <c r="W93" s="145"/>
      <c r="X93" s="144" t="s">
        <v>1284</v>
      </c>
      <c r="Y93" s="144" t="s">
        <v>1285</v>
      </c>
      <c r="Z93" s="144" t="e">
        <f>IF(VLOOKUP($Y93,'For Lookup'!$A:$B,1, FALSE)=$Y93,"Yes","No")</f>
        <v>#N/A</v>
      </c>
      <c r="AA93" s="144"/>
      <c r="AB93" s="144" t="e">
        <f t="array" aca="1" ref="AB93" ca="1">_xludf.IFS(F93="Deep Tech", INDEX('DT Short List'!U:U,MATCH(B93,'DT Short List'!A:A,0)),F93="Life Sciences",INDEX('LS Shortlist'!T:T,MATCH(B93,'LS Shortlist'!B:B,0)),F93="Digital Tech",INDEX('DiT - Shortlist'!T:T,MATCH(B93,'DiT - Shortlist'!B:B,0)))</f>
        <v>#NAME?</v>
      </c>
    </row>
    <row r="94" spans="1:28">
      <c r="A94" s="140" t="s">
        <v>598</v>
      </c>
      <c r="B94" s="140" t="s">
        <v>212</v>
      </c>
      <c r="C94" s="140" t="s">
        <v>1286</v>
      </c>
      <c r="D94" s="140" t="s">
        <v>1287</v>
      </c>
      <c r="E94" s="140" t="s">
        <v>1288</v>
      </c>
      <c r="F94" s="149" t="s">
        <v>4</v>
      </c>
      <c r="G94" s="140">
        <v>4</v>
      </c>
      <c r="H94" s="140" t="s">
        <v>18</v>
      </c>
      <c r="I94" s="140" t="s">
        <v>725</v>
      </c>
      <c r="J94" s="140" t="s">
        <v>1289</v>
      </c>
      <c r="K94" s="140">
        <v>4</v>
      </c>
      <c r="L94" s="140" t="s">
        <v>1045</v>
      </c>
      <c r="M94" s="140" t="s">
        <v>1290</v>
      </c>
      <c r="N94" s="140">
        <v>4</v>
      </c>
      <c r="O94" s="140" t="s">
        <v>923</v>
      </c>
      <c r="P94" s="140" t="s">
        <v>1291</v>
      </c>
      <c r="Q94" s="140" t="s">
        <v>452</v>
      </c>
      <c r="R94" s="140" t="s">
        <v>1292</v>
      </c>
      <c r="S94" s="140"/>
      <c r="T94" s="140"/>
      <c r="U94" s="143" t="s">
        <v>454</v>
      </c>
      <c r="V94" s="143"/>
      <c r="W94" s="143"/>
      <c r="X94" s="140" t="s">
        <v>1122</v>
      </c>
      <c r="Y94" s="140" t="s">
        <v>1293</v>
      </c>
      <c r="Z94" s="140" t="e">
        <f>IF(VLOOKUP($Y94,'For Lookup'!$A:$B,1, FALSE)=$Y94,"Yes","No")</f>
        <v>#N/A</v>
      </c>
      <c r="AA94" s="140"/>
      <c r="AB94" s="140" t="e">
        <f t="array" aca="1" ref="AB94" ca="1">_xludf.IFS(F94="Deep Tech", INDEX('DT Short List'!U:U,MATCH(B94,'DT Short List'!A:A,0)),F94="Life Sciences",INDEX('LS Shortlist'!T:T,MATCH(B94,'LS Shortlist'!B:B,0)),F94="Digital Tech",INDEX('DiT - Shortlist'!T:T,MATCH(B94,'DiT - Shortlist'!B:B,0)))</f>
        <v>#NAME?</v>
      </c>
    </row>
    <row r="95" spans="1:28">
      <c r="A95" s="144" t="s">
        <v>598</v>
      </c>
      <c r="B95" s="144" t="s">
        <v>213</v>
      </c>
      <c r="C95" s="144" t="s">
        <v>1294</v>
      </c>
      <c r="D95" s="144" t="s">
        <v>1295</v>
      </c>
      <c r="E95" s="144" t="s">
        <v>1296</v>
      </c>
      <c r="F95" s="149" t="s">
        <v>4</v>
      </c>
      <c r="G95" s="144">
        <v>4.5</v>
      </c>
      <c r="H95" s="144" t="s">
        <v>18</v>
      </c>
      <c r="I95" s="144" t="s">
        <v>727</v>
      </c>
      <c r="J95" s="144" t="s">
        <v>1297</v>
      </c>
      <c r="K95" s="144">
        <v>5</v>
      </c>
      <c r="L95" s="144" t="s">
        <v>1298</v>
      </c>
      <c r="M95" s="144" t="s">
        <v>1299</v>
      </c>
      <c r="N95" s="144">
        <v>4</v>
      </c>
      <c r="O95" s="144" t="s">
        <v>973</v>
      </c>
      <c r="P95" s="147">
        <v>40000000</v>
      </c>
      <c r="Q95" s="144" t="s">
        <v>465</v>
      </c>
      <c r="R95" s="144" t="s">
        <v>452</v>
      </c>
      <c r="S95" s="144"/>
      <c r="T95" s="144"/>
      <c r="U95" s="145" t="s">
        <v>481</v>
      </c>
      <c r="V95" s="145"/>
      <c r="W95" s="145"/>
      <c r="X95" s="144" t="s">
        <v>1020</v>
      </c>
      <c r="Y95" s="144" t="s">
        <v>1300</v>
      </c>
      <c r="Z95" s="144" t="str">
        <f>IF(VLOOKUP($Y95,'For Lookup'!$A:$B,1, FALSE)=$Y95,"Yes","No")</f>
        <v>Yes</v>
      </c>
      <c r="AA95" s="144"/>
      <c r="AB95" s="144" t="e">
        <f t="array" aca="1" ref="AB95" ca="1">_xludf.IFS(F95="Deep Tech", INDEX('DT Short List'!U:U,MATCH(B95,'DT Short List'!A:A,0)),F95="Life Sciences",INDEX('LS Shortlist'!T:T,MATCH(B95,'LS Shortlist'!B:B,0)),F95="Digital Tech",INDEX('DiT - Shortlist'!T:T,MATCH(B95,'DiT - Shortlist'!B:B,0)))</f>
        <v>#NAME?</v>
      </c>
    </row>
    <row r="96" spans="1:28">
      <c r="A96" s="140" t="s">
        <v>529</v>
      </c>
      <c r="B96" s="140" t="s">
        <v>218</v>
      </c>
      <c r="C96" s="140" t="s">
        <v>1301</v>
      </c>
      <c r="D96" s="140" t="s">
        <v>1302</v>
      </c>
      <c r="E96" s="140" t="s">
        <v>1303</v>
      </c>
      <c r="F96" s="149" t="s">
        <v>4</v>
      </c>
      <c r="G96" s="140">
        <v>4</v>
      </c>
      <c r="H96" s="140" t="s">
        <v>18</v>
      </c>
      <c r="I96" s="140" t="s">
        <v>725</v>
      </c>
      <c r="J96" s="140" t="s">
        <v>1304</v>
      </c>
      <c r="K96" s="140">
        <v>4.5</v>
      </c>
      <c r="L96" s="140" t="s">
        <v>1045</v>
      </c>
      <c r="M96" s="140" t="s">
        <v>1305</v>
      </c>
      <c r="N96" s="140">
        <v>3.5</v>
      </c>
      <c r="O96" s="140" t="s">
        <v>451</v>
      </c>
      <c r="P96" s="140" t="s">
        <v>1306</v>
      </c>
      <c r="Q96" s="140" t="s">
        <v>452</v>
      </c>
      <c r="R96" s="140" t="s">
        <v>1307</v>
      </c>
      <c r="S96" s="140" t="s">
        <v>1308</v>
      </c>
      <c r="T96" s="140"/>
      <c r="U96" s="143" t="s">
        <v>454</v>
      </c>
      <c r="V96" s="143"/>
      <c r="W96" s="143" t="s">
        <v>1308</v>
      </c>
      <c r="X96" s="140" t="s">
        <v>1309</v>
      </c>
      <c r="Y96" s="140" t="s">
        <v>1310</v>
      </c>
      <c r="Z96" s="140" t="e">
        <f>IF(VLOOKUP($Y96,'For Lookup'!$A:$B,1, FALSE)=$Y96,"Yes","No")</f>
        <v>#N/A</v>
      </c>
      <c r="AA96" s="140"/>
      <c r="AB96" s="140" t="e">
        <f t="array" aca="1" ref="AB96" ca="1">_xludf.IFS(F96="Deep Tech", INDEX('DT Short List'!U:U,MATCH(B96,'DT Short List'!A:A,0)),F96="Life Sciences",INDEX('LS Shortlist'!T:T,MATCH(B96,'LS Shortlist'!B:B,0)),F96="Digital Tech",INDEX('DiT - Shortlist'!T:T,MATCH(B96,'DiT - Shortlist'!B:B,0)))</f>
        <v>#NAME?</v>
      </c>
    </row>
    <row r="97" spans="1:28">
      <c r="A97" s="144" t="s">
        <v>529</v>
      </c>
      <c r="B97" s="144" t="s">
        <v>219</v>
      </c>
      <c r="C97" s="144" t="s">
        <v>1311</v>
      </c>
      <c r="D97" s="144" t="s">
        <v>1312</v>
      </c>
      <c r="E97" s="144" t="s">
        <v>1313</v>
      </c>
      <c r="F97" s="149" t="s">
        <v>4</v>
      </c>
      <c r="G97" s="144">
        <v>4.5</v>
      </c>
      <c r="H97" s="144" t="s">
        <v>18</v>
      </c>
      <c r="I97" s="144" t="s">
        <v>727</v>
      </c>
      <c r="J97" s="144" t="s">
        <v>1314</v>
      </c>
      <c r="K97" s="144">
        <v>4.5</v>
      </c>
      <c r="L97" s="144" t="s">
        <v>1045</v>
      </c>
      <c r="M97" s="144" t="s">
        <v>1315</v>
      </c>
      <c r="N97" s="144">
        <v>4.5</v>
      </c>
      <c r="O97" s="144" t="s">
        <v>478</v>
      </c>
      <c r="P97" s="144">
        <v>8000000</v>
      </c>
      <c r="Q97" s="144" t="s">
        <v>452</v>
      </c>
      <c r="R97" s="144" t="s">
        <v>452</v>
      </c>
      <c r="S97" s="144"/>
      <c r="T97" s="144"/>
      <c r="U97" s="145" t="s">
        <v>454</v>
      </c>
      <c r="V97" s="145"/>
      <c r="W97" s="145"/>
      <c r="X97" s="144" t="s">
        <v>1316</v>
      </c>
      <c r="Y97" s="144" t="s">
        <v>1317</v>
      </c>
      <c r="Z97" s="144" t="str">
        <f>IF(VLOOKUP($Y97,'For Lookup'!$A:$B,1, FALSE)=$Y97,"Yes","No")</f>
        <v>Yes</v>
      </c>
      <c r="AA97" s="144"/>
      <c r="AB97" s="144" t="e">
        <f t="array" aca="1" ref="AB97" ca="1">_xludf.IFS(F97="Deep Tech", INDEX('DT Short List'!U:U,MATCH(B97,'DT Short List'!A:A,0)),F97="Life Sciences",INDEX('LS Shortlist'!T:T,MATCH(B97,'LS Shortlist'!B:B,0)),F97="Digital Tech",INDEX('DiT - Shortlist'!T:T,MATCH(B97,'DiT - Shortlist'!B:B,0)))</f>
        <v>#NAME?</v>
      </c>
    </row>
    <row r="98" spans="1:28">
      <c r="A98" s="140" t="s">
        <v>443</v>
      </c>
      <c r="B98" s="140" t="s">
        <v>220</v>
      </c>
      <c r="C98" s="140" t="s">
        <v>1318</v>
      </c>
      <c r="D98" s="140" t="s">
        <v>1319</v>
      </c>
      <c r="E98" s="140" t="s">
        <v>1320</v>
      </c>
      <c r="F98" s="149" t="s">
        <v>4</v>
      </c>
      <c r="G98" s="140">
        <v>4</v>
      </c>
      <c r="H98" s="140" t="s">
        <v>18</v>
      </c>
      <c r="I98" s="140" t="s">
        <v>727</v>
      </c>
      <c r="J98" s="140" t="s">
        <v>1321</v>
      </c>
      <c r="K98" s="140">
        <v>4</v>
      </c>
      <c r="L98" s="140" t="s">
        <v>1045</v>
      </c>
      <c r="M98" s="140" t="s">
        <v>1322</v>
      </c>
      <c r="N98" s="140">
        <v>4</v>
      </c>
      <c r="O98" s="140" t="s">
        <v>451</v>
      </c>
      <c r="P98" s="140" t="s">
        <v>1323</v>
      </c>
      <c r="Q98" s="140" t="s">
        <v>454</v>
      </c>
      <c r="R98" s="140" t="s">
        <v>452</v>
      </c>
      <c r="S98" s="140" t="s">
        <v>1324</v>
      </c>
      <c r="T98" s="140"/>
      <c r="U98" s="143" t="s">
        <v>454</v>
      </c>
      <c r="V98" s="143" t="s">
        <v>557</v>
      </c>
      <c r="W98" s="143" t="s">
        <v>1324</v>
      </c>
      <c r="X98" s="140" t="s">
        <v>1325</v>
      </c>
      <c r="Y98" s="140" t="s">
        <v>1326</v>
      </c>
      <c r="Z98" s="140" t="e">
        <f>IF(VLOOKUP($Y98,'For Lookup'!$A:$B,1, FALSE)=$Y98,"Yes","No")</f>
        <v>#N/A</v>
      </c>
      <c r="AA98" s="140"/>
      <c r="AB98" s="140" t="e">
        <f t="array" aca="1" ref="AB98" ca="1">_xludf.IFS(F98="Deep Tech", INDEX('DT Short List'!U:U,MATCH(B98,'DT Short List'!A:A,0)),F98="Life Sciences",INDEX('LS Shortlist'!T:T,MATCH(B98,'LS Shortlist'!B:B,0)),F98="Digital Tech",INDEX('DiT - Shortlist'!T:T,MATCH(B98,'DiT - Shortlist'!B:B,0)))</f>
        <v>#NAME?</v>
      </c>
    </row>
    <row r="99" spans="1:28">
      <c r="A99" s="144" t="s">
        <v>471</v>
      </c>
      <c r="B99" s="144" t="s">
        <v>1327</v>
      </c>
      <c r="C99" s="144" t="s">
        <v>1328</v>
      </c>
      <c r="D99" s="144" t="s">
        <v>1329</v>
      </c>
      <c r="E99" s="144" t="s">
        <v>1330</v>
      </c>
      <c r="F99" s="149" t="s">
        <v>4</v>
      </c>
      <c r="G99" s="144">
        <v>3.5</v>
      </c>
      <c r="H99" s="144" t="s">
        <v>18</v>
      </c>
      <c r="I99" s="144" t="s">
        <v>447</v>
      </c>
      <c r="J99" s="144" t="s">
        <v>1331</v>
      </c>
      <c r="K99" s="144">
        <v>3.5</v>
      </c>
      <c r="L99" s="144" t="s">
        <v>543</v>
      </c>
      <c r="M99" s="144" t="s">
        <v>1332</v>
      </c>
      <c r="N99" s="144">
        <v>3.5</v>
      </c>
      <c r="O99" s="144"/>
      <c r="P99" s="144"/>
      <c r="Q99" s="144" t="s">
        <v>452</v>
      </c>
      <c r="R99" s="144" t="s">
        <v>1333</v>
      </c>
      <c r="S99" s="144"/>
      <c r="T99" s="144" t="s">
        <v>1334</v>
      </c>
      <c r="U99" s="145"/>
      <c r="V99" s="145"/>
      <c r="W99" s="145"/>
      <c r="X99" s="144" t="s">
        <v>1335</v>
      </c>
      <c r="Y99" s="144" t="s">
        <v>1336</v>
      </c>
      <c r="Z99" s="144" t="e">
        <f>IF(VLOOKUP($Y99,'For Lookup'!$A:$B,1, FALSE)=$Y99,"Yes","No")</f>
        <v>#N/A</v>
      </c>
      <c r="AA99" s="144"/>
      <c r="AB99" s="144" t="e">
        <f t="array" aca="1" ref="AB99" ca="1">_xludf.IFS(F99="Deep Tech", INDEX('DT Short List'!U:U,MATCH(B99,'DT Short List'!A:A,0)),F99="Life Sciences",INDEX('LS Shortlist'!T:T,MATCH(B99,'LS Shortlist'!B:B,0)),F99="Digital Tech",INDEX('DiT - Shortlist'!T:T,MATCH(B99,'DiT - Shortlist'!B:B,0)))</f>
        <v>#NAME?</v>
      </c>
    </row>
    <row r="100" spans="1:28">
      <c r="A100" s="140" t="s">
        <v>484</v>
      </c>
      <c r="B100" s="140" t="s">
        <v>223</v>
      </c>
      <c r="C100" s="140" t="s">
        <v>1337</v>
      </c>
      <c r="D100" s="140" t="s">
        <v>1338</v>
      </c>
      <c r="E100" s="140" t="s">
        <v>1339</v>
      </c>
      <c r="F100" s="149" t="s">
        <v>4</v>
      </c>
      <c r="G100" s="140">
        <v>4.38</v>
      </c>
      <c r="H100" s="140" t="s">
        <v>18</v>
      </c>
      <c r="I100" s="140" t="s">
        <v>725</v>
      </c>
      <c r="J100" s="140" t="s">
        <v>1340</v>
      </c>
      <c r="K100" s="140">
        <v>4</v>
      </c>
      <c r="L100" s="140" t="s">
        <v>727</v>
      </c>
      <c r="M100" s="140" t="s">
        <v>1341</v>
      </c>
      <c r="N100" s="140">
        <v>4.75</v>
      </c>
      <c r="O100" s="140" t="s">
        <v>451</v>
      </c>
      <c r="P100" s="140">
        <v>5000000</v>
      </c>
      <c r="Q100" s="140" t="s">
        <v>452</v>
      </c>
      <c r="R100" s="140" t="s">
        <v>1342</v>
      </c>
      <c r="S100" s="140" t="s">
        <v>1343</v>
      </c>
      <c r="T100" s="140"/>
      <c r="U100" s="143" t="s">
        <v>454</v>
      </c>
      <c r="V100" s="143"/>
      <c r="W100" s="143" t="s">
        <v>1343</v>
      </c>
      <c r="X100" s="140" t="s">
        <v>1344</v>
      </c>
      <c r="Y100" s="140" t="s">
        <v>1345</v>
      </c>
      <c r="Z100" s="140" t="e">
        <f>IF(VLOOKUP($Y100,'For Lookup'!$A:$B,1, FALSE)=$Y100,"Yes","No")</f>
        <v>#N/A</v>
      </c>
      <c r="AA100" s="140"/>
      <c r="AB100" s="140" t="e">
        <f t="array" aca="1" ref="AB100" ca="1">_xludf.IFS(F100="Deep Tech", INDEX('DT Short List'!U:U,MATCH(B100,'DT Short List'!A:A,0)),F100="Life Sciences",INDEX('LS Shortlist'!T:T,MATCH(B100,'LS Shortlist'!B:B,0)),F100="Digital Tech",INDEX('DiT - Shortlist'!T:T,MATCH(B100,'DiT - Shortlist'!B:B,0)))</f>
        <v>#NAME?</v>
      </c>
    </row>
    <row r="101" spans="1:28">
      <c r="A101" s="144" t="s">
        <v>907</v>
      </c>
      <c r="B101" s="144" t="s">
        <v>224</v>
      </c>
      <c r="C101" s="144" t="s">
        <v>1346</v>
      </c>
      <c r="D101" s="144" t="s">
        <v>1347</v>
      </c>
      <c r="E101" s="144" t="s">
        <v>1348</v>
      </c>
      <c r="F101" s="149" t="s">
        <v>4</v>
      </c>
      <c r="G101" s="144">
        <v>4.5</v>
      </c>
      <c r="H101" s="144" t="s">
        <v>18</v>
      </c>
      <c r="I101" s="144" t="s">
        <v>727</v>
      </c>
      <c r="J101" s="144" t="s">
        <v>1349</v>
      </c>
      <c r="K101" s="144">
        <v>4.5</v>
      </c>
      <c r="L101" s="144" t="s">
        <v>1350</v>
      </c>
      <c r="M101" s="144" t="s">
        <v>1351</v>
      </c>
      <c r="N101" s="144">
        <v>4.5</v>
      </c>
      <c r="O101" s="144"/>
      <c r="P101" s="144"/>
      <c r="Q101" s="144" t="s">
        <v>465</v>
      </c>
      <c r="R101" s="144" t="s">
        <v>1352</v>
      </c>
      <c r="S101" s="144"/>
      <c r="T101" s="144" t="s">
        <v>1353</v>
      </c>
      <c r="U101" s="145" t="s">
        <v>454</v>
      </c>
      <c r="V101" s="145"/>
      <c r="W101" s="145"/>
      <c r="X101" s="144" t="s">
        <v>1354</v>
      </c>
      <c r="Y101" s="144" t="s">
        <v>1355</v>
      </c>
      <c r="Z101" s="144" t="str">
        <f>IF(VLOOKUP($Y101,'For Lookup'!$A:$B,1, FALSE)=$Y101,"Yes","No")</f>
        <v>Yes</v>
      </c>
      <c r="AA101" s="144"/>
      <c r="AB101" s="144" t="e">
        <f t="array" aca="1" ref="AB101" ca="1">_xludf.IFS(F101="Deep Tech", INDEX('DT Short List'!U:U,MATCH(B101,'DT Short List'!A:A,0)),F101="Life Sciences",INDEX('LS Shortlist'!T:T,MATCH(B101,'LS Shortlist'!B:B,0)),F101="Digital Tech",INDEX('DiT - Shortlist'!T:T,MATCH(B101,'DiT - Shortlist'!B:B,0)))</f>
        <v>#NAME?</v>
      </c>
    </row>
    <row r="102" spans="1:28">
      <c r="A102" s="140" t="s">
        <v>471</v>
      </c>
      <c r="B102" s="140" t="s">
        <v>227</v>
      </c>
      <c r="C102" s="140" t="s">
        <v>1356</v>
      </c>
      <c r="D102" s="140" t="s">
        <v>1357</v>
      </c>
      <c r="E102" s="140" t="s">
        <v>1358</v>
      </c>
      <c r="F102" s="149" t="s">
        <v>4</v>
      </c>
      <c r="G102" s="140">
        <v>3.5</v>
      </c>
      <c r="H102" s="140" t="s">
        <v>18</v>
      </c>
      <c r="I102" s="140" t="s">
        <v>602</v>
      </c>
      <c r="J102" s="140" t="s">
        <v>1359</v>
      </c>
      <c r="K102" s="140">
        <v>4</v>
      </c>
      <c r="L102" s="140" t="s">
        <v>476</v>
      </c>
      <c r="M102" s="140" t="s">
        <v>1360</v>
      </c>
      <c r="N102" s="140">
        <v>3</v>
      </c>
      <c r="O102" s="140" t="s">
        <v>1361</v>
      </c>
      <c r="P102" s="140" t="s">
        <v>1362</v>
      </c>
      <c r="Q102" s="140" t="s">
        <v>465</v>
      </c>
      <c r="R102" s="140" t="s">
        <v>1363</v>
      </c>
      <c r="S102" s="140"/>
      <c r="T102" s="140" t="s">
        <v>1364</v>
      </c>
      <c r="U102" s="143" t="s">
        <v>481</v>
      </c>
      <c r="V102" s="143"/>
      <c r="W102" s="143"/>
      <c r="X102" s="140" t="s">
        <v>1365</v>
      </c>
      <c r="Y102" s="140" t="s">
        <v>1366</v>
      </c>
      <c r="Z102" s="140" t="e">
        <f>IF(VLOOKUP($Y102,'For Lookup'!$A:$B,1, FALSE)=$Y102,"Yes","No")</f>
        <v>#N/A</v>
      </c>
      <c r="AA102" s="140"/>
      <c r="AB102" s="140" t="e">
        <f t="array" aca="1" ref="AB102" ca="1">_xludf.IFS(F102="Deep Tech", INDEX('DT Short List'!U:U,MATCH(B102,'DT Short List'!A:A,0)),F102="Life Sciences",INDEX('LS Shortlist'!T:T,MATCH(B102,'LS Shortlist'!B:B,0)),F102="Digital Tech",INDEX('DiT - Shortlist'!T:T,MATCH(B102,'DiT - Shortlist'!B:B,0)))</f>
        <v>#NAME?</v>
      </c>
    </row>
    <row r="103" spans="1:28">
      <c r="A103" s="144" t="s">
        <v>598</v>
      </c>
      <c r="B103" s="144" t="s">
        <v>231</v>
      </c>
      <c r="C103" s="144" t="s">
        <v>1367</v>
      </c>
      <c r="D103" s="144" t="s">
        <v>1368</v>
      </c>
      <c r="E103" s="144" t="s">
        <v>1369</v>
      </c>
      <c r="F103" s="149" t="s">
        <v>4</v>
      </c>
      <c r="G103" s="144">
        <v>5</v>
      </c>
      <c r="H103" s="144" t="s">
        <v>18</v>
      </c>
      <c r="I103" s="144" t="s">
        <v>727</v>
      </c>
      <c r="J103" s="144" t="s">
        <v>1370</v>
      </c>
      <c r="K103" s="144">
        <v>5</v>
      </c>
      <c r="L103" s="144" t="s">
        <v>1371</v>
      </c>
      <c r="M103" s="144" t="s">
        <v>1372</v>
      </c>
      <c r="N103" s="144">
        <v>5</v>
      </c>
      <c r="O103" s="144" t="s">
        <v>478</v>
      </c>
      <c r="P103" s="144" t="s">
        <v>1373</v>
      </c>
      <c r="Q103" s="144" t="s">
        <v>465</v>
      </c>
      <c r="R103" s="144" t="s">
        <v>1374</v>
      </c>
      <c r="S103" s="144" t="s">
        <v>1375</v>
      </c>
      <c r="T103" s="144" t="s">
        <v>1376</v>
      </c>
      <c r="U103" s="145" t="s">
        <v>454</v>
      </c>
      <c r="V103" s="145"/>
      <c r="W103" s="145" t="s">
        <v>1375</v>
      </c>
      <c r="X103" s="144" t="s">
        <v>1377</v>
      </c>
      <c r="Y103" s="144" t="s">
        <v>1378</v>
      </c>
      <c r="Z103" s="144" t="str">
        <f>IF(VLOOKUP($Y103,'For Lookup'!$A:$B,1, FALSE)=$Y103,"Yes","No")</f>
        <v>Yes</v>
      </c>
      <c r="AA103" s="144"/>
      <c r="AB103" s="144" t="e">
        <f t="array" aca="1" ref="AB103" ca="1">_xludf.IFS(F103="Deep Tech", INDEX('DT Short List'!U:U,MATCH(B103,'DT Short List'!A:A,0)),F103="Life Sciences",INDEX('LS Shortlist'!T:T,MATCH(B103,'LS Shortlist'!B:B,0)),F103="Digital Tech",INDEX('DiT - Shortlist'!T:T,MATCH(B103,'DiT - Shortlist'!B:B,0)))</f>
        <v>#NAME?</v>
      </c>
    </row>
    <row r="104" spans="1:28">
      <c r="A104" s="140" t="s">
        <v>443</v>
      </c>
      <c r="B104" s="140" t="s">
        <v>233</v>
      </c>
      <c r="C104" s="140" t="s">
        <v>1379</v>
      </c>
      <c r="D104" s="140" t="s">
        <v>1380</v>
      </c>
      <c r="E104" s="140" t="s">
        <v>1381</v>
      </c>
      <c r="F104" s="149" t="s">
        <v>4</v>
      </c>
      <c r="G104" s="140">
        <v>4.25</v>
      </c>
      <c r="H104" s="140" t="s">
        <v>18</v>
      </c>
      <c r="I104" s="140" t="s">
        <v>727</v>
      </c>
      <c r="J104" s="140" t="s">
        <v>1382</v>
      </c>
      <c r="K104" s="140">
        <v>4.5</v>
      </c>
      <c r="L104" s="140" t="s">
        <v>1045</v>
      </c>
      <c r="M104" s="140" t="s">
        <v>1383</v>
      </c>
      <c r="N104" s="140">
        <v>4</v>
      </c>
      <c r="O104" s="140" t="s">
        <v>451</v>
      </c>
      <c r="P104" s="140" t="s">
        <v>1384</v>
      </c>
      <c r="Q104" s="140" t="s">
        <v>452</v>
      </c>
      <c r="R104" s="140" t="s">
        <v>1385</v>
      </c>
      <c r="S104" s="140" t="s">
        <v>725</v>
      </c>
      <c r="T104" s="140"/>
      <c r="U104" s="143" t="s">
        <v>481</v>
      </c>
      <c r="V104" s="143"/>
      <c r="W104" s="143" t="s">
        <v>725</v>
      </c>
      <c r="X104" s="140" t="s">
        <v>1386</v>
      </c>
      <c r="Y104" s="140" t="s">
        <v>1387</v>
      </c>
      <c r="Z104" s="140" t="e">
        <f>IF(VLOOKUP($Y104,'For Lookup'!$A:$B,1, FALSE)=$Y104,"Yes","No")</f>
        <v>#N/A</v>
      </c>
      <c r="AA104" s="140"/>
      <c r="AB104" s="140" t="e">
        <f t="array" aca="1" ref="AB104" ca="1">_xludf.IFS(F104="Deep Tech", INDEX('DT Short List'!U:U,MATCH(B104,'DT Short List'!A:A,0)),F104="Life Sciences",INDEX('LS Shortlist'!T:T,MATCH(B104,'LS Shortlist'!B:B,0)),F104="Digital Tech",INDEX('DiT - Shortlist'!T:T,MATCH(B104,'DiT - Shortlist'!B:B,0)))</f>
        <v>#NAME?</v>
      </c>
    </row>
    <row r="105" spans="1:28">
      <c r="A105" s="144" t="s">
        <v>529</v>
      </c>
      <c r="B105" s="144" t="s">
        <v>237</v>
      </c>
      <c r="C105" s="144" t="s">
        <v>1388</v>
      </c>
      <c r="D105" s="144" t="s">
        <v>1389</v>
      </c>
      <c r="E105" s="144" t="s">
        <v>1390</v>
      </c>
      <c r="F105" s="149" t="s">
        <v>4</v>
      </c>
      <c r="G105" s="144">
        <v>4.75</v>
      </c>
      <c r="H105" s="144" t="s">
        <v>18</v>
      </c>
      <c r="I105" s="144" t="s">
        <v>727</v>
      </c>
      <c r="J105" s="144" t="s">
        <v>1391</v>
      </c>
      <c r="K105" s="144">
        <v>4.5</v>
      </c>
      <c r="L105" s="144" t="s">
        <v>1371</v>
      </c>
      <c r="M105" s="144" t="s">
        <v>1392</v>
      </c>
      <c r="N105" s="144">
        <v>5</v>
      </c>
      <c r="O105" s="144" t="s">
        <v>478</v>
      </c>
      <c r="P105" s="144">
        <v>8000000</v>
      </c>
      <c r="Q105" s="144" t="s">
        <v>452</v>
      </c>
      <c r="R105" s="144" t="s">
        <v>1393</v>
      </c>
      <c r="S105" s="144"/>
      <c r="T105" s="144" t="s">
        <v>1394</v>
      </c>
      <c r="U105" s="145" t="s">
        <v>481</v>
      </c>
      <c r="V105" s="145"/>
      <c r="W105" s="145"/>
      <c r="X105" s="144" t="s">
        <v>1395</v>
      </c>
      <c r="Y105" s="144" t="s">
        <v>1396</v>
      </c>
      <c r="Z105" s="144" t="str">
        <f>IF(VLOOKUP($Y105,'For Lookup'!$A:$B,1, FALSE)=$Y105,"Yes","No")</f>
        <v>Yes</v>
      </c>
      <c r="AA105" s="144"/>
      <c r="AB105" s="144" t="e">
        <f t="array" aca="1" ref="AB105" ca="1">_xludf.IFS(F105="Deep Tech", INDEX('DT Short List'!U:U,MATCH(B105,'DT Short List'!A:A,0)),F105="Life Sciences",INDEX('LS Shortlist'!T:T,MATCH(B105,'LS Shortlist'!B:B,0)),F105="Digital Tech",INDEX('DiT - Shortlist'!T:T,MATCH(B105,'DiT - Shortlist'!B:B,0)))</f>
        <v>#NAME?</v>
      </c>
    </row>
    <row r="106" spans="1:28">
      <c r="A106" s="140" t="s">
        <v>598</v>
      </c>
      <c r="B106" s="140" t="s">
        <v>116</v>
      </c>
      <c r="C106" s="140" t="s">
        <v>1397</v>
      </c>
      <c r="D106" s="140" t="s">
        <v>1398</v>
      </c>
      <c r="E106" s="140" t="s">
        <v>1399</v>
      </c>
      <c r="F106" s="149" t="s">
        <v>4</v>
      </c>
      <c r="G106" s="140">
        <v>4</v>
      </c>
      <c r="H106" s="140" t="s">
        <v>18</v>
      </c>
      <c r="I106" s="140" t="s">
        <v>447</v>
      </c>
      <c r="J106" s="140" t="s">
        <v>1400</v>
      </c>
      <c r="K106" s="140">
        <v>4</v>
      </c>
      <c r="L106" s="140" t="s">
        <v>449</v>
      </c>
      <c r="M106" s="140" t="s">
        <v>1401</v>
      </c>
      <c r="N106" s="140">
        <v>4</v>
      </c>
      <c r="O106" s="140" t="s">
        <v>451</v>
      </c>
      <c r="P106" s="148">
        <v>5000000</v>
      </c>
      <c r="Q106" s="140" t="s">
        <v>452</v>
      </c>
      <c r="R106" s="140" t="s">
        <v>1402</v>
      </c>
      <c r="S106" s="140"/>
      <c r="T106" s="140"/>
      <c r="U106" s="143" t="s">
        <v>454</v>
      </c>
      <c r="V106" s="143"/>
      <c r="W106" s="143"/>
      <c r="X106" s="140" t="s">
        <v>1354</v>
      </c>
      <c r="Y106" s="140" t="s">
        <v>1403</v>
      </c>
      <c r="Z106" s="140" t="e">
        <f>IF(VLOOKUP($Y106,'For Lookup'!$A:$B,1, FALSE)=$Y106,"Yes","No")</f>
        <v>#N/A</v>
      </c>
      <c r="AA106" s="140"/>
      <c r="AB106" s="140" t="e">
        <f t="array" aca="1" ref="AB106" ca="1">_xludf.IFS(F106="Deep Tech", INDEX('DT Short List'!U:U,MATCH(B106,'DT Short List'!A:A,0)),F106="Life Sciences",INDEX('LS Shortlist'!T:T,MATCH(B106,'LS Shortlist'!B:B,0)),F106="Digital Tech",INDEX('DiT - Shortlist'!T:T,MATCH(B106,'DiT - Shortlist'!B:B,0)))</f>
        <v>#NAME?</v>
      </c>
    </row>
    <row r="107" spans="1:28">
      <c r="A107" s="144" t="s">
        <v>907</v>
      </c>
      <c r="B107" s="144" t="s">
        <v>240</v>
      </c>
      <c r="C107" s="144" t="s">
        <v>1404</v>
      </c>
      <c r="D107" s="144" t="s">
        <v>1405</v>
      </c>
      <c r="E107" s="144" t="s">
        <v>1406</v>
      </c>
      <c r="F107" s="149" t="s">
        <v>4</v>
      </c>
      <c r="G107" s="144">
        <v>4</v>
      </c>
      <c r="H107" s="144" t="s">
        <v>18</v>
      </c>
      <c r="I107" s="144" t="s">
        <v>1045</v>
      </c>
      <c r="J107" s="144" t="s">
        <v>1407</v>
      </c>
      <c r="K107" s="144">
        <v>4</v>
      </c>
      <c r="L107" s="144" t="s">
        <v>462</v>
      </c>
      <c r="M107" s="144" t="s">
        <v>1408</v>
      </c>
      <c r="N107" s="144">
        <v>4</v>
      </c>
      <c r="O107" s="144"/>
      <c r="P107" s="144"/>
      <c r="Q107" s="144" t="s">
        <v>454</v>
      </c>
      <c r="R107" s="144" t="s">
        <v>1409</v>
      </c>
      <c r="S107" s="144"/>
      <c r="T107" s="144" t="s">
        <v>1410</v>
      </c>
      <c r="U107" s="145" t="s">
        <v>481</v>
      </c>
      <c r="V107" s="145" t="s">
        <v>1411</v>
      </c>
      <c r="W107" s="145"/>
      <c r="X107" s="144" t="s">
        <v>1412</v>
      </c>
      <c r="Y107" s="144" t="s">
        <v>1413</v>
      </c>
      <c r="Z107" s="144" t="e">
        <f>IF(VLOOKUP($Y107,'For Lookup'!$A:$B,1, FALSE)=$Y107,"Yes","No")</f>
        <v>#N/A</v>
      </c>
      <c r="AA107" s="144"/>
      <c r="AB107" s="144" t="e">
        <f t="array" aca="1" ref="AB107" ca="1">_xludf.IFS(F107="Deep Tech", INDEX('DT Short List'!U:U,MATCH(B107,'DT Short List'!A:A,0)),F107="Life Sciences",INDEX('LS Shortlist'!T:T,MATCH(B107,'LS Shortlist'!B:B,0)),F107="Digital Tech",INDEX('DiT - Shortlist'!T:T,MATCH(B107,'DiT - Shortlist'!B:B,0)))</f>
        <v>#NAME?</v>
      </c>
    </row>
    <row r="108" spans="1:28">
      <c r="A108" s="140" t="s">
        <v>484</v>
      </c>
      <c r="B108" s="140" t="s">
        <v>1414</v>
      </c>
      <c r="C108" s="140" t="s">
        <v>1415</v>
      </c>
      <c r="D108" s="140" t="s">
        <v>1416</v>
      </c>
      <c r="E108" s="140" t="s">
        <v>1417</v>
      </c>
      <c r="F108" s="149" t="s">
        <v>4</v>
      </c>
      <c r="G108" s="140">
        <v>4.25</v>
      </c>
      <c r="H108" s="140" t="s">
        <v>18</v>
      </c>
      <c r="I108" s="140" t="s">
        <v>602</v>
      </c>
      <c r="J108" s="140" t="s">
        <v>1418</v>
      </c>
      <c r="K108" s="140">
        <v>4</v>
      </c>
      <c r="L108" s="140" t="s">
        <v>727</v>
      </c>
      <c r="M108" s="140" t="s">
        <v>1419</v>
      </c>
      <c r="N108" s="140">
        <v>4.5</v>
      </c>
      <c r="O108" s="140" t="s">
        <v>478</v>
      </c>
      <c r="P108" s="140" t="s">
        <v>1420</v>
      </c>
      <c r="Q108" s="140" t="s">
        <v>454</v>
      </c>
      <c r="R108" s="140" t="s">
        <v>1421</v>
      </c>
      <c r="S108" s="140" t="s">
        <v>1422</v>
      </c>
      <c r="T108" s="140" t="s">
        <v>1423</v>
      </c>
      <c r="U108" s="143"/>
      <c r="V108" s="143"/>
      <c r="W108" s="143"/>
      <c r="X108" s="140" t="s">
        <v>1424</v>
      </c>
      <c r="Y108" s="140" t="s">
        <v>1425</v>
      </c>
      <c r="Z108" s="140" t="e">
        <f>IF(VLOOKUP($Y108,'For Lookup'!$A:$B,1, FALSE)=$Y108,"Yes","No")</f>
        <v>#N/A</v>
      </c>
      <c r="AA108" s="140"/>
      <c r="AB108" s="140" t="e">
        <f t="array" aca="1" ref="AB108" ca="1">_xludf.IFS(F108="Deep Tech", INDEX('DT Short List'!U:U,MATCH(B108,'DT Short List'!A:A,0)),F108="Life Sciences",INDEX('LS Shortlist'!T:T,MATCH(B108,'LS Shortlist'!B:B,0)),F108="Digital Tech",INDEX('DiT - Shortlist'!T:T,MATCH(B108,'DiT - Shortlist'!B:B,0)))</f>
        <v>#NAME?</v>
      </c>
    </row>
    <row r="109" spans="1:28">
      <c r="A109" s="144" t="s">
        <v>598</v>
      </c>
      <c r="B109" s="144" t="s">
        <v>245</v>
      </c>
      <c r="C109" s="144" t="s">
        <v>1426</v>
      </c>
      <c r="D109" s="144" t="s">
        <v>1427</v>
      </c>
      <c r="E109" s="144" t="s">
        <v>1428</v>
      </c>
      <c r="F109" s="149" t="s">
        <v>4</v>
      </c>
      <c r="G109" s="144">
        <v>4</v>
      </c>
      <c r="H109" s="144" t="s">
        <v>18</v>
      </c>
      <c r="I109" s="144" t="s">
        <v>447</v>
      </c>
      <c r="J109" s="144" t="s">
        <v>1429</v>
      </c>
      <c r="K109" s="144">
        <v>4</v>
      </c>
      <c r="L109" s="144" t="s">
        <v>449</v>
      </c>
      <c r="M109" s="144" t="s">
        <v>1430</v>
      </c>
      <c r="N109" s="144">
        <v>4</v>
      </c>
      <c r="O109" s="144"/>
      <c r="P109" s="144"/>
      <c r="Q109" s="144" t="s">
        <v>465</v>
      </c>
      <c r="R109" s="144" t="s">
        <v>1431</v>
      </c>
      <c r="S109" s="144"/>
      <c r="T109" s="144" t="s">
        <v>1432</v>
      </c>
      <c r="U109" s="145" t="s">
        <v>481</v>
      </c>
      <c r="V109" s="145"/>
      <c r="W109" s="145"/>
      <c r="X109" s="144" t="s">
        <v>1433</v>
      </c>
      <c r="Y109" s="144" t="s">
        <v>1434</v>
      </c>
      <c r="Z109" s="144" t="e">
        <f>IF(VLOOKUP($Y109,'For Lookup'!$A:$B,1, FALSE)=$Y109,"Yes","No")</f>
        <v>#N/A</v>
      </c>
      <c r="AA109" s="144"/>
      <c r="AB109" s="144" t="e">
        <f t="array" aca="1" ref="AB109" ca="1">_xludf.IFS(F109="Deep Tech", INDEX('DT Short List'!U:U,MATCH(B109,'DT Short List'!A:A,0)),F109="Life Sciences",INDEX('LS Shortlist'!T:T,MATCH(B109,'LS Shortlist'!B:B,0)),F109="Digital Tech",INDEX('DiT - Shortlist'!T:T,MATCH(B109,'DiT - Shortlist'!B:B,0)))</f>
        <v>#NAME?</v>
      </c>
    </row>
    <row r="110" spans="1:28">
      <c r="A110" s="140" t="s">
        <v>529</v>
      </c>
      <c r="B110" s="140" t="s">
        <v>246</v>
      </c>
      <c r="C110" s="140" t="s">
        <v>1435</v>
      </c>
      <c r="D110" s="140" t="s">
        <v>1436</v>
      </c>
      <c r="E110" s="140" t="s">
        <v>1437</v>
      </c>
      <c r="F110" s="149" t="s">
        <v>4</v>
      </c>
      <c r="G110" s="140">
        <v>4</v>
      </c>
      <c r="H110" s="140" t="s">
        <v>18</v>
      </c>
      <c r="I110" s="140" t="s">
        <v>460</v>
      </c>
      <c r="J110" s="140" t="s">
        <v>1438</v>
      </c>
      <c r="K110" s="140">
        <v>4</v>
      </c>
      <c r="L110" s="140" t="s">
        <v>462</v>
      </c>
      <c r="M110" s="140" t="s">
        <v>1439</v>
      </c>
      <c r="N110" s="140">
        <v>4</v>
      </c>
      <c r="O110" s="140" t="s">
        <v>451</v>
      </c>
      <c r="P110" s="140">
        <v>2000000</v>
      </c>
      <c r="Q110" s="140" t="s">
        <v>452</v>
      </c>
      <c r="R110" s="140" t="s">
        <v>1440</v>
      </c>
      <c r="S110" s="140"/>
      <c r="T110" s="140" t="s">
        <v>1441</v>
      </c>
      <c r="U110" s="143" t="s">
        <v>481</v>
      </c>
      <c r="V110" s="143"/>
      <c r="W110" s="143"/>
      <c r="X110" s="140" t="s">
        <v>1442</v>
      </c>
      <c r="Y110" s="140" t="s">
        <v>1443</v>
      </c>
      <c r="Z110" s="140" t="e">
        <f>IF(VLOOKUP($Y110,'For Lookup'!$A:$B,1, FALSE)=$Y110,"Yes","No")</f>
        <v>#N/A</v>
      </c>
      <c r="AA110" s="140"/>
      <c r="AB110" s="140" t="e">
        <f t="array" aca="1" ref="AB110" ca="1">_xludf.IFS(F110="Deep Tech", INDEX('DT Short List'!U:U,MATCH(B110,'DT Short List'!A:A,0)),F110="Life Sciences",INDEX('LS Shortlist'!T:T,MATCH(B110,'LS Shortlist'!B:B,0)),F110="Digital Tech",INDEX('DiT - Shortlist'!T:T,MATCH(B110,'DiT - Shortlist'!B:B,0)))</f>
        <v>#NAME?</v>
      </c>
    </row>
    <row r="111" spans="1:28">
      <c r="A111" s="144" t="s">
        <v>471</v>
      </c>
      <c r="B111" s="144" t="s">
        <v>250</v>
      </c>
      <c r="C111" s="144" t="s">
        <v>1444</v>
      </c>
      <c r="D111" s="144" t="s">
        <v>1445</v>
      </c>
      <c r="E111" s="144" t="s">
        <v>1446</v>
      </c>
      <c r="F111" s="149" t="s">
        <v>4</v>
      </c>
      <c r="G111" s="144">
        <v>3.75</v>
      </c>
      <c r="H111" s="144" t="s">
        <v>18</v>
      </c>
      <c r="I111" s="144" t="s">
        <v>447</v>
      </c>
      <c r="J111" s="144" t="s">
        <v>1447</v>
      </c>
      <c r="K111" s="144">
        <v>4.5</v>
      </c>
      <c r="L111" s="144" t="s">
        <v>622</v>
      </c>
      <c r="M111" s="144" t="s">
        <v>1448</v>
      </c>
      <c r="N111" s="144">
        <v>3</v>
      </c>
      <c r="O111" s="144" t="s">
        <v>973</v>
      </c>
      <c r="P111" s="146">
        <v>30000000</v>
      </c>
      <c r="Q111" s="144" t="s">
        <v>452</v>
      </c>
      <c r="R111" s="144" t="s">
        <v>1449</v>
      </c>
      <c r="S111" s="144" t="s">
        <v>447</v>
      </c>
      <c r="T111" s="144" t="s">
        <v>1450</v>
      </c>
      <c r="U111" s="145" t="s">
        <v>481</v>
      </c>
      <c r="V111" s="145"/>
      <c r="W111" s="145" t="s">
        <v>447</v>
      </c>
      <c r="X111" s="144" t="s">
        <v>1451</v>
      </c>
      <c r="Y111" s="144" t="s">
        <v>1452</v>
      </c>
      <c r="Z111" s="144" t="e">
        <f>IF(VLOOKUP($Y111,'For Lookup'!$A:$B,1, FALSE)=$Y111,"Yes","No")</f>
        <v>#N/A</v>
      </c>
      <c r="AA111" s="144"/>
      <c r="AB111" s="144" t="e">
        <f t="array" aca="1" ref="AB111" ca="1">_xludf.IFS(F111="Deep Tech", INDEX('DT Short List'!U:U,MATCH(B111,'DT Short List'!A:A,0)),F111="Life Sciences",INDEX('LS Shortlist'!T:T,MATCH(B111,'LS Shortlist'!B:B,0)),F111="Digital Tech",INDEX('DiT - Shortlist'!T:T,MATCH(B111,'DiT - Shortlist'!B:B,0)))</f>
        <v>#NAME?</v>
      </c>
    </row>
    <row r="112" spans="1:28">
      <c r="A112" s="140" t="s">
        <v>907</v>
      </c>
      <c r="B112" s="140" t="s">
        <v>251</v>
      </c>
      <c r="C112" s="140" t="s">
        <v>1453</v>
      </c>
      <c r="D112" s="140" t="s">
        <v>1454</v>
      </c>
      <c r="E112" s="140" t="s">
        <v>1455</v>
      </c>
      <c r="F112" s="149" t="s">
        <v>4</v>
      </c>
      <c r="G112" s="140">
        <v>4</v>
      </c>
      <c r="H112" s="140" t="s">
        <v>18</v>
      </c>
      <c r="I112" s="140" t="s">
        <v>727</v>
      </c>
      <c r="J112" s="140" t="s">
        <v>1456</v>
      </c>
      <c r="K112" s="140">
        <v>4</v>
      </c>
      <c r="L112" s="140" t="s">
        <v>1457</v>
      </c>
      <c r="M112" s="140" t="s">
        <v>1458</v>
      </c>
      <c r="N112" s="140">
        <v>4</v>
      </c>
      <c r="O112" s="140" t="s">
        <v>784</v>
      </c>
      <c r="P112" s="140">
        <v>750000</v>
      </c>
      <c r="Q112" s="140" t="s">
        <v>452</v>
      </c>
      <c r="R112" s="140" t="s">
        <v>1459</v>
      </c>
      <c r="S112" s="140"/>
      <c r="T112" s="140"/>
      <c r="U112" s="143" t="s">
        <v>481</v>
      </c>
      <c r="V112" s="143"/>
      <c r="W112" s="143"/>
      <c r="X112" s="140" t="s">
        <v>1460</v>
      </c>
      <c r="Y112" s="140" t="s">
        <v>1461</v>
      </c>
      <c r="Z112" s="140" t="e">
        <f>IF(VLOOKUP($Y112,'For Lookup'!$A:$B,1, FALSE)=$Y112,"Yes","No")</f>
        <v>#N/A</v>
      </c>
      <c r="AA112" s="140"/>
      <c r="AB112" s="140" t="e">
        <f t="array" aca="1" ref="AB112" ca="1">_xludf.IFS(F112="Deep Tech", INDEX('DT Short List'!U:U,MATCH(B112,'DT Short List'!A:A,0)),F112="Life Sciences",INDEX('LS Shortlist'!T:T,MATCH(B112,'LS Shortlist'!B:B,0)),F112="Digital Tech",INDEX('DiT - Shortlist'!T:T,MATCH(B112,'DiT - Shortlist'!B:B,0)))</f>
        <v>#NAME?</v>
      </c>
    </row>
    <row r="113" spans="1:28">
      <c r="A113" s="144" t="s">
        <v>529</v>
      </c>
      <c r="B113" s="144" t="s">
        <v>252</v>
      </c>
      <c r="C113" s="144" t="s">
        <v>1462</v>
      </c>
      <c r="D113" s="144" t="s">
        <v>1463</v>
      </c>
      <c r="E113" s="144" t="s">
        <v>1464</v>
      </c>
      <c r="F113" s="149" t="s">
        <v>4</v>
      </c>
      <c r="G113" s="144">
        <v>4</v>
      </c>
      <c r="H113" s="144" t="s">
        <v>18</v>
      </c>
      <c r="I113" s="144" t="s">
        <v>1045</v>
      </c>
      <c r="J113" s="144" t="s">
        <v>1465</v>
      </c>
      <c r="K113" s="144">
        <v>4</v>
      </c>
      <c r="L113" s="144" t="s">
        <v>1457</v>
      </c>
      <c r="M113" s="144" t="s">
        <v>1466</v>
      </c>
      <c r="N113" s="144">
        <v>4</v>
      </c>
      <c r="O113" s="144"/>
      <c r="P113" s="144"/>
      <c r="Q113" s="144" t="s">
        <v>454</v>
      </c>
      <c r="R113" s="144" t="s">
        <v>1119</v>
      </c>
      <c r="S113" s="144"/>
      <c r="T113" s="144"/>
      <c r="U113" s="145" t="s">
        <v>454</v>
      </c>
      <c r="V113" s="145" t="s">
        <v>1048</v>
      </c>
      <c r="W113" s="145"/>
      <c r="X113" s="144" t="s">
        <v>1467</v>
      </c>
      <c r="Y113" s="144" t="s">
        <v>1468</v>
      </c>
      <c r="Z113" s="144" t="e">
        <f>IF(VLOOKUP($Y113,'For Lookup'!$A:$B,1, FALSE)=$Y113,"Yes","No")</f>
        <v>#N/A</v>
      </c>
      <c r="AA113" s="144"/>
      <c r="AB113" s="144" t="e">
        <f t="array" aca="1" ref="AB113" ca="1">_xludf.IFS(F113="Deep Tech", INDEX('DT Short List'!U:U,MATCH(B113,'DT Short List'!A:A,0)),F113="Life Sciences",INDEX('LS Shortlist'!T:T,MATCH(B113,'LS Shortlist'!B:B,0)),F113="Digital Tech",INDEX('DiT - Shortlist'!T:T,MATCH(B113,'DiT - Shortlist'!B:B,0)))</f>
        <v>#NAME?</v>
      </c>
    </row>
    <row r="114" spans="1:28">
      <c r="A114" s="140" t="s">
        <v>443</v>
      </c>
      <c r="B114" s="140" t="s">
        <v>256</v>
      </c>
      <c r="C114" s="140" t="s">
        <v>1469</v>
      </c>
      <c r="D114" s="140" t="s">
        <v>1470</v>
      </c>
      <c r="E114" s="140" t="s">
        <v>1471</v>
      </c>
      <c r="F114" s="149" t="s">
        <v>4</v>
      </c>
      <c r="G114" s="140">
        <v>5</v>
      </c>
      <c r="H114" s="140" t="s">
        <v>18</v>
      </c>
      <c r="I114" s="140" t="s">
        <v>447</v>
      </c>
      <c r="J114" s="140" t="s">
        <v>1472</v>
      </c>
      <c r="K114" s="140">
        <v>5</v>
      </c>
      <c r="L114" s="140" t="s">
        <v>449</v>
      </c>
      <c r="M114" s="140" t="s">
        <v>1473</v>
      </c>
      <c r="N114" s="140">
        <v>5</v>
      </c>
      <c r="O114" s="140" t="s">
        <v>478</v>
      </c>
      <c r="P114" s="140" t="s">
        <v>1474</v>
      </c>
      <c r="Q114" s="140" t="s">
        <v>452</v>
      </c>
      <c r="R114" s="140" t="s">
        <v>1475</v>
      </c>
      <c r="S114" s="140" t="s">
        <v>1476</v>
      </c>
      <c r="T114" s="140" t="s">
        <v>1477</v>
      </c>
      <c r="U114" s="143" t="s">
        <v>454</v>
      </c>
      <c r="V114" s="143"/>
      <c r="W114" s="143" t="s">
        <v>1476</v>
      </c>
      <c r="X114" s="140" t="s">
        <v>1478</v>
      </c>
      <c r="Y114" s="140" t="s">
        <v>1479</v>
      </c>
      <c r="Z114" s="140" t="str">
        <f>IF(VLOOKUP($Y114,'For Lookup'!$A:$B,1, FALSE)=$Y114,"Yes","No")</f>
        <v>Yes</v>
      </c>
      <c r="AA114" s="140"/>
      <c r="AB114" s="140" t="e">
        <f t="array" aca="1" ref="AB114" ca="1">_xludf.IFS(F114="Deep Tech", INDEX('DT Short List'!U:U,MATCH(B114,'DT Short List'!A:A,0)),F114="Life Sciences",INDEX('LS Shortlist'!T:T,MATCH(B114,'LS Shortlist'!B:B,0)),F114="Digital Tech",INDEX('DiT - Shortlist'!T:T,MATCH(B114,'DiT - Shortlist'!B:B,0)))</f>
        <v>#NAME?</v>
      </c>
    </row>
    <row r="115" spans="1:28">
      <c r="A115" s="144" t="s">
        <v>907</v>
      </c>
      <c r="B115" s="144" t="s">
        <v>257</v>
      </c>
      <c r="C115" s="144" t="s">
        <v>1480</v>
      </c>
      <c r="D115" s="144" t="s">
        <v>1481</v>
      </c>
      <c r="E115" s="144" t="s">
        <v>1482</v>
      </c>
      <c r="F115" s="149" t="s">
        <v>4</v>
      </c>
      <c r="G115" s="144">
        <v>4.25</v>
      </c>
      <c r="H115" s="144" t="s">
        <v>18</v>
      </c>
      <c r="I115" s="144" t="s">
        <v>602</v>
      </c>
      <c r="J115" s="144" t="s">
        <v>1483</v>
      </c>
      <c r="K115" s="144">
        <v>4</v>
      </c>
      <c r="L115" s="144" t="s">
        <v>1350</v>
      </c>
      <c r="M115" s="144" t="s">
        <v>1484</v>
      </c>
      <c r="N115" s="144">
        <v>4.5</v>
      </c>
      <c r="O115" s="144" t="s">
        <v>784</v>
      </c>
      <c r="P115" s="144">
        <v>682000</v>
      </c>
      <c r="Q115" s="144" t="s">
        <v>465</v>
      </c>
      <c r="R115" s="144" t="s">
        <v>1485</v>
      </c>
      <c r="S115" s="144" t="s">
        <v>1486</v>
      </c>
      <c r="T115" s="144" t="s">
        <v>1487</v>
      </c>
      <c r="U115" s="145" t="s">
        <v>454</v>
      </c>
      <c r="V115" s="145"/>
      <c r="W115" s="145" t="s">
        <v>1486</v>
      </c>
      <c r="X115" s="144" t="s">
        <v>1488</v>
      </c>
      <c r="Y115" s="144" t="s">
        <v>1489</v>
      </c>
      <c r="Z115" s="144" t="e">
        <f>IF(VLOOKUP($Y115,'For Lookup'!$A:$B,1, FALSE)=$Y115,"Yes","No")</f>
        <v>#N/A</v>
      </c>
      <c r="AA115" s="144"/>
      <c r="AB115" s="144" t="e">
        <f t="array" aca="1" ref="AB115" ca="1">_xludf.IFS(F115="Deep Tech", INDEX('DT Short List'!U:U,MATCH(B115,'DT Short List'!A:A,0)),F115="Life Sciences",INDEX('LS Shortlist'!T:T,MATCH(B115,'LS Shortlist'!B:B,0)),F115="Digital Tech",INDEX('DiT - Shortlist'!T:T,MATCH(B115,'DiT - Shortlist'!B:B,0)))</f>
        <v>#NAME?</v>
      </c>
    </row>
    <row r="116" spans="1:28">
      <c r="A116" s="140" t="s">
        <v>484</v>
      </c>
      <c r="B116" s="140" t="s">
        <v>258</v>
      </c>
      <c r="C116" s="140" t="s">
        <v>1490</v>
      </c>
      <c r="D116" s="140" t="s">
        <v>1491</v>
      </c>
      <c r="E116" s="140" t="s">
        <v>1492</v>
      </c>
      <c r="F116" s="149" t="s">
        <v>4</v>
      </c>
      <c r="G116" s="140">
        <v>4.5</v>
      </c>
      <c r="H116" s="140" t="s">
        <v>18</v>
      </c>
      <c r="I116" s="140" t="s">
        <v>447</v>
      </c>
      <c r="J116" s="140" t="s">
        <v>1493</v>
      </c>
      <c r="K116" s="140">
        <v>5</v>
      </c>
      <c r="L116" s="140" t="s">
        <v>449</v>
      </c>
      <c r="M116" s="140" t="s">
        <v>1494</v>
      </c>
      <c r="N116" s="140">
        <v>4</v>
      </c>
      <c r="O116" s="140" t="s">
        <v>478</v>
      </c>
      <c r="P116" s="140" t="s">
        <v>1495</v>
      </c>
      <c r="Q116" s="140" t="s">
        <v>454</v>
      </c>
      <c r="R116" s="140" t="s">
        <v>452</v>
      </c>
      <c r="S116" s="140" t="s">
        <v>447</v>
      </c>
      <c r="T116" s="140" t="s">
        <v>1496</v>
      </c>
      <c r="U116" s="143" t="s">
        <v>481</v>
      </c>
      <c r="V116" s="143" t="s">
        <v>1048</v>
      </c>
      <c r="W116" s="143" t="s">
        <v>447</v>
      </c>
      <c r="X116" s="140" t="s">
        <v>1497</v>
      </c>
      <c r="Y116" s="140" t="s">
        <v>1498</v>
      </c>
      <c r="Z116" s="140" t="str">
        <f>IF(VLOOKUP($Y116,'For Lookup'!$A:$B,1, FALSE)=$Y116,"Yes","No")</f>
        <v>Yes</v>
      </c>
      <c r="AA116" s="140"/>
      <c r="AB116" s="140" t="e">
        <f t="array" aca="1" ref="AB116" ca="1">_xludf.IFS(F116="Deep Tech", INDEX('DT Short List'!U:U,MATCH(B116,'DT Short List'!A:A,0)),F116="Life Sciences",INDEX('LS Shortlist'!T:T,MATCH(B116,'LS Shortlist'!B:B,0)),F116="Digital Tech",INDEX('DiT - Shortlist'!T:T,MATCH(B116,'DiT - Shortlist'!B:B,0)))</f>
        <v>#NAME?</v>
      </c>
    </row>
    <row r="117" spans="1:28">
      <c r="A117" s="144" t="s">
        <v>503</v>
      </c>
      <c r="B117" s="144" t="s">
        <v>259</v>
      </c>
      <c r="C117" s="144" t="s">
        <v>1499</v>
      </c>
      <c r="D117" s="144" t="s">
        <v>1500</v>
      </c>
      <c r="E117" s="144" t="s">
        <v>1501</v>
      </c>
      <c r="F117" s="149" t="s">
        <v>4</v>
      </c>
      <c r="G117" s="144">
        <v>3.75</v>
      </c>
      <c r="H117" s="144" t="s">
        <v>18</v>
      </c>
      <c r="I117" s="144" t="s">
        <v>447</v>
      </c>
      <c r="J117" s="144" t="s">
        <v>1502</v>
      </c>
      <c r="K117" s="144">
        <v>3.5</v>
      </c>
      <c r="L117" s="144" t="s">
        <v>449</v>
      </c>
      <c r="M117" s="144" t="s">
        <v>1503</v>
      </c>
      <c r="N117" s="144">
        <v>4</v>
      </c>
      <c r="O117" s="144"/>
      <c r="P117" s="144">
        <v>500000</v>
      </c>
      <c r="Q117" s="144" t="s">
        <v>452</v>
      </c>
      <c r="R117" s="144" t="s">
        <v>1504</v>
      </c>
      <c r="S117" s="144" t="s">
        <v>1505</v>
      </c>
      <c r="T117" s="144" t="s">
        <v>1506</v>
      </c>
      <c r="U117" s="145" t="s">
        <v>454</v>
      </c>
      <c r="V117" s="145"/>
      <c r="W117" s="145" t="s">
        <v>1505</v>
      </c>
      <c r="X117" s="144" t="s">
        <v>1163</v>
      </c>
      <c r="Y117" s="144" t="s">
        <v>1507</v>
      </c>
      <c r="Z117" s="144" t="e">
        <f>IF(VLOOKUP($Y117,'For Lookup'!$A:$B,1, FALSE)=$Y117,"Yes","No")</f>
        <v>#N/A</v>
      </c>
      <c r="AA117" s="144"/>
      <c r="AB117" s="144" t="e">
        <f t="array" aca="1" ref="AB117" ca="1">_xludf.IFS(F117="Deep Tech", INDEX('DT Short List'!U:U,MATCH(B117,'DT Short List'!A:A,0)),F117="Life Sciences",INDEX('LS Shortlist'!T:T,MATCH(B117,'LS Shortlist'!B:B,0)),F117="Digital Tech",INDEX('DiT - Shortlist'!T:T,MATCH(B117,'DiT - Shortlist'!B:B,0)))</f>
        <v>#NAME?</v>
      </c>
    </row>
    <row r="118" spans="1:28">
      <c r="A118" s="140" t="s">
        <v>503</v>
      </c>
      <c r="B118" s="140" t="s">
        <v>260</v>
      </c>
      <c r="C118" s="140" t="s">
        <v>1508</v>
      </c>
      <c r="D118" s="140" t="s">
        <v>1509</v>
      </c>
      <c r="E118" s="140" t="s">
        <v>1510</v>
      </c>
      <c r="F118" s="149" t="s">
        <v>4</v>
      </c>
      <c r="G118" s="140">
        <v>4.5</v>
      </c>
      <c r="H118" s="140" t="s">
        <v>18</v>
      </c>
      <c r="I118" s="140" t="s">
        <v>602</v>
      </c>
      <c r="J118" s="140" t="s">
        <v>1511</v>
      </c>
      <c r="K118" s="140">
        <v>4.5</v>
      </c>
      <c r="L118" s="140" t="s">
        <v>1054</v>
      </c>
      <c r="M118" s="140" t="s">
        <v>1512</v>
      </c>
      <c r="N118" s="140">
        <v>4.5</v>
      </c>
      <c r="O118" s="140" t="s">
        <v>451</v>
      </c>
      <c r="P118" s="142">
        <v>3000000</v>
      </c>
      <c r="Q118" s="140" t="s">
        <v>454</v>
      </c>
      <c r="R118" s="140" t="s">
        <v>1513</v>
      </c>
      <c r="S118" s="140" t="s">
        <v>447</v>
      </c>
      <c r="T118" s="140"/>
      <c r="U118" s="143" t="s">
        <v>454</v>
      </c>
      <c r="V118" s="143" t="s">
        <v>1411</v>
      </c>
      <c r="W118" s="143" t="s">
        <v>447</v>
      </c>
      <c r="X118" s="140" t="s">
        <v>926</v>
      </c>
      <c r="Y118" s="140" t="s">
        <v>1514</v>
      </c>
      <c r="Z118" s="140" t="str">
        <f>IF(VLOOKUP($Y118,'For Lookup'!$A:$B,1, FALSE)=$Y118,"Yes","No")</f>
        <v>Yes</v>
      </c>
      <c r="AA118" s="140"/>
      <c r="AB118" s="140" t="e">
        <f t="array" aca="1" ref="AB118" ca="1">_xludf.IFS(F118="Deep Tech", INDEX('DT Short List'!U:U,MATCH(B118,'DT Short List'!A:A,0)),F118="Life Sciences",INDEX('LS Shortlist'!T:T,MATCH(B118,'LS Shortlist'!B:B,0)),F118="Digital Tech",INDEX('DiT - Shortlist'!T:T,MATCH(B118,'DiT - Shortlist'!B:B,0)))</f>
        <v>#NAME?</v>
      </c>
    </row>
    <row r="119" spans="1:28">
      <c r="A119" s="144" t="s">
        <v>907</v>
      </c>
      <c r="B119" s="144" t="s">
        <v>261</v>
      </c>
      <c r="C119" s="144" t="s">
        <v>1515</v>
      </c>
      <c r="D119" s="144" t="s">
        <v>1516</v>
      </c>
      <c r="E119" s="144" t="s">
        <v>1517</v>
      </c>
      <c r="F119" s="149" t="s">
        <v>4</v>
      </c>
      <c r="G119" s="144">
        <v>4.25</v>
      </c>
      <c r="H119" s="144" t="s">
        <v>18</v>
      </c>
      <c r="I119" s="144" t="s">
        <v>727</v>
      </c>
      <c r="J119" s="144" t="s">
        <v>1518</v>
      </c>
      <c r="K119" s="144">
        <v>4.5</v>
      </c>
      <c r="L119" s="144" t="s">
        <v>543</v>
      </c>
      <c r="M119" s="144" t="s">
        <v>1519</v>
      </c>
      <c r="N119" s="144">
        <v>4</v>
      </c>
      <c r="O119" s="144"/>
      <c r="P119" s="144"/>
      <c r="Q119" s="144" t="s">
        <v>452</v>
      </c>
      <c r="R119" s="144" t="s">
        <v>1520</v>
      </c>
      <c r="S119" s="144"/>
      <c r="T119" s="144"/>
      <c r="U119" s="145" t="s">
        <v>481</v>
      </c>
      <c r="V119" s="145"/>
      <c r="W119" s="145"/>
      <c r="X119" s="144" t="s">
        <v>1521</v>
      </c>
      <c r="Y119" s="144" t="s">
        <v>1522</v>
      </c>
      <c r="Z119" s="144" t="e">
        <f>IF(VLOOKUP($Y119,'For Lookup'!$A:$B,1, FALSE)=$Y119,"Yes","No")</f>
        <v>#N/A</v>
      </c>
      <c r="AA119" s="144"/>
      <c r="AB119" s="144" t="e">
        <f t="array" aca="1" ref="AB119" ca="1">_xludf.IFS(F119="Deep Tech", INDEX('DT Short List'!U:U,MATCH(B119,'DT Short List'!A:A,0)),F119="Life Sciences",INDEX('LS Shortlist'!T:T,MATCH(B119,'LS Shortlist'!B:B,0)),F119="Digital Tech",INDEX('DiT - Shortlist'!T:T,MATCH(B119,'DiT - Shortlist'!B:B,0)))</f>
        <v>#NAME?</v>
      </c>
    </row>
    <row r="120" spans="1:28">
      <c r="A120" s="140" t="s">
        <v>503</v>
      </c>
      <c r="B120" s="140" t="s">
        <v>262</v>
      </c>
      <c r="C120" s="140" t="s">
        <v>1523</v>
      </c>
      <c r="D120" s="140" t="s">
        <v>1524</v>
      </c>
      <c r="E120" s="140" t="s">
        <v>1525</v>
      </c>
      <c r="F120" s="149" t="s">
        <v>4</v>
      </c>
      <c r="G120" s="140">
        <v>4</v>
      </c>
      <c r="H120" s="140" t="s">
        <v>18</v>
      </c>
      <c r="I120" s="140" t="s">
        <v>727</v>
      </c>
      <c r="J120" s="140" t="s">
        <v>1526</v>
      </c>
      <c r="K120" s="140">
        <v>4</v>
      </c>
      <c r="L120" s="140" t="s">
        <v>1054</v>
      </c>
      <c r="M120" s="140" t="s">
        <v>1527</v>
      </c>
      <c r="N120" s="140">
        <v>4</v>
      </c>
      <c r="O120" s="140"/>
      <c r="P120" s="140"/>
      <c r="Q120" s="140" t="s">
        <v>452</v>
      </c>
      <c r="R120" s="140" t="s">
        <v>452</v>
      </c>
      <c r="S120" s="140"/>
      <c r="T120" s="140" t="s">
        <v>1528</v>
      </c>
      <c r="U120" s="143" t="s">
        <v>481</v>
      </c>
      <c r="V120" s="143"/>
      <c r="W120" s="143"/>
      <c r="X120" s="140" t="s">
        <v>1529</v>
      </c>
      <c r="Y120" s="140" t="s">
        <v>1530</v>
      </c>
      <c r="Z120" s="140" t="e">
        <f>IF(VLOOKUP($Y120,'For Lookup'!$A:$B,1, FALSE)=$Y120,"Yes","No")</f>
        <v>#N/A</v>
      </c>
      <c r="AA120" s="140"/>
      <c r="AB120" s="140" t="e">
        <f t="array" aca="1" ref="AB120" ca="1">_xludf.IFS(F120="Deep Tech", INDEX('DT Short List'!U:U,MATCH(B120,'DT Short List'!A:A,0)),F120="Life Sciences",INDEX('LS Shortlist'!T:T,MATCH(B120,'LS Shortlist'!B:B,0)),F120="Digital Tech",INDEX('DiT - Shortlist'!T:T,MATCH(B120,'DiT - Shortlist'!B:B,0)))</f>
        <v>#NAME?</v>
      </c>
    </row>
    <row r="121" spans="1:28">
      <c r="A121" s="144" t="s">
        <v>484</v>
      </c>
      <c r="B121" s="144" t="s">
        <v>266</v>
      </c>
      <c r="C121" s="144" t="s">
        <v>1531</v>
      </c>
      <c r="D121" s="144" t="s">
        <v>1532</v>
      </c>
      <c r="E121" s="144" t="s">
        <v>1533</v>
      </c>
      <c r="F121" s="149" t="s">
        <v>4</v>
      </c>
      <c r="G121" s="144">
        <v>4.25</v>
      </c>
      <c r="H121" s="144" t="s">
        <v>18</v>
      </c>
      <c r="I121" s="144" t="s">
        <v>602</v>
      </c>
      <c r="J121" s="144" t="s">
        <v>1534</v>
      </c>
      <c r="K121" s="144">
        <v>4</v>
      </c>
      <c r="L121" s="144" t="s">
        <v>1054</v>
      </c>
      <c r="M121" s="144"/>
      <c r="N121" s="144">
        <v>4.5</v>
      </c>
      <c r="O121" s="144" t="s">
        <v>451</v>
      </c>
      <c r="P121" s="147">
        <v>2000000</v>
      </c>
      <c r="Q121" s="144" t="s">
        <v>454</v>
      </c>
      <c r="R121" s="144" t="s">
        <v>1535</v>
      </c>
      <c r="S121" s="144" t="s">
        <v>1536</v>
      </c>
      <c r="T121" s="144" t="s">
        <v>1537</v>
      </c>
      <c r="U121" s="145" t="s">
        <v>481</v>
      </c>
      <c r="V121" s="145" t="s">
        <v>1411</v>
      </c>
      <c r="W121" s="145" t="s">
        <v>1536</v>
      </c>
      <c r="X121" s="144" t="s">
        <v>1538</v>
      </c>
      <c r="Y121" s="144" t="s">
        <v>1539</v>
      </c>
      <c r="Z121" s="144" t="e">
        <f>IF(VLOOKUP($Y121,'For Lookup'!$A:$B,1, FALSE)=$Y121,"Yes","No")</f>
        <v>#N/A</v>
      </c>
      <c r="AA121" s="144"/>
      <c r="AB121" s="144" t="e">
        <f t="array" aca="1" ref="AB121" ca="1">_xludf.IFS(F121="Deep Tech", INDEX('DT Short List'!U:U,MATCH(B121,'DT Short List'!A:A,0)),F121="Life Sciences",INDEX('LS Shortlist'!T:T,MATCH(B121,'LS Shortlist'!B:B,0)),F121="Digital Tech",INDEX('DiT - Shortlist'!T:T,MATCH(B121,'DiT - Shortlist'!B:B,0)))</f>
        <v>#NAME?</v>
      </c>
    </row>
    <row r="122" spans="1:28">
      <c r="A122" s="140" t="s">
        <v>443</v>
      </c>
      <c r="B122" s="140" t="s">
        <v>267</v>
      </c>
      <c r="C122" s="140" t="s">
        <v>1540</v>
      </c>
      <c r="D122" s="140" t="s">
        <v>1541</v>
      </c>
      <c r="E122" s="140" t="s">
        <v>1542</v>
      </c>
      <c r="F122" s="149" t="s">
        <v>4</v>
      </c>
      <c r="G122" s="140">
        <v>3.75</v>
      </c>
      <c r="H122" s="140" t="s">
        <v>18</v>
      </c>
      <c r="I122" s="140" t="s">
        <v>602</v>
      </c>
      <c r="J122" s="140" t="s">
        <v>1543</v>
      </c>
      <c r="K122" s="140">
        <v>3.5</v>
      </c>
      <c r="L122" s="140" t="s">
        <v>727</v>
      </c>
      <c r="M122" s="140" t="s">
        <v>1544</v>
      </c>
      <c r="N122" s="140">
        <v>4</v>
      </c>
      <c r="O122" s="140" t="s">
        <v>784</v>
      </c>
      <c r="P122" s="142">
        <v>550000</v>
      </c>
      <c r="Q122" s="140" t="s">
        <v>454</v>
      </c>
      <c r="R122" s="140" t="s">
        <v>452</v>
      </c>
      <c r="S122" s="140" t="s">
        <v>447</v>
      </c>
      <c r="T122" s="140" t="s">
        <v>1545</v>
      </c>
      <c r="U122" s="143" t="s">
        <v>481</v>
      </c>
      <c r="V122" s="143" t="s">
        <v>557</v>
      </c>
      <c r="W122" s="143" t="s">
        <v>447</v>
      </c>
      <c r="X122" s="140" t="s">
        <v>1546</v>
      </c>
      <c r="Y122" s="140" t="s">
        <v>1547</v>
      </c>
      <c r="Z122" s="140" t="e">
        <f>IF(VLOOKUP($Y122,'For Lookup'!$A:$B,1, FALSE)=$Y122,"Yes","No")</f>
        <v>#N/A</v>
      </c>
      <c r="AA122" s="140"/>
      <c r="AB122" s="140" t="e">
        <f t="array" aca="1" ref="AB122" ca="1">_xludf.IFS(F122="Deep Tech", INDEX('DT Short List'!U:U,MATCH(B122,'DT Short List'!A:A,0)),F122="Life Sciences",INDEX('LS Shortlist'!T:T,MATCH(B122,'LS Shortlist'!B:B,0)),F122="Digital Tech",INDEX('DiT - Shortlist'!T:T,MATCH(B122,'DiT - Shortlist'!B:B,0)))</f>
        <v>#NAME?</v>
      </c>
    </row>
    <row r="123" spans="1:28">
      <c r="A123" s="144" t="s">
        <v>529</v>
      </c>
      <c r="B123" s="144" t="s">
        <v>268</v>
      </c>
      <c r="C123" s="144" t="s">
        <v>1548</v>
      </c>
      <c r="D123" s="144" t="s">
        <v>1549</v>
      </c>
      <c r="E123" s="144" t="s">
        <v>1550</v>
      </c>
      <c r="F123" s="149" t="s">
        <v>4</v>
      </c>
      <c r="G123" s="144">
        <v>4.25</v>
      </c>
      <c r="H123" s="144" t="s">
        <v>18</v>
      </c>
      <c r="I123" s="144" t="s">
        <v>460</v>
      </c>
      <c r="J123" s="144" t="s">
        <v>1551</v>
      </c>
      <c r="K123" s="144">
        <v>4</v>
      </c>
      <c r="L123" s="144" t="s">
        <v>462</v>
      </c>
      <c r="M123" s="144" t="s">
        <v>1552</v>
      </c>
      <c r="N123" s="144">
        <v>4.5</v>
      </c>
      <c r="O123" s="144" t="s">
        <v>478</v>
      </c>
      <c r="P123" s="147">
        <v>6000000</v>
      </c>
      <c r="Q123" s="144" t="s">
        <v>452</v>
      </c>
      <c r="R123" s="144" t="s">
        <v>1553</v>
      </c>
      <c r="S123" s="144"/>
      <c r="T123" s="144" t="s">
        <v>1554</v>
      </c>
      <c r="U123" s="145" t="s">
        <v>481</v>
      </c>
      <c r="V123" s="145"/>
      <c r="W123" s="145"/>
      <c r="X123" s="144" t="s">
        <v>1555</v>
      </c>
      <c r="Y123" s="144" t="s">
        <v>1556</v>
      </c>
      <c r="Z123" s="144" t="e">
        <f>IF(VLOOKUP($Y123,'For Lookup'!$A:$B,1, FALSE)=$Y123,"Yes","No")</f>
        <v>#N/A</v>
      </c>
      <c r="AA123" s="144"/>
      <c r="AB123" s="144" t="e">
        <f t="array" aca="1" ref="AB123" ca="1">_xludf.IFS(F123="Deep Tech", INDEX('DT Short List'!U:U,MATCH(B123,'DT Short List'!A:A,0)),F123="Life Sciences",INDEX('LS Shortlist'!T:T,MATCH(B123,'LS Shortlist'!B:B,0)),F123="Digital Tech",INDEX('DiT - Shortlist'!T:T,MATCH(B123,'DiT - Shortlist'!B:B,0)))</f>
        <v>#NAME?</v>
      </c>
    </row>
    <row r="124" spans="1:28">
      <c r="A124" s="140" t="s">
        <v>907</v>
      </c>
      <c r="B124" s="140" t="s">
        <v>269</v>
      </c>
      <c r="C124" s="140" t="s">
        <v>1557</v>
      </c>
      <c r="D124" s="140" t="s">
        <v>1558</v>
      </c>
      <c r="E124" s="140" t="s">
        <v>1559</v>
      </c>
      <c r="F124" s="149" t="s">
        <v>4</v>
      </c>
      <c r="G124" s="140">
        <v>4.25</v>
      </c>
      <c r="H124" s="140" t="s">
        <v>18</v>
      </c>
      <c r="I124" s="140" t="s">
        <v>727</v>
      </c>
      <c r="J124" s="140" t="s">
        <v>1560</v>
      </c>
      <c r="K124" s="140">
        <v>4.5</v>
      </c>
      <c r="L124" s="140" t="s">
        <v>449</v>
      </c>
      <c r="M124" s="140" t="s">
        <v>1561</v>
      </c>
      <c r="N124" s="140">
        <v>4</v>
      </c>
      <c r="O124" s="140" t="s">
        <v>451</v>
      </c>
      <c r="P124" s="140">
        <v>6000000</v>
      </c>
      <c r="Q124" s="140" t="s">
        <v>452</v>
      </c>
      <c r="R124" s="140" t="s">
        <v>452</v>
      </c>
      <c r="S124" s="140" t="s">
        <v>1562</v>
      </c>
      <c r="T124" s="140" t="s">
        <v>1563</v>
      </c>
      <c r="U124" s="143" t="s">
        <v>481</v>
      </c>
      <c r="V124" s="143"/>
      <c r="W124" s="143" t="s">
        <v>1562</v>
      </c>
      <c r="X124" s="140" t="s">
        <v>1020</v>
      </c>
      <c r="Y124" s="140" t="s">
        <v>1564</v>
      </c>
      <c r="Z124" s="140" t="e">
        <f>IF(VLOOKUP($Y124,'For Lookup'!$A:$B,1, FALSE)=$Y124,"Yes","No")</f>
        <v>#N/A</v>
      </c>
      <c r="AA124" s="140"/>
      <c r="AB124" s="140" t="e">
        <f t="array" aca="1" ref="AB124" ca="1">_xludf.IFS(F124="Deep Tech", INDEX('DT Short List'!U:U,MATCH(B124,'DT Short List'!A:A,0)),F124="Life Sciences",INDEX('LS Shortlist'!T:T,MATCH(B124,'LS Shortlist'!B:B,0)),F124="Digital Tech",INDEX('DiT - Shortlist'!T:T,MATCH(B124,'DiT - Shortlist'!B:B,0)))</f>
        <v>#NAME?</v>
      </c>
    </row>
    <row r="125" spans="1:28">
      <c r="A125" s="144" t="s">
        <v>907</v>
      </c>
      <c r="B125" s="144" t="s">
        <v>270</v>
      </c>
      <c r="C125" s="144" t="s">
        <v>1565</v>
      </c>
      <c r="D125" s="144" t="s">
        <v>1566</v>
      </c>
      <c r="E125" s="144" t="s">
        <v>1567</v>
      </c>
      <c r="F125" s="149" t="s">
        <v>4</v>
      </c>
      <c r="G125" s="144">
        <v>4</v>
      </c>
      <c r="H125" s="144" t="s">
        <v>18</v>
      </c>
      <c r="I125" s="144" t="s">
        <v>1045</v>
      </c>
      <c r="J125" s="144" t="s">
        <v>1568</v>
      </c>
      <c r="K125" s="144">
        <v>4</v>
      </c>
      <c r="L125" s="144" t="s">
        <v>543</v>
      </c>
      <c r="M125" s="144" t="s">
        <v>1569</v>
      </c>
      <c r="N125" s="144">
        <v>4</v>
      </c>
      <c r="O125" s="144" t="s">
        <v>923</v>
      </c>
      <c r="P125" s="144">
        <v>5000000</v>
      </c>
      <c r="Q125" s="144" t="s">
        <v>452</v>
      </c>
      <c r="R125" s="144" t="s">
        <v>1570</v>
      </c>
      <c r="S125" s="144"/>
      <c r="T125" s="144"/>
      <c r="U125" s="145" t="s">
        <v>481</v>
      </c>
      <c r="V125" s="145"/>
      <c r="W125" s="145"/>
      <c r="X125" s="144" t="s">
        <v>1571</v>
      </c>
      <c r="Y125" s="144" t="s">
        <v>1572</v>
      </c>
      <c r="Z125" s="144" t="e">
        <f>IF(VLOOKUP($Y125,'For Lookup'!$A:$B,1, FALSE)=$Y125,"Yes","No")</f>
        <v>#N/A</v>
      </c>
      <c r="AA125" s="144"/>
      <c r="AB125" s="144" t="e">
        <f t="array" aca="1" ref="AB125" ca="1">_xludf.IFS(F125="Deep Tech", INDEX('DT Short List'!U:U,MATCH(B125,'DT Short List'!A:A,0)),F125="Life Sciences",INDEX('LS Shortlist'!T:T,MATCH(B125,'LS Shortlist'!B:B,0)),F125="Digital Tech",INDEX('DiT - Shortlist'!T:T,MATCH(B125,'DiT - Shortlist'!B:B,0)))</f>
        <v>#NAME?</v>
      </c>
    </row>
    <row r="126" spans="1:28">
      <c r="A126" s="140" t="s">
        <v>907</v>
      </c>
      <c r="B126" s="140" t="s">
        <v>272</v>
      </c>
      <c r="C126" s="140" t="s">
        <v>1573</v>
      </c>
      <c r="D126" s="140" t="s">
        <v>1574</v>
      </c>
      <c r="E126" s="140" t="s">
        <v>1575</v>
      </c>
      <c r="F126" s="149" t="s">
        <v>4</v>
      </c>
      <c r="G126" s="140">
        <v>4</v>
      </c>
      <c r="H126" s="140" t="s">
        <v>18</v>
      </c>
      <c r="I126" s="140" t="s">
        <v>727</v>
      </c>
      <c r="J126" s="140" t="s">
        <v>1576</v>
      </c>
      <c r="K126" s="140">
        <v>4</v>
      </c>
      <c r="L126" s="140" t="s">
        <v>447</v>
      </c>
      <c r="M126" s="140" t="s">
        <v>1577</v>
      </c>
      <c r="N126" s="140">
        <v>4</v>
      </c>
      <c r="O126" s="140" t="s">
        <v>1578</v>
      </c>
      <c r="P126" s="140" t="s">
        <v>1579</v>
      </c>
      <c r="Q126" s="140" t="s">
        <v>452</v>
      </c>
      <c r="R126" s="140" t="s">
        <v>1580</v>
      </c>
      <c r="S126" s="140"/>
      <c r="T126" s="140"/>
      <c r="U126" s="143" t="s">
        <v>454</v>
      </c>
      <c r="V126" s="143"/>
      <c r="W126" s="143"/>
      <c r="X126" s="140" t="s">
        <v>1581</v>
      </c>
      <c r="Y126" s="140" t="s">
        <v>1582</v>
      </c>
      <c r="Z126" s="140" t="e">
        <f>IF(VLOOKUP($Y126,'For Lookup'!$A:$B,1, FALSE)=$Y126,"Yes","No")</f>
        <v>#N/A</v>
      </c>
      <c r="AA126" s="140"/>
      <c r="AB126" s="140" t="e">
        <f t="array" aca="1" ref="AB126" ca="1">_xludf.IFS(F126="Deep Tech", INDEX('DT Short List'!U:U,MATCH(B126,'DT Short List'!A:A,0)),F126="Life Sciences",INDEX('LS Shortlist'!T:T,MATCH(B126,'LS Shortlist'!B:B,0)),F126="Digital Tech",INDEX('DiT - Shortlist'!T:T,MATCH(B126,'DiT - Shortlist'!B:B,0)))</f>
        <v>#NAME?</v>
      </c>
    </row>
    <row r="127" spans="1:28">
      <c r="A127" s="144" t="s">
        <v>484</v>
      </c>
      <c r="B127" s="144" t="s">
        <v>275</v>
      </c>
      <c r="C127" s="144" t="s">
        <v>1583</v>
      </c>
      <c r="D127" s="144" t="s">
        <v>1584</v>
      </c>
      <c r="E127" s="144" t="s">
        <v>1585</v>
      </c>
      <c r="F127" s="149" t="s">
        <v>4</v>
      </c>
      <c r="G127" s="144">
        <v>4.25</v>
      </c>
      <c r="H127" s="144" t="s">
        <v>18</v>
      </c>
      <c r="I127" s="144" t="s">
        <v>602</v>
      </c>
      <c r="J127" s="144" t="s">
        <v>1586</v>
      </c>
      <c r="K127" s="144">
        <v>4</v>
      </c>
      <c r="L127" s="144" t="s">
        <v>727</v>
      </c>
      <c r="M127" s="144" t="s">
        <v>1587</v>
      </c>
      <c r="N127" s="144">
        <v>4.5</v>
      </c>
      <c r="O127" s="144" t="s">
        <v>478</v>
      </c>
      <c r="P127" s="144">
        <v>4000000</v>
      </c>
      <c r="Q127" s="144" t="s">
        <v>465</v>
      </c>
      <c r="R127" s="144" t="s">
        <v>1588</v>
      </c>
      <c r="S127" s="144"/>
      <c r="T127" s="144"/>
      <c r="U127" s="145" t="s">
        <v>481</v>
      </c>
      <c r="V127" s="145"/>
      <c r="W127" s="145"/>
      <c r="X127" s="144" t="s">
        <v>1589</v>
      </c>
      <c r="Y127" s="144" t="s">
        <v>1590</v>
      </c>
      <c r="Z127" s="144" t="e">
        <f>IF(VLOOKUP($Y127,'For Lookup'!$A:$B,1, FALSE)=$Y127,"Yes","No")</f>
        <v>#N/A</v>
      </c>
      <c r="AA127" s="144"/>
      <c r="AB127" s="144" t="e">
        <f t="array" aca="1" ref="AB127" ca="1">_xludf.IFS(F127="Deep Tech", INDEX('DT Short List'!U:U,MATCH(B127,'DT Short List'!A:A,0)),F127="Life Sciences",INDEX('LS Shortlist'!T:T,MATCH(B127,'LS Shortlist'!B:B,0)),F127="Digital Tech",INDEX('DiT - Shortlist'!T:T,MATCH(B127,'DiT - Shortlist'!B:B,0)))</f>
        <v>#NAME?</v>
      </c>
    </row>
    <row r="128" spans="1:28">
      <c r="A128" s="140" t="s">
        <v>443</v>
      </c>
      <c r="B128" s="140" t="s">
        <v>309</v>
      </c>
      <c r="C128" s="140" t="s">
        <v>1591</v>
      </c>
      <c r="D128" s="140" t="s">
        <v>1592</v>
      </c>
      <c r="E128" s="140" t="s">
        <v>1593</v>
      </c>
      <c r="F128" s="149" t="s">
        <v>4</v>
      </c>
      <c r="G128" s="140">
        <v>4.75</v>
      </c>
      <c r="H128" s="140" t="s">
        <v>18</v>
      </c>
      <c r="I128" s="140" t="s">
        <v>727</v>
      </c>
      <c r="J128" s="140" t="s">
        <v>1594</v>
      </c>
      <c r="K128" s="140">
        <v>5</v>
      </c>
      <c r="L128" s="140" t="s">
        <v>1045</v>
      </c>
      <c r="M128" s="140" t="s">
        <v>1595</v>
      </c>
      <c r="N128" s="140">
        <v>4.5</v>
      </c>
      <c r="O128" s="140" t="s">
        <v>451</v>
      </c>
      <c r="P128" s="148">
        <v>1500000</v>
      </c>
      <c r="Q128" s="140" t="s">
        <v>452</v>
      </c>
      <c r="R128" s="140" t="s">
        <v>1119</v>
      </c>
      <c r="S128" s="140"/>
      <c r="T128" s="140" t="s">
        <v>1596</v>
      </c>
      <c r="U128" s="143" t="s">
        <v>454</v>
      </c>
      <c r="V128" s="143"/>
      <c r="W128" s="143"/>
      <c r="X128" s="140" t="s">
        <v>1597</v>
      </c>
      <c r="Y128" s="140" t="s">
        <v>1598</v>
      </c>
      <c r="Z128" s="140" t="str">
        <f>IF(VLOOKUP($Y128,'For Lookup'!$A:$B,1, FALSE)=$Y128,"Yes","No")</f>
        <v>Yes</v>
      </c>
      <c r="AA128" s="140"/>
      <c r="AB128" s="140" t="e">
        <f t="array" aca="1" ref="AB128" ca="1">_xludf.IFS(F128="Deep Tech", INDEX('DT Short List'!U:U,MATCH(B128,'DT Short List'!A:A,0)),F128="Life Sciences",INDEX('LS Shortlist'!T:T,MATCH(B128,'LS Shortlist'!B:B,0)),F128="Digital Tech",INDEX('DiT - Shortlist'!T:T,MATCH(B128,'DiT - Shortlist'!B:B,0)))</f>
        <v>#NAME?</v>
      </c>
    </row>
    <row r="129" spans="1:28">
      <c r="A129" s="144" t="s">
        <v>443</v>
      </c>
      <c r="B129" s="144" t="s">
        <v>277</v>
      </c>
      <c r="C129" s="144" t="s">
        <v>1599</v>
      </c>
      <c r="D129" s="144" t="s">
        <v>1600</v>
      </c>
      <c r="E129" s="144" t="s">
        <v>1601</v>
      </c>
      <c r="F129" s="150" t="s">
        <v>3</v>
      </c>
      <c r="G129" s="144">
        <v>4.75</v>
      </c>
      <c r="H129" s="144" t="s">
        <v>18</v>
      </c>
      <c r="I129" s="144" t="s">
        <v>460</v>
      </c>
      <c r="J129" s="144" t="s">
        <v>1602</v>
      </c>
      <c r="K129" s="144">
        <v>4.5</v>
      </c>
      <c r="L129" s="144" t="s">
        <v>462</v>
      </c>
      <c r="M129" s="144" t="s">
        <v>1603</v>
      </c>
      <c r="N129" s="144">
        <v>5</v>
      </c>
      <c r="O129" s="144"/>
      <c r="P129" s="144"/>
      <c r="Q129" s="144" t="s">
        <v>452</v>
      </c>
      <c r="R129" s="144" t="s">
        <v>1604</v>
      </c>
      <c r="S129" s="144"/>
      <c r="T129" s="144"/>
      <c r="U129" s="145" t="s">
        <v>481</v>
      </c>
      <c r="V129" s="145"/>
      <c r="W129" s="145"/>
      <c r="X129" s="144" t="s">
        <v>1605</v>
      </c>
      <c r="Y129" s="144" t="s">
        <v>1606</v>
      </c>
      <c r="Z129" s="144" t="str">
        <f>IF(VLOOKUP($Y129,'For Lookup'!$A:$B,1, FALSE)=$Y129,"Yes","No")</f>
        <v>Yes</v>
      </c>
      <c r="AA129" s="144"/>
      <c r="AB129" s="144" t="e">
        <f t="array" aca="1" ref="AB129" ca="1">_xludf.IFS(F129="Deep Tech", INDEX('DT Short List'!U:U,MATCH(B129,'DT Short List'!A:A,0)),F129="Life Sciences",INDEX('LS Shortlist'!T:T,MATCH(B129,'LS Shortlist'!B:B,0)),F129="Digital Tech",INDEX('DiT - Shortlist'!T:T,MATCH(B129,'DiT - Shortlist'!B:B,0)))</f>
        <v>#NAME?</v>
      </c>
    </row>
    <row r="130" spans="1:28">
      <c r="A130" s="140" t="s">
        <v>598</v>
      </c>
      <c r="B130" s="140" t="s">
        <v>282</v>
      </c>
      <c r="C130" s="140" t="s">
        <v>1607</v>
      </c>
      <c r="D130" s="140" t="s">
        <v>1608</v>
      </c>
      <c r="E130" s="140" t="s">
        <v>1609</v>
      </c>
      <c r="F130" s="150" t="s">
        <v>3</v>
      </c>
      <c r="G130" s="140">
        <v>4.25</v>
      </c>
      <c r="H130" s="140" t="s">
        <v>18</v>
      </c>
      <c r="I130" s="140" t="s">
        <v>460</v>
      </c>
      <c r="J130" s="140" t="s">
        <v>1610</v>
      </c>
      <c r="K130" s="140">
        <v>4</v>
      </c>
      <c r="L130" s="140" t="s">
        <v>462</v>
      </c>
      <c r="M130" s="140" t="s">
        <v>1611</v>
      </c>
      <c r="N130" s="140">
        <v>4.5</v>
      </c>
      <c r="O130" s="140" t="s">
        <v>451</v>
      </c>
      <c r="P130" s="151">
        <v>2500000</v>
      </c>
      <c r="Q130" s="140" t="s">
        <v>452</v>
      </c>
      <c r="R130" s="140" t="s">
        <v>452</v>
      </c>
      <c r="S130" s="140" t="s">
        <v>1612</v>
      </c>
      <c r="T130" s="140" t="s">
        <v>1613</v>
      </c>
      <c r="U130" s="143" t="s">
        <v>481</v>
      </c>
      <c r="V130" s="143"/>
      <c r="W130" s="143" t="s">
        <v>1612</v>
      </c>
      <c r="X130" s="140" t="s">
        <v>1614</v>
      </c>
      <c r="Y130" s="140" t="s">
        <v>1615</v>
      </c>
      <c r="Z130" s="140" t="e">
        <f>IF(VLOOKUP($Y130,'For Lookup'!$A:$B,1, FALSE)=$Y130,"Yes","No")</f>
        <v>#N/A</v>
      </c>
      <c r="AA130" s="140"/>
      <c r="AB130" s="140" t="e">
        <f t="array" aca="1" ref="AB130" ca="1">_xludf.IFS(F130="Deep Tech", INDEX('DT Short List'!U:U,MATCH(B130,'DT Short List'!A:A,0)),F130="Life Sciences",INDEX('LS Shortlist'!T:T,MATCH(B130,'LS Shortlist'!B:B,0)),F130="Digital Tech",INDEX('DiT - Shortlist'!T:T,MATCH(B130,'DiT - Shortlist'!B:B,0)))</f>
        <v>#NAME?</v>
      </c>
    </row>
    <row r="131" spans="1:28">
      <c r="A131" s="144" t="s">
        <v>503</v>
      </c>
      <c r="B131" s="144" t="s">
        <v>284</v>
      </c>
      <c r="C131" s="144" t="s">
        <v>1616</v>
      </c>
      <c r="D131" s="144" t="s">
        <v>1617</v>
      </c>
      <c r="E131" s="144" t="s">
        <v>1618</v>
      </c>
      <c r="F131" s="150" t="s">
        <v>3</v>
      </c>
      <c r="G131" s="144">
        <v>4</v>
      </c>
      <c r="H131" s="144" t="s">
        <v>18</v>
      </c>
      <c r="I131" s="144" t="s">
        <v>460</v>
      </c>
      <c r="J131" s="144" t="s">
        <v>1619</v>
      </c>
      <c r="K131" s="144">
        <v>4</v>
      </c>
      <c r="L131" s="144" t="s">
        <v>941</v>
      </c>
      <c r="M131" s="144" t="s">
        <v>1620</v>
      </c>
      <c r="N131" s="144">
        <v>4</v>
      </c>
      <c r="O131" s="144"/>
      <c r="P131" s="144"/>
      <c r="Q131" s="144" t="s">
        <v>452</v>
      </c>
      <c r="R131" s="144" t="s">
        <v>1621</v>
      </c>
      <c r="S131" s="144"/>
      <c r="T131" s="144"/>
      <c r="U131" s="145" t="s">
        <v>481</v>
      </c>
      <c r="V131" s="145"/>
      <c r="W131" s="145"/>
      <c r="X131" s="144" t="s">
        <v>1622</v>
      </c>
      <c r="Y131" s="144" t="s">
        <v>1623</v>
      </c>
      <c r="Z131" s="144" t="e">
        <f>IF(VLOOKUP($Y131,'For Lookup'!$A:$B,1, FALSE)=$Y131,"Yes","No")</f>
        <v>#N/A</v>
      </c>
      <c r="AA131" s="144"/>
      <c r="AB131" s="144" t="e">
        <f t="array" aca="1" ref="AB131" ca="1">_xludf.IFS(F131="Deep Tech", INDEX('DT Short List'!U:U,MATCH(B131,'DT Short List'!A:A,0)),F131="Life Sciences",INDEX('LS Shortlist'!T:T,MATCH(B131,'LS Shortlist'!B:B,0)),F131="Digital Tech",INDEX('DiT - Shortlist'!T:T,MATCH(B131,'DiT - Shortlist'!B:B,0)))</f>
        <v>#NAME?</v>
      </c>
    </row>
    <row r="132" spans="1:28">
      <c r="A132" s="140" t="s">
        <v>471</v>
      </c>
      <c r="B132" s="140" t="s">
        <v>285</v>
      </c>
      <c r="C132" s="140" t="s">
        <v>1624</v>
      </c>
      <c r="D132" s="140" t="s">
        <v>1625</v>
      </c>
      <c r="E132" s="140" t="s">
        <v>1626</v>
      </c>
      <c r="F132" s="150" t="s">
        <v>3</v>
      </c>
      <c r="G132" s="140">
        <v>5</v>
      </c>
      <c r="H132" s="140" t="s">
        <v>18</v>
      </c>
      <c r="I132" s="140" t="s">
        <v>460</v>
      </c>
      <c r="J132" s="140" t="s">
        <v>1627</v>
      </c>
      <c r="K132" s="140">
        <v>5</v>
      </c>
      <c r="L132" s="140" t="s">
        <v>488</v>
      </c>
      <c r="M132" s="140"/>
      <c r="N132" s="140">
        <v>5</v>
      </c>
      <c r="O132" s="140"/>
      <c r="P132" s="148">
        <v>15000000</v>
      </c>
      <c r="Q132" s="140" t="s">
        <v>452</v>
      </c>
      <c r="R132" s="140" t="s">
        <v>575</v>
      </c>
      <c r="S132" s="140"/>
      <c r="T132" s="140"/>
      <c r="U132" s="143" t="s">
        <v>481</v>
      </c>
      <c r="V132" s="143"/>
      <c r="W132" s="143"/>
      <c r="X132" s="140" t="s">
        <v>1628</v>
      </c>
      <c r="Y132" s="140" t="s">
        <v>1629</v>
      </c>
      <c r="Z132" s="140" t="str">
        <f>IF(VLOOKUP($Y132,'For Lookup'!$A:$B,1, FALSE)=$Y132,"Yes","No")</f>
        <v>Yes</v>
      </c>
      <c r="AA132" s="140"/>
      <c r="AB132" s="140" t="e">
        <f t="array" aca="1" ref="AB132" ca="1">_xludf.IFS(F132="Deep Tech", INDEX('DT Short List'!U:U,MATCH(B132,'DT Short List'!A:A,0)),F132="Life Sciences",INDEX('LS Shortlist'!T:T,MATCH(B132,'LS Shortlist'!B:B,0)),F132="Digital Tech",INDEX('DiT - Shortlist'!T:T,MATCH(B132,'DiT - Shortlist'!B:B,0)))</f>
        <v>#NAME?</v>
      </c>
    </row>
    <row r="133" spans="1:28">
      <c r="A133" s="144" t="s">
        <v>443</v>
      </c>
      <c r="B133" s="144" t="s">
        <v>286</v>
      </c>
      <c r="C133" s="144" t="s">
        <v>1630</v>
      </c>
      <c r="D133" s="144" t="s">
        <v>1631</v>
      </c>
      <c r="E133" s="144" t="s">
        <v>1632</v>
      </c>
      <c r="F133" s="150" t="s">
        <v>3</v>
      </c>
      <c r="G133" s="144">
        <v>4.5</v>
      </c>
      <c r="H133" s="144" t="s">
        <v>18</v>
      </c>
      <c r="I133" s="144" t="s">
        <v>460</v>
      </c>
      <c r="J133" s="144" t="s">
        <v>1633</v>
      </c>
      <c r="K133" s="144">
        <v>4.5</v>
      </c>
      <c r="L133" s="144" t="s">
        <v>462</v>
      </c>
      <c r="M133" s="144" t="s">
        <v>1634</v>
      </c>
      <c r="N133" s="144">
        <v>4.5</v>
      </c>
      <c r="O133" s="144" t="s">
        <v>478</v>
      </c>
      <c r="P133" s="146">
        <v>6000000</v>
      </c>
      <c r="Q133" s="144" t="s">
        <v>452</v>
      </c>
      <c r="R133" s="144" t="s">
        <v>1635</v>
      </c>
      <c r="S133" s="144"/>
      <c r="T133" s="144"/>
      <c r="U133" s="145" t="s">
        <v>454</v>
      </c>
      <c r="V133" s="145"/>
      <c r="W133" s="145"/>
      <c r="X133" s="144" t="s">
        <v>1636</v>
      </c>
      <c r="Y133" s="144" t="s">
        <v>1637</v>
      </c>
      <c r="Z133" s="144" t="e">
        <f>IF(VLOOKUP($Y133,'For Lookup'!$A:$B,1, FALSE)=$Y133,"Yes","No")</f>
        <v>#N/A</v>
      </c>
      <c r="AA133" s="144"/>
      <c r="AB133" s="144" t="e">
        <f t="array" aca="1" ref="AB133" ca="1">_xludf.IFS(F133="Deep Tech", INDEX('DT Short List'!U:U,MATCH(B133,'DT Short List'!A:A,0)),F133="Life Sciences",INDEX('LS Shortlist'!T:T,MATCH(B133,'LS Shortlist'!B:B,0)),F133="Digital Tech",INDEX('DiT - Shortlist'!T:T,MATCH(B133,'DiT - Shortlist'!B:B,0)))</f>
        <v>#NAME?</v>
      </c>
    </row>
    <row r="134" spans="1:28">
      <c r="A134" s="140" t="s">
        <v>503</v>
      </c>
      <c r="B134" s="140" t="s">
        <v>287</v>
      </c>
      <c r="C134" s="140" t="s">
        <v>1638</v>
      </c>
      <c r="D134" s="140" t="s">
        <v>1639</v>
      </c>
      <c r="E134" s="140" t="s">
        <v>1640</v>
      </c>
      <c r="F134" s="150" t="s">
        <v>3</v>
      </c>
      <c r="G134" s="140">
        <v>5</v>
      </c>
      <c r="H134" s="140" t="s">
        <v>18</v>
      </c>
      <c r="I134" s="140" t="s">
        <v>460</v>
      </c>
      <c r="J134" s="140"/>
      <c r="K134" s="140">
        <v>5</v>
      </c>
      <c r="L134" s="140" t="s">
        <v>488</v>
      </c>
      <c r="M134" s="140"/>
      <c r="N134" s="140">
        <v>5</v>
      </c>
      <c r="O134" s="140" t="s">
        <v>478</v>
      </c>
      <c r="P134" s="148">
        <v>16000000</v>
      </c>
      <c r="Q134" s="140" t="s">
        <v>452</v>
      </c>
      <c r="R134" s="140" t="s">
        <v>575</v>
      </c>
      <c r="S134" s="140"/>
      <c r="T134" s="140" t="s">
        <v>1641</v>
      </c>
      <c r="U134" s="143" t="s">
        <v>481</v>
      </c>
      <c r="V134" s="143"/>
      <c r="W134" s="143"/>
      <c r="X134" s="140" t="s">
        <v>1642</v>
      </c>
      <c r="Y134" s="140" t="s">
        <v>1643</v>
      </c>
      <c r="Z134" s="140" t="str">
        <f>IF(VLOOKUP($Y134,'For Lookup'!$A:$B,1, FALSE)=$Y134,"Yes","No")</f>
        <v>Yes</v>
      </c>
      <c r="AA134" s="140"/>
      <c r="AB134" s="140" t="e">
        <f t="array" aca="1" ref="AB134" ca="1">_xludf.IFS(F134="Deep Tech", INDEX('DT Short List'!U:U,MATCH(B134,'DT Short List'!A:A,0)),F134="Life Sciences",INDEX('LS Shortlist'!T:T,MATCH(B134,'LS Shortlist'!B:B,0)),F134="Digital Tech",INDEX('DiT - Shortlist'!T:T,MATCH(B134,'DiT - Shortlist'!B:B,0)))</f>
        <v>#NAME?</v>
      </c>
    </row>
    <row r="135" spans="1:28">
      <c r="A135" s="144" t="s">
        <v>471</v>
      </c>
      <c r="B135" s="144" t="s">
        <v>1644</v>
      </c>
      <c r="C135" s="144" t="s">
        <v>1645</v>
      </c>
      <c r="D135" s="144" t="s">
        <v>1646</v>
      </c>
      <c r="E135" s="144" t="s">
        <v>1647</v>
      </c>
      <c r="F135" s="150" t="s">
        <v>3</v>
      </c>
      <c r="G135" s="144">
        <v>4.25</v>
      </c>
      <c r="H135" s="144" t="s">
        <v>18</v>
      </c>
      <c r="I135" s="144" t="s">
        <v>460</v>
      </c>
      <c r="J135" s="144" t="s">
        <v>1648</v>
      </c>
      <c r="K135" s="144">
        <v>4.5</v>
      </c>
      <c r="L135" s="144" t="s">
        <v>941</v>
      </c>
      <c r="M135" s="144"/>
      <c r="N135" s="144">
        <v>4</v>
      </c>
      <c r="O135" s="144"/>
      <c r="P135" s="144"/>
      <c r="Q135" s="144" t="s">
        <v>452</v>
      </c>
      <c r="R135" s="144" t="s">
        <v>1119</v>
      </c>
      <c r="S135" s="144" t="s">
        <v>1649</v>
      </c>
      <c r="T135" s="144"/>
      <c r="U135" s="145"/>
      <c r="V135" s="145"/>
      <c r="W135" s="145"/>
      <c r="X135" s="144" t="s">
        <v>1650</v>
      </c>
      <c r="Y135" s="144" t="s">
        <v>1651</v>
      </c>
      <c r="Z135" s="144" t="e">
        <f>IF(VLOOKUP($Y135,'For Lookup'!$A:$B,1, FALSE)=$Y135,"Yes","No")</f>
        <v>#N/A</v>
      </c>
      <c r="AA135" s="144"/>
      <c r="AB135" s="144" t="e">
        <f t="array" aca="1" ref="AB135" ca="1">_xludf.IFS(F135="Deep Tech", INDEX('DT Short List'!U:U,MATCH(B135,'DT Short List'!A:A,0)),F135="Life Sciences",INDEX('LS Shortlist'!T:T,MATCH(B135,'LS Shortlist'!B:B,0)),F135="Digital Tech",INDEX('DiT - Shortlist'!T:T,MATCH(B135,'DiT - Shortlist'!B:B,0)))</f>
        <v>#NAME?</v>
      </c>
    </row>
    <row r="136" spans="1:28">
      <c r="A136" s="140" t="s">
        <v>529</v>
      </c>
      <c r="B136" s="140" t="s">
        <v>294</v>
      </c>
      <c r="C136" s="140" t="s">
        <v>1652</v>
      </c>
      <c r="D136" s="140" t="s">
        <v>1653</v>
      </c>
      <c r="E136" s="140"/>
      <c r="F136" s="150" t="s">
        <v>3</v>
      </c>
      <c r="G136" s="140">
        <v>4.5</v>
      </c>
      <c r="H136" s="140" t="s">
        <v>18</v>
      </c>
      <c r="I136" s="140" t="s">
        <v>460</v>
      </c>
      <c r="J136" s="140" t="s">
        <v>1654</v>
      </c>
      <c r="K136" s="140">
        <v>4.5</v>
      </c>
      <c r="L136" s="140" t="s">
        <v>941</v>
      </c>
      <c r="M136" s="140" t="s">
        <v>1655</v>
      </c>
      <c r="N136" s="140">
        <v>4.5</v>
      </c>
      <c r="O136" s="140" t="s">
        <v>1656</v>
      </c>
      <c r="P136" s="142">
        <v>10000000</v>
      </c>
      <c r="Q136" s="140" t="s">
        <v>454</v>
      </c>
      <c r="R136" s="140" t="s">
        <v>1657</v>
      </c>
      <c r="S136" s="140"/>
      <c r="T136" s="140"/>
      <c r="U136" s="143" t="s">
        <v>481</v>
      </c>
      <c r="V136" s="143" t="s">
        <v>557</v>
      </c>
      <c r="W136" s="143"/>
      <c r="X136" s="140" t="s">
        <v>1658</v>
      </c>
      <c r="Y136" s="140" t="s">
        <v>1659</v>
      </c>
      <c r="Z136" s="140" t="e">
        <f>IF(VLOOKUP($Y136,'For Lookup'!$A:$B,1, FALSE)=$Y136,"Yes","No")</f>
        <v>#N/A</v>
      </c>
      <c r="AA136" s="140"/>
      <c r="AB136" s="140" t="e">
        <f t="array" aca="1" ref="AB136" ca="1">_xludf.IFS(F136="Deep Tech", INDEX('DT Short List'!U:U,MATCH(B136,'DT Short List'!A:A,0)),F136="Life Sciences",INDEX('LS Shortlist'!T:T,MATCH(B136,'LS Shortlist'!B:B,0)),F136="Digital Tech",INDEX('DiT - Shortlist'!T:T,MATCH(B136,'DiT - Shortlist'!B:B,0)))</f>
        <v>#NAME?</v>
      </c>
    </row>
    <row r="137" spans="1:28">
      <c r="A137" s="144" t="s">
        <v>529</v>
      </c>
      <c r="B137" s="144" t="s">
        <v>296</v>
      </c>
      <c r="C137" s="144" t="s">
        <v>1660</v>
      </c>
      <c r="D137" s="144" t="s">
        <v>1661</v>
      </c>
      <c r="E137" s="144" t="s">
        <v>1662</v>
      </c>
      <c r="F137" s="150" t="s">
        <v>3</v>
      </c>
      <c r="G137" s="144">
        <v>4</v>
      </c>
      <c r="H137" s="144" t="s">
        <v>18</v>
      </c>
      <c r="I137" s="144" t="s">
        <v>488</v>
      </c>
      <c r="J137" s="144" t="s">
        <v>1663</v>
      </c>
      <c r="K137" s="144">
        <v>3.99</v>
      </c>
      <c r="L137" s="144" t="s">
        <v>941</v>
      </c>
      <c r="M137" s="144" t="s">
        <v>1664</v>
      </c>
      <c r="N137" s="144">
        <v>4</v>
      </c>
      <c r="O137" s="144"/>
      <c r="P137" s="144"/>
      <c r="Q137" s="144" t="s">
        <v>452</v>
      </c>
      <c r="R137" s="144" t="s">
        <v>452</v>
      </c>
      <c r="S137" s="144" t="s">
        <v>1665</v>
      </c>
      <c r="T137" s="144" t="s">
        <v>1666</v>
      </c>
      <c r="U137" s="145" t="s">
        <v>454</v>
      </c>
      <c r="V137" s="145"/>
      <c r="W137" s="145" t="s">
        <v>1665</v>
      </c>
      <c r="X137" s="144" t="s">
        <v>905</v>
      </c>
      <c r="Y137" s="144" t="s">
        <v>1667</v>
      </c>
      <c r="Z137" s="144" t="e">
        <f>IF(VLOOKUP($Y137,'For Lookup'!$A:$B,1, FALSE)=$Y137,"Yes","No")</f>
        <v>#N/A</v>
      </c>
      <c r="AA137" s="144"/>
      <c r="AB137" s="144" t="e">
        <f t="array" aca="1" ref="AB137" ca="1">_xludf.IFS(F137="Deep Tech", INDEX('DT Short List'!U:U,MATCH(B137,'DT Short List'!A:A,0)),F137="Life Sciences",INDEX('LS Shortlist'!T:T,MATCH(B137,'LS Shortlist'!B:B,0)),F137="Digital Tech",INDEX('DiT - Shortlist'!T:T,MATCH(B137,'DiT - Shortlist'!B:B,0)))</f>
        <v>#NAME?</v>
      </c>
    </row>
    <row r="138" spans="1:28">
      <c r="A138" s="140" t="s">
        <v>471</v>
      </c>
      <c r="B138" s="140" t="s">
        <v>298</v>
      </c>
      <c r="C138" s="140" t="s">
        <v>1668</v>
      </c>
      <c r="D138" s="140" t="s">
        <v>1669</v>
      </c>
      <c r="E138" s="140" t="s">
        <v>1670</v>
      </c>
      <c r="F138" s="150" t="s">
        <v>3</v>
      </c>
      <c r="G138" s="140">
        <v>5</v>
      </c>
      <c r="H138" s="140" t="s">
        <v>18</v>
      </c>
      <c r="I138" s="140" t="s">
        <v>460</v>
      </c>
      <c r="J138" s="140" t="s">
        <v>1671</v>
      </c>
      <c r="K138" s="140">
        <v>5</v>
      </c>
      <c r="L138" s="140" t="s">
        <v>462</v>
      </c>
      <c r="M138" s="140"/>
      <c r="N138" s="140">
        <v>5</v>
      </c>
      <c r="O138" s="140" t="s">
        <v>451</v>
      </c>
      <c r="P138" s="142">
        <v>2000000</v>
      </c>
      <c r="Q138" s="140" t="s">
        <v>452</v>
      </c>
      <c r="R138" s="140" t="s">
        <v>452</v>
      </c>
      <c r="S138" s="140"/>
      <c r="T138" s="140"/>
      <c r="U138" s="143" t="s">
        <v>481</v>
      </c>
      <c r="V138" s="143"/>
      <c r="W138" s="143"/>
      <c r="X138" s="140" t="s">
        <v>752</v>
      </c>
      <c r="Y138" s="140" t="s">
        <v>1672</v>
      </c>
      <c r="Z138" s="140" t="str">
        <f>IF(VLOOKUP($Y138,'For Lookup'!$A:$B,1, FALSE)=$Y138,"Yes","No")</f>
        <v>Yes</v>
      </c>
      <c r="AA138" s="140"/>
      <c r="AB138" s="140" t="e">
        <f t="array" aca="1" ref="AB138" ca="1">_xludf.IFS(F138="Deep Tech", INDEX('DT Short List'!U:U,MATCH(B138,'DT Short List'!A:A,0)),F138="Life Sciences",INDEX('LS Shortlist'!T:T,MATCH(B138,'LS Shortlist'!B:B,0)),F138="Digital Tech",INDEX('DiT - Shortlist'!T:T,MATCH(B138,'DiT - Shortlist'!B:B,0)))</f>
        <v>#NAME?</v>
      </c>
    </row>
    <row r="139" spans="1:28">
      <c r="A139" s="144" t="s">
        <v>529</v>
      </c>
      <c r="B139" s="144" t="s">
        <v>300</v>
      </c>
      <c r="C139" s="144" t="s">
        <v>1673</v>
      </c>
      <c r="D139" s="144" t="s">
        <v>1674</v>
      </c>
      <c r="E139" s="144" t="s">
        <v>1675</v>
      </c>
      <c r="F139" s="150" t="s">
        <v>3</v>
      </c>
      <c r="G139" s="144">
        <v>4.75</v>
      </c>
      <c r="H139" s="144" t="s">
        <v>18</v>
      </c>
      <c r="I139" s="144" t="s">
        <v>460</v>
      </c>
      <c r="J139" s="144" t="s">
        <v>1676</v>
      </c>
      <c r="K139" s="144">
        <v>4.5</v>
      </c>
      <c r="L139" s="144" t="s">
        <v>462</v>
      </c>
      <c r="M139" s="144" t="s">
        <v>1677</v>
      </c>
      <c r="N139" s="144">
        <v>5</v>
      </c>
      <c r="O139" s="144" t="s">
        <v>451</v>
      </c>
      <c r="P139" s="144">
        <v>10000000</v>
      </c>
      <c r="Q139" s="144" t="s">
        <v>452</v>
      </c>
      <c r="R139" s="144" t="s">
        <v>1678</v>
      </c>
      <c r="S139" s="144"/>
      <c r="T139" s="144" t="s">
        <v>1679</v>
      </c>
      <c r="U139" s="145" t="s">
        <v>481</v>
      </c>
      <c r="V139" s="145"/>
      <c r="W139" s="145"/>
      <c r="X139" s="144" t="s">
        <v>1680</v>
      </c>
      <c r="Y139" s="144" t="s">
        <v>1681</v>
      </c>
      <c r="Z139" s="144" t="str">
        <f>IF(VLOOKUP($Y139,'For Lookup'!$A:$B,1, FALSE)=$Y139,"Yes","No")</f>
        <v>Yes</v>
      </c>
      <c r="AA139" s="144"/>
      <c r="AB139" s="144" t="e">
        <f t="array" aca="1" ref="AB139" ca="1">_xludf.IFS(F139="Deep Tech", INDEX('DT Short List'!U:U,MATCH(B139,'DT Short List'!A:A,0)),F139="Life Sciences",INDEX('LS Shortlist'!T:T,MATCH(B139,'LS Shortlist'!B:B,0)),F139="Digital Tech",INDEX('DiT - Shortlist'!T:T,MATCH(B139,'DiT - Shortlist'!B:B,0)))</f>
        <v>#NAME?</v>
      </c>
    </row>
    <row r="140" spans="1:28">
      <c r="A140" s="140" t="s">
        <v>484</v>
      </c>
      <c r="B140" s="140" t="s">
        <v>301</v>
      </c>
      <c r="C140" s="140" t="s">
        <v>1682</v>
      </c>
      <c r="D140" s="140" t="s">
        <v>1683</v>
      </c>
      <c r="E140" s="140" t="s">
        <v>1684</v>
      </c>
      <c r="F140" s="150" t="s">
        <v>3</v>
      </c>
      <c r="G140" s="140">
        <v>5</v>
      </c>
      <c r="H140" s="140" t="s">
        <v>18</v>
      </c>
      <c r="I140" s="140" t="s">
        <v>460</v>
      </c>
      <c r="J140" s="140" t="s">
        <v>1685</v>
      </c>
      <c r="K140" s="140">
        <v>5</v>
      </c>
      <c r="L140" s="140" t="s">
        <v>941</v>
      </c>
      <c r="M140" s="140" t="s">
        <v>1686</v>
      </c>
      <c r="N140" s="140">
        <v>5</v>
      </c>
      <c r="O140" s="140"/>
      <c r="P140" s="140"/>
      <c r="Q140" s="140" t="s">
        <v>452</v>
      </c>
      <c r="R140" s="140" t="s">
        <v>1687</v>
      </c>
      <c r="S140" s="140" t="s">
        <v>725</v>
      </c>
      <c r="T140" s="140" t="s">
        <v>1688</v>
      </c>
      <c r="U140" s="143" t="s">
        <v>454</v>
      </c>
      <c r="V140" s="143"/>
      <c r="W140" s="143" t="s">
        <v>725</v>
      </c>
      <c r="X140" s="140" t="s">
        <v>1689</v>
      </c>
      <c r="Y140" s="140" t="s">
        <v>1690</v>
      </c>
      <c r="Z140" s="140" t="str">
        <f>IF(VLOOKUP($Y140,'For Lookup'!$A:$B,1, FALSE)=$Y140,"Yes","No")</f>
        <v>Yes</v>
      </c>
      <c r="AA140" s="140"/>
      <c r="AB140" s="140" t="e">
        <f t="array" aca="1" ref="AB140" ca="1">_xludf.IFS(F140="Deep Tech", INDEX('DT Short List'!U:U,MATCH(B140,'DT Short List'!A:A,0)),F140="Life Sciences",INDEX('LS Shortlist'!T:T,MATCH(B140,'LS Shortlist'!B:B,0)),F140="Digital Tech",INDEX('DiT - Shortlist'!T:T,MATCH(B140,'DiT - Shortlist'!B:B,0)))</f>
        <v>#NAME?</v>
      </c>
    </row>
    <row r="141" spans="1:28">
      <c r="A141" s="144" t="s">
        <v>529</v>
      </c>
      <c r="B141" s="144" t="s">
        <v>303</v>
      </c>
      <c r="C141" s="144" t="s">
        <v>1691</v>
      </c>
      <c r="D141" s="144" t="s">
        <v>1692</v>
      </c>
      <c r="E141" s="144" t="s">
        <v>1693</v>
      </c>
      <c r="F141" s="150" t="s">
        <v>3</v>
      </c>
      <c r="G141" s="144">
        <v>4.25</v>
      </c>
      <c r="H141" s="144" t="s">
        <v>18</v>
      </c>
      <c r="I141" s="144" t="s">
        <v>460</v>
      </c>
      <c r="J141" s="144" t="s">
        <v>1694</v>
      </c>
      <c r="K141" s="144">
        <v>4.5</v>
      </c>
      <c r="L141" s="144" t="s">
        <v>462</v>
      </c>
      <c r="M141" s="144" t="s">
        <v>1695</v>
      </c>
      <c r="N141" s="144">
        <v>4</v>
      </c>
      <c r="O141" s="144" t="s">
        <v>451</v>
      </c>
      <c r="P141" s="144" t="s">
        <v>1696</v>
      </c>
      <c r="Q141" s="144" t="s">
        <v>452</v>
      </c>
      <c r="R141" s="144" t="s">
        <v>452</v>
      </c>
      <c r="S141" s="144"/>
      <c r="T141" s="144"/>
      <c r="U141" s="145" t="s">
        <v>481</v>
      </c>
      <c r="V141" s="145"/>
      <c r="W141" s="145"/>
      <c r="X141" s="144" t="s">
        <v>1697</v>
      </c>
      <c r="Y141" s="144" t="s">
        <v>1698</v>
      </c>
      <c r="Z141" s="144" t="e">
        <f>IF(VLOOKUP($Y141,'For Lookup'!$A:$B,1, FALSE)=$Y141,"Yes","No")</f>
        <v>#N/A</v>
      </c>
      <c r="AA141" s="144"/>
      <c r="AB141" s="144" t="e">
        <f t="array" aca="1" ref="AB141" ca="1">_xludf.IFS(F141="Deep Tech", INDEX('DT Short List'!U:U,MATCH(B141,'DT Short List'!A:A,0)),F141="Life Sciences",INDEX('LS Shortlist'!T:T,MATCH(B141,'LS Shortlist'!B:B,0)),F141="Digital Tech",INDEX('DiT - Shortlist'!T:T,MATCH(B141,'DiT - Shortlist'!B:B,0)))</f>
        <v>#NAME?</v>
      </c>
    </row>
    <row r="142" spans="1:28">
      <c r="A142" s="140" t="s">
        <v>443</v>
      </c>
      <c r="B142" s="140" t="s">
        <v>310</v>
      </c>
      <c r="C142" s="140" t="s">
        <v>1699</v>
      </c>
      <c r="D142" s="140" t="s">
        <v>1700</v>
      </c>
      <c r="E142" s="140" t="s">
        <v>1701</v>
      </c>
      <c r="F142" s="150" t="s">
        <v>3</v>
      </c>
      <c r="G142" s="140">
        <v>4.5</v>
      </c>
      <c r="H142" s="140" t="s">
        <v>18</v>
      </c>
      <c r="I142" s="140" t="s">
        <v>460</v>
      </c>
      <c r="J142" s="140" t="s">
        <v>1702</v>
      </c>
      <c r="K142" s="140">
        <v>4.5</v>
      </c>
      <c r="L142" s="140" t="s">
        <v>462</v>
      </c>
      <c r="M142" s="140" t="s">
        <v>1703</v>
      </c>
      <c r="N142" s="140">
        <v>4.5</v>
      </c>
      <c r="O142" s="140" t="s">
        <v>451</v>
      </c>
      <c r="P142" s="148">
        <v>4000000</v>
      </c>
      <c r="Q142" s="140" t="s">
        <v>452</v>
      </c>
      <c r="R142" s="140" t="s">
        <v>1704</v>
      </c>
      <c r="S142" s="140"/>
      <c r="T142" s="140"/>
      <c r="U142" s="143" t="s">
        <v>454</v>
      </c>
      <c r="V142" s="143"/>
      <c r="W142" s="143"/>
      <c r="X142" s="140" t="s">
        <v>1705</v>
      </c>
      <c r="Y142" s="140" t="s">
        <v>1706</v>
      </c>
      <c r="Z142" s="140" t="e">
        <f>IF(VLOOKUP($Y142,'For Lookup'!$A:$B,1, FALSE)=$Y142,"Yes","No")</f>
        <v>#N/A</v>
      </c>
      <c r="AA142" s="140"/>
      <c r="AB142" s="140" t="e">
        <f t="array" aca="1" ref="AB142" ca="1">_xludf.IFS(F142="Deep Tech", INDEX('DT Short List'!U:U,MATCH(B142,'DT Short List'!A:A,0)),F142="Life Sciences",INDEX('LS Shortlist'!T:T,MATCH(B142,'LS Shortlist'!B:B,0)),F142="Digital Tech",INDEX('DiT - Shortlist'!T:T,MATCH(B142,'DiT - Shortlist'!B:B,0)))</f>
        <v>#NAME?</v>
      </c>
    </row>
    <row r="143" spans="1:28">
      <c r="A143" s="144" t="s">
        <v>471</v>
      </c>
      <c r="B143" s="144" t="s">
        <v>311</v>
      </c>
      <c r="C143" s="144" t="s">
        <v>1707</v>
      </c>
      <c r="D143" s="144" t="s">
        <v>1708</v>
      </c>
      <c r="E143" s="144" t="s">
        <v>1709</v>
      </c>
      <c r="F143" s="150" t="s">
        <v>3</v>
      </c>
      <c r="G143" s="144">
        <v>5</v>
      </c>
      <c r="H143" s="144" t="s">
        <v>18</v>
      </c>
      <c r="I143" s="144" t="s">
        <v>460</v>
      </c>
      <c r="J143" s="144" t="s">
        <v>1710</v>
      </c>
      <c r="K143" s="144">
        <v>5</v>
      </c>
      <c r="L143" s="144" t="s">
        <v>488</v>
      </c>
      <c r="M143" s="144" t="s">
        <v>1711</v>
      </c>
      <c r="N143" s="144">
        <v>5</v>
      </c>
      <c r="O143" s="144" t="s">
        <v>478</v>
      </c>
      <c r="P143" s="144" t="s">
        <v>1712</v>
      </c>
      <c r="Q143" s="144" t="s">
        <v>465</v>
      </c>
      <c r="R143" s="144" t="s">
        <v>452</v>
      </c>
      <c r="S143" s="144" t="s">
        <v>1713</v>
      </c>
      <c r="T143" s="144"/>
      <c r="U143" s="145" t="s">
        <v>481</v>
      </c>
      <c r="V143" s="145"/>
      <c r="W143" s="145" t="s">
        <v>1713</v>
      </c>
      <c r="X143" s="144" t="s">
        <v>1714</v>
      </c>
      <c r="Y143" s="144" t="s">
        <v>1715</v>
      </c>
      <c r="Z143" s="144" t="str">
        <f>IF(VLOOKUP($Y143,'For Lookup'!$A:$B,1, FALSE)=$Y143,"Yes","No")</f>
        <v>Yes</v>
      </c>
      <c r="AA143" s="144"/>
      <c r="AB143" s="144" t="e">
        <f t="array" aca="1" ref="AB143" ca="1">_xludf.IFS(F143="Deep Tech", INDEX('DT Short List'!U:U,MATCH(B143,'DT Short List'!A:A,0)),F143="Life Sciences",INDEX('LS Shortlist'!T:T,MATCH(B143,'LS Shortlist'!B:B,0)),F143="Digital Tech",INDEX('DiT - Shortlist'!T:T,MATCH(B143,'DiT - Shortlist'!B:B,0)))</f>
        <v>#NAME?</v>
      </c>
    </row>
    <row r="144" spans="1:28">
      <c r="A144" s="140" t="s">
        <v>471</v>
      </c>
      <c r="B144" s="140" t="s">
        <v>313</v>
      </c>
      <c r="C144" s="140" t="s">
        <v>1716</v>
      </c>
      <c r="D144" s="140" t="s">
        <v>1717</v>
      </c>
      <c r="E144" s="140" t="s">
        <v>1718</v>
      </c>
      <c r="F144" s="150" t="s">
        <v>3</v>
      </c>
      <c r="G144" s="140">
        <v>4.75</v>
      </c>
      <c r="H144" s="140" t="s">
        <v>18</v>
      </c>
      <c r="I144" s="140" t="s">
        <v>460</v>
      </c>
      <c r="J144" s="140" t="s">
        <v>1719</v>
      </c>
      <c r="K144" s="140">
        <v>5</v>
      </c>
      <c r="L144" s="140" t="s">
        <v>462</v>
      </c>
      <c r="M144" s="140" t="s">
        <v>1720</v>
      </c>
      <c r="N144" s="140">
        <v>4.5</v>
      </c>
      <c r="O144" s="140" t="s">
        <v>478</v>
      </c>
      <c r="P144" s="142">
        <v>6000000</v>
      </c>
      <c r="Q144" s="140" t="s">
        <v>452</v>
      </c>
      <c r="R144" s="140" t="s">
        <v>1721</v>
      </c>
      <c r="S144" s="140"/>
      <c r="T144" s="140"/>
      <c r="U144" s="143" t="s">
        <v>481</v>
      </c>
      <c r="V144" s="143"/>
      <c r="W144" s="143"/>
      <c r="X144" s="140" t="s">
        <v>1722</v>
      </c>
      <c r="Y144" s="140" t="s">
        <v>1723</v>
      </c>
      <c r="Z144" s="140" t="str">
        <f>IF(VLOOKUP($Y144,'For Lookup'!$A:$B,1, FALSE)=$Y144,"Yes","No")</f>
        <v>Yes</v>
      </c>
      <c r="AA144" s="140"/>
      <c r="AB144" s="140" t="e">
        <f t="array" aca="1" ref="AB144" ca="1">_xludf.IFS(F144="Deep Tech", INDEX('DT Short List'!U:U,MATCH(B144,'DT Short List'!A:A,0)),F144="Life Sciences",INDEX('LS Shortlist'!T:T,MATCH(B144,'LS Shortlist'!B:B,0)),F144="Digital Tech",INDEX('DiT - Shortlist'!T:T,MATCH(B144,'DiT - Shortlist'!B:B,0)))</f>
        <v>#NAME?</v>
      </c>
    </row>
    <row r="145" spans="1:28">
      <c r="A145" s="144" t="s">
        <v>598</v>
      </c>
      <c r="B145" s="144" t="s">
        <v>314</v>
      </c>
      <c r="C145" s="144" t="s">
        <v>1724</v>
      </c>
      <c r="D145" s="144" t="s">
        <v>1725</v>
      </c>
      <c r="E145" s="144" t="s">
        <v>1726</v>
      </c>
      <c r="F145" s="150" t="s">
        <v>3</v>
      </c>
      <c r="G145" s="144">
        <v>5</v>
      </c>
      <c r="H145" s="144" t="s">
        <v>18</v>
      </c>
      <c r="I145" s="144" t="s">
        <v>725</v>
      </c>
      <c r="J145" s="144" t="s">
        <v>1727</v>
      </c>
      <c r="K145" s="144">
        <v>5</v>
      </c>
      <c r="L145" s="144" t="s">
        <v>462</v>
      </c>
      <c r="M145" s="144" t="s">
        <v>1728</v>
      </c>
      <c r="N145" s="144">
        <v>5</v>
      </c>
      <c r="O145" s="144" t="s">
        <v>478</v>
      </c>
      <c r="P145" s="147">
        <v>15000000</v>
      </c>
      <c r="Q145" s="144" t="s">
        <v>465</v>
      </c>
      <c r="R145" s="144" t="s">
        <v>1729</v>
      </c>
      <c r="S145" s="144"/>
      <c r="T145" s="144" t="s">
        <v>1730</v>
      </c>
      <c r="U145" s="145" t="s">
        <v>481</v>
      </c>
      <c r="V145" s="145"/>
      <c r="W145" s="145"/>
      <c r="X145" s="144" t="s">
        <v>1731</v>
      </c>
      <c r="Y145" s="144" t="s">
        <v>1732</v>
      </c>
      <c r="Z145" s="144" t="str">
        <f>IF(VLOOKUP($Y145,'For Lookup'!$A:$B,1, FALSE)=$Y145,"Yes","No")</f>
        <v>Yes</v>
      </c>
      <c r="AA145" s="144"/>
      <c r="AB145" s="144" t="e">
        <f t="array" aca="1" ref="AB145" ca="1">_xludf.IFS(F145="Deep Tech", INDEX('DT Short List'!U:U,MATCH(B145,'DT Short List'!A:A,0)),F145="Life Sciences",INDEX('LS Shortlist'!T:T,MATCH(B145,'LS Shortlist'!B:B,0)),F145="Digital Tech",INDEX('DiT - Shortlist'!T:T,MATCH(B145,'DiT - Shortlist'!B:B,0)))</f>
        <v>#NAME?</v>
      </c>
    </row>
    <row r="146" spans="1:28">
      <c r="A146" s="140" t="s">
        <v>443</v>
      </c>
      <c r="B146" s="140" t="s">
        <v>315</v>
      </c>
      <c r="C146" s="140" t="s">
        <v>1733</v>
      </c>
      <c r="D146" s="140" t="s">
        <v>1734</v>
      </c>
      <c r="E146" s="140" t="s">
        <v>1735</v>
      </c>
      <c r="F146" s="150" t="s">
        <v>3</v>
      </c>
      <c r="G146" s="140">
        <v>4</v>
      </c>
      <c r="H146" s="140" t="s">
        <v>18</v>
      </c>
      <c r="I146" s="140" t="s">
        <v>460</v>
      </c>
      <c r="J146" s="140" t="s">
        <v>1736</v>
      </c>
      <c r="K146" s="140">
        <v>4</v>
      </c>
      <c r="L146" s="140" t="s">
        <v>462</v>
      </c>
      <c r="M146" s="140" t="s">
        <v>1737</v>
      </c>
      <c r="N146" s="140">
        <v>4</v>
      </c>
      <c r="O146" s="140"/>
      <c r="P146" s="140"/>
      <c r="Q146" s="140" t="s">
        <v>452</v>
      </c>
      <c r="R146" s="140" t="s">
        <v>1738</v>
      </c>
      <c r="S146" s="140" t="s">
        <v>1739</v>
      </c>
      <c r="T146" s="140"/>
      <c r="U146" s="143" t="s">
        <v>454</v>
      </c>
      <c r="V146" s="143"/>
      <c r="W146" s="143" t="s">
        <v>1739</v>
      </c>
      <c r="X146" s="140" t="s">
        <v>1740</v>
      </c>
      <c r="Y146" s="140" t="s">
        <v>1741</v>
      </c>
      <c r="Z146" s="140" t="e">
        <f>IF(VLOOKUP($Y146,'For Lookup'!$A:$B,1, FALSE)=$Y146,"Yes","No")</f>
        <v>#N/A</v>
      </c>
      <c r="AA146" s="140"/>
      <c r="AB146" s="140" t="e">
        <f t="array" aca="1" ref="AB146" ca="1">_xludf.IFS(F146="Deep Tech", INDEX('DT Short List'!U:U,MATCH(B146,'DT Short List'!A:A,0)),F146="Life Sciences",INDEX('LS Shortlist'!T:T,MATCH(B146,'LS Shortlist'!B:B,0)),F146="Digital Tech",INDEX('DiT - Shortlist'!T:T,MATCH(B146,'DiT - Shortlist'!B:B,0)))</f>
        <v>#NAME?</v>
      </c>
    </row>
    <row r="147" spans="1:28">
      <c r="A147" s="144" t="s">
        <v>471</v>
      </c>
      <c r="B147" s="144" t="s">
        <v>316</v>
      </c>
      <c r="C147" s="144" t="s">
        <v>1742</v>
      </c>
      <c r="D147" s="144" t="s">
        <v>1743</v>
      </c>
      <c r="E147" s="144" t="s">
        <v>1744</v>
      </c>
      <c r="F147" s="150" t="s">
        <v>3</v>
      </c>
      <c r="G147" s="144">
        <v>4.5</v>
      </c>
      <c r="H147" s="144" t="s">
        <v>18</v>
      </c>
      <c r="I147" s="144" t="s">
        <v>460</v>
      </c>
      <c r="J147" s="144" t="s">
        <v>1745</v>
      </c>
      <c r="K147" s="144">
        <v>4.5</v>
      </c>
      <c r="L147" s="144" t="s">
        <v>462</v>
      </c>
      <c r="M147" s="144" t="s">
        <v>1746</v>
      </c>
      <c r="N147" s="144">
        <v>4.5</v>
      </c>
      <c r="O147" s="144" t="s">
        <v>478</v>
      </c>
      <c r="P147" s="146">
        <v>20000000</v>
      </c>
      <c r="Q147" s="144" t="s">
        <v>454</v>
      </c>
      <c r="R147" s="144" t="s">
        <v>1747</v>
      </c>
      <c r="S147" s="144"/>
      <c r="T147" s="144"/>
      <c r="U147" s="145" t="s">
        <v>454</v>
      </c>
      <c r="V147" s="145" t="s">
        <v>947</v>
      </c>
      <c r="W147" s="145"/>
      <c r="X147" s="144" t="s">
        <v>1748</v>
      </c>
      <c r="Y147" s="144" t="s">
        <v>1749</v>
      </c>
      <c r="Z147" s="144" t="e">
        <f>IF(VLOOKUP($Y147,'For Lookup'!$A:$B,1, FALSE)=$Y147,"Yes","No")</f>
        <v>#N/A</v>
      </c>
      <c r="AA147" s="144"/>
      <c r="AB147" s="144" t="e">
        <f t="array" aca="1" ref="AB147" ca="1">_xludf.IFS(F147="Deep Tech", INDEX('DT Short List'!U:U,MATCH(B147,'DT Short List'!A:A,0)),F147="Life Sciences",INDEX('LS Shortlist'!T:T,MATCH(B147,'LS Shortlist'!B:B,0)),F147="Digital Tech",INDEX('DiT - Shortlist'!T:T,MATCH(B147,'DiT - Shortlist'!B:B,0)))</f>
        <v>#NAME?</v>
      </c>
    </row>
    <row r="148" spans="1:28">
      <c r="A148" s="140" t="s">
        <v>443</v>
      </c>
      <c r="B148" s="140" t="s">
        <v>317</v>
      </c>
      <c r="C148" s="140" t="s">
        <v>1750</v>
      </c>
      <c r="D148" s="140" t="s">
        <v>1751</v>
      </c>
      <c r="E148" s="140" t="s">
        <v>1752</v>
      </c>
      <c r="F148" s="150" t="s">
        <v>3</v>
      </c>
      <c r="G148" s="140">
        <v>4.25</v>
      </c>
      <c r="H148" s="140" t="s">
        <v>18</v>
      </c>
      <c r="I148" s="140" t="s">
        <v>460</v>
      </c>
      <c r="J148" s="140" t="s">
        <v>1753</v>
      </c>
      <c r="K148" s="140">
        <v>4.5</v>
      </c>
      <c r="L148" s="140" t="s">
        <v>462</v>
      </c>
      <c r="M148" s="140" t="s">
        <v>1754</v>
      </c>
      <c r="N148" s="140">
        <v>4</v>
      </c>
      <c r="O148" s="140" t="s">
        <v>451</v>
      </c>
      <c r="P148" s="142">
        <v>4000000</v>
      </c>
      <c r="Q148" s="140" t="s">
        <v>452</v>
      </c>
      <c r="R148" s="140" t="s">
        <v>1755</v>
      </c>
      <c r="S148" s="140" t="s">
        <v>1756</v>
      </c>
      <c r="T148" s="140"/>
      <c r="U148" s="143" t="s">
        <v>481</v>
      </c>
      <c r="V148" s="143"/>
      <c r="W148" s="143" t="s">
        <v>1756</v>
      </c>
      <c r="X148" s="140" t="s">
        <v>1020</v>
      </c>
      <c r="Y148" s="140" t="s">
        <v>1757</v>
      </c>
      <c r="Z148" s="140" t="e">
        <f>IF(VLOOKUP($Y148,'For Lookup'!$A:$B,1, FALSE)=$Y148,"Yes","No")</f>
        <v>#N/A</v>
      </c>
      <c r="AA148" s="140"/>
      <c r="AB148" s="140" t="e">
        <f t="array" aca="1" ref="AB148" ca="1">_xludf.IFS(F148="Deep Tech", INDEX('DT Short List'!U:U,MATCH(B148,'DT Short List'!A:A,0)),F148="Life Sciences",INDEX('LS Shortlist'!T:T,MATCH(B148,'LS Shortlist'!B:B,0)),F148="Digital Tech",INDEX('DiT - Shortlist'!T:T,MATCH(B148,'DiT - Shortlist'!B:B,0)))</f>
        <v>#NAME?</v>
      </c>
    </row>
    <row r="149" spans="1:28">
      <c r="A149" s="144" t="s">
        <v>443</v>
      </c>
      <c r="B149" s="144" t="s">
        <v>319</v>
      </c>
      <c r="C149" s="144" t="s">
        <v>1758</v>
      </c>
      <c r="D149" s="144" t="s">
        <v>1759</v>
      </c>
      <c r="E149" s="144" t="s">
        <v>1760</v>
      </c>
      <c r="F149" s="150" t="s">
        <v>3</v>
      </c>
      <c r="G149" s="144">
        <v>4</v>
      </c>
      <c r="H149" s="144" t="s">
        <v>18</v>
      </c>
      <c r="I149" s="144" t="s">
        <v>460</v>
      </c>
      <c r="J149" s="144" t="s">
        <v>1761</v>
      </c>
      <c r="K149" s="144">
        <v>4</v>
      </c>
      <c r="L149" s="144" t="s">
        <v>941</v>
      </c>
      <c r="M149" s="144" t="s">
        <v>1762</v>
      </c>
      <c r="N149" s="144">
        <v>4</v>
      </c>
      <c r="O149" s="144" t="s">
        <v>478</v>
      </c>
      <c r="P149" s="144" t="s">
        <v>1763</v>
      </c>
      <c r="Q149" s="144" t="s">
        <v>452</v>
      </c>
      <c r="R149" s="144" t="s">
        <v>452</v>
      </c>
      <c r="S149" s="144"/>
      <c r="T149" s="144"/>
      <c r="U149" s="145" t="s">
        <v>481</v>
      </c>
      <c r="V149" s="145"/>
      <c r="W149" s="145"/>
      <c r="X149" s="144" t="s">
        <v>1764</v>
      </c>
      <c r="Y149" s="144" t="s">
        <v>1765</v>
      </c>
      <c r="Z149" s="144" t="e">
        <f>IF(VLOOKUP($Y149,'For Lookup'!$A:$B,1, FALSE)=$Y149,"Yes","No")</f>
        <v>#N/A</v>
      </c>
      <c r="AA149" s="144"/>
      <c r="AB149" s="144" t="e">
        <f t="array" aca="1" ref="AB149" ca="1">_xludf.IFS(F149="Deep Tech", INDEX('DT Short List'!U:U,MATCH(B149,'DT Short List'!A:A,0)),F149="Life Sciences",INDEX('LS Shortlist'!T:T,MATCH(B149,'LS Shortlist'!B:B,0)),F149="Digital Tech",INDEX('DiT - Shortlist'!T:T,MATCH(B149,'DiT - Shortlist'!B:B,0)))</f>
        <v>#NAME?</v>
      </c>
    </row>
    <row r="150" spans="1:28">
      <c r="A150" s="140" t="s">
        <v>471</v>
      </c>
      <c r="B150" s="140" t="s">
        <v>320</v>
      </c>
      <c r="C150" s="140" t="s">
        <v>1766</v>
      </c>
      <c r="D150" s="140" t="s">
        <v>1767</v>
      </c>
      <c r="E150" s="140" t="s">
        <v>1768</v>
      </c>
      <c r="F150" s="150" t="s">
        <v>3</v>
      </c>
      <c r="G150" s="140">
        <v>4.25</v>
      </c>
      <c r="H150" s="140" t="s">
        <v>18</v>
      </c>
      <c r="I150" s="140" t="s">
        <v>460</v>
      </c>
      <c r="J150" s="140" t="s">
        <v>1769</v>
      </c>
      <c r="K150" s="140">
        <v>4</v>
      </c>
      <c r="L150" s="140" t="s">
        <v>462</v>
      </c>
      <c r="M150" s="140" t="s">
        <v>1770</v>
      </c>
      <c r="N150" s="140">
        <v>4.5</v>
      </c>
      <c r="O150" s="140" t="s">
        <v>451</v>
      </c>
      <c r="P150" s="140">
        <v>2000000</v>
      </c>
      <c r="Q150" s="140" t="s">
        <v>465</v>
      </c>
      <c r="R150" s="140" t="s">
        <v>1771</v>
      </c>
      <c r="S150" s="140"/>
      <c r="T150" s="140"/>
      <c r="U150" s="143" t="s">
        <v>454</v>
      </c>
      <c r="V150" s="143"/>
      <c r="W150" s="143"/>
      <c r="X150" s="140" t="s">
        <v>1772</v>
      </c>
      <c r="Y150" s="140" t="s">
        <v>1773</v>
      </c>
      <c r="Z150" s="140" t="e">
        <f>IF(VLOOKUP($Y150,'For Lookup'!$A:$B,1, FALSE)=$Y150,"Yes","No")</f>
        <v>#N/A</v>
      </c>
      <c r="AA150" s="140"/>
      <c r="AB150" s="140" t="e">
        <f t="array" aca="1" ref="AB150" ca="1">_xludf.IFS(F150="Deep Tech", INDEX('DT Short List'!U:U,MATCH(B150,'DT Short List'!A:A,0)),F150="Life Sciences",INDEX('LS Shortlist'!T:T,MATCH(B150,'LS Shortlist'!B:B,0)),F150="Digital Tech",INDEX('DiT - Shortlist'!T:T,MATCH(B150,'DiT - Shortlist'!B:B,0)))</f>
        <v>#NAME?</v>
      </c>
    </row>
    <row r="151" spans="1:28">
      <c r="A151" s="144" t="s">
        <v>443</v>
      </c>
      <c r="B151" s="144" t="s">
        <v>321</v>
      </c>
      <c r="C151" s="144" t="s">
        <v>1774</v>
      </c>
      <c r="D151" s="144" t="s">
        <v>1775</v>
      </c>
      <c r="E151" s="144" t="s">
        <v>1776</v>
      </c>
      <c r="F151" s="150" t="s">
        <v>3</v>
      </c>
      <c r="G151" s="144">
        <v>4.63</v>
      </c>
      <c r="H151" s="144" t="s">
        <v>18</v>
      </c>
      <c r="I151" s="144" t="s">
        <v>488</v>
      </c>
      <c r="J151" s="144"/>
      <c r="K151" s="144">
        <v>4.5</v>
      </c>
      <c r="L151" s="144" t="s">
        <v>941</v>
      </c>
      <c r="M151" s="144"/>
      <c r="N151" s="144">
        <v>4.75</v>
      </c>
      <c r="O151" s="144" t="s">
        <v>451</v>
      </c>
      <c r="P151" s="147">
        <v>10000000</v>
      </c>
      <c r="Q151" s="144" t="s">
        <v>452</v>
      </c>
      <c r="R151" s="144" t="s">
        <v>575</v>
      </c>
      <c r="S151" s="144" t="s">
        <v>1777</v>
      </c>
      <c r="T151" s="144" t="s">
        <v>1778</v>
      </c>
      <c r="U151" s="145" t="s">
        <v>481</v>
      </c>
      <c r="V151" s="145"/>
      <c r="W151" s="145" t="s">
        <v>1777</v>
      </c>
      <c r="X151" s="144" t="s">
        <v>752</v>
      </c>
      <c r="Y151" s="144" t="s">
        <v>1779</v>
      </c>
      <c r="Z151" s="144" t="str">
        <f>IF(VLOOKUP($Y151,'For Lookup'!$A:$B,1, FALSE)=$Y151,"Yes","No")</f>
        <v>Yes</v>
      </c>
      <c r="AA151" s="144"/>
      <c r="AB151" s="144" t="e">
        <f t="array" aca="1" ref="AB151" ca="1">_xludf.IFS(F151="Deep Tech", INDEX('DT Short List'!U:U,MATCH(B151,'DT Short List'!A:A,0)),F151="Life Sciences",INDEX('LS Shortlist'!T:T,MATCH(B151,'LS Shortlist'!B:B,0)),F151="Digital Tech",INDEX('DiT - Shortlist'!T:T,MATCH(B151,'DiT - Shortlist'!B:B,0)))</f>
        <v>#NAME?</v>
      </c>
    </row>
    <row r="152" spans="1:28">
      <c r="A152" s="140" t="s">
        <v>443</v>
      </c>
      <c r="B152" s="140" t="s">
        <v>322</v>
      </c>
      <c r="C152" s="140" t="s">
        <v>1780</v>
      </c>
      <c r="D152" s="140" t="s">
        <v>1781</v>
      </c>
      <c r="E152" s="140" t="s">
        <v>1782</v>
      </c>
      <c r="F152" s="150" t="s">
        <v>3</v>
      </c>
      <c r="G152" s="140">
        <v>3.75</v>
      </c>
      <c r="H152" s="140" t="s">
        <v>18</v>
      </c>
      <c r="I152" s="140" t="s">
        <v>460</v>
      </c>
      <c r="J152" s="140" t="s">
        <v>1783</v>
      </c>
      <c r="K152" s="140">
        <v>4</v>
      </c>
      <c r="L152" s="140" t="s">
        <v>462</v>
      </c>
      <c r="M152" s="140" t="s">
        <v>1784</v>
      </c>
      <c r="N152" s="140">
        <v>3.5</v>
      </c>
      <c r="O152" s="140" t="s">
        <v>451</v>
      </c>
      <c r="P152" s="142">
        <v>3000000</v>
      </c>
      <c r="Q152" s="140" t="s">
        <v>452</v>
      </c>
      <c r="R152" s="140" t="s">
        <v>1785</v>
      </c>
      <c r="S152" s="140"/>
      <c r="T152" s="140" t="s">
        <v>1786</v>
      </c>
      <c r="U152" s="143" t="s">
        <v>481</v>
      </c>
      <c r="V152" s="143"/>
      <c r="W152" s="143"/>
      <c r="X152" s="140" t="s">
        <v>1787</v>
      </c>
      <c r="Y152" s="140" t="s">
        <v>1788</v>
      </c>
      <c r="Z152" s="140" t="e">
        <f>IF(VLOOKUP($Y152,'For Lookup'!$A:$B,1, FALSE)=$Y152,"Yes","No")</f>
        <v>#N/A</v>
      </c>
      <c r="AA152" s="140"/>
      <c r="AB152" s="140" t="e">
        <f t="array" aca="1" ref="AB152" ca="1">_xludf.IFS(F152="Deep Tech", INDEX('DT Short List'!U:U,MATCH(B152,'DT Short List'!A:A,0)),F152="Life Sciences",INDEX('LS Shortlist'!T:T,MATCH(B152,'LS Shortlist'!B:B,0)),F152="Digital Tech",INDEX('DiT - Shortlist'!T:T,MATCH(B152,'DiT - Shortlist'!B:B,0)))</f>
        <v>#NAME?</v>
      </c>
    </row>
    <row r="153" spans="1:28">
      <c r="A153" s="144" t="s">
        <v>529</v>
      </c>
      <c r="B153" s="144" t="s">
        <v>323</v>
      </c>
      <c r="C153" s="144" t="s">
        <v>1789</v>
      </c>
      <c r="D153" s="144" t="s">
        <v>1790</v>
      </c>
      <c r="E153" s="144" t="s">
        <v>1791</v>
      </c>
      <c r="F153" s="150" t="s">
        <v>3</v>
      </c>
      <c r="G153" s="144">
        <v>4.38</v>
      </c>
      <c r="H153" s="144" t="s">
        <v>18</v>
      </c>
      <c r="I153" s="144" t="s">
        <v>488</v>
      </c>
      <c r="J153" s="144" t="s">
        <v>1792</v>
      </c>
      <c r="K153" s="144">
        <v>4</v>
      </c>
      <c r="L153" s="144" t="s">
        <v>941</v>
      </c>
      <c r="M153" s="144" t="s">
        <v>1793</v>
      </c>
      <c r="N153" s="144">
        <v>4.75</v>
      </c>
      <c r="O153" s="144" t="s">
        <v>451</v>
      </c>
      <c r="P153" s="147">
        <v>500000</v>
      </c>
      <c r="Q153" s="144" t="s">
        <v>452</v>
      </c>
      <c r="R153" s="144" t="s">
        <v>1794</v>
      </c>
      <c r="S153" s="144" t="s">
        <v>1795</v>
      </c>
      <c r="T153" s="144"/>
      <c r="U153" s="145" t="s">
        <v>481</v>
      </c>
      <c r="V153" s="145"/>
      <c r="W153" s="145" t="s">
        <v>1795</v>
      </c>
      <c r="X153" s="144" t="s">
        <v>1796</v>
      </c>
      <c r="Y153" s="144" t="s">
        <v>1797</v>
      </c>
      <c r="Z153" s="144" t="e">
        <f>IF(VLOOKUP($Y153,'For Lookup'!$A:$B,1, FALSE)=$Y153,"Yes","No")</f>
        <v>#N/A</v>
      </c>
      <c r="AA153" s="144"/>
      <c r="AB153" s="144" t="e">
        <f t="array" aca="1" ref="AB153" ca="1">_xludf.IFS(F153="Deep Tech", INDEX('DT Short List'!U:U,MATCH(B153,'DT Short List'!A:A,0)),F153="Life Sciences",INDEX('LS Shortlist'!T:T,MATCH(B153,'LS Shortlist'!B:B,0)),F153="Digital Tech",INDEX('DiT - Shortlist'!T:T,MATCH(B153,'DiT - Shortlist'!B:B,0)))</f>
        <v>#NAME?</v>
      </c>
    </row>
    <row r="154" spans="1:28">
      <c r="A154" s="140" t="s">
        <v>598</v>
      </c>
      <c r="B154" s="140" t="s">
        <v>324</v>
      </c>
      <c r="C154" s="140" t="s">
        <v>1798</v>
      </c>
      <c r="D154" s="140" t="s">
        <v>1799</v>
      </c>
      <c r="E154" s="140" t="s">
        <v>1800</v>
      </c>
      <c r="F154" s="150" t="s">
        <v>3</v>
      </c>
      <c r="G154" s="140">
        <v>4.25</v>
      </c>
      <c r="H154" s="140" t="s">
        <v>18</v>
      </c>
      <c r="I154" s="140" t="s">
        <v>460</v>
      </c>
      <c r="J154" s="140" t="s">
        <v>1801</v>
      </c>
      <c r="K154" s="140">
        <v>4.5</v>
      </c>
      <c r="L154" s="140" t="s">
        <v>941</v>
      </c>
      <c r="M154" s="140" t="s">
        <v>1802</v>
      </c>
      <c r="N154" s="140">
        <v>4</v>
      </c>
      <c r="O154" s="140"/>
      <c r="P154" s="140"/>
      <c r="Q154" s="140" t="s">
        <v>452</v>
      </c>
      <c r="R154" s="140" t="s">
        <v>1803</v>
      </c>
      <c r="S154" s="140" t="s">
        <v>1804</v>
      </c>
      <c r="T154" s="140"/>
      <c r="U154" s="143" t="s">
        <v>481</v>
      </c>
      <c r="V154" s="143"/>
      <c r="W154" s="143" t="s">
        <v>1804</v>
      </c>
      <c r="X154" s="140" t="s">
        <v>1805</v>
      </c>
      <c r="Y154" s="140" t="s">
        <v>1806</v>
      </c>
      <c r="Z154" s="140" t="e">
        <f>IF(VLOOKUP($Y154,'For Lookup'!$A:$B,1, FALSE)=$Y154,"Yes","No")</f>
        <v>#N/A</v>
      </c>
      <c r="AA154" s="140"/>
      <c r="AB154" s="140" t="e">
        <f t="array" aca="1" ref="AB154" ca="1">_xludf.IFS(F154="Deep Tech", INDEX('DT Short List'!U:U,MATCH(B154,'DT Short List'!A:A,0)),F154="Life Sciences",INDEX('LS Shortlist'!T:T,MATCH(B154,'LS Shortlist'!B:B,0)),F154="Digital Tech",INDEX('DiT - Shortlist'!T:T,MATCH(B154,'DiT - Shortlist'!B:B,0)))</f>
        <v>#NAME?</v>
      </c>
    </row>
    <row r="155" spans="1:28">
      <c r="A155" s="144" t="s">
        <v>598</v>
      </c>
      <c r="B155" s="144" t="s">
        <v>325</v>
      </c>
      <c r="C155" s="144" t="s">
        <v>1807</v>
      </c>
      <c r="D155" s="144" t="s">
        <v>1808</v>
      </c>
      <c r="E155" s="144" t="s">
        <v>1809</v>
      </c>
      <c r="F155" s="150" t="s">
        <v>3</v>
      </c>
      <c r="G155" s="144">
        <v>4.5</v>
      </c>
      <c r="H155" s="144" t="s">
        <v>18</v>
      </c>
      <c r="I155" s="144" t="s">
        <v>460</v>
      </c>
      <c r="J155" s="144" t="s">
        <v>1810</v>
      </c>
      <c r="K155" s="144">
        <v>4.5</v>
      </c>
      <c r="L155" s="144" t="s">
        <v>941</v>
      </c>
      <c r="M155" s="144"/>
      <c r="N155" s="144">
        <v>4.5</v>
      </c>
      <c r="O155" s="144" t="s">
        <v>478</v>
      </c>
      <c r="P155" s="144" t="s">
        <v>1811</v>
      </c>
      <c r="Q155" s="144" t="s">
        <v>452</v>
      </c>
      <c r="R155" s="144" t="s">
        <v>1812</v>
      </c>
      <c r="S155" s="144"/>
      <c r="T155" s="144"/>
      <c r="U155" s="145" t="s">
        <v>454</v>
      </c>
      <c r="V155" s="145"/>
      <c r="W155" s="145"/>
      <c r="X155" s="144" t="s">
        <v>1813</v>
      </c>
      <c r="Y155" s="144" t="s">
        <v>1814</v>
      </c>
      <c r="Z155" s="144" t="e">
        <f>IF(VLOOKUP($Y155,'For Lookup'!$A:$B,1, FALSE)=$Y155,"Yes","No")</f>
        <v>#N/A</v>
      </c>
      <c r="AA155" s="144"/>
      <c r="AB155" s="144" t="e">
        <f t="array" aca="1" ref="AB155" ca="1">_xludf.IFS(F155="Deep Tech", INDEX('DT Short List'!U:U,MATCH(B155,'DT Short List'!A:A,0)),F155="Life Sciences",INDEX('LS Shortlist'!T:T,MATCH(B155,'LS Shortlist'!B:B,0)),F155="Digital Tech",INDEX('DiT - Shortlist'!T:T,MATCH(B155,'DiT - Shortlist'!B:B,0)))</f>
        <v>#NAME?</v>
      </c>
    </row>
    <row r="156" spans="1:28">
      <c r="A156" s="140" t="s">
        <v>443</v>
      </c>
      <c r="B156" s="140" t="s">
        <v>326</v>
      </c>
      <c r="C156" s="140" t="s">
        <v>1815</v>
      </c>
      <c r="D156" s="140" t="s">
        <v>1816</v>
      </c>
      <c r="E156" s="140" t="s">
        <v>1817</v>
      </c>
      <c r="F156" s="150" t="s">
        <v>3</v>
      </c>
      <c r="G156" s="140">
        <v>4</v>
      </c>
      <c r="H156" s="140" t="s">
        <v>18</v>
      </c>
      <c r="I156" s="140" t="s">
        <v>460</v>
      </c>
      <c r="J156" s="140" t="s">
        <v>1818</v>
      </c>
      <c r="K156" s="140">
        <v>4</v>
      </c>
      <c r="L156" s="140" t="s">
        <v>941</v>
      </c>
      <c r="M156" s="140" t="s">
        <v>1819</v>
      </c>
      <c r="N156" s="140">
        <v>4</v>
      </c>
      <c r="O156" s="140" t="s">
        <v>478</v>
      </c>
      <c r="P156" s="142">
        <v>25000000</v>
      </c>
      <c r="Q156" s="140" t="s">
        <v>452</v>
      </c>
      <c r="R156" s="140" t="s">
        <v>1820</v>
      </c>
      <c r="S156" s="140"/>
      <c r="T156" s="140"/>
      <c r="U156" s="143" t="s">
        <v>481</v>
      </c>
      <c r="V156" s="143"/>
      <c r="W156" s="143"/>
      <c r="X156" s="140" t="s">
        <v>1821</v>
      </c>
      <c r="Y156" s="140" t="s">
        <v>1822</v>
      </c>
      <c r="Z156" s="140" t="e">
        <f>IF(VLOOKUP($Y156,'For Lookup'!$A:$B,1, FALSE)=$Y156,"Yes","No")</f>
        <v>#N/A</v>
      </c>
      <c r="AA156" s="140"/>
      <c r="AB156" s="140" t="e">
        <f t="array" aca="1" ref="AB156" ca="1">_xludf.IFS(F156="Deep Tech", INDEX('DT Short List'!U:U,MATCH(B156,'DT Short List'!A:A,0)),F156="Life Sciences",INDEX('LS Shortlist'!T:T,MATCH(B156,'LS Shortlist'!B:B,0)),F156="Digital Tech",INDEX('DiT - Shortlist'!T:T,MATCH(B156,'DiT - Shortlist'!B:B,0)))</f>
        <v>#NAME?</v>
      </c>
    </row>
    <row r="157" spans="1:28">
      <c r="A157" s="144" t="s">
        <v>471</v>
      </c>
      <c r="B157" s="144" t="s">
        <v>327</v>
      </c>
      <c r="C157" s="144" t="s">
        <v>1823</v>
      </c>
      <c r="D157" s="144" t="s">
        <v>1824</v>
      </c>
      <c r="E157" s="144" t="s">
        <v>1825</v>
      </c>
      <c r="F157" s="150" t="s">
        <v>3</v>
      </c>
      <c r="G157" s="144">
        <v>5</v>
      </c>
      <c r="H157" s="144" t="s">
        <v>18</v>
      </c>
      <c r="I157" s="144" t="s">
        <v>460</v>
      </c>
      <c r="J157" s="144" t="s">
        <v>1826</v>
      </c>
      <c r="K157" s="144">
        <v>5</v>
      </c>
      <c r="L157" s="144" t="s">
        <v>941</v>
      </c>
      <c r="M157" s="144"/>
      <c r="N157" s="144">
        <v>5</v>
      </c>
      <c r="O157" s="144" t="s">
        <v>478</v>
      </c>
      <c r="P157" s="146">
        <v>20000000</v>
      </c>
      <c r="Q157" s="144" t="s">
        <v>465</v>
      </c>
      <c r="R157" s="144" t="s">
        <v>1827</v>
      </c>
      <c r="S157" s="144"/>
      <c r="T157" s="144"/>
      <c r="U157" s="145" t="s">
        <v>481</v>
      </c>
      <c r="V157" s="145"/>
      <c r="W157" s="145"/>
      <c r="X157" s="144" t="s">
        <v>1828</v>
      </c>
      <c r="Y157" s="144" t="s">
        <v>1829</v>
      </c>
      <c r="Z157" s="144" t="str">
        <f>IF(VLOOKUP($Y157,'For Lookup'!$A:$B,1, FALSE)=$Y157,"Yes","No")</f>
        <v>Yes</v>
      </c>
      <c r="AA157" s="144"/>
      <c r="AB157" s="144" t="e">
        <f t="array" aca="1" ref="AB157" ca="1">_xludf.IFS(F157="Deep Tech", INDEX('DT Short List'!U:U,MATCH(B157,'DT Short List'!A:A,0)),F157="Life Sciences",INDEX('LS Shortlist'!T:T,MATCH(B157,'LS Shortlist'!B:B,0)),F157="Digital Tech",INDEX('DiT - Shortlist'!T:T,MATCH(B157,'DiT - Shortlist'!B:B,0)))</f>
        <v>#NAME?</v>
      </c>
    </row>
    <row r="158" spans="1:28">
      <c r="A158" s="140" t="s">
        <v>598</v>
      </c>
      <c r="B158" s="140" t="s">
        <v>328</v>
      </c>
      <c r="C158" s="140" t="s">
        <v>1830</v>
      </c>
      <c r="D158" s="140" t="s">
        <v>1831</v>
      </c>
      <c r="E158" s="140" t="s">
        <v>1832</v>
      </c>
      <c r="F158" s="150" t="s">
        <v>3</v>
      </c>
      <c r="G158" s="140">
        <v>4.5</v>
      </c>
      <c r="H158" s="140" t="s">
        <v>18</v>
      </c>
      <c r="I158" s="140" t="s">
        <v>460</v>
      </c>
      <c r="J158" s="140" t="s">
        <v>1833</v>
      </c>
      <c r="K158" s="140">
        <v>4.5</v>
      </c>
      <c r="L158" s="140" t="s">
        <v>462</v>
      </c>
      <c r="M158" s="140" t="s">
        <v>1834</v>
      </c>
      <c r="N158" s="140">
        <v>4.5</v>
      </c>
      <c r="O158" s="140" t="s">
        <v>478</v>
      </c>
      <c r="P158" s="140" t="s">
        <v>1835</v>
      </c>
      <c r="Q158" s="140" t="s">
        <v>452</v>
      </c>
      <c r="R158" s="140" t="s">
        <v>452</v>
      </c>
      <c r="S158" s="140"/>
      <c r="T158" s="140"/>
      <c r="U158" s="143" t="s">
        <v>454</v>
      </c>
      <c r="V158" s="143"/>
      <c r="W158" s="143"/>
      <c r="X158" s="140" t="s">
        <v>1836</v>
      </c>
      <c r="Y158" s="140" t="s">
        <v>1837</v>
      </c>
      <c r="Z158" s="140" t="e">
        <f>IF(VLOOKUP($Y158,'For Lookup'!$A:$B,1, FALSE)=$Y158,"Yes","No")</f>
        <v>#N/A</v>
      </c>
      <c r="AA158" s="140"/>
      <c r="AB158" s="140" t="e">
        <f t="array" aca="1" ref="AB158" ca="1">_xludf.IFS(F158="Deep Tech", INDEX('DT Short List'!U:U,MATCH(B158,'DT Short List'!A:A,0)),F158="Life Sciences",INDEX('LS Shortlist'!T:T,MATCH(B158,'LS Shortlist'!B:B,0)),F158="Digital Tech",INDEX('DiT - Shortlist'!T:T,MATCH(B158,'DiT - Shortlist'!B:B,0)))</f>
        <v>#NAME?</v>
      </c>
    </row>
    <row r="159" spans="1:28">
      <c r="A159" s="144" t="s">
        <v>443</v>
      </c>
      <c r="B159" s="144" t="s">
        <v>329</v>
      </c>
      <c r="C159" s="144" t="s">
        <v>1838</v>
      </c>
      <c r="D159" s="144" t="s">
        <v>1839</v>
      </c>
      <c r="E159" s="144" t="s">
        <v>1840</v>
      </c>
      <c r="F159" s="150" t="s">
        <v>3</v>
      </c>
      <c r="G159" s="144">
        <v>4.5</v>
      </c>
      <c r="H159" s="144" t="s">
        <v>18</v>
      </c>
      <c r="I159" s="144" t="s">
        <v>488</v>
      </c>
      <c r="J159" s="144" t="s">
        <v>1841</v>
      </c>
      <c r="K159" s="144">
        <v>4.5</v>
      </c>
      <c r="L159" s="144" t="s">
        <v>941</v>
      </c>
      <c r="M159" s="144" t="s">
        <v>1842</v>
      </c>
      <c r="N159" s="144">
        <v>4.5</v>
      </c>
      <c r="O159" s="144"/>
      <c r="P159" s="144"/>
      <c r="Q159" s="144" t="s">
        <v>465</v>
      </c>
      <c r="R159" s="144" t="s">
        <v>1843</v>
      </c>
      <c r="S159" s="144"/>
      <c r="T159" s="144" t="s">
        <v>1844</v>
      </c>
      <c r="U159" s="145" t="s">
        <v>454</v>
      </c>
      <c r="V159" s="145"/>
      <c r="W159" s="145"/>
      <c r="X159" s="144" t="s">
        <v>1845</v>
      </c>
      <c r="Y159" s="144" t="s">
        <v>1846</v>
      </c>
      <c r="Z159" s="144" t="e">
        <f>IF(VLOOKUP($Y159,'For Lookup'!$A:$B,1, FALSE)=$Y159,"Yes","No")</f>
        <v>#N/A</v>
      </c>
      <c r="AA159" s="144"/>
      <c r="AB159" s="144" t="e">
        <f t="array" aca="1" ref="AB159" ca="1">_xludf.IFS(F159="Deep Tech", INDEX('DT Short List'!U:U,MATCH(B159,'DT Short List'!A:A,0)),F159="Life Sciences",INDEX('LS Shortlist'!T:T,MATCH(B159,'LS Shortlist'!B:B,0)),F159="Digital Tech",INDEX('DiT - Shortlist'!T:T,MATCH(B159,'DiT - Shortlist'!B:B,0)))</f>
        <v>#NAME?</v>
      </c>
    </row>
    <row r="160" spans="1:28">
      <c r="A160" s="140" t="s">
        <v>443</v>
      </c>
      <c r="B160" s="140" t="s">
        <v>331</v>
      </c>
      <c r="C160" s="140" t="s">
        <v>1847</v>
      </c>
      <c r="D160" s="140" t="s">
        <v>1848</v>
      </c>
      <c r="E160" s="140" t="s">
        <v>1849</v>
      </c>
      <c r="F160" s="150" t="s">
        <v>3</v>
      </c>
      <c r="G160" s="140">
        <v>5</v>
      </c>
      <c r="H160" s="140" t="s">
        <v>18</v>
      </c>
      <c r="I160" s="140" t="s">
        <v>460</v>
      </c>
      <c r="J160" s="140" t="s">
        <v>1850</v>
      </c>
      <c r="K160" s="140">
        <v>5</v>
      </c>
      <c r="L160" s="140" t="s">
        <v>462</v>
      </c>
      <c r="M160" s="140" t="s">
        <v>1851</v>
      </c>
      <c r="N160" s="140">
        <v>5</v>
      </c>
      <c r="O160" s="140" t="s">
        <v>478</v>
      </c>
      <c r="P160" s="140" t="s">
        <v>1852</v>
      </c>
      <c r="Q160" s="140" t="s">
        <v>454</v>
      </c>
      <c r="R160" s="140" t="s">
        <v>1853</v>
      </c>
      <c r="S160" s="140" t="s">
        <v>460</v>
      </c>
      <c r="T160" s="140"/>
      <c r="U160" s="143" t="s">
        <v>454</v>
      </c>
      <c r="V160" s="143" t="s">
        <v>1854</v>
      </c>
      <c r="W160" s="143" t="s">
        <v>460</v>
      </c>
      <c r="X160" s="140" t="s">
        <v>1855</v>
      </c>
      <c r="Y160" s="140" t="s">
        <v>1856</v>
      </c>
      <c r="Z160" s="140" t="str">
        <f>IF(VLOOKUP($Y160,'For Lookup'!$A:$B,1, FALSE)=$Y160,"Yes","No")</f>
        <v>Yes</v>
      </c>
      <c r="AA160" s="140"/>
      <c r="AB160" s="140" t="e">
        <f t="array" aca="1" ref="AB160" ca="1">_xludf.IFS(F160="Deep Tech", INDEX('DT Short List'!U:U,MATCH(B160,'DT Short List'!A:A,0)),F160="Life Sciences",INDEX('LS Shortlist'!T:T,MATCH(B160,'LS Shortlist'!B:B,0)),F160="Digital Tech",INDEX('DiT - Shortlist'!T:T,MATCH(B160,'DiT - Shortlist'!B:B,0)))</f>
        <v>#NAME?</v>
      </c>
    </row>
    <row r="161" spans="1:28">
      <c r="A161" s="144" t="s">
        <v>598</v>
      </c>
      <c r="B161" s="144" t="s">
        <v>110</v>
      </c>
      <c r="C161" s="144" t="s">
        <v>1857</v>
      </c>
      <c r="D161" s="144" t="s">
        <v>1858</v>
      </c>
      <c r="E161" s="144" t="s">
        <v>1859</v>
      </c>
      <c r="F161" s="150" t="s">
        <v>3</v>
      </c>
      <c r="G161" s="144">
        <v>4.25</v>
      </c>
      <c r="H161" s="144" t="s">
        <v>18</v>
      </c>
      <c r="I161" s="144" t="s">
        <v>447</v>
      </c>
      <c r="J161" s="144" t="s">
        <v>1860</v>
      </c>
      <c r="K161" s="144">
        <v>4.5</v>
      </c>
      <c r="L161" s="144" t="s">
        <v>543</v>
      </c>
      <c r="M161" s="144" t="s">
        <v>1861</v>
      </c>
      <c r="N161" s="144">
        <v>4</v>
      </c>
      <c r="O161" s="144" t="s">
        <v>973</v>
      </c>
      <c r="P161" s="144" t="s">
        <v>1862</v>
      </c>
      <c r="Q161" s="144" t="s">
        <v>452</v>
      </c>
      <c r="R161" s="144" t="s">
        <v>1119</v>
      </c>
      <c r="S161" s="144"/>
      <c r="T161" s="144"/>
      <c r="U161" s="145" t="s">
        <v>481</v>
      </c>
      <c r="V161" s="145"/>
      <c r="W161" s="145"/>
      <c r="X161" s="144" t="s">
        <v>1863</v>
      </c>
      <c r="Y161" s="144" t="s">
        <v>1864</v>
      </c>
      <c r="Z161" s="144" t="e">
        <f>IF(VLOOKUP($Y161,'For Lookup'!$A:$B,1, FALSE)=$Y161,"Yes","No")</f>
        <v>#N/A</v>
      </c>
      <c r="AA161" s="144"/>
      <c r="AB161" s="144" t="e">
        <f t="array" aca="1" ref="AB161" ca="1">_xludf.IFS(F161="Deep Tech", INDEX('DT Short List'!U:U,MATCH(B161,'DT Short List'!A:A,0)),F161="Life Sciences",INDEX('LS Shortlist'!T:T,MATCH(B161,'LS Shortlist'!B:B,0)),F161="Digital Tech",INDEX('DiT - Shortlist'!T:T,MATCH(B161,'DiT - Shortlist'!B:B,0)))</f>
        <v>#NAME?</v>
      </c>
    </row>
    <row r="162" spans="1:28">
      <c r="A162" s="140" t="s">
        <v>471</v>
      </c>
      <c r="B162" s="140" t="s">
        <v>333</v>
      </c>
      <c r="C162" s="140" t="s">
        <v>1865</v>
      </c>
      <c r="D162" s="140" t="s">
        <v>1866</v>
      </c>
      <c r="E162" s="140" t="s">
        <v>1867</v>
      </c>
      <c r="F162" s="150" t="s">
        <v>3</v>
      </c>
      <c r="G162" s="140">
        <v>4.5</v>
      </c>
      <c r="H162" s="140" t="s">
        <v>18</v>
      </c>
      <c r="I162" s="140" t="s">
        <v>460</v>
      </c>
      <c r="J162" s="140" t="s">
        <v>1868</v>
      </c>
      <c r="K162" s="140">
        <v>4.5</v>
      </c>
      <c r="L162" s="140" t="s">
        <v>462</v>
      </c>
      <c r="M162" s="140" t="s">
        <v>1869</v>
      </c>
      <c r="N162" s="140">
        <v>4.5</v>
      </c>
      <c r="O162" s="140"/>
      <c r="P162" s="140"/>
      <c r="Q162" s="140" t="s">
        <v>452</v>
      </c>
      <c r="R162" s="140" t="s">
        <v>452</v>
      </c>
      <c r="S162" s="140"/>
      <c r="T162" s="140"/>
      <c r="U162" s="143" t="s">
        <v>454</v>
      </c>
      <c r="V162" s="143"/>
      <c r="W162" s="143"/>
      <c r="X162" s="140" t="s">
        <v>1870</v>
      </c>
      <c r="Y162" s="140" t="s">
        <v>1871</v>
      </c>
      <c r="Z162" s="140" t="e">
        <f>IF(VLOOKUP($Y162,'For Lookup'!$A:$B,1, FALSE)=$Y162,"Yes","No")</f>
        <v>#N/A</v>
      </c>
      <c r="AA162" s="140"/>
      <c r="AB162" s="140" t="e">
        <f t="array" aca="1" ref="AB162" ca="1">_xludf.IFS(F162="Deep Tech", INDEX('DT Short List'!U:U,MATCH(B162,'DT Short List'!A:A,0)),F162="Life Sciences",INDEX('LS Shortlist'!T:T,MATCH(B162,'LS Shortlist'!B:B,0)),F162="Digital Tech",INDEX('DiT - Shortlist'!T:T,MATCH(B162,'DiT - Shortlist'!B:B,0)))</f>
        <v>#NAME?</v>
      </c>
    </row>
    <row r="163" spans="1:28">
      <c r="A163" s="144" t="s">
        <v>503</v>
      </c>
      <c r="B163" s="144" t="s">
        <v>334</v>
      </c>
      <c r="C163" s="144" t="s">
        <v>1872</v>
      </c>
      <c r="D163" s="144" t="s">
        <v>1873</v>
      </c>
      <c r="E163" s="144" t="s">
        <v>1874</v>
      </c>
      <c r="F163" s="150" t="s">
        <v>3</v>
      </c>
      <c r="G163" s="144">
        <v>5</v>
      </c>
      <c r="H163" s="144" t="s">
        <v>18</v>
      </c>
      <c r="I163" s="144" t="s">
        <v>460</v>
      </c>
      <c r="J163" s="144" t="s">
        <v>1875</v>
      </c>
      <c r="K163" s="144">
        <v>5</v>
      </c>
      <c r="L163" s="144" t="s">
        <v>941</v>
      </c>
      <c r="M163" s="144"/>
      <c r="N163" s="144">
        <v>5</v>
      </c>
      <c r="O163" s="144" t="s">
        <v>451</v>
      </c>
      <c r="P163" s="147">
        <v>2000000</v>
      </c>
      <c r="Q163" s="144" t="s">
        <v>452</v>
      </c>
      <c r="R163" s="144" t="s">
        <v>1876</v>
      </c>
      <c r="S163" s="144"/>
      <c r="T163" s="144"/>
      <c r="U163" s="145" t="s">
        <v>454</v>
      </c>
      <c r="V163" s="145"/>
      <c r="W163" s="145"/>
      <c r="X163" s="144" t="s">
        <v>1877</v>
      </c>
      <c r="Y163" s="144" t="s">
        <v>1878</v>
      </c>
      <c r="Z163" s="144" t="str">
        <f>IF(VLOOKUP($Y163,'For Lookup'!$A:$B,1, FALSE)=$Y163,"Yes","No")</f>
        <v>Yes</v>
      </c>
      <c r="AA163" s="144"/>
      <c r="AB163" s="144" t="e">
        <f t="array" aca="1" ref="AB163" ca="1">_xludf.IFS(F163="Deep Tech", INDEX('DT Short List'!U:U,MATCH(B163,'DT Short List'!A:A,0)),F163="Life Sciences",INDEX('LS Shortlist'!T:T,MATCH(B163,'LS Shortlist'!B:B,0)),F163="Digital Tech",INDEX('DiT - Shortlist'!T:T,MATCH(B163,'DiT - Shortlist'!B:B,0)))</f>
        <v>#NAME?</v>
      </c>
    </row>
    <row r="164" spans="1:28">
      <c r="A164" s="140" t="s">
        <v>598</v>
      </c>
      <c r="B164" s="140" t="s">
        <v>408</v>
      </c>
      <c r="C164" s="140" t="s">
        <v>1879</v>
      </c>
      <c r="D164" s="140" t="s">
        <v>1880</v>
      </c>
      <c r="E164" s="140" t="s">
        <v>1881</v>
      </c>
      <c r="F164" s="140" t="s">
        <v>3</v>
      </c>
      <c r="G164" s="140">
        <v>4</v>
      </c>
      <c r="H164" s="152" t="s">
        <v>18</v>
      </c>
      <c r="I164" s="140" t="s">
        <v>460</v>
      </c>
      <c r="J164" s="140" t="s">
        <v>1882</v>
      </c>
      <c r="K164" s="140">
        <v>4</v>
      </c>
      <c r="L164" s="140" t="s">
        <v>462</v>
      </c>
      <c r="M164" s="140" t="s">
        <v>1883</v>
      </c>
      <c r="N164" s="140">
        <v>4</v>
      </c>
      <c r="O164" s="140"/>
      <c r="P164" s="140"/>
      <c r="Q164" s="140" t="s">
        <v>452</v>
      </c>
      <c r="R164" s="140" t="s">
        <v>1884</v>
      </c>
      <c r="S164" s="140" t="s">
        <v>1885</v>
      </c>
      <c r="T164" s="140"/>
      <c r="U164" s="143" t="s">
        <v>454</v>
      </c>
      <c r="V164" s="143"/>
      <c r="W164" s="143" t="s">
        <v>1885</v>
      </c>
      <c r="X164" s="140" t="s">
        <v>1886</v>
      </c>
      <c r="Y164" s="140" t="s">
        <v>1887</v>
      </c>
      <c r="Z164" s="140" t="e">
        <f>IF(VLOOKUP($Y164,'For Lookup'!$A:$B,1, FALSE)=$Y164,"Yes","No")</f>
        <v>#N/A</v>
      </c>
      <c r="AA164" s="140"/>
      <c r="AB164" s="140" t="e">
        <f t="array" aca="1" ref="AB164" ca="1">_xludf.IFS(F164="Deep Tech", INDEX('DT Short List'!U:U,MATCH(B164,'DT Short List'!A:A,0)),F164="Life Sciences",INDEX('LS Shortlist'!T:T,MATCH(B164,'LS Shortlist'!B:B,0)),F164="Digital Tech",INDEX('DiT - Shortlist'!T:T,MATCH(B164,'DiT - Shortlist'!B:B,0)))</f>
        <v>#NAME?</v>
      </c>
    </row>
    <row r="165" spans="1:28">
      <c r="A165" s="144" t="s">
        <v>907</v>
      </c>
      <c r="B165" s="144" t="s">
        <v>335</v>
      </c>
      <c r="C165" s="144" t="s">
        <v>1888</v>
      </c>
      <c r="D165" s="144" t="s">
        <v>1889</v>
      </c>
      <c r="E165" s="144" t="s">
        <v>1890</v>
      </c>
      <c r="F165" s="150" t="s">
        <v>3</v>
      </c>
      <c r="G165" s="144">
        <v>4.5</v>
      </c>
      <c r="H165" s="144" t="s">
        <v>18</v>
      </c>
      <c r="I165" s="144" t="s">
        <v>488</v>
      </c>
      <c r="J165" s="144" t="s">
        <v>1891</v>
      </c>
      <c r="K165" s="144">
        <v>4.5</v>
      </c>
      <c r="L165" s="144" t="s">
        <v>941</v>
      </c>
      <c r="M165" s="144"/>
      <c r="N165" s="144">
        <v>4.5</v>
      </c>
      <c r="O165" s="144" t="s">
        <v>1892</v>
      </c>
      <c r="P165" s="144" t="s">
        <v>1893</v>
      </c>
      <c r="Q165" s="144" t="s">
        <v>452</v>
      </c>
      <c r="R165" s="144" t="s">
        <v>452</v>
      </c>
      <c r="S165" s="144"/>
      <c r="T165" s="144" t="s">
        <v>1894</v>
      </c>
      <c r="U165" s="145" t="s">
        <v>481</v>
      </c>
      <c r="V165" s="145"/>
      <c r="W165" s="145"/>
      <c r="X165" s="144" t="s">
        <v>1895</v>
      </c>
      <c r="Y165" s="144" t="s">
        <v>1896</v>
      </c>
      <c r="Z165" s="144" t="e">
        <f>IF(VLOOKUP($Y165,'For Lookup'!$A:$B,1, FALSE)=$Y165,"Yes","No")</f>
        <v>#N/A</v>
      </c>
      <c r="AA165" s="144"/>
      <c r="AB165" s="144" t="e">
        <f t="array" aca="1" ref="AB165" ca="1">_xludf.IFS(F165="Deep Tech", INDEX('DT Short List'!U:U,MATCH(B165,'DT Short List'!A:A,0)),F165="Life Sciences",INDEX('LS Shortlist'!T:T,MATCH(B165,'LS Shortlist'!B:B,0)),F165="Digital Tech",INDEX('DiT - Shortlist'!T:T,MATCH(B165,'DiT - Shortlist'!B:B,0)))</f>
        <v>#NAME?</v>
      </c>
    </row>
    <row r="166" spans="1:28">
      <c r="A166" s="140" t="s">
        <v>471</v>
      </c>
      <c r="B166" s="140" t="s">
        <v>336</v>
      </c>
      <c r="C166" s="140" t="s">
        <v>1897</v>
      </c>
      <c r="D166" s="140" t="s">
        <v>1898</v>
      </c>
      <c r="E166" s="140" t="s">
        <v>1899</v>
      </c>
      <c r="F166" s="150" t="s">
        <v>3</v>
      </c>
      <c r="G166" s="140">
        <v>4.25</v>
      </c>
      <c r="H166" s="140" t="s">
        <v>18</v>
      </c>
      <c r="I166" s="140" t="s">
        <v>460</v>
      </c>
      <c r="J166" s="140" t="s">
        <v>1900</v>
      </c>
      <c r="K166" s="140">
        <v>4.5</v>
      </c>
      <c r="L166" s="140" t="s">
        <v>941</v>
      </c>
      <c r="M166" s="140"/>
      <c r="N166" s="140">
        <v>4</v>
      </c>
      <c r="O166" s="140" t="s">
        <v>451</v>
      </c>
      <c r="P166" s="140" t="s">
        <v>1901</v>
      </c>
      <c r="Q166" s="140" t="s">
        <v>452</v>
      </c>
      <c r="R166" s="140" t="s">
        <v>452</v>
      </c>
      <c r="S166" s="140"/>
      <c r="T166" s="140"/>
      <c r="U166" s="143" t="s">
        <v>454</v>
      </c>
      <c r="V166" s="143"/>
      <c r="W166" s="143"/>
      <c r="X166" s="140" t="s">
        <v>1902</v>
      </c>
      <c r="Y166" s="140" t="s">
        <v>1903</v>
      </c>
      <c r="Z166" s="140" t="e">
        <f>IF(VLOOKUP($Y166,'For Lookup'!$A:$B,1, FALSE)=$Y166,"Yes","No")</f>
        <v>#N/A</v>
      </c>
      <c r="AA166" s="140"/>
      <c r="AB166" s="140" t="e">
        <f t="array" aca="1" ref="AB166" ca="1">_xludf.IFS(F166="Deep Tech", INDEX('DT Short List'!U:U,MATCH(B166,'DT Short List'!A:A,0)),F166="Life Sciences",INDEX('LS Shortlist'!T:T,MATCH(B166,'LS Shortlist'!B:B,0)),F166="Digital Tech",INDEX('DiT - Shortlist'!T:T,MATCH(B166,'DiT - Shortlist'!B:B,0)))</f>
        <v>#NAME?</v>
      </c>
    </row>
    <row r="167" spans="1:28">
      <c r="A167" s="144" t="s">
        <v>598</v>
      </c>
      <c r="B167" s="144" t="s">
        <v>337</v>
      </c>
      <c r="C167" s="144" t="s">
        <v>1904</v>
      </c>
      <c r="D167" s="144" t="s">
        <v>1905</v>
      </c>
      <c r="E167" s="144" t="s">
        <v>1906</v>
      </c>
      <c r="F167" s="150" t="s">
        <v>3</v>
      </c>
      <c r="G167" s="144">
        <v>4.25</v>
      </c>
      <c r="H167" s="144" t="s">
        <v>18</v>
      </c>
      <c r="I167" s="144" t="s">
        <v>460</v>
      </c>
      <c r="J167" s="144" t="s">
        <v>1907</v>
      </c>
      <c r="K167" s="144">
        <v>4</v>
      </c>
      <c r="L167" s="144" t="s">
        <v>462</v>
      </c>
      <c r="M167" s="144" t="s">
        <v>1908</v>
      </c>
      <c r="N167" s="144">
        <v>4.5</v>
      </c>
      <c r="O167" s="144" t="s">
        <v>451</v>
      </c>
      <c r="P167" s="144" t="s">
        <v>1909</v>
      </c>
      <c r="Q167" s="144" t="s">
        <v>452</v>
      </c>
      <c r="R167" s="144" t="s">
        <v>1910</v>
      </c>
      <c r="S167" s="144" t="s">
        <v>1911</v>
      </c>
      <c r="T167" s="144" t="s">
        <v>1912</v>
      </c>
      <c r="U167" s="145" t="s">
        <v>454</v>
      </c>
      <c r="V167" s="145"/>
      <c r="W167" s="145" t="s">
        <v>1911</v>
      </c>
      <c r="X167" s="144" t="s">
        <v>1913</v>
      </c>
      <c r="Y167" s="144" t="s">
        <v>1914</v>
      </c>
      <c r="Z167" s="144" t="e">
        <f>IF(VLOOKUP($Y167,'For Lookup'!$A:$B,1, FALSE)=$Y167,"Yes","No")</f>
        <v>#N/A</v>
      </c>
      <c r="AA167" s="144"/>
      <c r="AB167" s="144" t="e">
        <f t="array" aca="1" ref="AB167" ca="1">_xludf.IFS(F167="Deep Tech", INDEX('DT Short List'!U:U,MATCH(B167,'DT Short List'!A:A,0)),F167="Life Sciences",INDEX('LS Shortlist'!T:T,MATCH(B167,'LS Shortlist'!B:B,0)),F167="Digital Tech",INDEX('DiT - Shortlist'!T:T,MATCH(B167,'DiT - Shortlist'!B:B,0)))</f>
        <v>#NAME?</v>
      </c>
    </row>
    <row r="168" spans="1:28">
      <c r="A168" s="140" t="s">
        <v>443</v>
      </c>
      <c r="B168" s="140" t="s">
        <v>338</v>
      </c>
      <c r="C168" s="140" t="s">
        <v>1915</v>
      </c>
      <c r="D168" s="140" t="s">
        <v>1916</v>
      </c>
      <c r="E168" s="140" t="s">
        <v>1917</v>
      </c>
      <c r="F168" s="150" t="s">
        <v>3</v>
      </c>
      <c r="G168" s="140">
        <v>5</v>
      </c>
      <c r="H168" s="140" t="s">
        <v>18</v>
      </c>
      <c r="I168" s="140" t="s">
        <v>460</v>
      </c>
      <c r="J168" s="140" t="s">
        <v>1918</v>
      </c>
      <c r="K168" s="140">
        <v>5</v>
      </c>
      <c r="L168" s="140" t="s">
        <v>941</v>
      </c>
      <c r="M168" s="140" t="s">
        <v>1919</v>
      </c>
      <c r="N168" s="140">
        <v>5</v>
      </c>
      <c r="O168" s="140" t="s">
        <v>1920</v>
      </c>
      <c r="P168" s="140" t="s">
        <v>1921</v>
      </c>
      <c r="Q168" s="140" t="s">
        <v>452</v>
      </c>
      <c r="R168" s="140" t="s">
        <v>1922</v>
      </c>
      <c r="S168" s="140" t="s">
        <v>1923</v>
      </c>
      <c r="T168" s="140"/>
      <c r="U168" s="143" t="s">
        <v>481</v>
      </c>
      <c r="V168" s="143"/>
      <c r="W168" s="143" t="s">
        <v>1924</v>
      </c>
      <c r="X168" s="140" t="s">
        <v>1925</v>
      </c>
      <c r="Y168" s="140" t="s">
        <v>1926</v>
      </c>
      <c r="Z168" s="140" t="str">
        <f>IF(VLOOKUP($Y168,'For Lookup'!$A:$B,1, FALSE)=$Y168,"Yes","No")</f>
        <v>Yes</v>
      </c>
      <c r="AA168" s="140"/>
      <c r="AB168" s="140" t="e">
        <f t="array" aca="1" ref="AB168" ca="1">_xludf.IFS(F168="Deep Tech", INDEX('DT Short List'!U:U,MATCH(B168,'DT Short List'!A:A,0)),F168="Life Sciences",INDEX('LS Shortlist'!T:T,MATCH(B168,'LS Shortlist'!B:B,0)),F168="Digital Tech",INDEX('DiT - Shortlist'!T:T,MATCH(B168,'DiT - Shortlist'!B:B,0)))</f>
        <v>#NAME?</v>
      </c>
    </row>
    <row r="169" spans="1:28">
      <c r="A169" s="144" t="s">
        <v>443</v>
      </c>
      <c r="B169" s="144" t="s">
        <v>339</v>
      </c>
      <c r="C169" s="144" t="s">
        <v>1927</v>
      </c>
      <c r="D169" s="144" t="s">
        <v>1928</v>
      </c>
      <c r="E169" s="144" t="s">
        <v>1929</v>
      </c>
      <c r="F169" s="150" t="s">
        <v>3</v>
      </c>
      <c r="G169" s="144">
        <v>4.25</v>
      </c>
      <c r="H169" s="144" t="s">
        <v>18</v>
      </c>
      <c r="I169" s="144" t="s">
        <v>460</v>
      </c>
      <c r="J169" s="144" t="s">
        <v>1930</v>
      </c>
      <c r="K169" s="144">
        <v>4.5</v>
      </c>
      <c r="L169" s="144" t="s">
        <v>941</v>
      </c>
      <c r="M169" s="144" t="s">
        <v>1931</v>
      </c>
      <c r="N169" s="144">
        <v>4</v>
      </c>
      <c r="O169" s="144" t="s">
        <v>451</v>
      </c>
      <c r="P169" s="147">
        <v>8000000</v>
      </c>
      <c r="Q169" s="144" t="s">
        <v>465</v>
      </c>
      <c r="R169" s="144" t="s">
        <v>1932</v>
      </c>
      <c r="S169" s="144"/>
      <c r="T169" s="144"/>
      <c r="U169" s="145" t="s">
        <v>481</v>
      </c>
      <c r="V169" s="145"/>
      <c r="W169" s="145"/>
      <c r="X169" s="144" t="s">
        <v>1933</v>
      </c>
      <c r="Y169" s="144" t="s">
        <v>1934</v>
      </c>
      <c r="Z169" s="144" t="e">
        <f>IF(VLOOKUP($Y169,'For Lookup'!$A:$B,1, FALSE)=$Y169,"Yes","No")</f>
        <v>#N/A</v>
      </c>
      <c r="AA169" s="144"/>
      <c r="AB169" s="144" t="e">
        <f t="array" aca="1" ref="AB169" ca="1">_xludf.IFS(F169="Deep Tech", INDEX('DT Short List'!U:U,MATCH(B169,'DT Short List'!A:A,0)),F169="Life Sciences",INDEX('LS Shortlist'!T:T,MATCH(B169,'LS Shortlist'!B:B,0)),F169="Digital Tech",INDEX('DiT - Shortlist'!T:T,MATCH(B169,'DiT - Shortlist'!B:B,0)))</f>
        <v>#NAME?</v>
      </c>
    </row>
    <row r="170" spans="1:28">
      <c r="A170" s="140" t="s">
        <v>907</v>
      </c>
      <c r="B170" s="140" t="s">
        <v>340</v>
      </c>
      <c r="C170" s="140" t="s">
        <v>1935</v>
      </c>
      <c r="D170" s="140" t="s">
        <v>1936</v>
      </c>
      <c r="E170" s="140" t="s">
        <v>1937</v>
      </c>
      <c r="F170" s="150" t="s">
        <v>3</v>
      </c>
      <c r="G170" s="140">
        <v>4</v>
      </c>
      <c r="H170" s="140" t="s">
        <v>18</v>
      </c>
      <c r="I170" s="140" t="s">
        <v>460</v>
      </c>
      <c r="J170" s="140" t="s">
        <v>1938</v>
      </c>
      <c r="K170" s="140">
        <v>4</v>
      </c>
      <c r="L170" s="140" t="s">
        <v>941</v>
      </c>
      <c r="M170" s="140" t="s">
        <v>1939</v>
      </c>
      <c r="N170" s="140">
        <v>4</v>
      </c>
      <c r="O170" s="140"/>
      <c r="P170" s="140"/>
      <c r="Q170" s="140" t="s">
        <v>452</v>
      </c>
      <c r="R170" s="140" t="s">
        <v>1940</v>
      </c>
      <c r="S170" s="140" t="s">
        <v>1941</v>
      </c>
      <c r="T170" s="140"/>
      <c r="U170" s="143" t="s">
        <v>454</v>
      </c>
      <c r="V170" s="143"/>
      <c r="W170" s="143" t="s">
        <v>1941</v>
      </c>
      <c r="X170" s="140" t="s">
        <v>1942</v>
      </c>
      <c r="Y170" s="140" t="s">
        <v>1943</v>
      </c>
      <c r="Z170" s="140" t="e">
        <f>IF(VLOOKUP($Y170,'For Lookup'!$A:$B,1, FALSE)=$Y170,"Yes","No")</f>
        <v>#N/A</v>
      </c>
      <c r="AA170" s="140"/>
      <c r="AB170" s="140" t="e">
        <f t="array" aca="1" ref="AB170" ca="1">_xludf.IFS(F170="Deep Tech", INDEX('DT Short List'!U:U,MATCH(B170,'DT Short List'!A:A,0)),F170="Life Sciences",INDEX('LS Shortlist'!T:T,MATCH(B170,'LS Shortlist'!B:B,0)),F170="Digital Tech",INDEX('DiT - Shortlist'!T:T,MATCH(B170,'DiT - Shortlist'!B:B,0)))</f>
        <v>#NAME?</v>
      </c>
    </row>
    <row r="171" spans="1:28">
      <c r="A171" s="144" t="s">
        <v>907</v>
      </c>
      <c r="B171" s="144" t="s">
        <v>342</v>
      </c>
      <c r="C171" s="144" t="s">
        <v>1944</v>
      </c>
      <c r="D171" s="144" t="s">
        <v>1945</v>
      </c>
      <c r="E171" s="144" t="s">
        <v>1946</v>
      </c>
      <c r="F171" s="150" t="s">
        <v>3</v>
      </c>
      <c r="G171" s="144">
        <v>4.5</v>
      </c>
      <c r="H171" s="144" t="s">
        <v>18</v>
      </c>
      <c r="I171" s="144" t="s">
        <v>488</v>
      </c>
      <c r="J171" s="144" t="s">
        <v>1947</v>
      </c>
      <c r="K171" s="144">
        <v>4</v>
      </c>
      <c r="L171" s="144" t="s">
        <v>462</v>
      </c>
      <c r="M171" s="144" t="s">
        <v>1948</v>
      </c>
      <c r="N171" s="144">
        <v>5</v>
      </c>
      <c r="O171" s="144" t="s">
        <v>1949</v>
      </c>
      <c r="P171" s="144" t="s">
        <v>1950</v>
      </c>
      <c r="Q171" s="144" t="s">
        <v>452</v>
      </c>
      <c r="R171" s="144" t="s">
        <v>452</v>
      </c>
      <c r="S171" s="144"/>
      <c r="T171" s="144"/>
      <c r="U171" s="145" t="s">
        <v>481</v>
      </c>
      <c r="V171" s="145"/>
      <c r="W171" s="145"/>
      <c r="X171" s="144" t="s">
        <v>1951</v>
      </c>
      <c r="Y171" s="144" t="s">
        <v>1952</v>
      </c>
      <c r="Z171" s="144" t="e">
        <f>IF(VLOOKUP($Y171,'For Lookup'!$A:$B,1, FALSE)=$Y171,"Yes","No")</f>
        <v>#N/A</v>
      </c>
      <c r="AA171" s="144"/>
      <c r="AB171" s="144" t="e">
        <f t="array" aca="1" ref="AB171" ca="1">_xludf.IFS(F171="Deep Tech", INDEX('DT Short List'!U:U,MATCH(B171,'DT Short List'!A:A,0)),F171="Life Sciences",INDEX('LS Shortlist'!T:T,MATCH(B171,'LS Shortlist'!B:B,0)),F171="Digital Tech",INDEX('DiT - Shortlist'!T:T,MATCH(B171,'DiT - Shortlist'!B:B,0)))</f>
        <v>#NAME?</v>
      </c>
    </row>
    <row r="172" spans="1:28">
      <c r="A172" s="140" t="s">
        <v>443</v>
      </c>
      <c r="B172" s="140" t="s">
        <v>343</v>
      </c>
      <c r="C172" s="140" t="s">
        <v>1953</v>
      </c>
      <c r="D172" s="140" t="s">
        <v>1954</v>
      </c>
      <c r="E172" s="140" t="s">
        <v>1955</v>
      </c>
      <c r="F172" s="150" t="s">
        <v>3</v>
      </c>
      <c r="G172" s="140">
        <v>4</v>
      </c>
      <c r="H172" s="140" t="s">
        <v>18</v>
      </c>
      <c r="I172" s="140" t="s">
        <v>488</v>
      </c>
      <c r="J172" s="140" t="s">
        <v>1956</v>
      </c>
      <c r="K172" s="140">
        <v>4</v>
      </c>
      <c r="L172" s="140" t="s">
        <v>941</v>
      </c>
      <c r="M172" s="140" t="s">
        <v>1957</v>
      </c>
      <c r="N172" s="140">
        <v>4</v>
      </c>
      <c r="O172" s="140" t="s">
        <v>923</v>
      </c>
      <c r="P172" s="140" t="s">
        <v>1958</v>
      </c>
      <c r="Q172" s="140" t="s">
        <v>452</v>
      </c>
      <c r="R172" s="140" t="s">
        <v>575</v>
      </c>
      <c r="S172" s="140" t="s">
        <v>1959</v>
      </c>
      <c r="T172" s="140"/>
      <c r="U172" s="143" t="s">
        <v>481</v>
      </c>
      <c r="V172" s="143"/>
      <c r="W172" s="143" t="s">
        <v>1959</v>
      </c>
      <c r="X172" s="140" t="s">
        <v>1960</v>
      </c>
      <c r="Y172" s="140" t="s">
        <v>1961</v>
      </c>
      <c r="Z172" s="140" t="e">
        <f>IF(VLOOKUP($Y172,'For Lookup'!$A:$B,1, FALSE)=$Y172,"Yes","No")</f>
        <v>#N/A</v>
      </c>
      <c r="AA172" s="140"/>
      <c r="AB172" s="140" t="e">
        <f t="array" aca="1" ref="AB172" ca="1">_xludf.IFS(F172="Deep Tech", INDEX('DT Short List'!U:U,MATCH(B172,'DT Short List'!A:A,0)),F172="Life Sciences",INDEX('LS Shortlist'!T:T,MATCH(B172,'LS Shortlist'!B:B,0)),F172="Digital Tech",INDEX('DiT - Shortlist'!T:T,MATCH(B172,'DiT - Shortlist'!B:B,0)))</f>
        <v>#NAME?</v>
      </c>
    </row>
    <row r="173" spans="1:28">
      <c r="A173" s="144" t="s">
        <v>598</v>
      </c>
      <c r="B173" s="144" t="s">
        <v>344</v>
      </c>
      <c r="C173" s="144" t="s">
        <v>1962</v>
      </c>
      <c r="D173" s="144" t="s">
        <v>1963</v>
      </c>
      <c r="E173" s="144" t="s">
        <v>1964</v>
      </c>
      <c r="F173" s="150" t="s">
        <v>3</v>
      </c>
      <c r="G173" s="144">
        <v>4.5</v>
      </c>
      <c r="H173" s="144" t="s">
        <v>18</v>
      </c>
      <c r="I173" s="144" t="s">
        <v>725</v>
      </c>
      <c r="J173" s="144" t="s">
        <v>1965</v>
      </c>
      <c r="K173" s="144">
        <v>4.5</v>
      </c>
      <c r="L173" s="144" t="s">
        <v>462</v>
      </c>
      <c r="M173" s="144" t="s">
        <v>1966</v>
      </c>
      <c r="N173" s="144">
        <v>4.5</v>
      </c>
      <c r="O173" s="144" t="s">
        <v>478</v>
      </c>
      <c r="P173" s="146">
        <v>10000000</v>
      </c>
      <c r="Q173" s="144" t="s">
        <v>452</v>
      </c>
      <c r="R173" s="144" t="s">
        <v>1967</v>
      </c>
      <c r="S173" s="144"/>
      <c r="T173" s="144"/>
      <c r="U173" s="145" t="s">
        <v>454</v>
      </c>
      <c r="V173" s="145"/>
      <c r="W173" s="145"/>
      <c r="X173" s="144" t="s">
        <v>1968</v>
      </c>
      <c r="Y173" s="144" t="s">
        <v>1969</v>
      </c>
      <c r="Z173" s="144" t="e">
        <f>IF(VLOOKUP($Y173,'For Lookup'!$A:$B,1, FALSE)=$Y173,"Yes","No")</f>
        <v>#N/A</v>
      </c>
      <c r="AA173" s="144"/>
      <c r="AB173" s="144" t="e">
        <f t="array" aca="1" ref="AB173" ca="1">_xludf.IFS(F173="Deep Tech", INDEX('DT Short List'!U:U,MATCH(B173,'DT Short List'!A:A,0)),F173="Life Sciences",INDEX('LS Shortlist'!T:T,MATCH(B173,'LS Shortlist'!B:B,0)),F173="Digital Tech",INDEX('DiT - Shortlist'!T:T,MATCH(B173,'DiT - Shortlist'!B:B,0)))</f>
        <v>#NAME?</v>
      </c>
    </row>
    <row r="174" spans="1:28">
      <c r="A174" s="140" t="s">
        <v>598</v>
      </c>
      <c r="B174" s="140" t="s">
        <v>345</v>
      </c>
      <c r="C174" s="140" t="s">
        <v>1970</v>
      </c>
      <c r="D174" s="140" t="s">
        <v>1971</v>
      </c>
      <c r="E174" s="140" t="s">
        <v>1972</v>
      </c>
      <c r="F174" s="150" t="s">
        <v>3</v>
      </c>
      <c r="G174" s="140">
        <v>4.75</v>
      </c>
      <c r="H174" s="140" t="s">
        <v>18</v>
      </c>
      <c r="I174" s="140" t="s">
        <v>460</v>
      </c>
      <c r="J174" s="140" t="s">
        <v>1973</v>
      </c>
      <c r="K174" s="140">
        <v>4.5</v>
      </c>
      <c r="L174" s="140" t="s">
        <v>462</v>
      </c>
      <c r="M174" s="140" t="s">
        <v>1974</v>
      </c>
      <c r="N174" s="140">
        <v>5</v>
      </c>
      <c r="O174" s="140" t="s">
        <v>478</v>
      </c>
      <c r="P174" s="140" t="s">
        <v>1975</v>
      </c>
      <c r="Q174" s="140" t="s">
        <v>452</v>
      </c>
      <c r="R174" s="140" t="s">
        <v>1976</v>
      </c>
      <c r="S174" s="140" t="s">
        <v>725</v>
      </c>
      <c r="T174" s="140" t="s">
        <v>1977</v>
      </c>
      <c r="U174" s="143" t="s">
        <v>454</v>
      </c>
      <c r="V174" s="143"/>
      <c r="W174" s="143" t="s">
        <v>725</v>
      </c>
      <c r="X174" s="140" t="s">
        <v>1978</v>
      </c>
      <c r="Y174" s="140" t="s">
        <v>1979</v>
      </c>
      <c r="Z174" s="140" t="str">
        <f>IF(VLOOKUP($Y174,'For Lookup'!$A:$B,1, FALSE)=$Y174,"Yes","No")</f>
        <v>Yes</v>
      </c>
      <c r="AA174" s="140"/>
      <c r="AB174" s="140" t="e">
        <f t="array" aca="1" ref="AB174" ca="1">_xludf.IFS(F174="Deep Tech", INDEX('DT Short List'!U:U,MATCH(B174,'DT Short List'!A:A,0)),F174="Life Sciences",INDEX('LS Shortlist'!T:T,MATCH(B174,'LS Shortlist'!B:B,0)),F174="Digital Tech",INDEX('DiT - Shortlist'!T:T,MATCH(B174,'DiT - Shortlist'!B:B,0)))</f>
        <v>#NAME?</v>
      </c>
    </row>
    <row r="175" spans="1:28">
      <c r="A175" s="144" t="s">
        <v>907</v>
      </c>
      <c r="B175" s="144" t="s">
        <v>346</v>
      </c>
      <c r="C175" s="144" t="s">
        <v>1980</v>
      </c>
      <c r="D175" s="144" t="s">
        <v>1981</v>
      </c>
      <c r="E175" s="144" t="s">
        <v>1982</v>
      </c>
      <c r="F175" s="150" t="s">
        <v>3</v>
      </c>
      <c r="G175" s="144">
        <v>4.25</v>
      </c>
      <c r="H175" s="144" t="s">
        <v>18</v>
      </c>
      <c r="I175" s="144" t="s">
        <v>460</v>
      </c>
      <c r="J175" s="144" t="s">
        <v>1983</v>
      </c>
      <c r="K175" s="144">
        <v>4.5</v>
      </c>
      <c r="L175" s="144" t="s">
        <v>941</v>
      </c>
      <c r="M175" s="144" t="s">
        <v>1984</v>
      </c>
      <c r="N175" s="144">
        <v>4</v>
      </c>
      <c r="O175" s="144" t="s">
        <v>478</v>
      </c>
      <c r="P175" s="144">
        <v>6000000</v>
      </c>
      <c r="Q175" s="144" t="s">
        <v>454</v>
      </c>
      <c r="R175" s="144" t="s">
        <v>452</v>
      </c>
      <c r="S175" s="144"/>
      <c r="T175" s="144" t="s">
        <v>1985</v>
      </c>
      <c r="U175" s="145" t="s">
        <v>454</v>
      </c>
      <c r="V175" s="145" t="s">
        <v>1854</v>
      </c>
      <c r="W175" s="145"/>
      <c r="X175" s="144" t="s">
        <v>1986</v>
      </c>
      <c r="Y175" s="144" t="s">
        <v>1987</v>
      </c>
      <c r="Z175" s="144" t="e">
        <f>IF(VLOOKUP($Y175,'For Lookup'!$A:$B,1, FALSE)=$Y175,"Yes","No")</f>
        <v>#N/A</v>
      </c>
      <c r="AA175" s="144"/>
      <c r="AB175" s="144" t="e">
        <f t="array" aca="1" ref="AB175" ca="1">_xludf.IFS(F175="Deep Tech", INDEX('DT Short List'!U:U,MATCH(B175,'DT Short List'!A:A,0)),F175="Life Sciences",INDEX('LS Shortlist'!T:T,MATCH(B175,'LS Shortlist'!B:B,0)),F175="Digital Tech",INDEX('DiT - Shortlist'!T:T,MATCH(B175,'DiT - Shortlist'!B:B,0)))</f>
        <v>#NAME?</v>
      </c>
    </row>
    <row r="176" spans="1:28">
      <c r="A176" s="140" t="s">
        <v>907</v>
      </c>
      <c r="B176" s="140" t="s">
        <v>347</v>
      </c>
      <c r="C176" s="140" t="s">
        <v>1988</v>
      </c>
      <c r="D176" s="140" t="s">
        <v>1989</v>
      </c>
      <c r="E176" s="140" t="s">
        <v>1990</v>
      </c>
      <c r="F176" s="150" t="s">
        <v>3</v>
      </c>
      <c r="G176" s="140">
        <v>4</v>
      </c>
      <c r="H176" s="140" t="s">
        <v>18</v>
      </c>
      <c r="I176" s="140" t="s">
        <v>488</v>
      </c>
      <c r="J176" s="140" t="s">
        <v>1991</v>
      </c>
      <c r="K176" s="140">
        <v>4</v>
      </c>
      <c r="L176" s="140" t="s">
        <v>941</v>
      </c>
      <c r="M176" s="140" t="s">
        <v>1992</v>
      </c>
      <c r="N176" s="140">
        <v>4</v>
      </c>
      <c r="O176" s="140"/>
      <c r="P176" s="140"/>
      <c r="Q176" s="140" t="s">
        <v>452</v>
      </c>
      <c r="R176" s="140" t="s">
        <v>575</v>
      </c>
      <c r="S176" s="140" t="s">
        <v>1993</v>
      </c>
      <c r="T176" s="140"/>
      <c r="U176" s="143" t="s">
        <v>481</v>
      </c>
      <c r="V176" s="143"/>
      <c r="W176" s="143" t="s">
        <v>1993</v>
      </c>
      <c r="X176" s="140" t="s">
        <v>1994</v>
      </c>
      <c r="Y176" s="140" t="s">
        <v>1995</v>
      </c>
      <c r="Z176" s="140" t="e">
        <f>IF(VLOOKUP($Y176,'For Lookup'!$A:$B,1, FALSE)=$Y176,"Yes","No")</f>
        <v>#N/A</v>
      </c>
      <c r="AA176" s="140"/>
      <c r="AB176" s="140" t="e">
        <f t="array" aca="1" ref="AB176" ca="1">_xludf.IFS(F176="Deep Tech", INDEX('DT Short List'!U:U,MATCH(B176,'DT Short List'!A:A,0)),F176="Life Sciences",INDEX('LS Shortlist'!T:T,MATCH(B176,'LS Shortlist'!B:B,0)),F176="Digital Tech",INDEX('DiT - Shortlist'!T:T,MATCH(B176,'DiT - Shortlist'!B:B,0)))</f>
        <v>#NAME?</v>
      </c>
    </row>
    <row r="177" spans="1:28">
      <c r="A177" s="144" t="s">
        <v>907</v>
      </c>
      <c r="B177" s="144" t="s">
        <v>348</v>
      </c>
      <c r="C177" s="144" t="s">
        <v>1996</v>
      </c>
      <c r="D177" s="144" t="s">
        <v>1997</v>
      </c>
      <c r="E177" s="144" t="s">
        <v>1998</v>
      </c>
      <c r="F177" s="150" t="s">
        <v>3</v>
      </c>
      <c r="G177" s="144">
        <v>4.75</v>
      </c>
      <c r="H177" s="144" t="s">
        <v>18</v>
      </c>
      <c r="I177" s="144" t="s">
        <v>460</v>
      </c>
      <c r="J177" s="144" t="s">
        <v>1999</v>
      </c>
      <c r="K177" s="144">
        <v>4.5</v>
      </c>
      <c r="L177" s="144" t="s">
        <v>941</v>
      </c>
      <c r="M177" s="144" t="s">
        <v>2000</v>
      </c>
      <c r="N177" s="144">
        <v>5</v>
      </c>
      <c r="O177" s="144" t="s">
        <v>478</v>
      </c>
      <c r="P177" s="144" t="s">
        <v>2001</v>
      </c>
      <c r="Q177" s="144" t="s">
        <v>452</v>
      </c>
      <c r="R177" s="144" t="s">
        <v>452</v>
      </c>
      <c r="S177" s="144" t="s">
        <v>2002</v>
      </c>
      <c r="T177" s="144" t="s">
        <v>2003</v>
      </c>
      <c r="U177" s="145" t="s">
        <v>454</v>
      </c>
      <c r="V177" s="145"/>
      <c r="W177" s="145" t="s">
        <v>2002</v>
      </c>
      <c r="X177" s="144" t="s">
        <v>2004</v>
      </c>
      <c r="Y177" s="144" t="s">
        <v>2005</v>
      </c>
      <c r="Z177" s="144" t="str">
        <f>IF(VLOOKUP($Y177,'For Lookup'!$A:$B,1, FALSE)=$Y177,"Yes","No")</f>
        <v>Yes</v>
      </c>
      <c r="AA177" s="144"/>
      <c r="AB177" s="144" t="e">
        <f t="array" aca="1" ref="AB177" ca="1">_xludf.IFS(F177="Deep Tech", INDEX('DT Short List'!U:U,MATCH(B177,'DT Short List'!A:A,0)),F177="Life Sciences",INDEX('LS Shortlist'!T:T,MATCH(B177,'LS Shortlist'!B:B,0)),F177="Digital Tech",INDEX('DiT - Shortlist'!T:T,MATCH(B177,'DiT - Shortlist'!B:B,0)))</f>
        <v>#NAME?</v>
      </c>
    </row>
    <row r="178" spans="1:28">
      <c r="A178" s="140" t="s">
        <v>471</v>
      </c>
      <c r="B178" s="140" t="s">
        <v>349</v>
      </c>
      <c r="C178" s="140" t="s">
        <v>2006</v>
      </c>
      <c r="D178" s="140" t="s">
        <v>2007</v>
      </c>
      <c r="E178" s="140" t="s">
        <v>2008</v>
      </c>
      <c r="F178" s="150" t="s">
        <v>3</v>
      </c>
      <c r="G178" s="140">
        <v>4.25</v>
      </c>
      <c r="H178" s="140" t="s">
        <v>18</v>
      </c>
      <c r="I178" s="140" t="s">
        <v>460</v>
      </c>
      <c r="J178" s="140" t="s">
        <v>2009</v>
      </c>
      <c r="K178" s="140">
        <v>4.5</v>
      </c>
      <c r="L178" s="140" t="s">
        <v>941</v>
      </c>
      <c r="M178" s="140"/>
      <c r="N178" s="140">
        <v>4</v>
      </c>
      <c r="O178" s="140" t="s">
        <v>451</v>
      </c>
      <c r="P178" s="140" t="s">
        <v>2010</v>
      </c>
      <c r="Q178" s="140" t="s">
        <v>452</v>
      </c>
      <c r="R178" s="140" t="s">
        <v>452</v>
      </c>
      <c r="S178" s="140"/>
      <c r="T178" s="140"/>
      <c r="U178" s="143" t="s">
        <v>481</v>
      </c>
      <c r="V178" s="143"/>
      <c r="W178" s="143"/>
      <c r="X178" s="140" t="s">
        <v>2011</v>
      </c>
      <c r="Y178" s="140" t="s">
        <v>2012</v>
      </c>
      <c r="Z178" s="140" t="e">
        <f>IF(VLOOKUP($Y178,'For Lookup'!$A:$B,1, FALSE)=$Y178,"Yes","No")</f>
        <v>#N/A</v>
      </c>
      <c r="AA178" s="140"/>
      <c r="AB178" s="140" t="e">
        <f t="array" aca="1" ref="AB178" ca="1">_xludf.IFS(F178="Deep Tech", INDEX('DT Short List'!U:U,MATCH(B178,'DT Short List'!A:A,0)),F178="Life Sciences",INDEX('LS Shortlist'!T:T,MATCH(B178,'LS Shortlist'!B:B,0)),F178="Digital Tech",INDEX('DiT - Shortlist'!T:T,MATCH(B178,'DiT - Shortlist'!B:B,0)))</f>
        <v>#NAME?</v>
      </c>
    </row>
    <row r="179" spans="1:28">
      <c r="A179" s="144" t="s">
        <v>529</v>
      </c>
      <c r="B179" s="144" t="s">
        <v>418</v>
      </c>
      <c r="C179" s="144" t="s">
        <v>2013</v>
      </c>
      <c r="D179" s="144" t="s">
        <v>2014</v>
      </c>
      <c r="E179" s="144" t="s">
        <v>2015</v>
      </c>
      <c r="F179" s="150" t="s">
        <v>3</v>
      </c>
      <c r="G179" s="144">
        <v>4.25</v>
      </c>
      <c r="H179" s="144" t="s">
        <v>18</v>
      </c>
      <c r="I179" s="144" t="s">
        <v>460</v>
      </c>
      <c r="J179" s="144" t="s">
        <v>2016</v>
      </c>
      <c r="K179" s="144">
        <v>4.5</v>
      </c>
      <c r="L179" s="144" t="s">
        <v>462</v>
      </c>
      <c r="M179" s="144" t="s">
        <v>2017</v>
      </c>
      <c r="N179" s="144">
        <v>4</v>
      </c>
      <c r="O179" s="144" t="s">
        <v>451</v>
      </c>
      <c r="P179" s="144" t="s">
        <v>2018</v>
      </c>
      <c r="Q179" s="144" t="s">
        <v>452</v>
      </c>
      <c r="R179" s="144" t="s">
        <v>575</v>
      </c>
      <c r="S179" s="144" t="s">
        <v>1187</v>
      </c>
      <c r="T179" s="144"/>
      <c r="U179" s="145" t="s">
        <v>454</v>
      </c>
      <c r="V179" s="145"/>
      <c r="W179" s="145" t="s">
        <v>1187</v>
      </c>
      <c r="X179" s="144" t="s">
        <v>2019</v>
      </c>
      <c r="Y179" s="144" t="s">
        <v>2020</v>
      </c>
      <c r="Z179" s="144" t="e">
        <f>IF(VLOOKUP($Y179,'For Lookup'!$A:$B,1, FALSE)=$Y179,"Yes","No")</f>
        <v>#N/A</v>
      </c>
      <c r="AA179" s="144"/>
      <c r="AB179" s="144" t="e">
        <f t="array" aca="1" ref="AB179" ca="1">_xludf.IFS(F179="Deep Tech", INDEX('DT Short List'!U:U,MATCH(B179,'DT Short List'!A:A,0)),F179="Life Sciences",INDEX('LS Shortlist'!T:T,MATCH(B179,'LS Shortlist'!B:B,0)),F179="Digital Tech",INDEX('DiT - Shortlist'!T:T,MATCH(B179,'DiT - Shortlist'!B:B,0)))</f>
        <v>#NAME?</v>
      </c>
    </row>
    <row r="180" spans="1:28">
      <c r="A180" s="140" t="s">
        <v>443</v>
      </c>
      <c r="B180" s="140" t="s">
        <v>358</v>
      </c>
      <c r="C180" s="140" t="s">
        <v>2021</v>
      </c>
      <c r="D180" s="140" t="s">
        <v>2022</v>
      </c>
      <c r="E180" s="140" t="s">
        <v>2023</v>
      </c>
      <c r="F180" s="150" t="s">
        <v>3</v>
      </c>
      <c r="G180" s="140">
        <v>4.25</v>
      </c>
      <c r="H180" s="140" t="s">
        <v>18</v>
      </c>
      <c r="I180" s="140" t="s">
        <v>725</v>
      </c>
      <c r="J180" s="140" t="s">
        <v>2024</v>
      </c>
      <c r="K180" s="140">
        <v>4.5</v>
      </c>
      <c r="L180" s="140" t="s">
        <v>941</v>
      </c>
      <c r="M180" s="140" t="s">
        <v>2025</v>
      </c>
      <c r="N180" s="140">
        <v>4</v>
      </c>
      <c r="O180" s="140" t="s">
        <v>478</v>
      </c>
      <c r="P180" s="140" t="s">
        <v>2026</v>
      </c>
      <c r="Q180" s="140" t="s">
        <v>452</v>
      </c>
      <c r="R180" s="140" t="s">
        <v>452</v>
      </c>
      <c r="S180" s="140"/>
      <c r="T180" s="140" t="s">
        <v>2027</v>
      </c>
      <c r="U180" s="143" t="s">
        <v>454</v>
      </c>
      <c r="V180" s="143"/>
      <c r="W180" s="143"/>
      <c r="X180" s="140" t="s">
        <v>2028</v>
      </c>
      <c r="Y180" s="140" t="s">
        <v>2029</v>
      </c>
      <c r="Z180" s="140" t="e">
        <f>IF(VLOOKUP($Y180,'For Lookup'!$A:$B,1, FALSE)=$Y180,"Yes","No")</f>
        <v>#N/A</v>
      </c>
      <c r="AA180" s="140"/>
      <c r="AB180" s="140" t="e">
        <f t="array" aca="1" ref="AB180" ca="1">_xludf.IFS(F180="Deep Tech", INDEX('DT Short List'!U:U,MATCH(B180,'DT Short List'!A:A,0)),F180="Life Sciences",INDEX('LS Shortlist'!T:T,MATCH(B180,'LS Shortlist'!B:B,0)),F180="Digital Tech",INDEX('DiT - Shortlist'!T:T,MATCH(B180,'DiT - Shortlist'!B:B,0)))</f>
        <v>#NAME?</v>
      </c>
    </row>
    <row r="181" spans="1:28">
      <c r="A181" s="144" t="s">
        <v>484</v>
      </c>
      <c r="B181" s="144" t="s">
        <v>360</v>
      </c>
      <c r="C181" s="144" t="s">
        <v>2030</v>
      </c>
      <c r="D181" s="144" t="s">
        <v>2031</v>
      </c>
      <c r="E181" s="144" t="s">
        <v>2032</v>
      </c>
      <c r="F181" s="150" t="s">
        <v>3</v>
      </c>
      <c r="G181" s="144">
        <v>5</v>
      </c>
      <c r="H181" s="144" t="s">
        <v>18</v>
      </c>
      <c r="I181" s="144" t="s">
        <v>460</v>
      </c>
      <c r="J181" s="144" t="s">
        <v>2033</v>
      </c>
      <c r="K181" s="144">
        <v>5</v>
      </c>
      <c r="L181" s="144" t="s">
        <v>462</v>
      </c>
      <c r="M181" s="144" t="s">
        <v>2034</v>
      </c>
      <c r="N181" s="144">
        <v>5</v>
      </c>
      <c r="O181" s="144" t="s">
        <v>478</v>
      </c>
      <c r="P181" s="146">
        <v>3000000</v>
      </c>
      <c r="Q181" s="144" t="s">
        <v>465</v>
      </c>
      <c r="R181" s="144" t="s">
        <v>452</v>
      </c>
      <c r="S181" s="144"/>
      <c r="T181" s="144" t="s">
        <v>2035</v>
      </c>
      <c r="U181" s="145" t="s">
        <v>481</v>
      </c>
      <c r="V181" s="145"/>
      <c r="W181" s="145"/>
      <c r="X181" s="144" t="s">
        <v>2036</v>
      </c>
      <c r="Y181" s="144" t="s">
        <v>2037</v>
      </c>
      <c r="Z181" s="144" t="str">
        <f>IF(VLOOKUP($Y181,'For Lookup'!$A:$B,1, FALSE)=$Y181,"Yes","No")</f>
        <v>Yes</v>
      </c>
      <c r="AA181" s="144"/>
      <c r="AB181" s="144" t="e">
        <f t="array" aca="1" ref="AB181" ca="1">_xludf.IFS(F181="Deep Tech", INDEX('DT Short List'!U:U,MATCH(B181,'DT Short List'!A:A,0)),F181="Life Sciences",INDEX('LS Shortlist'!T:T,MATCH(B181,'LS Shortlist'!B:B,0)),F181="Digital Tech",INDEX('DiT - Shortlist'!T:T,MATCH(B181,'DiT - Shortlist'!B:B,0)))</f>
        <v>#NAME?</v>
      </c>
    </row>
    <row r="182" spans="1:28">
      <c r="A182" s="140" t="s">
        <v>529</v>
      </c>
      <c r="B182" s="140" t="s">
        <v>361</v>
      </c>
      <c r="C182" s="140" t="s">
        <v>2038</v>
      </c>
      <c r="D182" s="140" t="s">
        <v>2039</v>
      </c>
      <c r="E182" s="140" t="s">
        <v>2040</v>
      </c>
      <c r="F182" s="150" t="s">
        <v>3</v>
      </c>
      <c r="G182" s="140">
        <v>4.75</v>
      </c>
      <c r="H182" s="140" t="s">
        <v>18</v>
      </c>
      <c r="I182" s="140" t="s">
        <v>725</v>
      </c>
      <c r="J182" s="140" t="s">
        <v>2041</v>
      </c>
      <c r="K182" s="140">
        <v>5</v>
      </c>
      <c r="L182" s="140" t="s">
        <v>941</v>
      </c>
      <c r="M182" s="140" t="s">
        <v>2042</v>
      </c>
      <c r="N182" s="140">
        <v>4.5</v>
      </c>
      <c r="O182" s="140" t="s">
        <v>451</v>
      </c>
      <c r="P182" s="142">
        <v>15000000</v>
      </c>
      <c r="Q182" s="140" t="s">
        <v>452</v>
      </c>
      <c r="R182" s="140" t="s">
        <v>452</v>
      </c>
      <c r="S182" s="140" t="s">
        <v>2043</v>
      </c>
      <c r="T182" s="140" t="s">
        <v>2044</v>
      </c>
      <c r="U182" s="143" t="s">
        <v>481</v>
      </c>
      <c r="V182" s="143"/>
      <c r="W182" s="143" t="s">
        <v>2043</v>
      </c>
      <c r="X182" s="140" t="s">
        <v>2045</v>
      </c>
      <c r="Y182" s="140" t="s">
        <v>2046</v>
      </c>
      <c r="Z182" s="140" t="str">
        <f>IF(VLOOKUP($Y182,'For Lookup'!$A:$B,1, FALSE)=$Y182,"Yes","No")</f>
        <v>Yes</v>
      </c>
      <c r="AA182" s="140"/>
      <c r="AB182" s="140" t="e">
        <f t="array" aca="1" ref="AB182" ca="1">_xludf.IFS(F182="Deep Tech", INDEX('DT Short List'!U:U,MATCH(B182,'DT Short List'!A:A,0)),F182="Life Sciences",INDEX('LS Shortlist'!T:T,MATCH(B182,'LS Shortlist'!B:B,0)),F182="Digital Tech",INDEX('DiT - Shortlist'!T:T,MATCH(B182,'DiT - Shortlist'!B:B,0)))</f>
        <v>#NAME?</v>
      </c>
    </row>
    <row r="183" spans="1:28">
      <c r="A183" s="153" t="s">
        <v>907</v>
      </c>
      <c r="B183" s="153" t="s">
        <v>362</v>
      </c>
      <c r="C183" s="153" t="s">
        <v>2047</v>
      </c>
      <c r="D183" s="153" t="s">
        <v>2048</v>
      </c>
      <c r="E183" s="153" t="s">
        <v>2049</v>
      </c>
      <c r="F183" s="153" t="s">
        <v>3</v>
      </c>
      <c r="G183" s="153">
        <v>4</v>
      </c>
      <c r="H183" s="153" t="s">
        <v>18</v>
      </c>
      <c r="I183" s="153" t="s">
        <v>460</v>
      </c>
      <c r="J183" s="153" t="s">
        <v>2050</v>
      </c>
      <c r="K183" s="153">
        <v>4</v>
      </c>
      <c r="L183" s="153" t="s">
        <v>941</v>
      </c>
      <c r="M183" s="153" t="s">
        <v>2051</v>
      </c>
      <c r="N183" s="153">
        <v>4</v>
      </c>
      <c r="O183" s="153" t="s">
        <v>478</v>
      </c>
      <c r="P183" s="154">
        <v>5920000</v>
      </c>
      <c r="Q183" s="153" t="s">
        <v>452</v>
      </c>
      <c r="R183" s="153" t="s">
        <v>452</v>
      </c>
      <c r="S183" s="153"/>
      <c r="T183" s="153"/>
      <c r="U183" s="155" t="s">
        <v>454</v>
      </c>
      <c r="V183" s="155"/>
      <c r="W183" s="155"/>
      <c r="X183" s="153" t="s">
        <v>2052</v>
      </c>
      <c r="Y183" s="153" t="s">
        <v>2053</v>
      </c>
      <c r="Z183" s="144" t="e">
        <f>IF(VLOOKUP($Y183,'For Lookup'!$A:$B,1, FALSE)=$Y183,"Yes","No")</f>
        <v>#N/A</v>
      </c>
      <c r="AA183" s="153"/>
      <c r="AB183" s="144" t="e">
        <f t="array" aca="1" ref="AB183" ca="1">_xludf.IFS(F183="Deep Tech", INDEX('DT Short List'!U:U,MATCH(B183,'DT Short List'!A:A,0)),F183="Life Sciences",INDEX('LS Shortlist'!T:T,MATCH(B183,'LS Shortlist'!B:B,0)),F183="Digital Tech",INDEX('DiT - Shortlist'!T:T,MATCH(B183,'DiT - Shortlist'!B:B,0)))</f>
        <v>#NAME?</v>
      </c>
    </row>
    <row r="184" spans="1:28">
      <c r="A184" s="140" t="s">
        <v>503</v>
      </c>
      <c r="B184" s="140" t="s">
        <v>363</v>
      </c>
      <c r="C184" s="140" t="s">
        <v>2054</v>
      </c>
      <c r="D184" s="140" t="s">
        <v>2055</v>
      </c>
      <c r="E184" s="140" t="s">
        <v>2056</v>
      </c>
      <c r="F184" s="150" t="s">
        <v>3</v>
      </c>
      <c r="G184" s="140">
        <v>4.5</v>
      </c>
      <c r="H184" s="140" t="s">
        <v>18</v>
      </c>
      <c r="I184" s="140" t="s">
        <v>460</v>
      </c>
      <c r="J184" s="140" t="s">
        <v>2057</v>
      </c>
      <c r="K184" s="140">
        <v>4</v>
      </c>
      <c r="L184" s="140" t="s">
        <v>941</v>
      </c>
      <c r="M184" s="140"/>
      <c r="N184" s="140">
        <v>5</v>
      </c>
      <c r="O184" s="140" t="s">
        <v>784</v>
      </c>
      <c r="P184" s="140" t="s">
        <v>2058</v>
      </c>
      <c r="Q184" s="140" t="s">
        <v>452</v>
      </c>
      <c r="R184" s="140" t="s">
        <v>452</v>
      </c>
      <c r="S184" s="140" t="s">
        <v>2059</v>
      </c>
      <c r="T184" s="140"/>
      <c r="U184" s="143" t="s">
        <v>481</v>
      </c>
      <c r="V184" s="143"/>
      <c r="W184" s="143" t="s">
        <v>2059</v>
      </c>
      <c r="X184" s="140" t="s">
        <v>2060</v>
      </c>
      <c r="Y184" s="140" t="s">
        <v>2061</v>
      </c>
      <c r="Z184" s="140" t="e">
        <f>IF(VLOOKUP($Y184,'For Lookup'!$A:$B,1, FALSE)=$Y184,"Yes","No")</f>
        <v>#N/A</v>
      </c>
      <c r="AA184" s="140"/>
      <c r="AB184" s="140" t="e">
        <f t="array" aca="1" ref="AB184" ca="1">_xludf.IFS(F184="Deep Tech", INDEX('DT Short List'!U:U,MATCH(B184,'DT Short List'!A:A,0)),F184="Life Sciences",INDEX('LS Shortlist'!T:T,MATCH(B184,'LS Shortlist'!B:B,0)),F184="Digital Tech",INDEX('DiT - Shortlist'!T:T,MATCH(B184,'DiT - Shortlist'!B:B,0)))</f>
        <v>#NAME?</v>
      </c>
    </row>
    <row r="185" spans="1:28">
      <c r="A185" s="144" t="s">
        <v>484</v>
      </c>
      <c r="B185" s="144" t="s">
        <v>368</v>
      </c>
      <c r="C185" s="144" t="s">
        <v>2062</v>
      </c>
      <c r="D185" s="144" t="s">
        <v>2063</v>
      </c>
      <c r="E185" s="144" t="s">
        <v>2064</v>
      </c>
      <c r="F185" s="150" t="s">
        <v>3</v>
      </c>
      <c r="G185" s="144">
        <v>5</v>
      </c>
      <c r="H185" s="144" t="s">
        <v>18</v>
      </c>
      <c r="I185" s="144" t="s">
        <v>460</v>
      </c>
      <c r="J185" s="144" t="s">
        <v>2065</v>
      </c>
      <c r="K185" s="144">
        <v>5</v>
      </c>
      <c r="L185" s="144" t="s">
        <v>488</v>
      </c>
      <c r="M185" s="144" t="s">
        <v>2066</v>
      </c>
      <c r="N185" s="144">
        <v>5</v>
      </c>
      <c r="O185" s="144" t="s">
        <v>973</v>
      </c>
      <c r="P185" s="144" t="s">
        <v>2067</v>
      </c>
      <c r="Q185" s="144" t="s">
        <v>465</v>
      </c>
      <c r="R185" s="144" t="s">
        <v>2068</v>
      </c>
      <c r="S185" s="144"/>
      <c r="T185" s="144" t="s">
        <v>2069</v>
      </c>
      <c r="U185" s="145" t="s">
        <v>481</v>
      </c>
      <c r="V185" s="145"/>
      <c r="W185" s="145"/>
      <c r="X185" s="144" t="s">
        <v>2070</v>
      </c>
      <c r="Y185" s="144" t="s">
        <v>2071</v>
      </c>
      <c r="Z185" s="144" t="str">
        <f>IF(VLOOKUP($Y185,'For Lookup'!$A:$B,1, FALSE)=$Y185,"Yes","No")</f>
        <v>Yes</v>
      </c>
      <c r="AA185" s="144"/>
      <c r="AB185" s="144" t="e">
        <f t="array" aca="1" ref="AB185" ca="1">_xludf.IFS(F185="Deep Tech", INDEX('DT Short List'!U:U,MATCH(B185,'DT Short List'!A:A,0)),F185="Life Sciences",INDEX('LS Shortlist'!T:T,MATCH(B185,'LS Shortlist'!B:B,0)),F185="Digital Tech",INDEX('DiT - Shortlist'!T:T,MATCH(B185,'DiT - Shortlist'!B:B,0)))</f>
        <v>#NAME?</v>
      </c>
    </row>
    <row r="186" spans="1:28">
      <c r="A186" s="140" t="s">
        <v>529</v>
      </c>
      <c r="B186" s="140" t="s">
        <v>369</v>
      </c>
      <c r="C186" s="140" t="s">
        <v>2072</v>
      </c>
      <c r="D186" s="140" t="s">
        <v>2073</v>
      </c>
      <c r="E186" s="140" t="s">
        <v>2074</v>
      </c>
      <c r="F186" s="150" t="s">
        <v>3</v>
      </c>
      <c r="G186" s="140">
        <v>4.75</v>
      </c>
      <c r="H186" s="140" t="s">
        <v>18</v>
      </c>
      <c r="I186" s="140" t="s">
        <v>488</v>
      </c>
      <c r="J186" s="140" t="s">
        <v>2075</v>
      </c>
      <c r="K186" s="140">
        <v>5</v>
      </c>
      <c r="L186" s="140" t="s">
        <v>462</v>
      </c>
      <c r="M186" s="140" t="s">
        <v>2076</v>
      </c>
      <c r="N186" s="140">
        <v>4.5</v>
      </c>
      <c r="O186" s="140" t="s">
        <v>478</v>
      </c>
      <c r="P186" s="140" t="s">
        <v>2077</v>
      </c>
      <c r="Q186" s="140" t="s">
        <v>452</v>
      </c>
      <c r="R186" s="140" t="s">
        <v>2078</v>
      </c>
      <c r="S186" s="140"/>
      <c r="T186" s="140" t="s">
        <v>2079</v>
      </c>
      <c r="U186" s="143" t="s">
        <v>481</v>
      </c>
      <c r="V186" s="143"/>
      <c r="W186" s="143"/>
      <c r="X186" s="140" t="s">
        <v>2080</v>
      </c>
      <c r="Y186" s="140" t="s">
        <v>2081</v>
      </c>
      <c r="Z186" s="140" t="str">
        <f>IF(VLOOKUP($Y186,'For Lookup'!$A:$B,1, FALSE)=$Y186,"Yes","No")</f>
        <v>Yes</v>
      </c>
      <c r="AA186" s="140"/>
      <c r="AB186" s="140" t="e">
        <f t="array" aca="1" ref="AB186" ca="1">_xludf.IFS(F186="Deep Tech", INDEX('DT Short List'!U:U,MATCH(B186,'DT Short List'!A:A,0)),F186="Life Sciences",INDEX('LS Shortlist'!T:T,MATCH(B186,'LS Shortlist'!B:B,0)),F186="Digital Tech",INDEX('DiT - Shortlist'!T:T,MATCH(B186,'DiT - Shortlist'!B:B,0)))</f>
        <v>#NAME?</v>
      </c>
    </row>
    <row r="187" spans="1:28">
      <c r="A187" s="144" t="s">
        <v>484</v>
      </c>
      <c r="B187" s="144" t="s">
        <v>370</v>
      </c>
      <c r="C187" s="144" t="s">
        <v>2082</v>
      </c>
      <c r="D187" s="144" t="s">
        <v>2083</v>
      </c>
      <c r="E187" s="144" t="s">
        <v>2084</v>
      </c>
      <c r="F187" s="150" t="s">
        <v>3</v>
      </c>
      <c r="G187" s="144">
        <v>3.75</v>
      </c>
      <c r="H187" s="144" t="s">
        <v>18</v>
      </c>
      <c r="I187" s="144" t="s">
        <v>460</v>
      </c>
      <c r="J187" s="144" t="s">
        <v>2085</v>
      </c>
      <c r="K187" s="144">
        <v>4</v>
      </c>
      <c r="L187" s="144" t="s">
        <v>941</v>
      </c>
      <c r="M187" s="144" t="s">
        <v>2086</v>
      </c>
      <c r="N187" s="144">
        <v>3.5</v>
      </c>
      <c r="O187" s="144" t="s">
        <v>451</v>
      </c>
      <c r="P187" s="147">
        <v>7500000</v>
      </c>
      <c r="Q187" s="144" t="s">
        <v>465</v>
      </c>
      <c r="R187" s="144" t="s">
        <v>452</v>
      </c>
      <c r="S187" s="144"/>
      <c r="T187" s="144" t="s">
        <v>2087</v>
      </c>
      <c r="U187" s="145" t="s">
        <v>481</v>
      </c>
      <c r="V187" s="145"/>
      <c r="W187" s="145"/>
      <c r="X187" s="144" t="s">
        <v>2088</v>
      </c>
      <c r="Y187" s="144" t="s">
        <v>2089</v>
      </c>
      <c r="Z187" s="144" t="e">
        <f>IF(VLOOKUP($Y187,'For Lookup'!$A:$B,1, FALSE)=$Y187,"Yes","No")</f>
        <v>#N/A</v>
      </c>
      <c r="AA187" s="144"/>
      <c r="AB187" s="144" t="e">
        <f t="array" aca="1" ref="AB187" ca="1">_xludf.IFS(F187="Deep Tech", INDEX('DT Short List'!U:U,MATCH(B187,'DT Short List'!A:A,0)),F187="Life Sciences",INDEX('LS Shortlist'!T:T,MATCH(B187,'LS Shortlist'!B:B,0)),F187="Digital Tech",INDEX('DiT - Shortlist'!T:T,MATCH(B187,'DiT - Shortlist'!B:B,0)))</f>
        <v>#NAME?</v>
      </c>
    </row>
    <row r="188" spans="1:28">
      <c r="A188" s="140" t="s">
        <v>471</v>
      </c>
      <c r="B188" s="140" t="s">
        <v>2090</v>
      </c>
      <c r="C188" s="140" t="s">
        <v>2091</v>
      </c>
      <c r="D188" s="140" t="s">
        <v>2092</v>
      </c>
      <c r="E188" s="140" t="s">
        <v>2093</v>
      </c>
      <c r="F188" s="140" t="s">
        <v>5</v>
      </c>
      <c r="G188" s="140">
        <v>3.25</v>
      </c>
      <c r="H188" s="140" t="s">
        <v>24</v>
      </c>
      <c r="I188" s="140" t="s">
        <v>447</v>
      </c>
      <c r="J188" s="140" t="s">
        <v>2094</v>
      </c>
      <c r="K188" s="140">
        <v>3.5</v>
      </c>
      <c r="L188" s="140" t="s">
        <v>449</v>
      </c>
      <c r="M188" s="140" t="s">
        <v>2095</v>
      </c>
      <c r="N188" s="140">
        <v>3</v>
      </c>
      <c r="O188" s="140" t="s">
        <v>451</v>
      </c>
      <c r="P188" s="140">
        <v>2500000</v>
      </c>
      <c r="Q188" s="140" t="s">
        <v>465</v>
      </c>
      <c r="R188" s="140" t="s">
        <v>2096</v>
      </c>
      <c r="S188" s="140"/>
      <c r="T188" s="140"/>
      <c r="U188" s="143"/>
      <c r="V188" s="143"/>
      <c r="W188" s="143"/>
      <c r="X188" s="140" t="s">
        <v>2097</v>
      </c>
      <c r="Y188" s="140" t="s">
        <v>2098</v>
      </c>
      <c r="Z188" s="140" t="str">
        <f ca="1">IFERROR(__xludf.DUMMYFUNCTION("IF(VLOOKUP($Y188, IMPORTRANGE(""https://docs.google.com/spreadsheets/d/1WsTKRjz8_fF2119Ff9dhKIIYXSaUEHzuWr8pBkxmwQQ/edit"", ""Form Responses 1!$B:$Z""),1, FALSE)=$Y188,""Yes"",""No"")"),"#N/A")</f>
        <v>#N/A</v>
      </c>
      <c r="AA188" s="140"/>
      <c r="AB188" s="140"/>
    </row>
    <row r="189" spans="1:28">
      <c r="A189" s="144" t="s">
        <v>443</v>
      </c>
      <c r="B189" s="144" t="s">
        <v>63</v>
      </c>
      <c r="C189" s="144" t="s">
        <v>2099</v>
      </c>
      <c r="D189" s="144" t="s">
        <v>2100</v>
      </c>
      <c r="E189" s="144" t="s">
        <v>2101</v>
      </c>
      <c r="F189" s="144" t="s">
        <v>5</v>
      </c>
      <c r="G189" s="144">
        <v>3.5</v>
      </c>
      <c r="H189" s="144" t="s">
        <v>24</v>
      </c>
      <c r="I189" s="144" t="s">
        <v>447</v>
      </c>
      <c r="J189" s="144" t="s">
        <v>2102</v>
      </c>
      <c r="K189" s="144">
        <v>3.5</v>
      </c>
      <c r="L189" s="144" t="s">
        <v>543</v>
      </c>
      <c r="M189" s="144" t="s">
        <v>2103</v>
      </c>
      <c r="N189" s="144">
        <v>3.5</v>
      </c>
      <c r="O189" s="144"/>
      <c r="P189" s="144"/>
      <c r="Q189" s="144" t="s">
        <v>452</v>
      </c>
      <c r="R189" s="144" t="s">
        <v>2104</v>
      </c>
      <c r="S189" s="144"/>
      <c r="T189" s="144" t="s">
        <v>2105</v>
      </c>
      <c r="U189" s="145" t="s">
        <v>454</v>
      </c>
      <c r="V189" s="145"/>
      <c r="W189" s="145"/>
      <c r="X189" s="144" t="s">
        <v>2106</v>
      </c>
      <c r="Y189" s="144" t="s">
        <v>2107</v>
      </c>
      <c r="Z189" s="144" t="str">
        <f ca="1">IFERROR(__xludf.DUMMYFUNCTION("IF(VLOOKUP($Y189, IMPORTRANGE(""https://docs.google.com/spreadsheets/d/1WsTKRjz8_fF2119Ff9dhKIIYXSaUEHzuWr8pBkxmwQQ/edit"", ""Form Responses 1!$B:$Z""),1, FALSE)=$Y189,""Yes"",""No"")"),"#N/A")</f>
        <v>#N/A</v>
      </c>
      <c r="AA189" s="144"/>
      <c r="AB189" s="144"/>
    </row>
    <row r="190" spans="1:28">
      <c r="A190" s="140" t="s">
        <v>443</v>
      </c>
      <c r="B190" s="140" t="s">
        <v>2108</v>
      </c>
      <c r="C190" s="140" t="s">
        <v>2109</v>
      </c>
      <c r="D190" s="140" t="s">
        <v>2110</v>
      </c>
      <c r="E190" s="140" t="s">
        <v>2111</v>
      </c>
      <c r="F190" s="140" t="s">
        <v>5</v>
      </c>
      <c r="G190" s="140">
        <v>3.5</v>
      </c>
      <c r="H190" s="140" t="s">
        <v>24</v>
      </c>
      <c r="I190" s="140" t="s">
        <v>447</v>
      </c>
      <c r="J190" s="140" t="s">
        <v>2112</v>
      </c>
      <c r="K190" s="140">
        <v>3.5</v>
      </c>
      <c r="L190" s="140" t="s">
        <v>543</v>
      </c>
      <c r="M190" s="140" t="s">
        <v>2113</v>
      </c>
      <c r="N190" s="140">
        <v>3.5</v>
      </c>
      <c r="O190" s="140" t="s">
        <v>478</v>
      </c>
      <c r="P190" s="140" t="s">
        <v>2114</v>
      </c>
      <c r="Q190" s="140" t="s">
        <v>465</v>
      </c>
      <c r="R190" s="140" t="s">
        <v>2115</v>
      </c>
      <c r="S190" s="140"/>
      <c r="T190" s="140"/>
      <c r="U190" s="143"/>
      <c r="V190" s="143"/>
      <c r="W190" s="143"/>
      <c r="X190" s="140" t="s">
        <v>2116</v>
      </c>
      <c r="Y190" s="140" t="s">
        <v>2117</v>
      </c>
      <c r="Z190" s="140" t="str">
        <f ca="1">IFERROR(__xludf.DUMMYFUNCTION("IF(VLOOKUP($Y190, IMPORTRANGE(""https://docs.google.com/spreadsheets/d/1WsTKRjz8_fF2119Ff9dhKIIYXSaUEHzuWr8pBkxmwQQ/edit"", ""Form Responses 1!$B:$Z""),1, FALSE)=$Y190,""Yes"",""No"")"),"#N/A")</f>
        <v>#N/A</v>
      </c>
      <c r="AA190" s="140"/>
      <c r="AB190" s="140"/>
    </row>
    <row r="191" spans="1:28">
      <c r="A191" s="144" t="s">
        <v>503</v>
      </c>
      <c r="B191" s="144" t="s">
        <v>2118</v>
      </c>
      <c r="C191" s="144" t="s">
        <v>2119</v>
      </c>
      <c r="D191" s="144" t="s">
        <v>2120</v>
      </c>
      <c r="E191" s="144" t="s">
        <v>2121</v>
      </c>
      <c r="F191" s="144" t="s">
        <v>5</v>
      </c>
      <c r="G191" s="144">
        <v>2.5</v>
      </c>
      <c r="H191" s="144" t="s">
        <v>24</v>
      </c>
      <c r="I191" s="144" t="s">
        <v>447</v>
      </c>
      <c r="J191" s="144" t="s">
        <v>2122</v>
      </c>
      <c r="K191" s="144">
        <v>2.5</v>
      </c>
      <c r="L191" s="144" t="s">
        <v>543</v>
      </c>
      <c r="M191" s="144" t="s">
        <v>2123</v>
      </c>
      <c r="N191" s="144">
        <v>2.5</v>
      </c>
      <c r="O191" s="144" t="s">
        <v>451</v>
      </c>
      <c r="P191" s="146">
        <v>400000</v>
      </c>
      <c r="Q191" s="144" t="s">
        <v>452</v>
      </c>
      <c r="R191" s="144" t="s">
        <v>2124</v>
      </c>
      <c r="S191" s="144"/>
      <c r="T191" s="144"/>
      <c r="U191" s="145"/>
      <c r="V191" s="145"/>
      <c r="W191" s="145"/>
      <c r="X191" s="144" t="s">
        <v>2125</v>
      </c>
      <c r="Y191" s="144" t="s">
        <v>2126</v>
      </c>
      <c r="Z191" s="144" t="str">
        <f ca="1">IFERROR(__xludf.DUMMYFUNCTION("IF(VLOOKUP($Y191, IMPORTRANGE(""https://docs.google.com/spreadsheets/d/1WsTKRjz8_fF2119Ff9dhKIIYXSaUEHzuWr8pBkxmwQQ/edit"", ""Form Responses 1!$B:$Z""),1, FALSE)=$Y191,""Yes"",""No"")"),"#N/A")</f>
        <v>#N/A</v>
      </c>
      <c r="AA191" s="144"/>
      <c r="AB191" s="144"/>
    </row>
    <row r="192" spans="1:28">
      <c r="A192" s="140" t="s">
        <v>598</v>
      </c>
      <c r="B192" s="140" t="s">
        <v>2127</v>
      </c>
      <c r="C192" s="140" t="s">
        <v>2128</v>
      </c>
      <c r="D192" s="140" t="s">
        <v>2129</v>
      </c>
      <c r="E192" s="140" t="s">
        <v>2130</v>
      </c>
      <c r="F192" s="140" t="s">
        <v>5</v>
      </c>
      <c r="G192" s="140">
        <v>2.75</v>
      </c>
      <c r="H192" s="140" t="s">
        <v>24</v>
      </c>
      <c r="I192" s="140" t="s">
        <v>447</v>
      </c>
      <c r="J192" s="140" t="s">
        <v>2131</v>
      </c>
      <c r="K192" s="140">
        <v>2.5</v>
      </c>
      <c r="L192" s="140" t="s">
        <v>543</v>
      </c>
      <c r="M192" s="140" t="s">
        <v>2132</v>
      </c>
      <c r="N192" s="140">
        <v>3</v>
      </c>
      <c r="O192" s="140" t="s">
        <v>2133</v>
      </c>
      <c r="P192" s="148">
        <v>10000000</v>
      </c>
      <c r="Q192" s="140" t="s">
        <v>452</v>
      </c>
      <c r="R192" s="140" t="s">
        <v>2134</v>
      </c>
      <c r="S192" s="140"/>
      <c r="T192" s="140"/>
      <c r="U192" s="143"/>
      <c r="V192" s="143"/>
      <c r="W192" s="143"/>
      <c r="X192" s="140" t="s">
        <v>2135</v>
      </c>
      <c r="Y192" s="140" t="s">
        <v>2136</v>
      </c>
      <c r="Z192" s="140" t="str">
        <f ca="1">IFERROR(__xludf.DUMMYFUNCTION("IF(VLOOKUP($Y192, IMPORTRANGE(""https://docs.google.com/spreadsheets/d/1WsTKRjz8_fF2119Ff9dhKIIYXSaUEHzuWr8pBkxmwQQ/edit"", ""Form Responses 1!$B:$Z""),1, FALSE)=$Y192,""Yes"",""No"")"),"#N/A")</f>
        <v>#N/A</v>
      </c>
      <c r="AA192" s="140"/>
      <c r="AB192" s="140"/>
    </row>
    <row r="193" spans="1:28">
      <c r="A193" s="144" t="s">
        <v>443</v>
      </c>
      <c r="B193" s="144" t="s">
        <v>2137</v>
      </c>
      <c r="C193" s="144" t="s">
        <v>2138</v>
      </c>
      <c r="D193" s="144" t="s">
        <v>2139</v>
      </c>
      <c r="E193" s="144" t="s">
        <v>2140</v>
      </c>
      <c r="F193" s="144" t="s">
        <v>5</v>
      </c>
      <c r="G193" s="144">
        <v>2.63</v>
      </c>
      <c r="H193" s="144" t="s">
        <v>24</v>
      </c>
      <c r="I193" s="144" t="s">
        <v>447</v>
      </c>
      <c r="J193" s="144" t="s">
        <v>2141</v>
      </c>
      <c r="K193" s="144">
        <v>2.5</v>
      </c>
      <c r="L193" s="144" t="s">
        <v>449</v>
      </c>
      <c r="M193" s="144" t="s">
        <v>2142</v>
      </c>
      <c r="N193" s="144">
        <v>2.75</v>
      </c>
      <c r="O193" s="144" t="s">
        <v>451</v>
      </c>
      <c r="P193" s="144">
        <v>500000</v>
      </c>
      <c r="Q193" s="144" t="s">
        <v>452</v>
      </c>
      <c r="R193" s="144" t="s">
        <v>2143</v>
      </c>
      <c r="S193" s="144" t="s">
        <v>2144</v>
      </c>
      <c r="T193" s="144"/>
      <c r="U193" s="145"/>
      <c r="V193" s="145"/>
      <c r="W193" s="145"/>
      <c r="X193" s="144" t="s">
        <v>2145</v>
      </c>
      <c r="Y193" s="144" t="s">
        <v>2146</v>
      </c>
      <c r="Z193" s="144" t="str">
        <f ca="1">IFERROR(__xludf.DUMMYFUNCTION("IF(VLOOKUP($Y193, IMPORTRANGE(""https://docs.google.com/spreadsheets/d/1WsTKRjz8_fF2119Ff9dhKIIYXSaUEHzuWr8pBkxmwQQ/edit"", ""Form Responses 1!$B:$Z""),1, FALSE)=$Y193,""Yes"",""No"")"),"#N/A")</f>
        <v>#N/A</v>
      </c>
      <c r="AA193" s="144"/>
      <c r="AB193" s="144"/>
    </row>
    <row r="194" spans="1:28">
      <c r="A194" s="140" t="s">
        <v>598</v>
      </c>
      <c r="B194" s="140" t="s">
        <v>2147</v>
      </c>
      <c r="C194" s="140" t="s">
        <v>2148</v>
      </c>
      <c r="D194" s="140" t="s">
        <v>2149</v>
      </c>
      <c r="E194" s="140"/>
      <c r="F194" s="140" t="s">
        <v>5</v>
      </c>
      <c r="G194" s="140">
        <v>2.25</v>
      </c>
      <c r="H194" s="140" t="s">
        <v>24</v>
      </c>
      <c r="I194" s="140" t="s">
        <v>447</v>
      </c>
      <c r="J194" s="140" t="s">
        <v>2150</v>
      </c>
      <c r="K194" s="140">
        <v>2.5</v>
      </c>
      <c r="L194" s="140" t="s">
        <v>622</v>
      </c>
      <c r="M194" s="140" t="s">
        <v>2151</v>
      </c>
      <c r="N194" s="140">
        <v>2</v>
      </c>
      <c r="O194" s="140" t="s">
        <v>2152</v>
      </c>
      <c r="P194" s="140">
        <v>500000</v>
      </c>
      <c r="Q194" s="140" t="s">
        <v>452</v>
      </c>
      <c r="R194" s="140" t="s">
        <v>2153</v>
      </c>
      <c r="S194" s="140"/>
      <c r="T194" s="140"/>
      <c r="U194" s="143"/>
      <c r="V194" s="143"/>
      <c r="W194" s="143"/>
      <c r="X194" s="140" t="s">
        <v>2154</v>
      </c>
      <c r="Y194" s="140" t="s">
        <v>2155</v>
      </c>
      <c r="Z194" s="140" t="str">
        <f ca="1">IFERROR(__xludf.DUMMYFUNCTION("IF(VLOOKUP($Y194, IMPORTRANGE(""https://docs.google.com/spreadsheets/d/1WsTKRjz8_fF2119Ff9dhKIIYXSaUEHzuWr8pBkxmwQQ/edit"", ""Form Responses 1!$B:$Z""),1, FALSE)=$Y194,""Yes"",""No"")"),"#N/A")</f>
        <v>#N/A</v>
      </c>
      <c r="AA194" s="140"/>
      <c r="AB194" s="140"/>
    </row>
    <row r="195" spans="1:28">
      <c r="A195" s="144" t="s">
        <v>598</v>
      </c>
      <c r="B195" s="144" t="s">
        <v>2156</v>
      </c>
      <c r="C195" s="144" t="s">
        <v>2157</v>
      </c>
      <c r="D195" s="144" t="s">
        <v>2158</v>
      </c>
      <c r="E195" s="144" t="s">
        <v>2159</v>
      </c>
      <c r="F195" s="144" t="s">
        <v>5</v>
      </c>
      <c r="G195" s="144">
        <v>3.25</v>
      </c>
      <c r="H195" s="144" t="s">
        <v>24</v>
      </c>
      <c r="I195" s="144" t="s">
        <v>447</v>
      </c>
      <c r="J195" s="144" t="s">
        <v>2160</v>
      </c>
      <c r="K195" s="144">
        <v>3.5</v>
      </c>
      <c r="L195" s="144" t="s">
        <v>543</v>
      </c>
      <c r="M195" s="144" t="s">
        <v>2161</v>
      </c>
      <c r="N195" s="144">
        <v>3</v>
      </c>
      <c r="O195" s="144" t="s">
        <v>478</v>
      </c>
      <c r="P195" s="146">
        <v>6000000</v>
      </c>
      <c r="Q195" s="144" t="s">
        <v>452</v>
      </c>
      <c r="R195" s="144" t="s">
        <v>2162</v>
      </c>
      <c r="S195" s="144"/>
      <c r="T195" s="144"/>
      <c r="U195" s="145"/>
      <c r="V195" s="145"/>
      <c r="W195" s="145"/>
      <c r="X195" s="144" t="s">
        <v>2163</v>
      </c>
      <c r="Y195" s="144" t="s">
        <v>2164</v>
      </c>
      <c r="Z195" s="144" t="str">
        <f ca="1">IFERROR(__xludf.DUMMYFUNCTION("IF(VLOOKUP($Y195, IMPORTRANGE(""https://docs.google.com/spreadsheets/d/1WsTKRjz8_fF2119Ff9dhKIIYXSaUEHzuWr8pBkxmwQQ/edit"", ""Form Responses 1!$B:$Z""),1, FALSE)=$Y195,""Yes"",""No"")"),"#N/A")</f>
        <v>#N/A</v>
      </c>
      <c r="AA195" s="144"/>
      <c r="AB195" s="144"/>
    </row>
    <row r="196" spans="1:28">
      <c r="A196" s="140" t="s">
        <v>443</v>
      </c>
      <c r="B196" s="140" t="s">
        <v>2165</v>
      </c>
      <c r="C196" s="140" t="s">
        <v>2166</v>
      </c>
      <c r="D196" s="140" t="s">
        <v>2167</v>
      </c>
      <c r="E196" s="140" t="s">
        <v>2168</v>
      </c>
      <c r="F196" s="140" t="s">
        <v>5</v>
      </c>
      <c r="G196" s="140">
        <v>3</v>
      </c>
      <c r="H196" s="140" t="s">
        <v>24</v>
      </c>
      <c r="I196" s="140" t="s">
        <v>447</v>
      </c>
      <c r="J196" s="140" t="s">
        <v>2169</v>
      </c>
      <c r="K196" s="140">
        <v>2.5</v>
      </c>
      <c r="L196" s="140" t="s">
        <v>476</v>
      </c>
      <c r="M196" s="140" t="s">
        <v>2170</v>
      </c>
      <c r="N196" s="140">
        <v>3.5</v>
      </c>
      <c r="O196" s="140" t="s">
        <v>451</v>
      </c>
      <c r="P196" s="140" t="s">
        <v>2171</v>
      </c>
      <c r="Q196" s="140" t="s">
        <v>452</v>
      </c>
      <c r="R196" s="140" t="s">
        <v>452</v>
      </c>
      <c r="S196" s="140"/>
      <c r="T196" s="140"/>
      <c r="U196" s="143"/>
      <c r="V196" s="143"/>
      <c r="W196" s="143"/>
      <c r="X196" s="140" t="s">
        <v>2172</v>
      </c>
      <c r="Y196" s="140" t="s">
        <v>2173</v>
      </c>
      <c r="Z196" s="140" t="str">
        <f ca="1">IFERROR(__xludf.DUMMYFUNCTION("IF(VLOOKUP($Y196, IMPORTRANGE(""https://docs.google.com/spreadsheets/d/1WsTKRjz8_fF2119Ff9dhKIIYXSaUEHzuWr8pBkxmwQQ/edit"", ""Form Responses 1!$B:$Z""),1, FALSE)=$Y196,""Yes"",""No"")"),"#N/A")</f>
        <v>#N/A</v>
      </c>
      <c r="AA196" s="140"/>
      <c r="AB196" s="140"/>
    </row>
    <row r="197" spans="1:28">
      <c r="A197" s="144" t="s">
        <v>598</v>
      </c>
      <c r="B197" s="144" t="s">
        <v>2174</v>
      </c>
      <c r="C197" s="144" t="s">
        <v>2175</v>
      </c>
      <c r="D197" s="144" t="s">
        <v>2176</v>
      </c>
      <c r="E197" s="144"/>
      <c r="F197" s="144" t="s">
        <v>5</v>
      </c>
      <c r="G197" s="144">
        <v>3.25</v>
      </c>
      <c r="H197" s="144" t="s">
        <v>24</v>
      </c>
      <c r="I197" s="144" t="s">
        <v>460</v>
      </c>
      <c r="J197" s="144" t="s">
        <v>2177</v>
      </c>
      <c r="K197" s="144">
        <v>3.5</v>
      </c>
      <c r="L197" s="144" t="s">
        <v>941</v>
      </c>
      <c r="M197" s="144" t="s">
        <v>2178</v>
      </c>
      <c r="N197" s="144">
        <v>3</v>
      </c>
      <c r="O197" s="144" t="s">
        <v>2152</v>
      </c>
      <c r="P197" s="144" t="s">
        <v>2179</v>
      </c>
      <c r="Q197" s="144" t="s">
        <v>452</v>
      </c>
      <c r="R197" s="144" t="s">
        <v>1119</v>
      </c>
      <c r="S197" s="144" t="s">
        <v>2180</v>
      </c>
      <c r="T197" s="144" t="s">
        <v>2181</v>
      </c>
      <c r="U197" s="145"/>
      <c r="V197" s="145"/>
      <c r="W197" s="145"/>
      <c r="X197" s="144" t="s">
        <v>2182</v>
      </c>
      <c r="Y197" s="144" t="s">
        <v>2183</v>
      </c>
      <c r="Z197" s="144" t="str">
        <f ca="1">IFERROR(__xludf.DUMMYFUNCTION("IF(VLOOKUP($Y197, IMPORTRANGE(""https://docs.google.com/spreadsheets/d/1WsTKRjz8_fF2119Ff9dhKIIYXSaUEHzuWr8pBkxmwQQ/edit"", ""Form Responses 1!$B:$Z""),1, FALSE)=$Y197,""Yes"",""No"")"),"#N/A")</f>
        <v>#N/A</v>
      </c>
      <c r="AA197" s="144"/>
      <c r="AB197" s="144"/>
    </row>
    <row r="198" spans="1:28">
      <c r="A198" s="140" t="s">
        <v>529</v>
      </c>
      <c r="B198" s="140" t="s">
        <v>2184</v>
      </c>
      <c r="C198" s="140" t="s">
        <v>2185</v>
      </c>
      <c r="D198" s="140" t="s">
        <v>2186</v>
      </c>
      <c r="E198" s="140" t="s">
        <v>2187</v>
      </c>
      <c r="F198" s="140" t="s">
        <v>5</v>
      </c>
      <c r="G198" s="140">
        <v>3</v>
      </c>
      <c r="H198" s="140" t="s">
        <v>24</v>
      </c>
      <c r="I198" s="140" t="s">
        <v>447</v>
      </c>
      <c r="J198" s="140" t="s">
        <v>2188</v>
      </c>
      <c r="K198" s="140">
        <v>3</v>
      </c>
      <c r="L198" s="140" t="s">
        <v>543</v>
      </c>
      <c r="M198" s="140" t="s">
        <v>2189</v>
      </c>
      <c r="N198" s="140">
        <v>3</v>
      </c>
      <c r="O198" s="140" t="s">
        <v>2190</v>
      </c>
      <c r="P198" s="140">
        <v>1500000</v>
      </c>
      <c r="Q198" s="140" t="s">
        <v>452</v>
      </c>
      <c r="R198" s="140" t="s">
        <v>2191</v>
      </c>
      <c r="S198" s="140"/>
      <c r="T198" s="140"/>
      <c r="U198" s="143"/>
      <c r="V198" s="143"/>
      <c r="W198" s="143"/>
      <c r="X198" s="140" t="s">
        <v>2192</v>
      </c>
      <c r="Y198" s="140" t="s">
        <v>2193</v>
      </c>
      <c r="Z198" s="140" t="str">
        <f ca="1">IFERROR(__xludf.DUMMYFUNCTION("IF(VLOOKUP($Y198, IMPORTRANGE(""https://docs.google.com/spreadsheets/d/1WsTKRjz8_fF2119Ff9dhKIIYXSaUEHzuWr8pBkxmwQQ/edit"", ""Form Responses 1!$B:$Z""),1, FALSE)=$Y198,""Yes"",""No"")"),"#N/A")</f>
        <v>#N/A</v>
      </c>
      <c r="AA198" s="140"/>
      <c r="AB198" s="140"/>
    </row>
    <row r="199" spans="1:28">
      <c r="A199" s="144" t="s">
        <v>598</v>
      </c>
      <c r="B199" s="144" t="s">
        <v>2194</v>
      </c>
      <c r="C199" s="144" t="s">
        <v>2195</v>
      </c>
      <c r="D199" s="144" t="s">
        <v>2196</v>
      </c>
      <c r="E199" s="144" t="s">
        <v>2197</v>
      </c>
      <c r="F199" s="144" t="s">
        <v>5</v>
      </c>
      <c r="G199" s="144">
        <v>2.5</v>
      </c>
      <c r="H199" s="144" t="s">
        <v>24</v>
      </c>
      <c r="I199" s="144" t="s">
        <v>447</v>
      </c>
      <c r="J199" s="144" t="s">
        <v>2198</v>
      </c>
      <c r="K199" s="144">
        <v>2</v>
      </c>
      <c r="L199" s="144" t="s">
        <v>622</v>
      </c>
      <c r="M199" s="144" t="s">
        <v>2199</v>
      </c>
      <c r="N199" s="144">
        <v>3</v>
      </c>
      <c r="O199" s="144" t="s">
        <v>451</v>
      </c>
      <c r="P199" s="146">
        <v>250000</v>
      </c>
      <c r="Q199" s="144" t="s">
        <v>452</v>
      </c>
      <c r="R199" s="144" t="s">
        <v>2200</v>
      </c>
      <c r="S199" s="144"/>
      <c r="T199" s="144"/>
      <c r="U199" s="145"/>
      <c r="V199" s="145"/>
      <c r="W199" s="145"/>
      <c r="X199" s="144" t="s">
        <v>2201</v>
      </c>
      <c r="Y199" s="144" t="s">
        <v>2202</v>
      </c>
      <c r="Z199" s="144" t="str">
        <f ca="1">IFERROR(__xludf.DUMMYFUNCTION("IF(VLOOKUP($Y199, IMPORTRANGE(""https://docs.google.com/spreadsheets/d/1WsTKRjz8_fF2119Ff9dhKIIYXSaUEHzuWr8pBkxmwQQ/edit"", ""Form Responses 1!$B:$Z""),1, FALSE)=$Y199,""Yes"",""No"")"),"#N/A")</f>
        <v>#N/A</v>
      </c>
      <c r="AA199" s="144"/>
      <c r="AB199" s="144"/>
    </row>
    <row r="200" spans="1:28">
      <c r="A200" s="140" t="s">
        <v>529</v>
      </c>
      <c r="B200" s="140" t="s">
        <v>2203</v>
      </c>
      <c r="C200" s="140" t="s">
        <v>2204</v>
      </c>
      <c r="D200" s="140" t="s">
        <v>2205</v>
      </c>
      <c r="E200" s="140" t="s">
        <v>2206</v>
      </c>
      <c r="F200" s="140" t="s">
        <v>5</v>
      </c>
      <c r="G200" s="140">
        <v>3.25</v>
      </c>
      <c r="H200" s="140" t="s">
        <v>24</v>
      </c>
      <c r="I200" s="140" t="s">
        <v>460</v>
      </c>
      <c r="J200" s="140" t="s">
        <v>2207</v>
      </c>
      <c r="K200" s="140">
        <v>3.5</v>
      </c>
      <c r="L200" s="140" t="s">
        <v>941</v>
      </c>
      <c r="M200" s="140" t="s">
        <v>2208</v>
      </c>
      <c r="N200" s="140">
        <v>3</v>
      </c>
      <c r="O200" s="140" t="s">
        <v>2209</v>
      </c>
      <c r="P200" s="140">
        <v>10000000</v>
      </c>
      <c r="Q200" s="140" t="s">
        <v>452</v>
      </c>
      <c r="R200" s="140" t="s">
        <v>2210</v>
      </c>
      <c r="S200" s="140"/>
      <c r="T200" s="140" t="s">
        <v>2211</v>
      </c>
      <c r="U200" s="143"/>
      <c r="V200" s="143"/>
      <c r="W200" s="143"/>
      <c r="X200" s="140" t="s">
        <v>2212</v>
      </c>
      <c r="Y200" s="140" t="s">
        <v>2213</v>
      </c>
      <c r="Z200" s="140" t="str">
        <f ca="1">IFERROR(__xludf.DUMMYFUNCTION("IF(VLOOKUP($Y200, IMPORTRANGE(""https://docs.google.com/spreadsheets/d/1WsTKRjz8_fF2119Ff9dhKIIYXSaUEHzuWr8pBkxmwQQ/edit"", ""Form Responses 1!$B:$Z""),1, FALSE)=$Y200,""Yes"",""No"")"),"#N/A")</f>
        <v>#N/A</v>
      </c>
      <c r="AA200" s="140"/>
      <c r="AB200" s="140"/>
    </row>
    <row r="201" spans="1:28">
      <c r="A201" s="144" t="s">
        <v>503</v>
      </c>
      <c r="B201" s="144" t="s">
        <v>2214</v>
      </c>
      <c r="C201" s="144" t="s">
        <v>2215</v>
      </c>
      <c r="D201" s="144" t="s">
        <v>2216</v>
      </c>
      <c r="E201" s="144" t="s">
        <v>2217</v>
      </c>
      <c r="F201" s="144" t="s">
        <v>5</v>
      </c>
      <c r="G201" s="144">
        <v>3</v>
      </c>
      <c r="H201" s="144" t="s">
        <v>24</v>
      </c>
      <c r="I201" s="144" t="s">
        <v>447</v>
      </c>
      <c r="J201" s="144" t="s">
        <v>2218</v>
      </c>
      <c r="K201" s="144">
        <v>3</v>
      </c>
      <c r="L201" s="144" t="s">
        <v>622</v>
      </c>
      <c r="M201" s="144" t="s">
        <v>2219</v>
      </c>
      <c r="N201" s="144">
        <v>3</v>
      </c>
      <c r="O201" s="144" t="s">
        <v>784</v>
      </c>
      <c r="P201" s="147">
        <v>1000000</v>
      </c>
      <c r="Q201" s="144" t="s">
        <v>465</v>
      </c>
      <c r="R201" s="144" t="s">
        <v>2220</v>
      </c>
      <c r="S201" s="144" t="s">
        <v>2221</v>
      </c>
      <c r="T201" s="144"/>
      <c r="U201" s="145"/>
      <c r="V201" s="145"/>
      <c r="W201" s="145"/>
      <c r="X201" s="144" t="s">
        <v>2222</v>
      </c>
      <c r="Y201" s="144" t="s">
        <v>2223</v>
      </c>
      <c r="Z201" s="144" t="str">
        <f ca="1">IFERROR(__xludf.DUMMYFUNCTION("IF(VLOOKUP($Y201, IMPORTRANGE(""https://docs.google.com/spreadsheets/d/1WsTKRjz8_fF2119Ff9dhKIIYXSaUEHzuWr8pBkxmwQQ/edit"", ""Form Responses 1!$B:$Z""),1, FALSE)=$Y201,""Yes"",""No"")"),"#N/A")</f>
        <v>#N/A</v>
      </c>
      <c r="AA201" s="144"/>
      <c r="AB201" s="144"/>
    </row>
    <row r="202" spans="1:28">
      <c r="A202" s="140" t="s">
        <v>529</v>
      </c>
      <c r="B202" s="140" t="s">
        <v>2224</v>
      </c>
      <c r="C202" s="140" t="s">
        <v>2225</v>
      </c>
      <c r="D202" s="140" t="s">
        <v>2226</v>
      </c>
      <c r="E202" s="140"/>
      <c r="F202" s="140" t="s">
        <v>5</v>
      </c>
      <c r="G202" s="140">
        <v>3.25</v>
      </c>
      <c r="H202" s="140" t="s">
        <v>24</v>
      </c>
      <c r="I202" s="140" t="s">
        <v>447</v>
      </c>
      <c r="J202" s="140" t="s">
        <v>2227</v>
      </c>
      <c r="K202" s="140">
        <v>3</v>
      </c>
      <c r="L202" s="140" t="s">
        <v>449</v>
      </c>
      <c r="M202" s="140" t="s">
        <v>2228</v>
      </c>
      <c r="N202" s="140">
        <v>3.5</v>
      </c>
      <c r="O202" s="140" t="s">
        <v>2229</v>
      </c>
      <c r="P202" s="140" t="s">
        <v>2230</v>
      </c>
      <c r="Q202" s="140" t="s">
        <v>465</v>
      </c>
      <c r="R202" s="140" t="s">
        <v>2231</v>
      </c>
      <c r="S202" s="140" t="s">
        <v>2232</v>
      </c>
      <c r="T202" s="140"/>
      <c r="U202" s="143"/>
      <c r="V202" s="143"/>
      <c r="W202" s="143"/>
      <c r="X202" s="140" t="s">
        <v>2233</v>
      </c>
      <c r="Y202" s="140" t="s">
        <v>2234</v>
      </c>
      <c r="Z202" s="140" t="str">
        <f ca="1">IFERROR(__xludf.DUMMYFUNCTION("IF(VLOOKUP($Y202, IMPORTRANGE(""https://docs.google.com/spreadsheets/d/1WsTKRjz8_fF2119Ff9dhKIIYXSaUEHzuWr8pBkxmwQQ/edit"", ""Form Responses 1!$B:$Z""),1, FALSE)=$Y202,""Yes"",""No"")"),"#N/A")</f>
        <v>#N/A</v>
      </c>
      <c r="AA202" s="140"/>
      <c r="AB202" s="140"/>
    </row>
    <row r="203" spans="1:28">
      <c r="A203" s="144" t="s">
        <v>529</v>
      </c>
      <c r="B203" s="144" t="s">
        <v>2235</v>
      </c>
      <c r="C203" s="144" t="s">
        <v>2236</v>
      </c>
      <c r="D203" s="144" t="s">
        <v>2237</v>
      </c>
      <c r="E203" s="144" t="s">
        <v>2238</v>
      </c>
      <c r="F203" s="144" t="s">
        <v>5</v>
      </c>
      <c r="G203" s="144">
        <v>3.25</v>
      </c>
      <c r="H203" s="144" t="s">
        <v>24</v>
      </c>
      <c r="I203" s="144" t="s">
        <v>488</v>
      </c>
      <c r="J203" s="144"/>
      <c r="K203" s="144">
        <v>3</v>
      </c>
      <c r="L203" s="144" t="s">
        <v>941</v>
      </c>
      <c r="M203" s="144" t="s">
        <v>2239</v>
      </c>
      <c r="N203" s="144">
        <v>3.5</v>
      </c>
      <c r="O203" s="144" t="s">
        <v>451</v>
      </c>
      <c r="P203" s="144" t="s">
        <v>2240</v>
      </c>
      <c r="Q203" s="144" t="s">
        <v>454</v>
      </c>
      <c r="R203" s="144" t="s">
        <v>2241</v>
      </c>
      <c r="S203" s="144"/>
      <c r="T203" s="144" t="s">
        <v>2242</v>
      </c>
      <c r="U203" s="145"/>
      <c r="V203" s="145"/>
      <c r="W203" s="145"/>
      <c r="X203" s="144" t="s">
        <v>2243</v>
      </c>
      <c r="Y203" s="144" t="s">
        <v>2244</v>
      </c>
      <c r="Z203" s="144" t="str">
        <f ca="1">IFERROR(__xludf.DUMMYFUNCTION("IF(VLOOKUP($Y203, IMPORTRANGE(""https://docs.google.com/spreadsheets/d/1WsTKRjz8_fF2119Ff9dhKIIYXSaUEHzuWr8pBkxmwQQ/edit"", ""Form Responses 1!$B:$Z""),1, FALSE)=$Y203,""Yes"",""No"")"),"#N/A")</f>
        <v>#N/A</v>
      </c>
      <c r="AA203" s="144"/>
      <c r="AB203" s="144"/>
    </row>
    <row r="204" spans="1:28">
      <c r="A204" s="140" t="s">
        <v>471</v>
      </c>
      <c r="B204" s="140" t="s">
        <v>70</v>
      </c>
      <c r="C204" s="140" t="s">
        <v>2245</v>
      </c>
      <c r="D204" s="140" t="s">
        <v>2246</v>
      </c>
      <c r="E204" s="140" t="s">
        <v>2247</v>
      </c>
      <c r="F204" s="140" t="s">
        <v>5</v>
      </c>
      <c r="G204" s="140">
        <v>4</v>
      </c>
      <c r="H204" s="140" t="s">
        <v>24</v>
      </c>
      <c r="I204" s="140" t="s">
        <v>460</v>
      </c>
      <c r="J204" s="140" t="s">
        <v>2248</v>
      </c>
      <c r="K204" s="140">
        <v>4</v>
      </c>
      <c r="L204" s="140" t="s">
        <v>941</v>
      </c>
      <c r="M204" s="140"/>
      <c r="N204" s="140">
        <v>4</v>
      </c>
      <c r="O204" s="140"/>
      <c r="P204" s="140"/>
      <c r="Q204" s="140" t="s">
        <v>452</v>
      </c>
      <c r="R204" s="140" t="s">
        <v>2249</v>
      </c>
      <c r="S204" s="140"/>
      <c r="T204" s="140" t="s">
        <v>2250</v>
      </c>
      <c r="U204" s="143" t="s">
        <v>481</v>
      </c>
      <c r="V204" s="143"/>
      <c r="W204" s="143"/>
      <c r="X204" s="140" t="s">
        <v>2251</v>
      </c>
      <c r="Y204" s="140" t="s">
        <v>2252</v>
      </c>
      <c r="Z204" s="140" t="str">
        <f ca="1">IFERROR(__xludf.DUMMYFUNCTION("IF(VLOOKUP($Y204, IMPORTRANGE(""https://docs.google.com/spreadsheets/d/1WsTKRjz8_fF2119Ff9dhKIIYXSaUEHzuWr8pBkxmwQQ/edit"", ""Form Responses 1!$B:$Z""),1, FALSE)=$Y204,""Yes"",""No"")"),"#N/A")</f>
        <v>#N/A</v>
      </c>
      <c r="AA204" s="140"/>
      <c r="AB204" s="140"/>
    </row>
    <row r="205" spans="1:28">
      <c r="A205" s="144" t="s">
        <v>443</v>
      </c>
      <c r="B205" s="144" t="s">
        <v>2253</v>
      </c>
      <c r="C205" s="144" t="s">
        <v>2254</v>
      </c>
      <c r="D205" s="144" t="s">
        <v>2255</v>
      </c>
      <c r="E205" s="144" t="s">
        <v>2256</v>
      </c>
      <c r="F205" s="144" t="s">
        <v>5</v>
      </c>
      <c r="G205" s="144">
        <v>3</v>
      </c>
      <c r="H205" s="144" t="s">
        <v>24</v>
      </c>
      <c r="I205" s="144" t="s">
        <v>447</v>
      </c>
      <c r="J205" s="144" t="s">
        <v>2257</v>
      </c>
      <c r="K205" s="144">
        <v>3</v>
      </c>
      <c r="L205" s="144" t="s">
        <v>622</v>
      </c>
      <c r="M205" s="144" t="s">
        <v>2258</v>
      </c>
      <c r="N205" s="144">
        <v>3</v>
      </c>
      <c r="O205" s="144" t="s">
        <v>451</v>
      </c>
      <c r="P205" s="144">
        <v>1000000</v>
      </c>
      <c r="Q205" s="144" t="s">
        <v>452</v>
      </c>
      <c r="R205" s="144" t="s">
        <v>2259</v>
      </c>
      <c r="S205" s="144"/>
      <c r="T205" s="144" t="s">
        <v>2260</v>
      </c>
      <c r="U205" s="145"/>
      <c r="V205" s="145"/>
      <c r="W205" s="145"/>
      <c r="X205" s="144" t="s">
        <v>2261</v>
      </c>
      <c r="Y205" s="144" t="s">
        <v>2262</v>
      </c>
      <c r="Z205" s="144" t="str">
        <f ca="1">IFERROR(__xludf.DUMMYFUNCTION("IF(VLOOKUP($Y205, IMPORTRANGE(""https://docs.google.com/spreadsheets/d/1WsTKRjz8_fF2119Ff9dhKIIYXSaUEHzuWr8pBkxmwQQ/edit"", ""Form Responses 1!$B:$Z""),1, FALSE)=$Y205,""Yes"",""No"")"),"#N/A")</f>
        <v>#N/A</v>
      </c>
      <c r="AA205" s="144"/>
      <c r="AB205" s="144"/>
    </row>
    <row r="206" spans="1:28">
      <c r="A206" s="140" t="s">
        <v>471</v>
      </c>
      <c r="B206" s="140" t="s">
        <v>2263</v>
      </c>
      <c r="C206" s="140" t="s">
        <v>2264</v>
      </c>
      <c r="D206" s="140" t="s">
        <v>2265</v>
      </c>
      <c r="E206" s="140" t="s">
        <v>2266</v>
      </c>
      <c r="F206" s="140" t="s">
        <v>5</v>
      </c>
      <c r="G206" s="140">
        <v>3</v>
      </c>
      <c r="H206" s="140" t="s">
        <v>24</v>
      </c>
      <c r="I206" s="140" t="s">
        <v>460</v>
      </c>
      <c r="J206" s="140" t="s">
        <v>2267</v>
      </c>
      <c r="K206" s="140">
        <v>3</v>
      </c>
      <c r="L206" s="140" t="s">
        <v>1054</v>
      </c>
      <c r="M206" s="140" t="s">
        <v>2268</v>
      </c>
      <c r="N206" s="140">
        <v>3</v>
      </c>
      <c r="O206" s="140" t="s">
        <v>451</v>
      </c>
      <c r="P206" s="140">
        <v>1300000</v>
      </c>
      <c r="Q206" s="140" t="s">
        <v>465</v>
      </c>
      <c r="R206" s="140" t="s">
        <v>2269</v>
      </c>
      <c r="S206" s="140"/>
      <c r="T206" s="140" t="s">
        <v>2270</v>
      </c>
      <c r="U206" s="143"/>
      <c r="V206" s="143"/>
      <c r="W206" s="143"/>
      <c r="X206" s="140" t="s">
        <v>2271</v>
      </c>
      <c r="Y206" s="140" t="s">
        <v>2272</v>
      </c>
      <c r="Z206" s="140" t="str">
        <f ca="1">IFERROR(__xludf.DUMMYFUNCTION("IF(VLOOKUP($Y206, IMPORTRANGE(""https://docs.google.com/spreadsheets/d/1WsTKRjz8_fF2119Ff9dhKIIYXSaUEHzuWr8pBkxmwQQ/edit"", ""Form Responses 1!$B:$Z""),1, FALSE)=$Y206,""Yes"",""No"")"),"#N/A")</f>
        <v>#N/A</v>
      </c>
      <c r="AA206" s="140"/>
      <c r="AB206" s="140"/>
    </row>
    <row r="207" spans="1:28">
      <c r="A207" s="144" t="s">
        <v>443</v>
      </c>
      <c r="B207" s="144" t="s">
        <v>2273</v>
      </c>
      <c r="C207" s="144" t="s">
        <v>2274</v>
      </c>
      <c r="D207" s="144" t="s">
        <v>2275</v>
      </c>
      <c r="E207" s="144" t="s">
        <v>2276</v>
      </c>
      <c r="F207" s="144" t="s">
        <v>5</v>
      </c>
      <c r="G207" s="144">
        <v>3.25</v>
      </c>
      <c r="H207" s="144" t="s">
        <v>24</v>
      </c>
      <c r="I207" s="144" t="s">
        <v>447</v>
      </c>
      <c r="J207" s="144" t="s">
        <v>2277</v>
      </c>
      <c r="K207" s="144">
        <v>3</v>
      </c>
      <c r="L207" s="144" t="s">
        <v>543</v>
      </c>
      <c r="M207" s="144" t="s">
        <v>2278</v>
      </c>
      <c r="N207" s="144">
        <v>3.5</v>
      </c>
      <c r="O207" s="144" t="s">
        <v>784</v>
      </c>
      <c r="P207" s="144">
        <v>400000</v>
      </c>
      <c r="Q207" s="144" t="s">
        <v>452</v>
      </c>
      <c r="R207" s="144" t="s">
        <v>2279</v>
      </c>
      <c r="S207" s="144" t="s">
        <v>1066</v>
      </c>
      <c r="T207" s="144"/>
      <c r="U207" s="145"/>
      <c r="V207" s="145"/>
      <c r="W207" s="145"/>
      <c r="X207" s="144" t="s">
        <v>2280</v>
      </c>
      <c r="Y207" s="144" t="s">
        <v>2281</v>
      </c>
      <c r="Z207" s="144" t="str">
        <f ca="1">IFERROR(__xludf.DUMMYFUNCTION("IF(VLOOKUP($Y207, IMPORTRANGE(""https://docs.google.com/spreadsheets/d/1WsTKRjz8_fF2119Ff9dhKIIYXSaUEHzuWr8pBkxmwQQ/edit"", ""Form Responses 1!$B:$Z""),1, FALSE)=$Y207,""Yes"",""No"")"),"#N/A")</f>
        <v>#N/A</v>
      </c>
      <c r="AA207" s="144"/>
      <c r="AB207" s="144"/>
    </row>
    <row r="208" spans="1:28">
      <c r="A208" s="140" t="s">
        <v>443</v>
      </c>
      <c r="B208" s="140" t="s">
        <v>2282</v>
      </c>
      <c r="C208" s="140" t="s">
        <v>2283</v>
      </c>
      <c r="D208" s="140" t="s">
        <v>2284</v>
      </c>
      <c r="E208" s="140" t="s">
        <v>2285</v>
      </c>
      <c r="F208" s="140" t="s">
        <v>5</v>
      </c>
      <c r="G208" s="140">
        <v>2</v>
      </c>
      <c r="H208" s="140" t="s">
        <v>24</v>
      </c>
      <c r="I208" s="140" t="s">
        <v>447</v>
      </c>
      <c r="J208" s="140" t="s">
        <v>2286</v>
      </c>
      <c r="K208" s="140">
        <v>2</v>
      </c>
      <c r="L208" s="140" t="s">
        <v>543</v>
      </c>
      <c r="M208" s="140" t="s">
        <v>2287</v>
      </c>
      <c r="N208" s="140">
        <v>2</v>
      </c>
      <c r="O208" s="140" t="s">
        <v>784</v>
      </c>
      <c r="P208" s="140">
        <v>2000000</v>
      </c>
      <c r="Q208" s="140" t="s">
        <v>452</v>
      </c>
      <c r="R208" s="140" t="s">
        <v>2288</v>
      </c>
      <c r="S208" s="140"/>
      <c r="T208" s="140"/>
      <c r="U208" s="143"/>
      <c r="V208" s="143"/>
      <c r="W208" s="143"/>
      <c r="X208" s="140" t="s">
        <v>2289</v>
      </c>
      <c r="Y208" s="140" t="s">
        <v>2290</v>
      </c>
      <c r="Z208" s="140" t="str">
        <f ca="1">IFERROR(__xludf.DUMMYFUNCTION("IF(VLOOKUP($Y208, IMPORTRANGE(""https://docs.google.com/spreadsheets/d/1WsTKRjz8_fF2119Ff9dhKIIYXSaUEHzuWr8pBkxmwQQ/edit"", ""Form Responses 1!$B:$Z""),1, FALSE)=$Y208,""Yes"",""No"")"),"#N/A")</f>
        <v>#N/A</v>
      </c>
      <c r="AA208" s="140"/>
      <c r="AB208" s="140"/>
    </row>
    <row r="209" spans="1:28">
      <c r="A209" s="144" t="s">
        <v>598</v>
      </c>
      <c r="B209" s="144" t="s">
        <v>2291</v>
      </c>
      <c r="C209" s="144" t="s">
        <v>2292</v>
      </c>
      <c r="D209" s="144" t="s">
        <v>2293</v>
      </c>
      <c r="E209" s="144" t="s">
        <v>2294</v>
      </c>
      <c r="F209" s="144" t="s">
        <v>5</v>
      </c>
      <c r="G209" s="144">
        <v>3</v>
      </c>
      <c r="H209" s="144" t="s">
        <v>24</v>
      </c>
      <c r="I209" s="144" t="s">
        <v>447</v>
      </c>
      <c r="J209" s="144" t="s">
        <v>2295</v>
      </c>
      <c r="K209" s="144">
        <v>2.5</v>
      </c>
      <c r="L209" s="144" t="s">
        <v>449</v>
      </c>
      <c r="M209" s="144" t="s">
        <v>2296</v>
      </c>
      <c r="N209" s="144">
        <v>3.5</v>
      </c>
      <c r="O209" s="144" t="s">
        <v>784</v>
      </c>
      <c r="P209" s="147">
        <v>75000</v>
      </c>
      <c r="Q209" s="144" t="s">
        <v>465</v>
      </c>
      <c r="R209" s="144" t="s">
        <v>2297</v>
      </c>
      <c r="S209" s="144" t="s">
        <v>2298</v>
      </c>
      <c r="T209" s="144"/>
      <c r="U209" s="145"/>
      <c r="V209" s="145"/>
      <c r="W209" s="145"/>
      <c r="X209" s="144" t="s">
        <v>2299</v>
      </c>
      <c r="Y209" s="144" t="s">
        <v>2300</v>
      </c>
      <c r="Z209" s="144" t="str">
        <f ca="1">IFERROR(__xludf.DUMMYFUNCTION("IF(VLOOKUP($Y209, IMPORTRANGE(""https://docs.google.com/spreadsheets/d/1WsTKRjz8_fF2119Ff9dhKIIYXSaUEHzuWr8pBkxmwQQ/edit"", ""Form Responses 1!$B:$Z""),1, FALSE)=$Y209,""Yes"",""No"")"),"#N/A")</f>
        <v>#N/A</v>
      </c>
      <c r="AA209" s="144"/>
      <c r="AB209" s="144"/>
    </row>
    <row r="210" spans="1:28">
      <c r="A210" s="140" t="s">
        <v>471</v>
      </c>
      <c r="B210" s="140" t="s">
        <v>2301</v>
      </c>
      <c r="C210" s="140" t="s">
        <v>2302</v>
      </c>
      <c r="D210" s="140" t="s">
        <v>2303</v>
      </c>
      <c r="E210" s="140" t="s">
        <v>2304</v>
      </c>
      <c r="F210" s="140" t="s">
        <v>5</v>
      </c>
      <c r="G210" s="140">
        <v>3.25</v>
      </c>
      <c r="H210" s="140" t="s">
        <v>24</v>
      </c>
      <c r="I210" s="140" t="s">
        <v>447</v>
      </c>
      <c r="J210" s="140" t="s">
        <v>2305</v>
      </c>
      <c r="K210" s="140">
        <v>3</v>
      </c>
      <c r="L210" s="140" t="s">
        <v>543</v>
      </c>
      <c r="M210" s="140"/>
      <c r="N210" s="140">
        <v>3.5</v>
      </c>
      <c r="O210" s="140" t="s">
        <v>451</v>
      </c>
      <c r="P210" s="140" t="s">
        <v>2306</v>
      </c>
      <c r="Q210" s="140" t="s">
        <v>452</v>
      </c>
      <c r="R210" s="140" t="s">
        <v>575</v>
      </c>
      <c r="S210" s="140"/>
      <c r="T210" s="140"/>
      <c r="U210" s="143"/>
      <c r="V210" s="143"/>
      <c r="W210" s="143"/>
      <c r="X210" s="140" t="s">
        <v>2307</v>
      </c>
      <c r="Y210" s="140" t="s">
        <v>2308</v>
      </c>
      <c r="Z210" s="140" t="str">
        <f ca="1">IFERROR(__xludf.DUMMYFUNCTION("IF(VLOOKUP($Y210, IMPORTRANGE(""https://docs.google.com/spreadsheets/d/1WsTKRjz8_fF2119Ff9dhKIIYXSaUEHzuWr8pBkxmwQQ/edit"", ""Form Responses 1!$B:$Z""),1, FALSE)=$Y210,""Yes"",""No"")"),"#N/A")</f>
        <v>#N/A</v>
      </c>
      <c r="AA210" s="140"/>
      <c r="AB210" s="140"/>
    </row>
    <row r="211" spans="1:28">
      <c r="A211" s="144" t="s">
        <v>471</v>
      </c>
      <c r="B211" s="144" t="s">
        <v>2309</v>
      </c>
      <c r="C211" s="144" t="s">
        <v>2310</v>
      </c>
      <c r="D211" s="144" t="s">
        <v>2311</v>
      </c>
      <c r="E211" s="144" t="s">
        <v>2312</v>
      </c>
      <c r="F211" s="144" t="s">
        <v>5</v>
      </c>
      <c r="G211" s="144">
        <v>1.5</v>
      </c>
      <c r="H211" s="144" t="s">
        <v>24</v>
      </c>
      <c r="I211" s="144" t="s">
        <v>447</v>
      </c>
      <c r="J211" s="144" t="s">
        <v>2313</v>
      </c>
      <c r="K211" s="144">
        <v>1</v>
      </c>
      <c r="L211" s="144" t="s">
        <v>543</v>
      </c>
      <c r="M211" s="144" t="s">
        <v>2314</v>
      </c>
      <c r="N211" s="144">
        <v>2</v>
      </c>
      <c r="O211" s="144" t="s">
        <v>451</v>
      </c>
      <c r="P211" s="146">
        <v>1000000</v>
      </c>
      <c r="Q211" s="144" t="s">
        <v>465</v>
      </c>
      <c r="R211" s="144" t="s">
        <v>2315</v>
      </c>
      <c r="S211" s="144"/>
      <c r="T211" s="144"/>
      <c r="U211" s="145"/>
      <c r="V211" s="145"/>
      <c r="W211" s="145"/>
      <c r="X211" s="144" t="s">
        <v>2316</v>
      </c>
      <c r="Y211" s="144" t="s">
        <v>2317</v>
      </c>
      <c r="Z211" s="144" t="str">
        <f ca="1">IFERROR(__xludf.DUMMYFUNCTION("IF(VLOOKUP($Y211, IMPORTRANGE(""https://docs.google.com/spreadsheets/d/1WsTKRjz8_fF2119Ff9dhKIIYXSaUEHzuWr8pBkxmwQQ/edit"", ""Form Responses 1!$B:$Z""),1, FALSE)=$Y211,""Yes"",""No"")"),"#N/A")</f>
        <v>#N/A</v>
      </c>
      <c r="AA211" s="144"/>
      <c r="AB211" s="144"/>
    </row>
    <row r="212" spans="1:28">
      <c r="A212" s="140" t="s">
        <v>529</v>
      </c>
      <c r="B212" s="140" t="s">
        <v>2318</v>
      </c>
      <c r="C212" s="140" t="s">
        <v>2319</v>
      </c>
      <c r="D212" s="140" t="s">
        <v>2320</v>
      </c>
      <c r="E212" s="140"/>
      <c r="F212" s="140" t="s">
        <v>5</v>
      </c>
      <c r="G212" s="140">
        <v>1.5</v>
      </c>
      <c r="H212" s="140" t="s">
        <v>24</v>
      </c>
      <c r="I212" s="140" t="s">
        <v>447</v>
      </c>
      <c r="J212" s="140" t="s">
        <v>2321</v>
      </c>
      <c r="K212" s="140">
        <v>1</v>
      </c>
      <c r="L212" s="140" t="s">
        <v>449</v>
      </c>
      <c r="M212" s="140" t="s">
        <v>2322</v>
      </c>
      <c r="N212" s="140">
        <v>2</v>
      </c>
      <c r="O212" s="140" t="s">
        <v>2190</v>
      </c>
      <c r="P212" s="142">
        <v>2000000</v>
      </c>
      <c r="Q212" s="140" t="s">
        <v>452</v>
      </c>
      <c r="R212" s="140" t="s">
        <v>2323</v>
      </c>
      <c r="S212" s="140"/>
      <c r="T212" s="140"/>
      <c r="U212" s="143"/>
      <c r="V212" s="143"/>
      <c r="W212" s="143"/>
      <c r="X212" s="140" t="s">
        <v>2324</v>
      </c>
      <c r="Y212" s="140" t="s">
        <v>2325</v>
      </c>
      <c r="Z212" s="140" t="str">
        <f ca="1">IFERROR(__xludf.DUMMYFUNCTION("IF(VLOOKUP($Y212, IMPORTRANGE(""https://docs.google.com/spreadsheets/d/1WsTKRjz8_fF2119Ff9dhKIIYXSaUEHzuWr8pBkxmwQQ/edit"", ""Form Responses 1!$B:$Z""),1, FALSE)=$Y212,""Yes"",""No"")"),"#N/A")</f>
        <v>#N/A</v>
      </c>
      <c r="AA212" s="140"/>
      <c r="AB212" s="140"/>
    </row>
    <row r="213" spans="1:28">
      <c r="A213" s="144" t="s">
        <v>443</v>
      </c>
      <c r="B213" s="144" t="s">
        <v>2326</v>
      </c>
      <c r="C213" s="144" t="s">
        <v>2327</v>
      </c>
      <c r="D213" s="144" t="s">
        <v>2328</v>
      </c>
      <c r="E213" s="144" t="s">
        <v>2329</v>
      </c>
      <c r="F213" s="144" t="s">
        <v>5</v>
      </c>
      <c r="G213" s="144">
        <v>3</v>
      </c>
      <c r="H213" s="144" t="s">
        <v>24</v>
      </c>
      <c r="I213" s="144" t="s">
        <v>447</v>
      </c>
      <c r="J213" s="144" t="s">
        <v>2330</v>
      </c>
      <c r="K213" s="144">
        <v>3</v>
      </c>
      <c r="L213" s="144" t="s">
        <v>622</v>
      </c>
      <c r="M213" s="144" t="s">
        <v>2331</v>
      </c>
      <c r="N213" s="144">
        <v>3</v>
      </c>
      <c r="O213" s="144"/>
      <c r="P213" s="144"/>
      <c r="Q213" s="144" t="s">
        <v>452</v>
      </c>
      <c r="R213" s="144" t="s">
        <v>2332</v>
      </c>
      <c r="S213" s="144"/>
      <c r="T213" s="144"/>
      <c r="U213" s="145"/>
      <c r="V213" s="145"/>
      <c r="W213" s="145"/>
      <c r="X213" s="144" t="s">
        <v>2333</v>
      </c>
      <c r="Y213" s="144" t="s">
        <v>2334</v>
      </c>
      <c r="Z213" s="144" t="str">
        <f ca="1">IFERROR(__xludf.DUMMYFUNCTION("IF(VLOOKUP($Y213, IMPORTRANGE(""https://docs.google.com/spreadsheets/d/1WsTKRjz8_fF2119Ff9dhKIIYXSaUEHzuWr8pBkxmwQQ/edit"", ""Form Responses 1!$B:$Z""),1, FALSE)=$Y213,""Yes"",""No"")"),"#N/A")</f>
        <v>#N/A</v>
      </c>
      <c r="AA213" s="144"/>
      <c r="AB213" s="144"/>
    </row>
    <row r="214" spans="1:28">
      <c r="A214" s="140" t="s">
        <v>484</v>
      </c>
      <c r="B214" s="140" t="s">
        <v>2335</v>
      </c>
      <c r="C214" s="140" t="s">
        <v>2336</v>
      </c>
      <c r="D214" s="140" t="s">
        <v>2337</v>
      </c>
      <c r="E214" s="140" t="s">
        <v>2338</v>
      </c>
      <c r="F214" s="140" t="s">
        <v>5</v>
      </c>
      <c r="G214" s="140">
        <v>2</v>
      </c>
      <c r="H214" s="140" t="s">
        <v>24</v>
      </c>
      <c r="I214" s="140" t="s">
        <v>460</v>
      </c>
      <c r="J214" s="140" t="s">
        <v>2339</v>
      </c>
      <c r="K214" s="140">
        <v>2</v>
      </c>
      <c r="L214" s="140" t="s">
        <v>462</v>
      </c>
      <c r="M214" s="140" t="s">
        <v>2340</v>
      </c>
      <c r="N214" s="140">
        <v>2</v>
      </c>
      <c r="O214" s="140" t="s">
        <v>784</v>
      </c>
      <c r="P214" s="148">
        <v>250000</v>
      </c>
      <c r="Q214" s="140" t="s">
        <v>465</v>
      </c>
      <c r="R214" s="140" t="s">
        <v>452</v>
      </c>
      <c r="S214" s="140"/>
      <c r="T214" s="140" t="s">
        <v>2341</v>
      </c>
      <c r="U214" s="143"/>
      <c r="V214" s="143"/>
      <c r="W214" s="143"/>
      <c r="X214" s="140" t="s">
        <v>2342</v>
      </c>
      <c r="Y214" s="140" t="s">
        <v>2343</v>
      </c>
      <c r="Z214" s="140" t="str">
        <f ca="1">IFERROR(__xludf.DUMMYFUNCTION("IF(VLOOKUP($Y214, IMPORTRANGE(""https://docs.google.com/spreadsheets/d/1WsTKRjz8_fF2119Ff9dhKIIYXSaUEHzuWr8pBkxmwQQ/edit"", ""Form Responses 1!$B:$Z""),1, FALSE)=$Y214,""Yes"",""No"")"),"#N/A")</f>
        <v>#N/A</v>
      </c>
      <c r="AA214" s="140"/>
      <c r="AB214" s="140"/>
    </row>
    <row r="215" spans="1:28">
      <c r="A215" s="144" t="s">
        <v>598</v>
      </c>
      <c r="B215" s="144" t="s">
        <v>2344</v>
      </c>
      <c r="C215" s="144" t="s">
        <v>2345</v>
      </c>
      <c r="D215" s="144" t="s">
        <v>2346</v>
      </c>
      <c r="E215" s="144" t="s">
        <v>2347</v>
      </c>
      <c r="F215" s="144" t="s">
        <v>5</v>
      </c>
      <c r="G215" s="144">
        <v>3.25</v>
      </c>
      <c r="H215" s="144" t="s">
        <v>24</v>
      </c>
      <c r="I215" s="144" t="s">
        <v>447</v>
      </c>
      <c r="J215" s="144" t="s">
        <v>2348</v>
      </c>
      <c r="K215" s="144">
        <v>3.5</v>
      </c>
      <c r="L215" s="144" t="s">
        <v>449</v>
      </c>
      <c r="M215" s="144" t="s">
        <v>2349</v>
      </c>
      <c r="N215" s="144">
        <v>3</v>
      </c>
      <c r="O215" s="144" t="s">
        <v>451</v>
      </c>
      <c r="P215" s="144">
        <v>1500000</v>
      </c>
      <c r="Q215" s="144" t="s">
        <v>452</v>
      </c>
      <c r="R215" s="144" t="s">
        <v>2350</v>
      </c>
      <c r="S215" s="144"/>
      <c r="T215" s="144"/>
      <c r="U215" s="145"/>
      <c r="V215" s="145"/>
      <c r="W215" s="145"/>
      <c r="X215" s="144" t="s">
        <v>2351</v>
      </c>
      <c r="Y215" s="144" t="s">
        <v>2352</v>
      </c>
      <c r="Z215" s="144" t="str">
        <f ca="1">IFERROR(__xludf.DUMMYFUNCTION("IF(VLOOKUP($Y215, IMPORTRANGE(""https://docs.google.com/spreadsheets/d/1WsTKRjz8_fF2119Ff9dhKIIYXSaUEHzuWr8pBkxmwQQ/edit"", ""Form Responses 1!$B:$Z""),1, FALSE)=$Y215,""Yes"",""No"")"),"#N/A")</f>
        <v>#N/A</v>
      </c>
      <c r="AA215" s="144"/>
      <c r="AB215" s="144"/>
    </row>
    <row r="216" spans="1:28">
      <c r="A216" s="140" t="s">
        <v>529</v>
      </c>
      <c r="B216" s="140" t="s">
        <v>2353</v>
      </c>
      <c r="C216" s="140" t="s">
        <v>2354</v>
      </c>
      <c r="D216" s="140" t="s">
        <v>2355</v>
      </c>
      <c r="E216" s="140" t="s">
        <v>2356</v>
      </c>
      <c r="F216" s="140" t="s">
        <v>5</v>
      </c>
      <c r="G216" s="140">
        <v>1.5</v>
      </c>
      <c r="H216" s="140" t="s">
        <v>24</v>
      </c>
      <c r="I216" s="140" t="s">
        <v>447</v>
      </c>
      <c r="J216" s="140" t="s">
        <v>2357</v>
      </c>
      <c r="K216" s="140">
        <v>2</v>
      </c>
      <c r="L216" s="140" t="s">
        <v>622</v>
      </c>
      <c r="M216" s="140" t="s">
        <v>2358</v>
      </c>
      <c r="N216" s="140">
        <v>1</v>
      </c>
      <c r="O216" s="140" t="s">
        <v>451</v>
      </c>
      <c r="P216" s="140">
        <v>3000000</v>
      </c>
      <c r="Q216" s="140" t="s">
        <v>452</v>
      </c>
      <c r="R216" s="140" t="s">
        <v>2359</v>
      </c>
      <c r="S216" s="140"/>
      <c r="T216" s="140"/>
      <c r="U216" s="143"/>
      <c r="V216" s="143"/>
      <c r="W216" s="143"/>
      <c r="X216" s="140" t="s">
        <v>860</v>
      </c>
      <c r="Y216" s="140" t="s">
        <v>2360</v>
      </c>
      <c r="Z216" s="140" t="str">
        <f ca="1">IFERROR(__xludf.DUMMYFUNCTION("IF(VLOOKUP($Y216, IMPORTRANGE(""https://docs.google.com/spreadsheets/d/1WsTKRjz8_fF2119Ff9dhKIIYXSaUEHzuWr8pBkxmwQQ/edit"", ""Form Responses 1!$B:$Z""),1, FALSE)=$Y216,""Yes"",""No"")"),"#N/A")</f>
        <v>#N/A</v>
      </c>
      <c r="AA216" s="140"/>
      <c r="AB216" s="140"/>
    </row>
    <row r="217" spans="1:28">
      <c r="A217" s="144" t="s">
        <v>443</v>
      </c>
      <c r="B217" s="144" t="s">
        <v>2361</v>
      </c>
      <c r="C217" s="144" t="s">
        <v>2362</v>
      </c>
      <c r="D217" s="144" t="s">
        <v>2363</v>
      </c>
      <c r="E217" s="144" t="s">
        <v>2364</v>
      </c>
      <c r="F217" s="144" t="s">
        <v>5</v>
      </c>
      <c r="G217" s="144">
        <v>2.25</v>
      </c>
      <c r="H217" s="144" t="s">
        <v>24</v>
      </c>
      <c r="I217" s="144" t="s">
        <v>447</v>
      </c>
      <c r="J217" s="144" t="s">
        <v>2365</v>
      </c>
      <c r="K217" s="144">
        <v>2.5</v>
      </c>
      <c r="L217" s="144" t="s">
        <v>622</v>
      </c>
      <c r="M217" s="144" t="s">
        <v>2366</v>
      </c>
      <c r="N217" s="144">
        <v>2</v>
      </c>
      <c r="O217" s="144"/>
      <c r="P217" s="144"/>
      <c r="Q217" s="144" t="s">
        <v>452</v>
      </c>
      <c r="R217" s="144" t="s">
        <v>2367</v>
      </c>
      <c r="S217" s="144" t="s">
        <v>2368</v>
      </c>
      <c r="T217" s="144"/>
      <c r="U217" s="145"/>
      <c r="V217" s="145"/>
      <c r="W217" s="145"/>
      <c r="X217" s="144" t="s">
        <v>2369</v>
      </c>
      <c r="Y217" s="144" t="s">
        <v>2370</v>
      </c>
      <c r="Z217" s="144" t="str">
        <f ca="1">IFERROR(__xludf.DUMMYFUNCTION("IF(VLOOKUP($Y217, IMPORTRANGE(""https://docs.google.com/spreadsheets/d/1WsTKRjz8_fF2119Ff9dhKIIYXSaUEHzuWr8pBkxmwQQ/edit"", ""Form Responses 1!$B:$Z""),1, FALSE)=$Y217,""Yes"",""No"")"),"#N/A")</f>
        <v>#N/A</v>
      </c>
      <c r="AA217" s="144"/>
      <c r="AB217" s="144"/>
    </row>
    <row r="218" spans="1:28">
      <c r="A218" s="140" t="s">
        <v>598</v>
      </c>
      <c r="B218" s="140" t="s">
        <v>2371</v>
      </c>
      <c r="C218" s="140" t="s">
        <v>2372</v>
      </c>
      <c r="D218" s="140" t="s">
        <v>2373</v>
      </c>
      <c r="E218" s="140" t="s">
        <v>2374</v>
      </c>
      <c r="F218" s="140" t="s">
        <v>5</v>
      </c>
      <c r="G218" s="140">
        <v>3.25</v>
      </c>
      <c r="H218" s="140" t="s">
        <v>24</v>
      </c>
      <c r="I218" s="140" t="s">
        <v>447</v>
      </c>
      <c r="J218" s="140" t="s">
        <v>2375</v>
      </c>
      <c r="K218" s="140">
        <v>3</v>
      </c>
      <c r="L218" s="140" t="s">
        <v>449</v>
      </c>
      <c r="M218" s="140" t="s">
        <v>2376</v>
      </c>
      <c r="N218" s="140">
        <v>3.5</v>
      </c>
      <c r="O218" s="140"/>
      <c r="P218" s="140"/>
      <c r="Q218" s="140" t="s">
        <v>452</v>
      </c>
      <c r="R218" s="140" t="s">
        <v>2377</v>
      </c>
      <c r="S218" s="140"/>
      <c r="T218" s="140"/>
      <c r="U218" s="143"/>
      <c r="V218" s="143"/>
      <c r="W218" s="143"/>
      <c r="X218" s="140" t="s">
        <v>2378</v>
      </c>
      <c r="Y218" s="140" t="s">
        <v>2379</v>
      </c>
      <c r="Z218" s="140" t="str">
        <f ca="1">IFERROR(__xludf.DUMMYFUNCTION("IF(VLOOKUP($Y218, IMPORTRANGE(""https://docs.google.com/spreadsheets/d/1WsTKRjz8_fF2119Ff9dhKIIYXSaUEHzuWr8pBkxmwQQ/edit"", ""Form Responses 1!$B:$Z""),1, FALSE)=$Y218,""Yes"",""No"")"),"#N/A")</f>
        <v>#N/A</v>
      </c>
      <c r="AA218" s="140"/>
      <c r="AB218" s="140"/>
    </row>
    <row r="219" spans="1:28">
      <c r="A219" s="144" t="s">
        <v>529</v>
      </c>
      <c r="B219" s="144" t="s">
        <v>79</v>
      </c>
      <c r="C219" s="144" t="s">
        <v>2380</v>
      </c>
      <c r="D219" s="144" t="s">
        <v>2381</v>
      </c>
      <c r="E219" s="144" t="s">
        <v>2382</v>
      </c>
      <c r="F219" s="144" t="s">
        <v>5</v>
      </c>
      <c r="G219" s="144">
        <v>3.75</v>
      </c>
      <c r="H219" s="144" t="s">
        <v>24</v>
      </c>
      <c r="I219" s="144" t="s">
        <v>460</v>
      </c>
      <c r="J219" s="144" t="s">
        <v>2383</v>
      </c>
      <c r="K219" s="144">
        <v>4</v>
      </c>
      <c r="L219" s="144" t="s">
        <v>462</v>
      </c>
      <c r="M219" s="144" t="s">
        <v>2384</v>
      </c>
      <c r="N219" s="144">
        <v>3.5</v>
      </c>
      <c r="O219" s="144" t="s">
        <v>451</v>
      </c>
      <c r="P219" s="144" t="s">
        <v>2385</v>
      </c>
      <c r="Q219" s="144" t="s">
        <v>452</v>
      </c>
      <c r="R219" s="144" t="s">
        <v>2386</v>
      </c>
      <c r="S219" s="144"/>
      <c r="T219" s="144" t="s">
        <v>2387</v>
      </c>
      <c r="U219" s="145" t="s">
        <v>481</v>
      </c>
      <c r="V219" s="145"/>
      <c r="W219" s="145"/>
      <c r="X219" s="144" t="s">
        <v>469</v>
      </c>
      <c r="Y219" s="144" t="s">
        <v>2388</v>
      </c>
      <c r="Z219" s="144" t="str">
        <f ca="1">IFERROR(__xludf.DUMMYFUNCTION("IF(VLOOKUP($Y219, IMPORTRANGE(""https://docs.google.com/spreadsheets/d/1WsTKRjz8_fF2119Ff9dhKIIYXSaUEHzuWr8pBkxmwQQ/edit"", ""Form Responses 1!$B:$Z""),1, FALSE)=$Y219,""Yes"",""No"")"),"#N/A")</f>
        <v>#N/A</v>
      </c>
      <c r="AA219" s="144"/>
      <c r="AB219" s="144"/>
    </row>
    <row r="220" spans="1:28">
      <c r="A220" s="140" t="s">
        <v>443</v>
      </c>
      <c r="B220" s="140" t="s">
        <v>2389</v>
      </c>
      <c r="C220" s="140" t="s">
        <v>2390</v>
      </c>
      <c r="D220" s="140" t="s">
        <v>2391</v>
      </c>
      <c r="E220" s="140" t="s">
        <v>2392</v>
      </c>
      <c r="F220" s="140" t="s">
        <v>5</v>
      </c>
      <c r="G220" s="140">
        <v>2.25</v>
      </c>
      <c r="H220" s="140" t="s">
        <v>24</v>
      </c>
      <c r="I220" s="140" t="s">
        <v>447</v>
      </c>
      <c r="J220" s="140" t="s">
        <v>2393</v>
      </c>
      <c r="K220" s="140">
        <v>2</v>
      </c>
      <c r="L220" s="140" t="s">
        <v>449</v>
      </c>
      <c r="M220" s="140" t="s">
        <v>2394</v>
      </c>
      <c r="N220" s="140">
        <v>2.5</v>
      </c>
      <c r="O220" s="140" t="s">
        <v>2395</v>
      </c>
      <c r="P220" s="142">
        <v>400000</v>
      </c>
      <c r="Q220" s="140" t="s">
        <v>452</v>
      </c>
      <c r="R220" s="140" t="s">
        <v>2396</v>
      </c>
      <c r="S220" s="140"/>
      <c r="T220" s="140"/>
      <c r="U220" s="143"/>
      <c r="V220" s="143"/>
      <c r="W220" s="143"/>
      <c r="X220" s="140" t="s">
        <v>2397</v>
      </c>
      <c r="Y220" s="140" t="s">
        <v>2398</v>
      </c>
      <c r="Z220" s="140" t="str">
        <f ca="1">IFERROR(__xludf.DUMMYFUNCTION("IF(VLOOKUP($Y220, IMPORTRANGE(""https://docs.google.com/spreadsheets/d/1WsTKRjz8_fF2119Ff9dhKIIYXSaUEHzuWr8pBkxmwQQ/edit"", ""Form Responses 1!$B:$Z""),1, FALSE)=$Y220,""Yes"",""No"")"),"#N/A")</f>
        <v>#N/A</v>
      </c>
      <c r="AA220" s="140"/>
      <c r="AB220" s="140"/>
    </row>
    <row r="221" spans="1:28">
      <c r="A221" s="144" t="s">
        <v>598</v>
      </c>
      <c r="B221" s="144" t="s">
        <v>2399</v>
      </c>
      <c r="C221" s="144" t="s">
        <v>2400</v>
      </c>
      <c r="D221" s="144" t="s">
        <v>2401</v>
      </c>
      <c r="E221" s="144" t="s">
        <v>2402</v>
      </c>
      <c r="F221" s="144" t="s">
        <v>5</v>
      </c>
      <c r="G221" s="144">
        <v>2</v>
      </c>
      <c r="H221" s="144" t="s">
        <v>24</v>
      </c>
      <c r="I221" s="144" t="s">
        <v>447</v>
      </c>
      <c r="J221" s="144" t="s">
        <v>2403</v>
      </c>
      <c r="K221" s="144">
        <v>2</v>
      </c>
      <c r="L221" s="144" t="s">
        <v>449</v>
      </c>
      <c r="M221" s="144" t="s">
        <v>2404</v>
      </c>
      <c r="N221" s="144">
        <v>2</v>
      </c>
      <c r="O221" s="144" t="s">
        <v>784</v>
      </c>
      <c r="P221" s="144" t="s">
        <v>2405</v>
      </c>
      <c r="Q221" s="144" t="s">
        <v>452</v>
      </c>
      <c r="R221" s="144" t="s">
        <v>452</v>
      </c>
      <c r="S221" s="144"/>
      <c r="T221" s="144"/>
      <c r="U221" s="145"/>
      <c r="V221" s="145"/>
      <c r="W221" s="145"/>
      <c r="X221" s="144" t="s">
        <v>2406</v>
      </c>
      <c r="Y221" s="144" t="s">
        <v>2407</v>
      </c>
      <c r="Z221" s="144" t="str">
        <f ca="1">IFERROR(__xludf.DUMMYFUNCTION("IF(VLOOKUP($Y221, IMPORTRANGE(""https://docs.google.com/spreadsheets/d/1WsTKRjz8_fF2119Ff9dhKIIYXSaUEHzuWr8pBkxmwQQ/edit"", ""Form Responses 1!$B:$Z""),1, FALSE)=$Y221,""Yes"",""No"")"),"#N/A")</f>
        <v>#N/A</v>
      </c>
      <c r="AA221" s="144"/>
      <c r="AB221" s="144"/>
    </row>
    <row r="222" spans="1:28">
      <c r="A222" s="140" t="s">
        <v>529</v>
      </c>
      <c r="B222" s="140" t="s">
        <v>2408</v>
      </c>
      <c r="C222" s="140" t="s">
        <v>2409</v>
      </c>
      <c r="D222" s="140" t="s">
        <v>2410</v>
      </c>
      <c r="E222" s="140" t="s">
        <v>2411</v>
      </c>
      <c r="F222" s="140" t="s">
        <v>5</v>
      </c>
      <c r="G222" s="140">
        <v>3.25</v>
      </c>
      <c r="H222" s="140" t="s">
        <v>24</v>
      </c>
      <c r="I222" s="140" t="s">
        <v>447</v>
      </c>
      <c r="J222" s="140" t="s">
        <v>2412</v>
      </c>
      <c r="K222" s="140">
        <v>3</v>
      </c>
      <c r="L222" s="140" t="s">
        <v>543</v>
      </c>
      <c r="M222" s="140" t="s">
        <v>2413</v>
      </c>
      <c r="N222" s="140">
        <v>3.5</v>
      </c>
      <c r="O222" s="140" t="s">
        <v>478</v>
      </c>
      <c r="P222" s="140" t="s">
        <v>2414</v>
      </c>
      <c r="Q222" s="140" t="s">
        <v>452</v>
      </c>
      <c r="R222" s="140" t="s">
        <v>2415</v>
      </c>
      <c r="S222" s="140"/>
      <c r="T222" s="140"/>
      <c r="U222" s="143"/>
      <c r="V222" s="143"/>
      <c r="W222" s="143"/>
      <c r="X222" s="140" t="s">
        <v>2416</v>
      </c>
      <c r="Y222" s="140" t="s">
        <v>2417</v>
      </c>
      <c r="Z222" s="140" t="str">
        <f ca="1">IFERROR(__xludf.DUMMYFUNCTION("IF(VLOOKUP($Y222, IMPORTRANGE(""https://docs.google.com/spreadsheets/d/1WsTKRjz8_fF2119Ff9dhKIIYXSaUEHzuWr8pBkxmwQQ/edit"", ""Form Responses 1!$B:$Z""),1, FALSE)=$Y222,""Yes"",""No"")"),"#N/A")</f>
        <v>#N/A</v>
      </c>
      <c r="AA222" s="140"/>
      <c r="AB222" s="140"/>
    </row>
    <row r="223" spans="1:28">
      <c r="A223" s="144" t="s">
        <v>503</v>
      </c>
      <c r="B223" s="144" t="s">
        <v>2418</v>
      </c>
      <c r="C223" s="144" t="s">
        <v>2419</v>
      </c>
      <c r="D223" s="144" t="s">
        <v>2420</v>
      </c>
      <c r="E223" s="144" t="s">
        <v>2421</v>
      </c>
      <c r="F223" s="144" t="s">
        <v>5</v>
      </c>
      <c r="G223" s="144">
        <v>2</v>
      </c>
      <c r="H223" s="144" t="s">
        <v>24</v>
      </c>
      <c r="I223" s="144" t="s">
        <v>447</v>
      </c>
      <c r="J223" s="144" t="s">
        <v>2422</v>
      </c>
      <c r="K223" s="144">
        <v>2</v>
      </c>
      <c r="L223" s="144" t="s">
        <v>622</v>
      </c>
      <c r="M223" s="144"/>
      <c r="N223" s="144">
        <v>2</v>
      </c>
      <c r="O223" s="144"/>
      <c r="P223" s="144"/>
      <c r="Q223" s="144" t="s">
        <v>452</v>
      </c>
      <c r="R223" s="144" t="s">
        <v>2423</v>
      </c>
      <c r="S223" s="144"/>
      <c r="T223" s="144"/>
      <c r="U223" s="145"/>
      <c r="V223" s="145"/>
      <c r="W223" s="145"/>
      <c r="X223" s="144" t="s">
        <v>2424</v>
      </c>
      <c r="Y223" s="144" t="s">
        <v>2425</v>
      </c>
      <c r="Z223" s="144" t="str">
        <f ca="1">IFERROR(__xludf.DUMMYFUNCTION("IF(VLOOKUP($Y223, IMPORTRANGE(""https://docs.google.com/spreadsheets/d/1WsTKRjz8_fF2119Ff9dhKIIYXSaUEHzuWr8pBkxmwQQ/edit"", ""Form Responses 1!$B:$Z""),1, FALSE)=$Y223,""Yes"",""No"")"),"#N/A")</f>
        <v>#N/A</v>
      </c>
      <c r="AA223" s="144"/>
      <c r="AB223" s="144"/>
    </row>
    <row r="224" spans="1:28">
      <c r="A224" s="140" t="s">
        <v>484</v>
      </c>
      <c r="B224" s="140" t="s">
        <v>2426</v>
      </c>
      <c r="C224" s="140" t="s">
        <v>2427</v>
      </c>
      <c r="D224" s="140" t="s">
        <v>2428</v>
      </c>
      <c r="E224" s="140" t="s">
        <v>2429</v>
      </c>
      <c r="F224" s="140" t="s">
        <v>5</v>
      </c>
      <c r="G224" s="140">
        <v>3</v>
      </c>
      <c r="H224" s="140" t="s">
        <v>24</v>
      </c>
      <c r="I224" s="140" t="s">
        <v>447</v>
      </c>
      <c r="J224" s="140" t="s">
        <v>2430</v>
      </c>
      <c r="K224" s="140">
        <v>2.5</v>
      </c>
      <c r="L224" s="140" t="s">
        <v>449</v>
      </c>
      <c r="M224" s="140" t="s">
        <v>2431</v>
      </c>
      <c r="N224" s="140">
        <v>3.5</v>
      </c>
      <c r="O224" s="140" t="s">
        <v>478</v>
      </c>
      <c r="P224" s="142">
        <v>7000000</v>
      </c>
      <c r="Q224" s="140" t="s">
        <v>452</v>
      </c>
      <c r="R224" s="140" t="s">
        <v>2432</v>
      </c>
      <c r="S224" s="140"/>
      <c r="T224" s="140" t="s">
        <v>2433</v>
      </c>
      <c r="U224" s="143"/>
      <c r="V224" s="143"/>
      <c r="W224" s="143"/>
      <c r="X224" s="140" t="s">
        <v>2434</v>
      </c>
      <c r="Y224" s="140" t="s">
        <v>2435</v>
      </c>
      <c r="Z224" s="140" t="str">
        <f ca="1">IFERROR(__xludf.DUMMYFUNCTION("IF(VLOOKUP($Y224, IMPORTRANGE(""https://docs.google.com/spreadsheets/d/1WsTKRjz8_fF2119Ff9dhKIIYXSaUEHzuWr8pBkxmwQQ/edit"", ""Form Responses 1!$B:$Z""),1, FALSE)=$Y224,""Yes"",""No"")"),"#N/A")</f>
        <v>#N/A</v>
      </c>
      <c r="AA224" s="140"/>
      <c r="AB224" s="140"/>
    </row>
    <row r="225" spans="1:28">
      <c r="A225" s="144" t="s">
        <v>443</v>
      </c>
      <c r="B225" s="144" t="s">
        <v>2436</v>
      </c>
      <c r="C225" s="144" t="s">
        <v>2437</v>
      </c>
      <c r="D225" s="144" t="s">
        <v>2438</v>
      </c>
      <c r="E225" s="144" t="s">
        <v>2439</v>
      </c>
      <c r="F225" s="144" t="s">
        <v>5</v>
      </c>
      <c r="G225" s="144">
        <v>3.25</v>
      </c>
      <c r="H225" s="144" t="s">
        <v>24</v>
      </c>
      <c r="I225" s="144" t="s">
        <v>447</v>
      </c>
      <c r="J225" s="144" t="s">
        <v>2440</v>
      </c>
      <c r="K225" s="144">
        <v>3.5</v>
      </c>
      <c r="L225" s="144" t="s">
        <v>449</v>
      </c>
      <c r="M225" s="144" t="s">
        <v>2441</v>
      </c>
      <c r="N225" s="144">
        <v>3</v>
      </c>
      <c r="O225" s="144" t="s">
        <v>478</v>
      </c>
      <c r="P225" s="146">
        <v>8000000</v>
      </c>
      <c r="Q225" s="144" t="s">
        <v>465</v>
      </c>
      <c r="R225" s="144" t="s">
        <v>2442</v>
      </c>
      <c r="S225" s="144"/>
      <c r="T225" s="144"/>
      <c r="U225" s="145"/>
      <c r="V225" s="145"/>
      <c r="W225" s="145"/>
      <c r="X225" s="144" t="s">
        <v>2443</v>
      </c>
      <c r="Y225" s="144" t="s">
        <v>2444</v>
      </c>
      <c r="Z225" s="144" t="str">
        <f ca="1">IFERROR(__xludf.DUMMYFUNCTION("IF(VLOOKUP($Y225, IMPORTRANGE(""https://docs.google.com/spreadsheets/d/1WsTKRjz8_fF2119Ff9dhKIIYXSaUEHzuWr8pBkxmwQQ/edit"", ""Form Responses 1!$B:$Z""),1, FALSE)=$Y225,""Yes"",""No"")"),"#N/A")</f>
        <v>#N/A</v>
      </c>
      <c r="AA225" s="144"/>
      <c r="AB225" s="144"/>
    </row>
    <row r="226" spans="1:28">
      <c r="A226" s="140" t="s">
        <v>484</v>
      </c>
      <c r="B226" s="140" t="s">
        <v>2445</v>
      </c>
      <c r="C226" s="140" t="s">
        <v>2446</v>
      </c>
      <c r="D226" s="140" t="s">
        <v>2447</v>
      </c>
      <c r="E226" s="140" t="s">
        <v>2448</v>
      </c>
      <c r="F226" s="140" t="s">
        <v>5</v>
      </c>
      <c r="G226" s="140">
        <v>3.25</v>
      </c>
      <c r="H226" s="140" t="s">
        <v>24</v>
      </c>
      <c r="I226" s="140" t="s">
        <v>447</v>
      </c>
      <c r="J226" s="140" t="s">
        <v>2449</v>
      </c>
      <c r="K226" s="140">
        <v>3</v>
      </c>
      <c r="L226" s="140" t="s">
        <v>543</v>
      </c>
      <c r="M226" s="140" t="s">
        <v>2450</v>
      </c>
      <c r="N226" s="140">
        <v>3.5</v>
      </c>
      <c r="O226" s="140"/>
      <c r="P226" s="140"/>
      <c r="Q226" s="140" t="s">
        <v>452</v>
      </c>
      <c r="R226" s="140" t="s">
        <v>2451</v>
      </c>
      <c r="S226" s="140"/>
      <c r="T226" s="140"/>
      <c r="U226" s="143"/>
      <c r="V226" s="143"/>
      <c r="W226" s="143"/>
      <c r="X226" s="140" t="s">
        <v>2452</v>
      </c>
      <c r="Y226" s="140" t="s">
        <v>2453</v>
      </c>
      <c r="Z226" s="140" t="str">
        <f ca="1">IFERROR(__xludf.DUMMYFUNCTION("IF(VLOOKUP($Y226, IMPORTRANGE(""https://docs.google.com/spreadsheets/d/1WsTKRjz8_fF2119Ff9dhKIIYXSaUEHzuWr8pBkxmwQQ/edit"", ""Form Responses 1!$B:$Z""),1, FALSE)=$Y226,""Yes"",""No"")"),"#N/A")</f>
        <v>#N/A</v>
      </c>
      <c r="AA226" s="140"/>
      <c r="AB226" s="140"/>
    </row>
    <row r="227" spans="1:28">
      <c r="A227" s="144" t="s">
        <v>529</v>
      </c>
      <c r="B227" s="144" t="s">
        <v>2454</v>
      </c>
      <c r="C227" s="144" t="s">
        <v>2455</v>
      </c>
      <c r="D227" s="144" t="s">
        <v>2456</v>
      </c>
      <c r="E227" s="144" t="s">
        <v>2457</v>
      </c>
      <c r="F227" s="144" t="s">
        <v>5</v>
      </c>
      <c r="G227" s="144">
        <v>3.25</v>
      </c>
      <c r="H227" s="144" t="s">
        <v>24</v>
      </c>
      <c r="I227" s="144" t="s">
        <v>447</v>
      </c>
      <c r="J227" s="144" t="s">
        <v>2458</v>
      </c>
      <c r="K227" s="144">
        <v>3</v>
      </c>
      <c r="L227" s="144" t="s">
        <v>622</v>
      </c>
      <c r="M227" s="144" t="s">
        <v>2459</v>
      </c>
      <c r="N227" s="144">
        <v>3.5</v>
      </c>
      <c r="O227" s="144" t="s">
        <v>451</v>
      </c>
      <c r="P227" s="144">
        <v>1500000</v>
      </c>
      <c r="Q227" s="144" t="s">
        <v>452</v>
      </c>
      <c r="R227" s="144" t="s">
        <v>2460</v>
      </c>
      <c r="S227" s="144"/>
      <c r="T227" s="144"/>
      <c r="U227" s="145"/>
      <c r="V227" s="145"/>
      <c r="W227" s="145"/>
      <c r="X227" s="144" t="s">
        <v>2461</v>
      </c>
      <c r="Y227" s="144" t="s">
        <v>2462</v>
      </c>
      <c r="Z227" s="144" t="str">
        <f ca="1">IFERROR(__xludf.DUMMYFUNCTION("IF(VLOOKUP($Y227, IMPORTRANGE(""https://docs.google.com/spreadsheets/d/1WsTKRjz8_fF2119Ff9dhKIIYXSaUEHzuWr8pBkxmwQQ/edit"", ""Form Responses 1!$B:$Z""),1, FALSE)=$Y227,""Yes"",""No"")"),"#N/A")</f>
        <v>#N/A</v>
      </c>
      <c r="AA227" s="144"/>
      <c r="AB227" s="144"/>
    </row>
    <row r="228" spans="1:28">
      <c r="A228" s="140" t="s">
        <v>443</v>
      </c>
      <c r="B228" s="140" t="s">
        <v>2463</v>
      </c>
      <c r="C228" s="140" t="s">
        <v>2464</v>
      </c>
      <c r="D228" s="140" t="s">
        <v>2465</v>
      </c>
      <c r="E228" s="140" t="s">
        <v>2466</v>
      </c>
      <c r="F228" s="140" t="s">
        <v>5</v>
      </c>
      <c r="G228" s="140">
        <v>3.5</v>
      </c>
      <c r="H228" s="140" t="s">
        <v>24</v>
      </c>
      <c r="I228" s="140" t="s">
        <v>447</v>
      </c>
      <c r="J228" s="140" t="s">
        <v>2467</v>
      </c>
      <c r="K228" s="140">
        <v>3</v>
      </c>
      <c r="L228" s="140" t="s">
        <v>449</v>
      </c>
      <c r="M228" s="140" t="s">
        <v>2468</v>
      </c>
      <c r="N228" s="140">
        <v>4</v>
      </c>
      <c r="O228" s="140" t="s">
        <v>451</v>
      </c>
      <c r="P228" s="148">
        <v>1250000</v>
      </c>
      <c r="Q228" s="140" t="s">
        <v>452</v>
      </c>
      <c r="R228" s="140" t="s">
        <v>2469</v>
      </c>
      <c r="S228" s="140"/>
      <c r="T228" s="140" t="s">
        <v>2470</v>
      </c>
      <c r="U228" s="143"/>
      <c r="V228" s="143"/>
      <c r="W228" s="143"/>
      <c r="X228" s="140" t="s">
        <v>2471</v>
      </c>
      <c r="Y228" s="140" t="s">
        <v>2472</v>
      </c>
      <c r="Z228" s="140" t="str">
        <f ca="1">IFERROR(__xludf.DUMMYFUNCTION("IF(VLOOKUP($Y228, IMPORTRANGE(""https://docs.google.com/spreadsheets/d/1WsTKRjz8_fF2119Ff9dhKIIYXSaUEHzuWr8pBkxmwQQ/edit"", ""Form Responses 1!$B:$Z""),1, FALSE)=$Y228,""Yes"",""No"")"),"#N/A")</f>
        <v>#N/A</v>
      </c>
      <c r="AA228" s="140"/>
      <c r="AB228" s="140"/>
    </row>
    <row r="229" spans="1:28">
      <c r="A229" s="144" t="s">
        <v>471</v>
      </c>
      <c r="B229" s="144" t="s">
        <v>2473</v>
      </c>
      <c r="C229" s="144" t="s">
        <v>2474</v>
      </c>
      <c r="D229" s="144" t="s">
        <v>2475</v>
      </c>
      <c r="E229" s="144" t="s">
        <v>2476</v>
      </c>
      <c r="F229" s="144" t="s">
        <v>5</v>
      </c>
      <c r="G229" s="144">
        <v>3.75</v>
      </c>
      <c r="H229" s="144" t="s">
        <v>24</v>
      </c>
      <c r="I229" s="144" t="s">
        <v>447</v>
      </c>
      <c r="J229" s="144" t="s">
        <v>2477</v>
      </c>
      <c r="K229" s="144">
        <v>3.5</v>
      </c>
      <c r="L229" s="144" t="s">
        <v>622</v>
      </c>
      <c r="M229" s="144" t="s">
        <v>2478</v>
      </c>
      <c r="N229" s="144">
        <v>4</v>
      </c>
      <c r="O229" s="144" t="s">
        <v>451</v>
      </c>
      <c r="P229" s="147">
        <v>5000000</v>
      </c>
      <c r="Q229" s="144" t="s">
        <v>452</v>
      </c>
      <c r="R229" s="144" t="s">
        <v>452</v>
      </c>
      <c r="S229" s="144" t="s">
        <v>447</v>
      </c>
      <c r="T229" s="144" t="s">
        <v>2479</v>
      </c>
      <c r="U229" s="145"/>
      <c r="V229" s="145"/>
      <c r="W229" s="145"/>
      <c r="X229" s="144" t="s">
        <v>2480</v>
      </c>
      <c r="Y229" s="144" t="s">
        <v>2481</v>
      </c>
      <c r="Z229" s="144" t="str">
        <f ca="1">IFERROR(__xludf.DUMMYFUNCTION("IF(VLOOKUP($Y229, IMPORTRANGE(""https://docs.google.com/spreadsheets/d/1WsTKRjz8_fF2119Ff9dhKIIYXSaUEHzuWr8pBkxmwQQ/edit"", ""Form Responses 1!$B:$Z""),1, FALSE)=$Y229,""Yes"",""No"")"),"#N/A")</f>
        <v>#N/A</v>
      </c>
      <c r="AA229" s="144"/>
      <c r="AB229" s="144"/>
    </row>
    <row r="230" spans="1:28">
      <c r="A230" s="140" t="s">
        <v>443</v>
      </c>
      <c r="B230" s="140" t="s">
        <v>2482</v>
      </c>
      <c r="C230" s="140" t="s">
        <v>2483</v>
      </c>
      <c r="D230" s="140" t="s">
        <v>2484</v>
      </c>
      <c r="E230" s="140" t="s">
        <v>2485</v>
      </c>
      <c r="F230" s="140" t="s">
        <v>5</v>
      </c>
      <c r="G230" s="140">
        <v>2.75</v>
      </c>
      <c r="H230" s="140" t="s">
        <v>24</v>
      </c>
      <c r="I230" s="140" t="s">
        <v>622</v>
      </c>
      <c r="J230" s="140" t="s">
        <v>2486</v>
      </c>
      <c r="K230" s="140">
        <v>2.5</v>
      </c>
      <c r="L230" s="140" t="s">
        <v>449</v>
      </c>
      <c r="M230" s="140" t="s">
        <v>2487</v>
      </c>
      <c r="N230" s="140">
        <v>3</v>
      </c>
      <c r="O230" s="140" t="s">
        <v>2190</v>
      </c>
      <c r="P230" s="140">
        <v>250000</v>
      </c>
      <c r="Q230" s="140" t="s">
        <v>452</v>
      </c>
      <c r="R230" s="140" t="s">
        <v>452</v>
      </c>
      <c r="S230" s="140"/>
      <c r="T230" s="140"/>
      <c r="U230" s="143"/>
      <c r="V230" s="143"/>
      <c r="W230" s="143"/>
      <c r="X230" s="140" t="s">
        <v>2488</v>
      </c>
      <c r="Y230" s="140" t="s">
        <v>2489</v>
      </c>
      <c r="Z230" s="140" t="str">
        <f ca="1">IFERROR(__xludf.DUMMYFUNCTION("IF(VLOOKUP($Y230, IMPORTRANGE(""https://docs.google.com/spreadsheets/d/1WsTKRjz8_fF2119Ff9dhKIIYXSaUEHzuWr8pBkxmwQQ/edit"", ""Form Responses 1!$B:$Z""),1, FALSE)=$Y230,""Yes"",""No"")"),"#N/A")</f>
        <v>#N/A</v>
      </c>
      <c r="AA230" s="140"/>
      <c r="AB230" s="140"/>
    </row>
    <row r="231" spans="1:28">
      <c r="A231" s="144" t="s">
        <v>598</v>
      </c>
      <c r="B231" s="144" t="s">
        <v>2490</v>
      </c>
      <c r="C231" s="144" t="s">
        <v>2491</v>
      </c>
      <c r="D231" s="144" t="s">
        <v>2492</v>
      </c>
      <c r="E231" s="144" t="s">
        <v>2493</v>
      </c>
      <c r="F231" s="144" t="s">
        <v>5</v>
      </c>
      <c r="G231" s="144">
        <v>3.75</v>
      </c>
      <c r="H231" s="144" t="s">
        <v>24</v>
      </c>
      <c r="I231" s="144" t="s">
        <v>460</v>
      </c>
      <c r="J231" s="144" t="s">
        <v>2494</v>
      </c>
      <c r="K231" s="144">
        <v>3</v>
      </c>
      <c r="L231" s="144" t="s">
        <v>462</v>
      </c>
      <c r="M231" s="144" t="s">
        <v>2495</v>
      </c>
      <c r="N231" s="144">
        <v>4.5</v>
      </c>
      <c r="O231" s="144" t="s">
        <v>478</v>
      </c>
      <c r="P231" s="144">
        <v>4000000</v>
      </c>
      <c r="Q231" s="144" t="s">
        <v>452</v>
      </c>
      <c r="R231" s="144" t="s">
        <v>2496</v>
      </c>
      <c r="S231" s="144"/>
      <c r="T231" s="144" t="s">
        <v>2242</v>
      </c>
      <c r="U231" s="145"/>
      <c r="V231" s="145"/>
      <c r="W231" s="145"/>
      <c r="X231" s="144" t="s">
        <v>2497</v>
      </c>
      <c r="Y231" s="144" t="s">
        <v>2498</v>
      </c>
      <c r="Z231" s="144" t="str">
        <f ca="1">IFERROR(__xludf.DUMMYFUNCTION("IF(VLOOKUP($Y231, IMPORTRANGE(""https://docs.google.com/spreadsheets/d/1WsTKRjz8_fF2119Ff9dhKIIYXSaUEHzuWr8pBkxmwQQ/edit"", ""Form Responses 1!$B:$Z""),1, FALSE)=$Y231,""Yes"",""No"")"),"#N/A")</f>
        <v>#N/A</v>
      </c>
      <c r="AA231" s="144"/>
      <c r="AB231" s="144"/>
    </row>
    <row r="232" spans="1:28">
      <c r="A232" s="140" t="s">
        <v>529</v>
      </c>
      <c r="B232" s="140" t="s">
        <v>2499</v>
      </c>
      <c r="C232" s="140" t="s">
        <v>2500</v>
      </c>
      <c r="D232" s="140" t="s">
        <v>2501</v>
      </c>
      <c r="E232" s="140" t="s">
        <v>2502</v>
      </c>
      <c r="F232" s="140" t="s">
        <v>5</v>
      </c>
      <c r="G232" s="140">
        <v>2.25</v>
      </c>
      <c r="H232" s="140" t="s">
        <v>24</v>
      </c>
      <c r="I232" s="140" t="s">
        <v>447</v>
      </c>
      <c r="J232" s="140" t="s">
        <v>2503</v>
      </c>
      <c r="K232" s="140">
        <v>2.5</v>
      </c>
      <c r="L232" s="140" t="s">
        <v>543</v>
      </c>
      <c r="M232" s="140" t="s">
        <v>2504</v>
      </c>
      <c r="N232" s="140">
        <v>2</v>
      </c>
      <c r="O232" s="140"/>
      <c r="P232" s="140"/>
      <c r="Q232" s="140" t="s">
        <v>465</v>
      </c>
      <c r="R232" s="140" t="s">
        <v>575</v>
      </c>
      <c r="S232" s="140" t="s">
        <v>725</v>
      </c>
      <c r="T232" s="140"/>
      <c r="U232" s="143"/>
      <c r="V232" s="143"/>
      <c r="W232" s="143"/>
      <c r="X232" s="140" t="s">
        <v>2505</v>
      </c>
      <c r="Y232" s="140" t="s">
        <v>2506</v>
      </c>
      <c r="Z232" s="140" t="str">
        <f ca="1">IFERROR(__xludf.DUMMYFUNCTION("IF(VLOOKUP($Y232, IMPORTRANGE(""https://docs.google.com/spreadsheets/d/1WsTKRjz8_fF2119Ff9dhKIIYXSaUEHzuWr8pBkxmwQQ/edit"", ""Form Responses 1!$B:$Z""),1, FALSE)=$Y232,""Yes"",""No"")"),"#N/A")</f>
        <v>#N/A</v>
      </c>
      <c r="AA232" s="140"/>
      <c r="AB232" s="140"/>
    </row>
    <row r="233" spans="1:28">
      <c r="A233" s="144" t="s">
        <v>471</v>
      </c>
      <c r="B233" s="144" t="s">
        <v>2507</v>
      </c>
      <c r="C233" s="144" t="s">
        <v>2508</v>
      </c>
      <c r="D233" s="144" t="s">
        <v>2509</v>
      </c>
      <c r="E233" s="144" t="s">
        <v>2510</v>
      </c>
      <c r="F233" s="144" t="s">
        <v>5</v>
      </c>
      <c r="G233" s="144">
        <v>3</v>
      </c>
      <c r="H233" s="144" t="s">
        <v>24</v>
      </c>
      <c r="I233" s="144" t="s">
        <v>447</v>
      </c>
      <c r="J233" s="144" t="s">
        <v>2511</v>
      </c>
      <c r="K233" s="144">
        <v>4</v>
      </c>
      <c r="L233" s="144" t="s">
        <v>622</v>
      </c>
      <c r="M233" s="144"/>
      <c r="N233" s="144">
        <v>2</v>
      </c>
      <c r="O233" s="144"/>
      <c r="P233" s="144"/>
      <c r="Q233" s="144" t="s">
        <v>452</v>
      </c>
      <c r="R233" s="144" t="s">
        <v>2512</v>
      </c>
      <c r="S233" s="144"/>
      <c r="T233" s="144"/>
      <c r="U233" s="145"/>
      <c r="V233" s="145"/>
      <c r="W233" s="145"/>
      <c r="X233" s="144" t="s">
        <v>2513</v>
      </c>
      <c r="Y233" s="144" t="s">
        <v>2514</v>
      </c>
      <c r="Z233" s="144" t="str">
        <f ca="1">IFERROR(__xludf.DUMMYFUNCTION("IF(VLOOKUP($Y233, IMPORTRANGE(""https://docs.google.com/spreadsheets/d/1WsTKRjz8_fF2119Ff9dhKIIYXSaUEHzuWr8pBkxmwQQ/edit"", ""Form Responses 1!$B:$Z""),1, FALSE)=$Y233,""Yes"",""No"")"),"#N/A")</f>
        <v>#N/A</v>
      </c>
      <c r="AA233" s="144"/>
      <c r="AB233" s="144"/>
    </row>
    <row r="234" spans="1:28">
      <c r="A234" s="140" t="s">
        <v>529</v>
      </c>
      <c r="B234" s="140" t="s">
        <v>2515</v>
      </c>
      <c r="C234" s="140" t="s">
        <v>2516</v>
      </c>
      <c r="D234" s="140" t="s">
        <v>2517</v>
      </c>
      <c r="E234" s="140" t="s">
        <v>2518</v>
      </c>
      <c r="F234" s="140" t="s">
        <v>5</v>
      </c>
      <c r="G234" s="140">
        <v>3.75</v>
      </c>
      <c r="H234" s="140" t="s">
        <v>24</v>
      </c>
      <c r="I234" s="140" t="s">
        <v>447</v>
      </c>
      <c r="J234" s="140" t="s">
        <v>2519</v>
      </c>
      <c r="K234" s="140">
        <v>3.5</v>
      </c>
      <c r="L234" s="140" t="s">
        <v>622</v>
      </c>
      <c r="M234" s="140" t="s">
        <v>2520</v>
      </c>
      <c r="N234" s="140">
        <v>4</v>
      </c>
      <c r="O234" s="140" t="s">
        <v>451</v>
      </c>
      <c r="P234" s="148">
        <v>1000000</v>
      </c>
      <c r="Q234" s="140" t="s">
        <v>454</v>
      </c>
      <c r="R234" s="140" t="s">
        <v>2521</v>
      </c>
      <c r="S234" s="140"/>
      <c r="T234" s="140"/>
      <c r="U234" s="143"/>
      <c r="V234" s="143"/>
      <c r="W234" s="143"/>
      <c r="X234" s="140" t="s">
        <v>2243</v>
      </c>
      <c r="Y234" s="140" t="s">
        <v>2522</v>
      </c>
      <c r="Z234" s="140" t="str">
        <f ca="1">IFERROR(__xludf.DUMMYFUNCTION("IF(VLOOKUP($Y234, IMPORTRANGE(""https://docs.google.com/spreadsheets/d/1WsTKRjz8_fF2119Ff9dhKIIYXSaUEHzuWr8pBkxmwQQ/edit"", ""Form Responses 1!$B:$Z""),1, FALSE)=$Y234,""Yes"",""No"")"),"#N/A")</f>
        <v>#N/A</v>
      </c>
      <c r="AA234" s="140"/>
      <c r="AB234" s="140"/>
    </row>
    <row r="235" spans="1:28">
      <c r="A235" s="144" t="s">
        <v>484</v>
      </c>
      <c r="B235" s="144" t="s">
        <v>2523</v>
      </c>
      <c r="C235" s="144" t="s">
        <v>2524</v>
      </c>
      <c r="D235" s="144" t="s">
        <v>2525</v>
      </c>
      <c r="E235" s="144" t="s">
        <v>2526</v>
      </c>
      <c r="F235" s="144" t="s">
        <v>5</v>
      </c>
      <c r="G235" s="144">
        <v>2.5</v>
      </c>
      <c r="H235" s="144" t="s">
        <v>24</v>
      </c>
      <c r="I235" s="144" t="s">
        <v>727</v>
      </c>
      <c r="J235" s="144"/>
      <c r="K235" s="144">
        <v>1</v>
      </c>
      <c r="L235" s="144" t="s">
        <v>622</v>
      </c>
      <c r="M235" s="144"/>
      <c r="N235" s="144">
        <v>4</v>
      </c>
      <c r="O235" s="144" t="s">
        <v>478</v>
      </c>
      <c r="P235" s="144" t="s">
        <v>2527</v>
      </c>
      <c r="Q235" s="144" t="s">
        <v>452</v>
      </c>
      <c r="R235" s="144" t="s">
        <v>1119</v>
      </c>
      <c r="S235" s="144"/>
      <c r="T235" s="144"/>
      <c r="U235" s="145"/>
      <c r="V235" s="145"/>
      <c r="W235" s="145"/>
      <c r="X235" s="144" t="s">
        <v>2528</v>
      </c>
      <c r="Y235" s="144" t="s">
        <v>2529</v>
      </c>
      <c r="Z235" s="144" t="str">
        <f ca="1">IFERROR(__xludf.DUMMYFUNCTION("IF(VLOOKUP($Y235, IMPORTRANGE(""https://docs.google.com/spreadsheets/d/1WsTKRjz8_fF2119Ff9dhKIIYXSaUEHzuWr8pBkxmwQQ/edit"", ""Form Responses 1!$B:$Z""),1, FALSE)=$Y235,""Yes"",""No"")"),"#N/A")</f>
        <v>#N/A</v>
      </c>
      <c r="AA235" s="144"/>
      <c r="AB235" s="144"/>
    </row>
    <row r="236" spans="1:28">
      <c r="A236" s="140" t="s">
        <v>598</v>
      </c>
      <c r="B236" s="140" t="s">
        <v>2530</v>
      </c>
      <c r="C236" s="140" t="s">
        <v>2531</v>
      </c>
      <c r="D236" s="140" t="s">
        <v>2532</v>
      </c>
      <c r="E236" s="140" t="s">
        <v>2533</v>
      </c>
      <c r="F236" s="140" t="s">
        <v>5</v>
      </c>
      <c r="G236" s="140">
        <v>3</v>
      </c>
      <c r="H236" s="140" t="s">
        <v>24</v>
      </c>
      <c r="I236" s="140" t="s">
        <v>447</v>
      </c>
      <c r="J236" s="140" t="s">
        <v>2534</v>
      </c>
      <c r="K236" s="140">
        <v>3</v>
      </c>
      <c r="L236" s="140" t="s">
        <v>449</v>
      </c>
      <c r="M236" s="140" t="s">
        <v>2535</v>
      </c>
      <c r="N236" s="140">
        <v>3</v>
      </c>
      <c r="O236" s="140"/>
      <c r="P236" s="140"/>
      <c r="Q236" s="140" t="s">
        <v>454</v>
      </c>
      <c r="R236" s="140" t="s">
        <v>2536</v>
      </c>
      <c r="S236" s="140" t="s">
        <v>2537</v>
      </c>
      <c r="T236" s="140"/>
      <c r="U236" s="143"/>
      <c r="V236" s="143"/>
      <c r="W236" s="143"/>
      <c r="X236" s="140" t="s">
        <v>2538</v>
      </c>
      <c r="Y236" s="140" t="s">
        <v>2539</v>
      </c>
      <c r="Z236" s="140" t="str">
        <f ca="1">IFERROR(__xludf.DUMMYFUNCTION("IF(VLOOKUP($Y236, IMPORTRANGE(""https://docs.google.com/spreadsheets/d/1WsTKRjz8_fF2119Ff9dhKIIYXSaUEHzuWr8pBkxmwQQ/edit"", ""Form Responses 1!$B:$Z""),1, FALSE)=$Y236,""Yes"",""No"")"),"#N/A")</f>
        <v>#N/A</v>
      </c>
      <c r="AA236" s="140"/>
      <c r="AB236" s="140"/>
    </row>
    <row r="237" spans="1:28">
      <c r="A237" s="144" t="s">
        <v>529</v>
      </c>
      <c r="B237" s="144" t="s">
        <v>2540</v>
      </c>
      <c r="C237" s="144" t="s">
        <v>2541</v>
      </c>
      <c r="D237" s="144" t="s">
        <v>2542</v>
      </c>
      <c r="E237" s="144" t="s">
        <v>2543</v>
      </c>
      <c r="F237" s="144" t="s">
        <v>5</v>
      </c>
      <c r="G237" s="144">
        <v>2.75</v>
      </c>
      <c r="H237" s="144" t="s">
        <v>24</v>
      </c>
      <c r="I237" s="144" t="s">
        <v>447</v>
      </c>
      <c r="J237" s="144" t="s">
        <v>2544</v>
      </c>
      <c r="K237" s="144">
        <v>2.5</v>
      </c>
      <c r="L237" s="144" t="s">
        <v>543</v>
      </c>
      <c r="M237" s="144" t="s">
        <v>2545</v>
      </c>
      <c r="N237" s="144">
        <v>3</v>
      </c>
      <c r="O237" s="144" t="s">
        <v>451</v>
      </c>
      <c r="P237" s="147">
        <v>2000000</v>
      </c>
      <c r="Q237" s="144" t="s">
        <v>465</v>
      </c>
      <c r="R237" s="144" t="s">
        <v>2546</v>
      </c>
      <c r="S237" s="144"/>
      <c r="T237" s="144"/>
      <c r="U237" s="145"/>
      <c r="V237" s="145"/>
      <c r="W237" s="145"/>
      <c r="X237" s="144" t="s">
        <v>2547</v>
      </c>
      <c r="Y237" s="144" t="s">
        <v>2548</v>
      </c>
      <c r="Z237" s="144" t="str">
        <f ca="1">IFERROR(__xludf.DUMMYFUNCTION("IF(VLOOKUP($Y237, IMPORTRANGE(""https://docs.google.com/spreadsheets/d/1WsTKRjz8_fF2119Ff9dhKIIYXSaUEHzuWr8pBkxmwQQ/edit"", ""Form Responses 1!$B:$Z""),1, FALSE)=$Y237,""Yes"",""No"")"),"#N/A")</f>
        <v>#N/A</v>
      </c>
      <c r="AA237" s="144"/>
      <c r="AB237" s="144"/>
    </row>
    <row r="238" spans="1:28">
      <c r="A238" s="140" t="s">
        <v>471</v>
      </c>
      <c r="B238" s="140" t="s">
        <v>2549</v>
      </c>
      <c r="C238" s="140" t="s">
        <v>2550</v>
      </c>
      <c r="D238" s="140" t="s">
        <v>2551</v>
      </c>
      <c r="E238" s="140" t="s">
        <v>2552</v>
      </c>
      <c r="F238" s="140" t="s">
        <v>5</v>
      </c>
      <c r="G238" s="140">
        <v>2.25</v>
      </c>
      <c r="H238" s="140" t="s">
        <v>24</v>
      </c>
      <c r="I238" s="140" t="s">
        <v>447</v>
      </c>
      <c r="J238" s="140" t="s">
        <v>2553</v>
      </c>
      <c r="K238" s="140">
        <v>2.5</v>
      </c>
      <c r="L238" s="140" t="s">
        <v>449</v>
      </c>
      <c r="M238" s="140" t="s">
        <v>2554</v>
      </c>
      <c r="N238" s="140">
        <v>2</v>
      </c>
      <c r="O238" s="140" t="s">
        <v>784</v>
      </c>
      <c r="P238" s="148">
        <v>5000000</v>
      </c>
      <c r="Q238" s="140" t="s">
        <v>454</v>
      </c>
      <c r="R238" s="140" t="s">
        <v>452</v>
      </c>
      <c r="S238" s="140"/>
      <c r="T238" s="140"/>
      <c r="U238" s="143"/>
      <c r="V238" s="143"/>
      <c r="W238" s="143"/>
      <c r="X238" s="140" t="s">
        <v>2555</v>
      </c>
      <c r="Y238" s="140" t="s">
        <v>2556</v>
      </c>
      <c r="Z238" s="140" t="str">
        <f ca="1">IFERROR(__xludf.DUMMYFUNCTION("IF(VLOOKUP($Y238, IMPORTRANGE(""https://docs.google.com/spreadsheets/d/1WsTKRjz8_fF2119Ff9dhKIIYXSaUEHzuWr8pBkxmwQQ/edit"", ""Form Responses 1!$B:$Z""),1, FALSE)=$Y238,""Yes"",""No"")"),"#N/A")</f>
        <v>#N/A</v>
      </c>
      <c r="AA238" s="140"/>
      <c r="AB238" s="140"/>
    </row>
    <row r="239" spans="1:28">
      <c r="A239" s="144" t="s">
        <v>529</v>
      </c>
      <c r="B239" s="144" t="s">
        <v>2557</v>
      </c>
      <c r="C239" s="144" t="s">
        <v>2558</v>
      </c>
      <c r="D239" s="144" t="s">
        <v>2559</v>
      </c>
      <c r="E239" s="144" t="s">
        <v>2560</v>
      </c>
      <c r="F239" s="144" t="s">
        <v>5</v>
      </c>
      <c r="G239" s="144">
        <v>3.25</v>
      </c>
      <c r="H239" s="144" t="s">
        <v>24</v>
      </c>
      <c r="I239" s="144" t="s">
        <v>447</v>
      </c>
      <c r="J239" s="144" t="s">
        <v>2561</v>
      </c>
      <c r="K239" s="144">
        <v>3.5</v>
      </c>
      <c r="L239" s="144" t="s">
        <v>622</v>
      </c>
      <c r="M239" s="144" t="s">
        <v>2562</v>
      </c>
      <c r="N239" s="144">
        <v>3</v>
      </c>
      <c r="O239" s="144" t="s">
        <v>451</v>
      </c>
      <c r="P239" s="146">
        <v>3000000</v>
      </c>
      <c r="Q239" s="144" t="s">
        <v>452</v>
      </c>
      <c r="R239" s="144" t="s">
        <v>2563</v>
      </c>
      <c r="S239" s="144"/>
      <c r="T239" s="144"/>
      <c r="U239" s="145"/>
      <c r="V239" s="145"/>
      <c r="W239" s="145"/>
      <c r="X239" s="144" t="s">
        <v>2564</v>
      </c>
      <c r="Y239" s="144" t="s">
        <v>2565</v>
      </c>
      <c r="Z239" s="144" t="str">
        <f ca="1">IFERROR(__xludf.DUMMYFUNCTION("IF(VLOOKUP($Y239, IMPORTRANGE(""https://docs.google.com/spreadsheets/d/1WsTKRjz8_fF2119Ff9dhKIIYXSaUEHzuWr8pBkxmwQQ/edit"", ""Form Responses 1!$B:$Z""),1, FALSE)=$Y239,""Yes"",""No"")"),"#N/A")</f>
        <v>#N/A</v>
      </c>
      <c r="AA239" s="144"/>
      <c r="AB239" s="144"/>
    </row>
    <row r="240" spans="1:28">
      <c r="A240" s="140" t="s">
        <v>484</v>
      </c>
      <c r="B240" s="140" t="s">
        <v>2566</v>
      </c>
      <c r="C240" s="140" t="s">
        <v>2567</v>
      </c>
      <c r="D240" s="140" t="s">
        <v>2568</v>
      </c>
      <c r="E240" s="140" t="s">
        <v>2569</v>
      </c>
      <c r="F240" s="140" t="s">
        <v>5</v>
      </c>
      <c r="G240" s="140">
        <v>2.5</v>
      </c>
      <c r="H240" s="140" t="s">
        <v>24</v>
      </c>
      <c r="I240" s="140" t="s">
        <v>447</v>
      </c>
      <c r="J240" s="140" t="s">
        <v>2570</v>
      </c>
      <c r="K240" s="140">
        <v>3</v>
      </c>
      <c r="L240" s="140" t="s">
        <v>622</v>
      </c>
      <c r="M240" s="140" t="s">
        <v>2571</v>
      </c>
      <c r="N240" s="140">
        <v>2</v>
      </c>
      <c r="O240" s="140" t="s">
        <v>451</v>
      </c>
      <c r="P240" s="148">
        <v>760000</v>
      </c>
      <c r="Q240" s="140" t="s">
        <v>465</v>
      </c>
      <c r="R240" s="140" t="s">
        <v>2572</v>
      </c>
      <c r="S240" s="140"/>
      <c r="T240" s="140" t="s">
        <v>2573</v>
      </c>
      <c r="U240" s="143"/>
      <c r="V240" s="143"/>
      <c r="W240" s="143"/>
      <c r="X240" s="140" t="s">
        <v>2574</v>
      </c>
      <c r="Y240" s="140" t="s">
        <v>2575</v>
      </c>
      <c r="Z240" s="140" t="str">
        <f ca="1">IFERROR(__xludf.DUMMYFUNCTION("IF(VLOOKUP($Y240, IMPORTRANGE(""https://docs.google.com/spreadsheets/d/1WsTKRjz8_fF2119Ff9dhKIIYXSaUEHzuWr8pBkxmwQQ/edit"", ""Form Responses 1!$B:$Z""),1, FALSE)=$Y240,""Yes"",""No"")"),"#N/A")</f>
        <v>#N/A</v>
      </c>
      <c r="AA240" s="140"/>
      <c r="AB240" s="140"/>
    </row>
    <row r="241" spans="1:28">
      <c r="A241" s="144" t="s">
        <v>598</v>
      </c>
      <c r="B241" s="144" t="s">
        <v>87</v>
      </c>
      <c r="C241" s="144" t="s">
        <v>2576</v>
      </c>
      <c r="D241" s="144" t="s">
        <v>2577</v>
      </c>
      <c r="E241" s="144" t="s">
        <v>2578</v>
      </c>
      <c r="F241" s="144" t="s">
        <v>5</v>
      </c>
      <c r="G241" s="144">
        <v>4</v>
      </c>
      <c r="H241" s="144" t="s">
        <v>24</v>
      </c>
      <c r="I241" s="144" t="s">
        <v>460</v>
      </c>
      <c r="J241" s="144" t="s">
        <v>2579</v>
      </c>
      <c r="K241" s="144">
        <v>4</v>
      </c>
      <c r="L241" s="144" t="s">
        <v>462</v>
      </c>
      <c r="M241" s="144" t="s">
        <v>2580</v>
      </c>
      <c r="N241" s="144">
        <v>4</v>
      </c>
      <c r="O241" s="144" t="s">
        <v>2581</v>
      </c>
      <c r="P241" s="147">
        <v>2500000</v>
      </c>
      <c r="Q241" s="144" t="s">
        <v>452</v>
      </c>
      <c r="R241" s="144" t="s">
        <v>2582</v>
      </c>
      <c r="S241" s="144" t="s">
        <v>2583</v>
      </c>
      <c r="T241" s="144" t="s">
        <v>2584</v>
      </c>
      <c r="U241" s="145" t="s">
        <v>481</v>
      </c>
      <c r="V241" s="145"/>
      <c r="W241" s="145" t="s">
        <v>2583</v>
      </c>
      <c r="X241" s="144" t="s">
        <v>2585</v>
      </c>
      <c r="Y241" s="144" t="s">
        <v>2586</v>
      </c>
      <c r="Z241" s="144" t="str">
        <f ca="1">IFERROR(__xludf.DUMMYFUNCTION("IF(VLOOKUP($Y241, IMPORTRANGE(""https://docs.google.com/spreadsheets/d/1WsTKRjz8_fF2119Ff9dhKIIYXSaUEHzuWr8pBkxmwQQ/edit"", ""Form Responses 1!$B:$Z""),1, FALSE)=$Y241,""Yes"",""No"")"),"#N/A")</f>
        <v>#N/A</v>
      </c>
      <c r="AA241" s="144"/>
      <c r="AB241" s="144"/>
    </row>
    <row r="242" spans="1:28">
      <c r="A242" s="140" t="s">
        <v>443</v>
      </c>
      <c r="B242" s="140" t="s">
        <v>2587</v>
      </c>
      <c r="C242" s="140" t="s">
        <v>2588</v>
      </c>
      <c r="D242" s="140" t="s">
        <v>2589</v>
      </c>
      <c r="E242" s="140" t="s">
        <v>2590</v>
      </c>
      <c r="F242" s="140" t="s">
        <v>5</v>
      </c>
      <c r="G242" s="140">
        <v>3.25</v>
      </c>
      <c r="H242" s="140" t="s">
        <v>24</v>
      </c>
      <c r="I242" s="140" t="s">
        <v>447</v>
      </c>
      <c r="J242" s="140" t="s">
        <v>2591</v>
      </c>
      <c r="K242" s="140">
        <v>3.5</v>
      </c>
      <c r="L242" s="140" t="s">
        <v>449</v>
      </c>
      <c r="M242" s="140" t="s">
        <v>2592</v>
      </c>
      <c r="N242" s="140">
        <v>3</v>
      </c>
      <c r="O242" s="140" t="s">
        <v>2152</v>
      </c>
      <c r="P242" s="140" t="s">
        <v>2593</v>
      </c>
      <c r="Q242" s="140" t="s">
        <v>452</v>
      </c>
      <c r="R242" s="140" t="s">
        <v>2594</v>
      </c>
      <c r="S242" s="140"/>
      <c r="T242" s="140"/>
      <c r="U242" s="143"/>
      <c r="V242" s="143"/>
      <c r="W242" s="143"/>
      <c r="X242" s="140" t="s">
        <v>2595</v>
      </c>
      <c r="Y242" s="140" t="s">
        <v>2596</v>
      </c>
      <c r="Z242" s="140" t="str">
        <f ca="1">IFERROR(__xludf.DUMMYFUNCTION("IF(VLOOKUP($Y242, IMPORTRANGE(""https://docs.google.com/spreadsheets/d/1WsTKRjz8_fF2119Ff9dhKIIYXSaUEHzuWr8pBkxmwQQ/edit"", ""Form Responses 1!$B:$Z""),1, FALSE)=$Y242,""Yes"",""No"")"),"#N/A")</f>
        <v>#N/A</v>
      </c>
      <c r="AA242" s="140"/>
      <c r="AB242" s="140"/>
    </row>
    <row r="243" spans="1:28">
      <c r="A243" s="144" t="s">
        <v>443</v>
      </c>
      <c r="B243" s="144" t="s">
        <v>2597</v>
      </c>
      <c r="C243" s="144" t="s">
        <v>2598</v>
      </c>
      <c r="D243" s="144" t="s">
        <v>2599</v>
      </c>
      <c r="E243" s="144" t="s">
        <v>2600</v>
      </c>
      <c r="F243" s="144" t="s">
        <v>5</v>
      </c>
      <c r="G243" s="144">
        <v>2.75</v>
      </c>
      <c r="H243" s="144" t="s">
        <v>24</v>
      </c>
      <c r="I243" s="144" t="s">
        <v>447</v>
      </c>
      <c r="J243" s="144" t="s">
        <v>2601</v>
      </c>
      <c r="K243" s="144">
        <v>3</v>
      </c>
      <c r="L243" s="144" t="s">
        <v>543</v>
      </c>
      <c r="M243" s="144" t="s">
        <v>2602</v>
      </c>
      <c r="N243" s="144">
        <v>2.5</v>
      </c>
      <c r="O243" s="144" t="s">
        <v>2603</v>
      </c>
      <c r="P243" s="144" t="s">
        <v>2604</v>
      </c>
      <c r="Q243" s="144" t="s">
        <v>452</v>
      </c>
      <c r="R243" s="144" t="s">
        <v>1119</v>
      </c>
      <c r="S243" s="144"/>
      <c r="T243" s="144"/>
      <c r="U243" s="145"/>
      <c r="V243" s="145"/>
      <c r="W243" s="145"/>
      <c r="X243" s="144" t="s">
        <v>2605</v>
      </c>
      <c r="Y243" s="144" t="s">
        <v>2606</v>
      </c>
      <c r="Z243" s="144" t="str">
        <f ca="1">IFERROR(__xludf.DUMMYFUNCTION("IF(VLOOKUP($Y243, IMPORTRANGE(""https://docs.google.com/spreadsheets/d/1WsTKRjz8_fF2119Ff9dhKIIYXSaUEHzuWr8pBkxmwQQ/edit"", ""Form Responses 1!$B:$Z""),1, FALSE)=$Y243,""Yes"",""No"")"),"#N/A")</f>
        <v>#N/A</v>
      </c>
      <c r="AA243" s="144"/>
      <c r="AB243" s="144"/>
    </row>
    <row r="244" spans="1:28">
      <c r="A244" s="140" t="s">
        <v>529</v>
      </c>
      <c r="B244" s="140" t="s">
        <v>2607</v>
      </c>
      <c r="C244" s="140" t="s">
        <v>2608</v>
      </c>
      <c r="D244" s="140" t="s">
        <v>2609</v>
      </c>
      <c r="E244" s="140" t="s">
        <v>2610</v>
      </c>
      <c r="F244" s="140" t="s">
        <v>5</v>
      </c>
      <c r="G244" s="140">
        <v>3</v>
      </c>
      <c r="H244" s="140" t="s">
        <v>24</v>
      </c>
      <c r="I244" s="140" t="s">
        <v>447</v>
      </c>
      <c r="J244" s="140" t="s">
        <v>2611</v>
      </c>
      <c r="K244" s="140">
        <v>3</v>
      </c>
      <c r="L244" s="140" t="s">
        <v>449</v>
      </c>
      <c r="M244" s="140" t="s">
        <v>2612</v>
      </c>
      <c r="N244" s="140">
        <v>3</v>
      </c>
      <c r="O244" s="140" t="s">
        <v>451</v>
      </c>
      <c r="P244" s="140">
        <v>1500000</v>
      </c>
      <c r="Q244" s="140" t="s">
        <v>452</v>
      </c>
      <c r="R244" s="140" t="s">
        <v>2613</v>
      </c>
      <c r="S244" s="140"/>
      <c r="T244" s="140"/>
      <c r="U244" s="143"/>
      <c r="V244" s="143"/>
      <c r="W244" s="143"/>
      <c r="X244" s="140" t="s">
        <v>2614</v>
      </c>
      <c r="Y244" s="140" t="s">
        <v>2615</v>
      </c>
      <c r="Z244" s="140" t="str">
        <f ca="1">IFERROR(__xludf.DUMMYFUNCTION("IF(VLOOKUP($Y244, IMPORTRANGE(""https://docs.google.com/spreadsheets/d/1WsTKRjz8_fF2119Ff9dhKIIYXSaUEHzuWr8pBkxmwQQ/edit"", ""Form Responses 1!$B:$Z""),1, FALSE)=$Y244,""Yes"",""No"")"),"#N/A")</f>
        <v>#N/A</v>
      </c>
      <c r="AA244" s="140"/>
      <c r="AB244" s="140"/>
    </row>
    <row r="245" spans="1:28">
      <c r="A245" s="144" t="s">
        <v>443</v>
      </c>
      <c r="B245" s="144" t="s">
        <v>2616</v>
      </c>
      <c r="C245" s="144" t="s">
        <v>2617</v>
      </c>
      <c r="D245" s="144" t="s">
        <v>2618</v>
      </c>
      <c r="E245" s="144" t="s">
        <v>2619</v>
      </c>
      <c r="F245" s="144" t="s">
        <v>5</v>
      </c>
      <c r="G245" s="144">
        <v>2</v>
      </c>
      <c r="H245" s="144" t="s">
        <v>24</v>
      </c>
      <c r="I245" s="144" t="s">
        <v>447</v>
      </c>
      <c r="J245" s="144" t="s">
        <v>2620</v>
      </c>
      <c r="K245" s="144">
        <v>2</v>
      </c>
      <c r="L245" s="144" t="s">
        <v>449</v>
      </c>
      <c r="M245" s="144" t="s">
        <v>2621</v>
      </c>
      <c r="N245" s="144">
        <v>2</v>
      </c>
      <c r="O245" s="144"/>
      <c r="P245" s="144"/>
      <c r="Q245" s="144" t="s">
        <v>452</v>
      </c>
      <c r="R245" s="144" t="s">
        <v>2622</v>
      </c>
      <c r="S245" s="144" t="s">
        <v>2623</v>
      </c>
      <c r="T245" s="144"/>
      <c r="U245" s="145"/>
      <c r="V245" s="145"/>
      <c r="W245" s="145"/>
      <c r="X245" s="144" t="s">
        <v>2624</v>
      </c>
      <c r="Y245" s="144" t="s">
        <v>2625</v>
      </c>
      <c r="Z245" s="144" t="str">
        <f ca="1">IFERROR(__xludf.DUMMYFUNCTION("IF(VLOOKUP($Y245, IMPORTRANGE(""https://docs.google.com/spreadsheets/d/1WsTKRjz8_fF2119Ff9dhKIIYXSaUEHzuWr8pBkxmwQQ/edit"", ""Form Responses 1!$B:$Z""),1, FALSE)=$Y245,""Yes"",""No"")"),"#N/A")</f>
        <v>#N/A</v>
      </c>
      <c r="AA245" s="144"/>
      <c r="AB245" s="144"/>
    </row>
    <row r="246" spans="1:28">
      <c r="A246" s="140" t="s">
        <v>529</v>
      </c>
      <c r="B246" s="140" t="s">
        <v>2626</v>
      </c>
      <c r="C246" s="140" t="s">
        <v>2627</v>
      </c>
      <c r="D246" s="140" t="s">
        <v>2628</v>
      </c>
      <c r="E246" s="140" t="s">
        <v>2629</v>
      </c>
      <c r="F246" s="140" t="s">
        <v>5</v>
      </c>
      <c r="G246" s="140">
        <v>2.75</v>
      </c>
      <c r="H246" s="140" t="s">
        <v>24</v>
      </c>
      <c r="I246" s="140" t="s">
        <v>447</v>
      </c>
      <c r="J246" s="140" t="s">
        <v>2630</v>
      </c>
      <c r="K246" s="140">
        <v>3</v>
      </c>
      <c r="L246" s="140" t="s">
        <v>622</v>
      </c>
      <c r="M246" s="140" t="s">
        <v>2631</v>
      </c>
      <c r="N246" s="140">
        <v>2.5</v>
      </c>
      <c r="O246" s="140" t="s">
        <v>784</v>
      </c>
      <c r="P246" s="148">
        <v>600000</v>
      </c>
      <c r="Q246" s="140" t="s">
        <v>452</v>
      </c>
      <c r="R246" s="140" t="s">
        <v>2632</v>
      </c>
      <c r="S246" s="140"/>
      <c r="T246" s="140"/>
      <c r="U246" s="143"/>
      <c r="V246" s="143"/>
      <c r="W246" s="143"/>
      <c r="X246" s="140" t="s">
        <v>2633</v>
      </c>
      <c r="Y246" s="140" t="s">
        <v>2634</v>
      </c>
      <c r="Z246" s="140" t="str">
        <f ca="1">IFERROR(__xludf.DUMMYFUNCTION("IF(VLOOKUP($Y246, IMPORTRANGE(""https://docs.google.com/spreadsheets/d/1WsTKRjz8_fF2119Ff9dhKIIYXSaUEHzuWr8pBkxmwQQ/edit"", ""Form Responses 1!$B:$Z""),1, FALSE)=$Y246,""Yes"",""No"")"),"#N/A")</f>
        <v>#N/A</v>
      </c>
      <c r="AA246" s="140"/>
      <c r="AB246" s="140"/>
    </row>
    <row r="247" spans="1:28">
      <c r="A247" s="144" t="s">
        <v>503</v>
      </c>
      <c r="B247" s="144" t="s">
        <v>2635</v>
      </c>
      <c r="C247" s="144" t="s">
        <v>2636</v>
      </c>
      <c r="D247" s="144" t="s">
        <v>2637</v>
      </c>
      <c r="E247" s="144" t="s">
        <v>2638</v>
      </c>
      <c r="F247" s="144" t="s">
        <v>5</v>
      </c>
      <c r="G247" s="144">
        <v>2.75</v>
      </c>
      <c r="H247" s="144" t="s">
        <v>24</v>
      </c>
      <c r="I247" s="144" t="s">
        <v>447</v>
      </c>
      <c r="J247" s="144" t="s">
        <v>2639</v>
      </c>
      <c r="K247" s="144">
        <v>2.5</v>
      </c>
      <c r="L247" s="144" t="s">
        <v>622</v>
      </c>
      <c r="M247" s="144" t="s">
        <v>2640</v>
      </c>
      <c r="N247" s="144">
        <v>3</v>
      </c>
      <c r="O247" s="144"/>
      <c r="P247" s="144"/>
      <c r="Q247" s="144" t="s">
        <v>452</v>
      </c>
      <c r="R247" s="144" t="s">
        <v>2641</v>
      </c>
      <c r="S247" s="144"/>
      <c r="T247" s="144"/>
      <c r="U247" s="145"/>
      <c r="V247" s="145"/>
      <c r="W247" s="145"/>
      <c r="X247" s="144" t="s">
        <v>2642</v>
      </c>
      <c r="Y247" s="144" t="s">
        <v>2643</v>
      </c>
      <c r="Z247" s="144" t="str">
        <f ca="1">IFERROR(__xludf.DUMMYFUNCTION("IF(VLOOKUP($Y247, IMPORTRANGE(""https://docs.google.com/spreadsheets/d/1WsTKRjz8_fF2119Ff9dhKIIYXSaUEHzuWr8pBkxmwQQ/edit"", ""Form Responses 1!$B:$Z""),1, FALSE)=$Y247,""Yes"",""No"")"),"#N/A")</f>
        <v>#N/A</v>
      </c>
      <c r="AA247" s="144"/>
      <c r="AB247" s="144"/>
    </row>
    <row r="248" spans="1:28">
      <c r="A248" s="140" t="s">
        <v>443</v>
      </c>
      <c r="B248" s="140" t="s">
        <v>2644</v>
      </c>
      <c r="C248" s="140" t="s">
        <v>2645</v>
      </c>
      <c r="D248" s="140" t="s">
        <v>2646</v>
      </c>
      <c r="E248" s="140" t="s">
        <v>2647</v>
      </c>
      <c r="F248" s="140" t="s">
        <v>5</v>
      </c>
      <c r="G248" s="140">
        <v>2</v>
      </c>
      <c r="H248" s="140" t="s">
        <v>24</v>
      </c>
      <c r="I248" s="140" t="s">
        <v>447</v>
      </c>
      <c r="J248" s="140" t="s">
        <v>2648</v>
      </c>
      <c r="K248" s="140">
        <v>2</v>
      </c>
      <c r="L248" s="140" t="s">
        <v>449</v>
      </c>
      <c r="M248" s="140" t="s">
        <v>2649</v>
      </c>
      <c r="N248" s="140">
        <v>2</v>
      </c>
      <c r="O248" s="140"/>
      <c r="P248" s="140"/>
      <c r="Q248" s="140" t="s">
        <v>452</v>
      </c>
      <c r="R248" s="140" t="s">
        <v>452</v>
      </c>
      <c r="S248" s="140"/>
      <c r="T248" s="140"/>
      <c r="U248" s="143"/>
      <c r="V248" s="143"/>
      <c r="W248" s="143"/>
      <c r="X248" s="140" t="s">
        <v>2135</v>
      </c>
      <c r="Y248" s="140" t="s">
        <v>2650</v>
      </c>
      <c r="Z248" s="140" t="str">
        <f ca="1">IFERROR(__xludf.DUMMYFUNCTION("IF(VLOOKUP($Y248, IMPORTRANGE(""https://docs.google.com/spreadsheets/d/1WsTKRjz8_fF2119Ff9dhKIIYXSaUEHzuWr8pBkxmwQQ/edit"", ""Form Responses 1!$B:$Z""),1, FALSE)=$Y248,""Yes"",""No"")"),"#N/A")</f>
        <v>#N/A</v>
      </c>
      <c r="AA248" s="140"/>
      <c r="AB248" s="140"/>
    </row>
    <row r="249" spans="1:28">
      <c r="A249" s="144" t="s">
        <v>443</v>
      </c>
      <c r="B249" s="144" t="s">
        <v>2651</v>
      </c>
      <c r="C249" s="144" t="s">
        <v>2652</v>
      </c>
      <c r="D249" s="144" t="s">
        <v>2653</v>
      </c>
      <c r="E249" s="144" t="s">
        <v>2654</v>
      </c>
      <c r="F249" s="144" t="s">
        <v>5</v>
      </c>
      <c r="G249" s="144">
        <v>3.25</v>
      </c>
      <c r="H249" s="144" t="s">
        <v>24</v>
      </c>
      <c r="I249" s="144" t="s">
        <v>447</v>
      </c>
      <c r="J249" s="144" t="s">
        <v>2655</v>
      </c>
      <c r="K249" s="144">
        <v>3</v>
      </c>
      <c r="L249" s="144" t="s">
        <v>543</v>
      </c>
      <c r="M249" s="144" t="s">
        <v>2656</v>
      </c>
      <c r="N249" s="144">
        <v>3.5</v>
      </c>
      <c r="O249" s="144"/>
      <c r="P249" s="144"/>
      <c r="Q249" s="144" t="s">
        <v>452</v>
      </c>
      <c r="R249" s="144" t="s">
        <v>2657</v>
      </c>
      <c r="S249" s="144"/>
      <c r="T249" s="144"/>
      <c r="U249" s="145"/>
      <c r="V249" s="145"/>
      <c r="W249" s="145"/>
      <c r="X249" s="144" t="s">
        <v>2658</v>
      </c>
      <c r="Y249" s="144" t="s">
        <v>2659</v>
      </c>
      <c r="Z249" s="144" t="str">
        <f ca="1">IFERROR(__xludf.DUMMYFUNCTION("IF(VLOOKUP($Y249, IMPORTRANGE(""https://docs.google.com/spreadsheets/d/1WsTKRjz8_fF2119Ff9dhKIIYXSaUEHzuWr8pBkxmwQQ/edit"", ""Form Responses 1!$B:$Z""),1, FALSE)=$Y249,""Yes"",""No"")"),"#N/A")</f>
        <v>#N/A</v>
      </c>
      <c r="AA249" s="144"/>
      <c r="AB249" s="144"/>
    </row>
    <row r="250" spans="1:28">
      <c r="A250" s="140" t="s">
        <v>443</v>
      </c>
      <c r="B250" s="140" t="s">
        <v>2660</v>
      </c>
      <c r="C250" s="140" t="s">
        <v>2661</v>
      </c>
      <c r="D250" s="140" t="s">
        <v>2662</v>
      </c>
      <c r="E250" s="140" t="s">
        <v>2663</v>
      </c>
      <c r="F250" s="140" t="s">
        <v>5</v>
      </c>
      <c r="G250" s="140">
        <v>3.25</v>
      </c>
      <c r="H250" s="140" t="s">
        <v>24</v>
      </c>
      <c r="I250" s="140" t="s">
        <v>447</v>
      </c>
      <c r="J250" s="140" t="s">
        <v>2664</v>
      </c>
      <c r="K250" s="140">
        <v>3</v>
      </c>
      <c r="L250" s="140" t="s">
        <v>543</v>
      </c>
      <c r="M250" s="140" t="s">
        <v>2665</v>
      </c>
      <c r="N250" s="140">
        <v>3.5</v>
      </c>
      <c r="O250" s="140" t="s">
        <v>451</v>
      </c>
      <c r="P250" s="140">
        <v>1500000</v>
      </c>
      <c r="Q250" s="140" t="s">
        <v>465</v>
      </c>
      <c r="R250" s="140" t="s">
        <v>2666</v>
      </c>
      <c r="S250" s="140"/>
      <c r="T250" s="140"/>
      <c r="U250" s="143"/>
      <c r="V250" s="143"/>
      <c r="W250" s="143"/>
      <c r="X250" s="140" t="s">
        <v>2667</v>
      </c>
      <c r="Y250" s="140" t="s">
        <v>2668</v>
      </c>
      <c r="Z250" s="140" t="str">
        <f ca="1">IFERROR(__xludf.DUMMYFUNCTION("IF(VLOOKUP($Y250, IMPORTRANGE(""https://docs.google.com/spreadsheets/d/1WsTKRjz8_fF2119Ff9dhKIIYXSaUEHzuWr8pBkxmwQQ/edit"", ""Form Responses 1!$B:$Z""),1, FALSE)=$Y250,""Yes"",""No"")"),"#N/A")</f>
        <v>#N/A</v>
      </c>
      <c r="AA250" s="140"/>
      <c r="AB250" s="140"/>
    </row>
    <row r="251" spans="1:28">
      <c r="A251" s="144" t="s">
        <v>443</v>
      </c>
      <c r="B251" s="144" t="s">
        <v>2669</v>
      </c>
      <c r="C251" s="144" t="s">
        <v>2670</v>
      </c>
      <c r="D251" s="144" t="s">
        <v>2671</v>
      </c>
      <c r="E251" s="144" t="s">
        <v>2672</v>
      </c>
      <c r="F251" s="144" t="s">
        <v>5</v>
      </c>
      <c r="G251" s="144">
        <v>2.25</v>
      </c>
      <c r="H251" s="144" t="s">
        <v>24</v>
      </c>
      <c r="I251" s="144" t="s">
        <v>447</v>
      </c>
      <c r="J251" s="144" t="s">
        <v>2673</v>
      </c>
      <c r="K251" s="144">
        <v>2.5</v>
      </c>
      <c r="L251" s="144" t="s">
        <v>622</v>
      </c>
      <c r="M251" s="144" t="s">
        <v>2674</v>
      </c>
      <c r="N251" s="144">
        <v>2</v>
      </c>
      <c r="O251" s="144" t="s">
        <v>451</v>
      </c>
      <c r="P251" s="147">
        <v>500000</v>
      </c>
      <c r="Q251" s="144" t="s">
        <v>452</v>
      </c>
      <c r="R251" s="144" t="s">
        <v>2675</v>
      </c>
      <c r="S251" s="144"/>
      <c r="T251" s="144"/>
      <c r="U251" s="145"/>
      <c r="V251" s="145"/>
      <c r="W251" s="145"/>
      <c r="X251" s="144" t="s">
        <v>2676</v>
      </c>
      <c r="Y251" s="144" t="s">
        <v>2677</v>
      </c>
      <c r="Z251" s="144" t="str">
        <f ca="1">IFERROR(__xludf.DUMMYFUNCTION("IF(VLOOKUP($Y251, IMPORTRANGE(""https://docs.google.com/spreadsheets/d/1WsTKRjz8_fF2119Ff9dhKIIYXSaUEHzuWr8pBkxmwQQ/edit"", ""Form Responses 1!$B:$Z""),1, FALSE)=$Y251,""Yes"",""No"")"),"#N/A")</f>
        <v>#N/A</v>
      </c>
      <c r="AA251" s="144"/>
      <c r="AB251" s="144"/>
    </row>
    <row r="252" spans="1:28">
      <c r="A252" s="140" t="s">
        <v>598</v>
      </c>
      <c r="B252" s="140" t="s">
        <v>2678</v>
      </c>
      <c r="C252" s="140" t="s">
        <v>2679</v>
      </c>
      <c r="D252" s="140" t="s">
        <v>2680</v>
      </c>
      <c r="E252" s="140" t="s">
        <v>2681</v>
      </c>
      <c r="F252" s="140" t="s">
        <v>5</v>
      </c>
      <c r="G252" s="140">
        <v>3.5</v>
      </c>
      <c r="H252" s="140" t="s">
        <v>24</v>
      </c>
      <c r="I252" s="140" t="s">
        <v>447</v>
      </c>
      <c r="J252" s="140" t="s">
        <v>2682</v>
      </c>
      <c r="K252" s="140">
        <v>3.5</v>
      </c>
      <c r="L252" s="140" t="s">
        <v>449</v>
      </c>
      <c r="M252" s="140" t="s">
        <v>2683</v>
      </c>
      <c r="N252" s="140">
        <v>3.5</v>
      </c>
      <c r="O252" s="140"/>
      <c r="P252" s="140"/>
      <c r="Q252" s="140" t="s">
        <v>454</v>
      </c>
      <c r="R252" s="140" t="s">
        <v>2684</v>
      </c>
      <c r="S252" s="140" t="s">
        <v>2685</v>
      </c>
      <c r="T252" s="140"/>
      <c r="U252" s="143"/>
      <c r="V252" s="143"/>
      <c r="W252" s="143"/>
      <c r="X252" s="140" t="s">
        <v>2686</v>
      </c>
      <c r="Y252" s="140" t="s">
        <v>2687</v>
      </c>
      <c r="Z252" s="140" t="str">
        <f ca="1">IFERROR(__xludf.DUMMYFUNCTION("IF(VLOOKUP($Y252, IMPORTRANGE(""https://docs.google.com/spreadsheets/d/1WsTKRjz8_fF2119Ff9dhKIIYXSaUEHzuWr8pBkxmwQQ/edit"", ""Form Responses 1!$B:$Z""),1, FALSE)=$Y252,""Yes"",""No"")"),"#N/A")</f>
        <v>#N/A</v>
      </c>
      <c r="AA252" s="140"/>
      <c r="AB252" s="140"/>
    </row>
    <row r="253" spans="1:28">
      <c r="A253" s="144" t="s">
        <v>598</v>
      </c>
      <c r="B253" s="144" t="s">
        <v>2688</v>
      </c>
      <c r="C253" s="144" t="s">
        <v>2689</v>
      </c>
      <c r="D253" s="144" t="s">
        <v>2690</v>
      </c>
      <c r="E253" s="144" t="s">
        <v>2691</v>
      </c>
      <c r="F253" s="144" t="s">
        <v>5</v>
      </c>
      <c r="G253" s="144">
        <v>2.5</v>
      </c>
      <c r="H253" s="144" t="s">
        <v>24</v>
      </c>
      <c r="I253" s="144" t="s">
        <v>447</v>
      </c>
      <c r="J253" s="144" t="s">
        <v>2692</v>
      </c>
      <c r="K253" s="144">
        <v>2</v>
      </c>
      <c r="L253" s="144" t="s">
        <v>449</v>
      </c>
      <c r="M253" s="144" t="s">
        <v>2693</v>
      </c>
      <c r="N253" s="144">
        <v>3</v>
      </c>
      <c r="O253" s="144" t="s">
        <v>451</v>
      </c>
      <c r="P253" s="147">
        <v>4000000</v>
      </c>
      <c r="Q253" s="144" t="s">
        <v>452</v>
      </c>
      <c r="R253" s="144" t="s">
        <v>2694</v>
      </c>
      <c r="S253" s="144"/>
      <c r="T253" s="144"/>
      <c r="U253" s="145"/>
      <c r="V253" s="145"/>
      <c r="W253" s="145"/>
      <c r="X253" s="144" t="s">
        <v>2416</v>
      </c>
      <c r="Y253" s="144" t="s">
        <v>2695</v>
      </c>
      <c r="Z253" s="144" t="str">
        <f ca="1">IFERROR(__xludf.DUMMYFUNCTION("IF(VLOOKUP($Y253, IMPORTRANGE(""https://docs.google.com/spreadsheets/d/1WsTKRjz8_fF2119Ff9dhKIIYXSaUEHzuWr8pBkxmwQQ/edit"", ""Form Responses 1!$B:$Z""),1, FALSE)=$Y253,""Yes"",""No"")"),"#N/A")</f>
        <v>#N/A</v>
      </c>
      <c r="AA253" s="144"/>
      <c r="AB253" s="144"/>
    </row>
    <row r="254" spans="1:28">
      <c r="A254" s="140" t="s">
        <v>503</v>
      </c>
      <c r="B254" s="140" t="s">
        <v>2696</v>
      </c>
      <c r="C254" s="140" t="s">
        <v>2697</v>
      </c>
      <c r="D254" s="140" t="s">
        <v>2698</v>
      </c>
      <c r="E254" s="140" t="s">
        <v>2699</v>
      </c>
      <c r="F254" s="140" t="s">
        <v>5</v>
      </c>
      <c r="G254" s="140">
        <v>2.75</v>
      </c>
      <c r="H254" s="140" t="s">
        <v>24</v>
      </c>
      <c r="I254" s="140" t="s">
        <v>447</v>
      </c>
      <c r="J254" s="140" t="s">
        <v>2700</v>
      </c>
      <c r="K254" s="140">
        <v>3.5</v>
      </c>
      <c r="L254" s="140" t="s">
        <v>449</v>
      </c>
      <c r="M254" s="140" t="s">
        <v>2701</v>
      </c>
      <c r="N254" s="140">
        <v>2</v>
      </c>
      <c r="O254" s="140" t="s">
        <v>478</v>
      </c>
      <c r="P254" s="142">
        <v>3000000</v>
      </c>
      <c r="Q254" s="140" t="s">
        <v>452</v>
      </c>
      <c r="R254" s="140" t="s">
        <v>2702</v>
      </c>
      <c r="S254" s="140"/>
      <c r="T254" s="140" t="s">
        <v>2703</v>
      </c>
      <c r="U254" s="143"/>
      <c r="V254" s="143"/>
      <c r="W254" s="143"/>
      <c r="X254" s="140" t="s">
        <v>2704</v>
      </c>
      <c r="Y254" s="140" t="s">
        <v>2705</v>
      </c>
      <c r="Z254" s="140" t="str">
        <f ca="1">IFERROR(__xludf.DUMMYFUNCTION("IF(VLOOKUP($Y254, IMPORTRANGE(""https://docs.google.com/spreadsheets/d/1WsTKRjz8_fF2119Ff9dhKIIYXSaUEHzuWr8pBkxmwQQ/edit"", ""Form Responses 1!$B:$Z""),1, FALSE)=$Y254,""Yes"",""No"")"),"#N/A")</f>
        <v>#N/A</v>
      </c>
      <c r="AA254" s="140"/>
      <c r="AB254" s="140"/>
    </row>
    <row r="255" spans="1:28">
      <c r="A255" s="144" t="s">
        <v>471</v>
      </c>
      <c r="B255" s="144" t="s">
        <v>2706</v>
      </c>
      <c r="C255" s="144" t="s">
        <v>2707</v>
      </c>
      <c r="D255" s="144" t="s">
        <v>2708</v>
      </c>
      <c r="E255" s="144" t="s">
        <v>2709</v>
      </c>
      <c r="F255" s="144" t="s">
        <v>5</v>
      </c>
      <c r="G255" s="144">
        <v>2.75</v>
      </c>
      <c r="H255" s="144" t="s">
        <v>24</v>
      </c>
      <c r="I255" s="144" t="s">
        <v>447</v>
      </c>
      <c r="J255" s="144" t="s">
        <v>2710</v>
      </c>
      <c r="K255" s="144">
        <v>2.5</v>
      </c>
      <c r="L255" s="144" t="s">
        <v>543</v>
      </c>
      <c r="M255" s="144" t="s">
        <v>2711</v>
      </c>
      <c r="N255" s="144">
        <v>3</v>
      </c>
      <c r="O255" s="144" t="s">
        <v>451</v>
      </c>
      <c r="P255" s="144" t="s">
        <v>2712</v>
      </c>
      <c r="Q255" s="144" t="s">
        <v>452</v>
      </c>
      <c r="R255" s="144" t="s">
        <v>452</v>
      </c>
      <c r="S255" s="144"/>
      <c r="T255" s="144"/>
      <c r="U255" s="145"/>
      <c r="V255" s="145"/>
      <c r="W255" s="145"/>
      <c r="X255" s="144" t="s">
        <v>2713</v>
      </c>
      <c r="Y255" s="144" t="s">
        <v>2714</v>
      </c>
      <c r="Z255" s="144" t="str">
        <f ca="1">IFERROR(__xludf.DUMMYFUNCTION("IF(VLOOKUP($Y255, IMPORTRANGE(""https://docs.google.com/spreadsheets/d/1WsTKRjz8_fF2119Ff9dhKIIYXSaUEHzuWr8pBkxmwQQ/edit"", ""Form Responses 1!$B:$Z""),1, FALSE)=$Y255,""Yes"",""No"")"),"#N/A")</f>
        <v>#N/A</v>
      </c>
      <c r="AA255" s="144"/>
      <c r="AB255" s="144"/>
    </row>
    <row r="256" spans="1:28">
      <c r="A256" s="140" t="s">
        <v>471</v>
      </c>
      <c r="B256" s="140" t="s">
        <v>2715</v>
      </c>
      <c r="C256" s="140" t="s">
        <v>2716</v>
      </c>
      <c r="D256" s="140" t="s">
        <v>2717</v>
      </c>
      <c r="E256" s="140" t="s">
        <v>2718</v>
      </c>
      <c r="F256" s="140" t="s">
        <v>5</v>
      </c>
      <c r="G256" s="140">
        <v>2.25</v>
      </c>
      <c r="H256" s="140" t="s">
        <v>24</v>
      </c>
      <c r="I256" s="140" t="s">
        <v>447</v>
      </c>
      <c r="J256" s="140" t="s">
        <v>2719</v>
      </c>
      <c r="K256" s="140">
        <v>2.5</v>
      </c>
      <c r="L256" s="140" t="s">
        <v>622</v>
      </c>
      <c r="M256" s="140" t="s">
        <v>2720</v>
      </c>
      <c r="N256" s="140">
        <v>2</v>
      </c>
      <c r="O256" s="140" t="s">
        <v>451</v>
      </c>
      <c r="P256" s="142">
        <v>1000000</v>
      </c>
      <c r="Q256" s="140" t="s">
        <v>452</v>
      </c>
      <c r="R256" s="140" t="s">
        <v>2721</v>
      </c>
      <c r="S256" s="140"/>
      <c r="T256" s="140"/>
      <c r="U256" s="143"/>
      <c r="V256" s="143"/>
      <c r="W256" s="143"/>
      <c r="X256" s="140" t="s">
        <v>2722</v>
      </c>
      <c r="Y256" s="140" t="s">
        <v>2723</v>
      </c>
      <c r="Z256" s="140" t="str">
        <f ca="1">IFERROR(__xludf.DUMMYFUNCTION("IF(VLOOKUP($Y256, IMPORTRANGE(""https://docs.google.com/spreadsheets/d/1WsTKRjz8_fF2119Ff9dhKIIYXSaUEHzuWr8pBkxmwQQ/edit"", ""Form Responses 1!$B:$Z""),1, FALSE)=$Y256,""Yes"",""No"")"),"#N/A")</f>
        <v>#N/A</v>
      </c>
      <c r="AA256" s="140"/>
      <c r="AB256" s="140"/>
    </row>
    <row r="257" spans="1:28">
      <c r="A257" s="144" t="s">
        <v>529</v>
      </c>
      <c r="B257" s="144" t="s">
        <v>2724</v>
      </c>
      <c r="C257" s="144" t="s">
        <v>2725</v>
      </c>
      <c r="D257" s="144" t="s">
        <v>2726</v>
      </c>
      <c r="E257" s="144" t="s">
        <v>2727</v>
      </c>
      <c r="F257" s="144" t="s">
        <v>5</v>
      </c>
      <c r="G257" s="144">
        <v>3</v>
      </c>
      <c r="H257" s="144" t="s">
        <v>24</v>
      </c>
      <c r="I257" s="144" t="s">
        <v>447</v>
      </c>
      <c r="J257" s="144" t="s">
        <v>2728</v>
      </c>
      <c r="K257" s="144">
        <v>3</v>
      </c>
      <c r="L257" s="144" t="s">
        <v>622</v>
      </c>
      <c r="M257" s="144" t="s">
        <v>2729</v>
      </c>
      <c r="N257" s="144">
        <v>3</v>
      </c>
      <c r="O257" s="144" t="s">
        <v>451</v>
      </c>
      <c r="P257" s="146">
        <v>3000000</v>
      </c>
      <c r="Q257" s="144" t="s">
        <v>452</v>
      </c>
      <c r="R257" s="144" t="s">
        <v>2730</v>
      </c>
      <c r="S257" s="144"/>
      <c r="T257" s="144"/>
      <c r="U257" s="145"/>
      <c r="V257" s="145"/>
      <c r="W257" s="145"/>
      <c r="X257" s="144" t="s">
        <v>2731</v>
      </c>
      <c r="Y257" s="144" t="s">
        <v>2732</v>
      </c>
      <c r="Z257" s="144" t="str">
        <f ca="1">IFERROR(__xludf.DUMMYFUNCTION("IF(VLOOKUP($Y257, IMPORTRANGE(""https://docs.google.com/spreadsheets/d/1WsTKRjz8_fF2119Ff9dhKIIYXSaUEHzuWr8pBkxmwQQ/edit"", ""Form Responses 1!$B:$Z""),1, FALSE)=$Y257,""Yes"",""No"")"),"#N/A")</f>
        <v>#N/A</v>
      </c>
      <c r="AA257" s="144"/>
      <c r="AB257" s="144"/>
    </row>
    <row r="258" spans="1:28">
      <c r="A258" s="140" t="s">
        <v>471</v>
      </c>
      <c r="B258" s="140" t="s">
        <v>2733</v>
      </c>
      <c r="C258" s="140" t="s">
        <v>2734</v>
      </c>
      <c r="D258" s="140" t="s">
        <v>2735</v>
      </c>
      <c r="E258" s="140" t="s">
        <v>2736</v>
      </c>
      <c r="F258" s="140" t="s">
        <v>5</v>
      </c>
      <c r="G258" s="140">
        <v>2.75</v>
      </c>
      <c r="H258" s="140" t="s">
        <v>24</v>
      </c>
      <c r="I258" s="140" t="s">
        <v>447</v>
      </c>
      <c r="J258" s="140" t="s">
        <v>2737</v>
      </c>
      <c r="K258" s="140">
        <v>3</v>
      </c>
      <c r="L258" s="140" t="s">
        <v>622</v>
      </c>
      <c r="M258" s="140" t="s">
        <v>2738</v>
      </c>
      <c r="N258" s="140">
        <v>2.5</v>
      </c>
      <c r="O258" s="140" t="s">
        <v>451</v>
      </c>
      <c r="P258" s="142">
        <v>2250000</v>
      </c>
      <c r="Q258" s="140" t="s">
        <v>454</v>
      </c>
      <c r="R258" s="140" t="s">
        <v>2739</v>
      </c>
      <c r="S258" s="140"/>
      <c r="T258" s="140"/>
      <c r="U258" s="143"/>
      <c r="V258" s="143"/>
      <c r="W258" s="143"/>
      <c r="X258" s="140" t="s">
        <v>2740</v>
      </c>
      <c r="Y258" s="140" t="s">
        <v>2741</v>
      </c>
      <c r="Z258" s="140" t="str">
        <f ca="1">IFERROR(__xludf.DUMMYFUNCTION("IF(VLOOKUP($Y258, IMPORTRANGE(""https://docs.google.com/spreadsheets/d/1WsTKRjz8_fF2119Ff9dhKIIYXSaUEHzuWr8pBkxmwQQ/edit"", ""Form Responses 1!$B:$Z""),1, FALSE)=$Y258,""Yes"",""No"")"),"#N/A")</f>
        <v>#N/A</v>
      </c>
      <c r="AA258" s="140"/>
      <c r="AB258" s="140"/>
    </row>
    <row r="259" spans="1:28">
      <c r="A259" s="144" t="s">
        <v>503</v>
      </c>
      <c r="B259" s="144" t="s">
        <v>95</v>
      </c>
      <c r="C259" s="144" t="s">
        <v>2742</v>
      </c>
      <c r="D259" s="144" t="s">
        <v>2743</v>
      </c>
      <c r="E259" s="144" t="s">
        <v>2744</v>
      </c>
      <c r="F259" s="144" t="s">
        <v>5</v>
      </c>
      <c r="G259" s="144">
        <v>3.5</v>
      </c>
      <c r="H259" s="144" t="s">
        <v>24</v>
      </c>
      <c r="I259" s="144" t="s">
        <v>447</v>
      </c>
      <c r="J259" s="144" t="s">
        <v>2745</v>
      </c>
      <c r="K259" s="144">
        <v>3.5</v>
      </c>
      <c r="L259" s="144" t="s">
        <v>622</v>
      </c>
      <c r="M259" s="144" t="s">
        <v>2746</v>
      </c>
      <c r="N259" s="144">
        <v>3.5</v>
      </c>
      <c r="O259" s="144" t="s">
        <v>451</v>
      </c>
      <c r="P259" s="147">
        <v>3000000</v>
      </c>
      <c r="Q259" s="144" t="s">
        <v>452</v>
      </c>
      <c r="R259" s="144" t="s">
        <v>452</v>
      </c>
      <c r="S259" s="144"/>
      <c r="T259" s="144" t="s">
        <v>2747</v>
      </c>
      <c r="U259" s="145" t="s">
        <v>481</v>
      </c>
      <c r="V259" s="145"/>
      <c r="W259" s="145"/>
      <c r="X259" s="144" t="s">
        <v>2748</v>
      </c>
      <c r="Y259" s="144" t="s">
        <v>2749</v>
      </c>
      <c r="Z259" s="144" t="str">
        <f ca="1">IFERROR(__xludf.DUMMYFUNCTION("IF(VLOOKUP($Y259, IMPORTRANGE(""https://docs.google.com/spreadsheets/d/1WsTKRjz8_fF2119Ff9dhKIIYXSaUEHzuWr8pBkxmwQQ/edit"", ""Form Responses 1!$B:$Z""),1, FALSE)=$Y259,""Yes"",""No"")"),"#N/A")</f>
        <v>#N/A</v>
      </c>
      <c r="AA259" s="144"/>
      <c r="AB259" s="144"/>
    </row>
    <row r="260" spans="1:28">
      <c r="A260" s="140" t="s">
        <v>598</v>
      </c>
      <c r="B260" s="140" t="s">
        <v>2750</v>
      </c>
      <c r="C260" s="140" t="s">
        <v>2751</v>
      </c>
      <c r="D260" s="140" t="s">
        <v>2752</v>
      </c>
      <c r="E260" s="140" t="s">
        <v>2753</v>
      </c>
      <c r="F260" s="140" t="s">
        <v>5</v>
      </c>
      <c r="G260" s="140">
        <v>3.75</v>
      </c>
      <c r="H260" s="140" t="s">
        <v>24</v>
      </c>
      <c r="I260" s="140" t="s">
        <v>488</v>
      </c>
      <c r="J260" s="140" t="s">
        <v>2754</v>
      </c>
      <c r="K260" s="140">
        <v>3.5</v>
      </c>
      <c r="L260" s="140" t="s">
        <v>941</v>
      </c>
      <c r="M260" s="140"/>
      <c r="N260" s="140">
        <v>4</v>
      </c>
      <c r="O260" s="140" t="s">
        <v>451</v>
      </c>
      <c r="P260" s="140" t="s">
        <v>2755</v>
      </c>
      <c r="Q260" s="140" t="s">
        <v>452</v>
      </c>
      <c r="R260" s="140" t="s">
        <v>2756</v>
      </c>
      <c r="S260" s="140"/>
      <c r="T260" s="140" t="s">
        <v>2757</v>
      </c>
      <c r="U260" s="143"/>
      <c r="V260" s="143"/>
      <c r="W260" s="143"/>
      <c r="X260" s="140" t="s">
        <v>2758</v>
      </c>
      <c r="Y260" s="140" t="s">
        <v>2759</v>
      </c>
      <c r="Z260" s="140" t="str">
        <f ca="1">IFERROR(__xludf.DUMMYFUNCTION("IF(VLOOKUP($Y260, IMPORTRANGE(""https://docs.google.com/spreadsheets/d/1WsTKRjz8_fF2119Ff9dhKIIYXSaUEHzuWr8pBkxmwQQ/edit"", ""Form Responses 1!$B:$Z""),1, FALSE)=$Y260,""Yes"",""No"")"),"#N/A")</f>
        <v>#N/A</v>
      </c>
      <c r="AA260" s="140"/>
      <c r="AB260" s="140"/>
    </row>
    <row r="261" spans="1:28">
      <c r="A261" s="144" t="s">
        <v>443</v>
      </c>
      <c r="B261" s="144" t="s">
        <v>2760</v>
      </c>
      <c r="C261" s="144" t="s">
        <v>2761</v>
      </c>
      <c r="D261" s="144" t="s">
        <v>2762</v>
      </c>
      <c r="E261" s="144" t="s">
        <v>2763</v>
      </c>
      <c r="F261" s="144" t="s">
        <v>5</v>
      </c>
      <c r="G261" s="144">
        <v>3.5</v>
      </c>
      <c r="H261" s="144" t="s">
        <v>24</v>
      </c>
      <c r="I261" s="144" t="s">
        <v>447</v>
      </c>
      <c r="J261" s="144" t="s">
        <v>2764</v>
      </c>
      <c r="K261" s="144">
        <v>3.5</v>
      </c>
      <c r="L261" s="144" t="s">
        <v>622</v>
      </c>
      <c r="M261" s="144" t="s">
        <v>2765</v>
      </c>
      <c r="N261" s="144">
        <v>3.5</v>
      </c>
      <c r="O261" s="144"/>
      <c r="P261" s="144"/>
      <c r="Q261" s="144" t="s">
        <v>452</v>
      </c>
      <c r="R261" s="144" t="s">
        <v>2766</v>
      </c>
      <c r="S261" s="144"/>
      <c r="T261" s="144"/>
      <c r="U261" s="145"/>
      <c r="V261" s="145"/>
      <c r="W261" s="145"/>
      <c r="X261" s="144" t="s">
        <v>2767</v>
      </c>
      <c r="Y261" s="144" t="s">
        <v>2768</v>
      </c>
      <c r="Z261" s="144" t="str">
        <f ca="1">IFERROR(__xludf.DUMMYFUNCTION("IF(VLOOKUP($Y261, IMPORTRANGE(""https://docs.google.com/spreadsheets/d/1WsTKRjz8_fF2119Ff9dhKIIYXSaUEHzuWr8pBkxmwQQ/edit"", ""Form Responses 1!$B:$Z""),1, FALSE)=$Y261,""Yes"",""No"")"),"#N/A")</f>
        <v>#N/A</v>
      </c>
      <c r="AA261" s="144"/>
      <c r="AB261" s="144"/>
    </row>
    <row r="262" spans="1:28">
      <c r="A262" s="140" t="s">
        <v>598</v>
      </c>
      <c r="B262" s="140" t="s">
        <v>2769</v>
      </c>
      <c r="C262" s="140" t="s">
        <v>2770</v>
      </c>
      <c r="D262" s="140" t="s">
        <v>2771</v>
      </c>
      <c r="E262" s="140" t="s">
        <v>2772</v>
      </c>
      <c r="F262" s="140" t="s">
        <v>5</v>
      </c>
      <c r="G262" s="140">
        <v>3</v>
      </c>
      <c r="H262" s="140" t="s">
        <v>24</v>
      </c>
      <c r="I262" s="140" t="s">
        <v>447</v>
      </c>
      <c r="J262" s="140" t="s">
        <v>2773</v>
      </c>
      <c r="K262" s="140">
        <v>3</v>
      </c>
      <c r="L262" s="140" t="s">
        <v>449</v>
      </c>
      <c r="M262" s="140" t="s">
        <v>2774</v>
      </c>
      <c r="N262" s="140">
        <v>3</v>
      </c>
      <c r="O262" s="140"/>
      <c r="P262" s="140"/>
      <c r="Q262" s="140" t="s">
        <v>452</v>
      </c>
      <c r="R262" s="140" t="s">
        <v>2775</v>
      </c>
      <c r="S262" s="140"/>
      <c r="T262" s="140"/>
      <c r="U262" s="143"/>
      <c r="V262" s="143"/>
      <c r="W262" s="143"/>
      <c r="X262" s="140" t="s">
        <v>2776</v>
      </c>
      <c r="Y262" s="140" t="s">
        <v>2777</v>
      </c>
      <c r="Z262" s="140" t="str">
        <f ca="1">IFERROR(__xludf.DUMMYFUNCTION("IF(VLOOKUP($Y262, IMPORTRANGE(""https://docs.google.com/spreadsheets/d/1WsTKRjz8_fF2119Ff9dhKIIYXSaUEHzuWr8pBkxmwQQ/edit"", ""Form Responses 1!$B:$Z""),1, FALSE)=$Y262,""Yes"",""No"")"),"#N/A")</f>
        <v>#N/A</v>
      </c>
      <c r="AA262" s="140"/>
      <c r="AB262" s="140"/>
    </row>
    <row r="263" spans="1:28">
      <c r="A263" s="144" t="s">
        <v>529</v>
      </c>
      <c r="B263" s="144" t="s">
        <v>2778</v>
      </c>
      <c r="C263" s="144" t="s">
        <v>2779</v>
      </c>
      <c r="D263" s="144" t="s">
        <v>2780</v>
      </c>
      <c r="E263" s="144" t="s">
        <v>2781</v>
      </c>
      <c r="F263" s="144" t="s">
        <v>5</v>
      </c>
      <c r="G263" s="144">
        <v>3</v>
      </c>
      <c r="H263" s="144" t="s">
        <v>24</v>
      </c>
      <c r="I263" s="144" t="s">
        <v>447</v>
      </c>
      <c r="J263" s="144" t="s">
        <v>2782</v>
      </c>
      <c r="K263" s="144">
        <v>2</v>
      </c>
      <c r="L263" s="144" t="s">
        <v>449</v>
      </c>
      <c r="M263" s="144" t="s">
        <v>2783</v>
      </c>
      <c r="N263" s="144">
        <v>4</v>
      </c>
      <c r="O263" s="144" t="s">
        <v>2784</v>
      </c>
      <c r="P263" s="146">
        <v>1000000</v>
      </c>
      <c r="Q263" s="144" t="s">
        <v>452</v>
      </c>
      <c r="R263" s="144" t="s">
        <v>2785</v>
      </c>
      <c r="S263" s="144"/>
      <c r="T263" s="144"/>
      <c r="U263" s="145"/>
      <c r="V263" s="145"/>
      <c r="W263" s="145"/>
      <c r="X263" s="144" t="s">
        <v>2786</v>
      </c>
      <c r="Y263" s="144" t="s">
        <v>2787</v>
      </c>
      <c r="Z263" s="144" t="str">
        <f ca="1">IFERROR(__xludf.DUMMYFUNCTION("IF(VLOOKUP($Y263, IMPORTRANGE(""https://docs.google.com/spreadsheets/d/1WsTKRjz8_fF2119Ff9dhKIIYXSaUEHzuWr8pBkxmwQQ/edit"", ""Form Responses 1!$B:$Z""),1, FALSE)=$Y263,""Yes"",""No"")"),"#N/A")</f>
        <v>#N/A</v>
      </c>
      <c r="AA263" s="144"/>
      <c r="AB263" s="144"/>
    </row>
    <row r="264" spans="1:28">
      <c r="A264" s="140" t="s">
        <v>471</v>
      </c>
      <c r="B264" s="140" t="s">
        <v>2788</v>
      </c>
      <c r="C264" s="140" t="s">
        <v>2789</v>
      </c>
      <c r="D264" s="140" t="s">
        <v>2790</v>
      </c>
      <c r="E264" s="140" t="s">
        <v>2791</v>
      </c>
      <c r="F264" s="140" t="s">
        <v>5</v>
      </c>
      <c r="G264" s="140">
        <v>2.75</v>
      </c>
      <c r="H264" s="140" t="s">
        <v>24</v>
      </c>
      <c r="I264" s="140" t="s">
        <v>447</v>
      </c>
      <c r="J264" s="140" t="s">
        <v>2792</v>
      </c>
      <c r="K264" s="140">
        <v>3</v>
      </c>
      <c r="L264" s="140" t="s">
        <v>622</v>
      </c>
      <c r="M264" s="140" t="s">
        <v>2793</v>
      </c>
      <c r="N264" s="140">
        <v>2.5</v>
      </c>
      <c r="O264" s="140" t="s">
        <v>451</v>
      </c>
      <c r="P264" s="142">
        <v>3000000</v>
      </c>
      <c r="Q264" s="140" t="s">
        <v>452</v>
      </c>
      <c r="R264" s="140" t="s">
        <v>2794</v>
      </c>
      <c r="S264" s="140"/>
      <c r="T264" s="140"/>
      <c r="U264" s="143"/>
      <c r="V264" s="143"/>
      <c r="W264" s="143"/>
      <c r="X264" s="140" t="s">
        <v>2795</v>
      </c>
      <c r="Y264" s="140" t="s">
        <v>2796</v>
      </c>
      <c r="Z264" s="140" t="str">
        <f ca="1">IFERROR(__xludf.DUMMYFUNCTION("IF(VLOOKUP($Y264, IMPORTRANGE(""https://docs.google.com/spreadsheets/d/1WsTKRjz8_fF2119Ff9dhKIIYXSaUEHzuWr8pBkxmwQQ/edit"", ""Form Responses 1!$B:$Z""),1, FALSE)=$Y264,""Yes"",""No"")"),"#N/A")</f>
        <v>#N/A</v>
      </c>
      <c r="AA264" s="140"/>
      <c r="AB264" s="140"/>
    </row>
    <row r="265" spans="1:28">
      <c r="A265" s="144" t="s">
        <v>484</v>
      </c>
      <c r="B265" s="144" t="s">
        <v>2797</v>
      </c>
      <c r="C265" s="144" t="s">
        <v>2798</v>
      </c>
      <c r="D265" s="144" t="s">
        <v>2799</v>
      </c>
      <c r="E265" s="144" t="s">
        <v>2800</v>
      </c>
      <c r="F265" s="144" t="s">
        <v>5</v>
      </c>
      <c r="G265" s="144">
        <v>2.25</v>
      </c>
      <c r="H265" s="144" t="s">
        <v>24</v>
      </c>
      <c r="I265" s="144" t="s">
        <v>447</v>
      </c>
      <c r="J265" s="144" t="s">
        <v>2801</v>
      </c>
      <c r="K265" s="144">
        <v>2.5</v>
      </c>
      <c r="L265" s="144" t="s">
        <v>622</v>
      </c>
      <c r="M265" s="144"/>
      <c r="N265" s="144">
        <v>2</v>
      </c>
      <c r="O265" s="144"/>
      <c r="P265" s="144"/>
      <c r="Q265" s="144" t="s">
        <v>452</v>
      </c>
      <c r="R265" s="144" t="s">
        <v>2802</v>
      </c>
      <c r="S265" s="144"/>
      <c r="T265" s="144"/>
      <c r="U265" s="145"/>
      <c r="V265" s="145"/>
      <c r="W265" s="145"/>
      <c r="X265" s="144" t="s">
        <v>2803</v>
      </c>
      <c r="Y265" s="144" t="s">
        <v>2804</v>
      </c>
      <c r="Z265" s="144" t="str">
        <f ca="1">IFERROR(__xludf.DUMMYFUNCTION("IF(VLOOKUP($Y265, IMPORTRANGE(""https://docs.google.com/spreadsheets/d/1WsTKRjz8_fF2119Ff9dhKIIYXSaUEHzuWr8pBkxmwQQ/edit"", ""Form Responses 1!$B:$Z""),1, FALSE)=$Y265,""Yes"",""No"")"),"#N/A")</f>
        <v>#N/A</v>
      </c>
      <c r="AA265" s="144"/>
      <c r="AB265" s="144"/>
    </row>
    <row r="266" spans="1:28">
      <c r="A266" s="140" t="s">
        <v>484</v>
      </c>
      <c r="B266" s="140" t="s">
        <v>2805</v>
      </c>
      <c r="C266" s="140" t="s">
        <v>2806</v>
      </c>
      <c r="D266" s="140" t="s">
        <v>2807</v>
      </c>
      <c r="E266" s="140" t="s">
        <v>2808</v>
      </c>
      <c r="F266" s="140" t="s">
        <v>5</v>
      </c>
      <c r="G266" s="140">
        <v>2.75</v>
      </c>
      <c r="H266" s="140" t="s">
        <v>24</v>
      </c>
      <c r="I266" s="140" t="s">
        <v>447</v>
      </c>
      <c r="J266" s="140" t="s">
        <v>2809</v>
      </c>
      <c r="K266" s="140">
        <v>3</v>
      </c>
      <c r="L266" s="140" t="s">
        <v>622</v>
      </c>
      <c r="M266" s="140" t="s">
        <v>2810</v>
      </c>
      <c r="N266" s="140">
        <v>2.5</v>
      </c>
      <c r="O266" s="140" t="s">
        <v>451</v>
      </c>
      <c r="P266" s="142">
        <v>1000000</v>
      </c>
      <c r="Q266" s="140" t="s">
        <v>452</v>
      </c>
      <c r="R266" s="140" t="s">
        <v>2811</v>
      </c>
      <c r="S266" s="140"/>
      <c r="T266" s="140"/>
      <c r="U266" s="143"/>
      <c r="V266" s="143"/>
      <c r="W266" s="143"/>
      <c r="X266" s="140" t="s">
        <v>2812</v>
      </c>
      <c r="Y266" s="140" t="s">
        <v>2813</v>
      </c>
      <c r="Z266" s="140" t="str">
        <f ca="1">IFERROR(__xludf.DUMMYFUNCTION("IF(VLOOKUP($Y266, IMPORTRANGE(""https://docs.google.com/spreadsheets/d/1WsTKRjz8_fF2119Ff9dhKIIYXSaUEHzuWr8pBkxmwQQ/edit"", ""Form Responses 1!$B:$Z""),1, FALSE)=$Y266,""Yes"",""No"")"),"#N/A")</f>
        <v>#N/A</v>
      </c>
      <c r="AA266" s="140"/>
      <c r="AB266" s="140"/>
    </row>
    <row r="267" spans="1:28">
      <c r="A267" s="144" t="s">
        <v>503</v>
      </c>
      <c r="B267" s="144" t="s">
        <v>2814</v>
      </c>
      <c r="C267" s="144" t="s">
        <v>2815</v>
      </c>
      <c r="D267" s="144" t="s">
        <v>2816</v>
      </c>
      <c r="E267" s="144" t="s">
        <v>2817</v>
      </c>
      <c r="F267" s="144" t="s">
        <v>5</v>
      </c>
      <c r="G267" s="144">
        <v>2.5</v>
      </c>
      <c r="H267" s="144" t="s">
        <v>24</v>
      </c>
      <c r="I267" s="144" t="s">
        <v>460</v>
      </c>
      <c r="J267" s="144" t="s">
        <v>2818</v>
      </c>
      <c r="K267" s="144">
        <v>2</v>
      </c>
      <c r="L267" s="144" t="s">
        <v>488</v>
      </c>
      <c r="M267" s="144" t="s">
        <v>2819</v>
      </c>
      <c r="N267" s="144">
        <v>3</v>
      </c>
      <c r="O267" s="144"/>
      <c r="P267" s="144"/>
      <c r="Q267" s="144" t="s">
        <v>452</v>
      </c>
      <c r="R267" s="144" t="s">
        <v>2820</v>
      </c>
      <c r="S267" s="144"/>
      <c r="T267" s="144" t="s">
        <v>2821</v>
      </c>
      <c r="U267" s="145"/>
      <c r="V267" s="145"/>
      <c r="W267" s="145"/>
      <c r="X267" s="144" t="s">
        <v>2822</v>
      </c>
      <c r="Y267" s="144" t="s">
        <v>2823</v>
      </c>
      <c r="Z267" s="144" t="str">
        <f ca="1">IFERROR(__xludf.DUMMYFUNCTION("IF(VLOOKUP($Y267, IMPORTRANGE(""https://docs.google.com/spreadsheets/d/1WsTKRjz8_fF2119Ff9dhKIIYXSaUEHzuWr8pBkxmwQQ/edit"", ""Form Responses 1!$B:$Z""),1, FALSE)=$Y267,""Yes"",""No"")"),"#N/A")</f>
        <v>#N/A</v>
      </c>
      <c r="AA267" s="144"/>
      <c r="AB267" s="144"/>
    </row>
    <row r="268" spans="1:28">
      <c r="A268" s="140" t="s">
        <v>443</v>
      </c>
      <c r="B268" s="140" t="s">
        <v>2824</v>
      </c>
      <c r="C268" s="140" t="s">
        <v>2825</v>
      </c>
      <c r="D268" s="140" t="s">
        <v>2826</v>
      </c>
      <c r="E268" s="140" t="s">
        <v>2827</v>
      </c>
      <c r="F268" s="140" t="s">
        <v>5</v>
      </c>
      <c r="G268" s="140">
        <v>3</v>
      </c>
      <c r="H268" s="140" t="s">
        <v>24</v>
      </c>
      <c r="I268" s="140" t="s">
        <v>447</v>
      </c>
      <c r="J268" s="140" t="s">
        <v>2828</v>
      </c>
      <c r="K268" s="140">
        <v>3</v>
      </c>
      <c r="L268" s="140" t="s">
        <v>622</v>
      </c>
      <c r="M268" s="140" t="s">
        <v>2829</v>
      </c>
      <c r="N268" s="140">
        <v>3</v>
      </c>
      <c r="O268" s="140"/>
      <c r="P268" s="140"/>
      <c r="Q268" s="140" t="s">
        <v>452</v>
      </c>
      <c r="R268" s="140" t="s">
        <v>2830</v>
      </c>
      <c r="S268" s="140"/>
      <c r="T268" s="140"/>
      <c r="U268" s="143"/>
      <c r="V268" s="143"/>
      <c r="W268" s="143"/>
      <c r="X268" s="140" t="s">
        <v>2831</v>
      </c>
      <c r="Y268" s="140" t="s">
        <v>2832</v>
      </c>
      <c r="Z268" s="140" t="str">
        <f ca="1">IFERROR(__xludf.DUMMYFUNCTION("IF(VLOOKUP($Y268, IMPORTRANGE(""https://docs.google.com/spreadsheets/d/1WsTKRjz8_fF2119Ff9dhKIIYXSaUEHzuWr8pBkxmwQQ/edit"", ""Form Responses 1!$B:$Z""),1, FALSE)=$Y268,""Yes"",""No"")"),"#N/A")</f>
        <v>#N/A</v>
      </c>
      <c r="AA268" s="140"/>
      <c r="AB268" s="140"/>
    </row>
    <row r="269" spans="1:28">
      <c r="A269" s="144" t="s">
        <v>598</v>
      </c>
      <c r="B269" s="144" t="s">
        <v>2833</v>
      </c>
      <c r="C269" s="144" t="s">
        <v>2834</v>
      </c>
      <c r="D269" s="144" t="s">
        <v>2835</v>
      </c>
      <c r="E269" s="144" t="s">
        <v>2836</v>
      </c>
      <c r="F269" s="144" t="s">
        <v>5</v>
      </c>
      <c r="G269" s="144">
        <v>3.5</v>
      </c>
      <c r="H269" s="144" t="s">
        <v>24</v>
      </c>
      <c r="I269" s="144" t="s">
        <v>447</v>
      </c>
      <c r="J269" s="144" t="s">
        <v>2837</v>
      </c>
      <c r="K269" s="144">
        <v>3.5</v>
      </c>
      <c r="L269" s="144" t="s">
        <v>543</v>
      </c>
      <c r="M269" s="144" t="s">
        <v>2838</v>
      </c>
      <c r="N269" s="144">
        <v>3.5</v>
      </c>
      <c r="O269" s="144"/>
      <c r="P269" s="144"/>
      <c r="Q269" s="144" t="s">
        <v>452</v>
      </c>
      <c r="R269" s="144" t="s">
        <v>2839</v>
      </c>
      <c r="S269" s="144"/>
      <c r="T269" s="144"/>
      <c r="U269" s="145"/>
      <c r="V269" s="145"/>
      <c r="W269" s="145"/>
      <c r="X269" s="144" t="s">
        <v>2840</v>
      </c>
      <c r="Y269" s="144" t="s">
        <v>2841</v>
      </c>
      <c r="Z269" s="144" t="str">
        <f ca="1">IFERROR(__xludf.DUMMYFUNCTION("IF(VLOOKUP($Y269, IMPORTRANGE(""https://docs.google.com/spreadsheets/d/1WsTKRjz8_fF2119Ff9dhKIIYXSaUEHzuWr8pBkxmwQQ/edit"", ""Form Responses 1!$B:$Z""),1, FALSE)=$Y269,""Yes"",""No"")"),"#N/A")</f>
        <v>#N/A</v>
      </c>
      <c r="AA269" s="144"/>
      <c r="AB269" s="144"/>
    </row>
    <row r="270" spans="1:28">
      <c r="A270" s="140" t="s">
        <v>503</v>
      </c>
      <c r="B270" s="140" t="s">
        <v>2842</v>
      </c>
      <c r="C270" s="140" t="s">
        <v>2843</v>
      </c>
      <c r="D270" s="140" t="s">
        <v>2844</v>
      </c>
      <c r="E270" s="140" t="s">
        <v>2845</v>
      </c>
      <c r="F270" s="140" t="s">
        <v>5</v>
      </c>
      <c r="G270" s="140">
        <v>3</v>
      </c>
      <c r="H270" s="140" t="s">
        <v>24</v>
      </c>
      <c r="I270" s="140" t="s">
        <v>460</v>
      </c>
      <c r="J270" s="140"/>
      <c r="K270" s="140">
        <v>3</v>
      </c>
      <c r="L270" s="140" t="s">
        <v>488</v>
      </c>
      <c r="M270" s="140" t="s">
        <v>2846</v>
      </c>
      <c r="N270" s="140">
        <v>3</v>
      </c>
      <c r="O270" s="140" t="s">
        <v>478</v>
      </c>
      <c r="P270" s="140">
        <v>3000000</v>
      </c>
      <c r="Q270" s="140" t="s">
        <v>452</v>
      </c>
      <c r="R270" s="140" t="s">
        <v>2847</v>
      </c>
      <c r="S270" s="140" t="s">
        <v>2848</v>
      </c>
      <c r="T270" s="140" t="s">
        <v>2849</v>
      </c>
      <c r="U270" s="143"/>
      <c r="V270" s="143"/>
      <c r="W270" s="143"/>
      <c r="X270" s="140" t="s">
        <v>2850</v>
      </c>
      <c r="Y270" s="140" t="s">
        <v>2851</v>
      </c>
      <c r="Z270" s="140" t="str">
        <f ca="1">IFERROR(__xludf.DUMMYFUNCTION("IF(VLOOKUP($Y270, IMPORTRANGE(""https://docs.google.com/spreadsheets/d/1WsTKRjz8_fF2119Ff9dhKIIYXSaUEHzuWr8pBkxmwQQ/edit"", ""Form Responses 1!$B:$Z""),1, FALSE)=$Y270,""Yes"",""No"")"),"#N/A")</f>
        <v>#N/A</v>
      </c>
      <c r="AA270" s="140"/>
      <c r="AB270" s="140"/>
    </row>
    <row r="271" spans="1:28">
      <c r="A271" s="144" t="s">
        <v>484</v>
      </c>
      <c r="B271" s="144" t="s">
        <v>2852</v>
      </c>
      <c r="C271" s="144" t="s">
        <v>2853</v>
      </c>
      <c r="D271" s="144" t="s">
        <v>2854</v>
      </c>
      <c r="E271" s="144" t="s">
        <v>2855</v>
      </c>
      <c r="F271" s="144" t="s">
        <v>5</v>
      </c>
      <c r="G271" s="144">
        <v>2</v>
      </c>
      <c r="H271" s="144" t="s">
        <v>24</v>
      </c>
      <c r="I271" s="144" t="s">
        <v>447</v>
      </c>
      <c r="J271" s="144" t="s">
        <v>2856</v>
      </c>
      <c r="K271" s="144">
        <v>2</v>
      </c>
      <c r="L271" s="144" t="s">
        <v>622</v>
      </c>
      <c r="M271" s="144" t="s">
        <v>2857</v>
      </c>
      <c r="N271" s="144">
        <v>2</v>
      </c>
      <c r="O271" s="144"/>
      <c r="P271" s="144"/>
      <c r="Q271" s="144" t="s">
        <v>452</v>
      </c>
      <c r="R271" s="144" t="s">
        <v>452</v>
      </c>
      <c r="S271" s="144" t="s">
        <v>1343</v>
      </c>
      <c r="T271" s="144"/>
      <c r="U271" s="145"/>
      <c r="V271" s="145"/>
      <c r="W271" s="145"/>
      <c r="X271" s="144" t="s">
        <v>2858</v>
      </c>
      <c r="Y271" s="144" t="s">
        <v>2859</v>
      </c>
      <c r="Z271" s="144" t="str">
        <f ca="1">IFERROR(__xludf.DUMMYFUNCTION("IF(VLOOKUP($Y271, IMPORTRANGE(""https://docs.google.com/spreadsheets/d/1WsTKRjz8_fF2119Ff9dhKIIYXSaUEHzuWr8pBkxmwQQ/edit"", ""Form Responses 1!$B:$Z""),1, FALSE)=$Y271,""Yes"",""No"")"),"#N/A")</f>
        <v>#N/A</v>
      </c>
      <c r="AA271" s="144"/>
      <c r="AB271" s="144"/>
    </row>
    <row r="272" spans="1:28">
      <c r="A272" s="140" t="s">
        <v>443</v>
      </c>
      <c r="B272" s="140" t="s">
        <v>107</v>
      </c>
      <c r="C272" s="140" t="s">
        <v>2860</v>
      </c>
      <c r="D272" s="140" t="s">
        <v>2861</v>
      </c>
      <c r="E272" s="140" t="s">
        <v>2862</v>
      </c>
      <c r="F272" s="140" t="s">
        <v>5</v>
      </c>
      <c r="G272" s="140">
        <v>3.75</v>
      </c>
      <c r="H272" s="140" t="s">
        <v>24</v>
      </c>
      <c r="I272" s="140" t="s">
        <v>447</v>
      </c>
      <c r="J272" s="140" t="s">
        <v>2863</v>
      </c>
      <c r="K272" s="140">
        <v>3.5</v>
      </c>
      <c r="L272" s="140" t="s">
        <v>543</v>
      </c>
      <c r="M272" s="140" t="s">
        <v>2864</v>
      </c>
      <c r="N272" s="140">
        <v>4</v>
      </c>
      <c r="O272" s="140"/>
      <c r="P272" s="140"/>
      <c r="Q272" s="140" t="s">
        <v>452</v>
      </c>
      <c r="R272" s="140" t="s">
        <v>452</v>
      </c>
      <c r="S272" s="140"/>
      <c r="T272" s="140" t="s">
        <v>2865</v>
      </c>
      <c r="U272" s="143" t="s">
        <v>481</v>
      </c>
      <c r="V272" s="143"/>
      <c r="W272" s="143"/>
      <c r="X272" s="140" t="s">
        <v>2866</v>
      </c>
      <c r="Y272" s="140" t="s">
        <v>2867</v>
      </c>
      <c r="Z272" s="140" t="str">
        <f ca="1">IFERROR(__xludf.DUMMYFUNCTION("IF(VLOOKUP($Y272, IMPORTRANGE(""https://docs.google.com/spreadsheets/d/1WsTKRjz8_fF2119Ff9dhKIIYXSaUEHzuWr8pBkxmwQQ/edit"", ""Form Responses 1!$B:$Z""),1, FALSE)=$Y272,""Yes"",""No"")"),"#N/A")</f>
        <v>#N/A</v>
      </c>
      <c r="AA272" s="140"/>
      <c r="AB272" s="140"/>
    </row>
    <row r="273" spans="1:28">
      <c r="A273" s="144" t="s">
        <v>443</v>
      </c>
      <c r="B273" s="144" t="s">
        <v>2868</v>
      </c>
      <c r="C273" s="144" t="s">
        <v>2869</v>
      </c>
      <c r="D273" s="144" t="s">
        <v>2870</v>
      </c>
      <c r="E273" s="144" t="s">
        <v>2871</v>
      </c>
      <c r="F273" s="144" t="s">
        <v>5</v>
      </c>
      <c r="G273" s="144">
        <v>2.75</v>
      </c>
      <c r="H273" s="144" t="s">
        <v>24</v>
      </c>
      <c r="I273" s="144" t="s">
        <v>447</v>
      </c>
      <c r="J273" s="144" t="s">
        <v>2872</v>
      </c>
      <c r="K273" s="144">
        <v>2</v>
      </c>
      <c r="L273" s="144" t="s">
        <v>449</v>
      </c>
      <c r="M273" s="144" t="s">
        <v>2873</v>
      </c>
      <c r="N273" s="144">
        <v>3.5</v>
      </c>
      <c r="O273" s="144" t="s">
        <v>451</v>
      </c>
      <c r="P273" s="144">
        <v>1500000</v>
      </c>
      <c r="Q273" s="144" t="s">
        <v>452</v>
      </c>
      <c r="R273" s="144" t="s">
        <v>452</v>
      </c>
      <c r="S273" s="144"/>
      <c r="T273" s="144"/>
      <c r="U273" s="145"/>
      <c r="V273" s="145"/>
      <c r="W273" s="145"/>
      <c r="X273" s="144" t="s">
        <v>2874</v>
      </c>
      <c r="Y273" s="144" t="s">
        <v>2875</v>
      </c>
      <c r="Z273" s="144" t="str">
        <f ca="1">IFERROR(__xludf.DUMMYFUNCTION("IF(VLOOKUP($Y273, IMPORTRANGE(""https://docs.google.com/spreadsheets/d/1WsTKRjz8_fF2119Ff9dhKIIYXSaUEHzuWr8pBkxmwQQ/edit"", ""Form Responses 1!$B:$Z""),1, FALSE)=$Y273,""Yes"",""No"")"),"#N/A")</f>
        <v>#N/A</v>
      </c>
      <c r="AA273" s="144"/>
      <c r="AB273" s="144"/>
    </row>
    <row r="274" spans="1:28">
      <c r="A274" s="140" t="s">
        <v>484</v>
      </c>
      <c r="B274" s="140" t="s">
        <v>2876</v>
      </c>
      <c r="C274" s="140" t="s">
        <v>2877</v>
      </c>
      <c r="D274" s="140" t="s">
        <v>2878</v>
      </c>
      <c r="E274" s="140" t="s">
        <v>2879</v>
      </c>
      <c r="F274" s="140" t="s">
        <v>5</v>
      </c>
      <c r="G274" s="140">
        <v>3</v>
      </c>
      <c r="H274" s="140" t="s">
        <v>24</v>
      </c>
      <c r="I274" s="140" t="s">
        <v>447</v>
      </c>
      <c r="J274" s="140" t="s">
        <v>2880</v>
      </c>
      <c r="K274" s="140">
        <v>2</v>
      </c>
      <c r="L274" s="140" t="s">
        <v>476</v>
      </c>
      <c r="M274" s="140" t="s">
        <v>2881</v>
      </c>
      <c r="N274" s="140">
        <v>4</v>
      </c>
      <c r="O274" s="140" t="s">
        <v>451</v>
      </c>
      <c r="P274" s="148">
        <v>5000000</v>
      </c>
      <c r="Q274" s="140" t="s">
        <v>452</v>
      </c>
      <c r="R274" s="140" t="s">
        <v>2882</v>
      </c>
      <c r="S274" s="140"/>
      <c r="T274" s="140"/>
      <c r="U274" s="143"/>
      <c r="V274" s="143"/>
      <c r="W274" s="143"/>
      <c r="X274" s="140" t="s">
        <v>2883</v>
      </c>
      <c r="Y274" s="140" t="s">
        <v>2884</v>
      </c>
      <c r="Z274" s="140" t="str">
        <f ca="1">IFERROR(__xludf.DUMMYFUNCTION("IF(VLOOKUP($Y274, IMPORTRANGE(""https://docs.google.com/spreadsheets/d/1WsTKRjz8_fF2119Ff9dhKIIYXSaUEHzuWr8pBkxmwQQ/edit"", ""Form Responses 1!$B:$Z""),1, FALSE)=$Y274,""Yes"",""No"")"),"#N/A")</f>
        <v>#N/A</v>
      </c>
      <c r="AA274" s="140"/>
      <c r="AB274" s="140"/>
    </row>
    <row r="275" spans="1:28">
      <c r="A275" s="144" t="s">
        <v>443</v>
      </c>
      <c r="B275" s="144" t="s">
        <v>2885</v>
      </c>
      <c r="C275" s="144" t="s">
        <v>2886</v>
      </c>
      <c r="D275" s="144" t="s">
        <v>2887</v>
      </c>
      <c r="E275" s="144" t="s">
        <v>2888</v>
      </c>
      <c r="F275" s="144" t="s">
        <v>5</v>
      </c>
      <c r="G275" s="144">
        <v>2.25</v>
      </c>
      <c r="H275" s="144" t="s">
        <v>24</v>
      </c>
      <c r="I275" s="144" t="s">
        <v>447</v>
      </c>
      <c r="J275" s="144" t="s">
        <v>2889</v>
      </c>
      <c r="K275" s="144">
        <v>2</v>
      </c>
      <c r="L275" s="144" t="s">
        <v>622</v>
      </c>
      <c r="M275" s="144" t="s">
        <v>2890</v>
      </c>
      <c r="N275" s="144">
        <v>2.5</v>
      </c>
      <c r="O275" s="144"/>
      <c r="P275" s="144"/>
      <c r="Q275" s="144" t="s">
        <v>452</v>
      </c>
      <c r="R275" s="144" t="s">
        <v>2891</v>
      </c>
      <c r="S275" s="144" t="s">
        <v>2892</v>
      </c>
      <c r="T275" s="144"/>
      <c r="U275" s="145"/>
      <c r="V275" s="145"/>
      <c r="W275" s="145"/>
      <c r="X275" s="144" t="s">
        <v>2893</v>
      </c>
      <c r="Y275" s="144" t="s">
        <v>2894</v>
      </c>
      <c r="Z275" s="144" t="str">
        <f ca="1">IFERROR(__xludf.DUMMYFUNCTION("IF(VLOOKUP($Y275, IMPORTRANGE(""https://docs.google.com/spreadsheets/d/1WsTKRjz8_fF2119Ff9dhKIIYXSaUEHzuWr8pBkxmwQQ/edit"", ""Form Responses 1!$B:$Z""),1, FALSE)=$Y275,""Yes"",""No"")"),"#N/A")</f>
        <v>#N/A</v>
      </c>
      <c r="AA275" s="144"/>
      <c r="AB275" s="144"/>
    </row>
    <row r="276" spans="1:28">
      <c r="A276" s="140" t="s">
        <v>598</v>
      </c>
      <c r="B276" s="140" t="s">
        <v>2895</v>
      </c>
      <c r="C276" s="140" t="s">
        <v>2896</v>
      </c>
      <c r="D276" s="140" t="s">
        <v>2897</v>
      </c>
      <c r="E276" s="140" t="s">
        <v>2898</v>
      </c>
      <c r="F276" s="140" t="s">
        <v>5</v>
      </c>
      <c r="G276" s="140">
        <v>3.25</v>
      </c>
      <c r="H276" s="140" t="s">
        <v>24</v>
      </c>
      <c r="I276" s="140" t="s">
        <v>447</v>
      </c>
      <c r="J276" s="140" t="s">
        <v>2899</v>
      </c>
      <c r="K276" s="140">
        <v>3</v>
      </c>
      <c r="L276" s="140" t="s">
        <v>543</v>
      </c>
      <c r="M276" s="140" t="s">
        <v>2900</v>
      </c>
      <c r="N276" s="140">
        <v>3.5</v>
      </c>
      <c r="O276" s="140" t="s">
        <v>451</v>
      </c>
      <c r="P276" s="142">
        <v>7000000</v>
      </c>
      <c r="Q276" s="140" t="s">
        <v>452</v>
      </c>
      <c r="R276" s="140" t="s">
        <v>2901</v>
      </c>
      <c r="S276" s="140"/>
      <c r="T276" s="140"/>
      <c r="U276" s="143"/>
      <c r="V276" s="143"/>
      <c r="W276" s="143"/>
      <c r="X276" s="140" t="s">
        <v>2902</v>
      </c>
      <c r="Y276" s="140" t="s">
        <v>2903</v>
      </c>
      <c r="Z276" s="140" t="str">
        <f ca="1">IFERROR(__xludf.DUMMYFUNCTION("IF(VLOOKUP($Y276, IMPORTRANGE(""https://docs.google.com/spreadsheets/d/1WsTKRjz8_fF2119Ff9dhKIIYXSaUEHzuWr8pBkxmwQQ/edit"", ""Form Responses 1!$B:$Z""),1, FALSE)=$Y276,""Yes"",""No"")"),"#N/A")</f>
        <v>#N/A</v>
      </c>
      <c r="AA276" s="140"/>
      <c r="AB276" s="140"/>
    </row>
    <row r="277" spans="1:28">
      <c r="A277" s="144" t="s">
        <v>471</v>
      </c>
      <c r="B277" s="144" t="s">
        <v>2904</v>
      </c>
      <c r="C277" s="144" t="s">
        <v>2905</v>
      </c>
      <c r="D277" s="144" t="s">
        <v>2906</v>
      </c>
      <c r="E277" s="144" t="s">
        <v>2907</v>
      </c>
      <c r="F277" s="144" t="s">
        <v>5</v>
      </c>
      <c r="G277" s="144">
        <v>3</v>
      </c>
      <c r="H277" s="144" t="s">
        <v>24</v>
      </c>
      <c r="I277" s="144" t="s">
        <v>447</v>
      </c>
      <c r="J277" s="144" t="s">
        <v>2908</v>
      </c>
      <c r="K277" s="144">
        <v>3</v>
      </c>
      <c r="L277" s="144" t="s">
        <v>476</v>
      </c>
      <c r="M277" s="144" t="s">
        <v>2909</v>
      </c>
      <c r="N277" s="144">
        <v>3</v>
      </c>
      <c r="O277" s="144" t="s">
        <v>451</v>
      </c>
      <c r="P277" s="144">
        <v>3500000</v>
      </c>
      <c r="Q277" s="144" t="s">
        <v>454</v>
      </c>
      <c r="R277" s="144" t="s">
        <v>2910</v>
      </c>
      <c r="S277" s="144" t="s">
        <v>725</v>
      </c>
      <c r="T277" s="144" t="s">
        <v>2911</v>
      </c>
      <c r="U277" s="145"/>
      <c r="V277" s="145"/>
      <c r="W277" s="145"/>
      <c r="X277" s="144" t="s">
        <v>1020</v>
      </c>
      <c r="Y277" s="144" t="s">
        <v>2912</v>
      </c>
      <c r="Z277" s="144" t="str">
        <f ca="1">IFERROR(__xludf.DUMMYFUNCTION("IF(VLOOKUP($Y277, IMPORTRANGE(""https://docs.google.com/spreadsheets/d/1WsTKRjz8_fF2119Ff9dhKIIYXSaUEHzuWr8pBkxmwQQ/edit"", ""Form Responses 1!$B:$Z""),1, FALSE)=$Y277,""Yes"",""No"")"),"#N/A")</f>
        <v>#N/A</v>
      </c>
      <c r="AA277" s="144"/>
      <c r="AB277" s="144"/>
    </row>
    <row r="278" spans="1:28">
      <c r="A278" s="140" t="s">
        <v>503</v>
      </c>
      <c r="B278" s="140" t="s">
        <v>2913</v>
      </c>
      <c r="C278" s="140" t="s">
        <v>2914</v>
      </c>
      <c r="D278" s="140" t="s">
        <v>2915</v>
      </c>
      <c r="E278" s="140" t="s">
        <v>2916</v>
      </c>
      <c r="F278" s="140" t="s">
        <v>5</v>
      </c>
      <c r="G278" s="140">
        <v>1.5</v>
      </c>
      <c r="H278" s="140" t="s">
        <v>24</v>
      </c>
      <c r="I278" s="140" t="s">
        <v>447</v>
      </c>
      <c r="J278" s="140" t="s">
        <v>2917</v>
      </c>
      <c r="K278" s="140">
        <v>1</v>
      </c>
      <c r="L278" s="140" t="s">
        <v>476</v>
      </c>
      <c r="M278" s="140" t="s">
        <v>2918</v>
      </c>
      <c r="N278" s="140">
        <v>2</v>
      </c>
      <c r="O278" s="140"/>
      <c r="P278" s="140"/>
      <c r="Q278" s="140" t="s">
        <v>452</v>
      </c>
      <c r="R278" s="140" t="s">
        <v>2919</v>
      </c>
      <c r="S278" s="140"/>
      <c r="T278" s="140"/>
      <c r="U278" s="143"/>
      <c r="V278" s="143"/>
      <c r="W278" s="143"/>
      <c r="X278" s="140" t="s">
        <v>2920</v>
      </c>
      <c r="Y278" s="140" t="s">
        <v>2921</v>
      </c>
      <c r="Z278" s="140" t="str">
        <f ca="1">IFERROR(__xludf.DUMMYFUNCTION("IF(VLOOKUP($Y278, IMPORTRANGE(""https://docs.google.com/spreadsheets/d/1WsTKRjz8_fF2119Ff9dhKIIYXSaUEHzuWr8pBkxmwQQ/edit"", ""Form Responses 1!$B:$Z""),1, FALSE)=$Y278,""Yes"",""No"")"),"#N/A")</f>
        <v>#N/A</v>
      </c>
      <c r="AA278" s="140"/>
      <c r="AB278" s="140"/>
    </row>
    <row r="279" spans="1:28">
      <c r="A279" s="144" t="s">
        <v>598</v>
      </c>
      <c r="B279" s="144" t="s">
        <v>2922</v>
      </c>
      <c r="C279" s="144" t="s">
        <v>2923</v>
      </c>
      <c r="D279" s="144" t="s">
        <v>2924</v>
      </c>
      <c r="E279" s="144" t="s">
        <v>2925</v>
      </c>
      <c r="F279" s="144" t="s">
        <v>5</v>
      </c>
      <c r="G279" s="144">
        <v>2.75</v>
      </c>
      <c r="H279" s="144" t="s">
        <v>24</v>
      </c>
      <c r="I279" s="144" t="s">
        <v>447</v>
      </c>
      <c r="J279" s="144" t="s">
        <v>2926</v>
      </c>
      <c r="K279" s="144">
        <v>3</v>
      </c>
      <c r="L279" s="144" t="s">
        <v>622</v>
      </c>
      <c r="M279" s="144" t="s">
        <v>2927</v>
      </c>
      <c r="N279" s="144">
        <v>2.5</v>
      </c>
      <c r="O279" s="144" t="s">
        <v>784</v>
      </c>
      <c r="P279" s="147">
        <v>500000</v>
      </c>
      <c r="Q279" s="144" t="s">
        <v>452</v>
      </c>
      <c r="R279" s="144" t="s">
        <v>2928</v>
      </c>
      <c r="S279" s="144"/>
      <c r="T279" s="144"/>
      <c r="U279" s="145"/>
      <c r="V279" s="145"/>
      <c r="W279" s="145"/>
      <c r="X279" s="144" t="s">
        <v>2929</v>
      </c>
      <c r="Y279" s="144" t="s">
        <v>2930</v>
      </c>
      <c r="Z279" s="144" t="str">
        <f ca="1">IFERROR(__xludf.DUMMYFUNCTION("IF(VLOOKUP($Y279, IMPORTRANGE(""https://docs.google.com/spreadsheets/d/1WsTKRjz8_fF2119Ff9dhKIIYXSaUEHzuWr8pBkxmwQQ/edit"", ""Form Responses 1!$B:$Z""),1, FALSE)=$Y279,""Yes"",""No"")"),"#N/A")</f>
        <v>#N/A</v>
      </c>
      <c r="AA279" s="144"/>
      <c r="AB279" s="144"/>
    </row>
    <row r="280" spans="1:28">
      <c r="A280" s="140" t="s">
        <v>471</v>
      </c>
      <c r="B280" s="140" t="s">
        <v>2931</v>
      </c>
      <c r="C280" s="140" t="s">
        <v>2932</v>
      </c>
      <c r="D280" s="140" t="s">
        <v>2933</v>
      </c>
      <c r="E280" s="140" t="s">
        <v>2934</v>
      </c>
      <c r="F280" s="140" t="s">
        <v>5</v>
      </c>
      <c r="G280" s="140">
        <v>3.5</v>
      </c>
      <c r="H280" s="140" t="s">
        <v>24</v>
      </c>
      <c r="I280" s="140" t="s">
        <v>447</v>
      </c>
      <c r="J280" s="140" t="s">
        <v>2935</v>
      </c>
      <c r="K280" s="140">
        <v>4</v>
      </c>
      <c r="L280" s="140" t="s">
        <v>622</v>
      </c>
      <c r="M280" s="140" t="s">
        <v>2936</v>
      </c>
      <c r="N280" s="140">
        <v>3</v>
      </c>
      <c r="O280" s="140" t="s">
        <v>451</v>
      </c>
      <c r="P280" s="142">
        <v>1500000</v>
      </c>
      <c r="Q280" s="140" t="s">
        <v>452</v>
      </c>
      <c r="R280" s="140" t="s">
        <v>2937</v>
      </c>
      <c r="S280" s="140"/>
      <c r="T280" s="140"/>
      <c r="U280" s="143"/>
      <c r="V280" s="143"/>
      <c r="W280" s="143"/>
      <c r="X280" s="140" t="s">
        <v>2938</v>
      </c>
      <c r="Y280" s="140" t="s">
        <v>2939</v>
      </c>
      <c r="Z280" s="140" t="str">
        <f ca="1">IFERROR(__xludf.DUMMYFUNCTION("IF(VLOOKUP($Y280, IMPORTRANGE(""https://docs.google.com/spreadsheets/d/1WsTKRjz8_fF2119Ff9dhKIIYXSaUEHzuWr8pBkxmwQQ/edit"", ""Form Responses 1!$B:$Z""),1, FALSE)=$Y280,""Yes"",""No"")"),"#N/A")</f>
        <v>#N/A</v>
      </c>
      <c r="AA280" s="140"/>
      <c r="AB280" s="140"/>
    </row>
    <row r="281" spans="1:28">
      <c r="A281" s="144" t="s">
        <v>443</v>
      </c>
      <c r="B281" s="144" t="s">
        <v>2940</v>
      </c>
      <c r="C281" s="144" t="s">
        <v>2941</v>
      </c>
      <c r="D281" s="144" t="s">
        <v>2942</v>
      </c>
      <c r="E281" s="144" t="s">
        <v>2943</v>
      </c>
      <c r="F281" s="144" t="s">
        <v>5</v>
      </c>
      <c r="G281" s="144">
        <v>2.75</v>
      </c>
      <c r="H281" s="144" t="s">
        <v>24</v>
      </c>
      <c r="I281" s="144" t="s">
        <v>447</v>
      </c>
      <c r="J281" s="144" t="s">
        <v>2944</v>
      </c>
      <c r="K281" s="144">
        <v>2.5</v>
      </c>
      <c r="L281" s="144" t="s">
        <v>449</v>
      </c>
      <c r="M281" s="144" t="s">
        <v>2945</v>
      </c>
      <c r="N281" s="144">
        <v>3</v>
      </c>
      <c r="O281" s="144"/>
      <c r="P281" s="144"/>
      <c r="Q281" s="144" t="s">
        <v>452</v>
      </c>
      <c r="R281" s="144" t="s">
        <v>452</v>
      </c>
      <c r="S281" s="144"/>
      <c r="T281" s="144"/>
      <c r="U281" s="145"/>
      <c r="V281" s="145"/>
      <c r="W281" s="145"/>
      <c r="X281" s="144" t="s">
        <v>2946</v>
      </c>
      <c r="Y281" s="144" t="s">
        <v>2947</v>
      </c>
      <c r="Z281" s="144" t="str">
        <f ca="1">IFERROR(__xludf.DUMMYFUNCTION("IF(VLOOKUP($Y281, IMPORTRANGE(""https://docs.google.com/spreadsheets/d/1WsTKRjz8_fF2119Ff9dhKIIYXSaUEHzuWr8pBkxmwQQ/edit"", ""Form Responses 1!$B:$Z""),1, FALSE)=$Y281,""Yes"",""No"")"),"#N/A")</f>
        <v>#N/A</v>
      </c>
      <c r="AA281" s="144"/>
      <c r="AB281" s="144"/>
    </row>
    <row r="282" spans="1:28">
      <c r="A282" s="140" t="s">
        <v>443</v>
      </c>
      <c r="B282" s="140" t="s">
        <v>2948</v>
      </c>
      <c r="C282" s="140" t="s">
        <v>2949</v>
      </c>
      <c r="D282" s="140" t="s">
        <v>2950</v>
      </c>
      <c r="E282" s="140" t="s">
        <v>2951</v>
      </c>
      <c r="F282" s="140" t="s">
        <v>5</v>
      </c>
      <c r="G282" s="140">
        <v>3.25</v>
      </c>
      <c r="H282" s="140" t="s">
        <v>24</v>
      </c>
      <c r="I282" s="140" t="s">
        <v>447</v>
      </c>
      <c r="J282" s="140" t="s">
        <v>2952</v>
      </c>
      <c r="K282" s="140">
        <v>3.5</v>
      </c>
      <c r="L282" s="140" t="s">
        <v>543</v>
      </c>
      <c r="M282" s="140" t="s">
        <v>2953</v>
      </c>
      <c r="N282" s="140">
        <v>3</v>
      </c>
      <c r="O282" s="140"/>
      <c r="P282" s="140"/>
      <c r="Q282" s="140" t="s">
        <v>452</v>
      </c>
      <c r="R282" s="140" t="s">
        <v>2954</v>
      </c>
      <c r="S282" s="140"/>
      <c r="T282" s="140"/>
      <c r="U282" s="143"/>
      <c r="V282" s="143"/>
      <c r="W282" s="143"/>
      <c r="X282" s="140" t="s">
        <v>2955</v>
      </c>
      <c r="Y282" s="140" t="s">
        <v>2956</v>
      </c>
      <c r="Z282" s="140" t="str">
        <f ca="1">IFERROR(__xludf.DUMMYFUNCTION("IF(VLOOKUP($Y282, IMPORTRANGE(""https://docs.google.com/spreadsheets/d/1WsTKRjz8_fF2119Ff9dhKIIYXSaUEHzuWr8pBkxmwQQ/edit"", ""Form Responses 1!$B:$Z""),1, FALSE)=$Y282,""Yes"",""No"")"),"#N/A")</f>
        <v>#N/A</v>
      </c>
      <c r="AA282" s="140"/>
      <c r="AB282" s="140"/>
    </row>
    <row r="283" spans="1:28">
      <c r="A283" s="144" t="s">
        <v>503</v>
      </c>
      <c r="B283" s="144" t="s">
        <v>2957</v>
      </c>
      <c r="C283" s="144" t="s">
        <v>2958</v>
      </c>
      <c r="D283" s="144" t="s">
        <v>2959</v>
      </c>
      <c r="E283" s="144"/>
      <c r="F283" s="144" t="s">
        <v>5</v>
      </c>
      <c r="G283" s="144">
        <v>2.75</v>
      </c>
      <c r="H283" s="144" t="s">
        <v>24</v>
      </c>
      <c r="I283" s="144" t="s">
        <v>447</v>
      </c>
      <c r="J283" s="144"/>
      <c r="K283" s="144">
        <v>2.5</v>
      </c>
      <c r="L283" s="144" t="s">
        <v>622</v>
      </c>
      <c r="M283" s="144" t="s">
        <v>2960</v>
      </c>
      <c r="N283" s="144">
        <v>3</v>
      </c>
      <c r="O283" s="144" t="s">
        <v>2961</v>
      </c>
      <c r="P283" s="144">
        <v>10000</v>
      </c>
      <c r="Q283" s="144" t="s">
        <v>452</v>
      </c>
      <c r="R283" s="144" t="s">
        <v>2962</v>
      </c>
      <c r="S283" s="144"/>
      <c r="T283" s="144"/>
      <c r="U283" s="145"/>
      <c r="V283" s="145"/>
      <c r="W283" s="145"/>
      <c r="X283" s="144" t="s">
        <v>2963</v>
      </c>
      <c r="Y283" s="144" t="s">
        <v>2964</v>
      </c>
      <c r="Z283" s="144" t="str">
        <f ca="1">IFERROR(__xludf.DUMMYFUNCTION("IF(VLOOKUP($Y283, IMPORTRANGE(""https://docs.google.com/spreadsheets/d/1WsTKRjz8_fF2119Ff9dhKIIYXSaUEHzuWr8pBkxmwQQ/edit"", ""Form Responses 1!$B:$Z""),1, FALSE)=$Y283,""Yes"",""No"")"),"#N/A")</f>
        <v>#N/A</v>
      </c>
      <c r="AA283" s="144"/>
      <c r="AB283" s="144"/>
    </row>
    <row r="284" spans="1:28">
      <c r="A284" s="140" t="s">
        <v>471</v>
      </c>
      <c r="B284" s="140" t="s">
        <v>2965</v>
      </c>
      <c r="C284" s="140" t="s">
        <v>2966</v>
      </c>
      <c r="D284" s="140" t="s">
        <v>2967</v>
      </c>
      <c r="E284" s="140" t="s">
        <v>2968</v>
      </c>
      <c r="F284" s="140" t="s">
        <v>5</v>
      </c>
      <c r="G284" s="140">
        <v>3.5</v>
      </c>
      <c r="H284" s="140" t="s">
        <v>24</v>
      </c>
      <c r="I284" s="140" t="s">
        <v>447</v>
      </c>
      <c r="J284" s="140" t="s">
        <v>2969</v>
      </c>
      <c r="K284" s="140">
        <v>3.5</v>
      </c>
      <c r="L284" s="140" t="s">
        <v>543</v>
      </c>
      <c r="M284" s="140" t="s">
        <v>2970</v>
      </c>
      <c r="N284" s="140">
        <v>3.5</v>
      </c>
      <c r="O284" s="140" t="s">
        <v>784</v>
      </c>
      <c r="P284" s="140" t="s">
        <v>2527</v>
      </c>
      <c r="Q284" s="140" t="s">
        <v>452</v>
      </c>
      <c r="R284" s="140" t="s">
        <v>452</v>
      </c>
      <c r="S284" s="140" t="s">
        <v>727</v>
      </c>
      <c r="T284" s="140" t="s">
        <v>2971</v>
      </c>
      <c r="U284" s="143"/>
      <c r="V284" s="143"/>
      <c r="W284" s="143"/>
      <c r="X284" s="140" t="s">
        <v>1020</v>
      </c>
      <c r="Y284" s="140" t="s">
        <v>2972</v>
      </c>
      <c r="Z284" s="140" t="str">
        <f ca="1">IFERROR(__xludf.DUMMYFUNCTION("IF(VLOOKUP($Y284, IMPORTRANGE(""https://docs.google.com/spreadsheets/d/1WsTKRjz8_fF2119Ff9dhKIIYXSaUEHzuWr8pBkxmwQQ/edit"", ""Form Responses 1!$B:$Z""),1, FALSE)=$Y284,""Yes"",""No"")"),"#N/A")</f>
        <v>#N/A</v>
      </c>
      <c r="AA284" s="140"/>
      <c r="AB284" s="140"/>
    </row>
    <row r="285" spans="1:28">
      <c r="A285" s="144" t="s">
        <v>484</v>
      </c>
      <c r="B285" s="144" t="s">
        <v>2973</v>
      </c>
      <c r="C285" s="144" t="s">
        <v>2974</v>
      </c>
      <c r="D285" s="144" t="s">
        <v>2975</v>
      </c>
      <c r="E285" s="144" t="s">
        <v>2976</v>
      </c>
      <c r="F285" s="144" t="s">
        <v>5</v>
      </c>
      <c r="G285" s="144">
        <v>3.25</v>
      </c>
      <c r="H285" s="144" t="s">
        <v>24</v>
      </c>
      <c r="I285" s="144" t="s">
        <v>447</v>
      </c>
      <c r="J285" s="144" t="s">
        <v>2977</v>
      </c>
      <c r="K285" s="144">
        <v>3</v>
      </c>
      <c r="L285" s="144" t="s">
        <v>449</v>
      </c>
      <c r="M285" s="144" t="s">
        <v>2978</v>
      </c>
      <c r="N285" s="144">
        <v>3.5</v>
      </c>
      <c r="O285" s="144" t="s">
        <v>451</v>
      </c>
      <c r="P285" s="147">
        <v>3000000</v>
      </c>
      <c r="Q285" s="144" t="s">
        <v>465</v>
      </c>
      <c r="R285" s="144" t="s">
        <v>2979</v>
      </c>
      <c r="S285" s="144"/>
      <c r="T285" s="144"/>
      <c r="U285" s="145"/>
      <c r="V285" s="145"/>
      <c r="W285" s="145"/>
      <c r="X285" s="144" t="s">
        <v>2980</v>
      </c>
      <c r="Y285" s="144" t="s">
        <v>2981</v>
      </c>
      <c r="Z285" s="144" t="str">
        <f ca="1">IFERROR(__xludf.DUMMYFUNCTION("IF(VLOOKUP($Y285, IMPORTRANGE(""https://docs.google.com/spreadsheets/d/1WsTKRjz8_fF2119Ff9dhKIIYXSaUEHzuWr8pBkxmwQQ/edit"", ""Form Responses 1!$B:$Z""),1, FALSE)=$Y285,""Yes"",""No"")"),"#N/A")</f>
        <v>#N/A</v>
      </c>
      <c r="AA285" s="144"/>
      <c r="AB285" s="144"/>
    </row>
    <row r="286" spans="1:28">
      <c r="A286" s="140" t="s">
        <v>503</v>
      </c>
      <c r="B286" s="140" t="s">
        <v>2982</v>
      </c>
      <c r="C286" s="140" t="s">
        <v>2983</v>
      </c>
      <c r="D286" s="140" t="s">
        <v>2984</v>
      </c>
      <c r="E286" s="140" t="s">
        <v>2985</v>
      </c>
      <c r="F286" s="140" t="s">
        <v>5</v>
      </c>
      <c r="G286" s="140">
        <v>1.25</v>
      </c>
      <c r="H286" s="140" t="s">
        <v>24</v>
      </c>
      <c r="I286" s="140" t="s">
        <v>447</v>
      </c>
      <c r="J286" s="140" t="s">
        <v>2986</v>
      </c>
      <c r="K286" s="140">
        <v>2.5</v>
      </c>
      <c r="L286" s="140" t="s">
        <v>622</v>
      </c>
      <c r="M286" s="140" t="s">
        <v>2987</v>
      </c>
      <c r="N286" s="140">
        <v>0</v>
      </c>
      <c r="O286" s="140"/>
      <c r="P286" s="140"/>
      <c r="Q286" s="140" t="s">
        <v>454</v>
      </c>
      <c r="R286" s="140" t="s">
        <v>452</v>
      </c>
      <c r="S286" s="140"/>
      <c r="T286" s="140"/>
      <c r="U286" s="143"/>
      <c r="V286" s="143"/>
      <c r="W286" s="143"/>
      <c r="X286" s="140" t="s">
        <v>2988</v>
      </c>
      <c r="Y286" s="140" t="s">
        <v>2989</v>
      </c>
      <c r="Z286" s="140" t="str">
        <f ca="1">IFERROR(__xludf.DUMMYFUNCTION("IF(VLOOKUP($Y286, IMPORTRANGE(""https://docs.google.com/spreadsheets/d/1WsTKRjz8_fF2119Ff9dhKIIYXSaUEHzuWr8pBkxmwQQ/edit"", ""Form Responses 1!$B:$Z""),1, FALSE)=$Y286,""Yes"",""No"")"),"#N/A")</f>
        <v>#N/A</v>
      </c>
      <c r="AA286" s="140"/>
      <c r="AB286" s="140"/>
    </row>
    <row r="287" spans="1:28">
      <c r="A287" s="144" t="s">
        <v>443</v>
      </c>
      <c r="B287" s="144" t="s">
        <v>2990</v>
      </c>
      <c r="C287" s="144" t="s">
        <v>2991</v>
      </c>
      <c r="D287" s="144" t="s">
        <v>2992</v>
      </c>
      <c r="E287" s="144" t="s">
        <v>2993</v>
      </c>
      <c r="F287" s="144" t="s">
        <v>5</v>
      </c>
      <c r="G287" s="144">
        <v>3.25</v>
      </c>
      <c r="H287" s="144" t="s">
        <v>24</v>
      </c>
      <c r="I287" s="144" t="s">
        <v>447</v>
      </c>
      <c r="J287" s="144" t="s">
        <v>2994</v>
      </c>
      <c r="K287" s="144">
        <v>3</v>
      </c>
      <c r="L287" s="144" t="s">
        <v>449</v>
      </c>
      <c r="M287" s="144" t="s">
        <v>2995</v>
      </c>
      <c r="N287" s="144">
        <v>3.5</v>
      </c>
      <c r="O287" s="144" t="s">
        <v>2996</v>
      </c>
      <c r="P287" s="144" t="s">
        <v>2997</v>
      </c>
      <c r="Q287" s="144" t="s">
        <v>452</v>
      </c>
      <c r="R287" s="144" t="s">
        <v>2998</v>
      </c>
      <c r="S287" s="144"/>
      <c r="T287" s="144"/>
      <c r="U287" s="145"/>
      <c r="V287" s="145"/>
      <c r="W287" s="145"/>
      <c r="X287" s="144" t="s">
        <v>2999</v>
      </c>
      <c r="Y287" s="144" t="s">
        <v>3000</v>
      </c>
      <c r="Z287" s="144" t="str">
        <f ca="1">IFERROR(__xludf.DUMMYFUNCTION("IF(VLOOKUP($Y287, IMPORTRANGE(""https://docs.google.com/spreadsheets/d/1WsTKRjz8_fF2119Ff9dhKIIYXSaUEHzuWr8pBkxmwQQ/edit"", ""Form Responses 1!$B:$Z""),1, FALSE)=$Y287,""Yes"",""No"")"),"#N/A")</f>
        <v>#N/A</v>
      </c>
      <c r="AA287" s="144"/>
      <c r="AB287" s="144"/>
    </row>
    <row r="288" spans="1:28">
      <c r="A288" s="140" t="s">
        <v>443</v>
      </c>
      <c r="B288" s="140" t="s">
        <v>3001</v>
      </c>
      <c r="C288" s="140" t="s">
        <v>3002</v>
      </c>
      <c r="D288" s="140" t="s">
        <v>3003</v>
      </c>
      <c r="E288" s="140" t="s">
        <v>3004</v>
      </c>
      <c r="F288" s="140" t="s">
        <v>5</v>
      </c>
      <c r="G288" s="140">
        <v>3</v>
      </c>
      <c r="H288" s="140" t="s">
        <v>24</v>
      </c>
      <c r="I288" s="140" t="s">
        <v>447</v>
      </c>
      <c r="J288" s="140" t="s">
        <v>3005</v>
      </c>
      <c r="K288" s="140">
        <v>3</v>
      </c>
      <c r="L288" s="140" t="s">
        <v>543</v>
      </c>
      <c r="M288" s="140" t="s">
        <v>3006</v>
      </c>
      <c r="N288" s="140">
        <v>3</v>
      </c>
      <c r="O288" s="140" t="s">
        <v>784</v>
      </c>
      <c r="P288" s="142">
        <v>2000000</v>
      </c>
      <c r="Q288" s="140" t="s">
        <v>452</v>
      </c>
      <c r="R288" s="140" t="s">
        <v>3007</v>
      </c>
      <c r="S288" s="140" t="s">
        <v>3008</v>
      </c>
      <c r="T288" s="140"/>
      <c r="U288" s="143"/>
      <c r="V288" s="143"/>
      <c r="W288" s="143"/>
      <c r="X288" s="140" t="s">
        <v>3009</v>
      </c>
      <c r="Y288" s="140" t="s">
        <v>3010</v>
      </c>
      <c r="Z288" s="140" t="str">
        <f ca="1">IFERROR(__xludf.DUMMYFUNCTION("IF(VLOOKUP($Y288, IMPORTRANGE(""https://docs.google.com/spreadsheets/d/1WsTKRjz8_fF2119Ff9dhKIIYXSaUEHzuWr8pBkxmwQQ/edit"", ""Form Responses 1!$B:$Z""),1, FALSE)=$Y288,""Yes"",""No"")"),"#N/A")</f>
        <v>#N/A</v>
      </c>
      <c r="AA288" s="140"/>
      <c r="AB288" s="140"/>
    </row>
    <row r="289" spans="1:28">
      <c r="A289" s="144" t="s">
        <v>529</v>
      </c>
      <c r="B289" s="144" t="s">
        <v>3011</v>
      </c>
      <c r="C289" s="144" t="s">
        <v>3012</v>
      </c>
      <c r="D289" s="144" t="s">
        <v>3013</v>
      </c>
      <c r="E289" s="144" t="s">
        <v>3014</v>
      </c>
      <c r="F289" s="144" t="s">
        <v>5</v>
      </c>
      <c r="G289" s="144">
        <v>3.25</v>
      </c>
      <c r="H289" s="144" t="s">
        <v>24</v>
      </c>
      <c r="I289" s="144" t="s">
        <v>447</v>
      </c>
      <c r="J289" s="144" t="s">
        <v>3015</v>
      </c>
      <c r="K289" s="144">
        <v>3</v>
      </c>
      <c r="L289" s="144" t="s">
        <v>622</v>
      </c>
      <c r="M289" s="144" t="s">
        <v>3016</v>
      </c>
      <c r="N289" s="144">
        <v>3.5</v>
      </c>
      <c r="O289" s="144"/>
      <c r="P289" s="144"/>
      <c r="Q289" s="144" t="s">
        <v>452</v>
      </c>
      <c r="R289" s="144" t="s">
        <v>452</v>
      </c>
      <c r="S289" s="144"/>
      <c r="T289" s="144"/>
      <c r="U289" s="145"/>
      <c r="V289" s="145"/>
      <c r="W289" s="145"/>
      <c r="X289" s="144" t="s">
        <v>3017</v>
      </c>
      <c r="Y289" s="144" t="s">
        <v>3018</v>
      </c>
      <c r="Z289" s="144" t="str">
        <f ca="1">IFERROR(__xludf.DUMMYFUNCTION("IF(VLOOKUP($Y289, IMPORTRANGE(""https://docs.google.com/spreadsheets/d/1WsTKRjz8_fF2119Ff9dhKIIYXSaUEHzuWr8pBkxmwQQ/edit"", ""Form Responses 1!$B:$Z""),1, FALSE)=$Y289,""Yes"",""No"")"),"#N/A")</f>
        <v>#N/A</v>
      </c>
      <c r="AA289" s="144"/>
      <c r="AB289" s="144"/>
    </row>
    <row r="290" spans="1:28">
      <c r="A290" s="140" t="s">
        <v>484</v>
      </c>
      <c r="B290" s="140" t="s">
        <v>3019</v>
      </c>
      <c r="C290" s="140" t="s">
        <v>3020</v>
      </c>
      <c r="D290" s="140" t="s">
        <v>3021</v>
      </c>
      <c r="E290" s="140" t="s">
        <v>3022</v>
      </c>
      <c r="F290" s="140" t="s">
        <v>5</v>
      </c>
      <c r="G290" s="140">
        <v>3</v>
      </c>
      <c r="H290" s="140" t="s">
        <v>24</v>
      </c>
      <c r="I290" s="140" t="s">
        <v>447</v>
      </c>
      <c r="J290" s="140" t="s">
        <v>3023</v>
      </c>
      <c r="K290" s="140">
        <v>3</v>
      </c>
      <c r="L290" s="140" t="s">
        <v>622</v>
      </c>
      <c r="M290" s="140" t="s">
        <v>3024</v>
      </c>
      <c r="N290" s="140">
        <v>3</v>
      </c>
      <c r="O290" s="140" t="s">
        <v>784</v>
      </c>
      <c r="P290" s="142">
        <v>1000000</v>
      </c>
      <c r="Q290" s="140" t="s">
        <v>452</v>
      </c>
      <c r="R290" s="140" t="s">
        <v>3025</v>
      </c>
      <c r="S290" s="140" t="s">
        <v>447</v>
      </c>
      <c r="T290" s="140"/>
      <c r="U290" s="143"/>
      <c r="V290" s="143"/>
      <c r="W290" s="143"/>
      <c r="X290" s="140" t="s">
        <v>2748</v>
      </c>
      <c r="Y290" s="140" t="s">
        <v>3026</v>
      </c>
      <c r="Z290" s="140" t="str">
        <f ca="1">IFERROR(__xludf.DUMMYFUNCTION("IF(VLOOKUP($Y290, IMPORTRANGE(""https://docs.google.com/spreadsheets/d/1WsTKRjz8_fF2119Ff9dhKIIYXSaUEHzuWr8pBkxmwQQ/edit"", ""Form Responses 1!$B:$Z""),1, FALSE)=$Y290,""Yes"",""No"")"),"#N/A")</f>
        <v>#N/A</v>
      </c>
      <c r="AA290" s="140"/>
      <c r="AB290" s="140"/>
    </row>
    <row r="291" spans="1:28">
      <c r="A291" s="144" t="s">
        <v>529</v>
      </c>
      <c r="B291" s="144" t="s">
        <v>3027</v>
      </c>
      <c r="C291" s="144" t="s">
        <v>3028</v>
      </c>
      <c r="D291" s="144" t="s">
        <v>3029</v>
      </c>
      <c r="E291" s="144" t="s">
        <v>3030</v>
      </c>
      <c r="F291" s="144" t="s">
        <v>5</v>
      </c>
      <c r="G291" s="144">
        <v>2.25</v>
      </c>
      <c r="H291" s="144" t="s">
        <v>24</v>
      </c>
      <c r="I291" s="144" t="s">
        <v>447</v>
      </c>
      <c r="J291" s="144" t="s">
        <v>3031</v>
      </c>
      <c r="K291" s="144">
        <v>2</v>
      </c>
      <c r="L291" s="144" t="s">
        <v>543</v>
      </c>
      <c r="M291" s="144" t="s">
        <v>3032</v>
      </c>
      <c r="N291" s="144">
        <v>2.5</v>
      </c>
      <c r="O291" s="144" t="s">
        <v>2190</v>
      </c>
      <c r="P291" s="147">
        <v>363000</v>
      </c>
      <c r="Q291" s="144" t="s">
        <v>465</v>
      </c>
      <c r="R291" s="144"/>
      <c r="S291" s="144"/>
      <c r="T291" s="144"/>
      <c r="U291" s="145"/>
      <c r="V291" s="145"/>
      <c r="W291" s="145"/>
      <c r="X291" s="144" t="s">
        <v>3033</v>
      </c>
      <c r="Y291" s="144" t="s">
        <v>3034</v>
      </c>
      <c r="Z291" s="144" t="str">
        <f ca="1">IFERROR(__xludf.DUMMYFUNCTION("IF(VLOOKUP($Y291, IMPORTRANGE(""https://docs.google.com/spreadsheets/d/1WsTKRjz8_fF2119Ff9dhKIIYXSaUEHzuWr8pBkxmwQQ/edit"", ""Form Responses 1!$B:$Z""),1, FALSE)=$Y291,""Yes"",""No"")"),"#N/A")</f>
        <v>#N/A</v>
      </c>
      <c r="AA291" s="144"/>
      <c r="AB291" s="144"/>
    </row>
    <row r="292" spans="1:28">
      <c r="A292" s="140" t="s">
        <v>503</v>
      </c>
      <c r="B292" s="140" t="s">
        <v>3035</v>
      </c>
      <c r="C292" s="140" t="s">
        <v>3036</v>
      </c>
      <c r="D292" s="140" t="s">
        <v>3037</v>
      </c>
      <c r="E292" s="140" t="s">
        <v>3038</v>
      </c>
      <c r="F292" s="140" t="s">
        <v>5</v>
      </c>
      <c r="G292" s="140">
        <v>2.5</v>
      </c>
      <c r="H292" s="140" t="s">
        <v>24</v>
      </c>
      <c r="I292" s="140" t="s">
        <v>447</v>
      </c>
      <c r="J292" s="140" t="s">
        <v>3039</v>
      </c>
      <c r="K292" s="140">
        <v>3</v>
      </c>
      <c r="L292" s="140" t="s">
        <v>543</v>
      </c>
      <c r="M292" s="140" t="s">
        <v>3040</v>
      </c>
      <c r="N292" s="140">
        <v>2</v>
      </c>
      <c r="O292" s="140"/>
      <c r="P292" s="140"/>
      <c r="Q292" s="140" t="s">
        <v>452</v>
      </c>
      <c r="R292" s="140" t="s">
        <v>452</v>
      </c>
      <c r="S292" s="140"/>
      <c r="T292" s="140"/>
      <c r="U292" s="143"/>
      <c r="V292" s="143"/>
      <c r="W292" s="143"/>
      <c r="X292" s="140" t="s">
        <v>3041</v>
      </c>
      <c r="Y292" s="140" t="s">
        <v>3042</v>
      </c>
      <c r="Z292" s="140" t="str">
        <f ca="1">IFERROR(__xludf.DUMMYFUNCTION("IF(VLOOKUP($Y292, IMPORTRANGE(""https://docs.google.com/spreadsheets/d/1WsTKRjz8_fF2119Ff9dhKIIYXSaUEHzuWr8pBkxmwQQ/edit"", ""Form Responses 1!$B:$Z""),1, FALSE)=$Y292,""Yes"",""No"")"),"#N/A")</f>
        <v>#N/A</v>
      </c>
      <c r="AA292" s="140"/>
      <c r="AB292" s="140"/>
    </row>
    <row r="293" spans="1:28">
      <c r="A293" s="144" t="s">
        <v>484</v>
      </c>
      <c r="B293" s="144" t="s">
        <v>3043</v>
      </c>
      <c r="C293" s="144" t="s">
        <v>3044</v>
      </c>
      <c r="D293" s="144" t="s">
        <v>3045</v>
      </c>
      <c r="E293" s="144" t="s">
        <v>3046</v>
      </c>
      <c r="F293" s="144" t="s">
        <v>5</v>
      </c>
      <c r="G293" s="144">
        <v>3.25</v>
      </c>
      <c r="H293" s="144" t="s">
        <v>24</v>
      </c>
      <c r="I293" s="144" t="s">
        <v>447</v>
      </c>
      <c r="J293" s="144" t="s">
        <v>3047</v>
      </c>
      <c r="K293" s="144">
        <v>3</v>
      </c>
      <c r="L293" s="144" t="s">
        <v>476</v>
      </c>
      <c r="M293" s="144" t="s">
        <v>3048</v>
      </c>
      <c r="N293" s="144">
        <v>3.5</v>
      </c>
      <c r="O293" s="144" t="s">
        <v>451</v>
      </c>
      <c r="P293" s="144">
        <v>1700000</v>
      </c>
      <c r="Q293" s="144" t="s">
        <v>465</v>
      </c>
      <c r="R293" s="144" t="s">
        <v>575</v>
      </c>
      <c r="S293" s="144"/>
      <c r="T293" s="144" t="s">
        <v>3049</v>
      </c>
      <c r="U293" s="145"/>
      <c r="V293" s="145"/>
      <c r="W293" s="145"/>
      <c r="X293" s="144" t="s">
        <v>3050</v>
      </c>
      <c r="Y293" s="144" t="s">
        <v>3051</v>
      </c>
      <c r="Z293" s="144" t="str">
        <f ca="1">IFERROR(__xludf.DUMMYFUNCTION("IF(VLOOKUP($Y293, IMPORTRANGE(""https://docs.google.com/spreadsheets/d/1WsTKRjz8_fF2119Ff9dhKIIYXSaUEHzuWr8pBkxmwQQ/edit"", ""Form Responses 1!$B:$Z""),1, FALSE)=$Y293,""Yes"",""No"")"),"#N/A")</f>
        <v>#N/A</v>
      </c>
      <c r="AA293" s="144"/>
      <c r="AB293" s="144"/>
    </row>
    <row r="294" spans="1:28">
      <c r="A294" s="140" t="s">
        <v>471</v>
      </c>
      <c r="B294" s="140" t="s">
        <v>3052</v>
      </c>
      <c r="C294" s="140" t="s">
        <v>3053</v>
      </c>
      <c r="D294" s="140" t="s">
        <v>3054</v>
      </c>
      <c r="E294" s="140" t="s">
        <v>3055</v>
      </c>
      <c r="F294" s="140" t="s">
        <v>5</v>
      </c>
      <c r="G294" s="140">
        <v>3</v>
      </c>
      <c r="H294" s="140" t="s">
        <v>24</v>
      </c>
      <c r="I294" s="140" t="s">
        <v>447</v>
      </c>
      <c r="J294" s="140" t="s">
        <v>3056</v>
      </c>
      <c r="K294" s="140">
        <v>3</v>
      </c>
      <c r="L294" s="140" t="s">
        <v>622</v>
      </c>
      <c r="M294" s="140" t="s">
        <v>3057</v>
      </c>
      <c r="N294" s="140">
        <v>3</v>
      </c>
      <c r="O294" s="140"/>
      <c r="P294" s="140"/>
      <c r="Q294" s="140" t="s">
        <v>452</v>
      </c>
      <c r="R294" s="140" t="s">
        <v>452</v>
      </c>
      <c r="S294" s="140"/>
      <c r="T294" s="140"/>
      <c r="U294" s="143"/>
      <c r="V294" s="143"/>
      <c r="W294" s="143"/>
      <c r="X294" s="140" t="s">
        <v>3058</v>
      </c>
      <c r="Y294" s="140" t="s">
        <v>3059</v>
      </c>
      <c r="Z294" s="140" t="str">
        <f ca="1">IFERROR(__xludf.DUMMYFUNCTION("IF(VLOOKUP($Y294, IMPORTRANGE(""https://docs.google.com/spreadsheets/d/1WsTKRjz8_fF2119Ff9dhKIIYXSaUEHzuWr8pBkxmwQQ/edit"", ""Form Responses 1!$B:$Z""),1, FALSE)=$Y294,""Yes"",""No"")"),"#N/A")</f>
        <v>#N/A</v>
      </c>
      <c r="AA294" s="140"/>
      <c r="AB294" s="140"/>
    </row>
    <row r="295" spans="1:28">
      <c r="A295" s="144" t="s">
        <v>471</v>
      </c>
      <c r="B295" s="144" t="s">
        <v>3060</v>
      </c>
      <c r="C295" s="144" t="s">
        <v>3061</v>
      </c>
      <c r="D295" s="144" t="s">
        <v>3062</v>
      </c>
      <c r="E295" s="144" t="s">
        <v>3063</v>
      </c>
      <c r="F295" s="144" t="s">
        <v>5</v>
      </c>
      <c r="G295" s="144">
        <v>2.25</v>
      </c>
      <c r="H295" s="144" t="s">
        <v>24</v>
      </c>
      <c r="I295" s="144" t="s">
        <v>447</v>
      </c>
      <c r="J295" s="144" t="s">
        <v>3064</v>
      </c>
      <c r="K295" s="144">
        <v>2.5</v>
      </c>
      <c r="L295" s="144" t="s">
        <v>476</v>
      </c>
      <c r="M295" s="144" t="s">
        <v>3065</v>
      </c>
      <c r="N295" s="144">
        <v>2</v>
      </c>
      <c r="O295" s="144"/>
      <c r="P295" s="144"/>
      <c r="Q295" s="144" t="s">
        <v>452</v>
      </c>
      <c r="R295" s="144" t="s">
        <v>452</v>
      </c>
      <c r="S295" s="144"/>
      <c r="T295" s="144"/>
      <c r="U295" s="145"/>
      <c r="V295" s="145"/>
      <c r="W295" s="145"/>
      <c r="X295" s="144" t="s">
        <v>3066</v>
      </c>
      <c r="Y295" s="144" t="s">
        <v>3067</v>
      </c>
      <c r="Z295" s="144" t="str">
        <f ca="1">IFERROR(__xludf.DUMMYFUNCTION("IF(VLOOKUP($Y295, IMPORTRANGE(""https://docs.google.com/spreadsheets/d/1WsTKRjz8_fF2119Ff9dhKIIYXSaUEHzuWr8pBkxmwQQ/edit"", ""Form Responses 1!$B:$Z""),1, FALSE)=$Y295,""Yes"",""No"")"),"#N/A")</f>
        <v>#N/A</v>
      </c>
      <c r="AA295" s="144"/>
      <c r="AB295" s="144"/>
    </row>
    <row r="296" spans="1:28">
      <c r="A296" s="140" t="s">
        <v>484</v>
      </c>
      <c r="B296" s="140" t="s">
        <v>3068</v>
      </c>
      <c r="C296" s="140" t="s">
        <v>3069</v>
      </c>
      <c r="D296" s="140" t="s">
        <v>3070</v>
      </c>
      <c r="E296" s="140" t="s">
        <v>3071</v>
      </c>
      <c r="F296" s="140" t="s">
        <v>5</v>
      </c>
      <c r="G296" s="140">
        <v>3</v>
      </c>
      <c r="H296" s="140" t="s">
        <v>24</v>
      </c>
      <c r="I296" s="140" t="s">
        <v>447</v>
      </c>
      <c r="J296" s="140" t="s">
        <v>3072</v>
      </c>
      <c r="K296" s="140">
        <v>3</v>
      </c>
      <c r="L296" s="140" t="s">
        <v>449</v>
      </c>
      <c r="M296" s="140" t="s">
        <v>3073</v>
      </c>
      <c r="N296" s="140">
        <v>3</v>
      </c>
      <c r="O296" s="140"/>
      <c r="P296" s="140"/>
      <c r="Q296" s="140" t="s">
        <v>452</v>
      </c>
      <c r="R296" s="140" t="s">
        <v>3074</v>
      </c>
      <c r="S296" s="140"/>
      <c r="T296" s="140"/>
      <c r="U296" s="143"/>
      <c r="V296" s="143"/>
      <c r="W296" s="143"/>
      <c r="X296" s="140" t="s">
        <v>3075</v>
      </c>
      <c r="Y296" s="140" t="s">
        <v>3076</v>
      </c>
      <c r="Z296" s="140" t="str">
        <f ca="1">IFERROR(__xludf.DUMMYFUNCTION("IF(VLOOKUP($Y296, IMPORTRANGE(""https://docs.google.com/spreadsheets/d/1WsTKRjz8_fF2119Ff9dhKIIYXSaUEHzuWr8pBkxmwQQ/edit"", ""Form Responses 1!$B:$Z""),1, FALSE)=$Y296,""Yes"",""No"")"),"#N/A")</f>
        <v>#N/A</v>
      </c>
      <c r="AA296" s="140"/>
      <c r="AB296" s="140"/>
    </row>
    <row r="297" spans="1:28">
      <c r="A297" s="144" t="s">
        <v>443</v>
      </c>
      <c r="B297" s="144" t="s">
        <v>3077</v>
      </c>
      <c r="C297" s="144" t="s">
        <v>3078</v>
      </c>
      <c r="D297" s="144" t="s">
        <v>3079</v>
      </c>
      <c r="E297" s="144" t="s">
        <v>3080</v>
      </c>
      <c r="F297" s="144" t="s">
        <v>5</v>
      </c>
      <c r="G297" s="144">
        <v>1.5</v>
      </c>
      <c r="H297" s="144" t="s">
        <v>24</v>
      </c>
      <c r="I297" s="144" t="s">
        <v>447</v>
      </c>
      <c r="J297" s="144" t="s">
        <v>3081</v>
      </c>
      <c r="K297" s="144">
        <v>1</v>
      </c>
      <c r="L297" s="144" t="s">
        <v>543</v>
      </c>
      <c r="M297" s="144" t="s">
        <v>3082</v>
      </c>
      <c r="N297" s="144">
        <v>2</v>
      </c>
      <c r="O297" s="144" t="s">
        <v>3083</v>
      </c>
      <c r="P297" s="144" t="s">
        <v>3084</v>
      </c>
      <c r="Q297" s="144" t="s">
        <v>452</v>
      </c>
      <c r="R297" s="144" t="s">
        <v>452</v>
      </c>
      <c r="S297" s="144"/>
      <c r="T297" s="144"/>
      <c r="U297" s="145"/>
      <c r="V297" s="145"/>
      <c r="W297" s="145"/>
      <c r="X297" s="144" t="s">
        <v>3085</v>
      </c>
      <c r="Y297" s="144" t="s">
        <v>3086</v>
      </c>
      <c r="Z297" s="144" t="str">
        <f ca="1">IFERROR(__xludf.DUMMYFUNCTION("IF(VLOOKUP($Y297, IMPORTRANGE(""https://docs.google.com/spreadsheets/d/1WsTKRjz8_fF2119Ff9dhKIIYXSaUEHzuWr8pBkxmwQQ/edit"", ""Form Responses 1!$B:$Z""),1, FALSE)=$Y297,""Yes"",""No"")"),"#N/A")</f>
        <v>#N/A</v>
      </c>
      <c r="AA297" s="144"/>
      <c r="AB297" s="144"/>
    </row>
    <row r="298" spans="1:28">
      <c r="A298" s="140" t="s">
        <v>443</v>
      </c>
      <c r="B298" s="140" t="s">
        <v>3087</v>
      </c>
      <c r="C298" s="140" t="s">
        <v>3088</v>
      </c>
      <c r="D298" s="140" t="s">
        <v>3089</v>
      </c>
      <c r="E298" s="140" t="s">
        <v>3090</v>
      </c>
      <c r="F298" s="140" t="s">
        <v>5</v>
      </c>
      <c r="G298" s="140">
        <v>3.25</v>
      </c>
      <c r="H298" s="140" t="s">
        <v>24</v>
      </c>
      <c r="I298" s="140" t="s">
        <v>622</v>
      </c>
      <c r="J298" s="140" t="s">
        <v>3091</v>
      </c>
      <c r="K298" s="140">
        <v>3</v>
      </c>
      <c r="L298" s="140" t="s">
        <v>449</v>
      </c>
      <c r="M298" s="140" t="s">
        <v>3092</v>
      </c>
      <c r="N298" s="140">
        <v>3.5</v>
      </c>
      <c r="O298" s="140" t="s">
        <v>451</v>
      </c>
      <c r="P298" s="140">
        <v>6000000</v>
      </c>
      <c r="Q298" s="140" t="s">
        <v>465</v>
      </c>
      <c r="R298" s="140" t="s">
        <v>3093</v>
      </c>
      <c r="S298" s="140"/>
      <c r="T298" s="140" t="s">
        <v>3094</v>
      </c>
      <c r="U298" s="143"/>
      <c r="V298" s="143"/>
      <c r="W298" s="143"/>
      <c r="X298" s="140" t="s">
        <v>3095</v>
      </c>
      <c r="Y298" s="140" t="s">
        <v>3096</v>
      </c>
      <c r="Z298" s="140" t="str">
        <f ca="1">IFERROR(__xludf.DUMMYFUNCTION("IF(VLOOKUP($Y298, IMPORTRANGE(""https://docs.google.com/spreadsheets/d/1WsTKRjz8_fF2119Ff9dhKIIYXSaUEHzuWr8pBkxmwQQ/edit"", ""Form Responses 1!$B:$Z""),1, FALSE)=$Y298,""Yes"",""No"")"),"#N/A")</f>
        <v>#N/A</v>
      </c>
      <c r="AA298" s="140"/>
      <c r="AB298" s="140"/>
    </row>
    <row r="299" spans="1:28">
      <c r="A299" s="144" t="s">
        <v>484</v>
      </c>
      <c r="B299" s="144" t="s">
        <v>121</v>
      </c>
      <c r="C299" s="144" t="s">
        <v>3097</v>
      </c>
      <c r="D299" s="144" t="s">
        <v>3098</v>
      </c>
      <c r="E299" s="144" t="s">
        <v>3099</v>
      </c>
      <c r="F299" s="144" t="s">
        <v>5</v>
      </c>
      <c r="G299" s="144">
        <v>2.5</v>
      </c>
      <c r="H299" s="144" t="s">
        <v>24</v>
      </c>
      <c r="I299" s="144" t="s">
        <v>460</v>
      </c>
      <c r="J299" s="144" t="s">
        <v>3100</v>
      </c>
      <c r="K299" s="144">
        <v>2</v>
      </c>
      <c r="L299" s="144" t="s">
        <v>941</v>
      </c>
      <c r="M299" s="144" t="s">
        <v>3101</v>
      </c>
      <c r="N299" s="144">
        <v>3</v>
      </c>
      <c r="O299" s="144" t="s">
        <v>973</v>
      </c>
      <c r="P299" s="147">
        <v>3000000</v>
      </c>
      <c r="Q299" s="144" t="s">
        <v>452</v>
      </c>
      <c r="R299" s="144" t="s">
        <v>575</v>
      </c>
      <c r="S299" s="144"/>
      <c r="T299" s="144" t="s">
        <v>3102</v>
      </c>
      <c r="U299" s="145" t="s">
        <v>454</v>
      </c>
      <c r="V299" s="145"/>
      <c r="W299" s="145"/>
      <c r="X299" s="144" t="s">
        <v>3103</v>
      </c>
      <c r="Y299" s="144" t="s">
        <v>3104</v>
      </c>
      <c r="Z299" s="144" t="str">
        <f ca="1">IFERROR(__xludf.DUMMYFUNCTION("IF(VLOOKUP($Y299, IMPORTRANGE(""https://docs.google.com/spreadsheets/d/1WsTKRjz8_fF2119Ff9dhKIIYXSaUEHzuWr8pBkxmwQQ/edit"", ""Form Responses 1!$B:$Z""),1, FALSE)=$Y299,""Yes"",""No"")"),"#N/A")</f>
        <v>#N/A</v>
      </c>
      <c r="AA299" s="144"/>
      <c r="AB299" s="144"/>
    </row>
    <row r="300" spans="1:28">
      <c r="A300" s="140" t="s">
        <v>529</v>
      </c>
      <c r="B300" s="140" t="s">
        <v>3105</v>
      </c>
      <c r="C300" s="140" t="s">
        <v>3106</v>
      </c>
      <c r="D300" s="140" t="s">
        <v>3107</v>
      </c>
      <c r="E300" s="140" t="s">
        <v>3108</v>
      </c>
      <c r="F300" s="140" t="s">
        <v>5</v>
      </c>
      <c r="G300" s="140">
        <v>3</v>
      </c>
      <c r="H300" s="140" t="s">
        <v>24</v>
      </c>
      <c r="I300" s="140" t="s">
        <v>447</v>
      </c>
      <c r="J300" s="140" t="s">
        <v>3109</v>
      </c>
      <c r="K300" s="140">
        <v>3</v>
      </c>
      <c r="L300" s="140" t="s">
        <v>543</v>
      </c>
      <c r="M300" s="140" t="s">
        <v>3110</v>
      </c>
      <c r="N300" s="140">
        <v>3</v>
      </c>
      <c r="O300" s="140" t="s">
        <v>3111</v>
      </c>
      <c r="P300" s="140" t="s">
        <v>3112</v>
      </c>
      <c r="Q300" s="140" t="s">
        <v>452</v>
      </c>
      <c r="R300" s="140"/>
      <c r="S300" s="140"/>
      <c r="T300" s="140"/>
      <c r="U300" s="143"/>
      <c r="V300" s="143"/>
      <c r="W300" s="143"/>
      <c r="X300" s="140" t="s">
        <v>3113</v>
      </c>
      <c r="Y300" s="140" t="s">
        <v>3114</v>
      </c>
      <c r="Z300" s="140" t="str">
        <f ca="1">IFERROR(__xludf.DUMMYFUNCTION("IF(VLOOKUP($Y300, IMPORTRANGE(""https://docs.google.com/spreadsheets/d/1WsTKRjz8_fF2119Ff9dhKIIYXSaUEHzuWr8pBkxmwQQ/edit"", ""Form Responses 1!$B:$Z""),1, FALSE)=$Y300,""Yes"",""No"")"),"#N/A")</f>
        <v>#N/A</v>
      </c>
      <c r="AA300" s="140"/>
      <c r="AB300" s="140"/>
    </row>
    <row r="301" spans="1:28">
      <c r="A301" s="144" t="s">
        <v>529</v>
      </c>
      <c r="B301" s="144" t="s">
        <v>3115</v>
      </c>
      <c r="C301" s="144" t="s">
        <v>3116</v>
      </c>
      <c r="D301" s="144" t="s">
        <v>3117</v>
      </c>
      <c r="E301" s="144" t="s">
        <v>3118</v>
      </c>
      <c r="F301" s="144" t="s">
        <v>5</v>
      </c>
      <c r="G301" s="144">
        <v>3.5</v>
      </c>
      <c r="H301" s="144" t="s">
        <v>24</v>
      </c>
      <c r="I301" s="144" t="s">
        <v>447</v>
      </c>
      <c r="J301" s="144" t="s">
        <v>3119</v>
      </c>
      <c r="K301" s="144">
        <v>3.5</v>
      </c>
      <c r="L301" s="144" t="s">
        <v>543</v>
      </c>
      <c r="M301" s="144" t="s">
        <v>3120</v>
      </c>
      <c r="N301" s="144">
        <v>3.5</v>
      </c>
      <c r="O301" s="144"/>
      <c r="P301" s="144"/>
      <c r="Q301" s="144" t="s">
        <v>465</v>
      </c>
      <c r="R301" s="144" t="s">
        <v>3121</v>
      </c>
      <c r="S301" s="144" t="s">
        <v>725</v>
      </c>
      <c r="T301" s="144"/>
      <c r="U301" s="145"/>
      <c r="V301" s="145"/>
      <c r="W301" s="145"/>
      <c r="X301" s="144" t="s">
        <v>3122</v>
      </c>
      <c r="Y301" s="144" t="s">
        <v>3123</v>
      </c>
      <c r="Z301" s="144" t="str">
        <f ca="1">IFERROR(__xludf.DUMMYFUNCTION("IF(VLOOKUP($Y301, IMPORTRANGE(""https://docs.google.com/spreadsheets/d/1WsTKRjz8_fF2119Ff9dhKIIYXSaUEHzuWr8pBkxmwQQ/edit"", ""Form Responses 1!$B:$Z""),1, FALSE)=$Y301,""Yes"",""No"")"),"#N/A")</f>
        <v>#N/A</v>
      </c>
      <c r="AA301" s="144"/>
      <c r="AB301" s="144"/>
    </row>
    <row r="302" spans="1:28">
      <c r="A302" s="140" t="s">
        <v>503</v>
      </c>
      <c r="B302" s="140" t="s">
        <v>3124</v>
      </c>
      <c r="C302" s="140" t="s">
        <v>3125</v>
      </c>
      <c r="D302" s="140" t="s">
        <v>3126</v>
      </c>
      <c r="E302" s="140" t="s">
        <v>3127</v>
      </c>
      <c r="F302" s="140" t="s">
        <v>5</v>
      </c>
      <c r="G302" s="140">
        <v>3</v>
      </c>
      <c r="H302" s="140" t="s">
        <v>24</v>
      </c>
      <c r="I302" s="140" t="s">
        <v>447</v>
      </c>
      <c r="J302" s="140" t="s">
        <v>3128</v>
      </c>
      <c r="K302" s="140">
        <v>3</v>
      </c>
      <c r="L302" s="140" t="s">
        <v>449</v>
      </c>
      <c r="M302" s="140" t="s">
        <v>3129</v>
      </c>
      <c r="N302" s="140">
        <v>3</v>
      </c>
      <c r="O302" s="140"/>
      <c r="P302" s="140"/>
      <c r="Q302" s="140" t="s">
        <v>452</v>
      </c>
      <c r="R302" s="140" t="s">
        <v>3130</v>
      </c>
      <c r="S302" s="140"/>
      <c r="T302" s="140" t="s">
        <v>3131</v>
      </c>
      <c r="U302" s="143"/>
      <c r="V302" s="143"/>
      <c r="W302" s="143"/>
      <c r="X302" s="140" t="s">
        <v>2988</v>
      </c>
      <c r="Y302" s="140" t="s">
        <v>3132</v>
      </c>
      <c r="Z302" s="140" t="str">
        <f ca="1">IFERROR(__xludf.DUMMYFUNCTION("IF(VLOOKUP($Y302, IMPORTRANGE(""https://docs.google.com/spreadsheets/d/1WsTKRjz8_fF2119Ff9dhKIIYXSaUEHzuWr8pBkxmwQQ/edit"", ""Form Responses 1!$B:$Z""),1, FALSE)=$Y302,""Yes"",""No"")"),"#N/A")</f>
        <v>#N/A</v>
      </c>
      <c r="AA302" s="140"/>
      <c r="AB302" s="140"/>
    </row>
    <row r="303" spans="1:28">
      <c r="A303" s="144" t="s">
        <v>598</v>
      </c>
      <c r="B303" s="144" t="s">
        <v>3133</v>
      </c>
      <c r="C303" s="144" t="s">
        <v>3134</v>
      </c>
      <c r="D303" s="144" t="s">
        <v>3135</v>
      </c>
      <c r="E303" s="144" t="s">
        <v>3136</v>
      </c>
      <c r="F303" s="144" t="s">
        <v>5</v>
      </c>
      <c r="G303" s="144">
        <v>3.25</v>
      </c>
      <c r="H303" s="144" t="s">
        <v>24</v>
      </c>
      <c r="I303" s="144" t="s">
        <v>447</v>
      </c>
      <c r="J303" s="144" t="s">
        <v>3137</v>
      </c>
      <c r="K303" s="144">
        <v>3</v>
      </c>
      <c r="L303" s="144" t="s">
        <v>622</v>
      </c>
      <c r="M303" s="144"/>
      <c r="N303" s="144">
        <v>3.5</v>
      </c>
      <c r="O303" s="144" t="s">
        <v>3138</v>
      </c>
      <c r="P303" s="144">
        <v>2</v>
      </c>
      <c r="Q303" s="144" t="s">
        <v>452</v>
      </c>
      <c r="R303" s="144" t="s">
        <v>452</v>
      </c>
      <c r="S303" s="144"/>
      <c r="T303" s="144"/>
      <c r="U303" s="145"/>
      <c r="V303" s="145"/>
      <c r="W303" s="145"/>
      <c r="X303" s="144" t="s">
        <v>3139</v>
      </c>
      <c r="Y303" s="144" t="s">
        <v>3140</v>
      </c>
      <c r="Z303" s="144" t="str">
        <f ca="1">IFERROR(__xludf.DUMMYFUNCTION("IF(VLOOKUP($Y303, IMPORTRANGE(""https://docs.google.com/spreadsheets/d/1WsTKRjz8_fF2119Ff9dhKIIYXSaUEHzuWr8pBkxmwQQ/edit"", ""Form Responses 1!$B:$Z""),1, FALSE)=$Y303,""Yes"",""No"")"),"#N/A")</f>
        <v>#N/A</v>
      </c>
      <c r="AA303" s="144"/>
      <c r="AB303" s="144"/>
    </row>
    <row r="304" spans="1:28">
      <c r="A304" s="140" t="s">
        <v>529</v>
      </c>
      <c r="B304" s="140" t="s">
        <v>3141</v>
      </c>
      <c r="C304" s="140" t="s">
        <v>3142</v>
      </c>
      <c r="D304" s="140" t="s">
        <v>3143</v>
      </c>
      <c r="E304" s="140" t="s">
        <v>3144</v>
      </c>
      <c r="F304" s="140" t="s">
        <v>5</v>
      </c>
      <c r="G304" s="140">
        <v>3.25</v>
      </c>
      <c r="H304" s="140" t="s">
        <v>24</v>
      </c>
      <c r="I304" s="140" t="s">
        <v>447</v>
      </c>
      <c r="J304" s="140" t="s">
        <v>3145</v>
      </c>
      <c r="K304" s="140">
        <v>3</v>
      </c>
      <c r="L304" s="140" t="s">
        <v>543</v>
      </c>
      <c r="M304" s="140" t="s">
        <v>3146</v>
      </c>
      <c r="N304" s="140">
        <v>3.5</v>
      </c>
      <c r="O304" s="140" t="s">
        <v>451</v>
      </c>
      <c r="P304" s="142">
        <v>2250000</v>
      </c>
      <c r="Q304" s="140" t="s">
        <v>452</v>
      </c>
      <c r="R304" s="140" t="s">
        <v>452</v>
      </c>
      <c r="S304" s="140" t="s">
        <v>585</v>
      </c>
      <c r="T304" s="140"/>
      <c r="U304" s="143"/>
      <c r="V304" s="143"/>
      <c r="W304" s="143"/>
      <c r="X304" s="140" t="s">
        <v>3147</v>
      </c>
      <c r="Y304" s="140" t="s">
        <v>3148</v>
      </c>
      <c r="Z304" s="140" t="str">
        <f ca="1">IFERROR(__xludf.DUMMYFUNCTION("IF(VLOOKUP($Y304, IMPORTRANGE(""https://docs.google.com/spreadsheets/d/1WsTKRjz8_fF2119Ff9dhKIIYXSaUEHzuWr8pBkxmwQQ/edit"", ""Form Responses 1!$B:$Z""),1, FALSE)=$Y304,""Yes"",""No"")"),"#N/A")</f>
        <v>#N/A</v>
      </c>
      <c r="AA304" s="140"/>
      <c r="AB304" s="140"/>
    </row>
    <row r="305" spans="1:28">
      <c r="A305" s="144" t="s">
        <v>529</v>
      </c>
      <c r="B305" s="144" t="s">
        <v>3149</v>
      </c>
      <c r="C305" s="144" t="s">
        <v>3150</v>
      </c>
      <c r="D305" s="144" t="s">
        <v>3151</v>
      </c>
      <c r="E305" s="144" t="s">
        <v>3152</v>
      </c>
      <c r="F305" s="144" t="s">
        <v>5</v>
      </c>
      <c r="G305" s="144">
        <v>3.5</v>
      </c>
      <c r="H305" s="144" t="s">
        <v>24</v>
      </c>
      <c r="I305" s="144" t="s">
        <v>447</v>
      </c>
      <c r="J305" s="144" t="s">
        <v>3153</v>
      </c>
      <c r="K305" s="144">
        <v>3</v>
      </c>
      <c r="L305" s="144" t="s">
        <v>622</v>
      </c>
      <c r="M305" s="144" t="s">
        <v>3154</v>
      </c>
      <c r="N305" s="144">
        <v>4</v>
      </c>
      <c r="O305" s="144"/>
      <c r="P305" s="144"/>
      <c r="Q305" s="144" t="s">
        <v>452</v>
      </c>
      <c r="R305" s="144" t="s">
        <v>452</v>
      </c>
      <c r="S305" s="144"/>
      <c r="T305" s="144"/>
      <c r="U305" s="145"/>
      <c r="V305" s="145"/>
      <c r="W305" s="145"/>
      <c r="X305" s="144" t="s">
        <v>3155</v>
      </c>
      <c r="Y305" s="144" t="s">
        <v>3156</v>
      </c>
      <c r="Z305" s="144" t="str">
        <f ca="1">IFERROR(__xludf.DUMMYFUNCTION("IF(VLOOKUP($Y305, IMPORTRANGE(""https://docs.google.com/spreadsheets/d/1WsTKRjz8_fF2119Ff9dhKIIYXSaUEHzuWr8pBkxmwQQ/edit"", ""Form Responses 1!$B:$Z""),1, FALSE)=$Y305,""Yes"",""No"")"),"#N/A")</f>
        <v>#N/A</v>
      </c>
      <c r="AA305" s="144"/>
      <c r="AB305" s="144"/>
    </row>
    <row r="306" spans="1:28">
      <c r="A306" s="140" t="s">
        <v>529</v>
      </c>
      <c r="B306" s="140" t="s">
        <v>3157</v>
      </c>
      <c r="C306" s="140" t="s">
        <v>3158</v>
      </c>
      <c r="D306" s="140" t="s">
        <v>3159</v>
      </c>
      <c r="E306" s="140" t="s">
        <v>3160</v>
      </c>
      <c r="F306" s="140" t="s">
        <v>5</v>
      </c>
      <c r="G306" s="140">
        <v>3</v>
      </c>
      <c r="H306" s="140" t="s">
        <v>24</v>
      </c>
      <c r="I306" s="140" t="s">
        <v>447</v>
      </c>
      <c r="J306" s="140" t="s">
        <v>3161</v>
      </c>
      <c r="K306" s="140">
        <v>3</v>
      </c>
      <c r="L306" s="140" t="s">
        <v>449</v>
      </c>
      <c r="M306" s="140" t="s">
        <v>3162</v>
      </c>
      <c r="N306" s="140">
        <v>3</v>
      </c>
      <c r="O306" s="140" t="s">
        <v>3163</v>
      </c>
      <c r="P306" s="140">
        <v>2000000</v>
      </c>
      <c r="Q306" s="140" t="s">
        <v>452</v>
      </c>
      <c r="R306" s="140" t="s">
        <v>3164</v>
      </c>
      <c r="S306" s="140"/>
      <c r="T306" s="140"/>
      <c r="U306" s="143"/>
      <c r="V306" s="143"/>
      <c r="W306" s="143"/>
      <c r="X306" s="140" t="s">
        <v>3165</v>
      </c>
      <c r="Y306" s="140" t="s">
        <v>3166</v>
      </c>
      <c r="Z306" s="140" t="str">
        <f ca="1">IFERROR(__xludf.DUMMYFUNCTION("IF(VLOOKUP($Y306, IMPORTRANGE(""https://docs.google.com/spreadsheets/d/1WsTKRjz8_fF2119Ff9dhKIIYXSaUEHzuWr8pBkxmwQQ/edit"", ""Form Responses 1!$B:$Z""),1, FALSE)=$Y306,""Yes"",""No"")"),"#N/A")</f>
        <v>#N/A</v>
      </c>
      <c r="AA306" s="140"/>
      <c r="AB306" s="140"/>
    </row>
    <row r="307" spans="1:28">
      <c r="A307" s="144" t="s">
        <v>471</v>
      </c>
      <c r="B307" s="144" t="s">
        <v>3167</v>
      </c>
      <c r="C307" s="144" t="s">
        <v>3168</v>
      </c>
      <c r="D307" s="144" t="s">
        <v>3169</v>
      </c>
      <c r="E307" s="144" t="s">
        <v>3170</v>
      </c>
      <c r="F307" s="144" t="s">
        <v>5</v>
      </c>
      <c r="G307" s="144">
        <v>3.25</v>
      </c>
      <c r="H307" s="144" t="s">
        <v>24</v>
      </c>
      <c r="I307" s="144" t="s">
        <v>447</v>
      </c>
      <c r="J307" s="144" t="s">
        <v>3171</v>
      </c>
      <c r="K307" s="144">
        <v>3</v>
      </c>
      <c r="L307" s="144" t="s">
        <v>543</v>
      </c>
      <c r="M307" s="144" t="s">
        <v>3172</v>
      </c>
      <c r="N307" s="144">
        <v>3.5</v>
      </c>
      <c r="O307" s="144" t="s">
        <v>923</v>
      </c>
      <c r="P307" s="146">
        <v>10000000</v>
      </c>
      <c r="Q307" s="144" t="s">
        <v>452</v>
      </c>
      <c r="R307" s="144" t="s">
        <v>3173</v>
      </c>
      <c r="S307" s="144"/>
      <c r="T307" s="144" t="s">
        <v>3174</v>
      </c>
      <c r="U307" s="145"/>
      <c r="V307" s="145"/>
      <c r="W307" s="145"/>
      <c r="X307" s="144" t="s">
        <v>3175</v>
      </c>
      <c r="Y307" s="144" t="s">
        <v>3176</v>
      </c>
      <c r="Z307" s="144" t="str">
        <f ca="1">IFERROR(__xludf.DUMMYFUNCTION("IF(VLOOKUP($Y307, IMPORTRANGE(""https://docs.google.com/spreadsheets/d/1WsTKRjz8_fF2119Ff9dhKIIYXSaUEHzuWr8pBkxmwQQ/edit"", ""Form Responses 1!$B:$Z""),1, FALSE)=$Y307,""Yes"",""No"")"),"#N/A")</f>
        <v>#N/A</v>
      </c>
      <c r="AA307" s="144"/>
      <c r="AB307" s="144"/>
    </row>
    <row r="308" spans="1:28">
      <c r="A308" s="140" t="s">
        <v>484</v>
      </c>
      <c r="B308" s="140" t="s">
        <v>130</v>
      </c>
      <c r="C308" s="140" t="s">
        <v>3177</v>
      </c>
      <c r="D308" s="140" t="s">
        <v>3178</v>
      </c>
      <c r="E308" s="140" t="s">
        <v>3179</v>
      </c>
      <c r="F308" s="140" t="s">
        <v>5</v>
      </c>
      <c r="G308" s="140">
        <v>2.75</v>
      </c>
      <c r="H308" s="140" t="s">
        <v>24</v>
      </c>
      <c r="I308" s="140" t="s">
        <v>460</v>
      </c>
      <c r="J308" s="140" t="s">
        <v>3180</v>
      </c>
      <c r="K308" s="140">
        <v>3</v>
      </c>
      <c r="L308" s="140" t="s">
        <v>488</v>
      </c>
      <c r="M308" s="140" t="s">
        <v>3181</v>
      </c>
      <c r="N308" s="140">
        <v>2.5</v>
      </c>
      <c r="O308" s="140" t="s">
        <v>784</v>
      </c>
      <c r="P308" s="140">
        <v>3000000</v>
      </c>
      <c r="Q308" s="140" t="s">
        <v>452</v>
      </c>
      <c r="R308" s="140" t="s">
        <v>3182</v>
      </c>
      <c r="S308" s="140"/>
      <c r="T308" s="140" t="s">
        <v>3183</v>
      </c>
      <c r="U308" s="143" t="s">
        <v>481</v>
      </c>
      <c r="V308" s="143"/>
      <c r="W308" s="143"/>
      <c r="X308" s="140" t="s">
        <v>2097</v>
      </c>
      <c r="Y308" s="140" t="s">
        <v>3184</v>
      </c>
      <c r="Z308" s="140" t="str">
        <f ca="1">IFERROR(__xludf.DUMMYFUNCTION("IF(VLOOKUP($Y308, IMPORTRANGE(""https://docs.google.com/spreadsheets/d/1WsTKRjz8_fF2119Ff9dhKIIYXSaUEHzuWr8pBkxmwQQ/edit"", ""Form Responses 1!$B:$Z""),1, FALSE)=$Y308,""Yes"",""No"")"),"#N/A")</f>
        <v>#N/A</v>
      </c>
      <c r="AA308" s="140"/>
      <c r="AB308" s="140"/>
    </row>
    <row r="309" spans="1:28">
      <c r="A309" s="144" t="s">
        <v>471</v>
      </c>
      <c r="B309" s="144" t="s">
        <v>3185</v>
      </c>
      <c r="C309" s="144" t="s">
        <v>3186</v>
      </c>
      <c r="D309" s="144" t="s">
        <v>3187</v>
      </c>
      <c r="E309" s="144" t="s">
        <v>3188</v>
      </c>
      <c r="F309" s="144" t="s">
        <v>5</v>
      </c>
      <c r="G309" s="144">
        <v>3.75</v>
      </c>
      <c r="H309" s="144" t="s">
        <v>24</v>
      </c>
      <c r="I309" s="144" t="s">
        <v>447</v>
      </c>
      <c r="J309" s="144" t="s">
        <v>3189</v>
      </c>
      <c r="K309" s="144">
        <v>3.5</v>
      </c>
      <c r="L309" s="144" t="s">
        <v>543</v>
      </c>
      <c r="M309" s="144" t="s">
        <v>3190</v>
      </c>
      <c r="N309" s="144">
        <v>4</v>
      </c>
      <c r="O309" s="144" t="s">
        <v>478</v>
      </c>
      <c r="P309" s="144" t="s">
        <v>3191</v>
      </c>
      <c r="Q309" s="144" t="s">
        <v>452</v>
      </c>
      <c r="R309" s="144" t="s">
        <v>3192</v>
      </c>
      <c r="S309" s="144"/>
      <c r="T309" s="144" t="s">
        <v>3193</v>
      </c>
      <c r="U309" s="145"/>
      <c r="V309" s="145"/>
      <c r="W309" s="145"/>
      <c r="X309" s="144" t="s">
        <v>3194</v>
      </c>
      <c r="Y309" s="144" t="s">
        <v>3195</v>
      </c>
      <c r="Z309" s="144" t="str">
        <f ca="1">IFERROR(__xludf.DUMMYFUNCTION("IF(VLOOKUP($Y309, IMPORTRANGE(""https://docs.google.com/spreadsheets/d/1WsTKRjz8_fF2119Ff9dhKIIYXSaUEHzuWr8pBkxmwQQ/edit"", ""Form Responses 1!$B:$Z""),1, FALSE)=$Y309,""Yes"",""No"")"),"#N/A")</f>
        <v>#N/A</v>
      </c>
      <c r="AA309" s="144"/>
      <c r="AB309" s="144"/>
    </row>
    <row r="310" spans="1:28">
      <c r="A310" s="140" t="s">
        <v>471</v>
      </c>
      <c r="B310" s="140" t="s">
        <v>3196</v>
      </c>
      <c r="C310" s="140" t="s">
        <v>3197</v>
      </c>
      <c r="D310" s="140" t="s">
        <v>3198</v>
      </c>
      <c r="E310" s="140" t="s">
        <v>3199</v>
      </c>
      <c r="F310" s="140" t="s">
        <v>5</v>
      </c>
      <c r="G310" s="140">
        <v>2.5</v>
      </c>
      <c r="H310" s="140" t="s">
        <v>24</v>
      </c>
      <c r="I310" s="140" t="s">
        <v>447</v>
      </c>
      <c r="J310" s="140" t="s">
        <v>3200</v>
      </c>
      <c r="K310" s="140">
        <v>3</v>
      </c>
      <c r="L310" s="140" t="s">
        <v>449</v>
      </c>
      <c r="M310" s="140" t="s">
        <v>3201</v>
      </c>
      <c r="N310" s="140">
        <v>2</v>
      </c>
      <c r="O310" s="140"/>
      <c r="P310" s="140"/>
      <c r="Q310" s="140" t="s">
        <v>465</v>
      </c>
      <c r="R310" s="140" t="s">
        <v>3202</v>
      </c>
      <c r="S310" s="140"/>
      <c r="T310" s="140" t="s">
        <v>3203</v>
      </c>
      <c r="U310" s="143"/>
      <c r="V310" s="143"/>
      <c r="W310" s="143"/>
      <c r="X310" s="140" t="s">
        <v>3204</v>
      </c>
      <c r="Y310" s="140" t="s">
        <v>3205</v>
      </c>
      <c r="Z310" s="140" t="str">
        <f ca="1">IFERROR(__xludf.DUMMYFUNCTION("IF(VLOOKUP($Y310, IMPORTRANGE(""https://docs.google.com/spreadsheets/d/1WsTKRjz8_fF2119Ff9dhKIIYXSaUEHzuWr8pBkxmwQQ/edit"", ""Form Responses 1!$B:$Z""),1, FALSE)=$Y310,""Yes"",""No"")"),"#N/A")</f>
        <v>#N/A</v>
      </c>
      <c r="AA310" s="140"/>
      <c r="AB310" s="140"/>
    </row>
    <row r="311" spans="1:28">
      <c r="A311" s="144" t="s">
        <v>484</v>
      </c>
      <c r="B311" s="144" t="s">
        <v>3206</v>
      </c>
      <c r="C311" s="144" t="s">
        <v>3207</v>
      </c>
      <c r="D311" s="144" t="s">
        <v>3208</v>
      </c>
      <c r="E311" s="144" t="s">
        <v>3209</v>
      </c>
      <c r="F311" s="144" t="s">
        <v>5</v>
      </c>
      <c r="G311" s="144">
        <v>2.5</v>
      </c>
      <c r="H311" s="144" t="s">
        <v>24</v>
      </c>
      <c r="I311" s="144" t="s">
        <v>447</v>
      </c>
      <c r="J311" s="144" t="s">
        <v>3210</v>
      </c>
      <c r="K311" s="144">
        <v>2</v>
      </c>
      <c r="L311" s="144" t="s">
        <v>449</v>
      </c>
      <c r="M311" s="144" t="s">
        <v>3211</v>
      </c>
      <c r="N311" s="144">
        <v>3</v>
      </c>
      <c r="O311" s="144" t="s">
        <v>451</v>
      </c>
      <c r="P311" s="147">
        <v>3000000</v>
      </c>
      <c r="Q311" s="144" t="s">
        <v>452</v>
      </c>
      <c r="R311" s="144" t="s">
        <v>452</v>
      </c>
      <c r="S311" s="144" t="s">
        <v>3212</v>
      </c>
      <c r="T311" s="144"/>
      <c r="U311" s="145"/>
      <c r="V311" s="145"/>
      <c r="W311" s="145"/>
      <c r="X311" s="144" t="s">
        <v>3213</v>
      </c>
      <c r="Y311" s="144" t="s">
        <v>3214</v>
      </c>
      <c r="Z311" s="144" t="str">
        <f ca="1">IFERROR(__xludf.DUMMYFUNCTION("IF(VLOOKUP($Y311, IMPORTRANGE(""https://docs.google.com/spreadsheets/d/1WsTKRjz8_fF2119Ff9dhKIIYXSaUEHzuWr8pBkxmwQQ/edit"", ""Form Responses 1!$B:$Z""),1, FALSE)=$Y311,""Yes"",""No"")"),"#N/A")</f>
        <v>#N/A</v>
      </c>
      <c r="AA311" s="144"/>
      <c r="AB311" s="144"/>
    </row>
    <row r="312" spans="1:28">
      <c r="A312" s="140" t="s">
        <v>443</v>
      </c>
      <c r="B312" s="140" t="s">
        <v>3215</v>
      </c>
      <c r="C312" s="140" t="s">
        <v>3216</v>
      </c>
      <c r="D312" s="140" t="s">
        <v>3217</v>
      </c>
      <c r="E312" s="140" t="s">
        <v>3218</v>
      </c>
      <c r="F312" s="140" t="s">
        <v>5</v>
      </c>
      <c r="G312" s="140">
        <v>3.25</v>
      </c>
      <c r="H312" s="140" t="s">
        <v>24</v>
      </c>
      <c r="I312" s="140" t="s">
        <v>447</v>
      </c>
      <c r="J312" s="140" t="s">
        <v>3219</v>
      </c>
      <c r="K312" s="140">
        <v>3</v>
      </c>
      <c r="L312" s="140" t="s">
        <v>543</v>
      </c>
      <c r="M312" s="140" t="s">
        <v>3220</v>
      </c>
      <c r="N312" s="140">
        <v>3.5</v>
      </c>
      <c r="O312" s="140"/>
      <c r="P312" s="140"/>
      <c r="Q312" s="140" t="s">
        <v>452</v>
      </c>
      <c r="R312" s="140" t="s">
        <v>3221</v>
      </c>
      <c r="S312" s="140"/>
      <c r="T312" s="140"/>
      <c r="U312" s="143"/>
      <c r="V312" s="143"/>
      <c r="W312" s="143"/>
      <c r="X312" s="140" t="s">
        <v>3222</v>
      </c>
      <c r="Y312" s="140" t="s">
        <v>3223</v>
      </c>
      <c r="Z312" s="140" t="str">
        <f ca="1">IFERROR(__xludf.DUMMYFUNCTION("IF(VLOOKUP($Y312, IMPORTRANGE(""https://docs.google.com/spreadsheets/d/1WsTKRjz8_fF2119Ff9dhKIIYXSaUEHzuWr8pBkxmwQQ/edit"", ""Form Responses 1!$B:$Z""),1, FALSE)=$Y312,""Yes"",""No"")"),"#N/A")</f>
        <v>#N/A</v>
      </c>
      <c r="AA312" s="140"/>
      <c r="AB312" s="140"/>
    </row>
    <row r="313" spans="1:28">
      <c r="A313" s="144" t="s">
        <v>443</v>
      </c>
      <c r="B313" s="144" t="s">
        <v>3224</v>
      </c>
      <c r="C313" s="144" t="s">
        <v>3225</v>
      </c>
      <c r="D313" s="144" t="s">
        <v>3226</v>
      </c>
      <c r="E313" s="144" t="s">
        <v>3227</v>
      </c>
      <c r="F313" s="144" t="s">
        <v>5</v>
      </c>
      <c r="G313" s="144">
        <v>3</v>
      </c>
      <c r="H313" s="144" t="s">
        <v>24</v>
      </c>
      <c r="I313" s="144" t="s">
        <v>447</v>
      </c>
      <c r="J313" s="144" t="s">
        <v>3228</v>
      </c>
      <c r="K313" s="144">
        <v>3</v>
      </c>
      <c r="L313" s="144" t="s">
        <v>449</v>
      </c>
      <c r="M313" s="144" t="s">
        <v>3229</v>
      </c>
      <c r="N313" s="144">
        <v>3</v>
      </c>
      <c r="O313" s="144"/>
      <c r="P313" s="144"/>
      <c r="Q313" s="144" t="s">
        <v>452</v>
      </c>
      <c r="R313" s="144" t="s">
        <v>3230</v>
      </c>
      <c r="S313" s="144" t="s">
        <v>3231</v>
      </c>
      <c r="T313" s="144"/>
      <c r="U313" s="145"/>
      <c r="V313" s="145"/>
      <c r="W313" s="145"/>
      <c r="X313" s="144" t="s">
        <v>2243</v>
      </c>
      <c r="Y313" s="144" t="s">
        <v>3232</v>
      </c>
      <c r="Z313" s="144" t="str">
        <f ca="1">IFERROR(__xludf.DUMMYFUNCTION("IF(VLOOKUP($Y313, IMPORTRANGE(""https://docs.google.com/spreadsheets/d/1WsTKRjz8_fF2119Ff9dhKIIYXSaUEHzuWr8pBkxmwQQ/edit"", ""Form Responses 1!$B:$Z""),1, FALSE)=$Y313,""Yes"",""No"")"),"#N/A")</f>
        <v>#N/A</v>
      </c>
      <c r="AA313" s="144"/>
      <c r="AB313" s="144"/>
    </row>
    <row r="314" spans="1:28">
      <c r="A314" s="140" t="s">
        <v>503</v>
      </c>
      <c r="B314" s="140" t="s">
        <v>136</v>
      </c>
      <c r="C314" s="140" t="s">
        <v>3233</v>
      </c>
      <c r="D314" s="140" t="s">
        <v>3234</v>
      </c>
      <c r="E314" s="140" t="s">
        <v>3235</v>
      </c>
      <c r="F314" s="140" t="s">
        <v>5</v>
      </c>
      <c r="G314" s="140">
        <v>4</v>
      </c>
      <c r="H314" s="140" t="s">
        <v>24</v>
      </c>
      <c r="I314" s="140" t="s">
        <v>447</v>
      </c>
      <c r="J314" s="140" t="s">
        <v>3236</v>
      </c>
      <c r="K314" s="140">
        <v>4</v>
      </c>
      <c r="L314" s="140" t="s">
        <v>476</v>
      </c>
      <c r="M314" s="140" t="s">
        <v>3237</v>
      </c>
      <c r="N314" s="140">
        <v>4</v>
      </c>
      <c r="O314" s="140" t="s">
        <v>451</v>
      </c>
      <c r="P314" s="140">
        <v>500000</v>
      </c>
      <c r="Q314" s="140" t="s">
        <v>452</v>
      </c>
      <c r="R314" s="140" t="s">
        <v>3238</v>
      </c>
      <c r="S314" s="140"/>
      <c r="T314" s="140" t="s">
        <v>3239</v>
      </c>
      <c r="U314" s="143" t="s">
        <v>481</v>
      </c>
      <c r="V314" s="143"/>
      <c r="W314" s="143"/>
      <c r="X314" s="140" t="s">
        <v>3240</v>
      </c>
      <c r="Y314" s="140" t="s">
        <v>3241</v>
      </c>
      <c r="Z314" s="140" t="str">
        <f ca="1">IFERROR(__xludf.DUMMYFUNCTION("IF(VLOOKUP($Y314, IMPORTRANGE(""https://docs.google.com/spreadsheets/d/1WsTKRjz8_fF2119Ff9dhKIIYXSaUEHzuWr8pBkxmwQQ/edit"", ""Form Responses 1!$B:$Z""),1, FALSE)=$Y314,""Yes"",""No"")"),"#N/A")</f>
        <v>#N/A</v>
      </c>
      <c r="AA314" s="140"/>
      <c r="AB314" s="140"/>
    </row>
    <row r="315" spans="1:28">
      <c r="A315" s="144" t="s">
        <v>503</v>
      </c>
      <c r="B315" s="144" t="s">
        <v>137</v>
      </c>
      <c r="C315" s="144" t="s">
        <v>3242</v>
      </c>
      <c r="D315" s="144" t="s">
        <v>3243</v>
      </c>
      <c r="E315" s="144" t="s">
        <v>3244</v>
      </c>
      <c r="F315" s="144" t="s">
        <v>5</v>
      </c>
      <c r="G315" s="144">
        <v>3.5</v>
      </c>
      <c r="H315" s="144" t="s">
        <v>24</v>
      </c>
      <c r="I315" s="144" t="s">
        <v>622</v>
      </c>
      <c r="J315" s="144" t="s">
        <v>3245</v>
      </c>
      <c r="K315" s="144">
        <v>3</v>
      </c>
      <c r="L315" s="144" t="s">
        <v>449</v>
      </c>
      <c r="M315" s="144" t="s">
        <v>3246</v>
      </c>
      <c r="N315" s="144">
        <v>4</v>
      </c>
      <c r="O315" s="144" t="s">
        <v>478</v>
      </c>
      <c r="P315" s="147">
        <v>2000000</v>
      </c>
      <c r="Q315" s="144" t="s">
        <v>465</v>
      </c>
      <c r="R315" s="144" t="s">
        <v>3247</v>
      </c>
      <c r="S315" s="144"/>
      <c r="T315" s="144" t="s">
        <v>2747</v>
      </c>
      <c r="U315" s="145" t="s">
        <v>481</v>
      </c>
      <c r="V315" s="145"/>
      <c r="W315" s="145"/>
      <c r="X315" s="144" t="s">
        <v>3248</v>
      </c>
      <c r="Y315" s="144" t="s">
        <v>3249</v>
      </c>
      <c r="Z315" s="144" t="str">
        <f ca="1">IFERROR(__xludf.DUMMYFUNCTION("IF(VLOOKUP($Y315, IMPORTRANGE(""https://docs.google.com/spreadsheets/d/1WsTKRjz8_fF2119Ff9dhKIIYXSaUEHzuWr8pBkxmwQQ/edit"", ""Form Responses 1!$B:$Z""),1, FALSE)=$Y315,""Yes"",""No"")"),"#N/A")</f>
        <v>#N/A</v>
      </c>
      <c r="AA315" s="144"/>
      <c r="AB315" s="144"/>
    </row>
    <row r="316" spans="1:28">
      <c r="A316" s="140" t="s">
        <v>503</v>
      </c>
      <c r="B316" s="140" t="s">
        <v>3250</v>
      </c>
      <c r="C316" s="140" t="s">
        <v>3251</v>
      </c>
      <c r="D316" s="140" t="s">
        <v>3252</v>
      </c>
      <c r="E316" s="140" t="s">
        <v>3253</v>
      </c>
      <c r="F316" s="140" t="s">
        <v>5</v>
      </c>
      <c r="G316" s="140">
        <v>2.5</v>
      </c>
      <c r="H316" s="140" t="s">
        <v>24</v>
      </c>
      <c r="I316" s="140" t="s">
        <v>447</v>
      </c>
      <c r="J316" s="140" t="s">
        <v>3254</v>
      </c>
      <c r="K316" s="140">
        <v>2</v>
      </c>
      <c r="L316" s="140" t="s">
        <v>602</v>
      </c>
      <c r="M316" s="140" t="s">
        <v>3255</v>
      </c>
      <c r="N316" s="140">
        <v>3</v>
      </c>
      <c r="O316" s="140" t="s">
        <v>451</v>
      </c>
      <c r="P316" s="140" t="s">
        <v>3256</v>
      </c>
      <c r="Q316" s="140" t="s">
        <v>452</v>
      </c>
      <c r="R316" s="140" t="s">
        <v>452</v>
      </c>
      <c r="S316" s="140"/>
      <c r="T316" s="140"/>
      <c r="U316" s="143"/>
      <c r="V316" s="143"/>
      <c r="W316" s="143"/>
      <c r="X316" s="140" t="s">
        <v>3257</v>
      </c>
      <c r="Y316" s="140" t="s">
        <v>3258</v>
      </c>
      <c r="Z316" s="140" t="str">
        <f ca="1">IFERROR(__xludf.DUMMYFUNCTION("IF(VLOOKUP($Y316, IMPORTRANGE(""https://docs.google.com/spreadsheets/d/1WsTKRjz8_fF2119Ff9dhKIIYXSaUEHzuWr8pBkxmwQQ/edit"", ""Form Responses 1!$B:$Z""),1, FALSE)=$Y316,""Yes"",""No"")"),"#N/A")</f>
        <v>#N/A</v>
      </c>
      <c r="AA316" s="140"/>
      <c r="AB316" s="140"/>
    </row>
    <row r="317" spans="1:28">
      <c r="A317" s="144" t="s">
        <v>484</v>
      </c>
      <c r="B317" s="144" t="s">
        <v>139</v>
      </c>
      <c r="C317" s="144" t="s">
        <v>3259</v>
      </c>
      <c r="D317" s="144" t="s">
        <v>3260</v>
      </c>
      <c r="E317" s="144" t="s">
        <v>3261</v>
      </c>
      <c r="F317" s="144" t="s">
        <v>5</v>
      </c>
      <c r="G317" s="144">
        <v>3.75</v>
      </c>
      <c r="H317" s="144" t="s">
        <v>24</v>
      </c>
      <c r="I317" s="144" t="s">
        <v>727</v>
      </c>
      <c r="J317" s="144" t="s">
        <v>3262</v>
      </c>
      <c r="K317" s="144">
        <v>3.5</v>
      </c>
      <c r="L317" s="144" t="s">
        <v>1054</v>
      </c>
      <c r="M317" s="144" t="s">
        <v>3263</v>
      </c>
      <c r="N317" s="144">
        <v>4</v>
      </c>
      <c r="O317" s="144" t="s">
        <v>451</v>
      </c>
      <c r="P317" s="144" t="s">
        <v>3264</v>
      </c>
      <c r="Q317" s="144" t="s">
        <v>452</v>
      </c>
      <c r="R317" s="144" t="s">
        <v>452</v>
      </c>
      <c r="S317" s="144" t="s">
        <v>460</v>
      </c>
      <c r="T317" s="144" t="s">
        <v>3265</v>
      </c>
      <c r="U317" s="145" t="s">
        <v>481</v>
      </c>
      <c r="V317" s="145"/>
      <c r="W317" s="145" t="s">
        <v>460</v>
      </c>
      <c r="X317" s="144" t="s">
        <v>3266</v>
      </c>
      <c r="Y317" s="144" t="s">
        <v>3267</v>
      </c>
      <c r="Z317" s="144" t="str">
        <f ca="1">IFERROR(__xludf.DUMMYFUNCTION("IF(VLOOKUP($Y317, IMPORTRANGE(""https://docs.google.com/spreadsheets/d/1WsTKRjz8_fF2119Ff9dhKIIYXSaUEHzuWr8pBkxmwQQ/edit"", ""Form Responses 1!$B:$Z""),1, FALSE)=$Y317,""Yes"",""No"")"),"#N/A")</f>
        <v>#N/A</v>
      </c>
      <c r="AA317" s="144"/>
      <c r="AB317" s="144"/>
    </row>
    <row r="318" spans="1:28">
      <c r="A318" s="140" t="s">
        <v>443</v>
      </c>
      <c r="B318" s="140" t="s">
        <v>3268</v>
      </c>
      <c r="C318" s="140" t="s">
        <v>3269</v>
      </c>
      <c r="D318" s="140" t="s">
        <v>3270</v>
      </c>
      <c r="E318" s="140" t="s">
        <v>3271</v>
      </c>
      <c r="F318" s="140" t="s">
        <v>5</v>
      </c>
      <c r="G318" s="140">
        <v>3.5</v>
      </c>
      <c r="H318" s="140" t="s">
        <v>24</v>
      </c>
      <c r="I318" s="140" t="s">
        <v>447</v>
      </c>
      <c r="J318" s="140" t="s">
        <v>3272</v>
      </c>
      <c r="K318" s="140">
        <v>3.5</v>
      </c>
      <c r="L318" s="140" t="s">
        <v>543</v>
      </c>
      <c r="M318" s="140" t="s">
        <v>3273</v>
      </c>
      <c r="N318" s="140">
        <v>3.5</v>
      </c>
      <c r="O318" s="140" t="s">
        <v>451</v>
      </c>
      <c r="P318" s="148">
        <v>1600000</v>
      </c>
      <c r="Q318" s="140" t="s">
        <v>452</v>
      </c>
      <c r="R318" s="140" t="s">
        <v>3274</v>
      </c>
      <c r="S318" s="140"/>
      <c r="T318" s="140" t="s">
        <v>1477</v>
      </c>
      <c r="U318" s="143"/>
      <c r="V318" s="143"/>
      <c r="W318" s="143"/>
      <c r="X318" s="140" t="s">
        <v>3275</v>
      </c>
      <c r="Y318" s="140" t="s">
        <v>3276</v>
      </c>
      <c r="Z318" s="140" t="str">
        <f ca="1">IFERROR(__xludf.DUMMYFUNCTION("IF(VLOOKUP($Y318, IMPORTRANGE(""https://docs.google.com/spreadsheets/d/1WsTKRjz8_fF2119Ff9dhKIIYXSaUEHzuWr8pBkxmwQQ/edit"", ""Form Responses 1!$B:$Z""),1, FALSE)=$Y318,""Yes"",""No"")"),"#N/A")</f>
        <v>#N/A</v>
      </c>
      <c r="AA318" s="140"/>
      <c r="AB318" s="140"/>
    </row>
    <row r="319" spans="1:28">
      <c r="A319" s="144" t="s">
        <v>598</v>
      </c>
      <c r="B319" s="144" t="s">
        <v>3277</v>
      </c>
      <c r="C319" s="144" t="s">
        <v>3278</v>
      </c>
      <c r="D319" s="144" t="s">
        <v>3279</v>
      </c>
      <c r="E319" s="144" t="s">
        <v>3280</v>
      </c>
      <c r="F319" s="144" t="s">
        <v>5</v>
      </c>
      <c r="G319" s="144">
        <v>3</v>
      </c>
      <c r="H319" s="144" t="s">
        <v>24</v>
      </c>
      <c r="I319" s="144" t="s">
        <v>447</v>
      </c>
      <c r="J319" s="144" t="s">
        <v>3281</v>
      </c>
      <c r="K319" s="144">
        <v>3</v>
      </c>
      <c r="L319" s="144" t="s">
        <v>543</v>
      </c>
      <c r="M319" s="144" t="s">
        <v>3282</v>
      </c>
      <c r="N319" s="144">
        <v>3</v>
      </c>
      <c r="O319" s="144"/>
      <c r="P319" s="144"/>
      <c r="Q319" s="144" t="s">
        <v>452</v>
      </c>
      <c r="R319" s="144" t="s">
        <v>452</v>
      </c>
      <c r="S319" s="144"/>
      <c r="T319" s="144"/>
      <c r="U319" s="145"/>
      <c r="V319" s="145"/>
      <c r="W319" s="145"/>
      <c r="X319" s="144" t="s">
        <v>3283</v>
      </c>
      <c r="Y319" s="144" t="s">
        <v>3284</v>
      </c>
      <c r="Z319" s="144" t="str">
        <f ca="1">IFERROR(__xludf.DUMMYFUNCTION("IF(VLOOKUP($Y319, IMPORTRANGE(""https://docs.google.com/spreadsheets/d/1WsTKRjz8_fF2119Ff9dhKIIYXSaUEHzuWr8pBkxmwQQ/edit"", ""Form Responses 1!$B:$Z""),1, FALSE)=$Y319,""Yes"",""No"")"),"#N/A")</f>
        <v>#N/A</v>
      </c>
      <c r="AA319" s="144"/>
      <c r="AB319" s="144"/>
    </row>
    <row r="320" spans="1:28">
      <c r="A320" s="140" t="s">
        <v>484</v>
      </c>
      <c r="B320" s="140" t="s">
        <v>144</v>
      </c>
      <c r="C320" s="140" t="s">
        <v>3285</v>
      </c>
      <c r="D320" s="140" t="s">
        <v>3286</v>
      </c>
      <c r="E320" s="140" t="s">
        <v>3287</v>
      </c>
      <c r="F320" s="140" t="s">
        <v>5</v>
      </c>
      <c r="G320" s="140">
        <v>3.75</v>
      </c>
      <c r="H320" s="140" t="s">
        <v>24</v>
      </c>
      <c r="I320" s="140" t="s">
        <v>447</v>
      </c>
      <c r="J320" s="140" t="s">
        <v>3288</v>
      </c>
      <c r="K320" s="140">
        <v>3.5</v>
      </c>
      <c r="L320" s="140" t="s">
        <v>449</v>
      </c>
      <c r="M320" s="140" t="s">
        <v>3289</v>
      </c>
      <c r="N320" s="140">
        <v>4</v>
      </c>
      <c r="O320" s="140"/>
      <c r="P320" s="140"/>
      <c r="Q320" s="140" t="s">
        <v>452</v>
      </c>
      <c r="R320" s="140" t="s">
        <v>3290</v>
      </c>
      <c r="S320" s="140"/>
      <c r="T320" s="140" t="s">
        <v>3291</v>
      </c>
      <c r="U320" s="143" t="s">
        <v>481</v>
      </c>
      <c r="V320" s="143"/>
      <c r="W320" s="143"/>
      <c r="X320" s="140" t="s">
        <v>3292</v>
      </c>
      <c r="Y320" s="140" t="s">
        <v>3293</v>
      </c>
      <c r="Z320" s="140" t="str">
        <f ca="1">IFERROR(__xludf.DUMMYFUNCTION("IF(VLOOKUP($Y320, IMPORTRANGE(""https://docs.google.com/spreadsheets/d/1WsTKRjz8_fF2119Ff9dhKIIYXSaUEHzuWr8pBkxmwQQ/edit"", ""Form Responses 1!$B:$Z""),1, FALSE)=$Y320,""Yes"",""No"")"),"#N/A")</f>
        <v>#N/A</v>
      </c>
      <c r="AA320" s="140"/>
      <c r="AB320" s="140"/>
    </row>
    <row r="321" spans="1:28">
      <c r="A321" s="144" t="s">
        <v>471</v>
      </c>
      <c r="B321" s="144" t="s">
        <v>3294</v>
      </c>
      <c r="C321" s="144" t="s">
        <v>3295</v>
      </c>
      <c r="D321" s="144" t="s">
        <v>3296</v>
      </c>
      <c r="E321" s="144" t="s">
        <v>3297</v>
      </c>
      <c r="F321" s="144" t="s">
        <v>5</v>
      </c>
      <c r="G321" s="144">
        <v>2.75</v>
      </c>
      <c r="H321" s="144" t="s">
        <v>24</v>
      </c>
      <c r="I321" s="144" t="s">
        <v>447</v>
      </c>
      <c r="J321" s="144" t="s">
        <v>3298</v>
      </c>
      <c r="K321" s="144">
        <v>3</v>
      </c>
      <c r="L321" s="144" t="s">
        <v>622</v>
      </c>
      <c r="M321" s="144" t="s">
        <v>3299</v>
      </c>
      <c r="N321" s="144">
        <v>2.5</v>
      </c>
      <c r="O321" s="144" t="s">
        <v>784</v>
      </c>
      <c r="P321" s="146">
        <v>500000</v>
      </c>
      <c r="Q321" s="144" t="s">
        <v>452</v>
      </c>
      <c r="R321" s="144" t="s">
        <v>3300</v>
      </c>
      <c r="S321" s="144"/>
      <c r="T321" s="144"/>
      <c r="U321" s="145"/>
      <c r="V321" s="145"/>
      <c r="W321" s="145"/>
      <c r="X321" s="144" t="s">
        <v>3301</v>
      </c>
      <c r="Y321" s="144" t="s">
        <v>3302</v>
      </c>
      <c r="Z321" s="144" t="str">
        <f ca="1">IFERROR(__xludf.DUMMYFUNCTION("IF(VLOOKUP($Y321, IMPORTRANGE(""https://docs.google.com/spreadsheets/d/1WsTKRjz8_fF2119Ff9dhKIIYXSaUEHzuWr8pBkxmwQQ/edit"", ""Form Responses 1!$B:$Z""),1, FALSE)=$Y321,""Yes"",""No"")"),"#N/A")</f>
        <v>#N/A</v>
      </c>
      <c r="AA321" s="144"/>
      <c r="AB321" s="144"/>
    </row>
    <row r="322" spans="1:28">
      <c r="A322" s="140" t="s">
        <v>598</v>
      </c>
      <c r="B322" s="140" t="s">
        <v>3303</v>
      </c>
      <c r="C322" s="140" t="s">
        <v>3304</v>
      </c>
      <c r="D322" s="140" t="s">
        <v>3305</v>
      </c>
      <c r="E322" s="140" t="s">
        <v>3306</v>
      </c>
      <c r="F322" s="140" t="s">
        <v>5</v>
      </c>
      <c r="G322" s="140">
        <v>3</v>
      </c>
      <c r="H322" s="140" t="s">
        <v>24</v>
      </c>
      <c r="I322" s="140" t="s">
        <v>447</v>
      </c>
      <c r="J322" s="140" t="s">
        <v>3307</v>
      </c>
      <c r="K322" s="140">
        <v>3</v>
      </c>
      <c r="L322" s="140" t="s">
        <v>543</v>
      </c>
      <c r="M322" s="140" t="s">
        <v>3308</v>
      </c>
      <c r="N322" s="140">
        <v>3</v>
      </c>
      <c r="O322" s="140" t="s">
        <v>2961</v>
      </c>
      <c r="P322" s="140">
        <v>1500000</v>
      </c>
      <c r="Q322" s="140" t="s">
        <v>454</v>
      </c>
      <c r="R322" s="140" t="s">
        <v>3309</v>
      </c>
      <c r="S322" s="140"/>
      <c r="T322" s="140"/>
      <c r="U322" s="143"/>
      <c r="V322" s="143"/>
      <c r="W322" s="143"/>
      <c r="X322" s="140" t="s">
        <v>3310</v>
      </c>
      <c r="Y322" s="140" t="s">
        <v>3311</v>
      </c>
      <c r="Z322" s="140" t="str">
        <f ca="1">IFERROR(__xludf.DUMMYFUNCTION("IF(VLOOKUP($Y322, IMPORTRANGE(""https://docs.google.com/spreadsheets/d/1WsTKRjz8_fF2119Ff9dhKIIYXSaUEHzuWr8pBkxmwQQ/edit"", ""Form Responses 1!$B:$Z""),1, FALSE)=$Y322,""Yes"",""No"")"),"#N/A")</f>
        <v>#N/A</v>
      </c>
      <c r="AA322" s="140"/>
      <c r="AB322" s="140"/>
    </row>
    <row r="323" spans="1:28">
      <c r="A323" s="144" t="s">
        <v>598</v>
      </c>
      <c r="B323" s="144" t="s">
        <v>3312</v>
      </c>
      <c r="C323" s="144" t="s">
        <v>3313</v>
      </c>
      <c r="D323" s="144" t="s">
        <v>3314</v>
      </c>
      <c r="E323" s="144" t="s">
        <v>3315</v>
      </c>
      <c r="F323" s="144" t="s">
        <v>5</v>
      </c>
      <c r="G323" s="144">
        <v>3</v>
      </c>
      <c r="H323" s="144" t="s">
        <v>24</v>
      </c>
      <c r="I323" s="144" t="s">
        <v>447</v>
      </c>
      <c r="J323" s="144" t="s">
        <v>3316</v>
      </c>
      <c r="K323" s="144">
        <v>3</v>
      </c>
      <c r="L323" s="144" t="s">
        <v>449</v>
      </c>
      <c r="M323" s="144" t="s">
        <v>3317</v>
      </c>
      <c r="N323" s="144">
        <v>3</v>
      </c>
      <c r="O323" s="144"/>
      <c r="P323" s="144"/>
      <c r="Q323" s="144" t="s">
        <v>465</v>
      </c>
      <c r="R323" s="144" t="s">
        <v>575</v>
      </c>
      <c r="S323" s="144"/>
      <c r="T323" s="144"/>
      <c r="U323" s="145"/>
      <c r="V323" s="145"/>
      <c r="W323" s="145"/>
      <c r="X323" s="144" t="s">
        <v>3318</v>
      </c>
      <c r="Y323" s="144" t="s">
        <v>3319</v>
      </c>
      <c r="Z323" s="144" t="str">
        <f ca="1">IFERROR(__xludf.DUMMYFUNCTION("IF(VLOOKUP($Y323, IMPORTRANGE(""https://docs.google.com/spreadsheets/d/1WsTKRjz8_fF2119Ff9dhKIIYXSaUEHzuWr8pBkxmwQQ/edit"", ""Form Responses 1!$B:$Z""),1, FALSE)=$Y323,""Yes"",""No"")"),"#N/A")</f>
        <v>#N/A</v>
      </c>
      <c r="AA323" s="144"/>
      <c r="AB323" s="144"/>
    </row>
    <row r="324" spans="1:28">
      <c r="A324" s="140" t="s">
        <v>443</v>
      </c>
      <c r="B324" s="140" t="s">
        <v>3320</v>
      </c>
      <c r="C324" s="140" t="s">
        <v>3321</v>
      </c>
      <c r="D324" s="140" t="s">
        <v>3322</v>
      </c>
      <c r="E324" s="140" t="s">
        <v>3323</v>
      </c>
      <c r="F324" s="140" t="s">
        <v>5</v>
      </c>
      <c r="G324" s="140">
        <v>3</v>
      </c>
      <c r="H324" s="140" t="s">
        <v>24</v>
      </c>
      <c r="I324" s="140" t="s">
        <v>447</v>
      </c>
      <c r="J324" s="140" t="s">
        <v>3324</v>
      </c>
      <c r="K324" s="140">
        <v>3</v>
      </c>
      <c r="L324" s="140" t="s">
        <v>543</v>
      </c>
      <c r="M324" s="140" t="s">
        <v>3325</v>
      </c>
      <c r="N324" s="140">
        <v>3</v>
      </c>
      <c r="O324" s="140" t="s">
        <v>451</v>
      </c>
      <c r="P324" s="148">
        <v>1200000</v>
      </c>
      <c r="Q324" s="140" t="s">
        <v>452</v>
      </c>
      <c r="R324" s="140" t="s">
        <v>3326</v>
      </c>
      <c r="S324" s="140" t="s">
        <v>3327</v>
      </c>
      <c r="T324" s="140"/>
      <c r="U324" s="143"/>
      <c r="V324" s="143"/>
      <c r="W324" s="143"/>
      <c r="X324" s="140" t="s">
        <v>3328</v>
      </c>
      <c r="Y324" s="140" t="s">
        <v>3329</v>
      </c>
      <c r="Z324" s="140" t="str">
        <f ca="1">IFERROR(__xludf.DUMMYFUNCTION("IF(VLOOKUP($Y324, IMPORTRANGE(""https://docs.google.com/spreadsheets/d/1WsTKRjz8_fF2119Ff9dhKIIYXSaUEHzuWr8pBkxmwQQ/edit"", ""Form Responses 1!$B:$Z""),1, FALSE)=$Y324,""Yes"",""No"")"),"#N/A")</f>
        <v>#N/A</v>
      </c>
      <c r="AA324" s="140"/>
      <c r="AB324" s="140"/>
    </row>
    <row r="325" spans="1:28">
      <c r="A325" s="144" t="s">
        <v>443</v>
      </c>
      <c r="B325" s="144" t="s">
        <v>3330</v>
      </c>
      <c r="C325" s="144" t="s">
        <v>3331</v>
      </c>
      <c r="D325" s="144" t="s">
        <v>3332</v>
      </c>
      <c r="E325" s="144" t="s">
        <v>3333</v>
      </c>
      <c r="F325" s="144" t="s">
        <v>5</v>
      </c>
      <c r="G325" s="144">
        <v>2.5</v>
      </c>
      <c r="H325" s="144" t="s">
        <v>24</v>
      </c>
      <c r="I325" s="144" t="s">
        <v>447</v>
      </c>
      <c r="J325" s="144" t="s">
        <v>3334</v>
      </c>
      <c r="K325" s="144">
        <v>3</v>
      </c>
      <c r="L325" s="144" t="s">
        <v>449</v>
      </c>
      <c r="M325" s="144" t="s">
        <v>3335</v>
      </c>
      <c r="N325" s="144">
        <v>2</v>
      </c>
      <c r="O325" s="144" t="s">
        <v>784</v>
      </c>
      <c r="P325" s="144" t="s">
        <v>3336</v>
      </c>
      <c r="Q325" s="144" t="s">
        <v>454</v>
      </c>
      <c r="R325" s="144" t="s">
        <v>3337</v>
      </c>
      <c r="S325" s="144"/>
      <c r="T325" s="144"/>
      <c r="U325" s="145"/>
      <c r="V325" s="145"/>
      <c r="W325" s="145"/>
      <c r="X325" s="144" t="s">
        <v>3338</v>
      </c>
      <c r="Y325" s="144" t="s">
        <v>3339</v>
      </c>
      <c r="Z325" s="144" t="str">
        <f ca="1">IFERROR(__xludf.DUMMYFUNCTION("IF(VLOOKUP($Y325, IMPORTRANGE(""https://docs.google.com/spreadsheets/d/1WsTKRjz8_fF2119Ff9dhKIIYXSaUEHzuWr8pBkxmwQQ/edit"", ""Form Responses 1!$B:$Z""),1, FALSE)=$Y325,""Yes"",""No"")"),"#N/A")</f>
        <v>#N/A</v>
      </c>
      <c r="AA325" s="144"/>
      <c r="AB325" s="144"/>
    </row>
    <row r="326" spans="1:28">
      <c r="A326" s="140" t="s">
        <v>529</v>
      </c>
      <c r="B326" s="140" t="s">
        <v>3340</v>
      </c>
      <c r="C326" s="140" t="s">
        <v>3341</v>
      </c>
      <c r="D326" s="140" t="s">
        <v>3342</v>
      </c>
      <c r="E326" s="140"/>
      <c r="F326" s="140" t="s">
        <v>5</v>
      </c>
      <c r="G326" s="140">
        <v>2.5</v>
      </c>
      <c r="H326" s="140" t="s">
        <v>24</v>
      </c>
      <c r="I326" s="140" t="s">
        <v>447</v>
      </c>
      <c r="J326" s="140" t="s">
        <v>3343</v>
      </c>
      <c r="K326" s="140">
        <v>2</v>
      </c>
      <c r="L326" s="140" t="s">
        <v>449</v>
      </c>
      <c r="M326" s="140" t="s">
        <v>3344</v>
      </c>
      <c r="N326" s="140">
        <v>3</v>
      </c>
      <c r="O326" s="140" t="s">
        <v>913</v>
      </c>
      <c r="P326" s="140" t="s">
        <v>3345</v>
      </c>
      <c r="Q326" s="140" t="s">
        <v>452</v>
      </c>
      <c r="R326" s="140" t="s">
        <v>3346</v>
      </c>
      <c r="S326" s="140"/>
      <c r="T326" s="140"/>
      <c r="U326" s="143"/>
      <c r="V326" s="143"/>
      <c r="W326" s="143"/>
      <c r="X326" s="140" t="s">
        <v>3347</v>
      </c>
      <c r="Y326" s="140" t="s">
        <v>3348</v>
      </c>
      <c r="Z326" s="140" t="str">
        <f ca="1">IFERROR(__xludf.DUMMYFUNCTION("IF(VLOOKUP($Y326, IMPORTRANGE(""https://docs.google.com/spreadsheets/d/1WsTKRjz8_fF2119Ff9dhKIIYXSaUEHzuWr8pBkxmwQQ/edit"", ""Form Responses 1!$B:$Z""),1, FALSE)=$Y326,""Yes"",""No"")"),"#N/A")</f>
        <v>#N/A</v>
      </c>
      <c r="AA326" s="140"/>
      <c r="AB326" s="140"/>
    </row>
    <row r="327" spans="1:28">
      <c r="A327" s="144" t="s">
        <v>598</v>
      </c>
      <c r="B327" s="144" t="s">
        <v>3349</v>
      </c>
      <c r="C327" s="144" t="s">
        <v>3350</v>
      </c>
      <c r="D327" s="144" t="s">
        <v>3351</v>
      </c>
      <c r="E327" s="144" t="s">
        <v>3352</v>
      </c>
      <c r="F327" s="144" t="s">
        <v>5</v>
      </c>
      <c r="G327" s="144">
        <v>3</v>
      </c>
      <c r="H327" s="144" t="s">
        <v>24</v>
      </c>
      <c r="I327" s="144" t="s">
        <v>447</v>
      </c>
      <c r="J327" s="144" t="s">
        <v>3353</v>
      </c>
      <c r="K327" s="144">
        <v>3</v>
      </c>
      <c r="L327" s="144" t="s">
        <v>622</v>
      </c>
      <c r="M327" s="144" t="s">
        <v>3354</v>
      </c>
      <c r="N327" s="144">
        <v>3</v>
      </c>
      <c r="O327" s="144" t="s">
        <v>784</v>
      </c>
      <c r="P327" s="147">
        <v>500000</v>
      </c>
      <c r="Q327" s="144" t="s">
        <v>452</v>
      </c>
      <c r="R327" s="144" t="s">
        <v>3355</v>
      </c>
      <c r="S327" s="144"/>
      <c r="T327" s="144"/>
      <c r="U327" s="145"/>
      <c r="V327" s="145"/>
      <c r="W327" s="145"/>
      <c r="X327" s="144" t="s">
        <v>3356</v>
      </c>
      <c r="Y327" s="144" t="s">
        <v>3357</v>
      </c>
      <c r="Z327" s="144" t="str">
        <f ca="1">IFERROR(__xludf.DUMMYFUNCTION("IF(VLOOKUP($Y327, IMPORTRANGE(""https://docs.google.com/spreadsheets/d/1WsTKRjz8_fF2119Ff9dhKIIYXSaUEHzuWr8pBkxmwQQ/edit"", ""Form Responses 1!$B:$Z""),1, FALSE)=$Y327,""Yes"",""No"")"),"#N/A")</f>
        <v>#N/A</v>
      </c>
      <c r="AA327" s="144"/>
      <c r="AB327" s="144"/>
    </row>
    <row r="328" spans="1:28">
      <c r="A328" s="140" t="s">
        <v>598</v>
      </c>
      <c r="B328" s="140" t="s">
        <v>3358</v>
      </c>
      <c r="C328" s="140" t="s">
        <v>3359</v>
      </c>
      <c r="D328" s="140" t="s">
        <v>3360</v>
      </c>
      <c r="E328" s="140" t="s">
        <v>3361</v>
      </c>
      <c r="F328" s="140" t="s">
        <v>5</v>
      </c>
      <c r="G328" s="140">
        <v>2.75</v>
      </c>
      <c r="H328" s="140" t="s">
        <v>24</v>
      </c>
      <c r="I328" s="140" t="s">
        <v>447</v>
      </c>
      <c r="J328" s="140" t="s">
        <v>3362</v>
      </c>
      <c r="K328" s="140">
        <v>2</v>
      </c>
      <c r="L328" s="140" t="s">
        <v>449</v>
      </c>
      <c r="M328" s="140" t="s">
        <v>3363</v>
      </c>
      <c r="N328" s="140">
        <v>3.5</v>
      </c>
      <c r="O328" s="140"/>
      <c r="P328" s="140"/>
      <c r="Q328" s="140" t="s">
        <v>452</v>
      </c>
      <c r="R328" s="140" t="s">
        <v>3364</v>
      </c>
      <c r="S328" s="140"/>
      <c r="T328" s="140"/>
      <c r="U328" s="143"/>
      <c r="V328" s="143"/>
      <c r="W328" s="143"/>
      <c r="X328" s="140" t="s">
        <v>3365</v>
      </c>
      <c r="Y328" s="140" t="s">
        <v>3366</v>
      </c>
      <c r="Z328" s="140" t="str">
        <f ca="1">IFERROR(__xludf.DUMMYFUNCTION("IF(VLOOKUP($Y328, IMPORTRANGE(""https://docs.google.com/spreadsheets/d/1WsTKRjz8_fF2119Ff9dhKIIYXSaUEHzuWr8pBkxmwQQ/edit"", ""Form Responses 1!$B:$Z""),1, FALSE)=$Y328,""Yes"",""No"")"),"#N/A")</f>
        <v>#N/A</v>
      </c>
      <c r="AA328" s="140"/>
      <c r="AB328" s="140"/>
    </row>
    <row r="329" spans="1:28">
      <c r="A329" s="144" t="s">
        <v>598</v>
      </c>
      <c r="B329" s="144" t="s">
        <v>3367</v>
      </c>
      <c r="C329" s="144" t="s">
        <v>3368</v>
      </c>
      <c r="D329" s="144" t="s">
        <v>3369</v>
      </c>
      <c r="E329" s="144" t="s">
        <v>3370</v>
      </c>
      <c r="F329" s="144" t="s">
        <v>5</v>
      </c>
      <c r="G329" s="144">
        <v>3</v>
      </c>
      <c r="H329" s="144" t="s">
        <v>24</v>
      </c>
      <c r="I329" s="144" t="s">
        <v>460</v>
      </c>
      <c r="J329" s="144" t="s">
        <v>3371</v>
      </c>
      <c r="K329" s="144">
        <v>3</v>
      </c>
      <c r="L329" s="144" t="s">
        <v>462</v>
      </c>
      <c r="M329" s="144" t="s">
        <v>3372</v>
      </c>
      <c r="N329" s="144">
        <v>3</v>
      </c>
      <c r="O329" s="144"/>
      <c r="P329" s="144"/>
      <c r="Q329" s="144" t="s">
        <v>452</v>
      </c>
      <c r="R329" s="144" t="s">
        <v>3373</v>
      </c>
      <c r="S329" s="144" t="s">
        <v>460</v>
      </c>
      <c r="T329" s="144" t="s">
        <v>3374</v>
      </c>
      <c r="U329" s="145"/>
      <c r="V329" s="145"/>
      <c r="W329" s="145"/>
      <c r="X329" s="144" t="s">
        <v>3375</v>
      </c>
      <c r="Y329" s="144" t="s">
        <v>3376</v>
      </c>
      <c r="Z329" s="144" t="str">
        <f ca="1">IFERROR(__xludf.DUMMYFUNCTION("IF(VLOOKUP($Y329, IMPORTRANGE(""https://docs.google.com/spreadsheets/d/1WsTKRjz8_fF2119Ff9dhKIIYXSaUEHzuWr8pBkxmwQQ/edit"", ""Form Responses 1!$B:$Z""),1, FALSE)=$Y329,""Yes"",""No"")"),"#N/A")</f>
        <v>#N/A</v>
      </c>
      <c r="AA329" s="144"/>
      <c r="AB329" s="144"/>
    </row>
    <row r="330" spans="1:28">
      <c r="A330" s="140" t="s">
        <v>471</v>
      </c>
      <c r="B330" s="140" t="s">
        <v>3377</v>
      </c>
      <c r="C330" s="140" t="s">
        <v>3378</v>
      </c>
      <c r="D330" s="140" t="s">
        <v>3379</v>
      </c>
      <c r="E330" s="140" t="s">
        <v>3380</v>
      </c>
      <c r="F330" s="140" t="s">
        <v>5</v>
      </c>
      <c r="G330" s="140">
        <v>3.25</v>
      </c>
      <c r="H330" s="140" t="s">
        <v>24</v>
      </c>
      <c r="I330" s="140" t="s">
        <v>447</v>
      </c>
      <c r="J330" s="140" t="s">
        <v>3381</v>
      </c>
      <c r="K330" s="140">
        <v>3.5</v>
      </c>
      <c r="L330" s="140" t="s">
        <v>476</v>
      </c>
      <c r="M330" s="140" t="s">
        <v>3382</v>
      </c>
      <c r="N330" s="140">
        <v>3</v>
      </c>
      <c r="O330" s="140" t="s">
        <v>478</v>
      </c>
      <c r="P330" s="148">
        <v>5000000</v>
      </c>
      <c r="Q330" s="140" t="s">
        <v>3383</v>
      </c>
      <c r="R330" s="140" t="s">
        <v>3384</v>
      </c>
      <c r="S330" s="140"/>
      <c r="T330" s="140"/>
      <c r="U330" s="143"/>
      <c r="V330" s="143"/>
      <c r="W330" s="143"/>
      <c r="X330" s="140" t="s">
        <v>3385</v>
      </c>
      <c r="Y330" s="140" t="s">
        <v>3386</v>
      </c>
      <c r="Z330" s="140" t="str">
        <f ca="1">IFERROR(__xludf.DUMMYFUNCTION("IF(VLOOKUP($Y330, IMPORTRANGE(""https://docs.google.com/spreadsheets/d/1WsTKRjz8_fF2119Ff9dhKIIYXSaUEHzuWr8pBkxmwQQ/edit"", ""Form Responses 1!$B:$Z""),1, FALSE)=$Y330,""Yes"",""No"")"),"#N/A")</f>
        <v>#N/A</v>
      </c>
      <c r="AA330" s="140"/>
      <c r="AB330" s="140"/>
    </row>
    <row r="331" spans="1:28">
      <c r="A331" s="144" t="s">
        <v>443</v>
      </c>
      <c r="B331" s="144" t="s">
        <v>3387</v>
      </c>
      <c r="C331" s="144" t="s">
        <v>3388</v>
      </c>
      <c r="D331" s="144" t="s">
        <v>3389</v>
      </c>
      <c r="E331" s="144" t="s">
        <v>3390</v>
      </c>
      <c r="F331" s="144" t="s">
        <v>5</v>
      </c>
      <c r="G331" s="144">
        <v>3</v>
      </c>
      <c r="H331" s="144" t="s">
        <v>24</v>
      </c>
      <c r="I331" s="144" t="s">
        <v>447</v>
      </c>
      <c r="J331" s="144"/>
      <c r="K331" s="144">
        <v>3</v>
      </c>
      <c r="L331" s="144" t="s">
        <v>543</v>
      </c>
      <c r="M331" s="144" t="s">
        <v>3391</v>
      </c>
      <c r="N331" s="144">
        <v>3</v>
      </c>
      <c r="O331" s="144"/>
      <c r="P331" s="144"/>
      <c r="Q331" s="144" t="s">
        <v>452</v>
      </c>
      <c r="R331" s="144" t="s">
        <v>3392</v>
      </c>
      <c r="S331" s="144"/>
      <c r="T331" s="144"/>
      <c r="U331" s="145"/>
      <c r="V331" s="145"/>
      <c r="W331" s="145"/>
      <c r="X331" s="144" t="s">
        <v>3393</v>
      </c>
      <c r="Y331" s="144" t="s">
        <v>3394</v>
      </c>
      <c r="Z331" s="144" t="str">
        <f ca="1">IFERROR(__xludf.DUMMYFUNCTION("IF(VLOOKUP($Y331, IMPORTRANGE(""https://docs.google.com/spreadsheets/d/1WsTKRjz8_fF2119Ff9dhKIIYXSaUEHzuWr8pBkxmwQQ/edit"", ""Form Responses 1!$B:$Z""),1, FALSE)=$Y331,""Yes"",""No"")"),"#N/A")</f>
        <v>#N/A</v>
      </c>
      <c r="AA331" s="144"/>
      <c r="AB331" s="144"/>
    </row>
    <row r="332" spans="1:28">
      <c r="A332" s="140" t="s">
        <v>484</v>
      </c>
      <c r="B332" s="140" t="s">
        <v>3395</v>
      </c>
      <c r="C332" s="140" t="s">
        <v>3396</v>
      </c>
      <c r="D332" s="140" t="s">
        <v>3397</v>
      </c>
      <c r="E332" s="140" t="s">
        <v>3398</v>
      </c>
      <c r="F332" s="140" t="s">
        <v>5</v>
      </c>
      <c r="G332" s="140">
        <v>3</v>
      </c>
      <c r="H332" s="140" t="s">
        <v>24</v>
      </c>
      <c r="I332" s="140" t="s">
        <v>447</v>
      </c>
      <c r="J332" s="140" t="s">
        <v>3399</v>
      </c>
      <c r="K332" s="140">
        <v>3</v>
      </c>
      <c r="L332" s="140" t="s">
        <v>543</v>
      </c>
      <c r="M332" s="140" t="s">
        <v>3400</v>
      </c>
      <c r="N332" s="140">
        <v>3</v>
      </c>
      <c r="O332" s="140" t="s">
        <v>451</v>
      </c>
      <c r="P332" s="140">
        <v>1000000</v>
      </c>
      <c r="Q332" s="140" t="s">
        <v>452</v>
      </c>
      <c r="R332" s="140" t="s">
        <v>3401</v>
      </c>
      <c r="S332" s="140"/>
      <c r="T332" s="140" t="s">
        <v>2260</v>
      </c>
      <c r="U332" s="143"/>
      <c r="V332" s="143"/>
      <c r="W332" s="143"/>
      <c r="X332" s="140" t="s">
        <v>3402</v>
      </c>
      <c r="Y332" s="140" t="s">
        <v>3403</v>
      </c>
      <c r="Z332" s="140" t="str">
        <f ca="1">IFERROR(__xludf.DUMMYFUNCTION("IF(VLOOKUP($Y332, IMPORTRANGE(""https://docs.google.com/spreadsheets/d/1WsTKRjz8_fF2119Ff9dhKIIYXSaUEHzuWr8pBkxmwQQ/edit"", ""Form Responses 1!$B:$Z""),1, FALSE)=$Y332,""Yes"",""No"")"),"#N/A")</f>
        <v>#N/A</v>
      </c>
      <c r="AA332" s="140"/>
      <c r="AB332" s="140"/>
    </row>
    <row r="333" spans="1:28">
      <c r="A333" s="144" t="s">
        <v>484</v>
      </c>
      <c r="B333" s="144" t="s">
        <v>150</v>
      </c>
      <c r="C333" s="144" t="s">
        <v>3404</v>
      </c>
      <c r="D333" s="144" t="s">
        <v>3405</v>
      </c>
      <c r="E333" s="144" t="s">
        <v>3406</v>
      </c>
      <c r="F333" s="144" t="s">
        <v>5</v>
      </c>
      <c r="G333" s="144">
        <v>4.5</v>
      </c>
      <c r="H333" s="144" t="s">
        <v>24</v>
      </c>
      <c r="I333" s="144" t="s">
        <v>460</v>
      </c>
      <c r="J333" s="144" t="s">
        <v>3407</v>
      </c>
      <c r="K333" s="144">
        <v>4.5</v>
      </c>
      <c r="L333" s="144" t="s">
        <v>462</v>
      </c>
      <c r="M333" s="144" t="s">
        <v>3408</v>
      </c>
      <c r="N333" s="144">
        <v>4.5</v>
      </c>
      <c r="O333" s="144"/>
      <c r="P333" s="144"/>
      <c r="Q333" s="144" t="s">
        <v>452</v>
      </c>
      <c r="R333" s="144" t="s">
        <v>3409</v>
      </c>
      <c r="S333" s="144"/>
      <c r="T333" s="144" t="s">
        <v>3410</v>
      </c>
      <c r="U333" s="145" t="s">
        <v>454</v>
      </c>
      <c r="V333" s="145"/>
      <c r="W333" s="145"/>
      <c r="X333" s="144" t="s">
        <v>3411</v>
      </c>
      <c r="Y333" s="144" t="s">
        <v>3412</v>
      </c>
      <c r="Z333" s="144" t="str">
        <f ca="1">IFERROR(__xludf.DUMMYFUNCTION("IF(VLOOKUP($Y333, IMPORTRANGE(""https://docs.google.com/spreadsheets/d/1WsTKRjz8_fF2119Ff9dhKIIYXSaUEHzuWr8pBkxmwQQ/edit"", ""Form Responses 1!$B:$Z""),1, FALSE)=$Y333,""Yes"",""No"")"),"#N/A")</f>
        <v>#N/A</v>
      </c>
      <c r="AA333" s="144"/>
      <c r="AB333" s="144"/>
    </row>
    <row r="334" spans="1:28">
      <c r="A334" s="140" t="s">
        <v>503</v>
      </c>
      <c r="B334" s="140" t="s">
        <v>3413</v>
      </c>
      <c r="C334" s="140" t="s">
        <v>3414</v>
      </c>
      <c r="D334" s="140" t="s">
        <v>3415</v>
      </c>
      <c r="E334" s="140" t="s">
        <v>3416</v>
      </c>
      <c r="F334" s="140" t="s">
        <v>5</v>
      </c>
      <c r="G334" s="140">
        <v>1.5</v>
      </c>
      <c r="H334" s="140" t="s">
        <v>24</v>
      </c>
      <c r="I334" s="140" t="s">
        <v>447</v>
      </c>
      <c r="J334" s="140" t="s">
        <v>3417</v>
      </c>
      <c r="K334" s="140">
        <v>1</v>
      </c>
      <c r="L334" s="140" t="s">
        <v>449</v>
      </c>
      <c r="M334" s="140" t="s">
        <v>3418</v>
      </c>
      <c r="N334" s="140">
        <v>2</v>
      </c>
      <c r="O334" s="140"/>
      <c r="P334" s="140" t="s">
        <v>3419</v>
      </c>
      <c r="Q334" s="140" t="s">
        <v>452</v>
      </c>
      <c r="R334" s="140" t="s">
        <v>3420</v>
      </c>
      <c r="S334" s="140"/>
      <c r="T334" s="140" t="s">
        <v>3421</v>
      </c>
      <c r="U334" s="143"/>
      <c r="V334" s="143"/>
      <c r="W334" s="143"/>
      <c r="X334" s="140" t="s">
        <v>3422</v>
      </c>
      <c r="Y334" s="140" t="s">
        <v>3423</v>
      </c>
      <c r="Z334" s="140" t="str">
        <f ca="1">IFERROR(__xludf.DUMMYFUNCTION("IF(VLOOKUP($Y334, IMPORTRANGE(""https://docs.google.com/spreadsheets/d/1WsTKRjz8_fF2119Ff9dhKIIYXSaUEHzuWr8pBkxmwQQ/edit"", ""Form Responses 1!$B:$Z""),1, FALSE)=$Y334,""Yes"",""No"")"),"#N/A")</f>
        <v>#N/A</v>
      </c>
      <c r="AA334" s="140"/>
      <c r="AB334" s="140"/>
    </row>
    <row r="335" spans="1:28">
      <c r="A335" s="144" t="s">
        <v>503</v>
      </c>
      <c r="B335" s="144" t="s">
        <v>3424</v>
      </c>
      <c r="C335" s="144" t="s">
        <v>3425</v>
      </c>
      <c r="D335" s="144" t="s">
        <v>3426</v>
      </c>
      <c r="E335" s="144" t="s">
        <v>3427</v>
      </c>
      <c r="F335" s="144" t="s">
        <v>5</v>
      </c>
      <c r="G335" s="144">
        <v>2.5</v>
      </c>
      <c r="H335" s="144" t="s">
        <v>24</v>
      </c>
      <c r="I335" s="144" t="s">
        <v>447</v>
      </c>
      <c r="J335" s="144" t="s">
        <v>3428</v>
      </c>
      <c r="K335" s="144">
        <v>3</v>
      </c>
      <c r="L335" s="144" t="s">
        <v>449</v>
      </c>
      <c r="M335" s="144" t="s">
        <v>3429</v>
      </c>
      <c r="N335" s="144">
        <v>2</v>
      </c>
      <c r="O335" s="144"/>
      <c r="P335" s="144"/>
      <c r="Q335" s="144" t="s">
        <v>452</v>
      </c>
      <c r="R335" s="144" t="s">
        <v>452</v>
      </c>
      <c r="S335" s="144"/>
      <c r="T335" s="144"/>
      <c r="U335" s="145"/>
      <c r="V335" s="145"/>
      <c r="W335" s="145"/>
      <c r="X335" s="144" t="s">
        <v>3430</v>
      </c>
      <c r="Y335" s="144" t="s">
        <v>3431</v>
      </c>
      <c r="Z335" s="144" t="str">
        <f ca="1">IFERROR(__xludf.DUMMYFUNCTION("IF(VLOOKUP($Y335, IMPORTRANGE(""https://docs.google.com/spreadsheets/d/1WsTKRjz8_fF2119Ff9dhKIIYXSaUEHzuWr8pBkxmwQQ/edit"", ""Form Responses 1!$B:$Z""),1, FALSE)=$Y335,""Yes"",""No"")"),"#N/A")</f>
        <v>#N/A</v>
      </c>
      <c r="AA335" s="144"/>
      <c r="AB335" s="144"/>
    </row>
    <row r="336" spans="1:28">
      <c r="A336" s="140" t="s">
        <v>484</v>
      </c>
      <c r="B336" s="140" t="s">
        <v>3432</v>
      </c>
      <c r="C336" s="140" t="s">
        <v>3433</v>
      </c>
      <c r="D336" s="140" t="s">
        <v>3434</v>
      </c>
      <c r="E336" s="140" t="s">
        <v>3435</v>
      </c>
      <c r="F336" s="140" t="s">
        <v>5</v>
      </c>
      <c r="G336" s="140">
        <v>3</v>
      </c>
      <c r="H336" s="140" t="s">
        <v>24</v>
      </c>
      <c r="I336" s="140" t="s">
        <v>447</v>
      </c>
      <c r="J336" s="140" t="s">
        <v>3436</v>
      </c>
      <c r="K336" s="140">
        <v>3</v>
      </c>
      <c r="L336" s="140" t="s">
        <v>476</v>
      </c>
      <c r="M336" s="140" t="s">
        <v>3437</v>
      </c>
      <c r="N336" s="140">
        <v>3</v>
      </c>
      <c r="O336" s="140"/>
      <c r="P336" s="140"/>
      <c r="Q336" s="140" t="s">
        <v>465</v>
      </c>
      <c r="R336" s="140" t="s">
        <v>452</v>
      </c>
      <c r="S336" s="140"/>
      <c r="T336" s="140" t="s">
        <v>3438</v>
      </c>
      <c r="U336" s="143"/>
      <c r="V336" s="143"/>
      <c r="W336" s="143"/>
      <c r="X336" s="140" t="s">
        <v>3439</v>
      </c>
      <c r="Y336" s="140" t="s">
        <v>3440</v>
      </c>
      <c r="Z336" s="140" t="str">
        <f ca="1">IFERROR(__xludf.DUMMYFUNCTION("IF(VLOOKUP($Y336, IMPORTRANGE(""https://docs.google.com/spreadsheets/d/1WsTKRjz8_fF2119Ff9dhKIIYXSaUEHzuWr8pBkxmwQQ/edit"", ""Form Responses 1!$B:$Z""),1, FALSE)=$Y336,""Yes"",""No"")"),"#N/A")</f>
        <v>#N/A</v>
      </c>
      <c r="AA336" s="140"/>
      <c r="AB336" s="140"/>
    </row>
    <row r="337" spans="1:28">
      <c r="A337" s="144" t="s">
        <v>471</v>
      </c>
      <c r="B337" s="144" t="s">
        <v>3441</v>
      </c>
      <c r="C337" s="144" t="s">
        <v>3442</v>
      </c>
      <c r="D337" s="144" t="s">
        <v>3443</v>
      </c>
      <c r="E337" s="144" t="s">
        <v>3444</v>
      </c>
      <c r="F337" s="144" t="s">
        <v>5</v>
      </c>
      <c r="G337" s="144">
        <v>2.25</v>
      </c>
      <c r="H337" s="144" t="s">
        <v>24</v>
      </c>
      <c r="I337" s="144" t="s">
        <v>447</v>
      </c>
      <c r="J337" s="144" t="s">
        <v>3445</v>
      </c>
      <c r="K337" s="144">
        <v>2</v>
      </c>
      <c r="L337" s="144" t="s">
        <v>476</v>
      </c>
      <c r="M337" s="144" t="s">
        <v>3446</v>
      </c>
      <c r="N337" s="144">
        <v>2.5</v>
      </c>
      <c r="O337" s="144"/>
      <c r="P337" s="144"/>
      <c r="Q337" s="144" t="s">
        <v>452</v>
      </c>
      <c r="R337" s="144" t="s">
        <v>3447</v>
      </c>
      <c r="S337" s="144"/>
      <c r="T337" s="144"/>
      <c r="U337" s="145"/>
      <c r="V337" s="145"/>
      <c r="W337" s="145"/>
      <c r="X337" s="144" t="s">
        <v>905</v>
      </c>
      <c r="Y337" s="144" t="s">
        <v>3448</v>
      </c>
      <c r="Z337" s="144" t="str">
        <f ca="1">IFERROR(__xludf.DUMMYFUNCTION("IF(VLOOKUP($Y337, IMPORTRANGE(""https://docs.google.com/spreadsheets/d/1WsTKRjz8_fF2119Ff9dhKIIYXSaUEHzuWr8pBkxmwQQ/edit"", ""Form Responses 1!$B:$Z""),1, FALSE)=$Y337,""Yes"",""No"")"),"#N/A")</f>
        <v>#N/A</v>
      </c>
      <c r="AA337" s="144"/>
      <c r="AB337" s="144"/>
    </row>
    <row r="338" spans="1:28">
      <c r="A338" s="140" t="s">
        <v>598</v>
      </c>
      <c r="B338" s="140" t="s">
        <v>3449</v>
      </c>
      <c r="C338" s="140" t="s">
        <v>3450</v>
      </c>
      <c r="D338" s="140" t="s">
        <v>3451</v>
      </c>
      <c r="E338" s="140" t="s">
        <v>3452</v>
      </c>
      <c r="F338" s="140" t="s">
        <v>5</v>
      </c>
      <c r="G338" s="140">
        <v>2.25</v>
      </c>
      <c r="H338" s="140" t="s">
        <v>24</v>
      </c>
      <c r="I338" s="140" t="s">
        <v>447</v>
      </c>
      <c r="J338" s="140" t="s">
        <v>3453</v>
      </c>
      <c r="K338" s="140">
        <v>2.5</v>
      </c>
      <c r="L338" s="140" t="s">
        <v>543</v>
      </c>
      <c r="M338" s="140" t="s">
        <v>3454</v>
      </c>
      <c r="N338" s="140">
        <v>2</v>
      </c>
      <c r="O338" s="140"/>
      <c r="P338" s="140"/>
      <c r="Q338" s="140" t="s">
        <v>454</v>
      </c>
      <c r="R338" s="140" t="s">
        <v>452</v>
      </c>
      <c r="S338" s="140"/>
      <c r="T338" s="140"/>
      <c r="U338" s="143"/>
      <c r="V338" s="143"/>
      <c r="W338" s="143"/>
      <c r="X338" s="140" t="s">
        <v>3455</v>
      </c>
      <c r="Y338" s="140" t="s">
        <v>3456</v>
      </c>
      <c r="Z338" s="140" t="str">
        <f ca="1">IFERROR(__xludf.DUMMYFUNCTION("IF(VLOOKUP($Y338, IMPORTRANGE(""https://docs.google.com/spreadsheets/d/1WsTKRjz8_fF2119Ff9dhKIIYXSaUEHzuWr8pBkxmwQQ/edit"", ""Form Responses 1!$B:$Z""),1, FALSE)=$Y338,""Yes"",""No"")"),"#N/A")</f>
        <v>#N/A</v>
      </c>
      <c r="AA338" s="140"/>
      <c r="AB338" s="140"/>
    </row>
    <row r="339" spans="1:28">
      <c r="A339" s="144" t="s">
        <v>443</v>
      </c>
      <c r="B339" s="144" t="s">
        <v>3457</v>
      </c>
      <c r="C339" s="144" t="s">
        <v>3458</v>
      </c>
      <c r="D339" s="144" t="s">
        <v>3459</v>
      </c>
      <c r="E339" s="144" t="s">
        <v>3460</v>
      </c>
      <c r="F339" s="144" t="s">
        <v>5</v>
      </c>
      <c r="G339" s="144">
        <v>2.75</v>
      </c>
      <c r="H339" s="144" t="s">
        <v>24</v>
      </c>
      <c r="I339" s="144" t="s">
        <v>447</v>
      </c>
      <c r="J339" s="144" t="s">
        <v>3461</v>
      </c>
      <c r="K339" s="144">
        <v>3</v>
      </c>
      <c r="L339" s="144" t="s">
        <v>622</v>
      </c>
      <c r="M339" s="144" t="s">
        <v>3462</v>
      </c>
      <c r="N339" s="144">
        <v>2.5</v>
      </c>
      <c r="O339" s="144"/>
      <c r="P339" s="144"/>
      <c r="Q339" s="144" t="s">
        <v>452</v>
      </c>
      <c r="R339" s="144" t="s">
        <v>1119</v>
      </c>
      <c r="S339" s="144" t="s">
        <v>3463</v>
      </c>
      <c r="T339" s="144"/>
      <c r="U339" s="145"/>
      <c r="V339" s="145"/>
      <c r="W339" s="145"/>
      <c r="X339" s="144" t="s">
        <v>3464</v>
      </c>
      <c r="Y339" s="144" t="s">
        <v>3465</v>
      </c>
      <c r="Z339" s="144" t="str">
        <f ca="1">IFERROR(__xludf.DUMMYFUNCTION("IF(VLOOKUP($Y339, IMPORTRANGE(""https://docs.google.com/spreadsheets/d/1WsTKRjz8_fF2119Ff9dhKIIYXSaUEHzuWr8pBkxmwQQ/edit"", ""Form Responses 1!$B:$Z""),1, FALSE)=$Y339,""Yes"",""No"")"),"#N/A")</f>
        <v>#N/A</v>
      </c>
      <c r="AA339" s="144"/>
      <c r="AB339" s="144"/>
    </row>
    <row r="340" spans="1:28">
      <c r="A340" s="140" t="s">
        <v>443</v>
      </c>
      <c r="B340" s="140" t="s">
        <v>3466</v>
      </c>
      <c r="C340" s="140" t="s">
        <v>3467</v>
      </c>
      <c r="D340" s="140" t="s">
        <v>3468</v>
      </c>
      <c r="E340" s="140" t="s">
        <v>3469</v>
      </c>
      <c r="F340" s="140" t="s">
        <v>5</v>
      </c>
      <c r="G340" s="140">
        <v>3.25</v>
      </c>
      <c r="H340" s="140" t="s">
        <v>24</v>
      </c>
      <c r="I340" s="140" t="s">
        <v>447</v>
      </c>
      <c r="J340" s="140" t="s">
        <v>3470</v>
      </c>
      <c r="K340" s="140">
        <v>3.5</v>
      </c>
      <c r="L340" s="140" t="s">
        <v>449</v>
      </c>
      <c r="M340" s="140" t="s">
        <v>3471</v>
      </c>
      <c r="N340" s="140">
        <v>3</v>
      </c>
      <c r="O340" s="140" t="s">
        <v>3472</v>
      </c>
      <c r="P340" s="140" t="s">
        <v>3473</v>
      </c>
      <c r="Q340" s="140" t="s">
        <v>452</v>
      </c>
      <c r="R340" s="140" t="s">
        <v>3474</v>
      </c>
      <c r="S340" s="140"/>
      <c r="T340" s="140" t="s">
        <v>3475</v>
      </c>
      <c r="U340" s="143"/>
      <c r="V340" s="143"/>
      <c r="W340" s="143"/>
      <c r="X340" s="140" t="s">
        <v>3476</v>
      </c>
      <c r="Y340" s="140" t="s">
        <v>3477</v>
      </c>
      <c r="Z340" s="140" t="str">
        <f ca="1">IFERROR(__xludf.DUMMYFUNCTION("IF(VLOOKUP($Y340, IMPORTRANGE(""https://docs.google.com/spreadsheets/d/1WsTKRjz8_fF2119Ff9dhKIIYXSaUEHzuWr8pBkxmwQQ/edit"", ""Form Responses 1!$B:$Z""),1, FALSE)=$Y340,""Yes"",""No"")"),"#N/A")</f>
        <v>#N/A</v>
      </c>
      <c r="AA340" s="140"/>
      <c r="AB340" s="140"/>
    </row>
    <row r="341" spans="1:28">
      <c r="A341" s="144" t="s">
        <v>443</v>
      </c>
      <c r="B341" s="144" t="s">
        <v>3478</v>
      </c>
      <c r="C341" s="144" t="s">
        <v>3479</v>
      </c>
      <c r="D341" s="144" t="s">
        <v>3480</v>
      </c>
      <c r="E341" s="144" t="s">
        <v>3481</v>
      </c>
      <c r="F341" s="144" t="s">
        <v>5</v>
      </c>
      <c r="G341" s="144">
        <v>3</v>
      </c>
      <c r="H341" s="144" t="s">
        <v>24</v>
      </c>
      <c r="I341" s="144" t="s">
        <v>447</v>
      </c>
      <c r="J341" s="144" t="s">
        <v>3482</v>
      </c>
      <c r="K341" s="144">
        <v>3</v>
      </c>
      <c r="L341" s="144" t="s">
        <v>622</v>
      </c>
      <c r="M341" s="144" t="s">
        <v>3483</v>
      </c>
      <c r="N341" s="144">
        <v>3</v>
      </c>
      <c r="O341" s="144" t="s">
        <v>451</v>
      </c>
      <c r="P341" s="147">
        <v>650000</v>
      </c>
      <c r="Q341" s="144" t="s">
        <v>452</v>
      </c>
      <c r="R341" s="144" t="s">
        <v>3484</v>
      </c>
      <c r="S341" s="144"/>
      <c r="T341" s="144"/>
      <c r="U341" s="145"/>
      <c r="V341" s="145"/>
      <c r="W341" s="145"/>
      <c r="X341" s="144" t="s">
        <v>3485</v>
      </c>
      <c r="Y341" s="144" t="s">
        <v>3486</v>
      </c>
      <c r="Z341" s="144" t="str">
        <f ca="1">IFERROR(__xludf.DUMMYFUNCTION("IF(VLOOKUP($Y341, IMPORTRANGE(""https://docs.google.com/spreadsheets/d/1WsTKRjz8_fF2119Ff9dhKIIYXSaUEHzuWr8pBkxmwQQ/edit"", ""Form Responses 1!$B:$Z""),1, FALSE)=$Y341,""Yes"",""No"")"),"#N/A")</f>
        <v>#N/A</v>
      </c>
      <c r="AA341" s="144"/>
      <c r="AB341" s="144"/>
    </row>
    <row r="342" spans="1:28">
      <c r="A342" s="140" t="s">
        <v>529</v>
      </c>
      <c r="B342" s="140" t="s">
        <v>3487</v>
      </c>
      <c r="C342" s="140" t="s">
        <v>3488</v>
      </c>
      <c r="D342" s="140" t="s">
        <v>3489</v>
      </c>
      <c r="E342" s="140" t="s">
        <v>3490</v>
      </c>
      <c r="F342" s="140" t="s">
        <v>5</v>
      </c>
      <c r="G342" s="140">
        <v>3.25</v>
      </c>
      <c r="H342" s="140" t="s">
        <v>24</v>
      </c>
      <c r="I342" s="140" t="s">
        <v>447</v>
      </c>
      <c r="J342" s="140" t="s">
        <v>3491</v>
      </c>
      <c r="K342" s="140">
        <v>3</v>
      </c>
      <c r="L342" s="140" t="s">
        <v>543</v>
      </c>
      <c r="M342" s="140" t="s">
        <v>3492</v>
      </c>
      <c r="N342" s="140">
        <v>3.5</v>
      </c>
      <c r="O342" s="140" t="s">
        <v>3493</v>
      </c>
      <c r="P342" s="140" t="s">
        <v>3494</v>
      </c>
      <c r="Q342" s="140" t="s">
        <v>452</v>
      </c>
      <c r="R342" s="140" t="s">
        <v>1119</v>
      </c>
      <c r="S342" s="140"/>
      <c r="T342" s="140"/>
      <c r="U342" s="143"/>
      <c r="V342" s="143"/>
      <c r="W342" s="143"/>
      <c r="X342" s="140" t="s">
        <v>3495</v>
      </c>
      <c r="Y342" s="140" t="s">
        <v>3496</v>
      </c>
      <c r="Z342" s="140" t="str">
        <f ca="1">IFERROR(__xludf.DUMMYFUNCTION("IF(VLOOKUP($Y342, IMPORTRANGE(""https://docs.google.com/spreadsheets/d/1WsTKRjz8_fF2119Ff9dhKIIYXSaUEHzuWr8pBkxmwQQ/edit"", ""Form Responses 1!$B:$Z""),1, FALSE)=$Y342,""Yes"",""No"")"),"#N/A")</f>
        <v>#N/A</v>
      </c>
      <c r="AA342" s="140"/>
      <c r="AB342" s="140"/>
    </row>
    <row r="343" spans="1:28">
      <c r="A343" s="144" t="s">
        <v>529</v>
      </c>
      <c r="B343" s="144" t="s">
        <v>3497</v>
      </c>
      <c r="C343" s="144" t="s">
        <v>3498</v>
      </c>
      <c r="D343" s="144" t="s">
        <v>3499</v>
      </c>
      <c r="E343" s="144" t="s">
        <v>3500</v>
      </c>
      <c r="F343" s="144" t="s">
        <v>5</v>
      </c>
      <c r="G343" s="144">
        <v>3</v>
      </c>
      <c r="H343" s="144" t="s">
        <v>24</v>
      </c>
      <c r="I343" s="144" t="s">
        <v>488</v>
      </c>
      <c r="J343" s="144" t="s">
        <v>3501</v>
      </c>
      <c r="K343" s="144">
        <v>3</v>
      </c>
      <c r="L343" s="144" t="s">
        <v>941</v>
      </c>
      <c r="M343" s="144" t="s">
        <v>3502</v>
      </c>
      <c r="N343" s="144">
        <v>3</v>
      </c>
      <c r="O343" s="144"/>
      <c r="P343" s="144"/>
      <c r="Q343" s="144" t="s">
        <v>452</v>
      </c>
      <c r="R343" s="144" t="s">
        <v>3503</v>
      </c>
      <c r="S343" s="144" t="s">
        <v>3504</v>
      </c>
      <c r="T343" s="144"/>
      <c r="U343" s="145"/>
      <c r="V343" s="145"/>
      <c r="W343" s="145"/>
      <c r="X343" s="144" t="s">
        <v>3505</v>
      </c>
      <c r="Y343" s="144" t="s">
        <v>3506</v>
      </c>
      <c r="Z343" s="144" t="str">
        <f ca="1">IFERROR(__xludf.DUMMYFUNCTION("IF(VLOOKUP($Y343, IMPORTRANGE(""https://docs.google.com/spreadsheets/d/1WsTKRjz8_fF2119Ff9dhKIIYXSaUEHzuWr8pBkxmwQQ/edit"", ""Form Responses 1!$B:$Z""),1, FALSE)=$Y343,""Yes"",""No"")"),"#N/A")</f>
        <v>#N/A</v>
      </c>
      <c r="AA343" s="144"/>
      <c r="AB343" s="144"/>
    </row>
    <row r="344" spans="1:28">
      <c r="A344" s="140" t="s">
        <v>503</v>
      </c>
      <c r="B344" s="140" t="s">
        <v>158</v>
      </c>
      <c r="C344" s="140" t="s">
        <v>3507</v>
      </c>
      <c r="D344" s="140" t="s">
        <v>3508</v>
      </c>
      <c r="E344" s="140" t="s">
        <v>3509</v>
      </c>
      <c r="F344" s="140" t="s">
        <v>5</v>
      </c>
      <c r="G344" s="140">
        <v>3</v>
      </c>
      <c r="H344" s="140" t="s">
        <v>24</v>
      </c>
      <c r="I344" s="140" t="s">
        <v>447</v>
      </c>
      <c r="J344" s="140" t="s">
        <v>3510</v>
      </c>
      <c r="K344" s="140">
        <v>3.5</v>
      </c>
      <c r="L344" s="140" t="s">
        <v>476</v>
      </c>
      <c r="M344" s="140" t="s">
        <v>3511</v>
      </c>
      <c r="N344" s="140">
        <v>2.5</v>
      </c>
      <c r="O344" s="140"/>
      <c r="P344" s="140"/>
      <c r="Q344" s="140" t="s">
        <v>452</v>
      </c>
      <c r="R344" s="140" t="s">
        <v>3512</v>
      </c>
      <c r="S344" s="140"/>
      <c r="T344" s="140" t="s">
        <v>3513</v>
      </c>
      <c r="U344" s="143" t="s">
        <v>481</v>
      </c>
      <c r="V344" s="143"/>
      <c r="W344" s="143"/>
      <c r="X344" s="140" t="s">
        <v>3514</v>
      </c>
      <c r="Y344" s="140" t="s">
        <v>3515</v>
      </c>
      <c r="Z344" s="140" t="str">
        <f ca="1">IFERROR(__xludf.DUMMYFUNCTION("IF(VLOOKUP($Y344, IMPORTRANGE(""https://docs.google.com/spreadsheets/d/1WsTKRjz8_fF2119Ff9dhKIIYXSaUEHzuWr8pBkxmwQQ/edit"", ""Form Responses 1!$B:$Z""),1, FALSE)=$Y344,""Yes"",""No"")"),"#N/A")</f>
        <v>#N/A</v>
      </c>
      <c r="AA344" s="140"/>
      <c r="AB344" s="140"/>
    </row>
    <row r="345" spans="1:28">
      <c r="A345" s="144" t="s">
        <v>443</v>
      </c>
      <c r="B345" s="144" t="s">
        <v>3516</v>
      </c>
      <c r="C345" s="144" t="s">
        <v>3517</v>
      </c>
      <c r="D345" s="144" t="s">
        <v>3518</v>
      </c>
      <c r="E345" s="144" t="s">
        <v>3519</v>
      </c>
      <c r="F345" s="144" t="s">
        <v>5</v>
      </c>
      <c r="G345" s="144">
        <v>2.75</v>
      </c>
      <c r="H345" s="144" t="s">
        <v>24</v>
      </c>
      <c r="I345" s="144" t="s">
        <v>447</v>
      </c>
      <c r="J345" s="144" t="s">
        <v>3520</v>
      </c>
      <c r="K345" s="144">
        <v>2.5</v>
      </c>
      <c r="L345" s="144" t="s">
        <v>622</v>
      </c>
      <c r="M345" s="144"/>
      <c r="N345" s="144">
        <v>3</v>
      </c>
      <c r="O345" s="144" t="s">
        <v>451</v>
      </c>
      <c r="P345" s="144">
        <v>500000</v>
      </c>
      <c r="Q345" s="144" t="s">
        <v>452</v>
      </c>
      <c r="R345" s="144" t="s">
        <v>3521</v>
      </c>
      <c r="S345" s="144"/>
      <c r="T345" s="144"/>
      <c r="U345" s="145"/>
      <c r="V345" s="145"/>
      <c r="W345" s="145"/>
      <c r="X345" s="144" t="s">
        <v>3522</v>
      </c>
      <c r="Y345" s="144" t="s">
        <v>3523</v>
      </c>
      <c r="Z345" s="144" t="str">
        <f ca="1">IFERROR(__xludf.DUMMYFUNCTION("IF(VLOOKUP($Y345, IMPORTRANGE(""https://docs.google.com/spreadsheets/d/1WsTKRjz8_fF2119Ff9dhKIIYXSaUEHzuWr8pBkxmwQQ/edit"", ""Form Responses 1!$B:$Z""),1, FALSE)=$Y345,""Yes"",""No"")"),"#N/A")</f>
        <v>#N/A</v>
      </c>
      <c r="AA345" s="144"/>
      <c r="AB345" s="144"/>
    </row>
    <row r="346" spans="1:28">
      <c r="A346" s="140" t="s">
        <v>484</v>
      </c>
      <c r="B346" s="140" t="s">
        <v>3524</v>
      </c>
      <c r="C346" s="140" t="s">
        <v>3525</v>
      </c>
      <c r="D346" s="140" t="s">
        <v>3526</v>
      </c>
      <c r="E346" s="140" t="s">
        <v>3527</v>
      </c>
      <c r="F346" s="140" t="s">
        <v>5</v>
      </c>
      <c r="G346" s="140">
        <v>2.75</v>
      </c>
      <c r="H346" s="140" t="s">
        <v>24</v>
      </c>
      <c r="I346" s="140" t="s">
        <v>447</v>
      </c>
      <c r="J346" s="140" t="s">
        <v>3528</v>
      </c>
      <c r="K346" s="140">
        <v>2.5</v>
      </c>
      <c r="L346" s="140" t="s">
        <v>449</v>
      </c>
      <c r="M346" s="140" t="s">
        <v>3529</v>
      </c>
      <c r="N346" s="140">
        <v>3</v>
      </c>
      <c r="O346" s="140"/>
      <c r="P346" s="140"/>
      <c r="Q346" s="140" t="s">
        <v>452</v>
      </c>
      <c r="R346" s="140" t="s">
        <v>452</v>
      </c>
      <c r="S346" s="140"/>
      <c r="T346" s="140"/>
      <c r="U346" s="143"/>
      <c r="V346" s="143"/>
      <c r="W346" s="143"/>
      <c r="X346" s="140" t="s">
        <v>3530</v>
      </c>
      <c r="Y346" s="140" t="s">
        <v>3531</v>
      </c>
      <c r="Z346" s="140" t="str">
        <f ca="1">IFERROR(__xludf.DUMMYFUNCTION("IF(VLOOKUP($Y346, IMPORTRANGE(""https://docs.google.com/spreadsheets/d/1WsTKRjz8_fF2119Ff9dhKIIYXSaUEHzuWr8pBkxmwQQ/edit"", ""Form Responses 1!$B:$Z""),1, FALSE)=$Y346,""Yes"",""No"")"),"#N/A")</f>
        <v>#N/A</v>
      </c>
      <c r="AA346" s="140"/>
      <c r="AB346" s="140"/>
    </row>
    <row r="347" spans="1:28">
      <c r="A347" s="144" t="s">
        <v>529</v>
      </c>
      <c r="B347" s="144" t="s">
        <v>3532</v>
      </c>
      <c r="C347" s="144" t="s">
        <v>3533</v>
      </c>
      <c r="D347" s="144" t="s">
        <v>3534</v>
      </c>
      <c r="E347" s="144" t="s">
        <v>3535</v>
      </c>
      <c r="F347" s="144" t="s">
        <v>5</v>
      </c>
      <c r="G347" s="144">
        <v>2.5</v>
      </c>
      <c r="H347" s="144" t="s">
        <v>24</v>
      </c>
      <c r="I347" s="144" t="s">
        <v>447</v>
      </c>
      <c r="J347" s="144" t="s">
        <v>3536</v>
      </c>
      <c r="K347" s="144">
        <v>2.5</v>
      </c>
      <c r="L347" s="144" t="s">
        <v>449</v>
      </c>
      <c r="M347" s="144" t="s">
        <v>3537</v>
      </c>
      <c r="N347" s="144">
        <v>2.5</v>
      </c>
      <c r="O347" s="144"/>
      <c r="P347" s="144"/>
      <c r="Q347" s="144" t="s">
        <v>454</v>
      </c>
      <c r="R347" s="144" t="s">
        <v>1119</v>
      </c>
      <c r="S347" s="144" t="s">
        <v>3538</v>
      </c>
      <c r="T347" s="144"/>
      <c r="U347" s="145"/>
      <c r="V347" s="145"/>
      <c r="W347" s="145"/>
      <c r="X347" s="144" t="s">
        <v>3539</v>
      </c>
      <c r="Y347" s="144" t="s">
        <v>3540</v>
      </c>
      <c r="Z347" s="144" t="str">
        <f ca="1">IFERROR(__xludf.DUMMYFUNCTION("IF(VLOOKUP($Y347, IMPORTRANGE(""https://docs.google.com/spreadsheets/d/1WsTKRjz8_fF2119Ff9dhKIIYXSaUEHzuWr8pBkxmwQQ/edit"", ""Form Responses 1!$B:$Z""),1, FALSE)=$Y347,""Yes"",""No"")"),"#N/A")</f>
        <v>#N/A</v>
      </c>
      <c r="AA347" s="144"/>
      <c r="AB347" s="144"/>
    </row>
    <row r="348" spans="1:28">
      <c r="A348" s="140" t="s">
        <v>598</v>
      </c>
      <c r="B348" s="140" t="s">
        <v>3541</v>
      </c>
      <c r="C348" s="140" t="s">
        <v>3542</v>
      </c>
      <c r="D348" s="140" t="s">
        <v>3543</v>
      </c>
      <c r="E348" s="140" t="s">
        <v>3544</v>
      </c>
      <c r="F348" s="140" t="s">
        <v>5</v>
      </c>
      <c r="G348" s="140">
        <v>3</v>
      </c>
      <c r="H348" s="140" t="s">
        <v>24</v>
      </c>
      <c r="I348" s="140" t="s">
        <v>447</v>
      </c>
      <c r="J348" s="140" t="s">
        <v>3545</v>
      </c>
      <c r="K348" s="140">
        <v>3</v>
      </c>
      <c r="L348" s="140" t="s">
        <v>622</v>
      </c>
      <c r="M348" s="140" t="s">
        <v>3546</v>
      </c>
      <c r="N348" s="140">
        <v>3</v>
      </c>
      <c r="O348" s="140" t="s">
        <v>451</v>
      </c>
      <c r="P348" s="140" t="s">
        <v>3547</v>
      </c>
      <c r="Q348" s="140" t="s">
        <v>454</v>
      </c>
      <c r="R348" s="140" t="s">
        <v>3548</v>
      </c>
      <c r="S348" s="140"/>
      <c r="T348" s="140"/>
      <c r="U348" s="143"/>
      <c r="V348" s="143"/>
      <c r="W348" s="143"/>
      <c r="X348" s="140" t="s">
        <v>1622</v>
      </c>
      <c r="Y348" s="140" t="s">
        <v>3549</v>
      </c>
      <c r="Z348" s="140" t="str">
        <f ca="1">IFERROR(__xludf.DUMMYFUNCTION("IF(VLOOKUP($Y348, IMPORTRANGE(""https://docs.google.com/spreadsheets/d/1WsTKRjz8_fF2119Ff9dhKIIYXSaUEHzuWr8pBkxmwQQ/edit"", ""Form Responses 1!$B:$Z""),1, FALSE)=$Y348,""Yes"",""No"")"),"#N/A")</f>
        <v>#N/A</v>
      </c>
      <c r="AA348" s="140"/>
      <c r="AB348" s="140"/>
    </row>
    <row r="349" spans="1:28">
      <c r="A349" s="144" t="s">
        <v>598</v>
      </c>
      <c r="B349" s="144" t="s">
        <v>159</v>
      </c>
      <c r="C349" s="144" t="s">
        <v>3550</v>
      </c>
      <c r="D349" s="144" t="s">
        <v>3551</v>
      </c>
      <c r="E349" s="144" t="s">
        <v>3552</v>
      </c>
      <c r="F349" s="144" t="s">
        <v>5</v>
      </c>
      <c r="G349" s="144">
        <v>4.25</v>
      </c>
      <c r="H349" s="144" t="s">
        <v>24</v>
      </c>
      <c r="I349" s="144" t="s">
        <v>460</v>
      </c>
      <c r="J349" s="144" t="s">
        <v>3553</v>
      </c>
      <c r="K349" s="144">
        <v>4</v>
      </c>
      <c r="L349" s="144" t="s">
        <v>462</v>
      </c>
      <c r="M349" s="144" t="s">
        <v>3554</v>
      </c>
      <c r="N349" s="144">
        <v>4.5</v>
      </c>
      <c r="O349" s="144" t="s">
        <v>923</v>
      </c>
      <c r="P349" s="144" t="s">
        <v>3555</v>
      </c>
      <c r="Q349" s="144" t="s">
        <v>454</v>
      </c>
      <c r="R349" s="144" t="s">
        <v>3556</v>
      </c>
      <c r="S349" s="144"/>
      <c r="T349" s="144" t="s">
        <v>3557</v>
      </c>
      <c r="U349" s="145" t="s">
        <v>454</v>
      </c>
      <c r="V349" s="145" t="s">
        <v>947</v>
      </c>
      <c r="W349" s="145"/>
      <c r="X349" s="144" t="s">
        <v>3558</v>
      </c>
      <c r="Y349" s="144" t="s">
        <v>3559</v>
      </c>
      <c r="Z349" s="144" t="str">
        <f ca="1">IFERROR(__xludf.DUMMYFUNCTION("IF(VLOOKUP($Y349, IMPORTRANGE(""https://docs.google.com/spreadsheets/d/1WsTKRjz8_fF2119Ff9dhKIIYXSaUEHzuWr8pBkxmwQQ/edit"", ""Form Responses 1!$B:$Z""),1, FALSE)=$Y349,""Yes"",""No"")"),"#N/A")</f>
        <v>#N/A</v>
      </c>
      <c r="AA349" s="144"/>
      <c r="AB349" s="144"/>
    </row>
    <row r="350" spans="1:28">
      <c r="A350" s="140" t="s">
        <v>529</v>
      </c>
      <c r="B350" s="140" t="s">
        <v>3560</v>
      </c>
      <c r="C350" s="140" t="s">
        <v>3561</v>
      </c>
      <c r="D350" s="140" t="s">
        <v>3562</v>
      </c>
      <c r="E350" s="140" t="s">
        <v>3563</v>
      </c>
      <c r="F350" s="140" t="s">
        <v>5</v>
      </c>
      <c r="G350" s="140">
        <v>3.25</v>
      </c>
      <c r="H350" s="140" t="s">
        <v>24</v>
      </c>
      <c r="I350" s="140" t="s">
        <v>488</v>
      </c>
      <c r="J350" s="140"/>
      <c r="K350" s="140">
        <v>3</v>
      </c>
      <c r="L350" s="140" t="s">
        <v>941</v>
      </c>
      <c r="M350" s="140" t="s">
        <v>3564</v>
      </c>
      <c r="N350" s="140">
        <v>3.5</v>
      </c>
      <c r="O350" s="140" t="s">
        <v>451</v>
      </c>
      <c r="P350" s="140">
        <v>22000000</v>
      </c>
      <c r="Q350" s="140" t="s">
        <v>452</v>
      </c>
      <c r="R350" s="140" t="s">
        <v>3565</v>
      </c>
      <c r="S350" s="140"/>
      <c r="T350" s="140" t="s">
        <v>2341</v>
      </c>
      <c r="U350" s="143"/>
      <c r="V350" s="143"/>
      <c r="W350" s="143"/>
      <c r="X350" s="140" t="s">
        <v>3566</v>
      </c>
      <c r="Y350" s="140" t="s">
        <v>3567</v>
      </c>
      <c r="Z350" s="140" t="str">
        <f ca="1">IFERROR(__xludf.DUMMYFUNCTION("IF(VLOOKUP($Y350, IMPORTRANGE(""https://docs.google.com/spreadsheets/d/1WsTKRjz8_fF2119Ff9dhKIIYXSaUEHzuWr8pBkxmwQQ/edit"", ""Form Responses 1!$B:$Z""),1, FALSE)=$Y350,""Yes"",""No"")"),"#N/A")</f>
        <v>#N/A</v>
      </c>
      <c r="AA350" s="140"/>
      <c r="AB350" s="140"/>
    </row>
    <row r="351" spans="1:28">
      <c r="A351" s="144" t="s">
        <v>598</v>
      </c>
      <c r="B351" s="144" t="s">
        <v>3568</v>
      </c>
      <c r="C351" s="144" t="s">
        <v>3569</v>
      </c>
      <c r="D351" s="144" t="s">
        <v>3570</v>
      </c>
      <c r="E351" s="144" t="s">
        <v>3571</v>
      </c>
      <c r="F351" s="144" t="s">
        <v>5</v>
      </c>
      <c r="G351" s="144">
        <v>2.75</v>
      </c>
      <c r="H351" s="144" t="s">
        <v>24</v>
      </c>
      <c r="I351" s="144" t="s">
        <v>447</v>
      </c>
      <c r="J351" s="144" t="s">
        <v>3572</v>
      </c>
      <c r="K351" s="144">
        <v>3</v>
      </c>
      <c r="L351" s="144" t="s">
        <v>622</v>
      </c>
      <c r="M351" s="144" t="s">
        <v>3573</v>
      </c>
      <c r="N351" s="144">
        <v>2.5</v>
      </c>
      <c r="O351" s="144" t="s">
        <v>784</v>
      </c>
      <c r="P351" s="144" t="s">
        <v>3574</v>
      </c>
      <c r="Q351" s="144" t="s">
        <v>465</v>
      </c>
      <c r="R351" s="144" t="s">
        <v>3575</v>
      </c>
      <c r="S351" s="144"/>
      <c r="T351" s="144"/>
      <c r="U351" s="145"/>
      <c r="V351" s="145"/>
      <c r="W351" s="145"/>
      <c r="X351" s="144" t="s">
        <v>3576</v>
      </c>
      <c r="Y351" s="144" t="s">
        <v>3577</v>
      </c>
      <c r="Z351" s="144" t="str">
        <f ca="1">IFERROR(__xludf.DUMMYFUNCTION("IF(VLOOKUP($Y351, IMPORTRANGE(""https://docs.google.com/spreadsheets/d/1WsTKRjz8_fF2119Ff9dhKIIYXSaUEHzuWr8pBkxmwQQ/edit"", ""Form Responses 1!$B:$Z""),1, FALSE)=$Y351,""Yes"",""No"")"),"#N/A")</f>
        <v>#N/A</v>
      </c>
      <c r="AA351" s="144"/>
      <c r="AB351" s="144"/>
    </row>
    <row r="352" spans="1:28">
      <c r="A352" s="140" t="s">
        <v>529</v>
      </c>
      <c r="B352" s="140" t="s">
        <v>3578</v>
      </c>
      <c r="C352" s="140" t="s">
        <v>3579</v>
      </c>
      <c r="D352" s="140" t="s">
        <v>3580</v>
      </c>
      <c r="E352" s="140" t="s">
        <v>3581</v>
      </c>
      <c r="F352" s="140" t="s">
        <v>5</v>
      </c>
      <c r="G352" s="140">
        <v>3</v>
      </c>
      <c r="H352" s="140" t="s">
        <v>24</v>
      </c>
      <c r="I352" s="140" t="s">
        <v>447</v>
      </c>
      <c r="J352" s="140" t="s">
        <v>3582</v>
      </c>
      <c r="K352" s="140">
        <v>3</v>
      </c>
      <c r="L352" s="140" t="s">
        <v>449</v>
      </c>
      <c r="M352" s="140" t="s">
        <v>3583</v>
      </c>
      <c r="N352" s="140">
        <v>3</v>
      </c>
      <c r="O352" s="140" t="s">
        <v>784</v>
      </c>
      <c r="P352" s="142">
        <v>300000</v>
      </c>
      <c r="Q352" s="140" t="s">
        <v>454</v>
      </c>
      <c r="R352" s="140" t="s">
        <v>452</v>
      </c>
      <c r="S352" s="140" t="s">
        <v>3584</v>
      </c>
      <c r="T352" s="140"/>
      <c r="U352" s="143"/>
      <c r="V352" s="143"/>
      <c r="W352" s="143"/>
      <c r="X352" s="140" t="s">
        <v>3585</v>
      </c>
      <c r="Y352" s="140" t="s">
        <v>3586</v>
      </c>
      <c r="Z352" s="140" t="str">
        <f ca="1">IFERROR(__xludf.DUMMYFUNCTION("IF(VLOOKUP($Y352, IMPORTRANGE(""https://docs.google.com/spreadsheets/d/1WsTKRjz8_fF2119Ff9dhKIIYXSaUEHzuWr8pBkxmwQQ/edit"", ""Form Responses 1!$B:$Z""),1, FALSE)=$Y352,""Yes"",""No"")"),"#N/A")</f>
        <v>#N/A</v>
      </c>
      <c r="AA352" s="140"/>
      <c r="AB352" s="140"/>
    </row>
    <row r="353" spans="1:28">
      <c r="A353" s="144" t="s">
        <v>598</v>
      </c>
      <c r="B353" s="144" t="s">
        <v>3587</v>
      </c>
      <c r="C353" s="144" t="s">
        <v>3588</v>
      </c>
      <c r="D353" s="144" t="s">
        <v>3589</v>
      </c>
      <c r="E353" s="144" t="s">
        <v>3590</v>
      </c>
      <c r="F353" s="144" t="s">
        <v>5</v>
      </c>
      <c r="G353" s="144">
        <v>3</v>
      </c>
      <c r="H353" s="144" t="s">
        <v>24</v>
      </c>
      <c r="I353" s="144" t="s">
        <v>447</v>
      </c>
      <c r="J353" s="144" t="s">
        <v>3591</v>
      </c>
      <c r="K353" s="144">
        <v>3</v>
      </c>
      <c r="L353" s="144" t="s">
        <v>622</v>
      </c>
      <c r="M353" s="144"/>
      <c r="N353" s="144">
        <v>3</v>
      </c>
      <c r="O353" s="144" t="s">
        <v>478</v>
      </c>
      <c r="P353" s="144" t="s">
        <v>3592</v>
      </c>
      <c r="Q353" s="144" t="s">
        <v>465</v>
      </c>
      <c r="R353" s="144" t="s">
        <v>3593</v>
      </c>
      <c r="S353" s="144"/>
      <c r="T353" s="144"/>
      <c r="U353" s="145"/>
      <c r="V353" s="145"/>
      <c r="W353" s="145"/>
      <c r="X353" s="144" t="s">
        <v>3594</v>
      </c>
      <c r="Y353" s="144" t="s">
        <v>3595</v>
      </c>
      <c r="Z353" s="144" t="str">
        <f ca="1">IFERROR(__xludf.DUMMYFUNCTION("IF(VLOOKUP($Y353, IMPORTRANGE(""https://docs.google.com/spreadsheets/d/1WsTKRjz8_fF2119Ff9dhKIIYXSaUEHzuWr8pBkxmwQQ/edit"", ""Form Responses 1!$B:$Z""),1, FALSE)=$Y353,""Yes"",""No"")"),"#N/A")</f>
        <v>#N/A</v>
      </c>
      <c r="AA353" s="144"/>
      <c r="AB353" s="144"/>
    </row>
    <row r="354" spans="1:28">
      <c r="A354" s="140" t="s">
        <v>503</v>
      </c>
      <c r="B354" s="140" t="s">
        <v>3596</v>
      </c>
      <c r="C354" s="140" t="s">
        <v>3597</v>
      </c>
      <c r="D354" s="140" t="s">
        <v>3598</v>
      </c>
      <c r="E354" s="140" t="s">
        <v>3599</v>
      </c>
      <c r="F354" s="140" t="s">
        <v>5</v>
      </c>
      <c r="G354" s="140">
        <v>2</v>
      </c>
      <c r="H354" s="140" t="s">
        <v>24</v>
      </c>
      <c r="I354" s="140" t="s">
        <v>447</v>
      </c>
      <c r="J354" s="140" t="s">
        <v>3600</v>
      </c>
      <c r="K354" s="140">
        <v>2</v>
      </c>
      <c r="L354" s="140" t="s">
        <v>602</v>
      </c>
      <c r="M354" s="140" t="s">
        <v>3601</v>
      </c>
      <c r="N354" s="140">
        <v>2</v>
      </c>
      <c r="O354" s="140" t="s">
        <v>451</v>
      </c>
      <c r="P354" s="148">
        <v>1500000</v>
      </c>
      <c r="Q354" s="140" t="s">
        <v>452</v>
      </c>
      <c r="R354" s="140" t="s">
        <v>3602</v>
      </c>
      <c r="S354" s="140"/>
      <c r="T354" s="140"/>
      <c r="U354" s="143"/>
      <c r="V354" s="143"/>
      <c r="W354" s="143"/>
      <c r="X354" s="140" t="s">
        <v>3603</v>
      </c>
      <c r="Y354" s="140" t="s">
        <v>3604</v>
      </c>
      <c r="Z354" s="140" t="str">
        <f ca="1">IFERROR(__xludf.DUMMYFUNCTION("IF(VLOOKUP($Y354, IMPORTRANGE(""https://docs.google.com/spreadsheets/d/1WsTKRjz8_fF2119Ff9dhKIIYXSaUEHzuWr8pBkxmwQQ/edit"", ""Form Responses 1!$B:$Z""),1, FALSE)=$Y354,""Yes"",""No"")"),"#N/A")</f>
        <v>#N/A</v>
      </c>
      <c r="AA354" s="140"/>
      <c r="AB354" s="140"/>
    </row>
    <row r="355" spans="1:28">
      <c r="A355" s="144" t="s">
        <v>529</v>
      </c>
      <c r="B355" s="144" t="s">
        <v>3605</v>
      </c>
      <c r="C355" s="144" t="s">
        <v>3606</v>
      </c>
      <c r="D355" s="144" t="s">
        <v>3607</v>
      </c>
      <c r="E355" s="144" t="s">
        <v>3608</v>
      </c>
      <c r="F355" s="144" t="s">
        <v>5</v>
      </c>
      <c r="G355" s="144">
        <v>4</v>
      </c>
      <c r="H355" s="144" t="s">
        <v>24</v>
      </c>
      <c r="I355" s="144" t="s">
        <v>460</v>
      </c>
      <c r="J355" s="144" t="s">
        <v>3609</v>
      </c>
      <c r="K355" s="144">
        <v>4</v>
      </c>
      <c r="L355" s="144" t="s">
        <v>462</v>
      </c>
      <c r="M355" s="144" t="s">
        <v>3610</v>
      </c>
      <c r="N355" s="144">
        <v>4</v>
      </c>
      <c r="O355" s="144"/>
      <c r="P355" s="144"/>
      <c r="Q355" s="144" t="s">
        <v>452</v>
      </c>
      <c r="R355" s="144" t="s">
        <v>3611</v>
      </c>
      <c r="S355" s="144"/>
      <c r="T355" s="144" t="s">
        <v>3612</v>
      </c>
      <c r="U355" s="145"/>
      <c r="V355" s="145"/>
      <c r="W355" s="145"/>
      <c r="X355" s="144" t="s">
        <v>3522</v>
      </c>
      <c r="Y355" s="144" t="s">
        <v>3613</v>
      </c>
      <c r="Z355" s="144" t="str">
        <f ca="1">IFERROR(__xludf.DUMMYFUNCTION("IF(VLOOKUP($Y355, IMPORTRANGE(""https://docs.google.com/spreadsheets/d/1WsTKRjz8_fF2119Ff9dhKIIYXSaUEHzuWr8pBkxmwQQ/edit"", ""Form Responses 1!$B:$Z""),1, FALSE)=$Y355,""Yes"",""No"")"),"#N/A")</f>
        <v>#N/A</v>
      </c>
      <c r="AA355" s="144"/>
      <c r="AB355" s="144"/>
    </row>
    <row r="356" spans="1:28">
      <c r="A356" s="140" t="s">
        <v>443</v>
      </c>
      <c r="B356" s="140" t="s">
        <v>3614</v>
      </c>
      <c r="C356" s="140" t="s">
        <v>3615</v>
      </c>
      <c r="D356" s="140" t="s">
        <v>3616</v>
      </c>
      <c r="E356" s="140" t="s">
        <v>3617</v>
      </c>
      <c r="F356" s="140" t="s">
        <v>5</v>
      </c>
      <c r="G356" s="140">
        <v>2.75</v>
      </c>
      <c r="H356" s="140" t="s">
        <v>24</v>
      </c>
      <c r="I356" s="140" t="s">
        <v>447</v>
      </c>
      <c r="J356" s="140" t="s">
        <v>3618</v>
      </c>
      <c r="K356" s="140">
        <v>3</v>
      </c>
      <c r="L356" s="140" t="s">
        <v>622</v>
      </c>
      <c r="M356" s="140" t="s">
        <v>3619</v>
      </c>
      <c r="N356" s="140">
        <v>2.5</v>
      </c>
      <c r="O356" s="140"/>
      <c r="P356" s="140"/>
      <c r="Q356" s="140" t="s">
        <v>465</v>
      </c>
      <c r="R356" s="140" t="s">
        <v>3620</v>
      </c>
      <c r="S356" s="140"/>
      <c r="T356" s="140"/>
      <c r="U356" s="143"/>
      <c r="V356" s="143"/>
      <c r="W356" s="143"/>
      <c r="X356" s="140" t="s">
        <v>2342</v>
      </c>
      <c r="Y356" s="140" t="s">
        <v>3621</v>
      </c>
      <c r="Z356" s="140" t="str">
        <f ca="1">IFERROR(__xludf.DUMMYFUNCTION("IF(VLOOKUP($Y356, IMPORTRANGE(""https://docs.google.com/spreadsheets/d/1WsTKRjz8_fF2119Ff9dhKIIYXSaUEHzuWr8pBkxmwQQ/edit"", ""Form Responses 1!$B:$Z""),1, FALSE)=$Y356,""Yes"",""No"")"),"#N/A")</f>
        <v>#N/A</v>
      </c>
      <c r="AA356" s="140"/>
      <c r="AB356" s="140"/>
    </row>
    <row r="357" spans="1:28">
      <c r="A357" s="144" t="s">
        <v>598</v>
      </c>
      <c r="B357" s="144" t="s">
        <v>393</v>
      </c>
      <c r="C357" s="144" t="s">
        <v>3622</v>
      </c>
      <c r="D357" s="144" t="s">
        <v>3623</v>
      </c>
      <c r="E357" s="144" t="s">
        <v>3624</v>
      </c>
      <c r="F357" s="144" t="s">
        <v>5</v>
      </c>
      <c r="G357" s="144">
        <v>3.5</v>
      </c>
      <c r="H357" s="144" t="s">
        <v>24</v>
      </c>
      <c r="I357" s="144" t="s">
        <v>488</v>
      </c>
      <c r="J357" s="144" t="s">
        <v>3625</v>
      </c>
      <c r="K357" s="144">
        <v>3</v>
      </c>
      <c r="L357" s="144" t="s">
        <v>462</v>
      </c>
      <c r="M357" s="144" t="s">
        <v>3626</v>
      </c>
      <c r="N357" s="144">
        <v>4</v>
      </c>
      <c r="O357" s="144"/>
      <c r="P357" s="144"/>
      <c r="Q357" s="144" t="s">
        <v>452</v>
      </c>
      <c r="R357" s="144" t="s">
        <v>3627</v>
      </c>
      <c r="S357" s="144"/>
      <c r="T357" s="144" t="s">
        <v>3628</v>
      </c>
      <c r="U357" s="145" t="s">
        <v>481</v>
      </c>
      <c r="V357" s="145"/>
      <c r="W357" s="145"/>
      <c r="X357" s="144" t="s">
        <v>3629</v>
      </c>
      <c r="Y357" s="144" t="s">
        <v>3630</v>
      </c>
      <c r="Z357" s="144" t="str">
        <f ca="1">IFERROR(__xludf.DUMMYFUNCTION("IF(VLOOKUP($Y357, IMPORTRANGE(""https://docs.google.com/spreadsheets/d/1WsTKRjz8_fF2119Ff9dhKIIYXSaUEHzuWr8pBkxmwQQ/edit"", ""Form Responses 1!$B:$Z""),1, FALSE)=$Y357,""Yes"",""No"")"),"#N/A")</f>
        <v>#N/A</v>
      </c>
      <c r="AA357" s="144"/>
      <c r="AB357" s="144"/>
    </row>
    <row r="358" spans="1:28">
      <c r="A358" s="140" t="s">
        <v>503</v>
      </c>
      <c r="B358" s="140" t="s">
        <v>3631</v>
      </c>
      <c r="C358" s="140" t="s">
        <v>3632</v>
      </c>
      <c r="D358" s="140" t="s">
        <v>3633</v>
      </c>
      <c r="E358" s="140" t="s">
        <v>3634</v>
      </c>
      <c r="F358" s="140" t="s">
        <v>5</v>
      </c>
      <c r="G358" s="140">
        <v>1</v>
      </c>
      <c r="H358" s="140" t="s">
        <v>24</v>
      </c>
      <c r="I358" s="140" t="s">
        <v>447</v>
      </c>
      <c r="J358" s="140" t="s">
        <v>3635</v>
      </c>
      <c r="K358" s="140">
        <v>1</v>
      </c>
      <c r="L358" s="140" t="s">
        <v>476</v>
      </c>
      <c r="M358" s="140" t="s">
        <v>3636</v>
      </c>
      <c r="N358" s="140">
        <v>1</v>
      </c>
      <c r="O358" s="140"/>
      <c r="P358" s="140"/>
      <c r="Q358" s="140" t="s">
        <v>454</v>
      </c>
      <c r="R358" s="140" t="s">
        <v>3637</v>
      </c>
      <c r="S358" s="140"/>
      <c r="T358" s="140"/>
      <c r="U358" s="143"/>
      <c r="V358" s="143"/>
      <c r="W358" s="143"/>
      <c r="X358" s="140" t="s">
        <v>3638</v>
      </c>
      <c r="Y358" s="140" t="s">
        <v>3639</v>
      </c>
      <c r="Z358" s="140" t="str">
        <f ca="1">IFERROR(__xludf.DUMMYFUNCTION("IF(VLOOKUP($Y358, IMPORTRANGE(""https://docs.google.com/spreadsheets/d/1WsTKRjz8_fF2119Ff9dhKIIYXSaUEHzuWr8pBkxmwQQ/edit"", ""Form Responses 1!$B:$Z""),1, FALSE)=$Y358,""Yes"",""No"")"),"#N/A")</f>
        <v>#N/A</v>
      </c>
      <c r="AA358" s="140"/>
      <c r="AB358" s="140"/>
    </row>
    <row r="359" spans="1:28">
      <c r="A359" s="156" t="s">
        <v>443</v>
      </c>
      <c r="B359" s="156" t="s">
        <v>165</v>
      </c>
      <c r="C359" s="156" t="s">
        <v>3640</v>
      </c>
      <c r="D359" s="156" t="s">
        <v>3641</v>
      </c>
      <c r="E359" s="156" t="s">
        <v>3642</v>
      </c>
      <c r="F359" s="156" t="s">
        <v>4</v>
      </c>
      <c r="G359" s="156">
        <v>4.75</v>
      </c>
      <c r="H359" s="156" t="s">
        <v>18</v>
      </c>
      <c r="I359" s="156" t="s">
        <v>727</v>
      </c>
      <c r="J359" s="156" t="s">
        <v>3643</v>
      </c>
      <c r="K359" s="156">
        <v>4.5</v>
      </c>
      <c r="L359" s="156" t="s">
        <v>1045</v>
      </c>
      <c r="M359" s="156" t="s">
        <v>3644</v>
      </c>
      <c r="N359" s="156">
        <v>5</v>
      </c>
      <c r="O359" s="156" t="s">
        <v>451</v>
      </c>
      <c r="P359" s="157">
        <v>4000000</v>
      </c>
      <c r="Q359" s="156" t="s">
        <v>452</v>
      </c>
      <c r="R359" s="156" t="s">
        <v>452</v>
      </c>
      <c r="S359" s="156"/>
      <c r="T359" s="156" t="s">
        <v>3645</v>
      </c>
      <c r="U359" s="158" t="s">
        <v>481</v>
      </c>
      <c r="V359" s="158"/>
      <c r="W359" s="158"/>
      <c r="X359" s="156" t="s">
        <v>3646</v>
      </c>
      <c r="Y359" s="156" t="s">
        <v>3647</v>
      </c>
      <c r="Z359" s="156" t="str">
        <f ca="1">IFERROR(__xludf.DUMMYFUNCTION("IF(VLOOKUP($Y359, IMPORTRANGE(""https://docs.google.com/spreadsheets/d/1WsTKRjz8_fF2119Ff9dhKIIYXSaUEHzuWr8pBkxmwQQ/edit"", ""Form Responses 1!$B:$Z""),1, FALSE)=$Y359,""Yes"",""No"")"),"#N/A")</f>
        <v>#N/A</v>
      </c>
      <c r="AA359" s="156"/>
      <c r="AB359" s="156"/>
    </row>
    <row r="360" spans="1:28">
      <c r="A360" s="156" t="s">
        <v>907</v>
      </c>
      <c r="B360" s="156" t="s">
        <v>166</v>
      </c>
      <c r="C360" s="156" t="s">
        <v>3648</v>
      </c>
      <c r="D360" s="156" t="s">
        <v>3649</v>
      </c>
      <c r="E360" s="156" t="s">
        <v>3650</v>
      </c>
      <c r="F360" s="156" t="s">
        <v>4</v>
      </c>
      <c r="G360" s="156">
        <v>4.5</v>
      </c>
      <c r="H360" s="156" t="s">
        <v>18</v>
      </c>
      <c r="I360" s="156" t="s">
        <v>447</v>
      </c>
      <c r="J360" s="156" t="s">
        <v>3651</v>
      </c>
      <c r="K360" s="156">
        <v>4</v>
      </c>
      <c r="L360" s="156" t="s">
        <v>1187</v>
      </c>
      <c r="M360" s="156" t="s">
        <v>3652</v>
      </c>
      <c r="N360" s="156">
        <v>5</v>
      </c>
      <c r="O360" s="156" t="s">
        <v>451</v>
      </c>
      <c r="P360" s="156">
        <v>2320000</v>
      </c>
      <c r="Q360" s="156" t="s">
        <v>452</v>
      </c>
      <c r="R360" s="156" t="s">
        <v>3653</v>
      </c>
      <c r="S360" s="156"/>
      <c r="T360" s="156" t="s">
        <v>3654</v>
      </c>
      <c r="U360" s="158" t="s">
        <v>454</v>
      </c>
      <c r="V360" s="158"/>
      <c r="W360" s="158"/>
      <c r="X360" s="156" t="s">
        <v>3655</v>
      </c>
      <c r="Y360" s="156" t="s">
        <v>3656</v>
      </c>
      <c r="Z360" s="156" t="str">
        <f ca="1">IFERROR(__xludf.DUMMYFUNCTION("IF(VLOOKUP($Y360, IMPORTRANGE(""https://docs.google.com/spreadsheets/d/1WsTKRjz8_fF2119Ff9dhKIIYXSaUEHzuWr8pBkxmwQQ/edit"", ""Form Responses 1!$B:$Z""),1, FALSE)=$Y360,""Yes"",""No"")"),"#N/A")</f>
        <v>#N/A</v>
      </c>
      <c r="AA360" s="156"/>
      <c r="AB360" s="156"/>
    </row>
    <row r="361" spans="1:28">
      <c r="A361" s="144" t="s">
        <v>529</v>
      </c>
      <c r="B361" s="144" t="s">
        <v>168</v>
      </c>
      <c r="C361" s="144" t="s">
        <v>3657</v>
      </c>
      <c r="D361" s="144" t="s">
        <v>3658</v>
      </c>
      <c r="E361" s="144" t="s">
        <v>3659</v>
      </c>
      <c r="F361" s="144" t="s">
        <v>4</v>
      </c>
      <c r="G361" s="144">
        <v>4.25</v>
      </c>
      <c r="H361" s="144" t="s">
        <v>24</v>
      </c>
      <c r="I361" s="144" t="s">
        <v>725</v>
      </c>
      <c r="J361" s="144" t="s">
        <v>3660</v>
      </c>
      <c r="K361" s="144">
        <v>3.5</v>
      </c>
      <c r="L361" s="144" t="s">
        <v>990</v>
      </c>
      <c r="M361" s="144" t="s">
        <v>3661</v>
      </c>
      <c r="N361" s="144">
        <v>5</v>
      </c>
      <c r="O361" s="144" t="s">
        <v>451</v>
      </c>
      <c r="P361" s="144" t="s">
        <v>3662</v>
      </c>
      <c r="Q361" s="144" t="s">
        <v>452</v>
      </c>
      <c r="R361" s="144" t="s">
        <v>3663</v>
      </c>
      <c r="S361" s="144"/>
      <c r="T361" s="144" t="s">
        <v>3664</v>
      </c>
      <c r="U361" s="145" t="s">
        <v>481</v>
      </c>
      <c r="V361" s="145"/>
      <c r="W361" s="145"/>
      <c r="X361" s="144" t="s">
        <v>3665</v>
      </c>
      <c r="Y361" s="144" t="s">
        <v>3666</v>
      </c>
      <c r="Z361" s="144" t="str">
        <f ca="1">IFERROR(__xludf.DUMMYFUNCTION("IF(VLOOKUP($Y361, IMPORTRANGE(""https://docs.google.com/spreadsheets/d/1WsTKRjz8_fF2119Ff9dhKIIYXSaUEHzuWr8pBkxmwQQ/edit"", ""Form Responses 1!$B:$Z""),1, FALSE)=$Y361,""Yes"",""No"")"),"#N/A")</f>
        <v>#N/A</v>
      </c>
      <c r="AA361" s="144"/>
      <c r="AB361" s="144"/>
    </row>
    <row r="362" spans="1:28">
      <c r="A362" s="156" t="s">
        <v>529</v>
      </c>
      <c r="B362" s="156" t="s">
        <v>169</v>
      </c>
      <c r="C362" s="156" t="s">
        <v>3667</v>
      </c>
      <c r="D362" s="156" t="s">
        <v>3668</v>
      </c>
      <c r="E362" s="156" t="s">
        <v>3669</v>
      </c>
      <c r="F362" s="156" t="s">
        <v>4</v>
      </c>
      <c r="G362" s="156">
        <v>4.25</v>
      </c>
      <c r="H362" s="156" t="s">
        <v>18</v>
      </c>
      <c r="I362" s="156" t="s">
        <v>725</v>
      </c>
      <c r="J362" s="156" t="s">
        <v>3670</v>
      </c>
      <c r="K362" s="156">
        <v>4.5</v>
      </c>
      <c r="L362" s="156" t="s">
        <v>604</v>
      </c>
      <c r="M362" s="156" t="s">
        <v>3671</v>
      </c>
      <c r="N362" s="156">
        <v>4</v>
      </c>
      <c r="O362" s="156" t="s">
        <v>784</v>
      </c>
      <c r="P362" s="157">
        <v>2500000</v>
      </c>
      <c r="Q362" s="156" t="s">
        <v>452</v>
      </c>
      <c r="R362" s="156" t="s">
        <v>452</v>
      </c>
      <c r="S362" s="156"/>
      <c r="T362" s="156"/>
      <c r="U362" s="158" t="s">
        <v>481</v>
      </c>
      <c r="V362" s="158"/>
      <c r="W362" s="158"/>
      <c r="X362" s="156" t="s">
        <v>3672</v>
      </c>
      <c r="Y362" s="156" t="s">
        <v>3673</v>
      </c>
      <c r="Z362" s="156" t="str">
        <f ca="1">IFERROR(__xludf.DUMMYFUNCTION("IF(VLOOKUP($Y362, IMPORTRANGE(""https://docs.google.com/spreadsheets/d/1WsTKRjz8_fF2119Ff9dhKIIYXSaUEHzuWr8pBkxmwQQ/edit"", ""Form Responses 1!$B:$Z""),1, FALSE)=$Y362,""Yes"",""No"")"),"#N/A")</f>
        <v>#N/A</v>
      </c>
      <c r="AA362" s="156"/>
      <c r="AB362" s="156"/>
    </row>
    <row r="363" spans="1:28">
      <c r="A363" s="156" t="s">
        <v>484</v>
      </c>
      <c r="B363" s="156" t="s">
        <v>171</v>
      </c>
      <c r="C363" s="156" t="s">
        <v>3674</v>
      </c>
      <c r="D363" s="156" t="s">
        <v>3675</v>
      </c>
      <c r="E363" s="156" t="s">
        <v>3676</v>
      </c>
      <c r="F363" s="156" t="s">
        <v>4</v>
      </c>
      <c r="G363" s="156">
        <v>4.25</v>
      </c>
      <c r="H363" s="156" t="s">
        <v>18</v>
      </c>
      <c r="I363" s="156" t="s">
        <v>460</v>
      </c>
      <c r="J363" s="156" t="s">
        <v>3677</v>
      </c>
      <c r="K363" s="156">
        <v>4</v>
      </c>
      <c r="L363" s="156" t="s">
        <v>462</v>
      </c>
      <c r="M363" s="156" t="s">
        <v>3678</v>
      </c>
      <c r="N363" s="156">
        <v>4.5</v>
      </c>
      <c r="O363" s="156" t="s">
        <v>451</v>
      </c>
      <c r="P363" s="156">
        <v>2000000</v>
      </c>
      <c r="Q363" s="156" t="s">
        <v>452</v>
      </c>
      <c r="R363" s="156" t="s">
        <v>3679</v>
      </c>
      <c r="S363" s="156" t="s">
        <v>3680</v>
      </c>
      <c r="T363" s="156" t="s">
        <v>3681</v>
      </c>
      <c r="U363" s="158" t="s">
        <v>481</v>
      </c>
      <c r="V363" s="158"/>
      <c r="W363" s="158" t="s">
        <v>3680</v>
      </c>
      <c r="X363" s="156" t="s">
        <v>3682</v>
      </c>
      <c r="Y363" s="156" t="s">
        <v>3683</v>
      </c>
      <c r="Z363" s="156" t="str">
        <f ca="1">IFERROR(__xludf.DUMMYFUNCTION("IF(VLOOKUP($Y363, IMPORTRANGE(""https://docs.google.com/spreadsheets/d/1WsTKRjz8_fF2119Ff9dhKIIYXSaUEHzuWr8pBkxmwQQ/edit"", ""Form Responses 1!$B:$Z""),1, FALSE)=$Y363,""Yes"",""No"")"),"#N/A")</f>
        <v>#N/A</v>
      </c>
      <c r="AA363" s="156"/>
      <c r="AB363" s="156"/>
    </row>
    <row r="364" spans="1:28">
      <c r="A364" s="140" t="s">
        <v>529</v>
      </c>
      <c r="B364" s="140" t="s">
        <v>174</v>
      </c>
      <c r="C364" s="140" t="s">
        <v>3684</v>
      </c>
      <c r="D364" s="140" t="s">
        <v>3685</v>
      </c>
      <c r="E364" s="140" t="s">
        <v>3686</v>
      </c>
      <c r="F364" s="140" t="s">
        <v>4</v>
      </c>
      <c r="G364" s="140">
        <v>4.25</v>
      </c>
      <c r="H364" s="140" t="s">
        <v>24</v>
      </c>
      <c r="I364" s="140" t="s">
        <v>1045</v>
      </c>
      <c r="J364" s="140" t="s">
        <v>3687</v>
      </c>
      <c r="K364" s="140">
        <v>4.5</v>
      </c>
      <c r="L364" s="140" t="s">
        <v>1298</v>
      </c>
      <c r="M364" s="140" t="s">
        <v>3688</v>
      </c>
      <c r="N364" s="140">
        <v>4</v>
      </c>
      <c r="O364" s="140" t="s">
        <v>784</v>
      </c>
      <c r="P364" s="151">
        <v>1000000</v>
      </c>
      <c r="Q364" s="140" t="s">
        <v>452</v>
      </c>
      <c r="R364" s="140" t="s">
        <v>3689</v>
      </c>
      <c r="S364" s="140"/>
      <c r="T364" s="140" t="s">
        <v>3690</v>
      </c>
      <c r="U364" s="143" t="s">
        <v>481</v>
      </c>
      <c r="V364" s="143"/>
      <c r="W364" s="143"/>
      <c r="X364" s="140" t="s">
        <v>3691</v>
      </c>
      <c r="Y364" s="140" t="s">
        <v>3692</v>
      </c>
      <c r="Z364" s="140" t="str">
        <f ca="1">IFERROR(__xludf.DUMMYFUNCTION("IF(VLOOKUP($Y364, IMPORTRANGE(""https://docs.google.com/spreadsheets/d/1WsTKRjz8_fF2119Ff9dhKIIYXSaUEHzuWr8pBkxmwQQ/edit"", ""Form Responses 1!$B:$Z""),1, FALSE)=$Y364,""Yes"",""No"")"),"#N/A")</f>
        <v>#N/A</v>
      </c>
      <c r="AA364" s="140"/>
      <c r="AB364" s="140"/>
    </row>
    <row r="365" spans="1:28">
      <c r="A365" s="144" t="s">
        <v>907</v>
      </c>
      <c r="B365" s="144" t="s">
        <v>175</v>
      </c>
      <c r="C365" s="144" t="s">
        <v>3693</v>
      </c>
      <c r="D365" s="144" t="s">
        <v>3694</v>
      </c>
      <c r="E365" s="144" t="s">
        <v>3695</v>
      </c>
      <c r="F365" s="144" t="s">
        <v>4</v>
      </c>
      <c r="G365" s="144">
        <v>4.25</v>
      </c>
      <c r="H365" s="144" t="s">
        <v>24</v>
      </c>
      <c r="I365" s="144" t="s">
        <v>727</v>
      </c>
      <c r="J365" s="144" t="s">
        <v>3696</v>
      </c>
      <c r="K365" s="144">
        <v>4.5</v>
      </c>
      <c r="L365" s="144" t="s">
        <v>449</v>
      </c>
      <c r="M365" s="144" t="s">
        <v>3697</v>
      </c>
      <c r="N365" s="144">
        <v>4</v>
      </c>
      <c r="O365" s="144" t="s">
        <v>923</v>
      </c>
      <c r="P365" s="147">
        <v>3000000</v>
      </c>
      <c r="Q365" s="144" t="s">
        <v>452</v>
      </c>
      <c r="R365" s="144" t="s">
        <v>452</v>
      </c>
      <c r="S365" s="144"/>
      <c r="T365" s="144"/>
      <c r="U365" s="145" t="s">
        <v>481</v>
      </c>
      <c r="V365" s="145"/>
      <c r="W365" s="145"/>
      <c r="X365" s="144" t="s">
        <v>2748</v>
      </c>
      <c r="Y365" s="144" t="s">
        <v>3698</v>
      </c>
      <c r="Z365" s="144" t="str">
        <f ca="1">IFERROR(__xludf.DUMMYFUNCTION("IF(VLOOKUP($Y365, IMPORTRANGE(""https://docs.google.com/spreadsheets/d/1WsTKRjz8_fF2119Ff9dhKIIYXSaUEHzuWr8pBkxmwQQ/edit"", ""Form Responses 1!$B:$Z""),1, FALSE)=$Y365,""Yes"",""No"")"),"#N/A")</f>
        <v>#N/A</v>
      </c>
      <c r="AA365" s="144"/>
      <c r="AB365" s="144"/>
    </row>
    <row r="366" spans="1:28">
      <c r="A366" s="140" t="s">
        <v>529</v>
      </c>
      <c r="B366" s="140" t="s">
        <v>177</v>
      </c>
      <c r="C366" s="140" t="s">
        <v>3699</v>
      </c>
      <c r="D366" s="140" t="s">
        <v>3700</v>
      </c>
      <c r="E366" s="140" t="s">
        <v>3701</v>
      </c>
      <c r="F366" s="140" t="s">
        <v>4</v>
      </c>
      <c r="G366" s="140">
        <v>4</v>
      </c>
      <c r="H366" s="140" t="s">
        <v>24</v>
      </c>
      <c r="I366" s="140" t="s">
        <v>727</v>
      </c>
      <c r="J366" s="140" t="s">
        <v>3702</v>
      </c>
      <c r="K366" s="140">
        <v>4</v>
      </c>
      <c r="L366" s="140" t="s">
        <v>990</v>
      </c>
      <c r="M366" s="140" t="s">
        <v>3703</v>
      </c>
      <c r="N366" s="140">
        <v>4</v>
      </c>
      <c r="O366" s="140" t="s">
        <v>451</v>
      </c>
      <c r="P366" s="140" t="s">
        <v>3704</v>
      </c>
      <c r="Q366" s="140" t="s">
        <v>452</v>
      </c>
      <c r="R366" s="140" t="s">
        <v>3705</v>
      </c>
      <c r="S366" s="140"/>
      <c r="T366" s="140"/>
      <c r="U366" s="143" t="s">
        <v>481</v>
      </c>
      <c r="V366" s="143"/>
      <c r="W366" s="143"/>
      <c r="X366" s="140" t="s">
        <v>1354</v>
      </c>
      <c r="Y366" s="140" t="s">
        <v>3706</v>
      </c>
      <c r="Z366" s="140" t="str">
        <f ca="1">IFERROR(__xludf.DUMMYFUNCTION("IF(VLOOKUP($Y366, IMPORTRANGE(""https://docs.google.com/spreadsheets/d/1WsTKRjz8_fF2119Ff9dhKIIYXSaUEHzuWr8pBkxmwQQ/edit"", ""Form Responses 1!$B:$Z""),1, FALSE)=$Y366,""Yes"",""No"")"),"#N/A")</f>
        <v>#N/A</v>
      </c>
      <c r="AA366" s="140"/>
      <c r="AB366" s="140"/>
    </row>
    <row r="367" spans="1:28">
      <c r="A367" s="144" t="s">
        <v>443</v>
      </c>
      <c r="B367" s="144" t="s">
        <v>3707</v>
      </c>
      <c r="C367" s="144" t="s">
        <v>3708</v>
      </c>
      <c r="D367" s="144" t="s">
        <v>3709</v>
      </c>
      <c r="E367" s="144" t="s">
        <v>3710</v>
      </c>
      <c r="F367" s="144" t="s">
        <v>4</v>
      </c>
      <c r="G367" s="144">
        <v>4</v>
      </c>
      <c r="H367" s="144" t="s">
        <v>24</v>
      </c>
      <c r="I367" s="144" t="s">
        <v>727</v>
      </c>
      <c r="J367" s="144" t="s">
        <v>3711</v>
      </c>
      <c r="K367" s="144">
        <v>4</v>
      </c>
      <c r="L367" s="144" t="s">
        <v>1045</v>
      </c>
      <c r="M367" s="144" t="s">
        <v>3712</v>
      </c>
      <c r="N367" s="144">
        <v>4</v>
      </c>
      <c r="O367" s="144" t="s">
        <v>784</v>
      </c>
      <c r="P367" s="144" t="s">
        <v>3713</v>
      </c>
      <c r="Q367" s="144" t="s">
        <v>452</v>
      </c>
      <c r="R367" s="144" t="s">
        <v>3714</v>
      </c>
      <c r="S367" s="144" t="s">
        <v>3715</v>
      </c>
      <c r="T367" s="144"/>
      <c r="U367" s="145"/>
      <c r="V367" s="145"/>
      <c r="W367" s="145"/>
      <c r="X367" s="144" t="s">
        <v>3716</v>
      </c>
      <c r="Y367" s="144" t="s">
        <v>3717</v>
      </c>
      <c r="Z367" s="144" t="str">
        <f ca="1">IFERROR(__xludf.DUMMYFUNCTION("IF(VLOOKUP($Y367, IMPORTRANGE(""https://docs.google.com/spreadsheets/d/1WsTKRjz8_fF2119Ff9dhKIIYXSaUEHzuWr8pBkxmwQQ/edit"", ""Form Responses 1!$B:$Z""),1, FALSE)=$Y367,""Yes"",""No"")"),"#N/A")</f>
        <v>#N/A</v>
      </c>
      <c r="AA367" s="144"/>
      <c r="AB367" s="144"/>
    </row>
    <row r="368" spans="1:28">
      <c r="A368" s="140" t="s">
        <v>529</v>
      </c>
      <c r="B368" s="140" t="s">
        <v>180</v>
      </c>
      <c r="C368" s="140" t="s">
        <v>3718</v>
      </c>
      <c r="D368" s="140" t="s">
        <v>3719</v>
      </c>
      <c r="E368" s="140"/>
      <c r="F368" s="140" t="s">
        <v>4</v>
      </c>
      <c r="G368" s="140">
        <v>4</v>
      </c>
      <c r="H368" s="140" t="s">
        <v>24</v>
      </c>
      <c r="I368" s="140" t="s">
        <v>725</v>
      </c>
      <c r="J368" s="140" t="s">
        <v>3720</v>
      </c>
      <c r="K368" s="140">
        <v>4</v>
      </c>
      <c r="L368" s="140" t="s">
        <v>990</v>
      </c>
      <c r="M368" s="140" t="s">
        <v>3721</v>
      </c>
      <c r="N368" s="140">
        <v>4</v>
      </c>
      <c r="O368" s="140" t="s">
        <v>913</v>
      </c>
      <c r="P368" s="140">
        <v>1500000</v>
      </c>
      <c r="Q368" s="140" t="s">
        <v>465</v>
      </c>
      <c r="R368" s="140" t="s">
        <v>452</v>
      </c>
      <c r="S368" s="140"/>
      <c r="T368" s="140"/>
      <c r="U368" s="143" t="s">
        <v>481</v>
      </c>
      <c r="V368" s="143"/>
      <c r="W368" s="143"/>
      <c r="X368" s="140" t="s">
        <v>3722</v>
      </c>
      <c r="Y368" s="140" t="s">
        <v>3723</v>
      </c>
      <c r="Z368" s="140" t="str">
        <f ca="1">IFERROR(__xludf.DUMMYFUNCTION("IF(VLOOKUP($Y368, IMPORTRANGE(""https://docs.google.com/spreadsheets/d/1WsTKRjz8_fF2119Ff9dhKIIYXSaUEHzuWr8pBkxmwQQ/edit"", ""Form Responses 1!$B:$Z""),1, FALSE)=$Y368,""Yes"",""No"")"),"#N/A")</f>
        <v>#N/A</v>
      </c>
      <c r="AA368" s="140"/>
      <c r="AB368" s="140"/>
    </row>
    <row r="369" spans="1:28">
      <c r="A369" s="144" t="s">
        <v>907</v>
      </c>
      <c r="B369" s="144" t="s">
        <v>3724</v>
      </c>
      <c r="C369" s="144" t="s">
        <v>3725</v>
      </c>
      <c r="D369" s="144" t="s">
        <v>3726</v>
      </c>
      <c r="E369" s="144" t="s">
        <v>3727</v>
      </c>
      <c r="F369" s="144" t="s">
        <v>4</v>
      </c>
      <c r="G369" s="144">
        <v>4</v>
      </c>
      <c r="H369" s="144" t="s">
        <v>24</v>
      </c>
      <c r="I369" s="144" t="s">
        <v>602</v>
      </c>
      <c r="J369" s="144" t="s">
        <v>3728</v>
      </c>
      <c r="K369" s="144">
        <v>3</v>
      </c>
      <c r="L369" s="144" t="s">
        <v>990</v>
      </c>
      <c r="M369" s="144" t="s">
        <v>3729</v>
      </c>
      <c r="N369" s="144">
        <v>5</v>
      </c>
      <c r="O369" s="144"/>
      <c r="P369" s="144"/>
      <c r="Q369" s="144" t="s">
        <v>452</v>
      </c>
      <c r="R369" s="144" t="s">
        <v>3730</v>
      </c>
      <c r="S369" s="144"/>
      <c r="T369" s="144" t="s">
        <v>3731</v>
      </c>
      <c r="U369" s="145"/>
      <c r="V369" s="145"/>
      <c r="W369" s="145"/>
      <c r="X369" s="144" t="s">
        <v>3732</v>
      </c>
      <c r="Y369" s="144" t="s">
        <v>3733</v>
      </c>
      <c r="Z369" s="144" t="str">
        <f ca="1">IFERROR(__xludf.DUMMYFUNCTION("IF(VLOOKUP($Y369, IMPORTRANGE(""https://docs.google.com/spreadsheets/d/1WsTKRjz8_fF2119Ff9dhKIIYXSaUEHzuWr8pBkxmwQQ/edit"", ""Form Responses 1!$B:$Z""),1, FALSE)=$Y369,""Yes"",""No"")"),"#N/A")</f>
        <v>#N/A</v>
      </c>
      <c r="AA369" s="144"/>
      <c r="AB369" s="144"/>
    </row>
    <row r="370" spans="1:28">
      <c r="A370" s="140" t="s">
        <v>484</v>
      </c>
      <c r="B370" s="140" t="s">
        <v>182</v>
      </c>
      <c r="C370" s="140" t="s">
        <v>3734</v>
      </c>
      <c r="D370" s="140" t="s">
        <v>3735</v>
      </c>
      <c r="E370" s="140" t="s">
        <v>3736</v>
      </c>
      <c r="F370" s="140" t="s">
        <v>4</v>
      </c>
      <c r="G370" s="140">
        <v>4</v>
      </c>
      <c r="H370" s="140" t="s">
        <v>24</v>
      </c>
      <c r="I370" s="140" t="s">
        <v>602</v>
      </c>
      <c r="J370" s="140" t="s">
        <v>3737</v>
      </c>
      <c r="K370" s="140">
        <v>4</v>
      </c>
      <c r="L370" s="140" t="s">
        <v>476</v>
      </c>
      <c r="M370" s="140" t="s">
        <v>3738</v>
      </c>
      <c r="N370" s="140">
        <v>4</v>
      </c>
      <c r="O370" s="140" t="s">
        <v>451</v>
      </c>
      <c r="P370" s="140">
        <v>3500000</v>
      </c>
      <c r="Q370" s="140" t="s">
        <v>452</v>
      </c>
      <c r="R370" s="140" t="s">
        <v>3739</v>
      </c>
      <c r="S370" s="140"/>
      <c r="T370" s="140"/>
      <c r="U370" s="143" t="s">
        <v>481</v>
      </c>
      <c r="V370" s="143"/>
      <c r="W370" s="143"/>
      <c r="X370" s="140" t="s">
        <v>3740</v>
      </c>
      <c r="Y370" s="140" t="s">
        <v>3741</v>
      </c>
      <c r="Z370" s="140" t="str">
        <f ca="1">IFERROR(__xludf.DUMMYFUNCTION("IF(VLOOKUP($Y370, IMPORTRANGE(""https://docs.google.com/spreadsheets/d/1WsTKRjz8_fF2119Ff9dhKIIYXSaUEHzuWr8pBkxmwQQ/edit"", ""Form Responses 1!$B:$Z""),1, FALSE)=$Y370,""Yes"",""No"")"),"#N/A")</f>
        <v>#N/A</v>
      </c>
      <c r="AA370" s="140"/>
      <c r="AB370" s="140"/>
    </row>
    <row r="371" spans="1:28">
      <c r="A371" s="144" t="s">
        <v>484</v>
      </c>
      <c r="B371" s="144" t="s">
        <v>186</v>
      </c>
      <c r="C371" s="144" t="s">
        <v>3742</v>
      </c>
      <c r="D371" s="144" t="s">
        <v>3743</v>
      </c>
      <c r="E371" s="144" t="s">
        <v>3744</v>
      </c>
      <c r="F371" s="144" t="s">
        <v>4</v>
      </c>
      <c r="G371" s="144">
        <v>4</v>
      </c>
      <c r="H371" s="144" t="s">
        <v>24</v>
      </c>
      <c r="I371" s="144" t="s">
        <v>727</v>
      </c>
      <c r="J371" s="144" t="s">
        <v>3745</v>
      </c>
      <c r="K371" s="144">
        <v>4</v>
      </c>
      <c r="L371" s="144" t="s">
        <v>1054</v>
      </c>
      <c r="M371" s="144" t="s">
        <v>3746</v>
      </c>
      <c r="N371" s="144">
        <v>4</v>
      </c>
      <c r="O371" s="144" t="s">
        <v>923</v>
      </c>
      <c r="P371" s="144" t="s">
        <v>3747</v>
      </c>
      <c r="Q371" s="144" t="s">
        <v>452</v>
      </c>
      <c r="R371" s="144" t="s">
        <v>3748</v>
      </c>
      <c r="S371" s="144"/>
      <c r="T371" s="144"/>
      <c r="U371" s="145" t="s">
        <v>481</v>
      </c>
      <c r="V371" s="145"/>
      <c r="W371" s="145"/>
      <c r="X371" s="144" t="s">
        <v>3749</v>
      </c>
      <c r="Y371" s="144" t="s">
        <v>3750</v>
      </c>
      <c r="Z371" s="144" t="str">
        <f ca="1">IFERROR(__xludf.DUMMYFUNCTION("IF(VLOOKUP($Y371, IMPORTRANGE(""https://docs.google.com/spreadsheets/d/1WsTKRjz8_fF2119Ff9dhKIIYXSaUEHzuWr8pBkxmwQQ/edit"", ""Form Responses 1!$B:$Z""),1, FALSE)=$Y371,""Yes"",""No"")"),"#N/A")</f>
        <v>#N/A</v>
      </c>
      <c r="AA371" s="144"/>
      <c r="AB371" s="144"/>
    </row>
    <row r="372" spans="1:28">
      <c r="A372" s="140" t="s">
        <v>529</v>
      </c>
      <c r="B372" s="140" t="s">
        <v>188</v>
      </c>
      <c r="C372" s="140" t="s">
        <v>3751</v>
      </c>
      <c r="D372" s="140" t="s">
        <v>3752</v>
      </c>
      <c r="E372" s="140" t="s">
        <v>3753</v>
      </c>
      <c r="F372" s="140" t="s">
        <v>4</v>
      </c>
      <c r="G372" s="140">
        <v>4</v>
      </c>
      <c r="H372" s="140" t="s">
        <v>24</v>
      </c>
      <c r="I372" s="140" t="s">
        <v>727</v>
      </c>
      <c r="J372" s="140" t="s">
        <v>3754</v>
      </c>
      <c r="K372" s="140">
        <v>4</v>
      </c>
      <c r="L372" s="140" t="s">
        <v>1036</v>
      </c>
      <c r="M372" s="140" t="s">
        <v>3755</v>
      </c>
      <c r="N372" s="140">
        <v>4</v>
      </c>
      <c r="O372" s="140"/>
      <c r="P372" s="140"/>
      <c r="Q372" s="140" t="s">
        <v>454</v>
      </c>
      <c r="R372" s="140" t="s">
        <v>3756</v>
      </c>
      <c r="S372" s="140" t="s">
        <v>3757</v>
      </c>
      <c r="T372" s="140" t="s">
        <v>3758</v>
      </c>
      <c r="U372" s="143" t="s">
        <v>481</v>
      </c>
      <c r="V372" s="143" t="s">
        <v>1048</v>
      </c>
      <c r="W372" s="143" t="s">
        <v>3757</v>
      </c>
      <c r="X372" s="140" t="s">
        <v>3759</v>
      </c>
      <c r="Y372" s="140" t="s">
        <v>3760</v>
      </c>
      <c r="Z372" s="140" t="str">
        <f ca="1">IFERROR(__xludf.DUMMYFUNCTION("IF(VLOOKUP($Y372, IMPORTRANGE(""https://docs.google.com/spreadsheets/d/1WsTKRjz8_fF2119Ff9dhKIIYXSaUEHzuWr8pBkxmwQQ/edit"", ""Form Responses 1!$B:$Z""),1, FALSE)=$Y372,""Yes"",""No"")"),"#N/A")</f>
        <v>#N/A</v>
      </c>
      <c r="AA372" s="140"/>
      <c r="AB372" s="140"/>
    </row>
    <row r="373" spans="1:28">
      <c r="A373" s="144" t="s">
        <v>907</v>
      </c>
      <c r="B373" s="144" t="s">
        <v>189</v>
      </c>
      <c r="C373" s="144" t="s">
        <v>3761</v>
      </c>
      <c r="D373" s="144" t="s">
        <v>3762</v>
      </c>
      <c r="E373" s="144"/>
      <c r="F373" s="144" t="s">
        <v>4</v>
      </c>
      <c r="G373" s="144">
        <v>4</v>
      </c>
      <c r="H373" s="144" t="s">
        <v>24</v>
      </c>
      <c r="I373" s="144" t="s">
        <v>725</v>
      </c>
      <c r="J373" s="144" t="s">
        <v>3763</v>
      </c>
      <c r="K373" s="144">
        <v>4</v>
      </c>
      <c r="L373" s="144" t="s">
        <v>462</v>
      </c>
      <c r="M373" s="144" t="s">
        <v>3764</v>
      </c>
      <c r="N373" s="144">
        <v>4</v>
      </c>
      <c r="O373" s="144" t="s">
        <v>1656</v>
      </c>
      <c r="P373" s="147">
        <v>20000000</v>
      </c>
      <c r="Q373" s="144" t="s">
        <v>452</v>
      </c>
      <c r="R373" s="144" t="s">
        <v>575</v>
      </c>
      <c r="S373" s="144"/>
      <c r="T373" s="144"/>
      <c r="U373" s="145" t="s">
        <v>481</v>
      </c>
      <c r="V373" s="145"/>
      <c r="W373" s="145"/>
      <c r="X373" s="144" t="s">
        <v>3765</v>
      </c>
      <c r="Y373" s="144" t="s">
        <v>3766</v>
      </c>
      <c r="Z373" s="144" t="str">
        <f ca="1">IFERROR(__xludf.DUMMYFUNCTION("IF(VLOOKUP($Y373, IMPORTRANGE(""https://docs.google.com/spreadsheets/d/1WsTKRjz8_fF2119Ff9dhKIIYXSaUEHzuWr8pBkxmwQQ/edit"", ""Form Responses 1!$B:$Z""),1, FALSE)=$Y373,""Yes"",""No"")"),"#N/A")</f>
        <v>#N/A</v>
      </c>
      <c r="AA373" s="144"/>
      <c r="AB373" s="144"/>
    </row>
    <row r="374" spans="1:28">
      <c r="A374" s="140" t="s">
        <v>503</v>
      </c>
      <c r="B374" s="140" t="s">
        <v>190</v>
      </c>
      <c r="C374" s="140" t="s">
        <v>3767</v>
      </c>
      <c r="D374" s="140" t="s">
        <v>3768</v>
      </c>
      <c r="E374" s="140" t="s">
        <v>3769</v>
      </c>
      <c r="F374" s="140" t="s">
        <v>4</v>
      </c>
      <c r="G374" s="140">
        <v>4</v>
      </c>
      <c r="H374" s="140" t="s">
        <v>24</v>
      </c>
      <c r="I374" s="140" t="s">
        <v>602</v>
      </c>
      <c r="J374" s="140" t="s">
        <v>3770</v>
      </c>
      <c r="K374" s="140">
        <v>4</v>
      </c>
      <c r="L374" s="140" t="s">
        <v>1054</v>
      </c>
      <c r="M374" s="140" t="s">
        <v>3771</v>
      </c>
      <c r="N374" s="140">
        <v>4</v>
      </c>
      <c r="O374" s="140" t="s">
        <v>451</v>
      </c>
      <c r="P374" s="140" t="s">
        <v>3473</v>
      </c>
      <c r="Q374" s="140" t="s">
        <v>454</v>
      </c>
      <c r="R374" s="140" t="s">
        <v>3772</v>
      </c>
      <c r="S374" s="140" t="s">
        <v>3773</v>
      </c>
      <c r="T374" s="140" t="s">
        <v>3774</v>
      </c>
      <c r="U374" s="143" t="s">
        <v>454</v>
      </c>
      <c r="V374" s="143" t="s">
        <v>1854</v>
      </c>
      <c r="W374" s="143" t="s">
        <v>3773</v>
      </c>
      <c r="X374" s="140" t="s">
        <v>1020</v>
      </c>
      <c r="Y374" s="140" t="s">
        <v>3775</v>
      </c>
      <c r="Z374" s="140" t="str">
        <f ca="1">IFERROR(__xludf.DUMMYFUNCTION("IF(VLOOKUP($Y374, IMPORTRANGE(""https://docs.google.com/spreadsheets/d/1WsTKRjz8_fF2119Ff9dhKIIYXSaUEHzuWr8pBkxmwQQ/edit"", ""Form Responses 1!$B:$Z""),1, FALSE)=$Y374,""Yes"",""No"")"),"#N/A")</f>
        <v>#N/A</v>
      </c>
      <c r="AA374" s="140"/>
      <c r="AB374" s="140"/>
    </row>
    <row r="375" spans="1:28">
      <c r="A375" s="144" t="s">
        <v>529</v>
      </c>
      <c r="B375" s="144" t="s">
        <v>192</v>
      </c>
      <c r="C375" s="144" t="s">
        <v>3776</v>
      </c>
      <c r="D375" s="144" t="s">
        <v>3777</v>
      </c>
      <c r="E375" s="144" t="s">
        <v>3778</v>
      </c>
      <c r="F375" s="144" t="s">
        <v>4</v>
      </c>
      <c r="G375" s="144">
        <v>4</v>
      </c>
      <c r="H375" s="144" t="s">
        <v>24</v>
      </c>
      <c r="I375" s="144" t="s">
        <v>725</v>
      </c>
      <c r="J375" s="144" t="s">
        <v>3779</v>
      </c>
      <c r="K375" s="144">
        <v>4.5</v>
      </c>
      <c r="L375" s="144" t="s">
        <v>476</v>
      </c>
      <c r="M375" s="144" t="s">
        <v>3780</v>
      </c>
      <c r="N375" s="144">
        <v>3.5</v>
      </c>
      <c r="O375" s="144" t="s">
        <v>451</v>
      </c>
      <c r="P375" s="147">
        <v>2500000</v>
      </c>
      <c r="Q375" s="144" t="s">
        <v>452</v>
      </c>
      <c r="R375" s="144" t="s">
        <v>3781</v>
      </c>
      <c r="S375" s="144"/>
      <c r="T375" s="144"/>
      <c r="U375" s="145" t="s">
        <v>454</v>
      </c>
      <c r="V375" s="145"/>
      <c r="W375" s="145"/>
      <c r="X375" s="144" t="s">
        <v>3782</v>
      </c>
      <c r="Y375" s="144" t="s">
        <v>3783</v>
      </c>
      <c r="Z375" s="144" t="str">
        <f ca="1">IFERROR(__xludf.DUMMYFUNCTION("IF(VLOOKUP($Y375, IMPORTRANGE(""https://docs.google.com/spreadsheets/d/1WsTKRjz8_fF2119Ff9dhKIIYXSaUEHzuWr8pBkxmwQQ/edit"", ""Form Responses 1!$B:$Z""),1, FALSE)=$Y375,""Yes"",""No"")"),"#N/A")</f>
        <v>#N/A</v>
      </c>
      <c r="AA375" s="144"/>
      <c r="AB375" s="144"/>
    </row>
    <row r="376" spans="1:28">
      <c r="A376" s="140" t="s">
        <v>598</v>
      </c>
      <c r="B376" s="140" t="s">
        <v>196</v>
      </c>
      <c r="C376" s="140" t="s">
        <v>3784</v>
      </c>
      <c r="D376" s="140" t="s">
        <v>3785</v>
      </c>
      <c r="E376" s="140" t="s">
        <v>3786</v>
      </c>
      <c r="F376" s="140" t="s">
        <v>4</v>
      </c>
      <c r="G376" s="140">
        <v>4</v>
      </c>
      <c r="H376" s="140" t="s">
        <v>24</v>
      </c>
      <c r="I376" s="140" t="s">
        <v>727</v>
      </c>
      <c r="J376" s="140" t="s">
        <v>3787</v>
      </c>
      <c r="K376" s="140">
        <v>4</v>
      </c>
      <c r="L376" s="140" t="s">
        <v>1073</v>
      </c>
      <c r="M376" s="140"/>
      <c r="N376" s="140">
        <v>4</v>
      </c>
      <c r="O376" s="140"/>
      <c r="P376" s="140"/>
      <c r="Q376" s="140" t="s">
        <v>465</v>
      </c>
      <c r="R376" s="140" t="s">
        <v>3788</v>
      </c>
      <c r="S376" s="140"/>
      <c r="T376" s="140" t="s">
        <v>3789</v>
      </c>
      <c r="U376" s="143" t="s">
        <v>481</v>
      </c>
      <c r="V376" s="143"/>
      <c r="W376" s="143"/>
      <c r="X376" s="140" t="s">
        <v>3790</v>
      </c>
      <c r="Y376" s="140" t="s">
        <v>3791</v>
      </c>
      <c r="Z376" s="140" t="str">
        <f ca="1">IFERROR(__xludf.DUMMYFUNCTION("IF(VLOOKUP($Y376, IMPORTRANGE(""https://docs.google.com/spreadsheets/d/1WsTKRjz8_fF2119Ff9dhKIIYXSaUEHzuWr8pBkxmwQQ/edit"", ""Form Responses 1!$B:$Z""),1, FALSE)=$Y376,""Yes"",""No"")"),"#N/A")</f>
        <v>#N/A</v>
      </c>
      <c r="AA376" s="140"/>
      <c r="AB376" s="140"/>
    </row>
    <row r="377" spans="1:28">
      <c r="A377" s="144" t="s">
        <v>471</v>
      </c>
      <c r="B377" s="144" t="s">
        <v>198</v>
      </c>
      <c r="C377" s="144" t="s">
        <v>3792</v>
      </c>
      <c r="D377" s="144" t="s">
        <v>3793</v>
      </c>
      <c r="E377" s="144" t="s">
        <v>3794</v>
      </c>
      <c r="F377" s="144" t="s">
        <v>4</v>
      </c>
      <c r="G377" s="144">
        <v>4</v>
      </c>
      <c r="H377" s="144" t="s">
        <v>24</v>
      </c>
      <c r="I377" s="144" t="s">
        <v>727</v>
      </c>
      <c r="J377" s="144" t="s">
        <v>3795</v>
      </c>
      <c r="K377" s="144">
        <v>4.5</v>
      </c>
      <c r="L377" s="144" t="s">
        <v>1054</v>
      </c>
      <c r="M377" s="144" t="s">
        <v>3796</v>
      </c>
      <c r="N377" s="144">
        <v>3.5</v>
      </c>
      <c r="O377" s="144"/>
      <c r="P377" s="144" t="s">
        <v>3555</v>
      </c>
      <c r="Q377" s="144" t="s">
        <v>454</v>
      </c>
      <c r="R377" s="144" t="s">
        <v>3797</v>
      </c>
      <c r="S377" s="144"/>
      <c r="T377" s="144"/>
      <c r="U377" s="145" t="s">
        <v>481</v>
      </c>
      <c r="V377" s="145" t="s">
        <v>3798</v>
      </c>
      <c r="W377" s="145"/>
      <c r="X377" s="144" t="s">
        <v>3799</v>
      </c>
      <c r="Y377" s="144" t="s">
        <v>3800</v>
      </c>
      <c r="Z377" s="144" t="str">
        <f ca="1">IFERROR(__xludf.DUMMYFUNCTION("IF(VLOOKUP($Y377, IMPORTRANGE(""https://docs.google.com/spreadsheets/d/1WsTKRjz8_fF2119Ff9dhKIIYXSaUEHzuWr8pBkxmwQQ/edit"", ""Form Responses 1!$B:$Z""),1, FALSE)=$Y377,""Yes"",""No"")"),"#N/A")</f>
        <v>#N/A</v>
      </c>
      <c r="AA377" s="144"/>
      <c r="AB377" s="144"/>
    </row>
    <row r="378" spans="1:28">
      <c r="A378" s="140" t="s">
        <v>443</v>
      </c>
      <c r="B378" s="140" t="s">
        <v>201</v>
      </c>
      <c r="C378" s="140" t="s">
        <v>3801</v>
      </c>
      <c r="D378" s="140" t="s">
        <v>3802</v>
      </c>
      <c r="E378" s="140" t="s">
        <v>3803</v>
      </c>
      <c r="F378" s="140" t="s">
        <v>4</v>
      </c>
      <c r="G378" s="140">
        <v>4</v>
      </c>
      <c r="H378" s="140" t="s">
        <v>24</v>
      </c>
      <c r="I378" s="140" t="s">
        <v>727</v>
      </c>
      <c r="J378" s="140" t="s">
        <v>3804</v>
      </c>
      <c r="K378" s="140">
        <v>4</v>
      </c>
      <c r="L378" s="140" t="s">
        <v>1045</v>
      </c>
      <c r="M378" s="140" t="s">
        <v>3805</v>
      </c>
      <c r="N378" s="140">
        <v>4</v>
      </c>
      <c r="O378" s="140"/>
      <c r="P378" s="140"/>
      <c r="Q378" s="140" t="s">
        <v>452</v>
      </c>
      <c r="R378" s="140" t="s">
        <v>3806</v>
      </c>
      <c r="S378" s="140"/>
      <c r="T378" s="140"/>
      <c r="U378" s="143" t="s">
        <v>481</v>
      </c>
      <c r="V378" s="143"/>
      <c r="W378" s="143"/>
      <c r="X378" s="140" t="s">
        <v>3807</v>
      </c>
      <c r="Y378" s="140" t="s">
        <v>3808</v>
      </c>
      <c r="Z378" s="140" t="str">
        <f ca="1">IFERROR(__xludf.DUMMYFUNCTION("IF(VLOOKUP($Y378, IMPORTRANGE(""https://docs.google.com/spreadsheets/d/1WsTKRjz8_fF2119Ff9dhKIIYXSaUEHzuWr8pBkxmwQQ/edit"", ""Form Responses 1!$B:$Z""),1, FALSE)=$Y378,""Yes"",""No"")"),"#N/A")</f>
        <v>#N/A</v>
      </c>
      <c r="AA378" s="140"/>
      <c r="AB378" s="140"/>
    </row>
    <row r="379" spans="1:28">
      <c r="A379" s="144" t="s">
        <v>484</v>
      </c>
      <c r="B379" s="144" t="s">
        <v>203</v>
      </c>
      <c r="C379" s="144" t="s">
        <v>3809</v>
      </c>
      <c r="D379" s="144" t="s">
        <v>3810</v>
      </c>
      <c r="E379" s="144" t="s">
        <v>3811</v>
      </c>
      <c r="F379" s="144" t="s">
        <v>4</v>
      </c>
      <c r="G379" s="144">
        <v>4</v>
      </c>
      <c r="H379" s="144" t="s">
        <v>24</v>
      </c>
      <c r="I379" s="144" t="s">
        <v>602</v>
      </c>
      <c r="J379" s="144" t="s">
        <v>3812</v>
      </c>
      <c r="K379" s="144">
        <v>4</v>
      </c>
      <c r="L379" s="144" t="s">
        <v>1054</v>
      </c>
      <c r="M379" s="144" t="s">
        <v>3813</v>
      </c>
      <c r="N379" s="144">
        <v>4</v>
      </c>
      <c r="O379" s="144"/>
      <c r="P379" s="144"/>
      <c r="Q379" s="144" t="s">
        <v>452</v>
      </c>
      <c r="R379" s="144" t="s">
        <v>3814</v>
      </c>
      <c r="S379" s="144"/>
      <c r="T379" s="144"/>
      <c r="U379" s="145" t="s">
        <v>481</v>
      </c>
      <c r="V379" s="145"/>
      <c r="W379" s="145"/>
      <c r="X379" s="144" t="s">
        <v>3815</v>
      </c>
      <c r="Y379" s="144" t="s">
        <v>3816</v>
      </c>
      <c r="Z379" s="144" t="str">
        <f ca="1">IFERROR(__xludf.DUMMYFUNCTION("IF(VLOOKUP($Y379, IMPORTRANGE(""https://docs.google.com/spreadsheets/d/1WsTKRjz8_fF2119Ff9dhKIIYXSaUEHzuWr8pBkxmwQQ/edit"", ""Form Responses 1!$B:$Z""),1, FALSE)=$Y379,""Yes"",""No"")"),"#N/A")</f>
        <v>#N/A</v>
      </c>
      <c r="AA379" s="144"/>
      <c r="AB379" s="144"/>
    </row>
    <row r="380" spans="1:28">
      <c r="A380" s="140" t="s">
        <v>529</v>
      </c>
      <c r="B380" s="140" t="s">
        <v>204</v>
      </c>
      <c r="C380" s="140" t="s">
        <v>3817</v>
      </c>
      <c r="D380" s="140" t="s">
        <v>3818</v>
      </c>
      <c r="E380" s="140" t="s">
        <v>3819</v>
      </c>
      <c r="F380" s="140" t="s">
        <v>4</v>
      </c>
      <c r="G380" s="140">
        <v>4</v>
      </c>
      <c r="H380" s="140" t="s">
        <v>24</v>
      </c>
      <c r="I380" s="140" t="s">
        <v>725</v>
      </c>
      <c r="J380" s="140" t="s">
        <v>3820</v>
      </c>
      <c r="K380" s="140">
        <v>4</v>
      </c>
      <c r="L380" s="140" t="s">
        <v>604</v>
      </c>
      <c r="M380" s="140" t="s">
        <v>3821</v>
      </c>
      <c r="N380" s="140">
        <v>4</v>
      </c>
      <c r="O380" s="140" t="s">
        <v>3822</v>
      </c>
      <c r="P380" s="140">
        <v>1800000</v>
      </c>
      <c r="Q380" s="140" t="s">
        <v>452</v>
      </c>
      <c r="R380" s="140" t="s">
        <v>3823</v>
      </c>
      <c r="S380" s="140"/>
      <c r="T380" s="140"/>
      <c r="U380" s="143" t="s">
        <v>481</v>
      </c>
      <c r="V380" s="143"/>
      <c r="W380" s="143"/>
      <c r="X380" s="140" t="s">
        <v>3824</v>
      </c>
      <c r="Y380" s="140" t="s">
        <v>3825</v>
      </c>
      <c r="Z380" s="140" t="str">
        <f ca="1">IFERROR(__xludf.DUMMYFUNCTION("IF(VLOOKUP($Y380, IMPORTRANGE(""https://docs.google.com/spreadsheets/d/1WsTKRjz8_fF2119Ff9dhKIIYXSaUEHzuWr8pBkxmwQQ/edit"", ""Form Responses 1!$B:$Z""),1, FALSE)=$Y380,""Yes"",""No"")"),"#N/A")</f>
        <v>#N/A</v>
      </c>
      <c r="AA380" s="140"/>
      <c r="AB380" s="140"/>
    </row>
    <row r="381" spans="1:28">
      <c r="A381" s="144" t="s">
        <v>529</v>
      </c>
      <c r="B381" s="144" t="s">
        <v>205</v>
      </c>
      <c r="C381" s="144" t="s">
        <v>3826</v>
      </c>
      <c r="D381" s="144" t="s">
        <v>3827</v>
      </c>
      <c r="E381" s="144" t="s">
        <v>3828</v>
      </c>
      <c r="F381" s="144" t="s">
        <v>4</v>
      </c>
      <c r="G381" s="144">
        <v>4</v>
      </c>
      <c r="H381" s="144" t="s">
        <v>24</v>
      </c>
      <c r="I381" s="144" t="s">
        <v>1045</v>
      </c>
      <c r="J381" s="144" t="s">
        <v>3829</v>
      </c>
      <c r="K381" s="144">
        <v>4</v>
      </c>
      <c r="L381" s="144" t="s">
        <v>604</v>
      </c>
      <c r="M381" s="144" t="s">
        <v>3830</v>
      </c>
      <c r="N381" s="144">
        <v>4</v>
      </c>
      <c r="O381" s="144"/>
      <c r="P381" s="144"/>
      <c r="Q381" s="144" t="s">
        <v>452</v>
      </c>
      <c r="R381" s="144" t="s">
        <v>3831</v>
      </c>
      <c r="S381" s="144" t="s">
        <v>3832</v>
      </c>
      <c r="T381" s="144"/>
      <c r="U381" s="145" t="s">
        <v>481</v>
      </c>
      <c r="V381" s="145"/>
      <c r="W381" s="145" t="s">
        <v>3832</v>
      </c>
      <c r="X381" s="144" t="s">
        <v>1714</v>
      </c>
      <c r="Y381" s="144" t="s">
        <v>3833</v>
      </c>
      <c r="Z381" s="144" t="str">
        <f ca="1">IFERROR(__xludf.DUMMYFUNCTION("IF(VLOOKUP($Y381, IMPORTRANGE(""https://docs.google.com/spreadsheets/d/1WsTKRjz8_fF2119Ff9dhKIIYXSaUEHzuWr8pBkxmwQQ/edit"", ""Form Responses 1!$B:$Z""),1, FALSE)=$Y381,""Yes"",""No"")"),"#N/A")</f>
        <v>#N/A</v>
      </c>
      <c r="AA381" s="144"/>
      <c r="AB381" s="144"/>
    </row>
    <row r="382" spans="1:28">
      <c r="A382" s="140" t="s">
        <v>443</v>
      </c>
      <c r="B382" s="140" t="s">
        <v>207</v>
      </c>
      <c r="C382" s="140" t="s">
        <v>3834</v>
      </c>
      <c r="D382" s="140" t="s">
        <v>3835</v>
      </c>
      <c r="E382" s="140" t="s">
        <v>3836</v>
      </c>
      <c r="F382" s="140" t="s">
        <v>4</v>
      </c>
      <c r="G382" s="140">
        <v>4</v>
      </c>
      <c r="H382" s="140" t="s">
        <v>24</v>
      </c>
      <c r="I382" s="140" t="s">
        <v>727</v>
      </c>
      <c r="J382" s="140" t="s">
        <v>3837</v>
      </c>
      <c r="K382" s="140">
        <v>4</v>
      </c>
      <c r="L382" s="140" t="s">
        <v>1045</v>
      </c>
      <c r="M382" s="140"/>
      <c r="N382" s="140">
        <v>4</v>
      </c>
      <c r="O382" s="140"/>
      <c r="P382" s="140"/>
      <c r="Q382" s="140" t="s">
        <v>452</v>
      </c>
      <c r="R382" s="140" t="s">
        <v>3838</v>
      </c>
      <c r="S382" s="140"/>
      <c r="T382" s="140"/>
      <c r="U382" s="143" t="s">
        <v>454</v>
      </c>
      <c r="V382" s="143"/>
      <c r="W382" s="143"/>
      <c r="X382" s="140" t="s">
        <v>3839</v>
      </c>
      <c r="Y382" s="140" t="s">
        <v>3840</v>
      </c>
      <c r="Z382" s="140" t="str">
        <f ca="1">IFERROR(__xludf.DUMMYFUNCTION("IF(VLOOKUP($Y382, IMPORTRANGE(""https://docs.google.com/spreadsheets/d/1WsTKRjz8_fF2119Ff9dhKIIYXSaUEHzuWr8pBkxmwQQ/edit"", ""Form Responses 1!$B:$Z""),1, FALSE)=$Y382,""Yes"",""No"")"),"#N/A")</f>
        <v>#N/A</v>
      </c>
      <c r="AA382" s="140"/>
      <c r="AB382" s="140"/>
    </row>
    <row r="383" spans="1:28">
      <c r="A383" s="144" t="s">
        <v>471</v>
      </c>
      <c r="B383" s="144" t="s">
        <v>208</v>
      </c>
      <c r="C383" s="144" t="s">
        <v>3841</v>
      </c>
      <c r="D383" s="144" t="s">
        <v>3842</v>
      </c>
      <c r="E383" s="144" t="s">
        <v>3843</v>
      </c>
      <c r="F383" s="144" t="s">
        <v>4</v>
      </c>
      <c r="G383" s="144">
        <v>4</v>
      </c>
      <c r="H383" s="144" t="s">
        <v>24</v>
      </c>
      <c r="I383" s="144" t="s">
        <v>602</v>
      </c>
      <c r="J383" s="144" t="s">
        <v>3844</v>
      </c>
      <c r="K383" s="144">
        <v>4</v>
      </c>
      <c r="L383" s="144" t="s">
        <v>1054</v>
      </c>
      <c r="M383" s="144" t="s">
        <v>3845</v>
      </c>
      <c r="N383" s="144">
        <v>4</v>
      </c>
      <c r="O383" s="144" t="s">
        <v>451</v>
      </c>
      <c r="P383" s="144">
        <v>2000000</v>
      </c>
      <c r="Q383" s="144" t="s">
        <v>452</v>
      </c>
      <c r="R383" s="144" t="s">
        <v>3846</v>
      </c>
      <c r="S383" s="144" t="s">
        <v>727</v>
      </c>
      <c r="T383" s="144" t="s">
        <v>3847</v>
      </c>
      <c r="U383" s="145" t="s">
        <v>481</v>
      </c>
      <c r="V383" s="145"/>
      <c r="W383" s="145" t="s">
        <v>727</v>
      </c>
      <c r="X383" s="144" t="s">
        <v>3848</v>
      </c>
      <c r="Y383" s="144" t="s">
        <v>3849</v>
      </c>
      <c r="Z383" s="144" t="str">
        <f ca="1">IFERROR(__xludf.DUMMYFUNCTION("IF(VLOOKUP($Y383, IMPORTRANGE(""https://docs.google.com/spreadsheets/d/1WsTKRjz8_fF2119Ff9dhKIIYXSaUEHzuWr8pBkxmwQQ/edit"", ""Form Responses 1!$B:$Z""),1, FALSE)=$Y383,""Yes"",""No"")"),"#N/A")</f>
        <v>#N/A</v>
      </c>
      <c r="AA383" s="144"/>
      <c r="AB383" s="144"/>
    </row>
    <row r="384" spans="1:28">
      <c r="A384" s="140" t="s">
        <v>529</v>
      </c>
      <c r="B384" s="140" t="s">
        <v>209</v>
      </c>
      <c r="C384" s="140" t="s">
        <v>3850</v>
      </c>
      <c r="D384" s="140" t="s">
        <v>3851</v>
      </c>
      <c r="E384" s="140" t="s">
        <v>3852</v>
      </c>
      <c r="F384" s="140" t="s">
        <v>4</v>
      </c>
      <c r="G384" s="140">
        <v>4</v>
      </c>
      <c r="H384" s="140" t="s">
        <v>24</v>
      </c>
      <c r="I384" s="140" t="s">
        <v>447</v>
      </c>
      <c r="J384" s="140" t="s">
        <v>3853</v>
      </c>
      <c r="K384" s="140">
        <v>4</v>
      </c>
      <c r="L384" s="140" t="s">
        <v>1187</v>
      </c>
      <c r="M384" s="140" t="s">
        <v>3854</v>
      </c>
      <c r="N384" s="140">
        <v>4</v>
      </c>
      <c r="O384" s="140" t="s">
        <v>784</v>
      </c>
      <c r="P384" s="142">
        <v>500000</v>
      </c>
      <c r="Q384" s="140" t="s">
        <v>452</v>
      </c>
      <c r="R384" s="140" t="s">
        <v>3855</v>
      </c>
      <c r="S384" s="140"/>
      <c r="T384" s="140"/>
      <c r="U384" s="143" t="s">
        <v>454</v>
      </c>
      <c r="V384" s="143"/>
      <c r="W384" s="143"/>
      <c r="X384" s="140" t="s">
        <v>3856</v>
      </c>
      <c r="Y384" s="140" t="s">
        <v>3857</v>
      </c>
      <c r="Z384" s="140" t="str">
        <f ca="1">IFERROR(__xludf.DUMMYFUNCTION("IF(VLOOKUP($Y384, IMPORTRANGE(""https://docs.google.com/spreadsheets/d/1WsTKRjz8_fF2119Ff9dhKIIYXSaUEHzuWr8pBkxmwQQ/edit"", ""Form Responses 1!$B:$Z""),1, FALSE)=$Y384,""Yes"",""No"")"),"#N/A")</f>
        <v>#N/A</v>
      </c>
      <c r="AA384" s="140"/>
      <c r="AB384" s="140"/>
    </row>
    <row r="385" spans="1:28">
      <c r="A385" s="144" t="s">
        <v>529</v>
      </c>
      <c r="B385" s="144" t="s">
        <v>210</v>
      </c>
      <c r="C385" s="144" t="s">
        <v>3858</v>
      </c>
      <c r="D385" s="144" t="s">
        <v>3859</v>
      </c>
      <c r="E385" s="144" t="s">
        <v>3860</v>
      </c>
      <c r="F385" s="144" t="s">
        <v>4</v>
      </c>
      <c r="G385" s="144">
        <v>4</v>
      </c>
      <c r="H385" s="144" t="s">
        <v>24</v>
      </c>
      <c r="I385" s="144" t="s">
        <v>725</v>
      </c>
      <c r="J385" s="144" t="s">
        <v>3861</v>
      </c>
      <c r="K385" s="144">
        <v>4</v>
      </c>
      <c r="L385" s="144" t="s">
        <v>1187</v>
      </c>
      <c r="M385" s="144" t="s">
        <v>3862</v>
      </c>
      <c r="N385" s="144">
        <v>4</v>
      </c>
      <c r="O385" s="144"/>
      <c r="P385" s="144"/>
      <c r="Q385" s="144" t="s">
        <v>452</v>
      </c>
      <c r="R385" s="144" t="s">
        <v>3863</v>
      </c>
      <c r="S385" s="144"/>
      <c r="T385" s="144"/>
      <c r="U385" s="145" t="s">
        <v>481</v>
      </c>
      <c r="V385" s="145"/>
      <c r="W385" s="145"/>
      <c r="X385" s="144" t="s">
        <v>1163</v>
      </c>
      <c r="Y385" s="144" t="s">
        <v>3864</v>
      </c>
      <c r="Z385" s="144" t="str">
        <f ca="1">IFERROR(__xludf.DUMMYFUNCTION("IF(VLOOKUP($Y385, IMPORTRANGE(""https://docs.google.com/spreadsheets/d/1WsTKRjz8_fF2119Ff9dhKIIYXSaUEHzuWr8pBkxmwQQ/edit"", ""Form Responses 1!$B:$Z""),1, FALSE)=$Y385,""Yes"",""No"")"),"#N/A")</f>
        <v>#N/A</v>
      </c>
      <c r="AA385" s="144"/>
      <c r="AB385" s="144"/>
    </row>
    <row r="386" spans="1:28">
      <c r="A386" s="140" t="s">
        <v>907</v>
      </c>
      <c r="B386" s="140" t="s">
        <v>211</v>
      </c>
      <c r="C386" s="140" t="s">
        <v>3865</v>
      </c>
      <c r="D386" s="140" t="s">
        <v>3866</v>
      </c>
      <c r="E386" s="140" t="s">
        <v>3867</v>
      </c>
      <c r="F386" s="140" t="s">
        <v>4</v>
      </c>
      <c r="G386" s="140">
        <v>4</v>
      </c>
      <c r="H386" s="140" t="s">
        <v>24</v>
      </c>
      <c r="I386" s="140" t="s">
        <v>725</v>
      </c>
      <c r="J386" s="140" t="s">
        <v>3868</v>
      </c>
      <c r="K386" s="140">
        <v>4</v>
      </c>
      <c r="L386" s="140" t="s">
        <v>1187</v>
      </c>
      <c r="M386" s="140" t="s">
        <v>3869</v>
      </c>
      <c r="N386" s="140">
        <v>4</v>
      </c>
      <c r="O386" s="140" t="s">
        <v>451</v>
      </c>
      <c r="P386" s="140" t="s">
        <v>3870</v>
      </c>
      <c r="Q386" s="140" t="s">
        <v>452</v>
      </c>
      <c r="R386" s="140" t="s">
        <v>454</v>
      </c>
      <c r="S386" s="140"/>
      <c r="T386" s="140"/>
      <c r="U386" s="143" t="s">
        <v>481</v>
      </c>
      <c r="V386" s="143"/>
      <c r="W386" s="143"/>
      <c r="X386" s="140" t="s">
        <v>3871</v>
      </c>
      <c r="Y386" s="140" t="s">
        <v>3872</v>
      </c>
      <c r="Z386" s="140" t="str">
        <f ca="1">IFERROR(__xludf.DUMMYFUNCTION("IF(VLOOKUP($Y386, IMPORTRANGE(""https://docs.google.com/spreadsheets/d/1WsTKRjz8_fF2119Ff9dhKIIYXSaUEHzuWr8pBkxmwQQ/edit"", ""Form Responses 1!$B:$Z""),1, FALSE)=$Y386,""Yes"",""No"")"),"#N/A")</f>
        <v>#N/A</v>
      </c>
      <c r="AA386" s="140"/>
      <c r="AB386" s="140"/>
    </row>
    <row r="387" spans="1:28">
      <c r="A387" s="144" t="s">
        <v>529</v>
      </c>
      <c r="B387" s="144" t="s">
        <v>214</v>
      </c>
      <c r="C387" s="144" t="s">
        <v>3873</v>
      </c>
      <c r="D387" s="144" t="s">
        <v>3874</v>
      </c>
      <c r="E387" s="144" t="s">
        <v>3875</v>
      </c>
      <c r="F387" s="144" t="s">
        <v>4</v>
      </c>
      <c r="G387" s="144">
        <v>4</v>
      </c>
      <c r="H387" s="144" t="s">
        <v>24</v>
      </c>
      <c r="I387" s="144" t="s">
        <v>727</v>
      </c>
      <c r="J387" s="144" t="s">
        <v>3876</v>
      </c>
      <c r="K387" s="144">
        <v>4</v>
      </c>
      <c r="L387" s="144" t="s">
        <v>1187</v>
      </c>
      <c r="M387" s="144" t="s">
        <v>3877</v>
      </c>
      <c r="N387" s="144">
        <v>4</v>
      </c>
      <c r="O387" s="144" t="s">
        <v>923</v>
      </c>
      <c r="P387" s="144" t="s">
        <v>729</v>
      </c>
      <c r="Q387" s="144" t="s">
        <v>452</v>
      </c>
      <c r="R387" s="144" t="s">
        <v>452</v>
      </c>
      <c r="S387" s="144"/>
      <c r="T387" s="144"/>
      <c r="U387" s="145" t="s">
        <v>481</v>
      </c>
      <c r="V387" s="145"/>
      <c r="W387" s="145"/>
      <c r="X387" s="144" t="s">
        <v>3878</v>
      </c>
      <c r="Y387" s="144" t="s">
        <v>3879</v>
      </c>
      <c r="Z387" s="144" t="str">
        <f ca="1">IFERROR(__xludf.DUMMYFUNCTION("IF(VLOOKUP($Y387, IMPORTRANGE(""https://docs.google.com/spreadsheets/d/1WsTKRjz8_fF2119Ff9dhKIIYXSaUEHzuWr8pBkxmwQQ/edit"", ""Form Responses 1!$B:$Z""),1, FALSE)=$Y387,""Yes"",""No"")"),"#N/A")</f>
        <v>#N/A</v>
      </c>
      <c r="AA387" s="144"/>
      <c r="AB387" s="144"/>
    </row>
    <row r="388" spans="1:28">
      <c r="A388" s="140" t="s">
        <v>529</v>
      </c>
      <c r="B388" s="140" t="s">
        <v>3880</v>
      </c>
      <c r="C388" s="140" t="s">
        <v>3881</v>
      </c>
      <c r="D388" s="140" t="s">
        <v>3882</v>
      </c>
      <c r="E388" s="140" t="s">
        <v>3883</v>
      </c>
      <c r="F388" s="140" t="s">
        <v>4</v>
      </c>
      <c r="G388" s="140">
        <v>4</v>
      </c>
      <c r="H388" s="140" t="s">
        <v>24</v>
      </c>
      <c r="I388" s="140" t="s">
        <v>725</v>
      </c>
      <c r="J388" s="140" t="s">
        <v>3884</v>
      </c>
      <c r="K388" s="140">
        <v>3</v>
      </c>
      <c r="L388" s="140" t="s">
        <v>1187</v>
      </c>
      <c r="M388" s="140" t="s">
        <v>3885</v>
      </c>
      <c r="N388" s="140">
        <v>5</v>
      </c>
      <c r="O388" s="140" t="s">
        <v>478</v>
      </c>
      <c r="P388" s="140">
        <v>700000</v>
      </c>
      <c r="Q388" s="140" t="s">
        <v>452</v>
      </c>
      <c r="R388" s="140" t="s">
        <v>452</v>
      </c>
      <c r="S388" s="140"/>
      <c r="T388" s="140" t="s">
        <v>3886</v>
      </c>
      <c r="U388" s="143"/>
      <c r="V388" s="143"/>
      <c r="W388" s="143"/>
      <c r="X388" s="140" t="s">
        <v>3887</v>
      </c>
      <c r="Y388" s="140" t="s">
        <v>3888</v>
      </c>
      <c r="Z388" s="140" t="str">
        <f ca="1">IFERROR(__xludf.DUMMYFUNCTION("IF(VLOOKUP($Y388, IMPORTRANGE(""https://docs.google.com/spreadsheets/d/1WsTKRjz8_fF2119Ff9dhKIIYXSaUEHzuWr8pBkxmwQQ/edit"", ""Form Responses 1!$B:$Z""),1, FALSE)=$Y388,""Yes"",""No"")"),"#N/A")</f>
        <v>#N/A</v>
      </c>
      <c r="AA388" s="140"/>
      <c r="AB388" s="140"/>
    </row>
    <row r="389" spans="1:28">
      <c r="A389" s="144" t="s">
        <v>484</v>
      </c>
      <c r="B389" s="144" t="s">
        <v>215</v>
      </c>
      <c r="C389" s="144" t="s">
        <v>3889</v>
      </c>
      <c r="D389" s="144" t="s">
        <v>3890</v>
      </c>
      <c r="E389" s="144" t="s">
        <v>3891</v>
      </c>
      <c r="F389" s="144" t="s">
        <v>4</v>
      </c>
      <c r="G389" s="144">
        <v>4</v>
      </c>
      <c r="H389" s="144" t="s">
        <v>24</v>
      </c>
      <c r="I389" s="144" t="s">
        <v>602</v>
      </c>
      <c r="J389" s="144" t="s">
        <v>3892</v>
      </c>
      <c r="K389" s="144">
        <v>4</v>
      </c>
      <c r="L389" s="144" t="s">
        <v>1054</v>
      </c>
      <c r="M389" s="144" t="s">
        <v>3893</v>
      </c>
      <c r="N389" s="144">
        <v>4</v>
      </c>
      <c r="O389" s="144"/>
      <c r="P389" s="144"/>
      <c r="Q389" s="144" t="s">
        <v>452</v>
      </c>
      <c r="R389" s="144" t="s">
        <v>3894</v>
      </c>
      <c r="S389" s="144"/>
      <c r="T389" s="144"/>
      <c r="U389" s="145" t="s">
        <v>454</v>
      </c>
      <c r="V389" s="145"/>
      <c r="W389" s="145"/>
      <c r="X389" s="144" t="s">
        <v>3895</v>
      </c>
      <c r="Y389" s="144" t="s">
        <v>3896</v>
      </c>
      <c r="Z389" s="144" t="str">
        <f ca="1">IFERROR(__xludf.DUMMYFUNCTION("IF(VLOOKUP($Y389, IMPORTRANGE(""https://docs.google.com/spreadsheets/d/1WsTKRjz8_fF2119Ff9dhKIIYXSaUEHzuWr8pBkxmwQQ/edit"", ""Form Responses 1!$B:$Z""),1, FALSE)=$Y389,""Yes"",""No"")"),"#N/A")</f>
        <v>#N/A</v>
      </c>
      <c r="AA389" s="144"/>
      <c r="AB389" s="144"/>
    </row>
    <row r="390" spans="1:28">
      <c r="A390" s="140" t="s">
        <v>484</v>
      </c>
      <c r="B390" s="140" t="s">
        <v>216</v>
      </c>
      <c r="C390" s="140" t="s">
        <v>3897</v>
      </c>
      <c r="D390" s="140" t="s">
        <v>3898</v>
      </c>
      <c r="E390" s="140" t="s">
        <v>3899</v>
      </c>
      <c r="F390" s="140" t="s">
        <v>4</v>
      </c>
      <c r="G390" s="140">
        <v>4</v>
      </c>
      <c r="H390" s="140" t="s">
        <v>24</v>
      </c>
      <c r="I390" s="140" t="s">
        <v>447</v>
      </c>
      <c r="J390" s="140"/>
      <c r="K390" s="140">
        <v>4</v>
      </c>
      <c r="L390" s="140" t="s">
        <v>543</v>
      </c>
      <c r="M390" s="140" t="s">
        <v>3900</v>
      </c>
      <c r="N390" s="140">
        <v>4</v>
      </c>
      <c r="O390" s="140" t="s">
        <v>451</v>
      </c>
      <c r="P390" s="148">
        <v>3600000</v>
      </c>
      <c r="Q390" s="140" t="s">
        <v>452</v>
      </c>
      <c r="R390" s="140" t="s">
        <v>3901</v>
      </c>
      <c r="S390" s="140" t="s">
        <v>725</v>
      </c>
      <c r="T390" s="140" t="s">
        <v>3902</v>
      </c>
      <c r="U390" s="143" t="s">
        <v>454</v>
      </c>
      <c r="V390" s="143"/>
      <c r="W390" s="143" t="s">
        <v>725</v>
      </c>
      <c r="X390" s="140" t="s">
        <v>3522</v>
      </c>
      <c r="Y390" s="140" t="s">
        <v>3903</v>
      </c>
      <c r="Z390" s="140" t="str">
        <f ca="1">IFERROR(__xludf.DUMMYFUNCTION("IF(VLOOKUP($Y390, IMPORTRANGE(""https://docs.google.com/spreadsheets/d/1WsTKRjz8_fF2119Ff9dhKIIYXSaUEHzuWr8pBkxmwQQ/edit"", ""Form Responses 1!$B:$Z""),1, FALSE)=$Y390,""Yes"",""No"")"),"#N/A")</f>
        <v>#N/A</v>
      </c>
      <c r="AA390" s="140"/>
      <c r="AB390" s="140"/>
    </row>
    <row r="391" spans="1:28">
      <c r="A391" s="144" t="s">
        <v>529</v>
      </c>
      <c r="B391" s="144" t="s">
        <v>3904</v>
      </c>
      <c r="C391" s="144" t="s">
        <v>3905</v>
      </c>
      <c r="D391" s="144" t="s">
        <v>3906</v>
      </c>
      <c r="E391" s="144" t="s">
        <v>3907</v>
      </c>
      <c r="F391" s="144" t="s">
        <v>4</v>
      </c>
      <c r="G391" s="144">
        <v>4</v>
      </c>
      <c r="H391" s="144" t="s">
        <v>24</v>
      </c>
      <c r="I391" s="144" t="s">
        <v>447</v>
      </c>
      <c r="J391" s="144" t="s">
        <v>3908</v>
      </c>
      <c r="K391" s="144">
        <v>4</v>
      </c>
      <c r="L391" s="144" t="s">
        <v>1237</v>
      </c>
      <c r="M391" s="144"/>
      <c r="N391" s="144">
        <v>4</v>
      </c>
      <c r="O391" s="144" t="s">
        <v>451</v>
      </c>
      <c r="P391" s="146">
        <v>4000000</v>
      </c>
      <c r="Q391" s="144" t="s">
        <v>452</v>
      </c>
      <c r="R391" s="144" t="s">
        <v>3909</v>
      </c>
      <c r="S391" s="144"/>
      <c r="T391" s="144"/>
      <c r="U391" s="145"/>
      <c r="V391" s="145"/>
      <c r="W391" s="145"/>
      <c r="X391" s="144" t="s">
        <v>3910</v>
      </c>
      <c r="Y391" s="144" t="s">
        <v>3911</v>
      </c>
      <c r="Z391" s="144" t="str">
        <f ca="1">IFERROR(__xludf.DUMMYFUNCTION("IF(VLOOKUP($Y391, IMPORTRANGE(""https://docs.google.com/spreadsheets/d/1WsTKRjz8_fF2119Ff9dhKIIYXSaUEHzuWr8pBkxmwQQ/edit"", ""Form Responses 1!$B:$Z""),1, FALSE)=$Y391,""Yes"",""No"")"),"#N/A")</f>
        <v>#N/A</v>
      </c>
      <c r="AA391" s="144"/>
      <c r="AB391" s="144"/>
    </row>
    <row r="392" spans="1:28">
      <c r="A392" s="140" t="s">
        <v>471</v>
      </c>
      <c r="B392" s="140" t="s">
        <v>221</v>
      </c>
      <c r="C392" s="140" t="s">
        <v>3912</v>
      </c>
      <c r="D392" s="140" t="s">
        <v>3913</v>
      </c>
      <c r="E392" s="140" t="s">
        <v>3914</v>
      </c>
      <c r="F392" s="140" t="s">
        <v>4</v>
      </c>
      <c r="G392" s="140">
        <v>4</v>
      </c>
      <c r="H392" s="140" t="s">
        <v>24</v>
      </c>
      <c r="I392" s="140" t="s">
        <v>727</v>
      </c>
      <c r="J392" s="140" t="s">
        <v>3915</v>
      </c>
      <c r="K392" s="140">
        <v>4</v>
      </c>
      <c r="L392" s="140" t="s">
        <v>1054</v>
      </c>
      <c r="M392" s="140" t="s">
        <v>3916</v>
      </c>
      <c r="N392" s="140">
        <v>4</v>
      </c>
      <c r="O392" s="140" t="s">
        <v>451</v>
      </c>
      <c r="P392" s="140" t="s">
        <v>3917</v>
      </c>
      <c r="Q392" s="140" t="s">
        <v>452</v>
      </c>
      <c r="R392" s="140" t="s">
        <v>452</v>
      </c>
      <c r="S392" s="140"/>
      <c r="T392" s="140"/>
      <c r="U392" s="143" t="s">
        <v>454</v>
      </c>
      <c r="V392" s="143"/>
      <c r="W392" s="143"/>
      <c r="X392" s="140" t="s">
        <v>3918</v>
      </c>
      <c r="Y392" s="140" t="s">
        <v>3919</v>
      </c>
      <c r="Z392" s="140" t="str">
        <f ca="1">IFERROR(__xludf.DUMMYFUNCTION("IF(VLOOKUP($Y392, IMPORTRANGE(""https://docs.google.com/spreadsheets/d/1WsTKRjz8_fF2119Ff9dhKIIYXSaUEHzuWr8pBkxmwQQ/edit"", ""Form Responses 1!$B:$Z""),1, FALSE)=$Y392,""Yes"",""No"")"),"#N/A")</f>
        <v>#N/A</v>
      </c>
      <c r="AA392" s="140"/>
      <c r="AB392" s="140"/>
    </row>
    <row r="393" spans="1:28">
      <c r="A393" s="144" t="s">
        <v>598</v>
      </c>
      <c r="B393" s="144" t="s">
        <v>222</v>
      </c>
      <c r="C393" s="144" t="s">
        <v>3920</v>
      </c>
      <c r="D393" s="144" t="s">
        <v>3921</v>
      </c>
      <c r="E393" s="144" t="s">
        <v>3922</v>
      </c>
      <c r="F393" s="144" t="s">
        <v>4</v>
      </c>
      <c r="G393" s="144">
        <v>4</v>
      </c>
      <c r="H393" s="144" t="s">
        <v>24</v>
      </c>
      <c r="I393" s="144" t="s">
        <v>727</v>
      </c>
      <c r="J393" s="144" t="s">
        <v>3923</v>
      </c>
      <c r="K393" s="144">
        <v>4</v>
      </c>
      <c r="L393" s="144" t="s">
        <v>1237</v>
      </c>
      <c r="M393" s="144"/>
      <c r="N393" s="144">
        <v>4</v>
      </c>
      <c r="O393" s="144" t="s">
        <v>451</v>
      </c>
      <c r="P393" s="144">
        <v>1500000</v>
      </c>
      <c r="Q393" s="144" t="s">
        <v>452</v>
      </c>
      <c r="R393" s="144" t="s">
        <v>3924</v>
      </c>
      <c r="S393" s="144"/>
      <c r="T393" s="144"/>
      <c r="U393" s="145" t="s">
        <v>481</v>
      </c>
      <c r="V393" s="145"/>
      <c r="W393" s="145"/>
      <c r="X393" s="144" t="s">
        <v>3925</v>
      </c>
      <c r="Y393" s="144" t="s">
        <v>3926</v>
      </c>
      <c r="Z393" s="144" t="str">
        <f ca="1">IFERROR(__xludf.DUMMYFUNCTION("IF(VLOOKUP($Y393, IMPORTRANGE(""https://docs.google.com/spreadsheets/d/1WsTKRjz8_fF2119Ff9dhKIIYXSaUEHzuWr8pBkxmwQQ/edit"", ""Form Responses 1!$B:$Z""),1, FALSE)=$Y393,""Yes"",""No"")"),"#N/A")</f>
        <v>#N/A</v>
      </c>
      <c r="AA393" s="144"/>
      <c r="AB393" s="144"/>
    </row>
    <row r="394" spans="1:28">
      <c r="A394" s="140" t="s">
        <v>529</v>
      </c>
      <c r="B394" s="140" t="s">
        <v>225</v>
      </c>
      <c r="C394" s="140" t="s">
        <v>3927</v>
      </c>
      <c r="D394" s="140" t="s">
        <v>3928</v>
      </c>
      <c r="E394" s="140" t="s">
        <v>3929</v>
      </c>
      <c r="F394" s="140" t="s">
        <v>4</v>
      </c>
      <c r="G394" s="140">
        <v>4</v>
      </c>
      <c r="H394" s="140" t="s">
        <v>24</v>
      </c>
      <c r="I394" s="140" t="s">
        <v>1045</v>
      </c>
      <c r="J394" s="140" t="s">
        <v>3930</v>
      </c>
      <c r="K394" s="140">
        <v>4</v>
      </c>
      <c r="L394" s="140" t="s">
        <v>1281</v>
      </c>
      <c r="M394" s="140" t="s">
        <v>3931</v>
      </c>
      <c r="N394" s="140">
        <v>4</v>
      </c>
      <c r="O394" s="140" t="s">
        <v>478</v>
      </c>
      <c r="P394" s="148">
        <v>11000000</v>
      </c>
      <c r="Q394" s="140" t="s">
        <v>465</v>
      </c>
      <c r="R394" s="140" t="s">
        <v>3932</v>
      </c>
      <c r="S394" s="140"/>
      <c r="T394" s="140"/>
      <c r="U394" s="143" t="s">
        <v>454</v>
      </c>
      <c r="V394" s="143"/>
      <c r="W394" s="143"/>
      <c r="X394" s="140" t="s">
        <v>3933</v>
      </c>
      <c r="Y394" s="140" t="s">
        <v>3934</v>
      </c>
      <c r="Z394" s="140" t="str">
        <f ca="1">IFERROR(__xludf.DUMMYFUNCTION("IF(VLOOKUP($Y394, IMPORTRANGE(""https://docs.google.com/spreadsheets/d/1WsTKRjz8_fF2119Ff9dhKIIYXSaUEHzuWr8pBkxmwQQ/edit"", ""Form Responses 1!$B:$Z""),1, FALSE)=$Y394,""Yes"",""No"")"),"#N/A")</f>
        <v>#N/A</v>
      </c>
      <c r="AA394" s="140"/>
      <c r="AB394" s="140"/>
    </row>
    <row r="395" spans="1:28">
      <c r="A395" s="144" t="s">
        <v>907</v>
      </c>
      <c r="B395" s="144" t="s">
        <v>226</v>
      </c>
      <c r="C395" s="144" t="s">
        <v>3935</v>
      </c>
      <c r="D395" s="144" t="s">
        <v>3936</v>
      </c>
      <c r="E395" s="144" t="s">
        <v>3937</v>
      </c>
      <c r="F395" s="144" t="s">
        <v>4</v>
      </c>
      <c r="G395" s="144">
        <v>4</v>
      </c>
      <c r="H395" s="144" t="s">
        <v>24</v>
      </c>
      <c r="I395" s="144" t="s">
        <v>1045</v>
      </c>
      <c r="J395" s="144" t="s">
        <v>3938</v>
      </c>
      <c r="K395" s="144">
        <v>3.5</v>
      </c>
      <c r="L395" s="144" t="s">
        <v>1350</v>
      </c>
      <c r="M395" s="144" t="s">
        <v>3939</v>
      </c>
      <c r="N395" s="144">
        <v>4.5</v>
      </c>
      <c r="O395" s="144"/>
      <c r="P395" s="144"/>
      <c r="Q395" s="144" t="s">
        <v>452</v>
      </c>
      <c r="R395" s="144" t="s">
        <v>3940</v>
      </c>
      <c r="S395" s="144"/>
      <c r="T395" s="144"/>
      <c r="U395" s="145" t="s">
        <v>481</v>
      </c>
      <c r="V395" s="145"/>
      <c r="W395" s="145"/>
      <c r="X395" s="144" t="s">
        <v>3941</v>
      </c>
      <c r="Y395" s="144" t="s">
        <v>3942</v>
      </c>
      <c r="Z395" s="144" t="str">
        <f ca="1">IFERROR(__xludf.DUMMYFUNCTION("IF(VLOOKUP($Y395, IMPORTRANGE(""https://docs.google.com/spreadsheets/d/1WsTKRjz8_fF2119Ff9dhKIIYXSaUEHzuWr8pBkxmwQQ/edit"", ""Form Responses 1!$B:$Z""),1, FALSE)=$Y395,""Yes"",""No"")"),"#N/A")</f>
        <v>#N/A</v>
      </c>
      <c r="AA395" s="144"/>
      <c r="AB395" s="144"/>
    </row>
    <row r="396" spans="1:28">
      <c r="A396" s="140" t="s">
        <v>529</v>
      </c>
      <c r="B396" s="140" t="s">
        <v>228</v>
      </c>
      <c r="C396" s="140" t="s">
        <v>3943</v>
      </c>
      <c r="D396" s="140" t="s">
        <v>3944</v>
      </c>
      <c r="E396" s="140" t="s">
        <v>3945</v>
      </c>
      <c r="F396" s="140" t="s">
        <v>4</v>
      </c>
      <c r="G396" s="140">
        <v>4</v>
      </c>
      <c r="H396" s="140" t="s">
        <v>24</v>
      </c>
      <c r="I396" s="140" t="s">
        <v>725</v>
      </c>
      <c r="J396" s="140" t="s">
        <v>3946</v>
      </c>
      <c r="K396" s="140">
        <v>4</v>
      </c>
      <c r="L396" s="140" t="s">
        <v>1281</v>
      </c>
      <c r="M396" s="140" t="s">
        <v>3947</v>
      </c>
      <c r="N396" s="140">
        <v>4</v>
      </c>
      <c r="O396" s="140" t="s">
        <v>3948</v>
      </c>
      <c r="P396" s="140" t="s">
        <v>3949</v>
      </c>
      <c r="Q396" s="140" t="s">
        <v>452</v>
      </c>
      <c r="R396" s="140" t="s">
        <v>452</v>
      </c>
      <c r="S396" s="140"/>
      <c r="T396" s="140"/>
      <c r="U396" s="143" t="s">
        <v>454</v>
      </c>
      <c r="V396" s="143"/>
      <c r="W396" s="143"/>
      <c r="X396" s="140" t="s">
        <v>3950</v>
      </c>
      <c r="Y396" s="140" t="s">
        <v>3951</v>
      </c>
      <c r="Z396" s="140" t="str">
        <f ca="1">IFERROR(__xludf.DUMMYFUNCTION("IF(VLOOKUP($Y396, IMPORTRANGE(""https://docs.google.com/spreadsheets/d/1WsTKRjz8_fF2119Ff9dhKIIYXSaUEHzuWr8pBkxmwQQ/edit"", ""Form Responses 1!$B:$Z""),1, FALSE)=$Y396,""Yes"",""No"")"),"#N/A")</f>
        <v>#N/A</v>
      </c>
      <c r="AA396" s="140"/>
      <c r="AB396" s="140"/>
    </row>
    <row r="397" spans="1:28">
      <c r="A397" s="144" t="s">
        <v>529</v>
      </c>
      <c r="B397" s="144" t="s">
        <v>229</v>
      </c>
      <c r="C397" s="144" t="s">
        <v>3952</v>
      </c>
      <c r="D397" s="144" t="s">
        <v>3953</v>
      </c>
      <c r="E397" s="144" t="s">
        <v>3954</v>
      </c>
      <c r="F397" s="144" t="s">
        <v>4</v>
      </c>
      <c r="G397" s="144">
        <v>4</v>
      </c>
      <c r="H397" s="144" t="s">
        <v>24</v>
      </c>
      <c r="I397" s="144" t="s">
        <v>1045</v>
      </c>
      <c r="J397" s="144" t="s">
        <v>3955</v>
      </c>
      <c r="K397" s="144">
        <v>4</v>
      </c>
      <c r="L397" s="144" t="s">
        <v>1298</v>
      </c>
      <c r="M397" s="144" t="s">
        <v>3956</v>
      </c>
      <c r="N397" s="144">
        <v>4</v>
      </c>
      <c r="O397" s="144" t="s">
        <v>451</v>
      </c>
      <c r="P397" s="147">
        <v>2000000</v>
      </c>
      <c r="Q397" s="144" t="s">
        <v>454</v>
      </c>
      <c r="R397" s="144" t="s">
        <v>452</v>
      </c>
      <c r="S397" s="144" t="s">
        <v>3957</v>
      </c>
      <c r="T397" s="144"/>
      <c r="U397" s="145" t="s">
        <v>481</v>
      </c>
      <c r="V397" s="145" t="s">
        <v>557</v>
      </c>
      <c r="W397" s="145" t="s">
        <v>3957</v>
      </c>
      <c r="X397" s="144" t="s">
        <v>3958</v>
      </c>
      <c r="Y397" s="144" t="s">
        <v>3959</v>
      </c>
      <c r="Z397" s="144" t="str">
        <f ca="1">IFERROR(__xludf.DUMMYFUNCTION("IF(VLOOKUP($Y397, IMPORTRANGE(""https://docs.google.com/spreadsheets/d/1WsTKRjz8_fF2119Ff9dhKIIYXSaUEHzuWr8pBkxmwQQ/edit"", ""Form Responses 1!$B:$Z""),1, FALSE)=$Y397,""Yes"",""No"")"),"#N/A")</f>
        <v>#N/A</v>
      </c>
      <c r="AA397" s="144"/>
      <c r="AB397" s="144"/>
    </row>
    <row r="398" spans="1:28">
      <c r="A398" s="140" t="s">
        <v>471</v>
      </c>
      <c r="B398" s="140" t="s">
        <v>230</v>
      </c>
      <c r="C398" s="140" t="s">
        <v>3960</v>
      </c>
      <c r="D398" s="140" t="s">
        <v>3961</v>
      </c>
      <c r="E398" s="140" t="s">
        <v>3962</v>
      </c>
      <c r="F398" s="140" t="s">
        <v>4</v>
      </c>
      <c r="G398" s="140">
        <v>4</v>
      </c>
      <c r="H398" s="140" t="s">
        <v>24</v>
      </c>
      <c r="I398" s="140" t="s">
        <v>727</v>
      </c>
      <c r="J398" s="140" t="s">
        <v>3963</v>
      </c>
      <c r="K398" s="140">
        <v>4</v>
      </c>
      <c r="L398" s="140" t="s">
        <v>941</v>
      </c>
      <c r="M398" s="140" t="s">
        <v>3964</v>
      </c>
      <c r="N398" s="140">
        <v>4</v>
      </c>
      <c r="O398" s="140"/>
      <c r="P398" s="140"/>
      <c r="Q398" s="140" t="s">
        <v>452</v>
      </c>
      <c r="R398" s="140" t="s">
        <v>3965</v>
      </c>
      <c r="S398" s="140" t="s">
        <v>3966</v>
      </c>
      <c r="T398" s="140"/>
      <c r="U398" s="143" t="s">
        <v>454</v>
      </c>
      <c r="V398" s="143"/>
      <c r="W398" s="143" t="s">
        <v>3966</v>
      </c>
      <c r="X398" s="140" t="s">
        <v>3967</v>
      </c>
      <c r="Y398" s="140" t="s">
        <v>3968</v>
      </c>
      <c r="Z398" s="140" t="str">
        <f ca="1">IFERROR(__xludf.DUMMYFUNCTION("IF(VLOOKUP($Y398, IMPORTRANGE(""https://docs.google.com/spreadsheets/d/1WsTKRjz8_fF2119Ff9dhKIIYXSaUEHzuWr8pBkxmwQQ/edit"", ""Form Responses 1!$B:$Z""),1, FALSE)=$Y398,""Yes"",""No"")"),"#N/A")</f>
        <v>#N/A</v>
      </c>
      <c r="AA398" s="140"/>
      <c r="AB398" s="140"/>
    </row>
    <row r="399" spans="1:28">
      <c r="A399" s="144" t="s">
        <v>484</v>
      </c>
      <c r="B399" s="144" t="s">
        <v>232</v>
      </c>
      <c r="C399" s="144" t="s">
        <v>3969</v>
      </c>
      <c r="D399" s="144" t="s">
        <v>3970</v>
      </c>
      <c r="E399" s="144" t="s">
        <v>3971</v>
      </c>
      <c r="F399" s="144" t="s">
        <v>4</v>
      </c>
      <c r="G399" s="144">
        <v>4</v>
      </c>
      <c r="H399" s="144" t="s">
        <v>24</v>
      </c>
      <c r="I399" s="144" t="s">
        <v>447</v>
      </c>
      <c r="J399" s="144" t="s">
        <v>3972</v>
      </c>
      <c r="K399" s="144">
        <v>4</v>
      </c>
      <c r="L399" s="144" t="s">
        <v>476</v>
      </c>
      <c r="M399" s="144" t="s">
        <v>3973</v>
      </c>
      <c r="N399" s="144">
        <v>4</v>
      </c>
      <c r="O399" s="144" t="s">
        <v>3974</v>
      </c>
      <c r="P399" s="146">
        <v>5000000</v>
      </c>
      <c r="Q399" s="144" t="s">
        <v>452</v>
      </c>
      <c r="R399" s="144" t="s">
        <v>3420</v>
      </c>
      <c r="S399" s="144"/>
      <c r="T399" s="144" t="s">
        <v>3975</v>
      </c>
      <c r="U399" s="145" t="s">
        <v>481</v>
      </c>
      <c r="V399" s="145"/>
      <c r="W399" s="145"/>
      <c r="X399" s="144" t="s">
        <v>3976</v>
      </c>
      <c r="Y399" s="144" t="s">
        <v>3977</v>
      </c>
      <c r="Z399" s="144" t="str">
        <f ca="1">IFERROR(__xludf.DUMMYFUNCTION("IF(VLOOKUP($Y399, IMPORTRANGE(""https://docs.google.com/spreadsheets/d/1WsTKRjz8_fF2119Ff9dhKIIYXSaUEHzuWr8pBkxmwQQ/edit"", ""Form Responses 1!$B:$Z""),1, FALSE)=$Y399,""Yes"",""No"")"),"#N/A")</f>
        <v>#N/A</v>
      </c>
      <c r="AA399" s="144"/>
      <c r="AB399" s="144"/>
    </row>
    <row r="400" spans="1:28">
      <c r="A400" s="140" t="s">
        <v>907</v>
      </c>
      <c r="B400" s="140" t="s">
        <v>234</v>
      </c>
      <c r="C400" s="140" t="s">
        <v>3978</v>
      </c>
      <c r="D400" s="140" t="s">
        <v>3979</v>
      </c>
      <c r="E400" s="140" t="s">
        <v>3980</v>
      </c>
      <c r="F400" s="140" t="s">
        <v>4</v>
      </c>
      <c r="G400" s="140">
        <v>4</v>
      </c>
      <c r="H400" s="140" t="s">
        <v>24</v>
      </c>
      <c r="I400" s="140" t="s">
        <v>447</v>
      </c>
      <c r="J400" s="140" t="s">
        <v>3981</v>
      </c>
      <c r="K400" s="140">
        <v>3</v>
      </c>
      <c r="L400" s="140" t="s">
        <v>1371</v>
      </c>
      <c r="M400" s="140" t="s">
        <v>3982</v>
      </c>
      <c r="N400" s="140">
        <v>5</v>
      </c>
      <c r="O400" s="140"/>
      <c r="P400" s="140"/>
      <c r="Q400" s="140" t="s">
        <v>452</v>
      </c>
      <c r="R400" s="140" t="s">
        <v>3983</v>
      </c>
      <c r="S400" s="140"/>
      <c r="T400" s="140"/>
      <c r="U400" s="143" t="s">
        <v>481</v>
      </c>
      <c r="V400" s="143"/>
      <c r="W400" s="143"/>
      <c r="X400" s="140" t="s">
        <v>1163</v>
      </c>
      <c r="Y400" s="140" t="s">
        <v>3984</v>
      </c>
      <c r="Z400" s="140" t="str">
        <f ca="1">IFERROR(__xludf.DUMMYFUNCTION("IF(VLOOKUP($Y400, IMPORTRANGE(""https://docs.google.com/spreadsheets/d/1WsTKRjz8_fF2119Ff9dhKIIYXSaUEHzuWr8pBkxmwQQ/edit"", ""Form Responses 1!$B:$Z""),1, FALSE)=$Y400,""Yes"",""No"")"),"#N/A")</f>
        <v>#N/A</v>
      </c>
      <c r="AA400" s="140"/>
      <c r="AB400" s="140"/>
    </row>
    <row r="401" spans="1:28">
      <c r="A401" s="144" t="s">
        <v>443</v>
      </c>
      <c r="B401" s="144" t="s">
        <v>235</v>
      </c>
      <c r="C401" s="144" t="s">
        <v>3985</v>
      </c>
      <c r="D401" s="144" t="s">
        <v>3986</v>
      </c>
      <c r="E401" s="144" t="s">
        <v>3987</v>
      </c>
      <c r="F401" s="144" t="s">
        <v>4</v>
      </c>
      <c r="G401" s="144">
        <v>4</v>
      </c>
      <c r="H401" s="144" t="s">
        <v>24</v>
      </c>
      <c r="I401" s="144" t="s">
        <v>727</v>
      </c>
      <c r="J401" s="144" t="s">
        <v>3988</v>
      </c>
      <c r="K401" s="144">
        <v>4</v>
      </c>
      <c r="L401" s="144" t="s">
        <v>1045</v>
      </c>
      <c r="M401" s="144" t="s">
        <v>3989</v>
      </c>
      <c r="N401" s="144">
        <v>4</v>
      </c>
      <c r="O401" s="144"/>
      <c r="P401" s="144"/>
      <c r="Q401" s="144" t="s">
        <v>452</v>
      </c>
      <c r="R401" s="144" t="s">
        <v>3990</v>
      </c>
      <c r="S401" s="144"/>
      <c r="T401" s="144"/>
      <c r="U401" s="145" t="s">
        <v>481</v>
      </c>
      <c r="V401" s="145"/>
      <c r="W401" s="145"/>
      <c r="X401" s="144" t="s">
        <v>3991</v>
      </c>
      <c r="Y401" s="144" t="s">
        <v>3992</v>
      </c>
      <c r="Z401" s="144" t="str">
        <f ca="1">IFERROR(__xludf.DUMMYFUNCTION("IF(VLOOKUP($Y401, IMPORTRANGE(""https://docs.google.com/spreadsheets/d/1WsTKRjz8_fF2119Ff9dhKIIYXSaUEHzuWr8pBkxmwQQ/edit"", ""Form Responses 1!$B:$Z""),1, FALSE)=$Y401,""Yes"",""No"")"),"#N/A")</f>
        <v>#N/A</v>
      </c>
      <c r="AA401" s="144"/>
      <c r="AB401" s="144"/>
    </row>
    <row r="402" spans="1:28">
      <c r="A402" s="140" t="s">
        <v>529</v>
      </c>
      <c r="B402" s="140" t="s">
        <v>236</v>
      </c>
      <c r="C402" s="140" t="s">
        <v>3993</v>
      </c>
      <c r="D402" s="140" t="s">
        <v>3994</v>
      </c>
      <c r="E402" s="140" t="s">
        <v>3995</v>
      </c>
      <c r="F402" s="140" t="s">
        <v>4</v>
      </c>
      <c r="G402" s="140">
        <v>4</v>
      </c>
      <c r="H402" s="140" t="s">
        <v>24</v>
      </c>
      <c r="I402" s="140" t="s">
        <v>727</v>
      </c>
      <c r="J402" s="140" t="s">
        <v>3996</v>
      </c>
      <c r="K402" s="140">
        <v>4</v>
      </c>
      <c r="L402" s="140" t="s">
        <v>1371</v>
      </c>
      <c r="M402" s="140" t="s">
        <v>3997</v>
      </c>
      <c r="N402" s="140">
        <v>4</v>
      </c>
      <c r="O402" s="140"/>
      <c r="P402" s="140"/>
      <c r="Q402" s="140" t="s">
        <v>452</v>
      </c>
      <c r="R402" s="140" t="s">
        <v>3998</v>
      </c>
      <c r="S402" s="140"/>
      <c r="T402" s="140"/>
      <c r="U402" s="143" t="s">
        <v>481</v>
      </c>
      <c r="V402" s="143"/>
      <c r="W402" s="143"/>
      <c r="X402" s="140" t="s">
        <v>3999</v>
      </c>
      <c r="Y402" s="140" t="s">
        <v>4000</v>
      </c>
      <c r="Z402" s="140" t="str">
        <f ca="1">IFERROR(__xludf.DUMMYFUNCTION("IF(VLOOKUP($Y402, IMPORTRANGE(""https://docs.google.com/spreadsheets/d/1WsTKRjz8_fF2119Ff9dhKIIYXSaUEHzuWr8pBkxmwQQ/edit"", ""Form Responses 1!$B:$Z""),1, FALSE)=$Y402,""Yes"",""No"")"),"#N/A")</f>
        <v>#N/A</v>
      </c>
      <c r="AA402" s="140"/>
      <c r="AB402" s="140"/>
    </row>
    <row r="403" spans="1:28">
      <c r="A403" s="144" t="s">
        <v>443</v>
      </c>
      <c r="B403" s="144" t="s">
        <v>238</v>
      </c>
      <c r="C403" s="144" t="s">
        <v>4001</v>
      </c>
      <c r="D403" s="144" t="s">
        <v>4002</v>
      </c>
      <c r="E403" s="144" t="s">
        <v>4003</v>
      </c>
      <c r="F403" s="144" t="s">
        <v>4</v>
      </c>
      <c r="G403" s="144">
        <v>4</v>
      </c>
      <c r="H403" s="144" t="s">
        <v>24</v>
      </c>
      <c r="I403" s="144" t="s">
        <v>727</v>
      </c>
      <c r="J403" s="144"/>
      <c r="K403" s="144">
        <v>4</v>
      </c>
      <c r="L403" s="144" t="s">
        <v>1045</v>
      </c>
      <c r="M403" s="144" t="s">
        <v>4004</v>
      </c>
      <c r="N403" s="144">
        <v>4</v>
      </c>
      <c r="O403" s="144" t="s">
        <v>451</v>
      </c>
      <c r="P403" s="144" t="s">
        <v>4005</v>
      </c>
      <c r="Q403" s="144" t="s">
        <v>454</v>
      </c>
      <c r="R403" s="144" t="s">
        <v>4006</v>
      </c>
      <c r="S403" s="144"/>
      <c r="T403" s="144"/>
      <c r="U403" s="145" t="s">
        <v>454</v>
      </c>
      <c r="V403" s="145" t="s">
        <v>557</v>
      </c>
      <c r="W403" s="145"/>
      <c r="X403" s="144" t="s">
        <v>4007</v>
      </c>
      <c r="Y403" s="144" t="s">
        <v>4008</v>
      </c>
      <c r="Z403" s="144" t="str">
        <f ca="1">IFERROR(__xludf.DUMMYFUNCTION("IF(VLOOKUP($Y403, IMPORTRANGE(""https://docs.google.com/spreadsheets/d/1WsTKRjz8_fF2119Ff9dhKIIYXSaUEHzuWr8pBkxmwQQ/edit"", ""Form Responses 1!$B:$Z""),1, FALSE)=$Y403,""Yes"",""No"")"),"#N/A")</f>
        <v>#N/A</v>
      </c>
      <c r="AA403" s="144"/>
      <c r="AB403" s="144"/>
    </row>
    <row r="404" spans="1:28">
      <c r="A404" s="140" t="s">
        <v>484</v>
      </c>
      <c r="B404" s="140" t="s">
        <v>239</v>
      </c>
      <c r="C404" s="140" t="s">
        <v>4009</v>
      </c>
      <c r="D404" s="140" t="s">
        <v>4010</v>
      </c>
      <c r="E404" s="140" t="s">
        <v>4011</v>
      </c>
      <c r="F404" s="140" t="s">
        <v>4</v>
      </c>
      <c r="G404" s="140">
        <v>4</v>
      </c>
      <c r="H404" s="140" t="s">
        <v>24</v>
      </c>
      <c r="I404" s="140" t="s">
        <v>727</v>
      </c>
      <c r="J404" s="140" t="s">
        <v>4012</v>
      </c>
      <c r="K404" s="140">
        <v>4</v>
      </c>
      <c r="L404" s="140" t="s">
        <v>1054</v>
      </c>
      <c r="M404" s="140" t="s">
        <v>4013</v>
      </c>
      <c r="N404" s="140">
        <v>4</v>
      </c>
      <c r="O404" s="140" t="s">
        <v>451</v>
      </c>
      <c r="P404" s="140" t="s">
        <v>4014</v>
      </c>
      <c r="Q404" s="140" t="s">
        <v>465</v>
      </c>
      <c r="R404" s="140" t="s">
        <v>4015</v>
      </c>
      <c r="S404" s="140"/>
      <c r="T404" s="140"/>
      <c r="U404" s="143" t="s">
        <v>481</v>
      </c>
      <c r="V404" s="143"/>
      <c r="W404" s="143"/>
      <c r="X404" s="140" t="s">
        <v>4016</v>
      </c>
      <c r="Y404" s="140" t="s">
        <v>4017</v>
      </c>
      <c r="Z404" s="140" t="str">
        <f ca="1">IFERROR(__xludf.DUMMYFUNCTION("IF(VLOOKUP($Y404, IMPORTRANGE(""https://docs.google.com/spreadsheets/d/1WsTKRjz8_fF2119Ff9dhKIIYXSaUEHzuWr8pBkxmwQQ/edit"", ""Form Responses 1!$B:$Z""),1, FALSE)=$Y404,""Yes"",""No"")"),"#N/A")</f>
        <v>#N/A</v>
      </c>
      <c r="AA404" s="140"/>
      <c r="AB404" s="140"/>
    </row>
    <row r="405" spans="1:28">
      <c r="A405" s="144" t="s">
        <v>598</v>
      </c>
      <c r="B405" s="144" t="s">
        <v>242</v>
      </c>
      <c r="C405" s="144" t="s">
        <v>4018</v>
      </c>
      <c r="D405" s="144" t="s">
        <v>4019</v>
      </c>
      <c r="E405" s="144" t="s">
        <v>4020</v>
      </c>
      <c r="F405" s="144" t="s">
        <v>4</v>
      </c>
      <c r="G405" s="144">
        <v>4</v>
      </c>
      <c r="H405" s="144" t="s">
        <v>24</v>
      </c>
      <c r="I405" s="144" t="s">
        <v>725</v>
      </c>
      <c r="J405" s="144" t="s">
        <v>4021</v>
      </c>
      <c r="K405" s="144">
        <v>4</v>
      </c>
      <c r="L405" s="144" t="s">
        <v>1045</v>
      </c>
      <c r="M405" s="144" t="s">
        <v>4022</v>
      </c>
      <c r="N405" s="144">
        <v>4</v>
      </c>
      <c r="O405" s="144"/>
      <c r="P405" s="144"/>
      <c r="Q405" s="144" t="s">
        <v>465</v>
      </c>
      <c r="R405" s="144" t="s">
        <v>452</v>
      </c>
      <c r="S405" s="144"/>
      <c r="T405" s="144" t="s">
        <v>4023</v>
      </c>
      <c r="U405" s="145" t="s">
        <v>481</v>
      </c>
      <c r="V405" s="145"/>
      <c r="W405" s="145"/>
      <c r="X405" s="144" t="s">
        <v>4024</v>
      </c>
      <c r="Y405" s="144" t="s">
        <v>4025</v>
      </c>
      <c r="Z405" s="144" t="str">
        <f ca="1">IFERROR(__xludf.DUMMYFUNCTION("IF(VLOOKUP($Y405, IMPORTRANGE(""https://docs.google.com/spreadsheets/d/1WsTKRjz8_fF2119Ff9dhKIIYXSaUEHzuWr8pBkxmwQQ/edit"", ""Form Responses 1!$B:$Z""),1, FALSE)=$Y405,""Yes"",""No"")"),"#N/A")</f>
        <v>#N/A</v>
      </c>
      <c r="AA405" s="144"/>
      <c r="AB405" s="144"/>
    </row>
    <row r="406" spans="1:28">
      <c r="A406" s="140" t="s">
        <v>598</v>
      </c>
      <c r="B406" s="140" t="s">
        <v>243</v>
      </c>
      <c r="C406" s="140" t="s">
        <v>4026</v>
      </c>
      <c r="D406" s="140" t="s">
        <v>4027</v>
      </c>
      <c r="E406" s="140" t="s">
        <v>4028</v>
      </c>
      <c r="F406" s="140" t="s">
        <v>4</v>
      </c>
      <c r="G406" s="140">
        <v>4</v>
      </c>
      <c r="H406" s="140" t="s">
        <v>24</v>
      </c>
      <c r="I406" s="140" t="s">
        <v>602</v>
      </c>
      <c r="J406" s="140" t="s">
        <v>4029</v>
      </c>
      <c r="K406" s="140">
        <v>4</v>
      </c>
      <c r="L406" s="140" t="s">
        <v>476</v>
      </c>
      <c r="M406" s="140" t="s">
        <v>4030</v>
      </c>
      <c r="N406" s="140">
        <v>4</v>
      </c>
      <c r="O406" s="140"/>
      <c r="P406" s="140"/>
      <c r="Q406" s="140" t="s">
        <v>452</v>
      </c>
      <c r="R406" s="140" t="s">
        <v>4031</v>
      </c>
      <c r="S406" s="140"/>
      <c r="T406" s="140"/>
      <c r="U406" s="143" t="s">
        <v>481</v>
      </c>
      <c r="V406" s="143"/>
      <c r="W406" s="143"/>
      <c r="X406" s="140" t="s">
        <v>4032</v>
      </c>
      <c r="Y406" s="140" t="s">
        <v>4033</v>
      </c>
      <c r="Z406" s="140" t="str">
        <f ca="1">IFERROR(__xludf.DUMMYFUNCTION("IF(VLOOKUP($Y406, IMPORTRANGE(""https://docs.google.com/spreadsheets/d/1WsTKRjz8_fF2119Ff9dhKIIYXSaUEHzuWr8pBkxmwQQ/edit"", ""Form Responses 1!$B:$Z""),1, FALSE)=$Y406,""Yes"",""No"")"),"#N/A")</f>
        <v>#N/A</v>
      </c>
      <c r="AA406" s="140"/>
      <c r="AB406" s="140"/>
    </row>
    <row r="407" spans="1:28">
      <c r="A407" s="144" t="s">
        <v>907</v>
      </c>
      <c r="B407" s="144" t="s">
        <v>244</v>
      </c>
      <c r="C407" s="144" t="s">
        <v>4034</v>
      </c>
      <c r="D407" s="144" t="s">
        <v>4035</v>
      </c>
      <c r="E407" s="144" t="s">
        <v>4036</v>
      </c>
      <c r="F407" s="144" t="s">
        <v>4</v>
      </c>
      <c r="G407" s="144">
        <v>4</v>
      </c>
      <c r="H407" s="144" t="s">
        <v>24</v>
      </c>
      <c r="I407" s="144" t="s">
        <v>727</v>
      </c>
      <c r="J407" s="144" t="s">
        <v>4037</v>
      </c>
      <c r="K407" s="144">
        <v>4</v>
      </c>
      <c r="L407" s="144" t="s">
        <v>1457</v>
      </c>
      <c r="M407" s="144" t="s">
        <v>4038</v>
      </c>
      <c r="N407" s="144">
        <v>4</v>
      </c>
      <c r="O407" s="144"/>
      <c r="P407" s="144"/>
      <c r="Q407" s="144" t="s">
        <v>454</v>
      </c>
      <c r="R407" s="144" t="s">
        <v>452</v>
      </c>
      <c r="S407" s="144"/>
      <c r="T407" s="144"/>
      <c r="U407" s="145" t="s">
        <v>454</v>
      </c>
      <c r="V407" s="145" t="s">
        <v>947</v>
      </c>
      <c r="W407" s="145"/>
      <c r="X407" s="144" t="s">
        <v>4039</v>
      </c>
      <c r="Y407" s="144" t="s">
        <v>4040</v>
      </c>
      <c r="Z407" s="144" t="str">
        <f ca="1">IFERROR(__xludf.DUMMYFUNCTION("IF(VLOOKUP($Y407, IMPORTRANGE(""https://docs.google.com/spreadsheets/d/1WsTKRjz8_fF2119Ff9dhKIIYXSaUEHzuWr8pBkxmwQQ/edit"", ""Form Responses 1!$B:$Z""),1, FALSE)=$Y407,""Yes"",""No"")"),"#N/A")</f>
        <v>#N/A</v>
      </c>
      <c r="AA407" s="144"/>
      <c r="AB407" s="144"/>
    </row>
    <row r="408" spans="1:28">
      <c r="A408" s="140" t="s">
        <v>907</v>
      </c>
      <c r="B408" s="140" t="s">
        <v>247</v>
      </c>
      <c r="C408" s="140" t="s">
        <v>4041</v>
      </c>
      <c r="D408" s="140" t="s">
        <v>4042</v>
      </c>
      <c r="E408" s="140" t="s">
        <v>4043</v>
      </c>
      <c r="F408" s="140" t="s">
        <v>4</v>
      </c>
      <c r="G408" s="140">
        <v>4</v>
      </c>
      <c r="H408" s="140" t="s">
        <v>24</v>
      </c>
      <c r="I408" s="140" t="s">
        <v>725</v>
      </c>
      <c r="J408" s="140" t="s">
        <v>4044</v>
      </c>
      <c r="K408" s="140">
        <v>4</v>
      </c>
      <c r="L408" s="140" t="s">
        <v>1457</v>
      </c>
      <c r="M408" s="140" t="s">
        <v>4045</v>
      </c>
      <c r="N408" s="140">
        <v>4</v>
      </c>
      <c r="O408" s="140" t="s">
        <v>451</v>
      </c>
      <c r="P408" s="148">
        <v>1500000</v>
      </c>
      <c r="Q408" s="140" t="s">
        <v>452</v>
      </c>
      <c r="R408" s="140" t="s">
        <v>4046</v>
      </c>
      <c r="S408" s="140" t="s">
        <v>4047</v>
      </c>
      <c r="T408" s="140"/>
      <c r="U408" s="143" t="s">
        <v>481</v>
      </c>
      <c r="V408" s="143"/>
      <c r="W408" s="143" t="s">
        <v>4047</v>
      </c>
      <c r="X408" s="140" t="s">
        <v>4048</v>
      </c>
      <c r="Y408" s="140" t="s">
        <v>4049</v>
      </c>
      <c r="Z408" s="140" t="str">
        <f ca="1">IFERROR(__xludf.DUMMYFUNCTION("IF(VLOOKUP($Y408, IMPORTRANGE(""https://docs.google.com/spreadsheets/d/1WsTKRjz8_fF2119Ff9dhKIIYXSaUEHzuWr8pBkxmwQQ/edit"", ""Form Responses 1!$B:$Z""),1, FALSE)=$Y408,""Yes"",""No"")"),"#N/A")</f>
        <v>#N/A</v>
      </c>
      <c r="AA408" s="140"/>
      <c r="AB408" s="140"/>
    </row>
    <row r="409" spans="1:28">
      <c r="A409" s="144" t="s">
        <v>529</v>
      </c>
      <c r="B409" s="144" t="s">
        <v>248</v>
      </c>
      <c r="C409" s="144" t="s">
        <v>4050</v>
      </c>
      <c r="D409" s="144" t="s">
        <v>4051</v>
      </c>
      <c r="E409" s="144" t="s">
        <v>4052</v>
      </c>
      <c r="F409" s="144" t="s">
        <v>4</v>
      </c>
      <c r="G409" s="144">
        <v>4</v>
      </c>
      <c r="H409" s="144" t="s">
        <v>24</v>
      </c>
      <c r="I409" s="144" t="s">
        <v>725</v>
      </c>
      <c r="J409" s="144" t="s">
        <v>4053</v>
      </c>
      <c r="K409" s="144">
        <v>4</v>
      </c>
      <c r="L409" s="144" t="s">
        <v>4054</v>
      </c>
      <c r="M409" s="144" t="s">
        <v>4055</v>
      </c>
      <c r="N409" s="144">
        <v>4</v>
      </c>
      <c r="O409" s="144" t="s">
        <v>4056</v>
      </c>
      <c r="P409" s="144" t="s">
        <v>4057</v>
      </c>
      <c r="Q409" s="144" t="s">
        <v>465</v>
      </c>
      <c r="R409" s="144" t="s">
        <v>4058</v>
      </c>
      <c r="S409" s="144"/>
      <c r="T409" s="144"/>
      <c r="U409" s="145" t="s">
        <v>481</v>
      </c>
      <c r="V409" s="145"/>
      <c r="W409" s="145"/>
      <c r="X409" s="144" t="s">
        <v>4059</v>
      </c>
      <c r="Y409" s="144" t="s">
        <v>4060</v>
      </c>
      <c r="Z409" s="144" t="str">
        <f ca="1">IFERROR(__xludf.DUMMYFUNCTION("IF(VLOOKUP($Y409, IMPORTRANGE(""https://docs.google.com/spreadsheets/d/1WsTKRjz8_fF2119Ff9dhKIIYXSaUEHzuWr8pBkxmwQQ/edit"", ""Form Responses 1!$B:$Z""),1, FALSE)=$Y409,""Yes"",""No"")"),"#N/A")</f>
        <v>#N/A</v>
      </c>
      <c r="AA409" s="144"/>
      <c r="AB409" s="144"/>
    </row>
    <row r="410" spans="1:28">
      <c r="A410" s="140" t="s">
        <v>443</v>
      </c>
      <c r="B410" s="140" t="s">
        <v>249</v>
      </c>
      <c r="C410" s="140" t="s">
        <v>4061</v>
      </c>
      <c r="D410" s="140" t="s">
        <v>4062</v>
      </c>
      <c r="E410" s="140" t="s">
        <v>4063</v>
      </c>
      <c r="F410" s="140" t="s">
        <v>4</v>
      </c>
      <c r="G410" s="140">
        <v>4</v>
      </c>
      <c r="H410" s="140" t="s">
        <v>24</v>
      </c>
      <c r="I410" s="140" t="s">
        <v>727</v>
      </c>
      <c r="J410" s="140" t="s">
        <v>4064</v>
      </c>
      <c r="K410" s="140">
        <v>4</v>
      </c>
      <c r="L410" s="140" t="s">
        <v>1045</v>
      </c>
      <c r="M410" s="140" t="s">
        <v>4065</v>
      </c>
      <c r="N410" s="140">
        <v>4</v>
      </c>
      <c r="O410" s="140" t="s">
        <v>451</v>
      </c>
      <c r="P410" s="140" t="s">
        <v>4066</v>
      </c>
      <c r="Q410" s="140" t="s">
        <v>452</v>
      </c>
      <c r="R410" s="140" t="s">
        <v>4067</v>
      </c>
      <c r="S410" s="140"/>
      <c r="T410" s="140"/>
      <c r="U410" s="143" t="s">
        <v>454</v>
      </c>
      <c r="V410" s="143"/>
      <c r="W410" s="143"/>
      <c r="X410" s="140" t="s">
        <v>4068</v>
      </c>
      <c r="Y410" s="140" t="s">
        <v>4069</v>
      </c>
      <c r="Z410" s="140" t="str">
        <f ca="1">IFERROR(__xludf.DUMMYFUNCTION("IF(VLOOKUP($Y410, IMPORTRANGE(""https://docs.google.com/spreadsheets/d/1WsTKRjz8_fF2119Ff9dhKIIYXSaUEHzuWr8pBkxmwQQ/edit"", ""Form Responses 1!$B:$Z""),1, FALSE)=$Y410,""Yes"",""No"")"),"#N/A")</f>
        <v>#N/A</v>
      </c>
      <c r="AA410" s="140"/>
      <c r="AB410" s="140"/>
    </row>
    <row r="411" spans="1:28">
      <c r="A411" s="144" t="s">
        <v>907</v>
      </c>
      <c r="B411" s="144" t="s">
        <v>4070</v>
      </c>
      <c r="C411" s="144" t="s">
        <v>4071</v>
      </c>
      <c r="D411" s="144" t="s">
        <v>4072</v>
      </c>
      <c r="E411" s="144" t="s">
        <v>4073</v>
      </c>
      <c r="F411" s="144" t="s">
        <v>4</v>
      </c>
      <c r="G411" s="144">
        <v>4</v>
      </c>
      <c r="H411" s="144" t="s">
        <v>24</v>
      </c>
      <c r="I411" s="144" t="s">
        <v>727</v>
      </c>
      <c r="J411" s="144" t="s">
        <v>4074</v>
      </c>
      <c r="K411" s="144">
        <v>4</v>
      </c>
      <c r="L411" s="144" t="s">
        <v>449</v>
      </c>
      <c r="M411" s="144" t="s">
        <v>4075</v>
      </c>
      <c r="N411" s="144">
        <v>4</v>
      </c>
      <c r="O411" s="144" t="s">
        <v>478</v>
      </c>
      <c r="P411" s="144" t="s">
        <v>4076</v>
      </c>
      <c r="Q411" s="144" t="s">
        <v>452</v>
      </c>
      <c r="R411" s="144" t="s">
        <v>4077</v>
      </c>
      <c r="S411" s="144"/>
      <c r="T411" s="144"/>
      <c r="U411" s="145"/>
      <c r="V411" s="145"/>
      <c r="W411" s="145"/>
      <c r="X411" s="144" t="s">
        <v>4078</v>
      </c>
      <c r="Y411" s="144" t="s">
        <v>4079</v>
      </c>
      <c r="Z411" s="144" t="str">
        <f ca="1">IFERROR(__xludf.DUMMYFUNCTION("IF(VLOOKUP($Y411, IMPORTRANGE(""https://docs.google.com/spreadsheets/d/1WsTKRjz8_fF2119Ff9dhKIIYXSaUEHzuWr8pBkxmwQQ/edit"", ""Form Responses 1!$B:$Z""),1, FALSE)=$Y411,""Yes"",""No"")"),"#N/A")</f>
        <v>#N/A</v>
      </c>
      <c r="AA411" s="144"/>
      <c r="AB411" s="144"/>
    </row>
    <row r="412" spans="1:28">
      <c r="A412" s="140" t="s">
        <v>907</v>
      </c>
      <c r="B412" s="140" t="s">
        <v>254</v>
      </c>
      <c r="C412" s="140" t="s">
        <v>4080</v>
      </c>
      <c r="D412" s="140" t="s">
        <v>4081</v>
      </c>
      <c r="E412" s="140" t="s">
        <v>4082</v>
      </c>
      <c r="F412" s="140" t="s">
        <v>4</v>
      </c>
      <c r="G412" s="140">
        <v>4</v>
      </c>
      <c r="H412" s="140" t="s">
        <v>24</v>
      </c>
      <c r="I412" s="140" t="s">
        <v>725</v>
      </c>
      <c r="J412" s="140" t="s">
        <v>4083</v>
      </c>
      <c r="K412" s="140">
        <v>4</v>
      </c>
      <c r="L412" s="140" t="s">
        <v>4054</v>
      </c>
      <c r="M412" s="140"/>
      <c r="N412" s="140">
        <v>4</v>
      </c>
      <c r="O412" s="140" t="s">
        <v>451</v>
      </c>
      <c r="P412" s="140">
        <v>500000</v>
      </c>
      <c r="Q412" s="140" t="s">
        <v>452</v>
      </c>
      <c r="R412" s="140" t="s">
        <v>4084</v>
      </c>
      <c r="S412" s="140"/>
      <c r="T412" s="140"/>
      <c r="U412" s="143" t="s">
        <v>454</v>
      </c>
      <c r="V412" s="143"/>
      <c r="W412" s="143"/>
      <c r="X412" s="140" t="s">
        <v>1622</v>
      </c>
      <c r="Y412" s="140" t="s">
        <v>4085</v>
      </c>
      <c r="Z412" s="140" t="str">
        <f ca="1">IFERROR(__xludf.DUMMYFUNCTION("IF(VLOOKUP($Y412, IMPORTRANGE(""https://docs.google.com/spreadsheets/d/1WsTKRjz8_fF2119Ff9dhKIIYXSaUEHzuWr8pBkxmwQQ/edit"", ""Form Responses 1!$B:$Z""),1, FALSE)=$Y412,""Yes"",""No"")"),"#N/A")</f>
        <v>#N/A</v>
      </c>
      <c r="AA412" s="140"/>
      <c r="AB412" s="140"/>
    </row>
    <row r="413" spans="1:28">
      <c r="A413" s="144" t="s">
        <v>907</v>
      </c>
      <c r="B413" s="144" t="s">
        <v>4086</v>
      </c>
      <c r="C413" s="144" t="s">
        <v>4087</v>
      </c>
      <c r="D413" s="144" t="s">
        <v>4088</v>
      </c>
      <c r="E413" s="144" t="s">
        <v>4089</v>
      </c>
      <c r="F413" s="144" t="s">
        <v>4</v>
      </c>
      <c r="G413" s="144">
        <v>4</v>
      </c>
      <c r="H413" s="144" t="s">
        <v>24</v>
      </c>
      <c r="I413" s="144" t="s">
        <v>1045</v>
      </c>
      <c r="J413" s="144" t="s">
        <v>4090</v>
      </c>
      <c r="K413" s="144">
        <v>4</v>
      </c>
      <c r="L413" s="144" t="s">
        <v>1350</v>
      </c>
      <c r="M413" s="144" t="s">
        <v>4091</v>
      </c>
      <c r="N413" s="144">
        <v>4</v>
      </c>
      <c r="O413" s="144" t="s">
        <v>784</v>
      </c>
      <c r="P413" s="144" t="s">
        <v>4092</v>
      </c>
      <c r="Q413" s="144" t="s">
        <v>452</v>
      </c>
      <c r="R413" s="144" t="s">
        <v>4093</v>
      </c>
      <c r="S413" s="144"/>
      <c r="T413" s="144" t="s">
        <v>4094</v>
      </c>
      <c r="U413" s="145"/>
      <c r="V413" s="145"/>
      <c r="W413" s="145"/>
      <c r="X413" s="144" t="s">
        <v>4095</v>
      </c>
      <c r="Y413" s="144" t="s">
        <v>4096</v>
      </c>
      <c r="Z413" s="144" t="str">
        <f ca="1">IFERROR(__xludf.DUMMYFUNCTION("IF(VLOOKUP($Y413, IMPORTRANGE(""https://docs.google.com/spreadsheets/d/1WsTKRjz8_fF2119Ff9dhKIIYXSaUEHzuWr8pBkxmwQQ/edit"", ""Form Responses 1!$B:$Z""),1, FALSE)=$Y413,""Yes"",""No"")"),"#N/A")</f>
        <v>#N/A</v>
      </c>
      <c r="AA413" s="144"/>
      <c r="AB413" s="144"/>
    </row>
    <row r="414" spans="1:28">
      <c r="A414" s="140" t="s">
        <v>443</v>
      </c>
      <c r="B414" s="140" t="s">
        <v>255</v>
      </c>
      <c r="C414" s="140" t="s">
        <v>4097</v>
      </c>
      <c r="D414" s="140" t="s">
        <v>4098</v>
      </c>
      <c r="E414" s="140" t="s">
        <v>4099</v>
      </c>
      <c r="F414" s="140" t="s">
        <v>4</v>
      </c>
      <c r="G414" s="140">
        <v>4</v>
      </c>
      <c r="H414" s="140" t="s">
        <v>24</v>
      </c>
      <c r="I414" s="140" t="s">
        <v>602</v>
      </c>
      <c r="J414" s="140" t="s">
        <v>4100</v>
      </c>
      <c r="K414" s="140">
        <v>4</v>
      </c>
      <c r="L414" s="140" t="s">
        <v>1054</v>
      </c>
      <c r="M414" s="140" t="s">
        <v>4101</v>
      </c>
      <c r="N414" s="140">
        <v>4</v>
      </c>
      <c r="O414" s="140"/>
      <c r="P414" s="140"/>
      <c r="Q414" s="140" t="s">
        <v>465</v>
      </c>
      <c r="R414" s="140" t="s">
        <v>4102</v>
      </c>
      <c r="S414" s="140"/>
      <c r="T414" s="140"/>
      <c r="U414" s="143" t="s">
        <v>481</v>
      </c>
      <c r="V414" s="143"/>
      <c r="W414" s="143"/>
      <c r="X414" s="140" t="s">
        <v>1354</v>
      </c>
      <c r="Y414" s="140" t="s">
        <v>4103</v>
      </c>
      <c r="Z414" s="140" t="str">
        <f ca="1">IFERROR(__xludf.DUMMYFUNCTION("IF(VLOOKUP($Y414, IMPORTRANGE(""https://docs.google.com/spreadsheets/d/1WsTKRjz8_fF2119Ff9dhKIIYXSaUEHzuWr8pBkxmwQQ/edit"", ""Form Responses 1!$B:$Z""),1, FALSE)=$Y414,""Yes"",""No"")"),"#N/A")</f>
        <v>#N/A</v>
      </c>
      <c r="AA414" s="140"/>
      <c r="AB414" s="140"/>
    </row>
    <row r="415" spans="1:28">
      <c r="A415" s="144" t="s">
        <v>529</v>
      </c>
      <c r="B415" s="144" t="s">
        <v>263</v>
      </c>
      <c r="C415" s="144" t="s">
        <v>4104</v>
      </c>
      <c r="D415" s="144" t="s">
        <v>4105</v>
      </c>
      <c r="E415" s="144" t="s">
        <v>4106</v>
      </c>
      <c r="F415" s="144" t="s">
        <v>4</v>
      </c>
      <c r="G415" s="144">
        <v>4</v>
      </c>
      <c r="H415" s="144" t="s">
        <v>24</v>
      </c>
      <c r="I415" s="144" t="s">
        <v>725</v>
      </c>
      <c r="J415" s="144" t="s">
        <v>4107</v>
      </c>
      <c r="K415" s="144">
        <v>4</v>
      </c>
      <c r="L415" s="144" t="s">
        <v>1045</v>
      </c>
      <c r="M415" s="144" t="s">
        <v>4108</v>
      </c>
      <c r="N415" s="144">
        <v>4</v>
      </c>
      <c r="O415" s="144" t="s">
        <v>478</v>
      </c>
      <c r="P415" s="144" t="s">
        <v>4109</v>
      </c>
      <c r="Q415" s="144" t="s">
        <v>452</v>
      </c>
      <c r="R415" s="144" t="s">
        <v>4110</v>
      </c>
      <c r="S415" s="144" t="s">
        <v>4111</v>
      </c>
      <c r="T415" s="144"/>
      <c r="U415" s="145" t="s">
        <v>454</v>
      </c>
      <c r="V415" s="145"/>
      <c r="W415" s="145" t="s">
        <v>4111</v>
      </c>
      <c r="X415" s="144" t="s">
        <v>4112</v>
      </c>
      <c r="Y415" s="144" t="s">
        <v>4113</v>
      </c>
      <c r="Z415" s="144" t="str">
        <f ca="1">IFERROR(__xludf.DUMMYFUNCTION("IF(VLOOKUP($Y415, IMPORTRANGE(""https://docs.google.com/spreadsheets/d/1WsTKRjz8_fF2119Ff9dhKIIYXSaUEHzuWr8pBkxmwQQ/edit"", ""Form Responses 1!$B:$Z""),1, FALSE)=$Y415,""Yes"",""No"")"),"#N/A")</f>
        <v>#N/A</v>
      </c>
      <c r="AA415" s="144"/>
      <c r="AB415" s="144"/>
    </row>
    <row r="416" spans="1:28">
      <c r="A416" s="140" t="s">
        <v>443</v>
      </c>
      <c r="B416" s="140" t="s">
        <v>264</v>
      </c>
      <c r="C416" s="140" t="s">
        <v>4114</v>
      </c>
      <c r="D416" s="140" t="s">
        <v>4115</v>
      </c>
      <c r="E416" s="140" t="s">
        <v>4116</v>
      </c>
      <c r="F416" s="140" t="s">
        <v>4</v>
      </c>
      <c r="G416" s="140">
        <v>4</v>
      </c>
      <c r="H416" s="140" t="s">
        <v>24</v>
      </c>
      <c r="I416" s="140" t="s">
        <v>602</v>
      </c>
      <c r="J416" s="140" t="s">
        <v>4117</v>
      </c>
      <c r="K416" s="140">
        <v>4</v>
      </c>
      <c r="L416" s="140" t="s">
        <v>476</v>
      </c>
      <c r="M416" s="140" t="s">
        <v>4118</v>
      </c>
      <c r="N416" s="140">
        <v>4</v>
      </c>
      <c r="O416" s="140" t="s">
        <v>451</v>
      </c>
      <c r="P416" s="140">
        <v>700000</v>
      </c>
      <c r="Q416" s="140" t="s">
        <v>452</v>
      </c>
      <c r="R416" s="140" t="s">
        <v>4119</v>
      </c>
      <c r="S416" s="140" t="s">
        <v>4120</v>
      </c>
      <c r="T416" s="140" t="s">
        <v>4121</v>
      </c>
      <c r="U416" s="143" t="s">
        <v>481</v>
      </c>
      <c r="V416" s="143"/>
      <c r="W416" s="143" t="s">
        <v>4120</v>
      </c>
      <c r="X416" s="140" t="s">
        <v>1020</v>
      </c>
      <c r="Y416" s="140" t="s">
        <v>4122</v>
      </c>
      <c r="Z416" s="140" t="str">
        <f ca="1">IFERROR(__xludf.DUMMYFUNCTION("IF(VLOOKUP($Y416, IMPORTRANGE(""https://docs.google.com/spreadsheets/d/1WsTKRjz8_fF2119Ff9dhKIIYXSaUEHzuWr8pBkxmwQQ/edit"", ""Form Responses 1!$B:$Z""),1, FALSE)=$Y416,""Yes"",""No"")"),"#N/A")</f>
        <v>#N/A</v>
      </c>
      <c r="AA416" s="140"/>
      <c r="AB416" s="140"/>
    </row>
    <row r="417" spans="1:28">
      <c r="A417" s="144" t="s">
        <v>529</v>
      </c>
      <c r="B417" s="144" t="s">
        <v>265</v>
      </c>
      <c r="C417" s="144" t="s">
        <v>4123</v>
      </c>
      <c r="D417" s="144" t="s">
        <v>4124</v>
      </c>
      <c r="E417" s="144" t="s">
        <v>4125</v>
      </c>
      <c r="F417" s="144" t="s">
        <v>4</v>
      </c>
      <c r="G417" s="144">
        <v>4</v>
      </c>
      <c r="H417" s="144" t="s">
        <v>24</v>
      </c>
      <c r="I417" s="144" t="s">
        <v>725</v>
      </c>
      <c r="J417" s="144" t="s">
        <v>4126</v>
      </c>
      <c r="K417" s="144">
        <v>4</v>
      </c>
      <c r="L417" s="144" t="s">
        <v>1045</v>
      </c>
      <c r="M417" s="144" t="s">
        <v>4127</v>
      </c>
      <c r="N417" s="144">
        <v>4</v>
      </c>
      <c r="O417" s="144" t="s">
        <v>451</v>
      </c>
      <c r="P417" s="144" t="s">
        <v>4128</v>
      </c>
      <c r="Q417" s="144" t="s">
        <v>454</v>
      </c>
      <c r="R417" s="144" t="s">
        <v>4129</v>
      </c>
      <c r="S417" s="144" t="s">
        <v>727</v>
      </c>
      <c r="T417" s="144"/>
      <c r="U417" s="145" t="s">
        <v>481</v>
      </c>
      <c r="V417" s="145" t="s">
        <v>557</v>
      </c>
      <c r="W417" s="145" t="s">
        <v>727</v>
      </c>
      <c r="X417" s="144" t="s">
        <v>4130</v>
      </c>
      <c r="Y417" s="144" t="s">
        <v>4131</v>
      </c>
      <c r="Z417" s="144" t="str">
        <f ca="1">IFERROR(__xludf.DUMMYFUNCTION("IF(VLOOKUP($Y417, IMPORTRANGE(""https://docs.google.com/spreadsheets/d/1WsTKRjz8_fF2119Ff9dhKIIYXSaUEHzuWr8pBkxmwQQ/edit"", ""Form Responses 1!$B:$Z""),1, FALSE)=$Y417,""Yes"",""No"")"),"#N/A")</f>
        <v>#N/A</v>
      </c>
      <c r="AA417" s="144"/>
      <c r="AB417" s="144"/>
    </row>
    <row r="418" spans="1:28">
      <c r="A418" s="140" t="s">
        <v>529</v>
      </c>
      <c r="B418" s="140" t="s">
        <v>4132</v>
      </c>
      <c r="C418" s="140" t="s">
        <v>4133</v>
      </c>
      <c r="D418" s="140" t="s">
        <v>4134</v>
      </c>
      <c r="E418" s="140" t="s">
        <v>4135</v>
      </c>
      <c r="F418" s="140" t="s">
        <v>4</v>
      </c>
      <c r="G418" s="140">
        <v>3.88</v>
      </c>
      <c r="H418" s="140" t="s">
        <v>24</v>
      </c>
      <c r="I418" s="140" t="s">
        <v>725</v>
      </c>
      <c r="J418" s="140" t="s">
        <v>4136</v>
      </c>
      <c r="K418" s="140">
        <v>3.75</v>
      </c>
      <c r="L418" s="140" t="s">
        <v>476</v>
      </c>
      <c r="M418" s="140" t="s">
        <v>4137</v>
      </c>
      <c r="N418" s="140">
        <v>4</v>
      </c>
      <c r="O418" s="140"/>
      <c r="P418" s="140"/>
      <c r="Q418" s="140" t="s">
        <v>452</v>
      </c>
      <c r="R418" s="140" t="s">
        <v>4138</v>
      </c>
      <c r="S418" s="140"/>
      <c r="T418" s="140" t="s">
        <v>4139</v>
      </c>
      <c r="U418" s="143"/>
      <c r="V418" s="143"/>
      <c r="W418" s="143"/>
      <c r="X418" s="140" t="s">
        <v>4140</v>
      </c>
      <c r="Y418" s="140" t="s">
        <v>4141</v>
      </c>
      <c r="Z418" s="140" t="str">
        <f ca="1">IFERROR(__xludf.DUMMYFUNCTION("IF(VLOOKUP($Y418, IMPORTRANGE(""https://docs.google.com/spreadsheets/d/1WsTKRjz8_fF2119Ff9dhKIIYXSaUEHzuWr8pBkxmwQQ/edit"", ""Form Responses 1!$B:$Z""),1, FALSE)=$Y418,""Yes"",""No"")"),"#N/A")</f>
        <v>#N/A</v>
      </c>
      <c r="AA418" s="140"/>
      <c r="AB418" s="140"/>
    </row>
    <row r="419" spans="1:28">
      <c r="A419" s="144" t="s">
        <v>443</v>
      </c>
      <c r="B419" s="144" t="s">
        <v>271</v>
      </c>
      <c r="C419" s="144" t="s">
        <v>4142</v>
      </c>
      <c r="D419" s="144" t="s">
        <v>4143</v>
      </c>
      <c r="E419" s="144" t="s">
        <v>4144</v>
      </c>
      <c r="F419" s="144" t="s">
        <v>4</v>
      </c>
      <c r="G419" s="144">
        <v>3.88</v>
      </c>
      <c r="H419" s="144" t="s">
        <v>24</v>
      </c>
      <c r="I419" s="144" t="s">
        <v>602</v>
      </c>
      <c r="J419" s="144" t="s">
        <v>4145</v>
      </c>
      <c r="K419" s="144">
        <v>4</v>
      </c>
      <c r="L419" s="144" t="s">
        <v>1045</v>
      </c>
      <c r="M419" s="144" t="s">
        <v>4146</v>
      </c>
      <c r="N419" s="144">
        <v>3.75</v>
      </c>
      <c r="O419" s="144"/>
      <c r="P419" s="144"/>
      <c r="Q419" s="144" t="s">
        <v>452</v>
      </c>
      <c r="R419" s="144" t="s">
        <v>4147</v>
      </c>
      <c r="S419" s="144"/>
      <c r="T419" s="144" t="s">
        <v>4148</v>
      </c>
      <c r="U419" s="145" t="s">
        <v>481</v>
      </c>
      <c r="V419" s="145"/>
      <c r="W419" s="145"/>
      <c r="X419" s="144" t="s">
        <v>4149</v>
      </c>
      <c r="Y419" s="144" t="s">
        <v>4150</v>
      </c>
      <c r="Z419" s="144" t="str">
        <f ca="1">IFERROR(__xludf.DUMMYFUNCTION("IF(VLOOKUP($Y419, IMPORTRANGE(""https://docs.google.com/spreadsheets/d/1WsTKRjz8_fF2119Ff9dhKIIYXSaUEHzuWr8pBkxmwQQ/edit"", ""Form Responses 1!$B:$Z""),1, FALSE)=$Y419,""Yes"",""No"")"),"#N/A")</f>
        <v>#N/A</v>
      </c>
      <c r="AA419" s="144"/>
      <c r="AB419" s="144"/>
    </row>
    <row r="420" spans="1:28">
      <c r="A420" s="140" t="s">
        <v>443</v>
      </c>
      <c r="B420" s="140" t="s">
        <v>4151</v>
      </c>
      <c r="C420" s="140" t="s">
        <v>4152</v>
      </c>
      <c r="D420" s="140" t="s">
        <v>4153</v>
      </c>
      <c r="E420" s="140" t="s">
        <v>4154</v>
      </c>
      <c r="F420" s="140" t="s">
        <v>4</v>
      </c>
      <c r="G420" s="140">
        <v>3.88</v>
      </c>
      <c r="H420" s="140" t="s">
        <v>24</v>
      </c>
      <c r="I420" s="140" t="s">
        <v>727</v>
      </c>
      <c r="J420" s="140" t="s">
        <v>4155</v>
      </c>
      <c r="K420" s="140">
        <v>4</v>
      </c>
      <c r="L420" s="140" t="s">
        <v>1045</v>
      </c>
      <c r="M420" s="140" t="s">
        <v>4156</v>
      </c>
      <c r="N420" s="140">
        <v>3.75</v>
      </c>
      <c r="O420" s="140" t="s">
        <v>451</v>
      </c>
      <c r="P420" s="140" t="s">
        <v>4157</v>
      </c>
      <c r="Q420" s="140" t="s">
        <v>452</v>
      </c>
      <c r="R420" s="140" t="s">
        <v>4158</v>
      </c>
      <c r="S420" s="140"/>
      <c r="T420" s="140" t="s">
        <v>4159</v>
      </c>
      <c r="U420" s="143"/>
      <c r="V420" s="143"/>
      <c r="W420" s="143"/>
      <c r="X420" s="140" t="s">
        <v>2135</v>
      </c>
      <c r="Y420" s="140" t="s">
        <v>4160</v>
      </c>
      <c r="Z420" s="140" t="str">
        <f ca="1">IFERROR(__xludf.DUMMYFUNCTION("IF(VLOOKUP($Y420, IMPORTRANGE(""https://docs.google.com/spreadsheets/d/1WsTKRjz8_fF2119Ff9dhKIIYXSaUEHzuWr8pBkxmwQQ/edit"", ""Form Responses 1!$B:$Z""),1, FALSE)=$Y420,""Yes"",""No"")"),"#N/A")</f>
        <v>#N/A</v>
      </c>
      <c r="AA420" s="140"/>
      <c r="AB420" s="140"/>
    </row>
    <row r="421" spans="1:28">
      <c r="A421" s="144" t="s">
        <v>529</v>
      </c>
      <c r="B421" s="144" t="s">
        <v>4161</v>
      </c>
      <c r="C421" s="144" t="s">
        <v>4162</v>
      </c>
      <c r="D421" s="144" t="s">
        <v>4163</v>
      </c>
      <c r="E421" s="144" t="s">
        <v>4164</v>
      </c>
      <c r="F421" s="144" t="s">
        <v>4</v>
      </c>
      <c r="G421" s="144">
        <v>3.75</v>
      </c>
      <c r="H421" s="144" t="s">
        <v>24</v>
      </c>
      <c r="I421" s="144" t="s">
        <v>725</v>
      </c>
      <c r="J421" s="144" t="s">
        <v>4165</v>
      </c>
      <c r="K421" s="144">
        <v>3.5</v>
      </c>
      <c r="L421" s="144" t="s">
        <v>990</v>
      </c>
      <c r="M421" s="144" t="s">
        <v>4166</v>
      </c>
      <c r="N421" s="144">
        <v>4</v>
      </c>
      <c r="O421" s="144" t="s">
        <v>451</v>
      </c>
      <c r="P421" s="144" t="s">
        <v>4167</v>
      </c>
      <c r="Q421" s="144" t="s">
        <v>452</v>
      </c>
      <c r="R421" s="144" t="s">
        <v>4168</v>
      </c>
      <c r="S421" s="144"/>
      <c r="T421" s="144"/>
      <c r="U421" s="145"/>
      <c r="V421" s="145"/>
      <c r="W421" s="145"/>
      <c r="X421" s="144" t="s">
        <v>4169</v>
      </c>
      <c r="Y421" s="144" t="s">
        <v>4170</v>
      </c>
      <c r="Z421" s="144" t="str">
        <f ca="1">IFERROR(__xludf.DUMMYFUNCTION("IF(VLOOKUP($Y421, IMPORTRANGE(""https://docs.google.com/spreadsheets/d/1WsTKRjz8_fF2119Ff9dhKIIYXSaUEHzuWr8pBkxmwQQ/edit"", ""Form Responses 1!$B:$Z""),1, FALSE)=$Y421,""Yes"",""No"")"),"#N/A")</f>
        <v>#N/A</v>
      </c>
      <c r="AA421" s="144"/>
      <c r="AB421" s="144"/>
    </row>
    <row r="422" spans="1:28">
      <c r="A422" s="140" t="s">
        <v>598</v>
      </c>
      <c r="B422" s="140" t="s">
        <v>276</v>
      </c>
      <c r="C422" s="140" t="s">
        <v>4171</v>
      </c>
      <c r="D422" s="140" t="s">
        <v>4172</v>
      </c>
      <c r="E422" s="140" t="s">
        <v>4173</v>
      </c>
      <c r="F422" s="140" t="s">
        <v>4</v>
      </c>
      <c r="G422" s="140">
        <v>3.75</v>
      </c>
      <c r="H422" s="140" t="s">
        <v>24</v>
      </c>
      <c r="I422" s="140" t="s">
        <v>602</v>
      </c>
      <c r="J422" s="140" t="s">
        <v>4174</v>
      </c>
      <c r="K422" s="140">
        <v>4</v>
      </c>
      <c r="L422" s="140" t="s">
        <v>1045</v>
      </c>
      <c r="M422" s="140" t="s">
        <v>4175</v>
      </c>
      <c r="N422" s="140">
        <v>3.5</v>
      </c>
      <c r="O422" s="140" t="s">
        <v>923</v>
      </c>
      <c r="P422" s="142">
        <v>500000</v>
      </c>
      <c r="Q422" s="140" t="s">
        <v>452</v>
      </c>
      <c r="R422" s="140" t="s">
        <v>4176</v>
      </c>
      <c r="S422" s="140" t="s">
        <v>4177</v>
      </c>
      <c r="T422" s="140" t="s">
        <v>4178</v>
      </c>
      <c r="U422" s="143" t="s">
        <v>481</v>
      </c>
      <c r="V422" s="143"/>
      <c r="W422" s="143" t="s">
        <v>4177</v>
      </c>
      <c r="X422" s="140" t="s">
        <v>4179</v>
      </c>
      <c r="Y422" s="140" t="s">
        <v>4180</v>
      </c>
      <c r="Z422" s="140" t="str">
        <f ca="1">IFERROR(__xludf.DUMMYFUNCTION("IF(VLOOKUP($Y422, IMPORTRANGE(""https://docs.google.com/spreadsheets/d/1WsTKRjz8_fF2119Ff9dhKIIYXSaUEHzuWr8pBkxmwQQ/edit"", ""Form Responses 1!$B:$Z""),1, FALSE)=$Y422,""Yes"",""No"")"),"#N/A")</f>
        <v>#N/A</v>
      </c>
      <c r="AA422" s="140"/>
      <c r="AB422" s="140"/>
    </row>
    <row r="423" spans="1:28">
      <c r="A423" s="144" t="s">
        <v>529</v>
      </c>
      <c r="B423" s="144" t="s">
        <v>4181</v>
      </c>
      <c r="C423" s="144" t="s">
        <v>4182</v>
      </c>
      <c r="D423" s="144" t="s">
        <v>4183</v>
      </c>
      <c r="E423" s="144" t="s">
        <v>4184</v>
      </c>
      <c r="F423" s="144" t="s">
        <v>4</v>
      </c>
      <c r="G423" s="144">
        <v>3.75</v>
      </c>
      <c r="H423" s="144" t="s">
        <v>24</v>
      </c>
      <c r="I423" s="144" t="s">
        <v>725</v>
      </c>
      <c r="J423" s="144" t="s">
        <v>4185</v>
      </c>
      <c r="K423" s="144">
        <v>4</v>
      </c>
      <c r="L423" s="144" t="s">
        <v>1045</v>
      </c>
      <c r="M423" s="144" t="s">
        <v>4186</v>
      </c>
      <c r="N423" s="144">
        <v>3.5</v>
      </c>
      <c r="O423" s="144" t="s">
        <v>451</v>
      </c>
      <c r="P423" s="147">
        <v>1600000</v>
      </c>
      <c r="Q423" s="144" t="s">
        <v>452</v>
      </c>
      <c r="R423" s="144" t="s">
        <v>1119</v>
      </c>
      <c r="S423" s="144"/>
      <c r="T423" s="144"/>
      <c r="U423" s="145"/>
      <c r="V423" s="145"/>
      <c r="W423" s="145"/>
      <c r="X423" s="144" t="s">
        <v>4187</v>
      </c>
      <c r="Y423" s="144" t="s">
        <v>4188</v>
      </c>
      <c r="Z423" s="144" t="str">
        <f ca="1">IFERROR(__xludf.DUMMYFUNCTION("IF(VLOOKUP($Y423, IMPORTRANGE(""https://docs.google.com/spreadsheets/d/1WsTKRjz8_fF2119Ff9dhKIIYXSaUEHzuWr8pBkxmwQQ/edit"", ""Form Responses 1!$B:$Z""),1, FALSE)=$Y423,""Yes"",""No"")"),"#N/A")</f>
        <v>#N/A</v>
      </c>
      <c r="AA423" s="144"/>
      <c r="AB423" s="144"/>
    </row>
    <row r="424" spans="1:28">
      <c r="A424" s="140" t="s">
        <v>443</v>
      </c>
      <c r="B424" s="140" t="s">
        <v>4189</v>
      </c>
      <c r="C424" s="140" t="s">
        <v>4190</v>
      </c>
      <c r="D424" s="140" t="s">
        <v>4191</v>
      </c>
      <c r="E424" s="140" t="s">
        <v>4192</v>
      </c>
      <c r="F424" s="140" t="s">
        <v>4</v>
      </c>
      <c r="G424" s="140">
        <v>3.75</v>
      </c>
      <c r="H424" s="140" t="s">
        <v>24</v>
      </c>
      <c r="I424" s="140" t="s">
        <v>602</v>
      </c>
      <c r="J424" s="140" t="s">
        <v>4193</v>
      </c>
      <c r="K424" s="140">
        <v>4</v>
      </c>
      <c r="L424" s="140" t="s">
        <v>1054</v>
      </c>
      <c r="M424" s="140" t="s">
        <v>4194</v>
      </c>
      <c r="N424" s="140">
        <v>3.5</v>
      </c>
      <c r="O424" s="140" t="s">
        <v>478</v>
      </c>
      <c r="P424" s="140" t="s">
        <v>3870</v>
      </c>
      <c r="Q424" s="140" t="s">
        <v>452</v>
      </c>
      <c r="R424" s="140" t="s">
        <v>4195</v>
      </c>
      <c r="S424" s="140"/>
      <c r="T424" s="140" t="s">
        <v>4196</v>
      </c>
      <c r="U424" s="143"/>
      <c r="V424" s="143"/>
      <c r="W424" s="143"/>
      <c r="X424" s="140" t="s">
        <v>4197</v>
      </c>
      <c r="Y424" s="140" t="s">
        <v>4198</v>
      </c>
      <c r="Z424" s="140" t="str">
        <f ca="1">IFERROR(__xludf.DUMMYFUNCTION("IF(VLOOKUP($Y424, IMPORTRANGE(""https://docs.google.com/spreadsheets/d/1WsTKRjz8_fF2119Ff9dhKIIYXSaUEHzuWr8pBkxmwQQ/edit"", ""Form Responses 1!$B:$Z""),1, FALSE)=$Y424,""Yes"",""No"")"),"#N/A")</f>
        <v>#N/A</v>
      </c>
      <c r="AA424" s="140"/>
      <c r="AB424" s="140"/>
    </row>
    <row r="425" spans="1:28">
      <c r="A425" s="144" t="s">
        <v>529</v>
      </c>
      <c r="B425" s="144" t="s">
        <v>4199</v>
      </c>
      <c r="C425" s="144" t="s">
        <v>4200</v>
      </c>
      <c r="D425" s="144" t="s">
        <v>4201</v>
      </c>
      <c r="E425" s="144" t="s">
        <v>4202</v>
      </c>
      <c r="F425" s="144" t="s">
        <v>4</v>
      </c>
      <c r="G425" s="144">
        <v>3.75</v>
      </c>
      <c r="H425" s="144" t="s">
        <v>24</v>
      </c>
      <c r="I425" s="144" t="s">
        <v>725</v>
      </c>
      <c r="J425" s="144"/>
      <c r="K425" s="144">
        <v>3.5</v>
      </c>
      <c r="L425" s="144" t="s">
        <v>1036</v>
      </c>
      <c r="M425" s="144" t="s">
        <v>4203</v>
      </c>
      <c r="N425" s="144">
        <v>4</v>
      </c>
      <c r="O425" s="144" t="s">
        <v>784</v>
      </c>
      <c r="P425" s="144" t="s">
        <v>4204</v>
      </c>
      <c r="Q425" s="144" t="s">
        <v>465</v>
      </c>
      <c r="R425" s="144" t="s">
        <v>4205</v>
      </c>
      <c r="S425" s="144" t="s">
        <v>4206</v>
      </c>
      <c r="T425" s="144"/>
      <c r="U425" s="145"/>
      <c r="V425" s="145"/>
      <c r="W425" s="145"/>
      <c r="X425" s="144" t="s">
        <v>2767</v>
      </c>
      <c r="Y425" s="144" t="s">
        <v>4207</v>
      </c>
      <c r="Z425" s="144" t="str">
        <f ca="1">IFERROR(__xludf.DUMMYFUNCTION("IF(VLOOKUP($Y425, IMPORTRANGE(""https://docs.google.com/spreadsheets/d/1WsTKRjz8_fF2119Ff9dhKIIYXSaUEHzuWr8pBkxmwQQ/edit"", ""Form Responses 1!$B:$Z""),1, FALSE)=$Y425,""Yes"",""No"")"),"#N/A")</f>
        <v>#N/A</v>
      </c>
      <c r="AA425" s="144"/>
      <c r="AB425" s="144"/>
    </row>
    <row r="426" spans="1:28">
      <c r="A426" s="140" t="s">
        <v>529</v>
      </c>
      <c r="B426" s="140" t="s">
        <v>4208</v>
      </c>
      <c r="C426" s="140" t="s">
        <v>4209</v>
      </c>
      <c r="D426" s="140" t="s">
        <v>4210</v>
      </c>
      <c r="E426" s="140" t="s">
        <v>4211</v>
      </c>
      <c r="F426" s="140" t="s">
        <v>4</v>
      </c>
      <c r="G426" s="140">
        <v>3.75</v>
      </c>
      <c r="H426" s="140" t="s">
        <v>24</v>
      </c>
      <c r="I426" s="140" t="s">
        <v>727</v>
      </c>
      <c r="J426" s="140" t="s">
        <v>4212</v>
      </c>
      <c r="K426" s="140">
        <v>3.5</v>
      </c>
      <c r="L426" s="140" t="s">
        <v>1073</v>
      </c>
      <c r="M426" s="140" t="s">
        <v>4213</v>
      </c>
      <c r="N426" s="140">
        <v>4</v>
      </c>
      <c r="O426" s="140" t="s">
        <v>478</v>
      </c>
      <c r="P426" s="140" t="s">
        <v>4214</v>
      </c>
      <c r="Q426" s="140" t="s">
        <v>465</v>
      </c>
      <c r="R426" s="140" t="s">
        <v>452</v>
      </c>
      <c r="S426" s="140"/>
      <c r="T426" s="140" t="s">
        <v>4215</v>
      </c>
      <c r="U426" s="143"/>
      <c r="V426" s="143"/>
      <c r="W426" s="143"/>
      <c r="X426" s="140" t="s">
        <v>4216</v>
      </c>
      <c r="Y426" s="140" t="s">
        <v>4217</v>
      </c>
      <c r="Z426" s="140" t="str">
        <f ca="1">IFERROR(__xludf.DUMMYFUNCTION("IF(VLOOKUP($Y426, IMPORTRANGE(""https://docs.google.com/spreadsheets/d/1WsTKRjz8_fF2119Ff9dhKIIYXSaUEHzuWr8pBkxmwQQ/edit"", ""Form Responses 1!$B:$Z""),1, FALSE)=$Y426,""Yes"",""No"")"),"#N/A")</f>
        <v>#N/A</v>
      </c>
      <c r="AA426" s="140"/>
      <c r="AB426" s="140"/>
    </row>
    <row r="427" spans="1:28">
      <c r="A427" s="144" t="s">
        <v>484</v>
      </c>
      <c r="B427" s="144" t="s">
        <v>4218</v>
      </c>
      <c r="C427" s="144" t="s">
        <v>4219</v>
      </c>
      <c r="D427" s="144" t="s">
        <v>4220</v>
      </c>
      <c r="E427" s="144" t="s">
        <v>4221</v>
      </c>
      <c r="F427" s="144" t="s">
        <v>4</v>
      </c>
      <c r="G427" s="144">
        <v>3.75</v>
      </c>
      <c r="H427" s="144" t="s">
        <v>24</v>
      </c>
      <c r="I427" s="144" t="s">
        <v>727</v>
      </c>
      <c r="J427" s="144" t="s">
        <v>4222</v>
      </c>
      <c r="K427" s="144">
        <v>3.5</v>
      </c>
      <c r="L427" s="144" t="s">
        <v>476</v>
      </c>
      <c r="M427" s="144" t="s">
        <v>4223</v>
      </c>
      <c r="N427" s="144">
        <v>4</v>
      </c>
      <c r="O427" s="144" t="s">
        <v>451</v>
      </c>
      <c r="P427" s="144">
        <v>3000000</v>
      </c>
      <c r="Q427" s="144" t="s">
        <v>452</v>
      </c>
      <c r="R427" s="144" t="s">
        <v>4224</v>
      </c>
      <c r="S427" s="144"/>
      <c r="T427" s="144"/>
      <c r="U427" s="145"/>
      <c r="V427" s="145"/>
      <c r="W427" s="145"/>
      <c r="X427" s="144" t="s">
        <v>4225</v>
      </c>
      <c r="Y427" s="144" t="s">
        <v>4226</v>
      </c>
      <c r="Z427" s="144" t="str">
        <f ca="1">IFERROR(__xludf.DUMMYFUNCTION("IF(VLOOKUP($Y427, IMPORTRANGE(""https://docs.google.com/spreadsheets/d/1WsTKRjz8_fF2119Ff9dhKIIYXSaUEHzuWr8pBkxmwQQ/edit"", ""Form Responses 1!$B:$Z""),1, FALSE)=$Y427,""Yes"",""No"")"),"#N/A")</f>
        <v>#N/A</v>
      </c>
      <c r="AA427" s="144"/>
      <c r="AB427" s="144"/>
    </row>
    <row r="428" spans="1:28">
      <c r="A428" s="140" t="s">
        <v>529</v>
      </c>
      <c r="B428" s="140" t="s">
        <v>4227</v>
      </c>
      <c r="C428" s="140" t="s">
        <v>4228</v>
      </c>
      <c r="D428" s="140" t="s">
        <v>4229</v>
      </c>
      <c r="E428" s="140" t="s">
        <v>4230</v>
      </c>
      <c r="F428" s="140" t="s">
        <v>4</v>
      </c>
      <c r="G428" s="140">
        <v>3.75</v>
      </c>
      <c r="H428" s="140" t="s">
        <v>24</v>
      </c>
      <c r="I428" s="140" t="s">
        <v>725</v>
      </c>
      <c r="J428" s="140"/>
      <c r="K428" s="140">
        <v>3.5</v>
      </c>
      <c r="L428" s="140" t="s">
        <v>1187</v>
      </c>
      <c r="M428" s="140" t="s">
        <v>4231</v>
      </c>
      <c r="N428" s="140">
        <v>4</v>
      </c>
      <c r="O428" s="140" t="s">
        <v>451</v>
      </c>
      <c r="P428" s="140" t="s">
        <v>4232</v>
      </c>
      <c r="Q428" s="140" t="s">
        <v>452</v>
      </c>
      <c r="R428" s="140" t="s">
        <v>4233</v>
      </c>
      <c r="S428" s="140"/>
      <c r="T428" s="140"/>
      <c r="U428" s="143"/>
      <c r="V428" s="143"/>
      <c r="W428" s="143"/>
      <c r="X428" s="140" t="s">
        <v>4234</v>
      </c>
      <c r="Y428" s="140" t="s">
        <v>4235</v>
      </c>
      <c r="Z428" s="140" t="str">
        <f ca="1">IFERROR(__xludf.DUMMYFUNCTION("IF(VLOOKUP($Y428, IMPORTRANGE(""https://docs.google.com/spreadsheets/d/1WsTKRjz8_fF2119Ff9dhKIIYXSaUEHzuWr8pBkxmwQQ/edit"", ""Form Responses 1!$B:$Z""),1, FALSE)=$Y428,""Yes"",""No"")"),"#N/A")</f>
        <v>#N/A</v>
      </c>
      <c r="AA428" s="140"/>
      <c r="AB428" s="140"/>
    </row>
    <row r="429" spans="1:28">
      <c r="A429" s="144" t="s">
        <v>598</v>
      </c>
      <c r="B429" s="144" t="s">
        <v>4236</v>
      </c>
      <c r="C429" s="144" t="s">
        <v>4237</v>
      </c>
      <c r="D429" s="144" t="s">
        <v>4238</v>
      </c>
      <c r="E429" s="144" t="s">
        <v>4239</v>
      </c>
      <c r="F429" s="144" t="s">
        <v>4</v>
      </c>
      <c r="G429" s="144">
        <v>3.75</v>
      </c>
      <c r="H429" s="144" t="s">
        <v>24</v>
      </c>
      <c r="I429" s="144" t="s">
        <v>727</v>
      </c>
      <c r="J429" s="144" t="s">
        <v>4240</v>
      </c>
      <c r="K429" s="144">
        <v>3.5</v>
      </c>
      <c r="L429" s="144" t="s">
        <v>1187</v>
      </c>
      <c r="M429" s="144" t="s">
        <v>4241</v>
      </c>
      <c r="N429" s="144">
        <v>4</v>
      </c>
      <c r="O429" s="144" t="s">
        <v>451</v>
      </c>
      <c r="P429" s="144" t="s">
        <v>4242</v>
      </c>
      <c r="Q429" s="144" t="s">
        <v>452</v>
      </c>
      <c r="R429" s="144" t="s">
        <v>452</v>
      </c>
      <c r="S429" s="144"/>
      <c r="T429" s="144"/>
      <c r="U429" s="145"/>
      <c r="V429" s="145"/>
      <c r="W429" s="145"/>
      <c r="X429" s="144" t="s">
        <v>4243</v>
      </c>
      <c r="Y429" s="144" t="s">
        <v>4244</v>
      </c>
      <c r="Z429" s="144" t="str">
        <f ca="1">IFERROR(__xludf.DUMMYFUNCTION("IF(VLOOKUP($Y429, IMPORTRANGE(""https://docs.google.com/spreadsheets/d/1WsTKRjz8_fF2119Ff9dhKIIYXSaUEHzuWr8pBkxmwQQ/edit"", ""Form Responses 1!$B:$Z""),1, FALSE)=$Y429,""Yes"",""No"")"),"#N/A")</f>
        <v>#N/A</v>
      </c>
      <c r="AA429" s="144"/>
      <c r="AB429" s="144"/>
    </row>
    <row r="430" spans="1:28">
      <c r="A430" s="140" t="s">
        <v>907</v>
      </c>
      <c r="B430" s="140" t="s">
        <v>4245</v>
      </c>
      <c r="C430" s="140" t="s">
        <v>4246</v>
      </c>
      <c r="D430" s="140" t="s">
        <v>4247</v>
      </c>
      <c r="E430" s="140" t="s">
        <v>4248</v>
      </c>
      <c r="F430" s="140" t="s">
        <v>4</v>
      </c>
      <c r="G430" s="140">
        <v>3.75</v>
      </c>
      <c r="H430" s="140" t="s">
        <v>24</v>
      </c>
      <c r="I430" s="140" t="s">
        <v>1045</v>
      </c>
      <c r="J430" s="140" t="s">
        <v>4249</v>
      </c>
      <c r="K430" s="140">
        <v>3.5</v>
      </c>
      <c r="L430" s="140" t="s">
        <v>1187</v>
      </c>
      <c r="M430" s="140" t="s">
        <v>4250</v>
      </c>
      <c r="N430" s="140">
        <v>4</v>
      </c>
      <c r="O430" s="140" t="s">
        <v>784</v>
      </c>
      <c r="P430" s="142">
        <v>500000</v>
      </c>
      <c r="Q430" s="140" t="s">
        <v>454</v>
      </c>
      <c r="R430" s="140" t="s">
        <v>4251</v>
      </c>
      <c r="S430" s="140" t="s">
        <v>4252</v>
      </c>
      <c r="T430" s="140"/>
      <c r="U430" s="143"/>
      <c r="V430" s="143"/>
      <c r="W430" s="143"/>
      <c r="X430" s="140" t="s">
        <v>4253</v>
      </c>
      <c r="Y430" s="140" t="s">
        <v>4254</v>
      </c>
      <c r="Z430" s="140" t="str">
        <f ca="1">IFERROR(__xludf.DUMMYFUNCTION("IF(VLOOKUP($Y430, IMPORTRANGE(""https://docs.google.com/spreadsheets/d/1WsTKRjz8_fF2119Ff9dhKIIYXSaUEHzuWr8pBkxmwQQ/edit"", ""Form Responses 1!$B:$Z""),1, FALSE)=$Y430,""Yes"",""No"")"),"#N/A")</f>
        <v>#N/A</v>
      </c>
      <c r="AA430" s="140"/>
      <c r="AB430" s="140"/>
    </row>
    <row r="431" spans="1:28">
      <c r="A431" s="144" t="s">
        <v>484</v>
      </c>
      <c r="B431" s="144" t="s">
        <v>4255</v>
      </c>
      <c r="C431" s="144" t="s">
        <v>4256</v>
      </c>
      <c r="D431" s="144" t="s">
        <v>4257</v>
      </c>
      <c r="E431" s="144" t="s">
        <v>4258</v>
      </c>
      <c r="F431" s="144" t="s">
        <v>4</v>
      </c>
      <c r="G431" s="144">
        <v>3.75</v>
      </c>
      <c r="H431" s="144" t="s">
        <v>24</v>
      </c>
      <c r="I431" s="144" t="s">
        <v>602</v>
      </c>
      <c r="J431" s="144" t="s">
        <v>4259</v>
      </c>
      <c r="K431" s="144">
        <v>4</v>
      </c>
      <c r="L431" s="144" t="s">
        <v>476</v>
      </c>
      <c r="M431" s="144" t="s">
        <v>4260</v>
      </c>
      <c r="N431" s="144">
        <v>3.5</v>
      </c>
      <c r="O431" s="144" t="s">
        <v>784</v>
      </c>
      <c r="P431" s="144">
        <v>600000</v>
      </c>
      <c r="Q431" s="144" t="s">
        <v>465</v>
      </c>
      <c r="R431" s="144" t="s">
        <v>575</v>
      </c>
      <c r="S431" s="144" t="s">
        <v>4261</v>
      </c>
      <c r="T431" s="144"/>
      <c r="U431" s="145"/>
      <c r="V431" s="145"/>
      <c r="W431" s="145"/>
      <c r="X431" s="144" t="s">
        <v>1020</v>
      </c>
      <c r="Y431" s="144" t="s">
        <v>4262</v>
      </c>
      <c r="Z431" s="144" t="str">
        <f ca="1">IFERROR(__xludf.DUMMYFUNCTION("IF(VLOOKUP($Y431, IMPORTRANGE(""https://docs.google.com/spreadsheets/d/1WsTKRjz8_fF2119Ff9dhKIIYXSaUEHzuWr8pBkxmwQQ/edit"", ""Form Responses 1!$B:$Z""),1, FALSE)=$Y431,""Yes"",""No"")"),"#N/A")</f>
        <v>#N/A</v>
      </c>
      <c r="AA431" s="144"/>
      <c r="AB431" s="144"/>
    </row>
    <row r="432" spans="1:28">
      <c r="A432" s="140" t="s">
        <v>529</v>
      </c>
      <c r="B432" s="140" t="s">
        <v>4263</v>
      </c>
      <c r="C432" s="140" t="s">
        <v>4264</v>
      </c>
      <c r="D432" s="140" t="s">
        <v>4265</v>
      </c>
      <c r="E432" s="140" t="s">
        <v>4266</v>
      </c>
      <c r="F432" s="140" t="s">
        <v>4</v>
      </c>
      <c r="G432" s="140">
        <v>3.75</v>
      </c>
      <c r="H432" s="140" t="s">
        <v>24</v>
      </c>
      <c r="I432" s="140" t="s">
        <v>725</v>
      </c>
      <c r="J432" s="140" t="s">
        <v>4267</v>
      </c>
      <c r="K432" s="140">
        <v>3.5</v>
      </c>
      <c r="L432" s="140" t="s">
        <v>1237</v>
      </c>
      <c r="M432" s="140"/>
      <c r="N432" s="140">
        <v>4</v>
      </c>
      <c r="O432" s="140"/>
      <c r="P432" s="140"/>
      <c r="Q432" s="140" t="s">
        <v>452</v>
      </c>
      <c r="R432" s="140" t="s">
        <v>452</v>
      </c>
      <c r="S432" s="140"/>
      <c r="T432" s="140"/>
      <c r="U432" s="143"/>
      <c r="V432" s="143"/>
      <c r="W432" s="143"/>
      <c r="X432" s="140" t="s">
        <v>4268</v>
      </c>
      <c r="Y432" s="140" t="s">
        <v>4269</v>
      </c>
      <c r="Z432" s="140" t="str">
        <f ca="1">IFERROR(__xludf.DUMMYFUNCTION("IF(VLOOKUP($Y432, IMPORTRANGE(""https://docs.google.com/spreadsheets/d/1WsTKRjz8_fF2119Ff9dhKIIYXSaUEHzuWr8pBkxmwQQ/edit"", ""Form Responses 1!$B:$Z""),1, FALSE)=$Y432,""Yes"",""No"")"),"#N/A")</f>
        <v>#N/A</v>
      </c>
      <c r="AA432" s="140"/>
      <c r="AB432" s="140"/>
    </row>
    <row r="433" spans="1:28">
      <c r="A433" s="144" t="s">
        <v>529</v>
      </c>
      <c r="B433" s="144" t="s">
        <v>4270</v>
      </c>
      <c r="C433" s="144" t="s">
        <v>4271</v>
      </c>
      <c r="D433" s="144" t="s">
        <v>4272</v>
      </c>
      <c r="E433" s="144" t="s">
        <v>4273</v>
      </c>
      <c r="F433" s="144" t="s">
        <v>4</v>
      </c>
      <c r="G433" s="144">
        <v>3.75</v>
      </c>
      <c r="H433" s="144" t="s">
        <v>24</v>
      </c>
      <c r="I433" s="144" t="s">
        <v>447</v>
      </c>
      <c r="J433" s="144" t="s">
        <v>4274</v>
      </c>
      <c r="K433" s="144">
        <v>2.5</v>
      </c>
      <c r="L433" s="144" t="s">
        <v>1237</v>
      </c>
      <c r="M433" s="144"/>
      <c r="N433" s="144">
        <v>5</v>
      </c>
      <c r="O433" s="144" t="s">
        <v>451</v>
      </c>
      <c r="P433" s="144" t="s">
        <v>4275</v>
      </c>
      <c r="Q433" s="144" t="s">
        <v>452</v>
      </c>
      <c r="R433" s="144" t="s">
        <v>4276</v>
      </c>
      <c r="S433" s="144" t="s">
        <v>4277</v>
      </c>
      <c r="T433" s="144" t="s">
        <v>4278</v>
      </c>
      <c r="U433" s="145"/>
      <c r="V433" s="145"/>
      <c r="W433" s="145"/>
      <c r="X433" s="144" t="s">
        <v>4279</v>
      </c>
      <c r="Y433" s="144" t="s">
        <v>4280</v>
      </c>
      <c r="Z433" s="144" t="str">
        <f ca="1">IFERROR(__xludf.DUMMYFUNCTION("IF(VLOOKUP($Y433, IMPORTRANGE(""https://docs.google.com/spreadsheets/d/1WsTKRjz8_fF2119Ff9dhKIIYXSaUEHzuWr8pBkxmwQQ/edit"", ""Form Responses 1!$B:$Z""),1, FALSE)=$Y433,""Yes"",""No"")"),"#N/A")</f>
        <v>#N/A</v>
      </c>
      <c r="AA433" s="144"/>
      <c r="AB433" s="144"/>
    </row>
    <row r="434" spans="1:28">
      <c r="A434" s="140" t="s">
        <v>503</v>
      </c>
      <c r="B434" s="140" t="s">
        <v>4281</v>
      </c>
      <c r="C434" s="140" t="s">
        <v>4282</v>
      </c>
      <c r="D434" s="140" t="s">
        <v>4283</v>
      </c>
      <c r="E434" s="140" t="s">
        <v>4284</v>
      </c>
      <c r="F434" s="140" t="s">
        <v>4</v>
      </c>
      <c r="G434" s="140">
        <v>3.75</v>
      </c>
      <c r="H434" s="140" t="s">
        <v>24</v>
      </c>
      <c r="I434" s="140" t="s">
        <v>727</v>
      </c>
      <c r="J434" s="140" t="s">
        <v>4285</v>
      </c>
      <c r="K434" s="140">
        <v>3.5</v>
      </c>
      <c r="L434" s="140" t="s">
        <v>1054</v>
      </c>
      <c r="M434" s="140"/>
      <c r="N434" s="140">
        <v>4</v>
      </c>
      <c r="O434" s="140" t="s">
        <v>451</v>
      </c>
      <c r="P434" s="151">
        <v>500000</v>
      </c>
      <c r="Q434" s="140" t="s">
        <v>465</v>
      </c>
      <c r="R434" s="140" t="s">
        <v>4286</v>
      </c>
      <c r="S434" s="140"/>
      <c r="T434" s="140"/>
      <c r="U434" s="143"/>
      <c r="V434" s="143"/>
      <c r="W434" s="143"/>
      <c r="X434" s="140" t="s">
        <v>4287</v>
      </c>
      <c r="Y434" s="140" t="s">
        <v>4288</v>
      </c>
      <c r="Z434" s="140" t="str">
        <f ca="1">IFERROR(__xludf.DUMMYFUNCTION("IF(VLOOKUP($Y434, IMPORTRANGE(""https://docs.google.com/spreadsheets/d/1WsTKRjz8_fF2119Ff9dhKIIYXSaUEHzuWr8pBkxmwQQ/edit"", ""Form Responses 1!$B:$Z""),1, FALSE)=$Y434,""Yes"",""No"")"),"#N/A")</f>
        <v>#N/A</v>
      </c>
      <c r="AA434" s="140"/>
      <c r="AB434" s="140"/>
    </row>
    <row r="435" spans="1:28">
      <c r="A435" s="144" t="s">
        <v>529</v>
      </c>
      <c r="B435" s="144" t="s">
        <v>4289</v>
      </c>
      <c r="C435" s="144" t="s">
        <v>4290</v>
      </c>
      <c r="D435" s="144" t="s">
        <v>4291</v>
      </c>
      <c r="E435" s="144" t="s">
        <v>4292</v>
      </c>
      <c r="F435" s="144" t="s">
        <v>4</v>
      </c>
      <c r="G435" s="144">
        <v>3.75</v>
      </c>
      <c r="H435" s="144" t="s">
        <v>24</v>
      </c>
      <c r="I435" s="144" t="s">
        <v>725</v>
      </c>
      <c r="J435" s="144" t="s">
        <v>4293</v>
      </c>
      <c r="K435" s="144">
        <v>3.5</v>
      </c>
      <c r="L435" s="144" t="s">
        <v>1237</v>
      </c>
      <c r="M435" s="144"/>
      <c r="N435" s="144">
        <v>4</v>
      </c>
      <c r="O435" s="144"/>
      <c r="P435" s="144"/>
      <c r="Q435" s="144" t="s">
        <v>452</v>
      </c>
      <c r="R435" s="144" t="s">
        <v>454</v>
      </c>
      <c r="S435" s="144"/>
      <c r="T435" s="144"/>
      <c r="U435" s="145"/>
      <c r="V435" s="145"/>
      <c r="W435" s="145"/>
      <c r="X435" s="144" t="s">
        <v>4294</v>
      </c>
      <c r="Y435" s="144" t="s">
        <v>4295</v>
      </c>
      <c r="Z435" s="144" t="str">
        <f ca="1">IFERROR(__xludf.DUMMYFUNCTION("IF(VLOOKUP($Y435, IMPORTRANGE(""https://docs.google.com/spreadsheets/d/1WsTKRjz8_fF2119Ff9dhKIIYXSaUEHzuWr8pBkxmwQQ/edit"", ""Form Responses 1!$B:$Z""),1, FALSE)=$Y435,""Yes"",""No"")"),"#N/A")</f>
        <v>#N/A</v>
      </c>
      <c r="AA435" s="144"/>
      <c r="AB435" s="144"/>
    </row>
    <row r="436" spans="1:28">
      <c r="A436" s="140" t="s">
        <v>598</v>
      </c>
      <c r="B436" s="140" t="s">
        <v>4296</v>
      </c>
      <c r="C436" s="140" t="s">
        <v>4297</v>
      </c>
      <c r="D436" s="140" t="s">
        <v>4298</v>
      </c>
      <c r="E436" s="140" t="s">
        <v>4299</v>
      </c>
      <c r="F436" s="140" t="s">
        <v>4</v>
      </c>
      <c r="G436" s="140">
        <v>3.75</v>
      </c>
      <c r="H436" s="140" t="s">
        <v>24</v>
      </c>
      <c r="I436" s="140" t="s">
        <v>727</v>
      </c>
      <c r="J436" s="140" t="s">
        <v>4300</v>
      </c>
      <c r="K436" s="140">
        <v>3.5</v>
      </c>
      <c r="L436" s="140" t="s">
        <v>1281</v>
      </c>
      <c r="M436" s="140" t="s">
        <v>4301</v>
      </c>
      <c r="N436" s="140">
        <v>4</v>
      </c>
      <c r="O436" s="140"/>
      <c r="P436" s="140"/>
      <c r="Q436" s="140" t="s">
        <v>452</v>
      </c>
      <c r="R436" s="140" t="s">
        <v>4302</v>
      </c>
      <c r="S436" s="140"/>
      <c r="T436" s="140"/>
      <c r="U436" s="143"/>
      <c r="V436" s="143"/>
      <c r="W436" s="143"/>
      <c r="X436" s="140" t="s">
        <v>4303</v>
      </c>
      <c r="Y436" s="140" t="s">
        <v>4304</v>
      </c>
      <c r="Z436" s="140" t="str">
        <f ca="1">IFERROR(__xludf.DUMMYFUNCTION("IF(VLOOKUP($Y436, IMPORTRANGE(""https://docs.google.com/spreadsheets/d/1WsTKRjz8_fF2119Ff9dhKIIYXSaUEHzuWr8pBkxmwQQ/edit"", ""Form Responses 1!$B:$Z""),1, FALSE)=$Y436,""Yes"",""No"")"),"#N/A")</f>
        <v>#N/A</v>
      </c>
      <c r="AA436" s="140"/>
      <c r="AB436" s="140"/>
    </row>
    <row r="437" spans="1:28">
      <c r="A437" s="144" t="s">
        <v>484</v>
      </c>
      <c r="B437" s="144" t="s">
        <v>281</v>
      </c>
      <c r="C437" s="144" t="s">
        <v>4305</v>
      </c>
      <c r="D437" s="144" t="s">
        <v>4306</v>
      </c>
      <c r="E437" s="144" t="s">
        <v>4307</v>
      </c>
      <c r="F437" s="144" t="s">
        <v>4</v>
      </c>
      <c r="G437" s="144">
        <v>3.75</v>
      </c>
      <c r="H437" s="144" t="s">
        <v>24</v>
      </c>
      <c r="I437" s="144" t="s">
        <v>727</v>
      </c>
      <c r="J437" s="144" t="s">
        <v>4308</v>
      </c>
      <c r="K437" s="144">
        <v>4</v>
      </c>
      <c r="L437" s="144" t="s">
        <v>1054</v>
      </c>
      <c r="M437" s="144" t="s">
        <v>4309</v>
      </c>
      <c r="N437" s="144">
        <v>3.5</v>
      </c>
      <c r="O437" s="144"/>
      <c r="P437" s="144"/>
      <c r="Q437" s="144" t="s">
        <v>452</v>
      </c>
      <c r="R437" s="144" t="s">
        <v>452</v>
      </c>
      <c r="S437" s="144"/>
      <c r="T437" s="144" t="s">
        <v>4310</v>
      </c>
      <c r="U437" s="145" t="s">
        <v>454</v>
      </c>
      <c r="V437" s="145"/>
      <c r="W437" s="145"/>
      <c r="X437" s="144" t="s">
        <v>4311</v>
      </c>
      <c r="Y437" s="144" t="s">
        <v>4312</v>
      </c>
      <c r="Z437" s="144" t="str">
        <f ca="1">IFERROR(__xludf.DUMMYFUNCTION("IF(VLOOKUP($Y437, IMPORTRANGE(""https://docs.google.com/spreadsheets/d/1WsTKRjz8_fF2119Ff9dhKIIYXSaUEHzuWr8pBkxmwQQ/edit"", ""Form Responses 1!$B:$Z""),1, FALSE)=$Y437,""Yes"",""No"")"),"#N/A")</f>
        <v>#N/A</v>
      </c>
      <c r="AA437" s="144"/>
      <c r="AB437" s="144"/>
    </row>
    <row r="438" spans="1:28">
      <c r="A438" s="140" t="s">
        <v>484</v>
      </c>
      <c r="B438" s="140" t="s">
        <v>4313</v>
      </c>
      <c r="C438" s="140" t="s">
        <v>4314</v>
      </c>
      <c r="D438" s="140" t="s">
        <v>4315</v>
      </c>
      <c r="E438" s="140" t="s">
        <v>4316</v>
      </c>
      <c r="F438" s="140" t="s">
        <v>4</v>
      </c>
      <c r="G438" s="140">
        <v>3.75</v>
      </c>
      <c r="H438" s="140" t="s">
        <v>24</v>
      </c>
      <c r="I438" s="140" t="s">
        <v>725</v>
      </c>
      <c r="J438" s="140" t="s">
        <v>4317</v>
      </c>
      <c r="K438" s="140">
        <v>3.5</v>
      </c>
      <c r="L438" s="140" t="s">
        <v>1054</v>
      </c>
      <c r="M438" s="140" t="s">
        <v>4318</v>
      </c>
      <c r="N438" s="140">
        <v>4</v>
      </c>
      <c r="O438" s="140"/>
      <c r="P438" s="140"/>
      <c r="Q438" s="140" t="s">
        <v>452</v>
      </c>
      <c r="R438" s="140" t="s">
        <v>4319</v>
      </c>
      <c r="S438" s="140"/>
      <c r="T438" s="140" t="s">
        <v>4320</v>
      </c>
      <c r="U438" s="143"/>
      <c r="V438" s="143"/>
      <c r="W438" s="143"/>
      <c r="X438" s="140" t="s">
        <v>2642</v>
      </c>
      <c r="Y438" s="140" t="s">
        <v>4321</v>
      </c>
      <c r="Z438" s="140" t="str">
        <f ca="1">IFERROR(__xludf.DUMMYFUNCTION("IF(VLOOKUP($Y438, IMPORTRANGE(""https://docs.google.com/spreadsheets/d/1WsTKRjz8_fF2119Ff9dhKIIYXSaUEHzuWr8pBkxmwQQ/edit"", ""Form Responses 1!$B:$Z""),1, FALSE)=$Y438,""Yes"",""No"")"),"#N/A")</f>
        <v>#N/A</v>
      </c>
      <c r="AA438" s="140"/>
      <c r="AB438" s="140"/>
    </row>
    <row r="439" spans="1:28">
      <c r="A439" s="144" t="s">
        <v>598</v>
      </c>
      <c r="B439" s="144" t="s">
        <v>4322</v>
      </c>
      <c r="C439" s="144" t="s">
        <v>4323</v>
      </c>
      <c r="D439" s="144" t="s">
        <v>4324</v>
      </c>
      <c r="E439" s="144" t="s">
        <v>4325</v>
      </c>
      <c r="F439" s="144" t="s">
        <v>4</v>
      </c>
      <c r="G439" s="144">
        <v>3.75</v>
      </c>
      <c r="H439" s="144" t="s">
        <v>24</v>
      </c>
      <c r="I439" s="144" t="s">
        <v>727</v>
      </c>
      <c r="J439" s="144" t="s">
        <v>4326</v>
      </c>
      <c r="K439" s="144">
        <v>3.5</v>
      </c>
      <c r="L439" s="144" t="s">
        <v>1298</v>
      </c>
      <c r="M439" s="144" t="s">
        <v>4327</v>
      </c>
      <c r="N439" s="144">
        <v>4</v>
      </c>
      <c r="O439" s="144" t="s">
        <v>451</v>
      </c>
      <c r="P439" s="144" t="s">
        <v>943</v>
      </c>
      <c r="Q439" s="144" t="s">
        <v>452</v>
      </c>
      <c r="R439" s="144" t="s">
        <v>4328</v>
      </c>
      <c r="S439" s="144"/>
      <c r="T439" s="144"/>
      <c r="U439" s="145"/>
      <c r="V439" s="145"/>
      <c r="W439" s="145"/>
      <c r="X439" s="144" t="s">
        <v>4329</v>
      </c>
      <c r="Y439" s="144" t="s">
        <v>4330</v>
      </c>
      <c r="Z439" s="144" t="str">
        <f ca="1">IFERROR(__xludf.DUMMYFUNCTION("IF(VLOOKUP($Y439, IMPORTRANGE(""https://docs.google.com/spreadsheets/d/1WsTKRjz8_fF2119Ff9dhKIIYXSaUEHzuWr8pBkxmwQQ/edit"", ""Form Responses 1!$B:$Z""),1, FALSE)=$Y439,""Yes"",""No"")"),"#N/A")</f>
        <v>#N/A</v>
      </c>
      <c r="AA439" s="144"/>
      <c r="AB439" s="144"/>
    </row>
    <row r="440" spans="1:28">
      <c r="A440" s="140" t="s">
        <v>443</v>
      </c>
      <c r="B440" s="140" t="s">
        <v>4331</v>
      </c>
      <c r="C440" s="140" t="s">
        <v>4332</v>
      </c>
      <c r="D440" s="140" t="s">
        <v>4333</v>
      </c>
      <c r="E440" s="140" t="s">
        <v>4334</v>
      </c>
      <c r="F440" s="140" t="s">
        <v>4</v>
      </c>
      <c r="G440" s="140">
        <v>3.75</v>
      </c>
      <c r="H440" s="140" t="s">
        <v>24</v>
      </c>
      <c r="I440" s="140" t="s">
        <v>602</v>
      </c>
      <c r="J440" s="140" t="s">
        <v>4335</v>
      </c>
      <c r="K440" s="140">
        <v>3.5</v>
      </c>
      <c r="L440" s="140" t="s">
        <v>476</v>
      </c>
      <c r="M440" s="140" t="s">
        <v>4336</v>
      </c>
      <c r="N440" s="140">
        <v>4</v>
      </c>
      <c r="O440" s="140" t="s">
        <v>451</v>
      </c>
      <c r="P440" s="140">
        <v>500</v>
      </c>
      <c r="Q440" s="140" t="s">
        <v>452</v>
      </c>
      <c r="R440" s="140" t="s">
        <v>4337</v>
      </c>
      <c r="S440" s="140"/>
      <c r="T440" s="140" t="s">
        <v>4338</v>
      </c>
      <c r="U440" s="143"/>
      <c r="V440" s="143"/>
      <c r="W440" s="143"/>
      <c r="X440" s="140" t="s">
        <v>4339</v>
      </c>
      <c r="Y440" s="140" t="s">
        <v>4340</v>
      </c>
      <c r="Z440" s="140" t="str">
        <f ca="1">IFERROR(__xludf.DUMMYFUNCTION("IF(VLOOKUP($Y440, IMPORTRANGE(""https://docs.google.com/spreadsheets/d/1WsTKRjz8_fF2119Ff9dhKIIYXSaUEHzuWr8pBkxmwQQ/edit"", ""Form Responses 1!$B:$Z""),1, FALSE)=$Y440,""Yes"",""No"")"),"#N/A")</f>
        <v>#N/A</v>
      </c>
      <c r="AA440" s="140"/>
      <c r="AB440" s="140"/>
    </row>
    <row r="441" spans="1:28">
      <c r="A441" s="144" t="s">
        <v>484</v>
      </c>
      <c r="B441" s="144" t="s">
        <v>4341</v>
      </c>
      <c r="C441" s="144" t="s">
        <v>4342</v>
      </c>
      <c r="D441" s="144" t="s">
        <v>4343</v>
      </c>
      <c r="E441" s="144" t="s">
        <v>4344</v>
      </c>
      <c r="F441" s="144" t="s">
        <v>4</v>
      </c>
      <c r="G441" s="144">
        <v>3.75</v>
      </c>
      <c r="H441" s="144" t="s">
        <v>24</v>
      </c>
      <c r="I441" s="144" t="s">
        <v>727</v>
      </c>
      <c r="J441" s="144" t="s">
        <v>4345</v>
      </c>
      <c r="K441" s="144">
        <v>4</v>
      </c>
      <c r="L441" s="144" t="s">
        <v>476</v>
      </c>
      <c r="M441" s="144" t="s">
        <v>4346</v>
      </c>
      <c r="N441" s="144">
        <v>3.5</v>
      </c>
      <c r="O441" s="144" t="s">
        <v>923</v>
      </c>
      <c r="P441" s="147">
        <v>1000000</v>
      </c>
      <c r="Q441" s="144" t="s">
        <v>452</v>
      </c>
      <c r="R441" s="144" t="s">
        <v>575</v>
      </c>
      <c r="S441" s="144"/>
      <c r="T441" s="144"/>
      <c r="U441" s="145"/>
      <c r="V441" s="145"/>
      <c r="W441" s="145"/>
      <c r="X441" s="144" t="s">
        <v>2767</v>
      </c>
      <c r="Y441" s="144" t="s">
        <v>4347</v>
      </c>
      <c r="Z441" s="144" t="str">
        <f ca="1">IFERROR(__xludf.DUMMYFUNCTION("IF(VLOOKUP($Y441, IMPORTRANGE(""https://docs.google.com/spreadsheets/d/1WsTKRjz8_fF2119Ff9dhKIIYXSaUEHzuWr8pBkxmwQQ/edit"", ""Form Responses 1!$B:$Z""),1, FALSE)=$Y441,""Yes"",""No"")"),"#N/A")</f>
        <v>#N/A</v>
      </c>
      <c r="AA441" s="144"/>
      <c r="AB441" s="144"/>
    </row>
    <row r="442" spans="1:28">
      <c r="A442" s="140" t="s">
        <v>529</v>
      </c>
      <c r="B442" s="140" t="s">
        <v>4348</v>
      </c>
      <c r="C442" s="140" t="s">
        <v>4349</v>
      </c>
      <c r="D442" s="140" t="s">
        <v>4350</v>
      </c>
      <c r="E442" s="140" t="s">
        <v>4351</v>
      </c>
      <c r="F442" s="140" t="s">
        <v>4</v>
      </c>
      <c r="G442" s="140">
        <v>3.75</v>
      </c>
      <c r="H442" s="140" t="s">
        <v>24</v>
      </c>
      <c r="I442" s="140" t="s">
        <v>727</v>
      </c>
      <c r="J442" s="140" t="s">
        <v>4352</v>
      </c>
      <c r="K442" s="140">
        <v>3.5</v>
      </c>
      <c r="L442" s="140" t="s">
        <v>1350</v>
      </c>
      <c r="M442" s="140" t="s">
        <v>4353</v>
      </c>
      <c r="N442" s="140">
        <v>4</v>
      </c>
      <c r="O442" s="140"/>
      <c r="P442" s="140"/>
      <c r="Q442" s="140" t="s">
        <v>452</v>
      </c>
      <c r="R442" s="140" t="s">
        <v>4354</v>
      </c>
      <c r="S442" s="140"/>
      <c r="T442" s="140"/>
      <c r="U442" s="143"/>
      <c r="V442" s="143"/>
      <c r="W442" s="143"/>
      <c r="X442" s="140" t="s">
        <v>501</v>
      </c>
      <c r="Y442" s="140" t="s">
        <v>4355</v>
      </c>
      <c r="Z442" s="140" t="str">
        <f ca="1">IFERROR(__xludf.DUMMYFUNCTION("IF(VLOOKUP($Y442, IMPORTRANGE(""https://docs.google.com/spreadsheets/d/1WsTKRjz8_fF2119Ff9dhKIIYXSaUEHzuWr8pBkxmwQQ/edit"", ""Form Responses 1!$B:$Z""),1, FALSE)=$Y442,""Yes"",""No"")"),"#N/A")</f>
        <v>#N/A</v>
      </c>
      <c r="AA442" s="140"/>
      <c r="AB442" s="140"/>
    </row>
    <row r="443" spans="1:28">
      <c r="A443" s="144" t="s">
        <v>529</v>
      </c>
      <c r="B443" s="144" t="s">
        <v>4356</v>
      </c>
      <c r="C443" s="144" t="s">
        <v>4357</v>
      </c>
      <c r="D443" s="144" t="s">
        <v>4358</v>
      </c>
      <c r="E443" s="144" t="s">
        <v>4359</v>
      </c>
      <c r="F443" s="144" t="s">
        <v>4</v>
      </c>
      <c r="G443" s="144">
        <v>3.75</v>
      </c>
      <c r="H443" s="144" t="s">
        <v>24</v>
      </c>
      <c r="I443" s="144" t="s">
        <v>725</v>
      </c>
      <c r="J443" s="144" t="s">
        <v>4360</v>
      </c>
      <c r="K443" s="144">
        <v>3.5</v>
      </c>
      <c r="L443" s="144" t="s">
        <v>1350</v>
      </c>
      <c r="M443" s="144" t="s">
        <v>4361</v>
      </c>
      <c r="N443" s="144">
        <v>4</v>
      </c>
      <c r="O443" s="144" t="s">
        <v>478</v>
      </c>
      <c r="P443" s="147">
        <v>10000000</v>
      </c>
      <c r="Q443" s="144" t="s">
        <v>454</v>
      </c>
      <c r="R443" s="144" t="s">
        <v>1119</v>
      </c>
      <c r="S443" s="144"/>
      <c r="T443" s="144"/>
      <c r="U443" s="145"/>
      <c r="V443" s="145"/>
      <c r="W443" s="145"/>
      <c r="X443" s="144" t="s">
        <v>4362</v>
      </c>
      <c r="Y443" s="144" t="s">
        <v>4363</v>
      </c>
      <c r="Z443" s="144" t="str">
        <f ca="1">IFERROR(__xludf.DUMMYFUNCTION("IF(VLOOKUP($Y443, IMPORTRANGE(""https://docs.google.com/spreadsheets/d/1WsTKRjz8_fF2119Ff9dhKIIYXSaUEHzuWr8pBkxmwQQ/edit"", ""Form Responses 1!$B:$Z""),1, FALSE)=$Y443,""Yes"",""No"")"),"#N/A")</f>
        <v>#N/A</v>
      </c>
      <c r="AA443" s="144"/>
      <c r="AB443" s="144"/>
    </row>
    <row r="444" spans="1:28">
      <c r="A444" s="140" t="s">
        <v>529</v>
      </c>
      <c r="B444" s="140" t="s">
        <v>4364</v>
      </c>
      <c r="C444" s="140" t="s">
        <v>4365</v>
      </c>
      <c r="D444" s="140" t="s">
        <v>4366</v>
      </c>
      <c r="E444" s="140" t="s">
        <v>4367</v>
      </c>
      <c r="F444" s="140" t="s">
        <v>4</v>
      </c>
      <c r="G444" s="140">
        <v>3.75</v>
      </c>
      <c r="H444" s="140" t="s">
        <v>24</v>
      </c>
      <c r="I444" s="140" t="s">
        <v>727</v>
      </c>
      <c r="J444" s="140" t="s">
        <v>4368</v>
      </c>
      <c r="K444" s="140">
        <v>3.5</v>
      </c>
      <c r="L444" s="140" t="s">
        <v>1350</v>
      </c>
      <c r="M444" s="140" t="s">
        <v>4369</v>
      </c>
      <c r="N444" s="140">
        <v>4</v>
      </c>
      <c r="O444" s="140" t="s">
        <v>451</v>
      </c>
      <c r="P444" s="140" t="s">
        <v>4370</v>
      </c>
      <c r="Q444" s="140" t="s">
        <v>452</v>
      </c>
      <c r="R444" s="140" t="s">
        <v>4371</v>
      </c>
      <c r="S444" s="140"/>
      <c r="T444" s="140"/>
      <c r="U444" s="143"/>
      <c r="V444" s="143"/>
      <c r="W444" s="143"/>
      <c r="X444" s="140" t="s">
        <v>4372</v>
      </c>
      <c r="Y444" s="140" t="s">
        <v>4373</v>
      </c>
      <c r="Z444" s="140" t="str">
        <f ca="1">IFERROR(__xludf.DUMMYFUNCTION("IF(VLOOKUP($Y444, IMPORTRANGE(""https://docs.google.com/spreadsheets/d/1WsTKRjz8_fF2119Ff9dhKIIYXSaUEHzuWr8pBkxmwQQ/edit"", ""Form Responses 1!$B:$Z""),1, FALSE)=$Y444,""Yes"",""No"")"),"#N/A")</f>
        <v>#N/A</v>
      </c>
      <c r="AA444" s="140"/>
      <c r="AB444" s="140"/>
    </row>
    <row r="445" spans="1:28">
      <c r="A445" s="144" t="s">
        <v>598</v>
      </c>
      <c r="B445" s="144" t="s">
        <v>4374</v>
      </c>
      <c r="C445" s="144" t="s">
        <v>4375</v>
      </c>
      <c r="D445" s="144" t="s">
        <v>4376</v>
      </c>
      <c r="E445" s="144" t="s">
        <v>4377</v>
      </c>
      <c r="F445" s="144" t="s">
        <v>4</v>
      </c>
      <c r="G445" s="144">
        <v>3.75</v>
      </c>
      <c r="H445" s="144" t="s">
        <v>24</v>
      </c>
      <c r="I445" s="144" t="s">
        <v>602</v>
      </c>
      <c r="J445" s="144" t="s">
        <v>4378</v>
      </c>
      <c r="K445" s="144">
        <v>4</v>
      </c>
      <c r="L445" s="144" t="s">
        <v>1045</v>
      </c>
      <c r="M445" s="144" t="s">
        <v>4379</v>
      </c>
      <c r="N445" s="144">
        <v>3.5</v>
      </c>
      <c r="O445" s="144" t="s">
        <v>784</v>
      </c>
      <c r="P445" s="147">
        <v>500000</v>
      </c>
      <c r="Q445" s="144" t="s">
        <v>465</v>
      </c>
      <c r="R445" s="144" t="s">
        <v>4380</v>
      </c>
      <c r="S445" s="144" t="s">
        <v>4381</v>
      </c>
      <c r="T445" s="144" t="s">
        <v>4382</v>
      </c>
      <c r="U445" s="145"/>
      <c r="V445" s="145"/>
      <c r="W445" s="145"/>
      <c r="X445" s="144" t="s">
        <v>4383</v>
      </c>
      <c r="Y445" s="144" t="s">
        <v>4384</v>
      </c>
      <c r="Z445" s="144" t="str">
        <f ca="1">IFERROR(__xludf.DUMMYFUNCTION("IF(VLOOKUP($Y445, IMPORTRANGE(""https://docs.google.com/spreadsheets/d/1WsTKRjz8_fF2119Ff9dhKIIYXSaUEHzuWr8pBkxmwQQ/edit"", ""Form Responses 1!$B:$Z""),1, FALSE)=$Y445,""Yes"",""No"")"),"#N/A")</f>
        <v>#N/A</v>
      </c>
      <c r="AA445" s="144"/>
      <c r="AB445" s="144"/>
    </row>
    <row r="446" spans="1:28">
      <c r="A446" s="140" t="s">
        <v>484</v>
      </c>
      <c r="B446" s="140" t="s">
        <v>4385</v>
      </c>
      <c r="C446" s="140" t="s">
        <v>4386</v>
      </c>
      <c r="D446" s="140" t="s">
        <v>4387</v>
      </c>
      <c r="E446" s="140" t="s">
        <v>4388</v>
      </c>
      <c r="F446" s="140" t="s">
        <v>4</v>
      </c>
      <c r="G446" s="140">
        <v>3.75</v>
      </c>
      <c r="H446" s="140" t="s">
        <v>24</v>
      </c>
      <c r="I446" s="140" t="s">
        <v>602</v>
      </c>
      <c r="J446" s="140" t="s">
        <v>4389</v>
      </c>
      <c r="K446" s="140">
        <v>4</v>
      </c>
      <c r="L446" s="140" t="s">
        <v>476</v>
      </c>
      <c r="M446" s="140" t="s">
        <v>4390</v>
      </c>
      <c r="N446" s="140">
        <v>3.5</v>
      </c>
      <c r="O446" s="140"/>
      <c r="P446" s="140"/>
      <c r="Q446" s="140" t="s">
        <v>452</v>
      </c>
      <c r="R446" s="140" t="s">
        <v>4391</v>
      </c>
      <c r="S446" s="140"/>
      <c r="T446" s="140"/>
      <c r="U446" s="143"/>
      <c r="V446" s="143"/>
      <c r="W446" s="143"/>
      <c r="X446" s="140" t="s">
        <v>4392</v>
      </c>
      <c r="Y446" s="140" t="s">
        <v>4393</v>
      </c>
      <c r="Z446" s="140" t="str">
        <f ca="1">IFERROR(__xludf.DUMMYFUNCTION("IF(VLOOKUP($Y446, IMPORTRANGE(""https://docs.google.com/spreadsheets/d/1WsTKRjz8_fF2119Ff9dhKIIYXSaUEHzuWr8pBkxmwQQ/edit"", ""Form Responses 1!$B:$Z""),1, FALSE)=$Y446,""Yes"",""No"")"),"#N/A")</f>
        <v>#N/A</v>
      </c>
      <c r="AA446" s="140"/>
      <c r="AB446" s="140"/>
    </row>
    <row r="447" spans="1:28">
      <c r="A447" s="144" t="s">
        <v>443</v>
      </c>
      <c r="B447" s="144" t="s">
        <v>4394</v>
      </c>
      <c r="C447" s="144" t="s">
        <v>4395</v>
      </c>
      <c r="D447" s="144" t="s">
        <v>4396</v>
      </c>
      <c r="E447" s="144" t="s">
        <v>4397</v>
      </c>
      <c r="F447" s="144" t="s">
        <v>4</v>
      </c>
      <c r="G447" s="144">
        <v>3.75</v>
      </c>
      <c r="H447" s="144" t="s">
        <v>24</v>
      </c>
      <c r="I447" s="144" t="s">
        <v>602</v>
      </c>
      <c r="J447" s="144" t="s">
        <v>4398</v>
      </c>
      <c r="K447" s="144">
        <v>4</v>
      </c>
      <c r="L447" s="144" t="s">
        <v>1054</v>
      </c>
      <c r="M447" s="144" t="s">
        <v>4399</v>
      </c>
      <c r="N447" s="144">
        <v>3.5</v>
      </c>
      <c r="O447" s="144" t="s">
        <v>451</v>
      </c>
      <c r="P447" s="144">
        <v>2000000</v>
      </c>
      <c r="Q447" s="144" t="s">
        <v>452</v>
      </c>
      <c r="R447" s="159" t="s">
        <v>4400</v>
      </c>
      <c r="S447" s="144" t="s">
        <v>585</v>
      </c>
      <c r="T447" s="144"/>
      <c r="U447" s="145"/>
      <c r="V447" s="145"/>
      <c r="W447" s="145"/>
      <c r="X447" s="144" t="s">
        <v>4401</v>
      </c>
      <c r="Y447" s="144" t="s">
        <v>4402</v>
      </c>
      <c r="Z447" s="144" t="str">
        <f ca="1">IFERROR(__xludf.DUMMYFUNCTION("IF(VLOOKUP($Y447, IMPORTRANGE(""https://docs.google.com/spreadsheets/d/1WsTKRjz8_fF2119Ff9dhKIIYXSaUEHzuWr8pBkxmwQQ/edit"", ""Form Responses 1!$B:$Z""),1, FALSE)=$Y447,""Yes"",""No"")"),"#N/A")</f>
        <v>#N/A</v>
      </c>
      <c r="AA447" s="144"/>
      <c r="AB447" s="144"/>
    </row>
    <row r="448" spans="1:28">
      <c r="A448" s="140" t="s">
        <v>529</v>
      </c>
      <c r="B448" s="140" t="s">
        <v>4403</v>
      </c>
      <c r="C448" s="140" t="s">
        <v>4404</v>
      </c>
      <c r="D448" s="140" t="s">
        <v>4405</v>
      </c>
      <c r="E448" s="140" t="s">
        <v>4406</v>
      </c>
      <c r="F448" s="140" t="s">
        <v>4</v>
      </c>
      <c r="G448" s="140">
        <v>3.75</v>
      </c>
      <c r="H448" s="140" t="s">
        <v>24</v>
      </c>
      <c r="I448" s="140" t="s">
        <v>447</v>
      </c>
      <c r="J448" s="140" t="s">
        <v>4407</v>
      </c>
      <c r="K448" s="140">
        <v>2.5</v>
      </c>
      <c r="L448" s="140" t="s">
        <v>4054</v>
      </c>
      <c r="M448" s="140"/>
      <c r="N448" s="140">
        <v>5</v>
      </c>
      <c r="O448" s="140" t="s">
        <v>923</v>
      </c>
      <c r="P448" s="140" t="s">
        <v>4408</v>
      </c>
      <c r="Q448" s="140" t="s">
        <v>452</v>
      </c>
      <c r="R448" s="140" t="s">
        <v>452</v>
      </c>
      <c r="S448" s="140"/>
      <c r="T448" s="140"/>
      <c r="U448" s="143"/>
      <c r="V448" s="143"/>
      <c r="W448" s="143"/>
      <c r="X448" s="140" t="s">
        <v>4409</v>
      </c>
      <c r="Y448" s="140" t="s">
        <v>4410</v>
      </c>
      <c r="Z448" s="140" t="str">
        <f ca="1">IFERROR(__xludf.DUMMYFUNCTION("IF(VLOOKUP($Y448, IMPORTRANGE(""https://docs.google.com/spreadsheets/d/1WsTKRjz8_fF2119Ff9dhKIIYXSaUEHzuWr8pBkxmwQQ/edit"", ""Form Responses 1!$B:$Z""),1, FALSE)=$Y448,""Yes"",""No"")"),"#N/A")</f>
        <v>#N/A</v>
      </c>
      <c r="AA448" s="140"/>
      <c r="AB448" s="140"/>
    </row>
    <row r="449" spans="1:28">
      <c r="A449" s="144" t="s">
        <v>484</v>
      </c>
      <c r="B449" s="144" t="s">
        <v>289</v>
      </c>
      <c r="C449" s="144" t="s">
        <v>4411</v>
      </c>
      <c r="D449" s="144" t="s">
        <v>4412</v>
      </c>
      <c r="E449" s="144" t="s">
        <v>4413</v>
      </c>
      <c r="F449" s="144" t="s">
        <v>4</v>
      </c>
      <c r="G449" s="144">
        <v>3.75</v>
      </c>
      <c r="H449" s="144" t="s">
        <v>24</v>
      </c>
      <c r="I449" s="144" t="s">
        <v>727</v>
      </c>
      <c r="J449" s="144" t="s">
        <v>4414</v>
      </c>
      <c r="K449" s="144">
        <v>4</v>
      </c>
      <c r="L449" s="144" t="s">
        <v>476</v>
      </c>
      <c r="M449" s="144" t="s">
        <v>4415</v>
      </c>
      <c r="N449" s="144">
        <v>3.5</v>
      </c>
      <c r="O449" s="144" t="s">
        <v>4416</v>
      </c>
      <c r="P449" s="147">
        <v>3500000</v>
      </c>
      <c r="Q449" s="144" t="s">
        <v>452</v>
      </c>
      <c r="R449" s="144" t="s">
        <v>4417</v>
      </c>
      <c r="S449" s="144"/>
      <c r="T449" s="144" t="s">
        <v>4418</v>
      </c>
      <c r="U449" s="145" t="s">
        <v>481</v>
      </c>
      <c r="V449" s="145"/>
      <c r="W449" s="145"/>
      <c r="X449" s="144" t="s">
        <v>4419</v>
      </c>
      <c r="Y449" s="144" t="s">
        <v>4420</v>
      </c>
      <c r="Z449" s="144" t="str">
        <f ca="1">IFERROR(__xludf.DUMMYFUNCTION("IF(VLOOKUP($Y449, IMPORTRANGE(""https://docs.google.com/spreadsheets/d/1WsTKRjz8_fF2119Ff9dhKIIYXSaUEHzuWr8pBkxmwQQ/edit"", ""Form Responses 1!$B:$Z""),1, FALSE)=$Y449,""Yes"",""No"")"),"#N/A")</f>
        <v>#N/A</v>
      </c>
      <c r="AA449" s="144"/>
      <c r="AB449" s="144"/>
    </row>
    <row r="450" spans="1:28">
      <c r="A450" s="140" t="s">
        <v>907</v>
      </c>
      <c r="B450" s="140" t="s">
        <v>4421</v>
      </c>
      <c r="C450" s="140" t="s">
        <v>4422</v>
      </c>
      <c r="D450" s="140" t="s">
        <v>4423</v>
      </c>
      <c r="E450" s="140" t="s">
        <v>4424</v>
      </c>
      <c r="F450" s="140" t="s">
        <v>4</v>
      </c>
      <c r="G450" s="140">
        <v>3.75</v>
      </c>
      <c r="H450" s="140" t="s">
        <v>24</v>
      </c>
      <c r="I450" s="140" t="s">
        <v>602</v>
      </c>
      <c r="J450" s="140" t="s">
        <v>4425</v>
      </c>
      <c r="K450" s="140">
        <v>4</v>
      </c>
      <c r="L450" s="140" t="s">
        <v>543</v>
      </c>
      <c r="M450" s="140" t="s">
        <v>4426</v>
      </c>
      <c r="N450" s="140">
        <v>3.5</v>
      </c>
      <c r="O450" s="140" t="s">
        <v>784</v>
      </c>
      <c r="P450" s="148">
        <v>2000000</v>
      </c>
      <c r="Q450" s="140" t="s">
        <v>452</v>
      </c>
      <c r="R450" s="140" t="s">
        <v>4427</v>
      </c>
      <c r="S450" s="140"/>
      <c r="T450" s="140" t="s">
        <v>4428</v>
      </c>
      <c r="U450" s="143"/>
      <c r="V450" s="143"/>
      <c r="W450" s="143"/>
      <c r="X450" s="140" t="s">
        <v>1622</v>
      </c>
      <c r="Y450" s="140" t="s">
        <v>4429</v>
      </c>
      <c r="Z450" s="140" t="str">
        <f ca="1">IFERROR(__xludf.DUMMYFUNCTION("IF(VLOOKUP($Y450, IMPORTRANGE(""https://docs.google.com/spreadsheets/d/1WsTKRjz8_fF2119Ff9dhKIIYXSaUEHzuWr8pBkxmwQQ/edit"", ""Form Responses 1!$B:$Z""),1, FALSE)=$Y450,""Yes"",""No"")"),"#N/A")</f>
        <v>#N/A</v>
      </c>
      <c r="AA450" s="140"/>
      <c r="AB450" s="140"/>
    </row>
    <row r="451" spans="1:28">
      <c r="A451" s="144" t="s">
        <v>529</v>
      </c>
      <c r="B451" s="144" t="s">
        <v>4430</v>
      </c>
      <c r="C451" s="144" t="s">
        <v>4431</v>
      </c>
      <c r="D451" s="144" t="s">
        <v>4432</v>
      </c>
      <c r="E451" s="144" t="s">
        <v>4433</v>
      </c>
      <c r="F451" s="144" t="s">
        <v>4</v>
      </c>
      <c r="G451" s="144">
        <v>3.75</v>
      </c>
      <c r="H451" s="144" t="s">
        <v>24</v>
      </c>
      <c r="I451" s="144" t="s">
        <v>727</v>
      </c>
      <c r="J451" s="144" t="s">
        <v>4434</v>
      </c>
      <c r="K451" s="144">
        <v>3.5</v>
      </c>
      <c r="L451" s="144" t="s">
        <v>1045</v>
      </c>
      <c r="M451" s="144" t="s">
        <v>4435</v>
      </c>
      <c r="N451" s="144">
        <v>4</v>
      </c>
      <c r="O451" s="144" t="s">
        <v>784</v>
      </c>
      <c r="P451" s="144">
        <v>1000000</v>
      </c>
      <c r="Q451" s="144" t="s">
        <v>465</v>
      </c>
      <c r="R451" s="144" t="s">
        <v>575</v>
      </c>
      <c r="S451" s="144"/>
      <c r="T451" s="144"/>
      <c r="U451" s="145"/>
      <c r="V451" s="145"/>
      <c r="W451" s="145"/>
      <c r="X451" s="144" t="s">
        <v>4436</v>
      </c>
      <c r="Y451" s="144" t="s">
        <v>4437</v>
      </c>
      <c r="Z451" s="144" t="str">
        <f ca="1">IFERROR(__xludf.DUMMYFUNCTION("IF(VLOOKUP($Y451, IMPORTRANGE(""https://docs.google.com/spreadsheets/d/1WsTKRjz8_fF2119Ff9dhKIIYXSaUEHzuWr8pBkxmwQQ/edit"", ""Form Responses 1!$B:$Z""),1, FALSE)=$Y451,""Yes"",""No"")"),"#N/A")</f>
        <v>#N/A</v>
      </c>
      <c r="AA451" s="144"/>
      <c r="AB451" s="144"/>
    </row>
    <row r="452" spans="1:28">
      <c r="A452" s="140" t="s">
        <v>529</v>
      </c>
      <c r="B452" s="140" t="s">
        <v>4438</v>
      </c>
      <c r="C452" s="140" t="s">
        <v>4439</v>
      </c>
      <c r="D452" s="140" t="s">
        <v>4440</v>
      </c>
      <c r="E452" s="140" t="s">
        <v>4441</v>
      </c>
      <c r="F452" s="140" t="s">
        <v>4</v>
      </c>
      <c r="G452" s="140">
        <v>3.75</v>
      </c>
      <c r="H452" s="140" t="s">
        <v>24</v>
      </c>
      <c r="I452" s="140" t="s">
        <v>725</v>
      </c>
      <c r="J452" s="140" t="s">
        <v>4442</v>
      </c>
      <c r="K452" s="140">
        <v>4</v>
      </c>
      <c r="L452" s="140" t="s">
        <v>1045</v>
      </c>
      <c r="M452" s="140" t="s">
        <v>4443</v>
      </c>
      <c r="N452" s="140">
        <v>3.5</v>
      </c>
      <c r="O452" s="140" t="s">
        <v>451</v>
      </c>
      <c r="P452" s="140" t="s">
        <v>4444</v>
      </c>
      <c r="Q452" s="140" t="s">
        <v>452</v>
      </c>
      <c r="R452" s="140" t="s">
        <v>4445</v>
      </c>
      <c r="S452" s="140"/>
      <c r="T452" s="140"/>
      <c r="U452" s="143"/>
      <c r="V452" s="143"/>
      <c r="W452" s="143"/>
      <c r="X452" s="140" t="s">
        <v>1714</v>
      </c>
      <c r="Y452" s="140" t="s">
        <v>4446</v>
      </c>
      <c r="Z452" s="140" t="str">
        <f ca="1">IFERROR(__xludf.DUMMYFUNCTION("IF(VLOOKUP($Y452, IMPORTRANGE(""https://docs.google.com/spreadsheets/d/1WsTKRjz8_fF2119Ff9dhKIIYXSaUEHzuWr8pBkxmwQQ/edit"", ""Form Responses 1!$B:$Z""),1, FALSE)=$Y452,""Yes"",""No"")"),"#N/A")</f>
        <v>#N/A</v>
      </c>
      <c r="AA452" s="140"/>
      <c r="AB452" s="140"/>
    </row>
    <row r="453" spans="1:28">
      <c r="A453" s="144" t="s">
        <v>443</v>
      </c>
      <c r="B453" s="144" t="s">
        <v>4447</v>
      </c>
      <c r="C453" s="144" t="s">
        <v>4448</v>
      </c>
      <c r="D453" s="144" t="s">
        <v>4449</v>
      </c>
      <c r="E453" s="144" t="s">
        <v>4450</v>
      </c>
      <c r="F453" s="144" t="s">
        <v>4</v>
      </c>
      <c r="G453" s="144">
        <v>3.63</v>
      </c>
      <c r="H453" s="144" t="s">
        <v>24</v>
      </c>
      <c r="I453" s="144" t="s">
        <v>727</v>
      </c>
      <c r="J453" s="144" t="s">
        <v>4451</v>
      </c>
      <c r="K453" s="144">
        <v>3.75</v>
      </c>
      <c r="L453" s="144" t="s">
        <v>1045</v>
      </c>
      <c r="M453" s="144" t="s">
        <v>4452</v>
      </c>
      <c r="N453" s="144">
        <v>3.5</v>
      </c>
      <c r="O453" s="144"/>
      <c r="P453" s="144"/>
      <c r="Q453" s="144" t="s">
        <v>454</v>
      </c>
      <c r="R453" s="144" t="s">
        <v>452</v>
      </c>
      <c r="S453" s="144" t="s">
        <v>4453</v>
      </c>
      <c r="T453" s="144" t="s">
        <v>4454</v>
      </c>
      <c r="U453" s="145"/>
      <c r="V453" s="145"/>
      <c r="W453" s="145"/>
      <c r="X453" s="144" t="s">
        <v>4455</v>
      </c>
      <c r="Y453" s="144" t="s">
        <v>4456</v>
      </c>
      <c r="Z453" s="144" t="str">
        <f ca="1">IFERROR(__xludf.DUMMYFUNCTION("IF(VLOOKUP($Y453, IMPORTRANGE(""https://docs.google.com/spreadsheets/d/1WsTKRjz8_fF2119Ff9dhKIIYXSaUEHzuWr8pBkxmwQQ/edit"", ""Form Responses 1!$B:$Z""),1, FALSE)=$Y453,""Yes"",""No"")"),"#N/A")</f>
        <v>#N/A</v>
      </c>
      <c r="AA453" s="144"/>
      <c r="AB453" s="144"/>
    </row>
    <row r="454" spans="1:28">
      <c r="A454" s="140" t="s">
        <v>471</v>
      </c>
      <c r="B454" s="140" t="s">
        <v>292</v>
      </c>
      <c r="C454" s="140" t="s">
        <v>4457</v>
      </c>
      <c r="D454" s="140" t="s">
        <v>4458</v>
      </c>
      <c r="E454" s="140" t="s">
        <v>4459</v>
      </c>
      <c r="F454" s="140" t="s">
        <v>4</v>
      </c>
      <c r="G454" s="140">
        <v>3.63</v>
      </c>
      <c r="H454" s="140" t="s">
        <v>24</v>
      </c>
      <c r="I454" s="140" t="s">
        <v>727</v>
      </c>
      <c r="J454" s="140" t="s">
        <v>4460</v>
      </c>
      <c r="K454" s="140">
        <v>3.75</v>
      </c>
      <c r="L454" s="140" t="s">
        <v>1054</v>
      </c>
      <c r="M454" s="140" t="s">
        <v>4461</v>
      </c>
      <c r="N454" s="140">
        <v>3.5</v>
      </c>
      <c r="O454" s="140" t="s">
        <v>451</v>
      </c>
      <c r="P454" s="140">
        <v>750000</v>
      </c>
      <c r="Q454" s="140" t="s">
        <v>452</v>
      </c>
      <c r="R454" s="140" t="s">
        <v>4462</v>
      </c>
      <c r="S454" s="140"/>
      <c r="T454" s="140" t="s">
        <v>4463</v>
      </c>
      <c r="U454" s="143" t="s">
        <v>454</v>
      </c>
      <c r="V454" s="143"/>
      <c r="W454" s="143"/>
      <c r="X454" s="140" t="s">
        <v>4464</v>
      </c>
      <c r="Y454" s="140" t="s">
        <v>4465</v>
      </c>
      <c r="Z454" s="140" t="str">
        <f ca="1">IFERROR(__xludf.DUMMYFUNCTION("IF(VLOOKUP($Y454, IMPORTRANGE(""https://docs.google.com/spreadsheets/d/1WsTKRjz8_fF2119Ff9dhKIIYXSaUEHzuWr8pBkxmwQQ/edit"", ""Form Responses 1!$B:$Z""),1, FALSE)=$Y454,""Yes"",""No"")"),"#N/A")</f>
        <v>#N/A</v>
      </c>
      <c r="AA454" s="140"/>
      <c r="AB454" s="140"/>
    </row>
    <row r="455" spans="1:28">
      <c r="A455" s="144" t="s">
        <v>443</v>
      </c>
      <c r="B455" s="144" t="s">
        <v>4466</v>
      </c>
      <c r="C455" s="144" t="s">
        <v>4467</v>
      </c>
      <c r="D455" s="144" t="s">
        <v>4468</v>
      </c>
      <c r="E455" s="144" t="s">
        <v>4469</v>
      </c>
      <c r="F455" s="144" t="s">
        <v>4</v>
      </c>
      <c r="G455" s="144">
        <v>3.63</v>
      </c>
      <c r="H455" s="144" t="s">
        <v>24</v>
      </c>
      <c r="I455" s="144" t="s">
        <v>727</v>
      </c>
      <c r="J455" s="144" t="s">
        <v>4470</v>
      </c>
      <c r="K455" s="144">
        <v>3.75</v>
      </c>
      <c r="L455" s="144" t="s">
        <v>1045</v>
      </c>
      <c r="M455" s="144" t="s">
        <v>4471</v>
      </c>
      <c r="N455" s="144">
        <v>3.5</v>
      </c>
      <c r="O455" s="144"/>
      <c r="P455" s="144"/>
      <c r="Q455" s="144" t="s">
        <v>452</v>
      </c>
      <c r="R455" s="144" t="s">
        <v>4472</v>
      </c>
      <c r="S455" s="144"/>
      <c r="T455" s="144" t="s">
        <v>4473</v>
      </c>
      <c r="U455" s="145"/>
      <c r="V455" s="145"/>
      <c r="W455" s="145"/>
      <c r="X455" s="144" t="s">
        <v>1020</v>
      </c>
      <c r="Y455" s="144" t="s">
        <v>4474</v>
      </c>
      <c r="Z455" s="144" t="str">
        <f ca="1">IFERROR(__xludf.DUMMYFUNCTION("IF(VLOOKUP($Y455, IMPORTRANGE(""https://docs.google.com/spreadsheets/d/1WsTKRjz8_fF2119Ff9dhKIIYXSaUEHzuWr8pBkxmwQQ/edit"", ""Form Responses 1!$B:$Z""),1, FALSE)=$Y455,""Yes"",""No"")"),"#N/A")</f>
        <v>#N/A</v>
      </c>
      <c r="AA455" s="144"/>
      <c r="AB455" s="144"/>
    </row>
    <row r="456" spans="1:28">
      <c r="A456" s="140" t="s">
        <v>443</v>
      </c>
      <c r="B456" s="140" t="s">
        <v>4475</v>
      </c>
      <c r="C456" s="140" t="s">
        <v>4476</v>
      </c>
      <c r="D456" s="140" t="s">
        <v>4477</v>
      </c>
      <c r="E456" s="140" t="s">
        <v>4478</v>
      </c>
      <c r="F456" s="140" t="s">
        <v>4</v>
      </c>
      <c r="G456" s="140">
        <v>3.63</v>
      </c>
      <c r="H456" s="140" t="s">
        <v>24</v>
      </c>
      <c r="I456" s="140" t="s">
        <v>727</v>
      </c>
      <c r="J456" s="140" t="s">
        <v>4479</v>
      </c>
      <c r="K456" s="140">
        <v>3.75</v>
      </c>
      <c r="L456" s="140" t="s">
        <v>1045</v>
      </c>
      <c r="M456" s="140" t="s">
        <v>4480</v>
      </c>
      <c r="N456" s="140">
        <v>3.5</v>
      </c>
      <c r="O456" s="140" t="s">
        <v>784</v>
      </c>
      <c r="P456" s="142">
        <v>500000</v>
      </c>
      <c r="Q456" s="140" t="s">
        <v>452</v>
      </c>
      <c r="R456" s="140" t="s">
        <v>4481</v>
      </c>
      <c r="S456" s="140"/>
      <c r="T456" s="140"/>
      <c r="U456" s="143"/>
      <c r="V456" s="143"/>
      <c r="W456" s="143"/>
      <c r="X456" s="140" t="s">
        <v>4482</v>
      </c>
      <c r="Y456" s="140" t="s">
        <v>4483</v>
      </c>
      <c r="Z456" s="140" t="str">
        <f ca="1">IFERROR(__xludf.DUMMYFUNCTION("IF(VLOOKUP($Y456, IMPORTRANGE(""https://docs.google.com/spreadsheets/d/1WsTKRjz8_fF2119Ff9dhKIIYXSaUEHzuWr8pBkxmwQQ/edit"", ""Form Responses 1!$B:$Z""),1, FALSE)=$Y456,""Yes"",""No"")"),"#N/A")</f>
        <v>#N/A</v>
      </c>
      <c r="AA456" s="140"/>
      <c r="AB456" s="140"/>
    </row>
    <row r="457" spans="1:28">
      <c r="A457" s="144" t="s">
        <v>598</v>
      </c>
      <c r="B457" s="144" t="s">
        <v>4484</v>
      </c>
      <c r="C457" s="144" t="s">
        <v>4485</v>
      </c>
      <c r="D457" s="144" t="s">
        <v>4486</v>
      </c>
      <c r="E457" s="144" t="s">
        <v>4487</v>
      </c>
      <c r="F457" s="144" t="s">
        <v>4</v>
      </c>
      <c r="G457" s="144">
        <v>3.63</v>
      </c>
      <c r="H457" s="144" t="s">
        <v>24</v>
      </c>
      <c r="I457" s="144" t="s">
        <v>725</v>
      </c>
      <c r="J457" s="144" t="s">
        <v>4488</v>
      </c>
      <c r="K457" s="144">
        <v>3.5</v>
      </c>
      <c r="L457" s="144" t="s">
        <v>727</v>
      </c>
      <c r="M457" s="144" t="s">
        <v>4489</v>
      </c>
      <c r="N457" s="144">
        <v>3.75</v>
      </c>
      <c r="O457" s="144" t="s">
        <v>784</v>
      </c>
      <c r="P457" s="146">
        <v>300000</v>
      </c>
      <c r="Q457" s="144" t="s">
        <v>465</v>
      </c>
      <c r="R457" s="144" t="s">
        <v>452</v>
      </c>
      <c r="S457" s="144"/>
      <c r="T457" s="144" t="s">
        <v>4490</v>
      </c>
      <c r="U457" s="145"/>
      <c r="V457" s="145"/>
      <c r="W457" s="145"/>
      <c r="X457" s="144" t="s">
        <v>4491</v>
      </c>
      <c r="Y457" s="144" t="s">
        <v>4492</v>
      </c>
      <c r="Z457" s="144" t="str">
        <f ca="1">IFERROR(__xludf.DUMMYFUNCTION("IF(VLOOKUP($Y457, IMPORTRANGE(""https://docs.google.com/spreadsheets/d/1WsTKRjz8_fF2119Ff9dhKIIYXSaUEHzuWr8pBkxmwQQ/edit"", ""Form Responses 1!$B:$Z""),1, FALSE)=$Y457,""Yes"",""No"")"),"#N/A")</f>
        <v>#N/A</v>
      </c>
      <c r="AA457" s="144"/>
      <c r="AB457" s="144"/>
    </row>
    <row r="458" spans="1:28">
      <c r="A458" s="140" t="s">
        <v>443</v>
      </c>
      <c r="B458" s="140" t="s">
        <v>293</v>
      </c>
      <c r="C458" s="140" t="s">
        <v>4493</v>
      </c>
      <c r="D458" s="140" t="s">
        <v>4494</v>
      </c>
      <c r="E458" s="140" t="s">
        <v>4495</v>
      </c>
      <c r="F458" s="140" t="s">
        <v>4</v>
      </c>
      <c r="G458" s="140">
        <v>3.63</v>
      </c>
      <c r="H458" s="140" t="s">
        <v>24</v>
      </c>
      <c r="I458" s="140" t="s">
        <v>727</v>
      </c>
      <c r="J458" s="140" t="s">
        <v>4496</v>
      </c>
      <c r="K458" s="140">
        <v>3.75</v>
      </c>
      <c r="L458" s="140" t="s">
        <v>1045</v>
      </c>
      <c r="M458" s="140" t="s">
        <v>4497</v>
      </c>
      <c r="N458" s="140">
        <v>3.5</v>
      </c>
      <c r="O458" s="140"/>
      <c r="P458" s="140"/>
      <c r="Q458" s="140" t="s">
        <v>452</v>
      </c>
      <c r="R458" s="140" t="s">
        <v>452</v>
      </c>
      <c r="S458" s="140"/>
      <c r="T458" s="140" t="s">
        <v>4498</v>
      </c>
      <c r="U458" s="143" t="s">
        <v>454</v>
      </c>
      <c r="V458" s="143"/>
      <c r="W458" s="143"/>
      <c r="X458" s="140" t="s">
        <v>3522</v>
      </c>
      <c r="Y458" s="140" t="s">
        <v>4499</v>
      </c>
      <c r="Z458" s="140" t="str">
        <f ca="1">IFERROR(__xludf.DUMMYFUNCTION("IF(VLOOKUP($Y458, IMPORTRANGE(""https://docs.google.com/spreadsheets/d/1WsTKRjz8_fF2119Ff9dhKIIYXSaUEHzuWr8pBkxmwQQ/edit"", ""Form Responses 1!$B:$Z""),1, FALSE)=$Y458,""Yes"",""No"")"),"#N/A")</f>
        <v>#N/A</v>
      </c>
      <c r="AA458" s="140"/>
      <c r="AB458" s="140"/>
    </row>
    <row r="459" spans="1:28">
      <c r="A459" s="144" t="s">
        <v>443</v>
      </c>
      <c r="B459" s="144" t="s">
        <v>295</v>
      </c>
      <c r="C459" s="144" t="s">
        <v>4500</v>
      </c>
      <c r="D459" s="144" t="s">
        <v>4501</v>
      </c>
      <c r="E459" s="144" t="s">
        <v>4502</v>
      </c>
      <c r="F459" s="144" t="s">
        <v>4</v>
      </c>
      <c r="G459" s="144">
        <v>3.63</v>
      </c>
      <c r="H459" s="144" t="s">
        <v>24</v>
      </c>
      <c r="I459" s="144" t="s">
        <v>727</v>
      </c>
      <c r="J459" s="144" t="s">
        <v>4503</v>
      </c>
      <c r="K459" s="144">
        <v>3.75</v>
      </c>
      <c r="L459" s="144" t="s">
        <v>476</v>
      </c>
      <c r="M459" s="144" t="s">
        <v>4504</v>
      </c>
      <c r="N459" s="144">
        <v>3.5</v>
      </c>
      <c r="O459" s="144"/>
      <c r="P459" s="144"/>
      <c r="Q459" s="144" t="s">
        <v>452</v>
      </c>
      <c r="R459" s="144" t="s">
        <v>4505</v>
      </c>
      <c r="S459" s="144"/>
      <c r="T459" s="144" t="s">
        <v>4506</v>
      </c>
      <c r="U459" s="145" t="s">
        <v>454</v>
      </c>
      <c r="V459" s="145"/>
      <c r="W459" s="145"/>
      <c r="X459" s="144" t="s">
        <v>4507</v>
      </c>
      <c r="Y459" s="144" t="s">
        <v>4508</v>
      </c>
      <c r="Z459" s="144" t="str">
        <f ca="1">IFERROR(__xludf.DUMMYFUNCTION("IF(VLOOKUP($Y459, IMPORTRANGE(""https://docs.google.com/spreadsheets/d/1WsTKRjz8_fF2119Ff9dhKIIYXSaUEHzuWr8pBkxmwQQ/edit"", ""Form Responses 1!$B:$Z""),1, FALSE)=$Y459,""Yes"",""No"")"),"#N/A")</f>
        <v>#N/A</v>
      </c>
      <c r="AA459" s="144"/>
      <c r="AB459" s="144"/>
    </row>
    <row r="460" spans="1:28">
      <c r="A460" s="140" t="s">
        <v>907</v>
      </c>
      <c r="B460" s="140" t="s">
        <v>4509</v>
      </c>
      <c r="C460" s="140" t="s">
        <v>4510</v>
      </c>
      <c r="D460" s="140" t="s">
        <v>4511</v>
      </c>
      <c r="E460" s="140" t="s">
        <v>4512</v>
      </c>
      <c r="F460" s="140" t="s">
        <v>4</v>
      </c>
      <c r="G460" s="140">
        <v>3.63</v>
      </c>
      <c r="H460" s="140" t="s">
        <v>24</v>
      </c>
      <c r="I460" s="140" t="s">
        <v>727</v>
      </c>
      <c r="J460" s="140" t="s">
        <v>4513</v>
      </c>
      <c r="K460" s="140">
        <v>3.75</v>
      </c>
      <c r="L460" s="140" t="s">
        <v>543</v>
      </c>
      <c r="M460" s="140" t="s">
        <v>4514</v>
      </c>
      <c r="N460" s="140">
        <v>3.5</v>
      </c>
      <c r="O460" s="140"/>
      <c r="P460" s="140"/>
      <c r="Q460" s="140" t="s">
        <v>452</v>
      </c>
      <c r="R460" s="140" t="s">
        <v>4515</v>
      </c>
      <c r="S460" s="140"/>
      <c r="T460" s="140"/>
      <c r="U460" s="143"/>
      <c r="V460" s="143"/>
      <c r="W460" s="143"/>
      <c r="X460" s="140" t="s">
        <v>4516</v>
      </c>
      <c r="Y460" s="140" t="s">
        <v>4517</v>
      </c>
      <c r="Z460" s="140" t="str">
        <f ca="1">IFERROR(__xludf.DUMMYFUNCTION("IF(VLOOKUP($Y460, IMPORTRANGE(""https://docs.google.com/spreadsheets/d/1WsTKRjz8_fF2119Ff9dhKIIYXSaUEHzuWr8pBkxmwQQ/edit"", ""Form Responses 1!$B:$Z""),1, FALSE)=$Y460,""Yes"",""No"")"),"#N/A")</f>
        <v>#N/A</v>
      </c>
      <c r="AA460" s="140"/>
      <c r="AB460" s="140"/>
    </row>
    <row r="461" spans="1:28">
      <c r="A461" s="144" t="s">
        <v>598</v>
      </c>
      <c r="B461" s="144" t="s">
        <v>4518</v>
      </c>
      <c r="C461" s="144" t="s">
        <v>4519</v>
      </c>
      <c r="D461" s="144" t="s">
        <v>4520</v>
      </c>
      <c r="E461" s="144" t="s">
        <v>4521</v>
      </c>
      <c r="F461" s="144" t="s">
        <v>4</v>
      </c>
      <c r="G461" s="144">
        <v>3.5</v>
      </c>
      <c r="H461" s="144" t="s">
        <v>24</v>
      </c>
      <c r="I461" s="144" t="s">
        <v>727</v>
      </c>
      <c r="J461" s="144" t="s">
        <v>4522</v>
      </c>
      <c r="K461" s="144">
        <v>3</v>
      </c>
      <c r="L461" s="144" t="s">
        <v>990</v>
      </c>
      <c r="M461" s="144" t="s">
        <v>4523</v>
      </c>
      <c r="N461" s="144">
        <v>4</v>
      </c>
      <c r="O461" s="144"/>
      <c r="P461" s="144"/>
      <c r="Q461" s="144" t="s">
        <v>454</v>
      </c>
      <c r="R461" s="144" t="s">
        <v>1119</v>
      </c>
      <c r="S461" s="144"/>
      <c r="T461" s="144"/>
      <c r="U461" s="145"/>
      <c r="V461" s="145"/>
      <c r="W461" s="145"/>
      <c r="X461" s="144" t="s">
        <v>4524</v>
      </c>
      <c r="Y461" s="144" t="s">
        <v>4525</v>
      </c>
      <c r="Z461" s="144" t="str">
        <f ca="1">IFERROR(__xludf.DUMMYFUNCTION("IF(VLOOKUP($Y461, IMPORTRANGE(""https://docs.google.com/spreadsheets/d/1WsTKRjz8_fF2119Ff9dhKIIYXSaUEHzuWr8pBkxmwQQ/edit"", ""Form Responses 1!$B:$Z""),1, FALSE)=$Y461,""Yes"",""No"")"),"#N/A")</f>
        <v>#N/A</v>
      </c>
      <c r="AA461" s="144"/>
      <c r="AB461" s="144"/>
    </row>
    <row r="462" spans="1:28">
      <c r="A462" s="140" t="s">
        <v>529</v>
      </c>
      <c r="B462" s="140" t="s">
        <v>4526</v>
      </c>
      <c r="C462" s="140" t="s">
        <v>4527</v>
      </c>
      <c r="D462" s="140" t="s">
        <v>4528</v>
      </c>
      <c r="E462" s="140" t="s">
        <v>4529</v>
      </c>
      <c r="F462" s="140" t="s">
        <v>4</v>
      </c>
      <c r="G462" s="140">
        <v>3.5</v>
      </c>
      <c r="H462" s="140" t="s">
        <v>24</v>
      </c>
      <c r="I462" s="140" t="s">
        <v>725</v>
      </c>
      <c r="J462" s="140" t="s">
        <v>4530</v>
      </c>
      <c r="K462" s="140">
        <v>2</v>
      </c>
      <c r="L462" s="140" t="s">
        <v>990</v>
      </c>
      <c r="M462" s="140" t="s">
        <v>4531</v>
      </c>
      <c r="N462" s="140">
        <v>5</v>
      </c>
      <c r="O462" s="140" t="s">
        <v>451</v>
      </c>
      <c r="P462" s="140">
        <v>1000000</v>
      </c>
      <c r="Q462" s="140" t="s">
        <v>452</v>
      </c>
      <c r="R462" s="140" t="s">
        <v>4532</v>
      </c>
      <c r="S462" s="140"/>
      <c r="T462" s="140" t="s">
        <v>4533</v>
      </c>
      <c r="U462" s="143"/>
      <c r="V462" s="143"/>
      <c r="W462" s="143"/>
      <c r="X462" s="140" t="s">
        <v>2748</v>
      </c>
      <c r="Y462" s="140" t="s">
        <v>4534</v>
      </c>
      <c r="Z462" s="140" t="str">
        <f ca="1">IFERROR(__xludf.DUMMYFUNCTION("IF(VLOOKUP($Y462, IMPORTRANGE(""https://docs.google.com/spreadsheets/d/1WsTKRjz8_fF2119Ff9dhKIIYXSaUEHzuWr8pBkxmwQQ/edit"", ""Form Responses 1!$B:$Z""),1, FALSE)=$Y462,""Yes"",""No"")"),"#N/A")</f>
        <v>#N/A</v>
      </c>
      <c r="AA462" s="140"/>
      <c r="AB462" s="140"/>
    </row>
    <row r="463" spans="1:28">
      <c r="A463" s="144" t="s">
        <v>529</v>
      </c>
      <c r="B463" s="144" t="s">
        <v>4535</v>
      </c>
      <c r="C463" s="144" t="s">
        <v>4536</v>
      </c>
      <c r="D463" s="144" t="s">
        <v>4537</v>
      </c>
      <c r="E463" s="144" t="s">
        <v>4538</v>
      </c>
      <c r="F463" s="144" t="s">
        <v>4</v>
      </c>
      <c r="G463" s="144">
        <v>3.5</v>
      </c>
      <c r="H463" s="144" t="s">
        <v>24</v>
      </c>
      <c r="I463" s="144" t="s">
        <v>1457</v>
      </c>
      <c r="J463" s="144" t="s">
        <v>4539</v>
      </c>
      <c r="K463" s="144">
        <v>3</v>
      </c>
      <c r="L463" s="144" t="s">
        <v>990</v>
      </c>
      <c r="M463" s="144" t="s">
        <v>4540</v>
      </c>
      <c r="N463" s="144">
        <v>4</v>
      </c>
      <c r="O463" s="144" t="s">
        <v>784</v>
      </c>
      <c r="P463" s="146">
        <v>750000</v>
      </c>
      <c r="Q463" s="144" t="s">
        <v>452</v>
      </c>
      <c r="R463" s="144" t="s">
        <v>4541</v>
      </c>
      <c r="S463" s="144"/>
      <c r="T463" s="144"/>
      <c r="U463" s="145"/>
      <c r="V463" s="145"/>
      <c r="W463" s="145"/>
      <c r="X463" s="144" t="s">
        <v>4542</v>
      </c>
      <c r="Y463" s="144" t="s">
        <v>4543</v>
      </c>
      <c r="Z463" s="144" t="str">
        <f ca="1">IFERROR(__xludf.DUMMYFUNCTION("IF(VLOOKUP($Y463, IMPORTRANGE(""https://docs.google.com/spreadsheets/d/1WsTKRjz8_fF2119Ff9dhKIIYXSaUEHzuWr8pBkxmwQQ/edit"", ""Form Responses 1!$B:$Z""),1, FALSE)=$Y463,""Yes"",""No"")"),"#N/A")</f>
        <v>#N/A</v>
      </c>
      <c r="AA463" s="144"/>
      <c r="AB463" s="144"/>
    </row>
    <row r="464" spans="1:28">
      <c r="A464" s="140" t="s">
        <v>529</v>
      </c>
      <c r="B464" s="140" t="s">
        <v>4544</v>
      </c>
      <c r="C464" s="140" t="s">
        <v>4545</v>
      </c>
      <c r="D464" s="140" t="s">
        <v>4546</v>
      </c>
      <c r="E464" s="140" t="s">
        <v>4547</v>
      </c>
      <c r="F464" s="140" t="s">
        <v>4</v>
      </c>
      <c r="G464" s="140">
        <v>3.5</v>
      </c>
      <c r="H464" s="140" t="s">
        <v>24</v>
      </c>
      <c r="I464" s="140" t="s">
        <v>447</v>
      </c>
      <c r="J464" s="140" t="s">
        <v>4548</v>
      </c>
      <c r="K464" s="140">
        <v>3</v>
      </c>
      <c r="L464" s="140" t="s">
        <v>990</v>
      </c>
      <c r="M464" s="140" t="s">
        <v>4549</v>
      </c>
      <c r="N464" s="140">
        <v>4</v>
      </c>
      <c r="O464" s="140"/>
      <c r="P464" s="140"/>
      <c r="Q464" s="140" t="s">
        <v>452</v>
      </c>
      <c r="R464" s="140" t="s">
        <v>4550</v>
      </c>
      <c r="S464" s="140"/>
      <c r="T464" s="140"/>
      <c r="U464" s="143"/>
      <c r="V464" s="143"/>
      <c r="W464" s="143"/>
      <c r="X464" s="140" t="s">
        <v>4551</v>
      </c>
      <c r="Y464" s="140" t="s">
        <v>4552</v>
      </c>
      <c r="Z464" s="140" t="str">
        <f ca="1">IFERROR(__xludf.DUMMYFUNCTION("IF(VLOOKUP($Y464, IMPORTRANGE(""https://docs.google.com/spreadsheets/d/1WsTKRjz8_fF2119Ff9dhKIIYXSaUEHzuWr8pBkxmwQQ/edit"", ""Form Responses 1!$B:$Z""),1, FALSE)=$Y464,""Yes"",""No"")"),"#N/A")</f>
        <v>#N/A</v>
      </c>
      <c r="AA464" s="140"/>
      <c r="AB464" s="140"/>
    </row>
    <row r="465" spans="1:28">
      <c r="A465" s="144" t="s">
        <v>529</v>
      </c>
      <c r="B465" s="144" t="s">
        <v>4553</v>
      </c>
      <c r="C465" s="144" t="s">
        <v>4554</v>
      </c>
      <c r="D465" s="144" t="s">
        <v>4555</v>
      </c>
      <c r="E465" s="144" t="s">
        <v>4556</v>
      </c>
      <c r="F465" s="144" t="s">
        <v>4</v>
      </c>
      <c r="G465" s="144">
        <v>3.5</v>
      </c>
      <c r="H465" s="144" t="s">
        <v>24</v>
      </c>
      <c r="I465" s="144" t="s">
        <v>727</v>
      </c>
      <c r="J465" s="144" t="s">
        <v>4557</v>
      </c>
      <c r="K465" s="144">
        <v>3</v>
      </c>
      <c r="L465" s="144" t="s">
        <v>990</v>
      </c>
      <c r="M465" s="144" t="s">
        <v>4558</v>
      </c>
      <c r="N465" s="144">
        <v>4</v>
      </c>
      <c r="O465" s="144"/>
      <c r="P465" s="144"/>
      <c r="Q465" s="144" t="s">
        <v>452</v>
      </c>
      <c r="R465" s="144" t="s">
        <v>4559</v>
      </c>
      <c r="S465" s="144" t="s">
        <v>2180</v>
      </c>
      <c r="T465" s="144"/>
      <c r="U465" s="145"/>
      <c r="V465" s="145"/>
      <c r="W465" s="145"/>
      <c r="X465" s="144" t="s">
        <v>1855</v>
      </c>
      <c r="Y465" s="144" t="s">
        <v>4560</v>
      </c>
      <c r="Z465" s="144" t="str">
        <f ca="1">IFERROR(__xludf.DUMMYFUNCTION("IF(VLOOKUP($Y465, IMPORTRANGE(""https://docs.google.com/spreadsheets/d/1WsTKRjz8_fF2119Ff9dhKIIYXSaUEHzuWr8pBkxmwQQ/edit"", ""Form Responses 1!$B:$Z""),1, FALSE)=$Y465,""Yes"",""No"")"),"#N/A")</f>
        <v>#N/A</v>
      </c>
      <c r="AA465" s="144"/>
      <c r="AB465" s="144"/>
    </row>
    <row r="466" spans="1:28">
      <c r="A466" s="140" t="s">
        <v>484</v>
      </c>
      <c r="B466" s="140" t="s">
        <v>4561</v>
      </c>
      <c r="C466" s="140" t="s">
        <v>4562</v>
      </c>
      <c r="D466" s="140" t="s">
        <v>4563</v>
      </c>
      <c r="E466" s="140" t="s">
        <v>4564</v>
      </c>
      <c r="F466" s="140" t="s">
        <v>4</v>
      </c>
      <c r="G466" s="140">
        <v>3.5</v>
      </c>
      <c r="H466" s="140" t="s">
        <v>24</v>
      </c>
      <c r="I466" s="140" t="s">
        <v>602</v>
      </c>
      <c r="J466" s="140" t="s">
        <v>4565</v>
      </c>
      <c r="K466" s="140">
        <v>4</v>
      </c>
      <c r="L466" s="140" t="s">
        <v>476</v>
      </c>
      <c r="M466" s="140" t="s">
        <v>4566</v>
      </c>
      <c r="N466" s="140">
        <v>3</v>
      </c>
      <c r="O466" s="140" t="s">
        <v>451</v>
      </c>
      <c r="P466" s="142">
        <v>1500000</v>
      </c>
      <c r="Q466" s="140" t="s">
        <v>452</v>
      </c>
      <c r="R466" s="140" t="s">
        <v>1028</v>
      </c>
      <c r="S466" s="140"/>
      <c r="T466" s="140"/>
      <c r="U466" s="143"/>
      <c r="V466" s="143"/>
      <c r="W466" s="143"/>
      <c r="X466" s="140" t="s">
        <v>1020</v>
      </c>
      <c r="Y466" s="140" t="s">
        <v>4567</v>
      </c>
      <c r="Z466" s="140" t="str">
        <f ca="1">IFERROR(__xludf.DUMMYFUNCTION("IF(VLOOKUP($Y466, IMPORTRANGE(""https://docs.google.com/spreadsheets/d/1WsTKRjz8_fF2119Ff9dhKIIYXSaUEHzuWr8pBkxmwQQ/edit"", ""Form Responses 1!$B:$Z""),1, FALSE)=$Y466,""Yes"",""No"")"),"#N/A")</f>
        <v>#N/A</v>
      </c>
      <c r="AA466" s="140"/>
      <c r="AB466" s="140"/>
    </row>
    <row r="467" spans="1:28">
      <c r="A467" s="144" t="s">
        <v>503</v>
      </c>
      <c r="B467" s="144" t="s">
        <v>297</v>
      </c>
      <c r="C467" s="144" t="s">
        <v>4568</v>
      </c>
      <c r="D467" s="144" t="s">
        <v>4569</v>
      </c>
      <c r="E467" s="144" t="s">
        <v>4570</v>
      </c>
      <c r="F467" s="144" t="s">
        <v>4</v>
      </c>
      <c r="G467" s="144">
        <v>3.5</v>
      </c>
      <c r="H467" s="144" t="s">
        <v>24</v>
      </c>
      <c r="I467" s="144" t="s">
        <v>602</v>
      </c>
      <c r="J467" s="144" t="s">
        <v>4571</v>
      </c>
      <c r="K467" s="144">
        <v>4</v>
      </c>
      <c r="L467" s="144" t="s">
        <v>1054</v>
      </c>
      <c r="M467" s="144" t="s">
        <v>4572</v>
      </c>
      <c r="N467" s="144">
        <v>3</v>
      </c>
      <c r="O467" s="144"/>
      <c r="P467" s="144"/>
      <c r="Q467" s="144" t="s">
        <v>452</v>
      </c>
      <c r="R467" s="144" t="s">
        <v>4573</v>
      </c>
      <c r="S467" s="144"/>
      <c r="T467" s="144" t="s">
        <v>4574</v>
      </c>
      <c r="U467" s="145" t="s">
        <v>481</v>
      </c>
      <c r="V467" s="145"/>
      <c r="W467" s="145"/>
      <c r="X467" s="144" t="s">
        <v>1354</v>
      </c>
      <c r="Y467" s="144" t="s">
        <v>4575</v>
      </c>
      <c r="Z467" s="144" t="str">
        <f ca="1">IFERROR(__xludf.DUMMYFUNCTION("IF(VLOOKUP($Y467, IMPORTRANGE(""https://docs.google.com/spreadsheets/d/1WsTKRjz8_fF2119Ff9dhKIIYXSaUEHzuWr8pBkxmwQQ/edit"", ""Form Responses 1!$B:$Z""),1, FALSE)=$Y467,""Yes"",""No"")"),"#N/A")</f>
        <v>#N/A</v>
      </c>
      <c r="AA467" s="144"/>
      <c r="AB467" s="144"/>
    </row>
    <row r="468" spans="1:28">
      <c r="A468" s="140" t="s">
        <v>443</v>
      </c>
      <c r="B468" s="140" t="s">
        <v>4576</v>
      </c>
      <c r="C468" s="140" t="s">
        <v>4577</v>
      </c>
      <c r="D468" s="140" t="s">
        <v>4578</v>
      </c>
      <c r="E468" s="140" t="s">
        <v>4579</v>
      </c>
      <c r="F468" s="140" t="s">
        <v>4</v>
      </c>
      <c r="G468" s="140">
        <v>3.5</v>
      </c>
      <c r="H468" s="140" t="s">
        <v>24</v>
      </c>
      <c r="I468" s="140" t="s">
        <v>727</v>
      </c>
      <c r="J468" s="140" t="s">
        <v>4580</v>
      </c>
      <c r="K468" s="140">
        <v>4</v>
      </c>
      <c r="L468" s="140" t="s">
        <v>476</v>
      </c>
      <c r="M468" s="140" t="s">
        <v>4581</v>
      </c>
      <c r="N468" s="140">
        <v>3</v>
      </c>
      <c r="O468" s="140" t="s">
        <v>451</v>
      </c>
      <c r="P468" s="142">
        <v>3000000</v>
      </c>
      <c r="Q468" s="140" t="s">
        <v>452</v>
      </c>
      <c r="R468" s="140" t="s">
        <v>4582</v>
      </c>
      <c r="S468" s="140"/>
      <c r="T468" s="140"/>
      <c r="U468" s="143"/>
      <c r="V468" s="143"/>
      <c r="W468" s="143"/>
      <c r="X468" s="140" t="s">
        <v>4583</v>
      </c>
      <c r="Y468" s="140" t="s">
        <v>4584</v>
      </c>
      <c r="Z468" s="140" t="str">
        <f ca="1">IFERROR(__xludf.DUMMYFUNCTION("IF(VLOOKUP($Y468, IMPORTRANGE(""https://docs.google.com/spreadsheets/d/1WsTKRjz8_fF2119Ff9dhKIIYXSaUEHzuWr8pBkxmwQQ/edit"", ""Form Responses 1!$B:$Z""),1, FALSE)=$Y468,""Yes"",""No"")"),"#N/A")</f>
        <v>#N/A</v>
      </c>
      <c r="AA468" s="140"/>
      <c r="AB468" s="140"/>
    </row>
    <row r="469" spans="1:28">
      <c r="A469" s="144" t="s">
        <v>907</v>
      </c>
      <c r="B469" s="144" t="s">
        <v>4585</v>
      </c>
      <c r="C469" s="144" t="s">
        <v>4586</v>
      </c>
      <c r="D469" s="144" t="s">
        <v>4587</v>
      </c>
      <c r="E469" s="144" t="s">
        <v>4588</v>
      </c>
      <c r="F469" s="144" t="s">
        <v>4</v>
      </c>
      <c r="G469" s="144">
        <v>3.5</v>
      </c>
      <c r="H469" s="144" t="s">
        <v>24</v>
      </c>
      <c r="I469" s="144" t="s">
        <v>602</v>
      </c>
      <c r="J469" s="144" t="s">
        <v>4589</v>
      </c>
      <c r="K469" s="144">
        <v>2</v>
      </c>
      <c r="L469" s="144" t="s">
        <v>1073</v>
      </c>
      <c r="M469" s="144" t="s">
        <v>4590</v>
      </c>
      <c r="N469" s="144">
        <v>5</v>
      </c>
      <c r="O469" s="144" t="s">
        <v>784</v>
      </c>
      <c r="P469" s="144">
        <v>500000</v>
      </c>
      <c r="Q469" s="144" t="s">
        <v>452</v>
      </c>
      <c r="R469" s="144" t="s">
        <v>4591</v>
      </c>
      <c r="S469" s="144"/>
      <c r="T469" s="144"/>
      <c r="U469" s="145"/>
      <c r="V469" s="145"/>
      <c r="W469" s="145"/>
      <c r="X469" s="144" t="s">
        <v>1855</v>
      </c>
      <c r="Y469" s="144" t="s">
        <v>4592</v>
      </c>
      <c r="Z469" s="144" t="str">
        <f ca="1">IFERROR(__xludf.DUMMYFUNCTION("IF(VLOOKUP($Y469, IMPORTRANGE(""https://docs.google.com/spreadsheets/d/1WsTKRjz8_fF2119Ff9dhKIIYXSaUEHzuWr8pBkxmwQQ/edit"", ""Form Responses 1!$B:$Z""),1, FALSE)=$Y469,""Yes"",""No"")"),"#N/A")</f>
        <v>#N/A</v>
      </c>
      <c r="AA469" s="144"/>
      <c r="AB469" s="144"/>
    </row>
    <row r="470" spans="1:28">
      <c r="A470" s="140" t="s">
        <v>907</v>
      </c>
      <c r="B470" s="140" t="s">
        <v>4593</v>
      </c>
      <c r="C470" s="140" t="s">
        <v>4594</v>
      </c>
      <c r="D470" s="140" t="s">
        <v>4595</v>
      </c>
      <c r="E470" s="140" t="s">
        <v>4596</v>
      </c>
      <c r="F470" s="140" t="s">
        <v>4</v>
      </c>
      <c r="G470" s="140">
        <v>3.5</v>
      </c>
      <c r="H470" s="140" t="s">
        <v>24</v>
      </c>
      <c r="I470" s="140" t="s">
        <v>447</v>
      </c>
      <c r="J470" s="140" t="s">
        <v>4597</v>
      </c>
      <c r="K470" s="140">
        <v>3</v>
      </c>
      <c r="L470" s="140" t="s">
        <v>1073</v>
      </c>
      <c r="M470" s="140" t="s">
        <v>4598</v>
      </c>
      <c r="N470" s="140">
        <v>4</v>
      </c>
      <c r="O470" s="140"/>
      <c r="P470" s="140"/>
      <c r="Q470" s="140" t="s">
        <v>452</v>
      </c>
      <c r="R470" s="140" t="s">
        <v>1119</v>
      </c>
      <c r="S470" s="140"/>
      <c r="T470" s="140"/>
      <c r="U470" s="143"/>
      <c r="V470" s="143"/>
      <c r="W470" s="143"/>
      <c r="X470" s="140" t="s">
        <v>4599</v>
      </c>
      <c r="Y470" s="140" t="s">
        <v>4600</v>
      </c>
      <c r="Z470" s="140" t="str">
        <f ca="1">IFERROR(__xludf.DUMMYFUNCTION("IF(VLOOKUP($Y470, IMPORTRANGE(""https://docs.google.com/spreadsheets/d/1WsTKRjz8_fF2119Ff9dhKIIYXSaUEHzuWr8pBkxmwQQ/edit"", ""Form Responses 1!$B:$Z""),1, FALSE)=$Y470,""Yes"",""No"")"),"#N/A")</f>
        <v>#N/A</v>
      </c>
      <c r="AA470" s="140"/>
      <c r="AB470" s="140"/>
    </row>
    <row r="471" spans="1:28">
      <c r="A471" s="144" t="s">
        <v>529</v>
      </c>
      <c r="B471" s="144" t="s">
        <v>4601</v>
      </c>
      <c r="C471" s="144" t="s">
        <v>4602</v>
      </c>
      <c r="D471" s="144" t="s">
        <v>4603</v>
      </c>
      <c r="E471" s="144" t="s">
        <v>4604</v>
      </c>
      <c r="F471" s="144" t="s">
        <v>4</v>
      </c>
      <c r="G471" s="144">
        <v>3.5</v>
      </c>
      <c r="H471" s="144" t="s">
        <v>24</v>
      </c>
      <c r="I471" s="144" t="s">
        <v>727</v>
      </c>
      <c r="J471" s="144" t="s">
        <v>4605</v>
      </c>
      <c r="K471" s="144">
        <v>4</v>
      </c>
      <c r="L471" s="144" t="s">
        <v>604</v>
      </c>
      <c r="M471" s="144" t="s">
        <v>4606</v>
      </c>
      <c r="N471" s="144">
        <v>3</v>
      </c>
      <c r="O471" s="144" t="s">
        <v>923</v>
      </c>
      <c r="P471" s="144">
        <v>1500000</v>
      </c>
      <c r="Q471" s="144" t="s">
        <v>452</v>
      </c>
      <c r="R471" s="144" t="s">
        <v>4607</v>
      </c>
      <c r="S471" s="144"/>
      <c r="T471" s="144"/>
      <c r="U471" s="145"/>
      <c r="V471" s="145"/>
      <c r="W471" s="145"/>
      <c r="X471" s="144" t="s">
        <v>4608</v>
      </c>
      <c r="Y471" s="144" t="s">
        <v>4609</v>
      </c>
      <c r="Z471" s="144" t="str">
        <f ca="1">IFERROR(__xludf.DUMMYFUNCTION("IF(VLOOKUP($Y471, IMPORTRANGE(""https://docs.google.com/spreadsheets/d/1WsTKRjz8_fF2119Ff9dhKIIYXSaUEHzuWr8pBkxmwQQ/edit"", ""Form Responses 1!$B:$Z""),1, FALSE)=$Y471,""Yes"",""No"")"),"#N/A")</f>
        <v>#N/A</v>
      </c>
      <c r="AA471" s="144"/>
      <c r="AB471" s="144"/>
    </row>
    <row r="472" spans="1:28">
      <c r="A472" s="140" t="s">
        <v>907</v>
      </c>
      <c r="B472" s="140" t="s">
        <v>4610</v>
      </c>
      <c r="C472" s="140" t="s">
        <v>4611</v>
      </c>
      <c r="D472" s="140" t="s">
        <v>4612</v>
      </c>
      <c r="E472" s="140" t="s">
        <v>4613</v>
      </c>
      <c r="F472" s="140" t="s">
        <v>4</v>
      </c>
      <c r="G472" s="140">
        <v>3.5</v>
      </c>
      <c r="H472" s="140" t="s">
        <v>24</v>
      </c>
      <c r="I472" s="140" t="s">
        <v>1045</v>
      </c>
      <c r="J472" s="140" t="s">
        <v>4614</v>
      </c>
      <c r="K472" s="140">
        <v>3</v>
      </c>
      <c r="L472" s="140" t="s">
        <v>604</v>
      </c>
      <c r="M472" s="140" t="s">
        <v>4615</v>
      </c>
      <c r="N472" s="140">
        <v>4</v>
      </c>
      <c r="O472" s="140" t="s">
        <v>784</v>
      </c>
      <c r="P472" s="148">
        <v>750000</v>
      </c>
      <c r="Q472" s="140" t="s">
        <v>454</v>
      </c>
      <c r="R472" s="140" t="s">
        <v>4616</v>
      </c>
      <c r="S472" s="140"/>
      <c r="T472" s="140"/>
      <c r="U472" s="143"/>
      <c r="V472" s="143"/>
      <c r="W472" s="143"/>
      <c r="X472" s="140" t="s">
        <v>4617</v>
      </c>
      <c r="Y472" s="140" t="s">
        <v>4618</v>
      </c>
      <c r="Z472" s="140" t="str">
        <f ca="1">IFERROR(__xludf.DUMMYFUNCTION("IF(VLOOKUP($Y472, IMPORTRANGE(""https://docs.google.com/spreadsheets/d/1WsTKRjz8_fF2119Ff9dhKIIYXSaUEHzuWr8pBkxmwQQ/edit"", ""Form Responses 1!$B:$Z""),1, FALSE)=$Y472,""Yes"",""No"")"),"#N/A")</f>
        <v>#N/A</v>
      </c>
      <c r="AA472" s="140"/>
      <c r="AB472" s="140"/>
    </row>
    <row r="473" spans="1:28">
      <c r="A473" s="144" t="s">
        <v>529</v>
      </c>
      <c r="B473" s="144" t="s">
        <v>4619</v>
      </c>
      <c r="C473" s="144" t="s">
        <v>4620</v>
      </c>
      <c r="D473" s="144" t="s">
        <v>4621</v>
      </c>
      <c r="E473" s="144" t="s">
        <v>4622</v>
      </c>
      <c r="F473" s="144" t="s">
        <v>4</v>
      </c>
      <c r="G473" s="144">
        <v>3.5</v>
      </c>
      <c r="H473" s="144" t="s">
        <v>24</v>
      </c>
      <c r="I473" s="144" t="s">
        <v>1457</v>
      </c>
      <c r="J473" s="144" t="s">
        <v>4623</v>
      </c>
      <c r="K473" s="144">
        <v>3</v>
      </c>
      <c r="L473" s="144" t="s">
        <v>604</v>
      </c>
      <c r="M473" s="144" t="s">
        <v>4624</v>
      </c>
      <c r="N473" s="144">
        <v>4</v>
      </c>
      <c r="O473" s="144" t="s">
        <v>478</v>
      </c>
      <c r="P473" s="144">
        <v>5000000</v>
      </c>
      <c r="Q473" s="144" t="s">
        <v>465</v>
      </c>
      <c r="R473" s="144" t="s">
        <v>4625</v>
      </c>
      <c r="S473" s="144"/>
      <c r="T473" s="144"/>
      <c r="U473" s="145"/>
      <c r="V473" s="145"/>
      <c r="W473" s="145"/>
      <c r="X473" s="144" t="s">
        <v>4626</v>
      </c>
      <c r="Y473" s="144" t="s">
        <v>4627</v>
      </c>
      <c r="Z473" s="144" t="str">
        <f ca="1">IFERROR(__xludf.DUMMYFUNCTION("IF(VLOOKUP($Y473, IMPORTRANGE(""https://docs.google.com/spreadsheets/d/1WsTKRjz8_fF2119Ff9dhKIIYXSaUEHzuWr8pBkxmwQQ/edit"", ""Form Responses 1!$B:$Z""),1, FALSE)=$Y473,""Yes"",""No"")"),"#N/A")</f>
        <v>#N/A</v>
      </c>
      <c r="AA473" s="144"/>
      <c r="AB473" s="144"/>
    </row>
    <row r="474" spans="1:28">
      <c r="A474" s="140" t="s">
        <v>907</v>
      </c>
      <c r="B474" s="140" t="s">
        <v>4628</v>
      </c>
      <c r="C474" s="140" t="s">
        <v>4629</v>
      </c>
      <c r="D474" s="140" t="s">
        <v>4630</v>
      </c>
      <c r="E474" s="140" t="s">
        <v>4631</v>
      </c>
      <c r="F474" s="140" t="s">
        <v>4</v>
      </c>
      <c r="G474" s="140">
        <v>3.5</v>
      </c>
      <c r="H474" s="140" t="s">
        <v>24</v>
      </c>
      <c r="I474" s="140" t="s">
        <v>447</v>
      </c>
      <c r="J474" s="140" t="s">
        <v>4632</v>
      </c>
      <c r="K474" s="140">
        <v>4</v>
      </c>
      <c r="L474" s="140" t="s">
        <v>604</v>
      </c>
      <c r="M474" s="140" t="s">
        <v>4633</v>
      </c>
      <c r="N474" s="140">
        <v>3</v>
      </c>
      <c r="O474" s="140" t="s">
        <v>2190</v>
      </c>
      <c r="P474" s="140">
        <v>1000000</v>
      </c>
      <c r="Q474" s="140" t="s">
        <v>465</v>
      </c>
      <c r="R474" s="140"/>
      <c r="S474" s="140" t="s">
        <v>4634</v>
      </c>
      <c r="T474" s="140"/>
      <c r="U474" s="143"/>
      <c r="V474" s="143"/>
      <c r="W474" s="143"/>
      <c r="X474" s="140" t="s">
        <v>4635</v>
      </c>
      <c r="Y474" s="140" t="s">
        <v>4636</v>
      </c>
      <c r="Z474" s="140" t="str">
        <f ca="1">IFERROR(__xludf.DUMMYFUNCTION("IF(VLOOKUP($Y474, IMPORTRANGE(""https://docs.google.com/spreadsheets/d/1WsTKRjz8_fF2119Ff9dhKIIYXSaUEHzuWr8pBkxmwQQ/edit"", ""Form Responses 1!$B:$Z""),1, FALSE)=$Y474,""Yes"",""No"")"),"#N/A")</f>
        <v>#N/A</v>
      </c>
      <c r="AA474" s="140"/>
      <c r="AB474" s="140"/>
    </row>
    <row r="475" spans="1:28">
      <c r="A475" s="144" t="s">
        <v>443</v>
      </c>
      <c r="B475" s="144" t="s">
        <v>4637</v>
      </c>
      <c r="C475" s="144" t="s">
        <v>4638</v>
      </c>
      <c r="D475" s="144" t="s">
        <v>4639</v>
      </c>
      <c r="E475" s="144" t="s">
        <v>4640</v>
      </c>
      <c r="F475" s="144" t="s">
        <v>4</v>
      </c>
      <c r="G475" s="144">
        <v>3.5</v>
      </c>
      <c r="H475" s="144" t="s">
        <v>24</v>
      </c>
      <c r="I475" s="144" t="s">
        <v>602</v>
      </c>
      <c r="J475" s="144" t="s">
        <v>4641</v>
      </c>
      <c r="K475" s="144">
        <v>4</v>
      </c>
      <c r="L475" s="144" t="s">
        <v>476</v>
      </c>
      <c r="M475" s="144" t="s">
        <v>4642</v>
      </c>
      <c r="N475" s="144">
        <v>3</v>
      </c>
      <c r="O475" s="144"/>
      <c r="P475" s="144"/>
      <c r="Q475" s="144" t="s">
        <v>465</v>
      </c>
      <c r="R475" s="144" t="s">
        <v>4643</v>
      </c>
      <c r="S475" s="144"/>
      <c r="T475" s="144"/>
      <c r="U475" s="145"/>
      <c r="V475" s="145"/>
      <c r="W475" s="145"/>
      <c r="X475" s="144" t="s">
        <v>3522</v>
      </c>
      <c r="Y475" s="144" t="s">
        <v>4644</v>
      </c>
      <c r="Z475" s="144" t="str">
        <f ca="1">IFERROR(__xludf.DUMMYFUNCTION("IF(VLOOKUP($Y475, IMPORTRANGE(""https://docs.google.com/spreadsheets/d/1WsTKRjz8_fF2119Ff9dhKIIYXSaUEHzuWr8pBkxmwQQ/edit"", ""Form Responses 1!$B:$Z""),1, FALSE)=$Y475,""Yes"",""No"")"),"#N/A")</f>
        <v>#N/A</v>
      </c>
      <c r="AA475" s="144"/>
      <c r="AB475" s="144"/>
    </row>
    <row r="476" spans="1:28">
      <c r="A476" s="140" t="s">
        <v>907</v>
      </c>
      <c r="B476" s="140" t="s">
        <v>4645</v>
      </c>
      <c r="C476" s="140" t="s">
        <v>4646</v>
      </c>
      <c r="D476" s="140" t="s">
        <v>4647</v>
      </c>
      <c r="E476" s="140" t="s">
        <v>4648</v>
      </c>
      <c r="F476" s="140" t="s">
        <v>4</v>
      </c>
      <c r="G476" s="140">
        <v>3.5</v>
      </c>
      <c r="H476" s="140" t="s">
        <v>24</v>
      </c>
      <c r="I476" s="140" t="s">
        <v>447</v>
      </c>
      <c r="J476" s="140" t="s">
        <v>4649</v>
      </c>
      <c r="K476" s="140">
        <v>3</v>
      </c>
      <c r="L476" s="140" t="s">
        <v>604</v>
      </c>
      <c r="M476" s="140" t="s">
        <v>4650</v>
      </c>
      <c r="N476" s="140">
        <v>4</v>
      </c>
      <c r="O476" s="140" t="s">
        <v>1656</v>
      </c>
      <c r="P476" s="140">
        <v>3000000</v>
      </c>
      <c r="Q476" s="140" t="s">
        <v>452</v>
      </c>
      <c r="R476" s="140" t="s">
        <v>4651</v>
      </c>
      <c r="S476" s="140"/>
      <c r="T476" s="140"/>
      <c r="U476" s="143"/>
      <c r="V476" s="143"/>
      <c r="W476" s="143"/>
      <c r="X476" s="140" t="s">
        <v>4652</v>
      </c>
      <c r="Y476" s="140" t="s">
        <v>4653</v>
      </c>
      <c r="Z476" s="140" t="str">
        <f ca="1">IFERROR(__xludf.DUMMYFUNCTION("IF(VLOOKUP($Y476, IMPORTRANGE(""https://docs.google.com/spreadsheets/d/1WsTKRjz8_fF2119Ff9dhKIIYXSaUEHzuWr8pBkxmwQQ/edit"", ""Form Responses 1!$B:$Z""),1, FALSE)=$Y476,""Yes"",""No"")"),"#N/A")</f>
        <v>#N/A</v>
      </c>
      <c r="AA476" s="140"/>
      <c r="AB476" s="140"/>
    </row>
    <row r="477" spans="1:28">
      <c r="A477" s="144" t="s">
        <v>529</v>
      </c>
      <c r="B477" s="144" t="s">
        <v>4654</v>
      </c>
      <c r="C477" s="144" t="s">
        <v>4655</v>
      </c>
      <c r="D477" s="144" t="s">
        <v>4656</v>
      </c>
      <c r="E477" s="144" t="s">
        <v>4657</v>
      </c>
      <c r="F477" s="144" t="s">
        <v>4</v>
      </c>
      <c r="G477" s="144">
        <v>3.5</v>
      </c>
      <c r="H477" s="144" t="s">
        <v>24</v>
      </c>
      <c r="I477" s="144" t="s">
        <v>727</v>
      </c>
      <c r="J477" s="144" t="s">
        <v>4658</v>
      </c>
      <c r="K477" s="144">
        <v>3</v>
      </c>
      <c r="L477" s="144" t="s">
        <v>1187</v>
      </c>
      <c r="M477" s="144" t="s">
        <v>4659</v>
      </c>
      <c r="N477" s="144">
        <v>4</v>
      </c>
      <c r="O477" s="144"/>
      <c r="P477" s="144"/>
      <c r="Q477" s="144" t="s">
        <v>452</v>
      </c>
      <c r="R477" s="144" t="s">
        <v>4660</v>
      </c>
      <c r="S477" s="144"/>
      <c r="T477" s="144"/>
      <c r="U477" s="145"/>
      <c r="V477" s="145"/>
      <c r="W477" s="145"/>
      <c r="X477" s="144" t="s">
        <v>4661</v>
      </c>
      <c r="Y477" s="144" t="s">
        <v>4662</v>
      </c>
      <c r="Z477" s="144" t="str">
        <f ca="1">IFERROR(__xludf.DUMMYFUNCTION("IF(VLOOKUP($Y477, IMPORTRANGE(""https://docs.google.com/spreadsheets/d/1WsTKRjz8_fF2119Ff9dhKIIYXSaUEHzuWr8pBkxmwQQ/edit"", ""Form Responses 1!$B:$Z""),1, FALSE)=$Y477,""Yes"",""No"")"),"#N/A")</f>
        <v>#N/A</v>
      </c>
      <c r="AA477" s="144"/>
      <c r="AB477" s="144"/>
    </row>
    <row r="478" spans="1:28">
      <c r="A478" s="140" t="s">
        <v>471</v>
      </c>
      <c r="B478" s="140" t="s">
        <v>299</v>
      </c>
      <c r="C478" s="140" t="s">
        <v>4663</v>
      </c>
      <c r="D478" s="140" t="s">
        <v>4664</v>
      </c>
      <c r="E478" s="140" t="s">
        <v>4665</v>
      </c>
      <c r="F478" s="140" t="s">
        <v>4</v>
      </c>
      <c r="G478" s="140">
        <v>3.5</v>
      </c>
      <c r="H478" s="140" t="s">
        <v>24</v>
      </c>
      <c r="I478" s="140" t="s">
        <v>460</v>
      </c>
      <c r="J478" s="140" t="s">
        <v>4666</v>
      </c>
      <c r="K478" s="140">
        <v>4</v>
      </c>
      <c r="L478" s="140" t="s">
        <v>462</v>
      </c>
      <c r="M478" s="140"/>
      <c r="N478" s="140">
        <v>3</v>
      </c>
      <c r="O478" s="140" t="s">
        <v>478</v>
      </c>
      <c r="P478" s="140" t="s">
        <v>4667</v>
      </c>
      <c r="Q478" s="140" t="s">
        <v>452</v>
      </c>
      <c r="R478" s="140" t="s">
        <v>452</v>
      </c>
      <c r="S478" s="140"/>
      <c r="T478" s="140" t="s">
        <v>4668</v>
      </c>
      <c r="U478" s="143" t="s">
        <v>481</v>
      </c>
      <c r="V478" s="143"/>
      <c r="W478" s="143"/>
      <c r="X478" s="140" t="s">
        <v>4669</v>
      </c>
      <c r="Y478" s="140" t="s">
        <v>4670</v>
      </c>
      <c r="Z478" s="140" t="str">
        <f ca="1">IFERROR(__xludf.DUMMYFUNCTION("IF(VLOOKUP($Y478, IMPORTRANGE(""https://docs.google.com/spreadsheets/d/1WsTKRjz8_fF2119Ff9dhKIIYXSaUEHzuWr8pBkxmwQQ/edit"", ""Form Responses 1!$B:$Z""),1, FALSE)=$Y478,""Yes"",""No"")"),"#N/A")</f>
        <v>#N/A</v>
      </c>
      <c r="AA478" s="140"/>
      <c r="AB478" s="140"/>
    </row>
    <row r="479" spans="1:28">
      <c r="A479" s="144" t="s">
        <v>598</v>
      </c>
      <c r="B479" s="144" t="s">
        <v>4671</v>
      </c>
      <c r="C479" s="144" t="s">
        <v>4672</v>
      </c>
      <c r="D479" s="144" t="s">
        <v>4673</v>
      </c>
      <c r="E479" s="144" t="s">
        <v>4674</v>
      </c>
      <c r="F479" s="144" t="s">
        <v>4</v>
      </c>
      <c r="G479" s="144">
        <v>3.5</v>
      </c>
      <c r="H479" s="144" t="s">
        <v>24</v>
      </c>
      <c r="I479" s="144" t="s">
        <v>602</v>
      </c>
      <c r="J479" s="144" t="s">
        <v>4675</v>
      </c>
      <c r="K479" s="144">
        <v>3</v>
      </c>
      <c r="L479" s="144" t="s">
        <v>1187</v>
      </c>
      <c r="M479" s="144" t="s">
        <v>4676</v>
      </c>
      <c r="N479" s="144">
        <v>4</v>
      </c>
      <c r="O479" s="144" t="s">
        <v>451</v>
      </c>
      <c r="P479" s="144" t="s">
        <v>1384</v>
      </c>
      <c r="Q479" s="144" t="s">
        <v>465</v>
      </c>
      <c r="R479" s="144" t="s">
        <v>4677</v>
      </c>
      <c r="S479" s="144"/>
      <c r="T479" s="144"/>
      <c r="U479" s="145"/>
      <c r="V479" s="145"/>
      <c r="W479" s="145"/>
      <c r="X479" s="144" t="s">
        <v>4678</v>
      </c>
      <c r="Y479" s="144" t="s">
        <v>4679</v>
      </c>
      <c r="Z479" s="144" t="str">
        <f ca="1">IFERROR(__xludf.DUMMYFUNCTION("IF(VLOOKUP($Y479, IMPORTRANGE(""https://docs.google.com/spreadsheets/d/1WsTKRjz8_fF2119Ff9dhKIIYXSaUEHzuWr8pBkxmwQQ/edit"", ""Form Responses 1!$B:$Z""),1, FALSE)=$Y479,""Yes"",""No"")"),"#N/A")</f>
        <v>#N/A</v>
      </c>
      <c r="AA479" s="144"/>
      <c r="AB479" s="144"/>
    </row>
    <row r="480" spans="1:28">
      <c r="A480" s="140" t="s">
        <v>529</v>
      </c>
      <c r="B480" s="140" t="s">
        <v>4680</v>
      </c>
      <c r="C480" s="140" t="s">
        <v>4681</v>
      </c>
      <c r="D480" s="140" t="s">
        <v>4682</v>
      </c>
      <c r="E480" s="140" t="s">
        <v>4683</v>
      </c>
      <c r="F480" s="140" t="s">
        <v>4</v>
      </c>
      <c r="G480" s="140">
        <v>3.5</v>
      </c>
      <c r="H480" s="140" t="s">
        <v>24</v>
      </c>
      <c r="I480" s="140" t="s">
        <v>725</v>
      </c>
      <c r="J480" s="140" t="s">
        <v>4684</v>
      </c>
      <c r="K480" s="140">
        <v>3</v>
      </c>
      <c r="L480" s="140" t="s">
        <v>1187</v>
      </c>
      <c r="M480" s="140" t="s">
        <v>4685</v>
      </c>
      <c r="N480" s="140">
        <v>4</v>
      </c>
      <c r="O480" s="140" t="s">
        <v>451</v>
      </c>
      <c r="P480" s="142">
        <v>500000</v>
      </c>
      <c r="Q480" s="140" t="s">
        <v>452</v>
      </c>
      <c r="R480" s="140" t="s">
        <v>4686</v>
      </c>
      <c r="S480" s="140" t="s">
        <v>4687</v>
      </c>
      <c r="T480" s="140"/>
      <c r="U480" s="143"/>
      <c r="V480" s="143"/>
      <c r="W480" s="143"/>
      <c r="X480" s="140" t="s">
        <v>2748</v>
      </c>
      <c r="Y480" s="140" t="s">
        <v>4688</v>
      </c>
      <c r="Z480" s="140" t="str">
        <f ca="1">IFERROR(__xludf.DUMMYFUNCTION("IF(VLOOKUP($Y480, IMPORTRANGE(""https://docs.google.com/spreadsheets/d/1WsTKRjz8_fF2119Ff9dhKIIYXSaUEHzuWr8pBkxmwQQ/edit"", ""Form Responses 1!$B:$Z""),1, FALSE)=$Y480,""Yes"",""No"")"),"#N/A")</f>
        <v>#N/A</v>
      </c>
      <c r="AA480" s="140"/>
      <c r="AB480" s="140"/>
    </row>
    <row r="481" spans="1:28">
      <c r="A481" s="144" t="s">
        <v>598</v>
      </c>
      <c r="B481" s="144" t="s">
        <v>4689</v>
      </c>
      <c r="C481" s="144" t="s">
        <v>4690</v>
      </c>
      <c r="D481" s="144" t="s">
        <v>4691</v>
      </c>
      <c r="E481" s="144" t="s">
        <v>4692</v>
      </c>
      <c r="F481" s="144" t="s">
        <v>4</v>
      </c>
      <c r="G481" s="144">
        <v>3.5</v>
      </c>
      <c r="H481" s="144" t="s">
        <v>24</v>
      </c>
      <c r="I481" s="144" t="s">
        <v>727</v>
      </c>
      <c r="J481" s="144" t="s">
        <v>4693</v>
      </c>
      <c r="K481" s="144">
        <v>4</v>
      </c>
      <c r="L481" s="144" t="s">
        <v>1237</v>
      </c>
      <c r="M481" s="144"/>
      <c r="N481" s="144">
        <v>3</v>
      </c>
      <c r="O481" s="144" t="s">
        <v>4694</v>
      </c>
      <c r="P481" s="144" t="s">
        <v>4695</v>
      </c>
      <c r="Q481" s="144" t="s">
        <v>452</v>
      </c>
      <c r="R481" s="144" t="s">
        <v>974</v>
      </c>
      <c r="S481" s="144" t="s">
        <v>725</v>
      </c>
      <c r="T481" s="144"/>
      <c r="U481" s="145"/>
      <c r="V481" s="145"/>
      <c r="W481" s="145"/>
      <c r="X481" s="144" t="s">
        <v>4696</v>
      </c>
      <c r="Y481" s="144" t="s">
        <v>4697</v>
      </c>
      <c r="Z481" s="144" t="str">
        <f ca="1">IFERROR(__xludf.DUMMYFUNCTION("IF(VLOOKUP($Y481, IMPORTRANGE(""https://docs.google.com/spreadsheets/d/1WsTKRjz8_fF2119Ff9dhKIIYXSaUEHzuWr8pBkxmwQQ/edit"", ""Form Responses 1!$B:$Z""),1, FALSE)=$Y481,""Yes"",""No"")"),"#N/A")</f>
        <v>#N/A</v>
      </c>
      <c r="AA481" s="144"/>
      <c r="AB481" s="144"/>
    </row>
    <row r="482" spans="1:28">
      <c r="A482" s="140" t="s">
        <v>529</v>
      </c>
      <c r="B482" s="140" t="s">
        <v>4698</v>
      </c>
      <c r="C482" s="140" t="s">
        <v>4699</v>
      </c>
      <c r="D482" s="140" t="s">
        <v>4700</v>
      </c>
      <c r="E482" s="140"/>
      <c r="F482" s="140" t="s">
        <v>4</v>
      </c>
      <c r="G482" s="140">
        <v>3.5</v>
      </c>
      <c r="H482" s="140" t="s">
        <v>24</v>
      </c>
      <c r="I482" s="140" t="s">
        <v>725</v>
      </c>
      <c r="J482" s="140" t="s">
        <v>4701</v>
      </c>
      <c r="K482" s="140">
        <v>3</v>
      </c>
      <c r="L482" s="140" t="s">
        <v>1237</v>
      </c>
      <c r="M482" s="140"/>
      <c r="N482" s="140">
        <v>4</v>
      </c>
      <c r="O482" s="140" t="s">
        <v>2190</v>
      </c>
      <c r="P482" s="140" t="s">
        <v>4702</v>
      </c>
      <c r="Q482" s="140" t="s">
        <v>454</v>
      </c>
      <c r="R482" s="140" t="s">
        <v>4703</v>
      </c>
      <c r="S482" s="140" t="s">
        <v>4704</v>
      </c>
      <c r="T482" s="140"/>
      <c r="U482" s="143"/>
      <c r="V482" s="143"/>
      <c r="W482" s="143"/>
      <c r="X482" s="140" t="s">
        <v>4705</v>
      </c>
      <c r="Y482" s="140" t="s">
        <v>4706</v>
      </c>
      <c r="Z482" s="140" t="str">
        <f ca="1">IFERROR(__xludf.DUMMYFUNCTION("IF(VLOOKUP($Y482, IMPORTRANGE(""https://docs.google.com/spreadsheets/d/1WsTKRjz8_fF2119Ff9dhKIIYXSaUEHzuWr8pBkxmwQQ/edit"", ""Form Responses 1!$B:$Z""),1, FALSE)=$Y482,""Yes"",""No"")"),"#N/A")</f>
        <v>#N/A</v>
      </c>
      <c r="AA482" s="140"/>
      <c r="AB482" s="140"/>
    </row>
    <row r="483" spans="1:28">
      <c r="A483" s="144" t="s">
        <v>598</v>
      </c>
      <c r="B483" s="144" t="s">
        <v>4707</v>
      </c>
      <c r="C483" s="144" t="s">
        <v>4708</v>
      </c>
      <c r="D483" s="144" t="s">
        <v>4709</v>
      </c>
      <c r="E483" s="144" t="s">
        <v>4710</v>
      </c>
      <c r="F483" s="144" t="s">
        <v>4</v>
      </c>
      <c r="G483" s="144">
        <v>3.5</v>
      </c>
      <c r="H483" s="144" t="s">
        <v>24</v>
      </c>
      <c r="I483" s="144" t="s">
        <v>602</v>
      </c>
      <c r="J483" s="144" t="s">
        <v>4711</v>
      </c>
      <c r="K483" s="144">
        <v>3.5</v>
      </c>
      <c r="L483" s="144" t="s">
        <v>476</v>
      </c>
      <c r="M483" s="144" t="s">
        <v>4712</v>
      </c>
      <c r="N483" s="144">
        <v>3.5</v>
      </c>
      <c r="O483" s="144"/>
      <c r="P483" s="144"/>
      <c r="Q483" s="144" t="s">
        <v>452</v>
      </c>
      <c r="R483" s="144" t="s">
        <v>4713</v>
      </c>
      <c r="S483" s="144"/>
      <c r="T483" s="144"/>
      <c r="U483" s="145"/>
      <c r="V483" s="145"/>
      <c r="W483" s="145"/>
      <c r="X483" s="144" t="s">
        <v>4714</v>
      </c>
      <c r="Y483" s="144" t="s">
        <v>4715</v>
      </c>
      <c r="Z483" s="144" t="str">
        <f ca="1">IFERROR(__xludf.DUMMYFUNCTION("IF(VLOOKUP($Y483, IMPORTRANGE(""https://docs.google.com/spreadsheets/d/1WsTKRjz8_fF2119Ff9dhKIIYXSaUEHzuWr8pBkxmwQQ/edit"", ""Form Responses 1!$B:$Z""),1, FALSE)=$Y483,""Yes"",""No"")"),"#N/A")</f>
        <v>#N/A</v>
      </c>
      <c r="AA483" s="144"/>
      <c r="AB483" s="144"/>
    </row>
    <row r="484" spans="1:28">
      <c r="A484" s="140" t="s">
        <v>484</v>
      </c>
      <c r="B484" s="140" t="s">
        <v>4716</v>
      </c>
      <c r="C484" s="140" t="s">
        <v>4717</v>
      </c>
      <c r="D484" s="140" t="s">
        <v>4718</v>
      </c>
      <c r="E484" s="140" t="s">
        <v>4719</v>
      </c>
      <c r="F484" s="140" t="s">
        <v>4</v>
      </c>
      <c r="G484" s="140">
        <v>3.5</v>
      </c>
      <c r="H484" s="140" t="s">
        <v>24</v>
      </c>
      <c r="I484" s="140" t="s">
        <v>727</v>
      </c>
      <c r="J484" s="140" t="s">
        <v>4720</v>
      </c>
      <c r="K484" s="140">
        <v>3.5</v>
      </c>
      <c r="L484" s="140" t="s">
        <v>1054</v>
      </c>
      <c r="M484" s="140" t="s">
        <v>4721</v>
      </c>
      <c r="N484" s="140">
        <v>3.5</v>
      </c>
      <c r="O484" s="140"/>
      <c r="P484" s="140"/>
      <c r="Q484" s="140" t="s">
        <v>452</v>
      </c>
      <c r="R484" s="140" t="s">
        <v>4722</v>
      </c>
      <c r="S484" s="140" t="s">
        <v>4723</v>
      </c>
      <c r="T484" s="140" t="s">
        <v>4724</v>
      </c>
      <c r="U484" s="143"/>
      <c r="V484" s="143"/>
      <c r="W484" s="143"/>
      <c r="X484" s="140" t="s">
        <v>4725</v>
      </c>
      <c r="Y484" s="140" t="s">
        <v>4726</v>
      </c>
      <c r="Z484" s="140" t="str">
        <f ca="1">IFERROR(__xludf.DUMMYFUNCTION("IF(VLOOKUP($Y484, IMPORTRANGE(""https://docs.google.com/spreadsheets/d/1WsTKRjz8_fF2119Ff9dhKIIYXSaUEHzuWr8pBkxmwQQ/edit"", ""Form Responses 1!$B:$Z""),1, FALSE)=$Y484,""Yes"",""No"")"),"#N/A")</f>
        <v>#N/A</v>
      </c>
      <c r="AA484" s="140"/>
      <c r="AB484" s="140"/>
    </row>
    <row r="485" spans="1:28">
      <c r="A485" s="144" t="s">
        <v>598</v>
      </c>
      <c r="B485" s="144" t="s">
        <v>4727</v>
      </c>
      <c r="C485" s="144" t="s">
        <v>4728</v>
      </c>
      <c r="D485" s="144" t="s">
        <v>4729</v>
      </c>
      <c r="E485" s="144" t="s">
        <v>4730</v>
      </c>
      <c r="F485" s="144" t="s">
        <v>4</v>
      </c>
      <c r="G485" s="144">
        <v>3.5</v>
      </c>
      <c r="H485" s="144" t="s">
        <v>24</v>
      </c>
      <c r="I485" s="144" t="s">
        <v>727</v>
      </c>
      <c r="J485" s="144" t="s">
        <v>4731</v>
      </c>
      <c r="K485" s="144">
        <v>3</v>
      </c>
      <c r="L485" s="144" t="s">
        <v>1281</v>
      </c>
      <c r="M485" s="144" t="s">
        <v>4732</v>
      </c>
      <c r="N485" s="144">
        <v>4</v>
      </c>
      <c r="O485" s="144" t="s">
        <v>451</v>
      </c>
      <c r="P485" s="160">
        <v>3000000</v>
      </c>
      <c r="Q485" s="144" t="s">
        <v>452</v>
      </c>
      <c r="R485" s="144" t="s">
        <v>1119</v>
      </c>
      <c r="S485" s="144"/>
      <c r="T485" s="144"/>
      <c r="U485" s="145"/>
      <c r="V485" s="145"/>
      <c r="W485" s="145"/>
      <c r="X485" s="144" t="s">
        <v>4733</v>
      </c>
      <c r="Y485" s="144" t="s">
        <v>4734</v>
      </c>
      <c r="Z485" s="144" t="str">
        <f ca="1">IFERROR(__xludf.DUMMYFUNCTION("IF(VLOOKUP($Y485, IMPORTRANGE(""https://docs.google.com/spreadsheets/d/1WsTKRjz8_fF2119Ff9dhKIIYXSaUEHzuWr8pBkxmwQQ/edit"", ""Form Responses 1!$B:$Z""),1, FALSE)=$Y485,""Yes"",""No"")"),"#N/A")</f>
        <v>#N/A</v>
      </c>
      <c r="AA485" s="144"/>
      <c r="AB485" s="144"/>
    </row>
    <row r="486" spans="1:28">
      <c r="A486" s="140" t="s">
        <v>471</v>
      </c>
      <c r="B486" s="140" t="s">
        <v>4735</v>
      </c>
      <c r="C486" s="140" t="s">
        <v>4736</v>
      </c>
      <c r="D486" s="140" t="s">
        <v>4737</v>
      </c>
      <c r="E486" s="140" t="s">
        <v>4738</v>
      </c>
      <c r="F486" s="140" t="s">
        <v>4</v>
      </c>
      <c r="G486" s="140">
        <v>3.5</v>
      </c>
      <c r="H486" s="140" t="s">
        <v>24</v>
      </c>
      <c r="I486" s="140" t="s">
        <v>727</v>
      </c>
      <c r="J486" s="140" t="s">
        <v>4739</v>
      </c>
      <c r="K486" s="140">
        <v>4</v>
      </c>
      <c r="L486" s="140" t="s">
        <v>1054</v>
      </c>
      <c r="M486" s="140" t="s">
        <v>4740</v>
      </c>
      <c r="N486" s="140">
        <v>3</v>
      </c>
      <c r="O486" s="140" t="s">
        <v>451</v>
      </c>
      <c r="P486" s="142">
        <v>3000000</v>
      </c>
      <c r="Q486" s="140" t="s">
        <v>465</v>
      </c>
      <c r="R486" s="140" t="s">
        <v>452</v>
      </c>
      <c r="S486" s="140" t="s">
        <v>710</v>
      </c>
      <c r="T486" s="140"/>
      <c r="U486" s="143"/>
      <c r="V486" s="143"/>
      <c r="W486" s="143"/>
      <c r="X486" s="140" t="s">
        <v>4741</v>
      </c>
      <c r="Y486" s="140" t="s">
        <v>4742</v>
      </c>
      <c r="Z486" s="140" t="str">
        <f ca="1">IFERROR(__xludf.DUMMYFUNCTION("IF(VLOOKUP($Y486, IMPORTRANGE(""https://docs.google.com/spreadsheets/d/1WsTKRjz8_fF2119Ff9dhKIIYXSaUEHzuWr8pBkxmwQQ/edit"", ""Form Responses 1!$B:$Z""),1, FALSE)=$Y486,""Yes"",""No"")"),"#N/A")</f>
        <v>#N/A</v>
      </c>
      <c r="AA486" s="140"/>
      <c r="AB486" s="140"/>
    </row>
    <row r="487" spans="1:28">
      <c r="A487" s="144" t="s">
        <v>484</v>
      </c>
      <c r="B487" s="144" t="s">
        <v>4743</v>
      </c>
      <c r="C487" s="144" t="s">
        <v>4744</v>
      </c>
      <c r="D487" s="144" t="s">
        <v>4745</v>
      </c>
      <c r="E487" s="144" t="s">
        <v>4746</v>
      </c>
      <c r="F487" s="144" t="s">
        <v>4</v>
      </c>
      <c r="G487" s="144">
        <v>3.5</v>
      </c>
      <c r="H487" s="144" t="s">
        <v>24</v>
      </c>
      <c r="I487" s="144" t="s">
        <v>602</v>
      </c>
      <c r="J487" s="144" t="s">
        <v>4747</v>
      </c>
      <c r="K487" s="144">
        <v>3.5</v>
      </c>
      <c r="L487" s="144" t="s">
        <v>476</v>
      </c>
      <c r="M487" s="144" t="s">
        <v>4748</v>
      </c>
      <c r="N487" s="144">
        <v>3.5</v>
      </c>
      <c r="O487" s="144"/>
      <c r="P487" s="144"/>
      <c r="Q487" s="144" t="s">
        <v>465</v>
      </c>
      <c r="R487" s="144" t="s">
        <v>452</v>
      </c>
      <c r="S487" s="144"/>
      <c r="T487" s="144"/>
      <c r="U487" s="145"/>
      <c r="V487" s="145"/>
      <c r="W487" s="145"/>
      <c r="X487" s="144" t="s">
        <v>4749</v>
      </c>
      <c r="Y487" s="144" t="s">
        <v>4750</v>
      </c>
      <c r="Z487" s="144" t="str">
        <f ca="1">IFERROR(__xludf.DUMMYFUNCTION("IF(VLOOKUP($Y487, IMPORTRANGE(""https://docs.google.com/spreadsheets/d/1WsTKRjz8_fF2119Ff9dhKIIYXSaUEHzuWr8pBkxmwQQ/edit"", ""Form Responses 1!$B:$Z""),1, FALSE)=$Y487,""Yes"",""No"")"),"#N/A")</f>
        <v>#N/A</v>
      </c>
      <c r="AA487" s="144"/>
      <c r="AB487" s="144"/>
    </row>
    <row r="488" spans="1:28">
      <c r="A488" s="140" t="s">
        <v>443</v>
      </c>
      <c r="B488" s="140" t="s">
        <v>4751</v>
      </c>
      <c r="C488" s="140" t="s">
        <v>4752</v>
      </c>
      <c r="D488" s="140" t="s">
        <v>4753</v>
      </c>
      <c r="E488" s="140" t="s">
        <v>4754</v>
      </c>
      <c r="F488" s="140" t="s">
        <v>4</v>
      </c>
      <c r="G488" s="140">
        <v>3.5</v>
      </c>
      <c r="H488" s="140" t="s">
        <v>24</v>
      </c>
      <c r="I488" s="140" t="s">
        <v>727</v>
      </c>
      <c r="J488" s="140" t="s">
        <v>4755</v>
      </c>
      <c r="K488" s="140">
        <v>3</v>
      </c>
      <c r="L488" s="140" t="s">
        <v>476</v>
      </c>
      <c r="M488" s="140" t="s">
        <v>4756</v>
      </c>
      <c r="N488" s="140">
        <v>4</v>
      </c>
      <c r="O488" s="140" t="s">
        <v>451</v>
      </c>
      <c r="P488" s="148">
        <v>1000000</v>
      </c>
      <c r="Q488" s="140" t="s">
        <v>452</v>
      </c>
      <c r="R488" s="140" t="s">
        <v>4757</v>
      </c>
      <c r="S488" s="140"/>
      <c r="T488" s="140"/>
      <c r="U488" s="143"/>
      <c r="V488" s="143"/>
      <c r="W488" s="143"/>
      <c r="X488" s="140" t="s">
        <v>1714</v>
      </c>
      <c r="Y488" s="140" t="s">
        <v>4758</v>
      </c>
      <c r="Z488" s="140" t="str">
        <f ca="1">IFERROR(__xludf.DUMMYFUNCTION("IF(VLOOKUP($Y488, IMPORTRANGE(""https://docs.google.com/spreadsheets/d/1WsTKRjz8_fF2119Ff9dhKIIYXSaUEHzuWr8pBkxmwQQ/edit"", ""Form Responses 1!$B:$Z""),1, FALSE)=$Y488,""Yes"",""No"")"),"#N/A")</f>
        <v>#N/A</v>
      </c>
      <c r="AA488" s="140"/>
      <c r="AB488" s="140"/>
    </row>
    <row r="489" spans="1:28">
      <c r="A489" s="144" t="s">
        <v>529</v>
      </c>
      <c r="B489" s="144" t="s">
        <v>4759</v>
      </c>
      <c r="C489" s="144" t="s">
        <v>4760</v>
      </c>
      <c r="D489" s="144" t="s">
        <v>4761</v>
      </c>
      <c r="E489" s="144" t="s">
        <v>4762</v>
      </c>
      <c r="F489" s="144" t="s">
        <v>4</v>
      </c>
      <c r="G489" s="144">
        <v>3.5</v>
      </c>
      <c r="H489" s="144" t="s">
        <v>24</v>
      </c>
      <c r="I489" s="144" t="s">
        <v>602</v>
      </c>
      <c r="J489" s="144" t="s">
        <v>4763</v>
      </c>
      <c r="K489" s="144">
        <v>3</v>
      </c>
      <c r="L489" s="144" t="s">
        <v>476</v>
      </c>
      <c r="M489" s="144" t="s">
        <v>4764</v>
      </c>
      <c r="N489" s="144">
        <v>4</v>
      </c>
      <c r="O489" s="144" t="s">
        <v>478</v>
      </c>
      <c r="P489" s="161">
        <v>1800000</v>
      </c>
      <c r="Q489" s="144" t="s">
        <v>452</v>
      </c>
      <c r="R489" s="144" t="s">
        <v>454</v>
      </c>
      <c r="S489" s="144"/>
      <c r="T489" s="144"/>
      <c r="U489" s="145"/>
      <c r="V489" s="145"/>
      <c r="W489" s="145"/>
      <c r="X489" s="144" t="s">
        <v>4765</v>
      </c>
      <c r="Y489" s="144" t="s">
        <v>4766</v>
      </c>
      <c r="Z489" s="144" t="str">
        <f ca="1">IFERROR(__xludf.DUMMYFUNCTION("IF(VLOOKUP($Y489, IMPORTRANGE(""https://docs.google.com/spreadsheets/d/1WsTKRjz8_fF2119Ff9dhKIIYXSaUEHzuWr8pBkxmwQQ/edit"", ""Form Responses 1!$B:$Z""),1, FALSE)=$Y489,""Yes"",""No"")"),"#N/A")</f>
        <v>#N/A</v>
      </c>
      <c r="AA489" s="144"/>
      <c r="AB489" s="144"/>
    </row>
    <row r="490" spans="1:28">
      <c r="A490" s="140" t="s">
        <v>598</v>
      </c>
      <c r="B490" s="140" t="s">
        <v>4767</v>
      </c>
      <c r="C490" s="140" t="s">
        <v>4768</v>
      </c>
      <c r="D490" s="140" t="s">
        <v>4769</v>
      </c>
      <c r="E490" s="140" t="s">
        <v>4770</v>
      </c>
      <c r="F490" s="140" t="s">
        <v>4</v>
      </c>
      <c r="G490" s="140">
        <v>3.5</v>
      </c>
      <c r="H490" s="140" t="s">
        <v>24</v>
      </c>
      <c r="I490" s="140" t="s">
        <v>727</v>
      </c>
      <c r="J490" s="140" t="s">
        <v>4771</v>
      </c>
      <c r="K490" s="140">
        <v>4</v>
      </c>
      <c r="L490" s="140" t="s">
        <v>1298</v>
      </c>
      <c r="M490" s="140" t="s">
        <v>4772</v>
      </c>
      <c r="N490" s="140">
        <v>3</v>
      </c>
      <c r="O490" s="140"/>
      <c r="P490" s="140"/>
      <c r="Q490" s="140" t="s">
        <v>465</v>
      </c>
      <c r="R490" s="140" t="s">
        <v>4773</v>
      </c>
      <c r="S490" s="140"/>
      <c r="T490" s="140"/>
      <c r="U490" s="143"/>
      <c r="V490" s="143"/>
      <c r="W490" s="143"/>
      <c r="X490" s="140" t="s">
        <v>4774</v>
      </c>
      <c r="Y490" s="140" t="s">
        <v>4775</v>
      </c>
      <c r="Z490" s="140" t="str">
        <f ca="1">IFERROR(__xludf.DUMMYFUNCTION("IF(VLOOKUP($Y490, IMPORTRANGE(""https://docs.google.com/spreadsheets/d/1WsTKRjz8_fF2119Ff9dhKIIYXSaUEHzuWr8pBkxmwQQ/edit"", ""Form Responses 1!$B:$Z""),1, FALSE)=$Y490,""Yes"",""No"")"),"#N/A")</f>
        <v>#N/A</v>
      </c>
      <c r="AA490" s="140"/>
      <c r="AB490" s="140"/>
    </row>
    <row r="491" spans="1:28">
      <c r="A491" s="144" t="s">
        <v>529</v>
      </c>
      <c r="B491" s="144" t="s">
        <v>4776</v>
      </c>
      <c r="C491" s="144" t="s">
        <v>4777</v>
      </c>
      <c r="D491" s="144" t="s">
        <v>4778</v>
      </c>
      <c r="E491" s="144" t="s">
        <v>4779</v>
      </c>
      <c r="F491" s="144" t="s">
        <v>4</v>
      </c>
      <c r="G491" s="144">
        <v>3.5</v>
      </c>
      <c r="H491" s="144" t="s">
        <v>24</v>
      </c>
      <c r="I491" s="144" t="s">
        <v>727</v>
      </c>
      <c r="J491" s="144" t="s">
        <v>4780</v>
      </c>
      <c r="K491" s="144">
        <v>4</v>
      </c>
      <c r="L491" s="144" t="s">
        <v>1045</v>
      </c>
      <c r="M491" s="144" t="s">
        <v>4781</v>
      </c>
      <c r="N491" s="144">
        <v>3</v>
      </c>
      <c r="O491" s="144"/>
      <c r="P491" s="144"/>
      <c r="Q491" s="144" t="s">
        <v>452</v>
      </c>
      <c r="R491" s="144" t="s">
        <v>452</v>
      </c>
      <c r="S491" s="144"/>
      <c r="T491" s="144"/>
      <c r="U491" s="145"/>
      <c r="V491" s="145"/>
      <c r="W491" s="145"/>
      <c r="X491" s="144" t="s">
        <v>4782</v>
      </c>
      <c r="Y491" s="144" t="s">
        <v>4783</v>
      </c>
      <c r="Z491" s="144" t="str">
        <f ca="1">IFERROR(__xludf.DUMMYFUNCTION("IF(VLOOKUP($Y491, IMPORTRANGE(""https://docs.google.com/spreadsheets/d/1WsTKRjz8_fF2119Ff9dhKIIYXSaUEHzuWr8pBkxmwQQ/edit"", ""Form Responses 1!$B:$Z""),1, FALSE)=$Y491,""Yes"",""No"")"),"#N/A")</f>
        <v>#N/A</v>
      </c>
      <c r="AA491" s="144"/>
      <c r="AB491" s="144"/>
    </row>
    <row r="492" spans="1:28">
      <c r="A492" s="140" t="s">
        <v>529</v>
      </c>
      <c r="B492" s="140" t="s">
        <v>4784</v>
      </c>
      <c r="C492" s="140" t="s">
        <v>4785</v>
      </c>
      <c r="D492" s="140" t="s">
        <v>4786</v>
      </c>
      <c r="E492" s="140" t="s">
        <v>4787</v>
      </c>
      <c r="F492" s="140" t="s">
        <v>4</v>
      </c>
      <c r="G492" s="140">
        <v>3.5</v>
      </c>
      <c r="H492" s="140" t="s">
        <v>24</v>
      </c>
      <c r="I492" s="140" t="s">
        <v>725</v>
      </c>
      <c r="J492" s="140" t="s">
        <v>4788</v>
      </c>
      <c r="K492" s="140">
        <v>4</v>
      </c>
      <c r="L492" s="140" t="s">
        <v>1298</v>
      </c>
      <c r="M492" s="140" t="s">
        <v>4789</v>
      </c>
      <c r="N492" s="140">
        <v>3</v>
      </c>
      <c r="O492" s="140" t="s">
        <v>478</v>
      </c>
      <c r="P492" s="140" t="s">
        <v>4790</v>
      </c>
      <c r="Q492" s="140" t="s">
        <v>452</v>
      </c>
      <c r="R492" s="140" t="s">
        <v>575</v>
      </c>
      <c r="S492" s="140"/>
      <c r="T492" s="140"/>
      <c r="U492" s="143"/>
      <c r="V492" s="143"/>
      <c r="W492" s="143"/>
      <c r="X492" s="140" t="s">
        <v>4791</v>
      </c>
      <c r="Y492" s="140" t="s">
        <v>4792</v>
      </c>
      <c r="Z492" s="140" t="str">
        <f ca="1">IFERROR(__xludf.DUMMYFUNCTION("IF(VLOOKUP($Y492, IMPORTRANGE(""https://docs.google.com/spreadsheets/d/1WsTKRjz8_fF2119Ff9dhKIIYXSaUEHzuWr8pBkxmwQQ/edit"", ""Form Responses 1!$B:$Z""),1, FALSE)=$Y492,""Yes"",""No"")"),"#N/A")</f>
        <v>#N/A</v>
      </c>
      <c r="AA492" s="140"/>
      <c r="AB492" s="140"/>
    </row>
    <row r="493" spans="1:28">
      <c r="A493" s="144" t="s">
        <v>529</v>
      </c>
      <c r="B493" s="144" t="s">
        <v>4793</v>
      </c>
      <c r="C493" s="144" t="s">
        <v>4794</v>
      </c>
      <c r="D493" s="144" t="s">
        <v>4795</v>
      </c>
      <c r="E493" s="144" t="s">
        <v>4796</v>
      </c>
      <c r="F493" s="144" t="s">
        <v>4</v>
      </c>
      <c r="G493" s="144">
        <v>3.5</v>
      </c>
      <c r="H493" s="144" t="s">
        <v>24</v>
      </c>
      <c r="I493" s="144" t="s">
        <v>727</v>
      </c>
      <c r="J493" s="144" t="s">
        <v>4797</v>
      </c>
      <c r="K493" s="144">
        <v>4</v>
      </c>
      <c r="L493" s="144" t="s">
        <v>1350</v>
      </c>
      <c r="M493" s="144" t="s">
        <v>4798</v>
      </c>
      <c r="N493" s="144">
        <v>3</v>
      </c>
      <c r="O493" s="144"/>
      <c r="P493" s="144"/>
      <c r="Q493" s="144" t="s">
        <v>452</v>
      </c>
      <c r="R493" s="144" t="s">
        <v>4799</v>
      </c>
      <c r="S493" s="144" t="s">
        <v>4800</v>
      </c>
      <c r="T493" s="144" t="s">
        <v>4801</v>
      </c>
      <c r="U493" s="145"/>
      <c r="V493" s="145"/>
      <c r="W493" s="145"/>
      <c r="X493" s="144" t="s">
        <v>4802</v>
      </c>
      <c r="Y493" s="144" t="s">
        <v>4803</v>
      </c>
      <c r="Z493" s="144" t="str">
        <f ca="1">IFERROR(__xludf.DUMMYFUNCTION("IF(VLOOKUP($Y493, IMPORTRANGE(""https://docs.google.com/spreadsheets/d/1WsTKRjz8_fF2119Ff9dhKIIYXSaUEHzuWr8pBkxmwQQ/edit"", ""Form Responses 1!$B:$Z""),1, FALSE)=$Y493,""Yes"",""No"")"),"#N/A")</f>
        <v>#N/A</v>
      </c>
      <c r="AA493" s="144"/>
      <c r="AB493" s="144"/>
    </row>
    <row r="494" spans="1:28">
      <c r="A494" s="140" t="s">
        <v>907</v>
      </c>
      <c r="B494" s="140" t="s">
        <v>4804</v>
      </c>
      <c r="C494" s="140" t="s">
        <v>4805</v>
      </c>
      <c r="D494" s="140" t="s">
        <v>4806</v>
      </c>
      <c r="E494" s="140" t="s">
        <v>4807</v>
      </c>
      <c r="F494" s="140" t="s">
        <v>4</v>
      </c>
      <c r="G494" s="140">
        <v>3.5</v>
      </c>
      <c r="H494" s="140" t="s">
        <v>24</v>
      </c>
      <c r="I494" s="140" t="s">
        <v>1457</v>
      </c>
      <c r="J494" s="140" t="s">
        <v>4808</v>
      </c>
      <c r="K494" s="140">
        <v>3</v>
      </c>
      <c r="L494" s="140" t="s">
        <v>462</v>
      </c>
      <c r="M494" s="140" t="s">
        <v>4809</v>
      </c>
      <c r="N494" s="140">
        <v>4</v>
      </c>
      <c r="O494" s="140" t="s">
        <v>784</v>
      </c>
      <c r="P494" s="140" t="s">
        <v>4810</v>
      </c>
      <c r="Q494" s="140" t="s">
        <v>452</v>
      </c>
      <c r="R494" s="140" t="s">
        <v>4811</v>
      </c>
      <c r="S494" s="140"/>
      <c r="T494" s="140"/>
      <c r="U494" s="143"/>
      <c r="V494" s="143"/>
      <c r="W494" s="143"/>
      <c r="X494" s="140" t="s">
        <v>4812</v>
      </c>
      <c r="Y494" s="140" t="s">
        <v>4813</v>
      </c>
      <c r="Z494" s="140" t="str">
        <f ca="1">IFERROR(__xludf.DUMMYFUNCTION("IF(VLOOKUP($Y494, IMPORTRANGE(""https://docs.google.com/spreadsheets/d/1WsTKRjz8_fF2119Ff9dhKIIYXSaUEHzuWr8pBkxmwQQ/edit"", ""Form Responses 1!$B:$Z""),1, FALSE)=$Y494,""Yes"",""No"")"),"#N/A")</f>
        <v>#N/A</v>
      </c>
      <c r="AA494" s="140"/>
      <c r="AB494" s="140"/>
    </row>
    <row r="495" spans="1:28">
      <c r="A495" s="144" t="s">
        <v>529</v>
      </c>
      <c r="B495" s="144" t="s">
        <v>4814</v>
      </c>
      <c r="C495" s="144" t="s">
        <v>4815</v>
      </c>
      <c r="D495" s="144" t="s">
        <v>4816</v>
      </c>
      <c r="E495" s="144" t="s">
        <v>4817</v>
      </c>
      <c r="F495" s="144" t="s">
        <v>4</v>
      </c>
      <c r="G495" s="144">
        <v>3.5</v>
      </c>
      <c r="H495" s="144" t="s">
        <v>24</v>
      </c>
      <c r="I495" s="144" t="s">
        <v>727</v>
      </c>
      <c r="J495" s="144" t="s">
        <v>4818</v>
      </c>
      <c r="K495" s="144">
        <v>3.5</v>
      </c>
      <c r="L495" s="144" t="s">
        <v>1350</v>
      </c>
      <c r="M495" s="144" t="s">
        <v>4819</v>
      </c>
      <c r="N495" s="144">
        <v>3.5</v>
      </c>
      <c r="O495" s="144" t="s">
        <v>451</v>
      </c>
      <c r="P495" s="144">
        <v>5000000</v>
      </c>
      <c r="Q495" s="144" t="s">
        <v>452</v>
      </c>
      <c r="R495" s="144" t="s">
        <v>4820</v>
      </c>
      <c r="S495" s="144"/>
      <c r="T495" s="144"/>
      <c r="U495" s="145"/>
      <c r="V495" s="145"/>
      <c r="W495" s="145"/>
      <c r="X495" s="144" t="s">
        <v>732</v>
      </c>
      <c r="Y495" s="144" t="s">
        <v>4821</v>
      </c>
      <c r="Z495" s="144" t="str">
        <f ca="1">IFERROR(__xludf.DUMMYFUNCTION("IF(VLOOKUP($Y495, IMPORTRANGE(""https://docs.google.com/spreadsheets/d/1WsTKRjz8_fF2119Ff9dhKIIYXSaUEHzuWr8pBkxmwQQ/edit"", ""Form Responses 1!$B:$Z""),1, FALSE)=$Y495,""Yes"",""No"")"),"#N/A")</f>
        <v>#N/A</v>
      </c>
      <c r="AA495" s="144"/>
      <c r="AB495" s="144"/>
    </row>
    <row r="496" spans="1:28">
      <c r="A496" s="140" t="s">
        <v>471</v>
      </c>
      <c r="B496" s="140" t="s">
        <v>4822</v>
      </c>
      <c r="C496" s="140" t="s">
        <v>4823</v>
      </c>
      <c r="D496" s="140" t="s">
        <v>4824</v>
      </c>
      <c r="E496" s="140" t="s">
        <v>4825</v>
      </c>
      <c r="F496" s="140" t="s">
        <v>4</v>
      </c>
      <c r="G496" s="140">
        <v>3.5</v>
      </c>
      <c r="H496" s="140" t="s">
        <v>24</v>
      </c>
      <c r="I496" s="140" t="s">
        <v>727</v>
      </c>
      <c r="J496" s="140" t="s">
        <v>4826</v>
      </c>
      <c r="K496" s="140">
        <v>3</v>
      </c>
      <c r="L496" s="140" t="s">
        <v>476</v>
      </c>
      <c r="M496" s="140" t="s">
        <v>4827</v>
      </c>
      <c r="N496" s="140">
        <v>4</v>
      </c>
      <c r="O496" s="140" t="s">
        <v>451</v>
      </c>
      <c r="P496" s="140" t="s">
        <v>4828</v>
      </c>
      <c r="Q496" s="140" t="s">
        <v>452</v>
      </c>
      <c r="R496" s="140" t="s">
        <v>4829</v>
      </c>
      <c r="S496" s="140"/>
      <c r="T496" s="140"/>
      <c r="U496" s="143"/>
      <c r="V496" s="143"/>
      <c r="W496" s="143"/>
      <c r="X496" s="140" t="s">
        <v>1705</v>
      </c>
      <c r="Y496" s="140" t="s">
        <v>4830</v>
      </c>
      <c r="Z496" s="140" t="str">
        <f ca="1">IFERROR(__xludf.DUMMYFUNCTION("IF(VLOOKUP($Y496, IMPORTRANGE(""https://docs.google.com/spreadsheets/d/1WsTKRjz8_fF2119Ff9dhKIIYXSaUEHzuWr8pBkxmwQQ/edit"", ""Form Responses 1!$B:$Z""),1, FALSE)=$Y496,""Yes"",""No"")"),"#N/A")</f>
        <v>#N/A</v>
      </c>
      <c r="AA496" s="140"/>
      <c r="AB496" s="140"/>
    </row>
    <row r="497" spans="1:28">
      <c r="A497" s="144" t="s">
        <v>907</v>
      </c>
      <c r="B497" s="144" t="s">
        <v>4831</v>
      </c>
      <c r="C497" s="144" t="s">
        <v>4832</v>
      </c>
      <c r="D497" s="144" t="s">
        <v>4833</v>
      </c>
      <c r="E497" s="144" t="s">
        <v>4834</v>
      </c>
      <c r="F497" s="144" t="s">
        <v>4</v>
      </c>
      <c r="G497" s="144">
        <v>3.5</v>
      </c>
      <c r="H497" s="144" t="s">
        <v>24</v>
      </c>
      <c r="I497" s="144" t="s">
        <v>725</v>
      </c>
      <c r="J497" s="144" t="s">
        <v>4835</v>
      </c>
      <c r="K497" s="144">
        <v>3.5</v>
      </c>
      <c r="L497" s="144" t="s">
        <v>462</v>
      </c>
      <c r="M497" s="144" t="s">
        <v>4836</v>
      </c>
      <c r="N497" s="144">
        <v>3.5</v>
      </c>
      <c r="O497" s="144" t="s">
        <v>451</v>
      </c>
      <c r="P497" s="147">
        <v>2000000</v>
      </c>
      <c r="Q497" s="144" t="s">
        <v>452</v>
      </c>
      <c r="R497" s="144" t="s">
        <v>452</v>
      </c>
      <c r="S497" s="144"/>
      <c r="T497" s="144"/>
      <c r="U497" s="145"/>
      <c r="V497" s="145"/>
      <c r="W497" s="145"/>
      <c r="X497" s="144" t="s">
        <v>4837</v>
      </c>
      <c r="Y497" s="144" t="s">
        <v>4838</v>
      </c>
      <c r="Z497" s="144" t="str">
        <f ca="1">IFERROR(__xludf.DUMMYFUNCTION("IF(VLOOKUP($Y497, IMPORTRANGE(""https://docs.google.com/spreadsheets/d/1WsTKRjz8_fF2119Ff9dhKIIYXSaUEHzuWr8pBkxmwQQ/edit"", ""Form Responses 1!$B:$Z""),1, FALSE)=$Y497,""Yes"",""No"")"),"#N/A")</f>
        <v>#N/A</v>
      </c>
      <c r="AA497" s="144"/>
      <c r="AB497" s="144"/>
    </row>
    <row r="498" spans="1:28">
      <c r="A498" s="140" t="s">
        <v>443</v>
      </c>
      <c r="B498" s="140" t="s">
        <v>4839</v>
      </c>
      <c r="C498" s="140" t="s">
        <v>4840</v>
      </c>
      <c r="D498" s="140" t="s">
        <v>4841</v>
      </c>
      <c r="E498" s="140" t="s">
        <v>4842</v>
      </c>
      <c r="F498" s="140" t="s">
        <v>4</v>
      </c>
      <c r="G498" s="140">
        <v>3.5</v>
      </c>
      <c r="H498" s="140" t="s">
        <v>24</v>
      </c>
      <c r="I498" s="140" t="s">
        <v>602</v>
      </c>
      <c r="J498" s="140" t="s">
        <v>4843</v>
      </c>
      <c r="K498" s="140">
        <v>4</v>
      </c>
      <c r="L498" s="140" t="s">
        <v>476</v>
      </c>
      <c r="M498" s="140" t="s">
        <v>4844</v>
      </c>
      <c r="N498" s="140">
        <v>3</v>
      </c>
      <c r="O498" s="140" t="s">
        <v>478</v>
      </c>
      <c r="P498" s="148">
        <v>5000000</v>
      </c>
      <c r="Q498" s="140" t="s">
        <v>452</v>
      </c>
      <c r="R498" s="140" t="s">
        <v>4845</v>
      </c>
      <c r="S498" s="140"/>
      <c r="T498" s="140"/>
      <c r="U498" s="143"/>
      <c r="V498" s="143"/>
      <c r="W498" s="143"/>
      <c r="X498" s="140" t="s">
        <v>4846</v>
      </c>
      <c r="Y498" s="140" t="s">
        <v>4847</v>
      </c>
      <c r="Z498" s="140" t="str">
        <f ca="1">IFERROR(__xludf.DUMMYFUNCTION("IF(VLOOKUP($Y498, IMPORTRANGE(""https://docs.google.com/spreadsheets/d/1WsTKRjz8_fF2119Ff9dhKIIYXSaUEHzuWr8pBkxmwQQ/edit"", ""Form Responses 1!$B:$Z""),1, FALSE)=$Y498,""Yes"",""No"")"),"#N/A")</f>
        <v>#N/A</v>
      </c>
      <c r="AA498" s="140"/>
      <c r="AB498" s="140"/>
    </row>
    <row r="499" spans="1:28">
      <c r="A499" s="144" t="s">
        <v>443</v>
      </c>
      <c r="B499" s="144" t="s">
        <v>4848</v>
      </c>
      <c r="C499" s="144" t="s">
        <v>4849</v>
      </c>
      <c r="D499" s="144" t="s">
        <v>4850</v>
      </c>
      <c r="E499" s="144" t="s">
        <v>4851</v>
      </c>
      <c r="F499" s="144" t="s">
        <v>4</v>
      </c>
      <c r="G499" s="144">
        <v>3.5</v>
      </c>
      <c r="H499" s="144" t="s">
        <v>24</v>
      </c>
      <c r="I499" s="144" t="s">
        <v>727</v>
      </c>
      <c r="J499" s="144" t="s">
        <v>4852</v>
      </c>
      <c r="K499" s="144">
        <v>3.5</v>
      </c>
      <c r="L499" s="144" t="s">
        <v>1045</v>
      </c>
      <c r="M499" s="144" t="s">
        <v>4853</v>
      </c>
      <c r="N499" s="144">
        <v>3.5</v>
      </c>
      <c r="O499" s="144"/>
      <c r="P499" s="144"/>
      <c r="Q499" s="144" t="s">
        <v>452</v>
      </c>
      <c r="R499" s="144" t="s">
        <v>575</v>
      </c>
      <c r="S499" s="144"/>
      <c r="T499" s="144"/>
      <c r="U499" s="145"/>
      <c r="V499" s="145"/>
      <c r="W499" s="145"/>
      <c r="X499" s="144" t="s">
        <v>4854</v>
      </c>
      <c r="Y499" s="144" t="s">
        <v>4855</v>
      </c>
      <c r="Z499" s="144" t="str">
        <f ca="1">IFERROR(__xludf.DUMMYFUNCTION("IF(VLOOKUP($Y499, IMPORTRANGE(""https://docs.google.com/spreadsheets/d/1WsTKRjz8_fF2119Ff9dhKIIYXSaUEHzuWr8pBkxmwQQ/edit"", ""Form Responses 1!$B:$Z""),1, FALSE)=$Y499,""Yes"",""No"")"),"#N/A")</f>
        <v>#N/A</v>
      </c>
      <c r="AA499" s="144"/>
      <c r="AB499" s="144"/>
    </row>
    <row r="500" spans="1:28">
      <c r="A500" s="140" t="s">
        <v>907</v>
      </c>
      <c r="B500" s="140" t="s">
        <v>4856</v>
      </c>
      <c r="C500" s="140" t="s">
        <v>4857</v>
      </c>
      <c r="D500" s="140" t="s">
        <v>4858</v>
      </c>
      <c r="E500" s="140" t="s">
        <v>4859</v>
      </c>
      <c r="F500" s="140" t="s">
        <v>4</v>
      </c>
      <c r="G500" s="140">
        <v>3.5</v>
      </c>
      <c r="H500" s="140" t="s">
        <v>24</v>
      </c>
      <c r="I500" s="140" t="s">
        <v>1045</v>
      </c>
      <c r="J500" s="140" t="s">
        <v>4860</v>
      </c>
      <c r="K500" s="140">
        <v>3</v>
      </c>
      <c r="L500" s="140" t="s">
        <v>1457</v>
      </c>
      <c r="M500" s="140" t="s">
        <v>4861</v>
      </c>
      <c r="N500" s="140">
        <v>4</v>
      </c>
      <c r="O500" s="140"/>
      <c r="P500" s="140"/>
      <c r="Q500" s="140" t="s">
        <v>465</v>
      </c>
      <c r="R500" s="140" t="s">
        <v>4862</v>
      </c>
      <c r="S500" s="140"/>
      <c r="T500" s="140"/>
      <c r="U500" s="143"/>
      <c r="V500" s="143"/>
      <c r="W500" s="143"/>
      <c r="X500" s="140" t="s">
        <v>4863</v>
      </c>
      <c r="Y500" s="140" t="s">
        <v>4864</v>
      </c>
      <c r="Z500" s="140" t="str">
        <f ca="1">IFERROR(__xludf.DUMMYFUNCTION("IF(VLOOKUP($Y500, IMPORTRANGE(""https://docs.google.com/spreadsheets/d/1WsTKRjz8_fF2119Ff9dhKIIYXSaUEHzuWr8pBkxmwQQ/edit"", ""Form Responses 1!$B:$Z""),1, FALSE)=$Y500,""Yes"",""No"")"),"#N/A")</f>
        <v>#N/A</v>
      </c>
      <c r="AA500" s="140"/>
      <c r="AB500" s="140"/>
    </row>
    <row r="501" spans="1:28">
      <c r="A501" s="144" t="s">
        <v>598</v>
      </c>
      <c r="B501" s="144" t="s">
        <v>4865</v>
      </c>
      <c r="C501" s="144" t="s">
        <v>4866</v>
      </c>
      <c r="D501" s="144" t="s">
        <v>4867</v>
      </c>
      <c r="E501" s="144" t="s">
        <v>4868</v>
      </c>
      <c r="F501" s="144" t="s">
        <v>4</v>
      </c>
      <c r="G501" s="144">
        <v>3.5</v>
      </c>
      <c r="H501" s="144" t="s">
        <v>24</v>
      </c>
      <c r="I501" s="144" t="s">
        <v>727</v>
      </c>
      <c r="J501" s="144" t="s">
        <v>4869</v>
      </c>
      <c r="K501" s="144">
        <v>3</v>
      </c>
      <c r="L501" s="144" t="s">
        <v>1457</v>
      </c>
      <c r="M501" s="144" t="s">
        <v>4870</v>
      </c>
      <c r="N501" s="144">
        <v>4</v>
      </c>
      <c r="O501" s="144"/>
      <c r="P501" s="144"/>
      <c r="Q501" s="144" t="s">
        <v>452</v>
      </c>
      <c r="R501" s="144" t="s">
        <v>452</v>
      </c>
      <c r="S501" s="144"/>
      <c r="T501" s="144"/>
      <c r="U501" s="145"/>
      <c r="V501" s="145"/>
      <c r="W501" s="145"/>
      <c r="X501" s="144" t="s">
        <v>2416</v>
      </c>
      <c r="Y501" s="144" t="s">
        <v>4871</v>
      </c>
      <c r="Z501" s="144" t="str">
        <f ca="1">IFERROR(__xludf.DUMMYFUNCTION("IF(VLOOKUP($Y501, IMPORTRANGE(""https://docs.google.com/spreadsheets/d/1WsTKRjz8_fF2119Ff9dhKIIYXSaUEHzuWr8pBkxmwQQ/edit"", ""Form Responses 1!$B:$Z""),1, FALSE)=$Y501,""Yes"",""No"")"),"#N/A")</f>
        <v>#N/A</v>
      </c>
      <c r="AA501" s="144"/>
      <c r="AB501" s="144"/>
    </row>
    <row r="502" spans="1:28">
      <c r="A502" s="140" t="s">
        <v>598</v>
      </c>
      <c r="B502" s="140" t="s">
        <v>4872</v>
      </c>
      <c r="C502" s="140" t="s">
        <v>4873</v>
      </c>
      <c r="D502" s="140" t="s">
        <v>4874</v>
      </c>
      <c r="E502" s="140" t="s">
        <v>4875</v>
      </c>
      <c r="F502" s="140" t="s">
        <v>4</v>
      </c>
      <c r="G502" s="140">
        <v>3.5</v>
      </c>
      <c r="H502" s="140" t="s">
        <v>24</v>
      </c>
      <c r="I502" s="140" t="s">
        <v>602</v>
      </c>
      <c r="J502" s="140" t="s">
        <v>4876</v>
      </c>
      <c r="K502" s="140">
        <v>3.5</v>
      </c>
      <c r="L502" s="140" t="s">
        <v>1045</v>
      </c>
      <c r="M502" s="140" t="s">
        <v>4877</v>
      </c>
      <c r="N502" s="140">
        <v>3.5</v>
      </c>
      <c r="O502" s="140" t="s">
        <v>478</v>
      </c>
      <c r="P502" s="142">
        <v>3000000</v>
      </c>
      <c r="Q502" s="140" t="s">
        <v>452</v>
      </c>
      <c r="R502" s="140" t="s">
        <v>4878</v>
      </c>
      <c r="S502" s="140"/>
      <c r="T502" s="140"/>
      <c r="U502" s="143"/>
      <c r="V502" s="143"/>
      <c r="W502" s="143"/>
      <c r="X502" s="140" t="s">
        <v>4879</v>
      </c>
      <c r="Y502" s="140" t="s">
        <v>4880</v>
      </c>
      <c r="Z502" s="140" t="str">
        <f ca="1">IFERROR(__xludf.DUMMYFUNCTION("IF(VLOOKUP($Y502, IMPORTRANGE(""https://docs.google.com/spreadsheets/d/1WsTKRjz8_fF2119Ff9dhKIIYXSaUEHzuWr8pBkxmwQQ/edit"", ""Form Responses 1!$B:$Z""),1, FALSE)=$Y502,""Yes"",""No"")"),"#N/A")</f>
        <v>#N/A</v>
      </c>
      <c r="AA502" s="140"/>
      <c r="AB502" s="140"/>
    </row>
    <row r="503" spans="1:28">
      <c r="A503" s="144" t="s">
        <v>484</v>
      </c>
      <c r="B503" s="144" t="s">
        <v>4881</v>
      </c>
      <c r="C503" s="144" t="s">
        <v>4882</v>
      </c>
      <c r="D503" s="144" t="s">
        <v>4883</v>
      </c>
      <c r="E503" s="144" t="s">
        <v>4884</v>
      </c>
      <c r="F503" s="144" t="s">
        <v>4</v>
      </c>
      <c r="G503" s="144">
        <v>3.5</v>
      </c>
      <c r="H503" s="144" t="s">
        <v>24</v>
      </c>
      <c r="I503" s="144" t="s">
        <v>727</v>
      </c>
      <c r="J503" s="144" t="s">
        <v>4885</v>
      </c>
      <c r="K503" s="144">
        <v>3.5</v>
      </c>
      <c r="L503" s="144" t="s">
        <v>1054</v>
      </c>
      <c r="M503" s="144" t="s">
        <v>4886</v>
      </c>
      <c r="N503" s="144">
        <v>3.5</v>
      </c>
      <c r="O503" s="144" t="s">
        <v>451</v>
      </c>
      <c r="P503" s="146">
        <v>1200000</v>
      </c>
      <c r="Q503" s="144" t="s">
        <v>452</v>
      </c>
      <c r="R503" s="144" t="s">
        <v>4887</v>
      </c>
      <c r="S503" s="144"/>
      <c r="T503" s="144"/>
      <c r="U503" s="145"/>
      <c r="V503" s="145"/>
      <c r="W503" s="145"/>
      <c r="X503" s="144" t="s">
        <v>4888</v>
      </c>
      <c r="Y503" s="144" t="s">
        <v>4889</v>
      </c>
      <c r="Z503" s="144" t="str">
        <f ca="1">IFERROR(__xludf.DUMMYFUNCTION("IF(VLOOKUP($Y503, IMPORTRANGE(""https://docs.google.com/spreadsheets/d/1WsTKRjz8_fF2119Ff9dhKIIYXSaUEHzuWr8pBkxmwQQ/edit"", ""Form Responses 1!$B:$Z""),1, FALSE)=$Y503,""Yes"",""No"")"),"#N/A")</f>
        <v>#N/A</v>
      </c>
      <c r="AA503" s="144"/>
      <c r="AB503" s="144"/>
    </row>
    <row r="504" spans="1:28">
      <c r="A504" s="140" t="s">
        <v>598</v>
      </c>
      <c r="B504" s="140" t="s">
        <v>4890</v>
      </c>
      <c r="C504" s="140" t="s">
        <v>4891</v>
      </c>
      <c r="D504" s="140" t="s">
        <v>4892</v>
      </c>
      <c r="E504" s="140" t="s">
        <v>4893</v>
      </c>
      <c r="F504" s="140" t="s">
        <v>4</v>
      </c>
      <c r="G504" s="140">
        <v>3.5</v>
      </c>
      <c r="H504" s="140" t="s">
        <v>24</v>
      </c>
      <c r="I504" s="140" t="s">
        <v>727</v>
      </c>
      <c r="J504" s="140" t="s">
        <v>4894</v>
      </c>
      <c r="K504" s="140">
        <v>3</v>
      </c>
      <c r="L504" s="140" t="s">
        <v>1457</v>
      </c>
      <c r="M504" s="140" t="s">
        <v>4895</v>
      </c>
      <c r="N504" s="140">
        <v>4</v>
      </c>
      <c r="O504" s="140" t="s">
        <v>451</v>
      </c>
      <c r="P504" s="142">
        <v>2400000</v>
      </c>
      <c r="Q504" s="140" t="s">
        <v>452</v>
      </c>
      <c r="R504" s="140" t="s">
        <v>4896</v>
      </c>
      <c r="S504" s="140"/>
      <c r="T504" s="140"/>
      <c r="U504" s="143"/>
      <c r="V504" s="143"/>
      <c r="W504" s="143"/>
      <c r="X504" s="140" t="s">
        <v>4897</v>
      </c>
      <c r="Y504" s="140" t="s">
        <v>4898</v>
      </c>
      <c r="Z504" s="140" t="str">
        <f ca="1">IFERROR(__xludf.DUMMYFUNCTION("IF(VLOOKUP($Y504, IMPORTRANGE(""https://docs.google.com/spreadsheets/d/1WsTKRjz8_fF2119Ff9dhKIIYXSaUEHzuWr8pBkxmwQQ/edit"", ""Form Responses 1!$B:$Z""),1, FALSE)=$Y504,""Yes"",""No"")"),"#N/A")</f>
        <v>#N/A</v>
      </c>
      <c r="AA504" s="140"/>
      <c r="AB504" s="140"/>
    </row>
    <row r="505" spans="1:28">
      <c r="A505" s="144" t="s">
        <v>484</v>
      </c>
      <c r="B505" s="144" t="s">
        <v>4899</v>
      </c>
      <c r="C505" s="144" t="s">
        <v>4900</v>
      </c>
      <c r="D505" s="144" t="s">
        <v>4901</v>
      </c>
      <c r="E505" s="144" t="s">
        <v>4902</v>
      </c>
      <c r="F505" s="144" t="s">
        <v>4</v>
      </c>
      <c r="G505" s="144">
        <v>3.5</v>
      </c>
      <c r="H505" s="144" t="s">
        <v>24</v>
      </c>
      <c r="I505" s="144" t="s">
        <v>602</v>
      </c>
      <c r="J505" s="144" t="s">
        <v>4903</v>
      </c>
      <c r="K505" s="144">
        <v>3</v>
      </c>
      <c r="L505" s="144" t="s">
        <v>727</v>
      </c>
      <c r="M505" s="144" t="s">
        <v>4904</v>
      </c>
      <c r="N505" s="144">
        <v>4</v>
      </c>
      <c r="O505" s="144"/>
      <c r="P505" s="144"/>
      <c r="Q505" s="144" t="s">
        <v>452</v>
      </c>
      <c r="R505" s="144" t="s">
        <v>4905</v>
      </c>
      <c r="S505" s="144"/>
      <c r="T505" s="144"/>
      <c r="U505" s="145"/>
      <c r="V505" s="145"/>
      <c r="W505" s="145"/>
      <c r="X505" s="144" t="s">
        <v>4906</v>
      </c>
      <c r="Y505" s="144" t="s">
        <v>4907</v>
      </c>
      <c r="Z505" s="144" t="str">
        <f ca="1">IFERROR(__xludf.DUMMYFUNCTION("IF(VLOOKUP($Y505, IMPORTRANGE(""https://docs.google.com/spreadsheets/d/1WsTKRjz8_fF2119Ff9dhKIIYXSaUEHzuWr8pBkxmwQQ/edit"", ""Form Responses 1!$B:$Z""),1, FALSE)=$Y505,""Yes"",""No"")"),"#N/A")</f>
        <v>#N/A</v>
      </c>
      <c r="AA505" s="144"/>
      <c r="AB505" s="144"/>
    </row>
    <row r="506" spans="1:28">
      <c r="A506" s="140" t="s">
        <v>529</v>
      </c>
      <c r="B506" s="140" t="s">
        <v>4908</v>
      </c>
      <c r="C506" s="140" t="s">
        <v>4909</v>
      </c>
      <c r="D506" s="140" t="s">
        <v>4910</v>
      </c>
      <c r="E506" s="140" t="s">
        <v>4911</v>
      </c>
      <c r="F506" s="140" t="s">
        <v>4</v>
      </c>
      <c r="G506" s="140">
        <v>3.5</v>
      </c>
      <c r="H506" s="140" t="s">
        <v>24</v>
      </c>
      <c r="I506" s="140" t="s">
        <v>1457</v>
      </c>
      <c r="J506" s="140" t="s">
        <v>4912</v>
      </c>
      <c r="K506" s="140">
        <v>4</v>
      </c>
      <c r="L506" s="140" t="s">
        <v>1045</v>
      </c>
      <c r="M506" s="140" t="s">
        <v>4913</v>
      </c>
      <c r="N506" s="140">
        <v>3</v>
      </c>
      <c r="O506" s="140" t="s">
        <v>451</v>
      </c>
      <c r="P506" s="142">
        <v>500000</v>
      </c>
      <c r="Q506" s="140" t="s">
        <v>452</v>
      </c>
      <c r="R506" s="140" t="s">
        <v>4914</v>
      </c>
      <c r="S506" s="140"/>
      <c r="T506" s="140"/>
      <c r="U506" s="143"/>
      <c r="V506" s="143"/>
      <c r="W506" s="143"/>
      <c r="X506" s="140" t="s">
        <v>4915</v>
      </c>
      <c r="Y506" s="140" t="s">
        <v>4916</v>
      </c>
      <c r="Z506" s="140" t="str">
        <f ca="1">IFERROR(__xludf.DUMMYFUNCTION("IF(VLOOKUP($Y506, IMPORTRANGE(""https://docs.google.com/spreadsheets/d/1WsTKRjz8_fF2119Ff9dhKIIYXSaUEHzuWr8pBkxmwQQ/edit"", ""Form Responses 1!$B:$Z""),1, FALSE)=$Y506,""Yes"",""No"")"),"#N/A")</f>
        <v>#N/A</v>
      </c>
      <c r="AA506" s="140"/>
      <c r="AB506" s="140"/>
    </row>
    <row r="507" spans="1:28">
      <c r="A507" s="144" t="s">
        <v>484</v>
      </c>
      <c r="B507" s="144" t="s">
        <v>4917</v>
      </c>
      <c r="C507" s="144" t="s">
        <v>4918</v>
      </c>
      <c r="D507" s="144" t="s">
        <v>4919</v>
      </c>
      <c r="E507" s="144" t="s">
        <v>4920</v>
      </c>
      <c r="F507" s="144" t="s">
        <v>4</v>
      </c>
      <c r="G507" s="144">
        <v>3.5</v>
      </c>
      <c r="H507" s="144" t="s">
        <v>24</v>
      </c>
      <c r="I507" s="144" t="s">
        <v>602</v>
      </c>
      <c r="J507" s="144"/>
      <c r="K507" s="144">
        <v>3</v>
      </c>
      <c r="L507" s="144" t="s">
        <v>1054</v>
      </c>
      <c r="M507" s="144" t="s">
        <v>4921</v>
      </c>
      <c r="N507" s="144">
        <v>4</v>
      </c>
      <c r="O507" s="144" t="s">
        <v>451</v>
      </c>
      <c r="P507" s="144">
        <v>800000</v>
      </c>
      <c r="Q507" s="144" t="s">
        <v>452</v>
      </c>
      <c r="R507" s="144" t="s">
        <v>4922</v>
      </c>
      <c r="S507" s="144"/>
      <c r="T507" s="144"/>
      <c r="U507" s="145"/>
      <c r="V507" s="145"/>
      <c r="W507" s="145"/>
      <c r="X507" s="144" t="s">
        <v>4923</v>
      </c>
      <c r="Y507" s="144" t="s">
        <v>4924</v>
      </c>
      <c r="Z507" s="144" t="str">
        <f ca="1">IFERROR(__xludf.DUMMYFUNCTION("IF(VLOOKUP($Y507, IMPORTRANGE(""https://docs.google.com/spreadsheets/d/1WsTKRjz8_fF2119Ff9dhKIIYXSaUEHzuWr8pBkxmwQQ/edit"", ""Form Responses 1!$B:$Z""),1, FALSE)=$Y507,""Yes"",""No"")"),"#N/A")</f>
        <v>#N/A</v>
      </c>
      <c r="AA507" s="144"/>
      <c r="AB507" s="144"/>
    </row>
    <row r="508" spans="1:28">
      <c r="A508" s="140" t="s">
        <v>529</v>
      </c>
      <c r="B508" s="140" t="s">
        <v>4925</v>
      </c>
      <c r="C508" s="140" t="s">
        <v>4926</v>
      </c>
      <c r="D508" s="140" t="s">
        <v>4927</v>
      </c>
      <c r="E508" s="140" t="s">
        <v>4928</v>
      </c>
      <c r="F508" s="140" t="s">
        <v>4</v>
      </c>
      <c r="G508" s="140">
        <v>3.38</v>
      </c>
      <c r="H508" s="140" t="s">
        <v>24</v>
      </c>
      <c r="I508" s="140" t="s">
        <v>727</v>
      </c>
      <c r="J508" s="140" t="s">
        <v>4929</v>
      </c>
      <c r="K508" s="140">
        <v>3.75</v>
      </c>
      <c r="L508" s="140" t="s">
        <v>1073</v>
      </c>
      <c r="M508" s="140"/>
      <c r="N508" s="140">
        <v>3</v>
      </c>
      <c r="O508" s="140"/>
      <c r="P508" s="140"/>
      <c r="Q508" s="140" t="s">
        <v>452</v>
      </c>
      <c r="R508" s="140" t="s">
        <v>4930</v>
      </c>
      <c r="S508" s="140"/>
      <c r="T508" s="140"/>
      <c r="U508" s="143"/>
      <c r="V508" s="143"/>
      <c r="W508" s="143"/>
      <c r="X508" s="140" t="s">
        <v>4931</v>
      </c>
      <c r="Y508" s="140" t="s">
        <v>4932</v>
      </c>
      <c r="Z508" s="140" t="str">
        <f ca="1">IFERROR(__xludf.DUMMYFUNCTION("IF(VLOOKUP($Y508, IMPORTRANGE(""https://docs.google.com/spreadsheets/d/1WsTKRjz8_fF2119Ff9dhKIIYXSaUEHzuWr8pBkxmwQQ/edit"", ""Form Responses 1!$B:$Z""),1, FALSE)=$Y508,""Yes"",""No"")"),"#N/A")</f>
        <v>#N/A</v>
      </c>
      <c r="AA508" s="140"/>
      <c r="AB508" s="140"/>
    </row>
    <row r="509" spans="1:28">
      <c r="A509" s="144" t="s">
        <v>484</v>
      </c>
      <c r="B509" s="144" t="s">
        <v>4933</v>
      </c>
      <c r="C509" s="144" t="s">
        <v>4934</v>
      </c>
      <c r="D509" s="144" t="s">
        <v>4935</v>
      </c>
      <c r="E509" s="144" t="s">
        <v>4936</v>
      </c>
      <c r="F509" s="144" t="s">
        <v>4</v>
      </c>
      <c r="G509" s="144">
        <v>3.38</v>
      </c>
      <c r="H509" s="144" t="s">
        <v>24</v>
      </c>
      <c r="I509" s="144" t="s">
        <v>725</v>
      </c>
      <c r="J509" s="144" t="s">
        <v>4937</v>
      </c>
      <c r="K509" s="144">
        <v>3.75</v>
      </c>
      <c r="L509" s="144" t="s">
        <v>727</v>
      </c>
      <c r="M509" s="144" t="s">
        <v>4938</v>
      </c>
      <c r="N509" s="144">
        <v>3</v>
      </c>
      <c r="O509" s="144"/>
      <c r="P509" s="144"/>
      <c r="Q509" s="144" t="s">
        <v>452</v>
      </c>
      <c r="R509" s="144" t="s">
        <v>4939</v>
      </c>
      <c r="S509" s="144"/>
      <c r="T509" s="144"/>
      <c r="U509" s="145"/>
      <c r="V509" s="145"/>
      <c r="W509" s="145"/>
      <c r="X509" s="144" t="s">
        <v>4940</v>
      </c>
      <c r="Y509" s="144" t="s">
        <v>4941</v>
      </c>
      <c r="Z509" s="144" t="str">
        <f ca="1">IFERROR(__xludf.DUMMYFUNCTION("IF(VLOOKUP($Y509, IMPORTRANGE(""https://docs.google.com/spreadsheets/d/1WsTKRjz8_fF2119Ff9dhKIIYXSaUEHzuWr8pBkxmwQQ/edit"", ""Form Responses 1!$B:$Z""),1, FALSE)=$Y509,""Yes"",""No"")"),"#N/A")</f>
        <v>#N/A</v>
      </c>
      <c r="AA509" s="144"/>
      <c r="AB509" s="144"/>
    </row>
    <row r="510" spans="1:28">
      <c r="A510" s="140" t="s">
        <v>471</v>
      </c>
      <c r="B510" s="140" t="s">
        <v>4942</v>
      </c>
      <c r="C510" s="140" t="s">
        <v>4943</v>
      </c>
      <c r="D510" s="140" t="s">
        <v>4944</v>
      </c>
      <c r="E510" s="140" t="s">
        <v>4945</v>
      </c>
      <c r="F510" s="140" t="s">
        <v>4</v>
      </c>
      <c r="G510" s="140">
        <v>3.38</v>
      </c>
      <c r="H510" s="140" t="s">
        <v>24</v>
      </c>
      <c r="I510" s="140" t="s">
        <v>727</v>
      </c>
      <c r="J510" s="140" t="s">
        <v>4946</v>
      </c>
      <c r="K510" s="140">
        <v>3.75</v>
      </c>
      <c r="L510" s="140" t="s">
        <v>1054</v>
      </c>
      <c r="M510" s="140"/>
      <c r="N510" s="140">
        <v>3</v>
      </c>
      <c r="O510" s="140" t="s">
        <v>451</v>
      </c>
      <c r="P510" s="140">
        <v>345000</v>
      </c>
      <c r="Q510" s="140" t="s">
        <v>452</v>
      </c>
      <c r="R510" s="140" t="s">
        <v>4947</v>
      </c>
      <c r="S510" s="140"/>
      <c r="T510" s="140"/>
      <c r="U510" s="143"/>
      <c r="V510" s="143"/>
      <c r="W510" s="143"/>
      <c r="X510" s="140" t="s">
        <v>4948</v>
      </c>
      <c r="Y510" s="140" t="s">
        <v>4949</v>
      </c>
      <c r="Z510" s="140" t="str">
        <f ca="1">IFERROR(__xludf.DUMMYFUNCTION("IF(VLOOKUP($Y510, IMPORTRANGE(""https://docs.google.com/spreadsheets/d/1WsTKRjz8_fF2119Ff9dhKIIYXSaUEHzuWr8pBkxmwQQ/edit"", ""Form Responses 1!$B:$Z""),1, FALSE)=$Y510,""Yes"",""No"")"),"#N/A")</f>
        <v>#N/A</v>
      </c>
      <c r="AA510" s="140"/>
      <c r="AB510" s="140"/>
    </row>
    <row r="511" spans="1:28">
      <c r="A511" s="144" t="s">
        <v>529</v>
      </c>
      <c r="B511" s="144" t="s">
        <v>4950</v>
      </c>
      <c r="C511" s="144" t="s">
        <v>4951</v>
      </c>
      <c r="D511" s="144" t="s">
        <v>4952</v>
      </c>
      <c r="E511" s="144" t="s">
        <v>4953</v>
      </c>
      <c r="F511" s="144" t="s">
        <v>4</v>
      </c>
      <c r="G511" s="144">
        <v>3.38</v>
      </c>
      <c r="H511" s="144" t="s">
        <v>24</v>
      </c>
      <c r="I511" s="144" t="s">
        <v>727</v>
      </c>
      <c r="J511" s="144" t="s">
        <v>4954</v>
      </c>
      <c r="K511" s="144">
        <v>3.75</v>
      </c>
      <c r="L511" s="144" t="s">
        <v>1045</v>
      </c>
      <c r="M511" s="144" t="s">
        <v>4955</v>
      </c>
      <c r="N511" s="144">
        <v>3</v>
      </c>
      <c r="O511" s="144" t="s">
        <v>478</v>
      </c>
      <c r="P511" s="144" t="s">
        <v>4956</v>
      </c>
      <c r="Q511" s="144" t="s">
        <v>452</v>
      </c>
      <c r="R511" s="144" t="s">
        <v>4957</v>
      </c>
      <c r="S511" s="144"/>
      <c r="T511" s="144"/>
      <c r="U511" s="145"/>
      <c r="V511" s="145"/>
      <c r="W511" s="145"/>
      <c r="X511" s="144" t="s">
        <v>4958</v>
      </c>
      <c r="Y511" s="144" t="s">
        <v>4959</v>
      </c>
      <c r="Z511" s="144" t="str">
        <f ca="1">IFERROR(__xludf.DUMMYFUNCTION("IF(VLOOKUP($Y511, IMPORTRANGE(""https://docs.google.com/spreadsheets/d/1WsTKRjz8_fF2119Ff9dhKIIYXSaUEHzuWr8pBkxmwQQ/edit"", ""Form Responses 1!$B:$Z""),1, FALSE)=$Y511,""Yes"",""No"")"),"#N/A")</f>
        <v>#N/A</v>
      </c>
      <c r="AA511" s="144"/>
      <c r="AB511" s="144"/>
    </row>
    <row r="512" spans="1:28">
      <c r="A512" s="140" t="s">
        <v>598</v>
      </c>
      <c r="B512" s="140" t="s">
        <v>4960</v>
      </c>
      <c r="C512" s="140" t="s">
        <v>4961</v>
      </c>
      <c r="D512" s="140" t="s">
        <v>4962</v>
      </c>
      <c r="E512" s="140" t="s">
        <v>4963</v>
      </c>
      <c r="F512" s="140" t="s">
        <v>4</v>
      </c>
      <c r="G512" s="140">
        <v>3.25</v>
      </c>
      <c r="H512" s="140" t="s">
        <v>24</v>
      </c>
      <c r="I512" s="140" t="s">
        <v>727</v>
      </c>
      <c r="J512" s="140" t="s">
        <v>4964</v>
      </c>
      <c r="K512" s="140">
        <v>2.5</v>
      </c>
      <c r="L512" s="140" t="s">
        <v>990</v>
      </c>
      <c r="M512" s="140" t="s">
        <v>4965</v>
      </c>
      <c r="N512" s="140">
        <v>4</v>
      </c>
      <c r="O512" s="140" t="s">
        <v>451</v>
      </c>
      <c r="P512" s="140" t="s">
        <v>4966</v>
      </c>
      <c r="Q512" s="140" t="s">
        <v>452</v>
      </c>
      <c r="R512" s="140" t="s">
        <v>452</v>
      </c>
      <c r="S512" s="140"/>
      <c r="T512" s="140" t="s">
        <v>4967</v>
      </c>
      <c r="U512" s="143"/>
      <c r="V512" s="143"/>
      <c r="W512" s="143"/>
      <c r="X512" s="140" t="s">
        <v>3856</v>
      </c>
      <c r="Y512" s="140" t="s">
        <v>4968</v>
      </c>
      <c r="Z512" s="140" t="str">
        <f ca="1">IFERROR(__xludf.DUMMYFUNCTION("IF(VLOOKUP($Y512, IMPORTRANGE(""https://docs.google.com/spreadsheets/d/1WsTKRjz8_fF2119Ff9dhKIIYXSaUEHzuWr8pBkxmwQQ/edit"", ""Form Responses 1!$B:$Z""),1, FALSE)=$Y512,""Yes"",""No"")"),"#N/A")</f>
        <v>#N/A</v>
      </c>
      <c r="AA512" s="140"/>
      <c r="AB512" s="140"/>
    </row>
    <row r="513" spans="1:28">
      <c r="A513" s="144" t="s">
        <v>443</v>
      </c>
      <c r="B513" s="144" t="s">
        <v>4969</v>
      </c>
      <c r="C513" s="144" t="s">
        <v>4970</v>
      </c>
      <c r="D513" s="144" t="s">
        <v>4971</v>
      </c>
      <c r="E513" s="144" t="s">
        <v>4972</v>
      </c>
      <c r="F513" s="144" t="s">
        <v>4</v>
      </c>
      <c r="G513" s="144">
        <v>3.25</v>
      </c>
      <c r="H513" s="144" t="s">
        <v>24</v>
      </c>
      <c r="I513" s="144" t="s">
        <v>602</v>
      </c>
      <c r="J513" s="144" t="s">
        <v>4973</v>
      </c>
      <c r="K513" s="144">
        <v>3</v>
      </c>
      <c r="L513" s="144" t="s">
        <v>476</v>
      </c>
      <c r="M513" s="144" t="s">
        <v>4974</v>
      </c>
      <c r="N513" s="144">
        <v>3.5</v>
      </c>
      <c r="O513" s="144" t="s">
        <v>451</v>
      </c>
      <c r="P513" s="147">
        <v>3000000</v>
      </c>
      <c r="Q513" s="144" t="s">
        <v>452</v>
      </c>
      <c r="R513" s="144" t="s">
        <v>4975</v>
      </c>
      <c r="S513" s="144"/>
      <c r="T513" s="144"/>
      <c r="U513" s="145"/>
      <c r="V513" s="145"/>
      <c r="W513" s="145"/>
      <c r="X513" s="144" t="s">
        <v>4976</v>
      </c>
      <c r="Y513" s="144" t="s">
        <v>4977</v>
      </c>
      <c r="Z513" s="144" t="str">
        <f ca="1">IFERROR(__xludf.DUMMYFUNCTION("IF(VLOOKUP($Y513, IMPORTRANGE(""https://docs.google.com/spreadsheets/d/1WsTKRjz8_fF2119Ff9dhKIIYXSaUEHzuWr8pBkxmwQQ/edit"", ""Form Responses 1!$B:$Z""),1, FALSE)=$Y513,""Yes"",""No"")"),"#N/A")</f>
        <v>#N/A</v>
      </c>
      <c r="AA513" s="144"/>
      <c r="AB513" s="144"/>
    </row>
    <row r="514" spans="1:28">
      <c r="A514" s="140" t="s">
        <v>471</v>
      </c>
      <c r="B514" s="140" t="s">
        <v>4978</v>
      </c>
      <c r="C514" s="140" t="s">
        <v>4979</v>
      </c>
      <c r="D514" s="140" t="s">
        <v>4980</v>
      </c>
      <c r="E514" s="140" t="s">
        <v>4981</v>
      </c>
      <c r="F514" s="140" t="s">
        <v>4</v>
      </c>
      <c r="G514" s="140">
        <v>3.25</v>
      </c>
      <c r="H514" s="140" t="s">
        <v>24</v>
      </c>
      <c r="I514" s="140" t="s">
        <v>727</v>
      </c>
      <c r="J514" s="140" t="s">
        <v>4982</v>
      </c>
      <c r="K514" s="140">
        <v>3</v>
      </c>
      <c r="L514" s="140" t="s">
        <v>1054</v>
      </c>
      <c r="M514" s="140" t="s">
        <v>4983</v>
      </c>
      <c r="N514" s="140">
        <v>3.5</v>
      </c>
      <c r="O514" s="140" t="s">
        <v>451</v>
      </c>
      <c r="P514" s="140">
        <v>1500000</v>
      </c>
      <c r="Q514" s="140" t="s">
        <v>465</v>
      </c>
      <c r="R514" s="140" t="s">
        <v>4984</v>
      </c>
      <c r="S514" s="140"/>
      <c r="T514" s="140"/>
      <c r="U514" s="143"/>
      <c r="V514" s="143"/>
      <c r="W514" s="143"/>
      <c r="X514" s="140" t="s">
        <v>4985</v>
      </c>
      <c r="Y514" s="140" t="s">
        <v>4986</v>
      </c>
      <c r="Z514" s="140" t="str">
        <f ca="1">IFERROR(__xludf.DUMMYFUNCTION("IF(VLOOKUP($Y514, IMPORTRANGE(""https://docs.google.com/spreadsheets/d/1WsTKRjz8_fF2119Ff9dhKIIYXSaUEHzuWr8pBkxmwQQ/edit"", ""Form Responses 1!$B:$Z""),1, FALSE)=$Y514,""Yes"",""No"")"),"#N/A")</f>
        <v>#N/A</v>
      </c>
      <c r="AA514" s="140"/>
      <c r="AB514" s="140"/>
    </row>
    <row r="515" spans="1:28">
      <c r="A515" s="144" t="s">
        <v>529</v>
      </c>
      <c r="B515" s="144" t="s">
        <v>4987</v>
      </c>
      <c r="C515" s="144" t="s">
        <v>4988</v>
      </c>
      <c r="D515" s="144" t="s">
        <v>4989</v>
      </c>
      <c r="E515" s="144" t="s">
        <v>4990</v>
      </c>
      <c r="F515" s="144" t="s">
        <v>4</v>
      </c>
      <c r="G515" s="144">
        <v>3.25</v>
      </c>
      <c r="H515" s="144" t="s">
        <v>24</v>
      </c>
      <c r="I515" s="144" t="s">
        <v>725</v>
      </c>
      <c r="J515" s="144" t="s">
        <v>4991</v>
      </c>
      <c r="K515" s="144">
        <v>3.5</v>
      </c>
      <c r="L515" s="144" t="s">
        <v>476</v>
      </c>
      <c r="M515" s="144" t="s">
        <v>4992</v>
      </c>
      <c r="N515" s="144">
        <v>3</v>
      </c>
      <c r="O515" s="144" t="s">
        <v>4993</v>
      </c>
      <c r="P515" s="144" t="s">
        <v>4370</v>
      </c>
      <c r="Q515" s="144" t="s">
        <v>452</v>
      </c>
      <c r="R515" s="144" t="s">
        <v>452</v>
      </c>
      <c r="S515" s="144"/>
      <c r="T515" s="144"/>
      <c r="U515" s="145"/>
      <c r="V515" s="145"/>
      <c r="W515" s="145"/>
      <c r="X515" s="144" t="s">
        <v>4994</v>
      </c>
      <c r="Y515" s="144" t="s">
        <v>4995</v>
      </c>
      <c r="Z515" s="144" t="str">
        <f ca="1">IFERROR(__xludf.DUMMYFUNCTION("IF(VLOOKUP($Y515, IMPORTRANGE(""https://docs.google.com/spreadsheets/d/1WsTKRjz8_fF2119Ff9dhKIIYXSaUEHzuWr8pBkxmwQQ/edit"", ""Form Responses 1!$B:$Z""),1, FALSE)=$Y515,""Yes"",""No"")"),"#N/A")</f>
        <v>#N/A</v>
      </c>
      <c r="AA515" s="144"/>
      <c r="AB515" s="144"/>
    </row>
    <row r="516" spans="1:28">
      <c r="A516" s="140" t="s">
        <v>598</v>
      </c>
      <c r="B516" s="140" t="s">
        <v>4996</v>
      </c>
      <c r="C516" s="140" t="s">
        <v>4997</v>
      </c>
      <c r="D516" s="140" t="s">
        <v>4998</v>
      </c>
      <c r="E516" s="140" t="s">
        <v>4999</v>
      </c>
      <c r="F516" s="140" t="s">
        <v>4</v>
      </c>
      <c r="G516" s="140">
        <v>3.25</v>
      </c>
      <c r="H516" s="140" t="s">
        <v>24</v>
      </c>
      <c r="I516" s="140" t="s">
        <v>602</v>
      </c>
      <c r="J516" s="140" t="s">
        <v>5000</v>
      </c>
      <c r="K516" s="140">
        <v>2.5</v>
      </c>
      <c r="L516" s="140" t="s">
        <v>990</v>
      </c>
      <c r="M516" s="140" t="s">
        <v>5001</v>
      </c>
      <c r="N516" s="140">
        <v>4</v>
      </c>
      <c r="O516" s="140" t="s">
        <v>451</v>
      </c>
      <c r="P516" s="142">
        <v>500000</v>
      </c>
      <c r="Q516" s="140" t="s">
        <v>452</v>
      </c>
      <c r="R516" s="140" t="s">
        <v>5002</v>
      </c>
      <c r="S516" s="140"/>
      <c r="T516" s="140"/>
      <c r="U516" s="143"/>
      <c r="V516" s="143"/>
      <c r="W516" s="143"/>
      <c r="X516" s="140" t="s">
        <v>5003</v>
      </c>
      <c r="Y516" s="140" t="s">
        <v>5004</v>
      </c>
      <c r="Z516" s="140" t="str">
        <f ca="1">IFERROR(__xludf.DUMMYFUNCTION("IF(VLOOKUP($Y516, IMPORTRANGE(""https://docs.google.com/spreadsheets/d/1WsTKRjz8_fF2119Ff9dhKIIYXSaUEHzuWr8pBkxmwQQ/edit"", ""Form Responses 1!$B:$Z""),1, FALSE)=$Y516,""Yes"",""No"")"),"#N/A")</f>
        <v>#N/A</v>
      </c>
      <c r="AA516" s="140"/>
      <c r="AB516" s="140"/>
    </row>
    <row r="517" spans="1:28">
      <c r="A517" s="144" t="s">
        <v>443</v>
      </c>
      <c r="B517" s="144" t="s">
        <v>5005</v>
      </c>
      <c r="C517" s="144" t="s">
        <v>5006</v>
      </c>
      <c r="D517" s="144" t="s">
        <v>5007</v>
      </c>
      <c r="E517" s="144" t="s">
        <v>5008</v>
      </c>
      <c r="F517" s="144" t="s">
        <v>4</v>
      </c>
      <c r="G517" s="144">
        <v>3.25</v>
      </c>
      <c r="H517" s="144" t="s">
        <v>24</v>
      </c>
      <c r="I517" s="144" t="s">
        <v>727</v>
      </c>
      <c r="J517" s="144" t="s">
        <v>5009</v>
      </c>
      <c r="K517" s="144">
        <v>3</v>
      </c>
      <c r="L517" s="144" t="s">
        <v>622</v>
      </c>
      <c r="M517" s="144"/>
      <c r="N517" s="144">
        <v>3.5</v>
      </c>
      <c r="O517" s="144"/>
      <c r="P517" s="144"/>
      <c r="Q517" s="144" t="s">
        <v>452</v>
      </c>
      <c r="R517" s="144" t="s">
        <v>452</v>
      </c>
      <c r="S517" s="144"/>
      <c r="T517" s="144"/>
      <c r="U517" s="145"/>
      <c r="V517" s="145"/>
      <c r="W517" s="145"/>
      <c r="X517" s="144" t="s">
        <v>3522</v>
      </c>
      <c r="Y517" s="144" t="s">
        <v>5010</v>
      </c>
      <c r="Z517" s="144" t="str">
        <f ca="1">IFERROR(__xludf.DUMMYFUNCTION("IF(VLOOKUP($Y517, IMPORTRANGE(""https://docs.google.com/spreadsheets/d/1WsTKRjz8_fF2119Ff9dhKIIYXSaUEHzuWr8pBkxmwQQ/edit"", ""Form Responses 1!$B:$Z""),1, FALSE)=$Y517,""Yes"",""No"")"),"#N/A")</f>
        <v>#N/A</v>
      </c>
      <c r="AA517" s="144"/>
      <c r="AB517" s="144"/>
    </row>
    <row r="518" spans="1:28">
      <c r="A518" s="140" t="s">
        <v>471</v>
      </c>
      <c r="B518" s="140" t="s">
        <v>5011</v>
      </c>
      <c r="C518" s="140" t="s">
        <v>5012</v>
      </c>
      <c r="D518" s="140" t="s">
        <v>5013</v>
      </c>
      <c r="E518" s="140" t="s">
        <v>5014</v>
      </c>
      <c r="F518" s="140" t="s">
        <v>4</v>
      </c>
      <c r="G518" s="140">
        <v>3.25</v>
      </c>
      <c r="H518" s="140" t="s">
        <v>24</v>
      </c>
      <c r="I518" s="140" t="s">
        <v>602</v>
      </c>
      <c r="J518" s="140" t="s">
        <v>5015</v>
      </c>
      <c r="K518" s="140">
        <v>3.5</v>
      </c>
      <c r="L518" s="140" t="s">
        <v>1054</v>
      </c>
      <c r="M518" s="140" t="s">
        <v>5016</v>
      </c>
      <c r="N518" s="140">
        <v>3</v>
      </c>
      <c r="O518" s="140" t="s">
        <v>784</v>
      </c>
      <c r="P518" s="148">
        <v>500000</v>
      </c>
      <c r="Q518" s="140" t="s">
        <v>452</v>
      </c>
      <c r="R518" s="140" t="s">
        <v>1119</v>
      </c>
      <c r="S518" s="140"/>
      <c r="T518" s="140"/>
      <c r="U518" s="143"/>
      <c r="V518" s="143"/>
      <c r="W518" s="143"/>
      <c r="X518" s="140" t="s">
        <v>5017</v>
      </c>
      <c r="Y518" s="140" t="s">
        <v>5018</v>
      </c>
      <c r="Z518" s="140" t="str">
        <f ca="1">IFERROR(__xludf.DUMMYFUNCTION("IF(VLOOKUP($Y518, IMPORTRANGE(""https://docs.google.com/spreadsheets/d/1WsTKRjz8_fF2119Ff9dhKIIYXSaUEHzuWr8pBkxmwQQ/edit"", ""Form Responses 1!$B:$Z""),1, FALSE)=$Y518,""Yes"",""No"")"),"#N/A")</f>
        <v>#N/A</v>
      </c>
      <c r="AA518" s="140"/>
      <c r="AB518" s="140"/>
    </row>
    <row r="519" spans="1:28">
      <c r="A519" s="144" t="s">
        <v>598</v>
      </c>
      <c r="B519" s="144" t="s">
        <v>5019</v>
      </c>
      <c r="C519" s="144" t="s">
        <v>5020</v>
      </c>
      <c r="D519" s="144" t="s">
        <v>5021</v>
      </c>
      <c r="E519" s="144" t="s">
        <v>5022</v>
      </c>
      <c r="F519" s="144" t="s">
        <v>4</v>
      </c>
      <c r="G519" s="144">
        <v>3.25</v>
      </c>
      <c r="H519" s="144" t="s">
        <v>24</v>
      </c>
      <c r="I519" s="144" t="s">
        <v>602</v>
      </c>
      <c r="J519" s="144" t="s">
        <v>5023</v>
      </c>
      <c r="K519" s="144">
        <v>3.5</v>
      </c>
      <c r="L519" s="144" t="s">
        <v>1073</v>
      </c>
      <c r="M519" s="144"/>
      <c r="N519" s="144">
        <v>3</v>
      </c>
      <c r="O519" s="144" t="s">
        <v>451</v>
      </c>
      <c r="P519" s="160">
        <v>4000000</v>
      </c>
      <c r="Q519" s="144" t="s">
        <v>452</v>
      </c>
      <c r="R519" s="144" t="s">
        <v>5024</v>
      </c>
      <c r="S519" s="144"/>
      <c r="T519" s="144"/>
      <c r="U519" s="145"/>
      <c r="V519" s="145"/>
      <c r="W519" s="145"/>
      <c r="X519" s="144" t="s">
        <v>5025</v>
      </c>
      <c r="Y519" s="144" t="s">
        <v>5026</v>
      </c>
      <c r="Z519" s="144" t="str">
        <f ca="1">IFERROR(__xludf.DUMMYFUNCTION("IF(VLOOKUP($Y519, IMPORTRANGE(""https://docs.google.com/spreadsheets/d/1WsTKRjz8_fF2119Ff9dhKIIYXSaUEHzuWr8pBkxmwQQ/edit"", ""Form Responses 1!$B:$Z""),1, FALSE)=$Y519,""Yes"",""No"")"),"#N/A")</f>
        <v>#N/A</v>
      </c>
      <c r="AA519" s="144"/>
      <c r="AB519" s="144"/>
    </row>
    <row r="520" spans="1:28">
      <c r="A520" s="140" t="s">
        <v>443</v>
      </c>
      <c r="B520" s="140" t="s">
        <v>5027</v>
      </c>
      <c r="C520" s="140" t="s">
        <v>5028</v>
      </c>
      <c r="D520" s="140" t="s">
        <v>5029</v>
      </c>
      <c r="E520" s="140" t="s">
        <v>5030</v>
      </c>
      <c r="F520" s="140" t="s">
        <v>4</v>
      </c>
      <c r="G520" s="140">
        <v>3.25</v>
      </c>
      <c r="H520" s="140" t="s">
        <v>24</v>
      </c>
      <c r="I520" s="140" t="s">
        <v>602</v>
      </c>
      <c r="J520" s="140" t="s">
        <v>5031</v>
      </c>
      <c r="K520" s="140">
        <v>3</v>
      </c>
      <c r="L520" s="140" t="s">
        <v>1054</v>
      </c>
      <c r="M520" s="140" t="s">
        <v>5032</v>
      </c>
      <c r="N520" s="140">
        <v>3.5</v>
      </c>
      <c r="O520" s="140" t="s">
        <v>451</v>
      </c>
      <c r="P520" s="142">
        <v>2000000</v>
      </c>
      <c r="Q520" s="140" t="s">
        <v>452</v>
      </c>
      <c r="R520" s="140" t="s">
        <v>5033</v>
      </c>
      <c r="S520" s="140" t="s">
        <v>5034</v>
      </c>
      <c r="T520" s="140"/>
      <c r="U520" s="143"/>
      <c r="V520" s="143"/>
      <c r="W520" s="143"/>
      <c r="X520" s="140" t="s">
        <v>5035</v>
      </c>
      <c r="Y520" s="140" t="s">
        <v>5036</v>
      </c>
      <c r="Z520" s="140" t="str">
        <f ca="1">IFERROR(__xludf.DUMMYFUNCTION("IF(VLOOKUP($Y520, IMPORTRANGE(""https://docs.google.com/spreadsheets/d/1WsTKRjz8_fF2119Ff9dhKIIYXSaUEHzuWr8pBkxmwQQ/edit"", ""Form Responses 1!$B:$Z""),1, FALSE)=$Y520,""Yes"",""No"")"),"#N/A")</f>
        <v>#N/A</v>
      </c>
      <c r="AA520" s="140"/>
      <c r="AB520" s="140"/>
    </row>
    <row r="521" spans="1:28">
      <c r="A521" s="144" t="s">
        <v>443</v>
      </c>
      <c r="B521" s="144" t="s">
        <v>5037</v>
      </c>
      <c r="C521" s="144" t="s">
        <v>5038</v>
      </c>
      <c r="D521" s="144" t="s">
        <v>5039</v>
      </c>
      <c r="E521" s="144" t="s">
        <v>5040</v>
      </c>
      <c r="F521" s="144" t="s">
        <v>4</v>
      </c>
      <c r="G521" s="144">
        <v>3.25</v>
      </c>
      <c r="H521" s="144" t="s">
        <v>24</v>
      </c>
      <c r="I521" s="144" t="s">
        <v>602</v>
      </c>
      <c r="J521" s="144" t="s">
        <v>5041</v>
      </c>
      <c r="K521" s="144">
        <v>2.5</v>
      </c>
      <c r="L521" s="144" t="s">
        <v>1054</v>
      </c>
      <c r="M521" s="144" t="s">
        <v>5042</v>
      </c>
      <c r="N521" s="144">
        <v>4</v>
      </c>
      <c r="O521" s="144" t="s">
        <v>451</v>
      </c>
      <c r="P521" s="147">
        <v>2500000</v>
      </c>
      <c r="Q521" s="144" t="s">
        <v>452</v>
      </c>
      <c r="R521" s="144" t="s">
        <v>5043</v>
      </c>
      <c r="S521" s="144"/>
      <c r="T521" s="144"/>
      <c r="U521" s="145"/>
      <c r="V521" s="145"/>
      <c r="W521" s="145"/>
      <c r="X521" s="144" t="s">
        <v>5044</v>
      </c>
      <c r="Y521" s="144" t="s">
        <v>5045</v>
      </c>
      <c r="Z521" s="144" t="str">
        <f ca="1">IFERROR(__xludf.DUMMYFUNCTION("IF(VLOOKUP($Y521, IMPORTRANGE(""https://docs.google.com/spreadsheets/d/1WsTKRjz8_fF2119Ff9dhKIIYXSaUEHzuWr8pBkxmwQQ/edit"", ""Form Responses 1!$B:$Z""),1, FALSE)=$Y521,""Yes"",""No"")"),"#N/A")</f>
        <v>#N/A</v>
      </c>
      <c r="AA521" s="144"/>
      <c r="AB521" s="144"/>
    </row>
    <row r="522" spans="1:28">
      <c r="A522" s="140" t="s">
        <v>907</v>
      </c>
      <c r="B522" s="140" t="s">
        <v>5046</v>
      </c>
      <c r="C522" s="140" t="s">
        <v>5047</v>
      </c>
      <c r="D522" s="140" t="s">
        <v>5048</v>
      </c>
      <c r="E522" s="162" t="s">
        <v>5049</v>
      </c>
      <c r="F522" s="140" t="s">
        <v>4</v>
      </c>
      <c r="G522" s="140">
        <v>3.25</v>
      </c>
      <c r="H522" s="140" t="s">
        <v>24</v>
      </c>
      <c r="I522" s="140" t="s">
        <v>727</v>
      </c>
      <c r="J522" s="140" t="s">
        <v>5050</v>
      </c>
      <c r="K522" s="140">
        <v>3.5</v>
      </c>
      <c r="L522" s="140" t="s">
        <v>449</v>
      </c>
      <c r="M522" s="140" t="s">
        <v>5051</v>
      </c>
      <c r="N522" s="140">
        <v>3</v>
      </c>
      <c r="O522" s="140" t="s">
        <v>478</v>
      </c>
      <c r="P522" s="140" t="s">
        <v>5052</v>
      </c>
      <c r="Q522" s="140" t="s">
        <v>452</v>
      </c>
      <c r="R522" s="140" t="s">
        <v>452</v>
      </c>
      <c r="S522" s="140"/>
      <c r="T522" s="140"/>
      <c r="U522" s="143"/>
      <c r="V522" s="143"/>
      <c r="W522" s="143"/>
      <c r="X522" s="140" t="s">
        <v>5053</v>
      </c>
      <c r="Y522" s="140" t="s">
        <v>5054</v>
      </c>
      <c r="Z522" s="140" t="str">
        <f ca="1">IFERROR(__xludf.DUMMYFUNCTION("IF(VLOOKUP($Y522, IMPORTRANGE(""https://docs.google.com/spreadsheets/d/1WsTKRjz8_fF2119Ff9dhKIIYXSaUEHzuWr8pBkxmwQQ/edit"", ""Form Responses 1!$B:$Z""),1, FALSE)=$Y522,""Yes"",""No"")"),"#N/A")</f>
        <v>#N/A</v>
      </c>
      <c r="AA522" s="140"/>
      <c r="AB522" s="140"/>
    </row>
    <row r="523" spans="1:28">
      <c r="A523" s="144" t="s">
        <v>443</v>
      </c>
      <c r="B523" s="144" t="s">
        <v>5055</v>
      </c>
      <c r="C523" s="144" t="s">
        <v>5056</v>
      </c>
      <c r="D523" s="144" t="s">
        <v>5057</v>
      </c>
      <c r="E523" s="144" t="s">
        <v>5058</v>
      </c>
      <c r="F523" s="144" t="s">
        <v>4</v>
      </c>
      <c r="G523" s="144">
        <v>3.25</v>
      </c>
      <c r="H523" s="144" t="s">
        <v>24</v>
      </c>
      <c r="I523" s="144" t="s">
        <v>727</v>
      </c>
      <c r="J523" s="144" t="s">
        <v>5059</v>
      </c>
      <c r="K523" s="144">
        <v>3.5</v>
      </c>
      <c r="L523" s="144" t="s">
        <v>1045</v>
      </c>
      <c r="M523" s="144" t="s">
        <v>5060</v>
      </c>
      <c r="N523" s="144">
        <v>3</v>
      </c>
      <c r="O523" s="144"/>
      <c r="P523" s="144"/>
      <c r="Q523" s="144" t="s">
        <v>452</v>
      </c>
      <c r="R523" s="144" t="s">
        <v>5061</v>
      </c>
      <c r="S523" s="144" t="s">
        <v>725</v>
      </c>
      <c r="T523" s="144"/>
      <c r="U523" s="145"/>
      <c r="V523" s="145"/>
      <c r="W523" s="145"/>
      <c r="X523" s="144" t="s">
        <v>5062</v>
      </c>
      <c r="Y523" s="144" t="s">
        <v>5063</v>
      </c>
      <c r="Z523" s="144" t="str">
        <f ca="1">IFERROR(__xludf.DUMMYFUNCTION("IF(VLOOKUP($Y523, IMPORTRANGE(""https://docs.google.com/spreadsheets/d/1WsTKRjz8_fF2119Ff9dhKIIYXSaUEHzuWr8pBkxmwQQ/edit"", ""Form Responses 1!$B:$Z""),1, FALSE)=$Y523,""Yes"",""No"")"),"#N/A")</f>
        <v>#N/A</v>
      </c>
      <c r="AA523" s="144"/>
      <c r="AB523" s="144"/>
    </row>
    <row r="524" spans="1:28">
      <c r="A524" s="140" t="s">
        <v>484</v>
      </c>
      <c r="B524" s="140" t="s">
        <v>5064</v>
      </c>
      <c r="C524" s="140" t="s">
        <v>5065</v>
      </c>
      <c r="D524" s="140" t="s">
        <v>5066</v>
      </c>
      <c r="E524" s="140" t="s">
        <v>5067</v>
      </c>
      <c r="F524" s="140" t="s">
        <v>4</v>
      </c>
      <c r="G524" s="140">
        <v>3.25</v>
      </c>
      <c r="H524" s="140" t="s">
        <v>24</v>
      </c>
      <c r="I524" s="140" t="s">
        <v>602</v>
      </c>
      <c r="J524" s="140" t="s">
        <v>5068</v>
      </c>
      <c r="K524" s="140">
        <v>3</v>
      </c>
      <c r="L524" s="140" t="s">
        <v>1054</v>
      </c>
      <c r="M524" s="140" t="s">
        <v>5069</v>
      </c>
      <c r="N524" s="140">
        <v>3.5</v>
      </c>
      <c r="O524" s="140"/>
      <c r="P524" s="140"/>
      <c r="Q524" s="140" t="s">
        <v>452</v>
      </c>
      <c r="R524" s="140" t="s">
        <v>5070</v>
      </c>
      <c r="S524" s="140"/>
      <c r="T524" s="140"/>
      <c r="U524" s="143"/>
      <c r="V524" s="143"/>
      <c r="W524" s="143"/>
      <c r="X524" s="140" t="s">
        <v>1529</v>
      </c>
      <c r="Y524" s="140" t="s">
        <v>5071</v>
      </c>
      <c r="Z524" s="140" t="str">
        <f ca="1">IFERROR(__xludf.DUMMYFUNCTION("IF(VLOOKUP($Y524, IMPORTRANGE(""https://docs.google.com/spreadsheets/d/1WsTKRjz8_fF2119Ff9dhKIIYXSaUEHzuWr8pBkxmwQQ/edit"", ""Form Responses 1!$B:$Z""),1, FALSE)=$Y524,""Yes"",""No"")"),"#N/A")</f>
        <v>#N/A</v>
      </c>
      <c r="AA524" s="140"/>
      <c r="AB524" s="140"/>
    </row>
    <row r="525" spans="1:28">
      <c r="A525" s="144" t="s">
        <v>484</v>
      </c>
      <c r="B525" s="144" t="s">
        <v>5072</v>
      </c>
      <c r="C525" s="144" t="s">
        <v>5073</v>
      </c>
      <c r="D525" s="144" t="s">
        <v>5074</v>
      </c>
      <c r="E525" s="144" t="s">
        <v>5075</v>
      </c>
      <c r="F525" s="144" t="s">
        <v>4</v>
      </c>
      <c r="G525" s="144">
        <v>3.25</v>
      </c>
      <c r="H525" s="144" t="s">
        <v>24</v>
      </c>
      <c r="I525" s="144" t="s">
        <v>602</v>
      </c>
      <c r="J525" s="144" t="s">
        <v>5076</v>
      </c>
      <c r="K525" s="144">
        <v>3</v>
      </c>
      <c r="L525" s="144" t="s">
        <v>1054</v>
      </c>
      <c r="M525" s="144" t="s">
        <v>5077</v>
      </c>
      <c r="N525" s="144">
        <v>3.5</v>
      </c>
      <c r="O525" s="144"/>
      <c r="P525" s="144"/>
      <c r="Q525" s="144" t="s">
        <v>465</v>
      </c>
      <c r="R525" s="144" t="s">
        <v>454</v>
      </c>
      <c r="S525" s="144"/>
      <c r="T525" s="144"/>
      <c r="U525" s="145"/>
      <c r="V525" s="145"/>
      <c r="W525" s="145"/>
      <c r="X525" s="144" t="s">
        <v>5078</v>
      </c>
      <c r="Y525" s="144" t="s">
        <v>5079</v>
      </c>
      <c r="Z525" s="144" t="str">
        <f ca="1">IFERROR(__xludf.DUMMYFUNCTION("IF(VLOOKUP($Y525, IMPORTRANGE(""https://docs.google.com/spreadsheets/d/1WsTKRjz8_fF2119Ff9dhKIIYXSaUEHzuWr8pBkxmwQQ/edit"", ""Form Responses 1!$B:$Z""),1, FALSE)=$Y525,""Yes"",""No"")"),"#N/A")</f>
        <v>#N/A</v>
      </c>
      <c r="AA525" s="144"/>
      <c r="AB525" s="144"/>
    </row>
    <row r="526" spans="1:28">
      <c r="A526" s="140" t="s">
        <v>484</v>
      </c>
      <c r="B526" s="140" t="s">
        <v>5080</v>
      </c>
      <c r="C526" s="140" t="s">
        <v>5081</v>
      </c>
      <c r="D526" s="140" t="s">
        <v>5082</v>
      </c>
      <c r="E526" s="140" t="s">
        <v>5083</v>
      </c>
      <c r="F526" s="140" t="s">
        <v>4</v>
      </c>
      <c r="G526" s="140">
        <v>3.25</v>
      </c>
      <c r="H526" s="140" t="s">
        <v>24</v>
      </c>
      <c r="I526" s="140" t="s">
        <v>727</v>
      </c>
      <c r="J526" s="140" t="s">
        <v>5084</v>
      </c>
      <c r="K526" s="140">
        <v>3.5</v>
      </c>
      <c r="L526" s="140" t="s">
        <v>1054</v>
      </c>
      <c r="M526" s="140" t="s">
        <v>5085</v>
      </c>
      <c r="N526" s="140">
        <v>3</v>
      </c>
      <c r="O526" s="140" t="s">
        <v>451</v>
      </c>
      <c r="P526" s="140">
        <v>2500000</v>
      </c>
      <c r="Q526" s="140" t="s">
        <v>452</v>
      </c>
      <c r="R526" s="140" t="s">
        <v>5086</v>
      </c>
      <c r="S526" s="140" t="s">
        <v>727</v>
      </c>
      <c r="T526" s="140"/>
      <c r="U526" s="143"/>
      <c r="V526" s="143"/>
      <c r="W526" s="143"/>
      <c r="X526" s="140" t="s">
        <v>493</v>
      </c>
      <c r="Y526" s="140" t="s">
        <v>5087</v>
      </c>
      <c r="Z526" s="140" t="str">
        <f ca="1">IFERROR(__xludf.DUMMYFUNCTION("IF(VLOOKUP($Y526, IMPORTRANGE(""https://docs.google.com/spreadsheets/d/1WsTKRjz8_fF2119Ff9dhKIIYXSaUEHzuWr8pBkxmwQQ/edit"", ""Form Responses 1!$B:$Z""),1, FALSE)=$Y526,""Yes"",""No"")"),"#N/A")</f>
        <v>#N/A</v>
      </c>
      <c r="AA526" s="140"/>
      <c r="AB526" s="140"/>
    </row>
    <row r="527" spans="1:28">
      <c r="A527" s="144" t="s">
        <v>598</v>
      </c>
      <c r="B527" s="144" t="s">
        <v>5088</v>
      </c>
      <c r="C527" s="144" t="s">
        <v>5089</v>
      </c>
      <c r="D527" s="144" t="s">
        <v>5090</v>
      </c>
      <c r="E527" s="144" t="s">
        <v>5091</v>
      </c>
      <c r="F527" s="144" t="s">
        <v>4</v>
      </c>
      <c r="G527" s="144">
        <v>3.25</v>
      </c>
      <c r="H527" s="144" t="s">
        <v>24</v>
      </c>
      <c r="I527" s="144" t="s">
        <v>727</v>
      </c>
      <c r="J527" s="144" t="s">
        <v>5092</v>
      </c>
      <c r="K527" s="144">
        <v>3.5</v>
      </c>
      <c r="L527" s="144" t="s">
        <v>1187</v>
      </c>
      <c r="M527" s="144" t="s">
        <v>5093</v>
      </c>
      <c r="N527" s="144">
        <v>3</v>
      </c>
      <c r="O527" s="144"/>
      <c r="P527" s="144"/>
      <c r="Q527" s="144" t="s">
        <v>452</v>
      </c>
      <c r="R527" s="144" t="s">
        <v>5094</v>
      </c>
      <c r="S527" s="144"/>
      <c r="T527" s="144"/>
      <c r="U527" s="145"/>
      <c r="V527" s="145"/>
      <c r="W527" s="145"/>
      <c r="X527" s="144" t="s">
        <v>2243</v>
      </c>
      <c r="Y527" s="144" t="s">
        <v>5095</v>
      </c>
      <c r="Z527" s="144" t="str">
        <f ca="1">IFERROR(__xludf.DUMMYFUNCTION("IF(VLOOKUP($Y527, IMPORTRANGE(""https://docs.google.com/spreadsheets/d/1WsTKRjz8_fF2119Ff9dhKIIYXSaUEHzuWr8pBkxmwQQ/edit"", ""Form Responses 1!$B:$Z""),1, FALSE)=$Y527,""Yes"",""No"")"),"#N/A")</f>
        <v>#N/A</v>
      </c>
      <c r="AA527" s="144"/>
      <c r="AB527" s="144"/>
    </row>
    <row r="528" spans="1:28">
      <c r="A528" s="140" t="s">
        <v>484</v>
      </c>
      <c r="B528" s="140" t="s">
        <v>5096</v>
      </c>
      <c r="C528" s="140" t="s">
        <v>5097</v>
      </c>
      <c r="D528" s="140" t="s">
        <v>5098</v>
      </c>
      <c r="E528" s="140" t="s">
        <v>5099</v>
      </c>
      <c r="F528" s="140" t="s">
        <v>4</v>
      </c>
      <c r="G528" s="140">
        <v>3.25</v>
      </c>
      <c r="H528" s="140" t="s">
        <v>24</v>
      </c>
      <c r="I528" s="140" t="s">
        <v>727</v>
      </c>
      <c r="J528" s="140" t="s">
        <v>5100</v>
      </c>
      <c r="K528" s="140">
        <v>3</v>
      </c>
      <c r="L528" s="140" t="s">
        <v>1054</v>
      </c>
      <c r="M528" s="140" t="s">
        <v>5101</v>
      </c>
      <c r="N528" s="140">
        <v>3.5</v>
      </c>
      <c r="O528" s="140" t="s">
        <v>451</v>
      </c>
      <c r="P528" s="142">
        <v>300000</v>
      </c>
      <c r="Q528" s="140" t="s">
        <v>454</v>
      </c>
      <c r="R528" s="140" t="s">
        <v>452</v>
      </c>
      <c r="S528" s="140"/>
      <c r="T528" s="140"/>
      <c r="U528" s="143"/>
      <c r="V528" s="143"/>
      <c r="W528" s="143"/>
      <c r="X528" s="140" t="s">
        <v>5102</v>
      </c>
      <c r="Y528" s="140" t="s">
        <v>5103</v>
      </c>
      <c r="Z528" s="140" t="str">
        <f ca="1">IFERROR(__xludf.DUMMYFUNCTION("IF(VLOOKUP($Y528, IMPORTRANGE(""https://docs.google.com/spreadsheets/d/1WsTKRjz8_fF2119Ff9dhKIIYXSaUEHzuWr8pBkxmwQQ/edit"", ""Form Responses 1!$B:$Z""),1, FALSE)=$Y528,""Yes"",""No"")"),"#N/A")</f>
        <v>#N/A</v>
      </c>
      <c r="AA528" s="140"/>
      <c r="AB528" s="140"/>
    </row>
    <row r="529" spans="1:28">
      <c r="A529" s="144" t="s">
        <v>529</v>
      </c>
      <c r="B529" s="144" t="s">
        <v>5104</v>
      </c>
      <c r="C529" s="144" t="s">
        <v>5105</v>
      </c>
      <c r="D529" s="144" t="s">
        <v>5106</v>
      </c>
      <c r="E529" s="144" t="s">
        <v>5107</v>
      </c>
      <c r="F529" s="144" t="s">
        <v>4</v>
      </c>
      <c r="G529" s="144">
        <v>3.25</v>
      </c>
      <c r="H529" s="144" t="s">
        <v>24</v>
      </c>
      <c r="I529" s="144" t="s">
        <v>1045</v>
      </c>
      <c r="J529" s="144" t="s">
        <v>5108</v>
      </c>
      <c r="K529" s="144">
        <v>2.5</v>
      </c>
      <c r="L529" s="144" t="s">
        <v>1281</v>
      </c>
      <c r="M529" s="144" t="s">
        <v>5109</v>
      </c>
      <c r="N529" s="144">
        <v>4</v>
      </c>
      <c r="O529" s="144" t="s">
        <v>784</v>
      </c>
      <c r="P529" s="146">
        <v>150000</v>
      </c>
      <c r="Q529" s="144" t="s">
        <v>452</v>
      </c>
      <c r="R529" s="144" t="s">
        <v>5110</v>
      </c>
      <c r="S529" s="144"/>
      <c r="T529" s="144"/>
      <c r="U529" s="145"/>
      <c r="V529" s="145"/>
      <c r="W529" s="145"/>
      <c r="X529" s="144" t="s">
        <v>5111</v>
      </c>
      <c r="Y529" s="144" t="s">
        <v>5112</v>
      </c>
      <c r="Z529" s="144" t="str">
        <f ca="1">IFERROR(__xludf.DUMMYFUNCTION("IF(VLOOKUP($Y529, IMPORTRANGE(""https://docs.google.com/spreadsheets/d/1WsTKRjz8_fF2119Ff9dhKIIYXSaUEHzuWr8pBkxmwQQ/edit"", ""Form Responses 1!$B:$Z""),1, FALSE)=$Y529,""Yes"",""No"")"),"#N/A")</f>
        <v>#N/A</v>
      </c>
      <c r="AA529" s="144"/>
      <c r="AB529" s="144"/>
    </row>
    <row r="530" spans="1:28">
      <c r="A530" s="140" t="s">
        <v>907</v>
      </c>
      <c r="B530" s="140" t="s">
        <v>5113</v>
      </c>
      <c r="C530" s="140" t="s">
        <v>5114</v>
      </c>
      <c r="D530" s="140" t="s">
        <v>5115</v>
      </c>
      <c r="E530" s="140" t="s">
        <v>5116</v>
      </c>
      <c r="F530" s="140" t="s">
        <v>4</v>
      </c>
      <c r="G530" s="140">
        <v>3.25</v>
      </c>
      <c r="H530" s="140" t="s">
        <v>24</v>
      </c>
      <c r="I530" s="140" t="s">
        <v>602</v>
      </c>
      <c r="J530" s="140" t="s">
        <v>5117</v>
      </c>
      <c r="K530" s="140">
        <v>3</v>
      </c>
      <c r="L530" s="140" t="s">
        <v>462</v>
      </c>
      <c r="M530" s="140" t="s">
        <v>5118</v>
      </c>
      <c r="N530" s="140">
        <v>3.5</v>
      </c>
      <c r="O530" s="140"/>
      <c r="P530" s="140"/>
      <c r="Q530" s="140" t="s">
        <v>452</v>
      </c>
      <c r="R530" s="140" t="s">
        <v>5119</v>
      </c>
      <c r="S530" s="140"/>
      <c r="T530" s="140"/>
      <c r="U530" s="143"/>
      <c r="V530" s="143"/>
      <c r="W530" s="143"/>
      <c r="X530" s="140" t="s">
        <v>3155</v>
      </c>
      <c r="Y530" s="140" t="s">
        <v>5120</v>
      </c>
      <c r="Z530" s="140" t="str">
        <f ca="1">IFERROR(__xludf.DUMMYFUNCTION("IF(VLOOKUP($Y530, IMPORTRANGE(""https://docs.google.com/spreadsheets/d/1WsTKRjz8_fF2119Ff9dhKIIYXSaUEHzuWr8pBkxmwQQ/edit"", ""Form Responses 1!$B:$Z""),1, FALSE)=$Y530,""Yes"",""No"")"),"#N/A")</f>
        <v>#N/A</v>
      </c>
      <c r="AA530" s="140"/>
      <c r="AB530" s="140"/>
    </row>
    <row r="531" spans="1:28">
      <c r="A531" s="144" t="s">
        <v>529</v>
      </c>
      <c r="B531" s="144" t="s">
        <v>5121</v>
      </c>
      <c r="C531" s="144" t="s">
        <v>5122</v>
      </c>
      <c r="D531" s="144" t="s">
        <v>5123</v>
      </c>
      <c r="E531" s="144"/>
      <c r="F531" s="144" t="s">
        <v>4</v>
      </c>
      <c r="G531" s="144">
        <v>3.25</v>
      </c>
      <c r="H531" s="144" t="s">
        <v>24</v>
      </c>
      <c r="I531" s="144" t="s">
        <v>725</v>
      </c>
      <c r="J531" s="144" t="s">
        <v>5124</v>
      </c>
      <c r="K531" s="144">
        <v>3.5</v>
      </c>
      <c r="L531" s="144" t="s">
        <v>1298</v>
      </c>
      <c r="M531" s="144" t="s">
        <v>5125</v>
      </c>
      <c r="N531" s="144">
        <v>3</v>
      </c>
      <c r="O531" s="144" t="s">
        <v>1656</v>
      </c>
      <c r="P531" s="144">
        <v>2000000</v>
      </c>
      <c r="Q531" s="144" t="s">
        <v>452</v>
      </c>
      <c r="R531" s="144" t="s">
        <v>5126</v>
      </c>
      <c r="S531" s="144" t="s">
        <v>5127</v>
      </c>
      <c r="T531" s="144"/>
      <c r="U531" s="145"/>
      <c r="V531" s="145"/>
      <c r="W531" s="145"/>
      <c r="X531" s="144" t="s">
        <v>5128</v>
      </c>
      <c r="Y531" s="144" t="s">
        <v>5129</v>
      </c>
      <c r="Z531" s="144" t="str">
        <f ca="1">IFERROR(__xludf.DUMMYFUNCTION("IF(VLOOKUP($Y531, IMPORTRANGE(""https://docs.google.com/spreadsheets/d/1WsTKRjz8_fF2119Ff9dhKIIYXSaUEHzuWr8pBkxmwQQ/edit"", ""Form Responses 1!$B:$Z""),1, FALSE)=$Y531,""Yes"",""No"")"),"#N/A")</f>
        <v>#N/A</v>
      </c>
      <c r="AA531" s="144"/>
      <c r="AB531" s="144"/>
    </row>
    <row r="532" spans="1:28">
      <c r="A532" s="140" t="s">
        <v>598</v>
      </c>
      <c r="B532" s="140" t="s">
        <v>5130</v>
      </c>
      <c r="C532" s="140" t="s">
        <v>5131</v>
      </c>
      <c r="D532" s="140" t="s">
        <v>5132</v>
      </c>
      <c r="E532" s="140" t="s">
        <v>5133</v>
      </c>
      <c r="F532" s="140" t="s">
        <v>4</v>
      </c>
      <c r="G532" s="140">
        <v>3.25</v>
      </c>
      <c r="H532" s="140" t="s">
        <v>24</v>
      </c>
      <c r="I532" s="140" t="s">
        <v>725</v>
      </c>
      <c r="J532" s="140" t="s">
        <v>5134</v>
      </c>
      <c r="K532" s="140">
        <v>3.5</v>
      </c>
      <c r="L532" s="140" t="s">
        <v>1045</v>
      </c>
      <c r="M532" s="140" t="s">
        <v>5135</v>
      </c>
      <c r="N532" s="140">
        <v>3</v>
      </c>
      <c r="O532" s="140" t="s">
        <v>451</v>
      </c>
      <c r="P532" s="140">
        <v>3000000</v>
      </c>
      <c r="Q532" s="140" t="s">
        <v>454</v>
      </c>
      <c r="R532" s="140" t="s">
        <v>5136</v>
      </c>
      <c r="S532" s="140" t="s">
        <v>5137</v>
      </c>
      <c r="T532" s="140"/>
      <c r="U532" s="143"/>
      <c r="V532" s="143"/>
      <c r="W532" s="143"/>
      <c r="X532" s="140" t="s">
        <v>5138</v>
      </c>
      <c r="Y532" s="140" t="s">
        <v>5139</v>
      </c>
      <c r="Z532" s="140" t="str">
        <f ca="1">IFERROR(__xludf.DUMMYFUNCTION("IF(VLOOKUP($Y532, IMPORTRANGE(""https://docs.google.com/spreadsheets/d/1WsTKRjz8_fF2119Ff9dhKIIYXSaUEHzuWr8pBkxmwQQ/edit"", ""Form Responses 1!$B:$Z""),1, FALSE)=$Y532,""Yes"",""No"")"),"#N/A")</f>
        <v>#N/A</v>
      </c>
      <c r="AA532" s="140"/>
      <c r="AB532" s="140"/>
    </row>
    <row r="533" spans="1:28">
      <c r="A533" s="144" t="s">
        <v>503</v>
      </c>
      <c r="B533" s="144" t="s">
        <v>5140</v>
      </c>
      <c r="C533" s="144" t="s">
        <v>5141</v>
      </c>
      <c r="D533" s="144" t="s">
        <v>5142</v>
      </c>
      <c r="E533" s="144" t="s">
        <v>5143</v>
      </c>
      <c r="F533" s="144" t="s">
        <v>4</v>
      </c>
      <c r="G533" s="144">
        <v>3.25</v>
      </c>
      <c r="H533" s="144" t="s">
        <v>24</v>
      </c>
      <c r="I533" s="144" t="s">
        <v>602</v>
      </c>
      <c r="J533" s="144" t="s">
        <v>5144</v>
      </c>
      <c r="K533" s="144">
        <v>3.5</v>
      </c>
      <c r="L533" s="144" t="s">
        <v>1054</v>
      </c>
      <c r="M533" s="144"/>
      <c r="N533" s="144">
        <v>3</v>
      </c>
      <c r="O533" s="144" t="s">
        <v>451</v>
      </c>
      <c r="P533" s="146">
        <v>3000000</v>
      </c>
      <c r="Q533" s="144" t="s">
        <v>452</v>
      </c>
      <c r="R533" s="144" t="s">
        <v>5145</v>
      </c>
      <c r="S533" s="144"/>
      <c r="T533" s="144"/>
      <c r="U533" s="145"/>
      <c r="V533" s="145"/>
      <c r="W533" s="145"/>
      <c r="X533" s="144" t="s">
        <v>568</v>
      </c>
      <c r="Y533" s="144" t="s">
        <v>5146</v>
      </c>
      <c r="Z533" s="144" t="str">
        <f ca="1">IFERROR(__xludf.DUMMYFUNCTION("IF(VLOOKUP($Y533, IMPORTRANGE(""https://docs.google.com/spreadsheets/d/1WsTKRjz8_fF2119Ff9dhKIIYXSaUEHzuWr8pBkxmwQQ/edit"", ""Form Responses 1!$B:$Z""),1, FALSE)=$Y533,""Yes"",""No"")"),"#N/A")</f>
        <v>#N/A</v>
      </c>
      <c r="AA533" s="144"/>
      <c r="AB533" s="144"/>
    </row>
    <row r="534" spans="1:28">
      <c r="A534" s="140" t="s">
        <v>529</v>
      </c>
      <c r="B534" s="140" t="s">
        <v>5147</v>
      </c>
      <c r="C534" s="140" t="s">
        <v>5148</v>
      </c>
      <c r="D534" s="140" t="s">
        <v>5149</v>
      </c>
      <c r="E534" s="140" t="s">
        <v>5150</v>
      </c>
      <c r="F534" s="140" t="s">
        <v>4</v>
      </c>
      <c r="G534" s="140">
        <v>3.25</v>
      </c>
      <c r="H534" s="140" t="s">
        <v>24</v>
      </c>
      <c r="I534" s="140" t="s">
        <v>727</v>
      </c>
      <c r="J534" s="140" t="s">
        <v>5151</v>
      </c>
      <c r="K534" s="140">
        <v>3</v>
      </c>
      <c r="L534" s="140" t="s">
        <v>1350</v>
      </c>
      <c r="M534" s="140" t="s">
        <v>5152</v>
      </c>
      <c r="N534" s="140">
        <v>3.5</v>
      </c>
      <c r="O534" s="140"/>
      <c r="P534" s="140"/>
      <c r="Q534" s="140" t="s">
        <v>452</v>
      </c>
      <c r="R534" s="140" t="s">
        <v>5153</v>
      </c>
      <c r="S534" s="140"/>
      <c r="T534" s="140"/>
      <c r="U534" s="143"/>
      <c r="V534" s="143"/>
      <c r="W534" s="143"/>
      <c r="X534" s="140" t="s">
        <v>5154</v>
      </c>
      <c r="Y534" s="140" t="s">
        <v>5155</v>
      </c>
      <c r="Z534" s="140" t="str">
        <f ca="1">IFERROR(__xludf.DUMMYFUNCTION("IF(VLOOKUP($Y534, IMPORTRANGE(""https://docs.google.com/spreadsheets/d/1WsTKRjz8_fF2119Ff9dhKIIYXSaUEHzuWr8pBkxmwQQ/edit"", ""Form Responses 1!$B:$Z""),1, FALSE)=$Y534,""Yes"",""No"")"),"#N/A")</f>
        <v>#N/A</v>
      </c>
      <c r="AA534" s="140"/>
      <c r="AB534" s="140"/>
    </row>
    <row r="535" spans="1:28">
      <c r="A535" s="144" t="s">
        <v>529</v>
      </c>
      <c r="B535" s="144" t="s">
        <v>5156</v>
      </c>
      <c r="C535" s="144" t="s">
        <v>5157</v>
      </c>
      <c r="D535" s="144" t="s">
        <v>5158</v>
      </c>
      <c r="E535" s="144" t="s">
        <v>5159</v>
      </c>
      <c r="F535" s="144" t="s">
        <v>4</v>
      </c>
      <c r="G535" s="144">
        <v>3.25</v>
      </c>
      <c r="H535" s="144" t="s">
        <v>24</v>
      </c>
      <c r="I535" s="144" t="s">
        <v>602</v>
      </c>
      <c r="J535" s="144" t="s">
        <v>5160</v>
      </c>
      <c r="K535" s="144">
        <v>3</v>
      </c>
      <c r="L535" s="144" t="s">
        <v>1350</v>
      </c>
      <c r="M535" s="144" t="s">
        <v>5161</v>
      </c>
      <c r="N535" s="144">
        <v>3.5</v>
      </c>
      <c r="O535" s="144"/>
      <c r="P535" s="144"/>
      <c r="Q535" s="144" t="s">
        <v>452</v>
      </c>
      <c r="R535" s="144" t="s">
        <v>5162</v>
      </c>
      <c r="S535" s="144"/>
      <c r="T535" s="144"/>
      <c r="U535" s="145"/>
      <c r="V535" s="145"/>
      <c r="W535" s="145"/>
      <c r="X535" s="144" t="s">
        <v>537</v>
      </c>
      <c r="Y535" s="144" t="s">
        <v>5163</v>
      </c>
      <c r="Z535" s="144" t="str">
        <f ca="1">IFERROR(__xludf.DUMMYFUNCTION("IF(VLOOKUP($Y535, IMPORTRANGE(""https://docs.google.com/spreadsheets/d/1WsTKRjz8_fF2119Ff9dhKIIYXSaUEHzuWr8pBkxmwQQ/edit"", ""Form Responses 1!$B:$Z""),1, FALSE)=$Y535,""Yes"",""No"")"),"#N/A")</f>
        <v>#N/A</v>
      </c>
      <c r="AA535" s="144"/>
      <c r="AB535" s="144"/>
    </row>
    <row r="536" spans="1:28">
      <c r="A536" s="140" t="s">
        <v>529</v>
      </c>
      <c r="B536" s="140" t="s">
        <v>5164</v>
      </c>
      <c r="C536" s="140" t="s">
        <v>5165</v>
      </c>
      <c r="D536" s="140" t="s">
        <v>5166</v>
      </c>
      <c r="E536" s="140" t="s">
        <v>5167</v>
      </c>
      <c r="F536" s="140" t="s">
        <v>4</v>
      </c>
      <c r="G536" s="140">
        <v>3.25</v>
      </c>
      <c r="H536" s="140" t="s">
        <v>24</v>
      </c>
      <c r="I536" s="140" t="s">
        <v>727</v>
      </c>
      <c r="J536" s="140" t="s">
        <v>5168</v>
      </c>
      <c r="K536" s="140">
        <v>3</v>
      </c>
      <c r="L536" s="140" t="s">
        <v>1054</v>
      </c>
      <c r="M536" s="140" t="s">
        <v>5169</v>
      </c>
      <c r="N536" s="140">
        <v>3.5</v>
      </c>
      <c r="O536" s="140" t="s">
        <v>5170</v>
      </c>
      <c r="P536" s="140" t="s">
        <v>5171</v>
      </c>
      <c r="Q536" s="140" t="s">
        <v>454</v>
      </c>
      <c r="R536" s="140" t="s">
        <v>5172</v>
      </c>
      <c r="S536" s="140"/>
      <c r="T536" s="140"/>
      <c r="U536" s="143"/>
      <c r="V536" s="143"/>
      <c r="W536" s="143"/>
      <c r="X536" s="140" t="s">
        <v>5173</v>
      </c>
      <c r="Y536" s="140" t="s">
        <v>5174</v>
      </c>
      <c r="Z536" s="140" t="str">
        <f ca="1">IFERROR(__xludf.DUMMYFUNCTION("IF(VLOOKUP($Y536, IMPORTRANGE(""https://docs.google.com/spreadsheets/d/1WsTKRjz8_fF2119Ff9dhKIIYXSaUEHzuWr8pBkxmwQQ/edit"", ""Form Responses 1!$B:$Z""),1, FALSE)=$Y536,""Yes"",""No"")"),"#N/A")</f>
        <v>#N/A</v>
      </c>
      <c r="AA536" s="140"/>
      <c r="AB536" s="140"/>
    </row>
    <row r="537" spans="1:28">
      <c r="A537" s="144" t="s">
        <v>907</v>
      </c>
      <c r="B537" s="144" t="s">
        <v>5175</v>
      </c>
      <c r="C537" s="144" t="s">
        <v>5176</v>
      </c>
      <c r="D537" s="144" t="s">
        <v>5177</v>
      </c>
      <c r="E537" s="144" t="s">
        <v>5178</v>
      </c>
      <c r="F537" s="144" t="s">
        <v>4</v>
      </c>
      <c r="G537" s="144">
        <v>3.25</v>
      </c>
      <c r="H537" s="144" t="s">
        <v>24</v>
      </c>
      <c r="I537" s="144" t="s">
        <v>1045</v>
      </c>
      <c r="J537" s="144" t="s">
        <v>5179</v>
      </c>
      <c r="K537" s="144">
        <v>3.5</v>
      </c>
      <c r="L537" s="144" t="s">
        <v>462</v>
      </c>
      <c r="M537" s="144" t="s">
        <v>5180</v>
      </c>
      <c r="N537" s="144">
        <v>3</v>
      </c>
      <c r="O537" s="144" t="s">
        <v>451</v>
      </c>
      <c r="P537" s="144">
        <v>2000000</v>
      </c>
      <c r="Q537" s="144" t="s">
        <v>452</v>
      </c>
      <c r="R537" s="144" t="s">
        <v>5181</v>
      </c>
      <c r="S537" s="144"/>
      <c r="T537" s="144"/>
      <c r="U537" s="145"/>
      <c r="V537" s="145"/>
      <c r="W537" s="145"/>
      <c r="X537" s="144" t="s">
        <v>5182</v>
      </c>
      <c r="Y537" s="144" t="s">
        <v>5183</v>
      </c>
      <c r="Z537" s="144" t="str">
        <f ca="1">IFERROR(__xludf.DUMMYFUNCTION("IF(VLOOKUP($Y537, IMPORTRANGE(""https://docs.google.com/spreadsheets/d/1WsTKRjz8_fF2119Ff9dhKIIYXSaUEHzuWr8pBkxmwQQ/edit"", ""Form Responses 1!$B:$Z""),1, FALSE)=$Y537,""Yes"",""No"")"),"#N/A")</f>
        <v>#N/A</v>
      </c>
      <c r="AA537" s="144"/>
      <c r="AB537" s="144"/>
    </row>
    <row r="538" spans="1:28">
      <c r="A538" s="140" t="s">
        <v>443</v>
      </c>
      <c r="B538" s="140" t="s">
        <v>5184</v>
      </c>
      <c r="C538" s="140" t="s">
        <v>5185</v>
      </c>
      <c r="D538" s="140" t="s">
        <v>5186</v>
      </c>
      <c r="E538" s="140" t="s">
        <v>5187</v>
      </c>
      <c r="F538" s="140" t="s">
        <v>4</v>
      </c>
      <c r="G538" s="140">
        <v>3.25</v>
      </c>
      <c r="H538" s="140" t="s">
        <v>24</v>
      </c>
      <c r="I538" s="140" t="s">
        <v>602</v>
      </c>
      <c r="J538" s="140" t="s">
        <v>5188</v>
      </c>
      <c r="K538" s="140">
        <v>3</v>
      </c>
      <c r="L538" s="140" t="s">
        <v>476</v>
      </c>
      <c r="M538" s="140" t="s">
        <v>5189</v>
      </c>
      <c r="N538" s="140">
        <v>3.5</v>
      </c>
      <c r="O538" s="140" t="s">
        <v>451</v>
      </c>
      <c r="P538" s="148">
        <v>500000</v>
      </c>
      <c r="Q538" s="140" t="s">
        <v>452</v>
      </c>
      <c r="R538" s="140" t="s">
        <v>5190</v>
      </c>
      <c r="S538" s="140"/>
      <c r="T538" s="140"/>
      <c r="U538" s="143"/>
      <c r="V538" s="143"/>
      <c r="W538" s="143"/>
      <c r="X538" s="140" t="s">
        <v>5191</v>
      </c>
      <c r="Y538" s="140" t="s">
        <v>5192</v>
      </c>
      <c r="Z538" s="140" t="str">
        <f ca="1">IFERROR(__xludf.DUMMYFUNCTION("IF(VLOOKUP($Y538, IMPORTRANGE(""https://docs.google.com/spreadsheets/d/1WsTKRjz8_fF2119Ff9dhKIIYXSaUEHzuWr8pBkxmwQQ/edit"", ""Form Responses 1!$B:$Z""),1, FALSE)=$Y538,""Yes"",""No"")"),"#N/A")</f>
        <v>#N/A</v>
      </c>
      <c r="AA538" s="140"/>
      <c r="AB538" s="140"/>
    </row>
    <row r="539" spans="1:28">
      <c r="A539" s="144" t="s">
        <v>598</v>
      </c>
      <c r="B539" s="144" t="s">
        <v>5193</v>
      </c>
      <c r="C539" s="144" t="s">
        <v>5194</v>
      </c>
      <c r="D539" s="144" t="s">
        <v>5195</v>
      </c>
      <c r="E539" s="144" t="s">
        <v>5196</v>
      </c>
      <c r="F539" s="144" t="s">
        <v>4</v>
      </c>
      <c r="G539" s="144">
        <v>3.25</v>
      </c>
      <c r="H539" s="144" t="s">
        <v>24</v>
      </c>
      <c r="I539" s="144" t="s">
        <v>725</v>
      </c>
      <c r="J539" s="144" t="s">
        <v>5197</v>
      </c>
      <c r="K539" s="144">
        <v>3.5</v>
      </c>
      <c r="L539" s="144" t="s">
        <v>1045</v>
      </c>
      <c r="M539" s="144" t="s">
        <v>5198</v>
      </c>
      <c r="N539" s="144">
        <v>3</v>
      </c>
      <c r="O539" s="144"/>
      <c r="P539" s="144"/>
      <c r="Q539" s="144" t="s">
        <v>454</v>
      </c>
      <c r="R539" s="144" t="s">
        <v>452</v>
      </c>
      <c r="S539" s="144"/>
      <c r="T539" s="144"/>
      <c r="U539" s="145"/>
      <c r="V539" s="145"/>
      <c r="W539" s="145"/>
      <c r="X539" s="144" t="s">
        <v>5199</v>
      </c>
      <c r="Y539" s="144" t="s">
        <v>5200</v>
      </c>
      <c r="Z539" s="144" t="str">
        <f ca="1">IFERROR(__xludf.DUMMYFUNCTION("IF(VLOOKUP($Y539, IMPORTRANGE(""https://docs.google.com/spreadsheets/d/1WsTKRjz8_fF2119Ff9dhKIIYXSaUEHzuWr8pBkxmwQQ/edit"", ""Form Responses 1!$B:$Z""),1, FALSE)=$Y539,""Yes"",""No"")"),"#N/A")</f>
        <v>#N/A</v>
      </c>
      <c r="AA539" s="144"/>
      <c r="AB539" s="144"/>
    </row>
    <row r="540" spans="1:28">
      <c r="A540" s="140" t="s">
        <v>907</v>
      </c>
      <c r="B540" s="140" t="s">
        <v>5201</v>
      </c>
      <c r="C540" s="140" t="s">
        <v>5202</v>
      </c>
      <c r="D540" s="140" t="s">
        <v>5203</v>
      </c>
      <c r="E540" s="140" t="s">
        <v>5204</v>
      </c>
      <c r="F540" s="140" t="s">
        <v>4</v>
      </c>
      <c r="G540" s="140">
        <v>3.25</v>
      </c>
      <c r="H540" s="140" t="s">
        <v>24</v>
      </c>
      <c r="I540" s="140" t="s">
        <v>725</v>
      </c>
      <c r="J540" s="140" t="s">
        <v>5205</v>
      </c>
      <c r="K540" s="140">
        <v>3.5</v>
      </c>
      <c r="L540" s="140" t="s">
        <v>447</v>
      </c>
      <c r="M540" s="140" t="s">
        <v>5206</v>
      </c>
      <c r="N540" s="140">
        <v>3</v>
      </c>
      <c r="O540" s="140" t="s">
        <v>451</v>
      </c>
      <c r="P540" s="140" t="s">
        <v>5207</v>
      </c>
      <c r="Q540" s="140" t="s">
        <v>452</v>
      </c>
      <c r="R540" s="140" t="s">
        <v>452</v>
      </c>
      <c r="S540" s="140"/>
      <c r="T540" s="140"/>
      <c r="U540" s="143"/>
      <c r="V540" s="143"/>
      <c r="W540" s="143"/>
      <c r="X540" s="140" t="s">
        <v>5208</v>
      </c>
      <c r="Y540" s="140" t="s">
        <v>5209</v>
      </c>
      <c r="Z540" s="140" t="str">
        <f ca="1">IFERROR(__xludf.DUMMYFUNCTION("IF(VLOOKUP($Y540, IMPORTRANGE(""https://docs.google.com/spreadsheets/d/1WsTKRjz8_fF2119Ff9dhKIIYXSaUEHzuWr8pBkxmwQQ/edit"", ""Form Responses 1!$B:$Z""),1, FALSE)=$Y540,""Yes"",""No"")"),"#N/A")</f>
        <v>#N/A</v>
      </c>
      <c r="AA540" s="140"/>
      <c r="AB540" s="140"/>
    </row>
    <row r="541" spans="1:28">
      <c r="A541" s="144" t="s">
        <v>443</v>
      </c>
      <c r="B541" s="144" t="s">
        <v>5210</v>
      </c>
      <c r="C541" s="144" t="s">
        <v>5211</v>
      </c>
      <c r="D541" s="144" t="s">
        <v>5212</v>
      </c>
      <c r="E541" s="144" t="s">
        <v>5213</v>
      </c>
      <c r="F541" s="144" t="s">
        <v>4</v>
      </c>
      <c r="G541" s="144">
        <v>3.25</v>
      </c>
      <c r="H541" s="144" t="s">
        <v>24</v>
      </c>
      <c r="I541" s="144" t="s">
        <v>727</v>
      </c>
      <c r="J541" s="144" t="s">
        <v>5214</v>
      </c>
      <c r="K541" s="144">
        <v>3.5</v>
      </c>
      <c r="L541" s="144" t="s">
        <v>1045</v>
      </c>
      <c r="M541" s="144" t="s">
        <v>5215</v>
      </c>
      <c r="N541" s="144">
        <v>3</v>
      </c>
      <c r="O541" s="144" t="s">
        <v>451</v>
      </c>
      <c r="P541" s="144">
        <v>3600000</v>
      </c>
      <c r="Q541" s="144" t="s">
        <v>465</v>
      </c>
      <c r="R541" s="144" t="s">
        <v>452</v>
      </c>
      <c r="S541" s="144"/>
      <c r="T541" s="144"/>
      <c r="U541" s="145"/>
      <c r="V541" s="145"/>
      <c r="W541" s="145"/>
      <c r="X541" s="144" t="s">
        <v>5216</v>
      </c>
      <c r="Y541" s="144" t="s">
        <v>5217</v>
      </c>
      <c r="Z541" s="144" t="str">
        <f ca="1">IFERROR(__xludf.DUMMYFUNCTION("IF(VLOOKUP($Y541, IMPORTRANGE(""https://docs.google.com/spreadsheets/d/1WsTKRjz8_fF2119Ff9dhKIIYXSaUEHzuWr8pBkxmwQQ/edit"", ""Form Responses 1!$B:$Z""),1, FALSE)=$Y541,""Yes"",""No"")"),"#N/A")</f>
        <v>#N/A</v>
      </c>
      <c r="AA541" s="144"/>
      <c r="AB541" s="144"/>
    </row>
    <row r="542" spans="1:28">
      <c r="A542" s="140" t="s">
        <v>443</v>
      </c>
      <c r="B542" s="140" t="s">
        <v>5218</v>
      </c>
      <c r="C542" s="140" t="s">
        <v>5219</v>
      </c>
      <c r="D542" s="140" t="s">
        <v>5220</v>
      </c>
      <c r="E542" s="140" t="s">
        <v>5221</v>
      </c>
      <c r="F542" s="140" t="s">
        <v>4</v>
      </c>
      <c r="G542" s="140">
        <v>3.25</v>
      </c>
      <c r="H542" s="140" t="s">
        <v>24</v>
      </c>
      <c r="I542" s="140" t="s">
        <v>602</v>
      </c>
      <c r="J542" s="140" t="s">
        <v>5222</v>
      </c>
      <c r="K542" s="140">
        <v>3</v>
      </c>
      <c r="L542" s="140" t="s">
        <v>1054</v>
      </c>
      <c r="M542" s="140" t="s">
        <v>5223</v>
      </c>
      <c r="N542" s="140">
        <v>3.5</v>
      </c>
      <c r="O542" s="140"/>
      <c r="P542" s="140"/>
      <c r="Q542" s="140" t="s">
        <v>454</v>
      </c>
      <c r="R542" s="140" t="s">
        <v>5224</v>
      </c>
      <c r="S542" s="140"/>
      <c r="T542" s="140"/>
      <c r="U542" s="143"/>
      <c r="V542" s="143"/>
      <c r="W542" s="143"/>
      <c r="X542" s="140" t="s">
        <v>5225</v>
      </c>
      <c r="Y542" s="140" t="s">
        <v>5226</v>
      </c>
      <c r="Z542" s="140" t="str">
        <f ca="1">IFERROR(__xludf.DUMMYFUNCTION("IF(VLOOKUP($Y542, IMPORTRANGE(""https://docs.google.com/spreadsheets/d/1WsTKRjz8_fF2119Ff9dhKIIYXSaUEHzuWr8pBkxmwQQ/edit"", ""Form Responses 1!$B:$Z""),1, FALSE)=$Y542,""Yes"",""No"")"),"#N/A")</f>
        <v>#N/A</v>
      </c>
      <c r="AA542" s="140"/>
      <c r="AB542" s="140"/>
    </row>
    <row r="543" spans="1:28">
      <c r="A543" s="144" t="s">
        <v>529</v>
      </c>
      <c r="B543" s="144" t="s">
        <v>5227</v>
      </c>
      <c r="C543" s="144" t="s">
        <v>5228</v>
      </c>
      <c r="D543" s="144" t="s">
        <v>5229</v>
      </c>
      <c r="E543" s="144"/>
      <c r="F543" s="144" t="s">
        <v>4</v>
      </c>
      <c r="G543" s="144">
        <v>3.25</v>
      </c>
      <c r="H543" s="144" t="s">
        <v>24</v>
      </c>
      <c r="I543" s="144" t="s">
        <v>725</v>
      </c>
      <c r="J543" s="144" t="s">
        <v>5230</v>
      </c>
      <c r="K543" s="144">
        <v>3.5</v>
      </c>
      <c r="L543" s="144" t="s">
        <v>1457</v>
      </c>
      <c r="M543" s="144" t="s">
        <v>5231</v>
      </c>
      <c r="N543" s="144">
        <v>3</v>
      </c>
      <c r="O543" s="144" t="s">
        <v>2190</v>
      </c>
      <c r="P543" s="144">
        <v>2000000</v>
      </c>
      <c r="Q543" s="144" t="s">
        <v>465</v>
      </c>
      <c r="R543" s="144" t="s">
        <v>5232</v>
      </c>
      <c r="S543" s="144"/>
      <c r="T543" s="144"/>
      <c r="U543" s="145"/>
      <c r="V543" s="145"/>
      <c r="W543" s="145"/>
      <c r="X543" s="144" t="s">
        <v>5233</v>
      </c>
      <c r="Y543" s="144" t="s">
        <v>5234</v>
      </c>
      <c r="Z543" s="144" t="str">
        <f ca="1">IFERROR(__xludf.DUMMYFUNCTION("IF(VLOOKUP($Y543, IMPORTRANGE(""https://docs.google.com/spreadsheets/d/1WsTKRjz8_fF2119Ff9dhKIIYXSaUEHzuWr8pBkxmwQQ/edit"", ""Form Responses 1!$B:$Z""),1, FALSE)=$Y543,""Yes"",""No"")"),"#N/A")</f>
        <v>#N/A</v>
      </c>
      <c r="AA543" s="144"/>
      <c r="AB543" s="144"/>
    </row>
    <row r="544" spans="1:28">
      <c r="A544" s="140" t="s">
        <v>471</v>
      </c>
      <c r="B544" s="140" t="s">
        <v>5235</v>
      </c>
      <c r="C544" s="140" t="s">
        <v>5236</v>
      </c>
      <c r="D544" s="140" t="s">
        <v>5237</v>
      </c>
      <c r="E544" s="140" t="s">
        <v>5238</v>
      </c>
      <c r="F544" s="140" t="s">
        <v>4</v>
      </c>
      <c r="G544" s="140">
        <v>3.25</v>
      </c>
      <c r="H544" s="140" t="s">
        <v>24</v>
      </c>
      <c r="I544" s="140" t="s">
        <v>727</v>
      </c>
      <c r="J544" s="140" t="s">
        <v>5239</v>
      </c>
      <c r="K544" s="140">
        <v>3.5</v>
      </c>
      <c r="L544" s="140" t="s">
        <v>476</v>
      </c>
      <c r="M544" s="140" t="s">
        <v>5240</v>
      </c>
      <c r="N544" s="140">
        <v>3</v>
      </c>
      <c r="O544" s="140"/>
      <c r="P544" s="140"/>
      <c r="Q544" s="140" t="s">
        <v>452</v>
      </c>
      <c r="R544" s="140" t="s">
        <v>5241</v>
      </c>
      <c r="S544" s="140" t="s">
        <v>447</v>
      </c>
      <c r="T544" s="140"/>
      <c r="U544" s="143"/>
      <c r="V544" s="143"/>
      <c r="W544" s="143"/>
      <c r="X544" s="140" t="s">
        <v>5242</v>
      </c>
      <c r="Y544" s="140" t="s">
        <v>5243</v>
      </c>
      <c r="Z544" s="140" t="str">
        <f ca="1">IFERROR(__xludf.DUMMYFUNCTION("IF(VLOOKUP($Y544, IMPORTRANGE(""https://docs.google.com/spreadsheets/d/1WsTKRjz8_fF2119Ff9dhKIIYXSaUEHzuWr8pBkxmwQQ/edit"", ""Form Responses 1!$B:$Z""),1, FALSE)=$Y544,""Yes"",""No"")"),"#N/A")</f>
        <v>#N/A</v>
      </c>
      <c r="AA544" s="140"/>
      <c r="AB544" s="140"/>
    </row>
    <row r="545" spans="1:28">
      <c r="A545" s="144" t="s">
        <v>529</v>
      </c>
      <c r="B545" s="144" t="s">
        <v>5244</v>
      </c>
      <c r="C545" s="144" t="s">
        <v>5245</v>
      </c>
      <c r="D545" s="144" t="s">
        <v>5246</v>
      </c>
      <c r="E545" s="144" t="s">
        <v>5247</v>
      </c>
      <c r="F545" s="144" t="s">
        <v>4</v>
      </c>
      <c r="G545" s="144">
        <v>3.25</v>
      </c>
      <c r="H545" s="144" t="s">
        <v>24</v>
      </c>
      <c r="I545" s="144" t="s">
        <v>725</v>
      </c>
      <c r="J545" s="144" t="s">
        <v>5248</v>
      </c>
      <c r="K545" s="144">
        <v>3.5</v>
      </c>
      <c r="L545" s="144" t="s">
        <v>1457</v>
      </c>
      <c r="M545" s="144" t="s">
        <v>5249</v>
      </c>
      <c r="N545" s="144">
        <v>3</v>
      </c>
      <c r="O545" s="144"/>
      <c r="P545" s="144"/>
      <c r="Q545" s="144" t="s">
        <v>452</v>
      </c>
      <c r="R545" s="144" t="s">
        <v>452</v>
      </c>
      <c r="S545" s="144" t="s">
        <v>5250</v>
      </c>
      <c r="T545" s="144"/>
      <c r="U545" s="145"/>
      <c r="V545" s="145"/>
      <c r="W545" s="145"/>
      <c r="X545" s="144" t="s">
        <v>5251</v>
      </c>
      <c r="Y545" s="144" t="s">
        <v>5252</v>
      </c>
      <c r="Z545" s="144" t="str">
        <f ca="1">IFERROR(__xludf.DUMMYFUNCTION("IF(VLOOKUP($Y545, IMPORTRANGE(""https://docs.google.com/spreadsheets/d/1WsTKRjz8_fF2119Ff9dhKIIYXSaUEHzuWr8pBkxmwQQ/edit"", ""Form Responses 1!$B:$Z""),1, FALSE)=$Y545,""Yes"",""No"")"),"#N/A")</f>
        <v>#N/A</v>
      </c>
      <c r="AA545" s="144"/>
      <c r="AB545" s="144"/>
    </row>
    <row r="546" spans="1:28">
      <c r="A546" s="140" t="s">
        <v>598</v>
      </c>
      <c r="B546" s="140" t="s">
        <v>5253</v>
      </c>
      <c r="C546" s="140" t="s">
        <v>5254</v>
      </c>
      <c r="D546" s="140" t="s">
        <v>5255</v>
      </c>
      <c r="E546" s="140" t="s">
        <v>5256</v>
      </c>
      <c r="F546" s="140" t="s">
        <v>4</v>
      </c>
      <c r="G546" s="140">
        <v>3.25</v>
      </c>
      <c r="H546" s="140" t="s">
        <v>24</v>
      </c>
      <c r="I546" s="140" t="s">
        <v>602</v>
      </c>
      <c r="J546" s="140" t="s">
        <v>5257</v>
      </c>
      <c r="K546" s="140">
        <v>3</v>
      </c>
      <c r="L546" s="140" t="s">
        <v>1054</v>
      </c>
      <c r="M546" s="140" t="s">
        <v>5258</v>
      </c>
      <c r="N546" s="140">
        <v>3.5</v>
      </c>
      <c r="O546" s="140"/>
      <c r="P546" s="140"/>
      <c r="Q546" s="140" t="s">
        <v>452</v>
      </c>
      <c r="R546" s="140" t="s">
        <v>5259</v>
      </c>
      <c r="S546" s="140"/>
      <c r="T546" s="140"/>
      <c r="U546" s="143"/>
      <c r="V546" s="143"/>
      <c r="W546" s="143"/>
      <c r="X546" s="140" t="s">
        <v>5260</v>
      </c>
      <c r="Y546" s="140" t="s">
        <v>5261</v>
      </c>
      <c r="Z546" s="140" t="str">
        <f ca="1">IFERROR(__xludf.DUMMYFUNCTION("IF(VLOOKUP($Y546, IMPORTRANGE(""https://docs.google.com/spreadsheets/d/1WsTKRjz8_fF2119Ff9dhKIIYXSaUEHzuWr8pBkxmwQQ/edit"", ""Form Responses 1!$B:$Z""),1, FALSE)=$Y546,""Yes"",""No"")"),"#N/A")</f>
        <v>#N/A</v>
      </c>
      <c r="AA546" s="140"/>
      <c r="AB546" s="140"/>
    </row>
    <row r="547" spans="1:28">
      <c r="A547" s="144" t="s">
        <v>598</v>
      </c>
      <c r="B547" s="144" t="s">
        <v>5262</v>
      </c>
      <c r="C547" s="144" t="s">
        <v>5263</v>
      </c>
      <c r="D547" s="144" t="s">
        <v>5264</v>
      </c>
      <c r="E547" s="144" t="s">
        <v>5265</v>
      </c>
      <c r="F547" s="144" t="s">
        <v>4</v>
      </c>
      <c r="G547" s="144">
        <v>3.25</v>
      </c>
      <c r="H547" s="144" t="s">
        <v>24</v>
      </c>
      <c r="I547" s="144" t="s">
        <v>602</v>
      </c>
      <c r="J547" s="144" t="s">
        <v>5266</v>
      </c>
      <c r="K547" s="144">
        <v>4</v>
      </c>
      <c r="L547" s="144" t="s">
        <v>476</v>
      </c>
      <c r="M547" s="144" t="s">
        <v>5267</v>
      </c>
      <c r="N547" s="144">
        <v>2.5</v>
      </c>
      <c r="O547" s="144" t="s">
        <v>973</v>
      </c>
      <c r="P547" s="147">
        <v>50000000</v>
      </c>
      <c r="Q547" s="144" t="s">
        <v>452</v>
      </c>
      <c r="R547" s="144" t="s">
        <v>452</v>
      </c>
      <c r="S547" s="144"/>
      <c r="T547" s="144" t="s">
        <v>5268</v>
      </c>
      <c r="U547" s="145"/>
      <c r="V547" s="145"/>
      <c r="W547" s="145"/>
      <c r="X547" s="144" t="s">
        <v>5269</v>
      </c>
      <c r="Y547" s="144" t="s">
        <v>5270</v>
      </c>
      <c r="Z547" s="144" t="str">
        <f ca="1">IFERROR(__xludf.DUMMYFUNCTION("IF(VLOOKUP($Y547, IMPORTRANGE(""https://docs.google.com/spreadsheets/d/1WsTKRjz8_fF2119Ff9dhKIIYXSaUEHzuWr8pBkxmwQQ/edit"", ""Form Responses 1!$B:$Z""),1, FALSE)=$Y547,""Yes"",""No"")"),"#N/A")</f>
        <v>#N/A</v>
      </c>
      <c r="AA547" s="144"/>
      <c r="AB547" s="144"/>
    </row>
    <row r="548" spans="1:28">
      <c r="A548" s="140" t="s">
        <v>907</v>
      </c>
      <c r="B548" s="140" t="s">
        <v>5271</v>
      </c>
      <c r="C548" s="140" t="s">
        <v>5272</v>
      </c>
      <c r="D548" s="140" t="s">
        <v>5273</v>
      </c>
      <c r="E548" s="140" t="s">
        <v>5274</v>
      </c>
      <c r="F548" s="140" t="s">
        <v>4</v>
      </c>
      <c r="G548" s="140">
        <v>3.25</v>
      </c>
      <c r="H548" s="140" t="s">
        <v>24</v>
      </c>
      <c r="I548" s="140" t="s">
        <v>1045</v>
      </c>
      <c r="J548" s="140" t="s">
        <v>5275</v>
      </c>
      <c r="K548" s="140">
        <v>3</v>
      </c>
      <c r="L548" s="140" t="s">
        <v>1350</v>
      </c>
      <c r="M548" s="140" t="s">
        <v>5276</v>
      </c>
      <c r="N548" s="140">
        <v>3.5</v>
      </c>
      <c r="O548" s="140"/>
      <c r="P548" s="140"/>
      <c r="Q548" s="140" t="s">
        <v>452</v>
      </c>
      <c r="R548" s="140" t="s">
        <v>5277</v>
      </c>
      <c r="S548" s="140"/>
      <c r="T548" s="140"/>
      <c r="U548" s="143"/>
      <c r="V548" s="143"/>
      <c r="W548" s="143"/>
      <c r="X548" s="140" t="s">
        <v>5278</v>
      </c>
      <c r="Y548" s="140" t="s">
        <v>5279</v>
      </c>
      <c r="Z548" s="140" t="str">
        <f ca="1">IFERROR(__xludf.DUMMYFUNCTION("IF(VLOOKUP($Y548, IMPORTRANGE(""https://docs.google.com/spreadsheets/d/1WsTKRjz8_fF2119Ff9dhKIIYXSaUEHzuWr8pBkxmwQQ/edit"", ""Form Responses 1!$B:$Z""),1, FALSE)=$Y548,""Yes"",""No"")"),"#N/A")</f>
        <v>#N/A</v>
      </c>
      <c r="AA548" s="140"/>
      <c r="AB548" s="140"/>
    </row>
    <row r="549" spans="1:28">
      <c r="A549" s="144" t="s">
        <v>484</v>
      </c>
      <c r="B549" s="144" t="s">
        <v>5280</v>
      </c>
      <c r="C549" s="144" t="s">
        <v>5281</v>
      </c>
      <c r="D549" s="144" t="s">
        <v>5282</v>
      </c>
      <c r="E549" s="144" t="s">
        <v>5283</v>
      </c>
      <c r="F549" s="144" t="s">
        <v>4</v>
      </c>
      <c r="G549" s="144">
        <v>3.25</v>
      </c>
      <c r="H549" s="144" t="s">
        <v>24</v>
      </c>
      <c r="I549" s="144" t="s">
        <v>727</v>
      </c>
      <c r="J549" s="144" t="s">
        <v>5284</v>
      </c>
      <c r="K549" s="144">
        <v>3.5</v>
      </c>
      <c r="L549" s="144" t="s">
        <v>476</v>
      </c>
      <c r="M549" s="144" t="s">
        <v>5285</v>
      </c>
      <c r="N549" s="144">
        <v>3</v>
      </c>
      <c r="O549" s="144"/>
      <c r="P549" s="144"/>
      <c r="Q549" s="144" t="s">
        <v>452</v>
      </c>
      <c r="R549" s="144" t="s">
        <v>5286</v>
      </c>
      <c r="S549" s="144"/>
      <c r="T549" s="144"/>
      <c r="U549" s="145"/>
      <c r="V549" s="145"/>
      <c r="W549" s="145"/>
      <c r="X549" s="144" t="s">
        <v>5287</v>
      </c>
      <c r="Y549" s="144" t="s">
        <v>5288</v>
      </c>
      <c r="Z549" s="144" t="str">
        <f ca="1">IFERROR(__xludf.DUMMYFUNCTION("IF(VLOOKUP($Y549, IMPORTRANGE(""https://docs.google.com/spreadsheets/d/1WsTKRjz8_fF2119Ff9dhKIIYXSaUEHzuWr8pBkxmwQQ/edit"", ""Form Responses 1!$B:$Z""),1, FALSE)=$Y549,""Yes"",""No"")"),"#N/A")</f>
        <v>#N/A</v>
      </c>
      <c r="AA549" s="144"/>
      <c r="AB549" s="144"/>
    </row>
    <row r="550" spans="1:28">
      <c r="A550" s="140" t="s">
        <v>529</v>
      </c>
      <c r="B550" s="140" t="s">
        <v>5289</v>
      </c>
      <c r="C550" s="140" t="s">
        <v>5290</v>
      </c>
      <c r="D550" s="140" t="s">
        <v>5291</v>
      </c>
      <c r="E550" s="140" t="s">
        <v>5292</v>
      </c>
      <c r="F550" s="140" t="s">
        <v>4</v>
      </c>
      <c r="G550" s="140">
        <v>3.25</v>
      </c>
      <c r="H550" s="140" t="s">
        <v>24</v>
      </c>
      <c r="I550" s="140" t="s">
        <v>727</v>
      </c>
      <c r="J550" s="140" t="s">
        <v>5293</v>
      </c>
      <c r="K550" s="140">
        <v>3.5</v>
      </c>
      <c r="L550" s="140" t="s">
        <v>1045</v>
      </c>
      <c r="M550" s="140" t="s">
        <v>5294</v>
      </c>
      <c r="N550" s="140">
        <v>3</v>
      </c>
      <c r="O550" s="140" t="s">
        <v>5295</v>
      </c>
      <c r="P550" s="140" t="s">
        <v>5296</v>
      </c>
      <c r="Q550" s="140" t="s">
        <v>452</v>
      </c>
      <c r="R550" s="140" t="s">
        <v>452</v>
      </c>
      <c r="S550" s="140" t="s">
        <v>460</v>
      </c>
      <c r="T550" s="140"/>
      <c r="U550" s="143"/>
      <c r="V550" s="143"/>
      <c r="W550" s="143"/>
      <c r="X550" s="140" t="s">
        <v>1705</v>
      </c>
      <c r="Y550" s="140" t="s">
        <v>5297</v>
      </c>
      <c r="Z550" s="140" t="str">
        <f ca="1">IFERROR(__xludf.DUMMYFUNCTION("IF(VLOOKUP($Y550, IMPORTRANGE(""https://docs.google.com/spreadsheets/d/1WsTKRjz8_fF2119Ff9dhKIIYXSaUEHzuWr8pBkxmwQQ/edit"", ""Form Responses 1!$B:$Z""),1, FALSE)=$Y550,""Yes"",""No"")"),"#N/A")</f>
        <v>#N/A</v>
      </c>
      <c r="AA550" s="140"/>
      <c r="AB550" s="140"/>
    </row>
    <row r="551" spans="1:28">
      <c r="A551" s="144" t="s">
        <v>907</v>
      </c>
      <c r="B551" s="144" t="s">
        <v>5298</v>
      </c>
      <c r="C551" s="144" t="s">
        <v>5299</v>
      </c>
      <c r="D551" s="144" t="s">
        <v>5300</v>
      </c>
      <c r="E551" s="144" t="s">
        <v>5301</v>
      </c>
      <c r="F551" s="144" t="s">
        <v>4</v>
      </c>
      <c r="G551" s="144">
        <v>3.25</v>
      </c>
      <c r="H551" s="144" t="s">
        <v>24</v>
      </c>
      <c r="I551" s="144" t="s">
        <v>602</v>
      </c>
      <c r="J551" s="144" t="s">
        <v>5302</v>
      </c>
      <c r="K551" s="144">
        <v>2.5</v>
      </c>
      <c r="L551" s="144" t="s">
        <v>447</v>
      </c>
      <c r="M551" s="144" t="s">
        <v>5303</v>
      </c>
      <c r="N551" s="144">
        <v>4</v>
      </c>
      <c r="O551" s="144" t="s">
        <v>451</v>
      </c>
      <c r="P551" s="146">
        <v>3000000</v>
      </c>
      <c r="Q551" s="144" t="s">
        <v>452</v>
      </c>
      <c r="R551" s="144" t="s">
        <v>5304</v>
      </c>
      <c r="S551" s="144"/>
      <c r="T551" s="144" t="s">
        <v>5305</v>
      </c>
      <c r="U551" s="145"/>
      <c r="V551" s="145"/>
      <c r="W551" s="145"/>
      <c r="X551" s="144" t="s">
        <v>5306</v>
      </c>
      <c r="Y551" s="144" t="s">
        <v>5307</v>
      </c>
      <c r="Z551" s="144" t="str">
        <f ca="1">IFERROR(__xludf.DUMMYFUNCTION("IF(VLOOKUP($Y551, IMPORTRANGE(""https://docs.google.com/spreadsheets/d/1WsTKRjz8_fF2119Ff9dhKIIYXSaUEHzuWr8pBkxmwQQ/edit"", ""Form Responses 1!$B:$Z""),1, FALSE)=$Y551,""Yes"",""No"")"),"#N/A")</f>
        <v>#N/A</v>
      </c>
      <c r="AA551" s="144"/>
      <c r="AB551" s="144"/>
    </row>
    <row r="552" spans="1:28">
      <c r="A552" s="140" t="s">
        <v>598</v>
      </c>
      <c r="B552" s="140" t="s">
        <v>5308</v>
      </c>
      <c r="C552" s="140" t="s">
        <v>5309</v>
      </c>
      <c r="D552" s="140" t="s">
        <v>5310</v>
      </c>
      <c r="E552" s="140" t="s">
        <v>5311</v>
      </c>
      <c r="F552" s="140" t="s">
        <v>4</v>
      </c>
      <c r="G552" s="140">
        <v>3.25</v>
      </c>
      <c r="H552" s="140" t="s">
        <v>24</v>
      </c>
      <c r="I552" s="140" t="s">
        <v>725</v>
      </c>
      <c r="J552" s="140" t="s">
        <v>5312</v>
      </c>
      <c r="K552" s="140">
        <v>3</v>
      </c>
      <c r="L552" s="140" t="s">
        <v>1054</v>
      </c>
      <c r="M552" s="140" t="s">
        <v>5313</v>
      </c>
      <c r="N552" s="140">
        <v>3.5</v>
      </c>
      <c r="O552" s="140" t="s">
        <v>784</v>
      </c>
      <c r="P552" s="140">
        <v>1800000</v>
      </c>
      <c r="Q552" s="140" t="s">
        <v>454</v>
      </c>
      <c r="R552" s="140" t="s">
        <v>5314</v>
      </c>
      <c r="S552" s="140" t="s">
        <v>5315</v>
      </c>
      <c r="T552" s="140"/>
      <c r="U552" s="143"/>
      <c r="V552" s="143"/>
      <c r="W552" s="143"/>
      <c r="X552" s="140" t="s">
        <v>5316</v>
      </c>
      <c r="Y552" s="140" t="s">
        <v>5317</v>
      </c>
      <c r="Z552" s="140" t="str">
        <f ca="1">IFERROR(__xludf.DUMMYFUNCTION("IF(VLOOKUP($Y552, IMPORTRANGE(""https://docs.google.com/spreadsheets/d/1WsTKRjz8_fF2119Ff9dhKIIYXSaUEHzuWr8pBkxmwQQ/edit"", ""Form Responses 1!$B:$Z""),1, FALSE)=$Y552,""Yes"",""No"")"),"#N/A")</f>
        <v>#N/A</v>
      </c>
      <c r="AA552" s="140"/>
      <c r="AB552" s="140"/>
    </row>
    <row r="553" spans="1:28">
      <c r="A553" s="144" t="s">
        <v>443</v>
      </c>
      <c r="B553" s="144" t="s">
        <v>5318</v>
      </c>
      <c r="C553" s="144" t="s">
        <v>5319</v>
      </c>
      <c r="D553" s="144" t="s">
        <v>5320</v>
      </c>
      <c r="E553" s="144" t="s">
        <v>5321</v>
      </c>
      <c r="F553" s="144" t="s">
        <v>4</v>
      </c>
      <c r="G553" s="144">
        <v>3.13</v>
      </c>
      <c r="H553" s="144" t="s">
        <v>24</v>
      </c>
      <c r="I553" s="144" t="s">
        <v>727</v>
      </c>
      <c r="J553" s="144"/>
      <c r="K553" s="144">
        <v>3.5</v>
      </c>
      <c r="L553" s="144" t="s">
        <v>1045</v>
      </c>
      <c r="M553" s="144" t="s">
        <v>5322</v>
      </c>
      <c r="N553" s="144">
        <v>2.75</v>
      </c>
      <c r="O553" s="144" t="s">
        <v>451</v>
      </c>
      <c r="P553" s="144">
        <v>2</v>
      </c>
      <c r="Q553" s="144" t="s">
        <v>465</v>
      </c>
      <c r="R553" s="144" t="s">
        <v>5323</v>
      </c>
      <c r="S553" s="144"/>
      <c r="T553" s="144"/>
      <c r="U553" s="145"/>
      <c r="V553" s="145"/>
      <c r="W553" s="145"/>
      <c r="X553" s="144" t="s">
        <v>5324</v>
      </c>
      <c r="Y553" s="144" t="s">
        <v>5325</v>
      </c>
      <c r="Z553" s="144" t="str">
        <f ca="1">IFERROR(__xludf.DUMMYFUNCTION("IF(VLOOKUP($Y553, IMPORTRANGE(""https://docs.google.com/spreadsheets/d/1WsTKRjz8_fF2119Ff9dhKIIYXSaUEHzuWr8pBkxmwQQ/edit"", ""Form Responses 1!$B:$Z""),1, FALSE)=$Y553,""Yes"",""No"")"),"#N/A")</f>
        <v>#N/A</v>
      </c>
      <c r="AA553" s="144"/>
      <c r="AB553" s="144"/>
    </row>
    <row r="554" spans="1:28">
      <c r="A554" s="140" t="s">
        <v>529</v>
      </c>
      <c r="B554" s="140" t="s">
        <v>5326</v>
      </c>
      <c r="C554" s="140" t="s">
        <v>5327</v>
      </c>
      <c r="D554" s="140" t="s">
        <v>5328</v>
      </c>
      <c r="E554" s="140" t="s">
        <v>5329</v>
      </c>
      <c r="F554" s="140" t="s">
        <v>4</v>
      </c>
      <c r="G554" s="140">
        <v>3</v>
      </c>
      <c r="H554" s="140" t="s">
        <v>24</v>
      </c>
      <c r="I554" s="140" t="s">
        <v>725</v>
      </c>
      <c r="J554" s="140" t="s">
        <v>5330</v>
      </c>
      <c r="K554" s="140">
        <v>2</v>
      </c>
      <c r="L554" s="140" t="s">
        <v>990</v>
      </c>
      <c r="M554" s="140" t="s">
        <v>5331</v>
      </c>
      <c r="N554" s="140">
        <v>4</v>
      </c>
      <c r="O554" s="140" t="s">
        <v>973</v>
      </c>
      <c r="P554" s="140" t="s">
        <v>5332</v>
      </c>
      <c r="Q554" s="140" t="s">
        <v>452</v>
      </c>
      <c r="R554" s="140" t="s">
        <v>5333</v>
      </c>
      <c r="S554" s="140"/>
      <c r="T554" s="140"/>
      <c r="U554" s="143"/>
      <c r="V554" s="143"/>
      <c r="W554" s="143"/>
      <c r="X554" s="140" t="s">
        <v>5334</v>
      </c>
      <c r="Y554" s="140" t="s">
        <v>5335</v>
      </c>
      <c r="Z554" s="140" t="str">
        <f ca="1">IFERROR(__xludf.DUMMYFUNCTION("IF(VLOOKUP($Y554, IMPORTRANGE(""https://docs.google.com/spreadsheets/d/1WsTKRjz8_fF2119Ff9dhKIIYXSaUEHzuWr8pBkxmwQQ/edit"", ""Form Responses 1!$B:$Z""),1, FALSE)=$Y554,""Yes"",""No"")"),"#N/A")</f>
        <v>#N/A</v>
      </c>
      <c r="AA554" s="140"/>
      <c r="AB554" s="140"/>
    </row>
    <row r="555" spans="1:28">
      <c r="A555" s="144" t="s">
        <v>443</v>
      </c>
      <c r="B555" s="144" t="s">
        <v>5336</v>
      </c>
      <c r="C555" s="144" t="s">
        <v>5337</v>
      </c>
      <c r="D555" s="144" t="s">
        <v>5338</v>
      </c>
      <c r="E555" s="144" t="s">
        <v>5339</v>
      </c>
      <c r="F555" s="144" t="s">
        <v>4</v>
      </c>
      <c r="G555" s="144">
        <v>3</v>
      </c>
      <c r="H555" s="144" t="s">
        <v>24</v>
      </c>
      <c r="I555" s="144" t="s">
        <v>602</v>
      </c>
      <c r="J555" s="144" t="s">
        <v>5340</v>
      </c>
      <c r="K555" s="144">
        <v>3</v>
      </c>
      <c r="L555" s="144" t="s">
        <v>476</v>
      </c>
      <c r="M555" s="144" t="s">
        <v>5341</v>
      </c>
      <c r="N555" s="144">
        <v>3</v>
      </c>
      <c r="O555" s="144" t="s">
        <v>451</v>
      </c>
      <c r="P555" s="147">
        <v>2000000</v>
      </c>
      <c r="Q555" s="144" t="s">
        <v>452</v>
      </c>
      <c r="R555" s="144" t="s">
        <v>5342</v>
      </c>
      <c r="S555" s="144" t="s">
        <v>5343</v>
      </c>
      <c r="T555" s="144"/>
      <c r="U555" s="145"/>
      <c r="V555" s="145"/>
      <c r="W555" s="145"/>
      <c r="X555" s="144" t="s">
        <v>5344</v>
      </c>
      <c r="Y555" s="144" t="s">
        <v>5345</v>
      </c>
      <c r="Z555" s="144" t="str">
        <f ca="1">IFERROR(__xludf.DUMMYFUNCTION("IF(VLOOKUP($Y555, IMPORTRANGE(""https://docs.google.com/spreadsheets/d/1WsTKRjz8_fF2119Ff9dhKIIYXSaUEHzuWr8pBkxmwQQ/edit"", ""Form Responses 1!$B:$Z""),1, FALSE)=$Y555,""Yes"",""No"")"),"#N/A")</f>
        <v>#N/A</v>
      </c>
      <c r="AA555" s="144"/>
      <c r="AB555" s="144"/>
    </row>
    <row r="556" spans="1:28">
      <c r="A556" s="140" t="s">
        <v>529</v>
      </c>
      <c r="B556" s="140" t="s">
        <v>5346</v>
      </c>
      <c r="C556" s="140" t="s">
        <v>5347</v>
      </c>
      <c r="D556" s="140" t="s">
        <v>5348</v>
      </c>
      <c r="E556" s="140" t="s">
        <v>5349</v>
      </c>
      <c r="F556" s="140" t="s">
        <v>4</v>
      </c>
      <c r="G556" s="140">
        <v>3</v>
      </c>
      <c r="H556" s="140" t="s">
        <v>24</v>
      </c>
      <c r="I556" s="140" t="s">
        <v>725</v>
      </c>
      <c r="J556" s="140" t="s">
        <v>5350</v>
      </c>
      <c r="K556" s="140">
        <v>2</v>
      </c>
      <c r="L556" s="140" t="s">
        <v>990</v>
      </c>
      <c r="M556" s="140"/>
      <c r="N556" s="140">
        <v>4</v>
      </c>
      <c r="O556" s="140" t="s">
        <v>784</v>
      </c>
      <c r="P556" s="140">
        <v>250000</v>
      </c>
      <c r="Q556" s="140" t="s">
        <v>452</v>
      </c>
      <c r="R556" s="140" t="s">
        <v>5351</v>
      </c>
      <c r="S556" s="140"/>
      <c r="T556" s="140"/>
      <c r="U556" s="143"/>
      <c r="V556" s="143"/>
      <c r="W556" s="143"/>
      <c r="X556" s="140" t="s">
        <v>5352</v>
      </c>
      <c r="Y556" s="140" t="s">
        <v>5353</v>
      </c>
      <c r="Z556" s="140" t="str">
        <f ca="1">IFERROR(__xludf.DUMMYFUNCTION("IF(VLOOKUP($Y556, IMPORTRANGE(""https://docs.google.com/spreadsheets/d/1WsTKRjz8_fF2119Ff9dhKIIYXSaUEHzuWr8pBkxmwQQ/edit"", ""Form Responses 1!$B:$Z""),1, FALSE)=$Y556,""Yes"",""No"")"),"#N/A")</f>
        <v>#N/A</v>
      </c>
      <c r="AA556" s="140"/>
      <c r="AB556" s="140"/>
    </row>
    <row r="557" spans="1:28">
      <c r="A557" s="144" t="s">
        <v>907</v>
      </c>
      <c r="B557" s="144" t="s">
        <v>5354</v>
      </c>
      <c r="C557" s="144" t="s">
        <v>5355</v>
      </c>
      <c r="D557" s="144" t="s">
        <v>5356</v>
      </c>
      <c r="E557" s="144" t="s">
        <v>5357</v>
      </c>
      <c r="F557" s="144" t="s">
        <v>4</v>
      </c>
      <c r="G557" s="144">
        <v>3</v>
      </c>
      <c r="H557" s="144" t="s">
        <v>24</v>
      </c>
      <c r="I557" s="144" t="s">
        <v>725</v>
      </c>
      <c r="J557" s="144" t="s">
        <v>5358</v>
      </c>
      <c r="K557" s="144">
        <v>2</v>
      </c>
      <c r="L557" s="144" t="s">
        <v>990</v>
      </c>
      <c r="M557" s="144" t="s">
        <v>5359</v>
      </c>
      <c r="N557" s="144">
        <v>4</v>
      </c>
      <c r="O557" s="144" t="s">
        <v>451</v>
      </c>
      <c r="P557" s="147">
        <v>1000000</v>
      </c>
      <c r="Q557" s="144" t="s">
        <v>452</v>
      </c>
      <c r="R557" s="144" t="s">
        <v>452</v>
      </c>
      <c r="S557" s="144"/>
      <c r="T557" s="144"/>
      <c r="U557" s="145"/>
      <c r="V557" s="145"/>
      <c r="W557" s="145"/>
      <c r="X557" s="144" t="s">
        <v>3213</v>
      </c>
      <c r="Y557" s="144" t="s">
        <v>5360</v>
      </c>
      <c r="Z557" s="144" t="str">
        <f ca="1">IFERROR(__xludf.DUMMYFUNCTION("IF(VLOOKUP($Y557, IMPORTRANGE(""https://docs.google.com/spreadsheets/d/1WsTKRjz8_fF2119Ff9dhKIIYXSaUEHzuWr8pBkxmwQQ/edit"", ""Form Responses 1!$B:$Z""),1, FALSE)=$Y557,""Yes"",""No"")"),"#N/A")</f>
        <v>#N/A</v>
      </c>
      <c r="AA557" s="144"/>
      <c r="AB557" s="144"/>
    </row>
    <row r="558" spans="1:28">
      <c r="A558" s="140" t="s">
        <v>529</v>
      </c>
      <c r="B558" s="140" t="s">
        <v>5361</v>
      </c>
      <c r="C558" s="140" t="s">
        <v>5362</v>
      </c>
      <c r="D558" s="140" t="s">
        <v>5363</v>
      </c>
      <c r="E558" s="140" t="s">
        <v>5364</v>
      </c>
      <c r="F558" s="140" t="s">
        <v>4</v>
      </c>
      <c r="G558" s="140">
        <v>3</v>
      </c>
      <c r="H558" s="140" t="s">
        <v>24</v>
      </c>
      <c r="I558" s="140" t="s">
        <v>447</v>
      </c>
      <c r="J558" s="140" t="s">
        <v>5365</v>
      </c>
      <c r="K558" s="140">
        <v>3</v>
      </c>
      <c r="L558" s="140" t="s">
        <v>1036</v>
      </c>
      <c r="M558" s="140" t="s">
        <v>5366</v>
      </c>
      <c r="N558" s="140">
        <v>3</v>
      </c>
      <c r="O558" s="140"/>
      <c r="P558" s="140"/>
      <c r="Q558" s="140" t="s">
        <v>452</v>
      </c>
      <c r="R558" s="140" t="s">
        <v>5367</v>
      </c>
      <c r="S558" s="140"/>
      <c r="T558" s="140"/>
      <c r="U558" s="143"/>
      <c r="V558" s="143"/>
      <c r="W558" s="143"/>
      <c r="X558" s="140" t="s">
        <v>1198</v>
      </c>
      <c r="Y558" s="140" t="s">
        <v>5368</v>
      </c>
      <c r="Z558" s="140" t="str">
        <f ca="1">IFERROR(__xludf.DUMMYFUNCTION("IF(VLOOKUP($Y558, IMPORTRANGE(""https://docs.google.com/spreadsheets/d/1WsTKRjz8_fF2119Ff9dhKIIYXSaUEHzuWr8pBkxmwQQ/edit"", ""Form Responses 1!$B:$Z""),1, FALSE)=$Y558,""Yes"",""No"")"),"#N/A")</f>
        <v>#N/A</v>
      </c>
      <c r="AA558" s="140"/>
      <c r="AB558" s="140"/>
    </row>
    <row r="559" spans="1:28">
      <c r="A559" s="144" t="s">
        <v>598</v>
      </c>
      <c r="B559" s="144" t="s">
        <v>5369</v>
      </c>
      <c r="C559" s="144" t="s">
        <v>5370</v>
      </c>
      <c r="D559" s="144" t="s">
        <v>5371</v>
      </c>
      <c r="E559" s="144" t="s">
        <v>5372</v>
      </c>
      <c r="F559" s="144" t="s">
        <v>4</v>
      </c>
      <c r="G559" s="144">
        <v>3</v>
      </c>
      <c r="H559" s="144" t="s">
        <v>24</v>
      </c>
      <c r="I559" s="144" t="s">
        <v>602</v>
      </c>
      <c r="J559" s="144" t="s">
        <v>5373</v>
      </c>
      <c r="K559" s="144">
        <v>3.5</v>
      </c>
      <c r="L559" s="144" t="s">
        <v>476</v>
      </c>
      <c r="M559" s="144" t="s">
        <v>5374</v>
      </c>
      <c r="N559" s="144">
        <v>2.5</v>
      </c>
      <c r="O559" s="144" t="s">
        <v>451</v>
      </c>
      <c r="P559" s="146">
        <v>3000000</v>
      </c>
      <c r="Q559" s="144" t="s">
        <v>452</v>
      </c>
      <c r="R559" s="144" t="s">
        <v>5375</v>
      </c>
      <c r="S559" s="144"/>
      <c r="T559" s="144"/>
      <c r="U559" s="145"/>
      <c r="V559" s="145"/>
      <c r="W559" s="145"/>
      <c r="X559" s="144" t="s">
        <v>5376</v>
      </c>
      <c r="Y559" s="144" t="s">
        <v>5377</v>
      </c>
      <c r="Z559" s="144" t="str">
        <f ca="1">IFERROR(__xludf.DUMMYFUNCTION("IF(VLOOKUP($Y559, IMPORTRANGE(""https://docs.google.com/spreadsheets/d/1WsTKRjz8_fF2119Ff9dhKIIYXSaUEHzuWr8pBkxmwQQ/edit"", ""Form Responses 1!$B:$Z""),1, FALSE)=$Y559,""Yes"",""No"")"),"#N/A")</f>
        <v>#N/A</v>
      </c>
      <c r="AA559" s="144"/>
      <c r="AB559" s="144"/>
    </row>
    <row r="560" spans="1:28">
      <c r="A560" s="140" t="s">
        <v>529</v>
      </c>
      <c r="B560" s="140" t="s">
        <v>5378</v>
      </c>
      <c r="C560" s="140" t="s">
        <v>5379</v>
      </c>
      <c r="D560" s="140" t="s">
        <v>5380</v>
      </c>
      <c r="E560" s="140" t="s">
        <v>5381</v>
      </c>
      <c r="F560" s="140" t="s">
        <v>4</v>
      </c>
      <c r="G560" s="140">
        <v>3</v>
      </c>
      <c r="H560" s="140" t="s">
        <v>24</v>
      </c>
      <c r="I560" s="140" t="s">
        <v>727</v>
      </c>
      <c r="J560" s="140" t="s">
        <v>5382</v>
      </c>
      <c r="K560" s="140">
        <v>3</v>
      </c>
      <c r="L560" s="140" t="s">
        <v>1036</v>
      </c>
      <c r="M560" s="140"/>
      <c r="N560" s="140">
        <v>3</v>
      </c>
      <c r="O560" s="140" t="s">
        <v>451</v>
      </c>
      <c r="P560" s="140">
        <v>4000000</v>
      </c>
      <c r="Q560" s="140" t="s">
        <v>465</v>
      </c>
      <c r="R560" s="140" t="s">
        <v>3420</v>
      </c>
      <c r="S560" s="140"/>
      <c r="T560" s="140"/>
      <c r="U560" s="143"/>
      <c r="V560" s="143"/>
      <c r="W560" s="143"/>
      <c r="X560" s="140" t="s">
        <v>5383</v>
      </c>
      <c r="Y560" s="140" t="s">
        <v>5384</v>
      </c>
      <c r="Z560" s="140" t="str">
        <f ca="1">IFERROR(__xludf.DUMMYFUNCTION("IF(VLOOKUP($Y560, IMPORTRANGE(""https://docs.google.com/spreadsheets/d/1WsTKRjz8_fF2119Ff9dhKIIYXSaUEHzuWr8pBkxmwQQ/edit"", ""Form Responses 1!$B:$Z""),1, FALSE)=$Y560,""Yes"",""No"")"),"#N/A")</f>
        <v>#N/A</v>
      </c>
      <c r="AA560" s="140"/>
      <c r="AB560" s="140"/>
    </row>
    <row r="561" spans="1:28">
      <c r="A561" s="144" t="s">
        <v>529</v>
      </c>
      <c r="B561" s="144" t="s">
        <v>5385</v>
      </c>
      <c r="C561" s="144" t="s">
        <v>5386</v>
      </c>
      <c r="D561" s="144" t="s">
        <v>5387</v>
      </c>
      <c r="E561" s="144" t="s">
        <v>5388</v>
      </c>
      <c r="F561" s="144" t="s">
        <v>4</v>
      </c>
      <c r="G561" s="144">
        <v>3</v>
      </c>
      <c r="H561" s="144" t="s">
        <v>24</v>
      </c>
      <c r="I561" s="144" t="s">
        <v>1457</v>
      </c>
      <c r="J561" s="144" t="s">
        <v>5389</v>
      </c>
      <c r="K561" s="144">
        <v>4</v>
      </c>
      <c r="L561" s="144" t="s">
        <v>1036</v>
      </c>
      <c r="M561" s="144" t="s">
        <v>5390</v>
      </c>
      <c r="N561" s="144">
        <v>2</v>
      </c>
      <c r="O561" s="144"/>
      <c r="P561" s="144"/>
      <c r="Q561" s="144" t="s">
        <v>452</v>
      </c>
      <c r="R561" s="144" t="s">
        <v>452</v>
      </c>
      <c r="S561" s="144"/>
      <c r="T561" s="144"/>
      <c r="U561" s="145"/>
      <c r="V561" s="145"/>
      <c r="W561" s="145"/>
      <c r="X561" s="144" t="s">
        <v>5391</v>
      </c>
      <c r="Y561" s="144" t="s">
        <v>5392</v>
      </c>
      <c r="Z561" s="144" t="str">
        <f ca="1">IFERROR(__xludf.DUMMYFUNCTION("IF(VLOOKUP($Y561, IMPORTRANGE(""https://docs.google.com/spreadsheets/d/1WsTKRjz8_fF2119Ff9dhKIIYXSaUEHzuWr8pBkxmwQQ/edit"", ""Form Responses 1!$B:$Z""),1, FALSE)=$Y561,""Yes"",""No"")"),"#N/A")</f>
        <v>#N/A</v>
      </c>
      <c r="AA561" s="144"/>
      <c r="AB561" s="144"/>
    </row>
    <row r="562" spans="1:28">
      <c r="A562" s="140" t="s">
        <v>529</v>
      </c>
      <c r="B562" s="140" t="s">
        <v>5393</v>
      </c>
      <c r="C562" s="140" t="s">
        <v>5394</v>
      </c>
      <c r="D562" s="140" t="s">
        <v>5395</v>
      </c>
      <c r="E562" s="140" t="s">
        <v>5396</v>
      </c>
      <c r="F562" s="140" t="s">
        <v>4</v>
      </c>
      <c r="G562" s="140">
        <v>3</v>
      </c>
      <c r="H562" s="140" t="s">
        <v>24</v>
      </c>
      <c r="I562" s="140" t="s">
        <v>725</v>
      </c>
      <c r="J562" s="140" t="s">
        <v>5397</v>
      </c>
      <c r="K562" s="140">
        <v>3</v>
      </c>
      <c r="L562" s="140" t="s">
        <v>1073</v>
      </c>
      <c r="M562" s="140" t="s">
        <v>5398</v>
      </c>
      <c r="N562" s="140">
        <v>3</v>
      </c>
      <c r="O562" s="140" t="s">
        <v>478</v>
      </c>
      <c r="P562" s="148">
        <v>10000000</v>
      </c>
      <c r="Q562" s="140" t="s">
        <v>452</v>
      </c>
      <c r="R562" s="140" t="s">
        <v>5399</v>
      </c>
      <c r="S562" s="140"/>
      <c r="T562" s="140"/>
      <c r="U562" s="143"/>
      <c r="V562" s="143"/>
      <c r="W562" s="143"/>
      <c r="X562" s="140" t="s">
        <v>5400</v>
      </c>
      <c r="Y562" s="140" t="s">
        <v>5401</v>
      </c>
      <c r="Z562" s="140" t="str">
        <f ca="1">IFERROR(__xludf.DUMMYFUNCTION("IF(VLOOKUP($Y562, IMPORTRANGE(""https://docs.google.com/spreadsheets/d/1WsTKRjz8_fF2119Ff9dhKIIYXSaUEHzuWr8pBkxmwQQ/edit"", ""Form Responses 1!$B:$Z""),1, FALSE)=$Y562,""Yes"",""No"")"),"#N/A")</f>
        <v>#N/A</v>
      </c>
      <c r="AA562" s="140"/>
      <c r="AB562" s="140"/>
    </row>
    <row r="563" spans="1:28">
      <c r="A563" s="144" t="s">
        <v>529</v>
      </c>
      <c r="B563" s="144" t="s">
        <v>5402</v>
      </c>
      <c r="C563" s="144" t="s">
        <v>5403</v>
      </c>
      <c r="D563" s="144" t="s">
        <v>5404</v>
      </c>
      <c r="E563" s="144" t="s">
        <v>5405</v>
      </c>
      <c r="F563" s="144" t="s">
        <v>4</v>
      </c>
      <c r="G563" s="144">
        <v>3</v>
      </c>
      <c r="H563" s="144" t="s">
        <v>24</v>
      </c>
      <c r="I563" s="144" t="s">
        <v>1457</v>
      </c>
      <c r="J563" s="144" t="s">
        <v>5406</v>
      </c>
      <c r="K563" s="144">
        <v>4</v>
      </c>
      <c r="L563" s="144" t="s">
        <v>1054</v>
      </c>
      <c r="M563" s="144" t="s">
        <v>5407</v>
      </c>
      <c r="N563" s="144">
        <v>2</v>
      </c>
      <c r="O563" s="144" t="s">
        <v>478</v>
      </c>
      <c r="P563" s="144" t="s">
        <v>5408</v>
      </c>
      <c r="Q563" s="144" t="s">
        <v>452</v>
      </c>
      <c r="R563" s="144" t="s">
        <v>5409</v>
      </c>
      <c r="S563" s="144" t="s">
        <v>602</v>
      </c>
      <c r="T563" s="144"/>
      <c r="U563" s="145"/>
      <c r="V563" s="145"/>
      <c r="W563" s="145"/>
      <c r="X563" s="144" t="s">
        <v>5410</v>
      </c>
      <c r="Y563" s="144" t="s">
        <v>5411</v>
      </c>
      <c r="Z563" s="144" t="str">
        <f ca="1">IFERROR(__xludf.DUMMYFUNCTION("IF(VLOOKUP($Y563, IMPORTRANGE(""https://docs.google.com/spreadsheets/d/1WsTKRjz8_fF2119Ff9dhKIIYXSaUEHzuWr8pBkxmwQQ/edit"", ""Form Responses 1!$B:$Z""),1, FALSE)=$Y563,""Yes"",""No"")"),"#N/A")</f>
        <v>#N/A</v>
      </c>
      <c r="AA563" s="144"/>
      <c r="AB563" s="144"/>
    </row>
    <row r="564" spans="1:28">
      <c r="A564" s="140" t="s">
        <v>529</v>
      </c>
      <c r="B564" s="140" t="s">
        <v>5412</v>
      </c>
      <c r="C564" s="140" t="s">
        <v>5413</v>
      </c>
      <c r="D564" s="140" t="s">
        <v>5414</v>
      </c>
      <c r="E564" s="140" t="s">
        <v>5415</v>
      </c>
      <c r="F564" s="140" t="s">
        <v>4</v>
      </c>
      <c r="G564" s="140">
        <v>3</v>
      </c>
      <c r="H564" s="140" t="s">
        <v>24</v>
      </c>
      <c r="I564" s="140" t="s">
        <v>727</v>
      </c>
      <c r="J564" s="140" t="s">
        <v>5416</v>
      </c>
      <c r="K564" s="140">
        <v>3</v>
      </c>
      <c r="L564" s="140" t="s">
        <v>1073</v>
      </c>
      <c r="M564" s="140"/>
      <c r="N564" s="140">
        <v>3</v>
      </c>
      <c r="O564" s="140" t="s">
        <v>451</v>
      </c>
      <c r="P564" s="140" t="s">
        <v>3473</v>
      </c>
      <c r="Q564" s="140" t="s">
        <v>465</v>
      </c>
      <c r="R564" s="140" t="s">
        <v>5417</v>
      </c>
      <c r="S564" s="140"/>
      <c r="T564" s="140"/>
      <c r="U564" s="143"/>
      <c r="V564" s="143"/>
      <c r="W564" s="143"/>
      <c r="X564" s="140" t="s">
        <v>5418</v>
      </c>
      <c r="Y564" s="140" t="s">
        <v>5419</v>
      </c>
      <c r="Z564" s="140" t="str">
        <f ca="1">IFERROR(__xludf.DUMMYFUNCTION("IF(VLOOKUP($Y564, IMPORTRANGE(""https://docs.google.com/spreadsheets/d/1WsTKRjz8_fF2119Ff9dhKIIYXSaUEHzuWr8pBkxmwQQ/edit"", ""Form Responses 1!$B:$Z""),1, FALSE)=$Y564,""Yes"",""No"")"),"#N/A")</f>
        <v>#N/A</v>
      </c>
      <c r="AA564" s="140"/>
      <c r="AB564" s="140"/>
    </row>
    <row r="565" spans="1:28">
      <c r="A565" s="144" t="s">
        <v>529</v>
      </c>
      <c r="B565" s="144" t="s">
        <v>5420</v>
      </c>
      <c r="C565" s="144" t="s">
        <v>5421</v>
      </c>
      <c r="D565" s="144" t="s">
        <v>5422</v>
      </c>
      <c r="E565" s="144" t="s">
        <v>5423</v>
      </c>
      <c r="F565" s="144" t="s">
        <v>4</v>
      </c>
      <c r="G565" s="144">
        <v>3</v>
      </c>
      <c r="H565" s="144" t="s">
        <v>24</v>
      </c>
      <c r="I565" s="144" t="s">
        <v>725</v>
      </c>
      <c r="J565" s="144" t="s">
        <v>5424</v>
      </c>
      <c r="K565" s="144">
        <v>3</v>
      </c>
      <c r="L565" s="144" t="s">
        <v>1073</v>
      </c>
      <c r="M565" s="144"/>
      <c r="N565" s="144">
        <v>3</v>
      </c>
      <c r="O565" s="144" t="s">
        <v>451</v>
      </c>
      <c r="P565" s="144">
        <v>1000000</v>
      </c>
      <c r="Q565" s="144" t="s">
        <v>452</v>
      </c>
      <c r="R565" s="144" t="s">
        <v>5425</v>
      </c>
      <c r="S565" s="144"/>
      <c r="T565" s="144"/>
      <c r="U565" s="145"/>
      <c r="V565" s="145"/>
      <c r="W565" s="145"/>
      <c r="X565" s="144" t="s">
        <v>1198</v>
      </c>
      <c r="Y565" s="144" t="s">
        <v>5426</v>
      </c>
      <c r="Z565" s="144" t="str">
        <f ca="1">IFERROR(__xludf.DUMMYFUNCTION("IF(VLOOKUP($Y565, IMPORTRANGE(""https://docs.google.com/spreadsheets/d/1WsTKRjz8_fF2119Ff9dhKIIYXSaUEHzuWr8pBkxmwQQ/edit"", ""Form Responses 1!$B:$Z""),1, FALSE)=$Y565,""Yes"",""No"")"),"#N/A")</f>
        <v>#N/A</v>
      </c>
      <c r="AA565" s="144"/>
      <c r="AB565" s="144"/>
    </row>
    <row r="566" spans="1:28">
      <c r="A566" s="140" t="s">
        <v>529</v>
      </c>
      <c r="B566" s="140" t="s">
        <v>5427</v>
      </c>
      <c r="C566" s="140" t="s">
        <v>5428</v>
      </c>
      <c r="D566" s="140" t="s">
        <v>5429</v>
      </c>
      <c r="E566" s="140" t="s">
        <v>5430</v>
      </c>
      <c r="F566" s="140" t="s">
        <v>4</v>
      </c>
      <c r="G566" s="140">
        <v>3</v>
      </c>
      <c r="H566" s="140" t="s">
        <v>24</v>
      </c>
      <c r="I566" s="140" t="s">
        <v>725</v>
      </c>
      <c r="J566" s="140" t="s">
        <v>5431</v>
      </c>
      <c r="K566" s="140">
        <v>4</v>
      </c>
      <c r="L566" s="140" t="s">
        <v>1045</v>
      </c>
      <c r="M566" s="140" t="s">
        <v>5432</v>
      </c>
      <c r="N566" s="140">
        <v>2</v>
      </c>
      <c r="O566" s="140" t="s">
        <v>451</v>
      </c>
      <c r="P566" s="148">
        <v>2500000</v>
      </c>
      <c r="Q566" s="140" t="s">
        <v>465</v>
      </c>
      <c r="R566" s="140" t="s">
        <v>5433</v>
      </c>
      <c r="S566" s="140"/>
      <c r="T566" s="140"/>
      <c r="U566" s="143"/>
      <c r="V566" s="143"/>
      <c r="W566" s="143"/>
      <c r="X566" s="140" t="s">
        <v>1020</v>
      </c>
      <c r="Y566" s="140" t="s">
        <v>5434</v>
      </c>
      <c r="Z566" s="140" t="str">
        <f ca="1">IFERROR(__xludf.DUMMYFUNCTION("IF(VLOOKUP($Y566, IMPORTRANGE(""https://docs.google.com/spreadsheets/d/1WsTKRjz8_fF2119Ff9dhKIIYXSaUEHzuWr8pBkxmwQQ/edit"", ""Form Responses 1!$B:$Z""),1, FALSE)=$Y566,""Yes"",""No"")"),"#N/A")</f>
        <v>#N/A</v>
      </c>
      <c r="AA566" s="140"/>
      <c r="AB566" s="140"/>
    </row>
    <row r="567" spans="1:28">
      <c r="A567" s="144" t="s">
        <v>529</v>
      </c>
      <c r="B567" s="144" t="s">
        <v>5435</v>
      </c>
      <c r="C567" s="144" t="s">
        <v>5436</v>
      </c>
      <c r="D567" s="144" t="s">
        <v>5437</v>
      </c>
      <c r="E567" s="144" t="s">
        <v>5438</v>
      </c>
      <c r="F567" s="144" t="s">
        <v>4</v>
      </c>
      <c r="G567" s="144">
        <v>3</v>
      </c>
      <c r="H567" s="144" t="s">
        <v>24</v>
      </c>
      <c r="I567" s="144" t="s">
        <v>1045</v>
      </c>
      <c r="J567" s="144" t="s">
        <v>5439</v>
      </c>
      <c r="K567" s="144">
        <v>3</v>
      </c>
      <c r="L567" s="144" t="s">
        <v>1073</v>
      </c>
      <c r="M567" s="144"/>
      <c r="N567" s="144">
        <v>3</v>
      </c>
      <c r="O567" s="144"/>
      <c r="P567" s="144"/>
      <c r="Q567" s="144" t="s">
        <v>452</v>
      </c>
      <c r="R567" s="144" t="s">
        <v>452</v>
      </c>
      <c r="S567" s="144"/>
      <c r="T567" s="144"/>
      <c r="U567" s="145"/>
      <c r="V567" s="145"/>
      <c r="W567" s="145"/>
      <c r="X567" s="144" t="s">
        <v>5440</v>
      </c>
      <c r="Y567" s="144" t="s">
        <v>5441</v>
      </c>
      <c r="Z567" s="144" t="str">
        <f ca="1">IFERROR(__xludf.DUMMYFUNCTION("IF(VLOOKUP($Y567, IMPORTRANGE(""https://docs.google.com/spreadsheets/d/1WsTKRjz8_fF2119Ff9dhKIIYXSaUEHzuWr8pBkxmwQQ/edit"", ""Form Responses 1!$B:$Z""),1, FALSE)=$Y567,""Yes"",""No"")"),"#N/A")</f>
        <v>#N/A</v>
      </c>
      <c r="AA567" s="144"/>
      <c r="AB567" s="144"/>
    </row>
    <row r="568" spans="1:28">
      <c r="A568" s="140" t="s">
        <v>529</v>
      </c>
      <c r="B568" s="140" t="s">
        <v>5442</v>
      </c>
      <c r="C568" s="140" t="s">
        <v>5443</v>
      </c>
      <c r="D568" s="140" t="s">
        <v>5444</v>
      </c>
      <c r="E568" s="140" t="s">
        <v>5445</v>
      </c>
      <c r="F568" s="140" t="s">
        <v>4</v>
      </c>
      <c r="G568" s="140">
        <v>3</v>
      </c>
      <c r="H568" s="140" t="s">
        <v>24</v>
      </c>
      <c r="I568" s="140" t="s">
        <v>1045</v>
      </c>
      <c r="J568" s="140" t="s">
        <v>5446</v>
      </c>
      <c r="K568" s="140">
        <v>3</v>
      </c>
      <c r="L568" s="140" t="s">
        <v>604</v>
      </c>
      <c r="M568" s="140" t="s">
        <v>5447</v>
      </c>
      <c r="N568" s="140">
        <v>3</v>
      </c>
      <c r="O568" s="140"/>
      <c r="P568" s="140">
        <v>700000</v>
      </c>
      <c r="Q568" s="140" t="s">
        <v>452</v>
      </c>
      <c r="R568" s="140" t="s">
        <v>5448</v>
      </c>
      <c r="S568" s="140"/>
      <c r="T568" s="140"/>
      <c r="U568" s="143"/>
      <c r="V568" s="143"/>
      <c r="W568" s="143"/>
      <c r="X568" s="140" t="s">
        <v>5449</v>
      </c>
      <c r="Y568" s="140" t="s">
        <v>5450</v>
      </c>
      <c r="Z568" s="140" t="str">
        <f ca="1">IFERROR(__xludf.DUMMYFUNCTION("IF(VLOOKUP($Y568, IMPORTRANGE(""https://docs.google.com/spreadsheets/d/1WsTKRjz8_fF2119Ff9dhKIIYXSaUEHzuWr8pBkxmwQQ/edit"", ""Form Responses 1!$B:$Z""),1, FALSE)=$Y568,""Yes"",""No"")"),"#N/A")</f>
        <v>#N/A</v>
      </c>
      <c r="AA568" s="140"/>
      <c r="AB568" s="140"/>
    </row>
    <row r="569" spans="1:28">
      <c r="A569" s="144" t="s">
        <v>529</v>
      </c>
      <c r="B569" s="144" t="s">
        <v>5451</v>
      </c>
      <c r="C569" s="144" t="s">
        <v>5452</v>
      </c>
      <c r="D569" s="144" t="s">
        <v>5453</v>
      </c>
      <c r="E569" s="144" t="s">
        <v>5454</v>
      </c>
      <c r="F569" s="144" t="s">
        <v>4</v>
      </c>
      <c r="G569" s="144">
        <v>3</v>
      </c>
      <c r="H569" s="144" t="s">
        <v>24</v>
      </c>
      <c r="I569" s="144" t="s">
        <v>602</v>
      </c>
      <c r="J569" s="144" t="s">
        <v>5455</v>
      </c>
      <c r="K569" s="144">
        <v>2</v>
      </c>
      <c r="L569" s="144" t="s">
        <v>604</v>
      </c>
      <c r="M569" s="144" t="s">
        <v>5456</v>
      </c>
      <c r="N569" s="144">
        <v>4</v>
      </c>
      <c r="O569" s="144" t="s">
        <v>478</v>
      </c>
      <c r="P569" s="147">
        <v>5000000</v>
      </c>
      <c r="Q569" s="144" t="s">
        <v>452</v>
      </c>
      <c r="R569" s="144" t="s">
        <v>452</v>
      </c>
      <c r="S569" s="144"/>
      <c r="T569" s="144"/>
      <c r="U569" s="145"/>
      <c r="V569" s="145"/>
      <c r="W569" s="145"/>
      <c r="X569" s="144" t="s">
        <v>501</v>
      </c>
      <c r="Y569" s="144" t="s">
        <v>5457</v>
      </c>
      <c r="Z569" s="144" t="str">
        <f ca="1">IFERROR(__xludf.DUMMYFUNCTION("IF(VLOOKUP($Y569, IMPORTRANGE(""https://docs.google.com/spreadsheets/d/1WsTKRjz8_fF2119Ff9dhKIIYXSaUEHzuWr8pBkxmwQQ/edit"", ""Form Responses 1!$B:$Z""),1, FALSE)=$Y569,""Yes"",""No"")"),"#N/A")</f>
        <v>#N/A</v>
      </c>
      <c r="AA569" s="144"/>
      <c r="AB569" s="144"/>
    </row>
    <row r="570" spans="1:28">
      <c r="A570" s="140" t="s">
        <v>529</v>
      </c>
      <c r="B570" s="140" t="s">
        <v>5458</v>
      </c>
      <c r="C570" s="140" t="s">
        <v>5459</v>
      </c>
      <c r="D570" s="140" t="s">
        <v>5460</v>
      </c>
      <c r="E570" s="140" t="s">
        <v>5461</v>
      </c>
      <c r="F570" s="140" t="s">
        <v>4</v>
      </c>
      <c r="G570" s="140">
        <v>3</v>
      </c>
      <c r="H570" s="140" t="s">
        <v>24</v>
      </c>
      <c r="I570" s="140" t="s">
        <v>1045</v>
      </c>
      <c r="J570" s="140" t="s">
        <v>5462</v>
      </c>
      <c r="K570" s="140">
        <v>3</v>
      </c>
      <c r="L570" s="140" t="s">
        <v>604</v>
      </c>
      <c r="M570" s="140" t="s">
        <v>5463</v>
      </c>
      <c r="N570" s="140">
        <v>3</v>
      </c>
      <c r="O570" s="140" t="s">
        <v>784</v>
      </c>
      <c r="P570" s="148">
        <v>2000000</v>
      </c>
      <c r="Q570" s="140" t="s">
        <v>452</v>
      </c>
      <c r="R570" s="140" t="s">
        <v>5464</v>
      </c>
      <c r="S570" s="140" t="s">
        <v>5465</v>
      </c>
      <c r="T570" s="140"/>
      <c r="U570" s="143"/>
      <c r="V570" s="143"/>
      <c r="W570" s="143"/>
      <c r="X570" s="140" t="s">
        <v>5466</v>
      </c>
      <c r="Y570" s="140" t="s">
        <v>5467</v>
      </c>
      <c r="Z570" s="140" t="str">
        <f ca="1">IFERROR(__xludf.DUMMYFUNCTION("IF(VLOOKUP($Y570, IMPORTRANGE(""https://docs.google.com/spreadsheets/d/1WsTKRjz8_fF2119Ff9dhKIIYXSaUEHzuWr8pBkxmwQQ/edit"", ""Form Responses 1!$B:$Z""),1, FALSE)=$Y570,""Yes"",""No"")"),"#N/A")</f>
        <v>#N/A</v>
      </c>
      <c r="AA570" s="140"/>
      <c r="AB570" s="140"/>
    </row>
    <row r="571" spans="1:28">
      <c r="A571" s="144" t="s">
        <v>598</v>
      </c>
      <c r="B571" s="144" t="s">
        <v>5468</v>
      </c>
      <c r="C571" s="144" t="s">
        <v>5469</v>
      </c>
      <c r="D571" s="144" t="s">
        <v>5470</v>
      </c>
      <c r="E571" s="144" t="s">
        <v>5471</v>
      </c>
      <c r="F571" s="144" t="s">
        <v>4</v>
      </c>
      <c r="G571" s="144">
        <v>3</v>
      </c>
      <c r="H571" s="144" t="s">
        <v>24</v>
      </c>
      <c r="I571" s="144" t="s">
        <v>725</v>
      </c>
      <c r="J571" s="144"/>
      <c r="K571" s="144">
        <v>3</v>
      </c>
      <c r="L571" s="144" t="s">
        <v>1045</v>
      </c>
      <c r="M571" s="144" t="s">
        <v>5472</v>
      </c>
      <c r="N571" s="144">
        <v>3</v>
      </c>
      <c r="O571" s="144" t="s">
        <v>784</v>
      </c>
      <c r="P571" s="144">
        <v>300000</v>
      </c>
      <c r="Q571" s="144" t="s">
        <v>452</v>
      </c>
      <c r="R571" s="144" t="s">
        <v>5473</v>
      </c>
      <c r="S571" s="144"/>
      <c r="T571" s="144"/>
      <c r="U571" s="145"/>
      <c r="V571" s="145"/>
      <c r="W571" s="145"/>
      <c r="X571" s="144" t="s">
        <v>5474</v>
      </c>
      <c r="Y571" s="144" t="s">
        <v>5475</v>
      </c>
      <c r="Z571" s="144" t="str">
        <f ca="1">IFERROR(__xludf.DUMMYFUNCTION("IF(VLOOKUP($Y571, IMPORTRANGE(""https://docs.google.com/spreadsheets/d/1WsTKRjz8_fF2119Ff9dhKIIYXSaUEHzuWr8pBkxmwQQ/edit"", ""Form Responses 1!$B:$Z""),1, FALSE)=$Y571,""Yes"",""No"")"),"#N/A")</f>
        <v>#N/A</v>
      </c>
      <c r="AA571" s="144"/>
      <c r="AB571" s="144"/>
    </row>
    <row r="572" spans="1:28">
      <c r="A572" s="140" t="s">
        <v>598</v>
      </c>
      <c r="B572" s="140" t="s">
        <v>5476</v>
      </c>
      <c r="C572" s="140" t="s">
        <v>5477</v>
      </c>
      <c r="D572" s="140" t="s">
        <v>5478</v>
      </c>
      <c r="E572" s="140" t="s">
        <v>5479</v>
      </c>
      <c r="F572" s="140" t="s">
        <v>4</v>
      </c>
      <c r="G572" s="140">
        <v>3</v>
      </c>
      <c r="H572" s="140" t="s">
        <v>24</v>
      </c>
      <c r="I572" s="140" t="s">
        <v>727</v>
      </c>
      <c r="J572" s="140" t="s">
        <v>5480</v>
      </c>
      <c r="K572" s="140">
        <v>3</v>
      </c>
      <c r="L572" s="140" t="s">
        <v>604</v>
      </c>
      <c r="M572" s="140" t="s">
        <v>5481</v>
      </c>
      <c r="N572" s="140">
        <v>3</v>
      </c>
      <c r="O572" s="140"/>
      <c r="P572" s="140"/>
      <c r="Q572" s="140" t="s">
        <v>452</v>
      </c>
      <c r="R572" s="140" t="s">
        <v>5482</v>
      </c>
      <c r="S572" s="140" t="s">
        <v>5483</v>
      </c>
      <c r="T572" s="140"/>
      <c r="U572" s="143"/>
      <c r="V572" s="143"/>
      <c r="W572" s="143"/>
      <c r="X572" s="140" t="s">
        <v>5484</v>
      </c>
      <c r="Y572" s="140" t="s">
        <v>5485</v>
      </c>
      <c r="Z572" s="140" t="str">
        <f ca="1">IFERROR(__xludf.DUMMYFUNCTION("IF(VLOOKUP($Y572, IMPORTRANGE(""https://docs.google.com/spreadsheets/d/1WsTKRjz8_fF2119Ff9dhKIIYXSaUEHzuWr8pBkxmwQQ/edit"", ""Form Responses 1!$B:$Z""),1, FALSE)=$Y572,""Yes"",""No"")"),"#N/A")</f>
        <v>#N/A</v>
      </c>
      <c r="AA572" s="140"/>
      <c r="AB572" s="140"/>
    </row>
    <row r="573" spans="1:28">
      <c r="A573" s="144" t="s">
        <v>907</v>
      </c>
      <c r="B573" s="144" t="s">
        <v>5486</v>
      </c>
      <c r="C573" s="144" t="s">
        <v>5487</v>
      </c>
      <c r="D573" s="144" t="s">
        <v>5488</v>
      </c>
      <c r="E573" s="144" t="s">
        <v>5489</v>
      </c>
      <c r="F573" s="144" t="s">
        <v>4</v>
      </c>
      <c r="G573" s="144">
        <v>3</v>
      </c>
      <c r="H573" s="144" t="s">
        <v>24</v>
      </c>
      <c r="I573" s="144" t="s">
        <v>602</v>
      </c>
      <c r="J573" s="144" t="s">
        <v>5490</v>
      </c>
      <c r="K573" s="144">
        <v>3</v>
      </c>
      <c r="L573" s="144" t="s">
        <v>604</v>
      </c>
      <c r="M573" s="144" t="s">
        <v>5491</v>
      </c>
      <c r="N573" s="144">
        <v>3</v>
      </c>
      <c r="O573" s="144" t="s">
        <v>451</v>
      </c>
      <c r="P573" s="147">
        <v>500000</v>
      </c>
      <c r="Q573" s="144" t="s">
        <v>454</v>
      </c>
      <c r="R573" s="144" t="s">
        <v>5492</v>
      </c>
      <c r="S573" s="144" t="s">
        <v>727</v>
      </c>
      <c r="T573" s="144"/>
      <c r="U573" s="145"/>
      <c r="V573" s="145"/>
      <c r="W573" s="145"/>
      <c r="X573" s="144" t="s">
        <v>5493</v>
      </c>
      <c r="Y573" s="144" t="s">
        <v>5494</v>
      </c>
      <c r="Z573" s="144" t="str">
        <f ca="1">IFERROR(__xludf.DUMMYFUNCTION("IF(VLOOKUP($Y573, IMPORTRANGE(""https://docs.google.com/spreadsheets/d/1WsTKRjz8_fF2119Ff9dhKIIYXSaUEHzuWr8pBkxmwQQ/edit"", ""Form Responses 1!$B:$Z""),1, FALSE)=$Y573,""Yes"",""No"")"),"#N/A")</f>
        <v>#N/A</v>
      </c>
      <c r="AA573" s="144"/>
      <c r="AB573" s="144"/>
    </row>
    <row r="574" spans="1:28">
      <c r="A574" s="140" t="s">
        <v>598</v>
      </c>
      <c r="B574" s="140" t="s">
        <v>5495</v>
      </c>
      <c r="C574" s="140" t="s">
        <v>5496</v>
      </c>
      <c r="D574" s="140" t="s">
        <v>5497</v>
      </c>
      <c r="E574" s="140" t="s">
        <v>5498</v>
      </c>
      <c r="F574" s="140" t="s">
        <v>4</v>
      </c>
      <c r="G574" s="140">
        <v>3</v>
      </c>
      <c r="H574" s="140" t="s">
        <v>24</v>
      </c>
      <c r="I574" s="140" t="s">
        <v>602</v>
      </c>
      <c r="J574" s="140" t="s">
        <v>5499</v>
      </c>
      <c r="K574" s="140">
        <v>3</v>
      </c>
      <c r="L574" s="140" t="s">
        <v>604</v>
      </c>
      <c r="M574" s="140" t="s">
        <v>5500</v>
      </c>
      <c r="N574" s="140">
        <v>3</v>
      </c>
      <c r="O574" s="140"/>
      <c r="P574" s="140"/>
      <c r="Q574" s="140" t="s">
        <v>452</v>
      </c>
      <c r="R574" s="140" t="s">
        <v>575</v>
      </c>
      <c r="S574" s="140"/>
      <c r="T574" s="140"/>
      <c r="U574" s="143"/>
      <c r="V574" s="143"/>
      <c r="W574" s="143"/>
      <c r="X574" s="140" t="s">
        <v>5501</v>
      </c>
      <c r="Y574" s="140" t="s">
        <v>5502</v>
      </c>
      <c r="Z574" s="140" t="str">
        <f ca="1">IFERROR(__xludf.DUMMYFUNCTION("IF(VLOOKUP($Y574, IMPORTRANGE(""https://docs.google.com/spreadsheets/d/1WsTKRjz8_fF2119Ff9dhKIIYXSaUEHzuWr8pBkxmwQQ/edit"", ""Form Responses 1!$B:$Z""),1, FALSE)=$Y574,""Yes"",""No"")"),"#N/A")</f>
        <v>#N/A</v>
      </c>
      <c r="AA574" s="140"/>
      <c r="AB574" s="140"/>
    </row>
    <row r="575" spans="1:28">
      <c r="A575" s="144" t="s">
        <v>484</v>
      </c>
      <c r="B575" s="144" t="s">
        <v>5503</v>
      </c>
      <c r="C575" s="144" t="s">
        <v>5504</v>
      </c>
      <c r="D575" s="144" t="s">
        <v>5505</v>
      </c>
      <c r="E575" s="144" t="s">
        <v>5506</v>
      </c>
      <c r="F575" s="144" t="s">
        <v>4</v>
      </c>
      <c r="G575" s="144">
        <v>3</v>
      </c>
      <c r="H575" s="144" t="s">
        <v>24</v>
      </c>
      <c r="I575" s="144" t="s">
        <v>727</v>
      </c>
      <c r="J575" s="144"/>
      <c r="K575" s="144">
        <v>3</v>
      </c>
      <c r="L575" s="144" t="s">
        <v>1054</v>
      </c>
      <c r="M575" s="144" t="s">
        <v>5507</v>
      </c>
      <c r="N575" s="144">
        <v>3</v>
      </c>
      <c r="O575" s="144" t="s">
        <v>451</v>
      </c>
      <c r="P575" s="144" t="s">
        <v>5508</v>
      </c>
      <c r="Q575" s="144" t="s">
        <v>452</v>
      </c>
      <c r="R575" s="144" t="s">
        <v>5509</v>
      </c>
      <c r="S575" s="144"/>
      <c r="T575" s="144"/>
      <c r="U575" s="145"/>
      <c r="V575" s="145"/>
      <c r="W575" s="145"/>
      <c r="X575" s="144" t="s">
        <v>5510</v>
      </c>
      <c r="Y575" s="144" t="s">
        <v>5511</v>
      </c>
      <c r="Z575" s="144" t="str">
        <f ca="1">IFERROR(__xludf.DUMMYFUNCTION("IF(VLOOKUP($Y575, IMPORTRANGE(""https://docs.google.com/spreadsheets/d/1WsTKRjz8_fF2119Ff9dhKIIYXSaUEHzuWr8pBkxmwQQ/edit"", ""Form Responses 1!$B:$Z""),1, FALSE)=$Y575,""Yes"",""No"")"),"#N/A")</f>
        <v>#N/A</v>
      </c>
      <c r="AA575" s="144"/>
      <c r="AB575" s="144"/>
    </row>
    <row r="576" spans="1:28">
      <c r="A576" s="140" t="s">
        <v>598</v>
      </c>
      <c r="B576" s="140" t="s">
        <v>5512</v>
      </c>
      <c r="C576" s="140" t="s">
        <v>5513</v>
      </c>
      <c r="D576" s="140" t="s">
        <v>5514</v>
      </c>
      <c r="E576" s="140" t="s">
        <v>5515</v>
      </c>
      <c r="F576" s="140" t="s">
        <v>4</v>
      </c>
      <c r="G576" s="140">
        <v>3</v>
      </c>
      <c r="H576" s="140" t="s">
        <v>24</v>
      </c>
      <c r="I576" s="140" t="s">
        <v>727</v>
      </c>
      <c r="J576" s="140" t="s">
        <v>5516</v>
      </c>
      <c r="K576" s="140">
        <v>3</v>
      </c>
      <c r="L576" s="140" t="s">
        <v>604</v>
      </c>
      <c r="M576" s="140" t="s">
        <v>5517</v>
      </c>
      <c r="N576" s="140">
        <v>3</v>
      </c>
      <c r="O576" s="140" t="s">
        <v>451</v>
      </c>
      <c r="P576" s="142">
        <v>3500000</v>
      </c>
      <c r="Q576" s="140" t="s">
        <v>452</v>
      </c>
      <c r="R576" s="140" t="s">
        <v>5518</v>
      </c>
      <c r="S576" s="140"/>
      <c r="T576" s="140"/>
      <c r="U576" s="143"/>
      <c r="V576" s="143"/>
      <c r="W576" s="143"/>
      <c r="X576" s="140" t="s">
        <v>5519</v>
      </c>
      <c r="Y576" s="140" t="s">
        <v>5520</v>
      </c>
      <c r="Z576" s="140" t="str">
        <f ca="1">IFERROR(__xludf.DUMMYFUNCTION("IF(VLOOKUP($Y576, IMPORTRANGE(""https://docs.google.com/spreadsheets/d/1WsTKRjz8_fF2119Ff9dhKIIYXSaUEHzuWr8pBkxmwQQ/edit"", ""Form Responses 1!$B:$Z""),1, FALSE)=$Y576,""Yes"",""No"")"),"#N/A")</f>
        <v>#N/A</v>
      </c>
      <c r="AA576" s="140"/>
      <c r="AB576" s="140"/>
    </row>
    <row r="577" spans="1:28">
      <c r="A577" s="144" t="s">
        <v>529</v>
      </c>
      <c r="B577" s="144" t="s">
        <v>5521</v>
      </c>
      <c r="C577" s="144" t="s">
        <v>5522</v>
      </c>
      <c r="D577" s="144" t="s">
        <v>5523</v>
      </c>
      <c r="E577" s="144" t="s">
        <v>5524</v>
      </c>
      <c r="F577" s="144" t="s">
        <v>4</v>
      </c>
      <c r="G577" s="144">
        <v>3</v>
      </c>
      <c r="H577" s="144" t="s">
        <v>24</v>
      </c>
      <c r="I577" s="144" t="s">
        <v>725</v>
      </c>
      <c r="J577" s="144" t="s">
        <v>5525</v>
      </c>
      <c r="K577" s="144">
        <v>3</v>
      </c>
      <c r="L577" s="144" t="s">
        <v>1187</v>
      </c>
      <c r="M577" s="144" t="s">
        <v>5526</v>
      </c>
      <c r="N577" s="144">
        <v>3</v>
      </c>
      <c r="O577" s="144" t="s">
        <v>784</v>
      </c>
      <c r="P577" s="144">
        <v>500000</v>
      </c>
      <c r="Q577" s="144" t="s">
        <v>452</v>
      </c>
      <c r="R577" s="144" t="s">
        <v>452</v>
      </c>
      <c r="S577" s="144"/>
      <c r="T577" s="144"/>
      <c r="U577" s="145"/>
      <c r="V577" s="145"/>
      <c r="W577" s="145"/>
      <c r="X577" s="144" t="s">
        <v>5527</v>
      </c>
      <c r="Y577" s="144" t="s">
        <v>5528</v>
      </c>
      <c r="Z577" s="144" t="str">
        <f ca="1">IFERROR(__xludf.DUMMYFUNCTION("IF(VLOOKUP($Y577, IMPORTRANGE(""https://docs.google.com/spreadsheets/d/1WsTKRjz8_fF2119Ff9dhKIIYXSaUEHzuWr8pBkxmwQQ/edit"", ""Form Responses 1!$B:$Z""),1, FALSE)=$Y577,""Yes"",""No"")"),"#N/A")</f>
        <v>#N/A</v>
      </c>
      <c r="AA577" s="144"/>
      <c r="AB577" s="144"/>
    </row>
    <row r="578" spans="1:28">
      <c r="A578" s="140" t="s">
        <v>907</v>
      </c>
      <c r="B578" s="140" t="s">
        <v>5529</v>
      </c>
      <c r="C578" s="140" t="s">
        <v>5530</v>
      </c>
      <c r="D578" s="140" t="s">
        <v>5531</v>
      </c>
      <c r="E578" s="140" t="s">
        <v>5532</v>
      </c>
      <c r="F578" s="140" t="s">
        <v>4</v>
      </c>
      <c r="G578" s="140">
        <v>3</v>
      </c>
      <c r="H578" s="140" t="s">
        <v>24</v>
      </c>
      <c r="I578" s="140" t="s">
        <v>725</v>
      </c>
      <c r="J578" s="140" t="s">
        <v>5533</v>
      </c>
      <c r="K578" s="140">
        <v>2</v>
      </c>
      <c r="L578" s="140" t="s">
        <v>1187</v>
      </c>
      <c r="M578" s="140" t="s">
        <v>5534</v>
      </c>
      <c r="N578" s="140">
        <v>4</v>
      </c>
      <c r="O578" s="140"/>
      <c r="P578" s="140"/>
      <c r="Q578" s="140" t="s">
        <v>452</v>
      </c>
      <c r="R578" s="140" t="s">
        <v>5535</v>
      </c>
      <c r="S578" s="140"/>
      <c r="T578" s="140" t="s">
        <v>5536</v>
      </c>
      <c r="U578" s="143"/>
      <c r="V578" s="143"/>
      <c r="W578" s="143"/>
      <c r="X578" s="140" t="s">
        <v>5537</v>
      </c>
      <c r="Y578" s="140" t="s">
        <v>5538</v>
      </c>
      <c r="Z578" s="140" t="str">
        <f ca="1">IFERROR(__xludf.DUMMYFUNCTION("IF(VLOOKUP($Y578, IMPORTRANGE(""https://docs.google.com/spreadsheets/d/1WsTKRjz8_fF2119Ff9dhKIIYXSaUEHzuWr8pBkxmwQQ/edit"", ""Form Responses 1!$B:$Z""),1, FALSE)=$Y578,""Yes"",""No"")"),"#N/A")</f>
        <v>#N/A</v>
      </c>
      <c r="AA578" s="140"/>
      <c r="AB578" s="140"/>
    </row>
    <row r="579" spans="1:28">
      <c r="A579" s="144" t="s">
        <v>598</v>
      </c>
      <c r="B579" s="144" t="s">
        <v>5539</v>
      </c>
      <c r="C579" s="144" t="s">
        <v>5540</v>
      </c>
      <c r="D579" s="144" t="s">
        <v>5541</v>
      </c>
      <c r="E579" s="144" t="s">
        <v>5542</v>
      </c>
      <c r="F579" s="144" t="s">
        <v>4</v>
      </c>
      <c r="G579" s="144">
        <v>3</v>
      </c>
      <c r="H579" s="144" t="s">
        <v>24</v>
      </c>
      <c r="I579" s="144" t="s">
        <v>602</v>
      </c>
      <c r="J579" s="144" t="s">
        <v>5543</v>
      </c>
      <c r="K579" s="144">
        <v>3</v>
      </c>
      <c r="L579" s="144" t="s">
        <v>476</v>
      </c>
      <c r="M579" s="144" t="s">
        <v>5544</v>
      </c>
      <c r="N579" s="144">
        <v>3</v>
      </c>
      <c r="O579" s="144" t="s">
        <v>784</v>
      </c>
      <c r="P579" s="144">
        <v>500000</v>
      </c>
      <c r="Q579" s="144" t="s">
        <v>452</v>
      </c>
      <c r="R579" s="144" t="s">
        <v>5545</v>
      </c>
      <c r="S579" s="144"/>
      <c r="T579" s="144"/>
      <c r="U579" s="145"/>
      <c r="V579" s="145"/>
      <c r="W579" s="145"/>
      <c r="X579" s="144" t="s">
        <v>5546</v>
      </c>
      <c r="Y579" s="144" t="s">
        <v>5547</v>
      </c>
      <c r="Z579" s="144" t="str">
        <f ca="1">IFERROR(__xludf.DUMMYFUNCTION("IF(VLOOKUP($Y579, IMPORTRANGE(""https://docs.google.com/spreadsheets/d/1WsTKRjz8_fF2119Ff9dhKIIYXSaUEHzuWr8pBkxmwQQ/edit"", ""Form Responses 1!$B:$Z""),1, FALSE)=$Y579,""Yes"",""No"")"),"#N/A")</f>
        <v>#N/A</v>
      </c>
      <c r="AA579" s="144"/>
      <c r="AB579" s="144"/>
    </row>
    <row r="580" spans="1:28">
      <c r="A580" s="140" t="s">
        <v>484</v>
      </c>
      <c r="B580" s="140" t="s">
        <v>5548</v>
      </c>
      <c r="C580" s="140" t="s">
        <v>5549</v>
      </c>
      <c r="D580" s="140" t="s">
        <v>5550</v>
      </c>
      <c r="E580" s="140" t="s">
        <v>5551</v>
      </c>
      <c r="F580" s="140" t="s">
        <v>4</v>
      </c>
      <c r="G580" s="140">
        <v>3</v>
      </c>
      <c r="H580" s="140" t="s">
        <v>24</v>
      </c>
      <c r="I580" s="140" t="s">
        <v>727</v>
      </c>
      <c r="J580" s="140" t="s">
        <v>5552</v>
      </c>
      <c r="K580" s="140">
        <v>3</v>
      </c>
      <c r="L580" s="140" t="s">
        <v>1054</v>
      </c>
      <c r="M580" s="140" t="s">
        <v>5553</v>
      </c>
      <c r="N580" s="140">
        <v>3</v>
      </c>
      <c r="O580" s="140" t="s">
        <v>451</v>
      </c>
      <c r="P580" s="140">
        <v>5000000</v>
      </c>
      <c r="Q580" s="140" t="s">
        <v>452</v>
      </c>
      <c r="R580" s="140" t="s">
        <v>452</v>
      </c>
      <c r="S580" s="140" t="s">
        <v>5554</v>
      </c>
      <c r="T580" s="140"/>
      <c r="U580" s="143"/>
      <c r="V580" s="143"/>
      <c r="W580" s="143"/>
      <c r="X580" s="140" t="s">
        <v>1622</v>
      </c>
      <c r="Y580" s="140" t="s">
        <v>5555</v>
      </c>
      <c r="Z580" s="140" t="str">
        <f ca="1">IFERROR(__xludf.DUMMYFUNCTION("IF(VLOOKUP($Y580, IMPORTRANGE(""https://docs.google.com/spreadsheets/d/1WsTKRjz8_fF2119Ff9dhKIIYXSaUEHzuWr8pBkxmwQQ/edit"", ""Form Responses 1!$B:$Z""),1, FALSE)=$Y580,""Yes"",""No"")"),"#N/A")</f>
        <v>#N/A</v>
      </c>
      <c r="AA580" s="140"/>
      <c r="AB580" s="140"/>
    </row>
    <row r="581" spans="1:28">
      <c r="A581" s="144" t="s">
        <v>484</v>
      </c>
      <c r="B581" s="144" t="s">
        <v>5556</v>
      </c>
      <c r="C581" s="144" t="s">
        <v>5557</v>
      </c>
      <c r="D581" s="144" t="s">
        <v>5558</v>
      </c>
      <c r="E581" s="144" t="s">
        <v>5559</v>
      </c>
      <c r="F581" s="144" t="s">
        <v>4</v>
      </c>
      <c r="G581" s="144">
        <v>3</v>
      </c>
      <c r="H581" s="144" t="s">
        <v>24</v>
      </c>
      <c r="I581" s="144" t="s">
        <v>602</v>
      </c>
      <c r="J581" s="144" t="s">
        <v>5560</v>
      </c>
      <c r="K581" s="144">
        <v>3</v>
      </c>
      <c r="L581" s="144" t="s">
        <v>727</v>
      </c>
      <c r="M581" s="144" t="s">
        <v>5561</v>
      </c>
      <c r="N581" s="144">
        <v>3</v>
      </c>
      <c r="O581" s="144" t="s">
        <v>451</v>
      </c>
      <c r="P581" s="144" t="s">
        <v>5562</v>
      </c>
      <c r="Q581" s="144" t="s">
        <v>452</v>
      </c>
      <c r="R581" s="144" t="s">
        <v>452</v>
      </c>
      <c r="S581" s="144"/>
      <c r="T581" s="144"/>
      <c r="U581" s="145"/>
      <c r="V581" s="145"/>
      <c r="W581" s="145"/>
      <c r="X581" s="144" t="s">
        <v>5563</v>
      </c>
      <c r="Y581" s="144" t="s">
        <v>5564</v>
      </c>
      <c r="Z581" s="144" t="str">
        <f ca="1">IFERROR(__xludf.DUMMYFUNCTION("IF(VLOOKUP($Y581, IMPORTRANGE(""https://docs.google.com/spreadsheets/d/1WsTKRjz8_fF2119Ff9dhKIIYXSaUEHzuWr8pBkxmwQQ/edit"", ""Form Responses 1!$B:$Z""),1, FALSE)=$Y581,""Yes"",""No"")"),"#N/A")</f>
        <v>#N/A</v>
      </c>
      <c r="AA581" s="144"/>
      <c r="AB581" s="144"/>
    </row>
    <row r="582" spans="1:28">
      <c r="A582" s="140" t="s">
        <v>503</v>
      </c>
      <c r="B582" s="140" t="s">
        <v>5565</v>
      </c>
      <c r="C582" s="140" t="s">
        <v>5566</v>
      </c>
      <c r="D582" s="140" t="s">
        <v>5567</v>
      </c>
      <c r="E582" s="140" t="s">
        <v>5568</v>
      </c>
      <c r="F582" s="140" t="s">
        <v>4</v>
      </c>
      <c r="G582" s="140">
        <v>3</v>
      </c>
      <c r="H582" s="140" t="s">
        <v>24</v>
      </c>
      <c r="I582" s="140" t="s">
        <v>602</v>
      </c>
      <c r="J582" s="140" t="s">
        <v>5569</v>
      </c>
      <c r="K582" s="140">
        <v>3</v>
      </c>
      <c r="L582" s="140" t="s">
        <v>727</v>
      </c>
      <c r="M582" s="140" t="s">
        <v>5570</v>
      </c>
      <c r="N582" s="140">
        <v>3</v>
      </c>
      <c r="O582" s="140" t="s">
        <v>478</v>
      </c>
      <c r="P582" s="142">
        <v>2000000</v>
      </c>
      <c r="Q582" s="140" t="s">
        <v>452</v>
      </c>
      <c r="R582" s="140" t="s">
        <v>575</v>
      </c>
      <c r="S582" s="140"/>
      <c r="T582" s="140"/>
      <c r="U582" s="143"/>
      <c r="V582" s="143"/>
      <c r="W582" s="143"/>
      <c r="X582" s="140" t="s">
        <v>5571</v>
      </c>
      <c r="Y582" s="140" t="s">
        <v>5572</v>
      </c>
      <c r="Z582" s="140" t="str">
        <f ca="1">IFERROR(__xludf.DUMMYFUNCTION("IF(VLOOKUP($Y582, IMPORTRANGE(""https://docs.google.com/spreadsheets/d/1WsTKRjz8_fF2119Ff9dhKIIYXSaUEHzuWr8pBkxmwQQ/edit"", ""Form Responses 1!$B:$Z""),1, FALSE)=$Y582,""Yes"",""No"")"),"#N/A")</f>
        <v>#N/A</v>
      </c>
      <c r="AA582" s="140"/>
      <c r="AB582" s="140"/>
    </row>
    <row r="583" spans="1:28">
      <c r="A583" s="144" t="s">
        <v>443</v>
      </c>
      <c r="B583" s="144" t="s">
        <v>5573</v>
      </c>
      <c r="C583" s="144" t="s">
        <v>5574</v>
      </c>
      <c r="D583" s="144" t="s">
        <v>5575</v>
      </c>
      <c r="E583" s="144" t="s">
        <v>5576</v>
      </c>
      <c r="F583" s="144" t="s">
        <v>4</v>
      </c>
      <c r="G583" s="144">
        <v>3</v>
      </c>
      <c r="H583" s="144" t="s">
        <v>24</v>
      </c>
      <c r="I583" s="144" t="s">
        <v>602</v>
      </c>
      <c r="J583" s="144" t="s">
        <v>5577</v>
      </c>
      <c r="K583" s="144">
        <v>3</v>
      </c>
      <c r="L583" s="144" t="s">
        <v>476</v>
      </c>
      <c r="M583" s="144" t="s">
        <v>5578</v>
      </c>
      <c r="N583" s="144">
        <v>3</v>
      </c>
      <c r="O583" s="144" t="s">
        <v>784</v>
      </c>
      <c r="P583" s="144">
        <v>512000</v>
      </c>
      <c r="Q583" s="144" t="s">
        <v>452</v>
      </c>
      <c r="R583" s="144" t="s">
        <v>5579</v>
      </c>
      <c r="S583" s="144"/>
      <c r="T583" s="144"/>
      <c r="U583" s="145"/>
      <c r="V583" s="145"/>
      <c r="W583" s="145"/>
      <c r="X583" s="144" t="s">
        <v>5580</v>
      </c>
      <c r="Y583" s="144" t="s">
        <v>5581</v>
      </c>
      <c r="Z583" s="144" t="str">
        <f ca="1">IFERROR(__xludf.DUMMYFUNCTION("IF(VLOOKUP($Y583, IMPORTRANGE(""https://docs.google.com/spreadsheets/d/1WsTKRjz8_fF2119Ff9dhKIIYXSaUEHzuWr8pBkxmwQQ/edit"", ""Form Responses 1!$B:$Z""),1, FALSE)=$Y583,""Yes"",""No"")"),"#N/A")</f>
        <v>#N/A</v>
      </c>
      <c r="AA583" s="144"/>
      <c r="AB583" s="144"/>
    </row>
    <row r="584" spans="1:28">
      <c r="A584" s="140" t="s">
        <v>529</v>
      </c>
      <c r="B584" s="140" t="s">
        <v>5582</v>
      </c>
      <c r="C584" s="140" t="s">
        <v>5583</v>
      </c>
      <c r="D584" s="140" t="s">
        <v>5584</v>
      </c>
      <c r="E584" s="140" t="s">
        <v>5585</v>
      </c>
      <c r="F584" s="140" t="s">
        <v>4</v>
      </c>
      <c r="G584" s="140">
        <v>3</v>
      </c>
      <c r="H584" s="140" t="s">
        <v>24</v>
      </c>
      <c r="I584" s="140" t="s">
        <v>725</v>
      </c>
      <c r="J584" s="140" t="s">
        <v>5586</v>
      </c>
      <c r="K584" s="140">
        <v>4</v>
      </c>
      <c r="L584" s="140" t="s">
        <v>1237</v>
      </c>
      <c r="M584" s="140"/>
      <c r="N584" s="140">
        <v>2</v>
      </c>
      <c r="O584" s="140" t="s">
        <v>451</v>
      </c>
      <c r="P584" s="140">
        <v>3000000</v>
      </c>
      <c r="Q584" s="140" t="s">
        <v>452</v>
      </c>
      <c r="R584" s="140" t="s">
        <v>5587</v>
      </c>
      <c r="S584" s="140"/>
      <c r="T584" s="140"/>
      <c r="U584" s="143"/>
      <c r="V584" s="143"/>
      <c r="W584" s="143"/>
      <c r="X584" s="140" t="s">
        <v>5588</v>
      </c>
      <c r="Y584" s="140" t="s">
        <v>5589</v>
      </c>
      <c r="Z584" s="140" t="str">
        <f ca="1">IFERROR(__xludf.DUMMYFUNCTION("IF(VLOOKUP($Y584, IMPORTRANGE(""https://docs.google.com/spreadsheets/d/1WsTKRjz8_fF2119Ff9dhKIIYXSaUEHzuWr8pBkxmwQQ/edit"", ""Form Responses 1!$B:$Z""),1, FALSE)=$Y584,""Yes"",""No"")"),"#N/A")</f>
        <v>#N/A</v>
      </c>
      <c r="AA584" s="140"/>
      <c r="AB584" s="140"/>
    </row>
    <row r="585" spans="1:28">
      <c r="A585" s="144" t="s">
        <v>529</v>
      </c>
      <c r="B585" s="144" t="s">
        <v>5590</v>
      </c>
      <c r="C585" s="144" t="s">
        <v>5591</v>
      </c>
      <c r="D585" s="144" t="s">
        <v>5592</v>
      </c>
      <c r="E585" s="144" t="s">
        <v>5593</v>
      </c>
      <c r="F585" s="144" t="s">
        <v>4</v>
      </c>
      <c r="G585" s="144">
        <v>3</v>
      </c>
      <c r="H585" s="144" t="s">
        <v>24</v>
      </c>
      <c r="I585" s="144" t="s">
        <v>725</v>
      </c>
      <c r="J585" s="144" t="s">
        <v>5594</v>
      </c>
      <c r="K585" s="144">
        <v>2</v>
      </c>
      <c r="L585" s="144" t="s">
        <v>1281</v>
      </c>
      <c r="M585" s="144" t="s">
        <v>5595</v>
      </c>
      <c r="N585" s="144">
        <v>4</v>
      </c>
      <c r="O585" s="144" t="s">
        <v>5596</v>
      </c>
      <c r="P585" s="144" t="s">
        <v>5597</v>
      </c>
      <c r="Q585" s="144" t="s">
        <v>452</v>
      </c>
      <c r="R585" s="144" t="s">
        <v>452</v>
      </c>
      <c r="S585" s="144" t="s">
        <v>725</v>
      </c>
      <c r="T585" s="144"/>
      <c r="U585" s="145"/>
      <c r="V585" s="145"/>
      <c r="W585" s="145"/>
      <c r="X585" s="144" t="s">
        <v>5598</v>
      </c>
      <c r="Y585" s="144" t="s">
        <v>5599</v>
      </c>
      <c r="Z585" s="144" t="str">
        <f ca="1">IFERROR(__xludf.DUMMYFUNCTION("IF(VLOOKUP($Y585, IMPORTRANGE(""https://docs.google.com/spreadsheets/d/1WsTKRjz8_fF2119Ff9dhKIIYXSaUEHzuWr8pBkxmwQQ/edit"", ""Form Responses 1!$B:$Z""),1, FALSE)=$Y585,""Yes"",""No"")"),"#N/A")</f>
        <v>#N/A</v>
      </c>
      <c r="AA585" s="144"/>
      <c r="AB585" s="144"/>
    </row>
    <row r="586" spans="1:28">
      <c r="A586" s="140" t="s">
        <v>907</v>
      </c>
      <c r="B586" s="140" t="s">
        <v>5600</v>
      </c>
      <c r="C586" s="140" t="s">
        <v>5601</v>
      </c>
      <c r="D586" s="140" t="s">
        <v>5602</v>
      </c>
      <c r="E586" s="140" t="s">
        <v>5603</v>
      </c>
      <c r="F586" s="140" t="s">
        <v>4</v>
      </c>
      <c r="G586" s="140">
        <v>3</v>
      </c>
      <c r="H586" s="140" t="s">
        <v>24</v>
      </c>
      <c r="I586" s="140" t="s">
        <v>1045</v>
      </c>
      <c r="J586" s="140" t="s">
        <v>5604</v>
      </c>
      <c r="K586" s="140">
        <v>3</v>
      </c>
      <c r="L586" s="140" t="s">
        <v>1281</v>
      </c>
      <c r="M586" s="140" t="s">
        <v>5605</v>
      </c>
      <c r="N586" s="140">
        <v>3</v>
      </c>
      <c r="O586" s="140"/>
      <c r="P586" s="140"/>
      <c r="Q586" s="140" t="s">
        <v>454</v>
      </c>
      <c r="R586" s="140" t="s">
        <v>1119</v>
      </c>
      <c r="S586" s="140"/>
      <c r="T586" s="140"/>
      <c r="U586" s="143"/>
      <c r="V586" s="143"/>
      <c r="W586" s="143"/>
      <c r="X586" s="140" t="s">
        <v>501</v>
      </c>
      <c r="Y586" s="140" t="s">
        <v>5606</v>
      </c>
      <c r="Z586" s="140" t="str">
        <f ca="1">IFERROR(__xludf.DUMMYFUNCTION("IF(VLOOKUP($Y586, IMPORTRANGE(""https://docs.google.com/spreadsheets/d/1WsTKRjz8_fF2119Ff9dhKIIYXSaUEHzuWr8pBkxmwQQ/edit"", ""Form Responses 1!$B:$Z""),1, FALSE)=$Y586,""Yes"",""No"")"),"#N/A")</f>
        <v>#N/A</v>
      </c>
      <c r="AA586" s="140"/>
      <c r="AB586" s="140"/>
    </row>
    <row r="587" spans="1:28">
      <c r="A587" s="144" t="s">
        <v>503</v>
      </c>
      <c r="B587" s="144" t="s">
        <v>5607</v>
      </c>
      <c r="C587" s="144" t="s">
        <v>5608</v>
      </c>
      <c r="D587" s="144" t="s">
        <v>5609</v>
      </c>
      <c r="E587" s="144" t="s">
        <v>5610</v>
      </c>
      <c r="F587" s="144" t="s">
        <v>4</v>
      </c>
      <c r="G587" s="144">
        <v>3</v>
      </c>
      <c r="H587" s="144" t="s">
        <v>24</v>
      </c>
      <c r="I587" s="144" t="s">
        <v>602</v>
      </c>
      <c r="J587" s="144" t="s">
        <v>5611</v>
      </c>
      <c r="K587" s="144">
        <v>3</v>
      </c>
      <c r="L587" s="144" t="s">
        <v>1054</v>
      </c>
      <c r="M587" s="144" t="s">
        <v>5612</v>
      </c>
      <c r="N587" s="144">
        <v>3</v>
      </c>
      <c r="O587" s="144"/>
      <c r="P587" s="144"/>
      <c r="Q587" s="144" t="s">
        <v>454</v>
      </c>
      <c r="R587" s="144" t="s">
        <v>5613</v>
      </c>
      <c r="S587" s="144"/>
      <c r="T587" s="144"/>
      <c r="U587" s="145"/>
      <c r="V587" s="145"/>
      <c r="W587" s="145"/>
      <c r="X587" s="144" t="s">
        <v>5614</v>
      </c>
      <c r="Y587" s="144" t="s">
        <v>5615</v>
      </c>
      <c r="Z587" s="144" t="str">
        <f ca="1">IFERROR(__xludf.DUMMYFUNCTION("IF(VLOOKUP($Y587, IMPORTRANGE(""https://docs.google.com/spreadsheets/d/1WsTKRjz8_fF2119Ff9dhKIIYXSaUEHzuWr8pBkxmwQQ/edit"", ""Form Responses 1!$B:$Z""),1, FALSE)=$Y587,""Yes"",""No"")"),"#N/A")</f>
        <v>#N/A</v>
      </c>
      <c r="AA587" s="144"/>
      <c r="AB587" s="144"/>
    </row>
    <row r="588" spans="1:28">
      <c r="A588" s="140" t="s">
        <v>471</v>
      </c>
      <c r="B588" s="140" t="s">
        <v>5616</v>
      </c>
      <c r="C588" s="140" t="s">
        <v>5617</v>
      </c>
      <c r="D588" s="140" t="s">
        <v>5618</v>
      </c>
      <c r="E588" s="140" t="s">
        <v>5619</v>
      </c>
      <c r="F588" s="140" t="s">
        <v>4</v>
      </c>
      <c r="G588" s="140">
        <v>3</v>
      </c>
      <c r="H588" s="140" t="s">
        <v>24</v>
      </c>
      <c r="I588" s="140" t="s">
        <v>602</v>
      </c>
      <c r="J588" s="140" t="s">
        <v>5620</v>
      </c>
      <c r="K588" s="140">
        <v>3</v>
      </c>
      <c r="L588" s="140" t="s">
        <v>1054</v>
      </c>
      <c r="M588" s="140" t="s">
        <v>5621</v>
      </c>
      <c r="N588" s="140">
        <v>3</v>
      </c>
      <c r="O588" s="140" t="s">
        <v>784</v>
      </c>
      <c r="P588" s="140">
        <v>1500000</v>
      </c>
      <c r="Q588" s="140" t="s">
        <v>465</v>
      </c>
      <c r="R588" s="140" t="s">
        <v>5622</v>
      </c>
      <c r="S588" s="140" t="s">
        <v>5623</v>
      </c>
      <c r="T588" s="140"/>
      <c r="U588" s="143"/>
      <c r="V588" s="143"/>
      <c r="W588" s="143"/>
      <c r="X588" s="140" t="s">
        <v>1622</v>
      </c>
      <c r="Y588" s="140" t="s">
        <v>5624</v>
      </c>
      <c r="Z588" s="140" t="str">
        <f ca="1">IFERROR(__xludf.DUMMYFUNCTION("IF(VLOOKUP($Y588, IMPORTRANGE(""https://docs.google.com/spreadsheets/d/1WsTKRjz8_fF2119Ff9dhKIIYXSaUEHzuWr8pBkxmwQQ/edit"", ""Form Responses 1!$B:$Z""),1, FALSE)=$Y588,""Yes"",""No"")"),"#N/A")</f>
        <v>#N/A</v>
      </c>
      <c r="AA588" s="140"/>
      <c r="AB588" s="140"/>
    </row>
    <row r="589" spans="1:28">
      <c r="A589" s="144" t="s">
        <v>529</v>
      </c>
      <c r="B589" s="144" t="s">
        <v>5625</v>
      </c>
      <c r="C589" s="144" t="s">
        <v>5626</v>
      </c>
      <c r="D589" s="144" t="s">
        <v>5627</v>
      </c>
      <c r="E589" s="144" t="s">
        <v>5628</v>
      </c>
      <c r="F589" s="144" t="s">
        <v>4</v>
      </c>
      <c r="G589" s="144">
        <v>3</v>
      </c>
      <c r="H589" s="144" t="s">
        <v>24</v>
      </c>
      <c r="I589" s="144" t="s">
        <v>602</v>
      </c>
      <c r="J589" s="144" t="s">
        <v>5629</v>
      </c>
      <c r="K589" s="144">
        <v>2</v>
      </c>
      <c r="L589" s="144" t="s">
        <v>1281</v>
      </c>
      <c r="M589" s="144" t="s">
        <v>5630</v>
      </c>
      <c r="N589" s="144">
        <v>4</v>
      </c>
      <c r="O589" s="144" t="s">
        <v>784</v>
      </c>
      <c r="P589" s="144" t="s">
        <v>5631</v>
      </c>
      <c r="Q589" s="144" t="s">
        <v>452</v>
      </c>
      <c r="R589" s="144" t="s">
        <v>5632</v>
      </c>
      <c r="S589" s="144"/>
      <c r="T589" s="144"/>
      <c r="U589" s="145"/>
      <c r="V589" s="145"/>
      <c r="W589" s="145"/>
      <c r="X589" s="144" t="s">
        <v>5633</v>
      </c>
      <c r="Y589" s="144" t="s">
        <v>5634</v>
      </c>
      <c r="Z589" s="144" t="str">
        <f ca="1">IFERROR(__xludf.DUMMYFUNCTION("IF(VLOOKUP($Y589, IMPORTRANGE(""https://docs.google.com/spreadsheets/d/1WsTKRjz8_fF2119Ff9dhKIIYXSaUEHzuWr8pBkxmwQQ/edit"", ""Form Responses 1!$B:$Z""),1, FALSE)=$Y589,""Yes"",""No"")"),"#N/A")</f>
        <v>#N/A</v>
      </c>
      <c r="AA589" s="144"/>
      <c r="AB589" s="144"/>
    </row>
    <row r="590" spans="1:28">
      <c r="A590" s="140" t="s">
        <v>907</v>
      </c>
      <c r="B590" s="140" t="s">
        <v>5635</v>
      </c>
      <c r="C590" s="140" t="s">
        <v>5636</v>
      </c>
      <c r="D590" s="140" t="s">
        <v>5637</v>
      </c>
      <c r="E590" s="140" t="s">
        <v>5638</v>
      </c>
      <c r="F590" s="140" t="s">
        <v>4</v>
      </c>
      <c r="G590" s="140">
        <v>3</v>
      </c>
      <c r="H590" s="140" t="s">
        <v>24</v>
      </c>
      <c r="I590" s="140" t="s">
        <v>727</v>
      </c>
      <c r="J590" s="140" t="s">
        <v>5639</v>
      </c>
      <c r="K590" s="140">
        <v>3</v>
      </c>
      <c r="L590" s="140" t="s">
        <v>1281</v>
      </c>
      <c r="M590" s="140" t="s">
        <v>5640</v>
      </c>
      <c r="N590" s="140">
        <v>3</v>
      </c>
      <c r="O590" s="140"/>
      <c r="P590" s="140"/>
      <c r="Q590" s="140" t="s">
        <v>452</v>
      </c>
      <c r="R590" s="140" t="s">
        <v>452</v>
      </c>
      <c r="S590" s="140" t="s">
        <v>725</v>
      </c>
      <c r="T590" s="140"/>
      <c r="U590" s="143"/>
      <c r="V590" s="143"/>
      <c r="W590" s="143"/>
      <c r="X590" s="140" t="s">
        <v>5641</v>
      </c>
      <c r="Y590" s="140" t="s">
        <v>5642</v>
      </c>
      <c r="Z590" s="140" t="str">
        <f ca="1">IFERROR(__xludf.DUMMYFUNCTION("IF(VLOOKUP($Y590, IMPORTRANGE(""https://docs.google.com/spreadsheets/d/1WsTKRjz8_fF2119Ff9dhKIIYXSaUEHzuWr8pBkxmwQQ/edit"", ""Form Responses 1!$B:$Z""),1, FALSE)=$Y590,""Yes"",""No"")"),"#N/A")</f>
        <v>#N/A</v>
      </c>
      <c r="AA590" s="140"/>
      <c r="AB590" s="140"/>
    </row>
    <row r="591" spans="1:28">
      <c r="A591" s="144" t="s">
        <v>907</v>
      </c>
      <c r="B591" s="144" t="s">
        <v>5643</v>
      </c>
      <c r="C591" s="144" t="s">
        <v>5644</v>
      </c>
      <c r="D591" s="144" t="s">
        <v>5645</v>
      </c>
      <c r="E591" s="144" t="s">
        <v>5646</v>
      </c>
      <c r="F591" s="144" t="s">
        <v>4</v>
      </c>
      <c r="G591" s="144">
        <v>3</v>
      </c>
      <c r="H591" s="144" t="s">
        <v>24</v>
      </c>
      <c r="I591" s="144" t="s">
        <v>447</v>
      </c>
      <c r="J591" s="144" t="s">
        <v>5647</v>
      </c>
      <c r="K591" s="144">
        <v>3</v>
      </c>
      <c r="L591" s="144" t="s">
        <v>1281</v>
      </c>
      <c r="M591" s="144" t="s">
        <v>5648</v>
      </c>
      <c r="N591" s="144">
        <v>3</v>
      </c>
      <c r="O591" s="144"/>
      <c r="P591" s="144"/>
      <c r="Q591" s="144" t="s">
        <v>452</v>
      </c>
      <c r="R591" s="144" t="s">
        <v>5649</v>
      </c>
      <c r="S591" s="144"/>
      <c r="T591" s="144"/>
      <c r="U591" s="145"/>
      <c r="V591" s="145"/>
      <c r="W591" s="145"/>
      <c r="X591" s="144" t="s">
        <v>5650</v>
      </c>
      <c r="Y591" s="144" t="s">
        <v>5651</v>
      </c>
      <c r="Z591" s="144" t="str">
        <f ca="1">IFERROR(__xludf.DUMMYFUNCTION("IF(VLOOKUP($Y591, IMPORTRANGE(""https://docs.google.com/spreadsheets/d/1WsTKRjz8_fF2119Ff9dhKIIYXSaUEHzuWr8pBkxmwQQ/edit"", ""Form Responses 1!$B:$Z""),1, FALSE)=$Y591,""Yes"",""No"")"),"#N/A")</f>
        <v>#N/A</v>
      </c>
      <c r="AA591" s="144"/>
      <c r="AB591" s="144"/>
    </row>
    <row r="592" spans="1:28">
      <c r="A592" s="140" t="s">
        <v>529</v>
      </c>
      <c r="B592" s="140" t="s">
        <v>5652</v>
      </c>
      <c r="C592" s="140" t="s">
        <v>5653</v>
      </c>
      <c r="D592" s="140" t="s">
        <v>5654</v>
      </c>
      <c r="E592" s="140" t="s">
        <v>5655</v>
      </c>
      <c r="F592" s="140" t="s">
        <v>4</v>
      </c>
      <c r="G592" s="140">
        <v>3</v>
      </c>
      <c r="H592" s="140" t="s">
        <v>24</v>
      </c>
      <c r="I592" s="140" t="s">
        <v>1045</v>
      </c>
      <c r="J592" s="140" t="s">
        <v>5656</v>
      </c>
      <c r="K592" s="140">
        <v>3</v>
      </c>
      <c r="L592" s="140" t="s">
        <v>1281</v>
      </c>
      <c r="M592" s="140" t="s">
        <v>5657</v>
      </c>
      <c r="N592" s="140">
        <v>3</v>
      </c>
      <c r="O592" s="140" t="s">
        <v>923</v>
      </c>
      <c r="P592" s="140" t="s">
        <v>5658</v>
      </c>
      <c r="Q592" s="140" t="s">
        <v>465</v>
      </c>
      <c r="R592" s="140" t="s">
        <v>452</v>
      </c>
      <c r="S592" s="140"/>
      <c r="T592" s="140"/>
      <c r="U592" s="143"/>
      <c r="V592" s="143"/>
      <c r="W592" s="143"/>
      <c r="X592" s="140" t="s">
        <v>5659</v>
      </c>
      <c r="Y592" s="140" t="s">
        <v>5660</v>
      </c>
      <c r="Z592" s="140" t="str">
        <f ca="1">IFERROR(__xludf.DUMMYFUNCTION("IF(VLOOKUP($Y592, IMPORTRANGE(""https://docs.google.com/spreadsheets/d/1WsTKRjz8_fF2119Ff9dhKIIYXSaUEHzuWr8pBkxmwQQ/edit"", ""Form Responses 1!$B:$Z""),1, FALSE)=$Y592,""Yes"",""No"")"),"#N/A")</f>
        <v>#N/A</v>
      </c>
      <c r="AA592" s="140"/>
      <c r="AB592" s="140"/>
    </row>
    <row r="593" spans="1:28">
      <c r="A593" s="144" t="s">
        <v>503</v>
      </c>
      <c r="B593" s="144" t="s">
        <v>5661</v>
      </c>
      <c r="C593" s="144" t="s">
        <v>5662</v>
      </c>
      <c r="D593" s="144" t="s">
        <v>5663</v>
      </c>
      <c r="E593" s="144" t="s">
        <v>5664</v>
      </c>
      <c r="F593" s="144" t="s">
        <v>4</v>
      </c>
      <c r="G593" s="144">
        <v>3</v>
      </c>
      <c r="H593" s="144" t="s">
        <v>24</v>
      </c>
      <c r="I593" s="144" t="s">
        <v>727</v>
      </c>
      <c r="J593" s="144" t="s">
        <v>5665</v>
      </c>
      <c r="K593" s="144">
        <v>3</v>
      </c>
      <c r="L593" s="144" t="s">
        <v>1054</v>
      </c>
      <c r="M593" s="144"/>
      <c r="N593" s="144">
        <v>3</v>
      </c>
      <c r="O593" s="144" t="s">
        <v>451</v>
      </c>
      <c r="P593" s="144">
        <v>2400000</v>
      </c>
      <c r="Q593" s="144" t="s">
        <v>452</v>
      </c>
      <c r="R593" s="144" t="s">
        <v>5666</v>
      </c>
      <c r="S593" s="144"/>
      <c r="T593" s="144"/>
      <c r="U593" s="145"/>
      <c r="V593" s="145"/>
      <c r="W593" s="145"/>
      <c r="X593" s="144" t="s">
        <v>1198</v>
      </c>
      <c r="Y593" s="144" t="s">
        <v>5667</v>
      </c>
      <c r="Z593" s="144" t="str">
        <f ca="1">IFERROR(__xludf.DUMMYFUNCTION("IF(VLOOKUP($Y593, IMPORTRANGE(""https://docs.google.com/spreadsheets/d/1WsTKRjz8_fF2119Ff9dhKIIYXSaUEHzuWr8pBkxmwQQ/edit"", ""Form Responses 1!$B:$Z""),1, FALSE)=$Y593,""Yes"",""No"")"),"#N/A")</f>
        <v>#N/A</v>
      </c>
      <c r="AA593" s="144"/>
      <c r="AB593" s="144"/>
    </row>
    <row r="594" spans="1:28">
      <c r="A594" s="140" t="s">
        <v>443</v>
      </c>
      <c r="B594" s="140" t="s">
        <v>5668</v>
      </c>
      <c r="C594" s="140" t="s">
        <v>5669</v>
      </c>
      <c r="D594" s="140" t="s">
        <v>5670</v>
      </c>
      <c r="E594" s="140" t="s">
        <v>5671</v>
      </c>
      <c r="F594" s="140" t="s">
        <v>4</v>
      </c>
      <c r="G594" s="140">
        <v>3</v>
      </c>
      <c r="H594" s="140" t="s">
        <v>24</v>
      </c>
      <c r="I594" s="140" t="s">
        <v>727</v>
      </c>
      <c r="J594" s="140" t="s">
        <v>5672</v>
      </c>
      <c r="K594" s="140">
        <v>3</v>
      </c>
      <c r="L594" s="140" t="s">
        <v>1045</v>
      </c>
      <c r="M594" s="140" t="s">
        <v>5673</v>
      </c>
      <c r="N594" s="140">
        <v>3</v>
      </c>
      <c r="O594" s="140" t="s">
        <v>451</v>
      </c>
      <c r="P594" s="142">
        <v>750000</v>
      </c>
      <c r="Q594" s="140" t="s">
        <v>452</v>
      </c>
      <c r="R594" s="140" t="s">
        <v>5674</v>
      </c>
      <c r="S594" s="140"/>
      <c r="T594" s="140"/>
      <c r="U594" s="143"/>
      <c r="V594" s="143"/>
      <c r="W594" s="143"/>
      <c r="X594" s="140" t="s">
        <v>5675</v>
      </c>
      <c r="Y594" s="140" t="s">
        <v>5676</v>
      </c>
      <c r="Z594" s="140" t="str">
        <f ca="1">IFERROR(__xludf.DUMMYFUNCTION("IF(VLOOKUP($Y594, IMPORTRANGE(""https://docs.google.com/spreadsheets/d/1WsTKRjz8_fF2119Ff9dhKIIYXSaUEHzuWr8pBkxmwQQ/edit"", ""Form Responses 1!$B:$Z""),1, FALSE)=$Y594,""Yes"",""No"")"),"#N/A")</f>
        <v>#N/A</v>
      </c>
      <c r="AA594" s="140"/>
      <c r="AB594" s="140"/>
    </row>
    <row r="595" spans="1:28">
      <c r="A595" s="144" t="s">
        <v>443</v>
      </c>
      <c r="B595" s="144" t="s">
        <v>5677</v>
      </c>
      <c r="C595" s="144" t="s">
        <v>5678</v>
      </c>
      <c r="D595" s="144" t="s">
        <v>5679</v>
      </c>
      <c r="E595" s="144" t="s">
        <v>5680</v>
      </c>
      <c r="F595" s="144" t="s">
        <v>4</v>
      </c>
      <c r="G595" s="144">
        <v>3</v>
      </c>
      <c r="H595" s="144" t="s">
        <v>24</v>
      </c>
      <c r="I595" s="144" t="s">
        <v>460</v>
      </c>
      <c r="J595" s="144" t="s">
        <v>5681</v>
      </c>
      <c r="K595" s="144">
        <v>3</v>
      </c>
      <c r="L595" s="144" t="s">
        <v>462</v>
      </c>
      <c r="M595" s="144" t="s">
        <v>5682</v>
      </c>
      <c r="N595" s="144">
        <v>3</v>
      </c>
      <c r="O595" s="144" t="s">
        <v>478</v>
      </c>
      <c r="P595" s="147">
        <v>1000000</v>
      </c>
      <c r="Q595" s="144" t="s">
        <v>452</v>
      </c>
      <c r="R595" s="144" t="s">
        <v>452</v>
      </c>
      <c r="S595" s="144"/>
      <c r="T595" s="144" t="s">
        <v>2242</v>
      </c>
      <c r="U595" s="145"/>
      <c r="V595" s="145"/>
      <c r="W595" s="145"/>
      <c r="X595" s="144" t="s">
        <v>5683</v>
      </c>
      <c r="Y595" s="144" t="s">
        <v>5684</v>
      </c>
      <c r="Z595" s="144" t="str">
        <f ca="1">IFERROR(__xludf.DUMMYFUNCTION("IF(VLOOKUP($Y595, IMPORTRANGE(""https://docs.google.com/spreadsheets/d/1WsTKRjz8_fF2119Ff9dhKIIYXSaUEHzuWr8pBkxmwQQ/edit"", ""Form Responses 1!$B:$Z""),1, FALSE)=$Y595,""Yes"",""No"")"),"#N/A")</f>
        <v>#N/A</v>
      </c>
      <c r="AA595" s="144"/>
      <c r="AB595" s="144"/>
    </row>
    <row r="596" spans="1:28">
      <c r="A596" s="140" t="s">
        <v>443</v>
      </c>
      <c r="B596" s="140" t="s">
        <v>5685</v>
      </c>
      <c r="C596" s="140" t="s">
        <v>5686</v>
      </c>
      <c r="D596" s="140" t="s">
        <v>5687</v>
      </c>
      <c r="E596" s="140" t="s">
        <v>5688</v>
      </c>
      <c r="F596" s="140" t="s">
        <v>4</v>
      </c>
      <c r="G596" s="140">
        <v>3</v>
      </c>
      <c r="H596" s="140" t="s">
        <v>24</v>
      </c>
      <c r="I596" s="140" t="s">
        <v>727</v>
      </c>
      <c r="J596" s="140"/>
      <c r="K596" s="140">
        <v>3</v>
      </c>
      <c r="L596" s="140" t="s">
        <v>476</v>
      </c>
      <c r="M596" s="140" t="s">
        <v>5689</v>
      </c>
      <c r="N596" s="140">
        <v>3</v>
      </c>
      <c r="O596" s="140" t="s">
        <v>478</v>
      </c>
      <c r="P596" s="140">
        <v>1000000</v>
      </c>
      <c r="Q596" s="140" t="s">
        <v>452</v>
      </c>
      <c r="R596" s="140" t="s">
        <v>452</v>
      </c>
      <c r="S596" s="140"/>
      <c r="T596" s="140"/>
      <c r="U596" s="143"/>
      <c r="V596" s="143"/>
      <c r="W596" s="143"/>
      <c r="X596" s="140" t="s">
        <v>5690</v>
      </c>
      <c r="Y596" s="140" t="s">
        <v>5691</v>
      </c>
      <c r="Z596" s="140" t="str">
        <f ca="1">IFERROR(__xludf.DUMMYFUNCTION("IF(VLOOKUP($Y596, IMPORTRANGE(""https://docs.google.com/spreadsheets/d/1WsTKRjz8_fF2119Ff9dhKIIYXSaUEHzuWr8pBkxmwQQ/edit"", ""Form Responses 1!$B:$Z""),1, FALSE)=$Y596,""Yes"",""No"")"),"#N/A")</f>
        <v>#N/A</v>
      </c>
      <c r="AA596" s="140"/>
      <c r="AB596" s="140"/>
    </row>
    <row r="597" spans="1:28">
      <c r="A597" s="144" t="s">
        <v>907</v>
      </c>
      <c r="B597" s="144" t="s">
        <v>5692</v>
      </c>
      <c r="C597" s="144" t="s">
        <v>5693</v>
      </c>
      <c r="D597" s="144" t="s">
        <v>5694</v>
      </c>
      <c r="E597" s="144" t="s">
        <v>5695</v>
      </c>
      <c r="F597" s="144" t="s">
        <v>4</v>
      </c>
      <c r="G597" s="144">
        <v>3</v>
      </c>
      <c r="H597" s="144" t="s">
        <v>24</v>
      </c>
      <c r="I597" s="144" t="s">
        <v>447</v>
      </c>
      <c r="J597" s="144" t="s">
        <v>5696</v>
      </c>
      <c r="K597" s="144">
        <v>3.5</v>
      </c>
      <c r="L597" s="144" t="s">
        <v>622</v>
      </c>
      <c r="M597" s="144" t="s">
        <v>5697</v>
      </c>
      <c r="N597" s="144">
        <v>2.5</v>
      </c>
      <c r="O597" s="144"/>
      <c r="P597" s="144"/>
      <c r="Q597" s="144" t="s">
        <v>452</v>
      </c>
      <c r="R597" s="144" t="s">
        <v>5698</v>
      </c>
      <c r="S597" s="144"/>
      <c r="T597" s="144"/>
      <c r="U597" s="145"/>
      <c r="V597" s="145"/>
      <c r="W597" s="145"/>
      <c r="X597" s="144" t="s">
        <v>5111</v>
      </c>
      <c r="Y597" s="144" t="s">
        <v>5699</v>
      </c>
      <c r="Z597" s="144" t="str">
        <f ca="1">IFERROR(__xludf.DUMMYFUNCTION("IF(VLOOKUP($Y597, IMPORTRANGE(""https://docs.google.com/spreadsheets/d/1WsTKRjz8_fF2119Ff9dhKIIYXSaUEHzuWr8pBkxmwQQ/edit"", ""Form Responses 1!$B:$Z""),1, FALSE)=$Y597,""Yes"",""No"")"),"#N/A")</f>
        <v>#N/A</v>
      </c>
      <c r="AA597" s="144"/>
      <c r="AB597" s="144"/>
    </row>
    <row r="598" spans="1:28">
      <c r="A598" s="140" t="s">
        <v>907</v>
      </c>
      <c r="B598" s="140" t="s">
        <v>5700</v>
      </c>
      <c r="C598" s="140" t="s">
        <v>5701</v>
      </c>
      <c r="D598" s="140" t="s">
        <v>5702</v>
      </c>
      <c r="E598" s="140" t="s">
        <v>5703</v>
      </c>
      <c r="F598" s="140" t="s">
        <v>4</v>
      </c>
      <c r="G598" s="140">
        <v>3</v>
      </c>
      <c r="H598" s="140" t="s">
        <v>24</v>
      </c>
      <c r="I598" s="140" t="s">
        <v>447</v>
      </c>
      <c r="J598" s="140" t="s">
        <v>5704</v>
      </c>
      <c r="K598" s="140">
        <v>2.5</v>
      </c>
      <c r="L598" s="140" t="s">
        <v>1350</v>
      </c>
      <c r="M598" s="140" t="s">
        <v>5705</v>
      </c>
      <c r="N598" s="140">
        <v>3.5</v>
      </c>
      <c r="O598" s="140"/>
      <c r="P598" s="140"/>
      <c r="Q598" s="140" t="s">
        <v>452</v>
      </c>
      <c r="R598" s="140" t="s">
        <v>5706</v>
      </c>
      <c r="S598" s="140"/>
      <c r="T598" s="140"/>
      <c r="U598" s="143"/>
      <c r="V598" s="143"/>
      <c r="W598" s="143"/>
      <c r="X598" s="140" t="s">
        <v>5707</v>
      </c>
      <c r="Y598" s="140" t="s">
        <v>5708</v>
      </c>
      <c r="Z598" s="140" t="str">
        <f ca="1">IFERROR(__xludf.DUMMYFUNCTION("IF(VLOOKUP($Y598, IMPORTRANGE(""https://docs.google.com/spreadsheets/d/1WsTKRjz8_fF2119Ff9dhKIIYXSaUEHzuWr8pBkxmwQQ/edit"", ""Form Responses 1!$B:$Z""),1, FALSE)=$Y598,""Yes"",""No"")"),"#N/A")</f>
        <v>#N/A</v>
      </c>
      <c r="AA598" s="140"/>
      <c r="AB598" s="140"/>
    </row>
    <row r="599" spans="1:28">
      <c r="A599" s="144" t="s">
        <v>907</v>
      </c>
      <c r="B599" s="144" t="s">
        <v>5709</v>
      </c>
      <c r="C599" s="144" t="s">
        <v>5710</v>
      </c>
      <c r="D599" s="144" t="s">
        <v>5711</v>
      </c>
      <c r="E599" s="144" t="s">
        <v>5712</v>
      </c>
      <c r="F599" s="144" t="s">
        <v>4</v>
      </c>
      <c r="G599" s="144">
        <v>3</v>
      </c>
      <c r="H599" s="144" t="s">
        <v>24</v>
      </c>
      <c r="I599" s="144" t="s">
        <v>1045</v>
      </c>
      <c r="J599" s="144" t="s">
        <v>5713</v>
      </c>
      <c r="K599" s="144">
        <v>2.5</v>
      </c>
      <c r="L599" s="144" t="s">
        <v>1350</v>
      </c>
      <c r="M599" s="144" t="s">
        <v>5714</v>
      </c>
      <c r="N599" s="144">
        <v>3.5</v>
      </c>
      <c r="O599" s="144" t="s">
        <v>451</v>
      </c>
      <c r="P599" s="147">
        <v>615000</v>
      </c>
      <c r="Q599" s="144" t="s">
        <v>454</v>
      </c>
      <c r="R599" s="144" t="s">
        <v>5715</v>
      </c>
      <c r="S599" s="144"/>
      <c r="T599" s="144"/>
      <c r="U599" s="145"/>
      <c r="V599" s="145"/>
      <c r="W599" s="145"/>
      <c r="X599" s="144" t="s">
        <v>1354</v>
      </c>
      <c r="Y599" s="144" t="s">
        <v>5716</v>
      </c>
      <c r="Z599" s="144" t="str">
        <f ca="1">IFERROR(__xludf.DUMMYFUNCTION("IF(VLOOKUP($Y599, IMPORTRANGE(""https://docs.google.com/spreadsheets/d/1WsTKRjz8_fF2119Ff9dhKIIYXSaUEHzuWr8pBkxmwQQ/edit"", ""Form Responses 1!$B:$Z""),1, FALSE)=$Y599,""Yes"",""No"")"),"#N/A")</f>
        <v>#N/A</v>
      </c>
      <c r="AA599" s="144"/>
      <c r="AB599" s="144"/>
    </row>
    <row r="600" spans="1:28">
      <c r="A600" s="140" t="s">
        <v>598</v>
      </c>
      <c r="B600" s="140" t="s">
        <v>5717</v>
      </c>
      <c r="C600" s="140" t="s">
        <v>5718</v>
      </c>
      <c r="D600" s="140" t="s">
        <v>5719</v>
      </c>
      <c r="E600" s="140" t="s">
        <v>5720</v>
      </c>
      <c r="F600" s="140" t="s">
        <v>4</v>
      </c>
      <c r="G600" s="140">
        <v>3</v>
      </c>
      <c r="H600" s="140" t="s">
        <v>24</v>
      </c>
      <c r="I600" s="140" t="s">
        <v>602</v>
      </c>
      <c r="J600" s="140" t="s">
        <v>5721</v>
      </c>
      <c r="K600" s="140">
        <v>3</v>
      </c>
      <c r="L600" s="140" t="s">
        <v>1371</v>
      </c>
      <c r="M600" s="140" t="s">
        <v>5722</v>
      </c>
      <c r="N600" s="140">
        <v>3</v>
      </c>
      <c r="O600" s="140"/>
      <c r="P600" s="140"/>
      <c r="Q600" s="140" t="s">
        <v>452</v>
      </c>
      <c r="R600" s="140" t="s">
        <v>5723</v>
      </c>
      <c r="S600" s="140"/>
      <c r="T600" s="140"/>
      <c r="U600" s="143"/>
      <c r="V600" s="143"/>
      <c r="W600" s="143"/>
      <c r="X600" s="140" t="s">
        <v>1067</v>
      </c>
      <c r="Y600" s="140" t="s">
        <v>5724</v>
      </c>
      <c r="Z600" s="140" t="str">
        <f ca="1">IFERROR(__xludf.DUMMYFUNCTION("IF(VLOOKUP($Y600, IMPORTRANGE(""https://docs.google.com/spreadsheets/d/1WsTKRjz8_fF2119Ff9dhKIIYXSaUEHzuWr8pBkxmwQQ/edit"", ""Form Responses 1!$B:$Z""),1, FALSE)=$Y600,""Yes"",""No"")"),"#N/A")</f>
        <v>#N/A</v>
      </c>
      <c r="AA600" s="140"/>
      <c r="AB600" s="140"/>
    </row>
    <row r="601" spans="1:28">
      <c r="A601" s="144" t="s">
        <v>529</v>
      </c>
      <c r="B601" s="144" t="s">
        <v>5725</v>
      </c>
      <c r="C601" s="144" t="s">
        <v>5726</v>
      </c>
      <c r="D601" s="144" t="s">
        <v>5727</v>
      </c>
      <c r="E601" s="144" t="s">
        <v>5728</v>
      </c>
      <c r="F601" s="144" t="s">
        <v>4</v>
      </c>
      <c r="G601" s="144">
        <v>3</v>
      </c>
      <c r="H601" s="144" t="s">
        <v>24</v>
      </c>
      <c r="I601" s="144" t="s">
        <v>725</v>
      </c>
      <c r="J601" s="144"/>
      <c r="K601" s="144">
        <v>3</v>
      </c>
      <c r="L601" s="144" t="s">
        <v>1371</v>
      </c>
      <c r="M601" s="144" t="s">
        <v>5729</v>
      </c>
      <c r="N601" s="144">
        <v>3</v>
      </c>
      <c r="O601" s="144" t="s">
        <v>451</v>
      </c>
      <c r="P601" s="146">
        <v>500000</v>
      </c>
      <c r="Q601" s="144" t="s">
        <v>452</v>
      </c>
      <c r="R601" s="144" t="s">
        <v>5730</v>
      </c>
      <c r="S601" s="144"/>
      <c r="T601" s="144"/>
      <c r="U601" s="145"/>
      <c r="V601" s="145"/>
      <c r="W601" s="145"/>
      <c r="X601" s="144" t="s">
        <v>5731</v>
      </c>
      <c r="Y601" s="144" t="s">
        <v>5732</v>
      </c>
      <c r="Z601" s="144" t="str">
        <f ca="1">IFERROR(__xludf.DUMMYFUNCTION("IF(VLOOKUP($Y601, IMPORTRANGE(""https://docs.google.com/spreadsheets/d/1WsTKRjz8_fF2119Ff9dhKIIYXSaUEHzuWr8pBkxmwQQ/edit"", ""Form Responses 1!$B:$Z""),1, FALSE)=$Y601,""Yes"",""No"")"),"#N/A")</f>
        <v>#N/A</v>
      </c>
      <c r="AA601" s="144"/>
      <c r="AB601" s="144"/>
    </row>
    <row r="602" spans="1:28">
      <c r="A602" s="140" t="s">
        <v>529</v>
      </c>
      <c r="B602" s="140" t="s">
        <v>5733</v>
      </c>
      <c r="C602" s="140" t="s">
        <v>5734</v>
      </c>
      <c r="D602" s="140" t="s">
        <v>5735</v>
      </c>
      <c r="E602" s="140" t="s">
        <v>5736</v>
      </c>
      <c r="F602" s="140" t="s">
        <v>4</v>
      </c>
      <c r="G602" s="140">
        <v>3</v>
      </c>
      <c r="H602" s="140" t="s">
        <v>24</v>
      </c>
      <c r="I602" s="140" t="s">
        <v>725</v>
      </c>
      <c r="J602" s="140" t="s">
        <v>5737</v>
      </c>
      <c r="K602" s="140">
        <v>4</v>
      </c>
      <c r="L602" s="140" t="s">
        <v>1457</v>
      </c>
      <c r="M602" s="140" t="s">
        <v>5738</v>
      </c>
      <c r="N602" s="140">
        <v>2</v>
      </c>
      <c r="O602" s="140"/>
      <c r="P602" s="140"/>
      <c r="Q602" s="140" t="s">
        <v>454</v>
      </c>
      <c r="R602" s="140" t="s">
        <v>452</v>
      </c>
      <c r="S602" s="140"/>
      <c r="T602" s="140"/>
      <c r="U602" s="143"/>
      <c r="V602" s="143"/>
      <c r="W602" s="143"/>
      <c r="X602" s="140" t="s">
        <v>1622</v>
      </c>
      <c r="Y602" s="140" t="s">
        <v>5739</v>
      </c>
      <c r="Z602" s="140" t="str">
        <f ca="1">IFERROR(__xludf.DUMMYFUNCTION("IF(VLOOKUP($Y602, IMPORTRANGE(""https://docs.google.com/spreadsheets/d/1WsTKRjz8_fF2119Ff9dhKIIYXSaUEHzuWr8pBkxmwQQ/edit"", ""Form Responses 1!$B:$Z""),1, FALSE)=$Y602,""Yes"",""No"")"),"#N/A")</f>
        <v>#N/A</v>
      </c>
      <c r="AA602" s="140"/>
      <c r="AB602" s="140"/>
    </row>
    <row r="603" spans="1:28">
      <c r="A603" s="144" t="s">
        <v>907</v>
      </c>
      <c r="B603" s="144" t="s">
        <v>5740</v>
      </c>
      <c r="C603" s="144" t="s">
        <v>5741</v>
      </c>
      <c r="D603" s="144" t="s">
        <v>5742</v>
      </c>
      <c r="E603" s="144" t="s">
        <v>5743</v>
      </c>
      <c r="F603" s="144" t="s">
        <v>4</v>
      </c>
      <c r="G603" s="144">
        <v>3</v>
      </c>
      <c r="H603" s="144" t="s">
        <v>24</v>
      </c>
      <c r="I603" s="144" t="s">
        <v>1045</v>
      </c>
      <c r="J603" s="144" t="s">
        <v>5744</v>
      </c>
      <c r="K603" s="144">
        <v>3</v>
      </c>
      <c r="L603" s="144" t="s">
        <v>1457</v>
      </c>
      <c r="M603" s="144" t="s">
        <v>5745</v>
      </c>
      <c r="N603" s="144">
        <v>3</v>
      </c>
      <c r="O603" s="144" t="s">
        <v>451</v>
      </c>
      <c r="P603" s="144">
        <v>500000</v>
      </c>
      <c r="Q603" s="144" t="s">
        <v>452</v>
      </c>
      <c r="R603" s="144" t="s">
        <v>5746</v>
      </c>
      <c r="S603" s="144"/>
      <c r="T603" s="144"/>
      <c r="U603" s="145"/>
      <c r="V603" s="145"/>
      <c r="W603" s="145"/>
      <c r="X603" s="144" t="s">
        <v>2748</v>
      </c>
      <c r="Y603" s="144" t="s">
        <v>5747</v>
      </c>
      <c r="Z603" s="144" t="str">
        <f ca="1">IFERROR(__xludf.DUMMYFUNCTION("IF(VLOOKUP($Y603, IMPORTRANGE(""https://docs.google.com/spreadsheets/d/1WsTKRjz8_fF2119Ff9dhKIIYXSaUEHzuWr8pBkxmwQQ/edit"", ""Form Responses 1!$B:$Z""),1, FALSE)=$Y603,""Yes"",""No"")"),"#N/A")</f>
        <v>#N/A</v>
      </c>
      <c r="AA603" s="144"/>
      <c r="AB603" s="144"/>
    </row>
    <row r="604" spans="1:28">
      <c r="A604" s="140" t="s">
        <v>598</v>
      </c>
      <c r="B604" s="140" t="s">
        <v>5748</v>
      </c>
      <c r="C604" s="140" t="s">
        <v>5749</v>
      </c>
      <c r="D604" s="140" t="s">
        <v>5750</v>
      </c>
      <c r="E604" s="140" t="s">
        <v>5751</v>
      </c>
      <c r="F604" s="140" t="s">
        <v>4</v>
      </c>
      <c r="G604" s="140">
        <v>3</v>
      </c>
      <c r="H604" s="140" t="s">
        <v>24</v>
      </c>
      <c r="I604" s="140" t="s">
        <v>727</v>
      </c>
      <c r="J604" s="140" t="s">
        <v>5752</v>
      </c>
      <c r="K604" s="140">
        <v>3</v>
      </c>
      <c r="L604" s="140" t="s">
        <v>1457</v>
      </c>
      <c r="M604" s="140" t="s">
        <v>5753</v>
      </c>
      <c r="N604" s="140">
        <v>3</v>
      </c>
      <c r="O604" s="140" t="s">
        <v>784</v>
      </c>
      <c r="P604" s="140">
        <v>1500000</v>
      </c>
      <c r="Q604" s="140" t="s">
        <v>465</v>
      </c>
      <c r="R604" s="140" t="s">
        <v>5754</v>
      </c>
      <c r="S604" s="140" t="s">
        <v>725</v>
      </c>
      <c r="T604" s="140"/>
      <c r="U604" s="143"/>
      <c r="V604" s="143"/>
      <c r="W604" s="143"/>
      <c r="X604" s="140" t="s">
        <v>5755</v>
      </c>
      <c r="Y604" s="140" t="s">
        <v>5756</v>
      </c>
      <c r="Z604" s="140" t="str">
        <f ca="1">IFERROR(__xludf.DUMMYFUNCTION("IF(VLOOKUP($Y604, IMPORTRANGE(""https://docs.google.com/spreadsheets/d/1WsTKRjz8_fF2119Ff9dhKIIYXSaUEHzuWr8pBkxmwQQ/edit"", ""Form Responses 1!$B:$Z""),1, FALSE)=$Y604,""Yes"",""No"")"),"#N/A")</f>
        <v>#N/A</v>
      </c>
      <c r="AA604" s="140"/>
      <c r="AB604" s="140"/>
    </row>
    <row r="605" spans="1:28">
      <c r="A605" s="144" t="s">
        <v>471</v>
      </c>
      <c r="B605" s="144" t="s">
        <v>5757</v>
      </c>
      <c r="C605" s="144" t="s">
        <v>5758</v>
      </c>
      <c r="D605" s="144" t="s">
        <v>5759</v>
      </c>
      <c r="E605" s="144" t="s">
        <v>5760</v>
      </c>
      <c r="F605" s="144" t="s">
        <v>4</v>
      </c>
      <c r="G605" s="144">
        <v>3</v>
      </c>
      <c r="H605" s="144" t="s">
        <v>24</v>
      </c>
      <c r="I605" s="144" t="s">
        <v>602</v>
      </c>
      <c r="J605" s="144" t="s">
        <v>5761</v>
      </c>
      <c r="K605" s="144">
        <v>4</v>
      </c>
      <c r="L605" s="144" t="s">
        <v>476</v>
      </c>
      <c r="M605" s="144" t="s">
        <v>5762</v>
      </c>
      <c r="N605" s="144">
        <v>2</v>
      </c>
      <c r="O605" s="144" t="s">
        <v>451</v>
      </c>
      <c r="P605" s="147">
        <v>5000000</v>
      </c>
      <c r="Q605" s="144" t="s">
        <v>452</v>
      </c>
      <c r="R605" s="144" t="s">
        <v>5763</v>
      </c>
      <c r="S605" s="144"/>
      <c r="T605" s="144"/>
      <c r="U605" s="145"/>
      <c r="V605" s="145"/>
      <c r="W605" s="145"/>
      <c r="X605" s="144" t="s">
        <v>1020</v>
      </c>
      <c r="Y605" s="144" t="s">
        <v>5764</v>
      </c>
      <c r="Z605" s="144" t="str">
        <f ca="1">IFERROR(__xludf.DUMMYFUNCTION("IF(VLOOKUP($Y605, IMPORTRANGE(""https://docs.google.com/spreadsheets/d/1WsTKRjz8_fF2119Ff9dhKIIYXSaUEHzuWr8pBkxmwQQ/edit"", ""Form Responses 1!$B:$Z""),1, FALSE)=$Y605,""Yes"",""No"")"),"#N/A")</f>
        <v>#N/A</v>
      </c>
      <c r="AA605" s="144"/>
      <c r="AB605" s="144"/>
    </row>
    <row r="606" spans="1:28">
      <c r="A606" s="140" t="s">
        <v>484</v>
      </c>
      <c r="B606" s="140" t="s">
        <v>5765</v>
      </c>
      <c r="C606" s="140" t="s">
        <v>5766</v>
      </c>
      <c r="D606" s="140" t="s">
        <v>5767</v>
      </c>
      <c r="E606" s="162" t="s">
        <v>5768</v>
      </c>
      <c r="F606" s="140" t="s">
        <v>4</v>
      </c>
      <c r="G606" s="140">
        <v>3</v>
      </c>
      <c r="H606" s="140" t="s">
        <v>24</v>
      </c>
      <c r="I606" s="140" t="s">
        <v>727</v>
      </c>
      <c r="J606" s="140" t="s">
        <v>5769</v>
      </c>
      <c r="K606" s="140">
        <v>3</v>
      </c>
      <c r="L606" s="140" t="s">
        <v>476</v>
      </c>
      <c r="M606" s="140" t="s">
        <v>5770</v>
      </c>
      <c r="N606" s="140">
        <v>3</v>
      </c>
      <c r="O606" s="140" t="s">
        <v>784</v>
      </c>
      <c r="P606" s="142">
        <v>300000</v>
      </c>
      <c r="Q606" s="140" t="s">
        <v>452</v>
      </c>
      <c r="R606" s="140" t="s">
        <v>5771</v>
      </c>
      <c r="S606" s="140"/>
      <c r="T606" s="140"/>
      <c r="U606" s="143"/>
      <c r="V606" s="143"/>
      <c r="W606" s="143"/>
      <c r="X606" s="140" t="s">
        <v>5772</v>
      </c>
      <c r="Y606" s="140" t="s">
        <v>5773</v>
      </c>
      <c r="Z606" s="140" t="str">
        <f ca="1">IFERROR(__xludf.DUMMYFUNCTION("IF(VLOOKUP($Y606, IMPORTRANGE(""https://docs.google.com/spreadsheets/d/1WsTKRjz8_fF2119Ff9dhKIIYXSaUEHzuWr8pBkxmwQQ/edit"", ""Form Responses 1!$B:$Z""),1, FALSE)=$Y606,""Yes"",""No"")"),"#N/A")</f>
        <v>#N/A</v>
      </c>
      <c r="AA606" s="140"/>
      <c r="AB606" s="140"/>
    </row>
    <row r="607" spans="1:28">
      <c r="A607" s="144" t="s">
        <v>907</v>
      </c>
      <c r="B607" s="144" t="s">
        <v>5774</v>
      </c>
      <c r="C607" s="144" t="s">
        <v>5775</v>
      </c>
      <c r="D607" s="144" t="s">
        <v>5776</v>
      </c>
      <c r="E607" s="144" t="s">
        <v>5777</v>
      </c>
      <c r="F607" s="144" t="s">
        <v>4</v>
      </c>
      <c r="G607" s="144">
        <v>3</v>
      </c>
      <c r="H607" s="144" t="s">
        <v>24</v>
      </c>
      <c r="I607" s="144" t="s">
        <v>725</v>
      </c>
      <c r="J607" s="144" t="s">
        <v>5778</v>
      </c>
      <c r="K607" s="144">
        <v>3</v>
      </c>
      <c r="L607" s="144" t="s">
        <v>447</v>
      </c>
      <c r="M607" s="144" t="s">
        <v>5779</v>
      </c>
      <c r="N607" s="144">
        <v>3</v>
      </c>
      <c r="O607" s="144" t="s">
        <v>451</v>
      </c>
      <c r="P607" s="144">
        <v>2200000</v>
      </c>
      <c r="Q607" s="144" t="s">
        <v>452</v>
      </c>
      <c r="R607" s="144" t="s">
        <v>5780</v>
      </c>
      <c r="S607" s="144"/>
      <c r="T607" s="144"/>
      <c r="U607" s="145"/>
      <c r="V607" s="145"/>
      <c r="W607" s="145"/>
      <c r="X607" s="144" t="s">
        <v>5781</v>
      </c>
      <c r="Y607" s="144" t="s">
        <v>5782</v>
      </c>
      <c r="Z607" s="144" t="str">
        <f ca="1">IFERROR(__xludf.DUMMYFUNCTION("IF(VLOOKUP($Y607, IMPORTRANGE(""https://docs.google.com/spreadsheets/d/1WsTKRjz8_fF2119Ff9dhKIIYXSaUEHzuWr8pBkxmwQQ/edit"", ""Form Responses 1!$B:$Z""),1, FALSE)=$Y607,""Yes"",""No"")"),"#N/A")</f>
        <v>#N/A</v>
      </c>
      <c r="AA607" s="144"/>
      <c r="AB607" s="144"/>
    </row>
    <row r="608" spans="1:28">
      <c r="A608" s="140" t="s">
        <v>529</v>
      </c>
      <c r="B608" s="140" t="s">
        <v>5783</v>
      </c>
      <c r="C608" s="140" t="s">
        <v>5784</v>
      </c>
      <c r="D608" s="140" t="s">
        <v>5785</v>
      </c>
      <c r="E608" s="140" t="s">
        <v>5786</v>
      </c>
      <c r="F608" s="140" t="s">
        <v>4</v>
      </c>
      <c r="G608" s="140">
        <v>3</v>
      </c>
      <c r="H608" s="140" t="s">
        <v>24</v>
      </c>
      <c r="I608" s="140" t="s">
        <v>727</v>
      </c>
      <c r="J608" s="140"/>
      <c r="K608" s="140">
        <v>3</v>
      </c>
      <c r="L608" s="140" t="s">
        <v>1045</v>
      </c>
      <c r="M608" s="140" t="s">
        <v>5787</v>
      </c>
      <c r="N608" s="140">
        <v>3</v>
      </c>
      <c r="O608" s="140" t="s">
        <v>784</v>
      </c>
      <c r="P608" s="148">
        <v>205000</v>
      </c>
      <c r="Q608" s="140" t="s">
        <v>465</v>
      </c>
      <c r="R608" s="140" t="s">
        <v>5788</v>
      </c>
      <c r="S608" s="140"/>
      <c r="T608" s="140"/>
      <c r="U608" s="143"/>
      <c r="V608" s="143"/>
      <c r="W608" s="143"/>
      <c r="X608" s="140" t="s">
        <v>5789</v>
      </c>
      <c r="Y608" s="140" t="s">
        <v>5790</v>
      </c>
      <c r="Z608" s="140" t="str">
        <f ca="1">IFERROR(__xludf.DUMMYFUNCTION("IF(VLOOKUP($Y608, IMPORTRANGE(""https://docs.google.com/spreadsheets/d/1WsTKRjz8_fF2119Ff9dhKIIYXSaUEHzuWr8pBkxmwQQ/edit"", ""Form Responses 1!$B:$Z""),1, FALSE)=$Y608,""Yes"",""No"")"),"#N/A")</f>
        <v>#N/A</v>
      </c>
      <c r="AA608" s="140"/>
      <c r="AB608" s="140"/>
    </row>
    <row r="609" spans="1:28">
      <c r="A609" s="144" t="s">
        <v>529</v>
      </c>
      <c r="B609" s="144" t="s">
        <v>5791</v>
      </c>
      <c r="C609" s="144" t="s">
        <v>5792</v>
      </c>
      <c r="D609" s="144" t="s">
        <v>5793</v>
      </c>
      <c r="E609" s="144" t="s">
        <v>5794</v>
      </c>
      <c r="F609" s="144" t="s">
        <v>4</v>
      </c>
      <c r="G609" s="144">
        <v>3</v>
      </c>
      <c r="H609" s="144" t="s">
        <v>24</v>
      </c>
      <c r="I609" s="144" t="s">
        <v>1457</v>
      </c>
      <c r="J609" s="144" t="s">
        <v>5795</v>
      </c>
      <c r="K609" s="144">
        <v>3</v>
      </c>
      <c r="L609" s="144" t="s">
        <v>1045</v>
      </c>
      <c r="M609" s="144" t="s">
        <v>5796</v>
      </c>
      <c r="N609" s="144">
        <v>3</v>
      </c>
      <c r="O609" s="144" t="s">
        <v>451</v>
      </c>
      <c r="P609" s="146">
        <v>4000000</v>
      </c>
      <c r="Q609" s="144" t="s">
        <v>452</v>
      </c>
      <c r="R609" s="144" t="s">
        <v>5797</v>
      </c>
      <c r="S609" s="144"/>
      <c r="T609" s="144"/>
      <c r="U609" s="145"/>
      <c r="V609" s="145"/>
      <c r="W609" s="145"/>
      <c r="X609" s="144" t="s">
        <v>5798</v>
      </c>
      <c r="Y609" s="144" t="s">
        <v>5799</v>
      </c>
      <c r="Z609" s="144" t="str">
        <f ca="1">IFERROR(__xludf.DUMMYFUNCTION("IF(VLOOKUP($Y609, IMPORTRANGE(""https://docs.google.com/spreadsheets/d/1WsTKRjz8_fF2119Ff9dhKIIYXSaUEHzuWr8pBkxmwQQ/edit"", ""Form Responses 1!$B:$Z""),1, FALSE)=$Y609,""Yes"",""No"")"),"#N/A")</f>
        <v>#N/A</v>
      </c>
      <c r="AA609" s="144"/>
      <c r="AB609" s="144"/>
    </row>
    <row r="610" spans="1:28">
      <c r="A610" s="140" t="s">
        <v>484</v>
      </c>
      <c r="B610" s="140" t="s">
        <v>5800</v>
      </c>
      <c r="C610" s="140" t="s">
        <v>5801</v>
      </c>
      <c r="D610" s="140" t="s">
        <v>5802</v>
      </c>
      <c r="E610" s="140" t="s">
        <v>5803</v>
      </c>
      <c r="F610" s="140" t="s">
        <v>4</v>
      </c>
      <c r="G610" s="140">
        <v>3</v>
      </c>
      <c r="H610" s="140" t="s">
        <v>24</v>
      </c>
      <c r="I610" s="140" t="s">
        <v>727</v>
      </c>
      <c r="J610" s="140" t="s">
        <v>5804</v>
      </c>
      <c r="K610" s="140">
        <v>3</v>
      </c>
      <c r="L610" s="140" t="s">
        <v>476</v>
      </c>
      <c r="M610" s="140" t="s">
        <v>5805</v>
      </c>
      <c r="N610" s="140">
        <v>3</v>
      </c>
      <c r="O610" s="140" t="s">
        <v>451</v>
      </c>
      <c r="P610" s="142">
        <v>1000000</v>
      </c>
      <c r="Q610" s="140" t="s">
        <v>452</v>
      </c>
      <c r="R610" s="140" t="s">
        <v>5806</v>
      </c>
      <c r="S610" s="140"/>
      <c r="T610" s="140"/>
      <c r="U610" s="143"/>
      <c r="V610" s="143"/>
      <c r="W610" s="143"/>
      <c r="X610" s="140" t="s">
        <v>5807</v>
      </c>
      <c r="Y610" s="140" t="s">
        <v>5808</v>
      </c>
      <c r="Z610" s="140" t="str">
        <f ca="1">IFERROR(__xludf.DUMMYFUNCTION("IF(VLOOKUP($Y610, IMPORTRANGE(""https://docs.google.com/spreadsheets/d/1WsTKRjz8_fF2119Ff9dhKIIYXSaUEHzuWr8pBkxmwQQ/edit"", ""Form Responses 1!$B:$Z""),1, FALSE)=$Y610,""Yes"",""No"")"),"#N/A")</f>
        <v>#N/A</v>
      </c>
      <c r="AA610" s="140"/>
      <c r="AB610" s="140"/>
    </row>
    <row r="611" spans="1:28">
      <c r="A611" s="144" t="s">
        <v>484</v>
      </c>
      <c r="B611" s="144" t="s">
        <v>5809</v>
      </c>
      <c r="C611" s="144" t="s">
        <v>5810</v>
      </c>
      <c r="D611" s="144" t="s">
        <v>5811</v>
      </c>
      <c r="E611" s="144" t="s">
        <v>5812</v>
      </c>
      <c r="F611" s="144" t="s">
        <v>4</v>
      </c>
      <c r="G611" s="144">
        <v>3</v>
      </c>
      <c r="H611" s="144" t="s">
        <v>24</v>
      </c>
      <c r="I611" s="144" t="s">
        <v>602</v>
      </c>
      <c r="J611" s="144" t="s">
        <v>5813</v>
      </c>
      <c r="K611" s="144">
        <v>3</v>
      </c>
      <c r="L611" s="144" t="s">
        <v>1054</v>
      </c>
      <c r="M611" s="144" t="s">
        <v>5814</v>
      </c>
      <c r="N611" s="144">
        <v>3</v>
      </c>
      <c r="O611" s="144" t="s">
        <v>451</v>
      </c>
      <c r="P611" s="144" t="s">
        <v>5815</v>
      </c>
      <c r="Q611" s="144" t="s">
        <v>465</v>
      </c>
      <c r="R611" s="144" t="s">
        <v>452</v>
      </c>
      <c r="S611" s="144"/>
      <c r="T611" s="144"/>
      <c r="U611" s="145"/>
      <c r="V611" s="145"/>
      <c r="W611" s="145"/>
      <c r="X611" s="144" t="s">
        <v>5816</v>
      </c>
      <c r="Y611" s="144" t="s">
        <v>5817</v>
      </c>
      <c r="Z611" s="144" t="str">
        <f ca="1">IFERROR(__xludf.DUMMYFUNCTION("IF(VLOOKUP($Y611, IMPORTRANGE(""https://docs.google.com/spreadsheets/d/1WsTKRjz8_fF2119Ff9dhKIIYXSaUEHzuWr8pBkxmwQQ/edit"", ""Form Responses 1!$B:$Z""),1, FALSE)=$Y611,""Yes"",""No"")"),"#N/A")</f>
        <v>#N/A</v>
      </c>
      <c r="AA611" s="144"/>
      <c r="AB611" s="144"/>
    </row>
    <row r="612" spans="1:28">
      <c r="A612" s="140" t="s">
        <v>907</v>
      </c>
      <c r="B612" s="140" t="s">
        <v>5818</v>
      </c>
      <c r="C612" s="140" t="s">
        <v>5819</v>
      </c>
      <c r="D612" s="140" t="s">
        <v>5820</v>
      </c>
      <c r="E612" s="140" t="s">
        <v>5821</v>
      </c>
      <c r="F612" s="140" t="s">
        <v>4</v>
      </c>
      <c r="G612" s="140">
        <v>3</v>
      </c>
      <c r="H612" s="140" t="s">
        <v>24</v>
      </c>
      <c r="I612" s="140" t="s">
        <v>1045</v>
      </c>
      <c r="J612" s="140" t="s">
        <v>5822</v>
      </c>
      <c r="K612" s="140">
        <v>3.5</v>
      </c>
      <c r="L612" s="140" t="s">
        <v>462</v>
      </c>
      <c r="M612" s="140" t="s">
        <v>5823</v>
      </c>
      <c r="N612" s="140">
        <v>2.5</v>
      </c>
      <c r="O612" s="140" t="s">
        <v>451</v>
      </c>
      <c r="P612" s="140">
        <v>2000000</v>
      </c>
      <c r="Q612" s="140" t="s">
        <v>452</v>
      </c>
      <c r="R612" s="140" t="s">
        <v>452</v>
      </c>
      <c r="S612" s="140"/>
      <c r="T612" s="140"/>
      <c r="U612" s="143"/>
      <c r="V612" s="143"/>
      <c r="W612" s="143"/>
      <c r="X612" s="140" t="s">
        <v>3522</v>
      </c>
      <c r="Y612" s="140" t="s">
        <v>5824</v>
      </c>
      <c r="Z612" s="140" t="str">
        <f ca="1">IFERROR(__xludf.DUMMYFUNCTION("IF(VLOOKUP($Y612, IMPORTRANGE(""https://docs.google.com/spreadsheets/d/1WsTKRjz8_fF2119Ff9dhKIIYXSaUEHzuWr8pBkxmwQQ/edit"", ""Form Responses 1!$B:$Z""),1, FALSE)=$Y612,""Yes"",""No"")"),"#N/A")</f>
        <v>#N/A</v>
      </c>
      <c r="AA612" s="140"/>
      <c r="AB612" s="140"/>
    </row>
    <row r="613" spans="1:28">
      <c r="A613" s="144" t="s">
        <v>443</v>
      </c>
      <c r="B613" s="144" t="s">
        <v>5825</v>
      </c>
      <c r="C613" s="144" t="s">
        <v>5826</v>
      </c>
      <c r="D613" s="144" t="s">
        <v>5827</v>
      </c>
      <c r="E613" s="144" t="s">
        <v>5828</v>
      </c>
      <c r="F613" s="144" t="s">
        <v>4</v>
      </c>
      <c r="G613" s="144">
        <v>2.88</v>
      </c>
      <c r="H613" s="144" t="s">
        <v>24</v>
      </c>
      <c r="I613" s="144" t="s">
        <v>727</v>
      </c>
      <c r="J613" s="144" t="s">
        <v>5829</v>
      </c>
      <c r="K613" s="144">
        <v>3.75</v>
      </c>
      <c r="L613" s="144" t="s">
        <v>1045</v>
      </c>
      <c r="M613" s="144" t="s">
        <v>5830</v>
      </c>
      <c r="N613" s="144">
        <v>2</v>
      </c>
      <c r="O613" s="144" t="s">
        <v>784</v>
      </c>
      <c r="P613" s="146">
        <v>350000</v>
      </c>
      <c r="Q613" s="144" t="s">
        <v>452</v>
      </c>
      <c r="R613" s="144" t="s">
        <v>5831</v>
      </c>
      <c r="S613" s="144"/>
      <c r="T613" s="144"/>
      <c r="U613" s="145"/>
      <c r="V613" s="145"/>
      <c r="W613" s="145"/>
      <c r="X613" s="144" t="s">
        <v>5832</v>
      </c>
      <c r="Y613" s="144" t="s">
        <v>5833</v>
      </c>
      <c r="Z613" s="144" t="str">
        <f ca="1">IFERROR(__xludf.DUMMYFUNCTION("IF(VLOOKUP($Y613, IMPORTRANGE(""https://docs.google.com/spreadsheets/d/1WsTKRjz8_fF2119Ff9dhKIIYXSaUEHzuWr8pBkxmwQQ/edit"", ""Form Responses 1!$B:$Z""),1, FALSE)=$Y613,""Yes"",""No"")"),"#N/A")</f>
        <v>#N/A</v>
      </c>
      <c r="AA613" s="144"/>
      <c r="AB613" s="144"/>
    </row>
    <row r="614" spans="1:28">
      <c r="A614" s="140" t="s">
        <v>598</v>
      </c>
      <c r="B614" s="140" t="s">
        <v>5834</v>
      </c>
      <c r="C614" s="140" t="s">
        <v>5835</v>
      </c>
      <c r="D614" s="140" t="s">
        <v>5836</v>
      </c>
      <c r="E614" s="140" t="s">
        <v>5837</v>
      </c>
      <c r="F614" s="140" t="s">
        <v>4</v>
      </c>
      <c r="G614" s="140">
        <v>2.75</v>
      </c>
      <c r="H614" s="140" t="s">
        <v>24</v>
      </c>
      <c r="I614" s="140" t="s">
        <v>727</v>
      </c>
      <c r="J614" s="140" t="s">
        <v>5838</v>
      </c>
      <c r="K614" s="140">
        <v>2.5</v>
      </c>
      <c r="L614" s="140" t="s">
        <v>990</v>
      </c>
      <c r="M614" s="140" t="s">
        <v>5839</v>
      </c>
      <c r="N614" s="140">
        <v>3</v>
      </c>
      <c r="O614" s="140" t="s">
        <v>478</v>
      </c>
      <c r="P614" s="142">
        <v>5000000</v>
      </c>
      <c r="Q614" s="140" t="s">
        <v>452</v>
      </c>
      <c r="R614" s="140" t="s">
        <v>452</v>
      </c>
      <c r="S614" s="140"/>
      <c r="T614" s="140"/>
      <c r="U614" s="143"/>
      <c r="V614" s="143"/>
      <c r="W614" s="143"/>
      <c r="X614" s="140" t="s">
        <v>2201</v>
      </c>
      <c r="Y614" s="140" t="s">
        <v>5840</v>
      </c>
      <c r="Z614" s="140" t="str">
        <f ca="1">IFERROR(__xludf.DUMMYFUNCTION("IF(VLOOKUP($Y614, IMPORTRANGE(""https://docs.google.com/spreadsheets/d/1WsTKRjz8_fF2119Ff9dhKIIYXSaUEHzuWr8pBkxmwQQ/edit"", ""Form Responses 1!$B:$Z""),1, FALSE)=$Y614,""Yes"",""No"")"),"#N/A")</f>
        <v>#N/A</v>
      </c>
      <c r="AA614" s="140"/>
      <c r="AB614" s="140"/>
    </row>
    <row r="615" spans="1:28">
      <c r="A615" s="144" t="s">
        <v>598</v>
      </c>
      <c r="B615" s="144" t="s">
        <v>5841</v>
      </c>
      <c r="C615" s="144" t="s">
        <v>5842</v>
      </c>
      <c r="D615" s="144" t="s">
        <v>5843</v>
      </c>
      <c r="E615" s="144" t="s">
        <v>5844</v>
      </c>
      <c r="F615" s="144" t="s">
        <v>4</v>
      </c>
      <c r="G615" s="144">
        <v>2.75</v>
      </c>
      <c r="H615" s="144" t="s">
        <v>24</v>
      </c>
      <c r="I615" s="144" t="s">
        <v>602</v>
      </c>
      <c r="J615" s="144" t="s">
        <v>5845</v>
      </c>
      <c r="K615" s="144">
        <v>2.5</v>
      </c>
      <c r="L615" s="144" t="s">
        <v>990</v>
      </c>
      <c r="M615" s="144"/>
      <c r="N615" s="144">
        <v>3</v>
      </c>
      <c r="O615" s="144"/>
      <c r="P615" s="144"/>
      <c r="Q615" s="144" t="s">
        <v>452</v>
      </c>
      <c r="R615" s="144" t="s">
        <v>5846</v>
      </c>
      <c r="S615" s="144"/>
      <c r="T615" s="144"/>
      <c r="U615" s="145"/>
      <c r="V615" s="145"/>
      <c r="W615" s="145"/>
      <c r="X615" s="144" t="s">
        <v>2097</v>
      </c>
      <c r="Y615" s="144" t="s">
        <v>5847</v>
      </c>
      <c r="Z615" s="144" t="str">
        <f ca="1">IFERROR(__xludf.DUMMYFUNCTION("IF(VLOOKUP($Y615, IMPORTRANGE(""https://docs.google.com/spreadsheets/d/1WsTKRjz8_fF2119Ff9dhKIIYXSaUEHzuWr8pBkxmwQQ/edit"", ""Form Responses 1!$B:$Z""),1, FALSE)=$Y615,""Yes"",""No"")"),"#N/A")</f>
        <v>#N/A</v>
      </c>
      <c r="AA615" s="144"/>
      <c r="AB615" s="144"/>
    </row>
    <row r="616" spans="1:28">
      <c r="A616" s="140" t="s">
        <v>443</v>
      </c>
      <c r="B616" s="140" t="s">
        <v>5848</v>
      </c>
      <c r="C616" s="140" t="s">
        <v>5849</v>
      </c>
      <c r="D616" s="140" t="s">
        <v>5850</v>
      </c>
      <c r="E616" s="140" t="s">
        <v>5851</v>
      </c>
      <c r="F616" s="140" t="s">
        <v>4</v>
      </c>
      <c r="G616" s="140">
        <v>2.75</v>
      </c>
      <c r="H616" s="140" t="s">
        <v>24</v>
      </c>
      <c r="I616" s="140" t="s">
        <v>727</v>
      </c>
      <c r="J616" s="140" t="s">
        <v>5852</v>
      </c>
      <c r="K616" s="140">
        <v>3</v>
      </c>
      <c r="L616" s="140" t="s">
        <v>1045</v>
      </c>
      <c r="M616" s="140" t="s">
        <v>5853</v>
      </c>
      <c r="N616" s="140">
        <v>2.5</v>
      </c>
      <c r="O616" s="140"/>
      <c r="P616" s="140"/>
      <c r="Q616" s="140" t="s">
        <v>452</v>
      </c>
      <c r="R616" s="140" t="s">
        <v>5854</v>
      </c>
      <c r="S616" s="140" t="s">
        <v>727</v>
      </c>
      <c r="T616" s="140"/>
      <c r="U616" s="143"/>
      <c r="V616" s="143"/>
      <c r="W616" s="143"/>
      <c r="X616" s="140" t="s">
        <v>5855</v>
      </c>
      <c r="Y616" s="140" t="s">
        <v>5856</v>
      </c>
      <c r="Z616" s="140" t="str">
        <f ca="1">IFERROR(__xludf.DUMMYFUNCTION("IF(VLOOKUP($Y616, IMPORTRANGE(""https://docs.google.com/spreadsheets/d/1WsTKRjz8_fF2119Ff9dhKIIYXSaUEHzuWr8pBkxmwQQ/edit"", ""Form Responses 1!$B:$Z""),1, FALSE)=$Y616,""Yes"",""No"")"),"#N/A")</f>
        <v>#N/A</v>
      </c>
      <c r="AA616" s="140"/>
      <c r="AB616" s="140"/>
    </row>
    <row r="617" spans="1:28">
      <c r="A617" s="144" t="s">
        <v>503</v>
      </c>
      <c r="B617" s="144" t="s">
        <v>5857</v>
      </c>
      <c r="C617" s="144" t="s">
        <v>5858</v>
      </c>
      <c r="D617" s="144" t="s">
        <v>5859</v>
      </c>
      <c r="E617" s="144" t="s">
        <v>5860</v>
      </c>
      <c r="F617" s="144" t="s">
        <v>4</v>
      </c>
      <c r="G617" s="144">
        <v>2.75</v>
      </c>
      <c r="H617" s="144" t="s">
        <v>24</v>
      </c>
      <c r="I617" s="144" t="s">
        <v>602</v>
      </c>
      <c r="J617" s="144" t="s">
        <v>5861</v>
      </c>
      <c r="K617" s="144">
        <v>3</v>
      </c>
      <c r="L617" s="144" t="s">
        <v>727</v>
      </c>
      <c r="M617" s="144" t="s">
        <v>5862</v>
      </c>
      <c r="N617" s="144">
        <v>2.5</v>
      </c>
      <c r="O617" s="144"/>
      <c r="P617" s="144"/>
      <c r="Q617" s="144" t="s">
        <v>452</v>
      </c>
      <c r="R617" s="144" t="s">
        <v>5863</v>
      </c>
      <c r="S617" s="144"/>
      <c r="T617" s="144" t="s">
        <v>5864</v>
      </c>
      <c r="U617" s="145"/>
      <c r="V617" s="145"/>
      <c r="W617" s="145"/>
      <c r="X617" s="144" t="s">
        <v>5865</v>
      </c>
      <c r="Y617" s="144" t="s">
        <v>5866</v>
      </c>
      <c r="Z617" s="144" t="str">
        <f ca="1">IFERROR(__xludf.DUMMYFUNCTION("IF(VLOOKUP($Y617, IMPORTRANGE(""https://docs.google.com/spreadsheets/d/1WsTKRjz8_fF2119Ff9dhKIIYXSaUEHzuWr8pBkxmwQQ/edit"", ""Form Responses 1!$B:$Z""),1, FALSE)=$Y617,""Yes"",""No"")"),"#N/A")</f>
        <v>#N/A</v>
      </c>
      <c r="AA617" s="144"/>
      <c r="AB617" s="144"/>
    </row>
    <row r="618" spans="1:28">
      <c r="A618" s="140" t="s">
        <v>598</v>
      </c>
      <c r="B618" s="140" t="s">
        <v>5867</v>
      </c>
      <c r="C618" s="140" t="s">
        <v>5868</v>
      </c>
      <c r="D618" s="140" t="s">
        <v>5869</v>
      </c>
      <c r="E618" s="140" t="s">
        <v>5870</v>
      </c>
      <c r="F618" s="140" t="s">
        <v>4</v>
      </c>
      <c r="G618" s="140">
        <v>2.75</v>
      </c>
      <c r="H618" s="140" t="s">
        <v>24</v>
      </c>
      <c r="I618" s="140" t="s">
        <v>727</v>
      </c>
      <c r="J618" s="140" t="s">
        <v>5871</v>
      </c>
      <c r="K618" s="140">
        <v>3.5</v>
      </c>
      <c r="L618" s="140" t="s">
        <v>1036</v>
      </c>
      <c r="M618" s="140" t="s">
        <v>5872</v>
      </c>
      <c r="N618" s="140">
        <v>2</v>
      </c>
      <c r="O618" s="140"/>
      <c r="P618" s="140"/>
      <c r="Q618" s="140" t="s">
        <v>452</v>
      </c>
      <c r="R618" s="140" t="s">
        <v>5873</v>
      </c>
      <c r="S618" s="140"/>
      <c r="T618" s="140"/>
      <c r="U618" s="143"/>
      <c r="V618" s="143"/>
      <c r="W618" s="143"/>
      <c r="X618" s="140" t="s">
        <v>5874</v>
      </c>
      <c r="Y618" s="140" t="s">
        <v>5875</v>
      </c>
      <c r="Z618" s="140" t="str">
        <f ca="1">IFERROR(__xludf.DUMMYFUNCTION("IF(VLOOKUP($Y618, IMPORTRANGE(""https://docs.google.com/spreadsheets/d/1WsTKRjz8_fF2119Ff9dhKIIYXSaUEHzuWr8pBkxmwQQ/edit"", ""Form Responses 1!$B:$Z""),1, FALSE)=$Y618,""Yes"",""No"")"),"#N/A")</f>
        <v>#N/A</v>
      </c>
      <c r="AA618" s="140"/>
      <c r="AB618" s="140"/>
    </row>
    <row r="619" spans="1:28">
      <c r="A619" s="144" t="s">
        <v>529</v>
      </c>
      <c r="B619" s="144" t="s">
        <v>5876</v>
      </c>
      <c r="C619" s="144" t="s">
        <v>5877</v>
      </c>
      <c r="D619" s="144" t="s">
        <v>5878</v>
      </c>
      <c r="E619" s="144" t="s">
        <v>5879</v>
      </c>
      <c r="F619" s="144" t="s">
        <v>4</v>
      </c>
      <c r="G619" s="144">
        <v>2.75</v>
      </c>
      <c r="H619" s="144" t="s">
        <v>24</v>
      </c>
      <c r="I619" s="144" t="s">
        <v>727</v>
      </c>
      <c r="J619" s="144"/>
      <c r="K619" s="144">
        <v>2.5</v>
      </c>
      <c r="L619" s="144" t="s">
        <v>1073</v>
      </c>
      <c r="M619" s="144" t="s">
        <v>5880</v>
      </c>
      <c r="N619" s="144">
        <v>3</v>
      </c>
      <c r="O619" s="144"/>
      <c r="P619" s="144"/>
      <c r="Q619" s="144" t="s">
        <v>452</v>
      </c>
      <c r="R619" s="144" t="s">
        <v>452</v>
      </c>
      <c r="S619" s="144"/>
      <c r="T619" s="144"/>
      <c r="U619" s="145"/>
      <c r="V619" s="145"/>
      <c r="W619" s="145"/>
      <c r="X619" s="144" t="s">
        <v>5881</v>
      </c>
      <c r="Y619" s="144" t="s">
        <v>5882</v>
      </c>
      <c r="Z619" s="144" t="str">
        <f ca="1">IFERROR(__xludf.DUMMYFUNCTION("IF(VLOOKUP($Y619, IMPORTRANGE(""https://docs.google.com/spreadsheets/d/1WsTKRjz8_fF2119Ff9dhKIIYXSaUEHzuWr8pBkxmwQQ/edit"", ""Form Responses 1!$B:$Z""),1, FALSE)=$Y619,""Yes"",""No"")"),"#N/A")</f>
        <v>#N/A</v>
      </c>
      <c r="AA619" s="144"/>
      <c r="AB619" s="144"/>
    </row>
    <row r="620" spans="1:28">
      <c r="A620" s="140" t="s">
        <v>529</v>
      </c>
      <c r="B620" s="140" t="s">
        <v>5883</v>
      </c>
      <c r="C620" s="140" t="s">
        <v>5884</v>
      </c>
      <c r="D620" s="140" t="s">
        <v>5885</v>
      </c>
      <c r="E620" s="140" t="s">
        <v>5886</v>
      </c>
      <c r="F620" s="140" t="s">
        <v>4</v>
      </c>
      <c r="G620" s="140">
        <v>2.75</v>
      </c>
      <c r="H620" s="140" t="s">
        <v>24</v>
      </c>
      <c r="I620" s="140" t="s">
        <v>725</v>
      </c>
      <c r="J620" s="140" t="s">
        <v>5887</v>
      </c>
      <c r="K620" s="140">
        <v>3</v>
      </c>
      <c r="L620" s="140" t="s">
        <v>1045</v>
      </c>
      <c r="M620" s="140" t="s">
        <v>5888</v>
      </c>
      <c r="N620" s="140">
        <v>2.5</v>
      </c>
      <c r="O620" s="140" t="s">
        <v>451</v>
      </c>
      <c r="P620" s="140" t="s">
        <v>5889</v>
      </c>
      <c r="Q620" s="140" t="s">
        <v>452</v>
      </c>
      <c r="R620" s="140" t="s">
        <v>5890</v>
      </c>
      <c r="S620" s="140" t="s">
        <v>5891</v>
      </c>
      <c r="T620" s="140"/>
      <c r="U620" s="143"/>
      <c r="V620" s="143"/>
      <c r="W620" s="143"/>
      <c r="X620" s="140" t="s">
        <v>5892</v>
      </c>
      <c r="Y620" s="140" t="s">
        <v>5893</v>
      </c>
      <c r="Z620" s="140" t="str">
        <f ca="1">IFERROR(__xludf.DUMMYFUNCTION("IF(VLOOKUP($Y620, IMPORTRANGE(""https://docs.google.com/spreadsheets/d/1WsTKRjz8_fF2119Ff9dhKIIYXSaUEHzuWr8pBkxmwQQ/edit"", ""Form Responses 1!$B:$Z""),1, FALSE)=$Y620,""Yes"",""No"")"),"#N/A")</f>
        <v>#N/A</v>
      </c>
      <c r="AA620" s="140"/>
      <c r="AB620" s="140"/>
    </row>
    <row r="621" spans="1:28">
      <c r="A621" s="144" t="s">
        <v>484</v>
      </c>
      <c r="B621" s="144" t="s">
        <v>5894</v>
      </c>
      <c r="C621" s="144" t="s">
        <v>5895</v>
      </c>
      <c r="D621" s="144" t="s">
        <v>5896</v>
      </c>
      <c r="E621" s="144" t="s">
        <v>5897</v>
      </c>
      <c r="F621" s="144" t="s">
        <v>4</v>
      </c>
      <c r="G621" s="144">
        <v>2.75</v>
      </c>
      <c r="H621" s="144" t="s">
        <v>24</v>
      </c>
      <c r="I621" s="144" t="s">
        <v>727</v>
      </c>
      <c r="J621" s="144" t="s">
        <v>5898</v>
      </c>
      <c r="K621" s="144">
        <v>3</v>
      </c>
      <c r="L621" s="144" t="s">
        <v>1054</v>
      </c>
      <c r="M621" s="144" t="s">
        <v>5899</v>
      </c>
      <c r="N621" s="144">
        <v>2.5</v>
      </c>
      <c r="O621" s="144" t="s">
        <v>784</v>
      </c>
      <c r="P621" s="144">
        <v>1000000</v>
      </c>
      <c r="Q621" s="144" t="s">
        <v>465</v>
      </c>
      <c r="R621" s="144" t="s">
        <v>5900</v>
      </c>
      <c r="S621" s="144"/>
      <c r="T621" s="144"/>
      <c r="U621" s="145"/>
      <c r="V621" s="145"/>
      <c r="W621" s="145"/>
      <c r="X621" s="144" t="s">
        <v>5901</v>
      </c>
      <c r="Y621" s="144" t="s">
        <v>5902</v>
      </c>
      <c r="Z621" s="144" t="str">
        <f ca="1">IFERROR(__xludf.DUMMYFUNCTION("IF(VLOOKUP($Y621, IMPORTRANGE(""https://docs.google.com/spreadsheets/d/1WsTKRjz8_fF2119Ff9dhKIIYXSaUEHzuWr8pBkxmwQQ/edit"", ""Form Responses 1!$B:$Z""),1, FALSE)=$Y621,""Yes"",""No"")"),"#N/A")</f>
        <v>#N/A</v>
      </c>
      <c r="AA621" s="144"/>
      <c r="AB621" s="144"/>
    </row>
    <row r="622" spans="1:28">
      <c r="A622" s="140" t="s">
        <v>598</v>
      </c>
      <c r="B622" s="140" t="s">
        <v>5903</v>
      </c>
      <c r="C622" s="140" t="s">
        <v>5904</v>
      </c>
      <c r="D622" s="140" t="s">
        <v>5905</v>
      </c>
      <c r="E622" s="140" t="s">
        <v>5906</v>
      </c>
      <c r="F622" s="140" t="s">
        <v>4</v>
      </c>
      <c r="G622" s="140">
        <v>2.75</v>
      </c>
      <c r="H622" s="140" t="s">
        <v>24</v>
      </c>
      <c r="I622" s="140" t="s">
        <v>727</v>
      </c>
      <c r="J622" s="140" t="s">
        <v>5907</v>
      </c>
      <c r="K622" s="140">
        <v>2.5</v>
      </c>
      <c r="L622" s="140" t="s">
        <v>604</v>
      </c>
      <c r="M622" s="140" t="s">
        <v>5908</v>
      </c>
      <c r="N622" s="140">
        <v>3</v>
      </c>
      <c r="O622" s="140" t="s">
        <v>784</v>
      </c>
      <c r="P622" s="142">
        <v>1000000</v>
      </c>
      <c r="Q622" s="140" t="s">
        <v>452</v>
      </c>
      <c r="R622" s="140" t="s">
        <v>452</v>
      </c>
      <c r="S622" s="140" t="s">
        <v>2180</v>
      </c>
      <c r="T622" s="140"/>
      <c r="U622" s="143"/>
      <c r="V622" s="143"/>
      <c r="W622" s="143"/>
      <c r="X622" s="140" t="s">
        <v>5909</v>
      </c>
      <c r="Y622" s="140" t="s">
        <v>5910</v>
      </c>
      <c r="Z622" s="140" t="str">
        <f ca="1">IFERROR(__xludf.DUMMYFUNCTION("IF(VLOOKUP($Y622, IMPORTRANGE(""https://docs.google.com/spreadsheets/d/1WsTKRjz8_fF2119Ff9dhKIIYXSaUEHzuWr8pBkxmwQQ/edit"", ""Form Responses 1!$B:$Z""),1, FALSE)=$Y622,""Yes"",""No"")"),"#N/A")</f>
        <v>#N/A</v>
      </c>
      <c r="AA622" s="140"/>
      <c r="AB622" s="140"/>
    </row>
    <row r="623" spans="1:28">
      <c r="A623" s="144" t="s">
        <v>598</v>
      </c>
      <c r="B623" s="144" t="s">
        <v>5911</v>
      </c>
      <c r="C623" s="144" t="s">
        <v>5912</v>
      </c>
      <c r="D623" s="144" t="s">
        <v>5913</v>
      </c>
      <c r="E623" s="144" t="s">
        <v>5914</v>
      </c>
      <c r="F623" s="144" t="s">
        <v>4</v>
      </c>
      <c r="G623" s="144">
        <v>2.75</v>
      </c>
      <c r="H623" s="144" t="s">
        <v>24</v>
      </c>
      <c r="I623" s="144" t="s">
        <v>602</v>
      </c>
      <c r="J623" s="144" t="s">
        <v>5915</v>
      </c>
      <c r="K623" s="144">
        <v>2.5</v>
      </c>
      <c r="L623" s="144" t="s">
        <v>1045</v>
      </c>
      <c r="M623" s="144" t="s">
        <v>5916</v>
      </c>
      <c r="N623" s="144">
        <v>3</v>
      </c>
      <c r="O623" s="144"/>
      <c r="P623" s="144"/>
      <c r="Q623" s="144" t="s">
        <v>452</v>
      </c>
      <c r="R623" s="144" t="s">
        <v>452</v>
      </c>
      <c r="S623" s="144"/>
      <c r="T623" s="144"/>
      <c r="U623" s="145"/>
      <c r="V623" s="145"/>
      <c r="W623" s="145"/>
      <c r="X623" s="144" t="s">
        <v>5917</v>
      </c>
      <c r="Y623" s="144" t="s">
        <v>5918</v>
      </c>
      <c r="Z623" s="144" t="str">
        <f ca="1">IFERROR(__xludf.DUMMYFUNCTION("IF(VLOOKUP($Y623, IMPORTRANGE(""https://docs.google.com/spreadsheets/d/1WsTKRjz8_fF2119Ff9dhKIIYXSaUEHzuWr8pBkxmwQQ/edit"", ""Form Responses 1!$B:$Z""),1, FALSE)=$Y623,""Yes"",""No"")"),"#N/A")</f>
        <v>#N/A</v>
      </c>
      <c r="AA623" s="144"/>
      <c r="AB623" s="144"/>
    </row>
    <row r="624" spans="1:28">
      <c r="A624" s="140" t="s">
        <v>471</v>
      </c>
      <c r="B624" s="140" t="s">
        <v>5919</v>
      </c>
      <c r="C624" s="140" t="s">
        <v>5920</v>
      </c>
      <c r="D624" s="140" t="s">
        <v>5921</v>
      </c>
      <c r="E624" s="140" t="s">
        <v>5922</v>
      </c>
      <c r="F624" s="140" t="s">
        <v>4</v>
      </c>
      <c r="G624" s="140">
        <v>2.75</v>
      </c>
      <c r="H624" s="140" t="s">
        <v>24</v>
      </c>
      <c r="I624" s="140" t="s">
        <v>602</v>
      </c>
      <c r="J624" s="140" t="s">
        <v>5923</v>
      </c>
      <c r="K624" s="140">
        <v>2</v>
      </c>
      <c r="L624" s="140" t="s">
        <v>1054</v>
      </c>
      <c r="M624" s="140" t="s">
        <v>5924</v>
      </c>
      <c r="N624" s="140">
        <v>3.5</v>
      </c>
      <c r="O624" s="140" t="s">
        <v>451</v>
      </c>
      <c r="P624" s="140">
        <v>5000000</v>
      </c>
      <c r="Q624" s="140" t="s">
        <v>452</v>
      </c>
      <c r="R624" s="140" t="s">
        <v>452</v>
      </c>
      <c r="S624" s="140"/>
      <c r="T624" s="140"/>
      <c r="U624" s="143"/>
      <c r="V624" s="143"/>
      <c r="W624" s="143"/>
      <c r="X624" s="140" t="s">
        <v>5925</v>
      </c>
      <c r="Y624" s="140" t="s">
        <v>5926</v>
      </c>
      <c r="Z624" s="140" t="str">
        <f ca="1">IFERROR(__xludf.DUMMYFUNCTION("IF(VLOOKUP($Y624, IMPORTRANGE(""https://docs.google.com/spreadsheets/d/1WsTKRjz8_fF2119Ff9dhKIIYXSaUEHzuWr8pBkxmwQQ/edit"", ""Form Responses 1!$B:$Z""),1, FALSE)=$Y624,""Yes"",""No"")"),"#N/A")</f>
        <v>#N/A</v>
      </c>
      <c r="AA624" s="140"/>
      <c r="AB624" s="140"/>
    </row>
    <row r="625" spans="1:28">
      <c r="A625" s="144" t="s">
        <v>529</v>
      </c>
      <c r="B625" s="144" t="s">
        <v>5927</v>
      </c>
      <c r="C625" s="144" t="s">
        <v>5928</v>
      </c>
      <c r="D625" s="144" t="s">
        <v>5929</v>
      </c>
      <c r="E625" s="144" t="s">
        <v>5930</v>
      </c>
      <c r="F625" s="144" t="s">
        <v>4</v>
      </c>
      <c r="G625" s="144">
        <v>2.75</v>
      </c>
      <c r="H625" s="144" t="s">
        <v>24</v>
      </c>
      <c r="I625" s="144" t="s">
        <v>727</v>
      </c>
      <c r="J625" s="144" t="s">
        <v>5931</v>
      </c>
      <c r="K625" s="144">
        <v>3.5</v>
      </c>
      <c r="L625" s="144" t="s">
        <v>1237</v>
      </c>
      <c r="M625" s="144"/>
      <c r="N625" s="144">
        <v>2</v>
      </c>
      <c r="O625" s="144"/>
      <c r="P625" s="144"/>
      <c r="Q625" s="144" t="s">
        <v>452</v>
      </c>
      <c r="R625" s="144" t="s">
        <v>5932</v>
      </c>
      <c r="S625" s="144"/>
      <c r="T625" s="144"/>
      <c r="U625" s="145"/>
      <c r="V625" s="145"/>
      <c r="W625" s="145"/>
      <c r="X625" s="144" t="s">
        <v>3740</v>
      </c>
      <c r="Y625" s="144" t="s">
        <v>5933</v>
      </c>
      <c r="Z625" s="144" t="str">
        <f ca="1">IFERROR(__xludf.DUMMYFUNCTION("IF(VLOOKUP($Y625, IMPORTRANGE(""https://docs.google.com/spreadsheets/d/1WsTKRjz8_fF2119Ff9dhKIIYXSaUEHzuWr8pBkxmwQQ/edit"", ""Form Responses 1!$B:$Z""),1, FALSE)=$Y625,""Yes"",""No"")"),"#N/A")</f>
        <v>#N/A</v>
      </c>
      <c r="AA625" s="144"/>
      <c r="AB625" s="144"/>
    </row>
    <row r="626" spans="1:28">
      <c r="A626" s="140" t="s">
        <v>443</v>
      </c>
      <c r="B626" s="140" t="s">
        <v>5934</v>
      </c>
      <c r="C626" s="140" t="s">
        <v>5935</v>
      </c>
      <c r="D626" s="140" t="s">
        <v>5936</v>
      </c>
      <c r="E626" s="140" t="s">
        <v>5937</v>
      </c>
      <c r="F626" s="140" t="s">
        <v>4</v>
      </c>
      <c r="G626" s="140">
        <v>2.75</v>
      </c>
      <c r="H626" s="140" t="s">
        <v>24</v>
      </c>
      <c r="I626" s="140" t="s">
        <v>602</v>
      </c>
      <c r="J626" s="140" t="s">
        <v>5938</v>
      </c>
      <c r="K626" s="140">
        <v>2.5</v>
      </c>
      <c r="L626" s="140" t="s">
        <v>1054</v>
      </c>
      <c r="M626" s="140" t="s">
        <v>5939</v>
      </c>
      <c r="N626" s="140">
        <v>3</v>
      </c>
      <c r="O626" s="140" t="s">
        <v>923</v>
      </c>
      <c r="P626" s="140" t="s">
        <v>5940</v>
      </c>
      <c r="Q626" s="140" t="s">
        <v>452</v>
      </c>
      <c r="R626" s="140" t="s">
        <v>5941</v>
      </c>
      <c r="S626" s="140"/>
      <c r="T626" s="140"/>
      <c r="U626" s="143"/>
      <c r="V626" s="143"/>
      <c r="W626" s="143"/>
      <c r="X626" s="140" t="s">
        <v>5942</v>
      </c>
      <c r="Y626" s="140" t="s">
        <v>5943</v>
      </c>
      <c r="Z626" s="140" t="str">
        <f ca="1">IFERROR(__xludf.DUMMYFUNCTION("IF(VLOOKUP($Y626, IMPORTRANGE(""https://docs.google.com/spreadsheets/d/1WsTKRjz8_fF2119Ff9dhKIIYXSaUEHzuWr8pBkxmwQQ/edit"", ""Form Responses 1!$B:$Z""),1, FALSE)=$Y626,""Yes"",""No"")"),"#N/A")</f>
        <v>#N/A</v>
      </c>
      <c r="AA626" s="140"/>
      <c r="AB626" s="140"/>
    </row>
    <row r="627" spans="1:28">
      <c r="A627" s="144" t="s">
        <v>529</v>
      </c>
      <c r="B627" s="144" t="s">
        <v>5944</v>
      </c>
      <c r="C627" s="144" t="s">
        <v>5945</v>
      </c>
      <c r="D627" s="144" t="s">
        <v>5946</v>
      </c>
      <c r="E627" s="144" t="s">
        <v>5947</v>
      </c>
      <c r="F627" s="144" t="s">
        <v>4</v>
      </c>
      <c r="G627" s="144">
        <v>2.75</v>
      </c>
      <c r="H627" s="144" t="s">
        <v>24</v>
      </c>
      <c r="I627" s="144" t="s">
        <v>1045</v>
      </c>
      <c r="J627" s="144" t="s">
        <v>5948</v>
      </c>
      <c r="K627" s="144">
        <v>2.5</v>
      </c>
      <c r="L627" s="144" t="s">
        <v>1281</v>
      </c>
      <c r="M627" s="144" t="s">
        <v>5949</v>
      </c>
      <c r="N627" s="144">
        <v>3</v>
      </c>
      <c r="O627" s="144" t="s">
        <v>478</v>
      </c>
      <c r="P627" s="144">
        <v>7000000</v>
      </c>
      <c r="Q627" s="144" t="s">
        <v>452</v>
      </c>
      <c r="R627" s="144" t="s">
        <v>452</v>
      </c>
      <c r="S627" s="144"/>
      <c r="T627" s="144"/>
      <c r="U627" s="145"/>
      <c r="V627" s="145"/>
      <c r="W627" s="145"/>
      <c r="X627" s="144" t="s">
        <v>2416</v>
      </c>
      <c r="Y627" s="144" t="s">
        <v>5950</v>
      </c>
      <c r="Z627" s="144" t="str">
        <f ca="1">IFERROR(__xludf.DUMMYFUNCTION("IF(VLOOKUP($Y627, IMPORTRANGE(""https://docs.google.com/spreadsheets/d/1WsTKRjz8_fF2119Ff9dhKIIYXSaUEHzuWr8pBkxmwQQ/edit"", ""Form Responses 1!$B:$Z""),1, FALSE)=$Y627,""Yes"",""No"")"),"#N/A")</f>
        <v>#N/A</v>
      </c>
      <c r="AA627" s="144"/>
      <c r="AB627" s="144"/>
    </row>
    <row r="628" spans="1:28">
      <c r="A628" s="140" t="s">
        <v>529</v>
      </c>
      <c r="B628" s="140" t="s">
        <v>5951</v>
      </c>
      <c r="C628" s="140" t="s">
        <v>5952</v>
      </c>
      <c r="D628" s="140" t="s">
        <v>5953</v>
      </c>
      <c r="E628" s="140" t="s">
        <v>5954</v>
      </c>
      <c r="F628" s="140" t="s">
        <v>4</v>
      </c>
      <c r="G628" s="140">
        <v>2.75</v>
      </c>
      <c r="H628" s="140" t="s">
        <v>24</v>
      </c>
      <c r="I628" s="140" t="s">
        <v>725</v>
      </c>
      <c r="J628" s="140" t="s">
        <v>5955</v>
      </c>
      <c r="K628" s="140">
        <v>2.5</v>
      </c>
      <c r="L628" s="140" t="s">
        <v>1281</v>
      </c>
      <c r="M628" s="140" t="s">
        <v>5956</v>
      </c>
      <c r="N628" s="140">
        <v>3</v>
      </c>
      <c r="O628" s="140"/>
      <c r="P628" s="140"/>
      <c r="Q628" s="140" t="s">
        <v>452</v>
      </c>
      <c r="R628" s="140" t="s">
        <v>5957</v>
      </c>
      <c r="S628" s="140"/>
      <c r="T628" s="140"/>
      <c r="U628" s="143"/>
      <c r="V628" s="143"/>
      <c r="W628" s="143"/>
      <c r="X628" s="140" t="s">
        <v>5958</v>
      </c>
      <c r="Y628" s="140" t="s">
        <v>5959</v>
      </c>
      <c r="Z628" s="140" t="str">
        <f ca="1">IFERROR(__xludf.DUMMYFUNCTION("IF(VLOOKUP($Y628, IMPORTRANGE(""https://docs.google.com/spreadsheets/d/1WsTKRjz8_fF2119Ff9dhKIIYXSaUEHzuWr8pBkxmwQQ/edit"", ""Form Responses 1!$B:$Z""),1, FALSE)=$Y628,""Yes"",""No"")"),"#N/A")</f>
        <v>#N/A</v>
      </c>
      <c r="AA628" s="140"/>
      <c r="AB628" s="140"/>
    </row>
    <row r="629" spans="1:28">
      <c r="A629" s="144" t="s">
        <v>443</v>
      </c>
      <c r="B629" s="144" t="s">
        <v>5960</v>
      </c>
      <c r="C629" s="144" t="s">
        <v>5961</v>
      </c>
      <c r="D629" s="144" t="s">
        <v>5962</v>
      </c>
      <c r="E629" s="144" t="s">
        <v>5963</v>
      </c>
      <c r="F629" s="144" t="s">
        <v>4</v>
      </c>
      <c r="G629" s="144">
        <v>2.75</v>
      </c>
      <c r="H629" s="144" t="s">
        <v>24</v>
      </c>
      <c r="I629" s="144" t="s">
        <v>602</v>
      </c>
      <c r="J629" s="144" t="s">
        <v>5964</v>
      </c>
      <c r="K629" s="144">
        <v>2</v>
      </c>
      <c r="L629" s="144" t="s">
        <v>1054</v>
      </c>
      <c r="M629" s="144" t="s">
        <v>5965</v>
      </c>
      <c r="N629" s="144">
        <v>3.5</v>
      </c>
      <c r="O629" s="144" t="s">
        <v>451</v>
      </c>
      <c r="P629" s="144">
        <v>3000000</v>
      </c>
      <c r="Q629" s="144" t="s">
        <v>452</v>
      </c>
      <c r="R629" s="144" t="s">
        <v>5966</v>
      </c>
      <c r="S629" s="144"/>
      <c r="T629" s="144"/>
      <c r="U629" s="145"/>
      <c r="V629" s="145"/>
      <c r="W629" s="145"/>
      <c r="X629" s="144" t="s">
        <v>5967</v>
      </c>
      <c r="Y629" s="144" t="s">
        <v>5968</v>
      </c>
      <c r="Z629" s="144" t="str">
        <f ca="1">IFERROR(__xludf.DUMMYFUNCTION("IF(VLOOKUP($Y629, IMPORTRANGE(""https://docs.google.com/spreadsheets/d/1WsTKRjz8_fF2119Ff9dhKIIYXSaUEHzuWr8pBkxmwQQ/edit"", ""Form Responses 1!$B:$Z""),1, FALSE)=$Y629,""Yes"",""No"")"),"#N/A")</f>
        <v>#N/A</v>
      </c>
      <c r="AA629" s="144"/>
      <c r="AB629" s="144"/>
    </row>
    <row r="630" spans="1:28">
      <c r="A630" s="140" t="s">
        <v>471</v>
      </c>
      <c r="B630" s="140" t="s">
        <v>5969</v>
      </c>
      <c r="C630" s="140" t="s">
        <v>5970</v>
      </c>
      <c r="D630" s="140" t="s">
        <v>5971</v>
      </c>
      <c r="E630" s="140" t="s">
        <v>5972</v>
      </c>
      <c r="F630" s="140" t="s">
        <v>4</v>
      </c>
      <c r="G630" s="140">
        <v>2.75</v>
      </c>
      <c r="H630" s="140" t="s">
        <v>24</v>
      </c>
      <c r="I630" s="140" t="s">
        <v>602</v>
      </c>
      <c r="J630" s="140" t="s">
        <v>5973</v>
      </c>
      <c r="K630" s="140">
        <v>2</v>
      </c>
      <c r="L630" s="140" t="s">
        <v>727</v>
      </c>
      <c r="M630" s="140" t="s">
        <v>5974</v>
      </c>
      <c r="N630" s="140">
        <v>3.5</v>
      </c>
      <c r="O630" s="140" t="s">
        <v>451</v>
      </c>
      <c r="P630" s="140">
        <v>1500000</v>
      </c>
      <c r="Q630" s="140" t="s">
        <v>465</v>
      </c>
      <c r="R630" s="140" t="s">
        <v>5975</v>
      </c>
      <c r="S630" s="140"/>
      <c r="T630" s="140"/>
      <c r="U630" s="143"/>
      <c r="V630" s="143"/>
      <c r="W630" s="143"/>
      <c r="X630" s="140" t="s">
        <v>5976</v>
      </c>
      <c r="Y630" s="140" t="s">
        <v>5977</v>
      </c>
      <c r="Z630" s="140" t="str">
        <f ca="1">IFERROR(__xludf.DUMMYFUNCTION("IF(VLOOKUP($Y630, IMPORTRANGE(""https://docs.google.com/spreadsheets/d/1WsTKRjz8_fF2119Ff9dhKIIYXSaUEHzuWr8pBkxmwQQ/edit"", ""Form Responses 1!$B:$Z""),1, FALSE)=$Y630,""Yes"",""No"")"),"#N/A")</f>
        <v>#N/A</v>
      </c>
      <c r="AA630" s="140"/>
      <c r="AB630" s="140"/>
    </row>
    <row r="631" spans="1:28">
      <c r="A631" s="144" t="s">
        <v>529</v>
      </c>
      <c r="B631" s="144" t="s">
        <v>5978</v>
      </c>
      <c r="C631" s="144" t="s">
        <v>5979</v>
      </c>
      <c r="D631" s="144" t="s">
        <v>5980</v>
      </c>
      <c r="E631" s="144" t="s">
        <v>5981</v>
      </c>
      <c r="F631" s="144" t="s">
        <v>4</v>
      </c>
      <c r="G631" s="144">
        <v>2.75</v>
      </c>
      <c r="H631" s="144" t="s">
        <v>24</v>
      </c>
      <c r="I631" s="144" t="s">
        <v>727</v>
      </c>
      <c r="J631" s="144" t="s">
        <v>5982</v>
      </c>
      <c r="K631" s="144">
        <v>3.5</v>
      </c>
      <c r="L631" s="144" t="s">
        <v>1298</v>
      </c>
      <c r="M631" s="144" t="s">
        <v>5983</v>
      </c>
      <c r="N631" s="144">
        <v>2</v>
      </c>
      <c r="O631" s="144" t="s">
        <v>923</v>
      </c>
      <c r="P631" s="147">
        <v>3000000</v>
      </c>
      <c r="Q631" s="144" t="s">
        <v>452</v>
      </c>
      <c r="R631" s="144" t="s">
        <v>452</v>
      </c>
      <c r="S631" s="144" t="s">
        <v>447</v>
      </c>
      <c r="T631" s="144"/>
      <c r="U631" s="145"/>
      <c r="V631" s="145"/>
      <c r="W631" s="145"/>
      <c r="X631" s="144" t="s">
        <v>1020</v>
      </c>
      <c r="Y631" s="144" t="s">
        <v>5984</v>
      </c>
      <c r="Z631" s="144" t="str">
        <f ca="1">IFERROR(__xludf.DUMMYFUNCTION("IF(VLOOKUP($Y631, IMPORTRANGE(""https://docs.google.com/spreadsheets/d/1WsTKRjz8_fF2119Ff9dhKIIYXSaUEHzuWr8pBkxmwQQ/edit"", ""Form Responses 1!$B:$Z""),1, FALSE)=$Y631,""Yes"",""No"")"),"#N/A")</f>
        <v>#N/A</v>
      </c>
      <c r="AA631" s="144"/>
      <c r="AB631" s="144"/>
    </row>
    <row r="632" spans="1:28">
      <c r="A632" s="140" t="s">
        <v>598</v>
      </c>
      <c r="B632" s="140" t="s">
        <v>5985</v>
      </c>
      <c r="C632" s="140" t="s">
        <v>5986</v>
      </c>
      <c r="D632" s="140" t="s">
        <v>5987</v>
      </c>
      <c r="E632" s="140" t="s">
        <v>5988</v>
      </c>
      <c r="F632" s="140" t="s">
        <v>4</v>
      </c>
      <c r="G632" s="140">
        <v>2.75</v>
      </c>
      <c r="H632" s="140" t="s">
        <v>24</v>
      </c>
      <c r="I632" s="140" t="s">
        <v>602</v>
      </c>
      <c r="J632" s="140" t="s">
        <v>5989</v>
      </c>
      <c r="K632" s="140">
        <v>2.5</v>
      </c>
      <c r="L632" s="140" t="s">
        <v>1298</v>
      </c>
      <c r="M632" s="140" t="s">
        <v>5990</v>
      </c>
      <c r="N632" s="140">
        <v>3</v>
      </c>
      <c r="O632" s="140" t="s">
        <v>451</v>
      </c>
      <c r="P632" s="140" t="s">
        <v>5991</v>
      </c>
      <c r="Q632" s="140" t="s">
        <v>452</v>
      </c>
      <c r="R632" s="140" t="s">
        <v>1119</v>
      </c>
      <c r="S632" s="140"/>
      <c r="T632" s="140"/>
      <c r="U632" s="143"/>
      <c r="V632" s="143"/>
      <c r="W632" s="143"/>
      <c r="X632" s="140" t="s">
        <v>5992</v>
      </c>
      <c r="Y632" s="140" t="s">
        <v>5993</v>
      </c>
      <c r="Z632" s="140" t="str">
        <f ca="1">IFERROR(__xludf.DUMMYFUNCTION("IF(VLOOKUP($Y632, IMPORTRANGE(""https://docs.google.com/spreadsheets/d/1WsTKRjz8_fF2119Ff9dhKIIYXSaUEHzuWr8pBkxmwQQ/edit"", ""Form Responses 1!$B:$Z""),1, FALSE)=$Y632,""Yes"",""No"")"),"#N/A")</f>
        <v>#N/A</v>
      </c>
      <c r="AA632" s="140"/>
      <c r="AB632" s="140"/>
    </row>
    <row r="633" spans="1:28">
      <c r="A633" s="144" t="s">
        <v>907</v>
      </c>
      <c r="B633" s="144" t="s">
        <v>5994</v>
      </c>
      <c r="C633" s="144" t="s">
        <v>5995</v>
      </c>
      <c r="D633" s="144" t="s">
        <v>5996</v>
      </c>
      <c r="E633" s="144"/>
      <c r="F633" s="144" t="s">
        <v>4</v>
      </c>
      <c r="G633" s="144">
        <v>2.75</v>
      </c>
      <c r="H633" s="144" t="s">
        <v>24</v>
      </c>
      <c r="I633" s="144" t="s">
        <v>725</v>
      </c>
      <c r="J633" s="144" t="s">
        <v>5997</v>
      </c>
      <c r="K633" s="144">
        <v>2</v>
      </c>
      <c r="L633" s="144" t="s">
        <v>1350</v>
      </c>
      <c r="M633" s="144" t="s">
        <v>5998</v>
      </c>
      <c r="N633" s="144">
        <v>3.5</v>
      </c>
      <c r="O633" s="144" t="s">
        <v>1656</v>
      </c>
      <c r="P633" s="144">
        <v>20000000</v>
      </c>
      <c r="Q633" s="144" t="s">
        <v>452</v>
      </c>
      <c r="R633" s="144" t="s">
        <v>5999</v>
      </c>
      <c r="S633" s="144"/>
      <c r="T633" s="144"/>
      <c r="U633" s="145"/>
      <c r="V633" s="145"/>
      <c r="W633" s="145"/>
      <c r="X633" s="144" t="s">
        <v>6000</v>
      </c>
      <c r="Y633" s="144" t="s">
        <v>6001</v>
      </c>
      <c r="Z633" s="144" t="str">
        <f ca="1">IFERROR(__xludf.DUMMYFUNCTION("IF(VLOOKUP($Y633, IMPORTRANGE(""https://docs.google.com/spreadsheets/d/1WsTKRjz8_fF2119Ff9dhKIIYXSaUEHzuWr8pBkxmwQQ/edit"", ""Form Responses 1!$B:$Z""),1, FALSE)=$Y633,""Yes"",""No"")"),"#N/A")</f>
        <v>#N/A</v>
      </c>
      <c r="AA633" s="144"/>
      <c r="AB633" s="144"/>
    </row>
    <row r="634" spans="1:28">
      <c r="A634" s="140" t="s">
        <v>907</v>
      </c>
      <c r="B634" s="140" t="s">
        <v>6002</v>
      </c>
      <c r="C634" s="140" t="s">
        <v>6003</v>
      </c>
      <c r="D634" s="140" t="s">
        <v>6004</v>
      </c>
      <c r="E634" s="140" t="s">
        <v>6005</v>
      </c>
      <c r="F634" s="140" t="s">
        <v>4</v>
      </c>
      <c r="G634" s="140">
        <v>2.75</v>
      </c>
      <c r="H634" s="140" t="s">
        <v>24</v>
      </c>
      <c r="I634" s="140" t="s">
        <v>447</v>
      </c>
      <c r="J634" s="140" t="s">
        <v>6006</v>
      </c>
      <c r="K634" s="140">
        <v>2.5</v>
      </c>
      <c r="L634" s="140" t="s">
        <v>622</v>
      </c>
      <c r="M634" s="140" t="s">
        <v>6007</v>
      </c>
      <c r="N634" s="140">
        <v>3</v>
      </c>
      <c r="O634" s="140" t="s">
        <v>451</v>
      </c>
      <c r="P634" s="140">
        <v>5000000</v>
      </c>
      <c r="Q634" s="140" t="s">
        <v>465</v>
      </c>
      <c r="R634" s="140" t="s">
        <v>6008</v>
      </c>
      <c r="S634" s="140"/>
      <c r="T634" s="140"/>
      <c r="U634" s="143"/>
      <c r="V634" s="143"/>
      <c r="W634" s="143"/>
      <c r="X634" s="140" t="s">
        <v>2342</v>
      </c>
      <c r="Y634" s="140" t="s">
        <v>6009</v>
      </c>
      <c r="Z634" s="140" t="str">
        <f ca="1">IFERROR(__xludf.DUMMYFUNCTION("IF(VLOOKUP($Y634, IMPORTRANGE(""https://docs.google.com/spreadsheets/d/1WsTKRjz8_fF2119Ff9dhKIIYXSaUEHzuWr8pBkxmwQQ/edit"", ""Form Responses 1!$B:$Z""),1, FALSE)=$Y634,""Yes"",""No"")"),"#N/A")</f>
        <v>#N/A</v>
      </c>
      <c r="AA634" s="140"/>
      <c r="AB634" s="140"/>
    </row>
    <row r="635" spans="1:28">
      <c r="A635" s="144" t="s">
        <v>598</v>
      </c>
      <c r="B635" s="144" t="s">
        <v>6010</v>
      </c>
      <c r="C635" s="144" t="s">
        <v>6011</v>
      </c>
      <c r="D635" s="144" t="s">
        <v>6012</v>
      </c>
      <c r="E635" s="144" t="s">
        <v>6013</v>
      </c>
      <c r="F635" s="144" t="s">
        <v>4</v>
      </c>
      <c r="G635" s="144">
        <v>2.75</v>
      </c>
      <c r="H635" s="144" t="s">
        <v>24</v>
      </c>
      <c r="I635" s="144" t="s">
        <v>602</v>
      </c>
      <c r="J635" s="144" t="s">
        <v>6014</v>
      </c>
      <c r="K635" s="144">
        <v>2.5</v>
      </c>
      <c r="L635" s="144" t="s">
        <v>1045</v>
      </c>
      <c r="M635" s="144" t="s">
        <v>6015</v>
      </c>
      <c r="N635" s="144">
        <v>3</v>
      </c>
      <c r="O635" s="144" t="s">
        <v>478</v>
      </c>
      <c r="P635" s="147">
        <v>7000000</v>
      </c>
      <c r="Q635" s="144" t="s">
        <v>452</v>
      </c>
      <c r="R635" s="144" t="s">
        <v>452</v>
      </c>
      <c r="S635" s="144"/>
      <c r="T635" s="144"/>
      <c r="U635" s="145"/>
      <c r="V635" s="145"/>
      <c r="W635" s="145"/>
      <c r="X635" s="144" t="s">
        <v>6016</v>
      </c>
      <c r="Y635" s="144" t="s">
        <v>6017</v>
      </c>
      <c r="Z635" s="144" t="str">
        <f ca="1">IFERROR(__xludf.DUMMYFUNCTION("IF(VLOOKUP($Y635, IMPORTRANGE(""https://docs.google.com/spreadsheets/d/1WsTKRjz8_fF2119Ff9dhKIIYXSaUEHzuWr8pBkxmwQQ/edit"", ""Form Responses 1!$B:$Z""),1, FALSE)=$Y635,""Yes"",""No"")"),"#N/A")</f>
        <v>#N/A</v>
      </c>
      <c r="AA635" s="144"/>
      <c r="AB635" s="144"/>
    </row>
    <row r="636" spans="1:28">
      <c r="A636" s="140" t="s">
        <v>529</v>
      </c>
      <c r="B636" s="140" t="s">
        <v>6018</v>
      </c>
      <c r="C636" s="140" t="s">
        <v>6019</v>
      </c>
      <c r="D636" s="140" t="s">
        <v>6020</v>
      </c>
      <c r="E636" s="140" t="s">
        <v>6021</v>
      </c>
      <c r="F636" s="140" t="s">
        <v>4</v>
      </c>
      <c r="G636" s="140">
        <v>2.75</v>
      </c>
      <c r="H636" s="140" t="s">
        <v>24</v>
      </c>
      <c r="I636" s="140" t="s">
        <v>725</v>
      </c>
      <c r="J636" s="140" t="s">
        <v>6022</v>
      </c>
      <c r="K636" s="140">
        <v>2.5</v>
      </c>
      <c r="L636" s="140" t="s">
        <v>1371</v>
      </c>
      <c r="M636" s="140" t="s">
        <v>6023</v>
      </c>
      <c r="N636" s="140">
        <v>3</v>
      </c>
      <c r="O636" s="140"/>
      <c r="P636" s="140"/>
      <c r="Q636" s="140" t="s">
        <v>452</v>
      </c>
      <c r="R636" s="140" t="s">
        <v>6024</v>
      </c>
      <c r="S636" s="140"/>
      <c r="T636" s="140"/>
      <c r="U636" s="143"/>
      <c r="V636" s="143"/>
      <c r="W636" s="143"/>
      <c r="X636" s="140" t="s">
        <v>1855</v>
      </c>
      <c r="Y636" s="140" t="s">
        <v>6025</v>
      </c>
      <c r="Z636" s="140" t="str">
        <f ca="1">IFERROR(__xludf.DUMMYFUNCTION("IF(VLOOKUP($Y636, IMPORTRANGE(""https://docs.google.com/spreadsheets/d/1WsTKRjz8_fF2119Ff9dhKIIYXSaUEHzuWr8pBkxmwQQ/edit"", ""Form Responses 1!$B:$Z""),1, FALSE)=$Y636,""Yes"",""No"")"),"#N/A")</f>
        <v>#N/A</v>
      </c>
      <c r="AA636" s="140"/>
      <c r="AB636" s="140"/>
    </row>
    <row r="637" spans="1:28">
      <c r="A637" s="144" t="s">
        <v>484</v>
      </c>
      <c r="B637" s="144" t="s">
        <v>6026</v>
      </c>
      <c r="C637" s="144" t="s">
        <v>6027</v>
      </c>
      <c r="D637" s="144" t="s">
        <v>6028</v>
      </c>
      <c r="E637" s="144" t="s">
        <v>6029</v>
      </c>
      <c r="F637" s="144" t="s">
        <v>4</v>
      </c>
      <c r="G637" s="144">
        <v>2.75</v>
      </c>
      <c r="H637" s="144" t="s">
        <v>24</v>
      </c>
      <c r="I637" s="144" t="s">
        <v>602</v>
      </c>
      <c r="J637" s="144" t="s">
        <v>6030</v>
      </c>
      <c r="K637" s="144">
        <v>2.5</v>
      </c>
      <c r="L637" s="144" t="s">
        <v>1054</v>
      </c>
      <c r="M637" s="144" t="s">
        <v>6031</v>
      </c>
      <c r="N637" s="144">
        <v>3</v>
      </c>
      <c r="O637" s="144"/>
      <c r="P637" s="144"/>
      <c r="Q637" s="144" t="s">
        <v>452</v>
      </c>
      <c r="R637" s="144" t="s">
        <v>452</v>
      </c>
      <c r="S637" s="144"/>
      <c r="T637" s="144"/>
      <c r="U637" s="145"/>
      <c r="V637" s="145"/>
      <c r="W637" s="145"/>
      <c r="X637" s="144" t="s">
        <v>6032</v>
      </c>
      <c r="Y637" s="144" t="s">
        <v>6033</v>
      </c>
      <c r="Z637" s="144" t="str">
        <f ca="1">IFERROR(__xludf.DUMMYFUNCTION("IF(VLOOKUP($Y637, IMPORTRANGE(""https://docs.google.com/spreadsheets/d/1WsTKRjz8_fF2119Ff9dhKIIYXSaUEHzuWr8pBkxmwQQ/edit"", ""Form Responses 1!$B:$Z""),1, FALSE)=$Y637,""Yes"",""No"")"),"#N/A")</f>
        <v>#N/A</v>
      </c>
      <c r="AA637" s="144"/>
      <c r="AB637" s="144"/>
    </row>
    <row r="638" spans="1:28">
      <c r="A638" s="140" t="s">
        <v>598</v>
      </c>
      <c r="B638" s="140" t="s">
        <v>6034</v>
      </c>
      <c r="C638" s="140" t="s">
        <v>6035</v>
      </c>
      <c r="D638" s="140" t="s">
        <v>6036</v>
      </c>
      <c r="E638" s="140" t="s">
        <v>6037</v>
      </c>
      <c r="F638" s="140" t="s">
        <v>4</v>
      </c>
      <c r="G638" s="140">
        <v>2.75</v>
      </c>
      <c r="H638" s="140" t="s">
        <v>24</v>
      </c>
      <c r="I638" s="140" t="s">
        <v>602</v>
      </c>
      <c r="J638" s="140" t="s">
        <v>6038</v>
      </c>
      <c r="K638" s="140">
        <v>2.5</v>
      </c>
      <c r="L638" s="140" t="s">
        <v>1457</v>
      </c>
      <c r="M638" s="140" t="s">
        <v>6039</v>
      </c>
      <c r="N638" s="140">
        <v>3</v>
      </c>
      <c r="O638" s="140" t="s">
        <v>451</v>
      </c>
      <c r="P638" s="140" t="s">
        <v>6040</v>
      </c>
      <c r="Q638" s="140" t="s">
        <v>452</v>
      </c>
      <c r="R638" s="140" t="s">
        <v>6041</v>
      </c>
      <c r="S638" s="140"/>
      <c r="T638" s="140"/>
      <c r="U638" s="143"/>
      <c r="V638" s="143"/>
      <c r="W638" s="143"/>
      <c r="X638" s="140" t="s">
        <v>6042</v>
      </c>
      <c r="Y638" s="140" t="s">
        <v>6043</v>
      </c>
      <c r="Z638" s="140" t="str">
        <f ca="1">IFERROR(__xludf.DUMMYFUNCTION("IF(VLOOKUP($Y638, IMPORTRANGE(""https://docs.google.com/spreadsheets/d/1WsTKRjz8_fF2119Ff9dhKIIYXSaUEHzuWr8pBkxmwQQ/edit"", ""Form Responses 1!$B:$Z""),1, FALSE)=$Y638,""Yes"",""No"")"),"#N/A")</f>
        <v>#N/A</v>
      </c>
      <c r="AA638" s="140"/>
      <c r="AB638" s="140"/>
    </row>
    <row r="639" spans="1:28">
      <c r="A639" s="144" t="s">
        <v>529</v>
      </c>
      <c r="B639" s="144" t="s">
        <v>6044</v>
      </c>
      <c r="C639" s="144" t="s">
        <v>6045</v>
      </c>
      <c r="D639" s="144" t="s">
        <v>6046</v>
      </c>
      <c r="E639" s="144" t="s">
        <v>6047</v>
      </c>
      <c r="F639" s="144" t="s">
        <v>4</v>
      </c>
      <c r="G639" s="144">
        <v>2.75</v>
      </c>
      <c r="H639" s="144" t="s">
        <v>24</v>
      </c>
      <c r="I639" s="144" t="s">
        <v>727</v>
      </c>
      <c r="J639" s="144"/>
      <c r="K639" s="144">
        <v>2.5</v>
      </c>
      <c r="L639" s="144" t="s">
        <v>1457</v>
      </c>
      <c r="M639" s="144" t="s">
        <v>6048</v>
      </c>
      <c r="N639" s="144">
        <v>3</v>
      </c>
      <c r="O639" s="144" t="s">
        <v>784</v>
      </c>
      <c r="P639" s="147">
        <v>167000</v>
      </c>
      <c r="Q639" s="144" t="s">
        <v>452</v>
      </c>
      <c r="R639" s="144" t="s">
        <v>6049</v>
      </c>
      <c r="S639" s="144"/>
      <c r="T639" s="144"/>
      <c r="U639" s="145"/>
      <c r="V639" s="145"/>
      <c r="W639" s="145"/>
      <c r="X639" s="144" t="s">
        <v>6050</v>
      </c>
      <c r="Y639" s="144" t="s">
        <v>6051</v>
      </c>
      <c r="Z639" s="144" t="str">
        <f ca="1">IFERROR(__xludf.DUMMYFUNCTION("IF(VLOOKUP($Y639, IMPORTRANGE(""https://docs.google.com/spreadsheets/d/1WsTKRjz8_fF2119Ff9dhKIIYXSaUEHzuWr8pBkxmwQQ/edit"", ""Form Responses 1!$B:$Z""),1, FALSE)=$Y639,""Yes"",""No"")"),"#N/A")</f>
        <v>#N/A</v>
      </c>
      <c r="AA639" s="144"/>
      <c r="AB639" s="144"/>
    </row>
    <row r="640" spans="1:28">
      <c r="A640" s="140" t="s">
        <v>907</v>
      </c>
      <c r="B640" s="140" t="s">
        <v>6052</v>
      </c>
      <c r="C640" s="140" t="s">
        <v>6053</v>
      </c>
      <c r="D640" s="140" t="s">
        <v>6054</v>
      </c>
      <c r="E640" s="140" t="s">
        <v>6055</v>
      </c>
      <c r="F640" s="140" t="s">
        <v>4</v>
      </c>
      <c r="G640" s="140">
        <v>2.75</v>
      </c>
      <c r="H640" s="140" t="s">
        <v>24</v>
      </c>
      <c r="I640" s="140" t="s">
        <v>727</v>
      </c>
      <c r="J640" s="140" t="s">
        <v>6056</v>
      </c>
      <c r="K640" s="140">
        <v>2.5</v>
      </c>
      <c r="L640" s="140" t="s">
        <v>449</v>
      </c>
      <c r="M640" s="140" t="s">
        <v>6057</v>
      </c>
      <c r="N640" s="140">
        <v>3</v>
      </c>
      <c r="O640" s="140" t="s">
        <v>973</v>
      </c>
      <c r="P640" s="140">
        <v>10000000</v>
      </c>
      <c r="Q640" s="140" t="s">
        <v>465</v>
      </c>
      <c r="R640" s="140" t="s">
        <v>6058</v>
      </c>
      <c r="S640" s="140"/>
      <c r="T640" s="140"/>
      <c r="U640" s="143"/>
      <c r="V640" s="143"/>
      <c r="W640" s="143"/>
      <c r="X640" s="140" t="s">
        <v>6059</v>
      </c>
      <c r="Y640" s="140" t="s">
        <v>6060</v>
      </c>
      <c r="Z640" s="140" t="str">
        <f ca="1">IFERROR(__xludf.DUMMYFUNCTION("IF(VLOOKUP($Y640, IMPORTRANGE(""https://docs.google.com/spreadsheets/d/1WsTKRjz8_fF2119Ff9dhKIIYXSaUEHzuWr8pBkxmwQQ/edit"", ""Form Responses 1!$B:$Z""),1, FALSE)=$Y640,""Yes"",""No"")"),"#N/A")</f>
        <v>#N/A</v>
      </c>
      <c r="AA640" s="140"/>
      <c r="AB640" s="140"/>
    </row>
    <row r="641" spans="1:28">
      <c r="A641" s="144" t="s">
        <v>598</v>
      </c>
      <c r="B641" s="144" t="s">
        <v>6061</v>
      </c>
      <c r="C641" s="144" t="s">
        <v>6062</v>
      </c>
      <c r="D641" s="144" t="s">
        <v>6063</v>
      </c>
      <c r="E641" s="144" t="s">
        <v>6064</v>
      </c>
      <c r="F641" s="144" t="s">
        <v>4</v>
      </c>
      <c r="G641" s="144">
        <v>2.75</v>
      </c>
      <c r="H641" s="144" t="s">
        <v>24</v>
      </c>
      <c r="I641" s="144" t="s">
        <v>725</v>
      </c>
      <c r="J641" s="144" t="s">
        <v>6065</v>
      </c>
      <c r="K641" s="144">
        <v>3</v>
      </c>
      <c r="L641" s="144" t="s">
        <v>1054</v>
      </c>
      <c r="M641" s="144" t="s">
        <v>6066</v>
      </c>
      <c r="N641" s="144">
        <v>2.5</v>
      </c>
      <c r="O641" s="144"/>
      <c r="P641" s="144"/>
      <c r="Q641" s="144" t="s">
        <v>452</v>
      </c>
      <c r="R641" s="144" t="s">
        <v>6067</v>
      </c>
      <c r="S641" s="144"/>
      <c r="T641" s="144"/>
      <c r="U641" s="145"/>
      <c r="V641" s="145"/>
      <c r="W641" s="145"/>
      <c r="X641" s="144" t="s">
        <v>4725</v>
      </c>
      <c r="Y641" s="144" t="s">
        <v>6068</v>
      </c>
      <c r="Z641" s="144" t="str">
        <f ca="1">IFERROR(__xludf.DUMMYFUNCTION("IF(VLOOKUP($Y641, IMPORTRANGE(""https://docs.google.com/spreadsheets/d/1WsTKRjz8_fF2119Ff9dhKIIYXSaUEHzuWr8pBkxmwQQ/edit"", ""Form Responses 1!$B:$Z""),1, FALSE)=$Y641,""Yes"",""No"")"),"#N/A")</f>
        <v>#N/A</v>
      </c>
      <c r="AA641" s="144"/>
      <c r="AB641" s="144"/>
    </row>
    <row r="642" spans="1:28">
      <c r="A642" s="140" t="s">
        <v>471</v>
      </c>
      <c r="B642" s="140" t="s">
        <v>6069</v>
      </c>
      <c r="C642" s="140" t="s">
        <v>6070</v>
      </c>
      <c r="D642" s="140" t="s">
        <v>6071</v>
      </c>
      <c r="E642" s="140" t="s">
        <v>6072</v>
      </c>
      <c r="F642" s="140" t="s">
        <v>4</v>
      </c>
      <c r="G642" s="140">
        <v>2.75</v>
      </c>
      <c r="H642" s="140" t="s">
        <v>24</v>
      </c>
      <c r="I642" s="140" t="s">
        <v>602</v>
      </c>
      <c r="J642" s="140" t="s">
        <v>6073</v>
      </c>
      <c r="K642" s="140">
        <v>2</v>
      </c>
      <c r="L642" s="140" t="s">
        <v>1054</v>
      </c>
      <c r="M642" s="140" t="s">
        <v>6074</v>
      </c>
      <c r="N642" s="140">
        <v>3.5</v>
      </c>
      <c r="O642" s="140"/>
      <c r="P642" s="140"/>
      <c r="Q642" s="140" t="s">
        <v>452</v>
      </c>
      <c r="R642" s="140" t="s">
        <v>6075</v>
      </c>
      <c r="S642" s="140"/>
      <c r="T642" s="140"/>
      <c r="U642" s="143"/>
      <c r="V642" s="143"/>
      <c r="W642" s="143"/>
      <c r="X642" s="140" t="s">
        <v>6076</v>
      </c>
      <c r="Y642" s="140" t="s">
        <v>6077</v>
      </c>
      <c r="Z642" s="140" t="str">
        <f ca="1">IFERROR(__xludf.DUMMYFUNCTION("IF(VLOOKUP($Y642, IMPORTRANGE(""https://docs.google.com/spreadsheets/d/1WsTKRjz8_fF2119Ff9dhKIIYXSaUEHzuWr8pBkxmwQQ/edit"", ""Form Responses 1!$B:$Z""),1, FALSE)=$Y642,""Yes"",""No"")"),"#N/A")</f>
        <v>#N/A</v>
      </c>
      <c r="AA642" s="140"/>
      <c r="AB642" s="140"/>
    </row>
    <row r="643" spans="1:28">
      <c r="A643" s="144" t="s">
        <v>484</v>
      </c>
      <c r="B643" s="144" t="s">
        <v>6078</v>
      </c>
      <c r="C643" s="144" t="s">
        <v>6079</v>
      </c>
      <c r="D643" s="144" t="s">
        <v>6080</v>
      </c>
      <c r="E643" s="144" t="s">
        <v>6081</v>
      </c>
      <c r="F643" s="144" t="s">
        <v>4</v>
      </c>
      <c r="G643" s="144">
        <v>2.75</v>
      </c>
      <c r="H643" s="144" t="s">
        <v>24</v>
      </c>
      <c r="I643" s="144" t="s">
        <v>727</v>
      </c>
      <c r="J643" s="144" t="s">
        <v>6082</v>
      </c>
      <c r="K643" s="144">
        <v>2.5</v>
      </c>
      <c r="L643" s="144" t="s">
        <v>1054</v>
      </c>
      <c r="M643" s="144" t="s">
        <v>6083</v>
      </c>
      <c r="N643" s="144">
        <v>3</v>
      </c>
      <c r="O643" s="144" t="s">
        <v>784</v>
      </c>
      <c r="P643" s="160">
        <v>715840.11</v>
      </c>
      <c r="Q643" s="144" t="s">
        <v>452</v>
      </c>
      <c r="R643" s="144" t="s">
        <v>6084</v>
      </c>
      <c r="S643" s="144"/>
      <c r="T643" s="144"/>
      <c r="U643" s="145"/>
      <c r="V643" s="145"/>
      <c r="W643" s="145"/>
      <c r="X643" s="144" t="s">
        <v>6085</v>
      </c>
      <c r="Y643" s="144" t="s">
        <v>6086</v>
      </c>
      <c r="Z643" s="144" t="str">
        <f ca="1">IFERROR(__xludf.DUMMYFUNCTION("IF(VLOOKUP($Y643, IMPORTRANGE(""https://docs.google.com/spreadsheets/d/1WsTKRjz8_fF2119Ff9dhKIIYXSaUEHzuWr8pBkxmwQQ/edit"", ""Form Responses 1!$B:$Z""),1, FALSE)=$Y643,""Yes"",""No"")"),"#N/A")</f>
        <v>#N/A</v>
      </c>
      <c r="AA643" s="144"/>
      <c r="AB643" s="144"/>
    </row>
    <row r="644" spans="1:28">
      <c r="A644" s="140" t="s">
        <v>529</v>
      </c>
      <c r="B644" s="140" t="s">
        <v>6087</v>
      </c>
      <c r="C644" s="140" t="s">
        <v>6088</v>
      </c>
      <c r="D644" s="140" t="s">
        <v>6089</v>
      </c>
      <c r="E644" s="140" t="s">
        <v>6090</v>
      </c>
      <c r="F644" s="140" t="s">
        <v>4</v>
      </c>
      <c r="G644" s="140">
        <v>2.75</v>
      </c>
      <c r="H644" s="140" t="s">
        <v>24</v>
      </c>
      <c r="I644" s="140" t="s">
        <v>727</v>
      </c>
      <c r="J644" s="140" t="s">
        <v>6091</v>
      </c>
      <c r="K644" s="140">
        <v>3</v>
      </c>
      <c r="L644" s="140" t="s">
        <v>1045</v>
      </c>
      <c r="M644" s="140" t="s">
        <v>6092</v>
      </c>
      <c r="N644" s="140">
        <v>2.5</v>
      </c>
      <c r="O644" s="140" t="s">
        <v>451</v>
      </c>
      <c r="P644" s="140" t="s">
        <v>6093</v>
      </c>
      <c r="Q644" s="140" t="s">
        <v>452</v>
      </c>
      <c r="R644" s="140" t="s">
        <v>6094</v>
      </c>
      <c r="S644" s="140"/>
      <c r="T644" s="140"/>
      <c r="U644" s="143"/>
      <c r="V644" s="143"/>
      <c r="W644" s="143"/>
      <c r="X644" s="140" t="s">
        <v>6095</v>
      </c>
      <c r="Y644" s="140" t="s">
        <v>6096</v>
      </c>
      <c r="Z644" s="140" t="str">
        <f ca="1">IFERROR(__xludf.DUMMYFUNCTION("IF(VLOOKUP($Y644, IMPORTRANGE(""https://docs.google.com/spreadsheets/d/1WsTKRjz8_fF2119Ff9dhKIIYXSaUEHzuWr8pBkxmwQQ/edit"", ""Form Responses 1!$B:$Z""),1, FALSE)=$Y644,""Yes"",""No"")"),"#N/A")</f>
        <v>#N/A</v>
      </c>
      <c r="AA644" s="140"/>
      <c r="AB644" s="140"/>
    </row>
    <row r="645" spans="1:28">
      <c r="A645" s="144" t="s">
        <v>443</v>
      </c>
      <c r="B645" s="144" t="s">
        <v>6097</v>
      </c>
      <c r="C645" s="144" t="s">
        <v>6098</v>
      </c>
      <c r="D645" s="144" t="s">
        <v>6099</v>
      </c>
      <c r="E645" s="144" t="s">
        <v>6100</v>
      </c>
      <c r="F645" s="144" t="s">
        <v>4</v>
      </c>
      <c r="G645" s="144">
        <v>2.75</v>
      </c>
      <c r="H645" s="144" t="s">
        <v>24</v>
      </c>
      <c r="I645" s="144" t="s">
        <v>602</v>
      </c>
      <c r="J645" s="144" t="s">
        <v>6101</v>
      </c>
      <c r="K645" s="144">
        <v>3</v>
      </c>
      <c r="L645" s="144" t="s">
        <v>1045</v>
      </c>
      <c r="M645" s="144" t="s">
        <v>6102</v>
      </c>
      <c r="N645" s="144">
        <v>2.5</v>
      </c>
      <c r="O645" s="144" t="s">
        <v>784</v>
      </c>
      <c r="P645" s="144">
        <v>500000</v>
      </c>
      <c r="Q645" s="144" t="s">
        <v>452</v>
      </c>
      <c r="R645" s="144" t="s">
        <v>6103</v>
      </c>
      <c r="S645" s="144"/>
      <c r="T645" s="144"/>
      <c r="U645" s="145"/>
      <c r="V645" s="145"/>
      <c r="W645" s="145"/>
      <c r="X645" s="144" t="s">
        <v>6104</v>
      </c>
      <c r="Y645" s="144" t="s">
        <v>6105</v>
      </c>
      <c r="Z645" s="144" t="str">
        <f ca="1">IFERROR(__xludf.DUMMYFUNCTION("IF(VLOOKUP($Y645, IMPORTRANGE(""https://docs.google.com/spreadsheets/d/1WsTKRjz8_fF2119Ff9dhKIIYXSaUEHzuWr8pBkxmwQQ/edit"", ""Form Responses 1!$B:$Z""),1, FALSE)=$Y645,""Yes"",""No"")"),"#N/A")</f>
        <v>#N/A</v>
      </c>
      <c r="AA645" s="144"/>
      <c r="AB645" s="144"/>
    </row>
    <row r="646" spans="1:28">
      <c r="A646" s="140" t="s">
        <v>529</v>
      </c>
      <c r="B646" s="140" t="s">
        <v>6106</v>
      </c>
      <c r="C646" s="140" t="s">
        <v>6107</v>
      </c>
      <c r="D646" s="140" t="s">
        <v>6108</v>
      </c>
      <c r="E646" s="140" t="s">
        <v>6109</v>
      </c>
      <c r="F646" s="140" t="s">
        <v>4</v>
      </c>
      <c r="G646" s="140">
        <v>2.75</v>
      </c>
      <c r="H646" s="140" t="s">
        <v>24</v>
      </c>
      <c r="I646" s="140" t="s">
        <v>725</v>
      </c>
      <c r="J646" s="140" t="s">
        <v>6110</v>
      </c>
      <c r="K646" s="140">
        <v>3</v>
      </c>
      <c r="L646" s="140" t="s">
        <v>1045</v>
      </c>
      <c r="M646" s="140" t="s">
        <v>6111</v>
      </c>
      <c r="N646" s="140">
        <v>2.5</v>
      </c>
      <c r="O646" s="140" t="s">
        <v>451</v>
      </c>
      <c r="P646" s="140">
        <v>1500000</v>
      </c>
      <c r="Q646" s="140" t="s">
        <v>452</v>
      </c>
      <c r="R646" s="140" t="s">
        <v>6112</v>
      </c>
      <c r="S646" s="140"/>
      <c r="T646" s="140"/>
      <c r="U646" s="143"/>
      <c r="V646" s="143"/>
      <c r="W646" s="143"/>
      <c r="X646" s="140" t="s">
        <v>6113</v>
      </c>
      <c r="Y646" s="140" t="s">
        <v>6114</v>
      </c>
      <c r="Z646" s="140" t="str">
        <f ca="1">IFERROR(__xludf.DUMMYFUNCTION("IF(VLOOKUP($Y646, IMPORTRANGE(""https://docs.google.com/spreadsheets/d/1WsTKRjz8_fF2119Ff9dhKIIYXSaUEHzuWr8pBkxmwQQ/edit"", ""Form Responses 1!$B:$Z""),1, FALSE)=$Y646,""Yes"",""No"")"),"#N/A")</f>
        <v>#N/A</v>
      </c>
      <c r="AA646" s="140"/>
      <c r="AB646" s="140"/>
    </row>
    <row r="647" spans="1:28">
      <c r="A647" s="144" t="s">
        <v>484</v>
      </c>
      <c r="B647" s="144" t="s">
        <v>6115</v>
      </c>
      <c r="C647" s="144" t="s">
        <v>6116</v>
      </c>
      <c r="D647" s="144" t="s">
        <v>6117</v>
      </c>
      <c r="E647" s="144" t="s">
        <v>6118</v>
      </c>
      <c r="F647" s="144" t="s">
        <v>4</v>
      </c>
      <c r="G647" s="144">
        <v>2.75</v>
      </c>
      <c r="H647" s="144" t="s">
        <v>24</v>
      </c>
      <c r="I647" s="144" t="s">
        <v>602</v>
      </c>
      <c r="J647" s="144" t="s">
        <v>6119</v>
      </c>
      <c r="K647" s="144">
        <v>3</v>
      </c>
      <c r="L647" s="144" t="s">
        <v>476</v>
      </c>
      <c r="M647" s="144" t="s">
        <v>6120</v>
      </c>
      <c r="N647" s="144">
        <v>2.5</v>
      </c>
      <c r="O647" s="144"/>
      <c r="P647" s="144"/>
      <c r="Q647" s="144" t="s">
        <v>452</v>
      </c>
      <c r="R647" s="144" t="s">
        <v>6121</v>
      </c>
      <c r="S647" s="144"/>
      <c r="T647" s="144"/>
      <c r="U647" s="145"/>
      <c r="V647" s="145"/>
      <c r="W647" s="145"/>
      <c r="X647" s="144" t="s">
        <v>2980</v>
      </c>
      <c r="Y647" s="144" t="s">
        <v>6122</v>
      </c>
      <c r="Z647" s="144" t="str">
        <f ca="1">IFERROR(__xludf.DUMMYFUNCTION("IF(VLOOKUP($Y647, IMPORTRANGE(""https://docs.google.com/spreadsheets/d/1WsTKRjz8_fF2119Ff9dhKIIYXSaUEHzuWr8pBkxmwQQ/edit"", ""Form Responses 1!$B:$Z""),1, FALSE)=$Y647,""Yes"",""No"")"),"#N/A")</f>
        <v>#N/A</v>
      </c>
      <c r="AA647" s="144"/>
      <c r="AB647" s="144"/>
    </row>
    <row r="648" spans="1:28">
      <c r="A648" s="140" t="s">
        <v>443</v>
      </c>
      <c r="B648" s="140" t="s">
        <v>6123</v>
      </c>
      <c r="C648" s="140" t="s">
        <v>6124</v>
      </c>
      <c r="D648" s="140" t="s">
        <v>6125</v>
      </c>
      <c r="E648" s="140" t="s">
        <v>6126</v>
      </c>
      <c r="F648" s="140" t="s">
        <v>4</v>
      </c>
      <c r="G648" s="140">
        <v>2.63</v>
      </c>
      <c r="H648" s="140" t="s">
        <v>24</v>
      </c>
      <c r="I648" s="140" t="s">
        <v>727</v>
      </c>
      <c r="J648" s="140" t="s">
        <v>6127</v>
      </c>
      <c r="K648" s="140">
        <v>3.75</v>
      </c>
      <c r="L648" s="140" t="s">
        <v>476</v>
      </c>
      <c r="M648" s="140" t="s">
        <v>6128</v>
      </c>
      <c r="N648" s="140">
        <v>1.5</v>
      </c>
      <c r="O648" s="140"/>
      <c r="P648" s="140"/>
      <c r="Q648" s="140" t="s">
        <v>452</v>
      </c>
      <c r="R648" s="140" t="s">
        <v>3420</v>
      </c>
      <c r="S648" s="140"/>
      <c r="T648" s="140"/>
      <c r="U648" s="143"/>
      <c r="V648" s="143"/>
      <c r="W648" s="143"/>
      <c r="X648" s="140" t="s">
        <v>6129</v>
      </c>
      <c r="Y648" s="140" t="s">
        <v>6130</v>
      </c>
      <c r="Z648" s="140" t="str">
        <f ca="1">IFERROR(__xludf.DUMMYFUNCTION("IF(VLOOKUP($Y648, IMPORTRANGE(""https://docs.google.com/spreadsheets/d/1WsTKRjz8_fF2119Ff9dhKIIYXSaUEHzuWr8pBkxmwQQ/edit"", ""Form Responses 1!$B:$Z""),1, FALSE)=$Y648,""Yes"",""No"")"),"#N/A")</f>
        <v>#N/A</v>
      </c>
      <c r="AA648" s="140"/>
      <c r="AB648" s="140"/>
    </row>
    <row r="649" spans="1:28">
      <c r="A649" s="144" t="s">
        <v>598</v>
      </c>
      <c r="B649" s="144" t="s">
        <v>6131</v>
      </c>
      <c r="C649" s="144" t="s">
        <v>6132</v>
      </c>
      <c r="D649" s="144" t="s">
        <v>6133</v>
      </c>
      <c r="E649" s="144" t="s">
        <v>6134</v>
      </c>
      <c r="F649" s="144" t="s">
        <v>4</v>
      </c>
      <c r="G649" s="144">
        <v>2.63</v>
      </c>
      <c r="H649" s="144" t="s">
        <v>24</v>
      </c>
      <c r="I649" s="144" t="s">
        <v>1045</v>
      </c>
      <c r="J649" s="144" t="s">
        <v>6135</v>
      </c>
      <c r="K649" s="144">
        <v>2.75</v>
      </c>
      <c r="L649" s="144" t="s">
        <v>543</v>
      </c>
      <c r="M649" s="144" t="s">
        <v>6136</v>
      </c>
      <c r="N649" s="144">
        <v>2.5</v>
      </c>
      <c r="O649" s="144"/>
      <c r="P649" s="144"/>
      <c r="Q649" s="144" t="s">
        <v>465</v>
      </c>
      <c r="R649" s="144" t="s">
        <v>6137</v>
      </c>
      <c r="S649" s="144"/>
      <c r="T649" s="144"/>
      <c r="U649" s="145"/>
      <c r="V649" s="145"/>
      <c r="W649" s="145"/>
      <c r="X649" s="144" t="s">
        <v>5789</v>
      </c>
      <c r="Y649" s="144" t="s">
        <v>6138</v>
      </c>
      <c r="Z649" s="144" t="str">
        <f ca="1">IFERROR(__xludf.DUMMYFUNCTION("IF(VLOOKUP($Y649, IMPORTRANGE(""https://docs.google.com/spreadsheets/d/1WsTKRjz8_fF2119Ff9dhKIIYXSaUEHzuWr8pBkxmwQQ/edit"", ""Form Responses 1!$B:$Z""),1, FALSE)=$Y649,""Yes"",""No"")"),"#N/A")</f>
        <v>#N/A</v>
      </c>
      <c r="AA649" s="144"/>
      <c r="AB649" s="144"/>
    </row>
    <row r="650" spans="1:28">
      <c r="A650" s="140" t="s">
        <v>484</v>
      </c>
      <c r="B650" s="140" t="s">
        <v>6139</v>
      </c>
      <c r="C650" s="140" t="s">
        <v>6140</v>
      </c>
      <c r="D650" s="140" t="s">
        <v>6141</v>
      </c>
      <c r="E650" s="140" t="s">
        <v>6142</v>
      </c>
      <c r="F650" s="140" t="s">
        <v>4</v>
      </c>
      <c r="G650" s="140">
        <v>2.5</v>
      </c>
      <c r="H650" s="140" t="s">
        <v>24</v>
      </c>
      <c r="I650" s="140" t="s">
        <v>602</v>
      </c>
      <c r="J650" s="140" t="s">
        <v>6143</v>
      </c>
      <c r="K650" s="140">
        <v>3</v>
      </c>
      <c r="L650" s="140" t="s">
        <v>1054</v>
      </c>
      <c r="M650" s="140" t="s">
        <v>6144</v>
      </c>
      <c r="N650" s="140">
        <v>2</v>
      </c>
      <c r="O650" s="140" t="s">
        <v>451</v>
      </c>
      <c r="P650" s="140">
        <v>750000</v>
      </c>
      <c r="Q650" s="140" t="s">
        <v>465</v>
      </c>
      <c r="R650" s="140" t="s">
        <v>6145</v>
      </c>
      <c r="S650" s="140"/>
      <c r="T650" s="140"/>
      <c r="U650" s="143"/>
      <c r="V650" s="143"/>
      <c r="W650" s="143"/>
      <c r="X650" s="140" t="s">
        <v>6146</v>
      </c>
      <c r="Y650" s="140" t="s">
        <v>6147</v>
      </c>
      <c r="Z650" s="140" t="str">
        <f ca="1">IFERROR(__xludf.DUMMYFUNCTION("IF(VLOOKUP($Y650, IMPORTRANGE(""https://docs.google.com/spreadsheets/d/1WsTKRjz8_fF2119Ff9dhKIIYXSaUEHzuWr8pBkxmwQQ/edit"", ""Form Responses 1!$B:$Z""),1, FALSE)=$Y650,""Yes"",""No"")"),"#N/A")</f>
        <v>#N/A</v>
      </c>
      <c r="AA650" s="140"/>
      <c r="AB650" s="140"/>
    </row>
    <row r="651" spans="1:28">
      <c r="A651" s="144" t="s">
        <v>484</v>
      </c>
      <c r="B651" s="144" t="s">
        <v>6148</v>
      </c>
      <c r="C651" s="144" t="s">
        <v>6149</v>
      </c>
      <c r="D651" s="144" t="s">
        <v>6150</v>
      </c>
      <c r="E651" s="144" t="s">
        <v>6151</v>
      </c>
      <c r="F651" s="144" t="s">
        <v>4</v>
      </c>
      <c r="G651" s="144">
        <v>2.5</v>
      </c>
      <c r="H651" s="144" t="s">
        <v>24</v>
      </c>
      <c r="I651" s="144" t="s">
        <v>602</v>
      </c>
      <c r="J651" s="144" t="s">
        <v>6152</v>
      </c>
      <c r="K651" s="144">
        <v>2</v>
      </c>
      <c r="L651" s="144" t="s">
        <v>1054</v>
      </c>
      <c r="M651" s="144" t="s">
        <v>6153</v>
      </c>
      <c r="N651" s="144">
        <v>3</v>
      </c>
      <c r="O651" s="144" t="s">
        <v>451</v>
      </c>
      <c r="P651" s="147">
        <v>2000000</v>
      </c>
      <c r="Q651" s="144" t="s">
        <v>452</v>
      </c>
      <c r="R651" s="144" t="s">
        <v>452</v>
      </c>
      <c r="S651" s="144"/>
      <c r="T651" s="144"/>
      <c r="U651" s="145"/>
      <c r="V651" s="145"/>
      <c r="W651" s="145"/>
      <c r="X651" s="144" t="s">
        <v>6154</v>
      </c>
      <c r="Y651" s="144" t="s">
        <v>6155</v>
      </c>
      <c r="Z651" s="144" t="str">
        <f ca="1">IFERROR(__xludf.DUMMYFUNCTION("IF(VLOOKUP($Y651, IMPORTRANGE(""https://docs.google.com/spreadsheets/d/1WsTKRjz8_fF2119Ff9dhKIIYXSaUEHzuWr8pBkxmwQQ/edit"", ""Form Responses 1!$B:$Z""),1, FALSE)=$Y651,""Yes"",""No"")"),"#N/A")</f>
        <v>#N/A</v>
      </c>
      <c r="AA651" s="144"/>
      <c r="AB651" s="144"/>
    </row>
    <row r="652" spans="1:28">
      <c r="A652" s="140" t="s">
        <v>529</v>
      </c>
      <c r="B652" s="140" t="s">
        <v>6156</v>
      </c>
      <c r="C652" s="140" t="s">
        <v>6157</v>
      </c>
      <c r="D652" s="140" t="s">
        <v>6158</v>
      </c>
      <c r="E652" s="140" t="s">
        <v>6159</v>
      </c>
      <c r="F652" s="140" t="s">
        <v>4</v>
      </c>
      <c r="G652" s="140">
        <v>2.5</v>
      </c>
      <c r="H652" s="140" t="s">
        <v>24</v>
      </c>
      <c r="I652" s="140" t="s">
        <v>725</v>
      </c>
      <c r="J652" s="140" t="s">
        <v>6160</v>
      </c>
      <c r="K652" s="140">
        <v>2</v>
      </c>
      <c r="L652" s="140" t="s">
        <v>990</v>
      </c>
      <c r="M652" s="140"/>
      <c r="N652" s="140">
        <v>3</v>
      </c>
      <c r="O652" s="140" t="s">
        <v>451</v>
      </c>
      <c r="P652" s="148">
        <v>900000</v>
      </c>
      <c r="Q652" s="140" t="s">
        <v>452</v>
      </c>
      <c r="R652" s="140" t="s">
        <v>6161</v>
      </c>
      <c r="S652" s="140"/>
      <c r="T652" s="140"/>
      <c r="U652" s="143"/>
      <c r="V652" s="143"/>
      <c r="W652" s="143"/>
      <c r="X652" s="140" t="s">
        <v>6162</v>
      </c>
      <c r="Y652" s="140" t="s">
        <v>6163</v>
      </c>
      <c r="Z652" s="140" t="str">
        <f ca="1">IFERROR(__xludf.DUMMYFUNCTION("IF(VLOOKUP($Y652, IMPORTRANGE(""https://docs.google.com/spreadsheets/d/1WsTKRjz8_fF2119Ff9dhKIIYXSaUEHzuWr8pBkxmwQQ/edit"", ""Form Responses 1!$B:$Z""),1, FALSE)=$Y652,""Yes"",""No"")"),"#N/A")</f>
        <v>#N/A</v>
      </c>
      <c r="AA652" s="140"/>
      <c r="AB652" s="140"/>
    </row>
    <row r="653" spans="1:28">
      <c r="A653" s="144" t="s">
        <v>529</v>
      </c>
      <c r="B653" s="144" t="s">
        <v>6164</v>
      </c>
      <c r="C653" s="144" t="s">
        <v>6165</v>
      </c>
      <c r="D653" s="144" t="s">
        <v>6166</v>
      </c>
      <c r="E653" s="144" t="s">
        <v>6167</v>
      </c>
      <c r="F653" s="144" t="s">
        <v>4</v>
      </c>
      <c r="G653" s="144">
        <v>2.5</v>
      </c>
      <c r="H653" s="144" t="s">
        <v>24</v>
      </c>
      <c r="I653" s="144" t="s">
        <v>602</v>
      </c>
      <c r="J653" s="144" t="s">
        <v>6168</v>
      </c>
      <c r="K653" s="144">
        <v>2</v>
      </c>
      <c r="L653" s="144" t="s">
        <v>990</v>
      </c>
      <c r="M653" s="144"/>
      <c r="N653" s="144">
        <v>3</v>
      </c>
      <c r="O653" s="144"/>
      <c r="P653" s="144"/>
      <c r="Q653" s="144" t="s">
        <v>452</v>
      </c>
      <c r="R653" s="144" t="s">
        <v>6169</v>
      </c>
      <c r="S653" s="144" t="s">
        <v>6170</v>
      </c>
      <c r="T653" s="144"/>
      <c r="U653" s="145"/>
      <c r="V653" s="145"/>
      <c r="W653" s="145"/>
      <c r="X653" s="144" t="s">
        <v>6171</v>
      </c>
      <c r="Y653" s="144" t="s">
        <v>6172</v>
      </c>
      <c r="Z653" s="144" t="str">
        <f ca="1">IFERROR(__xludf.DUMMYFUNCTION("IF(VLOOKUP($Y653, IMPORTRANGE(""https://docs.google.com/spreadsheets/d/1WsTKRjz8_fF2119Ff9dhKIIYXSaUEHzuWr8pBkxmwQQ/edit"", ""Form Responses 1!$B:$Z""),1, FALSE)=$Y653,""Yes"",""No"")"),"#N/A")</f>
        <v>#N/A</v>
      </c>
      <c r="AA653" s="144"/>
      <c r="AB653" s="144"/>
    </row>
    <row r="654" spans="1:28">
      <c r="A654" s="140" t="s">
        <v>907</v>
      </c>
      <c r="B654" s="140" t="s">
        <v>6173</v>
      </c>
      <c r="C654" s="140" t="s">
        <v>6174</v>
      </c>
      <c r="D654" s="140" t="s">
        <v>6175</v>
      </c>
      <c r="E654" s="140" t="s">
        <v>6176</v>
      </c>
      <c r="F654" s="140" t="s">
        <v>4</v>
      </c>
      <c r="G654" s="140">
        <v>2.5</v>
      </c>
      <c r="H654" s="140" t="s">
        <v>24</v>
      </c>
      <c r="I654" s="140" t="s">
        <v>725</v>
      </c>
      <c r="J654" s="140" t="s">
        <v>6177</v>
      </c>
      <c r="K654" s="140">
        <v>1</v>
      </c>
      <c r="L654" s="140" t="s">
        <v>990</v>
      </c>
      <c r="M654" s="140" t="s">
        <v>6178</v>
      </c>
      <c r="N654" s="140">
        <v>4</v>
      </c>
      <c r="O654" s="140"/>
      <c r="P654" s="140"/>
      <c r="Q654" s="140" t="s">
        <v>452</v>
      </c>
      <c r="R654" s="140" t="s">
        <v>6179</v>
      </c>
      <c r="S654" s="140"/>
      <c r="T654" s="140"/>
      <c r="U654" s="143"/>
      <c r="V654" s="143"/>
      <c r="W654" s="143"/>
      <c r="X654" s="140" t="s">
        <v>2416</v>
      </c>
      <c r="Y654" s="140" t="s">
        <v>6180</v>
      </c>
      <c r="Z654" s="140" t="str">
        <f ca="1">IFERROR(__xludf.DUMMYFUNCTION("IF(VLOOKUP($Y654, IMPORTRANGE(""https://docs.google.com/spreadsheets/d/1WsTKRjz8_fF2119Ff9dhKIIYXSaUEHzuWr8pBkxmwQQ/edit"", ""Form Responses 1!$B:$Z""),1, FALSE)=$Y654,""Yes"",""No"")"),"#N/A")</f>
        <v>#N/A</v>
      </c>
      <c r="AA654" s="140"/>
      <c r="AB654" s="140"/>
    </row>
    <row r="655" spans="1:28">
      <c r="A655" s="144" t="s">
        <v>598</v>
      </c>
      <c r="B655" s="144" t="s">
        <v>6181</v>
      </c>
      <c r="C655" s="144" t="s">
        <v>6182</v>
      </c>
      <c r="D655" s="144" t="s">
        <v>6183</v>
      </c>
      <c r="E655" s="144" t="s">
        <v>6184</v>
      </c>
      <c r="F655" s="144" t="s">
        <v>4</v>
      </c>
      <c r="G655" s="144">
        <v>2.5</v>
      </c>
      <c r="H655" s="144" t="s">
        <v>24</v>
      </c>
      <c r="I655" s="144" t="s">
        <v>727</v>
      </c>
      <c r="J655" s="144" t="s">
        <v>6185</v>
      </c>
      <c r="K655" s="144">
        <v>3</v>
      </c>
      <c r="L655" s="144" t="s">
        <v>1036</v>
      </c>
      <c r="M655" s="144" t="s">
        <v>6186</v>
      </c>
      <c r="N655" s="144">
        <v>2</v>
      </c>
      <c r="O655" s="144" t="s">
        <v>784</v>
      </c>
      <c r="P655" s="147">
        <v>608750</v>
      </c>
      <c r="Q655" s="144" t="s">
        <v>452</v>
      </c>
      <c r="R655" s="144" t="s">
        <v>6187</v>
      </c>
      <c r="S655" s="144"/>
      <c r="T655" s="144"/>
      <c r="U655" s="145"/>
      <c r="V655" s="145"/>
      <c r="W655" s="145"/>
      <c r="X655" s="144" t="s">
        <v>6188</v>
      </c>
      <c r="Y655" s="144" t="s">
        <v>6189</v>
      </c>
      <c r="Z655" s="144" t="str">
        <f ca="1">IFERROR(__xludf.DUMMYFUNCTION("IF(VLOOKUP($Y655, IMPORTRANGE(""https://docs.google.com/spreadsheets/d/1WsTKRjz8_fF2119Ff9dhKIIYXSaUEHzuWr8pBkxmwQQ/edit"", ""Form Responses 1!$B:$Z""),1, FALSE)=$Y655,""Yes"",""No"")"),"#N/A")</f>
        <v>#N/A</v>
      </c>
      <c r="AA655" s="144"/>
      <c r="AB655" s="144"/>
    </row>
    <row r="656" spans="1:28">
      <c r="A656" s="140" t="s">
        <v>529</v>
      </c>
      <c r="B656" s="140" t="s">
        <v>6190</v>
      </c>
      <c r="C656" s="140" t="s">
        <v>6191</v>
      </c>
      <c r="D656" s="140" t="s">
        <v>6192</v>
      </c>
      <c r="E656" s="140" t="s">
        <v>6193</v>
      </c>
      <c r="F656" s="140" t="s">
        <v>4</v>
      </c>
      <c r="G656" s="140">
        <v>2.5</v>
      </c>
      <c r="H656" s="140" t="s">
        <v>24</v>
      </c>
      <c r="I656" s="140" t="s">
        <v>725</v>
      </c>
      <c r="J656" s="140" t="s">
        <v>6194</v>
      </c>
      <c r="K656" s="140">
        <v>2</v>
      </c>
      <c r="L656" s="140" t="s">
        <v>1036</v>
      </c>
      <c r="M656" s="140" t="s">
        <v>6195</v>
      </c>
      <c r="N656" s="140">
        <v>3</v>
      </c>
      <c r="O656" s="140" t="s">
        <v>478</v>
      </c>
      <c r="P656" s="142">
        <v>10500000</v>
      </c>
      <c r="Q656" s="140" t="s">
        <v>452</v>
      </c>
      <c r="R656" s="140" t="s">
        <v>6196</v>
      </c>
      <c r="S656" s="140" t="s">
        <v>6197</v>
      </c>
      <c r="T656" s="140"/>
      <c r="U656" s="143"/>
      <c r="V656" s="143"/>
      <c r="W656" s="143"/>
      <c r="X656" s="140" t="s">
        <v>6198</v>
      </c>
      <c r="Y656" s="140" t="s">
        <v>6199</v>
      </c>
      <c r="Z656" s="140" t="str">
        <f ca="1">IFERROR(__xludf.DUMMYFUNCTION("IF(VLOOKUP($Y656, IMPORTRANGE(""https://docs.google.com/spreadsheets/d/1WsTKRjz8_fF2119Ff9dhKIIYXSaUEHzuWr8pBkxmwQQ/edit"", ""Form Responses 1!$B:$Z""),1, FALSE)=$Y656,""Yes"",""No"")"),"#N/A")</f>
        <v>#N/A</v>
      </c>
      <c r="AA656" s="140"/>
      <c r="AB656" s="140"/>
    </row>
    <row r="657" spans="1:28">
      <c r="A657" s="144" t="s">
        <v>529</v>
      </c>
      <c r="B657" s="144" t="s">
        <v>6200</v>
      </c>
      <c r="C657" s="144" t="s">
        <v>6201</v>
      </c>
      <c r="D657" s="144" t="s">
        <v>6202</v>
      </c>
      <c r="E657" s="144" t="s">
        <v>6203</v>
      </c>
      <c r="F657" s="144" t="s">
        <v>4</v>
      </c>
      <c r="G657" s="144">
        <v>2.5</v>
      </c>
      <c r="H657" s="144" t="s">
        <v>24</v>
      </c>
      <c r="I657" s="144" t="s">
        <v>602</v>
      </c>
      <c r="J657" s="144" t="s">
        <v>6204</v>
      </c>
      <c r="K657" s="144">
        <v>2</v>
      </c>
      <c r="L657" s="144" t="s">
        <v>1073</v>
      </c>
      <c r="M657" s="144"/>
      <c r="N657" s="144">
        <v>3</v>
      </c>
      <c r="O657" s="144" t="s">
        <v>451</v>
      </c>
      <c r="P657" s="144">
        <v>550000</v>
      </c>
      <c r="Q657" s="144" t="s">
        <v>465</v>
      </c>
      <c r="R657" s="144" t="s">
        <v>6205</v>
      </c>
      <c r="S657" s="144"/>
      <c r="T657" s="144"/>
      <c r="U657" s="145"/>
      <c r="V657" s="145"/>
      <c r="W657" s="145"/>
      <c r="X657" s="144" t="s">
        <v>6206</v>
      </c>
      <c r="Y657" s="144" t="s">
        <v>6207</v>
      </c>
      <c r="Z657" s="144" t="str">
        <f ca="1">IFERROR(__xludf.DUMMYFUNCTION("IF(VLOOKUP($Y657, IMPORTRANGE(""https://docs.google.com/spreadsheets/d/1WsTKRjz8_fF2119Ff9dhKIIYXSaUEHzuWr8pBkxmwQQ/edit"", ""Form Responses 1!$B:$Z""),1, FALSE)=$Y657,""Yes"",""No"")"),"#N/A")</f>
        <v>#N/A</v>
      </c>
      <c r="AA657" s="144"/>
      <c r="AB657" s="144"/>
    </row>
    <row r="658" spans="1:28">
      <c r="A658" s="140" t="s">
        <v>443</v>
      </c>
      <c r="B658" s="140" t="s">
        <v>6208</v>
      </c>
      <c r="C658" s="140" t="s">
        <v>6209</v>
      </c>
      <c r="D658" s="140" t="s">
        <v>6210</v>
      </c>
      <c r="E658" s="140" t="s">
        <v>6211</v>
      </c>
      <c r="F658" s="140" t="s">
        <v>4</v>
      </c>
      <c r="G658" s="140">
        <v>2.5</v>
      </c>
      <c r="H658" s="140" t="s">
        <v>24</v>
      </c>
      <c r="I658" s="140" t="s">
        <v>727</v>
      </c>
      <c r="J658" s="140" t="s">
        <v>6212</v>
      </c>
      <c r="K658" s="140">
        <v>3</v>
      </c>
      <c r="L658" s="140" t="s">
        <v>1045</v>
      </c>
      <c r="M658" s="140" t="s">
        <v>6213</v>
      </c>
      <c r="N658" s="140">
        <v>2</v>
      </c>
      <c r="O658" s="140" t="s">
        <v>451</v>
      </c>
      <c r="P658" s="140">
        <v>1000000</v>
      </c>
      <c r="Q658" s="140" t="s">
        <v>465</v>
      </c>
      <c r="R658" s="140" t="s">
        <v>6214</v>
      </c>
      <c r="S658" s="140" t="s">
        <v>6215</v>
      </c>
      <c r="T658" s="140"/>
      <c r="U658" s="143"/>
      <c r="V658" s="143"/>
      <c r="W658" s="143"/>
      <c r="X658" s="140" t="s">
        <v>6216</v>
      </c>
      <c r="Y658" s="140" t="s">
        <v>6217</v>
      </c>
      <c r="Z658" s="140" t="str">
        <f ca="1">IFERROR(__xludf.DUMMYFUNCTION("IF(VLOOKUP($Y658, IMPORTRANGE(""https://docs.google.com/spreadsheets/d/1WsTKRjz8_fF2119Ff9dhKIIYXSaUEHzuWr8pBkxmwQQ/edit"", ""Form Responses 1!$B:$Z""),1, FALSE)=$Y658,""Yes"",""No"")"),"#N/A")</f>
        <v>#N/A</v>
      </c>
      <c r="AA658" s="140"/>
      <c r="AB658" s="140"/>
    </row>
    <row r="659" spans="1:28">
      <c r="A659" s="144" t="s">
        <v>529</v>
      </c>
      <c r="B659" s="144" t="s">
        <v>6218</v>
      </c>
      <c r="C659" s="144" t="s">
        <v>6219</v>
      </c>
      <c r="D659" s="144" t="s">
        <v>6220</v>
      </c>
      <c r="E659" s="144" t="s">
        <v>6221</v>
      </c>
      <c r="F659" s="144" t="s">
        <v>4</v>
      </c>
      <c r="G659" s="144">
        <v>2.5</v>
      </c>
      <c r="H659" s="144" t="s">
        <v>24</v>
      </c>
      <c r="I659" s="144" t="s">
        <v>447</v>
      </c>
      <c r="J659" s="144" t="s">
        <v>6222</v>
      </c>
      <c r="K659" s="144">
        <v>2</v>
      </c>
      <c r="L659" s="144" t="s">
        <v>1073</v>
      </c>
      <c r="M659" s="144" t="s">
        <v>6223</v>
      </c>
      <c r="N659" s="144">
        <v>3</v>
      </c>
      <c r="O659" s="144"/>
      <c r="P659" s="144"/>
      <c r="Q659" s="144" t="s">
        <v>452</v>
      </c>
      <c r="R659" s="144" t="s">
        <v>6224</v>
      </c>
      <c r="S659" s="144" t="s">
        <v>6225</v>
      </c>
      <c r="T659" s="144"/>
      <c r="U659" s="145"/>
      <c r="V659" s="145"/>
      <c r="W659" s="145"/>
      <c r="X659" s="144" t="s">
        <v>6226</v>
      </c>
      <c r="Y659" s="144" t="s">
        <v>6227</v>
      </c>
      <c r="Z659" s="144" t="str">
        <f ca="1">IFERROR(__xludf.DUMMYFUNCTION("IF(VLOOKUP($Y659, IMPORTRANGE(""https://docs.google.com/spreadsheets/d/1WsTKRjz8_fF2119Ff9dhKIIYXSaUEHzuWr8pBkxmwQQ/edit"", ""Form Responses 1!$B:$Z""),1, FALSE)=$Y659,""Yes"",""No"")"),"#N/A")</f>
        <v>#N/A</v>
      </c>
      <c r="AA659" s="144"/>
      <c r="AB659" s="144"/>
    </row>
    <row r="660" spans="1:28">
      <c r="A660" s="140" t="s">
        <v>529</v>
      </c>
      <c r="B660" s="140" t="s">
        <v>6228</v>
      </c>
      <c r="C660" s="140" t="s">
        <v>6229</v>
      </c>
      <c r="D660" s="140" t="s">
        <v>6230</v>
      </c>
      <c r="E660" s="140" t="s">
        <v>6231</v>
      </c>
      <c r="F660" s="140" t="s">
        <v>4</v>
      </c>
      <c r="G660" s="140">
        <v>2.5</v>
      </c>
      <c r="H660" s="140" t="s">
        <v>24</v>
      </c>
      <c r="I660" s="140" t="s">
        <v>725</v>
      </c>
      <c r="J660" s="140" t="s">
        <v>6232</v>
      </c>
      <c r="K660" s="140">
        <v>2</v>
      </c>
      <c r="L660" s="140" t="s">
        <v>1073</v>
      </c>
      <c r="M660" s="140"/>
      <c r="N660" s="140">
        <v>3</v>
      </c>
      <c r="O660" s="140"/>
      <c r="P660" s="140"/>
      <c r="Q660" s="140" t="s">
        <v>452</v>
      </c>
      <c r="R660" s="140" t="s">
        <v>452</v>
      </c>
      <c r="S660" s="140"/>
      <c r="T660" s="140"/>
      <c r="U660" s="143"/>
      <c r="V660" s="143"/>
      <c r="W660" s="143"/>
      <c r="X660" s="140" t="s">
        <v>6233</v>
      </c>
      <c r="Y660" s="140" t="s">
        <v>6234</v>
      </c>
      <c r="Z660" s="140" t="str">
        <f ca="1">IFERROR(__xludf.DUMMYFUNCTION("IF(VLOOKUP($Y660, IMPORTRANGE(""https://docs.google.com/spreadsheets/d/1WsTKRjz8_fF2119Ff9dhKIIYXSaUEHzuWr8pBkxmwQQ/edit"", ""Form Responses 1!$B:$Z""),1, FALSE)=$Y660,""Yes"",""No"")"),"#N/A")</f>
        <v>#N/A</v>
      </c>
      <c r="AA660" s="140"/>
      <c r="AB660" s="140"/>
    </row>
    <row r="661" spans="1:28">
      <c r="A661" s="144" t="s">
        <v>598</v>
      </c>
      <c r="B661" s="144" t="s">
        <v>6235</v>
      </c>
      <c r="C661" s="144" t="s">
        <v>6236</v>
      </c>
      <c r="D661" s="144" t="s">
        <v>6237</v>
      </c>
      <c r="E661" s="144" t="s">
        <v>6238</v>
      </c>
      <c r="F661" s="144" t="s">
        <v>4</v>
      </c>
      <c r="G661" s="144">
        <v>2.5</v>
      </c>
      <c r="H661" s="144" t="s">
        <v>24</v>
      </c>
      <c r="I661" s="144" t="s">
        <v>725</v>
      </c>
      <c r="J661" s="144" t="s">
        <v>6239</v>
      </c>
      <c r="K661" s="144">
        <v>3</v>
      </c>
      <c r="L661" s="144" t="s">
        <v>476</v>
      </c>
      <c r="M661" s="144" t="s">
        <v>6240</v>
      </c>
      <c r="N661" s="144">
        <v>2</v>
      </c>
      <c r="O661" s="144" t="s">
        <v>451</v>
      </c>
      <c r="P661" s="144" t="s">
        <v>6241</v>
      </c>
      <c r="Q661" s="144" t="s">
        <v>452</v>
      </c>
      <c r="R661" s="144" t="s">
        <v>6242</v>
      </c>
      <c r="S661" s="144"/>
      <c r="T661" s="144"/>
      <c r="U661" s="145"/>
      <c r="V661" s="145"/>
      <c r="W661" s="145"/>
      <c r="X661" s="144" t="s">
        <v>6243</v>
      </c>
      <c r="Y661" s="144" t="s">
        <v>6244</v>
      </c>
      <c r="Z661" s="144" t="str">
        <f ca="1">IFERROR(__xludf.DUMMYFUNCTION("IF(VLOOKUP($Y661, IMPORTRANGE(""https://docs.google.com/spreadsheets/d/1WsTKRjz8_fF2119Ff9dhKIIYXSaUEHzuWr8pBkxmwQQ/edit"", ""Form Responses 1!$B:$Z""),1, FALSE)=$Y661,""Yes"",""No"")"),"#N/A")</f>
        <v>#N/A</v>
      </c>
      <c r="AA661" s="144"/>
      <c r="AB661" s="144"/>
    </row>
    <row r="662" spans="1:28">
      <c r="A662" s="140" t="s">
        <v>598</v>
      </c>
      <c r="B662" s="140" t="s">
        <v>6245</v>
      </c>
      <c r="C662" s="140" t="s">
        <v>6246</v>
      </c>
      <c r="D662" s="140" t="s">
        <v>6247</v>
      </c>
      <c r="E662" s="140" t="s">
        <v>6248</v>
      </c>
      <c r="F662" s="140" t="s">
        <v>4</v>
      </c>
      <c r="G662" s="140">
        <v>2.5</v>
      </c>
      <c r="H662" s="140" t="s">
        <v>24</v>
      </c>
      <c r="I662" s="140" t="s">
        <v>602</v>
      </c>
      <c r="J662" s="140" t="s">
        <v>6249</v>
      </c>
      <c r="K662" s="140">
        <v>3.5</v>
      </c>
      <c r="L662" s="140" t="s">
        <v>476</v>
      </c>
      <c r="M662" s="140" t="s">
        <v>6250</v>
      </c>
      <c r="N662" s="140">
        <v>1.5</v>
      </c>
      <c r="O662" s="140" t="s">
        <v>451</v>
      </c>
      <c r="P662" s="140" t="s">
        <v>3555</v>
      </c>
      <c r="Q662" s="140" t="s">
        <v>452</v>
      </c>
      <c r="R662" s="140" t="s">
        <v>452</v>
      </c>
      <c r="S662" s="140"/>
      <c r="T662" s="140"/>
      <c r="U662" s="143"/>
      <c r="V662" s="143"/>
      <c r="W662" s="143"/>
      <c r="X662" s="140" t="s">
        <v>6251</v>
      </c>
      <c r="Y662" s="140" t="s">
        <v>6252</v>
      </c>
      <c r="Z662" s="140" t="str">
        <f ca="1">IFERROR(__xludf.DUMMYFUNCTION("IF(VLOOKUP($Y662, IMPORTRANGE(""https://docs.google.com/spreadsheets/d/1WsTKRjz8_fF2119Ff9dhKIIYXSaUEHzuWr8pBkxmwQQ/edit"", ""Form Responses 1!$B:$Z""),1, FALSE)=$Y662,""Yes"",""No"")"),"#N/A")</f>
        <v>#N/A</v>
      </c>
      <c r="AA662" s="140"/>
      <c r="AB662" s="140"/>
    </row>
    <row r="663" spans="1:28">
      <c r="A663" s="144" t="s">
        <v>484</v>
      </c>
      <c r="B663" s="144" t="s">
        <v>6253</v>
      </c>
      <c r="C663" s="144" t="s">
        <v>6254</v>
      </c>
      <c r="D663" s="144" t="s">
        <v>6255</v>
      </c>
      <c r="E663" s="144" t="s">
        <v>6256</v>
      </c>
      <c r="F663" s="144" t="s">
        <v>4</v>
      </c>
      <c r="G663" s="144">
        <v>2.5</v>
      </c>
      <c r="H663" s="144" t="s">
        <v>24</v>
      </c>
      <c r="I663" s="144" t="s">
        <v>602</v>
      </c>
      <c r="J663" s="144" t="s">
        <v>6257</v>
      </c>
      <c r="K663" s="144">
        <v>2</v>
      </c>
      <c r="L663" s="144" t="s">
        <v>476</v>
      </c>
      <c r="M663" s="144" t="s">
        <v>6258</v>
      </c>
      <c r="N663" s="144">
        <v>3</v>
      </c>
      <c r="O663" s="144"/>
      <c r="P663" s="144"/>
      <c r="Q663" s="144" t="s">
        <v>452</v>
      </c>
      <c r="R663" s="144" t="s">
        <v>6259</v>
      </c>
      <c r="S663" s="144" t="s">
        <v>6260</v>
      </c>
      <c r="T663" s="144"/>
      <c r="U663" s="145"/>
      <c r="V663" s="145"/>
      <c r="W663" s="145"/>
      <c r="X663" s="144" t="s">
        <v>6261</v>
      </c>
      <c r="Y663" s="144" t="s">
        <v>6262</v>
      </c>
      <c r="Z663" s="144" t="str">
        <f ca="1">IFERROR(__xludf.DUMMYFUNCTION("IF(VLOOKUP($Y663, IMPORTRANGE(""https://docs.google.com/spreadsheets/d/1WsTKRjz8_fF2119Ff9dhKIIYXSaUEHzuWr8pBkxmwQQ/edit"", ""Form Responses 1!$B:$Z""),1, FALSE)=$Y663,""Yes"",""No"")"),"#N/A")</f>
        <v>#N/A</v>
      </c>
      <c r="AA663" s="144"/>
      <c r="AB663" s="144"/>
    </row>
    <row r="664" spans="1:28">
      <c r="A664" s="140" t="s">
        <v>443</v>
      </c>
      <c r="B664" s="140" t="s">
        <v>6263</v>
      </c>
      <c r="C664" s="140" t="s">
        <v>6264</v>
      </c>
      <c r="D664" s="140" t="s">
        <v>6265</v>
      </c>
      <c r="E664" s="140" t="s">
        <v>6266</v>
      </c>
      <c r="F664" s="140" t="s">
        <v>4</v>
      </c>
      <c r="G664" s="140">
        <v>2.5</v>
      </c>
      <c r="H664" s="140" t="s">
        <v>24</v>
      </c>
      <c r="I664" s="140" t="s">
        <v>1045</v>
      </c>
      <c r="J664" s="140" t="s">
        <v>6267</v>
      </c>
      <c r="K664" s="140">
        <v>2</v>
      </c>
      <c r="L664" s="140" t="s">
        <v>1054</v>
      </c>
      <c r="M664" s="140" t="s">
        <v>6268</v>
      </c>
      <c r="N664" s="140">
        <v>3</v>
      </c>
      <c r="O664" s="140" t="s">
        <v>451</v>
      </c>
      <c r="P664" s="140" t="s">
        <v>729</v>
      </c>
      <c r="Q664" s="140" t="s">
        <v>452</v>
      </c>
      <c r="R664" s="140" t="s">
        <v>452</v>
      </c>
      <c r="S664" s="140"/>
      <c r="T664" s="140"/>
      <c r="U664" s="143"/>
      <c r="V664" s="143"/>
      <c r="W664" s="143"/>
      <c r="X664" s="140" t="s">
        <v>1020</v>
      </c>
      <c r="Y664" s="140" t="s">
        <v>6269</v>
      </c>
      <c r="Z664" s="140" t="str">
        <f ca="1">IFERROR(__xludf.DUMMYFUNCTION("IF(VLOOKUP($Y664, IMPORTRANGE(""https://docs.google.com/spreadsheets/d/1WsTKRjz8_fF2119Ff9dhKIIYXSaUEHzuWr8pBkxmwQQ/edit"", ""Form Responses 1!$B:$Z""),1, FALSE)=$Y664,""Yes"",""No"")"),"#N/A")</f>
        <v>#N/A</v>
      </c>
      <c r="AA664" s="140"/>
      <c r="AB664" s="140"/>
    </row>
    <row r="665" spans="1:28">
      <c r="A665" s="144" t="s">
        <v>529</v>
      </c>
      <c r="B665" s="144" t="s">
        <v>6270</v>
      </c>
      <c r="C665" s="144" t="s">
        <v>6271</v>
      </c>
      <c r="D665" s="144" t="s">
        <v>6272</v>
      </c>
      <c r="E665" s="144" t="s">
        <v>6273</v>
      </c>
      <c r="F665" s="144" t="s">
        <v>4</v>
      </c>
      <c r="G665" s="144">
        <v>2.5</v>
      </c>
      <c r="H665" s="144" t="s">
        <v>24</v>
      </c>
      <c r="I665" s="144" t="s">
        <v>725</v>
      </c>
      <c r="J665" s="144" t="s">
        <v>6274</v>
      </c>
      <c r="K665" s="144">
        <v>2</v>
      </c>
      <c r="L665" s="144" t="s">
        <v>1237</v>
      </c>
      <c r="M665" s="144"/>
      <c r="N665" s="144">
        <v>3</v>
      </c>
      <c r="O665" s="144" t="s">
        <v>784</v>
      </c>
      <c r="P665" s="146">
        <v>1000000</v>
      </c>
      <c r="Q665" s="144" t="s">
        <v>452</v>
      </c>
      <c r="R665" s="144" t="s">
        <v>6275</v>
      </c>
      <c r="S665" s="144"/>
      <c r="T665" s="144"/>
      <c r="U665" s="145"/>
      <c r="V665" s="145"/>
      <c r="W665" s="145"/>
      <c r="X665" s="144" t="s">
        <v>5306</v>
      </c>
      <c r="Y665" s="144" t="s">
        <v>6276</v>
      </c>
      <c r="Z665" s="144" t="str">
        <f ca="1">IFERROR(__xludf.DUMMYFUNCTION("IF(VLOOKUP($Y665, IMPORTRANGE(""https://docs.google.com/spreadsheets/d/1WsTKRjz8_fF2119Ff9dhKIIYXSaUEHzuWr8pBkxmwQQ/edit"", ""Form Responses 1!$B:$Z""),1, FALSE)=$Y665,""Yes"",""No"")"),"#N/A")</f>
        <v>#N/A</v>
      </c>
      <c r="AA665" s="144"/>
      <c r="AB665" s="144"/>
    </row>
    <row r="666" spans="1:28">
      <c r="A666" s="140" t="s">
        <v>529</v>
      </c>
      <c r="B666" s="140" t="s">
        <v>6277</v>
      </c>
      <c r="C666" s="140" t="s">
        <v>6278</v>
      </c>
      <c r="D666" s="140" t="s">
        <v>6279</v>
      </c>
      <c r="E666" s="140" t="s">
        <v>6280</v>
      </c>
      <c r="F666" s="140" t="s">
        <v>4</v>
      </c>
      <c r="G666" s="140">
        <v>2.5</v>
      </c>
      <c r="H666" s="140" t="s">
        <v>24</v>
      </c>
      <c r="I666" s="140" t="s">
        <v>725</v>
      </c>
      <c r="J666" s="140" t="s">
        <v>6281</v>
      </c>
      <c r="K666" s="140">
        <v>2</v>
      </c>
      <c r="L666" s="140" t="s">
        <v>1237</v>
      </c>
      <c r="M666" s="140"/>
      <c r="N666" s="140">
        <v>3</v>
      </c>
      <c r="O666" s="140" t="s">
        <v>451</v>
      </c>
      <c r="P666" s="140">
        <v>1800000</v>
      </c>
      <c r="Q666" s="140" t="s">
        <v>452</v>
      </c>
      <c r="R666" s="140" t="s">
        <v>6282</v>
      </c>
      <c r="S666" s="140"/>
      <c r="T666" s="140"/>
      <c r="U666" s="143"/>
      <c r="V666" s="143"/>
      <c r="W666" s="143"/>
      <c r="X666" s="140" t="s">
        <v>6283</v>
      </c>
      <c r="Y666" s="140" t="s">
        <v>6284</v>
      </c>
      <c r="Z666" s="140" t="str">
        <f ca="1">IFERROR(__xludf.DUMMYFUNCTION("IF(VLOOKUP($Y666, IMPORTRANGE(""https://docs.google.com/spreadsheets/d/1WsTKRjz8_fF2119Ff9dhKIIYXSaUEHzuWr8pBkxmwQQ/edit"", ""Form Responses 1!$B:$Z""),1, FALSE)=$Y666,""Yes"",""No"")"),"#N/A")</f>
        <v>#N/A</v>
      </c>
      <c r="AA666" s="140"/>
      <c r="AB666" s="140"/>
    </row>
    <row r="667" spans="1:28">
      <c r="A667" s="144" t="s">
        <v>907</v>
      </c>
      <c r="B667" s="144" t="s">
        <v>6285</v>
      </c>
      <c r="C667" s="144" t="s">
        <v>6286</v>
      </c>
      <c r="D667" s="144" t="s">
        <v>6287</v>
      </c>
      <c r="E667" s="144" t="s">
        <v>6288</v>
      </c>
      <c r="F667" s="144" t="s">
        <v>4</v>
      </c>
      <c r="G667" s="144">
        <v>2.5</v>
      </c>
      <c r="H667" s="144" t="s">
        <v>24</v>
      </c>
      <c r="I667" s="144" t="s">
        <v>602</v>
      </c>
      <c r="J667" s="144"/>
      <c r="K667" s="144">
        <v>3</v>
      </c>
      <c r="L667" s="144" t="s">
        <v>1237</v>
      </c>
      <c r="M667" s="144"/>
      <c r="N667" s="144">
        <v>2</v>
      </c>
      <c r="O667" s="144"/>
      <c r="P667" s="144"/>
      <c r="Q667" s="144" t="s">
        <v>454</v>
      </c>
      <c r="R667" s="144" t="s">
        <v>6289</v>
      </c>
      <c r="S667" s="144"/>
      <c r="T667" s="144"/>
      <c r="U667" s="145"/>
      <c r="V667" s="145"/>
      <c r="W667" s="145"/>
      <c r="X667" s="144" t="s">
        <v>6290</v>
      </c>
      <c r="Y667" s="144" t="s">
        <v>6291</v>
      </c>
      <c r="Z667" s="144" t="str">
        <f ca="1">IFERROR(__xludf.DUMMYFUNCTION("IF(VLOOKUP($Y667, IMPORTRANGE(""https://docs.google.com/spreadsheets/d/1WsTKRjz8_fF2119Ff9dhKIIYXSaUEHzuWr8pBkxmwQQ/edit"", ""Form Responses 1!$B:$Z""),1, FALSE)=$Y667,""Yes"",""No"")"),"#N/A")</f>
        <v>#N/A</v>
      </c>
      <c r="AA667" s="144"/>
      <c r="AB667" s="144"/>
    </row>
    <row r="668" spans="1:28">
      <c r="A668" s="140" t="s">
        <v>529</v>
      </c>
      <c r="B668" s="140" t="s">
        <v>6292</v>
      </c>
      <c r="C668" s="140" t="s">
        <v>6293</v>
      </c>
      <c r="D668" s="140" t="s">
        <v>6294</v>
      </c>
      <c r="E668" s="140" t="s">
        <v>6295</v>
      </c>
      <c r="F668" s="140" t="s">
        <v>4</v>
      </c>
      <c r="G668" s="140">
        <v>2.5</v>
      </c>
      <c r="H668" s="140" t="s">
        <v>24</v>
      </c>
      <c r="I668" s="140" t="s">
        <v>602</v>
      </c>
      <c r="J668" s="140" t="s">
        <v>6296</v>
      </c>
      <c r="K668" s="140">
        <v>2</v>
      </c>
      <c r="L668" s="140" t="s">
        <v>476</v>
      </c>
      <c r="M668" s="140" t="s">
        <v>6297</v>
      </c>
      <c r="N668" s="140">
        <v>3</v>
      </c>
      <c r="O668" s="140" t="s">
        <v>451</v>
      </c>
      <c r="P668" s="140">
        <v>3000000</v>
      </c>
      <c r="Q668" s="140" t="s">
        <v>452</v>
      </c>
      <c r="R668" s="140" t="s">
        <v>6298</v>
      </c>
      <c r="S668" s="140"/>
      <c r="T668" s="140"/>
      <c r="U668" s="143"/>
      <c r="V668" s="143"/>
      <c r="W668" s="143"/>
      <c r="X668" s="140" t="s">
        <v>2135</v>
      </c>
      <c r="Y668" s="140" t="s">
        <v>6299</v>
      </c>
      <c r="Z668" s="140" t="str">
        <f ca="1">IFERROR(__xludf.DUMMYFUNCTION("IF(VLOOKUP($Y668, IMPORTRANGE(""https://docs.google.com/spreadsheets/d/1WsTKRjz8_fF2119Ff9dhKIIYXSaUEHzuWr8pBkxmwQQ/edit"", ""Form Responses 1!$B:$Z""),1, FALSE)=$Y668,""Yes"",""No"")"),"#N/A")</f>
        <v>#N/A</v>
      </c>
      <c r="AA668" s="140"/>
      <c r="AB668" s="140"/>
    </row>
    <row r="669" spans="1:28">
      <c r="A669" s="144" t="s">
        <v>529</v>
      </c>
      <c r="B669" s="144" t="s">
        <v>6300</v>
      </c>
      <c r="C669" s="144" t="s">
        <v>6301</v>
      </c>
      <c r="D669" s="144" t="s">
        <v>6302</v>
      </c>
      <c r="E669" s="144"/>
      <c r="F669" s="144" t="s">
        <v>4</v>
      </c>
      <c r="G669" s="144">
        <v>2.5</v>
      </c>
      <c r="H669" s="144" t="s">
        <v>24</v>
      </c>
      <c r="I669" s="144" t="s">
        <v>725</v>
      </c>
      <c r="J669" s="144" t="s">
        <v>6303</v>
      </c>
      <c r="K669" s="144">
        <v>2</v>
      </c>
      <c r="L669" s="144" t="s">
        <v>1281</v>
      </c>
      <c r="M669" s="144" t="s">
        <v>6304</v>
      </c>
      <c r="N669" s="144">
        <v>3</v>
      </c>
      <c r="O669" s="144" t="s">
        <v>6305</v>
      </c>
      <c r="P669" s="144" t="s">
        <v>6306</v>
      </c>
      <c r="Q669" s="144" t="s">
        <v>452</v>
      </c>
      <c r="R669" s="144" t="s">
        <v>6307</v>
      </c>
      <c r="S669" s="144" t="s">
        <v>6308</v>
      </c>
      <c r="T669" s="144"/>
      <c r="U669" s="145"/>
      <c r="V669" s="145"/>
      <c r="W669" s="145"/>
      <c r="X669" s="144" t="s">
        <v>6309</v>
      </c>
      <c r="Y669" s="144" t="s">
        <v>6310</v>
      </c>
      <c r="Z669" s="144" t="str">
        <f ca="1">IFERROR(__xludf.DUMMYFUNCTION("IF(VLOOKUP($Y669, IMPORTRANGE(""https://docs.google.com/spreadsheets/d/1WsTKRjz8_fF2119Ff9dhKIIYXSaUEHzuWr8pBkxmwQQ/edit"", ""Form Responses 1!$B:$Z""),1, FALSE)=$Y669,""Yes"",""No"")"),"#N/A")</f>
        <v>#N/A</v>
      </c>
      <c r="AA669" s="144"/>
      <c r="AB669" s="144"/>
    </row>
    <row r="670" spans="1:28">
      <c r="A670" s="140" t="s">
        <v>529</v>
      </c>
      <c r="B670" s="140" t="s">
        <v>6311</v>
      </c>
      <c r="C670" s="140" t="s">
        <v>6312</v>
      </c>
      <c r="D670" s="140" t="s">
        <v>6313</v>
      </c>
      <c r="E670" s="140" t="s">
        <v>6314</v>
      </c>
      <c r="F670" s="140" t="s">
        <v>4</v>
      </c>
      <c r="G670" s="140">
        <v>2.5</v>
      </c>
      <c r="H670" s="140" t="s">
        <v>24</v>
      </c>
      <c r="I670" s="140" t="s">
        <v>725</v>
      </c>
      <c r="J670" s="140" t="s">
        <v>6315</v>
      </c>
      <c r="K670" s="140">
        <v>2</v>
      </c>
      <c r="L670" s="140" t="s">
        <v>1281</v>
      </c>
      <c r="M670" s="140" t="s">
        <v>6316</v>
      </c>
      <c r="N670" s="140">
        <v>3</v>
      </c>
      <c r="O670" s="140"/>
      <c r="P670" s="140"/>
      <c r="Q670" s="140" t="s">
        <v>452</v>
      </c>
      <c r="R670" s="140" t="s">
        <v>6317</v>
      </c>
      <c r="S670" s="140"/>
      <c r="T670" s="140"/>
      <c r="U670" s="143"/>
      <c r="V670" s="143"/>
      <c r="W670" s="143"/>
      <c r="X670" s="140" t="s">
        <v>6318</v>
      </c>
      <c r="Y670" s="140" t="s">
        <v>6319</v>
      </c>
      <c r="Z670" s="140" t="str">
        <f ca="1">IFERROR(__xludf.DUMMYFUNCTION("IF(VLOOKUP($Y670, IMPORTRANGE(""https://docs.google.com/spreadsheets/d/1WsTKRjz8_fF2119Ff9dhKIIYXSaUEHzuWr8pBkxmwQQ/edit"", ""Form Responses 1!$B:$Z""),1, FALSE)=$Y670,""Yes"",""No"")"),"#N/A")</f>
        <v>#N/A</v>
      </c>
      <c r="AA670" s="140"/>
      <c r="AB670" s="140"/>
    </row>
    <row r="671" spans="1:28">
      <c r="A671" s="144" t="s">
        <v>529</v>
      </c>
      <c r="B671" s="144" t="s">
        <v>6320</v>
      </c>
      <c r="C671" s="144" t="s">
        <v>6321</v>
      </c>
      <c r="D671" s="144" t="s">
        <v>6322</v>
      </c>
      <c r="E671" s="144" t="s">
        <v>6323</v>
      </c>
      <c r="F671" s="144" t="s">
        <v>4</v>
      </c>
      <c r="G671" s="144">
        <v>2.5</v>
      </c>
      <c r="H671" s="144" t="s">
        <v>24</v>
      </c>
      <c r="I671" s="144" t="s">
        <v>727</v>
      </c>
      <c r="J671" s="144" t="s">
        <v>6324</v>
      </c>
      <c r="K671" s="144">
        <v>1</v>
      </c>
      <c r="L671" s="144" t="s">
        <v>1281</v>
      </c>
      <c r="M671" s="144" t="s">
        <v>6325</v>
      </c>
      <c r="N671" s="144">
        <v>4</v>
      </c>
      <c r="O671" s="144" t="s">
        <v>451</v>
      </c>
      <c r="P671" s="144" t="s">
        <v>6326</v>
      </c>
      <c r="Q671" s="144" t="s">
        <v>465</v>
      </c>
      <c r="R671" s="144" t="s">
        <v>6327</v>
      </c>
      <c r="S671" s="144"/>
      <c r="T671" s="144"/>
      <c r="U671" s="145"/>
      <c r="V671" s="145"/>
      <c r="W671" s="145"/>
      <c r="X671" s="144" t="s">
        <v>6328</v>
      </c>
      <c r="Y671" s="144" t="s">
        <v>6329</v>
      </c>
      <c r="Z671" s="144" t="str">
        <f ca="1">IFERROR(__xludf.DUMMYFUNCTION("IF(VLOOKUP($Y671, IMPORTRANGE(""https://docs.google.com/spreadsheets/d/1WsTKRjz8_fF2119Ff9dhKIIYXSaUEHzuWr8pBkxmwQQ/edit"", ""Form Responses 1!$B:$Z""),1, FALSE)=$Y671,""Yes"",""No"")"),"#N/A")</f>
        <v>#N/A</v>
      </c>
      <c r="AA671" s="144"/>
      <c r="AB671" s="144"/>
    </row>
    <row r="672" spans="1:28">
      <c r="A672" s="140" t="s">
        <v>598</v>
      </c>
      <c r="B672" s="140" t="s">
        <v>6330</v>
      </c>
      <c r="C672" s="140" t="s">
        <v>6331</v>
      </c>
      <c r="D672" s="140" t="s">
        <v>6332</v>
      </c>
      <c r="E672" s="140" t="s">
        <v>6333</v>
      </c>
      <c r="F672" s="140" t="s">
        <v>4</v>
      </c>
      <c r="G672" s="140">
        <v>2.5</v>
      </c>
      <c r="H672" s="140" t="s">
        <v>24</v>
      </c>
      <c r="I672" s="140" t="s">
        <v>727</v>
      </c>
      <c r="J672" s="140" t="s">
        <v>6334</v>
      </c>
      <c r="K672" s="140">
        <v>2</v>
      </c>
      <c r="L672" s="140" t="s">
        <v>1281</v>
      </c>
      <c r="M672" s="140" t="s">
        <v>6335</v>
      </c>
      <c r="N672" s="140">
        <v>3</v>
      </c>
      <c r="O672" s="140"/>
      <c r="P672" s="140"/>
      <c r="Q672" s="140" t="s">
        <v>452</v>
      </c>
      <c r="R672" s="140" t="s">
        <v>6336</v>
      </c>
      <c r="S672" s="140"/>
      <c r="T672" s="140"/>
      <c r="U672" s="143"/>
      <c r="V672" s="143"/>
      <c r="W672" s="143"/>
      <c r="X672" s="140" t="s">
        <v>6337</v>
      </c>
      <c r="Y672" s="140" t="s">
        <v>6338</v>
      </c>
      <c r="Z672" s="140" t="str">
        <f ca="1">IFERROR(__xludf.DUMMYFUNCTION("IF(VLOOKUP($Y672, IMPORTRANGE(""https://docs.google.com/spreadsheets/d/1WsTKRjz8_fF2119Ff9dhKIIYXSaUEHzuWr8pBkxmwQQ/edit"", ""Form Responses 1!$B:$Z""),1, FALSE)=$Y672,""Yes"",""No"")"),"#N/A")</f>
        <v>#N/A</v>
      </c>
      <c r="AA672" s="140"/>
      <c r="AB672" s="140"/>
    </row>
    <row r="673" spans="1:28">
      <c r="A673" s="144" t="s">
        <v>443</v>
      </c>
      <c r="B673" s="144" t="s">
        <v>6339</v>
      </c>
      <c r="C673" s="144" t="s">
        <v>6340</v>
      </c>
      <c r="D673" s="144" t="s">
        <v>6341</v>
      </c>
      <c r="E673" s="144" t="s">
        <v>6342</v>
      </c>
      <c r="F673" s="144" t="s">
        <v>4</v>
      </c>
      <c r="G673" s="144">
        <v>2.5</v>
      </c>
      <c r="H673" s="144" t="s">
        <v>24</v>
      </c>
      <c r="I673" s="144" t="s">
        <v>602</v>
      </c>
      <c r="J673" s="144" t="s">
        <v>6343</v>
      </c>
      <c r="K673" s="144">
        <v>3</v>
      </c>
      <c r="L673" s="144" t="s">
        <v>1054</v>
      </c>
      <c r="M673" s="144" t="s">
        <v>6344</v>
      </c>
      <c r="N673" s="144">
        <v>2</v>
      </c>
      <c r="O673" s="144" t="s">
        <v>451</v>
      </c>
      <c r="P673" s="144" t="s">
        <v>6345</v>
      </c>
      <c r="Q673" s="144" t="s">
        <v>452</v>
      </c>
      <c r="R673" s="144" t="s">
        <v>452</v>
      </c>
      <c r="S673" s="144"/>
      <c r="T673" s="144"/>
      <c r="U673" s="145"/>
      <c r="V673" s="145"/>
      <c r="W673" s="145"/>
      <c r="X673" s="144" t="s">
        <v>6346</v>
      </c>
      <c r="Y673" s="144" t="s">
        <v>6347</v>
      </c>
      <c r="Z673" s="144" t="str">
        <f ca="1">IFERROR(__xludf.DUMMYFUNCTION("IF(VLOOKUP($Y673, IMPORTRANGE(""https://docs.google.com/spreadsheets/d/1WsTKRjz8_fF2119Ff9dhKIIYXSaUEHzuWr8pBkxmwQQ/edit"", ""Form Responses 1!$B:$Z""),1, FALSE)=$Y673,""Yes"",""No"")"),"#N/A")</f>
        <v>#N/A</v>
      </c>
      <c r="AA673" s="144"/>
      <c r="AB673" s="144"/>
    </row>
    <row r="674" spans="1:28">
      <c r="A674" s="140" t="s">
        <v>529</v>
      </c>
      <c r="B674" s="140" t="s">
        <v>6348</v>
      </c>
      <c r="C674" s="140" t="s">
        <v>6349</v>
      </c>
      <c r="D674" s="140" t="s">
        <v>6350</v>
      </c>
      <c r="E674" s="140" t="s">
        <v>6351</v>
      </c>
      <c r="F674" s="140" t="s">
        <v>4</v>
      </c>
      <c r="G674" s="140">
        <v>2.5</v>
      </c>
      <c r="H674" s="140" t="s">
        <v>24</v>
      </c>
      <c r="I674" s="140" t="s">
        <v>727</v>
      </c>
      <c r="J674" s="140"/>
      <c r="K674" s="140">
        <v>2</v>
      </c>
      <c r="L674" s="140" t="s">
        <v>1045</v>
      </c>
      <c r="M674" s="140" t="s">
        <v>6352</v>
      </c>
      <c r="N674" s="140">
        <v>3</v>
      </c>
      <c r="O674" s="140" t="s">
        <v>451</v>
      </c>
      <c r="P674" s="140">
        <v>5000000</v>
      </c>
      <c r="Q674" s="140" t="s">
        <v>452</v>
      </c>
      <c r="R674" s="140" t="s">
        <v>6353</v>
      </c>
      <c r="S674" s="140"/>
      <c r="T674" s="140"/>
      <c r="U674" s="143"/>
      <c r="V674" s="143"/>
      <c r="W674" s="143"/>
      <c r="X674" s="140" t="s">
        <v>6354</v>
      </c>
      <c r="Y674" s="140" t="s">
        <v>6355</v>
      </c>
      <c r="Z674" s="140" t="str">
        <f ca="1">IFERROR(__xludf.DUMMYFUNCTION("IF(VLOOKUP($Y674, IMPORTRANGE(""https://docs.google.com/spreadsheets/d/1WsTKRjz8_fF2119Ff9dhKIIYXSaUEHzuWr8pBkxmwQQ/edit"", ""Form Responses 1!$B:$Z""),1, FALSE)=$Y674,""Yes"",""No"")"),"#N/A")</f>
        <v>#N/A</v>
      </c>
      <c r="AA674" s="140"/>
      <c r="AB674" s="140"/>
    </row>
    <row r="675" spans="1:28">
      <c r="A675" s="144" t="s">
        <v>529</v>
      </c>
      <c r="B675" s="144" t="s">
        <v>6356</v>
      </c>
      <c r="C675" s="144" t="s">
        <v>6357</v>
      </c>
      <c r="D675" s="144" t="s">
        <v>6358</v>
      </c>
      <c r="E675" s="144" t="s">
        <v>6359</v>
      </c>
      <c r="F675" s="144" t="s">
        <v>4</v>
      </c>
      <c r="G675" s="144">
        <v>2.5</v>
      </c>
      <c r="H675" s="144" t="s">
        <v>24</v>
      </c>
      <c r="I675" s="144" t="s">
        <v>602</v>
      </c>
      <c r="J675" s="144" t="s">
        <v>6360</v>
      </c>
      <c r="K675" s="144">
        <v>2</v>
      </c>
      <c r="L675" s="144" t="s">
        <v>1298</v>
      </c>
      <c r="M675" s="144" t="s">
        <v>6361</v>
      </c>
      <c r="N675" s="144">
        <v>3</v>
      </c>
      <c r="O675" s="144" t="s">
        <v>784</v>
      </c>
      <c r="P675" s="160">
        <v>750000</v>
      </c>
      <c r="Q675" s="144" t="s">
        <v>452</v>
      </c>
      <c r="R675" s="144" t="s">
        <v>6362</v>
      </c>
      <c r="S675" s="144"/>
      <c r="T675" s="144"/>
      <c r="U675" s="145"/>
      <c r="V675" s="145"/>
      <c r="W675" s="145"/>
      <c r="X675" s="144" t="s">
        <v>6363</v>
      </c>
      <c r="Y675" s="144" t="s">
        <v>6364</v>
      </c>
      <c r="Z675" s="144" t="str">
        <f ca="1">IFERROR(__xludf.DUMMYFUNCTION("IF(VLOOKUP($Y675, IMPORTRANGE(""https://docs.google.com/spreadsheets/d/1WsTKRjz8_fF2119Ff9dhKIIYXSaUEHzuWr8pBkxmwQQ/edit"", ""Form Responses 1!$B:$Z""),1, FALSE)=$Y675,""Yes"",""No"")"),"#N/A")</f>
        <v>#N/A</v>
      </c>
      <c r="AA675" s="144"/>
      <c r="AB675" s="144"/>
    </row>
    <row r="676" spans="1:28">
      <c r="A676" s="140" t="s">
        <v>503</v>
      </c>
      <c r="B676" s="140" t="s">
        <v>6365</v>
      </c>
      <c r="C676" s="140" t="s">
        <v>6366</v>
      </c>
      <c r="D676" s="140" t="s">
        <v>6367</v>
      </c>
      <c r="E676" s="140" t="s">
        <v>6368</v>
      </c>
      <c r="F676" s="140" t="s">
        <v>4</v>
      </c>
      <c r="G676" s="140">
        <v>2.5</v>
      </c>
      <c r="H676" s="140" t="s">
        <v>24</v>
      </c>
      <c r="I676" s="140" t="s">
        <v>602</v>
      </c>
      <c r="J676" s="140" t="s">
        <v>6369</v>
      </c>
      <c r="K676" s="140">
        <v>2</v>
      </c>
      <c r="L676" s="140" t="s">
        <v>727</v>
      </c>
      <c r="M676" s="140" t="s">
        <v>6370</v>
      </c>
      <c r="N676" s="140">
        <v>3</v>
      </c>
      <c r="O676" s="140" t="s">
        <v>6371</v>
      </c>
      <c r="P676" s="140" t="s">
        <v>6372</v>
      </c>
      <c r="Q676" s="140" t="s">
        <v>454</v>
      </c>
      <c r="R676" s="140" t="s">
        <v>3420</v>
      </c>
      <c r="S676" s="140"/>
      <c r="T676" s="140"/>
      <c r="U676" s="143"/>
      <c r="V676" s="143"/>
      <c r="W676" s="143"/>
      <c r="X676" s="140" t="s">
        <v>6373</v>
      </c>
      <c r="Y676" s="140" t="s">
        <v>6374</v>
      </c>
      <c r="Z676" s="140" t="str">
        <f ca="1">IFERROR(__xludf.DUMMYFUNCTION("IF(VLOOKUP($Y676, IMPORTRANGE(""https://docs.google.com/spreadsheets/d/1WsTKRjz8_fF2119Ff9dhKIIYXSaUEHzuWr8pBkxmwQQ/edit"", ""Form Responses 1!$B:$Z""),1, FALSE)=$Y676,""Yes"",""No"")"),"#N/A")</f>
        <v>#N/A</v>
      </c>
      <c r="AA676" s="140"/>
      <c r="AB676" s="140"/>
    </row>
    <row r="677" spans="1:28">
      <c r="A677" s="144" t="s">
        <v>529</v>
      </c>
      <c r="B677" s="144" t="s">
        <v>6375</v>
      </c>
      <c r="C677" s="144" t="s">
        <v>6376</v>
      </c>
      <c r="D677" s="144" t="s">
        <v>6377</v>
      </c>
      <c r="E677" s="144" t="s">
        <v>6378</v>
      </c>
      <c r="F677" s="144" t="s">
        <v>4</v>
      </c>
      <c r="G677" s="144">
        <v>2.5</v>
      </c>
      <c r="H677" s="144" t="s">
        <v>24</v>
      </c>
      <c r="I677" s="144" t="s">
        <v>602</v>
      </c>
      <c r="J677" s="144" t="s">
        <v>6379</v>
      </c>
      <c r="K677" s="144">
        <v>2</v>
      </c>
      <c r="L677" s="144" t="s">
        <v>1054</v>
      </c>
      <c r="M677" s="144" t="s">
        <v>6380</v>
      </c>
      <c r="N677" s="144">
        <v>3</v>
      </c>
      <c r="O677" s="144" t="s">
        <v>451</v>
      </c>
      <c r="P677" s="161">
        <v>2500000</v>
      </c>
      <c r="Q677" s="144" t="s">
        <v>452</v>
      </c>
      <c r="R677" s="144" t="s">
        <v>6381</v>
      </c>
      <c r="S677" s="144"/>
      <c r="T677" s="144"/>
      <c r="U677" s="145"/>
      <c r="V677" s="145"/>
      <c r="W677" s="145"/>
      <c r="X677" s="144" t="s">
        <v>6382</v>
      </c>
      <c r="Y677" s="144" t="s">
        <v>6383</v>
      </c>
      <c r="Z677" s="144" t="str">
        <f ca="1">IFERROR(__xludf.DUMMYFUNCTION("IF(VLOOKUP($Y677, IMPORTRANGE(""https://docs.google.com/spreadsheets/d/1WsTKRjz8_fF2119Ff9dhKIIYXSaUEHzuWr8pBkxmwQQ/edit"", ""Form Responses 1!$B:$Z""),1, FALSE)=$Y677,""Yes"",""No"")"),"#N/A")</f>
        <v>#N/A</v>
      </c>
      <c r="AA677" s="144"/>
      <c r="AB677" s="144"/>
    </row>
    <row r="678" spans="1:28">
      <c r="A678" s="140" t="s">
        <v>484</v>
      </c>
      <c r="B678" s="140" t="s">
        <v>6384</v>
      </c>
      <c r="C678" s="140" t="s">
        <v>6385</v>
      </c>
      <c r="D678" s="140" t="s">
        <v>6386</v>
      </c>
      <c r="E678" s="140" t="s">
        <v>6387</v>
      </c>
      <c r="F678" s="140" t="s">
        <v>4</v>
      </c>
      <c r="G678" s="140">
        <v>2.5</v>
      </c>
      <c r="H678" s="140" t="s">
        <v>24</v>
      </c>
      <c r="I678" s="140" t="s">
        <v>602</v>
      </c>
      <c r="J678" s="140"/>
      <c r="K678" s="140">
        <v>2.5</v>
      </c>
      <c r="L678" s="140" t="s">
        <v>727</v>
      </c>
      <c r="M678" s="140"/>
      <c r="N678" s="140">
        <v>2.5</v>
      </c>
      <c r="O678" s="140"/>
      <c r="P678" s="140"/>
      <c r="Q678" s="140" t="s">
        <v>465</v>
      </c>
      <c r="R678" s="140" t="s">
        <v>575</v>
      </c>
      <c r="S678" s="140"/>
      <c r="T678" s="140"/>
      <c r="U678" s="143"/>
      <c r="V678" s="143"/>
      <c r="W678" s="143"/>
      <c r="X678" s="140" t="s">
        <v>6388</v>
      </c>
      <c r="Y678" s="140" t="s">
        <v>6389</v>
      </c>
      <c r="Z678" s="140" t="str">
        <f ca="1">IFERROR(__xludf.DUMMYFUNCTION("IF(VLOOKUP($Y678, IMPORTRANGE(""https://docs.google.com/spreadsheets/d/1WsTKRjz8_fF2119Ff9dhKIIYXSaUEHzuWr8pBkxmwQQ/edit"", ""Form Responses 1!$B:$Z""),1, FALSE)=$Y678,""Yes"",""No"")"),"#N/A")</f>
        <v>#N/A</v>
      </c>
      <c r="AA678" s="140"/>
      <c r="AB678" s="140"/>
    </row>
    <row r="679" spans="1:28">
      <c r="A679" s="144" t="s">
        <v>471</v>
      </c>
      <c r="B679" s="144" t="s">
        <v>6390</v>
      </c>
      <c r="C679" s="144" t="s">
        <v>6391</v>
      </c>
      <c r="D679" s="144" t="s">
        <v>6392</v>
      </c>
      <c r="E679" s="144" t="s">
        <v>6393</v>
      </c>
      <c r="F679" s="144" t="s">
        <v>4</v>
      </c>
      <c r="G679" s="144">
        <v>2.5</v>
      </c>
      <c r="H679" s="144" t="s">
        <v>24</v>
      </c>
      <c r="I679" s="144" t="s">
        <v>602</v>
      </c>
      <c r="J679" s="144" t="s">
        <v>6394</v>
      </c>
      <c r="K679" s="144">
        <v>3</v>
      </c>
      <c r="L679" s="144" t="s">
        <v>476</v>
      </c>
      <c r="M679" s="144" t="s">
        <v>6395</v>
      </c>
      <c r="N679" s="144">
        <v>2</v>
      </c>
      <c r="O679" s="144"/>
      <c r="P679" s="144"/>
      <c r="Q679" s="144" t="s">
        <v>452</v>
      </c>
      <c r="R679" s="144" t="s">
        <v>6396</v>
      </c>
      <c r="S679" s="144"/>
      <c r="T679" s="144"/>
      <c r="U679" s="145"/>
      <c r="V679" s="145"/>
      <c r="W679" s="145"/>
      <c r="X679" s="144" t="s">
        <v>6397</v>
      </c>
      <c r="Y679" s="144" t="s">
        <v>6398</v>
      </c>
      <c r="Z679" s="144" t="str">
        <f ca="1">IFERROR(__xludf.DUMMYFUNCTION("IF(VLOOKUP($Y679, IMPORTRANGE(""https://docs.google.com/spreadsheets/d/1WsTKRjz8_fF2119Ff9dhKIIYXSaUEHzuWr8pBkxmwQQ/edit"", ""Form Responses 1!$B:$Z""),1, FALSE)=$Y679,""Yes"",""No"")"),"#N/A")</f>
        <v>#N/A</v>
      </c>
      <c r="AA679" s="144"/>
      <c r="AB679" s="144"/>
    </row>
    <row r="680" spans="1:28">
      <c r="A680" s="140" t="s">
        <v>529</v>
      </c>
      <c r="B680" s="140" t="s">
        <v>6399</v>
      </c>
      <c r="C680" s="140" t="s">
        <v>6400</v>
      </c>
      <c r="D680" s="140" t="s">
        <v>6401</v>
      </c>
      <c r="E680" s="140" t="s">
        <v>6402</v>
      </c>
      <c r="F680" s="140" t="s">
        <v>4</v>
      </c>
      <c r="G680" s="140">
        <v>2.5</v>
      </c>
      <c r="H680" s="140" t="s">
        <v>24</v>
      </c>
      <c r="I680" s="140" t="s">
        <v>725</v>
      </c>
      <c r="J680" s="140" t="s">
        <v>6403</v>
      </c>
      <c r="K680" s="140">
        <v>2</v>
      </c>
      <c r="L680" s="140" t="s">
        <v>1350</v>
      </c>
      <c r="M680" s="140" t="s">
        <v>6404</v>
      </c>
      <c r="N680" s="140">
        <v>3</v>
      </c>
      <c r="O680" s="140" t="s">
        <v>451</v>
      </c>
      <c r="P680" s="142">
        <v>5000000</v>
      </c>
      <c r="Q680" s="140" t="s">
        <v>452</v>
      </c>
      <c r="R680" s="140" t="s">
        <v>1119</v>
      </c>
      <c r="S680" s="140"/>
      <c r="T680" s="140"/>
      <c r="U680" s="143"/>
      <c r="V680" s="143"/>
      <c r="W680" s="143"/>
      <c r="X680" s="140" t="s">
        <v>6405</v>
      </c>
      <c r="Y680" s="140" t="s">
        <v>6406</v>
      </c>
      <c r="Z680" s="140" t="str">
        <f ca="1">IFERROR(__xludf.DUMMYFUNCTION("IF(VLOOKUP($Y680, IMPORTRANGE(""https://docs.google.com/spreadsheets/d/1WsTKRjz8_fF2119Ff9dhKIIYXSaUEHzuWr8pBkxmwQQ/edit"", ""Form Responses 1!$B:$Z""),1, FALSE)=$Y680,""Yes"",""No"")"),"#N/A")</f>
        <v>#N/A</v>
      </c>
      <c r="AA680" s="140"/>
      <c r="AB680" s="140"/>
    </row>
    <row r="681" spans="1:28">
      <c r="A681" s="144" t="s">
        <v>907</v>
      </c>
      <c r="B681" s="144" t="s">
        <v>6407</v>
      </c>
      <c r="C681" s="144" t="s">
        <v>6408</v>
      </c>
      <c r="D681" s="144" t="s">
        <v>6409</v>
      </c>
      <c r="E681" s="144" t="s">
        <v>6410</v>
      </c>
      <c r="F681" s="144" t="s">
        <v>4</v>
      </c>
      <c r="G681" s="144">
        <v>2.5</v>
      </c>
      <c r="H681" s="144" t="s">
        <v>24</v>
      </c>
      <c r="I681" s="144" t="s">
        <v>725</v>
      </c>
      <c r="J681" s="144" t="s">
        <v>6411</v>
      </c>
      <c r="K681" s="144">
        <v>2</v>
      </c>
      <c r="L681" s="144" t="s">
        <v>1350</v>
      </c>
      <c r="M681" s="144" t="s">
        <v>6412</v>
      </c>
      <c r="N681" s="144">
        <v>3</v>
      </c>
      <c r="O681" s="144" t="s">
        <v>6413</v>
      </c>
      <c r="P681" s="144">
        <v>2000000</v>
      </c>
      <c r="Q681" s="144" t="s">
        <v>452</v>
      </c>
      <c r="R681" s="144" t="s">
        <v>6414</v>
      </c>
      <c r="S681" s="144"/>
      <c r="T681" s="144"/>
      <c r="U681" s="145"/>
      <c r="V681" s="145"/>
      <c r="W681" s="145"/>
      <c r="X681" s="144" t="s">
        <v>6415</v>
      </c>
      <c r="Y681" s="144" t="s">
        <v>6416</v>
      </c>
      <c r="Z681" s="144" t="str">
        <f ca="1">IFERROR(__xludf.DUMMYFUNCTION("IF(VLOOKUP($Y681, IMPORTRANGE(""https://docs.google.com/spreadsheets/d/1WsTKRjz8_fF2119Ff9dhKIIYXSaUEHzuWr8pBkxmwQQ/edit"", ""Form Responses 1!$B:$Z""),1, FALSE)=$Y681,""Yes"",""No"")"),"#N/A")</f>
        <v>#N/A</v>
      </c>
      <c r="AA681" s="144"/>
      <c r="AB681" s="144"/>
    </row>
    <row r="682" spans="1:28">
      <c r="A682" s="140" t="s">
        <v>484</v>
      </c>
      <c r="B682" s="140" t="s">
        <v>6417</v>
      </c>
      <c r="C682" s="140" t="s">
        <v>6418</v>
      </c>
      <c r="D682" s="140" t="s">
        <v>6419</v>
      </c>
      <c r="E682" s="140" t="s">
        <v>6420</v>
      </c>
      <c r="F682" s="140" t="s">
        <v>4</v>
      </c>
      <c r="G682" s="140">
        <v>2.5</v>
      </c>
      <c r="H682" s="140" t="s">
        <v>24</v>
      </c>
      <c r="I682" s="140" t="s">
        <v>602</v>
      </c>
      <c r="J682" s="140" t="s">
        <v>6421</v>
      </c>
      <c r="K682" s="140">
        <v>2</v>
      </c>
      <c r="L682" s="140" t="s">
        <v>476</v>
      </c>
      <c r="M682" s="140" t="s">
        <v>6422</v>
      </c>
      <c r="N682" s="140">
        <v>3</v>
      </c>
      <c r="O682" s="140" t="s">
        <v>784</v>
      </c>
      <c r="P682" s="140">
        <v>500000</v>
      </c>
      <c r="Q682" s="140" t="s">
        <v>452</v>
      </c>
      <c r="R682" s="140" t="s">
        <v>452</v>
      </c>
      <c r="S682" s="140"/>
      <c r="T682" s="140"/>
      <c r="U682" s="143"/>
      <c r="V682" s="143"/>
      <c r="W682" s="143"/>
      <c r="X682" s="140" t="s">
        <v>6423</v>
      </c>
      <c r="Y682" s="140" t="s">
        <v>6424</v>
      </c>
      <c r="Z682" s="140" t="str">
        <f ca="1">IFERROR(__xludf.DUMMYFUNCTION("IF(VLOOKUP($Y682, IMPORTRANGE(""https://docs.google.com/spreadsheets/d/1WsTKRjz8_fF2119Ff9dhKIIYXSaUEHzuWr8pBkxmwQQ/edit"", ""Form Responses 1!$B:$Z""),1, FALSE)=$Y682,""Yes"",""No"")"),"#N/A")</f>
        <v>#N/A</v>
      </c>
      <c r="AA682" s="140"/>
      <c r="AB682" s="140"/>
    </row>
    <row r="683" spans="1:28">
      <c r="A683" s="144" t="s">
        <v>907</v>
      </c>
      <c r="B683" s="144" t="s">
        <v>6425</v>
      </c>
      <c r="C683" s="144" t="s">
        <v>6426</v>
      </c>
      <c r="D683" s="144" t="s">
        <v>6427</v>
      </c>
      <c r="E683" s="144" t="s">
        <v>6428</v>
      </c>
      <c r="F683" s="144" t="s">
        <v>4</v>
      </c>
      <c r="G683" s="144">
        <v>2.5</v>
      </c>
      <c r="H683" s="144" t="s">
        <v>24</v>
      </c>
      <c r="I683" s="144" t="s">
        <v>602</v>
      </c>
      <c r="J683" s="144" t="s">
        <v>6429</v>
      </c>
      <c r="K683" s="144">
        <v>2</v>
      </c>
      <c r="L683" s="144" t="s">
        <v>1350</v>
      </c>
      <c r="M683" s="144" t="s">
        <v>6430</v>
      </c>
      <c r="N683" s="144">
        <v>3</v>
      </c>
      <c r="O683" s="144" t="s">
        <v>784</v>
      </c>
      <c r="P683" s="147">
        <v>125000</v>
      </c>
      <c r="Q683" s="144" t="s">
        <v>465</v>
      </c>
      <c r="R683" s="144" t="s">
        <v>6431</v>
      </c>
      <c r="S683" s="144"/>
      <c r="T683" s="144"/>
      <c r="U683" s="145"/>
      <c r="V683" s="145"/>
      <c r="W683" s="145"/>
      <c r="X683" s="144" t="s">
        <v>6432</v>
      </c>
      <c r="Y683" s="144" t="s">
        <v>6433</v>
      </c>
      <c r="Z683" s="144" t="str">
        <f ca="1">IFERROR(__xludf.DUMMYFUNCTION("IF(VLOOKUP($Y683, IMPORTRANGE(""https://docs.google.com/spreadsheets/d/1WsTKRjz8_fF2119Ff9dhKIIYXSaUEHzuWr8pBkxmwQQ/edit"", ""Form Responses 1!$B:$Z""),1, FALSE)=$Y683,""Yes"",""No"")"),"#N/A")</f>
        <v>#N/A</v>
      </c>
      <c r="AA683" s="144"/>
      <c r="AB683" s="144"/>
    </row>
    <row r="684" spans="1:28">
      <c r="A684" s="140" t="s">
        <v>484</v>
      </c>
      <c r="B684" s="140" t="s">
        <v>6434</v>
      </c>
      <c r="C684" s="140" t="s">
        <v>6435</v>
      </c>
      <c r="D684" s="140" t="s">
        <v>6436</v>
      </c>
      <c r="E684" s="140" t="s">
        <v>6437</v>
      </c>
      <c r="F684" s="140" t="s">
        <v>4</v>
      </c>
      <c r="G684" s="140">
        <v>2.5</v>
      </c>
      <c r="H684" s="140" t="s">
        <v>24</v>
      </c>
      <c r="I684" s="140" t="s">
        <v>725</v>
      </c>
      <c r="J684" s="140"/>
      <c r="K684" s="140">
        <v>3</v>
      </c>
      <c r="L684" s="140" t="s">
        <v>727</v>
      </c>
      <c r="M684" s="140" t="s">
        <v>6438</v>
      </c>
      <c r="N684" s="140">
        <v>2</v>
      </c>
      <c r="O684" s="140"/>
      <c r="P684" s="140"/>
      <c r="Q684" s="140" t="s">
        <v>452</v>
      </c>
      <c r="R684" s="140" t="s">
        <v>1119</v>
      </c>
      <c r="S684" s="140"/>
      <c r="T684" s="140"/>
      <c r="U684" s="143"/>
      <c r="V684" s="143"/>
      <c r="W684" s="143"/>
      <c r="X684" s="140" t="s">
        <v>6439</v>
      </c>
      <c r="Y684" s="140" t="s">
        <v>6440</v>
      </c>
      <c r="Z684" s="140" t="str">
        <f ca="1">IFERROR(__xludf.DUMMYFUNCTION("IF(VLOOKUP($Y684, IMPORTRANGE(""https://docs.google.com/spreadsheets/d/1WsTKRjz8_fF2119Ff9dhKIIYXSaUEHzuWr8pBkxmwQQ/edit"", ""Form Responses 1!$B:$Z""),1, FALSE)=$Y684,""Yes"",""No"")"),"#N/A")</f>
        <v>#N/A</v>
      </c>
      <c r="AA684" s="140"/>
      <c r="AB684" s="140"/>
    </row>
    <row r="685" spans="1:28">
      <c r="A685" s="144" t="s">
        <v>529</v>
      </c>
      <c r="B685" s="144" t="s">
        <v>6441</v>
      </c>
      <c r="C685" s="144" t="s">
        <v>6442</v>
      </c>
      <c r="D685" s="144" t="s">
        <v>6443</v>
      </c>
      <c r="E685" s="144" t="s">
        <v>6444</v>
      </c>
      <c r="F685" s="144" t="s">
        <v>4</v>
      </c>
      <c r="G685" s="144">
        <v>2.5</v>
      </c>
      <c r="H685" s="144" t="s">
        <v>24</v>
      </c>
      <c r="I685" s="144" t="s">
        <v>602</v>
      </c>
      <c r="J685" s="144" t="s">
        <v>6445</v>
      </c>
      <c r="K685" s="144">
        <v>2</v>
      </c>
      <c r="L685" s="144" t="s">
        <v>1371</v>
      </c>
      <c r="M685" s="144" t="s">
        <v>6446</v>
      </c>
      <c r="N685" s="144">
        <v>3</v>
      </c>
      <c r="O685" s="144"/>
      <c r="P685" s="144"/>
      <c r="Q685" s="144" t="s">
        <v>465</v>
      </c>
      <c r="R685" s="144" t="s">
        <v>1119</v>
      </c>
      <c r="S685" s="144" t="s">
        <v>6447</v>
      </c>
      <c r="T685" s="144"/>
      <c r="U685" s="145"/>
      <c r="V685" s="145"/>
      <c r="W685" s="145"/>
      <c r="X685" s="144" t="s">
        <v>6448</v>
      </c>
      <c r="Y685" s="144" t="s">
        <v>6449</v>
      </c>
      <c r="Z685" s="144" t="str">
        <f ca="1">IFERROR(__xludf.DUMMYFUNCTION("IF(VLOOKUP($Y685, IMPORTRANGE(""https://docs.google.com/spreadsheets/d/1WsTKRjz8_fF2119Ff9dhKIIYXSaUEHzuWr8pBkxmwQQ/edit"", ""Form Responses 1!$B:$Z""),1, FALSE)=$Y685,""Yes"",""No"")"),"#N/A")</f>
        <v>#N/A</v>
      </c>
      <c r="AA685" s="144"/>
      <c r="AB685" s="144"/>
    </row>
    <row r="686" spans="1:28">
      <c r="A686" s="140" t="s">
        <v>6450</v>
      </c>
      <c r="B686" s="140" t="s">
        <v>6451</v>
      </c>
      <c r="C686" s="140" t="s">
        <v>6452</v>
      </c>
      <c r="D686" s="140" t="s">
        <v>6453</v>
      </c>
      <c r="E686" s="140" t="s">
        <v>6454</v>
      </c>
      <c r="F686" s="140" t="s">
        <v>4</v>
      </c>
      <c r="G686" s="140">
        <v>2.5</v>
      </c>
      <c r="H686" s="140" t="s">
        <v>24</v>
      </c>
      <c r="I686" s="140" t="s">
        <v>727</v>
      </c>
      <c r="J686" s="140" t="s">
        <v>6455</v>
      </c>
      <c r="K686" s="140">
        <v>2.5</v>
      </c>
      <c r="L686" s="140" t="s">
        <v>1045</v>
      </c>
      <c r="M686" s="140" t="s">
        <v>6456</v>
      </c>
      <c r="N686" s="140">
        <v>2.5</v>
      </c>
      <c r="O686" s="140" t="s">
        <v>784</v>
      </c>
      <c r="P686" s="142">
        <v>1200000</v>
      </c>
      <c r="Q686" s="140" t="s">
        <v>452</v>
      </c>
      <c r="R686" s="140" t="s">
        <v>1119</v>
      </c>
      <c r="S686" s="140"/>
      <c r="T686" s="140"/>
      <c r="U686" s="143"/>
      <c r="V686" s="143"/>
      <c r="W686" s="143"/>
      <c r="X686" s="140" t="s">
        <v>6457</v>
      </c>
      <c r="Y686" s="140" t="s">
        <v>6458</v>
      </c>
      <c r="Z686" s="140" t="str">
        <f ca="1">IFERROR(__xludf.DUMMYFUNCTION("IF(VLOOKUP($Y686, IMPORTRANGE(""https://docs.google.com/spreadsheets/d/1WsTKRjz8_fF2119Ff9dhKIIYXSaUEHzuWr8pBkxmwQQ/edit"", ""Form Responses 1!$B:$Z""),1, FALSE)=$Y686,""Yes"",""No"")"),"#N/A")</f>
        <v>#N/A</v>
      </c>
      <c r="AA686" s="140"/>
      <c r="AB686" s="140"/>
    </row>
    <row r="687" spans="1:28">
      <c r="A687" s="144" t="s">
        <v>503</v>
      </c>
      <c r="B687" s="144" t="s">
        <v>6459</v>
      </c>
      <c r="C687" s="144" t="s">
        <v>6460</v>
      </c>
      <c r="D687" s="144" t="s">
        <v>6461</v>
      </c>
      <c r="E687" s="144" t="s">
        <v>6462</v>
      </c>
      <c r="F687" s="144" t="s">
        <v>4</v>
      </c>
      <c r="G687" s="144">
        <v>2.5</v>
      </c>
      <c r="H687" s="144" t="s">
        <v>24</v>
      </c>
      <c r="I687" s="144" t="s">
        <v>602</v>
      </c>
      <c r="J687" s="144" t="s">
        <v>6463</v>
      </c>
      <c r="K687" s="144">
        <v>2</v>
      </c>
      <c r="L687" s="144" t="s">
        <v>1054</v>
      </c>
      <c r="M687" s="144"/>
      <c r="N687" s="144">
        <v>3</v>
      </c>
      <c r="O687" s="144" t="s">
        <v>784</v>
      </c>
      <c r="P687" s="144">
        <v>400000</v>
      </c>
      <c r="Q687" s="144" t="s">
        <v>452</v>
      </c>
      <c r="R687" s="144" t="s">
        <v>6464</v>
      </c>
      <c r="S687" s="144"/>
      <c r="T687" s="144"/>
      <c r="U687" s="145"/>
      <c r="V687" s="145"/>
      <c r="W687" s="145"/>
      <c r="X687" s="144" t="s">
        <v>2243</v>
      </c>
      <c r="Y687" s="144" t="s">
        <v>6465</v>
      </c>
      <c r="Z687" s="144" t="str">
        <f ca="1">IFERROR(__xludf.DUMMYFUNCTION("IF(VLOOKUP($Y687, IMPORTRANGE(""https://docs.google.com/spreadsheets/d/1WsTKRjz8_fF2119Ff9dhKIIYXSaUEHzuWr8pBkxmwQQ/edit"", ""Form Responses 1!$B:$Z""),1, FALSE)=$Y687,""Yes"",""No"")"),"#N/A")</f>
        <v>#N/A</v>
      </c>
      <c r="AA687" s="144"/>
      <c r="AB687" s="144"/>
    </row>
    <row r="688" spans="1:28">
      <c r="A688" s="140" t="s">
        <v>529</v>
      </c>
      <c r="B688" s="140" t="s">
        <v>6466</v>
      </c>
      <c r="C688" s="140" t="s">
        <v>6467</v>
      </c>
      <c r="D688" s="140" t="s">
        <v>6468</v>
      </c>
      <c r="E688" s="140" t="s">
        <v>6469</v>
      </c>
      <c r="F688" s="140" t="s">
        <v>4</v>
      </c>
      <c r="G688" s="140">
        <v>2.5</v>
      </c>
      <c r="H688" s="140" t="s">
        <v>24</v>
      </c>
      <c r="I688" s="140" t="s">
        <v>727</v>
      </c>
      <c r="J688" s="140" t="s">
        <v>6470</v>
      </c>
      <c r="K688" s="140">
        <v>3</v>
      </c>
      <c r="L688" s="140" t="s">
        <v>1371</v>
      </c>
      <c r="M688" s="140" t="s">
        <v>6471</v>
      </c>
      <c r="N688" s="140">
        <v>2</v>
      </c>
      <c r="O688" s="140" t="s">
        <v>451</v>
      </c>
      <c r="P688" s="140">
        <v>500</v>
      </c>
      <c r="Q688" s="140" t="s">
        <v>452</v>
      </c>
      <c r="R688" s="140" t="s">
        <v>6472</v>
      </c>
      <c r="S688" s="140"/>
      <c r="T688" s="140"/>
      <c r="U688" s="143"/>
      <c r="V688" s="143"/>
      <c r="W688" s="143"/>
      <c r="X688" s="140" t="s">
        <v>6473</v>
      </c>
      <c r="Y688" s="140" t="s">
        <v>6474</v>
      </c>
      <c r="Z688" s="140" t="str">
        <f ca="1">IFERROR(__xludf.DUMMYFUNCTION("IF(VLOOKUP($Y688, IMPORTRANGE(""https://docs.google.com/spreadsheets/d/1WsTKRjz8_fF2119Ff9dhKIIYXSaUEHzuWr8pBkxmwQQ/edit"", ""Form Responses 1!$B:$Z""),1, FALSE)=$Y688,""Yes"",""No"")"),"#N/A")</f>
        <v>#N/A</v>
      </c>
      <c r="AA688" s="140"/>
      <c r="AB688" s="140"/>
    </row>
    <row r="689" spans="1:28">
      <c r="A689" s="144" t="s">
        <v>907</v>
      </c>
      <c r="B689" s="144" t="s">
        <v>6475</v>
      </c>
      <c r="C689" s="144" t="s">
        <v>6476</v>
      </c>
      <c r="D689" s="144" t="s">
        <v>6477</v>
      </c>
      <c r="E689" s="144" t="s">
        <v>6478</v>
      </c>
      <c r="F689" s="144" t="s">
        <v>4</v>
      </c>
      <c r="G689" s="144">
        <v>2.5</v>
      </c>
      <c r="H689" s="144" t="s">
        <v>24</v>
      </c>
      <c r="I689" s="144" t="s">
        <v>460</v>
      </c>
      <c r="J689" s="144" t="s">
        <v>6479</v>
      </c>
      <c r="K689" s="144">
        <v>2</v>
      </c>
      <c r="L689" s="144" t="s">
        <v>1371</v>
      </c>
      <c r="M689" s="144" t="s">
        <v>6480</v>
      </c>
      <c r="N689" s="144">
        <v>3</v>
      </c>
      <c r="O689" s="144" t="s">
        <v>451</v>
      </c>
      <c r="P689" s="144">
        <v>1000000</v>
      </c>
      <c r="Q689" s="144" t="s">
        <v>452</v>
      </c>
      <c r="R689" s="144" t="s">
        <v>6481</v>
      </c>
      <c r="S689" s="144"/>
      <c r="T689" s="144"/>
      <c r="U689" s="145"/>
      <c r="V689" s="145"/>
      <c r="W689" s="145"/>
      <c r="X689" s="144" t="s">
        <v>6482</v>
      </c>
      <c r="Y689" s="144" t="s">
        <v>6483</v>
      </c>
      <c r="Z689" s="144" t="str">
        <f ca="1">IFERROR(__xludf.DUMMYFUNCTION("IF(VLOOKUP($Y689, IMPORTRANGE(""https://docs.google.com/spreadsheets/d/1WsTKRjz8_fF2119Ff9dhKIIYXSaUEHzuWr8pBkxmwQQ/edit"", ""Form Responses 1!$B:$Z""),1, FALSE)=$Y689,""Yes"",""No"")"),"#N/A")</f>
        <v>#N/A</v>
      </c>
      <c r="AA689" s="144"/>
      <c r="AB689" s="144"/>
    </row>
    <row r="690" spans="1:28">
      <c r="A690" s="140" t="s">
        <v>529</v>
      </c>
      <c r="B690" s="140" t="s">
        <v>6484</v>
      </c>
      <c r="C690" s="140" t="s">
        <v>6485</v>
      </c>
      <c r="D690" s="140" t="s">
        <v>6486</v>
      </c>
      <c r="E690" s="140" t="s">
        <v>6487</v>
      </c>
      <c r="F690" s="140" t="s">
        <v>4</v>
      </c>
      <c r="G690" s="140">
        <v>2.5</v>
      </c>
      <c r="H690" s="140" t="s">
        <v>24</v>
      </c>
      <c r="I690" s="140" t="s">
        <v>447</v>
      </c>
      <c r="J690" s="140" t="s">
        <v>6488</v>
      </c>
      <c r="K690" s="140">
        <v>2</v>
      </c>
      <c r="L690" s="140" t="s">
        <v>1371</v>
      </c>
      <c r="M690" s="140" t="s">
        <v>6489</v>
      </c>
      <c r="N690" s="140">
        <v>3</v>
      </c>
      <c r="O690" s="140"/>
      <c r="P690" s="140"/>
      <c r="Q690" s="140" t="s">
        <v>452</v>
      </c>
      <c r="R690" s="140" t="s">
        <v>6490</v>
      </c>
      <c r="S690" s="140"/>
      <c r="T690" s="140"/>
      <c r="U690" s="143"/>
      <c r="V690" s="143"/>
      <c r="W690" s="143"/>
      <c r="X690" s="140" t="s">
        <v>6491</v>
      </c>
      <c r="Y690" s="140" t="s">
        <v>6492</v>
      </c>
      <c r="Z690" s="140" t="str">
        <f ca="1">IFERROR(__xludf.DUMMYFUNCTION("IF(VLOOKUP($Y690, IMPORTRANGE(""https://docs.google.com/spreadsheets/d/1WsTKRjz8_fF2119Ff9dhKIIYXSaUEHzuWr8pBkxmwQQ/edit"", ""Form Responses 1!$B:$Z""),1, FALSE)=$Y690,""Yes"",""No"")"),"#N/A")</f>
        <v>#N/A</v>
      </c>
      <c r="AA690" s="140"/>
      <c r="AB690" s="140"/>
    </row>
    <row r="691" spans="1:28">
      <c r="A691" s="144" t="s">
        <v>529</v>
      </c>
      <c r="B691" s="144" t="s">
        <v>6493</v>
      </c>
      <c r="C691" s="144" t="s">
        <v>6494</v>
      </c>
      <c r="D691" s="144" t="s">
        <v>6495</v>
      </c>
      <c r="E691" s="144" t="s">
        <v>6496</v>
      </c>
      <c r="F691" s="144" t="s">
        <v>4</v>
      </c>
      <c r="G691" s="144">
        <v>2.5</v>
      </c>
      <c r="H691" s="144" t="s">
        <v>24</v>
      </c>
      <c r="I691" s="144" t="s">
        <v>727</v>
      </c>
      <c r="J691" s="144" t="s">
        <v>6497</v>
      </c>
      <c r="K691" s="144">
        <v>2.5</v>
      </c>
      <c r="L691" s="144" t="s">
        <v>1045</v>
      </c>
      <c r="M691" s="144" t="s">
        <v>6498</v>
      </c>
      <c r="N691" s="144">
        <v>2.5</v>
      </c>
      <c r="O691" s="144" t="s">
        <v>784</v>
      </c>
      <c r="P691" s="147">
        <v>500000</v>
      </c>
      <c r="Q691" s="144" t="s">
        <v>452</v>
      </c>
      <c r="R691" s="144" t="s">
        <v>6499</v>
      </c>
      <c r="S691" s="144"/>
      <c r="T691" s="144"/>
      <c r="U691" s="145"/>
      <c r="V691" s="145"/>
      <c r="W691" s="145"/>
      <c r="X691" s="144" t="s">
        <v>6500</v>
      </c>
      <c r="Y691" s="144" t="s">
        <v>6501</v>
      </c>
      <c r="Z691" s="144" t="str">
        <f ca="1">IFERROR(__xludf.DUMMYFUNCTION("IF(VLOOKUP($Y691, IMPORTRANGE(""https://docs.google.com/spreadsheets/d/1WsTKRjz8_fF2119Ff9dhKIIYXSaUEHzuWr8pBkxmwQQ/edit"", ""Form Responses 1!$B:$Z""),1, FALSE)=$Y691,""Yes"",""No"")"),"#N/A")</f>
        <v>#N/A</v>
      </c>
      <c r="AA691" s="144"/>
      <c r="AB691" s="144"/>
    </row>
    <row r="692" spans="1:28">
      <c r="A692" s="140" t="s">
        <v>471</v>
      </c>
      <c r="B692" s="140" t="s">
        <v>6502</v>
      </c>
      <c r="C692" s="140" t="s">
        <v>6503</v>
      </c>
      <c r="D692" s="140" t="s">
        <v>6504</v>
      </c>
      <c r="E692" s="140" t="s">
        <v>6505</v>
      </c>
      <c r="F692" s="140" t="s">
        <v>4</v>
      </c>
      <c r="G692" s="140">
        <v>2.5</v>
      </c>
      <c r="H692" s="140" t="s">
        <v>24</v>
      </c>
      <c r="I692" s="140" t="s">
        <v>602</v>
      </c>
      <c r="J692" s="140" t="s">
        <v>6506</v>
      </c>
      <c r="K692" s="140">
        <v>2</v>
      </c>
      <c r="L692" s="140" t="s">
        <v>1054</v>
      </c>
      <c r="M692" s="140" t="s">
        <v>6507</v>
      </c>
      <c r="N692" s="140">
        <v>3</v>
      </c>
      <c r="O692" s="140" t="s">
        <v>451</v>
      </c>
      <c r="P692" s="140">
        <v>1000000</v>
      </c>
      <c r="Q692" s="140" t="s">
        <v>452</v>
      </c>
      <c r="R692" s="140" t="s">
        <v>6508</v>
      </c>
      <c r="S692" s="140" t="s">
        <v>6509</v>
      </c>
      <c r="T692" s="140"/>
      <c r="U692" s="143"/>
      <c r="V692" s="143"/>
      <c r="W692" s="143"/>
      <c r="X692" s="140" t="s">
        <v>6510</v>
      </c>
      <c r="Y692" s="140" t="s">
        <v>6511</v>
      </c>
      <c r="Z692" s="140" t="str">
        <f ca="1">IFERROR(__xludf.DUMMYFUNCTION("IF(VLOOKUP($Y692, IMPORTRANGE(""https://docs.google.com/spreadsheets/d/1WsTKRjz8_fF2119Ff9dhKIIYXSaUEHzuWr8pBkxmwQQ/edit"", ""Form Responses 1!$B:$Z""),1, FALSE)=$Y692,""Yes"",""No"")"),"#N/A")</f>
        <v>#N/A</v>
      </c>
      <c r="AA692" s="140"/>
      <c r="AB692" s="140"/>
    </row>
    <row r="693" spans="1:28">
      <c r="A693" s="144" t="s">
        <v>529</v>
      </c>
      <c r="B693" s="144" t="s">
        <v>6512</v>
      </c>
      <c r="C693" s="144" t="s">
        <v>6513</v>
      </c>
      <c r="D693" s="144" t="s">
        <v>6514</v>
      </c>
      <c r="E693" s="144" t="s">
        <v>6515</v>
      </c>
      <c r="F693" s="144" t="s">
        <v>4</v>
      </c>
      <c r="G693" s="144">
        <v>2.5</v>
      </c>
      <c r="H693" s="144" t="s">
        <v>24</v>
      </c>
      <c r="I693" s="144" t="s">
        <v>725</v>
      </c>
      <c r="J693" s="144" t="s">
        <v>6516</v>
      </c>
      <c r="K693" s="144">
        <v>2</v>
      </c>
      <c r="L693" s="144" t="s">
        <v>1457</v>
      </c>
      <c r="M693" s="144" t="s">
        <v>6517</v>
      </c>
      <c r="N693" s="144">
        <v>3</v>
      </c>
      <c r="O693" s="144" t="s">
        <v>784</v>
      </c>
      <c r="P693" s="146">
        <v>1200000</v>
      </c>
      <c r="Q693" s="144" t="s">
        <v>454</v>
      </c>
      <c r="R693" s="144" t="s">
        <v>6518</v>
      </c>
      <c r="S693" s="144"/>
      <c r="T693" s="144"/>
      <c r="U693" s="145"/>
      <c r="V693" s="145"/>
      <c r="W693" s="145"/>
      <c r="X693" s="144" t="s">
        <v>6519</v>
      </c>
      <c r="Y693" s="144" t="s">
        <v>6520</v>
      </c>
      <c r="Z693" s="144" t="str">
        <f ca="1">IFERROR(__xludf.DUMMYFUNCTION("IF(VLOOKUP($Y693, IMPORTRANGE(""https://docs.google.com/spreadsheets/d/1WsTKRjz8_fF2119Ff9dhKIIYXSaUEHzuWr8pBkxmwQQ/edit"", ""Form Responses 1!$B:$Z""),1, FALSE)=$Y693,""Yes"",""No"")"),"#N/A")</f>
        <v>#N/A</v>
      </c>
      <c r="AA693" s="144"/>
      <c r="AB693" s="144"/>
    </row>
    <row r="694" spans="1:28">
      <c r="A694" s="140" t="s">
        <v>529</v>
      </c>
      <c r="B694" s="140" t="s">
        <v>6521</v>
      </c>
      <c r="C694" s="140" t="s">
        <v>6522</v>
      </c>
      <c r="D694" s="140" t="s">
        <v>6523</v>
      </c>
      <c r="E694" s="140" t="s">
        <v>6524</v>
      </c>
      <c r="F694" s="140" t="s">
        <v>4</v>
      </c>
      <c r="G694" s="140">
        <v>2.5</v>
      </c>
      <c r="H694" s="140" t="s">
        <v>24</v>
      </c>
      <c r="I694" s="140" t="s">
        <v>725</v>
      </c>
      <c r="J694" s="140" t="s">
        <v>6525</v>
      </c>
      <c r="K694" s="140">
        <v>3</v>
      </c>
      <c r="L694" s="140" t="s">
        <v>1457</v>
      </c>
      <c r="M694" s="140" t="s">
        <v>6526</v>
      </c>
      <c r="N694" s="140">
        <v>2</v>
      </c>
      <c r="O694" s="140" t="s">
        <v>451</v>
      </c>
      <c r="P694" s="142">
        <v>1000000</v>
      </c>
      <c r="Q694" s="140" t="s">
        <v>454</v>
      </c>
      <c r="R694" s="140" t="s">
        <v>6527</v>
      </c>
      <c r="S694" s="140" t="s">
        <v>6528</v>
      </c>
      <c r="T694" s="140"/>
      <c r="U694" s="143"/>
      <c r="V694" s="143"/>
      <c r="W694" s="143"/>
      <c r="X694" s="140" t="s">
        <v>6529</v>
      </c>
      <c r="Y694" s="140" t="s">
        <v>6530</v>
      </c>
      <c r="Z694" s="140" t="str">
        <f ca="1">IFERROR(__xludf.DUMMYFUNCTION("IF(VLOOKUP($Y694, IMPORTRANGE(""https://docs.google.com/spreadsheets/d/1WsTKRjz8_fF2119Ff9dhKIIYXSaUEHzuWr8pBkxmwQQ/edit"", ""Form Responses 1!$B:$Z""),1, FALSE)=$Y694,""Yes"",""No"")"),"#N/A")</f>
        <v>#N/A</v>
      </c>
      <c r="AA694" s="140"/>
      <c r="AB694" s="140"/>
    </row>
    <row r="695" spans="1:28">
      <c r="A695" s="144" t="s">
        <v>907</v>
      </c>
      <c r="B695" s="144" t="s">
        <v>6531</v>
      </c>
      <c r="C695" s="144" t="s">
        <v>6532</v>
      </c>
      <c r="D695" s="144" t="s">
        <v>6533</v>
      </c>
      <c r="E695" s="144" t="s">
        <v>6534</v>
      </c>
      <c r="F695" s="144" t="s">
        <v>4</v>
      </c>
      <c r="G695" s="144">
        <v>2.5</v>
      </c>
      <c r="H695" s="144" t="s">
        <v>24</v>
      </c>
      <c r="I695" s="144" t="s">
        <v>447</v>
      </c>
      <c r="J695" s="144" t="s">
        <v>6535</v>
      </c>
      <c r="K695" s="144">
        <v>3</v>
      </c>
      <c r="L695" s="144" t="s">
        <v>1457</v>
      </c>
      <c r="M695" s="144" t="s">
        <v>6536</v>
      </c>
      <c r="N695" s="144">
        <v>2</v>
      </c>
      <c r="O695" s="144" t="s">
        <v>478</v>
      </c>
      <c r="P695" s="144" t="s">
        <v>6537</v>
      </c>
      <c r="Q695" s="144" t="s">
        <v>452</v>
      </c>
      <c r="R695" s="144" t="s">
        <v>575</v>
      </c>
      <c r="S695" s="144"/>
      <c r="T695" s="144"/>
      <c r="U695" s="145"/>
      <c r="V695" s="145"/>
      <c r="W695" s="145"/>
      <c r="X695" s="144" t="s">
        <v>6538</v>
      </c>
      <c r="Y695" s="144" t="s">
        <v>6539</v>
      </c>
      <c r="Z695" s="144" t="str">
        <f ca="1">IFERROR(__xludf.DUMMYFUNCTION("IF(VLOOKUP($Y695, IMPORTRANGE(""https://docs.google.com/spreadsheets/d/1WsTKRjz8_fF2119Ff9dhKIIYXSaUEHzuWr8pBkxmwQQ/edit"", ""Form Responses 1!$B:$Z""),1, FALSE)=$Y695,""Yes"",""No"")"),"#N/A")</f>
        <v>#N/A</v>
      </c>
      <c r="AA695" s="144"/>
      <c r="AB695" s="144"/>
    </row>
    <row r="696" spans="1:28">
      <c r="A696" s="140" t="s">
        <v>529</v>
      </c>
      <c r="B696" s="140" t="s">
        <v>6540</v>
      </c>
      <c r="C696" s="140" t="s">
        <v>6541</v>
      </c>
      <c r="D696" s="140" t="s">
        <v>6542</v>
      </c>
      <c r="E696" s="140" t="s">
        <v>6543</v>
      </c>
      <c r="F696" s="140" t="s">
        <v>4</v>
      </c>
      <c r="G696" s="140">
        <v>2.5</v>
      </c>
      <c r="H696" s="140" t="s">
        <v>24</v>
      </c>
      <c r="I696" s="140" t="s">
        <v>725</v>
      </c>
      <c r="J696" s="140" t="s">
        <v>6544</v>
      </c>
      <c r="K696" s="140">
        <v>3</v>
      </c>
      <c r="L696" s="140" t="s">
        <v>4054</v>
      </c>
      <c r="M696" s="140"/>
      <c r="N696" s="140">
        <v>2</v>
      </c>
      <c r="O696" s="140" t="s">
        <v>451</v>
      </c>
      <c r="P696" s="142">
        <v>1000000</v>
      </c>
      <c r="Q696" s="140" t="s">
        <v>452</v>
      </c>
      <c r="R696" s="140" t="s">
        <v>6545</v>
      </c>
      <c r="S696" s="140" t="s">
        <v>6546</v>
      </c>
      <c r="T696" s="140"/>
      <c r="U696" s="143"/>
      <c r="V696" s="143"/>
      <c r="W696" s="143"/>
      <c r="X696" s="140" t="s">
        <v>4140</v>
      </c>
      <c r="Y696" s="140" t="s">
        <v>6547</v>
      </c>
      <c r="Z696" s="140" t="str">
        <f ca="1">IFERROR(__xludf.DUMMYFUNCTION("IF(VLOOKUP($Y696, IMPORTRANGE(""https://docs.google.com/spreadsheets/d/1WsTKRjz8_fF2119Ff9dhKIIYXSaUEHzuWr8pBkxmwQQ/edit"", ""Form Responses 1!$B:$Z""),1, FALSE)=$Y696,""Yes"",""No"")"),"#N/A")</f>
        <v>#N/A</v>
      </c>
      <c r="AA696" s="140"/>
      <c r="AB696" s="140"/>
    </row>
    <row r="697" spans="1:28">
      <c r="A697" s="144" t="s">
        <v>529</v>
      </c>
      <c r="B697" s="144" t="s">
        <v>6548</v>
      </c>
      <c r="C697" s="144" t="s">
        <v>6549</v>
      </c>
      <c r="D697" s="144" t="s">
        <v>6550</v>
      </c>
      <c r="E697" s="144"/>
      <c r="F697" s="144" t="s">
        <v>4</v>
      </c>
      <c r="G697" s="144">
        <v>2.5</v>
      </c>
      <c r="H697" s="144" t="s">
        <v>24</v>
      </c>
      <c r="I697" s="144" t="s">
        <v>602</v>
      </c>
      <c r="J697" s="144"/>
      <c r="K697" s="144">
        <v>2</v>
      </c>
      <c r="L697" s="144" t="s">
        <v>476</v>
      </c>
      <c r="M697" s="144" t="s">
        <v>6551</v>
      </c>
      <c r="N697" s="144">
        <v>3</v>
      </c>
      <c r="O697" s="144" t="s">
        <v>2190</v>
      </c>
      <c r="P697" s="144" t="s">
        <v>6552</v>
      </c>
      <c r="Q697" s="144" t="s">
        <v>465</v>
      </c>
      <c r="R697" s="144" t="s">
        <v>6553</v>
      </c>
      <c r="S697" s="144"/>
      <c r="T697" s="144"/>
      <c r="U697" s="145"/>
      <c r="V697" s="145"/>
      <c r="W697" s="145"/>
      <c r="X697" s="144" t="s">
        <v>6554</v>
      </c>
      <c r="Y697" s="144" t="s">
        <v>6555</v>
      </c>
      <c r="Z697" s="144" t="str">
        <f ca="1">IFERROR(__xludf.DUMMYFUNCTION("IF(VLOOKUP($Y697, IMPORTRANGE(""https://docs.google.com/spreadsheets/d/1WsTKRjz8_fF2119Ff9dhKIIYXSaUEHzuWr8pBkxmwQQ/edit"", ""Form Responses 1!$B:$Z""),1, FALSE)=$Y697,""Yes"",""No"")"),"#N/A")</f>
        <v>#N/A</v>
      </c>
      <c r="AA697" s="144"/>
      <c r="AB697" s="144"/>
    </row>
    <row r="698" spans="1:28">
      <c r="A698" s="140" t="s">
        <v>529</v>
      </c>
      <c r="B698" s="140" t="s">
        <v>6556</v>
      </c>
      <c r="C698" s="140" t="s">
        <v>6557</v>
      </c>
      <c r="D698" s="140" t="s">
        <v>6558</v>
      </c>
      <c r="E698" s="140" t="s">
        <v>6559</v>
      </c>
      <c r="F698" s="140" t="s">
        <v>4</v>
      </c>
      <c r="G698" s="140">
        <v>2.5</v>
      </c>
      <c r="H698" s="140" t="s">
        <v>24</v>
      </c>
      <c r="I698" s="140" t="s">
        <v>725</v>
      </c>
      <c r="J698" s="140" t="s">
        <v>6560</v>
      </c>
      <c r="K698" s="140">
        <v>2</v>
      </c>
      <c r="L698" s="140" t="s">
        <v>4054</v>
      </c>
      <c r="M698" s="140"/>
      <c r="N698" s="140">
        <v>3</v>
      </c>
      <c r="O698" s="140" t="s">
        <v>784</v>
      </c>
      <c r="P698" s="140" t="s">
        <v>6561</v>
      </c>
      <c r="Q698" s="140" t="s">
        <v>465</v>
      </c>
      <c r="R698" s="140" t="s">
        <v>452</v>
      </c>
      <c r="S698" s="140"/>
      <c r="T698" s="140"/>
      <c r="U698" s="143"/>
      <c r="V698" s="143"/>
      <c r="W698" s="143"/>
      <c r="X698" s="140" t="s">
        <v>6562</v>
      </c>
      <c r="Y698" s="140" t="s">
        <v>6563</v>
      </c>
      <c r="Z698" s="140" t="str">
        <f ca="1">IFERROR(__xludf.DUMMYFUNCTION("IF(VLOOKUP($Y698, IMPORTRANGE(""https://docs.google.com/spreadsheets/d/1WsTKRjz8_fF2119Ff9dhKIIYXSaUEHzuWr8pBkxmwQQ/edit"", ""Form Responses 1!$B:$Z""),1, FALSE)=$Y698,""Yes"",""No"")"),"#N/A")</f>
        <v>#N/A</v>
      </c>
      <c r="AA698" s="140"/>
      <c r="AB698" s="140"/>
    </row>
    <row r="699" spans="1:28">
      <c r="A699" s="144" t="s">
        <v>907</v>
      </c>
      <c r="B699" s="144" t="s">
        <v>6564</v>
      </c>
      <c r="C699" s="144" t="s">
        <v>6565</v>
      </c>
      <c r="D699" s="144" t="s">
        <v>6566</v>
      </c>
      <c r="E699" s="144" t="s">
        <v>6567</v>
      </c>
      <c r="F699" s="144" t="s">
        <v>4</v>
      </c>
      <c r="G699" s="144">
        <v>2.5</v>
      </c>
      <c r="H699" s="144" t="s">
        <v>24</v>
      </c>
      <c r="I699" s="144" t="s">
        <v>727</v>
      </c>
      <c r="J699" s="144" t="s">
        <v>6568</v>
      </c>
      <c r="K699" s="144">
        <v>3</v>
      </c>
      <c r="L699" s="144" t="s">
        <v>4054</v>
      </c>
      <c r="M699" s="144"/>
      <c r="N699" s="144">
        <v>2</v>
      </c>
      <c r="O699" s="144" t="s">
        <v>451</v>
      </c>
      <c r="P699" s="147">
        <v>5000000</v>
      </c>
      <c r="Q699" s="144" t="s">
        <v>452</v>
      </c>
      <c r="R699" s="144" t="s">
        <v>6569</v>
      </c>
      <c r="S699" s="144"/>
      <c r="T699" s="144"/>
      <c r="U699" s="145"/>
      <c r="V699" s="145"/>
      <c r="W699" s="145"/>
      <c r="X699" s="144" t="s">
        <v>6570</v>
      </c>
      <c r="Y699" s="144" t="s">
        <v>6571</v>
      </c>
      <c r="Z699" s="144" t="str">
        <f ca="1">IFERROR(__xludf.DUMMYFUNCTION("IF(VLOOKUP($Y699, IMPORTRANGE(""https://docs.google.com/spreadsheets/d/1WsTKRjz8_fF2119Ff9dhKIIYXSaUEHzuWr8pBkxmwQQ/edit"", ""Form Responses 1!$B:$Z""),1, FALSE)=$Y699,""Yes"",""No"")"),"#N/A")</f>
        <v>#N/A</v>
      </c>
      <c r="AA699" s="144"/>
      <c r="AB699" s="144"/>
    </row>
    <row r="700" spans="1:28">
      <c r="A700" s="140" t="s">
        <v>529</v>
      </c>
      <c r="B700" s="140" t="s">
        <v>6572</v>
      </c>
      <c r="C700" s="140" t="s">
        <v>6573</v>
      </c>
      <c r="D700" s="140" t="s">
        <v>6574</v>
      </c>
      <c r="E700" s="140" t="s">
        <v>6575</v>
      </c>
      <c r="F700" s="140" t="s">
        <v>4</v>
      </c>
      <c r="G700" s="140">
        <v>2.5</v>
      </c>
      <c r="H700" s="140" t="s">
        <v>24</v>
      </c>
      <c r="I700" s="140" t="s">
        <v>725</v>
      </c>
      <c r="J700" s="140" t="s">
        <v>6576</v>
      </c>
      <c r="K700" s="140">
        <v>2.5</v>
      </c>
      <c r="L700" s="140" t="s">
        <v>1045</v>
      </c>
      <c r="M700" s="140" t="s">
        <v>6577</v>
      </c>
      <c r="N700" s="140">
        <v>2.5</v>
      </c>
      <c r="O700" s="140" t="s">
        <v>478</v>
      </c>
      <c r="P700" s="140" t="s">
        <v>6578</v>
      </c>
      <c r="Q700" s="140" t="s">
        <v>452</v>
      </c>
      <c r="R700" s="140" t="s">
        <v>6578</v>
      </c>
      <c r="S700" s="140"/>
      <c r="T700" s="140"/>
      <c r="U700" s="143"/>
      <c r="V700" s="143"/>
      <c r="W700" s="143"/>
      <c r="X700" s="140" t="s">
        <v>6579</v>
      </c>
      <c r="Y700" s="140" t="s">
        <v>6580</v>
      </c>
      <c r="Z700" s="140" t="str">
        <f ca="1">IFERROR(__xludf.DUMMYFUNCTION("IF(VLOOKUP($Y700, IMPORTRANGE(""https://docs.google.com/spreadsheets/d/1WsTKRjz8_fF2119Ff9dhKIIYXSaUEHzuWr8pBkxmwQQ/edit"", ""Form Responses 1!$B:$Z""),1, FALSE)=$Y700,""Yes"",""No"")"),"#N/A")</f>
        <v>#N/A</v>
      </c>
      <c r="AA700" s="140"/>
      <c r="AB700" s="140"/>
    </row>
    <row r="701" spans="1:28">
      <c r="A701" s="144" t="s">
        <v>443</v>
      </c>
      <c r="B701" s="144" t="s">
        <v>6581</v>
      </c>
      <c r="C701" s="144" t="s">
        <v>6582</v>
      </c>
      <c r="D701" s="144" t="s">
        <v>6583</v>
      </c>
      <c r="E701" s="144" t="s">
        <v>6584</v>
      </c>
      <c r="F701" s="144" t="s">
        <v>4</v>
      </c>
      <c r="G701" s="144">
        <v>2.5</v>
      </c>
      <c r="H701" s="144" t="s">
        <v>24</v>
      </c>
      <c r="I701" s="144" t="s">
        <v>602</v>
      </c>
      <c r="J701" s="144" t="s">
        <v>6585</v>
      </c>
      <c r="K701" s="144">
        <v>2.5</v>
      </c>
      <c r="L701" s="144" t="s">
        <v>1045</v>
      </c>
      <c r="M701" s="144" t="s">
        <v>6586</v>
      </c>
      <c r="N701" s="144">
        <v>2.5</v>
      </c>
      <c r="O701" s="144"/>
      <c r="P701" s="144"/>
      <c r="Q701" s="144" t="s">
        <v>452</v>
      </c>
      <c r="R701" s="144" t="s">
        <v>6587</v>
      </c>
      <c r="S701" s="144"/>
      <c r="T701" s="144"/>
      <c r="U701" s="145"/>
      <c r="V701" s="145"/>
      <c r="W701" s="145"/>
      <c r="X701" s="144" t="s">
        <v>1622</v>
      </c>
      <c r="Y701" s="144" t="s">
        <v>6588</v>
      </c>
      <c r="Z701" s="144" t="str">
        <f ca="1">IFERROR(__xludf.DUMMYFUNCTION("IF(VLOOKUP($Y701, IMPORTRANGE(""https://docs.google.com/spreadsheets/d/1WsTKRjz8_fF2119Ff9dhKIIYXSaUEHzuWr8pBkxmwQQ/edit"", ""Form Responses 1!$B:$Z""),1, FALSE)=$Y701,""Yes"",""No"")"),"#N/A")</f>
        <v>#N/A</v>
      </c>
      <c r="AA701" s="144"/>
      <c r="AB701" s="144"/>
    </row>
    <row r="702" spans="1:28">
      <c r="A702" s="140" t="s">
        <v>529</v>
      </c>
      <c r="B702" s="140" t="s">
        <v>6589</v>
      </c>
      <c r="C702" s="140" t="s">
        <v>6590</v>
      </c>
      <c r="D702" s="140" t="s">
        <v>6591</v>
      </c>
      <c r="E702" s="140" t="s">
        <v>6592</v>
      </c>
      <c r="F702" s="140" t="s">
        <v>4</v>
      </c>
      <c r="G702" s="140">
        <v>2.5</v>
      </c>
      <c r="H702" s="140" t="s">
        <v>24</v>
      </c>
      <c r="I702" s="140" t="s">
        <v>1457</v>
      </c>
      <c r="J702" s="140" t="s">
        <v>6593</v>
      </c>
      <c r="K702" s="140">
        <v>3</v>
      </c>
      <c r="L702" s="140" t="s">
        <v>1045</v>
      </c>
      <c r="M702" s="140" t="s">
        <v>6594</v>
      </c>
      <c r="N702" s="140">
        <v>2</v>
      </c>
      <c r="O702" s="140" t="s">
        <v>478</v>
      </c>
      <c r="P702" s="140">
        <v>6000</v>
      </c>
      <c r="Q702" s="140" t="s">
        <v>452</v>
      </c>
      <c r="R702" s="140" t="s">
        <v>6595</v>
      </c>
      <c r="S702" s="140"/>
      <c r="T702" s="140"/>
      <c r="U702" s="143"/>
      <c r="V702" s="143"/>
      <c r="W702" s="143"/>
      <c r="X702" s="140" t="s">
        <v>6596</v>
      </c>
      <c r="Y702" s="140" t="s">
        <v>6597</v>
      </c>
      <c r="Z702" s="140" t="str">
        <f ca="1">IFERROR(__xludf.DUMMYFUNCTION("IF(VLOOKUP($Y702, IMPORTRANGE(""https://docs.google.com/spreadsheets/d/1WsTKRjz8_fF2119Ff9dhKIIYXSaUEHzuWr8pBkxmwQQ/edit"", ""Form Responses 1!$B:$Z""),1, FALSE)=$Y702,""Yes"",""No"")"),"#N/A")</f>
        <v>#N/A</v>
      </c>
      <c r="AA702" s="140"/>
      <c r="AB702" s="140"/>
    </row>
    <row r="703" spans="1:28">
      <c r="A703" s="144" t="s">
        <v>598</v>
      </c>
      <c r="B703" s="144" t="s">
        <v>6598</v>
      </c>
      <c r="C703" s="144" t="s">
        <v>6599</v>
      </c>
      <c r="D703" s="144" t="s">
        <v>6600</v>
      </c>
      <c r="E703" s="144" t="s">
        <v>6601</v>
      </c>
      <c r="F703" s="144" t="s">
        <v>4</v>
      </c>
      <c r="G703" s="144">
        <v>2.5</v>
      </c>
      <c r="H703" s="144" t="s">
        <v>24</v>
      </c>
      <c r="I703" s="144" t="s">
        <v>602</v>
      </c>
      <c r="J703" s="144" t="s">
        <v>6602</v>
      </c>
      <c r="K703" s="144">
        <v>2.5</v>
      </c>
      <c r="L703" s="144" t="s">
        <v>1045</v>
      </c>
      <c r="M703" s="144" t="s">
        <v>6603</v>
      </c>
      <c r="N703" s="144">
        <v>2.5</v>
      </c>
      <c r="O703" s="144"/>
      <c r="P703" s="144"/>
      <c r="Q703" s="144" t="s">
        <v>452</v>
      </c>
      <c r="R703" s="144" t="s">
        <v>6604</v>
      </c>
      <c r="S703" s="144"/>
      <c r="T703" s="144"/>
      <c r="U703" s="145"/>
      <c r="V703" s="145"/>
      <c r="W703" s="145"/>
      <c r="X703" s="144" t="s">
        <v>6605</v>
      </c>
      <c r="Y703" s="144" t="s">
        <v>6606</v>
      </c>
      <c r="Z703" s="144" t="str">
        <f ca="1">IFERROR(__xludf.DUMMYFUNCTION("IF(VLOOKUP($Y703, IMPORTRANGE(""https://docs.google.com/spreadsheets/d/1WsTKRjz8_fF2119Ff9dhKIIYXSaUEHzuWr8pBkxmwQQ/edit"", ""Form Responses 1!$B:$Z""),1, FALSE)=$Y703,""Yes"",""No"")"),"#N/A")</f>
        <v>#N/A</v>
      </c>
      <c r="AA703" s="144"/>
      <c r="AB703" s="144"/>
    </row>
    <row r="704" spans="1:28">
      <c r="A704" s="140" t="s">
        <v>471</v>
      </c>
      <c r="B704" s="140" t="s">
        <v>6607</v>
      </c>
      <c r="C704" s="140" t="s">
        <v>6608</v>
      </c>
      <c r="D704" s="140" t="s">
        <v>6609</v>
      </c>
      <c r="E704" s="140" t="s">
        <v>6610</v>
      </c>
      <c r="F704" s="140" t="s">
        <v>4</v>
      </c>
      <c r="G704" s="140">
        <v>2.5</v>
      </c>
      <c r="H704" s="140" t="s">
        <v>24</v>
      </c>
      <c r="I704" s="140" t="s">
        <v>602</v>
      </c>
      <c r="J704" s="140" t="s">
        <v>6611</v>
      </c>
      <c r="K704" s="140">
        <v>2</v>
      </c>
      <c r="L704" s="140" t="s">
        <v>1054</v>
      </c>
      <c r="M704" s="140" t="s">
        <v>6612</v>
      </c>
      <c r="N704" s="140">
        <v>3</v>
      </c>
      <c r="O704" s="140" t="s">
        <v>451</v>
      </c>
      <c r="P704" s="140">
        <v>2000000</v>
      </c>
      <c r="Q704" s="140" t="s">
        <v>452</v>
      </c>
      <c r="R704" s="140" t="s">
        <v>452</v>
      </c>
      <c r="S704" s="140"/>
      <c r="T704" s="140"/>
      <c r="U704" s="143"/>
      <c r="V704" s="143"/>
      <c r="W704" s="143"/>
      <c r="X704" s="140" t="s">
        <v>6510</v>
      </c>
      <c r="Y704" s="140" t="s">
        <v>6613</v>
      </c>
      <c r="Z704" s="140" t="str">
        <f ca="1">IFERROR(__xludf.DUMMYFUNCTION("IF(VLOOKUP($Y704, IMPORTRANGE(""https://docs.google.com/spreadsheets/d/1WsTKRjz8_fF2119Ff9dhKIIYXSaUEHzuWr8pBkxmwQQ/edit"", ""Form Responses 1!$B:$Z""),1, FALSE)=$Y704,""Yes"",""No"")"),"#N/A")</f>
        <v>#N/A</v>
      </c>
      <c r="AA704" s="140"/>
      <c r="AB704" s="140"/>
    </row>
    <row r="705" spans="1:28">
      <c r="A705" s="144" t="s">
        <v>484</v>
      </c>
      <c r="B705" s="144" t="s">
        <v>6614</v>
      </c>
      <c r="C705" s="144" t="s">
        <v>6615</v>
      </c>
      <c r="D705" s="144" t="s">
        <v>6616</v>
      </c>
      <c r="E705" s="144" t="s">
        <v>6617</v>
      </c>
      <c r="F705" s="144" t="s">
        <v>4</v>
      </c>
      <c r="G705" s="144">
        <v>2.38</v>
      </c>
      <c r="H705" s="144" t="s">
        <v>24</v>
      </c>
      <c r="I705" s="144" t="s">
        <v>725</v>
      </c>
      <c r="J705" s="144"/>
      <c r="K705" s="144">
        <v>2</v>
      </c>
      <c r="L705" s="144" t="s">
        <v>727</v>
      </c>
      <c r="M705" s="144" t="s">
        <v>6618</v>
      </c>
      <c r="N705" s="144">
        <v>2.75</v>
      </c>
      <c r="O705" s="144" t="s">
        <v>451</v>
      </c>
      <c r="P705" s="144">
        <v>800000</v>
      </c>
      <c r="Q705" s="144" t="s">
        <v>452</v>
      </c>
      <c r="R705" s="144" t="s">
        <v>6619</v>
      </c>
      <c r="S705" s="144"/>
      <c r="T705" s="144"/>
      <c r="U705" s="145"/>
      <c r="V705" s="145"/>
      <c r="W705" s="145"/>
      <c r="X705" s="144" t="s">
        <v>6620</v>
      </c>
      <c r="Y705" s="144" t="s">
        <v>6621</v>
      </c>
      <c r="Z705" s="144" t="str">
        <f ca="1">IFERROR(__xludf.DUMMYFUNCTION("IF(VLOOKUP($Y705, IMPORTRANGE(""https://docs.google.com/spreadsheets/d/1WsTKRjz8_fF2119Ff9dhKIIYXSaUEHzuWr8pBkxmwQQ/edit"", ""Form Responses 1!$B:$Z""),1, FALSE)=$Y705,""Yes"",""No"")"),"#N/A")</f>
        <v>#N/A</v>
      </c>
      <c r="AA705" s="144"/>
      <c r="AB705" s="144"/>
    </row>
    <row r="706" spans="1:28">
      <c r="A706" s="140" t="s">
        <v>529</v>
      </c>
      <c r="B706" s="140" t="s">
        <v>6622</v>
      </c>
      <c r="C706" s="140" t="s">
        <v>6623</v>
      </c>
      <c r="D706" s="140" t="s">
        <v>6624</v>
      </c>
      <c r="E706" s="140" t="s">
        <v>6625</v>
      </c>
      <c r="F706" s="140" t="s">
        <v>4</v>
      </c>
      <c r="G706" s="140">
        <v>2.25</v>
      </c>
      <c r="H706" s="140" t="s">
        <v>24</v>
      </c>
      <c r="I706" s="140" t="s">
        <v>725</v>
      </c>
      <c r="J706" s="140" t="s">
        <v>6626</v>
      </c>
      <c r="K706" s="140">
        <v>2</v>
      </c>
      <c r="L706" s="140" t="s">
        <v>462</v>
      </c>
      <c r="M706" s="140" t="s">
        <v>6627</v>
      </c>
      <c r="N706" s="140">
        <v>2.5</v>
      </c>
      <c r="O706" s="140"/>
      <c r="P706" s="140"/>
      <c r="Q706" s="140" t="s">
        <v>465</v>
      </c>
      <c r="R706" s="140" t="s">
        <v>6628</v>
      </c>
      <c r="S706" s="140"/>
      <c r="T706" s="140"/>
      <c r="U706" s="143"/>
      <c r="V706" s="143"/>
      <c r="W706" s="143"/>
      <c r="X706" s="140" t="s">
        <v>6629</v>
      </c>
      <c r="Y706" s="140" t="s">
        <v>6630</v>
      </c>
      <c r="Z706" s="140" t="str">
        <f ca="1">IFERROR(__xludf.DUMMYFUNCTION("IF(VLOOKUP($Y706, IMPORTRANGE(""https://docs.google.com/spreadsheets/d/1WsTKRjz8_fF2119Ff9dhKIIYXSaUEHzuWr8pBkxmwQQ/edit"", ""Form Responses 1!$B:$Z""),1, FALSE)=$Y706,""Yes"",""No"")"),"#N/A")</f>
        <v>#N/A</v>
      </c>
      <c r="AA706" s="140"/>
      <c r="AB706" s="140"/>
    </row>
    <row r="707" spans="1:28">
      <c r="A707" s="144" t="s">
        <v>598</v>
      </c>
      <c r="B707" s="144" t="s">
        <v>6631</v>
      </c>
      <c r="C707" s="144" t="s">
        <v>6632</v>
      </c>
      <c r="D707" s="144" t="s">
        <v>6633</v>
      </c>
      <c r="E707" s="144" t="s">
        <v>6634</v>
      </c>
      <c r="F707" s="144" t="s">
        <v>4</v>
      </c>
      <c r="G707" s="144">
        <v>2.25</v>
      </c>
      <c r="H707" s="144" t="s">
        <v>24</v>
      </c>
      <c r="I707" s="144" t="s">
        <v>602</v>
      </c>
      <c r="J707" s="144" t="s">
        <v>6635</v>
      </c>
      <c r="K707" s="144">
        <v>2</v>
      </c>
      <c r="L707" s="144" t="s">
        <v>476</v>
      </c>
      <c r="M707" s="144" t="s">
        <v>6636</v>
      </c>
      <c r="N707" s="144">
        <v>2.5</v>
      </c>
      <c r="O707" s="144"/>
      <c r="P707" s="144"/>
      <c r="Q707" s="144" t="s">
        <v>452</v>
      </c>
      <c r="R707" s="144" t="s">
        <v>575</v>
      </c>
      <c r="S707" s="144"/>
      <c r="T707" s="144"/>
      <c r="U707" s="145"/>
      <c r="V707" s="145"/>
      <c r="W707" s="145"/>
      <c r="X707" s="144" t="s">
        <v>6637</v>
      </c>
      <c r="Y707" s="144" t="s">
        <v>6638</v>
      </c>
      <c r="Z707" s="144" t="str">
        <f ca="1">IFERROR(__xludf.DUMMYFUNCTION("IF(VLOOKUP($Y707, IMPORTRANGE(""https://docs.google.com/spreadsheets/d/1WsTKRjz8_fF2119Ff9dhKIIYXSaUEHzuWr8pBkxmwQQ/edit"", ""Form Responses 1!$B:$Z""),1, FALSE)=$Y707,""Yes"",""No"")"),"#N/A")</f>
        <v>#N/A</v>
      </c>
      <c r="AA707" s="144"/>
      <c r="AB707" s="144"/>
    </row>
    <row r="708" spans="1:28">
      <c r="A708" s="140" t="s">
        <v>484</v>
      </c>
      <c r="B708" s="140" t="s">
        <v>6639</v>
      </c>
      <c r="C708" s="140" t="s">
        <v>6640</v>
      </c>
      <c r="D708" s="140" t="s">
        <v>6641</v>
      </c>
      <c r="E708" s="140" t="s">
        <v>6642</v>
      </c>
      <c r="F708" s="140" t="s">
        <v>4</v>
      </c>
      <c r="G708" s="140">
        <v>2.25</v>
      </c>
      <c r="H708" s="140" t="s">
        <v>24</v>
      </c>
      <c r="I708" s="140" t="s">
        <v>727</v>
      </c>
      <c r="J708" s="140" t="s">
        <v>6643</v>
      </c>
      <c r="K708" s="140">
        <v>2</v>
      </c>
      <c r="L708" s="140" t="s">
        <v>1054</v>
      </c>
      <c r="M708" s="140" t="s">
        <v>6644</v>
      </c>
      <c r="N708" s="140">
        <v>2.5</v>
      </c>
      <c r="O708" s="140" t="s">
        <v>451</v>
      </c>
      <c r="P708" s="140">
        <v>2000000</v>
      </c>
      <c r="Q708" s="140" t="s">
        <v>452</v>
      </c>
      <c r="R708" s="140" t="s">
        <v>452</v>
      </c>
      <c r="S708" s="140"/>
      <c r="T708" s="140"/>
      <c r="U708" s="143"/>
      <c r="V708" s="143"/>
      <c r="W708" s="143"/>
      <c r="X708" s="140" t="s">
        <v>6645</v>
      </c>
      <c r="Y708" s="140" t="s">
        <v>6646</v>
      </c>
      <c r="Z708" s="140" t="str">
        <f ca="1">IFERROR(__xludf.DUMMYFUNCTION("IF(VLOOKUP($Y708, IMPORTRANGE(""https://docs.google.com/spreadsheets/d/1WsTKRjz8_fF2119Ff9dhKIIYXSaUEHzuWr8pBkxmwQQ/edit"", ""Form Responses 1!$B:$Z""),1, FALSE)=$Y708,""Yes"",""No"")"),"#N/A")</f>
        <v>#N/A</v>
      </c>
      <c r="AA708" s="140"/>
      <c r="AB708" s="140"/>
    </row>
    <row r="709" spans="1:28">
      <c r="A709" s="144" t="s">
        <v>443</v>
      </c>
      <c r="B709" s="144" t="s">
        <v>6647</v>
      </c>
      <c r="C709" s="144" t="s">
        <v>6648</v>
      </c>
      <c r="D709" s="144" t="s">
        <v>6649</v>
      </c>
      <c r="E709" s="144" t="s">
        <v>6650</v>
      </c>
      <c r="F709" s="144" t="s">
        <v>4</v>
      </c>
      <c r="G709" s="144">
        <v>2.25</v>
      </c>
      <c r="H709" s="144" t="s">
        <v>24</v>
      </c>
      <c r="I709" s="144" t="s">
        <v>602</v>
      </c>
      <c r="J709" s="144" t="s">
        <v>6651</v>
      </c>
      <c r="K709" s="144">
        <v>2</v>
      </c>
      <c r="L709" s="144" t="s">
        <v>727</v>
      </c>
      <c r="M709" s="144" t="s">
        <v>6652</v>
      </c>
      <c r="N709" s="144">
        <v>2.5</v>
      </c>
      <c r="O709" s="144" t="s">
        <v>451</v>
      </c>
      <c r="P709" s="146">
        <v>1500000</v>
      </c>
      <c r="Q709" s="144" t="s">
        <v>452</v>
      </c>
      <c r="R709" s="144" t="s">
        <v>6653</v>
      </c>
      <c r="S709" s="144"/>
      <c r="T709" s="144"/>
      <c r="U709" s="145"/>
      <c r="V709" s="145"/>
      <c r="W709" s="145"/>
      <c r="X709" s="144" t="s">
        <v>6654</v>
      </c>
      <c r="Y709" s="144" t="s">
        <v>6655</v>
      </c>
      <c r="Z709" s="144" t="str">
        <f ca="1">IFERROR(__xludf.DUMMYFUNCTION("IF(VLOOKUP($Y709, IMPORTRANGE(""https://docs.google.com/spreadsheets/d/1WsTKRjz8_fF2119Ff9dhKIIYXSaUEHzuWr8pBkxmwQQ/edit"", ""Form Responses 1!$B:$Z""),1, FALSE)=$Y709,""Yes"",""No"")"),"#N/A")</f>
        <v>#N/A</v>
      </c>
      <c r="AA709" s="144"/>
      <c r="AB709" s="144"/>
    </row>
    <row r="710" spans="1:28">
      <c r="A710" s="140" t="s">
        <v>471</v>
      </c>
      <c r="B710" s="140" t="s">
        <v>6656</v>
      </c>
      <c r="C710" s="140" t="s">
        <v>6657</v>
      </c>
      <c r="D710" s="140" t="s">
        <v>6658</v>
      </c>
      <c r="E710" s="140" t="s">
        <v>6659</v>
      </c>
      <c r="F710" s="140" t="s">
        <v>4</v>
      </c>
      <c r="G710" s="140">
        <v>2.25</v>
      </c>
      <c r="H710" s="140" t="s">
        <v>24</v>
      </c>
      <c r="I710" s="140" t="s">
        <v>602</v>
      </c>
      <c r="J710" s="140" t="s">
        <v>6660</v>
      </c>
      <c r="K710" s="140">
        <v>2</v>
      </c>
      <c r="L710" s="140" t="s">
        <v>727</v>
      </c>
      <c r="M710" s="140" t="s">
        <v>6661</v>
      </c>
      <c r="N710" s="140">
        <v>2.5</v>
      </c>
      <c r="O710" s="140" t="s">
        <v>451</v>
      </c>
      <c r="P710" s="140">
        <v>1376390</v>
      </c>
      <c r="Q710" s="140" t="s">
        <v>452</v>
      </c>
      <c r="R710" s="140" t="s">
        <v>452</v>
      </c>
      <c r="S710" s="140"/>
      <c r="T710" s="140"/>
      <c r="U710" s="143"/>
      <c r="V710" s="143"/>
      <c r="W710" s="143"/>
      <c r="X710" s="140" t="s">
        <v>6662</v>
      </c>
      <c r="Y710" s="140" t="s">
        <v>6663</v>
      </c>
      <c r="Z710" s="140" t="str">
        <f ca="1">IFERROR(__xludf.DUMMYFUNCTION("IF(VLOOKUP($Y710, IMPORTRANGE(""https://docs.google.com/spreadsheets/d/1WsTKRjz8_fF2119Ff9dhKIIYXSaUEHzuWr8pBkxmwQQ/edit"", ""Form Responses 1!$B:$Z""),1, FALSE)=$Y710,""Yes"",""No"")"),"#N/A")</f>
        <v>#N/A</v>
      </c>
      <c r="AA710" s="140"/>
      <c r="AB710" s="140"/>
    </row>
    <row r="711" spans="1:28">
      <c r="A711" s="144" t="s">
        <v>598</v>
      </c>
      <c r="B711" s="144" t="s">
        <v>6664</v>
      </c>
      <c r="C711" s="144" t="s">
        <v>6665</v>
      </c>
      <c r="D711" s="144" t="s">
        <v>6666</v>
      </c>
      <c r="E711" s="144" t="s">
        <v>6667</v>
      </c>
      <c r="F711" s="144" t="s">
        <v>4</v>
      </c>
      <c r="G711" s="144">
        <v>2.25</v>
      </c>
      <c r="H711" s="144" t="s">
        <v>24</v>
      </c>
      <c r="I711" s="144" t="s">
        <v>602</v>
      </c>
      <c r="J711" s="144" t="s">
        <v>6668</v>
      </c>
      <c r="K711" s="144">
        <v>2.5</v>
      </c>
      <c r="L711" s="144" t="s">
        <v>1036</v>
      </c>
      <c r="M711" s="144" t="s">
        <v>6669</v>
      </c>
      <c r="N711" s="144">
        <v>2</v>
      </c>
      <c r="O711" s="144" t="s">
        <v>451</v>
      </c>
      <c r="P711" s="144">
        <v>2000000</v>
      </c>
      <c r="Q711" s="144" t="s">
        <v>465</v>
      </c>
      <c r="R711" s="144" t="s">
        <v>6670</v>
      </c>
      <c r="S711" s="144"/>
      <c r="T711" s="144"/>
      <c r="U711" s="145"/>
      <c r="V711" s="145"/>
      <c r="W711" s="145"/>
      <c r="X711" s="144" t="s">
        <v>6671</v>
      </c>
      <c r="Y711" s="144" t="s">
        <v>6672</v>
      </c>
      <c r="Z711" s="144" t="str">
        <f ca="1">IFERROR(__xludf.DUMMYFUNCTION("IF(VLOOKUP($Y711, IMPORTRANGE(""https://docs.google.com/spreadsheets/d/1WsTKRjz8_fF2119Ff9dhKIIYXSaUEHzuWr8pBkxmwQQ/edit"", ""Form Responses 1!$B:$Z""),1, FALSE)=$Y711,""Yes"",""No"")"),"#N/A")</f>
        <v>#N/A</v>
      </c>
      <c r="AA711" s="144"/>
      <c r="AB711" s="144"/>
    </row>
    <row r="712" spans="1:28">
      <c r="A712" s="140" t="s">
        <v>443</v>
      </c>
      <c r="B712" s="140" t="s">
        <v>6673</v>
      </c>
      <c r="C712" s="140" t="s">
        <v>6674</v>
      </c>
      <c r="D712" s="140" t="s">
        <v>6675</v>
      </c>
      <c r="E712" s="140" t="s">
        <v>6676</v>
      </c>
      <c r="F712" s="140" t="s">
        <v>4</v>
      </c>
      <c r="G712" s="140">
        <v>2.25</v>
      </c>
      <c r="H712" s="140" t="s">
        <v>24</v>
      </c>
      <c r="I712" s="140" t="s">
        <v>727</v>
      </c>
      <c r="J712" s="140" t="s">
        <v>6677</v>
      </c>
      <c r="K712" s="140">
        <v>2.5</v>
      </c>
      <c r="L712" s="140" t="s">
        <v>1045</v>
      </c>
      <c r="M712" s="140" t="s">
        <v>6678</v>
      </c>
      <c r="N712" s="140">
        <v>2</v>
      </c>
      <c r="O712" s="140" t="s">
        <v>451</v>
      </c>
      <c r="P712" s="140">
        <v>2800000</v>
      </c>
      <c r="Q712" s="140" t="s">
        <v>452</v>
      </c>
      <c r="R712" s="140" t="s">
        <v>6679</v>
      </c>
      <c r="S712" s="140"/>
      <c r="T712" s="140"/>
      <c r="U712" s="143"/>
      <c r="V712" s="143"/>
      <c r="W712" s="143"/>
      <c r="X712" s="140" t="s">
        <v>2333</v>
      </c>
      <c r="Y712" s="140" t="s">
        <v>6680</v>
      </c>
      <c r="Z712" s="140" t="str">
        <f ca="1">IFERROR(__xludf.DUMMYFUNCTION("IF(VLOOKUP($Y712, IMPORTRANGE(""https://docs.google.com/spreadsheets/d/1WsTKRjz8_fF2119Ff9dhKIIYXSaUEHzuWr8pBkxmwQQ/edit"", ""Form Responses 1!$B:$Z""),1, FALSE)=$Y712,""Yes"",""No"")"),"#N/A")</f>
        <v>#N/A</v>
      </c>
      <c r="AA712" s="140"/>
      <c r="AB712" s="140"/>
    </row>
    <row r="713" spans="1:28">
      <c r="A713" s="144" t="s">
        <v>471</v>
      </c>
      <c r="B713" s="144" t="s">
        <v>6681</v>
      </c>
      <c r="C713" s="144" t="s">
        <v>6682</v>
      </c>
      <c r="D713" s="144" t="s">
        <v>6683</v>
      </c>
      <c r="E713" s="144" t="s">
        <v>6684</v>
      </c>
      <c r="F713" s="144" t="s">
        <v>4</v>
      </c>
      <c r="G713" s="144">
        <v>2.25</v>
      </c>
      <c r="H713" s="144" t="s">
        <v>24</v>
      </c>
      <c r="I713" s="144" t="s">
        <v>602</v>
      </c>
      <c r="J713" s="144"/>
      <c r="K713" s="144">
        <v>2</v>
      </c>
      <c r="L713" s="144" t="s">
        <v>476</v>
      </c>
      <c r="M713" s="144" t="s">
        <v>6685</v>
      </c>
      <c r="N713" s="144">
        <v>2.5</v>
      </c>
      <c r="O713" s="144" t="s">
        <v>451</v>
      </c>
      <c r="P713" s="144">
        <v>120000</v>
      </c>
      <c r="Q713" s="144" t="s">
        <v>454</v>
      </c>
      <c r="R713" s="144" t="s">
        <v>6686</v>
      </c>
      <c r="S713" s="144" t="s">
        <v>6687</v>
      </c>
      <c r="T713" s="144"/>
      <c r="U713" s="145"/>
      <c r="V713" s="145"/>
      <c r="W713" s="145"/>
      <c r="X713" s="144" t="s">
        <v>6261</v>
      </c>
      <c r="Y713" s="144" t="s">
        <v>6688</v>
      </c>
      <c r="Z713" s="144" t="str">
        <f ca="1">IFERROR(__xludf.DUMMYFUNCTION("IF(VLOOKUP($Y713, IMPORTRANGE(""https://docs.google.com/spreadsheets/d/1WsTKRjz8_fF2119Ff9dhKIIYXSaUEHzuWr8pBkxmwQQ/edit"", ""Form Responses 1!$B:$Z""),1, FALSE)=$Y713,""Yes"",""No"")"),"#N/A")</f>
        <v>#N/A</v>
      </c>
      <c r="AA713" s="144"/>
      <c r="AB713" s="144"/>
    </row>
    <row r="714" spans="1:28">
      <c r="A714" s="140" t="s">
        <v>598</v>
      </c>
      <c r="B714" s="140" t="s">
        <v>6689</v>
      </c>
      <c r="C714" s="140" t="s">
        <v>6690</v>
      </c>
      <c r="D714" s="140" t="s">
        <v>6691</v>
      </c>
      <c r="E714" s="140" t="s">
        <v>6692</v>
      </c>
      <c r="F714" s="140" t="s">
        <v>4</v>
      </c>
      <c r="G714" s="140">
        <v>2.25</v>
      </c>
      <c r="H714" s="140" t="s">
        <v>24</v>
      </c>
      <c r="I714" s="140" t="s">
        <v>602</v>
      </c>
      <c r="J714" s="140" t="s">
        <v>6693</v>
      </c>
      <c r="K714" s="140">
        <v>3</v>
      </c>
      <c r="L714" s="140" t="s">
        <v>476</v>
      </c>
      <c r="M714" s="140" t="s">
        <v>6694</v>
      </c>
      <c r="N714" s="140">
        <v>1.5</v>
      </c>
      <c r="O714" s="140"/>
      <c r="P714" s="140"/>
      <c r="Q714" s="140" t="s">
        <v>452</v>
      </c>
      <c r="R714" s="140" t="s">
        <v>974</v>
      </c>
      <c r="S714" s="140" t="s">
        <v>6695</v>
      </c>
      <c r="T714" s="140"/>
      <c r="U714" s="143"/>
      <c r="V714" s="143"/>
      <c r="W714" s="143"/>
      <c r="X714" s="140" t="s">
        <v>732</v>
      </c>
      <c r="Y714" s="140" t="s">
        <v>6696</v>
      </c>
      <c r="Z714" s="140" t="str">
        <f ca="1">IFERROR(__xludf.DUMMYFUNCTION("IF(VLOOKUP($Y714, IMPORTRANGE(""https://docs.google.com/spreadsheets/d/1WsTKRjz8_fF2119Ff9dhKIIYXSaUEHzuWr8pBkxmwQQ/edit"", ""Form Responses 1!$B:$Z""),1, FALSE)=$Y714,""Yes"",""No"")"),"#N/A")</f>
        <v>#N/A</v>
      </c>
      <c r="AA714" s="140"/>
      <c r="AB714" s="140"/>
    </row>
    <row r="715" spans="1:28">
      <c r="A715" s="144" t="s">
        <v>598</v>
      </c>
      <c r="B715" s="144" t="s">
        <v>6697</v>
      </c>
      <c r="C715" s="144" t="s">
        <v>6698</v>
      </c>
      <c r="D715" s="144" t="s">
        <v>6699</v>
      </c>
      <c r="E715" s="144" t="s">
        <v>6700</v>
      </c>
      <c r="F715" s="144" t="s">
        <v>4</v>
      </c>
      <c r="G715" s="144">
        <v>2.25</v>
      </c>
      <c r="H715" s="144" t="s">
        <v>24</v>
      </c>
      <c r="I715" s="144" t="s">
        <v>602</v>
      </c>
      <c r="J715" s="144" t="s">
        <v>6701</v>
      </c>
      <c r="K715" s="144">
        <v>2.5</v>
      </c>
      <c r="L715" s="144" t="s">
        <v>1073</v>
      </c>
      <c r="M715" s="144" t="s">
        <v>6702</v>
      </c>
      <c r="N715" s="144">
        <v>2</v>
      </c>
      <c r="O715" s="144"/>
      <c r="P715" s="144"/>
      <c r="Q715" s="144" t="s">
        <v>454</v>
      </c>
      <c r="R715" s="144" t="s">
        <v>6703</v>
      </c>
      <c r="S715" s="144"/>
      <c r="T715" s="144"/>
      <c r="U715" s="145"/>
      <c r="V715" s="145"/>
      <c r="W715" s="145"/>
      <c r="X715" s="144" t="s">
        <v>6704</v>
      </c>
      <c r="Y715" s="144" t="s">
        <v>6705</v>
      </c>
      <c r="Z715" s="144" t="str">
        <f ca="1">IFERROR(__xludf.DUMMYFUNCTION("IF(VLOOKUP($Y715, IMPORTRANGE(""https://docs.google.com/spreadsheets/d/1WsTKRjz8_fF2119Ff9dhKIIYXSaUEHzuWr8pBkxmwQQ/edit"", ""Form Responses 1!$B:$Z""),1, FALSE)=$Y715,""Yes"",""No"")"),"#N/A")</f>
        <v>#N/A</v>
      </c>
      <c r="AA715" s="144"/>
      <c r="AB715" s="144"/>
    </row>
    <row r="716" spans="1:28">
      <c r="A716" s="140" t="s">
        <v>484</v>
      </c>
      <c r="B716" s="140" t="s">
        <v>6706</v>
      </c>
      <c r="C716" s="140" t="s">
        <v>6707</v>
      </c>
      <c r="D716" s="140" t="s">
        <v>6708</v>
      </c>
      <c r="E716" s="140" t="s">
        <v>6709</v>
      </c>
      <c r="F716" s="140" t="s">
        <v>4</v>
      </c>
      <c r="G716" s="140">
        <v>2.25</v>
      </c>
      <c r="H716" s="140" t="s">
        <v>24</v>
      </c>
      <c r="I716" s="140" t="s">
        <v>727</v>
      </c>
      <c r="J716" s="140" t="s">
        <v>6710</v>
      </c>
      <c r="K716" s="140">
        <v>2.5</v>
      </c>
      <c r="L716" s="140" t="s">
        <v>1054</v>
      </c>
      <c r="M716" s="140" t="s">
        <v>6711</v>
      </c>
      <c r="N716" s="140">
        <v>2</v>
      </c>
      <c r="O716" s="140"/>
      <c r="P716" s="140"/>
      <c r="Q716" s="140" t="s">
        <v>452</v>
      </c>
      <c r="R716" s="140" t="s">
        <v>6712</v>
      </c>
      <c r="S716" s="140"/>
      <c r="T716" s="140"/>
      <c r="U716" s="143"/>
      <c r="V716" s="143"/>
      <c r="W716" s="143"/>
      <c r="X716" s="140" t="s">
        <v>469</v>
      </c>
      <c r="Y716" s="140" t="s">
        <v>6713</v>
      </c>
      <c r="Z716" s="140" t="str">
        <f ca="1">IFERROR(__xludf.DUMMYFUNCTION("IF(VLOOKUP($Y716, IMPORTRANGE(""https://docs.google.com/spreadsheets/d/1WsTKRjz8_fF2119Ff9dhKIIYXSaUEHzuWr8pBkxmwQQ/edit"", ""Form Responses 1!$B:$Z""),1, FALSE)=$Y716,""Yes"",""No"")"),"#N/A")</f>
        <v>#N/A</v>
      </c>
      <c r="AA716" s="140"/>
      <c r="AB716" s="140"/>
    </row>
    <row r="717" spans="1:28">
      <c r="A717" s="144" t="s">
        <v>443</v>
      </c>
      <c r="B717" s="144" t="s">
        <v>6714</v>
      </c>
      <c r="C717" s="144" t="s">
        <v>6715</v>
      </c>
      <c r="D717" s="144" t="s">
        <v>6716</v>
      </c>
      <c r="E717" s="144" t="s">
        <v>6717</v>
      </c>
      <c r="F717" s="144" t="s">
        <v>4</v>
      </c>
      <c r="G717" s="144">
        <v>2.25</v>
      </c>
      <c r="H717" s="144" t="s">
        <v>24</v>
      </c>
      <c r="I717" s="144" t="s">
        <v>602</v>
      </c>
      <c r="J717" s="144" t="s">
        <v>6718</v>
      </c>
      <c r="K717" s="144">
        <v>3.5</v>
      </c>
      <c r="L717" s="144" t="s">
        <v>476</v>
      </c>
      <c r="M717" s="144" t="s">
        <v>6694</v>
      </c>
      <c r="N717" s="144">
        <v>1</v>
      </c>
      <c r="O717" s="144"/>
      <c r="P717" s="144"/>
      <c r="Q717" s="144" t="s">
        <v>452</v>
      </c>
      <c r="R717" s="144" t="s">
        <v>452</v>
      </c>
      <c r="S717" s="144"/>
      <c r="T717" s="144"/>
      <c r="U717" s="145"/>
      <c r="V717" s="145"/>
      <c r="W717" s="145"/>
      <c r="X717" s="144" t="s">
        <v>1206</v>
      </c>
      <c r="Y717" s="144" t="s">
        <v>6719</v>
      </c>
      <c r="Z717" s="144" t="str">
        <f ca="1">IFERROR(__xludf.DUMMYFUNCTION("IF(VLOOKUP($Y717, IMPORTRANGE(""https://docs.google.com/spreadsheets/d/1WsTKRjz8_fF2119Ff9dhKIIYXSaUEHzuWr8pBkxmwQQ/edit"", ""Form Responses 1!$B:$Z""),1, FALSE)=$Y717,""Yes"",""No"")"),"#N/A")</f>
        <v>#N/A</v>
      </c>
      <c r="AA717" s="144"/>
      <c r="AB717" s="144"/>
    </row>
    <row r="718" spans="1:28">
      <c r="A718" s="140" t="s">
        <v>471</v>
      </c>
      <c r="B718" s="140" t="s">
        <v>6720</v>
      </c>
      <c r="C718" s="140" t="s">
        <v>6721</v>
      </c>
      <c r="D718" s="140" t="s">
        <v>6722</v>
      </c>
      <c r="E718" s="140" t="s">
        <v>6723</v>
      </c>
      <c r="F718" s="140" t="s">
        <v>4</v>
      </c>
      <c r="G718" s="140">
        <v>2.25</v>
      </c>
      <c r="H718" s="140" t="s">
        <v>24</v>
      </c>
      <c r="I718" s="140" t="s">
        <v>727</v>
      </c>
      <c r="J718" s="140" t="s">
        <v>6724</v>
      </c>
      <c r="K718" s="140">
        <v>2.5</v>
      </c>
      <c r="L718" s="140" t="s">
        <v>1054</v>
      </c>
      <c r="M718" s="140" t="s">
        <v>6725</v>
      </c>
      <c r="N718" s="140">
        <v>2</v>
      </c>
      <c r="O718" s="140"/>
      <c r="P718" s="140"/>
      <c r="Q718" s="140" t="s">
        <v>452</v>
      </c>
      <c r="R718" s="140" t="s">
        <v>6726</v>
      </c>
      <c r="S718" s="140"/>
      <c r="T718" s="140"/>
      <c r="U718" s="143"/>
      <c r="V718" s="143"/>
      <c r="W718" s="143"/>
      <c r="X718" s="140" t="s">
        <v>6727</v>
      </c>
      <c r="Y718" s="140" t="s">
        <v>6728</v>
      </c>
      <c r="Z718" s="140" t="str">
        <f ca="1">IFERROR(__xludf.DUMMYFUNCTION("IF(VLOOKUP($Y718, IMPORTRANGE(""https://docs.google.com/spreadsheets/d/1WsTKRjz8_fF2119Ff9dhKIIYXSaUEHzuWr8pBkxmwQQ/edit"", ""Form Responses 1!$B:$Z""),1, FALSE)=$Y718,""Yes"",""No"")"),"#N/A")</f>
        <v>#N/A</v>
      </c>
      <c r="AA718" s="140"/>
      <c r="AB718" s="140"/>
    </row>
    <row r="719" spans="1:28">
      <c r="A719" s="144" t="s">
        <v>484</v>
      </c>
      <c r="B719" s="144" t="s">
        <v>6729</v>
      </c>
      <c r="C719" s="144" t="s">
        <v>6730</v>
      </c>
      <c r="D719" s="144" t="s">
        <v>6731</v>
      </c>
      <c r="E719" s="144" t="s">
        <v>6732</v>
      </c>
      <c r="F719" s="144" t="s">
        <v>4</v>
      </c>
      <c r="G719" s="144">
        <v>2.25</v>
      </c>
      <c r="H719" s="144" t="s">
        <v>24</v>
      </c>
      <c r="I719" s="144" t="s">
        <v>727</v>
      </c>
      <c r="J719" s="144" t="s">
        <v>6733</v>
      </c>
      <c r="K719" s="144">
        <v>2</v>
      </c>
      <c r="L719" s="144" t="s">
        <v>1054</v>
      </c>
      <c r="M719" s="144" t="s">
        <v>6734</v>
      </c>
      <c r="N719" s="144">
        <v>2.5</v>
      </c>
      <c r="O719" s="144" t="s">
        <v>478</v>
      </c>
      <c r="P719" s="146">
        <v>5000000</v>
      </c>
      <c r="Q719" s="144" t="s">
        <v>465</v>
      </c>
      <c r="R719" s="144" t="s">
        <v>452</v>
      </c>
      <c r="S719" s="144"/>
      <c r="T719" s="144"/>
      <c r="U719" s="145"/>
      <c r="V719" s="145"/>
      <c r="W719" s="145"/>
      <c r="X719" s="144" t="s">
        <v>6735</v>
      </c>
      <c r="Y719" s="144" t="s">
        <v>6736</v>
      </c>
      <c r="Z719" s="144" t="str">
        <f ca="1">IFERROR(__xludf.DUMMYFUNCTION("IF(VLOOKUP($Y719, IMPORTRANGE(""https://docs.google.com/spreadsheets/d/1WsTKRjz8_fF2119Ff9dhKIIYXSaUEHzuWr8pBkxmwQQ/edit"", ""Form Responses 1!$B:$Z""),1, FALSE)=$Y719,""Yes"",""No"")"),"#N/A")</f>
        <v>#N/A</v>
      </c>
      <c r="AA719" s="144"/>
      <c r="AB719" s="144"/>
    </row>
    <row r="720" spans="1:28">
      <c r="A720" s="140" t="s">
        <v>503</v>
      </c>
      <c r="B720" s="140" t="s">
        <v>6737</v>
      </c>
      <c r="C720" s="140" t="s">
        <v>6738</v>
      </c>
      <c r="D720" s="140" t="s">
        <v>6739</v>
      </c>
      <c r="E720" s="140" t="s">
        <v>6740</v>
      </c>
      <c r="F720" s="140" t="s">
        <v>4</v>
      </c>
      <c r="G720" s="140">
        <v>2.25</v>
      </c>
      <c r="H720" s="140" t="s">
        <v>24</v>
      </c>
      <c r="I720" s="140" t="s">
        <v>602</v>
      </c>
      <c r="J720" s="140" t="s">
        <v>6741</v>
      </c>
      <c r="K720" s="140">
        <v>2</v>
      </c>
      <c r="L720" s="140" t="s">
        <v>727</v>
      </c>
      <c r="M720" s="140" t="s">
        <v>6742</v>
      </c>
      <c r="N720" s="140">
        <v>2.5</v>
      </c>
      <c r="O720" s="140" t="s">
        <v>451</v>
      </c>
      <c r="P720" s="148">
        <v>1000000</v>
      </c>
      <c r="Q720" s="140" t="s">
        <v>465</v>
      </c>
      <c r="R720" s="140" t="s">
        <v>452</v>
      </c>
      <c r="S720" s="140" t="s">
        <v>6743</v>
      </c>
      <c r="T720" s="140" t="s">
        <v>6743</v>
      </c>
      <c r="U720" s="143"/>
      <c r="V720" s="143"/>
      <c r="W720" s="143"/>
      <c r="X720" s="140" t="s">
        <v>6744</v>
      </c>
      <c r="Y720" s="140" t="s">
        <v>6745</v>
      </c>
      <c r="Z720" s="140" t="str">
        <f ca="1">IFERROR(__xludf.DUMMYFUNCTION("IF(VLOOKUP($Y720, IMPORTRANGE(""https://docs.google.com/spreadsheets/d/1WsTKRjz8_fF2119Ff9dhKIIYXSaUEHzuWr8pBkxmwQQ/edit"", ""Form Responses 1!$B:$Z""),1, FALSE)=$Y720,""Yes"",""No"")"),"#N/A")</f>
        <v>#N/A</v>
      </c>
      <c r="AA720" s="140"/>
      <c r="AB720" s="140"/>
    </row>
    <row r="721" spans="1:28">
      <c r="A721" s="144" t="s">
        <v>443</v>
      </c>
      <c r="B721" s="144" t="s">
        <v>6746</v>
      </c>
      <c r="C721" s="144" t="s">
        <v>6747</v>
      </c>
      <c r="D721" s="144" t="s">
        <v>6748</v>
      </c>
      <c r="E721" s="144" t="s">
        <v>6749</v>
      </c>
      <c r="F721" s="144" t="s">
        <v>4</v>
      </c>
      <c r="G721" s="144">
        <v>2.25</v>
      </c>
      <c r="H721" s="144" t="s">
        <v>24</v>
      </c>
      <c r="I721" s="144" t="s">
        <v>727</v>
      </c>
      <c r="J721" s="144" t="s">
        <v>6750</v>
      </c>
      <c r="K721" s="144">
        <v>2.5</v>
      </c>
      <c r="L721" s="144" t="s">
        <v>1045</v>
      </c>
      <c r="M721" s="144" t="s">
        <v>6751</v>
      </c>
      <c r="N721" s="144">
        <v>2</v>
      </c>
      <c r="O721" s="144"/>
      <c r="P721" s="144"/>
      <c r="Q721" s="144" t="s">
        <v>452</v>
      </c>
      <c r="R721" s="144" t="s">
        <v>6289</v>
      </c>
      <c r="S721" s="144"/>
      <c r="T721" s="144"/>
      <c r="U721" s="145"/>
      <c r="V721" s="145"/>
      <c r="W721" s="145"/>
      <c r="X721" s="144" t="s">
        <v>6752</v>
      </c>
      <c r="Y721" s="144" t="s">
        <v>6753</v>
      </c>
      <c r="Z721" s="144" t="str">
        <f ca="1">IFERROR(__xludf.DUMMYFUNCTION("IF(VLOOKUP($Y721, IMPORTRANGE(""https://docs.google.com/spreadsheets/d/1WsTKRjz8_fF2119Ff9dhKIIYXSaUEHzuWr8pBkxmwQQ/edit"", ""Form Responses 1!$B:$Z""),1, FALSE)=$Y721,""Yes"",""No"")"),"#N/A")</f>
        <v>#N/A</v>
      </c>
      <c r="AA721" s="144"/>
      <c r="AB721" s="144"/>
    </row>
    <row r="722" spans="1:28">
      <c r="A722" s="140" t="s">
        <v>443</v>
      </c>
      <c r="B722" s="140" t="s">
        <v>6754</v>
      </c>
      <c r="C722" s="140" t="s">
        <v>6755</v>
      </c>
      <c r="D722" s="140" t="s">
        <v>6756</v>
      </c>
      <c r="E722" s="140" t="s">
        <v>6757</v>
      </c>
      <c r="F722" s="140" t="s">
        <v>4</v>
      </c>
      <c r="G722" s="140">
        <v>2.25</v>
      </c>
      <c r="H722" s="140" t="s">
        <v>24</v>
      </c>
      <c r="I722" s="140" t="s">
        <v>602</v>
      </c>
      <c r="J722" s="140" t="s">
        <v>6758</v>
      </c>
      <c r="K722" s="140">
        <v>2.5</v>
      </c>
      <c r="L722" s="140" t="s">
        <v>1054</v>
      </c>
      <c r="M722" s="140" t="s">
        <v>6759</v>
      </c>
      <c r="N722" s="140">
        <v>2</v>
      </c>
      <c r="O722" s="140"/>
      <c r="P722" s="140"/>
      <c r="Q722" s="140" t="s">
        <v>452</v>
      </c>
      <c r="R722" s="140" t="s">
        <v>6760</v>
      </c>
      <c r="S722" s="140"/>
      <c r="T722" s="140"/>
      <c r="U722" s="143"/>
      <c r="V722" s="143"/>
      <c r="W722" s="143"/>
      <c r="X722" s="140" t="s">
        <v>6761</v>
      </c>
      <c r="Y722" s="140" t="s">
        <v>6762</v>
      </c>
      <c r="Z722" s="140" t="str">
        <f ca="1">IFERROR(__xludf.DUMMYFUNCTION("IF(VLOOKUP($Y722, IMPORTRANGE(""https://docs.google.com/spreadsheets/d/1WsTKRjz8_fF2119Ff9dhKIIYXSaUEHzuWr8pBkxmwQQ/edit"", ""Form Responses 1!$B:$Z""),1, FALSE)=$Y722,""Yes"",""No"")"),"#N/A")</f>
        <v>#N/A</v>
      </c>
      <c r="AA722" s="140"/>
      <c r="AB722" s="140"/>
    </row>
    <row r="723" spans="1:28">
      <c r="A723" s="144" t="s">
        <v>443</v>
      </c>
      <c r="B723" s="144" t="s">
        <v>6763</v>
      </c>
      <c r="C723" s="144" t="s">
        <v>6764</v>
      </c>
      <c r="D723" s="144" t="s">
        <v>6765</v>
      </c>
      <c r="E723" s="144" t="s">
        <v>6766</v>
      </c>
      <c r="F723" s="144" t="s">
        <v>4</v>
      </c>
      <c r="G723" s="144">
        <v>2.25</v>
      </c>
      <c r="H723" s="144" t="s">
        <v>24</v>
      </c>
      <c r="I723" s="144" t="s">
        <v>727</v>
      </c>
      <c r="J723" s="144" t="s">
        <v>6767</v>
      </c>
      <c r="K723" s="144">
        <v>2.5</v>
      </c>
      <c r="L723" s="144" t="s">
        <v>1045</v>
      </c>
      <c r="M723" s="144" t="s">
        <v>6768</v>
      </c>
      <c r="N723" s="144">
        <v>2</v>
      </c>
      <c r="O723" s="144" t="s">
        <v>478</v>
      </c>
      <c r="P723" s="147">
        <v>5000000</v>
      </c>
      <c r="Q723" s="144" t="s">
        <v>465</v>
      </c>
      <c r="R723" s="144" t="s">
        <v>6769</v>
      </c>
      <c r="S723" s="144"/>
      <c r="T723" s="144"/>
      <c r="U723" s="145"/>
      <c r="V723" s="145"/>
      <c r="W723" s="145"/>
      <c r="X723" s="144" t="s">
        <v>2378</v>
      </c>
      <c r="Y723" s="144" t="s">
        <v>6770</v>
      </c>
      <c r="Z723" s="144" t="str">
        <f ca="1">IFERROR(__xludf.DUMMYFUNCTION("IF(VLOOKUP($Y723, IMPORTRANGE(""https://docs.google.com/spreadsheets/d/1WsTKRjz8_fF2119Ff9dhKIIYXSaUEHzuWr8pBkxmwQQ/edit"", ""Form Responses 1!$B:$Z""),1, FALSE)=$Y723,""Yes"",""No"")"),"#N/A")</f>
        <v>#N/A</v>
      </c>
      <c r="AA723" s="144"/>
      <c r="AB723" s="144"/>
    </row>
    <row r="724" spans="1:28">
      <c r="A724" s="140" t="s">
        <v>529</v>
      </c>
      <c r="B724" s="140" t="s">
        <v>6771</v>
      </c>
      <c r="C724" s="140" t="s">
        <v>6772</v>
      </c>
      <c r="D724" s="140" t="s">
        <v>6773</v>
      </c>
      <c r="E724" s="140" t="s">
        <v>6774</v>
      </c>
      <c r="F724" s="140" t="s">
        <v>4</v>
      </c>
      <c r="G724" s="140">
        <v>2.25</v>
      </c>
      <c r="H724" s="140" t="s">
        <v>24</v>
      </c>
      <c r="I724" s="140" t="s">
        <v>447</v>
      </c>
      <c r="J724" s="140" t="s">
        <v>6775</v>
      </c>
      <c r="K724" s="140">
        <v>2.5</v>
      </c>
      <c r="L724" s="140" t="s">
        <v>1298</v>
      </c>
      <c r="M724" s="140" t="s">
        <v>6776</v>
      </c>
      <c r="N724" s="140">
        <v>2</v>
      </c>
      <c r="O724" s="140" t="s">
        <v>451</v>
      </c>
      <c r="P724" s="140">
        <v>2.5</v>
      </c>
      <c r="Q724" s="140" t="s">
        <v>465</v>
      </c>
      <c r="R724" s="140" t="s">
        <v>575</v>
      </c>
      <c r="S724" s="140" t="s">
        <v>6777</v>
      </c>
      <c r="T724" s="140"/>
      <c r="U724" s="143"/>
      <c r="V724" s="143"/>
      <c r="W724" s="143"/>
      <c r="X724" s="140" t="s">
        <v>6778</v>
      </c>
      <c r="Y724" s="140" t="s">
        <v>6779</v>
      </c>
      <c r="Z724" s="140" t="str">
        <f ca="1">IFERROR(__xludf.DUMMYFUNCTION("IF(VLOOKUP($Y724, IMPORTRANGE(""https://docs.google.com/spreadsheets/d/1WsTKRjz8_fF2119Ff9dhKIIYXSaUEHzuWr8pBkxmwQQ/edit"", ""Form Responses 1!$B:$Z""),1, FALSE)=$Y724,""Yes"",""No"")"),"#N/A")</f>
        <v>#N/A</v>
      </c>
      <c r="AA724" s="140"/>
      <c r="AB724" s="140"/>
    </row>
    <row r="725" spans="1:28">
      <c r="A725" s="144" t="s">
        <v>484</v>
      </c>
      <c r="B725" s="144" t="s">
        <v>6780</v>
      </c>
      <c r="C725" s="144" t="s">
        <v>6781</v>
      </c>
      <c r="D725" s="144" t="s">
        <v>6782</v>
      </c>
      <c r="E725" s="144" t="s">
        <v>6783</v>
      </c>
      <c r="F725" s="144" t="s">
        <v>4</v>
      </c>
      <c r="G725" s="144">
        <v>2.25</v>
      </c>
      <c r="H725" s="144" t="s">
        <v>24</v>
      </c>
      <c r="I725" s="144" t="s">
        <v>602</v>
      </c>
      <c r="J725" s="144" t="s">
        <v>6784</v>
      </c>
      <c r="K725" s="144">
        <v>2.5</v>
      </c>
      <c r="L725" s="144" t="s">
        <v>1054</v>
      </c>
      <c r="M725" s="144" t="s">
        <v>6785</v>
      </c>
      <c r="N725" s="144">
        <v>2</v>
      </c>
      <c r="O725" s="144" t="s">
        <v>451</v>
      </c>
      <c r="P725" s="147">
        <v>3000000</v>
      </c>
      <c r="Q725" s="144" t="s">
        <v>452</v>
      </c>
      <c r="R725" s="144" t="s">
        <v>452</v>
      </c>
      <c r="S725" s="144"/>
      <c r="T725" s="144"/>
      <c r="U725" s="145"/>
      <c r="V725" s="145"/>
      <c r="W725" s="145"/>
      <c r="X725" s="144" t="s">
        <v>6786</v>
      </c>
      <c r="Y725" s="144" t="s">
        <v>6787</v>
      </c>
      <c r="Z725" s="144" t="str">
        <f ca="1">IFERROR(__xludf.DUMMYFUNCTION("IF(VLOOKUP($Y725, IMPORTRANGE(""https://docs.google.com/spreadsheets/d/1WsTKRjz8_fF2119Ff9dhKIIYXSaUEHzuWr8pBkxmwQQ/edit"", ""Form Responses 1!$B:$Z""),1, FALSE)=$Y725,""Yes"",""No"")"),"#N/A")</f>
        <v>#N/A</v>
      </c>
      <c r="AA725" s="144"/>
      <c r="AB725" s="144"/>
    </row>
    <row r="726" spans="1:28">
      <c r="A726" s="140" t="s">
        <v>443</v>
      </c>
      <c r="B726" s="140" t="s">
        <v>6788</v>
      </c>
      <c r="C726" s="140" t="s">
        <v>6789</v>
      </c>
      <c r="D726" s="140" t="s">
        <v>6790</v>
      </c>
      <c r="E726" s="140" t="s">
        <v>6791</v>
      </c>
      <c r="F726" s="140" t="s">
        <v>4</v>
      </c>
      <c r="G726" s="140">
        <v>2.25</v>
      </c>
      <c r="H726" s="140" t="s">
        <v>24</v>
      </c>
      <c r="I726" s="140" t="s">
        <v>602</v>
      </c>
      <c r="J726" s="140" t="s">
        <v>6792</v>
      </c>
      <c r="K726" s="140">
        <v>2</v>
      </c>
      <c r="L726" s="140" t="s">
        <v>476</v>
      </c>
      <c r="M726" s="140" t="s">
        <v>6793</v>
      </c>
      <c r="N726" s="140">
        <v>2.5</v>
      </c>
      <c r="O726" s="140" t="s">
        <v>784</v>
      </c>
      <c r="P726" s="140">
        <v>306000</v>
      </c>
      <c r="Q726" s="140" t="s">
        <v>452</v>
      </c>
      <c r="R726" s="140" t="s">
        <v>6794</v>
      </c>
      <c r="S726" s="140"/>
      <c r="T726" s="140"/>
      <c r="U726" s="143"/>
      <c r="V726" s="143"/>
      <c r="W726" s="143"/>
      <c r="X726" s="140" t="s">
        <v>6795</v>
      </c>
      <c r="Y726" s="140" t="s">
        <v>6796</v>
      </c>
      <c r="Z726" s="140" t="str">
        <f ca="1">IFERROR(__xludf.DUMMYFUNCTION("IF(VLOOKUP($Y726, IMPORTRANGE(""https://docs.google.com/spreadsheets/d/1WsTKRjz8_fF2119Ff9dhKIIYXSaUEHzuWr8pBkxmwQQ/edit"", ""Form Responses 1!$B:$Z""),1, FALSE)=$Y726,""Yes"",""No"")"),"#N/A")</f>
        <v>#N/A</v>
      </c>
      <c r="AA726" s="140"/>
      <c r="AB726" s="140"/>
    </row>
    <row r="727" spans="1:28">
      <c r="A727" s="144" t="s">
        <v>484</v>
      </c>
      <c r="B727" s="144" t="s">
        <v>6797</v>
      </c>
      <c r="C727" s="144" t="s">
        <v>6798</v>
      </c>
      <c r="D727" s="144" t="s">
        <v>6799</v>
      </c>
      <c r="E727" s="144" t="s">
        <v>6800</v>
      </c>
      <c r="F727" s="144" t="s">
        <v>4</v>
      </c>
      <c r="G727" s="144">
        <v>2.25</v>
      </c>
      <c r="H727" s="144" t="s">
        <v>24</v>
      </c>
      <c r="I727" s="144" t="s">
        <v>602</v>
      </c>
      <c r="J727" s="144" t="s">
        <v>6801</v>
      </c>
      <c r="K727" s="144">
        <v>2</v>
      </c>
      <c r="L727" s="144" t="s">
        <v>727</v>
      </c>
      <c r="M727" s="144" t="s">
        <v>6802</v>
      </c>
      <c r="N727" s="144">
        <v>2.5</v>
      </c>
      <c r="O727" s="144" t="s">
        <v>784</v>
      </c>
      <c r="P727" s="144">
        <v>500000</v>
      </c>
      <c r="Q727" s="144" t="s">
        <v>452</v>
      </c>
      <c r="R727" s="144" t="s">
        <v>6803</v>
      </c>
      <c r="S727" s="144"/>
      <c r="T727" s="144"/>
      <c r="U727" s="145"/>
      <c r="V727" s="145"/>
      <c r="W727" s="145"/>
      <c r="X727" s="144" t="s">
        <v>6804</v>
      </c>
      <c r="Y727" s="144" t="s">
        <v>6805</v>
      </c>
      <c r="Z727" s="144" t="str">
        <f ca="1">IFERROR(__xludf.DUMMYFUNCTION("IF(VLOOKUP($Y727, IMPORTRANGE(""https://docs.google.com/spreadsheets/d/1WsTKRjz8_fF2119Ff9dhKIIYXSaUEHzuWr8pBkxmwQQ/edit"", ""Form Responses 1!$B:$Z""),1, FALSE)=$Y727,""Yes"",""No"")"),"#N/A")</f>
        <v>#N/A</v>
      </c>
      <c r="AA727" s="144"/>
      <c r="AB727" s="144"/>
    </row>
    <row r="728" spans="1:28">
      <c r="A728" s="140" t="s">
        <v>907</v>
      </c>
      <c r="B728" s="140" t="s">
        <v>6806</v>
      </c>
      <c r="C728" s="140" t="s">
        <v>6807</v>
      </c>
      <c r="D728" s="140" t="s">
        <v>6808</v>
      </c>
      <c r="E728" s="140" t="s">
        <v>6809</v>
      </c>
      <c r="F728" s="140" t="s">
        <v>4</v>
      </c>
      <c r="G728" s="140">
        <v>2.25</v>
      </c>
      <c r="H728" s="140" t="s">
        <v>24</v>
      </c>
      <c r="I728" s="140" t="s">
        <v>1045</v>
      </c>
      <c r="J728" s="140" t="s">
        <v>6810</v>
      </c>
      <c r="K728" s="140">
        <v>2</v>
      </c>
      <c r="L728" s="140" t="s">
        <v>622</v>
      </c>
      <c r="M728" s="140" t="s">
        <v>6811</v>
      </c>
      <c r="N728" s="140">
        <v>2.5</v>
      </c>
      <c r="O728" s="140"/>
      <c r="P728" s="140"/>
      <c r="Q728" s="140" t="s">
        <v>452</v>
      </c>
      <c r="R728" s="140" t="s">
        <v>6812</v>
      </c>
      <c r="S728" s="140" t="s">
        <v>6813</v>
      </c>
      <c r="T728" s="140"/>
      <c r="U728" s="143"/>
      <c r="V728" s="143"/>
      <c r="W728" s="143"/>
      <c r="X728" s="140" t="s">
        <v>1020</v>
      </c>
      <c r="Y728" s="140" t="s">
        <v>6814</v>
      </c>
      <c r="Z728" s="140" t="str">
        <f ca="1">IFERROR(__xludf.DUMMYFUNCTION("IF(VLOOKUP($Y728, IMPORTRANGE(""https://docs.google.com/spreadsheets/d/1WsTKRjz8_fF2119Ff9dhKIIYXSaUEHzuWr8pBkxmwQQ/edit"", ""Form Responses 1!$B:$Z""),1, FALSE)=$Y728,""Yes"",""No"")"),"#N/A")</f>
        <v>#N/A</v>
      </c>
      <c r="AA728" s="140"/>
      <c r="AB728" s="140"/>
    </row>
    <row r="729" spans="1:28">
      <c r="A729" s="144" t="s">
        <v>598</v>
      </c>
      <c r="B729" s="144" t="s">
        <v>6815</v>
      </c>
      <c r="C729" s="144" t="s">
        <v>6816</v>
      </c>
      <c r="D729" s="144" t="s">
        <v>6817</v>
      </c>
      <c r="E729" s="144" t="s">
        <v>6818</v>
      </c>
      <c r="F729" s="144" t="s">
        <v>4</v>
      </c>
      <c r="G729" s="144">
        <v>2.25</v>
      </c>
      <c r="H729" s="144" t="s">
        <v>24</v>
      </c>
      <c r="I729" s="144" t="s">
        <v>727</v>
      </c>
      <c r="J729" s="144" t="s">
        <v>6819</v>
      </c>
      <c r="K729" s="144">
        <v>2</v>
      </c>
      <c r="L729" s="144" t="s">
        <v>1045</v>
      </c>
      <c r="M729" s="144" t="s">
        <v>6820</v>
      </c>
      <c r="N729" s="144">
        <v>2.5</v>
      </c>
      <c r="O729" s="144"/>
      <c r="P729" s="144"/>
      <c r="Q729" s="144" t="s">
        <v>454</v>
      </c>
      <c r="R729" s="144" t="s">
        <v>6821</v>
      </c>
      <c r="S729" s="144" t="s">
        <v>6822</v>
      </c>
      <c r="T729" s="144"/>
      <c r="U729" s="145"/>
      <c r="V729" s="145"/>
      <c r="W729" s="145"/>
      <c r="X729" s="144" t="s">
        <v>6823</v>
      </c>
      <c r="Y729" s="144" t="s">
        <v>6824</v>
      </c>
      <c r="Z729" s="144" t="str">
        <f ca="1">IFERROR(__xludf.DUMMYFUNCTION("IF(VLOOKUP($Y729, IMPORTRANGE(""https://docs.google.com/spreadsheets/d/1WsTKRjz8_fF2119Ff9dhKIIYXSaUEHzuWr8pBkxmwQQ/edit"", ""Form Responses 1!$B:$Z""),1, FALSE)=$Y729,""Yes"",""No"")"),"#N/A")</f>
        <v>#N/A</v>
      </c>
      <c r="AA729" s="144"/>
      <c r="AB729" s="144"/>
    </row>
    <row r="730" spans="1:28">
      <c r="A730" s="140" t="s">
        <v>598</v>
      </c>
      <c r="B730" s="140" t="s">
        <v>6825</v>
      </c>
      <c r="C730" s="140" t="s">
        <v>6826</v>
      </c>
      <c r="D730" s="140" t="s">
        <v>6827</v>
      </c>
      <c r="E730" s="140" t="s">
        <v>6828</v>
      </c>
      <c r="F730" s="140" t="s">
        <v>4</v>
      </c>
      <c r="G730" s="140">
        <v>2.25</v>
      </c>
      <c r="H730" s="140" t="s">
        <v>24</v>
      </c>
      <c r="I730" s="140" t="s">
        <v>725</v>
      </c>
      <c r="J730" s="140" t="s">
        <v>6829</v>
      </c>
      <c r="K730" s="140">
        <v>2.5</v>
      </c>
      <c r="L730" s="140" t="s">
        <v>1045</v>
      </c>
      <c r="M730" s="140" t="s">
        <v>6830</v>
      </c>
      <c r="N730" s="140">
        <v>2</v>
      </c>
      <c r="O730" s="140" t="s">
        <v>451</v>
      </c>
      <c r="P730" s="140">
        <v>2000000</v>
      </c>
      <c r="Q730" s="140" t="s">
        <v>452</v>
      </c>
      <c r="R730" s="140" t="s">
        <v>6831</v>
      </c>
      <c r="S730" s="140"/>
      <c r="T730" s="140"/>
      <c r="U730" s="143"/>
      <c r="V730" s="143"/>
      <c r="W730" s="143"/>
      <c r="X730" s="140" t="s">
        <v>6832</v>
      </c>
      <c r="Y730" s="140" t="s">
        <v>6833</v>
      </c>
      <c r="Z730" s="140" t="str">
        <f ca="1">IFERROR(__xludf.DUMMYFUNCTION("IF(VLOOKUP($Y730, IMPORTRANGE(""https://docs.google.com/spreadsheets/d/1WsTKRjz8_fF2119Ff9dhKIIYXSaUEHzuWr8pBkxmwQQ/edit"", ""Form Responses 1!$B:$Z""),1, FALSE)=$Y730,""Yes"",""No"")"),"#N/A")</f>
        <v>#N/A</v>
      </c>
      <c r="AA730" s="140"/>
      <c r="AB730" s="140"/>
    </row>
    <row r="731" spans="1:28">
      <c r="A731" s="144" t="s">
        <v>484</v>
      </c>
      <c r="B731" s="144" t="s">
        <v>6834</v>
      </c>
      <c r="C731" s="144" t="s">
        <v>6835</v>
      </c>
      <c r="D731" s="144" t="s">
        <v>6836</v>
      </c>
      <c r="E731" s="144" t="s">
        <v>6837</v>
      </c>
      <c r="F731" s="144" t="s">
        <v>4</v>
      </c>
      <c r="G731" s="144">
        <v>2.25</v>
      </c>
      <c r="H731" s="144" t="s">
        <v>24</v>
      </c>
      <c r="I731" s="144" t="s">
        <v>602</v>
      </c>
      <c r="J731" s="144" t="s">
        <v>6838</v>
      </c>
      <c r="K731" s="144">
        <v>2</v>
      </c>
      <c r="L731" s="144" t="s">
        <v>1054</v>
      </c>
      <c r="M731" s="144" t="s">
        <v>6839</v>
      </c>
      <c r="N731" s="144">
        <v>2.5</v>
      </c>
      <c r="O731" s="144"/>
      <c r="P731" s="144"/>
      <c r="Q731" s="144" t="s">
        <v>454</v>
      </c>
      <c r="R731" s="144" t="s">
        <v>452</v>
      </c>
      <c r="S731" s="144"/>
      <c r="T731" s="144"/>
      <c r="U731" s="145"/>
      <c r="V731" s="145"/>
      <c r="W731" s="145"/>
      <c r="X731" s="144" t="s">
        <v>1020</v>
      </c>
      <c r="Y731" s="144" t="s">
        <v>6840</v>
      </c>
      <c r="Z731" s="144" t="str">
        <f ca="1">IFERROR(__xludf.DUMMYFUNCTION("IF(VLOOKUP($Y731, IMPORTRANGE(""https://docs.google.com/spreadsheets/d/1WsTKRjz8_fF2119Ff9dhKIIYXSaUEHzuWr8pBkxmwQQ/edit"", ""Form Responses 1!$B:$Z""),1, FALSE)=$Y731,""Yes"",""No"")"),"#N/A")</f>
        <v>#N/A</v>
      </c>
      <c r="AA731" s="144"/>
      <c r="AB731" s="144"/>
    </row>
    <row r="732" spans="1:28">
      <c r="A732" s="140" t="s">
        <v>471</v>
      </c>
      <c r="B732" s="140" t="s">
        <v>6841</v>
      </c>
      <c r="C732" s="140" t="s">
        <v>6842</v>
      </c>
      <c r="D732" s="140" t="s">
        <v>6843</v>
      </c>
      <c r="E732" s="140" t="s">
        <v>6844</v>
      </c>
      <c r="F732" s="140" t="s">
        <v>4</v>
      </c>
      <c r="G732" s="140">
        <v>2.25</v>
      </c>
      <c r="H732" s="140" t="s">
        <v>24</v>
      </c>
      <c r="I732" s="140" t="s">
        <v>727</v>
      </c>
      <c r="J732" s="140" t="s">
        <v>6845</v>
      </c>
      <c r="K732" s="140">
        <v>2.5</v>
      </c>
      <c r="L732" s="140" t="s">
        <v>1054</v>
      </c>
      <c r="M732" s="140" t="s">
        <v>6846</v>
      </c>
      <c r="N732" s="140">
        <v>2</v>
      </c>
      <c r="O732" s="140" t="s">
        <v>451</v>
      </c>
      <c r="P732" s="140">
        <v>2000000</v>
      </c>
      <c r="Q732" s="140" t="s">
        <v>452</v>
      </c>
      <c r="R732" s="140" t="s">
        <v>6847</v>
      </c>
      <c r="S732" s="140"/>
      <c r="T732" s="140"/>
      <c r="U732" s="143"/>
      <c r="V732" s="143"/>
      <c r="W732" s="143"/>
      <c r="X732" s="140" t="s">
        <v>3522</v>
      </c>
      <c r="Y732" s="140" t="s">
        <v>6848</v>
      </c>
      <c r="Z732" s="140" t="str">
        <f ca="1">IFERROR(__xludf.DUMMYFUNCTION("IF(VLOOKUP($Y732, IMPORTRANGE(""https://docs.google.com/spreadsheets/d/1WsTKRjz8_fF2119Ff9dhKIIYXSaUEHzuWr8pBkxmwQQ/edit"", ""Form Responses 1!$B:$Z""),1, FALSE)=$Y732,""Yes"",""No"")"),"#N/A")</f>
        <v>#N/A</v>
      </c>
      <c r="AA732" s="140"/>
      <c r="AB732" s="140"/>
    </row>
    <row r="733" spans="1:28">
      <c r="A733" s="144" t="s">
        <v>907</v>
      </c>
      <c r="B733" s="144" t="s">
        <v>6849</v>
      </c>
      <c r="C733" s="144" t="s">
        <v>6850</v>
      </c>
      <c r="D733" s="144" t="s">
        <v>6851</v>
      </c>
      <c r="E733" s="144" t="s">
        <v>6852</v>
      </c>
      <c r="F733" s="144" t="s">
        <v>4</v>
      </c>
      <c r="G733" s="144">
        <v>2.25</v>
      </c>
      <c r="H733" s="144" t="s">
        <v>24</v>
      </c>
      <c r="I733" s="144" t="s">
        <v>602</v>
      </c>
      <c r="J733" s="144" t="s">
        <v>6853</v>
      </c>
      <c r="K733" s="144">
        <v>3.5</v>
      </c>
      <c r="L733" s="144" t="s">
        <v>1457</v>
      </c>
      <c r="M733" s="144" t="s">
        <v>6854</v>
      </c>
      <c r="N733" s="144">
        <v>1</v>
      </c>
      <c r="O733" s="144"/>
      <c r="P733" s="144"/>
      <c r="Q733" s="144" t="s">
        <v>452</v>
      </c>
      <c r="R733" s="144" t="s">
        <v>452</v>
      </c>
      <c r="S733" s="144" t="s">
        <v>725</v>
      </c>
      <c r="T733" s="144" t="s">
        <v>6855</v>
      </c>
      <c r="U733" s="145"/>
      <c r="V733" s="145"/>
      <c r="W733" s="145"/>
      <c r="X733" s="144" t="s">
        <v>6856</v>
      </c>
      <c r="Y733" s="144" t="s">
        <v>6857</v>
      </c>
      <c r="Z733" s="144" t="str">
        <f ca="1">IFERROR(__xludf.DUMMYFUNCTION("IF(VLOOKUP($Y733, IMPORTRANGE(""https://docs.google.com/spreadsheets/d/1WsTKRjz8_fF2119Ff9dhKIIYXSaUEHzuWr8pBkxmwQQ/edit"", ""Form Responses 1!$B:$Z""),1, FALSE)=$Y733,""Yes"",""No"")"),"#N/A")</f>
        <v>#N/A</v>
      </c>
      <c r="AA733" s="144"/>
      <c r="AB733" s="144"/>
    </row>
    <row r="734" spans="1:28">
      <c r="A734" s="140" t="s">
        <v>529</v>
      </c>
      <c r="B734" s="140" t="s">
        <v>6858</v>
      </c>
      <c r="C734" s="140" t="s">
        <v>6859</v>
      </c>
      <c r="D734" s="140" t="s">
        <v>6860</v>
      </c>
      <c r="E734" s="140" t="s">
        <v>6861</v>
      </c>
      <c r="F734" s="140" t="s">
        <v>4</v>
      </c>
      <c r="G734" s="140">
        <v>2.25</v>
      </c>
      <c r="H734" s="140" t="s">
        <v>24</v>
      </c>
      <c r="I734" s="140" t="s">
        <v>725</v>
      </c>
      <c r="J734" s="140" t="s">
        <v>6862</v>
      </c>
      <c r="K734" s="140">
        <v>2.5</v>
      </c>
      <c r="L734" s="140" t="s">
        <v>4054</v>
      </c>
      <c r="M734" s="140"/>
      <c r="N734" s="140">
        <v>2</v>
      </c>
      <c r="O734" s="140"/>
      <c r="P734" s="140"/>
      <c r="Q734" s="140" t="s">
        <v>452</v>
      </c>
      <c r="R734" s="140" t="s">
        <v>452</v>
      </c>
      <c r="S734" s="140"/>
      <c r="T734" s="140"/>
      <c r="U734" s="143"/>
      <c r="V734" s="143"/>
      <c r="W734" s="143"/>
      <c r="X734" s="140" t="s">
        <v>6863</v>
      </c>
      <c r="Y734" s="140" t="s">
        <v>6864</v>
      </c>
      <c r="Z734" s="140" t="str">
        <f ca="1">IFERROR(__xludf.DUMMYFUNCTION("IF(VLOOKUP($Y734, IMPORTRANGE(""https://docs.google.com/spreadsheets/d/1WsTKRjz8_fF2119Ff9dhKIIYXSaUEHzuWr8pBkxmwQQ/edit"", ""Form Responses 1!$B:$Z""),1, FALSE)=$Y734,""Yes"",""No"")"),"#N/A")</f>
        <v>#N/A</v>
      </c>
      <c r="AA734" s="140"/>
      <c r="AB734" s="140"/>
    </row>
    <row r="735" spans="1:28">
      <c r="A735" s="144" t="s">
        <v>907</v>
      </c>
      <c r="B735" s="144" t="s">
        <v>6865</v>
      </c>
      <c r="C735" s="144" t="s">
        <v>6866</v>
      </c>
      <c r="D735" s="144" t="s">
        <v>6867</v>
      </c>
      <c r="E735" s="144" t="s">
        <v>6868</v>
      </c>
      <c r="F735" s="144" t="s">
        <v>4</v>
      </c>
      <c r="G735" s="144">
        <v>2.25</v>
      </c>
      <c r="H735" s="144" t="s">
        <v>24</v>
      </c>
      <c r="I735" s="144" t="s">
        <v>1045</v>
      </c>
      <c r="J735" s="144" t="s">
        <v>6869</v>
      </c>
      <c r="K735" s="144">
        <v>2</v>
      </c>
      <c r="L735" s="144" t="s">
        <v>462</v>
      </c>
      <c r="M735" s="144" t="s">
        <v>6870</v>
      </c>
      <c r="N735" s="144">
        <v>2.5</v>
      </c>
      <c r="O735" s="144" t="s">
        <v>784</v>
      </c>
      <c r="P735" s="144">
        <v>180000</v>
      </c>
      <c r="Q735" s="144" t="s">
        <v>452</v>
      </c>
      <c r="R735" s="144" t="s">
        <v>6871</v>
      </c>
      <c r="S735" s="144"/>
      <c r="T735" s="144"/>
      <c r="U735" s="145"/>
      <c r="V735" s="145"/>
      <c r="W735" s="145"/>
      <c r="X735" s="144" t="s">
        <v>3522</v>
      </c>
      <c r="Y735" s="144" t="s">
        <v>6872</v>
      </c>
      <c r="Z735" s="144" t="str">
        <f ca="1">IFERROR(__xludf.DUMMYFUNCTION("IF(VLOOKUP($Y735, IMPORTRANGE(""https://docs.google.com/spreadsheets/d/1WsTKRjz8_fF2119Ff9dhKIIYXSaUEHzuWr8pBkxmwQQ/edit"", ""Form Responses 1!$B:$Z""),1, FALSE)=$Y735,""Yes"",""No"")"),"#N/A")</f>
        <v>#N/A</v>
      </c>
      <c r="AA735" s="144"/>
      <c r="AB735" s="144"/>
    </row>
    <row r="736" spans="1:28">
      <c r="A736" s="140" t="s">
        <v>907</v>
      </c>
      <c r="B736" s="140" t="s">
        <v>6873</v>
      </c>
      <c r="C736" s="140" t="s">
        <v>6874</v>
      </c>
      <c r="D736" s="140" t="s">
        <v>6875</v>
      </c>
      <c r="E736" s="140" t="s">
        <v>6876</v>
      </c>
      <c r="F736" s="140" t="s">
        <v>4</v>
      </c>
      <c r="G736" s="140">
        <v>2.25</v>
      </c>
      <c r="H736" s="140" t="s">
        <v>24</v>
      </c>
      <c r="I736" s="140" t="s">
        <v>727</v>
      </c>
      <c r="J736" s="140" t="s">
        <v>6877</v>
      </c>
      <c r="K736" s="140">
        <v>2.5</v>
      </c>
      <c r="L736" s="140" t="s">
        <v>543</v>
      </c>
      <c r="M736" s="140" t="s">
        <v>6878</v>
      </c>
      <c r="N736" s="140">
        <v>2</v>
      </c>
      <c r="O736" s="140" t="s">
        <v>784</v>
      </c>
      <c r="P736" s="140">
        <v>720000</v>
      </c>
      <c r="Q736" s="140" t="s">
        <v>452</v>
      </c>
      <c r="R736" s="140" t="s">
        <v>6879</v>
      </c>
      <c r="S736" s="140"/>
      <c r="T736" s="140"/>
      <c r="U736" s="143"/>
      <c r="V736" s="143"/>
      <c r="W736" s="143"/>
      <c r="X736" s="140" t="s">
        <v>6880</v>
      </c>
      <c r="Y736" s="140" t="s">
        <v>6881</v>
      </c>
      <c r="Z736" s="140" t="str">
        <f ca="1">IFERROR(__xludf.DUMMYFUNCTION("IF(VLOOKUP($Y736, IMPORTRANGE(""https://docs.google.com/spreadsheets/d/1WsTKRjz8_fF2119Ff9dhKIIYXSaUEHzuWr8pBkxmwQQ/edit"", ""Form Responses 1!$B:$Z""),1, FALSE)=$Y736,""Yes"",""No"")"),"#N/A")</f>
        <v>#N/A</v>
      </c>
      <c r="AA736" s="140"/>
      <c r="AB736" s="140"/>
    </row>
    <row r="737" spans="1:28">
      <c r="A737" s="144" t="s">
        <v>907</v>
      </c>
      <c r="B737" s="144" t="s">
        <v>6882</v>
      </c>
      <c r="C737" s="144" t="s">
        <v>6883</v>
      </c>
      <c r="D737" s="144" t="s">
        <v>6884</v>
      </c>
      <c r="E737" s="144" t="s">
        <v>6885</v>
      </c>
      <c r="F737" s="144" t="s">
        <v>4</v>
      </c>
      <c r="G737" s="144">
        <v>2.25</v>
      </c>
      <c r="H737" s="144" t="s">
        <v>24</v>
      </c>
      <c r="I737" s="144" t="s">
        <v>602</v>
      </c>
      <c r="J737" s="144" t="s">
        <v>6886</v>
      </c>
      <c r="K737" s="144">
        <v>2.5</v>
      </c>
      <c r="L737" s="144" t="s">
        <v>543</v>
      </c>
      <c r="M737" s="144" t="s">
        <v>6887</v>
      </c>
      <c r="N737" s="144">
        <v>2</v>
      </c>
      <c r="O737" s="144" t="s">
        <v>6888</v>
      </c>
      <c r="P737" s="144" t="s">
        <v>6889</v>
      </c>
      <c r="Q737" s="144" t="s">
        <v>452</v>
      </c>
      <c r="R737" s="144" t="s">
        <v>452</v>
      </c>
      <c r="S737" s="144" t="s">
        <v>585</v>
      </c>
      <c r="T737" s="144"/>
      <c r="U737" s="145"/>
      <c r="V737" s="145"/>
      <c r="W737" s="145"/>
      <c r="X737" s="144" t="s">
        <v>6890</v>
      </c>
      <c r="Y737" s="144" t="s">
        <v>6891</v>
      </c>
      <c r="Z737" s="144" t="str">
        <f ca="1">IFERROR(__xludf.DUMMYFUNCTION("IF(VLOOKUP($Y737, IMPORTRANGE(""https://docs.google.com/spreadsheets/d/1WsTKRjz8_fF2119Ff9dhKIIYXSaUEHzuWr8pBkxmwQQ/edit"", ""Form Responses 1!$B:$Z""),1, FALSE)=$Y737,""Yes"",""No"")"),"#N/A")</f>
        <v>#N/A</v>
      </c>
      <c r="AA737" s="144"/>
      <c r="AB737" s="144"/>
    </row>
    <row r="738" spans="1:28">
      <c r="A738" s="140" t="s">
        <v>484</v>
      </c>
      <c r="B738" s="140" t="s">
        <v>6892</v>
      </c>
      <c r="C738" s="140" t="s">
        <v>6893</v>
      </c>
      <c r="D738" s="140" t="s">
        <v>6894</v>
      </c>
      <c r="E738" s="140" t="s">
        <v>6895</v>
      </c>
      <c r="F738" s="140" t="s">
        <v>4</v>
      </c>
      <c r="G738" s="140">
        <v>2.25</v>
      </c>
      <c r="H738" s="140" t="s">
        <v>24</v>
      </c>
      <c r="I738" s="140" t="s">
        <v>602</v>
      </c>
      <c r="J738" s="140" t="s">
        <v>6896</v>
      </c>
      <c r="K738" s="140">
        <v>2</v>
      </c>
      <c r="L738" s="140" t="s">
        <v>727</v>
      </c>
      <c r="M738" s="140" t="s">
        <v>6897</v>
      </c>
      <c r="N738" s="140">
        <v>2.5</v>
      </c>
      <c r="O738" s="140" t="s">
        <v>451</v>
      </c>
      <c r="P738" s="142">
        <v>4000000</v>
      </c>
      <c r="Q738" s="140" t="s">
        <v>465</v>
      </c>
      <c r="R738" s="140" t="s">
        <v>575</v>
      </c>
      <c r="S738" s="140"/>
      <c r="T738" s="140"/>
      <c r="U738" s="143"/>
      <c r="V738" s="143"/>
      <c r="W738" s="143"/>
      <c r="X738" s="140" t="s">
        <v>6898</v>
      </c>
      <c r="Y738" s="140" t="s">
        <v>6899</v>
      </c>
      <c r="Z738" s="140" t="str">
        <f ca="1">IFERROR(__xludf.DUMMYFUNCTION("IF(VLOOKUP($Y738, IMPORTRANGE(""https://docs.google.com/spreadsheets/d/1WsTKRjz8_fF2119Ff9dhKIIYXSaUEHzuWr8pBkxmwQQ/edit"", ""Form Responses 1!$B:$Z""),1, FALSE)=$Y738,""Yes"",""No"")"),"#N/A")</f>
        <v>#N/A</v>
      </c>
      <c r="AA738" s="140"/>
      <c r="AB738" s="140"/>
    </row>
    <row r="739" spans="1:28">
      <c r="A739" s="144" t="s">
        <v>443</v>
      </c>
      <c r="B739" s="144" t="s">
        <v>6900</v>
      </c>
      <c r="C739" s="144" t="s">
        <v>6901</v>
      </c>
      <c r="D739" s="144" t="s">
        <v>6902</v>
      </c>
      <c r="E739" s="144" t="s">
        <v>6903</v>
      </c>
      <c r="F739" s="144" t="s">
        <v>4</v>
      </c>
      <c r="G739" s="144">
        <v>2.25</v>
      </c>
      <c r="H739" s="144" t="s">
        <v>24</v>
      </c>
      <c r="I739" s="144" t="s">
        <v>727</v>
      </c>
      <c r="J739" s="144" t="s">
        <v>6904</v>
      </c>
      <c r="K739" s="144">
        <v>2.5</v>
      </c>
      <c r="L739" s="144" t="s">
        <v>1045</v>
      </c>
      <c r="M739" s="144" t="s">
        <v>6905</v>
      </c>
      <c r="N739" s="144">
        <v>2</v>
      </c>
      <c r="O739" s="144"/>
      <c r="P739" s="144"/>
      <c r="Q739" s="144" t="s">
        <v>452</v>
      </c>
      <c r="R739" s="144" t="s">
        <v>1119</v>
      </c>
      <c r="S739" s="144" t="s">
        <v>6906</v>
      </c>
      <c r="T739" s="144"/>
      <c r="U739" s="145"/>
      <c r="V739" s="145"/>
      <c r="W739" s="145"/>
      <c r="X739" s="144" t="s">
        <v>2858</v>
      </c>
      <c r="Y739" s="144" t="s">
        <v>6907</v>
      </c>
      <c r="Z739" s="144" t="str">
        <f ca="1">IFERROR(__xludf.DUMMYFUNCTION("IF(VLOOKUP($Y739, IMPORTRANGE(""https://docs.google.com/spreadsheets/d/1WsTKRjz8_fF2119Ff9dhKIIYXSaUEHzuWr8pBkxmwQQ/edit"", ""Form Responses 1!$B:$Z""),1, FALSE)=$Y739,""Yes"",""No"")"),"#N/A")</f>
        <v>#N/A</v>
      </c>
      <c r="AA739" s="144"/>
      <c r="AB739" s="144"/>
    </row>
    <row r="740" spans="1:28">
      <c r="A740" s="140" t="s">
        <v>443</v>
      </c>
      <c r="B740" s="140" t="s">
        <v>6908</v>
      </c>
      <c r="C740" s="140" t="s">
        <v>6909</v>
      </c>
      <c r="D740" s="140" t="s">
        <v>6910</v>
      </c>
      <c r="E740" s="140" t="s">
        <v>6911</v>
      </c>
      <c r="F740" s="140" t="s">
        <v>4</v>
      </c>
      <c r="G740" s="140">
        <v>2.25</v>
      </c>
      <c r="H740" s="140" t="s">
        <v>24</v>
      </c>
      <c r="I740" s="140" t="s">
        <v>602</v>
      </c>
      <c r="J740" s="140" t="s">
        <v>6912</v>
      </c>
      <c r="K740" s="140">
        <v>2</v>
      </c>
      <c r="L740" s="140" t="s">
        <v>1054</v>
      </c>
      <c r="M740" s="140" t="s">
        <v>6913</v>
      </c>
      <c r="N740" s="140">
        <v>2.5</v>
      </c>
      <c r="O740" s="140"/>
      <c r="P740" s="140"/>
      <c r="Q740" s="140" t="s">
        <v>452</v>
      </c>
      <c r="R740" s="140" t="s">
        <v>6914</v>
      </c>
      <c r="S740" s="140"/>
      <c r="T740" s="140"/>
      <c r="U740" s="143"/>
      <c r="V740" s="143"/>
      <c r="W740" s="143"/>
      <c r="X740" s="140" t="s">
        <v>6915</v>
      </c>
      <c r="Y740" s="140" t="s">
        <v>6916</v>
      </c>
      <c r="Z740" s="140" t="str">
        <f ca="1">IFERROR(__xludf.DUMMYFUNCTION("IF(VLOOKUP($Y740, IMPORTRANGE(""https://docs.google.com/spreadsheets/d/1WsTKRjz8_fF2119Ff9dhKIIYXSaUEHzuWr8pBkxmwQQ/edit"", ""Form Responses 1!$B:$Z""),1, FALSE)=$Y740,""Yes"",""No"")"),"#N/A")</f>
        <v>#N/A</v>
      </c>
      <c r="AA740" s="140"/>
      <c r="AB740" s="140"/>
    </row>
    <row r="741" spans="1:28">
      <c r="A741" s="144" t="s">
        <v>484</v>
      </c>
      <c r="B741" s="144" t="s">
        <v>6917</v>
      </c>
      <c r="C741" s="144" t="s">
        <v>6918</v>
      </c>
      <c r="D741" s="144" t="s">
        <v>6919</v>
      </c>
      <c r="E741" s="144" t="s">
        <v>6920</v>
      </c>
      <c r="F741" s="144" t="s">
        <v>4</v>
      </c>
      <c r="G741" s="144">
        <v>2.25</v>
      </c>
      <c r="H741" s="144" t="s">
        <v>24</v>
      </c>
      <c r="I741" s="144" t="s">
        <v>727</v>
      </c>
      <c r="J741" s="144"/>
      <c r="K741" s="144">
        <v>2.5</v>
      </c>
      <c r="L741" s="144" t="s">
        <v>1054</v>
      </c>
      <c r="M741" s="144" t="s">
        <v>6921</v>
      </c>
      <c r="N741" s="144">
        <v>2</v>
      </c>
      <c r="O741" s="144" t="s">
        <v>478</v>
      </c>
      <c r="P741" s="144">
        <v>2000000</v>
      </c>
      <c r="Q741" s="144" t="s">
        <v>454</v>
      </c>
      <c r="R741" s="144" t="s">
        <v>6922</v>
      </c>
      <c r="S741" s="144"/>
      <c r="T741" s="144"/>
      <c r="U741" s="145"/>
      <c r="V741" s="145"/>
      <c r="W741" s="145"/>
      <c r="X741" s="144" t="s">
        <v>6923</v>
      </c>
      <c r="Y741" s="144" t="s">
        <v>6924</v>
      </c>
      <c r="Z741" s="144" t="str">
        <f ca="1">IFERROR(__xludf.DUMMYFUNCTION("IF(VLOOKUP($Y741, IMPORTRANGE(""https://docs.google.com/spreadsheets/d/1WsTKRjz8_fF2119Ff9dhKIIYXSaUEHzuWr8pBkxmwQQ/edit"", ""Form Responses 1!$B:$Z""),1, FALSE)=$Y741,""Yes"",""No"")"),"#N/A")</f>
        <v>#N/A</v>
      </c>
      <c r="AA741" s="144"/>
      <c r="AB741" s="144"/>
    </row>
    <row r="742" spans="1:28">
      <c r="A742" s="140" t="s">
        <v>529</v>
      </c>
      <c r="B742" s="140" t="s">
        <v>6925</v>
      </c>
      <c r="C742" s="140" t="s">
        <v>6926</v>
      </c>
      <c r="D742" s="140" t="s">
        <v>6927</v>
      </c>
      <c r="E742" s="140" t="s">
        <v>6928</v>
      </c>
      <c r="F742" s="140" t="s">
        <v>4</v>
      </c>
      <c r="G742" s="140">
        <v>2.25</v>
      </c>
      <c r="H742" s="140" t="s">
        <v>24</v>
      </c>
      <c r="I742" s="140" t="s">
        <v>727</v>
      </c>
      <c r="J742" s="140"/>
      <c r="K742" s="140">
        <v>2.5</v>
      </c>
      <c r="L742" s="140" t="s">
        <v>1045</v>
      </c>
      <c r="M742" s="140" t="s">
        <v>6929</v>
      </c>
      <c r="N742" s="140">
        <v>2</v>
      </c>
      <c r="O742" s="140"/>
      <c r="P742" s="140"/>
      <c r="Q742" s="140" t="s">
        <v>452</v>
      </c>
      <c r="R742" s="140" t="s">
        <v>6930</v>
      </c>
      <c r="S742" s="140"/>
      <c r="T742" s="140"/>
      <c r="U742" s="143"/>
      <c r="V742" s="143"/>
      <c r="W742" s="143"/>
      <c r="X742" s="140" t="s">
        <v>1198</v>
      </c>
      <c r="Y742" s="140" t="s">
        <v>6931</v>
      </c>
      <c r="Z742" s="140" t="str">
        <f ca="1">IFERROR(__xludf.DUMMYFUNCTION("IF(VLOOKUP($Y742, IMPORTRANGE(""https://docs.google.com/spreadsheets/d/1WsTKRjz8_fF2119Ff9dhKIIYXSaUEHzuWr8pBkxmwQQ/edit"", ""Form Responses 1!$B:$Z""),1, FALSE)=$Y742,""Yes"",""No"")"),"#N/A")</f>
        <v>#N/A</v>
      </c>
      <c r="AA742" s="140"/>
      <c r="AB742" s="140"/>
    </row>
    <row r="743" spans="1:28">
      <c r="A743" s="144" t="s">
        <v>471</v>
      </c>
      <c r="B743" s="144" t="s">
        <v>6932</v>
      </c>
      <c r="C743" s="144" t="s">
        <v>6933</v>
      </c>
      <c r="D743" s="144" t="s">
        <v>6934</v>
      </c>
      <c r="E743" s="144" t="s">
        <v>6935</v>
      </c>
      <c r="F743" s="144" t="s">
        <v>4</v>
      </c>
      <c r="G743" s="144">
        <v>2</v>
      </c>
      <c r="H743" s="144" t="s">
        <v>24</v>
      </c>
      <c r="I743" s="144" t="s">
        <v>602</v>
      </c>
      <c r="J743" s="144" t="s">
        <v>6936</v>
      </c>
      <c r="K743" s="144">
        <v>2</v>
      </c>
      <c r="L743" s="144" t="s">
        <v>1054</v>
      </c>
      <c r="M743" s="144"/>
      <c r="N743" s="144">
        <v>2</v>
      </c>
      <c r="O743" s="144" t="s">
        <v>784</v>
      </c>
      <c r="P743" s="144">
        <v>300000</v>
      </c>
      <c r="Q743" s="144" t="s">
        <v>452</v>
      </c>
      <c r="R743" s="144" t="s">
        <v>6937</v>
      </c>
      <c r="S743" s="144"/>
      <c r="T743" s="144"/>
      <c r="U743" s="145"/>
      <c r="V743" s="145"/>
      <c r="W743" s="145"/>
      <c r="X743" s="144" t="s">
        <v>6938</v>
      </c>
      <c r="Y743" s="144" t="s">
        <v>6939</v>
      </c>
      <c r="Z743" s="144" t="str">
        <f ca="1">IFERROR(__xludf.DUMMYFUNCTION("IF(VLOOKUP($Y743, IMPORTRANGE(""https://docs.google.com/spreadsheets/d/1WsTKRjz8_fF2119Ff9dhKIIYXSaUEHzuWr8pBkxmwQQ/edit"", ""Form Responses 1!$B:$Z""),1, FALSE)=$Y743,""Yes"",""No"")"),"#N/A")</f>
        <v>#N/A</v>
      </c>
      <c r="AA743" s="144"/>
      <c r="AB743" s="144"/>
    </row>
    <row r="744" spans="1:28">
      <c r="A744" s="140" t="s">
        <v>529</v>
      </c>
      <c r="B744" s="140" t="s">
        <v>6940</v>
      </c>
      <c r="C744" s="140" t="s">
        <v>6941</v>
      </c>
      <c r="D744" s="140" t="s">
        <v>6942</v>
      </c>
      <c r="E744" s="140" t="s">
        <v>6943</v>
      </c>
      <c r="F744" s="140" t="s">
        <v>4</v>
      </c>
      <c r="G744" s="140">
        <v>2</v>
      </c>
      <c r="H744" s="140" t="s">
        <v>24</v>
      </c>
      <c r="I744" s="140" t="s">
        <v>725</v>
      </c>
      <c r="J744" s="140" t="s">
        <v>6944</v>
      </c>
      <c r="K744" s="140">
        <v>2</v>
      </c>
      <c r="L744" s="140" t="s">
        <v>1045</v>
      </c>
      <c r="M744" s="140" t="s">
        <v>6945</v>
      </c>
      <c r="N744" s="140">
        <v>2</v>
      </c>
      <c r="O744" s="140"/>
      <c r="P744" s="140"/>
      <c r="Q744" s="140" t="s">
        <v>454</v>
      </c>
      <c r="R744" s="140" t="s">
        <v>452</v>
      </c>
      <c r="S744" s="140"/>
      <c r="T744" s="140"/>
      <c r="U744" s="143"/>
      <c r="V744" s="143"/>
      <c r="W744" s="143"/>
      <c r="X744" s="140" t="s">
        <v>6946</v>
      </c>
      <c r="Y744" s="140" t="s">
        <v>6947</v>
      </c>
      <c r="Z744" s="140" t="str">
        <f ca="1">IFERROR(__xludf.DUMMYFUNCTION("IF(VLOOKUP($Y744, IMPORTRANGE(""https://docs.google.com/spreadsheets/d/1WsTKRjz8_fF2119Ff9dhKIIYXSaUEHzuWr8pBkxmwQQ/edit"", ""Form Responses 1!$B:$Z""),1, FALSE)=$Y744,""Yes"",""No"")"),"#N/A")</f>
        <v>#N/A</v>
      </c>
      <c r="AA744" s="140"/>
      <c r="AB744" s="140"/>
    </row>
    <row r="745" spans="1:28">
      <c r="A745" s="144" t="s">
        <v>598</v>
      </c>
      <c r="B745" s="144" t="s">
        <v>6948</v>
      </c>
      <c r="C745" s="144" t="s">
        <v>6949</v>
      </c>
      <c r="D745" s="144" t="s">
        <v>6950</v>
      </c>
      <c r="E745" s="144" t="s">
        <v>6951</v>
      </c>
      <c r="F745" s="144" t="s">
        <v>4</v>
      </c>
      <c r="G745" s="144">
        <v>2</v>
      </c>
      <c r="H745" s="144" t="s">
        <v>24</v>
      </c>
      <c r="I745" s="144" t="s">
        <v>725</v>
      </c>
      <c r="J745" s="144" t="s">
        <v>6952</v>
      </c>
      <c r="K745" s="144">
        <v>2</v>
      </c>
      <c r="L745" s="144" t="s">
        <v>1045</v>
      </c>
      <c r="M745" s="144" t="s">
        <v>6953</v>
      </c>
      <c r="N745" s="144">
        <v>2</v>
      </c>
      <c r="O745" s="144" t="s">
        <v>478</v>
      </c>
      <c r="P745" s="144">
        <v>500000</v>
      </c>
      <c r="Q745" s="144" t="s">
        <v>465</v>
      </c>
      <c r="R745" s="144" t="s">
        <v>452</v>
      </c>
      <c r="S745" s="144"/>
      <c r="T745" s="144"/>
      <c r="U745" s="145"/>
      <c r="V745" s="145"/>
      <c r="W745" s="145"/>
      <c r="X745" s="144" t="s">
        <v>3740</v>
      </c>
      <c r="Y745" s="144" t="s">
        <v>6954</v>
      </c>
      <c r="Z745" s="144" t="str">
        <f ca="1">IFERROR(__xludf.DUMMYFUNCTION("IF(VLOOKUP($Y745, IMPORTRANGE(""https://docs.google.com/spreadsheets/d/1WsTKRjz8_fF2119Ff9dhKIIYXSaUEHzuWr8pBkxmwQQ/edit"", ""Form Responses 1!$B:$Z""),1, FALSE)=$Y745,""Yes"",""No"")"),"#N/A")</f>
        <v>#N/A</v>
      </c>
      <c r="AA745" s="144"/>
      <c r="AB745" s="144"/>
    </row>
    <row r="746" spans="1:28">
      <c r="A746" s="140" t="s">
        <v>484</v>
      </c>
      <c r="B746" s="140" t="s">
        <v>6955</v>
      </c>
      <c r="C746" s="140" t="s">
        <v>6956</v>
      </c>
      <c r="D746" s="140" t="s">
        <v>6957</v>
      </c>
      <c r="E746" s="140" t="s">
        <v>6958</v>
      </c>
      <c r="F746" s="140" t="s">
        <v>4</v>
      </c>
      <c r="G746" s="140">
        <v>2</v>
      </c>
      <c r="H746" s="140" t="s">
        <v>24</v>
      </c>
      <c r="I746" s="140" t="s">
        <v>727</v>
      </c>
      <c r="J746" s="140" t="s">
        <v>6959</v>
      </c>
      <c r="K746" s="140">
        <v>2</v>
      </c>
      <c r="L746" s="140" t="s">
        <v>1054</v>
      </c>
      <c r="M746" s="140" t="s">
        <v>6960</v>
      </c>
      <c r="N746" s="140">
        <v>2</v>
      </c>
      <c r="O746" s="140"/>
      <c r="P746" s="140"/>
      <c r="Q746" s="140" t="s">
        <v>454</v>
      </c>
      <c r="R746" s="140" t="s">
        <v>6961</v>
      </c>
      <c r="S746" s="140"/>
      <c r="T746" s="140"/>
      <c r="U746" s="143"/>
      <c r="V746" s="143"/>
      <c r="W746" s="143"/>
      <c r="X746" s="140" t="s">
        <v>6962</v>
      </c>
      <c r="Y746" s="140" t="s">
        <v>6963</v>
      </c>
      <c r="Z746" s="140" t="str">
        <f ca="1">IFERROR(__xludf.DUMMYFUNCTION("IF(VLOOKUP($Y746, IMPORTRANGE(""https://docs.google.com/spreadsheets/d/1WsTKRjz8_fF2119Ff9dhKIIYXSaUEHzuWr8pBkxmwQQ/edit"", ""Form Responses 1!$B:$Z""),1, FALSE)=$Y746,""Yes"",""No"")"),"#N/A")</f>
        <v>#N/A</v>
      </c>
      <c r="AA746" s="140"/>
      <c r="AB746" s="140"/>
    </row>
    <row r="747" spans="1:28">
      <c r="A747" s="144" t="s">
        <v>484</v>
      </c>
      <c r="B747" s="144" t="s">
        <v>6964</v>
      </c>
      <c r="C747" s="144" t="s">
        <v>6965</v>
      </c>
      <c r="D747" s="144" t="s">
        <v>6966</v>
      </c>
      <c r="E747" s="144" t="s">
        <v>6967</v>
      </c>
      <c r="F747" s="144" t="s">
        <v>4</v>
      </c>
      <c r="G747" s="144">
        <v>2</v>
      </c>
      <c r="H747" s="144" t="s">
        <v>24</v>
      </c>
      <c r="I747" s="144" t="s">
        <v>725</v>
      </c>
      <c r="J747" s="144" t="s">
        <v>6968</v>
      </c>
      <c r="K747" s="144">
        <v>2</v>
      </c>
      <c r="L747" s="144" t="s">
        <v>1054</v>
      </c>
      <c r="M747" s="144" t="s">
        <v>6969</v>
      </c>
      <c r="N747" s="144">
        <v>2</v>
      </c>
      <c r="O747" s="144" t="s">
        <v>784</v>
      </c>
      <c r="P747" s="146">
        <v>500000</v>
      </c>
      <c r="Q747" s="144" t="s">
        <v>452</v>
      </c>
      <c r="R747" s="144" t="s">
        <v>6970</v>
      </c>
      <c r="S747" s="144"/>
      <c r="T747" s="144"/>
      <c r="U747" s="145"/>
      <c r="V747" s="145"/>
      <c r="W747" s="145"/>
      <c r="X747" s="144" t="s">
        <v>6971</v>
      </c>
      <c r="Y747" s="144" t="s">
        <v>6972</v>
      </c>
      <c r="Z747" s="144" t="str">
        <f ca="1">IFERROR(__xludf.DUMMYFUNCTION("IF(VLOOKUP($Y747, IMPORTRANGE(""https://docs.google.com/spreadsheets/d/1WsTKRjz8_fF2119Ff9dhKIIYXSaUEHzuWr8pBkxmwQQ/edit"", ""Form Responses 1!$B:$Z""),1, FALSE)=$Y747,""Yes"",""No"")"),"#N/A")</f>
        <v>#N/A</v>
      </c>
      <c r="AA747" s="144"/>
      <c r="AB747" s="144"/>
    </row>
    <row r="748" spans="1:28">
      <c r="A748" s="140" t="s">
        <v>484</v>
      </c>
      <c r="B748" s="140" t="s">
        <v>6973</v>
      </c>
      <c r="C748" s="140" t="s">
        <v>6974</v>
      </c>
      <c r="D748" s="140" t="s">
        <v>6975</v>
      </c>
      <c r="E748" s="140" t="s">
        <v>6976</v>
      </c>
      <c r="F748" s="140" t="s">
        <v>4</v>
      </c>
      <c r="G748" s="140">
        <v>2</v>
      </c>
      <c r="H748" s="140" t="s">
        <v>24</v>
      </c>
      <c r="I748" s="140" t="s">
        <v>602</v>
      </c>
      <c r="J748" s="140" t="s">
        <v>6977</v>
      </c>
      <c r="K748" s="140">
        <v>2</v>
      </c>
      <c r="L748" s="140" t="s">
        <v>1054</v>
      </c>
      <c r="M748" s="140" t="s">
        <v>6978</v>
      </c>
      <c r="N748" s="140">
        <v>2</v>
      </c>
      <c r="O748" s="140" t="s">
        <v>451</v>
      </c>
      <c r="P748" s="140" t="s">
        <v>6979</v>
      </c>
      <c r="Q748" s="140" t="s">
        <v>452</v>
      </c>
      <c r="R748" s="140" t="s">
        <v>6980</v>
      </c>
      <c r="S748" s="140"/>
      <c r="T748" s="140"/>
      <c r="U748" s="143"/>
      <c r="V748" s="143"/>
      <c r="W748" s="143"/>
      <c r="X748" s="140" t="s">
        <v>6981</v>
      </c>
      <c r="Y748" s="140" t="s">
        <v>6982</v>
      </c>
      <c r="Z748" s="140" t="str">
        <f ca="1">IFERROR(__xludf.DUMMYFUNCTION("IF(VLOOKUP($Y748, IMPORTRANGE(""https://docs.google.com/spreadsheets/d/1WsTKRjz8_fF2119Ff9dhKIIYXSaUEHzuWr8pBkxmwQQ/edit"", ""Form Responses 1!$B:$Z""),1, FALSE)=$Y748,""Yes"",""No"")"),"#N/A")</f>
        <v>#N/A</v>
      </c>
      <c r="AA748" s="140"/>
      <c r="AB748" s="140"/>
    </row>
    <row r="749" spans="1:28">
      <c r="A749" s="144" t="s">
        <v>529</v>
      </c>
      <c r="B749" s="144" t="s">
        <v>6983</v>
      </c>
      <c r="C749" s="144" t="s">
        <v>6984</v>
      </c>
      <c r="D749" s="144" t="s">
        <v>6985</v>
      </c>
      <c r="E749" s="144" t="s">
        <v>6986</v>
      </c>
      <c r="F749" s="144" t="s">
        <v>4</v>
      </c>
      <c r="G749" s="144">
        <v>2</v>
      </c>
      <c r="H749" s="144" t="s">
        <v>24</v>
      </c>
      <c r="I749" s="144" t="s">
        <v>725</v>
      </c>
      <c r="J749" s="144" t="s">
        <v>6987</v>
      </c>
      <c r="K749" s="144">
        <v>2</v>
      </c>
      <c r="L749" s="144" t="s">
        <v>462</v>
      </c>
      <c r="M749" s="144" t="s">
        <v>6988</v>
      </c>
      <c r="N749" s="144">
        <v>2</v>
      </c>
      <c r="O749" s="144" t="s">
        <v>451</v>
      </c>
      <c r="P749" s="146">
        <v>10000000</v>
      </c>
      <c r="Q749" s="144" t="s">
        <v>452</v>
      </c>
      <c r="R749" s="144" t="s">
        <v>6989</v>
      </c>
      <c r="S749" s="144"/>
      <c r="T749" s="144"/>
      <c r="U749" s="145"/>
      <c r="V749" s="145"/>
      <c r="W749" s="145"/>
      <c r="X749" s="144" t="s">
        <v>6990</v>
      </c>
      <c r="Y749" s="144" t="s">
        <v>6991</v>
      </c>
      <c r="Z749" s="144" t="str">
        <f ca="1">IFERROR(__xludf.DUMMYFUNCTION("IF(VLOOKUP($Y749, IMPORTRANGE(""https://docs.google.com/spreadsheets/d/1WsTKRjz8_fF2119Ff9dhKIIYXSaUEHzuWr8pBkxmwQQ/edit"", ""Form Responses 1!$B:$Z""),1, FALSE)=$Y749,""Yes"",""No"")"),"#N/A")</f>
        <v>#N/A</v>
      </c>
      <c r="AA749" s="144"/>
      <c r="AB749" s="144"/>
    </row>
    <row r="750" spans="1:28">
      <c r="A750" s="140" t="s">
        <v>484</v>
      </c>
      <c r="B750" s="140" t="s">
        <v>6992</v>
      </c>
      <c r="C750" s="140" t="s">
        <v>6993</v>
      </c>
      <c r="D750" s="140" t="s">
        <v>6994</v>
      </c>
      <c r="E750" s="140" t="s">
        <v>6995</v>
      </c>
      <c r="F750" s="140" t="s">
        <v>4</v>
      </c>
      <c r="G750" s="140">
        <v>2</v>
      </c>
      <c r="H750" s="140" t="s">
        <v>24</v>
      </c>
      <c r="I750" s="140" t="s">
        <v>727</v>
      </c>
      <c r="J750" s="140" t="s">
        <v>6996</v>
      </c>
      <c r="K750" s="140">
        <v>2</v>
      </c>
      <c r="L750" s="140" t="s">
        <v>1054</v>
      </c>
      <c r="M750" s="140" t="s">
        <v>6997</v>
      </c>
      <c r="N750" s="140">
        <v>2</v>
      </c>
      <c r="O750" s="140" t="s">
        <v>451</v>
      </c>
      <c r="P750" s="148">
        <v>650000</v>
      </c>
      <c r="Q750" s="140" t="s">
        <v>465</v>
      </c>
      <c r="R750" s="140" t="s">
        <v>6998</v>
      </c>
      <c r="S750" s="140" t="s">
        <v>449</v>
      </c>
      <c r="T750" s="140"/>
      <c r="U750" s="143"/>
      <c r="V750" s="143"/>
      <c r="W750" s="143"/>
      <c r="X750" s="140" t="s">
        <v>6999</v>
      </c>
      <c r="Y750" s="140" t="s">
        <v>7000</v>
      </c>
      <c r="Z750" s="140" t="str">
        <f ca="1">IFERROR(__xludf.DUMMYFUNCTION("IF(VLOOKUP($Y750, IMPORTRANGE(""https://docs.google.com/spreadsheets/d/1WsTKRjz8_fF2119Ff9dhKIIYXSaUEHzuWr8pBkxmwQQ/edit"", ""Form Responses 1!$B:$Z""),1, FALSE)=$Y750,""Yes"",""No"")"),"#N/A")</f>
        <v>#N/A</v>
      </c>
      <c r="AA750" s="140"/>
      <c r="AB750" s="140"/>
    </row>
    <row r="751" spans="1:28">
      <c r="A751" s="144" t="s">
        <v>503</v>
      </c>
      <c r="B751" s="144" t="s">
        <v>7001</v>
      </c>
      <c r="C751" s="144" t="s">
        <v>7002</v>
      </c>
      <c r="D751" s="144" t="s">
        <v>7003</v>
      </c>
      <c r="E751" s="144" t="s">
        <v>7004</v>
      </c>
      <c r="F751" s="144" t="s">
        <v>4</v>
      </c>
      <c r="G751" s="144">
        <v>2</v>
      </c>
      <c r="H751" s="144" t="s">
        <v>24</v>
      </c>
      <c r="I751" s="144" t="s">
        <v>727</v>
      </c>
      <c r="J751" s="144" t="s">
        <v>7005</v>
      </c>
      <c r="K751" s="144">
        <v>2</v>
      </c>
      <c r="L751" s="144" t="s">
        <v>1054</v>
      </c>
      <c r="M751" s="144"/>
      <c r="N751" s="144">
        <v>2</v>
      </c>
      <c r="O751" s="144" t="s">
        <v>784</v>
      </c>
      <c r="P751" s="144">
        <v>2500000</v>
      </c>
      <c r="Q751" s="144" t="s">
        <v>452</v>
      </c>
      <c r="R751" s="144" t="s">
        <v>7006</v>
      </c>
      <c r="S751" s="144"/>
      <c r="T751" s="144"/>
      <c r="U751" s="145"/>
      <c r="V751" s="145"/>
      <c r="W751" s="145"/>
      <c r="X751" s="144" t="s">
        <v>7007</v>
      </c>
      <c r="Y751" s="144" t="s">
        <v>7008</v>
      </c>
      <c r="Z751" s="144" t="str">
        <f ca="1">IFERROR(__xludf.DUMMYFUNCTION("IF(VLOOKUP($Y751, IMPORTRANGE(""https://docs.google.com/spreadsheets/d/1WsTKRjz8_fF2119Ff9dhKIIYXSaUEHzuWr8pBkxmwQQ/edit"", ""Form Responses 1!$B:$Z""),1, FALSE)=$Y751,""Yes"",""No"")"),"#N/A")</f>
        <v>#N/A</v>
      </c>
      <c r="AA751" s="144"/>
      <c r="AB751" s="144"/>
    </row>
    <row r="752" spans="1:28">
      <c r="A752" s="140" t="s">
        <v>484</v>
      </c>
      <c r="B752" s="140" t="s">
        <v>7009</v>
      </c>
      <c r="C752" s="140" t="s">
        <v>7010</v>
      </c>
      <c r="D752" s="140" t="s">
        <v>7011</v>
      </c>
      <c r="E752" s="140" t="s">
        <v>7012</v>
      </c>
      <c r="F752" s="140" t="s">
        <v>4</v>
      </c>
      <c r="G752" s="140">
        <v>2</v>
      </c>
      <c r="H752" s="140" t="s">
        <v>24</v>
      </c>
      <c r="I752" s="140" t="s">
        <v>602</v>
      </c>
      <c r="J752" s="140" t="s">
        <v>7013</v>
      </c>
      <c r="K752" s="140">
        <v>2</v>
      </c>
      <c r="L752" s="140" t="s">
        <v>1054</v>
      </c>
      <c r="M752" s="140" t="s">
        <v>7014</v>
      </c>
      <c r="N752" s="140">
        <v>2</v>
      </c>
      <c r="O752" s="140"/>
      <c r="P752" s="140"/>
      <c r="Q752" s="140" t="s">
        <v>452</v>
      </c>
      <c r="R752" s="140" t="s">
        <v>7015</v>
      </c>
      <c r="S752" s="140"/>
      <c r="T752" s="140"/>
      <c r="U752" s="143"/>
      <c r="V752" s="143"/>
      <c r="W752" s="143"/>
      <c r="X752" s="140" t="s">
        <v>7016</v>
      </c>
      <c r="Y752" s="140" t="s">
        <v>7017</v>
      </c>
      <c r="Z752" s="140" t="str">
        <f ca="1">IFERROR(__xludf.DUMMYFUNCTION("IF(VLOOKUP($Y752, IMPORTRANGE(""https://docs.google.com/spreadsheets/d/1WsTKRjz8_fF2119Ff9dhKIIYXSaUEHzuWr8pBkxmwQQ/edit"", ""Form Responses 1!$B:$Z""),1, FALSE)=$Y752,""Yes"",""No"")"),"#N/A")</f>
        <v>#N/A</v>
      </c>
      <c r="AA752" s="140"/>
      <c r="AB752" s="140"/>
    </row>
    <row r="753" spans="1:28">
      <c r="A753" s="144" t="s">
        <v>529</v>
      </c>
      <c r="B753" s="144" t="s">
        <v>7018</v>
      </c>
      <c r="C753" s="144" t="s">
        <v>7019</v>
      </c>
      <c r="D753" s="144" t="s">
        <v>7020</v>
      </c>
      <c r="E753" s="144"/>
      <c r="F753" s="144" t="s">
        <v>4</v>
      </c>
      <c r="G753" s="144">
        <v>2</v>
      </c>
      <c r="H753" s="144" t="s">
        <v>24</v>
      </c>
      <c r="I753" s="144" t="s">
        <v>725</v>
      </c>
      <c r="J753" s="144" t="s">
        <v>7021</v>
      </c>
      <c r="K753" s="144">
        <v>2</v>
      </c>
      <c r="L753" s="144" t="s">
        <v>462</v>
      </c>
      <c r="M753" s="144" t="s">
        <v>7022</v>
      </c>
      <c r="N753" s="144">
        <v>2</v>
      </c>
      <c r="O753" s="144" t="s">
        <v>2190</v>
      </c>
      <c r="P753" s="147">
        <v>1500000</v>
      </c>
      <c r="Q753" s="144" t="s">
        <v>452</v>
      </c>
      <c r="R753" s="144" t="s">
        <v>452</v>
      </c>
      <c r="S753" s="144"/>
      <c r="T753" s="144"/>
      <c r="U753" s="145"/>
      <c r="V753" s="145"/>
      <c r="W753" s="145"/>
      <c r="X753" s="144" t="s">
        <v>7023</v>
      </c>
      <c r="Y753" s="144" t="s">
        <v>7024</v>
      </c>
      <c r="Z753" s="144" t="str">
        <f ca="1">IFERROR(__xludf.DUMMYFUNCTION("IF(VLOOKUP($Y753, IMPORTRANGE(""https://docs.google.com/spreadsheets/d/1WsTKRjz8_fF2119Ff9dhKIIYXSaUEHzuWr8pBkxmwQQ/edit"", ""Form Responses 1!$B:$Z""),1, FALSE)=$Y753,""Yes"",""No"")"),"#N/A")</f>
        <v>#N/A</v>
      </c>
      <c r="AA753" s="144"/>
      <c r="AB753" s="144"/>
    </row>
    <row r="754" spans="1:28">
      <c r="A754" s="140" t="s">
        <v>529</v>
      </c>
      <c r="B754" s="140" t="s">
        <v>7025</v>
      </c>
      <c r="C754" s="140" t="s">
        <v>7026</v>
      </c>
      <c r="D754" s="140" t="s">
        <v>7027</v>
      </c>
      <c r="E754" s="140" t="s">
        <v>7028</v>
      </c>
      <c r="F754" s="140" t="s">
        <v>4</v>
      </c>
      <c r="G754" s="140">
        <v>2</v>
      </c>
      <c r="H754" s="140" t="s">
        <v>24</v>
      </c>
      <c r="I754" s="140" t="s">
        <v>725</v>
      </c>
      <c r="J754" s="140" t="s">
        <v>7029</v>
      </c>
      <c r="K754" s="140">
        <v>2</v>
      </c>
      <c r="L754" s="140" t="s">
        <v>1045</v>
      </c>
      <c r="M754" s="140" t="s">
        <v>7030</v>
      </c>
      <c r="N754" s="140">
        <v>2</v>
      </c>
      <c r="O754" s="140"/>
      <c r="P754" s="140"/>
      <c r="Q754" s="140" t="s">
        <v>454</v>
      </c>
      <c r="R754" s="140" t="s">
        <v>452</v>
      </c>
      <c r="S754" s="140"/>
      <c r="T754" s="140"/>
      <c r="U754" s="143"/>
      <c r="V754" s="143"/>
      <c r="W754" s="143"/>
      <c r="X754" s="140" t="s">
        <v>5598</v>
      </c>
      <c r="Y754" s="140" t="s">
        <v>7031</v>
      </c>
      <c r="Z754" s="140" t="str">
        <f ca="1">IFERROR(__xludf.DUMMYFUNCTION("IF(VLOOKUP($Y754, IMPORTRANGE(""https://docs.google.com/spreadsheets/d/1WsTKRjz8_fF2119Ff9dhKIIYXSaUEHzuWr8pBkxmwQQ/edit"", ""Form Responses 1!$B:$Z""),1, FALSE)=$Y754,""Yes"",""No"")"),"#N/A")</f>
        <v>#N/A</v>
      </c>
      <c r="AA754" s="140"/>
      <c r="AB754" s="140"/>
    </row>
    <row r="755" spans="1:28">
      <c r="A755" s="144" t="s">
        <v>598</v>
      </c>
      <c r="B755" s="144" t="s">
        <v>7032</v>
      </c>
      <c r="C755" s="144" t="s">
        <v>7033</v>
      </c>
      <c r="D755" s="144" t="s">
        <v>7034</v>
      </c>
      <c r="E755" s="144" t="s">
        <v>7035</v>
      </c>
      <c r="F755" s="144" t="s">
        <v>4</v>
      </c>
      <c r="G755" s="144">
        <v>2</v>
      </c>
      <c r="H755" s="144" t="s">
        <v>24</v>
      </c>
      <c r="I755" s="144" t="s">
        <v>602</v>
      </c>
      <c r="J755" s="144" t="s">
        <v>7036</v>
      </c>
      <c r="K755" s="144">
        <v>2</v>
      </c>
      <c r="L755" s="144" t="s">
        <v>476</v>
      </c>
      <c r="M755" s="144" t="s">
        <v>7037</v>
      </c>
      <c r="N755" s="144">
        <v>2</v>
      </c>
      <c r="O755" s="144"/>
      <c r="P755" s="144"/>
      <c r="Q755" s="144" t="s">
        <v>454</v>
      </c>
      <c r="R755" s="144" t="s">
        <v>7038</v>
      </c>
      <c r="S755" s="144"/>
      <c r="T755" s="144"/>
      <c r="U755" s="145"/>
      <c r="V755" s="145"/>
      <c r="W755" s="145"/>
      <c r="X755" s="144" t="s">
        <v>7039</v>
      </c>
      <c r="Y755" s="144" t="s">
        <v>7040</v>
      </c>
      <c r="Z755" s="144" t="str">
        <f ca="1">IFERROR(__xludf.DUMMYFUNCTION("IF(VLOOKUP($Y755, IMPORTRANGE(""https://docs.google.com/spreadsheets/d/1WsTKRjz8_fF2119Ff9dhKIIYXSaUEHzuWr8pBkxmwQQ/edit"", ""Form Responses 1!$B:$Z""),1, FALSE)=$Y755,""Yes"",""No"")"),"#N/A")</f>
        <v>#N/A</v>
      </c>
      <c r="AA755" s="144"/>
      <c r="AB755" s="144"/>
    </row>
    <row r="756" spans="1:28">
      <c r="A756" s="140" t="s">
        <v>529</v>
      </c>
      <c r="B756" s="140" t="s">
        <v>7041</v>
      </c>
      <c r="C756" s="140" t="s">
        <v>7042</v>
      </c>
      <c r="D756" s="140" t="s">
        <v>7043</v>
      </c>
      <c r="E756" s="140" t="s">
        <v>7044</v>
      </c>
      <c r="F756" s="140" t="s">
        <v>4</v>
      </c>
      <c r="G756" s="140">
        <v>2</v>
      </c>
      <c r="H756" s="140" t="s">
        <v>24</v>
      </c>
      <c r="I756" s="140" t="s">
        <v>725</v>
      </c>
      <c r="J756" s="140" t="s">
        <v>7045</v>
      </c>
      <c r="K756" s="140">
        <v>2</v>
      </c>
      <c r="L756" s="140" t="s">
        <v>1036</v>
      </c>
      <c r="M756" s="140" t="s">
        <v>7046</v>
      </c>
      <c r="N756" s="140">
        <v>2</v>
      </c>
      <c r="O756" s="140" t="s">
        <v>784</v>
      </c>
      <c r="P756" s="140" t="s">
        <v>7047</v>
      </c>
      <c r="Q756" s="140" t="s">
        <v>465</v>
      </c>
      <c r="R756" s="140" t="s">
        <v>7048</v>
      </c>
      <c r="S756" s="140"/>
      <c r="T756" s="140"/>
      <c r="U756" s="143"/>
      <c r="V756" s="143"/>
      <c r="W756" s="143"/>
      <c r="X756" s="140" t="s">
        <v>7049</v>
      </c>
      <c r="Y756" s="140" t="s">
        <v>7050</v>
      </c>
      <c r="Z756" s="140" t="str">
        <f ca="1">IFERROR(__xludf.DUMMYFUNCTION("IF(VLOOKUP($Y756, IMPORTRANGE(""https://docs.google.com/spreadsheets/d/1WsTKRjz8_fF2119Ff9dhKIIYXSaUEHzuWr8pBkxmwQQ/edit"", ""Form Responses 1!$B:$Z""),1, FALSE)=$Y756,""Yes"",""No"")"),"#N/A")</f>
        <v>#N/A</v>
      </c>
      <c r="AA756" s="140"/>
      <c r="AB756" s="140"/>
    </row>
    <row r="757" spans="1:28">
      <c r="A757" s="144" t="s">
        <v>598</v>
      </c>
      <c r="B757" s="144" t="s">
        <v>7051</v>
      </c>
      <c r="C757" s="144" t="s">
        <v>7052</v>
      </c>
      <c r="D757" s="144" t="s">
        <v>7053</v>
      </c>
      <c r="E757" s="144" t="s">
        <v>7054</v>
      </c>
      <c r="F757" s="144" t="s">
        <v>4</v>
      </c>
      <c r="G757" s="144">
        <v>2</v>
      </c>
      <c r="H757" s="144" t="s">
        <v>24</v>
      </c>
      <c r="I757" s="144" t="s">
        <v>602</v>
      </c>
      <c r="J757" s="144" t="s">
        <v>7055</v>
      </c>
      <c r="K757" s="144">
        <v>2</v>
      </c>
      <c r="L757" s="144" t="s">
        <v>1045</v>
      </c>
      <c r="M757" s="144" t="s">
        <v>7056</v>
      </c>
      <c r="N757" s="144">
        <v>2</v>
      </c>
      <c r="O757" s="144" t="s">
        <v>784</v>
      </c>
      <c r="P757" s="144">
        <v>200000</v>
      </c>
      <c r="Q757" s="144" t="s">
        <v>452</v>
      </c>
      <c r="R757" s="144" t="s">
        <v>7057</v>
      </c>
      <c r="S757" s="144"/>
      <c r="T757" s="144"/>
      <c r="U757" s="145"/>
      <c r="V757" s="145"/>
      <c r="W757" s="145"/>
      <c r="X757" s="144" t="s">
        <v>7058</v>
      </c>
      <c r="Y757" s="144" t="s">
        <v>7059</v>
      </c>
      <c r="Z757" s="144" t="str">
        <f ca="1">IFERROR(__xludf.DUMMYFUNCTION("IF(VLOOKUP($Y757, IMPORTRANGE(""https://docs.google.com/spreadsheets/d/1WsTKRjz8_fF2119Ff9dhKIIYXSaUEHzuWr8pBkxmwQQ/edit"", ""Form Responses 1!$B:$Z""),1, FALSE)=$Y757,""Yes"",""No"")"),"#N/A")</f>
        <v>#N/A</v>
      </c>
      <c r="AA757" s="144"/>
      <c r="AB757" s="144"/>
    </row>
    <row r="758" spans="1:28">
      <c r="A758" s="140" t="s">
        <v>484</v>
      </c>
      <c r="B758" s="140" t="s">
        <v>7060</v>
      </c>
      <c r="C758" s="140" t="s">
        <v>7061</v>
      </c>
      <c r="D758" s="140" t="s">
        <v>7062</v>
      </c>
      <c r="E758" s="140" t="s">
        <v>7063</v>
      </c>
      <c r="F758" s="140" t="s">
        <v>4</v>
      </c>
      <c r="G758" s="140">
        <v>2</v>
      </c>
      <c r="H758" s="140" t="s">
        <v>24</v>
      </c>
      <c r="I758" s="140" t="s">
        <v>602</v>
      </c>
      <c r="J758" s="140" t="s">
        <v>7064</v>
      </c>
      <c r="K758" s="140">
        <v>2</v>
      </c>
      <c r="L758" s="140" t="s">
        <v>1054</v>
      </c>
      <c r="M758" s="140" t="s">
        <v>7065</v>
      </c>
      <c r="N758" s="140">
        <v>2</v>
      </c>
      <c r="O758" s="140" t="s">
        <v>784</v>
      </c>
      <c r="P758" s="148">
        <v>1000000</v>
      </c>
      <c r="Q758" s="140" t="s">
        <v>452</v>
      </c>
      <c r="R758" s="140" t="s">
        <v>452</v>
      </c>
      <c r="S758" s="140" t="s">
        <v>7066</v>
      </c>
      <c r="T758" s="140"/>
      <c r="U758" s="143"/>
      <c r="V758" s="143"/>
      <c r="W758" s="143"/>
      <c r="X758" s="140" t="s">
        <v>1020</v>
      </c>
      <c r="Y758" s="140" t="s">
        <v>7067</v>
      </c>
      <c r="Z758" s="140" t="str">
        <f ca="1">IFERROR(__xludf.DUMMYFUNCTION("IF(VLOOKUP($Y758, IMPORTRANGE(""https://docs.google.com/spreadsheets/d/1WsTKRjz8_fF2119Ff9dhKIIYXSaUEHzuWr8pBkxmwQQ/edit"", ""Form Responses 1!$B:$Z""),1, FALSE)=$Y758,""Yes"",""No"")"),"#N/A")</f>
        <v>#N/A</v>
      </c>
      <c r="AA758" s="140"/>
      <c r="AB758" s="140"/>
    </row>
    <row r="759" spans="1:28">
      <c r="A759" s="144" t="s">
        <v>529</v>
      </c>
      <c r="B759" s="144" t="s">
        <v>7068</v>
      </c>
      <c r="C759" s="144" t="s">
        <v>7069</v>
      </c>
      <c r="D759" s="144" t="s">
        <v>7070</v>
      </c>
      <c r="E759" s="144" t="s">
        <v>7071</v>
      </c>
      <c r="F759" s="144" t="s">
        <v>4</v>
      </c>
      <c r="G759" s="144">
        <v>2</v>
      </c>
      <c r="H759" s="144" t="s">
        <v>24</v>
      </c>
      <c r="I759" s="144" t="s">
        <v>725</v>
      </c>
      <c r="J759" s="144" t="s">
        <v>7072</v>
      </c>
      <c r="K759" s="144">
        <v>2</v>
      </c>
      <c r="L759" s="144" t="s">
        <v>1036</v>
      </c>
      <c r="M759" s="144" t="s">
        <v>7073</v>
      </c>
      <c r="N759" s="144">
        <v>2</v>
      </c>
      <c r="O759" s="144"/>
      <c r="P759" s="144"/>
      <c r="Q759" s="144" t="s">
        <v>452</v>
      </c>
      <c r="R759" s="144" t="s">
        <v>452</v>
      </c>
      <c r="S759" s="144" t="s">
        <v>7074</v>
      </c>
      <c r="T759" s="144"/>
      <c r="U759" s="145"/>
      <c r="V759" s="145"/>
      <c r="W759" s="145"/>
      <c r="X759" s="144" t="s">
        <v>7075</v>
      </c>
      <c r="Y759" s="144" t="s">
        <v>7076</v>
      </c>
      <c r="Z759" s="144" t="str">
        <f ca="1">IFERROR(__xludf.DUMMYFUNCTION("IF(VLOOKUP($Y759, IMPORTRANGE(""https://docs.google.com/spreadsheets/d/1WsTKRjz8_fF2119Ff9dhKIIYXSaUEHzuWr8pBkxmwQQ/edit"", ""Form Responses 1!$B:$Z""),1, FALSE)=$Y759,""Yes"",""No"")"),"#N/A")</f>
        <v>#N/A</v>
      </c>
      <c r="AA759" s="144"/>
      <c r="AB759" s="144"/>
    </row>
    <row r="760" spans="1:28">
      <c r="A760" s="140" t="s">
        <v>443</v>
      </c>
      <c r="B760" s="140" t="s">
        <v>7077</v>
      </c>
      <c r="C760" s="140" t="s">
        <v>7078</v>
      </c>
      <c r="D760" s="140" t="s">
        <v>7079</v>
      </c>
      <c r="E760" s="140" t="s">
        <v>7080</v>
      </c>
      <c r="F760" s="140" t="s">
        <v>4</v>
      </c>
      <c r="G760" s="140">
        <v>2</v>
      </c>
      <c r="H760" s="140" t="s">
        <v>24</v>
      </c>
      <c r="I760" s="140" t="s">
        <v>727</v>
      </c>
      <c r="J760" s="140" t="s">
        <v>7081</v>
      </c>
      <c r="K760" s="140">
        <v>2</v>
      </c>
      <c r="L760" s="140" t="s">
        <v>1045</v>
      </c>
      <c r="M760" s="140" t="s">
        <v>7082</v>
      </c>
      <c r="N760" s="140">
        <v>2</v>
      </c>
      <c r="O760" s="140" t="s">
        <v>451</v>
      </c>
      <c r="P760" s="140">
        <v>800000</v>
      </c>
      <c r="Q760" s="140" t="s">
        <v>452</v>
      </c>
      <c r="R760" s="140" t="s">
        <v>452</v>
      </c>
      <c r="S760" s="140"/>
      <c r="T760" s="140"/>
      <c r="U760" s="143"/>
      <c r="V760" s="143"/>
      <c r="W760" s="143"/>
      <c r="X760" s="140" t="s">
        <v>7083</v>
      </c>
      <c r="Y760" s="140" t="s">
        <v>7084</v>
      </c>
      <c r="Z760" s="140" t="str">
        <f ca="1">IFERROR(__xludf.DUMMYFUNCTION("IF(VLOOKUP($Y760, IMPORTRANGE(""https://docs.google.com/spreadsheets/d/1WsTKRjz8_fF2119Ff9dhKIIYXSaUEHzuWr8pBkxmwQQ/edit"", ""Form Responses 1!$B:$Z""),1, FALSE)=$Y760,""Yes"",""No"")"),"#N/A")</f>
        <v>#N/A</v>
      </c>
      <c r="AA760" s="140"/>
      <c r="AB760" s="140"/>
    </row>
    <row r="761" spans="1:28">
      <c r="A761" s="144" t="s">
        <v>443</v>
      </c>
      <c r="B761" s="144" t="s">
        <v>7085</v>
      </c>
      <c r="C761" s="144" t="s">
        <v>7086</v>
      </c>
      <c r="D761" s="144" t="s">
        <v>7087</v>
      </c>
      <c r="E761" s="144" t="s">
        <v>7088</v>
      </c>
      <c r="F761" s="144" t="s">
        <v>4</v>
      </c>
      <c r="G761" s="144">
        <v>2</v>
      </c>
      <c r="H761" s="144" t="s">
        <v>24</v>
      </c>
      <c r="I761" s="144" t="s">
        <v>602</v>
      </c>
      <c r="J761" s="144" t="s">
        <v>7089</v>
      </c>
      <c r="K761" s="144">
        <v>2</v>
      </c>
      <c r="L761" s="144" t="s">
        <v>476</v>
      </c>
      <c r="M761" s="144" t="s">
        <v>7090</v>
      </c>
      <c r="N761" s="144">
        <v>2</v>
      </c>
      <c r="O761" s="144"/>
      <c r="P761" s="144"/>
      <c r="Q761" s="144" t="s">
        <v>454</v>
      </c>
      <c r="R761" s="144" t="s">
        <v>452</v>
      </c>
      <c r="S761" s="144"/>
      <c r="T761" s="144"/>
      <c r="U761" s="145"/>
      <c r="V761" s="145"/>
      <c r="W761" s="145"/>
      <c r="X761" s="144" t="s">
        <v>1622</v>
      </c>
      <c r="Y761" s="144" t="s">
        <v>7091</v>
      </c>
      <c r="Z761" s="144" t="str">
        <f ca="1">IFERROR(__xludf.DUMMYFUNCTION("IF(VLOOKUP($Y761, IMPORTRANGE(""https://docs.google.com/spreadsheets/d/1WsTKRjz8_fF2119Ff9dhKIIYXSaUEHzuWr8pBkxmwQQ/edit"", ""Form Responses 1!$B:$Z""),1, FALSE)=$Y761,""Yes"",""No"")"),"#N/A")</f>
        <v>#N/A</v>
      </c>
      <c r="AA761" s="144"/>
      <c r="AB761" s="144"/>
    </row>
    <row r="762" spans="1:28">
      <c r="A762" s="140" t="s">
        <v>471</v>
      </c>
      <c r="B762" s="140" t="s">
        <v>7092</v>
      </c>
      <c r="C762" s="140" t="s">
        <v>7093</v>
      </c>
      <c r="D762" s="140" t="s">
        <v>7094</v>
      </c>
      <c r="E762" s="140" t="s">
        <v>7095</v>
      </c>
      <c r="F762" s="140" t="s">
        <v>4</v>
      </c>
      <c r="G762" s="140">
        <v>2</v>
      </c>
      <c r="H762" s="140" t="s">
        <v>24</v>
      </c>
      <c r="I762" s="140" t="s">
        <v>602</v>
      </c>
      <c r="J762" s="140" t="s">
        <v>7096</v>
      </c>
      <c r="K762" s="140">
        <v>2</v>
      </c>
      <c r="L762" s="140" t="s">
        <v>476</v>
      </c>
      <c r="M762" s="140" t="s">
        <v>7097</v>
      </c>
      <c r="N762" s="140">
        <v>2</v>
      </c>
      <c r="O762" s="140" t="s">
        <v>451</v>
      </c>
      <c r="P762" s="140" t="s">
        <v>7098</v>
      </c>
      <c r="Q762" s="140" t="s">
        <v>452</v>
      </c>
      <c r="R762" s="140" t="s">
        <v>7099</v>
      </c>
      <c r="S762" s="140"/>
      <c r="T762" s="140"/>
      <c r="U762" s="143"/>
      <c r="V762" s="143"/>
      <c r="W762" s="143"/>
      <c r="X762" s="140" t="s">
        <v>7100</v>
      </c>
      <c r="Y762" s="140" t="s">
        <v>7101</v>
      </c>
      <c r="Z762" s="140" t="str">
        <f ca="1">IFERROR(__xludf.DUMMYFUNCTION("IF(VLOOKUP($Y762, IMPORTRANGE(""https://docs.google.com/spreadsheets/d/1WsTKRjz8_fF2119Ff9dhKIIYXSaUEHzuWr8pBkxmwQQ/edit"", ""Form Responses 1!$B:$Z""),1, FALSE)=$Y762,""Yes"",""No"")"),"#N/A")</f>
        <v>#N/A</v>
      </c>
      <c r="AA762" s="140"/>
      <c r="AB762" s="140"/>
    </row>
    <row r="763" spans="1:28">
      <c r="A763" s="144" t="s">
        <v>907</v>
      </c>
      <c r="B763" s="144" t="s">
        <v>7102</v>
      </c>
      <c r="C763" s="144" t="s">
        <v>7103</v>
      </c>
      <c r="D763" s="144" t="s">
        <v>7104</v>
      </c>
      <c r="E763" s="144" t="s">
        <v>7105</v>
      </c>
      <c r="F763" s="144" t="s">
        <v>4</v>
      </c>
      <c r="G763" s="144">
        <v>2</v>
      </c>
      <c r="H763" s="144" t="s">
        <v>24</v>
      </c>
      <c r="I763" s="144" t="s">
        <v>727</v>
      </c>
      <c r="J763" s="144" t="s">
        <v>7106</v>
      </c>
      <c r="K763" s="144">
        <v>2</v>
      </c>
      <c r="L763" s="144" t="s">
        <v>1073</v>
      </c>
      <c r="M763" s="144" t="s">
        <v>7107</v>
      </c>
      <c r="N763" s="144">
        <v>2</v>
      </c>
      <c r="O763" s="144"/>
      <c r="P763" s="144"/>
      <c r="Q763" s="144" t="s">
        <v>452</v>
      </c>
      <c r="R763" s="144" t="s">
        <v>1028</v>
      </c>
      <c r="S763" s="144" t="s">
        <v>7108</v>
      </c>
      <c r="T763" s="144"/>
      <c r="U763" s="145"/>
      <c r="V763" s="145"/>
      <c r="W763" s="145"/>
      <c r="X763" s="144" t="s">
        <v>1354</v>
      </c>
      <c r="Y763" s="144" t="s">
        <v>7109</v>
      </c>
      <c r="Z763" s="144" t="str">
        <f ca="1">IFERROR(__xludf.DUMMYFUNCTION("IF(VLOOKUP($Y763, IMPORTRANGE(""https://docs.google.com/spreadsheets/d/1WsTKRjz8_fF2119Ff9dhKIIYXSaUEHzuWr8pBkxmwQQ/edit"", ""Form Responses 1!$B:$Z""),1, FALSE)=$Y763,""Yes"",""No"")"),"#N/A")</f>
        <v>#N/A</v>
      </c>
      <c r="AA763" s="144"/>
      <c r="AB763" s="144"/>
    </row>
    <row r="764" spans="1:28">
      <c r="A764" s="140" t="s">
        <v>503</v>
      </c>
      <c r="B764" s="140" t="s">
        <v>7110</v>
      </c>
      <c r="C764" s="140" t="s">
        <v>7111</v>
      </c>
      <c r="D764" s="140" t="s">
        <v>7112</v>
      </c>
      <c r="E764" s="140" t="s">
        <v>7113</v>
      </c>
      <c r="F764" s="140" t="s">
        <v>4</v>
      </c>
      <c r="G764" s="140">
        <v>2</v>
      </c>
      <c r="H764" s="140" t="s">
        <v>24</v>
      </c>
      <c r="I764" s="140" t="s">
        <v>602</v>
      </c>
      <c r="J764" s="140" t="s">
        <v>7114</v>
      </c>
      <c r="K764" s="140">
        <v>2</v>
      </c>
      <c r="L764" s="140" t="s">
        <v>727</v>
      </c>
      <c r="M764" s="140" t="s">
        <v>7115</v>
      </c>
      <c r="N764" s="140">
        <v>2</v>
      </c>
      <c r="O764" s="140" t="s">
        <v>784</v>
      </c>
      <c r="P764" s="148">
        <v>1000000</v>
      </c>
      <c r="Q764" s="140" t="s">
        <v>465</v>
      </c>
      <c r="R764" s="140" t="s">
        <v>7116</v>
      </c>
      <c r="S764" s="140"/>
      <c r="T764" s="140"/>
      <c r="U764" s="143"/>
      <c r="V764" s="143"/>
      <c r="W764" s="143"/>
      <c r="X764" s="140" t="s">
        <v>7117</v>
      </c>
      <c r="Y764" s="140" t="s">
        <v>7118</v>
      </c>
      <c r="Z764" s="140" t="str">
        <f ca="1">IFERROR(__xludf.DUMMYFUNCTION("IF(VLOOKUP($Y764, IMPORTRANGE(""https://docs.google.com/spreadsheets/d/1WsTKRjz8_fF2119Ff9dhKIIYXSaUEHzuWr8pBkxmwQQ/edit"", ""Form Responses 1!$B:$Z""),1, FALSE)=$Y764,""Yes"",""No"")"),"#N/A")</f>
        <v>#N/A</v>
      </c>
      <c r="AA764" s="140"/>
      <c r="AB764" s="140"/>
    </row>
    <row r="765" spans="1:28">
      <c r="A765" s="144" t="s">
        <v>907</v>
      </c>
      <c r="B765" s="144" t="s">
        <v>7119</v>
      </c>
      <c r="C765" s="144" t="s">
        <v>7120</v>
      </c>
      <c r="D765" s="144" t="s">
        <v>7121</v>
      </c>
      <c r="E765" s="144" t="s">
        <v>7122</v>
      </c>
      <c r="F765" s="144" t="s">
        <v>4</v>
      </c>
      <c r="G765" s="144">
        <v>2</v>
      </c>
      <c r="H765" s="144" t="s">
        <v>24</v>
      </c>
      <c r="I765" s="144" t="s">
        <v>727</v>
      </c>
      <c r="J765" s="144" t="s">
        <v>7123</v>
      </c>
      <c r="K765" s="144">
        <v>2</v>
      </c>
      <c r="L765" s="144" t="s">
        <v>1073</v>
      </c>
      <c r="M765" s="144"/>
      <c r="N765" s="144">
        <v>2</v>
      </c>
      <c r="O765" s="144"/>
      <c r="P765" s="144"/>
      <c r="Q765" s="144" t="s">
        <v>452</v>
      </c>
      <c r="R765" s="144" t="s">
        <v>7124</v>
      </c>
      <c r="S765" s="144"/>
      <c r="T765" s="144"/>
      <c r="U765" s="145"/>
      <c r="V765" s="145"/>
      <c r="W765" s="145"/>
      <c r="X765" s="144" t="s">
        <v>7125</v>
      </c>
      <c r="Y765" s="144" t="s">
        <v>7126</v>
      </c>
      <c r="Z765" s="144" t="str">
        <f ca="1">IFERROR(__xludf.DUMMYFUNCTION("IF(VLOOKUP($Y765, IMPORTRANGE(""https://docs.google.com/spreadsheets/d/1WsTKRjz8_fF2119Ff9dhKIIYXSaUEHzuWr8pBkxmwQQ/edit"", ""Form Responses 1!$B:$Z""),1, FALSE)=$Y765,""Yes"",""No"")"),"#N/A")</f>
        <v>#N/A</v>
      </c>
      <c r="AA765" s="144"/>
      <c r="AB765" s="144"/>
    </row>
    <row r="766" spans="1:28">
      <c r="A766" s="140" t="s">
        <v>529</v>
      </c>
      <c r="B766" s="140" t="s">
        <v>7127</v>
      </c>
      <c r="C766" s="140" t="s">
        <v>7128</v>
      </c>
      <c r="D766" s="140" t="s">
        <v>7129</v>
      </c>
      <c r="E766" s="140" t="s">
        <v>7130</v>
      </c>
      <c r="F766" s="140" t="s">
        <v>4</v>
      </c>
      <c r="G766" s="140">
        <v>2</v>
      </c>
      <c r="H766" s="140" t="s">
        <v>24</v>
      </c>
      <c r="I766" s="140" t="s">
        <v>727</v>
      </c>
      <c r="J766" s="140" t="s">
        <v>7131</v>
      </c>
      <c r="K766" s="140">
        <v>2</v>
      </c>
      <c r="L766" s="140" t="s">
        <v>1073</v>
      </c>
      <c r="M766" s="140"/>
      <c r="N766" s="140">
        <v>2</v>
      </c>
      <c r="O766" s="140" t="s">
        <v>451</v>
      </c>
      <c r="P766" s="140" t="s">
        <v>7132</v>
      </c>
      <c r="Q766" s="140" t="s">
        <v>454</v>
      </c>
      <c r="R766" s="140" t="s">
        <v>7133</v>
      </c>
      <c r="S766" s="140" t="s">
        <v>7134</v>
      </c>
      <c r="T766" s="140"/>
      <c r="U766" s="143"/>
      <c r="V766" s="143"/>
      <c r="W766" s="143"/>
      <c r="X766" s="140" t="s">
        <v>7135</v>
      </c>
      <c r="Y766" s="140" t="s">
        <v>7136</v>
      </c>
      <c r="Z766" s="140" t="str">
        <f ca="1">IFERROR(__xludf.DUMMYFUNCTION("IF(VLOOKUP($Y766, IMPORTRANGE(""https://docs.google.com/spreadsheets/d/1WsTKRjz8_fF2119Ff9dhKIIYXSaUEHzuWr8pBkxmwQQ/edit"", ""Form Responses 1!$B:$Z""),1, FALSE)=$Y766,""Yes"",""No"")"),"#N/A")</f>
        <v>#N/A</v>
      </c>
      <c r="AA766" s="140"/>
      <c r="AB766" s="140"/>
    </row>
    <row r="767" spans="1:28">
      <c r="A767" s="144" t="s">
        <v>598</v>
      </c>
      <c r="B767" s="144" t="s">
        <v>7137</v>
      </c>
      <c r="C767" s="144" t="s">
        <v>7138</v>
      </c>
      <c r="D767" s="144" t="s">
        <v>7139</v>
      </c>
      <c r="E767" s="144" t="s">
        <v>7140</v>
      </c>
      <c r="F767" s="144" t="s">
        <v>4</v>
      </c>
      <c r="G767" s="144">
        <v>2</v>
      </c>
      <c r="H767" s="144" t="s">
        <v>24</v>
      </c>
      <c r="I767" s="144" t="s">
        <v>727</v>
      </c>
      <c r="J767" s="144" t="s">
        <v>7141</v>
      </c>
      <c r="K767" s="144">
        <v>2</v>
      </c>
      <c r="L767" s="144" t="s">
        <v>1045</v>
      </c>
      <c r="M767" s="144" t="s">
        <v>7142</v>
      </c>
      <c r="N767" s="144">
        <v>2</v>
      </c>
      <c r="O767" s="144" t="s">
        <v>451</v>
      </c>
      <c r="P767" s="147">
        <v>1500000</v>
      </c>
      <c r="Q767" s="144" t="s">
        <v>452</v>
      </c>
      <c r="R767" s="144" t="s">
        <v>7143</v>
      </c>
      <c r="S767" s="144"/>
      <c r="T767" s="144"/>
      <c r="U767" s="145"/>
      <c r="V767" s="145"/>
      <c r="W767" s="145"/>
      <c r="X767" s="144" t="s">
        <v>7144</v>
      </c>
      <c r="Y767" s="144" t="s">
        <v>7145</v>
      </c>
      <c r="Z767" s="144" t="str">
        <f ca="1">IFERROR(__xludf.DUMMYFUNCTION("IF(VLOOKUP($Y767, IMPORTRANGE(""https://docs.google.com/spreadsheets/d/1WsTKRjz8_fF2119Ff9dhKIIYXSaUEHzuWr8pBkxmwQQ/edit"", ""Form Responses 1!$B:$Z""),1, FALSE)=$Y767,""Yes"",""No"")"),"#N/A")</f>
        <v>#N/A</v>
      </c>
      <c r="AA767" s="144"/>
      <c r="AB767" s="144"/>
    </row>
    <row r="768" spans="1:28">
      <c r="A768" s="140" t="s">
        <v>907</v>
      </c>
      <c r="B768" s="140" t="s">
        <v>7146</v>
      </c>
      <c r="C768" s="140" t="s">
        <v>7147</v>
      </c>
      <c r="D768" s="140" t="s">
        <v>7148</v>
      </c>
      <c r="E768" s="140" t="s">
        <v>7149</v>
      </c>
      <c r="F768" s="140" t="s">
        <v>4</v>
      </c>
      <c r="G768" s="140">
        <v>2</v>
      </c>
      <c r="H768" s="140" t="s">
        <v>24</v>
      </c>
      <c r="I768" s="140" t="s">
        <v>727</v>
      </c>
      <c r="J768" s="140" t="s">
        <v>7150</v>
      </c>
      <c r="K768" s="140">
        <v>2</v>
      </c>
      <c r="L768" s="140" t="s">
        <v>462</v>
      </c>
      <c r="M768" s="140" t="s">
        <v>7151</v>
      </c>
      <c r="N768" s="140">
        <v>2</v>
      </c>
      <c r="O768" s="140" t="s">
        <v>2152</v>
      </c>
      <c r="P768" s="140">
        <v>15000</v>
      </c>
      <c r="Q768" s="140" t="s">
        <v>452</v>
      </c>
      <c r="R768" s="140" t="s">
        <v>7152</v>
      </c>
      <c r="S768" s="140"/>
      <c r="T768" s="140"/>
      <c r="U768" s="143"/>
      <c r="V768" s="143"/>
      <c r="W768" s="143"/>
      <c r="X768" s="140" t="s">
        <v>7153</v>
      </c>
      <c r="Y768" s="140" t="s">
        <v>7154</v>
      </c>
      <c r="Z768" s="140" t="str">
        <f ca="1">IFERROR(__xludf.DUMMYFUNCTION("IF(VLOOKUP($Y768, IMPORTRANGE(""https://docs.google.com/spreadsheets/d/1WsTKRjz8_fF2119Ff9dhKIIYXSaUEHzuWr8pBkxmwQQ/edit"", ""Form Responses 1!$B:$Z""),1, FALSE)=$Y768,""Yes"",""No"")"),"#N/A")</f>
        <v>#N/A</v>
      </c>
      <c r="AA768" s="140"/>
      <c r="AB768" s="140"/>
    </row>
    <row r="769" spans="1:28">
      <c r="A769" s="144" t="s">
        <v>598</v>
      </c>
      <c r="B769" s="144" t="s">
        <v>7155</v>
      </c>
      <c r="C769" s="144" t="s">
        <v>7156</v>
      </c>
      <c r="D769" s="144" t="s">
        <v>7157</v>
      </c>
      <c r="E769" s="144" t="s">
        <v>7158</v>
      </c>
      <c r="F769" s="144" t="s">
        <v>4</v>
      </c>
      <c r="G769" s="144">
        <v>2</v>
      </c>
      <c r="H769" s="144" t="s">
        <v>24</v>
      </c>
      <c r="I769" s="144" t="s">
        <v>727</v>
      </c>
      <c r="J769" s="144" t="s">
        <v>6733</v>
      </c>
      <c r="K769" s="144">
        <v>2</v>
      </c>
      <c r="L769" s="144" t="s">
        <v>604</v>
      </c>
      <c r="M769" s="144" t="s">
        <v>7159</v>
      </c>
      <c r="N769" s="144">
        <v>2</v>
      </c>
      <c r="O769" s="144" t="s">
        <v>451</v>
      </c>
      <c r="P769" s="144">
        <v>500000</v>
      </c>
      <c r="Q769" s="144" t="s">
        <v>454</v>
      </c>
      <c r="R769" s="144" t="s">
        <v>452</v>
      </c>
      <c r="S769" s="144"/>
      <c r="T769" s="144"/>
      <c r="U769" s="145"/>
      <c r="V769" s="145"/>
      <c r="W769" s="145"/>
      <c r="X769" s="144" t="s">
        <v>7160</v>
      </c>
      <c r="Y769" s="144" t="s">
        <v>7161</v>
      </c>
      <c r="Z769" s="144" t="str">
        <f ca="1">IFERROR(__xludf.DUMMYFUNCTION("IF(VLOOKUP($Y769, IMPORTRANGE(""https://docs.google.com/spreadsheets/d/1WsTKRjz8_fF2119Ff9dhKIIYXSaUEHzuWr8pBkxmwQQ/edit"", ""Form Responses 1!$B:$Z""),1, FALSE)=$Y769,""Yes"",""No"")"),"#N/A")</f>
        <v>#N/A</v>
      </c>
      <c r="AA769" s="144"/>
      <c r="AB769" s="144"/>
    </row>
    <row r="770" spans="1:28">
      <c r="A770" s="140" t="s">
        <v>443</v>
      </c>
      <c r="B770" s="140" t="s">
        <v>7162</v>
      </c>
      <c r="C770" s="140" t="s">
        <v>7163</v>
      </c>
      <c r="D770" s="140" t="s">
        <v>7164</v>
      </c>
      <c r="E770" s="140" t="s">
        <v>7165</v>
      </c>
      <c r="F770" s="140" t="s">
        <v>4</v>
      </c>
      <c r="G770" s="140">
        <v>2</v>
      </c>
      <c r="H770" s="140" t="s">
        <v>24</v>
      </c>
      <c r="I770" s="140" t="s">
        <v>727</v>
      </c>
      <c r="J770" s="140"/>
      <c r="K770" s="140">
        <v>2</v>
      </c>
      <c r="L770" s="140" t="s">
        <v>1045</v>
      </c>
      <c r="M770" s="140" t="s">
        <v>7166</v>
      </c>
      <c r="N770" s="140">
        <v>2</v>
      </c>
      <c r="O770" s="140" t="s">
        <v>784</v>
      </c>
      <c r="P770" s="140">
        <v>5000000</v>
      </c>
      <c r="Q770" s="140" t="s">
        <v>452</v>
      </c>
      <c r="R770" s="140" t="s">
        <v>7167</v>
      </c>
      <c r="S770" s="140"/>
      <c r="T770" s="140"/>
      <c r="U770" s="143"/>
      <c r="V770" s="143"/>
      <c r="W770" s="143"/>
      <c r="X770" s="140" t="s">
        <v>7168</v>
      </c>
      <c r="Y770" s="140" t="s">
        <v>7169</v>
      </c>
      <c r="Z770" s="140" t="str">
        <f ca="1">IFERROR(__xludf.DUMMYFUNCTION("IF(VLOOKUP($Y770, IMPORTRANGE(""https://docs.google.com/spreadsheets/d/1WsTKRjz8_fF2119Ff9dhKIIYXSaUEHzuWr8pBkxmwQQ/edit"", ""Form Responses 1!$B:$Z""),1, FALSE)=$Y770,""Yes"",""No"")"),"#N/A")</f>
        <v>#N/A</v>
      </c>
      <c r="AA770" s="140"/>
      <c r="AB770" s="140"/>
    </row>
    <row r="771" spans="1:28">
      <c r="A771" s="144" t="s">
        <v>484</v>
      </c>
      <c r="B771" s="144" t="s">
        <v>7170</v>
      </c>
      <c r="C771" s="144" t="s">
        <v>7171</v>
      </c>
      <c r="D771" s="144" t="s">
        <v>7172</v>
      </c>
      <c r="E771" s="144" t="s">
        <v>7173</v>
      </c>
      <c r="F771" s="144" t="s">
        <v>4</v>
      </c>
      <c r="G771" s="144">
        <v>2</v>
      </c>
      <c r="H771" s="144" t="s">
        <v>24</v>
      </c>
      <c r="I771" s="144" t="s">
        <v>727</v>
      </c>
      <c r="J771" s="144" t="s">
        <v>7174</v>
      </c>
      <c r="K771" s="144">
        <v>2</v>
      </c>
      <c r="L771" s="144" t="s">
        <v>1054</v>
      </c>
      <c r="M771" s="144" t="s">
        <v>7175</v>
      </c>
      <c r="N771" s="144">
        <v>2</v>
      </c>
      <c r="O771" s="144" t="s">
        <v>923</v>
      </c>
      <c r="P771" s="147">
        <v>2500000</v>
      </c>
      <c r="Q771" s="144" t="s">
        <v>452</v>
      </c>
      <c r="R771" s="144" t="s">
        <v>452</v>
      </c>
      <c r="S771" s="144"/>
      <c r="T771" s="144"/>
      <c r="U771" s="145"/>
      <c r="V771" s="145"/>
      <c r="W771" s="145"/>
      <c r="X771" s="144" t="s">
        <v>7176</v>
      </c>
      <c r="Y771" s="144" t="s">
        <v>7177</v>
      </c>
      <c r="Z771" s="144" t="str">
        <f ca="1">IFERROR(__xludf.DUMMYFUNCTION("IF(VLOOKUP($Y771, IMPORTRANGE(""https://docs.google.com/spreadsheets/d/1WsTKRjz8_fF2119Ff9dhKIIYXSaUEHzuWr8pBkxmwQQ/edit"", ""Form Responses 1!$B:$Z""),1, FALSE)=$Y771,""Yes"",""No"")"),"#N/A")</f>
        <v>#N/A</v>
      </c>
      <c r="AA771" s="144"/>
      <c r="AB771" s="144"/>
    </row>
    <row r="772" spans="1:28">
      <c r="A772" s="140" t="s">
        <v>529</v>
      </c>
      <c r="B772" s="140" t="s">
        <v>7178</v>
      </c>
      <c r="C772" s="140" t="s">
        <v>7179</v>
      </c>
      <c r="D772" s="140" t="s">
        <v>7180</v>
      </c>
      <c r="E772" s="140" t="s">
        <v>7181</v>
      </c>
      <c r="F772" s="140" t="s">
        <v>4</v>
      </c>
      <c r="G772" s="140">
        <v>2</v>
      </c>
      <c r="H772" s="140" t="s">
        <v>24</v>
      </c>
      <c r="I772" s="140" t="s">
        <v>725</v>
      </c>
      <c r="J772" s="140" t="s">
        <v>7182</v>
      </c>
      <c r="K772" s="140">
        <v>2</v>
      </c>
      <c r="L772" s="140" t="s">
        <v>476</v>
      </c>
      <c r="M772" s="140" t="s">
        <v>7183</v>
      </c>
      <c r="N772" s="140">
        <v>2</v>
      </c>
      <c r="O772" s="140"/>
      <c r="P772" s="140"/>
      <c r="Q772" s="140" t="s">
        <v>452</v>
      </c>
      <c r="R772" s="140" t="s">
        <v>7184</v>
      </c>
      <c r="S772" s="140"/>
      <c r="T772" s="140"/>
      <c r="U772" s="143"/>
      <c r="V772" s="143"/>
      <c r="W772" s="143"/>
      <c r="X772" s="140" t="s">
        <v>7185</v>
      </c>
      <c r="Y772" s="140" t="s">
        <v>7186</v>
      </c>
      <c r="Z772" s="140" t="str">
        <f ca="1">IFERROR(__xludf.DUMMYFUNCTION("IF(VLOOKUP($Y772, IMPORTRANGE(""https://docs.google.com/spreadsheets/d/1WsTKRjz8_fF2119Ff9dhKIIYXSaUEHzuWr8pBkxmwQQ/edit"", ""Form Responses 1!$B:$Z""),1, FALSE)=$Y772,""Yes"",""No"")"),"#N/A")</f>
        <v>#N/A</v>
      </c>
      <c r="AA772" s="140"/>
      <c r="AB772" s="140"/>
    </row>
    <row r="773" spans="1:28">
      <c r="A773" s="144" t="s">
        <v>484</v>
      </c>
      <c r="B773" s="144" t="s">
        <v>7187</v>
      </c>
      <c r="C773" s="144" t="s">
        <v>7188</v>
      </c>
      <c r="D773" s="144" t="s">
        <v>7189</v>
      </c>
      <c r="E773" s="144" t="s">
        <v>7190</v>
      </c>
      <c r="F773" s="144" t="s">
        <v>4</v>
      </c>
      <c r="G773" s="144">
        <v>2</v>
      </c>
      <c r="H773" s="144" t="s">
        <v>24</v>
      </c>
      <c r="I773" s="144" t="s">
        <v>727</v>
      </c>
      <c r="J773" s="144" t="s">
        <v>7191</v>
      </c>
      <c r="K773" s="144">
        <v>2</v>
      </c>
      <c r="L773" s="144" t="s">
        <v>1054</v>
      </c>
      <c r="M773" s="144" t="s">
        <v>6997</v>
      </c>
      <c r="N773" s="144">
        <v>2</v>
      </c>
      <c r="O773" s="144"/>
      <c r="P773" s="144"/>
      <c r="Q773" s="144" t="s">
        <v>452</v>
      </c>
      <c r="R773" s="144" t="s">
        <v>7192</v>
      </c>
      <c r="S773" s="144"/>
      <c r="T773" s="144"/>
      <c r="U773" s="145"/>
      <c r="V773" s="145"/>
      <c r="W773" s="145"/>
      <c r="X773" s="144" t="s">
        <v>7193</v>
      </c>
      <c r="Y773" s="144" t="s">
        <v>7194</v>
      </c>
      <c r="Z773" s="144" t="str">
        <f ca="1">IFERROR(__xludf.DUMMYFUNCTION("IF(VLOOKUP($Y773, IMPORTRANGE(""https://docs.google.com/spreadsheets/d/1WsTKRjz8_fF2119Ff9dhKIIYXSaUEHzuWr8pBkxmwQQ/edit"", ""Form Responses 1!$B:$Z""),1, FALSE)=$Y773,""Yes"",""No"")"),"#N/A")</f>
        <v>#N/A</v>
      </c>
      <c r="AA773" s="144"/>
      <c r="AB773" s="144"/>
    </row>
    <row r="774" spans="1:28">
      <c r="A774" s="140" t="s">
        <v>443</v>
      </c>
      <c r="B774" s="140" t="s">
        <v>7195</v>
      </c>
      <c r="C774" s="140" t="s">
        <v>7196</v>
      </c>
      <c r="D774" s="140" t="s">
        <v>7197</v>
      </c>
      <c r="E774" s="140" t="s">
        <v>7198</v>
      </c>
      <c r="F774" s="140" t="s">
        <v>4</v>
      </c>
      <c r="G774" s="140">
        <v>2</v>
      </c>
      <c r="H774" s="140" t="s">
        <v>24</v>
      </c>
      <c r="I774" s="140" t="s">
        <v>602</v>
      </c>
      <c r="J774" s="140"/>
      <c r="K774" s="140">
        <v>2</v>
      </c>
      <c r="L774" s="140" t="s">
        <v>1054</v>
      </c>
      <c r="M774" s="140" t="s">
        <v>7199</v>
      </c>
      <c r="N774" s="140">
        <v>2</v>
      </c>
      <c r="O774" s="140" t="s">
        <v>451</v>
      </c>
      <c r="P774" s="142">
        <v>250000</v>
      </c>
      <c r="Q774" s="140" t="s">
        <v>452</v>
      </c>
      <c r="R774" s="140" t="s">
        <v>7200</v>
      </c>
      <c r="S774" s="140"/>
      <c r="T774" s="140"/>
      <c r="U774" s="143"/>
      <c r="V774" s="143"/>
      <c r="W774" s="143"/>
      <c r="X774" s="140" t="s">
        <v>7201</v>
      </c>
      <c r="Y774" s="140" t="s">
        <v>7202</v>
      </c>
      <c r="Z774" s="140" t="str">
        <f ca="1">IFERROR(__xludf.DUMMYFUNCTION("IF(VLOOKUP($Y774, IMPORTRANGE(""https://docs.google.com/spreadsheets/d/1WsTKRjz8_fF2119Ff9dhKIIYXSaUEHzuWr8pBkxmwQQ/edit"", ""Form Responses 1!$B:$Z""),1, FALSE)=$Y774,""Yes"",""No"")"),"#N/A")</f>
        <v>#N/A</v>
      </c>
      <c r="AA774" s="140"/>
      <c r="AB774" s="140"/>
    </row>
    <row r="775" spans="1:28">
      <c r="A775" s="144" t="s">
        <v>484</v>
      </c>
      <c r="B775" s="144" t="s">
        <v>7203</v>
      </c>
      <c r="C775" s="144" t="s">
        <v>7204</v>
      </c>
      <c r="D775" s="144" t="s">
        <v>7205</v>
      </c>
      <c r="E775" s="144" t="s">
        <v>7206</v>
      </c>
      <c r="F775" s="144" t="s">
        <v>4</v>
      </c>
      <c r="G775" s="144">
        <v>2</v>
      </c>
      <c r="H775" s="144" t="s">
        <v>24</v>
      </c>
      <c r="I775" s="144" t="s">
        <v>602</v>
      </c>
      <c r="J775" s="144" t="s">
        <v>7207</v>
      </c>
      <c r="K775" s="144">
        <v>2</v>
      </c>
      <c r="L775" s="144" t="s">
        <v>1054</v>
      </c>
      <c r="M775" s="144" t="s">
        <v>7208</v>
      </c>
      <c r="N775" s="144">
        <v>2</v>
      </c>
      <c r="O775" s="144"/>
      <c r="P775" s="147">
        <v>1000000</v>
      </c>
      <c r="Q775" s="144" t="s">
        <v>452</v>
      </c>
      <c r="R775" s="144" t="s">
        <v>452</v>
      </c>
      <c r="S775" s="144"/>
      <c r="T775" s="144"/>
      <c r="U775" s="145"/>
      <c r="V775" s="145"/>
      <c r="W775" s="145"/>
      <c r="X775" s="144" t="s">
        <v>5614</v>
      </c>
      <c r="Y775" s="144" t="s">
        <v>7209</v>
      </c>
      <c r="Z775" s="144" t="str">
        <f ca="1">IFERROR(__xludf.DUMMYFUNCTION("IF(VLOOKUP($Y775, IMPORTRANGE(""https://docs.google.com/spreadsheets/d/1WsTKRjz8_fF2119Ff9dhKIIYXSaUEHzuWr8pBkxmwQQ/edit"", ""Form Responses 1!$B:$Z""),1, FALSE)=$Y775,""Yes"",""No"")"),"#N/A")</f>
        <v>#N/A</v>
      </c>
      <c r="AA775" s="144"/>
      <c r="AB775" s="144"/>
    </row>
    <row r="776" spans="1:28">
      <c r="A776" s="140" t="s">
        <v>529</v>
      </c>
      <c r="B776" s="140" t="s">
        <v>7210</v>
      </c>
      <c r="C776" s="140" t="s">
        <v>7211</v>
      </c>
      <c r="D776" s="140" t="s">
        <v>7212</v>
      </c>
      <c r="E776" s="140"/>
      <c r="F776" s="140" t="s">
        <v>4</v>
      </c>
      <c r="G776" s="140">
        <v>2</v>
      </c>
      <c r="H776" s="140" t="s">
        <v>24</v>
      </c>
      <c r="I776" s="140" t="s">
        <v>725</v>
      </c>
      <c r="J776" s="140" t="s">
        <v>7213</v>
      </c>
      <c r="K776" s="140">
        <v>2</v>
      </c>
      <c r="L776" s="140" t="s">
        <v>1187</v>
      </c>
      <c r="M776" s="140" t="s">
        <v>7214</v>
      </c>
      <c r="N776" s="140">
        <v>2</v>
      </c>
      <c r="O776" s="140" t="s">
        <v>2190</v>
      </c>
      <c r="P776" s="140" t="s">
        <v>4828</v>
      </c>
      <c r="Q776" s="140" t="s">
        <v>465</v>
      </c>
      <c r="R776" s="140" t="s">
        <v>7215</v>
      </c>
      <c r="S776" s="140" t="s">
        <v>7216</v>
      </c>
      <c r="T776" s="140"/>
      <c r="U776" s="143"/>
      <c r="V776" s="143"/>
      <c r="W776" s="143"/>
      <c r="X776" s="140" t="s">
        <v>7217</v>
      </c>
      <c r="Y776" s="140" t="s">
        <v>7218</v>
      </c>
      <c r="Z776" s="140" t="str">
        <f ca="1">IFERROR(__xludf.DUMMYFUNCTION("IF(VLOOKUP($Y776, IMPORTRANGE(""https://docs.google.com/spreadsheets/d/1WsTKRjz8_fF2119Ff9dhKIIYXSaUEHzuWr8pBkxmwQQ/edit"", ""Form Responses 1!$B:$Z""),1, FALSE)=$Y776,""Yes"",""No"")"),"#N/A")</f>
        <v>#N/A</v>
      </c>
      <c r="AA776" s="140"/>
      <c r="AB776" s="140"/>
    </row>
    <row r="777" spans="1:28">
      <c r="A777" s="144" t="s">
        <v>598</v>
      </c>
      <c r="B777" s="144" t="s">
        <v>7219</v>
      </c>
      <c r="C777" s="144" t="s">
        <v>7220</v>
      </c>
      <c r="D777" s="144" t="s">
        <v>7221</v>
      </c>
      <c r="E777" s="144" t="s">
        <v>7222</v>
      </c>
      <c r="F777" s="144" t="s">
        <v>4</v>
      </c>
      <c r="G777" s="144">
        <v>2</v>
      </c>
      <c r="H777" s="144" t="s">
        <v>24</v>
      </c>
      <c r="I777" s="144" t="s">
        <v>725</v>
      </c>
      <c r="J777" s="144" t="s">
        <v>7223</v>
      </c>
      <c r="K777" s="144">
        <v>2</v>
      </c>
      <c r="L777" s="144" t="s">
        <v>1045</v>
      </c>
      <c r="M777" s="144" t="s">
        <v>7224</v>
      </c>
      <c r="N777" s="144">
        <v>2</v>
      </c>
      <c r="O777" s="144" t="s">
        <v>451</v>
      </c>
      <c r="P777" s="147">
        <v>1000000</v>
      </c>
      <c r="Q777" s="144" t="s">
        <v>454</v>
      </c>
      <c r="R777" s="144" t="s">
        <v>7225</v>
      </c>
      <c r="S777" s="144"/>
      <c r="T777" s="144"/>
      <c r="U777" s="145"/>
      <c r="V777" s="145"/>
      <c r="W777" s="145"/>
      <c r="X777" s="144" t="s">
        <v>7226</v>
      </c>
      <c r="Y777" s="144" t="s">
        <v>7227</v>
      </c>
      <c r="Z777" s="144" t="str">
        <f ca="1">IFERROR(__xludf.DUMMYFUNCTION("IF(VLOOKUP($Y777, IMPORTRANGE(""https://docs.google.com/spreadsheets/d/1WsTKRjz8_fF2119Ff9dhKIIYXSaUEHzuWr8pBkxmwQQ/edit"", ""Form Responses 1!$B:$Z""),1, FALSE)=$Y777,""Yes"",""No"")"),"#N/A")</f>
        <v>#N/A</v>
      </c>
      <c r="AA777" s="144"/>
      <c r="AB777" s="144"/>
    </row>
    <row r="778" spans="1:28">
      <c r="A778" s="140" t="s">
        <v>529</v>
      </c>
      <c r="B778" s="140" t="s">
        <v>7228</v>
      </c>
      <c r="C778" s="140" t="s">
        <v>7229</v>
      </c>
      <c r="D778" s="140" t="s">
        <v>7230</v>
      </c>
      <c r="E778" s="140" t="s">
        <v>7231</v>
      </c>
      <c r="F778" s="140" t="s">
        <v>4</v>
      </c>
      <c r="G778" s="140">
        <v>2</v>
      </c>
      <c r="H778" s="140" t="s">
        <v>24</v>
      </c>
      <c r="I778" s="140" t="s">
        <v>602</v>
      </c>
      <c r="J778" s="140" t="s">
        <v>7232</v>
      </c>
      <c r="K778" s="140">
        <v>2</v>
      </c>
      <c r="L778" s="140" t="s">
        <v>1187</v>
      </c>
      <c r="M778" s="140" t="s">
        <v>7233</v>
      </c>
      <c r="N778" s="140">
        <v>2</v>
      </c>
      <c r="O778" s="140"/>
      <c r="P778" s="140"/>
      <c r="Q778" s="140" t="s">
        <v>452</v>
      </c>
      <c r="R778" s="140" t="s">
        <v>452</v>
      </c>
      <c r="S778" s="140"/>
      <c r="T778" s="140"/>
      <c r="U778" s="143"/>
      <c r="V778" s="143"/>
      <c r="W778" s="143"/>
      <c r="X778" s="140" t="s">
        <v>7234</v>
      </c>
      <c r="Y778" s="140" t="s">
        <v>7235</v>
      </c>
      <c r="Z778" s="140" t="str">
        <f ca="1">IFERROR(__xludf.DUMMYFUNCTION("IF(VLOOKUP($Y778, IMPORTRANGE(""https://docs.google.com/spreadsheets/d/1WsTKRjz8_fF2119Ff9dhKIIYXSaUEHzuWr8pBkxmwQQ/edit"", ""Form Responses 1!$B:$Z""),1, FALSE)=$Y778,""Yes"",""No"")"),"#N/A")</f>
        <v>#N/A</v>
      </c>
      <c r="AA778" s="140"/>
      <c r="AB778" s="140"/>
    </row>
    <row r="779" spans="1:28">
      <c r="A779" s="144" t="s">
        <v>907</v>
      </c>
      <c r="B779" s="144" t="s">
        <v>7236</v>
      </c>
      <c r="C779" s="144" t="s">
        <v>7237</v>
      </c>
      <c r="D779" s="144" t="s">
        <v>7238</v>
      </c>
      <c r="E779" s="144" t="s">
        <v>7239</v>
      </c>
      <c r="F779" s="144" t="s">
        <v>4</v>
      </c>
      <c r="G779" s="144">
        <v>2</v>
      </c>
      <c r="H779" s="144" t="s">
        <v>24</v>
      </c>
      <c r="I779" s="144" t="s">
        <v>447</v>
      </c>
      <c r="J779" s="144" t="s">
        <v>7240</v>
      </c>
      <c r="K779" s="144">
        <v>1</v>
      </c>
      <c r="L779" s="144" t="s">
        <v>1187</v>
      </c>
      <c r="M779" s="144" t="s">
        <v>7241</v>
      </c>
      <c r="N779" s="144">
        <v>3</v>
      </c>
      <c r="O779" s="144" t="s">
        <v>451</v>
      </c>
      <c r="P779" s="146">
        <v>2000000</v>
      </c>
      <c r="Q779" s="144" t="s">
        <v>465</v>
      </c>
      <c r="R779" s="144" t="s">
        <v>452</v>
      </c>
      <c r="S779" s="144"/>
      <c r="T779" s="144"/>
      <c r="U779" s="145"/>
      <c r="V779" s="145"/>
      <c r="W779" s="145"/>
      <c r="X779" s="144" t="s">
        <v>7242</v>
      </c>
      <c r="Y779" s="144" t="s">
        <v>7243</v>
      </c>
      <c r="Z779" s="144" t="str">
        <f ca="1">IFERROR(__xludf.DUMMYFUNCTION("IF(VLOOKUP($Y779, IMPORTRANGE(""https://docs.google.com/spreadsheets/d/1WsTKRjz8_fF2119Ff9dhKIIYXSaUEHzuWr8pBkxmwQQ/edit"", ""Form Responses 1!$B:$Z""),1, FALSE)=$Y779,""Yes"",""No"")"),"#N/A")</f>
        <v>#N/A</v>
      </c>
      <c r="AA779" s="144"/>
      <c r="AB779" s="144"/>
    </row>
    <row r="780" spans="1:28">
      <c r="A780" s="140" t="s">
        <v>443</v>
      </c>
      <c r="B780" s="140" t="s">
        <v>7244</v>
      </c>
      <c r="C780" s="140" t="s">
        <v>7245</v>
      </c>
      <c r="D780" s="140" t="s">
        <v>7246</v>
      </c>
      <c r="E780" s="140" t="s">
        <v>7247</v>
      </c>
      <c r="F780" s="140" t="s">
        <v>4</v>
      </c>
      <c r="G780" s="140">
        <v>2</v>
      </c>
      <c r="H780" s="140" t="s">
        <v>24</v>
      </c>
      <c r="I780" s="140" t="s">
        <v>727</v>
      </c>
      <c r="J780" s="140" t="s">
        <v>7248</v>
      </c>
      <c r="K780" s="140">
        <v>2</v>
      </c>
      <c r="L780" s="140" t="s">
        <v>1045</v>
      </c>
      <c r="M780" s="140" t="s">
        <v>7249</v>
      </c>
      <c r="N780" s="140">
        <v>2</v>
      </c>
      <c r="O780" s="140"/>
      <c r="P780" s="140"/>
      <c r="Q780" s="140" t="s">
        <v>452</v>
      </c>
      <c r="R780" s="140" t="s">
        <v>7250</v>
      </c>
      <c r="S780" s="140"/>
      <c r="T780" s="140"/>
      <c r="U780" s="143"/>
      <c r="V780" s="143"/>
      <c r="W780" s="143"/>
      <c r="X780" s="140" t="s">
        <v>5707</v>
      </c>
      <c r="Y780" s="140" t="s">
        <v>7251</v>
      </c>
      <c r="Z780" s="140" t="str">
        <f ca="1">IFERROR(__xludf.DUMMYFUNCTION("IF(VLOOKUP($Y780, IMPORTRANGE(""https://docs.google.com/spreadsheets/d/1WsTKRjz8_fF2119Ff9dhKIIYXSaUEHzuWr8pBkxmwQQ/edit"", ""Form Responses 1!$B:$Z""),1, FALSE)=$Y780,""Yes"",""No"")"),"#N/A")</f>
        <v>#N/A</v>
      </c>
      <c r="AA780" s="140"/>
      <c r="AB780" s="140"/>
    </row>
    <row r="781" spans="1:28">
      <c r="A781" s="144" t="s">
        <v>443</v>
      </c>
      <c r="B781" s="144" t="s">
        <v>7252</v>
      </c>
      <c r="C781" s="144" t="s">
        <v>7253</v>
      </c>
      <c r="D781" s="144" t="s">
        <v>7254</v>
      </c>
      <c r="E781" s="144" t="s">
        <v>7255</v>
      </c>
      <c r="F781" s="144" t="s">
        <v>4</v>
      </c>
      <c r="G781" s="144">
        <v>2</v>
      </c>
      <c r="H781" s="144" t="s">
        <v>24</v>
      </c>
      <c r="I781" s="144" t="s">
        <v>602</v>
      </c>
      <c r="J781" s="144" t="s">
        <v>6912</v>
      </c>
      <c r="K781" s="144">
        <v>2</v>
      </c>
      <c r="L781" s="144" t="s">
        <v>1045</v>
      </c>
      <c r="M781" s="144" t="s">
        <v>7256</v>
      </c>
      <c r="N781" s="144">
        <v>2</v>
      </c>
      <c r="O781" s="144" t="s">
        <v>451</v>
      </c>
      <c r="P781" s="147">
        <v>500000</v>
      </c>
      <c r="Q781" s="144" t="s">
        <v>452</v>
      </c>
      <c r="R781" s="144" t="s">
        <v>1028</v>
      </c>
      <c r="S781" s="144"/>
      <c r="T781" s="144"/>
      <c r="U781" s="145"/>
      <c r="V781" s="145"/>
      <c r="W781" s="145"/>
      <c r="X781" s="144" t="s">
        <v>7257</v>
      </c>
      <c r="Y781" s="144" t="s">
        <v>7258</v>
      </c>
      <c r="Z781" s="144" t="str">
        <f ca="1">IFERROR(__xludf.DUMMYFUNCTION("IF(VLOOKUP($Y781, IMPORTRANGE(""https://docs.google.com/spreadsheets/d/1WsTKRjz8_fF2119Ff9dhKIIYXSaUEHzuWr8pBkxmwQQ/edit"", ""Form Responses 1!$B:$Z""),1, FALSE)=$Y781,""Yes"",""No"")"),"#N/A")</f>
        <v>#N/A</v>
      </c>
      <c r="AA781" s="144"/>
      <c r="AB781" s="144"/>
    </row>
    <row r="782" spans="1:28">
      <c r="A782" s="140" t="s">
        <v>443</v>
      </c>
      <c r="B782" s="140" t="s">
        <v>7259</v>
      </c>
      <c r="C782" s="140" t="s">
        <v>7260</v>
      </c>
      <c r="D782" s="140" t="s">
        <v>7261</v>
      </c>
      <c r="E782" s="140" t="s">
        <v>7262</v>
      </c>
      <c r="F782" s="140" t="s">
        <v>4</v>
      </c>
      <c r="G782" s="140">
        <v>2</v>
      </c>
      <c r="H782" s="140" t="s">
        <v>24</v>
      </c>
      <c r="I782" s="140" t="s">
        <v>602</v>
      </c>
      <c r="J782" s="140" t="s">
        <v>7263</v>
      </c>
      <c r="K782" s="140">
        <v>2</v>
      </c>
      <c r="L782" s="140" t="s">
        <v>1054</v>
      </c>
      <c r="M782" s="140" t="s">
        <v>7264</v>
      </c>
      <c r="N782" s="140">
        <v>2</v>
      </c>
      <c r="O782" s="140"/>
      <c r="P782" s="140"/>
      <c r="Q782" s="140" t="s">
        <v>452</v>
      </c>
      <c r="R782" s="140" t="s">
        <v>7265</v>
      </c>
      <c r="S782" s="140"/>
      <c r="T782" s="140"/>
      <c r="U782" s="143"/>
      <c r="V782" s="143"/>
      <c r="W782" s="143"/>
      <c r="X782" s="140" t="s">
        <v>7266</v>
      </c>
      <c r="Y782" s="140" t="s">
        <v>7267</v>
      </c>
      <c r="Z782" s="140" t="str">
        <f ca="1">IFERROR(__xludf.DUMMYFUNCTION("IF(VLOOKUP($Y782, IMPORTRANGE(""https://docs.google.com/spreadsheets/d/1WsTKRjz8_fF2119Ff9dhKIIYXSaUEHzuWr8pBkxmwQQ/edit"", ""Form Responses 1!$B:$Z""),1, FALSE)=$Y782,""Yes"",""No"")"),"#N/A")</f>
        <v>#N/A</v>
      </c>
      <c r="AA782" s="140"/>
      <c r="AB782" s="140"/>
    </row>
    <row r="783" spans="1:28">
      <c r="A783" s="144" t="s">
        <v>907</v>
      </c>
      <c r="B783" s="144" t="s">
        <v>7268</v>
      </c>
      <c r="C783" s="144" t="s">
        <v>7269</v>
      </c>
      <c r="D783" s="144" t="s">
        <v>7270</v>
      </c>
      <c r="E783" s="144" t="s">
        <v>7271</v>
      </c>
      <c r="F783" s="144" t="s">
        <v>4</v>
      </c>
      <c r="G783" s="144">
        <v>2</v>
      </c>
      <c r="H783" s="144" t="s">
        <v>24</v>
      </c>
      <c r="I783" s="144" t="s">
        <v>460</v>
      </c>
      <c r="J783" s="144" t="s">
        <v>7272</v>
      </c>
      <c r="K783" s="144">
        <v>2</v>
      </c>
      <c r="L783" s="144" t="s">
        <v>1237</v>
      </c>
      <c r="M783" s="144"/>
      <c r="N783" s="144">
        <v>2</v>
      </c>
      <c r="O783" s="144" t="s">
        <v>451</v>
      </c>
      <c r="P783" s="144">
        <v>3000000</v>
      </c>
      <c r="Q783" s="144" t="s">
        <v>452</v>
      </c>
      <c r="R783" s="144" t="s">
        <v>7273</v>
      </c>
      <c r="S783" s="144"/>
      <c r="T783" s="144"/>
      <c r="U783" s="145"/>
      <c r="V783" s="145"/>
      <c r="W783" s="145"/>
      <c r="X783" s="144" t="s">
        <v>7274</v>
      </c>
      <c r="Y783" s="144" t="s">
        <v>7275</v>
      </c>
      <c r="Z783" s="144" t="str">
        <f ca="1">IFERROR(__xludf.DUMMYFUNCTION("IF(VLOOKUP($Y783, IMPORTRANGE(""https://docs.google.com/spreadsheets/d/1WsTKRjz8_fF2119Ff9dhKIIYXSaUEHzuWr8pBkxmwQQ/edit"", ""Form Responses 1!$B:$Z""),1, FALSE)=$Y783,""Yes"",""No"")"),"#N/A")</f>
        <v>#N/A</v>
      </c>
      <c r="AA783" s="144"/>
      <c r="AB783" s="144"/>
    </row>
    <row r="784" spans="1:28">
      <c r="A784" s="140" t="s">
        <v>907</v>
      </c>
      <c r="B784" s="140" t="s">
        <v>7276</v>
      </c>
      <c r="C784" s="140" t="s">
        <v>7277</v>
      </c>
      <c r="D784" s="140" t="s">
        <v>7278</v>
      </c>
      <c r="E784" s="140" t="s">
        <v>7279</v>
      </c>
      <c r="F784" s="140" t="s">
        <v>4</v>
      </c>
      <c r="G784" s="140">
        <v>2</v>
      </c>
      <c r="H784" s="140" t="s">
        <v>24</v>
      </c>
      <c r="I784" s="140" t="s">
        <v>1045</v>
      </c>
      <c r="J784" s="140" t="s">
        <v>7280</v>
      </c>
      <c r="K784" s="140">
        <v>2</v>
      </c>
      <c r="L784" s="140" t="s">
        <v>1237</v>
      </c>
      <c r="M784" s="140"/>
      <c r="N784" s="140">
        <v>2</v>
      </c>
      <c r="O784" s="140"/>
      <c r="P784" s="140"/>
      <c r="Q784" s="140" t="s">
        <v>452</v>
      </c>
      <c r="R784" s="140" t="s">
        <v>7281</v>
      </c>
      <c r="S784" s="140"/>
      <c r="T784" s="140"/>
      <c r="U784" s="143"/>
      <c r="V784" s="143"/>
      <c r="W784" s="143"/>
      <c r="X784" s="140" t="s">
        <v>7282</v>
      </c>
      <c r="Y784" s="140" t="s">
        <v>7283</v>
      </c>
      <c r="Z784" s="140" t="str">
        <f ca="1">IFERROR(__xludf.DUMMYFUNCTION("IF(VLOOKUP($Y784, IMPORTRANGE(""https://docs.google.com/spreadsheets/d/1WsTKRjz8_fF2119Ff9dhKIIYXSaUEHzuWr8pBkxmwQQ/edit"", ""Form Responses 1!$B:$Z""),1, FALSE)=$Y784,""Yes"",""No"")"),"#N/A")</f>
        <v>#N/A</v>
      </c>
      <c r="AA784" s="140"/>
      <c r="AB784" s="140"/>
    </row>
    <row r="785" spans="1:28">
      <c r="A785" s="144" t="s">
        <v>484</v>
      </c>
      <c r="B785" s="144" t="s">
        <v>7284</v>
      </c>
      <c r="C785" s="144" t="s">
        <v>7285</v>
      </c>
      <c r="D785" s="144" t="s">
        <v>7286</v>
      </c>
      <c r="E785" s="144" t="s">
        <v>7287</v>
      </c>
      <c r="F785" s="144" t="s">
        <v>4</v>
      </c>
      <c r="G785" s="144">
        <v>2</v>
      </c>
      <c r="H785" s="144" t="s">
        <v>24</v>
      </c>
      <c r="I785" s="144" t="s">
        <v>602</v>
      </c>
      <c r="J785" s="144" t="s">
        <v>7288</v>
      </c>
      <c r="K785" s="144">
        <v>2.5</v>
      </c>
      <c r="L785" s="144" t="s">
        <v>476</v>
      </c>
      <c r="M785" s="144" t="s">
        <v>7289</v>
      </c>
      <c r="N785" s="144">
        <v>1.5</v>
      </c>
      <c r="O785" s="144"/>
      <c r="P785" s="144"/>
      <c r="Q785" s="144" t="s">
        <v>452</v>
      </c>
      <c r="R785" s="144" t="s">
        <v>452</v>
      </c>
      <c r="S785" s="144"/>
      <c r="T785" s="144"/>
      <c r="U785" s="145"/>
      <c r="V785" s="145"/>
      <c r="W785" s="145"/>
      <c r="X785" s="144" t="s">
        <v>4741</v>
      </c>
      <c r="Y785" s="144" t="s">
        <v>7290</v>
      </c>
      <c r="Z785" s="144" t="str">
        <f ca="1">IFERROR(__xludf.DUMMYFUNCTION("IF(VLOOKUP($Y785, IMPORTRANGE(""https://docs.google.com/spreadsheets/d/1WsTKRjz8_fF2119Ff9dhKIIYXSaUEHzuWr8pBkxmwQQ/edit"", ""Form Responses 1!$B:$Z""),1, FALSE)=$Y785,""Yes"",""No"")"),"#N/A")</f>
        <v>#N/A</v>
      </c>
      <c r="AA785" s="144"/>
      <c r="AB785" s="144"/>
    </row>
    <row r="786" spans="1:28">
      <c r="A786" s="140" t="s">
        <v>484</v>
      </c>
      <c r="B786" s="140" t="s">
        <v>7291</v>
      </c>
      <c r="C786" s="140" t="s">
        <v>7292</v>
      </c>
      <c r="D786" s="140" t="s">
        <v>7293</v>
      </c>
      <c r="E786" s="140" t="s">
        <v>7294</v>
      </c>
      <c r="F786" s="140" t="s">
        <v>4</v>
      </c>
      <c r="G786" s="140">
        <v>2</v>
      </c>
      <c r="H786" s="140" t="s">
        <v>24</v>
      </c>
      <c r="I786" s="140" t="s">
        <v>602</v>
      </c>
      <c r="J786" s="140" t="s">
        <v>7295</v>
      </c>
      <c r="K786" s="140">
        <v>2</v>
      </c>
      <c r="L786" s="140" t="s">
        <v>622</v>
      </c>
      <c r="M786" s="140" t="s">
        <v>7296</v>
      </c>
      <c r="N786" s="140">
        <v>2</v>
      </c>
      <c r="O786" s="140"/>
      <c r="P786" s="140"/>
      <c r="Q786" s="140" t="s">
        <v>452</v>
      </c>
      <c r="R786" s="140" t="s">
        <v>7297</v>
      </c>
      <c r="S786" s="140"/>
      <c r="T786" s="140"/>
      <c r="U786" s="143"/>
      <c r="V786" s="143"/>
      <c r="W786" s="143"/>
      <c r="X786" s="140" t="s">
        <v>7298</v>
      </c>
      <c r="Y786" s="140" t="s">
        <v>7299</v>
      </c>
      <c r="Z786" s="140" t="str">
        <f ca="1">IFERROR(__xludf.DUMMYFUNCTION("IF(VLOOKUP($Y786, IMPORTRANGE(""https://docs.google.com/spreadsheets/d/1WsTKRjz8_fF2119Ff9dhKIIYXSaUEHzuWr8pBkxmwQQ/edit"", ""Form Responses 1!$B:$Z""),1, FALSE)=$Y786,""Yes"",""No"")"),"#N/A")</f>
        <v>#N/A</v>
      </c>
      <c r="AA786" s="140"/>
      <c r="AB786" s="140"/>
    </row>
    <row r="787" spans="1:28">
      <c r="A787" s="144" t="s">
        <v>443</v>
      </c>
      <c r="B787" s="144" t="s">
        <v>7300</v>
      </c>
      <c r="C787" s="144" t="s">
        <v>7301</v>
      </c>
      <c r="D787" s="144" t="s">
        <v>7302</v>
      </c>
      <c r="E787" s="144" t="s">
        <v>7303</v>
      </c>
      <c r="F787" s="144" t="s">
        <v>4</v>
      </c>
      <c r="G787" s="144">
        <v>2</v>
      </c>
      <c r="H787" s="144" t="s">
        <v>24</v>
      </c>
      <c r="I787" s="144" t="s">
        <v>727</v>
      </c>
      <c r="J787" s="144" t="s">
        <v>7304</v>
      </c>
      <c r="K787" s="144">
        <v>2</v>
      </c>
      <c r="L787" s="144" t="s">
        <v>1045</v>
      </c>
      <c r="M787" s="144" t="s">
        <v>7305</v>
      </c>
      <c r="N787" s="144">
        <v>2</v>
      </c>
      <c r="O787" s="144" t="s">
        <v>451</v>
      </c>
      <c r="P787" s="147">
        <v>200000</v>
      </c>
      <c r="Q787" s="144" t="s">
        <v>452</v>
      </c>
      <c r="R787" s="144" t="s">
        <v>7306</v>
      </c>
      <c r="S787" s="144"/>
      <c r="T787" s="144"/>
      <c r="U787" s="145"/>
      <c r="V787" s="145"/>
      <c r="W787" s="145"/>
      <c r="X787" s="144" t="s">
        <v>7307</v>
      </c>
      <c r="Y787" s="144" t="s">
        <v>7308</v>
      </c>
      <c r="Z787" s="144" t="str">
        <f ca="1">IFERROR(__xludf.DUMMYFUNCTION("IF(VLOOKUP($Y787, IMPORTRANGE(""https://docs.google.com/spreadsheets/d/1WsTKRjz8_fF2119Ff9dhKIIYXSaUEHzuWr8pBkxmwQQ/edit"", ""Form Responses 1!$B:$Z""),1, FALSE)=$Y787,""Yes"",""No"")"),"#N/A")</f>
        <v>#N/A</v>
      </c>
      <c r="AA787" s="144"/>
      <c r="AB787" s="144"/>
    </row>
    <row r="788" spans="1:28">
      <c r="A788" s="140" t="s">
        <v>529</v>
      </c>
      <c r="B788" s="140" t="s">
        <v>7309</v>
      </c>
      <c r="C788" s="140" t="s">
        <v>7310</v>
      </c>
      <c r="D788" s="140" t="s">
        <v>7311</v>
      </c>
      <c r="E788" s="140" t="s">
        <v>7312</v>
      </c>
      <c r="F788" s="140" t="s">
        <v>4</v>
      </c>
      <c r="G788" s="140">
        <v>2</v>
      </c>
      <c r="H788" s="140" t="s">
        <v>24</v>
      </c>
      <c r="I788" s="140" t="s">
        <v>727</v>
      </c>
      <c r="J788" s="140" t="s">
        <v>7313</v>
      </c>
      <c r="K788" s="140">
        <v>2</v>
      </c>
      <c r="L788" s="140" t="s">
        <v>1237</v>
      </c>
      <c r="M788" s="140"/>
      <c r="N788" s="140">
        <v>2</v>
      </c>
      <c r="O788" s="140" t="s">
        <v>784</v>
      </c>
      <c r="P788" s="140" t="s">
        <v>7314</v>
      </c>
      <c r="Q788" s="140" t="s">
        <v>452</v>
      </c>
      <c r="R788" s="140" t="s">
        <v>7315</v>
      </c>
      <c r="S788" s="140"/>
      <c r="T788" s="140"/>
      <c r="U788" s="143"/>
      <c r="V788" s="143"/>
      <c r="W788" s="143"/>
      <c r="X788" s="140" t="s">
        <v>7316</v>
      </c>
      <c r="Y788" s="140" t="s">
        <v>7317</v>
      </c>
      <c r="Z788" s="140" t="str">
        <f ca="1">IFERROR(__xludf.DUMMYFUNCTION("IF(VLOOKUP($Y788, IMPORTRANGE(""https://docs.google.com/spreadsheets/d/1WsTKRjz8_fF2119Ff9dhKIIYXSaUEHzuWr8pBkxmwQQ/edit"", ""Form Responses 1!$B:$Z""),1, FALSE)=$Y788,""Yes"",""No"")"),"#N/A")</f>
        <v>#N/A</v>
      </c>
      <c r="AA788" s="140"/>
      <c r="AB788" s="140"/>
    </row>
    <row r="789" spans="1:28">
      <c r="A789" s="144" t="s">
        <v>529</v>
      </c>
      <c r="B789" s="144" t="s">
        <v>7318</v>
      </c>
      <c r="C789" s="144" t="s">
        <v>7319</v>
      </c>
      <c r="D789" s="144" t="s">
        <v>7320</v>
      </c>
      <c r="E789" s="144" t="s">
        <v>7321</v>
      </c>
      <c r="F789" s="144" t="s">
        <v>4</v>
      </c>
      <c r="G789" s="144">
        <v>2</v>
      </c>
      <c r="H789" s="144" t="s">
        <v>24</v>
      </c>
      <c r="I789" s="144" t="s">
        <v>725</v>
      </c>
      <c r="J789" s="144" t="s">
        <v>7322</v>
      </c>
      <c r="K789" s="144">
        <v>2</v>
      </c>
      <c r="L789" s="144" t="s">
        <v>1237</v>
      </c>
      <c r="M789" s="144"/>
      <c r="N789" s="144">
        <v>2</v>
      </c>
      <c r="O789" s="144" t="s">
        <v>451</v>
      </c>
      <c r="P789" s="146">
        <v>1100000</v>
      </c>
      <c r="Q789" s="144" t="s">
        <v>452</v>
      </c>
      <c r="R789" s="144" t="s">
        <v>6472</v>
      </c>
      <c r="S789" s="144" t="s">
        <v>585</v>
      </c>
      <c r="T789" s="144"/>
      <c r="U789" s="145"/>
      <c r="V789" s="145"/>
      <c r="W789" s="145"/>
      <c r="X789" s="144" t="s">
        <v>5182</v>
      </c>
      <c r="Y789" s="144" t="s">
        <v>7323</v>
      </c>
      <c r="Z789" s="144" t="str">
        <f ca="1">IFERROR(__xludf.DUMMYFUNCTION("IF(VLOOKUP($Y789, IMPORTRANGE(""https://docs.google.com/spreadsheets/d/1WsTKRjz8_fF2119Ff9dhKIIYXSaUEHzuWr8pBkxmwQQ/edit"", ""Form Responses 1!$B:$Z""),1, FALSE)=$Y789,""Yes"",""No"")"),"#N/A")</f>
        <v>#N/A</v>
      </c>
      <c r="AA789" s="144"/>
      <c r="AB789" s="144"/>
    </row>
    <row r="790" spans="1:28">
      <c r="A790" s="140" t="s">
        <v>529</v>
      </c>
      <c r="B790" s="140" t="s">
        <v>7324</v>
      </c>
      <c r="C790" s="140" t="s">
        <v>7325</v>
      </c>
      <c r="D790" s="140" t="s">
        <v>7326</v>
      </c>
      <c r="E790" s="140" t="s">
        <v>7327</v>
      </c>
      <c r="F790" s="140" t="s">
        <v>4</v>
      </c>
      <c r="G790" s="140">
        <v>2</v>
      </c>
      <c r="H790" s="140" t="s">
        <v>24</v>
      </c>
      <c r="I790" s="140" t="s">
        <v>725</v>
      </c>
      <c r="J790" s="140"/>
      <c r="K790" s="140">
        <v>2</v>
      </c>
      <c r="L790" s="140" t="s">
        <v>1237</v>
      </c>
      <c r="M790" s="140"/>
      <c r="N790" s="140">
        <v>2</v>
      </c>
      <c r="O790" s="140" t="s">
        <v>451</v>
      </c>
      <c r="P790" s="140" t="s">
        <v>7328</v>
      </c>
      <c r="Q790" s="140" t="s">
        <v>454</v>
      </c>
      <c r="R790" s="140" t="s">
        <v>7329</v>
      </c>
      <c r="S790" s="140"/>
      <c r="T790" s="140"/>
      <c r="U790" s="143"/>
      <c r="V790" s="143"/>
      <c r="W790" s="143"/>
      <c r="X790" s="140" t="s">
        <v>7330</v>
      </c>
      <c r="Y790" s="140" t="s">
        <v>7331</v>
      </c>
      <c r="Z790" s="140" t="str">
        <f ca="1">IFERROR(__xludf.DUMMYFUNCTION("IF(VLOOKUP($Y790, IMPORTRANGE(""https://docs.google.com/spreadsheets/d/1WsTKRjz8_fF2119Ff9dhKIIYXSaUEHzuWr8pBkxmwQQ/edit"", ""Form Responses 1!$B:$Z""),1, FALSE)=$Y790,""Yes"",""No"")"),"#N/A")</f>
        <v>#N/A</v>
      </c>
      <c r="AA790" s="140"/>
      <c r="AB790" s="140"/>
    </row>
    <row r="791" spans="1:28">
      <c r="A791" s="144" t="s">
        <v>484</v>
      </c>
      <c r="B791" s="144" t="s">
        <v>7332</v>
      </c>
      <c r="C791" s="144" t="s">
        <v>7333</v>
      </c>
      <c r="D791" s="144" t="s">
        <v>7334</v>
      </c>
      <c r="E791" s="144" t="s">
        <v>7335</v>
      </c>
      <c r="F791" s="144" t="s">
        <v>4</v>
      </c>
      <c r="G791" s="144">
        <v>2</v>
      </c>
      <c r="H791" s="144" t="s">
        <v>24</v>
      </c>
      <c r="I791" s="144" t="s">
        <v>602</v>
      </c>
      <c r="J791" s="144"/>
      <c r="K791" s="144">
        <v>2</v>
      </c>
      <c r="L791" s="144" t="s">
        <v>1054</v>
      </c>
      <c r="M791" s="144" t="s">
        <v>7336</v>
      </c>
      <c r="N791" s="144">
        <v>2</v>
      </c>
      <c r="O791" s="144"/>
      <c r="P791" s="144"/>
      <c r="Q791" s="144" t="s">
        <v>452</v>
      </c>
      <c r="R791" s="144" t="s">
        <v>452</v>
      </c>
      <c r="S791" s="144" t="s">
        <v>447</v>
      </c>
      <c r="T791" s="144"/>
      <c r="U791" s="145"/>
      <c r="V791" s="145"/>
      <c r="W791" s="145"/>
      <c r="X791" s="144" t="s">
        <v>7337</v>
      </c>
      <c r="Y791" s="144" t="s">
        <v>7338</v>
      </c>
      <c r="Z791" s="144" t="str">
        <f ca="1">IFERROR(__xludf.DUMMYFUNCTION("IF(VLOOKUP($Y791, IMPORTRANGE(""https://docs.google.com/spreadsheets/d/1WsTKRjz8_fF2119Ff9dhKIIYXSaUEHzuWr8pBkxmwQQ/edit"", ""Form Responses 1!$B:$Z""),1, FALSE)=$Y791,""Yes"",""No"")"),"#N/A")</f>
        <v>#N/A</v>
      </c>
      <c r="AA791" s="144"/>
      <c r="AB791" s="144"/>
    </row>
    <row r="792" spans="1:28">
      <c r="A792" s="140" t="s">
        <v>529</v>
      </c>
      <c r="B792" s="140" t="s">
        <v>7339</v>
      </c>
      <c r="C792" s="140" t="s">
        <v>7340</v>
      </c>
      <c r="D792" s="140" t="s">
        <v>7341</v>
      </c>
      <c r="E792" s="140" t="s">
        <v>7342</v>
      </c>
      <c r="F792" s="140" t="s">
        <v>4</v>
      </c>
      <c r="G792" s="140">
        <v>2</v>
      </c>
      <c r="H792" s="140" t="s">
        <v>24</v>
      </c>
      <c r="I792" s="140" t="s">
        <v>602</v>
      </c>
      <c r="J792" s="140" t="s">
        <v>7343</v>
      </c>
      <c r="K792" s="140">
        <v>2</v>
      </c>
      <c r="L792" s="140" t="s">
        <v>1281</v>
      </c>
      <c r="M792" s="140" t="s">
        <v>7344</v>
      </c>
      <c r="N792" s="140">
        <v>2</v>
      </c>
      <c r="O792" s="140" t="s">
        <v>451</v>
      </c>
      <c r="P792" s="142">
        <v>8000000</v>
      </c>
      <c r="Q792" s="140" t="s">
        <v>465</v>
      </c>
      <c r="R792" s="140" t="s">
        <v>7345</v>
      </c>
      <c r="S792" s="140"/>
      <c r="T792" s="140"/>
      <c r="U792" s="143"/>
      <c r="V792" s="143"/>
      <c r="W792" s="143"/>
      <c r="X792" s="140" t="s">
        <v>4741</v>
      </c>
      <c r="Y792" s="140" t="s">
        <v>7346</v>
      </c>
      <c r="Z792" s="140" t="str">
        <f ca="1">IFERROR(__xludf.DUMMYFUNCTION("IF(VLOOKUP($Y792, IMPORTRANGE(""https://docs.google.com/spreadsheets/d/1WsTKRjz8_fF2119Ff9dhKIIYXSaUEHzuWr8pBkxmwQQ/edit"", ""Form Responses 1!$B:$Z""),1, FALSE)=$Y792,""Yes"",""No"")"),"#N/A")</f>
        <v>#N/A</v>
      </c>
      <c r="AA792" s="140"/>
      <c r="AB792" s="140"/>
    </row>
    <row r="793" spans="1:28">
      <c r="A793" s="144" t="s">
        <v>907</v>
      </c>
      <c r="B793" s="144" t="s">
        <v>7347</v>
      </c>
      <c r="C793" s="144" t="s">
        <v>7348</v>
      </c>
      <c r="D793" s="144" t="s">
        <v>7349</v>
      </c>
      <c r="E793" s="144" t="s">
        <v>7350</v>
      </c>
      <c r="F793" s="144" t="s">
        <v>4</v>
      </c>
      <c r="G793" s="144">
        <v>2</v>
      </c>
      <c r="H793" s="144" t="s">
        <v>24</v>
      </c>
      <c r="I793" s="144" t="s">
        <v>725</v>
      </c>
      <c r="J793" s="144" t="s">
        <v>7351</v>
      </c>
      <c r="K793" s="144">
        <v>1</v>
      </c>
      <c r="L793" s="144" t="s">
        <v>1281</v>
      </c>
      <c r="M793" s="144" t="s">
        <v>7352</v>
      </c>
      <c r="N793" s="144">
        <v>3</v>
      </c>
      <c r="O793" s="144" t="s">
        <v>451</v>
      </c>
      <c r="P793" s="147">
        <v>3000000</v>
      </c>
      <c r="Q793" s="144" t="s">
        <v>465</v>
      </c>
      <c r="R793" s="144" t="s">
        <v>7353</v>
      </c>
      <c r="S793" s="144"/>
      <c r="T793" s="144"/>
      <c r="U793" s="145"/>
      <c r="V793" s="145"/>
      <c r="W793" s="145"/>
      <c r="X793" s="144" t="s">
        <v>7354</v>
      </c>
      <c r="Y793" s="144" t="s">
        <v>7355</v>
      </c>
      <c r="Z793" s="144" t="str">
        <f ca="1">IFERROR(__xludf.DUMMYFUNCTION("IF(VLOOKUP($Y793, IMPORTRANGE(""https://docs.google.com/spreadsheets/d/1WsTKRjz8_fF2119Ff9dhKIIYXSaUEHzuWr8pBkxmwQQ/edit"", ""Form Responses 1!$B:$Z""),1, FALSE)=$Y793,""Yes"",""No"")"),"#N/A")</f>
        <v>#N/A</v>
      </c>
      <c r="AA793" s="144"/>
      <c r="AB793" s="144"/>
    </row>
    <row r="794" spans="1:28">
      <c r="A794" s="140" t="s">
        <v>598</v>
      </c>
      <c r="B794" s="140" t="s">
        <v>7356</v>
      </c>
      <c r="C794" s="140" t="s">
        <v>7357</v>
      </c>
      <c r="D794" s="140" t="s">
        <v>7358</v>
      </c>
      <c r="E794" s="140" t="s">
        <v>7359</v>
      </c>
      <c r="F794" s="140" t="s">
        <v>4</v>
      </c>
      <c r="G794" s="140">
        <v>2</v>
      </c>
      <c r="H794" s="140" t="s">
        <v>24</v>
      </c>
      <c r="I794" s="140" t="s">
        <v>602</v>
      </c>
      <c r="J794" s="140" t="s">
        <v>7360</v>
      </c>
      <c r="K794" s="140">
        <v>2</v>
      </c>
      <c r="L794" s="140" t="s">
        <v>476</v>
      </c>
      <c r="M794" s="140" t="s">
        <v>7361</v>
      </c>
      <c r="N794" s="140">
        <v>2</v>
      </c>
      <c r="O794" s="140" t="s">
        <v>973</v>
      </c>
      <c r="P794" s="163">
        <v>3000000</v>
      </c>
      <c r="Q794" s="140" t="s">
        <v>454</v>
      </c>
      <c r="R794" s="140" t="s">
        <v>7362</v>
      </c>
      <c r="S794" s="140"/>
      <c r="T794" s="140"/>
      <c r="U794" s="143"/>
      <c r="V794" s="143"/>
      <c r="W794" s="143"/>
      <c r="X794" s="140" t="s">
        <v>7363</v>
      </c>
      <c r="Y794" s="140" t="s">
        <v>7364</v>
      </c>
      <c r="Z794" s="140" t="str">
        <f ca="1">IFERROR(__xludf.DUMMYFUNCTION("IF(VLOOKUP($Y794, IMPORTRANGE(""https://docs.google.com/spreadsheets/d/1WsTKRjz8_fF2119Ff9dhKIIYXSaUEHzuWr8pBkxmwQQ/edit"", ""Form Responses 1!$B:$Z""),1, FALSE)=$Y794,""Yes"",""No"")"),"#N/A")</f>
        <v>#N/A</v>
      </c>
      <c r="AA794" s="140"/>
      <c r="AB794" s="140"/>
    </row>
    <row r="795" spans="1:28">
      <c r="A795" s="144" t="s">
        <v>443</v>
      </c>
      <c r="B795" s="144" t="s">
        <v>7365</v>
      </c>
      <c r="C795" s="144" t="s">
        <v>7366</v>
      </c>
      <c r="D795" s="144" t="s">
        <v>7367</v>
      </c>
      <c r="E795" s="144" t="s">
        <v>7368</v>
      </c>
      <c r="F795" s="144" t="s">
        <v>4</v>
      </c>
      <c r="G795" s="144">
        <v>2</v>
      </c>
      <c r="H795" s="144" t="s">
        <v>24</v>
      </c>
      <c r="I795" s="144" t="s">
        <v>602</v>
      </c>
      <c r="J795" s="144" t="s">
        <v>7369</v>
      </c>
      <c r="K795" s="144">
        <v>2</v>
      </c>
      <c r="L795" s="144" t="s">
        <v>1045</v>
      </c>
      <c r="M795" s="144" t="s">
        <v>7370</v>
      </c>
      <c r="N795" s="144">
        <v>2</v>
      </c>
      <c r="O795" s="144" t="s">
        <v>3138</v>
      </c>
      <c r="P795" s="144" t="s">
        <v>2240</v>
      </c>
      <c r="Q795" s="144" t="s">
        <v>452</v>
      </c>
      <c r="R795" s="144" t="s">
        <v>7371</v>
      </c>
      <c r="S795" s="144"/>
      <c r="T795" s="144"/>
      <c r="U795" s="145"/>
      <c r="V795" s="145"/>
      <c r="W795" s="145"/>
      <c r="X795" s="144" t="s">
        <v>6510</v>
      </c>
      <c r="Y795" s="144" t="s">
        <v>7372</v>
      </c>
      <c r="Z795" s="144" t="str">
        <f ca="1">IFERROR(__xludf.DUMMYFUNCTION("IF(VLOOKUP($Y795, IMPORTRANGE(""https://docs.google.com/spreadsheets/d/1WsTKRjz8_fF2119Ff9dhKIIYXSaUEHzuWr8pBkxmwQQ/edit"", ""Form Responses 1!$B:$Z""),1, FALSE)=$Y795,""Yes"",""No"")"),"#N/A")</f>
        <v>#N/A</v>
      </c>
      <c r="AA795" s="144"/>
      <c r="AB795" s="144"/>
    </row>
    <row r="796" spans="1:28">
      <c r="A796" s="140" t="s">
        <v>484</v>
      </c>
      <c r="B796" s="140" t="s">
        <v>7373</v>
      </c>
      <c r="C796" s="140" t="s">
        <v>6366</v>
      </c>
      <c r="D796" s="140" t="s">
        <v>7374</v>
      </c>
      <c r="E796" s="140" t="s">
        <v>7375</v>
      </c>
      <c r="F796" s="140" t="s">
        <v>4</v>
      </c>
      <c r="G796" s="140">
        <v>2</v>
      </c>
      <c r="H796" s="140" t="s">
        <v>24</v>
      </c>
      <c r="I796" s="140" t="s">
        <v>602</v>
      </c>
      <c r="J796" s="140" t="s">
        <v>7376</v>
      </c>
      <c r="K796" s="140">
        <v>2</v>
      </c>
      <c r="L796" s="140" t="s">
        <v>1054</v>
      </c>
      <c r="M796" s="140" t="s">
        <v>7377</v>
      </c>
      <c r="N796" s="140">
        <v>2</v>
      </c>
      <c r="O796" s="140" t="s">
        <v>6371</v>
      </c>
      <c r="P796" s="142">
        <v>3500000</v>
      </c>
      <c r="Q796" s="140" t="s">
        <v>454</v>
      </c>
      <c r="R796" s="140" t="s">
        <v>452</v>
      </c>
      <c r="S796" s="140"/>
      <c r="T796" s="140"/>
      <c r="U796" s="143"/>
      <c r="V796" s="143"/>
      <c r="W796" s="143"/>
      <c r="X796" s="140" t="s">
        <v>7378</v>
      </c>
      <c r="Y796" s="140" t="s">
        <v>7379</v>
      </c>
      <c r="Z796" s="140" t="str">
        <f ca="1">IFERROR(__xludf.DUMMYFUNCTION("IF(VLOOKUP($Y796, IMPORTRANGE(""https://docs.google.com/spreadsheets/d/1WsTKRjz8_fF2119Ff9dhKIIYXSaUEHzuWr8pBkxmwQQ/edit"", ""Form Responses 1!$B:$Z""),1, FALSE)=$Y796,""Yes"",""No"")"),"#N/A")</f>
        <v>#N/A</v>
      </c>
      <c r="AA796" s="140"/>
      <c r="AB796" s="140"/>
    </row>
    <row r="797" spans="1:28">
      <c r="A797" s="144" t="s">
        <v>598</v>
      </c>
      <c r="B797" s="144" t="s">
        <v>7380</v>
      </c>
      <c r="C797" s="144" t="s">
        <v>7381</v>
      </c>
      <c r="D797" s="144" t="s">
        <v>7382</v>
      </c>
      <c r="E797" s="144" t="s">
        <v>7383</v>
      </c>
      <c r="F797" s="144" t="s">
        <v>4</v>
      </c>
      <c r="G797" s="144">
        <v>2</v>
      </c>
      <c r="H797" s="144" t="s">
        <v>24</v>
      </c>
      <c r="I797" s="144" t="s">
        <v>602</v>
      </c>
      <c r="J797" s="144" t="s">
        <v>7384</v>
      </c>
      <c r="K797" s="144">
        <v>2</v>
      </c>
      <c r="L797" s="144" t="s">
        <v>1298</v>
      </c>
      <c r="M797" s="144" t="s">
        <v>7385</v>
      </c>
      <c r="N797" s="144">
        <v>2</v>
      </c>
      <c r="O797" s="144" t="s">
        <v>784</v>
      </c>
      <c r="P797" s="146">
        <v>1000000</v>
      </c>
      <c r="Q797" s="144" t="s">
        <v>452</v>
      </c>
      <c r="R797" s="144" t="s">
        <v>7386</v>
      </c>
      <c r="S797" s="144"/>
      <c r="T797" s="144"/>
      <c r="U797" s="145"/>
      <c r="V797" s="145"/>
      <c r="W797" s="145"/>
      <c r="X797" s="144" t="s">
        <v>7387</v>
      </c>
      <c r="Y797" s="144" t="s">
        <v>7388</v>
      </c>
      <c r="Z797" s="144" t="str">
        <f ca="1">IFERROR(__xludf.DUMMYFUNCTION("IF(VLOOKUP($Y797, IMPORTRANGE(""https://docs.google.com/spreadsheets/d/1WsTKRjz8_fF2119Ff9dhKIIYXSaUEHzuWr8pBkxmwQQ/edit"", ""Form Responses 1!$B:$Z""),1, FALSE)=$Y797,""Yes"",""No"")"),"#N/A")</f>
        <v>#N/A</v>
      </c>
      <c r="AA797" s="144"/>
      <c r="AB797" s="144"/>
    </row>
    <row r="798" spans="1:28">
      <c r="A798" s="140" t="s">
        <v>529</v>
      </c>
      <c r="B798" s="140" t="s">
        <v>7389</v>
      </c>
      <c r="C798" s="140" t="s">
        <v>7390</v>
      </c>
      <c r="D798" s="140" t="s">
        <v>7391</v>
      </c>
      <c r="E798" s="140" t="s">
        <v>7392</v>
      </c>
      <c r="F798" s="140" t="s">
        <v>4</v>
      </c>
      <c r="G798" s="140">
        <v>2</v>
      </c>
      <c r="H798" s="140" t="s">
        <v>24</v>
      </c>
      <c r="I798" s="140" t="s">
        <v>1045</v>
      </c>
      <c r="J798" s="140" t="s">
        <v>7393</v>
      </c>
      <c r="K798" s="140">
        <v>2</v>
      </c>
      <c r="L798" s="140" t="s">
        <v>1298</v>
      </c>
      <c r="M798" s="140" t="s">
        <v>7394</v>
      </c>
      <c r="N798" s="140">
        <v>2</v>
      </c>
      <c r="O798" s="140" t="s">
        <v>784</v>
      </c>
      <c r="P798" s="142">
        <v>250000</v>
      </c>
      <c r="Q798" s="140" t="s">
        <v>465</v>
      </c>
      <c r="R798" s="140" t="s">
        <v>452</v>
      </c>
      <c r="S798" s="140"/>
      <c r="T798" s="140"/>
      <c r="U798" s="143"/>
      <c r="V798" s="143"/>
      <c r="W798" s="143"/>
      <c r="X798" s="140" t="s">
        <v>7395</v>
      </c>
      <c r="Y798" s="140" t="s">
        <v>7396</v>
      </c>
      <c r="Z798" s="140" t="str">
        <f ca="1">IFERROR(__xludf.DUMMYFUNCTION("IF(VLOOKUP($Y798, IMPORTRANGE(""https://docs.google.com/spreadsheets/d/1WsTKRjz8_fF2119Ff9dhKIIYXSaUEHzuWr8pBkxmwQQ/edit"", ""Form Responses 1!$B:$Z""),1, FALSE)=$Y798,""Yes"",""No"")"),"#N/A")</f>
        <v>#N/A</v>
      </c>
      <c r="AA798" s="140"/>
      <c r="AB798" s="140"/>
    </row>
    <row r="799" spans="1:28">
      <c r="A799" s="144" t="s">
        <v>529</v>
      </c>
      <c r="B799" s="144" t="s">
        <v>7397</v>
      </c>
      <c r="C799" s="144" t="s">
        <v>7398</v>
      </c>
      <c r="D799" s="144" t="s">
        <v>7399</v>
      </c>
      <c r="E799" s="144" t="s">
        <v>7400</v>
      </c>
      <c r="F799" s="144" t="s">
        <v>4</v>
      </c>
      <c r="G799" s="144">
        <v>2</v>
      </c>
      <c r="H799" s="144" t="s">
        <v>24</v>
      </c>
      <c r="I799" s="144" t="s">
        <v>727</v>
      </c>
      <c r="J799" s="144" t="s">
        <v>7401</v>
      </c>
      <c r="K799" s="144">
        <v>2</v>
      </c>
      <c r="L799" s="144" t="s">
        <v>1054</v>
      </c>
      <c r="M799" s="144" t="s">
        <v>7402</v>
      </c>
      <c r="N799" s="144">
        <v>2</v>
      </c>
      <c r="O799" s="144" t="s">
        <v>451</v>
      </c>
      <c r="P799" s="146">
        <v>200000</v>
      </c>
      <c r="Q799" s="144" t="s">
        <v>452</v>
      </c>
      <c r="R799" s="144" t="s">
        <v>7403</v>
      </c>
      <c r="S799" s="144"/>
      <c r="T799" s="144"/>
      <c r="U799" s="145"/>
      <c r="V799" s="145"/>
      <c r="W799" s="145"/>
      <c r="X799" s="144" t="s">
        <v>7404</v>
      </c>
      <c r="Y799" s="144" t="s">
        <v>7405</v>
      </c>
      <c r="Z799" s="144" t="str">
        <f ca="1">IFERROR(__xludf.DUMMYFUNCTION("IF(VLOOKUP($Y799, IMPORTRANGE(""https://docs.google.com/spreadsheets/d/1WsTKRjz8_fF2119Ff9dhKIIYXSaUEHzuWr8pBkxmwQQ/edit"", ""Form Responses 1!$B:$Z""),1, FALSE)=$Y799,""Yes"",""No"")"),"#N/A")</f>
        <v>#N/A</v>
      </c>
      <c r="AA799" s="144"/>
      <c r="AB799" s="144"/>
    </row>
    <row r="800" spans="1:28">
      <c r="A800" s="140" t="s">
        <v>484</v>
      </c>
      <c r="B800" s="140" t="s">
        <v>7406</v>
      </c>
      <c r="C800" s="140" t="s">
        <v>7407</v>
      </c>
      <c r="D800" s="140" t="s">
        <v>7408</v>
      </c>
      <c r="E800" s="140" t="s">
        <v>7409</v>
      </c>
      <c r="F800" s="140" t="s">
        <v>4</v>
      </c>
      <c r="G800" s="140">
        <v>2</v>
      </c>
      <c r="H800" s="140" t="s">
        <v>24</v>
      </c>
      <c r="I800" s="140" t="s">
        <v>602</v>
      </c>
      <c r="J800" s="140" t="s">
        <v>7410</v>
      </c>
      <c r="K800" s="140">
        <v>2</v>
      </c>
      <c r="L800" s="140" t="s">
        <v>1054</v>
      </c>
      <c r="M800" s="140" t="s">
        <v>7411</v>
      </c>
      <c r="N800" s="140">
        <v>2</v>
      </c>
      <c r="O800" s="140" t="s">
        <v>451</v>
      </c>
      <c r="P800" s="142">
        <v>500000</v>
      </c>
      <c r="Q800" s="140" t="s">
        <v>452</v>
      </c>
      <c r="R800" s="140" t="s">
        <v>7412</v>
      </c>
      <c r="S800" s="140"/>
      <c r="T800" s="140"/>
      <c r="U800" s="143"/>
      <c r="V800" s="143"/>
      <c r="W800" s="143"/>
      <c r="X800" s="140" t="s">
        <v>7413</v>
      </c>
      <c r="Y800" s="140" t="s">
        <v>7414</v>
      </c>
      <c r="Z800" s="140" t="str">
        <f ca="1">IFERROR(__xludf.DUMMYFUNCTION("IF(VLOOKUP($Y800, IMPORTRANGE(""https://docs.google.com/spreadsheets/d/1WsTKRjz8_fF2119Ff9dhKIIYXSaUEHzuWr8pBkxmwQQ/edit"", ""Form Responses 1!$B:$Z""),1, FALSE)=$Y800,""Yes"",""No"")"),"#N/A")</f>
        <v>#N/A</v>
      </c>
      <c r="AA800" s="140"/>
      <c r="AB800" s="140"/>
    </row>
    <row r="801" spans="1:28">
      <c r="A801" s="144" t="s">
        <v>598</v>
      </c>
      <c r="B801" s="144" t="s">
        <v>7415</v>
      </c>
      <c r="C801" s="144" t="s">
        <v>7416</v>
      </c>
      <c r="D801" s="144" t="s">
        <v>7417</v>
      </c>
      <c r="E801" s="144" t="s">
        <v>7418</v>
      </c>
      <c r="F801" s="144" t="s">
        <v>4</v>
      </c>
      <c r="G801" s="144">
        <v>2</v>
      </c>
      <c r="H801" s="144" t="s">
        <v>24</v>
      </c>
      <c r="I801" s="144" t="s">
        <v>725</v>
      </c>
      <c r="J801" s="144" t="s">
        <v>7419</v>
      </c>
      <c r="K801" s="144">
        <v>2</v>
      </c>
      <c r="L801" s="144" t="s">
        <v>1045</v>
      </c>
      <c r="M801" s="144" t="s">
        <v>7420</v>
      </c>
      <c r="N801" s="144">
        <v>2</v>
      </c>
      <c r="O801" s="144" t="s">
        <v>478</v>
      </c>
      <c r="P801" s="147">
        <v>10000000</v>
      </c>
      <c r="Q801" s="144" t="s">
        <v>452</v>
      </c>
      <c r="R801" s="144" t="s">
        <v>7421</v>
      </c>
      <c r="S801" s="144" t="s">
        <v>7422</v>
      </c>
      <c r="T801" s="144"/>
      <c r="U801" s="145"/>
      <c r="V801" s="145"/>
      <c r="W801" s="145"/>
      <c r="X801" s="144" t="s">
        <v>7423</v>
      </c>
      <c r="Y801" s="144" t="s">
        <v>7424</v>
      </c>
      <c r="Z801" s="144" t="str">
        <f ca="1">IFERROR(__xludf.DUMMYFUNCTION("IF(VLOOKUP($Y801, IMPORTRANGE(""https://docs.google.com/spreadsheets/d/1WsTKRjz8_fF2119Ff9dhKIIYXSaUEHzuWr8pBkxmwQQ/edit"", ""Form Responses 1!$B:$Z""),1, FALSE)=$Y801,""Yes"",""No"")"),"#N/A")</f>
        <v>#N/A</v>
      </c>
      <c r="AA801" s="144"/>
      <c r="AB801" s="144"/>
    </row>
    <row r="802" spans="1:28">
      <c r="A802" s="140" t="s">
        <v>907</v>
      </c>
      <c r="B802" s="140" t="s">
        <v>7425</v>
      </c>
      <c r="C802" s="140" t="s">
        <v>7426</v>
      </c>
      <c r="D802" s="140" t="s">
        <v>7427</v>
      </c>
      <c r="E802" s="140" t="s">
        <v>7428</v>
      </c>
      <c r="F802" s="140" t="s">
        <v>4</v>
      </c>
      <c r="G802" s="140">
        <v>2</v>
      </c>
      <c r="H802" s="140" t="s">
        <v>24</v>
      </c>
      <c r="I802" s="140" t="s">
        <v>725</v>
      </c>
      <c r="J802" s="140" t="s">
        <v>7429</v>
      </c>
      <c r="K802" s="140">
        <v>2</v>
      </c>
      <c r="L802" s="140" t="s">
        <v>462</v>
      </c>
      <c r="M802" s="140" t="s">
        <v>7430</v>
      </c>
      <c r="N802" s="140">
        <v>2</v>
      </c>
      <c r="O802" s="140"/>
      <c r="P802" s="140"/>
      <c r="Q802" s="140" t="s">
        <v>452</v>
      </c>
      <c r="R802" s="140" t="s">
        <v>7431</v>
      </c>
      <c r="S802" s="140" t="s">
        <v>447</v>
      </c>
      <c r="T802" s="140"/>
      <c r="U802" s="143"/>
      <c r="V802" s="143"/>
      <c r="W802" s="143"/>
      <c r="X802" s="140" t="s">
        <v>7432</v>
      </c>
      <c r="Y802" s="140" t="s">
        <v>7433</v>
      </c>
      <c r="Z802" s="140" t="str">
        <f ca="1">IFERROR(__xludf.DUMMYFUNCTION("IF(VLOOKUP($Y802, IMPORTRANGE(""https://docs.google.com/spreadsheets/d/1WsTKRjz8_fF2119Ff9dhKIIYXSaUEHzuWr8pBkxmwQQ/edit"", ""Form Responses 1!$B:$Z""),1, FALSE)=$Y802,""Yes"",""No"")"),"#N/A")</f>
        <v>#N/A</v>
      </c>
      <c r="AA802" s="140"/>
      <c r="AB802" s="140"/>
    </row>
    <row r="803" spans="1:28">
      <c r="A803" s="144" t="s">
        <v>443</v>
      </c>
      <c r="B803" s="144" t="s">
        <v>7434</v>
      </c>
      <c r="C803" s="144" t="s">
        <v>7435</v>
      </c>
      <c r="D803" s="144" t="s">
        <v>7436</v>
      </c>
      <c r="E803" s="144" t="s">
        <v>7437</v>
      </c>
      <c r="F803" s="144" t="s">
        <v>4</v>
      </c>
      <c r="G803" s="144">
        <v>2</v>
      </c>
      <c r="H803" s="144" t="s">
        <v>24</v>
      </c>
      <c r="I803" s="144" t="s">
        <v>602</v>
      </c>
      <c r="J803" s="144" t="s">
        <v>7438</v>
      </c>
      <c r="K803" s="144">
        <v>2</v>
      </c>
      <c r="L803" s="144" t="s">
        <v>476</v>
      </c>
      <c r="M803" s="144" t="s">
        <v>7439</v>
      </c>
      <c r="N803" s="144">
        <v>2</v>
      </c>
      <c r="O803" s="144"/>
      <c r="P803" s="144"/>
      <c r="Q803" s="144" t="s">
        <v>452</v>
      </c>
      <c r="R803" s="144" t="s">
        <v>7440</v>
      </c>
      <c r="S803" s="144"/>
      <c r="T803" s="144"/>
      <c r="U803" s="145"/>
      <c r="V803" s="145"/>
      <c r="W803" s="145"/>
      <c r="X803" s="144" t="s">
        <v>7441</v>
      </c>
      <c r="Y803" s="144" t="s">
        <v>7442</v>
      </c>
      <c r="Z803" s="144" t="str">
        <f ca="1">IFERROR(__xludf.DUMMYFUNCTION("IF(VLOOKUP($Y803, IMPORTRANGE(""https://docs.google.com/spreadsheets/d/1WsTKRjz8_fF2119Ff9dhKIIYXSaUEHzuWr8pBkxmwQQ/edit"", ""Form Responses 1!$B:$Z""),1, FALSE)=$Y803,""Yes"",""No"")"),"#N/A")</f>
        <v>#N/A</v>
      </c>
      <c r="AA803" s="144"/>
      <c r="AB803" s="144"/>
    </row>
    <row r="804" spans="1:28">
      <c r="A804" s="140" t="s">
        <v>529</v>
      </c>
      <c r="B804" s="140" t="s">
        <v>7443</v>
      </c>
      <c r="C804" s="140" t="s">
        <v>7444</v>
      </c>
      <c r="D804" s="140" t="s">
        <v>7445</v>
      </c>
      <c r="E804" s="140" t="s">
        <v>7446</v>
      </c>
      <c r="F804" s="140" t="s">
        <v>4</v>
      </c>
      <c r="G804" s="140">
        <v>2</v>
      </c>
      <c r="H804" s="140" t="s">
        <v>24</v>
      </c>
      <c r="I804" s="140" t="s">
        <v>727</v>
      </c>
      <c r="J804" s="140" t="s">
        <v>7447</v>
      </c>
      <c r="K804" s="140">
        <v>2</v>
      </c>
      <c r="L804" s="140" t="s">
        <v>1045</v>
      </c>
      <c r="M804" s="140" t="s">
        <v>7448</v>
      </c>
      <c r="N804" s="140">
        <v>2</v>
      </c>
      <c r="O804" s="140" t="s">
        <v>451</v>
      </c>
      <c r="P804" s="140">
        <v>2000000</v>
      </c>
      <c r="Q804" s="140" t="s">
        <v>452</v>
      </c>
      <c r="R804" s="140" t="s">
        <v>7449</v>
      </c>
      <c r="S804" s="140"/>
      <c r="T804" s="140"/>
      <c r="U804" s="143"/>
      <c r="V804" s="143"/>
      <c r="W804" s="143"/>
      <c r="X804" s="140" t="s">
        <v>4696</v>
      </c>
      <c r="Y804" s="140" t="s">
        <v>7450</v>
      </c>
      <c r="Z804" s="140" t="str">
        <f ca="1">IFERROR(__xludf.DUMMYFUNCTION("IF(VLOOKUP($Y804, IMPORTRANGE(""https://docs.google.com/spreadsheets/d/1WsTKRjz8_fF2119Ff9dhKIIYXSaUEHzuWr8pBkxmwQQ/edit"", ""Form Responses 1!$B:$Z""),1, FALSE)=$Y804,""Yes"",""No"")"),"#N/A")</f>
        <v>#N/A</v>
      </c>
      <c r="AA804" s="140"/>
      <c r="AB804" s="140"/>
    </row>
    <row r="805" spans="1:28">
      <c r="A805" s="144" t="s">
        <v>529</v>
      </c>
      <c r="B805" s="144" t="s">
        <v>7451</v>
      </c>
      <c r="C805" s="144" t="s">
        <v>7452</v>
      </c>
      <c r="D805" s="144" t="s">
        <v>7453</v>
      </c>
      <c r="E805" s="144" t="s">
        <v>7454</v>
      </c>
      <c r="F805" s="144" t="s">
        <v>4</v>
      </c>
      <c r="G805" s="144">
        <v>2</v>
      </c>
      <c r="H805" s="144" t="s">
        <v>24</v>
      </c>
      <c r="I805" s="144" t="s">
        <v>725</v>
      </c>
      <c r="J805" s="144" t="s">
        <v>7455</v>
      </c>
      <c r="K805" s="144">
        <v>2</v>
      </c>
      <c r="L805" s="144" t="s">
        <v>1371</v>
      </c>
      <c r="M805" s="144" t="s">
        <v>7456</v>
      </c>
      <c r="N805" s="144">
        <v>2</v>
      </c>
      <c r="O805" s="144" t="s">
        <v>478</v>
      </c>
      <c r="P805" s="144">
        <v>3000000</v>
      </c>
      <c r="Q805" s="144" t="s">
        <v>452</v>
      </c>
      <c r="R805" s="144" t="s">
        <v>452</v>
      </c>
      <c r="S805" s="144"/>
      <c r="T805" s="144"/>
      <c r="U805" s="145"/>
      <c r="V805" s="145"/>
      <c r="W805" s="145"/>
      <c r="X805" s="144" t="s">
        <v>7457</v>
      </c>
      <c r="Y805" s="144" t="s">
        <v>7458</v>
      </c>
      <c r="Z805" s="144" t="str">
        <f ca="1">IFERROR(__xludf.DUMMYFUNCTION("IF(VLOOKUP($Y805, IMPORTRANGE(""https://docs.google.com/spreadsheets/d/1WsTKRjz8_fF2119Ff9dhKIIYXSaUEHzuWr8pBkxmwQQ/edit"", ""Form Responses 1!$B:$Z""),1, FALSE)=$Y805,""Yes"",""No"")"),"#N/A")</f>
        <v>#N/A</v>
      </c>
      <c r="AA805" s="144"/>
      <c r="AB805" s="144"/>
    </row>
    <row r="806" spans="1:28">
      <c r="A806" s="140" t="s">
        <v>529</v>
      </c>
      <c r="B806" s="140" t="s">
        <v>7459</v>
      </c>
      <c r="C806" s="140" t="s">
        <v>7460</v>
      </c>
      <c r="D806" s="140" t="s">
        <v>7461</v>
      </c>
      <c r="E806" s="140" t="s">
        <v>7462</v>
      </c>
      <c r="F806" s="140" t="s">
        <v>4</v>
      </c>
      <c r="G806" s="140">
        <v>2</v>
      </c>
      <c r="H806" s="140" t="s">
        <v>24</v>
      </c>
      <c r="I806" s="140" t="s">
        <v>725</v>
      </c>
      <c r="J806" s="140" t="s">
        <v>7463</v>
      </c>
      <c r="K806" s="140">
        <v>3</v>
      </c>
      <c r="L806" s="140" t="s">
        <v>1371</v>
      </c>
      <c r="M806" s="140" t="s">
        <v>7464</v>
      </c>
      <c r="N806" s="140">
        <v>1</v>
      </c>
      <c r="O806" s="140"/>
      <c r="P806" s="140"/>
      <c r="Q806" s="140" t="s">
        <v>454</v>
      </c>
      <c r="R806" s="140" t="s">
        <v>7465</v>
      </c>
      <c r="S806" s="140" t="s">
        <v>7466</v>
      </c>
      <c r="T806" s="140"/>
      <c r="U806" s="143"/>
      <c r="V806" s="143"/>
      <c r="W806" s="143"/>
      <c r="X806" s="140" t="s">
        <v>7467</v>
      </c>
      <c r="Y806" s="140" t="s">
        <v>7468</v>
      </c>
      <c r="Z806" s="140" t="str">
        <f ca="1">IFERROR(__xludf.DUMMYFUNCTION("IF(VLOOKUP($Y806, IMPORTRANGE(""https://docs.google.com/spreadsheets/d/1WsTKRjz8_fF2119Ff9dhKIIYXSaUEHzuWr8pBkxmwQQ/edit"", ""Form Responses 1!$B:$Z""),1, FALSE)=$Y806,""Yes"",""No"")"),"#N/A")</f>
        <v>#N/A</v>
      </c>
      <c r="AA806" s="140"/>
      <c r="AB806" s="140"/>
    </row>
    <row r="807" spans="1:28">
      <c r="A807" s="144" t="s">
        <v>443</v>
      </c>
      <c r="B807" s="144" t="s">
        <v>7469</v>
      </c>
      <c r="C807" s="144" t="s">
        <v>7470</v>
      </c>
      <c r="D807" s="144" t="s">
        <v>7471</v>
      </c>
      <c r="E807" s="144" t="s">
        <v>7472</v>
      </c>
      <c r="F807" s="144" t="s">
        <v>4</v>
      </c>
      <c r="G807" s="144">
        <v>2</v>
      </c>
      <c r="H807" s="144" t="s">
        <v>24</v>
      </c>
      <c r="I807" s="144" t="s">
        <v>602</v>
      </c>
      <c r="J807" s="144" t="s">
        <v>7473</v>
      </c>
      <c r="K807" s="144">
        <v>2</v>
      </c>
      <c r="L807" s="144" t="s">
        <v>1054</v>
      </c>
      <c r="M807" s="144" t="s">
        <v>7474</v>
      </c>
      <c r="N807" s="144">
        <v>2</v>
      </c>
      <c r="O807" s="144" t="s">
        <v>451</v>
      </c>
      <c r="P807" s="147">
        <v>2500000</v>
      </c>
      <c r="Q807" s="144" t="s">
        <v>452</v>
      </c>
      <c r="R807" s="144" t="s">
        <v>7475</v>
      </c>
      <c r="S807" s="144"/>
      <c r="T807" s="144"/>
      <c r="U807" s="145"/>
      <c r="V807" s="145"/>
      <c r="W807" s="145"/>
      <c r="X807" s="144" t="s">
        <v>7476</v>
      </c>
      <c r="Y807" s="144" t="s">
        <v>7477</v>
      </c>
      <c r="Z807" s="144" t="str">
        <f ca="1">IFERROR(__xludf.DUMMYFUNCTION("IF(VLOOKUP($Y807, IMPORTRANGE(""https://docs.google.com/spreadsheets/d/1WsTKRjz8_fF2119Ff9dhKIIYXSaUEHzuWr8pBkxmwQQ/edit"", ""Form Responses 1!$B:$Z""),1, FALSE)=$Y807,""Yes"",""No"")"),"#N/A")</f>
        <v>#N/A</v>
      </c>
      <c r="AA807" s="144"/>
      <c r="AB807" s="144"/>
    </row>
    <row r="808" spans="1:28">
      <c r="A808" s="140" t="s">
        <v>471</v>
      </c>
      <c r="B808" s="140" t="s">
        <v>7478</v>
      </c>
      <c r="C808" s="140" t="s">
        <v>7479</v>
      </c>
      <c r="D808" s="140" t="s">
        <v>7480</v>
      </c>
      <c r="E808" s="140" t="s">
        <v>7481</v>
      </c>
      <c r="F808" s="140" t="s">
        <v>4</v>
      </c>
      <c r="G808" s="140">
        <v>2</v>
      </c>
      <c r="H808" s="140" t="s">
        <v>24</v>
      </c>
      <c r="I808" s="140" t="s">
        <v>602</v>
      </c>
      <c r="J808" s="140"/>
      <c r="K808" s="140">
        <v>2</v>
      </c>
      <c r="L808" s="140" t="s">
        <v>1054</v>
      </c>
      <c r="M808" s="140" t="s">
        <v>7482</v>
      </c>
      <c r="N808" s="140">
        <v>2</v>
      </c>
      <c r="O808" s="140"/>
      <c r="P808" s="140"/>
      <c r="Q808" s="140" t="s">
        <v>452</v>
      </c>
      <c r="R808" s="140" t="s">
        <v>3420</v>
      </c>
      <c r="S808" s="140" t="s">
        <v>7483</v>
      </c>
      <c r="T808" s="140"/>
      <c r="U808" s="143"/>
      <c r="V808" s="143"/>
      <c r="W808" s="143"/>
      <c r="X808" s="140" t="s">
        <v>4197</v>
      </c>
      <c r="Y808" s="140" t="s">
        <v>7484</v>
      </c>
      <c r="Z808" s="140" t="str">
        <f ca="1">IFERROR(__xludf.DUMMYFUNCTION("IF(VLOOKUP($Y808, IMPORTRANGE(""https://docs.google.com/spreadsheets/d/1WsTKRjz8_fF2119Ff9dhKIIYXSaUEHzuWr8pBkxmwQQ/edit"", ""Form Responses 1!$B:$Z""),1, FALSE)=$Y808,""Yes"",""No"")"),"#N/A")</f>
        <v>#N/A</v>
      </c>
      <c r="AA808" s="140"/>
      <c r="AB808" s="140"/>
    </row>
    <row r="809" spans="1:28">
      <c r="A809" s="144" t="s">
        <v>471</v>
      </c>
      <c r="B809" s="144" t="s">
        <v>7485</v>
      </c>
      <c r="C809" s="144" t="s">
        <v>7486</v>
      </c>
      <c r="D809" s="144" t="s">
        <v>7487</v>
      </c>
      <c r="E809" s="144" t="s">
        <v>7488</v>
      </c>
      <c r="F809" s="144" t="s">
        <v>4</v>
      </c>
      <c r="G809" s="144">
        <v>2</v>
      </c>
      <c r="H809" s="144" t="s">
        <v>24</v>
      </c>
      <c r="I809" s="144" t="s">
        <v>602</v>
      </c>
      <c r="J809" s="144"/>
      <c r="K809" s="144">
        <v>2</v>
      </c>
      <c r="L809" s="144" t="s">
        <v>727</v>
      </c>
      <c r="M809" s="144" t="s">
        <v>7489</v>
      </c>
      <c r="N809" s="144">
        <v>2</v>
      </c>
      <c r="O809" s="144" t="s">
        <v>478</v>
      </c>
      <c r="P809" s="144">
        <v>2000000</v>
      </c>
      <c r="Q809" s="144" t="s">
        <v>452</v>
      </c>
      <c r="R809" s="144" t="s">
        <v>452</v>
      </c>
      <c r="S809" s="144"/>
      <c r="T809" s="144"/>
      <c r="U809" s="145"/>
      <c r="V809" s="145"/>
      <c r="W809" s="145"/>
      <c r="X809" s="144" t="s">
        <v>7490</v>
      </c>
      <c r="Y809" s="144" t="s">
        <v>7491</v>
      </c>
      <c r="Z809" s="144" t="str">
        <f ca="1">IFERROR(__xludf.DUMMYFUNCTION("IF(VLOOKUP($Y809, IMPORTRANGE(""https://docs.google.com/spreadsheets/d/1WsTKRjz8_fF2119Ff9dhKIIYXSaUEHzuWr8pBkxmwQQ/edit"", ""Form Responses 1!$B:$Z""),1, FALSE)=$Y809,""Yes"",""No"")"),"#N/A")</f>
        <v>#N/A</v>
      </c>
      <c r="AA809" s="144"/>
      <c r="AB809" s="144"/>
    </row>
    <row r="810" spans="1:28">
      <c r="A810" s="140" t="s">
        <v>907</v>
      </c>
      <c r="B810" s="140" t="s">
        <v>7492</v>
      </c>
      <c r="C810" s="140" t="s">
        <v>7493</v>
      </c>
      <c r="D810" s="140" t="s">
        <v>7494</v>
      </c>
      <c r="E810" s="140" t="s">
        <v>7495</v>
      </c>
      <c r="F810" s="140" t="s">
        <v>4</v>
      </c>
      <c r="G810" s="140">
        <v>2</v>
      </c>
      <c r="H810" s="140" t="s">
        <v>24</v>
      </c>
      <c r="I810" s="140" t="s">
        <v>602</v>
      </c>
      <c r="J810" s="140" t="s">
        <v>7496</v>
      </c>
      <c r="K810" s="140">
        <v>2</v>
      </c>
      <c r="L810" s="140" t="s">
        <v>1457</v>
      </c>
      <c r="M810" s="140" t="s">
        <v>7497</v>
      </c>
      <c r="N810" s="140">
        <v>2</v>
      </c>
      <c r="O810" s="140" t="s">
        <v>784</v>
      </c>
      <c r="P810" s="148">
        <v>1000000</v>
      </c>
      <c r="Q810" s="140" t="s">
        <v>452</v>
      </c>
      <c r="R810" s="140" t="s">
        <v>7498</v>
      </c>
      <c r="S810" s="140"/>
      <c r="T810" s="140"/>
      <c r="U810" s="143"/>
      <c r="V810" s="143"/>
      <c r="W810" s="143"/>
      <c r="X810" s="140" t="s">
        <v>7499</v>
      </c>
      <c r="Y810" s="140" t="s">
        <v>7493</v>
      </c>
      <c r="Z810" s="140" t="str">
        <f ca="1">IFERROR(__xludf.DUMMYFUNCTION("IF(VLOOKUP($Y810, IMPORTRANGE(""https://docs.google.com/spreadsheets/d/1WsTKRjz8_fF2119Ff9dhKIIYXSaUEHzuWr8pBkxmwQQ/edit"", ""Form Responses 1!$B:$Z""),1, FALSE)=$Y810,""Yes"",""No"")"),"#N/A")</f>
        <v>#N/A</v>
      </c>
      <c r="AA810" s="140"/>
      <c r="AB810" s="140"/>
    </row>
    <row r="811" spans="1:28">
      <c r="A811" s="144" t="s">
        <v>529</v>
      </c>
      <c r="B811" s="144" t="s">
        <v>7500</v>
      </c>
      <c r="C811" s="144" t="s">
        <v>7501</v>
      </c>
      <c r="D811" s="144" t="s">
        <v>7502</v>
      </c>
      <c r="E811" s="144" t="s">
        <v>7503</v>
      </c>
      <c r="F811" s="144" t="s">
        <v>4</v>
      </c>
      <c r="G811" s="144">
        <v>2</v>
      </c>
      <c r="H811" s="144" t="s">
        <v>24</v>
      </c>
      <c r="I811" s="144" t="s">
        <v>602</v>
      </c>
      <c r="J811" s="144" t="s">
        <v>7504</v>
      </c>
      <c r="K811" s="144">
        <v>2</v>
      </c>
      <c r="L811" s="144" t="s">
        <v>1457</v>
      </c>
      <c r="M811" s="144" t="s">
        <v>7505</v>
      </c>
      <c r="N811" s="144">
        <v>2</v>
      </c>
      <c r="O811" s="144" t="s">
        <v>784</v>
      </c>
      <c r="P811" s="146">
        <v>500000</v>
      </c>
      <c r="Q811" s="144" t="s">
        <v>452</v>
      </c>
      <c r="R811" s="144" t="s">
        <v>452</v>
      </c>
      <c r="S811" s="144"/>
      <c r="T811" s="144"/>
      <c r="U811" s="145"/>
      <c r="V811" s="145"/>
      <c r="W811" s="145"/>
      <c r="X811" s="144" t="s">
        <v>7506</v>
      </c>
      <c r="Y811" s="144" t="s">
        <v>7507</v>
      </c>
      <c r="Z811" s="144" t="str">
        <f ca="1">IFERROR(__xludf.DUMMYFUNCTION("IF(VLOOKUP($Y811, IMPORTRANGE(""https://docs.google.com/spreadsheets/d/1WsTKRjz8_fF2119Ff9dhKIIYXSaUEHzuWr8pBkxmwQQ/edit"", ""Form Responses 1!$B:$Z""),1, FALSE)=$Y811,""Yes"",""No"")"),"#N/A")</f>
        <v>#N/A</v>
      </c>
      <c r="AA811" s="144"/>
      <c r="AB811" s="144"/>
    </row>
    <row r="812" spans="1:28">
      <c r="A812" s="140" t="s">
        <v>598</v>
      </c>
      <c r="B812" s="140" t="s">
        <v>7508</v>
      </c>
      <c r="C812" s="140" t="s">
        <v>7509</v>
      </c>
      <c r="D812" s="140" t="s">
        <v>7510</v>
      </c>
      <c r="E812" s="140" t="s">
        <v>7511</v>
      </c>
      <c r="F812" s="140" t="s">
        <v>4</v>
      </c>
      <c r="G812" s="140">
        <v>2</v>
      </c>
      <c r="H812" s="140" t="s">
        <v>24</v>
      </c>
      <c r="I812" s="140" t="s">
        <v>727</v>
      </c>
      <c r="J812" s="140" t="s">
        <v>6733</v>
      </c>
      <c r="K812" s="140">
        <v>2</v>
      </c>
      <c r="L812" s="140" t="s">
        <v>1457</v>
      </c>
      <c r="M812" s="140" t="s">
        <v>7512</v>
      </c>
      <c r="N812" s="140">
        <v>2</v>
      </c>
      <c r="O812" s="140" t="s">
        <v>784</v>
      </c>
      <c r="P812" s="163">
        <v>750000</v>
      </c>
      <c r="Q812" s="140" t="s">
        <v>465</v>
      </c>
      <c r="R812" s="140" t="s">
        <v>7513</v>
      </c>
      <c r="S812" s="140"/>
      <c r="T812" s="140"/>
      <c r="U812" s="143"/>
      <c r="V812" s="143"/>
      <c r="W812" s="143"/>
      <c r="X812" s="140" t="s">
        <v>3967</v>
      </c>
      <c r="Y812" s="140" t="s">
        <v>7514</v>
      </c>
      <c r="Z812" s="140" t="str">
        <f ca="1">IFERROR(__xludf.DUMMYFUNCTION("IF(VLOOKUP($Y812, IMPORTRANGE(""https://docs.google.com/spreadsheets/d/1WsTKRjz8_fF2119Ff9dhKIIYXSaUEHzuWr8pBkxmwQQ/edit"", ""Form Responses 1!$B:$Z""),1, FALSE)=$Y812,""Yes"",""No"")"),"#N/A")</f>
        <v>#N/A</v>
      </c>
      <c r="AA812" s="140"/>
      <c r="AB812" s="140"/>
    </row>
    <row r="813" spans="1:28">
      <c r="A813" s="144" t="s">
        <v>598</v>
      </c>
      <c r="B813" s="144" t="s">
        <v>7515</v>
      </c>
      <c r="C813" s="144" t="s">
        <v>7516</v>
      </c>
      <c r="D813" s="144" t="s">
        <v>7517</v>
      </c>
      <c r="E813" s="144" t="s">
        <v>7518</v>
      </c>
      <c r="F813" s="144" t="s">
        <v>4</v>
      </c>
      <c r="G813" s="144">
        <v>2</v>
      </c>
      <c r="H813" s="144" t="s">
        <v>24</v>
      </c>
      <c r="I813" s="144" t="s">
        <v>725</v>
      </c>
      <c r="J813" s="144" t="s">
        <v>7519</v>
      </c>
      <c r="K813" s="144">
        <v>2</v>
      </c>
      <c r="L813" s="144" t="s">
        <v>1045</v>
      </c>
      <c r="M813" s="144" t="s">
        <v>7520</v>
      </c>
      <c r="N813" s="144">
        <v>2</v>
      </c>
      <c r="O813" s="144"/>
      <c r="P813" s="144"/>
      <c r="Q813" s="144" t="s">
        <v>465</v>
      </c>
      <c r="R813" s="144" t="s">
        <v>452</v>
      </c>
      <c r="S813" s="144"/>
      <c r="T813" s="144"/>
      <c r="U813" s="145"/>
      <c r="V813" s="145"/>
      <c r="W813" s="145"/>
      <c r="X813" s="144" t="s">
        <v>7521</v>
      </c>
      <c r="Y813" s="144" t="s">
        <v>7522</v>
      </c>
      <c r="Z813" s="144" t="str">
        <f ca="1">IFERROR(__xludf.DUMMYFUNCTION("IF(VLOOKUP($Y813, IMPORTRANGE(""https://docs.google.com/spreadsheets/d/1WsTKRjz8_fF2119Ff9dhKIIYXSaUEHzuWr8pBkxmwQQ/edit"", ""Form Responses 1!$B:$Z""),1, FALSE)=$Y813,""Yes"",""No"")"),"#N/A")</f>
        <v>#N/A</v>
      </c>
      <c r="AA813" s="144"/>
      <c r="AB813" s="144"/>
    </row>
    <row r="814" spans="1:28">
      <c r="A814" s="140" t="s">
        <v>471</v>
      </c>
      <c r="B814" s="140" t="s">
        <v>7523</v>
      </c>
      <c r="C814" s="140" t="s">
        <v>7524</v>
      </c>
      <c r="D814" s="140" t="s">
        <v>7525</v>
      </c>
      <c r="E814" s="140" t="s">
        <v>7526</v>
      </c>
      <c r="F814" s="140" t="s">
        <v>4</v>
      </c>
      <c r="G814" s="140">
        <v>2</v>
      </c>
      <c r="H814" s="140" t="s">
        <v>24</v>
      </c>
      <c r="I814" s="140" t="s">
        <v>602</v>
      </c>
      <c r="J814" s="140" t="s">
        <v>7527</v>
      </c>
      <c r="K814" s="140">
        <v>2</v>
      </c>
      <c r="L814" s="140" t="s">
        <v>727</v>
      </c>
      <c r="M814" s="140" t="s">
        <v>7528</v>
      </c>
      <c r="N814" s="140">
        <v>2</v>
      </c>
      <c r="O814" s="140" t="s">
        <v>451</v>
      </c>
      <c r="P814" s="148">
        <v>250000</v>
      </c>
      <c r="Q814" s="140" t="s">
        <v>452</v>
      </c>
      <c r="R814" s="140" t="s">
        <v>452</v>
      </c>
      <c r="S814" s="140"/>
      <c r="T814" s="140"/>
      <c r="U814" s="143"/>
      <c r="V814" s="143"/>
      <c r="W814" s="143"/>
      <c r="X814" s="140" t="s">
        <v>7529</v>
      </c>
      <c r="Y814" s="140" t="s">
        <v>7530</v>
      </c>
      <c r="Z814" s="140" t="str">
        <f ca="1">IFERROR(__xludf.DUMMYFUNCTION("IF(VLOOKUP($Y814, IMPORTRANGE(""https://docs.google.com/spreadsheets/d/1WsTKRjz8_fF2119Ff9dhKIIYXSaUEHzuWr8pBkxmwQQ/edit"", ""Form Responses 1!$B:$Z""),1, FALSE)=$Y814,""Yes"",""No"")"),"#N/A")</f>
        <v>#N/A</v>
      </c>
      <c r="AA814" s="140"/>
      <c r="AB814" s="140"/>
    </row>
    <row r="815" spans="1:28">
      <c r="A815" s="144" t="s">
        <v>907</v>
      </c>
      <c r="B815" s="144" t="s">
        <v>7531</v>
      </c>
      <c r="C815" s="144" t="s">
        <v>7532</v>
      </c>
      <c r="D815" s="144" t="s">
        <v>7533</v>
      </c>
      <c r="E815" s="144" t="s">
        <v>7534</v>
      </c>
      <c r="F815" s="144" t="s">
        <v>4</v>
      </c>
      <c r="G815" s="144">
        <v>2</v>
      </c>
      <c r="H815" s="144" t="s">
        <v>24</v>
      </c>
      <c r="I815" s="144" t="s">
        <v>1045</v>
      </c>
      <c r="J815" s="144" t="s">
        <v>7535</v>
      </c>
      <c r="K815" s="144">
        <v>2</v>
      </c>
      <c r="L815" s="144" t="s">
        <v>449</v>
      </c>
      <c r="M815" s="144" t="s">
        <v>7536</v>
      </c>
      <c r="N815" s="144">
        <v>2</v>
      </c>
      <c r="O815" s="144" t="s">
        <v>451</v>
      </c>
      <c r="P815" s="144">
        <v>1200000</v>
      </c>
      <c r="Q815" s="144" t="s">
        <v>452</v>
      </c>
      <c r="R815" s="144" t="s">
        <v>7537</v>
      </c>
      <c r="S815" s="144"/>
      <c r="T815" s="144"/>
      <c r="U815" s="145"/>
      <c r="V815" s="145"/>
      <c r="W815" s="145"/>
      <c r="X815" s="144" t="s">
        <v>7538</v>
      </c>
      <c r="Y815" s="144" t="s">
        <v>7539</v>
      </c>
      <c r="Z815" s="144" t="str">
        <f ca="1">IFERROR(__xludf.DUMMYFUNCTION("IF(VLOOKUP($Y815, IMPORTRANGE(""https://docs.google.com/spreadsheets/d/1WsTKRjz8_fF2119Ff9dhKIIYXSaUEHzuWr8pBkxmwQQ/edit"", ""Form Responses 1!$B:$Z""),1, FALSE)=$Y815,""Yes"",""No"")"),"#N/A")</f>
        <v>#N/A</v>
      </c>
      <c r="AA815" s="144"/>
      <c r="AB815" s="144"/>
    </row>
    <row r="816" spans="1:28">
      <c r="A816" s="140" t="s">
        <v>598</v>
      </c>
      <c r="B816" s="140" t="s">
        <v>7540</v>
      </c>
      <c r="C816" s="140" t="s">
        <v>7541</v>
      </c>
      <c r="D816" s="140" t="s">
        <v>7542</v>
      </c>
      <c r="E816" s="140" t="s">
        <v>7543</v>
      </c>
      <c r="F816" s="140" t="s">
        <v>4</v>
      </c>
      <c r="G816" s="140">
        <v>2</v>
      </c>
      <c r="H816" s="140" t="s">
        <v>24</v>
      </c>
      <c r="I816" s="140" t="s">
        <v>725</v>
      </c>
      <c r="J816" s="140" t="s">
        <v>7544</v>
      </c>
      <c r="K816" s="140">
        <v>2</v>
      </c>
      <c r="L816" s="140" t="s">
        <v>1045</v>
      </c>
      <c r="M816" s="140" t="s">
        <v>7545</v>
      </c>
      <c r="N816" s="140">
        <v>2</v>
      </c>
      <c r="O816" s="140" t="s">
        <v>784</v>
      </c>
      <c r="P816" s="142">
        <v>1200000</v>
      </c>
      <c r="Q816" s="140" t="s">
        <v>452</v>
      </c>
      <c r="R816" s="140" t="s">
        <v>7546</v>
      </c>
      <c r="S816" s="140" t="s">
        <v>7547</v>
      </c>
      <c r="T816" s="140"/>
      <c r="U816" s="143"/>
      <c r="V816" s="143"/>
      <c r="W816" s="143"/>
      <c r="X816" s="140" t="s">
        <v>7548</v>
      </c>
      <c r="Y816" s="140" t="s">
        <v>7549</v>
      </c>
      <c r="Z816" s="140" t="str">
        <f ca="1">IFERROR(__xludf.DUMMYFUNCTION("IF(VLOOKUP($Y816, IMPORTRANGE(""https://docs.google.com/spreadsheets/d/1WsTKRjz8_fF2119Ff9dhKIIYXSaUEHzuWr8pBkxmwQQ/edit"", ""Form Responses 1!$B:$Z""),1, FALSE)=$Y816,""Yes"",""No"")"),"#N/A")</f>
        <v>#N/A</v>
      </c>
      <c r="AA816" s="140"/>
      <c r="AB816" s="140"/>
    </row>
    <row r="817" spans="1:28">
      <c r="A817" s="144" t="s">
        <v>484</v>
      </c>
      <c r="B817" s="144" t="s">
        <v>7550</v>
      </c>
      <c r="C817" s="144" t="s">
        <v>7551</v>
      </c>
      <c r="D817" s="144" t="s">
        <v>7552</v>
      </c>
      <c r="E817" s="144" t="s">
        <v>7553</v>
      </c>
      <c r="F817" s="144" t="s">
        <v>4</v>
      </c>
      <c r="G817" s="144">
        <v>2</v>
      </c>
      <c r="H817" s="144" t="s">
        <v>24</v>
      </c>
      <c r="I817" s="144" t="s">
        <v>602</v>
      </c>
      <c r="J817" s="144" t="s">
        <v>7554</v>
      </c>
      <c r="K817" s="144">
        <v>2</v>
      </c>
      <c r="L817" s="144" t="s">
        <v>1054</v>
      </c>
      <c r="M817" s="144" t="s">
        <v>7555</v>
      </c>
      <c r="N817" s="144">
        <v>2</v>
      </c>
      <c r="O817" s="144" t="s">
        <v>784</v>
      </c>
      <c r="P817" s="147">
        <v>500000</v>
      </c>
      <c r="Q817" s="144" t="s">
        <v>452</v>
      </c>
      <c r="R817" s="144" t="s">
        <v>452</v>
      </c>
      <c r="S817" s="144"/>
      <c r="T817" s="144"/>
      <c r="U817" s="145"/>
      <c r="V817" s="145"/>
      <c r="W817" s="145"/>
      <c r="X817" s="144" t="s">
        <v>7556</v>
      </c>
      <c r="Y817" s="144" t="s">
        <v>7557</v>
      </c>
      <c r="Z817" s="144" t="str">
        <f ca="1">IFERROR(__xludf.DUMMYFUNCTION("IF(VLOOKUP($Y817, IMPORTRANGE(""https://docs.google.com/spreadsheets/d/1WsTKRjz8_fF2119Ff9dhKIIYXSaUEHzuWr8pBkxmwQQ/edit"", ""Form Responses 1!$B:$Z""),1, FALSE)=$Y817,""Yes"",""No"")"),"#N/A")</f>
        <v>#N/A</v>
      </c>
      <c r="AA817" s="144"/>
      <c r="AB817" s="144"/>
    </row>
    <row r="818" spans="1:28">
      <c r="A818" s="140" t="s">
        <v>907</v>
      </c>
      <c r="B818" s="140" t="s">
        <v>7558</v>
      </c>
      <c r="C818" s="140" t="s">
        <v>7559</v>
      </c>
      <c r="D818" s="140" t="s">
        <v>7560</v>
      </c>
      <c r="E818" s="140" t="s">
        <v>7561</v>
      </c>
      <c r="F818" s="140" t="s">
        <v>4</v>
      </c>
      <c r="G818" s="140">
        <v>2</v>
      </c>
      <c r="H818" s="140" t="s">
        <v>24</v>
      </c>
      <c r="I818" s="140" t="s">
        <v>460</v>
      </c>
      <c r="J818" s="140" t="s">
        <v>7562</v>
      </c>
      <c r="K818" s="140">
        <v>2</v>
      </c>
      <c r="L818" s="140" t="s">
        <v>1045</v>
      </c>
      <c r="M818" s="140" t="s">
        <v>7563</v>
      </c>
      <c r="N818" s="140">
        <v>2</v>
      </c>
      <c r="O818" s="140" t="s">
        <v>451</v>
      </c>
      <c r="P818" s="140">
        <v>4000000</v>
      </c>
      <c r="Q818" s="140" t="s">
        <v>465</v>
      </c>
      <c r="R818" s="140" t="s">
        <v>452</v>
      </c>
      <c r="S818" s="140"/>
      <c r="T818" s="140"/>
      <c r="U818" s="143"/>
      <c r="V818" s="143"/>
      <c r="W818" s="143"/>
      <c r="X818" s="140" t="s">
        <v>7564</v>
      </c>
      <c r="Y818" s="140" t="s">
        <v>7565</v>
      </c>
      <c r="Z818" s="140" t="str">
        <f ca="1">IFERROR(__xludf.DUMMYFUNCTION("IF(VLOOKUP($Y818, IMPORTRANGE(""https://docs.google.com/spreadsheets/d/1WsTKRjz8_fF2119Ff9dhKIIYXSaUEHzuWr8pBkxmwQQ/edit"", ""Form Responses 1!$B:$Z""),1, FALSE)=$Y818,""Yes"",""No"")"),"#N/A")</f>
        <v>#N/A</v>
      </c>
      <c r="AA818" s="140"/>
      <c r="AB818" s="140"/>
    </row>
    <row r="819" spans="1:28">
      <c r="A819" s="144" t="s">
        <v>503</v>
      </c>
      <c r="B819" s="144" t="s">
        <v>7566</v>
      </c>
      <c r="C819" s="144" t="s">
        <v>7567</v>
      </c>
      <c r="D819" s="144" t="s">
        <v>7568</v>
      </c>
      <c r="E819" s="144" t="s">
        <v>7569</v>
      </c>
      <c r="F819" s="144" t="s">
        <v>4</v>
      </c>
      <c r="G819" s="144">
        <v>2</v>
      </c>
      <c r="H819" s="144" t="s">
        <v>24</v>
      </c>
      <c r="I819" s="144" t="s">
        <v>602</v>
      </c>
      <c r="J819" s="144" t="s">
        <v>7570</v>
      </c>
      <c r="K819" s="144">
        <v>2</v>
      </c>
      <c r="L819" s="144" t="s">
        <v>727</v>
      </c>
      <c r="M819" s="144" t="s">
        <v>7571</v>
      </c>
      <c r="N819" s="144">
        <v>2</v>
      </c>
      <c r="O819" s="144" t="s">
        <v>451</v>
      </c>
      <c r="P819" s="144">
        <v>400000</v>
      </c>
      <c r="Q819" s="144" t="s">
        <v>452</v>
      </c>
      <c r="R819" s="144" t="s">
        <v>7572</v>
      </c>
      <c r="S819" s="144"/>
      <c r="T819" s="144"/>
      <c r="U819" s="145"/>
      <c r="V819" s="145"/>
      <c r="W819" s="145"/>
      <c r="X819" s="144" t="s">
        <v>3918</v>
      </c>
      <c r="Y819" s="144" t="s">
        <v>7573</v>
      </c>
      <c r="Z819" s="144" t="str">
        <f ca="1">IFERROR(__xludf.DUMMYFUNCTION("IF(VLOOKUP($Y819, IMPORTRANGE(""https://docs.google.com/spreadsheets/d/1WsTKRjz8_fF2119Ff9dhKIIYXSaUEHzuWr8pBkxmwQQ/edit"", ""Form Responses 1!$B:$Z""),1, FALSE)=$Y819,""Yes"",""No"")"),"#N/A")</f>
        <v>#N/A</v>
      </c>
      <c r="AA819" s="144"/>
      <c r="AB819" s="144"/>
    </row>
    <row r="820" spans="1:28">
      <c r="A820" s="140" t="s">
        <v>529</v>
      </c>
      <c r="B820" s="140" t="s">
        <v>7574</v>
      </c>
      <c r="C820" s="140" t="s">
        <v>7575</v>
      </c>
      <c r="D820" s="140" t="s">
        <v>7576</v>
      </c>
      <c r="E820" s="140"/>
      <c r="F820" s="140" t="s">
        <v>4</v>
      </c>
      <c r="G820" s="140">
        <v>2</v>
      </c>
      <c r="H820" s="140" t="s">
        <v>24</v>
      </c>
      <c r="I820" s="140" t="s">
        <v>725</v>
      </c>
      <c r="J820" s="140"/>
      <c r="K820" s="140">
        <v>2</v>
      </c>
      <c r="L820" s="140" t="s">
        <v>1045</v>
      </c>
      <c r="M820" s="140" t="s">
        <v>7577</v>
      </c>
      <c r="N820" s="140">
        <v>2</v>
      </c>
      <c r="O820" s="140" t="s">
        <v>2190</v>
      </c>
      <c r="P820" s="140">
        <v>1000000</v>
      </c>
      <c r="Q820" s="140" t="s">
        <v>452</v>
      </c>
      <c r="R820" s="140" t="s">
        <v>7578</v>
      </c>
      <c r="S820" s="140" t="s">
        <v>7579</v>
      </c>
      <c r="T820" s="140"/>
      <c r="U820" s="143"/>
      <c r="V820" s="143"/>
      <c r="W820" s="143"/>
      <c r="X820" s="140" t="s">
        <v>7580</v>
      </c>
      <c r="Y820" s="140" t="s">
        <v>7581</v>
      </c>
      <c r="Z820" s="140" t="str">
        <f ca="1">IFERROR(__xludf.DUMMYFUNCTION("IF(VLOOKUP($Y820, IMPORTRANGE(""https://docs.google.com/spreadsheets/d/1WsTKRjz8_fF2119Ff9dhKIIYXSaUEHzuWr8pBkxmwQQ/edit"", ""Form Responses 1!$B:$Z""),1, FALSE)=$Y820,""Yes"",""No"")"),"#N/A")</f>
        <v>#N/A</v>
      </c>
      <c r="AA820" s="140"/>
      <c r="AB820" s="140"/>
    </row>
    <row r="821" spans="1:28">
      <c r="A821" s="144" t="s">
        <v>484</v>
      </c>
      <c r="B821" s="144" t="s">
        <v>7582</v>
      </c>
      <c r="C821" s="144" t="s">
        <v>7583</v>
      </c>
      <c r="D821" s="144" t="s">
        <v>7584</v>
      </c>
      <c r="E821" s="144" t="s">
        <v>7585</v>
      </c>
      <c r="F821" s="144" t="s">
        <v>4</v>
      </c>
      <c r="G821" s="144">
        <v>2</v>
      </c>
      <c r="H821" s="144" t="s">
        <v>24</v>
      </c>
      <c r="I821" s="144" t="s">
        <v>727</v>
      </c>
      <c r="J821" s="144" t="s">
        <v>7586</v>
      </c>
      <c r="K821" s="144">
        <v>2</v>
      </c>
      <c r="L821" s="144" t="s">
        <v>1054</v>
      </c>
      <c r="M821" s="144" t="s">
        <v>7587</v>
      </c>
      <c r="N821" s="144">
        <v>2</v>
      </c>
      <c r="O821" s="144"/>
      <c r="P821" s="144"/>
      <c r="Q821" s="144" t="s">
        <v>465</v>
      </c>
      <c r="R821" s="144" t="s">
        <v>7588</v>
      </c>
      <c r="S821" s="144"/>
      <c r="T821" s="144"/>
      <c r="U821" s="145"/>
      <c r="V821" s="145"/>
      <c r="W821" s="145"/>
      <c r="X821" s="144" t="s">
        <v>7589</v>
      </c>
      <c r="Y821" s="144" t="s">
        <v>7590</v>
      </c>
      <c r="Z821" s="144" t="str">
        <f ca="1">IFERROR(__xludf.DUMMYFUNCTION("IF(VLOOKUP($Y821, IMPORTRANGE(""https://docs.google.com/spreadsheets/d/1WsTKRjz8_fF2119Ff9dhKIIYXSaUEHzuWr8pBkxmwQQ/edit"", ""Form Responses 1!$B:$Z""),1, FALSE)=$Y821,""Yes"",""No"")"),"#N/A")</f>
        <v>#N/A</v>
      </c>
      <c r="AA821" s="144"/>
      <c r="AB821" s="144"/>
    </row>
    <row r="822" spans="1:28">
      <c r="A822" s="140" t="s">
        <v>443</v>
      </c>
      <c r="B822" s="140" t="s">
        <v>7591</v>
      </c>
      <c r="C822" s="140" t="s">
        <v>7592</v>
      </c>
      <c r="D822" s="140" t="s">
        <v>7593</v>
      </c>
      <c r="E822" s="140" t="s">
        <v>7594</v>
      </c>
      <c r="F822" s="140" t="s">
        <v>4</v>
      </c>
      <c r="G822" s="140">
        <v>2</v>
      </c>
      <c r="H822" s="140" t="s">
        <v>24</v>
      </c>
      <c r="I822" s="140" t="s">
        <v>727</v>
      </c>
      <c r="J822" s="140"/>
      <c r="K822" s="140">
        <v>2</v>
      </c>
      <c r="L822" s="140" t="s">
        <v>1045</v>
      </c>
      <c r="M822" s="140" t="s">
        <v>7595</v>
      </c>
      <c r="N822" s="140">
        <v>2</v>
      </c>
      <c r="O822" s="140" t="s">
        <v>784</v>
      </c>
      <c r="P822" s="142">
        <v>4000000</v>
      </c>
      <c r="Q822" s="140" t="s">
        <v>452</v>
      </c>
      <c r="R822" s="140" t="s">
        <v>7596</v>
      </c>
      <c r="S822" s="140"/>
      <c r="T822" s="140"/>
      <c r="U822" s="143"/>
      <c r="V822" s="143"/>
      <c r="W822" s="143"/>
      <c r="X822" s="140" t="s">
        <v>7597</v>
      </c>
      <c r="Y822" s="140" t="s">
        <v>7598</v>
      </c>
      <c r="Z822" s="140" t="str">
        <f ca="1">IFERROR(__xludf.DUMMYFUNCTION("IF(VLOOKUP($Y822, IMPORTRANGE(""https://docs.google.com/spreadsheets/d/1WsTKRjz8_fF2119Ff9dhKIIYXSaUEHzuWr8pBkxmwQQ/edit"", ""Form Responses 1!$B:$Z""),1, FALSE)=$Y822,""Yes"",""No"")"),"#N/A")</f>
        <v>#N/A</v>
      </c>
      <c r="AA822" s="140"/>
      <c r="AB822" s="140"/>
    </row>
    <row r="823" spans="1:28">
      <c r="A823" s="144" t="s">
        <v>598</v>
      </c>
      <c r="B823" s="144" t="s">
        <v>7599</v>
      </c>
      <c r="C823" s="144" t="s">
        <v>7600</v>
      </c>
      <c r="D823" s="144" t="s">
        <v>7601</v>
      </c>
      <c r="E823" s="144" t="s">
        <v>7602</v>
      </c>
      <c r="F823" s="144" t="s">
        <v>4</v>
      </c>
      <c r="G823" s="144">
        <v>2</v>
      </c>
      <c r="H823" s="144" t="s">
        <v>24</v>
      </c>
      <c r="I823" s="144" t="s">
        <v>725</v>
      </c>
      <c r="J823" s="144"/>
      <c r="K823" s="144">
        <v>2</v>
      </c>
      <c r="L823" s="144" t="s">
        <v>1045</v>
      </c>
      <c r="M823" s="144" t="s">
        <v>7603</v>
      </c>
      <c r="N823" s="144">
        <v>2</v>
      </c>
      <c r="O823" s="144" t="s">
        <v>451</v>
      </c>
      <c r="P823" s="144">
        <v>3500000</v>
      </c>
      <c r="Q823" s="144" t="s">
        <v>465</v>
      </c>
      <c r="R823" s="144" t="s">
        <v>7604</v>
      </c>
      <c r="S823" s="144"/>
      <c r="T823" s="144"/>
      <c r="U823" s="145"/>
      <c r="V823" s="145"/>
      <c r="W823" s="145"/>
      <c r="X823" s="144" t="s">
        <v>7605</v>
      </c>
      <c r="Y823" s="144" t="s">
        <v>7606</v>
      </c>
      <c r="Z823" s="144" t="str">
        <f ca="1">IFERROR(__xludf.DUMMYFUNCTION("IF(VLOOKUP($Y823, IMPORTRANGE(""https://docs.google.com/spreadsheets/d/1WsTKRjz8_fF2119Ff9dhKIIYXSaUEHzuWr8pBkxmwQQ/edit"", ""Form Responses 1!$B:$Z""),1, FALSE)=$Y823,""Yes"",""No"")"),"#N/A")</f>
        <v>#N/A</v>
      </c>
      <c r="AA823" s="144"/>
      <c r="AB823" s="144"/>
    </row>
    <row r="824" spans="1:28">
      <c r="A824" s="140" t="s">
        <v>529</v>
      </c>
      <c r="B824" s="140" t="s">
        <v>7607</v>
      </c>
      <c r="C824" s="140" t="s">
        <v>7608</v>
      </c>
      <c r="D824" s="140" t="s">
        <v>7609</v>
      </c>
      <c r="E824" s="140" t="s">
        <v>7610</v>
      </c>
      <c r="F824" s="140" t="s">
        <v>4</v>
      </c>
      <c r="G824" s="140">
        <v>2</v>
      </c>
      <c r="H824" s="140" t="s">
        <v>24</v>
      </c>
      <c r="I824" s="140" t="s">
        <v>602</v>
      </c>
      <c r="J824" s="140" t="s">
        <v>7611</v>
      </c>
      <c r="K824" s="140">
        <v>2</v>
      </c>
      <c r="L824" s="140" t="s">
        <v>1045</v>
      </c>
      <c r="M824" s="140" t="s">
        <v>7612</v>
      </c>
      <c r="N824" s="140">
        <v>2</v>
      </c>
      <c r="O824" s="140"/>
      <c r="P824" s="140"/>
      <c r="Q824" s="140" t="s">
        <v>452</v>
      </c>
      <c r="R824" s="140" t="s">
        <v>3420</v>
      </c>
      <c r="S824" s="140" t="s">
        <v>725</v>
      </c>
      <c r="T824" s="140"/>
      <c r="U824" s="143"/>
      <c r="V824" s="143"/>
      <c r="W824" s="143"/>
      <c r="X824" s="140" t="s">
        <v>7613</v>
      </c>
      <c r="Y824" s="140" t="s">
        <v>7614</v>
      </c>
      <c r="Z824" s="140" t="str">
        <f ca="1">IFERROR(__xludf.DUMMYFUNCTION("IF(VLOOKUP($Y824, IMPORTRANGE(""https://docs.google.com/spreadsheets/d/1WsTKRjz8_fF2119Ff9dhKIIYXSaUEHzuWr8pBkxmwQQ/edit"", ""Form Responses 1!$B:$Z""),1, FALSE)=$Y824,""Yes"",""No"")"),"#N/A")</f>
        <v>#N/A</v>
      </c>
      <c r="AA824" s="140"/>
      <c r="AB824" s="140"/>
    </row>
    <row r="825" spans="1:28">
      <c r="A825" s="144" t="s">
        <v>907</v>
      </c>
      <c r="B825" s="144" t="s">
        <v>7615</v>
      </c>
      <c r="C825" s="144" t="s">
        <v>7616</v>
      </c>
      <c r="D825" s="144" t="s">
        <v>7617</v>
      </c>
      <c r="E825" s="144" t="s">
        <v>7618</v>
      </c>
      <c r="F825" s="144" t="s">
        <v>4</v>
      </c>
      <c r="G825" s="144">
        <v>2</v>
      </c>
      <c r="H825" s="144" t="s">
        <v>24</v>
      </c>
      <c r="I825" s="144" t="s">
        <v>602</v>
      </c>
      <c r="J825" s="144" t="s">
        <v>7619</v>
      </c>
      <c r="K825" s="144">
        <v>2</v>
      </c>
      <c r="L825" s="144" t="s">
        <v>1350</v>
      </c>
      <c r="M825" s="144" t="s">
        <v>7620</v>
      </c>
      <c r="N825" s="144">
        <v>2</v>
      </c>
      <c r="O825" s="144"/>
      <c r="P825" s="144"/>
      <c r="Q825" s="144" t="s">
        <v>454</v>
      </c>
      <c r="R825" s="144" t="s">
        <v>7621</v>
      </c>
      <c r="S825" s="144" t="s">
        <v>7622</v>
      </c>
      <c r="T825" s="144"/>
      <c r="U825" s="145"/>
      <c r="V825" s="145"/>
      <c r="W825" s="145"/>
      <c r="X825" s="144" t="s">
        <v>7623</v>
      </c>
      <c r="Y825" s="144" t="s">
        <v>7624</v>
      </c>
      <c r="Z825" s="144" t="str">
        <f ca="1">IFERROR(__xludf.DUMMYFUNCTION("IF(VLOOKUP($Y825, IMPORTRANGE(""https://docs.google.com/spreadsheets/d/1WsTKRjz8_fF2119Ff9dhKIIYXSaUEHzuWr8pBkxmwQQ/edit"", ""Form Responses 1!$B:$Z""),1, FALSE)=$Y825,""Yes"",""No"")"),"#N/A")</f>
        <v>#N/A</v>
      </c>
      <c r="AA825" s="144"/>
      <c r="AB825" s="144"/>
    </row>
    <row r="826" spans="1:28">
      <c r="A826" s="140" t="s">
        <v>598</v>
      </c>
      <c r="B826" s="140" t="s">
        <v>7625</v>
      </c>
      <c r="C826" s="140" t="s">
        <v>7626</v>
      </c>
      <c r="D826" s="140" t="s">
        <v>7627</v>
      </c>
      <c r="E826" s="140" t="s">
        <v>7628</v>
      </c>
      <c r="F826" s="140" t="s">
        <v>4</v>
      </c>
      <c r="G826" s="140">
        <v>2</v>
      </c>
      <c r="H826" s="140" t="s">
        <v>24</v>
      </c>
      <c r="I826" s="140" t="s">
        <v>602</v>
      </c>
      <c r="J826" s="140" t="s">
        <v>7629</v>
      </c>
      <c r="K826" s="140">
        <v>2</v>
      </c>
      <c r="L826" s="140" t="s">
        <v>1045</v>
      </c>
      <c r="M826" s="140" t="s">
        <v>7630</v>
      </c>
      <c r="N826" s="140">
        <v>2</v>
      </c>
      <c r="O826" s="140" t="s">
        <v>451</v>
      </c>
      <c r="P826" s="142">
        <v>1500000</v>
      </c>
      <c r="Q826" s="140" t="s">
        <v>452</v>
      </c>
      <c r="R826" s="140" t="s">
        <v>7631</v>
      </c>
      <c r="S826" s="140" t="s">
        <v>7632</v>
      </c>
      <c r="T826" s="140"/>
      <c r="U826" s="143"/>
      <c r="V826" s="143"/>
      <c r="W826" s="143"/>
      <c r="X826" s="140" t="s">
        <v>5707</v>
      </c>
      <c r="Y826" s="140" t="s">
        <v>7633</v>
      </c>
      <c r="Z826" s="140" t="str">
        <f ca="1">IFERROR(__xludf.DUMMYFUNCTION("IF(VLOOKUP($Y826, IMPORTRANGE(""https://docs.google.com/spreadsheets/d/1WsTKRjz8_fF2119Ff9dhKIIYXSaUEHzuWr8pBkxmwQQ/edit"", ""Form Responses 1!$B:$Z""),1, FALSE)=$Y826,""Yes"",""No"")"),"#N/A")</f>
        <v>#N/A</v>
      </c>
      <c r="AA826" s="140"/>
      <c r="AB826" s="140"/>
    </row>
    <row r="827" spans="1:28">
      <c r="A827" s="144" t="s">
        <v>471</v>
      </c>
      <c r="B827" s="144" t="s">
        <v>7634</v>
      </c>
      <c r="C827" s="144" t="s">
        <v>7635</v>
      </c>
      <c r="D827" s="144" t="s">
        <v>7636</v>
      </c>
      <c r="E827" s="144" t="s">
        <v>7637</v>
      </c>
      <c r="F827" s="144" t="s">
        <v>4</v>
      </c>
      <c r="G827" s="144">
        <v>2</v>
      </c>
      <c r="H827" s="144" t="s">
        <v>24</v>
      </c>
      <c r="I827" s="144" t="s">
        <v>602</v>
      </c>
      <c r="J827" s="144" t="s">
        <v>7638</v>
      </c>
      <c r="K827" s="144">
        <v>2</v>
      </c>
      <c r="L827" s="144" t="s">
        <v>1054</v>
      </c>
      <c r="M827" s="144" t="s">
        <v>7639</v>
      </c>
      <c r="N827" s="144">
        <v>2</v>
      </c>
      <c r="O827" s="144"/>
      <c r="P827" s="144"/>
      <c r="Q827" s="144" t="s">
        <v>452</v>
      </c>
      <c r="R827" s="144" t="s">
        <v>7640</v>
      </c>
      <c r="S827" s="144"/>
      <c r="T827" s="144"/>
      <c r="U827" s="145"/>
      <c r="V827" s="145"/>
      <c r="W827" s="145"/>
      <c r="X827" s="144" t="s">
        <v>5466</v>
      </c>
      <c r="Y827" s="144" t="s">
        <v>7641</v>
      </c>
      <c r="Z827" s="144" t="str">
        <f ca="1">IFERROR(__xludf.DUMMYFUNCTION("IF(VLOOKUP($Y827, IMPORTRANGE(""https://docs.google.com/spreadsheets/d/1WsTKRjz8_fF2119Ff9dhKIIYXSaUEHzuWr8pBkxmwQQ/edit"", ""Form Responses 1!$B:$Z""),1, FALSE)=$Y827,""Yes"",""No"")"),"#N/A")</f>
        <v>#N/A</v>
      </c>
      <c r="AA827" s="144"/>
      <c r="AB827" s="144"/>
    </row>
    <row r="828" spans="1:28">
      <c r="A828" s="140" t="s">
        <v>598</v>
      </c>
      <c r="B828" s="140" t="s">
        <v>7642</v>
      </c>
      <c r="C828" s="140" t="s">
        <v>7643</v>
      </c>
      <c r="D828" s="140" t="s">
        <v>7644</v>
      </c>
      <c r="E828" s="140" t="s">
        <v>7645</v>
      </c>
      <c r="F828" s="140" t="s">
        <v>4</v>
      </c>
      <c r="G828" s="140">
        <v>1.75</v>
      </c>
      <c r="H828" s="140" t="s">
        <v>24</v>
      </c>
      <c r="I828" s="140" t="s">
        <v>602</v>
      </c>
      <c r="J828" s="140" t="s">
        <v>7646</v>
      </c>
      <c r="K828" s="140">
        <v>2.5</v>
      </c>
      <c r="L828" s="140" t="s">
        <v>1036</v>
      </c>
      <c r="M828" s="140" t="s">
        <v>7647</v>
      </c>
      <c r="N828" s="140">
        <v>1</v>
      </c>
      <c r="O828" s="140"/>
      <c r="P828" s="140"/>
      <c r="Q828" s="140" t="s">
        <v>452</v>
      </c>
      <c r="R828" s="140" t="s">
        <v>1119</v>
      </c>
      <c r="S828" s="140"/>
      <c r="T828" s="140"/>
      <c r="U828" s="143"/>
      <c r="V828" s="143"/>
      <c r="W828" s="143"/>
      <c r="X828" s="140" t="s">
        <v>7648</v>
      </c>
      <c r="Y828" s="140" t="s">
        <v>7649</v>
      </c>
      <c r="Z828" s="140" t="str">
        <f ca="1">IFERROR(__xludf.DUMMYFUNCTION("IF(VLOOKUP($Y828, IMPORTRANGE(""https://docs.google.com/spreadsheets/d/1WsTKRjz8_fF2119Ff9dhKIIYXSaUEHzuWr8pBkxmwQQ/edit"", ""Form Responses 1!$B:$Z""),1, FALSE)=$Y828,""Yes"",""No"")"),"#N/A")</f>
        <v>#N/A</v>
      </c>
      <c r="AA828" s="140"/>
      <c r="AB828" s="140"/>
    </row>
    <row r="829" spans="1:28">
      <c r="A829" s="144" t="s">
        <v>529</v>
      </c>
      <c r="B829" s="144" t="s">
        <v>7650</v>
      </c>
      <c r="C829" s="144" t="s">
        <v>7651</v>
      </c>
      <c r="D829" s="144" t="s">
        <v>7652</v>
      </c>
      <c r="E829" s="144" t="s">
        <v>7653</v>
      </c>
      <c r="F829" s="144" t="s">
        <v>4</v>
      </c>
      <c r="G829" s="144">
        <v>1.75</v>
      </c>
      <c r="H829" s="144" t="s">
        <v>24</v>
      </c>
      <c r="I829" s="144" t="s">
        <v>725</v>
      </c>
      <c r="J829" s="144" t="s">
        <v>7654</v>
      </c>
      <c r="K829" s="144">
        <v>2.5</v>
      </c>
      <c r="L829" s="144" t="s">
        <v>1036</v>
      </c>
      <c r="M829" s="144" t="s">
        <v>7655</v>
      </c>
      <c r="N829" s="144">
        <v>1</v>
      </c>
      <c r="O829" s="144"/>
      <c r="P829" s="144"/>
      <c r="Q829" s="144" t="s">
        <v>454</v>
      </c>
      <c r="R829" s="144" t="s">
        <v>7656</v>
      </c>
      <c r="S829" s="144"/>
      <c r="T829" s="144"/>
      <c r="U829" s="145"/>
      <c r="V829" s="145"/>
      <c r="W829" s="145"/>
      <c r="X829" s="144" t="s">
        <v>7657</v>
      </c>
      <c r="Y829" s="144" t="s">
        <v>7658</v>
      </c>
      <c r="Z829" s="144" t="str">
        <f ca="1">IFERROR(__xludf.DUMMYFUNCTION("IF(VLOOKUP($Y829, IMPORTRANGE(""https://docs.google.com/spreadsheets/d/1WsTKRjz8_fF2119Ff9dhKIIYXSaUEHzuWr8pBkxmwQQ/edit"", ""Form Responses 1!$B:$Z""),1, FALSE)=$Y829,""Yes"",""No"")"),"#N/A")</f>
        <v>#N/A</v>
      </c>
      <c r="AA829" s="144"/>
      <c r="AB829" s="144"/>
    </row>
    <row r="830" spans="1:28">
      <c r="A830" s="140" t="s">
        <v>443</v>
      </c>
      <c r="B830" s="140" t="s">
        <v>7659</v>
      </c>
      <c r="C830" s="140" t="s">
        <v>7660</v>
      </c>
      <c r="D830" s="140" t="s">
        <v>7661</v>
      </c>
      <c r="E830" s="140" t="s">
        <v>7662</v>
      </c>
      <c r="F830" s="140" t="s">
        <v>4</v>
      </c>
      <c r="G830" s="140">
        <v>1.75</v>
      </c>
      <c r="H830" s="140" t="s">
        <v>24</v>
      </c>
      <c r="I830" s="140" t="s">
        <v>602</v>
      </c>
      <c r="J830" s="140" t="s">
        <v>7663</v>
      </c>
      <c r="K830" s="140">
        <v>2</v>
      </c>
      <c r="L830" s="140" t="s">
        <v>476</v>
      </c>
      <c r="M830" s="140" t="s">
        <v>7664</v>
      </c>
      <c r="N830" s="140">
        <v>1.5</v>
      </c>
      <c r="O830" s="140" t="s">
        <v>451</v>
      </c>
      <c r="P830" s="148">
        <v>500000</v>
      </c>
      <c r="Q830" s="140" t="s">
        <v>452</v>
      </c>
      <c r="R830" s="140" t="s">
        <v>452</v>
      </c>
      <c r="S830" s="140"/>
      <c r="T830" s="140"/>
      <c r="U830" s="143"/>
      <c r="V830" s="143"/>
      <c r="W830" s="143"/>
      <c r="X830" s="140" t="s">
        <v>7665</v>
      </c>
      <c r="Y830" s="140" t="s">
        <v>7666</v>
      </c>
      <c r="Z830" s="140" t="str">
        <f ca="1">IFERROR(__xludf.DUMMYFUNCTION("IF(VLOOKUP($Y830, IMPORTRANGE(""https://docs.google.com/spreadsheets/d/1WsTKRjz8_fF2119Ff9dhKIIYXSaUEHzuWr8pBkxmwQQ/edit"", ""Form Responses 1!$B:$Z""),1, FALSE)=$Y830,""Yes"",""No"")"),"#N/A")</f>
        <v>#N/A</v>
      </c>
      <c r="AA830" s="140"/>
      <c r="AB830" s="140"/>
    </row>
    <row r="831" spans="1:28">
      <c r="A831" s="144" t="s">
        <v>443</v>
      </c>
      <c r="B831" s="144" t="s">
        <v>7667</v>
      </c>
      <c r="C831" s="144" t="s">
        <v>7668</v>
      </c>
      <c r="D831" s="144" t="s">
        <v>7669</v>
      </c>
      <c r="E831" s="144" t="s">
        <v>7670</v>
      </c>
      <c r="F831" s="144" t="s">
        <v>4</v>
      </c>
      <c r="G831" s="144">
        <v>1.75</v>
      </c>
      <c r="H831" s="144" t="s">
        <v>24</v>
      </c>
      <c r="I831" s="144" t="s">
        <v>602</v>
      </c>
      <c r="J831" s="144" t="s">
        <v>7671</v>
      </c>
      <c r="K831" s="144">
        <v>2</v>
      </c>
      <c r="L831" s="144" t="s">
        <v>476</v>
      </c>
      <c r="M831" s="144" t="s">
        <v>7672</v>
      </c>
      <c r="N831" s="144">
        <v>1.5</v>
      </c>
      <c r="O831" s="144" t="s">
        <v>451</v>
      </c>
      <c r="P831" s="146">
        <v>1500000</v>
      </c>
      <c r="Q831" s="144" t="s">
        <v>452</v>
      </c>
      <c r="R831" s="144" t="s">
        <v>7673</v>
      </c>
      <c r="S831" s="144"/>
      <c r="T831" s="144"/>
      <c r="U831" s="145"/>
      <c r="V831" s="145"/>
      <c r="W831" s="145"/>
      <c r="X831" s="144" t="s">
        <v>926</v>
      </c>
      <c r="Y831" s="144" t="s">
        <v>7674</v>
      </c>
      <c r="Z831" s="144" t="str">
        <f ca="1">IFERROR(__xludf.DUMMYFUNCTION("IF(VLOOKUP($Y831, IMPORTRANGE(""https://docs.google.com/spreadsheets/d/1WsTKRjz8_fF2119Ff9dhKIIYXSaUEHzuWr8pBkxmwQQ/edit"", ""Form Responses 1!$B:$Z""),1, FALSE)=$Y831,""Yes"",""No"")"),"#N/A")</f>
        <v>#N/A</v>
      </c>
      <c r="AA831" s="144"/>
      <c r="AB831" s="144"/>
    </row>
    <row r="832" spans="1:28">
      <c r="A832" s="140" t="s">
        <v>443</v>
      </c>
      <c r="B832" s="140" t="s">
        <v>7675</v>
      </c>
      <c r="C832" s="140" t="s">
        <v>7676</v>
      </c>
      <c r="D832" s="140" t="s">
        <v>7677</v>
      </c>
      <c r="E832" s="140" t="s">
        <v>7678</v>
      </c>
      <c r="F832" s="140" t="s">
        <v>4</v>
      </c>
      <c r="G832" s="140">
        <v>1.75</v>
      </c>
      <c r="H832" s="140" t="s">
        <v>24</v>
      </c>
      <c r="I832" s="140" t="s">
        <v>727</v>
      </c>
      <c r="J832" s="140" t="s">
        <v>7679</v>
      </c>
      <c r="K832" s="140">
        <v>2</v>
      </c>
      <c r="L832" s="140" t="s">
        <v>1045</v>
      </c>
      <c r="M832" s="140" t="s">
        <v>7680</v>
      </c>
      <c r="N832" s="140">
        <v>1.5</v>
      </c>
      <c r="O832" s="140"/>
      <c r="P832" s="140"/>
      <c r="Q832" s="140" t="s">
        <v>454</v>
      </c>
      <c r="R832" s="140" t="s">
        <v>452</v>
      </c>
      <c r="S832" s="140" t="s">
        <v>7681</v>
      </c>
      <c r="T832" s="140"/>
      <c r="U832" s="143"/>
      <c r="V832" s="143"/>
      <c r="W832" s="143"/>
      <c r="X832" s="140" t="s">
        <v>1020</v>
      </c>
      <c r="Y832" s="140" t="s">
        <v>7682</v>
      </c>
      <c r="Z832" s="140" t="str">
        <f ca="1">IFERROR(__xludf.DUMMYFUNCTION("IF(VLOOKUP($Y832, IMPORTRANGE(""https://docs.google.com/spreadsheets/d/1WsTKRjz8_fF2119Ff9dhKIIYXSaUEHzuWr8pBkxmwQQ/edit"", ""Form Responses 1!$B:$Z""),1, FALSE)=$Y832,""Yes"",""No"")"),"#N/A")</f>
        <v>#N/A</v>
      </c>
      <c r="AA832" s="140"/>
      <c r="AB832" s="140"/>
    </row>
    <row r="833" spans="1:28">
      <c r="A833" s="144" t="s">
        <v>484</v>
      </c>
      <c r="B833" s="144" t="s">
        <v>7683</v>
      </c>
      <c r="C833" s="144" t="s">
        <v>7684</v>
      </c>
      <c r="D833" s="144" t="s">
        <v>7685</v>
      </c>
      <c r="E833" s="144" t="s">
        <v>7686</v>
      </c>
      <c r="F833" s="144" t="s">
        <v>4</v>
      </c>
      <c r="G833" s="144">
        <v>1.75</v>
      </c>
      <c r="H833" s="144" t="s">
        <v>24</v>
      </c>
      <c r="I833" s="144" t="s">
        <v>602</v>
      </c>
      <c r="J833" s="144" t="s">
        <v>7687</v>
      </c>
      <c r="K833" s="144">
        <v>2</v>
      </c>
      <c r="L833" s="144" t="s">
        <v>476</v>
      </c>
      <c r="M833" s="144" t="s">
        <v>7688</v>
      </c>
      <c r="N833" s="144">
        <v>1.5</v>
      </c>
      <c r="O833" s="144"/>
      <c r="P833" s="144"/>
      <c r="Q833" s="144" t="s">
        <v>452</v>
      </c>
      <c r="R833" s="144" t="s">
        <v>1119</v>
      </c>
      <c r="S833" s="144"/>
      <c r="T833" s="144"/>
      <c r="U833" s="145"/>
      <c r="V833" s="145"/>
      <c r="W833" s="145"/>
      <c r="X833" s="144" t="s">
        <v>2397</v>
      </c>
      <c r="Y833" s="144" t="s">
        <v>7689</v>
      </c>
      <c r="Z833" s="144" t="str">
        <f ca="1">IFERROR(__xludf.DUMMYFUNCTION("IF(VLOOKUP($Y833, IMPORTRANGE(""https://docs.google.com/spreadsheets/d/1WsTKRjz8_fF2119Ff9dhKIIYXSaUEHzuWr8pBkxmwQQ/edit"", ""Form Responses 1!$B:$Z""),1, FALSE)=$Y833,""Yes"",""No"")"),"#N/A")</f>
        <v>#N/A</v>
      </c>
      <c r="AA833" s="144"/>
      <c r="AB833" s="144"/>
    </row>
    <row r="834" spans="1:28">
      <c r="A834" s="140" t="s">
        <v>529</v>
      </c>
      <c r="B834" s="140" t="s">
        <v>7690</v>
      </c>
      <c r="C834" s="140" t="s">
        <v>7691</v>
      </c>
      <c r="D834" s="140" t="s">
        <v>7692</v>
      </c>
      <c r="E834" s="140" t="s">
        <v>7693</v>
      </c>
      <c r="F834" s="140" t="s">
        <v>4</v>
      </c>
      <c r="G834" s="140">
        <v>1.75</v>
      </c>
      <c r="H834" s="140" t="s">
        <v>24</v>
      </c>
      <c r="I834" s="140" t="s">
        <v>727</v>
      </c>
      <c r="J834" s="140" t="s">
        <v>7694</v>
      </c>
      <c r="K834" s="140">
        <v>2.5</v>
      </c>
      <c r="L834" s="140" t="s">
        <v>1371</v>
      </c>
      <c r="M834" s="140" t="s">
        <v>7695</v>
      </c>
      <c r="N834" s="140">
        <v>1</v>
      </c>
      <c r="O834" s="140" t="s">
        <v>451</v>
      </c>
      <c r="P834" s="148">
        <v>2000000</v>
      </c>
      <c r="Q834" s="140" t="s">
        <v>452</v>
      </c>
      <c r="R834" s="140" t="s">
        <v>7696</v>
      </c>
      <c r="S834" s="140"/>
      <c r="T834" s="140"/>
      <c r="U834" s="143"/>
      <c r="V834" s="143"/>
      <c r="W834" s="143"/>
      <c r="X834" s="140" t="s">
        <v>7697</v>
      </c>
      <c r="Y834" s="140" t="s">
        <v>7698</v>
      </c>
      <c r="Z834" s="140" t="str">
        <f ca="1">IFERROR(__xludf.DUMMYFUNCTION("IF(VLOOKUP($Y834, IMPORTRANGE(""https://docs.google.com/spreadsheets/d/1WsTKRjz8_fF2119Ff9dhKIIYXSaUEHzuWr8pBkxmwQQ/edit"", ""Form Responses 1!$B:$Z""),1, FALSE)=$Y834,""Yes"",""No"")"),"#N/A")</f>
        <v>#N/A</v>
      </c>
      <c r="AA834" s="140"/>
      <c r="AB834" s="140"/>
    </row>
    <row r="835" spans="1:28">
      <c r="A835" s="144" t="s">
        <v>443</v>
      </c>
      <c r="B835" s="144" t="s">
        <v>7699</v>
      </c>
      <c r="C835" s="144" t="s">
        <v>7700</v>
      </c>
      <c r="D835" s="144" t="s">
        <v>7701</v>
      </c>
      <c r="E835" s="144" t="s">
        <v>7702</v>
      </c>
      <c r="F835" s="144" t="s">
        <v>4</v>
      </c>
      <c r="G835" s="144">
        <v>1.75</v>
      </c>
      <c r="H835" s="144" t="s">
        <v>24</v>
      </c>
      <c r="I835" s="144" t="s">
        <v>727</v>
      </c>
      <c r="J835" s="144" t="s">
        <v>7703</v>
      </c>
      <c r="K835" s="144">
        <v>2.5</v>
      </c>
      <c r="L835" s="144" t="s">
        <v>476</v>
      </c>
      <c r="M835" s="144" t="s">
        <v>7704</v>
      </c>
      <c r="N835" s="144">
        <v>1</v>
      </c>
      <c r="O835" s="144" t="s">
        <v>784</v>
      </c>
      <c r="P835" s="144">
        <v>750000</v>
      </c>
      <c r="Q835" s="144" t="s">
        <v>452</v>
      </c>
      <c r="R835" s="144" t="s">
        <v>7705</v>
      </c>
      <c r="S835" s="144"/>
      <c r="T835" s="144"/>
      <c r="U835" s="145"/>
      <c r="V835" s="145"/>
      <c r="W835" s="145"/>
      <c r="X835" s="144" t="s">
        <v>7706</v>
      </c>
      <c r="Y835" s="144" t="s">
        <v>7707</v>
      </c>
      <c r="Z835" s="144" t="str">
        <f ca="1">IFERROR(__xludf.DUMMYFUNCTION("IF(VLOOKUP($Y835, IMPORTRANGE(""https://docs.google.com/spreadsheets/d/1WsTKRjz8_fF2119Ff9dhKIIYXSaUEHzuWr8pBkxmwQQ/edit"", ""Form Responses 1!$B:$Z""),1, FALSE)=$Y835,""Yes"",""No"")"),"#N/A")</f>
        <v>#N/A</v>
      </c>
      <c r="AA835" s="144"/>
      <c r="AB835" s="144"/>
    </row>
    <row r="836" spans="1:28">
      <c r="A836" s="140" t="s">
        <v>529</v>
      </c>
      <c r="B836" s="140" t="s">
        <v>7708</v>
      </c>
      <c r="C836" s="140" t="s">
        <v>7709</v>
      </c>
      <c r="D836" s="140" t="s">
        <v>7710</v>
      </c>
      <c r="E836" s="140" t="s">
        <v>7711</v>
      </c>
      <c r="F836" s="140" t="s">
        <v>4</v>
      </c>
      <c r="G836" s="140">
        <v>1.75</v>
      </c>
      <c r="H836" s="140" t="s">
        <v>24</v>
      </c>
      <c r="I836" s="140" t="s">
        <v>725</v>
      </c>
      <c r="J836" s="140" t="s">
        <v>7712</v>
      </c>
      <c r="K836" s="140">
        <v>2</v>
      </c>
      <c r="L836" s="140" t="s">
        <v>476</v>
      </c>
      <c r="M836" s="140" t="s">
        <v>7713</v>
      </c>
      <c r="N836" s="140">
        <v>1.5</v>
      </c>
      <c r="O836" s="140" t="s">
        <v>4416</v>
      </c>
      <c r="P836" s="142">
        <v>1500000</v>
      </c>
      <c r="Q836" s="140" t="s">
        <v>452</v>
      </c>
      <c r="R836" s="140" t="s">
        <v>7714</v>
      </c>
      <c r="S836" s="140"/>
      <c r="T836" s="140"/>
      <c r="U836" s="143"/>
      <c r="V836" s="143"/>
      <c r="W836" s="143"/>
      <c r="X836" s="140" t="s">
        <v>7715</v>
      </c>
      <c r="Y836" s="140" t="s">
        <v>7716</v>
      </c>
      <c r="Z836" s="140" t="str">
        <f ca="1">IFERROR(__xludf.DUMMYFUNCTION("IF(VLOOKUP($Y836, IMPORTRANGE(""https://docs.google.com/spreadsheets/d/1WsTKRjz8_fF2119Ff9dhKIIYXSaUEHzuWr8pBkxmwQQ/edit"", ""Form Responses 1!$B:$Z""),1, FALSE)=$Y836,""Yes"",""No"")"),"#N/A")</f>
        <v>#N/A</v>
      </c>
      <c r="AA836" s="140"/>
      <c r="AB836" s="140"/>
    </row>
    <row r="837" spans="1:28">
      <c r="A837" s="144" t="s">
        <v>471</v>
      </c>
      <c r="B837" s="144" t="s">
        <v>7717</v>
      </c>
      <c r="C837" s="144" t="s">
        <v>7718</v>
      </c>
      <c r="D837" s="144" t="s">
        <v>7719</v>
      </c>
      <c r="E837" s="144" t="s">
        <v>7720</v>
      </c>
      <c r="F837" s="144" t="s">
        <v>4</v>
      </c>
      <c r="G837" s="144">
        <v>1.75</v>
      </c>
      <c r="H837" s="144" t="s">
        <v>24</v>
      </c>
      <c r="I837" s="144" t="s">
        <v>602</v>
      </c>
      <c r="J837" s="144" t="s">
        <v>7721</v>
      </c>
      <c r="K837" s="144">
        <v>2.5</v>
      </c>
      <c r="L837" s="144" t="s">
        <v>1054</v>
      </c>
      <c r="M837" s="144" t="s">
        <v>7722</v>
      </c>
      <c r="N837" s="144">
        <v>1</v>
      </c>
      <c r="O837" s="144"/>
      <c r="P837" s="144"/>
      <c r="Q837" s="144" t="s">
        <v>452</v>
      </c>
      <c r="R837" s="144" t="s">
        <v>452</v>
      </c>
      <c r="S837" s="144"/>
      <c r="T837" s="144"/>
      <c r="U837" s="145"/>
      <c r="V837" s="145"/>
      <c r="W837" s="145"/>
      <c r="X837" s="144" t="s">
        <v>7723</v>
      </c>
      <c r="Y837" s="144" t="s">
        <v>7724</v>
      </c>
      <c r="Z837" s="144" t="str">
        <f ca="1">IFERROR(__xludf.DUMMYFUNCTION("IF(VLOOKUP($Y837, IMPORTRANGE(""https://docs.google.com/spreadsheets/d/1WsTKRjz8_fF2119Ff9dhKIIYXSaUEHzuWr8pBkxmwQQ/edit"", ""Form Responses 1!$B:$Z""),1, FALSE)=$Y837,""Yes"",""No"")"),"#N/A")</f>
        <v>#N/A</v>
      </c>
      <c r="AA837" s="144"/>
      <c r="AB837" s="144"/>
    </row>
    <row r="838" spans="1:28">
      <c r="A838" s="140" t="s">
        <v>907</v>
      </c>
      <c r="B838" s="140" t="s">
        <v>7725</v>
      </c>
      <c r="C838" s="140" t="s">
        <v>7726</v>
      </c>
      <c r="D838" s="140" t="s">
        <v>7727</v>
      </c>
      <c r="E838" s="140" t="s">
        <v>7728</v>
      </c>
      <c r="F838" s="140" t="s">
        <v>4</v>
      </c>
      <c r="G838" s="140">
        <v>1.75</v>
      </c>
      <c r="H838" s="140" t="s">
        <v>24</v>
      </c>
      <c r="I838" s="140" t="s">
        <v>1045</v>
      </c>
      <c r="J838" s="140" t="s">
        <v>7729</v>
      </c>
      <c r="K838" s="140">
        <v>1.5</v>
      </c>
      <c r="L838" s="140" t="s">
        <v>1350</v>
      </c>
      <c r="M838" s="140" t="s">
        <v>7730</v>
      </c>
      <c r="N838" s="140">
        <v>2</v>
      </c>
      <c r="O838" s="140"/>
      <c r="P838" s="140"/>
      <c r="Q838" s="140" t="s">
        <v>452</v>
      </c>
      <c r="R838" s="140" t="s">
        <v>7731</v>
      </c>
      <c r="S838" s="140"/>
      <c r="T838" s="140"/>
      <c r="U838" s="143"/>
      <c r="V838" s="143"/>
      <c r="W838" s="143"/>
      <c r="X838" s="140" t="s">
        <v>7732</v>
      </c>
      <c r="Y838" s="140" t="s">
        <v>7733</v>
      </c>
      <c r="Z838" s="140" t="str">
        <f ca="1">IFERROR(__xludf.DUMMYFUNCTION("IF(VLOOKUP($Y838, IMPORTRANGE(""https://docs.google.com/spreadsheets/d/1WsTKRjz8_fF2119Ff9dhKIIYXSaUEHzuWr8pBkxmwQQ/edit"", ""Form Responses 1!$B:$Z""),1, FALSE)=$Y838,""Yes"",""No"")"),"#N/A")</f>
        <v>#N/A</v>
      </c>
      <c r="AA838" s="140"/>
      <c r="AB838" s="140"/>
    </row>
    <row r="839" spans="1:28">
      <c r="A839" s="144" t="s">
        <v>443</v>
      </c>
      <c r="B839" s="144" t="s">
        <v>7734</v>
      </c>
      <c r="C839" s="144" t="s">
        <v>7735</v>
      </c>
      <c r="D839" s="144" t="s">
        <v>7736</v>
      </c>
      <c r="E839" s="144" t="s">
        <v>7737</v>
      </c>
      <c r="F839" s="144" t="s">
        <v>4</v>
      </c>
      <c r="G839" s="144">
        <v>1.75</v>
      </c>
      <c r="H839" s="144" t="s">
        <v>24</v>
      </c>
      <c r="I839" s="144" t="s">
        <v>602</v>
      </c>
      <c r="J839" s="144" t="s">
        <v>7738</v>
      </c>
      <c r="K839" s="144">
        <v>2.5</v>
      </c>
      <c r="L839" s="144" t="s">
        <v>476</v>
      </c>
      <c r="M839" s="144" t="s">
        <v>7672</v>
      </c>
      <c r="N839" s="144">
        <v>1</v>
      </c>
      <c r="O839" s="144" t="s">
        <v>451</v>
      </c>
      <c r="P839" s="147">
        <v>2000000</v>
      </c>
      <c r="Q839" s="144" t="s">
        <v>452</v>
      </c>
      <c r="R839" s="144" t="s">
        <v>7739</v>
      </c>
      <c r="S839" s="144"/>
      <c r="T839" s="144"/>
      <c r="U839" s="145"/>
      <c r="V839" s="145"/>
      <c r="W839" s="145"/>
      <c r="X839" s="144" t="s">
        <v>7740</v>
      </c>
      <c r="Y839" s="144" t="s">
        <v>7741</v>
      </c>
      <c r="Z839" s="144" t="str">
        <f ca="1">IFERROR(__xludf.DUMMYFUNCTION("IF(VLOOKUP($Y839, IMPORTRANGE(""https://docs.google.com/spreadsheets/d/1WsTKRjz8_fF2119Ff9dhKIIYXSaUEHzuWr8pBkxmwQQ/edit"", ""Form Responses 1!$B:$Z""),1, FALSE)=$Y839,""Yes"",""No"")"),"#N/A")</f>
        <v>#N/A</v>
      </c>
      <c r="AA839" s="144"/>
      <c r="AB839" s="144"/>
    </row>
    <row r="840" spans="1:28">
      <c r="A840" s="140" t="s">
        <v>529</v>
      </c>
      <c r="B840" s="140" t="s">
        <v>7742</v>
      </c>
      <c r="C840" s="140" t="s">
        <v>7743</v>
      </c>
      <c r="D840" s="140" t="s">
        <v>7744</v>
      </c>
      <c r="E840" s="140" t="s">
        <v>7745</v>
      </c>
      <c r="F840" s="140" t="s">
        <v>4</v>
      </c>
      <c r="G840" s="140">
        <v>1.75</v>
      </c>
      <c r="H840" s="140" t="s">
        <v>24</v>
      </c>
      <c r="I840" s="140" t="s">
        <v>602</v>
      </c>
      <c r="J840" s="140" t="s">
        <v>7746</v>
      </c>
      <c r="K840" s="140">
        <v>2</v>
      </c>
      <c r="L840" s="140" t="s">
        <v>1045</v>
      </c>
      <c r="M840" s="140" t="s">
        <v>7747</v>
      </c>
      <c r="N840" s="140">
        <v>1.5</v>
      </c>
      <c r="O840" s="140"/>
      <c r="P840" s="140"/>
      <c r="Q840" s="140" t="s">
        <v>454</v>
      </c>
      <c r="R840" s="140" t="s">
        <v>7748</v>
      </c>
      <c r="S840" s="140"/>
      <c r="T840" s="140"/>
      <c r="U840" s="143"/>
      <c r="V840" s="143"/>
      <c r="W840" s="143"/>
      <c r="X840" s="140" t="s">
        <v>7749</v>
      </c>
      <c r="Y840" s="140" t="s">
        <v>7750</v>
      </c>
      <c r="Z840" s="140" t="str">
        <f ca="1">IFERROR(__xludf.DUMMYFUNCTION("IF(VLOOKUP($Y840, IMPORTRANGE(""https://docs.google.com/spreadsheets/d/1WsTKRjz8_fF2119Ff9dhKIIYXSaUEHzuWr8pBkxmwQQ/edit"", ""Form Responses 1!$B:$Z""),1, FALSE)=$Y840,""Yes"",""No"")"),"#N/A")</f>
        <v>#N/A</v>
      </c>
      <c r="AA840" s="140"/>
      <c r="AB840" s="140"/>
    </row>
    <row r="841" spans="1:28">
      <c r="A841" s="144" t="s">
        <v>471</v>
      </c>
      <c r="B841" s="144" t="s">
        <v>7751</v>
      </c>
      <c r="C841" s="144" t="s">
        <v>7752</v>
      </c>
      <c r="D841" s="144" t="s">
        <v>7753</v>
      </c>
      <c r="E841" s="144" t="s">
        <v>7754</v>
      </c>
      <c r="F841" s="144" t="s">
        <v>4</v>
      </c>
      <c r="G841" s="144">
        <v>1.5</v>
      </c>
      <c r="H841" s="144" t="s">
        <v>24</v>
      </c>
      <c r="I841" s="144" t="s">
        <v>602</v>
      </c>
      <c r="J841" s="144" t="s">
        <v>7755</v>
      </c>
      <c r="K841" s="144">
        <v>2</v>
      </c>
      <c r="L841" s="144" t="s">
        <v>1054</v>
      </c>
      <c r="M841" s="144"/>
      <c r="N841" s="144">
        <v>1</v>
      </c>
      <c r="O841" s="144" t="s">
        <v>451</v>
      </c>
      <c r="P841" s="144">
        <v>1000000</v>
      </c>
      <c r="Q841" s="144" t="s">
        <v>452</v>
      </c>
      <c r="R841" s="144" t="s">
        <v>452</v>
      </c>
      <c r="S841" s="144"/>
      <c r="T841" s="144"/>
      <c r="U841" s="145"/>
      <c r="V841" s="145"/>
      <c r="W841" s="145"/>
      <c r="X841" s="144" t="s">
        <v>7756</v>
      </c>
      <c r="Y841" s="144" t="s">
        <v>7757</v>
      </c>
      <c r="Z841" s="144" t="str">
        <f ca="1">IFERROR(__xludf.DUMMYFUNCTION("IF(VLOOKUP($Y841, IMPORTRANGE(""https://docs.google.com/spreadsheets/d/1WsTKRjz8_fF2119Ff9dhKIIYXSaUEHzuWr8pBkxmwQQ/edit"", ""Form Responses 1!$B:$Z""),1, FALSE)=$Y841,""Yes"",""No"")"),"#N/A")</f>
        <v>#N/A</v>
      </c>
      <c r="AA841" s="144"/>
      <c r="AB841" s="144"/>
    </row>
    <row r="842" spans="1:28">
      <c r="A842" s="140" t="s">
        <v>529</v>
      </c>
      <c r="B842" s="140" t="s">
        <v>7758</v>
      </c>
      <c r="C842" s="140" t="s">
        <v>7759</v>
      </c>
      <c r="D842" s="140" t="s">
        <v>7760</v>
      </c>
      <c r="E842" s="140" t="s">
        <v>7761</v>
      </c>
      <c r="F842" s="140" t="s">
        <v>4</v>
      </c>
      <c r="G842" s="140">
        <v>1.5</v>
      </c>
      <c r="H842" s="140" t="s">
        <v>24</v>
      </c>
      <c r="I842" s="140" t="s">
        <v>725</v>
      </c>
      <c r="J842" s="140"/>
      <c r="K842" s="140">
        <v>1</v>
      </c>
      <c r="L842" s="140" t="s">
        <v>1036</v>
      </c>
      <c r="M842" s="140" t="s">
        <v>7762</v>
      </c>
      <c r="N842" s="140">
        <v>2</v>
      </c>
      <c r="O842" s="140"/>
      <c r="P842" s="140"/>
      <c r="Q842" s="140" t="s">
        <v>465</v>
      </c>
      <c r="R842" s="140" t="s">
        <v>7763</v>
      </c>
      <c r="S842" s="140"/>
      <c r="T842" s="140"/>
      <c r="U842" s="143"/>
      <c r="V842" s="143"/>
      <c r="W842" s="143"/>
      <c r="X842" s="140" t="s">
        <v>7764</v>
      </c>
      <c r="Y842" s="140" t="s">
        <v>7765</v>
      </c>
      <c r="Z842" s="140" t="str">
        <f ca="1">IFERROR(__xludf.DUMMYFUNCTION("IF(VLOOKUP($Y842, IMPORTRANGE(""https://docs.google.com/spreadsheets/d/1WsTKRjz8_fF2119Ff9dhKIIYXSaUEHzuWr8pBkxmwQQ/edit"", ""Form Responses 1!$B:$Z""),1, FALSE)=$Y842,""Yes"",""No"")"),"#N/A")</f>
        <v>#N/A</v>
      </c>
      <c r="AA842" s="140"/>
      <c r="AB842" s="140"/>
    </row>
    <row r="843" spans="1:28">
      <c r="A843" s="144" t="s">
        <v>443</v>
      </c>
      <c r="B843" s="144" t="s">
        <v>7766</v>
      </c>
      <c r="C843" s="144" t="s">
        <v>7767</v>
      </c>
      <c r="D843" s="144" t="s">
        <v>7768</v>
      </c>
      <c r="E843" s="144" t="s">
        <v>7769</v>
      </c>
      <c r="F843" s="144" t="s">
        <v>4</v>
      </c>
      <c r="G843" s="144">
        <v>1.5</v>
      </c>
      <c r="H843" s="144" t="s">
        <v>24</v>
      </c>
      <c r="I843" s="144" t="s">
        <v>727</v>
      </c>
      <c r="J843" s="144" t="s">
        <v>7770</v>
      </c>
      <c r="K843" s="144">
        <v>2</v>
      </c>
      <c r="L843" s="144" t="s">
        <v>1045</v>
      </c>
      <c r="M843" s="144" t="s">
        <v>7771</v>
      </c>
      <c r="N843" s="144">
        <v>1</v>
      </c>
      <c r="O843" s="144" t="s">
        <v>784</v>
      </c>
      <c r="P843" s="146">
        <v>500000</v>
      </c>
      <c r="Q843" s="144" t="s">
        <v>452</v>
      </c>
      <c r="R843" s="144" t="s">
        <v>575</v>
      </c>
      <c r="S843" s="144" t="s">
        <v>447</v>
      </c>
      <c r="T843" s="144"/>
      <c r="U843" s="145"/>
      <c r="V843" s="145"/>
      <c r="W843" s="145"/>
      <c r="X843" s="144" t="s">
        <v>7772</v>
      </c>
      <c r="Y843" s="144" t="s">
        <v>7773</v>
      </c>
      <c r="Z843" s="144" t="str">
        <f ca="1">IFERROR(__xludf.DUMMYFUNCTION("IF(VLOOKUP($Y843, IMPORTRANGE(""https://docs.google.com/spreadsheets/d/1WsTKRjz8_fF2119Ff9dhKIIYXSaUEHzuWr8pBkxmwQQ/edit"", ""Form Responses 1!$B:$Z""),1, FALSE)=$Y843,""Yes"",""No"")"),"#N/A")</f>
        <v>#N/A</v>
      </c>
      <c r="AA843" s="144"/>
      <c r="AB843" s="144"/>
    </row>
    <row r="844" spans="1:28">
      <c r="A844" s="140" t="s">
        <v>907</v>
      </c>
      <c r="B844" s="140" t="s">
        <v>7774</v>
      </c>
      <c r="C844" s="140" t="s">
        <v>7775</v>
      </c>
      <c r="D844" s="140" t="s">
        <v>7776</v>
      </c>
      <c r="E844" s="140" t="s">
        <v>7777</v>
      </c>
      <c r="F844" s="140" t="s">
        <v>4</v>
      </c>
      <c r="G844" s="140">
        <v>1.5</v>
      </c>
      <c r="H844" s="140" t="s">
        <v>24</v>
      </c>
      <c r="I844" s="140" t="s">
        <v>602</v>
      </c>
      <c r="J844" s="140" t="s">
        <v>7778</v>
      </c>
      <c r="K844" s="140">
        <v>2</v>
      </c>
      <c r="L844" s="140" t="s">
        <v>1036</v>
      </c>
      <c r="M844" s="140" t="s">
        <v>7779</v>
      </c>
      <c r="N844" s="140">
        <v>1</v>
      </c>
      <c r="O844" s="140"/>
      <c r="P844" s="140"/>
      <c r="Q844" s="140" t="s">
        <v>452</v>
      </c>
      <c r="R844" s="140" t="s">
        <v>7780</v>
      </c>
      <c r="S844" s="140"/>
      <c r="T844" s="140"/>
      <c r="U844" s="143"/>
      <c r="V844" s="143"/>
      <c r="W844" s="143"/>
      <c r="X844" s="140" t="s">
        <v>7781</v>
      </c>
      <c r="Y844" s="140" t="s">
        <v>7782</v>
      </c>
      <c r="Z844" s="140" t="str">
        <f ca="1">IFERROR(__xludf.DUMMYFUNCTION("IF(VLOOKUP($Y844, IMPORTRANGE(""https://docs.google.com/spreadsheets/d/1WsTKRjz8_fF2119Ff9dhKIIYXSaUEHzuWr8pBkxmwQQ/edit"", ""Form Responses 1!$B:$Z""),1, FALSE)=$Y844,""Yes"",""No"")"),"#N/A")</f>
        <v>#N/A</v>
      </c>
      <c r="AA844" s="140"/>
      <c r="AB844" s="140"/>
    </row>
    <row r="845" spans="1:28">
      <c r="A845" s="144" t="s">
        <v>529</v>
      </c>
      <c r="B845" s="144" t="s">
        <v>7783</v>
      </c>
      <c r="C845" s="144" t="s">
        <v>7784</v>
      </c>
      <c r="D845" s="144" t="s">
        <v>7785</v>
      </c>
      <c r="E845" s="144" t="s">
        <v>7786</v>
      </c>
      <c r="F845" s="144" t="s">
        <v>4</v>
      </c>
      <c r="G845" s="144">
        <v>1.5</v>
      </c>
      <c r="H845" s="144" t="s">
        <v>24</v>
      </c>
      <c r="I845" s="144" t="s">
        <v>447</v>
      </c>
      <c r="J845" s="144" t="s">
        <v>7787</v>
      </c>
      <c r="K845" s="144">
        <v>2</v>
      </c>
      <c r="L845" s="144" t="s">
        <v>1036</v>
      </c>
      <c r="M845" s="144" t="s">
        <v>7788</v>
      </c>
      <c r="N845" s="144">
        <v>1</v>
      </c>
      <c r="O845" s="144" t="s">
        <v>451</v>
      </c>
      <c r="P845" s="144">
        <v>1000000</v>
      </c>
      <c r="Q845" s="144" t="s">
        <v>452</v>
      </c>
      <c r="R845" s="144" t="s">
        <v>7789</v>
      </c>
      <c r="S845" s="144"/>
      <c r="T845" s="144"/>
      <c r="U845" s="145"/>
      <c r="V845" s="145"/>
      <c r="W845" s="145"/>
      <c r="X845" s="144" t="s">
        <v>7790</v>
      </c>
      <c r="Y845" s="144" t="s">
        <v>7791</v>
      </c>
      <c r="Z845" s="144" t="str">
        <f ca="1">IFERROR(__xludf.DUMMYFUNCTION("IF(VLOOKUP($Y845, IMPORTRANGE(""https://docs.google.com/spreadsheets/d/1WsTKRjz8_fF2119Ff9dhKIIYXSaUEHzuWr8pBkxmwQQ/edit"", ""Form Responses 1!$B:$Z""),1, FALSE)=$Y845,""Yes"",""No"")"),"#N/A")</f>
        <v>#N/A</v>
      </c>
      <c r="AA845" s="144"/>
      <c r="AB845" s="144"/>
    </row>
    <row r="846" spans="1:28">
      <c r="A846" s="140" t="s">
        <v>529</v>
      </c>
      <c r="B846" s="140" t="s">
        <v>7792</v>
      </c>
      <c r="C846" s="140" t="s">
        <v>7793</v>
      </c>
      <c r="D846" s="140" t="s">
        <v>7794</v>
      </c>
      <c r="E846" s="140" t="s">
        <v>7795</v>
      </c>
      <c r="F846" s="140" t="s">
        <v>4</v>
      </c>
      <c r="G846" s="140">
        <v>1.5</v>
      </c>
      <c r="H846" s="140" t="s">
        <v>24</v>
      </c>
      <c r="I846" s="140" t="s">
        <v>727</v>
      </c>
      <c r="J846" s="140" t="s">
        <v>7796</v>
      </c>
      <c r="K846" s="140">
        <v>2</v>
      </c>
      <c r="L846" s="140" t="s">
        <v>1036</v>
      </c>
      <c r="M846" s="140" t="s">
        <v>7797</v>
      </c>
      <c r="N846" s="140">
        <v>1</v>
      </c>
      <c r="O846" s="140" t="s">
        <v>7798</v>
      </c>
      <c r="P846" s="140" t="s">
        <v>7799</v>
      </c>
      <c r="Q846" s="140" t="s">
        <v>452</v>
      </c>
      <c r="R846" s="140" t="s">
        <v>7800</v>
      </c>
      <c r="S846" s="140"/>
      <c r="T846" s="140"/>
      <c r="U846" s="143"/>
      <c r="V846" s="143"/>
      <c r="W846" s="143"/>
      <c r="X846" s="140" t="s">
        <v>7801</v>
      </c>
      <c r="Y846" s="140" t="s">
        <v>7802</v>
      </c>
      <c r="Z846" s="140" t="str">
        <f ca="1">IFERROR(__xludf.DUMMYFUNCTION("IF(VLOOKUP($Y846, IMPORTRANGE(""https://docs.google.com/spreadsheets/d/1WsTKRjz8_fF2119Ff9dhKIIYXSaUEHzuWr8pBkxmwQQ/edit"", ""Form Responses 1!$B:$Z""),1, FALSE)=$Y846,""Yes"",""No"")"),"#N/A")</f>
        <v>#N/A</v>
      </c>
      <c r="AA846" s="140"/>
      <c r="AB846" s="140"/>
    </row>
    <row r="847" spans="1:28">
      <c r="A847" s="144" t="s">
        <v>598</v>
      </c>
      <c r="B847" s="144" t="s">
        <v>7803</v>
      </c>
      <c r="C847" s="144" t="s">
        <v>7804</v>
      </c>
      <c r="D847" s="144" t="s">
        <v>7805</v>
      </c>
      <c r="E847" s="144" t="s">
        <v>7806</v>
      </c>
      <c r="F847" s="144" t="s">
        <v>4</v>
      </c>
      <c r="G847" s="144">
        <v>1.5</v>
      </c>
      <c r="H847" s="144" t="s">
        <v>24</v>
      </c>
      <c r="I847" s="144" t="s">
        <v>602</v>
      </c>
      <c r="J847" s="144" t="s">
        <v>7807</v>
      </c>
      <c r="K847" s="144">
        <v>1</v>
      </c>
      <c r="L847" s="144" t="s">
        <v>1073</v>
      </c>
      <c r="M847" s="144"/>
      <c r="N847" s="144">
        <v>2</v>
      </c>
      <c r="O847" s="144" t="s">
        <v>451</v>
      </c>
      <c r="P847" s="144" t="s">
        <v>7808</v>
      </c>
      <c r="Q847" s="144" t="s">
        <v>452</v>
      </c>
      <c r="R847" s="144" t="s">
        <v>452</v>
      </c>
      <c r="S847" s="144"/>
      <c r="T847" s="144"/>
      <c r="U847" s="145"/>
      <c r="V847" s="145"/>
      <c r="W847" s="145"/>
      <c r="X847" s="144" t="s">
        <v>7809</v>
      </c>
      <c r="Y847" s="144" t="s">
        <v>7810</v>
      </c>
      <c r="Z847" s="144" t="str">
        <f ca="1">IFERROR(__xludf.DUMMYFUNCTION("IF(VLOOKUP($Y847, IMPORTRANGE(""https://docs.google.com/spreadsheets/d/1WsTKRjz8_fF2119Ff9dhKIIYXSaUEHzuWr8pBkxmwQQ/edit"", ""Form Responses 1!$B:$Z""),1, FALSE)=$Y847,""Yes"",""No"")"),"#N/A")</f>
        <v>#N/A</v>
      </c>
      <c r="AA847" s="144"/>
      <c r="AB847" s="144"/>
    </row>
    <row r="848" spans="1:28">
      <c r="A848" s="140" t="s">
        <v>529</v>
      </c>
      <c r="B848" s="140" t="s">
        <v>7811</v>
      </c>
      <c r="C848" s="140" t="s">
        <v>7812</v>
      </c>
      <c r="D848" s="140" t="s">
        <v>7813</v>
      </c>
      <c r="E848" s="140" t="s">
        <v>7814</v>
      </c>
      <c r="F848" s="140" t="s">
        <v>4</v>
      </c>
      <c r="G848" s="140">
        <v>1.5</v>
      </c>
      <c r="H848" s="140" t="s">
        <v>24</v>
      </c>
      <c r="I848" s="140" t="s">
        <v>1045</v>
      </c>
      <c r="J848" s="140" t="s">
        <v>7815</v>
      </c>
      <c r="K848" s="140">
        <v>1</v>
      </c>
      <c r="L848" s="140" t="s">
        <v>1073</v>
      </c>
      <c r="M848" s="140" t="s">
        <v>7816</v>
      </c>
      <c r="N848" s="140">
        <v>2</v>
      </c>
      <c r="O848" s="140"/>
      <c r="P848" s="140"/>
      <c r="Q848" s="140" t="s">
        <v>454</v>
      </c>
      <c r="R848" s="140" t="s">
        <v>452</v>
      </c>
      <c r="S848" s="140"/>
      <c r="T848" s="140"/>
      <c r="U848" s="143"/>
      <c r="V848" s="143"/>
      <c r="W848" s="143"/>
      <c r="X848" s="140" t="s">
        <v>7817</v>
      </c>
      <c r="Y848" s="140" t="s">
        <v>7818</v>
      </c>
      <c r="Z848" s="140" t="str">
        <f ca="1">IFERROR(__xludf.DUMMYFUNCTION("IF(VLOOKUP($Y848, IMPORTRANGE(""https://docs.google.com/spreadsheets/d/1WsTKRjz8_fF2119Ff9dhKIIYXSaUEHzuWr8pBkxmwQQ/edit"", ""Form Responses 1!$B:$Z""),1, FALSE)=$Y848,""Yes"",""No"")"),"#N/A")</f>
        <v>#N/A</v>
      </c>
      <c r="AA848" s="140"/>
      <c r="AB848" s="140"/>
    </row>
    <row r="849" spans="1:28">
      <c r="A849" s="144" t="s">
        <v>443</v>
      </c>
      <c r="B849" s="144" t="s">
        <v>7819</v>
      </c>
      <c r="C849" s="144" t="s">
        <v>7820</v>
      </c>
      <c r="D849" s="144" t="s">
        <v>7821</v>
      </c>
      <c r="E849" s="144" t="s">
        <v>7822</v>
      </c>
      <c r="F849" s="144" t="s">
        <v>4</v>
      </c>
      <c r="G849" s="144">
        <v>1.5</v>
      </c>
      <c r="H849" s="144" t="s">
        <v>24</v>
      </c>
      <c r="I849" s="144" t="s">
        <v>602</v>
      </c>
      <c r="J849" s="144" t="s">
        <v>7823</v>
      </c>
      <c r="K849" s="144">
        <v>1</v>
      </c>
      <c r="L849" s="144" t="s">
        <v>1054</v>
      </c>
      <c r="M849" s="144" t="s">
        <v>7824</v>
      </c>
      <c r="N849" s="144">
        <v>2</v>
      </c>
      <c r="O849" s="144"/>
      <c r="P849" s="144"/>
      <c r="Q849" s="144" t="s">
        <v>454</v>
      </c>
      <c r="R849" s="144" t="s">
        <v>452</v>
      </c>
      <c r="S849" s="144"/>
      <c r="T849" s="144"/>
      <c r="U849" s="145"/>
      <c r="V849" s="145"/>
      <c r="W849" s="145"/>
      <c r="X849" s="144" t="s">
        <v>2201</v>
      </c>
      <c r="Y849" s="144" t="s">
        <v>7825</v>
      </c>
      <c r="Z849" s="144" t="str">
        <f ca="1">IFERROR(__xludf.DUMMYFUNCTION("IF(VLOOKUP($Y849, IMPORTRANGE(""https://docs.google.com/spreadsheets/d/1WsTKRjz8_fF2119Ff9dhKIIYXSaUEHzuWr8pBkxmwQQ/edit"", ""Form Responses 1!$B:$Z""),1, FALSE)=$Y849,""Yes"",""No"")"),"#N/A")</f>
        <v>#N/A</v>
      </c>
      <c r="AA849" s="144"/>
      <c r="AB849" s="144"/>
    </row>
    <row r="850" spans="1:28">
      <c r="A850" s="140" t="s">
        <v>503</v>
      </c>
      <c r="B850" s="140" t="s">
        <v>7826</v>
      </c>
      <c r="C850" s="140" t="s">
        <v>7827</v>
      </c>
      <c r="D850" s="140" t="s">
        <v>7828</v>
      </c>
      <c r="E850" s="140" t="s">
        <v>7829</v>
      </c>
      <c r="F850" s="140" t="s">
        <v>4</v>
      </c>
      <c r="G850" s="140">
        <v>1.5</v>
      </c>
      <c r="H850" s="140" t="s">
        <v>24</v>
      </c>
      <c r="I850" s="140" t="s">
        <v>602</v>
      </c>
      <c r="J850" s="140" t="s">
        <v>7830</v>
      </c>
      <c r="K850" s="140">
        <v>2</v>
      </c>
      <c r="L850" s="140" t="s">
        <v>1054</v>
      </c>
      <c r="M850" s="140" t="s">
        <v>7831</v>
      </c>
      <c r="N850" s="140">
        <v>1</v>
      </c>
      <c r="O850" s="140" t="s">
        <v>784</v>
      </c>
      <c r="P850" s="140">
        <v>300000</v>
      </c>
      <c r="Q850" s="140" t="s">
        <v>452</v>
      </c>
      <c r="R850" s="140" t="s">
        <v>7832</v>
      </c>
      <c r="S850" s="140"/>
      <c r="T850" s="140"/>
      <c r="U850" s="143"/>
      <c r="V850" s="143"/>
      <c r="W850" s="143"/>
      <c r="X850" s="140" t="s">
        <v>7833</v>
      </c>
      <c r="Y850" s="140" t="s">
        <v>7834</v>
      </c>
      <c r="Z850" s="140" t="str">
        <f ca="1">IFERROR(__xludf.DUMMYFUNCTION("IF(VLOOKUP($Y850, IMPORTRANGE(""https://docs.google.com/spreadsheets/d/1WsTKRjz8_fF2119Ff9dhKIIYXSaUEHzuWr8pBkxmwQQ/edit"", ""Form Responses 1!$B:$Z""),1, FALSE)=$Y850,""Yes"",""No"")"),"#N/A")</f>
        <v>#N/A</v>
      </c>
      <c r="AA850" s="140"/>
      <c r="AB850" s="140"/>
    </row>
    <row r="851" spans="1:28">
      <c r="A851" s="144" t="s">
        <v>529</v>
      </c>
      <c r="B851" s="144" t="s">
        <v>7835</v>
      </c>
      <c r="C851" s="144" t="s">
        <v>7836</v>
      </c>
      <c r="D851" s="144" t="s">
        <v>7837</v>
      </c>
      <c r="E851" s="144" t="s">
        <v>7838</v>
      </c>
      <c r="F851" s="144" t="s">
        <v>4</v>
      </c>
      <c r="G851" s="144">
        <v>1.5</v>
      </c>
      <c r="H851" s="144" t="s">
        <v>24</v>
      </c>
      <c r="I851" s="144" t="s">
        <v>725</v>
      </c>
      <c r="J851" s="144" t="s">
        <v>7839</v>
      </c>
      <c r="K851" s="144">
        <v>1</v>
      </c>
      <c r="L851" s="144" t="s">
        <v>1187</v>
      </c>
      <c r="M851" s="144" t="s">
        <v>7840</v>
      </c>
      <c r="N851" s="144">
        <v>2</v>
      </c>
      <c r="O851" s="144"/>
      <c r="P851" s="144"/>
      <c r="Q851" s="144" t="s">
        <v>452</v>
      </c>
      <c r="R851" s="144" t="s">
        <v>7841</v>
      </c>
      <c r="S851" s="144"/>
      <c r="T851" s="144"/>
      <c r="U851" s="145"/>
      <c r="V851" s="145"/>
      <c r="W851" s="145"/>
      <c r="X851" s="144" t="s">
        <v>1622</v>
      </c>
      <c r="Y851" s="144" t="s">
        <v>7842</v>
      </c>
      <c r="Z851" s="144" t="str">
        <f ca="1">IFERROR(__xludf.DUMMYFUNCTION("IF(VLOOKUP($Y851, IMPORTRANGE(""https://docs.google.com/spreadsheets/d/1WsTKRjz8_fF2119Ff9dhKIIYXSaUEHzuWr8pBkxmwQQ/edit"", ""Form Responses 1!$B:$Z""),1, FALSE)=$Y851,""Yes"",""No"")"),"#N/A")</f>
        <v>#N/A</v>
      </c>
      <c r="AA851" s="144"/>
      <c r="AB851" s="144"/>
    </row>
    <row r="852" spans="1:28">
      <c r="A852" s="140" t="s">
        <v>529</v>
      </c>
      <c r="B852" s="140" t="s">
        <v>7843</v>
      </c>
      <c r="C852" s="140" t="s">
        <v>7844</v>
      </c>
      <c r="D852" s="140" t="s">
        <v>7845</v>
      </c>
      <c r="E852" s="140" t="s">
        <v>7846</v>
      </c>
      <c r="F852" s="140" t="s">
        <v>4</v>
      </c>
      <c r="G852" s="140">
        <v>1.5</v>
      </c>
      <c r="H852" s="140" t="s">
        <v>24</v>
      </c>
      <c r="I852" s="140" t="s">
        <v>725</v>
      </c>
      <c r="J852" s="140" t="s">
        <v>7847</v>
      </c>
      <c r="K852" s="140">
        <v>1</v>
      </c>
      <c r="L852" s="140" t="s">
        <v>1237</v>
      </c>
      <c r="M852" s="140"/>
      <c r="N852" s="140">
        <v>2</v>
      </c>
      <c r="O852" s="140"/>
      <c r="P852" s="140"/>
      <c r="Q852" s="140" t="s">
        <v>454</v>
      </c>
      <c r="R852" s="140" t="s">
        <v>7848</v>
      </c>
      <c r="S852" s="140"/>
      <c r="T852" s="140"/>
      <c r="U852" s="143"/>
      <c r="V852" s="143"/>
      <c r="W852" s="143"/>
      <c r="X852" s="140" t="s">
        <v>7849</v>
      </c>
      <c r="Y852" s="140" t="s">
        <v>7850</v>
      </c>
      <c r="Z852" s="140" t="str">
        <f ca="1">IFERROR(__xludf.DUMMYFUNCTION("IF(VLOOKUP($Y852, IMPORTRANGE(""https://docs.google.com/spreadsheets/d/1WsTKRjz8_fF2119Ff9dhKIIYXSaUEHzuWr8pBkxmwQQ/edit"", ""Form Responses 1!$B:$Z""),1, FALSE)=$Y852,""Yes"",""No"")"),"#N/A")</f>
        <v>#N/A</v>
      </c>
      <c r="AA852" s="140"/>
      <c r="AB852" s="140"/>
    </row>
    <row r="853" spans="1:28">
      <c r="A853" s="144" t="s">
        <v>598</v>
      </c>
      <c r="B853" s="144" t="s">
        <v>7851</v>
      </c>
      <c r="C853" s="144" t="s">
        <v>7852</v>
      </c>
      <c r="D853" s="144" t="s">
        <v>7853</v>
      </c>
      <c r="E853" s="144" t="s">
        <v>7854</v>
      </c>
      <c r="F853" s="144" t="s">
        <v>4</v>
      </c>
      <c r="G853" s="144">
        <v>1.5</v>
      </c>
      <c r="H853" s="144" t="s">
        <v>24</v>
      </c>
      <c r="I853" s="144" t="s">
        <v>602</v>
      </c>
      <c r="J853" s="144" t="s">
        <v>7855</v>
      </c>
      <c r="K853" s="144">
        <v>2</v>
      </c>
      <c r="L853" s="144" t="s">
        <v>1237</v>
      </c>
      <c r="M853" s="144"/>
      <c r="N853" s="144">
        <v>1</v>
      </c>
      <c r="O853" s="144" t="s">
        <v>451</v>
      </c>
      <c r="P853" s="144" t="s">
        <v>7856</v>
      </c>
      <c r="Q853" s="144" t="s">
        <v>452</v>
      </c>
      <c r="R853" s="144" t="s">
        <v>3420</v>
      </c>
      <c r="S853" s="144" t="s">
        <v>7857</v>
      </c>
      <c r="T853" s="144"/>
      <c r="U853" s="145"/>
      <c r="V853" s="145"/>
      <c r="W853" s="145"/>
      <c r="X853" s="144" t="s">
        <v>7858</v>
      </c>
      <c r="Y853" s="144" t="s">
        <v>7859</v>
      </c>
      <c r="Z853" s="144" t="str">
        <f ca="1">IFERROR(__xludf.DUMMYFUNCTION("IF(VLOOKUP($Y853, IMPORTRANGE(""https://docs.google.com/spreadsheets/d/1WsTKRjz8_fF2119Ff9dhKIIYXSaUEHzuWr8pBkxmwQQ/edit"", ""Form Responses 1!$B:$Z""),1, FALSE)=$Y853,""Yes"",""No"")"),"#N/A")</f>
        <v>#N/A</v>
      </c>
      <c r="AA853" s="144"/>
      <c r="AB853" s="144"/>
    </row>
    <row r="854" spans="1:28">
      <c r="A854" s="140" t="s">
        <v>529</v>
      </c>
      <c r="B854" s="140" t="s">
        <v>7860</v>
      </c>
      <c r="C854" s="140" t="s">
        <v>7861</v>
      </c>
      <c r="D854" s="140" t="s">
        <v>7862</v>
      </c>
      <c r="E854" s="140" t="s">
        <v>7863</v>
      </c>
      <c r="F854" s="140" t="s">
        <v>4</v>
      </c>
      <c r="G854" s="140">
        <v>1.5</v>
      </c>
      <c r="H854" s="140" t="s">
        <v>24</v>
      </c>
      <c r="I854" s="140" t="s">
        <v>727</v>
      </c>
      <c r="J854" s="140" t="s">
        <v>7864</v>
      </c>
      <c r="K854" s="140">
        <v>2</v>
      </c>
      <c r="L854" s="140" t="s">
        <v>1045</v>
      </c>
      <c r="M854" s="140" t="s">
        <v>7865</v>
      </c>
      <c r="N854" s="140">
        <v>1</v>
      </c>
      <c r="O854" s="140"/>
      <c r="P854" s="140"/>
      <c r="Q854" s="140" t="s">
        <v>465</v>
      </c>
      <c r="R854" s="140" t="s">
        <v>7866</v>
      </c>
      <c r="S854" s="140"/>
      <c r="T854" s="140"/>
      <c r="U854" s="143"/>
      <c r="V854" s="143"/>
      <c r="W854" s="143"/>
      <c r="X854" s="140" t="s">
        <v>4197</v>
      </c>
      <c r="Y854" s="140" t="s">
        <v>7867</v>
      </c>
      <c r="Z854" s="140" t="str">
        <f ca="1">IFERROR(__xludf.DUMMYFUNCTION("IF(VLOOKUP($Y854, IMPORTRANGE(""https://docs.google.com/spreadsheets/d/1WsTKRjz8_fF2119Ff9dhKIIYXSaUEHzuWr8pBkxmwQQ/edit"", ""Form Responses 1!$B:$Z""),1, FALSE)=$Y854,""Yes"",""No"")"),"#N/A")</f>
        <v>#N/A</v>
      </c>
      <c r="AA854" s="140"/>
      <c r="AB854" s="140"/>
    </row>
    <row r="855" spans="1:28">
      <c r="A855" s="144" t="s">
        <v>484</v>
      </c>
      <c r="B855" s="144" t="s">
        <v>7868</v>
      </c>
      <c r="C855" s="144" t="s">
        <v>7869</v>
      </c>
      <c r="D855" s="144" t="s">
        <v>7870</v>
      </c>
      <c r="E855" s="144" t="s">
        <v>7871</v>
      </c>
      <c r="F855" s="144" t="s">
        <v>4</v>
      </c>
      <c r="G855" s="144">
        <v>1.5</v>
      </c>
      <c r="H855" s="144" t="s">
        <v>24</v>
      </c>
      <c r="I855" s="144" t="s">
        <v>727</v>
      </c>
      <c r="J855" s="144" t="s">
        <v>7872</v>
      </c>
      <c r="K855" s="144">
        <v>2</v>
      </c>
      <c r="L855" s="144" t="s">
        <v>476</v>
      </c>
      <c r="M855" s="144" t="s">
        <v>7873</v>
      </c>
      <c r="N855" s="144">
        <v>1</v>
      </c>
      <c r="O855" s="144"/>
      <c r="P855" s="144"/>
      <c r="Q855" s="144" t="s">
        <v>454</v>
      </c>
      <c r="R855" s="144" t="s">
        <v>7874</v>
      </c>
      <c r="S855" s="144"/>
      <c r="T855" s="144"/>
      <c r="U855" s="145"/>
      <c r="V855" s="145"/>
      <c r="W855" s="145"/>
      <c r="X855" s="144" t="s">
        <v>7875</v>
      </c>
      <c r="Y855" s="144" t="s">
        <v>7876</v>
      </c>
      <c r="Z855" s="144" t="str">
        <f ca="1">IFERROR(__xludf.DUMMYFUNCTION("IF(VLOOKUP($Y855, IMPORTRANGE(""https://docs.google.com/spreadsheets/d/1WsTKRjz8_fF2119Ff9dhKIIYXSaUEHzuWr8pBkxmwQQ/edit"", ""Form Responses 1!$B:$Z""),1, FALSE)=$Y855,""Yes"",""No"")"),"#N/A")</f>
        <v>#N/A</v>
      </c>
      <c r="AA855" s="144"/>
      <c r="AB855" s="144"/>
    </row>
    <row r="856" spans="1:28">
      <c r="A856" s="140" t="s">
        <v>907</v>
      </c>
      <c r="B856" s="140" t="s">
        <v>7877</v>
      </c>
      <c r="C856" s="140" t="s">
        <v>7878</v>
      </c>
      <c r="D856" s="140" t="s">
        <v>7879</v>
      </c>
      <c r="E856" s="140" t="s">
        <v>7880</v>
      </c>
      <c r="F856" s="140" t="s">
        <v>4</v>
      </c>
      <c r="G856" s="140">
        <v>1.5</v>
      </c>
      <c r="H856" s="140" t="s">
        <v>24</v>
      </c>
      <c r="I856" s="140" t="s">
        <v>725</v>
      </c>
      <c r="J856" s="140" t="s">
        <v>7881</v>
      </c>
      <c r="K856" s="140">
        <v>1</v>
      </c>
      <c r="L856" s="140" t="s">
        <v>1281</v>
      </c>
      <c r="M856" s="140" t="s">
        <v>7882</v>
      </c>
      <c r="N856" s="140">
        <v>2</v>
      </c>
      <c r="O856" s="140" t="s">
        <v>451</v>
      </c>
      <c r="P856" s="140">
        <v>1000000</v>
      </c>
      <c r="Q856" s="140" t="s">
        <v>465</v>
      </c>
      <c r="R856" s="140" t="s">
        <v>7883</v>
      </c>
      <c r="S856" s="140" t="s">
        <v>7884</v>
      </c>
      <c r="T856" s="140"/>
      <c r="U856" s="143"/>
      <c r="V856" s="143"/>
      <c r="W856" s="143"/>
      <c r="X856" s="140" t="s">
        <v>1714</v>
      </c>
      <c r="Y856" s="140" t="s">
        <v>7885</v>
      </c>
      <c r="Z856" s="140" t="str">
        <f ca="1">IFERROR(__xludf.DUMMYFUNCTION("IF(VLOOKUP($Y856, IMPORTRANGE(""https://docs.google.com/spreadsheets/d/1WsTKRjz8_fF2119Ff9dhKIIYXSaUEHzuWr8pBkxmwQQ/edit"", ""Form Responses 1!$B:$Z""),1, FALSE)=$Y856,""Yes"",""No"")"),"#N/A")</f>
        <v>#N/A</v>
      </c>
      <c r="AA856" s="140"/>
      <c r="AB856" s="140"/>
    </row>
    <row r="857" spans="1:28">
      <c r="A857" s="144" t="s">
        <v>529</v>
      </c>
      <c r="B857" s="144" t="s">
        <v>7886</v>
      </c>
      <c r="C857" s="144" t="s">
        <v>7887</v>
      </c>
      <c r="D857" s="144" t="s">
        <v>7888</v>
      </c>
      <c r="E857" s="144"/>
      <c r="F857" s="144" t="s">
        <v>4</v>
      </c>
      <c r="G857" s="144">
        <v>1.5</v>
      </c>
      <c r="H857" s="144" t="s">
        <v>24</v>
      </c>
      <c r="I857" s="144" t="s">
        <v>725</v>
      </c>
      <c r="J857" s="144"/>
      <c r="K857" s="144">
        <v>1</v>
      </c>
      <c r="L857" s="144" t="s">
        <v>1298</v>
      </c>
      <c r="M857" s="144" t="s">
        <v>7889</v>
      </c>
      <c r="N857" s="144">
        <v>2</v>
      </c>
      <c r="O857" s="144" t="s">
        <v>2190</v>
      </c>
      <c r="P857" s="144">
        <v>2000000</v>
      </c>
      <c r="Q857" s="144" t="s">
        <v>452</v>
      </c>
      <c r="R857" s="144" t="s">
        <v>7890</v>
      </c>
      <c r="S857" s="144"/>
      <c r="T857" s="144"/>
      <c r="U857" s="145"/>
      <c r="V857" s="145"/>
      <c r="W857" s="145"/>
      <c r="X857" s="144" t="s">
        <v>7891</v>
      </c>
      <c r="Y857" s="144" t="s">
        <v>7892</v>
      </c>
      <c r="Z857" s="144" t="str">
        <f ca="1">IFERROR(__xludf.DUMMYFUNCTION("IF(VLOOKUP($Y857, IMPORTRANGE(""https://docs.google.com/spreadsheets/d/1WsTKRjz8_fF2119Ff9dhKIIYXSaUEHzuWr8pBkxmwQQ/edit"", ""Form Responses 1!$B:$Z""),1, FALSE)=$Y857,""Yes"",""No"")"),"#N/A")</f>
        <v>#N/A</v>
      </c>
      <c r="AA857" s="144"/>
      <c r="AB857" s="144"/>
    </row>
    <row r="858" spans="1:28">
      <c r="A858" s="140" t="s">
        <v>529</v>
      </c>
      <c r="B858" s="140" t="s">
        <v>7893</v>
      </c>
      <c r="C858" s="140" t="s">
        <v>7894</v>
      </c>
      <c r="D858" s="140" t="s">
        <v>7895</v>
      </c>
      <c r="E858" s="140"/>
      <c r="F858" s="140" t="s">
        <v>4</v>
      </c>
      <c r="G858" s="140">
        <v>1.5</v>
      </c>
      <c r="H858" s="140" t="s">
        <v>24</v>
      </c>
      <c r="I858" s="140" t="s">
        <v>725</v>
      </c>
      <c r="J858" s="140" t="s">
        <v>7896</v>
      </c>
      <c r="K858" s="140">
        <v>2</v>
      </c>
      <c r="L858" s="140" t="s">
        <v>1298</v>
      </c>
      <c r="M858" s="140" t="s">
        <v>7897</v>
      </c>
      <c r="N858" s="140">
        <v>1</v>
      </c>
      <c r="O858" s="140" t="s">
        <v>2190</v>
      </c>
      <c r="P858" s="140">
        <v>1250000</v>
      </c>
      <c r="Q858" s="140" t="s">
        <v>452</v>
      </c>
      <c r="R858" s="140" t="s">
        <v>7898</v>
      </c>
      <c r="S858" s="140"/>
      <c r="T858" s="140"/>
      <c r="U858" s="143"/>
      <c r="V858" s="143"/>
      <c r="W858" s="143"/>
      <c r="X858" s="140" t="s">
        <v>7899</v>
      </c>
      <c r="Y858" s="140" t="s">
        <v>7900</v>
      </c>
      <c r="Z858" s="140" t="str">
        <f ca="1">IFERROR(__xludf.DUMMYFUNCTION("IF(VLOOKUP($Y858, IMPORTRANGE(""https://docs.google.com/spreadsheets/d/1WsTKRjz8_fF2119Ff9dhKIIYXSaUEHzuWr8pBkxmwQQ/edit"", ""Form Responses 1!$B:$Z""),1, FALSE)=$Y858,""Yes"",""No"")"),"#N/A")</f>
        <v>#N/A</v>
      </c>
      <c r="AA858" s="140"/>
      <c r="AB858" s="140"/>
    </row>
    <row r="859" spans="1:28">
      <c r="A859" s="144" t="s">
        <v>598</v>
      </c>
      <c r="B859" s="144" t="s">
        <v>7901</v>
      </c>
      <c r="C859" s="144" t="s">
        <v>7902</v>
      </c>
      <c r="D859" s="144" t="s">
        <v>7903</v>
      </c>
      <c r="E859" s="144" t="s">
        <v>7904</v>
      </c>
      <c r="F859" s="144" t="s">
        <v>4</v>
      </c>
      <c r="G859" s="144">
        <v>1.5</v>
      </c>
      <c r="H859" s="144" t="s">
        <v>24</v>
      </c>
      <c r="I859" s="144" t="s">
        <v>725</v>
      </c>
      <c r="J859" s="144" t="s">
        <v>7905</v>
      </c>
      <c r="K859" s="144">
        <v>1</v>
      </c>
      <c r="L859" s="144" t="s">
        <v>1298</v>
      </c>
      <c r="M859" s="144" t="s">
        <v>7906</v>
      </c>
      <c r="N859" s="144">
        <v>2</v>
      </c>
      <c r="O859" s="144"/>
      <c r="P859" s="144"/>
      <c r="Q859" s="144" t="s">
        <v>465</v>
      </c>
      <c r="R859" s="144" t="s">
        <v>7907</v>
      </c>
      <c r="S859" s="144"/>
      <c r="T859" s="144"/>
      <c r="U859" s="145"/>
      <c r="V859" s="145"/>
      <c r="W859" s="145"/>
      <c r="X859" s="144" t="s">
        <v>7908</v>
      </c>
      <c r="Y859" s="144" t="s">
        <v>7909</v>
      </c>
      <c r="Z859" s="144" t="str">
        <f ca="1">IFERROR(__xludf.DUMMYFUNCTION("IF(VLOOKUP($Y859, IMPORTRANGE(""https://docs.google.com/spreadsheets/d/1WsTKRjz8_fF2119Ff9dhKIIYXSaUEHzuWr8pBkxmwQQ/edit"", ""Form Responses 1!$B:$Z""),1, FALSE)=$Y859,""Yes"",""No"")"),"#N/A")</f>
        <v>#N/A</v>
      </c>
      <c r="AA859" s="144"/>
      <c r="AB859" s="144"/>
    </row>
    <row r="860" spans="1:28">
      <c r="A860" s="140" t="s">
        <v>443</v>
      </c>
      <c r="B860" s="140" t="s">
        <v>7910</v>
      </c>
      <c r="C860" s="140" t="s">
        <v>7911</v>
      </c>
      <c r="D860" s="140" t="s">
        <v>7912</v>
      </c>
      <c r="E860" s="140" t="s">
        <v>7913</v>
      </c>
      <c r="F860" s="140" t="s">
        <v>4</v>
      </c>
      <c r="G860" s="140">
        <v>1.5</v>
      </c>
      <c r="H860" s="140" t="s">
        <v>24</v>
      </c>
      <c r="I860" s="140" t="s">
        <v>602</v>
      </c>
      <c r="J860" s="140"/>
      <c r="K860" s="140">
        <v>2</v>
      </c>
      <c r="L860" s="140" t="s">
        <v>476</v>
      </c>
      <c r="M860" s="140" t="s">
        <v>7914</v>
      </c>
      <c r="N860" s="140">
        <v>1</v>
      </c>
      <c r="O860" s="140"/>
      <c r="P860" s="140"/>
      <c r="Q860" s="140" t="s">
        <v>452</v>
      </c>
      <c r="R860" s="140" t="s">
        <v>7915</v>
      </c>
      <c r="S860" s="140"/>
      <c r="T860" s="140"/>
      <c r="U860" s="143"/>
      <c r="V860" s="143"/>
      <c r="W860" s="143"/>
      <c r="X860" s="140" t="s">
        <v>7916</v>
      </c>
      <c r="Y860" s="140" t="s">
        <v>7917</v>
      </c>
      <c r="Z860" s="140" t="str">
        <f ca="1">IFERROR(__xludf.DUMMYFUNCTION("IF(VLOOKUP($Y860, IMPORTRANGE(""https://docs.google.com/spreadsheets/d/1WsTKRjz8_fF2119Ff9dhKIIYXSaUEHzuWr8pBkxmwQQ/edit"", ""Form Responses 1!$B:$Z""),1, FALSE)=$Y860,""Yes"",""No"")"),"#N/A")</f>
        <v>#N/A</v>
      </c>
      <c r="AA860" s="140"/>
      <c r="AB860" s="140"/>
    </row>
    <row r="861" spans="1:28">
      <c r="A861" s="144" t="s">
        <v>471</v>
      </c>
      <c r="B861" s="144" t="s">
        <v>7918</v>
      </c>
      <c r="C861" s="144" t="s">
        <v>7919</v>
      </c>
      <c r="D861" s="144" t="s">
        <v>7920</v>
      </c>
      <c r="E861" s="144" t="s">
        <v>7921</v>
      </c>
      <c r="F861" s="144" t="s">
        <v>4</v>
      </c>
      <c r="G861" s="144">
        <v>1.5</v>
      </c>
      <c r="H861" s="144" t="s">
        <v>24</v>
      </c>
      <c r="I861" s="144" t="s">
        <v>602</v>
      </c>
      <c r="J861" s="144" t="s">
        <v>7922</v>
      </c>
      <c r="K861" s="144">
        <v>2</v>
      </c>
      <c r="L861" s="144" t="s">
        <v>1054</v>
      </c>
      <c r="M861" s="144" t="s">
        <v>7923</v>
      </c>
      <c r="N861" s="144">
        <v>1</v>
      </c>
      <c r="O861" s="144" t="s">
        <v>451</v>
      </c>
      <c r="P861" s="146">
        <v>3000000</v>
      </c>
      <c r="Q861" s="144" t="s">
        <v>465</v>
      </c>
      <c r="R861" s="144" t="s">
        <v>452</v>
      </c>
      <c r="S861" s="144"/>
      <c r="T861" s="144"/>
      <c r="U861" s="145"/>
      <c r="V861" s="145"/>
      <c r="W861" s="145"/>
      <c r="X861" s="144" t="s">
        <v>1020</v>
      </c>
      <c r="Y861" s="144" t="s">
        <v>7924</v>
      </c>
      <c r="Z861" s="144" t="str">
        <f ca="1">IFERROR(__xludf.DUMMYFUNCTION("IF(VLOOKUP($Y861, IMPORTRANGE(""https://docs.google.com/spreadsheets/d/1WsTKRjz8_fF2119Ff9dhKIIYXSaUEHzuWr8pBkxmwQQ/edit"", ""Form Responses 1!$B:$Z""),1, FALSE)=$Y861,""Yes"",""No"")"),"#N/A")</f>
        <v>#N/A</v>
      </c>
      <c r="AA861" s="144"/>
      <c r="AB861" s="144"/>
    </row>
    <row r="862" spans="1:28">
      <c r="A862" s="140" t="s">
        <v>907</v>
      </c>
      <c r="B862" s="140" t="s">
        <v>7925</v>
      </c>
      <c r="C862" s="140" t="s">
        <v>7926</v>
      </c>
      <c r="D862" s="140" t="s">
        <v>7927</v>
      </c>
      <c r="E862" s="140"/>
      <c r="F862" s="140" t="s">
        <v>4</v>
      </c>
      <c r="G862" s="140">
        <v>1.5</v>
      </c>
      <c r="H862" s="140" t="s">
        <v>24</v>
      </c>
      <c r="I862" s="140" t="s">
        <v>725</v>
      </c>
      <c r="J862" s="140" t="s">
        <v>7928</v>
      </c>
      <c r="K862" s="140">
        <v>1</v>
      </c>
      <c r="L862" s="140" t="s">
        <v>1350</v>
      </c>
      <c r="M862" s="140" t="s">
        <v>7929</v>
      </c>
      <c r="N862" s="140">
        <v>2</v>
      </c>
      <c r="O862" s="140" t="s">
        <v>2190</v>
      </c>
      <c r="P862" s="140">
        <v>1000000</v>
      </c>
      <c r="Q862" s="140" t="s">
        <v>452</v>
      </c>
      <c r="R862" s="140" t="s">
        <v>7930</v>
      </c>
      <c r="S862" s="140" t="s">
        <v>1343</v>
      </c>
      <c r="T862" s="140"/>
      <c r="U862" s="143"/>
      <c r="V862" s="143"/>
      <c r="W862" s="143"/>
      <c r="X862" s="140" t="s">
        <v>7931</v>
      </c>
      <c r="Y862" s="140" t="s">
        <v>7932</v>
      </c>
      <c r="Z862" s="140" t="str">
        <f ca="1">IFERROR(__xludf.DUMMYFUNCTION("IF(VLOOKUP($Y862, IMPORTRANGE(""https://docs.google.com/spreadsheets/d/1WsTKRjz8_fF2119Ff9dhKIIYXSaUEHzuWr8pBkxmwQQ/edit"", ""Form Responses 1!$B:$Z""),1, FALSE)=$Y862,""Yes"",""No"")"),"#N/A")</f>
        <v>#N/A</v>
      </c>
      <c r="AA862" s="140"/>
      <c r="AB862" s="140"/>
    </row>
    <row r="863" spans="1:28">
      <c r="A863" s="144" t="s">
        <v>529</v>
      </c>
      <c r="B863" s="144" t="s">
        <v>7933</v>
      </c>
      <c r="C863" s="144" t="s">
        <v>7934</v>
      </c>
      <c r="D863" s="144" t="s">
        <v>7935</v>
      </c>
      <c r="E863" s="144" t="s">
        <v>7936</v>
      </c>
      <c r="F863" s="144" t="s">
        <v>4</v>
      </c>
      <c r="G863" s="144">
        <v>1.5</v>
      </c>
      <c r="H863" s="144" t="s">
        <v>24</v>
      </c>
      <c r="I863" s="144" t="s">
        <v>727</v>
      </c>
      <c r="J863" s="144" t="s">
        <v>7937</v>
      </c>
      <c r="K863" s="144">
        <v>2</v>
      </c>
      <c r="L863" s="144" t="s">
        <v>1371</v>
      </c>
      <c r="M863" s="144" t="s">
        <v>7938</v>
      </c>
      <c r="N863" s="144">
        <v>1</v>
      </c>
      <c r="O863" s="144"/>
      <c r="P863" s="144"/>
      <c r="Q863" s="144" t="s">
        <v>454</v>
      </c>
      <c r="R863" s="144" t="s">
        <v>452</v>
      </c>
      <c r="S863" s="144"/>
      <c r="T863" s="144"/>
      <c r="U863" s="145"/>
      <c r="V863" s="145"/>
      <c r="W863" s="145"/>
      <c r="X863" s="144" t="s">
        <v>1622</v>
      </c>
      <c r="Y863" s="144" t="s">
        <v>7939</v>
      </c>
      <c r="Z863" s="144" t="str">
        <f ca="1">IFERROR(__xludf.DUMMYFUNCTION("IF(VLOOKUP($Y863, IMPORTRANGE(""https://docs.google.com/spreadsheets/d/1WsTKRjz8_fF2119Ff9dhKIIYXSaUEHzuWr8pBkxmwQQ/edit"", ""Form Responses 1!$B:$Z""),1, FALSE)=$Y863,""Yes"",""No"")"),"#N/A")</f>
        <v>#N/A</v>
      </c>
      <c r="AA863" s="144"/>
      <c r="AB863" s="144"/>
    </row>
    <row r="864" spans="1:28">
      <c r="A864" s="140" t="s">
        <v>484</v>
      </c>
      <c r="B864" s="140" t="s">
        <v>7940</v>
      </c>
      <c r="C864" s="140" t="s">
        <v>7941</v>
      </c>
      <c r="D864" s="140" t="s">
        <v>7942</v>
      </c>
      <c r="E864" s="140" t="s">
        <v>7943</v>
      </c>
      <c r="F864" s="140" t="s">
        <v>4</v>
      </c>
      <c r="G864" s="140">
        <v>1.5</v>
      </c>
      <c r="H864" s="140" t="s">
        <v>24</v>
      </c>
      <c r="I864" s="140" t="s">
        <v>602</v>
      </c>
      <c r="J864" s="140"/>
      <c r="K864" s="140">
        <v>2</v>
      </c>
      <c r="L864" s="140" t="s">
        <v>476</v>
      </c>
      <c r="M864" s="140"/>
      <c r="N864" s="140">
        <v>1</v>
      </c>
      <c r="O864" s="140" t="s">
        <v>451</v>
      </c>
      <c r="P864" s="140">
        <v>1500000</v>
      </c>
      <c r="Q864" s="140" t="s">
        <v>452</v>
      </c>
      <c r="R864" s="140" t="s">
        <v>7944</v>
      </c>
      <c r="S864" s="140"/>
      <c r="T864" s="140"/>
      <c r="U864" s="143"/>
      <c r="V864" s="143"/>
      <c r="W864" s="143"/>
      <c r="X864" s="140" t="s">
        <v>7945</v>
      </c>
      <c r="Y864" s="140" t="s">
        <v>7946</v>
      </c>
      <c r="Z864" s="140" t="str">
        <f ca="1">IFERROR(__xludf.DUMMYFUNCTION("IF(VLOOKUP($Y864, IMPORTRANGE(""https://docs.google.com/spreadsheets/d/1WsTKRjz8_fF2119Ff9dhKIIYXSaUEHzuWr8pBkxmwQQ/edit"", ""Form Responses 1!$B:$Z""),1, FALSE)=$Y864,""Yes"",""No"")"),"#N/A")</f>
        <v>#N/A</v>
      </c>
      <c r="AA864" s="140"/>
      <c r="AB864" s="140"/>
    </row>
    <row r="865" spans="1:28">
      <c r="A865" s="144" t="s">
        <v>443</v>
      </c>
      <c r="B865" s="144" t="s">
        <v>7947</v>
      </c>
      <c r="C865" s="144" t="s">
        <v>7948</v>
      </c>
      <c r="D865" s="144" t="s">
        <v>7949</v>
      </c>
      <c r="E865" s="144" t="s">
        <v>7950</v>
      </c>
      <c r="F865" s="144" t="s">
        <v>4</v>
      </c>
      <c r="G865" s="144">
        <v>1.5</v>
      </c>
      <c r="H865" s="144" t="s">
        <v>24</v>
      </c>
      <c r="I865" s="144" t="s">
        <v>602</v>
      </c>
      <c r="J865" s="144"/>
      <c r="K865" s="144">
        <v>2</v>
      </c>
      <c r="L865" s="144" t="s">
        <v>1054</v>
      </c>
      <c r="M865" s="144" t="s">
        <v>7951</v>
      </c>
      <c r="N865" s="144">
        <v>1</v>
      </c>
      <c r="O865" s="144"/>
      <c r="P865" s="144"/>
      <c r="Q865" s="144" t="s">
        <v>452</v>
      </c>
      <c r="R865" s="144" t="s">
        <v>575</v>
      </c>
      <c r="S865" s="144"/>
      <c r="T865" s="144"/>
      <c r="U865" s="145"/>
      <c r="V865" s="145"/>
      <c r="W865" s="145"/>
      <c r="X865" s="144" t="s">
        <v>7952</v>
      </c>
      <c r="Y865" s="144" t="s">
        <v>7953</v>
      </c>
      <c r="Z865" s="144" t="str">
        <f ca="1">IFERROR(__xludf.DUMMYFUNCTION("IF(VLOOKUP($Y865, IMPORTRANGE(""https://docs.google.com/spreadsheets/d/1WsTKRjz8_fF2119Ff9dhKIIYXSaUEHzuWr8pBkxmwQQ/edit"", ""Form Responses 1!$B:$Z""),1, FALSE)=$Y865,""Yes"",""No"")"),"#N/A")</f>
        <v>#N/A</v>
      </c>
      <c r="AA865" s="144"/>
      <c r="AB865" s="144"/>
    </row>
    <row r="866" spans="1:28">
      <c r="A866" s="140" t="s">
        <v>443</v>
      </c>
      <c r="B866" s="140" t="s">
        <v>7954</v>
      </c>
      <c r="C866" s="140" t="s">
        <v>7955</v>
      </c>
      <c r="D866" s="140" t="s">
        <v>7956</v>
      </c>
      <c r="E866" s="140" t="s">
        <v>7957</v>
      </c>
      <c r="F866" s="140" t="s">
        <v>4</v>
      </c>
      <c r="G866" s="140">
        <v>1.5</v>
      </c>
      <c r="H866" s="140" t="s">
        <v>24</v>
      </c>
      <c r="I866" s="140" t="s">
        <v>602</v>
      </c>
      <c r="J866" s="140" t="s">
        <v>7958</v>
      </c>
      <c r="K866" s="140">
        <v>2</v>
      </c>
      <c r="L866" s="140" t="s">
        <v>727</v>
      </c>
      <c r="M866" s="140" t="s">
        <v>7959</v>
      </c>
      <c r="N866" s="140">
        <v>1</v>
      </c>
      <c r="O866" s="140" t="s">
        <v>784</v>
      </c>
      <c r="P866" s="142">
        <v>275000</v>
      </c>
      <c r="Q866" s="140" t="s">
        <v>452</v>
      </c>
      <c r="R866" s="140" t="s">
        <v>452</v>
      </c>
      <c r="S866" s="140" t="s">
        <v>7960</v>
      </c>
      <c r="T866" s="140"/>
      <c r="U866" s="143"/>
      <c r="V866" s="143"/>
      <c r="W866" s="143"/>
      <c r="X866" s="140" t="s">
        <v>5111</v>
      </c>
      <c r="Y866" s="140" t="s">
        <v>7961</v>
      </c>
      <c r="Z866" s="140" t="str">
        <f ca="1">IFERROR(__xludf.DUMMYFUNCTION("IF(VLOOKUP($Y866, IMPORTRANGE(""https://docs.google.com/spreadsheets/d/1WsTKRjz8_fF2119Ff9dhKIIYXSaUEHzuWr8pBkxmwQQ/edit"", ""Form Responses 1!$B:$Z""),1, FALSE)=$Y866,""Yes"",""No"")"),"#N/A")</f>
        <v>#N/A</v>
      </c>
      <c r="AA866" s="140"/>
      <c r="AB866" s="140"/>
    </row>
    <row r="867" spans="1:28">
      <c r="A867" s="144" t="s">
        <v>907</v>
      </c>
      <c r="B867" s="144" t="s">
        <v>7962</v>
      </c>
      <c r="C867" s="144" t="s">
        <v>7963</v>
      </c>
      <c r="D867" s="144" t="s">
        <v>7964</v>
      </c>
      <c r="E867" s="144" t="s">
        <v>7965</v>
      </c>
      <c r="F867" s="144" t="s">
        <v>4</v>
      </c>
      <c r="G867" s="144">
        <v>1.5</v>
      </c>
      <c r="H867" s="144" t="s">
        <v>24</v>
      </c>
      <c r="I867" s="144" t="s">
        <v>1045</v>
      </c>
      <c r="J867" s="144" t="s">
        <v>7966</v>
      </c>
      <c r="K867" s="144">
        <v>2</v>
      </c>
      <c r="L867" s="144" t="s">
        <v>1371</v>
      </c>
      <c r="M867" s="144" t="s">
        <v>7967</v>
      </c>
      <c r="N867" s="144">
        <v>1</v>
      </c>
      <c r="O867" s="144" t="s">
        <v>451</v>
      </c>
      <c r="P867" s="147">
        <v>1000000</v>
      </c>
      <c r="Q867" s="144" t="s">
        <v>454</v>
      </c>
      <c r="R867" s="144" t="s">
        <v>452</v>
      </c>
      <c r="S867" s="144"/>
      <c r="T867" s="144"/>
      <c r="U867" s="145"/>
      <c r="V867" s="145"/>
      <c r="W867" s="145"/>
      <c r="X867" s="144" t="s">
        <v>7968</v>
      </c>
      <c r="Y867" s="144" t="s">
        <v>7969</v>
      </c>
      <c r="Z867" s="144" t="str">
        <f ca="1">IFERROR(__xludf.DUMMYFUNCTION("IF(VLOOKUP($Y867, IMPORTRANGE(""https://docs.google.com/spreadsheets/d/1WsTKRjz8_fF2119Ff9dhKIIYXSaUEHzuWr8pBkxmwQQ/edit"", ""Form Responses 1!$B:$Z""),1, FALSE)=$Y867,""Yes"",""No"")"),"#N/A")</f>
        <v>#N/A</v>
      </c>
      <c r="AA867" s="144"/>
      <c r="AB867" s="144"/>
    </row>
    <row r="868" spans="1:28">
      <c r="A868" s="140" t="s">
        <v>529</v>
      </c>
      <c r="B868" s="140" t="s">
        <v>7970</v>
      </c>
      <c r="C868" s="140" t="s">
        <v>7971</v>
      </c>
      <c r="D868" s="140" t="s">
        <v>7972</v>
      </c>
      <c r="E868" s="140" t="s">
        <v>7973</v>
      </c>
      <c r="F868" s="140" t="s">
        <v>4</v>
      </c>
      <c r="G868" s="140">
        <v>1.5</v>
      </c>
      <c r="H868" s="140" t="s">
        <v>24</v>
      </c>
      <c r="I868" s="140" t="s">
        <v>447</v>
      </c>
      <c r="J868" s="140" t="s">
        <v>7974</v>
      </c>
      <c r="K868" s="140">
        <v>1</v>
      </c>
      <c r="L868" s="140" t="s">
        <v>1371</v>
      </c>
      <c r="M868" s="140" t="s">
        <v>7975</v>
      </c>
      <c r="N868" s="140">
        <v>2</v>
      </c>
      <c r="O868" s="140"/>
      <c r="P868" s="140"/>
      <c r="Q868" s="140" t="s">
        <v>454</v>
      </c>
      <c r="R868" s="140" t="s">
        <v>1028</v>
      </c>
      <c r="S868" s="140"/>
      <c r="T868" s="140"/>
      <c r="U868" s="143"/>
      <c r="V868" s="143"/>
      <c r="W868" s="143"/>
      <c r="X868" s="140" t="s">
        <v>7976</v>
      </c>
      <c r="Y868" s="140" t="s">
        <v>7977</v>
      </c>
      <c r="Z868" s="140" t="str">
        <f ca="1">IFERROR(__xludf.DUMMYFUNCTION("IF(VLOOKUP($Y868, IMPORTRANGE(""https://docs.google.com/spreadsheets/d/1WsTKRjz8_fF2119Ff9dhKIIYXSaUEHzuWr8pBkxmwQQ/edit"", ""Form Responses 1!$B:$Z""),1, FALSE)=$Y868,""Yes"",""No"")"),"#N/A")</f>
        <v>#N/A</v>
      </c>
      <c r="AA868" s="140"/>
      <c r="AB868" s="140"/>
    </row>
    <row r="869" spans="1:28">
      <c r="A869" s="144" t="s">
        <v>598</v>
      </c>
      <c r="B869" s="144" t="s">
        <v>7978</v>
      </c>
      <c r="C869" s="144" t="s">
        <v>7979</v>
      </c>
      <c r="D869" s="144" t="s">
        <v>7980</v>
      </c>
      <c r="E869" s="144" t="s">
        <v>7981</v>
      </c>
      <c r="F869" s="144" t="s">
        <v>4</v>
      </c>
      <c r="G869" s="144">
        <v>1.5</v>
      </c>
      <c r="H869" s="144" t="s">
        <v>24</v>
      </c>
      <c r="I869" s="144" t="s">
        <v>725</v>
      </c>
      <c r="J869" s="144" t="s">
        <v>7982</v>
      </c>
      <c r="K869" s="144">
        <v>2</v>
      </c>
      <c r="L869" s="144" t="s">
        <v>476</v>
      </c>
      <c r="M869" s="144" t="s">
        <v>7983</v>
      </c>
      <c r="N869" s="144">
        <v>1</v>
      </c>
      <c r="O869" s="144" t="s">
        <v>451</v>
      </c>
      <c r="P869" s="144" t="s">
        <v>7984</v>
      </c>
      <c r="Q869" s="144" t="s">
        <v>452</v>
      </c>
      <c r="R869" s="144" t="s">
        <v>7985</v>
      </c>
      <c r="S869" s="144"/>
      <c r="T869" s="144"/>
      <c r="U869" s="145"/>
      <c r="V869" s="145"/>
      <c r="W869" s="145"/>
      <c r="X869" s="144" t="s">
        <v>7986</v>
      </c>
      <c r="Y869" s="144" t="s">
        <v>7987</v>
      </c>
      <c r="Z869" s="144" t="str">
        <f ca="1">IFERROR(__xludf.DUMMYFUNCTION("IF(VLOOKUP($Y869, IMPORTRANGE(""https://docs.google.com/spreadsheets/d/1WsTKRjz8_fF2119Ff9dhKIIYXSaUEHzuWr8pBkxmwQQ/edit"", ""Form Responses 1!$B:$Z""),1, FALSE)=$Y869,""Yes"",""No"")"),"#N/A")</f>
        <v>#N/A</v>
      </c>
      <c r="AA869" s="144"/>
      <c r="AB869" s="144"/>
    </row>
    <row r="870" spans="1:28">
      <c r="A870" s="140" t="s">
        <v>484</v>
      </c>
      <c r="B870" s="140" t="s">
        <v>7988</v>
      </c>
      <c r="C870" s="140" t="s">
        <v>7989</v>
      </c>
      <c r="D870" s="140" t="s">
        <v>7990</v>
      </c>
      <c r="E870" s="140" t="s">
        <v>7991</v>
      </c>
      <c r="F870" s="140" t="s">
        <v>4</v>
      </c>
      <c r="G870" s="140">
        <v>1.5</v>
      </c>
      <c r="H870" s="140" t="s">
        <v>24</v>
      </c>
      <c r="I870" s="140" t="s">
        <v>727</v>
      </c>
      <c r="J870" s="140" t="s">
        <v>7992</v>
      </c>
      <c r="K870" s="140">
        <v>2</v>
      </c>
      <c r="L870" s="140" t="s">
        <v>476</v>
      </c>
      <c r="M870" s="140" t="s">
        <v>7993</v>
      </c>
      <c r="N870" s="140">
        <v>1</v>
      </c>
      <c r="O870" s="140"/>
      <c r="P870" s="140"/>
      <c r="Q870" s="140" t="s">
        <v>465</v>
      </c>
      <c r="R870" s="140" t="s">
        <v>7994</v>
      </c>
      <c r="S870" s="140"/>
      <c r="T870" s="140"/>
      <c r="U870" s="143"/>
      <c r="V870" s="143"/>
      <c r="W870" s="143"/>
      <c r="X870" s="140" t="s">
        <v>7995</v>
      </c>
      <c r="Y870" s="140" t="s">
        <v>7996</v>
      </c>
      <c r="Z870" s="140" t="str">
        <f ca="1">IFERROR(__xludf.DUMMYFUNCTION("IF(VLOOKUP($Y870, IMPORTRANGE(""https://docs.google.com/spreadsheets/d/1WsTKRjz8_fF2119Ff9dhKIIYXSaUEHzuWr8pBkxmwQQ/edit"", ""Form Responses 1!$B:$Z""),1, FALSE)=$Y870,""Yes"",""No"")"),"#N/A")</f>
        <v>#N/A</v>
      </c>
      <c r="AA870" s="140"/>
      <c r="AB870" s="140"/>
    </row>
    <row r="871" spans="1:28">
      <c r="A871" s="144" t="s">
        <v>529</v>
      </c>
      <c r="B871" s="144" t="s">
        <v>7997</v>
      </c>
      <c r="C871" s="144" t="s">
        <v>7998</v>
      </c>
      <c r="D871" s="144" t="s">
        <v>7999</v>
      </c>
      <c r="E871" s="144" t="s">
        <v>8000</v>
      </c>
      <c r="F871" s="144" t="s">
        <v>4</v>
      </c>
      <c r="G871" s="144">
        <v>1.5</v>
      </c>
      <c r="H871" s="144" t="s">
        <v>24</v>
      </c>
      <c r="I871" s="144" t="s">
        <v>602</v>
      </c>
      <c r="J871" s="144" t="s">
        <v>8001</v>
      </c>
      <c r="K871" s="144">
        <v>2</v>
      </c>
      <c r="L871" s="144" t="s">
        <v>1371</v>
      </c>
      <c r="M871" s="144" t="s">
        <v>8002</v>
      </c>
      <c r="N871" s="144">
        <v>1</v>
      </c>
      <c r="O871" s="144" t="s">
        <v>451</v>
      </c>
      <c r="P871" s="147">
        <v>500000</v>
      </c>
      <c r="Q871" s="144" t="s">
        <v>452</v>
      </c>
      <c r="R871" s="144" t="s">
        <v>8003</v>
      </c>
      <c r="S871" s="144"/>
      <c r="T871" s="144"/>
      <c r="U871" s="145"/>
      <c r="V871" s="145"/>
      <c r="W871" s="145"/>
      <c r="X871" s="144" t="s">
        <v>8004</v>
      </c>
      <c r="Y871" s="144" t="s">
        <v>8005</v>
      </c>
      <c r="Z871" s="144" t="str">
        <f ca="1">IFERROR(__xludf.DUMMYFUNCTION("IF(VLOOKUP($Y871, IMPORTRANGE(""https://docs.google.com/spreadsheets/d/1WsTKRjz8_fF2119Ff9dhKIIYXSaUEHzuWr8pBkxmwQQ/edit"", ""Form Responses 1!$B:$Z""),1, FALSE)=$Y871,""Yes"",""No"")"),"#N/A")</f>
        <v>#N/A</v>
      </c>
      <c r="AA871" s="144"/>
      <c r="AB871" s="144"/>
    </row>
    <row r="872" spans="1:28">
      <c r="A872" s="140" t="s">
        <v>443</v>
      </c>
      <c r="B872" s="140" t="s">
        <v>8006</v>
      </c>
      <c r="C872" s="140" t="s">
        <v>8007</v>
      </c>
      <c r="D872" s="140" t="s">
        <v>8008</v>
      </c>
      <c r="E872" s="140" t="s">
        <v>8009</v>
      </c>
      <c r="F872" s="140" t="s">
        <v>4</v>
      </c>
      <c r="G872" s="140">
        <v>1.5</v>
      </c>
      <c r="H872" s="140" t="s">
        <v>24</v>
      </c>
      <c r="I872" s="140" t="s">
        <v>727</v>
      </c>
      <c r="J872" s="140" t="s">
        <v>8010</v>
      </c>
      <c r="K872" s="140">
        <v>1.5</v>
      </c>
      <c r="L872" s="140" t="s">
        <v>1045</v>
      </c>
      <c r="M872" s="140" t="s">
        <v>8011</v>
      </c>
      <c r="N872" s="140">
        <v>1.5</v>
      </c>
      <c r="O872" s="140"/>
      <c r="P872" s="140"/>
      <c r="Q872" s="140" t="s">
        <v>454</v>
      </c>
      <c r="R872" s="140" t="s">
        <v>452</v>
      </c>
      <c r="S872" s="140"/>
      <c r="T872" s="140"/>
      <c r="U872" s="143"/>
      <c r="V872" s="143"/>
      <c r="W872" s="143"/>
      <c r="X872" s="140" t="s">
        <v>8012</v>
      </c>
      <c r="Y872" s="140" t="s">
        <v>8013</v>
      </c>
      <c r="Z872" s="140" t="str">
        <f ca="1">IFERROR(__xludf.DUMMYFUNCTION("IF(VLOOKUP($Y872, IMPORTRANGE(""https://docs.google.com/spreadsheets/d/1WsTKRjz8_fF2119Ff9dhKIIYXSaUEHzuWr8pBkxmwQQ/edit"", ""Form Responses 1!$B:$Z""),1, FALSE)=$Y872,""Yes"",""No"")"),"#N/A")</f>
        <v>#N/A</v>
      </c>
      <c r="AA872" s="140"/>
      <c r="AB872" s="140"/>
    </row>
    <row r="873" spans="1:28">
      <c r="A873" s="144" t="s">
        <v>503</v>
      </c>
      <c r="B873" s="144" t="s">
        <v>8014</v>
      </c>
      <c r="C873" s="144" t="s">
        <v>8015</v>
      </c>
      <c r="D873" s="144" t="s">
        <v>8016</v>
      </c>
      <c r="E873" s="144" t="s">
        <v>8017</v>
      </c>
      <c r="F873" s="144" t="s">
        <v>4</v>
      </c>
      <c r="G873" s="144">
        <v>1.5</v>
      </c>
      <c r="H873" s="144" t="s">
        <v>24</v>
      </c>
      <c r="I873" s="144" t="s">
        <v>602</v>
      </c>
      <c r="J873" s="144" t="s">
        <v>8018</v>
      </c>
      <c r="K873" s="144">
        <v>2</v>
      </c>
      <c r="L873" s="144" t="s">
        <v>1054</v>
      </c>
      <c r="M873" s="144" t="s">
        <v>8019</v>
      </c>
      <c r="N873" s="144">
        <v>1</v>
      </c>
      <c r="O873" s="144" t="s">
        <v>784</v>
      </c>
      <c r="P873" s="144">
        <v>500000</v>
      </c>
      <c r="Q873" s="144" t="s">
        <v>452</v>
      </c>
      <c r="R873" s="144" t="s">
        <v>575</v>
      </c>
      <c r="S873" s="144"/>
      <c r="T873" s="144"/>
      <c r="U873" s="145"/>
      <c r="V873" s="145"/>
      <c r="W873" s="145"/>
      <c r="X873" s="144" t="s">
        <v>8020</v>
      </c>
      <c r="Y873" s="144" t="s">
        <v>8021</v>
      </c>
      <c r="Z873" s="144" t="str">
        <f ca="1">IFERROR(__xludf.DUMMYFUNCTION("IF(VLOOKUP($Y873, IMPORTRANGE(""https://docs.google.com/spreadsheets/d/1WsTKRjz8_fF2119Ff9dhKIIYXSaUEHzuWr8pBkxmwQQ/edit"", ""Form Responses 1!$B:$Z""),1, FALSE)=$Y873,""Yes"",""No"")"),"#N/A")</f>
        <v>#N/A</v>
      </c>
      <c r="AA873" s="144"/>
      <c r="AB873" s="144"/>
    </row>
    <row r="874" spans="1:28">
      <c r="A874" s="140" t="s">
        <v>443</v>
      </c>
      <c r="B874" s="140" t="s">
        <v>8022</v>
      </c>
      <c r="C874" s="140" t="s">
        <v>8023</v>
      </c>
      <c r="D874" s="140" t="s">
        <v>8024</v>
      </c>
      <c r="E874" s="140" t="s">
        <v>8025</v>
      </c>
      <c r="F874" s="140" t="s">
        <v>4</v>
      </c>
      <c r="G874" s="140">
        <v>1.5</v>
      </c>
      <c r="H874" s="140" t="s">
        <v>24</v>
      </c>
      <c r="I874" s="140" t="s">
        <v>602</v>
      </c>
      <c r="J874" s="140" t="s">
        <v>8026</v>
      </c>
      <c r="K874" s="140">
        <v>2</v>
      </c>
      <c r="L874" s="140" t="s">
        <v>476</v>
      </c>
      <c r="M874" s="140" t="s">
        <v>8027</v>
      </c>
      <c r="N874" s="140">
        <v>1</v>
      </c>
      <c r="O874" s="140" t="s">
        <v>8028</v>
      </c>
      <c r="P874" s="140" t="s">
        <v>8029</v>
      </c>
      <c r="Q874" s="140" t="s">
        <v>452</v>
      </c>
      <c r="R874" s="140" t="s">
        <v>8030</v>
      </c>
      <c r="S874" s="140"/>
      <c r="T874" s="140"/>
      <c r="U874" s="143"/>
      <c r="V874" s="143"/>
      <c r="W874" s="143"/>
      <c r="X874" s="140" t="s">
        <v>8031</v>
      </c>
      <c r="Y874" s="140" t="s">
        <v>8032</v>
      </c>
      <c r="Z874" s="140" t="str">
        <f ca="1">IFERROR(__xludf.DUMMYFUNCTION("IF(VLOOKUP($Y874, IMPORTRANGE(""https://docs.google.com/spreadsheets/d/1WsTKRjz8_fF2119Ff9dhKIIYXSaUEHzuWr8pBkxmwQQ/edit"", ""Form Responses 1!$B:$Z""),1, FALSE)=$Y874,""Yes"",""No"")"),"#N/A")</f>
        <v>#N/A</v>
      </c>
      <c r="AA874" s="140"/>
      <c r="AB874" s="140"/>
    </row>
    <row r="875" spans="1:28">
      <c r="A875" s="144" t="s">
        <v>529</v>
      </c>
      <c r="B875" s="144" t="s">
        <v>8033</v>
      </c>
      <c r="C875" s="144" t="s">
        <v>8034</v>
      </c>
      <c r="D875" s="144" t="s">
        <v>8035</v>
      </c>
      <c r="E875" s="144" t="s">
        <v>8036</v>
      </c>
      <c r="F875" s="144" t="s">
        <v>4</v>
      </c>
      <c r="G875" s="144">
        <v>1.5</v>
      </c>
      <c r="H875" s="144" t="s">
        <v>24</v>
      </c>
      <c r="I875" s="144" t="s">
        <v>725</v>
      </c>
      <c r="J875" s="144" t="s">
        <v>8037</v>
      </c>
      <c r="K875" s="144">
        <v>2</v>
      </c>
      <c r="L875" s="144" t="s">
        <v>4054</v>
      </c>
      <c r="M875" s="144"/>
      <c r="N875" s="144">
        <v>1</v>
      </c>
      <c r="O875" s="144"/>
      <c r="P875" s="144"/>
      <c r="Q875" s="144" t="s">
        <v>465</v>
      </c>
      <c r="R875" s="144" t="s">
        <v>8038</v>
      </c>
      <c r="S875" s="144"/>
      <c r="T875" s="144"/>
      <c r="U875" s="145"/>
      <c r="V875" s="145"/>
      <c r="W875" s="145"/>
      <c r="X875" s="144" t="s">
        <v>8039</v>
      </c>
      <c r="Y875" s="144" t="s">
        <v>8040</v>
      </c>
      <c r="Z875" s="144" t="str">
        <f ca="1">IFERROR(__xludf.DUMMYFUNCTION("IF(VLOOKUP($Y875, IMPORTRANGE(""https://docs.google.com/spreadsheets/d/1WsTKRjz8_fF2119Ff9dhKIIYXSaUEHzuWr8pBkxmwQQ/edit"", ""Form Responses 1!$B:$Z""),1, FALSE)=$Y875,""Yes"",""No"")"),"#N/A")</f>
        <v>#N/A</v>
      </c>
      <c r="AA875" s="144"/>
      <c r="AB875" s="144"/>
    </row>
    <row r="876" spans="1:28">
      <c r="A876" s="140" t="s">
        <v>484</v>
      </c>
      <c r="B876" s="140" t="s">
        <v>8041</v>
      </c>
      <c r="C876" s="140" t="s">
        <v>8042</v>
      </c>
      <c r="D876" s="140" t="s">
        <v>8043</v>
      </c>
      <c r="E876" s="140" t="s">
        <v>8044</v>
      </c>
      <c r="F876" s="140" t="s">
        <v>4</v>
      </c>
      <c r="G876" s="140">
        <v>1.5</v>
      </c>
      <c r="H876" s="140" t="s">
        <v>24</v>
      </c>
      <c r="I876" s="140" t="s">
        <v>602</v>
      </c>
      <c r="J876" s="140" t="s">
        <v>8045</v>
      </c>
      <c r="K876" s="140">
        <v>1</v>
      </c>
      <c r="L876" s="140" t="s">
        <v>476</v>
      </c>
      <c r="M876" s="140" t="s">
        <v>8046</v>
      </c>
      <c r="N876" s="140">
        <v>2</v>
      </c>
      <c r="O876" s="140" t="s">
        <v>478</v>
      </c>
      <c r="P876" s="140">
        <v>3000</v>
      </c>
      <c r="Q876" s="140" t="s">
        <v>452</v>
      </c>
      <c r="R876" s="140" t="s">
        <v>8047</v>
      </c>
      <c r="S876" s="140"/>
      <c r="T876" s="140"/>
      <c r="U876" s="143"/>
      <c r="V876" s="143"/>
      <c r="W876" s="143"/>
      <c r="X876" s="140" t="s">
        <v>8048</v>
      </c>
      <c r="Y876" s="140" t="s">
        <v>8049</v>
      </c>
      <c r="Z876" s="140" t="str">
        <f ca="1">IFERROR(__xludf.DUMMYFUNCTION("IF(VLOOKUP($Y876, IMPORTRANGE(""https://docs.google.com/spreadsheets/d/1WsTKRjz8_fF2119Ff9dhKIIYXSaUEHzuWr8pBkxmwQQ/edit"", ""Form Responses 1!$B:$Z""),1, FALSE)=$Y876,""Yes"",""No"")"),"#N/A")</f>
        <v>#N/A</v>
      </c>
      <c r="AA876" s="140"/>
      <c r="AB876" s="140"/>
    </row>
    <row r="877" spans="1:28">
      <c r="A877" s="144" t="s">
        <v>443</v>
      </c>
      <c r="B877" s="144" t="s">
        <v>8050</v>
      </c>
      <c r="C877" s="144" t="s">
        <v>8051</v>
      </c>
      <c r="D877" s="144" t="s">
        <v>8052</v>
      </c>
      <c r="E877" s="144" t="s">
        <v>8053</v>
      </c>
      <c r="F877" s="144" t="s">
        <v>4</v>
      </c>
      <c r="G877" s="144">
        <v>1.5</v>
      </c>
      <c r="H877" s="144" t="s">
        <v>24</v>
      </c>
      <c r="I877" s="144" t="s">
        <v>602</v>
      </c>
      <c r="J877" s="144" t="s">
        <v>8054</v>
      </c>
      <c r="K877" s="144">
        <v>2</v>
      </c>
      <c r="L877" s="144" t="s">
        <v>476</v>
      </c>
      <c r="M877" s="144" t="s">
        <v>7672</v>
      </c>
      <c r="N877" s="144">
        <v>1</v>
      </c>
      <c r="O877" s="144"/>
      <c r="P877" s="144"/>
      <c r="Q877" s="144" t="s">
        <v>454</v>
      </c>
      <c r="R877" s="144" t="s">
        <v>452</v>
      </c>
      <c r="S877" s="144"/>
      <c r="T877" s="144"/>
      <c r="U877" s="145"/>
      <c r="V877" s="145"/>
      <c r="W877" s="145"/>
      <c r="X877" s="144" t="s">
        <v>2243</v>
      </c>
      <c r="Y877" s="144" t="s">
        <v>8055</v>
      </c>
      <c r="Z877" s="144" t="str">
        <f ca="1">IFERROR(__xludf.DUMMYFUNCTION("IF(VLOOKUP($Y877, IMPORTRANGE(""https://docs.google.com/spreadsheets/d/1WsTKRjz8_fF2119Ff9dhKIIYXSaUEHzuWr8pBkxmwQQ/edit"", ""Form Responses 1!$B:$Z""),1, FALSE)=$Y877,""Yes"",""No"")"),"#N/A")</f>
        <v>#N/A</v>
      </c>
      <c r="AA877" s="144"/>
      <c r="AB877" s="144"/>
    </row>
    <row r="878" spans="1:28">
      <c r="A878" s="140" t="s">
        <v>529</v>
      </c>
      <c r="B878" s="140" t="s">
        <v>8056</v>
      </c>
      <c r="C878" s="140" t="s">
        <v>8057</v>
      </c>
      <c r="D878" s="140" t="s">
        <v>8058</v>
      </c>
      <c r="E878" s="140" t="s">
        <v>8059</v>
      </c>
      <c r="F878" s="140" t="s">
        <v>4</v>
      </c>
      <c r="G878" s="140">
        <v>1.5</v>
      </c>
      <c r="H878" s="140" t="s">
        <v>24</v>
      </c>
      <c r="I878" s="140" t="s">
        <v>727</v>
      </c>
      <c r="J878" s="140" t="s">
        <v>8060</v>
      </c>
      <c r="K878" s="140">
        <v>2</v>
      </c>
      <c r="L878" s="140" t="s">
        <v>476</v>
      </c>
      <c r="M878" s="140" t="s">
        <v>8061</v>
      </c>
      <c r="N878" s="140">
        <v>1</v>
      </c>
      <c r="O878" s="140" t="s">
        <v>451</v>
      </c>
      <c r="P878" s="142">
        <v>900000</v>
      </c>
      <c r="Q878" s="140" t="s">
        <v>452</v>
      </c>
      <c r="R878" s="140" t="s">
        <v>8062</v>
      </c>
      <c r="S878" s="140" t="s">
        <v>8063</v>
      </c>
      <c r="T878" s="140"/>
      <c r="U878" s="143"/>
      <c r="V878" s="143"/>
      <c r="W878" s="143"/>
      <c r="X878" s="140" t="s">
        <v>1325</v>
      </c>
      <c r="Y878" s="140" t="s">
        <v>8064</v>
      </c>
      <c r="Z878" s="140" t="str">
        <f ca="1">IFERROR(__xludf.DUMMYFUNCTION("IF(VLOOKUP($Y878, IMPORTRANGE(""https://docs.google.com/spreadsheets/d/1WsTKRjz8_fF2119Ff9dhKIIYXSaUEHzuWr8pBkxmwQQ/edit"", ""Form Responses 1!$B:$Z""),1, FALSE)=$Y878,""Yes"",""No"")"),"#N/A")</f>
        <v>#N/A</v>
      </c>
      <c r="AA878" s="140"/>
      <c r="AB878" s="140"/>
    </row>
    <row r="879" spans="1:28">
      <c r="A879" s="144" t="s">
        <v>529</v>
      </c>
      <c r="B879" s="144" t="s">
        <v>8065</v>
      </c>
      <c r="C879" s="144" t="s">
        <v>8066</v>
      </c>
      <c r="D879" s="144" t="s">
        <v>8067</v>
      </c>
      <c r="E879" s="144" t="s">
        <v>8068</v>
      </c>
      <c r="F879" s="144" t="s">
        <v>4</v>
      </c>
      <c r="G879" s="144">
        <v>1.25</v>
      </c>
      <c r="H879" s="144" t="s">
        <v>24</v>
      </c>
      <c r="I879" s="144" t="s">
        <v>725</v>
      </c>
      <c r="J879" s="144"/>
      <c r="K879" s="144">
        <v>1</v>
      </c>
      <c r="L879" s="144" t="s">
        <v>1045</v>
      </c>
      <c r="M879" s="144" t="s">
        <v>8069</v>
      </c>
      <c r="N879" s="144">
        <v>1.5</v>
      </c>
      <c r="O879" s="144" t="s">
        <v>784</v>
      </c>
      <c r="P879" s="147">
        <v>100000</v>
      </c>
      <c r="Q879" s="144" t="s">
        <v>465</v>
      </c>
      <c r="R879" s="144" t="s">
        <v>8070</v>
      </c>
      <c r="S879" s="144"/>
      <c r="T879" s="144"/>
      <c r="U879" s="145"/>
      <c r="V879" s="145"/>
      <c r="W879" s="145"/>
      <c r="X879" s="144" t="s">
        <v>8071</v>
      </c>
      <c r="Y879" s="144" t="s">
        <v>8072</v>
      </c>
      <c r="Z879" s="144" t="str">
        <f ca="1">IFERROR(__xludf.DUMMYFUNCTION("IF(VLOOKUP($Y879, IMPORTRANGE(""https://docs.google.com/spreadsheets/d/1WsTKRjz8_fF2119Ff9dhKIIYXSaUEHzuWr8pBkxmwQQ/edit"", ""Form Responses 1!$B:$Z""),1, FALSE)=$Y879,""Yes"",""No"")"),"#N/A")</f>
        <v>#N/A</v>
      </c>
      <c r="AA879" s="144"/>
      <c r="AB879" s="144"/>
    </row>
    <row r="880" spans="1:28">
      <c r="A880" s="140" t="s">
        <v>529</v>
      </c>
      <c r="B880" s="140" t="s">
        <v>8073</v>
      </c>
      <c r="C880" s="140" t="s">
        <v>8074</v>
      </c>
      <c r="D880" s="140" t="s">
        <v>8075</v>
      </c>
      <c r="E880" s="140" t="s">
        <v>8076</v>
      </c>
      <c r="F880" s="140" t="s">
        <v>4</v>
      </c>
      <c r="G880" s="140">
        <v>1.25</v>
      </c>
      <c r="H880" s="140" t="s">
        <v>24</v>
      </c>
      <c r="I880" s="140" t="s">
        <v>727</v>
      </c>
      <c r="J880" s="140" t="s">
        <v>8077</v>
      </c>
      <c r="K880" s="140">
        <v>1</v>
      </c>
      <c r="L880" s="140" t="s">
        <v>1045</v>
      </c>
      <c r="M880" s="140" t="s">
        <v>8078</v>
      </c>
      <c r="N880" s="140">
        <v>1.5</v>
      </c>
      <c r="O880" s="140" t="s">
        <v>451</v>
      </c>
      <c r="P880" s="140" t="s">
        <v>8079</v>
      </c>
      <c r="Q880" s="140" t="s">
        <v>454</v>
      </c>
      <c r="R880" s="140" t="s">
        <v>3420</v>
      </c>
      <c r="S880" s="140"/>
      <c r="T880" s="140"/>
      <c r="U880" s="143"/>
      <c r="V880" s="143"/>
      <c r="W880" s="143"/>
      <c r="X880" s="140" t="s">
        <v>8080</v>
      </c>
      <c r="Y880" s="140" t="s">
        <v>8081</v>
      </c>
      <c r="Z880" s="140" t="str">
        <f ca="1">IFERROR(__xludf.DUMMYFUNCTION("IF(VLOOKUP($Y880, IMPORTRANGE(""https://docs.google.com/spreadsheets/d/1WsTKRjz8_fF2119Ff9dhKIIYXSaUEHzuWr8pBkxmwQQ/edit"", ""Form Responses 1!$B:$Z""),1, FALSE)=$Y880,""Yes"",""No"")"),"#N/A")</f>
        <v>#N/A</v>
      </c>
      <c r="AA880" s="140"/>
      <c r="AB880" s="140"/>
    </row>
    <row r="881" spans="1:28">
      <c r="A881" s="144" t="s">
        <v>484</v>
      </c>
      <c r="B881" s="144" t="s">
        <v>8082</v>
      </c>
      <c r="C881" s="144" t="s">
        <v>8083</v>
      </c>
      <c r="D881" s="144" t="s">
        <v>8084</v>
      </c>
      <c r="E881" s="144" t="s">
        <v>8085</v>
      </c>
      <c r="F881" s="144" t="s">
        <v>4</v>
      </c>
      <c r="G881" s="144">
        <v>1.25</v>
      </c>
      <c r="H881" s="144" t="s">
        <v>24</v>
      </c>
      <c r="I881" s="144" t="s">
        <v>602</v>
      </c>
      <c r="J881" s="144" t="s">
        <v>8086</v>
      </c>
      <c r="K881" s="144">
        <v>1</v>
      </c>
      <c r="L881" s="144" t="s">
        <v>476</v>
      </c>
      <c r="M881" s="144" t="s">
        <v>8087</v>
      </c>
      <c r="N881" s="144">
        <v>1.5</v>
      </c>
      <c r="O881" s="144" t="s">
        <v>451</v>
      </c>
      <c r="P881" s="144">
        <v>2000000</v>
      </c>
      <c r="Q881" s="144" t="s">
        <v>454</v>
      </c>
      <c r="R881" s="144" t="s">
        <v>8088</v>
      </c>
      <c r="S881" s="144"/>
      <c r="T881" s="144"/>
      <c r="U881" s="145"/>
      <c r="V881" s="145"/>
      <c r="W881" s="145"/>
      <c r="X881" s="144" t="s">
        <v>3375</v>
      </c>
      <c r="Y881" s="144" t="s">
        <v>8089</v>
      </c>
      <c r="Z881" s="144" t="str">
        <f ca="1">IFERROR(__xludf.DUMMYFUNCTION("IF(VLOOKUP($Y881, IMPORTRANGE(""https://docs.google.com/spreadsheets/d/1WsTKRjz8_fF2119Ff9dhKIIYXSaUEHzuWr8pBkxmwQQ/edit"", ""Form Responses 1!$B:$Z""),1, FALSE)=$Y881,""Yes"",""No"")"),"#N/A")</f>
        <v>#N/A</v>
      </c>
      <c r="AA881" s="144"/>
      <c r="AB881" s="144"/>
    </row>
    <row r="882" spans="1:28">
      <c r="A882" s="140" t="s">
        <v>484</v>
      </c>
      <c r="B882" s="140" t="s">
        <v>8090</v>
      </c>
      <c r="C882" s="140" t="s">
        <v>8091</v>
      </c>
      <c r="D882" s="140" t="s">
        <v>8092</v>
      </c>
      <c r="E882" s="140" t="s">
        <v>8093</v>
      </c>
      <c r="F882" s="140" t="s">
        <v>4</v>
      </c>
      <c r="G882" s="140">
        <v>1</v>
      </c>
      <c r="H882" s="140" t="s">
        <v>24</v>
      </c>
      <c r="I882" s="140" t="s">
        <v>602</v>
      </c>
      <c r="J882" s="140" t="s">
        <v>8094</v>
      </c>
      <c r="K882" s="140">
        <v>1</v>
      </c>
      <c r="L882" s="140" t="s">
        <v>1054</v>
      </c>
      <c r="M882" s="140" t="s">
        <v>8095</v>
      </c>
      <c r="N882" s="140">
        <v>1</v>
      </c>
      <c r="O882" s="140" t="s">
        <v>8096</v>
      </c>
      <c r="P882" s="140" t="s">
        <v>8097</v>
      </c>
      <c r="Q882" s="140" t="s">
        <v>454</v>
      </c>
      <c r="R882" s="140" t="s">
        <v>452</v>
      </c>
      <c r="S882" s="140"/>
      <c r="T882" s="140"/>
      <c r="U882" s="143"/>
      <c r="V882" s="143"/>
      <c r="W882" s="143"/>
      <c r="X882" s="140" t="s">
        <v>8098</v>
      </c>
      <c r="Y882" s="140" t="s">
        <v>8099</v>
      </c>
      <c r="Z882" s="140" t="str">
        <f ca="1">IFERROR(__xludf.DUMMYFUNCTION("IF(VLOOKUP($Y882, IMPORTRANGE(""https://docs.google.com/spreadsheets/d/1WsTKRjz8_fF2119Ff9dhKIIYXSaUEHzuWr8pBkxmwQQ/edit"", ""Form Responses 1!$B:$Z""),1, FALSE)=$Y882,""Yes"",""No"")"),"#N/A")</f>
        <v>#N/A</v>
      </c>
      <c r="AA882" s="140"/>
      <c r="AB882" s="140"/>
    </row>
    <row r="883" spans="1:28">
      <c r="A883" s="144" t="s">
        <v>598</v>
      </c>
      <c r="B883" s="144" t="s">
        <v>8100</v>
      </c>
      <c r="C883" s="144" t="s">
        <v>8101</v>
      </c>
      <c r="D883" s="144" t="s">
        <v>8102</v>
      </c>
      <c r="E883" s="144" t="s">
        <v>8103</v>
      </c>
      <c r="F883" s="144" t="s">
        <v>4</v>
      </c>
      <c r="G883" s="144">
        <v>1</v>
      </c>
      <c r="H883" s="144" t="s">
        <v>24</v>
      </c>
      <c r="I883" s="144" t="s">
        <v>602</v>
      </c>
      <c r="J883" s="144" t="s">
        <v>7807</v>
      </c>
      <c r="K883" s="144">
        <v>1</v>
      </c>
      <c r="L883" s="144" t="s">
        <v>1045</v>
      </c>
      <c r="M883" s="144" t="s">
        <v>8104</v>
      </c>
      <c r="N883" s="144">
        <v>1</v>
      </c>
      <c r="O883" s="144"/>
      <c r="P883" s="144"/>
      <c r="Q883" s="144" t="s">
        <v>465</v>
      </c>
      <c r="R883" s="144" t="s">
        <v>575</v>
      </c>
      <c r="S883" s="144"/>
      <c r="T883" s="144"/>
      <c r="U883" s="145"/>
      <c r="V883" s="145"/>
      <c r="W883" s="145"/>
      <c r="X883" s="144" t="s">
        <v>8105</v>
      </c>
      <c r="Y883" s="144" t="s">
        <v>8106</v>
      </c>
      <c r="Z883" s="144" t="str">
        <f ca="1">IFERROR(__xludf.DUMMYFUNCTION("IF(VLOOKUP($Y883, IMPORTRANGE(""https://docs.google.com/spreadsheets/d/1WsTKRjz8_fF2119Ff9dhKIIYXSaUEHzuWr8pBkxmwQQ/edit"", ""Form Responses 1!$B:$Z""),1, FALSE)=$Y883,""Yes"",""No"")"),"#N/A")</f>
        <v>#N/A</v>
      </c>
      <c r="AA883" s="144"/>
      <c r="AB883" s="144"/>
    </row>
    <row r="884" spans="1:28">
      <c r="A884" s="140" t="s">
        <v>529</v>
      </c>
      <c r="B884" s="140" t="s">
        <v>8107</v>
      </c>
      <c r="C884" s="140" t="s">
        <v>8108</v>
      </c>
      <c r="D884" s="140" t="s">
        <v>8109</v>
      </c>
      <c r="E884" s="140" t="s">
        <v>8110</v>
      </c>
      <c r="F884" s="140" t="s">
        <v>4</v>
      </c>
      <c r="G884" s="140">
        <v>1</v>
      </c>
      <c r="H884" s="140" t="s">
        <v>24</v>
      </c>
      <c r="I884" s="140" t="s">
        <v>725</v>
      </c>
      <c r="J884" s="140" t="s">
        <v>8111</v>
      </c>
      <c r="K884" s="140">
        <v>1</v>
      </c>
      <c r="L884" s="140" t="s">
        <v>476</v>
      </c>
      <c r="M884" s="140" t="s">
        <v>8112</v>
      </c>
      <c r="N884" s="140">
        <v>1</v>
      </c>
      <c r="O884" s="140"/>
      <c r="P884" s="140"/>
      <c r="Q884" s="140" t="s">
        <v>452</v>
      </c>
      <c r="R884" s="140" t="s">
        <v>8113</v>
      </c>
      <c r="S884" s="140"/>
      <c r="T884" s="140"/>
      <c r="U884" s="143"/>
      <c r="V884" s="143"/>
      <c r="W884" s="143"/>
      <c r="X884" s="140" t="s">
        <v>8114</v>
      </c>
      <c r="Y884" s="140" t="s">
        <v>8115</v>
      </c>
      <c r="Z884" s="140" t="str">
        <f ca="1">IFERROR(__xludf.DUMMYFUNCTION("IF(VLOOKUP($Y884, IMPORTRANGE(""https://docs.google.com/spreadsheets/d/1WsTKRjz8_fF2119Ff9dhKIIYXSaUEHzuWr8pBkxmwQQ/edit"", ""Form Responses 1!$B:$Z""),1, FALSE)=$Y884,""Yes"",""No"")"),"#N/A")</f>
        <v>#N/A</v>
      </c>
      <c r="AA884" s="140"/>
      <c r="AB884" s="140"/>
    </row>
    <row r="885" spans="1:28">
      <c r="A885" s="144" t="s">
        <v>529</v>
      </c>
      <c r="B885" s="144" t="s">
        <v>8116</v>
      </c>
      <c r="C885" s="144" t="s">
        <v>8117</v>
      </c>
      <c r="D885" s="144" t="s">
        <v>8118</v>
      </c>
      <c r="E885" s="144" t="s">
        <v>8119</v>
      </c>
      <c r="F885" s="144" t="s">
        <v>4</v>
      </c>
      <c r="G885" s="144">
        <v>1</v>
      </c>
      <c r="H885" s="144" t="s">
        <v>24</v>
      </c>
      <c r="I885" s="144" t="s">
        <v>725</v>
      </c>
      <c r="J885" s="144" t="s">
        <v>8120</v>
      </c>
      <c r="K885" s="144">
        <v>1</v>
      </c>
      <c r="L885" s="144" t="s">
        <v>1036</v>
      </c>
      <c r="M885" s="144" t="s">
        <v>8121</v>
      </c>
      <c r="N885" s="144">
        <v>1</v>
      </c>
      <c r="O885" s="144"/>
      <c r="P885" s="144"/>
      <c r="Q885" s="144" t="s">
        <v>454</v>
      </c>
      <c r="R885" s="144" t="s">
        <v>1119</v>
      </c>
      <c r="S885" s="144"/>
      <c r="T885" s="144"/>
      <c r="U885" s="145"/>
      <c r="V885" s="145"/>
      <c r="W885" s="145"/>
      <c r="X885" s="144" t="s">
        <v>8122</v>
      </c>
      <c r="Y885" s="144" t="s">
        <v>8123</v>
      </c>
      <c r="Z885" s="144" t="str">
        <f ca="1">IFERROR(__xludf.DUMMYFUNCTION("IF(VLOOKUP($Y885, IMPORTRANGE(""https://docs.google.com/spreadsheets/d/1WsTKRjz8_fF2119Ff9dhKIIYXSaUEHzuWr8pBkxmwQQ/edit"", ""Form Responses 1!$B:$Z""),1, FALSE)=$Y885,""Yes"",""No"")"),"#N/A")</f>
        <v>#N/A</v>
      </c>
      <c r="AA885" s="144"/>
      <c r="AB885" s="144"/>
    </row>
    <row r="886" spans="1:28">
      <c r="A886" s="140" t="s">
        <v>529</v>
      </c>
      <c r="B886" s="140" t="s">
        <v>8124</v>
      </c>
      <c r="C886" s="140" t="s">
        <v>8125</v>
      </c>
      <c r="D886" s="140" t="s">
        <v>8126</v>
      </c>
      <c r="E886" s="140" t="s">
        <v>8127</v>
      </c>
      <c r="F886" s="140" t="s">
        <v>4</v>
      </c>
      <c r="G886" s="140">
        <v>1</v>
      </c>
      <c r="H886" s="140" t="s">
        <v>24</v>
      </c>
      <c r="I886" s="140" t="s">
        <v>1045</v>
      </c>
      <c r="J886" s="140" t="s">
        <v>8128</v>
      </c>
      <c r="K886" s="140">
        <v>1</v>
      </c>
      <c r="L886" s="140" t="s">
        <v>1036</v>
      </c>
      <c r="M886" s="140" t="s">
        <v>8129</v>
      </c>
      <c r="N886" s="140">
        <v>1</v>
      </c>
      <c r="O886" s="140" t="s">
        <v>784</v>
      </c>
      <c r="P886" s="142">
        <v>800000</v>
      </c>
      <c r="Q886" s="140" t="s">
        <v>454</v>
      </c>
      <c r="R886" s="140" t="s">
        <v>8130</v>
      </c>
      <c r="S886" s="140" t="s">
        <v>8131</v>
      </c>
      <c r="T886" s="140"/>
      <c r="U886" s="143"/>
      <c r="V886" s="143"/>
      <c r="W886" s="143"/>
      <c r="X886" s="140" t="s">
        <v>1020</v>
      </c>
      <c r="Y886" s="140" t="s">
        <v>8132</v>
      </c>
      <c r="Z886" s="140" t="str">
        <f ca="1">IFERROR(__xludf.DUMMYFUNCTION("IF(VLOOKUP($Y886, IMPORTRANGE(""https://docs.google.com/spreadsheets/d/1WsTKRjz8_fF2119Ff9dhKIIYXSaUEHzuWr8pBkxmwQQ/edit"", ""Form Responses 1!$B:$Z""),1, FALSE)=$Y886,""Yes"",""No"")"),"#N/A")</f>
        <v>#N/A</v>
      </c>
      <c r="AA886" s="140"/>
      <c r="AB886" s="140"/>
    </row>
    <row r="887" spans="1:28">
      <c r="A887" s="144" t="s">
        <v>598</v>
      </c>
      <c r="B887" s="144" t="s">
        <v>8133</v>
      </c>
      <c r="C887" s="144" t="s">
        <v>8134</v>
      </c>
      <c r="D887" s="144" t="s">
        <v>8135</v>
      </c>
      <c r="E887" s="144" t="s">
        <v>8136</v>
      </c>
      <c r="F887" s="144" t="s">
        <v>4</v>
      </c>
      <c r="G887" s="144">
        <v>1</v>
      </c>
      <c r="H887" s="144" t="s">
        <v>24</v>
      </c>
      <c r="I887" s="144" t="s">
        <v>602</v>
      </c>
      <c r="J887" s="144" t="s">
        <v>8137</v>
      </c>
      <c r="K887" s="144">
        <v>1</v>
      </c>
      <c r="L887" s="144" t="s">
        <v>1045</v>
      </c>
      <c r="M887" s="144" t="s">
        <v>8138</v>
      </c>
      <c r="N887" s="144">
        <v>1</v>
      </c>
      <c r="O887" s="144"/>
      <c r="P887" s="144"/>
      <c r="Q887" s="144" t="s">
        <v>452</v>
      </c>
      <c r="R887" s="144" t="s">
        <v>452</v>
      </c>
      <c r="S887" s="144" t="s">
        <v>8139</v>
      </c>
      <c r="T887" s="144"/>
      <c r="U887" s="145"/>
      <c r="V887" s="145"/>
      <c r="W887" s="145"/>
      <c r="X887" s="144" t="s">
        <v>8140</v>
      </c>
      <c r="Y887" s="144" t="s">
        <v>8141</v>
      </c>
      <c r="Z887" s="144" t="str">
        <f ca="1">IFERROR(__xludf.DUMMYFUNCTION("IF(VLOOKUP($Y887, IMPORTRANGE(""https://docs.google.com/spreadsheets/d/1WsTKRjz8_fF2119Ff9dhKIIYXSaUEHzuWr8pBkxmwQQ/edit"", ""Form Responses 1!$B:$Z""),1, FALSE)=$Y887,""Yes"",""No"")"),"#N/A")</f>
        <v>#N/A</v>
      </c>
      <c r="AA887" s="144"/>
      <c r="AB887" s="144"/>
    </row>
    <row r="888" spans="1:28">
      <c r="A888" s="140" t="s">
        <v>529</v>
      </c>
      <c r="B888" s="140" t="s">
        <v>8142</v>
      </c>
      <c r="C888" s="140" t="s">
        <v>8143</v>
      </c>
      <c r="D888" s="140" t="s">
        <v>8144</v>
      </c>
      <c r="E888" s="140"/>
      <c r="F888" s="140" t="s">
        <v>4</v>
      </c>
      <c r="G888" s="140">
        <v>1</v>
      </c>
      <c r="H888" s="140" t="s">
        <v>24</v>
      </c>
      <c r="I888" s="140" t="s">
        <v>725</v>
      </c>
      <c r="J888" s="140" t="s">
        <v>8145</v>
      </c>
      <c r="K888" s="140">
        <v>1</v>
      </c>
      <c r="L888" s="140" t="s">
        <v>1036</v>
      </c>
      <c r="M888" s="140" t="s">
        <v>8146</v>
      </c>
      <c r="N888" s="140">
        <v>1</v>
      </c>
      <c r="O888" s="140" t="s">
        <v>2152</v>
      </c>
      <c r="P888" s="140">
        <v>2100000</v>
      </c>
      <c r="Q888" s="140" t="s">
        <v>454</v>
      </c>
      <c r="R888" s="140" t="s">
        <v>8147</v>
      </c>
      <c r="S888" s="140"/>
      <c r="T888" s="140"/>
      <c r="U888" s="143"/>
      <c r="V888" s="143"/>
      <c r="W888" s="143"/>
      <c r="X888" s="140" t="s">
        <v>8148</v>
      </c>
      <c r="Y888" s="140" t="s">
        <v>8149</v>
      </c>
      <c r="Z888" s="140" t="str">
        <f ca="1">IFERROR(__xludf.DUMMYFUNCTION("IF(VLOOKUP($Y888, IMPORTRANGE(""https://docs.google.com/spreadsheets/d/1WsTKRjz8_fF2119Ff9dhKIIYXSaUEHzuWr8pBkxmwQQ/edit"", ""Form Responses 1!$B:$Z""),1, FALSE)=$Y888,""Yes"",""No"")"),"#N/A")</f>
        <v>#N/A</v>
      </c>
      <c r="AA888" s="140"/>
      <c r="AB888" s="140"/>
    </row>
    <row r="889" spans="1:28">
      <c r="A889" s="144" t="s">
        <v>471</v>
      </c>
      <c r="B889" s="144" t="s">
        <v>8150</v>
      </c>
      <c r="C889" s="144" t="s">
        <v>8151</v>
      </c>
      <c r="D889" s="144" t="s">
        <v>8152</v>
      </c>
      <c r="E889" s="144" t="s">
        <v>8153</v>
      </c>
      <c r="F889" s="144" t="s">
        <v>4</v>
      </c>
      <c r="G889" s="144">
        <v>1</v>
      </c>
      <c r="H889" s="144" t="s">
        <v>24</v>
      </c>
      <c r="I889" s="144" t="s">
        <v>727</v>
      </c>
      <c r="J889" s="144" t="s">
        <v>8154</v>
      </c>
      <c r="K889" s="144">
        <v>1</v>
      </c>
      <c r="L889" s="144" t="s">
        <v>476</v>
      </c>
      <c r="M889" s="144" t="s">
        <v>8155</v>
      </c>
      <c r="N889" s="144">
        <v>1</v>
      </c>
      <c r="O889" s="144" t="s">
        <v>784</v>
      </c>
      <c r="P889" s="147">
        <v>600000</v>
      </c>
      <c r="Q889" s="144" t="s">
        <v>452</v>
      </c>
      <c r="R889" s="144" t="s">
        <v>452</v>
      </c>
      <c r="S889" s="144"/>
      <c r="T889" s="144"/>
      <c r="U889" s="145"/>
      <c r="V889" s="145"/>
      <c r="W889" s="145"/>
      <c r="X889" s="144" t="s">
        <v>8156</v>
      </c>
      <c r="Y889" s="144" t="s">
        <v>8157</v>
      </c>
      <c r="Z889" s="144" t="str">
        <f ca="1">IFERROR(__xludf.DUMMYFUNCTION("IF(VLOOKUP($Y889, IMPORTRANGE(""https://docs.google.com/spreadsheets/d/1WsTKRjz8_fF2119Ff9dhKIIYXSaUEHzuWr8pBkxmwQQ/edit"", ""Form Responses 1!$B:$Z""),1, FALSE)=$Y889,""Yes"",""No"")"),"#N/A")</f>
        <v>#N/A</v>
      </c>
      <c r="AA889" s="144"/>
      <c r="AB889" s="144"/>
    </row>
    <row r="890" spans="1:28">
      <c r="A890" s="140" t="s">
        <v>529</v>
      </c>
      <c r="B890" s="140" t="s">
        <v>8158</v>
      </c>
      <c r="C890" s="140" t="s">
        <v>8159</v>
      </c>
      <c r="D890" s="140" t="s">
        <v>8160</v>
      </c>
      <c r="E890" s="140" t="s">
        <v>8161</v>
      </c>
      <c r="F890" s="140" t="s">
        <v>4</v>
      </c>
      <c r="G890" s="140">
        <v>1</v>
      </c>
      <c r="H890" s="140" t="s">
        <v>24</v>
      </c>
      <c r="I890" s="140" t="s">
        <v>727</v>
      </c>
      <c r="J890" s="140" t="s">
        <v>8162</v>
      </c>
      <c r="K890" s="140">
        <v>1</v>
      </c>
      <c r="L890" s="140" t="s">
        <v>1187</v>
      </c>
      <c r="M890" s="140" t="s">
        <v>8163</v>
      </c>
      <c r="N890" s="140">
        <v>1</v>
      </c>
      <c r="O890" s="140"/>
      <c r="P890" s="140"/>
      <c r="Q890" s="140" t="s">
        <v>452</v>
      </c>
      <c r="R890" s="140" t="s">
        <v>8164</v>
      </c>
      <c r="S890" s="140"/>
      <c r="T890" s="140"/>
      <c r="U890" s="143"/>
      <c r="V890" s="143"/>
      <c r="W890" s="143"/>
      <c r="X890" s="140" t="s">
        <v>8165</v>
      </c>
      <c r="Y890" s="140" t="s">
        <v>8166</v>
      </c>
      <c r="Z890" s="140" t="str">
        <f ca="1">IFERROR(__xludf.DUMMYFUNCTION("IF(VLOOKUP($Y890, IMPORTRANGE(""https://docs.google.com/spreadsheets/d/1WsTKRjz8_fF2119Ff9dhKIIYXSaUEHzuWr8pBkxmwQQ/edit"", ""Form Responses 1!$B:$Z""),1, FALSE)=$Y890,""Yes"",""No"")"),"#N/A")</f>
        <v>#N/A</v>
      </c>
      <c r="AA890" s="140"/>
      <c r="AB890" s="140"/>
    </row>
    <row r="891" spans="1:28">
      <c r="A891" s="144" t="s">
        <v>529</v>
      </c>
      <c r="B891" s="144" t="s">
        <v>8167</v>
      </c>
      <c r="C891" s="144" t="s">
        <v>8168</v>
      </c>
      <c r="D891" s="144" t="s">
        <v>8169</v>
      </c>
      <c r="E891" s="144"/>
      <c r="F891" s="144" t="s">
        <v>4</v>
      </c>
      <c r="G891" s="144">
        <v>1</v>
      </c>
      <c r="H891" s="144" t="s">
        <v>24</v>
      </c>
      <c r="I891" s="144" t="s">
        <v>725</v>
      </c>
      <c r="J891" s="144" t="s">
        <v>8170</v>
      </c>
      <c r="K891" s="144">
        <v>1</v>
      </c>
      <c r="L891" s="144" t="s">
        <v>1237</v>
      </c>
      <c r="M891" s="144"/>
      <c r="N891" s="144">
        <v>1</v>
      </c>
      <c r="O891" s="144" t="s">
        <v>8171</v>
      </c>
      <c r="P891" s="144">
        <v>2000000</v>
      </c>
      <c r="Q891" s="144" t="s">
        <v>465</v>
      </c>
      <c r="R891" s="144" t="s">
        <v>8172</v>
      </c>
      <c r="S891" s="144"/>
      <c r="T891" s="144"/>
      <c r="U891" s="145"/>
      <c r="V891" s="145"/>
      <c r="W891" s="145"/>
      <c r="X891" s="144" t="s">
        <v>8173</v>
      </c>
      <c r="Y891" s="144" t="s">
        <v>8174</v>
      </c>
      <c r="Z891" s="144" t="str">
        <f ca="1">IFERROR(__xludf.DUMMYFUNCTION("IF(VLOOKUP($Y891, IMPORTRANGE(""https://docs.google.com/spreadsheets/d/1WsTKRjz8_fF2119Ff9dhKIIYXSaUEHzuWr8pBkxmwQQ/edit"", ""Form Responses 1!$B:$Z""),1, FALSE)=$Y891,""Yes"",""No"")"),"#N/A")</f>
        <v>#N/A</v>
      </c>
      <c r="AA891" s="144"/>
      <c r="AB891" s="144"/>
    </row>
    <row r="892" spans="1:28">
      <c r="A892" s="140" t="s">
        <v>529</v>
      </c>
      <c r="B892" s="140" t="s">
        <v>8175</v>
      </c>
      <c r="C892" s="140" t="s">
        <v>8176</v>
      </c>
      <c r="D892" s="140" t="s">
        <v>8177</v>
      </c>
      <c r="E892" s="140" t="s">
        <v>8178</v>
      </c>
      <c r="F892" s="140" t="s">
        <v>4</v>
      </c>
      <c r="G892" s="140">
        <v>1</v>
      </c>
      <c r="H892" s="140" t="s">
        <v>24</v>
      </c>
      <c r="I892" s="140" t="s">
        <v>725</v>
      </c>
      <c r="J892" s="140" t="s">
        <v>8179</v>
      </c>
      <c r="K892" s="140">
        <v>1</v>
      </c>
      <c r="L892" s="140" t="s">
        <v>1237</v>
      </c>
      <c r="M892" s="140"/>
      <c r="N892" s="140">
        <v>1</v>
      </c>
      <c r="O892" s="140"/>
      <c r="P892" s="140"/>
      <c r="Q892" s="140" t="s">
        <v>452</v>
      </c>
      <c r="R892" s="140" t="s">
        <v>8180</v>
      </c>
      <c r="S892" s="140"/>
      <c r="T892" s="140"/>
      <c r="U892" s="143"/>
      <c r="V892" s="143"/>
      <c r="W892" s="143"/>
      <c r="X892" s="140" t="s">
        <v>8181</v>
      </c>
      <c r="Y892" s="140" t="s">
        <v>8182</v>
      </c>
      <c r="Z892" s="140" t="str">
        <f ca="1">IFERROR(__xludf.DUMMYFUNCTION("IF(VLOOKUP($Y892, IMPORTRANGE(""https://docs.google.com/spreadsheets/d/1WsTKRjz8_fF2119Ff9dhKIIYXSaUEHzuWr8pBkxmwQQ/edit"", ""Form Responses 1!$B:$Z""),1, FALSE)=$Y892,""Yes"",""No"")"),"#N/A")</f>
        <v>#N/A</v>
      </c>
      <c r="AA892" s="140"/>
      <c r="AB892" s="140"/>
    </row>
    <row r="893" spans="1:28">
      <c r="A893" s="144" t="s">
        <v>484</v>
      </c>
      <c r="B893" s="144" t="s">
        <v>8183</v>
      </c>
      <c r="C893" s="144" t="s">
        <v>8184</v>
      </c>
      <c r="D893" s="144" t="s">
        <v>8185</v>
      </c>
      <c r="E893" s="144" t="s">
        <v>8186</v>
      </c>
      <c r="F893" s="144" t="s">
        <v>4</v>
      </c>
      <c r="G893" s="144">
        <v>1</v>
      </c>
      <c r="H893" s="144" t="s">
        <v>24</v>
      </c>
      <c r="I893" s="144" t="s">
        <v>602</v>
      </c>
      <c r="J893" s="144" t="s">
        <v>8187</v>
      </c>
      <c r="K893" s="144">
        <v>1</v>
      </c>
      <c r="L893" s="144" t="s">
        <v>476</v>
      </c>
      <c r="M893" s="144" t="s">
        <v>8188</v>
      </c>
      <c r="N893" s="144">
        <v>1</v>
      </c>
      <c r="O893" s="144" t="s">
        <v>451</v>
      </c>
      <c r="P893" s="144" t="s">
        <v>8189</v>
      </c>
      <c r="Q893" s="144" t="s">
        <v>452</v>
      </c>
      <c r="R893" s="144" t="s">
        <v>8190</v>
      </c>
      <c r="S893" s="144"/>
      <c r="T893" s="144"/>
      <c r="U893" s="145"/>
      <c r="V893" s="145"/>
      <c r="W893" s="145"/>
      <c r="X893" s="144" t="s">
        <v>8191</v>
      </c>
      <c r="Y893" s="144" t="s">
        <v>8192</v>
      </c>
      <c r="Z893" s="144" t="str">
        <f ca="1">IFERROR(__xludf.DUMMYFUNCTION("IF(VLOOKUP($Y893, IMPORTRANGE(""https://docs.google.com/spreadsheets/d/1WsTKRjz8_fF2119Ff9dhKIIYXSaUEHzuWr8pBkxmwQQ/edit"", ""Form Responses 1!$B:$Z""),1, FALSE)=$Y893,""Yes"",""No"")"),"#N/A")</f>
        <v>#N/A</v>
      </c>
      <c r="AA893" s="144"/>
      <c r="AB893" s="144"/>
    </row>
    <row r="894" spans="1:28">
      <c r="A894" s="140" t="s">
        <v>598</v>
      </c>
      <c r="B894" s="140" t="s">
        <v>8193</v>
      </c>
      <c r="C894" s="140" t="s">
        <v>8194</v>
      </c>
      <c r="D894" s="140" t="s">
        <v>8195</v>
      </c>
      <c r="E894" s="140" t="s">
        <v>8196</v>
      </c>
      <c r="F894" s="140" t="s">
        <v>4</v>
      </c>
      <c r="G894" s="140">
        <v>1</v>
      </c>
      <c r="H894" s="140" t="s">
        <v>24</v>
      </c>
      <c r="I894" s="140" t="s">
        <v>725</v>
      </c>
      <c r="J894" s="140"/>
      <c r="K894" s="140">
        <v>1</v>
      </c>
      <c r="L894" s="140" t="s">
        <v>476</v>
      </c>
      <c r="M894" s="140" t="s">
        <v>8061</v>
      </c>
      <c r="N894" s="140">
        <v>1</v>
      </c>
      <c r="O894" s="140" t="s">
        <v>784</v>
      </c>
      <c r="P894" s="140">
        <v>400000</v>
      </c>
      <c r="Q894" s="140" t="s">
        <v>452</v>
      </c>
      <c r="R894" s="140" t="s">
        <v>575</v>
      </c>
      <c r="S894" s="140" t="s">
        <v>8197</v>
      </c>
      <c r="T894" s="140"/>
      <c r="U894" s="143"/>
      <c r="V894" s="143"/>
      <c r="W894" s="143"/>
      <c r="X894" s="140" t="s">
        <v>8198</v>
      </c>
      <c r="Y894" s="140" t="s">
        <v>8199</v>
      </c>
      <c r="Z894" s="140" t="str">
        <f ca="1">IFERROR(__xludf.DUMMYFUNCTION("IF(VLOOKUP($Y894, IMPORTRANGE(""https://docs.google.com/spreadsheets/d/1WsTKRjz8_fF2119Ff9dhKIIYXSaUEHzuWr8pBkxmwQQ/edit"", ""Form Responses 1!$B:$Z""),1, FALSE)=$Y894,""Yes"",""No"")"),"#N/A")</f>
        <v>#N/A</v>
      </c>
      <c r="AA894" s="140"/>
      <c r="AB894" s="140"/>
    </row>
    <row r="895" spans="1:28">
      <c r="A895" s="144" t="s">
        <v>529</v>
      </c>
      <c r="B895" s="144" t="s">
        <v>8200</v>
      </c>
      <c r="C895" s="144" t="s">
        <v>8201</v>
      </c>
      <c r="D895" s="144" t="s">
        <v>8202</v>
      </c>
      <c r="E895" s="144" t="s">
        <v>8203</v>
      </c>
      <c r="F895" s="144" t="s">
        <v>4</v>
      </c>
      <c r="G895" s="144">
        <v>1</v>
      </c>
      <c r="H895" s="144" t="s">
        <v>24</v>
      </c>
      <c r="I895" s="144" t="s">
        <v>725</v>
      </c>
      <c r="J895" s="144" t="s">
        <v>8204</v>
      </c>
      <c r="K895" s="144">
        <v>1</v>
      </c>
      <c r="L895" s="144" t="s">
        <v>1298</v>
      </c>
      <c r="M895" s="144" t="s">
        <v>8205</v>
      </c>
      <c r="N895" s="144">
        <v>1</v>
      </c>
      <c r="O895" s="144" t="s">
        <v>451</v>
      </c>
      <c r="P895" s="144" t="s">
        <v>8206</v>
      </c>
      <c r="Q895" s="144" t="s">
        <v>452</v>
      </c>
      <c r="R895" s="144" t="s">
        <v>8207</v>
      </c>
      <c r="S895" s="144" t="s">
        <v>8208</v>
      </c>
      <c r="T895" s="144"/>
      <c r="U895" s="145"/>
      <c r="V895" s="145"/>
      <c r="W895" s="145"/>
      <c r="X895" s="144" t="s">
        <v>4725</v>
      </c>
      <c r="Y895" s="144" t="s">
        <v>8209</v>
      </c>
      <c r="Z895" s="144" t="str">
        <f ca="1">IFERROR(__xludf.DUMMYFUNCTION("IF(VLOOKUP($Y895, IMPORTRANGE(""https://docs.google.com/spreadsheets/d/1WsTKRjz8_fF2119Ff9dhKIIYXSaUEHzuWr8pBkxmwQQ/edit"", ""Form Responses 1!$B:$Z""),1, FALSE)=$Y895,""Yes"",""No"")"),"#N/A")</f>
        <v>#N/A</v>
      </c>
      <c r="AA895" s="144"/>
      <c r="AB895" s="144"/>
    </row>
    <row r="896" spans="1:28">
      <c r="A896" s="140" t="s">
        <v>529</v>
      </c>
      <c r="B896" s="140" t="s">
        <v>8210</v>
      </c>
      <c r="C896" s="140" t="s">
        <v>8211</v>
      </c>
      <c r="D896" s="140" t="s">
        <v>8212</v>
      </c>
      <c r="E896" s="140" t="s">
        <v>8213</v>
      </c>
      <c r="F896" s="140" t="s">
        <v>4</v>
      </c>
      <c r="G896" s="140">
        <v>1</v>
      </c>
      <c r="H896" s="140" t="s">
        <v>24</v>
      </c>
      <c r="I896" s="140" t="s">
        <v>1045</v>
      </c>
      <c r="J896" s="140" t="s">
        <v>8214</v>
      </c>
      <c r="K896" s="140">
        <v>1</v>
      </c>
      <c r="L896" s="140" t="s">
        <v>1298</v>
      </c>
      <c r="M896" s="140" t="s">
        <v>8215</v>
      </c>
      <c r="N896" s="140">
        <v>1</v>
      </c>
      <c r="O896" s="140" t="s">
        <v>784</v>
      </c>
      <c r="P896" s="148">
        <v>2500000</v>
      </c>
      <c r="Q896" s="140" t="s">
        <v>452</v>
      </c>
      <c r="R896" s="140" t="s">
        <v>8216</v>
      </c>
      <c r="S896" s="140" t="s">
        <v>725</v>
      </c>
      <c r="T896" s="140"/>
      <c r="U896" s="143"/>
      <c r="V896" s="143"/>
      <c r="W896" s="143"/>
      <c r="X896" s="140" t="s">
        <v>3740</v>
      </c>
      <c r="Y896" s="140" t="s">
        <v>8217</v>
      </c>
      <c r="Z896" s="140" t="str">
        <f ca="1">IFERROR(__xludf.DUMMYFUNCTION("IF(VLOOKUP($Y896, IMPORTRANGE(""https://docs.google.com/spreadsheets/d/1WsTKRjz8_fF2119Ff9dhKIIYXSaUEHzuWr8pBkxmwQQ/edit"", ""Form Responses 1!$B:$Z""),1, FALSE)=$Y896,""Yes"",""No"")"),"#N/A")</f>
        <v>#N/A</v>
      </c>
      <c r="AA896" s="140"/>
      <c r="AB896" s="140"/>
    </row>
    <row r="897" spans="1:28">
      <c r="A897" s="144" t="s">
        <v>529</v>
      </c>
      <c r="B897" s="144" t="s">
        <v>8218</v>
      </c>
      <c r="C897" s="144" t="s">
        <v>8219</v>
      </c>
      <c r="D897" s="144" t="s">
        <v>8220</v>
      </c>
      <c r="E897" s="144" t="s">
        <v>8221</v>
      </c>
      <c r="F897" s="144" t="s">
        <v>4</v>
      </c>
      <c r="G897" s="144">
        <v>1</v>
      </c>
      <c r="H897" s="144" t="s">
        <v>24</v>
      </c>
      <c r="I897" s="144" t="s">
        <v>727</v>
      </c>
      <c r="J897" s="144" t="s">
        <v>8222</v>
      </c>
      <c r="K897" s="144">
        <v>1</v>
      </c>
      <c r="L897" s="144" t="s">
        <v>1298</v>
      </c>
      <c r="M897" s="144" t="s">
        <v>8223</v>
      </c>
      <c r="N897" s="144">
        <v>1</v>
      </c>
      <c r="O897" s="144"/>
      <c r="P897" s="144"/>
      <c r="Q897" s="144" t="s">
        <v>454</v>
      </c>
      <c r="R897" s="144" t="s">
        <v>8224</v>
      </c>
      <c r="S897" s="144"/>
      <c r="T897" s="144"/>
      <c r="U897" s="145"/>
      <c r="V897" s="145"/>
      <c r="W897" s="145"/>
      <c r="X897" s="144" t="s">
        <v>8225</v>
      </c>
      <c r="Y897" s="144" t="s">
        <v>8226</v>
      </c>
      <c r="Z897" s="144" t="str">
        <f ca="1">IFERROR(__xludf.DUMMYFUNCTION("IF(VLOOKUP($Y897, IMPORTRANGE(""https://docs.google.com/spreadsheets/d/1WsTKRjz8_fF2119Ff9dhKIIYXSaUEHzuWr8pBkxmwQQ/edit"", ""Form Responses 1!$B:$Z""),1, FALSE)=$Y897,""Yes"",""No"")"),"#N/A")</f>
        <v>#N/A</v>
      </c>
      <c r="AA897" s="144"/>
      <c r="AB897" s="144"/>
    </row>
    <row r="898" spans="1:28">
      <c r="A898" s="140" t="s">
        <v>598</v>
      </c>
      <c r="B898" s="140" t="s">
        <v>8227</v>
      </c>
      <c r="C898" s="140" t="s">
        <v>8228</v>
      </c>
      <c r="D898" s="140" t="s">
        <v>8229</v>
      </c>
      <c r="E898" s="140" t="s">
        <v>8230</v>
      </c>
      <c r="F898" s="140" t="s">
        <v>4</v>
      </c>
      <c r="G898" s="140">
        <v>1</v>
      </c>
      <c r="H898" s="140" t="s">
        <v>24</v>
      </c>
      <c r="I898" s="140" t="s">
        <v>725</v>
      </c>
      <c r="J898" s="140" t="s">
        <v>8231</v>
      </c>
      <c r="K898" s="140">
        <v>1</v>
      </c>
      <c r="L898" s="140" t="s">
        <v>1045</v>
      </c>
      <c r="M898" s="140" t="s">
        <v>8232</v>
      </c>
      <c r="N898" s="140">
        <v>1</v>
      </c>
      <c r="O898" s="140" t="s">
        <v>784</v>
      </c>
      <c r="P898" s="140">
        <v>200000</v>
      </c>
      <c r="Q898" s="140" t="s">
        <v>465</v>
      </c>
      <c r="R898" s="140" t="s">
        <v>8233</v>
      </c>
      <c r="S898" s="140"/>
      <c r="T898" s="140"/>
      <c r="U898" s="143"/>
      <c r="V898" s="143"/>
      <c r="W898" s="143"/>
      <c r="X898" s="140" t="s">
        <v>8234</v>
      </c>
      <c r="Y898" s="140" t="s">
        <v>8235</v>
      </c>
      <c r="Z898" s="140" t="str">
        <f ca="1">IFERROR(__xludf.DUMMYFUNCTION("IF(VLOOKUP($Y898, IMPORTRANGE(""https://docs.google.com/spreadsheets/d/1WsTKRjz8_fF2119Ff9dhKIIYXSaUEHzuWr8pBkxmwQQ/edit"", ""Form Responses 1!$B:$Z""),1, FALSE)=$Y898,""Yes"",""No"")"),"#N/A")</f>
        <v>#N/A</v>
      </c>
      <c r="AA898" s="140"/>
      <c r="AB898" s="140"/>
    </row>
    <row r="899" spans="1:28">
      <c r="A899" s="144" t="s">
        <v>598</v>
      </c>
      <c r="B899" s="144" t="s">
        <v>8236</v>
      </c>
      <c r="C899" s="144" t="s">
        <v>8237</v>
      </c>
      <c r="D899" s="144" t="s">
        <v>8238</v>
      </c>
      <c r="E899" s="144" t="s">
        <v>8239</v>
      </c>
      <c r="F899" s="144" t="s">
        <v>4</v>
      </c>
      <c r="G899" s="144">
        <v>1</v>
      </c>
      <c r="H899" s="144" t="s">
        <v>24</v>
      </c>
      <c r="I899" s="144" t="s">
        <v>727</v>
      </c>
      <c r="J899" s="144"/>
      <c r="K899" s="144">
        <v>1</v>
      </c>
      <c r="L899" s="144" t="s">
        <v>1298</v>
      </c>
      <c r="M899" s="144" t="s">
        <v>8240</v>
      </c>
      <c r="N899" s="144">
        <v>1</v>
      </c>
      <c r="O899" s="144"/>
      <c r="P899" s="144"/>
      <c r="Q899" s="144" t="s">
        <v>465</v>
      </c>
      <c r="R899" s="144" t="s">
        <v>8241</v>
      </c>
      <c r="S899" s="144" t="s">
        <v>8242</v>
      </c>
      <c r="T899" s="144"/>
      <c r="U899" s="145"/>
      <c r="V899" s="145"/>
      <c r="W899" s="145"/>
      <c r="X899" s="144" t="s">
        <v>8243</v>
      </c>
      <c r="Y899" s="144" t="s">
        <v>8244</v>
      </c>
      <c r="Z899" s="144" t="str">
        <f ca="1">IFERROR(__xludf.DUMMYFUNCTION("IF(VLOOKUP($Y899, IMPORTRANGE(""https://docs.google.com/spreadsheets/d/1WsTKRjz8_fF2119Ff9dhKIIYXSaUEHzuWr8pBkxmwQQ/edit"", ""Form Responses 1!$B:$Z""),1, FALSE)=$Y899,""Yes"",""No"")"),"#N/A")</f>
        <v>#N/A</v>
      </c>
      <c r="AA899" s="144"/>
      <c r="AB899" s="144"/>
    </row>
    <row r="900" spans="1:28">
      <c r="A900" s="140" t="s">
        <v>907</v>
      </c>
      <c r="B900" s="140" t="s">
        <v>8245</v>
      </c>
      <c r="C900" s="140" t="s">
        <v>8246</v>
      </c>
      <c r="D900" s="140" t="s">
        <v>8247</v>
      </c>
      <c r="E900" s="140" t="s">
        <v>8248</v>
      </c>
      <c r="F900" s="140" t="s">
        <v>4</v>
      </c>
      <c r="G900" s="140">
        <v>1</v>
      </c>
      <c r="H900" s="140" t="s">
        <v>24</v>
      </c>
      <c r="I900" s="140" t="s">
        <v>447</v>
      </c>
      <c r="J900" s="140" t="s">
        <v>8249</v>
      </c>
      <c r="K900" s="140">
        <v>1</v>
      </c>
      <c r="L900" s="140" t="s">
        <v>1371</v>
      </c>
      <c r="M900" s="140" t="s">
        <v>8250</v>
      </c>
      <c r="N900" s="140">
        <v>1</v>
      </c>
      <c r="O900" s="140" t="s">
        <v>451</v>
      </c>
      <c r="P900" s="140" t="s">
        <v>8189</v>
      </c>
      <c r="Q900" s="140" t="s">
        <v>452</v>
      </c>
      <c r="R900" s="140" t="s">
        <v>8251</v>
      </c>
      <c r="S900" s="140"/>
      <c r="T900" s="140"/>
      <c r="U900" s="143"/>
      <c r="V900" s="143"/>
      <c r="W900" s="143"/>
      <c r="X900" s="140" t="s">
        <v>8252</v>
      </c>
      <c r="Y900" s="140" t="s">
        <v>8253</v>
      </c>
      <c r="Z900" s="140" t="str">
        <f ca="1">IFERROR(__xludf.DUMMYFUNCTION("IF(VLOOKUP($Y900, IMPORTRANGE(""https://docs.google.com/spreadsheets/d/1WsTKRjz8_fF2119Ff9dhKIIYXSaUEHzuWr8pBkxmwQQ/edit"", ""Form Responses 1!$B:$Z""),1, FALSE)=$Y900,""Yes"",""No"")"),"#N/A")</f>
        <v>#N/A</v>
      </c>
      <c r="AA900" s="140"/>
      <c r="AB900" s="140"/>
    </row>
    <row r="901" spans="1:28">
      <c r="A901" s="144" t="s">
        <v>484</v>
      </c>
      <c r="B901" s="144" t="s">
        <v>8254</v>
      </c>
      <c r="C901" s="144" t="s">
        <v>8255</v>
      </c>
      <c r="D901" s="144" t="s">
        <v>8256</v>
      </c>
      <c r="E901" s="144" t="s">
        <v>8257</v>
      </c>
      <c r="F901" s="144" t="s">
        <v>4</v>
      </c>
      <c r="G901" s="144">
        <v>1</v>
      </c>
      <c r="H901" s="144" t="s">
        <v>24</v>
      </c>
      <c r="I901" s="144" t="s">
        <v>602</v>
      </c>
      <c r="J901" s="144" t="s">
        <v>8258</v>
      </c>
      <c r="K901" s="144">
        <v>1</v>
      </c>
      <c r="L901" s="144" t="s">
        <v>1054</v>
      </c>
      <c r="M901" s="144" t="s">
        <v>8259</v>
      </c>
      <c r="N901" s="144">
        <v>1</v>
      </c>
      <c r="O901" s="144"/>
      <c r="P901" s="144"/>
      <c r="Q901" s="144" t="s">
        <v>452</v>
      </c>
      <c r="R901" s="144" t="s">
        <v>8260</v>
      </c>
      <c r="S901" s="144"/>
      <c r="T901" s="144"/>
      <c r="U901" s="145"/>
      <c r="V901" s="145"/>
      <c r="W901" s="145"/>
      <c r="X901" s="144" t="s">
        <v>8261</v>
      </c>
      <c r="Y901" s="144" t="s">
        <v>8262</v>
      </c>
      <c r="Z901" s="144" t="str">
        <f ca="1">IFERROR(__xludf.DUMMYFUNCTION("IF(VLOOKUP($Y901, IMPORTRANGE(""https://docs.google.com/spreadsheets/d/1WsTKRjz8_fF2119Ff9dhKIIYXSaUEHzuWr8pBkxmwQQ/edit"", ""Form Responses 1!$B:$Z""),1, FALSE)=$Y901,""Yes"",""No"")"),"#N/A")</f>
        <v>#N/A</v>
      </c>
      <c r="AA901" s="144"/>
      <c r="AB901" s="144"/>
    </row>
    <row r="902" spans="1:28">
      <c r="A902" s="140" t="s">
        <v>529</v>
      </c>
      <c r="B902" s="140" t="s">
        <v>8263</v>
      </c>
      <c r="C902" s="140" t="s">
        <v>8264</v>
      </c>
      <c r="D902" s="140" t="s">
        <v>8265</v>
      </c>
      <c r="E902" s="140" t="s">
        <v>8266</v>
      </c>
      <c r="F902" s="140" t="s">
        <v>4</v>
      </c>
      <c r="G902" s="140">
        <v>1</v>
      </c>
      <c r="H902" s="140" t="s">
        <v>24</v>
      </c>
      <c r="I902" s="140" t="s">
        <v>727</v>
      </c>
      <c r="J902" s="140" t="s">
        <v>8267</v>
      </c>
      <c r="K902" s="140">
        <v>1</v>
      </c>
      <c r="L902" s="140" t="s">
        <v>1371</v>
      </c>
      <c r="M902" s="140" t="s">
        <v>8268</v>
      </c>
      <c r="N902" s="140">
        <v>1</v>
      </c>
      <c r="O902" s="140" t="s">
        <v>784</v>
      </c>
      <c r="P902" s="140">
        <v>500000</v>
      </c>
      <c r="Q902" s="140" t="s">
        <v>452</v>
      </c>
      <c r="R902" s="140" t="s">
        <v>8269</v>
      </c>
      <c r="S902" s="140"/>
      <c r="T902" s="140"/>
      <c r="U902" s="143"/>
      <c r="V902" s="143"/>
      <c r="W902" s="143"/>
      <c r="X902" s="140" t="s">
        <v>752</v>
      </c>
      <c r="Y902" s="140" t="s">
        <v>8270</v>
      </c>
      <c r="Z902" s="140" t="str">
        <f ca="1">IFERROR(__xludf.DUMMYFUNCTION("IF(VLOOKUP($Y902, IMPORTRANGE(""https://docs.google.com/spreadsheets/d/1WsTKRjz8_fF2119Ff9dhKIIYXSaUEHzuWr8pBkxmwQQ/edit"", ""Form Responses 1!$B:$Z""),1, FALSE)=$Y902,""Yes"",""No"")"),"#N/A")</f>
        <v>#N/A</v>
      </c>
      <c r="AA902" s="140"/>
      <c r="AB902" s="140"/>
    </row>
    <row r="903" spans="1:28">
      <c r="A903" s="144" t="s">
        <v>529</v>
      </c>
      <c r="B903" s="144" t="s">
        <v>8271</v>
      </c>
      <c r="C903" s="144" t="s">
        <v>8272</v>
      </c>
      <c r="D903" s="144" t="s">
        <v>8273</v>
      </c>
      <c r="E903" s="144" t="s">
        <v>8274</v>
      </c>
      <c r="F903" s="144" t="s">
        <v>4</v>
      </c>
      <c r="G903" s="144">
        <v>1</v>
      </c>
      <c r="H903" s="144" t="s">
        <v>24</v>
      </c>
      <c r="I903" s="144" t="s">
        <v>447</v>
      </c>
      <c r="J903" s="144" t="s">
        <v>8275</v>
      </c>
      <c r="K903" s="144">
        <v>1</v>
      </c>
      <c r="L903" s="144" t="s">
        <v>1371</v>
      </c>
      <c r="M903" s="144" t="s">
        <v>8276</v>
      </c>
      <c r="N903" s="144">
        <v>1</v>
      </c>
      <c r="O903" s="144"/>
      <c r="P903" s="144"/>
      <c r="Q903" s="144" t="s">
        <v>454</v>
      </c>
      <c r="R903" s="144" t="s">
        <v>452</v>
      </c>
      <c r="S903" s="144" t="s">
        <v>8277</v>
      </c>
      <c r="T903" s="144"/>
      <c r="U903" s="145"/>
      <c r="V903" s="145"/>
      <c r="W903" s="145"/>
      <c r="X903" s="144" t="s">
        <v>8278</v>
      </c>
      <c r="Y903" s="144" t="s">
        <v>8279</v>
      </c>
      <c r="Z903" s="144" t="str">
        <f ca="1">IFERROR(__xludf.DUMMYFUNCTION("IF(VLOOKUP($Y903, IMPORTRANGE(""https://docs.google.com/spreadsheets/d/1WsTKRjz8_fF2119Ff9dhKIIYXSaUEHzuWr8pBkxmwQQ/edit"", ""Form Responses 1!$B:$Z""),1, FALSE)=$Y903,""Yes"",""No"")"),"#N/A")</f>
        <v>#N/A</v>
      </c>
      <c r="AA903" s="144"/>
      <c r="AB903" s="144"/>
    </row>
    <row r="904" spans="1:28">
      <c r="A904" s="140" t="s">
        <v>529</v>
      </c>
      <c r="B904" s="140" t="s">
        <v>8280</v>
      </c>
      <c r="C904" s="140" t="s">
        <v>8281</v>
      </c>
      <c r="D904" s="140" t="s">
        <v>8282</v>
      </c>
      <c r="E904" s="140" t="s">
        <v>8283</v>
      </c>
      <c r="F904" s="140" t="s">
        <v>4</v>
      </c>
      <c r="G904" s="140">
        <v>1</v>
      </c>
      <c r="H904" s="140" t="s">
        <v>24</v>
      </c>
      <c r="I904" s="140" t="s">
        <v>725</v>
      </c>
      <c r="J904" s="140" t="s">
        <v>7191</v>
      </c>
      <c r="K904" s="140">
        <v>1</v>
      </c>
      <c r="L904" s="140" t="s">
        <v>1371</v>
      </c>
      <c r="M904" s="140" t="s">
        <v>8284</v>
      </c>
      <c r="N904" s="140">
        <v>1</v>
      </c>
      <c r="O904" s="140"/>
      <c r="P904" s="140"/>
      <c r="Q904" s="140" t="s">
        <v>452</v>
      </c>
      <c r="R904" s="140" t="s">
        <v>8285</v>
      </c>
      <c r="S904" s="140"/>
      <c r="T904" s="140"/>
      <c r="U904" s="143"/>
      <c r="V904" s="143"/>
      <c r="W904" s="143"/>
      <c r="X904" s="140" t="s">
        <v>8286</v>
      </c>
      <c r="Y904" s="140" t="s">
        <v>8287</v>
      </c>
      <c r="Z904" s="140" t="str">
        <f ca="1">IFERROR(__xludf.DUMMYFUNCTION("IF(VLOOKUP($Y904, IMPORTRANGE(""https://docs.google.com/spreadsheets/d/1WsTKRjz8_fF2119Ff9dhKIIYXSaUEHzuWr8pBkxmwQQ/edit"", ""Form Responses 1!$B:$Z""),1, FALSE)=$Y904,""Yes"",""No"")"),"#N/A")</f>
        <v>#N/A</v>
      </c>
      <c r="AA904" s="140"/>
      <c r="AB904" s="140"/>
    </row>
    <row r="905" spans="1:28">
      <c r="A905" s="144" t="s">
        <v>907</v>
      </c>
      <c r="B905" s="144" t="s">
        <v>8288</v>
      </c>
      <c r="C905" s="144" t="s">
        <v>8289</v>
      </c>
      <c r="D905" s="144" t="s">
        <v>8290</v>
      </c>
      <c r="E905" s="144" t="s">
        <v>8291</v>
      </c>
      <c r="F905" s="144" t="s">
        <v>4</v>
      </c>
      <c r="G905" s="144">
        <v>1</v>
      </c>
      <c r="H905" s="144" t="s">
        <v>24</v>
      </c>
      <c r="I905" s="144"/>
      <c r="J905" s="144" t="s">
        <v>8292</v>
      </c>
      <c r="K905" s="144">
        <v>1</v>
      </c>
      <c r="L905" s="144"/>
      <c r="M905" s="144" t="s">
        <v>8292</v>
      </c>
      <c r="N905" s="144">
        <v>1</v>
      </c>
      <c r="O905" s="144"/>
      <c r="P905" s="144"/>
      <c r="Q905" s="144" t="s">
        <v>452</v>
      </c>
      <c r="R905" s="144" t="s">
        <v>8293</v>
      </c>
      <c r="S905" s="144"/>
      <c r="T905" s="144"/>
      <c r="U905" s="145"/>
      <c r="V905" s="145"/>
      <c r="W905" s="145"/>
      <c r="X905" s="144" t="s">
        <v>8294</v>
      </c>
      <c r="Y905" s="144" t="s">
        <v>8295</v>
      </c>
      <c r="Z905" s="144" t="str">
        <f ca="1">IFERROR(__xludf.DUMMYFUNCTION("IF(VLOOKUP($Y905, IMPORTRANGE(""https://docs.google.com/spreadsheets/d/1WsTKRjz8_fF2119Ff9dhKIIYXSaUEHzuWr8pBkxmwQQ/edit"", ""Form Responses 1!$B:$Z""),1, FALSE)=$Y905,""Yes"",""No"")"),"#N/A")</f>
        <v>#N/A</v>
      </c>
      <c r="AA905" s="144"/>
      <c r="AB905" s="144"/>
    </row>
    <row r="906" spans="1:28">
      <c r="A906" s="140" t="s">
        <v>529</v>
      </c>
      <c r="B906" s="140" t="s">
        <v>8296</v>
      </c>
      <c r="C906" s="140" t="s">
        <v>8297</v>
      </c>
      <c r="D906" s="140" t="s">
        <v>8298</v>
      </c>
      <c r="E906" s="140" t="s">
        <v>8299</v>
      </c>
      <c r="F906" s="140" t="s">
        <v>4</v>
      </c>
      <c r="G906" s="140">
        <v>1</v>
      </c>
      <c r="H906" s="140" t="s">
        <v>24</v>
      </c>
      <c r="I906" s="140" t="s">
        <v>725</v>
      </c>
      <c r="J906" s="140" t="s">
        <v>8300</v>
      </c>
      <c r="K906" s="140">
        <v>1</v>
      </c>
      <c r="L906" s="140" t="s">
        <v>1045</v>
      </c>
      <c r="M906" s="140" t="s">
        <v>8301</v>
      </c>
      <c r="N906" s="140">
        <v>1</v>
      </c>
      <c r="O906" s="140"/>
      <c r="P906" s="140"/>
      <c r="Q906" s="140" t="s">
        <v>465</v>
      </c>
      <c r="R906" s="140" t="s">
        <v>8302</v>
      </c>
      <c r="S906" s="140"/>
      <c r="T906" s="140"/>
      <c r="U906" s="143"/>
      <c r="V906" s="143"/>
      <c r="W906" s="143"/>
      <c r="X906" s="140" t="s">
        <v>8303</v>
      </c>
      <c r="Y906" s="140" t="s">
        <v>8304</v>
      </c>
      <c r="Z906" s="140" t="str">
        <f ca="1">IFERROR(__xludf.DUMMYFUNCTION("IF(VLOOKUP($Y906, IMPORTRANGE(""https://docs.google.com/spreadsheets/d/1WsTKRjz8_fF2119Ff9dhKIIYXSaUEHzuWr8pBkxmwQQ/edit"", ""Form Responses 1!$B:$Z""),1, FALSE)=$Y906,""Yes"",""No"")"),"#N/A")</f>
        <v>#N/A</v>
      </c>
      <c r="AA906" s="140"/>
      <c r="AB906" s="140"/>
    </row>
    <row r="907" spans="1:28">
      <c r="A907" s="144" t="s">
        <v>529</v>
      </c>
      <c r="B907" s="144" t="s">
        <v>8305</v>
      </c>
      <c r="C907" s="144" t="s">
        <v>8306</v>
      </c>
      <c r="D907" s="144" t="s">
        <v>8307</v>
      </c>
      <c r="E907" s="144"/>
      <c r="F907" s="144" t="s">
        <v>4</v>
      </c>
      <c r="G907" s="144">
        <v>1</v>
      </c>
      <c r="H907" s="144" t="s">
        <v>24</v>
      </c>
      <c r="I907" s="144" t="s">
        <v>725</v>
      </c>
      <c r="J907" s="144" t="s">
        <v>8308</v>
      </c>
      <c r="K907" s="144">
        <v>1</v>
      </c>
      <c r="L907" s="144" t="s">
        <v>1045</v>
      </c>
      <c r="M907" s="144" t="s">
        <v>8309</v>
      </c>
      <c r="N907" s="144">
        <v>1</v>
      </c>
      <c r="O907" s="144" t="s">
        <v>2190</v>
      </c>
      <c r="P907" s="144">
        <v>500000</v>
      </c>
      <c r="Q907" s="144" t="s">
        <v>452</v>
      </c>
      <c r="R907" s="144" t="s">
        <v>8310</v>
      </c>
      <c r="S907" s="144"/>
      <c r="T907" s="144"/>
      <c r="U907" s="145"/>
      <c r="V907" s="145"/>
      <c r="W907" s="145"/>
      <c r="X907" s="144" t="s">
        <v>8311</v>
      </c>
      <c r="Y907" s="144" t="s">
        <v>8312</v>
      </c>
      <c r="Z907" s="144" t="str">
        <f ca="1">IFERROR(__xludf.DUMMYFUNCTION("IF(VLOOKUP($Y907, IMPORTRANGE(""https://docs.google.com/spreadsheets/d/1WsTKRjz8_fF2119Ff9dhKIIYXSaUEHzuWr8pBkxmwQQ/edit"", ""Form Responses 1!$B:$Z""),1, FALSE)=$Y907,""Yes"",""No"")"),"#N/A")</f>
        <v>#N/A</v>
      </c>
      <c r="AA907" s="144"/>
      <c r="AB907" s="144"/>
    </row>
    <row r="908" spans="1:28">
      <c r="A908" s="140" t="s">
        <v>529</v>
      </c>
      <c r="B908" s="140" t="s">
        <v>8313</v>
      </c>
      <c r="C908" s="140" t="s">
        <v>8314</v>
      </c>
      <c r="D908" s="140" t="s">
        <v>8315</v>
      </c>
      <c r="E908" s="140"/>
      <c r="F908" s="140" t="s">
        <v>3</v>
      </c>
      <c r="G908" s="140">
        <v>2.75</v>
      </c>
      <c r="H908" s="140" t="s">
        <v>24</v>
      </c>
      <c r="I908" s="140" t="s">
        <v>488</v>
      </c>
      <c r="J908" s="140" t="s">
        <v>8316</v>
      </c>
      <c r="K908" s="140">
        <v>3</v>
      </c>
      <c r="L908" s="140" t="s">
        <v>941</v>
      </c>
      <c r="M908" s="140" t="s">
        <v>8317</v>
      </c>
      <c r="N908" s="140">
        <v>2.5</v>
      </c>
      <c r="O908" s="140" t="s">
        <v>8318</v>
      </c>
      <c r="P908" s="140">
        <v>50000</v>
      </c>
      <c r="Q908" s="140" t="s">
        <v>452</v>
      </c>
      <c r="R908" s="140" t="s">
        <v>8319</v>
      </c>
      <c r="S908" s="140" t="s">
        <v>8320</v>
      </c>
      <c r="T908" s="140"/>
      <c r="U908" s="143"/>
      <c r="V908" s="143"/>
      <c r="W908" s="143"/>
      <c r="X908" s="140" t="s">
        <v>8321</v>
      </c>
      <c r="Y908" s="140" t="s">
        <v>8322</v>
      </c>
      <c r="Z908" s="140" t="str">
        <f ca="1">IFERROR(__xludf.DUMMYFUNCTION("IF(VLOOKUP($Y908, IMPORTRANGE(""https://docs.google.com/spreadsheets/d/1WsTKRjz8_fF2119Ff9dhKIIYXSaUEHzuWr8pBkxmwQQ/edit"", ""Form Responses 1!$B:$Z""),1, FALSE)=$Y908,""Yes"",""No"")"),"#N/A")</f>
        <v>#N/A</v>
      </c>
      <c r="AA908" s="140"/>
      <c r="AB908" s="140"/>
    </row>
    <row r="909" spans="1:28">
      <c r="A909" s="144" t="s">
        <v>484</v>
      </c>
      <c r="B909" s="144" t="s">
        <v>8323</v>
      </c>
      <c r="C909" s="144" t="s">
        <v>8324</v>
      </c>
      <c r="D909" s="144" t="s">
        <v>8325</v>
      </c>
      <c r="E909" s="144" t="s">
        <v>8326</v>
      </c>
      <c r="F909" s="144" t="s">
        <v>3</v>
      </c>
      <c r="G909" s="144">
        <v>2.5</v>
      </c>
      <c r="H909" s="144" t="s">
        <v>24</v>
      </c>
      <c r="I909" s="144" t="s">
        <v>460</v>
      </c>
      <c r="J909" s="144" t="s">
        <v>8327</v>
      </c>
      <c r="K909" s="144">
        <v>2</v>
      </c>
      <c r="L909" s="144" t="s">
        <v>488</v>
      </c>
      <c r="M909" s="144" t="s">
        <v>8328</v>
      </c>
      <c r="N909" s="144">
        <v>3</v>
      </c>
      <c r="O909" s="144" t="s">
        <v>784</v>
      </c>
      <c r="P909" s="144" t="s">
        <v>8329</v>
      </c>
      <c r="Q909" s="144" t="s">
        <v>452</v>
      </c>
      <c r="R909" s="144" t="s">
        <v>8330</v>
      </c>
      <c r="S909" s="144" t="s">
        <v>8331</v>
      </c>
      <c r="T909" s="144"/>
      <c r="U909" s="145"/>
      <c r="V909" s="145"/>
      <c r="W909" s="145"/>
      <c r="X909" s="144" t="s">
        <v>8332</v>
      </c>
      <c r="Y909" s="144" t="s">
        <v>8333</v>
      </c>
      <c r="Z909" s="144" t="str">
        <f ca="1">IFERROR(__xludf.DUMMYFUNCTION("IF(VLOOKUP($Y909, IMPORTRANGE(""https://docs.google.com/spreadsheets/d/1WsTKRjz8_fF2119Ff9dhKIIYXSaUEHzuWr8pBkxmwQQ/edit"", ""Form Responses 1!$B:$Z""),1, FALSE)=$Y909,""Yes"",""No"")"),"#N/A")</f>
        <v>#N/A</v>
      </c>
      <c r="AA909" s="144"/>
      <c r="AB909" s="144"/>
    </row>
    <row r="910" spans="1:28">
      <c r="A910" s="140" t="s">
        <v>529</v>
      </c>
      <c r="B910" s="140" t="s">
        <v>8334</v>
      </c>
      <c r="C910" s="140" t="s">
        <v>8335</v>
      </c>
      <c r="D910" s="140" t="s">
        <v>8336</v>
      </c>
      <c r="E910" s="140"/>
      <c r="F910" s="140" t="s">
        <v>3</v>
      </c>
      <c r="G910" s="140">
        <v>3</v>
      </c>
      <c r="H910" s="140" t="s">
        <v>24</v>
      </c>
      <c r="I910" s="140" t="s">
        <v>488</v>
      </c>
      <c r="J910" s="140" t="s">
        <v>8337</v>
      </c>
      <c r="K910" s="140">
        <v>3</v>
      </c>
      <c r="L910" s="140" t="s">
        <v>941</v>
      </c>
      <c r="M910" s="140"/>
      <c r="N910" s="140">
        <v>3</v>
      </c>
      <c r="O910" s="140" t="s">
        <v>451</v>
      </c>
      <c r="P910" s="140">
        <v>2000000</v>
      </c>
      <c r="Q910" s="140" t="s">
        <v>452</v>
      </c>
      <c r="R910" s="140" t="s">
        <v>8338</v>
      </c>
      <c r="S910" s="140"/>
      <c r="T910" s="140"/>
      <c r="U910" s="143"/>
      <c r="V910" s="143"/>
      <c r="W910" s="143"/>
      <c r="X910" s="140" t="s">
        <v>8339</v>
      </c>
      <c r="Y910" s="140" t="s">
        <v>8340</v>
      </c>
      <c r="Z910" s="140" t="str">
        <f ca="1">IFERROR(__xludf.DUMMYFUNCTION("IF(VLOOKUP($Y910, IMPORTRANGE(""https://docs.google.com/spreadsheets/d/1WsTKRjz8_fF2119Ff9dhKIIYXSaUEHzuWr8pBkxmwQQ/edit"", ""Form Responses 1!$B:$Z""),1, FALSE)=$Y910,""Yes"",""No"")"),"#N/A")</f>
        <v>#N/A</v>
      </c>
      <c r="AA910" s="140"/>
      <c r="AB910" s="140"/>
    </row>
    <row r="911" spans="1:28">
      <c r="A911" s="144" t="s">
        <v>598</v>
      </c>
      <c r="B911" s="144" t="s">
        <v>8341</v>
      </c>
      <c r="C911" s="144" t="s">
        <v>8342</v>
      </c>
      <c r="D911" s="144" t="s">
        <v>8343</v>
      </c>
      <c r="E911" s="144" t="s">
        <v>8344</v>
      </c>
      <c r="F911" s="144" t="s">
        <v>3</v>
      </c>
      <c r="G911" s="144">
        <v>3.25</v>
      </c>
      <c r="H911" s="144" t="s">
        <v>24</v>
      </c>
      <c r="I911" s="144" t="s">
        <v>725</v>
      </c>
      <c r="J911" s="144" t="s">
        <v>8345</v>
      </c>
      <c r="K911" s="144">
        <v>3.5</v>
      </c>
      <c r="L911" s="144" t="s">
        <v>488</v>
      </c>
      <c r="M911" s="144" t="s">
        <v>8346</v>
      </c>
      <c r="N911" s="144">
        <v>3</v>
      </c>
      <c r="O911" s="144"/>
      <c r="P911" s="144"/>
      <c r="Q911" s="144" t="s">
        <v>452</v>
      </c>
      <c r="R911" s="144" t="s">
        <v>8347</v>
      </c>
      <c r="S911" s="144"/>
      <c r="T911" s="144"/>
      <c r="U911" s="145"/>
      <c r="V911" s="145"/>
      <c r="W911" s="145"/>
      <c r="X911" s="144" t="s">
        <v>8348</v>
      </c>
      <c r="Y911" s="144" t="s">
        <v>8349</v>
      </c>
      <c r="Z911" s="144" t="str">
        <f ca="1">IFERROR(__xludf.DUMMYFUNCTION("IF(VLOOKUP($Y911, IMPORTRANGE(""https://docs.google.com/spreadsheets/d/1WsTKRjz8_fF2119Ff9dhKIIYXSaUEHzuWr8pBkxmwQQ/edit"", ""Form Responses 1!$B:$Z""),1, FALSE)=$Y911,""Yes"",""No"")"),"#N/A")</f>
        <v>#N/A</v>
      </c>
      <c r="AA911" s="144"/>
      <c r="AB911" s="144"/>
    </row>
    <row r="912" spans="1:28">
      <c r="A912" s="140" t="s">
        <v>503</v>
      </c>
      <c r="B912" s="140" t="s">
        <v>8350</v>
      </c>
      <c r="C912" s="140" t="s">
        <v>8351</v>
      </c>
      <c r="D912" s="140" t="s">
        <v>8352</v>
      </c>
      <c r="E912" s="140" t="s">
        <v>8353</v>
      </c>
      <c r="F912" s="140" t="s">
        <v>3</v>
      </c>
      <c r="G912" s="140">
        <v>1.5</v>
      </c>
      <c r="H912" s="140" t="s">
        <v>24</v>
      </c>
      <c r="I912" s="140" t="s">
        <v>460</v>
      </c>
      <c r="J912" s="140"/>
      <c r="K912" s="140">
        <v>1</v>
      </c>
      <c r="L912" s="140" t="s">
        <v>462</v>
      </c>
      <c r="M912" s="140" t="s">
        <v>8354</v>
      </c>
      <c r="N912" s="140">
        <v>2</v>
      </c>
      <c r="O912" s="140" t="s">
        <v>451</v>
      </c>
      <c r="P912" s="142">
        <v>750000</v>
      </c>
      <c r="Q912" s="140" t="s">
        <v>452</v>
      </c>
      <c r="R912" s="140" t="s">
        <v>8355</v>
      </c>
      <c r="S912" s="140"/>
      <c r="T912" s="140"/>
      <c r="U912" s="143"/>
      <c r="V912" s="143"/>
      <c r="W912" s="143"/>
      <c r="X912" s="140" t="s">
        <v>8356</v>
      </c>
      <c r="Y912" s="140" t="s">
        <v>8357</v>
      </c>
      <c r="Z912" s="140" t="str">
        <f ca="1">IFERROR(__xludf.DUMMYFUNCTION("IF(VLOOKUP($Y912, IMPORTRANGE(""https://docs.google.com/spreadsheets/d/1WsTKRjz8_fF2119Ff9dhKIIYXSaUEHzuWr8pBkxmwQQ/edit"", ""Form Responses 1!$B:$Z""),1, FALSE)=$Y912,""Yes"",""No"")"),"#N/A")</f>
        <v>#N/A</v>
      </c>
      <c r="AA912" s="140"/>
      <c r="AB912" s="140"/>
    </row>
    <row r="913" spans="1:28">
      <c r="A913" s="144" t="s">
        <v>598</v>
      </c>
      <c r="B913" s="144" t="s">
        <v>8358</v>
      </c>
      <c r="C913" s="144" t="s">
        <v>8359</v>
      </c>
      <c r="D913" s="144" t="s">
        <v>8360</v>
      </c>
      <c r="E913" s="144" t="s">
        <v>8361</v>
      </c>
      <c r="F913" s="144" t="s">
        <v>3</v>
      </c>
      <c r="G913" s="144">
        <v>3.5</v>
      </c>
      <c r="H913" s="144" t="s">
        <v>24</v>
      </c>
      <c r="I913" s="144" t="s">
        <v>460</v>
      </c>
      <c r="J913" s="144" t="s">
        <v>8362</v>
      </c>
      <c r="K913" s="144">
        <v>3</v>
      </c>
      <c r="L913" s="144" t="s">
        <v>462</v>
      </c>
      <c r="M913" s="144" t="s">
        <v>8363</v>
      </c>
      <c r="N913" s="144">
        <v>4</v>
      </c>
      <c r="O913" s="144" t="s">
        <v>8364</v>
      </c>
      <c r="P913" s="147">
        <v>5000000</v>
      </c>
      <c r="Q913" s="144" t="s">
        <v>452</v>
      </c>
      <c r="R913" s="144" t="s">
        <v>452</v>
      </c>
      <c r="S913" s="144"/>
      <c r="T913" s="144" t="s">
        <v>8365</v>
      </c>
      <c r="U913" s="145"/>
      <c r="V913" s="145"/>
      <c r="W913" s="145"/>
      <c r="X913" s="144" t="s">
        <v>8366</v>
      </c>
      <c r="Y913" s="144" t="s">
        <v>8367</v>
      </c>
      <c r="Z913" s="144" t="str">
        <f ca="1">IFERROR(__xludf.DUMMYFUNCTION("IF(VLOOKUP($Y913, IMPORTRANGE(""https://docs.google.com/spreadsheets/d/1WsTKRjz8_fF2119Ff9dhKIIYXSaUEHzuWr8pBkxmwQQ/edit"", ""Form Responses 1!$B:$Z""),1, FALSE)=$Y913,""Yes"",""No"")"),"#N/A")</f>
        <v>#N/A</v>
      </c>
      <c r="AA913" s="144"/>
      <c r="AB913" s="144"/>
    </row>
    <row r="914" spans="1:28">
      <c r="A914" s="140" t="s">
        <v>443</v>
      </c>
      <c r="B914" s="140" t="s">
        <v>8368</v>
      </c>
      <c r="C914" s="140" t="s">
        <v>8369</v>
      </c>
      <c r="D914" s="140" t="s">
        <v>8370</v>
      </c>
      <c r="E914" s="140" t="s">
        <v>8371</v>
      </c>
      <c r="F914" s="140" t="s">
        <v>3</v>
      </c>
      <c r="G914" s="140">
        <v>2.5</v>
      </c>
      <c r="H914" s="140" t="s">
        <v>24</v>
      </c>
      <c r="I914" s="140" t="s">
        <v>460</v>
      </c>
      <c r="J914" s="140" t="s">
        <v>8372</v>
      </c>
      <c r="K914" s="140">
        <v>2</v>
      </c>
      <c r="L914" s="140" t="s">
        <v>488</v>
      </c>
      <c r="M914" s="140" t="s">
        <v>8373</v>
      </c>
      <c r="N914" s="140">
        <v>3</v>
      </c>
      <c r="O914" s="140" t="s">
        <v>451</v>
      </c>
      <c r="P914" s="140" t="s">
        <v>8374</v>
      </c>
      <c r="Q914" s="140" t="s">
        <v>452</v>
      </c>
      <c r="R914" s="140" t="s">
        <v>575</v>
      </c>
      <c r="S914" s="140"/>
      <c r="T914" s="140"/>
      <c r="U914" s="143"/>
      <c r="V914" s="143"/>
      <c r="W914" s="143"/>
      <c r="X914" s="140" t="s">
        <v>8375</v>
      </c>
      <c r="Y914" s="140" t="s">
        <v>8376</v>
      </c>
      <c r="Z914" s="140" t="str">
        <f ca="1">IFERROR(__xludf.DUMMYFUNCTION("IF(VLOOKUP($Y914, IMPORTRANGE(""https://docs.google.com/spreadsheets/d/1WsTKRjz8_fF2119Ff9dhKIIYXSaUEHzuWr8pBkxmwQQ/edit"", ""Form Responses 1!$B:$Z""),1, FALSE)=$Y914,""Yes"",""No"")"),"#N/A")</f>
        <v>#N/A</v>
      </c>
      <c r="AA914" s="140"/>
      <c r="AB914" s="140"/>
    </row>
    <row r="915" spans="1:28">
      <c r="A915" s="144" t="s">
        <v>598</v>
      </c>
      <c r="B915" s="144" t="s">
        <v>8377</v>
      </c>
      <c r="C915" s="144" t="s">
        <v>8378</v>
      </c>
      <c r="D915" s="144" t="s">
        <v>8379</v>
      </c>
      <c r="E915" s="144" t="s">
        <v>8380</v>
      </c>
      <c r="F915" s="144" t="s">
        <v>3</v>
      </c>
      <c r="G915" s="144">
        <v>2</v>
      </c>
      <c r="H915" s="144" t="s">
        <v>24</v>
      </c>
      <c r="I915" s="144" t="s">
        <v>460</v>
      </c>
      <c r="J915" s="144" t="s">
        <v>8381</v>
      </c>
      <c r="K915" s="144">
        <v>2</v>
      </c>
      <c r="L915" s="144" t="s">
        <v>941</v>
      </c>
      <c r="M915" s="144" t="s">
        <v>8382</v>
      </c>
      <c r="N915" s="144">
        <v>2</v>
      </c>
      <c r="O915" s="144" t="s">
        <v>451</v>
      </c>
      <c r="P915" s="147">
        <v>1200000</v>
      </c>
      <c r="Q915" s="144" t="s">
        <v>452</v>
      </c>
      <c r="R915" s="144" t="s">
        <v>8383</v>
      </c>
      <c r="S915" s="144"/>
      <c r="T915" s="144"/>
      <c r="U915" s="145"/>
      <c r="V915" s="145"/>
      <c r="W915" s="145"/>
      <c r="X915" s="144" t="s">
        <v>8384</v>
      </c>
      <c r="Y915" s="144" t="s">
        <v>8385</v>
      </c>
      <c r="Z915" s="144" t="str">
        <f ca="1">IFERROR(__xludf.DUMMYFUNCTION("IF(VLOOKUP($Y915, IMPORTRANGE(""https://docs.google.com/spreadsheets/d/1WsTKRjz8_fF2119Ff9dhKIIYXSaUEHzuWr8pBkxmwQQ/edit"", ""Form Responses 1!$B:$Z""),1, FALSE)=$Y915,""Yes"",""No"")"),"#N/A")</f>
        <v>#N/A</v>
      </c>
      <c r="AA915" s="144"/>
      <c r="AB915" s="144"/>
    </row>
    <row r="916" spans="1:28">
      <c r="A916" s="140" t="s">
        <v>529</v>
      </c>
      <c r="B916" s="140" t="s">
        <v>8386</v>
      </c>
      <c r="C916" s="140" t="s">
        <v>8387</v>
      </c>
      <c r="D916" s="140" t="s">
        <v>8388</v>
      </c>
      <c r="E916" s="140" t="s">
        <v>8389</v>
      </c>
      <c r="F916" s="140" t="s">
        <v>3</v>
      </c>
      <c r="G916" s="140">
        <v>3.75</v>
      </c>
      <c r="H916" s="140" t="s">
        <v>24</v>
      </c>
      <c r="I916" s="140" t="s">
        <v>488</v>
      </c>
      <c r="J916" s="140" t="s">
        <v>8390</v>
      </c>
      <c r="K916" s="140">
        <v>3.5</v>
      </c>
      <c r="L916" s="140" t="s">
        <v>941</v>
      </c>
      <c r="M916" s="140" t="s">
        <v>8391</v>
      </c>
      <c r="N916" s="140">
        <v>4</v>
      </c>
      <c r="O916" s="140" t="s">
        <v>451</v>
      </c>
      <c r="P916" s="148">
        <v>1500000</v>
      </c>
      <c r="Q916" s="140" t="s">
        <v>452</v>
      </c>
      <c r="R916" s="140" t="s">
        <v>8392</v>
      </c>
      <c r="S916" s="140"/>
      <c r="T916" s="140" t="s">
        <v>8393</v>
      </c>
      <c r="U916" s="143"/>
      <c r="V916" s="143"/>
      <c r="W916" s="143"/>
      <c r="X916" s="140" t="s">
        <v>8394</v>
      </c>
      <c r="Y916" s="140" t="s">
        <v>8395</v>
      </c>
      <c r="Z916" s="140" t="str">
        <f ca="1">IFERROR(__xludf.DUMMYFUNCTION("IF(VLOOKUP($Y916, IMPORTRANGE(""https://docs.google.com/spreadsheets/d/1WsTKRjz8_fF2119Ff9dhKIIYXSaUEHzuWr8pBkxmwQQ/edit"", ""Form Responses 1!$B:$Z""),1, FALSE)=$Y916,""Yes"",""No"")"),"#N/A")</f>
        <v>#N/A</v>
      </c>
      <c r="AA916" s="140"/>
      <c r="AB916" s="140"/>
    </row>
    <row r="917" spans="1:28">
      <c r="A917" s="144" t="s">
        <v>529</v>
      </c>
      <c r="B917" s="144" t="s">
        <v>8396</v>
      </c>
      <c r="C917" s="144" t="s">
        <v>8397</v>
      </c>
      <c r="D917" s="144" t="s">
        <v>8398</v>
      </c>
      <c r="E917" s="144"/>
      <c r="F917" s="144" t="s">
        <v>3</v>
      </c>
      <c r="G917" s="144">
        <v>2.75</v>
      </c>
      <c r="H917" s="144" t="s">
        <v>24</v>
      </c>
      <c r="I917" s="144" t="s">
        <v>488</v>
      </c>
      <c r="J917" s="144" t="s">
        <v>8399</v>
      </c>
      <c r="K917" s="144">
        <v>2.5</v>
      </c>
      <c r="L917" s="144" t="s">
        <v>941</v>
      </c>
      <c r="M917" s="144" t="s">
        <v>8400</v>
      </c>
      <c r="N917" s="144">
        <v>3</v>
      </c>
      <c r="O917" s="144" t="s">
        <v>2152</v>
      </c>
      <c r="P917" s="144" t="s">
        <v>8401</v>
      </c>
      <c r="Q917" s="144" t="s">
        <v>452</v>
      </c>
      <c r="R917" s="144" t="s">
        <v>8402</v>
      </c>
      <c r="S917" s="144"/>
      <c r="T917" s="144"/>
      <c r="U917" s="145"/>
      <c r="V917" s="145"/>
      <c r="W917" s="145"/>
      <c r="X917" s="144" t="s">
        <v>8403</v>
      </c>
      <c r="Y917" s="144" t="s">
        <v>8404</v>
      </c>
      <c r="Z917" s="144" t="str">
        <f ca="1">IFERROR(__xludf.DUMMYFUNCTION("IF(VLOOKUP($Y917, IMPORTRANGE(""https://docs.google.com/spreadsheets/d/1WsTKRjz8_fF2119Ff9dhKIIYXSaUEHzuWr8pBkxmwQQ/edit"", ""Form Responses 1!$B:$Z""),1, FALSE)=$Y917,""Yes"",""No"")"),"#N/A")</f>
        <v>#N/A</v>
      </c>
      <c r="AA917" s="144"/>
      <c r="AB917" s="144"/>
    </row>
    <row r="918" spans="1:28">
      <c r="A918" s="140" t="s">
        <v>598</v>
      </c>
      <c r="B918" s="140" t="s">
        <v>8405</v>
      </c>
      <c r="C918" s="140" t="s">
        <v>8406</v>
      </c>
      <c r="D918" s="140" t="s">
        <v>8407</v>
      </c>
      <c r="E918" s="140" t="s">
        <v>8408</v>
      </c>
      <c r="F918" s="140" t="s">
        <v>3</v>
      </c>
      <c r="G918" s="140">
        <v>2</v>
      </c>
      <c r="H918" s="140" t="s">
        <v>24</v>
      </c>
      <c r="I918" s="140" t="s">
        <v>460</v>
      </c>
      <c r="J918" s="140" t="s">
        <v>8409</v>
      </c>
      <c r="K918" s="140">
        <v>2</v>
      </c>
      <c r="L918" s="140" t="s">
        <v>462</v>
      </c>
      <c r="M918" s="140" t="s">
        <v>8410</v>
      </c>
      <c r="N918" s="140">
        <v>2</v>
      </c>
      <c r="O918" s="140"/>
      <c r="P918" s="140"/>
      <c r="Q918" s="140" t="s">
        <v>452</v>
      </c>
      <c r="R918" s="140" t="s">
        <v>8411</v>
      </c>
      <c r="S918" s="140"/>
      <c r="T918" s="140"/>
      <c r="U918" s="143"/>
      <c r="V918" s="143"/>
      <c r="W918" s="143"/>
      <c r="X918" s="140" t="s">
        <v>8412</v>
      </c>
      <c r="Y918" s="140" t="s">
        <v>8413</v>
      </c>
      <c r="Z918" s="140" t="str">
        <f ca="1">IFERROR(__xludf.DUMMYFUNCTION("IF(VLOOKUP($Y918, IMPORTRANGE(""https://docs.google.com/spreadsheets/d/1WsTKRjz8_fF2119Ff9dhKIIYXSaUEHzuWr8pBkxmwQQ/edit"", ""Form Responses 1!$B:$Z""),1, FALSE)=$Y918,""Yes"",""No"")"),"#N/A")</f>
        <v>#N/A</v>
      </c>
      <c r="AA918" s="140"/>
      <c r="AB918" s="140"/>
    </row>
    <row r="919" spans="1:28">
      <c r="A919" s="144" t="s">
        <v>598</v>
      </c>
      <c r="B919" s="144" t="s">
        <v>8414</v>
      </c>
      <c r="C919" s="144" t="s">
        <v>8415</v>
      </c>
      <c r="D919" s="144" t="s">
        <v>8416</v>
      </c>
      <c r="E919" s="144" t="s">
        <v>8417</v>
      </c>
      <c r="F919" s="144" t="s">
        <v>3</v>
      </c>
      <c r="G919" s="144">
        <v>2</v>
      </c>
      <c r="H919" s="144" t="s">
        <v>24</v>
      </c>
      <c r="I919" s="144" t="s">
        <v>460</v>
      </c>
      <c r="J919" s="144" t="s">
        <v>8418</v>
      </c>
      <c r="K919" s="144">
        <v>2</v>
      </c>
      <c r="L919" s="144" t="s">
        <v>941</v>
      </c>
      <c r="M919" s="144"/>
      <c r="N919" s="144">
        <v>2</v>
      </c>
      <c r="O919" s="144"/>
      <c r="P919" s="144"/>
      <c r="Q919" s="144" t="s">
        <v>452</v>
      </c>
      <c r="R919" s="144" t="s">
        <v>8419</v>
      </c>
      <c r="S919" s="144"/>
      <c r="T919" s="144"/>
      <c r="U919" s="145"/>
      <c r="V919" s="145"/>
      <c r="W919" s="145"/>
      <c r="X919" s="144" t="s">
        <v>8420</v>
      </c>
      <c r="Y919" s="144" t="s">
        <v>8421</v>
      </c>
      <c r="Z919" s="144" t="str">
        <f ca="1">IFERROR(__xludf.DUMMYFUNCTION("IF(VLOOKUP($Y919, IMPORTRANGE(""https://docs.google.com/spreadsheets/d/1WsTKRjz8_fF2119Ff9dhKIIYXSaUEHzuWr8pBkxmwQQ/edit"", ""Form Responses 1!$B:$Z""),1, FALSE)=$Y919,""Yes"",""No"")"),"#N/A")</f>
        <v>#N/A</v>
      </c>
      <c r="AA919" s="144"/>
      <c r="AB919" s="144"/>
    </row>
    <row r="920" spans="1:28">
      <c r="A920" s="140" t="s">
        <v>443</v>
      </c>
      <c r="B920" s="140" t="s">
        <v>8422</v>
      </c>
      <c r="C920" s="140" t="s">
        <v>8423</v>
      </c>
      <c r="D920" s="140" t="s">
        <v>8424</v>
      </c>
      <c r="E920" s="140" t="s">
        <v>8425</v>
      </c>
      <c r="F920" s="140" t="s">
        <v>3</v>
      </c>
      <c r="G920" s="140">
        <v>2.75</v>
      </c>
      <c r="H920" s="140" t="s">
        <v>24</v>
      </c>
      <c r="I920" s="140" t="s">
        <v>460</v>
      </c>
      <c r="J920" s="140" t="s">
        <v>8426</v>
      </c>
      <c r="K920" s="140">
        <v>2.5</v>
      </c>
      <c r="L920" s="140" t="s">
        <v>488</v>
      </c>
      <c r="M920" s="140"/>
      <c r="N920" s="140">
        <v>3</v>
      </c>
      <c r="O920" s="140" t="s">
        <v>451</v>
      </c>
      <c r="P920" s="148">
        <v>700000</v>
      </c>
      <c r="Q920" s="140" t="s">
        <v>452</v>
      </c>
      <c r="R920" s="140" t="s">
        <v>8427</v>
      </c>
      <c r="S920" s="140" t="s">
        <v>8428</v>
      </c>
      <c r="T920" s="140"/>
      <c r="U920" s="143"/>
      <c r="V920" s="143"/>
      <c r="W920" s="143"/>
      <c r="X920" s="140" t="s">
        <v>8429</v>
      </c>
      <c r="Y920" s="140" t="s">
        <v>8430</v>
      </c>
      <c r="Z920" s="140" t="str">
        <f ca="1">IFERROR(__xludf.DUMMYFUNCTION("IF(VLOOKUP($Y920, IMPORTRANGE(""https://docs.google.com/spreadsheets/d/1WsTKRjz8_fF2119Ff9dhKIIYXSaUEHzuWr8pBkxmwQQ/edit"", ""Form Responses 1!$B:$Z""),1, FALSE)=$Y920,""Yes"",""No"")"),"#N/A")</f>
        <v>#N/A</v>
      </c>
      <c r="AA920" s="140"/>
      <c r="AB920" s="140"/>
    </row>
    <row r="921" spans="1:28">
      <c r="A921" s="144" t="s">
        <v>443</v>
      </c>
      <c r="B921" s="144" t="s">
        <v>8431</v>
      </c>
      <c r="C921" s="144" t="s">
        <v>8432</v>
      </c>
      <c r="D921" s="144" t="s">
        <v>8433</v>
      </c>
      <c r="E921" s="144" t="s">
        <v>8434</v>
      </c>
      <c r="F921" s="144" t="s">
        <v>3</v>
      </c>
      <c r="G921" s="144">
        <v>2</v>
      </c>
      <c r="H921" s="144" t="s">
        <v>24</v>
      </c>
      <c r="I921" s="144" t="s">
        <v>460</v>
      </c>
      <c r="J921" s="144" t="s">
        <v>8435</v>
      </c>
      <c r="K921" s="144">
        <v>2</v>
      </c>
      <c r="L921" s="144" t="s">
        <v>941</v>
      </c>
      <c r="M921" s="144"/>
      <c r="N921" s="144">
        <v>2</v>
      </c>
      <c r="O921" s="144" t="s">
        <v>478</v>
      </c>
      <c r="P921" s="144" t="s">
        <v>8436</v>
      </c>
      <c r="Q921" s="144" t="s">
        <v>452</v>
      </c>
      <c r="R921" s="144" t="s">
        <v>452</v>
      </c>
      <c r="S921" s="144"/>
      <c r="T921" s="144"/>
      <c r="U921" s="145"/>
      <c r="V921" s="145"/>
      <c r="W921" s="145"/>
      <c r="X921" s="144" t="s">
        <v>8437</v>
      </c>
      <c r="Y921" s="144" t="s">
        <v>8438</v>
      </c>
      <c r="Z921" s="144" t="str">
        <f ca="1">IFERROR(__xludf.DUMMYFUNCTION("IF(VLOOKUP($Y921, IMPORTRANGE(""https://docs.google.com/spreadsheets/d/1WsTKRjz8_fF2119Ff9dhKIIYXSaUEHzuWr8pBkxmwQQ/edit"", ""Form Responses 1!$B:$Z""),1, FALSE)=$Y921,""Yes"",""No"")"),"#N/A")</f>
        <v>#N/A</v>
      </c>
      <c r="AA921" s="144"/>
      <c r="AB921" s="144"/>
    </row>
    <row r="922" spans="1:28">
      <c r="A922" s="140" t="s">
        <v>484</v>
      </c>
      <c r="B922" s="140" t="s">
        <v>8439</v>
      </c>
      <c r="C922" s="140" t="s">
        <v>8440</v>
      </c>
      <c r="D922" s="140" t="s">
        <v>8441</v>
      </c>
      <c r="E922" s="140" t="s">
        <v>8442</v>
      </c>
      <c r="F922" s="140" t="s">
        <v>3</v>
      </c>
      <c r="G922" s="140">
        <v>2.5</v>
      </c>
      <c r="H922" s="140" t="s">
        <v>24</v>
      </c>
      <c r="I922" s="140" t="s">
        <v>460</v>
      </c>
      <c r="J922" s="140" t="s">
        <v>8443</v>
      </c>
      <c r="K922" s="140">
        <v>2</v>
      </c>
      <c r="L922" s="140" t="s">
        <v>462</v>
      </c>
      <c r="M922" s="140" t="s">
        <v>8444</v>
      </c>
      <c r="N922" s="140">
        <v>3</v>
      </c>
      <c r="O922" s="140" t="s">
        <v>923</v>
      </c>
      <c r="P922" s="142">
        <v>5000000</v>
      </c>
      <c r="Q922" s="140" t="s">
        <v>454</v>
      </c>
      <c r="R922" s="140" t="s">
        <v>8445</v>
      </c>
      <c r="S922" s="140"/>
      <c r="T922" s="140" t="s">
        <v>8446</v>
      </c>
      <c r="U922" s="143"/>
      <c r="V922" s="143"/>
      <c r="W922" s="143"/>
      <c r="X922" s="140" t="s">
        <v>1020</v>
      </c>
      <c r="Y922" s="140" t="s">
        <v>8447</v>
      </c>
      <c r="Z922" s="140" t="str">
        <f ca="1">IFERROR(__xludf.DUMMYFUNCTION("IF(VLOOKUP($Y922, IMPORTRANGE(""https://docs.google.com/spreadsheets/d/1WsTKRjz8_fF2119Ff9dhKIIYXSaUEHzuWr8pBkxmwQQ/edit"", ""Form Responses 1!$B:$Z""),1, FALSE)=$Y922,""Yes"",""No"")"),"#N/A")</f>
        <v>#N/A</v>
      </c>
      <c r="AA922" s="140"/>
      <c r="AB922" s="140"/>
    </row>
    <row r="923" spans="1:28">
      <c r="A923" s="144" t="s">
        <v>471</v>
      </c>
      <c r="B923" s="144" t="s">
        <v>8448</v>
      </c>
      <c r="C923" s="144" t="s">
        <v>8449</v>
      </c>
      <c r="D923" s="144" t="s">
        <v>8450</v>
      </c>
      <c r="E923" s="144" t="s">
        <v>8451</v>
      </c>
      <c r="F923" s="144" t="s">
        <v>3</v>
      </c>
      <c r="G923" s="144">
        <v>1</v>
      </c>
      <c r="H923" s="144" t="s">
        <v>24</v>
      </c>
      <c r="I923" s="144" t="s">
        <v>460</v>
      </c>
      <c r="J923" s="144" t="s">
        <v>8452</v>
      </c>
      <c r="K923" s="144">
        <v>1</v>
      </c>
      <c r="L923" s="144" t="s">
        <v>488</v>
      </c>
      <c r="M923" s="144"/>
      <c r="N923" s="144">
        <v>1</v>
      </c>
      <c r="O923" s="144" t="s">
        <v>8453</v>
      </c>
      <c r="P923" s="144" t="s">
        <v>8454</v>
      </c>
      <c r="Q923" s="144" t="s">
        <v>465</v>
      </c>
      <c r="R923" s="144" t="s">
        <v>8455</v>
      </c>
      <c r="S923" s="144"/>
      <c r="T923" s="144"/>
      <c r="U923" s="145"/>
      <c r="V923" s="145"/>
      <c r="W923" s="145"/>
      <c r="X923" s="144" t="s">
        <v>8456</v>
      </c>
      <c r="Y923" s="144" t="s">
        <v>8457</v>
      </c>
      <c r="Z923" s="144" t="str">
        <f ca="1">IFERROR(__xludf.DUMMYFUNCTION("IF(VLOOKUP($Y923, IMPORTRANGE(""https://docs.google.com/spreadsheets/d/1WsTKRjz8_fF2119Ff9dhKIIYXSaUEHzuWr8pBkxmwQQ/edit"", ""Form Responses 1!$B:$Z""),1, FALSE)=$Y923,""Yes"",""No"")"),"#N/A")</f>
        <v>#N/A</v>
      </c>
      <c r="AA923" s="144"/>
      <c r="AB923" s="144"/>
    </row>
    <row r="924" spans="1:28">
      <c r="A924" s="140" t="s">
        <v>529</v>
      </c>
      <c r="B924" s="140" t="s">
        <v>8458</v>
      </c>
      <c r="C924" s="140" t="s">
        <v>8459</v>
      </c>
      <c r="D924" s="140" t="s">
        <v>8460</v>
      </c>
      <c r="E924" s="140" t="s">
        <v>8461</v>
      </c>
      <c r="F924" s="140" t="s">
        <v>3</v>
      </c>
      <c r="G924" s="140">
        <v>1</v>
      </c>
      <c r="H924" s="140" t="s">
        <v>24</v>
      </c>
      <c r="I924" s="140" t="s">
        <v>460</v>
      </c>
      <c r="J924" s="140" t="s">
        <v>8462</v>
      </c>
      <c r="K924" s="140">
        <v>1</v>
      </c>
      <c r="L924" s="140" t="s">
        <v>462</v>
      </c>
      <c r="M924" s="140" t="s">
        <v>8463</v>
      </c>
      <c r="N924" s="140">
        <v>1</v>
      </c>
      <c r="O924" s="140"/>
      <c r="P924" s="140"/>
      <c r="Q924" s="140" t="s">
        <v>452</v>
      </c>
      <c r="R924" s="140" t="s">
        <v>452</v>
      </c>
      <c r="S924" s="140"/>
      <c r="T924" s="140"/>
      <c r="U924" s="143"/>
      <c r="V924" s="143"/>
      <c r="W924" s="143"/>
      <c r="X924" s="140" t="s">
        <v>8464</v>
      </c>
      <c r="Y924" s="140" t="s">
        <v>8465</v>
      </c>
      <c r="Z924" s="140" t="str">
        <f ca="1">IFERROR(__xludf.DUMMYFUNCTION("IF(VLOOKUP($Y924, IMPORTRANGE(""https://docs.google.com/spreadsheets/d/1WsTKRjz8_fF2119Ff9dhKIIYXSaUEHzuWr8pBkxmwQQ/edit"", ""Form Responses 1!$B:$Z""),1, FALSE)=$Y924,""Yes"",""No"")"),"#N/A")</f>
        <v>#N/A</v>
      </c>
      <c r="AA924" s="140"/>
      <c r="AB924" s="140"/>
    </row>
    <row r="925" spans="1:28">
      <c r="A925" s="144" t="s">
        <v>484</v>
      </c>
      <c r="B925" s="144" t="s">
        <v>8466</v>
      </c>
      <c r="C925" s="144" t="s">
        <v>8467</v>
      </c>
      <c r="D925" s="144" t="s">
        <v>8468</v>
      </c>
      <c r="E925" s="144" t="s">
        <v>8469</v>
      </c>
      <c r="F925" s="144" t="s">
        <v>3</v>
      </c>
      <c r="G925" s="144">
        <v>1.5</v>
      </c>
      <c r="H925" s="144" t="s">
        <v>24</v>
      </c>
      <c r="I925" s="144" t="s">
        <v>460</v>
      </c>
      <c r="J925" s="144" t="s">
        <v>8470</v>
      </c>
      <c r="K925" s="144">
        <v>1</v>
      </c>
      <c r="L925" s="144" t="s">
        <v>488</v>
      </c>
      <c r="M925" s="144"/>
      <c r="N925" s="144">
        <v>2</v>
      </c>
      <c r="O925" s="144"/>
      <c r="P925" s="144"/>
      <c r="Q925" s="144" t="s">
        <v>452</v>
      </c>
      <c r="R925" s="144" t="s">
        <v>575</v>
      </c>
      <c r="S925" s="144" t="s">
        <v>8471</v>
      </c>
      <c r="T925" s="144"/>
      <c r="U925" s="145"/>
      <c r="V925" s="145"/>
      <c r="W925" s="145"/>
      <c r="X925" s="144" t="s">
        <v>8472</v>
      </c>
      <c r="Y925" s="144" t="s">
        <v>8473</v>
      </c>
      <c r="Z925" s="144" t="str">
        <f ca="1">IFERROR(__xludf.DUMMYFUNCTION("IF(VLOOKUP($Y925, IMPORTRANGE(""https://docs.google.com/spreadsheets/d/1WsTKRjz8_fF2119Ff9dhKIIYXSaUEHzuWr8pBkxmwQQ/edit"", ""Form Responses 1!$B:$Z""),1, FALSE)=$Y925,""Yes"",""No"")"),"#N/A")</f>
        <v>#N/A</v>
      </c>
      <c r="AA925" s="144"/>
      <c r="AB925" s="144"/>
    </row>
    <row r="926" spans="1:28">
      <c r="A926" s="140" t="s">
        <v>443</v>
      </c>
      <c r="B926" s="140" t="s">
        <v>8474</v>
      </c>
      <c r="C926" s="140" t="s">
        <v>8475</v>
      </c>
      <c r="D926" s="140" t="s">
        <v>8476</v>
      </c>
      <c r="E926" s="140" t="s">
        <v>8477</v>
      </c>
      <c r="F926" s="140" t="s">
        <v>3</v>
      </c>
      <c r="G926" s="140">
        <v>3.75</v>
      </c>
      <c r="H926" s="140" t="s">
        <v>24</v>
      </c>
      <c r="I926" s="140" t="s">
        <v>488</v>
      </c>
      <c r="J926" s="140" t="s">
        <v>8478</v>
      </c>
      <c r="K926" s="140">
        <v>3.5</v>
      </c>
      <c r="L926" s="140" t="s">
        <v>462</v>
      </c>
      <c r="M926" s="140" t="s">
        <v>8479</v>
      </c>
      <c r="N926" s="140">
        <v>4</v>
      </c>
      <c r="O926" s="140" t="s">
        <v>478</v>
      </c>
      <c r="P926" s="140" t="s">
        <v>8480</v>
      </c>
      <c r="Q926" s="140" t="s">
        <v>452</v>
      </c>
      <c r="R926" s="140" t="s">
        <v>8481</v>
      </c>
      <c r="S926" s="140"/>
      <c r="T926" s="140" t="s">
        <v>8482</v>
      </c>
      <c r="U926" s="143"/>
      <c r="V926" s="143"/>
      <c r="W926" s="143"/>
      <c r="X926" s="140" t="s">
        <v>8483</v>
      </c>
      <c r="Y926" s="140" t="s">
        <v>8484</v>
      </c>
      <c r="Z926" s="140" t="str">
        <f ca="1">IFERROR(__xludf.DUMMYFUNCTION("IF(VLOOKUP($Y926, IMPORTRANGE(""https://docs.google.com/spreadsheets/d/1WsTKRjz8_fF2119Ff9dhKIIYXSaUEHzuWr8pBkxmwQQ/edit"", ""Form Responses 1!$B:$Z""),1, FALSE)=$Y926,""Yes"",""No"")"),"#N/A")</f>
        <v>#N/A</v>
      </c>
      <c r="AA926" s="140"/>
      <c r="AB926" s="140"/>
    </row>
    <row r="927" spans="1:28">
      <c r="A927" s="144" t="s">
        <v>471</v>
      </c>
      <c r="B927" s="144" t="s">
        <v>8485</v>
      </c>
      <c r="C927" s="144" t="s">
        <v>8486</v>
      </c>
      <c r="D927" s="144" t="s">
        <v>8487</v>
      </c>
      <c r="E927" s="144" t="s">
        <v>8488</v>
      </c>
      <c r="F927" s="144" t="s">
        <v>3</v>
      </c>
      <c r="G927" s="144">
        <v>2.75</v>
      </c>
      <c r="H927" s="144" t="s">
        <v>24</v>
      </c>
      <c r="I927" s="144" t="s">
        <v>460</v>
      </c>
      <c r="J927" s="144" t="s">
        <v>8489</v>
      </c>
      <c r="K927" s="144">
        <v>2.5</v>
      </c>
      <c r="L927" s="144" t="s">
        <v>462</v>
      </c>
      <c r="M927" s="144" t="s">
        <v>8490</v>
      </c>
      <c r="N927" s="144">
        <v>3</v>
      </c>
      <c r="O927" s="144" t="s">
        <v>451</v>
      </c>
      <c r="P927" s="144">
        <v>2500000</v>
      </c>
      <c r="Q927" s="144" t="s">
        <v>452</v>
      </c>
      <c r="R927" s="144" t="s">
        <v>8491</v>
      </c>
      <c r="S927" s="144"/>
      <c r="T927" s="144" t="s">
        <v>8492</v>
      </c>
      <c r="U927" s="145"/>
      <c r="V927" s="145"/>
      <c r="W927" s="145"/>
      <c r="X927" s="144" t="s">
        <v>8493</v>
      </c>
      <c r="Y927" s="144" t="s">
        <v>8494</v>
      </c>
      <c r="Z927" s="144" t="str">
        <f ca="1">IFERROR(__xludf.DUMMYFUNCTION("IF(VLOOKUP($Y927, IMPORTRANGE(""https://docs.google.com/spreadsheets/d/1WsTKRjz8_fF2119Ff9dhKIIYXSaUEHzuWr8pBkxmwQQ/edit"", ""Form Responses 1!$B:$Z""),1, FALSE)=$Y927,""Yes"",""No"")"),"#N/A")</f>
        <v>#N/A</v>
      </c>
      <c r="AA927" s="144"/>
      <c r="AB927" s="144"/>
    </row>
    <row r="928" spans="1:28">
      <c r="A928" s="140" t="s">
        <v>443</v>
      </c>
      <c r="B928" s="140" t="s">
        <v>8495</v>
      </c>
      <c r="C928" s="140" t="s">
        <v>8496</v>
      </c>
      <c r="D928" s="140" t="s">
        <v>8497</v>
      </c>
      <c r="E928" s="140" t="s">
        <v>8498</v>
      </c>
      <c r="F928" s="140" t="s">
        <v>3</v>
      </c>
      <c r="G928" s="140">
        <v>1.5</v>
      </c>
      <c r="H928" s="140" t="s">
        <v>24</v>
      </c>
      <c r="I928" s="140" t="s">
        <v>460</v>
      </c>
      <c r="J928" s="140" t="s">
        <v>8499</v>
      </c>
      <c r="K928" s="140">
        <v>2</v>
      </c>
      <c r="L928" s="140" t="s">
        <v>941</v>
      </c>
      <c r="M928" s="140" t="s">
        <v>8500</v>
      </c>
      <c r="N928" s="140">
        <v>1</v>
      </c>
      <c r="O928" s="140"/>
      <c r="P928" s="140"/>
      <c r="Q928" s="140" t="s">
        <v>465</v>
      </c>
      <c r="R928" s="140" t="s">
        <v>452</v>
      </c>
      <c r="S928" s="140"/>
      <c r="T928" s="140"/>
      <c r="U928" s="143"/>
      <c r="V928" s="143"/>
      <c r="W928" s="143"/>
      <c r="X928" s="140" t="s">
        <v>8501</v>
      </c>
      <c r="Y928" s="140" t="s">
        <v>8502</v>
      </c>
      <c r="Z928" s="140" t="str">
        <f ca="1">IFERROR(__xludf.DUMMYFUNCTION("IF(VLOOKUP($Y928, IMPORTRANGE(""https://docs.google.com/spreadsheets/d/1WsTKRjz8_fF2119Ff9dhKIIYXSaUEHzuWr8pBkxmwQQ/edit"", ""Form Responses 1!$B:$Z""),1, FALSE)=$Y928,""Yes"",""No"")"),"#N/A")</f>
        <v>#N/A</v>
      </c>
      <c r="AA928" s="140"/>
      <c r="AB928" s="140"/>
    </row>
    <row r="929" spans="1:28">
      <c r="A929" s="144" t="s">
        <v>443</v>
      </c>
      <c r="B929" s="144" t="s">
        <v>8503</v>
      </c>
      <c r="C929" s="144" t="s">
        <v>8504</v>
      </c>
      <c r="D929" s="144" t="s">
        <v>8505</v>
      </c>
      <c r="E929" s="144" t="s">
        <v>8506</v>
      </c>
      <c r="F929" s="144" t="s">
        <v>3</v>
      </c>
      <c r="G929" s="144">
        <v>1.5</v>
      </c>
      <c r="H929" s="144" t="s">
        <v>24</v>
      </c>
      <c r="I929" s="144" t="s">
        <v>488</v>
      </c>
      <c r="J929" s="144"/>
      <c r="K929" s="144">
        <v>2</v>
      </c>
      <c r="L929" s="144" t="s">
        <v>941</v>
      </c>
      <c r="M929" s="144" t="s">
        <v>8507</v>
      </c>
      <c r="N929" s="144">
        <v>1</v>
      </c>
      <c r="O929" s="144"/>
      <c r="P929" s="144"/>
      <c r="Q929" s="144" t="s">
        <v>452</v>
      </c>
      <c r="R929" s="144" t="s">
        <v>452</v>
      </c>
      <c r="S929" s="144"/>
      <c r="T929" s="144"/>
      <c r="U929" s="145"/>
      <c r="V929" s="145"/>
      <c r="W929" s="145"/>
      <c r="X929" s="144" t="s">
        <v>8508</v>
      </c>
      <c r="Y929" s="144" t="s">
        <v>8509</v>
      </c>
      <c r="Z929" s="144" t="str">
        <f ca="1">IFERROR(__xludf.DUMMYFUNCTION("IF(VLOOKUP($Y929, IMPORTRANGE(""https://docs.google.com/spreadsheets/d/1WsTKRjz8_fF2119Ff9dhKIIYXSaUEHzuWr8pBkxmwQQ/edit"", ""Form Responses 1!$B:$Z""),1, FALSE)=$Y929,""Yes"",""No"")"),"#N/A")</f>
        <v>#N/A</v>
      </c>
      <c r="AA929" s="144"/>
      <c r="AB929" s="144"/>
    </row>
    <row r="930" spans="1:28">
      <c r="A930" s="140" t="s">
        <v>907</v>
      </c>
      <c r="B930" s="140" t="s">
        <v>8510</v>
      </c>
      <c r="C930" s="140" t="s">
        <v>8511</v>
      </c>
      <c r="D930" s="140" t="s">
        <v>8512</v>
      </c>
      <c r="E930" s="140" t="s">
        <v>8513</v>
      </c>
      <c r="F930" s="140" t="s">
        <v>3</v>
      </c>
      <c r="G930" s="140">
        <v>2.5</v>
      </c>
      <c r="H930" s="140" t="s">
        <v>24</v>
      </c>
      <c r="I930" s="140" t="s">
        <v>725</v>
      </c>
      <c r="J930" s="140" t="s">
        <v>8514</v>
      </c>
      <c r="K930" s="140">
        <v>2</v>
      </c>
      <c r="L930" s="140" t="s">
        <v>941</v>
      </c>
      <c r="M930" s="140" t="s">
        <v>8515</v>
      </c>
      <c r="N930" s="140">
        <v>3</v>
      </c>
      <c r="O930" s="140"/>
      <c r="P930" s="140"/>
      <c r="Q930" s="140" t="s">
        <v>452</v>
      </c>
      <c r="R930" s="140" t="s">
        <v>8516</v>
      </c>
      <c r="S930" s="140"/>
      <c r="T930" s="140"/>
      <c r="U930" s="143"/>
      <c r="V930" s="143"/>
      <c r="W930" s="143"/>
      <c r="X930" s="140" t="s">
        <v>1163</v>
      </c>
      <c r="Y930" s="140" t="s">
        <v>8517</v>
      </c>
      <c r="Z930" s="140" t="str">
        <f ca="1">IFERROR(__xludf.DUMMYFUNCTION("IF(VLOOKUP($Y930, IMPORTRANGE(""https://docs.google.com/spreadsheets/d/1WsTKRjz8_fF2119Ff9dhKIIYXSaUEHzuWr8pBkxmwQQ/edit"", ""Form Responses 1!$B:$Z""),1, FALSE)=$Y930,""Yes"",""No"")"),"#N/A")</f>
        <v>#N/A</v>
      </c>
      <c r="AA930" s="140"/>
      <c r="AB930" s="140"/>
    </row>
    <row r="931" spans="1:28">
      <c r="A931" s="144" t="s">
        <v>484</v>
      </c>
      <c r="B931" s="144" t="s">
        <v>8518</v>
      </c>
      <c r="C931" s="144" t="s">
        <v>8519</v>
      </c>
      <c r="D931" s="144" t="s">
        <v>8520</v>
      </c>
      <c r="E931" s="144" t="s">
        <v>8521</v>
      </c>
      <c r="F931" s="144" t="s">
        <v>3</v>
      </c>
      <c r="G931" s="144">
        <v>2</v>
      </c>
      <c r="H931" s="144" t="s">
        <v>24</v>
      </c>
      <c r="I931" s="144" t="s">
        <v>488</v>
      </c>
      <c r="J931" s="144"/>
      <c r="K931" s="144">
        <v>2</v>
      </c>
      <c r="L931" s="144" t="s">
        <v>462</v>
      </c>
      <c r="M931" s="144" t="s">
        <v>8522</v>
      </c>
      <c r="N931" s="144">
        <v>2</v>
      </c>
      <c r="O931" s="144"/>
      <c r="P931" s="144"/>
      <c r="Q931" s="144" t="s">
        <v>465</v>
      </c>
      <c r="R931" s="144" t="s">
        <v>452</v>
      </c>
      <c r="S931" s="144"/>
      <c r="T931" s="144" t="s">
        <v>8523</v>
      </c>
      <c r="U931" s="145"/>
      <c r="V931" s="145"/>
      <c r="W931" s="145"/>
      <c r="X931" s="144" t="s">
        <v>8524</v>
      </c>
      <c r="Y931" s="144" t="s">
        <v>8525</v>
      </c>
      <c r="Z931" s="144" t="str">
        <f ca="1">IFERROR(__xludf.DUMMYFUNCTION("IF(VLOOKUP($Y931, IMPORTRANGE(""https://docs.google.com/spreadsheets/d/1WsTKRjz8_fF2119Ff9dhKIIYXSaUEHzuWr8pBkxmwQQ/edit"", ""Form Responses 1!$B:$Z""),1, FALSE)=$Y931,""Yes"",""No"")"),"#N/A")</f>
        <v>#N/A</v>
      </c>
      <c r="AA931" s="144"/>
      <c r="AB931" s="144"/>
    </row>
    <row r="932" spans="1:28">
      <c r="A932" s="140" t="s">
        <v>598</v>
      </c>
      <c r="B932" s="140" t="s">
        <v>8526</v>
      </c>
      <c r="C932" s="140" t="s">
        <v>8527</v>
      </c>
      <c r="D932" s="140" t="s">
        <v>8528</v>
      </c>
      <c r="E932" s="140" t="s">
        <v>8529</v>
      </c>
      <c r="F932" s="140" t="s">
        <v>3</v>
      </c>
      <c r="G932" s="140">
        <v>2.5</v>
      </c>
      <c r="H932" s="140" t="s">
        <v>24</v>
      </c>
      <c r="I932" s="140" t="s">
        <v>725</v>
      </c>
      <c r="J932" s="140" t="s">
        <v>8530</v>
      </c>
      <c r="K932" s="140">
        <v>3</v>
      </c>
      <c r="L932" s="140" t="s">
        <v>941</v>
      </c>
      <c r="M932" s="140"/>
      <c r="N932" s="140">
        <v>2</v>
      </c>
      <c r="O932" s="140"/>
      <c r="P932" s="140"/>
      <c r="Q932" s="140" t="s">
        <v>452</v>
      </c>
      <c r="R932" s="140" t="s">
        <v>452</v>
      </c>
      <c r="S932" s="140"/>
      <c r="T932" s="140"/>
      <c r="U932" s="143"/>
      <c r="V932" s="143"/>
      <c r="W932" s="143"/>
      <c r="X932" s="140" t="s">
        <v>8531</v>
      </c>
      <c r="Y932" s="140" t="s">
        <v>8532</v>
      </c>
      <c r="Z932" s="140" t="str">
        <f ca="1">IFERROR(__xludf.DUMMYFUNCTION("IF(VLOOKUP($Y932, IMPORTRANGE(""https://docs.google.com/spreadsheets/d/1WsTKRjz8_fF2119Ff9dhKIIYXSaUEHzuWr8pBkxmwQQ/edit"", ""Form Responses 1!$B:$Z""),1, FALSE)=$Y932,""Yes"",""No"")"),"#N/A")</f>
        <v>#N/A</v>
      </c>
      <c r="AA932" s="140"/>
      <c r="AB932" s="140"/>
    </row>
    <row r="933" spans="1:28">
      <c r="A933" s="144" t="s">
        <v>529</v>
      </c>
      <c r="B933" s="144" t="s">
        <v>8533</v>
      </c>
      <c r="C933" s="144" t="s">
        <v>8534</v>
      </c>
      <c r="D933" s="144" t="s">
        <v>8535</v>
      </c>
      <c r="E933" s="144" t="s">
        <v>8536</v>
      </c>
      <c r="F933" s="144" t="s">
        <v>3</v>
      </c>
      <c r="G933" s="144">
        <v>2</v>
      </c>
      <c r="H933" s="144" t="s">
        <v>24</v>
      </c>
      <c r="I933" s="144" t="s">
        <v>460</v>
      </c>
      <c r="J933" s="144" t="s">
        <v>8537</v>
      </c>
      <c r="K933" s="144">
        <v>1</v>
      </c>
      <c r="L933" s="144" t="s">
        <v>462</v>
      </c>
      <c r="M933" s="144" t="s">
        <v>8538</v>
      </c>
      <c r="N933" s="144">
        <v>3</v>
      </c>
      <c r="O933" s="144" t="s">
        <v>451</v>
      </c>
      <c r="P933" s="144" t="s">
        <v>8539</v>
      </c>
      <c r="Q933" s="144" t="s">
        <v>452</v>
      </c>
      <c r="R933" s="144" t="s">
        <v>8540</v>
      </c>
      <c r="S933" s="144"/>
      <c r="T933" s="144"/>
      <c r="U933" s="145"/>
      <c r="V933" s="145"/>
      <c r="W933" s="145"/>
      <c r="X933" s="144" t="s">
        <v>8541</v>
      </c>
      <c r="Y933" s="144" t="s">
        <v>8542</v>
      </c>
      <c r="Z933" s="144" t="str">
        <f ca="1">IFERROR(__xludf.DUMMYFUNCTION("IF(VLOOKUP($Y933, IMPORTRANGE(""https://docs.google.com/spreadsheets/d/1WsTKRjz8_fF2119Ff9dhKIIYXSaUEHzuWr8pBkxmwQQ/edit"", ""Form Responses 1!$B:$Z""),1, FALSE)=$Y933,""Yes"",""No"")"),"#N/A")</f>
        <v>#N/A</v>
      </c>
      <c r="AA933" s="144"/>
      <c r="AB933" s="144"/>
    </row>
    <row r="934" spans="1:28">
      <c r="A934" s="140" t="s">
        <v>529</v>
      </c>
      <c r="B934" s="140" t="s">
        <v>8543</v>
      </c>
      <c r="C934" s="140" t="s">
        <v>8544</v>
      </c>
      <c r="D934" s="140" t="s">
        <v>8545</v>
      </c>
      <c r="E934" s="140" t="s">
        <v>8546</v>
      </c>
      <c r="F934" s="140" t="s">
        <v>3</v>
      </c>
      <c r="G934" s="140">
        <v>3.25</v>
      </c>
      <c r="H934" s="140" t="s">
        <v>24</v>
      </c>
      <c r="I934" s="140" t="s">
        <v>488</v>
      </c>
      <c r="J934" s="140"/>
      <c r="K934" s="140">
        <v>3</v>
      </c>
      <c r="L934" s="140" t="s">
        <v>941</v>
      </c>
      <c r="M934" s="140" t="s">
        <v>8547</v>
      </c>
      <c r="N934" s="140">
        <v>3.5</v>
      </c>
      <c r="O934" s="140" t="s">
        <v>973</v>
      </c>
      <c r="P934" s="140">
        <v>8000000</v>
      </c>
      <c r="Q934" s="140" t="s">
        <v>452</v>
      </c>
      <c r="R934" s="140" t="s">
        <v>8548</v>
      </c>
      <c r="S934" s="140"/>
      <c r="T934" s="140"/>
      <c r="U934" s="143"/>
      <c r="V934" s="143"/>
      <c r="W934" s="143"/>
      <c r="X934" s="140" t="s">
        <v>8549</v>
      </c>
      <c r="Y934" s="140" t="s">
        <v>8550</v>
      </c>
      <c r="Z934" s="140" t="str">
        <f ca="1">IFERROR(__xludf.DUMMYFUNCTION("IF(VLOOKUP($Y934, IMPORTRANGE(""https://docs.google.com/spreadsheets/d/1WsTKRjz8_fF2119Ff9dhKIIYXSaUEHzuWr8pBkxmwQQ/edit"", ""Form Responses 1!$B:$Z""),1, FALSE)=$Y934,""Yes"",""No"")"),"#N/A")</f>
        <v>#N/A</v>
      </c>
      <c r="AA934" s="140"/>
      <c r="AB934" s="140"/>
    </row>
    <row r="935" spans="1:28">
      <c r="A935" s="144" t="s">
        <v>471</v>
      </c>
      <c r="B935" s="144" t="s">
        <v>8551</v>
      </c>
      <c r="C935" s="144" t="s">
        <v>8552</v>
      </c>
      <c r="D935" s="144" t="s">
        <v>8553</v>
      </c>
      <c r="E935" s="144" t="s">
        <v>8554</v>
      </c>
      <c r="F935" s="144" t="s">
        <v>3</v>
      </c>
      <c r="G935" s="144">
        <v>2</v>
      </c>
      <c r="H935" s="144" t="s">
        <v>24</v>
      </c>
      <c r="I935" s="144" t="s">
        <v>460</v>
      </c>
      <c r="J935" s="144" t="s">
        <v>8555</v>
      </c>
      <c r="K935" s="144">
        <v>2</v>
      </c>
      <c r="L935" s="144" t="s">
        <v>462</v>
      </c>
      <c r="M935" s="144" t="s">
        <v>8556</v>
      </c>
      <c r="N935" s="144">
        <v>2</v>
      </c>
      <c r="O935" s="144"/>
      <c r="P935" s="144"/>
      <c r="Q935" s="144" t="s">
        <v>452</v>
      </c>
      <c r="R935" s="144" t="s">
        <v>8557</v>
      </c>
      <c r="S935" s="144" t="s">
        <v>8558</v>
      </c>
      <c r="T935" s="144" t="s">
        <v>8559</v>
      </c>
      <c r="U935" s="145"/>
      <c r="V935" s="145"/>
      <c r="W935" s="145"/>
      <c r="X935" s="144" t="s">
        <v>3740</v>
      </c>
      <c r="Y935" s="144" t="s">
        <v>8560</v>
      </c>
      <c r="Z935" s="144" t="str">
        <f ca="1">IFERROR(__xludf.DUMMYFUNCTION("IF(VLOOKUP($Y935, IMPORTRANGE(""https://docs.google.com/spreadsheets/d/1WsTKRjz8_fF2119Ff9dhKIIYXSaUEHzuWr8pBkxmwQQ/edit"", ""Form Responses 1!$B:$Z""),1, FALSE)=$Y935,""Yes"",""No"")"),"#N/A")</f>
        <v>#N/A</v>
      </c>
      <c r="AA935" s="144"/>
      <c r="AB935" s="144"/>
    </row>
    <row r="936" spans="1:28">
      <c r="A936" s="140" t="s">
        <v>443</v>
      </c>
      <c r="B936" s="140" t="s">
        <v>8561</v>
      </c>
      <c r="C936" s="140" t="s">
        <v>8562</v>
      </c>
      <c r="D936" s="140" t="s">
        <v>8563</v>
      </c>
      <c r="E936" s="140" t="s">
        <v>8564</v>
      </c>
      <c r="F936" s="140" t="s">
        <v>3</v>
      </c>
      <c r="G936" s="140">
        <v>2</v>
      </c>
      <c r="H936" s="140" t="s">
        <v>24</v>
      </c>
      <c r="I936" s="140" t="s">
        <v>460</v>
      </c>
      <c r="J936" s="140" t="s">
        <v>8565</v>
      </c>
      <c r="K936" s="140">
        <v>2</v>
      </c>
      <c r="L936" s="140" t="s">
        <v>941</v>
      </c>
      <c r="M936" s="140" t="s">
        <v>8566</v>
      </c>
      <c r="N936" s="140">
        <v>2</v>
      </c>
      <c r="O936" s="140" t="s">
        <v>973</v>
      </c>
      <c r="P936" s="140">
        <v>5</v>
      </c>
      <c r="Q936" s="140" t="s">
        <v>452</v>
      </c>
      <c r="R936" s="140" t="s">
        <v>8567</v>
      </c>
      <c r="S936" s="140"/>
      <c r="T936" s="140"/>
      <c r="U936" s="143"/>
      <c r="V936" s="143"/>
      <c r="W936" s="143"/>
      <c r="X936" s="140" t="s">
        <v>8568</v>
      </c>
      <c r="Y936" s="140" t="s">
        <v>8569</v>
      </c>
      <c r="Z936" s="140" t="str">
        <f ca="1">IFERROR(__xludf.DUMMYFUNCTION("IF(VLOOKUP($Y936, IMPORTRANGE(""https://docs.google.com/spreadsheets/d/1WsTKRjz8_fF2119Ff9dhKIIYXSaUEHzuWr8pBkxmwQQ/edit"", ""Form Responses 1!$B:$Z""),1, FALSE)=$Y936,""Yes"",""No"")"),"#N/A")</f>
        <v>#N/A</v>
      </c>
      <c r="AA936" s="140"/>
      <c r="AB936" s="140"/>
    </row>
    <row r="937" spans="1:28">
      <c r="A937" s="144" t="s">
        <v>529</v>
      </c>
      <c r="B937" s="144" t="s">
        <v>8570</v>
      </c>
      <c r="C937" s="144" t="s">
        <v>8571</v>
      </c>
      <c r="D937" s="144" t="s">
        <v>8572</v>
      </c>
      <c r="E937" s="144" t="s">
        <v>8573</v>
      </c>
      <c r="F937" s="144" t="s">
        <v>3</v>
      </c>
      <c r="G937" s="144">
        <v>1</v>
      </c>
      <c r="H937" s="144" t="s">
        <v>24</v>
      </c>
      <c r="I937" s="144" t="s">
        <v>460</v>
      </c>
      <c r="J937" s="144" t="s">
        <v>8574</v>
      </c>
      <c r="K937" s="144">
        <v>1</v>
      </c>
      <c r="L937" s="144" t="s">
        <v>462</v>
      </c>
      <c r="M937" s="144" t="s">
        <v>8575</v>
      </c>
      <c r="N937" s="144">
        <v>1</v>
      </c>
      <c r="O937" s="144"/>
      <c r="P937" s="144"/>
      <c r="Q937" s="144" t="s">
        <v>452</v>
      </c>
      <c r="R937" s="144" t="s">
        <v>8576</v>
      </c>
      <c r="S937" s="144" t="s">
        <v>8577</v>
      </c>
      <c r="T937" s="144"/>
      <c r="U937" s="145"/>
      <c r="V937" s="145"/>
      <c r="W937" s="145"/>
      <c r="X937" s="144" t="s">
        <v>8578</v>
      </c>
      <c r="Y937" s="144" t="s">
        <v>8579</v>
      </c>
      <c r="Z937" s="144" t="str">
        <f ca="1">IFERROR(__xludf.DUMMYFUNCTION("IF(VLOOKUP($Y937, IMPORTRANGE(""https://docs.google.com/spreadsheets/d/1WsTKRjz8_fF2119Ff9dhKIIYXSaUEHzuWr8pBkxmwQQ/edit"", ""Form Responses 1!$B:$Z""),1, FALSE)=$Y937,""Yes"",""No"")"),"#N/A")</f>
        <v>#N/A</v>
      </c>
      <c r="AA937" s="144"/>
      <c r="AB937" s="144"/>
    </row>
    <row r="938" spans="1:28">
      <c r="A938" s="140" t="s">
        <v>529</v>
      </c>
      <c r="B938" s="140" t="s">
        <v>8580</v>
      </c>
      <c r="C938" s="140" t="s">
        <v>8581</v>
      </c>
      <c r="D938" s="140" t="s">
        <v>8582</v>
      </c>
      <c r="E938" s="140" t="s">
        <v>8583</v>
      </c>
      <c r="F938" s="140" t="s">
        <v>3</v>
      </c>
      <c r="G938" s="140">
        <v>3</v>
      </c>
      <c r="H938" s="140" t="s">
        <v>24</v>
      </c>
      <c r="I938" s="140" t="s">
        <v>488</v>
      </c>
      <c r="J938" s="140" t="s">
        <v>8584</v>
      </c>
      <c r="K938" s="140">
        <v>3</v>
      </c>
      <c r="L938" s="140" t="s">
        <v>462</v>
      </c>
      <c r="M938" s="140" t="s">
        <v>8585</v>
      </c>
      <c r="N938" s="140">
        <v>3</v>
      </c>
      <c r="O938" s="140" t="s">
        <v>1578</v>
      </c>
      <c r="P938" s="140" t="s">
        <v>6241</v>
      </c>
      <c r="Q938" s="140" t="s">
        <v>452</v>
      </c>
      <c r="R938" s="140" t="s">
        <v>8586</v>
      </c>
      <c r="S938" s="140"/>
      <c r="T938" s="140"/>
      <c r="U938" s="143"/>
      <c r="V938" s="143"/>
      <c r="W938" s="143"/>
      <c r="X938" s="140" t="s">
        <v>8587</v>
      </c>
      <c r="Y938" s="140" t="s">
        <v>8588</v>
      </c>
      <c r="Z938" s="140" t="str">
        <f ca="1">IFERROR(__xludf.DUMMYFUNCTION("IF(VLOOKUP($Y938, IMPORTRANGE(""https://docs.google.com/spreadsheets/d/1WsTKRjz8_fF2119Ff9dhKIIYXSaUEHzuWr8pBkxmwQQ/edit"", ""Form Responses 1!$B:$Z""),1, FALSE)=$Y938,""Yes"",""No"")"),"#N/A")</f>
        <v>#N/A</v>
      </c>
      <c r="AA938" s="140"/>
      <c r="AB938" s="140"/>
    </row>
    <row r="939" spans="1:28">
      <c r="A939" s="144" t="s">
        <v>598</v>
      </c>
      <c r="B939" s="144" t="s">
        <v>8589</v>
      </c>
      <c r="C939" s="144" t="s">
        <v>8590</v>
      </c>
      <c r="D939" s="144" t="s">
        <v>8591</v>
      </c>
      <c r="E939" s="144" t="s">
        <v>8592</v>
      </c>
      <c r="F939" s="144" t="s">
        <v>3</v>
      </c>
      <c r="G939" s="144">
        <v>3.25</v>
      </c>
      <c r="H939" s="144" t="s">
        <v>24</v>
      </c>
      <c r="I939" s="144" t="s">
        <v>725</v>
      </c>
      <c r="J939" s="144" t="s">
        <v>8593</v>
      </c>
      <c r="K939" s="144">
        <v>3.5</v>
      </c>
      <c r="L939" s="144" t="s">
        <v>488</v>
      </c>
      <c r="M939" s="144" t="s">
        <v>8594</v>
      </c>
      <c r="N939" s="144">
        <v>3</v>
      </c>
      <c r="O939" s="144" t="s">
        <v>451</v>
      </c>
      <c r="P939" s="144" t="s">
        <v>4828</v>
      </c>
      <c r="Q939" s="144" t="s">
        <v>452</v>
      </c>
      <c r="R939" s="144" t="s">
        <v>8595</v>
      </c>
      <c r="S939" s="144"/>
      <c r="T939" s="144"/>
      <c r="U939" s="145"/>
      <c r="V939" s="145"/>
      <c r="W939" s="145"/>
      <c r="X939" s="144" t="s">
        <v>8596</v>
      </c>
      <c r="Y939" s="144" t="s">
        <v>8597</v>
      </c>
      <c r="Z939" s="144" t="str">
        <f ca="1">IFERROR(__xludf.DUMMYFUNCTION("IF(VLOOKUP($Y939, IMPORTRANGE(""https://docs.google.com/spreadsheets/d/1WsTKRjz8_fF2119Ff9dhKIIYXSaUEHzuWr8pBkxmwQQ/edit"", ""Form Responses 1!$B:$Z""),1, FALSE)=$Y939,""Yes"",""No"")"),"#N/A")</f>
        <v>#N/A</v>
      </c>
      <c r="AA939" s="144"/>
      <c r="AB939" s="144"/>
    </row>
    <row r="940" spans="1:28">
      <c r="A940" s="140" t="s">
        <v>484</v>
      </c>
      <c r="B940" s="140" t="s">
        <v>8598</v>
      </c>
      <c r="C940" s="140" t="s">
        <v>8599</v>
      </c>
      <c r="D940" s="140" t="s">
        <v>8600</v>
      </c>
      <c r="E940" s="140" t="s">
        <v>8601</v>
      </c>
      <c r="F940" s="140" t="s">
        <v>3</v>
      </c>
      <c r="G940" s="140">
        <v>0.5</v>
      </c>
      <c r="H940" s="140" t="s">
        <v>24</v>
      </c>
      <c r="I940" s="140" t="s">
        <v>460</v>
      </c>
      <c r="J940" s="140" t="s">
        <v>8602</v>
      </c>
      <c r="K940" s="140">
        <v>0</v>
      </c>
      <c r="L940" s="140" t="s">
        <v>462</v>
      </c>
      <c r="M940" s="140" t="s">
        <v>8603</v>
      </c>
      <c r="N940" s="140">
        <v>1</v>
      </c>
      <c r="O940" s="140"/>
      <c r="P940" s="140"/>
      <c r="Q940" s="140" t="s">
        <v>452</v>
      </c>
      <c r="R940" s="140" t="s">
        <v>452</v>
      </c>
      <c r="S940" s="140" t="s">
        <v>8604</v>
      </c>
      <c r="T940" s="140"/>
      <c r="U940" s="143"/>
      <c r="V940" s="143"/>
      <c r="W940" s="143"/>
      <c r="X940" s="140" t="s">
        <v>8605</v>
      </c>
      <c r="Y940" s="140" t="s">
        <v>8606</v>
      </c>
      <c r="Z940" s="140" t="str">
        <f ca="1">IFERROR(__xludf.DUMMYFUNCTION("IF(VLOOKUP($Y940, IMPORTRANGE(""https://docs.google.com/spreadsheets/d/1WsTKRjz8_fF2119Ff9dhKIIYXSaUEHzuWr8pBkxmwQQ/edit"", ""Form Responses 1!$B:$Z""),1, FALSE)=$Y940,""Yes"",""No"")"),"#N/A")</f>
        <v>#N/A</v>
      </c>
      <c r="AA940" s="140"/>
      <c r="AB940" s="140"/>
    </row>
    <row r="941" spans="1:28">
      <c r="A941" s="144" t="s">
        <v>529</v>
      </c>
      <c r="B941" s="144" t="s">
        <v>8607</v>
      </c>
      <c r="C941" s="144" t="s">
        <v>8608</v>
      </c>
      <c r="D941" s="144" t="s">
        <v>8609</v>
      </c>
      <c r="E941" s="144" t="s">
        <v>8610</v>
      </c>
      <c r="F941" s="144" t="s">
        <v>3</v>
      </c>
      <c r="G941" s="144">
        <v>2.5</v>
      </c>
      <c r="H941" s="144" t="s">
        <v>24</v>
      </c>
      <c r="I941" s="144" t="s">
        <v>725</v>
      </c>
      <c r="J941" s="144" t="s">
        <v>8611</v>
      </c>
      <c r="K941" s="144">
        <v>3</v>
      </c>
      <c r="L941" s="144" t="s">
        <v>941</v>
      </c>
      <c r="M941" s="144" t="s">
        <v>8612</v>
      </c>
      <c r="N941" s="144">
        <v>2</v>
      </c>
      <c r="O941" s="144"/>
      <c r="P941" s="144"/>
      <c r="Q941" s="144" t="s">
        <v>452</v>
      </c>
      <c r="R941" s="144" t="s">
        <v>8613</v>
      </c>
      <c r="S941" s="144" t="s">
        <v>8614</v>
      </c>
      <c r="T941" s="144"/>
      <c r="U941" s="145"/>
      <c r="V941" s="145"/>
      <c r="W941" s="145"/>
      <c r="X941" s="144" t="s">
        <v>8615</v>
      </c>
      <c r="Y941" s="144" t="s">
        <v>8616</v>
      </c>
      <c r="Z941" s="144" t="str">
        <f ca="1">IFERROR(__xludf.DUMMYFUNCTION("IF(VLOOKUP($Y941, IMPORTRANGE(""https://docs.google.com/spreadsheets/d/1WsTKRjz8_fF2119Ff9dhKIIYXSaUEHzuWr8pBkxmwQQ/edit"", ""Form Responses 1!$B:$Z""),1, FALSE)=$Y941,""Yes"",""No"")"),"#N/A")</f>
        <v>#N/A</v>
      </c>
      <c r="AA941" s="144"/>
      <c r="AB941" s="144"/>
    </row>
    <row r="942" spans="1:28">
      <c r="A942" s="140" t="s">
        <v>484</v>
      </c>
      <c r="B942" s="140" t="s">
        <v>8617</v>
      </c>
      <c r="C942" s="140" t="s">
        <v>8618</v>
      </c>
      <c r="D942" s="140" t="s">
        <v>8619</v>
      </c>
      <c r="E942" s="140" t="s">
        <v>8620</v>
      </c>
      <c r="F942" s="140" t="s">
        <v>3</v>
      </c>
      <c r="G942" s="140">
        <v>1</v>
      </c>
      <c r="H942" s="140" t="s">
        <v>24</v>
      </c>
      <c r="I942" s="140" t="s">
        <v>460</v>
      </c>
      <c r="J942" s="140" t="s">
        <v>8621</v>
      </c>
      <c r="K942" s="140">
        <v>1</v>
      </c>
      <c r="L942" s="140" t="s">
        <v>488</v>
      </c>
      <c r="M942" s="140"/>
      <c r="N942" s="140">
        <v>1</v>
      </c>
      <c r="O942" s="140" t="s">
        <v>451</v>
      </c>
      <c r="P942" s="151">
        <v>10000</v>
      </c>
      <c r="Q942" s="140" t="s">
        <v>454</v>
      </c>
      <c r="R942" s="140" t="s">
        <v>1119</v>
      </c>
      <c r="S942" s="140"/>
      <c r="T942" s="140"/>
      <c r="U942" s="143"/>
      <c r="V942" s="143"/>
      <c r="W942" s="143"/>
      <c r="X942" s="140" t="s">
        <v>501</v>
      </c>
      <c r="Y942" s="140" t="s">
        <v>8622</v>
      </c>
      <c r="Z942" s="140" t="str">
        <f ca="1">IFERROR(__xludf.DUMMYFUNCTION("IF(VLOOKUP($Y942, IMPORTRANGE(""https://docs.google.com/spreadsheets/d/1WsTKRjz8_fF2119Ff9dhKIIYXSaUEHzuWr8pBkxmwQQ/edit"", ""Form Responses 1!$B:$Z""),1, FALSE)=$Y942,""Yes"",""No"")"),"#N/A")</f>
        <v>#N/A</v>
      </c>
      <c r="AA942" s="140"/>
      <c r="AB942" s="140"/>
    </row>
    <row r="943" spans="1:28">
      <c r="A943" s="144" t="s">
        <v>484</v>
      </c>
      <c r="B943" s="144" t="s">
        <v>8623</v>
      </c>
      <c r="C943" s="144" t="s">
        <v>8624</v>
      </c>
      <c r="D943" s="144" t="s">
        <v>8625</v>
      </c>
      <c r="E943" s="144" t="s">
        <v>8626</v>
      </c>
      <c r="F943" s="144" t="s">
        <v>3</v>
      </c>
      <c r="G943" s="144">
        <v>2</v>
      </c>
      <c r="H943" s="144" t="s">
        <v>24</v>
      </c>
      <c r="I943" s="144" t="s">
        <v>460</v>
      </c>
      <c r="J943" s="144" t="s">
        <v>8627</v>
      </c>
      <c r="K943" s="144">
        <v>2</v>
      </c>
      <c r="L943" s="144" t="s">
        <v>941</v>
      </c>
      <c r="M943" s="144" t="s">
        <v>8628</v>
      </c>
      <c r="N943" s="144">
        <v>2</v>
      </c>
      <c r="O943" s="144" t="s">
        <v>8096</v>
      </c>
      <c r="P943" s="144">
        <v>3000000</v>
      </c>
      <c r="Q943" s="144" t="s">
        <v>452</v>
      </c>
      <c r="R943" s="144" t="s">
        <v>3420</v>
      </c>
      <c r="S943" s="144"/>
      <c r="T943" s="144"/>
      <c r="U943" s="145"/>
      <c r="V943" s="145"/>
      <c r="W943" s="145"/>
      <c r="X943" s="144" t="s">
        <v>8629</v>
      </c>
      <c r="Y943" s="144" t="s">
        <v>8630</v>
      </c>
      <c r="Z943" s="144" t="str">
        <f ca="1">IFERROR(__xludf.DUMMYFUNCTION("IF(VLOOKUP($Y943, IMPORTRANGE(""https://docs.google.com/spreadsheets/d/1WsTKRjz8_fF2119Ff9dhKIIYXSaUEHzuWr8pBkxmwQQ/edit"", ""Form Responses 1!$B:$Z""),1, FALSE)=$Y943,""Yes"",""No"")"),"#N/A")</f>
        <v>#N/A</v>
      </c>
      <c r="AA943" s="144"/>
      <c r="AB943" s="144"/>
    </row>
    <row r="944" spans="1:28">
      <c r="A944" s="140" t="s">
        <v>443</v>
      </c>
      <c r="B944" s="140" t="s">
        <v>8631</v>
      </c>
      <c r="C944" s="140" t="s">
        <v>8632</v>
      </c>
      <c r="D944" s="140" t="s">
        <v>8633</v>
      </c>
      <c r="E944" s="140" t="s">
        <v>8634</v>
      </c>
      <c r="F944" s="140" t="s">
        <v>3</v>
      </c>
      <c r="G944" s="140">
        <v>2</v>
      </c>
      <c r="H944" s="140" t="s">
        <v>24</v>
      </c>
      <c r="I944" s="140" t="s">
        <v>460</v>
      </c>
      <c r="J944" s="140" t="s">
        <v>8635</v>
      </c>
      <c r="K944" s="140">
        <v>2</v>
      </c>
      <c r="L944" s="140" t="s">
        <v>462</v>
      </c>
      <c r="M944" s="140" t="s">
        <v>8636</v>
      </c>
      <c r="N944" s="140">
        <v>2</v>
      </c>
      <c r="O944" s="140" t="s">
        <v>451</v>
      </c>
      <c r="P944" s="140">
        <v>500000</v>
      </c>
      <c r="Q944" s="140" t="s">
        <v>452</v>
      </c>
      <c r="R944" s="140" t="s">
        <v>8637</v>
      </c>
      <c r="S944" s="140"/>
      <c r="T944" s="140"/>
      <c r="U944" s="143"/>
      <c r="V944" s="143"/>
      <c r="W944" s="143"/>
      <c r="X944" s="140" t="s">
        <v>2452</v>
      </c>
      <c r="Y944" s="140" t="s">
        <v>8638</v>
      </c>
      <c r="Z944" s="140" t="str">
        <f ca="1">IFERROR(__xludf.DUMMYFUNCTION("IF(VLOOKUP($Y944, IMPORTRANGE(""https://docs.google.com/spreadsheets/d/1WsTKRjz8_fF2119Ff9dhKIIYXSaUEHzuWr8pBkxmwQQ/edit"", ""Form Responses 1!$B:$Z""),1, FALSE)=$Y944,""Yes"",""No"")"),"#N/A")</f>
        <v>#N/A</v>
      </c>
      <c r="AA944" s="140"/>
      <c r="AB944" s="140"/>
    </row>
    <row r="945" spans="1:28">
      <c r="A945" s="144" t="s">
        <v>529</v>
      </c>
      <c r="B945" s="144" t="s">
        <v>8639</v>
      </c>
      <c r="C945" s="144" t="s">
        <v>8640</v>
      </c>
      <c r="D945" s="144" t="s">
        <v>8641</v>
      </c>
      <c r="E945" s="144" t="s">
        <v>8642</v>
      </c>
      <c r="F945" s="144" t="s">
        <v>3</v>
      </c>
      <c r="G945" s="144">
        <v>1</v>
      </c>
      <c r="H945" s="144" t="s">
        <v>24</v>
      </c>
      <c r="I945" s="144" t="s">
        <v>488</v>
      </c>
      <c r="J945" s="144"/>
      <c r="K945" s="144">
        <v>1</v>
      </c>
      <c r="L945" s="144" t="s">
        <v>462</v>
      </c>
      <c r="M945" s="144" t="s">
        <v>8643</v>
      </c>
      <c r="N945" s="144">
        <v>1</v>
      </c>
      <c r="O945" s="144"/>
      <c r="P945" s="144"/>
      <c r="Q945" s="144" t="s">
        <v>454</v>
      </c>
      <c r="R945" s="144" t="s">
        <v>575</v>
      </c>
      <c r="S945" s="144"/>
      <c r="T945" s="144"/>
      <c r="U945" s="145"/>
      <c r="V945" s="145"/>
      <c r="W945" s="145"/>
      <c r="X945" s="144" t="s">
        <v>8644</v>
      </c>
      <c r="Y945" s="144" t="s">
        <v>8645</v>
      </c>
      <c r="Z945" s="144" t="str">
        <f ca="1">IFERROR(__xludf.DUMMYFUNCTION("IF(VLOOKUP($Y945, IMPORTRANGE(""https://docs.google.com/spreadsheets/d/1WsTKRjz8_fF2119Ff9dhKIIYXSaUEHzuWr8pBkxmwQQ/edit"", ""Form Responses 1!$B:$Z""),1, FALSE)=$Y945,""Yes"",""No"")"),"#N/A")</f>
        <v>#N/A</v>
      </c>
      <c r="AA945" s="144"/>
      <c r="AB945" s="144"/>
    </row>
    <row r="946" spans="1:28">
      <c r="A946" s="140" t="s">
        <v>503</v>
      </c>
      <c r="B946" s="140" t="s">
        <v>8646</v>
      </c>
      <c r="C946" s="140" t="s">
        <v>8647</v>
      </c>
      <c r="D946" s="140" t="s">
        <v>8648</v>
      </c>
      <c r="E946" s="140" t="s">
        <v>8649</v>
      </c>
      <c r="F946" s="140" t="s">
        <v>3</v>
      </c>
      <c r="G946" s="140">
        <v>1.5</v>
      </c>
      <c r="H946" s="140" t="s">
        <v>24</v>
      </c>
      <c r="I946" s="140" t="s">
        <v>460</v>
      </c>
      <c r="J946" s="140"/>
      <c r="K946" s="140">
        <v>1</v>
      </c>
      <c r="L946" s="140" t="s">
        <v>462</v>
      </c>
      <c r="M946" s="140"/>
      <c r="N946" s="140">
        <v>2</v>
      </c>
      <c r="O946" s="140" t="s">
        <v>478</v>
      </c>
      <c r="P946" s="148">
        <v>1500000</v>
      </c>
      <c r="Q946" s="140" t="s">
        <v>452</v>
      </c>
      <c r="R946" s="140" t="s">
        <v>8650</v>
      </c>
      <c r="S946" s="140"/>
      <c r="T946" s="140"/>
      <c r="U946" s="143"/>
      <c r="V946" s="143"/>
      <c r="W946" s="143"/>
      <c r="X946" s="140" t="s">
        <v>5707</v>
      </c>
      <c r="Y946" s="140" t="s">
        <v>8651</v>
      </c>
      <c r="Z946" s="140" t="str">
        <f ca="1">IFERROR(__xludf.DUMMYFUNCTION("IF(VLOOKUP($Y946, IMPORTRANGE(""https://docs.google.com/spreadsheets/d/1WsTKRjz8_fF2119Ff9dhKIIYXSaUEHzuWr8pBkxmwQQ/edit"", ""Form Responses 1!$B:$Z""),1, FALSE)=$Y946,""Yes"",""No"")"),"#N/A")</f>
        <v>#N/A</v>
      </c>
      <c r="AA946" s="140"/>
      <c r="AB946" s="140"/>
    </row>
    <row r="947" spans="1:28">
      <c r="A947" s="144" t="s">
        <v>529</v>
      </c>
      <c r="B947" s="144" t="s">
        <v>8652</v>
      </c>
      <c r="C947" s="144" t="s">
        <v>8653</v>
      </c>
      <c r="D947" s="144" t="s">
        <v>8654</v>
      </c>
      <c r="E947" s="144"/>
      <c r="F947" s="144" t="s">
        <v>3</v>
      </c>
      <c r="G947" s="144">
        <v>2</v>
      </c>
      <c r="H947" s="144" t="s">
        <v>24</v>
      </c>
      <c r="I947" s="144" t="s">
        <v>488</v>
      </c>
      <c r="J947" s="144" t="s">
        <v>8655</v>
      </c>
      <c r="K947" s="144">
        <v>2</v>
      </c>
      <c r="L947" s="144" t="s">
        <v>462</v>
      </c>
      <c r="M947" s="144" t="s">
        <v>8656</v>
      </c>
      <c r="N947" s="144">
        <v>2</v>
      </c>
      <c r="O947" s="144" t="s">
        <v>2190</v>
      </c>
      <c r="P947" s="144" t="s">
        <v>8657</v>
      </c>
      <c r="Q947" s="144" t="s">
        <v>452</v>
      </c>
      <c r="R947" s="144" t="s">
        <v>8658</v>
      </c>
      <c r="S947" s="144" t="s">
        <v>8659</v>
      </c>
      <c r="T947" s="144"/>
      <c r="U947" s="145"/>
      <c r="V947" s="145"/>
      <c r="W947" s="145"/>
      <c r="X947" s="144" t="s">
        <v>8660</v>
      </c>
      <c r="Y947" s="144" t="s">
        <v>8661</v>
      </c>
      <c r="Z947" s="144" t="str">
        <f ca="1">IFERROR(__xludf.DUMMYFUNCTION("IF(VLOOKUP($Y947, IMPORTRANGE(""https://docs.google.com/spreadsheets/d/1WsTKRjz8_fF2119Ff9dhKIIYXSaUEHzuWr8pBkxmwQQ/edit"", ""Form Responses 1!$B:$Z""),1, FALSE)=$Y947,""Yes"",""No"")"),"#N/A")</f>
        <v>#N/A</v>
      </c>
      <c r="AA947" s="144"/>
      <c r="AB947" s="144"/>
    </row>
    <row r="948" spans="1:28">
      <c r="A948" s="140" t="s">
        <v>529</v>
      </c>
      <c r="B948" s="140" t="s">
        <v>8662</v>
      </c>
      <c r="C948" s="140" t="s">
        <v>8663</v>
      </c>
      <c r="D948" s="140" t="s">
        <v>8664</v>
      </c>
      <c r="E948" s="140" t="s">
        <v>8665</v>
      </c>
      <c r="F948" s="140" t="s">
        <v>3</v>
      </c>
      <c r="G948" s="140">
        <v>3.75</v>
      </c>
      <c r="H948" s="140" t="s">
        <v>24</v>
      </c>
      <c r="I948" s="140" t="s">
        <v>488</v>
      </c>
      <c r="J948" s="140" t="s">
        <v>8666</v>
      </c>
      <c r="K948" s="140">
        <v>3.5</v>
      </c>
      <c r="L948" s="140" t="s">
        <v>941</v>
      </c>
      <c r="M948" s="140" t="s">
        <v>8667</v>
      </c>
      <c r="N948" s="140">
        <v>4</v>
      </c>
      <c r="O948" s="140" t="s">
        <v>478</v>
      </c>
      <c r="P948" s="151">
        <v>3000000</v>
      </c>
      <c r="Q948" s="140" t="s">
        <v>452</v>
      </c>
      <c r="R948" s="140" t="s">
        <v>8668</v>
      </c>
      <c r="S948" s="140"/>
      <c r="T948" s="140" t="s">
        <v>8669</v>
      </c>
      <c r="U948" s="143"/>
      <c r="V948" s="143"/>
      <c r="W948" s="143"/>
      <c r="X948" s="140" t="s">
        <v>8670</v>
      </c>
      <c r="Y948" s="140" t="s">
        <v>8671</v>
      </c>
      <c r="Z948" s="140" t="str">
        <f ca="1">IFERROR(__xludf.DUMMYFUNCTION("IF(VLOOKUP($Y948, IMPORTRANGE(""https://docs.google.com/spreadsheets/d/1WsTKRjz8_fF2119Ff9dhKIIYXSaUEHzuWr8pBkxmwQQ/edit"", ""Form Responses 1!$B:$Z""),1, FALSE)=$Y948,""Yes"",""No"")"),"#N/A")</f>
        <v>#N/A</v>
      </c>
      <c r="AA948" s="140"/>
      <c r="AB948" s="140"/>
    </row>
    <row r="949" spans="1:28">
      <c r="A949" s="144" t="s">
        <v>484</v>
      </c>
      <c r="B949" s="144" t="s">
        <v>8672</v>
      </c>
      <c r="C949" s="144" t="s">
        <v>8673</v>
      </c>
      <c r="D949" s="144" t="s">
        <v>8674</v>
      </c>
      <c r="E949" s="144" t="s">
        <v>8675</v>
      </c>
      <c r="F949" s="144" t="s">
        <v>3</v>
      </c>
      <c r="G949" s="144">
        <v>1.5</v>
      </c>
      <c r="H949" s="144" t="s">
        <v>24</v>
      </c>
      <c r="I949" s="144" t="s">
        <v>460</v>
      </c>
      <c r="J949" s="144" t="s">
        <v>8676</v>
      </c>
      <c r="K949" s="144">
        <v>2</v>
      </c>
      <c r="L949" s="144" t="s">
        <v>488</v>
      </c>
      <c r="M949" s="144" t="s">
        <v>8677</v>
      </c>
      <c r="N949" s="144">
        <v>1</v>
      </c>
      <c r="O949" s="144" t="s">
        <v>451</v>
      </c>
      <c r="P949" s="147">
        <v>500000</v>
      </c>
      <c r="Q949" s="144" t="s">
        <v>465</v>
      </c>
      <c r="R949" s="144" t="s">
        <v>575</v>
      </c>
      <c r="S949" s="144"/>
      <c r="T949" s="144"/>
      <c r="U949" s="145"/>
      <c r="V949" s="145"/>
      <c r="W949" s="145"/>
      <c r="X949" s="144" t="s">
        <v>8678</v>
      </c>
      <c r="Y949" s="144" t="s">
        <v>8679</v>
      </c>
      <c r="Z949" s="144" t="str">
        <f ca="1">IFERROR(__xludf.DUMMYFUNCTION("IF(VLOOKUP($Y949, IMPORTRANGE(""https://docs.google.com/spreadsheets/d/1WsTKRjz8_fF2119Ff9dhKIIYXSaUEHzuWr8pBkxmwQQ/edit"", ""Form Responses 1!$B:$Z""),1, FALSE)=$Y949,""Yes"",""No"")"),"#N/A")</f>
        <v>#N/A</v>
      </c>
      <c r="AA949" s="144"/>
      <c r="AB949" s="144"/>
    </row>
    <row r="950" spans="1:28">
      <c r="A950" s="140" t="s">
        <v>484</v>
      </c>
      <c r="B950" s="140" t="s">
        <v>8680</v>
      </c>
      <c r="C950" s="140" t="s">
        <v>8681</v>
      </c>
      <c r="D950" s="140" t="s">
        <v>8682</v>
      </c>
      <c r="E950" s="140" t="s">
        <v>8683</v>
      </c>
      <c r="F950" s="140" t="s">
        <v>3</v>
      </c>
      <c r="G950" s="140">
        <v>2</v>
      </c>
      <c r="H950" s="140" t="s">
        <v>24</v>
      </c>
      <c r="I950" s="140" t="s">
        <v>488</v>
      </c>
      <c r="J950" s="140" t="s">
        <v>8684</v>
      </c>
      <c r="K950" s="140">
        <v>2</v>
      </c>
      <c r="L950" s="140" t="s">
        <v>941</v>
      </c>
      <c r="M950" s="140"/>
      <c r="N950" s="140">
        <v>2</v>
      </c>
      <c r="O950" s="140"/>
      <c r="P950" s="140"/>
      <c r="Q950" s="140" t="s">
        <v>454</v>
      </c>
      <c r="R950" s="140" t="s">
        <v>8685</v>
      </c>
      <c r="S950" s="140"/>
      <c r="T950" s="140"/>
      <c r="U950" s="143"/>
      <c r="V950" s="143"/>
      <c r="W950" s="143"/>
      <c r="X950" s="140" t="s">
        <v>501</v>
      </c>
      <c r="Y950" s="140" t="s">
        <v>8686</v>
      </c>
      <c r="Z950" s="140" t="str">
        <f ca="1">IFERROR(__xludf.DUMMYFUNCTION("IF(VLOOKUP($Y950, IMPORTRANGE(""https://docs.google.com/spreadsheets/d/1WsTKRjz8_fF2119Ff9dhKIIYXSaUEHzuWr8pBkxmwQQ/edit"", ""Form Responses 1!$B:$Z""),1, FALSE)=$Y950,""Yes"",""No"")"),"#N/A")</f>
        <v>#N/A</v>
      </c>
      <c r="AA950" s="140"/>
      <c r="AB950" s="140"/>
    </row>
    <row r="951" spans="1:28">
      <c r="A951" s="144" t="s">
        <v>529</v>
      </c>
      <c r="B951" s="144" t="s">
        <v>8687</v>
      </c>
      <c r="C951" s="144" t="s">
        <v>8688</v>
      </c>
      <c r="D951" s="144" t="s">
        <v>8689</v>
      </c>
      <c r="E951" s="144" t="s">
        <v>8690</v>
      </c>
      <c r="F951" s="144" t="s">
        <v>3</v>
      </c>
      <c r="G951" s="144">
        <v>2</v>
      </c>
      <c r="H951" s="144" t="s">
        <v>24</v>
      </c>
      <c r="I951" s="144" t="s">
        <v>488</v>
      </c>
      <c r="J951" s="144" t="s">
        <v>8691</v>
      </c>
      <c r="K951" s="144">
        <v>2</v>
      </c>
      <c r="L951" s="144" t="s">
        <v>941</v>
      </c>
      <c r="M951" s="144" t="s">
        <v>8692</v>
      </c>
      <c r="N951" s="144">
        <v>2</v>
      </c>
      <c r="O951" s="144"/>
      <c r="P951" s="144"/>
      <c r="Q951" s="144" t="s">
        <v>454</v>
      </c>
      <c r="R951" s="144" t="s">
        <v>1119</v>
      </c>
      <c r="S951" s="144"/>
      <c r="T951" s="144"/>
      <c r="U951" s="145"/>
      <c r="V951" s="145"/>
      <c r="W951" s="145"/>
      <c r="X951" s="144" t="s">
        <v>8693</v>
      </c>
      <c r="Y951" s="144" t="s">
        <v>8694</v>
      </c>
      <c r="Z951" s="144" t="str">
        <f ca="1">IFERROR(__xludf.DUMMYFUNCTION("IF(VLOOKUP($Y951, IMPORTRANGE(""https://docs.google.com/spreadsheets/d/1WsTKRjz8_fF2119Ff9dhKIIYXSaUEHzuWr8pBkxmwQQ/edit"", ""Form Responses 1!$B:$Z""),1, FALSE)=$Y951,""Yes"",""No"")"),"#N/A")</f>
        <v>#N/A</v>
      </c>
      <c r="AA951" s="144"/>
      <c r="AB951" s="144"/>
    </row>
    <row r="952" spans="1:28">
      <c r="A952" s="140" t="s">
        <v>529</v>
      </c>
      <c r="B952" s="140" t="s">
        <v>8695</v>
      </c>
      <c r="C952" s="140" t="s">
        <v>8696</v>
      </c>
      <c r="D952" s="140" t="s">
        <v>8697</v>
      </c>
      <c r="E952" s="140" t="s">
        <v>8698</v>
      </c>
      <c r="F952" s="140" t="s">
        <v>3</v>
      </c>
      <c r="G952" s="140">
        <v>3</v>
      </c>
      <c r="H952" s="140" t="s">
        <v>24</v>
      </c>
      <c r="I952" s="140" t="s">
        <v>488</v>
      </c>
      <c r="J952" s="140" t="s">
        <v>8699</v>
      </c>
      <c r="K952" s="140">
        <v>3</v>
      </c>
      <c r="L952" s="140" t="s">
        <v>941</v>
      </c>
      <c r="M952" s="140"/>
      <c r="N952" s="140">
        <v>3</v>
      </c>
      <c r="O952" s="140" t="s">
        <v>8700</v>
      </c>
      <c r="P952" s="140" t="s">
        <v>8701</v>
      </c>
      <c r="Q952" s="140" t="s">
        <v>452</v>
      </c>
      <c r="R952" s="140" t="s">
        <v>452</v>
      </c>
      <c r="S952" s="140"/>
      <c r="T952" s="140" t="s">
        <v>8702</v>
      </c>
      <c r="U952" s="143"/>
      <c r="V952" s="143"/>
      <c r="W952" s="143"/>
      <c r="X952" s="140" t="s">
        <v>8703</v>
      </c>
      <c r="Y952" s="140" t="s">
        <v>8704</v>
      </c>
      <c r="Z952" s="140" t="str">
        <f ca="1">IFERROR(__xludf.DUMMYFUNCTION("IF(VLOOKUP($Y952, IMPORTRANGE(""https://docs.google.com/spreadsheets/d/1WsTKRjz8_fF2119Ff9dhKIIYXSaUEHzuWr8pBkxmwQQ/edit"", ""Form Responses 1!$B:$Z""),1, FALSE)=$Y952,""Yes"",""No"")"),"#N/A")</f>
        <v>#N/A</v>
      </c>
      <c r="AA952" s="140"/>
      <c r="AB952" s="140"/>
    </row>
    <row r="953" spans="1:28">
      <c r="A953" s="144" t="s">
        <v>484</v>
      </c>
      <c r="B953" s="144" t="s">
        <v>8705</v>
      </c>
      <c r="C953" s="144" t="s">
        <v>8706</v>
      </c>
      <c r="D953" s="144" t="s">
        <v>8707</v>
      </c>
      <c r="E953" s="144" t="s">
        <v>8708</v>
      </c>
      <c r="F953" s="144" t="s">
        <v>3</v>
      </c>
      <c r="G953" s="144">
        <v>2.25</v>
      </c>
      <c r="H953" s="144" t="s">
        <v>24</v>
      </c>
      <c r="I953" s="144" t="s">
        <v>460</v>
      </c>
      <c r="J953" s="144" t="s">
        <v>8709</v>
      </c>
      <c r="K953" s="144">
        <v>2.5</v>
      </c>
      <c r="L953" s="144" t="s">
        <v>488</v>
      </c>
      <c r="M953" s="144" t="s">
        <v>8710</v>
      </c>
      <c r="N953" s="144">
        <v>2</v>
      </c>
      <c r="O953" s="144" t="s">
        <v>451</v>
      </c>
      <c r="P953" s="146">
        <v>1800000</v>
      </c>
      <c r="Q953" s="144" t="s">
        <v>452</v>
      </c>
      <c r="R953" s="144" t="s">
        <v>8711</v>
      </c>
      <c r="S953" s="144"/>
      <c r="T953" s="144"/>
      <c r="U953" s="145"/>
      <c r="V953" s="145"/>
      <c r="W953" s="145"/>
      <c r="X953" s="144" t="s">
        <v>8712</v>
      </c>
      <c r="Y953" s="144" t="s">
        <v>8713</v>
      </c>
      <c r="Z953" s="144" t="str">
        <f ca="1">IFERROR(__xludf.DUMMYFUNCTION("IF(VLOOKUP($Y953, IMPORTRANGE(""https://docs.google.com/spreadsheets/d/1WsTKRjz8_fF2119Ff9dhKIIYXSaUEHzuWr8pBkxmwQQ/edit"", ""Form Responses 1!$B:$Z""),1, FALSE)=$Y953,""Yes"",""No"")"),"#N/A")</f>
        <v>#N/A</v>
      </c>
      <c r="AA953" s="144"/>
      <c r="AB953" s="144"/>
    </row>
    <row r="954" spans="1:28">
      <c r="A954" s="140" t="s">
        <v>598</v>
      </c>
      <c r="B954" s="140" t="s">
        <v>8714</v>
      </c>
      <c r="C954" s="140" t="s">
        <v>8715</v>
      </c>
      <c r="D954" s="140" t="s">
        <v>8716</v>
      </c>
      <c r="E954" s="140" t="s">
        <v>8717</v>
      </c>
      <c r="F954" s="140" t="s">
        <v>3</v>
      </c>
      <c r="G954" s="140">
        <v>3</v>
      </c>
      <c r="H954" s="140" t="s">
        <v>24</v>
      </c>
      <c r="I954" s="140" t="s">
        <v>460</v>
      </c>
      <c r="J954" s="140" t="s">
        <v>8718</v>
      </c>
      <c r="K954" s="140">
        <v>2.5</v>
      </c>
      <c r="L954" s="140" t="s">
        <v>462</v>
      </c>
      <c r="M954" s="140" t="s">
        <v>8719</v>
      </c>
      <c r="N954" s="140">
        <v>3.5</v>
      </c>
      <c r="O954" s="140"/>
      <c r="P954" s="140"/>
      <c r="Q954" s="140" t="s">
        <v>452</v>
      </c>
      <c r="R954" s="140" t="s">
        <v>8720</v>
      </c>
      <c r="S954" s="140"/>
      <c r="T954" s="140"/>
      <c r="U954" s="143"/>
      <c r="V954" s="143"/>
      <c r="W954" s="143"/>
      <c r="X954" s="140" t="s">
        <v>8721</v>
      </c>
      <c r="Y954" s="140" t="s">
        <v>8722</v>
      </c>
      <c r="Z954" s="140" t="str">
        <f ca="1">IFERROR(__xludf.DUMMYFUNCTION("IF(VLOOKUP($Y954, IMPORTRANGE(""https://docs.google.com/spreadsheets/d/1WsTKRjz8_fF2119Ff9dhKIIYXSaUEHzuWr8pBkxmwQQ/edit"", ""Form Responses 1!$B:$Z""),1, FALSE)=$Y954,""Yes"",""No"")"),"#N/A")</f>
        <v>#N/A</v>
      </c>
      <c r="AA954" s="140"/>
      <c r="AB954" s="140"/>
    </row>
    <row r="955" spans="1:28">
      <c r="A955" s="144" t="s">
        <v>443</v>
      </c>
      <c r="B955" s="144" t="s">
        <v>8723</v>
      </c>
      <c r="C955" s="144" t="s">
        <v>8724</v>
      </c>
      <c r="D955" s="144" t="s">
        <v>8725</v>
      </c>
      <c r="E955" s="144" t="s">
        <v>8726</v>
      </c>
      <c r="F955" s="144" t="s">
        <v>3</v>
      </c>
      <c r="G955" s="144">
        <v>2.75</v>
      </c>
      <c r="H955" s="144" t="s">
        <v>24</v>
      </c>
      <c r="I955" s="144" t="s">
        <v>488</v>
      </c>
      <c r="J955" s="144" t="s">
        <v>8727</v>
      </c>
      <c r="K955" s="144">
        <v>2.5</v>
      </c>
      <c r="L955" s="144" t="s">
        <v>941</v>
      </c>
      <c r="M955" s="144" t="s">
        <v>8728</v>
      </c>
      <c r="N955" s="144">
        <v>3</v>
      </c>
      <c r="O955" s="144" t="s">
        <v>451</v>
      </c>
      <c r="P955" s="147">
        <v>450000</v>
      </c>
      <c r="Q955" s="144" t="s">
        <v>465</v>
      </c>
      <c r="R955" s="144" t="s">
        <v>8729</v>
      </c>
      <c r="S955" s="144"/>
      <c r="T955" s="144"/>
      <c r="U955" s="145"/>
      <c r="V955" s="145"/>
      <c r="W955" s="145"/>
      <c r="X955" s="144" t="s">
        <v>8730</v>
      </c>
      <c r="Y955" s="144" t="s">
        <v>8731</v>
      </c>
      <c r="Z955" s="144" t="str">
        <f ca="1">IFERROR(__xludf.DUMMYFUNCTION("IF(VLOOKUP($Y955, IMPORTRANGE(""https://docs.google.com/spreadsheets/d/1WsTKRjz8_fF2119Ff9dhKIIYXSaUEHzuWr8pBkxmwQQ/edit"", ""Form Responses 1!$B:$Z""),1, FALSE)=$Y955,""Yes"",""No"")"),"#N/A")</f>
        <v>#N/A</v>
      </c>
      <c r="AA955" s="144"/>
      <c r="AB955" s="144"/>
    </row>
    <row r="956" spans="1:28">
      <c r="A956" s="140" t="s">
        <v>484</v>
      </c>
      <c r="B956" s="140" t="s">
        <v>8732</v>
      </c>
      <c r="C956" s="140" t="s">
        <v>8733</v>
      </c>
      <c r="D956" s="140" t="s">
        <v>8734</v>
      </c>
      <c r="E956" s="140" t="s">
        <v>8735</v>
      </c>
      <c r="F956" s="140" t="s">
        <v>3</v>
      </c>
      <c r="G956" s="140">
        <v>1</v>
      </c>
      <c r="H956" s="140" t="s">
        <v>24</v>
      </c>
      <c r="I956" s="140" t="s">
        <v>460</v>
      </c>
      <c r="J956" s="140" t="s">
        <v>8736</v>
      </c>
      <c r="K956" s="140">
        <v>1</v>
      </c>
      <c r="L956" s="140" t="s">
        <v>488</v>
      </c>
      <c r="M956" s="140" t="s">
        <v>8737</v>
      </c>
      <c r="N956" s="140">
        <v>1</v>
      </c>
      <c r="O956" s="140"/>
      <c r="P956" s="140"/>
      <c r="Q956" s="140" t="s">
        <v>452</v>
      </c>
      <c r="R956" s="140" t="s">
        <v>452</v>
      </c>
      <c r="S956" s="140"/>
      <c r="T956" s="140"/>
      <c r="U956" s="143"/>
      <c r="V956" s="143"/>
      <c r="W956" s="143"/>
      <c r="X956" s="140" t="s">
        <v>8738</v>
      </c>
      <c r="Y956" s="140" t="s">
        <v>8739</v>
      </c>
      <c r="Z956" s="140" t="str">
        <f ca="1">IFERROR(__xludf.DUMMYFUNCTION("IF(VLOOKUP($Y956, IMPORTRANGE(""https://docs.google.com/spreadsheets/d/1WsTKRjz8_fF2119Ff9dhKIIYXSaUEHzuWr8pBkxmwQQ/edit"", ""Form Responses 1!$B:$Z""),1, FALSE)=$Y956,""Yes"",""No"")"),"#N/A")</f>
        <v>#N/A</v>
      </c>
      <c r="AA956" s="140"/>
      <c r="AB956" s="140"/>
    </row>
    <row r="957" spans="1:28">
      <c r="A957" s="144" t="s">
        <v>529</v>
      </c>
      <c r="B957" s="144" t="s">
        <v>8740</v>
      </c>
      <c r="C957" s="144" t="s">
        <v>8741</v>
      </c>
      <c r="D957" s="144" t="s">
        <v>8742</v>
      </c>
      <c r="E957" s="144" t="s">
        <v>8743</v>
      </c>
      <c r="F957" s="144" t="s">
        <v>3</v>
      </c>
      <c r="G957" s="144">
        <v>3</v>
      </c>
      <c r="H957" s="144" t="s">
        <v>24</v>
      </c>
      <c r="I957" s="144" t="s">
        <v>488</v>
      </c>
      <c r="J957" s="144"/>
      <c r="K957" s="144">
        <v>3</v>
      </c>
      <c r="L957" s="144" t="s">
        <v>941</v>
      </c>
      <c r="M957" s="144" t="s">
        <v>8744</v>
      </c>
      <c r="N957" s="144">
        <v>3</v>
      </c>
      <c r="O957" s="144" t="s">
        <v>478</v>
      </c>
      <c r="P957" s="144">
        <v>500000</v>
      </c>
      <c r="Q957" s="144" t="s">
        <v>452</v>
      </c>
      <c r="R957" s="144" t="s">
        <v>452</v>
      </c>
      <c r="S957" s="144"/>
      <c r="T957" s="144"/>
      <c r="U957" s="145"/>
      <c r="V957" s="145"/>
      <c r="W957" s="145"/>
      <c r="X957" s="144" t="s">
        <v>8745</v>
      </c>
      <c r="Y957" s="144" t="s">
        <v>8746</v>
      </c>
      <c r="Z957" s="144" t="str">
        <f ca="1">IFERROR(__xludf.DUMMYFUNCTION("IF(VLOOKUP($Y957, IMPORTRANGE(""https://docs.google.com/spreadsheets/d/1WsTKRjz8_fF2119Ff9dhKIIYXSaUEHzuWr8pBkxmwQQ/edit"", ""Form Responses 1!$B:$Z""),1, FALSE)=$Y957,""Yes"",""No"")"),"#N/A")</f>
        <v>#N/A</v>
      </c>
      <c r="AA957" s="144"/>
      <c r="AB957" s="144"/>
    </row>
    <row r="958" spans="1:28">
      <c r="A958" s="140" t="s">
        <v>598</v>
      </c>
      <c r="B958" s="140" t="s">
        <v>8747</v>
      </c>
      <c r="C958" s="140" t="s">
        <v>8748</v>
      </c>
      <c r="D958" s="140" t="s">
        <v>8749</v>
      </c>
      <c r="E958" s="140" t="s">
        <v>8750</v>
      </c>
      <c r="F958" s="140" t="s">
        <v>3</v>
      </c>
      <c r="G958" s="140">
        <v>2.5</v>
      </c>
      <c r="H958" s="140" t="s">
        <v>24</v>
      </c>
      <c r="I958" s="140" t="s">
        <v>460</v>
      </c>
      <c r="J958" s="140" t="s">
        <v>8751</v>
      </c>
      <c r="K958" s="140">
        <v>2</v>
      </c>
      <c r="L958" s="140" t="s">
        <v>941</v>
      </c>
      <c r="M958" s="140" t="s">
        <v>8752</v>
      </c>
      <c r="N958" s="140">
        <v>3</v>
      </c>
      <c r="O958" s="140" t="s">
        <v>451</v>
      </c>
      <c r="P958" s="142">
        <v>2000000</v>
      </c>
      <c r="Q958" s="140" t="s">
        <v>452</v>
      </c>
      <c r="R958" s="140" t="s">
        <v>8753</v>
      </c>
      <c r="S958" s="140"/>
      <c r="T958" s="140"/>
      <c r="U958" s="143"/>
      <c r="V958" s="143"/>
      <c r="W958" s="143"/>
      <c r="X958" s="140" t="s">
        <v>8754</v>
      </c>
      <c r="Y958" s="140" t="s">
        <v>8755</v>
      </c>
      <c r="Z958" s="140" t="str">
        <f ca="1">IFERROR(__xludf.DUMMYFUNCTION("IF(VLOOKUP($Y958, IMPORTRANGE(""https://docs.google.com/spreadsheets/d/1WsTKRjz8_fF2119Ff9dhKIIYXSaUEHzuWr8pBkxmwQQ/edit"", ""Form Responses 1!$B:$Z""),1, FALSE)=$Y958,""Yes"",""No"")"),"#N/A")</f>
        <v>#N/A</v>
      </c>
      <c r="AA958" s="140"/>
      <c r="AB958" s="140"/>
    </row>
    <row r="959" spans="1:28">
      <c r="A959" s="144" t="s">
        <v>503</v>
      </c>
      <c r="B959" s="144" t="s">
        <v>8756</v>
      </c>
      <c r="C959" s="144" t="s">
        <v>8757</v>
      </c>
      <c r="D959" s="144" t="s">
        <v>8758</v>
      </c>
      <c r="E959" s="144" t="s">
        <v>8759</v>
      </c>
      <c r="F959" s="144" t="s">
        <v>3</v>
      </c>
      <c r="G959" s="144">
        <v>1</v>
      </c>
      <c r="H959" s="144" t="s">
        <v>24</v>
      </c>
      <c r="I959" s="144" t="s">
        <v>460</v>
      </c>
      <c r="J959" s="144" t="s">
        <v>8760</v>
      </c>
      <c r="K959" s="144">
        <v>1</v>
      </c>
      <c r="L959" s="144" t="s">
        <v>941</v>
      </c>
      <c r="M959" s="144" t="s">
        <v>8761</v>
      </c>
      <c r="N959" s="144">
        <v>1</v>
      </c>
      <c r="O959" s="144"/>
      <c r="P959" s="144"/>
      <c r="Q959" s="144" t="s">
        <v>452</v>
      </c>
      <c r="R959" s="144" t="s">
        <v>8762</v>
      </c>
      <c r="S959" s="144" t="s">
        <v>8763</v>
      </c>
      <c r="T959" s="144"/>
      <c r="U959" s="145"/>
      <c r="V959" s="145"/>
      <c r="W959" s="145"/>
      <c r="X959" s="144" t="s">
        <v>8764</v>
      </c>
      <c r="Y959" s="144" t="s">
        <v>8765</v>
      </c>
      <c r="Z959" s="144" t="str">
        <f ca="1">IFERROR(__xludf.DUMMYFUNCTION("IF(VLOOKUP($Y959, IMPORTRANGE(""https://docs.google.com/spreadsheets/d/1WsTKRjz8_fF2119Ff9dhKIIYXSaUEHzuWr8pBkxmwQQ/edit"", ""Form Responses 1!$B:$Z""),1, FALSE)=$Y959,""Yes"",""No"")"),"#N/A")</f>
        <v>#N/A</v>
      </c>
      <c r="AA959" s="144"/>
      <c r="AB959" s="144"/>
    </row>
    <row r="960" spans="1:28">
      <c r="A960" s="140" t="s">
        <v>503</v>
      </c>
      <c r="B960" s="140" t="s">
        <v>8766</v>
      </c>
      <c r="C960" s="140" t="s">
        <v>8767</v>
      </c>
      <c r="D960" s="140" t="s">
        <v>8768</v>
      </c>
      <c r="E960" s="140" t="s">
        <v>8769</v>
      </c>
      <c r="F960" s="140" t="s">
        <v>3</v>
      </c>
      <c r="G960" s="140">
        <v>1.5</v>
      </c>
      <c r="H960" s="140" t="s">
        <v>24</v>
      </c>
      <c r="I960" s="140" t="s">
        <v>460</v>
      </c>
      <c r="J960" s="140"/>
      <c r="K960" s="140">
        <v>1</v>
      </c>
      <c r="L960" s="140" t="s">
        <v>941</v>
      </c>
      <c r="M960" s="140"/>
      <c r="N960" s="140">
        <v>2</v>
      </c>
      <c r="O960" s="140" t="s">
        <v>784</v>
      </c>
      <c r="P960" s="142">
        <v>0</v>
      </c>
      <c r="Q960" s="140" t="s">
        <v>465</v>
      </c>
      <c r="R960" s="140" t="s">
        <v>8770</v>
      </c>
      <c r="S960" s="140"/>
      <c r="T960" s="140"/>
      <c r="U960" s="143"/>
      <c r="V960" s="143"/>
      <c r="W960" s="143"/>
      <c r="X960" s="140" t="s">
        <v>8771</v>
      </c>
      <c r="Y960" s="140" t="s">
        <v>8772</v>
      </c>
      <c r="Z960" s="140" t="str">
        <f ca="1">IFERROR(__xludf.DUMMYFUNCTION("IF(VLOOKUP($Y960, IMPORTRANGE(""https://docs.google.com/spreadsheets/d/1WsTKRjz8_fF2119Ff9dhKIIYXSaUEHzuWr8pBkxmwQQ/edit"", ""Form Responses 1!$B:$Z""),1, FALSE)=$Y960,""Yes"",""No"")"),"#N/A")</f>
        <v>#N/A</v>
      </c>
      <c r="AA960" s="140"/>
      <c r="AB960" s="140"/>
    </row>
    <row r="961" spans="1:28">
      <c r="A961" s="144" t="s">
        <v>907</v>
      </c>
      <c r="B961" s="144" t="s">
        <v>8773</v>
      </c>
      <c r="C961" s="144" t="s">
        <v>8774</v>
      </c>
      <c r="D961" s="144" t="s">
        <v>8775</v>
      </c>
      <c r="E961" s="144"/>
      <c r="F961" s="144" t="s">
        <v>3</v>
      </c>
      <c r="G961" s="144">
        <v>1.5</v>
      </c>
      <c r="H961" s="144" t="s">
        <v>24</v>
      </c>
      <c r="I961" s="144" t="s">
        <v>488</v>
      </c>
      <c r="J961" s="144" t="s">
        <v>8776</v>
      </c>
      <c r="K961" s="144">
        <v>2</v>
      </c>
      <c r="L961" s="144" t="s">
        <v>941</v>
      </c>
      <c r="M961" s="144" t="s">
        <v>8777</v>
      </c>
      <c r="N961" s="144">
        <v>1</v>
      </c>
      <c r="O961" s="144" t="s">
        <v>2152</v>
      </c>
      <c r="P961" s="144" t="s">
        <v>8778</v>
      </c>
      <c r="Q961" s="144" t="s">
        <v>454</v>
      </c>
      <c r="R961" s="144" t="s">
        <v>452</v>
      </c>
      <c r="S961" s="144"/>
      <c r="T961" s="144"/>
      <c r="U961" s="145"/>
      <c r="V961" s="145"/>
      <c r="W961" s="145"/>
      <c r="X961" s="144" t="s">
        <v>8779</v>
      </c>
      <c r="Y961" s="144" t="s">
        <v>8780</v>
      </c>
      <c r="Z961" s="144" t="str">
        <f ca="1">IFERROR(__xludf.DUMMYFUNCTION("IF(VLOOKUP($Y961, IMPORTRANGE(""https://docs.google.com/spreadsheets/d/1WsTKRjz8_fF2119Ff9dhKIIYXSaUEHzuWr8pBkxmwQQ/edit"", ""Form Responses 1!$B:$Z""),1, FALSE)=$Y961,""Yes"",""No"")"),"#N/A")</f>
        <v>#N/A</v>
      </c>
      <c r="AA961" s="144"/>
      <c r="AB961" s="144"/>
    </row>
    <row r="962" spans="1:28">
      <c r="A962" s="140" t="s">
        <v>443</v>
      </c>
      <c r="B962" s="140" t="s">
        <v>8781</v>
      </c>
      <c r="C962" s="140" t="s">
        <v>8782</v>
      </c>
      <c r="D962" s="140" t="s">
        <v>8783</v>
      </c>
      <c r="E962" s="140" t="s">
        <v>8784</v>
      </c>
      <c r="F962" s="140" t="s">
        <v>3</v>
      </c>
      <c r="G962" s="140">
        <v>1.5</v>
      </c>
      <c r="H962" s="140" t="s">
        <v>24</v>
      </c>
      <c r="I962" s="140" t="s">
        <v>460</v>
      </c>
      <c r="J962" s="140" t="s">
        <v>8785</v>
      </c>
      <c r="K962" s="140">
        <v>1</v>
      </c>
      <c r="L962" s="140" t="s">
        <v>462</v>
      </c>
      <c r="M962" s="140" t="s">
        <v>8786</v>
      </c>
      <c r="N962" s="140">
        <v>2</v>
      </c>
      <c r="O962" s="140"/>
      <c r="P962" s="140"/>
      <c r="Q962" s="140" t="s">
        <v>454</v>
      </c>
      <c r="R962" s="140" t="s">
        <v>452</v>
      </c>
      <c r="S962" s="140"/>
      <c r="T962" s="140"/>
      <c r="U962" s="143"/>
      <c r="V962" s="143"/>
      <c r="W962" s="143"/>
      <c r="X962" s="140" t="s">
        <v>8787</v>
      </c>
      <c r="Y962" s="140" t="s">
        <v>8788</v>
      </c>
      <c r="Z962" s="140" t="str">
        <f ca="1">IFERROR(__xludf.DUMMYFUNCTION("IF(VLOOKUP($Y962, IMPORTRANGE(""https://docs.google.com/spreadsheets/d/1WsTKRjz8_fF2119Ff9dhKIIYXSaUEHzuWr8pBkxmwQQ/edit"", ""Form Responses 1!$B:$Z""),1, FALSE)=$Y962,""Yes"",""No"")"),"#N/A")</f>
        <v>#N/A</v>
      </c>
      <c r="AA962" s="140"/>
      <c r="AB962" s="140"/>
    </row>
    <row r="963" spans="1:28">
      <c r="A963" s="144" t="s">
        <v>529</v>
      </c>
      <c r="B963" s="144" t="s">
        <v>8789</v>
      </c>
      <c r="C963" s="144" t="s">
        <v>8790</v>
      </c>
      <c r="D963" s="144" t="s">
        <v>8791</v>
      </c>
      <c r="E963" s="144" t="s">
        <v>8792</v>
      </c>
      <c r="F963" s="144" t="s">
        <v>3</v>
      </c>
      <c r="G963" s="144">
        <v>2.75</v>
      </c>
      <c r="H963" s="144" t="s">
        <v>24</v>
      </c>
      <c r="I963" s="144" t="s">
        <v>460</v>
      </c>
      <c r="J963" s="144" t="s">
        <v>8793</v>
      </c>
      <c r="K963" s="144">
        <v>3</v>
      </c>
      <c r="L963" s="144" t="s">
        <v>941</v>
      </c>
      <c r="M963" s="144" t="s">
        <v>8794</v>
      </c>
      <c r="N963" s="144">
        <v>2.5</v>
      </c>
      <c r="O963" s="144" t="s">
        <v>451</v>
      </c>
      <c r="P963" s="144">
        <v>11000000</v>
      </c>
      <c r="Q963" s="144" t="s">
        <v>452</v>
      </c>
      <c r="R963" s="144" t="s">
        <v>8795</v>
      </c>
      <c r="S963" s="144" t="s">
        <v>725</v>
      </c>
      <c r="T963" s="144"/>
      <c r="U963" s="145"/>
      <c r="V963" s="145"/>
      <c r="W963" s="145"/>
      <c r="X963" s="144" t="s">
        <v>8796</v>
      </c>
      <c r="Y963" s="144" t="s">
        <v>8797</v>
      </c>
      <c r="Z963" s="144" t="str">
        <f ca="1">IFERROR(__xludf.DUMMYFUNCTION("IF(VLOOKUP($Y963, IMPORTRANGE(""https://docs.google.com/spreadsheets/d/1WsTKRjz8_fF2119Ff9dhKIIYXSaUEHzuWr8pBkxmwQQ/edit"", ""Form Responses 1!$B:$Z""),1, FALSE)=$Y963,""Yes"",""No"")"),"#N/A")</f>
        <v>#N/A</v>
      </c>
      <c r="AA963" s="144"/>
      <c r="AB963" s="144"/>
    </row>
    <row r="964" spans="1:28">
      <c r="A964" s="140" t="s">
        <v>443</v>
      </c>
      <c r="B964" s="140" t="s">
        <v>8798</v>
      </c>
      <c r="C964" s="140" t="s">
        <v>8799</v>
      </c>
      <c r="D964" s="140" t="s">
        <v>8800</v>
      </c>
      <c r="E964" s="140" t="s">
        <v>8801</v>
      </c>
      <c r="F964" s="140" t="s">
        <v>3</v>
      </c>
      <c r="G964" s="140">
        <v>2.5</v>
      </c>
      <c r="H964" s="140" t="s">
        <v>24</v>
      </c>
      <c r="I964" s="140" t="s">
        <v>460</v>
      </c>
      <c r="J964" s="140" t="s">
        <v>8802</v>
      </c>
      <c r="K964" s="140">
        <v>3</v>
      </c>
      <c r="L964" s="140" t="s">
        <v>941</v>
      </c>
      <c r="M964" s="140" t="s">
        <v>8803</v>
      </c>
      <c r="N964" s="140">
        <v>2</v>
      </c>
      <c r="O964" s="140"/>
      <c r="P964" s="140"/>
      <c r="Q964" s="140" t="s">
        <v>465</v>
      </c>
      <c r="R964" s="140" t="s">
        <v>8804</v>
      </c>
      <c r="S964" s="140"/>
      <c r="T964" s="140"/>
      <c r="U964" s="143"/>
      <c r="V964" s="143"/>
      <c r="W964" s="143"/>
      <c r="X964" s="140" t="s">
        <v>8805</v>
      </c>
      <c r="Y964" s="140" t="s">
        <v>8806</v>
      </c>
      <c r="Z964" s="140" t="str">
        <f ca="1">IFERROR(__xludf.DUMMYFUNCTION("IF(VLOOKUP($Y964, IMPORTRANGE(""https://docs.google.com/spreadsheets/d/1WsTKRjz8_fF2119Ff9dhKIIYXSaUEHzuWr8pBkxmwQQ/edit"", ""Form Responses 1!$B:$Z""),1, FALSE)=$Y964,""Yes"",""No"")"),"#N/A")</f>
        <v>#N/A</v>
      </c>
      <c r="AA964" s="140"/>
      <c r="AB964" s="140"/>
    </row>
    <row r="965" spans="1:28">
      <c r="A965" s="144" t="s">
        <v>443</v>
      </c>
      <c r="B965" s="144" t="s">
        <v>8807</v>
      </c>
      <c r="C965" s="144" t="s">
        <v>8808</v>
      </c>
      <c r="D965" s="144" t="s">
        <v>8809</v>
      </c>
      <c r="E965" s="144" t="s">
        <v>8810</v>
      </c>
      <c r="F965" s="144" t="s">
        <v>3</v>
      </c>
      <c r="G965" s="144">
        <v>3</v>
      </c>
      <c r="H965" s="144" t="s">
        <v>24</v>
      </c>
      <c r="I965" s="144" t="s">
        <v>460</v>
      </c>
      <c r="J965" s="144" t="s">
        <v>8811</v>
      </c>
      <c r="K965" s="144">
        <v>3</v>
      </c>
      <c r="L965" s="144" t="s">
        <v>462</v>
      </c>
      <c r="M965" s="144" t="s">
        <v>8812</v>
      </c>
      <c r="N965" s="144">
        <v>3</v>
      </c>
      <c r="O965" s="144"/>
      <c r="P965" s="144"/>
      <c r="Q965" s="144" t="s">
        <v>452</v>
      </c>
      <c r="R965" s="144" t="s">
        <v>452</v>
      </c>
      <c r="S965" s="144"/>
      <c r="T965" s="144"/>
      <c r="U965" s="145"/>
      <c r="V965" s="145"/>
      <c r="W965" s="145"/>
      <c r="X965" s="144" t="s">
        <v>2471</v>
      </c>
      <c r="Y965" s="144" t="s">
        <v>8813</v>
      </c>
      <c r="Z965" s="144" t="str">
        <f ca="1">IFERROR(__xludf.DUMMYFUNCTION("IF(VLOOKUP($Y965, IMPORTRANGE(""https://docs.google.com/spreadsheets/d/1WsTKRjz8_fF2119Ff9dhKIIYXSaUEHzuWr8pBkxmwQQ/edit"", ""Form Responses 1!$B:$Z""),1, FALSE)=$Y965,""Yes"",""No"")"),"#N/A")</f>
        <v>#N/A</v>
      </c>
      <c r="AA965" s="144"/>
      <c r="AB965" s="144"/>
    </row>
    <row r="966" spans="1:28">
      <c r="A966" s="140" t="s">
        <v>598</v>
      </c>
      <c r="B966" s="140" t="s">
        <v>8814</v>
      </c>
      <c r="C966" s="140" t="s">
        <v>8815</v>
      </c>
      <c r="D966" s="140" t="s">
        <v>8816</v>
      </c>
      <c r="E966" s="140" t="s">
        <v>8817</v>
      </c>
      <c r="F966" s="140" t="s">
        <v>3</v>
      </c>
      <c r="G966" s="140">
        <v>3.25</v>
      </c>
      <c r="H966" s="140" t="s">
        <v>24</v>
      </c>
      <c r="I966" s="140" t="s">
        <v>460</v>
      </c>
      <c r="J966" s="140" t="s">
        <v>8818</v>
      </c>
      <c r="K966" s="140">
        <v>3</v>
      </c>
      <c r="L966" s="140" t="s">
        <v>462</v>
      </c>
      <c r="M966" s="140" t="s">
        <v>8819</v>
      </c>
      <c r="N966" s="140">
        <v>3.5</v>
      </c>
      <c r="O966" s="140" t="s">
        <v>478</v>
      </c>
      <c r="P966" s="140" t="s">
        <v>8820</v>
      </c>
      <c r="Q966" s="140" t="s">
        <v>452</v>
      </c>
      <c r="R966" s="140" t="s">
        <v>452</v>
      </c>
      <c r="S966" s="140"/>
      <c r="T966" s="140"/>
      <c r="U966" s="143"/>
      <c r="V966" s="143"/>
      <c r="W966" s="143"/>
      <c r="X966" s="140" t="s">
        <v>8821</v>
      </c>
      <c r="Y966" s="140" t="s">
        <v>8822</v>
      </c>
      <c r="Z966" s="140" t="str">
        <f ca="1">IFERROR(__xludf.DUMMYFUNCTION("IF(VLOOKUP($Y966, IMPORTRANGE(""https://docs.google.com/spreadsheets/d/1WsTKRjz8_fF2119Ff9dhKIIYXSaUEHzuWr8pBkxmwQQ/edit"", ""Form Responses 1!$B:$Z""),1, FALSE)=$Y966,""Yes"",""No"")"),"#N/A")</f>
        <v>#N/A</v>
      </c>
      <c r="AA966" s="140"/>
      <c r="AB966" s="140"/>
    </row>
    <row r="967" spans="1:28">
      <c r="A967" s="144" t="s">
        <v>484</v>
      </c>
      <c r="B967" s="144" t="s">
        <v>8823</v>
      </c>
      <c r="C967" s="144" t="s">
        <v>8824</v>
      </c>
      <c r="D967" s="144" t="s">
        <v>8825</v>
      </c>
      <c r="E967" s="144" t="s">
        <v>8826</v>
      </c>
      <c r="F967" s="144" t="s">
        <v>3</v>
      </c>
      <c r="G967" s="144">
        <v>2</v>
      </c>
      <c r="H967" s="144" t="s">
        <v>24</v>
      </c>
      <c r="I967" s="144" t="s">
        <v>460</v>
      </c>
      <c r="J967" s="144" t="s">
        <v>8827</v>
      </c>
      <c r="K967" s="144">
        <v>1</v>
      </c>
      <c r="L967" s="144" t="s">
        <v>941</v>
      </c>
      <c r="M967" s="144" t="s">
        <v>8828</v>
      </c>
      <c r="N967" s="144">
        <v>3</v>
      </c>
      <c r="O967" s="144" t="s">
        <v>784</v>
      </c>
      <c r="P967" s="144">
        <v>1000000</v>
      </c>
      <c r="Q967" s="144" t="s">
        <v>452</v>
      </c>
      <c r="R967" s="144" t="s">
        <v>452</v>
      </c>
      <c r="S967" s="144"/>
      <c r="T967" s="144"/>
      <c r="U967" s="145"/>
      <c r="V967" s="145"/>
      <c r="W967" s="145"/>
      <c r="X967" s="144" t="s">
        <v>8829</v>
      </c>
      <c r="Y967" s="144" t="s">
        <v>8830</v>
      </c>
      <c r="Z967" s="144" t="str">
        <f ca="1">IFERROR(__xludf.DUMMYFUNCTION("IF(VLOOKUP($Y967, IMPORTRANGE(""https://docs.google.com/spreadsheets/d/1WsTKRjz8_fF2119Ff9dhKIIYXSaUEHzuWr8pBkxmwQQ/edit"", ""Form Responses 1!$B:$Z""),1, FALSE)=$Y967,""Yes"",""No"")"),"#N/A")</f>
        <v>#N/A</v>
      </c>
      <c r="AA967" s="144"/>
      <c r="AB967" s="144"/>
    </row>
    <row r="968" spans="1:28">
      <c r="A968" s="140" t="s">
        <v>443</v>
      </c>
      <c r="B968" s="140" t="s">
        <v>8831</v>
      </c>
      <c r="C968" s="140" t="s">
        <v>8832</v>
      </c>
      <c r="D968" s="140" t="s">
        <v>8833</v>
      </c>
      <c r="E968" s="140" t="s">
        <v>8834</v>
      </c>
      <c r="F968" s="140" t="s">
        <v>3</v>
      </c>
      <c r="G968" s="140">
        <v>2</v>
      </c>
      <c r="H968" s="140" t="s">
        <v>24</v>
      </c>
      <c r="I968" s="140" t="s">
        <v>460</v>
      </c>
      <c r="J968" s="140" t="s">
        <v>8835</v>
      </c>
      <c r="K968" s="140">
        <v>2</v>
      </c>
      <c r="L968" s="140" t="s">
        <v>941</v>
      </c>
      <c r="M968" s="140" t="s">
        <v>8836</v>
      </c>
      <c r="N968" s="140">
        <v>2</v>
      </c>
      <c r="O968" s="140" t="s">
        <v>451</v>
      </c>
      <c r="P968" s="142">
        <v>3000000</v>
      </c>
      <c r="Q968" s="140" t="s">
        <v>452</v>
      </c>
      <c r="R968" s="140" t="s">
        <v>8837</v>
      </c>
      <c r="S968" s="140" t="s">
        <v>8838</v>
      </c>
      <c r="T968" s="140" t="s">
        <v>8839</v>
      </c>
      <c r="U968" s="143"/>
      <c r="V968" s="143"/>
      <c r="W968" s="143"/>
      <c r="X968" s="140" t="s">
        <v>8840</v>
      </c>
      <c r="Y968" s="140" t="s">
        <v>8841</v>
      </c>
      <c r="Z968" s="140" t="str">
        <f ca="1">IFERROR(__xludf.DUMMYFUNCTION("IF(VLOOKUP($Y968, IMPORTRANGE(""https://docs.google.com/spreadsheets/d/1WsTKRjz8_fF2119Ff9dhKIIYXSaUEHzuWr8pBkxmwQQ/edit"", ""Form Responses 1!$B:$Z""),1, FALSE)=$Y968,""Yes"",""No"")"),"#N/A")</f>
        <v>#N/A</v>
      </c>
      <c r="AA968" s="140"/>
      <c r="AB968" s="140"/>
    </row>
    <row r="969" spans="1:28">
      <c r="A969" s="144" t="s">
        <v>529</v>
      </c>
      <c r="B969" s="144" t="s">
        <v>8842</v>
      </c>
      <c r="C969" s="144" t="s">
        <v>8843</v>
      </c>
      <c r="D969" s="144" t="s">
        <v>8844</v>
      </c>
      <c r="E969" s="144" t="s">
        <v>8845</v>
      </c>
      <c r="F969" s="144" t="s">
        <v>3</v>
      </c>
      <c r="G969" s="144">
        <v>2</v>
      </c>
      <c r="H969" s="144" t="s">
        <v>24</v>
      </c>
      <c r="I969" s="144" t="s">
        <v>725</v>
      </c>
      <c r="J969" s="144" t="s">
        <v>8846</v>
      </c>
      <c r="K969" s="144">
        <v>2</v>
      </c>
      <c r="L969" s="144" t="s">
        <v>941</v>
      </c>
      <c r="M969" s="144"/>
      <c r="N969" s="144">
        <v>2</v>
      </c>
      <c r="O969" s="144" t="s">
        <v>784</v>
      </c>
      <c r="P969" s="144">
        <v>200000</v>
      </c>
      <c r="Q969" s="144" t="s">
        <v>452</v>
      </c>
      <c r="R969" s="144" t="s">
        <v>8847</v>
      </c>
      <c r="S969" s="144"/>
      <c r="T969" s="144"/>
      <c r="U969" s="145"/>
      <c r="V969" s="145"/>
      <c r="W969" s="145"/>
      <c r="X969" s="144" t="s">
        <v>8848</v>
      </c>
      <c r="Y969" s="144" t="s">
        <v>8849</v>
      </c>
      <c r="Z969" s="144" t="str">
        <f ca="1">IFERROR(__xludf.DUMMYFUNCTION("IF(VLOOKUP($Y969, IMPORTRANGE(""https://docs.google.com/spreadsheets/d/1WsTKRjz8_fF2119Ff9dhKIIYXSaUEHzuWr8pBkxmwQQ/edit"", ""Form Responses 1!$B:$Z""),1, FALSE)=$Y969,""Yes"",""No"")"),"#N/A")</f>
        <v>#N/A</v>
      </c>
      <c r="AA969" s="144"/>
      <c r="AB969" s="144"/>
    </row>
    <row r="970" spans="1:28">
      <c r="A970" s="140" t="s">
        <v>598</v>
      </c>
      <c r="B970" s="140" t="s">
        <v>8850</v>
      </c>
      <c r="C970" s="140" t="s">
        <v>8851</v>
      </c>
      <c r="D970" s="140" t="s">
        <v>8852</v>
      </c>
      <c r="E970" s="140" t="s">
        <v>8853</v>
      </c>
      <c r="F970" s="140" t="s">
        <v>3</v>
      </c>
      <c r="G970" s="140">
        <v>3.75</v>
      </c>
      <c r="H970" s="140" t="s">
        <v>24</v>
      </c>
      <c r="I970" s="140" t="s">
        <v>725</v>
      </c>
      <c r="J970" s="140" t="s">
        <v>8854</v>
      </c>
      <c r="K970" s="140">
        <v>3.5</v>
      </c>
      <c r="L970" s="140" t="s">
        <v>462</v>
      </c>
      <c r="M970" s="140" t="s">
        <v>8855</v>
      </c>
      <c r="N970" s="140">
        <v>4</v>
      </c>
      <c r="O970" s="140" t="s">
        <v>478</v>
      </c>
      <c r="P970" s="140">
        <v>20000000</v>
      </c>
      <c r="Q970" s="140" t="s">
        <v>452</v>
      </c>
      <c r="R970" s="140" t="s">
        <v>8856</v>
      </c>
      <c r="S970" s="140"/>
      <c r="T970" s="140"/>
      <c r="U970" s="143"/>
      <c r="V970" s="143"/>
      <c r="W970" s="143"/>
      <c r="X970" s="140" t="s">
        <v>8857</v>
      </c>
      <c r="Y970" s="140" t="s">
        <v>8858</v>
      </c>
      <c r="Z970" s="140" t="str">
        <f ca="1">IFERROR(__xludf.DUMMYFUNCTION("IF(VLOOKUP($Y970, IMPORTRANGE(""https://docs.google.com/spreadsheets/d/1WsTKRjz8_fF2119Ff9dhKIIYXSaUEHzuWr8pBkxmwQQ/edit"", ""Form Responses 1!$B:$Z""),1, FALSE)=$Y970,""Yes"",""No"")"),"#N/A")</f>
        <v>#N/A</v>
      </c>
      <c r="AA970" s="140"/>
      <c r="AB970" s="140"/>
    </row>
    <row r="971" spans="1:28">
      <c r="A971" s="144" t="s">
        <v>471</v>
      </c>
      <c r="B971" s="144" t="s">
        <v>8859</v>
      </c>
      <c r="C971" s="144" t="s">
        <v>8860</v>
      </c>
      <c r="D971" s="144" t="s">
        <v>8861</v>
      </c>
      <c r="E971" s="144" t="s">
        <v>8862</v>
      </c>
      <c r="F971" s="144" t="s">
        <v>3</v>
      </c>
      <c r="G971" s="144">
        <v>3.5</v>
      </c>
      <c r="H971" s="144" t="s">
        <v>24</v>
      </c>
      <c r="I971" s="144" t="s">
        <v>460</v>
      </c>
      <c r="J971" s="144" t="s">
        <v>8863</v>
      </c>
      <c r="K971" s="144">
        <v>3</v>
      </c>
      <c r="L971" s="144" t="s">
        <v>462</v>
      </c>
      <c r="M971" s="144" t="s">
        <v>8864</v>
      </c>
      <c r="N971" s="144">
        <v>4</v>
      </c>
      <c r="O971" s="144" t="s">
        <v>451</v>
      </c>
      <c r="P971" s="147">
        <v>1000000</v>
      </c>
      <c r="Q971" s="144" t="s">
        <v>454</v>
      </c>
      <c r="R971" s="144" t="s">
        <v>8865</v>
      </c>
      <c r="S971" s="144"/>
      <c r="T971" s="144" t="s">
        <v>8866</v>
      </c>
      <c r="U971" s="145"/>
      <c r="V971" s="145"/>
      <c r="W971" s="145"/>
      <c r="X971" s="144" t="s">
        <v>8867</v>
      </c>
      <c r="Y971" s="144" t="s">
        <v>8868</v>
      </c>
      <c r="Z971" s="144" t="str">
        <f ca="1">IFERROR(__xludf.DUMMYFUNCTION("IF(VLOOKUP($Y971, IMPORTRANGE(""https://docs.google.com/spreadsheets/d/1WsTKRjz8_fF2119Ff9dhKIIYXSaUEHzuWr8pBkxmwQQ/edit"", ""Form Responses 1!$B:$Z""),1, FALSE)=$Y971,""Yes"",""No"")"),"#N/A")</f>
        <v>#N/A</v>
      </c>
      <c r="AA971" s="144"/>
      <c r="AB971" s="144"/>
    </row>
    <row r="972" spans="1:28">
      <c r="A972" s="140" t="s">
        <v>598</v>
      </c>
      <c r="B972" s="140" t="s">
        <v>8869</v>
      </c>
      <c r="C972" s="140" t="s">
        <v>8870</v>
      </c>
      <c r="D972" s="140" t="s">
        <v>8871</v>
      </c>
      <c r="E972" s="140" t="s">
        <v>8872</v>
      </c>
      <c r="F972" s="140" t="s">
        <v>3</v>
      </c>
      <c r="G972" s="140">
        <v>3.25</v>
      </c>
      <c r="H972" s="140" t="s">
        <v>24</v>
      </c>
      <c r="I972" s="140" t="s">
        <v>460</v>
      </c>
      <c r="J972" s="140" t="s">
        <v>8873</v>
      </c>
      <c r="K972" s="140">
        <v>3</v>
      </c>
      <c r="L972" s="140" t="s">
        <v>488</v>
      </c>
      <c r="M972" s="140"/>
      <c r="N972" s="140">
        <v>3.5</v>
      </c>
      <c r="O972" s="140" t="s">
        <v>8874</v>
      </c>
      <c r="P972" s="142">
        <v>5000000</v>
      </c>
      <c r="Q972" s="140" t="s">
        <v>452</v>
      </c>
      <c r="R972" s="140" t="s">
        <v>452</v>
      </c>
      <c r="S972" s="140"/>
      <c r="T972" s="140"/>
      <c r="U972" s="143"/>
      <c r="V972" s="143"/>
      <c r="W972" s="143"/>
      <c r="X972" s="140" t="s">
        <v>8875</v>
      </c>
      <c r="Y972" s="140" t="s">
        <v>8876</v>
      </c>
      <c r="Z972" s="140" t="str">
        <f ca="1">IFERROR(__xludf.DUMMYFUNCTION("IF(VLOOKUP($Y972, IMPORTRANGE(""https://docs.google.com/spreadsheets/d/1WsTKRjz8_fF2119Ff9dhKIIYXSaUEHzuWr8pBkxmwQQ/edit"", ""Form Responses 1!$B:$Z""),1, FALSE)=$Y972,""Yes"",""No"")"),"#N/A")</f>
        <v>#N/A</v>
      </c>
      <c r="AA972" s="140"/>
      <c r="AB972" s="140"/>
    </row>
    <row r="973" spans="1:28">
      <c r="A973" s="144" t="s">
        <v>484</v>
      </c>
      <c r="B973" s="144" t="s">
        <v>8877</v>
      </c>
      <c r="C973" s="144" t="s">
        <v>8878</v>
      </c>
      <c r="D973" s="144" t="s">
        <v>8879</v>
      </c>
      <c r="E973" s="144" t="s">
        <v>8880</v>
      </c>
      <c r="F973" s="144" t="s">
        <v>3</v>
      </c>
      <c r="G973" s="144">
        <v>2.5</v>
      </c>
      <c r="H973" s="144" t="s">
        <v>24</v>
      </c>
      <c r="I973" s="144" t="s">
        <v>460</v>
      </c>
      <c r="J973" s="144" t="s">
        <v>8881</v>
      </c>
      <c r="K973" s="144">
        <v>3</v>
      </c>
      <c r="L973" s="144" t="s">
        <v>488</v>
      </c>
      <c r="M973" s="144" t="s">
        <v>8882</v>
      </c>
      <c r="N973" s="144">
        <v>2</v>
      </c>
      <c r="O973" s="144"/>
      <c r="P973" s="144"/>
      <c r="Q973" s="144" t="s">
        <v>465</v>
      </c>
      <c r="R973" s="144" t="s">
        <v>8883</v>
      </c>
      <c r="S973" s="144"/>
      <c r="T973" s="144" t="s">
        <v>8884</v>
      </c>
      <c r="U973" s="145"/>
      <c r="V973" s="145"/>
      <c r="W973" s="145"/>
      <c r="X973" s="144" t="s">
        <v>8885</v>
      </c>
      <c r="Y973" s="144" t="s">
        <v>8886</v>
      </c>
      <c r="Z973" s="144" t="str">
        <f ca="1">IFERROR(__xludf.DUMMYFUNCTION("IF(VLOOKUP($Y973, IMPORTRANGE(""https://docs.google.com/spreadsheets/d/1WsTKRjz8_fF2119Ff9dhKIIYXSaUEHzuWr8pBkxmwQQ/edit"", ""Form Responses 1!$B:$Z""),1, FALSE)=$Y973,""Yes"",""No"")"),"#N/A")</f>
        <v>#N/A</v>
      </c>
      <c r="AA973" s="144"/>
      <c r="AB973" s="144"/>
    </row>
    <row r="974" spans="1:28">
      <c r="A974" s="140" t="s">
        <v>503</v>
      </c>
      <c r="B974" s="140" t="s">
        <v>8887</v>
      </c>
      <c r="C974" s="140" t="s">
        <v>8888</v>
      </c>
      <c r="D974" s="140" t="s">
        <v>8889</v>
      </c>
      <c r="E974" s="140" t="s">
        <v>8890</v>
      </c>
      <c r="F974" s="140" t="s">
        <v>3</v>
      </c>
      <c r="G974" s="140">
        <v>2</v>
      </c>
      <c r="H974" s="140" t="s">
        <v>24</v>
      </c>
      <c r="I974" s="140" t="s">
        <v>460</v>
      </c>
      <c r="J974" s="140" t="s">
        <v>8891</v>
      </c>
      <c r="K974" s="140">
        <v>2</v>
      </c>
      <c r="L974" s="140" t="s">
        <v>488</v>
      </c>
      <c r="M974" s="140"/>
      <c r="N974" s="140">
        <v>2</v>
      </c>
      <c r="O974" s="140" t="s">
        <v>451</v>
      </c>
      <c r="P974" s="140">
        <v>2500000</v>
      </c>
      <c r="Q974" s="140" t="s">
        <v>452</v>
      </c>
      <c r="R974" s="140" t="s">
        <v>8892</v>
      </c>
      <c r="S974" s="140" t="s">
        <v>8893</v>
      </c>
      <c r="T974" s="140" t="s">
        <v>8893</v>
      </c>
      <c r="U974" s="143"/>
      <c r="V974" s="143"/>
      <c r="W974" s="143"/>
      <c r="X974" s="140" t="s">
        <v>8894</v>
      </c>
      <c r="Y974" s="140" t="s">
        <v>8895</v>
      </c>
      <c r="Z974" s="140" t="str">
        <f ca="1">IFERROR(__xludf.DUMMYFUNCTION("IF(VLOOKUP($Y974, IMPORTRANGE(""https://docs.google.com/spreadsheets/d/1WsTKRjz8_fF2119Ff9dhKIIYXSaUEHzuWr8pBkxmwQQ/edit"", ""Form Responses 1!$B:$Z""),1, FALSE)=$Y974,""Yes"",""No"")"),"#N/A")</f>
        <v>#N/A</v>
      </c>
      <c r="AA974" s="140"/>
      <c r="AB974" s="140"/>
    </row>
    <row r="975" spans="1:28">
      <c r="A975" s="144" t="s">
        <v>503</v>
      </c>
      <c r="B975" s="144" t="s">
        <v>8896</v>
      </c>
      <c r="C975" s="144" t="s">
        <v>8897</v>
      </c>
      <c r="D975" s="144" t="s">
        <v>8898</v>
      </c>
      <c r="E975" s="144" t="s">
        <v>8899</v>
      </c>
      <c r="F975" s="144" t="s">
        <v>3</v>
      </c>
      <c r="G975" s="144">
        <v>1</v>
      </c>
      <c r="H975" s="144" t="s">
        <v>24</v>
      </c>
      <c r="I975" s="144" t="s">
        <v>460</v>
      </c>
      <c r="J975" s="144"/>
      <c r="K975" s="144">
        <v>1</v>
      </c>
      <c r="L975" s="144" t="s">
        <v>462</v>
      </c>
      <c r="M975" s="144" t="s">
        <v>8900</v>
      </c>
      <c r="N975" s="144">
        <v>1</v>
      </c>
      <c r="O975" s="144" t="s">
        <v>451</v>
      </c>
      <c r="P975" s="147">
        <v>3250000</v>
      </c>
      <c r="Q975" s="144" t="s">
        <v>465</v>
      </c>
      <c r="R975" s="144" t="s">
        <v>452</v>
      </c>
      <c r="S975" s="144"/>
      <c r="T975" s="144"/>
      <c r="U975" s="145"/>
      <c r="V975" s="145"/>
      <c r="W975" s="145"/>
      <c r="X975" s="144" t="s">
        <v>8901</v>
      </c>
      <c r="Y975" s="144" t="s">
        <v>8902</v>
      </c>
      <c r="Z975" s="144" t="str">
        <f ca="1">IFERROR(__xludf.DUMMYFUNCTION("IF(VLOOKUP($Y975, IMPORTRANGE(""https://docs.google.com/spreadsheets/d/1WsTKRjz8_fF2119Ff9dhKIIYXSaUEHzuWr8pBkxmwQQ/edit"", ""Form Responses 1!$B:$Z""),1, FALSE)=$Y975,""Yes"",""No"")"),"#N/A")</f>
        <v>#N/A</v>
      </c>
      <c r="AA975" s="144"/>
      <c r="AB975" s="144"/>
    </row>
    <row r="976" spans="1:28">
      <c r="A976" s="140" t="s">
        <v>443</v>
      </c>
      <c r="B976" s="140" t="s">
        <v>8903</v>
      </c>
      <c r="C976" s="140" t="s">
        <v>8897</v>
      </c>
      <c r="D976" s="140" t="s">
        <v>8904</v>
      </c>
      <c r="E976" s="140" t="s">
        <v>8905</v>
      </c>
      <c r="F976" s="140" t="s">
        <v>3</v>
      </c>
      <c r="G976" s="140">
        <v>1</v>
      </c>
      <c r="H976" s="140" t="s">
        <v>24</v>
      </c>
      <c r="I976" s="140" t="s">
        <v>460</v>
      </c>
      <c r="J976" s="140" t="s">
        <v>8906</v>
      </c>
      <c r="K976" s="140">
        <v>1</v>
      </c>
      <c r="L976" s="140" t="s">
        <v>941</v>
      </c>
      <c r="M976" s="140"/>
      <c r="N976" s="140">
        <v>1</v>
      </c>
      <c r="O976" s="140" t="s">
        <v>478</v>
      </c>
      <c r="P976" s="148">
        <v>2000000</v>
      </c>
      <c r="Q976" s="140" t="s">
        <v>452</v>
      </c>
      <c r="R976" s="140" t="s">
        <v>8907</v>
      </c>
      <c r="S976" s="140"/>
      <c r="T976" s="140"/>
      <c r="U976" s="143"/>
      <c r="V976" s="143"/>
      <c r="W976" s="143"/>
      <c r="X976" s="140" t="s">
        <v>8908</v>
      </c>
      <c r="Y976" s="140" t="s">
        <v>8909</v>
      </c>
      <c r="Z976" s="140" t="str">
        <f ca="1">IFERROR(__xludf.DUMMYFUNCTION("IF(VLOOKUP($Y976, IMPORTRANGE(""https://docs.google.com/spreadsheets/d/1WsTKRjz8_fF2119Ff9dhKIIYXSaUEHzuWr8pBkxmwQQ/edit"", ""Form Responses 1!$B:$Z""),1, FALSE)=$Y976,""Yes"",""No"")"),"#N/A")</f>
        <v>#N/A</v>
      </c>
      <c r="AA976" s="140"/>
      <c r="AB976" s="140"/>
    </row>
    <row r="977" spans="1:28">
      <c r="A977" s="144" t="s">
        <v>529</v>
      </c>
      <c r="B977" s="144" t="s">
        <v>8910</v>
      </c>
      <c r="C977" s="144" t="s">
        <v>8911</v>
      </c>
      <c r="D977" s="144" t="s">
        <v>8912</v>
      </c>
      <c r="E977" s="144"/>
      <c r="F977" s="144" t="s">
        <v>3</v>
      </c>
      <c r="G977" s="144">
        <v>3.75</v>
      </c>
      <c r="H977" s="144" t="s">
        <v>24</v>
      </c>
      <c r="I977" s="144" t="s">
        <v>488</v>
      </c>
      <c r="J977" s="144"/>
      <c r="K977" s="144">
        <v>3.5</v>
      </c>
      <c r="L977" s="144" t="s">
        <v>462</v>
      </c>
      <c r="M977" s="144" t="s">
        <v>8913</v>
      </c>
      <c r="N977" s="144">
        <v>4</v>
      </c>
      <c r="O977" s="144" t="s">
        <v>8914</v>
      </c>
      <c r="P977" s="144">
        <v>5000000</v>
      </c>
      <c r="Q977" s="144" t="s">
        <v>452</v>
      </c>
      <c r="R977" s="144" t="s">
        <v>8915</v>
      </c>
      <c r="S977" s="144"/>
      <c r="T977" s="144" t="s">
        <v>8916</v>
      </c>
      <c r="U977" s="145"/>
      <c r="V977" s="145"/>
      <c r="W977" s="145"/>
      <c r="X977" s="144" t="s">
        <v>8917</v>
      </c>
      <c r="Y977" s="144" t="s">
        <v>8918</v>
      </c>
      <c r="Z977" s="144" t="str">
        <f ca="1">IFERROR(__xludf.DUMMYFUNCTION("IF(VLOOKUP($Y977, IMPORTRANGE(""https://docs.google.com/spreadsheets/d/1WsTKRjz8_fF2119Ff9dhKIIYXSaUEHzuWr8pBkxmwQQ/edit"", ""Form Responses 1!$B:$Z""),1, FALSE)=$Y977,""Yes"",""No"")"),"#N/A")</f>
        <v>#N/A</v>
      </c>
      <c r="AA977" s="144"/>
      <c r="AB977" s="144"/>
    </row>
    <row r="978" spans="1:28">
      <c r="A978" s="140" t="s">
        <v>484</v>
      </c>
      <c r="B978" s="140" t="s">
        <v>8919</v>
      </c>
      <c r="C978" s="140" t="s">
        <v>8920</v>
      </c>
      <c r="D978" s="140" t="s">
        <v>8921</v>
      </c>
      <c r="E978" s="140" t="s">
        <v>8922</v>
      </c>
      <c r="F978" s="140" t="s">
        <v>3</v>
      </c>
      <c r="G978" s="140">
        <v>1</v>
      </c>
      <c r="H978" s="140" t="s">
        <v>24</v>
      </c>
      <c r="I978" s="140" t="s">
        <v>488</v>
      </c>
      <c r="J978" s="140" t="s">
        <v>8923</v>
      </c>
      <c r="K978" s="140">
        <v>1</v>
      </c>
      <c r="L978" s="140" t="s">
        <v>941</v>
      </c>
      <c r="M978" s="140" t="s">
        <v>8924</v>
      </c>
      <c r="N978" s="140">
        <v>1</v>
      </c>
      <c r="O978" s="140"/>
      <c r="P978" s="140"/>
      <c r="Q978" s="140" t="s">
        <v>454</v>
      </c>
      <c r="R978" s="140" t="s">
        <v>575</v>
      </c>
      <c r="S978" s="140"/>
      <c r="T978" s="140"/>
      <c r="U978" s="143"/>
      <c r="V978" s="143"/>
      <c r="W978" s="143"/>
      <c r="X978" s="140" t="s">
        <v>8925</v>
      </c>
      <c r="Y978" s="140" t="s">
        <v>8926</v>
      </c>
      <c r="Z978" s="140" t="str">
        <f ca="1">IFERROR(__xludf.DUMMYFUNCTION("IF(VLOOKUP($Y978, IMPORTRANGE(""https://docs.google.com/spreadsheets/d/1WsTKRjz8_fF2119Ff9dhKIIYXSaUEHzuWr8pBkxmwQQ/edit"", ""Form Responses 1!$B:$Z""),1, FALSE)=$Y978,""Yes"",""No"")"),"#N/A")</f>
        <v>#N/A</v>
      </c>
      <c r="AA978" s="140"/>
      <c r="AB978" s="140"/>
    </row>
    <row r="979" spans="1:28">
      <c r="A979" s="144" t="s">
        <v>529</v>
      </c>
      <c r="B979" s="144" t="s">
        <v>8927</v>
      </c>
      <c r="C979" s="144" t="s">
        <v>8928</v>
      </c>
      <c r="D979" s="144" t="s">
        <v>8929</v>
      </c>
      <c r="E979" s="144" t="s">
        <v>8930</v>
      </c>
      <c r="F979" s="144" t="s">
        <v>3</v>
      </c>
      <c r="G979" s="144">
        <v>3.5</v>
      </c>
      <c r="H979" s="144" t="s">
        <v>24</v>
      </c>
      <c r="I979" s="144" t="s">
        <v>460</v>
      </c>
      <c r="J979" s="144" t="s">
        <v>8931</v>
      </c>
      <c r="K979" s="144">
        <v>3.5</v>
      </c>
      <c r="L979" s="144" t="s">
        <v>462</v>
      </c>
      <c r="M979" s="144" t="s">
        <v>8932</v>
      </c>
      <c r="N979" s="144">
        <v>3.5</v>
      </c>
      <c r="O979" s="144" t="s">
        <v>478</v>
      </c>
      <c r="P979" s="160">
        <v>30000000</v>
      </c>
      <c r="Q979" s="144" t="s">
        <v>452</v>
      </c>
      <c r="R979" s="144" t="s">
        <v>452</v>
      </c>
      <c r="S979" s="144"/>
      <c r="T979" s="144"/>
      <c r="U979" s="145"/>
      <c r="V979" s="145"/>
      <c r="W979" s="145"/>
      <c r="X979" s="144" t="s">
        <v>8933</v>
      </c>
      <c r="Y979" s="144" t="s">
        <v>8934</v>
      </c>
      <c r="Z979" s="144" t="str">
        <f ca="1">IFERROR(__xludf.DUMMYFUNCTION("IF(VLOOKUP($Y979, IMPORTRANGE(""https://docs.google.com/spreadsheets/d/1WsTKRjz8_fF2119Ff9dhKIIYXSaUEHzuWr8pBkxmwQQ/edit"", ""Form Responses 1!$B:$Z""),1, FALSE)=$Y979,""Yes"",""No"")"),"#N/A")</f>
        <v>#N/A</v>
      </c>
      <c r="AA979" s="144"/>
      <c r="AB979" s="144"/>
    </row>
    <row r="980" spans="1:28">
      <c r="A980" s="140" t="s">
        <v>529</v>
      </c>
      <c r="B980" s="140" t="s">
        <v>8935</v>
      </c>
      <c r="C980" s="140" t="s">
        <v>8936</v>
      </c>
      <c r="D980" s="140" t="s">
        <v>8937</v>
      </c>
      <c r="E980" s="140"/>
      <c r="F980" s="140" t="s">
        <v>3</v>
      </c>
      <c r="G980" s="140">
        <v>2</v>
      </c>
      <c r="H980" s="140" t="s">
        <v>24</v>
      </c>
      <c r="I980" s="140" t="s">
        <v>488</v>
      </c>
      <c r="J980" s="140" t="s">
        <v>8938</v>
      </c>
      <c r="K980" s="140">
        <v>2</v>
      </c>
      <c r="L980" s="140" t="s">
        <v>941</v>
      </c>
      <c r="M980" s="140"/>
      <c r="N980" s="140">
        <v>2</v>
      </c>
      <c r="O980" s="140" t="s">
        <v>8939</v>
      </c>
      <c r="P980" s="140">
        <v>500000</v>
      </c>
      <c r="Q980" s="140" t="s">
        <v>454</v>
      </c>
      <c r="R980" s="140" t="s">
        <v>8938</v>
      </c>
      <c r="S980" s="140"/>
      <c r="T980" s="140"/>
      <c r="U980" s="143"/>
      <c r="V980" s="143"/>
      <c r="W980" s="143"/>
      <c r="X980" s="140" t="s">
        <v>8940</v>
      </c>
      <c r="Y980" s="140" t="s">
        <v>8941</v>
      </c>
      <c r="Z980" s="140" t="str">
        <f ca="1">IFERROR(__xludf.DUMMYFUNCTION("IF(VLOOKUP($Y980, IMPORTRANGE(""https://docs.google.com/spreadsheets/d/1WsTKRjz8_fF2119Ff9dhKIIYXSaUEHzuWr8pBkxmwQQ/edit"", ""Form Responses 1!$B:$Z""),1, FALSE)=$Y980,""Yes"",""No"")"),"#N/A")</f>
        <v>#N/A</v>
      </c>
      <c r="AA980" s="140"/>
      <c r="AB980" s="140"/>
    </row>
    <row r="981" spans="1:28">
      <c r="A981" s="144" t="s">
        <v>598</v>
      </c>
      <c r="B981" s="144" t="s">
        <v>8942</v>
      </c>
      <c r="C981" s="144" t="s">
        <v>8943</v>
      </c>
      <c r="D981" s="144" t="s">
        <v>8944</v>
      </c>
      <c r="E981" s="144" t="s">
        <v>8945</v>
      </c>
      <c r="F981" s="144" t="s">
        <v>3</v>
      </c>
      <c r="G981" s="144">
        <v>3</v>
      </c>
      <c r="H981" s="144" t="s">
        <v>24</v>
      </c>
      <c r="I981" s="144" t="s">
        <v>460</v>
      </c>
      <c r="J981" s="144" t="s">
        <v>8946</v>
      </c>
      <c r="K981" s="144">
        <v>3</v>
      </c>
      <c r="L981" s="144" t="s">
        <v>462</v>
      </c>
      <c r="M981" s="144" t="s">
        <v>8947</v>
      </c>
      <c r="N981" s="144">
        <v>3</v>
      </c>
      <c r="O981" s="144"/>
      <c r="P981" s="144"/>
      <c r="Q981" s="144" t="s">
        <v>454</v>
      </c>
      <c r="R981" s="144" t="s">
        <v>575</v>
      </c>
      <c r="S981" s="144" t="s">
        <v>8948</v>
      </c>
      <c r="T981" s="144"/>
      <c r="U981" s="145"/>
      <c r="V981" s="145"/>
      <c r="W981" s="145"/>
      <c r="X981" s="144" t="s">
        <v>1836</v>
      </c>
      <c r="Y981" s="144" t="s">
        <v>8949</v>
      </c>
      <c r="Z981" s="144" t="str">
        <f ca="1">IFERROR(__xludf.DUMMYFUNCTION("IF(VLOOKUP($Y981, IMPORTRANGE(""https://docs.google.com/spreadsheets/d/1WsTKRjz8_fF2119Ff9dhKIIYXSaUEHzuWr8pBkxmwQQ/edit"", ""Form Responses 1!$B:$Z""),1, FALSE)=$Y981,""Yes"",""No"")"),"#N/A")</f>
        <v>#N/A</v>
      </c>
      <c r="AA981" s="144"/>
      <c r="AB981" s="144"/>
    </row>
    <row r="982" spans="1:28">
      <c r="A982" s="140" t="s">
        <v>484</v>
      </c>
      <c r="B982" s="140" t="s">
        <v>8950</v>
      </c>
      <c r="C982" s="140" t="s">
        <v>8951</v>
      </c>
      <c r="D982" s="140" t="s">
        <v>8952</v>
      </c>
      <c r="E982" s="140" t="s">
        <v>8953</v>
      </c>
      <c r="F982" s="140" t="s">
        <v>3</v>
      </c>
      <c r="G982" s="140">
        <v>0</v>
      </c>
      <c r="H982" s="140" t="s">
        <v>24</v>
      </c>
      <c r="I982" s="140" t="s">
        <v>460</v>
      </c>
      <c r="J982" s="140" t="s">
        <v>8954</v>
      </c>
      <c r="K982" s="140">
        <v>0</v>
      </c>
      <c r="L982" s="140" t="s">
        <v>447</v>
      </c>
      <c r="M982" s="140"/>
      <c r="N982" s="140">
        <v>0</v>
      </c>
      <c r="O982" s="140" t="s">
        <v>451</v>
      </c>
      <c r="P982" s="140" t="s">
        <v>8955</v>
      </c>
      <c r="Q982" s="140" t="s">
        <v>452</v>
      </c>
      <c r="R982" s="140" t="s">
        <v>575</v>
      </c>
      <c r="S982" s="140"/>
      <c r="T982" s="140"/>
      <c r="U982" s="143"/>
      <c r="V982" s="143"/>
      <c r="W982" s="143"/>
      <c r="X982" s="140" t="s">
        <v>8956</v>
      </c>
      <c r="Y982" s="140" t="s">
        <v>8957</v>
      </c>
      <c r="Z982" s="140" t="str">
        <f ca="1">IFERROR(__xludf.DUMMYFUNCTION("IF(VLOOKUP($Y982, IMPORTRANGE(""https://docs.google.com/spreadsheets/d/1WsTKRjz8_fF2119Ff9dhKIIYXSaUEHzuWr8pBkxmwQQ/edit"", ""Form Responses 1!$B:$Z""),1, FALSE)=$Y982,""Yes"",""No"")"),"#N/A")</f>
        <v>#N/A</v>
      </c>
      <c r="AA982" s="140"/>
      <c r="AB982" s="140"/>
    </row>
    <row r="983" spans="1:28">
      <c r="A983" s="144" t="s">
        <v>529</v>
      </c>
      <c r="B983" s="144" t="s">
        <v>8958</v>
      </c>
      <c r="C983" s="144" t="s">
        <v>8959</v>
      </c>
      <c r="D983" s="144" t="s">
        <v>8960</v>
      </c>
      <c r="E983" s="144" t="s">
        <v>8961</v>
      </c>
      <c r="F983" s="144" t="s">
        <v>3</v>
      </c>
      <c r="G983" s="144">
        <v>1</v>
      </c>
      <c r="H983" s="144" t="s">
        <v>24</v>
      </c>
      <c r="I983" s="144" t="s">
        <v>460</v>
      </c>
      <c r="J983" s="144" t="s">
        <v>8962</v>
      </c>
      <c r="K983" s="144">
        <v>1</v>
      </c>
      <c r="L983" s="144" t="s">
        <v>462</v>
      </c>
      <c r="M983" s="144" t="s">
        <v>8963</v>
      </c>
      <c r="N983" s="144">
        <v>1</v>
      </c>
      <c r="O983" s="144"/>
      <c r="P983" s="144"/>
      <c r="Q983" s="144" t="s">
        <v>454</v>
      </c>
      <c r="R983" s="144" t="s">
        <v>8964</v>
      </c>
      <c r="S983" s="144"/>
      <c r="T983" s="144"/>
      <c r="U983" s="145"/>
      <c r="V983" s="145"/>
      <c r="W983" s="145"/>
      <c r="X983" s="144" t="s">
        <v>3716</v>
      </c>
      <c r="Y983" s="144" t="s">
        <v>8965</v>
      </c>
      <c r="Z983" s="144" t="str">
        <f ca="1">IFERROR(__xludf.DUMMYFUNCTION("IF(VLOOKUP($Y983, IMPORTRANGE(""https://docs.google.com/spreadsheets/d/1WsTKRjz8_fF2119Ff9dhKIIYXSaUEHzuWr8pBkxmwQQ/edit"", ""Form Responses 1!$B:$Z""),1, FALSE)=$Y983,""Yes"",""No"")"),"#N/A")</f>
        <v>#N/A</v>
      </c>
      <c r="AA983" s="144"/>
      <c r="AB983" s="144"/>
    </row>
    <row r="984" spans="1:28">
      <c r="A984" s="140" t="s">
        <v>471</v>
      </c>
      <c r="B984" s="140" t="s">
        <v>8966</v>
      </c>
      <c r="C984" s="140" t="s">
        <v>8967</v>
      </c>
      <c r="D984" s="140" t="s">
        <v>8968</v>
      </c>
      <c r="E984" s="140" t="s">
        <v>8969</v>
      </c>
      <c r="F984" s="140" t="s">
        <v>3</v>
      </c>
      <c r="G984" s="140">
        <v>1</v>
      </c>
      <c r="H984" s="140" t="s">
        <v>24</v>
      </c>
      <c r="I984" s="140" t="s">
        <v>460</v>
      </c>
      <c r="J984" s="140"/>
      <c r="K984" s="140">
        <v>1</v>
      </c>
      <c r="L984" s="140" t="s">
        <v>941</v>
      </c>
      <c r="M984" s="140"/>
      <c r="N984" s="140">
        <v>1</v>
      </c>
      <c r="O984" s="140"/>
      <c r="P984" s="140"/>
      <c r="Q984" s="140" t="s">
        <v>452</v>
      </c>
      <c r="R984" s="140" t="s">
        <v>452</v>
      </c>
      <c r="S984" s="140"/>
      <c r="T984" s="140"/>
      <c r="U984" s="143"/>
      <c r="V984" s="143"/>
      <c r="W984" s="143"/>
      <c r="X984" s="140" t="s">
        <v>8970</v>
      </c>
      <c r="Y984" s="140" t="s">
        <v>8971</v>
      </c>
      <c r="Z984" s="140" t="str">
        <f ca="1">IFERROR(__xludf.DUMMYFUNCTION("IF(VLOOKUP($Y984, IMPORTRANGE(""https://docs.google.com/spreadsheets/d/1WsTKRjz8_fF2119Ff9dhKIIYXSaUEHzuWr8pBkxmwQQ/edit"", ""Form Responses 1!$B:$Z""),1, FALSE)=$Y984,""Yes"",""No"")"),"#N/A")</f>
        <v>#N/A</v>
      </c>
      <c r="AA984" s="140"/>
      <c r="AB984" s="140"/>
    </row>
    <row r="985" spans="1:28">
      <c r="A985" s="144" t="s">
        <v>598</v>
      </c>
      <c r="B985" s="144" t="s">
        <v>8972</v>
      </c>
      <c r="C985" s="144" t="s">
        <v>8973</v>
      </c>
      <c r="D985" s="144" t="s">
        <v>8974</v>
      </c>
      <c r="E985" s="144" t="s">
        <v>8975</v>
      </c>
      <c r="F985" s="144" t="s">
        <v>3</v>
      </c>
      <c r="G985" s="144">
        <v>3.25</v>
      </c>
      <c r="H985" s="144" t="s">
        <v>24</v>
      </c>
      <c r="I985" s="144" t="s">
        <v>460</v>
      </c>
      <c r="J985" s="144" t="s">
        <v>8976</v>
      </c>
      <c r="K985" s="144">
        <v>3</v>
      </c>
      <c r="L985" s="144" t="s">
        <v>488</v>
      </c>
      <c r="M985" s="144" t="s">
        <v>8977</v>
      </c>
      <c r="N985" s="144">
        <v>3.5</v>
      </c>
      <c r="O985" s="144" t="s">
        <v>451</v>
      </c>
      <c r="P985" s="144">
        <v>5000000</v>
      </c>
      <c r="Q985" s="144" t="s">
        <v>452</v>
      </c>
      <c r="R985" s="144" t="s">
        <v>8978</v>
      </c>
      <c r="S985" s="144"/>
      <c r="T985" s="144"/>
      <c r="U985" s="145"/>
      <c r="V985" s="145"/>
      <c r="W985" s="145"/>
      <c r="X985" s="144" t="s">
        <v>8979</v>
      </c>
      <c r="Y985" s="144" t="s">
        <v>8980</v>
      </c>
      <c r="Z985" s="144" t="str">
        <f ca="1">IFERROR(__xludf.DUMMYFUNCTION("IF(VLOOKUP($Y985, IMPORTRANGE(""https://docs.google.com/spreadsheets/d/1WsTKRjz8_fF2119Ff9dhKIIYXSaUEHzuWr8pBkxmwQQ/edit"", ""Form Responses 1!$B:$Z""),1, FALSE)=$Y985,""Yes"",""No"")"),"#N/A")</f>
        <v>#N/A</v>
      </c>
      <c r="AA985" s="144"/>
      <c r="AB985" s="144"/>
    </row>
    <row r="986" spans="1:28">
      <c r="A986" s="140" t="s">
        <v>598</v>
      </c>
      <c r="B986" s="140" t="s">
        <v>8981</v>
      </c>
      <c r="C986" s="140" t="s">
        <v>8982</v>
      </c>
      <c r="D986" s="140" t="s">
        <v>8983</v>
      </c>
      <c r="E986" s="140" t="s">
        <v>8984</v>
      </c>
      <c r="F986" s="140" t="s">
        <v>3</v>
      </c>
      <c r="G986" s="140">
        <v>1</v>
      </c>
      <c r="H986" s="140" t="s">
        <v>24</v>
      </c>
      <c r="I986" s="140" t="s">
        <v>488</v>
      </c>
      <c r="J986" s="140"/>
      <c r="K986" s="140">
        <v>1</v>
      </c>
      <c r="L986" s="140" t="s">
        <v>941</v>
      </c>
      <c r="M986" s="140" t="s">
        <v>8985</v>
      </c>
      <c r="N986" s="140">
        <v>1</v>
      </c>
      <c r="O986" s="140" t="s">
        <v>451</v>
      </c>
      <c r="P986" s="151">
        <v>500</v>
      </c>
      <c r="Q986" s="140" t="s">
        <v>452</v>
      </c>
      <c r="R986" s="140" t="s">
        <v>3420</v>
      </c>
      <c r="S986" s="140"/>
      <c r="T986" s="140"/>
      <c r="U986" s="143"/>
      <c r="V986" s="143"/>
      <c r="W986" s="143"/>
      <c r="X986" s="140" t="s">
        <v>8986</v>
      </c>
      <c r="Y986" s="140" t="s">
        <v>8987</v>
      </c>
      <c r="Z986" s="140" t="str">
        <f ca="1">IFERROR(__xludf.DUMMYFUNCTION("IF(VLOOKUP($Y986, IMPORTRANGE(""https://docs.google.com/spreadsheets/d/1WsTKRjz8_fF2119Ff9dhKIIYXSaUEHzuWr8pBkxmwQQ/edit"", ""Form Responses 1!$B:$Z""),1, FALSE)=$Y986,""Yes"",""No"")"),"#N/A")</f>
        <v>#N/A</v>
      </c>
      <c r="AA986" s="140"/>
      <c r="AB986" s="140"/>
    </row>
    <row r="987" spans="1:28">
      <c r="A987" s="144" t="s">
        <v>529</v>
      </c>
      <c r="B987" s="144" t="s">
        <v>8988</v>
      </c>
      <c r="C987" s="144" t="s">
        <v>8989</v>
      </c>
      <c r="D987" s="144" t="s">
        <v>8990</v>
      </c>
      <c r="E987" s="144"/>
      <c r="F987" s="144" t="s">
        <v>3</v>
      </c>
      <c r="G987" s="144">
        <v>2.25</v>
      </c>
      <c r="H987" s="144" t="s">
        <v>24</v>
      </c>
      <c r="I987" s="144" t="s">
        <v>488</v>
      </c>
      <c r="J987" s="144" t="s">
        <v>8991</v>
      </c>
      <c r="K987" s="144">
        <v>2.5</v>
      </c>
      <c r="L987" s="144" t="s">
        <v>941</v>
      </c>
      <c r="M987" s="144" t="s">
        <v>8992</v>
      </c>
      <c r="N987" s="144">
        <v>2</v>
      </c>
      <c r="O987" s="144" t="s">
        <v>8993</v>
      </c>
      <c r="P987" s="144">
        <v>150000</v>
      </c>
      <c r="Q987" s="144" t="s">
        <v>452</v>
      </c>
      <c r="R987" s="144" t="s">
        <v>8994</v>
      </c>
      <c r="S987" s="144"/>
      <c r="T987" s="144"/>
      <c r="U987" s="145"/>
      <c r="V987" s="145"/>
      <c r="W987" s="145"/>
      <c r="X987" s="144" t="s">
        <v>8995</v>
      </c>
      <c r="Y987" s="144" t="s">
        <v>8996</v>
      </c>
      <c r="Z987" s="144" t="str">
        <f ca="1">IFERROR(__xludf.DUMMYFUNCTION("IF(VLOOKUP($Y987, IMPORTRANGE(""https://docs.google.com/spreadsheets/d/1WsTKRjz8_fF2119Ff9dhKIIYXSaUEHzuWr8pBkxmwQQ/edit"", ""Form Responses 1!$B:$Z""),1, FALSE)=$Y987,""Yes"",""No"")"),"#N/A")</f>
        <v>#N/A</v>
      </c>
      <c r="AA987" s="144"/>
      <c r="AB987" s="144"/>
    </row>
    <row r="988" spans="1:28">
      <c r="A988" s="140" t="s">
        <v>529</v>
      </c>
      <c r="B988" s="140" t="s">
        <v>8997</v>
      </c>
      <c r="C988" s="140" t="s">
        <v>8998</v>
      </c>
      <c r="D988" s="140" t="s">
        <v>8999</v>
      </c>
      <c r="E988" s="140" t="s">
        <v>9000</v>
      </c>
      <c r="F988" s="140" t="s">
        <v>3</v>
      </c>
      <c r="G988" s="140">
        <v>1.25</v>
      </c>
      <c r="H988" s="140" t="s">
        <v>24</v>
      </c>
      <c r="I988" s="140" t="s">
        <v>460</v>
      </c>
      <c r="J988" s="140" t="s">
        <v>9001</v>
      </c>
      <c r="K988" s="140">
        <v>1.5</v>
      </c>
      <c r="L988" s="140" t="s">
        <v>462</v>
      </c>
      <c r="M988" s="140" t="s">
        <v>9002</v>
      </c>
      <c r="N988" s="140">
        <v>1</v>
      </c>
      <c r="O988" s="140"/>
      <c r="P988" s="140"/>
      <c r="Q988" s="140" t="s">
        <v>452</v>
      </c>
      <c r="R988" s="140" t="s">
        <v>9003</v>
      </c>
      <c r="S988" s="140" t="s">
        <v>9004</v>
      </c>
      <c r="T988" s="140"/>
      <c r="U988" s="143"/>
      <c r="V988" s="143"/>
      <c r="W988" s="143"/>
      <c r="X988" s="140" t="s">
        <v>9005</v>
      </c>
      <c r="Y988" s="140" t="s">
        <v>9006</v>
      </c>
      <c r="Z988" s="140" t="str">
        <f ca="1">IFERROR(__xludf.DUMMYFUNCTION("IF(VLOOKUP($Y988, IMPORTRANGE(""https://docs.google.com/spreadsheets/d/1WsTKRjz8_fF2119Ff9dhKIIYXSaUEHzuWr8pBkxmwQQ/edit"", ""Form Responses 1!$B:$Z""),1, FALSE)=$Y988,""Yes"",""No"")"),"#N/A")</f>
        <v>#N/A</v>
      </c>
      <c r="AA988" s="140"/>
      <c r="AB988" s="140"/>
    </row>
    <row r="989" spans="1:28">
      <c r="A989" s="144" t="s">
        <v>529</v>
      </c>
      <c r="B989" s="144" t="s">
        <v>9007</v>
      </c>
      <c r="C989" s="144" t="s">
        <v>9008</v>
      </c>
      <c r="D989" s="144" t="s">
        <v>9009</v>
      </c>
      <c r="E989" s="144"/>
      <c r="F989" s="144" t="s">
        <v>3</v>
      </c>
      <c r="G989" s="144">
        <v>3.25</v>
      </c>
      <c r="H989" s="144" t="s">
        <v>24</v>
      </c>
      <c r="I989" s="144" t="s">
        <v>488</v>
      </c>
      <c r="J989" s="144"/>
      <c r="K989" s="144">
        <v>3</v>
      </c>
      <c r="L989" s="144" t="s">
        <v>462</v>
      </c>
      <c r="M989" s="144" t="s">
        <v>9010</v>
      </c>
      <c r="N989" s="144">
        <v>3.5</v>
      </c>
      <c r="O989" s="144" t="s">
        <v>2152</v>
      </c>
      <c r="P989" s="144" t="s">
        <v>9011</v>
      </c>
      <c r="Q989" s="144" t="s">
        <v>452</v>
      </c>
      <c r="R989" s="144" t="s">
        <v>9012</v>
      </c>
      <c r="S989" s="144"/>
      <c r="T989" s="144"/>
      <c r="U989" s="145"/>
      <c r="V989" s="145"/>
      <c r="W989" s="145"/>
      <c r="X989" s="144" t="s">
        <v>9013</v>
      </c>
      <c r="Y989" s="144" t="s">
        <v>9014</v>
      </c>
      <c r="Z989" s="144" t="str">
        <f ca="1">IFERROR(__xludf.DUMMYFUNCTION("IF(VLOOKUP($Y989, IMPORTRANGE(""https://docs.google.com/spreadsheets/d/1WsTKRjz8_fF2119Ff9dhKIIYXSaUEHzuWr8pBkxmwQQ/edit"", ""Form Responses 1!$B:$Z""),1, FALSE)=$Y989,""Yes"",""No"")"),"#N/A")</f>
        <v>#N/A</v>
      </c>
      <c r="AA989" s="144"/>
      <c r="AB989" s="144"/>
    </row>
    <row r="990" spans="1:28">
      <c r="A990" s="140" t="s">
        <v>471</v>
      </c>
      <c r="B990" s="140" t="s">
        <v>9015</v>
      </c>
      <c r="C990" s="140" t="s">
        <v>9016</v>
      </c>
      <c r="D990" s="140" t="s">
        <v>9017</v>
      </c>
      <c r="E990" s="140" t="s">
        <v>9018</v>
      </c>
      <c r="F990" s="140" t="s">
        <v>3</v>
      </c>
      <c r="G990" s="140">
        <v>1</v>
      </c>
      <c r="H990" s="140" t="s">
        <v>24</v>
      </c>
      <c r="I990" s="140" t="s">
        <v>460</v>
      </c>
      <c r="J990" s="140" t="s">
        <v>9019</v>
      </c>
      <c r="K990" s="140">
        <v>1</v>
      </c>
      <c r="L990" s="140" t="s">
        <v>941</v>
      </c>
      <c r="M990" s="140"/>
      <c r="N990" s="140">
        <v>1</v>
      </c>
      <c r="O990" s="140"/>
      <c r="P990" s="140"/>
      <c r="Q990" s="140" t="s">
        <v>452</v>
      </c>
      <c r="R990" s="140" t="s">
        <v>452</v>
      </c>
      <c r="S990" s="140"/>
      <c r="T990" s="140"/>
      <c r="U990" s="143"/>
      <c r="V990" s="143"/>
      <c r="W990" s="143"/>
      <c r="X990" s="140" t="s">
        <v>9020</v>
      </c>
      <c r="Y990" s="140" t="s">
        <v>9021</v>
      </c>
      <c r="Z990" s="140" t="str">
        <f ca="1">IFERROR(__xludf.DUMMYFUNCTION("IF(VLOOKUP($Y990, IMPORTRANGE(""https://docs.google.com/spreadsheets/d/1WsTKRjz8_fF2119Ff9dhKIIYXSaUEHzuWr8pBkxmwQQ/edit"", ""Form Responses 1!$B:$Z""),1, FALSE)=$Y990,""Yes"",""No"")"),"#N/A")</f>
        <v>#N/A</v>
      </c>
      <c r="AA990" s="140"/>
      <c r="AB990" s="140"/>
    </row>
    <row r="991" spans="1:28">
      <c r="A991" s="144" t="s">
        <v>529</v>
      </c>
      <c r="B991" s="144" t="s">
        <v>9022</v>
      </c>
      <c r="C991" s="144" t="s">
        <v>9023</v>
      </c>
      <c r="D991" s="144" t="s">
        <v>9024</v>
      </c>
      <c r="E991" s="144" t="s">
        <v>9025</v>
      </c>
      <c r="F991" s="144" t="s">
        <v>3</v>
      </c>
      <c r="G991" s="144">
        <v>2.25</v>
      </c>
      <c r="H991" s="144" t="s">
        <v>24</v>
      </c>
      <c r="I991" s="144" t="s">
        <v>460</v>
      </c>
      <c r="J991" s="144" t="s">
        <v>9026</v>
      </c>
      <c r="K991" s="144">
        <v>2</v>
      </c>
      <c r="L991" s="144" t="s">
        <v>462</v>
      </c>
      <c r="M991" s="144" t="s">
        <v>9027</v>
      </c>
      <c r="N991" s="144">
        <v>2.5</v>
      </c>
      <c r="O991" s="144" t="s">
        <v>784</v>
      </c>
      <c r="P991" s="144" t="s">
        <v>9028</v>
      </c>
      <c r="Q991" s="144" t="s">
        <v>452</v>
      </c>
      <c r="R991" s="144" t="s">
        <v>9029</v>
      </c>
      <c r="S991" s="144"/>
      <c r="T991" s="144"/>
      <c r="U991" s="145"/>
      <c r="V991" s="145"/>
      <c r="W991" s="145"/>
      <c r="X991" s="144" t="s">
        <v>2748</v>
      </c>
      <c r="Y991" s="144" t="s">
        <v>9030</v>
      </c>
      <c r="Z991" s="144" t="str">
        <f ca="1">IFERROR(__xludf.DUMMYFUNCTION("IF(VLOOKUP($Y991, IMPORTRANGE(""https://docs.google.com/spreadsheets/d/1WsTKRjz8_fF2119Ff9dhKIIYXSaUEHzuWr8pBkxmwQQ/edit"", ""Form Responses 1!$B:$Z""),1, FALSE)=$Y991,""Yes"",""No"")"),"#N/A")</f>
        <v>#N/A</v>
      </c>
      <c r="AA991" s="144"/>
      <c r="AB991" s="144"/>
    </row>
    <row r="992" spans="1:28">
      <c r="A992" s="140" t="s">
        <v>471</v>
      </c>
      <c r="B992" s="140" t="s">
        <v>9031</v>
      </c>
      <c r="C992" s="140" t="s">
        <v>9032</v>
      </c>
      <c r="D992" s="140" t="s">
        <v>9033</v>
      </c>
      <c r="E992" s="140" t="s">
        <v>9034</v>
      </c>
      <c r="F992" s="140" t="s">
        <v>3</v>
      </c>
      <c r="G992" s="140">
        <v>3</v>
      </c>
      <c r="H992" s="140" t="s">
        <v>24</v>
      </c>
      <c r="I992" s="140" t="s">
        <v>460</v>
      </c>
      <c r="J992" s="140" t="s">
        <v>9035</v>
      </c>
      <c r="K992" s="140">
        <v>3</v>
      </c>
      <c r="L992" s="140" t="s">
        <v>488</v>
      </c>
      <c r="M992" s="140"/>
      <c r="N992" s="140">
        <v>3</v>
      </c>
      <c r="O992" s="140" t="s">
        <v>784</v>
      </c>
      <c r="P992" s="140" t="s">
        <v>4444</v>
      </c>
      <c r="Q992" s="140" t="s">
        <v>452</v>
      </c>
      <c r="R992" s="140" t="s">
        <v>9036</v>
      </c>
      <c r="S992" s="140" t="s">
        <v>9037</v>
      </c>
      <c r="T992" s="140" t="s">
        <v>9038</v>
      </c>
      <c r="U992" s="143"/>
      <c r="V992" s="143"/>
      <c r="W992" s="143"/>
      <c r="X992" s="140" t="s">
        <v>9039</v>
      </c>
      <c r="Y992" s="140" t="s">
        <v>9040</v>
      </c>
      <c r="Z992" s="140" t="str">
        <f ca="1">IFERROR(__xludf.DUMMYFUNCTION("IF(VLOOKUP($Y992, IMPORTRANGE(""https://docs.google.com/spreadsheets/d/1WsTKRjz8_fF2119Ff9dhKIIYXSaUEHzuWr8pBkxmwQQ/edit"", ""Form Responses 1!$B:$Z""),1, FALSE)=$Y992,""Yes"",""No"")"),"#N/A")</f>
        <v>#N/A</v>
      </c>
      <c r="AA992" s="140"/>
      <c r="AB992" s="140"/>
    </row>
    <row r="993" spans="1:28">
      <c r="A993" s="144" t="s">
        <v>598</v>
      </c>
      <c r="B993" s="144" t="s">
        <v>9041</v>
      </c>
      <c r="C993" s="144" t="s">
        <v>9042</v>
      </c>
      <c r="D993" s="144" t="s">
        <v>9043</v>
      </c>
      <c r="E993" s="144" t="s">
        <v>9044</v>
      </c>
      <c r="F993" s="144" t="s">
        <v>3</v>
      </c>
      <c r="G993" s="144">
        <v>3.25</v>
      </c>
      <c r="H993" s="144" t="s">
        <v>24</v>
      </c>
      <c r="I993" s="144" t="s">
        <v>460</v>
      </c>
      <c r="J993" s="144" t="s">
        <v>9045</v>
      </c>
      <c r="K993" s="144">
        <v>3.5</v>
      </c>
      <c r="L993" s="144" t="s">
        <v>941</v>
      </c>
      <c r="M993" s="144" t="s">
        <v>9046</v>
      </c>
      <c r="N993" s="144">
        <v>3</v>
      </c>
      <c r="O993" s="144" t="s">
        <v>973</v>
      </c>
      <c r="P993" s="144" t="s">
        <v>9047</v>
      </c>
      <c r="Q993" s="144" t="s">
        <v>452</v>
      </c>
      <c r="R993" s="144" t="s">
        <v>9048</v>
      </c>
      <c r="S993" s="144"/>
      <c r="T993" s="144"/>
      <c r="U993" s="145"/>
      <c r="V993" s="145"/>
      <c r="W993" s="145"/>
      <c r="X993" s="144" t="s">
        <v>9049</v>
      </c>
      <c r="Y993" s="144" t="s">
        <v>9050</v>
      </c>
      <c r="Z993" s="144" t="str">
        <f ca="1">IFERROR(__xludf.DUMMYFUNCTION("IF(VLOOKUP($Y993, IMPORTRANGE(""https://docs.google.com/spreadsheets/d/1WsTKRjz8_fF2119Ff9dhKIIYXSaUEHzuWr8pBkxmwQQ/edit"", ""Form Responses 1!$B:$Z""),1, FALSE)=$Y993,""Yes"",""No"")"),"#N/A")</f>
        <v>#N/A</v>
      </c>
      <c r="AA993" s="144"/>
      <c r="AB993" s="144"/>
    </row>
    <row r="994" spans="1:28">
      <c r="A994" s="140" t="s">
        <v>529</v>
      </c>
      <c r="B994" s="140" t="s">
        <v>9051</v>
      </c>
      <c r="C994" s="140" t="s">
        <v>9052</v>
      </c>
      <c r="D994" s="140" t="s">
        <v>9053</v>
      </c>
      <c r="E994" s="140" t="s">
        <v>9054</v>
      </c>
      <c r="F994" s="140" t="s">
        <v>3</v>
      </c>
      <c r="G994" s="140">
        <v>3</v>
      </c>
      <c r="H994" s="140" t="s">
        <v>24</v>
      </c>
      <c r="I994" s="140" t="s">
        <v>460</v>
      </c>
      <c r="J994" s="140" t="s">
        <v>9055</v>
      </c>
      <c r="K994" s="140">
        <v>3</v>
      </c>
      <c r="L994" s="140" t="s">
        <v>462</v>
      </c>
      <c r="M994" s="140" t="s">
        <v>9056</v>
      </c>
      <c r="N994" s="140">
        <v>3</v>
      </c>
      <c r="O994" s="140" t="s">
        <v>451</v>
      </c>
      <c r="P994" s="140">
        <v>1000000</v>
      </c>
      <c r="Q994" s="140" t="s">
        <v>452</v>
      </c>
      <c r="R994" s="140" t="s">
        <v>9057</v>
      </c>
      <c r="S994" s="140"/>
      <c r="T994" s="140" t="s">
        <v>1477</v>
      </c>
      <c r="U994" s="143"/>
      <c r="V994" s="143"/>
      <c r="W994" s="143"/>
      <c r="X994" s="140" t="s">
        <v>9058</v>
      </c>
      <c r="Y994" s="140" t="s">
        <v>9059</v>
      </c>
      <c r="Z994" s="140" t="str">
        <f ca="1">IFERROR(__xludf.DUMMYFUNCTION("IF(VLOOKUP($Y994, IMPORTRANGE(""https://docs.google.com/spreadsheets/d/1WsTKRjz8_fF2119Ff9dhKIIYXSaUEHzuWr8pBkxmwQQ/edit"", ""Form Responses 1!$B:$Z""),1, FALSE)=$Y994,""Yes"",""No"")"),"#N/A")</f>
        <v>#N/A</v>
      </c>
      <c r="AA994" s="140"/>
      <c r="AB994" s="140"/>
    </row>
    <row r="995" spans="1:28">
      <c r="A995" s="144" t="s">
        <v>529</v>
      </c>
      <c r="B995" s="144" t="s">
        <v>9060</v>
      </c>
      <c r="C995" s="144" t="s">
        <v>9061</v>
      </c>
      <c r="D995" s="144" t="s">
        <v>9062</v>
      </c>
      <c r="E995" s="144" t="s">
        <v>9063</v>
      </c>
      <c r="F995" s="144" t="s">
        <v>3</v>
      </c>
      <c r="G995" s="144">
        <v>2.5</v>
      </c>
      <c r="H995" s="144" t="s">
        <v>24</v>
      </c>
      <c r="I995" s="144" t="s">
        <v>460</v>
      </c>
      <c r="J995" s="144" t="s">
        <v>9064</v>
      </c>
      <c r="K995" s="144">
        <v>3</v>
      </c>
      <c r="L995" s="144" t="s">
        <v>462</v>
      </c>
      <c r="M995" s="144" t="s">
        <v>9065</v>
      </c>
      <c r="N995" s="144">
        <v>2</v>
      </c>
      <c r="O995" s="144" t="s">
        <v>3138</v>
      </c>
      <c r="P995" s="144" t="s">
        <v>9066</v>
      </c>
      <c r="Q995" s="144" t="s">
        <v>452</v>
      </c>
      <c r="R995" s="144" t="s">
        <v>9067</v>
      </c>
      <c r="S995" s="144"/>
      <c r="T995" s="144"/>
      <c r="U995" s="145"/>
      <c r="V995" s="145"/>
      <c r="W995" s="145"/>
      <c r="X995" s="144" t="s">
        <v>9068</v>
      </c>
      <c r="Y995" s="144" t="s">
        <v>9069</v>
      </c>
      <c r="Z995" s="144" t="str">
        <f ca="1">IFERROR(__xludf.DUMMYFUNCTION("IF(VLOOKUP($Y995, IMPORTRANGE(""https://docs.google.com/spreadsheets/d/1WsTKRjz8_fF2119Ff9dhKIIYXSaUEHzuWr8pBkxmwQQ/edit"", ""Form Responses 1!$B:$Z""),1, FALSE)=$Y995,""Yes"",""No"")"),"#N/A")</f>
        <v>#N/A</v>
      </c>
      <c r="AA995" s="144"/>
      <c r="AB995" s="144"/>
    </row>
    <row r="996" spans="1:28">
      <c r="A996" s="140" t="s">
        <v>443</v>
      </c>
      <c r="B996" s="140" t="s">
        <v>9070</v>
      </c>
      <c r="C996" s="140" t="s">
        <v>9071</v>
      </c>
      <c r="D996" s="140" t="s">
        <v>9072</v>
      </c>
      <c r="E996" s="140" t="s">
        <v>9073</v>
      </c>
      <c r="F996" s="140" t="s">
        <v>3</v>
      </c>
      <c r="G996" s="140">
        <v>3.5</v>
      </c>
      <c r="H996" s="140" t="s">
        <v>24</v>
      </c>
      <c r="I996" s="140" t="s">
        <v>460</v>
      </c>
      <c r="J996" s="140" t="s">
        <v>9074</v>
      </c>
      <c r="K996" s="140">
        <v>3</v>
      </c>
      <c r="L996" s="140" t="s">
        <v>941</v>
      </c>
      <c r="M996" s="140" t="s">
        <v>9075</v>
      </c>
      <c r="N996" s="140">
        <v>4</v>
      </c>
      <c r="O996" s="140"/>
      <c r="P996" s="140"/>
      <c r="Q996" s="140" t="s">
        <v>452</v>
      </c>
      <c r="R996" s="140" t="s">
        <v>9076</v>
      </c>
      <c r="S996" s="140"/>
      <c r="T996" s="140"/>
      <c r="U996" s="143"/>
      <c r="V996" s="143"/>
      <c r="W996" s="143"/>
      <c r="X996" s="140" t="s">
        <v>9077</v>
      </c>
      <c r="Y996" s="140" t="s">
        <v>9078</v>
      </c>
      <c r="Z996" s="140" t="str">
        <f ca="1">IFERROR(__xludf.DUMMYFUNCTION("IF(VLOOKUP($Y996, IMPORTRANGE(""https://docs.google.com/spreadsheets/d/1WsTKRjz8_fF2119Ff9dhKIIYXSaUEHzuWr8pBkxmwQQ/edit"", ""Form Responses 1!$B:$Z""),1, FALSE)=$Y996,""Yes"",""No"")"),"#N/A")</f>
        <v>#N/A</v>
      </c>
      <c r="AA996" s="140"/>
      <c r="AB996" s="140"/>
    </row>
    <row r="997" spans="1:28">
      <c r="A997" s="144" t="s">
        <v>484</v>
      </c>
      <c r="B997" s="144" t="s">
        <v>9079</v>
      </c>
      <c r="C997" s="144" t="s">
        <v>9080</v>
      </c>
      <c r="D997" s="144" t="s">
        <v>9081</v>
      </c>
      <c r="E997" s="144" t="s">
        <v>9082</v>
      </c>
      <c r="F997" s="144" t="s">
        <v>3</v>
      </c>
      <c r="G997" s="144">
        <v>2</v>
      </c>
      <c r="H997" s="144" t="s">
        <v>24</v>
      </c>
      <c r="I997" s="144" t="s">
        <v>460</v>
      </c>
      <c r="J997" s="144" t="s">
        <v>9083</v>
      </c>
      <c r="K997" s="144">
        <v>2</v>
      </c>
      <c r="L997" s="144" t="s">
        <v>941</v>
      </c>
      <c r="M997" s="144" t="s">
        <v>9084</v>
      </c>
      <c r="N997" s="144">
        <v>2</v>
      </c>
      <c r="O997" s="144"/>
      <c r="P997" s="144"/>
      <c r="Q997" s="144" t="s">
        <v>452</v>
      </c>
      <c r="R997" s="144" t="s">
        <v>9085</v>
      </c>
      <c r="S997" s="144"/>
      <c r="T997" s="144"/>
      <c r="U997" s="145"/>
      <c r="V997" s="145"/>
      <c r="W997" s="145"/>
      <c r="X997" s="144" t="s">
        <v>1067</v>
      </c>
      <c r="Y997" s="144" t="s">
        <v>9086</v>
      </c>
      <c r="Z997" s="144" t="str">
        <f ca="1">IFERROR(__xludf.DUMMYFUNCTION("IF(VLOOKUP($Y997, IMPORTRANGE(""https://docs.google.com/spreadsheets/d/1WsTKRjz8_fF2119Ff9dhKIIYXSaUEHzuWr8pBkxmwQQ/edit"", ""Form Responses 1!$B:$Z""),1, FALSE)=$Y997,""Yes"",""No"")"),"#N/A")</f>
        <v>#N/A</v>
      </c>
      <c r="AA997" s="144"/>
      <c r="AB997" s="144"/>
    </row>
    <row r="998" spans="1:28">
      <c r="A998" s="140" t="s">
        <v>529</v>
      </c>
      <c r="B998" s="140" t="s">
        <v>9087</v>
      </c>
      <c r="C998" s="140" t="s">
        <v>9088</v>
      </c>
      <c r="D998" s="140" t="s">
        <v>9089</v>
      </c>
      <c r="E998" s="140" t="s">
        <v>9090</v>
      </c>
      <c r="F998" s="140" t="s">
        <v>3</v>
      </c>
      <c r="G998" s="140">
        <v>3.75</v>
      </c>
      <c r="H998" s="140" t="s">
        <v>24</v>
      </c>
      <c r="I998" s="140" t="s">
        <v>460</v>
      </c>
      <c r="J998" s="140" t="s">
        <v>9091</v>
      </c>
      <c r="K998" s="140">
        <v>3.5</v>
      </c>
      <c r="L998" s="140" t="s">
        <v>462</v>
      </c>
      <c r="M998" s="140" t="s">
        <v>9092</v>
      </c>
      <c r="N998" s="140">
        <v>4</v>
      </c>
      <c r="O998" s="140" t="s">
        <v>478</v>
      </c>
      <c r="P998" s="142">
        <v>10000000</v>
      </c>
      <c r="Q998" s="140" t="s">
        <v>452</v>
      </c>
      <c r="R998" s="140" t="s">
        <v>1119</v>
      </c>
      <c r="S998" s="140"/>
      <c r="T998" s="140" t="s">
        <v>9093</v>
      </c>
      <c r="U998" s="143"/>
      <c r="V998" s="143"/>
      <c r="W998" s="143"/>
      <c r="X998" s="140" t="s">
        <v>9094</v>
      </c>
      <c r="Y998" s="140" t="s">
        <v>9095</v>
      </c>
      <c r="Z998" s="140" t="str">
        <f ca="1">IFERROR(__xludf.DUMMYFUNCTION("IF(VLOOKUP($Y998, IMPORTRANGE(""https://docs.google.com/spreadsheets/d/1WsTKRjz8_fF2119Ff9dhKIIYXSaUEHzuWr8pBkxmwQQ/edit"", ""Form Responses 1!$B:$Z""),1, FALSE)=$Y998,""Yes"",""No"")"),"#N/A")</f>
        <v>#N/A</v>
      </c>
      <c r="AA998" s="140"/>
      <c r="AB998" s="140"/>
    </row>
    <row r="999" spans="1:28">
      <c r="A999" s="144" t="s">
        <v>598</v>
      </c>
      <c r="B999" s="144" t="s">
        <v>9096</v>
      </c>
      <c r="C999" s="144" t="s">
        <v>9097</v>
      </c>
      <c r="D999" s="144" t="s">
        <v>9098</v>
      </c>
      <c r="E999" s="144" t="s">
        <v>9099</v>
      </c>
      <c r="F999" s="144" t="s">
        <v>3</v>
      </c>
      <c r="G999" s="144">
        <v>2</v>
      </c>
      <c r="H999" s="144" t="s">
        <v>24</v>
      </c>
      <c r="I999" s="144" t="s">
        <v>460</v>
      </c>
      <c r="J999" s="144" t="s">
        <v>9100</v>
      </c>
      <c r="K999" s="144">
        <v>2</v>
      </c>
      <c r="L999" s="144" t="s">
        <v>462</v>
      </c>
      <c r="M999" s="144" t="s">
        <v>9101</v>
      </c>
      <c r="N999" s="144">
        <v>2</v>
      </c>
      <c r="O999" s="144" t="s">
        <v>451</v>
      </c>
      <c r="P999" s="144">
        <v>5000000</v>
      </c>
      <c r="Q999" s="144" t="s">
        <v>454</v>
      </c>
      <c r="R999" s="144" t="s">
        <v>452</v>
      </c>
      <c r="S999" s="144" t="s">
        <v>9102</v>
      </c>
      <c r="T999" s="144"/>
      <c r="U999" s="145"/>
      <c r="V999" s="145"/>
      <c r="W999" s="145"/>
      <c r="X999" s="144" t="s">
        <v>9103</v>
      </c>
      <c r="Y999" s="144" t="s">
        <v>9104</v>
      </c>
      <c r="Z999" s="144" t="str">
        <f ca="1">IFERROR(__xludf.DUMMYFUNCTION("IF(VLOOKUP($Y999, IMPORTRANGE(""https://docs.google.com/spreadsheets/d/1WsTKRjz8_fF2119Ff9dhKIIYXSaUEHzuWr8pBkxmwQQ/edit"", ""Form Responses 1!$B:$Z""),1, FALSE)=$Y999,""Yes"",""No"")"),"#N/A")</f>
        <v>#N/A</v>
      </c>
      <c r="AA999" s="144"/>
      <c r="AB999" s="144"/>
    </row>
    <row r="1000" spans="1:28">
      <c r="A1000" s="140" t="s">
        <v>907</v>
      </c>
      <c r="B1000" s="140" t="s">
        <v>9105</v>
      </c>
      <c r="C1000" s="140" t="s">
        <v>9106</v>
      </c>
      <c r="D1000" s="140" t="s">
        <v>9107</v>
      </c>
      <c r="E1000" s="140" t="s">
        <v>9108</v>
      </c>
      <c r="F1000" s="140" t="s">
        <v>3</v>
      </c>
      <c r="G1000" s="140">
        <v>3</v>
      </c>
      <c r="H1000" s="140" t="s">
        <v>24</v>
      </c>
      <c r="I1000" s="140" t="s">
        <v>488</v>
      </c>
      <c r="J1000" s="140" t="s">
        <v>9109</v>
      </c>
      <c r="K1000" s="140">
        <v>3</v>
      </c>
      <c r="L1000" s="140" t="s">
        <v>941</v>
      </c>
      <c r="M1000" s="140" t="s">
        <v>9110</v>
      </c>
      <c r="N1000" s="140">
        <v>3</v>
      </c>
      <c r="O1000" s="140" t="s">
        <v>478</v>
      </c>
      <c r="P1000" s="140" t="s">
        <v>3555</v>
      </c>
      <c r="Q1000" s="140" t="s">
        <v>452</v>
      </c>
      <c r="R1000" s="140" t="s">
        <v>9111</v>
      </c>
      <c r="S1000" s="140"/>
      <c r="T1000" s="140"/>
      <c r="U1000" s="143"/>
      <c r="V1000" s="143"/>
      <c r="W1000" s="143"/>
      <c r="X1000" s="140" t="s">
        <v>9112</v>
      </c>
      <c r="Y1000" s="140" t="s">
        <v>9113</v>
      </c>
      <c r="Z1000" s="140" t="str">
        <f ca="1">IFERROR(__xludf.DUMMYFUNCTION("IF(VLOOKUP($Y1000, IMPORTRANGE(""https://docs.google.com/spreadsheets/d/1WsTKRjz8_fF2119Ff9dhKIIYXSaUEHzuWr8pBkxmwQQ/edit"", ""Form Responses 1!$B:$Z""),1, FALSE)=$Y1000,""Yes"",""No"")"),"#N/A")</f>
        <v>#N/A</v>
      </c>
      <c r="AA1000" s="140"/>
      <c r="AB1000" s="140"/>
    </row>
    <row r="1001" spans="1:28">
      <c r="A1001" s="144" t="s">
        <v>443</v>
      </c>
      <c r="B1001" s="144" t="s">
        <v>9114</v>
      </c>
      <c r="C1001" s="144" t="s">
        <v>9115</v>
      </c>
      <c r="D1001" s="144" t="s">
        <v>9116</v>
      </c>
      <c r="E1001" s="144"/>
      <c r="F1001" s="144" t="s">
        <v>3</v>
      </c>
      <c r="G1001" s="144">
        <v>2.5</v>
      </c>
      <c r="H1001" s="144" t="s">
        <v>24</v>
      </c>
      <c r="I1001" s="144" t="s">
        <v>488</v>
      </c>
      <c r="J1001" s="144" t="s">
        <v>9117</v>
      </c>
      <c r="K1001" s="144">
        <v>3</v>
      </c>
      <c r="L1001" s="144" t="s">
        <v>941</v>
      </c>
      <c r="M1001" s="144" t="s">
        <v>9118</v>
      </c>
      <c r="N1001" s="144">
        <v>2</v>
      </c>
      <c r="O1001" s="144" t="s">
        <v>2190</v>
      </c>
      <c r="P1001" s="144" t="s">
        <v>9119</v>
      </c>
      <c r="Q1001" s="144" t="s">
        <v>452</v>
      </c>
      <c r="R1001" s="144" t="s">
        <v>9120</v>
      </c>
      <c r="S1001" s="144" t="s">
        <v>9121</v>
      </c>
      <c r="T1001" s="144"/>
      <c r="U1001" s="145"/>
      <c r="V1001" s="145"/>
      <c r="W1001" s="145"/>
      <c r="X1001" s="144" t="s">
        <v>9122</v>
      </c>
      <c r="Y1001" s="144" t="s">
        <v>9123</v>
      </c>
      <c r="Z1001" s="144" t="str">
        <f ca="1">IFERROR(__xludf.DUMMYFUNCTION("IF(VLOOKUP($Y1001, IMPORTRANGE(""https://docs.google.com/spreadsheets/d/1WsTKRjz8_fF2119Ff9dhKIIYXSaUEHzuWr8pBkxmwQQ/edit"", ""Form Responses 1!$B:$Z""),1, FALSE)=$Y1001,""Yes"",""No"")"),"#N/A")</f>
        <v>#N/A</v>
      </c>
      <c r="AA1001" s="144"/>
      <c r="AB1001" s="144"/>
    </row>
    <row r="1002" spans="1:28">
      <c r="A1002" s="140" t="s">
        <v>907</v>
      </c>
      <c r="B1002" s="140" t="s">
        <v>9124</v>
      </c>
      <c r="C1002" s="140" t="s">
        <v>9125</v>
      </c>
      <c r="D1002" s="140" t="s">
        <v>9126</v>
      </c>
      <c r="E1002" s="140"/>
      <c r="F1002" s="140" t="s">
        <v>3</v>
      </c>
      <c r="G1002" s="140">
        <v>2</v>
      </c>
      <c r="H1002" s="140" t="s">
        <v>24</v>
      </c>
      <c r="I1002" s="140" t="s">
        <v>488</v>
      </c>
      <c r="J1002" s="140" t="s">
        <v>9127</v>
      </c>
      <c r="K1002" s="140">
        <v>2</v>
      </c>
      <c r="L1002" s="140" t="s">
        <v>941</v>
      </c>
      <c r="M1002" s="140" t="s">
        <v>9128</v>
      </c>
      <c r="N1002" s="140">
        <v>2</v>
      </c>
      <c r="O1002" s="140" t="s">
        <v>2190</v>
      </c>
      <c r="P1002" s="140">
        <v>3000000</v>
      </c>
      <c r="Q1002" s="140" t="s">
        <v>452</v>
      </c>
      <c r="R1002" s="140" t="s">
        <v>9129</v>
      </c>
      <c r="S1002" s="140"/>
      <c r="T1002" s="140"/>
      <c r="U1002" s="143"/>
      <c r="V1002" s="143"/>
      <c r="W1002" s="143"/>
      <c r="X1002" s="140" t="s">
        <v>9130</v>
      </c>
      <c r="Y1002" s="140" t="s">
        <v>9131</v>
      </c>
      <c r="Z1002" s="140" t="str">
        <f ca="1">IFERROR(__xludf.DUMMYFUNCTION("IF(VLOOKUP($Y1002, IMPORTRANGE(""https://docs.google.com/spreadsheets/d/1WsTKRjz8_fF2119Ff9dhKIIYXSaUEHzuWr8pBkxmwQQ/edit"", ""Form Responses 1!$B:$Z""),1, FALSE)=$Y1002,""Yes"",""No"")"),"#N/A")</f>
        <v>#N/A</v>
      </c>
      <c r="AA1002" s="140"/>
      <c r="AB1002" s="140"/>
    </row>
    <row r="1003" spans="1:28">
      <c r="A1003" s="144" t="s">
        <v>598</v>
      </c>
      <c r="B1003" s="144" t="s">
        <v>9132</v>
      </c>
      <c r="C1003" s="144" t="s">
        <v>9133</v>
      </c>
      <c r="D1003" s="144" t="s">
        <v>9134</v>
      </c>
      <c r="E1003" s="144" t="s">
        <v>9135</v>
      </c>
      <c r="F1003" s="144" t="s">
        <v>3</v>
      </c>
      <c r="G1003" s="144">
        <v>1.5</v>
      </c>
      <c r="H1003" s="144" t="s">
        <v>24</v>
      </c>
      <c r="I1003" s="144" t="s">
        <v>460</v>
      </c>
      <c r="J1003" s="144" t="s">
        <v>9136</v>
      </c>
      <c r="K1003" s="144">
        <v>1</v>
      </c>
      <c r="L1003" s="144" t="s">
        <v>462</v>
      </c>
      <c r="M1003" s="144" t="s">
        <v>9137</v>
      </c>
      <c r="N1003" s="144">
        <v>2</v>
      </c>
      <c r="O1003" s="144"/>
      <c r="P1003" s="144"/>
      <c r="Q1003" s="144" t="s">
        <v>454</v>
      </c>
      <c r="R1003" s="144" t="s">
        <v>452</v>
      </c>
      <c r="S1003" s="144" t="s">
        <v>9138</v>
      </c>
      <c r="T1003" s="144"/>
      <c r="U1003" s="145"/>
      <c r="V1003" s="145"/>
      <c r="W1003" s="145"/>
      <c r="X1003" s="144" t="s">
        <v>9139</v>
      </c>
      <c r="Y1003" s="144" t="s">
        <v>9140</v>
      </c>
      <c r="Z1003" s="144" t="str">
        <f ca="1">IFERROR(__xludf.DUMMYFUNCTION("IF(VLOOKUP($Y1003, IMPORTRANGE(""https://docs.google.com/spreadsheets/d/1WsTKRjz8_fF2119Ff9dhKIIYXSaUEHzuWr8pBkxmwQQ/edit"", ""Form Responses 1!$B:$Z""),1, FALSE)=$Y1003,""Yes"",""No"")"),"#N/A")</f>
        <v>#N/A</v>
      </c>
      <c r="AA1003" s="144"/>
      <c r="AB1003" s="144"/>
    </row>
    <row r="1004" spans="1:28">
      <c r="A1004" s="140" t="s">
        <v>598</v>
      </c>
      <c r="B1004" s="140" t="s">
        <v>9141</v>
      </c>
      <c r="C1004" s="140" t="s">
        <v>9142</v>
      </c>
      <c r="D1004" s="140" t="s">
        <v>9143</v>
      </c>
      <c r="E1004" s="140" t="s">
        <v>9144</v>
      </c>
      <c r="F1004" s="140" t="s">
        <v>3</v>
      </c>
      <c r="G1004" s="140">
        <v>3.88</v>
      </c>
      <c r="H1004" s="140" t="s">
        <v>24</v>
      </c>
      <c r="I1004" s="140" t="s">
        <v>488</v>
      </c>
      <c r="J1004" s="140" t="s">
        <v>9145</v>
      </c>
      <c r="K1004" s="140">
        <v>3.75</v>
      </c>
      <c r="L1004" s="140" t="s">
        <v>941</v>
      </c>
      <c r="M1004" s="140" t="s">
        <v>9146</v>
      </c>
      <c r="N1004" s="140">
        <v>4</v>
      </c>
      <c r="O1004" s="140"/>
      <c r="P1004" s="140"/>
      <c r="Q1004" s="140" t="s">
        <v>452</v>
      </c>
      <c r="R1004" s="140" t="s">
        <v>9147</v>
      </c>
      <c r="S1004" s="140"/>
      <c r="T1004" s="140" t="s">
        <v>9148</v>
      </c>
      <c r="U1004" s="143"/>
      <c r="V1004" s="143"/>
      <c r="W1004" s="143"/>
      <c r="X1004" s="140" t="s">
        <v>9149</v>
      </c>
      <c r="Y1004" s="140" t="s">
        <v>9150</v>
      </c>
      <c r="Z1004" s="140" t="str">
        <f ca="1">IFERROR(__xludf.DUMMYFUNCTION("IF(VLOOKUP($Y1004, IMPORTRANGE(""https://docs.google.com/spreadsheets/d/1WsTKRjz8_fF2119Ff9dhKIIYXSaUEHzuWr8pBkxmwQQ/edit"", ""Form Responses 1!$B:$Z""),1, FALSE)=$Y1004,""Yes"",""No"")"),"#N/A")</f>
        <v>#N/A</v>
      </c>
      <c r="AA1004" s="140"/>
      <c r="AB1004" s="140"/>
    </row>
    <row r="1005" spans="1:28">
      <c r="A1005" s="144" t="s">
        <v>471</v>
      </c>
      <c r="B1005" s="144" t="s">
        <v>9151</v>
      </c>
      <c r="C1005" s="144" t="s">
        <v>9152</v>
      </c>
      <c r="D1005" s="144" t="s">
        <v>9153</v>
      </c>
      <c r="E1005" s="144" t="s">
        <v>9154</v>
      </c>
      <c r="F1005" s="144" t="s">
        <v>3</v>
      </c>
      <c r="G1005" s="144">
        <v>2.5</v>
      </c>
      <c r="H1005" s="144" t="s">
        <v>24</v>
      </c>
      <c r="I1005" s="144" t="s">
        <v>460</v>
      </c>
      <c r="J1005" s="144" t="s">
        <v>9155</v>
      </c>
      <c r="K1005" s="144">
        <v>2</v>
      </c>
      <c r="L1005" s="144" t="s">
        <v>488</v>
      </c>
      <c r="M1005" s="144" t="s">
        <v>9156</v>
      </c>
      <c r="N1005" s="144">
        <v>3</v>
      </c>
      <c r="O1005" s="144" t="s">
        <v>973</v>
      </c>
      <c r="P1005" s="147">
        <v>7500000</v>
      </c>
      <c r="Q1005" s="144" t="s">
        <v>452</v>
      </c>
      <c r="R1005" s="144" t="s">
        <v>1119</v>
      </c>
      <c r="S1005" s="144"/>
      <c r="T1005" s="144" t="s">
        <v>9157</v>
      </c>
      <c r="U1005" s="145"/>
      <c r="V1005" s="145"/>
      <c r="W1005" s="145"/>
      <c r="X1005" s="144" t="s">
        <v>9158</v>
      </c>
      <c r="Y1005" s="144" t="s">
        <v>9159</v>
      </c>
      <c r="Z1005" s="144" t="str">
        <f ca="1">IFERROR(__xludf.DUMMYFUNCTION("IF(VLOOKUP($Y1005, IMPORTRANGE(""https://docs.google.com/spreadsheets/d/1WsTKRjz8_fF2119Ff9dhKIIYXSaUEHzuWr8pBkxmwQQ/edit"", ""Form Responses 1!$B:$Z""),1, FALSE)=$Y1005,""Yes"",""No"")"),"#N/A")</f>
        <v>#N/A</v>
      </c>
      <c r="AA1005" s="144"/>
      <c r="AB1005" s="144"/>
    </row>
    <row r="1006" spans="1:28">
      <c r="A1006" s="140" t="s">
        <v>443</v>
      </c>
      <c r="B1006" s="140" t="s">
        <v>9160</v>
      </c>
      <c r="C1006" s="140" t="s">
        <v>9161</v>
      </c>
      <c r="D1006" s="140" t="s">
        <v>9162</v>
      </c>
      <c r="E1006" s="140" t="s">
        <v>9163</v>
      </c>
      <c r="F1006" s="140" t="s">
        <v>3</v>
      </c>
      <c r="G1006" s="140">
        <v>3</v>
      </c>
      <c r="H1006" s="140" t="s">
        <v>24</v>
      </c>
      <c r="I1006" s="140" t="s">
        <v>460</v>
      </c>
      <c r="J1006" s="140" t="s">
        <v>9164</v>
      </c>
      <c r="K1006" s="140">
        <v>3</v>
      </c>
      <c r="L1006" s="140" t="s">
        <v>462</v>
      </c>
      <c r="M1006" s="140" t="s">
        <v>9165</v>
      </c>
      <c r="N1006" s="140">
        <v>3</v>
      </c>
      <c r="O1006" s="140"/>
      <c r="P1006" s="140"/>
      <c r="Q1006" s="140" t="s">
        <v>454</v>
      </c>
      <c r="R1006" s="140" t="s">
        <v>9166</v>
      </c>
      <c r="S1006" s="140"/>
      <c r="T1006" s="140"/>
      <c r="U1006" s="143"/>
      <c r="V1006" s="143"/>
      <c r="W1006" s="143"/>
      <c r="X1006" s="140" t="s">
        <v>9167</v>
      </c>
      <c r="Y1006" s="140" t="s">
        <v>9168</v>
      </c>
      <c r="Z1006" s="140" t="str">
        <f ca="1">IFERROR(__xludf.DUMMYFUNCTION("IF(VLOOKUP($Y1006, IMPORTRANGE(""https://docs.google.com/spreadsheets/d/1WsTKRjz8_fF2119Ff9dhKIIYXSaUEHzuWr8pBkxmwQQ/edit"", ""Form Responses 1!$B:$Z""),1, FALSE)=$Y1006,""Yes"",""No"")"),"#N/A")</f>
        <v>#N/A</v>
      </c>
      <c r="AA1006" s="140"/>
      <c r="AB1006" s="140"/>
    </row>
    <row r="1007" spans="1:28">
      <c r="A1007" s="144" t="s">
        <v>907</v>
      </c>
      <c r="B1007" s="144" t="s">
        <v>283</v>
      </c>
      <c r="C1007" s="144" t="s">
        <v>9169</v>
      </c>
      <c r="D1007" s="144" t="s">
        <v>9170</v>
      </c>
      <c r="E1007" s="144" t="s">
        <v>9171</v>
      </c>
      <c r="F1007" s="144" t="s">
        <v>3</v>
      </c>
      <c r="G1007" s="144">
        <v>3.75</v>
      </c>
      <c r="H1007" s="144" t="s">
        <v>24</v>
      </c>
      <c r="I1007" s="144" t="s">
        <v>488</v>
      </c>
      <c r="J1007" s="144" t="s">
        <v>9172</v>
      </c>
      <c r="K1007" s="144">
        <v>3.5</v>
      </c>
      <c r="L1007" s="144" t="s">
        <v>941</v>
      </c>
      <c r="M1007" s="144" t="s">
        <v>9173</v>
      </c>
      <c r="N1007" s="144">
        <v>4</v>
      </c>
      <c r="O1007" s="144" t="s">
        <v>451</v>
      </c>
      <c r="P1007" s="144" t="s">
        <v>2604</v>
      </c>
      <c r="Q1007" s="144" t="s">
        <v>452</v>
      </c>
      <c r="R1007" s="144" t="s">
        <v>9174</v>
      </c>
      <c r="S1007" s="144" t="s">
        <v>604</v>
      </c>
      <c r="T1007" s="144" t="s">
        <v>9175</v>
      </c>
      <c r="U1007" s="145" t="s">
        <v>481</v>
      </c>
      <c r="V1007" s="145"/>
      <c r="W1007" s="145" t="s">
        <v>604</v>
      </c>
      <c r="X1007" s="144" t="s">
        <v>1020</v>
      </c>
      <c r="Y1007" s="144" t="s">
        <v>9176</v>
      </c>
      <c r="Z1007" s="144" t="str">
        <f ca="1">IFERROR(__xludf.DUMMYFUNCTION("IF(VLOOKUP($Y1007, IMPORTRANGE(""https://docs.google.com/spreadsheets/d/1WsTKRjz8_fF2119Ff9dhKIIYXSaUEHzuWr8pBkxmwQQ/edit"", ""Form Responses 1!$B:$Z""),1, FALSE)=$Y1007,""Yes"",""No"")"),"#N/A")</f>
        <v>#N/A</v>
      </c>
      <c r="AA1007" s="144"/>
      <c r="AB1007" s="144"/>
    </row>
    <row r="1008" spans="1:28">
      <c r="A1008" s="140" t="s">
        <v>443</v>
      </c>
      <c r="B1008" s="140" t="s">
        <v>9177</v>
      </c>
      <c r="C1008" s="140" t="s">
        <v>9178</v>
      </c>
      <c r="D1008" s="140" t="s">
        <v>9179</v>
      </c>
      <c r="E1008" s="140" t="s">
        <v>9180</v>
      </c>
      <c r="F1008" s="140" t="s">
        <v>3</v>
      </c>
      <c r="G1008" s="140">
        <v>2.25</v>
      </c>
      <c r="H1008" s="140" t="s">
        <v>24</v>
      </c>
      <c r="I1008" s="140" t="s">
        <v>488</v>
      </c>
      <c r="J1008" s="140" t="s">
        <v>9181</v>
      </c>
      <c r="K1008" s="140">
        <v>2.5</v>
      </c>
      <c r="L1008" s="140" t="s">
        <v>941</v>
      </c>
      <c r="M1008" s="140"/>
      <c r="N1008" s="140">
        <v>2</v>
      </c>
      <c r="O1008" s="140" t="s">
        <v>923</v>
      </c>
      <c r="P1008" s="148">
        <v>1000000</v>
      </c>
      <c r="Q1008" s="140" t="s">
        <v>452</v>
      </c>
      <c r="R1008" s="140" t="s">
        <v>9182</v>
      </c>
      <c r="S1008" s="140" t="s">
        <v>9183</v>
      </c>
      <c r="T1008" s="140"/>
      <c r="U1008" s="143"/>
      <c r="V1008" s="143"/>
      <c r="W1008" s="143"/>
      <c r="X1008" s="140" t="s">
        <v>9184</v>
      </c>
      <c r="Y1008" s="140" t="s">
        <v>9185</v>
      </c>
      <c r="Z1008" s="140" t="str">
        <f ca="1">IFERROR(__xludf.DUMMYFUNCTION("IF(VLOOKUP($Y1008, IMPORTRANGE(""https://docs.google.com/spreadsheets/d/1WsTKRjz8_fF2119Ff9dhKIIYXSaUEHzuWr8pBkxmwQQ/edit"", ""Form Responses 1!$B:$Z""),1, FALSE)=$Y1008,""Yes"",""No"")"),"#N/A")</f>
        <v>#N/A</v>
      </c>
      <c r="AA1008" s="140"/>
      <c r="AB1008" s="140"/>
    </row>
    <row r="1009" spans="1:28">
      <c r="A1009" s="144" t="s">
        <v>529</v>
      </c>
      <c r="B1009" s="144" t="s">
        <v>9186</v>
      </c>
      <c r="C1009" s="144" t="s">
        <v>9187</v>
      </c>
      <c r="D1009" s="144" t="s">
        <v>9188</v>
      </c>
      <c r="E1009" s="144" t="s">
        <v>9189</v>
      </c>
      <c r="F1009" s="144" t="s">
        <v>3</v>
      </c>
      <c r="G1009" s="144">
        <v>3.75</v>
      </c>
      <c r="H1009" s="144" t="s">
        <v>24</v>
      </c>
      <c r="I1009" s="144" t="s">
        <v>725</v>
      </c>
      <c r="J1009" s="144" t="s">
        <v>9190</v>
      </c>
      <c r="K1009" s="144">
        <v>3.5</v>
      </c>
      <c r="L1009" s="144" t="s">
        <v>462</v>
      </c>
      <c r="M1009" s="144" t="s">
        <v>9191</v>
      </c>
      <c r="N1009" s="144">
        <v>4</v>
      </c>
      <c r="O1009" s="144"/>
      <c r="P1009" s="144"/>
      <c r="Q1009" s="144" t="s">
        <v>452</v>
      </c>
      <c r="R1009" s="144" t="s">
        <v>1119</v>
      </c>
      <c r="S1009" s="144"/>
      <c r="T1009" s="144" t="s">
        <v>9192</v>
      </c>
      <c r="U1009" s="145"/>
      <c r="V1009" s="145"/>
      <c r="W1009" s="145"/>
      <c r="X1009" s="144" t="s">
        <v>9193</v>
      </c>
      <c r="Y1009" s="144" t="s">
        <v>9194</v>
      </c>
      <c r="Z1009" s="144" t="str">
        <f ca="1">IFERROR(__xludf.DUMMYFUNCTION("IF(VLOOKUP($Y1009, IMPORTRANGE(""https://docs.google.com/spreadsheets/d/1WsTKRjz8_fF2119Ff9dhKIIYXSaUEHzuWr8pBkxmwQQ/edit"", ""Form Responses 1!$B:$Z""),1, FALSE)=$Y1009,""Yes"",""No"")"),"#N/A")</f>
        <v>#N/A</v>
      </c>
      <c r="AA1009" s="144"/>
      <c r="AB1009" s="144"/>
    </row>
    <row r="1010" spans="1:28">
      <c r="A1010" s="140" t="s">
        <v>503</v>
      </c>
      <c r="B1010" s="140" t="s">
        <v>9195</v>
      </c>
      <c r="C1010" s="140" t="s">
        <v>9196</v>
      </c>
      <c r="D1010" s="140" t="s">
        <v>9197</v>
      </c>
      <c r="E1010" s="140" t="s">
        <v>9198</v>
      </c>
      <c r="F1010" s="140" t="s">
        <v>3</v>
      </c>
      <c r="G1010" s="140">
        <v>1</v>
      </c>
      <c r="H1010" s="140" t="s">
        <v>24</v>
      </c>
      <c r="I1010" s="140" t="s">
        <v>460</v>
      </c>
      <c r="J1010" s="140"/>
      <c r="K1010" s="140">
        <v>1</v>
      </c>
      <c r="L1010" s="140" t="s">
        <v>462</v>
      </c>
      <c r="M1010" s="140"/>
      <c r="N1010" s="140">
        <v>1</v>
      </c>
      <c r="O1010" s="140" t="s">
        <v>451</v>
      </c>
      <c r="P1010" s="142">
        <v>150000</v>
      </c>
      <c r="Q1010" s="140" t="s">
        <v>452</v>
      </c>
      <c r="R1010" s="140" t="s">
        <v>452</v>
      </c>
      <c r="S1010" s="140"/>
      <c r="T1010" s="140"/>
      <c r="U1010" s="143"/>
      <c r="V1010" s="143"/>
      <c r="W1010" s="143"/>
      <c r="X1010" s="140" t="s">
        <v>9199</v>
      </c>
      <c r="Y1010" s="140" t="s">
        <v>9200</v>
      </c>
      <c r="Z1010" s="140" t="str">
        <f ca="1">IFERROR(__xludf.DUMMYFUNCTION("IF(VLOOKUP($Y1010, IMPORTRANGE(""https://docs.google.com/spreadsheets/d/1WsTKRjz8_fF2119Ff9dhKIIYXSaUEHzuWr8pBkxmwQQ/edit"", ""Form Responses 1!$B:$Z""),1, FALSE)=$Y1010,""Yes"",""No"")"),"#N/A")</f>
        <v>#N/A</v>
      </c>
      <c r="AA1010" s="140"/>
      <c r="AB1010" s="140"/>
    </row>
    <row r="1011" spans="1:28">
      <c r="A1011" s="144" t="s">
        <v>598</v>
      </c>
      <c r="B1011" s="144" t="s">
        <v>9201</v>
      </c>
      <c r="C1011" s="144" t="s">
        <v>9202</v>
      </c>
      <c r="D1011" s="144" t="s">
        <v>9203</v>
      </c>
      <c r="E1011" s="144" t="s">
        <v>9204</v>
      </c>
      <c r="F1011" s="144" t="s">
        <v>3</v>
      </c>
      <c r="G1011" s="144">
        <v>1</v>
      </c>
      <c r="H1011" s="144" t="s">
        <v>24</v>
      </c>
      <c r="I1011" s="144" t="s">
        <v>460</v>
      </c>
      <c r="J1011" s="144" t="s">
        <v>9205</v>
      </c>
      <c r="K1011" s="144">
        <v>1</v>
      </c>
      <c r="L1011" s="144" t="s">
        <v>462</v>
      </c>
      <c r="M1011" s="144" t="s">
        <v>9206</v>
      </c>
      <c r="N1011" s="144">
        <v>1</v>
      </c>
      <c r="O1011" s="144"/>
      <c r="P1011" s="144"/>
      <c r="Q1011" s="144" t="s">
        <v>452</v>
      </c>
      <c r="R1011" s="144" t="s">
        <v>9207</v>
      </c>
      <c r="S1011" s="144"/>
      <c r="T1011" s="144"/>
      <c r="U1011" s="145"/>
      <c r="V1011" s="145"/>
      <c r="W1011" s="145"/>
      <c r="X1011" s="144" t="s">
        <v>9208</v>
      </c>
      <c r="Y1011" s="144" t="s">
        <v>9209</v>
      </c>
      <c r="Z1011" s="144" t="str">
        <f ca="1">IFERROR(__xludf.DUMMYFUNCTION("IF(VLOOKUP($Y1011, IMPORTRANGE(""https://docs.google.com/spreadsheets/d/1WsTKRjz8_fF2119Ff9dhKIIYXSaUEHzuWr8pBkxmwQQ/edit"", ""Form Responses 1!$B:$Z""),1, FALSE)=$Y1011,""Yes"",""No"")"),"#N/A")</f>
        <v>#N/A</v>
      </c>
      <c r="AA1011" s="144"/>
      <c r="AB1011" s="144"/>
    </row>
    <row r="1012" spans="1:28">
      <c r="A1012" s="140" t="s">
        <v>471</v>
      </c>
      <c r="B1012" s="140" t="s">
        <v>9210</v>
      </c>
      <c r="C1012" s="140" t="s">
        <v>9211</v>
      </c>
      <c r="D1012" s="140" t="s">
        <v>9212</v>
      </c>
      <c r="E1012" s="140" t="s">
        <v>9213</v>
      </c>
      <c r="F1012" s="140" t="s">
        <v>3</v>
      </c>
      <c r="G1012" s="140">
        <v>3.25</v>
      </c>
      <c r="H1012" s="140" t="s">
        <v>24</v>
      </c>
      <c r="I1012" s="140" t="s">
        <v>727</v>
      </c>
      <c r="J1012" s="140" t="s">
        <v>9214</v>
      </c>
      <c r="K1012" s="140">
        <v>3</v>
      </c>
      <c r="L1012" s="140" t="s">
        <v>1054</v>
      </c>
      <c r="M1012" s="140"/>
      <c r="N1012" s="140">
        <v>3.5</v>
      </c>
      <c r="O1012" s="140" t="s">
        <v>478</v>
      </c>
      <c r="P1012" s="140" t="s">
        <v>9215</v>
      </c>
      <c r="Q1012" s="140" t="s">
        <v>452</v>
      </c>
      <c r="R1012" s="140" t="s">
        <v>9216</v>
      </c>
      <c r="S1012" s="140"/>
      <c r="T1012" s="140"/>
      <c r="U1012" s="143"/>
      <c r="V1012" s="143"/>
      <c r="W1012" s="143"/>
      <c r="X1012" s="140" t="s">
        <v>9217</v>
      </c>
      <c r="Y1012" s="140" t="s">
        <v>9218</v>
      </c>
      <c r="Z1012" s="140" t="str">
        <f ca="1">IFERROR(__xludf.DUMMYFUNCTION("IF(VLOOKUP($Y1012, IMPORTRANGE(""https://docs.google.com/spreadsheets/d/1WsTKRjz8_fF2119Ff9dhKIIYXSaUEHzuWr8pBkxmwQQ/edit"", ""Form Responses 1!$B:$Z""),1, FALSE)=$Y1012,""Yes"",""No"")"),"#N/A")</f>
        <v>#N/A</v>
      </c>
      <c r="AA1012" s="140"/>
      <c r="AB1012" s="140"/>
    </row>
    <row r="1013" spans="1:28">
      <c r="A1013" s="144" t="s">
        <v>443</v>
      </c>
      <c r="B1013" s="144" t="s">
        <v>9219</v>
      </c>
      <c r="C1013" s="144" t="s">
        <v>9220</v>
      </c>
      <c r="D1013" s="144" t="s">
        <v>9221</v>
      </c>
      <c r="E1013" s="144" t="s">
        <v>9222</v>
      </c>
      <c r="F1013" s="144" t="s">
        <v>3</v>
      </c>
      <c r="G1013" s="144">
        <v>1</v>
      </c>
      <c r="H1013" s="144" t="s">
        <v>24</v>
      </c>
      <c r="I1013" s="144" t="s">
        <v>488</v>
      </c>
      <c r="J1013" s="144"/>
      <c r="K1013" s="144">
        <v>1</v>
      </c>
      <c r="L1013" s="144" t="s">
        <v>462</v>
      </c>
      <c r="M1013" s="144" t="s">
        <v>9223</v>
      </c>
      <c r="N1013" s="144">
        <v>1</v>
      </c>
      <c r="O1013" s="144"/>
      <c r="P1013" s="144"/>
      <c r="Q1013" s="144" t="s">
        <v>454</v>
      </c>
      <c r="R1013" s="144" t="s">
        <v>575</v>
      </c>
      <c r="S1013" s="144"/>
      <c r="T1013" s="144"/>
      <c r="U1013" s="145"/>
      <c r="V1013" s="145"/>
      <c r="W1013" s="145"/>
      <c r="X1013" s="144" t="s">
        <v>9224</v>
      </c>
      <c r="Y1013" s="144" t="s">
        <v>9225</v>
      </c>
      <c r="Z1013" s="144" t="str">
        <f ca="1">IFERROR(__xludf.DUMMYFUNCTION("IF(VLOOKUP($Y1013, IMPORTRANGE(""https://docs.google.com/spreadsheets/d/1WsTKRjz8_fF2119Ff9dhKIIYXSaUEHzuWr8pBkxmwQQ/edit"", ""Form Responses 1!$B:$Z""),1, FALSE)=$Y1013,""Yes"",""No"")"),"#N/A")</f>
        <v>#N/A</v>
      </c>
      <c r="AA1013" s="144"/>
      <c r="AB1013" s="144"/>
    </row>
    <row r="1014" spans="1:28">
      <c r="A1014" s="140" t="s">
        <v>598</v>
      </c>
      <c r="B1014" s="140" t="s">
        <v>9226</v>
      </c>
      <c r="C1014" s="140" t="s">
        <v>9227</v>
      </c>
      <c r="D1014" s="140" t="s">
        <v>9228</v>
      </c>
      <c r="E1014" s="140" t="s">
        <v>9229</v>
      </c>
      <c r="F1014" s="140" t="s">
        <v>3</v>
      </c>
      <c r="G1014" s="140">
        <v>3.5</v>
      </c>
      <c r="H1014" s="140" t="s">
        <v>24</v>
      </c>
      <c r="I1014" s="140" t="s">
        <v>488</v>
      </c>
      <c r="J1014" s="140" t="s">
        <v>9230</v>
      </c>
      <c r="K1014" s="140">
        <v>3</v>
      </c>
      <c r="L1014" s="140" t="s">
        <v>941</v>
      </c>
      <c r="M1014" s="140" t="s">
        <v>9231</v>
      </c>
      <c r="N1014" s="140">
        <v>4</v>
      </c>
      <c r="O1014" s="140" t="s">
        <v>2190</v>
      </c>
      <c r="P1014" s="140">
        <v>0</v>
      </c>
      <c r="Q1014" s="140" t="s">
        <v>452</v>
      </c>
      <c r="R1014" s="140" t="s">
        <v>575</v>
      </c>
      <c r="S1014" s="140"/>
      <c r="T1014" s="140" t="s">
        <v>9232</v>
      </c>
      <c r="U1014" s="143"/>
      <c r="V1014" s="143"/>
      <c r="W1014" s="143"/>
      <c r="X1014" s="140" t="s">
        <v>9233</v>
      </c>
      <c r="Y1014" s="140" t="s">
        <v>9234</v>
      </c>
      <c r="Z1014" s="140" t="str">
        <f ca="1">IFERROR(__xludf.DUMMYFUNCTION("IF(VLOOKUP($Y1014, IMPORTRANGE(""https://docs.google.com/spreadsheets/d/1WsTKRjz8_fF2119Ff9dhKIIYXSaUEHzuWr8pBkxmwQQ/edit"", ""Form Responses 1!$B:$Z""),1, FALSE)=$Y1014,""Yes"",""No"")"),"#N/A")</f>
        <v>#N/A</v>
      </c>
      <c r="AA1014" s="140"/>
      <c r="AB1014" s="140"/>
    </row>
    <row r="1015" spans="1:28">
      <c r="A1015" s="144" t="s">
        <v>443</v>
      </c>
      <c r="B1015" s="144" t="s">
        <v>9235</v>
      </c>
      <c r="C1015" s="144" t="s">
        <v>9236</v>
      </c>
      <c r="D1015" s="144" t="s">
        <v>9237</v>
      </c>
      <c r="E1015" s="144" t="s">
        <v>9238</v>
      </c>
      <c r="F1015" s="144" t="s">
        <v>3</v>
      </c>
      <c r="G1015" s="144">
        <v>2</v>
      </c>
      <c r="H1015" s="144" t="s">
        <v>24</v>
      </c>
      <c r="I1015" s="144" t="s">
        <v>460</v>
      </c>
      <c r="J1015" s="144" t="s">
        <v>9239</v>
      </c>
      <c r="K1015" s="144">
        <v>2</v>
      </c>
      <c r="L1015" s="144" t="s">
        <v>941</v>
      </c>
      <c r="M1015" s="144" t="s">
        <v>9240</v>
      </c>
      <c r="N1015" s="144">
        <v>2</v>
      </c>
      <c r="O1015" s="144" t="s">
        <v>451</v>
      </c>
      <c r="P1015" s="144">
        <v>800000</v>
      </c>
      <c r="Q1015" s="144" t="s">
        <v>452</v>
      </c>
      <c r="R1015" s="144" t="s">
        <v>452</v>
      </c>
      <c r="S1015" s="144"/>
      <c r="T1015" s="144"/>
      <c r="U1015" s="145"/>
      <c r="V1015" s="145"/>
      <c r="W1015" s="145"/>
      <c r="X1015" s="144" t="s">
        <v>9241</v>
      </c>
      <c r="Y1015" s="144" t="s">
        <v>9242</v>
      </c>
      <c r="Z1015" s="144" t="str">
        <f ca="1">IFERROR(__xludf.DUMMYFUNCTION("IF(VLOOKUP($Y1015, IMPORTRANGE(""https://docs.google.com/spreadsheets/d/1WsTKRjz8_fF2119Ff9dhKIIYXSaUEHzuWr8pBkxmwQQ/edit"", ""Form Responses 1!$B:$Z""),1, FALSE)=$Y1015,""Yes"",""No"")"),"#N/A")</f>
        <v>#N/A</v>
      </c>
      <c r="AA1015" s="144"/>
      <c r="AB1015" s="144"/>
    </row>
    <row r="1016" spans="1:28">
      <c r="A1016" s="140" t="s">
        <v>529</v>
      </c>
      <c r="B1016" s="140" t="s">
        <v>9243</v>
      </c>
      <c r="C1016" s="140" t="s">
        <v>9244</v>
      </c>
      <c r="D1016" s="140" t="s">
        <v>9245</v>
      </c>
      <c r="E1016" s="140" t="s">
        <v>9246</v>
      </c>
      <c r="F1016" s="140" t="s">
        <v>3</v>
      </c>
      <c r="G1016" s="140">
        <v>1.5</v>
      </c>
      <c r="H1016" s="140" t="s">
        <v>24</v>
      </c>
      <c r="I1016" s="140" t="s">
        <v>460</v>
      </c>
      <c r="J1016" s="140" t="s">
        <v>9247</v>
      </c>
      <c r="K1016" s="140">
        <v>1</v>
      </c>
      <c r="L1016" s="140" t="s">
        <v>462</v>
      </c>
      <c r="M1016" s="140" t="s">
        <v>9248</v>
      </c>
      <c r="N1016" s="140">
        <v>2</v>
      </c>
      <c r="O1016" s="140"/>
      <c r="P1016" s="140"/>
      <c r="Q1016" s="140" t="s">
        <v>454</v>
      </c>
      <c r="R1016" s="140" t="s">
        <v>452</v>
      </c>
      <c r="S1016" s="140" t="s">
        <v>725</v>
      </c>
      <c r="T1016" s="140"/>
      <c r="U1016" s="143"/>
      <c r="V1016" s="143"/>
      <c r="W1016" s="143"/>
      <c r="X1016" s="140" t="s">
        <v>9249</v>
      </c>
      <c r="Y1016" s="140" t="s">
        <v>9250</v>
      </c>
      <c r="Z1016" s="140" t="str">
        <f ca="1">IFERROR(__xludf.DUMMYFUNCTION("IF(VLOOKUP($Y1016, IMPORTRANGE(""https://docs.google.com/spreadsheets/d/1WsTKRjz8_fF2119Ff9dhKIIYXSaUEHzuWr8pBkxmwQQ/edit"", ""Form Responses 1!$B:$Z""),1, FALSE)=$Y1016,""Yes"",""No"")"),"#N/A")</f>
        <v>#N/A</v>
      </c>
      <c r="AA1016" s="140"/>
      <c r="AB1016" s="140"/>
    </row>
    <row r="1017" spans="1:28">
      <c r="A1017" s="144" t="s">
        <v>443</v>
      </c>
      <c r="B1017" s="144" t="s">
        <v>9251</v>
      </c>
      <c r="C1017" s="144" t="s">
        <v>9252</v>
      </c>
      <c r="D1017" s="144" t="s">
        <v>9253</v>
      </c>
      <c r="E1017" s="144" t="s">
        <v>9254</v>
      </c>
      <c r="F1017" s="144" t="s">
        <v>3</v>
      </c>
      <c r="G1017" s="144">
        <v>3.5</v>
      </c>
      <c r="H1017" s="144" t="s">
        <v>24</v>
      </c>
      <c r="I1017" s="144" t="s">
        <v>460</v>
      </c>
      <c r="J1017" s="144" t="s">
        <v>9255</v>
      </c>
      <c r="K1017" s="144">
        <v>3.5</v>
      </c>
      <c r="L1017" s="144" t="s">
        <v>462</v>
      </c>
      <c r="M1017" s="144" t="s">
        <v>9256</v>
      </c>
      <c r="N1017" s="144">
        <v>3.5</v>
      </c>
      <c r="O1017" s="144" t="s">
        <v>451</v>
      </c>
      <c r="P1017" s="147">
        <v>3000000</v>
      </c>
      <c r="Q1017" s="144" t="s">
        <v>452</v>
      </c>
      <c r="R1017" s="144" t="s">
        <v>1028</v>
      </c>
      <c r="S1017" s="144"/>
      <c r="T1017" s="144"/>
      <c r="U1017" s="145"/>
      <c r="V1017" s="145"/>
      <c r="W1017" s="145"/>
      <c r="X1017" s="144" t="s">
        <v>2106</v>
      </c>
      <c r="Y1017" s="144" t="s">
        <v>9257</v>
      </c>
      <c r="Z1017" s="144" t="str">
        <f ca="1">IFERROR(__xludf.DUMMYFUNCTION("IF(VLOOKUP($Y1017, IMPORTRANGE(""https://docs.google.com/spreadsheets/d/1WsTKRjz8_fF2119Ff9dhKIIYXSaUEHzuWr8pBkxmwQQ/edit"", ""Form Responses 1!$B:$Z""),1, FALSE)=$Y1017,""Yes"",""No"")"),"#N/A")</f>
        <v>#N/A</v>
      </c>
      <c r="AA1017" s="144"/>
      <c r="AB1017" s="144"/>
    </row>
    <row r="1018" spans="1:28">
      <c r="A1018" s="140" t="s">
        <v>484</v>
      </c>
      <c r="B1018" s="140" t="s">
        <v>9258</v>
      </c>
      <c r="C1018" s="140" t="s">
        <v>9259</v>
      </c>
      <c r="D1018" s="140" t="s">
        <v>9260</v>
      </c>
      <c r="E1018" s="140" t="s">
        <v>9261</v>
      </c>
      <c r="F1018" s="140" t="s">
        <v>3</v>
      </c>
      <c r="G1018" s="140">
        <v>1.5</v>
      </c>
      <c r="H1018" s="140" t="s">
        <v>24</v>
      </c>
      <c r="I1018" s="140" t="s">
        <v>460</v>
      </c>
      <c r="J1018" s="140" t="s">
        <v>9262</v>
      </c>
      <c r="K1018" s="140">
        <v>2</v>
      </c>
      <c r="L1018" s="140" t="s">
        <v>488</v>
      </c>
      <c r="M1018" s="140" t="s">
        <v>9263</v>
      </c>
      <c r="N1018" s="140">
        <v>1</v>
      </c>
      <c r="O1018" s="140"/>
      <c r="P1018" s="140"/>
      <c r="Q1018" s="140" t="s">
        <v>465</v>
      </c>
      <c r="R1018" s="140" t="s">
        <v>452</v>
      </c>
      <c r="S1018" s="140"/>
      <c r="T1018" s="140"/>
      <c r="U1018" s="143"/>
      <c r="V1018" s="143"/>
      <c r="W1018" s="143"/>
      <c r="X1018" s="140" t="s">
        <v>9264</v>
      </c>
      <c r="Y1018" s="140" t="s">
        <v>9265</v>
      </c>
      <c r="Z1018" s="140" t="str">
        <f ca="1">IFERROR(__xludf.DUMMYFUNCTION("IF(VLOOKUP($Y1018, IMPORTRANGE(""https://docs.google.com/spreadsheets/d/1WsTKRjz8_fF2119Ff9dhKIIYXSaUEHzuWr8pBkxmwQQ/edit"", ""Form Responses 1!$B:$Z""),1, FALSE)=$Y1018,""Yes"",""No"")"),"#N/A")</f>
        <v>#N/A</v>
      </c>
      <c r="AA1018" s="140"/>
      <c r="AB1018" s="140"/>
    </row>
    <row r="1019" spans="1:28">
      <c r="A1019" s="144" t="s">
        <v>598</v>
      </c>
      <c r="B1019" s="144" t="s">
        <v>9266</v>
      </c>
      <c r="C1019" s="144" t="s">
        <v>9267</v>
      </c>
      <c r="D1019" s="144" t="s">
        <v>9268</v>
      </c>
      <c r="E1019" s="144" t="s">
        <v>9269</v>
      </c>
      <c r="F1019" s="144" t="s">
        <v>3</v>
      </c>
      <c r="G1019" s="144">
        <v>2</v>
      </c>
      <c r="H1019" s="144" t="s">
        <v>24</v>
      </c>
      <c r="I1019" s="144" t="s">
        <v>460</v>
      </c>
      <c r="J1019" s="144" t="s">
        <v>9270</v>
      </c>
      <c r="K1019" s="144">
        <v>2</v>
      </c>
      <c r="L1019" s="144" t="s">
        <v>941</v>
      </c>
      <c r="M1019" s="144" t="s">
        <v>9271</v>
      </c>
      <c r="N1019" s="144">
        <v>2</v>
      </c>
      <c r="O1019" s="144" t="s">
        <v>451</v>
      </c>
      <c r="P1019" s="144">
        <v>5000000</v>
      </c>
      <c r="Q1019" s="144" t="s">
        <v>452</v>
      </c>
      <c r="R1019" s="144" t="s">
        <v>9272</v>
      </c>
      <c r="S1019" s="144" t="s">
        <v>9273</v>
      </c>
      <c r="T1019" s="144"/>
      <c r="U1019" s="145"/>
      <c r="V1019" s="145"/>
      <c r="W1019" s="145"/>
      <c r="X1019" s="144" t="s">
        <v>9274</v>
      </c>
      <c r="Y1019" s="144" t="s">
        <v>9275</v>
      </c>
      <c r="Z1019" s="144" t="str">
        <f ca="1">IFERROR(__xludf.DUMMYFUNCTION("IF(VLOOKUP($Y1019, IMPORTRANGE(""https://docs.google.com/spreadsheets/d/1WsTKRjz8_fF2119Ff9dhKIIYXSaUEHzuWr8pBkxmwQQ/edit"", ""Form Responses 1!$B:$Z""),1, FALSE)=$Y1019,""Yes"",""No"")"),"#N/A")</f>
        <v>#N/A</v>
      </c>
      <c r="AA1019" s="144"/>
      <c r="AB1019" s="144"/>
    </row>
    <row r="1020" spans="1:28">
      <c r="A1020" s="140" t="s">
        <v>598</v>
      </c>
      <c r="B1020" s="140" t="s">
        <v>9276</v>
      </c>
      <c r="C1020" s="140" t="s">
        <v>9277</v>
      </c>
      <c r="D1020" s="140" t="s">
        <v>9278</v>
      </c>
      <c r="E1020" s="140" t="s">
        <v>9279</v>
      </c>
      <c r="F1020" s="140" t="s">
        <v>3</v>
      </c>
      <c r="G1020" s="140">
        <v>3</v>
      </c>
      <c r="H1020" s="140" t="s">
        <v>24</v>
      </c>
      <c r="I1020" s="140" t="s">
        <v>725</v>
      </c>
      <c r="J1020" s="140" t="s">
        <v>9280</v>
      </c>
      <c r="K1020" s="140">
        <v>3</v>
      </c>
      <c r="L1020" s="140" t="s">
        <v>488</v>
      </c>
      <c r="M1020" s="140" t="s">
        <v>9281</v>
      </c>
      <c r="N1020" s="140">
        <v>3</v>
      </c>
      <c r="O1020" s="140" t="s">
        <v>784</v>
      </c>
      <c r="P1020" s="142">
        <v>500000</v>
      </c>
      <c r="Q1020" s="140" t="s">
        <v>452</v>
      </c>
      <c r="R1020" s="140" t="s">
        <v>9282</v>
      </c>
      <c r="S1020" s="140"/>
      <c r="T1020" s="140"/>
      <c r="U1020" s="143"/>
      <c r="V1020" s="143"/>
      <c r="W1020" s="143"/>
      <c r="X1020" s="140" t="s">
        <v>9283</v>
      </c>
      <c r="Y1020" s="140" t="s">
        <v>9284</v>
      </c>
      <c r="Z1020" s="140" t="str">
        <f ca="1">IFERROR(__xludf.DUMMYFUNCTION("IF(VLOOKUP($Y1020, IMPORTRANGE(""https://docs.google.com/spreadsheets/d/1WsTKRjz8_fF2119Ff9dhKIIYXSaUEHzuWr8pBkxmwQQ/edit"", ""Form Responses 1!$B:$Z""),1, FALSE)=$Y1020,""Yes"",""No"")"),"#N/A")</f>
        <v>#N/A</v>
      </c>
      <c r="AA1020" s="140"/>
      <c r="AB1020" s="140"/>
    </row>
    <row r="1021" spans="1:28">
      <c r="A1021" s="144" t="s">
        <v>471</v>
      </c>
      <c r="B1021" s="144" t="s">
        <v>9285</v>
      </c>
      <c r="C1021" s="144" t="s">
        <v>9286</v>
      </c>
      <c r="D1021" s="144" t="s">
        <v>9287</v>
      </c>
      <c r="E1021" s="144" t="s">
        <v>9288</v>
      </c>
      <c r="F1021" s="144" t="s">
        <v>3</v>
      </c>
      <c r="G1021" s="144">
        <v>2.5</v>
      </c>
      <c r="H1021" s="144" t="s">
        <v>24</v>
      </c>
      <c r="I1021" s="144" t="s">
        <v>460</v>
      </c>
      <c r="J1021" s="144" t="s">
        <v>9289</v>
      </c>
      <c r="K1021" s="144">
        <v>2</v>
      </c>
      <c r="L1021" s="144" t="s">
        <v>941</v>
      </c>
      <c r="M1021" s="144"/>
      <c r="N1021" s="144">
        <v>3</v>
      </c>
      <c r="O1021" s="144" t="s">
        <v>784</v>
      </c>
      <c r="P1021" s="146">
        <v>1600000</v>
      </c>
      <c r="Q1021" s="144" t="s">
        <v>452</v>
      </c>
      <c r="R1021" s="144" t="s">
        <v>9290</v>
      </c>
      <c r="S1021" s="144" t="s">
        <v>9291</v>
      </c>
      <c r="T1021" s="144" t="s">
        <v>9292</v>
      </c>
      <c r="U1021" s="145"/>
      <c r="V1021" s="145"/>
      <c r="W1021" s="145"/>
      <c r="X1021" s="144" t="s">
        <v>2748</v>
      </c>
      <c r="Y1021" s="144" t="s">
        <v>9293</v>
      </c>
      <c r="Z1021" s="144" t="str">
        <f ca="1">IFERROR(__xludf.DUMMYFUNCTION("IF(VLOOKUP($Y1021, IMPORTRANGE(""https://docs.google.com/spreadsheets/d/1WsTKRjz8_fF2119Ff9dhKIIYXSaUEHzuWr8pBkxmwQQ/edit"", ""Form Responses 1!$B:$Z""),1, FALSE)=$Y1021,""Yes"",""No"")"),"#N/A")</f>
        <v>#N/A</v>
      </c>
      <c r="AA1021" s="144"/>
      <c r="AB1021" s="144"/>
    </row>
    <row r="1022" spans="1:28">
      <c r="A1022" s="140" t="s">
        <v>443</v>
      </c>
      <c r="B1022" s="140" t="s">
        <v>9294</v>
      </c>
      <c r="C1022" s="140" t="s">
        <v>9295</v>
      </c>
      <c r="D1022" s="140" t="s">
        <v>9296</v>
      </c>
      <c r="E1022" s="140" t="s">
        <v>9297</v>
      </c>
      <c r="F1022" s="140" t="s">
        <v>3</v>
      </c>
      <c r="G1022" s="140">
        <v>3.25</v>
      </c>
      <c r="H1022" s="140" t="s">
        <v>24</v>
      </c>
      <c r="I1022" s="140" t="s">
        <v>460</v>
      </c>
      <c r="J1022" s="140" t="s">
        <v>9298</v>
      </c>
      <c r="K1022" s="140">
        <v>3</v>
      </c>
      <c r="L1022" s="140" t="s">
        <v>462</v>
      </c>
      <c r="M1022" s="140" t="s">
        <v>9299</v>
      </c>
      <c r="N1022" s="140">
        <v>3.5</v>
      </c>
      <c r="O1022" s="140" t="s">
        <v>9300</v>
      </c>
      <c r="P1022" s="140" t="s">
        <v>9301</v>
      </c>
      <c r="Q1022" s="140" t="s">
        <v>465</v>
      </c>
      <c r="R1022" s="140" t="s">
        <v>452</v>
      </c>
      <c r="S1022" s="140"/>
      <c r="T1022" s="140" t="s">
        <v>9302</v>
      </c>
      <c r="U1022" s="143"/>
      <c r="V1022" s="143"/>
      <c r="W1022" s="143"/>
      <c r="X1022" s="140" t="s">
        <v>9303</v>
      </c>
      <c r="Y1022" s="140" t="s">
        <v>9304</v>
      </c>
      <c r="Z1022" s="140" t="str">
        <f ca="1">IFERROR(__xludf.DUMMYFUNCTION("IF(VLOOKUP($Y1022, IMPORTRANGE(""https://docs.google.com/spreadsheets/d/1WsTKRjz8_fF2119Ff9dhKIIYXSaUEHzuWr8pBkxmwQQ/edit"", ""Form Responses 1!$B:$Z""),1, FALSE)=$Y1022,""Yes"",""No"")"),"#N/A")</f>
        <v>#N/A</v>
      </c>
      <c r="AA1022" s="140"/>
      <c r="AB1022" s="140"/>
    </row>
    <row r="1023" spans="1:28">
      <c r="A1023" s="144" t="s">
        <v>529</v>
      </c>
      <c r="B1023" s="144" t="s">
        <v>9305</v>
      </c>
      <c r="C1023" s="144" t="s">
        <v>9306</v>
      </c>
      <c r="D1023" s="144" t="s">
        <v>9307</v>
      </c>
      <c r="E1023" s="144" t="s">
        <v>9308</v>
      </c>
      <c r="F1023" s="144" t="s">
        <v>3</v>
      </c>
      <c r="G1023" s="144">
        <v>1.5</v>
      </c>
      <c r="H1023" s="144" t="s">
        <v>24</v>
      </c>
      <c r="I1023" s="144" t="s">
        <v>488</v>
      </c>
      <c r="J1023" s="144"/>
      <c r="K1023" s="144">
        <v>2</v>
      </c>
      <c r="L1023" s="144" t="s">
        <v>941</v>
      </c>
      <c r="M1023" s="144"/>
      <c r="N1023" s="144">
        <v>1</v>
      </c>
      <c r="O1023" s="144" t="s">
        <v>451</v>
      </c>
      <c r="P1023" s="144">
        <v>2000000</v>
      </c>
      <c r="Q1023" s="144" t="s">
        <v>452</v>
      </c>
      <c r="R1023" s="144" t="s">
        <v>452</v>
      </c>
      <c r="S1023" s="144" t="s">
        <v>2180</v>
      </c>
      <c r="T1023" s="144"/>
      <c r="U1023" s="145"/>
      <c r="V1023" s="145"/>
      <c r="W1023" s="145"/>
      <c r="X1023" s="144" t="s">
        <v>9309</v>
      </c>
      <c r="Y1023" s="144" t="s">
        <v>9310</v>
      </c>
      <c r="Z1023" s="144" t="str">
        <f ca="1">IFERROR(__xludf.DUMMYFUNCTION("IF(VLOOKUP($Y1023, IMPORTRANGE(""https://docs.google.com/spreadsheets/d/1WsTKRjz8_fF2119Ff9dhKIIYXSaUEHzuWr8pBkxmwQQ/edit"", ""Form Responses 1!$B:$Z""),1, FALSE)=$Y1023,""Yes"",""No"")"),"#N/A")</f>
        <v>#N/A</v>
      </c>
      <c r="AA1023" s="144"/>
      <c r="AB1023" s="144"/>
    </row>
    <row r="1024" spans="1:28">
      <c r="A1024" s="140" t="s">
        <v>443</v>
      </c>
      <c r="B1024" s="140" t="s">
        <v>9311</v>
      </c>
      <c r="C1024" s="140" t="s">
        <v>9312</v>
      </c>
      <c r="D1024" s="140" t="s">
        <v>9313</v>
      </c>
      <c r="E1024" s="140" t="s">
        <v>9314</v>
      </c>
      <c r="F1024" s="140" t="s">
        <v>3</v>
      </c>
      <c r="G1024" s="140">
        <v>3</v>
      </c>
      <c r="H1024" s="140" t="s">
        <v>24</v>
      </c>
      <c r="I1024" s="140" t="s">
        <v>460</v>
      </c>
      <c r="J1024" s="140" t="s">
        <v>9315</v>
      </c>
      <c r="K1024" s="140">
        <v>3</v>
      </c>
      <c r="L1024" s="140" t="s">
        <v>462</v>
      </c>
      <c r="M1024" s="140" t="s">
        <v>9316</v>
      </c>
      <c r="N1024" s="140">
        <v>3</v>
      </c>
      <c r="O1024" s="140" t="s">
        <v>451</v>
      </c>
      <c r="P1024" s="142">
        <v>500000</v>
      </c>
      <c r="Q1024" s="140" t="s">
        <v>452</v>
      </c>
      <c r="R1024" s="140" t="s">
        <v>452</v>
      </c>
      <c r="S1024" s="140"/>
      <c r="T1024" s="140"/>
      <c r="U1024" s="143"/>
      <c r="V1024" s="143"/>
      <c r="W1024" s="143"/>
      <c r="X1024" s="140" t="s">
        <v>1796</v>
      </c>
      <c r="Y1024" s="140" t="s">
        <v>9317</v>
      </c>
      <c r="Z1024" s="140" t="str">
        <f ca="1">IFERROR(__xludf.DUMMYFUNCTION("IF(VLOOKUP($Y1024, IMPORTRANGE(""https://docs.google.com/spreadsheets/d/1WsTKRjz8_fF2119Ff9dhKIIYXSaUEHzuWr8pBkxmwQQ/edit"", ""Form Responses 1!$B:$Z""),1, FALSE)=$Y1024,""Yes"",""No"")"),"#N/A")</f>
        <v>#N/A</v>
      </c>
      <c r="AA1024" s="140"/>
      <c r="AB1024" s="140"/>
    </row>
    <row r="1025" spans="1:28">
      <c r="A1025" s="144" t="s">
        <v>484</v>
      </c>
      <c r="B1025" s="144" t="s">
        <v>9318</v>
      </c>
      <c r="C1025" s="144" t="s">
        <v>9319</v>
      </c>
      <c r="D1025" s="144" t="s">
        <v>9320</v>
      </c>
      <c r="E1025" s="144" t="s">
        <v>9321</v>
      </c>
      <c r="F1025" s="144" t="s">
        <v>5</v>
      </c>
      <c r="G1025" s="144">
        <v>1.25</v>
      </c>
      <c r="H1025" s="144" t="s">
        <v>25</v>
      </c>
      <c r="I1025" s="144" t="s">
        <v>447</v>
      </c>
      <c r="J1025" s="144"/>
      <c r="K1025" s="144">
        <v>1</v>
      </c>
      <c r="L1025" s="144" t="s">
        <v>543</v>
      </c>
      <c r="M1025" s="144" t="s">
        <v>9322</v>
      </c>
      <c r="N1025" s="144">
        <v>1.5</v>
      </c>
      <c r="O1025" s="144"/>
      <c r="P1025" s="144"/>
      <c r="Q1025" s="144" t="s">
        <v>452</v>
      </c>
      <c r="R1025" s="144" t="s">
        <v>974</v>
      </c>
      <c r="S1025" s="144"/>
      <c r="T1025" s="144" t="s">
        <v>9323</v>
      </c>
      <c r="U1025" s="145"/>
      <c r="V1025" s="145"/>
      <c r="W1025" s="145"/>
      <c r="X1025" s="144" t="s">
        <v>9184</v>
      </c>
      <c r="Y1025" s="144" t="s">
        <v>9324</v>
      </c>
      <c r="Z1025" s="144" t="str">
        <f ca="1">IFERROR(__xludf.DUMMYFUNCTION("IF(VLOOKUP($Y1025, IMPORTRANGE(""https://docs.google.com/spreadsheets/d/1WsTKRjz8_fF2119Ff9dhKIIYXSaUEHzuWr8pBkxmwQQ/edit"", ""Form Responses 1!$B:$Z""),1, FALSE)=$Y1025,""Yes"",""No"")"),"#N/A")</f>
        <v>#N/A</v>
      </c>
      <c r="AA1025" s="144"/>
      <c r="AB1025" s="144"/>
    </row>
    <row r="1026" spans="1:28">
      <c r="A1026" s="140" t="s">
        <v>907</v>
      </c>
      <c r="B1026" s="140" t="s">
        <v>9325</v>
      </c>
      <c r="C1026" s="140" t="s">
        <v>9326</v>
      </c>
      <c r="D1026" s="140" t="s">
        <v>9327</v>
      </c>
      <c r="E1026" s="140" t="s">
        <v>9328</v>
      </c>
      <c r="F1026" s="140" t="s">
        <v>5</v>
      </c>
      <c r="G1026" s="140">
        <v>2</v>
      </c>
      <c r="H1026" s="140" t="s">
        <v>25</v>
      </c>
      <c r="I1026" s="140" t="s">
        <v>447</v>
      </c>
      <c r="J1026" s="140" t="s">
        <v>9329</v>
      </c>
      <c r="K1026" s="140">
        <v>2</v>
      </c>
      <c r="L1026" s="140" t="s">
        <v>622</v>
      </c>
      <c r="M1026" s="140" t="s">
        <v>9330</v>
      </c>
      <c r="N1026" s="140">
        <v>2</v>
      </c>
      <c r="O1026" s="140" t="s">
        <v>923</v>
      </c>
      <c r="P1026" s="142">
        <v>350000</v>
      </c>
      <c r="Q1026" s="140" t="s">
        <v>452</v>
      </c>
      <c r="R1026" s="140" t="s">
        <v>9331</v>
      </c>
      <c r="S1026" s="140"/>
      <c r="T1026" s="140"/>
      <c r="U1026" s="143"/>
      <c r="V1026" s="143"/>
      <c r="W1026" s="143"/>
      <c r="X1026" s="140" t="s">
        <v>9332</v>
      </c>
      <c r="Y1026" s="140" t="s">
        <v>9333</v>
      </c>
      <c r="Z1026" s="140" t="str">
        <f ca="1">IFERROR(__xludf.DUMMYFUNCTION("IF(VLOOKUP($Y1026, IMPORTRANGE(""https://docs.google.com/spreadsheets/d/1WsTKRjz8_fF2119Ff9dhKIIYXSaUEHzuWr8pBkxmwQQ/edit"", ""Form Responses 1!$B:$Z""),1, FALSE)=$Y1026,""Yes"",""No"")"),"#N/A")</f>
        <v>#N/A</v>
      </c>
      <c r="AA1026" s="140"/>
      <c r="AB1026" s="140"/>
    </row>
    <row r="1027" spans="1:28">
      <c r="A1027" s="144" t="s">
        <v>503</v>
      </c>
      <c r="B1027" s="144" t="s">
        <v>9334</v>
      </c>
      <c r="C1027" s="144" t="s">
        <v>9335</v>
      </c>
      <c r="D1027" s="144" t="s">
        <v>9336</v>
      </c>
      <c r="E1027" s="144" t="s">
        <v>9337</v>
      </c>
      <c r="F1027" s="144" t="s">
        <v>3</v>
      </c>
      <c r="G1027" s="144">
        <v>2.5</v>
      </c>
      <c r="H1027" s="144" t="s">
        <v>25</v>
      </c>
      <c r="I1027" s="144" t="s">
        <v>460</v>
      </c>
      <c r="J1027" s="144"/>
      <c r="K1027" s="144">
        <v>1</v>
      </c>
      <c r="L1027" s="144" t="s">
        <v>462</v>
      </c>
      <c r="M1027" s="144" t="s">
        <v>9338</v>
      </c>
      <c r="N1027" s="144">
        <v>4</v>
      </c>
      <c r="O1027" s="144"/>
      <c r="P1027" s="147">
        <v>250000</v>
      </c>
      <c r="Q1027" s="144" t="s">
        <v>452</v>
      </c>
      <c r="R1027" s="144" t="s">
        <v>452</v>
      </c>
      <c r="S1027" s="144"/>
      <c r="T1027" s="144" t="s">
        <v>9339</v>
      </c>
      <c r="U1027" s="145"/>
      <c r="V1027" s="145"/>
      <c r="W1027" s="145"/>
      <c r="X1027" s="144" t="s">
        <v>9340</v>
      </c>
      <c r="Y1027" s="144" t="s">
        <v>9341</v>
      </c>
      <c r="Z1027" s="144" t="str">
        <f ca="1">IFERROR(__xludf.DUMMYFUNCTION("IF(VLOOKUP($Y1027, IMPORTRANGE(""https://docs.google.com/spreadsheets/d/1WsTKRjz8_fF2119Ff9dhKIIYXSaUEHzuWr8pBkxmwQQ/edit"", ""Form Responses 1!$B:$Z""),1, FALSE)=$Y1027,""Yes"",""No"")"),"#N/A")</f>
        <v>#N/A</v>
      </c>
      <c r="AA1027" s="144"/>
      <c r="AB1027" s="144"/>
    </row>
    <row r="1028" spans="1:28">
      <c r="A1028" s="140" t="s">
        <v>484</v>
      </c>
      <c r="B1028" s="140" t="s">
        <v>9342</v>
      </c>
      <c r="C1028" s="140" t="s">
        <v>9343</v>
      </c>
      <c r="D1028" s="140" t="s">
        <v>9344</v>
      </c>
      <c r="E1028" s="140" t="s">
        <v>9345</v>
      </c>
      <c r="F1028" s="140" t="s">
        <v>5</v>
      </c>
      <c r="G1028" s="140">
        <v>3.25</v>
      </c>
      <c r="H1028" s="140" t="s">
        <v>19</v>
      </c>
      <c r="I1028" s="140" t="s">
        <v>447</v>
      </c>
      <c r="J1028" s="140" t="s">
        <v>9346</v>
      </c>
      <c r="K1028" s="140">
        <v>3.5</v>
      </c>
      <c r="L1028" s="140" t="s">
        <v>622</v>
      </c>
      <c r="M1028" s="140" t="s">
        <v>9347</v>
      </c>
      <c r="N1028" s="140">
        <v>3</v>
      </c>
      <c r="O1028" s="140" t="s">
        <v>478</v>
      </c>
      <c r="P1028" s="140" t="s">
        <v>9348</v>
      </c>
      <c r="Q1028" s="140" t="s">
        <v>452</v>
      </c>
      <c r="R1028" s="140" t="s">
        <v>9349</v>
      </c>
      <c r="S1028" s="140" t="s">
        <v>1862</v>
      </c>
      <c r="T1028" s="140" t="s">
        <v>9350</v>
      </c>
      <c r="U1028" s="143"/>
      <c r="V1028" s="143"/>
      <c r="W1028" s="143"/>
      <c r="X1028" s="140" t="s">
        <v>9351</v>
      </c>
      <c r="Y1028" s="140" t="s">
        <v>9352</v>
      </c>
      <c r="Z1028" s="140" t="str">
        <f ca="1">IFERROR(__xludf.DUMMYFUNCTION("IF(VLOOKUP($Y1028, IMPORTRANGE(""https://docs.google.com/spreadsheets/d/1WsTKRjz8_fF2119Ff9dhKIIYXSaUEHzuWr8pBkxmwQQ/edit"", ""Form Responses 1!$B:$Z""),1, FALSE)=$Y1028,""Yes"",""No"")"),"#N/A")</f>
        <v>#N/A</v>
      </c>
      <c r="AA1028" s="140"/>
      <c r="AB1028" s="140"/>
    </row>
    <row r="1029" spans="1:28">
      <c r="A1029" s="144" t="s">
        <v>443</v>
      </c>
      <c r="B1029" s="144" t="s">
        <v>111</v>
      </c>
      <c r="C1029" s="144" t="s">
        <v>9353</v>
      </c>
      <c r="D1029" s="144" t="s">
        <v>9354</v>
      </c>
      <c r="E1029" s="144" t="s">
        <v>9355</v>
      </c>
      <c r="F1029" s="144" t="s">
        <v>5</v>
      </c>
      <c r="G1029" s="144">
        <v>3.5</v>
      </c>
      <c r="H1029" s="144" t="s">
        <v>19</v>
      </c>
      <c r="I1029" s="144" t="s">
        <v>447</v>
      </c>
      <c r="J1029" s="144" t="s">
        <v>9356</v>
      </c>
      <c r="K1029" s="144">
        <v>3.5</v>
      </c>
      <c r="L1029" s="144" t="s">
        <v>543</v>
      </c>
      <c r="M1029" s="144" t="s">
        <v>9357</v>
      </c>
      <c r="N1029" s="144">
        <v>3.5</v>
      </c>
      <c r="O1029" s="144"/>
      <c r="P1029" s="144"/>
      <c r="Q1029" s="144" t="s">
        <v>452</v>
      </c>
      <c r="R1029" s="144" t="s">
        <v>9358</v>
      </c>
      <c r="S1029" s="144"/>
      <c r="T1029" s="144" t="s">
        <v>1477</v>
      </c>
      <c r="U1029" s="145" t="s">
        <v>454</v>
      </c>
      <c r="V1029" s="145"/>
      <c r="W1029" s="145"/>
      <c r="X1029" s="144" t="s">
        <v>1163</v>
      </c>
      <c r="Y1029" s="144" t="s">
        <v>9359</v>
      </c>
      <c r="Z1029" s="144" t="str">
        <f ca="1">IFERROR(__xludf.DUMMYFUNCTION("IF(VLOOKUP($Y1029, IMPORTRANGE(""https://docs.google.com/spreadsheets/d/1WsTKRjz8_fF2119Ff9dhKIIYXSaUEHzuWr8pBkxmwQQ/edit"", ""Form Responses 1!$B:$Z""),1, FALSE)=$Y1029,""Yes"",""No"")"),"#N/A")</f>
        <v>#N/A</v>
      </c>
      <c r="AA1029" s="144"/>
      <c r="AB1029" s="144"/>
    </row>
    <row r="1030" spans="1:28">
      <c r="A1030" s="140" t="s">
        <v>471</v>
      </c>
      <c r="B1030" s="140" t="s">
        <v>131</v>
      </c>
      <c r="C1030" s="140" t="s">
        <v>9360</v>
      </c>
      <c r="D1030" s="140" t="s">
        <v>9361</v>
      </c>
      <c r="E1030" s="140" t="s">
        <v>9362</v>
      </c>
      <c r="F1030" s="140" t="s">
        <v>5</v>
      </c>
      <c r="G1030" s="140">
        <v>3.75</v>
      </c>
      <c r="H1030" s="140" t="s">
        <v>19</v>
      </c>
      <c r="I1030" s="140" t="s">
        <v>447</v>
      </c>
      <c r="J1030" s="140" t="s">
        <v>9363</v>
      </c>
      <c r="K1030" s="140">
        <v>3.5</v>
      </c>
      <c r="L1030" s="140" t="s">
        <v>543</v>
      </c>
      <c r="M1030" s="140" t="s">
        <v>9364</v>
      </c>
      <c r="N1030" s="140">
        <v>4</v>
      </c>
      <c r="O1030" s="140" t="s">
        <v>478</v>
      </c>
      <c r="P1030" s="140" t="s">
        <v>4956</v>
      </c>
      <c r="Q1030" s="140" t="s">
        <v>452</v>
      </c>
      <c r="R1030" s="140" t="s">
        <v>9365</v>
      </c>
      <c r="S1030" s="140"/>
      <c r="T1030" s="140" t="s">
        <v>1334</v>
      </c>
      <c r="U1030" s="143" t="s">
        <v>481</v>
      </c>
      <c r="V1030" s="143"/>
      <c r="W1030" s="143"/>
      <c r="X1030" s="140" t="s">
        <v>9366</v>
      </c>
      <c r="Y1030" s="140" t="s">
        <v>9367</v>
      </c>
      <c r="Z1030" s="140" t="str">
        <f ca="1">IFERROR(__xludf.DUMMYFUNCTION("IF(VLOOKUP($Y1030, IMPORTRANGE(""https://docs.google.com/spreadsheets/d/1WsTKRjz8_fF2119Ff9dhKIIYXSaUEHzuWr8pBkxmwQQ/edit"", ""Form Responses 1!$B:$Z""),1, FALSE)=$Y1030,""Yes"",""No"")"),"#N/A")</f>
        <v>#N/A</v>
      </c>
      <c r="AA1030" s="140"/>
      <c r="AB1030" s="140"/>
    </row>
    <row r="1031" spans="1:28">
      <c r="A1031" s="144" t="s">
        <v>471</v>
      </c>
      <c r="B1031" s="144" t="s">
        <v>134</v>
      </c>
      <c r="C1031" s="144" t="s">
        <v>714</v>
      </c>
      <c r="D1031" s="144" t="s">
        <v>9368</v>
      </c>
      <c r="E1031" s="144" t="s">
        <v>9369</v>
      </c>
      <c r="F1031" s="144" t="s">
        <v>5</v>
      </c>
      <c r="G1031" s="144">
        <v>3.75</v>
      </c>
      <c r="H1031" s="144" t="s">
        <v>19</v>
      </c>
      <c r="I1031" s="144" t="s">
        <v>447</v>
      </c>
      <c r="J1031" s="144" t="s">
        <v>9370</v>
      </c>
      <c r="K1031" s="144">
        <v>4</v>
      </c>
      <c r="L1031" s="144" t="s">
        <v>476</v>
      </c>
      <c r="M1031" s="144" t="s">
        <v>9371</v>
      </c>
      <c r="N1031" s="144">
        <v>3.5</v>
      </c>
      <c r="O1031" s="144" t="s">
        <v>451</v>
      </c>
      <c r="P1031" s="144">
        <v>1000000</v>
      </c>
      <c r="Q1031" s="144" t="s">
        <v>454</v>
      </c>
      <c r="R1031" s="144" t="s">
        <v>452</v>
      </c>
      <c r="S1031" s="144"/>
      <c r="T1031" s="144" t="s">
        <v>9372</v>
      </c>
      <c r="U1031" s="145" t="s">
        <v>454</v>
      </c>
      <c r="V1031" s="145" t="s">
        <v>557</v>
      </c>
      <c r="W1031" s="145"/>
      <c r="X1031" s="144" t="s">
        <v>720</v>
      </c>
      <c r="Y1031" s="144" t="s">
        <v>9373</v>
      </c>
      <c r="Z1031" s="144" t="str">
        <f ca="1">IFERROR(__xludf.DUMMYFUNCTION("IF(VLOOKUP($Y1031, IMPORTRANGE(""https://docs.google.com/spreadsheets/d/1WsTKRjz8_fF2119Ff9dhKIIYXSaUEHzuWr8pBkxmwQQ/edit"", ""Form Responses 1!$B:$Z""),1, FALSE)=$Y1031,""Yes"",""No"")"),"#N/A")</f>
        <v>#N/A</v>
      </c>
      <c r="AA1031" s="144"/>
      <c r="AB1031" s="144"/>
    </row>
    <row r="1032" spans="1:28">
      <c r="A1032" s="140" t="s">
        <v>443</v>
      </c>
      <c r="B1032" s="140" t="s">
        <v>140</v>
      </c>
      <c r="C1032" s="140" t="s">
        <v>9374</v>
      </c>
      <c r="D1032" s="140" t="s">
        <v>9375</v>
      </c>
      <c r="E1032" s="140" t="s">
        <v>9376</v>
      </c>
      <c r="F1032" s="140" t="s">
        <v>5</v>
      </c>
      <c r="G1032" s="140">
        <v>3.5</v>
      </c>
      <c r="H1032" s="140" t="s">
        <v>19</v>
      </c>
      <c r="I1032" s="140" t="s">
        <v>447</v>
      </c>
      <c r="J1032" s="140" t="s">
        <v>9377</v>
      </c>
      <c r="K1032" s="140">
        <v>3.5</v>
      </c>
      <c r="L1032" s="140" t="s">
        <v>543</v>
      </c>
      <c r="M1032" s="140" t="s">
        <v>9378</v>
      </c>
      <c r="N1032" s="140">
        <v>3.5</v>
      </c>
      <c r="O1032" s="140" t="s">
        <v>923</v>
      </c>
      <c r="P1032" s="148">
        <v>5000000</v>
      </c>
      <c r="Q1032" s="140" t="s">
        <v>465</v>
      </c>
      <c r="R1032" s="140" t="s">
        <v>9379</v>
      </c>
      <c r="S1032" s="140" t="s">
        <v>725</v>
      </c>
      <c r="T1032" s="140" t="s">
        <v>1477</v>
      </c>
      <c r="U1032" s="143" t="s">
        <v>454</v>
      </c>
      <c r="V1032" s="143"/>
      <c r="W1032" s="143" t="s">
        <v>725</v>
      </c>
      <c r="X1032" s="140" t="s">
        <v>3522</v>
      </c>
      <c r="Y1032" s="140" t="s">
        <v>9380</v>
      </c>
      <c r="Z1032" s="140" t="str">
        <f ca="1">IFERROR(__xludf.DUMMYFUNCTION("IF(VLOOKUP($Y1032, IMPORTRANGE(""https://docs.google.com/spreadsheets/d/1WsTKRjz8_fF2119Ff9dhKIIYXSaUEHzuWr8pBkxmwQQ/edit"", ""Form Responses 1!$B:$Z""),1, FALSE)=$Y1032,""Yes"",""No"")"),"#N/A")</f>
        <v>#N/A</v>
      </c>
      <c r="AA1032" s="140"/>
      <c r="AB1032" s="140"/>
    </row>
    <row r="1033" spans="1:28">
      <c r="A1033" s="144" t="s">
        <v>471</v>
      </c>
      <c r="B1033" s="144" t="s">
        <v>146</v>
      </c>
      <c r="C1033" s="144" t="s">
        <v>9381</v>
      </c>
      <c r="D1033" s="144" t="s">
        <v>9382</v>
      </c>
      <c r="E1033" s="144" t="s">
        <v>9383</v>
      </c>
      <c r="F1033" s="144" t="s">
        <v>5</v>
      </c>
      <c r="G1033" s="144">
        <v>3.75</v>
      </c>
      <c r="H1033" s="144" t="s">
        <v>19</v>
      </c>
      <c r="I1033" s="144" t="s">
        <v>447</v>
      </c>
      <c r="J1033" s="144" t="s">
        <v>9384</v>
      </c>
      <c r="K1033" s="144">
        <v>3.5</v>
      </c>
      <c r="L1033" s="144" t="s">
        <v>449</v>
      </c>
      <c r="M1033" s="144" t="s">
        <v>9385</v>
      </c>
      <c r="N1033" s="144">
        <v>4</v>
      </c>
      <c r="O1033" s="144" t="s">
        <v>784</v>
      </c>
      <c r="P1033" s="147">
        <v>250000</v>
      </c>
      <c r="Q1033" s="144" t="s">
        <v>454</v>
      </c>
      <c r="R1033" s="144" t="s">
        <v>9386</v>
      </c>
      <c r="S1033" s="144"/>
      <c r="T1033" s="144" t="s">
        <v>1334</v>
      </c>
      <c r="U1033" s="145" t="s">
        <v>481</v>
      </c>
      <c r="V1033" s="145" t="s">
        <v>9387</v>
      </c>
      <c r="W1033" s="145"/>
      <c r="X1033" s="144" t="s">
        <v>2243</v>
      </c>
      <c r="Y1033" s="144" t="s">
        <v>9388</v>
      </c>
      <c r="Z1033" s="144" t="str">
        <f ca="1">IFERROR(__xludf.DUMMYFUNCTION("IF(VLOOKUP($Y1033, IMPORTRANGE(""https://docs.google.com/spreadsheets/d/1WsTKRjz8_fF2119Ff9dhKIIYXSaUEHzuWr8pBkxmwQQ/edit"", ""Form Responses 1!$B:$Z""),1, FALSE)=$Y1033,""Yes"",""No"")"),"#N/A")</f>
        <v>#N/A</v>
      </c>
      <c r="AA1033" s="144"/>
      <c r="AB1033" s="144"/>
    </row>
    <row r="1034" spans="1:28">
      <c r="A1034" s="140" t="s">
        <v>471</v>
      </c>
      <c r="B1034" s="140" t="s">
        <v>147</v>
      </c>
      <c r="C1034" s="140" t="s">
        <v>9389</v>
      </c>
      <c r="D1034" s="140" t="s">
        <v>9390</v>
      </c>
      <c r="E1034" s="140" t="s">
        <v>9391</v>
      </c>
      <c r="F1034" s="140" t="s">
        <v>5</v>
      </c>
      <c r="G1034" s="140">
        <v>3.25</v>
      </c>
      <c r="H1034" s="140" t="s">
        <v>19</v>
      </c>
      <c r="I1034" s="140" t="s">
        <v>447</v>
      </c>
      <c r="J1034" s="140" t="s">
        <v>9392</v>
      </c>
      <c r="K1034" s="140">
        <v>3</v>
      </c>
      <c r="L1034" s="140" t="s">
        <v>543</v>
      </c>
      <c r="M1034" s="140" t="s">
        <v>9393</v>
      </c>
      <c r="N1034" s="140">
        <v>3.5</v>
      </c>
      <c r="O1034" s="140" t="s">
        <v>478</v>
      </c>
      <c r="P1034" s="148">
        <v>3000000</v>
      </c>
      <c r="Q1034" s="140" t="s">
        <v>465</v>
      </c>
      <c r="R1034" s="140" t="s">
        <v>9394</v>
      </c>
      <c r="S1034" s="140"/>
      <c r="T1034" s="140" t="s">
        <v>9395</v>
      </c>
      <c r="U1034" s="143" t="s">
        <v>481</v>
      </c>
      <c r="V1034" s="143"/>
      <c r="W1034" s="143"/>
      <c r="X1034" s="140" t="s">
        <v>9396</v>
      </c>
      <c r="Y1034" s="140" t="s">
        <v>9397</v>
      </c>
      <c r="Z1034" s="140" t="str">
        <f ca="1">IFERROR(__xludf.DUMMYFUNCTION("IF(VLOOKUP($Y1034, IMPORTRANGE(""https://docs.google.com/spreadsheets/d/1WsTKRjz8_fF2119Ff9dhKIIYXSaUEHzuWr8pBkxmwQQ/edit"", ""Form Responses 1!$B:$Z""),1, FALSE)=$Y1034,""Yes"",""No"")"),"#N/A")</f>
        <v>#N/A</v>
      </c>
      <c r="AA1034" s="140"/>
      <c r="AB1034" s="140"/>
    </row>
    <row r="1035" spans="1:28">
      <c r="A1035" s="144" t="s">
        <v>471</v>
      </c>
      <c r="B1035" s="144" t="s">
        <v>155</v>
      </c>
      <c r="C1035" s="144" t="s">
        <v>9398</v>
      </c>
      <c r="D1035" s="144" t="s">
        <v>9399</v>
      </c>
      <c r="E1035" s="144" t="s">
        <v>9400</v>
      </c>
      <c r="F1035" s="144" t="s">
        <v>5</v>
      </c>
      <c r="G1035" s="144">
        <v>3.25</v>
      </c>
      <c r="H1035" s="144" t="s">
        <v>19</v>
      </c>
      <c r="I1035" s="144" t="s">
        <v>447</v>
      </c>
      <c r="J1035" s="144" t="s">
        <v>9401</v>
      </c>
      <c r="K1035" s="144">
        <v>3.5</v>
      </c>
      <c r="L1035" s="144" t="s">
        <v>543</v>
      </c>
      <c r="M1035" s="144" t="s">
        <v>9402</v>
      </c>
      <c r="N1035" s="144">
        <v>3</v>
      </c>
      <c r="O1035" s="144" t="s">
        <v>478</v>
      </c>
      <c r="P1035" s="144" t="s">
        <v>9403</v>
      </c>
      <c r="Q1035" s="144" t="s">
        <v>452</v>
      </c>
      <c r="R1035" s="144" t="s">
        <v>452</v>
      </c>
      <c r="S1035" s="144"/>
      <c r="T1035" s="144" t="s">
        <v>2260</v>
      </c>
      <c r="U1035" s="145" t="s">
        <v>481</v>
      </c>
      <c r="V1035" s="145"/>
      <c r="W1035" s="145"/>
      <c r="X1035" s="144" t="s">
        <v>9404</v>
      </c>
      <c r="Y1035" s="144" t="s">
        <v>9405</v>
      </c>
      <c r="Z1035" s="144" t="str">
        <f ca="1">IFERROR(__xludf.DUMMYFUNCTION("IF(VLOOKUP($Y1035, IMPORTRANGE(""https://docs.google.com/spreadsheets/d/1WsTKRjz8_fF2119Ff9dhKIIYXSaUEHzuWr8pBkxmwQQ/edit"", ""Form Responses 1!$B:$Z""),1, FALSE)=$Y1035,""Yes"",""No"")"),"#N/A")</f>
        <v>#N/A</v>
      </c>
      <c r="AA1035" s="144"/>
      <c r="AB1035" s="144"/>
    </row>
    <row r="1036" spans="1:28">
      <c r="A1036" s="140" t="s">
        <v>484</v>
      </c>
      <c r="B1036" s="140" t="s">
        <v>274</v>
      </c>
      <c r="C1036" s="140" t="s">
        <v>9406</v>
      </c>
      <c r="D1036" s="140" t="s">
        <v>9407</v>
      </c>
      <c r="E1036" s="140" t="s">
        <v>9408</v>
      </c>
      <c r="F1036" s="140" t="s">
        <v>4</v>
      </c>
      <c r="G1036" s="140">
        <v>3.75</v>
      </c>
      <c r="H1036" s="140" t="s">
        <v>19</v>
      </c>
      <c r="I1036" s="140" t="s">
        <v>447</v>
      </c>
      <c r="J1036" s="140" t="s">
        <v>9409</v>
      </c>
      <c r="K1036" s="140">
        <v>3</v>
      </c>
      <c r="L1036" s="140" t="s">
        <v>449</v>
      </c>
      <c r="M1036" s="140" t="s">
        <v>9410</v>
      </c>
      <c r="N1036" s="140">
        <v>4.5</v>
      </c>
      <c r="O1036" s="140"/>
      <c r="P1036" s="140"/>
      <c r="Q1036" s="140" t="s">
        <v>452</v>
      </c>
      <c r="R1036" s="164" t="s">
        <v>9411</v>
      </c>
      <c r="S1036" s="140"/>
      <c r="T1036" s="140" t="s">
        <v>9412</v>
      </c>
      <c r="U1036" s="143" t="s">
        <v>481</v>
      </c>
      <c r="V1036" s="143"/>
      <c r="W1036" s="143"/>
      <c r="X1036" s="140" t="s">
        <v>1622</v>
      </c>
      <c r="Y1036" s="140" t="s">
        <v>9413</v>
      </c>
      <c r="Z1036" s="140" t="str">
        <f ca="1">IFERROR(__xludf.DUMMYFUNCTION("IF(VLOOKUP($Y1036, IMPORTRANGE(""https://docs.google.com/spreadsheets/d/1WsTKRjz8_fF2119Ff9dhKIIYXSaUEHzuWr8pBkxmwQQ/edit"", ""Form Responses 1!$B:$Z""),1, FALSE)=$Y1036,""Yes"",""No"")"),"#N/A")</f>
        <v>#N/A</v>
      </c>
      <c r="AA1036" s="140"/>
      <c r="AB1036" s="140"/>
    </row>
    <row r="1037" spans="1:28">
      <c r="A1037" s="144" t="s">
        <v>598</v>
      </c>
      <c r="B1037" s="144" t="s">
        <v>278</v>
      </c>
      <c r="C1037" s="144" t="s">
        <v>9414</v>
      </c>
      <c r="D1037" s="144" t="s">
        <v>9415</v>
      </c>
      <c r="E1037" s="144" t="s">
        <v>9416</v>
      </c>
      <c r="F1037" s="144" t="s">
        <v>4</v>
      </c>
      <c r="G1037" s="144">
        <v>3.75</v>
      </c>
      <c r="H1037" s="144" t="s">
        <v>19</v>
      </c>
      <c r="I1037" s="144" t="s">
        <v>447</v>
      </c>
      <c r="J1037" s="144" t="s">
        <v>9417</v>
      </c>
      <c r="K1037" s="144">
        <v>3.5</v>
      </c>
      <c r="L1037" s="144" t="s">
        <v>622</v>
      </c>
      <c r="M1037" s="144" t="s">
        <v>9418</v>
      </c>
      <c r="N1037" s="144">
        <v>4</v>
      </c>
      <c r="O1037" s="144" t="s">
        <v>478</v>
      </c>
      <c r="P1037" s="146">
        <v>6000000</v>
      </c>
      <c r="Q1037" s="144" t="s">
        <v>465</v>
      </c>
      <c r="R1037" s="144" t="s">
        <v>452</v>
      </c>
      <c r="S1037" s="144"/>
      <c r="T1037" s="144" t="s">
        <v>9419</v>
      </c>
      <c r="U1037" s="145" t="s">
        <v>454</v>
      </c>
      <c r="V1037" s="145"/>
      <c r="W1037" s="145"/>
      <c r="X1037" s="144" t="s">
        <v>9420</v>
      </c>
      <c r="Y1037" s="144" t="s">
        <v>9421</v>
      </c>
      <c r="Z1037" s="144" t="str">
        <f ca="1">IFERROR(__xludf.DUMMYFUNCTION("IF(VLOOKUP($Y1037, IMPORTRANGE(""https://docs.google.com/spreadsheets/d/1WsTKRjz8_fF2119Ff9dhKIIYXSaUEHzuWr8pBkxmwQQ/edit"", ""Form Responses 1!$B:$Z""),1, FALSE)=$Y1037,""Yes"",""No"")"),"#N/A")</f>
        <v>#N/A</v>
      </c>
      <c r="AA1037" s="144"/>
      <c r="AB1037" s="144"/>
    </row>
    <row r="1038" spans="1:28">
      <c r="A1038" s="140" t="s">
        <v>598</v>
      </c>
      <c r="B1038" s="140" t="s">
        <v>307</v>
      </c>
      <c r="C1038" s="140" t="s">
        <v>9422</v>
      </c>
      <c r="D1038" s="140" t="s">
        <v>9423</v>
      </c>
      <c r="E1038" s="140" t="s">
        <v>9424</v>
      </c>
      <c r="F1038" s="140" t="s">
        <v>4</v>
      </c>
      <c r="G1038" s="140">
        <v>3.25</v>
      </c>
      <c r="H1038" s="140" t="s">
        <v>19</v>
      </c>
      <c r="I1038" s="140" t="s">
        <v>447</v>
      </c>
      <c r="J1038" s="140" t="s">
        <v>9425</v>
      </c>
      <c r="K1038" s="140">
        <v>3.5</v>
      </c>
      <c r="L1038" s="140" t="s">
        <v>543</v>
      </c>
      <c r="M1038" s="140" t="s">
        <v>9426</v>
      </c>
      <c r="N1038" s="140">
        <v>3</v>
      </c>
      <c r="O1038" s="140"/>
      <c r="P1038" s="140"/>
      <c r="Q1038" s="140" t="s">
        <v>452</v>
      </c>
      <c r="R1038" s="140" t="s">
        <v>452</v>
      </c>
      <c r="S1038" s="140"/>
      <c r="T1038" s="140" t="s">
        <v>9427</v>
      </c>
      <c r="U1038" s="143" t="s">
        <v>481</v>
      </c>
      <c r="V1038" s="143"/>
      <c r="W1038" s="143"/>
      <c r="X1038" s="140" t="s">
        <v>9428</v>
      </c>
      <c r="Y1038" s="140" t="s">
        <v>9429</v>
      </c>
      <c r="Z1038" s="140" t="str">
        <f ca="1">IFERROR(__xludf.DUMMYFUNCTION("IF(VLOOKUP($Y1038, IMPORTRANGE(""https://docs.google.com/spreadsheets/d/1WsTKRjz8_fF2119Ff9dhKIIYXSaUEHzuWr8pBkxmwQQ/edit"", ""Form Responses 1!$B:$Z""),1, FALSE)=$Y1038,""Yes"",""No"")"),"#N/A")</f>
        <v>#N/A</v>
      </c>
      <c r="AA1038" s="140"/>
      <c r="AB1038" s="140"/>
    </row>
    <row r="1039" spans="1:28">
      <c r="A1039" s="144" t="s">
        <v>907</v>
      </c>
      <c r="B1039" s="144" t="s">
        <v>302</v>
      </c>
      <c r="C1039" s="144" t="s">
        <v>9430</v>
      </c>
      <c r="D1039" s="144" t="s">
        <v>9431</v>
      </c>
      <c r="E1039" s="144" t="s">
        <v>9432</v>
      </c>
      <c r="F1039" s="144" t="s">
        <v>4</v>
      </c>
      <c r="G1039" s="144">
        <v>3.5</v>
      </c>
      <c r="H1039" s="144" t="s">
        <v>19</v>
      </c>
      <c r="I1039" s="144" t="s">
        <v>460</v>
      </c>
      <c r="J1039" s="144" t="s">
        <v>9433</v>
      </c>
      <c r="K1039" s="144">
        <v>3</v>
      </c>
      <c r="L1039" s="144" t="s">
        <v>1281</v>
      </c>
      <c r="M1039" s="144" t="s">
        <v>9434</v>
      </c>
      <c r="N1039" s="144">
        <v>4</v>
      </c>
      <c r="O1039" s="144" t="s">
        <v>451</v>
      </c>
      <c r="P1039" s="144" t="s">
        <v>9435</v>
      </c>
      <c r="Q1039" s="144" t="s">
        <v>452</v>
      </c>
      <c r="R1039" s="144" t="s">
        <v>575</v>
      </c>
      <c r="S1039" s="144"/>
      <c r="T1039" s="144" t="s">
        <v>9436</v>
      </c>
      <c r="U1039" s="145" t="s">
        <v>481</v>
      </c>
      <c r="V1039" s="145"/>
      <c r="W1039" s="145"/>
      <c r="X1039" s="144" t="s">
        <v>9437</v>
      </c>
      <c r="Y1039" s="144" t="s">
        <v>9438</v>
      </c>
      <c r="Z1039" s="144" t="str">
        <f ca="1">IFERROR(__xludf.DUMMYFUNCTION("IF(VLOOKUP($Y1039, IMPORTRANGE(""https://docs.google.com/spreadsheets/d/1WsTKRjz8_fF2119Ff9dhKIIYXSaUEHzuWr8pBkxmwQQ/edit"", ""Form Responses 1!$B:$Z""),1, FALSE)=$Y1039,""Yes"",""No"")"),"#N/A")</f>
        <v>#N/A</v>
      </c>
      <c r="AA1039" s="144"/>
      <c r="AB1039" s="144"/>
    </row>
    <row r="1040" spans="1:28">
      <c r="A1040" s="140" t="s">
        <v>529</v>
      </c>
      <c r="B1040" s="140" t="s">
        <v>290</v>
      </c>
      <c r="C1040" s="140" t="s">
        <v>9439</v>
      </c>
      <c r="D1040" s="140" t="s">
        <v>9440</v>
      </c>
      <c r="E1040" s="140" t="s">
        <v>9441</v>
      </c>
      <c r="F1040" s="140" t="s">
        <v>4</v>
      </c>
      <c r="G1040" s="140">
        <v>3.75</v>
      </c>
      <c r="H1040" s="140" t="s">
        <v>19</v>
      </c>
      <c r="I1040" s="140" t="s">
        <v>447</v>
      </c>
      <c r="J1040" s="140" t="s">
        <v>9442</v>
      </c>
      <c r="K1040" s="140">
        <v>4</v>
      </c>
      <c r="L1040" s="140" t="s">
        <v>622</v>
      </c>
      <c r="M1040" s="140" t="s">
        <v>9443</v>
      </c>
      <c r="N1040" s="140">
        <v>3.5</v>
      </c>
      <c r="O1040" s="140" t="s">
        <v>478</v>
      </c>
      <c r="P1040" s="148">
        <v>10000000</v>
      </c>
      <c r="Q1040" s="140" t="s">
        <v>452</v>
      </c>
      <c r="R1040" s="140" t="s">
        <v>9444</v>
      </c>
      <c r="S1040" s="140"/>
      <c r="T1040" s="140" t="s">
        <v>9445</v>
      </c>
      <c r="U1040" s="143" t="s">
        <v>481</v>
      </c>
      <c r="V1040" s="143"/>
      <c r="W1040" s="143"/>
      <c r="X1040" s="140" t="s">
        <v>9446</v>
      </c>
      <c r="Y1040" s="140" t="s">
        <v>9447</v>
      </c>
      <c r="Z1040" s="140" t="str">
        <f ca="1">IFERROR(__xludf.DUMMYFUNCTION("IF(VLOOKUP($Y1040, IMPORTRANGE(""https://docs.google.com/spreadsheets/d/1WsTKRjz8_fF2119Ff9dhKIIYXSaUEHzuWr8pBkxmwQQ/edit"", ""Form Responses 1!$B:$Z""),1, FALSE)=$Y1040,""Yes"",""No"")"),"#N/A")</f>
        <v>#N/A</v>
      </c>
      <c r="AA1040" s="140"/>
      <c r="AB1040" s="140"/>
    </row>
    <row r="1041" spans="1:28">
      <c r="A1041" s="144" t="s">
        <v>471</v>
      </c>
      <c r="B1041" s="144" t="s">
        <v>102</v>
      </c>
      <c r="C1041" s="144" t="s">
        <v>9448</v>
      </c>
      <c r="D1041" s="144" t="s">
        <v>9449</v>
      </c>
      <c r="E1041" s="144" t="s">
        <v>9450</v>
      </c>
      <c r="F1041" s="144" t="s">
        <v>3</v>
      </c>
      <c r="G1041" s="144">
        <v>3.25</v>
      </c>
      <c r="H1041" s="144" t="s">
        <v>19</v>
      </c>
      <c r="I1041" s="144" t="s">
        <v>460</v>
      </c>
      <c r="J1041" s="144" t="s">
        <v>9451</v>
      </c>
      <c r="K1041" s="144">
        <v>3</v>
      </c>
      <c r="L1041" s="144" t="s">
        <v>941</v>
      </c>
      <c r="M1041" s="144"/>
      <c r="N1041" s="144">
        <v>3.5</v>
      </c>
      <c r="O1041" s="144" t="s">
        <v>451</v>
      </c>
      <c r="P1041" s="144">
        <v>1000000</v>
      </c>
      <c r="Q1041" s="144" t="s">
        <v>452</v>
      </c>
      <c r="R1041" s="144" t="s">
        <v>9452</v>
      </c>
      <c r="S1041" s="144"/>
      <c r="T1041" s="144" t="s">
        <v>9453</v>
      </c>
      <c r="U1041" s="145" t="s">
        <v>454</v>
      </c>
      <c r="V1041" s="145"/>
      <c r="W1041" s="145"/>
      <c r="X1041" s="144" t="s">
        <v>9454</v>
      </c>
      <c r="Y1041" s="144" t="s">
        <v>9455</v>
      </c>
      <c r="Z1041" s="144" t="str">
        <f ca="1">IFERROR(__xludf.DUMMYFUNCTION("IF(VLOOKUP($Y1041, IMPORTRANGE(""https://docs.google.com/spreadsheets/d/1WsTKRjz8_fF2119Ff9dhKIIYXSaUEHzuWr8pBkxmwQQ/edit"", ""Form Responses 1!$B:$Z""),1, FALSE)=$Y1041,""Yes"",""No"")"),"#N/A")</f>
        <v>#N/A</v>
      </c>
      <c r="AA1041" s="144"/>
      <c r="AB1041" s="144"/>
    </row>
    <row r="1042" spans="1:28">
      <c r="A1042" s="140" t="s">
        <v>471</v>
      </c>
      <c r="B1042" s="140" t="s">
        <v>66</v>
      </c>
      <c r="C1042" s="140" t="s">
        <v>9456</v>
      </c>
      <c r="D1042" s="140" t="s">
        <v>9457</v>
      </c>
      <c r="E1042" s="140" t="s">
        <v>9458</v>
      </c>
      <c r="F1042" s="140" t="s">
        <v>5</v>
      </c>
      <c r="G1042" s="140">
        <v>3.5</v>
      </c>
      <c r="H1042" s="140" t="s">
        <v>20</v>
      </c>
      <c r="I1042" s="140" t="s">
        <v>460</v>
      </c>
      <c r="J1042" s="140" t="s">
        <v>9459</v>
      </c>
      <c r="K1042" s="140">
        <v>3</v>
      </c>
      <c r="L1042" s="140" t="s">
        <v>462</v>
      </c>
      <c r="M1042" s="140" t="s">
        <v>9460</v>
      </c>
      <c r="N1042" s="140">
        <v>4</v>
      </c>
      <c r="O1042" s="140" t="s">
        <v>478</v>
      </c>
      <c r="P1042" s="142">
        <v>20000000</v>
      </c>
      <c r="Q1042" s="140" t="s">
        <v>452</v>
      </c>
      <c r="R1042" s="140" t="s">
        <v>452</v>
      </c>
      <c r="S1042" s="140"/>
      <c r="T1042" s="140" t="s">
        <v>9461</v>
      </c>
      <c r="U1042" s="143" t="s">
        <v>481</v>
      </c>
      <c r="V1042" s="143"/>
      <c r="W1042" s="143"/>
      <c r="X1042" s="140" t="s">
        <v>9462</v>
      </c>
      <c r="Y1042" s="140" t="s">
        <v>9463</v>
      </c>
      <c r="Z1042" s="140" t="str">
        <f ca="1">IFERROR(__xludf.DUMMYFUNCTION("IF(VLOOKUP($Y1042, IMPORTRANGE(""https://docs.google.com/spreadsheets/d/1WsTKRjz8_fF2119Ff9dhKIIYXSaUEHzuWr8pBkxmwQQ/edit"", ""Form Responses 1!$B:$Z""),1, FALSE)=$Y1042,""Yes"",""No"")"),"#N/A")</f>
        <v>#N/A</v>
      </c>
      <c r="AA1042" s="140"/>
      <c r="AB1042" s="140"/>
    </row>
    <row r="1043" spans="1:28">
      <c r="A1043" s="144" t="s">
        <v>503</v>
      </c>
      <c r="B1043" s="144" t="s">
        <v>73</v>
      </c>
      <c r="C1043" s="144" t="s">
        <v>9464</v>
      </c>
      <c r="D1043" s="144" t="s">
        <v>9465</v>
      </c>
      <c r="E1043" s="144" t="s">
        <v>9466</v>
      </c>
      <c r="F1043" s="144" t="s">
        <v>5</v>
      </c>
      <c r="G1043" s="144">
        <v>4</v>
      </c>
      <c r="H1043" s="144" t="s">
        <v>20</v>
      </c>
      <c r="I1043" s="144" t="s">
        <v>447</v>
      </c>
      <c r="J1043" s="144"/>
      <c r="K1043" s="144">
        <v>4</v>
      </c>
      <c r="L1043" s="144" t="s">
        <v>543</v>
      </c>
      <c r="M1043" s="144" t="s">
        <v>9467</v>
      </c>
      <c r="N1043" s="144">
        <v>4</v>
      </c>
      <c r="O1043" s="144"/>
      <c r="P1043" s="144"/>
      <c r="Q1043" s="144" t="s">
        <v>452</v>
      </c>
      <c r="R1043" s="144" t="s">
        <v>452</v>
      </c>
      <c r="S1043" s="144"/>
      <c r="T1043" s="144" t="s">
        <v>9468</v>
      </c>
      <c r="U1043" s="145" t="s">
        <v>481</v>
      </c>
      <c r="V1043" s="145"/>
      <c r="W1043" s="145"/>
      <c r="X1043" s="144" t="s">
        <v>9469</v>
      </c>
      <c r="Y1043" s="144" t="s">
        <v>9470</v>
      </c>
      <c r="Z1043" s="144" t="str">
        <f ca="1">IFERROR(__xludf.DUMMYFUNCTION("IF(VLOOKUP($Y1043, IMPORTRANGE(""https://docs.google.com/spreadsheets/d/1WsTKRjz8_fF2119Ff9dhKIIYXSaUEHzuWr8pBkxmwQQ/edit"", ""Form Responses 1!$B:$Z""),1, FALSE)=$Y1043,""Yes"",""No"")"),"#N/A")</f>
        <v>#N/A</v>
      </c>
      <c r="AA1043" s="144"/>
      <c r="AB1043" s="144"/>
    </row>
    <row r="1044" spans="1:28">
      <c r="A1044" s="140" t="s">
        <v>529</v>
      </c>
      <c r="B1044" s="140" t="s">
        <v>123</v>
      </c>
      <c r="C1044" s="140" t="s">
        <v>9471</v>
      </c>
      <c r="D1044" s="140" t="s">
        <v>9472</v>
      </c>
      <c r="E1044" s="140" t="s">
        <v>9473</v>
      </c>
      <c r="F1044" s="140" t="s">
        <v>5</v>
      </c>
      <c r="G1044" s="140">
        <v>4</v>
      </c>
      <c r="H1044" s="140" t="s">
        <v>20</v>
      </c>
      <c r="I1044" s="140" t="s">
        <v>488</v>
      </c>
      <c r="J1044" s="140" t="s">
        <v>9474</v>
      </c>
      <c r="K1044" s="140">
        <v>4</v>
      </c>
      <c r="L1044" s="140" t="s">
        <v>941</v>
      </c>
      <c r="M1044" s="140" t="s">
        <v>9475</v>
      </c>
      <c r="N1044" s="140">
        <v>4</v>
      </c>
      <c r="O1044" s="140"/>
      <c r="P1044" s="140"/>
      <c r="Q1044" s="140" t="s">
        <v>452</v>
      </c>
      <c r="R1044" s="140" t="s">
        <v>9476</v>
      </c>
      <c r="S1044" s="140"/>
      <c r="T1044" s="140" t="s">
        <v>9477</v>
      </c>
      <c r="U1044" s="143" t="s">
        <v>481</v>
      </c>
      <c r="V1044" s="143"/>
      <c r="W1044" s="143"/>
      <c r="X1044" s="140" t="s">
        <v>9478</v>
      </c>
      <c r="Y1044" s="140" t="s">
        <v>9479</v>
      </c>
      <c r="Z1044" s="140" t="str">
        <f ca="1">IFERROR(__xludf.DUMMYFUNCTION("IF(VLOOKUP($Y1044, IMPORTRANGE(""https://docs.google.com/spreadsheets/d/1WsTKRjz8_fF2119Ff9dhKIIYXSaUEHzuWr8pBkxmwQQ/edit"", ""Form Responses 1!$B:$Z""),1, FALSE)=$Y1044,""Yes"",""No"")"),"#N/A")</f>
        <v>#N/A</v>
      </c>
      <c r="AA1044" s="140"/>
      <c r="AB1044" s="140"/>
    </row>
    <row r="1045" spans="1:28">
      <c r="A1045" s="144" t="s">
        <v>471</v>
      </c>
      <c r="B1045" s="144" t="s">
        <v>141</v>
      </c>
      <c r="C1045" s="144" t="s">
        <v>9480</v>
      </c>
      <c r="D1045" s="144" t="s">
        <v>9481</v>
      </c>
      <c r="E1045" s="144" t="s">
        <v>9482</v>
      </c>
      <c r="F1045" s="144" t="s">
        <v>5</v>
      </c>
      <c r="G1045" s="144">
        <v>3.5</v>
      </c>
      <c r="H1045" s="144" t="s">
        <v>20</v>
      </c>
      <c r="I1045" s="144" t="s">
        <v>447</v>
      </c>
      <c r="J1045" s="144" t="s">
        <v>9483</v>
      </c>
      <c r="K1045" s="144">
        <v>3</v>
      </c>
      <c r="L1045" s="144" t="s">
        <v>449</v>
      </c>
      <c r="M1045" s="144" t="s">
        <v>9484</v>
      </c>
      <c r="N1045" s="144">
        <v>4</v>
      </c>
      <c r="O1045" s="144" t="s">
        <v>451</v>
      </c>
      <c r="P1045" s="147">
        <v>1500000</v>
      </c>
      <c r="Q1045" s="144" t="s">
        <v>452</v>
      </c>
      <c r="R1045" s="144" t="s">
        <v>9485</v>
      </c>
      <c r="S1045" s="144"/>
      <c r="T1045" s="144" t="s">
        <v>9486</v>
      </c>
      <c r="U1045" s="145" t="s">
        <v>481</v>
      </c>
      <c r="V1045" s="145"/>
      <c r="W1045" s="145"/>
      <c r="X1045" s="144" t="s">
        <v>9487</v>
      </c>
      <c r="Y1045" s="144" t="s">
        <v>9488</v>
      </c>
      <c r="Z1045" s="144" t="str">
        <f ca="1">IFERROR(__xludf.DUMMYFUNCTION("IF(VLOOKUP($Y1045, IMPORTRANGE(""https://docs.google.com/spreadsheets/d/1WsTKRjz8_fF2119Ff9dhKIIYXSaUEHzuWr8pBkxmwQQ/edit"", ""Form Responses 1!$B:$Z""),1, FALSE)=$Y1045,""Yes"",""No"")"),"#N/A")</f>
        <v>#N/A</v>
      </c>
      <c r="AA1045" s="144"/>
      <c r="AB1045" s="144"/>
    </row>
    <row r="1046" spans="1:28">
      <c r="A1046" s="140" t="s">
        <v>471</v>
      </c>
      <c r="B1046" s="140" t="s">
        <v>164</v>
      </c>
      <c r="C1046" s="140" t="s">
        <v>9489</v>
      </c>
      <c r="D1046" s="140" t="s">
        <v>9490</v>
      </c>
      <c r="E1046" s="140" t="s">
        <v>9491</v>
      </c>
      <c r="F1046" s="140" t="s">
        <v>5</v>
      </c>
      <c r="G1046" s="140">
        <v>2.5</v>
      </c>
      <c r="H1046" s="140" t="s">
        <v>20</v>
      </c>
      <c r="I1046" s="140" t="s">
        <v>447</v>
      </c>
      <c r="J1046" s="140" t="s">
        <v>9492</v>
      </c>
      <c r="K1046" s="140">
        <v>3</v>
      </c>
      <c r="L1046" s="140" t="s">
        <v>449</v>
      </c>
      <c r="M1046" s="140" t="s">
        <v>9493</v>
      </c>
      <c r="N1046" s="140">
        <v>2</v>
      </c>
      <c r="O1046" s="140"/>
      <c r="P1046" s="140"/>
      <c r="Q1046" s="140" t="s">
        <v>452</v>
      </c>
      <c r="R1046" s="140" t="s">
        <v>9494</v>
      </c>
      <c r="S1046" s="140"/>
      <c r="T1046" s="140" t="s">
        <v>9495</v>
      </c>
      <c r="U1046" s="143" t="s">
        <v>481</v>
      </c>
      <c r="V1046" s="143"/>
      <c r="W1046" s="143"/>
      <c r="X1046" s="140" t="s">
        <v>9496</v>
      </c>
      <c r="Y1046" s="140" t="s">
        <v>9497</v>
      </c>
      <c r="Z1046" s="140" t="str">
        <f ca="1">IFERROR(__xludf.DUMMYFUNCTION("IF(VLOOKUP($Y1046, IMPORTRANGE(""https://docs.google.com/spreadsheets/d/1WsTKRjz8_fF2119Ff9dhKIIYXSaUEHzuWr8pBkxmwQQ/edit"", ""Form Responses 1!$B:$Z""),1, FALSE)=$Y1046,""Yes"",""No"")"),"#N/A")</f>
        <v>#N/A</v>
      </c>
      <c r="AA1046" s="140"/>
      <c r="AB1046" s="140"/>
    </row>
    <row r="1047" spans="1:28">
      <c r="A1047" s="144" t="s">
        <v>503</v>
      </c>
      <c r="B1047" s="144" t="s">
        <v>306</v>
      </c>
      <c r="C1047" s="144" t="s">
        <v>9498</v>
      </c>
      <c r="D1047" s="144" t="s">
        <v>9499</v>
      </c>
      <c r="E1047" s="144" t="s">
        <v>9500</v>
      </c>
      <c r="F1047" s="144" t="s">
        <v>4</v>
      </c>
      <c r="G1047" s="144">
        <v>3.25</v>
      </c>
      <c r="H1047" s="144" t="s">
        <v>20</v>
      </c>
      <c r="I1047" s="144" t="s">
        <v>447</v>
      </c>
      <c r="J1047" s="144" t="s">
        <v>9501</v>
      </c>
      <c r="K1047" s="144">
        <v>3</v>
      </c>
      <c r="L1047" s="144" t="s">
        <v>543</v>
      </c>
      <c r="M1047" s="144" t="s">
        <v>9502</v>
      </c>
      <c r="N1047" s="144">
        <v>3.5</v>
      </c>
      <c r="O1047" s="144"/>
      <c r="P1047" s="144"/>
      <c r="Q1047" s="144" t="s">
        <v>452</v>
      </c>
      <c r="R1047" s="144" t="s">
        <v>9503</v>
      </c>
      <c r="S1047" s="144" t="s">
        <v>727</v>
      </c>
      <c r="T1047" s="144" t="s">
        <v>9504</v>
      </c>
      <c r="U1047" s="145" t="s">
        <v>481</v>
      </c>
      <c r="V1047" s="145"/>
      <c r="W1047" s="145" t="s">
        <v>727</v>
      </c>
      <c r="X1047" s="144" t="s">
        <v>4725</v>
      </c>
      <c r="Y1047" s="144" t="s">
        <v>9505</v>
      </c>
      <c r="Z1047" s="144" t="str">
        <f ca="1">IFERROR(__xludf.DUMMYFUNCTION("IF(VLOOKUP($Y1047, IMPORTRANGE(""https://docs.google.com/spreadsheets/d/1WsTKRjz8_fF2119Ff9dhKIIYXSaUEHzuWr8pBkxmwQQ/edit"", ""Form Responses 1!$B:$Z""),1, FALSE)=$Y1047,""Yes"",""No"")"),"#N/A")</f>
        <v>#N/A</v>
      </c>
      <c r="AA1047" s="144"/>
      <c r="AB1047" s="144"/>
    </row>
    <row r="1048" spans="1:28">
      <c r="A1048" s="140" t="s">
        <v>471</v>
      </c>
      <c r="B1048" s="140" t="s">
        <v>273</v>
      </c>
      <c r="C1048" s="140" t="s">
        <v>9506</v>
      </c>
      <c r="D1048" s="140" t="s">
        <v>9507</v>
      </c>
      <c r="E1048" s="140" t="s">
        <v>9508</v>
      </c>
      <c r="F1048" s="140" t="s">
        <v>4</v>
      </c>
      <c r="G1048" s="140">
        <v>3.88</v>
      </c>
      <c r="H1048" s="140" t="s">
        <v>20</v>
      </c>
      <c r="I1048" s="140" t="s">
        <v>727</v>
      </c>
      <c r="J1048" s="140" t="s">
        <v>9509</v>
      </c>
      <c r="K1048" s="140">
        <v>3.75</v>
      </c>
      <c r="L1048" s="140" t="s">
        <v>1054</v>
      </c>
      <c r="M1048" s="140" t="s">
        <v>9510</v>
      </c>
      <c r="N1048" s="140">
        <v>4</v>
      </c>
      <c r="O1048" s="140"/>
      <c r="P1048" s="140"/>
      <c r="Q1048" s="140" t="s">
        <v>452</v>
      </c>
      <c r="R1048" s="140" t="s">
        <v>452</v>
      </c>
      <c r="S1048" s="140"/>
      <c r="T1048" s="140" t="s">
        <v>9511</v>
      </c>
      <c r="U1048" s="143" t="s">
        <v>481</v>
      </c>
      <c r="V1048" s="143"/>
      <c r="W1048" s="143"/>
      <c r="X1048" s="140" t="s">
        <v>9512</v>
      </c>
      <c r="Y1048" s="140" t="s">
        <v>9513</v>
      </c>
      <c r="Z1048" s="140" t="str">
        <f ca="1">IFERROR(__xludf.DUMMYFUNCTION("IF(VLOOKUP($Y1048, IMPORTRANGE(""https://docs.google.com/spreadsheets/d/1WsTKRjz8_fF2119Ff9dhKIIYXSaUEHzuWr8pBkxmwQQ/edit"", ""Form Responses 1!$B:$Z""),1, FALSE)=$Y1048,""Yes"",""No"")"),"#N/A")</f>
        <v>#N/A</v>
      </c>
      <c r="AA1048" s="140"/>
      <c r="AB1048" s="140"/>
    </row>
    <row r="1049" spans="1:28">
      <c r="A1049" s="144" t="s">
        <v>471</v>
      </c>
      <c r="B1049" s="144" t="s">
        <v>280</v>
      </c>
      <c r="C1049" s="144" t="s">
        <v>9514</v>
      </c>
      <c r="D1049" s="144" t="s">
        <v>9515</v>
      </c>
      <c r="E1049" s="144" t="s">
        <v>9516</v>
      </c>
      <c r="F1049" s="144" t="s">
        <v>4</v>
      </c>
      <c r="G1049" s="144">
        <v>3.75</v>
      </c>
      <c r="H1049" s="144" t="s">
        <v>20</v>
      </c>
      <c r="I1049" s="144" t="s">
        <v>727</v>
      </c>
      <c r="J1049" s="144" t="s">
        <v>9517</v>
      </c>
      <c r="K1049" s="144">
        <v>4.5</v>
      </c>
      <c r="L1049" s="144" t="s">
        <v>476</v>
      </c>
      <c r="M1049" s="144" t="s">
        <v>9518</v>
      </c>
      <c r="N1049" s="144">
        <v>3</v>
      </c>
      <c r="O1049" s="144" t="s">
        <v>784</v>
      </c>
      <c r="P1049" s="144">
        <v>250000</v>
      </c>
      <c r="Q1049" s="144" t="s">
        <v>454</v>
      </c>
      <c r="R1049" s="144" t="s">
        <v>9519</v>
      </c>
      <c r="S1049" s="144" t="s">
        <v>9520</v>
      </c>
      <c r="T1049" s="144" t="s">
        <v>9521</v>
      </c>
      <c r="U1049" s="145" t="s">
        <v>481</v>
      </c>
      <c r="V1049" s="145" t="s">
        <v>557</v>
      </c>
      <c r="W1049" s="145" t="s">
        <v>9520</v>
      </c>
      <c r="X1049" s="144" t="s">
        <v>9522</v>
      </c>
      <c r="Y1049" s="144" t="s">
        <v>9523</v>
      </c>
      <c r="Z1049" s="144" t="str">
        <f ca="1">IFERROR(__xludf.DUMMYFUNCTION("IF(VLOOKUP($Y1049, IMPORTRANGE(""https://docs.google.com/spreadsheets/d/1WsTKRjz8_fF2119Ff9dhKIIYXSaUEHzuWr8pBkxmwQQ/edit"", ""Form Responses 1!$B:$Z""),1, FALSE)=$Y1049,""Yes"",""No"")"),"#N/A")</f>
        <v>#N/A</v>
      </c>
      <c r="AA1049" s="144"/>
      <c r="AB1049" s="144"/>
    </row>
    <row r="1050" spans="1:28">
      <c r="A1050" s="140" t="s">
        <v>443</v>
      </c>
      <c r="B1050" s="140" t="s">
        <v>304</v>
      </c>
      <c r="C1050" s="140" t="s">
        <v>9524</v>
      </c>
      <c r="D1050" s="140" t="s">
        <v>9525</v>
      </c>
      <c r="E1050" s="140" t="s">
        <v>9526</v>
      </c>
      <c r="F1050" s="140" t="s">
        <v>4</v>
      </c>
      <c r="G1050" s="140">
        <v>3.5</v>
      </c>
      <c r="H1050" s="140" t="s">
        <v>20</v>
      </c>
      <c r="I1050" s="140" t="s">
        <v>460</v>
      </c>
      <c r="J1050" s="140" t="s">
        <v>9527</v>
      </c>
      <c r="K1050" s="140">
        <v>3</v>
      </c>
      <c r="L1050" s="140" t="s">
        <v>488</v>
      </c>
      <c r="M1050" s="140" t="s">
        <v>9528</v>
      </c>
      <c r="N1050" s="140">
        <v>4</v>
      </c>
      <c r="O1050" s="140"/>
      <c r="P1050" s="140"/>
      <c r="Q1050" s="140" t="s">
        <v>452</v>
      </c>
      <c r="R1050" s="140" t="s">
        <v>9529</v>
      </c>
      <c r="S1050" s="140"/>
      <c r="T1050" s="140" t="s">
        <v>9530</v>
      </c>
      <c r="U1050" s="143" t="s">
        <v>481</v>
      </c>
      <c r="V1050" s="143"/>
      <c r="W1050" s="143"/>
      <c r="X1050" s="140" t="s">
        <v>3522</v>
      </c>
      <c r="Y1050" s="140" t="s">
        <v>9531</v>
      </c>
      <c r="Z1050" s="140" t="str">
        <f ca="1">IFERROR(__xludf.DUMMYFUNCTION("IF(VLOOKUP($Y1050, IMPORTRANGE(""https://docs.google.com/spreadsheets/d/1WsTKRjz8_fF2119Ff9dhKIIYXSaUEHzuWr8pBkxmwQQ/edit"", ""Form Responses 1!$B:$Z""),1, FALSE)=$Y1050,""Yes"",""No"")"),"#N/A")</f>
        <v>#N/A</v>
      </c>
      <c r="AA1050" s="140"/>
      <c r="AB1050" s="140"/>
    </row>
    <row r="1051" spans="1:28">
      <c r="A1051" s="144" t="s">
        <v>598</v>
      </c>
      <c r="B1051" s="144" t="s">
        <v>390</v>
      </c>
      <c r="C1051" s="144" t="s">
        <v>9532</v>
      </c>
      <c r="D1051" s="144" t="s">
        <v>9533</v>
      </c>
      <c r="E1051" s="144" t="s">
        <v>9534</v>
      </c>
      <c r="F1051" s="144" t="s">
        <v>4</v>
      </c>
      <c r="G1051" s="144">
        <v>2.88</v>
      </c>
      <c r="H1051" s="144" t="s">
        <v>20</v>
      </c>
      <c r="I1051" s="144" t="s">
        <v>727</v>
      </c>
      <c r="J1051" s="144" t="s">
        <v>9535</v>
      </c>
      <c r="K1051" s="144">
        <v>3.75</v>
      </c>
      <c r="L1051" s="144" t="s">
        <v>1298</v>
      </c>
      <c r="M1051" s="144"/>
      <c r="N1051" s="144">
        <v>2</v>
      </c>
      <c r="O1051" s="144" t="s">
        <v>451</v>
      </c>
      <c r="P1051" s="144" t="s">
        <v>4828</v>
      </c>
      <c r="Q1051" s="144" t="s">
        <v>465</v>
      </c>
      <c r="R1051" s="144" t="s">
        <v>9536</v>
      </c>
      <c r="S1051" s="144"/>
      <c r="T1051" s="144" t="s">
        <v>9537</v>
      </c>
      <c r="U1051" s="145" t="s">
        <v>454</v>
      </c>
      <c r="V1051" s="145"/>
      <c r="W1051" s="145"/>
      <c r="X1051" s="144" t="s">
        <v>9538</v>
      </c>
      <c r="Y1051" s="144" t="s">
        <v>9539</v>
      </c>
      <c r="Z1051" s="144" t="str">
        <f ca="1">IFERROR(__xludf.DUMMYFUNCTION("IF(VLOOKUP($Y1051, IMPORTRANGE(""https://docs.google.com/spreadsheets/d/1WsTKRjz8_fF2119Ff9dhKIIYXSaUEHzuWr8pBkxmwQQ/edit"", ""Form Responses 1!$B:$Z""),1, FALSE)=$Y1051,""Yes"",""No"")"),"#N/A")</f>
        <v>#N/A</v>
      </c>
      <c r="AA1051" s="144"/>
      <c r="AB1051" s="144"/>
    </row>
    <row r="1052" spans="1:28">
      <c r="A1052" s="140" t="s">
        <v>503</v>
      </c>
      <c r="B1052" s="140" t="s">
        <v>126</v>
      </c>
      <c r="C1052" s="140" t="s">
        <v>9540</v>
      </c>
      <c r="D1052" s="140" t="s">
        <v>9541</v>
      </c>
      <c r="E1052" s="140" t="s">
        <v>9542</v>
      </c>
      <c r="F1052" s="140" t="s">
        <v>4</v>
      </c>
      <c r="G1052" s="140">
        <v>3</v>
      </c>
      <c r="H1052" s="140" t="s">
        <v>20</v>
      </c>
      <c r="I1052" s="140" t="s">
        <v>447</v>
      </c>
      <c r="J1052" s="140" t="s">
        <v>9543</v>
      </c>
      <c r="K1052" s="140">
        <v>3</v>
      </c>
      <c r="L1052" s="140" t="s">
        <v>622</v>
      </c>
      <c r="M1052" s="140" t="s">
        <v>9544</v>
      </c>
      <c r="N1052" s="140">
        <v>3</v>
      </c>
      <c r="O1052" s="140" t="s">
        <v>451</v>
      </c>
      <c r="P1052" s="140">
        <v>1000000</v>
      </c>
      <c r="Q1052" s="140" t="s">
        <v>452</v>
      </c>
      <c r="R1052" s="140" t="s">
        <v>9545</v>
      </c>
      <c r="S1052" s="140"/>
      <c r="T1052" s="140" t="s">
        <v>15</v>
      </c>
      <c r="U1052" s="143" t="s">
        <v>481</v>
      </c>
      <c r="V1052" s="143"/>
      <c r="W1052" s="143"/>
      <c r="X1052" s="140" t="s">
        <v>9546</v>
      </c>
      <c r="Y1052" s="140" t="s">
        <v>9547</v>
      </c>
      <c r="Z1052" s="140" t="str">
        <f ca="1">IFERROR(__xludf.DUMMYFUNCTION("IF(VLOOKUP($Y1052, IMPORTRANGE(""https://docs.google.com/spreadsheets/d/1WsTKRjz8_fF2119Ff9dhKIIYXSaUEHzuWr8pBkxmwQQ/edit"", ""Form Responses 1!$B:$Z""),1, FALSE)=$Y1052,""Yes"",""No"")"),"#N/A")</f>
        <v>#N/A</v>
      </c>
      <c r="AA1052" s="140"/>
      <c r="AB1052" s="140"/>
    </row>
    <row r="1053" spans="1:28">
      <c r="A1053" s="144" t="s">
        <v>503</v>
      </c>
      <c r="B1053" s="144" t="s">
        <v>288</v>
      </c>
      <c r="C1053" s="144" t="s">
        <v>9548</v>
      </c>
      <c r="D1053" s="144" t="s">
        <v>9549</v>
      </c>
      <c r="E1053" s="144" t="s">
        <v>9550</v>
      </c>
      <c r="F1053" s="144" t="s">
        <v>4</v>
      </c>
      <c r="G1053" s="144">
        <v>3.75</v>
      </c>
      <c r="H1053" s="144" t="s">
        <v>20</v>
      </c>
      <c r="I1053" s="144" t="s">
        <v>447</v>
      </c>
      <c r="J1053" s="144" t="s">
        <v>9551</v>
      </c>
      <c r="K1053" s="144">
        <v>3.5</v>
      </c>
      <c r="L1053" s="144" t="s">
        <v>543</v>
      </c>
      <c r="M1053" s="144" t="s">
        <v>9552</v>
      </c>
      <c r="N1053" s="144">
        <v>4</v>
      </c>
      <c r="O1053" s="144" t="s">
        <v>9553</v>
      </c>
      <c r="P1053" s="144">
        <v>1500000</v>
      </c>
      <c r="Q1053" s="144" t="s">
        <v>465</v>
      </c>
      <c r="R1053" s="144" t="s">
        <v>9554</v>
      </c>
      <c r="S1053" s="144"/>
      <c r="T1053" s="144" t="s">
        <v>9555</v>
      </c>
      <c r="U1053" s="145" t="s">
        <v>481</v>
      </c>
      <c r="V1053" s="145"/>
      <c r="W1053" s="145"/>
      <c r="X1053" s="144" t="s">
        <v>9556</v>
      </c>
      <c r="Y1053" s="144" t="s">
        <v>9557</v>
      </c>
      <c r="Z1053" s="144" t="str">
        <f ca="1">IFERROR(__xludf.DUMMYFUNCTION("IF(VLOOKUP($Y1053, IMPORTRANGE(""https://docs.google.com/spreadsheets/d/1WsTKRjz8_fF2119Ff9dhKIIYXSaUEHzuWr8pBkxmwQQ/edit"", ""Form Responses 1!$B:$Z""),1, FALSE)=$Y1053,""Yes"",""No"")"),"#N/A")</f>
        <v>#N/A</v>
      </c>
      <c r="AA1053" s="144"/>
      <c r="AB1053" s="144"/>
    </row>
    <row r="1054" spans="1:28">
      <c r="A1054" s="140" t="s">
        <v>503</v>
      </c>
      <c r="B1054" s="140" t="s">
        <v>305</v>
      </c>
      <c r="C1054" s="140" t="s">
        <v>9558</v>
      </c>
      <c r="D1054" s="140" t="s">
        <v>9559</v>
      </c>
      <c r="E1054" s="140" t="s">
        <v>9560</v>
      </c>
      <c r="F1054" s="140" t="s">
        <v>4</v>
      </c>
      <c r="G1054" s="140">
        <v>3.5</v>
      </c>
      <c r="H1054" s="140" t="s">
        <v>20</v>
      </c>
      <c r="I1054" s="140" t="s">
        <v>447</v>
      </c>
      <c r="J1054" s="140" t="s">
        <v>9561</v>
      </c>
      <c r="K1054" s="140">
        <v>3</v>
      </c>
      <c r="L1054" s="140" t="s">
        <v>449</v>
      </c>
      <c r="M1054" s="140" t="s">
        <v>9562</v>
      </c>
      <c r="N1054" s="140">
        <v>4</v>
      </c>
      <c r="O1054" s="140" t="s">
        <v>451</v>
      </c>
      <c r="P1054" s="140" t="s">
        <v>2018</v>
      </c>
      <c r="Q1054" s="140" t="s">
        <v>465</v>
      </c>
      <c r="R1054" s="140" t="s">
        <v>9563</v>
      </c>
      <c r="S1054" s="140"/>
      <c r="T1054" s="140" t="s">
        <v>9564</v>
      </c>
      <c r="U1054" s="143" t="s">
        <v>481</v>
      </c>
      <c r="V1054" s="143"/>
      <c r="W1054" s="143"/>
      <c r="X1054" s="140" t="s">
        <v>9565</v>
      </c>
      <c r="Y1054" s="140" t="s">
        <v>9566</v>
      </c>
      <c r="Z1054" s="140" t="str">
        <f ca="1">IFERROR(__xludf.DUMMYFUNCTION("IF(VLOOKUP($Y1054, IMPORTRANGE(""https://docs.google.com/spreadsheets/d/1WsTKRjz8_fF2119Ff9dhKIIYXSaUEHzuWr8pBkxmwQQ/edit"", ""Form Responses 1!$B:$Z""),1, FALSE)=$Y1054,""Yes"",""No"")"),"#N/A")</f>
        <v>#N/A</v>
      </c>
      <c r="AA1054" s="140"/>
      <c r="AB1054" s="140"/>
    </row>
    <row r="1055" spans="1:28">
      <c r="A1055" s="144" t="s">
        <v>471</v>
      </c>
      <c r="B1055" s="144" t="s">
        <v>74</v>
      </c>
      <c r="C1055" s="144" t="s">
        <v>9567</v>
      </c>
      <c r="D1055" s="144" t="s">
        <v>9568</v>
      </c>
      <c r="E1055" s="144" t="s">
        <v>9569</v>
      </c>
      <c r="F1055" s="144" t="s">
        <v>3</v>
      </c>
      <c r="G1055" s="144">
        <v>3.25</v>
      </c>
      <c r="H1055" s="144" t="s">
        <v>20</v>
      </c>
      <c r="I1055" s="144" t="s">
        <v>460</v>
      </c>
      <c r="J1055" s="144" t="s">
        <v>9570</v>
      </c>
      <c r="K1055" s="144">
        <v>3.5</v>
      </c>
      <c r="L1055" s="144" t="s">
        <v>941</v>
      </c>
      <c r="M1055" s="144"/>
      <c r="N1055" s="144">
        <v>3</v>
      </c>
      <c r="O1055" s="144" t="s">
        <v>478</v>
      </c>
      <c r="P1055" s="144">
        <v>5000000</v>
      </c>
      <c r="Q1055" s="144" t="s">
        <v>452</v>
      </c>
      <c r="R1055" s="144" t="s">
        <v>9571</v>
      </c>
      <c r="S1055" s="144" t="s">
        <v>9572</v>
      </c>
      <c r="T1055" s="144" t="s">
        <v>9573</v>
      </c>
      <c r="U1055" s="145" t="s">
        <v>481</v>
      </c>
      <c r="V1055" s="145"/>
      <c r="W1055" s="145" t="s">
        <v>9572</v>
      </c>
      <c r="X1055" s="144" t="s">
        <v>9574</v>
      </c>
      <c r="Y1055" s="144" t="s">
        <v>9575</v>
      </c>
      <c r="Z1055" s="144" t="str">
        <f ca="1">IFERROR(__xludf.DUMMYFUNCTION("IF(VLOOKUP($Y1055, IMPORTRANGE(""https://docs.google.com/spreadsheets/d/1WsTKRjz8_fF2119Ff9dhKIIYXSaUEHzuWr8pBkxmwQQ/edit"", ""Form Responses 1!$B:$Z""),1, FALSE)=$Y1055,""Yes"",""No"")"),"#N/A")</f>
        <v>#N/A</v>
      </c>
      <c r="AA1055" s="144"/>
      <c r="AB1055" s="144"/>
    </row>
    <row r="1056" spans="1:28">
      <c r="A1056" s="140" t="s">
        <v>598</v>
      </c>
      <c r="B1056" s="140" t="s">
        <v>9576</v>
      </c>
      <c r="C1056" s="140" t="s">
        <v>9577</v>
      </c>
      <c r="D1056" s="140" t="s">
        <v>9578</v>
      </c>
      <c r="E1056" s="140" t="s">
        <v>9579</v>
      </c>
      <c r="F1056" s="140" t="s">
        <v>5</v>
      </c>
      <c r="G1056" s="140">
        <v>2.25</v>
      </c>
      <c r="H1056" s="140" t="s">
        <v>23</v>
      </c>
      <c r="I1056" s="140" t="s">
        <v>447</v>
      </c>
      <c r="J1056" s="140" t="s">
        <v>9580</v>
      </c>
      <c r="K1056" s="140">
        <v>2</v>
      </c>
      <c r="L1056" s="140" t="s">
        <v>543</v>
      </c>
      <c r="M1056" s="140"/>
      <c r="N1056" s="140">
        <v>2.5</v>
      </c>
      <c r="O1056" s="140" t="s">
        <v>451</v>
      </c>
      <c r="P1056" s="142">
        <v>3620880</v>
      </c>
      <c r="Q1056" s="140" t="s">
        <v>452</v>
      </c>
      <c r="R1056" s="140" t="s">
        <v>9581</v>
      </c>
      <c r="S1056" s="140"/>
      <c r="T1056" s="140"/>
      <c r="U1056" s="143"/>
      <c r="V1056" s="143"/>
      <c r="W1056" s="143"/>
      <c r="X1056" s="140" t="s">
        <v>9582</v>
      </c>
      <c r="Y1056" s="140" t="s">
        <v>9583</v>
      </c>
      <c r="Z1056" s="140" t="str">
        <f ca="1">IFERROR(__xludf.DUMMYFUNCTION("IF(VLOOKUP($Y1056, IMPORTRANGE(""https://docs.google.com/spreadsheets/d/1WsTKRjz8_fF2119Ff9dhKIIYXSaUEHzuWr8pBkxmwQQ/edit"", ""Form Responses 1!$B:$Z""),1, FALSE)=$Y1056,""Yes"",""No"")"),"#N/A")</f>
        <v>#N/A</v>
      </c>
      <c r="AA1056" s="140"/>
      <c r="AB1056" s="140"/>
    </row>
    <row r="1057" spans="1:28">
      <c r="A1057" s="144" t="s">
        <v>443</v>
      </c>
      <c r="B1057" s="144" t="s">
        <v>9584</v>
      </c>
      <c r="C1057" s="144" t="s">
        <v>9585</v>
      </c>
      <c r="D1057" s="144" t="s">
        <v>9586</v>
      </c>
      <c r="E1057" s="144" t="s">
        <v>9587</v>
      </c>
      <c r="F1057" s="144" t="s">
        <v>5</v>
      </c>
      <c r="G1057" s="144">
        <v>3.25</v>
      </c>
      <c r="H1057" s="144" t="s">
        <v>23</v>
      </c>
      <c r="I1057" s="144" t="s">
        <v>460</v>
      </c>
      <c r="J1057" s="144" t="s">
        <v>9588</v>
      </c>
      <c r="K1057" s="144">
        <v>3.5</v>
      </c>
      <c r="L1057" s="144" t="s">
        <v>488</v>
      </c>
      <c r="M1057" s="144" t="s">
        <v>9589</v>
      </c>
      <c r="N1057" s="144">
        <v>3</v>
      </c>
      <c r="O1057" s="144"/>
      <c r="P1057" s="144"/>
      <c r="Q1057" s="144" t="s">
        <v>454</v>
      </c>
      <c r="R1057" s="144" t="s">
        <v>9590</v>
      </c>
      <c r="S1057" s="144"/>
      <c r="T1057" s="144" t="s">
        <v>9591</v>
      </c>
      <c r="U1057" s="145"/>
      <c r="V1057" s="145"/>
      <c r="W1057" s="145"/>
      <c r="X1057" s="144" t="s">
        <v>9592</v>
      </c>
      <c r="Y1057" s="144" t="s">
        <v>9593</v>
      </c>
      <c r="Z1057" s="144" t="str">
        <f ca="1">IFERROR(__xludf.DUMMYFUNCTION("IF(VLOOKUP($Y1057, IMPORTRANGE(""https://docs.google.com/spreadsheets/d/1WsTKRjz8_fF2119Ff9dhKIIYXSaUEHzuWr8pBkxmwQQ/edit"", ""Form Responses 1!$B:$Z""),1, FALSE)=$Y1057,""Yes"",""No"")"),"#N/A")</f>
        <v>#N/A</v>
      </c>
      <c r="AA1057" s="144"/>
      <c r="AB1057" s="144"/>
    </row>
    <row r="1058" spans="1:28">
      <c r="A1058" s="140" t="s">
        <v>443</v>
      </c>
      <c r="B1058" s="140" t="s">
        <v>162</v>
      </c>
      <c r="C1058" s="140" t="s">
        <v>9594</v>
      </c>
      <c r="D1058" s="140" t="s">
        <v>9595</v>
      </c>
      <c r="E1058" s="140" t="s">
        <v>9596</v>
      </c>
      <c r="F1058" s="140" t="s">
        <v>5</v>
      </c>
      <c r="G1058" s="140">
        <v>4</v>
      </c>
      <c r="H1058" s="140" t="s">
        <v>23</v>
      </c>
      <c r="I1058" s="140" t="s">
        <v>447</v>
      </c>
      <c r="J1058" s="140" t="s">
        <v>9597</v>
      </c>
      <c r="K1058" s="140">
        <v>3</v>
      </c>
      <c r="L1058" s="140" t="s">
        <v>449</v>
      </c>
      <c r="M1058" s="140" t="s">
        <v>9598</v>
      </c>
      <c r="N1058" s="140">
        <v>5</v>
      </c>
      <c r="O1058" s="140" t="s">
        <v>9599</v>
      </c>
      <c r="P1058" s="140">
        <v>909783</v>
      </c>
      <c r="Q1058" s="140" t="s">
        <v>452</v>
      </c>
      <c r="R1058" s="140" t="s">
        <v>9600</v>
      </c>
      <c r="S1058" s="140"/>
      <c r="T1058" s="140" t="s">
        <v>9601</v>
      </c>
      <c r="U1058" s="143" t="s">
        <v>481</v>
      </c>
      <c r="V1058" s="143"/>
      <c r="W1058" s="143"/>
      <c r="X1058" s="140" t="s">
        <v>9602</v>
      </c>
      <c r="Y1058" s="140" t="s">
        <v>9603</v>
      </c>
      <c r="Z1058" s="140" t="str">
        <f ca="1">IFERROR(__xludf.DUMMYFUNCTION("IF(VLOOKUP($Y1058, IMPORTRANGE(""https://docs.google.com/spreadsheets/d/1WsTKRjz8_fF2119Ff9dhKIIYXSaUEHzuWr8pBkxmwQQ/edit"", ""Form Responses 1!$B:$Z""),1, FALSE)=$Y1058,""Yes"",""No"")"),"#N/A")</f>
        <v>#N/A</v>
      </c>
      <c r="AA1058" s="140"/>
      <c r="AB1058" s="140"/>
    </row>
    <row r="1059" spans="1:28">
      <c r="A1059" s="144" t="s">
        <v>598</v>
      </c>
      <c r="B1059" s="144" t="s">
        <v>9604</v>
      </c>
      <c r="C1059" s="144" t="s">
        <v>9605</v>
      </c>
      <c r="D1059" s="144" t="s">
        <v>9606</v>
      </c>
      <c r="E1059" s="144" t="s">
        <v>9607</v>
      </c>
      <c r="F1059" s="144" t="s">
        <v>4</v>
      </c>
      <c r="G1059" s="144">
        <v>2.5</v>
      </c>
      <c r="H1059" s="144" t="s">
        <v>23</v>
      </c>
      <c r="I1059" s="144" t="s">
        <v>727</v>
      </c>
      <c r="J1059" s="144" t="s">
        <v>9608</v>
      </c>
      <c r="K1059" s="144">
        <v>3</v>
      </c>
      <c r="L1059" s="144" t="s">
        <v>1298</v>
      </c>
      <c r="M1059" s="144" t="s">
        <v>9609</v>
      </c>
      <c r="N1059" s="144">
        <v>2</v>
      </c>
      <c r="O1059" s="144"/>
      <c r="P1059" s="144"/>
      <c r="Q1059" s="144" t="s">
        <v>452</v>
      </c>
      <c r="R1059" s="144" t="s">
        <v>575</v>
      </c>
      <c r="S1059" s="144" t="s">
        <v>727</v>
      </c>
      <c r="T1059" s="144"/>
      <c r="U1059" s="145"/>
      <c r="V1059" s="145"/>
      <c r="W1059" s="145"/>
      <c r="X1059" s="144" t="s">
        <v>9610</v>
      </c>
      <c r="Y1059" s="144" t="s">
        <v>9611</v>
      </c>
      <c r="Z1059" s="144" t="str">
        <f ca="1">IFERROR(__xludf.DUMMYFUNCTION("IF(VLOOKUP($Y1059, IMPORTRANGE(""https://docs.google.com/spreadsheets/d/1WsTKRjz8_fF2119Ff9dhKIIYXSaUEHzuWr8pBkxmwQQ/edit"", ""Form Responses 1!$B:$Z""),1, FALSE)=$Y1059,""Yes"",""No"")"),"#N/A")</f>
        <v>#N/A</v>
      </c>
      <c r="AA1059" s="144"/>
      <c r="AB1059" s="144"/>
    </row>
    <row r="1060" spans="1:28">
      <c r="A1060" s="140" t="s">
        <v>529</v>
      </c>
      <c r="B1060" s="140" t="s">
        <v>9612</v>
      </c>
      <c r="C1060" s="140" t="s">
        <v>9613</v>
      </c>
      <c r="D1060" s="140" t="s">
        <v>9614</v>
      </c>
      <c r="E1060" s="140" t="s">
        <v>9615</v>
      </c>
      <c r="F1060" s="140" t="s">
        <v>4</v>
      </c>
      <c r="G1060" s="140">
        <v>3.25</v>
      </c>
      <c r="H1060" s="140" t="s">
        <v>23</v>
      </c>
      <c r="I1060" s="140" t="s">
        <v>460</v>
      </c>
      <c r="J1060" s="140" t="s">
        <v>9616</v>
      </c>
      <c r="K1060" s="140">
        <v>3</v>
      </c>
      <c r="L1060" s="140" t="s">
        <v>462</v>
      </c>
      <c r="M1060" s="140" t="s">
        <v>9617</v>
      </c>
      <c r="N1060" s="140">
        <v>3.5</v>
      </c>
      <c r="O1060" s="140"/>
      <c r="P1060" s="140"/>
      <c r="Q1060" s="140" t="s">
        <v>454</v>
      </c>
      <c r="R1060" s="140" t="s">
        <v>9618</v>
      </c>
      <c r="S1060" s="140" t="s">
        <v>9619</v>
      </c>
      <c r="T1060" s="140" t="s">
        <v>9620</v>
      </c>
      <c r="U1060" s="143"/>
      <c r="V1060" s="143"/>
      <c r="W1060" s="143"/>
      <c r="X1060" s="140" t="s">
        <v>9621</v>
      </c>
      <c r="Y1060" s="140" t="s">
        <v>9622</v>
      </c>
      <c r="Z1060" s="140" t="str">
        <f ca="1">IFERROR(__xludf.DUMMYFUNCTION("IF(VLOOKUP($Y1060, IMPORTRANGE(""https://docs.google.com/spreadsheets/d/1WsTKRjz8_fF2119Ff9dhKIIYXSaUEHzuWr8pBkxmwQQ/edit"", ""Form Responses 1!$B:$Z""),1, FALSE)=$Y1060,""Yes"",""No"")"),"#N/A")</f>
        <v>#N/A</v>
      </c>
      <c r="AA1060" s="140"/>
      <c r="AB1060" s="140"/>
    </row>
    <row r="1061" spans="1:28">
      <c r="A1061" s="144" t="s">
        <v>598</v>
      </c>
      <c r="B1061" s="144" t="s">
        <v>9623</v>
      </c>
      <c r="C1061" s="144" t="s">
        <v>9624</v>
      </c>
      <c r="D1061" s="144" t="s">
        <v>9625</v>
      </c>
      <c r="E1061" s="144" t="s">
        <v>9626</v>
      </c>
      <c r="F1061" s="144" t="s">
        <v>4</v>
      </c>
      <c r="G1061" s="144">
        <v>3</v>
      </c>
      <c r="H1061" s="144" t="s">
        <v>23</v>
      </c>
      <c r="I1061" s="144" t="s">
        <v>725</v>
      </c>
      <c r="J1061" s="144" t="s">
        <v>9627</v>
      </c>
      <c r="K1061" s="144">
        <v>3</v>
      </c>
      <c r="L1061" s="144" t="s">
        <v>1045</v>
      </c>
      <c r="M1061" s="144" t="s">
        <v>9628</v>
      </c>
      <c r="N1061" s="144">
        <v>3</v>
      </c>
      <c r="O1061" s="144" t="s">
        <v>784</v>
      </c>
      <c r="P1061" s="146">
        <v>1500000</v>
      </c>
      <c r="Q1061" s="144" t="s">
        <v>454</v>
      </c>
      <c r="R1061" s="144" t="s">
        <v>452</v>
      </c>
      <c r="S1061" s="144"/>
      <c r="T1061" s="144"/>
      <c r="U1061" s="145"/>
      <c r="V1061" s="145"/>
      <c r="W1061" s="145"/>
      <c r="X1061" s="144" t="s">
        <v>1020</v>
      </c>
      <c r="Y1061" s="144" t="s">
        <v>9629</v>
      </c>
      <c r="Z1061" s="144" t="str">
        <f ca="1">IFERROR(__xludf.DUMMYFUNCTION("IF(VLOOKUP($Y1061, IMPORTRANGE(""https://docs.google.com/spreadsheets/d/1WsTKRjz8_fF2119Ff9dhKIIYXSaUEHzuWr8pBkxmwQQ/edit"", ""Form Responses 1!$B:$Z""),1, FALSE)=$Y1061,""Yes"",""No"")"),"#N/A")</f>
        <v>#N/A</v>
      </c>
      <c r="AA1061" s="144"/>
      <c r="AB1061" s="144"/>
    </row>
    <row r="1062" spans="1:28">
      <c r="A1062" s="140" t="s">
        <v>471</v>
      </c>
      <c r="B1062" s="140" t="s">
        <v>9630</v>
      </c>
      <c r="C1062" s="140" t="s">
        <v>9631</v>
      </c>
      <c r="D1062" s="140" t="s">
        <v>9632</v>
      </c>
      <c r="E1062" s="140" t="s">
        <v>9633</v>
      </c>
      <c r="F1062" s="140" t="s">
        <v>4</v>
      </c>
      <c r="G1062" s="140">
        <v>3</v>
      </c>
      <c r="H1062" s="140" t="s">
        <v>23</v>
      </c>
      <c r="I1062" s="140" t="s">
        <v>727</v>
      </c>
      <c r="J1062" s="140" t="s">
        <v>9634</v>
      </c>
      <c r="K1062" s="140">
        <v>3</v>
      </c>
      <c r="L1062" s="140" t="s">
        <v>447</v>
      </c>
      <c r="M1062" s="140" t="s">
        <v>9635</v>
      </c>
      <c r="N1062" s="140">
        <v>3</v>
      </c>
      <c r="O1062" s="140" t="s">
        <v>451</v>
      </c>
      <c r="P1062" s="140" t="s">
        <v>4444</v>
      </c>
      <c r="Q1062" s="140" t="s">
        <v>452</v>
      </c>
      <c r="R1062" s="140" t="s">
        <v>9636</v>
      </c>
      <c r="S1062" s="140"/>
      <c r="T1062" s="140" t="s">
        <v>9637</v>
      </c>
      <c r="U1062" s="143"/>
      <c r="V1062" s="143"/>
      <c r="W1062" s="143"/>
      <c r="X1062" s="140" t="s">
        <v>2748</v>
      </c>
      <c r="Y1062" s="140" t="s">
        <v>9638</v>
      </c>
      <c r="Z1062" s="140" t="str">
        <f ca="1">IFERROR(__xludf.DUMMYFUNCTION("IF(VLOOKUP($Y1062, IMPORTRANGE(""https://docs.google.com/spreadsheets/d/1WsTKRjz8_fF2119Ff9dhKIIYXSaUEHzuWr8pBkxmwQQ/edit"", ""Form Responses 1!$B:$Z""),1, FALSE)=$Y1062,""Yes"",""No"")"),"#N/A")</f>
        <v>#N/A</v>
      </c>
      <c r="AA1062" s="140"/>
      <c r="AB1062" s="140"/>
    </row>
    <row r="1063" spans="1:28">
      <c r="A1063" s="144" t="s">
        <v>907</v>
      </c>
      <c r="B1063" s="144" t="s">
        <v>9639</v>
      </c>
      <c r="C1063" s="144" t="s">
        <v>9640</v>
      </c>
      <c r="D1063" s="144" t="s">
        <v>9641</v>
      </c>
      <c r="E1063" s="144" t="s">
        <v>9642</v>
      </c>
      <c r="F1063" s="144" t="s">
        <v>4</v>
      </c>
      <c r="G1063" s="144">
        <v>3.25</v>
      </c>
      <c r="H1063" s="144" t="s">
        <v>23</v>
      </c>
      <c r="I1063" s="144" t="s">
        <v>460</v>
      </c>
      <c r="J1063" s="144" t="s">
        <v>9643</v>
      </c>
      <c r="K1063" s="144">
        <v>3</v>
      </c>
      <c r="L1063" s="144" t="s">
        <v>1045</v>
      </c>
      <c r="M1063" s="144" t="s">
        <v>9644</v>
      </c>
      <c r="N1063" s="144">
        <v>3.5</v>
      </c>
      <c r="O1063" s="144"/>
      <c r="P1063" s="144"/>
      <c r="Q1063" s="144" t="s">
        <v>465</v>
      </c>
      <c r="R1063" s="144" t="s">
        <v>9645</v>
      </c>
      <c r="S1063" s="144" t="s">
        <v>9646</v>
      </c>
      <c r="T1063" s="144" t="s">
        <v>9647</v>
      </c>
      <c r="U1063" s="145"/>
      <c r="V1063" s="145"/>
      <c r="W1063" s="145"/>
      <c r="X1063" s="144" t="s">
        <v>9648</v>
      </c>
      <c r="Y1063" s="144" t="s">
        <v>9649</v>
      </c>
      <c r="Z1063" s="144" t="str">
        <f ca="1">IFERROR(__xludf.DUMMYFUNCTION("IF(VLOOKUP($Y1063, IMPORTRANGE(""https://docs.google.com/spreadsheets/d/1WsTKRjz8_fF2119Ff9dhKIIYXSaUEHzuWr8pBkxmwQQ/edit"", ""Form Responses 1!$B:$Z""),1, FALSE)=$Y1063,""Yes"",""No"")"),"#N/A")</f>
        <v>#N/A</v>
      </c>
      <c r="AA1063" s="144"/>
      <c r="AB1063" s="144"/>
    </row>
    <row r="1064" spans="1:28">
      <c r="A1064" s="140" t="s">
        <v>471</v>
      </c>
      <c r="B1064" s="140" t="s">
        <v>308</v>
      </c>
      <c r="C1064" s="140" t="s">
        <v>9650</v>
      </c>
      <c r="D1064" s="140" t="s">
        <v>9651</v>
      </c>
      <c r="E1064" s="140" t="s">
        <v>9652</v>
      </c>
      <c r="F1064" s="140" t="s">
        <v>3</v>
      </c>
      <c r="G1064" s="140">
        <v>3</v>
      </c>
      <c r="H1064" s="140" t="s">
        <v>23</v>
      </c>
      <c r="I1064" s="140" t="s">
        <v>460</v>
      </c>
      <c r="J1064" s="140" t="s">
        <v>9653</v>
      </c>
      <c r="K1064" s="140">
        <v>3</v>
      </c>
      <c r="L1064" s="140" t="s">
        <v>462</v>
      </c>
      <c r="M1064" s="140" t="s">
        <v>9654</v>
      </c>
      <c r="N1064" s="140">
        <v>3</v>
      </c>
      <c r="O1064" s="140"/>
      <c r="P1064" s="142">
        <v>1000000</v>
      </c>
      <c r="Q1064" s="140" t="s">
        <v>452</v>
      </c>
      <c r="R1064" s="140" t="s">
        <v>452</v>
      </c>
      <c r="S1064" s="140" t="s">
        <v>9655</v>
      </c>
      <c r="T1064" s="140" t="s">
        <v>9656</v>
      </c>
      <c r="U1064" s="143" t="s">
        <v>481</v>
      </c>
      <c r="V1064" s="143"/>
      <c r="W1064" s="143" t="s">
        <v>9655</v>
      </c>
      <c r="X1064" s="140" t="s">
        <v>9657</v>
      </c>
      <c r="Y1064" s="140" t="s">
        <v>9658</v>
      </c>
      <c r="Z1064" s="140" t="str">
        <f ca="1">IFERROR(__xludf.DUMMYFUNCTION("IF(VLOOKUP($Y1064, IMPORTRANGE(""https://docs.google.com/spreadsheets/d/1WsTKRjz8_fF2119Ff9dhKIIYXSaUEHzuWr8pBkxmwQQ/edit"", ""Form Responses 1!$B:$Z""),1, FALSE)=$Y1064,""Yes"",""No"")"),"#N/A")</f>
        <v>#N/A</v>
      </c>
      <c r="AA1064" s="140"/>
      <c r="AB1064" s="140"/>
    </row>
    <row r="1065" spans="1:28">
      <c r="A1065" s="144" t="s">
        <v>598</v>
      </c>
      <c r="B1065" s="144" t="s">
        <v>312</v>
      </c>
      <c r="C1065" s="144" t="s">
        <v>9659</v>
      </c>
      <c r="D1065" s="144" t="s">
        <v>9660</v>
      </c>
      <c r="E1065" s="144" t="s">
        <v>9661</v>
      </c>
      <c r="F1065" s="144" t="s">
        <v>3</v>
      </c>
      <c r="G1065" s="144">
        <v>3.75</v>
      </c>
      <c r="H1065" s="144" t="s">
        <v>23</v>
      </c>
      <c r="I1065" s="144" t="s">
        <v>460</v>
      </c>
      <c r="J1065" s="144" t="s">
        <v>9662</v>
      </c>
      <c r="K1065" s="144">
        <v>3.5</v>
      </c>
      <c r="L1065" s="144" t="s">
        <v>462</v>
      </c>
      <c r="M1065" s="144" t="s">
        <v>9663</v>
      </c>
      <c r="N1065" s="144">
        <v>4</v>
      </c>
      <c r="O1065" s="144" t="s">
        <v>451</v>
      </c>
      <c r="P1065" s="146">
        <v>3000000</v>
      </c>
      <c r="Q1065" s="144" t="s">
        <v>452</v>
      </c>
      <c r="R1065" s="144" t="s">
        <v>575</v>
      </c>
      <c r="S1065" s="144" t="s">
        <v>460</v>
      </c>
      <c r="T1065" s="144" t="s">
        <v>9664</v>
      </c>
      <c r="U1065" s="145" t="s">
        <v>454</v>
      </c>
      <c r="V1065" s="145"/>
      <c r="W1065" s="145" t="s">
        <v>460</v>
      </c>
      <c r="X1065" s="144" t="s">
        <v>3856</v>
      </c>
      <c r="Y1065" s="144" t="s">
        <v>9665</v>
      </c>
      <c r="Z1065" s="144" t="str">
        <f ca="1">IFERROR(__xludf.DUMMYFUNCTION("IF(VLOOKUP($Y1065, IMPORTRANGE(""https://docs.google.com/spreadsheets/d/1WsTKRjz8_fF2119Ff9dhKIIYXSaUEHzuWr8pBkxmwQQ/edit"", ""Form Responses 1!$B:$Z""),1, FALSE)=$Y1065,""Yes"",""No"")"),"#N/A")</f>
        <v>#N/A</v>
      </c>
      <c r="AA1065" s="144"/>
      <c r="AB1065" s="144"/>
    </row>
    <row r="1066" spans="1:28">
      <c r="A1066" s="140" t="s">
        <v>529</v>
      </c>
      <c r="B1066" s="140" t="s">
        <v>9666</v>
      </c>
      <c r="C1066" s="140" t="s">
        <v>9667</v>
      </c>
      <c r="D1066" s="140" t="s">
        <v>9668</v>
      </c>
      <c r="E1066" s="140" t="s">
        <v>9669</v>
      </c>
      <c r="F1066" s="140" t="s">
        <v>3</v>
      </c>
      <c r="G1066" s="140">
        <v>3.25</v>
      </c>
      <c r="H1066" s="140" t="s">
        <v>23</v>
      </c>
      <c r="I1066" s="140" t="s">
        <v>460</v>
      </c>
      <c r="J1066" s="140" t="s">
        <v>9670</v>
      </c>
      <c r="K1066" s="140">
        <v>3.5</v>
      </c>
      <c r="L1066" s="140" t="s">
        <v>462</v>
      </c>
      <c r="M1066" s="140" t="s">
        <v>9671</v>
      </c>
      <c r="N1066" s="140">
        <v>3</v>
      </c>
      <c r="O1066" s="140"/>
      <c r="P1066" s="140"/>
      <c r="Q1066" s="140" t="s">
        <v>452</v>
      </c>
      <c r="R1066" s="140" t="s">
        <v>9672</v>
      </c>
      <c r="S1066" s="140" t="s">
        <v>9673</v>
      </c>
      <c r="T1066" s="140"/>
      <c r="U1066" s="143"/>
      <c r="V1066" s="143"/>
      <c r="W1066" s="143"/>
      <c r="X1066" s="140" t="s">
        <v>9674</v>
      </c>
      <c r="Y1066" s="140" t="s">
        <v>9675</v>
      </c>
      <c r="Z1066" s="140" t="str">
        <f ca="1">IFERROR(__xludf.DUMMYFUNCTION("IF(VLOOKUP($Y1066, IMPORTRANGE(""https://docs.google.com/spreadsheets/d/1WsTKRjz8_fF2119Ff9dhKIIYXSaUEHzuWr8pBkxmwQQ/edit"", ""Form Responses 1!$B:$Z""),1, FALSE)=$Y1066,""Yes"",""No"")"),"#N/A")</f>
        <v>#N/A</v>
      </c>
      <c r="AA1066" s="140"/>
      <c r="AB1066" s="140"/>
    </row>
    <row r="1067" spans="1:28">
      <c r="A1067" s="144" t="s">
        <v>529</v>
      </c>
      <c r="B1067" s="144" t="s">
        <v>9676</v>
      </c>
      <c r="C1067" s="144" t="s">
        <v>9677</v>
      </c>
      <c r="D1067" s="144" t="s">
        <v>9678</v>
      </c>
      <c r="E1067" s="144" t="s">
        <v>9679</v>
      </c>
      <c r="F1067" s="144" t="s">
        <v>3</v>
      </c>
      <c r="G1067" s="144">
        <v>4</v>
      </c>
      <c r="H1067" s="144" t="s">
        <v>23</v>
      </c>
      <c r="I1067" s="144" t="s">
        <v>725</v>
      </c>
      <c r="J1067" s="144" t="s">
        <v>9680</v>
      </c>
      <c r="K1067" s="144">
        <v>4</v>
      </c>
      <c r="L1067" s="144" t="s">
        <v>941</v>
      </c>
      <c r="M1067" s="144" t="s">
        <v>9681</v>
      </c>
      <c r="N1067" s="144">
        <v>4</v>
      </c>
      <c r="O1067" s="144" t="s">
        <v>451</v>
      </c>
      <c r="P1067" s="160">
        <v>6000000</v>
      </c>
      <c r="Q1067" s="144" t="s">
        <v>452</v>
      </c>
      <c r="R1067" s="144" t="s">
        <v>9682</v>
      </c>
      <c r="S1067" s="144"/>
      <c r="T1067" s="144"/>
      <c r="U1067" s="145"/>
      <c r="V1067" s="145"/>
      <c r="W1067" s="145"/>
      <c r="X1067" s="144" t="s">
        <v>9683</v>
      </c>
      <c r="Y1067" s="144" t="s">
        <v>9684</v>
      </c>
      <c r="Z1067" s="144" t="str">
        <f ca="1">IFERROR(__xludf.DUMMYFUNCTION("IF(VLOOKUP($Y1067, IMPORTRANGE(""https://docs.google.com/spreadsheets/d/1WsTKRjz8_fF2119Ff9dhKIIYXSaUEHzuWr8pBkxmwQQ/edit"", ""Form Responses 1!$B:$Z""),1, FALSE)=$Y1067,""Yes"",""No"")"),"#N/A")</f>
        <v>#N/A</v>
      </c>
      <c r="AA1067" s="144"/>
      <c r="AB1067" s="144"/>
    </row>
    <row r="1068" spans="1:28">
      <c r="A1068" s="140" t="s">
        <v>907</v>
      </c>
      <c r="B1068" s="140" t="s">
        <v>330</v>
      </c>
      <c r="C1068" s="140" t="s">
        <v>9685</v>
      </c>
      <c r="D1068" s="140" t="s">
        <v>9686</v>
      </c>
      <c r="E1068" s="140" t="s">
        <v>9687</v>
      </c>
      <c r="F1068" s="140" t="s">
        <v>3</v>
      </c>
      <c r="G1068" s="140">
        <v>4</v>
      </c>
      <c r="H1068" s="140" t="s">
        <v>23</v>
      </c>
      <c r="I1068" s="140" t="s">
        <v>488</v>
      </c>
      <c r="J1068" s="140" t="s">
        <v>9688</v>
      </c>
      <c r="K1068" s="140">
        <v>4</v>
      </c>
      <c r="L1068" s="140" t="s">
        <v>941</v>
      </c>
      <c r="M1068" s="140" t="s">
        <v>9689</v>
      </c>
      <c r="N1068" s="140">
        <v>4</v>
      </c>
      <c r="O1068" s="140" t="s">
        <v>451</v>
      </c>
      <c r="P1068" s="142">
        <v>2000000</v>
      </c>
      <c r="Q1068" s="140" t="s">
        <v>452</v>
      </c>
      <c r="R1068" s="140" t="s">
        <v>9690</v>
      </c>
      <c r="S1068" s="140"/>
      <c r="T1068" s="140"/>
      <c r="U1068" s="143" t="s">
        <v>481</v>
      </c>
      <c r="V1068" s="143"/>
      <c r="W1068" s="143"/>
      <c r="X1068" s="140" t="s">
        <v>9691</v>
      </c>
      <c r="Y1068" s="140" t="s">
        <v>9692</v>
      </c>
      <c r="Z1068" s="140" t="str">
        <f ca="1">IFERROR(__xludf.DUMMYFUNCTION("IF(VLOOKUP($Y1068, IMPORTRANGE(""https://docs.google.com/spreadsheets/d/1WsTKRjz8_fF2119Ff9dhKIIYXSaUEHzuWr8pBkxmwQQ/edit"", ""Form Responses 1!$B:$Z""),1, FALSE)=$Y1068,""Yes"",""No"")"),"#N/A")</f>
        <v>#N/A</v>
      </c>
      <c r="AA1068" s="140"/>
      <c r="AB1068" s="140"/>
    </row>
    <row r="1069" spans="1:28">
      <c r="A1069" s="144" t="s">
        <v>598</v>
      </c>
      <c r="B1069" s="144" t="s">
        <v>332</v>
      </c>
      <c r="C1069" s="144" t="s">
        <v>9693</v>
      </c>
      <c r="D1069" s="144" t="s">
        <v>9694</v>
      </c>
      <c r="E1069" s="144" t="s">
        <v>9695</v>
      </c>
      <c r="F1069" s="144" t="s">
        <v>3</v>
      </c>
      <c r="G1069" s="144">
        <v>4</v>
      </c>
      <c r="H1069" s="144" t="s">
        <v>23</v>
      </c>
      <c r="I1069" s="144" t="s">
        <v>725</v>
      </c>
      <c r="J1069" s="144" t="s">
        <v>9696</v>
      </c>
      <c r="K1069" s="144">
        <v>4</v>
      </c>
      <c r="L1069" s="144" t="s">
        <v>488</v>
      </c>
      <c r="M1069" s="144"/>
      <c r="N1069" s="144">
        <v>4</v>
      </c>
      <c r="O1069" s="144"/>
      <c r="P1069" s="144"/>
      <c r="Q1069" s="144" t="s">
        <v>452</v>
      </c>
      <c r="R1069" s="144" t="s">
        <v>9697</v>
      </c>
      <c r="S1069" s="144" t="s">
        <v>9698</v>
      </c>
      <c r="T1069" s="144"/>
      <c r="U1069" s="145" t="s">
        <v>481</v>
      </c>
      <c r="V1069" s="145"/>
      <c r="W1069" s="145" t="s">
        <v>9698</v>
      </c>
      <c r="X1069" s="144" t="s">
        <v>9699</v>
      </c>
      <c r="Y1069" s="144" t="s">
        <v>9700</v>
      </c>
      <c r="Z1069" s="144" t="str">
        <f ca="1">IFERROR(__xludf.DUMMYFUNCTION("IF(VLOOKUP($Y1069, IMPORTRANGE(""https://docs.google.com/spreadsheets/d/1WsTKRjz8_fF2119Ff9dhKIIYXSaUEHzuWr8pBkxmwQQ/edit"", ""Form Responses 1!$B:$Z""),1, FALSE)=$Y1069,""Yes"",""No"")"),"#N/A")</f>
        <v>#N/A</v>
      </c>
      <c r="AA1069" s="144"/>
      <c r="AB1069" s="144"/>
    </row>
    <row r="1070" spans="1:28">
      <c r="A1070" s="140" t="s">
        <v>529</v>
      </c>
      <c r="B1070" s="140" t="s">
        <v>9701</v>
      </c>
      <c r="C1070" s="140" t="s">
        <v>9702</v>
      </c>
      <c r="D1070" s="140" t="s">
        <v>9703</v>
      </c>
      <c r="E1070" s="140" t="s">
        <v>9704</v>
      </c>
      <c r="F1070" s="140" t="s">
        <v>3</v>
      </c>
      <c r="G1070" s="140">
        <v>4</v>
      </c>
      <c r="H1070" s="140" t="s">
        <v>23</v>
      </c>
      <c r="I1070" s="140" t="s">
        <v>725</v>
      </c>
      <c r="J1070" s="140" t="s">
        <v>9705</v>
      </c>
      <c r="K1070" s="140">
        <v>4.5</v>
      </c>
      <c r="L1070" s="140" t="s">
        <v>462</v>
      </c>
      <c r="M1070" s="140" t="s">
        <v>9706</v>
      </c>
      <c r="N1070" s="140">
        <v>3.5</v>
      </c>
      <c r="O1070" s="140" t="s">
        <v>451</v>
      </c>
      <c r="P1070" s="142">
        <v>3000000</v>
      </c>
      <c r="Q1070" s="140" t="s">
        <v>454</v>
      </c>
      <c r="R1070" s="140" t="s">
        <v>9707</v>
      </c>
      <c r="S1070" s="140" t="s">
        <v>9708</v>
      </c>
      <c r="T1070" s="140" t="s">
        <v>9709</v>
      </c>
      <c r="U1070" s="143"/>
      <c r="V1070" s="143"/>
      <c r="W1070" s="143"/>
      <c r="X1070" s="140" t="s">
        <v>9710</v>
      </c>
      <c r="Y1070" s="140" t="s">
        <v>9711</v>
      </c>
      <c r="Z1070" s="140" t="str">
        <f ca="1">IFERROR(__xludf.DUMMYFUNCTION("IF(VLOOKUP($Y1070, IMPORTRANGE(""https://docs.google.com/spreadsheets/d/1WsTKRjz8_fF2119Ff9dhKIIYXSaUEHzuWr8pBkxmwQQ/edit"", ""Form Responses 1!$B:$Z""),1, FALSE)=$Y1070,""Yes"",""No"")"),"#N/A")</f>
        <v>#N/A</v>
      </c>
      <c r="AA1070" s="140"/>
      <c r="AB1070" s="140"/>
    </row>
    <row r="1071" spans="1:28">
      <c r="A1071" s="144" t="s">
        <v>503</v>
      </c>
      <c r="B1071" s="144" t="s">
        <v>341</v>
      </c>
      <c r="C1071" s="144" t="s">
        <v>9712</v>
      </c>
      <c r="D1071" s="144" t="s">
        <v>9713</v>
      </c>
      <c r="E1071" s="144" t="s">
        <v>9714</v>
      </c>
      <c r="F1071" s="144" t="s">
        <v>3</v>
      </c>
      <c r="G1071" s="144">
        <v>4</v>
      </c>
      <c r="H1071" s="144" t="s">
        <v>23</v>
      </c>
      <c r="I1071" s="144" t="s">
        <v>460</v>
      </c>
      <c r="J1071" s="144" t="s">
        <v>9715</v>
      </c>
      <c r="K1071" s="144">
        <v>4</v>
      </c>
      <c r="L1071" s="144" t="s">
        <v>488</v>
      </c>
      <c r="M1071" s="144" t="s">
        <v>9716</v>
      </c>
      <c r="N1071" s="144">
        <v>4</v>
      </c>
      <c r="O1071" s="144" t="s">
        <v>451</v>
      </c>
      <c r="P1071" s="147">
        <v>5000000</v>
      </c>
      <c r="Q1071" s="144" t="s">
        <v>452</v>
      </c>
      <c r="R1071" s="144" t="s">
        <v>9717</v>
      </c>
      <c r="S1071" s="144" t="s">
        <v>9718</v>
      </c>
      <c r="T1071" s="144"/>
      <c r="U1071" s="145" t="s">
        <v>454</v>
      </c>
      <c r="V1071" s="145"/>
      <c r="W1071" s="145" t="s">
        <v>9718</v>
      </c>
      <c r="X1071" s="144" t="s">
        <v>9719</v>
      </c>
      <c r="Y1071" s="144" t="s">
        <v>9720</v>
      </c>
      <c r="Z1071" s="144" t="str">
        <f ca="1">IFERROR(__xludf.DUMMYFUNCTION("IF(VLOOKUP($Y1071, IMPORTRANGE(""https://docs.google.com/spreadsheets/d/1WsTKRjz8_fF2119Ff9dhKIIYXSaUEHzuWr8pBkxmwQQ/edit"", ""Form Responses 1!$B:$Z""),1, FALSE)=$Y1071,""Yes"",""No"")"),"#N/A")</f>
        <v>#N/A</v>
      </c>
      <c r="AA1071" s="144"/>
      <c r="AB1071" s="144"/>
    </row>
    <row r="1072" spans="1:28">
      <c r="A1072" s="140" t="s">
        <v>443</v>
      </c>
      <c r="B1072" s="140" t="s">
        <v>350</v>
      </c>
      <c r="C1072" s="140" t="s">
        <v>9721</v>
      </c>
      <c r="D1072" s="140" t="s">
        <v>9722</v>
      </c>
      <c r="E1072" s="140" t="s">
        <v>9723</v>
      </c>
      <c r="F1072" s="140" t="s">
        <v>3</v>
      </c>
      <c r="G1072" s="140">
        <v>4</v>
      </c>
      <c r="H1072" s="140" t="s">
        <v>23</v>
      </c>
      <c r="I1072" s="140" t="s">
        <v>460</v>
      </c>
      <c r="J1072" s="140" t="s">
        <v>9724</v>
      </c>
      <c r="K1072" s="140">
        <v>4</v>
      </c>
      <c r="L1072" s="140" t="s">
        <v>462</v>
      </c>
      <c r="M1072" s="140" t="s">
        <v>9725</v>
      </c>
      <c r="N1072" s="140">
        <v>4</v>
      </c>
      <c r="O1072" s="140" t="s">
        <v>478</v>
      </c>
      <c r="P1072" s="142">
        <v>10000000</v>
      </c>
      <c r="Q1072" s="140" t="s">
        <v>452</v>
      </c>
      <c r="R1072" s="140" t="s">
        <v>9726</v>
      </c>
      <c r="S1072" s="140"/>
      <c r="T1072" s="140"/>
      <c r="U1072" s="143" t="s">
        <v>454</v>
      </c>
      <c r="V1072" s="143"/>
      <c r="W1072" s="143"/>
      <c r="X1072" s="140" t="s">
        <v>9727</v>
      </c>
      <c r="Y1072" s="140" t="s">
        <v>9728</v>
      </c>
      <c r="Z1072" s="140" t="str">
        <f ca="1">IFERROR(__xludf.DUMMYFUNCTION("IF(VLOOKUP($Y1072, IMPORTRANGE(""https://docs.google.com/spreadsheets/d/1WsTKRjz8_fF2119Ff9dhKIIYXSaUEHzuWr8pBkxmwQQ/edit"", ""Form Responses 1!$B:$Z""),1, FALSE)=$Y1072,""Yes"",""No"")"),"#N/A")</f>
        <v>#N/A</v>
      </c>
      <c r="AA1072" s="140"/>
      <c r="AB1072" s="140"/>
    </row>
    <row r="1073" spans="1:28">
      <c r="A1073" s="144" t="s">
        <v>529</v>
      </c>
      <c r="B1073" s="144" t="s">
        <v>351</v>
      </c>
      <c r="C1073" s="144" t="s">
        <v>9729</v>
      </c>
      <c r="D1073" s="144" t="s">
        <v>9730</v>
      </c>
      <c r="E1073" s="144" t="s">
        <v>9731</v>
      </c>
      <c r="F1073" s="144" t="s">
        <v>3</v>
      </c>
      <c r="G1073" s="144">
        <v>4</v>
      </c>
      <c r="H1073" s="144" t="s">
        <v>23</v>
      </c>
      <c r="I1073" s="144" t="s">
        <v>460</v>
      </c>
      <c r="J1073" s="144" t="s">
        <v>9732</v>
      </c>
      <c r="K1073" s="144">
        <v>4</v>
      </c>
      <c r="L1073" s="144" t="s">
        <v>462</v>
      </c>
      <c r="M1073" s="144" t="s">
        <v>9733</v>
      </c>
      <c r="N1073" s="144">
        <v>4</v>
      </c>
      <c r="O1073" s="144"/>
      <c r="P1073" s="144"/>
      <c r="Q1073" s="144" t="s">
        <v>465</v>
      </c>
      <c r="R1073" s="144" t="s">
        <v>9734</v>
      </c>
      <c r="S1073" s="144"/>
      <c r="T1073" s="144"/>
      <c r="U1073" s="145" t="s">
        <v>454</v>
      </c>
      <c r="V1073" s="145"/>
      <c r="W1073" s="145"/>
      <c r="X1073" s="144" t="s">
        <v>9735</v>
      </c>
      <c r="Y1073" s="144" t="s">
        <v>9736</v>
      </c>
      <c r="Z1073" s="144" t="str">
        <f ca="1">IFERROR(__xludf.DUMMYFUNCTION("IF(VLOOKUP($Y1073, IMPORTRANGE(""https://docs.google.com/spreadsheets/d/1WsTKRjz8_fF2119Ff9dhKIIYXSaUEHzuWr8pBkxmwQQ/edit"", ""Form Responses 1!$B:$Z""),1, FALSE)=$Y1073,""Yes"",""No"")"),"#N/A")</f>
        <v>#N/A</v>
      </c>
      <c r="AA1073" s="144"/>
      <c r="AB1073" s="144"/>
    </row>
    <row r="1074" spans="1:28">
      <c r="A1074" s="140" t="s">
        <v>484</v>
      </c>
      <c r="B1074" s="140" t="s">
        <v>353</v>
      </c>
      <c r="C1074" s="140" t="s">
        <v>9737</v>
      </c>
      <c r="D1074" s="140" t="s">
        <v>9738</v>
      </c>
      <c r="E1074" s="140" t="s">
        <v>9739</v>
      </c>
      <c r="F1074" s="140" t="s">
        <v>3</v>
      </c>
      <c r="G1074" s="140">
        <v>4</v>
      </c>
      <c r="H1074" s="140" t="s">
        <v>23</v>
      </c>
      <c r="I1074" s="140" t="s">
        <v>460</v>
      </c>
      <c r="J1074" s="140" t="s">
        <v>9740</v>
      </c>
      <c r="K1074" s="140">
        <v>4</v>
      </c>
      <c r="L1074" s="140" t="s">
        <v>462</v>
      </c>
      <c r="M1074" s="140" t="s">
        <v>9741</v>
      </c>
      <c r="N1074" s="140">
        <v>4</v>
      </c>
      <c r="O1074" s="140" t="s">
        <v>478</v>
      </c>
      <c r="P1074" s="148">
        <v>10000000</v>
      </c>
      <c r="Q1074" s="140" t="s">
        <v>465</v>
      </c>
      <c r="R1074" s="140" t="s">
        <v>452</v>
      </c>
      <c r="S1074" s="140"/>
      <c r="T1074" s="140" t="s">
        <v>9742</v>
      </c>
      <c r="U1074" s="143" t="s">
        <v>481</v>
      </c>
      <c r="V1074" s="143"/>
      <c r="W1074" s="143"/>
      <c r="X1074" s="140" t="s">
        <v>9743</v>
      </c>
      <c r="Y1074" s="140" t="s">
        <v>9744</v>
      </c>
      <c r="Z1074" s="140" t="str">
        <f ca="1">IFERROR(__xludf.DUMMYFUNCTION("IF(VLOOKUP($Y1074, IMPORTRANGE(""https://docs.google.com/spreadsheets/d/1WsTKRjz8_fF2119Ff9dhKIIYXSaUEHzuWr8pBkxmwQQ/edit"", ""Form Responses 1!$B:$Z""),1, FALSE)=$Y1074,""Yes"",""No"")"),"#N/A")</f>
        <v>#N/A</v>
      </c>
      <c r="AA1074" s="140"/>
      <c r="AB1074" s="140"/>
    </row>
    <row r="1075" spans="1:28">
      <c r="A1075" s="144" t="s">
        <v>598</v>
      </c>
      <c r="B1075" s="144" t="s">
        <v>9745</v>
      </c>
      <c r="C1075" s="144" t="s">
        <v>9746</v>
      </c>
      <c r="D1075" s="144" t="s">
        <v>9747</v>
      </c>
      <c r="E1075" s="144" t="s">
        <v>9748</v>
      </c>
      <c r="F1075" s="144" t="s">
        <v>3</v>
      </c>
      <c r="G1075" s="144">
        <v>2</v>
      </c>
      <c r="H1075" s="144" t="s">
        <v>23</v>
      </c>
      <c r="I1075" s="144" t="s">
        <v>460</v>
      </c>
      <c r="J1075" s="144" t="s">
        <v>9749</v>
      </c>
      <c r="K1075" s="144">
        <v>2</v>
      </c>
      <c r="L1075" s="144" t="s">
        <v>941</v>
      </c>
      <c r="M1075" s="144" t="s">
        <v>9750</v>
      </c>
      <c r="N1075" s="144">
        <v>2</v>
      </c>
      <c r="O1075" s="144"/>
      <c r="P1075" s="144"/>
      <c r="Q1075" s="144" t="s">
        <v>452</v>
      </c>
      <c r="R1075" s="144" t="s">
        <v>9751</v>
      </c>
      <c r="S1075" s="144" t="s">
        <v>9752</v>
      </c>
      <c r="T1075" s="144" t="s">
        <v>9753</v>
      </c>
      <c r="U1075" s="145"/>
      <c r="V1075" s="145"/>
      <c r="W1075" s="145"/>
      <c r="X1075" s="144" t="s">
        <v>9754</v>
      </c>
      <c r="Y1075" s="144" t="s">
        <v>9755</v>
      </c>
      <c r="Z1075" s="144" t="str">
        <f ca="1">IFERROR(__xludf.DUMMYFUNCTION("IF(VLOOKUP($Y1075, IMPORTRANGE(""https://docs.google.com/spreadsheets/d/1WsTKRjz8_fF2119Ff9dhKIIYXSaUEHzuWr8pBkxmwQQ/edit"", ""Form Responses 1!$B:$Z""),1, FALSE)=$Y1075,""Yes"",""No"")"),"#N/A")</f>
        <v>#N/A</v>
      </c>
      <c r="AA1075" s="144"/>
      <c r="AB1075" s="144"/>
    </row>
    <row r="1076" spans="1:28">
      <c r="A1076" s="140" t="s">
        <v>598</v>
      </c>
      <c r="B1076" s="140" t="s">
        <v>354</v>
      </c>
      <c r="C1076" s="140" t="s">
        <v>9756</v>
      </c>
      <c r="D1076" s="140" t="s">
        <v>9757</v>
      </c>
      <c r="E1076" s="140" t="s">
        <v>9758</v>
      </c>
      <c r="F1076" s="140" t="s">
        <v>3</v>
      </c>
      <c r="G1076" s="140">
        <v>4.25</v>
      </c>
      <c r="H1076" s="140" t="s">
        <v>23</v>
      </c>
      <c r="I1076" s="140" t="s">
        <v>725</v>
      </c>
      <c r="J1076" s="140" t="s">
        <v>9759</v>
      </c>
      <c r="K1076" s="140">
        <v>4</v>
      </c>
      <c r="L1076" s="140" t="s">
        <v>941</v>
      </c>
      <c r="M1076" s="140"/>
      <c r="N1076" s="140">
        <v>4.5</v>
      </c>
      <c r="O1076" s="140"/>
      <c r="P1076" s="140"/>
      <c r="Q1076" s="140" t="s">
        <v>452</v>
      </c>
      <c r="R1076" s="140" t="s">
        <v>452</v>
      </c>
      <c r="S1076" s="140"/>
      <c r="T1076" s="140"/>
      <c r="U1076" s="143" t="s">
        <v>454</v>
      </c>
      <c r="V1076" s="143"/>
      <c r="W1076" s="143"/>
      <c r="X1076" s="140" t="s">
        <v>9760</v>
      </c>
      <c r="Y1076" s="140" t="s">
        <v>9761</v>
      </c>
      <c r="Z1076" s="140" t="str">
        <f ca="1">IFERROR(__xludf.DUMMYFUNCTION("IF(VLOOKUP($Y1076, IMPORTRANGE(""https://docs.google.com/spreadsheets/d/1WsTKRjz8_fF2119Ff9dhKIIYXSaUEHzuWr8pBkxmwQQ/edit"", ""Form Responses 1!$B:$Z""),1, FALSE)=$Y1076,""Yes"",""No"")"),"#N/A")</f>
        <v>#N/A</v>
      </c>
      <c r="AA1076" s="140"/>
      <c r="AB1076" s="140"/>
    </row>
    <row r="1077" spans="1:28">
      <c r="A1077" s="144" t="s">
        <v>503</v>
      </c>
      <c r="B1077" s="144" t="s">
        <v>355</v>
      </c>
      <c r="C1077" s="144" t="s">
        <v>9762</v>
      </c>
      <c r="D1077" s="144" t="s">
        <v>9763</v>
      </c>
      <c r="E1077" s="144" t="s">
        <v>9764</v>
      </c>
      <c r="F1077" s="144" t="s">
        <v>3</v>
      </c>
      <c r="G1077" s="144">
        <v>4</v>
      </c>
      <c r="H1077" s="144" t="s">
        <v>23</v>
      </c>
      <c r="I1077" s="144" t="s">
        <v>460</v>
      </c>
      <c r="J1077" s="144" t="s">
        <v>9765</v>
      </c>
      <c r="K1077" s="144">
        <v>4</v>
      </c>
      <c r="L1077" s="144" t="s">
        <v>462</v>
      </c>
      <c r="M1077" s="144" t="s">
        <v>9766</v>
      </c>
      <c r="N1077" s="144">
        <v>4</v>
      </c>
      <c r="O1077" s="144" t="s">
        <v>784</v>
      </c>
      <c r="P1077" s="144">
        <v>3000000</v>
      </c>
      <c r="Q1077" s="144" t="s">
        <v>452</v>
      </c>
      <c r="R1077" s="144" t="s">
        <v>555</v>
      </c>
      <c r="S1077" s="144" t="s">
        <v>1281</v>
      </c>
      <c r="T1077" s="144" t="s">
        <v>9767</v>
      </c>
      <c r="U1077" s="145" t="s">
        <v>481</v>
      </c>
      <c r="V1077" s="145"/>
      <c r="W1077" s="145" t="s">
        <v>1281</v>
      </c>
      <c r="X1077" s="144" t="s">
        <v>2740</v>
      </c>
      <c r="Y1077" s="144" t="s">
        <v>9768</v>
      </c>
      <c r="Z1077" s="144" t="str">
        <f ca="1">IFERROR(__xludf.DUMMYFUNCTION("IF(VLOOKUP($Y1077, IMPORTRANGE(""https://docs.google.com/spreadsheets/d/1WsTKRjz8_fF2119Ff9dhKIIYXSaUEHzuWr8pBkxmwQQ/edit"", ""Form Responses 1!$B:$Z""),1, FALSE)=$Y1077,""Yes"",""No"")"),"#N/A")</f>
        <v>#N/A</v>
      </c>
      <c r="AA1077" s="144"/>
      <c r="AB1077" s="144"/>
    </row>
    <row r="1078" spans="1:28">
      <c r="A1078" s="140" t="s">
        <v>598</v>
      </c>
      <c r="B1078" s="140" t="s">
        <v>9769</v>
      </c>
      <c r="C1078" s="140" t="s">
        <v>9770</v>
      </c>
      <c r="D1078" s="140" t="s">
        <v>9771</v>
      </c>
      <c r="E1078" s="140" t="s">
        <v>9772</v>
      </c>
      <c r="F1078" s="140" t="s">
        <v>3</v>
      </c>
      <c r="G1078" s="140">
        <v>3.75</v>
      </c>
      <c r="H1078" s="140" t="s">
        <v>23</v>
      </c>
      <c r="I1078" s="140" t="s">
        <v>460</v>
      </c>
      <c r="J1078" s="140"/>
      <c r="K1078" s="140">
        <v>3.5</v>
      </c>
      <c r="L1078" s="140" t="s">
        <v>941</v>
      </c>
      <c r="M1078" s="140" t="s">
        <v>9773</v>
      </c>
      <c r="N1078" s="140">
        <v>4</v>
      </c>
      <c r="O1078" s="140" t="s">
        <v>784</v>
      </c>
      <c r="P1078" s="142">
        <v>300000</v>
      </c>
      <c r="Q1078" s="140" t="s">
        <v>452</v>
      </c>
      <c r="R1078" s="140" t="s">
        <v>452</v>
      </c>
      <c r="S1078" s="140"/>
      <c r="T1078" s="140" t="s">
        <v>9774</v>
      </c>
      <c r="U1078" s="143"/>
      <c r="V1078" s="143"/>
      <c r="W1078" s="143"/>
      <c r="X1078" s="140" t="s">
        <v>1636</v>
      </c>
      <c r="Y1078" s="140" t="s">
        <v>9775</v>
      </c>
      <c r="Z1078" s="140" t="str">
        <f ca="1">IFERROR(__xludf.DUMMYFUNCTION("IF(VLOOKUP($Y1078, IMPORTRANGE(""https://docs.google.com/spreadsheets/d/1WsTKRjz8_fF2119Ff9dhKIIYXSaUEHzuWr8pBkxmwQQ/edit"", ""Form Responses 1!$B:$Z""),1, FALSE)=$Y1078,""Yes"",""No"")"),"#N/A")</f>
        <v>#N/A</v>
      </c>
      <c r="AA1078" s="140"/>
      <c r="AB1078" s="140"/>
    </row>
    <row r="1079" spans="1:28">
      <c r="A1079" s="144" t="s">
        <v>471</v>
      </c>
      <c r="B1079" s="144" t="s">
        <v>9776</v>
      </c>
      <c r="C1079" s="144" t="s">
        <v>9777</v>
      </c>
      <c r="D1079" s="144" t="s">
        <v>9778</v>
      </c>
      <c r="E1079" s="144" t="s">
        <v>9779</v>
      </c>
      <c r="F1079" s="144" t="s">
        <v>3</v>
      </c>
      <c r="G1079" s="144">
        <v>3</v>
      </c>
      <c r="H1079" s="144" t="s">
        <v>23</v>
      </c>
      <c r="I1079" s="144" t="s">
        <v>460</v>
      </c>
      <c r="J1079" s="144" t="s">
        <v>9780</v>
      </c>
      <c r="K1079" s="144">
        <v>3</v>
      </c>
      <c r="L1079" s="144" t="s">
        <v>462</v>
      </c>
      <c r="M1079" s="144" t="s">
        <v>9781</v>
      </c>
      <c r="N1079" s="144">
        <v>3</v>
      </c>
      <c r="O1079" s="144" t="s">
        <v>451</v>
      </c>
      <c r="P1079" s="146">
        <v>10000000</v>
      </c>
      <c r="Q1079" s="144" t="s">
        <v>452</v>
      </c>
      <c r="R1079" s="144" t="s">
        <v>452</v>
      </c>
      <c r="S1079" s="144" t="s">
        <v>9782</v>
      </c>
      <c r="T1079" s="144" t="s">
        <v>9783</v>
      </c>
      <c r="U1079" s="145"/>
      <c r="V1079" s="145"/>
      <c r="W1079" s="145"/>
      <c r="X1079" s="144" t="s">
        <v>2135</v>
      </c>
      <c r="Y1079" s="144" t="s">
        <v>9784</v>
      </c>
      <c r="Z1079" s="144" t="str">
        <f ca="1">IFERROR(__xludf.DUMMYFUNCTION("IF(VLOOKUP($Y1079, IMPORTRANGE(""https://docs.google.com/spreadsheets/d/1WsTKRjz8_fF2119Ff9dhKIIYXSaUEHzuWr8pBkxmwQQ/edit"", ""Form Responses 1!$B:$Z""),1, FALSE)=$Y1079,""Yes"",""No"")"),"#N/A")</f>
        <v>#N/A</v>
      </c>
      <c r="AA1079" s="144"/>
      <c r="AB1079" s="144"/>
    </row>
    <row r="1080" spans="1:28">
      <c r="A1080" s="140" t="s">
        <v>907</v>
      </c>
      <c r="B1080" s="140" t="s">
        <v>357</v>
      </c>
      <c r="C1080" s="140" t="s">
        <v>9785</v>
      </c>
      <c r="D1080" s="140" t="s">
        <v>9786</v>
      </c>
      <c r="E1080" s="140"/>
      <c r="F1080" s="140" t="s">
        <v>3</v>
      </c>
      <c r="G1080" s="140">
        <v>3.25</v>
      </c>
      <c r="H1080" s="140" t="s">
        <v>23</v>
      </c>
      <c r="I1080" s="140" t="s">
        <v>488</v>
      </c>
      <c r="J1080" s="140" t="s">
        <v>9787</v>
      </c>
      <c r="K1080" s="140">
        <v>3.5</v>
      </c>
      <c r="L1080" s="140" t="s">
        <v>941</v>
      </c>
      <c r="M1080" s="140" t="s">
        <v>9788</v>
      </c>
      <c r="N1080" s="140">
        <v>3</v>
      </c>
      <c r="O1080" s="140" t="s">
        <v>8914</v>
      </c>
      <c r="P1080" s="140">
        <v>3500000</v>
      </c>
      <c r="Q1080" s="140" t="s">
        <v>452</v>
      </c>
      <c r="R1080" s="140" t="s">
        <v>452</v>
      </c>
      <c r="S1080" s="140"/>
      <c r="T1080" s="140" t="s">
        <v>9789</v>
      </c>
      <c r="U1080" s="143" t="s">
        <v>481</v>
      </c>
      <c r="V1080" s="143"/>
      <c r="W1080" s="143"/>
      <c r="X1080" s="140" t="s">
        <v>9790</v>
      </c>
      <c r="Y1080" s="140" t="s">
        <v>9791</v>
      </c>
      <c r="Z1080" s="140" t="str">
        <f ca="1">IFERROR(__xludf.DUMMYFUNCTION("IF(VLOOKUP($Y1080, IMPORTRANGE(""https://docs.google.com/spreadsheets/d/1WsTKRjz8_fF2119Ff9dhKIIYXSaUEHzuWr8pBkxmwQQ/edit"", ""Form Responses 1!$B:$Z""),1, FALSE)=$Y1080,""Yes"",""No"")"),"#N/A")</f>
        <v>#N/A</v>
      </c>
      <c r="AA1080" s="140"/>
      <c r="AB1080" s="140"/>
    </row>
    <row r="1081" spans="1:28">
      <c r="A1081" s="144" t="s">
        <v>443</v>
      </c>
      <c r="B1081" s="144" t="s">
        <v>364</v>
      </c>
      <c r="C1081" s="144" t="s">
        <v>9792</v>
      </c>
      <c r="D1081" s="144" t="s">
        <v>9793</v>
      </c>
      <c r="E1081" s="144" t="s">
        <v>9794</v>
      </c>
      <c r="F1081" s="144" t="s">
        <v>3</v>
      </c>
      <c r="G1081" s="144">
        <v>3.75</v>
      </c>
      <c r="H1081" s="144" t="s">
        <v>23</v>
      </c>
      <c r="I1081" s="144" t="s">
        <v>460</v>
      </c>
      <c r="J1081" s="144" t="s">
        <v>9795</v>
      </c>
      <c r="K1081" s="144">
        <v>3.5</v>
      </c>
      <c r="L1081" s="144" t="s">
        <v>941</v>
      </c>
      <c r="M1081" s="144"/>
      <c r="N1081" s="144">
        <v>4</v>
      </c>
      <c r="O1081" s="144"/>
      <c r="P1081" s="144"/>
      <c r="Q1081" s="144" t="s">
        <v>452</v>
      </c>
      <c r="R1081" s="144" t="s">
        <v>452</v>
      </c>
      <c r="S1081" s="144" t="s">
        <v>9796</v>
      </c>
      <c r="T1081" s="144" t="s">
        <v>9797</v>
      </c>
      <c r="U1081" s="145" t="s">
        <v>481</v>
      </c>
      <c r="V1081" s="145"/>
      <c r="W1081" s="145" t="s">
        <v>9796</v>
      </c>
      <c r="X1081" s="144" t="s">
        <v>9798</v>
      </c>
      <c r="Y1081" s="144" t="s">
        <v>9799</v>
      </c>
      <c r="Z1081" s="144" t="str">
        <f ca="1">IFERROR(__xludf.DUMMYFUNCTION("IF(VLOOKUP($Y1081, IMPORTRANGE(""https://docs.google.com/spreadsheets/d/1WsTKRjz8_fF2119Ff9dhKIIYXSaUEHzuWr8pBkxmwQQ/edit"", ""Form Responses 1!$B:$Z""),1, FALSE)=$Y1081,""Yes"",""No"")"),"#N/A")</f>
        <v>#N/A</v>
      </c>
      <c r="AA1081" s="144"/>
      <c r="AB1081" s="144"/>
    </row>
    <row r="1082" spans="1:28">
      <c r="A1082" s="140" t="s">
        <v>529</v>
      </c>
      <c r="B1082" s="140" t="s">
        <v>365</v>
      </c>
      <c r="C1082" s="140" t="s">
        <v>9800</v>
      </c>
      <c r="D1082" s="140" t="s">
        <v>9801</v>
      </c>
      <c r="E1082" s="140" t="s">
        <v>9802</v>
      </c>
      <c r="F1082" s="140" t="s">
        <v>3</v>
      </c>
      <c r="G1082" s="140">
        <v>4</v>
      </c>
      <c r="H1082" s="140" t="s">
        <v>23</v>
      </c>
      <c r="I1082" s="140" t="s">
        <v>488</v>
      </c>
      <c r="J1082" s="140" t="s">
        <v>9803</v>
      </c>
      <c r="K1082" s="140">
        <v>4</v>
      </c>
      <c r="L1082" s="140" t="s">
        <v>941</v>
      </c>
      <c r="M1082" s="140" t="s">
        <v>9804</v>
      </c>
      <c r="N1082" s="140">
        <v>4</v>
      </c>
      <c r="O1082" s="140" t="s">
        <v>478</v>
      </c>
      <c r="P1082" s="140">
        <v>12000000</v>
      </c>
      <c r="Q1082" s="140" t="s">
        <v>454</v>
      </c>
      <c r="R1082" s="140" t="s">
        <v>575</v>
      </c>
      <c r="S1082" s="140"/>
      <c r="T1082" s="140"/>
      <c r="U1082" s="143" t="s">
        <v>481</v>
      </c>
      <c r="V1082" s="143" t="s">
        <v>557</v>
      </c>
      <c r="W1082" s="143"/>
      <c r="X1082" s="140" t="s">
        <v>9805</v>
      </c>
      <c r="Y1082" s="140" t="s">
        <v>9806</v>
      </c>
      <c r="Z1082" s="140" t="str">
        <f ca="1">IFERROR(__xludf.DUMMYFUNCTION("IF(VLOOKUP($Y1082, IMPORTRANGE(""https://docs.google.com/spreadsheets/d/1WsTKRjz8_fF2119Ff9dhKIIYXSaUEHzuWr8pBkxmwQQ/edit"", ""Form Responses 1!$B:$Z""),1, FALSE)=$Y1082,""Yes"",""No"")"),"#N/A")</f>
        <v>#N/A</v>
      </c>
      <c r="AA1082" s="140"/>
      <c r="AB1082" s="140"/>
    </row>
    <row r="1083" spans="1:28">
      <c r="A1083" s="144" t="s">
        <v>907</v>
      </c>
      <c r="B1083" s="144" t="s">
        <v>366</v>
      </c>
      <c r="C1083" s="144" t="s">
        <v>9807</v>
      </c>
      <c r="D1083" s="144" t="s">
        <v>9808</v>
      </c>
      <c r="E1083" s="144"/>
      <c r="F1083" s="144" t="s">
        <v>3</v>
      </c>
      <c r="G1083" s="144">
        <v>4</v>
      </c>
      <c r="H1083" s="144" t="s">
        <v>23</v>
      </c>
      <c r="I1083" s="144" t="s">
        <v>488</v>
      </c>
      <c r="J1083" s="144" t="s">
        <v>9809</v>
      </c>
      <c r="K1083" s="144">
        <v>4</v>
      </c>
      <c r="L1083" s="144" t="s">
        <v>941</v>
      </c>
      <c r="M1083" s="144" t="s">
        <v>9810</v>
      </c>
      <c r="N1083" s="144">
        <v>4</v>
      </c>
      <c r="O1083" s="144" t="s">
        <v>9811</v>
      </c>
      <c r="P1083" s="144">
        <v>1000000</v>
      </c>
      <c r="Q1083" s="144" t="s">
        <v>452</v>
      </c>
      <c r="R1083" s="144" t="s">
        <v>9812</v>
      </c>
      <c r="S1083" s="144"/>
      <c r="T1083" s="144" t="s">
        <v>9813</v>
      </c>
      <c r="U1083" s="145" t="s">
        <v>454</v>
      </c>
      <c r="V1083" s="145"/>
      <c r="W1083" s="145"/>
      <c r="X1083" s="144" t="s">
        <v>9814</v>
      </c>
      <c r="Y1083" s="144" t="s">
        <v>9815</v>
      </c>
      <c r="Z1083" s="144" t="str">
        <f ca="1">IFERROR(__xludf.DUMMYFUNCTION("IF(VLOOKUP($Y1083, IMPORTRANGE(""https://docs.google.com/spreadsheets/d/1WsTKRjz8_fF2119Ff9dhKIIYXSaUEHzuWr8pBkxmwQQ/edit"", ""Form Responses 1!$B:$Z""),1, FALSE)=$Y1083,""Yes"",""No"")"),"#N/A")</f>
        <v>#N/A</v>
      </c>
      <c r="AA1083" s="144"/>
      <c r="AB1083" s="144"/>
    </row>
    <row r="1084" spans="1:28">
      <c r="A1084" s="140" t="s">
        <v>484</v>
      </c>
      <c r="B1084" s="140" t="s">
        <v>9816</v>
      </c>
      <c r="C1084" s="140" t="s">
        <v>9817</v>
      </c>
      <c r="D1084" s="140" t="s">
        <v>9818</v>
      </c>
      <c r="E1084" s="140" t="s">
        <v>9819</v>
      </c>
      <c r="F1084" s="140" t="s">
        <v>3</v>
      </c>
      <c r="G1084" s="140">
        <v>2.5</v>
      </c>
      <c r="H1084" s="140" t="s">
        <v>23</v>
      </c>
      <c r="I1084" s="140" t="s">
        <v>460</v>
      </c>
      <c r="J1084" s="140" t="s">
        <v>9820</v>
      </c>
      <c r="K1084" s="140">
        <v>3</v>
      </c>
      <c r="L1084" s="140" t="s">
        <v>488</v>
      </c>
      <c r="M1084" s="140" t="s">
        <v>9821</v>
      </c>
      <c r="N1084" s="140">
        <v>2</v>
      </c>
      <c r="O1084" s="140"/>
      <c r="P1084" s="140"/>
      <c r="Q1084" s="140" t="s">
        <v>454</v>
      </c>
      <c r="R1084" s="140" t="s">
        <v>452</v>
      </c>
      <c r="S1084" s="140"/>
      <c r="T1084" s="140" t="s">
        <v>9822</v>
      </c>
      <c r="U1084" s="143"/>
      <c r="V1084" s="143"/>
      <c r="W1084" s="143"/>
      <c r="X1084" s="140" t="s">
        <v>9823</v>
      </c>
      <c r="Y1084" s="140" t="s">
        <v>9824</v>
      </c>
      <c r="Z1084" s="140" t="str">
        <f ca="1">IFERROR(__xludf.DUMMYFUNCTION("IF(VLOOKUP($Y1084, IMPORTRANGE(""https://docs.google.com/spreadsheets/d/1WsTKRjz8_fF2119Ff9dhKIIYXSaUEHzuWr8pBkxmwQQ/edit"", ""Form Responses 1!$B:$Z""),1, FALSE)=$Y1084,""Yes"",""No"")"),"#N/A")</f>
        <v>#N/A</v>
      </c>
      <c r="AA1084" s="140"/>
      <c r="AB1084" s="140"/>
    </row>
    <row r="1085" spans="1:28">
      <c r="A1085" s="144" t="s">
        <v>529</v>
      </c>
      <c r="B1085" s="144" t="s">
        <v>9825</v>
      </c>
      <c r="C1085" s="144" t="s">
        <v>9826</v>
      </c>
      <c r="D1085" s="144" t="s">
        <v>9827</v>
      </c>
      <c r="E1085" s="144" t="s">
        <v>9828</v>
      </c>
      <c r="F1085" s="144" t="s">
        <v>3</v>
      </c>
      <c r="G1085" s="144">
        <v>3.25</v>
      </c>
      <c r="H1085" s="144" t="s">
        <v>23</v>
      </c>
      <c r="I1085" s="144" t="s">
        <v>488</v>
      </c>
      <c r="J1085" s="144" t="s">
        <v>9829</v>
      </c>
      <c r="K1085" s="144">
        <v>3.5</v>
      </c>
      <c r="L1085" s="144" t="s">
        <v>462</v>
      </c>
      <c r="M1085" s="144" t="s">
        <v>9830</v>
      </c>
      <c r="N1085" s="144">
        <v>3</v>
      </c>
      <c r="O1085" s="144" t="s">
        <v>451</v>
      </c>
      <c r="P1085" s="147">
        <v>6000000</v>
      </c>
      <c r="Q1085" s="144" t="s">
        <v>452</v>
      </c>
      <c r="R1085" s="144" t="s">
        <v>452</v>
      </c>
      <c r="S1085" s="144" t="s">
        <v>9831</v>
      </c>
      <c r="T1085" s="144" t="s">
        <v>9832</v>
      </c>
      <c r="U1085" s="145"/>
      <c r="V1085" s="145"/>
      <c r="W1085" s="145"/>
      <c r="X1085" s="144" t="s">
        <v>9833</v>
      </c>
      <c r="Y1085" s="144" t="s">
        <v>9834</v>
      </c>
      <c r="Z1085" s="144" t="str">
        <f ca="1">IFERROR(__xludf.DUMMYFUNCTION("IF(VLOOKUP($Y1085, IMPORTRANGE(""https://docs.google.com/spreadsheets/d/1WsTKRjz8_fF2119Ff9dhKIIYXSaUEHzuWr8pBkxmwQQ/edit"", ""Form Responses 1!$B:$Z""),1, FALSE)=$Y1085,""Yes"",""No"")"),"#N/A")</f>
        <v>#N/A</v>
      </c>
      <c r="AA1085" s="144"/>
      <c r="AB1085" s="144"/>
    </row>
    <row r="1086" spans="1:28">
      <c r="A1086" s="140" t="s">
        <v>471</v>
      </c>
      <c r="B1086" s="140" t="s">
        <v>374</v>
      </c>
      <c r="C1086" s="140" t="s">
        <v>9835</v>
      </c>
      <c r="D1086" s="140" t="s">
        <v>9836</v>
      </c>
      <c r="E1086" s="140" t="s">
        <v>9837</v>
      </c>
      <c r="F1086" s="140" t="s">
        <v>3</v>
      </c>
      <c r="G1086" s="140">
        <v>3</v>
      </c>
      <c r="H1086" s="140" t="s">
        <v>23</v>
      </c>
      <c r="I1086" s="140" t="s">
        <v>460</v>
      </c>
      <c r="J1086" s="140" t="s">
        <v>9838</v>
      </c>
      <c r="K1086" s="140">
        <v>2</v>
      </c>
      <c r="L1086" s="140" t="s">
        <v>462</v>
      </c>
      <c r="M1086" s="140" t="s">
        <v>9839</v>
      </c>
      <c r="N1086" s="140">
        <v>4</v>
      </c>
      <c r="O1086" s="140"/>
      <c r="P1086" s="142">
        <v>5000000</v>
      </c>
      <c r="Q1086" s="140" t="s">
        <v>452</v>
      </c>
      <c r="R1086" s="140" t="s">
        <v>9840</v>
      </c>
      <c r="S1086" s="140"/>
      <c r="T1086" s="140" t="s">
        <v>9841</v>
      </c>
      <c r="U1086" s="143" t="s">
        <v>481</v>
      </c>
      <c r="V1086" s="143"/>
      <c r="W1086" s="143"/>
      <c r="X1086" s="140" t="s">
        <v>469</v>
      </c>
      <c r="Y1086" s="140" t="s">
        <v>9842</v>
      </c>
      <c r="Z1086" s="140" t="str">
        <f ca="1">IFERROR(__xludf.DUMMYFUNCTION("IF(VLOOKUP($Y1086, IMPORTRANGE(""https://docs.google.com/spreadsheets/d/1WsTKRjz8_fF2119Ff9dhKIIYXSaUEHzuWr8pBkxmwQQ/edit"", ""Form Responses 1!$B:$Z""),1, FALSE)=$Y1086,""Yes"",""No"")"),"#N/A")</f>
        <v>#N/A</v>
      </c>
      <c r="AA1086" s="140"/>
      <c r="AB1086" s="140"/>
    </row>
    <row r="1087" spans="1:28">
      <c r="A1087" s="144" t="s">
        <v>598</v>
      </c>
      <c r="B1087" s="144" t="s">
        <v>9843</v>
      </c>
      <c r="C1087" s="144" t="s">
        <v>9844</v>
      </c>
      <c r="D1087" s="144" t="s">
        <v>9845</v>
      </c>
      <c r="E1087" s="144" t="s">
        <v>9846</v>
      </c>
      <c r="F1087" s="144" t="s">
        <v>3</v>
      </c>
      <c r="G1087" s="144">
        <v>3.5</v>
      </c>
      <c r="H1087" s="144" t="s">
        <v>23</v>
      </c>
      <c r="I1087" s="144" t="s">
        <v>460</v>
      </c>
      <c r="J1087" s="144" t="s">
        <v>9847</v>
      </c>
      <c r="K1087" s="144">
        <v>3.5</v>
      </c>
      <c r="L1087" s="144" t="s">
        <v>462</v>
      </c>
      <c r="M1087" s="144" t="s">
        <v>9848</v>
      </c>
      <c r="N1087" s="144">
        <v>3.5</v>
      </c>
      <c r="O1087" s="144" t="s">
        <v>784</v>
      </c>
      <c r="P1087" s="147">
        <v>2000000</v>
      </c>
      <c r="Q1087" s="144" t="s">
        <v>452</v>
      </c>
      <c r="R1087" s="144" t="s">
        <v>9849</v>
      </c>
      <c r="S1087" s="144"/>
      <c r="T1087" s="144" t="s">
        <v>9850</v>
      </c>
      <c r="U1087" s="145"/>
      <c r="V1087" s="145"/>
      <c r="W1087" s="145"/>
      <c r="X1087" s="144" t="s">
        <v>9851</v>
      </c>
      <c r="Y1087" s="144" t="s">
        <v>9852</v>
      </c>
      <c r="Z1087" s="144" t="str">
        <f ca="1">IFERROR(__xludf.DUMMYFUNCTION("IF(VLOOKUP($Y1087, IMPORTRANGE(""https://docs.google.com/spreadsheets/d/1WsTKRjz8_fF2119Ff9dhKIIYXSaUEHzuWr8pBkxmwQQ/edit"", ""Form Responses 1!$B:$Z""),1, FALSE)=$Y1087,""Yes"",""No"")"),"#N/A")</f>
        <v>#N/A</v>
      </c>
      <c r="AA1087" s="144"/>
      <c r="AB1087" s="144"/>
    </row>
    <row r="1088" spans="1:28">
      <c r="A1088" s="140" t="s">
        <v>598</v>
      </c>
      <c r="B1088" s="140" t="s">
        <v>377</v>
      </c>
      <c r="C1088" s="140" t="s">
        <v>9853</v>
      </c>
      <c r="D1088" s="140" t="s">
        <v>9854</v>
      </c>
      <c r="E1088" s="140" t="s">
        <v>9855</v>
      </c>
      <c r="F1088" s="140" t="s">
        <v>3</v>
      </c>
      <c r="G1088" s="140">
        <v>4</v>
      </c>
      <c r="H1088" s="140" t="s">
        <v>23</v>
      </c>
      <c r="I1088" s="140" t="s">
        <v>488</v>
      </c>
      <c r="J1088" s="140" t="s">
        <v>9856</v>
      </c>
      <c r="K1088" s="140">
        <v>4</v>
      </c>
      <c r="L1088" s="140" t="s">
        <v>941</v>
      </c>
      <c r="M1088" s="140" t="s">
        <v>9857</v>
      </c>
      <c r="N1088" s="140">
        <v>4</v>
      </c>
      <c r="O1088" s="140" t="s">
        <v>478</v>
      </c>
      <c r="P1088" s="151">
        <v>9400000</v>
      </c>
      <c r="Q1088" s="140" t="s">
        <v>452</v>
      </c>
      <c r="R1088" s="140" t="s">
        <v>1119</v>
      </c>
      <c r="S1088" s="140" t="s">
        <v>9858</v>
      </c>
      <c r="T1088" s="140" t="s">
        <v>9859</v>
      </c>
      <c r="U1088" s="143" t="s">
        <v>481</v>
      </c>
      <c r="V1088" s="143"/>
      <c r="W1088" s="143" t="s">
        <v>9858</v>
      </c>
      <c r="X1088" s="140" t="s">
        <v>9860</v>
      </c>
      <c r="Y1088" s="140" t="s">
        <v>9861</v>
      </c>
      <c r="Z1088" s="140" t="str">
        <f ca="1">IFERROR(__xludf.DUMMYFUNCTION("IF(VLOOKUP($Y1088, IMPORTRANGE(""https://docs.google.com/spreadsheets/d/1WsTKRjz8_fF2119Ff9dhKIIYXSaUEHzuWr8pBkxmwQQ/edit"", ""Form Responses 1!$B:$Z""),1, FALSE)=$Y1088,""Yes"",""No"")"),"#N/A")</f>
        <v>#N/A</v>
      </c>
      <c r="AA1088" s="140"/>
      <c r="AB1088" s="140"/>
    </row>
    <row r="1089" spans="1:28">
      <c r="A1089" s="144" t="s">
        <v>907</v>
      </c>
      <c r="B1089" s="144" t="s">
        <v>378</v>
      </c>
      <c r="C1089" s="144" t="s">
        <v>9862</v>
      </c>
      <c r="D1089" s="144" t="s">
        <v>9863</v>
      </c>
      <c r="E1089" s="144" t="s">
        <v>9864</v>
      </c>
      <c r="F1089" s="144" t="s">
        <v>3</v>
      </c>
      <c r="G1089" s="144">
        <v>3.75</v>
      </c>
      <c r="H1089" s="144" t="s">
        <v>23</v>
      </c>
      <c r="I1089" s="144" t="s">
        <v>488</v>
      </c>
      <c r="J1089" s="144" t="s">
        <v>9865</v>
      </c>
      <c r="K1089" s="144">
        <v>3.5</v>
      </c>
      <c r="L1089" s="144" t="s">
        <v>941</v>
      </c>
      <c r="M1089" s="144" t="s">
        <v>9866</v>
      </c>
      <c r="N1089" s="144">
        <v>4</v>
      </c>
      <c r="O1089" s="144" t="s">
        <v>451</v>
      </c>
      <c r="P1089" s="144" t="s">
        <v>9867</v>
      </c>
      <c r="Q1089" s="144" t="s">
        <v>452</v>
      </c>
      <c r="R1089" s="144" t="s">
        <v>452</v>
      </c>
      <c r="S1089" s="144" t="s">
        <v>9868</v>
      </c>
      <c r="T1089" s="144" t="s">
        <v>9869</v>
      </c>
      <c r="U1089" s="145" t="s">
        <v>481</v>
      </c>
      <c r="V1089" s="145"/>
      <c r="W1089" s="145" t="s">
        <v>9868</v>
      </c>
      <c r="X1089" s="144" t="s">
        <v>9870</v>
      </c>
      <c r="Y1089" s="144" t="s">
        <v>9871</v>
      </c>
      <c r="Z1089" s="144" t="str">
        <f ca="1">IFERROR(__xludf.DUMMYFUNCTION("IF(VLOOKUP($Y1089, IMPORTRANGE(""https://docs.google.com/spreadsheets/d/1WsTKRjz8_fF2119Ff9dhKIIYXSaUEHzuWr8pBkxmwQQ/edit"", ""Form Responses 1!$B:$Z""),1, FALSE)=$Y1089,""Yes"",""No"")"),"#N/A")</f>
        <v>#N/A</v>
      </c>
      <c r="AA1089" s="144"/>
      <c r="AB1089" s="144"/>
    </row>
    <row r="1090" spans="1:28">
      <c r="A1090" s="140" t="s">
        <v>471</v>
      </c>
      <c r="B1090" s="140" t="s">
        <v>9872</v>
      </c>
      <c r="C1090" s="140" t="s">
        <v>9873</v>
      </c>
      <c r="D1090" s="140" t="s">
        <v>9874</v>
      </c>
      <c r="E1090" s="140" t="s">
        <v>9875</v>
      </c>
      <c r="F1090" s="140" t="s">
        <v>3</v>
      </c>
      <c r="G1090" s="140">
        <v>3.75</v>
      </c>
      <c r="H1090" s="140" t="s">
        <v>23</v>
      </c>
      <c r="I1090" s="140" t="s">
        <v>460</v>
      </c>
      <c r="J1090" s="140" t="s">
        <v>9876</v>
      </c>
      <c r="K1090" s="140">
        <v>3.5</v>
      </c>
      <c r="L1090" s="140" t="s">
        <v>488</v>
      </c>
      <c r="M1090" s="140" t="s">
        <v>9877</v>
      </c>
      <c r="N1090" s="140">
        <v>4</v>
      </c>
      <c r="O1090" s="140" t="s">
        <v>451</v>
      </c>
      <c r="P1090" s="140">
        <v>1000000</v>
      </c>
      <c r="Q1090" s="140" t="s">
        <v>452</v>
      </c>
      <c r="R1090" s="140" t="s">
        <v>452</v>
      </c>
      <c r="S1090" s="140" t="s">
        <v>9878</v>
      </c>
      <c r="T1090" s="140" t="s">
        <v>9879</v>
      </c>
      <c r="U1090" s="143"/>
      <c r="V1090" s="143"/>
      <c r="W1090" s="143"/>
      <c r="X1090" s="140" t="s">
        <v>9880</v>
      </c>
      <c r="Y1090" s="140" t="s">
        <v>9881</v>
      </c>
      <c r="Z1090" s="140" t="str">
        <f ca="1">IFERROR(__xludf.DUMMYFUNCTION("IF(VLOOKUP($Y1090, IMPORTRANGE(""https://docs.google.com/spreadsheets/d/1WsTKRjz8_fF2119Ff9dhKIIYXSaUEHzuWr8pBkxmwQQ/edit"", ""Form Responses 1!$B:$Z""),1, FALSE)=$Y1090,""Yes"",""No"")"),"#N/A")</f>
        <v>#N/A</v>
      </c>
      <c r="AA1090" s="140"/>
      <c r="AB1090" s="140"/>
    </row>
    <row r="1091" spans="1:28">
      <c r="A1091" s="144" t="s">
        <v>529</v>
      </c>
      <c r="B1091" s="144" t="s">
        <v>9882</v>
      </c>
      <c r="C1091" s="144" t="s">
        <v>9883</v>
      </c>
      <c r="D1091" s="144" t="s">
        <v>9884</v>
      </c>
      <c r="E1091" s="144" t="s">
        <v>9885</v>
      </c>
      <c r="F1091" s="144" t="s">
        <v>3</v>
      </c>
      <c r="G1091" s="144">
        <v>3.5</v>
      </c>
      <c r="H1091" s="144" t="s">
        <v>23</v>
      </c>
      <c r="I1091" s="144" t="s">
        <v>488</v>
      </c>
      <c r="J1091" s="144" t="s">
        <v>9886</v>
      </c>
      <c r="K1091" s="144">
        <v>3.5</v>
      </c>
      <c r="L1091" s="144" t="s">
        <v>462</v>
      </c>
      <c r="M1091" s="144" t="s">
        <v>9887</v>
      </c>
      <c r="N1091" s="144">
        <v>3.5</v>
      </c>
      <c r="O1091" s="144" t="s">
        <v>451</v>
      </c>
      <c r="P1091" s="146">
        <v>6000000</v>
      </c>
      <c r="Q1091" s="144" t="s">
        <v>465</v>
      </c>
      <c r="R1091" s="144" t="s">
        <v>9888</v>
      </c>
      <c r="S1091" s="144"/>
      <c r="T1091" s="144" t="s">
        <v>9889</v>
      </c>
      <c r="U1091" s="145"/>
      <c r="V1091" s="145"/>
      <c r="W1091" s="145"/>
      <c r="X1091" s="144" t="s">
        <v>2795</v>
      </c>
      <c r="Y1091" s="144" t="s">
        <v>9890</v>
      </c>
      <c r="Z1091" s="144" t="str">
        <f ca="1">IFERROR(__xludf.DUMMYFUNCTION("IF(VLOOKUP($Y1091, IMPORTRANGE(""https://docs.google.com/spreadsheets/d/1WsTKRjz8_fF2119Ff9dhKIIYXSaUEHzuWr8pBkxmwQQ/edit"", ""Form Responses 1!$B:$Z""),1, FALSE)=$Y1091,""Yes"",""No"")"),"#N/A")</f>
        <v>#N/A</v>
      </c>
      <c r="AA1091" s="144"/>
      <c r="AB1091" s="144"/>
    </row>
    <row r="1092" spans="1:28">
      <c r="A1092" s="140" t="s">
        <v>529</v>
      </c>
      <c r="B1092" s="140" t="s">
        <v>9891</v>
      </c>
      <c r="C1092" s="140" t="s">
        <v>9892</v>
      </c>
      <c r="D1092" s="140" t="s">
        <v>9893</v>
      </c>
      <c r="E1092" s="140" t="s">
        <v>9894</v>
      </c>
      <c r="F1092" s="140" t="s">
        <v>3</v>
      </c>
      <c r="G1092" s="140">
        <v>4</v>
      </c>
      <c r="H1092" s="140" t="s">
        <v>23</v>
      </c>
      <c r="I1092" s="140" t="s">
        <v>725</v>
      </c>
      <c r="J1092" s="140" t="s">
        <v>9895</v>
      </c>
      <c r="K1092" s="140">
        <v>4</v>
      </c>
      <c r="L1092" s="140" t="s">
        <v>941</v>
      </c>
      <c r="M1092" s="140" t="s">
        <v>9896</v>
      </c>
      <c r="N1092" s="140">
        <v>4</v>
      </c>
      <c r="O1092" s="140" t="s">
        <v>451</v>
      </c>
      <c r="P1092" s="142">
        <v>1500000</v>
      </c>
      <c r="Q1092" s="140" t="s">
        <v>452</v>
      </c>
      <c r="R1092" s="140" t="s">
        <v>452</v>
      </c>
      <c r="S1092" s="140"/>
      <c r="T1092" s="140"/>
      <c r="U1092" s="143"/>
      <c r="V1092" s="143"/>
      <c r="W1092" s="143"/>
      <c r="X1092" s="140" t="s">
        <v>9897</v>
      </c>
      <c r="Y1092" s="140" t="s">
        <v>9898</v>
      </c>
      <c r="Z1092" s="140" t="str">
        <f ca="1">IFERROR(__xludf.DUMMYFUNCTION("IF(VLOOKUP($Y1092, IMPORTRANGE(""https://docs.google.com/spreadsheets/d/1WsTKRjz8_fF2119Ff9dhKIIYXSaUEHzuWr8pBkxmwQQ/edit"", ""Form Responses 1!$B:$Z""),1, FALSE)=$Y1092,""Yes"",""No"")"),"#N/A")</f>
        <v>#N/A</v>
      </c>
      <c r="AA1092" s="140"/>
      <c r="AB1092" s="140"/>
    </row>
    <row r="1093" spans="1:28">
      <c r="A1093" s="144" t="s">
        <v>529</v>
      </c>
      <c r="B1093" s="144" t="s">
        <v>9899</v>
      </c>
      <c r="C1093" s="144" t="s">
        <v>9900</v>
      </c>
      <c r="D1093" s="144" t="s">
        <v>9901</v>
      </c>
      <c r="E1093" s="144" t="s">
        <v>9902</v>
      </c>
      <c r="F1093" s="144" t="s">
        <v>3</v>
      </c>
      <c r="G1093" s="144">
        <v>3.75</v>
      </c>
      <c r="H1093" s="144" t="s">
        <v>23</v>
      </c>
      <c r="I1093" s="144" t="s">
        <v>460</v>
      </c>
      <c r="J1093" s="144" t="s">
        <v>9903</v>
      </c>
      <c r="K1093" s="144">
        <v>3.5</v>
      </c>
      <c r="L1093" s="144" t="s">
        <v>462</v>
      </c>
      <c r="M1093" s="144" t="s">
        <v>9904</v>
      </c>
      <c r="N1093" s="144">
        <v>4</v>
      </c>
      <c r="O1093" s="144" t="s">
        <v>478</v>
      </c>
      <c r="P1093" s="144" t="s">
        <v>4966</v>
      </c>
      <c r="Q1093" s="144" t="s">
        <v>465</v>
      </c>
      <c r="R1093" s="144" t="s">
        <v>9905</v>
      </c>
      <c r="S1093" s="144" t="s">
        <v>9906</v>
      </c>
      <c r="T1093" s="144" t="s">
        <v>9907</v>
      </c>
      <c r="U1093" s="145"/>
      <c r="V1093" s="145"/>
      <c r="W1093" s="145"/>
      <c r="X1093" s="144" t="s">
        <v>1836</v>
      </c>
      <c r="Y1093" s="144" t="s">
        <v>9908</v>
      </c>
      <c r="Z1093" s="144" t="str">
        <f ca="1">IFERROR(__xludf.DUMMYFUNCTION("IF(VLOOKUP($Y1093, IMPORTRANGE(""https://docs.google.com/spreadsheets/d/1WsTKRjz8_fF2119Ff9dhKIIYXSaUEHzuWr8pBkxmwQQ/edit"", ""Form Responses 1!$B:$Z""),1, FALSE)=$Y1093,""Yes"",""No"")"),"#N/A")</f>
        <v>#N/A</v>
      </c>
      <c r="AA1093" s="144"/>
      <c r="AB1093" s="144"/>
    </row>
    <row r="1094" spans="1:28">
      <c r="A1094" s="140" t="s">
        <v>598</v>
      </c>
      <c r="B1094" s="140" t="s">
        <v>383</v>
      </c>
      <c r="C1094" s="140" t="s">
        <v>9909</v>
      </c>
      <c r="D1094" s="140" t="s">
        <v>9910</v>
      </c>
      <c r="E1094" s="140" t="s">
        <v>9911</v>
      </c>
      <c r="F1094" s="140" t="s">
        <v>3</v>
      </c>
      <c r="G1094" s="140">
        <v>3.25</v>
      </c>
      <c r="H1094" s="140" t="s">
        <v>23</v>
      </c>
      <c r="I1094" s="140" t="s">
        <v>488</v>
      </c>
      <c r="J1094" s="140" t="s">
        <v>9912</v>
      </c>
      <c r="K1094" s="140">
        <v>3.5</v>
      </c>
      <c r="L1094" s="140" t="s">
        <v>941</v>
      </c>
      <c r="M1094" s="140" t="s">
        <v>9913</v>
      </c>
      <c r="N1094" s="140">
        <v>3</v>
      </c>
      <c r="O1094" s="140"/>
      <c r="P1094" s="140"/>
      <c r="Q1094" s="140" t="s">
        <v>465</v>
      </c>
      <c r="R1094" s="140" t="s">
        <v>9914</v>
      </c>
      <c r="S1094" s="140"/>
      <c r="T1094" s="140"/>
      <c r="U1094" s="143" t="s">
        <v>481</v>
      </c>
      <c r="V1094" s="143"/>
      <c r="W1094" s="143"/>
      <c r="X1094" s="140" t="s">
        <v>2163</v>
      </c>
      <c r="Y1094" s="140" t="s">
        <v>9915</v>
      </c>
      <c r="Z1094" s="140" t="str">
        <f ca="1">IFERROR(__xludf.DUMMYFUNCTION("IF(VLOOKUP($Y1094, IMPORTRANGE(""https://docs.google.com/spreadsheets/d/1WsTKRjz8_fF2119Ff9dhKIIYXSaUEHzuWr8pBkxmwQQ/edit"", ""Form Responses 1!$B:$Z""),1, FALSE)=$Y1094,""Yes"",""No"")"),"#N/A")</f>
        <v>#N/A</v>
      </c>
      <c r="AA1094" s="140"/>
      <c r="AB1094" s="140"/>
    </row>
    <row r="1095" spans="1:28">
      <c r="A1095" s="144" t="s">
        <v>503</v>
      </c>
      <c r="B1095" s="144" t="s">
        <v>9916</v>
      </c>
      <c r="C1095" s="144" t="s">
        <v>9917</v>
      </c>
      <c r="D1095" s="144" t="s">
        <v>9918</v>
      </c>
      <c r="E1095" s="144" t="s">
        <v>9919</v>
      </c>
      <c r="F1095" s="144" t="s">
        <v>3</v>
      </c>
      <c r="G1095" s="144">
        <v>4</v>
      </c>
      <c r="H1095" s="144" t="s">
        <v>23</v>
      </c>
      <c r="I1095" s="144" t="s">
        <v>460</v>
      </c>
      <c r="J1095" s="144" t="s">
        <v>9920</v>
      </c>
      <c r="K1095" s="144">
        <v>4</v>
      </c>
      <c r="L1095" s="144" t="s">
        <v>941</v>
      </c>
      <c r="M1095" s="144" t="s">
        <v>9921</v>
      </c>
      <c r="N1095" s="144">
        <v>4</v>
      </c>
      <c r="O1095" s="144" t="s">
        <v>784</v>
      </c>
      <c r="P1095" s="147">
        <v>2000000</v>
      </c>
      <c r="Q1095" s="144" t="s">
        <v>452</v>
      </c>
      <c r="R1095" s="144" t="s">
        <v>9922</v>
      </c>
      <c r="S1095" s="144"/>
      <c r="T1095" s="144" t="s">
        <v>9923</v>
      </c>
      <c r="U1095" s="145"/>
      <c r="V1095" s="145"/>
      <c r="W1095" s="145"/>
      <c r="X1095" s="144" t="s">
        <v>6226</v>
      </c>
      <c r="Y1095" s="144" t="s">
        <v>9924</v>
      </c>
      <c r="Z1095" s="144" t="str">
        <f ca="1">IFERROR(__xludf.DUMMYFUNCTION("IF(VLOOKUP($Y1095, IMPORTRANGE(""https://docs.google.com/spreadsheets/d/1WsTKRjz8_fF2119Ff9dhKIIYXSaUEHzuWr8pBkxmwQQ/edit"", ""Form Responses 1!$B:$Z""),1, FALSE)=$Y1095,""Yes"",""No"")"),"#N/A")</f>
        <v>#N/A</v>
      </c>
      <c r="AA1095" s="144"/>
      <c r="AB1095" s="144"/>
    </row>
    <row r="1096" spans="1:28">
      <c r="A1096" s="140" t="s">
        <v>484</v>
      </c>
      <c r="B1096" s="140" t="s">
        <v>388</v>
      </c>
      <c r="C1096" s="140" t="s">
        <v>9925</v>
      </c>
      <c r="D1096" s="140" t="s">
        <v>9926</v>
      </c>
      <c r="E1096" s="140" t="s">
        <v>9927</v>
      </c>
      <c r="F1096" s="140" t="s">
        <v>3</v>
      </c>
      <c r="G1096" s="140">
        <v>3.5</v>
      </c>
      <c r="H1096" s="140" t="s">
        <v>23</v>
      </c>
      <c r="I1096" s="140" t="s">
        <v>460</v>
      </c>
      <c r="J1096" s="140" t="s">
        <v>9928</v>
      </c>
      <c r="K1096" s="140">
        <v>3</v>
      </c>
      <c r="L1096" s="140" t="s">
        <v>462</v>
      </c>
      <c r="M1096" s="140" t="s">
        <v>9929</v>
      </c>
      <c r="N1096" s="140">
        <v>4</v>
      </c>
      <c r="O1096" s="140" t="s">
        <v>923</v>
      </c>
      <c r="P1096" s="142">
        <v>4000000</v>
      </c>
      <c r="Q1096" s="140" t="s">
        <v>452</v>
      </c>
      <c r="R1096" s="140" t="s">
        <v>9930</v>
      </c>
      <c r="S1096" s="140" t="s">
        <v>460</v>
      </c>
      <c r="T1096" s="140" t="s">
        <v>9931</v>
      </c>
      <c r="U1096" s="143" t="s">
        <v>481</v>
      </c>
      <c r="V1096" s="143"/>
      <c r="W1096" s="143" t="s">
        <v>460</v>
      </c>
      <c r="X1096" s="140" t="s">
        <v>9932</v>
      </c>
      <c r="Y1096" s="140" t="s">
        <v>9933</v>
      </c>
      <c r="Z1096" s="140" t="str">
        <f ca="1">IFERROR(__xludf.DUMMYFUNCTION("IF(VLOOKUP($Y1096, IMPORTRANGE(""https://docs.google.com/spreadsheets/d/1WsTKRjz8_fF2119Ff9dhKIIYXSaUEHzuWr8pBkxmwQQ/edit"", ""Form Responses 1!$B:$Z""),1, FALSE)=$Y1096,""Yes"",""No"")"),"#N/A")</f>
        <v>#N/A</v>
      </c>
      <c r="AA1096" s="140"/>
      <c r="AB1096" s="140"/>
    </row>
    <row r="1097" spans="1:28">
      <c r="A1097" s="144" t="s">
        <v>598</v>
      </c>
      <c r="B1097" s="144" t="s">
        <v>9934</v>
      </c>
      <c r="C1097" s="144" t="s">
        <v>9935</v>
      </c>
      <c r="D1097" s="144" t="s">
        <v>9936</v>
      </c>
      <c r="E1097" s="144" t="s">
        <v>9937</v>
      </c>
      <c r="F1097" s="144" t="s">
        <v>3</v>
      </c>
      <c r="G1097" s="144">
        <v>3.25</v>
      </c>
      <c r="H1097" s="144" t="s">
        <v>23</v>
      </c>
      <c r="I1097" s="144" t="s">
        <v>460</v>
      </c>
      <c r="J1097" s="144" t="s">
        <v>9938</v>
      </c>
      <c r="K1097" s="144">
        <v>3</v>
      </c>
      <c r="L1097" s="144" t="s">
        <v>941</v>
      </c>
      <c r="M1097" s="144" t="s">
        <v>9939</v>
      </c>
      <c r="N1097" s="144">
        <v>3.5</v>
      </c>
      <c r="O1097" s="144"/>
      <c r="P1097" s="144"/>
      <c r="Q1097" s="144" t="s">
        <v>454</v>
      </c>
      <c r="R1097" s="144" t="s">
        <v>9940</v>
      </c>
      <c r="S1097" s="144"/>
      <c r="T1097" s="144" t="s">
        <v>9941</v>
      </c>
      <c r="U1097" s="145"/>
      <c r="V1097" s="145"/>
      <c r="W1097" s="145"/>
      <c r="X1097" s="144" t="s">
        <v>9942</v>
      </c>
      <c r="Y1097" s="144" t="s">
        <v>9943</v>
      </c>
      <c r="Z1097" s="144" t="str">
        <f ca="1">IFERROR(__xludf.DUMMYFUNCTION("IF(VLOOKUP($Y1097, IMPORTRANGE(""https://docs.google.com/spreadsheets/d/1WsTKRjz8_fF2119Ff9dhKIIYXSaUEHzuWr8pBkxmwQQ/edit"", ""Form Responses 1!$B:$Z""),1, FALSE)=$Y1097,""Yes"",""No"")"),"#N/A")</f>
        <v>#N/A</v>
      </c>
      <c r="AA1097" s="144"/>
      <c r="AB1097" s="144"/>
    </row>
    <row r="1098" spans="1:28">
      <c r="A1098" s="140" t="s">
        <v>503</v>
      </c>
      <c r="B1098" s="140" t="s">
        <v>9944</v>
      </c>
      <c r="C1098" s="140" t="s">
        <v>9945</v>
      </c>
      <c r="D1098" s="140" t="s">
        <v>9946</v>
      </c>
      <c r="E1098" s="140" t="s">
        <v>9947</v>
      </c>
      <c r="F1098" s="140" t="s">
        <v>3</v>
      </c>
      <c r="G1098" s="140">
        <v>4</v>
      </c>
      <c r="H1098" s="140" t="s">
        <v>23</v>
      </c>
      <c r="I1098" s="140" t="s">
        <v>460</v>
      </c>
      <c r="J1098" s="140" t="s">
        <v>9948</v>
      </c>
      <c r="K1098" s="140">
        <v>4</v>
      </c>
      <c r="L1098" s="140" t="s">
        <v>941</v>
      </c>
      <c r="M1098" s="140"/>
      <c r="N1098" s="140">
        <v>4</v>
      </c>
      <c r="O1098" s="140" t="s">
        <v>478</v>
      </c>
      <c r="P1098" s="140" t="s">
        <v>9949</v>
      </c>
      <c r="Q1098" s="140" t="s">
        <v>454</v>
      </c>
      <c r="R1098" s="140" t="s">
        <v>9950</v>
      </c>
      <c r="S1098" s="140"/>
      <c r="T1098" s="140"/>
      <c r="U1098" s="143"/>
      <c r="V1098" s="143"/>
      <c r="W1098" s="143"/>
      <c r="X1098" s="140" t="s">
        <v>9951</v>
      </c>
      <c r="Y1098" s="140" t="s">
        <v>9952</v>
      </c>
      <c r="Z1098" s="140" t="str">
        <f ca="1">IFERROR(__xludf.DUMMYFUNCTION("IF(VLOOKUP($Y1098, IMPORTRANGE(""https://docs.google.com/spreadsheets/d/1WsTKRjz8_fF2119Ff9dhKIIYXSaUEHzuWr8pBkxmwQQ/edit"", ""Form Responses 1!$B:$Z""),1, FALSE)=$Y1098,""Yes"",""No"")"),"#N/A")</f>
        <v>#N/A</v>
      </c>
      <c r="AA1098" s="140"/>
      <c r="AB1098" s="140"/>
    </row>
    <row r="1099" spans="1:28">
      <c r="A1099" s="144" t="s">
        <v>471</v>
      </c>
      <c r="B1099" s="144" t="s">
        <v>397</v>
      </c>
      <c r="C1099" s="144" t="s">
        <v>9953</v>
      </c>
      <c r="D1099" s="144" t="s">
        <v>9954</v>
      </c>
      <c r="E1099" s="144" t="s">
        <v>9955</v>
      </c>
      <c r="F1099" s="144" t="s">
        <v>3</v>
      </c>
      <c r="G1099" s="144">
        <v>4</v>
      </c>
      <c r="H1099" s="144" t="s">
        <v>23</v>
      </c>
      <c r="I1099" s="144" t="s">
        <v>460</v>
      </c>
      <c r="J1099" s="144" t="s">
        <v>9956</v>
      </c>
      <c r="K1099" s="144">
        <v>4</v>
      </c>
      <c r="L1099" s="144" t="s">
        <v>462</v>
      </c>
      <c r="M1099" s="144" t="s">
        <v>9957</v>
      </c>
      <c r="N1099" s="144">
        <v>4</v>
      </c>
      <c r="O1099" s="144" t="s">
        <v>451</v>
      </c>
      <c r="P1099" s="146">
        <v>10000000</v>
      </c>
      <c r="Q1099" s="144" t="s">
        <v>452</v>
      </c>
      <c r="R1099" s="144" t="s">
        <v>9958</v>
      </c>
      <c r="S1099" s="144"/>
      <c r="T1099" s="144"/>
      <c r="U1099" s="145" t="s">
        <v>481</v>
      </c>
      <c r="V1099" s="145"/>
      <c r="W1099" s="145"/>
      <c r="X1099" s="144" t="s">
        <v>1020</v>
      </c>
      <c r="Y1099" s="144" t="s">
        <v>9959</v>
      </c>
      <c r="Z1099" s="144" t="str">
        <f ca="1">IFERROR(__xludf.DUMMYFUNCTION("IF(VLOOKUP($Y1099, IMPORTRANGE(""https://docs.google.com/spreadsheets/d/1WsTKRjz8_fF2119Ff9dhKIIYXSaUEHzuWr8pBkxmwQQ/edit"", ""Form Responses 1!$B:$Z""),1, FALSE)=$Y1099,""Yes"",""No"")"),"#N/A")</f>
        <v>#N/A</v>
      </c>
      <c r="AA1099" s="144"/>
      <c r="AB1099" s="144"/>
    </row>
    <row r="1100" spans="1:28">
      <c r="A1100" s="140" t="s">
        <v>529</v>
      </c>
      <c r="B1100" s="140" t="s">
        <v>9960</v>
      </c>
      <c r="C1100" s="140" t="s">
        <v>9961</v>
      </c>
      <c r="D1100" s="140" t="s">
        <v>9962</v>
      </c>
      <c r="E1100" s="140" t="s">
        <v>9963</v>
      </c>
      <c r="F1100" s="140" t="s">
        <v>3</v>
      </c>
      <c r="G1100" s="140">
        <v>4</v>
      </c>
      <c r="H1100" s="140" t="s">
        <v>23</v>
      </c>
      <c r="I1100" s="140" t="s">
        <v>460</v>
      </c>
      <c r="J1100" s="140" t="s">
        <v>9964</v>
      </c>
      <c r="K1100" s="140">
        <v>4</v>
      </c>
      <c r="L1100" s="140" t="s">
        <v>462</v>
      </c>
      <c r="M1100" s="140" t="s">
        <v>9965</v>
      </c>
      <c r="N1100" s="140">
        <v>4</v>
      </c>
      <c r="O1100" s="140" t="s">
        <v>451</v>
      </c>
      <c r="P1100" s="140">
        <v>2000000</v>
      </c>
      <c r="Q1100" s="140" t="s">
        <v>452</v>
      </c>
      <c r="R1100" s="140" t="s">
        <v>9966</v>
      </c>
      <c r="S1100" s="140"/>
      <c r="T1100" s="140"/>
      <c r="U1100" s="143"/>
      <c r="V1100" s="143"/>
      <c r="W1100" s="143"/>
      <c r="X1100" s="140" t="s">
        <v>2748</v>
      </c>
      <c r="Y1100" s="140" t="s">
        <v>9967</v>
      </c>
      <c r="Z1100" s="140" t="str">
        <f ca="1">IFERROR(__xludf.DUMMYFUNCTION("IF(VLOOKUP($Y1100, IMPORTRANGE(""https://docs.google.com/spreadsheets/d/1WsTKRjz8_fF2119Ff9dhKIIYXSaUEHzuWr8pBkxmwQQ/edit"", ""Form Responses 1!$B:$Z""),1, FALSE)=$Y1100,""Yes"",""No"")"),"#N/A")</f>
        <v>#N/A</v>
      </c>
      <c r="AA1100" s="140"/>
      <c r="AB1100" s="140"/>
    </row>
    <row r="1101" spans="1:28">
      <c r="A1101" s="144" t="s">
        <v>529</v>
      </c>
      <c r="B1101" s="144" t="s">
        <v>407</v>
      </c>
      <c r="C1101" s="144" t="s">
        <v>9968</v>
      </c>
      <c r="D1101" s="144" t="s">
        <v>9969</v>
      </c>
      <c r="E1101" s="144" t="s">
        <v>9970</v>
      </c>
      <c r="F1101" s="144" t="s">
        <v>3</v>
      </c>
      <c r="G1101" s="144">
        <v>4</v>
      </c>
      <c r="H1101" s="144" t="s">
        <v>23</v>
      </c>
      <c r="I1101" s="144" t="s">
        <v>725</v>
      </c>
      <c r="J1101" s="144" t="s">
        <v>9971</v>
      </c>
      <c r="K1101" s="144">
        <v>4</v>
      </c>
      <c r="L1101" s="144" t="s">
        <v>941</v>
      </c>
      <c r="M1101" s="144" t="s">
        <v>9972</v>
      </c>
      <c r="N1101" s="144">
        <v>4</v>
      </c>
      <c r="O1101" s="144" t="s">
        <v>478</v>
      </c>
      <c r="P1101" s="165">
        <v>20000000</v>
      </c>
      <c r="Q1101" s="144" t="s">
        <v>465</v>
      </c>
      <c r="R1101" s="144" t="s">
        <v>6922</v>
      </c>
      <c r="S1101" s="144"/>
      <c r="T1101" s="144"/>
      <c r="U1101" s="145" t="s">
        <v>481</v>
      </c>
      <c r="V1101" s="145"/>
      <c r="W1101" s="145"/>
      <c r="X1101" s="144" t="s">
        <v>9973</v>
      </c>
      <c r="Y1101" s="144" t="s">
        <v>9974</v>
      </c>
      <c r="Z1101" s="144" t="str">
        <f ca="1">IFERROR(__xludf.DUMMYFUNCTION("IF(VLOOKUP($Y1101, IMPORTRANGE(""https://docs.google.com/spreadsheets/d/1WsTKRjz8_fF2119Ff9dhKIIYXSaUEHzuWr8pBkxmwQQ/edit"", ""Form Responses 1!$B:$Z""),1, FALSE)=$Y1101,""Yes"",""No"")"),"#N/A")</f>
        <v>#N/A</v>
      </c>
      <c r="AA1101" s="144"/>
      <c r="AB1101" s="144"/>
    </row>
    <row r="1102" spans="1:28">
      <c r="A1102" s="140" t="s">
        <v>443</v>
      </c>
      <c r="B1102" s="140" t="s">
        <v>410</v>
      </c>
      <c r="C1102" s="140" t="s">
        <v>9975</v>
      </c>
      <c r="D1102" s="140" t="s">
        <v>9976</v>
      </c>
      <c r="E1102" s="140" t="s">
        <v>9977</v>
      </c>
      <c r="F1102" s="140" t="s">
        <v>3</v>
      </c>
      <c r="G1102" s="140">
        <v>3.75</v>
      </c>
      <c r="H1102" s="140" t="s">
        <v>23</v>
      </c>
      <c r="I1102" s="140" t="s">
        <v>460</v>
      </c>
      <c r="J1102" s="140" t="s">
        <v>9978</v>
      </c>
      <c r="K1102" s="140">
        <v>4</v>
      </c>
      <c r="L1102" s="140" t="s">
        <v>462</v>
      </c>
      <c r="M1102" s="140" t="s">
        <v>9979</v>
      </c>
      <c r="N1102" s="140">
        <v>3.5</v>
      </c>
      <c r="O1102" s="140" t="s">
        <v>784</v>
      </c>
      <c r="P1102" s="142">
        <v>500000</v>
      </c>
      <c r="Q1102" s="140" t="s">
        <v>452</v>
      </c>
      <c r="R1102" s="140" t="s">
        <v>452</v>
      </c>
      <c r="S1102" s="140" t="s">
        <v>9980</v>
      </c>
      <c r="T1102" s="140" t="s">
        <v>9981</v>
      </c>
      <c r="U1102" s="143" t="s">
        <v>454</v>
      </c>
      <c r="V1102" s="143"/>
      <c r="W1102" s="143" t="s">
        <v>9980</v>
      </c>
      <c r="X1102" s="140" t="s">
        <v>1020</v>
      </c>
      <c r="Y1102" s="140" t="s">
        <v>9982</v>
      </c>
      <c r="Z1102" s="140" t="str">
        <f ca="1">IFERROR(__xludf.DUMMYFUNCTION("IF(VLOOKUP($Y1102, IMPORTRANGE(""https://docs.google.com/spreadsheets/d/1WsTKRjz8_fF2119Ff9dhKIIYXSaUEHzuWr8pBkxmwQQ/edit"", ""Form Responses 1!$B:$Z""),1, FALSE)=$Y1102,""Yes"",""No"")"),"#N/A")</f>
        <v>#N/A</v>
      </c>
      <c r="AA1102" s="140"/>
      <c r="AB1102" s="140"/>
    </row>
    <row r="1103" spans="1:28">
      <c r="A1103" s="144" t="s">
        <v>598</v>
      </c>
      <c r="B1103" s="144" t="s">
        <v>371</v>
      </c>
      <c r="C1103" s="144" t="s">
        <v>9983</v>
      </c>
      <c r="D1103" s="144" t="s">
        <v>9984</v>
      </c>
      <c r="E1103" s="144" t="s">
        <v>9985</v>
      </c>
      <c r="F1103" s="144" t="s">
        <v>5</v>
      </c>
      <c r="G1103" s="144">
        <v>4.25</v>
      </c>
      <c r="H1103" s="166" t="s">
        <v>18</v>
      </c>
      <c r="I1103" s="144" t="s">
        <v>447</v>
      </c>
      <c r="J1103" s="144" t="s">
        <v>9986</v>
      </c>
      <c r="K1103" s="144">
        <v>4</v>
      </c>
      <c r="L1103" s="144" t="s">
        <v>543</v>
      </c>
      <c r="M1103" s="144" t="s">
        <v>9987</v>
      </c>
      <c r="N1103" s="144">
        <v>4.5</v>
      </c>
      <c r="O1103" s="144" t="s">
        <v>451</v>
      </c>
      <c r="P1103" s="146">
        <v>2000000</v>
      </c>
      <c r="Q1103" s="144" t="s">
        <v>452</v>
      </c>
      <c r="R1103" s="144" t="s">
        <v>9988</v>
      </c>
      <c r="S1103" s="144" t="s">
        <v>9989</v>
      </c>
      <c r="T1103" s="144"/>
      <c r="U1103" s="145" t="s">
        <v>454</v>
      </c>
      <c r="V1103" s="145"/>
      <c r="W1103" s="145" t="s">
        <v>9989</v>
      </c>
      <c r="X1103" s="144" t="s">
        <v>9990</v>
      </c>
      <c r="Y1103" s="144" t="s">
        <v>9991</v>
      </c>
      <c r="Z1103" s="144" t="e">
        <f>IF(VLOOKUP($Y1103,'For Lookup'!$A:$B,1, FALSE)=$Y1103,"Yes","No")</f>
        <v>#N/A</v>
      </c>
      <c r="AA1103" s="144"/>
      <c r="AB1103" s="144"/>
    </row>
    <row r="1104" spans="1:28">
      <c r="A1104" s="140" t="s">
        <v>503</v>
      </c>
      <c r="B1104" s="140" t="s">
        <v>372</v>
      </c>
      <c r="C1104" s="140" t="s">
        <v>9992</v>
      </c>
      <c r="D1104" s="140" t="s">
        <v>9993</v>
      </c>
      <c r="E1104" s="140" t="s">
        <v>9994</v>
      </c>
      <c r="F1104" s="140" t="s">
        <v>5</v>
      </c>
      <c r="G1104" s="140">
        <v>4</v>
      </c>
      <c r="H1104" s="140" t="s">
        <v>35</v>
      </c>
      <c r="I1104" s="140" t="s">
        <v>447</v>
      </c>
      <c r="J1104" s="140" t="s">
        <v>9995</v>
      </c>
      <c r="K1104" s="140">
        <v>4</v>
      </c>
      <c r="L1104" s="140" t="s">
        <v>622</v>
      </c>
      <c r="M1104" s="140" t="s">
        <v>9996</v>
      </c>
      <c r="N1104" s="140">
        <v>4</v>
      </c>
      <c r="O1104" s="140"/>
      <c r="P1104" s="140" t="s">
        <v>9997</v>
      </c>
      <c r="Q1104" s="140" t="s">
        <v>452</v>
      </c>
      <c r="R1104" s="140" t="s">
        <v>9998</v>
      </c>
      <c r="S1104" s="140"/>
      <c r="T1104" s="140" t="s">
        <v>9999</v>
      </c>
      <c r="U1104" s="143" t="s">
        <v>481</v>
      </c>
      <c r="V1104" s="143"/>
      <c r="W1104" s="143"/>
      <c r="X1104" s="140" t="s">
        <v>10000</v>
      </c>
      <c r="Y1104" s="140" t="s">
        <v>10001</v>
      </c>
      <c r="Z1104" s="140" t="e">
        <f>IF(VLOOKUP($Y1104,'For Lookup'!$A:$B,1, FALSE)=$Y1104,"Yes","No")</f>
        <v>#N/A</v>
      </c>
      <c r="AA1104" s="140"/>
      <c r="AB1104" s="140"/>
    </row>
    <row r="1105" spans="1:28">
      <c r="A1105" s="144" t="s">
        <v>443</v>
      </c>
      <c r="B1105" s="144" t="s">
        <v>373</v>
      </c>
      <c r="C1105" s="144" t="s">
        <v>10002</v>
      </c>
      <c r="D1105" s="144" t="s">
        <v>10003</v>
      </c>
      <c r="E1105" s="144" t="s">
        <v>10004</v>
      </c>
      <c r="F1105" s="144" t="s">
        <v>5</v>
      </c>
      <c r="G1105" s="144">
        <v>3</v>
      </c>
      <c r="H1105" s="144" t="s">
        <v>35</v>
      </c>
      <c r="I1105" s="144" t="s">
        <v>460</v>
      </c>
      <c r="J1105" s="144" t="s">
        <v>10005</v>
      </c>
      <c r="K1105" s="144">
        <v>3</v>
      </c>
      <c r="L1105" s="144" t="s">
        <v>488</v>
      </c>
      <c r="M1105" s="144" t="s">
        <v>10006</v>
      </c>
      <c r="N1105" s="144">
        <v>3</v>
      </c>
      <c r="O1105" s="144"/>
      <c r="P1105" s="144"/>
      <c r="Q1105" s="144" t="s">
        <v>452</v>
      </c>
      <c r="R1105" s="144" t="s">
        <v>10007</v>
      </c>
      <c r="S1105" s="144" t="s">
        <v>460</v>
      </c>
      <c r="T1105" s="144" t="s">
        <v>10008</v>
      </c>
      <c r="U1105" s="145" t="s">
        <v>454</v>
      </c>
      <c r="V1105" s="145"/>
      <c r="W1105" s="145" t="s">
        <v>460</v>
      </c>
      <c r="X1105" s="144" t="s">
        <v>1680</v>
      </c>
      <c r="Y1105" s="144" t="s">
        <v>10009</v>
      </c>
      <c r="Z1105" s="144" t="e">
        <f>IF(VLOOKUP($Y1105,'For Lookup'!$A:$B,1, FALSE)=$Y1105,"Yes","No")</f>
        <v>#N/A</v>
      </c>
      <c r="AA1105" s="144"/>
      <c r="AB1105" s="144"/>
    </row>
    <row r="1106" spans="1:28">
      <c r="A1106" s="140" t="s">
        <v>471</v>
      </c>
      <c r="B1106" s="140" t="s">
        <v>375</v>
      </c>
      <c r="C1106" s="140" t="s">
        <v>10010</v>
      </c>
      <c r="D1106" s="140" t="s">
        <v>10011</v>
      </c>
      <c r="E1106" s="140" t="s">
        <v>10012</v>
      </c>
      <c r="F1106" s="140" t="s">
        <v>5</v>
      </c>
      <c r="G1106" s="140">
        <v>3.5</v>
      </c>
      <c r="H1106" s="140" t="s">
        <v>35</v>
      </c>
      <c r="I1106" s="140" t="s">
        <v>447</v>
      </c>
      <c r="J1106" s="140" t="s">
        <v>10013</v>
      </c>
      <c r="K1106" s="140">
        <v>4</v>
      </c>
      <c r="L1106" s="140" t="s">
        <v>449</v>
      </c>
      <c r="M1106" s="140" t="s">
        <v>10014</v>
      </c>
      <c r="N1106" s="140">
        <v>3</v>
      </c>
      <c r="O1106" s="140" t="s">
        <v>451</v>
      </c>
      <c r="P1106" s="148">
        <v>5000000</v>
      </c>
      <c r="Q1106" s="140" t="s">
        <v>452</v>
      </c>
      <c r="R1106" s="140" t="s">
        <v>452</v>
      </c>
      <c r="S1106" s="140" t="s">
        <v>447</v>
      </c>
      <c r="T1106" s="140"/>
      <c r="U1106" s="143" t="s">
        <v>481</v>
      </c>
      <c r="V1106" s="143"/>
      <c r="W1106" s="143" t="s">
        <v>447</v>
      </c>
      <c r="X1106" s="140" t="s">
        <v>10015</v>
      </c>
      <c r="Y1106" s="140" t="s">
        <v>10016</v>
      </c>
      <c r="Z1106" s="140" t="e">
        <f>IF(VLOOKUP($Y1106,'For Lookup'!$A:$B,1, FALSE)=$Y1106,"Yes","No")</f>
        <v>#N/A</v>
      </c>
      <c r="AA1106" s="140"/>
      <c r="AB1106" s="140"/>
    </row>
    <row r="1107" spans="1:28">
      <c r="A1107" s="144" t="s">
        <v>503</v>
      </c>
      <c r="B1107" s="144" t="s">
        <v>376</v>
      </c>
      <c r="C1107" s="144" t="s">
        <v>10017</v>
      </c>
      <c r="D1107" s="144" t="s">
        <v>10018</v>
      </c>
      <c r="E1107" s="144" t="s">
        <v>10019</v>
      </c>
      <c r="F1107" s="144" t="s">
        <v>5</v>
      </c>
      <c r="G1107" s="144">
        <v>4</v>
      </c>
      <c r="H1107" s="144" t="s">
        <v>35</v>
      </c>
      <c r="I1107" s="144" t="s">
        <v>447</v>
      </c>
      <c r="J1107" s="144" t="s">
        <v>10020</v>
      </c>
      <c r="K1107" s="144">
        <v>4</v>
      </c>
      <c r="L1107" s="144" t="s">
        <v>543</v>
      </c>
      <c r="M1107" s="144" t="s">
        <v>10021</v>
      </c>
      <c r="N1107" s="144">
        <v>4</v>
      </c>
      <c r="O1107" s="144" t="s">
        <v>784</v>
      </c>
      <c r="P1107" s="144">
        <v>500000</v>
      </c>
      <c r="Q1107" s="144" t="s">
        <v>452</v>
      </c>
      <c r="R1107" s="144" t="s">
        <v>452</v>
      </c>
      <c r="S1107" s="144" t="s">
        <v>10022</v>
      </c>
      <c r="T1107" s="144" t="s">
        <v>10023</v>
      </c>
      <c r="U1107" s="145" t="s">
        <v>454</v>
      </c>
      <c r="V1107" s="145"/>
      <c r="W1107" s="145" t="s">
        <v>10022</v>
      </c>
      <c r="X1107" s="144" t="s">
        <v>10024</v>
      </c>
      <c r="Y1107" s="144" t="s">
        <v>10025</v>
      </c>
      <c r="Z1107" s="144" t="e">
        <f>IF(VLOOKUP($Y1107,'For Lookup'!$A:$B,1, FALSE)=$Y1107,"Yes","No")</f>
        <v>#N/A</v>
      </c>
      <c r="AA1107" s="144"/>
      <c r="AB1107" s="144"/>
    </row>
    <row r="1108" spans="1:28">
      <c r="A1108" s="140" t="s">
        <v>529</v>
      </c>
      <c r="B1108" s="140" t="s">
        <v>379</v>
      </c>
      <c r="C1108" s="140" t="s">
        <v>10026</v>
      </c>
      <c r="D1108" s="140" t="s">
        <v>10027</v>
      </c>
      <c r="E1108" s="140" t="s">
        <v>10028</v>
      </c>
      <c r="F1108" s="140" t="s">
        <v>5</v>
      </c>
      <c r="G1108" s="140">
        <v>4</v>
      </c>
      <c r="H1108" s="140" t="s">
        <v>35</v>
      </c>
      <c r="I1108" s="140" t="s">
        <v>460</v>
      </c>
      <c r="J1108" s="140" t="s">
        <v>10029</v>
      </c>
      <c r="K1108" s="140">
        <v>4</v>
      </c>
      <c r="L1108" s="140" t="s">
        <v>462</v>
      </c>
      <c r="M1108" s="140" t="s">
        <v>10030</v>
      </c>
      <c r="N1108" s="140">
        <v>4</v>
      </c>
      <c r="O1108" s="140" t="s">
        <v>973</v>
      </c>
      <c r="P1108" s="140" t="s">
        <v>10031</v>
      </c>
      <c r="Q1108" s="140" t="s">
        <v>452</v>
      </c>
      <c r="R1108" s="140" t="s">
        <v>10032</v>
      </c>
      <c r="S1108" s="140"/>
      <c r="T1108" s="140" t="s">
        <v>10033</v>
      </c>
      <c r="U1108" s="143" t="s">
        <v>481</v>
      </c>
      <c r="V1108" s="143"/>
      <c r="W1108" s="143"/>
      <c r="X1108" s="140" t="s">
        <v>10034</v>
      </c>
      <c r="Y1108" s="140" t="s">
        <v>10035</v>
      </c>
      <c r="Z1108" s="140" t="e">
        <f>IF(VLOOKUP($Y1108,'For Lookup'!$A:$B,1, FALSE)=$Y1108,"Yes","No")</f>
        <v>#N/A</v>
      </c>
      <c r="AA1108" s="140"/>
      <c r="AB1108" s="140"/>
    </row>
    <row r="1109" spans="1:28">
      <c r="A1109" s="144" t="s">
        <v>484</v>
      </c>
      <c r="B1109" s="144" t="s">
        <v>381</v>
      </c>
      <c r="C1109" s="144" t="s">
        <v>10036</v>
      </c>
      <c r="D1109" s="144" t="s">
        <v>10037</v>
      </c>
      <c r="E1109" s="144" t="s">
        <v>10038</v>
      </c>
      <c r="F1109" s="144" t="s">
        <v>5</v>
      </c>
      <c r="G1109" s="144">
        <v>3.75</v>
      </c>
      <c r="H1109" s="144" t="s">
        <v>35</v>
      </c>
      <c r="I1109" s="144" t="s">
        <v>447</v>
      </c>
      <c r="J1109" s="144" t="s">
        <v>10039</v>
      </c>
      <c r="K1109" s="144">
        <v>3.5</v>
      </c>
      <c r="L1109" s="144" t="s">
        <v>449</v>
      </c>
      <c r="M1109" s="144" t="s">
        <v>10040</v>
      </c>
      <c r="N1109" s="144">
        <v>4</v>
      </c>
      <c r="O1109" s="144" t="s">
        <v>451</v>
      </c>
      <c r="P1109" s="167">
        <v>800</v>
      </c>
      <c r="Q1109" s="144" t="s">
        <v>465</v>
      </c>
      <c r="R1109" s="144" t="s">
        <v>10041</v>
      </c>
      <c r="S1109" s="144"/>
      <c r="T1109" s="144" t="s">
        <v>10042</v>
      </c>
      <c r="U1109" s="145" t="s">
        <v>454</v>
      </c>
      <c r="V1109" s="145"/>
      <c r="W1109" s="145"/>
      <c r="X1109" s="144" t="s">
        <v>10043</v>
      </c>
      <c r="Y1109" s="144" t="s">
        <v>10044</v>
      </c>
      <c r="Z1109" s="144" t="e">
        <f>IF(VLOOKUP($Y1109,'For Lookup'!$A:$B,1, FALSE)=$Y1109,"Yes","No")</f>
        <v>#N/A</v>
      </c>
      <c r="AA1109" s="144"/>
      <c r="AB1109" s="144"/>
    </row>
    <row r="1110" spans="1:28">
      <c r="A1110" s="140" t="s">
        <v>471</v>
      </c>
      <c r="B1110" s="140" t="s">
        <v>382</v>
      </c>
      <c r="C1110" s="140" t="s">
        <v>10045</v>
      </c>
      <c r="D1110" s="140" t="s">
        <v>10046</v>
      </c>
      <c r="E1110" s="140" t="s">
        <v>10047</v>
      </c>
      <c r="F1110" s="140" t="s">
        <v>5</v>
      </c>
      <c r="G1110" s="140">
        <v>4</v>
      </c>
      <c r="H1110" s="140" t="s">
        <v>35</v>
      </c>
      <c r="I1110" s="140" t="s">
        <v>447</v>
      </c>
      <c r="J1110" s="140" t="s">
        <v>10048</v>
      </c>
      <c r="K1110" s="140">
        <v>4</v>
      </c>
      <c r="L1110" s="140" t="s">
        <v>543</v>
      </c>
      <c r="M1110" s="140"/>
      <c r="N1110" s="140">
        <v>4</v>
      </c>
      <c r="O1110" s="140" t="s">
        <v>784</v>
      </c>
      <c r="P1110" s="148">
        <v>1200000</v>
      </c>
      <c r="Q1110" s="140" t="s">
        <v>452</v>
      </c>
      <c r="R1110" s="140" t="s">
        <v>10049</v>
      </c>
      <c r="S1110" s="140" t="s">
        <v>10050</v>
      </c>
      <c r="T1110" s="140"/>
      <c r="U1110" s="143" t="s">
        <v>481</v>
      </c>
      <c r="V1110" s="143"/>
      <c r="W1110" s="143" t="s">
        <v>10050</v>
      </c>
      <c r="X1110" s="140" t="s">
        <v>3522</v>
      </c>
      <c r="Y1110" s="140" t="s">
        <v>10051</v>
      </c>
      <c r="Z1110" s="140" t="e">
        <f>IF(VLOOKUP($Y1110,'For Lookup'!$A:$B,1, FALSE)=$Y1110,"Yes","No")</f>
        <v>#N/A</v>
      </c>
      <c r="AA1110" s="140"/>
      <c r="AB1110" s="140"/>
    </row>
    <row r="1111" spans="1:28">
      <c r="A1111" s="144" t="s">
        <v>471</v>
      </c>
      <c r="B1111" s="144" t="s">
        <v>384</v>
      </c>
      <c r="C1111" s="144" t="s">
        <v>10052</v>
      </c>
      <c r="D1111" s="144" t="s">
        <v>10053</v>
      </c>
      <c r="E1111" s="144" t="s">
        <v>10054</v>
      </c>
      <c r="F1111" s="144" t="s">
        <v>5</v>
      </c>
      <c r="G1111" s="144">
        <v>3.75</v>
      </c>
      <c r="H1111" s="144" t="s">
        <v>35</v>
      </c>
      <c r="I1111" s="144" t="s">
        <v>447</v>
      </c>
      <c r="J1111" s="144" t="s">
        <v>10055</v>
      </c>
      <c r="K1111" s="144">
        <v>3.5</v>
      </c>
      <c r="L1111" s="144" t="s">
        <v>622</v>
      </c>
      <c r="M1111" s="144" t="s">
        <v>10056</v>
      </c>
      <c r="N1111" s="144">
        <v>4</v>
      </c>
      <c r="O1111" s="144" t="s">
        <v>451</v>
      </c>
      <c r="P1111" s="144">
        <v>5000000</v>
      </c>
      <c r="Q1111" s="144" t="s">
        <v>452</v>
      </c>
      <c r="R1111" s="144" t="s">
        <v>10057</v>
      </c>
      <c r="S1111" s="144" t="s">
        <v>725</v>
      </c>
      <c r="T1111" s="144" t="s">
        <v>10058</v>
      </c>
      <c r="U1111" s="145" t="s">
        <v>481</v>
      </c>
      <c r="V1111" s="145"/>
      <c r="W1111" s="145" t="s">
        <v>725</v>
      </c>
      <c r="X1111" s="144" t="s">
        <v>10059</v>
      </c>
      <c r="Y1111" s="144" t="s">
        <v>10060</v>
      </c>
      <c r="Z1111" s="144" t="e">
        <f>IF(VLOOKUP($Y1111,'For Lookup'!$A:$B,1, FALSE)=$Y1111,"Yes","No")</f>
        <v>#N/A</v>
      </c>
      <c r="AA1111" s="144"/>
      <c r="AB1111" s="144"/>
    </row>
    <row r="1112" spans="1:28">
      <c r="A1112" s="140" t="s">
        <v>484</v>
      </c>
      <c r="B1112" s="140" t="s">
        <v>386</v>
      </c>
      <c r="C1112" s="140" t="s">
        <v>10061</v>
      </c>
      <c r="D1112" s="140" t="s">
        <v>10062</v>
      </c>
      <c r="E1112" s="140" t="s">
        <v>10063</v>
      </c>
      <c r="F1112" s="140" t="s">
        <v>5</v>
      </c>
      <c r="G1112" s="140">
        <v>3.75</v>
      </c>
      <c r="H1112" s="140" t="s">
        <v>35</v>
      </c>
      <c r="I1112" s="140" t="s">
        <v>447</v>
      </c>
      <c r="J1112" s="140" t="s">
        <v>10064</v>
      </c>
      <c r="K1112" s="140">
        <v>3.5</v>
      </c>
      <c r="L1112" s="140" t="s">
        <v>622</v>
      </c>
      <c r="M1112" s="140" t="s">
        <v>10065</v>
      </c>
      <c r="N1112" s="140">
        <v>4</v>
      </c>
      <c r="O1112" s="140" t="s">
        <v>478</v>
      </c>
      <c r="P1112" s="140" t="s">
        <v>10066</v>
      </c>
      <c r="Q1112" s="140" t="s">
        <v>452</v>
      </c>
      <c r="R1112" s="140" t="s">
        <v>10067</v>
      </c>
      <c r="S1112" s="140"/>
      <c r="T1112" s="140" t="s">
        <v>10068</v>
      </c>
      <c r="U1112" s="143" t="s">
        <v>481</v>
      </c>
      <c r="V1112" s="143"/>
      <c r="W1112" s="143"/>
      <c r="X1112" s="140" t="s">
        <v>10069</v>
      </c>
      <c r="Y1112" s="140" t="s">
        <v>10070</v>
      </c>
      <c r="Z1112" s="140" t="e">
        <f>IF(VLOOKUP($Y1112,'For Lookup'!$A:$B,1, FALSE)=$Y1112,"Yes","No")</f>
        <v>#N/A</v>
      </c>
      <c r="AA1112" s="140"/>
      <c r="AB1112" s="140"/>
    </row>
    <row r="1113" spans="1:28">
      <c r="A1113" s="144" t="s">
        <v>598</v>
      </c>
      <c r="B1113" s="144" t="s">
        <v>387</v>
      </c>
      <c r="C1113" s="144" t="s">
        <v>10071</v>
      </c>
      <c r="D1113" s="144" t="s">
        <v>10072</v>
      </c>
      <c r="E1113" s="144" t="s">
        <v>10073</v>
      </c>
      <c r="F1113" s="144" t="s">
        <v>5</v>
      </c>
      <c r="G1113" s="144">
        <v>4</v>
      </c>
      <c r="H1113" s="144" t="s">
        <v>35</v>
      </c>
      <c r="I1113" s="144" t="s">
        <v>447</v>
      </c>
      <c r="J1113" s="144" t="s">
        <v>10074</v>
      </c>
      <c r="K1113" s="144">
        <v>4</v>
      </c>
      <c r="L1113" s="144" t="s">
        <v>449</v>
      </c>
      <c r="M1113" s="144" t="s">
        <v>10075</v>
      </c>
      <c r="N1113" s="144">
        <v>4</v>
      </c>
      <c r="O1113" s="144" t="s">
        <v>10076</v>
      </c>
      <c r="P1113" s="147">
        <v>8000000</v>
      </c>
      <c r="Q1113" s="144" t="s">
        <v>452</v>
      </c>
      <c r="R1113" s="144" t="s">
        <v>10077</v>
      </c>
      <c r="S1113" s="144"/>
      <c r="T1113" s="144"/>
      <c r="U1113" s="145" t="s">
        <v>481</v>
      </c>
      <c r="V1113" s="145"/>
      <c r="W1113" s="145"/>
      <c r="X1113" s="144" t="s">
        <v>10078</v>
      </c>
      <c r="Y1113" s="144" t="s">
        <v>10079</v>
      </c>
      <c r="Z1113" s="144" t="e">
        <f>IF(VLOOKUP($Y1113,'For Lookup'!$A:$B,1, FALSE)=$Y1113,"Yes","No")</f>
        <v>#N/A</v>
      </c>
      <c r="AA1113" s="144"/>
      <c r="AB1113" s="144"/>
    </row>
    <row r="1114" spans="1:28">
      <c r="A1114" s="140" t="s">
        <v>503</v>
      </c>
      <c r="B1114" s="140" t="s">
        <v>389</v>
      </c>
      <c r="C1114" s="140" t="s">
        <v>10080</v>
      </c>
      <c r="D1114" s="140" t="s">
        <v>10081</v>
      </c>
      <c r="E1114" s="140" t="s">
        <v>10082</v>
      </c>
      <c r="F1114" s="140" t="s">
        <v>5</v>
      </c>
      <c r="G1114" s="140">
        <v>4</v>
      </c>
      <c r="H1114" s="140" t="s">
        <v>35</v>
      </c>
      <c r="I1114" s="140" t="s">
        <v>460</v>
      </c>
      <c r="J1114" s="140"/>
      <c r="K1114" s="140">
        <v>4</v>
      </c>
      <c r="L1114" s="140" t="s">
        <v>488</v>
      </c>
      <c r="M1114" s="140" t="s">
        <v>10083</v>
      </c>
      <c r="N1114" s="140">
        <v>4</v>
      </c>
      <c r="O1114" s="140" t="s">
        <v>923</v>
      </c>
      <c r="P1114" s="148">
        <v>1000000</v>
      </c>
      <c r="Q1114" s="140" t="s">
        <v>452</v>
      </c>
      <c r="R1114" s="140" t="s">
        <v>1119</v>
      </c>
      <c r="S1114" s="140"/>
      <c r="T1114" s="140" t="s">
        <v>10084</v>
      </c>
      <c r="U1114" s="143" t="s">
        <v>481</v>
      </c>
      <c r="V1114" s="143"/>
      <c r="W1114" s="143"/>
      <c r="X1114" s="140" t="s">
        <v>10085</v>
      </c>
      <c r="Y1114" s="140" t="s">
        <v>10086</v>
      </c>
      <c r="Z1114" s="140" t="e">
        <f>IF(VLOOKUP($Y1114,'For Lookup'!$A:$B,1, FALSE)=$Y1114,"Yes","No")</f>
        <v>#N/A</v>
      </c>
      <c r="AA1114" s="140"/>
      <c r="AB1114" s="140"/>
    </row>
    <row r="1115" spans="1:28">
      <c r="A1115" s="144" t="s">
        <v>471</v>
      </c>
      <c r="B1115" s="144" t="s">
        <v>10087</v>
      </c>
      <c r="C1115" s="144" t="s">
        <v>10088</v>
      </c>
      <c r="D1115" s="144" t="s">
        <v>10089</v>
      </c>
      <c r="E1115" s="144" t="s">
        <v>10090</v>
      </c>
      <c r="F1115" s="144" t="s">
        <v>3</v>
      </c>
      <c r="G1115" s="144">
        <v>4</v>
      </c>
      <c r="H1115" s="144" t="s">
        <v>35</v>
      </c>
      <c r="I1115" s="144" t="s">
        <v>460</v>
      </c>
      <c r="J1115" s="144" t="s">
        <v>10091</v>
      </c>
      <c r="K1115" s="144">
        <v>4</v>
      </c>
      <c r="L1115" s="144" t="s">
        <v>941</v>
      </c>
      <c r="M1115" s="144"/>
      <c r="N1115" s="144">
        <v>4</v>
      </c>
      <c r="O1115" s="144" t="s">
        <v>478</v>
      </c>
      <c r="P1115" s="144" t="s">
        <v>4966</v>
      </c>
      <c r="Q1115" s="144" t="s">
        <v>452</v>
      </c>
      <c r="R1115" s="144" t="s">
        <v>10092</v>
      </c>
      <c r="S1115" s="144"/>
      <c r="T1115" s="144" t="s">
        <v>10093</v>
      </c>
      <c r="U1115" s="145"/>
      <c r="V1115" s="145"/>
      <c r="W1115" s="145"/>
      <c r="X1115" s="144" t="s">
        <v>10094</v>
      </c>
      <c r="Y1115" s="144" t="s">
        <v>10095</v>
      </c>
      <c r="Z1115" s="144" t="e">
        <f>IF(VLOOKUP($Y1115,'For Lookup'!$A:$B,1, FALSE)=$Y1115,"Yes","No")</f>
        <v>#N/A</v>
      </c>
      <c r="AA1115" s="144"/>
      <c r="AB1115" s="144"/>
    </row>
    <row r="1116" spans="1:28">
      <c r="A1116" s="140" t="s">
        <v>503</v>
      </c>
      <c r="B1116" s="140" t="s">
        <v>395</v>
      </c>
      <c r="C1116" s="140" t="s">
        <v>10096</v>
      </c>
      <c r="D1116" s="140" t="s">
        <v>10097</v>
      </c>
      <c r="E1116" s="140" t="s">
        <v>10098</v>
      </c>
      <c r="F1116" s="140" t="s">
        <v>3</v>
      </c>
      <c r="G1116" s="140">
        <v>4</v>
      </c>
      <c r="H1116" s="140" t="s">
        <v>35</v>
      </c>
      <c r="I1116" s="140" t="s">
        <v>460</v>
      </c>
      <c r="J1116" s="140" t="s">
        <v>10099</v>
      </c>
      <c r="K1116" s="140">
        <v>4</v>
      </c>
      <c r="L1116" s="140" t="s">
        <v>488</v>
      </c>
      <c r="M1116" s="140" t="s">
        <v>10100</v>
      </c>
      <c r="N1116" s="140">
        <v>4</v>
      </c>
      <c r="O1116" s="140" t="s">
        <v>451</v>
      </c>
      <c r="P1116" s="140" t="s">
        <v>10101</v>
      </c>
      <c r="Q1116" s="140" t="s">
        <v>452</v>
      </c>
      <c r="R1116" s="140" t="s">
        <v>10102</v>
      </c>
      <c r="S1116" s="140" t="s">
        <v>10103</v>
      </c>
      <c r="T1116" s="140"/>
      <c r="U1116" s="143" t="s">
        <v>481</v>
      </c>
      <c r="V1116" s="143"/>
      <c r="W1116" s="143" t="s">
        <v>10103</v>
      </c>
      <c r="X1116" s="140" t="s">
        <v>926</v>
      </c>
      <c r="Y1116" s="140" t="s">
        <v>10104</v>
      </c>
      <c r="Z1116" s="140" t="e">
        <f>IF(VLOOKUP($Y1116,'For Lookup'!$A:$B,1, FALSE)=$Y1116,"Yes","No")</f>
        <v>#N/A</v>
      </c>
      <c r="AA1116" s="140"/>
      <c r="AB1116" s="140"/>
    </row>
    <row r="1117" spans="1:28">
      <c r="A1117" s="144" t="s">
        <v>443</v>
      </c>
      <c r="B1117" s="144" t="s">
        <v>399</v>
      </c>
      <c r="C1117" s="144" t="s">
        <v>10105</v>
      </c>
      <c r="D1117" s="144" t="s">
        <v>10106</v>
      </c>
      <c r="E1117" s="144" t="s">
        <v>10107</v>
      </c>
      <c r="F1117" s="144" t="s">
        <v>3</v>
      </c>
      <c r="G1117" s="144">
        <v>4</v>
      </c>
      <c r="H1117" s="144" t="s">
        <v>35</v>
      </c>
      <c r="I1117" s="144" t="s">
        <v>460</v>
      </c>
      <c r="J1117" s="144" t="s">
        <v>10108</v>
      </c>
      <c r="K1117" s="144">
        <v>4</v>
      </c>
      <c r="L1117" s="144" t="s">
        <v>462</v>
      </c>
      <c r="M1117" s="144" t="s">
        <v>10109</v>
      </c>
      <c r="N1117" s="144">
        <v>4</v>
      </c>
      <c r="O1117" s="144" t="s">
        <v>478</v>
      </c>
      <c r="P1117" s="147">
        <v>25000000</v>
      </c>
      <c r="Q1117" s="144" t="s">
        <v>452</v>
      </c>
      <c r="R1117" s="144" t="s">
        <v>10110</v>
      </c>
      <c r="S1117" s="144"/>
      <c r="T1117" s="144"/>
      <c r="U1117" s="145" t="s">
        <v>481</v>
      </c>
      <c r="V1117" s="145"/>
      <c r="W1117" s="145"/>
      <c r="X1117" s="144" t="s">
        <v>10111</v>
      </c>
      <c r="Y1117" s="144" t="s">
        <v>10112</v>
      </c>
      <c r="Z1117" s="144" t="e">
        <f>IF(VLOOKUP($Y1117,'For Lookup'!$A:$B,1, FALSE)=$Y1117,"Yes","No")</f>
        <v>#N/A</v>
      </c>
      <c r="AA1117" s="144"/>
      <c r="AB1117" s="144"/>
    </row>
    <row r="1118" spans="1:28">
      <c r="A1118" s="140" t="s">
        <v>598</v>
      </c>
      <c r="B1118" s="140" t="s">
        <v>401</v>
      </c>
      <c r="C1118" s="140" t="s">
        <v>10113</v>
      </c>
      <c r="D1118" s="140" t="s">
        <v>10114</v>
      </c>
      <c r="E1118" s="140" t="s">
        <v>10115</v>
      </c>
      <c r="F1118" s="140" t="s">
        <v>3</v>
      </c>
      <c r="G1118" s="140">
        <v>4</v>
      </c>
      <c r="H1118" s="140" t="s">
        <v>35</v>
      </c>
      <c r="I1118" s="140" t="s">
        <v>488</v>
      </c>
      <c r="J1118" s="140" t="s">
        <v>10116</v>
      </c>
      <c r="K1118" s="140">
        <v>4</v>
      </c>
      <c r="L1118" s="140" t="s">
        <v>462</v>
      </c>
      <c r="M1118" s="140" t="s">
        <v>10117</v>
      </c>
      <c r="N1118" s="140">
        <v>4</v>
      </c>
      <c r="O1118" s="140" t="s">
        <v>451</v>
      </c>
      <c r="P1118" s="142">
        <v>3000000</v>
      </c>
      <c r="Q1118" s="140" t="s">
        <v>465</v>
      </c>
      <c r="R1118" s="140" t="s">
        <v>10118</v>
      </c>
      <c r="S1118" s="140"/>
      <c r="T1118" s="140" t="s">
        <v>10119</v>
      </c>
      <c r="U1118" s="143" t="s">
        <v>481</v>
      </c>
      <c r="V1118" s="143"/>
      <c r="W1118" s="143"/>
      <c r="X1118" s="140" t="s">
        <v>1714</v>
      </c>
      <c r="Y1118" s="140" t="s">
        <v>10120</v>
      </c>
      <c r="Z1118" s="140" t="e">
        <f>IF(VLOOKUP($Y1118,'For Lookup'!$A:$B,1, FALSE)=$Y1118,"Yes","No")</f>
        <v>#N/A</v>
      </c>
      <c r="AA1118" s="140"/>
      <c r="AB1118" s="140"/>
    </row>
    <row r="1119" spans="1:28">
      <c r="A1119" s="144" t="s">
        <v>484</v>
      </c>
      <c r="B1119" s="144" t="s">
        <v>403</v>
      </c>
      <c r="C1119" s="144" t="s">
        <v>10121</v>
      </c>
      <c r="D1119" s="144" t="s">
        <v>10122</v>
      </c>
      <c r="E1119" s="144" t="s">
        <v>10123</v>
      </c>
      <c r="F1119" s="144" t="s">
        <v>3</v>
      </c>
      <c r="G1119" s="144">
        <v>3.75</v>
      </c>
      <c r="H1119" s="144" t="s">
        <v>35</v>
      </c>
      <c r="I1119" s="144" t="s">
        <v>460</v>
      </c>
      <c r="J1119" s="144" t="s">
        <v>10124</v>
      </c>
      <c r="K1119" s="144">
        <v>4</v>
      </c>
      <c r="L1119" s="144" t="s">
        <v>488</v>
      </c>
      <c r="M1119" s="144" t="s">
        <v>10125</v>
      </c>
      <c r="N1119" s="144">
        <v>3.5</v>
      </c>
      <c r="O1119" s="144" t="s">
        <v>451</v>
      </c>
      <c r="P1119" s="144" t="s">
        <v>2604</v>
      </c>
      <c r="Q1119" s="144" t="s">
        <v>454</v>
      </c>
      <c r="R1119" s="144" t="s">
        <v>10126</v>
      </c>
      <c r="S1119" s="144" t="s">
        <v>460</v>
      </c>
      <c r="T1119" s="144" t="s">
        <v>10127</v>
      </c>
      <c r="U1119" s="145" t="s">
        <v>481</v>
      </c>
      <c r="V1119" s="145" t="s">
        <v>465</v>
      </c>
      <c r="W1119" s="145" t="s">
        <v>460</v>
      </c>
      <c r="X1119" s="144" t="s">
        <v>10128</v>
      </c>
      <c r="Y1119" s="144" t="s">
        <v>10129</v>
      </c>
      <c r="Z1119" s="144" t="e">
        <f>IF(VLOOKUP($Y1119,'For Lookup'!$A:$B,1, FALSE)=$Y1119,"Yes","No")</f>
        <v>#N/A</v>
      </c>
      <c r="AA1119" s="144"/>
      <c r="AB1119" s="144"/>
    </row>
    <row r="1120" spans="1:28">
      <c r="A1120" s="140" t="s">
        <v>443</v>
      </c>
      <c r="B1120" s="140" t="s">
        <v>405</v>
      </c>
      <c r="C1120" s="140" t="s">
        <v>10130</v>
      </c>
      <c r="D1120" s="140" t="s">
        <v>10131</v>
      </c>
      <c r="E1120" s="140" t="s">
        <v>10132</v>
      </c>
      <c r="F1120" s="140" t="s">
        <v>3</v>
      </c>
      <c r="G1120" s="140">
        <v>3.75</v>
      </c>
      <c r="H1120" s="140" t="s">
        <v>35</v>
      </c>
      <c r="I1120" s="140" t="s">
        <v>460</v>
      </c>
      <c r="J1120" s="140" t="s">
        <v>10133</v>
      </c>
      <c r="K1120" s="140">
        <v>4</v>
      </c>
      <c r="L1120" s="140" t="s">
        <v>488</v>
      </c>
      <c r="M1120" s="140" t="s">
        <v>10134</v>
      </c>
      <c r="N1120" s="140">
        <v>3.5</v>
      </c>
      <c r="O1120" s="140" t="s">
        <v>784</v>
      </c>
      <c r="P1120" s="140">
        <v>2000000</v>
      </c>
      <c r="Q1120" s="140" t="s">
        <v>452</v>
      </c>
      <c r="R1120" s="140" t="s">
        <v>10135</v>
      </c>
      <c r="S1120" s="140" t="s">
        <v>460</v>
      </c>
      <c r="T1120" s="140" t="s">
        <v>10136</v>
      </c>
      <c r="U1120" s="143" t="s">
        <v>454</v>
      </c>
      <c r="V1120" s="143"/>
      <c r="W1120" s="143" t="s">
        <v>460</v>
      </c>
      <c r="X1120" s="140" t="s">
        <v>1622</v>
      </c>
      <c r="Y1120" s="140" t="s">
        <v>10137</v>
      </c>
      <c r="Z1120" s="140" t="e">
        <f>IF(VLOOKUP($Y1120,'For Lookup'!$A:$B,1, FALSE)=$Y1120,"Yes","No")</f>
        <v>#N/A</v>
      </c>
      <c r="AA1120" s="140"/>
      <c r="AB1120" s="140"/>
    </row>
    <row r="1121" spans="1:28">
      <c r="A1121" s="144" t="s">
        <v>484</v>
      </c>
      <c r="B1121" s="144" t="s">
        <v>411</v>
      </c>
      <c r="C1121" s="144" t="s">
        <v>10138</v>
      </c>
      <c r="D1121" s="144" t="s">
        <v>10139</v>
      </c>
      <c r="E1121" s="144" t="s">
        <v>10140</v>
      </c>
      <c r="F1121" s="144" t="s">
        <v>3</v>
      </c>
      <c r="G1121" s="144">
        <v>4</v>
      </c>
      <c r="H1121" s="144" t="s">
        <v>35</v>
      </c>
      <c r="I1121" s="144" t="s">
        <v>460</v>
      </c>
      <c r="J1121" s="144" t="s">
        <v>10141</v>
      </c>
      <c r="K1121" s="144">
        <v>4</v>
      </c>
      <c r="L1121" s="144" t="s">
        <v>488</v>
      </c>
      <c r="M1121" s="144" t="s">
        <v>10142</v>
      </c>
      <c r="N1121" s="144">
        <v>4</v>
      </c>
      <c r="O1121" s="144" t="s">
        <v>478</v>
      </c>
      <c r="P1121" s="147">
        <v>8000000</v>
      </c>
      <c r="Q1121" s="144" t="s">
        <v>452</v>
      </c>
      <c r="R1121" s="144" t="s">
        <v>10143</v>
      </c>
      <c r="S1121" s="144"/>
      <c r="T1121" s="144"/>
      <c r="U1121" s="145" t="s">
        <v>454</v>
      </c>
      <c r="V1121" s="145"/>
      <c r="W1121" s="145"/>
      <c r="X1121" s="144" t="s">
        <v>10144</v>
      </c>
      <c r="Y1121" s="144" t="s">
        <v>10145</v>
      </c>
      <c r="Z1121" s="144" t="e">
        <f>IF(VLOOKUP($Y1121,'For Lookup'!$A:$B,1, FALSE)=$Y1121,"Yes","No")</f>
        <v>#N/A</v>
      </c>
      <c r="AA1121" s="144"/>
      <c r="AB1121" s="144"/>
    </row>
    <row r="1122" spans="1:28">
      <c r="A1122" s="140" t="s">
        <v>529</v>
      </c>
      <c r="B1122" s="140" t="s">
        <v>10146</v>
      </c>
      <c r="C1122" s="140" t="s">
        <v>10147</v>
      </c>
      <c r="D1122" s="140" t="s">
        <v>10148</v>
      </c>
      <c r="E1122" s="140" t="s">
        <v>10149</v>
      </c>
      <c r="F1122" s="140" t="s">
        <v>3</v>
      </c>
      <c r="G1122" s="140">
        <v>4</v>
      </c>
      <c r="H1122" s="140" t="s">
        <v>35</v>
      </c>
      <c r="I1122" s="140" t="s">
        <v>725</v>
      </c>
      <c r="J1122" s="140" t="s">
        <v>10150</v>
      </c>
      <c r="K1122" s="140">
        <v>4</v>
      </c>
      <c r="L1122" s="140" t="s">
        <v>941</v>
      </c>
      <c r="M1122" s="140" t="s">
        <v>10151</v>
      </c>
      <c r="N1122" s="140">
        <v>4</v>
      </c>
      <c r="O1122" s="140" t="s">
        <v>478</v>
      </c>
      <c r="P1122" s="140" t="s">
        <v>10152</v>
      </c>
      <c r="Q1122" s="140" t="s">
        <v>452</v>
      </c>
      <c r="R1122" s="140" t="s">
        <v>10153</v>
      </c>
      <c r="S1122" s="140" t="s">
        <v>10154</v>
      </c>
      <c r="T1122" s="140"/>
      <c r="U1122" s="143"/>
      <c r="V1122" s="143"/>
      <c r="W1122" s="143"/>
      <c r="X1122" s="140" t="s">
        <v>6226</v>
      </c>
      <c r="Y1122" s="140" t="s">
        <v>10155</v>
      </c>
      <c r="Z1122" s="140" t="e">
        <f>IF(VLOOKUP($Y1122,'For Lookup'!$A:$B,1, FALSE)=$Y1122,"Yes","No")</f>
        <v>#N/A</v>
      </c>
      <c r="AA1122" s="140"/>
      <c r="AB1122" s="140"/>
    </row>
    <row r="1123" spans="1:28">
      <c r="A1123" s="144" t="s">
        <v>471</v>
      </c>
      <c r="B1123" s="144" t="s">
        <v>414</v>
      </c>
      <c r="C1123" s="144" t="s">
        <v>10156</v>
      </c>
      <c r="D1123" s="144" t="s">
        <v>10157</v>
      </c>
      <c r="E1123" s="144" t="s">
        <v>10158</v>
      </c>
      <c r="F1123" s="144" t="s">
        <v>3</v>
      </c>
      <c r="G1123" s="144">
        <v>4.25</v>
      </c>
      <c r="H1123" s="144" t="s">
        <v>35</v>
      </c>
      <c r="I1123" s="144" t="s">
        <v>460</v>
      </c>
      <c r="J1123" s="144" t="s">
        <v>10159</v>
      </c>
      <c r="K1123" s="144">
        <v>4.5</v>
      </c>
      <c r="L1123" s="144" t="s">
        <v>941</v>
      </c>
      <c r="M1123" s="144"/>
      <c r="N1123" s="144">
        <v>4</v>
      </c>
      <c r="O1123" s="144" t="s">
        <v>478</v>
      </c>
      <c r="P1123" s="160">
        <v>10000000</v>
      </c>
      <c r="Q1123" s="144" t="s">
        <v>452</v>
      </c>
      <c r="R1123" s="144" t="s">
        <v>452</v>
      </c>
      <c r="S1123" s="144"/>
      <c r="T1123" s="144"/>
      <c r="U1123" s="145" t="s">
        <v>454</v>
      </c>
      <c r="V1123" s="145"/>
      <c r="W1123" s="145"/>
      <c r="X1123" s="144" t="s">
        <v>10160</v>
      </c>
      <c r="Y1123" s="144" t="s">
        <v>10161</v>
      </c>
      <c r="Z1123" s="144" t="e">
        <f>IF(VLOOKUP($Y1123,'For Lookup'!$A:$B,1, FALSE)=$Y1123,"Yes","No")</f>
        <v>#N/A</v>
      </c>
      <c r="AA1123" s="144"/>
      <c r="AB1123" s="144"/>
    </row>
  </sheetData>
  <autoFilter ref="A1:AA1123" xr:uid="{00000000-0009-0000-0000-000002000000}"/>
  <conditionalFormatting sqref="F1:F1123">
    <cfRule type="cellIs" dxfId="47" priority="3" operator="equal">
      <formula>"Life Sciences"</formula>
    </cfRule>
    <cfRule type="cellIs" dxfId="46" priority="4" operator="equal">
      <formula>"Deep Tech"</formula>
    </cfRule>
    <cfRule type="cellIs" dxfId="45" priority="5" operator="equal">
      <formula>"Digital Tech"</formula>
    </cfRule>
  </conditionalFormatting>
  <conditionalFormatting sqref="H1:H1123">
    <cfRule type="cellIs" dxfId="44" priority="1" operator="equal">
      <formula>"Invite"</formula>
    </cfRule>
    <cfRule type="cellIs" dxfId="43" priority="2" operator="equal">
      <formula>"WaitList"</formula>
    </cfRule>
  </conditionalFormatting>
  <conditionalFormatting sqref="Z1:Z1123">
    <cfRule type="notContainsText" dxfId="42" priority="6" operator="notContains" text="YES">
      <formula>ISERROR(SEARCH(("YES"),(Z1)))</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outlinePr summaryBelow="0" summaryRight="0"/>
  </sheetPr>
  <dimension ref="A1:G136"/>
  <sheetViews>
    <sheetView tabSelected="1" workbookViewId="0"/>
  </sheetViews>
  <sheetFormatPr baseColWidth="10" defaultColWidth="14.5" defaultRowHeight="15" customHeight="1"/>
  <cols>
    <col min="1" max="1" width="36.33203125" customWidth="1"/>
    <col min="6" max="6" width="40.1640625" customWidth="1"/>
    <col min="7" max="7" width="22.83203125" customWidth="1"/>
  </cols>
  <sheetData>
    <row r="1" spans="1:7">
      <c r="A1" s="168" t="s">
        <v>10162</v>
      </c>
      <c r="B1" s="168" t="s">
        <v>10163</v>
      </c>
      <c r="F1" s="169" t="s">
        <v>10164</v>
      </c>
      <c r="G1" s="170" t="s">
        <v>10163</v>
      </c>
    </row>
    <row r="2" spans="1:7">
      <c r="A2" s="171" t="s">
        <v>1606</v>
      </c>
      <c r="B2" s="172" t="str">
        <f ca="1">IFERROR(__xludf.DUMMYFUNCTION("IF(VLOOKUP($A2, IMPORTRANGE(""https://docs.google.com/spreadsheets/d/1WsTKRjz8_fF2119Ff9dhKIIYXSaUEHzuWr8pBkxmwQQ/edit"", ""Form Responses 1!$B:$Z""),1, FALSE)=$A2,""Yes"",""No"")"),"Yes")</f>
        <v>Yes</v>
      </c>
      <c r="F2" s="170" t="s">
        <v>1132</v>
      </c>
      <c r="G2" s="173" t="str">
        <f ca="1">IFERROR(__xludf.DUMMYFUNCTION("IF(VLOOKUP($F2, IMPORTRANGE(""https://docs.google.com/spreadsheets/d/1g8hi4Vz_ciKKV-W3ruhVc-DrtEIxGiN7wQQSBhJ5lcI/edit"", ""Form Responses 1!$B:$Z""),1, FALSE)=$F2,""Yes"",""No"")"),"Yes")</f>
        <v>Yes</v>
      </c>
    </row>
    <row r="3" spans="1:7">
      <c r="A3" s="171" t="s">
        <v>470</v>
      </c>
      <c r="B3" s="172" t="str">
        <f ca="1">IFERROR(__xludf.DUMMYFUNCTION("IF(VLOOKUP($A3, IMPORTRANGE(""https://docs.google.com/spreadsheets/d/1WsTKRjz8_fF2119Ff9dhKIIYXSaUEHzuWr8pBkxmwQQ/edit"", ""Form Responses 1!$B:$Z""),1, FALSE)=$A3,""Yes"",""No"")"),"Yes")</f>
        <v>Yes</v>
      </c>
      <c r="F3" s="170" t="s">
        <v>608</v>
      </c>
      <c r="G3" s="173" t="str">
        <f ca="1">IFERROR(__xludf.DUMMYFUNCTION("IF(VLOOKUP($F3, IMPORTRANGE(""https://docs.google.com/spreadsheets/d/1g8hi4Vz_ciKKV-W3ruhVc-DrtEIxGiN7wQQSBhJ5lcI/edit"", ""Form Responses 1!$B:$Z""),1, FALSE)=$F3,""Yes"",""No"")"),"Yes")</f>
        <v>Yes</v>
      </c>
    </row>
    <row r="4" spans="1:7">
      <c r="A4" s="171" t="s">
        <v>994</v>
      </c>
      <c r="B4" s="172" t="str">
        <f ca="1">IFERROR(__xludf.DUMMYFUNCTION("IF(VLOOKUP($A4, IMPORTRANGE(""https://docs.google.com/spreadsheets/d/1WsTKRjz8_fF2119Ff9dhKIIYXSaUEHzuWr8pBkxmwQQ/edit"", ""Form Responses 1!$B:$Z""),1, FALSE)=$A4,""Yes"",""No"")"),"Yes")</f>
        <v>Yes</v>
      </c>
      <c r="F4" s="170" t="s">
        <v>1741</v>
      </c>
      <c r="G4" s="173" t="str">
        <f ca="1">IFERROR(__xludf.DUMMYFUNCTION("IF(VLOOKUP($F4, IMPORTRANGE(""https://docs.google.com/spreadsheets/d/1g8hi4Vz_ciKKV-W3ruhVc-DrtEIxGiN7wQQSBhJ5lcI/edit"", ""Form Responses 1!$B:$Z""),1, FALSE)=$F4,""Yes"",""No"")"),"Yes")</f>
        <v>Yes</v>
      </c>
    </row>
    <row r="5" spans="1:7">
      <c r="A5" s="171" t="s">
        <v>1629</v>
      </c>
      <c r="B5" s="172" t="str">
        <f ca="1">IFERROR(__xludf.DUMMYFUNCTION("IF(VLOOKUP($A5, IMPORTRANGE(""https://docs.google.com/spreadsheets/d/1WsTKRjz8_fF2119Ff9dhKIIYXSaUEHzuWr8pBkxmwQQ/edit"", ""Form Responses 1!$B:$Z""),1, FALSE)=$A5,""Yes"",""No"")"),"Yes")</f>
        <v>Yes</v>
      </c>
      <c r="F5" s="170" t="s">
        <v>1259</v>
      </c>
      <c r="G5" s="173" t="str">
        <f ca="1">IFERROR(__xludf.DUMMYFUNCTION("IF(VLOOKUP($F5, IMPORTRANGE(""https://docs.google.com/spreadsheets/d/1g8hi4Vz_ciKKV-W3ruhVc-DrtEIxGiN7wQQSBhJ5lcI/edit"", ""Form Responses 1!$B:$Z""),1, FALSE)=$F5,""Yes"",""No"")"),"#N/A")</f>
        <v>#N/A</v>
      </c>
    </row>
    <row r="6" spans="1:7">
      <c r="A6" s="171" t="s">
        <v>1643</v>
      </c>
      <c r="B6" s="172" t="str">
        <f ca="1">IFERROR(__xludf.DUMMYFUNCTION("IF(VLOOKUP($A6, IMPORTRANGE(""https://docs.google.com/spreadsheets/d/1WsTKRjz8_fF2119Ff9dhKIIYXSaUEHzuWr8pBkxmwQQ/edit"", ""Form Responses 1!$B:$Z""),1, FALSE)=$A6,""Yes"",""No"")"),"Yes")</f>
        <v>Yes</v>
      </c>
      <c r="F6" s="170" t="s">
        <v>788</v>
      </c>
      <c r="G6" s="173" t="str">
        <f ca="1">IFERROR(__xludf.DUMMYFUNCTION("IF(VLOOKUP($F6, IMPORTRANGE(""https://docs.google.com/spreadsheets/d/1g8hi4Vz_ciKKV-W3ruhVc-DrtEIxGiN7wQQSBhJ5lcI/edit"", ""Form Responses 1!$B:$Z""),1, FALSE)=$F6,""Yes"",""No"")"),"Yes")</f>
        <v>Yes</v>
      </c>
    </row>
    <row r="7" spans="1:7">
      <c r="A7" s="171" t="s">
        <v>1003</v>
      </c>
      <c r="B7" s="172" t="str">
        <f ca="1">IFERROR(__xludf.DUMMYFUNCTION("IF(VLOOKUP($A7, IMPORTRANGE(""https://docs.google.com/spreadsheets/d/1WsTKRjz8_fF2119Ff9dhKIIYXSaUEHzuWr8pBkxmwQQ/edit"", ""Form Responses 1!$B:$Z""),1, FALSE)=$A7,""Yes"",""No"")"),"Yes")</f>
        <v>Yes</v>
      </c>
      <c r="F7" s="170" t="s">
        <v>2012</v>
      </c>
      <c r="G7" s="173" t="str">
        <f ca="1">IFERROR(__xludf.DUMMYFUNCTION("IF(VLOOKUP($F7, IMPORTRANGE(""https://docs.google.com/spreadsheets/d/1g8hi4Vz_ciKKV-W3ruhVc-DrtEIxGiN7wQQSBhJ5lcI/edit"", ""Form Responses 1!$B:$Z""),1, FALSE)=$F7,""Yes"",""No"")"),"#N/A")</f>
        <v>#N/A</v>
      </c>
    </row>
    <row r="8" spans="1:7">
      <c r="A8" s="171" t="s">
        <v>511</v>
      </c>
      <c r="B8" s="172" t="str">
        <f ca="1">IFERROR(__xludf.DUMMYFUNCTION("IF(VLOOKUP($A8, IMPORTRANGE(""https://docs.google.com/spreadsheets/d/1WsTKRjz8_fF2119Ff9dhKIIYXSaUEHzuWr8pBkxmwQQ/edit"", ""Form Responses 1!$B:$Z""),1, FALSE)=$A8,""Yes"",""No"")"),"Yes")</f>
        <v>Yes</v>
      </c>
      <c r="F8" s="170" t="s">
        <v>1507</v>
      </c>
      <c r="G8" s="173" t="str">
        <f ca="1">IFERROR(__xludf.DUMMYFUNCTION("IF(VLOOKUP($F8, IMPORTRANGE(""https://docs.google.com/spreadsheets/d/1g8hi4Vz_ciKKV-W3ruhVc-DrtEIxGiN7wQQSBhJ5lcI/edit"", ""Form Responses 1!$B:$Z""),1, FALSE)=$F8,""Yes"",""No"")"),"#N/A")</f>
        <v>#N/A</v>
      </c>
    </row>
    <row r="9" spans="1:7">
      <c r="A9" s="171" t="s">
        <v>1012</v>
      </c>
      <c r="B9" s="172" t="str">
        <f ca="1">IFERROR(__xludf.DUMMYFUNCTION("IF(VLOOKUP($A9, IMPORTRANGE(""https://docs.google.com/spreadsheets/d/1WsTKRjz8_fF2119Ff9dhKIIYXSaUEHzuWr8pBkxmwQQ/edit"", ""Form Responses 1!$B:$Z""),1, FALSE)=$A9,""Yes"",""No"")"),"#N/A")</f>
        <v>#N/A</v>
      </c>
      <c r="F9" s="170" t="s">
        <v>1530</v>
      </c>
      <c r="G9" s="173" t="str">
        <f ca="1">IFERROR(__xludf.DUMMYFUNCTION("IF(VLOOKUP($F9, IMPORTRANGE(""https://docs.google.com/spreadsheets/d/1g8hi4Vz_ciKKV-W3ruhVc-DrtEIxGiN7wQQSBhJ5lcI/edit"", ""Form Responses 1!$B:$Z""),1, FALSE)=$F9,""Yes"",""No"")"),"#N/A")</f>
        <v>#N/A</v>
      </c>
    </row>
    <row r="10" spans="1:7">
      <c r="A10" s="171" t="s">
        <v>1672</v>
      </c>
      <c r="B10" s="172" t="str">
        <f ca="1">IFERROR(__xludf.DUMMYFUNCTION("IF(VLOOKUP($A10, IMPORTRANGE(""https://docs.google.com/spreadsheets/d/1WsTKRjz8_fF2119Ff9dhKIIYXSaUEHzuWr8pBkxmwQQ/edit"", ""Form Responses 1!$B:$Z""),1, FALSE)=$A10,""Yes"",""No"")"),"Yes")</f>
        <v>Yes</v>
      </c>
      <c r="F10" s="170" t="s">
        <v>1572</v>
      </c>
      <c r="G10" s="173" t="str">
        <f ca="1">IFERROR(__xludf.DUMMYFUNCTION("IF(VLOOKUP($F10, IMPORTRANGE(""https://docs.google.com/spreadsheets/d/1g8hi4Vz_ciKKV-W3ruhVc-DrtEIxGiN7wQQSBhJ5lcI/edit"", ""Form Responses 1!$B:$Z""),1, FALSE)=$F10,""Yes"",""No"")"),"#N/A")</f>
        <v>#N/A</v>
      </c>
    </row>
    <row r="11" spans="1:7">
      <c r="A11" s="171" t="s">
        <v>528</v>
      </c>
      <c r="B11" s="172" t="str">
        <f ca="1">IFERROR(__xludf.DUMMYFUNCTION("IF(VLOOKUP($A11, IMPORTRANGE(""https://docs.google.com/spreadsheets/d/1WsTKRjz8_fF2119Ff9dhKIIYXSaUEHzuWr8pBkxmwQQ/edit"", ""Form Responses 1!$B:$Z""),1, FALSE)=$A11,""Yes"",""No"")"),"Yes")</f>
        <v>Yes</v>
      </c>
      <c r="F11" s="170" t="s">
        <v>1590</v>
      </c>
      <c r="G11" s="173" t="str">
        <f ca="1">IFERROR(__xludf.DUMMYFUNCTION("IF(VLOOKUP($F11, IMPORTRANGE(""https://docs.google.com/spreadsheets/d/1g8hi4Vz_ciKKV-W3ruhVc-DrtEIxGiN7wQQSBhJ5lcI/edit"", ""Form Responses 1!$B:$Z""),1, FALSE)=$F11,""Yes"",""No"")"),"#N/A")</f>
        <v>#N/A</v>
      </c>
    </row>
    <row r="12" spans="1:7" hidden="1">
      <c r="A12" s="171" t="s">
        <v>1681</v>
      </c>
      <c r="B12" s="172" t="str">
        <f ca="1">IFERROR(__xludf.DUMMYFUNCTION("IF(VLOOKUP($A12, IMPORTRANGE(""https://docs.google.com/spreadsheets/d/1WsTKRjz8_fF2119Ff9dhKIIYXSaUEHzuWr8pBkxmwQQ/edit"", ""Form Responses 1!$B:$Z""),1, FALSE)=$A12,""Yes"",""No"")"),"Yes")</f>
        <v>Yes</v>
      </c>
      <c r="F12" s="170" t="s">
        <v>456</v>
      </c>
      <c r="G12" s="173" t="str">
        <f ca="1">IFERROR(__xludf.DUMMYFUNCTION("IF(VLOOKUP($F12, IMPORTRANGE(""https://docs.google.com/spreadsheets/d/1g8hi4Vz_ciKKV-W3ruhVc-DrtEIxGiN7wQQSBhJ5lcI/edit"", ""Form Responses 1!$B:$Z""),1, FALSE)=$F12,""Yes"",""No"")"),"Yes")</f>
        <v>Yes</v>
      </c>
    </row>
    <row r="13" spans="1:7" hidden="1">
      <c r="A13" s="171" t="s">
        <v>1690</v>
      </c>
      <c r="B13" s="172" t="str">
        <f ca="1">IFERROR(__xludf.DUMMYFUNCTION("IF(VLOOKUP($A13, IMPORTRANGE(""https://docs.google.com/spreadsheets/d/1WsTKRjz8_fF2119Ff9dhKIIYXSaUEHzuWr8pBkxmwQQ/edit"", ""Form Responses 1!$B:$Z""),1, FALSE)=$A13,""Yes"",""No"")"),"#N/A")</f>
        <v>#N/A</v>
      </c>
      <c r="F13" s="170" t="s">
        <v>1615</v>
      </c>
      <c r="G13" s="173" t="str">
        <f ca="1">IFERROR(__xludf.DUMMYFUNCTION("IF(VLOOKUP($F13, IMPORTRANGE(""https://docs.google.com/spreadsheets/d/1g8hi4Vz_ciKKV-W3ruhVc-DrtEIxGiN7wQQSBhJ5lcI/edit"", ""Form Responses 1!$B:$Z""),1, FALSE)=$F13,""Yes"",""No"")"),"Yes")</f>
        <v>Yes</v>
      </c>
    </row>
    <row r="14" spans="1:7">
      <c r="A14" s="171" t="s">
        <v>569</v>
      </c>
      <c r="B14" s="172" t="str">
        <f ca="1">IFERROR(__xludf.DUMMYFUNCTION("IF(VLOOKUP($A14, IMPORTRANGE(""https://docs.google.com/spreadsheets/d/1WsTKRjz8_fF2119Ff9dhKIIYXSaUEHzuWr8pBkxmwQQ/edit"", ""Form Responses 1!$B:$Z""),1, FALSE)=$A14,""Yes"",""No"")"),"Yes")</f>
        <v>Yes</v>
      </c>
      <c r="F14" s="170" t="s">
        <v>1623</v>
      </c>
      <c r="G14" s="173" t="str">
        <f ca="1">IFERROR(__xludf.DUMMYFUNCTION("IF(VLOOKUP($F14, IMPORTRANGE(""https://docs.google.com/spreadsheets/d/1g8hi4Vz_ciKKV-W3ruhVc-DrtEIxGiN7wQQSBhJ5lcI/edit"", ""Form Responses 1!$B:$Z""),1, FALSE)=$F14,""Yes"",""No"")"),"Yes")</f>
        <v>Yes</v>
      </c>
    </row>
    <row r="15" spans="1:7">
      <c r="A15" s="171" t="s">
        <v>578</v>
      </c>
      <c r="B15" s="172" t="str">
        <f ca="1">IFERROR(__xludf.DUMMYFUNCTION("IF(VLOOKUP($A15, IMPORTRANGE(""https://docs.google.com/spreadsheets/d/1WsTKRjz8_fF2119Ff9dhKIIYXSaUEHzuWr8pBkxmwQQ/edit"", ""Form Responses 1!$B:$Z""),1, FALSE)=$A15,""Yes"",""No"")"),"#N/A")</f>
        <v>#N/A</v>
      </c>
      <c r="F15" s="170" t="s">
        <v>483</v>
      </c>
      <c r="G15" s="173" t="str">
        <f ca="1">IFERROR(__xludf.DUMMYFUNCTION("IF(VLOOKUP($F15, IMPORTRANGE(""https://docs.google.com/spreadsheets/d/1g8hi4Vz_ciKKV-W3ruhVc-DrtEIxGiN7wQQSBhJ5lcI/edit"", ""Form Responses 1!$B:$Z""),1, FALSE)=$F15,""Yes"",""No"")"),"Yes")</f>
        <v>Yes</v>
      </c>
    </row>
    <row r="16" spans="1:7">
      <c r="A16" s="171" t="s">
        <v>1090</v>
      </c>
      <c r="B16" s="172" t="str">
        <f ca="1">IFERROR(__xludf.DUMMYFUNCTION("IF(VLOOKUP($A16, IMPORTRANGE(""https://docs.google.com/spreadsheets/d/1WsTKRjz8_fF2119Ff9dhKIIYXSaUEHzuWr8pBkxmwQQ/edit"", ""Form Responses 1!$B:$Z""),1, FALSE)=$A16,""Yes"",""No"")"),"Yes")</f>
        <v>Yes</v>
      </c>
      <c r="F16" s="170" t="s">
        <v>494</v>
      </c>
      <c r="G16" s="173" t="str">
        <f ca="1">IFERROR(__xludf.DUMMYFUNCTION("IF(VLOOKUP($F16, IMPORTRANGE(""https://docs.google.com/spreadsheets/d/1g8hi4Vz_ciKKV-W3ruhVc-DrtEIxGiN7wQQSBhJ5lcI/edit"", ""Form Responses 1!$B:$Z""),1, FALSE)=$F16,""Yes"",""No"")"),"#N/A")</f>
        <v>#N/A</v>
      </c>
    </row>
    <row r="17" spans="1:7" hidden="1">
      <c r="A17" s="171" t="s">
        <v>1098</v>
      </c>
      <c r="B17" s="172" t="str">
        <f ca="1">IFERROR(__xludf.DUMMYFUNCTION("IF(VLOOKUP($A17, IMPORTRANGE(""https://docs.google.com/spreadsheets/d/1WsTKRjz8_fF2119Ff9dhKIIYXSaUEHzuWr8pBkxmwQQ/edit"", ""Form Responses 1!$B:$Z""),1, FALSE)=$A17,""Yes"",""No"")"),"Yes")</f>
        <v>Yes</v>
      </c>
      <c r="F17" s="170" t="s">
        <v>1637</v>
      </c>
      <c r="G17" s="173" t="str">
        <f ca="1">IFERROR(__xludf.DUMMYFUNCTION("IF(VLOOKUP($F17, IMPORTRANGE(""https://docs.google.com/spreadsheets/d/1g8hi4Vz_ciKKV-W3ruhVc-DrtEIxGiN7wQQSBhJ5lcI/edit"", ""Form Responses 1!$B:$Z""),1, FALSE)=$F17,""Yes"",""No"")"),"Yes")</f>
        <v>Yes</v>
      </c>
    </row>
    <row r="18" spans="1:7" hidden="1">
      <c r="A18" s="171" t="s">
        <v>1113</v>
      </c>
      <c r="B18" s="172" t="str">
        <f ca="1">IFERROR(__xludf.DUMMYFUNCTION("IF(VLOOKUP($A18, IMPORTRANGE(""https://docs.google.com/spreadsheets/d/1WsTKRjz8_fF2119Ff9dhKIIYXSaUEHzuWr8pBkxmwQQ/edit"", ""Form Responses 1!$B:$Z""),1, FALSE)=$A18,""Yes"",""No"")"),"Yes")</f>
        <v>Yes</v>
      </c>
      <c r="F18" s="170" t="s">
        <v>1651</v>
      </c>
      <c r="G18" s="173" t="str">
        <f ca="1">IFERROR(__xludf.DUMMYFUNCTION("IF(VLOOKUP($F18, IMPORTRANGE(""https://docs.google.com/spreadsheets/d/1g8hi4Vz_ciKKV-W3ruhVc-DrtEIxGiN7wQQSBhJ5lcI/edit"", ""Form Responses 1!$B:$Z""),1, FALSE)=$F18,""Yes"",""No"")"),"Yes")</f>
        <v>Yes</v>
      </c>
    </row>
    <row r="19" spans="1:7" hidden="1">
      <c r="A19" s="171" t="s">
        <v>1147</v>
      </c>
      <c r="B19" s="172" t="str">
        <f ca="1">IFERROR(__xludf.DUMMYFUNCTION("IF(VLOOKUP($A19, IMPORTRANGE(""https://docs.google.com/spreadsheets/d/1WsTKRjz8_fF2119Ff9dhKIIYXSaUEHzuWr8pBkxmwQQ/edit"", ""Form Responses 1!$B:$Z""),1, FALSE)=$A19,""Yes"",""No"")"),"Yes")</f>
        <v>Yes</v>
      </c>
      <c r="F19" s="170" t="s">
        <v>502</v>
      </c>
      <c r="G19" s="173" t="str">
        <f ca="1">IFERROR(__xludf.DUMMYFUNCTION("IF(VLOOKUP($F19, IMPORTRANGE(""https://docs.google.com/spreadsheets/d/1g8hi4Vz_ciKKV-W3ruhVc-DrtEIxGiN7wQQSBhJ5lcI/edit"", ""Form Responses 1!$B:$Z""),1, FALSE)=$F19,""Yes"",""No"")"),"Yes")</f>
        <v>Yes</v>
      </c>
    </row>
    <row r="20" spans="1:7" hidden="1">
      <c r="A20" s="171" t="s">
        <v>1715</v>
      </c>
      <c r="B20" s="172" t="str">
        <f ca="1">IFERROR(__xludf.DUMMYFUNCTION("IF(VLOOKUP($A20, IMPORTRANGE(""https://docs.google.com/spreadsheets/d/1WsTKRjz8_fF2119Ff9dhKIIYXSaUEHzuWr8pBkxmwQQ/edit"", ""Form Responses 1!$B:$Z""),1, FALSE)=$A20,""Yes"",""No"")"),"Yes")</f>
        <v>Yes</v>
      </c>
      <c r="F20" s="170" t="s">
        <v>1659</v>
      </c>
      <c r="G20" s="173" t="str">
        <f ca="1">IFERROR(__xludf.DUMMYFUNCTION("IF(VLOOKUP($F20, IMPORTRANGE(""https://docs.google.com/spreadsheets/d/1g8hi4Vz_ciKKV-W3ruhVc-DrtEIxGiN7wQQSBhJ5lcI/edit"", ""Form Responses 1!$B:$Z""),1, FALSE)=$F20,""Yes"",""No"")"),"Yes")</f>
        <v>Yes</v>
      </c>
    </row>
    <row r="21" spans="1:7" hidden="1">
      <c r="A21" s="171" t="s">
        <v>1723</v>
      </c>
      <c r="B21" s="172" t="str">
        <f ca="1">IFERROR(__xludf.DUMMYFUNCTION("IF(VLOOKUP($A21, IMPORTRANGE(""https://docs.google.com/spreadsheets/d/1WsTKRjz8_fF2119Ff9dhKIIYXSaUEHzuWr8pBkxmwQQ/edit"", ""Form Responses 1!$B:$Z""),1, FALSE)=$A21,""Yes"",""No"")"),"Yes")</f>
        <v>Yes</v>
      </c>
      <c r="F21" s="170" t="s">
        <v>1021</v>
      </c>
      <c r="G21" s="173" t="str">
        <f ca="1">IFERROR(__xludf.DUMMYFUNCTION("IF(VLOOKUP($F21, IMPORTRANGE(""https://docs.google.com/spreadsheets/d/1g8hi4Vz_ciKKV-W3ruhVc-DrtEIxGiN7wQQSBhJ5lcI/edit"", ""Form Responses 1!$B:$Z""),1, FALSE)=$F21,""Yes"",""No"")"),"Yes")</f>
        <v>Yes</v>
      </c>
    </row>
    <row r="22" spans="1:7">
      <c r="A22" s="171" t="s">
        <v>1732</v>
      </c>
      <c r="B22" s="172" t="str">
        <f ca="1">IFERROR(__xludf.DUMMYFUNCTION("IF(VLOOKUP($A22, IMPORTRANGE(""https://docs.google.com/spreadsheets/d/1WsTKRjz8_fF2119Ff9dhKIIYXSaUEHzuWr8pBkxmwQQ/edit"", ""Form Responses 1!$B:$Z""),1, FALSE)=$A22,""Yes"",""No"")"),"#N/A")</f>
        <v>#N/A</v>
      </c>
      <c r="F22" s="170" t="s">
        <v>1667</v>
      </c>
      <c r="G22" s="173" t="str">
        <f ca="1">IFERROR(__xludf.DUMMYFUNCTION("IF(VLOOKUP($F22, IMPORTRANGE(""https://docs.google.com/spreadsheets/d/1g8hi4Vz_ciKKV-W3ruhVc-DrtEIxGiN7wQQSBhJ5lcI/edit"", ""Form Responses 1!$B:$Z""),1, FALSE)=$F22,""Yes"",""No"")"),"Yes")</f>
        <v>Yes</v>
      </c>
    </row>
    <row r="23" spans="1:7">
      <c r="A23" s="171" t="s">
        <v>1207</v>
      </c>
      <c r="B23" s="172" t="str">
        <f ca="1">IFERROR(__xludf.DUMMYFUNCTION("IF(VLOOKUP($A23, IMPORTRANGE(""https://docs.google.com/spreadsheets/d/1WsTKRjz8_fF2119Ff9dhKIIYXSaUEHzuWr8pBkxmwQQ/edit"", ""Form Responses 1!$B:$Z""),1, FALSE)=$A23,""Yes"",""No"")"),"Yes")</f>
        <v>Yes</v>
      </c>
      <c r="F23" s="170" t="s">
        <v>518</v>
      </c>
      <c r="G23" s="173" t="str">
        <f ca="1">IFERROR(__xludf.DUMMYFUNCTION("IF(VLOOKUP($F23, IMPORTRANGE(""https://docs.google.com/spreadsheets/d/1g8hi4Vz_ciKKV-W3ruhVc-DrtEIxGiN7wQQSBhJ5lcI/edit"", ""Form Responses 1!$B:$Z""),1, FALSE)=$F23,""Yes"",""No"")"),"Yes")</f>
        <v>Yes</v>
      </c>
    </row>
    <row r="24" spans="1:7">
      <c r="A24" s="171" t="s">
        <v>1224</v>
      </c>
      <c r="B24" s="172" t="str">
        <f ca="1">IFERROR(__xludf.DUMMYFUNCTION("IF(VLOOKUP($A24, IMPORTRANGE(""https://docs.google.com/spreadsheets/d/1WsTKRjz8_fF2119Ff9dhKIIYXSaUEHzuWr8pBkxmwQQ/edit"", ""Form Responses 1!$B:$Z""),1, FALSE)=$A24,""Yes"",""No"")"),"Yes")</f>
        <v>Yes</v>
      </c>
      <c r="F24" s="170" t="s">
        <v>1031</v>
      </c>
      <c r="G24" s="173" t="str">
        <f ca="1">IFERROR(__xludf.DUMMYFUNCTION("IF(VLOOKUP($F24, IMPORTRANGE(""https://docs.google.com/spreadsheets/d/1g8hi4Vz_ciKKV-W3ruhVc-DrtEIxGiN7wQQSBhJ5lcI/edit"", ""Form Responses 1!$B:$Z""),1, FALSE)=$F24,""Yes"",""No"")"),"#N/A")</f>
        <v>#N/A</v>
      </c>
    </row>
    <row r="25" spans="1:7" hidden="1">
      <c r="A25" s="171" t="s">
        <v>1779</v>
      </c>
      <c r="B25" s="172" t="str">
        <f ca="1">IFERROR(__xludf.DUMMYFUNCTION("IF(VLOOKUP($A25, IMPORTRANGE(""https://docs.google.com/spreadsheets/d/1WsTKRjz8_fF2119Ff9dhKIIYXSaUEHzuWr8pBkxmwQQ/edit"", ""Form Responses 1!$B:$Z""),1, FALSE)=$A25,""Yes"",""No"")"),"Yes")</f>
        <v>Yes</v>
      </c>
      <c r="F25" s="170" t="s">
        <v>1040</v>
      </c>
      <c r="G25" s="173" t="str">
        <f ca="1">IFERROR(__xludf.DUMMYFUNCTION("IF(VLOOKUP($F25, IMPORTRANGE(""https://docs.google.com/spreadsheets/d/1g8hi4Vz_ciKKV-W3ruhVc-DrtEIxGiN7wQQSBhJ5lcI/edit"", ""Form Responses 1!$B:$Z""),1, FALSE)=$F25,""Yes"",""No"")"),"Yes")</f>
        <v>Yes</v>
      </c>
    </row>
    <row r="26" spans="1:7" hidden="1">
      <c r="A26" s="171" t="s">
        <v>1829</v>
      </c>
      <c r="B26" s="172" t="str">
        <f ca="1">IFERROR(__xludf.DUMMYFUNCTION("IF(VLOOKUP($A26, IMPORTRANGE(""https://docs.google.com/spreadsheets/d/1WsTKRjz8_fF2119Ff9dhKIIYXSaUEHzuWr8pBkxmwQQ/edit"", ""Form Responses 1!$B:$Z""),1, FALSE)=$A26,""Yes"",""No"")"),"Yes")</f>
        <v>Yes</v>
      </c>
      <c r="F26" s="170" t="s">
        <v>1049</v>
      </c>
      <c r="G26" s="173" t="str">
        <f ca="1">IFERROR(__xludf.DUMMYFUNCTION("IF(VLOOKUP($F26, IMPORTRANGE(""https://docs.google.com/spreadsheets/d/1g8hi4Vz_ciKKV-W3ruhVc-DrtEIxGiN7wQQSBhJ5lcI/edit"", ""Form Responses 1!$B:$Z""),1, FALSE)=$F26,""Yes"",""No"")"),"Yes")</f>
        <v>Yes</v>
      </c>
    </row>
    <row r="27" spans="1:7" hidden="1">
      <c r="A27" s="171" t="s">
        <v>660</v>
      </c>
      <c r="B27" s="172" t="str">
        <f ca="1">IFERROR(__xludf.DUMMYFUNCTION("IF(VLOOKUP($A27, IMPORTRANGE(""https://docs.google.com/spreadsheets/d/1WsTKRjz8_fF2119Ff9dhKIIYXSaUEHzuWr8pBkxmwQQ/edit"", ""Form Responses 1!$B:$Z""),1, FALSE)=$A27,""Yes"",""No"")"),"Yes")</f>
        <v>Yes</v>
      </c>
      <c r="F27" s="170" t="s">
        <v>538</v>
      </c>
      <c r="G27" s="173" t="str">
        <f ca="1">IFERROR(__xludf.DUMMYFUNCTION("IF(VLOOKUP($F27, IMPORTRANGE(""https://docs.google.com/spreadsheets/d/1g8hi4Vz_ciKKV-W3ruhVc-DrtEIxGiN7wQQSBhJ5lcI/edit"", ""Form Responses 1!$B:$Z""),1, FALSE)=$F27,""Yes"",""No"")"),"Yes")</f>
        <v>Yes</v>
      </c>
    </row>
    <row r="28" spans="1:7" hidden="1">
      <c r="A28" s="171" t="s">
        <v>1276</v>
      </c>
      <c r="B28" s="172" t="str">
        <f ca="1">IFERROR(__xludf.DUMMYFUNCTION("IF(VLOOKUP($A28, IMPORTRANGE(""https://docs.google.com/spreadsheets/d/1WsTKRjz8_fF2119Ff9dhKIIYXSaUEHzuWr8pBkxmwQQ/edit"", ""Form Responses 1!$B:$Z""),1, FALSE)=$A28,""Yes"",""No"")"),"Yes")</f>
        <v>Yes</v>
      </c>
      <c r="F28" s="170" t="s">
        <v>549</v>
      </c>
      <c r="G28" s="173" t="str">
        <f ca="1">IFERROR(__xludf.DUMMYFUNCTION("IF(VLOOKUP($F28, IMPORTRANGE(""https://docs.google.com/spreadsheets/d/1g8hi4Vz_ciKKV-W3ruhVc-DrtEIxGiN7wQQSBhJ5lcI/edit"", ""Form Responses 1!$B:$Z""),1, FALSE)=$F28,""Yes"",""No"")"),"Yes")</f>
        <v>Yes</v>
      </c>
    </row>
    <row r="29" spans="1:7">
      <c r="A29" s="171" t="s">
        <v>1300</v>
      </c>
      <c r="B29" s="172" t="str">
        <f ca="1">IFERROR(__xludf.DUMMYFUNCTION("IF(VLOOKUP($A29, IMPORTRANGE(""https://docs.google.com/spreadsheets/d/1WsTKRjz8_fF2119Ff9dhKIIYXSaUEHzuWr8pBkxmwQQ/edit"", ""Form Responses 1!$B:$Z""),1, FALSE)=$A29,""Yes"",""No"")"),"Yes")</f>
        <v>Yes</v>
      </c>
      <c r="F29" s="170" t="s">
        <v>1057</v>
      </c>
      <c r="G29" s="173" t="str">
        <f ca="1">IFERROR(__xludf.DUMMYFUNCTION("IF(VLOOKUP($F29, IMPORTRANGE(""https://docs.google.com/spreadsheets/d/1g8hi4Vz_ciKKV-W3ruhVc-DrtEIxGiN7wQQSBhJ5lcI/edit"", ""Form Responses 1!$B:$Z""),1, FALSE)=$F29,""Yes"",""No"")"),"Yes")</f>
        <v>Yes</v>
      </c>
    </row>
    <row r="30" spans="1:7">
      <c r="A30" s="171" t="s">
        <v>721</v>
      </c>
      <c r="B30" s="172" t="str">
        <f ca="1">IFERROR(__xludf.DUMMYFUNCTION("IF(VLOOKUP($A30, IMPORTRANGE(""https://docs.google.com/spreadsheets/d/1WsTKRjz8_fF2119Ff9dhKIIYXSaUEHzuWr8pBkxmwQQ/edit"", ""Form Responses 1!$B:$Z""),1, FALSE)=$A30,""Yes"",""No"")"),"Yes")</f>
        <v>Yes</v>
      </c>
      <c r="F30" s="170" t="s">
        <v>1068</v>
      </c>
      <c r="G30" s="173" t="str">
        <f ca="1">IFERROR(__xludf.DUMMYFUNCTION("IF(VLOOKUP($F30, IMPORTRANGE(""https://docs.google.com/spreadsheets/d/1g8hi4Vz_ciKKV-W3ruhVc-DrtEIxGiN7wQQSBhJ5lcI/edit"", ""Form Responses 1!$B:$Z""),1, FALSE)=$F30,""Yes"",""No"")"),"Yes")</f>
        <v>Yes</v>
      </c>
    </row>
    <row r="31" spans="1:7">
      <c r="A31" s="171" t="s">
        <v>1856</v>
      </c>
      <c r="B31" s="172" t="str">
        <f ca="1">IFERROR(__xludf.DUMMYFUNCTION("IF(VLOOKUP($A31, IMPORTRANGE(""https://docs.google.com/spreadsheets/d/1WsTKRjz8_fF2119Ff9dhKIIYXSaUEHzuWr8pBkxmwQQ/edit"", ""Form Responses 1!$B:$Z""),1, FALSE)=$A31,""Yes"",""No"")"),"Yes")</f>
        <v>Yes</v>
      </c>
      <c r="F31" s="170" t="s">
        <v>1076</v>
      </c>
      <c r="G31" s="173" t="str">
        <f ca="1">IFERROR(__xludf.DUMMYFUNCTION("IF(VLOOKUP($F31, IMPORTRANGE(""https://docs.google.com/spreadsheets/d/1g8hi4Vz_ciKKV-W3ruhVc-DrtEIxGiN7wQQSBhJ5lcI/edit"", ""Form Responses 1!$B:$Z""),1, FALSE)=$F31,""Yes"",""No"")"),"Yes")</f>
        <v>Yes</v>
      </c>
    </row>
    <row r="32" spans="1:7">
      <c r="A32" s="171" t="s">
        <v>1878</v>
      </c>
      <c r="B32" s="172" t="str">
        <f ca="1">IFERROR(__xludf.DUMMYFUNCTION("IF(VLOOKUP($A32, IMPORTRANGE(""https://docs.google.com/spreadsheets/d/1WsTKRjz8_fF2119Ff9dhKIIYXSaUEHzuWr8pBkxmwQQ/edit"", ""Form Responses 1!$B:$Z""),1, FALSE)=$A32,""Yes"",""No"")"),"Yes")</f>
        <v>Yes</v>
      </c>
      <c r="F32" s="170" t="s">
        <v>559</v>
      </c>
      <c r="G32" s="173" t="str">
        <f ca="1">IFERROR(__xludf.DUMMYFUNCTION("IF(VLOOKUP($F32, IMPORTRANGE(""https://docs.google.com/spreadsheets/d/1g8hi4Vz_ciKKV-W3ruhVc-DrtEIxGiN7wQQSBhJ5lcI/edit"", ""Form Responses 1!$B:$Z""),1, FALSE)=$F32,""Yes"",""No"")"),"Yes")</f>
        <v>Yes</v>
      </c>
    </row>
    <row r="33" spans="1:7">
      <c r="A33" s="171" t="s">
        <v>1317</v>
      </c>
      <c r="B33" s="172" t="str">
        <f ca="1">IFERROR(__xludf.DUMMYFUNCTION("IF(VLOOKUP($A33, IMPORTRANGE(""https://docs.google.com/spreadsheets/d/1WsTKRjz8_fF2119Ff9dhKIIYXSaUEHzuWr8pBkxmwQQ/edit"", ""Form Responses 1!$B:$Z""),1, FALSE)=$A33,""Yes"",""No"")"),"Yes")</f>
        <v>Yes</v>
      </c>
      <c r="F33" s="170" t="s">
        <v>1082</v>
      </c>
      <c r="G33" s="173" t="str">
        <f ca="1">IFERROR(__xludf.DUMMYFUNCTION("IF(VLOOKUP($F33, IMPORTRANGE(""https://docs.google.com/spreadsheets/d/1g8hi4Vz_ciKKV-W3ruhVc-DrtEIxGiN7wQQSBhJ5lcI/edit"", ""Form Responses 1!$B:$Z""),1, FALSE)=$F33,""Yes"",""No"")"),"#N/A")</f>
        <v>#N/A</v>
      </c>
    </row>
    <row r="34" spans="1:7">
      <c r="A34" s="171" t="s">
        <v>1355</v>
      </c>
      <c r="B34" s="172" t="str">
        <f ca="1">IFERROR(__xludf.DUMMYFUNCTION("IF(VLOOKUP($A34, IMPORTRANGE(""https://docs.google.com/spreadsheets/d/1WsTKRjz8_fF2119Ff9dhKIIYXSaUEHzuWr8pBkxmwQQ/edit"", ""Form Responses 1!$B:$Z""),1, FALSE)=$A34,""Yes"",""No"")"),"Yes")</f>
        <v>Yes</v>
      </c>
      <c r="F34" s="170" t="s">
        <v>1698</v>
      </c>
      <c r="G34" s="173" t="str">
        <f ca="1">IFERROR(__xludf.DUMMYFUNCTION("IF(VLOOKUP($F34, IMPORTRANGE(""https://docs.google.com/spreadsheets/d/1g8hi4Vz_ciKKV-W3ruhVc-DrtEIxGiN7wQQSBhJ5lcI/edit"", ""Form Responses 1!$B:$Z""),1, FALSE)=$F34,""Yes"",""No"")"),"Yes")</f>
        <v>Yes</v>
      </c>
    </row>
    <row r="35" spans="1:7">
      <c r="A35" s="171" t="s">
        <v>1926</v>
      </c>
      <c r="B35" s="172" t="str">
        <f ca="1">IFERROR(__xludf.DUMMYFUNCTION("IF(VLOOKUP($A35, IMPORTRANGE(""https://docs.google.com/spreadsheets/d/1WsTKRjz8_fF2119Ff9dhKIIYXSaUEHzuWr8pBkxmwQQ/edit"", ""Form Responses 1!$B:$Z""),1, FALSE)=$A35,""Yes"",""No"")"),"Yes")</f>
        <v>Yes</v>
      </c>
      <c r="F35" s="170" t="s">
        <v>1105</v>
      </c>
      <c r="G35" s="173" t="str">
        <f ca="1">IFERROR(__xludf.DUMMYFUNCTION("IF(VLOOKUP($F35, IMPORTRANGE(""https://docs.google.com/spreadsheets/d/1g8hi4Vz_ciKKV-W3ruhVc-DrtEIxGiN7wQQSBhJ5lcI/edit"", ""Form Responses 1!$B:$Z""),1, FALSE)=$F35,""Yes"",""No"")"),"#N/A")</f>
        <v>#N/A</v>
      </c>
    </row>
    <row r="36" spans="1:7" hidden="1">
      <c r="A36" s="171" t="s">
        <v>796</v>
      </c>
      <c r="B36" s="172" t="str">
        <f ca="1">IFERROR(__xludf.DUMMYFUNCTION("IF(VLOOKUP($A36, IMPORTRANGE(""https://docs.google.com/spreadsheets/d/1WsTKRjz8_fF2119Ff9dhKIIYXSaUEHzuWr8pBkxmwQQ/edit"", ""Form Responses 1!$B:$Z""),1, FALSE)=$A36,""Yes"",""No"")"),"Yes")</f>
        <v>Yes</v>
      </c>
      <c r="F36" s="170" t="s">
        <v>1123</v>
      </c>
      <c r="G36" s="173" t="str">
        <f ca="1">IFERROR(__xludf.DUMMYFUNCTION("IF(VLOOKUP($F36, IMPORTRANGE(""https://docs.google.com/spreadsheets/d/1g8hi4Vz_ciKKV-W3ruhVc-DrtEIxGiN7wQQSBhJ5lcI/edit"", ""Form Responses 1!$B:$Z""),1, FALSE)=$F36,""Yes"",""No"")"),"Yes")</f>
        <v>Yes</v>
      </c>
    </row>
    <row r="37" spans="1:7">
      <c r="A37" s="171" t="s">
        <v>1378</v>
      </c>
      <c r="B37" s="172" t="str">
        <f ca="1">IFERROR(__xludf.DUMMYFUNCTION("IF(VLOOKUP($A37, IMPORTRANGE(""https://docs.google.com/spreadsheets/d/1WsTKRjz8_fF2119Ff9dhKIIYXSaUEHzuWr8pBkxmwQQ/edit"", ""Form Responses 1!$B:$Z""),1, FALSE)=$A37,""Yes"",""No"")"),"Yes")</f>
        <v>Yes</v>
      </c>
      <c r="F37" s="170" t="s">
        <v>588</v>
      </c>
      <c r="G37" s="173" t="str">
        <f ca="1">IFERROR(__xludf.DUMMYFUNCTION("IF(VLOOKUP($F37, IMPORTRANGE(""https://docs.google.com/spreadsheets/d/1g8hi4Vz_ciKKV-W3ruhVc-DrtEIxGiN7wQQSBhJ5lcI/edit"", ""Form Responses 1!$B:$Z""),1, FALSE)=$F37,""Yes"",""No"")"),"Yes")</f>
        <v>Yes</v>
      </c>
    </row>
    <row r="38" spans="1:7" hidden="1">
      <c r="A38" s="171" t="s">
        <v>1396</v>
      </c>
      <c r="B38" s="172" t="str">
        <f ca="1">IFERROR(__xludf.DUMMYFUNCTION("IF(VLOOKUP($A38, IMPORTRANGE(""https://docs.google.com/spreadsheets/d/1WsTKRjz8_fF2119Ff9dhKIIYXSaUEHzuWr8pBkxmwQQ/edit"", ""Form Responses 1!$B:$Z""),1, FALSE)=$A38,""Yes"",""No"")"),"Yes")</f>
        <v>Yes</v>
      </c>
      <c r="F38" s="170" t="s">
        <v>1140</v>
      </c>
      <c r="G38" s="173" t="str">
        <f ca="1">IFERROR(__xludf.DUMMYFUNCTION("IF(VLOOKUP($F38, IMPORTRANGE(""https://docs.google.com/spreadsheets/d/1g8hi4Vz_ciKKV-W3ruhVc-DrtEIxGiN7wQQSBhJ5lcI/edit"", ""Form Responses 1!$B:$Z""),1, FALSE)=$F38,""Yes"",""No"")"),"Yes")</f>
        <v>Yes</v>
      </c>
    </row>
    <row r="39" spans="1:7">
      <c r="A39" s="171" t="s">
        <v>1979</v>
      </c>
      <c r="B39" s="172" t="str">
        <f ca="1">IFERROR(__xludf.DUMMYFUNCTION("IF(VLOOKUP($A39, IMPORTRANGE(""https://docs.google.com/spreadsheets/d/1WsTKRjz8_fF2119Ff9dhKIIYXSaUEHzuWr8pBkxmwQQ/edit"", ""Form Responses 1!$B:$Z""),1, FALSE)=$A39,""Yes"",""No"")"),"Yes")</f>
        <v>Yes</v>
      </c>
      <c r="F39" s="170" t="s">
        <v>1156</v>
      </c>
      <c r="G39" s="173" t="str">
        <f ca="1">IFERROR(__xludf.DUMMYFUNCTION("IF(VLOOKUP($F39, IMPORTRANGE(""https://docs.google.com/spreadsheets/d/1g8hi4Vz_ciKKV-W3ruhVc-DrtEIxGiN7wQQSBhJ5lcI/edit"", ""Form Responses 1!$B:$Z""),1, FALSE)=$F39,""Yes"",""No"")"),"#N/A")</f>
        <v>#N/A</v>
      </c>
    </row>
    <row r="40" spans="1:7" hidden="1">
      <c r="A40" s="171" t="s">
        <v>1479</v>
      </c>
      <c r="B40" s="172" t="str">
        <f ca="1">IFERROR(__xludf.DUMMYFUNCTION("IF(VLOOKUP($A40, IMPORTRANGE(""https://docs.google.com/spreadsheets/d/1WsTKRjz8_fF2119Ff9dhKIIYXSaUEHzuWr8pBkxmwQQ/edit"", ""Form Responses 1!$B:$Z""),1, FALSE)=$A40,""Yes"",""No"")"),"#N/A")</f>
        <v>#N/A</v>
      </c>
      <c r="F40" s="170" t="s">
        <v>1164</v>
      </c>
      <c r="G40" s="173" t="str">
        <f ca="1">IFERROR(__xludf.DUMMYFUNCTION("IF(VLOOKUP($F40, IMPORTRANGE(""https://docs.google.com/spreadsheets/d/1g8hi4Vz_ciKKV-W3ruhVc-DrtEIxGiN7wQQSBhJ5lcI/edit"", ""Form Responses 1!$B:$Z""),1, FALSE)=$F40,""Yes"",""No"")"),"Yes")</f>
        <v>Yes</v>
      </c>
    </row>
    <row r="41" spans="1:7" hidden="1">
      <c r="A41" s="171" t="s">
        <v>2005</v>
      </c>
      <c r="B41" s="172" t="str">
        <f ca="1">IFERROR(__xludf.DUMMYFUNCTION("IF(VLOOKUP($A41, IMPORTRANGE(""https://docs.google.com/spreadsheets/d/1WsTKRjz8_fF2119Ff9dhKIIYXSaUEHzuWr8pBkxmwQQ/edit"", ""Form Responses 1!$B:$Z""),1, FALSE)=$A41,""Yes"",""No"")"),"Yes")</f>
        <v>Yes</v>
      </c>
      <c r="F41" s="170" t="s">
        <v>1706</v>
      </c>
      <c r="G41" s="173" t="str">
        <f ca="1">IFERROR(__xludf.DUMMYFUNCTION("IF(VLOOKUP($F41, IMPORTRANGE(""https://docs.google.com/spreadsheets/d/1g8hi4Vz_ciKKV-W3ruhVc-DrtEIxGiN7wQQSBhJ5lcI/edit"", ""Form Responses 1!$B:$Z""),1, FALSE)=$F41,""Yes"",""No"")"),"Yes")</f>
        <v>Yes</v>
      </c>
    </row>
    <row r="42" spans="1:7" hidden="1">
      <c r="A42" s="171" t="s">
        <v>1498</v>
      </c>
      <c r="B42" s="172" t="str">
        <f ca="1">IFERROR(__xludf.DUMMYFUNCTION("IF(VLOOKUP($A42, IMPORTRANGE(""https://docs.google.com/spreadsheets/d/1WsTKRjz8_fF2119Ff9dhKIIYXSaUEHzuWr8pBkxmwQQ/edit"", ""Form Responses 1!$B:$Z""),1, FALSE)=$A42,""Yes"",""No"")"),"#N/A")</f>
        <v>#N/A</v>
      </c>
      <c r="F42" s="170" t="s">
        <v>597</v>
      </c>
      <c r="G42" s="173" t="str">
        <f ca="1">IFERROR(__xludf.DUMMYFUNCTION("IF(VLOOKUP($F42, IMPORTRANGE(""https://docs.google.com/spreadsheets/d/1g8hi4Vz_ciKKV-W3ruhVc-DrtEIxGiN7wQQSBhJ5lcI/edit"", ""Form Responses 1!$B:$Z""),1, FALSE)=$F42,""Yes"",""No"")"),"Yes")</f>
        <v>Yes</v>
      </c>
    </row>
    <row r="43" spans="1:7" hidden="1">
      <c r="A43" s="174" t="s">
        <v>1514</v>
      </c>
      <c r="B43" s="172" t="str">
        <f ca="1">IFERROR(__xludf.DUMMYFUNCTION("IF(VLOOKUP($A43, IMPORTRANGE(""https://docs.google.com/spreadsheets/d/1WsTKRjz8_fF2119Ff9dhKIIYXSaUEHzuWr8pBkxmwQQ/edit"", ""Form Responses 1!$B:$Z""),1, FALSE)=$A43,""Yes"",""No"")"),"#N/A")</f>
        <v>#N/A</v>
      </c>
      <c r="F43" s="170" t="s">
        <v>617</v>
      </c>
      <c r="G43" s="173" t="str">
        <f ca="1">IFERROR(__xludf.DUMMYFUNCTION("IF(VLOOKUP($F43, IMPORTRANGE(""https://docs.google.com/spreadsheets/d/1g8hi4Vz_ciKKV-W3ruhVc-DrtEIxGiN7wQQSBhJ5lcI/edit"", ""Form Responses 1!$B:$Z""),1, FALSE)=$F43,""Yes"",""No"")"),"Yes")</f>
        <v>Yes</v>
      </c>
    </row>
    <row r="44" spans="1:7" hidden="1">
      <c r="A44" s="171" t="s">
        <v>2037</v>
      </c>
      <c r="B44" s="172" t="str">
        <f ca="1">IFERROR(__xludf.DUMMYFUNCTION("IF(VLOOKUP($A44, IMPORTRANGE(""https://docs.google.com/spreadsheets/d/1WsTKRjz8_fF2119Ff9dhKIIYXSaUEHzuWr8pBkxmwQQ/edit"", ""Form Responses 1!$B:$Z""),1, FALSE)=$A44,""Yes"",""No"")"),"Yes")</f>
        <v>Yes</v>
      </c>
      <c r="F44" s="170" t="s">
        <v>1173</v>
      </c>
      <c r="G44" s="173" t="str">
        <f ca="1">IFERROR(__xludf.DUMMYFUNCTION("IF(VLOOKUP($F44, IMPORTRANGE(""https://docs.google.com/spreadsheets/d/1g8hi4Vz_ciKKV-W3ruhVc-DrtEIxGiN7wQQSBhJ5lcI/edit"", ""Form Responses 1!$B:$Z""),1, FALSE)=$F44,""Yes"",""No"")"),"Yes")</f>
        <v>Yes</v>
      </c>
    </row>
    <row r="45" spans="1:7" hidden="1">
      <c r="A45" s="171" t="s">
        <v>927</v>
      </c>
      <c r="B45" s="172" t="str">
        <f ca="1">IFERROR(__xludf.DUMMYFUNCTION("IF(VLOOKUP($A45, IMPORTRANGE(""https://docs.google.com/spreadsheets/d/1WsTKRjz8_fF2119Ff9dhKIIYXSaUEHzuWr8pBkxmwQQ/edit"", ""Form Responses 1!$B:$Z""),1, FALSE)=$A45,""Yes"",""No"")"),"Yes")</f>
        <v>Yes</v>
      </c>
      <c r="F45" s="170" t="s">
        <v>1182</v>
      </c>
      <c r="G45" s="173" t="str">
        <f ca="1">IFERROR(__xludf.DUMMYFUNCTION("IF(VLOOKUP($F45, IMPORTRANGE(""https://docs.google.com/spreadsheets/d/1g8hi4Vz_ciKKV-W3ruhVc-DrtEIxGiN7wQQSBhJ5lcI/edit"", ""Form Responses 1!$B:$Z""),1, FALSE)=$F45,""Yes"",""No"")"),"Yes")</f>
        <v>Yes</v>
      </c>
    </row>
    <row r="46" spans="1:7">
      <c r="A46" s="171" t="s">
        <v>2046</v>
      </c>
      <c r="B46" s="172" t="str">
        <f ca="1">IFERROR(__xludf.DUMMYFUNCTION("IF(VLOOKUP($A46, IMPORTRANGE(""https://docs.google.com/spreadsheets/d/1WsTKRjz8_fF2119Ff9dhKIIYXSaUEHzuWr8pBkxmwQQ/edit"", ""Form Responses 1!$B:$Z""),1, FALSE)=$A46,""Yes"",""No"")"),"Yes")</f>
        <v>Yes</v>
      </c>
      <c r="F46" s="170" t="s">
        <v>626</v>
      </c>
      <c r="G46" s="173" t="str">
        <f ca="1">IFERROR(__xludf.DUMMYFUNCTION("IF(VLOOKUP($F46, IMPORTRANGE(""https://docs.google.com/spreadsheets/d/1g8hi4Vz_ciKKV-W3ruhVc-DrtEIxGiN7wQQSBhJ5lcI/edit"", ""Form Responses 1!$B:$Z""),1, FALSE)=$F46,""Yes"",""No"")"),"Yes")</f>
        <v>Yes</v>
      </c>
    </row>
    <row r="47" spans="1:7" hidden="1">
      <c r="A47" s="171" t="s">
        <v>949</v>
      </c>
      <c r="B47" s="172" t="str">
        <f ca="1">IFERROR(__xludf.DUMMYFUNCTION("IF(VLOOKUP($A47, IMPORTRANGE(""https://docs.google.com/spreadsheets/d/1WsTKRjz8_fF2119Ff9dhKIIYXSaUEHzuWr8pBkxmwQQ/edit"", ""Form Responses 1!$B:$Z""),1, FALSE)=$A47,""Yes"",""No"")"),"Yes")</f>
        <v>Yes</v>
      </c>
      <c r="F47" s="170" t="s">
        <v>1191</v>
      </c>
      <c r="G47" s="173" t="str">
        <f ca="1">IFERROR(__xludf.DUMMYFUNCTION("IF(VLOOKUP($F47, IMPORTRANGE(""https://docs.google.com/spreadsheets/d/1g8hi4Vz_ciKKV-W3ruhVc-DrtEIxGiN7wQQSBhJ5lcI/edit"", ""Form Responses 1!$B:$Z""),1, FALSE)=$F47,""Yes"",""No"")"),"Yes")</f>
        <v>Yes</v>
      </c>
    </row>
    <row r="48" spans="1:7" hidden="1">
      <c r="A48" s="171" t="s">
        <v>2071</v>
      </c>
      <c r="B48" s="172" t="str">
        <f ca="1">IFERROR(__xludf.DUMMYFUNCTION("IF(VLOOKUP($A48, IMPORTRANGE(""https://docs.google.com/spreadsheets/d/1WsTKRjz8_fF2119Ff9dhKIIYXSaUEHzuWr8pBkxmwQQ/edit"", ""Form Responses 1!$B:$Z""),1, FALSE)=$A48,""Yes"",""No"")"),"Yes")</f>
        <v>Yes</v>
      </c>
      <c r="F48" s="170" t="s">
        <v>1199</v>
      </c>
      <c r="G48" s="173" t="str">
        <f ca="1">IFERROR(__xludf.DUMMYFUNCTION("IF(VLOOKUP($F48, IMPORTRANGE(""https://docs.google.com/spreadsheets/d/1g8hi4Vz_ciKKV-W3ruhVc-DrtEIxGiN7wQQSBhJ5lcI/edit"", ""Form Responses 1!$B:$Z""),1, FALSE)=$F48,""Yes"",""No"")"),"Yes")</f>
        <v>Yes</v>
      </c>
    </row>
    <row r="49" spans="1:7">
      <c r="A49" s="171" t="s">
        <v>2081</v>
      </c>
      <c r="B49" s="172" t="str">
        <f ca="1">IFERROR(__xludf.DUMMYFUNCTION("IF(VLOOKUP($A49, IMPORTRANGE(""https://docs.google.com/spreadsheets/d/1WsTKRjz8_fF2119Ff9dhKIIYXSaUEHzuWr8pBkxmwQQ/edit"", ""Form Responses 1!$B:$Z""),1, FALSE)=$A49,""Yes"",""No"")"),"Yes")</f>
        <v>Yes</v>
      </c>
      <c r="F49" s="170" t="s">
        <v>1749</v>
      </c>
      <c r="G49" s="173" t="str">
        <f ca="1">IFERROR(__xludf.DUMMYFUNCTION("IF(VLOOKUP($F49, IMPORTRANGE(""https://docs.google.com/spreadsheets/d/1g8hi4Vz_ciKKV-W3ruhVc-DrtEIxGiN7wQQSBhJ5lcI/edit"", ""Form Responses 1!$B:$Z""),1, FALSE)=$F49,""Yes"",""No"")"),"#N/A")</f>
        <v>#N/A</v>
      </c>
    </row>
    <row r="50" spans="1:7">
      <c r="A50" s="171" t="s">
        <v>1598</v>
      </c>
      <c r="B50" s="172" t="str">
        <f ca="1">IFERROR(__xludf.DUMMYFUNCTION("IF(VLOOKUP($A50, IMPORTRANGE(""https://docs.google.com/spreadsheets/d/1WsTKRjz8_fF2119Ff9dhKIIYXSaUEHzuWr8pBkxmwQQ/edit"", ""Form Responses 1!$B:$Z""),1, FALSE)=$A50,""Yes"",""No"")"),"Yes")</f>
        <v>Yes</v>
      </c>
      <c r="F50" s="170" t="s">
        <v>1757</v>
      </c>
      <c r="G50" s="173" t="str">
        <f ca="1">IFERROR(__xludf.DUMMYFUNCTION("IF(VLOOKUP($F50, IMPORTRANGE(""https://docs.google.com/spreadsheets/d/1g8hi4Vz_ciKKV-W3ruhVc-DrtEIxGiN7wQQSBhJ5lcI/edit"", ""Form Responses 1!$B:$Z""),1, FALSE)=$F50,""Yes"",""No"")"),"#N/A")</f>
        <v>#N/A</v>
      </c>
    </row>
    <row r="51" spans="1:7">
      <c r="A51" s="171"/>
      <c r="B51" s="172"/>
      <c r="F51" s="170" t="s">
        <v>634</v>
      </c>
      <c r="G51" s="173" t="str">
        <f ca="1">IFERROR(__xludf.DUMMYFUNCTION("IF(VLOOKUP($F51, IMPORTRANGE(""https://docs.google.com/spreadsheets/d/1g8hi4Vz_ciKKV-W3ruhVc-DrtEIxGiN7wQQSBhJ5lcI/edit"", ""Form Responses 1!$B:$Z""),1, FALSE)=$F51,""Yes"",""No"")"),"#N/A")</f>
        <v>#N/A</v>
      </c>
    </row>
    <row r="52" spans="1:7" hidden="1">
      <c r="A52" s="171"/>
      <c r="B52" s="172"/>
      <c r="F52" s="170" t="s">
        <v>1765</v>
      </c>
      <c r="G52" s="173" t="str">
        <f ca="1">IFERROR(__xludf.DUMMYFUNCTION("IF(VLOOKUP($F52, IMPORTRANGE(""https://docs.google.com/spreadsheets/d/1g8hi4Vz_ciKKV-W3ruhVc-DrtEIxGiN7wQQSBhJ5lcI/edit"", ""Form Responses 1!$B:$Z""),1, FALSE)=$F52,""Yes"",""No"")"),"Yes")</f>
        <v>Yes</v>
      </c>
    </row>
    <row r="53" spans="1:7" hidden="1">
      <c r="A53" s="171"/>
      <c r="B53" s="172"/>
      <c r="F53" s="170" t="s">
        <v>1773</v>
      </c>
      <c r="G53" s="173" t="str">
        <f ca="1">IFERROR(__xludf.DUMMYFUNCTION("IF(VLOOKUP($F53, IMPORTRANGE(""https://docs.google.com/spreadsheets/d/1g8hi4Vz_ciKKV-W3ruhVc-DrtEIxGiN7wQQSBhJ5lcI/edit"", ""Form Responses 1!$B:$Z""),1, FALSE)=$F53,""Yes"",""No"")"),"Yes")</f>
        <v>Yes</v>
      </c>
    </row>
    <row r="54" spans="1:7" hidden="1">
      <c r="A54" s="171"/>
      <c r="B54" s="172"/>
      <c r="F54" s="170" t="s">
        <v>1216</v>
      </c>
      <c r="G54" s="173" t="str">
        <f ca="1">IFERROR(__xludf.DUMMYFUNCTION("IF(VLOOKUP($F54, IMPORTRANGE(""https://docs.google.com/spreadsheets/d/1g8hi4Vz_ciKKV-W3ruhVc-DrtEIxGiN7wQQSBhJ5lcI/edit"", ""Form Responses 1!$B:$Z""),1, FALSE)=$F54,""Yes"",""No"")"),"Yes")</f>
        <v>Yes</v>
      </c>
    </row>
    <row r="55" spans="1:7">
      <c r="A55" s="171"/>
      <c r="B55" s="172"/>
      <c r="F55" s="170" t="s">
        <v>643</v>
      </c>
      <c r="G55" s="173" t="str">
        <f ca="1">IFERROR(__xludf.DUMMYFUNCTION("IF(VLOOKUP($F55, IMPORTRANGE(""https://docs.google.com/spreadsheets/d/1g8hi4Vz_ciKKV-W3ruhVc-DrtEIxGiN7wQQSBhJ5lcI/edit"", ""Form Responses 1!$B:$Z""),1, FALSE)=$F55,""Yes"",""No"")"),"#N/A")</f>
        <v>#N/A</v>
      </c>
    </row>
    <row r="56" spans="1:7" hidden="1">
      <c r="A56" s="171"/>
      <c r="B56" s="172"/>
      <c r="F56" s="170" t="s">
        <v>1788</v>
      </c>
      <c r="G56" s="173" t="str">
        <f ca="1">IFERROR(__xludf.DUMMYFUNCTION("IF(VLOOKUP($F56, IMPORTRANGE(""https://docs.google.com/spreadsheets/d/1g8hi4Vz_ciKKV-W3ruhVc-DrtEIxGiN7wQQSBhJ5lcI/edit"", ""Form Responses 1!$B:$Z""),1, FALSE)=$F56,""Yes"",""No"")"),"Yes")</f>
        <v>Yes</v>
      </c>
    </row>
    <row r="57" spans="1:7" hidden="1">
      <c r="A57" s="171"/>
      <c r="B57" s="172"/>
      <c r="F57" s="170" t="s">
        <v>1232</v>
      </c>
      <c r="G57" s="173" t="str">
        <f ca="1">IFERROR(__xludf.DUMMYFUNCTION("IF(VLOOKUP($F57, IMPORTRANGE(""https://docs.google.com/spreadsheets/d/1g8hi4Vz_ciKKV-W3ruhVc-DrtEIxGiN7wQQSBhJ5lcI/edit"", ""Form Responses 1!$B:$Z""),1, FALSE)=$F57,""Yes"",""No"")"),"Yes")</f>
        <v>Yes</v>
      </c>
    </row>
    <row r="58" spans="1:7" hidden="1">
      <c r="A58" s="171"/>
      <c r="B58" s="172"/>
      <c r="F58" s="170" t="s">
        <v>1797</v>
      </c>
      <c r="G58" s="173" t="str">
        <f ca="1">IFERROR(__xludf.DUMMYFUNCTION("IF(VLOOKUP($F58, IMPORTRANGE(""https://docs.google.com/spreadsheets/d/1g8hi4Vz_ciKKV-W3ruhVc-DrtEIxGiN7wQQSBhJ5lcI/edit"", ""Form Responses 1!$B:$Z""),1, FALSE)=$F58,""Yes"",""No"")"),"Yes")</f>
        <v>Yes</v>
      </c>
    </row>
    <row r="59" spans="1:7">
      <c r="A59" s="171"/>
      <c r="B59" s="172"/>
      <c r="F59" s="170" t="s">
        <v>1242</v>
      </c>
      <c r="G59" s="173" t="str">
        <f ca="1">IFERROR(__xludf.DUMMYFUNCTION("IF(VLOOKUP($F59, IMPORTRANGE(""https://docs.google.com/spreadsheets/d/1g8hi4Vz_ciKKV-W3ruhVc-DrtEIxGiN7wQQSBhJ5lcI/edit"", ""Form Responses 1!$B:$Z""),1, FALSE)=$F59,""Yes"",""No"")"),"Yes")</f>
        <v>Yes</v>
      </c>
    </row>
    <row r="60" spans="1:7" hidden="1">
      <c r="A60" s="171"/>
      <c r="B60" s="172"/>
      <c r="F60" s="170" t="s">
        <v>1250</v>
      </c>
      <c r="G60" s="173" t="str">
        <f ca="1">IFERROR(__xludf.DUMMYFUNCTION("IF(VLOOKUP($F60, IMPORTRANGE(""https://docs.google.com/spreadsheets/d/1g8hi4Vz_ciKKV-W3ruhVc-DrtEIxGiN7wQQSBhJ5lcI/edit"", ""Form Responses 1!$B:$Z""),1, FALSE)=$F60,""Yes"",""No"")"),"Yes")</f>
        <v>Yes</v>
      </c>
    </row>
    <row r="61" spans="1:7" hidden="1">
      <c r="A61" s="171"/>
      <c r="B61" s="172"/>
      <c r="F61" s="170" t="s">
        <v>652</v>
      </c>
      <c r="G61" s="173" t="str">
        <f ca="1">IFERROR(__xludf.DUMMYFUNCTION("IF(VLOOKUP($F61, IMPORTRANGE(""https://docs.google.com/spreadsheets/d/1g8hi4Vz_ciKKV-W3ruhVc-DrtEIxGiN7wQQSBhJ5lcI/edit"", ""Form Responses 1!$B:$Z""),1, FALSE)=$F61,""Yes"",""No"")"),"Yes")</f>
        <v>Yes</v>
      </c>
    </row>
    <row r="62" spans="1:7" hidden="1">
      <c r="A62" s="171"/>
      <c r="B62" s="172"/>
      <c r="F62" s="170" t="s">
        <v>1806</v>
      </c>
      <c r="G62" s="173" t="str">
        <f ca="1">IFERROR(__xludf.DUMMYFUNCTION("IF(VLOOKUP($F62, IMPORTRANGE(""https://docs.google.com/spreadsheets/d/1g8hi4Vz_ciKKV-W3ruhVc-DrtEIxGiN7wQQSBhJ5lcI/edit"", ""Form Responses 1!$B:$Z""),1, FALSE)=$F62,""Yes"",""No"")"),"Yes")</f>
        <v>Yes</v>
      </c>
    </row>
    <row r="63" spans="1:7" hidden="1">
      <c r="A63" s="171"/>
      <c r="B63" s="172"/>
      <c r="F63" s="170" t="s">
        <v>1814</v>
      </c>
      <c r="G63" s="173" t="str">
        <f ca="1">IFERROR(__xludf.DUMMYFUNCTION("IF(VLOOKUP($F63, IMPORTRANGE(""https://docs.google.com/spreadsheets/d/1g8hi4Vz_ciKKV-W3ruhVc-DrtEIxGiN7wQQSBhJ5lcI/edit"", ""Form Responses 1!$B:$Z""),1, FALSE)=$F63,""Yes"",""No"")"),"Yes")</f>
        <v>Yes</v>
      </c>
    </row>
    <row r="64" spans="1:7" hidden="1">
      <c r="A64" s="171"/>
      <c r="B64" s="172"/>
      <c r="F64" s="170" t="s">
        <v>1822</v>
      </c>
      <c r="G64" s="173" t="str">
        <f ca="1">IFERROR(__xludf.DUMMYFUNCTION("IF(VLOOKUP($F64, IMPORTRANGE(""https://docs.google.com/spreadsheets/d/1g8hi4Vz_ciKKV-W3ruhVc-DrtEIxGiN7wQQSBhJ5lcI/edit"", ""Form Responses 1!$B:$Z""),1, FALSE)=$F64,""Yes"",""No"")"),"Yes")</f>
        <v>Yes</v>
      </c>
    </row>
    <row r="65" spans="1:7" hidden="1">
      <c r="A65" s="171"/>
      <c r="B65" s="172"/>
      <c r="F65" s="170" t="s">
        <v>1837</v>
      </c>
      <c r="G65" s="173" t="str">
        <f ca="1">IFERROR(__xludf.DUMMYFUNCTION("IF(VLOOKUP($F65, IMPORTRANGE(""https://docs.google.com/spreadsheets/d/1g8hi4Vz_ciKKV-W3ruhVc-DrtEIxGiN7wQQSBhJ5lcI/edit"", ""Form Responses 1!$B:$Z""),1, FALSE)=$F65,""Yes"",""No"")"),"Yes")</f>
        <v>Yes</v>
      </c>
    </row>
    <row r="66" spans="1:7" hidden="1">
      <c r="A66" s="171"/>
      <c r="B66" s="172"/>
      <c r="F66" s="170" t="s">
        <v>1266</v>
      </c>
      <c r="G66" s="173" t="str">
        <f ca="1">IFERROR(__xludf.DUMMYFUNCTION("IF(VLOOKUP($F66, IMPORTRANGE(""https://docs.google.com/spreadsheets/d/1g8hi4Vz_ciKKV-W3ruhVc-DrtEIxGiN7wQQSBhJ5lcI/edit"", ""Form Responses 1!$B:$Z""),1, FALSE)=$F66,""Yes"",""No"")"),"Yes")</f>
        <v>Yes</v>
      </c>
    </row>
    <row r="67" spans="1:7" hidden="1">
      <c r="A67" s="171"/>
      <c r="B67" s="172"/>
      <c r="F67" s="170" t="s">
        <v>1846</v>
      </c>
      <c r="G67" s="173" t="str">
        <f ca="1">IFERROR(__xludf.DUMMYFUNCTION("IF(VLOOKUP($F67, IMPORTRANGE(""https://docs.google.com/spreadsheets/d/1g8hi4Vz_ciKKV-W3ruhVc-DrtEIxGiN7wQQSBhJ5lcI/edit"", ""Form Responses 1!$B:$Z""),1, FALSE)=$F67,""Yes"",""No"")"),"Yes")</f>
        <v>Yes</v>
      </c>
    </row>
    <row r="68" spans="1:7" hidden="1">
      <c r="A68" s="171"/>
      <c r="B68" s="172"/>
      <c r="F68" s="170" t="s">
        <v>682</v>
      </c>
      <c r="G68" s="173" t="str">
        <f ca="1">IFERROR(__xludf.DUMMYFUNCTION("IF(VLOOKUP($F68, IMPORTRANGE(""https://docs.google.com/spreadsheets/d/1g8hi4Vz_ciKKV-W3ruhVc-DrtEIxGiN7wQQSBhJ5lcI/edit"", ""Form Responses 1!$B:$Z""),1, FALSE)=$F68,""Yes"",""No"")"),"Yes")</f>
        <v>Yes</v>
      </c>
    </row>
    <row r="69" spans="1:7" hidden="1">
      <c r="A69" s="171"/>
      <c r="B69" s="172"/>
      <c r="F69" s="170" t="s">
        <v>1285</v>
      </c>
      <c r="G69" s="173" t="str">
        <f ca="1">IFERROR(__xludf.DUMMYFUNCTION("IF(VLOOKUP($F69, IMPORTRANGE(""https://docs.google.com/spreadsheets/d/1g8hi4Vz_ciKKV-W3ruhVc-DrtEIxGiN7wQQSBhJ5lcI/edit"", ""Form Responses 1!$B:$Z""),1, FALSE)=$F69,""Yes"",""No"")"),"Yes")</f>
        <v>Yes</v>
      </c>
    </row>
    <row r="70" spans="1:7" hidden="1">
      <c r="A70" s="171"/>
      <c r="B70" s="172"/>
      <c r="F70" s="170" t="s">
        <v>692</v>
      </c>
      <c r="G70" s="173" t="str">
        <f ca="1">IFERROR(__xludf.DUMMYFUNCTION("IF(VLOOKUP($F70, IMPORTRANGE(""https://docs.google.com/spreadsheets/d/1g8hi4Vz_ciKKV-W3ruhVc-DrtEIxGiN7wQQSBhJ5lcI/edit"", ""Form Responses 1!$B:$Z""),1, FALSE)=$F70,""Yes"",""No"")"),"Yes")</f>
        <v>Yes</v>
      </c>
    </row>
    <row r="71" spans="1:7" hidden="1">
      <c r="A71" s="171"/>
      <c r="B71" s="172"/>
      <c r="F71" s="170" t="s">
        <v>702</v>
      </c>
      <c r="G71" s="173" t="str">
        <f ca="1">IFERROR(__xludf.DUMMYFUNCTION("IF(VLOOKUP($F71, IMPORTRANGE(""https://docs.google.com/spreadsheets/d/1g8hi4Vz_ciKKV-W3ruhVc-DrtEIxGiN7wQQSBhJ5lcI/edit"", ""Form Responses 1!$B:$Z""),1, FALSE)=$F71,""Yes"",""No"")"),"Yes")</f>
        <v>Yes</v>
      </c>
    </row>
    <row r="72" spans="1:7" hidden="1">
      <c r="A72" s="171"/>
      <c r="B72" s="172"/>
      <c r="F72" s="170" t="s">
        <v>1293</v>
      </c>
      <c r="G72" s="173" t="str">
        <f ca="1">IFERROR(__xludf.DUMMYFUNCTION("IF(VLOOKUP($F72, IMPORTRANGE(""https://docs.google.com/spreadsheets/d/1g8hi4Vz_ciKKV-W3ruhVc-DrtEIxGiN7wQQSBhJ5lcI/edit"", ""Form Responses 1!$B:$Z""),1, FALSE)=$F72,""Yes"",""No"")"),"Yes")</f>
        <v>Yes</v>
      </c>
    </row>
    <row r="73" spans="1:7">
      <c r="A73" s="171"/>
      <c r="B73" s="172"/>
      <c r="F73" s="170" t="s">
        <v>713</v>
      </c>
      <c r="G73" s="173" t="str">
        <f ca="1">IFERROR(__xludf.DUMMYFUNCTION("IF(VLOOKUP($F73, IMPORTRANGE(""https://docs.google.com/spreadsheets/d/1g8hi4Vz_ciKKV-W3ruhVc-DrtEIxGiN7wQQSBhJ5lcI/edit"", ""Form Responses 1!$B:$Z""),1, FALSE)=$F73,""Yes"",""No"")"),"Yes")</f>
        <v>Yes</v>
      </c>
    </row>
    <row r="74" spans="1:7">
      <c r="A74" s="171"/>
      <c r="B74" s="172"/>
      <c r="F74" s="170" t="s">
        <v>733</v>
      </c>
      <c r="G74" s="173" t="str">
        <f ca="1">IFERROR(__xludf.DUMMYFUNCTION("IF(VLOOKUP($F74, IMPORTRANGE(""https://docs.google.com/spreadsheets/d/1g8hi4Vz_ciKKV-W3ruhVc-DrtEIxGiN7wQQSBhJ5lcI/edit"", ""Form Responses 1!$B:$Z""),1, FALSE)=$F74,""Yes"",""No"")"),"#N/A")</f>
        <v>#N/A</v>
      </c>
    </row>
    <row r="75" spans="1:7" hidden="1">
      <c r="A75" s="171"/>
      <c r="B75" s="172"/>
      <c r="F75" s="170" t="s">
        <v>744</v>
      </c>
      <c r="G75" s="173" t="str">
        <f ca="1">IFERROR(__xludf.DUMMYFUNCTION("IF(VLOOKUP($F75, IMPORTRANGE(""https://docs.google.com/spreadsheets/d/1g8hi4Vz_ciKKV-W3ruhVc-DrtEIxGiN7wQQSBhJ5lcI/edit"", ""Form Responses 1!$B:$Z""),1, FALSE)=$F75,""Yes"",""No"")"),"Yes")</f>
        <v>Yes</v>
      </c>
    </row>
    <row r="76" spans="1:7">
      <c r="A76" s="171"/>
      <c r="B76" s="172"/>
      <c r="F76" s="170" t="s">
        <v>753</v>
      </c>
      <c r="G76" s="173" t="str">
        <f ca="1">IFERROR(__xludf.DUMMYFUNCTION("IF(VLOOKUP($F76, IMPORTRANGE(""https://docs.google.com/spreadsheets/d/1g8hi4Vz_ciKKV-W3ruhVc-DrtEIxGiN7wQQSBhJ5lcI/edit"", ""Form Responses 1!$B:$Z""),1, FALSE)=$F76,""Yes"",""No"")"),"#N/A")</f>
        <v>#N/A</v>
      </c>
    </row>
    <row r="77" spans="1:7">
      <c r="A77" s="171"/>
      <c r="B77" s="172"/>
      <c r="F77" s="170" t="s">
        <v>1864</v>
      </c>
      <c r="G77" s="173" t="str">
        <f ca="1">IFERROR(__xludf.DUMMYFUNCTION("IF(VLOOKUP($F77, IMPORTRANGE(""https://docs.google.com/spreadsheets/d/1g8hi4Vz_ciKKV-W3ruhVc-DrtEIxGiN7wQQSBhJ5lcI/edit"", ""Form Responses 1!$B:$Z""),1, FALSE)=$F77,""Yes"",""No"")"),"#N/A")</f>
        <v>#N/A</v>
      </c>
    </row>
    <row r="78" spans="1:7" hidden="1">
      <c r="A78" s="171"/>
      <c r="B78" s="172"/>
      <c r="F78" s="170" t="s">
        <v>1310</v>
      </c>
      <c r="G78" s="173" t="str">
        <f ca="1">IFERROR(__xludf.DUMMYFUNCTION("IF(VLOOKUP($F78, IMPORTRANGE(""https://docs.google.com/spreadsheets/d/1g8hi4Vz_ciKKV-W3ruhVc-DrtEIxGiN7wQQSBhJ5lcI/edit"", ""Form Responses 1!$B:$Z""),1, FALSE)=$F78,""Yes"",""No"")"),"Yes")</f>
        <v>Yes</v>
      </c>
    </row>
    <row r="79" spans="1:7" hidden="1">
      <c r="A79" s="171"/>
      <c r="B79" s="172"/>
      <c r="F79" s="170" t="s">
        <v>1871</v>
      </c>
      <c r="G79" s="173" t="str">
        <f ca="1">IFERROR(__xludf.DUMMYFUNCTION("IF(VLOOKUP($F79, IMPORTRANGE(""https://docs.google.com/spreadsheets/d/1g8hi4Vz_ciKKV-W3ruhVc-DrtEIxGiN7wQQSBhJ5lcI/edit"", ""Form Responses 1!$B:$Z""),1, FALSE)=$F79,""Yes"",""No"")"),"Yes")</f>
        <v>Yes</v>
      </c>
    </row>
    <row r="80" spans="1:7">
      <c r="A80" s="171"/>
      <c r="B80" s="172"/>
      <c r="F80" s="170" t="s">
        <v>1896</v>
      </c>
      <c r="G80" s="173" t="str">
        <f ca="1">IFERROR(__xludf.DUMMYFUNCTION("IF(VLOOKUP($F80, IMPORTRANGE(""https://docs.google.com/spreadsheets/d/1g8hi4Vz_ciKKV-W3ruhVc-DrtEIxGiN7wQQSBhJ5lcI/edit"", ""Form Responses 1!$B:$Z""),1, FALSE)=$F80,""Yes"",""No"")"),"#N/A")</f>
        <v>#N/A</v>
      </c>
    </row>
    <row r="81" spans="1:7" hidden="1">
      <c r="A81" s="171"/>
      <c r="B81" s="172"/>
      <c r="F81" s="170" t="s">
        <v>1326</v>
      </c>
      <c r="G81" s="173" t="str">
        <f ca="1">IFERROR(__xludf.DUMMYFUNCTION("IF(VLOOKUP($F81, IMPORTRANGE(""https://docs.google.com/spreadsheets/d/1g8hi4Vz_ciKKV-W3ruhVc-DrtEIxGiN7wQQSBhJ5lcI/edit"", ""Form Responses 1!$B:$Z""),1, FALSE)=$F81,""Yes"",""No"")"),"Yes")</f>
        <v>Yes</v>
      </c>
    </row>
    <row r="82" spans="1:7" hidden="1">
      <c r="A82" s="171"/>
      <c r="B82" s="172"/>
      <c r="F82" s="170" t="s">
        <v>1336</v>
      </c>
      <c r="G82" s="173" t="str">
        <f ca="1">IFERROR(__xludf.DUMMYFUNCTION("IF(VLOOKUP($F82, IMPORTRANGE(""https://docs.google.com/spreadsheets/d/1g8hi4Vz_ciKKV-W3ruhVc-DrtEIxGiN7wQQSBhJ5lcI/edit"", ""Form Responses 1!$B:$Z""),1, FALSE)=$F82,""Yes"",""No"")"),"Yes")</f>
        <v>Yes</v>
      </c>
    </row>
    <row r="83" spans="1:7" hidden="1">
      <c r="A83" s="171"/>
      <c r="B83" s="172"/>
      <c r="F83" s="170" t="s">
        <v>762</v>
      </c>
      <c r="G83" s="173" t="str">
        <f ca="1">IFERROR(__xludf.DUMMYFUNCTION("IF(VLOOKUP($F83, IMPORTRANGE(""https://docs.google.com/spreadsheets/d/1g8hi4Vz_ciKKV-W3ruhVc-DrtEIxGiN7wQQSBhJ5lcI/edit"", ""Form Responses 1!$B:$Z""),1, FALSE)=$F83,""Yes"",""No"")"),"Yes")</f>
        <v>Yes</v>
      </c>
    </row>
    <row r="84" spans="1:7" hidden="1">
      <c r="A84" s="171"/>
      <c r="B84" s="172"/>
      <c r="F84" s="170" t="s">
        <v>770</v>
      </c>
      <c r="G84" s="173" t="str">
        <f ca="1">IFERROR(__xludf.DUMMYFUNCTION("IF(VLOOKUP($F84, IMPORTRANGE(""https://docs.google.com/spreadsheets/d/1g8hi4Vz_ciKKV-W3ruhVc-DrtEIxGiN7wQQSBhJ5lcI/edit"", ""Form Responses 1!$B:$Z""),1, FALSE)=$F84,""Yes"",""No"")"),"Yes")</f>
        <v>Yes</v>
      </c>
    </row>
    <row r="85" spans="1:7" hidden="1">
      <c r="A85" s="171"/>
      <c r="B85" s="172"/>
      <c r="F85" s="170" t="s">
        <v>778</v>
      </c>
      <c r="G85" s="173" t="str">
        <f ca="1">IFERROR(__xludf.DUMMYFUNCTION("IF(VLOOKUP($F85, IMPORTRANGE(""https://docs.google.com/spreadsheets/d/1g8hi4Vz_ciKKV-W3ruhVc-DrtEIxGiN7wQQSBhJ5lcI/edit"", ""Form Responses 1!$B:$Z""),1, FALSE)=$F85,""Yes"",""No"")"),"Yes")</f>
        <v>Yes</v>
      </c>
    </row>
    <row r="86" spans="1:7" hidden="1">
      <c r="A86" s="171"/>
      <c r="B86" s="172"/>
      <c r="F86" s="170" t="s">
        <v>1345</v>
      </c>
      <c r="G86" s="173" t="str">
        <f ca="1">IFERROR(__xludf.DUMMYFUNCTION("IF(VLOOKUP($F86, IMPORTRANGE(""https://docs.google.com/spreadsheets/d/1g8hi4Vz_ciKKV-W3ruhVc-DrtEIxGiN7wQQSBhJ5lcI/edit"", ""Form Responses 1!$B:$Z""),1, FALSE)=$F86,""Yes"",""No"")"),"Yes")</f>
        <v>Yes</v>
      </c>
    </row>
    <row r="87" spans="1:7">
      <c r="A87" s="171"/>
      <c r="B87" s="172"/>
      <c r="F87" s="170" t="s">
        <v>1903</v>
      </c>
      <c r="G87" s="173" t="str">
        <f ca="1">IFERROR(__xludf.DUMMYFUNCTION("IF(VLOOKUP($F87, IMPORTRANGE(""https://docs.google.com/spreadsheets/d/1g8hi4Vz_ciKKV-W3ruhVc-DrtEIxGiN7wQQSBhJ5lcI/edit"", ""Form Responses 1!$B:$Z""),1, FALSE)=$F87,""Yes"",""No"")"),"#N/A")</f>
        <v>#N/A</v>
      </c>
    </row>
    <row r="88" spans="1:7">
      <c r="A88" s="171"/>
      <c r="B88" s="172"/>
      <c r="F88" s="170" t="s">
        <v>1914</v>
      </c>
      <c r="G88" s="173" t="str">
        <f ca="1">IFERROR(__xludf.DUMMYFUNCTION("IF(VLOOKUP($F88, IMPORTRANGE(""https://docs.google.com/spreadsheets/d/1g8hi4Vz_ciKKV-W3ruhVc-DrtEIxGiN7wQQSBhJ5lcI/edit"", ""Form Responses 1!$B:$Z""),1, FALSE)=$F88,""Yes"",""No"")"),"#N/A")</f>
        <v>#N/A</v>
      </c>
    </row>
    <row r="89" spans="1:7">
      <c r="A89" s="171"/>
      <c r="B89" s="172"/>
      <c r="F89" s="170" t="s">
        <v>1934</v>
      </c>
      <c r="G89" s="173" t="str">
        <f ca="1">IFERROR(__xludf.DUMMYFUNCTION("IF(VLOOKUP($F89, IMPORTRANGE(""https://docs.google.com/spreadsheets/d/1g8hi4Vz_ciKKV-W3ruhVc-DrtEIxGiN7wQQSBhJ5lcI/edit"", ""Form Responses 1!$B:$Z""),1, FALSE)=$F89,""Yes"",""No"")"),"#N/A")</f>
        <v>#N/A</v>
      </c>
    </row>
    <row r="90" spans="1:7">
      <c r="A90" s="171"/>
      <c r="B90" s="172"/>
      <c r="F90" s="170" t="s">
        <v>803</v>
      </c>
      <c r="G90" s="173" t="str">
        <f ca="1">IFERROR(__xludf.DUMMYFUNCTION("IF(VLOOKUP($F90, IMPORTRANGE(""https://docs.google.com/spreadsheets/d/1g8hi4Vz_ciKKV-W3ruhVc-DrtEIxGiN7wQQSBhJ5lcI/edit"", ""Form Responses 1!$B:$Z""),1, FALSE)=$F90,""Yes"",""No"")"),"#N/A")</f>
        <v>#N/A</v>
      </c>
    </row>
    <row r="91" spans="1:7" hidden="1">
      <c r="A91" s="171"/>
      <c r="B91" s="172"/>
      <c r="F91" s="170" t="s">
        <v>811</v>
      </c>
      <c r="G91" s="173" t="str">
        <f ca="1">IFERROR(__xludf.DUMMYFUNCTION("IF(VLOOKUP($F91, IMPORTRANGE(""https://docs.google.com/spreadsheets/d/1g8hi4Vz_ciKKV-W3ruhVc-DrtEIxGiN7wQQSBhJ5lcI/edit"", ""Form Responses 1!$B:$Z""),1, FALSE)=$F91,""Yes"",""No"")"),"Yes")</f>
        <v>Yes</v>
      </c>
    </row>
    <row r="92" spans="1:7" hidden="1">
      <c r="A92" s="171"/>
      <c r="B92" s="172"/>
      <c r="F92" s="170" t="s">
        <v>819</v>
      </c>
      <c r="G92" s="173" t="str">
        <f ca="1">IFERROR(__xludf.DUMMYFUNCTION("IF(VLOOKUP($F92, IMPORTRANGE(""https://docs.google.com/spreadsheets/d/1g8hi4Vz_ciKKV-W3ruhVc-DrtEIxGiN7wQQSBhJ5lcI/edit"", ""Form Responses 1!$B:$Z""),1, FALSE)=$F92,""Yes"",""No"")"),"Yes")</f>
        <v>Yes</v>
      </c>
    </row>
    <row r="93" spans="1:7" hidden="1">
      <c r="A93" s="171"/>
      <c r="B93" s="172"/>
      <c r="F93" s="170" t="s">
        <v>1366</v>
      </c>
      <c r="G93" s="173" t="str">
        <f ca="1">IFERROR(__xludf.DUMMYFUNCTION("IF(VLOOKUP($F93, IMPORTRANGE(""https://docs.google.com/spreadsheets/d/1g8hi4Vz_ciKKV-W3ruhVc-DrtEIxGiN7wQQSBhJ5lcI/edit"", ""Form Responses 1!$B:$Z""),1, FALSE)=$F93,""Yes"",""No"")"),"Yes")</f>
        <v>Yes</v>
      </c>
    </row>
    <row r="94" spans="1:7" hidden="1">
      <c r="A94" s="171"/>
      <c r="B94" s="172"/>
      <c r="F94" s="170" t="s">
        <v>826</v>
      </c>
      <c r="G94" s="173" t="str">
        <f ca="1">IFERROR(__xludf.DUMMYFUNCTION("IF(VLOOKUP($F94, IMPORTRANGE(""https://docs.google.com/spreadsheets/d/1g8hi4Vz_ciKKV-W3ruhVc-DrtEIxGiN7wQQSBhJ5lcI/edit"", ""Form Responses 1!$B:$Z""),1, FALSE)=$F94,""Yes"",""No"")"),"Yes")</f>
        <v>Yes</v>
      </c>
    </row>
    <row r="95" spans="1:7" hidden="1">
      <c r="A95" s="171"/>
      <c r="B95" s="172"/>
      <c r="F95" s="170" t="s">
        <v>835</v>
      </c>
      <c r="G95" s="173" t="str">
        <f ca="1">IFERROR(__xludf.DUMMYFUNCTION("IF(VLOOKUP($F95, IMPORTRANGE(""https://docs.google.com/spreadsheets/d/1g8hi4Vz_ciKKV-W3ruhVc-DrtEIxGiN7wQQSBhJ5lcI/edit"", ""Form Responses 1!$B:$Z""),1, FALSE)=$F95,""Yes"",""No"")"),"Yes")</f>
        <v>Yes</v>
      </c>
    </row>
    <row r="96" spans="1:7" hidden="1">
      <c r="A96" s="171"/>
      <c r="B96" s="172"/>
      <c r="F96" s="170" t="s">
        <v>1387</v>
      </c>
      <c r="G96" s="173" t="str">
        <f ca="1">IFERROR(__xludf.DUMMYFUNCTION("IF(VLOOKUP($F96, IMPORTRANGE(""https://docs.google.com/spreadsheets/d/1g8hi4Vz_ciKKV-W3ruhVc-DrtEIxGiN7wQQSBhJ5lcI/edit"", ""Form Responses 1!$B:$Z""),1, FALSE)=$F96,""Yes"",""No"")"),"Yes")</f>
        <v>Yes</v>
      </c>
    </row>
    <row r="97" spans="1:7">
      <c r="A97" s="171"/>
      <c r="B97" s="172"/>
      <c r="F97" s="170" t="s">
        <v>1943</v>
      </c>
      <c r="G97" s="173" t="str">
        <f ca="1">IFERROR(__xludf.DUMMYFUNCTION("IF(VLOOKUP($F97, IMPORTRANGE(""https://docs.google.com/spreadsheets/d/1g8hi4Vz_ciKKV-W3ruhVc-DrtEIxGiN7wQQSBhJ5lcI/edit"", ""Form Responses 1!$B:$Z""),1, FALSE)=$F97,""Yes"",""No"")"),"#N/A")</f>
        <v>#N/A</v>
      </c>
    </row>
    <row r="98" spans="1:7">
      <c r="A98" s="171"/>
      <c r="B98" s="172"/>
      <c r="F98" s="170" t="s">
        <v>1952</v>
      </c>
      <c r="G98" s="173" t="str">
        <f ca="1">IFERROR(__xludf.DUMMYFUNCTION("IF(VLOOKUP($F98, IMPORTRANGE(""https://docs.google.com/spreadsheets/d/1g8hi4Vz_ciKKV-W3ruhVc-DrtEIxGiN7wQQSBhJ5lcI/edit"", ""Form Responses 1!$B:$Z""),1, FALSE)=$F98,""Yes"",""No"")"),"#N/A")</f>
        <v>#N/A</v>
      </c>
    </row>
    <row r="99" spans="1:7">
      <c r="A99" s="171"/>
      <c r="B99" s="172"/>
      <c r="F99" s="170" t="s">
        <v>1961</v>
      </c>
      <c r="G99" s="173" t="str">
        <f ca="1">IFERROR(__xludf.DUMMYFUNCTION("IF(VLOOKUP($F99, IMPORTRANGE(""https://docs.google.com/spreadsheets/d/1g8hi4Vz_ciKKV-W3ruhVc-DrtEIxGiN7wQQSBhJ5lcI/edit"", ""Form Responses 1!$B:$Z""),1, FALSE)=$F99,""Yes"",""No"")"),"#N/A")</f>
        <v>#N/A</v>
      </c>
    </row>
    <row r="100" spans="1:7">
      <c r="A100" s="171"/>
      <c r="B100" s="172"/>
      <c r="F100" s="170" t="s">
        <v>1403</v>
      </c>
      <c r="G100" s="173" t="str">
        <f ca="1">IFERROR(__xludf.DUMMYFUNCTION("IF(VLOOKUP($F100, IMPORTRANGE(""https://docs.google.com/spreadsheets/d/1g8hi4Vz_ciKKV-W3ruhVc-DrtEIxGiN7wQQSBhJ5lcI/edit"", ""Form Responses 1!$B:$Z""),1, FALSE)=$F100,""Yes"",""No"")"),"Yes")</f>
        <v>Yes</v>
      </c>
    </row>
    <row r="101" spans="1:7">
      <c r="A101" s="171"/>
      <c r="B101" s="172"/>
      <c r="F101" s="170" t="s">
        <v>1413</v>
      </c>
      <c r="G101" s="173" t="str">
        <f ca="1">IFERROR(__xludf.DUMMYFUNCTION("IF(VLOOKUP($F101, IMPORTRANGE(""https://docs.google.com/spreadsheets/d/1g8hi4Vz_ciKKV-W3ruhVc-DrtEIxGiN7wQQSBhJ5lcI/edit"", ""Form Responses 1!$B:$Z""),1, FALSE)=$F101,""Yes"",""No"")"),"#N/A")</f>
        <v>#N/A</v>
      </c>
    </row>
    <row r="102" spans="1:7">
      <c r="A102" s="171"/>
      <c r="B102" s="172"/>
      <c r="F102" s="170" t="s">
        <v>843</v>
      </c>
      <c r="G102" s="173" t="str">
        <f ca="1">IFERROR(__xludf.DUMMYFUNCTION("IF(VLOOKUP($F102, IMPORTRANGE(""https://docs.google.com/spreadsheets/d/1g8hi4Vz_ciKKV-W3ruhVc-DrtEIxGiN7wQQSBhJ5lcI/edit"", ""Form Responses 1!$B:$Z""),1, FALSE)=$F102,""Yes"",""No"")"),"Yes")</f>
        <v>Yes</v>
      </c>
    </row>
    <row r="103" spans="1:7" hidden="1">
      <c r="A103" s="171"/>
      <c r="B103" s="172"/>
      <c r="F103" s="170" t="s">
        <v>1969</v>
      </c>
      <c r="G103" s="173" t="str">
        <f ca="1">IFERROR(__xludf.DUMMYFUNCTION("IF(VLOOKUP($F103, IMPORTRANGE(""https://docs.google.com/spreadsheets/d/1g8hi4Vz_ciKKV-W3ruhVc-DrtEIxGiN7wQQSBhJ5lcI/edit"", ""Form Responses 1!$B:$Z""),1, FALSE)=$F103,""Yes"",""No"")"),"Yes")</f>
        <v>Yes</v>
      </c>
    </row>
    <row r="104" spans="1:7" hidden="1">
      <c r="A104" s="171"/>
      <c r="B104" s="172"/>
      <c r="F104" s="170" t="s">
        <v>852</v>
      </c>
      <c r="G104" s="173" t="str">
        <f ca="1">IFERROR(__xludf.DUMMYFUNCTION("IF(VLOOKUP($F104, IMPORTRANGE(""https://docs.google.com/spreadsheets/d/1g8hi4Vz_ciKKV-W3ruhVc-DrtEIxGiN7wQQSBhJ5lcI/edit"", ""Form Responses 1!$B:$Z""),1, FALSE)=$F104,""Yes"",""No"")"),"Yes")</f>
        <v>Yes</v>
      </c>
    </row>
    <row r="105" spans="1:7">
      <c r="A105" s="171"/>
      <c r="B105" s="172"/>
      <c r="F105" s="170" t="s">
        <v>861</v>
      </c>
      <c r="G105" s="173" t="str">
        <f ca="1">IFERROR(__xludf.DUMMYFUNCTION("IF(VLOOKUP($F105, IMPORTRANGE(""https://docs.google.com/spreadsheets/d/1g8hi4Vz_ciKKV-W3ruhVc-DrtEIxGiN7wQQSBhJ5lcI/edit"", ""Form Responses 1!$B:$Z""),1, FALSE)=$F105,""Yes"",""No"")"),"#N/A")</f>
        <v>#N/A</v>
      </c>
    </row>
    <row r="106" spans="1:7">
      <c r="A106" s="171"/>
      <c r="B106" s="172"/>
      <c r="F106" s="170" t="s">
        <v>1425</v>
      </c>
      <c r="G106" s="173" t="str">
        <f ca="1">IFERROR(__xludf.DUMMYFUNCTION("IF(VLOOKUP($F106, IMPORTRANGE(""https://docs.google.com/spreadsheets/d/1g8hi4Vz_ciKKV-W3ruhVc-DrtEIxGiN7wQQSBhJ5lcI/edit"", ""Form Responses 1!$B:$Z""),1, FALSE)=$F106,""Yes"",""No"")"),"#N/A")</f>
        <v>#N/A</v>
      </c>
    </row>
    <row r="107" spans="1:7" hidden="1">
      <c r="A107" s="171"/>
      <c r="B107" s="172"/>
      <c r="F107" s="170" t="s">
        <v>1434</v>
      </c>
      <c r="G107" s="173" t="str">
        <f ca="1">IFERROR(__xludf.DUMMYFUNCTION("IF(VLOOKUP($F107, IMPORTRANGE(""https://docs.google.com/spreadsheets/d/1g8hi4Vz_ciKKV-W3ruhVc-DrtEIxGiN7wQQSBhJ5lcI/edit"", ""Form Responses 1!$B:$Z""),1, FALSE)=$F107,""Yes"",""No"")"),"Yes")</f>
        <v>Yes</v>
      </c>
    </row>
    <row r="108" spans="1:7" hidden="1">
      <c r="A108" s="171"/>
      <c r="B108" s="172"/>
      <c r="F108" s="170" t="s">
        <v>1443</v>
      </c>
      <c r="G108" s="173" t="str">
        <f ca="1">IFERROR(__xludf.DUMMYFUNCTION("IF(VLOOKUP($F108, IMPORTRANGE(""https://docs.google.com/spreadsheets/d/1g8hi4Vz_ciKKV-W3ruhVc-DrtEIxGiN7wQQSBhJ5lcI/edit"", ""Form Responses 1!$B:$Z""),1, FALSE)=$F108,""Yes"",""No"")"),"Yes")</f>
        <v>Yes</v>
      </c>
    </row>
    <row r="109" spans="1:7" hidden="1">
      <c r="A109" s="171"/>
      <c r="B109" s="172"/>
      <c r="F109" s="170" t="s">
        <v>1452</v>
      </c>
      <c r="G109" s="173" t="str">
        <f ca="1">IFERROR(__xludf.DUMMYFUNCTION("IF(VLOOKUP($F109, IMPORTRANGE(""https://docs.google.com/spreadsheets/d/1g8hi4Vz_ciKKV-W3ruhVc-DrtEIxGiN7wQQSBhJ5lcI/edit"", ""Form Responses 1!$B:$Z""),1, FALSE)=$F109,""Yes"",""No"")"),"Yes")</f>
        <v>Yes</v>
      </c>
    </row>
    <row r="110" spans="1:7" hidden="1">
      <c r="A110" s="171"/>
      <c r="B110" s="172"/>
      <c r="F110" s="170" t="s">
        <v>1987</v>
      </c>
      <c r="G110" s="173" t="str">
        <f ca="1">IFERROR(__xludf.DUMMYFUNCTION("IF(VLOOKUP($F110, IMPORTRANGE(""https://docs.google.com/spreadsheets/d/1g8hi4Vz_ciKKV-W3ruhVc-DrtEIxGiN7wQQSBhJ5lcI/edit"", ""Form Responses 1!$B:$Z""),1, FALSE)=$F110,""Yes"",""No"")"),"Yes")</f>
        <v>Yes</v>
      </c>
    </row>
    <row r="111" spans="1:7">
      <c r="A111" s="171"/>
      <c r="B111" s="172"/>
      <c r="F111" s="170" t="s">
        <v>1995</v>
      </c>
      <c r="G111" s="173" t="str">
        <f ca="1">IFERROR(__xludf.DUMMYFUNCTION("IF(VLOOKUP($F111, IMPORTRANGE(""https://docs.google.com/spreadsheets/d/1g8hi4Vz_ciKKV-W3ruhVc-DrtEIxGiN7wQQSBhJ5lcI/edit"", ""Form Responses 1!$B:$Z""),1, FALSE)=$F111,""Yes"",""No"")"),"#N/A")</f>
        <v>#N/A</v>
      </c>
    </row>
    <row r="112" spans="1:7" hidden="1">
      <c r="A112" s="171"/>
      <c r="B112" s="172"/>
      <c r="F112" s="170" t="s">
        <v>1461</v>
      </c>
      <c r="G112" s="173" t="str">
        <f ca="1">IFERROR(__xludf.DUMMYFUNCTION("IF(VLOOKUP($F112, IMPORTRANGE(""https://docs.google.com/spreadsheets/d/1g8hi4Vz_ciKKV-W3ruhVc-DrtEIxGiN7wQQSBhJ5lcI/edit"", ""Form Responses 1!$B:$Z""),1, FALSE)=$F112,""Yes"",""No"")"),"Yes")</f>
        <v>Yes</v>
      </c>
    </row>
    <row r="113" spans="1:7">
      <c r="A113" s="171"/>
      <c r="B113" s="172"/>
      <c r="F113" s="170" t="s">
        <v>1468</v>
      </c>
      <c r="G113" s="173" t="str">
        <f ca="1">IFERROR(__xludf.DUMMYFUNCTION("IF(VLOOKUP($F113, IMPORTRANGE(""https://docs.google.com/spreadsheets/d/1g8hi4Vz_ciKKV-W3ruhVc-DrtEIxGiN7wQQSBhJ5lcI/edit"", ""Form Responses 1!$B:$Z""),1, FALSE)=$F113,""Yes"",""No"")"),"Yes")</f>
        <v>Yes</v>
      </c>
    </row>
    <row r="114" spans="1:7" hidden="1">
      <c r="A114" s="171"/>
      <c r="B114" s="172"/>
      <c r="F114" s="170" t="s">
        <v>1489</v>
      </c>
      <c r="G114" s="173" t="str">
        <f ca="1">IFERROR(__xludf.DUMMYFUNCTION("IF(VLOOKUP($F114, IMPORTRANGE(""https://docs.google.com/spreadsheets/d/1g8hi4Vz_ciKKV-W3ruhVc-DrtEIxGiN7wQQSBhJ5lcI/edit"", ""Form Responses 1!$B:$Z""),1, FALSE)=$F114,""Yes"",""No"")"),"Yes")</f>
        <v>Yes</v>
      </c>
    </row>
    <row r="115" spans="1:7" hidden="1">
      <c r="A115" s="171"/>
      <c r="B115" s="172"/>
      <c r="F115" s="170" t="s">
        <v>869</v>
      </c>
      <c r="G115" s="173" t="str">
        <f ca="1">IFERROR(__xludf.DUMMYFUNCTION("IF(VLOOKUP($F115, IMPORTRANGE(""https://docs.google.com/spreadsheets/d/1g8hi4Vz_ciKKV-W3ruhVc-DrtEIxGiN7wQQSBhJ5lcI/edit"", ""Form Responses 1!$B:$Z""),1, FALSE)=$F115,""Yes"",""No"")"),"Yes")</f>
        <v>Yes</v>
      </c>
    </row>
    <row r="116" spans="1:7" hidden="1">
      <c r="A116" s="171"/>
      <c r="B116" s="172"/>
      <c r="F116" s="170" t="s">
        <v>879</v>
      </c>
      <c r="G116" s="173" t="str">
        <f ca="1">IFERROR(__xludf.DUMMYFUNCTION("IF(VLOOKUP($F116, IMPORTRANGE(""https://docs.google.com/spreadsheets/d/1g8hi4Vz_ciKKV-W3ruhVc-DrtEIxGiN7wQQSBhJ5lcI/edit"", ""Form Responses 1!$B:$Z""),1, FALSE)=$F116,""Yes"",""No"")"),"Yes")</f>
        <v>Yes</v>
      </c>
    </row>
    <row r="117" spans="1:7">
      <c r="A117" s="171"/>
      <c r="B117" s="172"/>
      <c r="F117" s="170" t="s">
        <v>889</v>
      </c>
      <c r="G117" s="173" t="str">
        <f ca="1">IFERROR(__xludf.DUMMYFUNCTION("IF(VLOOKUP($F117, IMPORTRANGE(""https://docs.google.com/spreadsheets/d/1g8hi4Vz_ciKKV-W3ruhVc-DrtEIxGiN7wQQSBhJ5lcI/edit"", ""Form Responses 1!$B:$Z""),1, FALSE)=$F117,""Yes"",""No"")"),"#N/A")</f>
        <v>#N/A</v>
      </c>
    </row>
    <row r="118" spans="1:7">
      <c r="A118" s="171"/>
      <c r="B118" s="172"/>
      <c r="F118" s="170" t="s">
        <v>2020</v>
      </c>
      <c r="G118" s="173" t="str">
        <f ca="1">IFERROR(__xludf.DUMMYFUNCTION("IF(VLOOKUP($F118, IMPORTRANGE(""https://docs.google.com/spreadsheets/d/1g8hi4Vz_ciKKV-W3ruhVc-DrtEIxGiN7wQQSBhJ5lcI/edit"", ""Form Responses 1!$B:$Z""),1, FALSE)=$F118,""Yes"",""No"")"),"#N/A")</f>
        <v>#N/A</v>
      </c>
    </row>
    <row r="119" spans="1:7">
      <c r="A119" s="171"/>
      <c r="B119" s="172"/>
      <c r="F119" s="170" t="s">
        <v>1522</v>
      </c>
      <c r="G119" s="173" t="str">
        <f ca="1">IFERROR(__xludf.DUMMYFUNCTION("IF(VLOOKUP($F119, IMPORTRANGE(""https://docs.google.com/spreadsheets/d/1g8hi4Vz_ciKKV-W3ruhVc-DrtEIxGiN7wQQSBhJ5lcI/edit"", ""Form Responses 1!$B:$Z""),1, FALSE)=$F119,""Yes"",""No"")"),"#N/A")</f>
        <v>#N/A</v>
      </c>
    </row>
    <row r="120" spans="1:7" hidden="1">
      <c r="A120" s="171"/>
      <c r="B120" s="172"/>
      <c r="F120" s="170" t="s">
        <v>1539</v>
      </c>
      <c r="G120" s="173" t="str">
        <f ca="1">IFERROR(__xludf.DUMMYFUNCTION("IF(VLOOKUP($F120, IMPORTRANGE(""https://docs.google.com/spreadsheets/d/1g8hi4Vz_ciKKV-W3ruhVc-DrtEIxGiN7wQQSBhJ5lcI/edit"", ""Form Responses 1!$B:$Z""),1, FALSE)=$F120,""Yes"",""No"")"),"Yes")</f>
        <v>Yes</v>
      </c>
    </row>
    <row r="121" spans="1:7">
      <c r="A121" s="171"/>
      <c r="B121" s="172"/>
      <c r="F121" s="170" t="s">
        <v>898</v>
      </c>
      <c r="G121" s="173" t="str">
        <f ca="1">IFERROR(__xludf.DUMMYFUNCTION("IF(VLOOKUP($F121, IMPORTRANGE(""https://docs.google.com/spreadsheets/d/1g8hi4Vz_ciKKV-W3ruhVc-DrtEIxGiN7wQQSBhJ5lcI/edit"", ""Form Responses 1!$B:$Z""),1, FALSE)=$F121,""Yes"",""No"")"),"#N/A")</f>
        <v>#N/A</v>
      </c>
    </row>
    <row r="122" spans="1:7" hidden="1">
      <c r="A122" s="171"/>
      <c r="B122" s="172"/>
      <c r="F122" s="170" t="s">
        <v>2029</v>
      </c>
      <c r="G122" s="173" t="str">
        <f ca="1">IFERROR(__xludf.DUMMYFUNCTION("IF(VLOOKUP($F122, IMPORTRANGE(""https://docs.google.com/spreadsheets/d/1g8hi4Vz_ciKKV-W3ruhVc-DrtEIxGiN7wQQSBhJ5lcI/edit"", ""Form Responses 1!$B:$Z""),1, FALSE)=$F122,""Yes"",""No"")"),"Yes")</f>
        <v>Yes</v>
      </c>
    </row>
    <row r="123" spans="1:7" hidden="1">
      <c r="A123" s="171"/>
      <c r="B123" s="172"/>
      <c r="F123" s="170" t="s">
        <v>1547</v>
      </c>
      <c r="G123" s="173" t="str">
        <f ca="1">IFERROR(__xludf.DUMMYFUNCTION("IF(VLOOKUP($F123, IMPORTRANGE(""https://docs.google.com/spreadsheets/d/1g8hi4Vz_ciKKV-W3ruhVc-DrtEIxGiN7wQQSBhJ5lcI/edit"", ""Form Responses 1!$B:$Z""),1, FALSE)=$F123,""Yes"",""No"")"),"Yes")</f>
        <v>Yes</v>
      </c>
    </row>
    <row r="124" spans="1:7" hidden="1">
      <c r="A124" s="171"/>
      <c r="B124" s="172"/>
      <c r="F124" s="170" t="s">
        <v>906</v>
      </c>
      <c r="G124" s="173" t="str">
        <f ca="1">IFERROR(__xludf.DUMMYFUNCTION("IF(VLOOKUP($F124, IMPORTRANGE(""https://docs.google.com/spreadsheets/d/1g8hi4Vz_ciKKV-W3ruhVc-DrtEIxGiN7wQQSBhJ5lcI/edit"", ""Form Responses 1!$B:$Z""),1, FALSE)=$F124,""Yes"",""No"")"),"Yes")</f>
        <v>Yes</v>
      </c>
    </row>
    <row r="125" spans="1:7" hidden="1">
      <c r="A125" s="171"/>
      <c r="B125" s="172"/>
      <c r="F125" s="170" t="s">
        <v>1556</v>
      </c>
      <c r="G125" s="173" t="str">
        <f ca="1">IFERROR(__xludf.DUMMYFUNCTION("IF(VLOOKUP($F125, IMPORTRANGE(""https://docs.google.com/spreadsheets/d/1g8hi4Vz_ciKKV-W3ruhVc-DrtEIxGiN7wQQSBhJ5lcI/edit"", ""Form Responses 1!$B:$Z""),1, FALSE)=$F125,""Yes"",""No"")"),"Yes")</f>
        <v>Yes</v>
      </c>
    </row>
    <row r="126" spans="1:7">
      <c r="A126" s="171"/>
      <c r="B126" s="172"/>
      <c r="F126" s="170" t="s">
        <v>917</v>
      </c>
      <c r="G126" s="173" t="str">
        <f ca="1">IFERROR(__xludf.DUMMYFUNCTION("IF(VLOOKUP($F126, IMPORTRANGE(""https://docs.google.com/spreadsheets/d/1g8hi4Vz_ciKKV-W3ruhVc-DrtEIxGiN7wQQSBhJ5lcI/edit"", ""Form Responses 1!$B:$Z""),1, FALSE)=$F126,""Yes"",""No"")"),"#N/A")</f>
        <v>#N/A</v>
      </c>
    </row>
    <row r="127" spans="1:7" hidden="1">
      <c r="A127" s="171"/>
      <c r="B127" s="172"/>
      <c r="F127" s="170" t="s">
        <v>1564</v>
      </c>
      <c r="G127" s="173" t="str">
        <f ca="1">IFERROR(__xludf.DUMMYFUNCTION("IF(VLOOKUP($F127, IMPORTRANGE(""https://docs.google.com/spreadsheets/d/1g8hi4Vz_ciKKV-W3ruhVc-DrtEIxGiN7wQQSBhJ5lcI/edit"", ""Form Responses 1!$B:$Z""),1, FALSE)=$F127,""Yes"",""No"")"),"Yes")</f>
        <v>Yes</v>
      </c>
    </row>
    <row r="128" spans="1:7">
      <c r="A128" s="171"/>
      <c r="B128" s="172"/>
      <c r="F128" s="170" t="s">
        <v>1582</v>
      </c>
      <c r="G128" s="173" t="str">
        <f ca="1">IFERROR(__xludf.DUMMYFUNCTION("IF(VLOOKUP($F128, IMPORTRANGE(""https://docs.google.com/spreadsheets/d/1g8hi4Vz_ciKKV-W3ruhVc-DrtEIxGiN7wQQSBhJ5lcI/edit"", ""Form Responses 1!$B:$Z""),1, FALSE)=$F128,""Yes"",""No"")"),"#N/A")</f>
        <v>#N/A</v>
      </c>
    </row>
    <row r="129" spans="1:7" hidden="1">
      <c r="A129" s="171"/>
      <c r="B129" s="172"/>
      <c r="F129" s="170" t="s">
        <v>936</v>
      </c>
      <c r="G129" s="173" t="str">
        <f ca="1">IFERROR(__xludf.DUMMYFUNCTION("IF(VLOOKUP($F129, IMPORTRANGE(""https://docs.google.com/spreadsheets/d/1g8hi4Vz_ciKKV-W3ruhVc-DrtEIxGiN7wQQSBhJ5lcI/edit"", ""Form Responses 1!$B:$Z""),1, FALSE)=$F129,""Yes"",""No"")"),"Yes")</f>
        <v>Yes</v>
      </c>
    </row>
    <row r="130" spans="1:7">
      <c r="A130" s="171"/>
      <c r="B130" s="172"/>
      <c r="F130" s="170" t="s">
        <v>2053</v>
      </c>
      <c r="G130" s="173" t="str">
        <f ca="1">IFERROR(__xludf.DUMMYFUNCTION("IF(VLOOKUP($F130, IMPORTRANGE(""https://docs.google.com/spreadsheets/d/1g8hi4Vz_ciKKV-W3ruhVc-DrtEIxGiN7wQQSBhJ5lcI/edit"", ""Form Responses 1!$B:$Z""),1, FALSE)=$F130,""Yes"",""No"")"),"#N/A")</f>
        <v>#N/A</v>
      </c>
    </row>
    <row r="131" spans="1:7" hidden="1">
      <c r="A131" s="171"/>
      <c r="B131" s="172"/>
      <c r="F131" s="170" t="s">
        <v>958</v>
      </c>
      <c r="G131" s="173" t="str">
        <f ca="1">IFERROR(__xludf.DUMMYFUNCTION("IF(VLOOKUP($F131, IMPORTRANGE(""https://docs.google.com/spreadsheets/d/1g8hi4Vz_ciKKV-W3ruhVc-DrtEIxGiN7wQQSBhJ5lcI/edit"", ""Form Responses 1!$B:$Z""),1, FALSE)=$F131,""Yes"",""No"")"),"Yes")</f>
        <v>Yes</v>
      </c>
    </row>
    <row r="132" spans="1:7" hidden="1">
      <c r="A132" s="171"/>
      <c r="B132" s="172"/>
      <c r="F132" s="170" t="s">
        <v>967</v>
      </c>
      <c r="G132" s="173" t="str">
        <f ca="1">IFERROR(__xludf.DUMMYFUNCTION("IF(VLOOKUP($F132, IMPORTRANGE(""https://docs.google.com/spreadsheets/d/1g8hi4Vz_ciKKV-W3ruhVc-DrtEIxGiN7wQQSBhJ5lcI/edit"", ""Form Responses 1!$B:$Z""),1, FALSE)=$F132,""Yes"",""No"")"),"Yes")</f>
        <v>Yes</v>
      </c>
    </row>
    <row r="133" spans="1:7" hidden="1">
      <c r="A133" s="171"/>
      <c r="B133" s="172"/>
      <c r="F133" s="170" t="s">
        <v>2061</v>
      </c>
      <c r="G133" s="173" t="str">
        <f ca="1">IFERROR(__xludf.DUMMYFUNCTION("IF(VLOOKUP($F133, IMPORTRANGE(""https://docs.google.com/spreadsheets/d/1g8hi4Vz_ciKKV-W3ruhVc-DrtEIxGiN7wQQSBhJ5lcI/edit"", ""Form Responses 1!$B:$Z""),1, FALSE)=$F133,""Yes"",""No"")"),"Yes")</f>
        <v>Yes</v>
      </c>
    </row>
    <row r="134" spans="1:7" hidden="1">
      <c r="A134" s="171"/>
      <c r="B134" s="172"/>
      <c r="F134" s="170" t="s">
        <v>976</v>
      </c>
      <c r="G134" s="173" t="str">
        <f ca="1">IFERROR(__xludf.DUMMYFUNCTION("IF(VLOOKUP($F134, IMPORTRANGE(""https://docs.google.com/spreadsheets/d/1g8hi4Vz_ciKKV-W3ruhVc-DrtEIxGiN7wQQSBhJ5lcI/edit"", ""Form Responses 1!$B:$Z""),1, FALSE)=$F134,""Yes"",""No"")"),"Yes")</f>
        <v>Yes</v>
      </c>
    </row>
    <row r="135" spans="1:7" hidden="1">
      <c r="A135" s="171"/>
      <c r="B135" s="172"/>
      <c r="F135" s="170" t="s">
        <v>985</v>
      </c>
      <c r="G135" s="173" t="str">
        <f ca="1">IFERROR(__xludf.DUMMYFUNCTION("IF(VLOOKUP($F135, IMPORTRANGE(""https://docs.google.com/spreadsheets/d/1g8hi4Vz_ciKKV-W3ruhVc-DrtEIxGiN7wQQSBhJ5lcI/edit"", ""Form Responses 1!$B:$Z""),1, FALSE)=$F135,""Yes"",""No"")"),"Yes")</f>
        <v>Yes</v>
      </c>
    </row>
    <row r="136" spans="1:7">
      <c r="A136" s="171"/>
      <c r="B136" s="172"/>
      <c r="F136" s="170" t="s">
        <v>2089</v>
      </c>
      <c r="G136" s="173" t="str">
        <f ca="1">IFERROR(__xludf.DUMMYFUNCTION("IF(VLOOKUP($F136, IMPORTRANGE(""https://docs.google.com/spreadsheets/d/1g8hi4Vz_ciKKV-W3ruhVc-DrtEIxGiN7wQQSBhJ5lcI/edit"", ""Form Responses 1!$B:$Z""),1, FALSE)=$F136,""Yes"",""No"")"),"#N/A")</f>
        <v>#N/A</v>
      </c>
    </row>
  </sheetData>
  <autoFilter ref="A1:Y136" xr:uid="{00000000-0009-0000-0000-000003000000}">
    <filterColumn colId="6">
      <filters>
        <filter val="#N/A"/>
      </filters>
    </filterColumn>
  </autoFilter>
  <hyperlinks>
    <hyperlink ref="A43" r:id="rId1" xr:uid="{00000000-0004-0000-0300-000000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2:A203"/>
  <sheetViews>
    <sheetView workbookViewId="0"/>
  </sheetViews>
  <sheetFormatPr baseColWidth="10" defaultColWidth="14.5" defaultRowHeight="15" customHeight="1"/>
  <sheetData>
    <row r="2" spans="1:1">
      <c r="A2" s="175" t="s">
        <v>1606</v>
      </c>
    </row>
    <row r="3" spans="1:1">
      <c r="A3" s="175" t="s">
        <v>456</v>
      </c>
    </row>
    <row r="4" spans="1:1">
      <c r="A4" s="175" t="s">
        <v>1615</v>
      </c>
    </row>
    <row r="5" spans="1:1">
      <c r="A5" s="175" t="s">
        <v>1623</v>
      </c>
    </row>
    <row r="6" spans="1:1">
      <c r="A6" s="6" t="s">
        <v>470</v>
      </c>
    </row>
    <row r="7" spans="1:1">
      <c r="A7" s="175" t="s">
        <v>483</v>
      </c>
    </row>
    <row r="8" spans="1:1">
      <c r="A8" s="176" t="s">
        <v>994</v>
      </c>
    </row>
    <row r="9" spans="1:1">
      <c r="A9" s="175" t="s">
        <v>494</v>
      </c>
    </row>
    <row r="10" spans="1:1">
      <c r="A10" s="175" t="s">
        <v>1629</v>
      </c>
    </row>
    <row r="11" spans="1:1">
      <c r="A11" s="176" t="s">
        <v>1637</v>
      </c>
    </row>
    <row r="12" spans="1:1">
      <c r="A12" s="6" t="s">
        <v>1643</v>
      </c>
    </row>
    <row r="13" spans="1:1">
      <c r="A13" s="175" t="s">
        <v>1651</v>
      </c>
    </row>
    <row r="14" spans="1:1">
      <c r="A14" s="175" t="s">
        <v>502</v>
      </c>
    </row>
    <row r="15" spans="1:1">
      <c r="A15" s="6" t="s">
        <v>1003</v>
      </c>
    </row>
    <row r="16" spans="1:1">
      <c r="A16" s="175" t="s">
        <v>1659</v>
      </c>
    </row>
    <row r="17" spans="1:1">
      <c r="A17" s="175" t="s">
        <v>511</v>
      </c>
    </row>
    <row r="18" spans="1:1">
      <c r="A18" s="6" t="s">
        <v>10112</v>
      </c>
    </row>
    <row r="19" spans="1:1">
      <c r="A19" s="6" t="s">
        <v>1012</v>
      </c>
    </row>
    <row r="20" spans="1:1">
      <c r="A20" s="175" t="s">
        <v>1021</v>
      </c>
    </row>
    <row r="21" spans="1:1">
      <c r="A21" s="175" t="s">
        <v>1667</v>
      </c>
    </row>
    <row r="22" spans="1:1">
      <c r="A22" s="175" t="s">
        <v>518</v>
      </c>
    </row>
    <row r="23" spans="1:1">
      <c r="A23" s="175" t="s">
        <v>1031</v>
      </c>
    </row>
    <row r="24" spans="1:1">
      <c r="A24" s="6" t="s">
        <v>1031</v>
      </c>
    </row>
    <row r="25" spans="1:1">
      <c r="A25" s="175" t="s">
        <v>1672</v>
      </c>
    </row>
    <row r="26" spans="1:1">
      <c r="A26" s="175" t="s">
        <v>1040</v>
      </c>
    </row>
    <row r="27" spans="1:1">
      <c r="A27" s="175" t="s">
        <v>528</v>
      </c>
    </row>
    <row r="28" spans="1:1">
      <c r="A28" s="175" t="s">
        <v>1049</v>
      </c>
    </row>
    <row r="29" spans="1:1">
      <c r="A29" s="175" t="s">
        <v>538</v>
      </c>
    </row>
    <row r="30" spans="1:1">
      <c r="A30" s="175" t="s">
        <v>549</v>
      </c>
    </row>
    <row r="31" spans="1:1">
      <c r="A31" s="175" t="s">
        <v>1057</v>
      </c>
    </row>
    <row r="32" spans="1:1">
      <c r="A32" s="175" t="s">
        <v>1068</v>
      </c>
    </row>
    <row r="33" spans="1:1">
      <c r="A33" s="175" t="s">
        <v>1076</v>
      </c>
    </row>
    <row r="34" spans="1:1">
      <c r="A34" s="175" t="s">
        <v>559</v>
      </c>
    </row>
    <row r="35" spans="1:1">
      <c r="A35" s="175" t="s">
        <v>1082</v>
      </c>
    </row>
    <row r="36" spans="1:1">
      <c r="A36" s="175" t="s">
        <v>1681</v>
      </c>
    </row>
    <row r="37" spans="1:1">
      <c r="A37" s="6" t="s">
        <v>1690</v>
      </c>
    </row>
    <row r="38" spans="1:1">
      <c r="A38" s="6" t="s">
        <v>1690</v>
      </c>
    </row>
    <row r="39" spans="1:1">
      <c r="A39" s="175" t="s">
        <v>569</v>
      </c>
    </row>
    <row r="40" spans="1:1">
      <c r="A40" s="175" t="s">
        <v>578</v>
      </c>
    </row>
    <row r="41" spans="1:1">
      <c r="A41" s="6" t="s">
        <v>1698</v>
      </c>
    </row>
    <row r="42" spans="1:1">
      <c r="A42" s="6" t="s">
        <v>1090</v>
      </c>
    </row>
    <row r="43" spans="1:1">
      <c r="A43" s="175" t="s">
        <v>1098</v>
      </c>
    </row>
    <row r="44" spans="1:1">
      <c r="A44" s="6" t="s">
        <v>1105</v>
      </c>
    </row>
    <row r="45" spans="1:1">
      <c r="A45" s="175" t="s">
        <v>1113</v>
      </c>
    </row>
    <row r="46" spans="1:1">
      <c r="A46" s="175" t="s">
        <v>1123</v>
      </c>
    </row>
    <row r="47" spans="1:1">
      <c r="A47" s="175" t="s">
        <v>1132</v>
      </c>
    </row>
    <row r="48" spans="1:1">
      <c r="A48" s="175" t="s">
        <v>588</v>
      </c>
    </row>
    <row r="49" spans="1:1">
      <c r="A49" s="175" t="s">
        <v>1140</v>
      </c>
    </row>
    <row r="50" spans="1:1">
      <c r="A50" s="175" t="s">
        <v>1147</v>
      </c>
    </row>
    <row r="51" spans="1:1">
      <c r="A51" s="6" t="s">
        <v>1156</v>
      </c>
    </row>
    <row r="52" spans="1:1">
      <c r="A52" s="6" t="s">
        <v>10165</v>
      </c>
    </row>
    <row r="53" spans="1:1">
      <c r="A53" s="6" t="s">
        <v>3673</v>
      </c>
    </row>
    <row r="54" spans="1:1">
      <c r="A54" s="6" t="s">
        <v>3683</v>
      </c>
    </row>
    <row r="55" spans="1:1">
      <c r="A55" s="175" t="s">
        <v>1164</v>
      </c>
    </row>
    <row r="56" spans="1:1">
      <c r="A56" s="175" t="s">
        <v>1706</v>
      </c>
    </row>
    <row r="57" spans="1:1">
      <c r="A57" s="175" t="s">
        <v>597</v>
      </c>
    </row>
    <row r="58" spans="1:1">
      <c r="A58" s="6" t="s">
        <v>608</v>
      </c>
    </row>
    <row r="59" spans="1:1">
      <c r="A59" s="6" t="s">
        <v>617</v>
      </c>
    </row>
    <row r="60" spans="1:1">
      <c r="A60" s="6" t="s">
        <v>1173</v>
      </c>
    </row>
    <row r="61" spans="1:1">
      <c r="A61" s="175" t="s">
        <v>1715</v>
      </c>
    </row>
    <row r="62" spans="1:1">
      <c r="A62" s="6" t="s">
        <v>1723</v>
      </c>
    </row>
    <row r="63" spans="1:1">
      <c r="A63" s="177" t="s">
        <v>1732</v>
      </c>
    </row>
    <row r="64" spans="1:1">
      <c r="A64" s="6" t="s">
        <v>1182</v>
      </c>
    </row>
    <row r="65" spans="1:1">
      <c r="A65" s="6" t="s">
        <v>626</v>
      </c>
    </row>
    <row r="66" spans="1:1">
      <c r="A66" s="6" t="s">
        <v>1191</v>
      </c>
    </row>
    <row r="67" spans="1:1">
      <c r="A67" s="6" t="s">
        <v>1199</v>
      </c>
    </row>
    <row r="68" spans="1:1">
      <c r="A68" s="6" t="s">
        <v>3656</v>
      </c>
    </row>
    <row r="69" spans="1:1">
      <c r="A69" s="6" t="s">
        <v>3656</v>
      </c>
    </row>
    <row r="70" spans="1:1">
      <c r="A70" s="6" t="s">
        <v>1741</v>
      </c>
    </row>
    <row r="71" spans="1:1">
      <c r="A71" s="6" t="s">
        <v>1749</v>
      </c>
    </row>
    <row r="72" spans="1:1">
      <c r="A72" s="6" t="s">
        <v>1757</v>
      </c>
    </row>
    <row r="73" spans="1:1">
      <c r="A73" s="6" t="s">
        <v>1207</v>
      </c>
    </row>
    <row r="74" spans="1:1">
      <c r="A74" s="6" t="s">
        <v>634</v>
      </c>
    </row>
    <row r="75" spans="1:1">
      <c r="A75" s="6" t="s">
        <v>1765</v>
      </c>
    </row>
    <row r="76" spans="1:1">
      <c r="A76" s="6" t="s">
        <v>1773</v>
      </c>
    </row>
    <row r="77" spans="1:1">
      <c r="A77" s="6" t="s">
        <v>1216</v>
      </c>
    </row>
    <row r="78" spans="1:1">
      <c r="A78" s="6" t="s">
        <v>643</v>
      </c>
    </row>
    <row r="79" spans="1:1">
      <c r="A79" s="6" t="s">
        <v>1224</v>
      </c>
    </row>
    <row r="80" spans="1:1">
      <c r="A80" s="6" t="s">
        <v>1779</v>
      </c>
    </row>
    <row r="81" spans="1:1">
      <c r="A81" s="6" t="s">
        <v>1788</v>
      </c>
    </row>
    <row r="82" spans="1:1">
      <c r="A82" s="6" t="s">
        <v>1232</v>
      </c>
    </row>
    <row r="83" spans="1:1">
      <c r="A83" s="6" t="s">
        <v>1797</v>
      </c>
    </row>
    <row r="84" spans="1:1">
      <c r="A84" s="6" t="s">
        <v>10166</v>
      </c>
    </row>
    <row r="85" spans="1:1">
      <c r="A85" s="6" t="s">
        <v>1242</v>
      </c>
    </row>
    <row r="86" spans="1:1">
      <c r="A86" s="6" t="s">
        <v>1250</v>
      </c>
    </row>
    <row r="87" spans="1:1">
      <c r="A87" s="6" t="s">
        <v>652</v>
      </c>
    </row>
    <row r="88" spans="1:1">
      <c r="A88" s="6" t="s">
        <v>1806</v>
      </c>
    </row>
    <row r="89" spans="1:1">
      <c r="A89" s="6" t="s">
        <v>1259</v>
      </c>
    </row>
    <row r="90" spans="1:1">
      <c r="A90" s="6" t="s">
        <v>1814</v>
      </c>
    </row>
    <row r="91" spans="1:1">
      <c r="A91" s="175" t="s">
        <v>1822</v>
      </c>
    </row>
    <row r="92" spans="1:1">
      <c r="A92" s="6" t="s">
        <v>1829</v>
      </c>
    </row>
    <row r="93" spans="1:1">
      <c r="A93" s="6" t="s">
        <v>1837</v>
      </c>
    </row>
    <row r="94" spans="1:1">
      <c r="A94" s="175" t="s">
        <v>1266</v>
      </c>
    </row>
    <row r="95" spans="1:1">
      <c r="A95" s="6" t="s">
        <v>660</v>
      </c>
    </row>
    <row r="96" spans="1:1">
      <c r="A96" s="6" t="s">
        <v>1846</v>
      </c>
    </row>
    <row r="97" spans="1:1">
      <c r="A97" s="6" t="s">
        <v>671</v>
      </c>
    </row>
    <row r="98" spans="1:1">
      <c r="A98" s="6" t="s">
        <v>671</v>
      </c>
    </row>
    <row r="99" spans="1:1">
      <c r="A99" s="175" t="s">
        <v>682</v>
      </c>
    </row>
    <row r="100" spans="1:1">
      <c r="A100" s="6" t="s">
        <v>1276</v>
      </c>
    </row>
    <row r="101" spans="1:1">
      <c r="A101" s="6" t="s">
        <v>1285</v>
      </c>
    </row>
    <row r="102" spans="1:1">
      <c r="A102" s="6" t="s">
        <v>692</v>
      </c>
    </row>
    <row r="103" spans="1:1">
      <c r="A103" s="6" t="s">
        <v>702</v>
      </c>
    </row>
    <row r="104" spans="1:1">
      <c r="A104" s="6" t="s">
        <v>1293</v>
      </c>
    </row>
    <row r="105" spans="1:1">
      <c r="A105" s="6" t="s">
        <v>1300</v>
      </c>
    </row>
    <row r="106" spans="1:1">
      <c r="A106" s="6" t="s">
        <v>713</v>
      </c>
    </row>
    <row r="107" spans="1:1">
      <c r="A107" s="6" t="s">
        <v>721</v>
      </c>
    </row>
    <row r="108" spans="1:1">
      <c r="A108" s="6" t="s">
        <v>733</v>
      </c>
    </row>
    <row r="109" spans="1:1">
      <c r="A109" s="6" t="s">
        <v>744</v>
      </c>
    </row>
    <row r="110" spans="1:1">
      <c r="A110" s="6" t="s">
        <v>1856</v>
      </c>
    </row>
    <row r="111" spans="1:1">
      <c r="A111" s="6" t="s">
        <v>753</v>
      </c>
    </row>
    <row r="112" spans="1:1">
      <c r="A112" s="6" t="s">
        <v>1864</v>
      </c>
    </row>
    <row r="113" spans="1:1">
      <c r="A113" s="6" t="s">
        <v>1310</v>
      </c>
    </row>
    <row r="114" spans="1:1">
      <c r="A114" s="6" t="s">
        <v>1871</v>
      </c>
    </row>
    <row r="115" spans="1:1">
      <c r="A115" s="6" t="s">
        <v>1878</v>
      </c>
    </row>
    <row r="116" spans="1:1">
      <c r="A116" s="6" t="s">
        <v>1887</v>
      </c>
    </row>
    <row r="117" spans="1:1">
      <c r="A117" s="6" t="s">
        <v>1896</v>
      </c>
    </row>
    <row r="118" spans="1:1">
      <c r="A118" s="6" t="s">
        <v>1317</v>
      </c>
    </row>
    <row r="119" spans="1:1">
      <c r="A119" s="6" t="s">
        <v>1326</v>
      </c>
    </row>
    <row r="120" spans="1:1">
      <c r="A120" s="6" t="s">
        <v>1336</v>
      </c>
    </row>
    <row r="121" spans="1:1">
      <c r="A121" s="6" t="s">
        <v>762</v>
      </c>
    </row>
    <row r="122" spans="1:1">
      <c r="A122" s="6" t="s">
        <v>770</v>
      </c>
    </row>
    <row r="123" spans="1:1">
      <c r="A123" s="6" t="s">
        <v>778</v>
      </c>
    </row>
    <row r="124" spans="1:1">
      <c r="A124" s="6" t="s">
        <v>788</v>
      </c>
    </row>
    <row r="125" spans="1:1">
      <c r="A125" s="6" t="s">
        <v>1345</v>
      </c>
    </row>
    <row r="126" spans="1:1">
      <c r="A126" s="175" t="s">
        <v>1355</v>
      </c>
    </row>
    <row r="127" spans="1:1">
      <c r="A127" s="6" t="s">
        <v>1903</v>
      </c>
    </row>
    <row r="128" spans="1:1">
      <c r="A128" s="6" t="s">
        <v>1914</v>
      </c>
    </row>
    <row r="129" spans="1:1">
      <c r="A129" s="6" t="s">
        <v>1926</v>
      </c>
    </row>
    <row r="130" spans="1:1">
      <c r="A130" s="6" t="s">
        <v>796</v>
      </c>
    </row>
    <row r="131" spans="1:1">
      <c r="A131" s="6" t="s">
        <v>1934</v>
      </c>
    </row>
    <row r="132" spans="1:1">
      <c r="A132" s="6" t="s">
        <v>803</v>
      </c>
    </row>
    <row r="133" spans="1:1">
      <c r="A133" s="6" t="s">
        <v>811</v>
      </c>
    </row>
    <row r="134" spans="1:1">
      <c r="A134" s="6" t="s">
        <v>10167</v>
      </c>
    </row>
    <row r="135" spans="1:1">
      <c r="A135" s="6" t="s">
        <v>819</v>
      </c>
    </row>
    <row r="136" spans="1:1">
      <c r="A136" s="6" t="s">
        <v>1366</v>
      </c>
    </row>
    <row r="137" spans="1:1">
      <c r="A137" s="6" t="s">
        <v>826</v>
      </c>
    </row>
    <row r="138" spans="1:1">
      <c r="A138" s="6" t="s">
        <v>835</v>
      </c>
    </row>
    <row r="139" spans="1:1">
      <c r="A139" s="6" t="s">
        <v>1378</v>
      </c>
    </row>
    <row r="140" spans="1:1">
      <c r="A140" s="6" t="s">
        <v>1387</v>
      </c>
    </row>
    <row r="141" spans="1:1">
      <c r="A141" s="6" t="s">
        <v>1943</v>
      </c>
    </row>
    <row r="142" spans="1:1">
      <c r="A142" s="6" t="s">
        <v>1396</v>
      </c>
    </row>
    <row r="143" spans="1:1">
      <c r="A143" s="6" t="s">
        <v>1952</v>
      </c>
    </row>
    <row r="144" spans="1:1">
      <c r="A144" s="6" t="s">
        <v>1961</v>
      </c>
    </row>
    <row r="145" spans="1:1">
      <c r="A145" s="6" t="s">
        <v>1403</v>
      </c>
    </row>
    <row r="146" spans="1:1">
      <c r="A146" s="6" t="s">
        <v>1413</v>
      </c>
    </row>
    <row r="147" spans="1:1">
      <c r="A147" s="6" t="s">
        <v>843</v>
      </c>
    </row>
    <row r="148" spans="1:1">
      <c r="A148" s="6" t="s">
        <v>1969</v>
      </c>
    </row>
    <row r="149" spans="1:1">
      <c r="A149" s="6" t="s">
        <v>852</v>
      </c>
    </row>
    <row r="150" spans="1:1">
      <c r="A150" s="6" t="s">
        <v>861</v>
      </c>
    </row>
    <row r="151" spans="1:1">
      <c r="A151" s="6" t="s">
        <v>1425</v>
      </c>
    </row>
    <row r="152" spans="1:1">
      <c r="A152" s="6" t="s">
        <v>1434</v>
      </c>
    </row>
    <row r="153" spans="1:1">
      <c r="A153" s="6" t="s">
        <v>1443</v>
      </c>
    </row>
    <row r="154" spans="1:1">
      <c r="A154" s="6" t="s">
        <v>1452</v>
      </c>
    </row>
    <row r="155" spans="1:1">
      <c r="A155" s="6" t="s">
        <v>1979</v>
      </c>
    </row>
    <row r="156" spans="1:1">
      <c r="A156" s="6" t="s">
        <v>1987</v>
      </c>
    </row>
    <row r="157" spans="1:1">
      <c r="A157" s="6" t="s">
        <v>1995</v>
      </c>
    </row>
    <row r="158" spans="1:1">
      <c r="A158" s="6" t="s">
        <v>1461</v>
      </c>
    </row>
    <row r="159" spans="1:1">
      <c r="A159" s="6" t="s">
        <v>1468</v>
      </c>
    </row>
    <row r="160" spans="1:1">
      <c r="A160" s="6" t="s">
        <v>1479</v>
      </c>
    </row>
    <row r="161" spans="1:1">
      <c r="A161" s="6" t="s">
        <v>1479</v>
      </c>
    </row>
    <row r="162" spans="1:1">
      <c r="A162" s="6" t="s">
        <v>1489</v>
      </c>
    </row>
    <row r="163" spans="1:1">
      <c r="A163" s="6" t="s">
        <v>869</v>
      </c>
    </row>
    <row r="164" spans="1:1">
      <c r="A164" s="6" t="s">
        <v>2005</v>
      </c>
    </row>
    <row r="165" spans="1:1">
      <c r="A165" s="6" t="s">
        <v>2012</v>
      </c>
    </row>
    <row r="166" spans="1:1">
      <c r="A166" s="6" t="s">
        <v>879</v>
      </c>
    </row>
    <row r="167" spans="1:1">
      <c r="A167" s="6" t="s">
        <v>889</v>
      </c>
    </row>
    <row r="168" spans="1:1">
      <c r="A168" s="6" t="s">
        <v>1498</v>
      </c>
    </row>
    <row r="169" spans="1:1">
      <c r="A169" s="178" t="s">
        <v>10168</v>
      </c>
    </row>
    <row r="170" spans="1:1">
      <c r="A170" s="6" t="s">
        <v>1507</v>
      </c>
    </row>
    <row r="171" spans="1:1">
      <c r="A171" s="6" t="s">
        <v>1514</v>
      </c>
    </row>
    <row r="172" spans="1:1">
      <c r="A172" s="6" t="s">
        <v>1522</v>
      </c>
    </row>
    <row r="173" spans="1:1">
      <c r="A173" s="6" t="s">
        <v>1530</v>
      </c>
    </row>
    <row r="174" spans="1:1">
      <c r="A174" s="6" t="s">
        <v>1530</v>
      </c>
    </row>
    <row r="175" spans="1:1">
      <c r="A175" s="6" t="s">
        <v>10169</v>
      </c>
    </row>
    <row r="176" spans="1:1">
      <c r="A176" s="6" t="s">
        <v>3647</v>
      </c>
    </row>
    <row r="177" spans="1:1">
      <c r="A177" s="6" t="s">
        <v>1539</v>
      </c>
    </row>
    <row r="178" spans="1:1">
      <c r="A178" s="6" t="s">
        <v>898</v>
      </c>
    </row>
    <row r="179" spans="1:1">
      <c r="A179" s="6" t="s">
        <v>2029</v>
      </c>
    </row>
    <row r="180" spans="1:1">
      <c r="A180" s="6" t="s">
        <v>1547</v>
      </c>
    </row>
    <row r="181" spans="1:1">
      <c r="A181" s="6" t="s">
        <v>906</v>
      </c>
    </row>
    <row r="182" spans="1:1">
      <c r="A182" s="6" t="s">
        <v>2037</v>
      </c>
    </row>
    <row r="183" spans="1:1">
      <c r="A183" s="6" t="s">
        <v>1556</v>
      </c>
    </row>
    <row r="184" spans="1:1">
      <c r="A184" s="6" t="s">
        <v>917</v>
      </c>
    </row>
    <row r="185" spans="1:1">
      <c r="A185" s="6" t="s">
        <v>1564</v>
      </c>
    </row>
    <row r="186" spans="1:1">
      <c r="A186" s="6" t="s">
        <v>1572</v>
      </c>
    </row>
    <row r="187" spans="1:1">
      <c r="A187" s="177" t="s">
        <v>1582</v>
      </c>
    </row>
    <row r="188" spans="1:1">
      <c r="A188" s="6" t="s">
        <v>927</v>
      </c>
    </row>
    <row r="189" spans="1:1">
      <c r="A189" s="6" t="s">
        <v>2046</v>
      </c>
    </row>
    <row r="190" spans="1:1">
      <c r="A190" s="6" t="s">
        <v>936</v>
      </c>
    </row>
    <row r="191" spans="1:1">
      <c r="A191" s="6" t="s">
        <v>1590</v>
      </c>
    </row>
    <row r="192" spans="1:1">
      <c r="A192" s="6" t="s">
        <v>2053</v>
      </c>
    </row>
    <row r="193" spans="1:1">
      <c r="A193" s="6" t="s">
        <v>2053</v>
      </c>
    </row>
    <row r="194" spans="1:1">
      <c r="A194" s="6" t="s">
        <v>949</v>
      </c>
    </row>
    <row r="195" spans="1:1">
      <c r="A195" s="6" t="s">
        <v>958</v>
      </c>
    </row>
    <row r="196" spans="1:1">
      <c r="A196" s="6" t="s">
        <v>967</v>
      </c>
    </row>
    <row r="197" spans="1:1">
      <c r="A197" s="6" t="s">
        <v>2061</v>
      </c>
    </row>
    <row r="198" spans="1:1">
      <c r="A198" s="6" t="s">
        <v>976</v>
      </c>
    </row>
    <row r="199" spans="1:1">
      <c r="A199" s="6" t="s">
        <v>2071</v>
      </c>
    </row>
    <row r="200" spans="1:1">
      <c r="A200" s="6" t="s">
        <v>2081</v>
      </c>
    </row>
    <row r="201" spans="1:1">
      <c r="A201" s="6" t="s">
        <v>985</v>
      </c>
    </row>
    <row r="202" spans="1:1">
      <c r="A202" s="6" t="s">
        <v>2089</v>
      </c>
    </row>
    <row r="203" spans="1:1">
      <c r="A203" s="6" t="s">
        <v>1598</v>
      </c>
    </row>
  </sheetData>
  <autoFilter ref="A1:A1000" xr:uid="{00000000-0009-0000-0000-000004000000}"/>
  <hyperlinks>
    <hyperlink ref="A169" r:id="rId1" xr:uid="{00000000-0004-0000-0400-000000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A1128"/>
  <sheetViews>
    <sheetView workbookViewId="0">
      <pane ySplit="1" topLeftCell="A2" activePane="bottomLeft" state="frozen"/>
      <selection pane="bottomLeft" activeCell="B3" sqref="B3"/>
    </sheetView>
  </sheetViews>
  <sheetFormatPr baseColWidth="10" defaultColWidth="14.5" defaultRowHeight="15" customHeight="1"/>
  <cols>
    <col min="3" max="3" width="17.83203125" customWidth="1"/>
    <col min="4" max="4" width="10" customWidth="1"/>
    <col min="5" max="5" width="11.5" customWidth="1"/>
    <col min="6" max="6" width="10" customWidth="1"/>
    <col min="7" max="7" width="10.6640625" customWidth="1"/>
    <col min="9" max="9" width="3.6640625" customWidth="1"/>
    <col min="10" max="10" width="10.6640625" customWidth="1"/>
    <col min="12" max="12" width="3.6640625" customWidth="1"/>
    <col min="13" max="13" width="9.1640625" customWidth="1"/>
    <col min="15" max="15" width="4.5" customWidth="1"/>
  </cols>
  <sheetData>
    <row r="1" spans="1:27">
      <c r="A1" s="179"/>
      <c r="B1" s="180" t="s">
        <v>419</v>
      </c>
      <c r="C1" s="180" t="s">
        <v>420</v>
      </c>
      <c r="D1" s="180" t="s">
        <v>424</v>
      </c>
      <c r="E1" s="180" t="s">
        <v>423</v>
      </c>
      <c r="F1" s="180" t="s">
        <v>39</v>
      </c>
      <c r="G1" s="180" t="s">
        <v>42</v>
      </c>
      <c r="H1" s="180" t="s">
        <v>426</v>
      </c>
      <c r="I1" s="180" t="s">
        <v>427</v>
      </c>
      <c r="J1" s="180" t="s">
        <v>43</v>
      </c>
      <c r="K1" s="180" t="s">
        <v>428</v>
      </c>
      <c r="L1" s="180" t="s">
        <v>429</v>
      </c>
      <c r="M1" s="180" t="s">
        <v>430</v>
      </c>
      <c r="N1" s="180" t="s">
        <v>431</v>
      </c>
      <c r="O1" s="180" t="s">
        <v>432</v>
      </c>
      <c r="P1" s="180" t="s">
        <v>433</v>
      </c>
      <c r="Q1" s="180" t="s">
        <v>434</v>
      </c>
      <c r="R1" s="180" t="s">
        <v>425</v>
      </c>
      <c r="S1" s="180" t="s">
        <v>435</v>
      </c>
      <c r="T1" s="180" t="s">
        <v>10170</v>
      </c>
      <c r="U1" s="180" t="s">
        <v>10171</v>
      </c>
      <c r="V1" s="180" t="s">
        <v>10172</v>
      </c>
      <c r="W1" s="180"/>
      <c r="X1" s="179"/>
      <c r="Y1" s="179"/>
      <c r="Z1" s="179"/>
      <c r="AA1" s="179"/>
    </row>
    <row r="2" spans="1:27">
      <c r="A2" s="181">
        <f ca="1">IFERROR(__xludf.DUMMYFUNCTION("IFS(B2="""","""",ISDATE(B2)=TRUE,B2,ISDATE(B2)=FALSE,TO_DATE(DATEVALUE(regexextract(B2,""\d+/\d+/\d+""))))"),44784)</f>
        <v>44784</v>
      </c>
      <c r="B2" s="182" t="s">
        <v>10173</v>
      </c>
      <c r="C2" s="183" t="s">
        <v>266</v>
      </c>
      <c r="D2" s="184">
        <v>4.25</v>
      </c>
      <c r="E2" s="183" t="s">
        <v>10174</v>
      </c>
      <c r="F2" s="183" t="s">
        <v>4</v>
      </c>
      <c r="G2" s="183" t="s">
        <v>602</v>
      </c>
      <c r="H2" s="184" t="s">
        <v>1534</v>
      </c>
      <c r="I2" s="184">
        <v>4</v>
      </c>
      <c r="J2" s="183" t="s">
        <v>1054</v>
      </c>
      <c r="K2" s="184"/>
      <c r="L2" s="184">
        <v>4.5</v>
      </c>
      <c r="M2" s="183" t="s">
        <v>451</v>
      </c>
      <c r="N2" s="185">
        <v>2000000</v>
      </c>
      <c r="O2" s="183" t="s">
        <v>454</v>
      </c>
      <c r="P2" s="183" t="s">
        <v>10175</v>
      </c>
      <c r="Q2" s="184" t="s">
        <v>1536</v>
      </c>
      <c r="R2" s="184" t="s">
        <v>18</v>
      </c>
      <c r="S2" s="184" t="s">
        <v>1537</v>
      </c>
      <c r="T2" s="184"/>
      <c r="U2" s="184"/>
      <c r="V2" s="184"/>
      <c r="W2" s="184"/>
      <c r="X2" s="179"/>
      <c r="Y2" s="179"/>
      <c r="Z2" s="179"/>
      <c r="AA2" s="179"/>
    </row>
    <row r="3" spans="1:27">
      <c r="A3" s="181">
        <f ca="1">IFERROR(__xludf.DUMMYFUNCTION("IFS(B3="""","""",ISDATE(B3)=TRUE,B3,ISDATE(B3)=FALSE,TO_DATE(DATEVALUE(regexextract(B3,""\d+/\d+/\d+""))))"),44776)</f>
        <v>44776</v>
      </c>
      <c r="B3" s="182" t="s">
        <v>10176</v>
      </c>
      <c r="C3" s="183" t="s">
        <v>372</v>
      </c>
      <c r="D3" s="183">
        <v>4</v>
      </c>
      <c r="E3" s="183" t="s">
        <v>10177</v>
      </c>
      <c r="F3" s="183" t="s">
        <v>5</v>
      </c>
      <c r="G3" s="183" t="s">
        <v>447</v>
      </c>
      <c r="H3" s="183" t="s">
        <v>9995</v>
      </c>
      <c r="I3" s="183">
        <v>4</v>
      </c>
      <c r="J3" s="183" t="s">
        <v>622</v>
      </c>
      <c r="K3" s="183" t="s">
        <v>10178</v>
      </c>
      <c r="L3" s="183">
        <v>4</v>
      </c>
      <c r="M3" s="184"/>
      <c r="N3" s="186" t="s">
        <v>9997</v>
      </c>
      <c r="O3" s="183" t="s">
        <v>452</v>
      </c>
      <c r="P3" s="183" t="s">
        <v>10179</v>
      </c>
      <c r="Q3" s="184"/>
      <c r="R3" s="183" t="s">
        <v>18</v>
      </c>
      <c r="S3" s="184" t="s">
        <v>9999</v>
      </c>
      <c r="T3" s="184"/>
      <c r="U3" s="184"/>
      <c r="V3" s="184"/>
      <c r="W3" s="184"/>
      <c r="X3" s="179"/>
      <c r="Y3" s="179"/>
      <c r="Z3" s="179"/>
      <c r="AA3" s="179"/>
    </row>
    <row r="4" spans="1:27">
      <c r="A4" s="181">
        <f ca="1">IFERROR(__xludf.DUMMYFUNCTION("IFS(B4="""","""",ISDATE(B4)=TRUE,B4,ISDATE(B4)=FALSE,TO_DATE(DATEVALUE(regexextract(B4,""\d+/\d+/\d+""))))"),44796)</f>
        <v>44796</v>
      </c>
      <c r="B4" s="182" t="s">
        <v>529</v>
      </c>
      <c r="C4" s="183" t="s">
        <v>205</v>
      </c>
      <c r="D4" s="183">
        <v>4</v>
      </c>
      <c r="E4" s="183" t="s">
        <v>3828</v>
      </c>
      <c r="F4" s="183" t="s">
        <v>4</v>
      </c>
      <c r="G4" s="183" t="s">
        <v>1045</v>
      </c>
      <c r="H4" s="183" t="s">
        <v>3829</v>
      </c>
      <c r="I4" s="183">
        <v>4</v>
      </c>
      <c r="J4" s="183" t="s">
        <v>604</v>
      </c>
      <c r="K4" s="183" t="s">
        <v>10180</v>
      </c>
      <c r="L4" s="183">
        <v>4</v>
      </c>
      <c r="M4" s="183"/>
      <c r="N4" s="187"/>
      <c r="O4" s="183" t="s">
        <v>452</v>
      </c>
      <c r="P4" s="183" t="s">
        <v>10181</v>
      </c>
      <c r="Q4" s="184" t="s">
        <v>3832</v>
      </c>
      <c r="R4" s="183" t="s">
        <v>18</v>
      </c>
      <c r="S4" s="184"/>
      <c r="T4" s="184"/>
      <c r="U4" s="184"/>
      <c r="V4" s="184"/>
      <c r="W4" s="184"/>
      <c r="X4" s="179"/>
      <c r="Y4" s="179"/>
      <c r="Z4" s="179"/>
      <c r="AA4" s="179"/>
    </row>
    <row r="5" spans="1:27">
      <c r="A5" s="181">
        <f ca="1">IFERROR(__xludf.DUMMYFUNCTION("IFS(B5="""","""",ISDATE(B5)=TRUE,B5,ISDATE(B5)=FALSE,TO_DATE(DATEVALUE(regexextract(B5,""\d+/\d+/\d+""))))"),44791)</f>
        <v>44791</v>
      </c>
      <c r="B5" s="182" t="s">
        <v>10182</v>
      </c>
      <c r="C5" s="183" t="s">
        <v>7508</v>
      </c>
      <c r="D5" s="184">
        <v>2</v>
      </c>
      <c r="E5" s="183" t="s">
        <v>7511</v>
      </c>
      <c r="F5" s="183" t="s">
        <v>4</v>
      </c>
      <c r="G5" s="183" t="s">
        <v>727</v>
      </c>
      <c r="H5" s="184" t="s">
        <v>6733</v>
      </c>
      <c r="I5" s="184">
        <v>2</v>
      </c>
      <c r="J5" s="183" t="s">
        <v>1457</v>
      </c>
      <c r="K5" s="183" t="s">
        <v>7512</v>
      </c>
      <c r="L5" s="183">
        <v>2</v>
      </c>
      <c r="M5" s="183" t="s">
        <v>784</v>
      </c>
      <c r="N5" s="187">
        <v>750000</v>
      </c>
      <c r="O5" s="183" t="s">
        <v>465</v>
      </c>
      <c r="P5" s="183" t="s">
        <v>7513</v>
      </c>
      <c r="Q5" s="184"/>
      <c r="R5" s="184" t="s">
        <v>24</v>
      </c>
      <c r="S5" s="184"/>
      <c r="T5" s="184"/>
      <c r="U5" s="184"/>
      <c r="V5" s="184"/>
      <c r="W5" s="184"/>
      <c r="X5" s="179"/>
      <c r="Y5" s="179"/>
      <c r="Z5" s="179"/>
      <c r="AA5" s="179"/>
    </row>
    <row r="6" spans="1:27">
      <c r="A6" s="181">
        <f ca="1">IFERROR(__xludf.DUMMYFUNCTION("IFS(B6="""","""",ISDATE(B6)=TRUE,B6,ISDATE(B6)=FALSE,TO_DATE(DATEVALUE(regexextract(B6,""\d+/\d+/\d+""))))"),44776)</f>
        <v>44776</v>
      </c>
      <c r="B6" s="182" t="s">
        <v>10176</v>
      </c>
      <c r="C6" s="183" t="s">
        <v>2418</v>
      </c>
      <c r="D6" s="183">
        <v>2</v>
      </c>
      <c r="E6" s="183" t="s">
        <v>2421</v>
      </c>
      <c r="F6" s="183" t="s">
        <v>5</v>
      </c>
      <c r="G6" s="183" t="s">
        <v>447</v>
      </c>
      <c r="H6" s="183" t="s">
        <v>2422</v>
      </c>
      <c r="I6" s="183">
        <v>2</v>
      </c>
      <c r="J6" s="183" t="s">
        <v>622</v>
      </c>
      <c r="K6" s="183"/>
      <c r="L6" s="183">
        <v>2</v>
      </c>
      <c r="M6" s="183"/>
      <c r="N6" s="187"/>
      <c r="O6" s="183" t="s">
        <v>452</v>
      </c>
      <c r="P6" s="183" t="s">
        <v>2423</v>
      </c>
      <c r="Q6" s="184"/>
      <c r="R6" s="183" t="s">
        <v>24</v>
      </c>
      <c r="S6" s="184"/>
      <c r="T6" s="184"/>
      <c r="U6" s="184"/>
      <c r="V6" s="184"/>
      <c r="W6" s="184"/>
      <c r="X6" s="179"/>
      <c r="Y6" s="179"/>
      <c r="Z6" s="179"/>
      <c r="AA6" s="179"/>
    </row>
    <row r="7" spans="1:27">
      <c r="A7" s="181">
        <f ca="1">IFERROR(__xludf.DUMMYFUNCTION("IFS(B7="""","""",ISDATE(B7)=TRUE,B7,ISDATE(B7)=FALSE,TO_DATE(DATEVALUE(regexextract(B7,""\d+/\d+/\d+""))))"),44776)</f>
        <v>44776</v>
      </c>
      <c r="B7" s="182" t="s">
        <v>10176</v>
      </c>
      <c r="C7" s="183" t="s">
        <v>9195</v>
      </c>
      <c r="D7" s="184">
        <v>1</v>
      </c>
      <c r="E7" s="183" t="s">
        <v>10183</v>
      </c>
      <c r="F7" s="183" t="s">
        <v>3</v>
      </c>
      <c r="G7" s="183" t="s">
        <v>460</v>
      </c>
      <c r="H7" s="184"/>
      <c r="I7" s="184">
        <v>1</v>
      </c>
      <c r="J7" s="183" t="s">
        <v>462</v>
      </c>
      <c r="K7" s="184"/>
      <c r="L7" s="184">
        <v>1</v>
      </c>
      <c r="M7" s="184" t="s">
        <v>451</v>
      </c>
      <c r="N7" s="188">
        <v>150000</v>
      </c>
      <c r="O7" s="183" t="s">
        <v>452</v>
      </c>
      <c r="P7" s="183" t="s">
        <v>452</v>
      </c>
      <c r="Q7" s="184"/>
      <c r="R7" s="184" t="s">
        <v>24</v>
      </c>
      <c r="S7" s="184"/>
      <c r="T7" s="184"/>
      <c r="U7" s="184"/>
      <c r="V7" s="184"/>
      <c r="W7" s="184"/>
      <c r="X7" s="179"/>
      <c r="Y7" s="179"/>
      <c r="Z7" s="179"/>
      <c r="AA7" s="179"/>
    </row>
    <row r="8" spans="1:27">
      <c r="A8" s="181">
        <f ca="1">IFERROR(__xludf.DUMMYFUNCTION("IFS(B8="""","""",ISDATE(B8)=TRUE,B8,ISDATE(B8)=FALSE,TO_DATE(DATEVALUE(regexextract(B8,""\d+/\d+/\d+""))))"),44776)</f>
        <v>44776</v>
      </c>
      <c r="B8" s="182" t="s">
        <v>10176</v>
      </c>
      <c r="C8" s="183" t="s">
        <v>2842</v>
      </c>
      <c r="D8" s="184">
        <v>3</v>
      </c>
      <c r="E8" s="183" t="s">
        <v>2845</v>
      </c>
      <c r="F8" s="183" t="s">
        <v>5</v>
      </c>
      <c r="G8" s="183" t="s">
        <v>460</v>
      </c>
      <c r="H8" s="184"/>
      <c r="I8" s="184">
        <v>3</v>
      </c>
      <c r="J8" s="183" t="s">
        <v>488</v>
      </c>
      <c r="K8" s="183" t="s">
        <v>2846</v>
      </c>
      <c r="L8" s="183">
        <v>3</v>
      </c>
      <c r="M8" s="183" t="s">
        <v>478</v>
      </c>
      <c r="N8" s="187">
        <v>3000000</v>
      </c>
      <c r="O8" s="183" t="s">
        <v>452</v>
      </c>
      <c r="P8" s="183" t="s">
        <v>2847</v>
      </c>
      <c r="Q8" s="183" t="s">
        <v>10184</v>
      </c>
      <c r="R8" s="184" t="s">
        <v>24</v>
      </c>
      <c r="S8" s="184" t="s">
        <v>2849</v>
      </c>
      <c r="T8" s="184"/>
      <c r="U8" s="184"/>
      <c r="V8" s="184"/>
      <c r="W8" s="184"/>
      <c r="X8" s="179"/>
      <c r="Y8" s="179"/>
      <c r="Z8" s="179"/>
      <c r="AA8" s="179"/>
    </row>
    <row r="9" spans="1:27">
      <c r="A9" s="181">
        <f ca="1">IFERROR(__xludf.DUMMYFUNCTION("IFS(B9="""","""",ISDATE(B9)=TRUE,B9,ISDATE(B9)=FALSE,TO_DATE(DATEVALUE(regexextract(B9,""\d+/\d+/\d+""))))"),44776)</f>
        <v>44776</v>
      </c>
      <c r="B9" s="182" t="s">
        <v>10176</v>
      </c>
      <c r="C9" s="183" t="s">
        <v>297</v>
      </c>
      <c r="D9" s="184">
        <v>3.5</v>
      </c>
      <c r="E9" s="183" t="s">
        <v>4570</v>
      </c>
      <c r="F9" s="183" t="s">
        <v>4</v>
      </c>
      <c r="G9" s="183" t="s">
        <v>602</v>
      </c>
      <c r="H9" s="184" t="s">
        <v>10185</v>
      </c>
      <c r="I9" s="184">
        <v>4</v>
      </c>
      <c r="J9" s="183" t="s">
        <v>1054</v>
      </c>
      <c r="K9" s="184" t="s">
        <v>4572</v>
      </c>
      <c r="L9" s="184">
        <v>3</v>
      </c>
      <c r="M9" s="183"/>
      <c r="N9" s="183"/>
      <c r="O9" s="183" t="s">
        <v>452</v>
      </c>
      <c r="P9" s="183" t="s">
        <v>10186</v>
      </c>
      <c r="Q9" s="184"/>
      <c r="R9" s="184" t="s">
        <v>19</v>
      </c>
      <c r="S9" s="184" t="s">
        <v>4574</v>
      </c>
      <c r="T9" s="184"/>
      <c r="U9" s="184"/>
      <c r="V9" s="184"/>
      <c r="W9" s="184"/>
      <c r="X9" s="179"/>
      <c r="Y9" s="179"/>
      <c r="Z9" s="179"/>
      <c r="AA9" s="179"/>
    </row>
    <row r="10" spans="1:27">
      <c r="A10" s="181">
        <f ca="1">IFERROR(__xludf.DUMMYFUNCTION("IFS(B10="""","""",ISDATE(B10)=TRUE,B10,ISDATE(B10)=FALSE,TO_DATE(DATEVALUE(regexextract(B10,""\d+/\d+/\d+""))))"),44776)</f>
        <v>44776</v>
      </c>
      <c r="B10" s="182" t="s">
        <v>10176</v>
      </c>
      <c r="C10" s="183" t="s">
        <v>8766</v>
      </c>
      <c r="D10" s="183">
        <v>1.5</v>
      </c>
      <c r="E10" s="183" t="s">
        <v>10187</v>
      </c>
      <c r="F10" s="183" t="s">
        <v>3</v>
      </c>
      <c r="G10" s="183" t="s">
        <v>460</v>
      </c>
      <c r="H10" s="183"/>
      <c r="I10" s="183">
        <v>1</v>
      </c>
      <c r="J10" s="183" t="s">
        <v>941</v>
      </c>
      <c r="K10" s="183"/>
      <c r="L10" s="183">
        <v>2</v>
      </c>
      <c r="M10" s="183" t="s">
        <v>784</v>
      </c>
      <c r="N10" s="187">
        <v>0</v>
      </c>
      <c r="O10" s="183" t="s">
        <v>465</v>
      </c>
      <c r="P10" s="183" t="s">
        <v>8770</v>
      </c>
      <c r="Q10" s="183"/>
      <c r="R10" s="183" t="s">
        <v>24</v>
      </c>
      <c r="S10" s="184"/>
      <c r="T10" s="184"/>
      <c r="U10" s="184"/>
      <c r="V10" s="184"/>
      <c r="W10" s="184"/>
      <c r="X10" s="179"/>
      <c r="Y10" s="179"/>
      <c r="Z10" s="179"/>
      <c r="AA10" s="179"/>
    </row>
    <row r="11" spans="1:27">
      <c r="A11" s="181">
        <f ca="1">IFERROR(__xludf.DUMMYFUNCTION("IFS(B11="""","""",ISDATE(B11)=TRUE,B11,ISDATE(B11)=FALSE,TO_DATE(DATEVALUE(regexextract(B11,""\d+/\d+/\d+""))))"),44782)</f>
        <v>44782</v>
      </c>
      <c r="B11" s="182" t="s">
        <v>10188</v>
      </c>
      <c r="C11" s="183" t="s">
        <v>7485</v>
      </c>
      <c r="D11" s="183">
        <v>2</v>
      </c>
      <c r="E11" s="183" t="s">
        <v>10189</v>
      </c>
      <c r="F11" s="183" t="s">
        <v>4</v>
      </c>
      <c r="G11" s="183" t="s">
        <v>602</v>
      </c>
      <c r="H11" s="183"/>
      <c r="I11" s="183">
        <v>2</v>
      </c>
      <c r="J11" s="183" t="s">
        <v>727</v>
      </c>
      <c r="K11" s="183" t="s">
        <v>7489</v>
      </c>
      <c r="L11" s="183">
        <v>2</v>
      </c>
      <c r="M11" s="183" t="s">
        <v>478</v>
      </c>
      <c r="N11" s="187">
        <v>2000000</v>
      </c>
      <c r="O11" s="183" t="s">
        <v>452</v>
      </c>
      <c r="P11" s="183" t="s">
        <v>452</v>
      </c>
      <c r="Q11" s="184"/>
      <c r="R11" s="183" t="s">
        <v>24</v>
      </c>
      <c r="S11" s="184"/>
      <c r="T11" s="184"/>
      <c r="U11" s="184"/>
      <c r="V11" s="184"/>
      <c r="W11" s="184"/>
      <c r="X11" s="179"/>
      <c r="Y11" s="179"/>
      <c r="Z11" s="179"/>
      <c r="AA11" s="179"/>
    </row>
    <row r="12" spans="1:27">
      <c r="A12" s="181">
        <f ca="1">IFERROR(__xludf.DUMMYFUNCTION("IFS(B12="""","""",ISDATE(B12)=TRUE,B12,ISDATE(B12)=FALSE,TO_DATE(DATEVALUE(regexextract(B12,""\d+/\d+/\d+""))))"),44784)</f>
        <v>44784</v>
      </c>
      <c r="B12" s="182" t="s">
        <v>10173</v>
      </c>
      <c r="C12" s="183" t="s">
        <v>6148</v>
      </c>
      <c r="D12" s="183">
        <v>2.5</v>
      </c>
      <c r="E12" s="183" t="s">
        <v>10190</v>
      </c>
      <c r="F12" s="183" t="s">
        <v>4</v>
      </c>
      <c r="G12" s="183" t="s">
        <v>602</v>
      </c>
      <c r="H12" s="183" t="s">
        <v>6152</v>
      </c>
      <c r="I12" s="183">
        <v>2</v>
      </c>
      <c r="J12" s="183" t="s">
        <v>1054</v>
      </c>
      <c r="K12" s="183" t="s">
        <v>6153</v>
      </c>
      <c r="L12" s="183">
        <v>3</v>
      </c>
      <c r="M12" s="183" t="s">
        <v>451</v>
      </c>
      <c r="N12" s="187">
        <v>2000000</v>
      </c>
      <c r="O12" s="183" t="s">
        <v>452</v>
      </c>
      <c r="P12" s="183" t="s">
        <v>452</v>
      </c>
      <c r="Q12" s="184"/>
      <c r="R12" s="183" t="s">
        <v>24</v>
      </c>
      <c r="S12" s="183"/>
      <c r="T12" s="184"/>
      <c r="U12" s="184"/>
      <c r="V12" s="184"/>
      <c r="W12" s="184"/>
      <c r="X12" s="179"/>
      <c r="Y12" s="179"/>
      <c r="Z12" s="179"/>
      <c r="AA12" s="179"/>
    </row>
    <row r="13" spans="1:27">
      <c r="A13" s="181">
        <f ca="1">IFERROR(__xludf.DUMMYFUNCTION("IFS(B13="""","""",ISDATE(B13)=TRUE,B13,ISDATE(B13)=FALSE,TO_DATE(DATEVALUE(regexextract(B13,""\d+/\d+/\d+""))))"),44784)</f>
        <v>44784</v>
      </c>
      <c r="B13" s="182" t="s">
        <v>10173</v>
      </c>
      <c r="C13" s="183" t="s">
        <v>6780</v>
      </c>
      <c r="D13" s="183">
        <v>2.25</v>
      </c>
      <c r="E13" s="183" t="s">
        <v>6783</v>
      </c>
      <c r="F13" s="183" t="s">
        <v>4</v>
      </c>
      <c r="G13" s="183" t="s">
        <v>602</v>
      </c>
      <c r="H13" s="183" t="s">
        <v>6784</v>
      </c>
      <c r="I13" s="183">
        <v>2.5</v>
      </c>
      <c r="J13" s="183" t="s">
        <v>1054</v>
      </c>
      <c r="K13" s="183" t="s">
        <v>6785</v>
      </c>
      <c r="L13" s="183">
        <v>2</v>
      </c>
      <c r="M13" s="184" t="s">
        <v>451</v>
      </c>
      <c r="N13" s="186">
        <v>3000000</v>
      </c>
      <c r="O13" s="183" t="s">
        <v>452</v>
      </c>
      <c r="P13" s="183" t="s">
        <v>452</v>
      </c>
      <c r="Q13" s="184"/>
      <c r="R13" s="183" t="s">
        <v>24</v>
      </c>
      <c r="S13" s="184"/>
      <c r="T13" s="184"/>
      <c r="U13" s="184"/>
      <c r="V13" s="184"/>
      <c r="W13" s="184"/>
      <c r="X13" s="179"/>
      <c r="Y13" s="179"/>
      <c r="Z13" s="179"/>
      <c r="AA13" s="179"/>
    </row>
    <row r="14" spans="1:27">
      <c r="A14" s="181">
        <f ca="1">IFERROR(__xludf.DUMMYFUNCTION("IFS(B14="""","""",ISDATE(B14)=TRUE,B14,ISDATE(B14)=FALSE,TO_DATE(DATEVALUE(regexextract(B14,""\d+/\d+/\d+""))))"),44776)</f>
        <v>44776</v>
      </c>
      <c r="B14" s="182" t="s">
        <v>10176</v>
      </c>
      <c r="C14" s="183" t="s">
        <v>9334</v>
      </c>
      <c r="D14" s="183">
        <v>2.5</v>
      </c>
      <c r="E14" s="183" t="s">
        <v>9337</v>
      </c>
      <c r="F14" s="183" t="s">
        <v>3</v>
      </c>
      <c r="G14" s="183" t="s">
        <v>460</v>
      </c>
      <c r="H14" s="183"/>
      <c r="I14" s="183">
        <v>1</v>
      </c>
      <c r="J14" s="183" t="s">
        <v>462</v>
      </c>
      <c r="K14" s="183" t="s">
        <v>9338</v>
      </c>
      <c r="L14" s="183">
        <v>4</v>
      </c>
      <c r="M14" s="183"/>
      <c r="N14" s="187">
        <v>250000</v>
      </c>
      <c r="O14" s="183" t="s">
        <v>452</v>
      </c>
      <c r="P14" s="183" t="s">
        <v>452</v>
      </c>
      <c r="Q14" s="183"/>
      <c r="R14" s="183" t="s">
        <v>25</v>
      </c>
      <c r="S14" s="183" t="s">
        <v>9339</v>
      </c>
      <c r="T14" s="184"/>
      <c r="U14" s="184"/>
      <c r="V14" s="184"/>
      <c r="W14" s="184"/>
      <c r="X14" s="179"/>
      <c r="Y14" s="179"/>
      <c r="Z14" s="179"/>
      <c r="AA14" s="179"/>
    </row>
    <row r="15" spans="1:27">
      <c r="A15" s="181">
        <f ca="1">IFERROR(__xludf.DUMMYFUNCTION("IFS(B15="""","""",ISDATE(B15)=TRUE,B15,ISDATE(B15)=FALSE,TO_DATE(DATEVALUE(regexextract(B15,""\d+/\d+/\d+""))))"),44782)</f>
        <v>44782</v>
      </c>
      <c r="B15" s="182" t="s">
        <v>10188</v>
      </c>
      <c r="C15" s="183" t="s">
        <v>194</v>
      </c>
      <c r="D15" s="183">
        <v>3.88</v>
      </c>
      <c r="E15" s="183" t="s">
        <v>1210</v>
      </c>
      <c r="F15" s="183" t="s">
        <v>4</v>
      </c>
      <c r="G15" s="183" t="s">
        <v>602</v>
      </c>
      <c r="H15" s="183" t="s">
        <v>10191</v>
      </c>
      <c r="I15" s="183">
        <v>4</v>
      </c>
      <c r="J15" s="183" t="s">
        <v>1054</v>
      </c>
      <c r="K15" s="183" t="s">
        <v>1212</v>
      </c>
      <c r="L15" s="183">
        <v>3.75</v>
      </c>
      <c r="M15" s="184" t="s">
        <v>478</v>
      </c>
      <c r="N15" s="184">
        <v>3000000</v>
      </c>
      <c r="O15" s="183" t="s">
        <v>465</v>
      </c>
      <c r="P15" s="183" t="s">
        <v>1213</v>
      </c>
      <c r="Q15" s="184"/>
      <c r="R15" s="183" t="s">
        <v>18</v>
      </c>
      <c r="S15" s="184" t="s">
        <v>1214</v>
      </c>
      <c r="T15" s="184"/>
      <c r="U15" s="184"/>
      <c r="V15" s="184"/>
      <c r="W15" s="184"/>
      <c r="X15" s="179"/>
      <c r="Y15" s="179"/>
      <c r="Z15" s="179"/>
      <c r="AA15" s="179"/>
    </row>
    <row r="16" spans="1:27">
      <c r="A16" s="181">
        <f ca="1">IFERROR(__xludf.DUMMYFUNCTION("IFS(B16="""","""",ISDATE(B16)=TRUE,B16,ISDATE(B16)=FALSE,TO_DATE(DATEVALUE(regexextract(B16,""\d+/\d+/\d+""))))"),44796)</f>
        <v>44796</v>
      </c>
      <c r="B16" s="182" t="s">
        <v>529</v>
      </c>
      <c r="C16" s="183" t="s">
        <v>5442</v>
      </c>
      <c r="D16" s="183">
        <v>3</v>
      </c>
      <c r="E16" s="183" t="s">
        <v>5445</v>
      </c>
      <c r="F16" s="183" t="s">
        <v>4</v>
      </c>
      <c r="G16" s="183" t="s">
        <v>1045</v>
      </c>
      <c r="H16" s="183" t="s">
        <v>5446</v>
      </c>
      <c r="I16" s="183">
        <v>3</v>
      </c>
      <c r="J16" s="183" t="s">
        <v>604</v>
      </c>
      <c r="K16" s="183" t="s">
        <v>10192</v>
      </c>
      <c r="L16" s="183">
        <v>3</v>
      </c>
      <c r="M16" s="183"/>
      <c r="N16" s="185">
        <v>700000</v>
      </c>
      <c r="O16" s="183" t="s">
        <v>452</v>
      </c>
      <c r="P16" s="183" t="s">
        <v>5448</v>
      </c>
      <c r="Q16" s="184"/>
      <c r="R16" s="183" t="s">
        <v>24</v>
      </c>
      <c r="S16" s="184"/>
      <c r="T16" s="184"/>
      <c r="U16" s="184"/>
      <c r="V16" s="184"/>
      <c r="W16" s="184"/>
      <c r="X16" s="179"/>
      <c r="Y16" s="179"/>
      <c r="Z16" s="179"/>
      <c r="AA16" s="179"/>
    </row>
    <row r="17" spans="1:27">
      <c r="A17" s="181">
        <f ca="1">IFERROR(__xludf.DUMMYFUNCTION("IFS(B17="""","""",ISDATE(B17)=TRUE,B17,ISDATE(B17)=FALSE,TO_DATE(DATEVALUE(regexextract(B17,""\d+/\d+/\d+""))))"),44776)</f>
        <v>44776</v>
      </c>
      <c r="B17" s="182" t="s">
        <v>10176</v>
      </c>
      <c r="C17" s="183" t="s">
        <v>5661</v>
      </c>
      <c r="D17" s="183">
        <v>3</v>
      </c>
      <c r="E17" s="183" t="s">
        <v>5664</v>
      </c>
      <c r="F17" s="183" t="s">
        <v>4</v>
      </c>
      <c r="G17" s="183" t="s">
        <v>727</v>
      </c>
      <c r="H17" s="183" t="s">
        <v>5665</v>
      </c>
      <c r="I17" s="183">
        <v>3</v>
      </c>
      <c r="J17" s="183" t="s">
        <v>1054</v>
      </c>
      <c r="K17" s="183"/>
      <c r="L17" s="183">
        <v>3</v>
      </c>
      <c r="M17" s="183" t="s">
        <v>451</v>
      </c>
      <c r="N17" s="185">
        <v>2400000</v>
      </c>
      <c r="O17" s="183" t="s">
        <v>452</v>
      </c>
      <c r="P17" s="183" t="s">
        <v>5666</v>
      </c>
      <c r="Q17" s="184"/>
      <c r="R17" s="183" t="s">
        <v>24</v>
      </c>
      <c r="S17" s="184"/>
      <c r="T17" s="184"/>
      <c r="U17" s="184"/>
      <c r="V17" s="184"/>
      <c r="W17" s="184"/>
      <c r="X17" s="179"/>
      <c r="Y17" s="179"/>
      <c r="Z17" s="179"/>
      <c r="AA17" s="179"/>
    </row>
    <row r="18" spans="1:27">
      <c r="A18" s="181">
        <f ca="1">IFERROR(__xludf.DUMMYFUNCTION("IFS(B18="""","""",ISDATE(B18)=TRUE,B18,ISDATE(B18)=FALSE,TO_DATE(DATEVALUE(regexextract(B18,""\d+/\d+/\d+""))))"),44782)</f>
        <v>44782</v>
      </c>
      <c r="B18" s="182" t="s">
        <v>10188</v>
      </c>
      <c r="C18" s="183" t="s">
        <v>151</v>
      </c>
      <c r="D18" s="183">
        <v>4</v>
      </c>
      <c r="E18" s="183" t="s">
        <v>1015</v>
      </c>
      <c r="F18" s="183" t="s">
        <v>4</v>
      </c>
      <c r="G18" s="183" t="s">
        <v>727</v>
      </c>
      <c r="H18" s="183" t="s">
        <v>1016</v>
      </c>
      <c r="I18" s="183">
        <v>4</v>
      </c>
      <c r="J18" s="183" t="s">
        <v>476</v>
      </c>
      <c r="K18" s="183" t="s">
        <v>10193</v>
      </c>
      <c r="L18" s="183">
        <v>4</v>
      </c>
      <c r="M18" s="184" t="s">
        <v>451</v>
      </c>
      <c r="N18" s="188">
        <v>14000000</v>
      </c>
      <c r="O18" s="183" t="s">
        <v>452</v>
      </c>
      <c r="P18" s="183" t="s">
        <v>10194</v>
      </c>
      <c r="Q18" s="183"/>
      <c r="R18" s="183" t="s">
        <v>18</v>
      </c>
      <c r="S18" s="183" t="s">
        <v>1019</v>
      </c>
      <c r="T18" s="184"/>
      <c r="U18" s="184"/>
      <c r="V18" s="184"/>
      <c r="W18" s="184"/>
      <c r="X18" s="179"/>
      <c r="Y18" s="179"/>
      <c r="Z18" s="179"/>
      <c r="AA18" s="179"/>
    </row>
    <row r="19" spans="1:27">
      <c r="A19" s="181">
        <f ca="1">IFERROR(__xludf.DUMMYFUNCTION("IFS(B19="""","""",ISDATE(B19)=TRUE,B19,ISDATE(B19)=FALSE,TO_DATE(DATEVALUE(regexextract(B19,""\d+/\d+/\d+""))))"),44782)</f>
        <v>44782</v>
      </c>
      <c r="B19" s="189" t="s">
        <v>10188</v>
      </c>
      <c r="C19" s="183" t="s">
        <v>5235</v>
      </c>
      <c r="D19" s="183">
        <v>3.25</v>
      </c>
      <c r="E19" s="183" t="s">
        <v>5238</v>
      </c>
      <c r="F19" s="183" t="s">
        <v>4</v>
      </c>
      <c r="G19" s="183" t="s">
        <v>727</v>
      </c>
      <c r="H19" s="183" t="s">
        <v>5239</v>
      </c>
      <c r="I19" s="183">
        <v>3.5</v>
      </c>
      <c r="J19" s="183" t="s">
        <v>476</v>
      </c>
      <c r="K19" s="184" t="s">
        <v>10195</v>
      </c>
      <c r="L19" s="183">
        <v>3</v>
      </c>
      <c r="M19" s="184"/>
      <c r="N19" s="188"/>
      <c r="O19" s="183" t="s">
        <v>452</v>
      </c>
      <c r="P19" s="183" t="s">
        <v>5241</v>
      </c>
      <c r="Q19" s="184" t="s">
        <v>447</v>
      </c>
      <c r="R19" s="183" t="s">
        <v>24</v>
      </c>
      <c r="S19" s="184"/>
      <c r="T19" s="184"/>
      <c r="U19" s="184"/>
      <c r="V19" s="184"/>
      <c r="W19" s="184"/>
      <c r="X19" s="179"/>
      <c r="Y19" s="179"/>
      <c r="Z19" s="179"/>
      <c r="AA19" s="179"/>
    </row>
    <row r="20" spans="1:27">
      <c r="A20" s="181">
        <f ca="1">IFERROR(__xludf.DUMMYFUNCTION("IFS(B20="""","""",ISDATE(B20)=TRUE,B20,ISDATE(B20)=FALSE,TO_DATE(DATEVALUE(regexextract(B20,""\d+/\d+/\d+""))))"),44776)</f>
        <v>44776</v>
      </c>
      <c r="B20" s="182" t="s">
        <v>10176</v>
      </c>
      <c r="C20" s="183" t="s">
        <v>6459</v>
      </c>
      <c r="D20" s="184">
        <v>2.5</v>
      </c>
      <c r="E20" s="183" t="s">
        <v>6462</v>
      </c>
      <c r="F20" s="183" t="s">
        <v>4</v>
      </c>
      <c r="G20" s="183" t="s">
        <v>602</v>
      </c>
      <c r="H20" s="184" t="s">
        <v>6463</v>
      </c>
      <c r="I20" s="184">
        <v>2</v>
      </c>
      <c r="J20" s="183" t="s">
        <v>1054</v>
      </c>
      <c r="K20" s="183"/>
      <c r="L20" s="183">
        <v>3</v>
      </c>
      <c r="M20" s="183" t="s">
        <v>784</v>
      </c>
      <c r="N20" s="187">
        <v>400000</v>
      </c>
      <c r="O20" s="183" t="s">
        <v>452</v>
      </c>
      <c r="P20" s="183" t="s">
        <v>6464</v>
      </c>
      <c r="Q20" s="184"/>
      <c r="R20" s="184" t="s">
        <v>24</v>
      </c>
      <c r="S20" s="184"/>
      <c r="T20" s="184"/>
      <c r="U20" s="184"/>
      <c r="V20" s="184"/>
      <c r="W20" s="184"/>
      <c r="X20" s="179"/>
      <c r="Y20" s="179"/>
      <c r="Z20" s="179"/>
      <c r="AA20" s="179"/>
    </row>
    <row r="21" spans="1:27">
      <c r="A21" s="181">
        <f ca="1">IFERROR(__xludf.DUMMYFUNCTION("IFS(B21="""","""",ISDATE(B21)=TRUE,B21,ISDATE(B21)=FALSE,TO_DATE(DATEVALUE(regexextract(B21,""\d+/\d+/\d+""))))"),44776)</f>
        <v>44776</v>
      </c>
      <c r="B21" s="182" t="s">
        <v>10176</v>
      </c>
      <c r="C21" s="183" t="s">
        <v>5140</v>
      </c>
      <c r="D21" s="183">
        <v>3.25</v>
      </c>
      <c r="E21" s="183" t="s">
        <v>5143</v>
      </c>
      <c r="F21" s="183" t="s">
        <v>4</v>
      </c>
      <c r="G21" s="183" t="s">
        <v>602</v>
      </c>
      <c r="H21" s="183" t="s">
        <v>10196</v>
      </c>
      <c r="I21" s="183">
        <v>3.5</v>
      </c>
      <c r="J21" s="183" t="s">
        <v>1054</v>
      </c>
      <c r="K21" s="184"/>
      <c r="L21" s="183">
        <v>3</v>
      </c>
      <c r="M21" s="183" t="s">
        <v>451</v>
      </c>
      <c r="N21" s="187">
        <v>3000000</v>
      </c>
      <c r="O21" s="183" t="s">
        <v>452</v>
      </c>
      <c r="P21" s="183" t="s">
        <v>5145</v>
      </c>
      <c r="Q21" s="184"/>
      <c r="R21" s="183" t="s">
        <v>24</v>
      </c>
      <c r="S21" s="184"/>
      <c r="T21" s="184"/>
      <c r="U21" s="184"/>
      <c r="V21" s="184"/>
      <c r="W21" s="184"/>
      <c r="X21" s="179"/>
      <c r="Y21" s="179"/>
      <c r="Z21" s="179"/>
      <c r="AA21" s="179"/>
    </row>
    <row r="22" spans="1:27">
      <c r="A22" s="181">
        <f ca="1">IFERROR(__xludf.DUMMYFUNCTION("IFS(B22="""","""",ISDATE(B22)=TRUE,B22,ISDATE(B22)=FALSE,TO_DATE(DATEVALUE(regexextract(B22,""\d+/\d+/\d+""))))"),44782)</f>
        <v>44782</v>
      </c>
      <c r="B22" s="182" t="s">
        <v>10188</v>
      </c>
      <c r="C22" s="183" t="s">
        <v>5616</v>
      </c>
      <c r="D22" s="183">
        <v>3</v>
      </c>
      <c r="E22" s="183" t="s">
        <v>5619</v>
      </c>
      <c r="F22" s="183" t="s">
        <v>4</v>
      </c>
      <c r="G22" s="183" t="s">
        <v>602</v>
      </c>
      <c r="H22" s="183" t="s">
        <v>5620</v>
      </c>
      <c r="I22" s="183">
        <v>3</v>
      </c>
      <c r="J22" s="183" t="s">
        <v>1054</v>
      </c>
      <c r="K22" s="183" t="s">
        <v>5621</v>
      </c>
      <c r="L22" s="183">
        <v>3</v>
      </c>
      <c r="M22" s="183" t="s">
        <v>784</v>
      </c>
      <c r="N22" s="185">
        <v>1500000</v>
      </c>
      <c r="O22" s="183" t="s">
        <v>465</v>
      </c>
      <c r="P22" s="183" t="s">
        <v>5622</v>
      </c>
      <c r="Q22" s="183" t="s">
        <v>5623</v>
      </c>
      <c r="R22" s="183" t="s">
        <v>24</v>
      </c>
      <c r="S22" s="183"/>
      <c r="T22" s="184"/>
      <c r="U22" s="184"/>
      <c r="V22" s="184"/>
      <c r="W22" s="184"/>
      <c r="X22" s="179"/>
      <c r="Y22" s="179"/>
      <c r="Z22" s="179"/>
      <c r="AA22" s="179"/>
    </row>
    <row r="23" spans="1:27">
      <c r="A23" s="181">
        <f ca="1">IFERROR(__xludf.DUMMYFUNCTION("IFS(B23="""","""",ISDATE(B23)=TRUE,B23,ISDATE(B23)=FALSE,TO_DATE(DATEVALUE(regexextract(B23,""\d+/\d+/\d+""))))"),44776)</f>
        <v>44776</v>
      </c>
      <c r="B23" s="182" t="s">
        <v>10176</v>
      </c>
      <c r="C23" s="183" t="s">
        <v>5565</v>
      </c>
      <c r="D23" s="183">
        <v>3</v>
      </c>
      <c r="E23" s="183" t="s">
        <v>10197</v>
      </c>
      <c r="F23" s="183" t="s">
        <v>4</v>
      </c>
      <c r="G23" s="183" t="s">
        <v>602</v>
      </c>
      <c r="H23" s="183" t="s">
        <v>5569</v>
      </c>
      <c r="I23" s="183">
        <v>3</v>
      </c>
      <c r="J23" s="183" t="s">
        <v>727</v>
      </c>
      <c r="K23" s="184" t="s">
        <v>5570</v>
      </c>
      <c r="L23" s="183">
        <v>3</v>
      </c>
      <c r="M23" s="183" t="s">
        <v>478</v>
      </c>
      <c r="N23" s="185">
        <v>2000000</v>
      </c>
      <c r="O23" s="183" t="s">
        <v>452</v>
      </c>
      <c r="P23" s="183" t="s">
        <v>575</v>
      </c>
      <c r="Q23" s="183"/>
      <c r="R23" s="183" t="s">
        <v>24</v>
      </c>
      <c r="S23" s="184"/>
      <c r="T23" s="184"/>
      <c r="U23" s="184"/>
      <c r="V23" s="184"/>
      <c r="W23" s="184"/>
      <c r="X23" s="179"/>
      <c r="Y23" s="179"/>
      <c r="Z23" s="179"/>
      <c r="AA23" s="179"/>
    </row>
    <row r="24" spans="1:27">
      <c r="A24" s="181">
        <f ca="1">IFERROR(__xludf.DUMMYFUNCTION("IFS(B24="""","""",ISDATE(B24)=TRUE,B24,ISDATE(B24)=FALSE,TO_DATE(DATEVALUE(regexextract(B24,""\d+/\d+/\d+""))))"),44776)</f>
        <v>44776</v>
      </c>
      <c r="B24" s="182" t="s">
        <v>10176</v>
      </c>
      <c r="C24" s="183" t="s">
        <v>262</v>
      </c>
      <c r="D24" s="183">
        <v>4</v>
      </c>
      <c r="E24" s="183" t="s">
        <v>1525</v>
      </c>
      <c r="F24" s="183" t="s">
        <v>4</v>
      </c>
      <c r="G24" s="183" t="s">
        <v>727</v>
      </c>
      <c r="H24" s="183" t="s">
        <v>1526</v>
      </c>
      <c r="I24" s="183">
        <v>4</v>
      </c>
      <c r="J24" s="183" t="s">
        <v>1054</v>
      </c>
      <c r="K24" s="183" t="s">
        <v>1527</v>
      </c>
      <c r="L24" s="183">
        <v>4</v>
      </c>
      <c r="M24" s="183"/>
      <c r="N24" s="187"/>
      <c r="O24" s="183" t="s">
        <v>452</v>
      </c>
      <c r="P24" s="183" t="s">
        <v>452</v>
      </c>
      <c r="Q24" s="183"/>
      <c r="R24" s="183" t="s">
        <v>18</v>
      </c>
      <c r="S24" s="183" t="s">
        <v>1528</v>
      </c>
      <c r="T24" s="184"/>
      <c r="U24" s="184"/>
      <c r="V24" s="184"/>
      <c r="W24" s="184"/>
      <c r="X24" s="179"/>
      <c r="Y24" s="179"/>
      <c r="Z24" s="179"/>
      <c r="AA24" s="179"/>
    </row>
    <row r="25" spans="1:27">
      <c r="A25" s="181">
        <f ca="1">IFERROR(__xludf.DUMMYFUNCTION("IFS(B25="""","""",ISDATE(B25)=TRUE,B25,ISDATE(B25)=FALSE,TO_DATE(DATEVALUE(regexextract(B25,""\d+/\d+/\d+""))))"),44782)</f>
        <v>44782</v>
      </c>
      <c r="B25" s="182" t="s">
        <v>10188</v>
      </c>
      <c r="C25" s="183" t="s">
        <v>7478</v>
      </c>
      <c r="D25" s="184">
        <v>2</v>
      </c>
      <c r="E25" s="183" t="s">
        <v>7481</v>
      </c>
      <c r="F25" s="183" t="s">
        <v>4</v>
      </c>
      <c r="G25" s="183" t="s">
        <v>602</v>
      </c>
      <c r="H25" s="184"/>
      <c r="I25" s="184">
        <v>2</v>
      </c>
      <c r="J25" s="183" t="s">
        <v>1054</v>
      </c>
      <c r="K25" s="183" t="s">
        <v>7482</v>
      </c>
      <c r="L25" s="183">
        <v>2</v>
      </c>
      <c r="M25" s="183"/>
      <c r="N25" s="187"/>
      <c r="O25" s="183" t="s">
        <v>452</v>
      </c>
      <c r="P25" s="183" t="s">
        <v>3420</v>
      </c>
      <c r="Q25" s="184" t="s">
        <v>7483</v>
      </c>
      <c r="R25" s="184" t="s">
        <v>24</v>
      </c>
      <c r="S25" s="184"/>
      <c r="T25" s="184"/>
      <c r="U25" s="184"/>
      <c r="V25" s="184"/>
      <c r="W25" s="184"/>
      <c r="X25" s="179"/>
      <c r="Y25" s="179"/>
      <c r="Z25" s="179"/>
      <c r="AA25" s="179"/>
    </row>
    <row r="26" spans="1:27">
      <c r="A26" s="181">
        <f ca="1">IFERROR(__xludf.DUMMYFUNCTION("IFS(B26="""","""",ISDATE(B26)=TRUE,B26,ISDATE(B26)=FALSE,TO_DATE(DATEVALUE(regexextract(B26,""\d+/\d+/\d+""))))"),44796)</f>
        <v>44796</v>
      </c>
      <c r="B26" s="182" t="s">
        <v>529</v>
      </c>
      <c r="C26" s="183" t="s">
        <v>5458</v>
      </c>
      <c r="D26" s="183">
        <v>3</v>
      </c>
      <c r="E26" s="183" t="s">
        <v>5461</v>
      </c>
      <c r="F26" s="183" t="s">
        <v>4</v>
      </c>
      <c r="G26" s="183" t="s">
        <v>1045</v>
      </c>
      <c r="H26" s="183" t="s">
        <v>5462</v>
      </c>
      <c r="I26" s="183">
        <v>3</v>
      </c>
      <c r="J26" s="183" t="s">
        <v>604</v>
      </c>
      <c r="K26" s="183" t="s">
        <v>10198</v>
      </c>
      <c r="L26" s="183">
        <v>3</v>
      </c>
      <c r="M26" s="183" t="s">
        <v>784</v>
      </c>
      <c r="N26" s="187">
        <v>2000000</v>
      </c>
      <c r="O26" s="183" t="s">
        <v>452</v>
      </c>
      <c r="P26" s="183" t="s">
        <v>5464</v>
      </c>
      <c r="Q26" s="184" t="s">
        <v>5465</v>
      </c>
      <c r="R26" s="183" t="s">
        <v>24</v>
      </c>
      <c r="S26" s="184"/>
      <c r="T26" s="184"/>
      <c r="U26" s="184"/>
      <c r="V26" s="184"/>
      <c r="W26" s="184"/>
      <c r="X26" s="179"/>
      <c r="Y26" s="179"/>
      <c r="Z26" s="179"/>
      <c r="AA26" s="179"/>
    </row>
    <row r="27" spans="1:27">
      <c r="A27" s="181">
        <f ca="1">IFERROR(__xludf.DUMMYFUNCTION("IFS(B27="""","""",ISDATE(B27)=TRUE,B27,ISDATE(B27)=FALSE,TO_DATE(DATEVALUE(regexextract(B27,""\d+/\d+/\d+""))))"),44796)</f>
        <v>44796</v>
      </c>
      <c r="B27" s="182" t="s">
        <v>529</v>
      </c>
      <c r="C27" s="183" t="s">
        <v>252</v>
      </c>
      <c r="D27" s="183">
        <v>4</v>
      </c>
      <c r="E27" s="183" t="s">
        <v>1464</v>
      </c>
      <c r="F27" s="183" t="s">
        <v>4</v>
      </c>
      <c r="G27" s="183" t="s">
        <v>1045</v>
      </c>
      <c r="H27" s="183" t="s">
        <v>1465</v>
      </c>
      <c r="I27" s="183">
        <v>4</v>
      </c>
      <c r="J27" s="183" t="s">
        <v>1457</v>
      </c>
      <c r="K27" s="183" t="s">
        <v>1466</v>
      </c>
      <c r="L27" s="183">
        <v>4</v>
      </c>
      <c r="M27" s="183"/>
      <c r="N27" s="187"/>
      <c r="O27" s="183" t="s">
        <v>454</v>
      </c>
      <c r="P27" s="183" t="s">
        <v>1119</v>
      </c>
      <c r="Q27" s="183"/>
      <c r="R27" s="183" t="s">
        <v>18</v>
      </c>
      <c r="S27" s="183"/>
      <c r="T27" s="184"/>
      <c r="U27" s="184"/>
      <c r="V27" s="184"/>
      <c r="W27" s="184"/>
      <c r="X27" s="179"/>
      <c r="Y27" s="179"/>
      <c r="Z27" s="179"/>
      <c r="AA27" s="179"/>
    </row>
    <row r="28" spans="1:27">
      <c r="A28" s="181">
        <f ca="1">IFERROR(__xludf.DUMMYFUNCTION("IFS(B28="""","""",ISDATE(B28)=TRUE,B28,ISDATE(B28)=FALSE,TO_DATE(DATEVALUE(regexextract(B28,""\d+/\d+/\d+""))))"),44776)</f>
        <v>44776</v>
      </c>
      <c r="B28" s="182" t="s">
        <v>10176</v>
      </c>
      <c r="C28" s="183" t="s">
        <v>385</v>
      </c>
      <c r="D28" s="183">
        <v>4</v>
      </c>
      <c r="E28" s="183" t="s">
        <v>9919</v>
      </c>
      <c r="F28" s="183" t="s">
        <v>3</v>
      </c>
      <c r="G28" s="183" t="s">
        <v>460</v>
      </c>
      <c r="H28" s="184" t="s">
        <v>9920</v>
      </c>
      <c r="I28" s="183">
        <v>4</v>
      </c>
      <c r="J28" s="183" t="s">
        <v>941</v>
      </c>
      <c r="K28" s="183" t="s">
        <v>9921</v>
      </c>
      <c r="L28" s="183">
        <v>4</v>
      </c>
      <c r="M28" s="183" t="s">
        <v>784</v>
      </c>
      <c r="N28" s="185">
        <v>2000000</v>
      </c>
      <c r="O28" s="183" t="s">
        <v>452</v>
      </c>
      <c r="P28" s="183" t="s">
        <v>9922</v>
      </c>
      <c r="Q28" s="184"/>
      <c r="R28" s="183" t="s">
        <v>18</v>
      </c>
      <c r="S28" s="184" t="s">
        <v>9923</v>
      </c>
      <c r="T28" s="184"/>
      <c r="U28" s="184"/>
      <c r="V28" s="184"/>
      <c r="W28" s="184"/>
      <c r="X28" s="179"/>
      <c r="Y28" s="179"/>
      <c r="Z28" s="179"/>
      <c r="AA28" s="179"/>
    </row>
    <row r="29" spans="1:27">
      <c r="A29" s="181">
        <f ca="1">IFERROR(__xludf.DUMMYFUNCTION("IFS(B29="""","""",ISDATE(B29)=TRUE,B29,ISDATE(B29)=FALSE,TO_DATE(DATEVALUE(regexextract(B29,""\d+/\d+/\d+""))))"),44784)</f>
        <v>44784</v>
      </c>
      <c r="B29" s="182" t="s">
        <v>10173</v>
      </c>
      <c r="C29" s="183" t="s">
        <v>7203</v>
      </c>
      <c r="D29" s="183">
        <v>2</v>
      </c>
      <c r="E29" s="183" t="s">
        <v>7206</v>
      </c>
      <c r="F29" s="183" t="s">
        <v>4</v>
      </c>
      <c r="G29" s="183" t="s">
        <v>602</v>
      </c>
      <c r="H29" s="183" t="s">
        <v>7207</v>
      </c>
      <c r="I29" s="183">
        <v>2</v>
      </c>
      <c r="J29" s="183" t="s">
        <v>1054</v>
      </c>
      <c r="K29" s="183" t="s">
        <v>7208</v>
      </c>
      <c r="L29" s="183">
        <v>2</v>
      </c>
      <c r="M29" s="184"/>
      <c r="N29" s="190">
        <v>1000000</v>
      </c>
      <c r="O29" s="183" t="s">
        <v>452</v>
      </c>
      <c r="P29" s="183" t="s">
        <v>452</v>
      </c>
      <c r="Q29" s="184"/>
      <c r="R29" s="183" t="s">
        <v>24</v>
      </c>
      <c r="S29" s="184"/>
      <c r="T29" s="184"/>
      <c r="U29" s="184"/>
      <c r="V29" s="184"/>
      <c r="W29" s="184"/>
      <c r="X29" s="179"/>
      <c r="Y29" s="179"/>
      <c r="Z29" s="179"/>
      <c r="AA29" s="179"/>
    </row>
    <row r="30" spans="1:27">
      <c r="A30" s="181">
        <f ca="1">IFERROR(__xludf.DUMMYFUNCTION("IFS(B30="""","""",ISDATE(B30)=TRUE,B30,ISDATE(B30)=FALSE,TO_DATE(DATEVALUE(regexextract(B30,""\d+/\d+/\d+""))))"),44776)</f>
        <v>44776</v>
      </c>
      <c r="B30" s="182" t="s">
        <v>10176</v>
      </c>
      <c r="C30" s="183" t="s">
        <v>3424</v>
      </c>
      <c r="D30" s="184">
        <v>2.5</v>
      </c>
      <c r="E30" s="183" t="s">
        <v>3427</v>
      </c>
      <c r="F30" s="183" t="s">
        <v>5</v>
      </c>
      <c r="G30" s="183" t="s">
        <v>447</v>
      </c>
      <c r="H30" s="184" t="s">
        <v>3428</v>
      </c>
      <c r="I30" s="184">
        <v>3</v>
      </c>
      <c r="J30" s="183" t="s">
        <v>449</v>
      </c>
      <c r="K30" s="183" t="s">
        <v>10199</v>
      </c>
      <c r="L30" s="183">
        <v>2</v>
      </c>
      <c r="M30" s="183"/>
      <c r="N30" s="187"/>
      <c r="O30" s="183" t="s">
        <v>452</v>
      </c>
      <c r="P30" s="183" t="s">
        <v>452</v>
      </c>
      <c r="Q30" s="183"/>
      <c r="R30" s="184" t="s">
        <v>24</v>
      </c>
      <c r="S30" s="184"/>
      <c r="T30" s="184"/>
      <c r="U30" s="184"/>
      <c r="V30" s="184"/>
      <c r="W30" s="184"/>
      <c r="X30" s="179"/>
      <c r="Y30" s="179"/>
      <c r="Z30" s="179"/>
      <c r="AA30" s="179"/>
    </row>
    <row r="31" spans="1:27">
      <c r="A31" s="181">
        <f ca="1">IFERROR(__xludf.DUMMYFUNCTION("IFS(B31="""","""",ISDATE(B31)=TRUE,B31,ISDATE(B31)=FALSE,TO_DATE(DATEVALUE(regexextract(B31,""\d+/\d+/\d+""))))"),44784)</f>
        <v>44784</v>
      </c>
      <c r="B31" s="182" t="s">
        <v>10173</v>
      </c>
      <c r="C31" s="183" t="s">
        <v>118</v>
      </c>
      <c r="D31" s="183">
        <v>3.75</v>
      </c>
      <c r="E31" s="183" t="s">
        <v>10200</v>
      </c>
      <c r="F31" s="183" t="s">
        <v>5</v>
      </c>
      <c r="G31" s="183" t="s">
        <v>460</v>
      </c>
      <c r="H31" s="183" t="s">
        <v>847</v>
      </c>
      <c r="I31" s="183">
        <v>4</v>
      </c>
      <c r="J31" s="183" t="s">
        <v>488</v>
      </c>
      <c r="K31" s="183" t="s">
        <v>848</v>
      </c>
      <c r="L31" s="183">
        <v>3.5</v>
      </c>
      <c r="M31" s="183" t="s">
        <v>451</v>
      </c>
      <c r="N31" s="187">
        <v>3000000</v>
      </c>
      <c r="O31" s="183" t="s">
        <v>452</v>
      </c>
      <c r="P31" s="183" t="s">
        <v>10201</v>
      </c>
      <c r="Q31" s="184"/>
      <c r="R31" s="183" t="s">
        <v>20</v>
      </c>
      <c r="S31" s="184" t="s">
        <v>850</v>
      </c>
      <c r="T31" s="184"/>
      <c r="U31" s="184"/>
      <c r="V31" s="184"/>
      <c r="W31" s="184"/>
      <c r="X31" s="179"/>
      <c r="Y31" s="179"/>
      <c r="Z31" s="179"/>
      <c r="AA31" s="179"/>
    </row>
    <row r="32" spans="1:27">
      <c r="A32" s="181">
        <f ca="1">IFERROR(__xludf.DUMMYFUNCTION("IFS(B32="""","""",ISDATE(B32)=TRUE,B32,ISDATE(B32)=FALSE,TO_DATE(DATEVALUE(regexextract(B32,""\d+/\d+/\d+""))))"),44776)</f>
        <v>44776</v>
      </c>
      <c r="B32" s="182" t="s">
        <v>10176</v>
      </c>
      <c r="C32" s="183" t="s">
        <v>2635</v>
      </c>
      <c r="D32" s="183">
        <v>2.75</v>
      </c>
      <c r="E32" s="183" t="s">
        <v>2638</v>
      </c>
      <c r="F32" s="183" t="s">
        <v>5</v>
      </c>
      <c r="G32" s="183" t="s">
        <v>447</v>
      </c>
      <c r="H32" s="183" t="s">
        <v>2639</v>
      </c>
      <c r="I32" s="183">
        <v>2.5</v>
      </c>
      <c r="J32" s="183" t="s">
        <v>622</v>
      </c>
      <c r="K32" s="183" t="s">
        <v>10202</v>
      </c>
      <c r="L32" s="183">
        <v>3</v>
      </c>
      <c r="M32" s="183"/>
      <c r="N32" s="185"/>
      <c r="O32" s="183" t="s">
        <v>452</v>
      </c>
      <c r="P32" s="183" t="s">
        <v>10203</v>
      </c>
      <c r="Q32" s="184"/>
      <c r="R32" s="183" t="s">
        <v>24</v>
      </c>
      <c r="S32" s="183"/>
      <c r="T32" s="184"/>
      <c r="U32" s="184"/>
      <c r="V32" s="184"/>
      <c r="W32" s="184"/>
      <c r="X32" s="179"/>
      <c r="Y32" s="179"/>
      <c r="Z32" s="179"/>
      <c r="AA32" s="179"/>
    </row>
    <row r="33" spans="1:27">
      <c r="A33" s="181">
        <f ca="1">IFERROR(__xludf.DUMMYFUNCTION("IFS(B33="""","""",ISDATE(B33)=TRUE,B33,ISDATE(B33)=FALSE,TO_DATE(DATEVALUE(regexextract(B33,""\d+/\d+/\d+""))))"),44789)</f>
        <v>44789</v>
      </c>
      <c r="B33" s="182" t="s">
        <v>6450</v>
      </c>
      <c r="C33" s="183" t="s">
        <v>9584</v>
      </c>
      <c r="D33" s="183">
        <v>3.25</v>
      </c>
      <c r="E33" s="183" t="s">
        <v>9587</v>
      </c>
      <c r="F33" s="183" t="s">
        <v>5</v>
      </c>
      <c r="G33" s="183" t="s">
        <v>460</v>
      </c>
      <c r="H33" s="183" t="s">
        <v>9588</v>
      </c>
      <c r="I33" s="183">
        <v>3.5</v>
      </c>
      <c r="J33" s="183" t="s">
        <v>488</v>
      </c>
      <c r="K33" s="183" t="s">
        <v>10204</v>
      </c>
      <c r="L33" s="183">
        <v>3</v>
      </c>
      <c r="M33" s="183"/>
      <c r="N33" s="185"/>
      <c r="O33" s="183" t="s">
        <v>454</v>
      </c>
      <c r="P33" s="183" t="s">
        <v>9590</v>
      </c>
      <c r="Q33" s="184"/>
      <c r="R33" s="183" t="s">
        <v>23</v>
      </c>
      <c r="S33" s="184" t="s">
        <v>9591</v>
      </c>
      <c r="T33" s="184"/>
      <c r="U33" s="184"/>
      <c r="V33" s="184"/>
      <c r="W33" s="184"/>
      <c r="X33" s="179"/>
      <c r="Y33" s="179"/>
      <c r="Z33" s="179"/>
      <c r="AA33" s="179"/>
    </row>
    <row r="34" spans="1:27">
      <c r="A34" s="181">
        <f ca="1">IFERROR(__xludf.DUMMYFUNCTION("IFS(B34="""","""",ISDATE(B34)=TRUE,B34,ISDATE(B34)=FALSE,TO_DATE(DATEVALUE(regexextract(B34,""\d+/\d+/\d+""))))"),44789)</f>
        <v>44789</v>
      </c>
      <c r="B34" s="182" t="s">
        <v>6450</v>
      </c>
      <c r="C34" s="183" t="s">
        <v>10205</v>
      </c>
      <c r="D34" s="183">
        <v>2.25</v>
      </c>
      <c r="E34" s="183" t="s">
        <v>6650</v>
      </c>
      <c r="F34" s="183" t="s">
        <v>4</v>
      </c>
      <c r="G34" s="183" t="s">
        <v>602</v>
      </c>
      <c r="H34" s="183" t="s">
        <v>6651</v>
      </c>
      <c r="I34" s="183">
        <v>2</v>
      </c>
      <c r="J34" s="183" t="s">
        <v>727</v>
      </c>
      <c r="K34" s="183" t="s">
        <v>6652</v>
      </c>
      <c r="L34" s="183">
        <v>2.5</v>
      </c>
      <c r="M34" s="184" t="s">
        <v>451</v>
      </c>
      <c r="N34" s="188">
        <v>1500000</v>
      </c>
      <c r="O34" s="183" t="s">
        <v>452</v>
      </c>
      <c r="P34" s="183" t="s">
        <v>6653</v>
      </c>
      <c r="Q34" s="183"/>
      <c r="R34" s="183" t="s">
        <v>24</v>
      </c>
      <c r="S34" s="184"/>
      <c r="T34" s="184"/>
      <c r="U34" s="184"/>
      <c r="V34" s="184"/>
      <c r="W34" s="184"/>
      <c r="X34" s="179"/>
      <c r="Y34" s="179"/>
      <c r="Z34" s="179"/>
      <c r="AA34" s="179"/>
    </row>
    <row r="35" spans="1:27">
      <c r="A35" s="181">
        <f ca="1">IFERROR(__xludf.DUMMYFUNCTION("IFS(B35="""","""",ISDATE(B35)=TRUE,B35,ISDATE(B35)=FALSE,TO_DATE(DATEVALUE(regexextract(B35,""\d+/\d+/\d+""))))"),44776)</f>
        <v>44776</v>
      </c>
      <c r="B35" s="182" t="s">
        <v>10176</v>
      </c>
      <c r="C35" s="183" t="s">
        <v>2982</v>
      </c>
      <c r="D35" s="183">
        <v>1.25</v>
      </c>
      <c r="E35" s="183" t="s">
        <v>2985</v>
      </c>
      <c r="F35" s="183" t="s">
        <v>5</v>
      </c>
      <c r="G35" s="183" t="s">
        <v>447</v>
      </c>
      <c r="H35" s="183" t="s">
        <v>2986</v>
      </c>
      <c r="I35" s="183">
        <v>2.5</v>
      </c>
      <c r="J35" s="183" t="s">
        <v>622</v>
      </c>
      <c r="K35" s="183" t="s">
        <v>2987</v>
      </c>
      <c r="L35" s="183">
        <v>0</v>
      </c>
      <c r="M35" s="184"/>
      <c r="N35" s="188"/>
      <c r="O35" s="183" t="s">
        <v>454</v>
      </c>
      <c r="P35" s="183" t="s">
        <v>452</v>
      </c>
      <c r="Q35" s="184"/>
      <c r="R35" s="183" t="s">
        <v>24</v>
      </c>
      <c r="S35" s="184"/>
      <c r="T35" s="184"/>
      <c r="U35" s="184"/>
      <c r="V35" s="184"/>
      <c r="W35" s="184"/>
      <c r="X35" s="179"/>
      <c r="Y35" s="179"/>
      <c r="Z35" s="179"/>
      <c r="AA35" s="179"/>
    </row>
    <row r="36" spans="1:27">
      <c r="A36" s="181">
        <f ca="1">IFERROR(__xludf.DUMMYFUNCTION("IFS(B36="""","""",ISDATE(B36)=TRUE,B36,ISDATE(B36)=FALSE,TO_DATE(DATEVALUE(regexextract(B36,""\d+/\d+/\d+""))))"),44797)</f>
        <v>44797</v>
      </c>
      <c r="B36" s="182" t="s">
        <v>907</v>
      </c>
      <c r="C36" s="183" t="s">
        <v>257</v>
      </c>
      <c r="D36" s="183">
        <v>4.25</v>
      </c>
      <c r="E36" s="183" t="s">
        <v>1482</v>
      </c>
      <c r="F36" s="183" t="s">
        <v>4</v>
      </c>
      <c r="G36" s="183" t="s">
        <v>602</v>
      </c>
      <c r="H36" s="183" t="s">
        <v>1483</v>
      </c>
      <c r="I36" s="183">
        <v>4</v>
      </c>
      <c r="J36" s="183" t="s">
        <v>1350</v>
      </c>
      <c r="K36" s="183" t="s">
        <v>10206</v>
      </c>
      <c r="L36" s="183">
        <v>4.5</v>
      </c>
      <c r="M36" s="183" t="s">
        <v>784</v>
      </c>
      <c r="N36" s="185">
        <v>682000</v>
      </c>
      <c r="O36" s="183" t="s">
        <v>465</v>
      </c>
      <c r="P36" s="183" t="s">
        <v>1485</v>
      </c>
      <c r="Q36" s="184" t="s">
        <v>1486</v>
      </c>
      <c r="R36" s="183" t="s">
        <v>18</v>
      </c>
      <c r="S36" s="184" t="s">
        <v>1487</v>
      </c>
      <c r="T36" s="184"/>
      <c r="U36" s="184"/>
      <c r="V36" s="184"/>
      <c r="W36" s="184"/>
      <c r="X36" s="179"/>
      <c r="Y36" s="179"/>
      <c r="Z36" s="179"/>
      <c r="AA36" s="179"/>
    </row>
    <row r="37" spans="1:27">
      <c r="A37" s="181">
        <f ca="1">IFERROR(__xludf.DUMMYFUNCTION("IFS(B37="""","""",ISDATE(B37)=TRUE,B37,ISDATE(B37)=FALSE,TO_DATE(DATEVALUE(regexextract(B37,""\d+/\d+/\d+""))))"),44776)</f>
        <v>44776</v>
      </c>
      <c r="B37" s="182" t="s">
        <v>10176</v>
      </c>
      <c r="C37" s="183" t="s">
        <v>73</v>
      </c>
      <c r="D37" s="183">
        <v>4</v>
      </c>
      <c r="E37" s="183" t="s">
        <v>9466</v>
      </c>
      <c r="F37" s="183" t="s">
        <v>5</v>
      </c>
      <c r="G37" s="183" t="s">
        <v>447</v>
      </c>
      <c r="H37" s="183"/>
      <c r="I37" s="183">
        <v>4</v>
      </c>
      <c r="J37" s="183" t="s">
        <v>543</v>
      </c>
      <c r="K37" s="183" t="s">
        <v>10207</v>
      </c>
      <c r="L37" s="183">
        <v>4</v>
      </c>
      <c r="M37" s="183"/>
      <c r="N37" s="187"/>
      <c r="O37" s="183" t="s">
        <v>452</v>
      </c>
      <c r="P37" s="183" t="s">
        <v>452</v>
      </c>
      <c r="Q37" s="184"/>
      <c r="R37" s="183" t="s">
        <v>20</v>
      </c>
      <c r="S37" s="184" t="s">
        <v>9468</v>
      </c>
      <c r="T37" s="184"/>
      <c r="U37" s="184"/>
      <c r="V37" s="184"/>
      <c r="W37" s="184"/>
      <c r="X37" s="179"/>
      <c r="Y37" s="179"/>
      <c r="Z37" s="179"/>
      <c r="AA37" s="179"/>
    </row>
    <row r="38" spans="1:27">
      <c r="A38" s="181">
        <f ca="1">IFERROR(__xludf.DUMMYFUNCTION("IFS(B38="""","""",ISDATE(B38)=TRUE,B38,ISDATE(B38)=FALSE,TO_DATE(DATEVALUE(regexextract(B38,""\d+/\d+/\d+""))))"),44782)</f>
        <v>44782</v>
      </c>
      <c r="B38" s="189" t="s">
        <v>10188</v>
      </c>
      <c r="C38" s="183" t="s">
        <v>285</v>
      </c>
      <c r="D38" s="183">
        <v>5</v>
      </c>
      <c r="E38" s="183" t="s">
        <v>1626</v>
      </c>
      <c r="F38" s="183" t="s">
        <v>3</v>
      </c>
      <c r="G38" s="183" t="s">
        <v>460</v>
      </c>
      <c r="H38" s="183" t="s">
        <v>10208</v>
      </c>
      <c r="I38" s="183">
        <v>5</v>
      </c>
      <c r="J38" s="183" t="s">
        <v>488</v>
      </c>
      <c r="K38" s="183"/>
      <c r="L38" s="183">
        <v>5</v>
      </c>
      <c r="M38" s="184"/>
      <c r="N38" s="190">
        <v>15000000</v>
      </c>
      <c r="O38" s="183" t="s">
        <v>452</v>
      </c>
      <c r="P38" s="183" t="s">
        <v>575</v>
      </c>
      <c r="Q38" s="184"/>
      <c r="R38" s="183" t="s">
        <v>18</v>
      </c>
      <c r="S38" s="184"/>
      <c r="T38" s="184"/>
      <c r="U38" s="184"/>
      <c r="V38" s="184"/>
      <c r="W38" s="184"/>
      <c r="X38" s="179"/>
      <c r="Y38" s="179"/>
      <c r="Z38" s="179"/>
      <c r="AA38" s="179"/>
    </row>
    <row r="39" spans="1:27">
      <c r="A39" s="181">
        <f ca="1">IFERROR(__xludf.DUMMYFUNCTION("IFS(B39="""","""",ISDATE(B39)=TRUE,B39,ISDATE(B39)=FALSE,TO_DATE(DATEVALUE(regexextract(B39,""\d+/\d+/\d+""))))"),44776)</f>
        <v>44776</v>
      </c>
      <c r="B39" s="182" t="s">
        <v>10176</v>
      </c>
      <c r="C39" s="183" t="s">
        <v>394</v>
      </c>
      <c r="D39" s="183">
        <v>4</v>
      </c>
      <c r="E39" s="183" t="s">
        <v>9947</v>
      </c>
      <c r="F39" s="183" t="s">
        <v>3</v>
      </c>
      <c r="G39" s="183" t="s">
        <v>460</v>
      </c>
      <c r="H39" s="183" t="s">
        <v>9948</v>
      </c>
      <c r="I39" s="183">
        <v>4</v>
      </c>
      <c r="J39" s="183" t="s">
        <v>941</v>
      </c>
      <c r="K39" s="183"/>
      <c r="L39" s="183">
        <v>4</v>
      </c>
      <c r="M39" s="184" t="s">
        <v>478</v>
      </c>
      <c r="N39" s="188" t="s">
        <v>9949</v>
      </c>
      <c r="O39" s="183" t="s">
        <v>454</v>
      </c>
      <c r="P39" s="183" t="s">
        <v>9950</v>
      </c>
      <c r="Q39" s="184"/>
      <c r="R39" s="183" t="s">
        <v>18</v>
      </c>
      <c r="S39" s="184"/>
      <c r="T39" s="184"/>
      <c r="U39" s="184"/>
      <c r="V39" s="184"/>
      <c r="W39" s="184"/>
      <c r="X39" s="179"/>
      <c r="Y39" s="179"/>
      <c r="Z39" s="179"/>
      <c r="AA39" s="179"/>
    </row>
    <row r="40" spans="1:27">
      <c r="A40" s="181">
        <f ca="1">IFERROR(__xludf.DUMMYFUNCTION("IFS(B40="""","""",ISDATE(B40)=TRUE,B40,ISDATE(B40)=FALSE,TO_DATE(DATEVALUE(regexextract(B40,""\d+/\d+/\d+""))))"),44776)</f>
        <v>44776</v>
      </c>
      <c r="B40" s="182" t="s">
        <v>10176</v>
      </c>
      <c r="C40" s="183" t="s">
        <v>287</v>
      </c>
      <c r="D40" s="183">
        <v>5</v>
      </c>
      <c r="E40" s="183" t="s">
        <v>1640</v>
      </c>
      <c r="F40" s="183" t="s">
        <v>3</v>
      </c>
      <c r="G40" s="183" t="s">
        <v>460</v>
      </c>
      <c r="H40" s="183"/>
      <c r="I40" s="183">
        <v>5</v>
      </c>
      <c r="J40" s="183" t="s">
        <v>488</v>
      </c>
      <c r="K40" s="183"/>
      <c r="L40" s="183">
        <v>5</v>
      </c>
      <c r="M40" s="184" t="s">
        <v>478</v>
      </c>
      <c r="N40" s="188">
        <v>16000000</v>
      </c>
      <c r="O40" s="183" t="s">
        <v>452</v>
      </c>
      <c r="P40" s="183" t="s">
        <v>575</v>
      </c>
      <c r="Q40" s="184"/>
      <c r="R40" s="183" t="s">
        <v>18</v>
      </c>
      <c r="S40" s="183" t="s">
        <v>1641</v>
      </c>
      <c r="T40" s="184"/>
      <c r="U40" s="184"/>
      <c r="V40" s="184"/>
      <c r="W40" s="184"/>
      <c r="X40" s="179"/>
      <c r="Y40" s="179"/>
      <c r="Z40" s="179"/>
      <c r="AA40" s="179"/>
    </row>
    <row r="41" spans="1:27">
      <c r="A41" s="181">
        <f ca="1">IFERROR(__xludf.DUMMYFUNCTION("IFS(B41="""","""",ISDATE(B41)=TRUE,B41,ISDATE(B41)=FALSE,TO_DATE(DATEVALUE(regexextract(B41,""\d+/\d+/\d+""))))"),44776)</f>
        <v>44776</v>
      </c>
      <c r="B41" s="182" t="s">
        <v>10176</v>
      </c>
      <c r="C41" s="183" t="s">
        <v>2118</v>
      </c>
      <c r="D41" s="183">
        <v>2.5</v>
      </c>
      <c r="E41" s="183" t="s">
        <v>2121</v>
      </c>
      <c r="F41" s="183" t="s">
        <v>5</v>
      </c>
      <c r="G41" s="183" t="s">
        <v>447</v>
      </c>
      <c r="H41" s="183" t="s">
        <v>2122</v>
      </c>
      <c r="I41" s="183">
        <v>2.5</v>
      </c>
      <c r="J41" s="183" t="s">
        <v>543</v>
      </c>
      <c r="K41" s="183" t="s">
        <v>2123</v>
      </c>
      <c r="L41" s="183">
        <v>2.5</v>
      </c>
      <c r="M41" s="184" t="s">
        <v>451</v>
      </c>
      <c r="N41" s="187">
        <v>400000</v>
      </c>
      <c r="O41" s="183" t="s">
        <v>452</v>
      </c>
      <c r="P41" s="183" t="s">
        <v>10209</v>
      </c>
      <c r="Q41" s="183"/>
      <c r="R41" s="183" t="s">
        <v>24</v>
      </c>
      <c r="S41" s="183"/>
      <c r="T41" s="184"/>
      <c r="U41" s="184"/>
      <c r="V41" s="184"/>
      <c r="W41" s="184"/>
      <c r="X41" s="179"/>
      <c r="Y41" s="179"/>
      <c r="Z41" s="179"/>
      <c r="AA41" s="179"/>
    </row>
    <row r="42" spans="1:27">
      <c r="A42" s="181">
        <f ca="1">IFERROR(__xludf.DUMMYFUNCTION("IFS(B42="""","""",ISDATE(B42)=TRUE,B42,ISDATE(B42)=FALSE,TO_DATE(DATEVALUE(regexextract(B42,""\d+/\d+/\d+""))))"),44782)</f>
        <v>44782</v>
      </c>
      <c r="B42" s="189" t="s">
        <v>10188</v>
      </c>
      <c r="C42" s="183" t="s">
        <v>397</v>
      </c>
      <c r="D42" s="183">
        <v>4</v>
      </c>
      <c r="E42" s="183" t="s">
        <v>9955</v>
      </c>
      <c r="F42" s="183" t="s">
        <v>3</v>
      </c>
      <c r="G42" s="183" t="s">
        <v>460</v>
      </c>
      <c r="H42" s="183" t="s">
        <v>9956</v>
      </c>
      <c r="I42" s="183">
        <v>4</v>
      </c>
      <c r="J42" s="183" t="s">
        <v>462</v>
      </c>
      <c r="K42" s="183" t="s">
        <v>9957</v>
      </c>
      <c r="L42" s="183">
        <v>4</v>
      </c>
      <c r="M42" s="183" t="s">
        <v>451</v>
      </c>
      <c r="N42" s="187">
        <v>10000000</v>
      </c>
      <c r="O42" s="183" t="s">
        <v>452</v>
      </c>
      <c r="P42" s="183" t="s">
        <v>10210</v>
      </c>
      <c r="Q42" s="183"/>
      <c r="R42" s="183" t="s">
        <v>18</v>
      </c>
      <c r="S42" s="183"/>
      <c r="T42" s="184"/>
      <c r="U42" s="184"/>
      <c r="V42" s="184"/>
      <c r="W42" s="184"/>
      <c r="X42" s="179"/>
      <c r="Y42" s="179"/>
      <c r="Z42" s="179"/>
      <c r="AA42" s="179"/>
    </row>
    <row r="43" spans="1:27">
      <c r="A43" s="181">
        <f ca="1">IFERROR(__xludf.DUMMYFUNCTION("IFS(B43="""","""",ISDATE(B43)=TRUE,B43,ISDATE(B43)=FALSE,TO_DATE(DATEVALUE(regexextract(B43,""\d+/\d+/\d+""))))"),44797)</f>
        <v>44797</v>
      </c>
      <c r="B43" s="182" t="s">
        <v>907</v>
      </c>
      <c r="C43" s="183" t="s">
        <v>7347</v>
      </c>
      <c r="D43" s="183">
        <v>2</v>
      </c>
      <c r="E43" s="183" t="s">
        <v>10211</v>
      </c>
      <c r="F43" s="183" t="s">
        <v>4</v>
      </c>
      <c r="G43" s="183" t="s">
        <v>725</v>
      </c>
      <c r="H43" s="183" t="s">
        <v>10212</v>
      </c>
      <c r="I43" s="183">
        <v>1</v>
      </c>
      <c r="J43" s="183" t="s">
        <v>1281</v>
      </c>
      <c r="K43" s="183" t="s">
        <v>7352</v>
      </c>
      <c r="L43" s="183">
        <v>3</v>
      </c>
      <c r="M43" s="183" t="s">
        <v>451</v>
      </c>
      <c r="N43" s="187">
        <v>3000000</v>
      </c>
      <c r="O43" s="183" t="s">
        <v>465</v>
      </c>
      <c r="P43" s="183" t="s">
        <v>7353</v>
      </c>
      <c r="Q43" s="184"/>
      <c r="R43" s="183" t="s">
        <v>24</v>
      </c>
      <c r="S43" s="184"/>
      <c r="T43" s="184"/>
      <c r="U43" s="184"/>
      <c r="V43" s="184"/>
      <c r="W43" s="184"/>
      <c r="X43" s="179"/>
      <c r="Y43" s="179"/>
      <c r="Z43" s="179"/>
      <c r="AA43" s="179"/>
    </row>
    <row r="44" spans="1:27">
      <c r="A44" s="181">
        <f ca="1">IFERROR(__xludf.DUMMYFUNCTION("IFS(B44="""","""",ISDATE(B44)=TRUE,B44,ISDATE(B44)=FALSE,TO_DATE(DATEVALUE(regexextract(B44,""\d+/\d+/\d+""))))"),44797)</f>
        <v>44797</v>
      </c>
      <c r="B44" s="182" t="s">
        <v>907</v>
      </c>
      <c r="C44" s="183" t="s">
        <v>247</v>
      </c>
      <c r="D44" s="183">
        <v>4</v>
      </c>
      <c r="E44" s="183" t="s">
        <v>4043</v>
      </c>
      <c r="F44" s="183" t="s">
        <v>4</v>
      </c>
      <c r="G44" s="183" t="s">
        <v>725</v>
      </c>
      <c r="H44" s="183" t="s">
        <v>10213</v>
      </c>
      <c r="I44" s="183">
        <v>4</v>
      </c>
      <c r="J44" s="183" t="s">
        <v>1457</v>
      </c>
      <c r="K44" s="183" t="s">
        <v>4045</v>
      </c>
      <c r="L44" s="183">
        <v>4</v>
      </c>
      <c r="M44" s="184" t="s">
        <v>451</v>
      </c>
      <c r="N44" s="188">
        <v>1500000</v>
      </c>
      <c r="O44" s="183" t="s">
        <v>452</v>
      </c>
      <c r="P44" s="183" t="s">
        <v>4046</v>
      </c>
      <c r="Q44" s="184" t="s">
        <v>4047</v>
      </c>
      <c r="R44" s="183" t="s">
        <v>18</v>
      </c>
      <c r="S44" s="184"/>
      <c r="T44" s="184"/>
      <c r="U44" s="184"/>
      <c r="V44" s="184"/>
      <c r="W44" s="184"/>
      <c r="X44" s="179"/>
      <c r="Y44" s="179"/>
      <c r="Z44" s="179"/>
      <c r="AA44" s="179"/>
    </row>
    <row r="45" spans="1:27">
      <c r="A45" s="181">
        <f ca="1">IFERROR(__xludf.DUMMYFUNCTION("IFS(B45="""","""",ISDATE(B45)=TRUE,B45,ISDATE(B45)=FALSE,TO_DATE(DATEVALUE(regexextract(B45,""\d+/\d+/\d+""))))"),44796)</f>
        <v>44796</v>
      </c>
      <c r="B45" s="182" t="s">
        <v>529</v>
      </c>
      <c r="C45" s="183" t="s">
        <v>10214</v>
      </c>
      <c r="D45" s="183">
        <v>1.5</v>
      </c>
      <c r="E45" s="183" t="s">
        <v>8059</v>
      </c>
      <c r="F45" s="183" t="s">
        <v>4</v>
      </c>
      <c r="G45" s="183" t="s">
        <v>727</v>
      </c>
      <c r="H45" s="183" t="s">
        <v>10215</v>
      </c>
      <c r="I45" s="183">
        <v>2</v>
      </c>
      <c r="J45" s="183" t="s">
        <v>476</v>
      </c>
      <c r="K45" s="183" t="s">
        <v>8061</v>
      </c>
      <c r="L45" s="183">
        <v>1</v>
      </c>
      <c r="M45" s="183" t="s">
        <v>451</v>
      </c>
      <c r="N45" s="187">
        <v>900000</v>
      </c>
      <c r="O45" s="183" t="s">
        <v>452</v>
      </c>
      <c r="P45" s="183" t="s">
        <v>8062</v>
      </c>
      <c r="Q45" s="184" t="s">
        <v>8063</v>
      </c>
      <c r="R45" s="183" t="s">
        <v>24</v>
      </c>
      <c r="S45" s="184"/>
      <c r="T45" s="184"/>
      <c r="U45" s="184"/>
      <c r="V45" s="184"/>
      <c r="W45" s="184"/>
      <c r="X45" s="179"/>
      <c r="Y45" s="179"/>
      <c r="Z45" s="179"/>
      <c r="AA45" s="179"/>
    </row>
    <row r="46" spans="1:27">
      <c r="A46" s="181">
        <f ca="1">IFERROR(__xludf.DUMMYFUNCTION("IFS(B46="""","""",ISDATE(B46)=TRUE,B46,ISDATE(B46)=FALSE,TO_DATE(DATEVALUE(regexextract(B46,""\d+/\d+/\d+""))))"),44789)</f>
        <v>44789</v>
      </c>
      <c r="B46" s="182" t="s">
        <v>6450</v>
      </c>
      <c r="C46" s="183" t="s">
        <v>331</v>
      </c>
      <c r="D46" s="183">
        <v>5</v>
      </c>
      <c r="E46" s="183" t="s">
        <v>1849</v>
      </c>
      <c r="F46" s="183" t="s">
        <v>3</v>
      </c>
      <c r="G46" s="183" t="s">
        <v>460</v>
      </c>
      <c r="H46" s="183" t="s">
        <v>10216</v>
      </c>
      <c r="I46" s="183">
        <v>5</v>
      </c>
      <c r="J46" s="183" t="s">
        <v>462</v>
      </c>
      <c r="K46" s="183" t="s">
        <v>1851</v>
      </c>
      <c r="L46" s="183">
        <v>5</v>
      </c>
      <c r="M46" s="183" t="s">
        <v>478</v>
      </c>
      <c r="N46" s="187" t="s">
        <v>1852</v>
      </c>
      <c r="O46" s="183" t="s">
        <v>454</v>
      </c>
      <c r="P46" s="183" t="s">
        <v>1853</v>
      </c>
      <c r="Q46" s="183" t="s">
        <v>460</v>
      </c>
      <c r="R46" s="183" t="s">
        <v>18</v>
      </c>
      <c r="S46" s="183"/>
      <c r="T46" s="184"/>
      <c r="U46" s="184"/>
      <c r="V46" s="184"/>
      <c r="W46" s="184"/>
      <c r="X46" s="179"/>
      <c r="Y46" s="179"/>
      <c r="Z46" s="179"/>
      <c r="AA46" s="179"/>
    </row>
    <row r="47" spans="1:27">
      <c r="A47" s="181">
        <f ca="1">IFERROR(__xludf.DUMMYFUNCTION("IFS(B47="""","""",ISDATE(B47)=TRUE,B47,ISDATE(B47)=FALSE,TO_DATE(DATEVALUE(regexextract(B47,""\d+/\d+/\d+""))))"),44782)</f>
        <v>44782</v>
      </c>
      <c r="B47" s="182" t="s">
        <v>10188</v>
      </c>
      <c r="C47" s="183" t="s">
        <v>2473</v>
      </c>
      <c r="D47" s="184">
        <v>3.75</v>
      </c>
      <c r="E47" s="184" t="s">
        <v>2476</v>
      </c>
      <c r="F47" s="183" t="s">
        <v>5</v>
      </c>
      <c r="G47" s="183" t="s">
        <v>447</v>
      </c>
      <c r="H47" s="184" t="s">
        <v>10217</v>
      </c>
      <c r="I47" s="184">
        <v>3.5</v>
      </c>
      <c r="J47" s="183" t="s">
        <v>622</v>
      </c>
      <c r="K47" s="184" t="s">
        <v>2478</v>
      </c>
      <c r="L47" s="184">
        <v>4</v>
      </c>
      <c r="M47" s="183" t="s">
        <v>451</v>
      </c>
      <c r="N47" s="185">
        <v>5000000</v>
      </c>
      <c r="O47" s="183" t="s">
        <v>452</v>
      </c>
      <c r="P47" s="183" t="s">
        <v>452</v>
      </c>
      <c r="Q47" s="183" t="s">
        <v>447</v>
      </c>
      <c r="R47" s="184" t="s">
        <v>24</v>
      </c>
      <c r="S47" s="184" t="s">
        <v>2479</v>
      </c>
      <c r="T47" s="184"/>
      <c r="U47" s="184"/>
      <c r="V47" s="184"/>
      <c r="W47" s="184"/>
      <c r="X47" s="179"/>
      <c r="Y47" s="179"/>
      <c r="Z47" s="179"/>
      <c r="AA47" s="179"/>
    </row>
    <row r="48" spans="1:27">
      <c r="A48" s="181">
        <f ca="1">IFERROR(__xludf.DUMMYFUNCTION("IFS(B48="""","""",ISDATE(B48)=TRUE,B48,ISDATE(B48)=FALSE,TO_DATE(DATEVALUE(regexextract(B48,""\d+/\d+/\d+""))))"),44784)</f>
        <v>44784</v>
      </c>
      <c r="B48" s="182" t="s">
        <v>10173</v>
      </c>
      <c r="C48" s="183" t="s">
        <v>8950</v>
      </c>
      <c r="D48" s="183">
        <v>0</v>
      </c>
      <c r="E48" s="183" t="s">
        <v>8953</v>
      </c>
      <c r="F48" s="183" t="s">
        <v>3</v>
      </c>
      <c r="G48" s="183" t="s">
        <v>460</v>
      </c>
      <c r="H48" s="183" t="s">
        <v>8954</v>
      </c>
      <c r="I48" s="183">
        <v>0</v>
      </c>
      <c r="J48" s="183" t="s">
        <v>447</v>
      </c>
      <c r="K48" s="183"/>
      <c r="L48" s="183">
        <v>0</v>
      </c>
      <c r="M48" s="183" t="s">
        <v>451</v>
      </c>
      <c r="N48" s="185" t="s">
        <v>8955</v>
      </c>
      <c r="O48" s="183" t="s">
        <v>452</v>
      </c>
      <c r="P48" s="183" t="s">
        <v>575</v>
      </c>
      <c r="Q48" s="183"/>
      <c r="R48" s="183" t="s">
        <v>24</v>
      </c>
      <c r="S48" s="184"/>
      <c r="T48" s="184"/>
      <c r="U48" s="184"/>
      <c r="V48" s="184"/>
      <c r="W48" s="184"/>
      <c r="X48" s="179"/>
      <c r="Y48" s="179"/>
      <c r="Z48" s="179"/>
      <c r="AA48" s="179"/>
    </row>
    <row r="49" spans="1:27">
      <c r="A49" s="181">
        <f ca="1">IFERROR(__xludf.DUMMYFUNCTION("IFS(B49="""","""",ISDATE(B49)=TRUE,B49,ISDATE(B49)=FALSE,TO_DATE(DATEVALUE(regexextract(B49,""\d+/\d+/\d+""))))"),44784)</f>
        <v>44784</v>
      </c>
      <c r="B49" s="182" t="s">
        <v>10173</v>
      </c>
      <c r="C49" s="183" t="s">
        <v>5894</v>
      </c>
      <c r="D49" s="183">
        <v>2.75</v>
      </c>
      <c r="E49" s="183" t="s">
        <v>5897</v>
      </c>
      <c r="F49" s="183" t="s">
        <v>4</v>
      </c>
      <c r="G49" s="183" t="s">
        <v>727</v>
      </c>
      <c r="H49" s="183" t="s">
        <v>10218</v>
      </c>
      <c r="I49" s="183">
        <v>3</v>
      </c>
      <c r="J49" s="183" t="s">
        <v>1054</v>
      </c>
      <c r="K49" s="183" t="s">
        <v>5899</v>
      </c>
      <c r="L49" s="183">
        <v>2.5</v>
      </c>
      <c r="M49" s="183" t="s">
        <v>784</v>
      </c>
      <c r="N49" s="185">
        <v>1000000</v>
      </c>
      <c r="O49" s="183" t="s">
        <v>465</v>
      </c>
      <c r="P49" s="183" t="s">
        <v>5900</v>
      </c>
      <c r="Q49" s="183"/>
      <c r="R49" s="183" t="s">
        <v>24</v>
      </c>
      <c r="S49" s="183"/>
      <c r="T49" s="184"/>
      <c r="U49" s="184"/>
      <c r="V49" s="184"/>
      <c r="W49" s="184"/>
      <c r="X49" s="179"/>
      <c r="Y49" s="179"/>
      <c r="Z49" s="179"/>
      <c r="AA49" s="179"/>
    </row>
    <row r="50" spans="1:27">
      <c r="A50" s="181">
        <f ca="1">IFERROR(__xludf.DUMMYFUNCTION("IFS(B50="""","""",ISDATE(B50)=TRUE,B50,ISDATE(B50)=FALSE,TO_DATE(DATEVALUE(regexextract(B50,""\d+/\d+/\d+""))))"),44789)</f>
        <v>44789</v>
      </c>
      <c r="B50" s="182" t="s">
        <v>6450</v>
      </c>
      <c r="C50" s="183" t="s">
        <v>7675</v>
      </c>
      <c r="D50" s="184">
        <v>1.75</v>
      </c>
      <c r="E50" s="183" t="s">
        <v>7678</v>
      </c>
      <c r="F50" s="183" t="s">
        <v>4</v>
      </c>
      <c r="G50" s="183" t="s">
        <v>727</v>
      </c>
      <c r="H50" s="184" t="s">
        <v>10219</v>
      </c>
      <c r="I50" s="184">
        <v>2</v>
      </c>
      <c r="J50" s="183" t="s">
        <v>1045</v>
      </c>
      <c r="K50" s="183" t="s">
        <v>7680</v>
      </c>
      <c r="L50" s="183">
        <v>1.5</v>
      </c>
      <c r="M50" s="183"/>
      <c r="N50" s="183"/>
      <c r="O50" s="183" t="s">
        <v>454</v>
      </c>
      <c r="P50" s="183" t="s">
        <v>452</v>
      </c>
      <c r="Q50" s="183" t="s">
        <v>7681</v>
      </c>
      <c r="R50" s="184" t="s">
        <v>24</v>
      </c>
      <c r="S50" s="184"/>
      <c r="T50" s="184"/>
      <c r="U50" s="184"/>
      <c r="V50" s="184"/>
      <c r="W50" s="184"/>
      <c r="X50" s="179"/>
      <c r="Y50" s="179"/>
      <c r="Z50" s="179"/>
      <c r="AA50" s="179"/>
    </row>
    <row r="51" spans="1:27">
      <c r="A51" s="181">
        <f ca="1">IFERROR(__xludf.DUMMYFUNCTION("IFS(B51="""","""",ISDATE(B51)=TRUE,B51,ISDATE(B51)=FALSE,TO_DATE(DATEVALUE(regexextract(B51,""\d+/\d+/\d+""))))"),44784)</f>
        <v>44784</v>
      </c>
      <c r="B51" s="182" t="s">
        <v>10173</v>
      </c>
      <c r="C51" s="183" t="s">
        <v>6384</v>
      </c>
      <c r="D51" s="183">
        <v>2.5</v>
      </c>
      <c r="E51" s="183" t="s">
        <v>6387</v>
      </c>
      <c r="F51" s="183" t="s">
        <v>4</v>
      </c>
      <c r="G51" s="183" t="s">
        <v>602</v>
      </c>
      <c r="H51" s="183"/>
      <c r="I51" s="183">
        <v>2.5</v>
      </c>
      <c r="J51" s="183" t="s">
        <v>727</v>
      </c>
      <c r="K51" s="183"/>
      <c r="L51" s="183">
        <v>2.5</v>
      </c>
      <c r="M51" s="183"/>
      <c r="N51" s="187"/>
      <c r="O51" s="183" t="s">
        <v>465</v>
      </c>
      <c r="P51" s="183" t="s">
        <v>575</v>
      </c>
      <c r="Q51" s="184"/>
      <c r="R51" s="183" t="s">
        <v>24</v>
      </c>
      <c r="S51" s="184"/>
      <c r="T51" s="184"/>
      <c r="U51" s="184"/>
      <c r="V51" s="184"/>
      <c r="W51" s="184"/>
      <c r="X51" s="179"/>
      <c r="Y51" s="179"/>
      <c r="Z51" s="179"/>
      <c r="AA51" s="179"/>
    </row>
    <row r="52" spans="1:27">
      <c r="A52" s="181">
        <f ca="1">IFERROR(__xludf.DUMMYFUNCTION("IFS(B52="""","""",ISDATE(B52)=TRUE,B52,ISDATE(B52)=FALSE,TO_DATE(DATEVALUE(regexextract(B52,""\d+/\d+/\d+""))))"),44784)</f>
        <v>44784</v>
      </c>
      <c r="B52" s="182" t="s">
        <v>10173</v>
      </c>
      <c r="C52" s="183" t="s">
        <v>4716</v>
      </c>
      <c r="D52" s="183">
        <v>3.5</v>
      </c>
      <c r="E52" s="183" t="s">
        <v>4719</v>
      </c>
      <c r="F52" s="183" t="s">
        <v>4</v>
      </c>
      <c r="G52" s="183" t="s">
        <v>727</v>
      </c>
      <c r="H52" s="183" t="s">
        <v>10220</v>
      </c>
      <c r="I52" s="183">
        <v>3.5</v>
      </c>
      <c r="J52" s="183" t="s">
        <v>1054</v>
      </c>
      <c r="K52" s="183" t="s">
        <v>4721</v>
      </c>
      <c r="L52" s="183">
        <v>3.5</v>
      </c>
      <c r="M52" s="183"/>
      <c r="N52" s="187"/>
      <c r="O52" s="183" t="s">
        <v>452</v>
      </c>
      <c r="P52" s="183" t="s">
        <v>4722</v>
      </c>
      <c r="Q52" s="184" t="s">
        <v>4723</v>
      </c>
      <c r="R52" s="183" t="s">
        <v>24</v>
      </c>
      <c r="S52" s="184" t="s">
        <v>4724</v>
      </c>
      <c r="T52" s="184"/>
      <c r="U52" s="184"/>
      <c r="V52" s="184"/>
      <c r="W52" s="184"/>
      <c r="X52" s="179"/>
      <c r="Y52" s="179"/>
      <c r="Z52" s="179"/>
      <c r="AA52" s="179"/>
    </row>
    <row r="53" spans="1:27">
      <c r="A53" s="181">
        <f ca="1">IFERROR(__xludf.DUMMYFUNCTION("IFS(B53="""","""",ISDATE(B53)=TRUE,B53,ISDATE(B53)=FALSE,TO_DATE(DATEVALUE(regexextract(B53,""\d+/\d+/\d+""))))"),44784)</f>
        <v>44784</v>
      </c>
      <c r="B53" s="182" t="s">
        <v>10173</v>
      </c>
      <c r="C53" s="183" t="s">
        <v>8254</v>
      </c>
      <c r="D53" s="183">
        <v>1</v>
      </c>
      <c r="E53" s="183" t="s">
        <v>8257</v>
      </c>
      <c r="F53" s="183" t="s">
        <v>4</v>
      </c>
      <c r="G53" s="183" t="s">
        <v>602</v>
      </c>
      <c r="H53" s="183" t="s">
        <v>8258</v>
      </c>
      <c r="I53" s="183">
        <v>1</v>
      </c>
      <c r="J53" s="183" t="s">
        <v>1054</v>
      </c>
      <c r="K53" s="183" t="s">
        <v>8259</v>
      </c>
      <c r="L53" s="183">
        <v>1</v>
      </c>
      <c r="M53" s="183"/>
      <c r="N53" s="185"/>
      <c r="O53" s="183" t="s">
        <v>452</v>
      </c>
      <c r="P53" s="183" t="s">
        <v>8260</v>
      </c>
      <c r="Q53" s="184"/>
      <c r="R53" s="183" t="s">
        <v>24</v>
      </c>
      <c r="S53" s="184"/>
      <c r="T53" s="184"/>
      <c r="U53" s="184"/>
      <c r="V53" s="184"/>
      <c r="W53" s="184"/>
      <c r="X53" s="179"/>
      <c r="Y53" s="179"/>
      <c r="Z53" s="179"/>
      <c r="AA53" s="179"/>
    </row>
    <row r="54" spans="1:27">
      <c r="A54" s="181">
        <f ca="1">IFERROR(__xludf.DUMMYFUNCTION("IFS(B54="""","""",ISDATE(B54)=TRUE,B54,ISDATE(B54)=FALSE,TO_DATE(DATEVALUE(regexextract(B54,""\d+/\d+/\d+""))))"),44776)</f>
        <v>44776</v>
      </c>
      <c r="B54" s="182" t="s">
        <v>10176</v>
      </c>
      <c r="C54" s="191" t="s">
        <v>2696</v>
      </c>
      <c r="D54" s="184">
        <v>2.75</v>
      </c>
      <c r="E54" s="191" t="s">
        <v>2699</v>
      </c>
      <c r="F54" s="183" t="s">
        <v>5</v>
      </c>
      <c r="G54" s="183" t="s">
        <v>447</v>
      </c>
      <c r="H54" s="184" t="s">
        <v>2700</v>
      </c>
      <c r="I54" s="184">
        <v>3.5</v>
      </c>
      <c r="J54" s="183" t="s">
        <v>449</v>
      </c>
      <c r="K54" s="183" t="s">
        <v>10221</v>
      </c>
      <c r="L54" s="183">
        <v>2</v>
      </c>
      <c r="M54" s="183" t="s">
        <v>478</v>
      </c>
      <c r="N54" s="187">
        <v>3000000</v>
      </c>
      <c r="O54" s="183" t="s">
        <v>452</v>
      </c>
      <c r="P54" s="183" t="s">
        <v>10222</v>
      </c>
      <c r="Q54" s="184"/>
      <c r="R54" s="184" t="s">
        <v>24</v>
      </c>
      <c r="S54" s="184" t="s">
        <v>2703</v>
      </c>
      <c r="T54" s="184"/>
      <c r="U54" s="184"/>
      <c r="V54" s="184"/>
      <c r="W54" s="184"/>
      <c r="X54" s="179"/>
      <c r="Y54" s="179"/>
      <c r="Z54" s="179"/>
      <c r="AA54" s="179"/>
    </row>
    <row r="55" spans="1:27">
      <c r="A55" s="181">
        <f ca="1">IFERROR(__xludf.DUMMYFUNCTION("IFS(B55="""","""",ISDATE(B55)=TRUE,B55,ISDATE(B55)=FALSE,TO_DATE(DATEVALUE(regexextract(B55,""\d+/\d+/\d+""))))"),44776)</f>
        <v>44776</v>
      </c>
      <c r="B55" s="182" t="s">
        <v>10176</v>
      </c>
      <c r="C55" s="183" t="s">
        <v>3413</v>
      </c>
      <c r="D55" s="184">
        <v>1.5</v>
      </c>
      <c r="E55" s="183" t="s">
        <v>10223</v>
      </c>
      <c r="F55" s="183" t="s">
        <v>5</v>
      </c>
      <c r="G55" s="183" t="s">
        <v>447</v>
      </c>
      <c r="H55" s="183" t="s">
        <v>3417</v>
      </c>
      <c r="I55" s="183">
        <v>1</v>
      </c>
      <c r="J55" s="183" t="s">
        <v>449</v>
      </c>
      <c r="K55" s="184" t="s">
        <v>10224</v>
      </c>
      <c r="L55" s="184">
        <v>2</v>
      </c>
      <c r="M55" s="183"/>
      <c r="N55" s="187" t="s">
        <v>3419</v>
      </c>
      <c r="O55" s="183" t="s">
        <v>452</v>
      </c>
      <c r="P55" s="183" t="s">
        <v>3420</v>
      </c>
      <c r="Q55" s="184"/>
      <c r="R55" s="184" t="s">
        <v>24</v>
      </c>
      <c r="S55" s="184" t="s">
        <v>3421</v>
      </c>
      <c r="T55" s="184"/>
      <c r="U55" s="184"/>
      <c r="V55" s="184"/>
      <c r="W55" s="184"/>
      <c r="X55" s="179"/>
      <c r="Y55" s="179"/>
      <c r="Z55" s="179"/>
      <c r="AA55" s="179"/>
    </row>
    <row r="56" spans="1:27">
      <c r="A56" s="181">
        <f ca="1">IFERROR(__xludf.DUMMYFUNCTION("IFS(B56="""","""",ISDATE(B56)=TRUE,B56,ISDATE(B56)=FALSE,TO_DATE(DATEVALUE(regexextract(B56,""\d+/\d+/\d+""))))"),44789)</f>
        <v>44789</v>
      </c>
      <c r="B56" s="182" t="s">
        <v>6450</v>
      </c>
      <c r="C56" s="183" t="s">
        <v>6208</v>
      </c>
      <c r="D56" s="183">
        <v>2.5</v>
      </c>
      <c r="E56" s="183" t="s">
        <v>6211</v>
      </c>
      <c r="F56" s="183" t="s">
        <v>4</v>
      </c>
      <c r="G56" s="183" t="s">
        <v>727</v>
      </c>
      <c r="H56" s="183" t="s">
        <v>10225</v>
      </c>
      <c r="I56" s="183">
        <v>3</v>
      </c>
      <c r="J56" s="183" t="s">
        <v>1045</v>
      </c>
      <c r="K56" s="183" t="s">
        <v>6213</v>
      </c>
      <c r="L56" s="183">
        <v>2</v>
      </c>
      <c r="M56" s="183" t="s">
        <v>451</v>
      </c>
      <c r="N56" s="187">
        <v>1000000</v>
      </c>
      <c r="O56" s="183" t="s">
        <v>465</v>
      </c>
      <c r="P56" s="183" t="s">
        <v>6214</v>
      </c>
      <c r="Q56" s="184" t="s">
        <v>6215</v>
      </c>
      <c r="R56" s="184" t="s">
        <v>24</v>
      </c>
      <c r="S56" s="184"/>
      <c r="T56" s="184"/>
      <c r="U56" s="184"/>
      <c r="V56" s="184"/>
      <c r="W56" s="184"/>
      <c r="X56" s="179"/>
      <c r="Y56" s="179"/>
      <c r="Z56" s="179"/>
      <c r="AA56" s="179"/>
    </row>
    <row r="57" spans="1:27">
      <c r="A57" s="181">
        <f ca="1">IFERROR(__xludf.DUMMYFUNCTION("IFS(B57="""","""",ISDATE(B57)=TRUE,B57,ISDATE(B57)=FALSE,TO_DATE(DATEVALUE(regexextract(B57,""\d+/\d+/\d+""))))"),44784)</f>
        <v>44784</v>
      </c>
      <c r="B57" s="189" t="s">
        <v>10173</v>
      </c>
      <c r="C57" s="183" t="s">
        <v>6892</v>
      </c>
      <c r="D57" s="184">
        <v>2.25</v>
      </c>
      <c r="E57" s="183" t="s">
        <v>6895</v>
      </c>
      <c r="F57" s="183" t="s">
        <v>4</v>
      </c>
      <c r="G57" s="183" t="s">
        <v>602</v>
      </c>
      <c r="H57" s="184" t="s">
        <v>6896</v>
      </c>
      <c r="I57" s="184">
        <v>2</v>
      </c>
      <c r="J57" s="183" t="s">
        <v>727</v>
      </c>
      <c r="K57" s="184" t="s">
        <v>6897</v>
      </c>
      <c r="L57" s="184">
        <v>2.5</v>
      </c>
      <c r="M57" s="183" t="s">
        <v>451</v>
      </c>
      <c r="N57" s="187">
        <v>4000000</v>
      </c>
      <c r="O57" s="183" t="s">
        <v>465</v>
      </c>
      <c r="P57" s="183" t="s">
        <v>575</v>
      </c>
      <c r="Q57" s="184"/>
      <c r="R57" s="183" t="s">
        <v>24</v>
      </c>
      <c r="S57" s="184"/>
      <c r="T57" s="184"/>
      <c r="U57" s="184"/>
      <c r="V57" s="184"/>
      <c r="W57" s="184"/>
      <c r="X57" s="179"/>
      <c r="Y57" s="179"/>
      <c r="Z57" s="179"/>
      <c r="AA57" s="179"/>
    </row>
    <row r="58" spans="1:27">
      <c r="A58" s="181">
        <f ca="1">IFERROR(__xludf.DUMMYFUNCTION("IFS(B58="""","""",ISDATE(B58)=TRUE,B58,ISDATE(B58)=FALSE,TO_DATE(DATEVALUE(regexextract(B58,""\d+/\d+/\d+""))))"),44776)</f>
        <v>44776</v>
      </c>
      <c r="B58" s="182" t="s">
        <v>10176</v>
      </c>
      <c r="C58" s="183" t="s">
        <v>306</v>
      </c>
      <c r="D58" s="183">
        <v>3.25</v>
      </c>
      <c r="E58" s="183" t="s">
        <v>9500</v>
      </c>
      <c r="F58" s="183" t="s">
        <v>4</v>
      </c>
      <c r="G58" s="183" t="s">
        <v>447</v>
      </c>
      <c r="H58" s="183" t="s">
        <v>9501</v>
      </c>
      <c r="I58" s="183">
        <v>3</v>
      </c>
      <c r="J58" s="183" t="s">
        <v>543</v>
      </c>
      <c r="K58" s="183" t="s">
        <v>10226</v>
      </c>
      <c r="L58" s="183">
        <v>3.5</v>
      </c>
      <c r="M58" s="183"/>
      <c r="N58" s="187"/>
      <c r="O58" s="183" t="s">
        <v>452</v>
      </c>
      <c r="P58" s="183" t="s">
        <v>9503</v>
      </c>
      <c r="Q58" s="184" t="s">
        <v>727</v>
      </c>
      <c r="R58" s="183" t="s">
        <v>20</v>
      </c>
      <c r="S58" s="183" t="s">
        <v>9504</v>
      </c>
      <c r="T58" s="184"/>
      <c r="U58" s="184"/>
      <c r="V58" s="184"/>
      <c r="W58" s="184"/>
      <c r="X58" s="179"/>
      <c r="Y58" s="179"/>
      <c r="Z58" s="179"/>
      <c r="AA58" s="179"/>
    </row>
    <row r="59" spans="1:27">
      <c r="A59" s="181">
        <f ca="1">IFERROR(__xludf.DUMMYFUNCTION("IFS(B59="""","""",ISDATE(B59)=TRUE,B59,ISDATE(B59)=FALSE,TO_DATE(DATEVALUE(regexextract(B59,""\d+/\d+/\d+""))))"),44776)</f>
        <v>44776</v>
      </c>
      <c r="B59" s="182" t="s">
        <v>10176</v>
      </c>
      <c r="C59" s="183" t="s">
        <v>3631</v>
      </c>
      <c r="D59" s="184">
        <v>1</v>
      </c>
      <c r="E59" s="183" t="s">
        <v>3634</v>
      </c>
      <c r="F59" s="183" t="s">
        <v>5</v>
      </c>
      <c r="G59" s="183" t="s">
        <v>447</v>
      </c>
      <c r="H59" s="184" t="s">
        <v>3635</v>
      </c>
      <c r="I59" s="184">
        <v>1</v>
      </c>
      <c r="J59" s="183" t="s">
        <v>476</v>
      </c>
      <c r="K59" s="184" t="s">
        <v>10227</v>
      </c>
      <c r="L59" s="184">
        <v>1</v>
      </c>
      <c r="M59" s="183"/>
      <c r="N59" s="185"/>
      <c r="O59" s="183" t="s">
        <v>454</v>
      </c>
      <c r="P59" s="183" t="s">
        <v>3637</v>
      </c>
      <c r="Q59" s="184"/>
      <c r="R59" s="184" t="s">
        <v>24</v>
      </c>
      <c r="S59" s="184"/>
      <c r="T59" s="184"/>
      <c r="U59" s="184"/>
      <c r="V59" s="184"/>
      <c r="W59" s="184"/>
      <c r="X59" s="179"/>
      <c r="Y59" s="179"/>
      <c r="Z59" s="179"/>
      <c r="AA59" s="179"/>
    </row>
    <row r="60" spans="1:27">
      <c r="A60" s="181">
        <f ca="1">IFERROR(__xludf.DUMMYFUNCTION("IFS(B60="""","""",ISDATE(B60)=TRUE,B60,ISDATE(B60)=FALSE,TO_DATE(DATEVALUE(regexextract(B60,""\d+/\d+/\d+""))))"),44789)</f>
        <v>44789</v>
      </c>
      <c r="B60" s="182" t="s">
        <v>6450</v>
      </c>
      <c r="C60" s="183" t="s">
        <v>178</v>
      </c>
      <c r="D60" s="184">
        <v>4</v>
      </c>
      <c r="E60" s="183" t="s">
        <v>3710</v>
      </c>
      <c r="F60" s="183" t="s">
        <v>4</v>
      </c>
      <c r="G60" s="183" t="s">
        <v>727</v>
      </c>
      <c r="H60" s="184" t="s">
        <v>10228</v>
      </c>
      <c r="I60" s="184">
        <v>4</v>
      </c>
      <c r="J60" s="183" t="s">
        <v>1045</v>
      </c>
      <c r="K60" s="184" t="s">
        <v>3712</v>
      </c>
      <c r="L60" s="183">
        <v>4</v>
      </c>
      <c r="M60" s="183" t="s">
        <v>784</v>
      </c>
      <c r="N60" s="187" t="s">
        <v>3713</v>
      </c>
      <c r="O60" s="183" t="s">
        <v>452</v>
      </c>
      <c r="P60" s="183" t="s">
        <v>3714</v>
      </c>
      <c r="Q60" s="183" t="s">
        <v>3715</v>
      </c>
      <c r="R60" s="184" t="s">
        <v>18</v>
      </c>
      <c r="S60" s="184"/>
      <c r="T60" s="184"/>
      <c r="U60" s="184"/>
      <c r="V60" s="184"/>
      <c r="W60" s="184"/>
      <c r="X60" s="179"/>
      <c r="Y60" s="179"/>
      <c r="Z60" s="179"/>
      <c r="AA60" s="179"/>
    </row>
    <row r="61" spans="1:27">
      <c r="A61" s="181">
        <f ca="1">IFERROR(__xludf.DUMMYFUNCTION("IFS(B61="""","""",ISDATE(B61)=TRUE,B61,ISDATE(B61)=FALSE,TO_DATE(DATEVALUE(regexextract(B61,""\d+/\d+/\d+""))))"),44784)</f>
        <v>44784</v>
      </c>
      <c r="B61" s="182" t="s">
        <v>10173</v>
      </c>
      <c r="C61" s="183" t="s">
        <v>4899</v>
      </c>
      <c r="D61" s="184">
        <v>3.5</v>
      </c>
      <c r="E61" s="183" t="s">
        <v>10229</v>
      </c>
      <c r="F61" s="183" t="s">
        <v>4</v>
      </c>
      <c r="G61" s="183" t="s">
        <v>602</v>
      </c>
      <c r="H61" s="184" t="s">
        <v>10230</v>
      </c>
      <c r="I61" s="184">
        <v>3</v>
      </c>
      <c r="J61" s="183" t="s">
        <v>727</v>
      </c>
      <c r="K61" s="184" t="s">
        <v>10231</v>
      </c>
      <c r="L61" s="184">
        <v>4</v>
      </c>
      <c r="M61" s="183"/>
      <c r="N61" s="187"/>
      <c r="O61" s="183" t="s">
        <v>452</v>
      </c>
      <c r="P61" s="183" t="s">
        <v>4905</v>
      </c>
      <c r="Q61" s="183"/>
      <c r="R61" s="184" t="s">
        <v>24</v>
      </c>
      <c r="S61" s="184"/>
      <c r="T61" s="184"/>
      <c r="U61" s="184"/>
      <c r="V61" s="184"/>
      <c r="W61" s="184"/>
      <c r="X61" s="179"/>
      <c r="Y61" s="179"/>
      <c r="Z61" s="179"/>
      <c r="AA61" s="179"/>
    </row>
    <row r="62" spans="1:27">
      <c r="A62" s="181">
        <f ca="1">IFERROR(__xludf.DUMMYFUNCTION("IFS(B62="""","""",ISDATE(B62)=TRUE,B62,ISDATE(B62)=FALSE,TO_DATE(DATEVALUE(regexextract(B62,""\d+/\d+/\d+""))))"),44789)</f>
        <v>44789</v>
      </c>
      <c r="B62" s="182" t="s">
        <v>6450</v>
      </c>
      <c r="C62" s="183" t="s">
        <v>326</v>
      </c>
      <c r="D62" s="184">
        <v>4</v>
      </c>
      <c r="E62" s="183" t="s">
        <v>1817</v>
      </c>
      <c r="F62" s="183" t="s">
        <v>3</v>
      </c>
      <c r="G62" s="183" t="s">
        <v>460</v>
      </c>
      <c r="H62" s="184" t="s">
        <v>1818</v>
      </c>
      <c r="I62" s="184">
        <v>4</v>
      </c>
      <c r="J62" s="183" t="s">
        <v>941</v>
      </c>
      <c r="K62" s="184" t="s">
        <v>1819</v>
      </c>
      <c r="L62" s="184">
        <v>4</v>
      </c>
      <c r="M62" s="183" t="s">
        <v>478</v>
      </c>
      <c r="N62" s="192">
        <v>25000000</v>
      </c>
      <c r="O62" s="183" t="s">
        <v>452</v>
      </c>
      <c r="P62" s="183" t="s">
        <v>10232</v>
      </c>
      <c r="Q62" s="184"/>
      <c r="R62" s="184" t="s">
        <v>18</v>
      </c>
      <c r="S62" s="184"/>
      <c r="T62" s="184"/>
      <c r="U62" s="184"/>
      <c r="V62" s="184"/>
      <c r="W62" s="184"/>
      <c r="X62" s="179"/>
      <c r="Y62" s="179"/>
      <c r="Z62" s="179"/>
      <c r="AA62" s="179"/>
    </row>
    <row r="63" spans="1:27">
      <c r="A63" s="181">
        <f ca="1">IFERROR(__xludf.DUMMYFUNCTION("IFS(B63="""","""",ISDATE(B63)=TRUE,B63,ISDATE(B63)=FALSE,TO_DATE(DATEVALUE(regexextract(B63,""\d+/\d+/\d+""))))"),44782)</f>
        <v>44782</v>
      </c>
      <c r="B63" s="182" t="s">
        <v>10188</v>
      </c>
      <c r="C63" s="183" t="s">
        <v>149</v>
      </c>
      <c r="D63" s="183">
        <v>4.5</v>
      </c>
      <c r="E63" s="183" t="s">
        <v>1006</v>
      </c>
      <c r="F63" s="183" t="s">
        <v>4</v>
      </c>
      <c r="G63" s="183" t="s">
        <v>602</v>
      </c>
      <c r="H63" s="183" t="s">
        <v>10233</v>
      </c>
      <c r="I63" s="183">
        <v>4.5</v>
      </c>
      <c r="J63" s="183" t="s">
        <v>727</v>
      </c>
      <c r="K63" s="183" t="s">
        <v>10234</v>
      </c>
      <c r="L63" s="183">
        <v>4.5</v>
      </c>
      <c r="M63" s="184"/>
      <c r="N63" s="186"/>
      <c r="O63" s="183" t="s">
        <v>452</v>
      </c>
      <c r="P63" s="183" t="s">
        <v>10235</v>
      </c>
      <c r="Q63" s="184"/>
      <c r="R63" s="183" t="s">
        <v>18</v>
      </c>
      <c r="S63" s="183" t="s">
        <v>1010</v>
      </c>
      <c r="T63" s="184"/>
      <c r="U63" s="184"/>
      <c r="V63" s="184"/>
      <c r="W63" s="184"/>
      <c r="X63" s="179"/>
      <c r="Y63" s="179"/>
      <c r="Z63" s="179"/>
      <c r="AA63" s="179"/>
    </row>
    <row r="64" spans="1:27">
      <c r="A64" s="181">
        <f ca="1">IFERROR(__xludf.DUMMYFUNCTION("IFS(B64="""","""",ISDATE(B64)=TRUE,B64,ISDATE(B64)=FALSE,TO_DATE(DATEVALUE(regexextract(B64,""\d+/\d+/\d+""))))"),44789)</f>
        <v>44789</v>
      </c>
      <c r="B64" s="182" t="s">
        <v>6450</v>
      </c>
      <c r="C64" s="183" t="s">
        <v>5848</v>
      </c>
      <c r="D64" s="183">
        <v>2.75</v>
      </c>
      <c r="E64" s="183" t="s">
        <v>5851</v>
      </c>
      <c r="F64" s="183" t="s">
        <v>4</v>
      </c>
      <c r="G64" s="183" t="s">
        <v>727</v>
      </c>
      <c r="H64" s="183" t="s">
        <v>10236</v>
      </c>
      <c r="I64" s="183">
        <v>3</v>
      </c>
      <c r="J64" s="183" t="s">
        <v>1045</v>
      </c>
      <c r="K64" s="184" t="s">
        <v>5853</v>
      </c>
      <c r="L64" s="183">
        <v>2.5</v>
      </c>
      <c r="M64" s="184"/>
      <c r="N64" s="186"/>
      <c r="O64" s="183" t="s">
        <v>452</v>
      </c>
      <c r="P64" s="183" t="s">
        <v>5854</v>
      </c>
      <c r="Q64" s="183" t="s">
        <v>727</v>
      </c>
      <c r="R64" s="183" t="s">
        <v>24</v>
      </c>
      <c r="S64" s="183"/>
      <c r="T64" s="184"/>
      <c r="U64" s="184"/>
      <c r="V64" s="184"/>
      <c r="W64" s="184"/>
      <c r="X64" s="179"/>
      <c r="Y64" s="179"/>
      <c r="Z64" s="179"/>
      <c r="AA64" s="179"/>
    </row>
    <row r="65" spans="1:27">
      <c r="A65" s="181">
        <f ca="1">IFERROR(__xludf.DUMMYFUNCTION("IFS(B65="""","""",ISDATE(B65)=TRUE,B65,ISDATE(B65)=FALSE,TO_DATE(DATEVALUE(regexextract(B65,""\d+/\d+/\d+""))))"),44789)</f>
        <v>44789</v>
      </c>
      <c r="B65" s="182" t="s">
        <v>6450</v>
      </c>
      <c r="C65" s="183" t="s">
        <v>2273</v>
      </c>
      <c r="D65" s="184">
        <v>3.25</v>
      </c>
      <c r="E65" s="183" t="s">
        <v>2276</v>
      </c>
      <c r="F65" s="183" t="s">
        <v>5</v>
      </c>
      <c r="G65" s="183" t="s">
        <v>447</v>
      </c>
      <c r="H65" s="184" t="s">
        <v>10237</v>
      </c>
      <c r="I65" s="184">
        <v>3</v>
      </c>
      <c r="J65" s="183" t="s">
        <v>543</v>
      </c>
      <c r="K65" s="184" t="s">
        <v>10238</v>
      </c>
      <c r="L65" s="183">
        <v>3.5</v>
      </c>
      <c r="M65" s="184" t="s">
        <v>784</v>
      </c>
      <c r="N65" s="186">
        <v>400000</v>
      </c>
      <c r="O65" s="183" t="s">
        <v>452</v>
      </c>
      <c r="P65" s="183" t="s">
        <v>10239</v>
      </c>
      <c r="Q65" s="184" t="s">
        <v>1066</v>
      </c>
      <c r="R65" s="184" t="s">
        <v>24</v>
      </c>
      <c r="S65" s="184"/>
      <c r="T65" s="184"/>
      <c r="U65" s="184"/>
      <c r="V65" s="184"/>
      <c r="W65" s="184"/>
      <c r="X65" s="179"/>
      <c r="Y65" s="179"/>
      <c r="Z65" s="179"/>
      <c r="AA65" s="179"/>
    </row>
    <row r="66" spans="1:27">
      <c r="A66" s="181">
        <f ca="1">IFERROR(__xludf.DUMMYFUNCTION("IFS(B66="""","""",ISDATE(B66)=TRUE,B66,ISDATE(B66)=FALSE,TO_DATE(DATEVALUE(regexextract(B66,""\d+/\d+/\d+""))))"),44796)</f>
        <v>44796</v>
      </c>
      <c r="B66" s="182" t="s">
        <v>529</v>
      </c>
      <c r="C66" s="183" t="s">
        <v>10240</v>
      </c>
      <c r="D66" s="183">
        <v>3</v>
      </c>
      <c r="E66" s="183" t="s">
        <v>5405</v>
      </c>
      <c r="F66" s="183" t="s">
        <v>4</v>
      </c>
      <c r="G66" s="183" t="s">
        <v>1457</v>
      </c>
      <c r="H66" s="183" t="s">
        <v>10241</v>
      </c>
      <c r="I66" s="183">
        <v>4</v>
      </c>
      <c r="J66" s="183" t="s">
        <v>1054</v>
      </c>
      <c r="K66" s="183" t="s">
        <v>5407</v>
      </c>
      <c r="L66" s="183">
        <v>2</v>
      </c>
      <c r="M66" s="183" t="s">
        <v>478</v>
      </c>
      <c r="N66" s="187" t="s">
        <v>5408</v>
      </c>
      <c r="O66" s="183" t="s">
        <v>452</v>
      </c>
      <c r="P66" s="183" t="s">
        <v>10242</v>
      </c>
      <c r="Q66" s="183" t="s">
        <v>602</v>
      </c>
      <c r="R66" s="183" t="s">
        <v>24</v>
      </c>
      <c r="S66" s="183"/>
      <c r="T66" s="184"/>
      <c r="U66" s="184"/>
      <c r="V66" s="184"/>
      <c r="W66" s="184"/>
      <c r="X66" s="179"/>
      <c r="Y66" s="179"/>
      <c r="Z66" s="179"/>
      <c r="AA66" s="179"/>
    </row>
    <row r="67" spans="1:27">
      <c r="A67" s="181">
        <f ca="1">IFERROR(__xludf.DUMMYFUNCTION("IFS(B67="""","""",ISDATE(B67)=TRUE,B67,ISDATE(B67)=FALSE,TO_DATE(DATEVALUE(regexextract(B67,""\d+/\d+/\d+""))))"),44782)</f>
        <v>44782</v>
      </c>
      <c r="B67" s="182" t="s">
        <v>10188</v>
      </c>
      <c r="C67" s="183" t="s">
        <v>2788</v>
      </c>
      <c r="D67" s="183">
        <v>2.75</v>
      </c>
      <c r="E67" s="183" t="s">
        <v>2791</v>
      </c>
      <c r="F67" s="183" t="s">
        <v>5</v>
      </c>
      <c r="G67" s="183" t="s">
        <v>447</v>
      </c>
      <c r="H67" s="183" t="s">
        <v>2792</v>
      </c>
      <c r="I67" s="183">
        <v>3</v>
      </c>
      <c r="J67" s="183" t="s">
        <v>622</v>
      </c>
      <c r="K67" s="183" t="s">
        <v>2793</v>
      </c>
      <c r="L67" s="183">
        <v>2.5</v>
      </c>
      <c r="M67" s="183" t="s">
        <v>451</v>
      </c>
      <c r="N67" s="185">
        <v>3000000</v>
      </c>
      <c r="O67" s="183" t="s">
        <v>452</v>
      </c>
      <c r="P67" s="183" t="s">
        <v>2794</v>
      </c>
      <c r="Q67" s="184"/>
      <c r="R67" s="183" t="s">
        <v>24</v>
      </c>
      <c r="S67" s="183"/>
      <c r="T67" s="184"/>
      <c r="U67" s="184"/>
      <c r="V67" s="184"/>
      <c r="W67" s="184"/>
      <c r="X67" s="179"/>
      <c r="Y67" s="179"/>
      <c r="Z67" s="179"/>
      <c r="AA67" s="179"/>
    </row>
    <row r="68" spans="1:27">
      <c r="A68" s="181">
        <f ca="1">IFERROR(__xludf.DUMMYFUNCTION("IFS(B68="""","""",ISDATE(B68)=TRUE,B68,ISDATE(B68)=FALSE,TO_DATE(DATEVALUE(regexextract(B68,""\d+/\d+/\d+""))))"),44796)</f>
        <v>44796</v>
      </c>
      <c r="B68" s="182" t="s">
        <v>529</v>
      </c>
      <c r="C68" s="183" t="s">
        <v>6087</v>
      </c>
      <c r="D68" s="183">
        <v>2.75</v>
      </c>
      <c r="E68" s="183" t="s">
        <v>6090</v>
      </c>
      <c r="F68" s="183" t="s">
        <v>4</v>
      </c>
      <c r="G68" s="183" t="s">
        <v>727</v>
      </c>
      <c r="H68" s="183" t="s">
        <v>10243</v>
      </c>
      <c r="I68" s="183">
        <v>3</v>
      </c>
      <c r="J68" s="183" t="s">
        <v>1045</v>
      </c>
      <c r="K68" s="183" t="s">
        <v>6092</v>
      </c>
      <c r="L68" s="183">
        <v>2.5</v>
      </c>
      <c r="M68" s="184" t="s">
        <v>451</v>
      </c>
      <c r="N68" s="187" t="s">
        <v>6093</v>
      </c>
      <c r="O68" s="183" t="s">
        <v>452</v>
      </c>
      <c r="P68" s="183" t="s">
        <v>10244</v>
      </c>
      <c r="Q68" s="184"/>
      <c r="R68" s="183" t="s">
        <v>24</v>
      </c>
      <c r="S68" s="184"/>
      <c r="T68" s="184"/>
      <c r="U68" s="184"/>
      <c r="V68" s="184"/>
      <c r="W68" s="184"/>
      <c r="X68" s="179"/>
      <c r="Y68" s="179"/>
      <c r="Z68" s="179"/>
      <c r="AA68" s="179"/>
    </row>
    <row r="69" spans="1:27">
      <c r="A69" s="181">
        <f ca="1">IFERROR(__xludf.DUMMYFUNCTION("IFS(B69="""","""",ISDATE(B69)=TRUE,B69,ISDATE(B69)=FALSE,TO_DATE(DATEVALUE(regexextract(B69,""\d+/\d+/\d+""))))"),44791)</f>
        <v>44791</v>
      </c>
      <c r="B69" s="182" t="s">
        <v>10182</v>
      </c>
      <c r="C69" s="183" t="s">
        <v>8747</v>
      </c>
      <c r="D69" s="183">
        <v>2.5</v>
      </c>
      <c r="E69" s="183" t="s">
        <v>8750</v>
      </c>
      <c r="F69" s="183" t="s">
        <v>3</v>
      </c>
      <c r="G69" s="183" t="s">
        <v>460</v>
      </c>
      <c r="H69" s="183" t="s">
        <v>8751</v>
      </c>
      <c r="I69" s="183">
        <v>2</v>
      </c>
      <c r="J69" s="183" t="s">
        <v>941</v>
      </c>
      <c r="K69" s="183" t="s">
        <v>8752</v>
      </c>
      <c r="L69" s="183">
        <v>3</v>
      </c>
      <c r="M69" s="184" t="s">
        <v>451</v>
      </c>
      <c r="N69" s="186">
        <v>2000000</v>
      </c>
      <c r="O69" s="183" t="s">
        <v>452</v>
      </c>
      <c r="P69" s="183" t="s">
        <v>10245</v>
      </c>
      <c r="Q69" s="184"/>
      <c r="R69" s="183" t="s">
        <v>24</v>
      </c>
      <c r="S69" s="184"/>
      <c r="T69" s="184"/>
      <c r="U69" s="184"/>
      <c r="V69" s="184"/>
      <c r="W69" s="184"/>
      <c r="X69" s="179"/>
      <c r="Y69" s="179"/>
      <c r="Z69" s="179"/>
      <c r="AA69" s="179"/>
    </row>
    <row r="70" spans="1:27">
      <c r="A70" s="181">
        <f ca="1">IFERROR(__xludf.DUMMYFUNCTION("IFS(B70="""","""",ISDATE(B70)=TRUE,B70,ISDATE(B70)=FALSE,TO_DATE(DATEVALUE(regexextract(B70,""\d+/\d+/\d+""))))"),44796)</f>
        <v>44796</v>
      </c>
      <c r="B70" s="182" t="s">
        <v>529</v>
      </c>
      <c r="C70" s="183" t="s">
        <v>6292</v>
      </c>
      <c r="D70" s="183">
        <v>2.5</v>
      </c>
      <c r="E70" s="183" t="s">
        <v>6295</v>
      </c>
      <c r="F70" s="183" t="s">
        <v>4</v>
      </c>
      <c r="G70" s="183" t="s">
        <v>602</v>
      </c>
      <c r="H70" s="183" t="s">
        <v>6296</v>
      </c>
      <c r="I70" s="183">
        <v>2</v>
      </c>
      <c r="J70" s="183" t="s">
        <v>476</v>
      </c>
      <c r="K70" s="183" t="s">
        <v>10246</v>
      </c>
      <c r="L70" s="183">
        <v>3</v>
      </c>
      <c r="M70" s="183" t="s">
        <v>451</v>
      </c>
      <c r="N70" s="185">
        <v>3000000</v>
      </c>
      <c r="O70" s="183" t="s">
        <v>452</v>
      </c>
      <c r="P70" s="183" t="s">
        <v>6298</v>
      </c>
      <c r="Q70" s="184"/>
      <c r="R70" s="183" t="s">
        <v>24</v>
      </c>
      <c r="S70" s="184"/>
      <c r="T70" s="184"/>
      <c r="U70" s="184"/>
      <c r="V70" s="184"/>
      <c r="W70" s="184"/>
      <c r="X70" s="179"/>
      <c r="Y70" s="179"/>
      <c r="Z70" s="179"/>
      <c r="AA70" s="179"/>
    </row>
    <row r="71" spans="1:27">
      <c r="A71" s="181">
        <f ca="1">IFERROR(__xludf.DUMMYFUNCTION("IFS(B71="""","""",ISDATE(B71)=TRUE,B71,ISDATE(B71)=FALSE,TO_DATE(DATEVALUE(regexextract(B71,""\d+/\d+/\d+""))))"),44791)</f>
        <v>44791</v>
      </c>
      <c r="B71" s="182" t="s">
        <v>10182</v>
      </c>
      <c r="C71" s="183" t="s">
        <v>312</v>
      </c>
      <c r="D71" s="183">
        <v>3.75</v>
      </c>
      <c r="E71" s="183" t="s">
        <v>10247</v>
      </c>
      <c r="F71" s="183" t="s">
        <v>3</v>
      </c>
      <c r="G71" s="183" t="s">
        <v>460</v>
      </c>
      <c r="H71" s="184" t="s">
        <v>9662</v>
      </c>
      <c r="I71" s="183">
        <v>3.5</v>
      </c>
      <c r="J71" s="183" t="s">
        <v>462</v>
      </c>
      <c r="K71" s="183" t="s">
        <v>9663</v>
      </c>
      <c r="L71" s="183">
        <v>4</v>
      </c>
      <c r="M71" s="184" t="s">
        <v>451</v>
      </c>
      <c r="N71" s="188">
        <v>3000000</v>
      </c>
      <c r="O71" s="183" t="s">
        <v>452</v>
      </c>
      <c r="P71" s="183" t="s">
        <v>575</v>
      </c>
      <c r="Q71" s="184" t="s">
        <v>460</v>
      </c>
      <c r="R71" s="183" t="s">
        <v>18</v>
      </c>
      <c r="S71" s="184" t="s">
        <v>9664</v>
      </c>
      <c r="T71" s="184"/>
      <c r="U71" s="184"/>
      <c r="V71" s="184"/>
      <c r="W71" s="184"/>
      <c r="X71" s="179"/>
      <c r="Y71" s="179"/>
      <c r="Z71" s="179"/>
      <c r="AA71" s="179"/>
    </row>
    <row r="72" spans="1:27">
      <c r="A72" s="181">
        <f ca="1">IFERROR(__xludf.DUMMYFUNCTION("IFS(B72="""","""",ISDATE(B72)=TRUE,B72,ISDATE(B72)=FALSE,TO_DATE(DATEVALUE(regexextract(B72,""\d+/\d+/\d+""))))"),44789)</f>
        <v>44789</v>
      </c>
      <c r="B72" s="182" t="s">
        <v>6450</v>
      </c>
      <c r="C72" s="183" t="s">
        <v>154</v>
      </c>
      <c r="D72" s="183">
        <v>4</v>
      </c>
      <c r="E72" s="183" t="s">
        <v>1043</v>
      </c>
      <c r="F72" s="183" t="s">
        <v>4</v>
      </c>
      <c r="G72" s="183" t="s">
        <v>727</v>
      </c>
      <c r="H72" s="183" t="s">
        <v>10248</v>
      </c>
      <c r="I72" s="183">
        <v>4</v>
      </c>
      <c r="J72" s="183" t="s">
        <v>1045</v>
      </c>
      <c r="K72" s="183" t="s">
        <v>1046</v>
      </c>
      <c r="L72" s="183">
        <v>4</v>
      </c>
      <c r="M72" s="184"/>
      <c r="N72" s="188"/>
      <c r="O72" s="183" t="s">
        <v>454</v>
      </c>
      <c r="P72" s="183" t="s">
        <v>1047</v>
      </c>
      <c r="Q72" s="184" t="s">
        <v>725</v>
      </c>
      <c r="R72" s="183" t="s">
        <v>18</v>
      </c>
      <c r="S72" s="184"/>
      <c r="T72" s="184"/>
      <c r="U72" s="184"/>
      <c r="V72" s="184"/>
      <c r="W72" s="184"/>
      <c r="X72" s="179"/>
      <c r="Y72" s="179"/>
      <c r="Z72" s="179"/>
      <c r="AA72" s="179"/>
    </row>
    <row r="73" spans="1:27">
      <c r="A73" s="181">
        <f ca="1">IFERROR(__xludf.DUMMYFUNCTION("IFS(B73="""","""",ISDATE(B73)=TRUE,B73,ISDATE(B73)=FALSE,TO_DATE(DATEVALUE(regexextract(B73,""\d+/\d+/\d+""))))"),44789)</f>
        <v>44789</v>
      </c>
      <c r="B73" s="182" t="s">
        <v>6450</v>
      </c>
      <c r="C73" s="183" t="s">
        <v>165</v>
      </c>
      <c r="D73" s="183">
        <v>4.75</v>
      </c>
      <c r="E73" s="183" t="s">
        <v>3642</v>
      </c>
      <c r="F73" s="183" t="s">
        <v>4</v>
      </c>
      <c r="G73" s="183" t="s">
        <v>727</v>
      </c>
      <c r="H73" s="183" t="s">
        <v>10249</v>
      </c>
      <c r="I73" s="183">
        <v>4.5</v>
      </c>
      <c r="J73" s="183" t="s">
        <v>1045</v>
      </c>
      <c r="K73" s="183" t="s">
        <v>3644</v>
      </c>
      <c r="L73" s="183">
        <v>5</v>
      </c>
      <c r="M73" s="183" t="s">
        <v>451</v>
      </c>
      <c r="N73" s="185">
        <v>4000000</v>
      </c>
      <c r="O73" s="183" t="s">
        <v>452</v>
      </c>
      <c r="P73" s="183" t="s">
        <v>452</v>
      </c>
      <c r="Q73" s="184"/>
      <c r="R73" s="183" t="s">
        <v>18</v>
      </c>
      <c r="S73" s="184" t="s">
        <v>3645</v>
      </c>
      <c r="T73" s="184"/>
      <c r="U73" s="184"/>
      <c r="V73" s="184"/>
      <c r="W73" s="184"/>
      <c r="X73" s="179"/>
      <c r="Y73" s="179"/>
      <c r="Z73" s="179"/>
      <c r="AA73" s="179"/>
    </row>
    <row r="74" spans="1:27">
      <c r="A74" s="181">
        <f ca="1">IFERROR(__xludf.DUMMYFUNCTION("IFS(B74="""","""",ISDATE(B74)=TRUE,B74,ISDATE(B74)=FALSE,TO_DATE(DATEVALUE(regexextract(B74,""\d+/\d+/\d+""))))"),44789)</f>
        <v>44789</v>
      </c>
      <c r="B74" s="182" t="s">
        <v>6450</v>
      </c>
      <c r="C74" s="183" t="s">
        <v>5318</v>
      </c>
      <c r="D74" s="183">
        <v>3.13</v>
      </c>
      <c r="E74" s="183" t="s">
        <v>5321</v>
      </c>
      <c r="F74" s="183" t="s">
        <v>4</v>
      </c>
      <c r="G74" s="183" t="s">
        <v>727</v>
      </c>
      <c r="H74" s="183"/>
      <c r="I74" s="183">
        <v>3.5</v>
      </c>
      <c r="J74" s="183" t="s">
        <v>1045</v>
      </c>
      <c r="K74" s="183" t="s">
        <v>5322</v>
      </c>
      <c r="L74" s="183">
        <v>2.75</v>
      </c>
      <c r="M74" s="183" t="s">
        <v>451</v>
      </c>
      <c r="N74" s="187">
        <v>2</v>
      </c>
      <c r="O74" s="183" t="s">
        <v>465</v>
      </c>
      <c r="P74" s="183" t="s">
        <v>5323</v>
      </c>
      <c r="Q74" s="184"/>
      <c r="R74" s="183" t="s">
        <v>24</v>
      </c>
      <c r="S74" s="184"/>
      <c r="T74" s="184"/>
      <c r="U74" s="184"/>
      <c r="V74" s="184"/>
      <c r="W74" s="184"/>
      <c r="X74" s="179"/>
      <c r="Y74" s="179"/>
      <c r="Z74" s="179"/>
      <c r="AA74" s="179"/>
    </row>
    <row r="75" spans="1:27">
      <c r="A75" s="181">
        <f ca="1">IFERROR(__xludf.DUMMYFUNCTION("IFS(B75="""","""",ISDATE(B75)=TRUE,B75,ISDATE(B75)=FALSE,TO_DATE(DATEVALUE(regexextract(B75,""\d+/\d+/\d+""))))"),44789)</f>
        <v>44789</v>
      </c>
      <c r="B75" s="182" t="s">
        <v>6450</v>
      </c>
      <c r="C75" s="183" t="s">
        <v>7591</v>
      </c>
      <c r="D75" s="183">
        <v>2</v>
      </c>
      <c r="E75" s="183" t="s">
        <v>7594</v>
      </c>
      <c r="F75" s="183" t="s">
        <v>4</v>
      </c>
      <c r="G75" s="183" t="s">
        <v>727</v>
      </c>
      <c r="H75" s="183"/>
      <c r="I75" s="183">
        <v>2</v>
      </c>
      <c r="J75" s="183" t="s">
        <v>1045</v>
      </c>
      <c r="K75" s="183" t="s">
        <v>7595</v>
      </c>
      <c r="L75" s="183">
        <v>2</v>
      </c>
      <c r="M75" s="183" t="s">
        <v>784</v>
      </c>
      <c r="N75" s="187">
        <v>4000000</v>
      </c>
      <c r="O75" s="183" t="s">
        <v>452</v>
      </c>
      <c r="P75" s="183" t="s">
        <v>7596</v>
      </c>
      <c r="Q75" s="184"/>
      <c r="R75" s="183" t="s">
        <v>24</v>
      </c>
      <c r="S75" s="183"/>
      <c r="T75" s="184"/>
      <c r="U75" s="184"/>
      <c r="V75" s="184"/>
      <c r="W75" s="184"/>
      <c r="X75" s="179"/>
      <c r="Y75" s="179"/>
      <c r="Z75" s="179"/>
      <c r="AA75" s="179"/>
    </row>
    <row r="76" spans="1:27">
      <c r="A76" s="181">
        <f ca="1">IFERROR(__xludf.DUMMYFUNCTION("IFS(B76="""","""",ISDATE(B76)=TRUE,B76,ISDATE(B76)=FALSE,TO_DATE(DATEVALUE(regexextract(B76,""\d+/\d+/\d+""))))"),44782)</f>
        <v>44782</v>
      </c>
      <c r="B76" s="182" t="s">
        <v>10188</v>
      </c>
      <c r="C76" s="183" t="s">
        <v>81</v>
      </c>
      <c r="D76" s="183">
        <v>3.75</v>
      </c>
      <c r="E76" s="183" t="s">
        <v>581</v>
      </c>
      <c r="F76" s="183" t="s">
        <v>5</v>
      </c>
      <c r="G76" s="183" t="s">
        <v>447</v>
      </c>
      <c r="H76" s="183" t="s">
        <v>582</v>
      </c>
      <c r="I76" s="183">
        <v>3.5</v>
      </c>
      <c r="J76" s="183" t="s">
        <v>543</v>
      </c>
      <c r="K76" s="184" t="s">
        <v>583</v>
      </c>
      <c r="L76" s="183">
        <v>4</v>
      </c>
      <c r="M76" s="183" t="s">
        <v>478</v>
      </c>
      <c r="N76" s="185">
        <v>8500000</v>
      </c>
      <c r="O76" s="183" t="s">
        <v>452</v>
      </c>
      <c r="P76" s="183" t="s">
        <v>10250</v>
      </c>
      <c r="Q76" s="184" t="s">
        <v>585</v>
      </c>
      <c r="R76" s="183" t="s">
        <v>20</v>
      </c>
      <c r="S76" s="184" t="s">
        <v>586</v>
      </c>
      <c r="T76" s="184"/>
      <c r="U76" s="184"/>
      <c r="V76" s="184"/>
      <c r="W76" s="184"/>
      <c r="X76" s="179"/>
      <c r="Y76" s="179"/>
      <c r="Z76" s="179"/>
      <c r="AA76" s="179"/>
    </row>
    <row r="77" spans="1:27">
      <c r="A77" s="181">
        <f ca="1">IFERROR(__xludf.DUMMYFUNCTION("IFS(B77="""","""",ISDATE(B77)=TRUE,B77,ISDATE(B77)=FALSE,TO_DATE(DATEVALUE(regexextract(B77,""\d+/\d+/\d+""))))"),44791)</f>
        <v>44791</v>
      </c>
      <c r="B77" s="182" t="s">
        <v>10182</v>
      </c>
      <c r="C77" s="183" t="s">
        <v>9096</v>
      </c>
      <c r="D77" s="184">
        <v>2</v>
      </c>
      <c r="E77" s="183" t="s">
        <v>9099</v>
      </c>
      <c r="F77" s="183" t="s">
        <v>3</v>
      </c>
      <c r="G77" s="183" t="s">
        <v>460</v>
      </c>
      <c r="H77" s="184" t="s">
        <v>9100</v>
      </c>
      <c r="I77" s="184">
        <v>2</v>
      </c>
      <c r="J77" s="183" t="s">
        <v>462</v>
      </c>
      <c r="K77" s="184" t="s">
        <v>9101</v>
      </c>
      <c r="L77" s="183">
        <v>2</v>
      </c>
      <c r="M77" s="184" t="s">
        <v>451</v>
      </c>
      <c r="N77" s="188">
        <v>5000000</v>
      </c>
      <c r="O77" s="183" t="s">
        <v>454</v>
      </c>
      <c r="P77" s="183" t="s">
        <v>452</v>
      </c>
      <c r="Q77" s="184" t="s">
        <v>9102</v>
      </c>
      <c r="R77" s="184" t="s">
        <v>24</v>
      </c>
      <c r="S77" s="184"/>
      <c r="T77" s="184"/>
      <c r="U77" s="184"/>
      <c r="V77" s="184"/>
      <c r="W77" s="184"/>
      <c r="X77" s="179"/>
      <c r="Y77" s="179"/>
      <c r="Z77" s="179"/>
      <c r="AA77" s="179"/>
    </row>
    <row r="78" spans="1:27">
      <c r="A78" s="181">
        <f ca="1">IFERROR(__xludf.DUMMYFUNCTION("IFS(B78="""","""",ISDATE(B78)=TRUE,B78,ISDATE(B78)=FALSE,TO_DATE(DATEVALUE(regexextract(B78,""\d+/\d+/\d+""))))"),44782)</f>
        <v>44782</v>
      </c>
      <c r="B78" s="182" t="s">
        <v>10188</v>
      </c>
      <c r="C78" s="183" t="s">
        <v>125</v>
      </c>
      <c r="D78" s="183">
        <v>4.25</v>
      </c>
      <c r="E78" s="183" t="s">
        <v>892</v>
      </c>
      <c r="F78" s="183" t="s">
        <v>5</v>
      </c>
      <c r="G78" s="183" t="s">
        <v>447</v>
      </c>
      <c r="H78" s="183" t="s">
        <v>10251</v>
      </c>
      <c r="I78" s="183">
        <v>4</v>
      </c>
      <c r="J78" s="183" t="s">
        <v>543</v>
      </c>
      <c r="K78" s="183" t="s">
        <v>894</v>
      </c>
      <c r="L78" s="183">
        <v>4.5</v>
      </c>
      <c r="M78" s="183" t="s">
        <v>478</v>
      </c>
      <c r="N78" s="185">
        <v>3000000</v>
      </c>
      <c r="O78" s="183" t="s">
        <v>452</v>
      </c>
      <c r="P78" s="183" t="s">
        <v>895</v>
      </c>
      <c r="Q78" s="184"/>
      <c r="R78" s="184" t="s">
        <v>18</v>
      </c>
      <c r="S78" s="184" t="s">
        <v>896</v>
      </c>
      <c r="T78" s="184"/>
      <c r="U78" s="184"/>
      <c r="V78" s="184"/>
      <c r="W78" s="184"/>
      <c r="X78" s="179"/>
      <c r="Y78" s="179"/>
      <c r="Z78" s="179"/>
      <c r="AA78" s="179"/>
    </row>
    <row r="79" spans="1:27">
      <c r="A79" s="181">
        <f ca="1">IFERROR(__xludf.DUMMYFUNCTION("IFS(B79="""","""",ISDATE(B79)=TRUE,B79,ISDATE(B79)=FALSE,TO_DATE(DATEVALUE(regexextract(B79,""\d+/\d+/\d+""))))"),44789)</f>
        <v>44789</v>
      </c>
      <c r="B79" s="182" t="s">
        <v>6450</v>
      </c>
      <c r="C79" s="183" t="s">
        <v>6746</v>
      </c>
      <c r="D79" s="184">
        <v>2.25</v>
      </c>
      <c r="E79" s="183" t="s">
        <v>6749</v>
      </c>
      <c r="F79" s="183" t="s">
        <v>4</v>
      </c>
      <c r="G79" s="183" t="s">
        <v>727</v>
      </c>
      <c r="H79" s="184" t="s">
        <v>6750</v>
      </c>
      <c r="I79" s="184">
        <v>2.5</v>
      </c>
      <c r="J79" s="183" t="s">
        <v>1045</v>
      </c>
      <c r="K79" s="183" t="s">
        <v>6751</v>
      </c>
      <c r="L79" s="183">
        <v>2</v>
      </c>
      <c r="M79" s="184"/>
      <c r="N79" s="186"/>
      <c r="O79" s="183" t="s">
        <v>452</v>
      </c>
      <c r="P79" s="183" t="s">
        <v>6289</v>
      </c>
      <c r="Q79" s="184"/>
      <c r="R79" s="184" t="s">
        <v>24</v>
      </c>
      <c r="S79" s="184"/>
      <c r="T79" s="184"/>
      <c r="U79" s="184"/>
      <c r="V79" s="184"/>
      <c r="W79" s="184"/>
      <c r="X79" s="179"/>
      <c r="Y79" s="179"/>
      <c r="Z79" s="179"/>
      <c r="AA79" s="179"/>
    </row>
    <row r="80" spans="1:27">
      <c r="A80" s="181">
        <f ca="1">IFERROR(__xludf.DUMMYFUNCTION("IFS(B80="""","""",ISDATE(B80)=TRUE,B80,ISDATE(B80)=FALSE,TO_DATE(DATEVALUE(regexextract(B80,""\d+/\d+/\d+""))))"),44789)</f>
        <v>44789</v>
      </c>
      <c r="B80" s="182" t="s">
        <v>6450</v>
      </c>
      <c r="C80" s="183" t="s">
        <v>7162</v>
      </c>
      <c r="D80" s="184">
        <v>2</v>
      </c>
      <c r="E80" s="183" t="s">
        <v>7165</v>
      </c>
      <c r="F80" s="183" t="s">
        <v>4</v>
      </c>
      <c r="G80" s="183" t="s">
        <v>727</v>
      </c>
      <c r="H80" s="184"/>
      <c r="I80" s="184">
        <v>2</v>
      </c>
      <c r="J80" s="183" t="s">
        <v>1045</v>
      </c>
      <c r="K80" s="183" t="s">
        <v>7166</v>
      </c>
      <c r="L80" s="183">
        <v>2</v>
      </c>
      <c r="M80" s="183" t="s">
        <v>784</v>
      </c>
      <c r="N80" s="187">
        <v>5000000</v>
      </c>
      <c r="O80" s="183" t="s">
        <v>452</v>
      </c>
      <c r="P80" s="183" t="s">
        <v>7167</v>
      </c>
      <c r="Q80" s="184"/>
      <c r="R80" s="184" t="s">
        <v>24</v>
      </c>
      <c r="S80" s="184"/>
      <c r="T80" s="184"/>
      <c r="U80" s="184"/>
      <c r="V80" s="184"/>
      <c r="W80" s="184"/>
      <c r="X80" s="179"/>
      <c r="Y80" s="179"/>
      <c r="Z80" s="179"/>
      <c r="AA80" s="179"/>
    </row>
    <row r="81" spans="1:27">
      <c r="A81" s="181">
        <f ca="1">IFERROR(__xludf.DUMMYFUNCTION("IFS(B81="""","""",ISDATE(B81)=TRUE,B81,ISDATE(B81)=FALSE,TO_DATE(DATEVALUE(regexextract(B81,""\d+/\d+/\d+""))))"),44789)</f>
        <v>44789</v>
      </c>
      <c r="B81" s="182" t="s">
        <v>6450</v>
      </c>
      <c r="C81" s="183" t="s">
        <v>4447</v>
      </c>
      <c r="D81" s="183">
        <v>3.63</v>
      </c>
      <c r="E81" s="183" t="s">
        <v>4450</v>
      </c>
      <c r="F81" s="183" t="s">
        <v>4</v>
      </c>
      <c r="G81" s="183" t="s">
        <v>727</v>
      </c>
      <c r="H81" s="183" t="s">
        <v>10252</v>
      </c>
      <c r="I81" s="183">
        <v>3.75</v>
      </c>
      <c r="J81" s="183" t="s">
        <v>1045</v>
      </c>
      <c r="K81" s="183" t="s">
        <v>4452</v>
      </c>
      <c r="L81" s="183">
        <v>3.5</v>
      </c>
      <c r="M81" s="183"/>
      <c r="N81" s="187"/>
      <c r="O81" s="183" t="s">
        <v>454</v>
      </c>
      <c r="P81" s="183" t="s">
        <v>452</v>
      </c>
      <c r="Q81" s="183" t="s">
        <v>4453</v>
      </c>
      <c r="R81" s="183" t="s">
        <v>24</v>
      </c>
      <c r="S81" s="183" t="s">
        <v>4454</v>
      </c>
      <c r="T81" s="184"/>
      <c r="U81" s="184"/>
      <c r="V81" s="184"/>
      <c r="W81" s="184"/>
      <c r="X81" s="179"/>
      <c r="Y81" s="179"/>
      <c r="Z81" s="179"/>
      <c r="AA81" s="179"/>
    </row>
    <row r="82" spans="1:27">
      <c r="A82" s="181">
        <f ca="1">IFERROR(__xludf.DUMMYFUNCTION("IFS(B82="""","""",ISDATE(B82)=TRUE,B82,ISDATE(B82)=FALSE,TO_DATE(DATEVALUE(regexextract(B82,""\d+/\d+/\d+""))))"),44789)</f>
        <v>44789</v>
      </c>
      <c r="B82" s="182" t="s">
        <v>6450</v>
      </c>
      <c r="C82" s="183" t="s">
        <v>107</v>
      </c>
      <c r="D82" s="183">
        <v>3.75</v>
      </c>
      <c r="E82" s="183" t="s">
        <v>10253</v>
      </c>
      <c r="F82" s="183" t="s">
        <v>5</v>
      </c>
      <c r="G82" s="183" t="s">
        <v>447</v>
      </c>
      <c r="H82" s="183" t="s">
        <v>10254</v>
      </c>
      <c r="I82" s="183">
        <v>3.5</v>
      </c>
      <c r="J82" s="183" t="s">
        <v>543</v>
      </c>
      <c r="K82" s="183" t="s">
        <v>10255</v>
      </c>
      <c r="L82" s="183">
        <v>4</v>
      </c>
      <c r="M82" s="183"/>
      <c r="N82" s="187"/>
      <c r="O82" s="183" t="s">
        <v>452</v>
      </c>
      <c r="P82" s="183" t="s">
        <v>452</v>
      </c>
      <c r="Q82" s="184"/>
      <c r="R82" s="183" t="s">
        <v>20</v>
      </c>
      <c r="S82" s="184" t="s">
        <v>2865</v>
      </c>
      <c r="T82" s="184"/>
      <c r="U82" s="184"/>
      <c r="V82" s="184"/>
      <c r="W82" s="184"/>
      <c r="X82" s="179"/>
      <c r="Y82" s="179"/>
      <c r="Z82" s="179"/>
      <c r="AA82" s="179"/>
    </row>
    <row r="83" spans="1:27">
      <c r="A83" s="181">
        <f ca="1">IFERROR(__xludf.DUMMYFUNCTION("IFS(B83="""","""",ISDATE(B83)=TRUE,B83,ISDATE(B83)=FALSE,TO_DATE(DATEVALUE(regexextract(B83,""\d+/\d+/\d+""))))"),44796)</f>
        <v>44796</v>
      </c>
      <c r="B83" s="182" t="s">
        <v>529</v>
      </c>
      <c r="C83" s="183" t="s">
        <v>9087</v>
      </c>
      <c r="D83" s="183">
        <v>3.75</v>
      </c>
      <c r="E83" s="183" t="s">
        <v>9090</v>
      </c>
      <c r="F83" s="183" t="s">
        <v>3</v>
      </c>
      <c r="G83" s="183" t="s">
        <v>460</v>
      </c>
      <c r="H83" s="183" t="s">
        <v>9091</v>
      </c>
      <c r="I83" s="183">
        <v>3.5</v>
      </c>
      <c r="J83" s="183" t="s">
        <v>462</v>
      </c>
      <c r="K83" s="183" t="s">
        <v>9092</v>
      </c>
      <c r="L83" s="183">
        <v>4</v>
      </c>
      <c r="M83" s="184" t="s">
        <v>478</v>
      </c>
      <c r="N83" s="188">
        <v>10000000</v>
      </c>
      <c r="O83" s="183" t="s">
        <v>452</v>
      </c>
      <c r="P83" s="183" t="s">
        <v>1119</v>
      </c>
      <c r="Q83" s="183"/>
      <c r="R83" s="183" t="s">
        <v>24</v>
      </c>
      <c r="S83" s="184" t="s">
        <v>9093</v>
      </c>
      <c r="T83" s="184"/>
      <c r="U83" s="184"/>
      <c r="V83" s="184"/>
      <c r="W83" s="184"/>
      <c r="X83" s="179"/>
      <c r="Y83" s="179"/>
      <c r="Z83" s="179"/>
      <c r="AA83" s="179"/>
    </row>
    <row r="84" spans="1:27">
      <c r="A84" s="181">
        <f ca="1">IFERROR(__xludf.DUMMYFUNCTION("IFS(B84="""","""",ISDATE(B84)=TRUE,B84,ISDATE(B84)=FALSE,TO_DATE(DATEVALUE(regexextract(B84,""\d+/\d+/\d+""))))"),44789)</f>
        <v>44789</v>
      </c>
      <c r="B84" s="182" t="s">
        <v>6450</v>
      </c>
      <c r="C84" s="183" t="s">
        <v>7766</v>
      </c>
      <c r="D84" s="184">
        <v>1.5</v>
      </c>
      <c r="E84" s="183" t="s">
        <v>7769</v>
      </c>
      <c r="F84" s="183" t="s">
        <v>4</v>
      </c>
      <c r="G84" s="183" t="s">
        <v>727</v>
      </c>
      <c r="H84" s="184" t="s">
        <v>7770</v>
      </c>
      <c r="I84" s="184">
        <v>2</v>
      </c>
      <c r="J84" s="183" t="s">
        <v>1045</v>
      </c>
      <c r="K84" s="184" t="s">
        <v>7771</v>
      </c>
      <c r="L84" s="184">
        <v>1</v>
      </c>
      <c r="M84" s="183" t="s">
        <v>784</v>
      </c>
      <c r="N84" s="185">
        <v>500000</v>
      </c>
      <c r="O84" s="183" t="s">
        <v>452</v>
      </c>
      <c r="P84" s="183" t="s">
        <v>575</v>
      </c>
      <c r="Q84" s="184" t="s">
        <v>447</v>
      </c>
      <c r="R84" s="184" t="s">
        <v>24</v>
      </c>
      <c r="S84" s="184"/>
      <c r="T84" s="184"/>
      <c r="U84" s="184"/>
      <c r="V84" s="184"/>
      <c r="W84" s="184"/>
      <c r="X84" s="179"/>
      <c r="Y84" s="179"/>
      <c r="Z84" s="179"/>
      <c r="AA84" s="179"/>
    </row>
    <row r="85" spans="1:27">
      <c r="A85" s="181">
        <f ca="1">IFERROR(__xludf.DUMMYFUNCTION("IFS(B85="""","""",ISDATE(B85)=TRUE,B85,ISDATE(B85)=FALSE,TO_DATE(DATEVALUE(regexextract(B85,""\d+/\d+/\d+""))))"),44784)</f>
        <v>44784</v>
      </c>
      <c r="B85" s="182" t="s">
        <v>10173</v>
      </c>
      <c r="C85" s="183" t="s">
        <v>3432</v>
      </c>
      <c r="D85" s="184">
        <v>3</v>
      </c>
      <c r="E85" s="183" t="s">
        <v>3435</v>
      </c>
      <c r="F85" s="183" t="s">
        <v>5</v>
      </c>
      <c r="G85" s="183" t="s">
        <v>447</v>
      </c>
      <c r="H85" s="184" t="s">
        <v>10256</v>
      </c>
      <c r="I85" s="184">
        <v>3</v>
      </c>
      <c r="J85" s="183" t="s">
        <v>476</v>
      </c>
      <c r="K85" s="184" t="s">
        <v>10257</v>
      </c>
      <c r="L85" s="184">
        <v>3</v>
      </c>
      <c r="M85" s="184"/>
      <c r="N85" s="188"/>
      <c r="O85" s="183" t="s">
        <v>465</v>
      </c>
      <c r="P85" s="183" t="s">
        <v>452</v>
      </c>
      <c r="Q85" s="184"/>
      <c r="R85" s="184" t="s">
        <v>24</v>
      </c>
      <c r="S85" s="184" t="s">
        <v>3438</v>
      </c>
      <c r="T85" s="184"/>
      <c r="U85" s="184"/>
      <c r="V85" s="184"/>
      <c r="W85" s="184"/>
      <c r="X85" s="179"/>
      <c r="Y85" s="179"/>
      <c r="Z85" s="179"/>
      <c r="AA85" s="179"/>
    </row>
    <row r="86" spans="1:27">
      <c r="A86" s="181">
        <f ca="1">IFERROR(__xludf.DUMMYFUNCTION("IFS(B86="""","""",ISDATE(B86)=TRUE,B86,ISDATE(B86)=FALSE,TO_DATE(DATEVALUE(regexextract(B86,""\d+/\d+/\d+""))))"),44789)</f>
        <v>44789</v>
      </c>
      <c r="B86" s="182" t="s">
        <v>6450</v>
      </c>
      <c r="C86" s="183" t="s">
        <v>4466</v>
      </c>
      <c r="D86" s="184">
        <v>3.63</v>
      </c>
      <c r="E86" s="184" t="s">
        <v>4469</v>
      </c>
      <c r="F86" s="183" t="s">
        <v>4</v>
      </c>
      <c r="G86" s="183" t="s">
        <v>727</v>
      </c>
      <c r="H86" s="184" t="s">
        <v>10258</v>
      </c>
      <c r="I86" s="184">
        <v>3.75</v>
      </c>
      <c r="J86" s="183" t="s">
        <v>1045</v>
      </c>
      <c r="K86" s="184" t="s">
        <v>4471</v>
      </c>
      <c r="L86" s="184">
        <v>3.5</v>
      </c>
      <c r="M86" s="183"/>
      <c r="N86" s="187"/>
      <c r="O86" s="183" t="s">
        <v>452</v>
      </c>
      <c r="P86" s="183" t="s">
        <v>4472</v>
      </c>
      <c r="Q86" s="184"/>
      <c r="R86" s="184" t="s">
        <v>24</v>
      </c>
      <c r="S86" s="184" t="s">
        <v>4473</v>
      </c>
      <c r="T86" s="184"/>
      <c r="U86" s="184"/>
      <c r="V86" s="184"/>
      <c r="W86" s="184"/>
      <c r="X86" s="179"/>
      <c r="Y86" s="179"/>
      <c r="Z86" s="179"/>
      <c r="AA86" s="179"/>
    </row>
    <row r="87" spans="1:27">
      <c r="A87" s="181">
        <f ca="1">IFERROR(__xludf.DUMMYFUNCTION("IFS(B87="""","""",ISDATE(B87)=TRUE,B87,ISDATE(B87)=FALSE,TO_DATE(DATEVALUE(regexextract(B87,""\d+/\d+/\d+""))))"),44791)</f>
        <v>44791</v>
      </c>
      <c r="B87" s="182" t="s">
        <v>10182</v>
      </c>
      <c r="C87" s="183" t="s">
        <v>8714</v>
      </c>
      <c r="D87" s="184">
        <v>3</v>
      </c>
      <c r="E87" s="183" t="s">
        <v>8717</v>
      </c>
      <c r="F87" s="183" t="s">
        <v>3</v>
      </c>
      <c r="G87" s="183" t="s">
        <v>460</v>
      </c>
      <c r="H87" s="184" t="s">
        <v>8718</v>
      </c>
      <c r="I87" s="184">
        <v>2.5</v>
      </c>
      <c r="J87" s="183" t="s">
        <v>462</v>
      </c>
      <c r="K87" s="184" t="s">
        <v>8719</v>
      </c>
      <c r="L87" s="184">
        <v>3.5</v>
      </c>
      <c r="M87" s="183"/>
      <c r="N87" s="187"/>
      <c r="O87" s="183" t="s">
        <v>452</v>
      </c>
      <c r="P87" s="183" t="s">
        <v>10259</v>
      </c>
      <c r="Q87" s="184"/>
      <c r="R87" s="184" t="s">
        <v>24</v>
      </c>
      <c r="S87" s="184"/>
      <c r="T87" s="184"/>
      <c r="U87" s="184"/>
      <c r="V87" s="184"/>
      <c r="W87" s="184"/>
      <c r="X87" s="179"/>
      <c r="Y87" s="179"/>
      <c r="Z87" s="179"/>
      <c r="AA87" s="179"/>
    </row>
    <row r="88" spans="1:27">
      <c r="A88" s="181">
        <f ca="1">IFERROR(__xludf.DUMMYFUNCTION("IFS(B88="""","""",ISDATE(B88)=TRUE,B88,ISDATE(B88)=FALSE,TO_DATE(DATEVALUE(regexextract(B88,""\d+/\d+/\d+""))))"),44789)</f>
        <v>44789</v>
      </c>
      <c r="B88" s="182" t="s">
        <v>6450</v>
      </c>
      <c r="C88" s="183" t="s">
        <v>2108</v>
      </c>
      <c r="D88" s="184">
        <v>3.5</v>
      </c>
      <c r="E88" s="183" t="s">
        <v>2111</v>
      </c>
      <c r="F88" s="183" t="s">
        <v>5</v>
      </c>
      <c r="G88" s="183" t="s">
        <v>447</v>
      </c>
      <c r="H88" s="184" t="s">
        <v>2112</v>
      </c>
      <c r="I88" s="184">
        <v>3.5</v>
      </c>
      <c r="J88" s="183" t="s">
        <v>543</v>
      </c>
      <c r="K88" s="184" t="s">
        <v>10260</v>
      </c>
      <c r="L88" s="184">
        <v>3.5</v>
      </c>
      <c r="M88" s="183" t="s">
        <v>478</v>
      </c>
      <c r="N88" s="187" t="s">
        <v>2114</v>
      </c>
      <c r="O88" s="183" t="s">
        <v>465</v>
      </c>
      <c r="P88" s="183" t="s">
        <v>2115</v>
      </c>
      <c r="Q88" s="184"/>
      <c r="R88" s="184" t="s">
        <v>24</v>
      </c>
      <c r="S88" s="184"/>
      <c r="T88" s="184"/>
      <c r="U88" s="184"/>
      <c r="V88" s="184"/>
      <c r="W88" s="184"/>
      <c r="X88" s="179"/>
      <c r="Y88" s="179"/>
      <c r="Z88" s="179"/>
      <c r="AA88" s="179"/>
    </row>
    <row r="89" spans="1:27">
      <c r="A89" s="181">
        <f ca="1">IFERROR(__xludf.DUMMYFUNCTION("IFS(B89="""","""",ISDATE(B89)=TRUE,B89,ISDATE(B89)=FALSE,TO_DATE(DATEVALUE(regexextract(B89,""\d+/\d+/\d+""))))"),44797)</f>
        <v>44797</v>
      </c>
      <c r="B89" s="182" t="s">
        <v>907</v>
      </c>
      <c r="C89" s="183" t="s">
        <v>5774</v>
      </c>
      <c r="D89" s="183">
        <v>3</v>
      </c>
      <c r="E89" s="183" t="s">
        <v>5777</v>
      </c>
      <c r="F89" s="183" t="s">
        <v>4</v>
      </c>
      <c r="G89" s="183" t="s">
        <v>725</v>
      </c>
      <c r="H89" s="183" t="s">
        <v>10261</v>
      </c>
      <c r="I89" s="183">
        <v>3</v>
      </c>
      <c r="J89" s="183" t="s">
        <v>447</v>
      </c>
      <c r="K89" s="183" t="s">
        <v>10262</v>
      </c>
      <c r="L89" s="183">
        <v>3</v>
      </c>
      <c r="M89" s="183" t="s">
        <v>451</v>
      </c>
      <c r="N89" s="187">
        <v>2200000</v>
      </c>
      <c r="O89" s="183" t="s">
        <v>452</v>
      </c>
      <c r="P89" s="183" t="s">
        <v>10263</v>
      </c>
      <c r="Q89" s="184"/>
      <c r="R89" s="183" t="s">
        <v>24</v>
      </c>
      <c r="S89" s="184"/>
      <c r="T89" s="184"/>
      <c r="U89" s="184"/>
      <c r="V89" s="184"/>
      <c r="W89" s="184"/>
      <c r="X89" s="179"/>
      <c r="Y89" s="179"/>
      <c r="Z89" s="179"/>
      <c r="AA89" s="179"/>
    </row>
    <row r="90" spans="1:27">
      <c r="A90" s="181">
        <f ca="1">IFERROR(__xludf.DUMMYFUNCTION("IFS(B90="""","""",ISDATE(B90)=TRUE,B90,ISDATE(B90)=FALSE,TO_DATE(DATEVALUE(regexextract(B90,""\d+/\d+/\d+""))))"),44796)</f>
        <v>44796</v>
      </c>
      <c r="B90" s="182" t="s">
        <v>529</v>
      </c>
      <c r="C90" s="183" t="s">
        <v>8116</v>
      </c>
      <c r="D90" s="184">
        <v>1</v>
      </c>
      <c r="E90" s="183" t="s">
        <v>8119</v>
      </c>
      <c r="F90" s="183" t="s">
        <v>4</v>
      </c>
      <c r="G90" s="183" t="s">
        <v>725</v>
      </c>
      <c r="H90" s="184" t="s">
        <v>10264</v>
      </c>
      <c r="I90" s="184">
        <v>1</v>
      </c>
      <c r="J90" s="183" t="s">
        <v>1036</v>
      </c>
      <c r="K90" s="183" t="s">
        <v>8121</v>
      </c>
      <c r="L90" s="183">
        <v>1</v>
      </c>
      <c r="M90" s="183"/>
      <c r="N90" s="187"/>
      <c r="O90" s="183" t="s">
        <v>454</v>
      </c>
      <c r="P90" s="183" t="s">
        <v>1119</v>
      </c>
      <c r="Q90" s="184"/>
      <c r="R90" s="184" t="s">
        <v>24</v>
      </c>
      <c r="S90" s="184"/>
      <c r="T90" s="184"/>
      <c r="U90" s="184"/>
      <c r="V90" s="184"/>
      <c r="W90" s="184"/>
      <c r="X90" s="179"/>
      <c r="Y90" s="179"/>
      <c r="Z90" s="179"/>
      <c r="AA90" s="179"/>
    </row>
    <row r="91" spans="1:27">
      <c r="A91" s="181">
        <f ca="1">IFERROR(__xludf.DUMMYFUNCTION("IFS(B91="""","""",ISDATE(B91)=TRUE,B91,ISDATE(B91)=FALSE,TO_DATE(DATEVALUE(regexextract(B91,""\d+/\d+/\d+""))))"),44796)</f>
        <v>44796</v>
      </c>
      <c r="B91" s="189" t="s">
        <v>529</v>
      </c>
      <c r="C91" s="183" t="s">
        <v>7041</v>
      </c>
      <c r="D91" s="183">
        <v>2</v>
      </c>
      <c r="E91" s="183" t="s">
        <v>7044</v>
      </c>
      <c r="F91" s="183" t="s">
        <v>4</v>
      </c>
      <c r="G91" s="183" t="s">
        <v>725</v>
      </c>
      <c r="H91" s="183" t="s">
        <v>7045</v>
      </c>
      <c r="I91" s="183">
        <v>2</v>
      </c>
      <c r="J91" s="183" t="s">
        <v>1036</v>
      </c>
      <c r="K91" s="183" t="s">
        <v>7046</v>
      </c>
      <c r="L91" s="183">
        <v>2</v>
      </c>
      <c r="M91" s="184" t="s">
        <v>784</v>
      </c>
      <c r="N91" s="190" t="s">
        <v>7047</v>
      </c>
      <c r="O91" s="183" t="s">
        <v>465</v>
      </c>
      <c r="P91" s="183" t="s">
        <v>7048</v>
      </c>
      <c r="Q91" s="184"/>
      <c r="R91" s="183" t="s">
        <v>24</v>
      </c>
      <c r="S91" s="184"/>
      <c r="T91" s="184"/>
      <c r="U91" s="184"/>
      <c r="V91" s="184"/>
      <c r="W91" s="184"/>
      <c r="X91" s="179"/>
      <c r="Y91" s="179"/>
      <c r="Z91" s="179"/>
      <c r="AA91" s="179"/>
    </row>
    <row r="92" spans="1:27">
      <c r="A92" s="181">
        <f ca="1">IFERROR(__xludf.DUMMYFUNCTION("IFS(B92="""","""",ISDATE(B92)=TRUE,B92,ISDATE(B92)=FALSE,TO_DATE(DATEVALUE(regexextract(B92,""\d+/\d+/\d+""))))"),44791)</f>
        <v>44791</v>
      </c>
      <c r="B92" s="182" t="s">
        <v>10182</v>
      </c>
      <c r="C92" s="183" t="s">
        <v>377</v>
      </c>
      <c r="D92" s="183">
        <v>4</v>
      </c>
      <c r="E92" s="183" t="s">
        <v>9855</v>
      </c>
      <c r="F92" s="183" t="s">
        <v>3</v>
      </c>
      <c r="G92" s="183" t="s">
        <v>488</v>
      </c>
      <c r="H92" s="183" t="s">
        <v>10265</v>
      </c>
      <c r="I92" s="183">
        <v>4</v>
      </c>
      <c r="J92" s="183" t="s">
        <v>941</v>
      </c>
      <c r="K92" s="183" t="s">
        <v>9857</v>
      </c>
      <c r="L92" s="183">
        <v>4</v>
      </c>
      <c r="M92" s="184" t="s">
        <v>478</v>
      </c>
      <c r="N92" s="186">
        <v>9400000</v>
      </c>
      <c r="O92" s="183" t="s">
        <v>452</v>
      </c>
      <c r="P92" s="183" t="s">
        <v>1119</v>
      </c>
      <c r="Q92" s="183" t="s">
        <v>9858</v>
      </c>
      <c r="R92" s="183" t="s">
        <v>19</v>
      </c>
      <c r="S92" s="183" t="s">
        <v>9859</v>
      </c>
      <c r="T92" s="184"/>
      <c r="U92" s="184"/>
      <c r="V92" s="184"/>
      <c r="W92" s="184"/>
      <c r="X92" s="179"/>
      <c r="Y92" s="179"/>
      <c r="Z92" s="179"/>
      <c r="AA92" s="179"/>
    </row>
    <row r="93" spans="1:27">
      <c r="A93" s="181">
        <f ca="1">IFERROR(__xludf.DUMMYFUNCTION("IFS(B93="""","""",ISDATE(B93)=TRUE,B93,ISDATE(B93)=FALSE,TO_DATE(DATEVALUE(regexextract(B93,""\d+/\d+/\d+""))))"),44796)</f>
        <v>44796</v>
      </c>
      <c r="B93" s="182" t="s">
        <v>529</v>
      </c>
      <c r="C93" s="183" t="s">
        <v>265</v>
      </c>
      <c r="D93" s="183">
        <v>4</v>
      </c>
      <c r="E93" s="183" t="s">
        <v>4125</v>
      </c>
      <c r="F93" s="183" t="s">
        <v>4</v>
      </c>
      <c r="G93" s="183" t="s">
        <v>725</v>
      </c>
      <c r="H93" s="183" t="s">
        <v>10266</v>
      </c>
      <c r="I93" s="183">
        <v>4</v>
      </c>
      <c r="J93" s="183" t="s">
        <v>1045</v>
      </c>
      <c r="K93" s="183" t="s">
        <v>4127</v>
      </c>
      <c r="L93" s="183">
        <v>4</v>
      </c>
      <c r="M93" s="183" t="s">
        <v>451</v>
      </c>
      <c r="N93" s="185" t="s">
        <v>4128</v>
      </c>
      <c r="O93" s="183" t="s">
        <v>454</v>
      </c>
      <c r="P93" s="183" t="s">
        <v>4129</v>
      </c>
      <c r="Q93" s="184" t="s">
        <v>727</v>
      </c>
      <c r="R93" s="183" t="s">
        <v>18</v>
      </c>
      <c r="S93" s="184"/>
      <c r="T93" s="184"/>
      <c r="U93" s="184"/>
      <c r="V93" s="184"/>
      <c r="W93" s="184"/>
      <c r="X93" s="179"/>
      <c r="Y93" s="179"/>
      <c r="Z93" s="179"/>
      <c r="AA93" s="179"/>
    </row>
    <row r="94" spans="1:27">
      <c r="A94" s="181">
        <f ca="1">IFERROR(__xludf.DUMMYFUNCTION("IFS(B94="""","""",ISDATE(B94)=TRUE,B94,ISDATE(B94)=FALSE,TO_DATE(DATEVALUE(regexextract(B94,""\d+/\d+/\d+""))))"),44796)</f>
        <v>44796</v>
      </c>
      <c r="B94" s="182" t="s">
        <v>529</v>
      </c>
      <c r="C94" s="183" t="s">
        <v>7318</v>
      </c>
      <c r="D94" s="184">
        <v>2</v>
      </c>
      <c r="E94" s="183" t="s">
        <v>7321</v>
      </c>
      <c r="F94" s="183" t="s">
        <v>4</v>
      </c>
      <c r="G94" s="183" t="s">
        <v>725</v>
      </c>
      <c r="H94" s="184" t="s">
        <v>7322</v>
      </c>
      <c r="I94" s="184">
        <v>2</v>
      </c>
      <c r="J94" s="183" t="s">
        <v>1237</v>
      </c>
      <c r="K94" s="184"/>
      <c r="L94" s="184">
        <v>2</v>
      </c>
      <c r="M94" s="183" t="s">
        <v>451</v>
      </c>
      <c r="N94" s="187">
        <v>1100000</v>
      </c>
      <c r="O94" s="183" t="s">
        <v>452</v>
      </c>
      <c r="P94" s="183" t="s">
        <v>6472</v>
      </c>
      <c r="Q94" s="184" t="s">
        <v>585</v>
      </c>
      <c r="R94" s="184" t="s">
        <v>24</v>
      </c>
      <c r="S94" s="184"/>
      <c r="T94" s="184"/>
      <c r="U94" s="184"/>
      <c r="V94" s="184"/>
      <c r="W94" s="184"/>
      <c r="X94" s="179"/>
      <c r="Y94" s="179"/>
      <c r="Z94" s="179"/>
      <c r="AA94" s="179"/>
    </row>
    <row r="95" spans="1:27">
      <c r="A95" s="181">
        <f ca="1">IFERROR(__xludf.DUMMYFUNCTION("IFS(B95="""","""",ISDATE(B95)=TRUE,B95,ISDATE(B95)=FALSE,TO_DATE(DATEVALUE(regexextract(B95,""\d+/\d+/\d+""))))"),44796)</f>
        <v>44796</v>
      </c>
      <c r="B95" s="182" t="s">
        <v>529</v>
      </c>
      <c r="C95" s="183" t="s">
        <v>5951</v>
      </c>
      <c r="D95" s="183">
        <v>2.75</v>
      </c>
      <c r="E95" s="183" t="s">
        <v>5954</v>
      </c>
      <c r="F95" s="183" t="s">
        <v>4</v>
      </c>
      <c r="G95" s="183" t="s">
        <v>725</v>
      </c>
      <c r="H95" s="183" t="s">
        <v>10267</v>
      </c>
      <c r="I95" s="183">
        <v>2.5</v>
      </c>
      <c r="J95" s="183" t="s">
        <v>1281</v>
      </c>
      <c r="K95" s="183" t="s">
        <v>5956</v>
      </c>
      <c r="L95" s="183">
        <v>3</v>
      </c>
      <c r="M95" s="184"/>
      <c r="N95" s="188"/>
      <c r="O95" s="183" t="s">
        <v>452</v>
      </c>
      <c r="P95" s="183" t="s">
        <v>5957</v>
      </c>
      <c r="Q95" s="184"/>
      <c r="R95" s="183" t="s">
        <v>24</v>
      </c>
      <c r="S95" s="183"/>
      <c r="T95" s="184"/>
      <c r="U95" s="184"/>
      <c r="V95" s="184"/>
      <c r="W95" s="184"/>
      <c r="X95" s="179"/>
      <c r="Y95" s="179"/>
      <c r="Z95" s="179"/>
      <c r="AA95" s="179"/>
    </row>
    <row r="96" spans="1:27">
      <c r="A96" s="181">
        <f ca="1">IFERROR(__xludf.DUMMYFUNCTION("IFS(B96="""","""",ISDATE(B96)=TRUE,B96,ISDATE(B96)=FALSE,TO_DATE(DATEVALUE(regexextract(B96,""\d+/\d+/\d+""))))"),44796)</f>
        <v>44796</v>
      </c>
      <c r="B96" s="189" t="s">
        <v>529</v>
      </c>
      <c r="C96" s="183" t="s">
        <v>323</v>
      </c>
      <c r="D96" s="184">
        <v>4.38</v>
      </c>
      <c r="E96" s="183" t="s">
        <v>10268</v>
      </c>
      <c r="F96" s="183" t="s">
        <v>3</v>
      </c>
      <c r="G96" s="183" t="s">
        <v>488</v>
      </c>
      <c r="H96" s="183" t="s">
        <v>1792</v>
      </c>
      <c r="I96" s="183">
        <v>4</v>
      </c>
      <c r="J96" s="183" t="s">
        <v>941</v>
      </c>
      <c r="K96" s="184" t="s">
        <v>1793</v>
      </c>
      <c r="L96" s="184">
        <v>4.75</v>
      </c>
      <c r="M96" s="183" t="s">
        <v>451</v>
      </c>
      <c r="N96" s="185">
        <v>500000</v>
      </c>
      <c r="O96" s="183" t="s">
        <v>452</v>
      </c>
      <c r="P96" s="183" t="s">
        <v>10269</v>
      </c>
      <c r="Q96" s="183" t="s">
        <v>1795</v>
      </c>
      <c r="R96" s="184" t="s">
        <v>18</v>
      </c>
      <c r="S96" s="184"/>
      <c r="T96" s="184"/>
      <c r="U96" s="184"/>
      <c r="V96" s="184"/>
      <c r="W96" s="184"/>
      <c r="X96" s="179"/>
      <c r="Y96" s="179"/>
      <c r="Z96" s="179"/>
      <c r="AA96" s="179"/>
    </row>
    <row r="97" spans="1:27">
      <c r="A97" s="181">
        <f ca="1">IFERROR(__xludf.DUMMYFUNCTION("IFS(B97="""","""",ISDATE(B97)=TRUE,B97,ISDATE(B97)=FALSE,TO_DATE(DATEVALUE(regexextract(B97,""\d+/\d+/\d+""))))"),44796)</f>
        <v>44796</v>
      </c>
      <c r="B97" s="182" t="s">
        <v>529</v>
      </c>
      <c r="C97" s="183" t="s">
        <v>3497</v>
      </c>
      <c r="D97" s="183">
        <v>3</v>
      </c>
      <c r="E97" s="183" t="s">
        <v>3500</v>
      </c>
      <c r="F97" s="183" t="s">
        <v>5</v>
      </c>
      <c r="G97" s="183" t="s">
        <v>488</v>
      </c>
      <c r="H97" s="183" t="s">
        <v>3501</v>
      </c>
      <c r="I97" s="183">
        <v>3</v>
      </c>
      <c r="J97" s="183" t="s">
        <v>941</v>
      </c>
      <c r="K97" s="183" t="s">
        <v>3502</v>
      </c>
      <c r="L97" s="183">
        <v>3</v>
      </c>
      <c r="M97" s="183"/>
      <c r="N97" s="187"/>
      <c r="O97" s="183" t="s">
        <v>452</v>
      </c>
      <c r="P97" s="183" t="s">
        <v>3503</v>
      </c>
      <c r="Q97" s="184" t="s">
        <v>3504</v>
      </c>
      <c r="R97" s="183" t="s">
        <v>24</v>
      </c>
      <c r="S97" s="184"/>
      <c r="T97" s="184"/>
      <c r="U97" s="184"/>
      <c r="V97" s="184"/>
      <c r="W97" s="184"/>
      <c r="X97" s="179"/>
      <c r="Y97" s="179"/>
      <c r="Z97" s="179"/>
      <c r="AA97" s="179"/>
    </row>
    <row r="98" spans="1:27">
      <c r="A98" s="181">
        <f ca="1">IFERROR(__xludf.DUMMYFUNCTION("IFS(B98="""","""",ISDATE(B98)=TRUE,B98,ISDATE(B98)=FALSE,TO_DATE(DATEVALUE(regexextract(B98,""\d+/\d+/\d+""))))"),44782)</f>
        <v>44782</v>
      </c>
      <c r="B98" s="182" t="s">
        <v>10188</v>
      </c>
      <c r="C98" s="183" t="s">
        <v>273</v>
      </c>
      <c r="D98" s="184">
        <v>3.88</v>
      </c>
      <c r="E98" s="183" t="s">
        <v>9508</v>
      </c>
      <c r="F98" s="183" t="s">
        <v>4</v>
      </c>
      <c r="G98" s="183" t="s">
        <v>727</v>
      </c>
      <c r="H98" s="184" t="s">
        <v>9509</v>
      </c>
      <c r="I98" s="184">
        <v>3.75</v>
      </c>
      <c r="J98" s="183" t="s">
        <v>1054</v>
      </c>
      <c r="K98" s="183" t="s">
        <v>9510</v>
      </c>
      <c r="L98" s="183">
        <v>4</v>
      </c>
      <c r="M98" s="183"/>
      <c r="N98" s="183"/>
      <c r="O98" s="183" t="s">
        <v>452</v>
      </c>
      <c r="P98" s="183" t="s">
        <v>452</v>
      </c>
      <c r="Q98" s="184"/>
      <c r="R98" s="184" t="s">
        <v>20</v>
      </c>
      <c r="S98" s="184" t="s">
        <v>9511</v>
      </c>
      <c r="T98" s="184"/>
      <c r="U98" s="184"/>
      <c r="V98" s="184"/>
      <c r="W98" s="184"/>
      <c r="X98" s="179"/>
      <c r="Y98" s="179"/>
      <c r="Z98" s="179"/>
      <c r="AA98" s="179"/>
    </row>
    <row r="99" spans="1:27">
      <c r="A99" s="181">
        <f ca="1">IFERROR(__xludf.DUMMYFUNCTION("IFS(B99="""","""",ISDATE(B99)=TRUE,B99,ISDATE(B99)=FALSE,TO_DATE(DATEVALUE(regexextract(B99,""\d+/\d+/\d+""))))"),44789)</f>
        <v>44789</v>
      </c>
      <c r="B99" s="182" t="s">
        <v>6450</v>
      </c>
      <c r="C99" s="183" t="s">
        <v>7954</v>
      </c>
      <c r="D99" s="183">
        <v>1.5</v>
      </c>
      <c r="E99" s="183" t="s">
        <v>7957</v>
      </c>
      <c r="F99" s="183" t="s">
        <v>4</v>
      </c>
      <c r="G99" s="183" t="s">
        <v>602</v>
      </c>
      <c r="H99" s="183" t="s">
        <v>7958</v>
      </c>
      <c r="I99" s="183">
        <v>2</v>
      </c>
      <c r="J99" s="183" t="s">
        <v>727</v>
      </c>
      <c r="K99" s="183" t="s">
        <v>7959</v>
      </c>
      <c r="L99" s="183">
        <v>1</v>
      </c>
      <c r="M99" s="183" t="s">
        <v>784</v>
      </c>
      <c r="N99" s="187">
        <v>275000</v>
      </c>
      <c r="O99" s="183" t="s">
        <v>452</v>
      </c>
      <c r="P99" s="183" t="s">
        <v>452</v>
      </c>
      <c r="Q99" s="183" t="s">
        <v>7960</v>
      </c>
      <c r="R99" s="183" t="s">
        <v>25</v>
      </c>
      <c r="S99" s="193"/>
      <c r="T99" s="193"/>
      <c r="U99" s="193"/>
      <c r="V99" s="193"/>
      <c r="W99" s="193"/>
      <c r="X99" s="6"/>
      <c r="Y99" s="6"/>
      <c r="Z99" s="6"/>
      <c r="AA99" s="6"/>
    </row>
    <row r="100" spans="1:27">
      <c r="A100" s="181">
        <f ca="1">IFERROR(__xludf.DUMMYFUNCTION("IFS(B100="""","""",ISDATE(B100)=TRUE,B100,ISDATE(B100)=FALSE,TO_DATE(DATEVALUE(regexextract(B100,""\d+/\d+/\d+""))))"),44782)</f>
        <v>44782</v>
      </c>
      <c r="B100" s="182" t="s">
        <v>10188</v>
      </c>
      <c r="C100" s="191" t="s">
        <v>2904</v>
      </c>
      <c r="D100" s="183">
        <v>3</v>
      </c>
      <c r="E100" s="183" t="s">
        <v>2907</v>
      </c>
      <c r="F100" s="183" t="s">
        <v>4</v>
      </c>
      <c r="G100" s="183" t="s">
        <v>447</v>
      </c>
      <c r="H100" s="183" t="s">
        <v>2908</v>
      </c>
      <c r="I100" s="183">
        <v>3</v>
      </c>
      <c r="J100" s="183" t="s">
        <v>476</v>
      </c>
      <c r="K100" s="183" t="s">
        <v>10270</v>
      </c>
      <c r="L100" s="183">
        <v>3</v>
      </c>
      <c r="M100" s="184" t="s">
        <v>451</v>
      </c>
      <c r="N100" s="186">
        <v>3500000</v>
      </c>
      <c r="O100" s="183" t="s">
        <v>454</v>
      </c>
      <c r="P100" s="183" t="s">
        <v>2910</v>
      </c>
      <c r="Q100" s="184" t="s">
        <v>725</v>
      </c>
      <c r="R100" s="183" t="s">
        <v>19</v>
      </c>
      <c r="S100" s="183" t="s">
        <v>2911</v>
      </c>
      <c r="T100" s="184"/>
      <c r="U100" s="184"/>
      <c r="V100" s="184"/>
      <c r="W100" s="184"/>
      <c r="X100" s="179"/>
      <c r="Y100" s="179"/>
      <c r="Z100" s="179"/>
      <c r="AA100" s="179"/>
    </row>
    <row r="101" spans="1:27">
      <c r="A101" s="181">
        <f ca="1">IFERROR(__xludf.DUMMYFUNCTION("IFS(B101="""","""",ISDATE(B101)=TRUE,B101,ISDATE(B101)=FALSE,TO_DATE(DATEVALUE(regexextract(B101,""\d+/\d+/\d+""))))"),44784)</f>
        <v>44784</v>
      </c>
      <c r="B101" s="189" t="s">
        <v>10173</v>
      </c>
      <c r="C101" s="183" t="s">
        <v>7550</v>
      </c>
      <c r="D101" s="184">
        <v>2</v>
      </c>
      <c r="E101" s="183" t="s">
        <v>7553</v>
      </c>
      <c r="F101" s="183" t="s">
        <v>4</v>
      </c>
      <c r="G101" s="183" t="s">
        <v>602</v>
      </c>
      <c r="H101" s="184" t="s">
        <v>7554</v>
      </c>
      <c r="I101" s="184">
        <v>2</v>
      </c>
      <c r="J101" s="183" t="s">
        <v>1054</v>
      </c>
      <c r="K101" s="183" t="s">
        <v>7555</v>
      </c>
      <c r="L101" s="183">
        <v>2</v>
      </c>
      <c r="M101" s="184" t="s">
        <v>784</v>
      </c>
      <c r="N101" s="186">
        <v>500000</v>
      </c>
      <c r="O101" s="183" t="s">
        <v>452</v>
      </c>
      <c r="P101" s="183" t="s">
        <v>452</v>
      </c>
      <c r="Q101" s="184"/>
      <c r="R101" s="184" t="s">
        <v>24</v>
      </c>
      <c r="S101" s="184"/>
      <c r="T101" s="184"/>
      <c r="U101" s="184"/>
      <c r="V101" s="184"/>
      <c r="W101" s="184"/>
      <c r="X101" s="179"/>
      <c r="Y101" s="179"/>
      <c r="Z101" s="179"/>
      <c r="AA101" s="179"/>
    </row>
    <row r="102" spans="1:27">
      <c r="A102" s="181">
        <f ca="1">IFERROR(__xludf.DUMMYFUNCTION("IFS(B102="""","""",ISDATE(B102)=TRUE,B102,ISDATE(B102)=FALSE,TO_DATE(DATEVALUE(regexextract(B102,""\d+/\d+/\d+""))))"),44782)</f>
        <v>44782</v>
      </c>
      <c r="B102" s="182" t="s">
        <v>10188</v>
      </c>
      <c r="C102" s="183" t="s">
        <v>9210</v>
      </c>
      <c r="D102" s="183">
        <v>3.25</v>
      </c>
      <c r="E102" s="183" t="s">
        <v>9213</v>
      </c>
      <c r="F102" s="183" t="s">
        <v>3</v>
      </c>
      <c r="G102" s="183" t="s">
        <v>727</v>
      </c>
      <c r="H102" s="183" t="s">
        <v>10271</v>
      </c>
      <c r="I102" s="183">
        <v>3</v>
      </c>
      <c r="J102" s="183" t="s">
        <v>1054</v>
      </c>
      <c r="K102" s="183"/>
      <c r="L102" s="183">
        <v>3.5</v>
      </c>
      <c r="M102" s="183" t="s">
        <v>478</v>
      </c>
      <c r="N102" s="185" t="s">
        <v>9215</v>
      </c>
      <c r="O102" s="183" t="s">
        <v>452</v>
      </c>
      <c r="P102" s="183" t="s">
        <v>9216</v>
      </c>
      <c r="Q102" s="184"/>
      <c r="R102" s="183" t="s">
        <v>24</v>
      </c>
      <c r="S102" s="184"/>
      <c r="T102" s="184"/>
      <c r="U102" s="184"/>
      <c r="V102" s="184"/>
      <c r="W102" s="184"/>
      <c r="X102" s="179"/>
      <c r="Y102" s="179"/>
      <c r="Z102" s="179"/>
      <c r="AA102" s="179"/>
    </row>
    <row r="103" spans="1:27">
      <c r="A103" s="181">
        <f ca="1">IFERROR(__xludf.DUMMYFUNCTION("IFS(B103="""","""",ISDATE(B103)=TRUE,B103,ISDATE(B103)=FALSE,TO_DATE(DATEVALUE(regexextract(B103,""\d+/\d+/\d+""))))"),44782)</f>
        <v>44782</v>
      </c>
      <c r="B103" s="182" t="s">
        <v>10188</v>
      </c>
      <c r="C103" s="183" t="s">
        <v>6720</v>
      </c>
      <c r="D103" s="183">
        <v>2.25</v>
      </c>
      <c r="E103" s="183" t="s">
        <v>6723</v>
      </c>
      <c r="F103" s="183" t="s">
        <v>4</v>
      </c>
      <c r="G103" s="183" t="s">
        <v>727</v>
      </c>
      <c r="H103" s="183" t="s">
        <v>6724</v>
      </c>
      <c r="I103" s="183">
        <v>2.5</v>
      </c>
      <c r="J103" s="183" t="s">
        <v>1054</v>
      </c>
      <c r="K103" s="184" t="s">
        <v>6725</v>
      </c>
      <c r="L103" s="183">
        <v>2</v>
      </c>
      <c r="M103" s="183"/>
      <c r="N103" s="187"/>
      <c r="O103" s="183" t="s">
        <v>452</v>
      </c>
      <c r="P103" s="183" t="s">
        <v>10272</v>
      </c>
      <c r="Q103" s="184"/>
      <c r="R103" s="183" t="s">
        <v>24</v>
      </c>
      <c r="S103" s="184"/>
      <c r="T103" s="184"/>
      <c r="U103" s="184"/>
      <c r="V103" s="184"/>
      <c r="W103" s="184"/>
      <c r="X103" s="179"/>
      <c r="Y103" s="179"/>
      <c r="Z103" s="179"/>
      <c r="AA103" s="179"/>
    </row>
    <row r="104" spans="1:27">
      <c r="A104" s="181">
        <f ca="1">IFERROR(__xludf.DUMMYFUNCTION("IFS(B104="""","""",ISDATE(B104)=TRUE,B104,ISDATE(B104)=FALSE,TO_DATE(DATEVALUE(regexextract(B104,""\d+/\d+/\d+""))))"),44782)</f>
        <v>44782</v>
      </c>
      <c r="B104" s="182" t="s">
        <v>10188</v>
      </c>
      <c r="C104" s="183" t="s">
        <v>8551</v>
      </c>
      <c r="D104" s="183">
        <v>2</v>
      </c>
      <c r="E104" s="183" t="s">
        <v>8554</v>
      </c>
      <c r="F104" s="183" t="s">
        <v>3</v>
      </c>
      <c r="G104" s="183" t="s">
        <v>460</v>
      </c>
      <c r="H104" s="184" t="s">
        <v>8555</v>
      </c>
      <c r="I104" s="183">
        <v>2</v>
      </c>
      <c r="J104" s="183" t="s">
        <v>462</v>
      </c>
      <c r="K104" s="183" t="s">
        <v>8556</v>
      </c>
      <c r="L104" s="183">
        <v>2</v>
      </c>
      <c r="M104" s="184"/>
      <c r="N104" s="190"/>
      <c r="O104" s="183" t="s">
        <v>452</v>
      </c>
      <c r="P104" s="183" t="s">
        <v>8557</v>
      </c>
      <c r="Q104" s="184" t="s">
        <v>8558</v>
      </c>
      <c r="R104" s="183" t="s">
        <v>24</v>
      </c>
      <c r="S104" s="184" t="s">
        <v>8559</v>
      </c>
      <c r="T104" s="184"/>
      <c r="U104" s="184"/>
      <c r="V104" s="184"/>
      <c r="W104" s="184"/>
      <c r="X104" s="179"/>
      <c r="Y104" s="179"/>
      <c r="Z104" s="179"/>
      <c r="AA104" s="179"/>
    </row>
    <row r="105" spans="1:27">
      <c r="A105" s="181">
        <f ca="1">IFERROR(__xludf.DUMMYFUNCTION("IFS(B105="""","""",ISDATE(B105)=TRUE,B105,ISDATE(B105)=FALSE,TO_DATE(DATEVALUE(regexextract(B105,""\d+/\d+/\d+""))))"),44782)</f>
        <v>44782</v>
      </c>
      <c r="B105" s="182" t="s">
        <v>10188</v>
      </c>
      <c r="C105" s="183" t="s">
        <v>5969</v>
      </c>
      <c r="D105" s="183">
        <v>2.75</v>
      </c>
      <c r="E105" s="183" t="s">
        <v>5972</v>
      </c>
      <c r="F105" s="183" t="s">
        <v>4</v>
      </c>
      <c r="G105" s="183" t="s">
        <v>602</v>
      </c>
      <c r="H105" s="183" t="s">
        <v>10273</v>
      </c>
      <c r="I105" s="183">
        <v>2</v>
      </c>
      <c r="J105" s="183" t="s">
        <v>727</v>
      </c>
      <c r="K105" s="183" t="s">
        <v>10274</v>
      </c>
      <c r="L105" s="183">
        <v>3.5</v>
      </c>
      <c r="M105" s="184" t="s">
        <v>451</v>
      </c>
      <c r="N105" s="186">
        <v>1500000</v>
      </c>
      <c r="O105" s="183" t="s">
        <v>465</v>
      </c>
      <c r="P105" s="183" t="s">
        <v>5975</v>
      </c>
      <c r="Q105" s="184"/>
      <c r="R105" s="183" t="s">
        <v>24</v>
      </c>
      <c r="S105" s="184"/>
      <c r="T105" s="184"/>
      <c r="U105" s="184"/>
      <c r="V105" s="184"/>
      <c r="W105" s="184"/>
      <c r="X105" s="179"/>
      <c r="Y105" s="179"/>
      <c r="Z105" s="179"/>
      <c r="AA105" s="179"/>
    </row>
    <row r="106" spans="1:27">
      <c r="A106" s="181">
        <f ca="1">IFERROR(__xludf.DUMMYFUNCTION("IFS(B106="""","""",ISDATE(B106)=TRUE,B106,ISDATE(B106)=FALSE,TO_DATE(DATEVALUE(regexextract(B106,""\d+/\d+/\d+""))))"),44784)</f>
        <v>44784</v>
      </c>
      <c r="B106" s="182" t="s">
        <v>10173</v>
      </c>
      <c r="C106" s="183" t="s">
        <v>9258</v>
      </c>
      <c r="D106" s="183">
        <v>1.5</v>
      </c>
      <c r="E106" s="183" t="s">
        <v>10275</v>
      </c>
      <c r="F106" s="183" t="s">
        <v>3</v>
      </c>
      <c r="G106" s="183" t="s">
        <v>460</v>
      </c>
      <c r="H106" s="183" t="s">
        <v>9262</v>
      </c>
      <c r="I106" s="183">
        <v>2</v>
      </c>
      <c r="J106" s="183" t="s">
        <v>488</v>
      </c>
      <c r="K106" s="183" t="s">
        <v>10276</v>
      </c>
      <c r="L106" s="183">
        <v>1</v>
      </c>
      <c r="M106" s="184"/>
      <c r="N106" s="188"/>
      <c r="O106" s="183" t="s">
        <v>465</v>
      </c>
      <c r="P106" s="183" t="s">
        <v>452</v>
      </c>
      <c r="Q106" s="184"/>
      <c r="R106" s="183" t="s">
        <v>24</v>
      </c>
      <c r="S106" s="183"/>
      <c r="T106" s="184"/>
      <c r="U106" s="184"/>
      <c r="V106" s="184"/>
      <c r="W106" s="184"/>
      <c r="X106" s="179"/>
      <c r="Y106" s="179"/>
      <c r="Z106" s="179"/>
      <c r="AA106" s="179"/>
    </row>
    <row r="107" spans="1:27">
      <c r="A107" s="181">
        <f ca="1">IFERROR(__xludf.DUMMYFUNCTION("IFS(B107="""","""",ISDATE(B107)=TRUE,B107,ISDATE(B107)=FALSE,TO_DATE(DATEVALUE(regexextract(B107,""\d+/\d+/\d+""))))"),44776)</f>
        <v>44776</v>
      </c>
      <c r="B107" s="182" t="s">
        <v>10176</v>
      </c>
      <c r="C107" s="183" t="s">
        <v>126</v>
      </c>
      <c r="D107" s="183">
        <v>3</v>
      </c>
      <c r="E107" s="183" t="s">
        <v>9542</v>
      </c>
      <c r="F107" s="183" t="s">
        <v>5</v>
      </c>
      <c r="G107" s="183" t="s">
        <v>447</v>
      </c>
      <c r="H107" s="183" t="s">
        <v>9543</v>
      </c>
      <c r="I107" s="183">
        <v>3</v>
      </c>
      <c r="J107" s="183" t="s">
        <v>622</v>
      </c>
      <c r="K107" s="184" t="s">
        <v>10277</v>
      </c>
      <c r="L107" s="183">
        <v>3</v>
      </c>
      <c r="M107" s="183" t="s">
        <v>451</v>
      </c>
      <c r="N107" s="185">
        <v>1000000</v>
      </c>
      <c r="O107" s="183" t="s">
        <v>452</v>
      </c>
      <c r="P107" s="183" t="s">
        <v>9545</v>
      </c>
      <c r="Q107" s="184"/>
      <c r="R107" s="183" t="s">
        <v>20</v>
      </c>
      <c r="S107" s="184" t="s">
        <v>15</v>
      </c>
      <c r="T107" s="184"/>
      <c r="U107" s="184"/>
      <c r="V107" s="184"/>
      <c r="W107" s="184"/>
      <c r="X107" s="179"/>
      <c r="Y107" s="179"/>
      <c r="Z107" s="179"/>
      <c r="AA107" s="179"/>
    </row>
    <row r="108" spans="1:27">
      <c r="A108" s="181">
        <f ca="1">IFERROR(__xludf.DUMMYFUNCTION("IFS(B108="""","""",ISDATE(B108)=TRUE,B108,ISDATE(B108)=FALSE,TO_DATE(DATEVALUE(regexextract(B108,""\d+/\d+/\d+""))))"),44776)</f>
        <v>44776</v>
      </c>
      <c r="B108" s="182" t="s">
        <v>10176</v>
      </c>
      <c r="C108" s="183" t="s">
        <v>6737</v>
      </c>
      <c r="D108" s="183">
        <v>2.25</v>
      </c>
      <c r="E108" s="183" t="s">
        <v>6740</v>
      </c>
      <c r="F108" s="183" t="s">
        <v>4</v>
      </c>
      <c r="G108" s="183" t="s">
        <v>602</v>
      </c>
      <c r="H108" s="183" t="s">
        <v>6741</v>
      </c>
      <c r="I108" s="183">
        <v>2</v>
      </c>
      <c r="J108" s="183" t="s">
        <v>727</v>
      </c>
      <c r="K108" s="183" t="s">
        <v>6742</v>
      </c>
      <c r="L108" s="183">
        <v>2.5</v>
      </c>
      <c r="M108" s="184" t="s">
        <v>451</v>
      </c>
      <c r="N108" s="188">
        <v>1000000</v>
      </c>
      <c r="O108" s="183" t="s">
        <v>465</v>
      </c>
      <c r="P108" s="183" t="s">
        <v>452</v>
      </c>
      <c r="Q108" s="184" t="s">
        <v>6743</v>
      </c>
      <c r="R108" s="183" t="s">
        <v>24</v>
      </c>
      <c r="S108" s="184" t="s">
        <v>6743</v>
      </c>
      <c r="T108" s="184"/>
      <c r="U108" s="184"/>
      <c r="V108" s="184"/>
      <c r="W108" s="184"/>
      <c r="X108" s="179"/>
      <c r="Y108" s="179"/>
      <c r="Z108" s="179"/>
      <c r="AA108" s="179"/>
    </row>
    <row r="109" spans="1:27">
      <c r="A109" s="181">
        <f ca="1">IFERROR(__xludf.DUMMYFUNCTION("IFS(B109="""","""",ISDATE(B109)=TRUE,B109,ISDATE(B109)=FALSE,TO_DATE(DATEVALUE(regexextract(B109,""\d+/\d+/\d+""))))"),44784)</f>
        <v>44784</v>
      </c>
      <c r="B109" s="182" t="s">
        <v>10173</v>
      </c>
      <c r="C109" s="183" t="s">
        <v>150</v>
      </c>
      <c r="D109" s="184">
        <v>4.5</v>
      </c>
      <c r="E109" s="183" t="s">
        <v>3406</v>
      </c>
      <c r="F109" s="183" t="s">
        <v>5</v>
      </c>
      <c r="G109" s="183" t="s">
        <v>460</v>
      </c>
      <c r="H109" s="184" t="s">
        <v>10278</v>
      </c>
      <c r="I109" s="184">
        <v>4.5</v>
      </c>
      <c r="J109" s="183" t="s">
        <v>462</v>
      </c>
      <c r="K109" s="183" t="s">
        <v>3408</v>
      </c>
      <c r="L109" s="183">
        <v>4.5</v>
      </c>
      <c r="M109" s="184"/>
      <c r="N109" s="188"/>
      <c r="O109" s="183" t="s">
        <v>452</v>
      </c>
      <c r="P109" s="183" t="s">
        <v>10279</v>
      </c>
      <c r="Q109" s="184"/>
      <c r="R109" s="184" t="s">
        <v>18</v>
      </c>
      <c r="S109" s="184" t="s">
        <v>3410</v>
      </c>
      <c r="T109" s="184"/>
      <c r="U109" s="184"/>
      <c r="V109" s="184"/>
      <c r="W109" s="184"/>
      <c r="X109" s="179"/>
      <c r="Y109" s="179"/>
      <c r="Z109" s="179"/>
      <c r="AA109" s="179"/>
    </row>
    <row r="110" spans="1:27">
      <c r="A110" s="181">
        <f ca="1">IFERROR(__xludf.DUMMYFUNCTION("IFS(B110="""","""",ISDATE(B110)=TRUE,B110,ISDATE(B110)=FALSE,TO_DATE(DATEVALUE(regexextract(B110,""\d+/\d+/\d+""))))"),44776)</f>
        <v>44776</v>
      </c>
      <c r="B110" s="182" t="s">
        <v>10176</v>
      </c>
      <c r="C110" s="183" t="s">
        <v>172</v>
      </c>
      <c r="D110" s="183">
        <v>4.5</v>
      </c>
      <c r="E110" s="183" t="s">
        <v>1108</v>
      </c>
      <c r="F110" s="183" t="s">
        <v>4</v>
      </c>
      <c r="G110" s="183" t="s">
        <v>602</v>
      </c>
      <c r="H110" s="183" t="s">
        <v>1109</v>
      </c>
      <c r="I110" s="183">
        <v>4.5</v>
      </c>
      <c r="J110" s="183" t="s">
        <v>727</v>
      </c>
      <c r="K110" s="183" t="s">
        <v>1110</v>
      </c>
      <c r="L110" s="183">
        <v>4.5</v>
      </c>
      <c r="M110" s="183"/>
      <c r="N110" s="187"/>
      <c r="O110" s="183" t="s">
        <v>465</v>
      </c>
      <c r="P110" s="183" t="s">
        <v>452</v>
      </c>
      <c r="Q110" s="184"/>
      <c r="R110" s="183" t="s">
        <v>18</v>
      </c>
      <c r="S110" s="183" t="s">
        <v>1111</v>
      </c>
      <c r="T110" s="184"/>
      <c r="U110" s="184"/>
      <c r="V110" s="184"/>
      <c r="W110" s="184"/>
      <c r="X110" s="179"/>
      <c r="Y110" s="179"/>
      <c r="Z110" s="179"/>
      <c r="AA110" s="179"/>
    </row>
    <row r="111" spans="1:27">
      <c r="A111" s="181">
        <f ca="1">IFERROR(__xludf.DUMMYFUNCTION("IFS(B111="""","""",ISDATE(B111)=TRUE,B111,ISDATE(B111)=FALSE,TO_DATE(DATEVALUE(regexextract(B111,""\d+/\d+/\d+""))))"),44789)</f>
        <v>44789</v>
      </c>
      <c r="B111" s="182" t="s">
        <v>6450</v>
      </c>
      <c r="C111" s="183" t="s">
        <v>6763</v>
      </c>
      <c r="D111" s="184">
        <v>2.25</v>
      </c>
      <c r="E111" s="183" t="s">
        <v>6766</v>
      </c>
      <c r="F111" s="183" t="s">
        <v>4</v>
      </c>
      <c r="G111" s="183" t="s">
        <v>727</v>
      </c>
      <c r="H111" s="184" t="s">
        <v>10280</v>
      </c>
      <c r="I111" s="184">
        <v>2.5</v>
      </c>
      <c r="J111" s="183" t="s">
        <v>1045</v>
      </c>
      <c r="K111" s="184" t="s">
        <v>6768</v>
      </c>
      <c r="L111" s="184">
        <v>2</v>
      </c>
      <c r="M111" s="183" t="s">
        <v>478</v>
      </c>
      <c r="N111" s="187">
        <v>5000000</v>
      </c>
      <c r="O111" s="183" t="s">
        <v>465</v>
      </c>
      <c r="P111" s="183" t="s">
        <v>6769</v>
      </c>
      <c r="Q111" s="184"/>
      <c r="R111" s="184" t="s">
        <v>24</v>
      </c>
      <c r="S111" s="184"/>
      <c r="T111" s="184"/>
      <c r="U111" s="184"/>
      <c r="V111" s="184"/>
      <c r="W111" s="184"/>
      <c r="X111" s="179"/>
      <c r="Y111" s="179"/>
      <c r="Z111" s="179"/>
      <c r="AA111" s="179"/>
    </row>
    <row r="112" spans="1:27">
      <c r="A112" s="181">
        <f ca="1">IFERROR(__xludf.DUMMYFUNCTION("IFS(B112="""","""",ISDATE(B112)=TRUE,B112,ISDATE(B112)=FALSE,TO_DATE(DATEVALUE(regexextract(B112,""\d+/\d+/\d+""))))"),44776)</f>
        <v>44776</v>
      </c>
      <c r="B112" s="182" t="s">
        <v>10176</v>
      </c>
      <c r="C112" s="183" t="s">
        <v>288</v>
      </c>
      <c r="D112" s="184">
        <v>3.75</v>
      </c>
      <c r="E112" s="183" t="s">
        <v>9550</v>
      </c>
      <c r="F112" s="183" t="s">
        <v>4</v>
      </c>
      <c r="G112" s="183" t="s">
        <v>447</v>
      </c>
      <c r="H112" s="184" t="s">
        <v>9551</v>
      </c>
      <c r="I112" s="184">
        <v>3.5</v>
      </c>
      <c r="J112" s="183" t="s">
        <v>543</v>
      </c>
      <c r="K112" s="184" t="s">
        <v>10281</v>
      </c>
      <c r="L112" s="184">
        <v>4</v>
      </c>
      <c r="M112" s="183" t="s">
        <v>9553</v>
      </c>
      <c r="N112" s="185">
        <v>1500000</v>
      </c>
      <c r="O112" s="183" t="s">
        <v>465</v>
      </c>
      <c r="P112" s="183" t="s">
        <v>9554</v>
      </c>
      <c r="Q112" s="184"/>
      <c r="R112" s="184" t="s">
        <v>20</v>
      </c>
      <c r="S112" s="184" t="s">
        <v>9555</v>
      </c>
      <c r="T112" s="184"/>
      <c r="U112" s="184"/>
      <c r="V112" s="184"/>
      <c r="W112" s="184"/>
      <c r="X112" s="179"/>
      <c r="Y112" s="179"/>
      <c r="Z112" s="179"/>
      <c r="AA112" s="179"/>
    </row>
    <row r="113" spans="1:27">
      <c r="A113" s="181">
        <f ca="1">IFERROR(__xludf.DUMMYFUNCTION("IFS(B113="""","""",ISDATE(B113)=TRUE,B113,ISDATE(B113)=FALSE,TO_DATE(DATEVALUE(regexextract(B113,""\d+/\d+/\d+""))))"),44776)</f>
        <v>44776</v>
      </c>
      <c r="B113" s="182" t="s">
        <v>10176</v>
      </c>
      <c r="C113" s="183" t="s">
        <v>389</v>
      </c>
      <c r="D113" s="183">
        <v>4</v>
      </c>
      <c r="E113" s="183" t="s">
        <v>10082</v>
      </c>
      <c r="F113" s="183" t="s">
        <v>5</v>
      </c>
      <c r="G113" s="183" t="s">
        <v>460</v>
      </c>
      <c r="H113" s="183"/>
      <c r="I113" s="183">
        <v>4</v>
      </c>
      <c r="J113" s="183" t="s">
        <v>488</v>
      </c>
      <c r="K113" s="183" t="s">
        <v>10282</v>
      </c>
      <c r="L113" s="183">
        <v>4</v>
      </c>
      <c r="M113" s="184" t="s">
        <v>923</v>
      </c>
      <c r="N113" s="188">
        <v>1000000</v>
      </c>
      <c r="O113" s="183" t="s">
        <v>452</v>
      </c>
      <c r="P113" s="183" t="s">
        <v>1119</v>
      </c>
      <c r="Q113" s="184"/>
      <c r="R113" s="183" t="s">
        <v>18</v>
      </c>
      <c r="S113" s="184" t="s">
        <v>10084</v>
      </c>
      <c r="T113" s="184"/>
      <c r="U113" s="184"/>
      <c r="V113" s="184"/>
      <c r="W113" s="184"/>
      <c r="X113" s="179"/>
      <c r="Y113" s="179"/>
      <c r="Z113" s="179"/>
      <c r="AA113" s="179"/>
    </row>
    <row r="114" spans="1:27">
      <c r="A114" s="181">
        <f ca="1">IFERROR(__xludf.DUMMYFUNCTION("IFS(B114="""","""",ISDATE(B114)=TRUE,B114,ISDATE(B114)=FALSE,TO_DATE(DATEVALUE(regexextract(B114,""\d+/\d+/\d+""))))"),44776)</f>
        <v>44776</v>
      </c>
      <c r="B114" s="182" t="s">
        <v>10176</v>
      </c>
      <c r="C114" s="183" t="s">
        <v>284</v>
      </c>
      <c r="D114" s="183">
        <v>4</v>
      </c>
      <c r="E114" s="183" t="s">
        <v>1618</v>
      </c>
      <c r="F114" s="183" t="s">
        <v>3</v>
      </c>
      <c r="G114" s="183" t="s">
        <v>460</v>
      </c>
      <c r="H114" s="183" t="s">
        <v>1619</v>
      </c>
      <c r="I114" s="183">
        <v>4</v>
      </c>
      <c r="J114" s="183" t="s">
        <v>941</v>
      </c>
      <c r="K114" s="183" t="s">
        <v>1620</v>
      </c>
      <c r="L114" s="183">
        <v>4</v>
      </c>
      <c r="M114" s="183"/>
      <c r="N114" s="185"/>
      <c r="O114" s="183" t="s">
        <v>452</v>
      </c>
      <c r="P114" s="183" t="s">
        <v>1621</v>
      </c>
      <c r="Q114" s="184"/>
      <c r="R114" s="183" t="s">
        <v>18</v>
      </c>
      <c r="S114" s="184"/>
      <c r="T114" s="184"/>
      <c r="U114" s="184"/>
      <c r="V114" s="184"/>
      <c r="W114" s="184"/>
      <c r="X114" s="179"/>
      <c r="Y114" s="179"/>
      <c r="Z114" s="179"/>
      <c r="AA114" s="179"/>
    </row>
    <row r="115" spans="1:27">
      <c r="A115" s="181">
        <f ca="1">IFERROR(__xludf.DUMMYFUNCTION("IFS(B115="""","""",ISDATE(B115)=TRUE,B115,ISDATE(B115)=FALSE,TO_DATE(DATEVALUE(regexextract(B115,""\d+/\d+/\d+""))))"),44789)</f>
        <v>44789</v>
      </c>
      <c r="B115" s="182" t="s">
        <v>6450</v>
      </c>
      <c r="C115" s="183" t="s">
        <v>3087</v>
      </c>
      <c r="D115" s="184">
        <v>3.25</v>
      </c>
      <c r="E115" s="183" t="s">
        <v>3090</v>
      </c>
      <c r="F115" s="183" t="s">
        <v>5</v>
      </c>
      <c r="G115" s="183" t="s">
        <v>622</v>
      </c>
      <c r="H115" s="184" t="s">
        <v>10283</v>
      </c>
      <c r="I115" s="184">
        <v>3</v>
      </c>
      <c r="J115" s="183" t="s">
        <v>449</v>
      </c>
      <c r="K115" s="183" t="s">
        <v>10284</v>
      </c>
      <c r="L115" s="183">
        <v>3.5</v>
      </c>
      <c r="M115" s="183" t="s">
        <v>451</v>
      </c>
      <c r="N115" s="185">
        <v>6000000</v>
      </c>
      <c r="O115" s="183" t="s">
        <v>465</v>
      </c>
      <c r="P115" s="183" t="s">
        <v>3093</v>
      </c>
      <c r="Q115" s="184"/>
      <c r="R115" s="184" t="s">
        <v>24</v>
      </c>
      <c r="S115" s="184" t="s">
        <v>3094</v>
      </c>
      <c r="T115" s="184"/>
      <c r="U115" s="184"/>
      <c r="V115" s="184"/>
      <c r="W115" s="184"/>
      <c r="X115" s="179"/>
      <c r="Y115" s="179"/>
      <c r="Z115" s="179"/>
      <c r="AA115" s="179"/>
    </row>
    <row r="116" spans="1:27">
      <c r="A116" s="181">
        <f ca="1">IFERROR(__xludf.DUMMYFUNCTION("IFS(B116="""","""",ISDATE(B116)=TRUE,B116,ISDATE(B116)=FALSE,TO_DATE(DATEVALUE(regexextract(B116,""\d+/\d+/\d+""))))"),44776)</f>
        <v>44776</v>
      </c>
      <c r="B116" s="189" t="s">
        <v>10176</v>
      </c>
      <c r="C116" s="183" t="s">
        <v>376</v>
      </c>
      <c r="D116" s="183">
        <v>4</v>
      </c>
      <c r="E116" s="183" t="s">
        <v>10019</v>
      </c>
      <c r="F116" s="183" t="s">
        <v>5</v>
      </c>
      <c r="G116" s="183" t="s">
        <v>447</v>
      </c>
      <c r="H116" s="183" t="s">
        <v>10020</v>
      </c>
      <c r="I116" s="183">
        <v>4</v>
      </c>
      <c r="J116" s="183" t="s">
        <v>543</v>
      </c>
      <c r="K116" s="183" t="s">
        <v>10021</v>
      </c>
      <c r="L116" s="183">
        <v>4</v>
      </c>
      <c r="M116" s="184" t="s">
        <v>784</v>
      </c>
      <c r="N116" s="185">
        <v>500000</v>
      </c>
      <c r="O116" s="183" t="s">
        <v>452</v>
      </c>
      <c r="P116" s="183" t="s">
        <v>452</v>
      </c>
      <c r="Q116" s="184" t="s">
        <v>10022</v>
      </c>
      <c r="R116" s="183" t="s">
        <v>18</v>
      </c>
      <c r="S116" s="183" t="s">
        <v>10023</v>
      </c>
      <c r="T116" s="184"/>
      <c r="U116" s="184"/>
      <c r="V116" s="184"/>
      <c r="W116" s="184"/>
      <c r="X116" s="179"/>
      <c r="Y116" s="179"/>
      <c r="Z116" s="179"/>
      <c r="AA116" s="179"/>
    </row>
    <row r="117" spans="1:27">
      <c r="A117" s="181">
        <f ca="1">IFERROR(__xludf.DUMMYFUNCTION("IFS(B117="""","""",ISDATE(B117)=TRUE,B117,ISDATE(B117)=FALSE,TO_DATE(DATEVALUE(regexextract(B117,""\d+/\d+/\d+""))))"),44791)</f>
        <v>44791</v>
      </c>
      <c r="B117" s="182" t="s">
        <v>10182</v>
      </c>
      <c r="C117" s="183" t="s">
        <v>7625</v>
      </c>
      <c r="D117" s="183">
        <v>2</v>
      </c>
      <c r="E117" s="183" t="s">
        <v>7628</v>
      </c>
      <c r="F117" s="183" t="s">
        <v>4</v>
      </c>
      <c r="G117" s="183" t="s">
        <v>602</v>
      </c>
      <c r="H117" s="183" t="s">
        <v>7629</v>
      </c>
      <c r="I117" s="183">
        <v>2</v>
      </c>
      <c r="J117" s="183" t="s">
        <v>1045</v>
      </c>
      <c r="K117" s="183" t="s">
        <v>7630</v>
      </c>
      <c r="L117" s="183">
        <v>2</v>
      </c>
      <c r="M117" s="184" t="s">
        <v>451</v>
      </c>
      <c r="N117" s="188">
        <v>1500000</v>
      </c>
      <c r="O117" s="183" t="s">
        <v>452</v>
      </c>
      <c r="P117" s="183" t="s">
        <v>7631</v>
      </c>
      <c r="Q117" s="184" t="s">
        <v>7632</v>
      </c>
      <c r="R117" s="183" t="s">
        <v>24</v>
      </c>
      <c r="S117" s="184"/>
      <c r="T117" s="184"/>
      <c r="U117" s="184"/>
      <c r="V117" s="184"/>
      <c r="W117" s="184"/>
      <c r="X117" s="179"/>
      <c r="Y117" s="179"/>
      <c r="Z117" s="179"/>
      <c r="AA117" s="179"/>
    </row>
    <row r="118" spans="1:27">
      <c r="A118" s="181">
        <f ca="1">IFERROR(__xludf.DUMMYFUNCTION("IFS(B118="""","""",ISDATE(B118)=TRUE,B118,ISDATE(B118)=FALSE,TO_DATE(DATEVALUE(regexextract(B118,""\d+/\d+/\d+""))))"),44791)</f>
        <v>44791</v>
      </c>
      <c r="B118" s="182" t="s">
        <v>10182</v>
      </c>
      <c r="C118" s="183" t="s">
        <v>9769</v>
      </c>
      <c r="D118" s="184">
        <v>3.75</v>
      </c>
      <c r="E118" s="183" t="s">
        <v>9772</v>
      </c>
      <c r="F118" s="183" t="s">
        <v>3</v>
      </c>
      <c r="G118" s="183" t="s">
        <v>460</v>
      </c>
      <c r="H118" s="184"/>
      <c r="I118" s="184">
        <v>3.5</v>
      </c>
      <c r="J118" s="183" t="s">
        <v>941</v>
      </c>
      <c r="K118" s="183" t="s">
        <v>9773</v>
      </c>
      <c r="L118" s="183">
        <v>4</v>
      </c>
      <c r="M118" s="184" t="s">
        <v>784</v>
      </c>
      <c r="N118" s="188">
        <v>300000</v>
      </c>
      <c r="O118" s="183" t="s">
        <v>452</v>
      </c>
      <c r="P118" s="183" t="s">
        <v>452</v>
      </c>
      <c r="Q118" s="184"/>
      <c r="R118" s="184" t="s">
        <v>23</v>
      </c>
      <c r="S118" s="184" t="s">
        <v>9774</v>
      </c>
      <c r="T118" s="184"/>
      <c r="U118" s="184"/>
      <c r="V118" s="184"/>
      <c r="W118" s="184"/>
      <c r="X118" s="179"/>
      <c r="Y118" s="179"/>
      <c r="Z118" s="179"/>
      <c r="AA118" s="179"/>
    </row>
    <row r="119" spans="1:27">
      <c r="A119" s="181">
        <f ca="1">IFERROR(__xludf.DUMMYFUNCTION("IFS(B119="""","""",ISDATE(B119)=TRUE,B119,ISDATE(B119)=FALSE,TO_DATE(DATEVALUE(regexextract(B119,""\d+/\d+/\d+""))))"),44784)</f>
        <v>44784</v>
      </c>
      <c r="B119" s="182" t="s">
        <v>10173</v>
      </c>
      <c r="C119" s="183" t="s">
        <v>171</v>
      </c>
      <c r="D119" s="184">
        <v>4.25</v>
      </c>
      <c r="E119" s="184" t="s">
        <v>3676</v>
      </c>
      <c r="F119" s="183" t="s">
        <v>4</v>
      </c>
      <c r="G119" s="183" t="s">
        <v>460</v>
      </c>
      <c r="H119" s="184" t="s">
        <v>3677</v>
      </c>
      <c r="I119" s="184">
        <v>4</v>
      </c>
      <c r="J119" s="183" t="s">
        <v>462</v>
      </c>
      <c r="K119" s="183" t="s">
        <v>3678</v>
      </c>
      <c r="L119" s="183">
        <v>4.5</v>
      </c>
      <c r="M119" s="183" t="s">
        <v>451</v>
      </c>
      <c r="N119" s="187">
        <v>2000000</v>
      </c>
      <c r="O119" s="183" t="s">
        <v>452</v>
      </c>
      <c r="P119" s="183" t="s">
        <v>10285</v>
      </c>
      <c r="Q119" s="184" t="s">
        <v>3680</v>
      </c>
      <c r="R119" s="184" t="s">
        <v>18</v>
      </c>
      <c r="S119" s="184" t="s">
        <v>3681</v>
      </c>
      <c r="T119" s="184"/>
      <c r="U119" s="184"/>
      <c r="V119" s="184"/>
      <c r="W119" s="184"/>
      <c r="X119" s="179"/>
      <c r="Y119" s="179"/>
      <c r="Z119" s="179"/>
      <c r="AA119" s="179"/>
    </row>
    <row r="120" spans="1:27">
      <c r="A120" s="181">
        <f ca="1">IFERROR(__xludf.DUMMYFUNCTION("IFS(B120="""","""",ISDATE(B120)=TRUE,B120,ISDATE(B120)=FALSE,TO_DATE(DATEVALUE(regexextract(B120,""\d+/\d+/\d+""))))"),44791)</f>
        <v>44791</v>
      </c>
      <c r="B120" s="182" t="s">
        <v>10182</v>
      </c>
      <c r="C120" s="183" t="s">
        <v>101</v>
      </c>
      <c r="D120" s="184">
        <v>4.25</v>
      </c>
      <c r="E120" s="183" t="s">
        <v>747</v>
      </c>
      <c r="F120" s="183" t="s">
        <v>5</v>
      </c>
      <c r="G120" s="183" t="s">
        <v>447</v>
      </c>
      <c r="H120" s="184" t="s">
        <v>10286</v>
      </c>
      <c r="I120" s="184">
        <v>4.5</v>
      </c>
      <c r="J120" s="183" t="s">
        <v>622</v>
      </c>
      <c r="K120" s="183" t="s">
        <v>749</v>
      </c>
      <c r="L120" s="183">
        <v>4</v>
      </c>
      <c r="M120" s="184"/>
      <c r="N120" s="186"/>
      <c r="O120" s="183" t="s">
        <v>452</v>
      </c>
      <c r="P120" s="183" t="s">
        <v>10287</v>
      </c>
      <c r="Q120" s="184" t="s">
        <v>751</v>
      </c>
      <c r="R120" s="184" t="s">
        <v>18</v>
      </c>
      <c r="S120" s="184"/>
      <c r="T120" s="184"/>
      <c r="U120" s="184"/>
      <c r="V120" s="184"/>
      <c r="W120" s="184"/>
      <c r="X120" s="179"/>
      <c r="Y120" s="179"/>
      <c r="Z120" s="179"/>
      <c r="AA120" s="179"/>
    </row>
    <row r="121" spans="1:27">
      <c r="A121" s="181">
        <f ca="1">IFERROR(__xludf.DUMMYFUNCTION("IFS(B121="""","""",ISDATE(B121)=TRUE,B121,ISDATE(B121)=FALSE,TO_DATE(DATEVALUE(regexextract(B121,""\d+/\d+/\d+""))))"),44784)</f>
        <v>44784</v>
      </c>
      <c r="B121" s="182" t="s">
        <v>10173</v>
      </c>
      <c r="C121" s="183" t="s">
        <v>7009</v>
      </c>
      <c r="D121" s="183">
        <v>2</v>
      </c>
      <c r="E121" s="183" t="s">
        <v>7012</v>
      </c>
      <c r="F121" s="183" t="s">
        <v>4</v>
      </c>
      <c r="G121" s="183" t="s">
        <v>602</v>
      </c>
      <c r="H121" s="183" t="s">
        <v>7013</v>
      </c>
      <c r="I121" s="183">
        <v>2</v>
      </c>
      <c r="J121" s="183" t="s">
        <v>1054</v>
      </c>
      <c r="K121" s="183" t="s">
        <v>7014</v>
      </c>
      <c r="L121" s="183">
        <v>2</v>
      </c>
      <c r="M121" s="184"/>
      <c r="N121" s="188"/>
      <c r="O121" s="183" t="s">
        <v>452</v>
      </c>
      <c r="P121" s="183" t="s">
        <v>7015</v>
      </c>
      <c r="Q121" s="184"/>
      <c r="R121" s="183" t="s">
        <v>24</v>
      </c>
      <c r="S121" s="184"/>
      <c r="T121" s="184"/>
      <c r="U121" s="184"/>
      <c r="V121" s="184"/>
      <c r="W121" s="184"/>
      <c r="X121" s="179"/>
      <c r="Y121" s="179"/>
      <c r="Z121" s="179"/>
      <c r="AA121" s="179"/>
    </row>
    <row r="122" spans="1:27">
      <c r="A122" s="181">
        <f ca="1">IFERROR(__xludf.DUMMYFUNCTION("IFS(B122="""","""",ISDATE(B122)=TRUE,B122,ISDATE(B122)=FALSE,TO_DATE(DATEVALUE(regexextract(B122,""\d+/\d+/\d+""))))"),44784)</f>
        <v>44784</v>
      </c>
      <c r="B122" s="182" t="s">
        <v>10173</v>
      </c>
      <c r="C122" s="183" t="s">
        <v>8705</v>
      </c>
      <c r="D122" s="183">
        <v>2.25</v>
      </c>
      <c r="E122" s="183" t="s">
        <v>8708</v>
      </c>
      <c r="F122" s="183" t="s">
        <v>3</v>
      </c>
      <c r="G122" s="183" t="s">
        <v>460</v>
      </c>
      <c r="H122" s="183" t="s">
        <v>8709</v>
      </c>
      <c r="I122" s="183">
        <v>2.5</v>
      </c>
      <c r="J122" s="183" t="s">
        <v>488</v>
      </c>
      <c r="K122" s="183" t="s">
        <v>8710</v>
      </c>
      <c r="L122" s="183">
        <v>2</v>
      </c>
      <c r="M122" s="183" t="s">
        <v>451</v>
      </c>
      <c r="N122" s="187">
        <v>1800000</v>
      </c>
      <c r="O122" s="183" t="s">
        <v>452</v>
      </c>
      <c r="P122" s="183" t="s">
        <v>8711</v>
      </c>
      <c r="Q122" s="184"/>
      <c r="R122" s="183" t="s">
        <v>24</v>
      </c>
      <c r="S122" s="184"/>
      <c r="T122" s="184"/>
      <c r="U122" s="184"/>
      <c r="V122" s="184"/>
      <c r="W122" s="184"/>
      <c r="X122" s="179"/>
      <c r="Y122" s="179"/>
      <c r="Z122" s="179"/>
      <c r="AA122" s="179"/>
    </row>
    <row r="123" spans="1:27">
      <c r="A123" s="181">
        <f ca="1">IFERROR(__xludf.DUMMYFUNCTION("IFS(B123="""","""",ISDATE(B123)=TRUE,B123,ISDATE(B123)=FALSE,TO_DATE(DATEVALUE(regexextract(B123,""\d+/\d+/\d+""))))"),44791)</f>
        <v>44791</v>
      </c>
      <c r="B123" s="182" t="s">
        <v>10182</v>
      </c>
      <c r="C123" s="183" t="s">
        <v>4890</v>
      </c>
      <c r="D123" s="184">
        <v>3.5</v>
      </c>
      <c r="E123" s="183" t="s">
        <v>4893</v>
      </c>
      <c r="F123" s="183" t="s">
        <v>4</v>
      </c>
      <c r="G123" s="183" t="s">
        <v>727</v>
      </c>
      <c r="H123" s="183" t="s">
        <v>10288</v>
      </c>
      <c r="I123" s="183">
        <v>3</v>
      </c>
      <c r="J123" s="183" t="s">
        <v>1457</v>
      </c>
      <c r="K123" s="184" t="s">
        <v>4895</v>
      </c>
      <c r="L123" s="184">
        <v>4</v>
      </c>
      <c r="M123" s="184" t="s">
        <v>451</v>
      </c>
      <c r="N123" s="188">
        <v>2400000</v>
      </c>
      <c r="O123" s="183" t="s">
        <v>452</v>
      </c>
      <c r="P123" s="183" t="s">
        <v>4896</v>
      </c>
      <c r="Q123" s="184"/>
      <c r="R123" s="184" t="s">
        <v>24</v>
      </c>
      <c r="S123" s="184"/>
      <c r="T123" s="184"/>
      <c r="U123" s="184"/>
      <c r="V123" s="184"/>
      <c r="W123" s="184"/>
      <c r="X123" s="179"/>
      <c r="Y123" s="179"/>
      <c r="Z123" s="179"/>
      <c r="AA123" s="179"/>
    </row>
    <row r="124" spans="1:27">
      <c r="A124" s="181">
        <f ca="1">IFERROR(__xludf.DUMMYFUNCTION("IFS(B124="""","""",ISDATE(B124)=TRUE,B124,ISDATE(B124)=FALSE,TO_DATE(DATEVALUE(regexextract(B124,""\d+/\d+/\d+""))))"),44782)</f>
        <v>44782</v>
      </c>
      <c r="B124" s="182" t="s">
        <v>10188</v>
      </c>
      <c r="C124" s="183" t="s">
        <v>3196</v>
      </c>
      <c r="D124" s="183">
        <v>2.5</v>
      </c>
      <c r="E124" s="183" t="s">
        <v>3199</v>
      </c>
      <c r="F124" s="183" t="s">
        <v>5</v>
      </c>
      <c r="G124" s="183" t="s">
        <v>447</v>
      </c>
      <c r="H124" s="183" t="s">
        <v>10289</v>
      </c>
      <c r="I124" s="183">
        <v>3</v>
      </c>
      <c r="J124" s="183" t="s">
        <v>449</v>
      </c>
      <c r="K124" s="183" t="s">
        <v>10290</v>
      </c>
      <c r="L124" s="183">
        <v>2</v>
      </c>
      <c r="M124" s="183"/>
      <c r="N124" s="187"/>
      <c r="O124" s="183" t="s">
        <v>465</v>
      </c>
      <c r="P124" s="183" t="s">
        <v>3202</v>
      </c>
      <c r="Q124" s="184"/>
      <c r="R124" s="183" t="s">
        <v>24</v>
      </c>
      <c r="S124" s="184" t="s">
        <v>3203</v>
      </c>
      <c r="T124" s="184"/>
      <c r="U124" s="184"/>
      <c r="V124" s="184"/>
      <c r="W124" s="184"/>
      <c r="X124" s="179"/>
      <c r="Y124" s="179"/>
      <c r="Z124" s="179"/>
      <c r="AA124" s="179"/>
    </row>
    <row r="125" spans="1:27">
      <c r="A125" s="181">
        <f ca="1">IFERROR(__xludf.DUMMYFUNCTION("IFS(B125="""","""",ISDATE(B125)=TRUE,B125,ISDATE(B125)=FALSE,TO_DATE(DATEVALUE(regexextract(B125,""\d+/\d+/\d+""))))"),44791)</f>
        <v>44791</v>
      </c>
      <c r="B125" s="182" t="s">
        <v>10182</v>
      </c>
      <c r="C125" s="183" t="s">
        <v>4767</v>
      </c>
      <c r="D125" s="183">
        <v>3.5</v>
      </c>
      <c r="E125" s="183" t="s">
        <v>10291</v>
      </c>
      <c r="F125" s="183" t="s">
        <v>4</v>
      </c>
      <c r="G125" s="183" t="s">
        <v>727</v>
      </c>
      <c r="H125" s="183" t="s">
        <v>10292</v>
      </c>
      <c r="I125" s="183">
        <v>4</v>
      </c>
      <c r="J125" s="183" t="s">
        <v>1298</v>
      </c>
      <c r="K125" s="183" t="s">
        <v>4772</v>
      </c>
      <c r="L125" s="183">
        <v>3</v>
      </c>
      <c r="M125" s="183"/>
      <c r="N125" s="185"/>
      <c r="O125" s="183" t="s">
        <v>465</v>
      </c>
      <c r="P125" s="183" t="s">
        <v>4773</v>
      </c>
      <c r="Q125" s="183"/>
      <c r="R125" s="183" t="s">
        <v>24</v>
      </c>
      <c r="S125" s="183"/>
      <c r="T125" s="184"/>
      <c r="U125" s="184"/>
      <c r="V125" s="184"/>
      <c r="W125" s="184"/>
      <c r="X125" s="179"/>
      <c r="Y125" s="179"/>
      <c r="Z125" s="179"/>
      <c r="AA125" s="179"/>
    </row>
    <row r="126" spans="1:27">
      <c r="A126" s="181">
        <f ca="1">IFERROR(__xludf.DUMMYFUNCTION("IFS(B126="""","""",ISDATE(B126)=TRUE,B126,ISDATE(B126)=FALSE,TO_DATE(DATEVALUE(regexextract(B126,""\d+/\d+/\d+""))))"),44791)</f>
        <v>44791</v>
      </c>
      <c r="B126" s="182" t="s">
        <v>10182</v>
      </c>
      <c r="C126" s="183" t="s">
        <v>4960</v>
      </c>
      <c r="D126" s="184">
        <v>3.25</v>
      </c>
      <c r="E126" s="183" t="s">
        <v>4963</v>
      </c>
      <c r="F126" s="183" t="s">
        <v>4</v>
      </c>
      <c r="G126" s="183" t="s">
        <v>727</v>
      </c>
      <c r="H126" s="184" t="s">
        <v>10293</v>
      </c>
      <c r="I126" s="184">
        <v>2.5</v>
      </c>
      <c r="J126" s="183" t="s">
        <v>990</v>
      </c>
      <c r="K126" s="183" t="s">
        <v>4965</v>
      </c>
      <c r="L126" s="183">
        <v>4</v>
      </c>
      <c r="M126" s="183" t="s">
        <v>451</v>
      </c>
      <c r="N126" s="185" t="s">
        <v>4966</v>
      </c>
      <c r="O126" s="183" t="s">
        <v>452</v>
      </c>
      <c r="P126" s="183" t="s">
        <v>452</v>
      </c>
      <c r="Q126" s="183"/>
      <c r="R126" s="184" t="s">
        <v>24</v>
      </c>
      <c r="S126" s="184" t="s">
        <v>4967</v>
      </c>
      <c r="T126" s="184"/>
      <c r="U126" s="184"/>
      <c r="V126" s="184"/>
      <c r="W126" s="184"/>
      <c r="X126" s="179"/>
      <c r="Y126" s="179"/>
      <c r="Z126" s="179"/>
      <c r="AA126" s="179"/>
    </row>
    <row r="127" spans="1:27">
      <c r="A127" s="181">
        <f ca="1">IFERROR(__xludf.DUMMYFUNCTION("IFS(B127="""","""",ISDATE(B127)=TRUE,B127,ISDATE(B127)=FALSE,TO_DATE(DATEVALUE(regexextract(B127,""\d+/\d+/\d+""))))"),44782)</f>
        <v>44782</v>
      </c>
      <c r="B127" s="182" t="s">
        <v>10188</v>
      </c>
      <c r="C127" s="183" t="s">
        <v>8966</v>
      </c>
      <c r="D127" s="184">
        <v>1</v>
      </c>
      <c r="E127" s="183" t="s">
        <v>8969</v>
      </c>
      <c r="F127" s="183" t="s">
        <v>3</v>
      </c>
      <c r="G127" s="183" t="s">
        <v>460</v>
      </c>
      <c r="H127" s="184"/>
      <c r="I127" s="184">
        <v>1</v>
      </c>
      <c r="J127" s="183" t="s">
        <v>941</v>
      </c>
      <c r="K127" s="184"/>
      <c r="L127" s="184">
        <v>1</v>
      </c>
      <c r="M127" s="183"/>
      <c r="N127" s="187"/>
      <c r="O127" s="183" t="s">
        <v>452</v>
      </c>
      <c r="P127" s="183" t="s">
        <v>452</v>
      </c>
      <c r="Q127" s="184"/>
      <c r="R127" s="184" t="s">
        <v>24</v>
      </c>
      <c r="S127" s="184"/>
      <c r="T127" s="184"/>
      <c r="U127" s="184"/>
      <c r="V127" s="184"/>
      <c r="W127" s="184"/>
      <c r="X127" s="179"/>
      <c r="Y127" s="179"/>
      <c r="Z127" s="179"/>
      <c r="AA127" s="179"/>
    </row>
    <row r="128" spans="1:27">
      <c r="A128" s="181">
        <f ca="1">IFERROR(__xludf.DUMMYFUNCTION("IFS(B128="""","""",ISDATE(B128)=TRUE,B128,ISDATE(B128)=FALSE,TO_DATE(DATEVALUE(regexextract(B128,""\d+/\d+/\d+""))))"),44796)</f>
        <v>44796</v>
      </c>
      <c r="B128" s="182" t="s">
        <v>529</v>
      </c>
      <c r="C128" s="183" t="s">
        <v>5289</v>
      </c>
      <c r="D128" s="183">
        <v>3.25</v>
      </c>
      <c r="E128" s="183" t="s">
        <v>5292</v>
      </c>
      <c r="F128" s="183" t="s">
        <v>4</v>
      </c>
      <c r="G128" s="183" t="s">
        <v>727</v>
      </c>
      <c r="H128" s="183" t="s">
        <v>10294</v>
      </c>
      <c r="I128" s="183">
        <v>3.5</v>
      </c>
      <c r="J128" s="183" t="s">
        <v>1045</v>
      </c>
      <c r="K128" s="183" t="s">
        <v>5294</v>
      </c>
      <c r="L128" s="183">
        <v>3</v>
      </c>
      <c r="M128" s="184" t="s">
        <v>5295</v>
      </c>
      <c r="N128" s="186" t="s">
        <v>5296</v>
      </c>
      <c r="O128" s="183" t="s">
        <v>452</v>
      </c>
      <c r="P128" s="183" t="s">
        <v>452</v>
      </c>
      <c r="Q128" s="184" t="s">
        <v>460</v>
      </c>
      <c r="R128" s="183" t="s">
        <v>24</v>
      </c>
      <c r="S128" s="183"/>
      <c r="T128" s="184"/>
      <c r="U128" s="184"/>
      <c r="V128" s="184"/>
      <c r="W128" s="184"/>
      <c r="X128" s="179"/>
      <c r="Y128" s="179"/>
      <c r="Z128" s="179"/>
      <c r="AA128" s="179"/>
    </row>
    <row r="129" spans="1:27">
      <c r="A129" s="181">
        <f ca="1">IFERROR(__xludf.DUMMYFUNCTION("IFS(B129="""","""",ISDATE(B129)=TRUE,B129,ISDATE(B129)=FALSE,TO_DATE(DATEVALUE(regexextract(B129,""\d+/\d+/\d+""))))"),44797)</f>
        <v>44797</v>
      </c>
      <c r="B129" s="182" t="s">
        <v>907</v>
      </c>
      <c r="C129" s="183" t="s">
        <v>8245</v>
      </c>
      <c r="D129" s="184">
        <v>1</v>
      </c>
      <c r="E129" s="183" t="s">
        <v>8248</v>
      </c>
      <c r="F129" s="183" t="s">
        <v>4</v>
      </c>
      <c r="G129" s="183" t="s">
        <v>447</v>
      </c>
      <c r="H129" s="183" t="s">
        <v>10295</v>
      </c>
      <c r="I129" s="183">
        <v>1</v>
      </c>
      <c r="J129" s="183" t="s">
        <v>1371</v>
      </c>
      <c r="K129" s="184" t="s">
        <v>8250</v>
      </c>
      <c r="L129" s="184">
        <v>1</v>
      </c>
      <c r="M129" s="184" t="s">
        <v>451</v>
      </c>
      <c r="N129" s="186" t="s">
        <v>8189</v>
      </c>
      <c r="O129" s="183" t="s">
        <v>452</v>
      </c>
      <c r="P129" s="183" t="s">
        <v>10296</v>
      </c>
      <c r="Q129" s="183"/>
      <c r="R129" s="184" t="s">
        <v>24</v>
      </c>
      <c r="S129" s="184"/>
      <c r="T129" s="184"/>
      <c r="U129" s="184"/>
      <c r="V129" s="184"/>
      <c r="W129" s="184"/>
      <c r="X129" s="179"/>
      <c r="Y129" s="179"/>
      <c r="Z129" s="179"/>
      <c r="AA129" s="179"/>
    </row>
    <row r="130" spans="1:27">
      <c r="A130" s="181">
        <f ca="1">IFERROR(__xludf.DUMMYFUNCTION("IFS(B130="""","""",ISDATE(B130)=TRUE,B130,ISDATE(B130)=FALSE,TO_DATE(DATEVALUE(regexextract(B130,""\d+/\d+/\d+""))))"),44797)</f>
        <v>44797</v>
      </c>
      <c r="B130" s="182" t="s">
        <v>907</v>
      </c>
      <c r="C130" s="183" t="s">
        <v>5643</v>
      </c>
      <c r="D130" s="184">
        <v>3</v>
      </c>
      <c r="E130" s="183" t="s">
        <v>5646</v>
      </c>
      <c r="F130" s="183" t="s">
        <v>4</v>
      </c>
      <c r="G130" s="183" t="s">
        <v>447</v>
      </c>
      <c r="H130" s="184" t="s">
        <v>10297</v>
      </c>
      <c r="I130" s="184">
        <v>3</v>
      </c>
      <c r="J130" s="183" t="s">
        <v>1281</v>
      </c>
      <c r="K130" s="183" t="s">
        <v>5648</v>
      </c>
      <c r="L130" s="183">
        <v>3</v>
      </c>
      <c r="M130" s="184"/>
      <c r="N130" s="186"/>
      <c r="O130" s="183" t="s">
        <v>452</v>
      </c>
      <c r="P130" s="183" t="s">
        <v>5649</v>
      </c>
      <c r="Q130" s="184"/>
      <c r="R130" s="184" t="s">
        <v>24</v>
      </c>
      <c r="S130" s="184"/>
      <c r="T130" s="184"/>
      <c r="U130" s="184"/>
      <c r="V130" s="184"/>
      <c r="W130" s="184"/>
      <c r="X130" s="179"/>
      <c r="Y130" s="179"/>
      <c r="Z130" s="179"/>
      <c r="AA130" s="179"/>
    </row>
    <row r="131" spans="1:27">
      <c r="A131" s="181">
        <f ca="1">IFERROR(__xludf.DUMMYFUNCTION("IFS(B131="""","""",ISDATE(B131)=TRUE,B131,ISDATE(B131)=FALSE,TO_DATE(DATEVALUE(regexextract(B131,""\d+/\d+/\d+""))))"),44784)</f>
        <v>44784</v>
      </c>
      <c r="B131" s="182" t="s">
        <v>10173</v>
      </c>
      <c r="C131" s="183" t="s">
        <v>130</v>
      </c>
      <c r="D131" s="184">
        <v>2.75</v>
      </c>
      <c r="E131" s="183" t="s">
        <v>3179</v>
      </c>
      <c r="F131" s="183" t="s">
        <v>5</v>
      </c>
      <c r="G131" s="183" t="s">
        <v>460</v>
      </c>
      <c r="H131" s="184" t="s">
        <v>3180</v>
      </c>
      <c r="I131" s="184">
        <v>3</v>
      </c>
      <c r="J131" s="183" t="s">
        <v>488</v>
      </c>
      <c r="K131" s="183" t="s">
        <v>10298</v>
      </c>
      <c r="L131" s="183">
        <v>2.5</v>
      </c>
      <c r="M131" s="183" t="s">
        <v>784</v>
      </c>
      <c r="N131" s="187">
        <v>3000000</v>
      </c>
      <c r="O131" s="183" t="s">
        <v>452</v>
      </c>
      <c r="P131" s="183" t="s">
        <v>3182</v>
      </c>
      <c r="Q131" s="184"/>
      <c r="R131" s="184" t="s">
        <v>19</v>
      </c>
      <c r="S131" s="184" t="s">
        <v>3183</v>
      </c>
      <c r="T131" s="184"/>
      <c r="U131" s="184"/>
      <c r="V131" s="184"/>
      <c r="W131" s="184"/>
      <c r="X131" s="179"/>
      <c r="Y131" s="179"/>
      <c r="Z131" s="179"/>
      <c r="AA131" s="179"/>
    </row>
    <row r="132" spans="1:27">
      <c r="A132" s="181">
        <f ca="1">IFERROR(__xludf.DUMMYFUNCTION("IFS(B132="""","""",ISDATE(B132)=TRUE,B132,ISDATE(B132)=FALSE,TO_DATE(DATEVALUE(regexextract(B132,""\d+/\d+/\d+""))))"),44782)</f>
        <v>44782</v>
      </c>
      <c r="B132" s="182" t="s">
        <v>10188</v>
      </c>
      <c r="C132" s="183" t="s">
        <v>2309</v>
      </c>
      <c r="D132" s="183">
        <v>1.5</v>
      </c>
      <c r="E132" s="183" t="s">
        <v>2312</v>
      </c>
      <c r="F132" s="183" t="s">
        <v>5</v>
      </c>
      <c r="G132" s="183" t="s">
        <v>447</v>
      </c>
      <c r="H132" s="183" t="s">
        <v>10299</v>
      </c>
      <c r="I132" s="183">
        <v>1</v>
      </c>
      <c r="J132" s="183" t="s">
        <v>543</v>
      </c>
      <c r="K132" s="183" t="s">
        <v>10300</v>
      </c>
      <c r="L132" s="183">
        <v>2</v>
      </c>
      <c r="M132" s="183" t="s">
        <v>451</v>
      </c>
      <c r="N132" s="185">
        <v>1000000</v>
      </c>
      <c r="O132" s="183" t="s">
        <v>465</v>
      </c>
      <c r="P132" s="183" t="s">
        <v>2315</v>
      </c>
      <c r="Q132" s="183"/>
      <c r="R132" s="183" t="s">
        <v>24</v>
      </c>
      <c r="S132" s="183"/>
      <c r="T132" s="184"/>
      <c r="U132" s="184"/>
      <c r="V132" s="184"/>
      <c r="W132" s="184"/>
      <c r="X132" s="179"/>
      <c r="Y132" s="179"/>
      <c r="Z132" s="179"/>
      <c r="AA132" s="179"/>
    </row>
    <row r="133" spans="1:27">
      <c r="A133" s="181">
        <f ca="1">IFERROR(__xludf.DUMMYFUNCTION("IFS(B133="""","""",ISDATE(B133)=TRUE,B133,ISDATE(B133)=FALSE,TO_DATE(DATEVALUE(regexextract(B133,""\d+/\d+/\d+""))))"),44782)</f>
        <v>44782</v>
      </c>
      <c r="B133" s="182" t="s">
        <v>10188</v>
      </c>
      <c r="C133" s="183" t="s">
        <v>313</v>
      </c>
      <c r="D133" s="183">
        <v>4.75</v>
      </c>
      <c r="E133" s="183" t="s">
        <v>1718</v>
      </c>
      <c r="F133" s="183" t="s">
        <v>3</v>
      </c>
      <c r="G133" s="183" t="s">
        <v>460</v>
      </c>
      <c r="H133" s="183" t="s">
        <v>1719</v>
      </c>
      <c r="I133" s="183">
        <v>5</v>
      </c>
      <c r="J133" s="183" t="s">
        <v>462</v>
      </c>
      <c r="K133" s="184" t="s">
        <v>1720</v>
      </c>
      <c r="L133" s="183">
        <v>4.5</v>
      </c>
      <c r="M133" s="183" t="s">
        <v>478</v>
      </c>
      <c r="N133" s="183">
        <v>6000000</v>
      </c>
      <c r="O133" s="183" t="s">
        <v>452</v>
      </c>
      <c r="P133" s="183" t="s">
        <v>1721</v>
      </c>
      <c r="Q133" s="184"/>
      <c r="R133" s="183" t="s">
        <v>18</v>
      </c>
      <c r="S133" s="184"/>
      <c r="T133" s="184"/>
      <c r="U133" s="184"/>
      <c r="V133" s="184"/>
      <c r="W133" s="184"/>
      <c r="X133" s="179"/>
      <c r="Y133" s="179"/>
      <c r="Z133" s="179"/>
      <c r="AA133" s="179"/>
    </row>
    <row r="134" spans="1:27">
      <c r="A134" s="181">
        <f ca="1">IFERROR(__xludf.DUMMYFUNCTION("IFS(B134="""","""",ISDATE(B134)=TRUE,B134,ISDATE(B134)=FALSE,TO_DATE(DATEVALUE(regexextract(B134,""\d+/\d+/\d+""))))"),44789)</f>
        <v>44789</v>
      </c>
      <c r="B134" s="182" t="s">
        <v>6450</v>
      </c>
      <c r="C134" s="183" t="s">
        <v>693</v>
      </c>
      <c r="D134" s="183">
        <v>4</v>
      </c>
      <c r="E134" s="183" t="s">
        <v>696</v>
      </c>
      <c r="F134" s="183" t="s">
        <v>5</v>
      </c>
      <c r="G134" s="183" t="s">
        <v>447</v>
      </c>
      <c r="H134" s="183" t="s">
        <v>10301</v>
      </c>
      <c r="I134" s="183">
        <v>4</v>
      </c>
      <c r="J134" s="183" t="s">
        <v>543</v>
      </c>
      <c r="K134" s="183" t="s">
        <v>10302</v>
      </c>
      <c r="L134" s="183">
        <v>4</v>
      </c>
      <c r="M134" s="183" t="s">
        <v>451</v>
      </c>
      <c r="N134" s="187">
        <v>3000000</v>
      </c>
      <c r="O134" s="183" t="s">
        <v>452</v>
      </c>
      <c r="P134" s="183" t="s">
        <v>699</v>
      </c>
      <c r="Q134" s="184" t="s">
        <v>700</v>
      </c>
      <c r="R134" s="183" t="s">
        <v>18</v>
      </c>
      <c r="S134" s="184"/>
      <c r="T134" s="184"/>
      <c r="U134" s="184"/>
      <c r="V134" s="184"/>
      <c r="W134" s="184"/>
      <c r="X134" s="179"/>
      <c r="Y134" s="179"/>
      <c r="Z134" s="179"/>
      <c r="AA134" s="179"/>
    </row>
    <row r="135" spans="1:27">
      <c r="A135" s="181">
        <f ca="1">IFERROR(__xludf.DUMMYFUNCTION("IFS(B135="""","""",ISDATE(B135)=TRUE,B135,ISDATE(B135)=FALSE,TO_DATE(DATEVALUE(regexextract(B135,""\d+/\d+/\d+""))))"),44782)</f>
        <v>44782</v>
      </c>
      <c r="B135" s="182" t="s">
        <v>10188</v>
      </c>
      <c r="C135" s="183" t="s">
        <v>2263</v>
      </c>
      <c r="D135" s="183">
        <v>3</v>
      </c>
      <c r="E135" s="183" t="s">
        <v>2266</v>
      </c>
      <c r="F135" s="183" t="s">
        <v>5</v>
      </c>
      <c r="G135" s="183" t="s">
        <v>460</v>
      </c>
      <c r="H135" s="183" t="s">
        <v>2267</v>
      </c>
      <c r="I135" s="183">
        <v>3</v>
      </c>
      <c r="J135" s="183" t="s">
        <v>1054</v>
      </c>
      <c r="K135" s="183" t="s">
        <v>2268</v>
      </c>
      <c r="L135" s="183">
        <v>3</v>
      </c>
      <c r="M135" s="183" t="s">
        <v>451</v>
      </c>
      <c r="N135" s="185">
        <v>1300000</v>
      </c>
      <c r="O135" s="183" t="s">
        <v>465</v>
      </c>
      <c r="P135" s="183" t="s">
        <v>2269</v>
      </c>
      <c r="Q135" s="184"/>
      <c r="R135" s="183" t="s">
        <v>24</v>
      </c>
      <c r="S135" s="184" t="s">
        <v>2270</v>
      </c>
      <c r="T135" s="184"/>
      <c r="U135" s="184"/>
      <c r="V135" s="184"/>
      <c r="W135" s="184"/>
      <c r="X135" s="179"/>
      <c r="Y135" s="179"/>
      <c r="Z135" s="179"/>
      <c r="AA135" s="179"/>
    </row>
    <row r="136" spans="1:27">
      <c r="A136" s="181">
        <f ca="1">IFERROR(__xludf.DUMMYFUNCTION("IFS(B136="""","""",ISDATE(B136)=TRUE,B136,ISDATE(B136)=FALSE,TO_DATE(DATEVALUE(regexextract(B136,""\d+/\d+/\d+""))))"),44784)</f>
        <v>44784</v>
      </c>
      <c r="B136" s="182" t="s">
        <v>10173</v>
      </c>
      <c r="C136" s="183" t="s">
        <v>368</v>
      </c>
      <c r="D136" s="183">
        <v>5</v>
      </c>
      <c r="E136" s="183" t="s">
        <v>2064</v>
      </c>
      <c r="F136" s="183" t="s">
        <v>3</v>
      </c>
      <c r="G136" s="183" t="s">
        <v>460</v>
      </c>
      <c r="H136" s="183" t="s">
        <v>2065</v>
      </c>
      <c r="I136" s="183">
        <v>5</v>
      </c>
      <c r="J136" s="183" t="s">
        <v>488</v>
      </c>
      <c r="K136" s="183" t="s">
        <v>2066</v>
      </c>
      <c r="L136" s="183">
        <v>5</v>
      </c>
      <c r="M136" s="183" t="s">
        <v>973</v>
      </c>
      <c r="N136" s="185" t="s">
        <v>2067</v>
      </c>
      <c r="O136" s="183" t="s">
        <v>465</v>
      </c>
      <c r="P136" s="183" t="s">
        <v>2068</v>
      </c>
      <c r="Q136" s="184"/>
      <c r="R136" s="183" t="s">
        <v>18</v>
      </c>
      <c r="S136" s="183" t="s">
        <v>2069</v>
      </c>
      <c r="T136" s="184"/>
      <c r="U136" s="184"/>
      <c r="V136" s="184"/>
      <c r="W136" s="184"/>
      <c r="X136" s="179"/>
      <c r="Y136" s="179"/>
      <c r="Z136" s="179"/>
      <c r="AA136" s="179"/>
    </row>
    <row r="137" spans="1:27">
      <c r="A137" s="181">
        <f ca="1">IFERROR(__xludf.DUMMYFUNCTION("IFS(B137="""","""",ISDATE(B137)=TRUE,B137,ISDATE(B137)=FALSE,TO_DATE(DATEVALUE(regexextract(B137,""\d+/\d+/\d+""))))"),44782)</f>
        <v>44782</v>
      </c>
      <c r="B137" s="182" t="s">
        <v>10188</v>
      </c>
      <c r="C137" s="183" t="s">
        <v>291</v>
      </c>
      <c r="D137" s="183">
        <v>4.25</v>
      </c>
      <c r="E137" s="183" t="s">
        <v>10303</v>
      </c>
      <c r="F137" s="183" t="s">
        <v>3</v>
      </c>
      <c r="G137" s="183" t="s">
        <v>460</v>
      </c>
      <c r="H137" s="183" t="s">
        <v>1648</v>
      </c>
      <c r="I137" s="183">
        <v>4.5</v>
      </c>
      <c r="J137" s="183" t="s">
        <v>941</v>
      </c>
      <c r="K137" s="184"/>
      <c r="L137" s="183">
        <v>4</v>
      </c>
      <c r="M137" s="183"/>
      <c r="N137" s="185"/>
      <c r="O137" s="183" t="s">
        <v>452</v>
      </c>
      <c r="P137" s="183" t="s">
        <v>1119</v>
      </c>
      <c r="Q137" s="184" t="s">
        <v>1649</v>
      </c>
      <c r="R137" s="183" t="s">
        <v>18</v>
      </c>
      <c r="S137" s="183"/>
      <c r="T137" s="184"/>
      <c r="U137" s="184"/>
      <c r="V137" s="184"/>
      <c r="W137" s="184"/>
      <c r="X137" s="179"/>
      <c r="Y137" s="179"/>
      <c r="Z137" s="179"/>
      <c r="AA137" s="179"/>
    </row>
    <row r="138" spans="1:27">
      <c r="A138" s="181">
        <f ca="1">IFERROR(__xludf.DUMMYFUNCTION("IFS(B138="""","""",ISDATE(B138)=TRUE,B138,ISDATE(B138)=FALSE,TO_DATE(DATEVALUE(regexextract(B138,""\d+/\d+/\d+""))))"),44796)</f>
        <v>44796</v>
      </c>
      <c r="B138" s="182" t="s">
        <v>529</v>
      </c>
      <c r="C138" s="183" t="s">
        <v>8263</v>
      </c>
      <c r="D138" s="183">
        <v>1</v>
      </c>
      <c r="E138" s="183" t="s">
        <v>10304</v>
      </c>
      <c r="F138" s="183" t="s">
        <v>4</v>
      </c>
      <c r="G138" s="183" t="s">
        <v>727</v>
      </c>
      <c r="H138" s="183" t="s">
        <v>10305</v>
      </c>
      <c r="I138" s="183">
        <v>1</v>
      </c>
      <c r="J138" s="183" t="s">
        <v>1371</v>
      </c>
      <c r="K138" s="184" t="s">
        <v>8268</v>
      </c>
      <c r="L138" s="183">
        <v>1</v>
      </c>
      <c r="M138" s="183" t="s">
        <v>784</v>
      </c>
      <c r="N138" s="187">
        <v>500000</v>
      </c>
      <c r="O138" s="183" t="s">
        <v>452</v>
      </c>
      <c r="P138" s="183" t="s">
        <v>10306</v>
      </c>
      <c r="Q138" s="183"/>
      <c r="R138" s="183" t="s">
        <v>24</v>
      </c>
      <c r="S138" s="183"/>
      <c r="T138" s="184"/>
      <c r="U138" s="184"/>
      <c r="V138" s="184"/>
      <c r="W138" s="184"/>
      <c r="X138" s="179"/>
      <c r="Y138" s="179"/>
      <c r="Z138" s="179"/>
      <c r="AA138" s="179"/>
    </row>
    <row r="139" spans="1:27">
      <c r="A139" s="181">
        <f ca="1">IFERROR(__xludf.DUMMYFUNCTION("IFS(B139="""","""",ISDATE(B139)=TRUE,B139,ISDATE(B139)=FALSE,TO_DATE(DATEVALUE(regexextract(B139,""\d+/\d+/\d+""))))"),44796)</f>
        <v>44796</v>
      </c>
      <c r="B139" s="182" t="s">
        <v>529</v>
      </c>
      <c r="C139" s="183" t="s">
        <v>7127</v>
      </c>
      <c r="D139" s="184">
        <v>2</v>
      </c>
      <c r="E139" s="183" t="s">
        <v>7130</v>
      </c>
      <c r="F139" s="183" t="s">
        <v>4</v>
      </c>
      <c r="G139" s="183" t="s">
        <v>727</v>
      </c>
      <c r="H139" s="184" t="s">
        <v>10307</v>
      </c>
      <c r="I139" s="184">
        <v>2</v>
      </c>
      <c r="J139" s="183" t="s">
        <v>1073</v>
      </c>
      <c r="K139" s="183"/>
      <c r="L139" s="183">
        <v>2</v>
      </c>
      <c r="M139" s="184" t="s">
        <v>451</v>
      </c>
      <c r="N139" s="188" t="s">
        <v>7132</v>
      </c>
      <c r="O139" s="183" t="s">
        <v>454</v>
      </c>
      <c r="P139" s="183" t="s">
        <v>7133</v>
      </c>
      <c r="Q139" s="184" t="s">
        <v>7134</v>
      </c>
      <c r="R139" s="184" t="s">
        <v>24</v>
      </c>
      <c r="S139" s="184"/>
      <c r="T139" s="184"/>
      <c r="U139" s="184"/>
      <c r="V139" s="184"/>
      <c r="W139" s="184"/>
      <c r="X139" s="179"/>
      <c r="Y139" s="179"/>
      <c r="Z139" s="179"/>
      <c r="AA139" s="179"/>
    </row>
    <row r="140" spans="1:27">
      <c r="A140" s="181">
        <f ca="1">IFERROR(__xludf.DUMMYFUNCTION("IFS(B140="""","""",ISDATE(B140)=TRUE,B140,ISDATE(B140)=FALSE,TO_DATE(DATEVALUE(regexextract(B140,""\d+/\d+/\d+""))))"),44776)</f>
        <v>44776</v>
      </c>
      <c r="B140" s="182" t="s">
        <v>10176</v>
      </c>
      <c r="C140" s="183" t="s">
        <v>8756</v>
      </c>
      <c r="D140" s="183">
        <v>1</v>
      </c>
      <c r="E140" s="183" t="s">
        <v>8759</v>
      </c>
      <c r="F140" s="183" t="s">
        <v>3</v>
      </c>
      <c r="G140" s="183" t="s">
        <v>460</v>
      </c>
      <c r="H140" s="183" t="s">
        <v>8760</v>
      </c>
      <c r="I140" s="183">
        <v>1</v>
      </c>
      <c r="J140" s="183" t="s">
        <v>941</v>
      </c>
      <c r="K140" s="183" t="s">
        <v>8761</v>
      </c>
      <c r="L140" s="183">
        <v>1</v>
      </c>
      <c r="M140" s="183"/>
      <c r="N140" s="185"/>
      <c r="O140" s="183" t="s">
        <v>452</v>
      </c>
      <c r="P140" s="183" t="s">
        <v>10308</v>
      </c>
      <c r="Q140" s="184" t="s">
        <v>8763</v>
      </c>
      <c r="R140" s="183" t="s">
        <v>24</v>
      </c>
      <c r="S140" s="184"/>
      <c r="T140" s="184"/>
      <c r="U140" s="184"/>
      <c r="V140" s="184"/>
      <c r="W140" s="184"/>
      <c r="X140" s="179"/>
      <c r="Y140" s="179"/>
      <c r="Z140" s="179"/>
      <c r="AA140" s="179"/>
    </row>
    <row r="141" spans="1:27">
      <c r="A141" s="181">
        <f ca="1">IFERROR(__xludf.DUMMYFUNCTION("IFS(B141="""","""",ISDATE(B141)=TRUE,B141,ISDATE(B141)=FALSE,TO_DATE(DATEVALUE(regexextract(B141,""\d+/\d+/\d+""))))"),44789)</f>
        <v>44789</v>
      </c>
      <c r="B141" s="182" t="s">
        <v>6450</v>
      </c>
      <c r="C141" s="183" t="s">
        <v>2389</v>
      </c>
      <c r="D141" s="183">
        <v>2.25</v>
      </c>
      <c r="E141" s="183" t="s">
        <v>2392</v>
      </c>
      <c r="F141" s="183" t="s">
        <v>5</v>
      </c>
      <c r="G141" s="183" t="s">
        <v>447</v>
      </c>
      <c r="H141" s="183" t="s">
        <v>10309</v>
      </c>
      <c r="I141" s="183">
        <v>2</v>
      </c>
      <c r="J141" s="183" t="s">
        <v>449</v>
      </c>
      <c r="K141" s="183" t="s">
        <v>10310</v>
      </c>
      <c r="L141" s="183">
        <v>2.5</v>
      </c>
      <c r="M141" s="183" t="s">
        <v>2395</v>
      </c>
      <c r="N141" s="185">
        <v>400000</v>
      </c>
      <c r="O141" s="183" t="s">
        <v>452</v>
      </c>
      <c r="P141" s="183" t="s">
        <v>2396</v>
      </c>
      <c r="Q141" s="184"/>
      <c r="R141" s="183" t="s">
        <v>24</v>
      </c>
      <c r="S141" s="184"/>
      <c r="T141" s="184"/>
      <c r="U141" s="184"/>
      <c r="V141" s="184"/>
      <c r="W141" s="184"/>
      <c r="X141" s="179"/>
      <c r="Y141" s="179"/>
      <c r="Z141" s="179"/>
      <c r="AA141" s="179"/>
    </row>
    <row r="142" spans="1:27">
      <c r="A142" s="181">
        <f ca="1">IFERROR(__xludf.DUMMYFUNCTION("IFS(B142="""","""",ISDATE(B142)=TRUE,B142,ISDATE(B142)=FALSE,TO_DATE(DATEVALUE(regexextract(B142,""\d+/\d+/\d+""))))"),44789)</f>
        <v>44789</v>
      </c>
      <c r="B142" s="182" t="s">
        <v>6450</v>
      </c>
      <c r="C142" s="183" t="s">
        <v>62</v>
      </c>
      <c r="D142" s="183">
        <v>4.25</v>
      </c>
      <c r="E142" s="183" t="s">
        <v>446</v>
      </c>
      <c r="F142" s="183" t="s">
        <v>5</v>
      </c>
      <c r="G142" s="183" t="s">
        <v>447</v>
      </c>
      <c r="H142" s="184" t="s">
        <v>10311</v>
      </c>
      <c r="I142" s="183">
        <v>4.5</v>
      </c>
      <c r="J142" s="183" t="s">
        <v>449</v>
      </c>
      <c r="K142" s="183" t="s">
        <v>10312</v>
      </c>
      <c r="L142" s="183">
        <v>4</v>
      </c>
      <c r="M142" s="184" t="s">
        <v>451</v>
      </c>
      <c r="N142" s="186">
        <v>3000000</v>
      </c>
      <c r="O142" s="183" t="s">
        <v>452</v>
      </c>
      <c r="P142" s="183" t="s">
        <v>453</v>
      </c>
      <c r="Q142" s="184"/>
      <c r="R142" s="183" t="s">
        <v>18</v>
      </c>
      <c r="S142" s="183"/>
      <c r="T142" s="184"/>
      <c r="U142" s="184"/>
      <c r="V142" s="184"/>
      <c r="W142" s="184"/>
      <c r="X142" s="179"/>
      <c r="Y142" s="179"/>
      <c r="Z142" s="179"/>
      <c r="AA142" s="179"/>
    </row>
    <row r="143" spans="1:27">
      <c r="A143" s="181">
        <f ca="1">IFERROR(__xludf.DUMMYFUNCTION("IFS(B143="""","""",ISDATE(B143)=TRUE,B143,ISDATE(B143)=FALSE,TO_DATE(DATEVALUE(regexextract(B143,""\d+/\d+/\d+""))))"),44784)</f>
        <v>44784</v>
      </c>
      <c r="B143" s="182" t="s">
        <v>10173</v>
      </c>
      <c r="C143" s="183" t="s">
        <v>6797</v>
      </c>
      <c r="D143" s="183">
        <v>2.25</v>
      </c>
      <c r="E143" s="183" t="s">
        <v>6800</v>
      </c>
      <c r="F143" s="183" t="s">
        <v>4</v>
      </c>
      <c r="G143" s="183" t="s">
        <v>602</v>
      </c>
      <c r="H143" s="183" t="s">
        <v>6801</v>
      </c>
      <c r="I143" s="183">
        <v>2</v>
      </c>
      <c r="J143" s="183" t="s">
        <v>727</v>
      </c>
      <c r="K143" s="183" t="s">
        <v>10313</v>
      </c>
      <c r="L143" s="183">
        <v>2.5</v>
      </c>
      <c r="M143" s="183" t="s">
        <v>784</v>
      </c>
      <c r="N143" s="187">
        <v>500000</v>
      </c>
      <c r="O143" s="183" t="s">
        <v>452</v>
      </c>
      <c r="P143" s="183" t="s">
        <v>10314</v>
      </c>
      <c r="Q143" s="183"/>
      <c r="R143" s="183" t="s">
        <v>24</v>
      </c>
      <c r="S143" s="184"/>
      <c r="T143" s="184"/>
      <c r="U143" s="184"/>
      <c r="V143" s="184"/>
      <c r="W143" s="184"/>
      <c r="X143" s="179"/>
      <c r="Y143" s="179"/>
      <c r="Z143" s="179"/>
      <c r="AA143" s="179"/>
    </row>
    <row r="144" spans="1:27">
      <c r="A144" s="181">
        <f ca="1">IFERROR(__xludf.DUMMYFUNCTION("IFS(B144="""","""",ISDATE(B144)=TRUE,B144,ISDATE(B144)=FALSE,TO_DATE(DATEVALUE(regexextract(B144,""\d+/\d+/\d+""))))"),44782)</f>
        <v>44782</v>
      </c>
      <c r="B144" s="182" t="s">
        <v>10188</v>
      </c>
      <c r="C144" s="183" t="s">
        <v>417</v>
      </c>
      <c r="D144" s="184">
        <v>4.75</v>
      </c>
      <c r="E144" s="183" t="s">
        <v>10315</v>
      </c>
      <c r="F144" s="183" t="s">
        <v>5</v>
      </c>
      <c r="G144" s="183" t="s">
        <v>447</v>
      </c>
      <c r="H144" s="184" t="s">
        <v>717</v>
      </c>
      <c r="I144" s="184">
        <v>4.5</v>
      </c>
      <c r="J144" s="183" t="s">
        <v>449</v>
      </c>
      <c r="K144" s="183" t="s">
        <v>10316</v>
      </c>
      <c r="L144" s="183">
        <v>5</v>
      </c>
      <c r="M144" s="184" t="s">
        <v>451</v>
      </c>
      <c r="N144" s="186">
        <v>6000000</v>
      </c>
      <c r="O144" s="183" t="s">
        <v>454</v>
      </c>
      <c r="P144" s="183" t="s">
        <v>452</v>
      </c>
      <c r="Q144" s="184"/>
      <c r="R144" s="184" t="s">
        <v>18</v>
      </c>
      <c r="S144" s="184" t="s">
        <v>719</v>
      </c>
      <c r="T144" s="184"/>
      <c r="U144" s="184"/>
      <c r="V144" s="184"/>
      <c r="W144" s="184"/>
      <c r="X144" s="179"/>
      <c r="Y144" s="179"/>
      <c r="Z144" s="179"/>
      <c r="AA144" s="179"/>
    </row>
    <row r="145" spans="1:27">
      <c r="A145" s="181">
        <f ca="1">IFERROR(__xludf.DUMMYFUNCTION("IFS(B145="""","""",ISDATE(B145)=TRUE,B145,ISDATE(B145)=FALSE,TO_DATE(DATEVALUE(regexextract(B145,""\d+/\d+/\d+""))))"),44782)</f>
        <v>44782</v>
      </c>
      <c r="B145" s="182" t="s">
        <v>10188</v>
      </c>
      <c r="C145" s="183" t="s">
        <v>134</v>
      </c>
      <c r="D145" s="183">
        <v>3.75</v>
      </c>
      <c r="E145" s="183" t="s">
        <v>9369</v>
      </c>
      <c r="F145" s="183" t="s">
        <v>5</v>
      </c>
      <c r="G145" s="183" t="s">
        <v>447</v>
      </c>
      <c r="H145" s="183" t="s">
        <v>9370</v>
      </c>
      <c r="I145" s="183">
        <v>4</v>
      </c>
      <c r="J145" s="183" t="s">
        <v>476</v>
      </c>
      <c r="K145" s="183" t="s">
        <v>10317</v>
      </c>
      <c r="L145" s="183">
        <v>3.5</v>
      </c>
      <c r="M145" s="183" t="s">
        <v>451</v>
      </c>
      <c r="N145" s="187">
        <v>1000000</v>
      </c>
      <c r="O145" s="183" t="s">
        <v>454</v>
      </c>
      <c r="P145" s="183" t="s">
        <v>452</v>
      </c>
      <c r="Q145" s="183"/>
      <c r="R145" s="183" t="s">
        <v>19</v>
      </c>
      <c r="S145" s="183" t="s">
        <v>9372</v>
      </c>
      <c r="T145" s="184"/>
      <c r="U145" s="184"/>
      <c r="V145" s="184"/>
      <c r="W145" s="184"/>
      <c r="X145" s="179"/>
      <c r="Y145" s="179"/>
      <c r="Z145" s="179"/>
      <c r="AA145" s="179"/>
    </row>
    <row r="146" spans="1:27">
      <c r="A146" s="181">
        <f ca="1">IFERROR(__xludf.DUMMYFUNCTION("IFS(B146="""","""",ISDATE(B146)=TRUE,B146,ISDATE(B146)=FALSE,TO_DATE(DATEVALUE(regexextract(B146,""\d+/\d+/\d+""))))"),44784)</f>
        <v>44784</v>
      </c>
      <c r="B146" s="182" t="s">
        <v>10173</v>
      </c>
      <c r="C146" s="183" t="s">
        <v>275</v>
      </c>
      <c r="D146" s="183">
        <v>4.25</v>
      </c>
      <c r="E146" s="183" t="s">
        <v>1585</v>
      </c>
      <c r="F146" s="183" t="s">
        <v>4</v>
      </c>
      <c r="G146" s="183" t="s">
        <v>602</v>
      </c>
      <c r="H146" s="183" t="s">
        <v>1586</v>
      </c>
      <c r="I146" s="183">
        <v>4</v>
      </c>
      <c r="J146" s="183" t="s">
        <v>727</v>
      </c>
      <c r="K146" s="183" t="s">
        <v>10318</v>
      </c>
      <c r="L146" s="183">
        <v>4.5</v>
      </c>
      <c r="M146" s="184" t="s">
        <v>478</v>
      </c>
      <c r="N146" s="188">
        <v>4000000</v>
      </c>
      <c r="O146" s="183" t="s">
        <v>465</v>
      </c>
      <c r="P146" s="183" t="s">
        <v>1588</v>
      </c>
      <c r="Q146" s="184"/>
      <c r="R146" s="183" t="s">
        <v>18</v>
      </c>
      <c r="S146" s="183"/>
      <c r="T146" s="184"/>
      <c r="U146" s="184"/>
      <c r="V146" s="184"/>
      <c r="W146" s="184"/>
      <c r="X146" s="179"/>
      <c r="Y146" s="179"/>
      <c r="Z146" s="179"/>
      <c r="AA146" s="179"/>
    </row>
    <row r="147" spans="1:27">
      <c r="A147" s="181">
        <f ca="1">IFERROR(__xludf.DUMMYFUNCTION("IFS(B147="""","""",ISDATE(B147)=TRUE,B147,ISDATE(B147)=FALSE,TO_DATE(DATEVALUE(regexextract(B147,""\d+/\d+/\d+""))))"),44784)</f>
        <v>44784</v>
      </c>
      <c r="B147" s="182" t="s">
        <v>10173</v>
      </c>
      <c r="C147" s="183" t="s">
        <v>6639</v>
      </c>
      <c r="D147" s="183">
        <v>2.25</v>
      </c>
      <c r="E147" s="183" t="s">
        <v>6642</v>
      </c>
      <c r="F147" s="183" t="s">
        <v>4</v>
      </c>
      <c r="G147" s="183" t="s">
        <v>727</v>
      </c>
      <c r="H147" s="183" t="s">
        <v>10319</v>
      </c>
      <c r="I147" s="183">
        <v>2</v>
      </c>
      <c r="J147" s="183" t="s">
        <v>1054</v>
      </c>
      <c r="K147" s="183" t="s">
        <v>6644</v>
      </c>
      <c r="L147" s="183">
        <v>2.5</v>
      </c>
      <c r="M147" s="183" t="s">
        <v>451</v>
      </c>
      <c r="N147" s="187">
        <v>2000000</v>
      </c>
      <c r="O147" s="183" t="s">
        <v>452</v>
      </c>
      <c r="P147" s="183" t="s">
        <v>452</v>
      </c>
      <c r="Q147" s="184"/>
      <c r="R147" s="183" t="s">
        <v>24</v>
      </c>
      <c r="S147" s="183"/>
      <c r="T147" s="184"/>
      <c r="U147" s="184"/>
      <c r="V147" s="184"/>
      <c r="W147" s="184"/>
      <c r="X147" s="179"/>
      <c r="Y147" s="179"/>
      <c r="Z147" s="179"/>
      <c r="AA147" s="179"/>
    </row>
    <row r="148" spans="1:27">
      <c r="A148" s="181">
        <f ca="1">IFERROR(__xludf.DUMMYFUNCTION("IFS(B148="""","""",ISDATE(B148)=TRUE,B148,ISDATE(B148)=FALSE,TO_DATE(DATEVALUE(regexextract(B148,""\d+/\d+/\d+""))))"),44796)</f>
        <v>44796</v>
      </c>
      <c r="B148" s="182" t="s">
        <v>529</v>
      </c>
      <c r="C148" s="183" t="s">
        <v>6375</v>
      </c>
      <c r="D148" s="183">
        <v>2.5</v>
      </c>
      <c r="E148" s="183" t="s">
        <v>6378</v>
      </c>
      <c r="F148" s="183" t="s">
        <v>4</v>
      </c>
      <c r="G148" s="183" t="s">
        <v>602</v>
      </c>
      <c r="H148" s="183" t="s">
        <v>6379</v>
      </c>
      <c r="I148" s="183">
        <v>2</v>
      </c>
      <c r="J148" s="183" t="s">
        <v>1054</v>
      </c>
      <c r="K148" s="183" t="s">
        <v>6380</v>
      </c>
      <c r="L148" s="183">
        <v>3</v>
      </c>
      <c r="M148" s="183" t="s">
        <v>451</v>
      </c>
      <c r="N148" s="187">
        <v>2500000</v>
      </c>
      <c r="O148" s="183" t="s">
        <v>452</v>
      </c>
      <c r="P148" s="183" t="s">
        <v>6381</v>
      </c>
      <c r="Q148" s="184"/>
      <c r="R148" s="183" t="s">
        <v>24</v>
      </c>
      <c r="S148" s="184"/>
      <c r="T148" s="184"/>
      <c r="U148" s="184"/>
      <c r="V148" s="184"/>
      <c r="W148" s="184"/>
      <c r="X148" s="179"/>
      <c r="Y148" s="179"/>
      <c r="Z148" s="179"/>
      <c r="AA148" s="179"/>
    </row>
    <row r="149" spans="1:27">
      <c r="A149" s="181">
        <f ca="1">IFERROR(__xludf.DUMMYFUNCTION("IFS(B149="""","""",ISDATE(B149)=TRUE,B149,ISDATE(B149)=FALSE,TO_DATE(DATEVALUE(regexextract(B149,""\d+/\d+/\d+""))))"),44784)</f>
        <v>44784</v>
      </c>
      <c r="B149" s="182" t="s">
        <v>10173</v>
      </c>
      <c r="C149" s="183" t="s">
        <v>5080</v>
      </c>
      <c r="D149" s="184">
        <v>3.25</v>
      </c>
      <c r="E149" s="183" t="s">
        <v>10320</v>
      </c>
      <c r="F149" s="183" t="s">
        <v>4</v>
      </c>
      <c r="G149" s="183" t="s">
        <v>727</v>
      </c>
      <c r="H149" s="184" t="s">
        <v>10321</v>
      </c>
      <c r="I149" s="184">
        <v>3.5</v>
      </c>
      <c r="J149" s="183" t="s">
        <v>1054</v>
      </c>
      <c r="K149" s="183" t="s">
        <v>5085</v>
      </c>
      <c r="L149" s="183">
        <v>3</v>
      </c>
      <c r="M149" s="184" t="s">
        <v>451</v>
      </c>
      <c r="N149" s="188">
        <v>2500000</v>
      </c>
      <c r="O149" s="183" t="s">
        <v>452</v>
      </c>
      <c r="P149" s="183" t="s">
        <v>10322</v>
      </c>
      <c r="Q149" s="184" t="s">
        <v>727</v>
      </c>
      <c r="R149" s="184" t="s">
        <v>24</v>
      </c>
      <c r="S149" s="184"/>
      <c r="T149" s="184"/>
      <c r="U149" s="184"/>
      <c r="V149" s="184"/>
      <c r="W149" s="184"/>
      <c r="X149" s="179"/>
      <c r="Y149" s="179"/>
      <c r="Z149" s="179"/>
      <c r="AA149" s="179"/>
    </row>
    <row r="150" spans="1:27">
      <c r="A150" s="181">
        <f ca="1">IFERROR(__xludf.DUMMYFUNCTION("IFS(B150="""","""",ISDATE(B150)=TRUE,B150,ISDATE(B150)=FALSE,TO_DATE(DATEVALUE(regexextract(B150,""\d+/\d+/\d+""))))"),44784)</f>
        <v>44784</v>
      </c>
      <c r="B150" s="182" t="s">
        <v>10173</v>
      </c>
      <c r="C150" s="183" t="s">
        <v>99</v>
      </c>
      <c r="D150" s="183">
        <v>4.5</v>
      </c>
      <c r="E150" s="183" t="s">
        <v>724</v>
      </c>
      <c r="F150" s="183" t="s">
        <v>5</v>
      </c>
      <c r="G150" s="183" t="s">
        <v>725</v>
      </c>
      <c r="H150" s="183" t="s">
        <v>10323</v>
      </c>
      <c r="I150" s="183">
        <v>5</v>
      </c>
      <c r="J150" s="183" t="s">
        <v>727</v>
      </c>
      <c r="K150" s="183" t="s">
        <v>10324</v>
      </c>
      <c r="L150" s="183">
        <v>4</v>
      </c>
      <c r="M150" s="183" t="s">
        <v>451</v>
      </c>
      <c r="N150" s="187" t="s">
        <v>729</v>
      </c>
      <c r="O150" s="183" t="s">
        <v>452</v>
      </c>
      <c r="P150" s="183" t="s">
        <v>730</v>
      </c>
      <c r="Q150" s="184"/>
      <c r="R150" s="183" t="s">
        <v>18</v>
      </c>
      <c r="S150" s="184" t="s">
        <v>731</v>
      </c>
      <c r="T150" s="184"/>
      <c r="U150" s="184"/>
      <c r="V150" s="184"/>
      <c r="W150" s="184"/>
      <c r="X150" s="179"/>
      <c r="Y150" s="179"/>
      <c r="Z150" s="179"/>
      <c r="AA150" s="179"/>
    </row>
    <row r="151" spans="1:27">
      <c r="A151" s="181">
        <f ca="1">IFERROR(__xludf.DUMMYFUNCTION("IFS(B151="""","""",ISDATE(B151)=TRUE,B151,ISDATE(B151)=FALSE,TO_DATE(DATEVALUE(regexextract(B151,""\d+/\d+/\d+""))))"),44782)</f>
        <v>44782</v>
      </c>
      <c r="B151" s="182" t="s">
        <v>10188</v>
      </c>
      <c r="C151" s="183" t="s">
        <v>1327</v>
      </c>
      <c r="D151" s="184">
        <v>3.5</v>
      </c>
      <c r="E151" s="183" t="s">
        <v>1330</v>
      </c>
      <c r="F151" s="183" t="s">
        <v>4</v>
      </c>
      <c r="G151" s="183" t="s">
        <v>447</v>
      </c>
      <c r="H151" s="183" t="s">
        <v>10325</v>
      </c>
      <c r="I151" s="184">
        <v>3.5</v>
      </c>
      <c r="J151" s="183" t="s">
        <v>543</v>
      </c>
      <c r="K151" s="184" t="s">
        <v>1332</v>
      </c>
      <c r="L151" s="184">
        <v>3.5</v>
      </c>
      <c r="M151" s="183"/>
      <c r="N151" s="187"/>
      <c r="O151" s="183" t="s">
        <v>452</v>
      </c>
      <c r="P151" s="183" t="s">
        <v>10326</v>
      </c>
      <c r="Q151" s="183"/>
      <c r="R151" s="184" t="s">
        <v>19</v>
      </c>
      <c r="S151" s="184" t="s">
        <v>1334</v>
      </c>
      <c r="T151" s="184"/>
      <c r="U151" s="184"/>
      <c r="V151" s="184"/>
      <c r="W151" s="184"/>
      <c r="X151" s="179"/>
      <c r="Y151" s="179"/>
      <c r="Z151" s="179"/>
      <c r="AA151" s="179"/>
    </row>
    <row r="152" spans="1:27">
      <c r="A152" s="181">
        <f ca="1">IFERROR(__xludf.DUMMYFUNCTION("IFS(B152="""","""",ISDATE(B152)=TRUE,B152,ISDATE(B152)=FALSE,TO_DATE(DATEVALUE(regexextract(B152,""\d+/\d+/\d+""))))"),44784)</f>
        <v>44784</v>
      </c>
      <c r="B152" s="182" t="s">
        <v>10173</v>
      </c>
      <c r="C152" s="183" t="s">
        <v>4313</v>
      </c>
      <c r="D152" s="183">
        <v>3.75</v>
      </c>
      <c r="E152" s="183" t="s">
        <v>4316</v>
      </c>
      <c r="F152" s="183" t="s">
        <v>4</v>
      </c>
      <c r="G152" s="183" t="s">
        <v>725</v>
      </c>
      <c r="H152" s="183" t="s">
        <v>10327</v>
      </c>
      <c r="I152" s="183">
        <v>3.5</v>
      </c>
      <c r="J152" s="183" t="s">
        <v>1054</v>
      </c>
      <c r="K152" s="183" t="s">
        <v>4318</v>
      </c>
      <c r="L152" s="183">
        <v>4</v>
      </c>
      <c r="M152" s="183"/>
      <c r="N152" s="185"/>
      <c r="O152" s="183" t="s">
        <v>452</v>
      </c>
      <c r="P152" s="183" t="s">
        <v>10328</v>
      </c>
      <c r="Q152" s="183"/>
      <c r="R152" s="183" t="s">
        <v>24</v>
      </c>
      <c r="S152" s="183" t="s">
        <v>4320</v>
      </c>
      <c r="T152" s="184"/>
      <c r="U152" s="184"/>
      <c r="V152" s="184"/>
      <c r="W152" s="184"/>
      <c r="X152" s="179"/>
      <c r="Y152" s="179"/>
      <c r="Z152" s="179"/>
      <c r="AA152" s="179"/>
    </row>
    <row r="153" spans="1:27">
      <c r="A153" s="181">
        <f ca="1">IFERROR(__xludf.DUMMYFUNCTION("IFS(B153="""","""",ISDATE(B153)=TRUE,B153,ISDATE(B153)=FALSE,TO_DATE(DATEVALUE(regexextract(B153,""\d+/\d+/\d+""))))"),44784)</f>
        <v>44784</v>
      </c>
      <c r="B153" s="182" t="s">
        <v>10173</v>
      </c>
      <c r="C153" s="183" t="s">
        <v>6434</v>
      </c>
      <c r="D153" s="184">
        <v>2.5</v>
      </c>
      <c r="E153" s="184" t="s">
        <v>10329</v>
      </c>
      <c r="F153" s="183" t="s">
        <v>4</v>
      </c>
      <c r="G153" s="183" t="s">
        <v>725</v>
      </c>
      <c r="H153" s="183"/>
      <c r="I153" s="183">
        <v>3</v>
      </c>
      <c r="J153" s="183" t="s">
        <v>727</v>
      </c>
      <c r="K153" s="184" t="s">
        <v>10330</v>
      </c>
      <c r="L153" s="184">
        <v>2</v>
      </c>
      <c r="M153" s="183"/>
      <c r="N153" s="187"/>
      <c r="O153" s="183" t="s">
        <v>452</v>
      </c>
      <c r="P153" s="183" t="s">
        <v>1119</v>
      </c>
      <c r="Q153" s="184"/>
      <c r="R153" s="184" t="s">
        <v>24</v>
      </c>
      <c r="S153" s="184"/>
      <c r="T153" s="184"/>
      <c r="U153" s="184"/>
      <c r="V153" s="184"/>
      <c r="W153" s="184"/>
      <c r="X153" s="179"/>
      <c r="Y153" s="179"/>
      <c r="Z153" s="179"/>
      <c r="AA153" s="179"/>
    </row>
    <row r="154" spans="1:27">
      <c r="A154" s="181">
        <f ca="1">IFERROR(__xludf.DUMMYFUNCTION("IFS(B154="""","""",ISDATE(B154)=TRUE,B154,ISDATE(B154)=FALSE,TO_DATE(DATEVALUE(regexextract(B154,""\d+/\d+/\d+""))))"),44782)</f>
        <v>44782</v>
      </c>
      <c r="B154" s="182" t="s">
        <v>10188</v>
      </c>
      <c r="C154" s="183" t="s">
        <v>2507</v>
      </c>
      <c r="D154" s="184">
        <v>3</v>
      </c>
      <c r="E154" s="183" t="s">
        <v>2510</v>
      </c>
      <c r="F154" s="183" t="s">
        <v>5</v>
      </c>
      <c r="G154" s="183" t="s">
        <v>447</v>
      </c>
      <c r="H154" s="184" t="s">
        <v>10331</v>
      </c>
      <c r="I154" s="184">
        <v>4</v>
      </c>
      <c r="J154" s="183" t="s">
        <v>622</v>
      </c>
      <c r="K154" s="184"/>
      <c r="L154" s="184">
        <v>2</v>
      </c>
      <c r="M154" s="184"/>
      <c r="N154" s="188"/>
      <c r="O154" s="183" t="s">
        <v>452</v>
      </c>
      <c r="P154" s="183" t="s">
        <v>2512</v>
      </c>
      <c r="Q154" s="183"/>
      <c r="R154" s="184" t="s">
        <v>24</v>
      </c>
      <c r="S154" s="184"/>
      <c r="T154" s="184"/>
      <c r="U154" s="184"/>
      <c r="V154" s="184"/>
      <c r="W154" s="184"/>
      <c r="X154" s="179"/>
      <c r="Y154" s="179"/>
      <c r="Z154" s="179"/>
      <c r="AA154" s="179"/>
    </row>
    <row r="155" spans="1:27">
      <c r="A155" s="181">
        <f ca="1">IFERROR(__xludf.DUMMYFUNCTION("IFS(B155="""","""",ISDATE(B155)=TRUE,B155,ISDATE(B155)=FALSE,TO_DATE(DATEVALUE(regexextract(B155,""\d+/\d+/\d+""))))"),44791)</f>
        <v>44791</v>
      </c>
      <c r="B155" s="182" t="s">
        <v>10182</v>
      </c>
      <c r="C155" s="183" t="s">
        <v>6061</v>
      </c>
      <c r="D155" s="183">
        <v>2.75</v>
      </c>
      <c r="E155" s="183" t="s">
        <v>6064</v>
      </c>
      <c r="F155" s="183" t="s">
        <v>4</v>
      </c>
      <c r="G155" s="183" t="s">
        <v>725</v>
      </c>
      <c r="H155" s="183" t="s">
        <v>10332</v>
      </c>
      <c r="I155" s="183">
        <v>3</v>
      </c>
      <c r="J155" s="183" t="s">
        <v>1054</v>
      </c>
      <c r="K155" s="183" t="s">
        <v>6066</v>
      </c>
      <c r="L155" s="183">
        <v>2.5</v>
      </c>
      <c r="M155" s="183"/>
      <c r="N155" s="187"/>
      <c r="O155" s="183" t="s">
        <v>452</v>
      </c>
      <c r="P155" s="183" t="s">
        <v>6067</v>
      </c>
      <c r="Q155" s="183"/>
      <c r="R155" s="183" t="s">
        <v>24</v>
      </c>
      <c r="S155" s="184"/>
      <c r="T155" s="184"/>
      <c r="U155" s="184"/>
      <c r="V155" s="184"/>
      <c r="W155" s="184"/>
      <c r="X155" s="179"/>
      <c r="Y155" s="179"/>
      <c r="Z155" s="179"/>
      <c r="AA155" s="179"/>
    </row>
    <row r="156" spans="1:27">
      <c r="A156" s="181">
        <f ca="1">IFERROR(__xludf.DUMMYFUNCTION("IFS(B156="""","""",ISDATE(B156)=TRUE,B156,ISDATE(B156)=FALSE,TO_DATE(DATEVALUE(regexextract(B156,""\d+/\d+/\d+""))))"),44784)</f>
        <v>44784</v>
      </c>
      <c r="B156" s="182" t="s">
        <v>10173</v>
      </c>
      <c r="C156" s="183" t="s">
        <v>7332</v>
      </c>
      <c r="D156" s="183">
        <v>2</v>
      </c>
      <c r="E156" s="183" t="s">
        <v>7335</v>
      </c>
      <c r="F156" s="183" t="s">
        <v>4</v>
      </c>
      <c r="G156" s="183" t="s">
        <v>602</v>
      </c>
      <c r="H156" s="183"/>
      <c r="I156" s="183">
        <v>2</v>
      </c>
      <c r="J156" s="183" t="s">
        <v>1054</v>
      </c>
      <c r="K156" s="184" t="s">
        <v>7336</v>
      </c>
      <c r="L156" s="183">
        <v>2</v>
      </c>
      <c r="M156" s="183"/>
      <c r="N156" s="187"/>
      <c r="O156" s="183" t="s">
        <v>452</v>
      </c>
      <c r="P156" s="183" t="s">
        <v>452</v>
      </c>
      <c r="Q156" s="184" t="s">
        <v>447</v>
      </c>
      <c r="R156" s="183" t="s">
        <v>24</v>
      </c>
      <c r="S156" s="184"/>
      <c r="T156" s="184"/>
      <c r="U156" s="184"/>
      <c r="V156" s="184"/>
      <c r="W156" s="184"/>
      <c r="X156" s="179"/>
      <c r="Y156" s="179"/>
      <c r="Z156" s="179"/>
      <c r="AA156" s="179"/>
    </row>
    <row r="157" spans="1:27">
      <c r="A157" s="181">
        <f ca="1">IFERROR(__xludf.DUMMYFUNCTION("IFS(B157="""","""",ISDATE(B157)=TRUE,B157,ISDATE(B157)=FALSE,TO_DATE(DATEVALUE(regexextract(B157,""\d+/\d+/\d+""))))"),44784)</f>
        <v>44784</v>
      </c>
      <c r="B157" s="182" t="s">
        <v>10173</v>
      </c>
      <c r="C157" s="183" t="s">
        <v>139</v>
      </c>
      <c r="D157" s="183">
        <v>3.75</v>
      </c>
      <c r="E157" s="183" t="s">
        <v>10333</v>
      </c>
      <c r="F157" s="183" t="s">
        <v>5</v>
      </c>
      <c r="G157" s="183" t="s">
        <v>727</v>
      </c>
      <c r="H157" s="183" t="s">
        <v>10334</v>
      </c>
      <c r="I157" s="183">
        <v>3.5</v>
      </c>
      <c r="J157" s="183" t="s">
        <v>1054</v>
      </c>
      <c r="K157" s="183" t="s">
        <v>3263</v>
      </c>
      <c r="L157" s="183">
        <v>4</v>
      </c>
      <c r="M157" s="183" t="s">
        <v>451</v>
      </c>
      <c r="N157" s="185" t="s">
        <v>3264</v>
      </c>
      <c r="O157" s="183" t="s">
        <v>452</v>
      </c>
      <c r="P157" s="183" t="s">
        <v>452</v>
      </c>
      <c r="Q157" s="184" t="s">
        <v>460</v>
      </c>
      <c r="R157" s="183" t="s">
        <v>19</v>
      </c>
      <c r="S157" s="183" t="s">
        <v>3265</v>
      </c>
      <c r="T157" s="184"/>
      <c r="U157" s="184"/>
      <c r="V157" s="184"/>
      <c r="W157" s="184"/>
      <c r="X157" s="179"/>
      <c r="Y157" s="179"/>
      <c r="Z157" s="179"/>
      <c r="AA157" s="179"/>
    </row>
    <row r="158" spans="1:27">
      <c r="A158" s="181">
        <f ca="1">IFERROR(__xludf.DUMMYFUNCTION("IFS(B158="""","""",ISDATE(B158)=TRUE,B158,ISDATE(B158)=FALSE,TO_DATE(DATEVALUE(regexextract(B158,""\d+/\d+/\d+""))))"),44784)</f>
        <v>44784</v>
      </c>
      <c r="B158" s="182" t="s">
        <v>10173</v>
      </c>
      <c r="C158" s="183" t="s">
        <v>6964</v>
      </c>
      <c r="D158" s="184">
        <v>2</v>
      </c>
      <c r="E158" s="183" t="s">
        <v>6967</v>
      </c>
      <c r="F158" s="183" t="s">
        <v>4</v>
      </c>
      <c r="G158" s="183" t="s">
        <v>725</v>
      </c>
      <c r="H158" s="184" t="s">
        <v>6968</v>
      </c>
      <c r="I158" s="184">
        <v>2</v>
      </c>
      <c r="J158" s="183" t="s">
        <v>1054</v>
      </c>
      <c r="K158" s="184" t="s">
        <v>6969</v>
      </c>
      <c r="L158" s="184">
        <v>2</v>
      </c>
      <c r="M158" s="183" t="s">
        <v>784</v>
      </c>
      <c r="N158" s="187">
        <v>500000</v>
      </c>
      <c r="O158" s="183" t="s">
        <v>452</v>
      </c>
      <c r="P158" s="183" t="s">
        <v>6970</v>
      </c>
      <c r="Q158" s="184"/>
      <c r="R158" s="184" t="s">
        <v>24</v>
      </c>
      <c r="S158" s="184"/>
      <c r="T158" s="184"/>
      <c r="U158" s="184"/>
      <c r="V158" s="184"/>
      <c r="W158" s="184"/>
      <c r="X158" s="179"/>
      <c r="Y158" s="179"/>
      <c r="Z158" s="179"/>
      <c r="AA158" s="179"/>
    </row>
    <row r="159" spans="1:27">
      <c r="A159" s="181">
        <f ca="1">IFERROR(__xludf.DUMMYFUNCTION("IFS(B159="""","""",ISDATE(B159)=TRUE,B159,ISDATE(B159)=FALSE,TO_DATE(DATEVALUE(regexextract(B159,""\d+/\d+/\d+""))))"),44784)</f>
        <v>44784</v>
      </c>
      <c r="B159" s="182" t="s">
        <v>10173</v>
      </c>
      <c r="C159" s="183" t="s">
        <v>5503</v>
      </c>
      <c r="D159" s="183">
        <v>3</v>
      </c>
      <c r="E159" s="183" t="s">
        <v>5506</v>
      </c>
      <c r="F159" s="183" t="s">
        <v>4</v>
      </c>
      <c r="G159" s="183" t="s">
        <v>727</v>
      </c>
      <c r="H159" s="183"/>
      <c r="I159" s="183">
        <v>3</v>
      </c>
      <c r="J159" s="183" t="s">
        <v>1054</v>
      </c>
      <c r="K159" s="184" t="s">
        <v>5507</v>
      </c>
      <c r="L159" s="183">
        <v>3</v>
      </c>
      <c r="M159" s="183" t="s">
        <v>451</v>
      </c>
      <c r="N159" s="187" t="s">
        <v>5508</v>
      </c>
      <c r="O159" s="183" t="s">
        <v>452</v>
      </c>
      <c r="P159" s="183" t="s">
        <v>10335</v>
      </c>
      <c r="Q159" s="184"/>
      <c r="R159" s="183" t="s">
        <v>24</v>
      </c>
      <c r="S159" s="184"/>
      <c r="T159" s="184"/>
      <c r="U159" s="184"/>
      <c r="V159" s="184"/>
      <c r="W159" s="184"/>
      <c r="X159" s="179"/>
      <c r="Y159" s="179"/>
      <c r="Z159" s="179"/>
      <c r="AA159" s="179"/>
    </row>
    <row r="160" spans="1:27">
      <c r="A160" s="181">
        <f ca="1">IFERROR(__xludf.DUMMYFUNCTION("IFS(B160="""","""",ISDATE(B160)=TRUE,B160,ISDATE(B160)=FALSE,TO_DATE(DATEVALUE(regexextract(B160,""\d+/\d+/\d+""))))"),44784)</f>
        <v>44784</v>
      </c>
      <c r="B160" s="182" t="s">
        <v>10173</v>
      </c>
      <c r="C160" s="183" t="s">
        <v>6026</v>
      </c>
      <c r="D160" s="183">
        <v>2.75</v>
      </c>
      <c r="E160" s="183" t="s">
        <v>6029</v>
      </c>
      <c r="F160" s="183" t="s">
        <v>4</v>
      </c>
      <c r="G160" s="183" t="s">
        <v>602</v>
      </c>
      <c r="H160" s="183" t="s">
        <v>10336</v>
      </c>
      <c r="I160" s="183">
        <v>2.5</v>
      </c>
      <c r="J160" s="183" t="s">
        <v>1054</v>
      </c>
      <c r="K160" s="183" t="s">
        <v>6031</v>
      </c>
      <c r="L160" s="183">
        <v>3</v>
      </c>
      <c r="M160" s="183"/>
      <c r="N160" s="192"/>
      <c r="O160" s="183" t="s">
        <v>452</v>
      </c>
      <c r="P160" s="183" t="s">
        <v>452</v>
      </c>
      <c r="Q160" s="184"/>
      <c r="R160" s="183" t="s">
        <v>24</v>
      </c>
      <c r="S160" s="184"/>
      <c r="T160" s="184"/>
      <c r="U160" s="184"/>
      <c r="V160" s="184"/>
      <c r="W160" s="184"/>
      <c r="X160" s="179"/>
      <c r="Y160" s="179"/>
      <c r="Z160" s="179"/>
      <c r="AA160" s="179"/>
    </row>
    <row r="161" spans="1:27">
      <c r="A161" s="181">
        <f ca="1">IFERROR(__xludf.DUMMYFUNCTION("IFS(B161="""","""",ISDATE(B161)=TRUE,B161,ISDATE(B161)=FALSE,TO_DATE(DATEVALUE(regexextract(B161,""\d+/\d+/\d+""))))"),44789)</f>
        <v>44789</v>
      </c>
      <c r="B161" s="182" t="s">
        <v>6450</v>
      </c>
      <c r="C161" s="183" t="s">
        <v>8422</v>
      </c>
      <c r="D161" s="183">
        <v>2.75</v>
      </c>
      <c r="E161" s="183" t="s">
        <v>8425</v>
      </c>
      <c r="F161" s="183" t="s">
        <v>3</v>
      </c>
      <c r="G161" s="183" t="s">
        <v>460</v>
      </c>
      <c r="H161" s="183" t="s">
        <v>8426</v>
      </c>
      <c r="I161" s="183">
        <v>2.5</v>
      </c>
      <c r="J161" s="183" t="s">
        <v>488</v>
      </c>
      <c r="K161" s="183"/>
      <c r="L161" s="183">
        <v>3</v>
      </c>
      <c r="M161" s="184" t="s">
        <v>451</v>
      </c>
      <c r="N161" s="186">
        <v>700000</v>
      </c>
      <c r="O161" s="183" t="s">
        <v>452</v>
      </c>
      <c r="P161" s="183" t="s">
        <v>8427</v>
      </c>
      <c r="Q161" s="184" t="s">
        <v>8428</v>
      </c>
      <c r="R161" s="183" t="s">
        <v>24</v>
      </c>
      <c r="S161" s="183"/>
      <c r="T161" s="184"/>
      <c r="U161" s="184"/>
      <c r="V161" s="184"/>
      <c r="W161" s="184"/>
      <c r="X161" s="179"/>
      <c r="Y161" s="179"/>
      <c r="Z161" s="179"/>
      <c r="AA161" s="179"/>
    </row>
    <row r="162" spans="1:27">
      <c r="A162" s="181">
        <f ca="1">IFERROR(__xludf.DUMMYFUNCTION("IFS(B162="""","""",ISDATE(B162)=TRUE,B162,ISDATE(B162)=FALSE,TO_DATE(DATEVALUE(regexextract(B162,""\d+/\d+/\d+""))))"),44796)</f>
        <v>44796</v>
      </c>
      <c r="B162" s="182" t="s">
        <v>529</v>
      </c>
      <c r="C162" s="183" t="s">
        <v>2203</v>
      </c>
      <c r="D162" s="184">
        <v>3.25</v>
      </c>
      <c r="E162" s="183" t="s">
        <v>10337</v>
      </c>
      <c r="F162" s="183" t="s">
        <v>5</v>
      </c>
      <c r="G162" s="183" t="s">
        <v>460</v>
      </c>
      <c r="H162" s="184" t="s">
        <v>2207</v>
      </c>
      <c r="I162" s="184">
        <v>3.5</v>
      </c>
      <c r="J162" s="183" t="s">
        <v>941</v>
      </c>
      <c r="K162" s="184" t="s">
        <v>2208</v>
      </c>
      <c r="L162" s="183">
        <v>3</v>
      </c>
      <c r="M162" s="184" t="s">
        <v>2209</v>
      </c>
      <c r="N162" s="188">
        <v>10000000</v>
      </c>
      <c r="O162" s="183" t="s">
        <v>452</v>
      </c>
      <c r="P162" s="183" t="s">
        <v>10338</v>
      </c>
      <c r="Q162" s="184"/>
      <c r="R162" s="184" t="s">
        <v>24</v>
      </c>
      <c r="S162" s="184" t="s">
        <v>2211</v>
      </c>
      <c r="T162" s="184"/>
      <c r="U162" s="184"/>
      <c r="V162" s="184"/>
      <c r="W162" s="184"/>
      <c r="X162" s="179"/>
      <c r="Y162" s="179"/>
      <c r="Z162" s="179"/>
      <c r="AA162" s="179"/>
    </row>
    <row r="163" spans="1:27">
      <c r="A163" s="181">
        <f ca="1">IFERROR(__xludf.DUMMYFUNCTION("IFS(B163="""","""",ISDATE(B163)=TRUE,B163,ISDATE(B163)=FALSE,TO_DATE(DATEVALUE(regexextract(B163,""\d+/\d+/\d+""))))"),44784)</f>
        <v>44784</v>
      </c>
      <c r="B163" s="182" t="s">
        <v>10173</v>
      </c>
      <c r="C163" s="183" t="s">
        <v>281</v>
      </c>
      <c r="D163" s="183">
        <v>3.75</v>
      </c>
      <c r="E163" s="183" t="s">
        <v>4307</v>
      </c>
      <c r="F163" s="183" t="s">
        <v>4</v>
      </c>
      <c r="G163" s="183" t="s">
        <v>727</v>
      </c>
      <c r="H163" s="183" t="s">
        <v>10339</v>
      </c>
      <c r="I163" s="183">
        <v>4</v>
      </c>
      <c r="J163" s="183" t="s">
        <v>1054</v>
      </c>
      <c r="K163" s="183" t="s">
        <v>4309</v>
      </c>
      <c r="L163" s="183">
        <v>3.5</v>
      </c>
      <c r="M163" s="183"/>
      <c r="N163" s="187"/>
      <c r="O163" s="183" t="s">
        <v>452</v>
      </c>
      <c r="P163" s="183" t="s">
        <v>452</v>
      </c>
      <c r="Q163" s="184"/>
      <c r="R163" s="183" t="s">
        <v>18</v>
      </c>
      <c r="S163" s="184" t="s">
        <v>4310</v>
      </c>
      <c r="T163" s="184"/>
      <c r="U163" s="184"/>
      <c r="V163" s="184"/>
      <c r="W163" s="184"/>
      <c r="X163" s="179"/>
      <c r="Y163" s="179"/>
      <c r="Z163" s="179"/>
      <c r="AA163" s="179"/>
    </row>
    <row r="164" spans="1:27">
      <c r="A164" s="181">
        <f ca="1">IFERROR(__xludf.DUMMYFUNCTION("IFS(B164="""","""",ISDATE(B164)=TRUE,B164,ISDATE(B164)=FALSE,TO_DATE(DATEVALUE(regexextract(B164,""\d+/\d+/\d+""))))"),44789)</f>
        <v>44789</v>
      </c>
      <c r="B164" s="189" t="s">
        <v>6450</v>
      </c>
      <c r="C164" s="183" t="s">
        <v>8431</v>
      </c>
      <c r="D164" s="183">
        <v>2</v>
      </c>
      <c r="E164" s="183" t="s">
        <v>8434</v>
      </c>
      <c r="F164" s="183" t="s">
        <v>3</v>
      </c>
      <c r="G164" s="183" t="s">
        <v>460</v>
      </c>
      <c r="H164" s="183" t="s">
        <v>8435</v>
      </c>
      <c r="I164" s="183">
        <v>2</v>
      </c>
      <c r="J164" s="183" t="s">
        <v>941</v>
      </c>
      <c r="K164" s="183"/>
      <c r="L164" s="183">
        <v>2</v>
      </c>
      <c r="M164" s="184" t="s">
        <v>478</v>
      </c>
      <c r="N164" s="188" t="s">
        <v>8436</v>
      </c>
      <c r="O164" s="183" t="s">
        <v>452</v>
      </c>
      <c r="P164" s="183" t="s">
        <v>452</v>
      </c>
      <c r="Q164" s="183"/>
      <c r="R164" s="183" t="s">
        <v>24</v>
      </c>
      <c r="S164" s="183"/>
      <c r="T164" s="184"/>
      <c r="U164" s="184"/>
      <c r="V164" s="184"/>
      <c r="W164" s="184"/>
      <c r="X164" s="179"/>
      <c r="Y164" s="179"/>
      <c r="Z164" s="179"/>
      <c r="AA164" s="179"/>
    </row>
    <row r="165" spans="1:27">
      <c r="A165" s="181">
        <f ca="1">IFERROR(__xludf.DUMMYFUNCTION("IFS(B165="""","""",ISDATE(B165)=TRUE,B165,ISDATE(B165)=FALSE,TO_DATE(DATEVALUE(regexextract(B165,""\d+/\d+/\d+""))))"),44784)</f>
        <v>44784</v>
      </c>
      <c r="B165" s="182" t="s">
        <v>10173</v>
      </c>
      <c r="C165" s="183" t="s">
        <v>4917</v>
      </c>
      <c r="D165" s="183">
        <v>3.5</v>
      </c>
      <c r="E165" s="183" t="s">
        <v>4920</v>
      </c>
      <c r="F165" s="183" t="s">
        <v>4</v>
      </c>
      <c r="G165" s="183" t="s">
        <v>602</v>
      </c>
      <c r="H165" s="183"/>
      <c r="I165" s="183">
        <v>3</v>
      </c>
      <c r="J165" s="183" t="s">
        <v>1054</v>
      </c>
      <c r="K165" s="183" t="s">
        <v>4921</v>
      </c>
      <c r="L165" s="183">
        <v>4</v>
      </c>
      <c r="M165" s="183" t="s">
        <v>451</v>
      </c>
      <c r="N165" s="187">
        <v>800000</v>
      </c>
      <c r="O165" s="183" t="s">
        <v>452</v>
      </c>
      <c r="P165" s="183" t="s">
        <v>4922</v>
      </c>
      <c r="Q165" s="184"/>
      <c r="R165" s="183" t="s">
        <v>24</v>
      </c>
      <c r="S165" s="184"/>
      <c r="T165" s="184"/>
      <c r="U165" s="184"/>
      <c r="V165" s="184"/>
      <c r="W165" s="184"/>
      <c r="X165" s="179"/>
      <c r="Y165" s="179"/>
      <c r="Z165" s="179"/>
      <c r="AA165" s="179"/>
    </row>
    <row r="166" spans="1:27">
      <c r="A166" s="181">
        <f ca="1">IFERROR(__xludf.DUMMYFUNCTION("IFS(B166="""","""",ISDATE(B166)=TRUE,B166,ISDATE(B166)=FALSE,TO_DATE(DATEVALUE(regexextract(B166,""\d+/\d+/\d+""))))"),44789)</f>
        <v>44789</v>
      </c>
      <c r="B166" s="182" t="s">
        <v>6450</v>
      </c>
      <c r="C166" s="183" t="s">
        <v>8561</v>
      </c>
      <c r="D166" s="184">
        <v>2</v>
      </c>
      <c r="E166" s="183" t="s">
        <v>8564</v>
      </c>
      <c r="F166" s="183" t="s">
        <v>3</v>
      </c>
      <c r="G166" s="183" t="s">
        <v>460</v>
      </c>
      <c r="H166" s="183" t="s">
        <v>8565</v>
      </c>
      <c r="I166" s="183">
        <v>2</v>
      </c>
      <c r="J166" s="183" t="s">
        <v>941</v>
      </c>
      <c r="K166" s="184" t="s">
        <v>8566</v>
      </c>
      <c r="L166" s="184">
        <v>2</v>
      </c>
      <c r="M166" s="183" t="s">
        <v>973</v>
      </c>
      <c r="N166" s="187">
        <v>5</v>
      </c>
      <c r="O166" s="183" t="s">
        <v>452</v>
      </c>
      <c r="P166" s="183" t="s">
        <v>8567</v>
      </c>
      <c r="Q166" s="183"/>
      <c r="R166" s="184" t="s">
        <v>24</v>
      </c>
      <c r="S166" s="184"/>
      <c r="T166" s="184"/>
      <c r="U166" s="184"/>
      <c r="V166" s="184"/>
      <c r="W166" s="184"/>
      <c r="X166" s="179"/>
      <c r="Y166" s="179"/>
      <c r="Z166" s="179"/>
      <c r="AA166" s="179"/>
    </row>
    <row r="167" spans="1:27">
      <c r="A167" s="181">
        <f ca="1">IFERROR(__xludf.DUMMYFUNCTION("IFS(B167="""","""",ISDATE(B167)=TRUE,B167,ISDATE(B167)=FALSE,TO_DATE(DATEVALUE(regexextract(B167,""\d+/\d+/\d+""))))"),44797)</f>
        <v>44797</v>
      </c>
      <c r="B167" s="182" t="s">
        <v>907</v>
      </c>
      <c r="C167" s="183" t="s">
        <v>224</v>
      </c>
      <c r="D167" s="183">
        <v>4.5</v>
      </c>
      <c r="E167" s="183" t="s">
        <v>1348</v>
      </c>
      <c r="F167" s="183" t="s">
        <v>4</v>
      </c>
      <c r="G167" s="183" t="s">
        <v>727</v>
      </c>
      <c r="H167" s="183" t="s">
        <v>10340</v>
      </c>
      <c r="I167" s="183">
        <v>4.5</v>
      </c>
      <c r="J167" s="183" t="s">
        <v>1350</v>
      </c>
      <c r="K167" s="183" t="s">
        <v>1351</v>
      </c>
      <c r="L167" s="183">
        <v>4.5</v>
      </c>
      <c r="M167" s="184"/>
      <c r="N167" s="188"/>
      <c r="O167" s="183" t="s">
        <v>465</v>
      </c>
      <c r="P167" s="183" t="s">
        <v>1352</v>
      </c>
      <c r="Q167" s="184"/>
      <c r="R167" s="183" t="s">
        <v>18</v>
      </c>
      <c r="S167" s="184" t="s">
        <v>1353</v>
      </c>
      <c r="T167" s="184"/>
      <c r="U167" s="184"/>
      <c r="V167" s="184"/>
      <c r="W167" s="184"/>
      <c r="X167" s="179"/>
      <c r="Y167" s="179"/>
      <c r="Z167" s="179"/>
      <c r="AA167" s="179"/>
    </row>
    <row r="168" spans="1:27">
      <c r="A168" s="181">
        <f ca="1">IFERROR(__xludf.DUMMYFUNCTION("IFS(B168="""","""",ISDATE(B168)=TRUE,B168,ISDATE(B168)=FALSE,TO_DATE(DATEVALUE(regexextract(B168,""\d+/\d+/\d+""))))"),44789)</f>
        <v>44789</v>
      </c>
      <c r="B168" s="182" t="s">
        <v>6450</v>
      </c>
      <c r="C168" s="183" t="s">
        <v>373</v>
      </c>
      <c r="D168" s="184">
        <v>3</v>
      </c>
      <c r="E168" s="183" t="s">
        <v>10341</v>
      </c>
      <c r="F168" s="183" t="s">
        <v>5</v>
      </c>
      <c r="G168" s="183" t="s">
        <v>460</v>
      </c>
      <c r="H168" s="183" t="s">
        <v>10342</v>
      </c>
      <c r="I168" s="183">
        <v>3</v>
      </c>
      <c r="J168" s="183" t="s">
        <v>488</v>
      </c>
      <c r="K168" s="183" t="s">
        <v>10343</v>
      </c>
      <c r="L168" s="184">
        <v>3</v>
      </c>
      <c r="M168" s="183"/>
      <c r="N168" s="185"/>
      <c r="O168" s="183" t="s">
        <v>452</v>
      </c>
      <c r="P168" s="183" t="s">
        <v>10007</v>
      </c>
      <c r="Q168" s="184" t="s">
        <v>460</v>
      </c>
      <c r="R168" s="184" t="s">
        <v>18</v>
      </c>
      <c r="S168" s="184" t="s">
        <v>10008</v>
      </c>
      <c r="T168" s="184"/>
      <c r="U168" s="184"/>
      <c r="V168" s="184"/>
      <c r="W168" s="184"/>
      <c r="X168" s="179"/>
      <c r="Y168" s="179"/>
      <c r="Z168" s="179"/>
      <c r="AA168" s="179"/>
    </row>
    <row r="169" spans="1:27">
      <c r="A169" s="181">
        <f ca="1">IFERROR(__xludf.DUMMYFUNCTION("IFS(B169="""","""",ISDATE(B169)=TRUE,B169,ISDATE(B169)=FALSE,TO_DATE(DATEVALUE(regexextract(B169,""\d+/\d+/\d+""))))"),44791)</f>
        <v>44791</v>
      </c>
      <c r="B169" s="182" t="s">
        <v>598</v>
      </c>
      <c r="C169" s="183" t="s">
        <v>7219</v>
      </c>
      <c r="D169" s="183">
        <v>2</v>
      </c>
      <c r="E169" s="183" t="s">
        <v>7222</v>
      </c>
      <c r="F169" s="183" t="s">
        <v>4</v>
      </c>
      <c r="G169" s="183" t="s">
        <v>725</v>
      </c>
      <c r="H169" s="183" t="s">
        <v>10344</v>
      </c>
      <c r="I169" s="183">
        <v>2</v>
      </c>
      <c r="J169" s="183" t="s">
        <v>1045</v>
      </c>
      <c r="K169" s="183" t="s">
        <v>7224</v>
      </c>
      <c r="L169" s="183">
        <v>2</v>
      </c>
      <c r="M169" s="184" t="s">
        <v>451</v>
      </c>
      <c r="N169" s="186">
        <v>1000000</v>
      </c>
      <c r="O169" s="183" t="s">
        <v>454</v>
      </c>
      <c r="P169" s="183" t="s">
        <v>7225</v>
      </c>
      <c r="Q169" s="184"/>
      <c r="R169" s="183" t="s">
        <v>24</v>
      </c>
      <c r="S169" s="184"/>
      <c r="T169" s="184"/>
      <c r="U169" s="184"/>
      <c r="V169" s="184"/>
      <c r="W169" s="184"/>
      <c r="X169" s="179"/>
      <c r="Y169" s="179"/>
      <c r="Z169" s="179"/>
      <c r="AA169" s="179"/>
    </row>
    <row r="170" spans="1:27">
      <c r="A170" s="181">
        <f ca="1">IFERROR(__xludf.DUMMYFUNCTION("IFS(B170="""","""",ISDATE(B170)=TRUE,B170,ISDATE(B170)=FALSE,TO_DATE(DATEVALUE(regexextract(B170,""\d+/\d+/\d+""))))"),44791)</f>
        <v>44791</v>
      </c>
      <c r="B170" s="182" t="s">
        <v>598</v>
      </c>
      <c r="C170" s="183" t="s">
        <v>212</v>
      </c>
      <c r="D170" s="183">
        <v>4</v>
      </c>
      <c r="E170" s="183" t="s">
        <v>1288</v>
      </c>
      <c r="F170" s="183" t="s">
        <v>4</v>
      </c>
      <c r="G170" s="183" t="s">
        <v>725</v>
      </c>
      <c r="H170" s="184" t="s">
        <v>1289</v>
      </c>
      <c r="I170" s="183">
        <v>4</v>
      </c>
      <c r="J170" s="183" t="s">
        <v>1045</v>
      </c>
      <c r="K170" s="183" t="s">
        <v>1290</v>
      </c>
      <c r="L170" s="183">
        <v>4</v>
      </c>
      <c r="M170" s="184" t="s">
        <v>923</v>
      </c>
      <c r="N170" s="188" t="s">
        <v>1291</v>
      </c>
      <c r="O170" s="183" t="s">
        <v>452</v>
      </c>
      <c r="P170" s="183" t="s">
        <v>1292</v>
      </c>
      <c r="Q170" s="184"/>
      <c r="R170" s="183" t="s">
        <v>18</v>
      </c>
      <c r="S170" s="184"/>
      <c r="T170" s="184"/>
      <c r="U170" s="184"/>
      <c r="V170" s="184"/>
      <c r="W170" s="184"/>
      <c r="X170" s="179"/>
      <c r="Y170" s="179"/>
      <c r="Z170" s="179"/>
      <c r="AA170" s="179"/>
    </row>
    <row r="171" spans="1:27">
      <c r="A171" s="181">
        <f ca="1">IFERROR(__xludf.DUMMYFUNCTION("IFS(B171="""","""",ISDATE(B171)=TRUE,B171,ISDATE(B171)=FALSE,TO_DATE(DATEVALUE(regexextract(B171,""\d+/\d+/\d+""))))"),44791)</f>
        <v>44791</v>
      </c>
      <c r="B171" s="182" t="s">
        <v>598</v>
      </c>
      <c r="C171" s="183" t="s">
        <v>6825</v>
      </c>
      <c r="D171" s="184">
        <v>2.25</v>
      </c>
      <c r="E171" s="183" t="s">
        <v>6828</v>
      </c>
      <c r="F171" s="183" t="s">
        <v>4</v>
      </c>
      <c r="G171" s="183" t="s">
        <v>725</v>
      </c>
      <c r="H171" s="184" t="s">
        <v>10345</v>
      </c>
      <c r="I171" s="184">
        <v>2.5</v>
      </c>
      <c r="J171" s="183" t="s">
        <v>1045</v>
      </c>
      <c r="K171" s="183" t="s">
        <v>6830</v>
      </c>
      <c r="L171" s="183">
        <v>2</v>
      </c>
      <c r="M171" s="183" t="s">
        <v>451</v>
      </c>
      <c r="N171" s="185">
        <v>2000000</v>
      </c>
      <c r="O171" s="183" t="s">
        <v>452</v>
      </c>
      <c r="P171" s="183" t="s">
        <v>6831</v>
      </c>
      <c r="Q171" s="184"/>
      <c r="R171" s="184" t="s">
        <v>24</v>
      </c>
      <c r="S171" s="184"/>
      <c r="T171" s="184"/>
      <c r="U171" s="184"/>
      <c r="V171" s="184"/>
      <c r="W171" s="184"/>
      <c r="X171" s="179"/>
      <c r="Y171" s="179"/>
      <c r="Z171" s="179"/>
      <c r="AA171" s="179"/>
    </row>
    <row r="172" spans="1:27">
      <c r="A172" s="181">
        <f ca="1">IFERROR(__xludf.DUMMYFUNCTION("IFS(B172="""","""",ISDATE(B172)=TRUE,B172,ISDATE(B172)=FALSE,TO_DATE(DATEVALUE(regexextract(B172,""\d+/\d+/\d+""))))"),44789)</f>
        <v>44789</v>
      </c>
      <c r="B172" s="182" t="s">
        <v>6450</v>
      </c>
      <c r="C172" s="183" t="s">
        <v>3478</v>
      </c>
      <c r="D172" s="183">
        <v>3</v>
      </c>
      <c r="E172" s="183" t="s">
        <v>3481</v>
      </c>
      <c r="F172" s="183" t="s">
        <v>5</v>
      </c>
      <c r="G172" s="183" t="s">
        <v>447</v>
      </c>
      <c r="H172" s="183" t="s">
        <v>10346</v>
      </c>
      <c r="I172" s="183">
        <v>3</v>
      </c>
      <c r="J172" s="183" t="s">
        <v>622</v>
      </c>
      <c r="K172" s="184" t="s">
        <v>3483</v>
      </c>
      <c r="L172" s="183">
        <v>3</v>
      </c>
      <c r="M172" s="183" t="s">
        <v>451</v>
      </c>
      <c r="N172" s="183">
        <v>650000</v>
      </c>
      <c r="O172" s="183" t="s">
        <v>452</v>
      </c>
      <c r="P172" s="183" t="s">
        <v>3484</v>
      </c>
      <c r="Q172" s="184"/>
      <c r="R172" s="183" t="s">
        <v>24</v>
      </c>
      <c r="S172" s="184"/>
      <c r="T172" s="184"/>
      <c r="U172" s="184"/>
      <c r="V172" s="184"/>
      <c r="W172" s="184"/>
      <c r="X172" s="179"/>
      <c r="Y172" s="179"/>
      <c r="Z172" s="179"/>
      <c r="AA172" s="179"/>
    </row>
    <row r="173" spans="1:27">
      <c r="A173" s="181">
        <f ca="1">IFERROR(__xludf.DUMMYFUNCTION("IFS(B173="""","""",ISDATE(B173)=TRUE,B173,ISDATE(B173)=FALSE,TO_DATE(DATEVALUE(regexextract(B173,""\d+/\d+/\d+""))))"),44789)</f>
        <v>44789</v>
      </c>
      <c r="B173" s="182" t="s">
        <v>6450</v>
      </c>
      <c r="C173" s="183" t="s">
        <v>5825</v>
      </c>
      <c r="D173" s="183">
        <v>2.88</v>
      </c>
      <c r="E173" s="183" t="s">
        <v>5828</v>
      </c>
      <c r="F173" s="183" t="s">
        <v>4</v>
      </c>
      <c r="G173" s="183" t="s">
        <v>727</v>
      </c>
      <c r="H173" s="183" t="s">
        <v>10347</v>
      </c>
      <c r="I173" s="183">
        <v>3.75</v>
      </c>
      <c r="J173" s="183" t="s">
        <v>1045</v>
      </c>
      <c r="K173" s="183" t="s">
        <v>5830</v>
      </c>
      <c r="L173" s="183">
        <v>2</v>
      </c>
      <c r="M173" s="183" t="s">
        <v>784</v>
      </c>
      <c r="N173" s="185">
        <v>350000</v>
      </c>
      <c r="O173" s="183" t="s">
        <v>452</v>
      </c>
      <c r="P173" s="183" t="s">
        <v>5831</v>
      </c>
      <c r="Q173" s="184"/>
      <c r="R173" s="183" t="s">
        <v>24</v>
      </c>
      <c r="S173" s="184"/>
      <c r="T173" s="184"/>
      <c r="U173" s="184"/>
      <c r="V173" s="184"/>
      <c r="W173" s="184"/>
      <c r="X173" s="179"/>
      <c r="Y173" s="179"/>
      <c r="Z173" s="179"/>
      <c r="AA173" s="179"/>
    </row>
    <row r="174" spans="1:27">
      <c r="A174" s="181">
        <f ca="1">IFERROR(__xludf.DUMMYFUNCTION("IFS(B174="""","""",ISDATE(B174)=TRUE,B174,ISDATE(B174)=FALSE,TO_DATE(DATEVALUE(regexextract(B174,""\d+/\d+/\d+""))))"),44791)</f>
        <v>44791</v>
      </c>
      <c r="B174" s="182" t="s">
        <v>598</v>
      </c>
      <c r="C174" s="183" t="s">
        <v>6948</v>
      </c>
      <c r="D174" s="183">
        <v>2</v>
      </c>
      <c r="E174" s="184" t="s">
        <v>6951</v>
      </c>
      <c r="F174" s="183" t="s">
        <v>4</v>
      </c>
      <c r="G174" s="183" t="s">
        <v>725</v>
      </c>
      <c r="H174" s="183" t="s">
        <v>10348</v>
      </c>
      <c r="I174" s="183">
        <v>2</v>
      </c>
      <c r="J174" s="183" t="s">
        <v>1045</v>
      </c>
      <c r="K174" s="183" t="s">
        <v>6953</v>
      </c>
      <c r="L174" s="183">
        <v>2</v>
      </c>
      <c r="M174" s="183" t="s">
        <v>478</v>
      </c>
      <c r="N174" s="187">
        <v>500000</v>
      </c>
      <c r="O174" s="183" t="s">
        <v>465</v>
      </c>
      <c r="P174" s="183" t="s">
        <v>452</v>
      </c>
      <c r="Q174" s="184"/>
      <c r="R174" s="183" t="s">
        <v>24</v>
      </c>
      <c r="S174" s="184"/>
      <c r="T174" s="184"/>
      <c r="U174" s="184"/>
      <c r="V174" s="184"/>
      <c r="W174" s="184"/>
      <c r="X174" s="179"/>
      <c r="Y174" s="179"/>
      <c r="Z174" s="179"/>
      <c r="AA174" s="179"/>
    </row>
    <row r="175" spans="1:27">
      <c r="A175" s="181">
        <f ca="1">IFERROR(__xludf.DUMMYFUNCTION("IFS(B175="""","""",ISDATE(B175)=TRUE,B175,ISDATE(B175)=FALSE,TO_DATE(DATEVALUE(regexextract(B175,""\d+/\d+/\d+""))))"),44791)</f>
        <v>44791</v>
      </c>
      <c r="B175" s="182" t="s">
        <v>598</v>
      </c>
      <c r="C175" s="183" t="s">
        <v>5468</v>
      </c>
      <c r="D175" s="183">
        <v>3</v>
      </c>
      <c r="E175" s="183" t="s">
        <v>5471</v>
      </c>
      <c r="F175" s="183" t="s">
        <v>4</v>
      </c>
      <c r="G175" s="183" t="s">
        <v>725</v>
      </c>
      <c r="H175" s="184"/>
      <c r="I175" s="183">
        <v>3</v>
      </c>
      <c r="J175" s="183" t="s">
        <v>1045</v>
      </c>
      <c r="K175" s="183" t="s">
        <v>5472</v>
      </c>
      <c r="L175" s="183">
        <v>3</v>
      </c>
      <c r="M175" s="183" t="s">
        <v>784</v>
      </c>
      <c r="N175" s="187">
        <v>300000</v>
      </c>
      <c r="O175" s="183" t="s">
        <v>452</v>
      </c>
      <c r="P175" s="183" t="s">
        <v>5473</v>
      </c>
      <c r="Q175" s="184"/>
      <c r="R175" s="183" t="s">
        <v>24</v>
      </c>
      <c r="S175" s="184"/>
      <c r="T175" s="184"/>
      <c r="U175" s="184"/>
      <c r="V175" s="184"/>
      <c r="W175" s="184"/>
      <c r="X175" s="179"/>
      <c r="Y175" s="179"/>
      <c r="Z175" s="179"/>
      <c r="AA175" s="179"/>
    </row>
    <row r="176" spans="1:27">
      <c r="A176" s="181">
        <f ca="1">IFERROR(__xludf.DUMMYFUNCTION("IFS(B176="""","""",ISDATE(B176)=TRUE,B176,ISDATE(B176)=FALSE,TO_DATE(DATEVALUE(regexextract(B176,""\d+/\d+/\d+""))))"),44796)</f>
        <v>44796</v>
      </c>
      <c r="B176" s="182" t="s">
        <v>529</v>
      </c>
      <c r="C176" s="183" t="s">
        <v>10349</v>
      </c>
      <c r="D176" s="184">
        <v>1</v>
      </c>
      <c r="E176" s="183" t="s">
        <v>8461</v>
      </c>
      <c r="F176" s="183" t="s">
        <v>3</v>
      </c>
      <c r="G176" s="183" t="s">
        <v>460</v>
      </c>
      <c r="H176" s="184" t="s">
        <v>8462</v>
      </c>
      <c r="I176" s="184">
        <v>1</v>
      </c>
      <c r="J176" s="183" t="s">
        <v>462</v>
      </c>
      <c r="K176" s="184" t="s">
        <v>8463</v>
      </c>
      <c r="L176" s="184">
        <v>1</v>
      </c>
      <c r="M176" s="183"/>
      <c r="N176" s="187"/>
      <c r="O176" s="183" t="s">
        <v>452</v>
      </c>
      <c r="P176" s="183" t="s">
        <v>452</v>
      </c>
      <c r="Q176" s="184"/>
      <c r="R176" s="184" t="s">
        <v>24</v>
      </c>
      <c r="S176" s="184"/>
      <c r="T176" s="184"/>
      <c r="U176" s="184"/>
      <c r="V176" s="184"/>
      <c r="W176" s="184"/>
      <c r="X176" s="179"/>
      <c r="Y176" s="179"/>
      <c r="Z176" s="179"/>
      <c r="AA176" s="179"/>
    </row>
    <row r="177" spans="1:27">
      <c r="A177" s="181">
        <f ca="1">IFERROR(__xludf.DUMMYFUNCTION("IFS(B177="""","""",ISDATE(B177)=TRUE,B177,ISDATE(B177)=FALSE,TO_DATE(DATEVALUE(regexextract(B177,""\d+/\d+/\d+""))))"),44789)</f>
        <v>44789</v>
      </c>
      <c r="B177" s="182" t="s">
        <v>6450</v>
      </c>
      <c r="C177" s="183" t="s">
        <v>3516</v>
      </c>
      <c r="D177" s="183">
        <v>2.75</v>
      </c>
      <c r="E177" s="183" t="s">
        <v>3519</v>
      </c>
      <c r="F177" s="183" t="s">
        <v>5</v>
      </c>
      <c r="G177" s="183" t="s">
        <v>447</v>
      </c>
      <c r="H177" s="183" t="s">
        <v>10350</v>
      </c>
      <c r="I177" s="183">
        <v>2.5</v>
      </c>
      <c r="J177" s="183" t="s">
        <v>622</v>
      </c>
      <c r="K177" s="183"/>
      <c r="L177" s="183">
        <v>3</v>
      </c>
      <c r="M177" s="184" t="s">
        <v>451</v>
      </c>
      <c r="N177" s="186">
        <v>500000</v>
      </c>
      <c r="O177" s="183" t="s">
        <v>452</v>
      </c>
      <c r="P177" s="183" t="s">
        <v>3521</v>
      </c>
      <c r="Q177" s="183"/>
      <c r="R177" s="183" t="s">
        <v>24</v>
      </c>
      <c r="S177" s="184"/>
      <c r="T177" s="184"/>
      <c r="U177" s="184"/>
      <c r="V177" s="184"/>
      <c r="W177" s="184"/>
      <c r="X177" s="179"/>
      <c r="Y177" s="179"/>
      <c r="Z177" s="179"/>
      <c r="AA177" s="179"/>
    </row>
    <row r="178" spans="1:27">
      <c r="A178" s="181">
        <f ca="1">IFERROR(__xludf.DUMMYFUNCTION("IFS(B178="""","""",ISDATE(B178)=TRUE,B178,ISDATE(B178)=FALSE,TO_DATE(DATEVALUE(regexextract(B178,""\d+/\d+/\d+""))))"),44791)</f>
        <v>44791</v>
      </c>
      <c r="B178" s="182" t="s">
        <v>598</v>
      </c>
      <c r="C178" s="183" t="s">
        <v>7415</v>
      </c>
      <c r="D178" s="183">
        <v>2</v>
      </c>
      <c r="E178" s="183" t="s">
        <v>7418</v>
      </c>
      <c r="F178" s="183" t="s">
        <v>4</v>
      </c>
      <c r="G178" s="183" t="s">
        <v>725</v>
      </c>
      <c r="H178" s="183" t="s">
        <v>7419</v>
      </c>
      <c r="I178" s="183">
        <v>2</v>
      </c>
      <c r="J178" s="183" t="s">
        <v>1045</v>
      </c>
      <c r="K178" s="184" t="s">
        <v>7420</v>
      </c>
      <c r="L178" s="183">
        <v>2</v>
      </c>
      <c r="M178" s="183" t="s">
        <v>478</v>
      </c>
      <c r="N178" s="187">
        <v>10000000</v>
      </c>
      <c r="O178" s="183" t="s">
        <v>452</v>
      </c>
      <c r="P178" s="183" t="s">
        <v>10351</v>
      </c>
      <c r="Q178" s="184" t="s">
        <v>7422</v>
      </c>
      <c r="R178" s="183" t="s">
        <v>24</v>
      </c>
      <c r="S178" s="184"/>
      <c r="T178" s="184"/>
      <c r="U178" s="184"/>
      <c r="V178" s="184"/>
      <c r="W178" s="184"/>
      <c r="X178" s="179"/>
      <c r="Y178" s="179"/>
      <c r="Z178" s="179"/>
      <c r="AA178" s="179"/>
    </row>
    <row r="179" spans="1:27">
      <c r="A179" s="181">
        <f ca="1">IFERROR(__xludf.DUMMYFUNCTION("IFS(B179="""","""",ISDATE(B179)=TRUE,B179,ISDATE(B179)=FALSE,TO_DATE(DATEVALUE(regexextract(B179,""\d+/\d+/\d+""))))"),44791)</f>
        <v>44791</v>
      </c>
      <c r="B179" s="182" t="s">
        <v>598</v>
      </c>
      <c r="C179" s="183" t="s">
        <v>242</v>
      </c>
      <c r="D179" s="183">
        <v>4</v>
      </c>
      <c r="E179" s="183" t="s">
        <v>4020</v>
      </c>
      <c r="F179" s="183" t="s">
        <v>4</v>
      </c>
      <c r="G179" s="183" t="s">
        <v>725</v>
      </c>
      <c r="H179" s="183" t="s">
        <v>10352</v>
      </c>
      <c r="I179" s="183">
        <v>4</v>
      </c>
      <c r="J179" s="183" t="s">
        <v>1045</v>
      </c>
      <c r="K179" s="183" t="s">
        <v>4022</v>
      </c>
      <c r="L179" s="183">
        <v>4</v>
      </c>
      <c r="M179" s="183"/>
      <c r="N179" s="185"/>
      <c r="O179" s="183" t="s">
        <v>465</v>
      </c>
      <c r="P179" s="183" t="s">
        <v>452</v>
      </c>
      <c r="Q179" s="184"/>
      <c r="R179" s="183" t="s">
        <v>20</v>
      </c>
      <c r="S179" s="183" t="s">
        <v>10353</v>
      </c>
      <c r="T179" s="184"/>
      <c r="U179" s="184"/>
      <c r="V179" s="184"/>
      <c r="W179" s="184"/>
      <c r="X179" s="179"/>
      <c r="Y179" s="179"/>
      <c r="Z179" s="179"/>
      <c r="AA179" s="179"/>
    </row>
    <row r="180" spans="1:27">
      <c r="A180" s="181">
        <f ca="1">IFERROR(__xludf.DUMMYFUNCTION("IFS(B180="""","""",ISDATE(B180)=TRUE,B180,ISDATE(B180)=FALSE,TO_DATE(DATEVALUE(regexextract(B180,""\d+/\d+/\d+""))))"),44789)</f>
        <v>44789</v>
      </c>
      <c r="B180" s="182" t="s">
        <v>6450</v>
      </c>
      <c r="C180" s="183" t="s">
        <v>2644</v>
      </c>
      <c r="D180" s="184">
        <v>2</v>
      </c>
      <c r="E180" s="183" t="s">
        <v>2647</v>
      </c>
      <c r="F180" s="183" t="s">
        <v>5</v>
      </c>
      <c r="G180" s="183" t="s">
        <v>447</v>
      </c>
      <c r="H180" s="184" t="s">
        <v>10354</v>
      </c>
      <c r="I180" s="184">
        <v>2</v>
      </c>
      <c r="J180" s="183" t="s">
        <v>449</v>
      </c>
      <c r="K180" s="183" t="s">
        <v>10355</v>
      </c>
      <c r="L180" s="183">
        <v>2</v>
      </c>
      <c r="M180" s="183"/>
      <c r="N180" s="185"/>
      <c r="O180" s="183" t="s">
        <v>452</v>
      </c>
      <c r="P180" s="183" t="s">
        <v>452</v>
      </c>
      <c r="Q180" s="184"/>
      <c r="R180" s="184" t="s">
        <v>24</v>
      </c>
      <c r="S180" s="184"/>
      <c r="T180" s="184"/>
      <c r="U180" s="184"/>
      <c r="V180" s="184"/>
      <c r="W180" s="184"/>
      <c r="X180" s="179"/>
      <c r="Y180" s="179"/>
      <c r="Z180" s="179"/>
      <c r="AA180" s="179"/>
    </row>
    <row r="181" spans="1:27">
      <c r="A181" s="181">
        <f ca="1">IFERROR(__xludf.DUMMYFUNCTION("IFS(B181="""","""",ISDATE(B181)=TRUE,B181,ISDATE(B181)=FALSE,TO_DATE(DATEVALUE(regexextract(B181,""\d+/\d+/\d+""))))"),44791)</f>
        <v>44791</v>
      </c>
      <c r="B181" s="182" t="s">
        <v>598</v>
      </c>
      <c r="C181" s="183" t="s">
        <v>8227</v>
      </c>
      <c r="D181" s="184">
        <v>1</v>
      </c>
      <c r="E181" s="183" t="s">
        <v>8230</v>
      </c>
      <c r="F181" s="183" t="s">
        <v>4</v>
      </c>
      <c r="G181" s="183" t="s">
        <v>725</v>
      </c>
      <c r="H181" s="183" t="s">
        <v>10356</v>
      </c>
      <c r="I181" s="183">
        <v>1</v>
      </c>
      <c r="J181" s="183" t="s">
        <v>1045</v>
      </c>
      <c r="K181" s="184" t="s">
        <v>8232</v>
      </c>
      <c r="L181" s="184">
        <v>1</v>
      </c>
      <c r="M181" s="183" t="s">
        <v>784</v>
      </c>
      <c r="N181" s="185">
        <v>200000</v>
      </c>
      <c r="O181" s="183" t="s">
        <v>465</v>
      </c>
      <c r="P181" s="183" t="s">
        <v>8233</v>
      </c>
      <c r="Q181" s="184"/>
      <c r="R181" s="184" t="s">
        <v>24</v>
      </c>
      <c r="S181" s="184"/>
      <c r="T181" s="184"/>
      <c r="U181" s="184"/>
      <c r="V181" s="184"/>
      <c r="W181" s="184"/>
      <c r="X181" s="179"/>
      <c r="Y181" s="179"/>
      <c r="Z181" s="179"/>
      <c r="AA181" s="179"/>
    </row>
    <row r="182" spans="1:27">
      <c r="A182" s="181">
        <f ca="1">IFERROR(__xludf.DUMMYFUNCTION("IFS(B182="""","""",ISDATE(B182)=TRUE,B182,ISDATE(B182)=FALSE,TO_DATE(DATEVALUE(regexextract(B182,""\d+/\d+/\d+""))))"),44796)</f>
        <v>44796</v>
      </c>
      <c r="B182" s="182" t="s">
        <v>529</v>
      </c>
      <c r="C182" s="183" t="s">
        <v>268</v>
      </c>
      <c r="D182" s="184">
        <v>4.25</v>
      </c>
      <c r="E182" s="183" t="s">
        <v>1550</v>
      </c>
      <c r="F182" s="183" t="s">
        <v>4</v>
      </c>
      <c r="G182" s="183" t="s">
        <v>460</v>
      </c>
      <c r="H182" s="184" t="s">
        <v>10357</v>
      </c>
      <c r="I182" s="184">
        <v>4</v>
      </c>
      <c r="J182" s="183" t="s">
        <v>462</v>
      </c>
      <c r="K182" s="184" t="s">
        <v>1552</v>
      </c>
      <c r="L182" s="184">
        <v>4.5</v>
      </c>
      <c r="M182" s="183" t="s">
        <v>478</v>
      </c>
      <c r="N182" s="187">
        <v>6000000</v>
      </c>
      <c r="O182" s="183" t="s">
        <v>452</v>
      </c>
      <c r="P182" s="183" t="s">
        <v>10358</v>
      </c>
      <c r="Q182" s="183"/>
      <c r="R182" s="184" t="s">
        <v>20</v>
      </c>
      <c r="S182" s="184" t="s">
        <v>1554</v>
      </c>
      <c r="T182" s="184"/>
      <c r="U182" s="184"/>
      <c r="V182" s="184"/>
      <c r="W182" s="184"/>
      <c r="X182" s="179"/>
      <c r="Y182" s="179"/>
      <c r="Z182" s="179"/>
      <c r="AA182" s="179"/>
    </row>
    <row r="183" spans="1:27">
      <c r="A183" s="181">
        <f ca="1">IFERROR(__xludf.DUMMYFUNCTION("IFS(B183="""","""",ISDATE(B183)=TRUE,B183,ISDATE(B183)=FALSE,TO_DATE(DATEVALUE(regexextract(B183,""\d+/\d+/\d+""))))"),44789)</f>
        <v>44789</v>
      </c>
      <c r="B183" s="182" t="s">
        <v>6450</v>
      </c>
      <c r="C183" s="183" t="s">
        <v>111</v>
      </c>
      <c r="D183" s="184">
        <v>3.5</v>
      </c>
      <c r="E183" s="183" t="s">
        <v>9355</v>
      </c>
      <c r="F183" s="183" t="s">
        <v>5</v>
      </c>
      <c r="G183" s="183" t="s">
        <v>447</v>
      </c>
      <c r="H183" s="184" t="s">
        <v>10359</v>
      </c>
      <c r="I183" s="184">
        <v>3.5</v>
      </c>
      <c r="J183" s="183" t="s">
        <v>543</v>
      </c>
      <c r="K183" s="183" t="s">
        <v>10360</v>
      </c>
      <c r="L183" s="183">
        <v>3.5</v>
      </c>
      <c r="M183" s="183"/>
      <c r="N183" s="187"/>
      <c r="O183" s="183" t="s">
        <v>452</v>
      </c>
      <c r="P183" s="183" t="s">
        <v>10361</v>
      </c>
      <c r="Q183" s="184"/>
      <c r="R183" s="184" t="s">
        <v>19</v>
      </c>
      <c r="S183" s="184" t="s">
        <v>1477</v>
      </c>
      <c r="T183" s="184"/>
      <c r="U183" s="184"/>
      <c r="V183" s="184"/>
      <c r="W183" s="184"/>
      <c r="X183" s="179"/>
      <c r="Y183" s="179"/>
      <c r="Z183" s="179"/>
      <c r="AA183" s="179"/>
    </row>
    <row r="184" spans="1:27">
      <c r="A184" s="181">
        <f ca="1">IFERROR(__xludf.DUMMYFUNCTION("IFS(B184="""","""",ISDATE(B184)=TRUE,B184,ISDATE(B184)=FALSE,TO_DATE(DATEVALUE(regexextract(B184,""\d+/\d+/\d+""))))"),44791)</f>
        <v>44791</v>
      </c>
      <c r="B184" s="182" t="s">
        <v>598</v>
      </c>
      <c r="C184" s="183" t="s">
        <v>7515</v>
      </c>
      <c r="D184" s="184">
        <v>2</v>
      </c>
      <c r="E184" s="183" t="s">
        <v>7518</v>
      </c>
      <c r="F184" s="183" t="s">
        <v>4</v>
      </c>
      <c r="G184" s="183" t="s">
        <v>725</v>
      </c>
      <c r="H184" s="184" t="s">
        <v>10362</v>
      </c>
      <c r="I184" s="184">
        <v>2</v>
      </c>
      <c r="J184" s="183" t="s">
        <v>1045</v>
      </c>
      <c r="K184" s="184" t="s">
        <v>7520</v>
      </c>
      <c r="L184" s="183">
        <v>2</v>
      </c>
      <c r="M184" s="183"/>
      <c r="N184" s="185"/>
      <c r="O184" s="183" t="s">
        <v>465</v>
      </c>
      <c r="P184" s="183" t="s">
        <v>452</v>
      </c>
      <c r="Q184" s="183"/>
      <c r="R184" s="184" t="s">
        <v>24</v>
      </c>
      <c r="S184" s="184"/>
      <c r="T184" s="184"/>
      <c r="U184" s="184"/>
      <c r="V184" s="184"/>
      <c r="W184" s="184"/>
      <c r="X184" s="179"/>
      <c r="Y184" s="179"/>
      <c r="Z184" s="179"/>
      <c r="AA184" s="179"/>
    </row>
    <row r="185" spans="1:27">
      <c r="A185" s="181">
        <f ca="1">IFERROR(__xludf.DUMMYFUNCTION("IFS(B185="""","""",ISDATE(B185)=TRUE,B185,ISDATE(B185)=FALSE,TO_DATE(DATEVALUE(regexextract(B185,""\d+/\d+/\d+""))))"),44782)</f>
        <v>44782</v>
      </c>
      <c r="B185" s="189" t="s">
        <v>10188</v>
      </c>
      <c r="C185" s="183" t="s">
        <v>327</v>
      </c>
      <c r="D185" s="183">
        <v>5</v>
      </c>
      <c r="E185" s="183" t="s">
        <v>1825</v>
      </c>
      <c r="F185" s="183" t="s">
        <v>3</v>
      </c>
      <c r="G185" s="183" t="s">
        <v>460</v>
      </c>
      <c r="H185" s="184" t="s">
        <v>1826</v>
      </c>
      <c r="I185" s="183">
        <v>5</v>
      </c>
      <c r="J185" s="183" t="s">
        <v>941</v>
      </c>
      <c r="K185" s="183"/>
      <c r="L185" s="183">
        <v>5</v>
      </c>
      <c r="M185" s="183" t="s">
        <v>478</v>
      </c>
      <c r="N185" s="187">
        <v>20000000</v>
      </c>
      <c r="O185" s="183" t="s">
        <v>465</v>
      </c>
      <c r="P185" s="183" t="s">
        <v>1827</v>
      </c>
      <c r="Q185" s="184"/>
      <c r="R185" s="183" t="s">
        <v>18</v>
      </c>
      <c r="S185" s="183"/>
      <c r="T185" s="184"/>
      <c r="U185" s="184"/>
      <c r="V185" s="184"/>
      <c r="W185" s="184"/>
      <c r="X185" s="179"/>
      <c r="Y185" s="179"/>
      <c r="Z185" s="179"/>
      <c r="AA185" s="179"/>
    </row>
    <row r="186" spans="1:27">
      <c r="A186" s="181">
        <f ca="1">IFERROR(__xludf.DUMMYFUNCTION("IFS(B186="""","""",ISDATE(B186)=TRUE,B186,ISDATE(B186)=FALSE,TO_DATE(DATEVALUE(regexextract(B186,""\d+/\d+/\d+""))))"),44782)</f>
        <v>44782</v>
      </c>
      <c r="B186" s="182" t="s">
        <v>10188</v>
      </c>
      <c r="C186" s="183" t="s">
        <v>129</v>
      </c>
      <c r="D186" s="183">
        <v>4</v>
      </c>
      <c r="E186" s="183" t="s">
        <v>10363</v>
      </c>
      <c r="F186" s="183" t="s">
        <v>5</v>
      </c>
      <c r="G186" s="183" t="s">
        <v>447</v>
      </c>
      <c r="H186" s="183" t="s">
        <v>931</v>
      </c>
      <c r="I186" s="183">
        <v>4</v>
      </c>
      <c r="J186" s="183" t="s">
        <v>449</v>
      </c>
      <c r="K186" s="183" t="s">
        <v>10364</v>
      </c>
      <c r="L186" s="183">
        <v>4</v>
      </c>
      <c r="M186" s="183" t="s">
        <v>478</v>
      </c>
      <c r="N186" s="187">
        <v>5000000</v>
      </c>
      <c r="O186" s="183" t="s">
        <v>452</v>
      </c>
      <c r="P186" s="183" t="s">
        <v>933</v>
      </c>
      <c r="Q186" s="184" t="s">
        <v>934</v>
      </c>
      <c r="R186" s="183" t="s">
        <v>18</v>
      </c>
      <c r="S186" s="183"/>
      <c r="T186" s="184"/>
      <c r="U186" s="184"/>
      <c r="V186" s="184"/>
      <c r="W186" s="184"/>
      <c r="X186" s="179"/>
      <c r="Y186" s="179"/>
      <c r="Z186" s="179"/>
      <c r="AA186" s="179"/>
    </row>
    <row r="187" spans="1:27">
      <c r="A187" s="181">
        <f ca="1">IFERROR(__xludf.DUMMYFUNCTION("IFS(B187="""","""",ISDATE(B187)=TRUE,B187,ISDATE(B187)=FALSE,TO_DATE(DATEVALUE(regexextract(B187,""\d+/\d+/\d+""))))"),44784)</f>
        <v>44784</v>
      </c>
      <c r="B187" s="182" t="s">
        <v>10173</v>
      </c>
      <c r="C187" s="183" t="s">
        <v>215</v>
      </c>
      <c r="D187" s="184">
        <v>4</v>
      </c>
      <c r="E187" s="183" t="s">
        <v>3891</v>
      </c>
      <c r="F187" s="183" t="s">
        <v>4</v>
      </c>
      <c r="G187" s="183" t="s">
        <v>602</v>
      </c>
      <c r="H187" s="184" t="s">
        <v>3892</v>
      </c>
      <c r="I187" s="184">
        <v>4</v>
      </c>
      <c r="J187" s="183" t="s">
        <v>1054</v>
      </c>
      <c r="K187" s="184" t="s">
        <v>3893</v>
      </c>
      <c r="L187" s="183">
        <v>4</v>
      </c>
      <c r="M187" s="183"/>
      <c r="N187" s="187"/>
      <c r="O187" s="183" t="s">
        <v>452</v>
      </c>
      <c r="P187" s="183" t="s">
        <v>10365</v>
      </c>
      <c r="Q187" s="184"/>
      <c r="R187" s="184" t="s">
        <v>18</v>
      </c>
      <c r="S187" s="184"/>
      <c r="T187" s="184"/>
      <c r="U187" s="184"/>
      <c r="V187" s="184"/>
      <c r="W187" s="184"/>
      <c r="X187" s="179"/>
      <c r="Y187" s="179"/>
      <c r="Z187" s="179"/>
      <c r="AA187" s="179"/>
    </row>
    <row r="188" spans="1:27">
      <c r="A188" s="181">
        <f ca="1">IFERROR(__xludf.DUMMYFUNCTION("IFS(B188="""","""",ISDATE(B188)=TRUE,B188,ISDATE(B188)=FALSE,TO_DATE(DATEVALUE(regexextract(B188,""\d+/\d+/\d+""))))"),44782)</f>
        <v>44782</v>
      </c>
      <c r="B188" s="182" t="s">
        <v>10188</v>
      </c>
      <c r="C188" s="183" t="s">
        <v>221</v>
      </c>
      <c r="D188" s="183">
        <v>4</v>
      </c>
      <c r="E188" s="183" t="s">
        <v>3914</v>
      </c>
      <c r="F188" s="183" t="s">
        <v>4</v>
      </c>
      <c r="G188" s="183" t="s">
        <v>727</v>
      </c>
      <c r="H188" s="183" t="s">
        <v>10366</v>
      </c>
      <c r="I188" s="183">
        <v>4</v>
      </c>
      <c r="J188" s="183" t="s">
        <v>1054</v>
      </c>
      <c r="K188" s="183" t="s">
        <v>3916</v>
      </c>
      <c r="L188" s="183">
        <v>4</v>
      </c>
      <c r="M188" s="183" t="s">
        <v>451</v>
      </c>
      <c r="N188" s="187" t="s">
        <v>3917</v>
      </c>
      <c r="O188" s="183" t="s">
        <v>452</v>
      </c>
      <c r="P188" s="183" t="s">
        <v>452</v>
      </c>
      <c r="Q188" s="184"/>
      <c r="R188" s="183" t="s">
        <v>18</v>
      </c>
      <c r="S188" s="184"/>
      <c r="T188" s="184"/>
      <c r="U188" s="184"/>
      <c r="V188" s="184"/>
      <c r="W188" s="184"/>
      <c r="X188" s="179"/>
      <c r="Y188" s="179"/>
      <c r="Z188" s="179"/>
      <c r="AA188" s="179"/>
    </row>
    <row r="189" spans="1:27">
      <c r="A189" s="181">
        <f ca="1">IFERROR(__xludf.DUMMYFUNCTION("IFS(B189="""","""",ISDATE(B189)=TRUE,B189,ISDATE(B189)=FALSE,TO_DATE(DATEVALUE(regexextract(B189,""\d+/\d+/\d+""))))"),44784)</f>
        <v>44784</v>
      </c>
      <c r="B189" s="182" t="s">
        <v>10173</v>
      </c>
      <c r="C189" s="183" t="s">
        <v>403</v>
      </c>
      <c r="D189" s="183">
        <v>3.75</v>
      </c>
      <c r="E189" s="183" t="s">
        <v>10123</v>
      </c>
      <c r="F189" s="183" t="s">
        <v>3</v>
      </c>
      <c r="G189" s="183" t="s">
        <v>460</v>
      </c>
      <c r="H189" s="183" t="s">
        <v>10124</v>
      </c>
      <c r="I189" s="183">
        <v>4</v>
      </c>
      <c r="J189" s="183" t="s">
        <v>488</v>
      </c>
      <c r="K189" s="183" t="s">
        <v>10367</v>
      </c>
      <c r="L189" s="183">
        <v>3.5</v>
      </c>
      <c r="M189" s="183" t="s">
        <v>451</v>
      </c>
      <c r="N189" s="187" t="s">
        <v>2604</v>
      </c>
      <c r="O189" s="183" t="s">
        <v>454</v>
      </c>
      <c r="P189" s="183" t="s">
        <v>10126</v>
      </c>
      <c r="Q189" s="184" t="s">
        <v>460</v>
      </c>
      <c r="R189" s="183" t="s">
        <v>20</v>
      </c>
      <c r="S189" s="184" t="s">
        <v>10127</v>
      </c>
      <c r="T189" s="184"/>
      <c r="U189" s="184"/>
      <c r="V189" s="184"/>
      <c r="W189" s="184"/>
      <c r="X189" s="179"/>
      <c r="Y189" s="179"/>
      <c r="Z189" s="179"/>
      <c r="AA189" s="179"/>
    </row>
    <row r="190" spans="1:27">
      <c r="A190" s="181">
        <f ca="1">IFERROR(__xludf.DUMMYFUNCTION("IFS(B190="""","""",ISDATE(B190)=TRUE,B190,ISDATE(B190)=FALSE,TO_DATE(DATEVALUE(regexextract(B190,""\d+/\d+/\d+""))))"),44784)</f>
        <v>44784</v>
      </c>
      <c r="B190" s="182" t="s">
        <v>10173</v>
      </c>
      <c r="C190" s="183" t="s">
        <v>5072</v>
      </c>
      <c r="D190" s="183">
        <v>3.25</v>
      </c>
      <c r="E190" s="183" t="s">
        <v>5075</v>
      </c>
      <c r="F190" s="183" t="s">
        <v>4</v>
      </c>
      <c r="G190" s="183" t="s">
        <v>602</v>
      </c>
      <c r="H190" s="184" t="s">
        <v>5076</v>
      </c>
      <c r="I190" s="183">
        <v>3</v>
      </c>
      <c r="J190" s="183" t="s">
        <v>1054</v>
      </c>
      <c r="K190" s="183" t="s">
        <v>5077</v>
      </c>
      <c r="L190" s="183">
        <v>3.5</v>
      </c>
      <c r="M190" s="184"/>
      <c r="N190" s="188"/>
      <c r="O190" s="183" t="s">
        <v>465</v>
      </c>
      <c r="P190" s="183" t="s">
        <v>454</v>
      </c>
      <c r="Q190" s="184"/>
      <c r="R190" s="183" t="s">
        <v>24</v>
      </c>
      <c r="S190" s="184"/>
      <c r="T190" s="184"/>
      <c r="U190" s="184"/>
      <c r="V190" s="184"/>
      <c r="W190" s="184"/>
      <c r="X190" s="179"/>
      <c r="Y190" s="179"/>
      <c r="Z190" s="179"/>
      <c r="AA190" s="179"/>
    </row>
    <row r="191" spans="1:27">
      <c r="A191" s="181">
        <f ca="1">IFERROR(__xludf.DUMMYFUNCTION("IFS(B191="""","""",ISDATE(B191)=TRUE,B191,ISDATE(B191)=FALSE,TO_DATE(DATEVALUE(regexextract(B191,""\d+/\d+/\d+""))))"),44782)</f>
        <v>44782</v>
      </c>
      <c r="B191" s="182" t="s">
        <v>10188</v>
      </c>
      <c r="C191" s="183" t="s">
        <v>173</v>
      </c>
      <c r="D191" s="183">
        <v>4.25</v>
      </c>
      <c r="E191" s="183" t="s">
        <v>10368</v>
      </c>
      <c r="F191" s="183" t="s">
        <v>4</v>
      </c>
      <c r="G191" s="183" t="s">
        <v>460</v>
      </c>
      <c r="H191" s="183" t="s">
        <v>1127</v>
      </c>
      <c r="I191" s="183">
        <v>4.5</v>
      </c>
      <c r="J191" s="183" t="s">
        <v>462</v>
      </c>
      <c r="K191" s="183" t="s">
        <v>1128</v>
      </c>
      <c r="L191" s="183">
        <v>4</v>
      </c>
      <c r="M191" s="183" t="s">
        <v>451</v>
      </c>
      <c r="N191" s="185">
        <v>2000000</v>
      </c>
      <c r="O191" s="183" t="s">
        <v>452</v>
      </c>
      <c r="P191" s="183" t="s">
        <v>1129</v>
      </c>
      <c r="Q191" s="184"/>
      <c r="R191" s="183" t="s">
        <v>18</v>
      </c>
      <c r="S191" s="184" t="s">
        <v>1130</v>
      </c>
      <c r="T191" s="184"/>
      <c r="U191" s="184"/>
      <c r="V191" s="184"/>
      <c r="W191" s="184"/>
      <c r="X191" s="179"/>
      <c r="Y191" s="179"/>
      <c r="Z191" s="179"/>
      <c r="AA191" s="179"/>
    </row>
    <row r="192" spans="1:27">
      <c r="A192" s="181">
        <f ca="1">IFERROR(__xludf.DUMMYFUNCTION("IFS(B192="""","""",ISDATE(B192)=TRUE,B192,ISDATE(B192)=FALSE,TO_DATE(DATEVALUE(regexextract(B192,""\d+/\d+/\d+""))))"),44791)</f>
        <v>44791</v>
      </c>
      <c r="B192" s="182" t="s">
        <v>10182</v>
      </c>
      <c r="C192" s="183" t="s">
        <v>4484</v>
      </c>
      <c r="D192" s="183">
        <v>3.63</v>
      </c>
      <c r="E192" s="183" t="s">
        <v>10369</v>
      </c>
      <c r="F192" s="183" t="s">
        <v>4</v>
      </c>
      <c r="G192" s="183" t="s">
        <v>725</v>
      </c>
      <c r="H192" s="183" t="s">
        <v>10370</v>
      </c>
      <c r="I192" s="183">
        <v>3.5</v>
      </c>
      <c r="J192" s="183" t="s">
        <v>727</v>
      </c>
      <c r="K192" s="183" t="s">
        <v>10371</v>
      </c>
      <c r="L192" s="183">
        <v>3.75</v>
      </c>
      <c r="M192" s="183" t="s">
        <v>784</v>
      </c>
      <c r="N192" s="185">
        <v>300000</v>
      </c>
      <c r="O192" s="183" t="s">
        <v>465</v>
      </c>
      <c r="P192" s="183" t="s">
        <v>452</v>
      </c>
      <c r="Q192" s="184"/>
      <c r="R192" s="183" t="s">
        <v>24</v>
      </c>
      <c r="S192" s="184" t="s">
        <v>4490</v>
      </c>
      <c r="T192" s="184"/>
      <c r="U192" s="184"/>
      <c r="V192" s="184"/>
      <c r="W192" s="184"/>
      <c r="X192" s="179"/>
      <c r="Y192" s="179"/>
      <c r="Z192" s="179"/>
      <c r="AA192" s="179"/>
    </row>
    <row r="193" spans="1:27">
      <c r="A193" s="181">
        <f ca="1">IFERROR(__xludf.DUMMYFUNCTION("IFS(B193="""","""",ISDATE(B193)=TRUE,B193,ISDATE(B193)=FALSE,TO_DATE(DATEVALUE(regexextract(B193,""\d+/\d+/\d+""))))"),44782)</f>
        <v>44782</v>
      </c>
      <c r="B193" s="182" t="s">
        <v>10188</v>
      </c>
      <c r="C193" s="183" t="s">
        <v>384</v>
      </c>
      <c r="D193" s="183">
        <v>3.75</v>
      </c>
      <c r="E193" s="183" t="s">
        <v>10054</v>
      </c>
      <c r="F193" s="183" t="s">
        <v>5</v>
      </c>
      <c r="G193" s="183" t="s">
        <v>447</v>
      </c>
      <c r="H193" s="183" t="s">
        <v>10055</v>
      </c>
      <c r="I193" s="183">
        <v>3.5</v>
      </c>
      <c r="J193" s="183" t="s">
        <v>622</v>
      </c>
      <c r="K193" s="183" t="s">
        <v>10056</v>
      </c>
      <c r="L193" s="183">
        <v>4</v>
      </c>
      <c r="M193" s="184" t="s">
        <v>451</v>
      </c>
      <c r="N193" s="188">
        <v>5000000</v>
      </c>
      <c r="O193" s="183" t="s">
        <v>452</v>
      </c>
      <c r="P193" s="183" t="s">
        <v>10057</v>
      </c>
      <c r="Q193" s="184" t="s">
        <v>725</v>
      </c>
      <c r="R193" s="183" t="s">
        <v>20</v>
      </c>
      <c r="S193" s="183" t="s">
        <v>10058</v>
      </c>
      <c r="T193" s="184"/>
      <c r="U193" s="184"/>
      <c r="V193" s="184"/>
      <c r="W193" s="184"/>
      <c r="X193" s="179"/>
      <c r="Y193" s="179"/>
      <c r="Z193" s="179"/>
      <c r="AA193" s="179"/>
    </row>
    <row r="194" spans="1:27">
      <c r="A194" s="181">
        <f ca="1">IFERROR(__xludf.DUMMYFUNCTION("IFS(B194="""","""",ISDATE(B194)=TRUE,B194,ISDATE(B194)=FALSE,TO_DATE(DATEVALUE(regexextract(B194,""\d+/\d+/\d+""))))"),44782)</f>
        <v>44782</v>
      </c>
      <c r="B194" s="182" t="s">
        <v>10188</v>
      </c>
      <c r="C194" s="183" t="s">
        <v>8150</v>
      </c>
      <c r="D194" s="184">
        <v>1</v>
      </c>
      <c r="E194" s="183" t="s">
        <v>8153</v>
      </c>
      <c r="F194" s="183" t="s">
        <v>4</v>
      </c>
      <c r="G194" s="183" t="s">
        <v>727</v>
      </c>
      <c r="H194" s="184" t="s">
        <v>8154</v>
      </c>
      <c r="I194" s="184">
        <v>1</v>
      </c>
      <c r="J194" s="183" t="s">
        <v>476</v>
      </c>
      <c r="K194" s="184" t="s">
        <v>10372</v>
      </c>
      <c r="L194" s="184">
        <v>1</v>
      </c>
      <c r="M194" s="183" t="s">
        <v>784</v>
      </c>
      <c r="N194" s="185">
        <v>600000</v>
      </c>
      <c r="O194" s="183" t="s">
        <v>452</v>
      </c>
      <c r="P194" s="183" t="s">
        <v>452</v>
      </c>
      <c r="Q194" s="184"/>
      <c r="R194" s="184" t="s">
        <v>24</v>
      </c>
      <c r="S194" s="184"/>
      <c r="T194" s="184"/>
      <c r="U194" s="184"/>
      <c r="V194" s="184"/>
      <c r="W194" s="184"/>
      <c r="X194" s="179"/>
      <c r="Y194" s="179"/>
      <c r="Z194" s="179"/>
      <c r="AA194" s="179"/>
    </row>
    <row r="195" spans="1:27">
      <c r="A195" s="181">
        <f ca="1">IFERROR(__xludf.DUMMYFUNCTION("IFS(B195="""","""",ISDATE(B195)=TRUE,B195,ISDATE(B195)=FALSE,TO_DATE(DATEVALUE(regexextract(B195,""\d+/\d+/\d+""))))"),44796)</f>
        <v>44796</v>
      </c>
      <c r="B195" s="182" t="s">
        <v>529</v>
      </c>
      <c r="C195" s="183" t="s">
        <v>8695</v>
      </c>
      <c r="D195" s="184">
        <v>3</v>
      </c>
      <c r="E195" s="183" t="s">
        <v>10373</v>
      </c>
      <c r="F195" s="183" t="s">
        <v>3</v>
      </c>
      <c r="G195" s="183" t="s">
        <v>488</v>
      </c>
      <c r="H195" s="184" t="s">
        <v>8699</v>
      </c>
      <c r="I195" s="184">
        <v>3</v>
      </c>
      <c r="J195" s="183" t="s">
        <v>941</v>
      </c>
      <c r="K195" s="184"/>
      <c r="L195" s="184">
        <v>3</v>
      </c>
      <c r="M195" s="183" t="s">
        <v>8700</v>
      </c>
      <c r="N195" s="185" t="s">
        <v>8701</v>
      </c>
      <c r="O195" s="183" t="s">
        <v>452</v>
      </c>
      <c r="P195" s="183" t="s">
        <v>452</v>
      </c>
      <c r="Q195" s="184"/>
      <c r="R195" s="184" t="s">
        <v>24</v>
      </c>
      <c r="S195" s="184" t="s">
        <v>8702</v>
      </c>
      <c r="T195" s="184"/>
      <c r="U195" s="184"/>
      <c r="V195" s="184"/>
      <c r="W195" s="184"/>
      <c r="X195" s="179"/>
      <c r="Y195" s="179"/>
      <c r="Z195" s="179"/>
      <c r="AA195" s="179"/>
    </row>
    <row r="196" spans="1:27">
      <c r="A196" s="181">
        <f ca="1">IFERROR(__xludf.DUMMYFUNCTION("IFS(B196="""","""",ISDATE(B196)=TRUE,B196,ISDATE(B196)=FALSE,TO_DATE(DATEVALUE(regexextract(B196,""\d+/\d+/\d+""))))"),44796)</f>
        <v>44796</v>
      </c>
      <c r="B196" s="182" t="s">
        <v>529</v>
      </c>
      <c r="C196" s="183" t="s">
        <v>5420</v>
      </c>
      <c r="D196" s="184">
        <v>3</v>
      </c>
      <c r="E196" s="183" t="s">
        <v>10374</v>
      </c>
      <c r="F196" s="183" t="s">
        <v>4</v>
      </c>
      <c r="G196" s="183" t="s">
        <v>725</v>
      </c>
      <c r="H196" s="184" t="s">
        <v>5424</v>
      </c>
      <c r="I196" s="184">
        <v>3</v>
      </c>
      <c r="J196" s="183" t="s">
        <v>1073</v>
      </c>
      <c r="K196" s="183"/>
      <c r="L196" s="183">
        <v>3</v>
      </c>
      <c r="M196" s="183" t="s">
        <v>451</v>
      </c>
      <c r="N196" s="187">
        <v>1000000</v>
      </c>
      <c r="O196" s="183" t="s">
        <v>452</v>
      </c>
      <c r="P196" s="183" t="s">
        <v>10375</v>
      </c>
      <c r="Q196" s="184"/>
      <c r="R196" s="184" t="s">
        <v>24</v>
      </c>
      <c r="S196" s="184"/>
      <c r="T196" s="184"/>
      <c r="U196" s="184"/>
      <c r="V196" s="184"/>
      <c r="W196" s="184"/>
      <c r="X196" s="179"/>
      <c r="Y196" s="179"/>
      <c r="Z196" s="179"/>
      <c r="AA196" s="179"/>
    </row>
    <row r="197" spans="1:27">
      <c r="A197" s="181">
        <f ca="1">IFERROR(__xludf.DUMMYFUNCTION("IFS(B197="""","""",ISDATE(B197)=TRUE,B197,ISDATE(B197)=FALSE,TO_DATE(DATEVALUE(regexextract(B197,""\d+/\d+/\d+""))))"),44782)</f>
        <v>44782</v>
      </c>
      <c r="B197" s="182" t="s">
        <v>10188</v>
      </c>
      <c r="C197" s="183" t="s">
        <v>66</v>
      </c>
      <c r="D197" s="184">
        <v>3.5</v>
      </c>
      <c r="E197" s="183" t="s">
        <v>9458</v>
      </c>
      <c r="F197" s="183" t="s">
        <v>5</v>
      </c>
      <c r="G197" s="183" t="s">
        <v>460</v>
      </c>
      <c r="H197" s="183" t="s">
        <v>9459</v>
      </c>
      <c r="I197" s="183">
        <v>3</v>
      </c>
      <c r="J197" s="183" t="s">
        <v>462</v>
      </c>
      <c r="K197" s="184" t="s">
        <v>9460</v>
      </c>
      <c r="L197" s="184">
        <v>4</v>
      </c>
      <c r="M197" s="184" t="s">
        <v>478</v>
      </c>
      <c r="N197" s="188">
        <v>20000000</v>
      </c>
      <c r="O197" s="183" t="s">
        <v>452</v>
      </c>
      <c r="P197" s="183" t="s">
        <v>452</v>
      </c>
      <c r="Q197" s="184"/>
      <c r="R197" s="184" t="s">
        <v>20</v>
      </c>
      <c r="S197" s="184" t="s">
        <v>9461</v>
      </c>
      <c r="T197" s="184"/>
      <c r="U197" s="184"/>
      <c r="V197" s="184"/>
      <c r="W197" s="184"/>
      <c r="X197" s="179"/>
      <c r="Y197" s="179"/>
      <c r="Z197" s="179"/>
      <c r="AA197" s="179"/>
    </row>
    <row r="198" spans="1:27">
      <c r="A198" s="181">
        <f ca="1">IFERROR(__xludf.DUMMYFUNCTION("IFS(B198="""","""",ISDATE(B198)=TRUE,B198,ISDATE(B198)=FALSE,TO_DATE(DATEVALUE(regexextract(B198,""\d+/\d+/\d+""))))"),44796)</f>
        <v>44796</v>
      </c>
      <c r="B198" s="182" t="s">
        <v>529</v>
      </c>
      <c r="C198" s="183" t="s">
        <v>7309</v>
      </c>
      <c r="D198" s="184">
        <v>2</v>
      </c>
      <c r="E198" s="183" t="s">
        <v>7312</v>
      </c>
      <c r="F198" s="183" t="s">
        <v>4</v>
      </c>
      <c r="G198" s="183" t="s">
        <v>727</v>
      </c>
      <c r="H198" s="184" t="s">
        <v>10376</v>
      </c>
      <c r="I198" s="184">
        <v>2</v>
      </c>
      <c r="J198" s="183" t="s">
        <v>1237</v>
      </c>
      <c r="K198" s="183"/>
      <c r="L198" s="183">
        <v>2</v>
      </c>
      <c r="M198" s="183" t="s">
        <v>784</v>
      </c>
      <c r="N198" s="187" t="s">
        <v>7314</v>
      </c>
      <c r="O198" s="183" t="s">
        <v>452</v>
      </c>
      <c r="P198" s="183" t="s">
        <v>7315</v>
      </c>
      <c r="Q198" s="184"/>
      <c r="R198" s="184" t="s">
        <v>24</v>
      </c>
      <c r="S198" s="184"/>
      <c r="T198" s="184"/>
      <c r="U198" s="184"/>
      <c r="V198" s="184"/>
      <c r="W198" s="184"/>
      <c r="X198" s="179"/>
      <c r="Y198" s="179"/>
      <c r="Z198" s="179"/>
      <c r="AA198" s="179"/>
    </row>
    <row r="199" spans="1:27">
      <c r="A199" s="181">
        <f ca="1">IFERROR(__xludf.DUMMYFUNCTION("IFS(B199="""","""",ISDATE(B199)=TRUE,B199,ISDATE(B199)=FALSE,TO_DATE(DATEVALUE(regexextract(B199,""\d+/\d+/\d+""))))"),44797)</f>
        <v>44797</v>
      </c>
      <c r="B199" s="182" t="s">
        <v>907</v>
      </c>
      <c r="C199" s="183" t="s">
        <v>7558</v>
      </c>
      <c r="D199" s="184">
        <v>2</v>
      </c>
      <c r="E199" s="183" t="s">
        <v>10377</v>
      </c>
      <c r="F199" s="183" t="s">
        <v>4</v>
      </c>
      <c r="G199" s="183" t="s">
        <v>460</v>
      </c>
      <c r="H199" s="184" t="s">
        <v>7562</v>
      </c>
      <c r="I199" s="184">
        <v>2</v>
      </c>
      <c r="J199" s="183" t="s">
        <v>1045</v>
      </c>
      <c r="K199" s="183" t="s">
        <v>7563</v>
      </c>
      <c r="L199" s="183">
        <v>2</v>
      </c>
      <c r="M199" s="184" t="s">
        <v>451</v>
      </c>
      <c r="N199" s="186">
        <v>4000000</v>
      </c>
      <c r="O199" s="183" t="s">
        <v>465</v>
      </c>
      <c r="P199" s="183" t="s">
        <v>452</v>
      </c>
      <c r="Q199" s="184"/>
      <c r="R199" s="184" t="s">
        <v>24</v>
      </c>
      <c r="S199" s="184"/>
      <c r="T199" s="184"/>
      <c r="U199" s="184"/>
      <c r="V199" s="184"/>
      <c r="W199" s="184"/>
      <c r="X199" s="179"/>
      <c r="Y199" s="179"/>
      <c r="Z199" s="179"/>
      <c r="AA199" s="179"/>
    </row>
    <row r="200" spans="1:27">
      <c r="A200" s="181">
        <f ca="1">IFERROR(__xludf.DUMMYFUNCTION("IFS(B200="""","""",ISDATE(B200)=TRUE,B200,ISDATE(B200)=FALSE,TO_DATE(DATEVALUE(regexextract(B200,""\d+/\d+/\d+""))))"),44782)</f>
        <v>44782</v>
      </c>
      <c r="B200" s="182" t="s">
        <v>10188</v>
      </c>
      <c r="C200" s="183" t="s">
        <v>70</v>
      </c>
      <c r="D200" s="184">
        <v>4</v>
      </c>
      <c r="E200" s="184" t="s">
        <v>2247</v>
      </c>
      <c r="F200" s="183" t="s">
        <v>5</v>
      </c>
      <c r="G200" s="183" t="s">
        <v>460</v>
      </c>
      <c r="H200" s="184" t="s">
        <v>2248</v>
      </c>
      <c r="I200" s="184">
        <v>4</v>
      </c>
      <c r="J200" s="183" t="s">
        <v>941</v>
      </c>
      <c r="K200" s="183"/>
      <c r="L200" s="183">
        <v>4</v>
      </c>
      <c r="M200" s="183"/>
      <c r="N200" s="192"/>
      <c r="O200" s="183" t="s">
        <v>452</v>
      </c>
      <c r="P200" s="183" t="s">
        <v>2249</v>
      </c>
      <c r="Q200" s="184"/>
      <c r="R200" s="184" t="s">
        <v>18</v>
      </c>
      <c r="S200" s="184" t="s">
        <v>2250</v>
      </c>
      <c r="T200" s="184"/>
      <c r="U200" s="184"/>
      <c r="V200" s="184"/>
      <c r="W200" s="184"/>
      <c r="X200" s="179"/>
      <c r="Y200" s="179"/>
      <c r="Z200" s="179"/>
      <c r="AA200" s="179"/>
    </row>
    <row r="201" spans="1:27">
      <c r="A201" s="181">
        <f ca="1">IFERROR(__xludf.DUMMYFUNCTION("IFS(B201="""","""",ISDATE(B201)=TRUE,B201,ISDATE(B201)=FALSE,TO_DATE(DATEVALUE(regexextract(B201,""\d+/\d+/\d+""))))"),44782)</f>
        <v>44782</v>
      </c>
      <c r="B201" s="182" t="s">
        <v>10188</v>
      </c>
      <c r="C201" s="183" t="s">
        <v>9630</v>
      </c>
      <c r="D201" s="184">
        <v>3</v>
      </c>
      <c r="E201" s="183" t="s">
        <v>9633</v>
      </c>
      <c r="F201" s="183" t="s">
        <v>4</v>
      </c>
      <c r="G201" s="183" t="s">
        <v>727</v>
      </c>
      <c r="H201" s="184" t="s">
        <v>10378</v>
      </c>
      <c r="I201" s="184">
        <v>3</v>
      </c>
      <c r="J201" s="183" t="s">
        <v>447</v>
      </c>
      <c r="K201" s="184" t="s">
        <v>10379</v>
      </c>
      <c r="L201" s="184">
        <v>3</v>
      </c>
      <c r="M201" s="183" t="s">
        <v>451</v>
      </c>
      <c r="N201" s="187" t="s">
        <v>4444</v>
      </c>
      <c r="O201" s="183" t="s">
        <v>452</v>
      </c>
      <c r="P201" s="183" t="s">
        <v>9636</v>
      </c>
      <c r="Q201" s="184"/>
      <c r="R201" s="184" t="s">
        <v>23</v>
      </c>
      <c r="S201" s="184" t="s">
        <v>9637</v>
      </c>
      <c r="T201" s="184"/>
      <c r="U201" s="184"/>
      <c r="V201" s="184"/>
      <c r="W201" s="184"/>
      <c r="X201" s="179"/>
      <c r="Y201" s="179"/>
      <c r="Z201" s="179"/>
      <c r="AA201" s="179"/>
    </row>
    <row r="202" spans="1:27">
      <c r="A202" s="181">
        <f ca="1">IFERROR(__xludf.DUMMYFUNCTION("IFS(B202="""","""",ISDATE(B202)=TRUE,B202,ISDATE(B202)=FALSE,TO_DATE(DATEVALUE(regexextract(B202,""\d+/\d+/\d+""))))"),44784)</f>
        <v>44784</v>
      </c>
      <c r="B202" s="182" t="s">
        <v>10173</v>
      </c>
      <c r="C202" s="183" t="s">
        <v>386</v>
      </c>
      <c r="D202" s="184">
        <v>3.75</v>
      </c>
      <c r="E202" s="183" t="s">
        <v>10063</v>
      </c>
      <c r="F202" s="183" t="s">
        <v>5</v>
      </c>
      <c r="G202" s="183" t="s">
        <v>447</v>
      </c>
      <c r="H202" s="184" t="s">
        <v>10380</v>
      </c>
      <c r="I202" s="184">
        <v>3.5</v>
      </c>
      <c r="J202" s="183" t="s">
        <v>622</v>
      </c>
      <c r="K202" s="184" t="s">
        <v>10065</v>
      </c>
      <c r="L202" s="183">
        <v>4</v>
      </c>
      <c r="M202" s="183" t="s">
        <v>478</v>
      </c>
      <c r="N202" s="187" t="s">
        <v>10066</v>
      </c>
      <c r="O202" s="183" t="s">
        <v>452</v>
      </c>
      <c r="P202" s="183" t="s">
        <v>10381</v>
      </c>
      <c r="Q202" s="184"/>
      <c r="R202" s="184" t="s">
        <v>20</v>
      </c>
      <c r="S202" s="184" t="s">
        <v>10068</v>
      </c>
      <c r="T202" s="184"/>
      <c r="U202" s="184"/>
      <c r="V202" s="184"/>
      <c r="W202" s="184"/>
      <c r="X202" s="179"/>
      <c r="Y202" s="179"/>
      <c r="Z202" s="179"/>
      <c r="AA202" s="179"/>
    </row>
    <row r="203" spans="1:27">
      <c r="A203" s="181">
        <f ca="1">IFERROR(__xludf.DUMMYFUNCTION("IFS(B203="""","""",ISDATE(B203)=TRUE,B203,ISDATE(B203)=FALSE,TO_DATE(DATEVALUE(regexextract(B203,""\d+/\d+/\d+""))))"),44784)</f>
        <v>44784</v>
      </c>
      <c r="B203" s="182" t="s">
        <v>10173</v>
      </c>
      <c r="C203" s="183" t="s">
        <v>9816</v>
      </c>
      <c r="D203" s="184">
        <v>2.5</v>
      </c>
      <c r="E203" s="184" t="s">
        <v>9819</v>
      </c>
      <c r="F203" s="183" t="s">
        <v>3</v>
      </c>
      <c r="G203" s="183" t="s">
        <v>460</v>
      </c>
      <c r="H203" s="184" t="s">
        <v>9820</v>
      </c>
      <c r="I203" s="184">
        <v>3</v>
      </c>
      <c r="J203" s="183" t="s">
        <v>488</v>
      </c>
      <c r="K203" s="184" t="s">
        <v>10382</v>
      </c>
      <c r="L203" s="184">
        <v>2</v>
      </c>
      <c r="M203" s="183"/>
      <c r="N203" s="185"/>
      <c r="O203" s="183" t="s">
        <v>454</v>
      </c>
      <c r="P203" s="183" t="s">
        <v>452</v>
      </c>
      <c r="Q203" s="184"/>
      <c r="R203" s="184" t="s">
        <v>23</v>
      </c>
      <c r="S203" s="184" t="s">
        <v>9822</v>
      </c>
      <c r="T203" s="184"/>
      <c r="U203" s="184"/>
      <c r="V203" s="184"/>
      <c r="W203" s="184"/>
      <c r="X203" s="179"/>
      <c r="Y203" s="179"/>
      <c r="Z203" s="179"/>
      <c r="AA203" s="179"/>
    </row>
    <row r="204" spans="1:27">
      <c r="A204" s="181">
        <f ca="1">IFERROR(__xludf.DUMMYFUNCTION("IFS(B204="""","""",ISDATE(B204)=TRUE,B204,ISDATE(B204)=FALSE,TO_DATE(DATEVALUE(regexextract(B204,""\d+/\d+/\d+""))))"),44784)</f>
        <v>44784</v>
      </c>
      <c r="B204" s="182" t="s">
        <v>10173</v>
      </c>
      <c r="C204" s="183" t="s">
        <v>200</v>
      </c>
      <c r="D204" s="184">
        <v>4.25</v>
      </c>
      <c r="E204" s="183" t="s">
        <v>1262</v>
      </c>
      <c r="F204" s="183" t="s">
        <v>4</v>
      </c>
      <c r="G204" s="183" t="s">
        <v>727</v>
      </c>
      <c r="H204" s="184" t="s">
        <v>10383</v>
      </c>
      <c r="I204" s="184">
        <v>4.5</v>
      </c>
      <c r="J204" s="183" t="s">
        <v>1054</v>
      </c>
      <c r="K204" s="184" t="s">
        <v>10384</v>
      </c>
      <c r="L204" s="183">
        <v>4</v>
      </c>
      <c r="M204" s="183" t="s">
        <v>451</v>
      </c>
      <c r="N204" s="185">
        <v>2000000</v>
      </c>
      <c r="O204" s="183" t="s">
        <v>465</v>
      </c>
      <c r="P204" s="183" t="s">
        <v>452</v>
      </c>
      <c r="Q204" s="184"/>
      <c r="R204" s="184" t="s">
        <v>18</v>
      </c>
      <c r="S204" s="184"/>
      <c r="T204" s="184"/>
      <c r="U204" s="184"/>
      <c r="V204" s="184"/>
      <c r="W204" s="184"/>
      <c r="X204" s="179"/>
      <c r="Y204" s="179"/>
      <c r="Z204" s="179"/>
      <c r="AA204" s="179"/>
    </row>
    <row r="205" spans="1:27">
      <c r="A205" s="181">
        <f ca="1">IFERROR(__xludf.DUMMYFUNCTION("IFS(B205="""","""",ISDATE(B205)=TRUE,B205,ISDATE(B205)=FALSE,TO_DATE(DATEVALUE(regexextract(B205,""\d+/\d+/\d+""))))"),44782)</f>
        <v>44782</v>
      </c>
      <c r="B205" s="182" t="s">
        <v>10188</v>
      </c>
      <c r="C205" s="183" t="s">
        <v>74</v>
      </c>
      <c r="D205" s="184">
        <v>3.25</v>
      </c>
      <c r="E205" s="184" t="s">
        <v>9569</v>
      </c>
      <c r="F205" s="183" t="s">
        <v>5</v>
      </c>
      <c r="G205" s="183" t="s">
        <v>460</v>
      </c>
      <c r="H205" s="184" t="s">
        <v>9570</v>
      </c>
      <c r="I205" s="184">
        <v>3.5</v>
      </c>
      <c r="J205" s="183" t="s">
        <v>941</v>
      </c>
      <c r="K205" s="184"/>
      <c r="L205" s="184">
        <v>3</v>
      </c>
      <c r="M205" s="183" t="s">
        <v>478</v>
      </c>
      <c r="N205" s="194">
        <v>5000000</v>
      </c>
      <c r="O205" s="183" t="s">
        <v>452</v>
      </c>
      <c r="P205" s="183" t="s">
        <v>9571</v>
      </c>
      <c r="Q205" s="184" t="s">
        <v>9572</v>
      </c>
      <c r="R205" s="184" t="s">
        <v>20</v>
      </c>
      <c r="S205" s="184" t="s">
        <v>9573</v>
      </c>
      <c r="T205" s="184"/>
      <c r="U205" s="184"/>
      <c r="V205" s="184"/>
      <c r="W205" s="184"/>
      <c r="X205" s="179"/>
      <c r="Y205" s="179"/>
      <c r="Z205" s="179"/>
      <c r="AA205" s="179"/>
    </row>
    <row r="206" spans="1:27">
      <c r="A206" s="181">
        <f ca="1">IFERROR(__xludf.DUMMYFUNCTION("IFS(B206="""","""",ISDATE(B206)=TRUE,B206,ISDATE(B206)=FALSE,TO_DATE(DATEVALUE(regexextract(B206,""\d+/\d+/\d+""))))"),44797)</f>
        <v>44797</v>
      </c>
      <c r="B206" s="182" t="s">
        <v>907</v>
      </c>
      <c r="C206" s="183" t="s">
        <v>10385</v>
      </c>
      <c r="D206" s="184">
        <v>2</v>
      </c>
      <c r="E206" s="184" t="s">
        <v>10386</v>
      </c>
      <c r="F206" s="183" t="s">
        <v>4</v>
      </c>
      <c r="G206" s="183" t="s">
        <v>1045</v>
      </c>
      <c r="H206" s="184" t="s">
        <v>7535</v>
      </c>
      <c r="I206" s="184">
        <v>2</v>
      </c>
      <c r="J206" s="183" t="s">
        <v>449</v>
      </c>
      <c r="K206" s="184" t="s">
        <v>10387</v>
      </c>
      <c r="L206" s="183">
        <v>2</v>
      </c>
      <c r="M206" s="183" t="s">
        <v>451</v>
      </c>
      <c r="N206" s="187">
        <v>1200000</v>
      </c>
      <c r="O206" s="183" t="s">
        <v>452</v>
      </c>
      <c r="P206" s="183" t="s">
        <v>10388</v>
      </c>
      <c r="Q206" s="184"/>
      <c r="R206" s="184" t="s">
        <v>24</v>
      </c>
      <c r="S206" s="184"/>
      <c r="T206" s="184"/>
      <c r="U206" s="184"/>
      <c r="V206" s="184"/>
      <c r="W206" s="184"/>
      <c r="X206" s="179"/>
      <c r="Y206" s="179"/>
      <c r="Z206" s="179"/>
      <c r="AA206" s="179"/>
    </row>
    <row r="207" spans="1:27">
      <c r="A207" s="181">
        <f ca="1">IFERROR(__xludf.DUMMYFUNCTION("IFS(B207="""","""",ISDATE(B207)=TRUE,B207,ISDATE(B207)=FALSE,TO_DATE(DATEVALUE(regexextract(B207,""\d+/\d+/\d+""))))"),44782)</f>
        <v>44782</v>
      </c>
      <c r="B207" s="182" t="s">
        <v>10188</v>
      </c>
      <c r="C207" s="183" t="s">
        <v>6390</v>
      </c>
      <c r="D207" s="184">
        <v>2.5</v>
      </c>
      <c r="E207" s="184" t="s">
        <v>6393</v>
      </c>
      <c r="F207" s="183" t="s">
        <v>4</v>
      </c>
      <c r="G207" s="183" t="s">
        <v>602</v>
      </c>
      <c r="H207" s="184" t="s">
        <v>6394</v>
      </c>
      <c r="I207" s="184">
        <v>3</v>
      </c>
      <c r="J207" s="183" t="s">
        <v>476</v>
      </c>
      <c r="K207" s="184" t="s">
        <v>10389</v>
      </c>
      <c r="L207" s="184">
        <v>2</v>
      </c>
      <c r="M207" s="183"/>
      <c r="N207" s="185"/>
      <c r="O207" s="183" t="s">
        <v>452</v>
      </c>
      <c r="P207" s="183" t="s">
        <v>6396</v>
      </c>
      <c r="Q207" s="183"/>
      <c r="R207" s="184" t="s">
        <v>24</v>
      </c>
      <c r="S207" s="184"/>
      <c r="T207" s="184"/>
      <c r="U207" s="184"/>
      <c r="V207" s="184"/>
      <c r="W207" s="184"/>
      <c r="X207" s="179"/>
      <c r="Y207" s="179"/>
      <c r="Z207" s="179"/>
      <c r="AA207" s="179"/>
    </row>
    <row r="208" spans="1:27">
      <c r="A208" s="181">
        <f ca="1">IFERROR(__xludf.DUMMYFUNCTION("IFS(B208="""","""",ISDATE(B208)=TRUE,B208,ISDATE(B208)=FALSE,TO_DATE(DATEVALUE(regexextract(B208,""\d+/\d+/\d+""))))"),44782)</f>
        <v>44782</v>
      </c>
      <c r="B208" s="182" t="s">
        <v>10188</v>
      </c>
      <c r="C208" s="183" t="s">
        <v>4942</v>
      </c>
      <c r="D208" s="184">
        <v>3.38</v>
      </c>
      <c r="E208" s="183" t="s">
        <v>4945</v>
      </c>
      <c r="F208" s="183" t="s">
        <v>4</v>
      </c>
      <c r="G208" s="183" t="s">
        <v>727</v>
      </c>
      <c r="H208" s="184" t="s">
        <v>4946</v>
      </c>
      <c r="I208" s="184">
        <v>3.75</v>
      </c>
      <c r="J208" s="183" t="s">
        <v>1054</v>
      </c>
      <c r="K208" s="184"/>
      <c r="L208" s="184">
        <v>3</v>
      </c>
      <c r="M208" s="183" t="s">
        <v>451</v>
      </c>
      <c r="N208" s="187">
        <v>345000</v>
      </c>
      <c r="O208" s="183" t="s">
        <v>452</v>
      </c>
      <c r="P208" s="183" t="s">
        <v>4947</v>
      </c>
      <c r="Q208" s="183"/>
      <c r="R208" s="184" t="s">
        <v>24</v>
      </c>
      <c r="S208" s="184"/>
      <c r="T208" s="184"/>
      <c r="U208" s="184"/>
      <c r="V208" s="184"/>
      <c r="W208" s="184"/>
      <c r="X208" s="179"/>
      <c r="Y208" s="179"/>
      <c r="Z208" s="179"/>
      <c r="AA208" s="179"/>
    </row>
    <row r="209" spans="1:27">
      <c r="A209" s="181">
        <f ca="1">IFERROR(__xludf.DUMMYFUNCTION("IFS(B209="""","""",ISDATE(B209)=TRUE,B209,ISDATE(B209)=FALSE,TO_DATE(DATEVALUE(regexextract(B209,""\d+/\d+/\d+""))))"),44782)</f>
        <v>44782</v>
      </c>
      <c r="B209" s="182" t="s">
        <v>10188</v>
      </c>
      <c r="C209" s="183" t="s">
        <v>6607</v>
      </c>
      <c r="D209" s="183">
        <v>2.5</v>
      </c>
      <c r="E209" s="183" t="s">
        <v>6610</v>
      </c>
      <c r="F209" s="183" t="s">
        <v>4</v>
      </c>
      <c r="G209" s="183" t="s">
        <v>602</v>
      </c>
      <c r="H209" s="183" t="s">
        <v>6611</v>
      </c>
      <c r="I209" s="183">
        <v>2</v>
      </c>
      <c r="J209" s="183" t="s">
        <v>1054</v>
      </c>
      <c r="K209" s="183" t="s">
        <v>6612</v>
      </c>
      <c r="L209" s="183">
        <v>3</v>
      </c>
      <c r="M209" s="184" t="s">
        <v>451</v>
      </c>
      <c r="N209" s="188">
        <v>2000000</v>
      </c>
      <c r="O209" s="183" t="s">
        <v>452</v>
      </c>
      <c r="P209" s="183" t="s">
        <v>452</v>
      </c>
      <c r="Q209" s="184"/>
      <c r="R209" s="183" t="s">
        <v>24</v>
      </c>
      <c r="S209" s="184"/>
      <c r="T209" s="184"/>
      <c r="U209" s="184"/>
      <c r="V209" s="184"/>
      <c r="W209" s="184"/>
      <c r="X209" s="179"/>
      <c r="Y209" s="179"/>
      <c r="Z209" s="179"/>
      <c r="AA209" s="179"/>
    </row>
    <row r="210" spans="1:27">
      <c r="A210" s="181">
        <f ca="1">IFERROR(__xludf.DUMMYFUNCTION("IFS(B210="""","""",ISDATE(B210)=TRUE,B210,ISDATE(B210)=FALSE,TO_DATE(DATEVALUE(regexextract(B210,""\d+/\d+/\d+""))))"),44784)</f>
        <v>44784</v>
      </c>
      <c r="B210" s="182" t="s">
        <v>10173</v>
      </c>
      <c r="C210" s="183" t="s">
        <v>6973</v>
      </c>
      <c r="D210" s="184">
        <v>2</v>
      </c>
      <c r="E210" s="183" t="s">
        <v>6976</v>
      </c>
      <c r="F210" s="183" t="s">
        <v>4</v>
      </c>
      <c r="G210" s="183" t="s">
        <v>602</v>
      </c>
      <c r="H210" s="184" t="s">
        <v>6977</v>
      </c>
      <c r="I210" s="184">
        <v>2</v>
      </c>
      <c r="J210" s="183" t="s">
        <v>1054</v>
      </c>
      <c r="K210" s="184" t="s">
        <v>6978</v>
      </c>
      <c r="L210" s="184">
        <v>2</v>
      </c>
      <c r="M210" s="183" t="s">
        <v>451</v>
      </c>
      <c r="N210" s="185" t="s">
        <v>6979</v>
      </c>
      <c r="O210" s="183" t="s">
        <v>452</v>
      </c>
      <c r="P210" s="183" t="s">
        <v>6980</v>
      </c>
      <c r="Q210" s="184"/>
      <c r="R210" s="184" t="s">
        <v>24</v>
      </c>
      <c r="S210" s="184"/>
      <c r="T210" s="184"/>
      <c r="U210" s="184"/>
      <c r="V210" s="184"/>
      <c r="W210" s="184"/>
      <c r="X210" s="179"/>
      <c r="Y210" s="179"/>
      <c r="Z210" s="179"/>
      <c r="AA210" s="179"/>
    </row>
    <row r="211" spans="1:27">
      <c r="A211" s="181">
        <f ca="1">IFERROR(__xludf.DUMMYFUNCTION("IFS(B211="""","""",ISDATE(B211)=TRUE,B211,ISDATE(B211)=FALSE,TO_DATE(DATEVALUE(regexextract(B211,""\d+/\d+/\d+""))))"),44782)</f>
        <v>44782</v>
      </c>
      <c r="B211" s="189" t="s">
        <v>10188</v>
      </c>
      <c r="C211" s="183" t="s">
        <v>227</v>
      </c>
      <c r="D211" s="183">
        <v>3.5</v>
      </c>
      <c r="E211" s="183" t="s">
        <v>1358</v>
      </c>
      <c r="F211" s="183" t="s">
        <v>4</v>
      </c>
      <c r="G211" s="183" t="s">
        <v>602</v>
      </c>
      <c r="H211" s="183" t="s">
        <v>1359</v>
      </c>
      <c r="I211" s="183">
        <v>4</v>
      </c>
      <c r="J211" s="183" t="s">
        <v>476</v>
      </c>
      <c r="K211" s="183" t="s">
        <v>10390</v>
      </c>
      <c r="L211" s="183">
        <v>3</v>
      </c>
      <c r="M211" s="184" t="s">
        <v>1361</v>
      </c>
      <c r="N211" s="186" t="s">
        <v>1362</v>
      </c>
      <c r="O211" s="183" t="s">
        <v>465</v>
      </c>
      <c r="P211" s="183" t="s">
        <v>1363</v>
      </c>
      <c r="Q211" s="184"/>
      <c r="R211" s="183" t="s">
        <v>18</v>
      </c>
      <c r="S211" s="184" t="s">
        <v>1364</v>
      </c>
      <c r="T211" s="184"/>
      <c r="U211" s="184"/>
      <c r="V211" s="184"/>
      <c r="W211" s="184"/>
      <c r="X211" s="179"/>
      <c r="Y211" s="179"/>
      <c r="Z211" s="179"/>
      <c r="AA211" s="179"/>
    </row>
    <row r="212" spans="1:27">
      <c r="A212" s="181">
        <f ca="1">IFERROR(__xludf.DUMMYFUNCTION("IFS(B212="""","""",ISDATE(B212)=TRUE,B212,ISDATE(B212)=FALSE,TO_DATE(DATEVALUE(regexextract(B212,""\d+/\d+/\d+""))))"),44782)</f>
        <v>44782</v>
      </c>
      <c r="B212" s="189" t="s">
        <v>10188</v>
      </c>
      <c r="C212" s="183" t="s">
        <v>3377</v>
      </c>
      <c r="D212" s="184">
        <v>3.25</v>
      </c>
      <c r="E212" s="183" t="s">
        <v>10391</v>
      </c>
      <c r="F212" s="183" t="s">
        <v>5</v>
      </c>
      <c r="G212" s="183" t="s">
        <v>447</v>
      </c>
      <c r="H212" s="184" t="s">
        <v>10392</v>
      </c>
      <c r="I212" s="184">
        <v>3.5</v>
      </c>
      <c r="J212" s="183" t="s">
        <v>476</v>
      </c>
      <c r="K212" s="183" t="s">
        <v>10393</v>
      </c>
      <c r="L212" s="183">
        <v>3</v>
      </c>
      <c r="M212" s="184" t="s">
        <v>478</v>
      </c>
      <c r="N212" s="186">
        <v>5000000</v>
      </c>
      <c r="O212" s="183" t="s">
        <v>3383</v>
      </c>
      <c r="P212" s="183" t="s">
        <v>10394</v>
      </c>
      <c r="Q212" s="184"/>
      <c r="R212" s="184" t="s">
        <v>24</v>
      </c>
      <c r="S212" s="184"/>
      <c r="T212" s="184"/>
      <c r="U212" s="184"/>
      <c r="V212" s="184"/>
      <c r="W212" s="184"/>
      <c r="X212" s="179"/>
      <c r="Y212" s="179"/>
      <c r="Z212" s="179"/>
      <c r="AA212" s="179"/>
    </row>
    <row r="213" spans="1:27">
      <c r="A213" s="181">
        <f ca="1">IFERROR(__xludf.DUMMYFUNCTION("IFS(B213="""","""",ISDATE(B213)=TRUE,B213,ISDATE(B213)=FALSE,TO_DATE(DATEVALUE(regexextract(B213,""\d+/\d+/\d+""))))"),44782)</f>
        <v>44782</v>
      </c>
      <c r="B213" s="182" t="s">
        <v>10188</v>
      </c>
      <c r="C213" s="183" t="s">
        <v>92</v>
      </c>
      <c r="D213" s="183">
        <v>5</v>
      </c>
      <c r="E213" s="183" t="s">
        <v>655</v>
      </c>
      <c r="F213" s="183" t="s">
        <v>5</v>
      </c>
      <c r="G213" s="183" t="s">
        <v>460</v>
      </c>
      <c r="H213" s="183" t="s">
        <v>656</v>
      </c>
      <c r="I213" s="183">
        <v>5</v>
      </c>
      <c r="J213" s="183" t="s">
        <v>462</v>
      </c>
      <c r="K213" s="184"/>
      <c r="L213" s="183">
        <v>5</v>
      </c>
      <c r="M213" s="183" t="s">
        <v>451</v>
      </c>
      <c r="N213" s="192">
        <v>3000000</v>
      </c>
      <c r="O213" s="183" t="s">
        <v>452</v>
      </c>
      <c r="P213" s="183" t="s">
        <v>10395</v>
      </c>
      <c r="Q213" s="184"/>
      <c r="R213" s="183" t="s">
        <v>18</v>
      </c>
      <c r="S213" s="184" t="s">
        <v>658</v>
      </c>
      <c r="T213" s="184"/>
      <c r="U213" s="184"/>
      <c r="V213" s="184"/>
      <c r="W213" s="184"/>
      <c r="X213" s="179"/>
      <c r="Y213" s="179"/>
      <c r="Z213" s="179"/>
      <c r="AA213" s="179"/>
    </row>
    <row r="214" spans="1:27">
      <c r="A214" s="181">
        <f ca="1">IFERROR(__xludf.DUMMYFUNCTION("IFS(B214="""","""",ISDATE(B214)=TRUE,B214,ISDATE(B214)=FALSE,TO_DATE(DATEVALUE(regexextract(B214,""\d+/\d+/\d+""))))"),44784)</f>
        <v>44784</v>
      </c>
      <c r="B214" s="182" t="s">
        <v>10173</v>
      </c>
      <c r="C214" s="183" t="s">
        <v>3019</v>
      </c>
      <c r="D214" s="183">
        <v>3</v>
      </c>
      <c r="E214" s="183" t="s">
        <v>10396</v>
      </c>
      <c r="F214" s="183" t="s">
        <v>5</v>
      </c>
      <c r="G214" s="183" t="s">
        <v>447</v>
      </c>
      <c r="H214" s="183" t="s">
        <v>10397</v>
      </c>
      <c r="I214" s="183">
        <v>3</v>
      </c>
      <c r="J214" s="183" t="s">
        <v>622</v>
      </c>
      <c r="K214" s="183" t="s">
        <v>3024</v>
      </c>
      <c r="L214" s="183">
        <v>3</v>
      </c>
      <c r="M214" s="184" t="s">
        <v>784</v>
      </c>
      <c r="N214" s="186">
        <v>1000000</v>
      </c>
      <c r="O214" s="183" t="s">
        <v>452</v>
      </c>
      <c r="P214" s="183" t="s">
        <v>3025</v>
      </c>
      <c r="Q214" s="183" t="s">
        <v>447</v>
      </c>
      <c r="R214" s="183" t="s">
        <v>24</v>
      </c>
      <c r="S214" s="184"/>
      <c r="T214" s="184"/>
      <c r="U214" s="184"/>
      <c r="V214" s="184"/>
      <c r="W214" s="184"/>
      <c r="X214" s="179"/>
      <c r="Y214" s="179"/>
      <c r="Z214" s="179"/>
      <c r="AA214" s="179"/>
    </row>
    <row r="215" spans="1:27">
      <c r="A215" s="181">
        <f ca="1">IFERROR(__xludf.DUMMYFUNCTION("IFS(B215="""","""",ISDATE(B215)=TRUE,B215,ISDATE(B215)=FALSE,TO_DATE(DATEVALUE(regexextract(B215,""\d+/\d+/\d+""))))"),44796)</f>
        <v>44796</v>
      </c>
      <c r="B215" s="182" t="s">
        <v>529</v>
      </c>
      <c r="C215" s="183" t="s">
        <v>8158</v>
      </c>
      <c r="D215" s="184">
        <v>1</v>
      </c>
      <c r="E215" s="183" t="s">
        <v>8161</v>
      </c>
      <c r="F215" s="183" t="s">
        <v>4</v>
      </c>
      <c r="G215" s="183" t="s">
        <v>727</v>
      </c>
      <c r="H215" s="184" t="s">
        <v>10398</v>
      </c>
      <c r="I215" s="184">
        <v>1</v>
      </c>
      <c r="J215" s="183" t="s">
        <v>1187</v>
      </c>
      <c r="K215" s="184" t="s">
        <v>8163</v>
      </c>
      <c r="L215" s="183">
        <v>1</v>
      </c>
      <c r="M215" s="183"/>
      <c r="N215" s="185"/>
      <c r="O215" s="183" t="s">
        <v>452</v>
      </c>
      <c r="P215" s="183" t="s">
        <v>8164</v>
      </c>
      <c r="Q215" s="183"/>
      <c r="R215" s="184" t="s">
        <v>24</v>
      </c>
      <c r="S215" s="184"/>
      <c r="T215" s="184"/>
      <c r="U215" s="184"/>
      <c r="V215" s="184"/>
      <c r="W215" s="184"/>
      <c r="X215" s="179"/>
      <c r="Y215" s="179"/>
      <c r="Z215" s="179"/>
      <c r="AA215" s="179"/>
    </row>
    <row r="216" spans="1:27">
      <c r="A216" s="181">
        <f ca="1">IFERROR(__xludf.DUMMYFUNCTION("IFS(B216="""","""",ISDATE(B216)=TRUE,B216,ISDATE(B216)=FALSE,TO_DATE(DATEVALUE(regexextract(B216,""\d+/\d+/\d+""))))"),44782)</f>
        <v>44782</v>
      </c>
      <c r="B216" s="182" t="s">
        <v>10188</v>
      </c>
      <c r="C216" s="183" t="s">
        <v>3060</v>
      </c>
      <c r="D216" s="184">
        <v>2.25</v>
      </c>
      <c r="E216" s="183" t="s">
        <v>3063</v>
      </c>
      <c r="F216" s="183" t="s">
        <v>5</v>
      </c>
      <c r="G216" s="183" t="s">
        <v>447</v>
      </c>
      <c r="H216" s="184" t="s">
        <v>10399</v>
      </c>
      <c r="I216" s="184">
        <v>2.5</v>
      </c>
      <c r="J216" s="183" t="s">
        <v>476</v>
      </c>
      <c r="K216" s="184" t="s">
        <v>10400</v>
      </c>
      <c r="L216" s="184">
        <v>2</v>
      </c>
      <c r="M216" s="184"/>
      <c r="N216" s="188"/>
      <c r="O216" s="183" t="s">
        <v>452</v>
      </c>
      <c r="P216" s="183" t="s">
        <v>452</v>
      </c>
      <c r="Q216" s="184"/>
      <c r="R216" s="184" t="s">
        <v>24</v>
      </c>
      <c r="S216" s="184"/>
      <c r="T216" s="184"/>
      <c r="U216" s="184"/>
      <c r="V216" s="184"/>
      <c r="W216" s="184"/>
      <c r="X216" s="179"/>
      <c r="Y216" s="179"/>
      <c r="Z216" s="179"/>
      <c r="AA216" s="179"/>
    </row>
    <row r="217" spans="1:27">
      <c r="A217" s="181">
        <f ca="1">IFERROR(__xludf.DUMMYFUNCTION("IFS(B217="""","""",ISDATE(B217)=TRUE,B217,ISDATE(B217)=FALSE,TO_DATE(DATEVALUE(regexextract(B217,""\d+/\d+/\d+""))))"),44782)</f>
        <v>44782</v>
      </c>
      <c r="B217" s="182" t="s">
        <v>10188</v>
      </c>
      <c r="C217" s="183" t="s">
        <v>2090</v>
      </c>
      <c r="D217" s="184">
        <v>3.25</v>
      </c>
      <c r="E217" s="183" t="s">
        <v>2093</v>
      </c>
      <c r="F217" s="183" t="s">
        <v>5</v>
      </c>
      <c r="G217" s="183" t="s">
        <v>447</v>
      </c>
      <c r="H217" s="184" t="s">
        <v>10401</v>
      </c>
      <c r="I217" s="184">
        <v>3.5</v>
      </c>
      <c r="J217" s="183" t="s">
        <v>449</v>
      </c>
      <c r="K217" s="183" t="s">
        <v>10402</v>
      </c>
      <c r="L217" s="183">
        <v>3</v>
      </c>
      <c r="M217" s="183" t="s">
        <v>451</v>
      </c>
      <c r="N217" s="185">
        <v>2500000</v>
      </c>
      <c r="O217" s="183" t="s">
        <v>465</v>
      </c>
      <c r="P217" s="183" t="s">
        <v>2096</v>
      </c>
      <c r="Q217" s="184"/>
      <c r="R217" s="184" t="s">
        <v>24</v>
      </c>
      <c r="S217" s="184"/>
      <c r="T217" s="184"/>
      <c r="U217" s="184"/>
      <c r="V217" s="184"/>
      <c r="W217" s="184"/>
      <c r="X217" s="179"/>
      <c r="Y217" s="179"/>
      <c r="Z217" s="179"/>
      <c r="AA217" s="179"/>
    </row>
    <row r="218" spans="1:27">
      <c r="A218" s="181">
        <f ca="1">IFERROR(__xludf.DUMMYFUNCTION("IFS(B218="""","""",ISDATE(B218)=TRUE,B218,ISDATE(B218)=FALSE,TO_DATE(DATEVALUE(regexextract(B218,""\d+/\d+/\d+""))))"),44782)</f>
        <v>44782</v>
      </c>
      <c r="B218" s="182" t="s">
        <v>10188</v>
      </c>
      <c r="C218" s="183" t="s">
        <v>5757</v>
      </c>
      <c r="D218" s="184">
        <v>3</v>
      </c>
      <c r="E218" s="183" t="s">
        <v>5760</v>
      </c>
      <c r="F218" s="183" t="s">
        <v>4</v>
      </c>
      <c r="G218" s="183" t="s">
        <v>602</v>
      </c>
      <c r="H218" s="184" t="s">
        <v>10403</v>
      </c>
      <c r="I218" s="184">
        <v>4</v>
      </c>
      <c r="J218" s="183" t="s">
        <v>476</v>
      </c>
      <c r="K218" s="184" t="s">
        <v>10404</v>
      </c>
      <c r="L218" s="184">
        <v>2</v>
      </c>
      <c r="M218" s="183" t="s">
        <v>451</v>
      </c>
      <c r="N218" s="185">
        <v>5000000</v>
      </c>
      <c r="O218" s="183" t="s">
        <v>452</v>
      </c>
      <c r="P218" s="183" t="s">
        <v>5763</v>
      </c>
      <c r="Q218" s="183"/>
      <c r="R218" s="184" t="s">
        <v>24</v>
      </c>
      <c r="S218" s="184"/>
      <c r="T218" s="184"/>
      <c r="U218" s="184"/>
      <c r="V218" s="184"/>
      <c r="W218" s="184"/>
      <c r="X218" s="179"/>
      <c r="Y218" s="179"/>
      <c r="Z218" s="179"/>
      <c r="AA218" s="179"/>
    </row>
    <row r="219" spans="1:27">
      <c r="A219" s="181">
        <f ca="1">IFERROR(__xludf.DUMMYFUNCTION("IFS(B219="""","""",ISDATE(B219)=TRUE,B219,ISDATE(B219)=FALSE,TO_DATE(DATEVALUE(regexextract(B219,""\d+/\d+/\d+""))))"),44796)</f>
        <v>44796</v>
      </c>
      <c r="B219" s="182" t="s">
        <v>529</v>
      </c>
      <c r="C219" s="191" t="s">
        <v>6925</v>
      </c>
      <c r="D219" s="184">
        <v>2.25</v>
      </c>
      <c r="E219" s="183" t="s">
        <v>6928</v>
      </c>
      <c r="F219" s="183" t="s">
        <v>4</v>
      </c>
      <c r="G219" s="183" t="s">
        <v>727</v>
      </c>
      <c r="H219" s="184"/>
      <c r="I219" s="184">
        <v>2.5</v>
      </c>
      <c r="J219" s="183" t="s">
        <v>1045</v>
      </c>
      <c r="K219" s="183" t="s">
        <v>6929</v>
      </c>
      <c r="L219" s="183">
        <v>2</v>
      </c>
      <c r="M219" s="183"/>
      <c r="N219" s="185"/>
      <c r="O219" s="183" t="s">
        <v>452</v>
      </c>
      <c r="P219" s="183" t="s">
        <v>6930</v>
      </c>
      <c r="Q219" s="184"/>
      <c r="R219" s="184" t="s">
        <v>24</v>
      </c>
      <c r="S219" s="184"/>
      <c r="T219" s="184"/>
      <c r="U219" s="184"/>
      <c r="V219" s="184"/>
      <c r="W219" s="184"/>
      <c r="X219" s="179"/>
      <c r="Y219" s="179"/>
      <c r="Z219" s="179"/>
      <c r="AA219" s="179"/>
    </row>
    <row r="220" spans="1:27">
      <c r="A220" s="181">
        <f ca="1">IFERROR(__xludf.DUMMYFUNCTION("IFS(B220="""","""",ISDATE(B220)=TRUE,B220,ISDATE(B220)=FALSE,TO_DATE(DATEVALUE(regexextract(B220,""\d+/\d+/\d+""))))"),44796)</f>
        <v>44796</v>
      </c>
      <c r="B220" s="182" t="s">
        <v>529</v>
      </c>
      <c r="C220" s="183" t="s">
        <v>229</v>
      </c>
      <c r="D220" s="183">
        <v>4</v>
      </c>
      <c r="E220" s="183" t="s">
        <v>10405</v>
      </c>
      <c r="F220" s="183" t="s">
        <v>4</v>
      </c>
      <c r="G220" s="183" t="s">
        <v>1045</v>
      </c>
      <c r="H220" s="183" t="s">
        <v>3955</v>
      </c>
      <c r="I220" s="183">
        <v>4</v>
      </c>
      <c r="J220" s="183" t="s">
        <v>1298</v>
      </c>
      <c r="K220" s="183" t="s">
        <v>3956</v>
      </c>
      <c r="L220" s="183">
        <v>4</v>
      </c>
      <c r="M220" s="183" t="s">
        <v>451</v>
      </c>
      <c r="N220" s="187">
        <v>2000000</v>
      </c>
      <c r="O220" s="183" t="s">
        <v>454</v>
      </c>
      <c r="P220" s="183" t="s">
        <v>452</v>
      </c>
      <c r="Q220" s="184" t="s">
        <v>3957</v>
      </c>
      <c r="R220" s="183" t="s">
        <v>18</v>
      </c>
      <c r="S220" s="184"/>
      <c r="T220" s="184"/>
      <c r="U220" s="184"/>
      <c r="V220" s="184"/>
      <c r="W220" s="184"/>
      <c r="X220" s="179"/>
      <c r="Y220" s="179"/>
      <c r="Z220" s="179"/>
      <c r="AA220" s="179"/>
    </row>
    <row r="221" spans="1:27">
      <c r="A221" s="181">
        <f ca="1">IFERROR(__xludf.DUMMYFUNCTION("IFS(B221="""","""",ISDATE(B221)=TRUE,B221,ISDATE(B221)=FALSE,TO_DATE(DATEVALUE(regexextract(B221,""\d+/\d+/\d+""))))"),44784)</f>
        <v>44784</v>
      </c>
      <c r="B221" s="189" t="s">
        <v>10173</v>
      </c>
      <c r="C221" s="183" t="s">
        <v>85</v>
      </c>
      <c r="D221" s="183">
        <v>3.25</v>
      </c>
      <c r="E221" s="183" t="s">
        <v>9345</v>
      </c>
      <c r="F221" s="183" t="s">
        <v>5</v>
      </c>
      <c r="G221" s="183" t="s">
        <v>447</v>
      </c>
      <c r="H221" s="183" t="s">
        <v>10406</v>
      </c>
      <c r="I221" s="183">
        <v>3.5</v>
      </c>
      <c r="J221" s="183" t="s">
        <v>622</v>
      </c>
      <c r="K221" s="183" t="s">
        <v>10407</v>
      </c>
      <c r="L221" s="183">
        <v>3</v>
      </c>
      <c r="M221" s="183" t="s">
        <v>478</v>
      </c>
      <c r="N221" s="194" t="s">
        <v>9348</v>
      </c>
      <c r="O221" s="183" t="s">
        <v>452</v>
      </c>
      <c r="P221" s="183" t="s">
        <v>10408</v>
      </c>
      <c r="Q221" s="184" t="s">
        <v>1862</v>
      </c>
      <c r="R221" s="183" t="s">
        <v>19</v>
      </c>
      <c r="S221" s="184" t="s">
        <v>9350</v>
      </c>
      <c r="T221" s="184"/>
      <c r="U221" s="184"/>
      <c r="V221" s="184"/>
      <c r="W221" s="184"/>
      <c r="X221" s="179"/>
      <c r="Y221" s="179"/>
      <c r="Z221" s="179"/>
      <c r="AA221" s="179"/>
    </row>
    <row r="222" spans="1:27">
      <c r="A222" s="181">
        <f ca="1">IFERROR(__xludf.DUMMYFUNCTION("IFS(B222="""","""",ISDATE(B222)=TRUE,B222,ISDATE(B222)=FALSE,TO_DATE(DATEVALUE(regexextract(B222,""\d+/\d+/\d+""))))"),44796)</f>
        <v>44796</v>
      </c>
      <c r="B222" s="189" t="s">
        <v>529</v>
      </c>
      <c r="C222" s="183" t="s">
        <v>5378</v>
      </c>
      <c r="D222" s="184">
        <v>3</v>
      </c>
      <c r="E222" s="183" t="s">
        <v>5381</v>
      </c>
      <c r="F222" s="183" t="s">
        <v>4</v>
      </c>
      <c r="G222" s="183" t="s">
        <v>727</v>
      </c>
      <c r="H222" s="184" t="s">
        <v>10409</v>
      </c>
      <c r="I222" s="184">
        <v>3</v>
      </c>
      <c r="J222" s="183" t="s">
        <v>1036</v>
      </c>
      <c r="K222" s="184"/>
      <c r="L222" s="183">
        <v>3</v>
      </c>
      <c r="M222" s="184" t="s">
        <v>451</v>
      </c>
      <c r="N222" s="188">
        <v>4000000</v>
      </c>
      <c r="O222" s="183" t="s">
        <v>465</v>
      </c>
      <c r="P222" s="183" t="s">
        <v>3420</v>
      </c>
      <c r="Q222" s="184"/>
      <c r="R222" s="184" t="s">
        <v>24</v>
      </c>
      <c r="S222" s="184"/>
      <c r="T222" s="184"/>
      <c r="U222" s="184"/>
      <c r="V222" s="184"/>
      <c r="W222" s="184"/>
      <c r="X222" s="179"/>
      <c r="Y222" s="179"/>
      <c r="Z222" s="179"/>
      <c r="AA222" s="179"/>
    </row>
    <row r="223" spans="1:27">
      <c r="A223" s="181">
        <f ca="1">IFERROR(__xludf.DUMMYFUNCTION("IFS(B223="""","""",ISDATE(B223)=TRUE,B223,ISDATE(B223)=FALSE,TO_DATE(DATEVALUE(regexextract(B223,""\d+/\d+/\d+""))))"),44784)</f>
        <v>44784</v>
      </c>
      <c r="B223" s="182" t="s">
        <v>10173</v>
      </c>
      <c r="C223" s="183" t="s">
        <v>80</v>
      </c>
      <c r="D223" s="183">
        <v>4.75</v>
      </c>
      <c r="E223" s="183" t="s">
        <v>572</v>
      </c>
      <c r="F223" s="183" t="s">
        <v>5</v>
      </c>
      <c r="G223" s="183" t="s">
        <v>447</v>
      </c>
      <c r="H223" s="183" t="s">
        <v>10410</v>
      </c>
      <c r="I223" s="183">
        <v>4.5</v>
      </c>
      <c r="J223" s="183" t="s">
        <v>449</v>
      </c>
      <c r="K223" s="183" t="s">
        <v>10411</v>
      </c>
      <c r="L223" s="183">
        <v>5</v>
      </c>
      <c r="M223" s="184" t="s">
        <v>451</v>
      </c>
      <c r="N223" s="188">
        <v>5000000</v>
      </c>
      <c r="O223" s="183" t="s">
        <v>465</v>
      </c>
      <c r="P223" s="183" t="s">
        <v>575</v>
      </c>
      <c r="Q223" s="184"/>
      <c r="R223" s="183" t="s">
        <v>18</v>
      </c>
      <c r="S223" s="184" t="s">
        <v>576</v>
      </c>
      <c r="T223" s="184"/>
      <c r="U223" s="184"/>
      <c r="V223" s="184"/>
      <c r="W223" s="184"/>
      <c r="X223" s="179"/>
      <c r="Y223" s="179"/>
      <c r="Z223" s="179"/>
      <c r="AA223" s="179"/>
    </row>
    <row r="224" spans="1:27">
      <c r="A224" s="181">
        <f ca="1">IFERROR(__xludf.DUMMYFUNCTION("IFS(B224="""","""",ISDATE(B224)=TRUE,B224,ISDATE(B224)=FALSE,TO_DATE(DATEVALUE(regexextract(B224,""\d+/\d+/\d+""))))"),44796)</f>
        <v>44796</v>
      </c>
      <c r="B224" s="189" t="s">
        <v>529</v>
      </c>
      <c r="C224" s="191" t="s">
        <v>7389</v>
      </c>
      <c r="D224" s="183">
        <v>2</v>
      </c>
      <c r="E224" s="183" t="s">
        <v>7392</v>
      </c>
      <c r="F224" s="183" t="s">
        <v>4</v>
      </c>
      <c r="G224" s="183" t="s">
        <v>1045</v>
      </c>
      <c r="H224" s="183" t="s">
        <v>7393</v>
      </c>
      <c r="I224" s="183">
        <v>2</v>
      </c>
      <c r="J224" s="183" t="s">
        <v>1298</v>
      </c>
      <c r="K224" s="183" t="s">
        <v>7394</v>
      </c>
      <c r="L224" s="183">
        <v>2</v>
      </c>
      <c r="M224" s="183" t="s">
        <v>784</v>
      </c>
      <c r="N224" s="187">
        <v>250000</v>
      </c>
      <c r="O224" s="183" t="s">
        <v>465</v>
      </c>
      <c r="P224" s="183" t="s">
        <v>452</v>
      </c>
      <c r="Q224" s="184"/>
      <c r="R224" s="183" t="s">
        <v>24</v>
      </c>
      <c r="S224" s="183"/>
      <c r="T224" s="184"/>
      <c r="U224" s="184"/>
      <c r="V224" s="184"/>
      <c r="W224" s="184"/>
      <c r="X224" s="179"/>
      <c r="Y224" s="179"/>
      <c r="Z224" s="179"/>
      <c r="AA224" s="179"/>
    </row>
    <row r="225" spans="1:27">
      <c r="A225" s="181">
        <f ca="1">IFERROR(__xludf.DUMMYFUNCTION("IFS(B225="""","""",ISDATE(B225)=TRUE,B225,ISDATE(B225)=FALSE,TO_DATE(DATEVALUE(regexextract(B225,""\d+/\d+/\d+""))))"),44782)</f>
        <v>44782</v>
      </c>
      <c r="B225" s="182" t="s">
        <v>10188</v>
      </c>
      <c r="C225" s="183" t="s">
        <v>250</v>
      </c>
      <c r="D225" s="183">
        <v>3.75</v>
      </c>
      <c r="E225" s="183" t="s">
        <v>1446</v>
      </c>
      <c r="F225" s="183" t="s">
        <v>4</v>
      </c>
      <c r="G225" s="183" t="s">
        <v>447</v>
      </c>
      <c r="H225" s="183" t="s">
        <v>1447</v>
      </c>
      <c r="I225" s="183">
        <v>4.5</v>
      </c>
      <c r="J225" s="183" t="s">
        <v>622</v>
      </c>
      <c r="K225" s="183" t="s">
        <v>1448</v>
      </c>
      <c r="L225" s="183">
        <v>3</v>
      </c>
      <c r="M225" s="184" t="s">
        <v>973</v>
      </c>
      <c r="N225" s="188">
        <v>30000000</v>
      </c>
      <c r="O225" s="183" t="s">
        <v>452</v>
      </c>
      <c r="P225" s="183" t="s">
        <v>10412</v>
      </c>
      <c r="Q225" s="184" t="s">
        <v>447</v>
      </c>
      <c r="R225" s="183" t="s">
        <v>18</v>
      </c>
      <c r="S225" s="184" t="s">
        <v>1450</v>
      </c>
      <c r="T225" s="184"/>
      <c r="U225" s="184"/>
      <c r="V225" s="184"/>
      <c r="W225" s="184"/>
      <c r="X225" s="179"/>
      <c r="Y225" s="179"/>
      <c r="Z225" s="179"/>
      <c r="AA225" s="179"/>
    </row>
    <row r="226" spans="1:27">
      <c r="A226" s="181">
        <f ca="1">IFERROR(__xludf.DUMMYFUNCTION("IFS(B226="""","""",ISDATE(B226)=TRUE,B226,ISDATE(B226)=FALSE,TO_DATE(DATEVALUE(regexextract(B226,""\d+/\d+/\d+""))))"),44797)</f>
        <v>44797</v>
      </c>
      <c r="B226" s="182" t="s">
        <v>907</v>
      </c>
      <c r="C226" s="183" t="s">
        <v>253</v>
      </c>
      <c r="D226" s="183">
        <v>4</v>
      </c>
      <c r="E226" s="183" t="s">
        <v>10413</v>
      </c>
      <c r="F226" s="183" t="s">
        <v>4</v>
      </c>
      <c r="G226" s="183" t="s">
        <v>727</v>
      </c>
      <c r="H226" s="183" t="s">
        <v>10414</v>
      </c>
      <c r="I226" s="183">
        <v>4</v>
      </c>
      <c r="J226" s="183" t="s">
        <v>449</v>
      </c>
      <c r="K226" s="183" t="s">
        <v>10415</v>
      </c>
      <c r="L226" s="183">
        <v>4</v>
      </c>
      <c r="M226" s="183" t="s">
        <v>478</v>
      </c>
      <c r="N226" s="187" t="s">
        <v>4076</v>
      </c>
      <c r="O226" s="183" t="s">
        <v>452</v>
      </c>
      <c r="P226" s="183" t="s">
        <v>4077</v>
      </c>
      <c r="Q226" s="184"/>
      <c r="R226" s="183" t="s">
        <v>18</v>
      </c>
      <c r="S226" s="184"/>
      <c r="T226" s="184"/>
      <c r="U226" s="184"/>
      <c r="V226" s="184"/>
      <c r="W226" s="184"/>
      <c r="X226" s="179"/>
      <c r="Y226" s="179"/>
      <c r="Z226" s="179"/>
      <c r="AA226" s="179"/>
    </row>
    <row r="227" spans="1:27">
      <c r="A227" s="181">
        <f ca="1">IFERROR(__xludf.DUMMYFUNCTION("IFS(B227="""","""",ISDATE(B227)=TRUE,B227,ISDATE(B227)=FALSE,TO_DATE(DATEVALUE(regexextract(B227,""\d+/\d+/\d+""))))"),44796)</f>
        <v>44796</v>
      </c>
      <c r="B227" s="182" t="s">
        <v>529</v>
      </c>
      <c r="C227" s="183" t="s">
        <v>5791</v>
      </c>
      <c r="D227" s="183">
        <v>3</v>
      </c>
      <c r="E227" s="183" t="s">
        <v>5794</v>
      </c>
      <c r="F227" s="183" t="s">
        <v>4</v>
      </c>
      <c r="G227" s="183" t="s">
        <v>1457</v>
      </c>
      <c r="H227" s="183" t="s">
        <v>5795</v>
      </c>
      <c r="I227" s="183">
        <v>3</v>
      </c>
      <c r="J227" s="183" t="s">
        <v>1045</v>
      </c>
      <c r="K227" s="183" t="s">
        <v>5796</v>
      </c>
      <c r="L227" s="183">
        <v>3</v>
      </c>
      <c r="M227" s="183" t="s">
        <v>451</v>
      </c>
      <c r="N227" s="187">
        <v>4000000</v>
      </c>
      <c r="O227" s="183" t="s">
        <v>452</v>
      </c>
      <c r="P227" s="183" t="s">
        <v>5797</v>
      </c>
      <c r="Q227" s="184"/>
      <c r="R227" s="183" t="s">
        <v>24</v>
      </c>
      <c r="S227" s="183"/>
      <c r="T227" s="184"/>
      <c r="U227" s="184"/>
      <c r="V227" s="184"/>
      <c r="W227" s="184"/>
      <c r="X227" s="179"/>
      <c r="Y227" s="179"/>
      <c r="Z227" s="179"/>
      <c r="AA227" s="179"/>
    </row>
    <row r="228" spans="1:27">
      <c r="A228" s="181">
        <f ca="1">IFERROR(__xludf.DUMMYFUNCTION("IFS(B228="""","""",ISDATE(B228)=TRUE,B228,ISDATE(B228)=FALSE,TO_DATE(DATEVALUE(regexextract(B228,""\d+/\d+/\d+""))))"),44796)</f>
        <v>44796</v>
      </c>
      <c r="B228" s="182" t="s">
        <v>529</v>
      </c>
      <c r="C228" s="183" t="s">
        <v>7792</v>
      </c>
      <c r="D228" s="183">
        <v>1.5</v>
      </c>
      <c r="E228" s="183" t="s">
        <v>7795</v>
      </c>
      <c r="F228" s="183" t="s">
        <v>4</v>
      </c>
      <c r="G228" s="183" t="s">
        <v>727</v>
      </c>
      <c r="H228" s="183" t="s">
        <v>10416</v>
      </c>
      <c r="I228" s="183">
        <v>2</v>
      </c>
      <c r="J228" s="183" t="s">
        <v>1036</v>
      </c>
      <c r="K228" s="183" t="s">
        <v>7797</v>
      </c>
      <c r="L228" s="183">
        <v>1</v>
      </c>
      <c r="M228" s="183" t="s">
        <v>7798</v>
      </c>
      <c r="N228" s="187" t="s">
        <v>7799</v>
      </c>
      <c r="O228" s="183" t="s">
        <v>452</v>
      </c>
      <c r="P228" s="183" t="s">
        <v>7800</v>
      </c>
      <c r="Q228" s="183"/>
      <c r="R228" s="183" t="s">
        <v>24</v>
      </c>
      <c r="S228" s="184"/>
      <c r="T228" s="184"/>
      <c r="U228" s="184"/>
      <c r="V228" s="184"/>
      <c r="W228" s="184"/>
      <c r="X228" s="179"/>
      <c r="Y228" s="179"/>
      <c r="Z228" s="179"/>
      <c r="AA228" s="179"/>
    </row>
    <row r="229" spans="1:27">
      <c r="A229" s="181">
        <f ca="1">IFERROR(__xludf.DUMMYFUNCTION("IFS(B229="""","""",ISDATE(B229)=TRUE,B229,ISDATE(B229)=FALSE,TO_DATE(DATEVALUE(regexextract(B229,""\d+/\d+/\d+""))))"),44784)</f>
        <v>44784</v>
      </c>
      <c r="B229" s="182" t="s">
        <v>10173</v>
      </c>
      <c r="C229" s="183" t="s">
        <v>2566</v>
      </c>
      <c r="D229" s="184">
        <v>2.5</v>
      </c>
      <c r="E229" s="183" t="s">
        <v>2569</v>
      </c>
      <c r="F229" s="183" t="s">
        <v>5</v>
      </c>
      <c r="G229" s="183" t="s">
        <v>447</v>
      </c>
      <c r="H229" s="184" t="s">
        <v>10417</v>
      </c>
      <c r="I229" s="184">
        <v>3</v>
      </c>
      <c r="J229" s="183" t="s">
        <v>622</v>
      </c>
      <c r="K229" s="184" t="s">
        <v>10418</v>
      </c>
      <c r="L229" s="184">
        <v>2</v>
      </c>
      <c r="M229" s="183" t="s">
        <v>451</v>
      </c>
      <c r="N229" s="187">
        <v>760000</v>
      </c>
      <c r="O229" s="183" t="s">
        <v>465</v>
      </c>
      <c r="P229" s="183" t="s">
        <v>10419</v>
      </c>
      <c r="Q229" s="184"/>
      <c r="R229" s="184" t="s">
        <v>24</v>
      </c>
      <c r="S229" s="184" t="s">
        <v>2573</v>
      </c>
      <c r="T229" s="184"/>
      <c r="U229" s="184"/>
      <c r="V229" s="184"/>
      <c r="W229" s="184"/>
      <c r="X229" s="179"/>
      <c r="Y229" s="179"/>
      <c r="Z229" s="179"/>
      <c r="AA229" s="179"/>
    </row>
    <row r="230" spans="1:27">
      <c r="A230" s="181">
        <f ca="1">IFERROR(__xludf.DUMMYFUNCTION("IFS(B230="""","""",ISDATE(B230)=TRUE,B230,ISDATE(B230)=FALSE,TO_DATE(DATEVALUE(regexextract(B230,""\d+/\d+/\d+""))))"),44796)</f>
        <v>44796</v>
      </c>
      <c r="B230" s="182" t="s">
        <v>529</v>
      </c>
      <c r="C230" s="183" t="s">
        <v>4908</v>
      </c>
      <c r="D230" s="183">
        <v>3.5</v>
      </c>
      <c r="E230" s="183" t="s">
        <v>4911</v>
      </c>
      <c r="F230" s="183" t="s">
        <v>4</v>
      </c>
      <c r="G230" s="183" t="s">
        <v>1457</v>
      </c>
      <c r="H230" s="184" t="s">
        <v>4912</v>
      </c>
      <c r="I230" s="183">
        <v>4</v>
      </c>
      <c r="J230" s="183" t="s">
        <v>1045</v>
      </c>
      <c r="K230" s="183" t="s">
        <v>4913</v>
      </c>
      <c r="L230" s="183">
        <v>3</v>
      </c>
      <c r="M230" s="183" t="s">
        <v>451</v>
      </c>
      <c r="N230" s="185">
        <v>500000</v>
      </c>
      <c r="O230" s="183" t="s">
        <v>452</v>
      </c>
      <c r="P230" s="183" t="s">
        <v>4914</v>
      </c>
      <c r="Q230" s="184"/>
      <c r="R230" s="183" t="s">
        <v>24</v>
      </c>
      <c r="S230" s="184"/>
      <c r="T230" s="184"/>
      <c r="U230" s="184"/>
      <c r="V230" s="184"/>
      <c r="W230" s="184"/>
      <c r="X230" s="179"/>
      <c r="Y230" s="179"/>
      <c r="Z230" s="179"/>
      <c r="AA230" s="179"/>
    </row>
    <row r="231" spans="1:27">
      <c r="A231" s="181">
        <f ca="1">IFERROR(__xludf.DUMMYFUNCTION("IFS(B231="""","""",ISDATE(B231)=TRUE,B231,ISDATE(B231)=FALSE,TO_DATE(DATEVALUE(regexextract(B231,""\d+/\d+/\d+""))))"),44782)</f>
        <v>44782</v>
      </c>
      <c r="B231" s="182" t="s">
        <v>10188</v>
      </c>
      <c r="C231" s="183" t="s">
        <v>65</v>
      </c>
      <c r="D231" s="183">
        <v>4.25</v>
      </c>
      <c r="E231" s="183" t="s">
        <v>474</v>
      </c>
      <c r="F231" s="183" t="s">
        <v>5</v>
      </c>
      <c r="G231" s="183" t="s">
        <v>447</v>
      </c>
      <c r="H231" s="183" t="s">
        <v>10420</v>
      </c>
      <c r="I231" s="183">
        <v>4.5</v>
      </c>
      <c r="J231" s="183" t="s">
        <v>476</v>
      </c>
      <c r="K231" s="183" t="s">
        <v>10421</v>
      </c>
      <c r="L231" s="183">
        <v>4</v>
      </c>
      <c r="M231" s="183" t="s">
        <v>478</v>
      </c>
      <c r="N231" s="185" t="s">
        <v>479</v>
      </c>
      <c r="O231" s="183" t="s">
        <v>452</v>
      </c>
      <c r="P231" s="183" t="s">
        <v>480</v>
      </c>
      <c r="Q231" s="184"/>
      <c r="R231" s="183" t="s">
        <v>18</v>
      </c>
      <c r="S231" s="184"/>
      <c r="T231" s="184"/>
      <c r="U231" s="184"/>
      <c r="V231" s="184"/>
      <c r="W231" s="184"/>
      <c r="X231" s="179"/>
      <c r="Y231" s="179"/>
      <c r="Z231" s="179"/>
      <c r="AA231" s="179"/>
    </row>
    <row r="232" spans="1:27">
      <c r="A232" s="181">
        <f ca="1">IFERROR(__xludf.DUMMYFUNCTION("IFS(B232="""","""",ISDATE(B232)=TRUE,B232,ISDATE(B232)=FALSE,TO_DATE(DATEVALUE(regexextract(B232,""\d+/\d+/\d+""))))"),44782)</f>
        <v>44782</v>
      </c>
      <c r="B232" s="182" t="s">
        <v>10188</v>
      </c>
      <c r="C232" s="183" t="s">
        <v>102</v>
      </c>
      <c r="D232" s="184">
        <v>3.25</v>
      </c>
      <c r="E232" s="183" t="s">
        <v>9450</v>
      </c>
      <c r="F232" s="183" t="s">
        <v>5</v>
      </c>
      <c r="G232" s="183" t="s">
        <v>460</v>
      </c>
      <c r="H232" s="184" t="s">
        <v>9451</v>
      </c>
      <c r="I232" s="184">
        <v>3</v>
      </c>
      <c r="J232" s="183" t="s">
        <v>941</v>
      </c>
      <c r="K232" s="184"/>
      <c r="L232" s="184">
        <v>3.5</v>
      </c>
      <c r="M232" s="183" t="s">
        <v>451</v>
      </c>
      <c r="N232" s="185">
        <v>1000000</v>
      </c>
      <c r="O232" s="183" t="s">
        <v>452</v>
      </c>
      <c r="P232" s="183" t="s">
        <v>10422</v>
      </c>
      <c r="Q232" s="184"/>
      <c r="R232" s="184" t="s">
        <v>19</v>
      </c>
      <c r="S232" s="184" t="s">
        <v>9453</v>
      </c>
      <c r="T232" s="184"/>
      <c r="U232" s="184"/>
      <c r="V232" s="184"/>
      <c r="W232" s="184"/>
      <c r="X232" s="179"/>
      <c r="Y232" s="179"/>
      <c r="Z232" s="179"/>
      <c r="AA232" s="179"/>
    </row>
    <row r="233" spans="1:27">
      <c r="A233" s="181">
        <f ca="1">IFERROR(__xludf.DUMMYFUNCTION("IFS(B233="""","""",ISDATE(B233)=TRUE,B233,ISDATE(B233)=FALSE,TO_DATE(DATEVALUE(regexextract(B233,""\d+/\d+/\d+""))))"),44796)</f>
        <v>44796</v>
      </c>
      <c r="B233" s="182" t="s">
        <v>529</v>
      </c>
      <c r="C233" s="183" t="s">
        <v>5412</v>
      </c>
      <c r="D233" s="183">
        <v>3</v>
      </c>
      <c r="E233" s="183" t="s">
        <v>5415</v>
      </c>
      <c r="F233" s="183" t="s">
        <v>4</v>
      </c>
      <c r="G233" s="183" t="s">
        <v>727</v>
      </c>
      <c r="H233" s="183" t="s">
        <v>10423</v>
      </c>
      <c r="I233" s="183">
        <v>3</v>
      </c>
      <c r="J233" s="183" t="s">
        <v>1073</v>
      </c>
      <c r="K233" s="183"/>
      <c r="L233" s="183">
        <v>3</v>
      </c>
      <c r="M233" s="183" t="s">
        <v>451</v>
      </c>
      <c r="N233" s="187" t="s">
        <v>3473</v>
      </c>
      <c r="O233" s="183" t="s">
        <v>465</v>
      </c>
      <c r="P233" s="183" t="s">
        <v>10424</v>
      </c>
      <c r="Q233" s="191"/>
      <c r="R233" s="183" t="s">
        <v>24</v>
      </c>
      <c r="S233" s="183"/>
      <c r="T233" s="184"/>
      <c r="U233" s="184"/>
      <c r="V233" s="184"/>
      <c r="W233" s="184"/>
      <c r="X233" s="179"/>
      <c r="Y233" s="179"/>
      <c r="Z233" s="179"/>
      <c r="AA233" s="179"/>
    </row>
    <row r="234" spans="1:27">
      <c r="A234" s="181">
        <f ca="1">IFERROR(__xludf.DUMMYFUNCTION("IFS(B234="""","""",ISDATE(B234)=TRUE,B234,ISDATE(B234)=FALSE,TO_DATE(DATEVALUE(regexextract(B234,""\d+/\d+/\d+""))))"),44782)</f>
        <v>44782</v>
      </c>
      <c r="B234" s="182" t="s">
        <v>10188</v>
      </c>
      <c r="C234" s="183" t="s">
        <v>131</v>
      </c>
      <c r="D234" s="183">
        <v>3.75</v>
      </c>
      <c r="E234" s="183" t="s">
        <v>9362</v>
      </c>
      <c r="F234" s="183" t="s">
        <v>5</v>
      </c>
      <c r="G234" s="183" t="s">
        <v>447</v>
      </c>
      <c r="H234" s="183" t="s">
        <v>9363</v>
      </c>
      <c r="I234" s="183">
        <v>3.5</v>
      </c>
      <c r="J234" s="183" t="s">
        <v>543</v>
      </c>
      <c r="K234" s="183" t="s">
        <v>10425</v>
      </c>
      <c r="L234" s="183">
        <v>4</v>
      </c>
      <c r="M234" s="184" t="s">
        <v>478</v>
      </c>
      <c r="N234" s="186" t="s">
        <v>4956</v>
      </c>
      <c r="O234" s="183" t="s">
        <v>452</v>
      </c>
      <c r="P234" s="183" t="s">
        <v>9365</v>
      </c>
      <c r="Q234" s="183"/>
      <c r="R234" s="183" t="s">
        <v>19</v>
      </c>
      <c r="S234" s="184" t="s">
        <v>1334</v>
      </c>
      <c r="T234" s="184"/>
      <c r="U234" s="184"/>
      <c r="V234" s="184"/>
      <c r="W234" s="184"/>
      <c r="X234" s="179"/>
      <c r="Y234" s="179"/>
      <c r="Z234" s="179"/>
      <c r="AA234" s="179"/>
    </row>
    <row r="235" spans="1:27">
      <c r="A235" s="181">
        <f ca="1">IFERROR(__xludf.DUMMYFUNCTION("IFS(B235="""","""",ISDATE(B235)=TRUE,B235,ISDATE(B235)=FALSE,TO_DATE(DATEVALUE(regexextract(B235,""\d+/\d+/\d+""))))"),44784)</f>
        <v>44784</v>
      </c>
      <c r="B235" s="182" t="s">
        <v>10173</v>
      </c>
      <c r="C235" s="183" t="s">
        <v>2805</v>
      </c>
      <c r="D235" s="183">
        <v>2.75</v>
      </c>
      <c r="E235" s="183" t="s">
        <v>2808</v>
      </c>
      <c r="F235" s="183" t="s">
        <v>5</v>
      </c>
      <c r="G235" s="183" t="s">
        <v>447</v>
      </c>
      <c r="H235" s="183" t="s">
        <v>10426</v>
      </c>
      <c r="I235" s="183">
        <v>3</v>
      </c>
      <c r="J235" s="183" t="s">
        <v>622</v>
      </c>
      <c r="K235" s="183" t="s">
        <v>2810</v>
      </c>
      <c r="L235" s="183">
        <v>2.5</v>
      </c>
      <c r="M235" s="183" t="s">
        <v>451</v>
      </c>
      <c r="N235" s="187">
        <v>1000000</v>
      </c>
      <c r="O235" s="183" t="s">
        <v>452</v>
      </c>
      <c r="P235" s="183" t="s">
        <v>10427</v>
      </c>
      <c r="Q235" s="183"/>
      <c r="R235" s="183" t="s">
        <v>24</v>
      </c>
      <c r="S235" s="184"/>
      <c r="T235" s="184"/>
      <c r="U235" s="184"/>
      <c r="V235" s="184"/>
      <c r="W235" s="184"/>
      <c r="X235" s="179"/>
      <c r="Y235" s="179"/>
      <c r="Z235" s="179"/>
      <c r="AA235" s="179"/>
    </row>
    <row r="236" spans="1:27">
      <c r="A236" s="181">
        <f ca="1">IFERROR(__xludf.DUMMYFUNCTION("IFS(B236="""","""",ISDATE(B236)=TRUE,B236,ISDATE(B236)=FALSE,TO_DATE(DATEVALUE(regexextract(B236,""\d+/\d+/\d+""))))"),44782)</f>
        <v>44782</v>
      </c>
      <c r="B236" s="182" t="s">
        <v>10188</v>
      </c>
      <c r="C236" s="183" t="s">
        <v>230</v>
      </c>
      <c r="D236" s="183">
        <v>4</v>
      </c>
      <c r="E236" s="183" t="s">
        <v>3962</v>
      </c>
      <c r="F236" s="183" t="s">
        <v>4</v>
      </c>
      <c r="G236" s="183" t="s">
        <v>727</v>
      </c>
      <c r="H236" s="183" t="s">
        <v>10428</v>
      </c>
      <c r="I236" s="183">
        <v>4</v>
      </c>
      <c r="J236" s="183" t="s">
        <v>941</v>
      </c>
      <c r="K236" s="183" t="s">
        <v>3964</v>
      </c>
      <c r="L236" s="183">
        <v>4</v>
      </c>
      <c r="M236" s="183"/>
      <c r="N236" s="185"/>
      <c r="O236" s="183" t="s">
        <v>452</v>
      </c>
      <c r="P236" s="183" t="s">
        <v>10429</v>
      </c>
      <c r="Q236" s="183" t="s">
        <v>3966</v>
      </c>
      <c r="R236" s="183" t="s">
        <v>18</v>
      </c>
      <c r="S236" s="183"/>
      <c r="T236" s="184"/>
      <c r="U236" s="184"/>
      <c r="V236" s="184"/>
      <c r="W236" s="184"/>
      <c r="X236" s="179"/>
      <c r="Y236" s="179"/>
      <c r="Z236" s="179"/>
      <c r="AA236" s="179"/>
    </row>
    <row r="237" spans="1:27">
      <c r="A237" s="181">
        <f ca="1">IFERROR(__xludf.DUMMYFUNCTION("IFS(B237="""","""",ISDATE(B237)=TRUE,B237,ISDATE(B237)=FALSE,TO_DATE(DATEVALUE(regexextract(B237,""\d+/\d+/\d+""))))"),44784)</f>
        <v>44784</v>
      </c>
      <c r="B237" s="189" t="s">
        <v>10173</v>
      </c>
      <c r="C237" s="183" t="s">
        <v>128</v>
      </c>
      <c r="D237" s="184">
        <v>5</v>
      </c>
      <c r="E237" s="183" t="s">
        <v>920</v>
      </c>
      <c r="F237" s="183" t="s">
        <v>5</v>
      </c>
      <c r="G237" s="183" t="s">
        <v>447</v>
      </c>
      <c r="H237" s="184" t="s">
        <v>10430</v>
      </c>
      <c r="I237" s="184">
        <v>5</v>
      </c>
      <c r="J237" s="183" t="s">
        <v>543</v>
      </c>
      <c r="K237" s="184" t="s">
        <v>10431</v>
      </c>
      <c r="L237" s="184">
        <v>5</v>
      </c>
      <c r="M237" s="183" t="s">
        <v>923</v>
      </c>
      <c r="N237" s="187">
        <v>3000000</v>
      </c>
      <c r="O237" s="183" t="s">
        <v>452</v>
      </c>
      <c r="P237" s="183" t="s">
        <v>924</v>
      </c>
      <c r="Q237" s="184"/>
      <c r="R237" s="184" t="s">
        <v>18</v>
      </c>
      <c r="S237" s="184" t="s">
        <v>925</v>
      </c>
      <c r="T237" s="184"/>
      <c r="U237" s="184"/>
      <c r="V237" s="184"/>
      <c r="W237" s="184"/>
      <c r="X237" s="179"/>
      <c r="Y237" s="179"/>
      <c r="Z237" s="179"/>
      <c r="AA237" s="179"/>
    </row>
    <row r="238" spans="1:27">
      <c r="A238" s="181">
        <f ca="1">IFERROR(__xludf.DUMMYFUNCTION("IFS(B238="""","""",ISDATE(B238)=TRUE,B238,ISDATE(B238)=FALSE,TO_DATE(DATEVALUE(regexextract(B238,""\d+/\d+/\d+""))))"),44784)</f>
        <v>44784</v>
      </c>
      <c r="B238" s="182" t="s">
        <v>10173</v>
      </c>
      <c r="C238" s="183" t="s">
        <v>144</v>
      </c>
      <c r="D238" s="183">
        <v>3.75</v>
      </c>
      <c r="E238" s="183" t="s">
        <v>10432</v>
      </c>
      <c r="F238" s="183" t="s">
        <v>5</v>
      </c>
      <c r="G238" s="183" t="s">
        <v>447</v>
      </c>
      <c r="H238" s="183" t="s">
        <v>10433</v>
      </c>
      <c r="I238" s="183">
        <v>3.5</v>
      </c>
      <c r="J238" s="183" t="s">
        <v>449</v>
      </c>
      <c r="K238" s="183" t="s">
        <v>10434</v>
      </c>
      <c r="L238" s="183">
        <v>4</v>
      </c>
      <c r="M238" s="184"/>
      <c r="N238" s="185"/>
      <c r="O238" s="183" t="s">
        <v>452</v>
      </c>
      <c r="P238" s="183" t="s">
        <v>3290</v>
      </c>
      <c r="Q238" s="184"/>
      <c r="R238" s="183" t="s">
        <v>20</v>
      </c>
      <c r="S238" s="183" t="s">
        <v>3291</v>
      </c>
      <c r="T238" s="184"/>
      <c r="U238" s="184"/>
      <c r="V238" s="184"/>
      <c r="W238" s="184"/>
      <c r="X238" s="179"/>
      <c r="Y238" s="179"/>
      <c r="Z238" s="179"/>
      <c r="AA238" s="179"/>
    </row>
    <row r="239" spans="1:27">
      <c r="A239" s="181">
        <f ca="1">IFERROR(__xludf.DUMMYFUNCTION("IFS(B239="""","""",ISDATE(B239)=TRUE,B239,ISDATE(B239)=FALSE,TO_DATE(DATEVALUE(regexextract(B239,""\d+/\d+/\d+""))))"),44789)</f>
        <v>44789</v>
      </c>
      <c r="B239" s="189" t="s">
        <v>6450</v>
      </c>
      <c r="C239" s="183" t="s">
        <v>10435</v>
      </c>
      <c r="D239" s="183">
        <v>2.5</v>
      </c>
      <c r="E239" s="183" t="s">
        <v>8371</v>
      </c>
      <c r="F239" s="183" t="s">
        <v>3</v>
      </c>
      <c r="G239" s="183" t="s">
        <v>460</v>
      </c>
      <c r="H239" s="183" t="s">
        <v>8372</v>
      </c>
      <c r="I239" s="183">
        <v>2</v>
      </c>
      <c r="J239" s="183" t="s">
        <v>488</v>
      </c>
      <c r="K239" s="183" t="s">
        <v>10436</v>
      </c>
      <c r="L239" s="183">
        <v>3</v>
      </c>
      <c r="M239" s="183" t="s">
        <v>451</v>
      </c>
      <c r="N239" s="187" t="s">
        <v>8374</v>
      </c>
      <c r="O239" s="183" t="s">
        <v>452</v>
      </c>
      <c r="P239" s="183" t="s">
        <v>575</v>
      </c>
      <c r="Q239" s="183"/>
      <c r="R239" s="183" t="s">
        <v>24</v>
      </c>
      <c r="S239" s="193"/>
      <c r="T239" s="193"/>
      <c r="U239" s="193"/>
      <c r="V239" s="193"/>
      <c r="W239" s="193"/>
      <c r="X239" s="6"/>
      <c r="Y239" s="6"/>
      <c r="Z239" s="6"/>
      <c r="AA239" s="6"/>
    </row>
    <row r="240" spans="1:27">
      <c r="A240" s="181">
        <f ca="1">IFERROR(__xludf.DUMMYFUNCTION("IFS(B240="""","""",ISDATE(B240)=TRUE,B240,ISDATE(B240)=FALSE,TO_DATE(DATEVALUE(regexextract(B240,""\d+/\d+/\d+""))))"),44782)</f>
        <v>44782</v>
      </c>
      <c r="B240" s="182" t="s">
        <v>10188</v>
      </c>
      <c r="C240" s="183" t="s">
        <v>141</v>
      </c>
      <c r="D240" s="183">
        <v>3.5</v>
      </c>
      <c r="E240" s="183" t="s">
        <v>10437</v>
      </c>
      <c r="F240" s="183" t="s">
        <v>5</v>
      </c>
      <c r="G240" s="183" t="s">
        <v>447</v>
      </c>
      <c r="H240" s="184" t="s">
        <v>10438</v>
      </c>
      <c r="I240" s="183">
        <v>3</v>
      </c>
      <c r="J240" s="183" t="s">
        <v>449</v>
      </c>
      <c r="K240" s="183" t="s">
        <v>10439</v>
      </c>
      <c r="L240" s="183">
        <v>4</v>
      </c>
      <c r="M240" s="184" t="s">
        <v>451</v>
      </c>
      <c r="N240" s="188">
        <v>1500000</v>
      </c>
      <c r="O240" s="183" t="s">
        <v>452</v>
      </c>
      <c r="P240" s="183" t="s">
        <v>9485</v>
      </c>
      <c r="Q240" s="184"/>
      <c r="R240" s="183" t="s">
        <v>20</v>
      </c>
      <c r="S240" s="183" t="s">
        <v>9486</v>
      </c>
      <c r="T240" s="184"/>
      <c r="U240" s="184"/>
      <c r="V240" s="184"/>
      <c r="W240" s="184"/>
      <c r="X240" s="179"/>
      <c r="Y240" s="179"/>
      <c r="Z240" s="179"/>
      <c r="AA240" s="179"/>
    </row>
    <row r="241" spans="1:27">
      <c r="A241" s="181">
        <f ca="1">IFERROR(__xludf.DUMMYFUNCTION("IFS(B241="""","""",ISDATE(B241)=TRUE,B241,ISDATE(B241)=FALSE,TO_DATE(DATEVALUE(regexextract(B241,""\d+/\d+/\d+""))))"),44782)</f>
        <v>44782</v>
      </c>
      <c r="B241" s="182" t="s">
        <v>10188</v>
      </c>
      <c r="C241" s="183" t="s">
        <v>414</v>
      </c>
      <c r="D241" s="183">
        <v>4.25</v>
      </c>
      <c r="E241" s="183" t="s">
        <v>10440</v>
      </c>
      <c r="F241" s="183" t="s">
        <v>3</v>
      </c>
      <c r="G241" s="183" t="s">
        <v>460</v>
      </c>
      <c r="H241" s="184" t="s">
        <v>10441</v>
      </c>
      <c r="I241" s="183">
        <v>4.5</v>
      </c>
      <c r="J241" s="183" t="s">
        <v>941</v>
      </c>
      <c r="K241" s="183"/>
      <c r="L241" s="183">
        <v>4</v>
      </c>
      <c r="M241" s="183" t="s">
        <v>478</v>
      </c>
      <c r="N241" s="187">
        <v>10000000</v>
      </c>
      <c r="O241" s="183" t="s">
        <v>452</v>
      </c>
      <c r="P241" s="183" t="s">
        <v>452</v>
      </c>
      <c r="Q241" s="183"/>
      <c r="R241" s="183" t="s">
        <v>18</v>
      </c>
      <c r="S241" s="184"/>
      <c r="T241" s="184"/>
      <c r="U241" s="184"/>
      <c r="V241" s="184"/>
      <c r="W241" s="184"/>
      <c r="X241" s="179"/>
      <c r="Y241" s="179"/>
      <c r="Z241" s="179"/>
      <c r="AA241" s="179"/>
    </row>
    <row r="242" spans="1:27">
      <c r="A242" s="181">
        <f ca="1">IFERROR(__xludf.DUMMYFUNCTION("IFS(B242="""","""",ISDATE(B242)=TRUE,B242,ISDATE(B242)=FALSE,TO_DATE(DATEVALUE(regexextract(B242,""\d+/\d+/\d+""))))"),44782)</f>
        <v>44782</v>
      </c>
      <c r="B242" s="182" t="s">
        <v>10188</v>
      </c>
      <c r="C242" s="183" t="s">
        <v>416</v>
      </c>
      <c r="D242" s="183">
        <v>4.5</v>
      </c>
      <c r="E242" s="183" t="s">
        <v>1219</v>
      </c>
      <c r="F242" s="183" t="s">
        <v>4</v>
      </c>
      <c r="G242" s="183" t="s">
        <v>447</v>
      </c>
      <c r="H242" s="183"/>
      <c r="I242" s="183">
        <v>4</v>
      </c>
      <c r="J242" s="183" t="s">
        <v>449</v>
      </c>
      <c r="K242" s="183" t="s">
        <v>10442</v>
      </c>
      <c r="L242" s="183">
        <v>5</v>
      </c>
      <c r="M242" s="183" t="s">
        <v>478</v>
      </c>
      <c r="N242" s="185">
        <v>15000000</v>
      </c>
      <c r="O242" s="183" t="s">
        <v>454</v>
      </c>
      <c r="P242" s="183" t="s">
        <v>1221</v>
      </c>
      <c r="Q242" s="184"/>
      <c r="R242" s="183" t="s">
        <v>18</v>
      </c>
      <c r="S242" s="184" t="s">
        <v>1222</v>
      </c>
      <c r="T242" s="184"/>
      <c r="U242" s="184"/>
      <c r="V242" s="184"/>
      <c r="W242" s="184"/>
      <c r="X242" s="179"/>
      <c r="Y242" s="179"/>
      <c r="Z242" s="179"/>
      <c r="AA242" s="179"/>
    </row>
    <row r="243" spans="1:27">
      <c r="A243" s="181">
        <f ca="1">IFERROR(__xludf.DUMMYFUNCTION("IFS(B243="""","""",ISDATE(B243)=TRUE,B243,ISDATE(B243)=FALSE,TO_DATE(DATEVALUE(regexextract(B243,""\d+/\d+/\d+""))))"),44796)</f>
        <v>44796</v>
      </c>
      <c r="B243" s="182" t="s">
        <v>529</v>
      </c>
      <c r="C243" s="183" t="s">
        <v>6320</v>
      </c>
      <c r="D243" s="184">
        <v>2.5</v>
      </c>
      <c r="E243" s="183" t="s">
        <v>10443</v>
      </c>
      <c r="F243" s="183" t="s">
        <v>4</v>
      </c>
      <c r="G243" s="183" t="s">
        <v>727</v>
      </c>
      <c r="H243" s="184" t="s">
        <v>10444</v>
      </c>
      <c r="I243" s="184">
        <v>1</v>
      </c>
      <c r="J243" s="183" t="s">
        <v>1281</v>
      </c>
      <c r="K243" s="184" t="s">
        <v>6325</v>
      </c>
      <c r="L243" s="183">
        <v>4</v>
      </c>
      <c r="M243" s="184" t="s">
        <v>451</v>
      </c>
      <c r="N243" s="186" t="s">
        <v>6326</v>
      </c>
      <c r="O243" s="183" t="s">
        <v>465</v>
      </c>
      <c r="P243" s="183" t="s">
        <v>6327</v>
      </c>
      <c r="Q243" s="184"/>
      <c r="R243" s="184" t="s">
        <v>24</v>
      </c>
      <c r="S243" s="184"/>
      <c r="T243" s="184"/>
      <c r="U243" s="184"/>
      <c r="V243" s="184"/>
      <c r="W243" s="184"/>
      <c r="X243" s="179"/>
      <c r="Y243" s="179"/>
      <c r="Z243" s="179"/>
      <c r="AA243" s="179"/>
    </row>
    <row r="244" spans="1:27">
      <c r="A244" s="181">
        <f ca="1">IFERROR(__xludf.DUMMYFUNCTION("IFS(B244="""","""",ISDATE(B244)=TRUE,B244,ISDATE(B244)=FALSE,TO_DATE(DATEVALUE(regexextract(B244,""\d+/\d+/\d+""))))"),44782)</f>
        <v>44782</v>
      </c>
      <c r="B244" s="182" t="s">
        <v>10188</v>
      </c>
      <c r="C244" s="183" t="s">
        <v>4735</v>
      </c>
      <c r="D244" s="184">
        <v>3.5</v>
      </c>
      <c r="E244" s="183" t="s">
        <v>4738</v>
      </c>
      <c r="F244" s="183" t="s">
        <v>4</v>
      </c>
      <c r="G244" s="183" t="s">
        <v>727</v>
      </c>
      <c r="H244" s="184" t="s">
        <v>4739</v>
      </c>
      <c r="I244" s="184">
        <v>4</v>
      </c>
      <c r="J244" s="183" t="s">
        <v>1054</v>
      </c>
      <c r="K244" s="184" t="s">
        <v>10445</v>
      </c>
      <c r="L244" s="184">
        <v>3</v>
      </c>
      <c r="M244" s="183" t="s">
        <v>451</v>
      </c>
      <c r="N244" s="185">
        <v>3000000</v>
      </c>
      <c r="O244" s="183" t="s">
        <v>465</v>
      </c>
      <c r="P244" s="183" t="s">
        <v>452</v>
      </c>
      <c r="Q244" s="184" t="s">
        <v>710</v>
      </c>
      <c r="R244" s="184" t="s">
        <v>24</v>
      </c>
      <c r="S244" s="184"/>
      <c r="T244" s="184"/>
      <c r="U244" s="184"/>
      <c r="V244" s="184"/>
      <c r="W244" s="184"/>
      <c r="X244" s="179"/>
      <c r="Y244" s="179"/>
      <c r="Z244" s="179"/>
      <c r="AA244" s="179"/>
    </row>
    <row r="245" spans="1:27">
      <c r="A245" s="181">
        <f ca="1">IFERROR(__xludf.DUMMYFUNCTION("IFS(B245="""","""",ISDATE(B245)=TRUE,B245,ISDATE(B245)=FALSE,TO_DATE(DATEVALUE(regexextract(B245,""\d+/\d+/\d+""))))"),44784)</f>
        <v>44784</v>
      </c>
      <c r="B245" s="182" t="s">
        <v>10173</v>
      </c>
      <c r="C245" s="183" t="s">
        <v>97</v>
      </c>
      <c r="D245" s="183">
        <v>4.5</v>
      </c>
      <c r="E245" s="183" t="s">
        <v>705</v>
      </c>
      <c r="F245" s="183" t="s">
        <v>5</v>
      </c>
      <c r="G245" s="183" t="s">
        <v>447</v>
      </c>
      <c r="H245" s="183" t="s">
        <v>10446</v>
      </c>
      <c r="I245" s="183">
        <v>5</v>
      </c>
      <c r="J245" s="183" t="s">
        <v>622</v>
      </c>
      <c r="K245" s="183" t="s">
        <v>707</v>
      </c>
      <c r="L245" s="183">
        <v>4</v>
      </c>
      <c r="M245" s="183" t="s">
        <v>451</v>
      </c>
      <c r="N245" s="187" t="s">
        <v>708</v>
      </c>
      <c r="O245" s="183" t="s">
        <v>452</v>
      </c>
      <c r="P245" s="183" t="s">
        <v>709</v>
      </c>
      <c r="Q245" s="183" t="s">
        <v>710</v>
      </c>
      <c r="R245" s="183" t="s">
        <v>18</v>
      </c>
      <c r="S245" s="184" t="s">
        <v>711</v>
      </c>
      <c r="T245" s="184"/>
      <c r="U245" s="184"/>
      <c r="V245" s="184"/>
      <c r="W245" s="184"/>
      <c r="X245" s="179"/>
      <c r="Y245" s="179"/>
      <c r="Z245" s="179"/>
      <c r="AA245" s="179"/>
    </row>
    <row r="246" spans="1:27">
      <c r="A246" s="181">
        <f ca="1">IFERROR(__xludf.DUMMYFUNCTION("IFS(B246="""","""",ISDATE(B246)=TRUE,B246,ISDATE(B246)=FALSE,TO_DATE(DATEVALUE(regexextract(B246,""\d+/\d+/\d+""))))"),44784)</f>
        <v>44784</v>
      </c>
      <c r="B246" s="182" t="s">
        <v>10173</v>
      </c>
      <c r="C246" s="183" t="s">
        <v>2876</v>
      </c>
      <c r="D246" s="183">
        <v>3</v>
      </c>
      <c r="E246" s="183" t="s">
        <v>2879</v>
      </c>
      <c r="F246" s="183" t="s">
        <v>5</v>
      </c>
      <c r="G246" s="183" t="s">
        <v>447</v>
      </c>
      <c r="H246" s="184" t="s">
        <v>10447</v>
      </c>
      <c r="I246" s="183">
        <v>2</v>
      </c>
      <c r="J246" s="183" t="s">
        <v>476</v>
      </c>
      <c r="K246" s="184" t="s">
        <v>10448</v>
      </c>
      <c r="L246" s="183">
        <v>4</v>
      </c>
      <c r="M246" s="184" t="s">
        <v>451</v>
      </c>
      <c r="N246" s="190">
        <v>5000000</v>
      </c>
      <c r="O246" s="183" t="s">
        <v>452</v>
      </c>
      <c r="P246" s="183" t="s">
        <v>2882</v>
      </c>
      <c r="Q246" s="184"/>
      <c r="R246" s="183" t="s">
        <v>24</v>
      </c>
      <c r="S246" s="184"/>
      <c r="T246" s="184"/>
      <c r="U246" s="184"/>
      <c r="V246" s="184"/>
      <c r="W246" s="184"/>
      <c r="X246" s="179"/>
      <c r="Y246" s="179"/>
      <c r="Z246" s="179"/>
      <c r="AA246" s="179"/>
    </row>
    <row r="247" spans="1:27">
      <c r="A247" s="181">
        <f ca="1">IFERROR(__xludf.DUMMYFUNCTION("IFS(B247="""","""",ISDATE(B247)=TRUE,B247,ISDATE(B247)=FALSE,TO_DATE(DATEVALUE(regexextract(B247,""\d+/\d+/\d+""))))"),44784)</f>
        <v>44784</v>
      </c>
      <c r="B247" s="182" t="s">
        <v>10173</v>
      </c>
      <c r="C247" s="183" t="s">
        <v>8877</v>
      </c>
      <c r="D247" s="183">
        <v>2.5</v>
      </c>
      <c r="E247" s="183" t="s">
        <v>10449</v>
      </c>
      <c r="F247" s="183" t="s">
        <v>3</v>
      </c>
      <c r="G247" s="183" t="s">
        <v>460</v>
      </c>
      <c r="H247" s="183" t="s">
        <v>8881</v>
      </c>
      <c r="I247" s="183">
        <v>3</v>
      </c>
      <c r="J247" s="183" t="s">
        <v>488</v>
      </c>
      <c r="K247" s="183" t="s">
        <v>8882</v>
      </c>
      <c r="L247" s="183">
        <v>2</v>
      </c>
      <c r="M247" s="183"/>
      <c r="N247" s="187"/>
      <c r="O247" s="183" t="s">
        <v>465</v>
      </c>
      <c r="P247" s="183" t="s">
        <v>8883</v>
      </c>
      <c r="Q247" s="184"/>
      <c r="R247" s="183" t="s">
        <v>24</v>
      </c>
      <c r="S247" s="184" t="s">
        <v>8884</v>
      </c>
      <c r="T247" s="184"/>
      <c r="U247" s="184"/>
      <c r="V247" s="184"/>
      <c r="W247" s="184"/>
      <c r="X247" s="179"/>
      <c r="Y247" s="179"/>
      <c r="Z247" s="179"/>
      <c r="AA247" s="179"/>
    </row>
    <row r="248" spans="1:27">
      <c r="A248" s="181">
        <f ca="1">IFERROR(__xludf.DUMMYFUNCTION("IFS(B248="""","""",ISDATE(B248)=TRUE,B248,ISDATE(B248)=FALSE,TO_DATE(DATEVALUE(regexextract(B248,""\d+/\d+/\d+""))))"),44784)</f>
        <v>44784</v>
      </c>
      <c r="B248" s="182" t="s">
        <v>10173</v>
      </c>
      <c r="C248" s="183" t="s">
        <v>3068</v>
      </c>
      <c r="D248" s="183">
        <v>3</v>
      </c>
      <c r="E248" s="183" t="s">
        <v>3071</v>
      </c>
      <c r="F248" s="183" t="s">
        <v>5</v>
      </c>
      <c r="G248" s="183" t="s">
        <v>447</v>
      </c>
      <c r="H248" s="183" t="s">
        <v>10450</v>
      </c>
      <c r="I248" s="183">
        <v>3</v>
      </c>
      <c r="J248" s="183" t="s">
        <v>449</v>
      </c>
      <c r="K248" s="183" t="s">
        <v>10451</v>
      </c>
      <c r="L248" s="183">
        <v>3</v>
      </c>
      <c r="M248" s="183"/>
      <c r="N248" s="185"/>
      <c r="O248" s="183" t="s">
        <v>452</v>
      </c>
      <c r="P248" s="183" t="s">
        <v>3074</v>
      </c>
      <c r="Q248" s="184"/>
      <c r="R248" s="183" t="s">
        <v>24</v>
      </c>
      <c r="S248" s="183"/>
      <c r="T248" s="184"/>
      <c r="U248" s="184"/>
      <c r="V248" s="184"/>
      <c r="W248" s="184"/>
      <c r="X248" s="179"/>
      <c r="Y248" s="179"/>
      <c r="Z248" s="179"/>
      <c r="AA248" s="179"/>
    </row>
    <row r="249" spans="1:27">
      <c r="A249" s="181">
        <f ca="1">IFERROR(__xludf.DUMMYFUNCTION("IFS(B249="""","""",ISDATE(B249)=TRUE,B249,ISDATE(B249)=FALSE,TO_DATE(DATEVALUE(regexextract(B249,""\d+/\d+/\d+""))))"),44796)</f>
        <v>44796</v>
      </c>
      <c r="B249" s="182" t="s">
        <v>529</v>
      </c>
      <c r="C249" s="183" t="s">
        <v>5652</v>
      </c>
      <c r="D249" s="183">
        <v>3</v>
      </c>
      <c r="E249" s="183" t="s">
        <v>5655</v>
      </c>
      <c r="F249" s="183" t="s">
        <v>4</v>
      </c>
      <c r="G249" s="183" t="s">
        <v>1045</v>
      </c>
      <c r="H249" s="183" t="s">
        <v>5656</v>
      </c>
      <c r="I249" s="183">
        <v>3</v>
      </c>
      <c r="J249" s="183" t="s">
        <v>1281</v>
      </c>
      <c r="K249" s="183" t="s">
        <v>5657</v>
      </c>
      <c r="L249" s="183">
        <v>3</v>
      </c>
      <c r="M249" s="183" t="s">
        <v>923</v>
      </c>
      <c r="N249" s="194" t="s">
        <v>5658</v>
      </c>
      <c r="O249" s="183" t="s">
        <v>465</v>
      </c>
      <c r="P249" s="183" t="s">
        <v>452</v>
      </c>
      <c r="Q249" s="184"/>
      <c r="R249" s="183" t="s">
        <v>24</v>
      </c>
      <c r="S249" s="184"/>
      <c r="T249" s="184"/>
      <c r="U249" s="184"/>
      <c r="V249" s="184"/>
      <c r="W249" s="184"/>
      <c r="X249" s="179"/>
      <c r="Y249" s="179"/>
      <c r="Z249" s="179"/>
      <c r="AA249" s="179"/>
    </row>
    <row r="250" spans="1:27">
      <c r="A250" s="181">
        <f ca="1">IFERROR(__xludf.DUMMYFUNCTION("IFS(B250="""","""",ISDATE(B250)=TRUE,B250,ISDATE(B250)=FALSE,TO_DATE(DATEVALUE(regexextract(B250,""\d+/\d+/\d+""))))"),44796)</f>
        <v>44796</v>
      </c>
      <c r="B250" s="182" t="s">
        <v>529</v>
      </c>
      <c r="C250" s="183" t="s">
        <v>153</v>
      </c>
      <c r="D250" s="183">
        <v>3.63</v>
      </c>
      <c r="E250" s="183" t="s">
        <v>1034</v>
      </c>
      <c r="F250" s="183" t="s">
        <v>4</v>
      </c>
      <c r="G250" s="183" t="s">
        <v>727</v>
      </c>
      <c r="H250" s="183" t="s">
        <v>10452</v>
      </c>
      <c r="I250" s="183">
        <v>4.25</v>
      </c>
      <c r="J250" s="183" t="s">
        <v>1036</v>
      </c>
      <c r="K250" s="183" t="s">
        <v>1037</v>
      </c>
      <c r="L250" s="183">
        <v>3</v>
      </c>
      <c r="M250" s="184" t="s">
        <v>451</v>
      </c>
      <c r="N250" s="188">
        <v>1000000</v>
      </c>
      <c r="O250" s="183" t="s">
        <v>452</v>
      </c>
      <c r="P250" s="183" t="s">
        <v>452</v>
      </c>
      <c r="Q250" s="183"/>
      <c r="R250" s="183" t="s">
        <v>18</v>
      </c>
      <c r="S250" s="184" t="s">
        <v>1038</v>
      </c>
      <c r="T250" s="184"/>
      <c r="U250" s="184"/>
      <c r="V250" s="184"/>
      <c r="W250" s="184"/>
      <c r="X250" s="179"/>
      <c r="Y250" s="179"/>
      <c r="Z250" s="179"/>
      <c r="AA250" s="179"/>
    </row>
    <row r="251" spans="1:27">
      <c r="A251" s="181">
        <f ca="1">IFERROR(__xludf.DUMMYFUNCTION("IFS(B251="""","""",ISDATE(B251)=TRUE,B251,ISDATE(B251)=FALSE,TO_DATE(DATEVALUE(regexextract(B251,""\d+/\d+/\d+""))))"),44782)</f>
        <v>44782</v>
      </c>
      <c r="B251" s="182" t="s">
        <v>10188</v>
      </c>
      <c r="C251" s="183" t="s">
        <v>298</v>
      </c>
      <c r="D251" s="183">
        <v>5</v>
      </c>
      <c r="E251" s="183" t="s">
        <v>1670</v>
      </c>
      <c r="F251" s="183" t="s">
        <v>3</v>
      </c>
      <c r="G251" s="183" t="s">
        <v>460</v>
      </c>
      <c r="H251" s="183" t="s">
        <v>10453</v>
      </c>
      <c r="I251" s="183">
        <v>5</v>
      </c>
      <c r="J251" s="183" t="s">
        <v>462</v>
      </c>
      <c r="K251" s="183"/>
      <c r="L251" s="183">
        <v>5</v>
      </c>
      <c r="M251" s="183" t="s">
        <v>451</v>
      </c>
      <c r="N251" s="187">
        <v>2000000</v>
      </c>
      <c r="O251" s="183" t="s">
        <v>452</v>
      </c>
      <c r="P251" s="183" t="s">
        <v>452</v>
      </c>
      <c r="Q251" s="184"/>
      <c r="R251" s="183" t="s">
        <v>18</v>
      </c>
      <c r="S251" s="183"/>
      <c r="T251" s="184"/>
      <c r="U251" s="184"/>
      <c r="V251" s="184"/>
      <c r="W251" s="184"/>
      <c r="X251" s="179"/>
      <c r="Y251" s="179"/>
      <c r="Z251" s="179"/>
      <c r="AA251" s="179"/>
    </row>
    <row r="252" spans="1:27">
      <c r="A252" s="181">
        <f ca="1">IFERROR(__xludf.DUMMYFUNCTION("IFS(B252="""","""",ISDATE(B252)=TRUE,B252,ISDATE(B252)=FALSE,TO_DATE(DATEVALUE(regexextract(B252,""\d+/\d+/\d+""))))"),44782)</f>
        <v>44782</v>
      </c>
      <c r="B252" s="182" t="s">
        <v>10188</v>
      </c>
      <c r="C252" s="183" t="s">
        <v>7092</v>
      </c>
      <c r="D252" s="183">
        <v>2</v>
      </c>
      <c r="E252" s="183" t="s">
        <v>7095</v>
      </c>
      <c r="F252" s="183" t="s">
        <v>4</v>
      </c>
      <c r="G252" s="183" t="s">
        <v>602</v>
      </c>
      <c r="H252" s="183" t="s">
        <v>10454</v>
      </c>
      <c r="I252" s="183">
        <v>2</v>
      </c>
      <c r="J252" s="183" t="s">
        <v>476</v>
      </c>
      <c r="K252" s="184" t="s">
        <v>10455</v>
      </c>
      <c r="L252" s="183">
        <v>2</v>
      </c>
      <c r="M252" s="184" t="s">
        <v>451</v>
      </c>
      <c r="N252" s="186" t="s">
        <v>7098</v>
      </c>
      <c r="O252" s="183" t="s">
        <v>452</v>
      </c>
      <c r="P252" s="183" t="s">
        <v>10456</v>
      </c>
      <c r="Q252" s="184"/>
      <c r="R252" s="183" t="s">
        <v>24</v>
      </c>
      <c r="S252" s="184"/>
      <c r="T252" s="184"/>
      <c r="U252" s="184"/>
      <c r="V252" s="184"/>
      <c r="W252" s="184"/>
      <c r="X252" s="179"/>
      <c r="Y252" s="179"/>
      <c r="Z252" s="179"/>
      <c r="AA252" s="179"/>
    </row>
    <row r="253" spans="1:27">
      <c r="A253" s="181">
        <f ca="1">IFERROR(__xludf.DUMMYFUNCTION("IFS(B253="""","""",ISDATE(B253)=TRUE,B253,ISDATE(B253)=FALSE,TO_DATE(DATEVALUE(regexextract(B253,""\d+/\d+/\d+""))))"),44782)</f>
        <v>44782</v>
      </c>
      <c r="B253" s="182" t="s">
        <v>10188</v>
      </c>
      <c r="C253" s="183" t="s">
        <v>120</v>
      </c>
      <c r="D253" s="183">
        <v>3.75</v>
      </c>
      <c r="E253" s="183" t="s">
        <v>864</v>
      </c>
      <c r="F253" s="183" t="s">
        <v>5</v>
      </c>
      <c r="G253" s="183" t="s">
        <v>447</v>
      </c>
      <c r="H253" s="183" t="s">
        <v>10457</v>
      </c>
      <c r="I253" s="183">
        <v>3.5</v>
      </c>
      <c r="J253" s="183" t="s">
        <v>543</v>
      </c>
      <c r="K253" s="183" t="s">
        <v>866</v>
      </c>
      <c r="L253" s="183">
        <v>4</v>
      </c>
      <c r="M253" s="184"/>
      <c r="N253" s="186"/>
      <c r="O253" s="183" t="s">
        <v>452</v>
      </c>
      <c r="P253" s="183" t="s">
        <v>452</v>
      </c>
      <c r="Q253" s="184"/>
      <c r="R253" s="183" t="s">
        <v>18</v>
      </c>
      <c r="S253" s="183" t="s">
        <v>867</v>
      </c>
      <c r="T253" s="184"/>
      <c r="U253" s="184"/>
      <c r="V253" s="184"/>
      <c r="W253" s="184"/>
      <c r="X253" s="179"/>
      <c r="Y253" s="179"/>
      <c r="Z253" s="179"/>
      <c r="AA253" s="179"/>
    </row>
    <row r="254" spans="1:27">
      <c r="A254" s="181">
        <f ca="1">IFERROR(__xludf.DUMMYFUNCTION("IFS(B254="""","""",ISDATE(B254)=TRUE,B254,ISDATE(B254)=FALSE,TO_DATE(DATEVALUE(regexextract(B254,""\d+/\d+/\d+""))))"),44782)</f>
        <v>44782</v>
      </c>
      <c r="B254" s="182" t="s">
        <v>10188</v>
      </c>
      <c r="C254" s="183" t="s">
        <v>5919</v>
      </c>
      <c r="D254" s="184">
        <v>2.75</v>
      </c>
      <c r="E254" s="183" t="s">
        <v>10458</v>
      </c>
      <c r="F254" s="183" t="s">
        <v>4</v>
      </c>
      <c r="G254" s="183" t="s">
        <v>602</v>
      </c>
      <c r="H254" s="184" t="s">
        <v>5923</v>
      </c>
      <c r="I254" s="184">
        <v>2</v>
      </c>
      <c r="J254" s="183" t="s">
        <v>1054</v>
      </c>
      <c r="K254" s="184" t="s">
        <v>5924</v>
      </c>
      <c r="L254" s="184">
        <v>3.5</v>
      </c>
      <c r="M254" s="183" t="s">
        <v>451</v>
      </c>
      <c r="N254" s="187">
        <v>5000000</v>
      </c>
      <c r="O254" s="183" t="s">
        <v>452</v>
      </c>
      <c r="P254" s="183" t="s">
        <v>452</v>
      </c>
      <c r="Q254" s="184"/>
      <c r="R254" s="184" t="s">
        <v>24</v>
      </c>
      <c r="S254" s="184"/>
      <c r="T254" s="184"/>
      <c r="U254" s="184"/>
      <c r="V254" s="184"/>
      <c r="W254" s="184"/>
      <c r="X254" s="179"/>
      <c r="Y254" s="179"/>
      <c r="Z254" s="179"/>
      <c r="AA254" s="179"/>
    </row>
    <row r="255" spans="1:27">
      <c r="A255" s="181">
        <f ca="1">IFERROR(__xludf.DUMMYFUNCTION("IFS(B255="""","""",ISDATE(B255)=TRUE,B255,ISDATE(B255)=FALSE,TO_DATE(DATEVALUE(regexextract(B255,""\d+/\d+/\d+""))))"),44784)</f>
        <v>44784</v>
      </c>
      <c r="B255" s="182" t="s">
        <v>10173</v>
      </c>
      <c r="C255" s="183" t="s">
        <v>181</v>
      </c>
      <c r="D255" s="184">
        <v>4</v>
      </c>
      <c r="E255" s="184" t="s">
        <v>1150</v>
      </c>
      <c r="F255" s="183" t="s">
        <v>4</v>
      </c>
      <c r="G255" s="183" t="s">
        <v>447</v>
      </c>
      <c r="H255" s="184" t="s">
        <v>10459</v>
      </c>
      <c r="I255" s="184">
        <v>4</v>
      </c>
      <c r="J255" s="183" t="s">
        <v>543</v>
      </c>
      <c r="K255" s="184" t="s">
        <v>10460</v>
      </c>
      <c r="L255" s="183">
        <v>4</v>
      </c>
      <c r="M255" s="183" t="s">
        <v>478</v>
      </c>
      <c r="N255" s="185">
        <v>10000000</v>
      </c>
      <c r="O255" s="183" t="s">
        <v>452</v>
      </c>
      <c r="P255" s="183" t="s">
        <v>1153</v>
      </c>
      <c r="Q255" s="183"/>
      <c r="R255" s="184" t="s">
        <v>18</v>
      </c>
      <c r="S255" s="184" t="s">
        <v>1154</v>
      </c>
      <c r="T255" s="184"/>
      <c r="U255" s="184"/>
      <c r="V255" s="184"/>
      <c r="W255" s="184"/>
      <c r="X255" s="179"/>
      <c r="Y255" s="179"/>
      <c r="Z255" s="179"/>
      <c r="AA255" s="179"/>
    </row>
    <row r="256" spans="1:27">
      <c r="A256" s="181">
        <f ca="1">IFERROR(__xludf.DUMMYFUNCTION("IFS(B256="""","""",ISDATE(B256)=TRUE,B256,ISDATE(B256)=FALSE,TO_DATE(DATEVALUE(regexextract(B256,""\d+/\d+/\d+""))))"),44782)</f>
        <v>44782</v>
      </c>
      <c r="B256" s="182" t="s">
        <v>10188</v>
      </c>
      <c r="C256" s="183" t="s">
        <v>6681</v>
      </c>
      <c r="D256" s="183">
        <v>2.25</v>
      </c>
      <c r="E256" s="183" t="s">
        <v>6684</v>
      </c>
      <c r="F256" s="183" t="s">
        <v>4</v>
      </c>
      <c r="G256" s="183" t="s">
        <v>602</v>
      </c>
      <c r="H256" s="183"/>
      <c r="I256" s="183">
        <v>2</v>
      </c>
      <c r="J256" s="183" t="s">
        <v>476</v>
      </c>
      <c r="K256" s="183" t="s">
        <v>10461</v>
      </c>
      <c r="L256" s="183">
        <v>2.5</v>
      </c>
      <c r="M256" s="184" t="s">
        <v>451</v>
      </c>
      <c r="N256" s="186">
        <v>120000</v>
      </c>
      <c r="O256" s="183" t="s">
        <v>454</v>
      </c>
      <c r="P256" s="183" t="s">
        <v>6686</v>
      </c>
      <c r="Q256" s="184" t="s">
        <v>6687</v>
      </c>
      <c r="R256" s="183" t="s">
        <v>24</v>
      </c>
      <c r="S256" s="183"/>
      <c r="T256" s="184"/>
      <c r="U256" s="184"/>
      <c r="V256" s="184"/>
      <c r="W256" s="184"/>
      <c r="X256" s="179"/>
      <c r="Y256" s="179"/>
      <c r="Z256" s="179"/>
      <c r="AA256" s="179"/>
    </row>
    <row r="257" spans="1:27">
      <c r="A257" s="181">
        <f ca="1">IFERROR(__xludf.DUMMYFUNCTION("IFS(B257="""","""",ISDATE(B257)=TRUE,B257,ISDATE(B257)=FALSE,TO_DATE(DATEVALUE(regexextract(B257,""\d+/\d+/\d+""))))"),44784)</f>
        <v>44784</v>
      </c>
      <c r="B257" s="182" t="s">
        <v>10173</v>
      </c>
      <c r="C257" s="183" t="s">
        <v>3395</v>
      </c>
      <c r="D257" s="183">
        <v>3</v>
      </c>
      <c r="E257" s="183" t="s">
        <v>3398</v>
      </c>
      <c r="F257" s="183" t="s">
        <v>5</v>
      </c>
      <c r="G257" s="183" t="s">
        <v>447</v>
      </c>
      <c r="H257" s="183" t="s">
        <v>10462</v>
      </c>
      <c r="I257" s="183">
        <v>3</v>
      </c>
      <c r="J257" s="183" t="s">
        <v>543</v>
      </c>
      <c r="K257" s="183" t="s">
        <v>10463</v>
      </c>
      <c r="L257" s="183">
        <v>3</v>
      </c>
      <c r="M257" s="183" t="s">
        <v>451</v>
      </c>
      <c r="N257" s="192">
        <v>1000000</v>
      </c>
      <c r="O257" s="183" t="s">
        <v>452</v>
      </c>
      <c r="P257" s="183" t="s">
        <v>10464</v>
      </c>
      <c r="Q257" s="184"/>
      <c r="R257" s="183" t="s">
        <v>24</v>
      </c>
      <c r="S257" s="184" t="s">
        <v>2260</v>
      </c>
      <c r="T257" s="184"/>
      <c r="U257" s="184"/>
      <c r="V257" s="184"/>
      <c r="W257" s="184"/>
      <c r="X257" s="179"/>
      <c r="Y257" s="179"/>
      <c r="Z257" s="179"/>
      <c r="AA257" s="179"/>
    </row>
    <row r="258" spans="1:27">
      <c r="A258" s="181">
        <f ca="1">IFERROR(__xludf.DUMMYFUNCTION("IFS(B258="""","""",ISDATE(B258)=TRUE,B258,ISDATE(B258)=FALSE,TO_DATE(DATEVALUE(regexextract(B258,""\d+/\d+/\d+""))))"),44782)</f>
        <v>44782</v>
      </c>
      <c r="B258" s="182" t="s">
        <v>10188</v>
      </c>
      <c r="C258" s="183" t="s">
        <v>3441</v>
      </c>
      <c r="D258" s="183">
        <v>2.25</v>
      </c>
      <c r="E258" s="183" t="s">
        <v>3444</v>
      </c>
      <c r="F258" s="183" t="s">
        <v>5</v>
      </c>
      <c r="G258" s="183" t="s">
        <v>447</v>
      </c>
      <c r="H258" s="183" t="s">
        <v>10465</v>
      </c>
      <c r="I258" s="183">
        <v>2</v>
      </c>
      <c r="J258" s="183" t="s">
        <v>476</v>
      </c>
      <c r="K258" s="183" t="s">
        <v>10466</v>
      </c>
      <c r="L258" s="183">
        <v>2.5</v>
      </c>
      <c r="M258" s="183"/>
      <c r="N258" s="187"/>
      <c r="O258" s="183" t="s">
        <v>452</v>
      </c>
      <c r="P258" s="183" t="s">
        <v>10467</v>
      </c>
      <c r="Q258" s="184"/>
      <c r="R258" s="183" t="s">
        <v>24</v>
      </c>
      <c r="S258" s="183"/>
      <c r="T258" s="184"/>
      <c r="U258" s="184"/>
      <c r="V258" s="184"/>
      <c r="W258" s="184"/>
      <c r="X258" s="179"/>
      <c r="Y258" s="179"/>
      <c r="Z258" s="179"/>
      <c r="AA258" s="179"/>
    </row>
    <row r="259" spans="1:27">
      <c r="A259" s="181">
        <f ca="1">IFERROR(__xludf.DUMMYFUNCTION("IFS(B259="""","""",ISDATE(B259)=TRUE,B259,ISDATE(B259)=FALSE,TO_DATE(DATEVALUE(regexextract(B259,""\d+/\d+/\d+""))))"),44782)</f>
        <v>44782</v>
      </c>
      <c r="B259" s="182" t="s">
        <v>10188</v>
      </c>
      <c r="C259" s="191" t="s">
        <v>6841</v>
      </c>
      <c r="D259" s="183">
        <v>2.25</v>
      </c>
      <c r="E259" s="183" t="s">
        <v>10468</v>
      </c>
      <c r="F259" s="183" t="s">
        <v>4</v>
      </c>
      <c r="G259" s="183" t="s">
        <v>727</v>
      </c>
      <c r="H259" s="183" t="s">
        <v>6845</v>
      </c>
      <c r="I259" s="183">
        <v>2.5</v>
      </c>
      <c r="J259" s="183" t="s">
        <v>1054</v>
      </c>
      <c r="K259" s="183" t="s">
        <v>6846</v>
      </c>
      <c r="L259" s="183">
        <v>2</v>
      </c>
      <c r="M259" s="184" t="s">
        <v>451</v>
      </c>
      <c r="N259" s="188">
        <v>2000000</v>
      </c>
      <c r="O259" s="183" t="s">
        <v>452</v>
      </c>
      <c r="P259" s="183" t="s">
        <v>10469</v>
      </c>
      <c r="Q259" s="184"/>
      <c r="R259" s="183" t="s">
        <v>24</v>
      </c>
      <c r="S259" s="184"/>
      <c r="T259" s="184"/>
      <c r="U259" s="184"/>
      <c r="V259" s="184"/>
      <c r="W259" s="184"/>
      <c r="X259" s="179"/>
      <c r="Y259" s="179"/>
      <c r="Z259" s="179"/>
      <c r="AA259" s="179"/>
    </row>
    <row r="260" spans="1:27">
      <c r="A260" s="181">
        <f ca="1">IFERROR(__xludf.DUMMYFUNCTION("IFS(B260="""","""",ISDATE(B260)=TRUE,B260,ISDATE(B260)=FALSE,TO_DATE(DATEVALUE(regexextract(B260,""\d+/\d+/\d+""))))"),44784)</f>
        <v>44784</v>
      </c>
      <c r="B260" s="182" t="s">
        <v>10173</v>
      </c>
      <c r="C260" s="183" t="s">
        <v>8672</v>
      </c>
      <c r="D260" s="184">
        <v>1.5</v>
      </c>
      <c r="E260" s="183" t="s">
        <v>8675</v>
      </c>
      <c r="F260" s="183" t="s">
        <v>3</v>
      </c>
      <c r="G260" s="183" t="s">
        <v>460</v>
      </c>
      <c r="H260" s="184" t="s">
        <v>10470</v>
      </c>
      <c r="I260" s="184">
        <v>2</v>
      </c>
      <c r="J260" s="183" t="s">
        <v>488</v>
      </c>
      <c r="K260" s="183" t="s">
        <v>8677</v>
      </c>
      <c r="L260" s="183">
        <v>1</v>
      </c>
      <c r="M260" s="183" t="s">
        <v>451</v>
      </c>
      <c r="N260" s="185">
        <v>500000</v>
      </c>
      <c r="O260" s="183" t="s">
        <v>465</v>
      </c>
      <c r="P260" s="183" t="s">
        <v>575</v>
      </c>
      <c r="Q260" s="183"/>
      <c r="R260" s="184" t="s">
        <v>24</v>
      </c>
      <c r="S260" s="184"/>
      <c r="T260" s="184"/>
      <c r="U260" s="184"/>
      <c r="V260" s="184"/>
      <c r="W260" s="184"/>
      <c r="X260" s="179"/>
      <c r="Y260" s="179"/>
      <c r="Z260" s="179"/>
      <c r="AA260" s="179"/>
    </row>
    <row r="261" spans="1:27">
      <c r="A261" s="181">
        <f ca="1">IFERROR(__xludf.DUMMYFUNCTION("IFS(B261="""","""",ISDATE(B261)=TRUE,B261,ISDATE(B261)=FALSE,TO_DATE(DATEVALUE(regexextract(B261,""\d+/\d+/\d+""))))"),44784)</f>
        <v>44784</v>
      </c>
      <c r="B261" s="182" t="s">
        <v>10173</v>
      </c>
      <c r="C261" s="183" t="s">
        <v>2852</v>
      </c>
      <c r="D261" s="184">
        <v>2</v>
      </c>
      <c r="E261" s="183" t="s">
        <v>2855</v>
      </c>
      <c r="F261" s="183" t="s">
        <v>5</v>
      </c>
      <c r="G261" s="183" t="s">
        <v>447</v>
      </c>
      <c r="H261" s="183" t="s">
        <v>10471</v>
      </c>
      <c r="I261" s="183">
        <v>2</v>
      </c>
      <c r="J261" s="183" t="s">
        <v>622</v>
      </c>
      <c r="K261" s="184" t="s">
        <v>2857</v>
      </c>
      <c r="L261" s="184">
        <v>2</v>
      </c>
      <c r="M261" s="183"/>
      <c r="N261" s="187"/>
      <c r="O261" s="183" t="s">
        <v>452</v>
      </c>
      <c r="P261" s="183" t="s">
        <v>452</v>
      </c>
      <c r="Q261" s="184" t="s">
        <v>1343</v>
      </c>
      <c r="R261" s="184" t="s">
        <v>24</v>
      </c>
      <c r="S261" s="184"/>
      <c r="T261" s="184"/>
      <c r="U261" s="184"/>
      <c r="V261" s="184"/>
      <c r="W261" s="184"/>
      <c r="X261" s="179"/>
      <c r="Y261" s="179"/>
      <c r="Z261" s="179"/>
      <c r="AA261" s="179"/>
    </row>
    <row r="262" spans="1:27">
      <c r="A262" s="181">
        <f ca="1">IFERROR(__xludf.DUMMYFUNCTION("IFS(B262="""","""",ISDATE(B262)=TRUE,B262,ISDATE(B262)=FALSE,TO_DATE(DATEVALUE(regexextract(B262,""\d+/\d+/\d+""))))"),44782)</f>
        <v>44782</v>
      </c>
      <c r="B262" s="182" t="s">
        <v>10188</v>
      </c>
      <c r="C262" s="183" t="s">
        <v>2706</v>
      </c>
      <c r="D262" s="184">
        <v>2.75</v>
      </c>
      <c r="E262" s="183" t="s">
        <v>10472</v>
      </c>
      <c r="F262" s="183" t="s">
        <v>5</v>
      </c>
      <c r="G262" s="183" t="s">
        <v>447</v>
      </c>
      <c r="H262" s="184" t="s">
        <v>2710</v>
      </c>
      <c r="I262" s="184">
        <v>2.5</v>
      </c>
      <c r="J262" s="183" t="s">
        <v>543</v>
      </c>
      <c r="K262" s="184" t="s">
        <v>2711</v>
      </c>
      <c r="L262" s="184">
        <v>3</v>
      </c>
      <c r="M262" s="183" t="s">
        <v>451</v>
      </c>
      <c r="N262" s="187" t="s">
        <v>2712</v>
      </c>
      <c r="O262" s="183" t="s">
        <v>452</v>
      </c>
      <c r="P262" s="183" t="s">
        <v>452</v>
      </c>
      <c r="Q262" s="183"/>
      <c r="R262" s="183" t="s">
        <v>24</v>
      </c>
      <c r="S262" s="184"/>
      <c r="T262" s="184"/>
      <c r="U262" s="184"/>
      <c r="V262" s="184"/>
      <c r="W262" s="184"/>
      <c r="X262" s="179"/>
      <c r="Y262" s="179"/>
      <c r="Z262" s="179"/>
      <c r="AA262" s="179"/>
    </row>
    <row r="263" spans="1:27">
      <c r="A263" s="181">
        <f ca="1">IFERROR(__xludf.DUMMYFUNCTION("IFS(B263="""","""",ISDATE(B263)=TRUE,B263,ISDATE(B263)=FALSE,TO_DATE(DATEVALUE(regexextract(B263,""\d+/\d+/\d+""))))"),44797)</f>
        <v>44797</v>
      </c>
      <c r="B263" s="189" t="s">
        <v>907</v>
      </c>
      <c r="C263" s="183" t="s">
        <v>10473</v>
      </c>
      <c r="D263" s="184">
        <v>3.25</v>
      </c>
      <c r="E263" s="183" t="s">
        <v>9642</v>
      </c>
      <c r="F263" s="183" t="s">
        <v>4</v>
      </c>
      <c r="G263" s="183" t="s">
        <v>460</v>
      </c>
      <c r="H263" s="184" t="s">
        <v>9643</v>
      </c>
      <c r="I263" s="184">
        <v>3</v>
      </c>
      <c r="J263" s="183" t="s">
        <v>1045</v>
      </c>
      <c r="K263" s="184" t="s">
        <v>9644</v>
      </c>
      <c r="L263" s="184">
        <v>3.5</v>
      </c>
      <c r="M263" s="183"/>
      <c r="N263" s="187"/>
      <c r="O263" s="183" t="s">
        <v>465</v>
      </c>
      <c r="P263" s="183" t="s">
        <v>9645</v>
      </c>
      <c r="Q263" s="184" t="s">
        <v>9646</v>
      </c>
      <c r="R263" s="184" t="s">
        <v>23</v>
      </c>
      <c r="S263" s="184" t="s">
        <v>9647</v>
      </c>
      <c r="T263" s="184"/>
      <c r="U263" s="184"/>
      <c r="V263" s="184"/>
      <c r="W263" s="184"/>
      <c r="X263" s="179"/>
      <c r="Y263" s="179"/>
      <c r="Z263" s="179"/>
      <c r="AA263" s="179"/>
    </row>
    <row r="264" spans="1:27">
      <c r="A264" s="181">
        <f ca="1">IFERROR(__xludf.DUMMYFUNCTION("IFS(B264="""","""",ISDATE(B264)=TRUE,B264,ISDATE(B264)=FALSE,TO_DATE(DATEVALUE(regexextract(B264,""\d+/\d+/\d+""))))"),44796)</f>
        <v>44796</v>
      </c>
      <c r="B264" s="182" t="s">
        <v>529</v>
      </c>
      <c r="C264" s="183" t="s">
        <v>4208</v>
      </c>
      <c r="D264" s="183">
        <v>3.75</v>
      </c>
      <c r="E264" s="183" t="s">
        <v>4211</v>
      </c>
      <c r="F264" s="183" t="s">
        <v>4</v>
      </c>
      <c r="G264" s="183" t="s">
        <v>727</v>
      </c>
      <c r="H264" s="183" t="s">
        <v>10474</v>
      </c>
      <c r="I264" s="183">
        <v>3.5</v>
      </c>
      <c r="J264" s="183" t="s">
        <v>1073</v>
      </c>
      <c r="K264" s="183" t="s">
        <v>4213</v>
      </c>
      <c r="L264" s="183">
        <v>4</v>
      </c>
      <c r="M264" s="184" t="s">
        <v>478</v>
      </c>
      <c r="N264" s="190" t="s">
        <v>4214</v>
      </c>
      <c r="O264" s="183" t="s">
        <v>465</v>
      </c>
      <c r="P264" s="183" t="s">
        <v>452</v>
      </c>
      <c r="Q264" s="184"/>
      <c r="R264" s="183" t="s">
        <v>24</v>
      </c>
      <c r="S264" s="184" t="s">
        <v>4215</v>
      </c>
      <c r="T264" s="184"/>
      <c r="U264" s="184"/>
      <c r="V264" s="184"/>
      <c r="W264" s="184"/>
      <c r="X264" s="179"/>
      <c r="Y264" s="179"/>
      <c r="Z264" s="179"/>
      <c r="AA264" s="179"/>
    </row>
    <row r="265" spans="1:27">
      <c r="A265" s="181">
        <f ca="1">IFERROR(__xludf.DUMMYFUNCTION("IFS(B265="""","""",ISDATE(B265)=TRUE,B265,ISDATE(B265)=FALSE,TO_DATE(DATEVALUE(regexextract(B265,""\d+/\d+/\d+""))))"),44782)</f>
        <v>44782</v>
      </c>
      <c r="B265" s="182" t="s">
        <v>10188</v>
      </c>
      <c r="C265" s="183" t="s">
        <v>146</v>
      </c>
      <c r="D265" s="183">
        <v>3.75</v>
      </c>
      <c r="E265" s="183" t="s">
        <v>9383</v>
      </c>
      <c r="F265" s="183" t="s">
        <v>5</v>
      </c>
      <c r="G265" s="183" t="s">
        <v>447</v>
      </c>
      <c r="H265" s="183" t="s">
        <v>10475</v>
      </c>
      <c r="I265" s="183">
        <v>3.5</v>
      </c>
      <c r="J265" s="183" t="s">
        <v>449</v>
      </c>
      <c r="K265" s="183" t="s">
        <v>10476</v>
      </c>
      <c r="L265" s="183">
        <v>4</v>
      </c>
      <c r="M265" s="184" t="s">
        <v>784</v>
      </c>
      <c r="N265" s="188">
        <v>250000</v>
      </c>
      <c r="O265" s="183" t="s">
        <v>454</v>
      </c>
      <c r="P265" s="183" t="s">
        <v>9386</v>
      </c>
      <c r="Q265" s="184"/>
      <c r="R265" s="183" t="s">
        <v>19</v>
      </c>
      <c r="S265" s="184" t="s">
        <v>1334</v>
      </c>
      <c r="T265" s="184"/>
      <c r="U265" s="184"/>
      <c r="V265" s="184"/>
      <c r="W265" s="184"/>
      <c r="X265" s="179"/>
      <c r="Y265" s="179"/>
      <c r="Z265" s="179"/>
      <c r="AA265" s="179"/>
    </row>
    <row r="266" spans="1:27">
      <c r="A266" s="181">
        <f ca="1">IFERROR(__xludf.DUMMYFUNCTION("IFS(B266="""","""",ISDATE(B266)=TRUE,B266,ISDATE(B266)=FALSE,TO_DATE(DATEVALUE(regexextract(B266,""\d+/\d+/\d+""))))"),44796)</f>
        <v>44796</v>
      </c>
      <c r="B266" s="182" t="s">
        <v>529</v>
      </c>
      <c r="C266" s="183" t="s">
        <v>225</v>
      </c>
      <c r="D266" s="184">
        <v>4</v>
      </c>
      <c r="E266" s="183" t="s">
        <v>3929</v>
      </c>
      <c r="F266" s="183" t="s">
        <v>4</v>
      </c>
      <c r="G266" s="183" t="s">
        <v>1045</v>
      </c>
      <c r="H266" s="184" t="s">
        <v>3930</v>
      </c>
      <c r="I266" s="184">
        <v>4</v>
      </c>
      <c r="J266" s="183" t="s">
        <v>1281</v>
      </c>
      <c r="K266" s="183" t="s">
        <v>3931</v>
      </c>
      <c r="L266" s="183">
        <v>4</v>
      </c>
      <c r="M266" s="184" t="s">
        <v>478</v>
      </c>
      <c r="N266" s="188">
        <v>11000000</v>
      </c>
      <c r="O266" s="183" t="s">
        <v>465</v>
      </c>
      <c r="P266" s="183" t="s">
        <v>10477</v>
      </c>
      <c r="Q266" s="184"/>
      <c r="R266" s="184" t="s">
        <v>18</v>
      </c>
      <c r="S266" s="184"/>
      <c r="T266" s="184"/>
      <c r="U266" s="184"/>
      <c r="V266" s="184"/>
      <c r="W266" s="184"/>
      <c r="X266" s="179"/>
      <c r="Y266" s="179"/>
      <c r="Z266" s="179"/>
      <c r="AA266" s="179"/>
    </row>
    <row r="267" spans="1:27">
      <c r="A267" s="181">
        <f ca="1">IFERROR(__xludf.DUMMYFUNCTION("IFS(B267="""","""",ISDATE(B267)=TRUE,B267,ISDATE(B267)=FALSE,TO_DATE(DATEVALUE(regexextract(B267,""\d+/\d+/\d+""))))"),44796)</f>
        <v>44796</v>
      </c>
      <c r="B267" s="182" t="s">
        <v>529</v>
      </c>
      <c r="C267" s="183" t="s">
        <v>5944</v>
      </c>
      <c r="D267" s="183">
        <v>2.75</v>
      </c>
      <c r="E267" s="183" t="s">
        <v>5947</v>
      </c>
      <c r="F267" s="183" t="s">
        <v>4</v>
      </c>
      <c r="G267" s="183" t="s">
        <v>1045</v>
      </c>
      <c r="H267" s="183" t="s">
        <v>5948</v>
      </c>
      <c r="I267" s="183">
        <v>2.5</v>
      </c>
      <c r="J267" s="183" t="s">
        <v>1281</v>
      </c>
      <c r="K267" s="183" t="s">
        <v>5949</v>
      </c>
      <c r="L267" s="183">
        <v>3</v>
      </c>
      <c r="M267" s="183" t="s">
        <v>478</v>
      </c>
      <c r="N267" s="187">
        <v>7000000</v>
      </c>
      <c r="O267" s="183" t="s">
        <v>452</v>
      </c>
      <c r="P267" s="183" t="s">
        <v>452</v>
      </c>
      <c r="Q267" s="184"/>
      <c r="R267" s="183" t="s">
        <v>24</v>
      </c>
      <c r="S267" s="183"/>
      <c r="T267" s="184"/>
      <c r="U267" s="184"/>
      <c r="V267" s="184"/>
      <c r="W267" s="184"/>
      <c r="X267" s="179"/>
      <c r="Y267" s="179"/>
      <c r="Z267" s="179"/>
      <c r="AA267" s="179"/>
    </row>
    <row r="268" spans="1:27">
      <c r="A268" s="181">
        <f ca="1">IFERROR(__xludf.DUMMYFUNCTION("IFS(B268="""","""",ISDATE(B268)=TRUE,B268,ISDATE(B268)=FALSE,TO_DATE(DATEVALUE(regexextract(B268,""\d+/\d+/\d+""))))"),44782)</f>
        <v>44782</v>
      </c>
      <c r="B268" s="182" t="s">
        <v>10188</v>
      </c>
      <c r="C268" s="183" t="s">
        <v>316</v>
      </c>
      <c r="D268" s="183">
        <v>4.5</v>
      </c>
      <c r="E268" s="183" t="s">
        <v>1744</v>
      </c>
      <c r="F268" s="183" t="s">
        <v>3</v>
      </c>
      <c r="G268" s="183" t="s">
        <v>460</v>
      </c>
      <c r="H268" s="183" t="s">
        <v>1745</v>
      </c>
      <c r="I268" s="183">
        <v>4.5</v>
      </c>
      <c r="J268" s="183" t="s">
        <v>462</v>
      </c>
      <c r="K268" s="183" t="s">
        <v>1746</v>
      </c>
      <c r="L268" s="183">
        <v>4.5</v>
      </c>
      <c r="M268" s="183" t="s">
        <v>478</v>
      </c>
      <c r="N268" s="187">
        <v>20000000</v>
      </c>
      <c r="O268" s="183" t="s">
        <v>454</v>
      </c>
      <c r="P268" s="183" t="s">
        <v>1747</v>
      </c>
      <c r="Q268" s="184"/>
      <c r="R268" s="183" t="s">
        <v>18</v>
      </c>
      <c r="S268" s="184"/>
      <c r="T268" s="184"/>
      <c r="U268" s="184"/>
      <c r="V268" s="184"/>
      <c r="W268" s="184"/>
      <c r="X268" s="179"/>
      <c r="Y268" s="179"/>
      <c r="Z268" s="179"/>
      <c r="AA268" s="179"/>
    </row>
    <row r="269" spans="1:27">
      <c r="A269" s="181">
        <f ca="1">IFERROR(__xludf.DUMMYFUNCTION("IFS(B269="""","""",ISDATE(B269)=TRUE,B269,ISDATE(B269)=FALSE,TO_DATE(DATEVALUE(regexextract(B269,""\d+/\d+/\d+""))))"),44782)</f>
        <v>44782</v>
      </c>
      <c r="B269" s="182" t="s">
        <v>10188</v>
      </c>
      <c r="C269" s="183" t="s">
        <v>155</v>
      </c>
      <c r="D269" s="183">
        <v>3.25</v>
      </c>
      <c r="E269" s="183" t="s">
        <v>10478</v>
      </c>
      <c r="F269" s="183" t="s">
        <v>5</v>
      </c>
      <c r="G269" s="183" t="s">
        <v>447</v>
      </c>
      <c r="H269" s="183" t="s">
        <v>10479</v>
      </c>
      <c r="I269" s="183">
        <v>3.5</v>
      </c>
      <c r="J269" s="183" t="s">
        <v>543</v>
      </c>
      <c r="K269" s="183" t="s">
        <v>10480</v>
      </c>
      <c r="L269" s="183">
        <v>3</v>
      </c>
      <c r="M269" s="184" t="s">
        <v>478</v>
      </c>
      <c r="N269" s="188" t="s">
        <v>9403</v>
      </c>
      <c r="O269" s="183" t="s">
        <v>452</v>
      </c>
      <c r="P269" s="183" t="s">
        <v>452</v>
      </c>
      <c r="Q269" s="184"/>
      <c r="R269" s="183" t="s">
        <v>19</v>
      </c>
      <c r="S269" s="184" t="s">
        <v>2260</v>
      </c>
      <c r="T269" s="184"/>
      <c r="U269" s="184"/>
      <c r="V269" s="184"/>
      <c r="W269" s="184"/>
      <c r="X269" s="179"/>
      <c r="Y269" s="179"/>
      <c r="Z269" s="179"/>
      <c r="AA269" s="179"/>
    </row>
    <row r="270" spans="1:27">
      <c r="A270" s="181">
        <f ca="1">IFERROR(__xludf.DUMMYFUNCTION("IFS(B270="""","""",ISDATE(B270)=TRUE,B270,ISDATE(B270)=FALSE,TO_DATE(DATEVALUE(regexextract(B270,""\d+/\d+/\d+""))))"),44782)</f>
        <v>44782</v>
      </c>
      <c r="B270" s="189" t="s">
        <v>10188</v>
      </c>
      <c r="C270" s="183" t="s">
        <v>7751</v>
      </c>
      <c r="D270" s="183">
        <v>1.5</v>
      </c>
      <c r="E270" s="183" t="s">
        <v>10481</v>
      </c>
      <c r="F270" s="183" t="s">
        <v>4</v>
      </c>
      <c r="G270" s="183" t="s">
        <v>602</v>
      </c>
      <c r="H270" s="183" t="s">
        <v>7755</v>
      </c>
      <c r="I270" s="183">
        <v>2</v>
      </c>
      <c r="J270" s="183" t="s">
        <v>1054</v>
      </c>
      <c r="K270" s="184"/>
      <c r="L270" s="183">
        <v>1</v>
      </c>
      <c r="M270" s="183" t="s">
        <v>451</v>
      </c>
      <c r="N270" s="187">
        <v>1000000</v>
      </c>
      <c r="O270" s="183" t="s">
        <v>452</v>
      </c>
      <c r="P270" s="183" t="s">
        <v>452</v>
      </c>
      <c r="Q270" s="184"/>
      <c r="R270" s="183" t="s">
        <v>24</v>
      </c>
      <c r="S270" s="184"/>
      <c r="T270" s="184"/>
      <c r="U270" s="184"/>
      <c r="V270" s="184"/>
      <c r="W270" s="184"/>
      <c r="X270" s="179"/>
      <c r="Y270" s="179"/>
      <c r="Z270" s="179"/>
      <c r="AA270" s="179"/>
    </row>
    <row r="271" spans="1:27">
      <c r="A271" s="181">
        <f ca="1">IFERROR(__xludf.DUMMYFUNCTION("IFS(B271="""","""",ISDATE(B271)=TRUE,B271,ISDATE(B271)=FALSE,TO_DATE(DATEVALUE(regexextract(B271,""\d+/\d+/\d+""))))"),44796)</f>
        <v>44796</v>
      </c>
      <c r="B271" s="182" t="s">
        <v>529</v>
      </c>
      <c r="C271" s="183" t="s">
        <v>8210</v>
      </c>
      <c r="D271" s="184">
        <v>1</v>
      </c>
      <c r="E271" s="183" t="s">
        <v>8213</v>
      </c>
      <c r="F271" s="183" t="s">
        <v>4</v>
      </c>
      <c r="G271" s="183" t="s">
        <v>1045</v>
      </c>
      <c r="H271" s="184" t="s">
        <v>8214</v>
      </c>
      <c r="I271" s="184">
        <v>1</v>
      </c>
      <c r="J271" s="183" t="s">
        <v>1298</v>
      </c>
      <c r="K271" s="183" t="s">
        <v>8215</v>
      </c>
      <c r="L271" s="183">
        <v>1</v>
      </c>
      <c r="M271" s="183" t="s">
        <v>784</v>
      </c>
      <c r="N271" s="187">
        <v>2500000</v>
      </c>
      <c r="O271" s="183" t="s">
        <v>452</v>
      </c>
      <c r="P271" s="183" t="s">
        <v>8216</v>
      </c>
      <c r="Q271" s="184" t="s">
        <v>725</v>
      </c>
      <c r="R271" s="184" t="s">
        <v>24</v>
      </c>
      <c r="S271" s="184"/>
      <c r="T271" s="184"/>
      <c r="U271" s="184"/>
      <c r="V271" s="184"/>
      <c r="W271" s="184"/>
      <c r="X271" s="179"/>
      <c r="Y271" s="179"/>
      <c r="Z271" s="179"/>
      <c r="AA271" s="179"/>
    </row>
    <row r="272" spans="1:27">
      <c r="A272" s="181">
        <f ca="1">IFERROR(__xludf.DUMMYFUNCTION("IFS(B272="""","""",ISDATE(B272)=TRUE,B272,ISDATE(B272)=FALSE,TO_DATE(DATEVALUE(regexextract(B272,""\d+/\d+/\d+""))))"),44782)</f>
        <v>44782</v>
      </c>
      <c r="B272" s="182" t="s">
        <v>10188</v>
      </c>
      <c r="C272" s="183" t="s">
        <v>2301</v>
      </c>
      <c r="D272" s="184">
        <v>3.25</v>
      </c>
      <c r="E272" s="184" t="s">
        <v>10482</v>
      </c>
      <c r="F272" s="183" t="s">
        <v>5</v>
      </c>
      <c r="G272" s="183" t="s">
        <v>447</v>
      </c>
      <c r="H272" s="184" t="s">
        <v>10483</v>
      </c>
      <c r="I272" s="184">
        <v>3</v>
      </c>
      <c r="J272" s="183" t="s">
        <v>543</v>
      </c>
      <c r="K272" s="184"/>
      <c r="L272" s="184">
        <v>3.5</v>
      </c>
      <c r="M272" s="183" t="s">
        <v>451</v>
      </c>
      <c r="N272" s="192" t="s">
        <v>2306</v>
      </c>
      <c r="O272" s="183" t="s">
        <v>452</v>
      </c>
      <c r="P272" s="183" t="s">
        <v>575</v>
      </c>
      <c r="Q272" s="184"/>
      <c r="R272" s="184" t="s">
        <v>24</v>
      </c>
      <c r="S272" s="184"/>
      <c r="T272" s="184"/>
      <c r="U272" s="184"/>
      <c r="V272" s="184"/>
      <c r="W272" s="184"/>
      <c r="X272" s="179"/>
      <c r="Y272" s="179"/>
      <c r="Z272" s="179"/>
      <c r="AA272" s="179"/>
    </row>
    <row r="273" spans="1:27">
      <c r="A273" s="181">
        <f ca="1">IFERROR(__xludf.DUMMYFUNCTION("IFS(B273="""","""",ISDATE(B273)=TRUE,B273,ISDATE(B273)=FALSE,TO_DATE(DATEVALUE(regexextract(B273,""\d+/\d+/\d+""))))"),44796)</f>
        <v>44796</v>
      </c>
      <c r="B273" s="182" t="s">
        <v>529</v>
      </c>
      <c r="C273" s="183" t="s">
        <v>6277</v>
      </c>
      <c r="D273" s="183">
        <v>2.5</v>
      </c>
      <c r="E273" s="183" t="s">
        <v>6280</v>
      </c>
      <c r="F273" s="183" t="s">
        <v>4</v>
      </c>
      <c r="G273" s="183" t="s">
        <v>725</v>
      </c>
      <c r="H273" s="183" t="s">
        <v>6281</v>
      </c>
      <c r="I273" s="183">
        <v>2</v>
      </c>
      <c r="J273" s="183" t="s">
        <v>1237</v>
      </c>
      <c r="K273" s="183"/>
      <c r="L273" s="183">
        <v>3</v>
      </c>
      <c r="M273" s="183" t="s">
        <v>451</v>
      </c>
      <c r="N273" s="187">
        <v>1800000</v>
      </c>
      <c r="O273" s="183" t="s">
        <v>452</v>
      </c>
      <c r="P273" s="183" t="s">
        <v>6282</v>
      </c>
      <c r="Q273" s="184"/>
      <c r="R273" s="183" t="s">
        <v>24</v>
      </c>
      <c r="S273" s="184"/>
      <c r="T273" s="184"/>
      <c r="U273" s="184"/>
      <c r="V273" s="184"/>
      <c r="W273" s="184"/>
      <c r="X273" s="179"/>
      <c r="Y273" s="179"/>
      <c r="Z273" s="179"/>
      <c r="AA273" s="179"/>
    </row>
    <row r="274" spans="1:27">
      <c r="A274" s="181">
        <f ca="1">IFERROR(__xludf.DUMMYFUNCTION("IFS(B274="""","""",ISDATE(B274)=TRUE,B274,ISDATE(B274)=FALSE,TO_DATE(DATEVALUE(regexextract(B274,""\d+/\d+/\d+""))))"),44796)</f>
        <v>44796</v>
      </c>
      <c r="B274" s="182" t="s">
        <v>529</v>
      </c>
      <c r="C274" s="183" t="s">
        <v>5326</v>
      </c>
      <c r="D274" s="183">
        <v>3</v>
      </c>
      <c r="E274" s="183" t="s">
        <v>5329</v>
      </c>
      <c r="F274" s="183" t="s">
        <v>4</v>
      </c>
      <c r="G274" s="183" t="s">
        <v>725</v>
      </c>
      <c r="H274" s="183" t="s">
        <v>5330</v>
      </c>
      <c r="I274" s="183">
        <v>2</v>
      </c>
      <c r="J274" s="183" t="s">
        <v>990</v>
      </c>
      <c r="K274" s="183" t="s">
        <v>5331</v>
      </c>
      <c r="L274" s="183">
        <v>4</v>
      </c>
      <c r="M274" s="184" t="s">
        <v>973</v>
      </c>
      <c r="N274" s="188" t="s">
        <v>5332</v>
      </c>
      <c r="O274" s="183" t="s">
        <v>452</v>
      </c>
      <c r="P274" s="183" t="s">
        <v>5333</v>
      </c>
      <c r="Q274" s="184"/>
      <c r="R274" s="183" t="s">
        <v>24</v>
      </c>
      <c r="S274" s="184"/>
      <c r="T274" s="184"/>
      <c r="U274" s="184"/>
      <c r="V274" s="184"/>
      <c r="W274" s="184"/>
      <c r="X274" s="179"/>
      <c r="Y274" s="179"/>
      <c r="Z274" s="179"/>
      <c r="AA274" s="179"/>
    </row>
    <row r="275" spans="1:27">
      <c r="A275" s="181">
        <f ca="1">IFERROR(__xludf.DUMMYFUNCTION("IFS(B275="""","""",ISDATE(B275)=TRUE,B275,ISDATE(B275)=FALSE,TO_DATE(DATEVALUE(regexextract(B275,""\d+/\d+/\d+""))))"),44796)</f>
        <v>44796</v>
      </c>
      <c r="B275" s="182" t="s">
        <v>529</v>
      </c>
      <c r="C275" s="183" t="s">
        <v>2235</v>
      </c>
      <c r="D275" s="183">
        <v>3.25</v>
      </c>
      <c r="E275" s="183" t="s">
        <v>2238</v>
      </c>
      <c r="F275" s="183" t="s">
        <v>5</v>
      </c>
      <c r="G275" s="183" t="s">
        <v>488</v>
      </c>
      <c r="H275" s="183"/>
      <c r="I275" s="183">
        <v>3</v>
      </c>
      <c r="J275" s="183" t="s">
        <v>941</v>
      </c>
      <c r="K275" s="183" t="s">
        <v>2239</v>
      </c>
      <c r="L275" s="183">
        <v>3.5</v>
      </c>
      <c r="M275" s="183" t="s">
        <v>451</v>
      </c>
      <c r="N275" s="187" t="s">
        <v>2240</v>
      </c>
      <c r="O275" s="183" t="s">
        <v>454</v>
      </c>
      <c r="P275" s="183" t="s">
        <v>10484</v>
      </c>
      <c r="Q275" s="184"/>
      <c r="R275" s="183" t="s">
        <v>24</v>
      </c>
      <c r="S275" s="183" t="s">
        <v>2242</v>
      </c>
      <c r="T275" s="184"/>
      <c r="U275" s="184"/>
      <c r="V275" s="184"/>
      <c r="W275" s="184"/>
      <c r="X275" s="179"/>
      <c r="Y275" s="179"/>
      <c r="Z275" s="179"/>
      <c r="AA275" s="179"/>
    </row>
    <row r="276" spans="1:27">
      <c r="A276" s="181">
        <f ca="1">IFERROR(__xludf.DUMMYFUNCTION("IFS(B276="""","""",ISDATE(B276)=TRUE,B276,ISDATE(B276)=FALSE,TO_DATE(DATEVALUE(regexextract(B276,""\d+/\d+/\d+""))))"),44796)</f>
        <v>44796</v>
      </c>
      <c r="B276" s="182" t="s">
        <v>529</v>
      </c>
      <c r="C276" s="183" t="s">
        <v>5590</v>
      </c>
      <c r="D276" s="184">
        <v>3</v>
      </c>
      <c r="E276" s="183" t="s">
        <v>5593</v>
      </c>
      <c r="F276" s="183" t="s">
        <v>4</v>
      </c>
      <c r="G276" s="183" t="s">
        <v>725</v>
      </c>
      <c r="H276" s="184" t="s">
        <v>5594</v>
      </c>
      <c r="I276" s="184">
        <v>2</v>
      </c>
      <c r="J276" s="183" t="s">
        <v>1281</v>
      </c>
      <c r="K276" s="184" t="s">
        <v>5595</v>
      </c>
      <c r="L276" s="183">
        <v>4</v>
      </c>
      <c r="M276" s="184" t="s">
        <v>5596</v>
      </c>
      <c r="N276" s="188" t="s">
        <v>5597</v>
      </c>
      <c r="O276" s="183" t="s">
        <v>452</v>
      </c>
      <c r="P276" s="183" t="s">
        <v>452</v>
      </c>
      <c r="Q276" s="184" t="s">
        <v>725</v>
      </c>
      <c r="R276" s="184" t="s">
        <v>24</v>
      </c>
      <c r="S276" s="184"/>
      <c r="T276" s="184"/>
      <c r="U276" s="184"/>
      <c r="V276" s="184"/>
      <c r="W276" s="184"/>
      <c r="X276" s="179"/>
      <c r="Y276" s="179"/>
      <c r="Z276" s="179"/>
      <c r="AA276" s="179"/>
    </row>
    <row r="277" spans="1:27">
      <c r="A277" s="181">
        <f ca="1">IFERROR(__xludf.DUMMYFUNCTION("IFS(B277="""","""",ISDATE(B277)=TRUE,B277,ISDATE(B277)=FALSE,TO_DATE(DATEVALUE(regexextract(B277,""\d+/\d+/\d+""))))"),44796)</f>
        <v>44796</v>
      </c>
      <c r="B277" s="182" t="s">
        <v>529</v>
      </c>
      <c r="C277" s="183" t="s">
        <v>6512</v>
      </c>
      <c r="D277" s="184">
        <v>2.5</v>
      </c>
      <c r="E277" s="183" t="s">
        <v>6515</v>
      </c>
      <c r="F277" s="183" t="s">
        <v>4</v>
      </c>
      <c r="G277" s="183" t="s">
        <v>725</v>
      </c>
      <c r="H277" s="184" t="s">
        <v>10485</v>
      </c>
      <c r="I277" s="184">
        <v>2</v>
      </c>
      <c r="J277" s="183" t="s">
        <v>1457</v>
      </c>
      <c r="K277" s="184" t="s">
        <v>6517</v>
      </c>
      <c r="L277" s="184">
        <v>3</v>
      </c>
      <c r="M277" s="184" t="s">
        <v>784</v>
      </c>
      <c r="N277" s="188">
        <v>1200000</v>
      </c>
      <c r="O277" s="183" t="s">
        <v>454</v>
      </c>
      <c r="P277" s="183" t="s">
        <v>6518</v>
      </c>
      <c r="Q277" s="184"/>
      <c r="R277" s="184" t="s">
        <v>24</v>
      </c>
      <c r="S277" s="184"/>
      <c r="T277" s="184"/>
      <c r="U277" s="184"/>
      <c r="V277" s="184"/>
      <c r="W277" s="184"/>
      <c r="X277" s="179"/>
      <c r="Y277" s="179"/>
      <c r="Z277" s="179"/>
      <c r="AA277" s="179"/>
    </row>
    <row r="278" spans="1:27">
      <c r="A278" s="181">
        <f ca="1">IFERROR(__xludf.DUMMYFUNCTION("IFS(B278="""","""",ISDATE(B278)=TRUE,B278,ISDATE(B278)=FALSE,TO_DATE(DATEVALUE(regexextract(B278,""\d+/\d+/\d+""))))"),44796)</f>
        <v>44796</v>
      </c>
      <c r="B278" s="182" t="s">
        <v>529</v>
      </c>
      <c r="C278" s="183" t="s">
        <v>8543</v>
      </c>
      <c r="D278" s="183">
        <v>3.25</v>
      </c>
      <c r="E278" s="183" t="s">
        <v>8546</v>
      </c>
      <c r="F278" s="183" t="s">
        <v>3</v>
      </c>
      <c r="G278" s="183" t="s">
        <v>488</v>
      </c>
      <c r="H278" s="183"/>
      <c r="I278" s="183">
        <v>3</v>
      </c>
      <c r="J278" s="183" t="s">
        <v>941</v>
      </c>
      <c r="K278" s="183" t="s">
        <v>8547</v>
      </c>
      <c r="L278" s="183">
        <v>3.5</v>
      </c>
      <c r="M278" s="184" t="s">
        <v>973</v>
      </c>
      <c r="N278" s="186">
        <v>8000000</v>
      </c>
      <c r="O278" s="183" t="s">
        <v>452</v>
      </c>
      <c r="P278" s="183" t="s">
        <v>8548</v>
      </c>
      <c r="Q278" s="184"/>
      <c r="R278" s="183" t="s">
        <v>24</v>
      </c>
      <c r="S278" s="184"/>
      <c r="T278" s="184"/>
      <c r="U278" s="184"/>
      <c r="V278" s="184"/>
      <c r="W278" s="184"/>
      <c r="X278" s="179"/>
      <c r="Y278" s="179"/>
      <c r="Z278" s="179"/>
      <c r="AA278" s="179"/>
    </row>
    <row r="279" spans="1:27">
      <c r="A279" s="181">
        <f ca="1">IFERROR(__xludf.DUMMYFUNCTION("IFS(B279="""","""",ISDATE(B279)=TRUE,B279,ISDATE(B279)=FALSE,TO_DATE(DATEVALUE(regexextract(B279,""\d+/\d+/\d+""))))"),44784)</f>
        <v>44784</v>
      </c>
      <c r="B279" s="182" t="s">
        <v>10173</v>
      </c>
      <c r="C279" s="183" t="s">
        <v>4341</v>
      </c>
      <c r="D279" s="184">
        <v>3.75</v>
      </c>
      <c r="E279" s="183" t="s">
        <v>4344</v>
      </c>
      <c r="F279" s="183" t="s">
        <v>4</v>
      </c>
      <c r="G279" s="183" t="s">
        <v>727</v>
      </c>
      <c r="H279" s="184" t="s">
        <v>10486</v>
      </c>
      <c r="I279" s="184">
        <v>4</v>
      </c>
      <c r="J279" s="183" t="s">
        <v>476</v>
      </c>
      <c r="K279" s="183" t="s">
        <v>10487</v>
      </c>
      <c r="L279" s="183">
        <v>3.5</v>
      </c>
      <c r="M279" s="183" t="s">
        <v>923</v>
      </c>
      <c r="N279" s="187">
        <v>1000000</v>
      </c>
      <c r="O279" s="183" t="s">
        <v>452</v>
      </c>
      <c r="P279" s="183" t="s">
        <v>575</v>
      </c>
      <c r="Q279" s="183"/>
      <c r="R279" s="184" t="s">
        <v>24</v>
      </c>
      <c r="S279" s="184"/>
      <c r="T279" s="184"/>
      <c r="U279" s="184"/>
      <c r="V279" s="184"/>
      <c r="W279" s="184"/>
      <c r="X279" s="179"/>
      <c r="Y279" s="179"/>
      <c r="Z279" s="179"/>
      <c r="AA279" s="179"/>
    </row>
    <row r="280" spans="1:27">
      <c r="A280" s="181">
        <f ca="1">IFERROR(__xludf.DUMMYFUNCTION("IFS(B280="""","""",ISDATE(B280)=TRUE,B280,ISDATE(B280)=FALSE,TO_DATE(DATEVALUE(regexextract(B280,""\d+/\d+/\d+""))))"),44789)</f>
        <v>44789</v>
      </c>
      <c r="B280" s="182" t="s">
        <v>6450</v>
      </c>
      <c r="C280" s="183" t="s">
        <v>315</v>
      </c>
      <c r="D280" s="184">
        <v>4</v>
      </c>
      <c r="E280" s="183" t="s">
        <v>1735</v>
      </c>
      <c r="F280" s="183" t="s">
        <v>3</v>
      </c>
      <c r="G280" s="183" t="s">
        <v>460</v>
      </c>
      <c r="H280" s="184" t="s">
        <v>1736</v>
      </c>
      <c r="I280" s="184">
        <v>4</v>
      </c>
      <c r="J280" s="183" t="s">
        <v>462</v>
      </c>
      <c r="K280" s="183" t="s">
        <v>1737</v>
      </c>
      <c r="L280" s="183">
        <v>4</v>
      </c>
      <c r="M280" s="184"/>
      <c r="N280" s="188"/>
      <c r="O280" s="183" t="s">
        <v>452</v>
      </c>
      <c r="P280" s="183" t="s">
        <v>1738</v>
      </c>
      <c r="Q280" s="183" t="s">
        <v>1739</v>
      </c>
      <c r="R280" s="184" t="s">
        <v>18</v>
      </c>
      <c r="S280" s="184"/>
      <c r="T280" s="184"/>
      <c r="U280" s="184"/>
      <c r="V280" s="184"/>
      <c r="W280" s="184"/>
      <c r="X280" s="179"/>
      <c r="Y280" s="179"/>
      <c r="Z280" s="179"/>
      <c r="AA280" s="179"/>
    </row>
    <row r="281" spans="1:27">
      <c r="A281" s="181">
        <f ca="1">IFERROR(__xludf.DUMMYFUNCTION("IFS(B281="""","""",ISDATE(B281)=TRUE,B281,ISDATE(B281)=FALSE,TO_DATE(DATEVALUE(regexextract(B281,""\d+/\d+/\d+""))))"),44796)</f>
        <v>44796</v>
      </c>
      <c r="B281" s="182" t="s">
        <v>529</v>
      </c>
      <c r="C281" s="183" t="s">
        <v>177</v>
      </c>
      <c r="D281" s="184">
        <v>4</v>
      </c>
      <c r="E281" s="184" t="s">
        <v>3701</v>
      </c>
      <c r="F281" s="183" t="s">
        <v>4</v>
      </c>
      <c r="G281" s="183" t="s">
        <v>727</v>
      </c>
      <c r="H281" s="184" t="s">
        <v>10488</v>
      </c>
      <c r="I281" s="184">
        <v>4</v>
      </c>
      <c r="J281" s="183" t="s">
        <v>990</v>
      </c>
      <c r="K281" s="183" t="s">
        <v>3703</v>
      </c>
      <c r="L281" s="183">
        <v>4</v>
      </c>
      <c r="M281" s="183" t="s">
        <v>451</v>
      </c>
      <c r="N281" s="187" t="s">
        <v>3704</v>
      </c>
      <c r="O281" s="183" t="s">
        <v>452</v>
      </c>
      <c r="P281" s="183" t="s">
        <v>3705</v>
      </c>
      <c r="Q281" s="184"/>
      <c r="R281" s="184" t="s">
        <v>18</v>
      </c>
      <c r="S281" s="184"/>
      <c r="T281" s="184"/>
      <c r="U281" s="184"/>
      <c r="V281" s="184"/>
      <c r="W281" s="184"/>
      <c r="X281" s="179"/>
      <c r="Y281" s="179"/>
      <c r="Z281" s="179"/>
      <c r="AA281" s="179"/>
    </row>
    <row r="282" spans="1:27">
      <c r="A282" s="181">
        <f ca="1">IFERROR(__xludf.DUMMYFUNCTION("IFS(B282="""","""",ISDATE(B282)=TRUE,B282,ISDATE(B282)=FALSE,TO_DATE(DATEVALUE(regexextract(B282,""\d+/\d+/\d+""))))"),44797)</f>
        <v>44797</v>
      </c>
      <c r="B282" s="182" t="s">
        <v>907</v>
      </c>
      <c r="C282" s="183" t="s">
        <v>6052</v>
      </c>
      <c r="D282" s="184">
        <v>2.75</v>
      </c>
      <c r="E282" s="183" t="s">
        <v>6055</v>
      </c>
      <c r="F282" s="183" t="s">
        <v>4</v>
      </c>
      <c r="G282" s="183" t="s">
        <v>727</v>
      </c>
      <c r="H282" s="184" t="s">
        <v>10489</v>
      </c>
      <c r="I282" s="184">
        <v>2.5</v>
      </c>
      <c r="J282" s="183" t="s">
        <v>449</v>
      </c>
      <c r="K282" s="183" t="s">
        <v>10490</v>
      </c>
      <c r="L282" s="183">
        <v>3</v>
      </c>
      <c r="M282" s="184" t="s">
        <v>973</v>
      </c>
      <c r="N282" s="186">
        <v>10000000</v>
      </c>
      <c r="O282" s="183" t="s">
        <v>465</v>
      </c>
      <c r="P282" s="183" t="s">
        <v>6058</v>
      </c>
      <c r="Q282" s="184"/>
      <c r="R282" s="184" t="s">
        <v>24</v>
      </c>
      <c r="S282" s="184"/>
      <c r="T282" s="184"/>
      <c r="U282" s="184"/>
      <c r="V282" s="184"/>
      <c r="W282" s="184"/>
      <c r="X282" s="179"/>
      <c r="Y282" s="179"/>
      <c r="Z282" s="179"/>
      <c r="AA282" s="179"/>
    </row>
    <row r="283" spans="1:27">
      <c r="A283" s="181">
        <f ca="1">IFERROR(__xludf.DUMMYFUNCTION("IFS(B283="""","""",ISDATE(B283)=TRUE,B283,ISDATE(B283)=FALSE,TO_DATE(DATEVALUE(regexextract(B283,""\d+/\d+/\d+""))))"),44789)</f>
        <v>44789</v>
      </c>
      <c r="B283" s="182" t="s">
        <v>6450</v>
      </c>
      <c r="C283" s="183" t="s">
        <v>405</v>
      </c>
      <c r="D283" s="184">
        <v>3.75</v>
      </c>
      <c r="E283" s="183" t="s">
        <v>10132</v>
      </c>
      <c r="F283" s="183" t="s">
        <v>3</v>
      </c>
      <c r="G283" s="183" t="s">
        <v>460</v>
      </c>
      <c r="H283" s="184" t="s">
        <v>10133</v>
      </c>
      <c r="I283" s="184">
        <v>4</v>
      </c>
      <c r="J283" s="183" t="s">
        <v>488</v>
      </c>
      <c r="K283" s="184" t="s">
        <v>10491</v>
      </c>
      <c r="L283" s="184">
        <v>3.5</v>
      </c>
      <c r="M283" s="184" t="s">
        <v>784</v>
      </c>
      <c r="N283" s="188">
        <v>2000000</v>
      </c>
      <c r="O283" s="183" t="s">
        <v>452</v>
      </c>
      <c r="P283" s="183" t="s">
        <v>10135</v>
      </c>
      <c r="Q283" s="184" t="s">
        <v>460</v>
      </c>
      <c r="R283" s="184" t="s">
        <v>20</v>
      </c>
      <c r="S283" s="184" t="s">
        <v>10136</v>
      </c>
      <c r="T283" s="184"/>
      <c r="U283" s="184"/>
      <c r="V283" s="184"/>
      <c r="W283" s="184"/>
      <c r="X283" s="179"/>
      <c r="Y283" s="179"/>
      <c r="Z283" s="179"/>
      <c r="AA283" s="179"/>
    </row>
    <row r="284" spans="1:27">
      <c r="A284" s="181">
        <f ca="1">IFERROR(__xludf.DUMMYFUNCTION("IFS(B284="""","""",ISDATE(B284)=TRUE,B284,ISDATE(B284)=FALSE,TO_DATE(DATEVALUE(regexextract(B284,""\d+/\d+/\d+""))))"),44796)</f>
        <v>44796</v>
      </c>
      <c r="B284" s="182" t="s">
        <v>529</v>
      </c>
      <c r="C284" s="183" t="s">
        <v>5978</v>
      </c>
      <c r="D284" s="183">
        <v>2.75</v>
      </c>
      <c r="E284" s="183" t="s">
        <v>5981</v>
      </c>
      <c r="F284" s="183" t="s">
        <v>4</v>
      </c>
      <c r="G284" s="183" t="s">
        <v>727</v>
      </c>
      <c r="H284" s="183" t="s">
        <v>10492</v>
      </c>
      <c r="I284" s="183">
        <v>3.5</v>
      </c>
      <c r="J284" s="183" t="s">
        <v>1298</v>
      </c>
      <c r="K284" s="183" t="s">
        <v>5983</v>
      </c>
      <c r="L284" s="183">
        <v>2</v>
      </c>
      <c r="M284" s="184" t="s">
        <v>923</v>
      </c>
      <c r="N284" s="186">
        <v>3000000</v>
      </c>
      <c r="O284" s="183" t="s">
        <v>452</v>
      </c>
      <c r="P284" s="183" t="s">
        <v>452</v>
      </c>
      <c r="Q284" s="184" t="s">
        <v>447</v>
      </c>
      <c r="R284" s="183" t="s">
        <v>24</v>
      </c>
      <c r="S284" s="184"/>
      <c r="T284" s="184"/>
      <c r="U284" s="184"/>
      <c r="V284" s="184"/>
      <c r="W284" s="184"/>
      <c r="X284" s="179"/>
      <c r="Y284" s="179"/>
      <c r="Z284" s="179"/>
      <c r="AA284" s="179"/>
    </row>
    <row r="285" spans="1:27">
      <c r="A285" s="181">
        <f ca="1">IFERROR(__xludf.DUMMYFUNCTION("IFS(B285="""","""",ISDATE(B285)=TRUE,B285,ISDATE(B285)=FALSE,TO_DATE(DATEVALUE(regexextract(B285,""\d+/\d+/\d+""))))"),44796)</f>
        <v>44796</v>
      </c>
      <c r="B285" s="182" t="s">
        <v>529</v>
      </c>
      <c r="C285" s="183" t="s">
        <v>4601</v>
      </c>
      <c r="D285" s="183">
        <v>3.5</v>
      </c>
      <c r="E285" s="183" t="s">
        <v>4604</v>
      </c>
      <c r="F285" s="183" t="s">
        <v>4</v>
      </c>
      <c r="G285" s="183" t="s">
        <v>727</v>
      </c>
      <c r="H285" s="183" t="s">
        <v>10493</v>
      </c>
      <c r="I285" s="183">
        <v>4</v>
      </c>
      <c r="J285" s="183" t="s">
        <v>604</v>
      </c>
      <c r="K285" s="183" t="s">
        <v>10494</v>
      </c>
      <c r="L285" s="183">
        <v>3</v>
      </c>
      <c r="M285" s="184" t="s">
        <v>923</v>
      </c>
      <c r="N285" s="188">
        <v>1500000</v>
      </c>
      <c r="O285" s="183" t="s">
        <v>452</v>
      </c>
      <c r="P285" s="183" t="s">
        <v>10495</v>
      </c>
      <c r="Q285" s="184"/>
      <c r="R285" s="183" t="s">
        <v>24</v>
      </c>
      <c r="S285" s="184"/>
      <c r="T285" s="184"/>
      <c r="U285" s="184"/>
      <c r="V285" s="184"/>
      <c r="W285" s="184"/>
      <c r="X285" s="179"/>
      <c r="Y285" s="179"/>
      <c r="Z285" s="179"/>
      <c r="AA285" s="179"/>
    </row>
    <row r="286" spans="1:27">
      <c r="A286" s="181">
        <f ca="1">IFERROR(__xludf.DUMMYFUNCTION("IFS(B286="""","""",ISDATE(B286)=TRUE,B286,ISDATE(B286)=FALSE,TO_DATE(DATEVALUE(regexextract(B286,""\d+/\d+/\d+""))))"),44791)</f>
        <v>44791</v>
      </c>
      <c r="B286" s="182" t="s">
        <v>10182</v>
      </c>
      <c r="C286" s="183" t="s">
        <v>4296</v>
      </c>
      <c r="D286" s="183">
        <v>3.75</v>
      </c>
      <c r="E286" s="183" t="s">
        <v>4299</v>
      </c>
      <c r="F286" s="183" t="s">
        <v>4</v>
      </c>
      <c r="G286" s="183" t="s">
        <v>727</v>
      </c>
      <c r="H286" s="183" t="s">
        <v>10496</v>
      </c>
      <c r="I286" s="183">
        <v>3.5</v>
      </c>
      <c r="J286" s="183" t="s">
        <v>1281</v>
      </c>
      <c r="K286" s="183" t="s">
        <v>4301</v>
      </c>
      <c r="L286" s="183">
        <v>4</v>
      </c>
      <c r="M286" s="183"/>
      <c r="N286" s="185"/>
      <c r="O286" s="183" t="s">
        <v>452</v>
      </c>
      <c r="P286" s="183" t="s">
        <v>4302</v>
      </c>
      <c r="Q286" s="183"/>
      <c r="R286" s="183" t="s">
        <v>24</v>
      </c>
      <c r="S286" s="184"/>
      <c r="T286" s="184"/>
      <c r="U286" s="184"/>
      <c r="V286" s="184"/>
      <c r="W286" s="184"/>
      <c r="X286" s="179"/>
      <c r="Y286" s="179"/>
      <c r="Z286" s="179"/>
      <c r="AA286" s="179"/>
    </row>
    <row r="287" spans="1:27">
      <c r="A287" s="181">
        <f ca="1">IFERROR(__xludf.DUMMYFUNCTION("IFS(B287="""","""",ISDATE(B287)=TRUE,B287,ISDATE(B287)=FALSE,TO_DATE(DATEVALUE(regexextract(B287,""\d+/\d+/\d+""))))"),44791)</f>
        <v>44791</v>
      </c>
      <c r="B287" s="182" t="s">
        <v>10182</v>
      </c>
      <c r="C287" s="183" t="s">
        <v>196</v>
      </c>
      <c r="D287" s="184">
        <v>4</v>
      </c>
      <c r="E287" s="183" t="s">
        <v>3786</v>
      </c>
      <c r="F287" s="183" t="s">
        <v>4</v>
      </c>
      <c r="G287" s="183" t="s">
        <v>727</v>
      </c>
      <c r="H287" s="184" t="s">
        <v>10497</v>
      </c>
      <c r="I287" s="184">
        <v>4</v>
      </c>
      <c r="J287" s="183" t="s">
        <v>1073</v>
      </c>
      <c r="K287" s="183"/>
      <c r="L287" s="183">
        <v>4</v>
      </c>
      <c r="M287" s="183"/>
      <c r="N287" s="187"/>
      <c r="O287" s="183" t="s">
        <v>465</v>
      </c>
      <c r="P287" s="183" t="s">
        <v>10498</v>
      </c>
      <c r="Q287" s="183"/>
      <c r="R287" s="184" t="s">
        <v>20</v>
      </c>
      <c r="S287" s="184" t="s">
        <v>3789</v>
      </c>
      <c r="T287" s="184"/>
      <c r="U287" s="184"/>
      <c r="V287" s="184"/>
      <c r="W287" s="184"/>
      <c r="X287" s="179"/>
      <c r="Y287" s="179"/>
      <c r="Z287" s="179"/>
      <c r="AA287" s="179"/>
    </row>
    <row r="288" spans="1:27">
      <c r="A288" s="181">
        <f ca="1">IFERROR(__xludf.DUMMYFUNCTION("IFS(B288="""","""",ISDATE(B288)=TRUE,B288,ISDATE(B288)=FALSE,TO_DATE(DATEVALUE(regexextract(B288,""\d+/\d+/\d+""))))"),44796)</f>
        <v>44796</v>
      </c>
      <c r="B288" s="189" t="s">
        <v>529</v>
      </c>
      <c r="C288" s="183" t="s">
        <v>4348</v>
      </c>
      <c r="D288" s="183">
        <v>3.75</v>
      </c>
      <c r="E288" s="183" t="s">
        <v>4351</v>
      </c>
      <c r="F288" s="183" t="s">
        <v>4</v>
      </c>
      <c r="G288" s="183" t="s">
        <v>727</v>
      </c>
      <c r="H288" s="183" t="s">
        <v>10499</v>
      </c>
      <c r="I288" s="183">
        <v>3.5</v>
      </c>
      <c r="J288" s="183" t="s">
        <v>1350</v>
      </c>
      <c r="K288" s="183" t="s">
        <v>4353</v>
      </c>
      <c r="L288" s="183">
        <v>4</v>
      </c>
      <c r="M288" s="184"/>
      <c r="N288" s="190"/>
      <c r="O288" s="183" t="s">
        <v>452</v>
      </c>
      <c r="P288" s="183" t="s">
        <v>10500</v>
      </c>
      <c r="Q288" s="184"/>
      <c r="R288" s="183" t="s">
        <v>24</v>
      </c>
      <c r="S288" s="184"/>
      <c r="T288" s="184"/>
      <c r="U288" s="184"/>
      <c r="V288" s="184"/>
      <c r="W288" s="184"/>
      <c r="X288" s="179"/>
      <c r="Y288" s="179"/>
      <c r="Z288" s="179"/>
      <c r="AA288" s="179"/>
    </row>
    <row r="289" spans="1:27">
      <c r="A289" s="181">
        <f ca="1">IFERROR(__xludf.DUMMYFUNCTION("IFS(B289="""","""",ISDATE(B289)=TRUE,B289,ISDATE(B289)=FALSE,TO_DATE(DATEVALUE(regexextract(B289,""\d+/\d+/\d+""))))"),44784)</f>
        <v>44784</v>
      </c>
      <c r="B289" s="182" t="s">
        <v>10173</v>
      </c>
      <c r="C289" s="183" t="s">
        <v>10501</v>
      </c>
      <c r="D289" s="183">
        <v>1</v>
      </c>
      <c r="E289" s="183" t="s">
        <v>8735</v>
      </c>
      <c r="F289" s="183" t="s">
        <v>3</v>
      </c>
      <c r="G289" s="183" t="s">
        <v>460</v>
      </c>
      <c r="H289" s="183" t="s">
        <v>8736</v>
      </c>
      <c r="I289" s="183">
        <v>1</v>
      </c>
      <c r="J289" s="183" t="s">
        <v>488</v>
      </c>
      <c r="K289" s="183" t="s">
        <v>8737</v>
      </c>
      <c r="L289" s="183">
        <v>1</v>
      </c>
      <c r="M289" s="183"/>
      <c r="N289" s="187"/>
      <c r="O289" s="183" t="s">
        <v>452</v>
      </c>
      <c r="P289" s="183" t="s">
        <v>452</v>
      </c>
      <c r="Q289" s="183"/>
      <c r="R289" s="183" t="s">
        <v>24</v>
      </c>
      <c r="S289" s="183"/>
      <c r="T289" s="184"/>
      <c r="U289" s="184"/>
      <c r="V289" s="184"/>
      <c r="W289" s="184"/>
      <c r="X289" s="179"/>
      <c r="Y289" s="179"/>
      <c r="Z289" s="179"/>
      <c r="AA289" s="179"/>
    </row>
    <row r="290" spans="1:27">
      <c r="A290" s="181">
        <f ca="1">IFERROR(__xludf.DUMMYFUNCTION("IFS(B290="""","""",ISDATE(B290)=TRUE,B290,ISDATE(B290)=FALSE,TO_DATE(DATEVALUE(regexextract(B290,""\d+/\d+/\d+""))))"),44791)</f>
        <v>44791</v>
      </c>
      <c r="B290" s="182" t="s">
        <v>10182</v>
      </c>
      <c r="C290" s="183" t="s">
        <v>231</v>
      </c>
      <c r="D290" s="183">
        <v>5</v>
      </c>
      <c r="E290" s="183" t="s">
        <v>1369</v>
      </c>
      <c r="F290" s="183" t="s">
        <v>4</v>
      </c>
      <c r="G290" s="183" t="s">
        <v>727</v>
      </c>
      <c r="H290" s="183" t="s">
        <v>10502</v>
      </c>
      <c r="I290" s="183">
        <v>5</v>
      </c>
      <c r="J290" s="183" t="s">
        <v>1371</v>
      </c>
      <c r="K290" s="183" t="s">
        <v>1372</v>
      </c>
      <c r="L290" s="183">
        <v>5</v>
      </c>
      <c r="M290" s="184" t="s">
        <v>478</v>
      </c>
      <c r="N290" s="188" t="s">
        <v>1373</v>
      </c>
      <c r="O290" s="183" t="s">
        <v>465</v>
      </c>
      <c r="P290" s="183" t="s">
        <v>1374</v>
      </c>
      <c r="Q290" s="184" t="s">
        <v>1375</v>
      </c>
      <c r="R290" s="183" t="s">
        <v>18</v>
      </c>
      <c r="S290" s="184" t="s">
        <v>1376</v>
      </c>
      <c r="T290" s="184"/>
      <c r="U290" s="184"/>
      <c r="V290" s="184"/>
      <c r="W290" s="184"/>
      <c r="X290" s="179"/>
      <c r="Y290" s="179"/>
      <c r="Z290" s="179"/>
      <c r="AA290" s="179"/>
    </row>
    <row r="291" spans="1:27">
      <c r="A291" s="181">
        <f ca="1">IFERROR(__xludf.DUMMYFUNCTION("IFS(B291="""","""",ISDATE(B291)=TRUE,B291,ISDATE(B291)=FALSE,TO_DATE(DATEVALUE(regexextract(B291,""\d+/\d+/\d+""))))"),44782)</f>
        <v>44782</v>
      </c>
      <c r="B291" s="182" t="s">
        <v>10188</v>
      </c>
      <c r="C291" s="183" t="s">
        <v>68</v>
      </c>
      <c r="D291" s="184">
        <v>4</v>
      </c>
      <c r="E291" s="183" t="s">
        <v>497</v>
      </c>
      <c r="F291" s="183" t="s">
        <v>5</v>
      </c>
      <c r="G291" s="183" t="s">
        <v>447</v>
      </c>
      <c r="H291" s="184" t="s">
        <v>10503</v>
      </c>
      <c r="I291" s="184">
        <v>4.5</v>
      </c>
      <c r="J291" s="183" t="s">
        <v>449</v>
      </c>
      <c r="K291" s="184" t="s">
        <v>10504</v>
      </c>
      <c r="L291" s="183">
        <v>3.5</v>
      </c>
      <c r="M291" s="183" t="s">
        <v>451</v>
      </c>
      <c r="N291" s="185">
        <v>2000000</v>
      </c>
      <c r="O291" s="183" t="s">
        <v>452</v>
      </c>
      <c r="P291" s="183" t="s">
        <v>500</v>
      </c>
      <c r="Q291" s="184"/>
      <c r="R291" s="184" t="s">
        <v>18</v>
      </c>
      <c r="S291" s="184"/>
      <c r="T291" s="184"/>
      <c r="U291" s="184"/>
      <c r="V291" s="184"/>
      <c r="W291" s="184"/>
      <c r="X291" s="179"/>
      <c r="Y291" s="179"/>
      <c r="Z291" s="179"/>
      <c r="AA291" s="179"/>
    </row>
    <row r="292" spans="1:27">
      <c r="A292" s="181">
        <f ca="1">IFERROR(__xludf.DUMMYFUNCTION("IFS(B292="""","""",ISDATE(B292)=TRUE,B292,ISDATE(B292)=FALSE,TO_DATE(DATEVALUE(regexextract(B292,""\d+/\d+/\d+""))))"),44791)</f>
        <v>44791</v>
      </c>
      <c r="B292" s="182" t="s">
        <v>10182</v>
      </c>
      <c r="C292" s="183" t="s">
        <v>4236</v>
      </c>
      <c r="D292" s="183">
        <v>3.75</v>
      </c>
      <c r="E292" s="183" t="s">
        <v>4239</v>
      </c>
      <c r="F292" s="183" t="s">
        <v>4</v>
      </c>
      <c r="G292" s="183" t="s">
        <v>727</v>
      </c>
      <c r="H292" s="183" t="s">
        <v>10505</v>
      </c>
      <c r="I292" s="183">
        <v>3.5</v>
      </c>
      <c r="J292" s="183" t="s">
        <v>1187</v>
      </c>
      <c r="K292" s="183" t="s">
        <v>4241</v>
      </c>
      <c r="L292" s="183">
        <v>4</v>
      </c>
      <c r="M292" s="183" t="s">
        <v>451</v>
      </c>
      <c r="N292" s="187" t="s">
        <v>4242</v>
      </c>
      <c r="O292" s="183" t="s">
        <v>452</v>
      </c>
      <c r="P292" s="183" t="s">
        <v>452</v>
      </c>
      <c r="Q292" s="184"/>
      <c r="R292" s="183" t="s">
        <v>24</v>
      </c>
      <c r="S292" s="183"/>
      <c r="T292" s="184"/>
      <c r="U292" s="184"/>
      <c r="V292" s="184"/>
      <c r="W292" s="184"/>
      <c r="X292" s="179"/>
      <c r="Y292" s="179"/>
      <c r="Z292" s="179"/>
      <c r="AA292" s="179"/>
    </row>
    <row r="293" spans="1:27">
      <c r="A293" s="181">
        <f ca="1">IFERROR(__xludf.DUMMYFUNCTION("IFS(B293="""","""",ISDATE(B293)=TRUE,B293,ISDATE(B293)=FALSE,TO_DATE(DATEVALUE(regexextract(B293,""\d+/\d+/\d+""))))"),44791)</f>
        <v>44791</v>
      </c>
      <c r="B293" s="182" t="s">
        <v>10182</v>
      </c>
      <c r="C293" s="183" t="s">
        <v>5748</v>
      </c>
      <c r="D293" s="184">
        <v>3</v>
      </c>
      <c r="E293" s="183" t="s">
        <v>10506</v>
      </c>
      <c r="F293" s="183" t="s">
        <v>4</v>
      </c>
      <c r="G293" s="183" t="s">
        <v>727</v>
      </c>
      <c r="H293" s="184" t="s">
        <v>10507</v>
      </c>
      <c r="I293" s="184">
        <v>3</v>
      </c>
      <c r="J293" s="183" t="s">
        <v>1457</v>
      </c>
      <c r="K293" s="184" t="s">
        <v>5753</v>
      </c>
      <c r="L293" s="184">
        <v>3</v>
      </c>
      <c r="M293" s="183" t="s">
        <v>784</v>
      </c>
      <c r="N293" s="185">
        <v>1500000</v>
      </c>
      <c r="O293" s="183" t="s">
        <v>465</v>
      </c>
      <c r="P293" s="183" t="s">
        <v>5754</v>
      </c>
      <c r="Q293" s="184" t="s">
        <v>725</v>
      </c>
      <c r="R293" s="184" t="s">
        <v>24</v>
      </c>
      <c r="S293" s="184"/>
      <c r="T293" s="184"/>
      <c r="U293" s="184"/>
      <c r="V293" s="184"/>
      <c r="W293" s="184"/>
      <c r="X293" s="179"/>
      <c r="Y293" s="179"/>
      <c r="Z293" s="179"/>
      <c r="AA293" s="179"/>
    </row>
    <row r="294" spans="1:27">
      <c r="A294" s="181">
        <f ca="1">IFERROR(__xludf.DUMMYFUNCTION("IFS(B294="""","""",ISDATE(B294)=TRUE,B294,ISDATE(B294)=FALSE,TO_DATE(DATEVALUE(regexextract(B294,""\d+/\d+/\d+""))))"),44796)</f>
        <v>44796</v>
      </c>
      <c r="B294" s="182" t="s">
        <v>529</v>
      </c>
      <c r="C294" s="183" t="s">
        <v>5876</v>
      </c>
      <c r="D294" s="183">
        <v>2.75</v>
      </c>
      <c r="E294" s="183" t="s">
        <v>5879</v>
      </c>
      <c r="F294" s="183" t="s">
        <v>4</v>
      </c>
      <c r="G294" s="183" t="s">
        <v>727</v>
      </c>
      <c r="H294" s="183"/>
      <c r="I294" s="183">
        <v>2.5</v>
      </c>
      <c r="J294" s="183" t="s">
        <v>1073</v>
      </c>
      <c r="K294" s="183" t="s">
        <v>5880</v>
      </c>
      <c r="L294" s="183">
        <v>3</v>
      </c>
      <c r="M294" s="184"/>
      <c r="N294" s="188"/>
      <c r="O294" s="183" t="s">
        <v>452</v>
      </c>
      <c r="P294" s="183" t="s">
        <v>452</v>
      </c>
      <c r="Q294" s="184"/>
      <c r="R294" s="183" t="s">
        <v>24</v>
      </c>
      <c r="S294" s="183"/>
      <c r="T294" s="184"/>
      <c r="U294" s="184"/>
      <c r="V294" s="184"/>
      <c r="W294" s="184"/>
      <c r="X294" s="179"/>
      <c r="Y294" s="179"/>
      <c r="Z294" s="179"/>
      <c r="AA294" s="179"/>
    </row>
    <row r="295" spans="1:27">
      <c r="A295" s="181">
        <f ca="1">IFERROR(__xludf.DUMMYFUNCTION("IFS(B295="""","""",ISDATE(B295)=TRUE,B295,ISDATE(B295)=FALSE,TO_DATE(DATEVALUE(regexextract(B295,""\d+/\d+/\d+""))))"),44784)</f>
        <v>44784</v>
      </c>
      <c r="B295" s="182" t="s">
        <v>10173</v>
      </c>
      <c r="C295" s="183" t="s">
        <v>360</v>
      </c>
      <c r="D295" s="184">
        <v>5</v>
      </c>
      <c r="E295" s="184" t="s">
        <v>2032</v>
      </c>
      <c r="F295" s="183" t="s">
        <v>3</v>
      </c>
      <c r="G295" s="183" t="s">
        <v>460</v>
      </c>
      <c r="H295" s="184" t="s">
        <v>2033</v>
      </c>
      <c r="I295" s="184">
        <v>5</v>
      </c>
      <c r="J295" s="183" t="s">
        <v>462</v>
      </c>
      <c r="K295" s="184" t="s">
        <v>2034</v>
      </c>
      <c r="L295" s="184">
        <v>5</v>
      </c>
      <c r="M295" s="183" t="s">
        <v>478</v>
      </c>
      <c r="N295" s="192">
        <v>3000000</v>
      </c>
      <c r="O295" s="183" t="s">
        <v>465</v>
      </c>
      <c r="P295" s="183" t="s">
        <v>452</v>
      </c>
      <c r="Q295" s="183"/>
      <c r="R295" s="184" t="s">
        <v>18</v>
      </c>
      <c r="S295" s="184" t="s">
        <v>2035</v>
      </c>
      <c r="T295" s="184"/>
      <c r="U295" s="184"/>
      <c r="V295" s="184"/>
      <c r="W295" s="184"/>
      <c r="X295" s="179"/>
      <c r="Y295" s="179"/>
      <c r="Z295" s="179"/>
      <c r="AA295" s="179"/>
    </row>
    <row r="296" spans="1:27">
      <c r="A296" s="181">
        <f ca="1">IFERROR(__xludf.DUMMYFUNCTION("IFS(B296="""","""",ISDATE(B296)=TRUE,B296,ISDATE(B296)=FALSE,TO_DATE(DATEVALUE(regexextract(B296,""\d+/\d+/\d+""))))"),44784)</f>
        <v>44784</v>
      </c>
      <c r="B296" s="182" t="s">
        <v>10173</v>
      </c>
      <c r="C296" s="183" t="s">
        <v>301</v>
      </c>
      <c r="D296" s="183">
        <v>5</v>
      </c>
      <c r="E296" s="183" t="s">
        <v>1684</v>
      </c>
      <c r="F296" s="183" t="s">
        <v>3</v>
      </c>
      <c r="G296" s="183" t="s">
        <v>460</v>
      </c>
      <c r="H296" s="184" t="s">
        <v>1685</v>
      </c>
      <c r="I296" s="183">
        <v>5</v>
      </c>
      <c r="J296" s="183" t="s">
        <v>941</v>
      </c>
      <c r="K296" s="184" t="s">
        <v>1686</v>
      </c>
      <c r="L296" s="183">
        <v>5</v>
      </c>
      <c r="M296" s="183"/>
      <c r="N296" s="185"/>
      <c r="O296" s="183" t="s">
        <v>452</v>
      </c>
      <c r="P296" s="183" t="s">
        <v>1687</v>
      </c>
      <c r="Q296" s="184" t="s">
        <v>725</v>
      </c>
      <c r="R296" s="183" t="s">
        <v>18</v>
      </c>
      <c r="S296" s="184" t="s">
        <v>1688</v>
      </c>
      <c r="T296" s="184"/>
      <c r="U296" s="184"/>
      <c r="V296" s="184"/>
      <c r="W296" s="184"/>
      <c r="X296" s="179"/>
      <c r="Y296" s="179"/>
      <c r="Z296" s="179"/>
      <c r="AA296" s="179"/>
    </row>
    <row r="297" spans="1:27">
      <c r="A297" s="181">
        <f ca="1">IFERROR(__xludf.DUMMYFUNCTION("IFS(B297="""","""",ISDATE(B297)=TRUE,B297,ISDATE(B297)=FALSE,TO_DATE(DATEVALUE(regexextract(B297,""\d+/\d+/\d+""))))"),44784)</f>
        <v>44784</v>
      </c>
      <c r="B297" s="182" t="s">
        <v>10173</v>
      </c>
      <c r="C297" s="183" t="s">
        <v>8466</v>
      </c>
      <c r="D297" s="184">
        <v>1.5</v>
      </c>
      <c r="E297" s="183" t="s">
        <v>8469</v>
      </c>
      <c r="F297" s="183" t="s">
        <v>3</v>
      </c>
      <c r="G297" s="183" t="s">
        <v>460</v>
      </c>
      <c r="H297" s="184" t="s">
        <v>8470</v>
      </c>
      <c r="I297" s="184">
        <v>1</v>
      </c>
      <c r="J297" s="183" t="s">
        <v>488</v>
      </c>
      <c r="K297" s="184"/>
      <c r="L297" s="184">
        <v>2</v>
      </c>
      <c r="M297" s="183"/>
      <c r="N297" s="187"/>
      <c r="O297" s="183" t="s">
        <v>452</v>
      </c>
      <c r="P297" s="183" t="s">
        <v>575</v>
      </c>
      <c r="Q297" s="184" t="s">
        <v>8471</v>
      </c>
      <c r="R297" s="184" t="s">
        <v>24</v>
      </c>
      <c r="S297" s="184"/>
      <c r="T297" s="184"/>
      <c r="U297" s="184"/>
      <c r="V297" s="184"/>
      <c r="W297" s="184"/>
      <c r="X297" s="179"/>
      <c r="Y297" s="179"/>
      <c r="Z297" s="179"/>
      <c r="AA297" s="179"/>
    </row>
    <row r="298" spans="1:27">
      <c r="A298" s="181">
        <f ca="1">IFERROR(__xludf.DUMMYFUNCTION("IFS(B298="""","""",ISDATE(B298)=TRUE,B298,ISDATE(B298)=FALSE,TO_DATE(DATEVALUE(regexextract(B298,""\d+/\d+/\d+""))))"),44784)</f>
        <v>44784</v>
      </c>
      <c r="B298" s="182" t="s">
        <v>10173</v>
      </c>
      <c r="C298" s="183" t="s">
        <v>8823</v>
      </c>
      <c r="D298" s="183">
        <v>2</v>
      </c>
      <c r="E298" s="183" t="s">
        <v>8826</v>
      </c>
      <c r="F298" s="183" t="s">
        <v>3</v>
      </c>
      <c r="G298" s="183" t="s">
        <v>460</v>
      </c>
      <c r="H298" s="183" t="s">
        <v>8827</v>
      </c>
      <c r="I298" s="183">
        <v>1</v>
      </c>
      <c r="J298" s="183" t="s">
        <v>941</v>
      </c>
      <c r="K298" s="183" t="s">
        <v>8828</v>
      </c>
      <c r="L298" s="183">
        <v>3</v>
      </c>
      <c r="M298" s="183" t="s">
        <v>784</v>
      </c>
      <c r="N298" s="187">
        <v>1000000</v>
      </c>
      <c r="O298" s="183" t="s">
        <v>452</v>
      </c>
      <c r="P298" s="183" t="s">
        <v>452</v>
      </c>
      <c r="Q298" s="183"/>
      <c r="R298" s="183" t="s">
        <v>24</v>
      </c>
      <c r="S298" s="183"/>
      <c r="T298" s="184"/>
      <c r="U298" s="184"/>
      <c r="V298" s="184"/>
      <c r="W298" s="184"/>
      <c r="X298" s="179"/>
      <c r="Y298" s="179"/>
      <c r="Z298" s="179"/>
      <c r="AA298" s="179"/>
    </row>
    <row r="299" spans="1:27">
      <c r="A299" s="181">
        <f ca="1">IFERROR(__xludf.DUMMYFUNCTION("IFS(B299="""","""",ISDATE(B299)=TRUE,B299,ISDATE(B299)=FALSE,TO_DATE(DATEVALUE(regexextract(B299,""\d+/\d+/\d+""))))"),44789)</f>
        <v>44789</v>
      </c>
      <c r="B299" s="182" t="s">
        <v>6450</v>
      </c>
      <c r="C299" s="183" t="s">
        <v>5005</v>
      </c>
      <c r="D299" s="184">
        <v>3.25</v>
      </c>
      <c r="E299" s="183" t="s">
        <v>10508</v>
      </c>
      <c r="F299" s="183" t="s">
        <v>4</v>
      </c>
      <c r="G299" s="183" t="s">
        <v>727</v>
      </c>
      <c r="H299" s="184" t="s">
        <v>5009</v>
      </c>
      <c r="I299" s="184">
        <v>3</v>
      </c>
      <c r="J299" s="183" t="s">
        <v>622</v>
      </c>
      <c r="K299" s="184"/>
      <c r="L299" s="184">
        <v>3.5</v>
      </c>
      <c r="M299" s="183"/>
      <c r="N299" s="187"/>
      <c r="O299" s="183" t="s">
        <v>452</v>
      </c>
      <c r="P299" s="183" t="s">
        <v>452</v>
      </c>
      <c r="Q299" s="184"/>
      <c r="R299" s="184" t="s">
        <v>24</v>
      </c>
      <c r="S299" s="184"/>
      <c r="T299" s="184"/>
      <c r="U299" s="184"/>
      <c r="V299" s="184"/>
      <c r="W299" s="184"/>
      <c r="X299" s="179"/>
      <c r="Y299" s="179"/>
      <c r="Z299" s="179"/>
      <c r="AA299" s="179"/>
    </row>
    <row r="300" spans="1:27">
      <c r="A300" s="181">
        <f ca="1">IFERROR(__xludf.DUMMYFUNCTION("IFS(B300="""","""",ISDATE(B300)=TRUE,B300,ISDATE(B300)=FALSE,TO_DATE(DATEVALUE(regexextract(B300,""\d+/\d+/\d+""))))"),44782)</f>
        <v>44782</v>
      </c>
      <c r="B300" s="182" t="s">
        <v>10188</v>
      </c>
      <c r="C300" s="183" t="s">
        <v>382</v>
      </c>
      <c r="D300" s="183">
        <v>4</v>
      </c>
      <c r="E300" s="183" t="s">
        <v>10047</v>
      </c>
      <c r="F300" s="183" t="s">
        <v>5</v>
      </c>
      <c r="G300" s="183" t="s">
        <v>447</v>
      </c>
      <c r="H300" s="183" t="s">
        <v>10509</v>
      </c>
      <c r="I300" s="183">
        <v>4</v>
      </c>
      <c r="J300" s="183" t="s">
        <v>543</v>
      </c>
      <c r="K300" s="183"/>
      <c r="L300" s="183">
        <v>4</v>
      </c>
      <c r="M300" s="184" t="s">
        <v>784</v>
      </c>
      <c r="N300" s="188">
        <v>1200000</v>
      </c>
      <c r="O300" s="183" t="s">
        <v>452</v>
      </c>
      <c r="P300" s="183" t="s">
        <v>10049</v>
      </c>
      <c r="Q300" s="184" t="s">
        <v>10050</v>
      </c>
      <c r="R300" s="183" t="s">
        <v>18</v>
      </c>
      <c r="S300" s="184"/>
      <c r="T300" s="184"/>
      <c r="U300" s="184"/>
      <c r="V300" s="184"/>
      <c r="W300" s="184"/>
      <c r="X300" s="179"/>
      <c r="Y300" s="179"/>
      <c r="Z300" s="179"/>
      <c r="AA300" s="179"/>
    </row>
    <row r="301" spans="1:27">
      <c r="A301" s="181">
        <f ca="1">IFERROR(__xludf.DUMMYFUNCTION("IFS(B301="""","""",ISDATE(B301)=TRUE,B301,ISDATE(B301)=FALSE,TO_DATE(DATEVALUE(regexextract(B301,""\d+/\d+/\d+""))))"),44791)</f>
        <v>44791</v>
      </c>
      <c r="B301" s="182" t="s">
        <v>10182</v>
      </c>
      <c r="C301" s="183" t="s">
        <v>5512</v>
      </c>
      <c r="D301" s="184">
        <v>3</v>
      </c>
      <c r="E301" s="183" t="s">
        <v>5515</v>
      </c>
      <c r="F301" s="183" t="s">
        <v>4</v>
      </c>
      <c r="G301" s="183" t="s">
        <v>727</v>
      </c>
      <c r="H301" s="184" t="s">
        <v>10510</v>
      </c>
      <c r="I301" s="184">
        <v>3</v>
      </c>
      <c r="J301" s="183" t="s">
        <v>604</v>
      </c>
      <c r="K301" s="183" t="s">
        <v>10511</v>
      </c>
      <c r="L301" s="183">
        <v>3</v>
      </c>
      <c r="M301" s="184" t="s">
        <v>451</v>
      </c>
      <c r="N301" s="186">
        <v>3500000</v>
      </c>
      <c r="O301" s="183" t="s">
        <v>452</v>
      </c>
      <c r="P301" s="183" t="s">
        <v>5518</v>
      </c>
      <c r="Q301" s="184"/>
      <c r="R301" s="184" t="s">
        <v>24</v>
      </c>
      <c r="S301" s="184"/>
      <c r="T301" s="184"/>
      <c r="U301" s="184"/>
      <c r="V301" s="184"/>
      <c r="W301" s="184"/>
      <c r="X301" s="179"/>
      <c r="Y301" s="179"/>
      <c r="Z301" s="179"/>
      <c r="AA301" s="179"/>
    </row>
    <row r="302" spans="1:27">
      <c r="A302" s="181">
        <f ca="1">IFERROR(__xludf.DUMMYFUNCTION("IFS(B302="""","""",ISDATE(B302)=TRUE,B302,ISDATE(B302)=FALSE,TO_DATE(DATEVALUE(regexextract(B302,""\d+/\d+/\d+""))))"),44791)</f>
        <v>44791</v>
      </c>
      <c r="B302" s="182" t="s">
        <v>10182</v>
      </c>
      <c r="C302" s="183" t="s">
        <v>8236</v>
      </c>
      <c r="D302" s="184">
        <v>1</v>
      </c>
      <c r="E302" s="183" t="s">
        <v>8239</v>
      </c>
      <c r="F302" s="183" t="s">
        <v>4</v>
      </c>
      <c r="G302" s="183" t="s">
        <v>727</v>
      </c>
      <c r="H302" s="183"/>
      <c r="I302" s="183">
        <v>1</v>
      </c>
      <c r="J302" s="183" t="s">
        <v>1298</v>
      </c>
      <c r="K302" s="184" t="s">
        <v>8240</v>
      </c>
      <c r="L302" s="184">
        <v>1</v>
      </c>
      <c r="M302" s="183"/>
      <c r="N302" s="187"/>
      <c r="O302" s="183" t="s">
        <v>465</v>
      </c>
      <c r="P302" s="183" t="s">
        <v>8241</v>
      </c>
      <c r="Q302" s="184" t="s">
        <v>8242</v>
      </c>
      <c r="R302" s="184" t="s">
        <v>24</v>
      </c>
      <c r="S302" s="184"/>
      <c r="T302" s="184"/>
      <c r="U302" s="184"/>
      <c r="V302" s="184"/>
      <c r="W302" s="184"/>
      <c r="X302" s="179"/>
      <c r="Y302" s="179"/>
      <c r="Z302" s="179"/>
      <c r="AA302" s="179"/>
    </row>
    <row r="303" spans="1:27">
      <c r="A303" s="181">
        <f ca="1">IFERROR(__xludf.DUMMYFUNCTION("IFS(B303="""","""",ISDATE(B303)=TRUE,B303,ISDATE(B303)=FALSE,TO_DATE(DATEVALUE(regexextract(B303,""\d+/\d+/\d+""))))"),44784)</f>
        <v>44784</v>
      </c>
      <c r="B303" s="182" t="s">
        <v>10173</v>
      </c>
      <c r="C303" s="183" t="s">
        <v>2335</v>
      </c>
      <c r="D303" s="184">
        <v>2</v>
      </c>
      <c r="E303" s="183" t="s">
        <v>2338</v>
      </c>
      <c r="F303" s="183" t="s">
        <v>5</v>
      </c>
      <c r="G303" s="183" t="s">
        <v>460</v>
      </c>
      <c r="H303" s="184" t="s">
        <v>2339</v>
      </c>
      <c r="I303" s="184">
        <v>2</v>
      </c>
      <c r="J303" s="183" t="s">
        <v>462</v>
      </c>
      <c r="K303" s="183" t="s">
        <v>2340</v>
      </c>
      <c r="L303" s="183">
        <v>2</v>
      </c>
      <c r="M303" s="183" t="s">
        <v>784</v>
      </c>
      <c r="N303" s="187">
        <v>250000</v>
      </c>
      <c r="O303" s="183" t="s">
        <v>465</v>
      </c>
      <c r="P303" s="183" t="s">
        <v>452</v>
      </c>
      <c r="Q303" s="184"/>
      <c r="R303" s="184" t="s">
        <v>24</v>
      </c>
      <c r="S303" s="184" t="s">
        <v>2341</v>
      </c>
      <c r="T303" s="184"/>
      <c r="U303" s="184"/>
      <c r="V303" s="184"/>
      <c r="W303" s="184"/>
      <c r="X303" s="179"/>
      <c r="Y303" s="179"/>
      <c r="Z303" s="179"/>
      <c r="AA303" s="179"/>
    </row>
    <row r="304" spans="1:27">
      <c r="A304" s="181">
        <f ca="1">IFERROR(__xludf.DUMMYFUNCTION("IFS(B304="""","""",ISDATE(B304)=TRUE,B304,ISDATE(B304)=FALSE,TO_DATE(DATEVALUE(regexextract(B304,""\d+/\d+/\d+""))))"),44782)</f>
        <v>44782</v>
      </c>
      <c r="B304" s="182" t="s">
        <v>10188</v>
      </c>
      <c r="C304" s="183" t="s">
        <v>320</v>
      </c>
      <c r="D304" s="184">
        <v>4.25</v>
      </c>
      <c r="E304" s="183" t="s">
        <v>1768</v>
      </c>
      <c r="F304" s="183" t="s">
        <v>3</v>
      </c>
      <c r="G304" s="183" t="s">
        <v>460</v>
      </c>
      <c r="H304" s="184" t="s">
        <v>1769</v>
      </c>
      <c r="I304" s="184">
        <v>4</v>
      </c>
      <c r="J304" s="183" t="s">
        <v>462</v>
      </c>
      <c r="K304" s="183" t="s">
        <v>1770</v>
      </c>
      <c r="L304" s="183">
        <v>4.5</v>
      </c>
      <c r="M304" s="183" t="s">
        <v>451</v>
      </c>
      <c r="N304" s="185">
        <v>2000000</v>
      </c>
      <c r="O304" s="183" t="s">
        <v>465</v>
      </c>
      <c r="P304" s="183" t="s">
        <v>1771</v>
      </c>
      <c r="Q304" s="184"/>
      <c r="R304" s="184" t="s">
        <v>18</v>
      </c>
      <c r="S304" s="184"/>
      <c r="T304" s="184"/>
      <c r="U304" s="184"/>
      <c r="V304" s="184"/>
      <c r="W304" s="184"/>
      <c r="X304" s="179"/>
      <c r="Y304" s="179"/>
      <c r="Z304" s="179"/>
      <c r="AA304" s="179"/>
    </row>
    <row r="305" spans="1:27">
      <c r="A305" s="181">
        <f ca="1">IFERROR(__xludf.DUMMYFUNCTION("IFS(B305="""","""",ISDATE(B305)=TRUE,B305,ISDATE(B305)=FALSE,TO_DATE(DATEVALUE(regexextract(B305,""\d+/\d+/\d+""))))"),44797)</f>
        <v>44797</v>
      </c>
      <c r="B305" s="182" t="s">
        <v>907</v>
      </c>
      <c r="C305" s="183" t="s">
        <v>269</v>
      </c>
      <c r="D305" s="184">
        <v>4.25</v>
      </c>
      <c r="E305" s="184" t="s">
        <v>1559</v>
      </c>
      <c r="F305" s="183" t="s">
        <v>4</v>
      </c>
      <c r="G305" s="183" t="s">
        <v>727</v>
      </c>
      <c r="H305" s="184" t="s">
        <v>10512</v>
      </c>
      <c r="I305" s="184">
        <v>4.5</v>
      </c>
      <c r="J305" s="183" t="s">
        <v>449</v>
      </c>
      <c r="K305" s="184" t="s">
        <v>10513</v>
      </c>
      <c r="L305" s="184">
        <v>4</v>
      </c>
      <c r="M305" s="183" t="s">
        <v>451</v>
      </c>
      <c r="N305" s="187">
        <v>6000000</v>
      </c>
      <c r="O305" s="183" t="s">
        <v>452</v>
      </c>
      <c r="P305" s="184" t="s">
        <v>452</v>
      </c>
      <c r="Q305" s="184" t="s">
        <v>1562</v>
      </c>
      <c r="R305" s="184" t="s">
        <v>18</v>
      </c>
      <c r="S305" s="184" t="s">
        <v>1563</v>
      </c>
      <c r="T305" s="184"/>
      <c r="U305" s="184"/>
      <c r="V305" s="184"/>
      <c r="W305" s="184"/>
      <c r="X305" s="179"/>
      <c r="Y305" s="179"/>
      <c r="Z305" s="179"/>
      <c r="AA305" s="179"/>
    </row>
    <row r="306" spans="1:27">
      <c r="A306" s="181">
        <f ca="1">IFERROR(__xludf.DUMMYFUNCTION("IFS(B306="""","""",ISDATE(B306)=TRUE,B306,ISDATE(B306)=FALSE,TO_DATE(DATEVALUE(regexextract(B306,""\d+/\d+/\d+""))))"),44796)</f>
        <v>44796</v>
      </c>
      <c r="B306" s="182" t="s">
        <v>529</v>
      </c>
      <c r="C306" s="183" t="s">
        <v>8218</v>
      </c>
      <c r="D306" s="184">
        <v>1</v>
      </c>
      <c r="E306" s="183" t="s">
        <v>8221</v>
      </c>
      <c r="F306" s="183" t="s">
        <v>4</v>
      </c>
      <c r="G306" s="183" t="s">
        <v>727</v>
      </c>
      <c r="H306" s="184" t="s">
        <v>10514</v>
      </c>
      <c r="I306" s="184">
        <v>1</v>
      </c>
      <c r="J306" s="183" t="s">
        <v>1298</v>
      </c>
      <c r="K306" s="183" t="s">
        <v>8223</v>
      </c>
      <c r="L306" s="183">
        <v>1</v>
      </c>
      <c r="M306" s="183"/>
      <c r="N306" s="187"/>
      <c r="O306" s="183" t="s">
        <v>454</v>
      </c>
      <c r="P306" s="183" t="s">
        <v>8224</v>
      </c>
      <c r="Q306" s="184"/>
      <c r="R306" s="184" t="s">
        <v>24</v>
      </c>
      <c r="S306" s="184"/>
      <c r="T306" s="184"/>
      <c r="U306" s="184"/>
      <c r="V306" s="184"/>
      <c r="W306" s="184"/>
      <c r="X306" s="179"/>
      <c r="Y306" s="179"/>
      <c r="Z306" s="179"/>
      <c r="AA306" s="179"/>
    </row>
    <row r="307" spans="1:27">
      <c r="A307" s="181">
        <f ca="1">IFERROR(__xludf.DUMMYFUNCTION("IFS(B307="""","""",ISDATE(B307)=TRUE,B307,ISDATE(B307)=FALSE,TO_DATE(DATEVALUE(regexextract(B307,""\d+/\d+/\d+""))))"),44796)</f>
        <v>44796</v>
      </c>
      <c r="B307" s="182" t="s">
        <v>529</v>
      </c>
      <c r="C307" s="183" t="s">
        <v>4793</v>
      </c>
      <c r="D307" s="183">
        <v>3.5</v>
      </c>
      <c r="E307" s="183" t="s">
        <v>10515</v>
      </c>
      <c r="F307" s="183" t="s">
        <v>4</v>
      </c>
      <c r="G307" s="183" t="s">
        <v>727</v>
      </c>
      <c r="H307" s="183" t="s">
        <v>10516</v>
      </c>
      <c r="I307" s="183">
        <v>4</v>
      </c>
      <c r="J307" s="183" t="s">
        <v>1350</v>
      </c>
      <c r="K307" s="187" t="s">
        <v>4798</v>
      </c>
      <c r="L307" s="183">
        <v>3</v>
      </c>
      <c r="M307" s="184"/>
      <c r="N307" s="187"/>
      <c r="O307" s="183" t="s">
        <v>452</v>
      </c>
      <c r="P307" s="183" t="s">
        <v>4799</v>
      </c>
      <c r="Q307" s="184" t="s">
        <v>4800</v>
      </c>
      <c r="R307" s="184" t="s">
        <v>24</v>
      </c>
      <c r="S307" s="184" t="s">
        <v>4801</v>
      </c>
      <c r="T307" s="184"/>
      <c r="U307" s="184"/>
      <c r="V307" s="184"/>
      <c r="W307" s="184"/>
      <c r="X307" s="179"/>
      <c r="Y307" s="179"/>
      <c r="Z307" s="179"/>
      <c r="AA307" s="179"/>
    </row>
    <row r="308" spans="1:27">
      <c r="A308" s="181">
        <f ca="1">IFERROR(__xludf.DUMMYFUNCTION("IFS(B308="""","""",ISDATE(B308)=TRUE,B308,ISDATE(B308)=FALSE,TO_DATE(DATEVALUE(regexextract(B308,""\d+/\d+/\d+""))))"),44796)</f>
        <v>44796</v>
      </c>
      <c r="B308" s="182" t="s">
        <v>529</v>
      </c>
      <c r="C308" s="183" t="s">
        <v>214</v>
      </c>
      <c r="D308" s="183">
        <v>4</v>
      </c>
      <c r="E308" s="183" t="s">
        <v>3875</v>
      </c>
      <c r="F308" s="183" t="s">
        <v>4</v>
      </c>
      <c r="G308" s="183" t="s">
        <v>727</v>
      </c>
      <c r="H308" s="183" t="s">
        <v>10517</v>
      </c>
      <c r="I308" s="183">
        <v>4</v>
      </c>
      <c r="J308" s="183" t="s">
        <v>1187</v>
      </c>
      <c r="K308" s="183" t="s">
        <v>3877</v>
      </c>
      <c r="L308" s="183">
        <v>4</v>
      </c>
      <c r="M308" s="184" t="s">
        <v>923</v>
      </c>
      <c r="N308" s="184" t="s">
        <v>729</v>
      </c>
      <c r="O308" s="183" t="s">
        <v>452</v>
      </c>
      <c r="P308" s="183" t="s">
        <v>452</v>
      </c>
      <c r="Q308" s="184"/>
      <c r="R308" s="183" t="s">
        <v>18</v>
      </c>
      <c r="S308" s="184"/>
      <c r="T308" s="184"/>
      <c r="U308" s="184"/>
      <c r="V308" s="184"/>
      <c r="W308" s="184"/>
      <c r="X308" s="179"/>
      <c r="Y308" s="179"/>
      <c r="Z308" s="179"/>
      <c r="AA308" s="179"/>
    </row>
    <row r="309" spans="1:27">
      <c r="A309" s="181">
        <f ca="1">IFERROR(__xludf.DUMMYFUNCTION("IFS(B309="""","""",ISDATE(B309)=TRUE,B309,ISDATE(B309)=FALSE,TO_DATE(DATEVALUE(regexextract(B309,""\d+/\d+/\d+""))))"),44782)</f>
        <v>44782</v>
      </c>
      <c r="B309" s="182" t="s">
        <v>10188</v>
      </c>
      <c r="C309" s="183" t="s">
        <v>132</v>
      </c>
      <c r="D309" s="184">
        <v>3.75</v>
      </c>
      <c r="E309" s="183" t="s">
        <v>10518</v>
      </c>
      <c r="F309" s="183" t="s">
        <v>5</v>
      </c>
      <c r="G309" s="183" t="s">
        <v>447</v>
      </c>
      <c r="H309" s="184" t="s">
        <v>10519</v>
      </c>
      <c r="I309" s="184">
        <v>3.5</v>
      </c>
      <c r="J309" s="183" t="s">
        <v>543</v>
      </c>
      <c r="K309" s="183" t="s">
        <v>10520</v>
      </c>
      <c r="L309" s="183">
        <v>4</v>
      </c>
      <c r="M309" s="183" t="s">
        <v>478</v>
      </c>
      <c r="N309" s="185" t="s">
        <v>3191</v>
      </c>
      <c r="O309" s="183" t="s">
        <v>452</v>
      </c>
      <c r="P309" s="183" t="s">
        <v>3192</v>
      </c>
      <c r="Q309" s="184"/>
      <c r="R309" s="184" t="s">
        <v>20</v>
      </c>
      <c r="S309" s="184" t="s">
        <v>3193</v>
      </c>
      <c r="T309" s="184"/>
      <c r="U309" s="184"/>
      <c r="V309" s="184"/>
      <c r="W309" s="184"/>
      <c r="X309" s="179"/>
      <c r="Y309" s="179"/>
      <c r="Z309" s="179"/>
      <c r="AA309" s="179"/>
    </row>
    <row r="310" spans="1:27">
      <c r="A310" s="181">
        <f ca="1">IFERROR(__xludf.DUMMYFUNCTION("IFS(B310="""","""",ISDATE(B310)=TRUE,B310,ISDATE(B310)=FALSE,TO_DATE(DATEVALUE(regexextract(B310,""\d+/\d+/\d+""))))"),44782)</f>
        <v>44782</v>
      </c>
      <c r="B310" s="182" t="s">
        <v>10188</v>
      </c>
      <c r="C310" s="183" t="s">
        <v>113</v>
      </c>
      <c r="D310" s="183">
        <v>4</v>
      </c>
      <c r="E310" s="183" t="s">
        <v>814</v>
      </c>
      <c r="F310" s="183" t="s">
        <v>5</v>
      </c>
      <c r="G310" s="183" t="s">
        <v>447</v>
      </c>
      <c r="H310" s="183" t="s">
        <v>10521</v>
      </c>
      <c r="I310" s="183">
        <v>4</v>
      </c>
      <c r="J310" s="183" t="s">
        <v>449</v>
      </c>
      <c r="K310" s="183" t="s">
        <v>10522</v>
      </c>
      <c r="L310" s="183">
        <v>4</v>
      </c>
      <c r="M310" s="183" t="s">
        <v>451</v>
      </c>
      <c r="N310" s="187">
        <v>2000000</v>
      </c>
      <c r="O310" s="183" t="s">
        <v>454</v>
      </c>
      <c r="P310" s="183" t="s">
        <v>452</v>
      </c>
      <c r="Q310" s="184"/>
      <c r="R310" s="183" t="s">
        <v>18</v>
      </c>
      <c r="S310" s="183" t="s">
        <v>817</v>
      </c>
      <c r="T310" s="184"/>
      <c r="U310" s="184"/>
      <c r="V310" s="184"/>
      <c r="W310" s="184"/>
      <c r="X310" s="179"/>
      <c r="Y310" s="179"/>
      <c r="Z310" s="179"/>
      <c r="AA310" s="179"/>
    </row>
    <row r="311" spans="1:27">
      <c r="A311" s="181">
        <f ca="1">IFERROR(__xludf.DUMMYFUNCTION("IFS(B311="""","""",ISDATE(B311)=TRUE,B311,ISDATE(B311)=FALSE,TO_DATE(DATEVALUE(regexextract(B311,""\d+/\d+/\d+""))))"),44796)</f>
        <v>44796</v>
      </c>
      <c r="B311" s="182" t="s">
        <v>529</v>
      </c>
      <c r="C311" s="183" t="s">
        <v>4654</v>
      </c>
      <c r="D311" s="183">
        <v>3.5</v>
      </c>
      <c r="E311" s="183" t="s">
        <v>4657</v>
      </c>
      <c r="F311" s="183" t="s">
        <v>4</v>
      </c>
      <c r="G311" s="183" t="s">
        <v>727</v>
      </c>
      <c r="H311" s="183" t="s">
        <v>4658</v>
      </c>
      <c r="I311" s="183">
        <v>3</v>
      </c>
      <c r="J311" s="183" t="s">
        <v>1187</v>
      </c>
      <c r="K311" s="184" t="s">
        <v>4659</v>
      </c>
      <c r="L311" s="183">
        <v>4</v>
      </c>
      <c r="M311" s="183"/>
      <c r="N311" s="187"/>
      <c r="O311" s="183" t="s">
        <v>452</v>
      </c>
      <c r="P311" s="183" t="s">
        <v>4660</v>
      </c>
      <c r="Q311" s="184"/>
      <c r="R311" s="183" t="s">
        <v>24</v>
      </c>
      <c r="S311" s="183"/>
      <c r="T311" s="184"/>
      <c r="U311" s="184"/>
      <c r="V311" s="184"/>
      <c r="W311" s="184"/>
      <c r="X311" s="179"/>
      <c r="Y311" s="179"/>
      <c r="Z311" s="179"/>
      <c r="AA311" s="179"/>
    </row>
    <row r="312" spans="1:27">
      <c r="A312" s="181">
        <f ca="1">IFERROR(__xludf.DUMMYFUNCTION("IFS(B312="""","""",ISDATE(B312)=TRUE,B312,ISDATE(B312)=FALSE,TO_DATE(DATEVALUE(regexextract(B312,""\d+/\d+/\d+""))))"),44791)</f>
        <v>44791</v>
      </c>
      <c r="B312" s="182" t="s">
        <v>10182</v>
      </c>
      <c r="C312" s="183" t="s">
        <v>314</v>
      </c>
      <c r="D312" s="184">
        <v>5</v>
      </c>
      <c r="E312" s="183" t="s">
        <v>1726</v>
      </c>
      <c r="F312" s="183" t="s">
        <v>3</v>
      </c>
      <c r="G312" s="183" t="s">
        <v>725</v>
      </c>
      <c r="H312" s="184" t="s">
        <v>10523</v>
      </c>
      <c r="I312" s="184">
        <v>5</v>
      </c>
      <c r="J312" s="183" t="s">
        <v>462</v>
      </c>
      <c r="K312" s="184" t="s">
        <v>1728</v>
      </c>
      <c r="L312" s="184">
        <v>5</v>
      </c>
      <c r="M312" s="184" t="s">
        <v>478</v>
      </c>
      <c r="N312" s="186">
        <v>15000000</v>
      </c>
      <c r="O312" s="183" t="s">
        <v>465</v>
      </c>
      <c r="P312" s="183" t="s">
        <v>1729</v>
      </c>
      <c r="Q312" s="184"/>
      <c r="R312" s="184" t="s">
        <v>18</v>
      </c>
      <c r="S312" s="184" t="s">
        <v>1730</v>
      </c>
      <c r="T312" s="184"/>
      <c r="U312" s="184"/>
      <c r="V312" s="184"/>
      <c r="W312" s="184"/>
      <c r="X312" s="179"/>
      <c r="Y312" s="179"/>
      <c r="Z312" s="179"/>
      <c r="AA312" s="179"/>
    </row>
    <row r="313" spans="1:27">
      <c r="A313" s="181">
        <f ca="1">IFERROR(__xludf.DUMMYFUNCTION("IFS(B313="""","""",ISDATE(B313)=TRUE,B313,ISDATE(B313)=FALSE,TO_DATE(DATEVALUE(regexextract(B313,""\d+/\d+/\d+""))))"),44791)</f>
        <v>44791</v>
      </c>
      <c r="B313" s="182" t="s">
        <v>10182</v>
      </c>
      <c r="C313" s="183" t="s">
        <v>10524</v>
      </c>
      <c r="D313" s="184">
        <v>3</v>
      </c>
      <c r="E313" s="183" t="s">
        <v>9279</v>
      </c>
      <c r="F313" s="183" t="s">
        <v>3</v>
      </c>
      <c r="G313" s="183" t="s">
        <v>725</v>
      </c>
      <c r="H313" s="184" t="s">
        <v>10525</v>
      </c>
      <c r="I313" s="184">
        <v>3</v>
      </c>
      <c r="J313" s="183" t="s">
        <v>488</v>
      </c>
      <c r="K313" s="184" t="s">
        <v>10526</v>
      </c>
      <c r="L313" s="184">
        <v>3</v>
      </c>
      <c r="M313" s="183" t="s">
        <v>784</v>
      </c>
      <c r="N313" s="192">
        <v>500000</v>
      </c>
      <c r="O313" s="183" t="s">
        <v>452</v>
      </c>
      <c r="P313" s="183" t="s">
        <v>10527</v>
      </c>
      <c r="Q313" s="183"/>
      <c r="R313" s="184" t="s">
        <v>24</v>
      </c>
      <c r="S313" s="184"/>
      <c r="T313" s="184"/>
      <c r="U313" s="184"/>
      <c r="V313" s="184"/>
      <c r="W313" s="184"/>
      <c r="X313" s="179"/>
      <c r="Y313" s="179"/>
      <c r="Z313" s="179"/>
      <c r="AA313" s="179"/>
    </row>
    <row r="314" spans="1:27">
      <c r="A314" s="181">
        <f ca="1">IFERROR(__xludf.DUMMYFUNCTION("IFS(B314="""","""",ISDATE(B314)=TRUE,B314,ISDATE(B314)=FALSE,TO_DATE(DATEVALUE(regexextract(B314,""\d+/\d+/\d+""))))"),44791)</f>
        <v>44791</v>
      </c>
      <c r="B314" s="182" t="s">
        <v>10182</v>
      </c>
      <c r="C314" s="183" t="s">
        <v>332</v>
      </c>
      <c r="D314" s="184">
        <v>4</v>
      </c>
      <c r="E314" s="184" t="s">
        <v>9695</v>
      </c>
      <c r="F314" s="183" t="s">
        <v>3</v>
      </c>
      <c r="G314" s="183" t="s">
        <v>725</v>
      </c>
      <c r="H314" s="184" t="s">
        <v>10528</v>
      </c>
      <c r="I314" s="184">
        <v>4</v>
      </c>
      <c r="J314" s="183" t="s">
        <v>488</v>
      </c>
      <c r="K314" s="184"/>
      <c r="L314" s="184">
        <v>4</v>
      </c>
      <c r="M314" s="183"/>
      <c r="N314" s="187"/>
      <c r="O314" s="183" t="s">
        <v>452</v>
      </c>
      <c r="P314" s="183" t="s">
        <v>9697</v>
      </c>
      <c r="Q314" s="184" t="s">
        <v>9698</v>
      </c>
      <c r="R314" s="184" t="s">
        <v>18</v>
      </c>
      <c r="S314" s="184"/>
      <c r="T314" s="184"/>
      <c r="U314" s="184"/>
      <c r="V314" s="184"/>
      <c r="W314" s="184"/>
      <c r="X314" s="179"/>
      <c r="Y314" s="179"/>
      <c r="Z314" s="179"/>
      <c r="AA314" s="179"/>
    </row>
    <row r="315" spans="1:27">
      <c r="A315" s="181">
        <f ca="1">IFERROR(__xludf.DUMMYFUNCTION("IFS(B315="""","""",ISDATE(B315)=TRUE,B315,ISDATE(B315)=FALSE,TO_DATE(DATEVALUE(regexextract(B315,""\d+/\d+/\d+""))))"),44782)</f>
        <v>44782</v>
      </c>
      <c r="B315" s="182" t="s">
        <v>10188</v>
      </c>
      <c r="C315" s="183" t="s">
        <v>299</v>
      </c>
      <c r="D315" s="183">
        <v>3.5</v>
      </c>
      <c r="E315" s="183" t="s">
        <v>4665</v>
      </c>
      <c r="F315" s="183" t="s">
        <v>4</v>
      </c>
      <c r="G315" s="183" t="s">
        <v>460</v>
      </c>
      <c r="H315" s="183" t="s">
        <v>4666</v>
      </c>
      <c r="I315" s="183">
        <v>4</v>
      </c>
      <c r="J315" s="183" t="s">
        <v>462</v>
      </c>
      <c r="K315" s="183"/>
      <c r="L315" s="183">
        <v>3</v>
      </c>
      <c r="M315" s="183" t="s">
        <v>478</v>
      </c>
      <c r="N315" s="185" t="s">
        <v>4667</v>
      </c>
      <c r="O315" s="183" t="s">
        <v>452</v>
      </c>
      <c r="P315" s="183" t="s">
        <v>452</v>
      </c>
      <c r="Q315" s="184"/>
      <c r="R315" s="183" t="s">
        <v>20</v>
      </c>
      <c r="S315" s="184" t="s">
        <v>4668</v>
      </c>
      <c r="T315" s="184"/>
      <c r="U315" s="184"/>
      <c r="V315" s="184"/>
      <c r="W315" s="184"/>
      <c r="X315" s="179"/>
      <c r="Y315" s="179"/>
      <c r="Z315" s="179"/>
      <c r="AA315" s="179"/>
    </row>
    <row r="316" spans="1:27">
      <c r="A316" s="181">
        <f ca="1">IFERROR(__xludf.DUMMYFUNCTION("IFS(B316="""","""",ISDATE(B316)=TRUE,B316,ISDATE(B316)=FALSE,TO_DATE(DATEVALUE(regexextract(B316,""\d+/\d+/\d+""))))"),44796)</f>
        <v>44796</v>
      </c>
      <c r="B316" s="182" t="s">
        <v>529</v>
      </c>
      <c r="C316" s="183" t="s">
        <v>5927</v>
      </c>
      <c r="D316" s="183">
        <v>2.75</v>
      </c>
      <c r="E316" s="183" t="s">
        <v>5930</v>
      </c>
      <c r="F316" s="183" t="s">
        <v>4</v>
      </c>
      <c r="G316" s="183" t="s">
        <v>727</v>
      </c>
      <c r="H316" s="183" t="s">
        <v>10529</v>
      </c>
      <c r="I316" s="183">
        <v>3.5</v>
      </c>
      <c r="J316" s="183" t="s">
        <v>1237</v>
      </c>
      <c r="K316" s="183"/>
      <c r="L316" s="183">
        <v>2</v>
      </c>
      <c r="M316" s="184"/>
      <c r="N316" s="188"/>
      <c r="O316" s="183" t="s">
        <v>452</v>
      </c>
      <c r="P316" s="183" t="s">
        <v>5932</v>
      </c>
      <c r="Q316" s="183"/>
      <c r="R316" s="183" t="s">
        <v>24</v>
      </c>
      <c r="S316" s="183"/>
      <c r="T316" s="184"/>
      <c r="U316" s="184"/>
      <c r="V316" s="184"/>
      <c r="W316" s="184"/>
      <c r="X316" s="179"/>
      <c r="Y316" s="179"/>
      <c r="Z316" s="179"/>
      <c r="AA316" s="179"/>
    </row>
    <row r="317" spans="1:27">
      <c r="A317" s="181">
        <f ca="1">IFERROR(__xludf.DUMMYFUNCTION("IFS(B317="""","""",ISDATE(B317)=TRUE,B317,ISDATE(B317)=FALSE,TO_DATE(DATEVALUE(regexextract(B317,""\d+/\d+/\d+""))))"),44784)</f>
        <v>44784</v>
      </c>
      <c r="B317" s="182" t="s">
        <v>10173</v>
      </c>
      <c r="C317" s="183" t="s">
        <v>411</v>
      </c>
      <c r="D317" s="183">
        <v>4</v>
      </c>
      <c r="E317" s="184" t="s">
        <v>10140</v>
      </c>
      <c r="F317" s="183" t="s">
        <v>3</v>
      </c>
      <c r="G317" s="184" t="s">
        <v>460</v>
      </c>
      <c r="H317" s="184" t="s">
        <v>10141</v>
      </c>
      <c r="I317" s="183">
        <v>4</v>
      </c>
      <c r="J317" s="184" t="s">
        <v>488</v>
      </c>
      <c r="K317" s="184" t="s">
        <v>10142</v>
      </c>
      <c r="L317" s="183">
        <v>4</v>
      </c>
      <c r="M317" s="184" t="s">
        <v>478</v>
      </c>
      <c r="N317" s="188">
        <v>8000000</v>
      </c>
      <c r="O317" s="184" t="s">
        <v>452</v>
      </c>
      <c r="P317" s="184" t="s">
        <v>10143</v>
      </c>
      <c r="Q317" s="184"/>
      <c r="R317" s="183" t="s">
        <v>18</v>
      </c>
      <c r="S317" s="183"/>
      <c r="T317" s="183"/>
      <c r="U317" s="183"/>
      <c r="V317" s="183"/>
      <c r="W317" s="184"/>
      <c r="X317" s="179"/>
      <c r="Y317" s="179"/>
      <c r="Z317" s="179"/>
      <c r="AA317" s="179"/>
    </row>
    <row r="318" spans="1:27">
      <c r="A318" s="181">
        <f ca="1">IFERROR(__xludf.DUMMYFUNCTION("IFS(B318="""","""",ISDATE(B318)=TRUE,B318,ISDATE(B318)=FALSE,TO_DATE(DATEVALUE(regexextract(B318,""\d+/\d+/\d+""))))"),44791)</f>
        <v>44791</v>
      </c>
      <c r="B318" s="182" t="s">
        <v>10182</v>
      </c>
      <c r="C318" s="183" t="s">
        <v>5903</v>
      </c>
      <c r="D318" s="183">
        <v>2.75</v>
      </c>
      <c r="E318" s="183" t="s">
        <v>10530</v>
      </c>
      <c r="F318" s="183" t="s">
        <v>4</v>
      </c>
      <c r="G318" s="183" t="s">
        <v>727</v>
      </c>
      <c r="H318" s="183" t="s">
        <v>10531</v>
      </c>
      <c r="I318" s="183">
        <v>2.5</v>
      </c>
      <c r="J318" s="183" t="s">
        <v>604</v>
      </c>
      <c r="K318" s="183" t="s">
        <v>10532</v>
      </c>
      <c r="L318" s="183">
        <v>3</v>
      </c>
      <c r="M318" s="183" t="s">
        <v>784</v>
      </c>
      <c r="N318" s="187">
        <v>1000000</v>
      </c>
      <c r="O318" s="183" t="s">
        <v>452</v>
      </c>
      <c r="P318" s="183" t="s">
        <v>452</v>
      </c>
      <c r="Q318" s="183" t="s">
        <v>2180</v>
      </c>
      <c r="R318" s="183" t="s">
        <v>24</v>
      </c>
      <c r="S318" s="183"/>
      <c r="T318" s="184"/>
      <c r="U318" s="184"/>
      <c r="V318" s="184"/>
      <c r="W318" s="184"/>
      <c r="X318" s="179"/>
      <c r="Y318" s="179"/>
      <c r="Z318" s="179"/>
      <c r="AA318" s="179"/>
    </row>
    <row r="319" spans="1:27">
      <c r="A319" s="181">
        <f ca="1">IFERROR(__xludf.DUMMYFUNCTION("IFS(B319="""","""",ISDATE(B319)=TRUE,B319,ISDATE(B319)=FALSE,TO_DATE(DATEVALUE(regexextract(B319,""\d+/\d+/\d+""))))"),44791)</f>
        <v>44791</v>
      </c>
      <c r="B319" s="182" t="s">
        <v>10182</v>
      </c>
      <c r="C319" s="183" t="s">
        <v>4727</v>
      </c>
      <c r="D319" s="183">
        <v>3.5</v>
      </c>
      <c r="E319" s="183" t="s">
        <v>10533</v>
      </c>
      <c r="F319" s="183" t="s">
        <v>4</v>
      </c>
      <c r="G319" s="183" t="s">
        <v>727</v>
      </c>
      <c r="H319" s="183" t="s">
        <v>10534</v>
      </c>
      <c r="I319" s="183">
        <v>3</v>
      </c>
      <c r="J319" s="183" t="s">
        <v>1281</v>
      </c>
      <c r="K319" s="183" t="s">
        <v>4732</v>
      </c>
      <c r="L319" s="183">
        <v>4</v>
      </c>
      <c r="M319" s="184" t="s">
        <v>451</v>
      </c>
      <c r="N319" s="186">
        <v>3000000</v>
      </c>
      <c r="O319" s="183" t="s">
        <v>452</v>
      </c>
      <c r="P319" s="183" t="s">
        <v>1119</v>
      </c>
      <c r="Q319" s="184"/>
      <c r="R319" s="183" t="s">
        <v>24</v>
      </c>
      <c r="S319" s="184"/>
      <c r="T319" s="184"/>
      <c r="U319" s="184"/>
      <c r="V319" s="184"/>
      <c r="W319" s="184"/>
      <c r="X319" s="179"/>
      <c r="Y319" s="179"/>
      <c r="Z319" s="179"/>
      <c r="AA319" s="179"/>
    </row>
    <row r="320" spans="1:27">
      <c r="A320" s="181">
        <f ca="1">IFERROR(__xludf.DUMMYFUNCTION("IFS(B320="""","""",ISDATE(B320)=TRUE,B320,ISDATE(B320)=FALSE,TO_DATE(DATEVALUE(regexextract(B320,""\d+/\d+/\d+""))))"),44791)</f>
        <v>44791</v>
      </c>
      <c r="B320" s="182" t="s">
        <v>10182</v>
      </c>
      <c r="C320" s="183" t="s">
        <v>5867</v>
      </c>
      <c r="D320" s="183">
        <v>2.75</v>
      </c>
      <c r="E320" s="183" t="s">
        <v>5870</v>
      </c>
      <c r="F320" s="183" t="s">
        <v>4</v>
      </c>
      <c r="G320" s="183" t="s">
        <v>727</v>
      </c>
      <c r="H320" s="183" t="s">
        <v>10535</v>
      </c>
      <c r="I320" s="183">
        <v>3.5</v>
      </c>
      <c r="J320" s="183" t="s">
        <v>1036</v>
      </c>
      <c r="K320" s="183" t="s">
        <v>5872</v>
      </c>
      <c r="L320" s="183">
        <v>2</v>
      </c>
      <c r="M320" s="183"/>
      <c r="N320" s="187"/>
      <c r="O320" s="183" t="s">
        <v>452</v>
      </c>
      <c r="P320" s="183" t="s">
        <v>10536</v>
      </c>
      <c r="Q320" s="183"/>
      <c r="R320" s="183" t="s">
        <v>24</v>
      </c>
      <c r="S320" s="183"/>
      <c r="T320" s="184"/>
      <c r="U320" s="184"/>
      <c r="V320" s="184"/>
      <c r="W320" s="184"/>
      <c r="X320" s="179"/>
      <c r="Y320" s="179"/>
      <c r="Z320" s="179"/>
      <c r="AA320" s="179"/>
    </row>
    <row r="321" spans="1:27">
      <c r="A321" s="181">
        <f ca="1">IFERROR(__xludf.DUMMYFUNCTION("IFS(B321="""","""",ISDATE(B321)=TRUE,B321,ISDATE(B321)=FALSE,TO_DATE(DATEVALUE(regexextract(B321,""\d+/\d+/\d+""))))"),44782)</f>
        <v>44782</v>
      </c>
      <c r="B321" s="182" t="s">
        <v>10188</v>
      </c>
      <c r="C321" s="183" t="s">
        <v>2549</v>
      </c>
      <c r="D321" s="183">
        <v>2.25</v>
      </c>
      <c r="E321" s="183" t="s">
        <v>2552</v>
      </c>
      <c r="F321" s="183" t="s">
        <v>5</v>
      </c>
      <c r="G321" s="183" t="s">
        <v>447</v>
      </c>
      <c r="H321" s="183" t="s">
        <v>10537</v>
      </c>
      <c r="I321" s="183">
        <v>2.5</v>
      </c>
      <c r="J321" s="183" t="s">
        <v>449</v>
      </c>
      <c r="K321" s="183" t="s">
        <v>10538</v>
      </c>
      <c r="L321" s="183">
        <v>2</v>
      </c>
      <c r="M321" s="183" t="s">
        <v>784</v>
      </c>
      <c r="N321" s="185">
        <v>5000000</v>
      </c>
      <c r="O321" s="183" t="s">
        <v>454</v>
      </c>
      <c r="P321" s="183" t="s">
        <v>452</v>
      </c>
      <c r="Q321" s="183"/>
      <c r="R321" s="183" t="s">
        <v>24</v>
      </c>
      <c r="S321" s="183"/>
      <c r="T321" s="184"/>
      <c r="U321" s="184"/>
      <c r="V321" s="184"/>
      <c r="W321" s="184"/>
      <c r="X321" s="179"/>
      <c r="Y321" s="179"/>
      <c r="Z321" s="179"/>
      <c r="AA321" s="179"/>
    </row>
    <row r="322" spans="1:27">
      <c r="A322" s="181">
        <f ca="1">IFERROR(__xludf.DUMMYFUNCTION("IFS(B322="""","""",ISDATE(B322)=TRUE,B322,ISDATE(B322)=FALSE,TO_DATE(DATEVALUE(regexextract(B322,""\d+/\d+/\d+""))))"),44796)</f>
        <v>44796</v>
      </c>
      <c r="B322" s="182" t="s">
        <v>529</v>
      </c>
      <c r="C322" s="183" t="s">
        <v>6589</v>
      </c>
      <c r="D322" s="184">
        <v>2.5</v>
      </c>
      <c r="E322" s="183" t="s">
        <v>6592</v>
      </c>
      <c r="F322" s="183" t="s">
        <v>4</v>
      </c>
      <c r="G322" s="183" t="s">
        <v>1457</v>
      </c>
      <c r="H322" s="184" t="s">
        <v>6593</v>
      </c>
      <c r="I322" s="184">
        <v>3</v>
      </c>
      <c r="J322" s="183" t="s">
        <v>1045</v>
      </c>
      <c r="K322" s="183" t="s">
        <v>6594</v>
      </c>
      <c r="L322" s="183">
        <v>2</v>
      </c>
      <c r="M322" s="183" t="s">
        <v>478</v>
      </c>
      <c r="N322" s="185">
        <v>6000</v>
      </c>
      <c r="O322" s="183" t="s">
        <v>452</v>
      </c>
      <c r="P322" s="183" t="s">
        <v>6595</v>
      </c>
      <c r="Q322" s="184"/>
      <c r="R322" s="184" t="s">
        <v>24</v>
      </c>
      <c r="S322" s="184"/>
      <c r="T322" s="184"/>
      <c r="U322" s="184"/>
      <c r="V322" s="184"/>
      <c r="W322" s="184"/>
      <c r="X322" s="179"/>
      <c r="Y322" s="179"/>
      <c r="Z322" s="179"/>
      <c r="AA322" s="179"/>
    </row>
    <row r="323" spans="1:27">
      <c r="A323" s="181">
        <f ca="1">IFERROR(__xludf.DUMMYFUNCTION("IFS(B323="""","""",ISDATE(B323)=TRUE,B323,ISDATE(B323)=FALSE,TO_DATE(DATEVALUE(regexextract(B323,""\d+/\d+/\d+""))))"),44796)</f>
        <v>44796</v>
      </c>
      <c r="B323" s="182" t="s">
        <v>529</v>
      </c>
      <c r="C323" s="183" t="s">
        <v>236</v>
      </c>
      <c r="D323" s="183">
        <v>4</v>
      </c>
      <c r="E323" s="183" t="s">
        <v>10539</v>
      </c>
      <c r="F323" s="183" t="s">
        <v>4</v>
      </c>
      <c r="G323" s="183" t="s">
        <v>727</v>
      </c>
      <c r="H323" s="184" t="s">
        <v>10540</v>
      </c>
      <c r="I323" s="183">
        <v>4</v>
      </c>
      <c r="J323" s="183" t="s">
        <v>1371</v>
      </c>
      <c r="K323" s="183" t="s">
        <v>3997</v>
      </c>
      <c r="L323" s="183">
        <v>4</v>
      </c>
      <c r="M323" s="183"/>
      <c r="N323" s="187"/>
      <c r="O323" s="183" t="s">
        <v>452</v>
      </c>
      <c r="P323" s="183" t="s">
        <v>3998</v>
      </c>
      <c r="Q323" s="183"/>
      <c r="R323" s="183" t="s">
        <v>18</v>
      </c>
      <c r="S323" s="183"/>
      <c r="T323" s="184"/>
      <c r="U323" s="184"/>
      <c r="V323" s="184"/>
      <c r="W323" s="184"/>
      <c r="X323" s="179"/>
      <c r="Y323" s="179"/>
      <c r="Z323" s="179"/>
      <c r="AA323" s="179"/>
    </row>
    <row r="324" spans="1:27">
      <c r="A324" s="181">
        <f ca="1">IFERROR(__xludf.DUMMYFUNCTION("IFS(B324="""","""",ISDATE(B324)=TRUE,B324,ISDATE(B324)=FALSE,TO_DATE(DATEVALUE(regexextract(B324,""\d+/\d+/\d+""))))"),44797)</f>
        <v>44797</v>
      </c>
      <c r="B324" s="182" t="s">
        <v>907</v>
      </c>
      <c r="C324" s="183" t="s">
        <v>10541</v>
      </c>
      <c r="D324" s="183">
        <v>3.25</v>
      </c>
      <c r="E324" s="183" t="s">
        <v>10542</v>
      </c>
      <c r="F324" s="183" t="s">
        <v>4</v>
      </c>
      <c r="G324" s="183" t="s">
        <v>727</v>
      </c>
      <c r="H324" s="184" t="s">
        <v>10543</v>
      </c>
      <c r="I324" s="183">
        <v>3.5</v>
      </c>
      <c r="J324" s="183" t="s">
        <v>449</v>
      </c>
      <c r="K324" s="183" t="s">
        <v>10544</v>
      </c>
      <c r="L324" s="183">
        <v>3</v>
      </c>
      <c r="M324" s="183" t="s">
        <v>478</v>
      </c>
      <c r="N324" s="187" t="s">
        <v>5052</v>
      </c>
      <c r="O324" s="183" t="s">
        <v>452</v>
      </c>
      <c r="P324" s="183" t="s">
        <v>452</v>
      </c>
      <c r="Q324" s="183"/>
      <c r="R324" s="183" t="s">
        <v>24</v>
      </c>
      <c r="S324" s="183"/>
      <c r="T324" s="184"/>
      <c r="U324" s="184"/>
      <c r="V324" s="184"/>
      <c r="W324" s="184"/>
      <c r="X324" s="179"/>
      <c r="Y324" s="179"/>
      <c r="Z324" s="179"/>
      <c r="AA324" s="179"/>
    </row>
    <row r="325" spans="1:27">
      <c r="A325" s="181">
        <f ca="1">IFERROR(__xludf.DUMMYFUNCTION("IFS(B325="""","""",ISDATE(B325)=TRUE,B325,ISDATE(B325)=FALSE,TO_DATE(DATEVALUE(regexextract(B325,""\d+/\d+/\d+""))))"),44796)</f>
        <v>44796</v>
      </c>
      <c r="B325" s="182" t="s">
        <v>529</v>
      </c>
      <c r="C325" s="183" t="s">
        <v>5783</v>
      </c>
      <c r="D325" s="183">
        <v>3</v>
      </c>
      <c r="E325" s="183" t="s">
        <v>5786</v>
      </c>
      <c r="F325" s="183" t="s">
        <v>4</v>
      </c>
      <c r="G325" s="183" t="s">
        <v>727</v>
      </c>
      <c r="H325" s="183"/>
      <c r="I325" s="183">
        <v>3</v>
      </c>
      <c r="J325" s="183" t="s">
        <v>1045</v>
      </c>
      <c r="K325" s="183" t="s">
        <v>5787</v>
      </c>
      <c r="L325" s="183">
        <v>3</v>
      </c>
      <c r="M325" s="183" t="s">
        <v>784</v>
      </c>
      <c r="N325" s="187">
        <v>205000</v>
      </c>
      <c r="O325" s="183" t="s">
        <v>465</v>
      </c>
      <c r="P325" s="183" t="s">
        <v>10545</v>
      </c>
      <c r="Q325" s="183"/>
      <c r="R325" s="183" t="s">
        <v>24</v>
      </c>
      <c r="S325" s="184"/>
      <c r="T325" s="184"/>
      <c r="U325" s="184"/>
      <c r="V325" s="184"/>
      <c r="W325" s="184"/>
      <c r="X325" s="179"/>
      <c r="Y325" s="179"/>
      <c r="Z325" s="179"/>
      <c r="AA325" s="179"/>
    </row>
    <row r="326" spans="1:27">
      <c r="A326" s="181">
        <f ca="1">IFERROR(__xludf.DUMMYFUNCTION("IFS(B326="""","""",ISDATE(B326)=TRUE,B326,ISDATE(B326)=FALSE,TO_DATE(DATEVALUE(regexextract(B326,""\d+/\d+/\d+""))))"),44791)</f>
        <v>44791</v>
      </c>
      <c r="B326" s="182" t="s">
        <v>10182</v>
      </c>
      <c r="C326" s="183" t="s">
        <v>354</v>
      </c>
      <c r="D326" s="183">
        <v>4.25</v>
      </c>
      <c r="E326" s="183" t="s">
        <v>10546</v>
      </c>
      <c r="F326" s="183" t="s">
        <v>3</v>
      </c>
      <c r="G326" s="183" t="s">
        <v>725</v>
      </c>
      <c r="H326" s="183" t="s">
        <v>10547</v>
      </c>
      <c r="I326" s="183">
        <v>4</v>
      </c>
      <c r="J326" s="183" t="s">
        <v>941</v>
      </c>
      <c r="K326" s="183"/>
      <c r="L326" s="183">
        <v>4.5</v>
      </c>
      <c r="M326" s="183"/>
      <c r="N326" s="187"/>
      <c r="O326" s="183" t="s">
        <v>452</v>
      </c>
      <c r="P326" s="183" t="s">
        <v>452</v>
      </c>
      <c r="Q326" s="183"/>
      <c r="R326" s="183" t="s">
        <v>18</v>
      </c>
      <c r="S326" s="183"/>
      <c r="T326" s="184"/>
      <c r="U326" s="184"/>
      <c r="V326" s="184"/>
      <c r="W326" s="184"/>
      <c r="X326" s="179"/>
      <c r="Y326" s="179"/>
      <c r="Z326" s="179"/>
      <c r="AA326" s="179"/>
    </row>
    <row r="327" spans="1:27">
      <c r="A327" s="181">
        <f ca="1">IFERROR(__xludf.DUMMYFUNCTION("IFS(B327="""","""",ISDATE(B327)=TRUE,B327,ISDATE(B327)=FALSE,TO_DATE(DATEVALUE(regexextract(B327,""\d+/\d+/\d+""))))"),44789)</f>
        <v>44789</v>
      </c>
      <c r="B327" s="182" t="s">
        <v>6450</v>
      </c>
      <c r="C327" s="183" t="s">
        <v>358</v>
      </c>
      <c r="D327" s="183">
        <v>4.25</v>
      </c>
      <c r="E327" s="183" t="s">
        <v>10548</v>
      </c>
      <c r="F327" s="183" t="s">
        <v>3</v>
      </c>
      <c r="G327" s="183" t="s">
        <v>725</v>
      </c>
      <c r="H327" s="183" t="s">
        <v>10549</v>
      </c>
      <c r="I327" s="183">
        <v>4.5</v>
      </c>
      <c r="J327" s="183" t="s">
        <v>941</v>
      </c>
      <c r="K327" s="183" t="s">
        <v>2025</v>
      </c>
      <c r="L327" s="183">
        <v>4</v>
      </c>
      <c r="M327" s="183" t="s">
        <v>478</v>
      </c>
      <c r="N327" s="187" t="s">
        <v>2026</v>
      </c>
      <c r="O327" s="183" t="s">
        <v>452</v>
      </c>
      <c r="P327" s="183" t="s">
        <v>452</v>
      </c>
      <c r="Q327" s="184"/>
      <c r="R327" s="183" t="s">
        <v>18</v>
      </c>
      <c r="S327" s="184" t="s">
        <v>2027</v>
      </c>
      <c r="T327" s="184"/>
      <c r="U327" s="184"/>
      <c r="V327" s="184"/>
      <c r="W327" s="184"/>
      <c r="X327" s="179"/>
      <c r="Y327" s="179"/>
      <c r="Z327" s="179"/>
      <c r="AA327" s="179"/>
    </row>
    <row r="328" spans="1:27">
      <c r="A328" s="181">
        <f ca="1">IFERROR(__xludf.DUMMYFUNCTION("IFS(B328="""","""",ISDATE(B328)=TRUE,B328,ISDATE(B328)=FALSE,TO_DATE(DATEVALUE(regexextract(B328,""\d+/\d+/\d+""))))"),44791)</f>
        <v>44791</v>
      </c>
      <c r="B328" s="182" t="s">
        <v>10182</v>
      </c>
      <c r="C328" s="183" t="s">
        <v>8526</v>
      </c>
      <c r="D328" s="184">
        <v>2.5</v>
      </c>
      <c r="E328" s="183" t="s">
        <v>8529</v>
      </c>
      <c r="F328" s="183" t="s">
        <v>3</v>
      </c>
      <c r="G328" s="183" t="s">
        <v>725</v>
      </c>
      <c r="H328" s="184" t="s">
        <v>10550</v>
      </c>
      <c r="I328" s="184">
        <v>3</v>
      </c>
      <c r="J328" s="183" t="s">
        <v>941</v>
      </c>
      <c r="K328" s="183"/>
      <c r="L328" s="183">
        <v>2</v>
      </c>
      <c r="M328" s="183"/>
      <c r="N328" s="185"/>
      <c r="O328" s="183" t="s">
        <v>452</v>
      </c>
      <c r="P328" s="183" t="s">
        <v>452</v>
      </c>
      <c r="Q328" s="183"/>
      <c r="R328" s="184" t="s">
        <v>24</v>
      </c>
      <c r="S328" s="184"/>
      <c r="T328" s="184"/>
      <c r="U328" s="184"/>
      <c r="V328" s="184"/>
      <c r="W328" s="184"/>
      <c r="X328" s="179"/>
      <c r="Y328" s="179"/>
      <c r="Z328" s="179"/>
      <c r="AA328" s="179"/>
    </row>
    <row r="329" spans="1:27">
      <c r="A329" s="181">
        <f ca="1">IFERROR(__xludf.DUMMYFUNCTION("IFS(B329="""","""",ISDATE(B329)=TRUE,B329,ISDATE(B329)=FALSE,TO_DATE(DATEVALUE(regexextract(B329,""\d+/\d+/\d+""))))"),44784)</f>
        <v>44784</v>
      </c>
      <c r="B329" s="182" t="s">
        <v>10173</v>
      </c>
      <c r="C329" s="183" t="s">
        <v>100</v>
      </c>
      <c r="D329" s="183">
        <v>3.5</v>
      </c>
      <c r="E329" s="183" t="s">
        <v>736</v>
      </c>
      <c r="F329" s="183" t="s">
        <v>5</v>
      </c>
      <c r="G329" s="183" t="s">
        <v>447</v>
      </c>
      <c r="H329" s="183" t="s">
        <v>10551</v>
      </c>
      <c r="I329" s="183">
        <v>3</v>
      </c>
      <c r="J329" s="183" t="s">
        <v>449</v>
      </c>
      <c r="K329" s="183" t="s">
        <v>10552</v>
      </c>
      <c r="L329" s="183">
        <v>4</v>
      </c>
      <c r="M329" s="184" t="s">
        <v>451</v>
      </c>
      <c r="N329" s="187">
        <v>5750000</v>
      </c>
      <c r="O329" s="183" t="s">
        <v>454</v>
      </c>
      <c r="P329" s="183" t="s">
        <v>739</v>
      </c>
      <c r="Q329" s="184" t="s">
        <v>740</v>
      </c>
      <c r="R329" s="183" t="s">
        <v>18</v>
      </c>
      <c r="S329" s="183" t="s">
        <v>741</v>
      </c>
      <c r="T329" s="184"/>
      <c r="U329" s="184"/>
      <c r="V329" s="184"/>
      <c r="W329" s="184"/>
      <c r="X329" s="179"/>
      <c r="Y329" s="179"/>
      <c r="Z329" s="179"/>
      <c r="AA329" s="179"/>
    </row>
    <row r="330" spans="1:27">
      <c r="A330" s="181">
        <f ca="1">IFERROR(__xludf.DUMMYFUNCTION("IFS(B330="""","""",ISDATE(B330)=TRUE,B330,ISDATE(B330)=FALSE,TO_DATE(DATEVALUE(regexextract(B330,""\d+/\d+/\d+""))))"),44784)</f>
        <v>44784</v>
      </c>
      <c r="B330" s="182" t="s">
        <v>10173</v>
      </c>
      <c r="C330" s="183" t="s">
        <v>124</v>
      </c>
      <c r="D330" s="183">
        <v>4</v>
      </c>
      <c r="E330" s="183" t="s">
        <v>882</v>
      </c>
      <c r="F330" s="183" t="s">
        <v>5</v>
      </c>
      <c r="G330" s="183" t="s">
        <v>447</v>
      </c>
      <c r="H330" s="183" t="s">
        <v>10553</v>
      </c>
      <c r="I330" s="183">
        <v>4</v>
      </c>
      <c r="J330" s="183" t="s">
        <v>449</v>
      </c>
      <c r="K330" s="183" t="s">
        <v>10554</v>
      </c>
      <c r="L330" s="183">
        <v>4</v>
      </c>
      <c r="M330" s="183" t="s">
        <v>885</v>
      </c>
      <c r="N330" s="187" t="s">
        <v>886</v>
      </c>
      <c r="O330" s="183" t="s">
        <v>452</v>
      </c>
      <c r="P330" s="183" t="s">
        <v>10555</v>
      </c>
      <c r="Q330" s="184"/>
      <c r="R330" s="183" t="s">
        <v>18</v>
      </c>
      <c r="S330" s="184"/>
      <c r="T330" s="184"/>
      <c r="U330" s="184"/>
      <c r="V330" s="184"/>
      <c r="W330" s="184"/>
      <c r="X330" s="179"/>
      <c r="Y330" s="179"/>
      <c r="Z330" s="179"/>
      <c r="AA330" s="179"/>
    </row>
    <row r="331" spans="1:27">
      <c r="A331" s="181">
        <f ca="1">IFERROR(__xludf.DUMMYFUNCTION("IFS(B331="""","""",ISDATE(B331)=TRUE,B331,ISDATE(B331)=FALSE,TO_DATE(DATEVALUE(regexextract(B331,""\d+/\d+/\d+""))))"),44796)</f>
        <v>44796</v>
      </c>
      <c r="B331" s="182" t="s">
        <v>529</v>
      </c>
      <c r="C331" s="183" t="s">
        <v>398</v>
      </c>
      <c r="D331" s="183">
        <v>4</v>
      </c>
      <c r="E331" s="183" t="s">
        <v>9963</v>
      </c>
      <c r="F331" s="183" t="s">
        <v>3</v>
      </c>
      <c r="G331" s="183" t="s">
        <v>460</v>
      </c>
      <c r="H331" s="183" t="s">
        <v>9964</v>
      </c>
      <c r="I331" s="183">
        <v>4</v>
      </c>
      <c r="J331" s="183" t="s">
        <v>462</v>
      </c>
      <c r="K331" s="183" t="s">
        <v>10556</v>
      </c>
      <c r="L331" s="183">
        <v>4</v>
      </c>
      <c r="M331" s="183" t="s">
        <v>451</v>
      </c>
      <c r="N331" s="185">
        <v>2000000</v>
      </c>
      <c r="O331" s="183" t="s">
        <v>452</v>
      </c>
      <c r="P331" s="183" t="s">
        <v>9966</v>
      </c>
      <c r="Q331" s="184"/>
      <c r="R331" s="183" t="s">
        <v>18</v>
      </c>
      <c r="S331" s="184"/>
      <c r="T331" s="184"/>
      <c r="U331" s="184"/>
      <c r="V331" s="184"/>
      <c r="W331" s="184"/>
      <c r="X331" s="179"/>
      <c r="Y331" s="179"/>
      <c r="Z331" s="179"/>
      <c r="AA331" s="179"/>
    </row>
    <row r="332" spans="1:27">
      <c r="A332" s="181">
        <f ca="1">IFERROR(__xludf.DUMMYFUNCTION("IFS(B332="""","""",ISDATE(B332)=TRUE,B332,ISDATE(B332)=FALSE,TO_DATE(DATEVALUE(regexextract(B332,""\d+/\d+/\d+""))))"),44797)</f>
        <v>44797</v>
      </c>
      <c r="B332" s="182" t="s">
        <v>907</v>
      </c>
      <c r="C332" s="183" t="s">
        <v>175</v>
      </c>
      <c r="D332" s="183">
        <v>4.25</v>
      </c>
      <c r="E332" s="183" t="s">
        <v>10557</v>
      </c>
      <c r="F332" s="183" t="s">
        <v>4</v>
      </c>
      <c r="G332" s="183" t="s">
        <v>727</v>
      </c>
      <c r="H332" s="183" t="s">
        <v>10558</v>
      </c>
      <c r="I332" s="183">
        <v>4.5</v>
      </c>
      <c r="J332" s="183" t="s">
        <v>449</v>
      </c>
      <c r="K332" s="183" t="s">
        <v>10559</v>
      </c>
      <c r="L332" s="183">
        <v>4</v>
      </c>
      <c r="M332" s="184" t="s">
        <v>923</v>
      </c>
      <c r="N332" s="188">
        <v>3000000</v>
      </c>
      <c r="O332" s="183" t="s">
        <v>452</v>
      </c>
      <c r="P332" s="183" t="s">
        <v>452</v>
      </c>
      <c r="Q332" s="184"/>
      <c r="R332" s="183" t="s">
        <v>18</v>
      </c>
      <c r="S332" s="183"/>
      <c r="T332" s="184"/>
      <c r="U332" s="184"/>
      <c r="V332" s="184"/>
      <c r="W332" s="184"/>
      <c r="X332" s="179"/>
      <c r="Y332" s="179"/>
      <c r="Z332" s="179"/>
      <c r="AA332" s="179"/>
    </row>
    <row r="333" spans="1:27">
      <c r="A333" s="181">
        <f ca="1">IFERROR(__xludf.DUMMYFUNCTION("IFS(B333="""","""",ISDATE(B333)=TRUE,B333,ISDATE(B333)=FALSE,TO_DATE(DATEVALUE(regexextract(B333,""\d+/\d+/\d+""))))"),44791)</f>
        <v>44791</v>
      </c>
      <c r="B333" s="182" t="s">
        <v>10182</v>
      </c>
      <c r="C333" s="183" t="s">
        <v>9604</v>
      </c>
      <c r="D333" s="183">
        <v>2.5</v>
      </c>
      <c r="E333" s="183" t="s">
        <v>9607</v>
      </c>
      <c r="F333" s="183" t="s">
        <v>4</v>
      </c>
      <c r="G333" s="183" t="s">
        <v>727</v>
      </c>
      <c r="H333" s="183" t="s">
        <v>10560</v>
      </c>
      <c r="I333" s="183">
        <v>3</v>
      </c>
      <c r="J333" s="183" t="s">
        <v>1298</v>
      </c>
      <c r="K333" s="183" t="s">
        <v>9609</v>
      </c>
      <c r="L333" s="183">
        <v>2</v>
      </c>
      <c r="M333" s="183"/>
      <c r="N333" s="187"/>
      <c r="O333" s="183" t="s">
        <v>452</v>
      </c>
      <c r="P333" s="183" t="s">
        <v>575</v>
      </c>
      <c r="Q333" s="183" t="s">
        <v>727</v>
      </c>
      <c r="R333" s="183" t="s">
        <v>23</v>
      </c>
      <c r="S333" s="184"/>
      <c r="T333" s="184"/>
      <c r="U333" s="184"/>
      <c r="V333" s="184"/>
      <c r="W333" s="184"/>
      <c r="X333" s="179"/>
      <c r="Y333" s="179"/>
      <c r="Z333" s="179"/>
      <c r="AA333" s="179"/>
    </row>
    <row r="334" spans="1:27">
      <c r="A334" s="181">
        <f ca="1">IFERROR(__xludf.DUMMYFUNCTION("IFS(B334="""","""",ISDATE(B334)=TRUE,B334,ISDATE(B334)=FALSE,TO_DATE(DATEVALUE(regexextract(B334,""\d+/\d+/\d+""))))"),44796)</f>
        <v>44796</v>
      </c>
      <c r="B334" s="189" t="s">
        <v>529</v>
      </c>
      <c r="C334" s="183" t="s">
        <v>300</v>
      </c>
      <c r="D334" s="184">
        <v>4.75</v>
      </c>
      <c r="E334" s="183" t="s">
        <v>1675</v>
      </c>
      <c r="F334" s="183" t="s">
        <v>3</v>
      </c>
      <c r="G334" s="183" t="s">
        <v>460</v>
      </c>
      <c r="H334" s="184" t="s">
        <v>1676</v>
      </c>
      <c r="I334" s="184">
        <v>4.5</v>
      </c>
      <c r="J334" s="183" t="s">
        <v>462</v>
      </c>
      <c r="K334" s="184" t="s">
        <v>1677</v>
      </c>
      <c r="L334" s="183">
        <v>5</v>
      </c>
      <c r="M334" s="184" t="s">
        <v>451</v>
      </c>
      <c r="N334" s="188">
        <v>10000000</v>
      </c>
      <c r="O334" s="183" t="s">
        <v>452</v>
      </c>
      <c r="P334" s="183" t="s">
        <v>1678</v>
      </c>
      <c r="Q334" s="184"/>
      <c r="R334" s="184" t="s">
        <v>18</v>
      </c>
      <c r="S334" s="184" t="s">
        <v>1679</v>
      </c>
      <c r="T334" s="184"/>
      <c r="U334" s="184"/>
      <c r="V334" s="184"/>
      <c r="W334" s="184"/>
      <c r="X334" s="179"/>
      <c r="Y334" s="179"/>
      <c r="Z334" s="179"/>
      <c r="AA334" s="179"/>
    </row>
    <row r="335" spans="1:27">
      <c r="A335" s="181">
        <f ca="1">IFERROR(__xludf.DUMMYFUNCTION("IFS(B335="""","""",ISDATE(B335)=TRUE,B335,ISDATE(B335)=FALSE,TO_DATE(DATEVALUE(regexextract(B335,""\d+/\d+/\d+""))))"),44796)</f>
        <v>44796</v>
      </c>
      <c r="B335" s="182" t="s">
        <v>529</v>
      </c>
      <c r="C335" s="183" t="s">
        <v>79</v>
      </c>
      <c r="D335" s="183">
        <v>3.75</v>
      </c>
      <c r="E335" s="183" t="s">
        <v>2382</v>
      </c>
      <c r="F335" s="183" t="s">
        <v>5</v>
      </c>
      <c r="G335" s="183" t="s">
        <v>460</v>
      </c>
      <c r="H335" s="183" t="s">
        <v>2383</v>
      </c>
      <c r="I335" s="183">
        <v>4</v>
      </c>
      <c r="J335" s="183" t="s">
        <v>462</v>
      </c>
      <c r="K335" s="183" t="s">
        <v>2384</v>
      </c>
      <c r="L335" s="183">
        <v>3.5</v>
      </c>
      <c r="M335" s="183" t="s">
        <v>451</v>
      </c>
      <c r="N335" s="187" t="s">
        <v>2385</v>
      </c>
      <c r="O335" s="183" t="s">
        <v>452</v>
      </c>
      <c r="P335" s="183" t="s">
        <v>10561</v>
      </c>
      <c r="Q335" s="184"/>
      <c r="R335" s="183" t="s">
        <v>20</v>
      </c>
      <c r="S335" s="183" t="s">
        <v>2387</v>
      </c>
      <c r="T335" s="184"/>
      <c r="U335" s="184"/>
      <c r="V335" s="184"/>
      <c r="W335" s="184"/>
      <c r="X335" s="179"/>
      <c r="Y335" s="179"/>
      <c r="Z335" s="179"/>
      <c r="AA335" s="179"/>
    </row>
    <row r="336" spans="1:27">
      <c r="A336" s="181">
        <f ca="1">IFERROR(__xludf.DUMMYFUNCTION("IFS(B336="""","""",ISDATE(B336)=TRUE,B336,ISDATE(B336)=FALSE,TO_DATE(DATEVALUE(regexextract(B336,""\d+/\d+/\d+""))))"),44796)</f>
        <v>44796</v>
      </c>
      <c r="B336" s="182" t="s">
        <v>529</v>
      </c>
      <c r="C336" s="183" t="s">
        <v>8927</v>
      </c>
      <c r="D336" s="184">
        <v>3.5</v>
      </c>
      <c r="E336" s="183" t="s">
        <v>8930</v>
      </c>
      <c r="F336" s="183" t="s">
        <v>3</v>
      </c>
      <c r="G336" s="183" t="s">
        <v>460</v>
      </c>
      <c r="H336" s="184" t="s">
        <v>8931</v>
      </c>
      <c r="I336" s="184">
        <v>3.5</v>
      </c>
      <c r="J336" s="183" t="s">
        <v>462</v>
      </c>
      <c r="K336" s="184" t="s">
        <v>8932</v>
      </c>
      <c r="L336" s="184">
        <v>3.5</v>
      </c>
      <c r="M336" s="184" t="s">
        <v>478</v>
      </c>
      <c r="N336" s="190">
        <v>30000000</v>
      </c>
      <c r="O336" s="183" t="s">
        <v>452</v>
      </c>
      <c r="P336" s="183" t="s">
        <v>452</v>
      </c>
      <c r="Q336" s="183"/>
      <c r="R336" s="184" t="s">
        <v>24</v>
      </c>
      <c r="S336" s="184"/>
      <c r="T336" s="184"/>
      <c r="U336" s="184"/>
      <c r="V336" s="184"/>
      <c r="W336" s="184"/>
      <c r="X336" s="179"/>
      <c r="Y336" s="179"/>
      <c r="Z336" s="179"/>
      <c r="AA336" s="179"/>
    </row>
    <row r="337" spans="1:27">
      <c r="A337" s="181">
        <f ca="1">IFERROR(__xludf.DUMMYFUNCTION("IFS(B337="""","""",ISDATE(B337)=TRUE,B337,ISDATE(B337)=FALSE,TO_DATE(DATEVALUE(regexextract(B337,""\d+/\d+/\d+""))))"),44796)</f>
        <v>44796</v>
      </c>
      <c r="B337" s="182" t="s">
        <v>529</v>
      </c>
      <c r="C337" s="183" t="s">
        <v>4776</v>
      </c>
      <c r="D337" s="184">
        <v>3.5</v>
      </c>
      <c r="E337" s="183" t="s">
        <v>4779</v>
      </c>
      <c r="F337" s="183" t="s">
        <v>4</v>
      </c>
      <c r="G337" s="183" t="s">
        <v>727</v>
      </c>
      <c r="H337" s="184" t="s">
        <v>10562</v>
      </c>
      <c r="I337" s="184">
        <v>4</v>
      </c>
      <c r="J337" s="183" t="s">
        <v>1045</v>
      </c>
      <c r="K337" s="184" t="s">
        <v>4781</v>
      </c>
      <c r="L337" s="184">
        <v>3</v>
      </c>
      <c r="M337" s="183"/>
      <c r="N337" s="187"/>
      <c r="O337" s="183" t="s">
        <v>452</v>
      </c>
      <c r="P337" s="183" t="s">
        <v>452</v>
      </c>
      <c r="Q337" s="184"/>
      <c r="R337" s="184" t="s">
        <v>24</v>
      </c>
      <c r="S337" s="184"/>
      <c r="T337" s="184"/>
      <c r="U337" s="184"/>
      <c r="V337" s="184"/>
      <c r="W337" s="184"/>
      <c r="X337" s="179"/>
      <c r="Y337" s="179"/>
      <c r="Z337" s="179"/>
      <c r="AA337" s="179"/>
    </row>
    <row r="338" spans="1:27">
      <c r="A338" s="181">
        <f ca="1">IFERROR(__xludf.DUMMYFUNCTION("IFS(B338="""","""",ISDATE(B338)=TRUE,B338,ISDATE(B338)=FALSE,TO_DATE(DATEVALUE(regexextract(B338,""\d+/\d+/\d+""))))"),44796)</f>
        <v>44796</v>
      </c>
      <c r="B338" s="182" t="s">
        <v>529</v>
      </c>
      <c r="C338" s="183" t="s">
        <v>7860</v>
      </c>
      <c r="D338" s="183">
        <v>1.5</v>
      </c>
      <c r="E338" s="183" t="s">
        <v>7863</v>
      </c>
      <c r="F338" s="183" t="s">
        <v>4</v>
      </c>
      <c r="G338" s="183" t="s">
        <v>727</v>
      </c>
      <c r="H338" s="183" t="s">
        <v>10563</v>
      </c>
      <c r="I338" s="183">
        <v>2</v>
      </c>
      <c r="J338" s="183" t="s">
        <v>1045</v>
      </c>
      <c r="K338" s="183" t="s">
        <v>7865</v>
      </c>
      <c r="L338" s="183">
        <v>1</v>
      </c>
      <c r="M338" s="183"/>
      <c r="N338" s="185"/>
      <c r="O338" s="183" t="s">
        <v>465</v>
      </c>
      <c r="P338" s="183" t="s">
        <v>10564</v>
      </c>
      <c r="Q338" s="183"/>
      <c r="R338" s="183" t="s">
        <v>24</v>
      </c>
      <c r="S338" s="183"/>
      <c r="T338" s="184"/>
      <c r="U338" s="184"/>
      <c r="V338" s="184"/>
      <c r="W338" s="184"/>
      <c r="X338" s="179"/>
      <c r="Y338" s="179"/>
      <c r="Z338" s="179"/>
      <c r="AA338" s="179"/>
    </row>
    <row r="339" spans="1:27">
      <c r="A339" s="181">
        <f ca="1">IFERROR(__xludf.DUMMYFUNCTION("IFS(B339="""","""",ISDATE(B339)=TRUE,B339,ISDATE(B339)=FALSE,TO_DATE(DATEVALUE(regexextract(B339,""\d+/\d+/\d+""))))"),44796)</f>
        <v>44796</v>
      </c>
      <c r="B339" s="182" t="s">
        <v>529</v>
      </c>
      <c r="C339" s="183" t="s">
        <v>7443</v>
      </c>
      <c r="D339" s="184">
        <v>2</v>
      </c>
      <c r="E339" s="183" t="s">
        <v>7446</v>
      </c>
      <c r="F339" s="183" t="s">
        <v>4</v>
      </c>
      <c r="G339" s="183" t="s">
        <v>727</v>
      </c>
      <c r="H339" s="184" t="s">
        <v>10565</v>
      </c>
      <c r="I339" s="184">
        <v>2</v>
      </c>
      <c r="J339" s="183" t="s">
        <v>1045</v>
      </c>
      <c r="K339" s="184" t="s">
        <v>7448</v>
      </c>
      <c r="L339" s="184">
        <v>2</v>
      </c>
      <c r="M339" s="184" t="s">
        <v>451</v>
      </c>
      <c r="N339" s="188">
        <v>2000000</v>
      </c>
      <c r="O339" s="183" t="s">
        <v>452</v>
      </c>
      <c r="P339" s="183" t="s">
        <v>7449</v>
      </c>
      <c r="Q339" s="183"/>
      <c r="R339" s="184" t="s">
        <v>24</v>
      </c>
      <c r="S339" s="184"/>
      <c r="T339" s="184"/>
      <c r="U339" s="184"/>
      <c r="V339" s="184"/>
      <c r="W339" s="184"/>
      <c r="X339" s="179"/>
      <c r="Y339" s="179"/>
      <c r="Z339" s="179"/>
      <c r="AA339" s="179"/>
    </row>
    <row r="340" spans="1:27">
      <c r="A340" s="181">
        <f ca="1">IFERROR(__xludf.DUMMYFUNCTION("IFS(B340="""","""",ISDATE(B340)=TRUE,B340,ISDATE(B340)=FALSE,TO_DATE(DATEVALUE(regexextract(B340,""\d+/\d+/\d+""))))"),44791)</f>
        <v>44791</v>
      </c>
      <c r="B340" s="182" t="s">
        <v>10182</v>
      </c>
      <c r="C340" s="183" t="s">
        <v>5834</v>
      </c>
      <c r="D340" s="184">
        <v>2.75</v>
      </c>
      <c r="E340" s="183" t="s">
        <v>5837</v>
      </c>
      <c r="F340" s="183" t="s">
        <v>4</v>
      </c>
      <c r="G340" s="183" t="s">
        <v>727</v>
      </c>
      <c r="H340" s="184" t="s">
        <v>10566</v>
      </c>
      <c r="I340" s="184">
        <v>2.5</v>
      </c>
      <c r="J340" s="183" t="s">
        <v>990</v>
      </c>
      <c r="K340" s="183" t="s">
        <v>5839</v>
      </c>
      <c r="L340" s="183">
        <v>3</v>
      </c>
      <c r="M340" s="183" t="s">
        <v>478</v>
      </c>
      <c r="N340" s="185">
        <v>5000000</v>
      </c>
      <c r="O340" s="183" t="s">
        <v>452</v>
      </c>
      <c r="P340" s="183" t="s">
        <v>452</v>
      </c>
      <c r="Q340" s="184"/>
      <c r="R340" s="184" t="s">
        <v>24</v>
      </c>
      <c r="S340" s="184"/>
      <c r="T340" s="184"/>
      <c r="U340" s="184"/>
      <c r="V340" s="184"/>
      <c r="W340" s="184"/>
      <c r="X340" s="179"/>
      <c r="Y340" s="179"/>
      <c r="Z340" s="179"/>
      <c r="AA340" s="179"/>
    </row>
    <row r="341" spans="1:27">
      <c r="A341" s="181">
        <f ca="1">IFERROR(__xludf.DUMMYFUNCTION("IFS(B341="""","""",ISDATE(B341)=TRUE,B341,ISDATE(B341)=FALSE,TO_DATE(DATEVALUE(regexextract(B341,""\d+/\d+/\d+""))))"),44796)</f>
        <v>44796</v>
      </c>
      <c r="B341" s="182" t="s">
        <v>529</v>
      </c>
      <c r="C341" s="183" t="s">
        <v>351</v>
      </c>
      <c r="D341" s="184">
        <v>4</v>
      </c>
      <c r="E341" s="183" t="s">
        <v>10567</v>
      </c>
      <c r="F341" s="183" t="s">
        <v>3</v>
      </c>
      <c r="G341" s="183" t="s">
        <v>460</v>
      </c>
      <c r="H341" s="184" t="s">
        <v>9732</v>
      </c>
      <c r="I341" s="184">
        <v>4</v>
      </c>
      <c r="J341" s="183" t="s">
        <v>462</v>
      </c>
      <c r="K341" s="183" t="s">
        <v>9733</v>
      </c>
      <c r="L341" s="183">
        <v>4</v>
      </c>
      <c r="M341" s="183"/>
      <c r="N341" s="187"/>
      <c r="O341" s="183" t="s">
        <v>465</v>
      </c>
      <c r="P341" s="183" t="s">
        <v>9734</v>
      </c>
      <c r="Q341" s="184"/>
      <c r="R341" s="184" t="s">
        <v>18</v>
      </c>
      <c r="S341" s="184"/>
      <c r="T341" s="184"/>
      <c r="U341" s="184"/>
      <c r="V341" s="184"/>
      <c r="W341" s="184"/>
      <c r="X341" s="179"/>
      <c r="Y341" s="179"/>
      <c r="Z341" s="179"/>
      <c r="AA341" s="179"/>
    </row>
    <row r="342" spans="1:27">
      <c r="A342" s="181">
        <f ca="1">IFERROR(__xludf.DUMMYFUNCTION("IFS(B342="""","""",ISDATE(B342)=TRUE,B342,ISDATE(B342)=FALSE,TO_DATE(DATEVALUE(regexextract(B342,""\d+/\d+/\d+""))))"),44796)</f>
        <v>44796</v>
      </c>
      <c r="B342" s="182" t="s">
        <v>529</v>
      </c>
      <c r="C342" s="183" t="s">
        <v>8073</v>
      </c>
      <c r="D342" s="184">
        <v>1.25</v>
      </c>
      <c r="E342" s="183" t="s">
        <v>8076</v>
      </c>
      <c r="F342" s="183" t="s">
        <v>4</v>
      </c>
      <c r="G342" s="183" t="s">
        <v>727</v>
      </c>
      <c r="H342" s="184" t="s">
        <v>10568</v>
      </c>
      <c r="I342" s="184">
        <v>1</v>
      </c>
      <c r="J342" s="183" t="s">
        <v>1045</v>
      </c>
      <c r="K342" s="183" t="s">
        <v>8078</v>
      </c>
      <c r="L342" s="183">
        <v>1.5</v>
      </c>
      <c r="M342" s="183" t="s">
        <v>451</v>
      </c>
      <c r="N342" s="185" t="s">
        <v>8079</v>
      </c>
      <c r="O342" s="183" t="s">
        <v>454</v>
      </c>
      <c r="P342" s="183" t="s">
        <v>3420</v>
      </c>
      <c r="Q342" s="183"/>
      <c r="R342" s="184" t="s">
        <v>24</v>
      </c>
      <c r="S342" s="184"/>
      <c r="T342" s="184"/>
      <c r="U342" s="184"/>
      <c r="V342" s="184"/>
      <c r="W342" s="184"/>
      <c r="X342" s="179"/>
      <c r="Y342" s="179"/>
      <c r="Z342" s="179"/>
      <c r="AA342" s="179"/>
    </row>
    <row r="343" spans="1:27">
      <c r="A343" s="181">
        <f ca="1">IFERROR(__xludf.DUMMYFUNCTION("IFS(B343="""","""",ISDATE(B343)=TRUE,B343,ISDATE(B343)=FALSE,TO_DATE(DATEVALUE(regexextract(B343,""\d+/\d+/\d+""))))"),44784)</f>
        <v>44784</v>
      </c>
      <c r="B343" s="182" t="s">
        <v>10173</v>
      </c>
      <c r="C343" s="183" t="s">
        <v>90</v>
      </c>
      <c r="D343" s="183">
        <v>3.75</v>
      </c>
      <c r="E343" s="183" t="s">
        <v>638</v>
      </c>
      <c r="F343" s="183" t="s">
        <v>5</v>
      </c>
      <c r="G343" s="183" t="s">
        <v>447</v>
      </c>
      <c r="H343" s="183" t="s">
        <v>10569</v>
      </c>
      <c r="I343" s="183">
        <v>3.5</v>
      </c>
      <c r="J343" s="183" t="s">
        <v>622</v>
      </c>
      <c r="K343" s="183"/>
      <c r="L343" s="183">
        <v>4</v>
      </c>
      <c r="M343" s="183"/>
      <c r="N343" s="185"/>
      <c r="O343" s="183" t="s">
        <v>452</v>
      </c>
      <c r="P343" s="183" t="s">
        <v>575</v>
      </c>
      <c r="Q343" s="184" t="s">
        <v>640</v>
      </c>
      <c r="R343" s="183" t="s">
        <v>20</v>
      </c>
      <c r="S343" s="184" t="s">
        <v>641</v>
      </c>
      <c r="T343" s="184"/>
      <c r="U343" s="184"/>
      <c r="V343" s="184"/>
      <c r="W343" s="184"/>
      <c r="X343" s="179"/>
      <c r="Y343" s="179"/>
      <c r="Z343" s="179"/>
      <c r="AA343" s="179"/>
    </row>
    <row r="344" spans="1:27">
      <c r="A344" s="181">
        <f ca="1">IFERROR(__xludf.DUMMYFUNCTION("IFS(B344="""","""",ISDATE(B344)=TRUE,B344,ISDATE(B344)=FALSE,TO_DATE(DATEVALUE(regexextract(B344,""\d+/\d+/\d+""))))"),44796)</f>
        <v>44796</v>
      </c>
      <c r="B344" s="182" t="s">
        <v>529</v>
      </c>
      <c r="C344" s="183" t="s">
        <v>352</v>
      </c>
      <c r="D344" s="183">
        <v>4</v>
      </c>
      <c r="E344" s="183" t="s">
        <v>3608</v>
      </c>
      <c r="F344" s="183" t="s">
        <v>5</v>
      </c>
      <c r="G344" s="183" t="s">
        <v>460</v>
      </c>
      <c r="H344" s="183" t="s">
        <v>10570</v>
      </c>
      <c r="I344" s="183">
        <v>4</v>
      </c>
      <c r="J344" s="183" t="s">
        <v>462</v>
      </c>
      <c r="K344" s="183" t="s">
        <v>3610</v>
      </c>
      <c r="L344" s="183">
        <v>4</v>
      </c>
      <c r="M344" s="183"/>
      <c r="N344" s="187"/>
      <c r="O344" s="183" t="s">
        <v>452</v>
      </c>
      <c r="P344" s="183" t="s">
        <v>3611</v>
      </c>
      <c r="Q344" s="183"/>
      <c r="R344" s="183" t="s">
        <v>20</v>
      </c>
      <c r="S344" s="183" t="s">
        <v>3612</v>
      </c>
      <c r="T344" s="184"/>
      <c r="U344" s="184"/>
      <c r="V344" s="184"/>
      <c r="W344" s="184"/>
      <c r="X344" s="179"/>
      <c r="Y344" s="179"/>
      <c r="Z344" s="179"/>
      <c r="AA344" s="179"/>
    </row>
    <row r="345" spans="1:27">
      <c r="A345" s="181">
        <f ca="1">IFERROR(__xludf.DUMMYFUNCTION("IFS(B345="""","""",ISDATE(B345)=TRUE,B345,ISDATE(B345)=FALSE,TO_DATE(DATEVALUE(regexextract(B345,""\d+/\d+/\d+""))))"),44791)</f>
        <v>44791</v>
      </c>
      <c r="B345" s="182" t="s">
        <v>10182</v>
      </c>
      <c r="C345" s="183" t="s">
        <v>4322</v>
      </c>
      <c r="D345" s="184">
        <v>3.75</v>
      </c>
      <c r="E345" s="183" t="s">
        <v>10571</v>
      </c>
      <c r="F345" s="183" t="s">
        <v>4</v>
      </c>
      <c r="G345" s="183" t="s">
        <v>727</v>
      </c>
      <c r="H345" s="184" t="s">
        <v>10572</v>
      </c>
      <c r="I345" s="184">
        <v>3.5</v>
      </c>
      <c r="J345" s="183" t="s">
        <v>1298</v>
      </c>
      <c r="K345" s="183" t="s">
        <v>4327</v>
      </c>
      <c r="L345" s="183">
        <v>4</v>
      </c>
      <c r="M345" s="183" t="s">
        <v>451</v>
      </c>
      <c r="N345" s="187" t="s">
        <v>943</v>
      </c>
      <c r="O345" s="183" t="s">
        <v>452</v>
      </c>
      <c r="P345" s="183" t="s">
        <v>4328</v>
      </c>
      <c r="Q345" s="184"/>
      <c r="R345" s="184" t="s">
        <v>24</v>
      </c>
      <c r="S345" s="184"/>
      <c r="T345" s="184"/>
      <c r="U345" s="184"/>
      <c r="V345" s="184"/>
      <c r="W345" s="184"/>
      <c r="X345" s="179"/>
      <c r="Y345" s="179"/>
      <c r="Z345" s="179"/>
      <c r="AA345" s="179"/>
    </row>
    <row r="346" spans="1:27">
      <c r="A346" s="181">
        <f ca="1">IFERROR(__xludf.DUMMYFUNCTION("IFS(B346="""","""",ISDATE(B346)=TRUE,B346,ISDATE(B346)=FALSE,TO_DATE(DATEVALUE(regexextract(B346,""\d+/\d+/\d+""))))"),44796)</f>
        <v>44796</v>
      </c>
      <c r="B346" s="182" t="s">
        <v>529</v>
      </c>
      <c r="C346" s="183" t="s">
        <v>4925</v>
      </c>
      <c r="D346" s="183">
        <v>3.38</v>
      </c>
      <c r="E346" s="183" t="s">
        <v>4928</v>
      </c>
      <c r="F346" s="183" t="s">
        <v>4</v>
      </c>
      <c r="G346" s="183" t="s">
        <v>727</v>
      </c>
      <c r="H346" s="183" t="s">
        <v>10573</v>
      </c>
      <c r="I346" s="183">
        <v>3.75</v>
      </c>
      <c r="J346" s="183" t="s">
        <v>1073</v>
      </c>
      <c r="K346" s="183"/>
      <c r="L346" s="183">
        <v>3</v>
      </c>
      <c r="M346" s="183"/>
      <c r="N346" s="187"/>
      <c r="O346" s="183" t="s">
        <v>452</v>
      </c>
      <c r="P346" s="183" t="s">
        <v>10574</v>
      </c>
      <c r="Q346" s="184"/>
      <c r="R346" s="183" t="s">
        <v>24</v>
      </c>
      <c r="S346" s="184"/>
      <c r="T346" s="184"/>
      <c r="U346" s="184"/>
      <c r="V346" s="184"/>
      <c r="W346" s="184"/>
      <c r="X346" s="179"/>
      <c r="Y346" s="179"/>
      <c r="Z346" s="179"/>
      <c r="AA346" s="179"/>
    </row>
    <row r="347" spans="1:27">
      <c r="A347" s="181">
        <f ca="1">IFERROR(__xludf.DUMMYFUNCTION("IFS(B347="""","""",ISDATE(B347)=TRUE,B347,ISDATE(B347)=FALSE,TO_DATE(DATEVALUE(regexextract(B347,""\d+/\d+/\d+""))))"),44796)</f>
        <v>44796</v>
      </c>
      <c r="B347" s="182" t="s">
        <v>529</v>
      </c>
      <c r="C347" s="183" t="s">
        <v>237</v>
      </c>
      <c r="D347" s="184">
        <v>4.75</v>
      </c>
      <c r="E347" s="183" t="s">
        <v>1390</v>
      </c>
      <c r="F347" s="183" t="s">
        <v>4</v>
      </c>
      <c r="G347" s="183" t="s">
        <v>727</v>
      </c>
      <c r="H347" s="184" t="s">
        <v>10575</v>
      </c>
      <c r="I347" s="184">
        <v>4.5</v>
      </c>
      <c r="J347" s="183" t="s">
        <v>1371</v>
      </c>
      <c r="K347" s="184" t="s">
        <v>1392</v>
      </c>
      <c r="L347" s="184">
        <v>5</v>
      </c>
      <c r="M347" s="183" t="s">
        <v>478</v>
      </c>
      <c r="N347" s="187">
        <v>8000000</v>
      </c>
      <c r="O347" s="183" t="s">
        <v>452</v>
      </c>
      <c r="P347" s="183" t="s">
        <v>10576</v>
      </c>
      <c r="Q347" s="184"/>
      <c r="R347" s="184" t="s">
        <v>18</v>
      </c>
      <c r="S347" s="184" t="s">
        <v>1394</v>
      </c>
      <c r="T347" s="184"/>
      <c r="U347" s="184"/>
      <c r="V347" s="184"/>
      <c r="W347" s="184"/>
      <c r="X347" s="179"/>
      <c r="Y347" s="179"/>
      <c r="Z347" s="179"/>
      <c r="AA347" s="179"/>
    </row>
    <row r="348" spans="1:27">
      <c r="A348" s="181">
        <f ca="1">IFERROR(__xludf.DUMMYFUNCTION("IFS(B348="""","""",ISDATE(B348)=TRUE,B348,ISDATE(B348)=FALSE,TO_DATE(DATEVALUE(regexextract(B348,""\d+/\d+/\d+""))))"),44791)</f>
        <v>44791</v>
      </c>
      <c r="B348" s="182" t="s">
        <v>10182</v>
      </c>
      <c r="C348" s="183" t="s">
        <v>8341</v>
      </c>
      <c r="D348" s="183">
        <v>3.25</v>
      </c>
      <c r="E348" s="183" t="s">
        <v>8344</v>
      </c>
      <c r="F348" s="183" t="s">
        <v>3</v>
      </c>
      <c r="G348" s="183" t="s">
        <v>725</v>
      </c>
      <c r="H348" s="183" t="s">
        <v>10577</v>
      </c>
      <c r="I348" s="183">
        <v>3.5</v>
      </c>
      <c r="J348" s="183" t="s">
        <v>488</v>
      </c>
      <c r="K348" s="183" t="s">
        <v>8346</v>
      </c>
      <c r="L348" s="183">
        <v>3</v>
      </c>
      <c r="M348" s="183"/>
      <c r="N348" s="187"/>
      <c r="O348" s="183" t="s">
        <v>452</v>
      </c>
      <c r="P348" s="183" t="s">
        <v>10578</v>
      </c>
      <c r="Q348" s="184"/>
      <c r="R348" s="183" t="s">
        <v>24</v>
      </c>
      <c r="S348" s="184"/>
      <c r="T348" s="184"/>
      <c r="U348" s="184"/>
      <c r="V348" s="184"/>
      <c r="W348" s="184"/>
      <c r="X348" s="179"/>
      <c r="Y348" s="179"/>
      <c r="Z348" s="179"/>
      <c r="AA348" s="179"/>
    </row>
    <row r="349" spans="1:27">
      <c r="A349" s="181">
        <f ca="1">IFERROR(__xludf.DUMMYFUNCTION("IFS(B349="""","""",ISDATE(B349)=TRUE,B349,ISDATE(B349)=FALSE,TO_DATE(DATEVALUE(regexextract(B349,""\d+/\d+/\d+""))))"),44791)</f>
        <v>44791</v>
      </c>
      <c r="B349" s="182" t="s">
        <v>10182</v>
      </c>
      <c r="C349" s="183" t="s">
        <v>8850</v>
      </c>
      <c r="D349" s="183">
        <v>3.75</v>
      </c>
      <c r="E349" s="183" t="s">
        <v>8853</v>
      </c>
      <c r="F349" s="183" t="s">
        <v>3</v>
      </c>
      <c r="G349" s="183" t="s">
        <v>725</v>
      </c>
      <c r="H349" s="183" t="s">
        <v>10579</v>
      </c>
      <c r="I349" s="183">
        <v>3.5</v>
      </c>
      <c r="J349" s="183" t="s">
        <v>462</v>
      </c>
      <c r="K349" s="184" t="s">
        <v>8855</v>
      </c>
      <c r="L349" s="183">
        <v>4</v>
      </c>
      <c r="M349" s="184" t="s">
        <v>478</v>
      </c>
      <c r="N349" s="188">
        <v>20000000</v>
      </c>
      <c r="O349" s="183" t="s">
        <v>452</v>
      </c>
      <c r="P349" s="183" t="s">
        <v>8856</v>
      </c>
      <c r="Q349" s="183"/>
      <c r="R349" s="183" t="s">
        <v>24</v>
      </c>
      <c r="S349" s="184"/>
      <c r="T349" s="184"/>
      <c r="U349" s="184"/>
      <c r="V349" s="184"/>
      <c r="W349" s="184"/>
      <c r="X349" s="179"/>
      <c r="Y349" s="179"/>
      <c r="Z349" s="179"/>
      <c r="AA349" s="179"/>
    </row>
    <row r="350" spans="1:27">
      <c r="A350" s="181">
        <f ca="1">IFERROR(__xludf.DUMMYFUNCTION("IFS(B350="""","""",ISDATE(B350)=TRUE,B350,ISDATE(B350)=FALSE,TO_DATE(DATEVALUE(regexextract(B350,""\d+/\d+/\d+""))))"),44789)</f>
        <v>44789</v>
      </c>
      <c r="B350" s="182" t="s">
        <v>6450</v>
      </c>
      <c r="C350" s="183" t="s">
        <v>364</v>
      </c>
      <c r="D350" s="183">
        <v>3.75</v>
      </c>
      <c r="E350" s="183" t="s">
        <v>9794</v>
      </c>
      <c r="F350" s="183" t="s">
        <v>3</v>
      </c>
      <c r="G350" s="183" t="s">
        <v>460</v>
      </c>
      <c r="H350" s="183" t="s">
        <v>9795</v>
      </c>
      <c r="I350" s="183">
        <v>3.5</v>
      </c>
      <c r="J350" s="183" t="s">
        <v>941</v>
      </c>
      <c r="K350" s="183"/>
      <c r="L350" s="183">
        <v>4</v>
      </c>
      <c r="M350" s="184"/>
      <c r="N350" s="184"/>
      <c r="O350" s="183" t="s">
        <v>452</v>
      </c>
      <c r="P350" s="183" t="s">
        <v>452</v>
      </c>
      <c r="Q350" s="184" t="s">
        <v>9796</v>
      </c>
      <c r="R350" s="183" t="s">
        <v>20</v>
      </c>
      <c r="S350" s="184" t="s">
        <v>9797</v>
      </c>
      <c r="T350" s="184"/>
      <c r="U350" s="184"/>
      <c r="V350" s="184"/>
      <c r="W350" s="184"/>
      <c r="X350" s="179"/>
      <c r="Y350" s="179"/>
      <c r="Z350" s="179"/>
      <c r="AA350" s="179"/>
    </row>
    <row r="351" spans="1:27">
      <c r="A351" s="181">
        <f ca="1">IFERROR(__xludf.DUMMYFUNCTION("IFS(B351="""","""",ISDATE(B351)=TRUE,B351,ISDATE(B351)=FALSE,TO_DATE(DATEVALUE(regexextract(B351,""\d+/\d+/\d+""))))"),44784)</f>
        <v>44784</v>
      </c>
      <c r="B351" s="182" t="s">
        <v>10173</v>
      </c>
      <c r="C351" s="183" t="s">
        <v>8439</v>
      </c>
      <c r="D351" s="184">
        <v>2.5</v>
      </c>
      <c r="E351" s="183" t="s">
        <v>8442</v>
      </c>
      <c r="F351" s="183" t="s">
        <v>3</v>
      </c>
      <c r="G351" s="183" t="s">
        <v>460</v>
      </c>
      <c r="H351" s="184" t="s">
        <v>8443</v>
      </c>
      <c r="I351" s="184">
        <v>2</v>
      </c>
      <c r="J351" s="183" t="s">
        <v>462</v>
      </c>
      <c r="K351" s="183" t="s">
        <v>8444</v>
      </c>
      <c r="L351" s="183">
        <v>3</v>
      </c>
      <c r="M351" s="184" t="s">
        <v>923</v>
      </c>
      <c r="N351" s="188">
        <v>5000000</v>
      </c>
      <c r="O351" s="183" t="s">
        <v>454</v>
      </c>
      <c r="P351" s="183" t="s">
        <v>8445</v>
      </c>
      <c r="Q351" s="184"/>
      <c r="R351" s="184" t="s">
        <v>24</v>
      </c>
      <c r="S351" s="184" t="s">
        <v>8446</v>
      </c>
      <c r="T351" s="184"/>
      <c r="U351" s="184"/>
      <c r="V351" s="184"/>
      <c r="W351" s="184"/>
      <c r="X351" s="179"/>
      <c r="Y351" s="179"/>
      <c r="Z351" s="179"/>
      <c r="AA351" s="179"/>
    </row>
    <row r="352" spans="1:27">
      <c r="A352" s="181">
        <f ca="1">IFERROR(__xludf.DUMMYFUNCTION("IFS(B352="""","""",ISDATE(B352)=TRUE,B352,ISDATE(B352)=FALSE,TO_DATE(DATEVALUE(regexextract(B352,""\d+/\d+/\d+""))))"),44784)</f>
        <v>44784</v>
      </c>
      <c r="B352" s="182" t="s">
        <v>10173</v>
      </c>
      <c r="C352" s="183" t="s">
        <v>232</v>
      </c>
      <c r="D352" s="183">
        <v>4</v>
      </c>
      <c r="E352" s="183" t="s">
        <v>3971</v>
      </c>
      <c r="F352" s="183" t="s">
        <v>4</v>
      </c>
      <c r="G352" s="183" t="s">
        <v>447</v>
      </c>
      <c r="H352" s="183" t="s">
        <v>10580</v>
      </c>
      <c r="I352" s="183">
        <v>4</v>
      </c>
      <c r="J352" s="183" t="s">
        <v>476</v>
      </c>
      <c r="K352" s="183" t="s">
        <v>10581</v>
      </c>
      <c r="L352" s="183">
        <v>4</v>
      </c>
      <c r="M352" s="184" t="s">
        <v>3974</v>
      </c>
      <c r="N352" s="188">
        <v>5000000</v>
      </c>
      <c r="O352" s="183" t="s">
        <v>452</v>
      </c>
      <c r="P352" s="183" t="s">
        <v>3420</v>
      </c>
      <c r="Q352" s="183"/>
      <c r="R352" s="183" t="s">
        <v>18</v>
      </c>
      <c r="S352" s="184" t="s">
        <v>3975</v>
      </c>
      <c r="T352" s="184"/>
      <c r="U352" s="184"/>
      <c r="V352" s="184"/>
      <c r="W352" s="184"/>
      <c r="X352" s="179"/>
      <c r="Y352" s="179"/>
      <c r="Z352" s="179"/>
      <c r="AA352" s="179"/>
    </row>
    <row r="353" spans="1:27">
      <c r="A353" s="181">
        <f ca="1">IFERROR(__xludf.DUMMYFUNCTION("IFS(B353="""","""",ISDATE(B353)=TRUE,B353,ISDATE(B353)=FALSE,TO_DATE(DATEVALUE(regexextract(B353,""\d+/\d+/\d+""))))"),44784)</f>
        <v>44784</v>
      </c>
      <c r="B353" s="182" t="s">
        <v>10173</v>
      </c>
      <c r="C353" s="183" t="s">
        <v>2523</v>
      </c>
      <c r="D353" s="184">
        <v>2.5</v>
      </c>
      <c r="E353" s="183" t="s">
        <v>10582</v>
      </c>
      <c r="F353" s="183" t="s">
        <v>5</v>
      </c>
      <c r="G353" s="183" t="s">
        <v>727</v>
      </c>
      <c r="H353" s="184"/>
      <c r="I353" s="184">
        <v>1</v>
      </c>
      <c r="J353" s="183" t="s">
        <v>622</v>
      </c>
      <c r="K353" s="184"/>
      <c r="L353" s="184">
        <v>4</v>
      </c>
      <c r="M353" s="184" t="s">
        <v>478</v>
      </c>
      <c r="N353" s="188" t="s">
        <v>2527</v>
      </c>
      <c r="O353" s="183" t="s">
        <v>452</v>
      </c>
      <c r="P353" s="183" t="s">
        <v>1119</v>
      </c>
      <c r="Q353" s="184"/>
      <c r="R353" s="184" t="s">
        <v>24</v>
      </c>
      <c r="S353" s="184"/>
      <c r="T353" s="184"/>
      <c r="U353" s="184"/>
      <c r="V353" s="184"/>
      <c r="W353" s="184"/>
      <c r="X353" s="179"/>
      <c r="Y353" s="179"/>
      <c r="Z353" s="179"/>
      <c r="AA353" s="179"/>
    </row>
    <row r="354" spans="1:27">
      <c r="A354" s="181">
        <f ca="1">IFERROR(__xludf.DUMMYFUNCTION("IFS(B354="""","""",ISDATE(B354)=TRUE,B354,ISDATE(B354)=FALSE,TO_DATE(DATEVALUE(regexextract(B354,""\d+/\d+/\d+""))))"),44791)</f>
        <v>44791</v>
      </c>
      <c r="B354" s="182" t="s">
        <v>10182</v>
      </c>
      <c r="C354" s="183" t="s">
        <v>5088</v>
      </c>
      <c r="D354" s="183">
        <v>3.25</v>
      </c>
      <c r="E354" s="183" t="s">
        <v>5091</v>
      </c>
      <c r="F354" s="183" t="s">
        <v>4</v>
      </c>
      <c r="G354" s="183" t="s">
        <v>727</v>
      </c>
      <c r="H354" s="183" t="s">
        <v>10583</v>
      </c>
      <c r="I354" s="183">
        <v>3.5</v>
      </c>
      <c r="J354" s="183" t="s">
        <v>1187</v>
      </c>
      <c r="K354" s="183" t="s">
        <v>5093</v>
      </c>
      <c r="L354" s="183">
        <v>3</v>
      </c>
      <c r="M354" s="183"/>
      <c r="N354" s="187"/>
      <c r="O354" s="183" t="s">
        <v>452</v>
      </c>
      <c r="P354" s="183" t="s">
        <v>10584</v>
      </c>
      <c r="Q354" s="183"/>
      <c r="R354" s="183" t="s">
        <v>24</v>
      </c>
      <c r="S354" s="184"/>
      <c r="T354" s="184"/>
      <c r="U354" s="184"/>
      <c r="V354" s="184"/>
      <c r="W354" s="184"/>
      <c r="X354" s="179"/>
      <c r="Y354" s="179"/>
      <c r="Z354" s="179"/>
      <c r="AA354" s="179"/>
    </row>
    <row r="355" spans="1:27">
      <c r="A355" s="181">
        <f ca="1">IFERROR(__xludf.DUMMYFUNCTION("IFS(B355="""","""",ISDATE(B355)=TRUE,B355,ISDATE(B355)=FALSE,TO_DATE(DATEVALUE(regexextract(B355,""\d+/\d+/\d+""))))"),44791)</f>
        <v>44791</v>
      </c>
      <c r="B355" s="182" t="s">
        <v>10182</v>
      </c>
      <c r="C355" s="183" t="s">
        <v>390</v>
      </c>
      <c r="D355" s="184">
        <v>2.88</v>
      </c>
      <c r="E355" s="183" t="s">
        <v>9534</v>
      </c>
      <c r="F355" s="183" t="s">
        <v>4</v>
      </c>
      <c r="G355" s="183" t="s">
        <v>727</v>
      </c>
      <c r="H355" s="184" t="s">
        <v>10585</v>
      </c>
      <c r="I355" s="184">
        <v>3.75</v>
      </c>
      <c r="J355" s="183" t="s">
        <v>1298</v>
      </c>
      <c r="K355" s="183"/>
      <c r="L355" s="183">
        <v>2</v>
      </c>
      <c r="M355" s="184" t="s">
        <v>451</v>
      </c>
      <c r="N355" s="188" t="s">
        <v>4828</v>
      </c>
      <c r="O355" s="183" t="s">
        <v>465</v>
      </c>
      <c r="P355" s="183" t="s">
        <v>9536</v>
      </c>
      <c r="Q355" s="184"/>
      <c r="R355" s="184" t="s">
        <v>20</v>
      </c>
      <c r="S355" s="184" t="s">
        <v>9537</v>
      </c>
      <c r="T355" s="184"/>
      <c r="U355" s="184"/>
      <c r="V355" s="184"/>
      <c r="W355" s="184"/>
      <c r="X355" s="179"/>
      <c r="Y355" s="179"/>
      <c r="Z355" s="179"/>
      <c r="AA355" s="179"/>
    </row>
    <row r="356" spans="1:27">
      <c r="A356" s="181">
        <f ca="1">IFERROR(__xludf.DUMMYFUNCTION("IFS(B356="""","""",ISDATE(B356)=TRUE,B356,ISDATE(B356)=FALSE,TO_DATE(DATEVALUE(regexextract(B356,""\d+/\d+/\d+""))))"),44784)</f>
        <v>44784</v>
      </c>
      <c r="B356" s="182" t="s">
        <v>10173</v>
      </c>
      <c r="C356" s="183" t="s">
        <v>9318</v>
      </c>
      <c r="D356" s="183">
        <v>1.25</v>
      </c>
      <c r="E356" s="183" t="s">
        <v>9321</v>
      </c>
      <c r="F356" s="183" t="s">
        <v>5</v>
      </c>
      <c r="G356" s="183" t="s">
        <v>447</v>
      </c>
      <c r="H356" s="184"/>
      <c r="I356" s="183">
        <v>1</v>
      </c>
      <c r="J356" s="183" t="s">
        <v>543</v>
      </c>
      <c r="K356" s="183" t="s">
        <v>10586</v>
      </c>
      <c r="L356" s="183">
        <v>1.5</v>
      </c>
      <c r="M356" s="183"/>
      <c r="N356" s="187"/>
      <c r="O356" s="183" t="s">
        <v>452</v>
      </c>
      <c r="P356" s="183" t="s">
        <v>974</v>
      </c>
      <c r="Q356" s="184"/>
      <c r="R356" s="183" t="s">
        <v>25</v>
      </c>
      <c r="S356" s="183" t="s">
        <v>9323</v>
      </c>
      <c r="T356" s="184"/>
      <c r="U356" s="184"/>
      <c r="V356" s="184"/>
      <c r="W356" s="184"/>
      <c r="X356" s="179"/>
      <c r="Y356" s="179"/>
      <c r="Z356" s="179"/>
      <c r="AA356" s="179"/>
    </row>
    <row r="357" spans="1:27">
      <c r="A357" s="181">
        <f ca="1">IFERROR(__xludf.DUMMYFUNCTION("IFS(B357="""","""",ISDATE(B357)=TRUE,B357,ISDATE(B357)=FALSE,TO_DATE(DATEVALUE(regexextract(B357,""\d+/\d+/\d+""))))"),44796)</f>
        <v>44796</v>
      </c>
      <c r="B357" s="182" t="s">
        <v>529</v>
      </c>
      <c r="C357" s="183" t="s">
        <v>7933</v>
      </c>
      <c r="D357" s="183">
        <v>1.5</v>
      </c>
      <c r="E357" s="183" t="s">
        <v>7936</v>
      </c>
      <c r="F357" s="183" t="s">
        <v>4</v>
      </c>
      <c r="G357" s="183" t="s">
        <v>727</v>
      </c>
      <c r="H357" s="183" t="s">
        <v>10587</v>
      </c>
      <c r="I357" s="183">
        <v>2</v>
      </c>
      <c r="J357" s="183" t="s">
        <v>1371</v>
      </c>
      <c r="K357" s="183" t="s">
        <v>7938</v>
      </c>
      <c r="L357" s="183">
        <v>1</v>
      </c>
      <c r="M357" s="183"/>
      <c r="N357" s="185"/>
      <c r="O357" s="183" t="s">
        <v>454</v>
      </c>
      <c r="P357" s="183" t="s">
        <v>452</v>
      </c>
      <c r="Q357" s="184"/>
      <c r="R357" s="183" t="s">
        <v>24</v>
      </c>
      <c r="S357" s="183"/>
      <c r="T357" s="184"/>
      <c r="U357" s="184"/>
      <c r="V357" s="184"/>
      <c r="W357" s="184"/>
      <c r="X357" s="179"/>
      <c r="Y357" s="179"/>
      <c r="Z357" s="179"/>
      <c r="AA357" s="179"/>
    </row>
    <row r="358" spans="1:27">
      <c r="A358" s="181">
        <f ca="1">IFERROR(__xludf.DUMMYFUNCTION("IFS(B358="""","""",ISDATE(B358)=TRUE,B358,ISDATE(B358)=FALSE,TO_DATE(DATEVALUE(regexextract(B358,""\d+/\d+/\d+""))))"),44784)</f>
        <v>44784</v>
      </c>
      <c r="B358" s="182" t="s">
        <v>10173</v>
      </c>
      <c r="C358" s="183" t="s">
        <v>127</v>
      </c>
      <c r="D358" s="183">
        <v>4</v>
      </c>
      <c r="E358" s="183" t="s">
        <v>901</v>
      </c>
      <c r="F358" s="183" t="s">
        <v>5</v>
      </c>
      <c r="G358" s="183" t="s">
        <v>447</v>
      </c>
      <c r="H358" s="183" t="s">
        <v>10588</v>
      </c>
      <c r="I358" s="183">
        <v>4</v>
      </c>
      <c r="J358" s="183" t="s">
        <v>449</v>
      </c>
      <c r="K358" s="183" t="s">
        <v>10589</v>
      </c>
      <c r="L358" s="183">
        <v>4</v>
      </c>
      <c r="M358" s="183" t="s">
        <v>451</v>
      </c>
      <c r="N358" s="185">
        <v>4000000</v>
      </c>
      <c r="O358" s="183" t="s">
        <v>452</v>
      </c>
      <c r="P358" s="183" t="s">
        <v>904</v>
      </c>
      <c r="Q358" s="184"/>
      <c r="R358" s="183" t="s">
        <v>18</v>
      </c>
      <c r="S358" s="184"/>
      <c r="T358" s="184"/>
      <c r="U358" s="184"/>
      <c r="V358" s="184"/>
      <c r="W358" s="184"/>
      <c r="X358" s="179"/>
      <c r="Y358" s="179"/>
      <c r="Z358" s="179"/>
      <c r="AA358" s="179"/>
    </row>
    <row r="359" spans="1:27">
      <c r="A359" s="181">
        <f ca="1">IFERROR(__xludf.DUMMYFUNCTION("IFS(B359="""","""",ISDATE(B359)=TRUE,B359,ISDATE(B359)=FALSE,TO_DATE(DATEVALUE(regexextract(B359,""\d+/\d+/\d+""))))"),44796)</f>
        <v>44796</v>
      </c>
      <c r="B359" s="182" t="s">
        <v>529</v>
      </c>
      <c r="C359" s="183" t="s">
        <v>4364</v>
      </c>
      <c r="D359" s="183">
        <v>3.75</v>
      </c>
      <c r="E359" s="183" t="s">
        <v>4367</v>
      </c>
      <c r="F359" s="183" t="s">
        <v>4</v>
      </c>
      <c r="G359" s="183" t="s">
        <v>727</v>
      </c>
      <c r="H359" s="183" t="s">
        <v>10590</v>
      </c>
      <c r="I359" s="183">
        <v>3.5</v>
      </c>
      <c r="J359" s="183" t="s">
        <v>1350</v>
      </c>
      <c r="K359" s="183" t="s">
        <v>4369</v>
      </c>
      <c r="L359" s="183">
        <v>4</v>
      </c>
      <c r="M359" s="183" t="s">
        <v>451</v>
      </c>
      <c r="N359" s="187" t="s">
        <v>4370</v>
      </c>
      <c r="O359" s="183" t="s">
        <v>452</v>
      </c>
      <c r="P359" s="183" t="s">
        <v>10591</v>
      </c>
      <c r="Q359" s="184"/>
      <c r="R359" s="183" t="s">
        <v>24</v>
      </c>
      <c r="S359" s="184"/>
      <c r="T359" s="184"/>
      <c r="U359" s="184"/>
      <c r="V359" s="184"/>
      <c r="W359" s="184"/>
      <c r="X359" s="179"/>
      <c r="Y359" s="179"/>
      <c r="Z359" s="179"/>
      <c r="AA359" s="179"/>
    </row>
    <row r="360" spans="1:27">
      <c r="A360" s="181">
        <f ca="1">IFERROR(__xludf.DUMMYFUNCTION("IFS(B360="""","""",ISDATE(B360)=TRUE,B360,ISDATE(B360)=FALSE,TO_DATE(DATEVALUE(regexextract(B360,""\d+/\d+/\d+""))))"),44791)</f>
        <v>44791</v>
      </c>
      <c r="B360" s="182" t="s">
        <v>10182</v>
      </c>
      <c r="C360" s="183" t="s">
        <v>5476</v>
      </c>
      <c r="D360" s="183">
        <v>3</v>
      </c>
      <c r="E360" s="191" t="s">
        <v>5479</v>
      </c>
      <c r="F360" s="183" t="s">
        <v>4</v>
      </c>
      <c r="G360" s="183" t="s">
        <v>727</v>
      </c>
      <c r="H360" s="183" t="s">
        <v>10592</v>
      </c>
      <c r="I360" s="183">
        <v>3</v>
      </c>
      <c r="J360" s="183" t="s">
        <v>604</v>
      </c>
      <c r="K360" s="183" t="s">
        <v>5481</v>
      </c>
      <c r="L360" s="183">
        <v>3</v>
      </c>
      <c r="M360" s="183"/>
      <c r="N360" s="187"/>
      <c r="O360" s="183" t="s">
        <v>452</v>
      </c>
      <c r="P360" s="183" t="s">
        <v>5482</v>
      </c>
      <c r="Q360" s="184" t="s">
        <v>5483</v>
      </c>
      <c r="R360" s="183" t="s">
        <v>24</v>
      </c>
      <c r="S360" s="184"/>
      <c r="T360" s="184"/>
      <c r="U360" s="184"/>
      <c r="V360" s="184"/>
      <c r="W360" s="184"/>
      <c r="X360" s="179"/>
      <c r="Y360" s="179"/>
      <c r="Z360" s="179"/>
      <c r="AA360" s="179"/>
    </row>
    <row r="361" spans="1:27">
      <c r="A361" s="181">
        <f ca="1">IFERROR(__xludf.DUMMYFUNCTION("IFS(B361="""","""",ISDATE(B361)=TRUE,B361,ISDATE(B361)=FALSE,TO_DATE(DATEVALUE(regexextract(B361,""\d+/\d+/\d+""))))"),44784)</f>
        <v>44784</v>
      </c>
      <c r="B361" s="182" t="s">
        <v>10173</v>
      </c>
      <c r="C361" s="183" t="s">
        <v>2797</v>
      </c>
      <c r="D361" s="184">
        <v>2.25</v>
      </c>
      <c r="E361" s="184" t="s">
        <v>10593</v>
      </c>
      <c r="F361" s="183" t="s">
        <v>5</v>
      </c>
      <c r="G361" s="183" t="s">
        <v>447</v>
      </c>
      <c r="H361" s="183" t="s">
        <v>10594</v>
      </c>
      <c r="I361" s="184">
        <v>2.5</v>
      </c>
      <c r="J361" s="183" t="s">
        <v>622</v>
      </c>
      <c r="K361" s="184"/>
      <c r="L361" s="184">
        <v>2</v>
      </c>
      <c r="M361" s="183"/>
      <c r="N361" s="185"/>
      <c r="O361" s="183" t="s">
        <v>452</v>
      </c>
      <c r="P361" s="183" t="s">
        <v>2802</v>
      </c>
      <c r="Q361" s="184"/>
      <c r="R361" s="184" t="s">
        <v>24</v>
      </c>
      <c r="S361" s="184"/>
      <c r="T361" s="184"/>
      <c r="U361" s="184"/>
      <c r="V361" s="184"/>
      <c r="W361" s="184"/>
      <c r="X361" s="179"/>
      <c r="Y361" s="179"/>
      <c r="Z361" s="179"/>
      <c r="AA361" s="179"/>
    </row>
    <row r="362" spans="1:27">
      <c r="A362" s="181">
        <f ca="1">IFERROR(__xludf.DUMMYFUNCTION("IFS(B362="""","""",ISDATE(B362)=TRUE,B362,ISDATE(B362)=FALSE,TO_DATE(DATEVALUE(regexextract(B362,""\d+/\d+/\d+""))))"),44782)</f>
        <v>44782</v>
      </c>
      <c r="B362" s="182" t="s">
        <v>10188</v>
      </c>
      <c r="C362" s="183" t="s">
        <v>2715</v>
      </c>
      <c r="D362" s="184">
        <v>2.25</v>
      </c>
      <c r="E362" s="184" t="s">
        <v>10595</v>
      </c>
      <c r="F362" s="183" t="s">
        <v>5</v>
      </c>
      <c r="G362" s="183" t="s">
        <v>447</v>
      </c>
      <c r="H362" s="184" t="s">
        <v>2719</v>
      </c>
      <c r="I362" s="184">
        <v>2.5</v>
      </c>
      <c r="J362" s="183" t="s">
        <v>622</v>
      </c>
      <c r="K362" s="184" t="s">
        <v>10596</v>
      </c>
      <c r="L362" s="184">
        <v>2</v>
      </c>
      <c r="M362" s="183" t="s">
        <v>451</v>
      </c>
      <c r="N362" s="187">
        <v>1000000</v>
      </c>
      <c r="O362" s="183" t="s">
        <v>452</v>
      </c>
      <c r="P362" s="183" t="s">
        <v>10597</v>
      </c>
      <c r="Q362" s="184"/>
      <c r="R362" s="184" t="s">
        <v>24</v>
      </c>
      <c r="S362" s="184"/>
      <c r="T362" s="184"/>
      <c r="U362" s="184"/>
      <c r="V362" s="184"/>
      <c r="W362" s="184"/>
      <c r="X362" s="179"/>
      <c r="Y362" s="179"/>
      <c r="Z362" s="179"/>
      <c r="AA362" s="179"/>
    </row>
    <row r="363" spans="1:27">
      <c r="A363" s="181">
        <f ca="1">IFERROR(__xludf.DUMMYFUNCTION("IFS(B363="""","""",ISDATE(B363)=TRUE,B363,ISDATE(B363)=FALSE,TO_DATE(DATEVALUE(regexextract(B363,""\d+/\d+/\d+""))))"),44796)</f>
        <v>44796</v>
      </c>
      <c r="B363" s="182" t="s">
        <v>529</v>
      </c>
      <c r="C363" s="183" t="s">
        <v>10598</v>
      </c>
      <c r="D363" s="183">
        <v>1.75</v>
      </c>
      <c r="E363" s="183" t="s">
        <v>7693</v>
      </c>
      <c r="F363" s="183" t="s">
        <v>4</v>
      </c>
      <c r="G363" s="183" t="s">
        <v>727</v>
      </c>
      <c r="H363" s="184" t="s">
        <v>10599</v>
      </c>
      <c r="I363" s="183">
        <v>2.5</v>
      </c>
      <c r="J363" s="183" t="s">
        <v>1371</v>
      </c>
      <c r="K363" s="183" t="s">
        <v>7695</v>
      </c>
      <c r="L363" s="183">
        <v>1</v>
      </c>
      <c r="M363" s="184" t="s">
        <v>451</v>
      </c>
      <c r="N363" s="187">
        <v>2000000</v>
      </c>
      <c r="O363" s="183" t="s">
        <v>452</v>
      </c>
      <c r="P363" s="183" t="s">
        <v>7696</v>
      </c>
      <c r="Q363" s="184"/>
      <c r="R363" s="183" t="s">
        <v>24</v>
      </c>
      <c r="S363" s="183"/>
      <c r="T363" s="184"/>
      <c r="U363" s="184"/>
      <c r="V363" s="184"/>
      <c r="W363" s="184"/>
      <c r="X363" s="179"/>
      <c r="Y363" s="179"/>
      <c r="Z363" s="179"/>
      <c r="AA363" s="179"/>
    </row>
    <row r="364" spans="1:27">
      <c r="A364" s="181">
        <f ca="1">IFERROR(__xludf.DUMMYFUNCTION("IFS(B364="""","""",ISDATE(B364)=TRUE,B364,ISDATE(B364)=FALSE,TO_DATE(DATEVALUE(regexextract(B364,""\d+/\d+/\d+""))))"),44784)</f>
        <v>44784</v>
      </c>
      <c r="B364" s="182" t="s">
        <v>10173</v>
      </c>
      <c r="C364" s="183" t="s">
        <v>3043</v>
      </c>
      <c r="D364" s="183">
        <v>3.25</v>
      </c>
      <c r="E364" s="183" t="s">
        <v>3046</v>
      </c>
      <c r="F364" s="183" t="s">
        <v>5</v>
      </c>
      <c r="G364" s="183" t="s">
        <v>447</v>
      </c>
      <c r="H364" s="183" t="s">
        <v>10600</v>
      </c>
      <c r="I364" s="183">
        <v>3</v>
      </c>
      <c r="J364" s="183" t="s">
        <v>476</v>
      </c>
      <c r="K364" s="183" t="s">
        <v>10601</v>
      </c>
      <c r="L364" s="183">
        <v>3.5</v>
      </c>
      <c r="M364" s="184" t="s">
        <v>451</v>
      </c>
      <c r="N364" s="186">
        <v>1700000</v>
      </c>
      <c r="O364" s="183" t="s">
        <v>465</v>
      </c>
      <c r="P364" s="183" t="s">
        <v>575</v>
      </c>
      <c r="Q364" s="184"/>
      <c r="R364" s="183" t="s">
        <v>24</v>
      </c>
      <c r="S364" s="183" t="s">
        <v>3049</v>
      </c>
      <c r="T364" s="184"/>
      <c r="U364" s="184"/>
      <c r="V364" s="184"/>
      <c r="W364" s="184"/>
      <c r="X364" s="179"/>
      <c r="Y364" s="179"/>
      <c r="Z364" s="179"/>
      <c r="AA364" s="179"/>
    </row>
    <row r="365" spans="1:27">
      <c r="A365" s="181">
        <f ca="1">IFERROR(__xludf.DUMMYFUNCTION("IFS(B365="""","""",ISDATE(B365)=TRUE,B365,ISDATE(B365)=FALSE,TO_DATE(DATEVALUE(regexextract(B365,""\d+/\d+/\d+""))))"),44791)</f>
        <v>44791</v>
      </c>
      <c r="B365" s="182" t="s">
        <v>10182</v>
      </c>
      <c r="C365" s="183" t="s">
        <v>8869</v>
      </c>
      <c r="D365" s="183">
        <v>3.25</v>
      </c>
      <c r="E365" s="183" t="s">
        <v>8872</v>
      </c>
      <c r="F365" s="183" t="s">
        <v>3</v>
      </c>
      <c r="G365" s="183" t="s">
        <v>460</v>
      </c>
      <c r="H365" s="183" t="s">
        <v>8873</v>
      </c>
      <c r="I365" s="183">
        <v>3</v>
      </c>
      <c r="J365" s="183" t="s">
        <v>488</v>
      </c>
      <c r="K365" s="183"/>
      <c r="L365" s="183">
        <v>3.5</v>
      </c>
      <c r="M365" s="183" t="s">
        <v>8874</v>
      </c>
      <c r="N365" s="192">
        <v>5000000</v>
      </c>
      <c r="O365" s="183" t="s">
        <v>452</v>
      </c>
      <c r="P365" s="183" t="s">
        <v>452</v>
      </c>
      <c r="Q365" s="184"/>
      <c r="R365" s="183" t="s">
        <v>24</v>
      </c>
      <c r="S365" s="184"/>
      <c r="T365" s="184"/>
      <c r="U365" s="184"/>
      <c r="V365" s="184"/>
      <c r="W365" s="184"/>
      <c r="X365" s="179"/>
      <c r="Y365" s="179"/>
      <c r="Z365" s="179"/>
      <c r="AA365" s="179"/>
    </row>
    <row r="366" spans="1:27">
      <c r="A366" s="181">
        <f ca="1">IFERROR(__xludf.DUMMYFUNCTION("IFS(B366="""","""",ISDATE(B366)=TRUE,B366,ISDATE(B366)=FALSE,TO_DATE(DATEVALUE(regexextract(B366,""\d+/\d+/\d+""))))"),44796)</f>
        <v>44796</v>
      </c>
      <c r="B366" s="182" t="s">
        <v>529</v>
      </c>
      <c r="C366" s="183" t="s">
        <v>9612</v>
      </c>
      <c r="D366" s="183">
        <v>3.25</v>
      </c>
      <c r="E366" s="183" t="s">
        <v>9615</v>
      </c>
      <c r="F366" s="183" t="s">
        <v>4</v>
      </c>
      <c r="G366" s="183" t="s">
        <v>460</v>
      </c>
      <c r="H366" s="184" t="s">
        <v>9616</v>
      </c>
      <c r="I366" s="183">
        <v>3</v>
      </c>
      <c r="J366" s="183" t="s">
        <v>462</v>
      </c>
      <c r="K366" s="183" t="s">
        <v>9617</v>
      </c>
      <c r="L366" s="183">
        <v>3.5</v>
      </c>
      <c r="M366" s="183"/>
      <c r="N366" s="187"/>
      <c r="O366" s="183" t="s">
        <v>454</v>
      </c>
      <c r="P366" s="183" t="s">
        <v>10602</v>
      </c>
      <c r="Q366" s="184" t="s">
        <v>9619</v>
      </c>
      <c r="R366" s="183" t="s">
        <v>23</v>
      </c>
      <c r="S366" s="184" t="s">
        <v>9620</v>
      </c>
      <c r="T366" s="184"/>
      <c r="U366" s="184"/>
      <c r="V366" s="184"/>
      <c r="W366" s="184"/>
      <c r="X366" s="179"/>
      <c r="Y366" s="179"/>
      <c r="Z366" s="179"/>
      <c r="AA366" s="179"/>
    </row>
    <row r="367" spans="1:27">
      <c r="A367" s="181">
        <f ca="1">IFERROR(__xludf.DUMMYFUNCTION("IFS(B367="""","""",ISDATE(B367)=TRUE,B367,ISDATE(B367)=FALSE,TO_DATE(DATEVALUE(regexextract(B367,""\d+/\d+/\d+""))))"),44796)</f>
        <v>44796</v>
      </c>
      <c r="B367" s="182" t="s">
        <v>529</v>
      </c>
      <c r="C367" s="183" t="s">
        <v>6044</v>
      </c>
      <c r="D367" s="183">
        <v>2.75</v>
      </c>
      <c r="E367" s="183" t="s">
        <v>10603</v>
      </c>
      <c r="F367" s="183" t="s">
        <v>4</v>
      </c>
      <c r="G367" s="183" t="s">
        <v>727</v>
      </c>
      <c r="H367" s="183"/>
      <c r="I367" s="183">
        <v>2.5</v>
      </c>
      <c r="J367" s="183" t="s">
        <v>1457</v>
      </c>
      <c r="K367" s="183" t="s">
        <v>6048</v>
      </c>
      <c r="L367" s="183">
        <v>3</v>
      </c>
      <c r="M367" s="183" t="s">
        <v>784</v>
      </c>
      <c r="N367" s="185">
        <v>167000</v>
      </c>
      <c r="O367" s="183" t="s">
        <v>452</v>
      </c>
      <c r="P367" s="183" t="s">
        <v>6049</v>
      </c>
      <c r="Q367" s="184"/>
      <c r="R367" s="183" t="s">
        <v>24</v>
      </c>
      <c r="S367" s="184"/>
      <c r="T367" s="184"/>
      <c r="U367" s="184"/>
      <c r="V367" s="184"/>
      <c r="W367" s="184"/>
      <c r="X367" s="179"/>
      <c r="Y367" s="179"/>
      <c r="Z367" s="179"/>
      <c r="AA367" s="179"/>
    </row>
    <row r="368" spans="1:27">
      <c r="A368" s="181">
        <f ca="1">IFERROR(__xludf.DUMMYFUNCTION("IFS(B368="""","""",ISDATE(B368)=TRUE,B368,ISDATE(B368)=FALSE,TO_DATE(DATEVALUE(regexextract(B368,""\d+/\d+/\d+""))))"),44791)</f>
        <v>44791</v>
      </c>
      <c r="B368" s="189" t="s">
        <v>10182</v>
      </c>
      <c r="C368" s="183" t="s">
        <v>8589</v>
      </c>
      <c r="D368" s="183">
        <v>3.25</v>
      </c>
      <c r="E368" s="183" t="s">
        <v>10604</v>
      </c>
      <c r="F368" s="183" t="s">
        <v>3</v>
      </c>
      <c r="G368" s="183" t="s">
        <v>725</v>
      </c>
      <c r="H368" s="183" t="s">
        <v>10605</v>
      </c>
      <c r="I368" s="183">
        <v>3.5</v>
      </c>
      <c r="J368" s="183" t="s">
        <v>488</v>
      </c>
      <c r="K368" s="183" t="s">
        <v>8594</v>
      </c>
      <c r="L368" s="183">
        <v>3</v>
      </c>
      <c r="M368" s="183" t="s">
        <v>451</v>
      </c>
      <c r="N368" s="187" t="s">
        <v>4828</v>
      </c>
      <c r="O368" s="183" t="s">
        <v>452</v>
      </c>
      <c r="P368" s="183" t="s">
        <v>10606</v>
      </c>
      <c r="Q368" s="183"/>
      <c r="R368" s="183" t="s">
        <v>24</v>
      </c>
      <c r="S368" s="193"/>
      <c r="T368" s="193"/>
      <c r="U368" s="193"/>
      <c r="V368" s="193"/>
      <c r="W368" s="193"/>
      <c r="X368" s="6"/>
      <c r="Y368" s="6"/>
      <c r="Z368" s="6"/>
      <c r="AA368" s="6"/>
    </row>
    <row r="369" spans="1:27">
      <c r="A369" s="181">
        <f ca="1">IFERROR(__xludf.DUMMYFUNCTION("IFS(B369="""","""",ISDATE(B369)=TRUE,B369,ISDATE(B369)=FALSE,TO_DATE(DATEVALUE(regexextract(B369,""\d+/\d+/\d+""))))"),44791)</f>
        <v>44791</v>
      </c>
      <c r="B369" s="182" t="s">
        <v>10182</v>
      </c>
      <c r="C369" s="183" t="s">
        <v>344</v>
      </c>
      <c r="D369" s="183">
        <v>4.5</v>
      </c>
      <c r="E369" s="183" t="s">
        <v>1964</v>
      </c>
      <c r="F369" s="183" t="s">
        <v>3</v>
      </c>
      <c r="G369" s="183" t="s">
        <v>725</v>
      </c>
      <c r="H369" s="183" t="s">
        <v>10607</v>
      </c>
      <c r="I369" s="183">
        <v>4.5</v>
      </c>
      <c r="J369" s="183" t="s">
        <v>462</v>
      </c>
      <c r="K369" s="183" t="s">
        <v>1966</v>
      </c>
      <c r="L369" s="183">
        <v>4.5</v>
      </c>
      <c r="M369" s="183" t="s">
        <v>478</v>
      </c>
      <c r="N369" s="187">
        <v>10000000</v>
      </c>
      <c r="O369" s="183" t="s">
        <v>452</v>
      </c>
      <c r="P369" s="183" t="s">
        <v>10608</v>
      </c>
      <c r="Q369" s="184"/>
      <c r="R369" s="183" t="s">
        <v>18</v>
      </c>
      <c r="S369" s="184"/>
      <c r="T369" s="184"/>
      <c r="U369" s="184"/>
      <c r="V369" s="184"/>
      <c r="W369" s="184"/>
      <c r="X369" s="179"/>
      <c r="Y369" s="179"/>
      <c r="Z369" s="179"/>
      <c r="AA369" s="179"/>
    </row>
    <row r="370" spans="1:27">
      <c r="A370" s="181">
        <f ca="1">IFERROR(__xludf.DUMMYFUNCTION("IFS(B370="""","""",ISDATE(B370)=TRUE,B370,ISDATE(B370)=FALSE,TO_DATE(DATEVALUE(regexextract(B370,""\d+/\d+/\d+""))))"),44796)</f>
        <v>44796</v>
      </c>
      <c r="B370" s="182" t="s">
        <v>529</v>
      </c>
      <c r="C370" s="183" t="s">
        <v>4553</v>
      </c>
      <c r="D370" s="184">
        <v>3.5</v>
      </c>
      <c r="E370" s="183" t="s">
        <v>4556</v>
      </c>
      <c r="F370" s="183" t="s">
        <v>4</v>
      </c>
      <c r="G370" s="183" t="s">
        <v>727</v>
      </c>
      <c r="H370" s="184" t="s">
        <v>10609</v>
      </c>
      <c r="I370" s="184">
        <v>3</v>
      </c>
      <c r="J370" s="183" t="s">
        <v>990</v>
      </c>
      <c r="K370" s="183" t="s">
        <v>4558</v>
      </c>
      <c r="L370" s="183">
        <v>4</v>
      </c>
      <c r="M370" s="183"/>
      <c r="N370" s="187"/>
      <c r="O370" s="183" t="s">
        <v>452</v>
      </c>
      <c r="P370" s="183" t="s">
        <v>4559</v>
      </c>
      <c r="Q370" s="184" t="s">
        <v>2180</v>
      </c>
      <c r="R370" s="184" t="s">
        <v>24</v>
      </c>
      <c r="S370" s="184"/>
      <c r="T370" s="184"/>
      <c r="U370" s="184"/>
      <c r="V370" s="184"/>
      <c r="W370" s="184"/>
      <c r="X370" s="179"/>
      <c r="Y370" s="179"/>
      <c r="Z370" s="179"/>
      <c r="AA370" s="179"/>
    </row>
    <row r="371" spans="1:27">
      <c r="A371" s="181">
        <f ca="1">IFERROR(__xludf.DUMMYFUNCTION("IFS(B371="""","""",ISDATE(B371)=TRUE,B371,ISDATE(B371)=FALSE,TO_DATE(DATEVALUE(regexextract(B371,""\d+/\d+/\d+""))))"),44784)</f>
        <v>44784</v>
      </c>
      <c r="B371" s="182" t="s">
        <v>10173</v>
      </c>
      <c r="C371" s="183" t="s">
        <v>106</v>
      </c>
      <c r="D371" s="183">
        <v>3.25</v>
      </c>
      <c r="E371" s="183" t="s">
        <v>781</v>
      </c>
      <c r="F371" s="183" t="s">
        <v>5</v>
      </c>
      <c r="G371" s="183" t="s">
        <v>447</v>
      </c>
      <c r="H371" s="183" t="s">
        <v>10610</v>
      </c>
      <c r="I371" s="183">
        <v>3.5</v>
      </c>
      <c r="J371" s="183" t="s">
        <v>543</v>
      </c>
      <c r="K371" s="183" t="s">
        <v>10611</v>
      </c>
      <c r="L371" s="183">
        <v>3</v>
      </c>
      <c r="M371" s="184" t="s">
        <v>784</v>
      </c>
      <c r="N371" s="184">
        <v>4000000</v>
      </c>
      <c r="O371" s="183" t="s">
        <v>465</v>
      </c>
      <c r="P371" s="183" t="s">
        <v>785</v>
      </c>
      <c r="Q371" s="183"/>
      <c r="R371" s="183" t="s">
        <v>18</v>
      </c>
      <c r="S371" s="184" t="s">
        <v>786</v>
      </c>
      <c r="T371" s="184"/>
      <c r="U371" s="184"/>
      <c r="V371" s="184"/>
      <c r="W371" s="184"/>
      <c r="X371" s="179"/>
      <c r="Y371" s="179"/>
      <c r="Z371" s="179"/>
      <c r="AA371" s="179"/>
    </row>
    <row r="372" spans="1:27">
      <c r="A372" s="181">
        <f ca="1">IFERROR(__xludf.DUMMYFUNCTION("IFS(B372="""","""",ISDATE(B372)=TRUE,B372,ISDATE(B372)=FALSE,TO_DATE(DATEVALUE(regexextract(B372,""\d+/\d+/\d+""))))"),44791)</f>
        <v>44791</v>
      </c>
      <c r="B372" s="189" t="s">
        <v>10182</v>
      </c>
      <c r="C372" s="183" t="s">
        <v>8972</v>
      </c>
      <c r="D372" s="183">
        <v>3.25</v>
      </c>
      <c r="E372" s="183" t="s">
        <v>8975</v>
      </c>
      <c r="F372" s="183" t="s">
        <v>3</v>
      </c>
      <c r="G372" s="183" t="s">
        <v>460</v>
      </c>
      <c r="H372" s="183" t="s">
        <v>8976</v>
      </c>
      <c r="I372" s="183">
        <v>3</v>
      </c>
      <c r="J372" s="183" t="s">
        <v>488</v>
      </c>
      <c r="K372" s="183" t="s">
        <v>8977</v>
      </c>
      <c r="L372" s="183">
        <v>3.5</v>
      </c>
      <c r="M372" s="183" t="s">
        <v>451</v>
      </c>
      <c r="N372" s="187">
        <v>5000000</v>
      </c>
      <c r="O372" s="183" t="s">
        <v>452</v>
      </c>
      <c r="P372" s="183" t="s">
        <v>8978</v>
      </c>
      <c r="Q372" s="184"/>
      <c r="R372" s="183" t="s">
        <v>24</v>
      </c>
      <c r="S372" s="184"/>
      <c r="T372" s="184"/>
      <c r="U372" s="184"/>
      <c r="V372" s="184"/>
      <c r="W372" s="184"/>
      <c r="X372" s="179"/>
      <c r="Y372" s="179"/>
      <c r="Z372" s="179"/>
      <c r="AA372" s="179"/>
    </row>
    <row r="373" spans="1:27">
      <c r="A373" s="181">
        <f ca="1">IFERROR(__xludf.DUMMYFUNCTION("IFS(B373="""","""",ISDATE(B373)=TRUE,B373,ISDATE(B373)=FALSE,TO_DATE(DATEVALUE(regexextract(B373,""\d+/\d+/\d+""))))"),44789)</f>
        <v>44789</v>
      </c>
      <c r="B373" s="182" t="s">
        <v>6450</v>
      </c>
      <c r="C373" s="183" t="s">
        <v>8903</v>
      </c>
      <c r="D373" s="184">
        <v>1</v>
      </c>
      <c r="E373" s="183" t="s">
        <v>10612</v>
      </c>
      <c r="F373" s="183" t="s">
        <v>3</v>
      </c>
      <c r="G373" s="183" t="s">
        <v>460</v>
      </c>
      <c r="H373" s="184" t="s">
        <v>10613</v>
      </c>
      <c r="I373" s="184">
        <v>1</v>
      </c>
      <c r="J373" s="183" t="s">
        <v>941</v>
      </c>
      <c r="K373" s="184"/>
      <c r="L373" s="184">
        <v>1</v>
      </c>
      <c r="M373" s="184" t="s">
        <v>478</v>
      </c>
      <c r="N373" s="188">
        <v>2000000</v>
      </c>
      <c r="O373" s="183" t="s">
        <v>452</v>
      </c>
      <c r="P373" s="183" t="s">
        <v>8907</v>
      </c>
      <c r="Q373" s="184"/>
      <c r="R373" s="184" t="s">
        <v>24</v>
      </c>
      <c r="S373" s="184"/>
      <c r="T373" s="184"/>
      <c r="U373" s="184"/>
      <c r="V373" s="184"/>
      <c r="W373" s="184"/>
      <c r="X373" s="179"/>
      <c r="Y373" s="179"/>
      <c r="Z373" s="179"/>
      <c r="AA373" s="179"/>
    </row>
    <row r="374" spans="1:27">
      <c r="A374" s="181">
        <f ca="1">IFERROR(__xludf.DUMMYFUNCTION("IFS(B374="""","""",ISDATE(B374)=TRUE,B374,ISDATE(B374)=FALSE,TO_DATE(DATEVALUE(regexextract(B374,""\d+/\d+/\d+""))))"),44784)</f>
        <v>44784</v>
      </c>
      <c r="B374" s="182" t="s">
        <v>10173</v>
      </c>
      <c r="C374" s="183" t="s">
        <v>2426</v>
      </c>
      <c r="D374" s="184">
        <v>3</v>
      </c>
      <c r="E374" s="183" t="s">
        <v>2429</v>
      </c>
      <c r="F374" s="183" t="s">
        <v>5</v>
      </c>
      <c r="G374" s="183" t="s">
        <v>447</v>
      </c>
      <c r="H374" s="184" t="s">
        <v>10614</v>
      </c>
      <c r="I374" s="184">
        <v>2.5</v>
      </c>
      <c r="J374" s="183" t="s">
        <v>449</v>
      </c>
      <c r="K374" s="184" t="s">
        <v>10615</v>
      </c>
      <c r="L374" s="184">
        <v>3.5</v>
      </c>
      <c r="M374" s="183" t="s">
        <v>478</v>
      </c>
      <c r="N374" s="187">
        <v>7000000</v>
      </c>
      <c r="O374" s="183" t="s">
        <v>452</v>
      </c>
      <c r="P374" s="183" t="s">
        <v>2432</v>
      </c>
      <c r="Q374" s="183"/>
      <c r="R374" s="184" t="s">
        <v>24</v>
      </c>
      <c r="S374" s="184" t="s">
        <v>2433</v>
      </c>
      <c r="T374" s="184"/>
      <c r="U374" s="184"/>
      <c r="V374" s="184"/>
      <c r="W374" s="184"/>
      <c r="X374" s="179"/>
      <c r="Y374" s="179"/>
      <c r="Z374" s="179"/>
      <c r="AA374" s="179"/>
    </row>
    <row r="375" spans="1:27">
      <c r="A375" s="181">
        <f ca="1">IFERROR(__xludf.DUMMYFUNCTION("IFS(B375="""","""",ISDATE(B375)=TRUE,B375,ISDATE(B375)=FALSE,TO_DATE(DATEVALUE(regexextract(B375,""\d+/\d+/\d+""))))"),44789)</f>
        <v>44789</v>
      </c>
      <c r="B375" s="182" t="s">
        <v>6450</v>
      </c>
      <c r="C375" s="183" t="s">
        <v>350</v>
      </c>
      <c r="D375" s="183">
        <v>4</v>
      </c>
      <c r="E375" s="183" t="s">
        <v>9723</v>
      </c>
      <c r="F375" s="183" t="s">
        <v>3</v>
      </c>
      <c r="G375" s="183" t="s">
        <v>460</v>
      </c>
      <c r="H375" s="183" t="s">
        <v>9724</v>
      </c>
      <c r="I375" s="183">
        <v>4</v>
      </c>
      <c r="J375" s="183" t="s">
        <v>462</v>
      </c>
      <c r="K375" s="183" t="s">
        <v>9725</v>
      </c>
      <c r="L375" s="183">
        <v>4</v>
      </c>
      <c r="M375" s="184" t="s">
        <v>478</v>
      </c>
      <c r="N375" s="186">
        <v>10000000</v>
      </c>
      <c r="O375" s="183" t="s">
        <v>452</v>
      </c>
      <c r="P375" s="183" t="s">
        <v>9726</v>
      </c>
      <c r="Q375" s="184"/>
      <c r="R375" s="183" t="s">
        <v>18</v>
      </c>
      <c r="S375" s="184"/>
      <c r="T375" s="184"/>
      <c r="U375" s="184"/>
      <c r="V375" s="184"/>
      <c r="W375" s="184"/>
      <c r="X375" s="179"/>
      <c r="Y375" s="179"/>
      <c r="Z375" s="179"/>
      <c r="AA375" s="179"/>
    </row>
    <row r="376" spans="1:27">
      <c r="A376" s="181">
        <f ca="1">IFERROR(__xludf.DUMMYFUNCTION("IFS(B376="""","""",ISDATE(B376)=TRUE,B376,ISDATE(B376)=FALSE,TO_DATE(DATEVALUE(regexextract(B376,""\d+/\d+/\d+""))))"),44789)</f>
        <v>44789</v>
      </c>
      <c r="B376" s="182" t="s">
        <v>6450</v>
      </c>
      <c r="C376" s="183" t="s">
        <v>140</v>
      </c>
      <c r="D376" s="184">
        <v>3.5</v>
      </c>
      <c r="E376" s="183" t="s">
        <v>9376</v>
      </c>
      <c r="F376" s="183" t="s">
        <v>5</v>
      </c>
      <c r="G376" s="183" t="s">
        <v>447</v>
      </c>
      <c r="H376" s="184" t="s">
        <v>10616</v>
      </c>
      <c r="I376" s="184">
        <v>3.5</v>
      </c>
      <c r="J376" s="183" t="s">
        <v>543</v>
      </c>
      <c r="K376" s="183" t="s">
        <v>10617</v>
      </c>
      <c r="L376" s="183">
        <v>3.5</v>
      </c>
      <c r="M376" s="183" t="s">
        <v>923</v>
      </c>
      <c r="N376" s="185">
        <v>5000000</v>
      </c>
      <c r="O376" s="183" t="s">
        <v>465</v>
      </c>
      <c r="P376" s="183" t="s">
        <v>9379</v>
      </c>
      <c r="Q376" s="183" t="s">
        <v>725</v>
      </c>
      <c r="R376" s="184" t="s">
        <v>19</v>
      </c>
      <c r="S376" s="184" t="s">
        <v>1477</v>
      </c>
      <c r="T376" s="184"/>
      <c r="U376" s="184"/>
      <c r="V376" s="184"/>
      <c r="W376" s="184"/>
      <c r="X376" s="179"/>
      <c r="Y376" s="179"/>
      <c r="Z376" s="179"/>
      <c r="AA376" s="179"/>
    </row>
    <row r="377" spans="1:27">
      <c r="A377" s="181">
        <f ca="1">IFERROR(__xludf.DUMMYFUNCTION("IFS(B377="""","""",ISDATE(B377)=TRUE,B377,ISDATE(B377)=FALSE,TO_DATE(DATEVALUE(regexextract(B377,""\d+/\d+/\d+""))))"),44796)</f>
        <v>44796</v>
      </c>
      <c r="B377" s="182" t="s">
        <v>529</v>
      </c>
      <c r="C377" s="183" t="s">
        <v>6270</v>
      </c>
      <c r="D377" s="183">
        <v>2.5</v>
      </c>
      <c r="E377" s="183" t="s">
        <v>6273</v>
      </c>
      <c r="F377" s="183" t="s">
        <v>4</v>
      </c>
      <c r="G377" s="183" t="s">
        <v>725</v>
      </c>
      <c r="H377" s="183" t="s">
        <v>6274</v>
      </c>
      <c r="I377" s="183">
        <v>2</v>
      </c>
      <c r="J377" s="183" t="s">
        <v>1237</v>
      </c>
      <c r="K377" s="183"/>
      <c r="L377" s="183">
        <v>3</v>
      </c>
      <c r="M377" s="183" t="s">
        <v>784</v>
      </c>
      <c r="N377" s="187">
        <v>1000000</v>
      </c>
      <c r="O377" s="183" t="s">
        <v>452</v>
      </c>
      <c r="P377" s="183" t="s">
        <v>6275</v>
      </c>
      <c r="Q377" s="184"/>
      <c r="R377" s="183" t="s">
        <v>24</v>
      </c>
      <c r="S377" s="183"/>
      <c r="T377" s="184"/>
      <c r="U377" s="184"/>
      <c r="V377" s="184"/>
      <c r="W377" s="184"/>
      <c r="X377" s="179"/>
      <c r="Y377" s="179"/>
      <c r="Z377" s="179"/>
      <c r="AA377" s="179"/>
    </row>
    <row r="378" spans="1:27">
      <c r="A378" s="181">
        <f ca="1">IFERROR(__xludf.DUMMYFUNCTION("IFS(B378="""","""",ISDATE(B378)=TRUE,B378,ISDATE(B378)=FALSE,TO_DATE(DATEVALUE(regexextract(B378,""\d+/\d+/\d+""))))"),44796)</f>
        <v>44796</v>
      </c>
      <c r="B378" s="182" t="s">
        <v>529</v>
      </c>
      <c r="C378" s="183" t="s">
        <v>4161</v>
      </c>
      <c r="D378" s="184">
        <v>3.75</v>
      </c>
      <c r="E378" s="184" t="s">
        <v>4164</v>
      </c>
      <c r="F378" s="183" t="s">
        <v>4</v>
      </c>
      <c r="G378" s="183" t="s">
        <v>725</v>
      </c>
      <c r="H378" s="184" t="s">
        <v>10618</v>
      </c>
      <c r="I378" s="184">
        <v>3.5</v>
      </c>
      <c r="J378" s="183" t="s">
        <v>990</v>
      </c>
      <c r="K378" s="184" t="s">
        <v>4166</v>
      </c>
      <c r="L378" s="184">
        <v>4</v>
      </c>
      <c r="M378" s="183" t="s">
        <v>451</v>
      </c>
      <c r="N378" s="185" t="s">
        <v>4167</v>
      </c>
      <c r="O378" s="183" t="s">
        <v>452</v>
      </c>
      <c r="P378" s="183" t="s">
        <v>4168</v>
      </c>
      <c r="Q378" s="184"/>
      <c r="R378" s="184" t="s">
        <v>24</v>
      </c>
      <c r="S378" s="184"/>
      <c r="T378" s="184"/>
      <c r="U378" s="184"/>
      <c r="V378" s="184"/>
      <c r="W378" s="184"/>
      <c r="X378" s="179"/>
      <c r="Y378" s="179"/>
      <c r="Z378" s="179"/>
      <c r="AA378" s="179"/>
    </row>
    <row r="379" spans="1:27">
      <c r="A379" s="181">
        <f ca="1">IFERROR(__xludf.DUMMYFUNCTION("IFS(B379="""","""",ISDATE(B379)=TRUE,B379,ISDATE(B379)=FALSE,TO_DATE(DATEVALUE(regexextract(B379,""\d+/\d+/\d+""))))"),44789)</f>
        <v>44789</v>
      </c>
      <c r="B379" s="189" t="s">
        <v>6450</v>
      </c>
      <c r="C379" s="183" t="s">
        <v>8503</v>
      </c>
      <c r="D379" s="184">
        <v>1.5</v>
      </c>
      <c r="E379" s="184" t="s">
        <v>8506</v>
      </c>
      <c r="F379" s="183" t="s">
        <v>3</v>
      </c>
      <c r="G379" s="183" t="s">
        <v>488</v>
      </c>
      <c r="H379" s="184"/>
      <c r="I379" s="184">
        <v>2</v>
      </c>
      <c r="J379" s="183" t="s">
        <v>941</v>
      </c>
      <c r="K379" s="183" t="s">
        <v>8507</v>
      </c>
      <c r="L379" s="183">
        <v>1</v>
      </c>
      <c r="M379" s="183"/>
      <c r="N379" s="187"/>
      <c r="O379" s="183" t="s">
        <v>452</v>
      </c>
      <c r="P379" s="183" t="s">
        <v>452</v>
      </c>
      <c r="Q379" s="184"/>
      <c r="R379" s="184" t="s">
        <v>24</v>
      </c>
      <c r="S379" s="184"/>
      <c r="T379" s="184"/>
      <c r="U379" s="184"/>
      <c r="V379" s="184"/>
      <c r="W379" s="184"/>
      <c r="X379" s="179"/>
      <c r="Y379" s="179"/>
      <c r="Z379" s="179"/>
      <c r="AA379" s="179"/>
    </row>
    <row r="380" spans="1:27">
      <c r="A380" s="181">
        <f ca="1">IFERROR(__xludf.DUMMYFUNCTION("IFS(B380="""","""",ISDATE(B380)=TRUE,B380,ISDATE(B380)=FALSE,TO_DATE(DATEVALUE(regexextract(B380,""\d+/\d+/\d+""))))"),44796)</f>
        <v>44796</v>
      </c>
      <c r="B380" s="189" t="s">
        <v>529</v>
      </c>
      <c r="C380" s="183" t="s">
        <v>6311</v>
      </c>
      <c r="D380" s="183">
        <v>2.5</v>
      </c>
      <c r="E380" s="183" t="s">
        <v>6314</v>
      </c>
      <c r="F380" s="183" t="s">
        <v>4</v>
      </c>
      <c r="G380" s="183" t="s">
        <v>725</v>
      </c>
      <c r="H380" s="183" t="s">
        <v>10619</v>
      </c>
      <c r="I380" s="183">
        <v>2</v>
      </c>
      <c r="J380" s="183" t="s">
        <v>1281</v>
      </c>
      <c r="K380" s="183" t="s">
        <v>6316</v>
      </c>
      <c r="L380" s="183">
        <v>3</v>
      </c>
      <c r="M380" s="183"/>
      <c r="N380" s="187"/>
      <c r="O380" s="183" t="s">
        <v>452</v>
      </c>
      <c r="P380" s="183" t="s">
        <v>6317</v>
      </c>
      <c r="Q380" s="184"/>
      <c r="R380" s="184" t="s">
        <v>24</v>
      </c>
      <c r="S380" s="184"/>
      <c r="T380" s="184"/>
      <c r="U380" s="184"/>
      <c r="V380" s="184"/>
      <c r="W380" s="184"/>
      <c r="X380" s="179"/>
      <c r="Y380" s="179"/>
      <c r="Z380" s="179"/>
      <c r="AA380" s="179"/>
    </row>
    <row r="381" spans="1:27">
      <c r="A381" s="181">
        <f ca="1">IFERROR(__xludf.DUMMYFUNCTION("IFS(B381="""","""",ISDATE(B381)=TRUE,B381,ISDATE(B381)=FALSE,TO_DATE(DATEVALUE(regexextract(B381,""\d+/\d+/\d+""))))"),44796)</f>
        <v>44796</v>
      </c>
      <c r="B381" s="182" t="s">
        <v>529</v>
      </c>
      <c r="C381" s="183" t="s">
        <v>169</v>
      </c>
      <c r="D381" s="183">
        <v>4.25</v>
      </c>
      <c r="E381" s="183" t="s">
        <v>3669</v>
      </c>
      <c r="F381" s="183" t="s">
        <v>4</v>
      </c>
      <c r="G381" s="183" t="s">
        <v>725</v>
      </c>
      <c r="H381" s="183" t="s">
        <v>10620</v>
      </c>
      <c r="I381" s="183">
        <v>4.5</v>
      </c>
      <c r="J381" s="183" t="s">
        <v>604</v>
      </c>
      <c r="K381" s="184" t="s">
        <v>10621</v>
      </c>
      <c r="L381" s="183">
        <v>4</v>
      </c>
      <c r="M381" s="183" t="s">
        <v>784</v>
      </c>
      <c r="N381" s="185">
        <v>2500000</v>
      </c>
      <c r="O381" s="183" t="s">
        <v>452</v>
      </c>
      <c r="P381" s="183" t="s">
        <v>452</v>
      </c>
      <c r="Q381" s="184"/>
      <c r="R381" s="183" t="s">
        <v>18</v>
      </c>
      <c r="S381" s="184"/>
      <c r="T381" s="184"/>
      <c r="U381" s="184"/>
      <c r="V381" s="184"/>
      <c r="W381" s="184"/>
      <c r="X381" s="179"/>
      <c r="Y381" s="179"/>
      <c r="Z381" s="179"/>
      <c r="AA381" s="179"/>
    </row>
    <row r="382" spans="1:27">
      <c r="A382" s="181">
        <f ca="1">IFERROR(__xludf.DUMMYFUNCTION("IFS(B382="""","""",ISDATE(B382)=TRUE,B382,ISDATE(B382)=FALSE,TO_DATE(DATEVALUE(regexextract(B382,""\d+/\d+/\d+""))))"),44796)</f>
        <v>44796</v>
      </c>
      <c r="B382" s="182" t="s">
        <v>529</v>
      </c>
      <c r="C382" s="183" t="s">
        <v>10622</v>
      </c>
      <c r="D382" s="183">
        <v>1</v>
      </c>
      <c r="E382" s="183" t="s">
        <v>8178</v>
      </c>
      <c r="F382" s="183" t="s">
        <v>4</v>
      </c>
      <c r="G382" s="183" t="s">
        <v>725</v>
      </c>
      <c r="H382" s="183" t="s">
        <v>10623</v>
      </c>
      <c r="I382" s="183">
        <v>1</v>
      </c>
      <c r="J382" s="183" t="s">
        <v>1237</v>
      </c>
      <c r="K382" s="183"/>
      <c r="L382" s="183">
        <v>1</v>
      </c>
      <c r="M382" s="184"/>
      <c r="N382" s="188"/>
      <c r="O382" s="183" t="s">
        <v>452</v>
      </c>
      <c r="P382" s="183" t="s">
        <v>8180</v>
      </c>
      <c r="Q382" s="184"/>
      <c r="R382" s="183" t="s">
        <v>24</v>
      </c>
      <c r="S382" s="183"/>
      <c r="T382" s="184"/>
      <c r="U382" s="184"/>
      <c r="V382" s="184"/>
      <c r="W382" s="184"/>
      <c r="X382" s="179"/>
      <c r="Y382" s="179"/>
      <c r="Z382" s="179"/>
      <c r="AA382" s="179"/>
    </row>
    <row r="383" spans="1:27">
      <c r="A383" s="181">
        <f ca="1">IFERROR(__xludf.DUMMYFUNCTION("IFS(B383="""","""",ISDATE(B383)=TRUE,B383,ISDATE(B383)=FALSE,TO_DATE(DATEVALUE(regexextract(B383,""\d+/\d+/\d+""))))"),44789)</f>
        <v>44789</v>
      </c>
      <c r="B383" s="189" t="s">
        <v>6450</v>
      </c>
      <c r="C383" s="183" t="s">
        <v>329</v>
      </c>
      <c r="D383" s="183">
        <v>4.5</v>
      </c>
      <c r="E383" s="183" t="s">
        <v>1840</v>
      </c>
      <c r="F383" s="183" t="s">
        <v>3</v>
      </c>
      <c r="G383" s="183" t="s">
        <v>488</v>
      </c>
      <c r="H383" s="183" t="s">
        <v>10624</v>
      </c>
      <c r="I383" s="183">
        <v>4.5</v>
      </c>
      <c r="J383" s="183" t="s">
        <v>941</v>
      </c>
      <c r="K383" s="183" t="s">
        <v>1842</v>
      </c>
      <c r="L383" s="183">
        <v>4.5</v>
      </c>
      <c r="M383" s="184"/>
      <c r="N383" s="190"/>
      <c r="O383" s="183" t="s">
        <v>465</v>
      </c>
      <c r="P383" s="183" t="s">
        <v>1843</v>
      </c>
      <c r="Q383" s="184"/>
      <c r="R383" s="183" t="s">
        <v>18</v>
      </c>
      <c r="S383" s="183" t="s">
        <v>1844</v>
      </c>
      <c r="T383" s="184"/>
      <c r="U383" s="184"/>
      <c r="V383" s="184"/>
      <c r="W383" s="184"/>
      <c r="X383" s="179"/>
      <c r="Y383" s="179"/>
      <c r="Z383" s="179"/>
      <c r="AA383" s="179"/>
    </row>
    <row r="384" spans="1:27">
      <c r="A384" s="181">
        <f ca="1">IFERROR(__xludf.DUMMYFUNCTION("IFS(B384="""","""",ISDATE(B384)=TRUE,B384,ISDATE(B384)=FALSE,TO_DATE(DATEVALUE(regexextract(B384,""\d+/\d+/\d+""))))"),44789)</f>
        <v>44789</v>
      </c>
      <c r="B384" s="182" t="s">
        <v>6450</v>
      </c>
      <c r="C384" s="183" t="s">
        <v>2165</v>
      </c>
      <c r="D384" s="183">
        <v>3</v>
      </c>
      <c r="E384" s="183" t="s">
        <v>10625</v>
      </c>
      <c r="F384" s="183" t="s">
        <v>5</v>
      </c>
      <c r="G384" s="183" t="s">
        <v>447</v>
      </c>
      <c r="H384" s="183" t="s">
        <v>10626</v>
      </c>
      <c r="I384" s="183">
        <v>2.5</v>
      </c>
      <c r="J384" s="183" t="s">
        <v>476</v>
      </c>
      <c r="K384" s="183" t="s">
        <v>10627</v>
      </c>
      <c r="L384" s="183">
        <v>3.5</v>
      </c>
      <c r="M384" s="183" t="s">
        <v>451</v>
      </c>
      <c r="N384" s="187" t="s">
        <v>2171</v>
      </c>
      <c r="O384" s="183" t="s">
        <v>452</v>
      </c>
      <c r="P384" s="183" t="s">
        <v>452</v>
      </c>
      <c r="Q384" s="184"/>
      <c r="R384" s="183" t="s">
        <v>24</v>
      </c>
      <c r="S384" s="183"/>
      <c r="T384" s="184"/>
      <c r="U384" s="184"/>
      <c r="V384" s="184"/>
      <c r="W384" s="184"/>
      <c r="X384" s="179"/>
      <c r="Y384" s="179"/>
      <c r="Z384" s="179"/>
      <c r="AA384" s="179"/>
    </row>
    <row r="385" spans="1:27">
      <c r="A385" s="181">
        <f ca="1">IFERROR(__xludf.DUMMYFUNCTION("IFS(B385="""","""",ISDATE(B385)=TRUE,B385,ISDATE(B385)=FALSE,TO_DATE(DATEVALUE(regexextract(B385,""\d+/\d+/\d+""))))"),44776)</f>
        <v>44776</v>
      </c>
      <c r="B385" s="182" t="s">
        <v>10176</v>
      </c>
      <c r="C385" s="183" t="s">
        <v>8014</v>
      </c>
      <c r="D385" s="184">
        <v>1.5</v>
      </c>
      <c r="E385" s="183" t="s">
        <v>8017</v>
      </c>
      <c r="F385" s="183" t="s">
        <v>4</v>
      </c>
      <c r="G385" s="183" t="s">
        <v>602</v>
      </c>
      <c r="H385" s="184" t="s">
        <v>10628</v>
      </c>
      <c r="I385" s="184">
        <v>2</v>
      </c>
      <c r="J385" s="183" t="s">
        <v>1054</v>
      </c>
      <c r="K385" s="184" t="s">
        <v>8019</v>
      </c>
      <c r="L385" s="184">
        <v>1</v>
      </c>
      <c r="M385" s="183" t="s">
        <v>784</v>
      </c>
      <c r="N385" s="192">
        <v>500000</v>
      </c>
      <c r="O385" s="183" t="s">
        <v>452</v>
      </c>
      <c r="P385" s="183" t="s">
        <v>575</v>
      </c>
      <c r="Q385" s="184"/>
      <c r="R385" s="184" t="s">
        <v>24</v>
      </c>
      <c r="S385" s="184"/>
      <c r="T385" s="184"/>
      <c r="U385" s="184"/>
      <c r="V385" s="184"/>
      <c r="W385" s="184"/>
      <c r="X385" s="179"/>
      <c r="Y385" s="179"/>
      <c r="Z385" s="179"/>
      <c r="AA385" s="179"/>
    </row>
    <row r="386" spans="1:27">
      <c r="A386" s="181">
        <f ca="1">IFERROR(__xludf.DUMMYFUNCTION("IFS(B386="""","""",ISDATE(B386)=TRUE,B386,ISDATE(B386)=FALSE,TO_DATE(DATEVALUE(regexextract(B386,""\d+/\d+/\d+""))))"),44776)</f>
        <v>44776</v>
      </c>
      <c r="B386" s="182" t="s">
        <v>10176</v>
      </c>
      <c r="C386" s="183" t="s">
        <v>3250</v>
      </c>
      <c r="D386" s="183">
        <v>2.5</v>
      </c>
      <c r="E386" s="183" t="s">
        <v>3253</v>
      </c>
      <c r="F386" s="183" t="s">
        <v>5</v>
      </c>
      <c r="G386" s="183" t="s">
        <v>447</v>
      </c>
      <c r="H386" s="183" t="s">
        <v>3254</v>
      </c>
      <c r="I386" s="183">
        <v>2</v>
      </c>
      <c r="J386" s="183" t="s">
        <v>602</v>
      </c>
      <c r="K386" s="183" t="s">
        <v>3255</v>
      </c>
      <c r="L386" s="183">
        <v>3</v>
      </c>
      <c r="M386" s="183" t="s">
        <v>451</v>
      </c>
      <c r="N386" s="187" t="s">
        <v>3256</v>
      </c>
      <c r="O386" s="183" t="s">
        <v>452</v>
      </c>
      <c r="P386" s="183" t="s">
        <v>452</v>
      </c>
      <c r="Q386" s="184"/>
      <c r="R386" s="183" t="s">
        <v>24</v>
      </c>
      <c r="S386" s="184"/>
      <c r="T386" s="184"/>
      <c r="U386" s="184"/>
      <c r="V386" s="184"/>
      <c r="W386" s="184"/>
      <c r="X386" s="179"/>
      <c r="Y386" s="179"/>
      <c r="Z386" s="179"/>
      <c r="AA386" s="179"/>
    </row>
    <row r="387" spans="1:27">
      <c r="A387" s="181">
        <f ca="1">IFERROR(__xludf.DUMMYFUNCTION("IFS(B387="""","""",ISDATE(B387)=TRUE,B387,ISDATE(B387)=FALSE,TO_DATE(DATEVALUE(regexextract(B387,""\d+/\d+/\d+""))))"),44776)</f>
        <v>44776</v>
      </c>
      <c r="B387" s="182" t="s">
        <v>10176</v>
      </c>
      <c r="C387" s="183" t="s">
        <v>8887</v>
      </c>
      <c r="D387" s="184">
        <v>2</v>
      </c>
      <c r="E387" s="183" t="s">
        <v>10629</v>
      </c>
      <c r="F387" s="183" t="s">
        <v>3</v>
      </c>
      <c r="G387" s="183" t="s">
        <v>460</v>
      </c>
      <c r="H387" s="184" t="s">
        <v>8891</v>
      </c>
      <c r="I387" s="184">
        <v>2</v>
      </c>
      <c r="J387" s="183" t="s">
        <v>488</v>
      </c>
      <c r="K387" s="184"/>
      <c r="L387" s="184">
        <v>2</v>
      </c>
      <c r="M387" s="183" t="s">
        <v>451</v>
      </c>
      <c r="N387" s="187">
        <v>2500000</v>
      </c>
      <c r="O387" s="183" t="s">
        <v>452</v>
      </c>
      <c r="P387" s="183" t="s">
        <v>10630</v>
      </c>
      <c r="Q387" s="184" t="s">
        <v>8893</v>
      </c>
      <c r="R387" s="184" t="s">
        <v>24</v>
      </c>
      <c r="S387" s="184" t="s">
        <v>8893</v>
      </c>
      <c r="T387" s="184"/>
      <c r="U387" s="184"/>
      <c r="V387" s="184"/>
      <c r="W387" s="184"/>
      <c r="X387" s="179"/>
      <c r="Y387" s="179"/>
      <c r="Z387" s="179"/>
      <c r="AA387" s="179"/>
    </row>
    <row r="388" spans="1:27">
      <c r="A388" s="181">
        <f ca="1">IFERROR(__xludf.DUMMYFUNCTION("IFS(B388="""","""",ISDATE(B388)=TRUE,B388,ISDATE(B388)=FALSE,TO_DATE(DATEVALUE(regexextract(B388,""\d+/\d+/\d+""))))"),44789)</f>
        <v>44789</v>
      </c>
      <c r="B388" s="189" t="s">
        <v>6450</v>
      </c>
      <c r="C388" s="183" t="s">
        <v>10631</v>
      </c>
      <c r="D388" s="183">
        <v>2.75</v>
      </c>
      <c r="E388" s="183" t="s">
        <v>10632</v>
      </c>
      <c r="F388" s="183" t="s">
        <v>5</v>
      </c>
      <c r="G388" s="183" t="s">
        <v>447</v>
      </c>
      <c r="H388" s="183" t="s">
        <v>10633</v>
      </c>
      <c r="I388" s="183">
        <v>3</v>
      </c>
      <c r="J388" s="183" t="s">
        <v>622</v>
      </c>
      <c r="K388" s="183" t="s">
        <v>10634</v>
      </c>
      <c r="L388" s="183">
        <v>2.5</v>
      </c>
      <c r="M388" s="183"/>
      <c r="N388" s="187"/>
      <c r="O388" s="183" t="s">
        <v>452</v>
      </c>
      <c r="P388" s="183" t="s">
        <v>1119</v>
      </c>
      <c r="Q388" s="184" t="s">
        <v>3463</v>
      </c>
      <c r="R388" s="183" t="s">
        <v>24</v>
      </c>
      <c r="S388" s="184"/>
      <c r="T388" s="184"/>
      <c r="U388" s="184"/>
      <c r="V388" s="184"/>
      <c r="W388" s="184"/>
      <c r="X388" s="179"/>
      <c r="Y388" s="179"/>
      <c r="Z388" s="179"/>
      <c r="AA388" s="179"/>
    </row>
    <row r="389" spans="1:27">
      <c r="A389" s="181">
        <f ca="1">IFERROR(__xludf.DUMMYFUNCTION("IFS(B389="""","""",ISDATE(B389)=TRUE,B389,ISDATE(B389)=FALSE,TO_DATE(DATEVALUE(regexextract(B389,""\d+/\d+/\d+""))))"),44782)</f>
        <v>44782</v>
      </c>
      <c r="B389" s="182" t="s">
        <v>10188</v>
      </c>
      <c r="C389" s="183" t="s">
        <v>119</v>
      </c>
      <c r="D389" s="183">
        <v>4.25</v>
      </c>
      <c r="E389" s="183" t="s">
        <v>855</v>
      </c>
      <c r="F389" s="183" t="s">
        <v>5</v>
      </c>
      <c r="G389" s="183" t="s">
        <v>447</v>
      </c>
      <c r="H389" s="183" t="s">
        <v>10635</v>
      </c>
      <c r="I389" s="183">
        <v>4.5</v>
      </c>
      <c r="J389" s="183" t="s">
        <v>543</v>
      </c>
      <c r="K389" s="183" t="s">
        <v>10636</v>
      </c>
      <c r="L389" s="183">
        <v>4</v>
      </c>
      <c r="M389" s="183" t="s">
        <v>451</v>
      </c>
      <c r="N389" s="187">
        <v>2000000</v>
      </c>
      <c r="O389" s="183" t="s">
        <v>452</v>
      </c>
      <c r="P389" s="183" t="s">
        <v>858</v>
      </c>
      <c r="Q389" s="184" t="s">
        <v>859</v>
      </c>
      <c r="R389" s="183" t="s">
        <v>18</v>
      </c>
      <c r="S389" s="183"/>
      <c r="T389" s="184"/>
      <c r="U389" s="184"/>
      <c r="V389" s="184"/>
      <c r="W389" s="184"/>
      <c r="X389" s="179"/>
      <c r="Y389" s="179"/>
      <c r="Z389" s="179"/>
      <c r="AA389" s="179"/>
    </row>
    <row r="390" spans="1:27">
      <c r="A390" s="181">
        <f ca="1">IFERROR(__xludf.DUMMYFUNCTION("IFS(B390="""","""",ISDATE(B390)=TRUE,B390,ISDATE(B390)=FALSE,TO_DATE(DATEVALUE(regexextract(B390,""\d+/\d+/\d+""))))"),44789)</f>
        <v>44789</v>
      </c>
      <c r="B390" s="182" t="s">
        <v>6450</v>
      </c>
      <c r="C390" s="183" t="s">
        <v>7300</v>
      </c>
      <c r="D390" s="184">
        <v>2</v>
      </c>
      <c r="E390" s="183" t="s">
        <v>7303</v>
      </c>
      <c r="F390" s="183" t="s">
        <v>4</v>
      </c>
      <c r="G390" s="183" t="s">
        <v>727</v>
      </c>
      <c r="H390" s="184" t="s">
        <v>10637</v>
      </c>
      <c r="I390" s="184">
        <v>2</v>
      </c>
      <c r="J390" s="183" t="s">
        <v>1045</v>
      </c>
      <c r="K390" s="183" t="s">
        <v>7305</v>
      </c>
      <c r="L390" s="183">
        <v>2</v>
      </c>
      <c r="M390" s="183" t="s">
        <v>451</v>
      </c>
      <c r="N390" s="187">
        <v>200000</v>
      </c>
      <c r="O390" s="183" t="s">
        <v>452</v>
      </c>
      <c r="P390" s="183" t="s">
        <v>7306</v>
      </c>
      <c r="Q390" s="184"/>
      <c r="R390" s="184" t="s">
        <v>24</v>
      </c>
      <c r="S390" s="184"/>
      <c r="T390" s="184"/>
      <c r="U390" s="184"/>
      <c r="V390" s="184"/>
      <c r="W390" s="184"/>
      <c r="X390" s="179"/>
      <c r="Y390" s="179"/>
      <c r="Z390" s="179"/>
      <c r="AA390" s="179"/>
    </row>
    <row r="391" spans="1:27">
      <c r="A391" s="181">
        <f ca="1">IFERROR(__xludf.DUMMYFUNCTION("IFS(B391="""","""",ISDATE(B391)=TRUE,B391,ISDATE(B391)=FALSE,TO_DATE(DATEVALUE(regexextract(B391,""\d+/\d+/\d+""))))"),44791)</f>
        <v>44791</v>
      </c>
      <c r="B391" s="182" t="s">
        <v>10182</v>
      </c>
      <c r="C391" s="183" t="s">
        <v>328</v>
      </c>
      <c r="D391" s="184">
        <v>4.5</v>
      </c>
      <c r="E391" s="184" t="s">
        <v>1832</v>
      </c>
      <c r="F391" s="183" t="s">
        <v>3</v>
      </c>
      <c r="G391" s="183" t="s">
        <v>460</v>
      </c>
      <c r="H391" s="184" t="s">
        <v>1833</v>
      </c>
      <c r="I391" s="184">
        <v>4.5</v>
      </c>
      <c r="J391" s="183" t="s">
        <v>462</v>
      </c>
      <c r="K391" s="184" t="s">
        <v>10638</v>
      </c>
      <c r="L391" s="184">
        <v>4.5</v>
      </c>
      <c r="M391" s="183" t="s">
        <v>478</v>
      </c>
      <c r="N391" s="187" t="s">
        <v>1835</v>
      </c>
      <c r="O391" s="183" t="s">
        <v>452</v>
      </c>
      <c r="P391" s="183" t="s">
        <v>452</v>
      </c>
      <c r="Q391" s="184"/>
      <c r="R391" s="184" t="s">
        <v>18</v>
      </c>
      <c r="S391" s="184"/>
      <c r="T391" s="184"/>
      <c r="U391" s="184"/>
      <c r="V391" s="184"/>
      <c r="W391" s="184"/>
      <c r="X391" s="179"/>
      <c r="Y391" s="179"/>
      <c r="Z391" s="179"/>
      <c r="AA391" s="179"/>
    </row>
    <row r="392" spans="1:27">
      <c r="A392" s="181">
        <f ca="1">IFERROR(__xludf.DUMMYFUNCTION("IFS(B392="""","""",ISDATE(B392)=TRUE,B392,ISDATE(B392)=FALSE,TO_DATE(DATEVALUE(regexextract(B392,""\d+/\d+/\d+""))))"),44796)</f>
        <v>44796</v>
      </c>
      <c r="B392" s="182" t="s">
        <v>529</v>
      </c>
      <c r="C392" s="183" t="s">
        <v>4950</v>
      </c>
      <c r="D392" s="184">
        <v>3.38</v>
      </c>
      <c r="E392" s="183" t="s">
        <v>4953</v>
      </c>
      <c r="F392" s="183" t="s">
        <v>4</v>
      </c>
      <c r="G392" s="183" t="s">
        <v>727</v>
      </c>
      <c r="H392" s="184" t="s">
        <v>10639</v>
      </c>
      <c r="I392" s="184">
        <v>3.75</v>
      </c>
      <c r="J392" s="183" t="s">
        <v>1045</v>
      </c>
      <c r="K392" s="184" t="s">
        <v>4955</v>
      </c>
      <c r="L392" s="184">
        <v>3</v>
      </c>
      <c r="M392" s="184" t="s">
        <v>478</v>
      </c>
      <c r="N392" s="188" t="s">
        <v>4956</v>
      </c>
      <c r="O392" s="183" t="s">
        <v>452</v>
      </c>
      <c r="P392" s="183" t="s">
        <v>4957</v>
      </c>
      <c r="Q392" s="184"/>
      <c r="R392" s="184" t="s">
        <v>24</v>
      </c>
      <c r="S392" s="184"/>
      <c r="T392" s="184"/>
      <c r="U392" s="184"/>
      <c r="V392" s="184"/>
      <c r="W392" s="184"/>
      <c r="X392" s="179"/>
      <c r="Y392" s="179"/>
      <c r="Z392" s="179"/>
      <c r="AA392" s="179"/>
    </row>
    <row r="393" spans="1:27">
      <c r="A393" s="181">
        <f ca="1">IFERROR(__xludf.DUMMYFUNCTION("IFS(B393="""","""",ISDATE(B393)=TRUE,B393,ISDATE(B393)=FALSE,TO_DATE(DATEVALUE(regexextract(B393,""\d+/\d+/\d+""))))"),44784)</f>
        <v>44784</v>
      </c>
      <c r="B393" s="182" t="s">
        <v>10173</v>
      </c>
      <c r="C393" s="183" t="s">
        <v>3206</v>
      </c>
      <c r="D393" s="183">
        <v>2.5</v>
      </c>
      <c r="E393" s="183" t="s">
        <v>3209</v>
      </c>
      <c r="F393" s="183" t="s">
        <v>5</v>
      </c>
      <c r="G393" s="183" t="s">
        <v>447</v>
      </c>
      <c r="H393" s="183" t="s">
        <v>10640</v>
      </c>
      <c r="I393" s="183">
        <v>2</v>
      </c>
      <c r="J393" s="183" t="s">
        <v>449</v>
      </c>
      <c r="K393" s="183" t="s">
        <v>10641</v>
      </c>
      <c r="L393" s="183">
        <v>3</v>
      </c>
      <c r="M393" s="183" t="s">
        <v>451</v>
      </c>
      <c r="N393" s="185">
        <v>3000000</v>
      </c>
      <c r="O393" s="183" t="s">
        <v>452</v>
      </c>
      <c r="P393" s="183" t="s">
        <v>452</v>
      </c>
      <c r="Q393" s="184" t="s">
        <v>3212</v>
      </c>
      <c r="R393" s="183" t="s">
        <v>24</v>
      </c>
      <c r="S393" s="183"/>
      <c r="T393" s="184"/>
      <c r="U393" s="184"/>
      <c r="V393" s="184"/>
      <c r="W393" s="184"/>
      <c r="X393" s="179"/>
      <c r="Y393" s="179"/>
      <c r="Z393" s="179"/>
      <c r="AA393" s="179"/>
    </row>
    <row r="394" spans="1:27">
      <c r="A394" s="181">
        <f ca="1">IFERROR(__xludf.DUMMYFUNCTION("IFS(B394="""","""",ISDATE(B394)=TRUE,B394,ISDATE(B394)=FALSE,TO_DATE(DATEVALUE(regexextract(B394,""\d+/\d+/\d+""))))"),44784)</f>
        <v>44784</v>
      </c>
      <c r="B394" s="182" t="s">
        <v>10173</v>
      </c>
      <c r="C394" s="183" t="s">
        <v>274</v>
      </c>
      <c r="D394" s="184">
        <v>3.75</v>
      </c>
      <c r="E394" s="183" t="s">
        <v>9408</v>
      </c>
      <c r="F394" s="183" t="s">
        <v>4</v>
      </c>
      <c r="G394" s="183" t="s">
        <v>447</v>
      </c>
      <c r="H394" s="184" t="s">
        <v>10642</v>
      </c>
      <c r="I394" s="184">
        <v>3</v>
      </c>
      <c r="J394" s="183" t="s">
        <v>449</v>
      </c>
      <c r="K394" s="184" t="s">
        <v>10643</v>
      </c>
      <c r="L394" s="183">
        <v>4.5</v>
      </c>
      <c r="M394" s="183"/>
      <c r="N394" s="185"/>
      <c r="O394" s="183" t="s">
        <v>452</v>
      </c>
      <c r="P394" s="183" t="s">
        <v>9411</v>
      </c>
      <c r="Q394" s="183"/>
      <c r="R394" s="184" t="s">
        <v>19</v>
      </c>
      <c r="S394" s="184" t="s">
        <v>9412</v>
      </c>
      <c r="T394" s="184"/>
      <c r="U394" s="184"/>
      <c r="V394" s="184"/>
      <c r="W394" s="184"/>
      <c r="X394" s="179"/>
      <c r="Y394" s="179"/>
      <c r="Z394" s="179"/>
      <c r="AA394" s="179"/>
    </row>
    <row r="395" spans="1:27">
      <c r="A395" s="181">
        <f ca="1">IFERROR(__xludf.DUMMYFUNCTION("IFS(B395="""","""",ISDATE(B395)=TRUE,B395,ISDATE(B395)=FALSE,TO_DATE(DATEVALUE(regexextract(B395,""\d+/\d+/\d+""))))"),44796)</f>
        <v>44796</v>
      </c>
      <c r="B395" s="182" t="s">
        <v>529</v>
      </c>
      <c r="C395" s="183" t="s">
        <v>82</v>
      </c>
      <c r="D395" s="184">
        <v>4.5</v>
      </c>
      <c r="E395" s="183" t="s">
        <v>591</v>
      </c>
      <c r="F395" s="183" t="s">
        <v>5</v>
      </c>
      <c r="G395" s="183" t="s">
        <v>460</v>
      </c>
      <c r="H395" s="184" t="s">
        <v>592</v>
      </c>
      <c r="I395" s="184">
        <v>4.5</v>
      </c>
      <c r="J395" s="183" t="s">
        <v>462</v>
      </c>
      <c r="K395" s="184" t="s">
        <v>593</v>
      </c>
      <c r="L395" s="184">
        <v>4.5</v>
      </c>
      <c r="M395" s="183" t="s">
        <v>451</v>
      </c>
      <c r="N395" s="187">
        <v>3000000</v>
      </c>
      <c r="O395" s="183" t="s">
        <v>452</v>
      </c>
      <c r="P395" s="183" t="s">
        <v>10644</v>
      </c>
      <c r="Q395" s="183"/>
      <c r="R395" s="184" t="s">
        <v>18</v>
      </c>
      <c r="S395" s="184" t="s">
        <v>595</v>
      </c>
      <c r="T395" s="184"/>
      <c r="U395" s="184"/>
      <c r="V395" s="184"/>
      <c r="W395" s="184"/>
      <c r="X395" s="179"/>
      <c r="Y395" s="179"/>
      <c r="Z395" s="179"/>
      <c r="AA395" s="179"/>
    </row>
    <row r="396" spans="1:27">
      <c r="A396" s="181">
        <f ca="1">IFERROR(__xludf.DUMMYFUNCTION("IFS(B396="""","""",ISDATE(B396)=TRUE,B396,ISDATE(B396)=FALSE,TO_DATE(DATEVALUE(regexextract(B396,""\d+/\d+/\d+""))))"),44791)</f>
        <v>44791</v>
      </c>
      <c r="B396" s="182" t="s">
        <v>10182</v>
      </c>
      <c r="C396" s="183" t="s">
        <v>4865</v>
      </c>
      <c r="D396" s="183">
        <v>3.5</v>
      </c>
      <c r="E396" s="183" t="s">
        <v>4868</v>
      </c>
      <c r="F396" s="183" t="s">
        <v>4</v>
      </c>
      <c r="G396" s="183" t="s">
        <v>727</v>
      </c>
      <c r="H396" s="183" t="s">
        <v>10645</v>
      </c>
      <c r="I396" s="183">
        <v>3</v>
      </c>
      <c r="J396" s="183" t="s">
        <v>1457</v>
      </c>
      <c r="K396" s="183" t="s">
        <v>4870</v>
      </c>
      <c r="L396" s="183">
        <v>4</v>
      </c>
      <c r="M396" s="184"/>
      <c r="N396" s="188"/>
      <c r="O396" s="183" t="s">
        <v>452</v>
      </c>
      <c r="P396" s="183" t="s">
        <v>452</v>
      </c>
      <c r="Q396" s="184"/>
      <c r="R396" s="183" t="s">
        <v>24</v>
      </c>
      <c r="S396" s="184"/>
      <c r="T396" s="184"/>
      <c r="U396" s="184"/>
      <c r="V396" s="184"/>
      <c r="W396" s="184"/>
      <c r="X396" s="179"/>
      <c r="Y396" s="179"/>
      <c r="Z396" s="179"/>
      <c r="AA396" s="179"/>
    </row>
    <row r="397" spans="1:27">
      <c r="A397" s="181">
        <f ca="1">IFERROR(__xludf.DUMMYFUNCTION("IFS(B397="""","""",ISDATE(B397)=TRUE,B397,ISDATE(B397)=FALSE,TO_DATE(DATEVALUE(regexextract(B397,""\d+/\d+/\d+""))))"),44791)</f>
        <v>44791</v>
      </c>
      <c r="B397" s="182" t="s">
        <v>10182</v>
      </c>
      <c r="C397" s="183" t="s">
        <v>10646</v>
      </c>
      <c r="D397" s="183">
        <v>2</v>
      </c>
      <c r="E397" s="183" t="s">
        <v>7158</v>
      </c>
      <c r="F397" s="183" t="s">
        <v>4</v>
      </c>
      <c r="G397" s="183" t="s">
        <v>727</v>
      </c>
      <c r="H397" s="183" t="s">
        <v>6733</v>
      </c>
      <c r="I397" s="183">
        <v>2</v>
      </c>
      <c r="J397" s="183" t="s">
        <v>604</v>
      </c>
      <c r="K397" s="184" t="s">
        <v>10647</v>
      </c>
      <c r="L397" s="183">
        <v>2</v>
      </c>
      <c r="M397" s="183" t="s">
        <v>451</v>
      </c>
      <c r="N397" s="187">
        <v>500000</v>
      </c>
      <c r="O397" s="183" t="s">
        <v>454</v>
      </c>
      <c r="P397" s="183" t="s">
        <v>452</v>
      </c>
      <c r="Q397" s="184"/>
      <c r="R397" s="183" t="s">
        <v>24</v>
      </c>
      <c r="S397" s="184"/>
      <c r="T397" s="184"/>
      <c r="U397" s="184"/>
      <c r="V397" s="184"/>
      <c r="W397" s="184"/>
      <c r="X397" s="179"/>
      <c r="Y397" s="179"/>
      <c r="Z397" s="179"/>
      <c r="AA397" s="179"/>
    </row>
    <row r="398" spans="1:27">
      <c r="A398" s="181">
        <f ca="1">IFERROR(__xludf.DUMMYFUNCTION("IFS(B398="""","""",ISDATE(B398)=TRUE,B398,ISDATE(B398)=FALSE,TO_DATE(DATEVALUE(regexextract(B398,""\d+/\d+/\d+""))))"),44797)</f>
        <v>44797</v>
      </c>
      <c r="B398" s="182" t="s">
        <v>907</v>
      </c>
      <c r="C398" s="183" t="s">
        <v>261</v>
      </c>
      <c r="D398" s="183">
        <v>4.25</v>
      </c>
      <c r="E398" s="183" t="s">
        <v>1517</v>
      </c>
      <c r="F398" s="183" t="s">
        <v>4</v>
      </c>
      <c r="G398" s="183" t="s">
        <v>727</v>
      </c>
      <c r="H398" s="183" t="s">
        <v>1518</v>
      </c>
      <c r="I398" s="183">
        <v>4.5</v>
      </c>
      <c r="J398" s="183" t="s">
        <v>543</v>
      </c>
      <c r="K398" s="183" t="s">
        <v>10648</v>
      </c>
      <c r="L398" s="183">
        <v>4</v>
      </c>
      <c r="M398" s="184"/>
      <c r="N398" s="186"/>
      <c r="O398" s="183" t="s">
        <v>452</v>
      </c>
      <c r="P398" s="183" t="s">
        <v>10649</v>
      </c>
      <c r="Q398" s="184"/>
      <c r="R398" s="183" t="s">
        <v>18</v>
      </c>
      <c r="S398" s="184"/>
      <c r="T398" s="184"/>
      <c r="U398" s="184"/>
      <c r="V398" s="184"/>
      <c r="W398" s="184"/>
      <c r="X398" s="179"/>
      <c r="Y398" s="179"/>
      <c r="Z398" s="179"/>
      <c r="AA398" s="179"/>
    </row>
    <row r="399" spans="1:27">
      <c r="A399" s="181">
        <f ca="1">IFERROR(__xludf.DUMMYFUNCTION("IFS(B399="""","""",ISDATE(B399)=TRUE,B399,ISDATE(B399)=FALSE,TO_DATE(DATEVALUE(regexextract(B399,""\d+/\d+/\d+""))))"),44782)</f>
        <v>44782</v>
      </c>
      <c r="B399" s="182" t="s">
        <v>10188</v>
      </c>
      <c r="C399" s="183" t="s">
        <v>2733</v>
      </c>
      <c r="D399" s="184">
        <v>2.75</v>
      </c>
      <c r="E399" s="183" t="s">
        <v>2736</v>
      </c>
      <c r="F399" s="183" t="s">
        <v>5</v>
      </c>
      <c r="G399" s="183" t="s">
        <v>447</v>
      </c>
      <c r="H399" s="184" t="s">
        <v>10650</v>
      </c>
      <c r="I399" s="184">
        <v>3</v>
      </c>
      <c r="J399" s="183" t="s">
        <v>622</v>
      </c>
      <c r="K399" s="184" t="s">
        <v>10651</v>
      </c>
      <c r="L399" s="184">
        <v>2.5</v>
      </c>
      <c r="M399" s="183" t="s">
        <v>451</v>
      </c>
      <c r="N399" s="187">
        <v>2250000</v>
      </c>
      <c r="O399" s="183" t="s">
        <v>454</v>
      </c>
      <c r="P399" s="183" t="s">
        <v>2739</v>
      </c>
      <c r="Q399" s="184"/>
      <c r="R399" s="184" t="s">
        <v>24</v>
      </c>
      <c r="S399" s="184"/>
      <c r="T399" s="184"/>
      <c r="U399" s="184"/>
      <c r="V399" s="184"/>
      <c r="W399" s="184"/>
      <c r="X399" s="179"/>
      <c r="Y399" s="179"/>
      <c r="Z399" s="179"/>
      <c r="AA399" s="179"/>
    </row>
    <row r="400" spans="1:27">
      <c r="A400" s="181">
        <f ca="1">IFERROR(__xludf.DUMMYFUNCTION("IFS(B400="""","""",ISDATE(B400)=TRUE,B400,ISDATE(B400)=FALSE,TO_DATE(DATEVALUE(regexextract(B400,""\d+/\d+/\d+""))))"),44789)</f>
        <v>44789</v>
      </c>
      <c r="B400" s="182" t="s">
        <v>6450</v>
      </c>
      <c r="C400" s="183" t="s">
        <v>195</v>
      </c>
      <c r="D400" s="184">
        <v>3.88</v>
      </c>
      <c r="E400" s="183" t="s">
        <v>1227</v>
      </c>
      <c r="F400" s="183" t="s">
        <v>4</v>
      </c>
      <c r="G400" s="183" t="s">
        <v>727</v>
      </c>
      <c r="H400" s="184" t="s">
        <v>10652</v>
      </c>
      <c r="I400" s="184">
        <v>4.5</v>
      </c>
      <c r="J400" s="183" t="s">
        <v>1045</v>
      </c>
      <c r="K400" s="184" t="s">
        <v>1229</v>
      </c>
      <c r="L400" s="184">
        <v>3.25</v>
      </c>
      <c r="M400" s="183" t="s">
        <v>784</v>
      </c>
      <c r="N400" s="187">
        <v>1500000</v>
      </c>
      <c r="O400" s="183" t="s">
        <v>452</v>
      </c>
      <c r="P400" s="183" t="s">
        <v>452</v>
      </c>
      <c r="Q400" s="184"/>
      <c r="R400" s="184" t="s">
        <v>18</v>
      </c>
      <c r="S400" s="184" t="s">
        <v>1230</v>
      </c>
      <c r="T400" s="184"/>
      <c r="U400" s="184"/>
      <c r="V400" s="184"/>
      <c r="W400" s="184"/>
      <c r="X400" s="179"/>
      <c r="Y400" s="179"/>
      <c r="Z400" s="179"/>
      <c r="AA400" s="179"/>
    </row>
    <row r="401" spans="1:27">
      <c r="A401" s="181">
        <f ca="1">IFERROR(__xludf.DUMMYFUNCTION("IFS(B401="""","""",ISDATE(B401)=TRUE,B401,ISDATE(B401)=FALSE,TO_DATE(DATEVALUE(regexextract(B401,""\d+/\d+/\d+""))))"),44797)</f>
        <v>44797</v>
      </c>
      <c r="B401" s="182" t="s">
        <v>907</v>
      </c>
      <c r="C401" s="183" t="s">
        <v>4509</v>
      </c>
      <c r="D401" s="183">
        <v>3.63</v>
      </c>
      <c r="E401" s="183" t="s">
        <v>4512</v>
      </c>
      <c r="F401" s="183" t="s">
        <v>4</v>
      </c>
      <c r="G401" s="183" t="s">
        <v>727</v>
      </c>
      <c r="H401" s="184" t="s">
        <v>4513</v>
      </c>
      <c r="I401" s="183">
        <v>3.75</v>
      </c>
      <c r="J401" s="183" t="s">
        <v>543</v>
      </c>
      <c r="K401" s="183" t="s">
        <v>10653</v>
      </c>
      <c r="L401" s="183">
        <v>3.5</v>
      </c>
      <c r="M401" s="183"/>
      <c r="N401" s="185"/>
      <c r="O401" s="183" t="s">
        <v>452</v>
      </c>
      <c r="P401" s="183" t="s">
        <v>4515</v>
      </c>
      <c r="Q401" s="184"/>
      <c r="R401" s="183" t="s">
        <v>24</v>
      </c>
      <c r="S401" s="184"/>
      <c r="T401" s="184"/>
      <c r="U401" s="184"/>
      <c r="V401" s="184"/>
      <c r="W401" s="184"/>
      <c r="X401" s="179"/>
      <c r="Y401" s="179"/>
      <c r="Z401" s="179"/>
      <c r="AA401" s="179"/>
    </row>
    <row r="402" spans="1:27">
      <c r="A402" s="181">
        <f ca="1">IFERROR(__xludf.DUMMYFUNCTION("IFS(B402="""","""",ISDATE(B402)=TRUE,B402,ISDATE(B402)=FALSE,TO_DATE(DATEVALUE(regexextract(B402,""\d+/\d+/\d+""))))"),44784)</f>
        <v>44784</v>
      </c>
      <c r="B402" s="182" t="s">
        <v>10173</v>
      </c>
      <c r="C402" s="183" t="s">
        <v>7291</v>
      </c>
      <c r="D402" s="183">
        <v>2</v>
      </c>
      <c r="E402" s="183" t="s">
        <v>7294</v>
      </c>
      <c r="F402" s="183" t="s">
        <v>4</v>
      </c>
      <c r="G402" s="183" t="s">
        <v>602</v>
      </c>
      <c r="H402" s="183" t="s">
        <v>7295</v>
      </c>
      <c r="I402" s="183">
        <v>2</v>
      </c>
      <c r="J402" s="183" t="s">
        <v>622</v>
      </c>
      <c r="K402" s="183" t="s">
        <v>7296</v>
      </c>
      <c r="L402" s="183">
        <v>2</v>
      </c>
      <c r="M402" s="183"/>
      <c r="N402" s="187"/>
      <c r="O402" s="183" t="s">
        <v>452</v>
      </c>
      <c r="P402" s="183" t="s">
        <v>7297</v>
      </c>
      <c r="Q402" s="184"/>
      <c r="R402" s="183" t="s">
        <v>24</v>
      </c>
      <c r="S402" s="184"/>
      <c r="T402" s="184"/>
      <c r="U402" s="184"/>
      <c r="V402" s="184"/>
      <c r="W402" s="184"/>
      <c r="X402" s="179"/>
      <c r="Y402" s="179"/>
      <c r="Z402" s="179"/>
      <c r="AA402" s="179"/>
    </row>
    <row r="403" spans="1:27">
      <c r="A403" s="181">
        <f ca="1">IFERROR(__xludf.DUMMYFUNCTION("IFS(B403="""","""",ISDATE(B403)=TRUE,B403,ISDATE(B403)=FALSE,TO_DATE(DATEVALUE(regexextract(B403,""\d+/\d+/\d+""))))"),44796)</f>
        <v>44796</v>
      </c>
      <c r="B403" s="182" t="s">
        <v>529</v>
      </c>
      <c r="C403" s="183" t="s">
        <v>4430</v>
      </c>
      <c r="D403" s="183">
        <v>3.75</v>
      </c>
      <c r="E403" s="183" t="s">
        <v>4433</v>
      </c>
      <c r="F403" s="183" t="s">
        <v>4</v>
      </c>
      <c r="G403" s="183" t="s">
        <v>727</v>
      </c>
      <c r="H403" s="183" t="s">
        <v>10654</v>
      </c>
      <c r="I403" s="183">
        <v>3.5</v>
      </c>
      <c r="J403" s="183" t="s">
        <v>1045</v>
      </c>
      <c r="K403" s="183" t="s">
        <v>4435</v>
      </c>
      <c r="L403" s="183">
        <v>4</v>
      </c>
      <c r="M403" s="183" t="s">
        <v>784</v>
      </c>
      <c r="N403" s="185">
        <v>1000000</v>
      </c>
      <c r="O403" s="183" t="s">
        <v>465</v>
      </c>
      <c r="P403" s="183" t="s">
        <v>575</v>
      </c>
      <c r="Q403" s="184"/>
      <c r="R403" s="183" t="s">
        <v>24</v>
      </c>
      <c r="S403" s="184"/>
      <c r="T403" s="184"/>
      <c r="U403" s="184"/>
      <c r="V403" s="184"/>
      <c r="W403" s="184"/>
      <c r="X403" s="179"/>
      <c r="Y403" s="179"/>
      <c r="Z403" s="179"/>
      <c r="AA403" s="179"/>
    </row>
    <row r="404" spans="1:27">
      <c r="A404" s="181">
        <f ca="1">IFERROR(__xludf.DUMMYFUNCTION("IFS(B404="""","""",ISDATE(B404)=TRUE,B404,ISDATE(B404)=FALSE,TO_DATE(DATEVALUE(regexextract(B404,""\d+/\d+/\d+""))))"),44791)</f>
        <v>44791</v>
      </c>
      <c r="B404" s="182" t="s">
        <v>10182</v>
      </c>
      <c r="C404" s="183" t="s">
        <v>4518</v>
      </c>
      <c r="D404" s="184">
        <v>3.5</v>
      </c>
      <c r="E404" s="183" t="s">
        <v>4521</v>
      </c>
      <c r="F404" s="183" t="s">
        <v>4</v>
      </c>
      <c r="G404" s="183" t="s">
        <v>727</v>
      </c>
      <c r="H404" s="184" t="s">
        <v>10655</v>
      </c>
      <c r="I404" s="184">
        <v>3</v>
      </c>
      <c r="J404" s="183" t="s">
        <v>990</v>
      </c>
      <c r="K404" s="183" t="s">
        <v>4523</v>
      </c>
      <c r="L404" s="183">
        <v>4</v>
      </c>
      <c r="M404" s="184"/>
      <c r="N404" s="186"/>
      <c r="O404" s="183" t="s">
        <v>454</v>
      </c>
      <c r="P404" s="183" t="s">
        <v>1119</v>
      </c>
      <c r="Q404" s="184"/>
      <c r="R404" s="184" t="s">
        <v>24</v>
      </c>
      <c r="S404" s="184"/>
      <c r="T404" s="184"/>
      <c r="U404" s="184"/>
      <c r="V404" s="184"/>
      <c r="W404" s="184"/>
      <c r="X404" s="179"/>
      <c r="Y404" s="179"/>
      <c r="Z404" s="179"/>
      <c r="AA404" s="179"/>
    </row>
    <row r="405" spans="1:27">
      <c r="A405" s="181">
        <f ca="1">IFERROR(__xludf.DUMMYFUNCTION("IFS(B405="""","""",ISDATE(B405)=TRUE,B405,ISDATE(B405)=FALSE,TO_DATE(DATEVALUE(regexextract(B405,""\d+/\d+/\d+""))))"),44796)</f>
        <v>44796</v>
      </c>
      <c r="B405" s="182" t="s">
        <v>529</v>
      </c>
      <c r="C405" s="183" t="s">
        <v>4814</v>
      </c>
      <c r="D405" s="184">
        <v>3.5</v>
      </c>
      <c r="E405" s="183" t="s">
        <v>4817</v>
      </c>
      <c r="F405" s="183" t="s">
        <v>4</v>
      </c>
      <c r="G405" s="183" t="s">
        <v>727</v>
      </c>
      <c r="H405" s="184" t="s">
        <v>10656</v>
      </c>
      <c r="I405" s="184">
        <v>3.5</v>
      </c>
      <c r="J405" s="183" t="s">
        <v>1350</v>
      </c>
      <c r="K405" s="183" t="s">
        <v>4819</v>
      </c>
      <c r="L405" s="183">
        <v>3.5</v>
      </c>
      <c r="M405" s="183" t="s">
        <v>451</v>
      </c>
      <c r="N405" s="187">
        <v>5000000</v>
      </c>
      <c r="O405" s="183" t="s">
        <v>452</v>
      </c>
      <c r="P405" s="183" t="s">
        <v>10657</v>
      </c>
      <c r="Q405" s="184"/>
      <c r="R405" s="184" t="s">
        <v>24</v>
      </c>
      <c r="S405" s="184"/>
      <c r="T405" s="184"/>
      <c r="U405" s="184"/>
      <c r="V405" s="184"/>
      <c r="W405" s="184"/>
      <c r="X405" s="179"/>
      <c r="Y405" s="179"/>
      <c r="Z405" s="179"/>
      <c r="AA405" s="179"/>
    </row>
    <row r="406" spans="1:27">
      <c r="A406" s="181">
        <f ca="1">IFERROR(__xludf.DUMMYFUNCTION("IFS(B406="""","""",ISDATE(B406)=TRUE,B406,ISDATE(B406)=FALSE,TO_DATE(DATEVALUE(regexextract(B406,""\d+/\d+/\d+""))))"),44789)</f>
        <v>44789</v>
      </c>
      <c r="B406" s="189" t="s">
        <v>6450</v>
      </c>
      <c r="C406" s="183" t="s">
        <v>2361</v>
      </c>
      <c r="D406" s="183">
        <v>2.25</v>
      </c>
      <c r="E406" s="183" t="s">
        <v>10658</v>
      </c>
      <c r="F406" s="183" t="s">
        <v>5</v>
      </c>
      <c r="G406" s="183" t="s">
        <v>447</v>
      </c>
      <c r="H406" s="183" t="s">
        <v>10659</v>
      </c>
      <c r="I406" s="183">
        <v>2.5</v>
      </c>
      <c r="J406" s="183" t="s">
        <v>622</v>
      </c>
      <c r="K406" s="184" t="s">
        <v>2366</v>
      </c>
      <c r="L406" s="183">
        <v>2</v>
      </c>
      <c r="M406" s="183"/>
      <c r="N406" s="187"/>
      <c r="O406" s="183" t="s">
        <v>452</v>
      </c>
      <c r="P406" s="183" t="s">
        <v>2367</v>
      </c>
      <c r="Q406" s="184" t="s">
        <v>2368</v>
      </c>
      <c r="R406" s="183" t="s">
        <v>24</v>
      </c>
      <c r="S406" s="184"/>
      <c r="T406" s="184"/>
      <c r="U406" s="184"/>
      <c r="V406" s="184"/>
      <c r="W406" s="184"/>
      <c r="X406" s="179"/>
      <c r="Y406" s="179"/>
      <c r="Z406" s="179"/>
      <c r="AA406" s="179"/>
    </row>
    <row r="407" spans="1:27">
      <c r="A407" s="181">
        <f ca="1">IFERROR(__xludf.DUMMYFUNCTION("IFS(B407="""","""",ISDATE(B407)=TRUE,B407,ISDATE(B407)=FALSE,TO_DATE(DATEVALUE(regexextract(B407,""\d+/\d+/\d+""))))"),44789)</f>
        <v>44789</v>
      </c>
      <c r="B407" s="189" t="s">
        <v>6450</v>
      </c>
      <c r="C407" s="183" t="s">
        <v>7077</v>
      </c>
      <c r="D407" s="183">
        <v>2</v>
      </c>
      <c r="E407" s="183" t="s">
        <v>7080</v>
      </c>
      <c r="F407" s="183" t="s">
        <v>4</v>
      </c>
      <c r="G407" s="183" t="s">
        <v>727</v>
      </c>
      <c r="H407" s="183" t="s">
        <v>10660</v>
      </c>
      <c r="I407" s="183">
        <v>2</v>
      </c>
      <c r="J407" s="183" t="s">
        <v>1045</v>
      </c>
      <c r="K407" s="183" t="s">
        <v>7082</v>
      </c>
      <c r="L407" s="183">
        <v>2</v>
      </c>
      <c r="M407" s="183" t="s">
        <v>451</v>
      </c>
      <c r="N407" s="187">
        <v>800000</v>
      </c>
      <c r="O407" s="183" t="s">
        <v>452</v>
      </c>
      <c r="P407" s="183" t="s">
        <v>452</v>
      </c>
      <c r="Q407" s="183"/>
      <c r="R407" s="183" t="s">
        <v>24</v>
      </c>
      <c r="S407" s="184"/>
      <c r="T407" s="184"/>
      <c r="U407" s="184"/>
      <c r="V407" s="184"/>
      <c r="W407" s="184"/>
      <c r="X407" s="179"/>
      <c r="Y407" s="179"/>
      <c r="Z407" s="179"/>
      <c r="AA407" s="179"/>
    </row>
    <row r="408" spans="1:27">
      <c r="A408" s="181">
        <f ca="1">IFERROR(__xludf.DUMMYFUNCTION("IFS(B408="""","""",ISDATE(B408)=TRUE,B408,ISDATE(B408)=FALSE,TO_DATE(DATEVALUE(regexextract(B408,""\d+/\d+/\d+""))))"),44789)</f>
        <v>44789</v>
      </c>
      <c r="B408" s="182" t="s">
        <v>6450</v>
      </c>
      <c r="C408" s="183" t="s">
        <v>8006</v>
      </c>
      <c r="D408" s="183">
        <v>1.5</v>
      </c>
      <c r="E408" s="183" t="s">
        <v>8009</v>
      </c>
      <c r="F408" s="183" t="s">
        <v>4</v>
      </c>
      <c r="G408" s="183" t="s">
        <v>727</v>
      </c>
      <c r="H408" s="183" t="s">
        <v>10661</v>
      </c>
      <c r="I408" s="183">
        <v>1.5</v>
      </c>
      <c r="J408" s="183" t="s">
        <v>1045</v>
      </c>
      <c r="K408" s="183" t="s">
        <v>8011</v>
      </c>
      <c r="L408" s="183">
        <v>1.5</v>
      </c>
      <c r="M408" s="184"/>
      <c r="N408" s="184"/>
      <c r="O408" s="183" t="s">
        <v>454</v>
      </c>
      <c r="P408" s="183" t="s">
        <v>452</v>
      </c>
      <c r="Q408" s="184"/>
      <c r="R408" s="183" t="s">
        <v>24</v>
      </c>
      <c r="S408" s="183"/>
      <c r="T408" s="184"/>
      <c r="U408" s="184"/>
      <c r="V408" s="184"/>
      <c r="W408" s="184"/>
      <c r="X408" s="179"/>
      <c r="Y408" s="179"/>
      <c r="Z408" s="179"/>
      <c r="AA408" s="179"/>
    </row>
    <row r="409" spans="1:27">
      <c r="A409" s="181">
        <f ca="1">IFERROR(__xludf.DUMMYFUNCTION("IFS(B409="""","""",ISDATE(B409)=TRUE,B409,ISDATE(B409)=FALSE,TO_DATE(DATEVALUE(regexextract(B409,""\d+/\d+/\d+""))))"),44784)</f>
        <v>44784</v>
      </c>
      <c r="B409" s="182" t="s">
        <v>10173</v>
      </c>
      <c r="C409" s="183" t="s">
        <v>2973</v>
      </c>
      <c r="D409" s="183">
        <v>3.25</v>
      </c>
      <c r="E409" s="183" t="s">
        <v>2976</v>
      </c>
      <c r="F409" s="183" t="s">
        <v>5</v>
      </c>
      <c r="G409" s="183" t="s">
        <v>447</v>
      </c>
      <c r="H409" s="184" t="s">
        <v>10662</v>
      </c>
      <c r="I409" s="183">
        <v>3</v>
      </c>
      <c r="J409" s="183" t="s">
        <v>449</v>
      </c>
      <c r="K409" s="184" t="s">
        <v>10663</v>
      </c>
      <c r="L409" s="183">
        <v>3.5</v>
      </c>
      <c r="M409" s="183" t="s">
        <v>451</v>
      </c>
      <c r="N409" s="187">
        <v>3000000</v>
      </c>
      <c r="O409" s="183" t="s">
        <v>465</v>
      </c>
      <c r="P409" s="183" t="s">
        <v>10664</v>
      </c>
      <c r="Q409" s="184"/>
      <c r="R409" s="183" t="s">
        <v>24</v>
      </c>
      <c r="S409" s="184"/>
      <c r="T409" s="184"/>
      <c r="U409" s="184"/>
      <c r="V409" s="184"/>
      <c r="W409" s="184"/>
      <c r="X409" s="179"/>
      <c r="Y409" s="179"/>
      <c r="Z409" s="179"/>
      <c r="AA409" s="179"/>
    </row>
    <row r="410" spans="1:27">
      <c r="A410" s="181">
        <f ca="1">IFERROR(__xludf.DUMMYFUNCTION("IFS(B410="""","""",ISDATE(B410)=TRUE,B410,ISDATE(B410)=FALSE,TO_DATE(DATEVALUE(regexextract(B410,""\d+/\d+/\d+""))))"),44789)</f>
        <v>44789</v>
      </c>
      <c r="B410" s="182" t="s">
        <v>6450</v>
      </c>
      <c r="C410" s="183" t="s">
        <v>207</v>
      </c>
      <c r="D410" s="183">
        <v>4</v>
      </c>
      <c r="E410" s="183" t="s">
        <v>3836</v>
      </c>
      <c r="F410" s="183" t="s">
        <v>4</v>
      </c>
      <c r="G410" s="183" t="s">
        <v>727</v>
      </c>
      <c r="H410" s="183" t="s">
        <v>10665</v>
      </c>
      <c r="I410" s="183">
        <v>4</v>
      </c>
      <c r="J410" s="183" t="s">
        <v>1045</v>
      </c>
      <c r="K410" s="183"/>
      <c r="L410" s="183">
        <v>4</v>
      </c>
      <c r="M410" s="183"/>
      <c r="N410" s="187"/>
      <c r="O410" s="183" t="s">
        <v>452</v>
      </c>
      <c r="P410" s="183" t="s">
        <v>10666</v>
      </c>
      <c r="Q410" s="184"/>
      <c r="R410" s="183" t="s">
        <v>18</v>
      </c>
      <c r="S410" s="183"/>
      <c r="T410" s="184"/>
      <c r="U410" s="184"/>
      <c r="V410" s="184"/>
      <c r="W410" s="184"/>
      <c r="X410" s="179"/>
      <c r="Y410" s="179"/>
      <c r="Z410" s="179"/>
      <c r="AA410" s="179"/>
    </row>
    <row r="411" spans="1:27">
      <c r="A411" s="181">
        <f ca="1">IFERROR(__xludf.DUMMYFUNCTION("IFS(B411="""","""",ISDATE(B411)=TRUE,B411,ISDATE(B411)=FALSE,TO_DATE(DATEVALUE(regexextract(B411,""\d+/\d+/\d+""))))"),44796)</f>
        <v>44796</v>
      </c>
      <c r="B411" s="182" t="s">
        <v>529</v>
      </c>
      <c r="C411" s="183" t="s">
        <v>418</v>
      </c>
      <c r="D411" s="183">
        <v>4.25</v>
      </c>
      <c r="E411" s="183" t="s">
        <v>10667</v>
      </c>
      <c r="F411" s="183" t="s">
        <v>3</v>
      </c>
      <c r="G411" s="183" t="s">
        <v>460</v>
      </c>
      <c r="H411" s="183" t="s">
        <v>2016</v>
      </c>
      <c r="I411" s="183">
        <v>4.5</v>
      </c>
      <c r="J411" s="183" t="s">
        <v>462</v>
      </c>
      <c r="K411" s="183" t="s">
        <v>2017</v>
      </c>
      <c r="L411" s="183">
        <v>4</v>
      </c>
      <c r="M411" s="183" t="s">
        <v>451</v>
      </c>
      <c r="N411" s="185" t="s">
        <v>2018</v>
      </c>
      <c r="O411" s="183" t="s">
        <v>452</v>
      </c>
      <c r="P411" s="183" t="s">
        <v>575</v>
      </c>
      <c r="Q411" s="184" t="s">
        <v>1187</v>
      </c>
      <c r="R411" s="183" t="s">
        <v>18</v>
      </c>
      <c r="S411" s="184"/>
      <c r="T411" s="184"/>
      <c r="U411" s="184"/>
      <c r="V411" s="184"/>
      <c r="W411" s="184"/>
      <c r="X411" s="179"/>
      <c r="Y411" s="179"/>
      <c r="Z411" s="179"/>
      <c r="AA411" s="179"/>
    </row>
    <row r="412" spans="1:27">
      <c r="A412" s="181">
        <f ca="1">IFERROR(__xludf.DUMMYFUNCTION("IFS(B412="""","""",ISDATE(B412)=TRUE,B412,ISDATE(B412)=FALSE,TO_DATE(DATEVALUE(regexextract(B412,""\d+/\d+/\d+""))))"),44789)</f>
        <v>44789</v>
      </c>
      <c r="B412" s="182" t="s">
        <v>6450</v>
      </c>
      <c r="C412" s="183" t="s">
        <v>238</v>
      </c>
      <c r="D412" s="183">
        <v>4</v>
      </c>
      <c r="E412" s="183" t="s">
        <v>10668</v>
      </c>
      <c r="F412" s="183" t="s">
        <v>4</v>
      </c>
      <c r="G412" s="183" t="s">
        <v>727</v>
      </c>
      <c r="H412" s="183"/>
      <c r="I412" s="183">
        <v>4</v>
      </c>
      <c r="J412" s="183" t="s">
        <v>1045</v>
      </c>
      <c r="K412" s="183" t="s">
        <v>4004</v>
      </c>
      <c r="L412" s="183">
        <v>4</v>
      </c>
      <c r="M412" s="184" t="s">
        <v>451</v>
      </c>
      <c r="N412" s="188" t="s">
        <v>4005</v>
      </c>
      <c r="O412" s="183" t="s">
        <v>454</v>
      </c>
      <c r="P412" s="183" t="s">
        <v>4006</v>
      </c>
      <c r="Q412" s="183"/>
      <c r="R412" s="183" t="s">
        <v>18</v>
      </c>
      <c r="S412" s="184"/>
      <c r="T412" s="184"/>
      <c r="U412" s="184"/>
      <c r="V412" s="184"/>
      <c r="W412" s="184"/>
      <c r="X412" s="179"/>
      <c r="Y412" s="179"/>
      <c r="Z412" s="179"/>
      <c r="AA412" s="179"/>
    </row>
    <row r="413" spans="1:27">
      <c r="A413" s="181">
        <f ca="1">IFERROR(__xludf.DUMMYFUNCTION("IFS(B413="""","""",ISDATE(B413)=TRUE,B413,ISDATE(B413)=FALSE,TO_DATE(DATEVALUE(regexextract(B413,""\d+/\d+/\d+""))))"),44789)</f>
        <v>44789</v>
      </c>
      <c r="B413" s="182" t="s">
        <v>6450</v>
      </c>
      <c r="C413" s="183" t="s">
        <v>7244</v>
      </c>
      <c r="D413" s="183">
        <v>2</v>
      </c>
      <c r="E413" s="183" t="s">
        <v>7247</v>
      </c>
      <c r="F413" s="183" t="s">
        <v>4</v>
      </c>
      <c r="G413" s="183" t="s">
        <v>727</v>
      </c>
      <c r="H413" s="183" t="s">
        <v>10669</v>
      </c>
      <c r="I413" s="183">
        <v>2</v>
      </c>
      <c r="J413" s="183" t="s">
        <v>1045</v>
      </c>
      <c r="K413" s="183" t="s">
        <v>7249</v>
      </c>
      <c r="L413" s="183">
        <v>2</v>
      </c>
      <c r="M413" s="183"/>
      <c r="N413" s="187"/>
      <c r="O413" s="183" t="s">
        <v>452</v>
      </c>
      <c r="P413" s="183" t="s">
        <v>7250</v>
      </c>
      <c r="Q413" s="184"/>
      <c r="R413" s="183" t="s">
        <v>24</v>
      </c>
      <c r="S413" s="184"/>
      <c r="T413" s="184"/>
      <c r="U413" s="184"/>
      <c r="V413" s="184"/>
      <c r="W413" s="184"/>
      <c r="X413" s="179"/>
      <c r="Y413" s="179"/>
      <c r="Z413" s="179"/>
      <c r="AA413" s="179"/>
    </row>
    <row r="414" spans="1:27">
      <c r="A414" s="181">
        <f ca="1">IFERROR(__xludf.DUMMYFUNCTION("IFS(B414="""","""",ISDATE(B414)=TRUE,B414,ISDATE(B414)=FALSE,TO_DATE(DATEVALUE(regexextract(B414,""\d+/\d+/\d+""))))"),44796)</f>
        <v>44796</v>
      </c>
      <c r="B414" s="182" t="s">
        <v>529</v>
      </c>
      <c r="C414" s="183" t="s">
        <v>9022</v>
      </c>
      <c r="D414" s="183">
        <v>2.25</v>
      </c>
      <c r="E414" s="183" t="s">
        <v>10670</v>
      </c>
      <c r="F414" s="183" t="s">
        <v>3</v>
      </c>
      <c r="G414" s="183" t="s">
        <v>460</v>
      </c>
      <c r="H414" s="183" t="s">
        <v>9026</v>
      </c>
      <c r="I414" s="183">
        <v>2</v>
      </c>
      <c r="J414" s="183" t="s">
        <v>462</v>
      </c>
      <c r="K414" s="183" t="s">
        <v>9027</v>
      </c>
      <c r="L414" s="183">
        <v>2.5</v>
      </c>
      <c r="M414" s="183" t="s">
        <v>784</v>
      </c>
      <c r="N414" s="187" t="s">
        <v>9028</v>
      </c>
      <c r="O414" s="183" t="s">
        <v>452</v>
      </c>
      <c r="P414" s="183" t="s">
        <v>9029</v>
      </c>
      <c r="Q414" s="184"/>
      <c r="R414" s="183" t="s">
        <v>24</v>
      </c>
      <c r="S414" s="183"/>
      <c r="T414" s="184"/>
      <c r="U414" s="184"/>
      <c r="V414" s="184"/>
      <c r="W414" s="184"/>
      <c r="X414" s="179"/>
      <c r="Y414" s="179"/>
      <c r="Z414" s="179"/>
      <c r="AA414" s="179"/>
    </row>
    <row r="415" spans="1:27">
      <c r="A415" s="181">
        <f ca="1">IFERROR(__xludf.DUMMYFUNCTION("IFS(B415="""","""",ISDATE(B415)=TRUE,B415,ISDATE(B415)=FALSE,TO_DATE(DATEVALUE(regexextract(B415,""\d+/\d+/\d+""))))"),44789)</f>
        <v>44789</v>
      </c>
      <c r="B415" s="182" t="s">
        <v>6450</v>
      </c>
      <c r="C415" s="183" t="s">
        <v>201</v>
      </c>
      <c r="D415" s="183">
        <v>4</v>
      </c>
      <c r="E415" s="183" t="s">
        <v>3803</v>
      </c>
      <c r="F415" s="183" t="s">
        <v>4</v>
      </c>
      <c r="G415" s="183" t="s">
        <v>727</v>
      </c>
      <c r="H415" s="183" t="s">
        <v>10671</v>
      </c>
      <c r="I415" s="183">
        <v>4</v>
      </c>
      <c r="J415" s="183" t="s">
        <v>1045</v>
      </c>
      <c r="K415" s="183" t="s">
        <v>3805</v>
      </c>
      <c r="L415" s="183">
        <v>4</v>
      </c>
      <c r="M415" s="183"/>
      <c r="N415" s="187"/>
      <c r="O415" s="183" t="s">
        <v>452</v>
      </c>
      <c r="P415" s="183" t="s">
        <v>10672</v>
      </c>
      <c r="Q415" s="184"/>
      <c r="R415" s="183" t="s">
        <v>18</v>
      </c>
      <c r="S415" s="184"/>
      <c r="T415" s="184"/>
      <c r="U415" s="184"/>
      <c r="V415" s="184"/>
      <c r="W415" s="184"/>
      <c r="X415" s="179"/>
      <c r="Y415" s="179"/>
      <c r="Z415" s="179"/>
      <c r="AA415" s="179"/>
    </row>
    <row r="416" spans="1:27">
      <c r="A416" s="181">
        <f ca="1">IFERROR(__xludf.DUMMYFUNCTION("IFS(B416="""","""",ISDATE(B416)=TRUE,B416,ISDATE(B416)=FALSE,TO_DATE(DATEVALUE(regexextract(B416,""\d+/\d+/\d+""))))"),44796)</f>
        <v>44796</v>
      </c>
      <c r="B416" s="182" t="s">
        <v>529</v>
      </c>
      <c r="C416" s="183" t="s">
        <v>9060</v>
      </c>
      <c r="D416" s="183">
        <v>2.5</v>
      </c>
      <c r="E416" s="183" t="s">
        <v>10673</v>
      </c>
      <c r="F416" s="183" t="s">
        <v>3</v>
      </c>
      <c r="G416" s="183" t="s">
        <v>460</v>
      </c>
      <c r="H416" s="183" t="s">
        <v>9064</v>
      </c>
      <c r="I416" s="183">
        <v>3</v>
      </c>
      <c r="J416" s="183" t="s">
        <v>462</v>
      </c>
      <c r="K416" s="183" t="s">
        <v>9065</v>
      </c>
      <c r="L416" s="183">
        <v>2</v>
      </c>
      <c r="M416" s="183" t="s">
        <v>3138</v>
      </c>
      <c r="N416" s="187" t="s">
        <v>9066</v>
      </c>
      <c r="O416" s="183" t="s">
        <v>452</v>
      </c>
      <c r="P416" s="183" t="s">
        <v>10674</v>
      </c>
      <c r="Q416" s="184"/>
      <c r="R416" s="183" t="s">
        <v>24</v>
      </c>
      <c r="S416" s="184"/>
      <c r="T416" s="184"/>
      <c r="U416" s="184"/>
      <c r="V416" s="184"/>
      <c r="W416" s="184"/>
      <c r="X416" s="179"/>
      <c r="Y416" s="179"/>
      <c r="Z416" s="179"/>
      <c r="AA416" s="179"/>
    </row>
    <row r="417" spans="1:27">
      <c r="A417" s="181">
        <f ca="1">IFERROR(__xludf.DUMMYFUNCTION("IFS(B417="""","""",ISDATE(B417)=TRUE,B417,ISDATE(B417)=FALSE,TO_DATE(DATEVALUE(regexextract(B417,""\d+/\d+/\d+""))))"),44789)</f>
        <v>44789</v>
      </c>
      <c r="B417" s="182" t="s">
        <v>6450</v>
      </c>
      <c r="C417" s="183" t="s">
        <v>4151</v>
      </c>
      <c r="D417" s="183">
        <v>3.88</v>
      </c>
      <c r="E417" s="183" t="s">
        <v>4154</v>
      </c>
      <c r="F417" s="183" t="s">
        <v>4</v>
      </c>
      <c r="G417" s="183" t="s">
        <v>727</v>
      </c>
      <c r="H417" s="183" t="s">
        <v>10675</v>
      </c>
      <c r="I417" s="183">
        <v>4</v>
      </c>
      <c r="J417" s="183" t="s">
        <v>1045</v>
      </c>
      <c r="K417" s="183" t="s">
        <v>4156</v>
      </c>
      <c r="L417" s="183">
        <v>3.75</v>
      </c>
      <c r="M417" s="183" t="s">
        <v>451</v>
      </c>
      <c r="N417" s="187" t="s">
        <v>4157</v>
      </c>
      <c r="O417" s="183" t="s">
        <v>452</v>
      </c>
      <c r="P417" s="183" t="s">
        <v>4158</v>
      </c>
      <c r="Q417" s="183"/>
      <c r="R417" s="183" t="s">
        <v>24</v>
      </c>
      <c r="S417" s="183" t="s">
        <v>4159</v>
      </c>
      <c r="T417" s="184"/>
      <c r="U417" s="184"/>
      <c r="V417" s="184"/>
      <c r="W417" s="184"/>
      <c r="X417" s="179"/>
      <c r="Y417" s="179"/>
      <c r="Z417" s="179"/>
      <c r="AA417" s="179"/>
    </row>
    <row r="418" spans="1:27">
      <c r="A418" s="181">
        <f ca="1">IFERROR(__xludf.DUMMYFUNCTION("IFS(B418="""","""",ISDATE(B418)=TRUE,B418,ISDATE(B418)=FALSE,TO_DATE(DATEVALUE(regexextract(B418,""\d+/\d+/\d+""))))"),44789)</f>
        <v>44789</v>
      </c>
      <c r="B418" s="182" t="s">
        <v>6450</v>
      </c>
      <c r="C418" s="183" t="s">
        <v>235</v>
      </c>
      <c r="D418" s="183">
        <v>4</v>
      </c>
      <c r="E418" s="183" t="s">
        <v>3987</v>
      </c>
      <c r="F418" s="183" t="s">
        <v>4</v>
      </c>
      <c r="G418" s="183" t="s">
        <v>727</v>
      </c>
      <c r="H418" s="183" t="s">
        <v>10676</v>
      </c>
      <c r="I418" s="183">
        <v>4</v>
      </c>
      <c r="J418" s="183" t="s">
        <v>1045</v>
      </c>
      <c r="K418" s="183" t="s">
        <v>3989</v>
      </c>
      <c r="L418" s="183">
        <v>4</v>
      </c>
      <c r="M418" s="183"/>
      <c r="N418" s="185"/>
      <c r="O418" s="183" t="s">
        <v>452</v>
      </c>
      <c r="P418" s="183" t="s">
        <v>3990</v>
      </c>
      <c r="Q418" s="184"/>
      <c r="R418" s="183" t="s">
        <v>18</v>
      </c>
      <c r="S418" s="184"/>
      <c r="T418" s="184"/>
      <c r="U418" s="184"/>
      <c r="V418" s="184"/>
      <c r="W418" s="184"/>
      <c r="X418" s="179"/>
      <c r="Y418" s="179"/>
      <c r="Z418" s="179"/>
      <c r="AA418" s="179"/>
    </row>
    <row r="419" spans="1:27">
      <c r="A419" s="181">
        <f ca="1">IFERROR(__xludf.DUMMYFUNCTION("IFS(B419="""","""",ISDATE(B419)=TRUE,B419,ISDATE(B419)=FALSE,TO_DATE(DATEVALUE(regexextract(B419,""\d+/\d+/\d+""))))"),44791)</f>
        <v>44791</v>
      </c>
      <c r="B419" s="182" t="s">
        <v>10182</v>
      </c>
      <c r="C419" s="183" t="s">
        <v>7137</v>
      </c>
      <c r="D419" s="183">
        <v>2</v>
      </c>
      <c r="E419" s="183" t="s">
        <v>10677</v>
      </c>
      <c r="F419" s="183" t="s">
        <v>4</v>
      </c>
      <c r="G419" s="183" t="s">
        <v>727</v>
      </c>
      <c r="H419" s="183" t="s">
        <v>10678</v>
      </c>
      <c r="I419" s="183">
        <v>2</v>
      </c>
      <c r="J419" s="183" t="s">
        <v>1045</v>
      </c>
      <c r="K419" s="183" t="s">
        <v>7142</v>
      </c>
      <c r="L419" s="183">
        <v>2</v>
      </c>
      <c r="M419" s="183" t="s">
        <v>451</v>
      </c>
      <c r="N419" s="187">
        <v>1500000</v>
      </c>
      <c r="O419" s="183" t="s">
        <v>452</v>
      </c>
      <c r="P419" s="183" t="s">
        <v>7143</v>
      </c>
      <c r="Q419" s="184"/>
      <c r="R419" s="183" t="s">
        <v>24</v>
      </c>
      <c r="S419" s="184"/>
      <c r="T419" s="184"/>
      <c r="U419" s="184"/>
      <c r="V419" s="184"/>
      <c r="W419" s="184"/>
      <c r="X419" s="179"/>
      <c r="Y419" s="179"/>
      <c r="Z419" s="179"/>
      <c r="AA419" s="179"/>
    </row>
    <row r="420" spans="1:27">
      <c r="A420" s="181">
        <f ca="1">IFERROR(__xludf.DUMMYFUNCTION("IFS(B420="""","""",ISDATE(B420)=TRUE,B420,ISDATE(B420)=FALSE,TO_DATE(DATEVALUE(regexextract(B420,""\d+/\d+/\d+""))))"),44789)</f>
        <v>44789</v>
      </c>
      <c r="B420" s="182" t="s">
        <v>6450</v>
      </c>
      <c r="C420" s="183" t="s">
        <v>5685</v>
      </c>
      <c r="D420" s="184">
        <v>3</v>
      </c>
      <c r="E420" s="183" t="s">
        <v>5688</v>
      </c>
      <c r="F420" s="183" t="s">
        <v>4</v>
      </c>
      <c r="G420" s="183" t="s">
        <v>727</v>
      </c>
      <c r="H420" s="184"/>
      <c r="I420" s="184">
        <v>3</v>
      </c>
      <c r="J420" s="183" t="s">
        <v>476</v>
      </c>
      <c r="K420" s="183" t="s">
        <v>10679</v>
      </c>
      <c r="L420" s="183">
        <v>3</v>
      </c>
      <c r="M420" s="184" t="s">
        <v>478</v>
      </c>
      <c r="N420" s="186">
        <v>1000000</v>
      </c>
      <c r="O420" s="183" t="s">
        <v>452</v>
      </c>
      <c r="P420" s="183" t="s">
        <v>452</v>
      </c>
      <c r="Q420" s="184"/>
      <c r="R420" s="184" t="s">
        <v>24</v>
      </c>
      <c r="S420" s="184"/>
      <c r="T420" s="184"/>
      <c r="U420" s="184"/>
      <c r="V420" s="184"/>
      <c r="W420" s="184"/>
      <c r="X420" s="179"/>
      <c r="Y420" s="179"/>
      <c r="Z420" s="179"/>
      <c r="AA420" s="179"/>
    </row>
    <row r="421" spans="1:27">
      <c r="A421" s="181">
        <f ca="1">IFERROR(__xludf.DUMMYFUNCTION("IFS(B421="""","""",ISDATE(B421)=TRUE,B421,ISDATE(B421)=FALSE,TO_DATE(DATEVALUE(regexextract(B421,""\d+/\d+/\d+""))))"),44789)</f>
        <v>44789</v>
      </c>
      <c r="B421" s="182" t="s">
        <v>6450</v>
      </c>
      <c r="C421" s="183" t="s">
        <v>7699</v>
      </c>
      <c r="D421" s="184">
        <v>1.75</v>
      </c>
      <c r="E421" s="183" t="s">
        <v>7702</v>
      </c>
      <c r="F421" s="183" t="s">
        <v>4</v>
      </c>
      <c r="G421" s="183" t="s">
        <v>727</v>
      </c>
      <c r="H421" s="184" t="s">
        <v>10680</v>
      </c>
      <c r="I421" s="184">
        <v>2.5</v>
      </c>
      <c r="J421" s="183" t="s">
        <v>476</v>
      </c>
      <c r="K421" s="183" t="s">
        <v>7704</v>
      </c>
      <c r="L421" s="183">
        <v>1</v>
      </c>
      <c r="M421" s="184" t="s">
        <v>784</v>
      </c>
      <c r="N421" s="190">
        <v>750000</v>
      </c>
      <c r="O421" s="183" t="s">
        <v>452</v>
      </c>
      <c r="P421" s="183" t="s">
        <v>7705</v>
      </c>
      <c r="Q421" s="184"/>
      <c r="R421" s="184" t="s">
        <v>24</v>
      </c>
      <c r="S421" s="184"/>
      <c r="T421" s="184"/>
      <c r="U421" s="184"/>
      <c r="V421" s="184"/>
      <c r="W421" s="184"/>
      <c r="X421" s="179"/>
      <c r="Y421" s="179"/>
      <c r="Z421" s="179"/>
      <c r="AA421" s="179"/>
    </row>
    <row r="422" spans="1:27">
      <c r="A422" s="181">
        <f ca="1">IFERROR(__xludf.DUMMYFUNCTION("IFS(B422="""","""",ISDATE(B422)=TRUE,B422,ISDATE(B422)=FALSE,TO_DATE(DATEVALUE(regexextract(B422,""\d+/\d+/\d+""))))"),44789)</f>
        <v>44789</v>
      </c>
      <c r="B422" s="182" t="s">
        <v>6450</v>
      </c>
      <c r="C422" s="183" t="s">
        <v>6123</v>
      </c>
      <c r="D422" s="183">
        <v>2.63</v>
      </c>
      <c r="E422" s="183" t="s">
        <v>6126</v>
      </c>
      <c r="F422" s="183" t="s">
        <v>4</v>
      </c>
      <c r="G422" s="183" t="s">
        <v>727</v>
      </c>
      <c r="H422" s="183" t="s">
        <v>10681</v>
      </c>
      <c r="I422" s="183">
        <v>3.75</v>
      </c>
      <c r="J422" s="183" t="s">
        <v>476</v>
      </c>
      <c r="K422" s="183" t="s">
        <v>10682</v>
      </c>
      <c r="L422" s="183">
        <v>1.5</v>
      </c>
      <c r="M422" s="184"/>
      <c r="N422" s="186"/>
      <c r="O422" s="183" t="s">
        <v>452</v>
      </c>
      <c r="P422" s="183" t="s">
        <v>3420</v>
      </c>
      <c r="Q422" s="184"/>
      <c r="R422" s="183" t="s">
        <v>24</v>
      </c>
      <c r="S422" s="184"/>
      <c r="T422" s="184"/>
      <c r="U422" s="184"/>
      <c r="V422" s="184"/>
      <c r="W422" s="184"/>
      <c r="X422" s="179"/>
      <c r="Y422" s="179"/>
      <c r="Z422" s="179"/>
      <c r="AA422" s="179"/>
    </row>
    <row r="423" spans="1:27">
      <c r="A423" s="181">
        <f ca="1">IFERROR(__xludf.DUMMYFUNCTION("IFS(B423="""","""",ISDATE(B423)=TRUE,B423,ISDATE(B423)=FALSE,TO_DATE(DATEVALUE(regexextract(B423,""\d+/\d+/\d+""))))"),44789)</f>
        <v>44789</v>
      </c>
      <c r="B423" s="182" t="s">
        <v>6450</v>
      </c>
      <c r="C423" s="183" t="s">
        <v>4576</v>
      </c>
      <c r="D423" s="184">
        <v>3.5</v>
      </c>
      <c r="E423" s="183" t="s">
        <v>10683</v>
      </c>
      <c r="F423" s="183" t="s">
        <v>4</v>
      </c>
      <c r="G423" s="183" t="s">
        <v>727</v>
      </c>
      <c r="H423" s="184" t="s">
        <v>10684</v>
      </c>
      <c r="I423" s="184">
        <v>4</v>
      </c>
      <c r="J423" s="183" t="s">
        <v>476</v>
      </c>
      <c r="K423" s="184" t="s">
        <v>10685</v>
      </c>
      <c r="L423" s="184">
        <v>3</v>
      </c>
      <c r="M423" s="184" t="s">
        <v>451</v>
      </c>
      <c r="N423" s="190">
        <v>3000000</v>
      </c>
      <c r="O423" s="183" t="s">
        <v>452</v>
      </c>
      <c r="P423" s="183" t="s">
        <v>10686</v>
      </c>
      <c r="Q423" s="183"/>
      <c r="R423" s="184" t="s">
        <v>24</v>
      </c>
      <c r="S423" s="184"/>
      <c r="T423" s="184"/>
      <c r="U423" s="184"/>
      <c r="V423" s="184"/>
      <c r="W423" s="184"/>
      <c r="X423" s="179"/>
      <c r="Y423" s="179"/>
      <c r="Z423" s="179"/>
      <c r="AA423" s="179"/>
    </row>
    <row r="424" spans="1:27">
      <c r="A424" s="181">
        <f ca="1">IFERROR(__xludf.DUMMYFUNCTION("IFS(B424="""","""",ISDATE(B424)=TRUE,B424,ISDATE(B424)=FALSE,TO_DATE(DATEVALUE(regexextract(B424,""\d+/\d+/\d+""))))"),44791)</f>
        <v>44791</v>
      </c>
      <c r="B424" s="182" t="s">
        <v>10182</v>
      </c>
      <c r="C424" s="183" t="s">
        <v>6330</v>
      </c>
      <c r="D424" s="184">
        <v>2.5</v>
      </c>
      <c r="E424" s="183" t="s">
        <v>6333</v>
      </c>
      <c r="F424" s="183" t="s">
        <v>4</v>
      </c>
      <c r="G424" s="183" t="s">
        <v>727</v>
      </c>
      <c r="H424" s="183" t="s">
        <v>10687</v>
      </c>
      <c r="I424" s="183">
        <v>2</v>
      </c>
      <c r="J424" s="183" t="s">
        <v>1281</v>
      </c>
      <c r="K424" s="184" t="s">
        <v>6335</v>
      </c>
      <c r="L424" s="184">
        <v>3</v>
      </c>
      <c r="M424" s="183"/>
      <c r="N424" s="183"/>
      <c r="O424" s="183" t="s">
        <v>452</v>
      </c>
      <c r="P424" s="183" t="s">
        <v>6336</v>
      </c>
      <c r="Q424" s="184"/>
      <c r="R424" s="184" t="s">
        <v>24</v>
      </c>
      <c r="S424" s="184"/>
      <c r="T424" s="184"/>
      <c r="U424" s="184"/>
      <c r="V424" s="184"/>
      <c r="W424" s="184"/>
      <c r="X424" s="179"/>
      <c r="Y424" s="179"/>
      <c r="Z424" s="179"/>
      <c r="AA424" s="179"/>
    </row>
    <row r="425" spans="1:27">
      <c r="A425" s="181">
        <f ca="1">IFERROR(__xludf.DUMMYFUNCTION("IFS(B425="""","""",ISDATE(B425)=TRUE,B425,ISDATE(B425)=FALSE,TO_DATE(DATEVALUE(regexextract(B425,""\d+/\d+/\d+""))))"),44797)</f>
        <v>44797</v>
      </c>
      <c r="B425" s="189" t="s">
        <v>907</v>
      </c>
      <c r="C425" s="183" t="s">
        <v>6873</v>
      </c>
      <c r="D425" s="183">
        <v>2.25</v>
      </c>
      <c r="E425" s="183" t="s">
        <v>6876</v>
      </c>
      <c r="F425" s="183" t="s">
        <v>4</v>
      </c>
      <c r="G425" s="183" t="s">
        <v>727</v>
      </c>
      <c r="H425" s="183" t="s">
        <v>10688</v>
      </c>
      <c r="I425" s="183">
        <v>2.5</v>
      </c>
      <c r="J425" s="183" t="s">
        <v>543</v>
      </c>
      <c r="K425" s="183" t="s">
        <v>10689</v>
      </c>
      <c r="L425" s="183">
        <v>2</v>
      </c>
      <c r="M425" s="184" t="s">
        <v>784</v>
      </c>
      <c r="N425" s="186">
        <v>720000</v>
      </c>
      <c r="O425" s="183" t="s">
        <v>452</v>
      </c>
      <c r="P425" s="183" t="s">
        <v>6879</v>
      </c>
      <c r="Q425" s="184"/>
      <c r="R425" s="183" t="s">
        <v>24</v>
      </c>
      <c r="S425" s="184"/>
      <c r="T425" s="184"/>
      <c r="U425" s="184"/>
      <c r="V425" s="184"/>
      <c r="W425" s="184"/>
      <c r="X425" s="179"/>
      <c r="Y425" s="179"/>
      <c r="Z425" s="179"/>
      <c r="AA425" s="179"/>
    </row>
    <row r="426" spans="1:27">
      <c r="A426" s="181">
        <f ca="1">IFERROR(__xludf.DUMMYFUNCTION("IFS(B426="""","""",ISDATE(B426)=TRUE,B426,ISDATE(B426)=FALSE,TO_DATE(DATEVALUE(regexextract(B426,""\d+/\d+/\d+""))))"),44791)</f>
        <v>44791</v>
      </c>
      <c r="B426" s="189" t="s">
        <v>10182</v>
      </c>
      <c r="C426" s="183" t="s">
        <v>6181</v>
      </c>
      <c r="D426" s="183">
        <v>2.5</v>
      </c>
      <c r="E426" s="183" t="s">
        <v>6184</v>
      </c>
      <c r="F426" s="183" t="s">
        <v>4</v>
      </c>
      <c r="G426" s="183" t="s">
        <v>727</v>
      </c>
      <c r="H426" s="183" t="s">
        <v>10690</v>
      </c>
      <c r="I426" s="183">
        <v>3</v>
      </c>
      <c r="J426" s="183" t="s">
        <v>1036</v>
      </c>
      <c r="K426" s="183" t="s">
        <v>6186</v>
      </c>
      <c r="L426" s="183">
        <v>2</v>
      </c>
      <c r="M426" s="184" t="s">
        <v>784</v>
      </c>
      <c r="N426" s="188">
        <v>608750</v>
      </c>
      <c r="O426" s="183" t="s">
        <v>452</v>
      </c>
      <c r="P426" s="183" t="s">
        <v>6187</v>
      </c>
      <c r="Q426" s="184"/>
      <c r="R426" s="183" t="s">
        <v>24</v>
      </c>
      <c r="S426" s="184"/>
      <c r="T426" s="184"/>
      <c r="U426" s="184"/>
      <c r="V426" s="184"/>
      <c r="W426" s="184"/>
      <c r="X426" s="179"/>
      <c r="Y426" s="179"/>
      <c r="Z426" s="179"/>
      <c r="AA426" s="179"/>
    </row>
    <row r="427" spans="1:27">
      <c r="A427" s="181">
        <f ca="1">IFERROR(__xludf.DUMMYFUNCTION("IFS(B427="""","""",ISDATE(B427)=TRUE,B427,ISDATE(B427)=FALSE,TO_DATE(DATEVALUE(regexextract(B427,""\d+/\d+/\d+""))))"),44796)</f>
        <v>44796</v>
      </c>
      <c r="B427" s="182" t="s">
        <v>529</v>
      </c>
      <c r="C427" s="183" t="s">
        <v>5147</v>
      </c>
      <c r="D427" s="183">
        <v>3.25</v>
      </c>
      <c r="E427" s="183" t="s">
        <v>5150</v>
      </c>
      <c r="F427" s="183" t="s">
        <v>4</v>
      </c>
      <c r="G427" s="183" t="s">
        <v>727</v>
      </c>
      <c r="H427" s="183" t="s">
        <v>10691</v>
      </c>
      <c r="I427" s="183">
        <v>3</v>
      </c>
      <c r="J427" s="183" t="s">
        <v>1350</v>
      </c>
      <c r="K427" s="183" t="s">
        <v>5152</v>
      </c>
      <c r="L427" s="183">
        <v>3.5</v>
      </c>
      <c r="M427" s="183"/>
      <c r="N427" s="187"/>
      <c r="O427" s="183" t="s">
        <v>452</v>
      </c>
      <c r="P427" s="183" t="s">
        <v>5153</v>
      </c>
      <c r="Q427" s="184"/>
      <c r="R427" s="183" t="s">
        <v>24</v>
      </c>
      <c r="S427" s="183"/>
      <c r="T427" s="184"/>
      <c r="U427" s="184"/>
      <c r="V427" s="184"/>
      <c r="W427" s="184"/>
      <c r="X427" s="179"/>
      <c r="Y427" s="179"/>
      <c r="Z427" s="179"/>
      <c r="AA427" s="179"/>
    </row>
    <row r="428" spans="1:27">
      <c r="A428" s="181">
        <f ca="1">IFERROR(__xludf.DUMMYFUNCTION("IFS(B428="""","""",ISDATE(B428)=TRUE,B428,ISDATE(B428)=FALSE,TO_DATE(DATEVALUE(regexextract(B428,""\d+/\d+/\d+""))))"),44784)</f>
        <v>44784</v>
      </c>
      <c r="B428" s="182" t="s">
        <v>10173</v>
      </c>
      <c r="C428" s="183" t="s">
        <v>216</v>
      </c>
      <c r="D428" s="184">
        <v>4</v>
      </c>
      <c r="E428" s="183" t="s">
        <v>3899</v>
      </c>
      <c r="F428" s="183" t="s">
        <v>4</v>
      </c>
      <c r="G428" s="183" t="s">
        <v>447</v>
      </c>
      <c r="H428" s="184"/>
      <c r="I428" s="184">
        <v>4</v>
      </c>
      <c r="J428" s="183" t="s">
        <v>543</v>
      </c>
      <c r="K428" s="183" t="s">
        <v>10692</v>
      </c>
      <c r="L428" s="183">
        <v>4</v>
      </c>
      <c r="M428" s="184" t="s">
        <v>451</v>
      </c>
      <c r="N428" s="188">
        <v>3600000</v>
      </c>
      <c r="O428" s="183" t="s">
        <v>452</v>
      </c>
      <c r="P428" s="183" t="s">
        <v>3901</v>
      </c>
      <c r="Q428" s="183" t="s">
        <v>725</v>
      </c>
      <c r="R428" s="184" t="s">
        <v>18</v>
      </c>
      <c r="S428" s="184" t="s">
        <v>3902</v>
      </c>
      <c r="T428" s="184"/>
      <c r="U428" s="184"/>
      <c r="V428" s="184"/>
      <c r="W428" s="184"/>
      <c r="X428" s="179"/>
      <c r="Y428" s="179"/>
      <c r="Z428" s="179"/>
      <c r="AA428" s="179"/>
    </row>
    <row r="429" spans="1:27">
      <c r="A429" s="181">
        <f ca="1">IFERROR(__xludf.DUMMYFUNCTION("IFS(B429="""","""",ISDATE(B429)=TRUE,B429,ISDATE(B429)=FALSE,TO_DATE(DATEVALUE(regexextract(B429,""\d+/\d+/\d+""))))"),44791)</f>
        <v>44791</v>
      </c>
      <c r="B429" s="182" t="s">
        <v>10182</v>
      </c>
      <c r="C429" s="183" t="s">
        <v>4689</v>
      </c>
      <c r="D429" s="184">
        <v>3.5</v>
      </c>
      <c r="E429" s="183" t="s">
        <v>4692</v>
      </c>
      <c r="F429" s="183" t="s">
        <v>4</v>
      </c>
      <c r="G429" s="183" t="s">
        <v>727</v>
      </c>
      <c r="H429" s="184" t="s">
        <v>10693</v>
      </c>
      <c r="I429" s="184">
        <v>4</v>
      </c>
      <c r="J429" s="183" t="s">
        <v>1237</v>
      </c>
      <c r="K429" s="183"/>
      <c r="L429" s="183">
        <v>3</v>
      </c>
      <c r="M429" s="183" t="s">
        <v>4694</v>
      </c>
      <c r="N429" s="185" t="s">
        <v>4695</v>
      </c>
      <c r="O429" s="183" t="s">
        <v>452</v>
      </c>
      <c r="P429" s="183" t="s">
        <v>974</v>
      </c>
      <c r="Q429" s="184" t="s">
        <v>725</v>
      </c>
      <c r="R429" s="184" t="s">
        <v>24</v>
      </c>
      <c r="S429" s="184"/>
      <c r="T429" s="184"/>
      <c r="U429" s="184"/>
      <c r="V429" s="184"/>
      <c r="W429" s="184"/>
      <c r="X429" s="179"/>
      <c r="Y429" s="179"/>
      <c r="Z429" s="179"/>
      <c r="AA429" s="179"/>
    </row>
    <row r="430" spans="1:27">
      <c r="A430" s="181">
        <f ca="1">IFERROR(__xludf.DUMMYFUNCTION("IFS(B430="""","""",ISDATE(B430)=TRUE,B430,ISDATE(B430)=FALSE,TO_DATE(DATEVALUE(regexextract(B430,""\d+/\d+/\d+""))))"),44789)</f>
        <v>44789</v>
      </c>
      <c r="B430" s="182" t="s">
        <v>6450</v>
      </c>
      <c r="C430" s="183" t="s">
        <v>10694</v>
      </c>
      <c r="D430" s="184">
        <v>3.25</v>
      </c>
      <c r="E430" s="183" t="s">
        <v>5058</v>
      </c>
      <c r="F430" s="183" t="s">
        <v>4</v>
      </c>
      <c r="G430" s="183" t="s">
        <v>727</v>
      </c>
      <c r="H430" s="184" t="s">
        <v>10695</v>
      </c>
      <c r="I430" s="184">
        <v>3.5</v>
      </c>
      <c r="J430" s="183" t="s">
        <v>1045</v>
      </c>
      <c r="K430" s="184" t="s">
        <v>5060</v>
      </c>
      <c r="L430" s="184">
        <v>3</v>
      </c>
      <c r="M430" s="183"/>
      <c r="N430" s="187"/>
      <c r="O430" s="183" t="s">
        <v>452</v>
      </c>
      <c r="P430" s="183" t="s">
        <v>10696</v>
      </c>
      <c r="Q430" s="184" t="s">
        <v>725</v>
      </c>
      <c r="R430" s="184" t="s">
        <v>24</v>
      </c>
      <c r="S430" s="184"/>
      <c r="T430" s="184"/>
      <c r="U430" s="184"/>
      <c r="V430" s="184"/>
      <c r="W430" s="184"/>
      <c r="X430" s="179"/>
      <c r="Y430" s="179"/>
      <c r="Z430" s="179"/>
      <c r="AA430" s="179"/>
    </row>
    <row r="431" spans="1:27">
      <c r="A431" s="181">
        <f ca="1">IFERROR(__xludf.DUMMYFUNCTION("IFS(B431="""","""",ISDATE(B431)=TRUE,B431,ISDATE(B431)=FALSE,TO_DATE(DATEVALUE(regexextract(B431,""\d+/\d+/\d+""))))"),44782)</f>
        <v>44782</v>
      </c>
      <c r="B431" s="182" t="s">
        <v>10188</v>
      </c>
      <c r="C431" s="183" t="s">
        <v>88</v>
      </c>
      <c r="D431" s="184">
        <v>4</v>
      </c>
      <c r="E431" s="184" t="s">
        <v>620</v>
      </c>
      <c r="F431" s="183" t="s">
        <v>5</v>
      </c>
      <c r="G431" s="183" t="s">
        <v>447</v>
      </c>
      <c r="H431" s="184" t="s">
        <v>10697</v>
      </c>
      <c r="I431" s="184">
        <v>4</v>
      </c>
      <c r="J431" s="183" t="s">
        <v>622</v>
      </c>
      <c r="K431" s="184" t="s">
        <v>10698</v>
      </c>
      <c r="L431" s="184">
        <v>4</v>
      </c>
      <c r="M431" s="183" t="s">
        <v>478</v>
      </c>
      <c r="N431" s="187">
        <v>3000000</v>
      </c>
      <c r="O431" s="183" t="s">
        <v>452</v>
      </c>
      <c r="P431" s="183" t="s">
        <v>452</v>
      </c>
      <c r="Q431" s="184"/>
      <c r="R431" s="184" t="s">
        <v>18</v>
      </c>
      <c r="S431" s="184" t="s">
        <v>624</v>
      </c>
      <c r="T431" s="184"/>
      <c r="U431" s="184"/>
      <c r="V431" s="184"/>
      <c r="W431" s="184"/>
      <c r="X431" s="179"/>
      <c r="Y431" s="179"/>
      <c r="Z431" s="179"/>
      <c r="AA431" s="179"/>
    </row>
    <row r="432" spans="1:27">
      <c r="A432" s="181">
        <f ca="1">IFERROR(__xludf.DUMMYFUNCTION("IFS(B432="""","""",ISDATE(B432)=TRUE,B432,ISDATE(B432)=FALSE,TO_DATE(DATEVALUE(regexextract(B432,""\d+/\d+/\d+""))))"),44784)</f>
        <v>44784</v>
      </c>
      <c r="B432" s="182" t="s">
        <v>10173</v>
      </c>
      <c r="C432" s="183" t="s">
        <v>381</v>
      </c>
      <c r="D432" s="184">
        <v>3.75</v>
      </c>
      <c r="E432" s="183" t="s">
        <v>10038</v>
      </c>
      <c r="F432" s="183" t="s">
        <v>5</v>
      </c>
      <c r="G432" s="183" t="s">
        <v>447</v>
      </c>
      <c r="H432" s="184" t="s">
        <v>10699</v>
      </c>
      <c r="I432" s="184">
        <v>3.5</v>
      </c>
      <c r="J432" s="183" t="s">
        <v>449</v>
      </c>
      <c r="K432" s="183" t="s">
        <v>10700</v>
      </c>
      <c r="L432" s="183">
        <v>4</v>
      </c>
      <c r="M432" s="184" t="s">
        <v>451</v>
      </c>
      <c r="N432" s="188">
        <v>800</v>
      </c>
      <c r="O432" s="183" t="s">
        <v>465</v>
      </c>
      <c r="P432" s="183" t="s">
        <v>10701</v>
      </c>
      <c r="Q432" s="183"/>
      <c r="R432" s="184" t="s">
        <v>18</v>
      </c>
      <c r="S432" s="184" t="s">
        <v>10042</v>
      </c>
      <c r="T432" s="184"/>
      <c r="U432" s="184"/>
      <c r="V432" s="184"/>
      <c r="W432" s="184"/>
      <c r="X432" s="179"/>
      <c r="Y432" s="179"/>
      <c r="Z432" s="179"/>
      <c r="AA432" s="179"/>
    </row>
    <row r="433" spans="1:27">
      <c r="A433" s="181">
        <f ca="1">IFERROR(__xludf.DUMMYFUNCTION("IFS(B433="""","""",ISDATE(B433)=TRUE,B433,ISDATE(B433)=FALSE,TO_DATE(DATEVALUE(regexextract(B433,""\d+/\d+/\d+""))))"),44784)</f>
        <v>44784</v>
      </c>
      <c r="B433" s="182" t="s">
        <v>10173</v>
      </c>
      <c r="C433" s="183" t="s">
        <v>3524</v>
      </c>
      <c r="D433" s="183">
        <v>2.75</v>
      </c>
      <c r="E433" s="183" t="s">
        <v>3527</v>
      </c>
      <c r="F433" s="183" t="s">
        <v>5</v>
      </c>
      <c r="G433" s="183" t="s">
        <v>447</v>
      </c>
      <c r="H433" s="183" t="s">
        <v>10702</v>
      </c>
      <c r="I433" s="183">
        <v>2.5</v>
      </c>
      <c r="J433" s="183" t="s">
        <v>449</v>
      </c>
      <c r="K433" s="183" t="s">
        <v>10703</v>
      </c>
      <c r="L433" s="183">
        <v>3</v>
      </c>
      <c r="M433" s="183"/>
      <c r="N433" s="187"/>
      <c r="O433" s="183" t="s">
        <v>452</v>
      </c>
      <c r="P433" s="183" t="s">
        <v>452</v>
      </c>
      <c r="Q433" s="183"/>
      <c r="R433" s="183" t="s">
        <v>24</v>
      </c>
      <c r="S433" s="183"/>
      <c r="T433" s="184"/>
      <c r="U433" s="184"/>
      <c r="V433" s="184"/>
      <c r="W433" s="184"/>
      <c r="X433" s="179"/>
      <c r="Y433" s="179"/>
      <c r="Z433" s="179"/>
      <c r="AA433" s="179"/>
    </row>
    <row r="434" spans="1:27">
      <c r="A434" s="181">
        <f ca="1">IFERROR(__xludf.DUMMYFUNCTION("IFS(B434="""","""",ISDATE(B434)=TRUE,B434,ISDATE(B434)=FALSE,TO_DATE(DATEVALUE(regexextract(B434,""\d+/\d+/\d+""))))"),44791)</f>
        <v>44791</v>
      </c>
      <c r="B434" s="182" t="s">
        <v>10182</v>
      </c>
      <c r="C434" s="191" t="s">
        <v>9201</v>
      </c>
      <c r="D434" s="184">
        <v>1</v>
      </c>
      <c r="E434" s="183" t="s">
        <v>9204</v>
      </c>
      <c r="F434" s="183" t="s">
        <v>3</v>
      </c>
      <c r="G434" s="183" t="s">
        <v>460</v>
      </c>
      <c r="H434" s="184" t="s">
        <v>9205</v>
      </c>
      <c r="I434" s="184">
        <v>1</v>
      </c>
      <c r="J434" s="183" t="s">
        <v>462</v>
      </c>
      <c r="K434" s="183" t="s">
        <v>9206</v>
      </c>
      <c r="L434" s="183">
        <v>1</v>
      </c>
      <c r="M434" s="183"/>
      <c r="N434" s="187"/>
      <c r="O434" s="183" t="s">
        <v>452</v>
      </c>
      <c r="P434" s="183" t="s">
        <v>9207</v>
      </c>
      <c r="Q434" s="184"/>
      <c r="R434" s="184" t="s">
        <v>24</v>
      </c>
      <c r="S434" s="184"/>
      <c r="T434" s="184"/>
      <c r="U434" s="184"/>
      <c r="V434" s="184"/>
      <c r="W434" s="184"/>
      <c r="X434" s="179"/>
      <c r="Y434" s="179"/>
      <c r="Z434" s="179"/>
      <c r="AA434" s="179"/>
    </row>
    <row r="435" spans="1:27">
      <c r="A435" s="181">
        <f ca="1">IFERROR(__xludf.DUMMYFUNCTION("IFS(B435="""","""",ISDATE(B435)=TRUE,B435,ISDATE(B435)=FALSE,TO_DATE(DATEVALUE(regexextract(B435,""\d+/\d+/\d+""))))"),44789)</f>
        <v>44789</v>
      </c>
      <c r="B435" s="182" t="s">
        <v>6450</v>
      </c>
      <c r="C435" s="183" t="s">
        <v>6900</v>
      </c>
      <c r="D435" s="183">
        <v>2.25</v>
      </c>
      <c r="E435" s="183" t="s">
        <v>6903</v>
      </c>
      <c r="F435" s="183" t="s">
        <v>4</v>
      </c>
      <c r="G435" s="183" t="s">
        <v>727</v>
      </c>
      <c r="H435" s="183" t="s">
        <v>6904</v>
      </c>
      <c r="I435" s="183">
        <v>2.5</v>
      </c>
      <c r="J435" s="183" t="s">
        <v>1045</v>
      </c>
      <c r="K435" s="183" t="s">
        <v>6905</v>
      </c>
      <c r="L435" s="183">
        <v>2</v>
      </c>
      <c r="M435" s="183"/>
      <c r="N435" s="187"/>
      <c r="O435" s="183" t="s">
        <v>452</v>
      </c>
      <c r="P435" s="183" t="s">
        <v>1119</v>
      </c>
      <c r="Q435" s="183" t="s">
        <v>6906</v>
      </c>
      <c r="R435" s="183" t="s">
        <v>24</v>
      </c>
      <c r="S435" s="184"/>
      <c r="T435" s="184"/>
      <c r="U435" s="184"/>
      <c r="V435" s="184"/>
      <c r="W435" s="184"/>
      <c r="X435" s="179"/>
      <c r="Y435" s="179"/>
      <c r="Z435" s="179"/>
      <c r="AA435" s="179"/>
    </row>
    <row r="436" spans="1:27">
      <c r="A436" s="181">
        <f ca="1">IFERROR(__xludf.DUMMYFUNCTION("IFS(B436="""","""",ISDATE(B436)=TRUE,B436,ISDATE(B436)=FALSE,TO_DATE(DATEVALUE(regexextract(B436,""\d+/\d+/\d+""))))"),44796)</f>
        <v>44796</v>
      </c>
      <c r="B436" s="182" t="s">
        <v>529</v>
      </c>
      <c r="C436" s="183" t="s">
        <v>8570</v>
      </c>
      <c r="D436" s="184">
        <v>1</v>
      </c>
      <c r="E436" s="183" t="s">
        <v>8573</v>
      </c>
      <c r="F436" s="183" t="s">
        <v>3</v>
      </c>
      <c r="G436" s="183" t="s">
        <v>460</v>
      </c>
      <c r="H436" s="184" t="s">
        <v>8574</v>
      </c>
      <c r="I436" s="184">
        <v>1</v>
      </c>
      <c r="J436" s="183" t="s">
        <v>462</v>
      </c>
      <c r="K436" s="183" t="s">
        <v>8575</v>
      </c>
      <c r="L436" s="183">
        <v>1</v>
      </c>
      <c r="M436" s="183"/>
      <c r="N436" s="185"/>
      <c r="O436" s="183" t="s">
        <v>452</v>
      </c>
      <c r="P436" s="183" t="s">
        <v>8576</v>
      </c>
      <c r="Q436" s="184" t="s">
        <v>8577</v>
      </c>
      <c r="R436" s="184" t="s">
        <v>24</v>
      </c>
      <c r="S436" s="184"/>
      <c r="T436" s="184"/>
      <c r="U436" s="184"/>
      <c r="V436" s="184"/>
      <c r="W436" s="184"/>
      <c r="X436" s="179"/>
      <c r="Y436" s="179"/>
      <c r="Z436" s="179"/>
      <c r="AA436" s="179"/>
    </row>
    <row r="437" spans="1:27">
      <c r="A437" s="181">
        <f ca="1">IFERROR(__xludf.DUMMYFUNCTION("IFS(B437="""","""",ISDATE(B437)=TRUE,B437,ISDATE(B437)=FALSE,TO_DATE(DATEVALUE(regexextract(B437,""\d+/\d+/\d+""))))"),44789)</f>
        <v>44789</v>
      </c>
      <c r="B437" s="182" t="s">
        <v>6450</v>
      </c>
      <c r="C437" s="183" t="s">
        <v>293</v>
      </c>
      <c r="D437" s="183">
        <v>3.63</v>
      </c>
      <c r="E437" s="183" t="s">
        <v>4495</v>
      </c>
      <c r="F437" s="183" t="s">
        <v>4</v>
      </c>
      <c r="G437" s="183" t="s">
        <v>727</v>
      </c>
      <c r="H437" s="183" t="s">
        <v>10704</v>
      </c>
      <c r="I437" s="183">
        <v>3.75</v>
      </c>
      <c r="J437" s="183" t="s">
        <v>1045</v>
      </c>
      <c r="K437" s="183" t="s">
        <v>4497</v>
      </c>
      <c r="L437" s="183">
        <v>3.5</v>
      </c>
      <c r="M437" s="183"/>
      <c r="N437" s="185"/>
      <c r="O437" s="183" t="s">
        <v>452</v>
      </c>
      <c r="P437" s="183" t="s">
        <v>452</v>
      </c>
      <c r="Q437" s="184"/>
      <c r="R437" s="183" t="s">
        <v>18</v>
      </c>
      <c r="S437" s="184" t="s">
        <v>4498</v>
      </c>
      <c r="T437" s="184"/>
      <c r="U437" s="184"/>
      <c r="V437" s="184"/>
      <c r="W437" s="184"/>
      <c r="X437" s="179"/>
      <c r="Y437" s="179"/>
      <c r="Z437" s="179"/>
      <c r="AA437" s="179"/>
    </row>
    <row r="438" spans="1:27">
      <c r="A438" s="181">
        <f ca="1">IFERROR(__xludf.DUMMYFUNCTION("IFS(B438="""","""",ISDATE(B438)=TRUE,B438,ISDATE(B438)=FALSE,TO_DATE(DATEVALUE(regexextract(B438,""\d+/\d+/\d+""))))"),44796)</f>
        <v>44796</v>
      </c>
      <c r="B438" s="182" t="s">
        <v>529</v>
      </c>
      <c r="C438" s="183" t="s">
        <v>303</v>
      </c>
      <c r="D438" s="184">
        <v>4.25</v>
      </c>
      <c r="E438" s="183" t="s">
        <v>1693</v>
      </c>
      <c r="F438" s="183" t="s">
        <v>3</v>
      </c>
      <c r="G438" s="183" t="s">
        <v>460</v>
      </c>
      <c r="H438" s="184" t="s">
        <v>10705</v>
      </c>
      <c r="I438" s="184">
        <v>4.5</v>
      </c>
      <c r="J438" s="183" t="s">
        <v>462</v>
      </c>
      <c r="K438" s="183" t="s">
        <v>10706</v>
      </c>
      <c r="L438" s="183">
        <v>4</v>
      </c>
      <c r="M438" s="184" t="s">
        <v>451</v>
      </c>
      <c r="N438" s="186" t="s">
        <v>1696</v>
      </c>
      <c r="O438" s="183" t="s">
        <v>452</v>
      </c>
      <c r="P438" s="183" t="s">
        <v>452</v>
      </c>
      <c r="Q438" s="183"/>
      <c r="R438" s="184" t="s">
        <v>18</v>
      </c>
      <c r="S438" s="184"/>
      <c r="T438" s="184"/>
      <c r="U438" s="184"/>
      <c r="V438" s="184"/>
      <c r="W438" s="184"/>
      <c r="X438" s="179"/>
      <c r="Y438" s="179"/>
      <c r="Z438" s="179"/>
      <c r="AA438" s="179"/>
    </row>
    <row r="439" spans="1:27">
      <c r="A439" s="181">
        <f ca="1">IFERROR(__xludf.DUMMYFUNCTION("IFS(B439="""","""",ISDATE(B439)=TRUE,B439,ISDATE(B439)=FALSE,TO_DATE(DATEVALUE(regexextract(B439,""\d+/\d+/\d+""))))"),44789)</f>
        <v>44789</v>
      </c>
      <c r="B439" s="182" t="s">
        <v>6450</v>
      </c>
      <c r="C439" s="183" t="s">
        <v>4475</v>
      </c>
      <c r="D439" s="183">
        <v>3.63</v>
      </c>
      <c r="E439" s="183" t="s">
        <v>4478</v>
      </c>
      <c r="F439" s="183" t="s">
        <v>4</v>
      </c>
      <c r="G439" s="183" t="s">
        <v>727</v>
      </c>
      <c r="H439" s="183" t="s">
        <v>10707</v>
      </c>
      <c r="I439" s="183">
        <v>3.75</v>
      </c>
      <c r="J439" s="183" t="s">
        <v>1045</v>
      </c>
      <c r="K439" s="183" t="s">
        <v>4480</v>
      </c>
      <c r="L439" s="183">
        <v>3.5</v>
      </c>
      <c r="M439" s="183" t="s">
        <v>784</v>
      </c>
      <c r="N439" s="187">
        <v>500000</v>
      </c>
      <c r="O439" s="183" t="s">
        <v>452</v>
      </c>
      <c r="P439" s="183" t="s">
        <v>4481</v>
      </c>
      <c r="Q439" s="183"/>
      <c r="R439" s="183" t="s">
        <v>24</v>
      </c>
      <c r="S439" s="183"/>
      <c r="T439" s="184"/>
      <c r="U439" s="184"/>
      <c r="V439" s="184"/>
      <c r="W439" s="184"/>
      <c r="X439" s="179"/>
      <c r="Y439" s="179"/>
      <c r="Z439" s="179"/>
      <c r="AA439" s="179"/>
    </row>
    <row r="440" spans="1:27">
      <c r="A440" s="181">
        <f ca="1">IFERROR(__xludf.DUMMYFUNCTION("IFS(B440="""","""",ISDATE(B440)=TRUE,B440,ISDATE(B440)=FALSE,TO_DATE(DATEVALUE(regexextract(B440,""\d+/\d+/\d+""))))"),44784)</f>
        <v>44784</v>
      </c>
      <c r="B440" s="182" t="s">
        <v>10173</v>
      </c>
      <c r="C440" s="183" t="s">
        <v>10708</v>
      </c>
      <c r="D440" s="184">
        <v>3.25</v>
      </c>
      <c r="E440" s="183" t="s">
        <v>10709</v>
      </c>
      <c r="F440" s="183" t="s">
        <v>5</v>
      </c>
      <c r="G440" s="183" t="s">
        <v>447</v>
      </c>
      <c r="H440" s="184" t="s">
        <v>10710</v>
      </c>
      <c r="I440" s="184">
        <v>3</v>
      </c>
      <c r="J440" s="183" t="s">
        <v>543</v>
      </c>
      <c r="K440" s="183" t="s">
        <v>10711</v>
      </c>
      <c r="L440" s="183">
        <v>3.5</v>
      </c>
      <c r="M440" s="184"/>
      <c r="N440" s="188"/>
      <c r="O440" s="183" t="s">
        <v>452</v>
      </c>
      <c r="P440" s="183" t="s">
        <v>2451</v>
      </c>
      <c r="Q440" s="184"/>
      <c r="R440" s="184" t="s">
        <v>24</v>
      </c>
      <c r="S440" s="184"/>
      <c r="T440" s="184"/>
      <c r="U440" s="184"/>
      <c r="V440" s="184"/>
      <c r="W440" s="184"/>
      <c r="X440" s="179"/>
      <c r="Y440" s="179"/>
      <c r="Z440" s="179"/>
      <c r="AA440" s="179"/>
    </row>
    <row r="441" spans="1:27">
      <c r="A441" s="181">
        <f ca="1">IFERROR(__xludf.DUMMYFUNCTION("IFS(B441="""","""",ISDATE(B441)=TRUE,B441,ISDATE(B441)=FALSE,TO_DATE(DATEVALUE(regexextract(B441,""\d+/\d+/\d+""))))"),44789)</f>
        <v>44789</v>
      </c>
      <c r="B441" s="182" t="s">
        <v>6450</v>
      </c>
      <c r="C441" s="183" t="s">
        <v>4751</v>
      </c>
      <c r="D441" s="183">
        <v>3.5</v>
      </c>
      <c r="E441" s="183" t="s">
        <v>10712</v>
      </c>
      <c r="F441" s="183" t="s">
        <v>4</v>
      </c>
      <c r="G441" s="183" t="s">
        <v>727</v>
      </c>
      <c r="H441" s="183" t="s">
        <v>10713</v>
      </c>
      <c r="I441" s="183">
        <v>3</v>
      </c>
      <c r="J441" s="183" t="s">
        <v>476</v>
      </c>
      <c r="K441" s="183" t="s">
        <v>10714</v>
      </c>
      <c r="L441" s="183">
        <v>4</v>
      </c>
      <c r="M441" s="184" t="s">
        <v>451</v>
      </c>
      <c r="N441" s="188">
        <v>1000000</v>
      </c>
      <c r="O441" s="183" t="s">
        <v>452</v>
      </c>
      <c r="P441" s="183" t="s">
        <v>4757</v>
      </c>
      <c r="Q441" s="184"/>
      <c r="R441" s="183" t="s">
        <v>24</v>
      </c>
      <c r="S441" s="184"/>
      <c r="T441" s="184"/>
      <c r="U441" s="184"/>
      <c r="V441" s="184"/>
      <c r="W441" s="184"/>
      <c r="X441" s="179"/>
      <c r="Y441" s="179"/>
      <c r="Z441" s="179"/>
      <c r="AA441" s="179"/>
    </row>
    <row r="442" spans="1:27">
      <c r="A442" s="181">
        <f ca="1">IFERROR(__xludf.DUMMYFUNCTION("IFS(B442="""","""",ISDATE(B442)=TRUE,B442,ISDATE(B442)=FALSE,TO_DATE(DATEVALUE(regexextract(B442,""\d+/\d+/\d+""))))"),44784)</f>
        <v>44784</v>
      </c>
      <c r="B442" s="189" t="s">
        <v>10173</v>
      </c>
      <c r="C442" s="183" t="s">
        <v>4881</v>
      </c>
      <c r="D442" s="184">
        <v>3.5</v>
      </c>
      <c r="E442" s="183" t="s">
        <v>4884</v>
      </c>
      <c r="F442" s="183" t="s">
        <v>4</v>
      </c>
      <c r="G442" s="183" t="s">
        <v>727</v>
      </c>
      <c r="H442" s="184" t="s">
        <v>10715</v>
      </c>
      <c r="I442" s="184">
        <v>3.5</v>
      </c>
      <c r="J442" s="183" t="s">
        <v>1054</v>
      </c>
      <c r="K442" s="184" t="s">
        <v>4886</v>
      </c>
      <c r="L442" s="184">
        <v>3.5</v>
      </c>
      <c r="M442" s="184" t="s">
        <v>451</v>
      </c>
      <c r="N442" s="188">
        <v>1200000</v>
      </c>
      <c r="O442" s="183" t="s">
        <v>452</v>
      </c>
      <c r="P442" s="183" t="s">
        <v>4887</v>
      </c>
      <c r="Q442" s="183"/>
      <c r="R442" s="184" t="s">
        <v>24</v>
      </c>
      <c r="S442" s="184"/>
      <c r="T442" s="184"/>
      <c r="U442" s="184"/>
      <c r="V442" s="184"/>
      <c r="W442" s="184"/>
      <c r="X442" s="179"/>
      <c r="Y442" s="179"/>
      <c r="Z442" s="179"/>
      <c r="AA442" s="179"/>
    </row>
    <row r="443" spans="1:27">
      <c r="A443" s="181">
        <f ca="1">IFERROR(__xludf.DUMMYFUNCTION("IFS(B443="""","""",ISDATE(B443)=TRUE,B443,ISDATE(B443)=FALSE,TO_DATE(DATEVALUE(regexextract(B443,""\d+/\d+/\d+""))))"),44796)</f>
        <v>44796</v>
      </c>
      <c r="B443" s="182" t="s">
        <v>529</v>
      </c>
      <c r="C443" s="183" t="s">
        <v>9243</v>
      </c>
      <c r="D443" s="183">
        <v>1.5</v>
      </c>
      <c r="E443" s="183" t="s">
        <v>9246</v>
      </c>
      <c r="F443" s="183" t="s">
        <v>3</v>
      </c>
      <c r="G443" s="183" t="s">
        <v>460</v>
      </c>
      <c r="H443" s="183" t="s">
        <v>9247</v>
      </c>
      <c r="I443" s="183">
        <v>1</v>
      </c>
      <c r="J443" s="183" t="s">
        <v>462</v>
      </c>
      <c r="K443" s="183" t="s">
        <v>9248</v>
      </c>
      <c r="L443" s="183">
        <v>2</v>
      </c>
      <c r="M443" s="183"/>
      <c r="N443" s="185"/>
      <c r="O443" s="183" t="s">
        <v>454</v>
      </c>
      <c r="P443" s="183" t="s">
        <v>452</v>
      </c>
      <c r="Q443" s="184" t="s">
        <v>725</v>
      </c>
      <c r="R443" s="183" t="s">
        <v>24</v>
      </c>
      <c r="S443" s="184"/>
      <c r="T443" s="184"/>
      <c r="U443" s="184"/>
      <c r="V443" s="184"/>
      <c r="W443" s="184"/>
      <c r="X443" s="179"/>
      <c r="Y443" s="179"/>
      <c r="Z443" s="179"/>
      <c r="AA443" s="179"/>
    </row>
    <row r="444" spans="1:27">
      <c r="A444" s="181">
        <f ca="1">IFERROR(__xludf.DUMMYFUNCTION("IFS(B444="""","""",ISDATE(B444)=TRUE,B444,ISDATE(B444)=FALSE,TO_DATE(DATEVALUE(regexextract(B444,""\d+/\d+/\d+""))))"),44789)</f>
        <v>44789</v>
      </c>
      <c r="B444" s="182" t="s">
        <v>6450</v>
      </c>
      <c r="C444" s="183" t="s">
        <v>3614</v>
      </c>
      <c r="D444" s="184">
        <v>2.75</v>
      </c>
      <c r="E444" s="183" t="s">
        <v>3617</v>
      </c>
      <c r="F444" s="183" t="s">
        <v>5</v>
      </c>
      <c r="G444" s="183" t="s">
        <v>447</v>
      </c>
      <c r="H444" s="184" t="s">
        <v>10716</v>
      </c>
      <c r="I444" s="184">
        <v>3</v>
      </c>
      <c r="J444" s="183" t="s">
        <v>622</v>
      </c>
      <c r="K444" s="183" t="s">
        <v>10717</v>
      </c>
      <c r="L444" s="183">
        <v>2.5</v>
      </c>
      <c r="M444" s="184"/>
      <c r="N444" s="188"/>
      <c r="O444" s="183" t="s">
        <v>465</v>
      </c>
      <c r="P444" s="183" t="s">
        <v>10718</v>
      </c>
      <c r="Q444" s="184"/>
      <c r="R444" s="184" t="s">
        <v>24</v>
      </c>
      <c r="S444" s="184"/>
      <c r="T444" s="184"/>
      <c r="U444" s="184"/>
      <c r="V444" s="184"/>
      <c r="W444" s="184"/>
      <c r="X444" s="179"/>
      <c r="Y444" s="179"/>
      <c r="Z444" s="179"/>
      <c r="AA444" s="179"/>
    </row>
    <row r="445" spans="1:27">
      <c r="A445" s="181">
        <f ca="1">IFERROR(__xludf.DUMMYFUNCTION("IFS(B445="""","""",ISDATE(B445)=TRUE,B445,ISDATE(B445)=FALSE,TO_DATE(DATEVALUE(regexextract(B445,""\d+/\d+/\d+""))))"),44789)</f>
        <v>44789</v>
      </c>
      <c r="B445" s="182" t="s">
        <v>6450</v>
      </c>
      <c r="C445" s="183" t="s">
        <v>249</v>
      </c>
      <c r="D445" s="183">
        <v>4</v>
      </c>
      <c r="E445" s="183" t="s">
        <v>4063</v>
      </c>
      <c r="F445" s="183" t="s">
        <v>4</v>
      </c>
      <c r="G445" s="183" t="s">
        <v>727</v>
      </c>
      <c r="H445" s="183" t="s">
        <v>10719</v>
      </c>
      <c r="I445" s="183">
        <v>4</v>
      </c>
      <c r="J445" s="183" t="s">
        <v>1045</v>
      </c>
      <c r="K445" s="183" t="s">
        <v>4065</v>
      </c>
      <c r="L445" s="183">
        <v>4</v>
      </c>
      <c r="M445" s="183" t="s">
        <v>451</v>
      </c>
      <c r="N445" s="187" t="s">
        <v>4066</v>
      </c>
      <c r="O445" s="183" t="s">
        <v>452</v>
      </c>
      <c r="P445" s="183" t="s">
        <v>4067</v>
      </c>
      <c r="Q445" s="184"/>
      <c r="R445" s="183" t="s">
        <v>18</v>
      </c>
      <c r="S445" s="184"/>
      <c r="T445" s="184"/>
      <c r="U445" s="184"/>
      <c r="V445" s="184"/>
      <c r="W445" s="184"/>
      <c r="X445" s="179"/>
      <c r="Y445" s="179"/>
      <c r="Z445" s="179"/>
      <c r="AA445" s="179"/>
    </row>
    <row r="446" spans="1:27">
      <c r="A446" s="181">
        <f ca="1">IFERROR(__xludf.DUMMYFUNCTION("IFS(B446="""","""",ISDATE(B446)=TRUE,B446,ISDATE(B446)=FALSE,TO_DATE(DATEVALUE(regexextract(B446,""\d+/\d+/\d+""))))"),44784)</f>
        <v>44784</v>
      </c>
      <c r="B446" s="182" t="s">
        <v>10173</v>
      </c>
      <c r="C446" s="183" t="s">
        <v>5096</v>
      </c>
      <c r="D446" s="183">
        <v>3.25</v>
      </c>
      <c r="E446" s="183" t="s">
        <v>5099</v>
      </c>
      <c r="F446" s="183" t="s">
        <v>4</v>
      </c>
      <c r="G446" s="183" t="s">
        <v>727</v>
      </c>
      <c r="H446" s="183" t="s">
        <v>10720</v>
      </c>
      <c r="I446" s="183">
        <v>3</v>
      </c>
      <c r="J446" s="183" t="s">
        <v>1054</v>
      </c>
      <c r="K446" s="183" t="s">
        <v>5101</v>
      </c>
      <c r="L446" s="183">
        <v>3.5</v>
      </c>
      <c r="M446" s="184" t="s">
        <v>451</v>
      </c>
      <c r="N446" s="190">
        <v>300000</v>
      </c>
      <c r="O446" s="183" t="s">
        <v>454</v>
      </c>
      <c r="P446" s="183" t="s">
        <v>452</v>
      </c>
      <c r="Q446" s="183"/>
      <c r="R446" s="183" t="s">
        <v>24</v>
      </c>
      <c r="S446" s="183"/>
      <c r="T446" s="184"/>
      <c r="U446" s="184"/>
      <c r="V446" s="184"/>
      <c r="W446" s="184"/>
      <c r="X446" s="179"/>
      <c r="Y446" s="179"/>
      <c r="Z446" s="179"/>
      <c r="AA446" s="179"/>
    </row>
    <row r="447" spans="1:27">
      <c r="A447" s="181">
        <f ca="1">IFERROR(__xludf.DUMMYFUNCTION("IFS(B447="""","""",ISDATE(B447)=TRUE,B447,ISDATE(B447)=FALSE,TO_DATE(DATEVALUE(regexextract(B447,""\d+/\d+/\d+""))))"),44784)</f>
        <v>44784</v>
      </c>
      <c r="B447" s="182" t="s">
        <v>10173</v>
      </c>
      <c r="C447" s="183" t="s">
        <v>186</v>
      </c>
      <c r="D447" s="184">
        <v>4</v>
      </c>
      <c r="E447" s="183" t="s">
        <v>3744</v>
      </c>
      <c r="F447" s="183" t="s">
        <v>4</v>
      </c>
      <c r="G447" s="183" t="s">
        <v>727</v>
      </c>
      <c r="H447" s="184" t="s">
        <v>10721</v>
      </c>
      <c r="I447" s="184">
        <v>4</v>
      </c>
      <c r="J447" s="183" t="s">
        <v>1054</v>
      </c>
      <c r="K447" s="184" t="s">
        <v>3746</v>
      </c>
      <c r="L447" s="184">
        <v>4</v>
      </c>
      <c r="M447" s="183" t="s">
        <v>923</v>
      </c>
      <c r="N447" s="183" t="s">
        <v>3747</v>
      </c>
      <c r="O447" s="183" t="s">
        <v>452</v>
      </c>
      <c r="P447" s="183" t="s">
        <v>10722</v>
      </c>
      <c r="Q447" s="184"/>
      <c r="R447" s="184" t="s">
        <v>18</v>
      </c>
      <c r="S447" s="184"/>
      <c r="T447" s="184"/>
      <c r="U447" s="184"/>
      <c r="V447" s="184"/>
      <c r="W447" s="184"/>
      <c r="X447" s="179"/>
      <c r="Y447" s="179"/>
      <c r="Z447" s="179"/>
      <c r="AA447" s="179"/>
    </row>
    <row r="448" spans="1:27">
      <c r="A448" s="181">
        <f ca="1">IFERROR(__xludf.DUMMYFUNCTION("IFS(B448="""","""",ISDATE(B448)=TRUE,B448,ISDATE(B448)=FALSE,TO_DATE(DATEVALUE(regexextract(B448,""\d+/\d+/\d+""))))"),44791)</f>
        <v>44791</v>
      </c>
      <c r="B448" s="189" t="s">
        <v>10182</v>
      </c>
      <c r="C448" s="183" t="s">
        <v>5911</v>
      </c>
      <c r="D448" s="183">
        <v>2.75</v>
      </c>
      <c r="E448" s="183" t="s">
        <v>5914</v>
      </c>
      <c r="F448" s="183" t="s">
        <v>4</v>
      </c>
      <c r="G448" s="183" t="s">
        <v>602</v>
      </c>
      <c r="H448" s="183" t="s">
        <v>5915</v>
      </c>
      <c r="I448" s="183">
        <v>2.5</v>
      </c>
      <c r="J448" s="183" t="s">
        <v>1045</v>
      </c>
      <c r="K448" s="183" t="s">
        <v>5916</v>
      </c>
      <c r="L448" s="183">
        <v>3</v>
      </c>
      <c r="M448" s="183"/>
      <c r="N448" s="185"/>
      <c r="O448" s="183" t="s">
        <v>452</v>
      </c>
      <c r="P448" s="183" t="s">
        <v>452</v>
      </c>
      <c r="Q448" s="183"/>
      <c r="R448" s="183" t="s">
        <v>24</v>
      </c>
      <c r="S448" s="183"/>
      <c r="T448" s="184"/>
      <c r="U448" s="184"/>
      <c r="V448" s="184"/>
      <c r="W448" s="184"/>
      <c r="X448" s="179"/>
      <c r="Y448" s="179"/>
      <c r="Z448" s="179"/>
      <c r="AA448" s="179"/>
    </row>
    <row r="449" spans="1:27">
      <c r="A449" s="181">
        <f ca="1">IFERROR(__xludf.DUMMYFUNCTION("IFS(B449="""","""",ISDATE(B449)=TRUE,B449,ISDATE(B449)=FALSE,TO_DATE(DATEVALUE(regexextract(B449,""\d+/\d+/\d+""))))"),44784)</f>
        <v>44784</v>
      </c>
      <c r="B449" s="189" t="s">
        <v>10173</v>
      </c>
      <c r="C449" s="183" t="s">
        <v>6992</v>
      </c>
      <c r="D449" s="183">
        <v>2</v>
      </c>
      <c r="E449" s="183" t="s">
        <v>6995</v>
      </c>
      <c r="F449" s="183" t="s">
        <v>4</v>
      </c>
      <c r="G449" s="183" t="s">
        <v>727</v>
      </c>
      <c r="H449" s="183" t="s">
        <v>6996</v>
      </c>
      <c r="I449" s="183">
        <v>2</v>
      </c>
      <c r="J449" s="183" t="s">
        <v>1054</v>
      </c>
      <c r="K449" s="183" t="s">
        <v>6997</v>
      </c>
      <c r="L449" s="183">
        <v>2</v>
      </c>
      <c r="M449" s="184" t="s">
        <v>451</v>
      </c>
      <c r="N449" s="188">
        <v>650000</v>
      </c>
      <c r="O449" s="183" t="s">
        <v>465</v>
      </c>
      <c r="P449" s="183" t="s">
        <v>6998</v>
      </c>
      <c r="Q449" s="184" t="s">
        <v>449</v>
      </c>
      <c r="R449" s="183" t="s">
        <v>24</v>
      </c>
      <c r="S449" s="184"/>
      <c r="T449" s="184"/>
      <c r="U449" s="184"/>
      <c r="V449" s="184"/>
      <c r="W449" s="184"/>
      <c r="X449" s="179"/>
      <c r="Y449" s="179"/>
      <c r="Z449" s="179"/>
      <c r="AA449" s="179"/>
    </row>
    <row r="450" spans="1:27">
      <c r="A450" s="181">
        <f ca="1">IFERROR(__xludf.DUMMYFUNCTION("IFS(B450="""","""",ISDATE(B450)=TRUE,B450,ISDATE(B450)=FALSE,TO_DATE(DATEVALUE(regexextract(B450,""\d+/\d+/\d+""))))"),44789)</f>
        <v>44789</v>
      </c>
      <c r="B450" s="182" t="s">
        <v>6450</v>
      </c>
      <c r="C450" s="183" t="s">
        <v>10723</v>
      </c>
      <c r="D450" s="183">
        <v>2</v>
      </c>
      <c r="E450" s="183" t="s">
        <v>2619</v>
      </c>
      <c r="F450" s="183" t="s">
        <v>5</v>
      </c>
      <c r="G450" s="183" t="s">
        <v>447</v>
      </c>
      <c r="H450" s="183" t="s">
        <v>10724</v>
      </c>
      <c r="I450" s="183">
        <v>2</v>
      </c>
      <c r="J450" s="183" t="s">
        <v>449</v>
      </c>
      <c r="K450" s="183" t="s">
        <v>10725</v>
      </c>
      <c r="L450" s="183">
        <v>2</v>
      </c>
      <c r="M450" s="183"/>
      <c r="N450" s="187"/>
      <c r="O450" s="183" t="s">
        <v>452</v>
      </c>
      <c r="P450" s="183" t="s">
        <v>10726</v>
      </c>
      <c r="Q450" s="183" t="s">
        <v>2623</v>
      </c>
      <c r="R450" s="184" t="s">
        <v>24</v>
      </c>
      <c r="S450" s="184"/>
      <c r="T450" s="184"/>
      <c r="U450" s="184"/>
      <c r="V450" s="184"/>
      <c r="W450" s="184"/>
      <c r="X450" s="179"/>
      <c r="Y450" s="179"/>
      <c r="Z450" s="179"/>
      <c r="AA450" s="179"/>
    </row>
    <row r="451" spans="1:27">
      <c r="A451" s="181">
        <f ca="1">IFERROR(__xludf.DUMMYFUNCTION("IFS(B451="""","""",ISDATE(B451)=TRUE,B451,ISDATE(B451)=FALSE,TO_DATE(DATEVALUE(regexextract(B451,""\d+/\d+/\d+""))))"),44784)</f>
        <v>44784</v>
      </c>
      <c r="B451" s="182" t="s">
        <v>10173</v>
      </c>
      <c r="C451" s="183" t="s">
        <v>7187</v>
      </c>
      <c r="D451" s="183">
        <v>2</v>
      </c>
      <c r="E451" s="183" t="s">
        <v>7190</v>
      </c>
      <c r="F451" s="183" t="s">
        <v>4</v>
      </c>
      <c r="G451" s="183" t="s">
        <v>727</v>
      </c>
      <c r="H451" s="183" t="s">
        <v>7191</v>
      </c>
      <c r="I451" s="183">
        <v>2</v>
      </c>
      <c r="J451" s="183" t="s">
        <v>1054</v>
      </c>
      <c r="K451" s="183" t="s">
        <v>6997</v>
      </c>
      <c r="L451" s="183">
        <v>2</v>
      </c>
      <c r="M451" s="184"/>
      <c r="N451" s="186"/>
      <c r="O451" s="183" t="s">
        <v>452</v>
      </c>
      <c r="P451" s="183" t="s">
        <v>10727</v>
      </c>
      <c r="Q451" s="183"/>
      <c r="R451" s="183" t="s">
        <v>24</v>
      </c>
      <c r="S451" s="183"/>
      <c r="T451" s="184"/>
      <c r="U451" s="184"/>
      <c r="V451" s="184"/>
      <c r="W451" s="184"/>
      <c r="X451" s="179"/>
      <c r="Y451" s="179"/>
      <c r="Z451" s="179"/>
      <c r="AA451" s="179"/>
    </row>
    <row r="452" spans="1:27">
      <c r="A452" s="181">
        <f ca="1">IFERROR(__xludf.DUMMYFUNCTION("IFS(B452="""","""",ISDATE(B452)=TRUE,B452,ISDATE(B452)=FALSE,TO_DATE(DATEVALUE(regexextract(B452,""\d+/\d+/\d+""))))"),44784)</f>
        <v>44784</v>
      </c>
      <c r="B452" s="182" t="s">
        <v>10173</v>
      </c>
      <c r="C452" s="183" t="s">
        <v>6955</v>
      </c>
      <c r="D452" s="183">
        <v>2</v>
      </c>
      <c r="E452" s="183" t="s">
        <v>6958</v>
      </c>
      <c r="F452" s="183" t="s">
        <v>4</v>
      </c>
      <c r="G452" s="183" t="s">
        <v>727</v>
      </c>
      <c r="H452" s="183" t="s">
        <v>10728</v>
      </c>
      <c r="I452" s="183">
        <v>2</v>
      </c>
      <c r="J452" s="183" t="s">
        <v>1054</v>
      </c>
      <c r="K452" s="183" t="s">
        <v>6960</v>
      </c>
      <c r="L452" s="183">
        <v>2</v>
      </c>
      <c r="M452" s="183"/>
      <c r="N452" s="187"/>
      <c r="O452" s="183" t="s">
        <v>454</v>
      </c>
      <c r="P452" s="183" t="s">
        <v>6961</v>
      </c>
      <c r="Q452" s="184"/>
      <c r="R452" s="183" t="s">
        <v>24</v>
      </c>
      <c r="S452" s="184"/>
      <c r="T452" s="184"/>
      <c r="U452" s="184"/>
      <c r="V452" s="184"/>
      <c r="W452" s="184"/>
      <c r="X452" s="179"/>
      <c r="Y452" s="179"/>
      <c r="Z452" s="179"/>
      <c r="AA452" s="179"/>
    </row>
    <row r="453" spans="1:27">
      <c r="A453" s="181">
        <f ca="1">IFERROR(__xludf.DUMMYFUNCTION("IFS(B453="""","""",ISDATE(B453)=TRUE,B453,ISDATE(B453)=FALSE,TO_DATE(DATEVALUE(regexextract(B453,""\d+/\d+/\d+""))))"),44784)</f>
        <v>44784</v>
      </c>
      <c r="B453" s="182" t="s">
        <v>10173</v>
      </c>
      <c r="C453" s="183" t="s">
        <v>10729</v>
      </c>
      <c r="D453" s="183">
        <v>2.75</v>
      </c>
      <c r="E453" s="183" t="s">
        <v>6081</v>
      </c>
      <c r="F453" s="183" t="s">
        <v>4</v>
      </c>
      <c r="G453" s="183" t="s">
        <v>727</v>
      </c>
      <c r="H453" s="183" t="s">
        <v>6082</v>
      </c>
      <c r="I453" s="183">
        <v>2.5</v>
      </c>
      <c r="J453" s="183" t="s">
        <v>1054</v>
      </c>
      <c r="K453" s="183" t="s">
        <v>6083</v>
      </c>
      <c r="L453" s="183">
        <v>3</v>
      </c>
      <c r="M453" s="183" t="s">
        <v>784</v>
      </c>
      <c r="N453" s="185">
        <v>715840.11</v>
      </c>
      <c r="O453" s="183" t="s">
        <v>452</v>
      </c>
      <c r="P453" s="183" t="s">
        <v>6084</v>
      </c>
      <c r="Q453" s="184"/>
      <c r="R453" s="183" t="s">
        <v>24</v>
      </c>
      <c r="S453" s="184"/>
      <c r="T453" s="184"/>
      <c r="U453" s="184"/>
      <c r="V453" s="184"/>
      <c r="W453" s="184"/>
      <c r="X453" s="179"/>
      <c r="Y453" s="179"/>
      <c r="Z453" s="179"/>
      <c r="AA453" s="179"/>
    </row>
    <row r="454" spans="1:27">
      <c r="A454" s="181">
        <f ca="1">IFERROR(__xludf.DUMMYFUNCTION("IFS(B454="""","""",ISDATE(B454)=TRUE,B454,ISDATE(B454)=FALSE,TO_DATE(DATEVALUE(regexextract(B454,""\d+/\d+/\d+""))))"),44784)</f>
        <v>44784</v>
      </c>
      <c r="B454" s="182" t="s">
        <v>10173</v>
      </c>
      <c r="C454" s="183" t="s">
        <v>7170</v>
      </c>
      <c r="D454" s="183">
        <v>2</v>
      </c>
      <c r="E454" s="183" t="s">
        <v>7173</v>
      </c>
      <c r="F454" s="183" t="s">
        <v>4</v>
      </c>
      <c r="G454" s="183" t="s">
        <v>727</v>
      </c>
      <c r="H454" s="183" t="s">
        <v>7174</v>
      </c>
      <c r="I454" s="183">
        <v>2</v>
      </c>
      <c r="J454" s="183" t="s">
        <v>1054</v>
      </c>
      <c r="K454" s="184" t="s">
        <v>7175</v>
      </c>
      <c r="L454" s="183">
        <v>2</v>
      </c>
      <c r="M454" s="183" t="s">
        <v>923</v>
      </c>
      <c r="N454" s="187">
        <v>2500000</v>
      </c>
      <c r="O454" s="183" t="s">
        <v>452</v>
      </c>
      <c r="P454" s="183" t="s">
        <v>452</v>
      </c>
      <c r="Q454" s="183"/>
      <c r="R454" s="183" t="s">
        <v>24</v>
      </c>
      <c r="S454" s="183"/>
      <c r="T454" s="184"/>
      <c r="U454" s="184"/>
      <c r="V454" s="184"/>
      <c r="W454" s="184"/>
      <c r="X454" s="179"/>
      <c r="Y454" s="179"/>
      <c r="Z454" s="179"/>
      <c r="AA454" s="179"/>
    </row>
    <row r="455" spans="1:27">
      <c r="A455" s="181">
        <f ca="1">IFERROR(__xludf.DUMMYFUNCTION("IFS(B455="""","""",ISDATE(B455)=TRUE,B455,ISDATE(B455)=FALSE,TO_DATE(DATEVALUE(regexextract(B455,""\d+/\d+/\d+""))))"),44784)</f>
        <v>44784</v>
      </c>
      <c r="B455" s="182" t="s">
        <v>10173</v>
      </c>
      <c r="C455" s="183" t="s">
        <v>5548</v>
      </c>
      <c r="D455" s="184">
        <v>3</v>
      </c>
      <c r="E455" s="183" t="s">
        <v>5551</v>
      </c>
      <c r="F455" s="183" t="s">
        <v>4</v>
      </c>
      <c r="G455" s="183" t="s">
        <v>727</v>
      </c>
      <c r="H455" s="184" t="s">
        <v>10730</v>
      </c>
      <c r="I455" s="184">
        <v>3</v>
      </c>
      <c r="J455" s="183" t="s">
        <v>1054</v>
      </c>
      <c r="K455" s="183" t="s">
        <v>5553</v>
      </c>
      <c r="L455" s="183">
        <v>3</v>
      </c>
      <c r="M455" s="183" t="s">
        <v>451</v>
      </c>
      <c r="N455" s="187">
        <v>5000000</v>
      </c>
      <c r="O455" s="183" t="s">
        <v>452</v>
      </c>
      <c r="P455" s="183" t="s">
        <v>452</v>
      </c>
      <c r="Q455" s="184" t="s">
        <v>5554</v>
      </c>
      <c r="R455" s="184" t="s">
        <v>24</v>
      </c>
      <c r="S455" s="184"/>
      <c r="T455" s="184"/>
      <c r="U455" s="184"/>
      <c r="V455" s="184"/>
      <c r="W455" s="184"/>
      <c r="X455" s="179"/>
      <c r="Y455" s="179"/>
      <c r="Z455" s="179"/>
      <c r="AA455" s="179"/>
    </row>
    <row r="456" spans="1:27">
      <c r="A456" s="181">
        <f ca="1">IFERROR(__xludf.DUMMYFUNCTION("IFS(B456="""","""",ISDATE(B456)=TRUE,B456,ISDATE(B456)=FALSE,TO_DATE(DATEVALUE(regexextract(B456,""\d+/\d+/\d+""))))"),44784)</f>
        <v>44784</v>
      </c>
      <c r="B456" s="182" t="s">
        <v>10173</v>
      </c>
      <c r="C456" s="183" t="s">
        <v>6706</v>
      </c>
      <c r="D456" s="183">
        <v>2.25</v>
      </c>
      <c r="E456" s="183" t="s">
        <v>6709</v>
      </c>
      <c r="F456" s="183" t="s">
        <v>4</v>
      </c>
      <c r="G456" s="183" t="s">
        <v>727</v>
      </c>
      <c r="H456" s="183" t="s">
        <v>10731</v>
      </c>
      <c r="I456" s="183">
        <v>2.5</v>
      </c>
      <c r="J456" s="183" t="s">
        <v>1054</v>
      </c>
      <c r="K456" s="183" t="s">
        <v>6711</v>
      </c>
      <c r="L456" s="183">
        <v>2</v>
      </c>
      <c r="M456" s="183"/>
      <c r="N456" s="187"/>
      <c r="O456" s="183" t="s">
        <v>452</v>
      </c>
      <c r="P456" s="183" t="s">
        <v>6712</v>
      </c>
      <c r="Q456" s="184"/>
      <c r="R456" s="184" t="s">
        <v>24</v>
      </c>
      <c r="S456" s="184"/>
      <c r="T456" s="184"/>
      <c r="U456" s="184"/>
      <c r="V456" s="184"/>
      <c r="W456" s="184"/>
      <c r="X456" s="179"/>
      <c r="Y456" s="179"/>
      <c r="Z456" s="179"/>
      <c r="AA456" s="179"/>
    </row>
    <row r="457" spans="1:27">
      <c r="A457" s="181">
        <f ca="1">IFERROR(__xludf.DUMMYFUNCTION("IFS(B457="""","""",ISDATE(B457)=TRUE,B457,ISDATE(B457)=FALSE,TO_DATE(DATEVALUE(regexextract(B457,""\d+/\d+/\d+""))))"),44784)</f>
        <v>44784</v>
      </c>
      <c r="B457" s="182" t="s">
        <v>10173</v>
      </c>
      <c r="C457" s="183" t="s">
        <v>239</v>
      </c>
      <c r="D457" s="184">
        <v>4</v>
      </c>
      <c r="E457" s="183" t="s">
        <v>4011</v>
      </c>
      <c r="F457" s="183" t="s">
        <v>4</v>
      </c>
      <c r="G457" s="183" t="s">
        <v>727</v>
      </c>
      <c r="H457" s="184" t="s">
        <v>10732</v>
      </c>
      <c r="I457" s="184">
        <v>4</v>
      </c>
      <c r="J457" s="183" t="s">
        <v>1054</v>
      </c>
      <c r="K457" s="184" t="s">
        <v>10733</v>
      </c>
      <c r="L457" s="183">
        <v>4</v>
      </c>
      <c r="M457" s="184" t="s">
        <v>451</v>
      </c>
      <c r="N457" s="186" t="s">
        <v>4014</v>
      </c>
      <c r="O457" s="183" t="s">
        <v>465</v>
      </c>
      <c r="P457" s="183" t="s">
        <v>4015</v>
      </c>
      <c r="Q457" s="184"/>
      <c r="R457" s="184" t="s">
        <v>18</v>
      </c>
      <c r="S457" s="184"/>
      <c r="T457" s="184"/>
      <c r="U457" s="184"/>
      <c r="V457" s="184"/>
      <c r="W457" s="184"/>
      <c r="X457" s="179"/>
      <c r="Y457" s="179"/>
      <c r="Z457" s="179"/>
      <c r="AA457" s="179"/>
    </row>
    <row r="458" spans="1:27">
      <c r="A458" s="181">
        <f ca="1">IFERROR(__xludf.DUMMYFUNCTION("IFS(B458="""","""",ISDATE(B458)=TRUE,B458,ISDATE(B458)=FALSE,TO_DATE(DATEVALUE(regexextract(B458,""\d+/\d+/\d+""))))"),44776)</f>
        <v>44776</v>
      </c>
      <c r="B458" s="182" t="s">
        <v>10176</v>
      </c>
      <c r="C458" s="183" t="s">
        <v>363</v>
      </c>
      <c r="D458" s="183">
        <v>4.5</v>
      </c>
      <c r="E458" s="184" t="s">
        <v>2056</v>
      </c>
      <c r="F458" s="183" t="s">
        <v>3</v>
      </c>
      <c r="G458" s="183" t="s">
        <v>460</v>
      </c>
      <c r="H458" s="184" t="s">
        <v>2057</v>
      </c>
      <c r="I458" s="183">
        <v>4</v>
      </c>
      <c r="J458" s="183" t="s">
        <v>941</v>
      </c>
      <c r="K458" s="183"/>
      <c r="L458" s="183">
        <v>5</v>
      </c>
      <c r="M458" s="183" t="s">
        <v>784</v>
      </c>
      <c r="N458" s="187" t="s">
        <v>2058</v>
      </c>
      <c r="O458" s="183" t="s">
        <v>452</v>
      </c>
      <c r="P458" s="183" t="s">
        <v>452</v>
      </c>
      <c r="Q458" s="184" t="s">
        <v>2059</v>
      </c>
      <c r="R458" s="183" t="s">
        <v>18</v>
      </c>
      <c r="S458" s="184"/>
      <c r="T458" s="184"/>
      <c r="U458" s="184"/>
      <c r="V458" s="184"/>
      <c r="W458" s="184"/>
      <c r="X458" s="179"/>
      <c r="Y458" s="179"/>
      <c r="Z458" s="179"/>
      <c r="AA458" s="179"/>
    </row>
    <row r="459" spans="1:27">
      <c r="A459" s="181">
        <f ca="1">IFERROR(__xludf.DUMMYFUNCTION("IFS(B459="""","""",ISDATE(B459)=TRUE,B459,ISDATE(B459)=FALSE,TO_DATE(DATEVALUE(regexextract(B459,""\d+/\d+/\d+""))))"),44784)</f>
        <v>44784</v>
      </c>
      <c r="B459" s="182" t="s">
        <v>10173</v>
      </c>
      <c r="C459" s="183" t="s">
        <v>6729</v>
      </c>
      <c r="D459" s="184">
        <v>2.25</v>
      </c>
      <c r="E459" s="183" t="s">
        <v>6732</v>
      </c>
      <c r="F459" s="183" t="s">
        <v>4</v>
      </c>
      <c r="G459" s="183" t="s">
        <v>727</v>
      </c>
      <c r="H459" s="184" t="s">
        <v>6733</v>
      </c>
      <c r="I459" s="184">
        <v>2</v>
      </c>
      <c r="J459" s="183" t="s">
        <v>1054</v>
      </c>
      <c r="K459" s="183" t="s">
        <v>6734</v>
      </c>
      <c r="L459" s="183">
        <v>2.5</v>
      </c>
      <c r="M459" s="183" t="s">
        <v>478</v>
      </c>
      <c r="N459" s="187">
        <v>5000000</v>
      </c>
      <c r="O459" s="183" t="s">
        <v>465</v>
      </c>
      <c r="P459" s="183" t="s">
        <v>452</v>
      </c>
      <c r="Q459" s="184"/>
      <c r="R459" s="184" t="s">
        <v>24</v>
      </c>
      <c r="S459" s="184"/>
      <c r="T459" s="184"/>
      <c r="U459" s="184"/>
      <c r="V459" s="184"/>
      <c r="W459" s="184"/>
      <c r="X459" s="179"/>
      <c r="Y459" s="179"/>
      <c r="Z459" s="179"/>
      <c r="AA459" s="179"/>
    </row>
    <row r="460" spans="1:27">
      <c r="A460" s="181">
        <f ca="1">IFERROR(__xludf.DUMMYFUNCTION("IFS(B460="""","""",ISDATE(B460)=TRUE,B460,ISDATE(B460)=FALSE,TO_DATE(DATEVALUE(regexextract(B460,""\d+/\d+/\d+""))))"),44784)</f>
        <v>44784</v>
      </c>
      <c r="B460" s="182" t="s">
        <v>10173</v>
      </c>
      <c r="C460" s="183" t="s">
        <v>7582</v>
      </c>
      <c r="D460" s="183">
        <v>2</v>
      </c>
      <c r="E460" s="183" t="s">
        <v>7585</v>
      </c>
      <c r="F460" s="183" t="s">
        <v>4</v>
      </c>
      <c r="G460" s="183" t="s">
        <v>727</v>
      </c>
      <c r="H460" s="183" t="s">
        <v>10734</v>
      </c>
      <c r="I460" s="183">
        <v>2</v>
      </c>
      <c r="J460" s="183" t="s">
        <v>1054</v>
      </c>
      <c r="K460" s="183" t="s">
        <v>7587</v>
      </c>
      <c r="L460" s="183">
        <v>2</v>
      </c>
      <c r="M460" s="183"/>
      <c r="N460" s="185"/>
      <c r="O460" s="183" t="s">
        <v>465</v>
      </c>
      <c r="P460" s="183" t="s">
        <v>7588</v>
      </c>
      <c r="Q460" s="184"/>
      <c r="R460" s="183" t="s">
        <v>24</v>
      </c>
      <c r="S460" s="184"/>
      <c r="T460" s="184"/>
      <c r="U460" s="184"/>
      <c r="V460" s="184"/>
      <c r="W460" s="184"/>
      <c r="X460" s="179"/>
      <c r="Y460" s="179"/>
      <c r="Z460" s="179"/>
      <c r="AA460" s="179"/>
    </row>
    <row r="461" spans="1:27">
      <c r="A461" s="181">
        <f ca="1">IFERROR(__xludf.DUMMYFUNCTION("IFS(B461="""","""",ISDATE(B461)=TRUE,B461,ISDATE(B461)=FALSE,TO_DATE(DATEVALUE(regexextract(B461,""\d+/\d+/\d+""))))"),44784)</f>
        <v>44784</v>
      </c>
      <c r="B461" s="182" t="s">
        <v>10173</v>
      </c>
      <c r="C461" s="183" t="s">
        <v>5280</v>
      </c>
      <c r="D461" s="183">
        <v>3.25</v>
      </c>
      <c r="E461" s="183" t="s">
        <v>5283</v>
      </c>
      <c r="F461" s="183" t="s">
        <v>4</v>
      </c>
      <c r="G461" s="183" t="s">
        <v>727</v>
      </c>
      <c r="H461" s="183" t="s">
        <v>10735</v>
      </c>
      <c r="I461" s="183">
        <v>3.5</v>
      </c>
      <c r="J461" s="183" t="s">
        <v>476</v>
      </c>
      <c r="K461" s="183" t="s">
        <v>10736</v>
      </c>
      <c r="L461" s="183">
        <v>3</v>
      </c>
      <c r="M461" s="184"/>
      <c r="N461" s="188"/>
      <c r="O461" s="183" t="s">
        <v>452</v>
      </c>
      <c r="P461" s="183" t="s">
        <v>5286</v>
      </c>
      <c r="Q461" s="184"/>
      <c r="R461" s="183" t="s">
        <v>24</v>
      </c>
      <c r="S461" s="184"/>
      <c r="T461" s="184"/>
      <c r="U461" s="184"/>
      <c r="V461" s="184"/>
      <c r="W461" s="184"/>
      <c r="X461" s="179"/>
      <c r="Y461" s="179"/>
      <c r="Z461" s="179"/>
      <c r="AA461" s="179"/>
    </row>
    <row r="462" spans="1:27">
      <c r="A462" s="181">
        <f ca="1">IFERROR(__xludf.DUMMYFUNCTION("IFS(B462="""","""",ISDATE(B462)=TRUE,B462,ISDATE(B462)=FALSE,TO_DATE(DATEVALUE(regexextract(B462,""\d+/\d+/\d+""))))"),44784)</f>
        <v>44784</v>
      </c>
      <c r="B462" s="182" t="s">
        <v>10173</v>
      </c>
      <c r="C462" s="183" t="s">
        <v>289</v>
      </c>
      <c r="D462" s="183">
        <v>3.75</v>
      </c>
      <c r="E462" s="183" t="s">
        <v>4413</v>
      </c>
      <c r="F462" s="183" t="s">
        <v>4</v>
      </c>
      <c r="G462" s="183" t="s">
        <v>727</v>
      </c>
      <c r="H462" s="184" t="s">
        <v>10737</v>
      </c>
      <c r="I462" s="183">
        <v>4</v>
      </c>
      <c r="J462" s="183" t="s">
        <v>476</v>
      </c>
      <c r="K462" s="183" t="s">
        <v>10738</v>
      </c>
      <c r="L462" s="183">
        <v>3.5</v>
      </c>
      <c r="M462" s="183" t="s">
        <v>4416</v>
      </c>
      <c r="N462" s="192">
        <v>3500000</v>
      </c>
      <c r="O462" s="183" t="s">
        <v>452</v>
      </c>
      <c r="P462" s="183" t="s">
        <v>10739</v>
      </c>
      <c r="Q462" s="184"/>
      <c r="R462" s="183" t="s">
        <v>18</v>
      </c>
      <c r="S462" s="184" t="s">
        <v>4418</v>
      </c>
      <c r="T462" s="184"/>
      <c r="U462" s="184"/>
      <c r="V462" s="184"/>
      <c r="W462" s="184"/>
      <c r="X462" s="179"/>
      <c r="Y462" s="179"/>
      <c r="Z462" s="179"/>
      <c r="AA462" s="179"/>
    </row>
    <row r="463" spans="1:27">
      <c r="A463" s="181">
        <f ca="1">IFERROR(__xludf.DUMMYFUNCTION("IFS(B463="""","""",ISDATE(B463)=TRUE,B463,ISDATE(B463)=FALSE,TO_DATE(DATEVALUE(regexextract(B463,""\d+/\d+/\d+""))))"),44784)</f>
        <v>44784</v>
      </c>
      <c r="B463" s="182" t="s">
        <v>10173</v>
      </c>
      <c r="C463" s="183" t="s">
        <v>7868</v>
      </c>
      <c r="D463" s="183">
        <v>1.5</v>
      </c>
      <c r="E463" s="183" t="s">
        <v>7871</v>
      </c>
      <c r="F463" s="183" t="s">
        <v>4</v>
      </c>
      <c r="G463" s="183" t="s">
        <v>727</v>
      </c>
      <c r="H463" s="183" t="s">
        <v>10740</v>
      </c>
      <c r="I463" s="183">
        <v>2</v>
      </c>
      <c r="J463" s="183" t="s">
        <v>476</v>
      </c>
      <c r="K463" s="183" t="s">
        <v>7873</v>
      </c>
      <c r="L463" s="183">
        <v>1</v>
      </c>
      <c r="M463" s="183"/>
      <c r="N463" s="185"/>
      <c r="O463" s="183" t="s">
        <v>454</v>
      </c>
      <c r="P463" s="183" t="s">
        <v>7874</v>
      </c>
      <c r="Q463" s="183"/>
      <c r="R463" s="183" t="s">
        <v>24</v>
      </c>
      <c r="S463" s="184"/>
      <c r="T463" s="184"/>
      <c r="U463" s="184"/>
      <c r="V463" s="184"/>
      <c r="W463" s="184"/>
      <c r="X463" s="179"/>
      <c r="Y463" s="179"/>
      <c r="Z463" s="179"/>
      <c r="AA463" s="179"/>
    </row>
    <row r="464" spans="1:27">
      <c r="A464" s="181">
        <f ca="1">IFERROR(__xludf.DUMMYFUNCTION("IFS(B464="""","""",ISDATE(B464)=TRUE,B464,ISDATE(B464)=FALSE,TO_DATE(DATEVALUE(regexextract(B464,""\d+/\d+/\d+""))))"),44791)</f>
        <v>44791</v>
      </c>
      <c r="B464" s="182" t="s">
        <v>10182</v>
      </c>
      <c r="C464" s="183" t="s">
        <v>10741</v>
      </c>
      <c r="D464" s="183">
        <v>1</v>
      </c>
      <c r="E464" s="183" t="s">
        <v>8196</v>
      </c>
      <c r="F464" s="183" t="s">
        <v>4</v>
      </c>
      <c r="G464" s="183" t="s">
        <v>725</v>
      </c>
      <c r="H464" s="183"/>
      <c r="I464" s="183">
        <v>1</v>
      </c>
      <c r="J464" s="183" t="s">
        <v>476</v>
      </c>
      <c r="K464" s="183" t="s">
        <v>8061</v>
      </c>
      <c r="L464" s="183">
        <v>1</v>
      </c>
      <c r="M464" s="184" t="s">
        <v>784</v>
      </c>
      <c r="N464" s="184">
        <v>400000</v>
      </c>
      <c r="O464" s="183" t="s">
        <v>452</v>
      </c>
      <c r="P464" s="183" t="s">
        <v>575</v>
      </c>
      <c r="Q464" s="184" t="s">
        <v>8197</v>
      </c>
      <c r="R464" s="183" t="s">
        <v>24</v>
      </c>
      <c r="S464" s="184"/>
      <c r="T464" s="184"/>
      <c r="U464" s="184"/>
      <c r="V464" s="184"/>
      <c r="W464" s="184"/>
      <c r="X464" s="179"/>
      <c r="Y464" s="179"/>
      <c r="Z464" s="179"/>
      <c r="AA464" s="179"/>
    </row>
    <row r="465" spans="1:27">
      <c r="A465" s="181">
        <f ca="1">IFERROR(__xludf.DUMMYFUNCTION("IFS(B465="""","""",ISDATE(B465)=TRUE,B465,ISDATE(B465)=FALSE,TO_DATE(DATEVALUE(regexextract(B465,""\d+/\d+/\d+""))))"),44789)</f>
        <v>44789</v>
      </c>
      <c r="B465" s="182" t="s">
        <v>6450</v>
      </c>
      <c r="C465" s="183" t="s">
        <v>267</v>
      </c>
      <c r="D465" s="184">
        <v>3.75</v>
      </c>
      <c r="E465" s="183" t="s">
        <v>1542</v>
      </c>
      <c r="F465" s="183" t="s">
        <v>4</v>
      </c>
      <c r="G465" s="183" t="s">
        <v>602</v>
      </c>
      <c r="H465" s="184" t="s">
        <v>1543</v>
      </c>
      <c r="I465" s="184">
        <v>3.5</v>
      </c>
      <c r="J465" s="183" t="s">
        <v>727</v>
      </c>
      <c r="K465" s="183" t="s">
        <v>10742</v>
      </c>
      <c r="L465" s="183">
        <v>4</v>
      </c>
      <c r="M465" s="183" t="s">
        <v>784</v>
      </c>
      <c r="N465" s="185">
        <v>550000</v>
      </c>
      <c r="O465" s="183" t="s">
        <v>454</v>
      </c>
      <c r="P465" s="183" t="s">
        <v>452</v>
      </c>
      <c r="Q465" s="184" t="s">
        <v>447</v>
      </c>
      <c r="R465" s="184" t="s">
        <v>18</v>
      </c>
      <c r="S465" s="184" t="s">
        <v>1545</v>
      </c>
      <c r="T465" s="184"/>
      <c r="U465" s="184"/>
      <c r="V465" s="184"/>
      <c r="W465" s="184"/>
      <c r="X465" s="179"/>
      <c r="Y465" s="179"/>
      <c r="Z465" s="179"/>
      <c r="AA465" s="179"/>
    </row>
    <row r="466" spans="1:27">
      <c r="A466" s="181">
        <f ca="1">IFERROR(__xludf.DUMMYFUNCTION("IFS(B466="""","""",ISDATE(B466)=TRUE,B466,ISDATE(B466)=FALSE,TO_DATE(DATEVALUE(regexextract(B466,""\d+/\d+/\d+""))))"),44796)</f>
        <v>44796</v>
      </c>
      <c r="B466" s="182" t="s">
        <v>529</v>
      </c>
      <c r="C466" s="183" t="s">
        <v>9051</v>
      </c>
      <c r="D466" s="183">
        <v>3</v>
      </c>
      <c r="E466" s="183" t="s">
        <v>9054</v>
      </c>
      <c r="F466" s="183" t="s">
        <v>3</v>
      </c>
      <c r="G466" s="183" t="s">
        <v>460</v>
      </c>
      <c r="H466" s="183" t="s">
        <v>10743</v>
      </c>
      <c r="I466" s="183">
        <v>3</v>
      </c>
      <c r="J466" s="183" t="s">
        <v>462</v>
      </c>
      <c r="K466" s="183" t="s">
        <v>9056</v>
      </c>
      <c r="L466" s="183">
        <v>3</v>
      </c>
      <c r="M466" s="183" t="s">
        <v>451</v>
      </c>
      <c r="N466" s="187">
        <v>1000000</v>
      </c>
      <c r="O466" s="183" t="s">
        <v>452</v>
      </c>
      <c r="P466" s="183" t="s">
        <v>9057</v>
      </c>
      <c r="Q466" s="184"/>
      <c r="R466" s="183" t="s">
        <v>24</v>
      </c>
      <c r="S466" s="184" t="s">
        <v>1477</v>
      </c>
      <c r="T466" s="184"/>
      <c r="U466" s="184"/>
      <c r="V466" s="184"/>
      <c r="W466" s="184"/>
      <c r="X466" s="179"/>
      <c r="Y466" s="179"/>
      <c r="Z466" s="179"/>
      <c r="AA466" s="179"/>
    </row>
    <row r="467" spans="1:27">
      <c r="A467" s="181">
        <f ca="1">IFERROR(__xludf.DUMMYFUNCTION("IFS(B467="""","""",ISDATE(B467)=TRUE,B467,ISDATE(B467)=FALSE,TO_DATE(DATEVALUE(regexextract(B467,""\d+/\d+/\d+""))))"),44791)</f>
        <v>44791</v>
      </c>
      <c r="B467" s="182" t="s">
        <v>598</v>
      </c>
      <c r="C467" s="183" t="s">
        <v>9132</v>
      </c>
      <c r="D467" s="183">
        <v>1.5</v>
      </c>
      <c r="E467" s="184" t="s">
        <v>9135</v>
      </c>
      <c r="F467" s="183" t="s">
        <v>3</v>
      </c>
      <c r="G467" s="183" t="s">
        <v>460</v>
      </c>
      <c r="H467" s="183" t="s">
        <v>9136</v>
      </c>
      <c r="I467" s="183">
        <v>1</v>
      </c>
      <c r="J467" s="183" t="s">
        <v>462</v>
      </c>
      <c r="K467" s="183" t="s">
        <v>9137</v>
      </c>
      <c r="L467" s="183">
        <v>2</v>
      </c>
      <c r="M467" s="183"/>
      <c r="N467" s="187"/>
      <c r="O467" s="183" t="s">
        <v>454</v>
      </c>
      <c r="P467" s="183" t="s">
        <v>452</v>
      </c>
      <c r="Q467" s="183" t="s">
        <v>9138</v>
      </c>
      <c r="R467" s="183" t="s">
        <v>24</v>
      </c>
      <c r="S467" s="183"/>
      <c r="T467" s="184"/>
      <c r="U467" s="184"/>
      <c r="V467" s="184"/>
      <c r="W467" s="184"/>
      <c r="X467" s="179"/>
      <c r="Y467" s="179"/>
      <c r="Z467" s="179"/>
      <c r="AA467" s="179"/>
    </row>
    <row r="468" spans="1:27">
      <c r="A468" s="181">
        <f ca="1">IFERROR(__xludf.DUMMYFUNCTION("IFS(B468="""","""",ISDATE(B468)=TRUE,B468,ISDATE(B468)=FALSE,TO_DATE(DATEVALUE(regexextract(B468,""\d+/\d+/\d+""))))"),44789)</f>
        <v>44789</v>
      </c>
      <c r="B468" s="182" t="s">
        <v>6450</v>
      </c>
      <c r="C468" s="183" t="s">
        <v>3215</v>
      </c>
      <c r="D468" s="183">
        <v>3.25</v>
      </c>
      <c r="E468" s="183" t="s">
        <v>10744</v>
      </c>
      <c r="F468" s="183" t="s">
        <v>5</v>
      </c>
      <c r="G468" s="183" t="s">
        <v>447</v>
      </c>
      <c r="H468" s="183" t="s">
        <v>10745</v>
      </c>
      <c r="I468" s="183">
        <v>3</v>
      </c>
      <c r="J468" s="183" t="s">
        <v>543</v>
      </c>
      <c r="K468" s="183" t="s">
        <v>10746</v>
      </c>
      <c r="L468" s="183">
        <v>3.5</v>
      </c>
      <c r="M468" s="183"/>
      <c r="N468" s="187"/>
      <c r="O468" s="183" t="s">
        <v>452</v>
      </c>
      <c r="P468" s="183" t="s">
        <v>3221</v>
      </c>
      <c r="Q468" s="183"/>
      <c r="R468" s="183" t="s">
        <v>24</v>
      </c>
      <c r="S468" s="184"/>
      <c r="T468" s="184"/>
      <c r="U468" s="184"/>
      <c r="V468" s="184"/>
      <c r="W468" s="184"/>
      <c r="X468" s="179"/>
      <c r="Y468" s="179"/>
      <c r="Z468" s="179"/>
      <c r="AA468" s="179"/>
    </row>
    <row r="469" spans="1:27">
      <c r="A469" s="181">
        <f ca="1">IFERROR(__xludf.DUMMYFUNCTION("IFS(B469="""","""",ISDATE(B469)=TRUE,B469,ISDATE(B469)=FALSE,TO_DATE(DATEVALUE(regexextract(B469,""\d+/\d+/\d+""))))"),44791)</f>
        <v>44791</v>
      </c>
      <c r="B469" s="182" t="s">
        <v>598</v>
      </c>
      <c r="C469" s="183" t="s">
        <v>10747</v>
      </c>
      <c r="D469" s="183">
        <v>1.5</v>
      </c>
      <c r="E469" s="183" t="s">
        <v>7904</v>
      </c>
      <c r="F469" s="183" t="s">
        <v>4</v>
      </c>
      <c r="G469" s="183" t="s">
        <v>725</v>
      </c>
      <c r="H469" s="183" t="s">
        <v>10748</v>
      </c>
      <c r="I469" s="183">
        <v>1</v>
      </c>
      <c r="J469" s="183" t="s">
        <v>1298</v>
      </c>
      <c r="K469" s="183" t="s">
        <v>7906</v>
      </c>
      <c r="L469" s="183">
        <v>2</v>
      </c>
      <c r="M469" s="183"/>
      <c r="N469" s="187"/>
      <c r="O469" s="183" t="s">
        <v>465</v>
      </c>
      <c r="P469" s="183" t="s">
        <v>7907</v>
      </c>
      <c r="Q469" s="183"/>
      <c r="R469" s="183" t="s">
        <v>24</v>
      </c>
      <c r="S469" s="184"/>
      <c r="T469" s="184"/>
      <c r="U469" s="184"/>
      <c r="V469" s="184"/>
      <c r="W469" s="184"/>
      <c r="X469" s="179"/>
      <c r="Y469" s="179"/>
      <c r="Z469" s="179"/>
      <c r="AA469" s="179"/>
    </row>
    <row r="470" spans="1:27">
      <c r="A470" s="181">
        <f ca="1">IFERROR(__xludf.DUMMYFUNCTION("IFS(B470="""","""",ISDATE(B470)=TRUE,B470,ISDATE(B470)=FALSE,TO_DATE(DATEVALUE(regexextract(B470,""\d+/\d+/\d+""))))"),44789)</f>
        <v>44789</v>
      </c>
      <c r="B470" s="182" t="s">
        <v>6450</v>
      </c>
      <c r="C470" s="183" t="s">
        <v>233</v>
      </c>
      <c r="D470" s="183">
        <v>4.25</v>
      </c>
      <c r="E470" s="183" t="s">
        <v>1381</v>
      </c>
      <c r="F470" s="183" t="s">
        <v>4</v>
      </c>
      <c r="G470" s="183" t="s">
        <v>727</v>
      </c>
      <c r="H470" s="183" t="s">
        <v>10749</v>
      </c>
      <c r="I470" s="183">
        <v>4.5</v>
      </c>
      <c r="J470" s="183" t="s">
        <v>1045</v>
      </c>
      <c r="K470" s="183" t="s">
        <v>1383</v>
      </c>
      <c r="L470" s="183">
        <v>4</v>
      </c>
      <c r="M470" s="183" t="s">
        <v>451</v>
      </c>
      <c r="N470" s="187" t="s">
        <v>1384</v>
      </c>
      <c r="O470" s="183" t="s">
        <v>452</v>
      </c>
      <c r="P470" s="183" t="s">
        <v>1385</v>
      </c>
      <c r="Q470" s="183" t="s">
        <v>725</v>
      </c>
      <c r="R470" s="183" t="s">
        <v>18</v>
      </c>
      <c r="S470" s="184"/>
      <c r="T470" s="184"/>
      <c r="U470" s="184"/>
      <c r="V470" s="184"/>
      <c r="W470" s="184"/>
      <c r="X470" s="179"/>
      <c r="Y470" s="179"/>
      <c r="Z470" s="179"/>
      <c r="AA470" s="179"/>
    </row>
    <row r="471" spans="1:27">
      <c r="A471" s="181">
        <f ca="1">IFERROR(__xludf.DUMMYFUNCTION("IFS(B471="""","""",ISDATE(B471)=TRUE,B471,ISDATE(B471)=FALSE,TO_DATE(DATEVALUE(regexextract(B471,""\d+/\d+/\d+""))))"),44784)</f>
        <v>44784</v>
      </c>
      <c r="B471" s="182" t="s">
        <v>10173</v>
      </c>
      <c r="C471" s="183" t="s">
        <v>103</v>
      </c>
      <c r="D471" s="184">
        <v>3.75</v>
      </c>
      <c r="E471" s="183" t="s">
        <v>756</v>
      </c>
      <c r="F471" s="183" t="s">
        <v>5</v>
      </c>
      <c r="G471" s="183" t="s">
        <v>447</v>
      </c>
      <c r="H471" s="184" t="s">
        <v>10750</v>
      </c>
      <c r="I471" s="184">
        <v>4</v>
      </c>
      <c r="J471" s="183" t="s">
        <v>543</v>
      </c>
      <c r="K471" s="183" t="s">
        <v>10751</v>
      </c>
      <c r="L471" s="183">
        <v>3.5</v>
      </c>
      <c r="M471" s="183"/>
      <c r="N471" s="185"/>
      <c r="O471" s="183" t="s">
        <v>452</v>
      </c>
      <c r="P471" s="183" t="s">
        <v>759</v>
      </c>
      <c r="Q471" s="184"/>
      <c r="R471" s="184" t="s">
        <v>18</v>
      </c>
      <c r="S471" s="184" t="s">
        <v>760</v>
      </c>
      <c r="T471" s="184"/>
      <c r="U471" s="184"/>
      <c r="V471" s="184"/>
      <c r="W471" s="184"/>
      <c r="X471" s="179"/>
      <c r="Y471" s="179"/>
      <c r="Z471" s="179"/>
      <c r="AA471" s="179"/>
    </row>
    <row r="472" spans="1:27">
      <c r="A472" s="181">
        <f ca="1">IFERROR(__xludf.DUMMYFUNCTION("IFS(B472="""","""",ISDATE(B472)=TRUE,B472,ISDATE(B472)=FALSE,TO_DATE(DATEVALUE(regexextract(B472,""\d+/\d+/\d+""))))"),44784)</f>
        <v>44784</v>
      </c>
      <c r="B472" s="182" t="s">
        <v>10173</v>
      </c>
      <c r="C472" s="183" t="s">
        <v>4218</v>
      </c>
      <c r="D472" s="183">
        <v>3.75</v>
      </c>
      <c r="E472" s="183" t="s">
        <v>4221</v>
      </c>
      <c r="F472" s="183" t="s">
        <v>4</v>
      </c>
      <c r="G472" s="183" t="s">
        <v>727</v>
      </c>
      <c r="H472" s="183" t="s">
        <v>10752</v>
      </c>
      <c r="I472" s="183">
        <v>3.5</v>
      </c>
      <c r="J472" s="183" t="s">
        <v>476</v>
      </c>
      <c r="K472" s="183" t="s">
        <v>10753</v>
      </c>
      <c r="L472" s="183">
        <v>4</v>
      </c>
      <c r="M472" s="183" t="s">
        <v>451</v>
      </c>
      <c r="N472" s="187">
        <v>3000000</v>
      </c>
      <c r="O472" s="183" t="s">
        <v>452</v>
      </c>
      <c r="P472" s="183" t="s">
        <v>4224</v>
      </c>
      <c r="Q472" s="183"/>
      <c r="R472" s="183" t="s">
        <v>24</v>
      </c>
      <c r="S472" s="183"/>
      <c r="T472" s="184"/>
      <c r="U472" s="184"/>
      <c r="V472" s="184"/>
      <c r="W472" s="184"/>
      <c r="X472" s="179"/>
      <c r="Y472" s="179"/>
      <c r="Z472" s="179"/>
      <c r="AA472" s="179"/>
    </row>
    <row r="473" spans="1:27">
      <c r="A473" s="181">
        <f ca="1">IFERROR(__xludf.DUMMYFUNCTION("IFS(B473="""","""",ISDATE(B473)=TRUE,B473,ISDATE(B473)=FALSE,TO_DATE(DATEVALUE(regexextract(B473,""\d+/\d+/\d+""))))"),44796)</f>
        <v>44796</v>
      </c>
      <c r="B473" s="182" t="s">
        <v>529</v>
      </c>
      <c r="C473" s="183" t="s">
        <v>8958</v>
      </c>
      <c r="D473" s="183">
        <v>1</v>
      </c>
      <c r="E473" s="183" t="s">
        <v>10754</v>
      </c>
      <c r="F473" s="183" t="s">
        <v>3</v>
      </c>
      <c r="G473" s="183" t="s">
        <v>460</v>
      </c>
      <c r="H473" s="183" t="s">
        <v>8962</v>
      </c>
      <c r="I473" s="183">
        <v>1</v>
      </c>
      <c r="J473" s="183" t="s">
        <v>462</v>
      </c>
      <c r="K473" s="183" t="s">
        <v>8963</v>
      </c>
      <c r="L473" s="183">
        <v>1</v>
      </c>
      <c r="M473" s="183"/>
      <c r="N473" s="183"/>
      <c r="O473" s="183" t="s">
        <v>454</v>
      </c>
      <c r="P473" s="183" t="s">
        <v>8964</v>
      </c>
      <c r="Q473" s="183"/>
      <c r="R473" s="183" t="s">
        <v>24</v>
      </c>
      <c r="S473" s="183"/>
      <c r="T473" s="184"/>
      <c r="U473" s="184"/>
      <c r="V473" s="184"/>
      <c r="W473" s="184"/>
      <c r="X473" s="179"/>
      <c r="Y473" s="179"/>
      <c r="Z473" s="179"/>
      <c r="AA473" s="179"/>
    </row>
    <row r="474" spans="1:27">
      <c r="A474" s="181">
        <f ca="1">IFERROR(__xludf.DUMMYFUNCTION("IFS(B474="""","""",ISDATE(B474)=TRUE,B474,ISDATE(B474)=FALSE,TO_DATE(DATEVALUE(regexextract(B474,""\d+/\d+/\d+""))))"),44791)</f>
        <v>44791</v>
      </c>
      <c r="B474" s="182" t="s">
        <v>598</v>
      </c>
      <c r="C474" s="183" t="s">
        <v>9623</v>
      </c>
      <c r="D474" s="183">
        <v>3</v>
      </c>
      <c r="E474" s="183" t="s">
        <v>9626</v>
      </c>
      <c r="F474" s="183" t="s">
        <v>4</v>
      </c>
      <c r="G474" s="183" t="s">
        <v>725</v>
      </c>
      <c r="H474" s="183" t="s">
        <v>10755</v>
      </c>
      <c r="I474" s="183">
        <v>3</v>
      </c>
      <c r="J474" s="183" t="s">
        <v>1045</v>
      </c>
      <c r="K474" s="183" t="s">
        <v>9628</v>
      </c>
      <c r="L474" s="183">
        <v>3</v>
      </c>
      <c r="M474" s="183" t="s">
        <v>784</v>
      </c>
      <c r="N474" s="185">
        <v>1500000</v>
      </c>
      <c r="O474" s="183" t="s">
        <v>454</v>
      </c>
      <c r="P474" s="183" t="s">
        <v>452</v>
      </c>
      <c r="Q474" s="183"/>
      <c r="R474" s="183" t="s">
        <v>23</v>
      </c>
      <c r="S474" s="184"/>
      <c r="T474" s="184"/>
      <c r="U474" s="184"/>
      <c r="V474" s="184"/>
      <c r="W474" s="184"/>
      <c r="X474" s="179"/>
      <c r="Y474" s="179"/>
      <c r="Z474" s="179"/>
      <c r="AA474" s="179"/>
    </row>
    <row r="475" spans="1:27">
      <c r="A475" s="181">
        <f ca="1">IFERROR(__xludf.DUMMYFUNCTION("IFS(B475="""","""",ISDATE(B475)=TRUE,B475,ISDATE(B475)=FALSE,TO_DATE(DATEVALUE(regexextract(B475,""\d+/\d+/\d+""))))"),44791)</f>
        <v>44791</v>
      </c>
      <c r="B475" s="182" t="s">
        <v>598</v>
      </c>
      <c r="C475" s="183" t="s">
        <v>7540</v>
      </c>
      <c r="D475" s="184">
        <v>2</v>
      </c>
      <c r="E475" s="184" t="s">
        <v>7543</v>
      </c>
      <c r="F475" s="183" t="s">
        <v>4</v>
      </c>
      <c r="G475" s="183" t="s">
        <v>725</v>
      </c>
      <c r="H475" s="184" t="s">
        <v>10756</v>
      </c>
      <c r="I475" s="184">
        <v>2</v>
      </c>
      <c r="J475" s="183" t="s">
        <v>1045</v>
      </c>
      <c r="K475" s="184" t="s">
        <v>7545</v>
      </c>
      <c r="L475" s="184">
        <v>2</v>
      </c>
      <c r="M475" s="183" t="s">
        <v>784</v>
      </c>
      <c r="N475" s="185">
        <v>1200000</v>
      </c>
      <c r="O475" s="183" t="s">
        <v>452</v>
      </c>
      <c r="P475" s="183" t="s">
        <v>7546</v>
      </c>
      <c r="Q475" s="184" t="s">
        <v>7547</v>
      </c>
      <c r="R475" s="184" t="s">
        <v>24</v>
      </c>
      <c r="S475" s="184"/>
      <c r="T475" s="184"/>
      <c r="U475" s="184"/>
      <c r="V475" s="184"/>
      <c r="W475" s="184"/>
      <c r="X475" s="179"/>
      <c r="Y475" s="179"/>
      <c r="Z475" s="179"/>
      <c r="AA475" s="179"/>
    </row>
    <row r="476" spans="1:27">
      <c r="A476" s="181">
        <f ca="1">IFERROR(__xludf.DUMMYFUNCTION("IFS(B476="""","""",ISDATE(B476)=TRUE,B476,ISDATE(B476)=FALSE,TO_DATE(DATEVALUE(regexextract(B476,""\d+/\d+/\d+""))))"),44796)</f>
        <v>44796</v>
      </c>
      <c r="B476" s="182" t="s">
        <v>529</v>
      </c>
      <c r="C476" s="183" t="s">
        <v>8533</v>
      </c>
      <c r="D476" s="184">
        <v>2</v>
      </c>
      <c r="E476" s="183" t="s">
        <v>8536</v>
      </c>
      <c r="F476" s="183" t="s">
        <v>3</v>
      </c>
      <c r="G476" s="183" t="s">
        <v>460</v>
      </c>
      <c r="H476" s="184" t="s">
        <v>8537</v>
      </c>
      <c r="I476" s="184">
        <v>1</v>
      </c>
      <c r="J476" s="183" t="s">
        <v>462</v>
      </c>
      <c r="K476" s="183" t="s">
        <v>8538</v>
      </c>
      <c r="L476" s="183">
        <v>3</v>
      </c>
      <c r="M476" s="184" t="s">
        <v>451</v>
      </c>
      <c r="N476" s="188" t="s">
        <v>8539</v>
      </c>
      <c r="O476" s="183" t="s">
        <v>452</v>
      </c>
      <c r="P476" s="183" t="s">
        <v>8540</v>
      </c>
      <c r="Q476" s="183"/>
      <c r="R476" s="184" t="s">
        <v>24</v>
      </c>
      <c r="S476" s="184"/>
      <c r="T476" s="184"/>
      <c r="U476" s="184"/>
      <c r="V476" s="184"/>
      <c r="W476" s="184"/>
      <c r="X476" s="179"/>
      <c r="Y476" s="179"/>
      <c r="Z476" s="179"/>
      <c r="AA476" s="179"/>
    </row>
    <row r="477" spans="1:27">
      <c r="A477" s="181">
        <f ca="1">IFERROR(__xludf.DUMMYFUNCTION("IFS(B477="""","""",ISDATE(B477)=TRUE,B477,ISDATE(B477)=FALSE,TO_DATE(DATEVALUE(regexextract(B477,""\d+/\d+/\d+""))))"),44791)</f>
        <v>44791</v>
      </c>
      <c r="B477" s="182" t="s">
        <v>10182</v>
      </c>
      <c r="C477" s="183" t="s">
        <v>6815</v>
      </c>
      <c r="D477" s="184">
        <v>2.25</v>
      </c>
      <c r="E477" s="183" t="s">
        <v>10757</v>
      </c>
      <c r="F477" s="183" t="s">
        <v>4</v>
      </c>
      <c r="G477" s="183" t="s">
        <v>727</v>
      </c>
      <c r="H477" s="184" t="s">
        <v>10758</v>
      </c>
      <c r="I477" s="184">
        <v>2</v>
      </c>
      <c r="J477" s="183" t="s">
        <v>1045</v>
      </c>
      <c r="K477" s="184" t="s">
        <v>10759</v>
      </c>
      <c r="L477" s="183">
        <v>2.5</v>
      </c>
      <c r="M477" s="184"/>
      <c r="N477" s="188"/>
      <c r="O477" s="183" t="s">
        <v>454</v>
      </c>
      <c r="P477" s="183" t="s">
        <v>6821</v>
      </c>
      <c r="Q477" s="184" t="s">
        <v>6822</v>
      </c>
      <c r="R477" s="184" t="s">
        <v>24</v>
      </c>
      <c r="S477" s="184"/>
      <c r="T477" s="184"/>
      <c r="U477" s="184"/>
      <c r="V477" s="184"/>
      <c r="W477" s="184"/>
      <c r="X477" s="179"/>
      <c r="Y477" s="179"/>
      <c r="Z477" s="179"/>
      <c r="AA477" s="179"/>
    </row>
    <row r="478" spans="1:27">
      <c r="A478" s="181">
        <f ca="1">IFERROR(__xludf.DUMMYFUNCTION("IFS(B478="""","""",ISDATE(B478)=TRUE,B478,ISDATE(B478)=FALSE,TO_DATE(DATEVALUE(regexextract(B478,""\d+/\d+/\d+""))))"),44784)</f>
        <v>44784</v>
      </c>
      <c r="B478" s="182" t="s">
        <v>10173</v>
      </c>
      <c r="C478" s="183" t="s">
        <v>167</v>
      </c>
      <c r="D478" s="184">
        <v>4.5</v>
      </c>
      <c r="E478" s="184" t="s">
        <v>1093</v>
      </c>
      <c r="F478" s="183" t="s">
        <v>4</v>
      </c>
      <c r="G478" s="183" t="s">
        <v>727</v>
      </c>
      <c r="H478" s="184" t="s">
        <v>10760</v>
      </c>
      <c r="I478" s="184">
        <v>5</v>
      </c>
      <c r="J478" s="183" t="s">
        <v>1054</v>
      </c>
      <c r="K478" s="184" t="s">
        <v>1095</v>
      </c>
      <c r="L478" s="184">
        <v>4</v>
      </c>
      <c r="M478" s="183" t="s">
        <v>451</v>
      </c>
      <c r="N478" s="187">
        <v>7000000</v>
      </c>
      <c r="O478" s="183" t="s">
        <v>452</v>
      </c>
      <c r="P478" s="183" t="s">
        <v>452</v>
      </c>
      <c r="Q478" s="184" t="s">
        <v>1096</v>
      </c>
      <c r="R478" s="184" t="s">
        <v>18</v>
      </c>
      <c r="S478" s="184"/>
      <c r="T478" s="184"/>
      <c r="U478" s="184"/>
      <c r="V478" s="184"/>
      <c r="W478" s="184"/>
      <c r="X478" s="179"/>
      <c r="Y478" s="179"/>
      <c r="Z478" s="179"/>
      <c r="AA478" s="179"/>
    </row>
    <row r="479" spans="1:27">
      <c r="A479" s="181">
        <f ca="1">IFERROR(__xludf.DUMMYFUNCTION("IFS(B479="""","""",ISDATE(B479)=TRUE,B479,ISDATE(B479)=FALSE,TO_DATE(DATEVALUE(regexextract(B479,""\d+/\d+/\d+""))))"),44789)</f>
        <v>44789</v>
      </c>
      <c r="B479" s="182" t="s">
        <v>6450</v>
      </c>
      <c r="C479" s="183" t="s">
        <v>9219</v>
      </c>
      <c r="D479" s="183">
        <v>1</v>
      </c>
      <c r="E479" s="183" t="s">
        <v>9222</v>
      </c>
      <c r="F479" s="183" t="s">
        <v>3</v>
      </c>
      <c r="G479" s="183" t="s">
        <v>488</v>
      </c>
      <c r="H479" s="183"/>
      <c r="I479" s="183">
        <v>1</v>
      </c>
      <c r="J479" s="183" t="s">
        <v>462</v>
      </c>
      <c r="K479" s="183" t="s">
        <v>9223</v>
      </c>
      <c r="L479" s="183">
        <v>1</v>
      </c>
      <c r="M479" s="183"/>
      <c r="N479" s="185"/>
      <c r="O479" s="183" t="s">
        <v>454</v>
      </c>
      <c r="P479" s="183" t="s">
        <v>575</v>
      </c>
      <c r="Q479" s="183"/>
      <c r="R479" s="183" t="s">
        <v>24</v>
      </c>
      <c r="S479" s="184"/>
      <c r="T479" s="184"/>
      <c r="U479" s="184"/>
      <c r="V479" s="184"/>
      <c r="W479" s="184"/>
      <c r="X479" s="179"/>
      <c r="Y479" s="179"/>
      <c r="Z479" s="179"/>
      <c r="AA479" s="179"/>
    </row>
    <row r="480" spans="1:27">
      <c r="A480" s="181">
        <f ca="1">IFERROR(__xludf.DUMMYFUNCTION("IFS(B480="""","""",ISDATE(B480)=TRUE,B480,ISDATE(B480)=FALSE,TO_DATE(DATEVALUE(regexextract(B480,""\d+/\d+/\d+""))))"),44796)</f>
        <v>44796</v>
      </c>
      <c r="B480" s="182" t="s">
        <v>529</v>
      </c>
      <c r="C480" s="183" t="s">
        <v>9825</v>
      </c>
      <c r="D480" s="183">
        <v>3.25</v>
      </c>
      <c r="E480" s="183" t="s">
        <v>9828</v>
      </c>
      <c r="F480" s="183" t="s">
        <v>3</v>
      </c>
      <c r="G480" s="183" t="s">
        <v>488</v>
      </c>
      <c r="H480" s="183" t="s">
        <v>9829</v>
      </c>
      <c r="I480" s="183">
        <v>3.5</v>
      </c>
      <c r="J480" s="183" t="s">
        <v>462</v>
      </c>
      <c r="K480" s="183" t="s">
        <v>10761</v>
      </c>
      <c r="L480" s="183">
        <v>3</v>
      </c>
      <c r="M480" s="184" t="s">
        <v>451</v>
      </c>
      <c r="N480" s="188">
        <v>6000000</v>
      </c>
      <c r="O480" s="183" t="s">
        <v>452</v>
      </c>
      <c r="P480" s="183" t="s">
        <v>452</v>
      </c>
      <c r="Q480" s="184" t="s">
        <v>9831</v>
      </c>
      <c r="R480" s="183" t="s">
        <v>23</v>
      </c>
      <c r="S480" s="184" t="s">
        <v>9832</v>
      </c>
      <c r="T480" s="184"/>
      <c r="U480" s="184"/>
      <c r="V480" s="184"/>
      <c r="W480" s="184"/>
      <c r="X480" s="179"/>
      <c r="Y480" s="179"/>
      <c r="Z480" s="179"/>
      <c r="AA480" s="179"/>
    </row>
    <row r="481" spans="1:27">
      <c r="A481" s="181">
        <f ca="1">IFERROR(__xludf.DUMMYFUNCTION("IFS(B481="""","""",ISDATE(B481)=TRUE,B481,ISDATE(B481)=FALSE,TO_DATE(DATEVALUE(regexextract(B481,""\d+/\d+/\d+""))))"),44796)</f>
        <v>44796</v>
      </c>
      <c r="B481" s="182" t="s">
        <v>529</v>
      </c>
      <c r="C481" s="183" t="s">
        <v>4784</v>
      </c>
      <c r="D481" s="183">
        <v>3.5</v>
      </c>
      <c r="E481" s="183" t="s">
        <v>10762</v>
      </c>
      <c r="F481" s="183" t="s">
        <v>4</v>
      </c>
      <c r="G481" s="183" t="s">
        <v>725</v>
      </c>
      <c r="H481" s="183" t="s">
        <v>4788</v>
      </c>
      <c r="I481" s="183">
        <v>4</v>
      </c>
      <c r="J481" s="183" t="s">
        <v>1298</v>
      </c>
      <c r="K481" s="183" t="s">
        <v>4789</v>
      </c>
      <c r="L481" s="183">
        <v>3</v>
      </c>
      <c r="M481" s="183" t="s">
        <v>478</v>
      </c>
      <c r="N481" s="187" t="s">
        <v>4790</v>
      </c>
      <c r="O481" s="183" t="s">
        <v>452</v>
      </c>
      <c r="P481" s="183" t="s">
        <v>575</v>
      </c>
      <c r="Q481" s="184"/>
      <c r="R481" s="183" t="s">
        <v>24</v>
      </c>
      <c r="S481" s="183"/>
      <c r="T481" s="184"/>
      <c r="U481" s="184"/>
      <c r="V481" s="184"/>
      <c r="W481" s="184"/>
      <c r="X481" s="179"/>
      <c r="Y481" s="179"/>
      <c r="Z481" s="179"/>
      <c r="AA481" s="179"/>
    </row>
    <row r="482" spans="1:27">
      <c r="A482" s="181">
        <f ca="1">IFERROR(__xludf.DUMMYFUNCTION("IFS(B482="""","""",ISDATE(B482)=TRUE,B482,ISDATE(B482)=FALSE,TO_DATE(DATEVALUE(regexextract(B482,""\d+/\d+/\d+""))))"),44789)</f>
        <v>44789</v>
      </c>
      <c r="B482" s="182" t="s">
        <v>6450</v>
      </c>
      <c r="C482" s="183" t="s">
        <v>2885</v>
      </c>
      <c r="D482" s="183">
        <v>2.25</v>
      </c>
      <c r="E482" s="183" t="s">
        <v>2888</v>
      </c>
      <c r="F482" s="183" t="s">
        <v>5</v>
      </c>
      <c r="G482" s="183" t="s">
        <v>447</v>
      </c>
      <c r="H482" s="183" t="s">
        <v>10763</v>
      </c>
      <c r="I482" s="183">
        <v>2</v>
      </c>
      <c r="J482" s="183" t="s">
        <v>622</v>
      </c>
      <c r="K482" s="184" t="s">
        <v>2890</v>
      </c>
      <c r="L482" s="183">
        <v>2.5</v>
      </c>
      <c r="M482" s="184"/>
      <c r="N482" s="186"/>
      <c r="O482" s="183" t="s">
        <v>452</v>
      </c>
      <c r="P482" s="183" t="s">
        <v>2891</v>
      </c>
      <c r="Q482" s="183" t="s">
        <v>2892</v>
      </c>
      <c r="R482" s="183" t="s">
        <v>24</v>
      </c>
      <c r="S482" s="184"/>
      <c r="T482" s="184"/>
      <c r="U482" s="184"/>
      <c r="V482" s="184"/>
      <c r="W482" s="184"/>
      <c r="X482" s="179"/>
      <c r="Y482" s="179"/>
      <c r="Z482" s="179"/>
      <c r="AA482" s="179"/>
    </row>
    <row r="483" spans="1:27">
      <c r="A483" s="181">
        <f ca="1">IFERROR(__xludf.DUMMYFUNCTION("IFS(B483="""","""",ISDATE(B483)=TRUE,B483,ISDATE(B483)=FALSE,TO_DATE(DATEVALUE(regexextract(B483,""\d+/\d+/\d+""))))"),44796)</f>
        <v>44796</v>
      </c>
      <c r="B483" s="182" t="s">
        <v>529</v>
      </c>
      <c r="C483" s="183" t="s">
        <v>148</v>
      </c>
      <c r="D483" s="183">
        <v>4.75</v>
      </c>
      <c r="E483" s="183" t="s">
        <v>997</v>
      </c>
      <c r="F483" s="183" t="s">
        <v>4</v>
      </c>
      <c r="G483" s="183" t="s">
        <v>725</v>
      </c>
      <c r="H483" s="183" t="s">
        <v>10764</v>
      </c>
      <c r="I483" s="183">
        <v>4.5</v>
      </c>
      <c r="J483" s="183" t="s">
        <v>990</v>
      </c>
      <c r="K483" s="183" t="s">
        <v>999</v>
      </c>
      <c r="L483" s="183">
        <v>5</v>
      </c>
      <c r="M483" s="184" t="s">
        <v>451</v>
      </c>
      <c r="N483" s="188">
        <v>5000000</v>
      </c>
      <c r="O483" s="183" t="s">
        <v>452</v>
      </c>
      <c r="P483" s="183" t="s">
        <v>1000</v>
      </c>
      <c r="Q483" s="184"/>
      <c r="R483" s="183" t="s">
        <v>18</v>
      </c>
      <c r="S483" s="184" t="s">
        <v>1001</v>
      </c>
      <c r="T483" s="184"/>
      <c r="U483" s="184"/>
      <c r="V483" s="184"/>
      <c r="W483" s="184"/>
      <c r="X483" s="179"/>
      <c r="Y483" s="179"/>
      <c r="Z483" s="179"/>
      <c r="AA483" s="179"/>
    </row>
    <row r="484" spans="1:27">
      <c r="A484" s="181">
        <f ca="1">IFERROR(__xludf.DUMMYFUNCTION("IFS(B484="""","""",ISDATE(B484)=TRUE,B484,ISDATE(B484)=FALSE,TO_DATE(DATEVALUE(regexextract(B484,""\d+/\d+/\d+""))))"),44796)</f>
        <v>44796</v>
      </c>
      <c r="B484" s="182" t="s">
        <v>529</v>
      </c>
      <c r="C484" s="183" t="s">
        <v>7068</v>
      </c>
      <c r="D484" s="183">
        <v>2</v>
      </c>
      <c r="E484" s="183" t="s">
        <v>7071</v>
      </c>
      <c r="F484" s="183" t="s">
        <v>4</v>
      </c>
      <c r="G484" s="183" t="s">
        <v>725</v>
      </c>
      <c r="H484" s="183" t="s">
        <v>7072</v>
      </c>
      <c r="I484" s="183">
        <v>2</v>
      </c>
      <c r="J484" s="183" t="s">
        <v>1036</v>
      </c>
      <c r="K484" s="183" t="s">
        <v>7073</v>
      </c>
      <c r="L484" s="183">
        <v>2</v>
      </c>
      <c r="M484" s="184"/>
      <c r="N484" s="188"/>
      <c r="O484" s="183" t="s">
        <v>452</v>
      </c>
      <c r="P484" s="183" t="s">
        <v>452</v>
      </c>
      <c r="Q484" s="184" t="s">
        <v>7074</v>
      </c>
      <c r="R484" s="183" t="s">
        <v>24</v>
      </c>
      <c r="S484" s="184"/>
      <c r="T484" s="184"/>
      <c r="U484" s="184"/>
      <c r="V484" s="184"/>
      <c r="W484" s="184"/>
      <c r="X484" s="179"/>
      <c r="Y484" s="179"/>
      <c r="Z484" s="179"/>
      <c r="AA484" s="179"/>
    </row>
    <row r="485" spans="1:27">
      <c r="A485" s="181">
        <f ca="1">IFERROR(__xludf.DUMMYFUNCTION("IFS(B485="""","""",ISDATE(B485)=TRUE,B485,ISDATE(B485)=FALSE,TO_DATE(DATEVALUE(regexextract(B485,""\d+/\d+/\d+""))))"),44791)</f>
        <v>44791</v>
      </c>
      <c r="B485" s="182" t="s">
        <v>10182</v>
      </c>
      <c r="C485" s="183" t="s">
        <v>2750</v>
      </c>
      <c r="D485" s="183">
        <v>3.75</v>
      </c>
      <c r="E485" s="183" t="s">
        <v>2753</v>
      </c>
      <c r="F485" s="183" t="s">
        <v>5</v>
      </c>
      <c r="G485" s="183" t="s">
        <v>488</v>
      </c>
      <c r="H485" s="183" t="s">
        <v>10765</v>
      </c>
      <c r="I485" s="183">
        <v>3.5</v>
      </c>
      <c r="J485" s="183" t="s">
        <v>941</v>
      </c>
      <c r="K485" s="183"/>
      <c r="L485" s="183">
        <v>4</v>
      </c>
      <c r="M485" s="183" t="s">
        <v>451</v>
      </c>
      <c r="N485" s="187" t="s">
        <v>2755</v>
      </c>
      <c r="O485" s="183" t="s">
        <v>452</v>
      </c>
      <c r="P485" s="183" t="s">
        <v>2756</v>
      </c>
      <c r="Q485" s="184"/>
      <c r="R485" s="183" t="s">
        <v>24</v>
      </c>
      <c r="S485" s="183" t="s">
        <v>2757</v>
      </c>
      <c r="T485" s="184"/>
      <c r="U485" s="184"/>
      <c r="V485" s="184"/>
      <c r="W485" s="184"/>
      <c r="X485" s="179"/>
      <c r="Y485" s="179"/>
      <c r="Z485" s="179"/>
      <c r="AA485" s="179"/>
    </row>
    <row r="486" spans="1:27">
      <c r="A486" s="181">
        <f ca="1">IFERROR(__xludf.DUMMYFUNCTION("IFS(B486="""","""",ISDATE(B486)=TRUE,B486,ISDATE(B486)=FALSE,TO_DATE(DATEVALUE(regexextract(B486,""\d+/\d+/\d+""))))"),44791)</f>
        <v>44791</v>
      </c>
      <c r="B486" s="182" t="s">
        <v>10182</v>
      </c>
      <c r="C486" s="183" t="s">
        <v>6131</v>
      </c>
      <c r="D486" s="183">
        <v>2.63</v>
      </c>
      <c r="E486" s="183" t="s">
        <v>6134</v>
      </c>
      <c r="F486" s="183" t="s">
        <v>4</v>
      </c>
      <c r="G486" s="183" t="s">
        <v>1045</v>
      </c>
      <c r="H486" s="183" t="s">
        <v>6135</v>
      </c>
      <c r="I486" s="183">
        <v>2.75</v>
      </c>
      <c r="J486" s="183" t="s">
        <v>543</v>
      </c>
      <c r="K486" s="183" t="s">
        <v>6136</v>
      </c>
      <c r="L486" s="183">
        <v>2.5</v>
      </c>
      <c r="M486" s="183"/>
      <c r="N486" s="187"/>
      <c r="O486" s="183" t="s">
        <v>465</v>
      </c>
      <c r="P486" s="183" t="s">
        <v>6137</v>
      </c>
      <c r="Q486" s="184"/>
      <c r="R486" s="183" t="s">
        <v>24</v>
      </c>
      <c r="S486" s="183"/>
      <c r="T486" s="184"/>
      <c r="U486" s="184"/>
      <c r="V486" s="184"/>
      <c r="W486" s="184"/>
      <c r="X486" s="179"/>
      <c r="Y486" s="179"/>
      <c r="Z486" s="179"/>
      <c r="AA486" s="179"/>
    </row>
    <row r="487" spans="1:27">
      <c r="A487" s="181">
        <f ca="1">IFERROR(__xludf.DUMMYFUNCTION("IFS(B487="""","""",ISDATE(B487)=TRUE,B487,ISDATE(B487)=FALSE,TO_DATE(DATEVALUE(regexextract(B487,""\d+/\d+/\d+""))))"),44796)</f>
        <v>44796</v>
      </c>
      <c r="B487" s="182" t="s">
        <v>529</v>
      </c>
      <c r="C487" s="183" t="s">
        <v>5244</v>
      </c>
      <c r="D487" s="183">
        <v>3.25</v>
      </c>
      <c r="E487" s="183" t="s">
        <v>5247</v>
      </c>
      <c r="F487" s="183" t="s">
        <v>4</v>
      </c>
      <c r="G487" s="183" t="s">
        <v>725</v>
      </c>
      <c r="H487" s="183" t="s">
        <v>10766</v>
      </c>
      <c r="I487" s="183">
        <v>3.5</v>
      </c>
      <c r="J487" s="183" t="s">
        <v>1457</v>
      </c>
      <c r="K487" s="183" t="s">
        <v>5249</v>
      </c>
      <c r="L487" s="183">
        <v>3</v>
      </c>
      <c r="M487" s="184"/>
      <c r="N487" s="188"/>
      <c r="O487" s="183" t="s">
        <v>452</v>
      </c>
      <c r="P487" s="183" t="s">
        <v>452</v>
      </c>
      <c r="Q487" s="184" t="s">
        <v>5250</v>
      </c>
      <c r="R487" s="183" t="s">
        <v>24</v>
      </c>
      <c r="S487" s="184"/>
      <c r="T487" s="184"/>
      <c r="U487" s="184"/>
      <c r="V487" s="184"/>
      <c r="W487" s="184"/>
      <c r="X487" s="179"/>
      <c r="Y487" s="179"/>
      <c r="Z487" s="179"/>
      <c r="AA487" s="179"/>
    </row>
    <row r="488" spans="1:27">
      <c r="A488" s="181">
        <f ca="1">IFERROR(__xludf.DUMMYFUNCTION("IFS(B488="""","""",ISDATE(B488)=TRUE,B488,ISDATE(B488)=FALSE,TO_DATE(DATEVALUE(regexextract(B488,""\d+/\d+/\d+""))))"),44796)</f>
        <v>44796</v>
      </c>
      <c r="B488" s="189" t="s">
        <v>529</v>
      </c>
      <c r="C488" s="183" t="s">
        <v>365</v>
      </c>
      <c r="D488" s="183">
        <v>4</v>
      </c>
      <c r="E488" s="183" t="s">
        <v>9802</v>
      </c>
      <c r="F488" s="183" t="s">
        <v>3</v>
      </c>
      <c r="G488" s="183" t="s">
        <v>488</v>
      </c>
      <c r="H488" s="184" t="s">
        <v>9803</v>
      </c>
      <c r="I488" s="183">
        <v>4</v>
      </c>
      <c r="J488" s="183" t="s">
        <v>941</v>
      </c>
      <c r="K488" s="184" t="s">
        <v>9804</v>
      </c>
      <c r="L488" s="183">
        <v>4</v>
      </c>
      <c r="M488" s="183" t="s">
        <v>478</v>
      </c>
      <c r="N488" s="185">
        <v>12000000</v>
      </c>
      <c r="O488" s="183" t="s">
        <v>454</v>
      </c>
      <c r="P488" s="183" t="s">
        <v>575</v>
      </c>
      <c r="Q488" s="184"/>
      <c r="R488" s="183" t="s">
        <v>18</v>
      </c>
      <c r="S488" s="183"/>
      <c r="T488" s="184"/>
      <c r="U488" s="184"/>
      <c r="V488" s="184"/>
      <c r="W488" s="184"/>
      <c r="X488" s="179"/>
      <c r="Y488" s="179"/>
      <c r="Z488" s="179"/>
      <c r="AA488" s="179"/>
    </row>
    <row r="489" spans="1:27">
      <c r="A489" s="181">
        <f ca="1">IFERROR(__xludf.DUMMYFUNCTION("IFS(B489="""","""",ISDATE(B489)=TRUE,B489,ISDATE(B489)=FALSE,TO_DATE(DATEVALUE(regexextract(B489,""\d+/\d+/\d+""))))"),44796)</f>
        <v>44796</v>
      </c>
      <c r="B489" s="189" t="s">
        <v>529</v>
      </c>
      <c r="C489" s="183" t="s">
        <v>8296</v>
      </c>
      <c r="D489" s="183">
        <v>1</v>
      </c>
      <c r="E489" s="183" t="s">
        <v>8299</v>
      </c>
      <c r="F489" s="183" t="s">
        <v>4</v>
      </c>
      <c r="G489" s="183" t="s">
        <v>725</v>
      </c>
      <c r="H489" s="183" t="s">
        <v>8300</v>
      </c>
      <c r="I489" s="183">
        <v>1</v>
      </c>
      <c r="J489" s="183" t="s">
        <v>1045</v>
      </c>
      <c r="K489" s="183" t="s">
        <v>8301</v>
      </c>
      <c r="L489" s="183">
        <v>1</v>
      </c>
      <c r="M489" s="184"/>
      <c r="N489" s="186"/>
      <c r="O489" s="183" t="s">
        <v>465</v>
      </c>
      <c r="P489" s="183" t="s">
        <v>10767</v>
      </c>
      <c r="Q489" s="184"/>
      <c r="R489" s="183" t="s">
        <v>24</v>
      </c>
      <c r="S489" s="184"/>
      <c r="T489" s="184"/>
      <c r="U489" s="184"/>
      <c r="V489" s="184"/>
      <c r="W489" s="184"/>
      <c r="X489" s="179"/>
      <c r="Y489" s="179"/>
      <c r="Z489" s="179"/>
      <c r="AA489" s="179"/>
    </row>
    <row r="490" spans="1:27">
      <c r="A490" s="181">
        <f ca="1">IFERROR(__xludf.DUMMYFUNCTION("IFS(B490="""","""",ISDATE(B490)=TRUE,B490,ISDATE(B490)=FALSE,TO_DATE(DATEVALUE(regexextract(B490,""\d+/\d+/\d+""))))"),44796)</f>
        <v>44796</v>
      </c>
      <c r="B490" s="182" t="s">
        <v>529</v>
      </c>
      <c r="C490" s="183" t="s">
        <v>204</v>
      </c>
      <c r="D490" s="183">
        <v>4</v>
      </c>
      <c r="E490" s="183" t="s">
        <v>3819</v>
      </c>
      <c r="F490" s="183" t="s">
        <v>4</v>
      </c>
      <c r="G490" s="183" t="s">
        <v>725</v>
      </c>
      <c r="H490" s="183" t="s">
        <v>3820</v>
      </c>
      <c r="I490" s="183">
        <v>4</v>
      </c>
      <c r="J490" s="183" t="s">
        <v>604</v>
      </c>
      <c r="K490" s="183" t="s">
        <v>10768</v>
      </c>
      <c r="L490" s="183">
        <v>4</v>
      </c>
      <c r="M490" s="183" t="s">
        <v>3822</v>
      </c>
      <c r="N490" s="187">
        <v>1800000</v>
      </c>
      <c r="O490" s="183" t="s">
        <v>452</v>
      </c>
      <c r="P490" s="183" t="s">
        <v>3823</v>
      </c>
      <c r="Q490" s="184"/>
      <c r="R490" s="183" t="s">
        <v>18</v>
      </c>
      <c r="S490" s="184"/>
      <c r="T490" s="184"/>
      <c r="U490" s="184"/>
      <c r="V490" s="184"/>
      <c r="W490" s="184"/>
      <c r="X490" s="179"/>
      <c r="Y490" s="179"/>
      <c r="Z490" s="179"/>
      <c r="AA490" s="179"/>
    </row>
    <row r="491" spans="1:27">
      <c r="A491" s="181">
        <f ca="1">IFERROR(__xludf.DUMMYFUNCTION("IFS(B491="""","""",ISDATE(B491)=TRUE,B491,ISDATE(B491)=FALSE,TO_DATE(DATEVALUE(regexextract(B491,""\d+/\d+/\d+""))))"),44789)</f>
        <v>44789</v>
      </c>
      <c r="B491" s="182" t="s">
        <v>6450</v>
      </c>
      <c r="C491" s="183" t="s">
        <v>115</v>
      </c>
      <c r="D491" s="183">
        <v>4.5</v>
      </c>
      <c r="E491" s="183" t="s">
        <v>829</v>
      </c>
      <c r="F491" s="183" t="s">
        <v>5</v>
      </c>
      <c r="G491" s="183" t="s">
        <v>447</v>
      </c>
      <c r="H491" s="183" t="s">
        <v>10769</v>
      </c>
      <c r="I491" s="183">
        <v>4</v>
      </c>
      <c r="J491" s="183" t="s">
        <v>449</v>
      </c>
      <c r="K491" s="183" t="s">
        <v>10770</v>
      </c>
      <c r="L491" s="183">
        <v>5</v>
      </c>
      <c r="M491" s="184" t="s">
        <v>451</v>
      </c>
      <c r="N491" s="195">
        <v>2000000</v>
      </c>
      <c r="O491" s="183" t="s">
        <v>452</v>
      </c>
      <c r="P491" s="183" t="s">
        <v>832</v>
      </c>
      <c r="Q491" s="183"/>
      <c r="R491" s="183" t="s">
        <v>18</v>
      </c>
      <c r="S491" s="184" t="s">
        <v>833</v>
      </c>
      <c r="T491" s="184"/>
      <c r="U491" s="184"/>
      <c r="V491" s="184"/>
      <c r="W491" s="184"/>
      <c r="X491" s="179"/>
      <c r="Y491" s="179"/>
      <c r="Z491" s="179"/>
      <c r="AA491" s="179"/>
    </row>
    <row r="492" spans="1:27">
      <c r="A492" s="181">
        <f ca="1">IFERROR(__xludf.DUMMYFUNCTION("IFS(B492="""","""",ISDATE(B492)=TRUE,B492,ISDATE(B492)=FALSE,TO_DATE(DATEVALUE(regexextract(B492,""\d+/\d+/\d+""))))"),44796)</f>
        <v>44796</v>
      </c>
      <c r="B492" s="182" t="s">
        <v>529</v>
      </c>
      <c r="C492" s="183" t="s">
        <v>7758</v>
      </c>
      <c r="D492" s="183">
        <v>1.5</v>
      </c>
      <c r="E492" s="191" t="s">
        <v>7761</v>
      </c>
      <c r="F492" s="183" t="s">
        <v>4</v>
      </c>
      <c r="G492" s="183" t="s">
        <v>725</v>
      </c>
      <c r="H492" s="183"/>
      <c r="I492" s="183">
        <v>1</v>
      </c>
      <c r="J492" s="183" t="s">
        <v>1036</v>
      </c>
      <c r="K492" s="183" t="s">
        <v>7762</v>
      </c>
      <c r="L492" s="183">
        <v>2</v>
      </c>
      <c r="M492" s="183"/>
      <c r="N492" s="187"/>
      <c r="O492" s="183" t="s">
        <v>465</v>
      </c>
      <c r="P492" s="183" t="s">
        <v>10771</v>
      </c>
      <c r="Q492" s="184"/>
      <c r="R492" s="183" t="s">
        <v>24</v>
      </c>
      <c r="S492" s="184"/>
      <c r="T492" s="184"/>
      <c r="U492" s="184"/>
      <c r="V492" s="184"/>
      <c r="W492" s="184"/>
      <c r="X492" s="179"/>
      <c r="Y492" s="179"/>
      <c r="Z492" s="179"/>
      <c r="AA492" s="179"/>
    </row>
    <row r="493" spans="1:27">
      <c r="A493" s="181">
        <f ca="1">IFERROR(__xludf.DUMMYFUNCTION("IFS(B493="""","""",ISDATE(B493)=TRUE,B493,ISDATE(B493)=FALSE,TO_DATE(DATEVALUE(regexextract(B493,""\d+/\d+/\d+""))))"),44796)</f>
        <v>44796</v>
      </c>
      <c r="B493" s="182" t="s">
        <v>529</v>
      </c>
      <c r="C493" s="183" t="s">
        <v>6228</v>
      </c>
      <c r="D493" s="183">
        <v>2.5</v>
      </c>
      <c r="E493" s="183" t="s">
        <v>6231</v>
      </c>
      <c r="F493" s="183" t="s">
        <v>4</v>
      </c>
      <c r="G493" s="183" t="s">
        <v>725</v>
      </c>
      <c r="H493" s="183" t="s">
        <v>6232</v>
      </c>
      <c r="I493" s="183">
        <v>2</v>
      </c>
      <c r="J493" s="183" t="s">
        <v>1073</v>
      </c>
      <c r="K493" s="183"/>
      <c r="L493" s="183">
        <v>3</v>
      </c>
      <c r="M493" s="184"/>
      <c r="N493" s="188"/>
      <c r="O493" s="183" t="s">
        <v>452</v>
      </c>
      <c r="P493" s="183" t="s">
        <v>452</v>
      </c>
      <c r="Q493" s="184"/>
      <c r="R493" s="183" t="s">
        <v>24</v>
      </c>
      <c r="S493" s="184"/>
      <c r="T493" s="184"/>
      <c r="U493" s="184"/>
      <c r="V493" s="184"/>
      <c r="W493" s="184"/>
      <c r="X493" s="179"/>
      <c r="Y493" s="179"/>
      <c r="Z493" s="179"/>
      <c r="AA493" s="179"/>
    </row>
    <row r="494" spans="1:27">
      <c r="A494" s="181">
        <f ca="1">IFERROR(__xludf.DUMMYFUNCTION("IFS(B494="""","""",ISDATE(B494)=TRUE,B494,ISDATE(B494)=FALSE,TO_DATE(DATEVALUE(regexextract(B494,""\d+/\d+/\d+""))))"),44796)</f>
        <v>44796</v>
      </c>
      <c r="B494" s="182" t="s">
        <v>529</v>
      </c>
      <c r="C494" s="183" t="s">
        <v>7451</v>
      </c>
      <c r="D494" s="184">
        <v>2</v>
      </c>
      <c r="E494" s="183" t="s">
        <v>10772</v>
      </c>
      <c r="F494" s="183" t="s">
        <v>4</v>
      </c>
      <c r="G494" s="183" t="s">
        <v>725</v>
      </c>
      <c r="H494" s="184" t="s">
        <v>10773</v>
      </c>
      <c r="I494" s="184">
        <v>2</v>
      </c>
      <c r="J494" s="183" t="s">
        <v>1371</v>
      </c>
      <c r="K494" s="184" t="s">
        <v>7456</v>
      </c>
      <c r="L494" s="184">
        <v>2</v>
      </c>
      <c r="M494" s="183" t="s">
        <v>478</v>
      </c>
      <c r="N494" s="185">
        <v>3000000</v>
      </c>
      <c r="O494" s="183" t="s">
        <v>452</v>
      </c>
      <c r="P494" s="183" t="s">
        <v>452</v>
      </c>
      <c r="Q494" s="184"/>
      <c r="R494" s="184" t="s">
        <v>24</v>
      </c>
      <c r="S494" s="184"/>
      <c r="T494" s="184"/>
      <c r="U494" s="184"/>
      <c r="V494" s="184"/>
      <c r="W494" s="184"/>
      <c r="X494" s="179"/>
      <c r="Y494" s="179"/>
      <c r="Z494" s="179"/>
      <c r="AA494" s="179"/>
    </row>
    <row r="495" spans="1:27">
      <c r="A495" s="181">
        <f ca="1">IFERROR(__xludf.DUMMYFUNCTION("IFS(B495="""","""",ISDATE(B495)=TRUE,B495,ISDATE(B495)=FALSE,TO_DATE(DATEVALUE(regexextract(B495,""\d+/\d+/\d+""))))"),44791)</f>
        <v>44791</v>
      </c>
      <c r="B495" s="182" t="s">
        <v>10182</v>
      </c>
      <c r="C495" s="183" t="s">
        <v>9141</v>
      </c>
      <c r="D495" s="183">
        <v>3.88</v>
      </c>
      <c r="E495" s="183" t="s">
        <v>9144</v>
      </c>
      <c r="F495" s="183" t="s">
        <v>3</v>
      </c>
      <c r="G495" s="183" t="s">
        <v>488</v>
      </c>
      <c r="H495" s="183" t="s">
        <v>10774</v>
      </c>
      <c r="I495" s="183">
        <v>3.75</v>
      </c>
      <c r="J495" s="183" t="s">
        <v>941</v>
      </c>
      <c r="K495" s="183" t="s">
        <v>9146</v>
      </c>
      <c r="L495" s="183">
        <v>4</v>
      </c>
      <c r="M495" s="183"/>
      <c r="N495" s="187"/>
      <c r="O495" s="183" t="s">
        <v>452</v>
      </c>
      <c r="P495" s="183" t="s">
        <v>10775</v>
      </c>
      <c r="Q495" s="184"/>
      <c r="R495" s="183" t="s">
        <v>24</v>
      </c>
      <c r="S495" s="184" t="s">
        <v>9148</v>
      </c>
      <c r="T495" s="184"/>
      <c r="U495" s="184"/>
      <c r="V495" s="184"/>
      <c r="W495" s="184"/>
      <c r="X495" s="179"/>
      <c r="Y495" s="179"/>
      <c r="Z495" s="179"/>
      <c r="AA495" s="179"/>
    </row>
    <row r="496" spans="1:27">
      <c r="A496" s="181">
        <f ca="1">IFERROR(__xludf.DUMMYFUNCTION("IFS(B496="""","""",ISDATE(B496)=TRUE,B496,ISDATE(B496)=FALSE,TO_DATE(DATEVALUE(regexextract(B496,""\d+/\d+/\d+""))))"),44796)</f>
        <v>44796</v>
      </c>
      <c r="B496" s="182" t="s">
        <v>529</v>
      </c>
      <c r="C496" s="183" t="s">
        <v>6572</v>
      </c>
      <c r="D496" s="183">
        <v>2.5</v>
      </c>
      <c r="E496" s="183" t="s">
        <v>6575</v>
      </c>
      <c r="F496" s="183" t="s">
        <v>4</v>
      </c>
      <c r="G496" s="183" t="s">
        <v>725</v>
      </c>
      <c r="H496" s="183" t="s">
        <v>6576</v>
      </c>
      <c r="I496" s="183">
        <v>2.5</v>
      </c>
      <c r="J496" s="183" t="s">
        <v>1045</v>
      </c>
      <c r="K496" s="183" t="s">
        <v>6577</v>
      </c>
      <c r="L496" s="183">
        <v>2.5</v>
      </c>
      <c r="M496" s="184" t="s">
        <v>478</v>
      </c>
      <c r="N496" s="186" t="s">
        <v>6578</v>
      </c>
      <c r="O496" s="183" t="s">
        <v>452</v>
      </c>
      <c r="P496" s="183" t="s">
        <v>6578</v>
      </c>
      <c r="Q496" s="184"/>
      <c r="R496" s="183" t="s">
        <v>24</v>
      </c>
      <c r="S496" s="184"/>
      <c r="T496" s="184"/>
      <c r="U496" s="184"/>
      <c r="V496" s="184"/>
      <c r="W496" s="184"/>
      <c r="X496" s="179"/>
      <c r="Y496" s="179"/>
      <c r="Z496" s="179"/>
      <c r="AA496" s="179"/>
    </row>
    <row r="497" spans="1:27">
      <c r="A497" s="181">
        <f ca="1">IFERROR(__xludf.DUMMYFUNCTION("IFS(B497="""","""",ISDATE(B497)=TRUE,B497,ISDATE(B497)=FALSE,TO_DATE(DATEVALUE(regexextract(B497,""\d+/\d+/\d+""))))"),44796)</f>
        <v>44796</v>
      </c>
      <c r="B497" s="182" t="s">
        <v>529</v>
      </c>
      <c r="C497" s="183" t="s">
        <v>174</v>
      </c>
      <c r="D497" s="183">
        <v>4.25</v>
      </c>
      <c r="E497" s="183" t="s">
        <v>3686</v>
      </c>
      <c r="F497" s="183" t="s">
        <v>4</v>
      </c>
      <c r="G497" s="183" t="s">
        <v>1045</v>
      </c>
      <c r="H497" s="183" t="s">
        <v>3687</v>
      </c>
      <c r="I497" s="183">
        <v>4.5</v>
      </c>
      <c r="J497" s="183" t="s">
        <v>1298</v>
      </c>
      <c r="K497" s="183" t="s">
        <v>3688</v>
      </c>
      <c r="L497" s="183">
        <v>4</v>
      </c>
      <c r="M497" s="184" t="s">
        <v>784</v>
      </c>
      <c r="N497" s="188">
        <v>1000000</v>
      </c>
      <c r="O497" s="183" t="s">
        <v>452</v>
      </c>
      <c r="P497" s="183" t="s">
        <v>3689</v>
      </c>
      <c r="Q497" s="184"/>
      <c r="R497" s="183" t="s">
        <v>18</v>
      </c>
      <c r="S497" s="184" t="s">
        <v>3690</v>
      </c>
      <c r="T497" s="184"/>
      <c r="U497" s="184"/>
      <c r="V497" s="184"/>
      <c r="W497" s="184"/>
      <c r="X497" s="179"/>
      <c r="Y497" s="179"/>
      <c r="Z497" s="179"/>
      <c r="AA497" s="179"/>
    </row>
    <row r="498" spans="1:27">
      <c r="A498" s="181">
        <f ca="1">IFERROR(__xludf.DUMMYFUNCTION("IFS(B498="""","""",ISDATE(B498)=TRUE,B498,ISDATE(B498)=FALSE,TO_DATE(DATEVALUE(regexextract(B498,""\d+/\d+/\d+""))))"),44784)</f>
        <v>44784</v>
      </c>
      <c r="B498" s="182" t="s">
        <v>10173</v>
      </c>
      <c r="C498" s="183" t="s">
        <v>7406</v>
      </c>
      <c r="D498" s="184">
        <v>2</v>
      </c>
      <c r="E498" s="183" t="s">
        <v>7409</v>
      </c>
      <c r="F498" s="183" t="s">
        <v>4</v>
      </c>
      <c r="G498" s="183" t="s">
        <v>602</v>
      </c>
      <c r="H498" s="184" t="s">
        <v>7410</v>
      </c>
      <c r="I498" s="184">
        <v>2</v>
      </c>
      <c r="J498" s="183" t="s">
        <v>1054</v>
      </c>
      <c r="K498" s="184" t="s">
        <v>7411</v>
      </c>
      <c r="L498" s="184">
        <v>2</v>
      </c>
      <c r="M498" s="183" t="s">
        <v>451</v>
      </c>
      <c r="N498" s="187">
        <v>500000</v>
      </c>
      <c r="O498" s="183" t="s">
        <v>452</v>
      </c>
      <c r="P498" s="183" t="s">
        <v>7412</v>
      </c>
      <c r="Q498" s="184"/>
      <c r="R498" s="184" t="s">
        <v>24</v>
      </c>
      <c r="S498" s="184"/>
      <c r="T498" s="184"/>
      <c r="U498" s="184"/>
      <c r="V498" s="184"/>
      <c r="W498" s="184"/>
      <c r="X498" s="179"/>
      <c r="Y498" s="179"/>
      <c r="Z498" s="179"/>
      <c r="AA498" s="179"/>
    </row>
    <row r="499" spans="1:27">
      <c r="A499" s="181">
        <f ca="1">IFERROR(__xludf.DUMMYFUNCTION("IFS(B499="""","""",ISDATE(B499)=TRUE,B499,ISDATE(B499)=FALSE,TO_DATE(DATEVALUE(regexextract(B499,""\d+/\d+/\d+""))))"),44784)</f>
        <v>44784</v>
      </c>
      <c r="B499" s="182" t="s">
        <v>10173</v>
      </c>
      <c r="C499" s="183" t="s">
        <v>121</v>
      </c>
      <c r="D499" s="183">
        <v>2.5</v>
      </c>
      <c r="E499" s="183" t="s">
        <v>10776</v>
      </c>
      <c r="F499" s="183" t="s">
        <v>5</v>
      </c>
      <c r="G499" s="183" t="s">
        <v>460</v>
      </c>
      <c r="H499" s="183" t="s">
        <v>3100</v>
      </c>
      <c r="I499" s="183">
        <v>2</v>
      </c>
      <c r="J499" s="183" t="s">
        <v>941</v>
      </c>
      <c r="K499" s="183" t="s">
        <v>3101</v>
      </c>
      <c r="L499" s="183">
        <v>3</v>
      </c>
      <c r="M499" s="183" t="s">
        <v>973</v>
      </c>
      <c r="N499" s="187">
        <v>3000000</v>
      </c>
      <c r="O499" s="183" t="s">
        <v>452</v>
      </c>
      <c r="P499" s="183" t="s">
        <v>575</v>
      </c>
      <c r="Q499" s="184"/>
      <c r="R499" s="183" t="s">
        <v>19</v>
      </c>
      <c r="S499" s="184" t="s">
        <v>3102</v>
      </c>
      <c r="T499" s="184"/>
      <c r="U499" s="184"/>
      <c r="V499" s="184"/>
      <c r="W499" s="184"/>
      <c r="X499" s="179"/>
      <c r="Y499" s="179"/>
      <c r="Z499" s="179"/>
      <c r="AA499" s="179"/>
    </row>
    <row r="500" spans="1:27">
      <c r="A500" s="181">
        <f ca="1">IFERROR(__xludf.DUMMYFUNCTION("IFS(B500="""","""",ISDATE(B500)=TRUE,B500,ISDATE(B500)=FALSE,TO_DATE(DATEVALUE(regexextract(B500,""\d+/\d+/\d+""))))"),44789)</f>
        <v>44789</v>
      </c>
      <c r="B500" s="182" t="s">
        <v>6450</v>
      </c>
      <c r="C500" s="183" t="s">
        <v>2868</v>
      </c>
      <c r="D500" s="183">
        <v>2.75</v>
      </c>
      <c r="E500" s="183" t="s">
        <v>2871</v>
      </c>
      <c r="F500" s="183" t="s">
        <v>5</v>
      </c>
      <c r="G500" s="183" t="s">
        <v>447</v>
      </c>
      <c r="H500" s="183" t="s">
        <v>10777</v>
      </c>
      <c r="I500" s="183">
        <v>2</v>
      </c>
      <c r="J500" s="183" t="s">
        <v>449</v>
      </c>
      <c r="K500" s="183" t="s">
        <v>10778</v>
      </c>
      <c r="L500" s="183">
        <v>3.5</v>
      </c>
      <c r="M500" s="183" t="s">
        <v>451</v>
      </c>
      <c r="N500" s="187">
        <v>1500000</v>
      </c>
      <c r="O500" s="183" t="s">
        <v>452</v>
      </c>
      <c r="P500" s="183" t="s">
        <v>452</v>
      </c>
      <c r="Q500" s="184"/>
      <c r="R500" s="183" t="s">
        <v>24</v>
      </c>
      <c r="S500" s="184"/>
      <c r="T500" s="184"/>
      <c r="U500" s="184"/>
      <c r="V500" s="184"/>
      <c r="W500" s="184"/>
      <c r="X500" s="179"/>
      <c r="Y500" s="179"/>
      <c r="Z500" s="179"/>
      <c r="AA500" s="179"/>
    </row>
    <row r="501" spans="1:27">
      <c r="A501" s="181">
        <f ca="1">IFERROR(__xludf.DUMMYFUNCTION("IFS(B501="""","""",ISDATE(B501)=TRUE,B501,ISDATE(B501)=FALSE,TO_DATE(DATEVALUE(regexextract(B501,""\d+/\d+/\d+""))))"),44797)</f>
        <v>44797</v>
      </c>
      <c r="B501" s="182" t="s">
        <v>907</v>
      </c>
      <c r="C501" s="183" t="s">
        <v>4831</v>
      </c>
      <c r="D501" s="184">
        <v>3.5</v>
      </c>
      <c r="E501" s="183" t="s">
        <v>4834</v>
      </c>
      <c r="F501" s="183" t="s">
        <v>4</v>
      </c>
      <c r="G501" s="183" t="s">
        <v>725</v>
      </c>
      <c r="H501" s="184" t="s">
        <v>10779</v>
      </c>
      <c r="I501" s="184">
        <v>3.5</v>
      </c>
      <c r="J501" s="183" t="s">
        <v>462</v>
      </c>
      <c r="K501" s="183" t="s">
        <v>4836</v>
      </c>
      <c r="L501" s="183">
        <v>3.5</v>
      </c>
      <c r="M501" s="184" t="s">
        <v>451</v>
      </c>
      <c r="N501" s="188">
        <v>2000000</v>
      </c>
      <c r="O501" s="183" t="s">
        <v>452</v>
      </c>
      <c r="P501" s="183" t="s">
        <v>452</v>
      </c>
      <c r="Q501" s="184"/>
      <c r="R501" s="184" t="s">
        <v>24</v>
      </c>
      <c r="S501" s="184"/>
      <c r="T501" s="184"/>
      <c r="U501" s="184"/>
      <c r="V501" s="184"/>
      <c r="W501" s="184"/>
      <c r="X501" s="179"/>
      <c r="Y501" s="179"/>
      <c r="Z501" s="179"/>
      <c r="AA501" s="179"/>
    </row>
    <row r="502" spans="1:27">
      <c r="A502" s="181">
        <f ca="1">IFERROR(__xludf.DUMMYFUNCTION("IFS(B502="""","""",ISDATE(B502)=TRUE,B502,ISDATE(B502)=FALSE,TO_DATE(DATEVALUE(regexextract(B502,""\d+/\d+/\d+""))))"),44796)</f>
        <v>44796</v>
      </c>
      <c r="B502" s="182" t="s">
        <v>529</v>
      </c>
      <c r="C502" s="183" t="s">
        <v>9882</v>
      </c>
      <c r="D502" s="183">
        <v>3.5</v>
      </c>
      <c r="E502" s="183" t="s">
        <v>9885</v>
      </c>
      <c r="F502" s="183" t="s">
        <v>3</v>
      </c>
      <c r="G502" s="183" t="s">
        <v>488</v>
      </c>
      <c r="H502" s="183" t="s">
        <v>10780</v>
      </c>
      <c r="I502" s="183">
        <v>3.5</v>
      </c>
      <c r="J502" s="183" t="s">
        <v>462</v>
      </c>
      <c r="K502" s="183" t="s">
        <v>9887</v>
      </c>
      <c r="L502" s="183">
        <v>3.5</v>
      </c>
      <c r="M502" s="184" t="s">
        <v>451</v>
      </c>
      <c r="N502" s="190">
        <v>6000000</v>
      </c>
      <c r="O502" s="183" t="s">
        <v>465</v>
      </c>
      <c r="P502" s="183" t="s">
        <v>9888</v>
      </c>
      <c r="Q502" s="183"/>
      <c r="R502" s="183" t="s">
        <v>23</v>
      </c>
      <c r="S502" s="184" t="s">
        <v>9889</v>
      </c>
      <c r="T502" s="184"/>
      <c r="U502" s="184"/>
      <c r="V502" s="184"/>
      <c r="W502" s="184"/>
      <c r="X502" s="179"/>
      <c r="Y502" s="179"/>
      <c r="Z502" s="179"/>
      <c r="AA502" s="179"/>
    </row>
    <row r="503" spans="1:27">
      <c r="A503" s="181">
        <f ca="1">IFERROR(__xludf.DUMMYFUNCTION("IFS(B503="""","""",ISDATE(B503)=TRUE,B503,ISDATE(B503)=FALSE,TO_DATE(DATEVALUE(regexextract(B503,""\d+/\d+/\d+""))))"),44789)</f>
        <v>44789</v>
      </c>
      <c r="B503" s="182" t="s">
        <v>6450</v>
      </c>
      <c r="C503" s="183" t="s">
        <v>77</v>
      </c>
      <c r="D503" s="183">
        <v>4</v>
      </c>
      <c r="E503" s="183" t="s">
        <v>10781</v>
      </c>
      <c r="F503" s="183" t="s">
        <v>5</v>
      </c>
      <c r="G503" s="183" t="s">
        <v>447</v>
      </c>
      <c r="H503" s="183" t="s">
        <v>10782</v>
      </c>
      <c r="I503" s="183">
        <v>4</v>
      </c>
      <c r="J503" s="183" t="s">
        <v>543</v>
      </c>
      <c r="K503" s="183" t="s">
        <v>10783</v>
      </c>
      <c r="L503" s="183">
        <v>4</v>
      </c>
      <c r="M503" s="184" t="s">
        <v>451</v>
      </c>
      <c r="N503" s="188">
        <v>11000000</v>
      </c>
      <c r="O503" s="183" t="s">
        <v>454</v>
      </c>
      <c r="P503" s="183" t="s">
        <v>555</v>
      </c>
      <c r="Q503" s="184"/>
      <c r="R503" s="183" t="s">
        <v>18</v>
      </c>
      <c r="S503" s="184" t="s">
        <v>556</v>
      </c>
      <c r="T503" s="184"/>
      <c r="U503" s="184"/>
      <c r="V503" s="184"/>
      <c r="W503" s="184"/>
      <c r="X503" s="179"/>
      <c r="Y503" s="179"/>
      <c r="Z503" s="179"/>
      <c r="AA503" s="179"/>
    </row>
    <row r="504" spans="1:27">
      <c r="A504" s="181">
        <f ca="1">IFERROR(__xludf.DUMMYFUNCTION("IFS(B504="""","""",ISDATE(B504)=TRUE,B504,ISDATE(B504)=FALSE,TO_DATE(DATEVALUE(regexextract(B504,""\d+/\d+/\d+""))))"),44796)</f>
        <v>44796</v>
      </c>
      <c r="B504" s="182" t="s">
        <v>529</v>
      </c>
      <c r="C504" s="183" t="s">
        <v>380</v>
      </c>
      <c r="D504" s="184">
        <v>4</v>
      </c>
      <c r="E504" s="183" t="s">
        <v>9894</v>
      </c>
      <c r="F504" s="183" t="s">
        <v>3</v>
      </c>
      <c r="G504" s="183" t="s">
        <v>725</v>
      </c>
      <c r="H504" s="184" t="s">
        <v>10784</v>
      </c>
      <c r="I504" s="184">
        <v>4</v>
      </c>
      <c r="J504" s="183" t="s">
        <v>941</v>
      </c>
      <c r="K504" s="184" t="s">
        <v>9896</v>
      </c>
      <c r="L504" s="184">
        <v>4</v>
      </c>
      <c r="M504" s="183" t="s">
        <v>451</v>
      </c>
      <c r="N504" s="192">
        <v>1500000</v>
      </c>
      <c r="O504" s="183" t="s">
        <v>452</v>
      </c>
      <c r="P504" s="183" t="s">
        <v>452</v>
      </c>
      <c r="Q504" s="183"/>
      <c r="R504" s="184" t="s">
        <v>18</v>
      </c>
      <c r="S504" s="184"/>
      <c r="T504" s="184"/>
      <c r="U504" s="184"/>
      <c r="V504" s="184"/>
      <c r="W504" s="184"/>
      <c r="X504" s="179"/>
      <c r="Y504" s="179"/>
      <c r="Z504" s="179"/>
      <c r="AA504" s="179"/>
    </row>
    <row r="505" spans="1:27">
      <c r="A505" s="181">
        <f ca="1">IFERROR(__xludf.DUMMYFUNCTION("IFS(B505="""","""",ISDATE(B505)=TRUE,B505,ISDATE(B505)=FALSE,TO_DATE(DATEVALUE(regexextract(B505,""\d+/\d+/\d+""))))"),44797)</f>
        <v>44797</v>
      </c>
      <c r="B505" s="182" t="s">
        <v>907</v>
      </c>
      <c r="C505" s="183" t="s">
        <v>4086</v>
      </c>
      <c r="D505" s="184">
        <v>4</v>
      </c>
      <c r="E505" s="183" t="s">
        <v>4089</v>
      </c>
      <c r="F505" s="183" t="s">
        <v>4</v>
      </c>
      <c r="G505" s="183" t="s">
        <v>1045</v>
      </c>
      <c r="H505" s="184" t="s">
        <v>4090</v>
      </c>
      <c r="I505" s="184">
        <v>4</v>
      </c>
      <c r="J505" s="183" t="s">
        <v>1350</v>
      </c>
      <c r="K505" s="183" t="s">
        <v>4091</v>
      </c>
      <c r="L505" s="183">
        <v>4</v>
      </c>
      <c r="M505" s="183" t="s">
        <v>784</v>
      </c>
      <c r="N505" s="183" t="s">
        <v>4092</v>
      </c>
      <c r="O505" s="183" t="s">
        <v>452</v>
      </c>
      <c r="P505" s="183" t="s">
        <v>4093</v>
      </c>
      <c r="Q505" s="184"/>
      <c r="R505" s="184" t="s">
        <v>24</v>
      </c>
      <c r="S505" s="184" t="s">
        <v>4094</v>
      </c>
      <c r="T505" s="184"/>
      <c r="U505" s="184"/>
      <c r="V505" s="184"/>
      <c r="W505" s="184"/>
      <c r="X505" s="179"/>
      <c r="Y505" s="179"/>
      <c r="Z505" s="179"/>
      <c r="AA505" s="179"/>
    </row>
    <row r="506" spans="1:27">
      <c r="A506" s="181">
        <f ca="1">IFERROR(__xludf.DUMMYFUNCTION("IFS(B506="""","""",ISDATE(B506)=TRUE,B506,ISDATE(B506)=FALSE,TO_DATE(DATEVALUE(regexextract(B506,""\d+/\d+/\d+""))))"),44796)</f>
        <v>44796</v>
      </c>
      <c r="B506" s="182" t="s">
        <v>529</v>
      </c>
      <c r="C506" s="183" t="s">
        <v>4619</v>
      </c>
      <c r="D506" s="184">
        <v>3.5</v>
      </c>
      <c r="E506" s="183" t="s">
        <v>4622</v>
      </c>
      <c r="F506" s="183" t="s">
        <v>4</v>
      </c>
      <c r="G506" s="183" t="s">
        <v>1457</v>
      </c>
      <c r="H506" s="184" t="s">
        <v>10785</v>
      </c>
      <c r="I506" s="184">
        <v>3</v>
      </c>
      <c r="J506" s="183" t="s">
        <v>604</v>
      </c>
      <c r="K506" s="184" t="s">
        <v>10786</v>
      </c>
      <c r="L506" s="184">
        <v>4</v>
      </c>
      <c r="M506" s="183" t="s">
        <v>478</v>
      </c>
      <c r="N506" s="185">
        <v>5000000</v>
      </c>
      <c r="O506" s="183" t="s">
        <v>465</v>
      </c>
      <c r="P506" s="183" t="s">
        <v>4625</v>
      </c>
      <c r="Q506" s="184"/>
      <c r="R506" s="184" t="s">
        <v>24</v>
      </c>
      <c r="S506" s="184"/>
      <c r="T506" s="184"/>
      <c r="U506" s="184"/>
      <c r="V506" s="184"/>
      <c r="W506" s="184"/>
      <c r="X506" s="179"/>
      <c r="Y506" s="179"/>
      <c r="Z506" s="179"/>
      <c r="AA506" s="179"/>
    </row>
    <row r="507" spans="1:27">
      <c r="A507" s="181">
        <f ca="1">IFERROR(__xludf.DUMMYFUNCTION("IFS(B507="""","""",ISDATE(B507)=TRUE,B507,ISDATE(B507)=FALSE,TO_DATE(DATEVALUE(regexextract(B507,""\d+/\d+/\d+""))))"),44797)</f>
        <v>44797</v>
      </c>
      <c r="B507" s="182" t="s">
        <v>907</v>
      </c>
      <c r="C507" s="183" t="s">
        <v>5486</v>
      </c>
      <c r="D507" s="184">
        <v>3</v>
      </c>
      <c r="E507" s="184" t="s">
        <v>10787</v>
      </c>
      <c r="F507" s="183" t="s">
        <v>4</v>
      </c>
      <c r="G507" s="183" t="s">
        <v>602</v>
      </c>
      <c r="H507" s="184" t="s">
        <v>5490</v>
      </c>
      <c r="I507" s="184">
        <v>3</v>
      </c>
      <c r="J507" s="183" t="s">
        <v>604</v>
      </c>
      <c r="K507" s="184" t="s">
        <v>10788</v>
      </c>
      <c r="L507" s="184">
        <v>3</v>
      </c>
      <c r="M507" s="183" t="s">
        <v>451</v>
      </c>
      <c r="N507" s="185">
        <v>500000</v>
      </c>
      <c r="O507" s="183" t="s">
        <v>454</v>
      </c>
      <c r="P507" s="183" t="s">
        <v>5492</v>
      </c>
      <c r="Q507" s="184" t="s">
        <v>727</v>
      </c>
      <c r="R507" s="184" t="s">
        <v>24</v>
      </c>
      <c r="S507" s="184"/>
      <c r="T507" s="184"/>
      <c r="U507" s="184"/>
      <c r="V507" s="184"/>
      <c r="W507" s="184"/>
      <c r="X507" s="179"/>
      <c r="Y507" s="179"/>
      <c r="Z507" s="179"/>
      <c r="AA507" s="179"/>
    </row>
    <row r="508" spans="1:27">
      <c r="A508" s="181">
        <f ca="1">IFERROR(__xludf.DUMMYFUNCTION("IFS(B508="""","""",ISDATE(B508)=TRUE,B508,ISDATE(B508)=FALSE,TO_DATE(DATEVALUE(regexextract(B508,""\d+/\d+/\d+""))))"),44796)</f>
        <v>44796</v>
      </c>
      <c r="B508" s="182" t="s">
        <v>529</v>
      </c>
      <c r="C508" s="183" t="s">
        <v>7650</v>
      </c>
      <c r="D508" s="184">
        <v>1.75</v>
      </c>
      <c r="E508" s="183" t="s">
        <v>10789</v>
      </c>
      <c r="F508" s="183" t="s">
        <v>4</v>
      </c>
      <c r="G508" s="183" t="s">
        <v>725</v>
      </c>
      <c r="H508" s="184" t="s">
        <v>10790</v>
      </c>
      <c r="I508" s="184">
        <v>2.5</v>
      </c>
      <c r="J508" s="183" t="s">
        <v>1036</v>
      </c>
      <c r="K508" s="183" t="s">
        <v>7655</v>
      </c>
      <c r="L508" s="183">
        <v>1</v>
      </c>
      <c r="M508" s="184"/>
      <c r="N508" s="186"/>
      <c r="O508" s="183" t="s">
        <v>454</v>
      </c>
      <c r="P508" s="183" t="s">
        <v>7656</v>
      </c>
      <c r="Q508" s="184"/>
      <c r="R508" s="184" t="s">
        <v>24</v>
      </c>
      <c r="S508" s="184"/>
      <c r="T508" s="184"/>
      <c r="U508" s="184"/>
      <c r="V508" s="184"/>
      <c r="W508" s="184"/>
      <c r="X508" s="179"/>
      <c r="Y508" s="179"/>
      <c r="Z508" s="179"/>
      <c r="AA508" s="179"/>
    </row>
    <row r="509" spans="1:27">
      <c r="A509" s="181">
        <f ca="1">IFERROR(__xludf.DUMMYFUNCTION("IFS(B509="""","""",ISDATE(B509)=TRUE,B509,ISDATE(B509)=FALSE,TO_DATE(DATEVALUE(regexextract(B509,""\d+/\d+/\d+""))))"),44797)</f>
        <v>44797</v>
      </c>
      <c r="B509" s="182" t="s">
        <v>907</v>
      </c>
      <c r="C509" s="183" t="s">
        <v>272</v>
      </c>
      <c r="D509" s="183">
        <v>4</v>
      </c>
      <c r="E509" s="183" t="s">
        <v>10791</v>
      </c>
      <c r="F509" s="183" t="s">
        <v>4</v>
      </c>
      <c r="G509" s="183" t="s">
        <v>727</v>
      </c>
      <c r="H509" s="183" t="s">
        <v>10792</v>
      </c>
      <c r="I509" s="183">
        <v>4</v>
      </c>
      <c r="J509" s="183" t="s">
        <v>447</v>
      </c>
      <c r="K509" s="183" t="s">
        <v>10793</v>
      </c>
      <c r="L509" s="183">
        <v>4</v>
      </c>
      <c r="M509" s="183" t="s">
        <v>1578</v>
      </c>
      <c r="N509" s="187" t="s">
        <v>1579</v>
      </c>
      <c r="O509" s="183" t="s">
        <v>452</v>
      </c>
      <c r="P509" s="183" t="s">
        <v>1580</v>
      </c>
      <c r="Q509" s="184"/>
      <c r="R509" s="183" t="s">
        <v>18</v>
      </c>
      <c r="S509" s="184"/>
      <c r="T509" s="184"/>
      <c r="U509" s="184"/>
      <c r="V509" s="184"/>
      <c r="W509" s="184"/>
      <c r="X509" s="179"/>
      <c r="Y509" s="179"/>
      <c r="Z509" s="179"/>
      <c r="AA509" s="179"/>
    </row>
    <row r="510" spans="1:27">
      <c r="A510" s="181">
        <f ca="1">IFERROR(__xludf.DUMMYFUNCTION("IFS(B510="""","""",ISDATE(B510)=TRUE,B510,ISDATE(B510)=FALSE,TO_DATE(DATEVALUE(regexextract(B510,""\d+/\d+/\d+""))))"),44789)</f>
        <v>44789</v>
      </c>
      <c r="B510" s="182" t="s">
        <v>6450</v>
      </c>
      <c r="C510" s="183" t="s">
        <v>122</v>
      </c>
      <c r="D510" s="183">
        <v>4.25</v>
      </c>
      <c r="E510" s="183" t="s">
        <v>872</v>
      </c>
      <c r="F510" s="183" t="s">
        <v>5</v>
      </c>
      <c r="G510" s="183" t="s">
        <v>447</v>
      </c>
      <c r="H510" s="183"/>
      <c r="I510" s="183">
        <v>4</v>
      </c>
      <c r="J510" s="183" t="s">
        <v>543</v>
      </c>
      <c r="K510" s="183" t="s">
        <v>10794</v>
      </c>
      <c r="L510" s="183">
        <v>4.5</v>
      </c>
      <c r="M510" s="183" t="s">
        <v>451</v>
      </c>
      <c r="N510" s="187" t="s">
        <v>874</v>
      </c>
      <c r="O510" s="183" t="s">
        <v>452</v>
      </c>
      <c r="P510" s="183" t="s">
        <v>875</v>
      </c>
      <c r="Q510" s="184" t="s">
        <v>876</v>
      </c>
      <c r="R510" s="183" t="s">
        <v>18</v>
      </c>
      <c r="S510" s="184" t="s">
        <v>877</v>
      </c>
      <c r="T510" s="184"/>
      <c r="U510" s="184"/>
      <c r="V510" s="184"/>
      <c r="W510" s="184"/>
      <c r="X510" s="179"/>
      <c r="Y510" s="179"/>
      <c r="Z510" s="179"/>
      <c r="AA510" s="179"/>
    </row>
    <row r="511" spans="1:27">
      <c r="A511" s="181">
        <f ca="1">IFERROR(__xludf.DUMMYFUNCTION("IFS(B511="""","""",ISDATE(B511)=TRUE,B511,ISDATE(B511)=FALSE,TO_DATE(DATEVALUE(regexextract(B511,""\d+/\d+/\d+""))))"),44789)</f>
        <v>44789</v>
      </c>
      <c r="B511" s="182" t="s">
        <v>6450</v>
      </c>
      <c r="C511" s="183" t="s">
        <v>2990</v>
      </c>
      <c r="D511" s="183">
        <v>3.25</v>
      </c>
      <c r="E511" s="183" t="s">
        <v>2993</v>
      </c>
      <c r="F511" s="183" t="s">
        <v>5</v>
      </c>
      <c r="G511" s="183" t="s">
        <v>447</v>
      </c>
      <c r="H511" s="183" t="s">
        <v>10795</v>
      </c>
      <c r="I511" s="183">
        <v>3</v>
      </c>
      <c r="J511" s="183" t="s">
        <v>449</v>
      </c>
      <c r="K511" s="183" t="s">
        <v>10796</v>
      </c>
      <c r="L511" s="183">
        <v>3.5</v>
      </c>
      <c r="M511" s="183" t="s">
        <v>2996</v>
      </c>
      <c r="N511" s="187" t="s">
        <v>2997</v>
      </c>
      <c r="O511" s="183" t="s">
        <v>452</v>
      </c>
      <c r="P511" s="183" t="s">
        <v>2998</v>
      </c>
      <c r="Q511" s="184"/>
      <c r="R511" s="183" t="s">
        <v>24</v>
      </c>
      <c r="S511" s="184"/>
      <c r="T511" s="184"/>
      <c r="U511" s="184"/>
      <c r="V511" s="184"/>
      <c r="W511" s="184"/>
      <c r="X511" s="179"/>
      <c r="Y511" s="179"/>
      <c r="Z511" s="179"/>
      <c r="AA511" s="179"/>
    </row>
    <row r="512" spans="1:27">
      <c r="A512" s="181">
        <f ca="1">IFERROR(__xludf.DUMMYFUNCTION("IFS(B512="""","""",ISDATE(B512)=TRUE,B512,ISDATE(B512)=FALSE,TO_DATE(DATEVALUE(regexextract(B512,""\d+/\d+/\d+""))))"),44789)</f>
        <v>44789</v>
      </c>
      <c r="B512" s="182" t="s">
        <v>6450</v>
      </c>
      <c r="C512" s="183" t="s">
        <v>2482</v>
      </c>
      <c r="D512" s="183">
        <v>2.75</v>
      </c>
      <c r="E512" s="183" t="s">
        <v>2485</v>
      </c>
      <c r="F512" s="183" t="s">
        <v>5</v>
      </c>
      <c r="G512" s="183" t="s">
        <v>622</v>
      </c>
      <c r="H512" s="183" t="s">
        <v>2486</v>
      </c>
      <c r="I512" s="183">
        <v>2.5</v>
      </c>
      <c r="J512" s="183" t="s">
        <v>449</v>
      </c>
      <c r="K512" s="183" t="s">
        <v>10797</v>
      </c>
      <c r="L512" s="183">
        <v>3</v>
      </c>
      <c r="M512" s="183" t="s">
        <v>2190</v>
      </c>
      <c r="N512" s="187">
        <v>250000</v>
      </c>
      <c r="O512" s="183" t="s">
        <v>452</v>
      </c>
      <c r="P512" s="183" t="s">
        <v>452</v>
      </c>
      <c r="Q512" s="184"/>
      <c r="R512" s="183" t="s">
        <v>24</v>
      </c>
      <c r="S512" s="183"/>
      <c r="T512" s="184"/>
      <c r="U512" s="184"/>
      <c r="V512" s="184"/>
      <c r="W512" s="184"/>
      <c r="X512" s="179"/>
      <c r="Y512" s="179"/>
      <c r="Z512" s="179"/>
      <c r="AA512" s="179"/>
    </row>
    <row r="513" spans="1:27">
      <c r="A513" s="181">
        <f ca="1">IFERROR(__xludf.DUMMYFUNCTION("IFS(B513="""","""",ISDATE(B513)=TRUE,B513,ISDATE(B513)=FALSE,TO_DATE(DATEVALUE(regexextract(B513,""\d+/\d+/\d+""))))"),44797)</f>
        <v>44797</v>
      </c>
      <c r="B513" s="189" t="s">
        <v>907</v>
      </c>
      <c r="C513" s="183" t="s">
        <v>226</v>
      </c>
      <c r="D513" s="183">
        <v>4</v>
      </c>
      <c r="E513" s="183" t="s">
        <v>3937</v>
      </c>
      <c r="F513" s="183" t="s">
        <v>4</v>
      </c>
      <c r="G513" s="183" t="s">
        <v>1045</v>
      </c>
      <c r="H513" s="183" t="s">
        <v>3938</v>
      </c>
      <c r="I513" s="183">
        <v>3.5</v>
      </c>
      <c r="J513" s="183" t="s">
        <v>1350</v>
      </c>
      <c r="K513" s="183" t="s">
        <v>3939</v>
      </c>
      <c r="L513" s="183">
        <v>4.5</v>
      </c>
      <c r="M513" s="183"/>
      <c r="N513" s="187"/>
      <c r="O513" s="183" t="s">
        <v>452</v>
      </c>
      <c r="P513" s="183" t="s">
        <v>3940</v>
      </c>
      <c r="Q513" s="184"/>
      <c r="R513" s="183" t="s">
        <v>18</v>
      </c>
      <c r="S513" s="184"/>
      <c r="T513" s="184"/>
      <c r="U513" s="184"/>
      <c r="V513" s="184"/>
      <c r="W513" s="184"/>
      <c r="X513" s="179"/>
      <c r="Y513" s="179"/>
      <c r="Z513" s="179"/>
      <c r="AA513" s="179"/>
    </row>
    <row r="514" spans="1:27">
      <c r="A514" s="181">
        <f ca="1">IFERROR(__xludf.DUMMYFUNCTION("IFS(B514="""","""",ISDATE(B514)=TRUE,B514,ISDATE(B514)=FALSE,TO_DATE(DATEVALUE(regexextract(B514,""\d+/\d+/\d+""))))"),44796)</f>
        <v>44796</v>
      </c>
      <c r="B514" s="182" t="s">
        <v>529</v>
      </c>
      <c r="C514" s="183" t="s">
        <v>412</v>
      </c>
      <c r="D514" s="183">
        <v>4</v>
      </c>
      <c r="E514" s="183" t="s">
        <v>10149</v>
      </c>
      <c r="F514" s="183" t="s">
        <v>3</v>
      </c>
      <c r="G514" s="183" t="s">
        <v>725</v>
      </c>
      <c r="H514" s="183" t="s">
        <v>10798</v>
      </c>
      <c r="I514" s="183">
        <v>4</v>
      </c>
      <c r="J514" s="183" t="s">
        <v>941</v>
      </c>
      <c r="K514" s="183" t="s">
        <v>10151</v>
      </c>
      <c r="L514" s="183">
        <v>4</v>
      </c>
      <c r="M514" s="183" t="s">
        <v>478</v>
      </c>
      <c r="N514" s="187" t="s">
        <v>10152</v>
      </c>
      <c r="O514" s="183" t="s">
        <v>452</v>
      </c>
      <c r="P514" s="183" t="s">
        <v>10153</v>
      </c>
      <c r="Q514" s="184" t="s">
        <v>10154</v>
      </c>
      <c r="R514" s="183" t="s">
        <v>18</v>
      </c>
      <c r="S514" s="183"/>
      <c r="T514" s="184"/>
      <c r="U514" s="184"/>
      <c r="V514" s="184"/>
      <c r="W514" s="184"/>
      <c r="X514" s="179"/>
      <c r="Y514" s="179"/>
      <c r="Z514" s="179"/>
      <c r="AA514" s="179"/>
    </row>
    <row r="515" spans="1:27">
      <c r="A515" s="181">
        <f ca="1">IFERROR(__xludf.DUMMYFUNCTION("IFS(B515="""","""",ISDATE(B515)=TRUE,B515,ISDATE(B515)=FALSE,TO_DATE(DATEVALUE(regexextract(B515,""\d+/\d+/\d+""))))"),44796)</f>
        <v>44796</v>
      </c>
      <c r="B515" s="182" t="s">
        <v>529</v>
      </c>
      <c r="C515" s="183" t="s">
        <v>7459</v>
      </c>
      <c r="D515" s="183">
        <v>2</v>
      </c>
      <c r="E515" s="183" t="s">
        <v>7462</v>
      </c>
      <c r="F515" s="183" t="s">
        <v>4</v>
      </c>
      <c r="G515" s="183" t="s">
        <v>725</v>
      </c>
      <c r="H515" s="183" t="s">
        <v>10799</v>
      </c>
      <c r="I515" s="183">
        <v>3</v>
      </c>
      <c r="J515" s="183" t="s">
        <v>1371</v>
      </c>
      <c r="K515" s="183" t="s">
        <v>7464</v>
      </c>
      <c r="L515" s="183">
        <v>1</v>
      </c>
      <c r="M515" s="183"/>
      <c r="N515" s="185"/>
      <c r="O515" s="183" t="s">
        <v>454</v>
      </c>
      <c r="P515" s="183" t="s">
        <v>7465</v>
      </c>
      <c r="Q515" s="184" t="s">
        <v>7466</v>
      </c>
      <c r="R515" s="183" t="s">
        <v>24</v>
      </c>
      <c r="S515" s="184"/>
      <c r="T515" s="184"/>
      <c r="U515" s="184"/>
      <c r="V515" s="184"/>
      <c r="W515" s="184"/>
      <c r="X515" s="179"/>
      <c r="Y515" s="179"/>
      <c r="Z515" s="179"/>
      <c r="AA515" s="179"/>
    </row>
    <row r="516" spans="1:27">
      <c r="A516" s="181">
        <f ca="1">IFERROR(__xludf.DUMMYFUNCTION("IFS(B516="""","""",ISDATE(B516)=TRUE,B516,ISDATE(B516)=FALSE,TO_DATE(DATEVALUE(regexextract(B516,""\d+/\d+/\d+""))))"),44796)</f>
        <v>44796</v>
      </c>
      <c r="B516" s="182" t="s">
        <v>529</v>
      </c>
      <c r="C516" s="183" t="s">
        <v>7843</v>
      </c>
      <c r="D516" s="184">
        <v>1.5</v>
      </c>
      <c r="E516" s="183" t="s">
        <v>10800</v>
      </c>
      <c r="F516" s="183" t="s">
        <v>4</v>
      </c>
      <c r="G516" s="183" t="s">
        <v>725</v>
      </c>
      <c r="H516" s="184" t="s">
        <v>10801</v>
      </c>
      <c r="I516" s="184">
        <v>1</v>
      </c>
      <c r="J516" s="183" t="s">
        <v>1237</v>
      </c>
      <c r="K516" s="184"/>
      <c r="L516" s="184">
        <v>2</v>
      </c>
      <c r="M516" s="183"/>
      <c r="N516" s="185"/>
      <c r="O516" s="183" t="s">
        <v>454</v>
      </c>
      <c r="P516" s="183" t="s">
        <v>10802</v>
      </c>
      <c r="Q516" s="184"/>
      <c r="R516" s="184" t="s">
        <v>24</v>
      </c>
      <c r="S516" s="184"/>
      <c r="T516" s="184"/>
      <c r="U516" s="184"/>
      <c r="V516" s="184"/>
      <c r="W516" s="184"/>
      <c r="X516" s="179"/>
      <c r="Y516" s="179"/>
      <c r="Z516" s="179"/>
      <c r="AA516" s="179"/>
    </row>
    <row r="517" spans="1:27">
      <c r="A517" s="181">
        <f ca="1">IFERROR(__xludf.DUMMYFUNCTION("IFS(B517="""","""",ISDATE(B517)=TRUE,B517,ISDATE(B517)=FALSE,TO_DATE(DATEVALUE(regexextract(B517,""\d+/\d+/\d+""))))"),44789)</f>
        <v>44789</v>
      </c>
      <c r="B517" s="182" t="s">
        <v>6450</v>
      </c>
      <c r="C517" s="183" t="s">
        <v>162</v>
      </c>
      <c r="D517" s="183">
        <v>4</v>
      </c>
      <c r="E517" s="183" t="s">
        <v>9596</v>
      </c>
      <c r="F517" s="183" t="s">
        <v>5</v>
      </c>
      <c r="G517" s="183" t="s">
        <v>447</v>
      </c>
      <c r="H517" s="183" t="s">
        <v>10803</v>
      </c>
      <c r="I517" s="183">
        <v>3</v>
      </c>
      <c r="J517" s="183" t="s">
        <v>449</v>
      </c>
      <c r="K517" s="183" t="s">
        <v>10804</v>
      </c>
      <c r="L517" s="183">
        <v>5</v>
      </c>
      <c r="M517" s="184" t="s">
        <v>9599</v>
      </c>
      <c r="N517" s="188">
        <v>909783</v>
      </c>
      <c r="O517" s="183" t="s">
        <v>452</v>
      </c>
      <c r="P517" s="183" t="s">
        <v>9600</v>
      </c>
      <c r="Q517" s="184"/>
      <c r="R517" s="183" t="s">
        <v>18</v>
      </c>
      <c r="S517" s="183" t="s">
        <v>9601</v>
      </c>
      <c r="T517" s="184"/>
      <c r="U517" s="184"/>
      <c r="V517" s="184"/>
      <c r="W517" s="184"/>
      <c r="X517" s="179"/>
      <c r="Y517" s="179"/>
      <c r="Z517" s="179"/>
      <c r="AA517" s="179"/>
    </row>
    <row r="518" spans="1:27">
      <c r="A518" s="181">
        <f ca="1">IFERROR(__xludf.DUMMYFUNCTION("IFS(B518="""","""",ISDATE(B518)=TRUE,B518,ISDATE(B518)=FALSE,TO_DATE(DATEVALUE(regexextract(B518,""\d+/\d+/\d+""))))"),44796)</f>
        <v>44796</v>
      </c>
      <c r="B518" s="189" t="s">
        <v>529</v>
      </c>
      <c r="C518" s="183" t="s">
        <v>4535</v>
      </c>
      <c r="D518" s="183">
        <v>3.5</v>
      </c>
      <c r="E518" s="183" t="s">
        <v>4538</v>
      </c>
      <c r="F518" s="183" t="s">
        <v>4</v>
      </c>
      <c r="G518" s="183" t="s">
        <v>1457</v>
      </c>
      <c r="H518" s="183" t="s">
        <v>4539</v>
      </c>
      <c r="I518" s="183">
        <v>3</v>
      </c>
      <c r="J518" s="183" t="s">
        <v>990</v>
      </c>
      <c r="K518" s="183" t="s">
        <v>4540</v>
      </c>
      <c r="L518" s="183">
        <v>4</v>
      </c>
      <c r="M518" s="183" t="s">
        <v>784</v>
      </c>
      <c r="N518" s="185">
        <v>750000</v>
      </c>
      <c r="O518" s="183" t="s">
        <v>452</v>
      </c>
      <c r="P518" s="183" t="s">
        <v>4541</v>
      </c>
      <c r="Q518" s="184"/>
      <c r="R518" s="183" t="s">
        <v>24</v>
      </c>
      <c r="S518" s="184"/>
      <c r="T518" s="184"/>
      <c r="U518" s="184"/>
      <c r="V518" s="184"/>
      <c r="W518" s="184"/>
      <c r="X518" s="179"/>
      <c r="Y518" s="179"/>
      <c r="Z518" s="179"/>
      <c r="AA518" s="179"/>
    </row>
    <row r="519" spans="1:27">
      <c r="A519" s="181">
        <f ca="1">IFERROR(__xludf.DUMMYFUNCTION("IFS(B519="""","""",ISDATE(B519)=TRUE,B519,ISDATE(B519)=FALSE,TO_DATE(DATEVALUE(regexextract(B519,""\d+/\d+/\d+""))))"),44797)</f>
        <v>44797</v>
      </c>
      <c r="B519" s="182" t="s">
        <v>907</v>
      </c>
      <c r="C519" s="183" t="s">
        <v>7725</v>
      </c>
      <c r="D519" s="183">
        <v>1.75</v>
      </c>
      <c r="E519" s="183" t="s">
        <v>7728</v>
      </c>
      <c r="F519" s="183" t="s">
        <v>4</v>
      </c>
      <c r="G519" s="183" t="s">
        <v>1045</v>
      </c>
      <c r="H519" s="183" t="s">
        <v>7729</v>
      </c>
      <c r="I519" s="183">
        <v>1.5</v>
      </c>
      <c r="J519" s="183" t="s">
        <v>1350</v>
      </c>
      <c r="K519" s="183" t="s">
        <v>7730</v>
      </c>
      <c r="L519" s="183">
        <v>2</v>
      </c>
      <c r="M519" s="183"/>
      <c r="N519" s="187"/>
      <c r="O519" s="183" t="s">
        <v>452</v>
      </c>
      <c r="P519" s="183" t="s">
        <v>7731</v>
      </c>
      <c r="Q519" s="184"/>
      <c r="R519" s="183" t="s">
        <v>24</v>
      </c>
      <c r="S519" s="184"/>
      <c r="T519" s="184"/>
      <c r="U519" s="184"/>
      <c r="V519" s="184"/>
      <c r="W519" s="184"/>
      <c r="X519" s="179"/>
      <c r="Y519" s="179"/>
      <c r="Z519" s="179"/>
      <c r="AA519" s="179"/>
    </row>
    <row r="520" spans="1:27">
      <c r="A520" s="181">
        <f ca="1">IFERROR(__xludf.DUMMYFUNCTION("IFS(B520="""","""",ISDATE(B520)=TRUE,B520,ISDATE(B520)=FALSE,TO_DATE(DATEVALUE(regexextract(B520,""\d+/\d+/\d+""))))"),44796)</f>
        <v>44796</v>
      </c>
      <c r="B520" s="182" t="s">
        <v>529</v>
      </c>
      <c r="C520" s="183" t="s">
        <v>6622</v>
      </c>
      <c r="D520" s="183">
        <v>2.25</v>
      </c>
      <c r="E520" s="183" t="s">
        <v>6625</v>
      </c>
      <c r="F520" s="183" t="s">
        <v>4</v>
      </c>
      <c r="G520" s="183" t="s">
        <v>725</v>
      </c>
      <c r="H520" s="184" t="s">
        <v>6626</v>
      </c>
      <c r="I520" s="183">
        <v>2</v>
      </c>
      <c r="J520" s="183" t="s">
        <v>462</v>
      </c>
      <c r="K520" s="183" t="s">
        <v>6627</v>
      </c>
      <c r="L520" s="183">
        <v>2.5</v>
      </c>
      <c r="M520" s="184"/>
      <c r="N520" s="188"/>
      <c r="O520" s="183" t="s">
        <v>465</v>
      </c>
      <c r="P520" s="183" t="s">
        <v>10805</v>
      </c>
      <c r="Q520" s="184"/>
      <c r="R520" s="183" t="s">
        <v>24</v>
      </c>
      <c r="S520" s="183"/>
      <c r="T520" s="184"/>
      <c r="U520" s="184"/>
      <c r="V520" s="184"/>
      <c r="W520" s="184"/>
      <c r="X520" s="179"/>
      <c r="Y520" s="179"/>
      <c r="Z520" s="179"/>
      <c r="AA520" s="179"/>
    </row>
    <row r="521" spans="1:27">
      <c r="A521" s="181">
        <f ca="1">IFERROR(__xludf.DUMMYFUNCTION("IFS(B521="""","""",ISDATE(B521)=TRUE,B521,ISDATE(B521)=FALSE,TO_DATE(DATEVALUE(regexextract(B521,""\d+/\d+/\d+""))))"),44796)</f>
        <v>44796</v>
      </c>
      <c r="B521" s="182" t="s">
        <v>529</v>
      </c>
      <c r="C521" s="183" t="s">
        <v>6540</v>
      </c>
      <c r="D521" s="184">
        <v>2.5</v>
      </c>
      <c r="E521" s="183" t="s">
        <v>6543</v>
      </c>
      <c r="F521" s="183" t="s">
        <v>4</v>
      </c>
      <c r="G521" s="183" t="s">
        <v>725</v>
      </c>
      <c r="H521" s="184" t="s">
        <v>10806</v>
      </c>
      <c r="I521" s="184">
        <v>3</v>
      </c>
      <c r="J521" s="183" t="s">
        <v>4054</v>
      </c>
      <c r="K521" s="184"/>
      <c r="L521" s="184">
        <v>2</v>
      </c>
      <c r="M521" s="183" t="s">
        <v>451</v>
      </c>
      <c r="N521" s="187">
        <v>1000000</v>
      </c>
      <c r="O521" s="183" t="s">
        <v>452</v>
      </c>
      <c r="P521" s="183" t="s">
        <v>10807</v>
      </c>
      <c r="Q521" s="184" t="s">
        <v>6546</v>
      </c>
      <c r="R521" s="184" t="s">
        <v>24</v>
      </c>
      <c r="S521" s="184"/>
      <c r="T521" s="184"/>
      <c r="U521" s="184"/>
      <c r="V521" s="184"/>
      <c r="W521" s="184"/>
      <c r="X521" s="179"/>
      <c r="Y521" s="179"/>
      <c r="Z521" s="179"/>
      <c r="AA521" s="179"/>
    </row>
    <row r="522" spans="1:27">
      <c r="A522" s="181">
        <f ca="1">IFERROR(__xludf.DUMMYFUNCTION("IFS(B522="""","""",ISDATE(B522)=TRUE,B522,ISDATE(B522)=FALSE,TO_DATE(DATEVALUE(regexextract(B522,""\d+/\d+/\d+""))))"),44789)</f>
        <v>44789</v>
      </c>
      <c r="B522" s="182" t="s">
        <v>6450</v>
      </c>
      <c r="C522" s="183" t="s">
        <v>3268</v>
      </c>
      <c r="D522" s="183">
        <v>3.5</v>
      </c>
      <c r="E522" s="183" t="s">
        <v>10808</v>
      </c>
      <c r="F522" s="183" t="s">
        <v>5</v>
      </c>
      <c r="G522" s="183" t="s">
        <v>447</v>
      </c>
      <c r="H522" s="183" t="s">
        <v>10809</v>
      </c>
      <c r="I522" s="183">
        <v>3.5</v>
      </c>
      <c r="J522" s="183" t="s">
        <v>543</v>
      </c>
      <c r="K522" s="183" t="s">
        <v>10810</v>
      </c>
      <c r="L522" s="183">
        <v>3.5</v>
      </c>
      <c r="M522" s="184" t="s">
        <v>451</v>
      </c>
      <c r="N522" s="188">
        <v>1600000</v>
      </c>
      <c r="O522" s="183" t="s">
        <v>452</v>
      </c>
      <c r="P522" s="183" t="s">
        <v>3274</v>
      </c>
      <c r="Q522" s="183"/>
      <c r="R522" s="183" t="s">
        <v>24</v>
      </c>
      <c r="S522" s="184" t="s">
        <v>1477</v>
      </c>
      <c r="T522" s="184"/>
      <c r="U522" s="184"/>
      <c r="V522" s="184"/>
      <c r="W522" s="184"/>
      <c r="X522" s="179"/>
      <c r="Y522" s="179"/>
      <c r="Z522" s="179"/>
      <c r="AA522" s="179"/>
    </row>
    <row r="523" spans="1:27">
      <c r="A523" s="181">
        <f ca="1">IFERROR(__xludf.DUMMYFUNCTION("IFS(B523="""","""",ISDATE(B523)=TRUE,B523,ISDATE(B523)=FALSE,TO_DATE(DATEVALUE(regexextract(B523,""\d+/\d+/\d+""))))"),44789)</f>
        <v>44789</v>
      </c>
      <c r="B523" s="182" t="s">
        <v>6450</v>
      </c>
      <c r="C523" s="183" t="s">
        <v>2760</v>
      </c>
      <c r="D523" s="184">
        <v>3.5</v>
      </c>
      <c r="E523" s="183" t="s">
        <v>2763</v>
      </c>
      <c r="F523" s="183" t="s">
        <v>5</v>
      </c>
      <c r="G523" s="183" t="s">
        <v>447</v>
      </c>
      <c r="H523" s="184" t="s">
        <v>2764</v>
      </c>
      <c r="I523" s="184">
        <v>3.5</v>
      </c>
      <c r="J523" s="183" t="s">
        <v>622</v>
      </c>
      <c r="K523" s="184" t="s">
        <v>10811</v>
      </c>
      <c r="L523" s="184">
        <v>3.5</v>
      </c>
      <c r="M523" s="183"/>
      <c r="N523" s="187"/>
      <c r="O523" s="183" t="s">
        <v>452</v>
      </c>
      <c r="P523" s="183" t="s">
        <v>10812</v>
      </c>
      <c r="Q523" s="184"/>
      <c r="R523" s="184" t="s">
        <v>24</v>
      </c>
      <c r="S523" s="184"/>
      <c r="T523" s="184"/>
      <c r="U523" s="184"/>
      <c r="V523" s="184"/>
      <c r="W523" s="184"/>
      <c r="X523" s="179"/>
      <c r="Y523" s="179"/>
      <c r="Z523" s="179"/>
      <c r="AA523" s="179"/>
    </row>
    <row r="524" spans="1:27">
      <c r="A524" s="181">
        <f ca="1">IFERROR(__xludf.DUMMYFUNCTION("IFS(B524="""","""",ISDATE(B524)=TRUE,B524,ISDATE(B524)=FALSE,TO_DATE(DATEVALUE(regexextract(B524,""\d+/\d+/\d+""))))"),44797)</f>
        <v>44797</v>
      </c>
      <c r="B524" s="182" t="s">
        <v>907</v>
      </c>
      <c r="C524" s="183" t="s">
        <v>6865</v>
      </c>
      <c r="D524" s="183">
        <v>2.25</v>
      </c>
      <c r="E524" s="183" t="s">
        <v>6868</v>
      </c>
      <c r="F524" s="183" t="s">
        <v>4</v>
      </c>
      <c r="G524" s="183" t="s">
        <v>1045</v>
      </c>
      <c r="H524" s="183" t="s">
        <v>6869</v>
      </c>
      <c r="I524" s="183">
        <v>2</v>
      </c>
      <c r="J524" s="183" t="s">
        <v>462</v>
      </c>
      <c r="K524" s="183" t="s">
        <v>6870</v>
      </c>
      <c r="L524" s="183">
        <v>2.5</v>
      </c>
      <c r="M524" s="183" t="s">
        <v>784</v>
      </c>
      <c r="N524" s="187">
        <v>180000</v>
      </c>
      <c r="O524" s="183" t="s">
        <v>452</v>
      </c>
      <c r="P524" s="183" t="s">
        <v>6871</v>
      </c>
      <c r="Q524" s="183"/>
      <c r="R524" s="183" t="s">
        <v>24</v>
      </c>
      <c r="S524" s="184"/>
      <c r="T524" s="184"/>
      <c r="U524" s="184"/>
      <c r="V524" s="184"/>
      <c r="W524" s="184"/>
      <c r="X524" s="179"/>
      <c r="Y524" s="179"/>
      <c r="Z524" s="179"/>
      <c r="AA524" s="179"/>
    </row>
    <row r="525" spans="1:27">
      <c r="A525" s="181">
        <f ca="1">IFERROR(__xludf.DUMMYFUNCTION("IFS(B525="""","""",ISDATE(B525)=TRUE,B525,ISDATE(B525)=FALSE,TO_DATE(DATEVALUE(regexextract(B525,""\d+/\d+/\d+""))))"),44789)</f>
        <v>44789</v>
      </c>
      <c r="B525" s="182" t="s">
        <v>6450</v>
      </c>
      <c r="C525" s="183" t="s">
        <v>3466</v>
      </c>
      <c r="D525" s="183">
        <v>3.25</v>
      </c>
      <c r="E525" s="183" t="s">
        <v>10813</v>
      </c>
      <c r="F525" s="183" t="s">
        <v>5</v>
      </c>
      <c r="G525" s="183" t="s">
        <v>447</v>
      </c>
      <c r="H525" s="184" t="s">
        <v>10814</v>
      </c>
      <c r="I525" s="183">
        <v>3.5</v>
      </c>
      <c r="J525" s="183" t="s">
        <v>449</v>
      </c>
      <c r="K525" s="184" t="s">
        <v>10815</v>
      </c>
      <c r="L525" s="183">
        <v>3</v>
      </c>
      <c r="M525" s="183" t="s">
        <v>3472</v>
      </c>
      <c r="N525" s="187" t="s">
        <v>3473</v>
      </c>
      <c r="O525" s="183" t="s">
        <v>452</v>
      </c>
      <c r="P525" s="183" t="s">
        <v>3474</v>
      </c>
      <c r="Q525" s="183"/>
      <c r="R525" s="183" t="s">
        <v>24</v>
      </c>
      <c r="S525" s="183" t="s">
        <v>3475</v>
      </c>
      <c r="T525" s="184"/>
      <c r="U525" s="184"/>
      <c r="V525" s="184"/>
      <c r="W525" s="184"/>
      <c r="X525" s="179"/>
      <c r="Y525" s="179"/>
      <c r="Z525" s="179"/>
      <c r="AA525" s="179"/>
    </row>
    <row r="526" spans="1:27">
      <c r="A526" s="181">
        <f ca="1">IFERROR(__xludf.DUMMYFUNCTION("IFS(B526="""","""",ISDATE(B526)=TRUE,B526,ISDATE(B526)=FALSE,TO_DATE(DATEVALUE(regexextract(B526,""\d+/\d+/\d+""))))"),44797)</f>
        <v>44797</v>
      </c>
      <c r="B526" s="182" t="s">
        <v>907</v>
      </c>
      <c r="C526" s="183" t="s">
        <v>330</v>
      </c>
      <c r="D526" s="184">
        <v>4</v>
      </c>
      <c r="E526" s="184" t="s">
        <v>9687</v>
      </c>
      <c r="F526" s="183" t="s">
        <v>3</v>
      </c>
      <c r="G526" s="183" t="s">
        <v>488</v>
      </c>
      <c r="H526" s="184" t="s">
        <v>10816</v>
      </c>
      <c r="I526" s="184">
        <v>4</v>
      </c>
      <c r="J526" s="183" t="s">
        <v>941</v>
      </c>
      <c r="K526" s="184" t="s">
        <v>9689</v>
      </c>
      <c r="L526" s="184">
        <v>4</v>
      </c>
      <c r="M526" s="183" t="s">
        <v>451</v>
      </c>
      <c r="N526" s="187">
        <v>2000000</v>
      </c>
      <c r="O526" s="183" t="s">
        <v>452</v>
      </c>
      <c r="P526" s="183" t="s">
        <v>9690</v>
      </c>
      <c r="Q526" s="184"/>
      <c r="R526" s="184" t="s">
        <v>18</v>
      </c>
      <c r="S526" s="184"/>
      <c r="T526" s="184"/>
      <c r="U526" s="184"/>
      <c r="V526" s="184"/>
      <c r="W526" s="184"/>
      <c r="X526" s="179"/>
      <c r="Y526" s="179"/>
      <c r="Z526" s="179"/>
      <c r="AA526" s="179"/>
    </row>
    <row r="527" spans="1:27">
      <c r="A527" s="181">
        <f ca="1">IFERROR(__xludf.DUMMYFUNCTION("IFS(B527="""","""",ISDATE(B527)=TRUE,B527,ISDATE(B527)=FALSE,TO_DATE(DATEVALUE(regexextract(B527,""\d+/\d+/\d+""))))"),44797)</f>
        <v>44797</v>
      </c>
      <c r="B527" s="182" t="s">
        <v>907</v>
      </c>
      <c r="C527" s="183" t="s">
        <v>4804</v>
      </c>
      <c r="D527" s="184">
        <v>3.5</v>
      </c>
      <c r="E527" s="183" t="s">
        <v>4807</v>
      </c>
      <c r="F527" s="183" t="s">
        <v>4</v>
      </c>
      <c r="G527" s="183" t="s">
        <v>1457</v>
      </c>
      <c r="H527" s="184" t="s">
        <v>4808</v>
      </c>
      <c r="I527" s="184">
        <v>3</v>
      </c>
      <c r="J527" s="183" t="s">
        <v>462</v>
      </c>
      <c r="K527" s="184" t="s">
        <v>10817</v>
      </c>
      <c r="L527" s="184">
        <v>4</v>
      </c>
      <c r="M527" s="183" t="s">
        <v>784</v>
      </c>
      <c r="N527" s="192" t="s">
        <v>4810</v>
      </c>
      <c r="O527" s="183" t="s">
        <v>452</v>
      </c>
      <c r="P527" s="183" t="s">
        <v>4811</v>
      </c>
      <c r="Q527" s="184"/>
      <c r="R527" s="184" t="s">
        <v>24</v>
      </c>
      <c r="S527" s="184"/>
      <c r="T527" s="184"/>
      <c r="U527" s="184"/>
      <c r="V527" s="184"/>
      <c r="W527" s="184"/>
      <c r="X527" s="179"/>
      <c r="Y527" s="179"/>
      <c r="Z527" s="179"/>
      <c r="AA527" s="179"/>
    </row>
    <row r="528" spans="1:27">
      <c r="A528" s="181">
        <f ca="1">IFERROR(__xludf.DUMMYFUNCTION("IFS(B528="""","""",ISDATE(B528)=TRUE,B528,ISDATE(B528)=FALSE,TO_DATE(DATEVALUE(regexextract(B528,""\d+/\d+/\d+""))))"),44789)</f>
        <v>44789</v>
      </c>
      <c r="B528" s="182" t="s">
        <v>6450</v>
      </c>
      <c r="C528" s="183" t="s">
        <v>63</v>
      </c>
      <c r="D528" s="184">
        <v>3.5</v>
      </c>
      <c r="E528" s="183" t="s">
        <v>2101</v>
      </c>
      <c r="F528" s="183" t="s">
        <v>5</v>
      </c>
      <c r="G528" s="183" t="s">
        <v>447</v>
      </c>
      <c r="H528" s="184" t="s">
        <v>10818</v>
      </c>
      <c r="I528" s="184">
        <v>3.5</v>
      </c>
      <c r="J528" s="183" t="s">
        <v>543</v>
      </c>
      <c r="K528" s="184" t="s">
        <v>10819</v>
      </c>
      <c r="L528" s="184">
        <v>3.5</v>
      </c>
      <c r="M528" s="183"/>
      <c r="N528" s="185"/>
      <c r="O528" s="183" t="s">
        <v>452</v>
      </c>
      <c r="P528" s="183" t="s">
        <v>2104</v>
      </c>
      <c r="Q528" s="184"/>
      <c r="R528" s="184" t="s">
        <v>20</v>
      </c>
      <c r="S528" s="184" t="s">
        <v>2105</v>
      </c>
      <c r="T528" s="184"/>
      <c r="U528" s="184"/>
      <c r="V528" s="184"/>
      <c r="W528" s="184"/>
      <c r="X528" s="179"/>
      <c r="Y528" s="179"/>
      <c r="Z528" s="179"/>
      <c r="AA528" s="179"/>
    </row>
    <row r="529" spans="1:27">
      <c r="A529" s="181">
        <f ca="1">IFERROR(__xludf.DUMMYFUNCTION("IFS(B529="""","""",ISDATE(B529)=TRUE,B529,ISDATE(B529)=FALSE,TO_DATE(DATEVALUE(regexextract(B529,""\d+/\d+/\d+""))))"),44789)</f>
        <v>44789</v>
      </c>
      <c r="B529" s="182" t="s">
        <v>6450</v>
      </c>
      <c r="C529" s="183" t="s">
        <v>256</v>
      </c>
      <c r="D529" s="183">
        <v>5</v>
      </c>
      <c r="E529" s="183" t="s">
        <v>1471</v>
      </c>
      <c r="F529" s="183" t="s">
        <v>4</v>
      </c>
      <c r="G529" s="183" t="s">
        <v>447</v>
      </c>
      <c r="H529" s="183" t="s">
        <v>10820</v>
      </c>
      <c r="I529" s="183">
        <v>5</v>
      </c>
      <c r="J529" s="183" t="s">
        <v>449</v>
      </c>
      <c r="K529" s="183" t="s">
        <v>10821</v>
      </c>
      <c r="L529" s="183">
        <v>5</v>
      </c>
      <c r="M529" s="183" t="s">
        <v>478</v>
      </c>
      <c r="N529" s="192" t="s">
        <v>1474</v>
      </c>
      <c r="O529" s="183" t="s">
        <v>452</v>
      </c>
      <c r="P529" s="183" t="s">
        <v>1475</v>
      </c>
      <c r="Q529" s="184" t="s">
        <v>1476</v>
      </c>
      <c r="R529" s="183" t="s">
        <v>18</v>
      </c>
      <c r="S529" s="183" t="s">
        <v>1477</v>
      </c>
      <c r="T529" s="184"/>
      <c r="U529" s="184"/>
      <c r="V529" s="184"/>
      <c r="W529" s="184"/>
      <c r="X529" s="179"/>
      <c r="Y529" s="179"/>
      <c r="Z529" s="179"/>
      <c r="AA529" s="179"/>
    </row>
    <row r="530" spans="1:27">
      <c r="A530" s="181">
        <f ca="1">IFERROR(__xludf.DUMMYFUNCTION("IFS(B530="""","""",ISDATE(B530)=TRUE,B530,ISDATE(B530)=FALSE,TO_DATE(DATEVALUE(regexextract(B530,""\d+/\d+/\d+""))))"),44796)</f>
        <v>44796</v>
      </c>
      <c r="B530" s="182" t="s">
        <v>529</v>
      </c>
      <c r="C530" s="183" t="s">
        <v>9186</v>
      </c>
      <c r="D530" s="183">
        <v>3.75</v>
      </c>
      <c r="E530" s="183" t="s">
        <v>9189</v>
      </c>
      <c r="F530" s="183" t="s">
        <v>3</v>
      </c>
      <c r="G530" s="183" t="s">
        <v>725</v>
      </c>
      <c r="H530" s="183" t="s">
        <v>9190</v>
      </c>
      <c r="I530" s="183">
        <v>3.5</v>
      </c>
      <c r="J530" s="183" t="s">
        <v>462</v>
      </c>
      <c r="K530" s="183" t="s">
        <v>10822</v>
      </c>
      <c r="L530" s="183">
        <v>4</v>
      </c>
      <c r="M530" s="183"/>
      <c r="N530" s="187"/>
      <c r="O530" s="183" t="s">
        <v>452</v>
      </c>
      <c r="P530" s="183" t="s">
        <v>1119</v>
      </c>
      <c r="Q530" s="184"/>
      <c r="R530" s="183" t="s">
        <v>24</v>
      </c>
      <c r="S530" s="184" t="s">
        <v>9192</v>
      </c>
      <c r="T530" s="184"/>
      <c r="U530" s="184"/>
      <c r="V530" s="184"/>
      <c r="W530" s="184"/>
      <c r="X530" s="179"/>
      <c r="Y530" s="179"/>
      <c r="Z530" s="179"/>
      <c r="AA530" s="179"/>
    </row>
    <row r="531" spans="1:27">
      <c r="A531" s="181">
        <f ca="1">IFERROR(__xludf.DUMMYFUNCTION("IFS(B531="""","""",ISDATE(B531)=TRUE,B531,ISDATE(B531)=FALSE,TO_DATE(DATEVALUE(regexextract(B531,""\d+/\d+/\d+""))))"),44797)</f>
        <v>44797</v>
      </c>
      <c r="B531" s="182" t="s">
        <v>907</v>
      </c>
      <c r="C531" s="183" t="s">
        <v>240</v>
      </c>
      <c r="D531" s="184">
        <v>4</v>
      </c>
      <c r="E531" s="183" t="s">
        <v>10823</v>
      </c>
      <c r="F531" s="183" t="s">
        <v>4</v>
      </c>
      <c r="G531" s="183" t="s">
        <v>1045</v>
      </c>
      <c r="H531" s="184" t="s">
        <v>1407</v>
      </c>
      <c r="I531" s="184">
        <v>4</v>
      </c>
      <c r="J531" s="183" t="s">
        <v>462</v>
      </c>
      <c r="K531" s="183" t="s">
        <v>1408</v>
      </c>
      <c r="L531" s="183">
        <v>4</v>
      </c>
      <c r="M531" s="183"/>
      <c r="N531" s="185"/>
      <c r="O531" s="183" t="s">
        <v>454</v>
      </c>
      <c r="P531" s="183" t="s">
        <v>1409</v>
      </c>
      <c r="Q531" s="184"/>
      <c r="R531" s="184" t="s">
        <v>18</v>
      </c>
      <c r="S531" s="184" t="s">
        <v>1410</v>
      </c>
      <c r="T531" s="184"/>
      <c r="U531" s="184"/>
      <c r="V531" s="184"/>
      <c r="W531" s="184"/>
      <c r="X531" s="179"/>
      <c r="Y531" s="179"/>
      <c r="Z531" s="179"/>
      <c r="AA531" s="179"/>
    </row>
    <row r="532" spans="1:27">
      <c r="A532" s="181">
        <f ca="1">IFERROR(__xludf.DUMMYFUNCTION("IFS(B532="""","""",ISDATE(B532)=TRUE,B532,ISDATE(B532)=FALSE,TO_DATE(DATEVALUE(regexextract(B532,""\d+/\d+/\d+""))))"),44796)</f>
        <v>44796</v>
      </c>
      <c r="B532" s="182" t="s">
        <v>529</v>
      </c>
      <c r="C532" s="183" t="s">
        <v>8580</v>
      </c>
      <c r="D532" s="183">
        <v>3</v>
      </c>
      <c r="E532" s="183" t="s">
        <v>8583</v>
      </c>
      <c r="F532" s="183" t="s">
        <v>3</v>
      </c>
      <c r="G532" s="183" t="s">
        <v>488</v>
      </c>
      <c r="H532" s="183" t="s">
        <v>10824</v>
      </c>
      <c r="I532" s="183">
        <v>3</v>
      </c>
      <c r="J532" s="183" t="s">
        <v>462</v>
      </c>
      <c r="K532" s="183" t="s">
        <v>8585</v>
      </c>
      <c r="L532" s="183">
        <v>3</v>
      </c>
      <c r="M532" s="184" t="s">
        <v>1578</v>
      </c>
      <c r="N532" s="188" t="s">
        <v>6241</v>
      </c>
      <c r="O532" s="183" t="s">
        <v>452</v>
      </c>
      <c r="P532" s="183" t="s">
        <v>10825</v>
      </c>
      <c r="Q532" s="183"/>
      <c r="R532" s="183" t="s">
        <v>24</v>
      </c>
      <c r="S532" s="184"/>
      <c r="T532" s="184"/>
      <c r="U532" s="184"/>
      <c r="V532" s="184"/>
      <c r="W532" s="184"/>
      <c r="X532" s="179"/>
      <c r="Y532" s="179"/>
      <c r="Z532" s="179"/>
      <c r="AA532" s="179"/>
    </row>
    <row r="533" spans="1:27">
      <c r="A533" s="181">
        <f ca="1">IFERROR(__xludf.DUMMYFUNCTION("IFS(B533="""","""",ISDATE(B533)=TRUE,B533,ISDATE(B533)=FALSE,TO_DATE(DATEVALUE(regexextract(B533,""\d+/\d+/\d+""))))"),44789)</f>
        <v>44789</v>
      </c>
      <c r="B533" s="189" t="s">
        <v>6450</v>
      </c>
      <c r="C533" s="183" t="s">
        <v>3077</v>
      </c>
      <c r="D533" s="184">
        <v>1.5</v>
      </c>
      <c r="E533" s="183" t="s">
        <v>3080</v>
      </c>
      <c r="F533" s="183" t="s">
        <v>5</v>
      </c>
      <c r="G533" s="183" t="s">
        <v>447</v>
      </c>
      <c r="H533" s="183" t="s">
        <v>10826</v>
      </c>
      <c r="I533" s="183">
        <v>1</v>
      </c>
      <c r="J533" s="183" t="s">
        <v>543</v>
      </c>
      <c r="K533" s="184" t="s">
        <v>10827</v>
      </c>
      <c r="L533" s="184">
        <v>2</v>
      </c>
      <c r="M533" s="183" t="s">
        <v>3083</v>
      </c>
      <c r="N533" s="185" t="s">
        <v>3084</v>
      </c>
      <c r="O533" s="183" t="s">
        <v>452</v>
      </c>
      <c r="P533" s="183" t="s">
        <v>452</v>
      </c>
      <c r="Q533" s="184"/>
      <c r="R533" s="184" t="s">
        <v>24</v>
      </c>
      <c r="S533" s="184"/>
      <c r="T533" s="184"/>
      <c r="U533" s="184"/>
      <c r="V533" s="184"/>
      <c r="W533" s="184"/>
      <c r="X533" s="179"/>
      <c r="Y533" s="179"/>
      <c r="Z533" s="179"/>
      <c r="AA533" s="179"/>
    </row>
    <row r="534" spans="1:27">
      <c r="A534" s="181">
        <f ca="1">IFERROR(__xludf.DUMMYFUNCTION("IFS(B534="""","""",ISDATE(B534)=TRUE,B534,ISDATE(B534)=FALSE,TO_DATE(DATEVALUE(regexextract(B534,""\d+/\d+/\d+""))))"),44796)</f>
        <v>44796</v>
      </c>
      <c r="B534" s="182" t="s">
        <v>529</v>
      </c>
      <c r="C534" s="183" t="s">
        <v>5393</v>
      </c>
      <c r="D534" s="183">
        <v>3</v>
      </c>
      <c r="E534" s="183" t="s">
        <v>10828</v>
      </c>
      <c r="F534" s="183" t="s">
        <v>4</v>
      </c>
      <c r="G534" s="183" t="s">
        <v>725</v>
      </c>
      <c r="H534" s="183" t="s">
        <v>5397</v>
      </c>
      <c r="I534" s="183">
        <v>3</v>
      </c>
      <c r="J534" s="183" t="s">
        <v>1073</v>
      </c>
      <c r="K534" s="183" t="s">
        <v>5398</v>
      </c>
      <c r="L534" s="183">
        <v>3</v>
      </c>
      <c r="M534" s="183" t="s">
        <v>478</v>
      </c>
      <c r="N534" s="187">
        <v>10000000</v>
      </c>
      <c r="O534" s="183" t="s">
        <v>452</v>
      </c>
      <c r="P534" s="183" t="s">
        <v>5399</v>
      </c>
      <c r="Q534" s="184"/>
      <c r="R534" s="183" t="s">
        <v>24</v>
      </c>
      <c r="S534" s="184"/>
      <c r="T534" s="184"/>
      <c r="U534" s="184"/>
      <c r="V534" s="184"/>
      <c r="W534" s="184"/>
      <c r="X534" s="179"/>
      <c r="Y534" s="179"/>
      <c r="Z534" s="179"/>
      <c r="AA534" s="179"/>
    </row>
    <row r="535" spans="1:27">
      <c r="A535" s="181">
        <f ca="1">IFERROR(__xludf.DUMMYFUNCTION("IFS(B535="""","""",ISDATE(B535)=TRUE,B535,ISDATE(B535)=FALSE,TO_DATE(DATEVALUE(regexextract(B535,""\d+/\d+/\d+""))))"),44797)</f>
        <v>44797</v>
      </c>
      <c r="B535" s="182" t="s">
        <v>907</v>
      </c>
      <c r="C535" s="183" t="s">
        <v>10829</v>
      </c>
      <c r="D535" s="183">
        <v>3.25</v>
      </c>
      <c r="E535" s="183" t="s">
        <v>5204</v>
      </c>
      <c r="F535" s="183" t="s">
        <v>4</v>
      </c>
      <c r="G535" s="183" t="s">
        <v>725</v>
      </c>
      <c r="H535" s="183" t="s">
        <v>10830</v>
      </c>
      <c r="I535" s="183">
        <v>3.5</v>
      </c>
      <c r="J535" s="183" t="s">
        <v>447</v>
      </c>
      <c r="K535" s="183" t="s">
        <v>10831</v>
      </c>
      <c r="L535" s="183">
        <v>3</v>
      </c>
      <c r="M535" s="183" t="s">
        <v>451</v>
      </c>
      <c r="N535" s="185" t="s">
        <v>5207</v>
      </c>
      <c r="O535" s="183" t="s">
        <v>452</v>
      </c>
      <c r="P535" s="183" t="s">
        <v>452</v>
      </c>
      <c r="Q535" s="184"/>
      <c r="R535" s="183" t="s">
        <v>24</v>
      </c>
      <c r="S535" s="184"/>
      <c r="T535" s="184"/>
      <c r="U535" s="184"/>
      <c r="V535" s="184"/>
      <c r="W535" s="184"/>
      <c r="X535" s="179"/>
      <c r="Y535" s="179"/>
      <c r="Z535" s="179"/>
      <c r="AA535" s="179"/>
    </row>
    <row r="536" spans="1:27">
      <c r="A536" s="181">
        <f ca="1">IFERROR(__xludf.DUMMYFUNCTION("IFS(B536="""","""",ISDATE(B536)=TRUE,B536,ISDATE(B536)=FALSE,TO_DATE(DATEVALUE(regexextract(B536,""\d+/\d+/\d+""))))"),44797)</f>
        <v>44797</v>
      </c>
      <c r="B536" s="182" t="s">
        <v>907</v>
      </c>
      <c r="C536" s="183" t="s">
        <v>5818</v>
      </c>
      <c r="D536" s="184">
        <v>3</v>
      </c>
      <c r="E536" s="183" t="s">
        <v>5821</v>
      </c>
      <c r="F536" s="183" t="s">
        <v>4</v>
      </c>
      <c r="G536" s="183" t="s">
        <v>1045</v>
      </c>
      <c r="H536" s="183" t="s">
        <v>5822</v>
      </c>
      <c r="I536" s="183">
        <v>3.5</v>
      </c>
      <c r="J536" s="183" t="s">
        <v>462</v>
      </c>
      <c r="K536" s="184" t="s">
        <v>5823</v>
      </c>
      <c r="L536" s="184">
        <v>2.5</v>
      </c>
      <c r="M536" s="183" t="s">
        <v>451</v>
      </c>
      <c r="N536" s="185">
        <v>2000000</v>
      </c>
      <c r="O536" s="183" t="s">
        <v>452</v>
      </c>
      <c r="P536" s="183" t="s">
        <v>452</v>
      </c>
      <c r="Q536" s="184"/>
      <c r="R536" s="184" t="s">
        <v>24</v>
      </c>
      <c r="S536" s="184"/>
      <c r="T536" s="184"/>
      <c r="U536" s="184"/>
      <c r="V536" s="184"/>
      <c r="W536" s="184"/>
      <c r="X536" s="179"/>
      <c r="Y536" s="179"/>
      <c r="Z536" s="179"/>
      <c r="AA536" s="179"/>
    </row>
    <row r="537" spans="1:27">
      <c r="A537" s="181">
        <f ca="1">IFERROR(__xludf.DUMMYFUNCTION("IFS(B537="""","""",ISDATE(B537)=TRUE,B537,ISDATE(B537)=FALSE,TO_DATE(DATEVALUE(regexextract(B537,""\d+/\d+/\d+""))))"),44796)</f>
        <v>44796</v>
      </c>
      <c r="B537" s="182" t="s">
        <v>529</v>
      </c>
      <c r="C537" s="183" t="s">
        <v>8639</v>
      </c>
      <c r="D537" s="184">
        <v>1</v>
      </c>
      <c r="E537" s="183" t="s">
        <v>8642</v>
      </c>
      <c r="F537" s="183" t="s">
        <v>3</v>
      </c>
      <c r="G537" s="183" t="s">
        <v>488</v>
      </c>
      <c r="H537" s="184"/>
      <c r="I537" s="184">
        <v>1</v>
      </c>
      <c r="J537" s="183" t="s">
        <v>462</v>
      </c>
      <c r="K537" s="184" t="s">
        <v>8643</v>
      </c>
      <c r="L537" s="184">
        <v>1</v>
      </c>
      <c r="M537" s="184"/>
      <c r="N537" s="190"/>
      <c r="O537" s="183" t="s">
        <v>454</v>
      </c>
      <c r="P537" s="183" t="s">
        <v>575</v>
      </c>
      <c r="Q537" s="184"/>
      <c r="R537" s="184" t="s">
        <v>24</v>
      </c>
      <c r="S537" s="184"/>
      <c r="T537" s="184"/>
      <c r="U537" s="184"/>
      <c r="V537" s="184"/>
      <c r="W537" s="184"/>
      <c r="X537" s="179"/>
      <c r="Y537" s="179"/>
      <c r="Z537" s="179"/>
      <c r="AA537" s="179"/>
    </row>
    <row r="538" spans="1:27">
      <c r="A538" s="181">
        <f ca="1">IFERROR(__xludf.DUMMYFUNCTION("IFS(B538="""","""",ISDATE(B538)=TRUE,B538,ISDATE(B538)=FALSE,TO_DATE(DATEVALUE(regexextract(B538,""\d+/\d+/\d+""))))"),44796)</f>
        <v>44796</v>
      </c>
      <c r="B538" s="182" t="s">
        <v>529</v>
      </c>
      <c r="C538" s="183" t="s">
        <v>361</v>
      </c>
      <c r="D538" s="184">
        <v>4.75</v>
      </c>
      <c r="E538" s="183" t="s">
        <v>10832</v>
      </c>
      <c r="F538" s="183" t="s">
        <v>3</v>
      </c>
      <c r="G538" s="183" t="s">
        <v>725</v>
      </c>
      <c r="H538" s="184" t="s">
        <v>2041</v>
      </c>
      <c r="I538" s="184">
        <v>5</v>
      </c>
      <c r="J538" s="183" t="s">
        <v>941</v>
      </c>
      <c r="K538" s="184" t="s">
        <v>2042</v>
      </c>
      <c r="L538" s="184">
        <v>4.5</v>
      </c>
      <c r="M538" s="184" t="s">
        <v>451</v>
      </c>
      <c r="N538" s="188">
        <v>15000000</v>
      </c>
      <c r="O538" s="183" t="s">
        <v>452</v>
      </c>
      <c r="P538" s="183" t="s">
        <v>452</v>
      </c>
      <c r="Q538" s="184" t="s">
        <v>2043</v>
      </c>
      <c r="R538" s="184" t="s">
        <v>18</v>
      </c>
      <c r="S538" s="184" t="s">
        <v>2044</v>
      </c>
      <c r="T538" s="184"/>
      <c r="U538" s="184"/>
      <c r="V538" s="184"/>
      <c r="W538" s="184"/>
      <c r="X538" s="179"/>
      <c r="Y538" s="179"/>
      <c r="Z538" s="179"/>
      <c r="AA538" s="179"/>
    </row>
    <row r="539" spans="1:27">
      <c r="A539" s="181">
        <f ca="1">IFERROR(__xludf.DUMMYFUNCTION("IFS(B539="""","""",ISDATE(B539)=TRUE,B539,ISDATE(B539)=FALSE,TO_DATE(DATEVALUE(regexextract(B539,""\d+/\d+/\d+""))))"),44797)</f>
        <v>44797</v>
      </c>
      <c r="B539" s="182" t="s">
        <v>907</v>
      </c>
      <c r="C539" s="183" t="s">
        <v>5113</v>
      </c>
      <c r="D539" s="184">
        <v>3.25</v>
      </c>
      <c r="E539" s="183" t="s">
        <v>5116</v>
      </c>
      <c r="F539" s="183" t="s">
        <v>4</v>
      </c>
      <c r="G539" s="183" t="s">
        <v>602</v>
      </c>
      <c r="H539" s="184" t="s">
        <v>5117</v>
      </c>
      <c r="I539" s="184">
        <v>3</v>
      </c>
      <c r="J539" s="183" t="s">
        <v>462</v>
      </c>
      <c r="K539" s="184" t="s">
        <v>5118</v>
      </c>
      <c r="L539" s="184">
        <v>3.5</v>
      </c>
      <c r="M539" s="183"/>
      <c r="N539" s="187"/>
      <c r="O539" s="183" t="s">
        <v>452</v>
      </c>
      <c r="P539" s="183" t="s">
        <v>10833</v>
      </c>
      <c r="Q539" s="184"/>
      <c r="R539" s="184" t="s">
        <v>24</v>
      </c>
      <c r="S539" s="184"/>
      <c r="T539" s="184"/>
      <c r="U539" s="184"/>
      <c r="V539" s="184"/>
      <c r="W539" s="184"/>
      <c r="X539" s="179"/>
      <c r="Y539" s="179"/>
      <c r="Z539" s="179"/>
      <c r="AA539" s="179"/>
    </row>
    <row r="540" spans="1:27">
      <c r="A540" s="181">
        <f ca="1">IFERROR(__xludf.DUMMYFUNCTION("IFS(B540="""","""",ISDATE(B540)=TRUE,B540,ISDATE(B540)=FALSE,TO_DATE(DATEVALUE(regexextract(B540,""\d+/\d+/\d+""))))"),44789)</f>
        <v>44789</v>
      </c>
      <c r="B540" s="182" t="s">
        <v>6450</v>
      </c>
      <c r="C540" s="183" t="s">
        <v>2587</v>
      </c>
      <c r="D540" s="183">
        <v>3.25</v>
      </c>
      <c r="E540" s="183" t="s">
        <v>2590</v>
      </c>
      <c r="F540" s="183" t="s">
        <v>5</v>
      </c>
      <c r="G540" s="183" t="s">
        <v>447</v>
      </c>
      <c r="H540" s="183" t="s">
        <v>10834</v>
      </c>
      <c r="I540" s="183">
        <v>3.5</v>
      </c>
      <c r="J540" s="183" t="s">
        <v>449</v>
      </c>
      <c r="K540" s="183" t="s">
        <v>10835</v>
      </c>
      <c r="L540" s="183">
        <v>3</v>
      </c>
      <c r="M540" s="184" t="s">
        <v>2152</v>
      </c>
      <c r="N540" s="188" t="s">
        <v>2593</v>
      </c>
      <c r="O540" s="183" t="s">
        <v>452</v>
      </c>
      <c r="P540" s="183" t="s">
        <v>2594</v>
      </c>
      <c r="Q540" s="184"/>
      <c r="R540" s="183" t="s">
        <v>24</v>
      </c>
      <c r="S540" s="183"/>
      <c r="T540" s="184"/>
      <c r="U540" s="184"/>
      <c r="V540" s="184"/>
      <c r="W540" s="184"/>
      <c r="X540" s="179"/>
      <c r="Y540" s="179"/>
      <c r="Z540" s="179"/>
      <c r="AA540" s="179"/>
    </row>
    <row r="541" spans="1:27">
      <c r="A541" s="181">
        <f ca="1">IFERROR(__xludf.DUMMYFUNCTION("IFS(B541="""","""",ISDATE(B541)=TRUE,B541,ISDATE(B541)=FALSE,TO_DATE(DATEVALUE(regexextract(B541,""\d+/\d+/\d+""))))"),44797)</f>
        <v>44797</v>
      </c>
      <c r="B541" s="182" t="s">
        <v>907</v>
      </c>
      <c r="C541" s="183" t="s">
        <v>4593</v>
      </c>
      <c r="D541" s="184">
        <v>3.5</v>
      </c>
      <c r="E541" s="183" t="s">
        <v>4596</v>
      </c>
      <c r="F541" s="183" t="s">
        <v>4</v>
      </c>
      <c r="G541" s="183" t="s">
        <v>447</v>
      </c>
      <c r="H541" s="184" t="s">
        <v>10836</v>
      </c>
      <c r="I541" s="184">
        <v>3</v>
      </c>
      <c r="J541" s="183" t="s">
        <v>1073</v>
      </c>
      <c r="K541" s="183" t="s">
        <v>4598</v>
      </c>
      <c r="L541" s="183">
        <v>4</v>
      </c>
      <c r="M541" s="184"/>
      <c r="N541" s="186"/>
      <c r="O541" s="183" t="s">
        <v>452</v>
      </c>
      <c r="P541" s="183" t="s">
        <v>1119</v>
      </c>
      <c r="Q541" s="184"/>
      <c r="R541" s="184" t="s">
        <v>24</v>
      </c>
      <c r="S541" s="184"/>
      <c r="T541" s="184"/>
      <c r="U541" s="184"/>
      <c r="V541" s="184"/>
      <c r="W541" s="184"/>
      <c r="X541" s="179"/>
      <c r="Y541" s="179"/>
      <c r="Z541" s="179"/>
      <c r="AA541" s="179"/>
    </row>
    <row r="542" spans="1:27">
      <c r="A542" s="181">
        <f ca="1">IFERROR(__xludf.DUMMYFUNCTION("IFS(B542="""","""",ISDATE(B542)=TRUE,B542,ISDATE(B542)=FALSE,TO_DATE(DATEVALUE(regexextract(B542,""\d+/\d+/\d+""))))"),44796)</f>
        <v>44796</v>
      </c>
      <c r="B542" s="182" t="s">
        <v>529</v>
      </c>
      <c r="C542" s="183" t="s">
        <v>9701</v>
      </c>
      <c r="D542" s="183">
        <v>4</v>
      </c>
      <c r="E542" s="183" t="s">
        <v>9704</v>
      </c>
      <c r="F542" s="183" t="s">
        <v>3</v>
      </c>
      <c r="G542" s="183" t="s">
        <v>725</v>
      </c>
      <c r="H542" s="183" t="s">
        <v>10837</v>
      </c>
      <c r="I542" s="183">
        <v>4.5</v>
      </c>
      <c r="J542" s="183" t="s">
        <v>462</v>
      </c>
      <c r="K542" s="183" t="s">
        <v>9706</v>
      </c>
      <c r="L542" s="183">
        <v>3.5</v>
      </c>
      <c r="M542" s="184" t="s">
        <v>451</v>
      </c>
      <c r="N542" s="188">
        <v>3000000</v>
      </c>
      <c r="O542" s="183" t="s">
        <v>454</v>
      </c>
      <c r="P542" s="183" t="s">
        <v>9707</v>
      </c>
      <c r="Q542" s="184" t="s">
        <v>9708</v>
      </c>
      <c r="R542" s="183" t="s">
        <v>23</v>
      </c>
      <c r="S542" s="184" t="s">
        <v>10838</v>
      </c>
      <c r="T542" s="184"/>
      <c r="U542" s="184"/>
      <c r="V542" s="184"/>
      <c r="W542" s="184"/>
      <c r="X542" s="179"/>
      <c r="Y542" s="179"/>
      <c r="Z542" s="179"/>
      <c r="AA542" s="179"/>
    </row>
    <row r="543" spans="1:27">
      <c r="A543" s="181">
        <f ca="1">IFERROR(__xludf.DUMMYFUNCTION("IFS(B543="""","""",ISDATE(B543)=TRUE,B543,ISDATE(B543)=FALSE,TO_DATE(DATEVALUE(regexextract(B543,""\d+/\d+/\d+""))))"),44797)</f>
        <v>44797</v>
      </c>
      <c r="B543" s="182" t="s">
        <v>907</v>
      </c>
      <c r="C543" s="183" t="s">
        <v>6564</v>
      </c>
      <c r="D543" s="183">
        <v>2.5</v>
      </c>
      <c r="E543" s="183" t="s">
        <v>6567</v>
      </c>
      <c r="F543" s="183" t="s">
        <v>4</v>
      </c>
      <c r="G543" s="183" t="s">
        <v>727</v>
      </c>
      <c r="H543" s="183" t="s">
        <v>10839</v>
      </c>
      <c r="I543" s="183">
        <v>3</v>
      </c>
      <c r="J543" s="183" t="s">
        <v>4054</v>
      </c>
      <c r="K543" s="183"/>
      <c r="L543" s="183">
        <v>2</v>
      </c>
      <c r="M543" s="183" t="s">
        <v>451</v>
      </c>
      <c r="N543" s="187">
        <v>5000000</v>
      </c>
      <c r="O543" s="183" t="s">
        <v>452</v>
      </c>
      <c r="P543" s="183" t="s">
        <v>6569</v>
      </c>
      <c r="Q543" s="183"/>
      <c r="R543" s="183" t="s">
        <v>24</v>
      </c>
      <c r="S543" s="184"/>
      <c r="T543" s="184"/>
      <c r="U543" s="184"/>
      <c r="V543" s="184"/>
      <c r="W543" s="184"/>
      <c r="X543" s="179"/>
      <c r="Y543" s="179"/>
      <c r="Z543" s="179"/>
      <c r="AA543" s="179"/>
    </row>
    <row r="544" spans="1:27">
      <c r="A544" s="181">
        <f ca="1">IFERROR(__xludf.DUMMYFUNCTION("IFS(B544="""","""",ISDATE(B544)=TRUE,B544,ISDATE(B544)=FALSE,TO_DATE(DATEVALUE(regexextract(B544,""\d+/\d+/\d+""))))"),44796)</f>
        <v>44796</v>
      </c>
      <c r="B544" s="182" t="s">
        <v>529</v>
      </c>
      <c r="C544" s="183" t="s">
        <v>4227</v>
      </c>
      <c r="D544" s="183">
        <v>3.75</v>
      </c>
      <c r="E544" s="183" t="s">
        <v>4230</v>
      </c>
      <c r="F544" s="183" t="s">
        <v>4</v>
      </c>
      <c r="G544" s="183" t="s">
        <v>725</v>
      </c>
      <c r="H544" s="183"/>
      <c r="I544" s="183">
        <v>3.5</v>
      </c>
      <c r="J544" s="183" t="s">
        <v>1187</v>
      </c>
      <c r="K544" s="183" t="s">
        <v>4231</v>
      </c>
      <c r="L544" s="183">
        <v>4</v>
      </c>
      <c r="M544" s="184" t="s">
        <v>451</v>
      </c>
      <c r="N544" s="188" t="s">
        <v>4232</v>
      </c>
      <c r="O544" s="183" t="s">
        <v>452</v>
      </c>
      <c r="P544" s="183" t="s">
        <v>4233</v>
      </c>
      <c r="Q544" s="184"/>
      <c r="R544" s="183" t="s">
        <v>24</v>
      </c>
      <c r="S544" s="184"/>
      <c r="T544" s="184"/>
      <c r="U544" s="184"/>
      <c r="V544" s="184"/>
      <c r="W544" s="184"/>
      <c r="X544" s="179"/>
      <c r="Y544" s="179"/>
      <c r="Z544" s="179"/>
      <c r="AA544" s="179"/>
    </row>
    <row r="545" spans="1:27">
      <c r="A545" s="181">
        <f ca="1">IFERROR(__xludf.DUMMYFUNCTION("IFS(B545="""","""",ISDATE(B545)=TRUE,B545,ISDATE(B545)=FALSE,TO_DATE(DATEVALUE(regexextract(B545,""\d+/\d+/\d+""))))"),44796)</f>
        <v>44796</v>
      </c>
      <c r="B545" s="189" t="s">
        <v>529</v>
      </c>
      <c r="C545" s="183" t="s">
        <v>5385</v>
      </c>
      <c r="D545" s="184">
        <v>3</v>
      </c>
      <c r="E545" s="183" t="s">
        <v>10840</v>
      </c>
      <c r="F545" s="183" t="s">
        <v>4</v>
      </c>
      <c r="G545" s="183" t="s">
        <v>1457</v>
      </c>
      <c r="H545" s="184" t="s">
        <v>5389</v>
      </c>
      <c r="I545" s="184">
        <v>4</v>
      </c>
      <c r="J545" s="183" t="s">
        <v>1036</v>
      </c>
      <c r="K545" s="183" t="s">
        <v>5390</v>
      </c>
      <c r="L545" s="183">
        <v>2</v>
      </c>
      <c r="M545" s="183"/>
      <c r="N545" s="187"/>
      <c r="O545" s="183" t="s">
        <v>452</v>
      </c>
      <c r="P545" s="183" t="s">
        <v>452</v>
      </c>
      <c r="Q545" s="183"/>
      <c r="R545" s="184" t="s">
        <v>24</v>
      </c>
      <c r="S545" s="184"/>
      <c r="T545" s="184"/>
      <c r="U545" s="184"/>
      <c r="V545" s="184"/>
      <c r="W545" s="184"/>
      <c r="X545" s="179"/>
      <c r="Y545" s="179"/>
      <c r="Z545" s="179"/>
      <c r="AA545" s="179"/>
    </row>
    <row r="546" spans="1:27">
      <c r="A546" s="181">
        <f ca="1">IFERROR(__xludf.DUMMYFUNCTION("IFS(B546="""","""",ISDATE(B546)=TRUE,B546,ISDATE(B546)=FALSE,TO_DATE(DATEVALUE(regexextract(B546,""\d+/\d+/\d+""))))"),44796)</f>
        <v>44796</v>
      </c>
      <c r="B546" s="182" t="s">
        <v>529</v>
      </c>
      <c r="C546" s="183" t="s">
        <v>3880</v>
      </c>
      <c r="D546" s="183">
        <v>4</v>
      </c>
      <c r="E546" s="183" t="s">
        <v>10841</v>
      </c>
      <c r="F546" s="183" t="s">
        <v>4</v>
      </c>
      <c r="G546" s="183" t="s">
        <v>725</v>
      </c>
      <c r="H546" s="183" t="s">
        <v>3884</v>
      </c>
      <c r="I546" s="183">
        <v>3</v>
      </c>
      <c r="J546" s="183" t="s">
        <v>1187</v>
      </c>
      <c r="K546" s="183" t="s">
        <v>3885</v>
      </c>
      <c r="L546" s="183">
        <v>5</v>
      </c>
      <c r="M546" s="183" t="s">
        <v>478</v>
      </c>
      <c r="N546" s="187">
        <v>700000</v>
      </c>
      <c r="O546" s="183" t="s">
        <v>452</v>
      </c>
      <c r="P546" s="183" t="s">
        <v>452</v>
      </c>
      <c r="Q546" s="184"/>
      <c r="R546" s="183" t="s">
        <v>24</v>
      </c>
      <c r="S546" s="184" t="s">
        <v>3886</v>
      </c>
      <c r="T546" s="184"/>
      <c r="U546" s="184"/>
      <c r="V546" s="184"/>
      <c r="W546" s="184"/>
      <c r="X546" s="179"/>
      <c r="Y546" s="179"/>
      <c r="Z546" s="179"/>
      <c r="AA546" s="179"/>
    </row>
    <row r="547" spans="1:27">
      <c r="A547" s="181">
        <f ca="1">IFERROR(__xludf.DUMMYFUNCTION("IFS(B547="""","""",ISDATE(B547)=TRUE,B547,ISDATE(B547)=FALSE,TO_DATE(DATEVALUE(regexextract(B547,""\d+/\d+/\d+""))))"),44797)</f>
        <v>44797</v>
      </c>
      <c r="B547" s="182" t="s">
        <v>907</v>
      </c>
      <c r="C547" s="183" t="s">
        <v>7236</v>
      </c>
      <c r="D547" s="183">
        <v>2</v>
      </c>
      <c r="E547" s="183" t="s">
        <v>7239</v>
      </c>
      <c r="F547" s="183" t="s">
        <v>4</v>
      </c>
      <c r="G547" s="183" t="s">
        <v>447</v>
      </c>
      <c r="H547" s="183" t="s">
        <v>10842</v>
      </c>
      <c r="I547" s="183">
        <v>1</v>
      </c>
      <c r="J547" s="183" t="s">
        <v>1187</v>
      </c>
      <c r="K547" s="184" t="s">
        <v>7241</v>
      </c>
      <c r="L547" s="183">
        <v>3</v>
      </c>
      <c r="M547" s="183" t="s">
        <v>451</v>
      </c>
      <c r="N547" s="187">
        <v>2000000</v>
      </c>
      <c r="O547" s="183" t="s">
        <v>465</v>
      </c>
      <c r="P547" s="183" t="s">
        <v>452</v>
      </c>
      <c r="Q547" s="184"/>
      <c r="R547" s="183" t="s">
        <v>24</v>
      </c>
      <c r="S547" s="184"/>
      <c r="T547" s="184"/>
      <c r="U547" s="184"/>
      <c r="V547" s="184"/>
      <c r="W547" s="184"/>
      <c r="X547" s="179"/>
      <c r="Y547" s="179"/>
      <c r="Z547" s="179"/>
      <c r="AA547" s="179"/>
    </row>
    <row r="548" spans="1:27">
      <c r="A548" s="181">
        <f ca="1">IFERROR(__xludf.DUMMYFUNCTION("IFS(B548="""","""",ISDATE(B548)=TRUE,B548,ISDATE(B548)=FALSE,TO_DATE(DATEVALUE(regexextract(B548,""\d+/\d+/\d+""))))"),44796)</f>
        <v>44796</v>
      </c>
      <c r="B548" s="182" t="s">
        <v>529</v>
      </c>
      <c r="C548" s="183" t="s">
        <v>8842</v>
      </c>
      <c r="D548" s="183">
        <v>2</v>
      </c>
      <c r="E548" s="183" t="s">
        <v>8845</v>
      </c>
      <c r="F548" s="183" t="s">
        <v>3</v>
      </c>
      <c r="G548" s="183" t="s">
        <v>725</v>
      </c>
      <c r="H548" s="184" t="s">
        <v>10843</v>
      </c>
      <c r="I548" s="183">
        <v>2</v>
      </c>
      <c r="J548" s="183" t="s">
        <v>941</v>
      </c>
      <c r="K548" s="183"/>
      <c r="L548" s="183">
        <v>2</v>
      </c>
      <c r="M548" s="183" t="s">
        <v>784</v>
      </c>
      <c r="N548" s="187">
        <v>200000</v>
      </c>
      <c r="O548" s="183" t="s">
        <v>452</v>
      </c>
      <c r="P548" s="183" t="s">
        <v>8847</v>
      </c>
      <c r="Q548" s="184"/>
      <c r="R548" s="183" t="s">
        <v>24</v>
      </c>
      <c r="S548" s="184"/>
      <c r="T548" s="184"/>
      <c r="U548" s="184"/>
      <c r="V548" s="184"/>
      <c r="W548" s="184"/>
      <c r="X548" s="179"/>
      <c r="Y548" s="179"/>
      <c r="Z548" s="179"/>
      <c r="AA548" s="179"/>
    </row>
    <row r="549" spans="1:27">
      <c r="A549" s="181">
        <f ca="1">IFERROR(__xludf.DUMMYFUNCTION("IFS(B549="""","""",ISDATE(B549)=TRUE,B549,ISDATE(B549)=FALSE,TO_DATE(DATEVALUE(regexextract(B549,""\d+/\d+/\d+""))))"),44796)</f>
        <v>44796</v>
      </c>
      <c r="B549" s="182" t="s">
        <v>529</v>
      </c>
      <c r="C549" s="183" t="s">
        <v>8789</v>
      </c>
      <c r="D549" s="184">
        <v>2.75</v>
      </c>
      <c r="E549" s="183" t="s">
        <v>10844</v>
      </c>
      <c r="F549" s="183" t="s">
        <v>3</v>
      </c>
      <c r="G549" s="183" t="s">
        <v>460</v>
      </c>
      <c r="H549" s="184" t="s">
        <v>8793</v>
      </c>
      <c r="I549" s="184">
        <v>3</v>
      </c>
      <c r="J549" s="183" t="s">
        <v>941</v>
      </c>
      <c r="K549" s="184" t="s">
        <v>8794</v>
      </c>
      <c r="L549" s="184">
        <v>2.5</v>
      </c>
      <c r="M549" s="184" t="s">
        <v>451</v>
      </c>
      <c r="N549" s="186">
        <v>11000000</v>
      </c>
      <c r="O549" s="183" t="s">
        <v>452</v>
      </c>
      <c r="P549" s="183" t="s">
        <v>10845</v>
      </c>
      <c r="Q549" s="184" t="s">
        <v>725</v>
      </c>
      <c r="R549" s="184" t="s">
        <v>24</v>
      </c>
      <c r="S549" s="184"/>
      <c r="T549" s="184"/>
      <c r="U549" s="184"/>
      <c r="V549" s="184"/>
      <c r="W549" s="184"/>
      <c r="X549" s="179"/>
      <c r="Y549" s="179"/>
      <c r="Z549" s="179"/>
      <c r="AA549" s="179"/>
    </row>
    <row r="550" spans="1:27">
      <c r="A550" s="181">
        <f ca="1">IFERROR(__xludf.DUMMYFUNCTION("IFS(B550="""","""",ISDATE(B550)=TRUE,B550,ISDATE(B550)=FALSE,TO_DATE(DATEVALUE(regexextract(B550,""\d+/\d+/\d+""))))"),44782)</f>
        <v>44782</v>
      </c>
      <c r="B550" s="182" t="s">
        <v>10188</v>
      </c>
      <c r="C550" s="183" t="s">
        <v>9015</v>
      </c>
      <c r="D550" s="183">
        <v>1</v>
      </c>
      <c r="E550" s="183" t="s">
        <v>9018</v>
      </c>
      <c r="F550" s="183" t="s">
        <v>3</v>
      </c>
      <c r="G550" s="183" t="s">
        <v>460</v>
      </c>
      <c r="H550" s="183" t="s">
        <v>9019</v>
      </c>
      <c r="I550" s="183">
        <v>1</v>
      </c>
      <c r="J550" s="183" t="s">
        <v>941</v>
      </c>
      <c r="K550" s="184"/>
      <c r="L550" s="183">
        <v>1</v>
      </c>
      <c r="M550" s="184"/>
      <c r="N550" s="186"/>
      <c r="O550" s="183" t="s">
        <v>452</v>
      </c>
      <c r="P550" s="183" t="s">
        <v>452</v>
      </c>
      <c r="Q550" s="184"/>
      <c r="R550" s="183" t="s">
        <v>24</v>
      </c>
      <c r="S550" s="184"/>
      <c r="T550" s="184"/>
      <c r="U550" s="184"/>
      <c r="V550" s="184"/>
      <c r="W550" s="184"/>
      <c r="X550" s="179"/>
      <c r="Y550" s="179"/>
      <c r="Z550" s="179"/>
      <c r="AA550" s="179"/>
    </row>
    <row r="551" spans="1:27">
      <c r="A551" s="181">
        <f ca="1">IFERROR(__xludf.DUMMYFUNCTION("IFS(B551="""","""",ISDATE(B551)=TRUE,B551,ISDATE(B551)=FALSE,TO_DATE(DATEVALUE(regexextract(B551,""\d+/\d+/\d+""))))"),44782)</f>
        <v>44782</v>
      </c>
      <c r="B551" s="182" t="s">
        <v>10188</v>
      </c>
      <c r="C551" s="183" t="s">
        <v>5011</v>
      </c>
      <c r="D551" s="183">
        <v>3.25</v>
      </c>
      <c r="E551" s="183" t="s">
        <v>5014</v>
      </c>
      <c r="F551" s="183" t="s">
        <v>4</v>
      </c>
      <c r="G551" s="183" t="s">
        <v>602</v>
      </c>
      <c r="H551" s="183" t="s">
        <v>5015</v>
      </c>
      <c r="I551" s="183">
        <v>3.5</v>
      </c>
      <c r="J551" s="183" t="s">
        <v>1054</v>
      </c>
      <c r="K551" s="183" t="s">
        <v>5016</v>
      </c>
      <c r="L551" s="183">
        <v>3</v>
      </c>
      <c r="M551" s="183" t="s">
        <v>784</v>
      </c>
      <c r="N551" s="185">
        <v>500000</v>
      </c>
      <c r="O551" s="183" t="s">
        <v>452</v>
      </c>
      <c r="P551" s="183" t="s">
        <v>1119</v>
      </c>
      <c r="Q551" s="184"/>
      <c r="R551" s="183" t="s">
        <v>24</v>
      </c>
      <c r="S551" s="184"/>
      <c r="T551" s="184"/>
      <c r="U551" s="184"/>
      <c r="V551" s="184"/>
      <c r="W551" s="184"/>
      <c r="X551" s="179"/>
      <c r="Y551" s="179"/>
      <c r="Z551" s="179"/>
      <c r="AA551" s="179"/>
    </row>
    <row r="552" spans="1:27">
      <c r="A552" s="181">
        <f ca="1">IFERROR(__xludf.DUMMYFUNCTION("IFS(B552="""","""",ISDATE(B552)=TRUE,B552,ISDATE(B552)=FALSE,TO_DATE(DATEVALUE(regexextract(B552,""\d+/\d+/\d+""))))"),44784)</f>
        <v>44784</v>
      </c>
      <c r="B552" s="182" t="s">
        <v>10173</v>
      </c>
      <c r="C552" s="183" t="s">
        <v>6614</v>
      </c>
      <c r="D552" s="184">
        <v>2.38</v>
      </c>
      <c r="E552" s="184" t="s">
        <v>6617</v>
      </c>
      <c r="F552" s="183" t="s">
        <v>4</v>
      </c>
      <c r="G552" s="183" t="s">
        <v>725</v>
      </c>
      <c r="H552" s="184"/>
      <c r="I552" s="184">
        <v>2</v>
      </c>
      <c r="J552" s="183" t="s">
        <v>727</v>
      </c>
      <c r="K552" s="184" t="s">
        <v>10846</v>
      </c>
      <c r="L552" s="184">
        <v>2.75</v>
      </c>
      <c r="M552" s="183" t="s">
        <v>451</v>
      </c>
      <c r="N552" s="187">
        <v>800000</v>
      </c>
      <c r="O552" s="183" t="s">
        <v>452</v>
      </c>
      <c r="P552" s="183" t="s">
        <v>10847</v>
      </c>
      <c r="Q552" s="184"/>
      <c r="R552" s="184" t="s">
        <v>24</v>
      </c>
      <c r="S552" s="184"/>
      <c r="T552" s="184"/>
      <c r="U552" s="184"/>
      <c r="V552" s="184"/>
      <c r="W552" s="184"/>
      <c r="X552" s="179"/>
      <c r="Y552" s="179"/>
      <c r="Z552" s="179"/>
      <c r="AA552" s="179"/>
    </row>
    <row r="553" spans="1:27">
      <c r="A553" s="181">
        <f ca="1">IFERROR(__xludf.DUMMYFUNCTION("IFS(B553="""","""",ISDATE(B553)=TRUE,B553,ISDATE(B553)=FALSE,TO_DATE(DATEVALUE(regexextract(B553,""\d+/\d+/\d+""))))"),44791)</f>
        <v>44791</v>
      </c>
      <c r="B553" s="182" t="s">
        <v>598</v>
      </c>
      <c r="C553" s="183" t="s">
        <v>7599</v>
      </c>
      <c r="D553" s="183">
        <v>2</v>
      </c>
      <c r="E553" s="183" t="s">
        <v>7602</v>
      </c>
      <c r="F553" s="183" t="s">
        <v>4</v>
      </c>
      <c r="G553" s="183" t="s">
        <v>725</v>
      </c>
      <c r="H553" s="183"/>
      <c r="I553" s="183">
        <v>2</v>
      </c>
      <c r="J553" s="183" t="s">
        <v>1045</v>
      </c>
      <c r="K553" s="183" t="s">
        <v>7603</v>
      </c>
      <c r="L553" s="183">
        <v>2</v>
      </c>
      <c r="M553" s="184" t="s">
        <v>451</v>
      </c>
      <c r="N553" s="188">
        <v>3500000</v>
      </c>
      <c r="O553" s="183" t="s">
        <v>465</v>
      </c>
      <c r="P553" s="183" t="s">
        <v>7604</v>
      </c>
      <c r="Q553" s="184"/>
      <c r="R553" s="183" t="s">
        <v>24</v>
      </c>
      <c r="S553" s="183"/>
      <c r="T553" s="184"/>
      <c r="U553" s="184"/>
      <c r="V553" s="184"/>
      <c r="W553" s="184"/>
      <c r="X553" s="179"/>
      <c r="Y553" s="179"/>
      <c r="Z553" s="179"/>
      <c r="AA553" s="179"/>
    </row>
    <row r="554" spans="1:27">
      <c r="A554" s="181">
        <f ca="1">IFERROR(__xludf.DUMMYFUNCTION("IFS(B554="""","""",ISDATE(B554)=TRUE,B554,ISDATE(B554)=FALSE,TO_DATE(DATEVALUE(regexextract(B554,""\d+/\d+/\d+""))))"),44791)</f>
        <v>44791</v>
      </c>
      <c r="B554" s="182" t="s">
        <v>598</v>
      </c>
      <c r="C554" s="183" t="s">
        <v>8358</v>
      </c>
      <c r="D554" s="184">
        <v>3.5</v>
      </c>
      <c r="E554" s="183" t="s">
        <v>8361</v>
      </c>
      <c r="F554" s="183" t="s">
        <v>3</v>
      </c>
      <c r="G554" s="183" t="s">
        <v>460</v>
      </c>
      <c r="H554" s="184" t="s">
        <v>8362</v>
      </c>
      <c r="I554" s="184">
        <v>3</v>
      </c>
      <c r="J554" s="183" t="s">
        <v>462</v>
      </c>
      <c r="K554" s="183" t="s">
        <v>8363</v>
      </c>
      <c r="L554" s="183">
        <v>4</v>
      </c>
      <c r="M554" s="183" t="s">
        <v>8364</v>
      </c>
      <c r="N554" s="187">
        <v>5000000</v>
      </c>
      <c r="O554" s="183" t="s">
        <v>452</v>
      </c>
      <c r="P554" s="183" t="s">
        <v>452</v>
      </c>
      <c r="Q554" s="183"/>
      <c r="R554" s="184" t="s">
        <v>24</v>
      </c>
      <c r="S554" s="184" t="s">
        <v>8365</v>
      </c>
      <c r="T554" s="184"/>
      <c r="U554" s="184"/>
      <c r="V554" s="184"/>
      <c r="W554" s="184"/>
      <c r="X554" s="179"/>
      <c r="Y554" s="179"/>
      <c r="Z554" s="179"/>
      <c r="AA554" s="179"/>
    </row>
    <row r="555" spans="1:27">
      <c r="A555" s="181">
        <f ca="1">IFERROR(__xludf.DUMMYFUNCTION("IFS(B555="""","""",ISDATE(B555)=TRUE,B555,ISDATE(B555)=FALSE,TO_DATE(DATEVALUE(regexextract(B555,""\d+/\d+/\d+""))))"),44789)</f>
        <v>44789</v>
      </c>
      <c r="B555" s="182" t="s">
        <v>6450</v>
      </c>
      <c r="C555" s="183" t="s">
        <v>2824</v>
      </c>
      <c r="D555" s="184">
        <v>3</v>
      </c>
      <c r="E555" s="183" t="s">
        <v>2827</v>
      </c>
      <c r="F555" s="183" t="s">
        <v>5</v>
      </c>
      <c r="G555" s="183" t="s">
        <v>447</v>
      </c>
      <c r="H555" s="184" t="s">
        <v>10848</v>
      </c>
      <c r="I555" s="184">
        <v>3</v>
      </c>
      <c r="J555" s="183" t="s">
        <v>622</v>
      </c>
      <c r="K555" s="183" t="s">
        <v>2829</v>
      </c>
      <c r="L555" s="183">
        <v>3</v>
      </c>
      <c r="M555" s="183"/>
      <c r="N555" s="185"/>
      <c r="O555" s="183" t="s">
        <v>452</v>
      </c>
      <c r="P555" s="183" t="s">
        <v>2830</v>
      </c>
      <c r="Q555" s="184"/>
      <c r="R555" s="184" t="s">
        <v>24</v>
      </c>
      <c r="S555" s="184"/>
      <c r="T555" s="184"/>
      <c r="U555" s="184"/>
      <c r="V555" s="184"/>
      <c r="W555" s="184"/>
      <c r="X555" s="179"/>
      <c r="Y555" s="179"/>
      <c r="Z555" s="179"/>
      <c r="AA555" s="179"/>
    </row>
    <row r="556" spans="1:27">
      <c r="A556" s="181">
        <f ca="1">IFERROR(__xludf.DUMMYFUNCTION("IFS(B556="""","""",ISDATE(B556)=TRUE,B556,ISDATE(B556)=FALSE,TO_DATE(DATEVALUE(regexextract(B556,""\d+/\d+/\d+""))))"),44789)</f>
        <v>44789</v>
      </c>
      <c r="B556" s="182" t="s">
        <v>6450</v>
      </c>
      <c r="C556" s="183" t="s">
        <v>2660</v>
      </c>
      <c r="D556" s="183">
        <v>3.25</v>
      </c>
      <c r="E556" s="183" t="s">
        <v>10849</v>
      </c>
      <c r="F556" s="183" t="s">
        <v>5</v>
      </c>
      <c r="G556" s="183" t="s">
        <v>447</v>
      </c>
      <c r="H556" s="183" t="s">
        <v>10850</v>
      </c>
      <c r="I556" s="183">
        <v>3</v>
      </c>
      <c r="J556" s="183" t="s">
        <v>543</v>
      </c>
      <c r="K556" s="183" t="s">
        <v>10851</v>
      </c>
      <c r="L556" s="183">
        <v>3.5</v>
      </c>
      <c r="M556" s="184" t="s">
        <v>451</v>
      </c>
      <c r="N556" s="190">
        <v>1500000</v>
      </c>
      <c r="O556" s="183" t="s">
        <v>465</v>
      </c>
      <c r="P556" s="183" t="s">
        <v>10852</v>
      </c>
      <c r="Q556" s="184"/>
      <c r="R556" s="183" t="s">
        <v>24</v>
      </c>
      <c r="S556" s="183"/>
      <c r="T556" s="184"/>
      <c r="U556" s="184"/>
      <c r="V556" s="184"/>
      <c r="W556" s="184"/>
      <c r="X556" s="179"/>
      <c r="Y556" s="179"/>
      <c r="Z556" s="179"/>
      <c r="AA556" s="179"/>
    </row>
    <row r="557" spans="1:27">
      <c r="A557" s="181">
        <f ca="1">IFERROR(__xludf.DUMMYFUNCTION("IFS(B557="""","""",ISDATE(B557)=TRUE,B557,ISDATE(B557)=FALSE,TO_DATE(DATEVALUE(regexextract(B557,""\d+/\d+/\d+""))))"),44789)</f>
        <v>44789</v>
      </c>
      <c r="B557" s="182" t="s">
        <v>6450</v>
      </c>
      <c r="C557" s="183" t="s">
        <v>2137</v>
      </c>
      <c r="D557" s="183">
        <v>2.63</v>
      </c>
      <c r="E557" s="183" t="s">
        <v>2140</v>
      </c>
      <c r="F557" s="183" t="s">
        <v>5</v>
      </c>
      <c r="G557" s="183" t="s">
        <v>447</v>
      </c>
      <c r="H557" s="183" t="s">
        <v>10853</v>
      </c>
      <c r="I557" s="183">
        <v>2.5</v>
      </c>
      <c r="J557" s="183" t="s">
        <v>449</v>
      </c>
      <c r="K557" s="183" t="s">
        <v>10854</v>
      </c>
      <c r="L557" s="183">
        <v>2.75</v>
      </c>
      <c r="M557" s="184" t="s">
        <v>451</v>
      </c>
      <c r="N557" s="186">
        <v>500000</v>
      </c>
      <c r="O557" s="183" t="s">
        <v>452</v>
      </c>
      <c r="P557" s="183" t="s">
        <v>10855</v>
      </c>
      <c r="Q557" s="184" t="s">
        <v>2144</v>
      </c>
      <c r="R557" s="183" t="s">
        <v>24</v>
      </c>
      <c r="S557" s="184"/>
      <c r="T557" s="184"/>
      <c r="U557" s="184"/>
      <c r="V557" s="184"/>
      <c r="W557" s="184"/>
      <c r="X557" s="179"/>
      <c r="Y557" s="179"/>
      <c r="Z557" s="179"/>
      <c r="AA557" s="179"/>
    </row>
    <row r="558" spans="1:27">
      <c r="A558" s="181">
        <f ca="1">IFERROR(__xludf.DUMMYFUNCTION("IFS(B558="""","""",ISDATE(B558)=TRUE,B558,ISDATE(B558)=FALSE,TO_DATE(DATEVALUE(regexextract(B558,""\d+/\d+/\d+""))))"),44791)</f>
        <v>44791</v>
      </c>
      <c r="B558" s="182" t="s">
        <v>598</v>
      </c>
      <c r="C558" s="183" t="s">
        <v>9745</v>
      </c>
      <c r="D558" s="183">
        <v>2</v>
      </c>
      <c r="E558" s="183" t="s">
        <v>9748</v>
      </c>
      <c r="F558" s="183" t="s">
        <v>3</v>
      </c>
      <c r="G558" s="183" t="s">
        <v>460</v>
      </c>
      <c r="H558" s="183" t="s">
        <v>9749</v>
      </c>
      <c r="I558" s="183">
        <v>2</v>
      </c>
      <c r="J558" s="183" t="s">
        <v>941</v>
      </c>
      <c r="K558" s="183" t="s">
        <v>9750</v>
      </c>
      <c r="L558" s="183">
        <v>2</v>
      </c>
      <c r="M558" s="183"/>
      <c r="N558" s="187"/>
      <c r="O558" s="183" t="s">
        <v>452</v>
      </c>
      <c r="P558" s="183" t="s">
        <v>9751</v>
      </c>
      <c r="Q558" s="184" t="s">
        <v>9752</v>
      </c>
      <c r="R558" s="183" t="s">
        <v>23</v>
      </c>
      <c r="S558" s="184" t="s">
        <v>9753</v>
      </c>
      <c r="T558" s="184"/>
      <c r="U558" s="184"/>
      <c r="V558" s="184"/>
      <c r="W558" s="184"/>
      <c r="X558" s="179"/>
      <c r="Y558" s="179"/>
      <c r="Z558" s="179"/>
      <c r="AA558" s="179"/>
    </row>
    <row r="559" spans="1:27">
      <c r="A559" s="181">
        <f ca="1">IFERROR(__xludf.DUMMYFUNCTION("IFS(B559="""","""",ISDATE(B559)=TRUE,B559,ISDATE(B559)=FALSE,TO_DATE(DATEVALUE(regexextract(B559,""\d+/\d+/\d+""))))"),44791)</f>
        <v>44791</v>
      </c>
      <c r="B559" s="182" t="s">
        <v>10182</v>
      </c>
      <c r="C559" s="183" t="s">
        <v>4374</v>
      </c>
      <c r="D559" s="183">
        <v>3.75</v>
      </c>
      <c r="E559" s="183" t="s">
        <v>4377</v>
      </c>
      <c r="F559" s="183" t="s">
        <v>4</v>
      </c>
      <c r="G559" s="183" t="s">
        <v>602</v>
      </c>
      <c r="H559" s="183" t="s">
        <v>4378</v>
      </c>
      <c r="I559" s="183">
        <v>4</v>
      </c>
      <c r="J559" s="183" t="s">
        <v>1045</v>
      </c>
      <c r="K559" s="183" t="s">
        <v>4379</v>
      </c>
      <c r="L559" s="183">
        <v>3.5</v>
      </c>
      <c r="M559" s="183" t="s">
        <v>784</v>
      </c>
      <c r="N559" s="187">
        <v>500000</v>
      </c>
      <c r="O559" s="183" t="s">
        <v>465</v>
      </c>
      <c r="P559" s="183" t="s">
        <v>4380</v>
      </c>
      <c r="Q559" s="183" t="s">
        <v>4381</v>
      </c>
      <c r="R559" s="183" t="s">
        <v>24</v>
      </c>
      <c r="S559" s="184" t="s">
        <v>10856</v>
      </c>
      <c r="T559" s="184"/>
      <c r="U559" s="184"/>
      <c r="V559" s="184"/>
      <c r="W559" s="184"/>
      <c r="X559" s="179"/>
      <c r="Y559" s="179"/>
      <c r="Z559" s="179"/>
      <c r="AA559" s="179"/>
    </row>
    <row r="560" spans="1:27">
      <c r="A560" s="181">
        <f ca="1">IFERROR(__xludf.DUMMYFUNCTION("IFS(B560="""","""",ISDATE(B560)=TRUE,B560,ISDATE(B560)=FALSE,TO_DATE(DATEVALUE(regexextract(B560,""\d+/\d+/\d+""))))"),44796)</f>
        <v>44796</v>
      </c>
      <c r="B560" s="182" t="s">
        <v>529</v>
      </c>
      <c r="C560" s="183" t="s">
        <v>78</v>
      </c>
      <c r="D560" s="183">
        <v>4.75</v>
      </c>
      <c r="E560" s="183" t="s">
        <v>562</v>
      </c>
      <c r="F560" s="183" t="s">
        <v>5</v>
      </c>
      <c r="G560" s="183" t="s">
        <v>447</v>
      </c>
      <c r="H560" s="183" t="s">
        <v>10857</v>
      </c>
      <c r="I560" s="183">
        <v>5</v>
      </c>
      <c r="J560" s="183" t="s">
        <v>543</v>
      </c>
      <c r="K560" s="184" t="s">
        <v>10858</v>
      </c>
      <c r="L560" s="183">
        <v>4.5</v>
      </c>
      <c r="M560" s="184" t="s">
        <v>478</v>
      </c>
      <c r="N560" s="186" t="s">
        <v>565</v>
      </c>
      <c r="O560" s="183" t="s">
        <v>452</v>
      </c>
      <c r="P560" s="183" t="s">
        <v>566</v>
      </c>
      <c r="Q560" s="184"/>
      <c r="R560" s="183" t="s">
        <v>18</v>
      </c>
      <c r="S560" s="183" t="s">
        <v>567</v>
      </c>
      <c r="T560" s="184"/>
      <c r="U560" s="184"/>
      <c r="V560" s="184"/>
      <c r="W560" s="184"/>
      <c r="X560" s="179"/>
      <c r="Y560" s="179"/>
      <c r="Z560" s="179"/>
      <c r="AA560" s="179"/>
    </row>
    <row r="561" spans="1:27">
      <c r="A561" s="181">
        <f ca="1">IFERROR(__xludf.DUMMYFUNCTION("IFS(B561="""","""",ISDATE(B561)=TRUE,B561,ISDATE(B561)=FALSE,TO_DATE(DATEVALUE(regexextract(B561,""\d+/\d+/\d+""))))"),44789)</f>
        <v>44789</v>
      </c>
      <c r="B561" s="189" t="s">
        <v>6450</v>
      </c>
      <c r="C561" s="183" t="s">
        <v>277</v>
      </c>
      <c r="D561" s="183">
        <v>4.75</v>
      </c>
      <c r="E561" s="183" t="s">
        <v>10859</v>
      </c>
      <c r="F561" s="183" t="s">
        <v>3</v>
      </c>
      <c r="G561" s="183" t="s">
        <v>460</v>
      </c>
      <c r="H561" s="183" t="s">
        <v>10860</v>
      </c>
      <c r="I561" s="183">
        <v>4.5</v>
      </c>
      <c r="J561" s="183" t="s">
        <v>462</v>
      </c>
      <c r="K561" s="183" t="s">
        <v>1603</v>
      </c>
      <c r="L561" s="183">
        <v>5</v>
      </c>
      <c r="M561" s="183"/>
      <c r="N561" s="187"/>
      <c r="O561" s="183" t="s">
        <v>452</v>
      </c>
      <c r="P561" s="183" t="s">
        <v>1604</v>
      </c>
      <c r="Q561" s="184"/>
      <c r="R561" s="183" t="s">
        <v>18</v>
      </c>
      <c r="S561" s="184"/>
      <c r="T561" s="184"/>
      <c r="U561" s="184"/>
      <c r="V561" s="184"/>
      <c r="W561" s="184"/>
      <c r="X561" s="179"/>
      <c r="Y561" s="179"/>
      <c r="Z561" s="179"/>
      <c r="AA561" s="179"/>
    </row>
    <row r="562" spans="1:27">
      <c r="A562" s="181">
        <f ca="1">IFERROR(__xludf.DUMMYFUNCTION("IFS(B562="""","""",ISDATE(B562)=TRUE,B562,ISDATE(B562)=FALSE,TO_DATE(DATEVALUE(regexextract(B562,""\d+/\d+/\d+""))))"),44789)</f>
        <v>44789</v>
      </c>
      <c r="B562" s="182" t="s">
        <v>6450</v>
      </c>
      <c r="C562" s="183" t="s">
        <v>255</v>
      </c>
      <c r="D562" s="184">
        <v>4</v>
      </c>
      <c r="E562" s="183" t="s">
        <v>10861</v>
      </c>
      <c r="F562" s="183" t="s">
        <v>4</v>
      </c>
      <c r="G562" s="183" t="s">
        <v>602</v>
      </c>
      <c r="H562" s="184" t="s">
        <v>4100</v>
      </c>
      <c r="I562" s="184">
        <v>4</v>
      </c>
      <c r="J562" s="183" t="s">
        <v>1054</v>
      </c>
      <c r="K562" s="183" t="s">
        <v>10862</v>
      </c>
      <c r="L562" s="183">
        <v>4</v>
      </c>
      <c r="M562" s="184"/>
      <c r="N562" s="188"/>
      <c r="O562" s="183" t="s">
        <v>465</v>
      </c>
      <c r="P562" s="183" t="s">
        <v>4102</v>
      </c>
      <c r="Q562" s="183"/>
      <c r="R562" s="184" t="s">
        <v>18</v>
      </c>
      <c r="S562" s="184"/>
      <c r="T562" s="184"/>
      <c r="U562" s="184"/>
      <c r="V562" s="184"/>
      <c r="W562" s="184"/>
      <c r="X562" s="179"/>
      <c r="Y562" s="179"/>
      <c r="Z562" s="179"/>
      <c r="AA562" s="179"/>
    </row>
    <row r="563" spans="1:27">
      <c r="A563" s="181">
        <f ca="1">IFERROR(__xludf.DUMMYFUNCTION("IFS(B563="""","""",ISDATE(B563)=TRUE,B563,ISDATE(B563)=FALSE,TO_DATE(DATEVALUE(regexextract(B563,""\d+/\d+/\d+""))))"),44784)</f>
        <v>44784</v>
      </c>
      <c r="B563" s="189" t="s">
        <v>10173</v>
      </c>
      <c r="C563" s="183" t="s">
        <v>5800</v>
      </c>
      <c r="D563" s="183">
        <v>3</v>
      </c>
      <c r="E563" s="183" t="s">
        <v>5803</v>
      </c>
      <c r="F563" s="183" t="s">
        <v>4</v>
      </c>
      <c r="G563" s="183" t="s">
        <v>727</v>
      </c>
      <c r="H563" s="183" t="s">
        <v>10863</v>
      </c>
      <c r="I563" s="183">
        <v>3</v>
      </c>
      <c r="J563" s="183" t="s">
        <v>476</v>
      </c>
      <c r="K563" s="183" t="s">
        <v>10864</v>
      </c>
      <c r="L563" s="183">
        <v>3</v>
      </c>
      <c r="M563" s="183" t="s">
        <v>451</v>
      </c>
      <c r="N563" s="185">
        <v>1000000</v>
      </c>
      <c r="O563" s="183" t="s">
        <v>452</v>
      </c>
      <c r="P563" s="183" t="s">
        <v>10865</v>
      </c>
      <c r="Q563" s="184"/>
      <c r="R563" s="183" t="s">
        <v>24</v>
      </c>
      <c r="S563" s="184"/>
      <c r="T563" s="184"/>
      <c r="U563" s="184"/>
      <c r="V563" s="184"/>
      <c r="W563" s="184"/>
      <c r="X563" s="179"/>
      <c r="Y563" s="179"/>
      <c r="Z563" s="179"/>
      <c r="AA563" s="179"/>
    </row>
    <row r="564" spans="1:27">
      <c r="A564" s="181">
        <f ca="1">IFERROR(__xludf.DUMMYFUNCTION("IFS(B564="""","""",ISDATE(B564)=TRUE,B564,ISDATE(B564)=FALSE,TO_DATE(DATEVALUE(regexextract(B564,""\d+/\d+/\d+""))))"),44796)</f>
        <v>44796</v>
      </c>
      <c r="B564" s="182" t="s">
        <v>529</v>
      </c>
      <c r="C564" s="183" t="s">
        <v>218</v>
      </c>
      <c r="D564" s="184">
        <v>4</v>
      </c>
      <c r="E564" s="183" t="s">
        <v>1303</v>
      </c>
      <c r="F564" s="183" t="s">
        <v>4</v>
      </c>
      <c r="G564" s="183" t="s">
        <v>725</v>
      </c>
      <c r="H564" s="184" t="s">
        <v>10866</v>
      </c>
      <c r="I564" s="184">
        <v>4.5</v>
      </c>
      <c r="J564" s="183" t="s">
        <v>1045</v>
      </c>
      <c r="K564" s="184" t="s">
        <v>1305</v>
      </c>
      <c r="L564" s="184">
        <v>3.5</v>
      </c>
      <c r="M564" s="183" t="s">
        <v>451</v>
      </c>
      <c r="N564" s="192" t="s">
        <v>1306</v>
      </c>
      <c r="O564" s="183" t="s">
        <v>452</v>
      </c>
      <c r="P564" s="183" t="s">
        <v>1307</v>
      </c>
      <c r="Q564" s="184" t="s">
        <v>1308</v>
      </c>
      <c r="R564" s="184" t="s">
        <v>18</v>
      </c>
      <c r="S564" s="184"/>
      <c r="T564" s="184"/>
      <c r="U564" s="184"/>
      <c r="V564" s="184"/>
      <c r="W564" s="184"/>
      <c r="X564" s="179"/>
      <c r="Y564" s="179"/>
      <c r="Z564" s="179"/>
      <c r="AA564" s="179"/>
    </row>
    <row r="565" spans="1:27">
      <c r="A565" s="181">
        <f ca="1">IFERROR(__xludf.DUMMYFUNCTION("IFS(B565="""","""",ISDATE(B565)=TRUE,B565,ISDATE(B565)=FALSE,TO_DATE(DATEVALUE(regexextract(B565,""\d+/\d+/\d+""))))"),44791)</f>
        <v>44791</v>
      </c>
      <c r="B565" s="182" t="s">
        <v>598</v>
      </c>
      <c r="C565" s="183" t="s">
        <v>5130</v>
      </c>
      <c r="D565" s="183">
        <v>3.25</v>
      </c>
      <c r="E565" s="183" t="s">
        <v>5133</v>
      </c>
      <c r="F565" s="183" t="s">
        <v>4</v>
      </c>
      <c r="G565" s="183" t="s">
        <v>725</v>
      </c>
      <c r="H565" s="183" t="s">
        <v>10867</v>
      </c>
      <c r="I565" s="183">
        <v>3.5</v>
      </c>
      <c r="J565" s="183" t="s">
        <v>1045</v>
      </c>
      <c r="K565" s="183" t="s">
        <v>5135</v>
      </c>
      <c r="L565" s="183">
        <v>3</v>
      </c>
      <c r="M565" s="183" t="s">
        <v>451</v>
      </c>
      <c r="N565" s="187">
        <v>3000000</v>
      </c>
      <c r="O565" s="183" t="s">
        <v>454</v>
      </c>
      <c r="P565" s="183" t="s">
        <v>10868</v>
      </c>
      <c r="Q565" s="184" t="s">
        <v>5137</v>
      </c>
      <c r="R565" s="183" t="s">
        <v>24</v>
      </c>
      <c r="S565" s="184"/>
      <c r="T565" s="184"/>
      <c r="U565" s="184"/>
      <c r="V565" s="184"/>
      <c r="W565" s="184"/>
      <c r="X565" s="179"/>
      <c r="Y565" s="179"/>
      <c r="Z565" s="179"/>
      <c r="AA565" s="179"/>
    </row>
    <row r="566" spans="1:27">
      <c r="A566" s="181">
        <f ca="1">IFERROR(__xludf.DUMMYFUNCTION("IFS(B566="""","""",ISDATE(B566)=TRUE,B566,ISDATE(B566)=FALSE,TO_DATE(DATEVALUE(regexextract(B566,""\d+/\d+/\d+""))))"),44796)</f>
        <v>44796</v>
      </c>
      <c r="B566" s="189" t="s">
        <v>529</v>
      </c>
      <c r="C566" s="183" t="s">
        <v>379</v>
      </c>
      <c r="D566" s="183">
        <v>4</v>
      </c>
      <c r="E566" s="183" t="s">
        <v>10028</v>
      </c>
      <c r="F566" s="183" t="s">
        <v>5</v>
      </c>
      <c r="G566" s="183" t="s">
        <v>460</v>
      </c>
      <c r="H566" s="183" t="s">
        <v>10029</v>
      </c>
      <c r="I566" s="183">
        <v>4</v>
      </c>
      <c r="J566" s="183" t="s">
        <v>462</v>
      </c>
      <c r="K566" s="183" t="s">
        <v>10030</v>
      </c>
      <c r="L566" s="183">
        <v>4</v>
      </c>
      <c r="M566" s="184" t="s">
        <v>973</v>
      </c>
      <c r="N566" s="188" t="s">
        <v>10031</v>
      </c>
      <c r="O566" s="183" t="s">
        <v>452</v>
      </c>
      <c r="P566" s="183" t="s">
        <v>10869</v>
      </c>
      <c r="Q566" s="184"/>
      <c r="R566" s="183" t="s">
        <v>20</v>
      </c>
      <c r="S566" s="184" t="s">
        <v>10033</v>
      </c>
      <c r="T566" s="184"/>
      <c r="U566" s="184"/>
      <c r="V566" s="184"/>
      <c r="W566" s="184"/>
      <c r="X566" s="179"/>
      <c r="Y566" s="179"/>
      <c r="Z566" s="179"/>
      <c r="AA566" s="179"/>
    </row>
    <row r="567" spans="1:27">
      <c r="A567" s="181">
        <f ca="1">IFERROR(__xludf.DUMMYFUNCTION("IFS(B567="""","""",ISDATE(B567)=TRUE,B567,ISDATE(B567)=FALSE,TO_DATE(DATEVALUE(regexextract(B567,""\d+/\d+/\d+""))))"),44789)</f>
        <v>44789</v>
      </c>
      <c r="B567" s="189" t="s">
        <v>6450</v>
      </c>
      <c r="C567" s="183" t="s">
        <v>3330</v>
      </c>
      <c r="D567" s="183">
        <v>2.5</v>
      </c>
      <c r="E567" s="183" t="s">
        <v>3333</v>
      </c>
      <c r="F567" s="183" t="s">
        <v>5</v>
      </c>
      <c r="G567" s="183" t="s">
        <v>447</v>
      </c>
      <c r="H567" s="183" t="s">
        <v>10870</v>
      </c>
      <c r="I567" s="183">
        <v>3</v>
      </c>
      <c r="J567" s="183" t="s">
        <v>449</v>
      </c>
      <c r="K567" s="183" t="s">
        <v>10871</v>
      </c>
      <c r="L567" s="183">
        <v>2</v>
      </c>
      <c r="M567" s="183" t="s">
        <v>784</v>
      </c>
      <c r="N567" s="187" t="s">
        <v>3336</v>
      </c>
      <c r="O567" s="183" t="s">
        <v>454</v>
      </c>
      <c r="P567" s="183" t="s">
        <v>10872</v>
      </c>
      <c r="Q567" s="184"/>
      <c r="R567" s="183" t="s">
        <v>24</v>
      </c>
      <c r="S567" s="184"/>
      <c r="T567" s="184"/>
      <c r="U567" s="184"/>
      <c r="V567" s="184"/>
      <c r="W567" s="184"/>
      <c r="X567" s="179"/>
      <c r="Y567" s="179"/>
      <c r="Z567" s="179"/>
      <c r="AA567" s="179"/>
    </row>
    <row r="568" spans="1:27">
      <c r="A568" s="181">
        <f ca="1">IFERROR(__xludf.DUMMYFUNCTION("IFS(B568="""","""",ISDATE(B568)=TRUE,B568,ISDATE(B568)=FALSE,TO_DATE(DATEVALUE(regexextract(B568,""\d+/\d+/\d+""))))"),44789)</f>
        <v>44789</v>
      </c>
      <c r="B568" s="182" t="s">
        <v>6450</v>
      </c>
      <c r="C568" s="183" t="s">
        <v>7819</v>
      </c>
      <c r="D568" s="183">
        <v>1.5</v>
      </c>
      <c r="E568" s="183" t="s">
        <v>10873</v>
      </c>
      <c r="F568" s="183" t="s">
        <v>4</v>
      </c>
      <c r="G568" s="183" t="s">
        <v>602</v>
      </c>
      <c r="H568" s="183" t="s">
        <v>7823</v>
      </c>
      <c r="I568" s="183">
        <v>1</v>
      </c>
      <c r="J568" s="183" t="s">
        <v>1054</v>
      </c>
      <c r="K568" s="183" t="s">
        <v>7824</v>
      </c>
      <c r="L568" s="183">
        <v>2</v>
      </c>
      <c r="M568" s="183"/>
      <c r="N568" s="187"/>
      <c r="O568" s="183" t="s">
        <v>454</v>
      </c>
      <c r="P568" s="183" t="s">
        <v>452</v>
      </c>
      <c r="Q568" s="184"/>
      <c r="R568" s="183" t="s">
        <v>24</v>
      </c>
      <c r="S568" s="184"/>
      <c r="T568" s="184"/>
      <c r="U568" s="184"/>
      <c r="V568" s="184"/>
      <c r="W568" s="184"/>
      <c r="X568" s="179"/>
      <c r="Y568" s="179"/>
      <c r="Z568" s="179"/>
      <c r="AA568" s="179"/>
    </row>
    <row r="569" spans="1:27">
      <c r="A569" s="181">
        <f ca="1">IFERROR(__xludf.DUMMYFUNCTION("IFS(B569="""","""",ISDATE(B569)=TRUE,B569,ISDATE(B569)=FALSE,TO_DATE(DATEVALUE(regexextract(B569,""\d+/\d+/\d+""))))"),44789)</f>
        <v>44789</v>
      </c>
      <c r="B569" s="182" t="s">
        <v>6450</v>
      </c>
      <c r="C569" s="183" t="s">
        <v>2651</v>
      </c>
      <c r="D569" s="183">
        <v>3.25</v>
      </c>
      <c r="E569" s="183" t="s">
        <v>2654</v>
      </c>
      <c r="F569" s="183" t="s">
        <v>5</v>
      </c>
      <c r="G569" s="183" t="s">
        <v>447</v>
      </c>
      <c r="H569" s="183" t="s">
        <v>10874</v>
      </c>
      <c r="I569" s="183">
        <v>3</v>
      </c>
      <c r="J569" s="183" t="s">
        <v>543</v>
      </c>
      <c r="K569" s="183" t="s">
        <v>10875</v>
      </c>
      <c r="L569" s="183">
        <v>3.5</v>
      </c>
      <c r="M569" s="183"/>
      <c r="N569" s="187"/>
      <c r="O569" s="183" t="s">
        <v>452</v>
      </c>
      <c r="P569" s="183" t="s">
        <v>2657</v>
      </c>
      <c r="Q569" s="183"/>
      <c r="R569" s="183" t="s">
        <v>24</v>
      </c>
      <c r="S569" s="183"/>
      <c r="T569" s="184"/>
      <c r="U569" s="184"/>
      <c r="V569" s="184"/>
      <c r="W569" s="184"/>
      <c r="X569" s="179"/>
      <c r="Y569" s="179"/>
      <c r="Z569" s="179"/>
      <c r="AA569" s="179"/>
    </row>
    <row r="570" spans="1:27">
      <c r="A570" s="181">
        <f ca="1">IFERROR(__xludf.DUMMYFUNCTION("IFS(B570="""","""",ISDATE(B570)=TRUE,B570,ISDATE(B570)=FALSE,TO_DATE(DATEVALUE(regexextract(B570,""\d+/\d+/\d+""))))"),44789)</f>
        <v>44789</v>
      </c>
      <c r="B570" s="182" t="s">
        <v>6450</v>
      </c>
      <c r="C570" s="183" t="s">
        <v>7434</v>
      </c>
      <c r="D570" s="183">
        <v>2</v>
      </c>
      <c r="E570" s="183" t="s">
        <v>7437</v>
      </c>
      <c r="F570" s="183" t="s">
        <v>4</v>
      </c>
      <c r="G570" s="183" t="s">
        <v>602</v>
      </c>
      <c r="H570" s="183" t="s">
        <v>7438</v>
      </c>
      <c r="I570" s="183">
        <v>2</v>
      </c>
      <c r="J570" s="183" t="s">
        <v>476</v>
      </c>
      <c r="K570" s="183" t="s">
        <v>10876</v>
      </c>
      <c r="L570" s="183">
        <v>2</v>
      </c>
      <c r="M570" s="184"/>
      <c r="N570" s="186"/>
      <c r="O570" s="183" t="s">
        <v>452</v>
      </c>
      <c r="P570" s="183" t="s">
        <v>7440</v>
      </c>
      <c r="Q570" s="184"/>
      <c r="R570" s="183" t="s">
        <v>24</v>
      </c>
      <c r="S570" s="183"/>
      <c r="T570" s="184"/>
      <c r="U570" s="184"/>
      <c r="V570" s="184"/>
      <c r="W570" s="184"/>
      <c r="X570" s="179"/>
      <c r="Y570" s="179"/>
      <c r="Z570" s="179"/>
      <c r="AA570" s="179"/>
    </row>
    <row r="571" spans="1:27">
      <c r="A571" s="181">
        <f ca="1">IFERROR(__xludf.DUMMYFUNCTION("IFS(B571="""","""",ISDATE(B571)=TRUE,B571,ISDATE(B571)=FALSE,TO_DATE(DATEVALUE(regexextract(B571,""\d+/\d+/\d+""))))"),44791)</f>
        <v>44791</v>
      </c>
      <c r="B571" s="182" t="s">
        <v>598</v>
      </c>
      <c r="C571" s="183" t="s">
        <v>387</v>
      </c>
      <c r="D571" s="184">
        <v>4</v>
      </c>
      <c r="E571" s="183" t="s">
        <v>10073</v>
      </c>
      <c r="F571" s="183" t="s">
        <v>5</v>
      </c>
      <c r="G571" s="183" t="s">
        <v>447</v>
      </c>
      <c r="H571" s="184" t="s">
        <v>10877</v>
      </c>
      <c r="I571" s="184">
        <v>4</v>
      </c>
      <c r="J571" s="183" t="s">
        <v>449</v>
      </c>
      <c r="K571" s="184" t="s">
        <v>10878</v>
      </c>
      <c r="L571" s="184">
        <v>4</v>
      </c>
      <c r="M571" s="183" t="s">
        <v>10076</v>
      </c>
      <c r="N571" s="187">
        <v>8000000</v>
      </c>
      <c r="O571" s="183" t="s">
        <v>452</v>
      </c>
      <c r="P571" s="183" t="s">
        <v>10077</v>
      </c>
      <c r="Q571" s="184"/>
      <c r="R571" s="184" t="s">
        <v>18</v>
      </c>
      <c r="S571" s="184"/>
      <c r="T571" s="184"/>
      <c r="U571" s="184"/>
      <c r="V571" s="184"/>
      <c r="W571" s="184"/>
      <c r="X571" s="179"/>
      <c r="Y571" s="179"/>
      <c r="Z571" s="179"/>
      <c r="AA571" s="179"/>
    </row>
    <row r="572" spans="1:27">
      <c r="A572" s="181">
        <f ca="1">IFERROR(__xludf.DUMMYFUNCTION("IFS(B572="""","""",ISDATE(B572)=TRUE,B572,ISDATE(B572)=FALSE,TO_DATE(DATEVALUE(regexextract(B572,""\d+/\d+/\d+""))))"),44791)</f>
        <v>44791</v>
      </c>
      <c r="B572" s="182" t="s">
        <v>598</v>
      </c>
      <c r="C572" s="183" t="s">
        <v>3277</v>
      </c>
      <c r="D572" s="184">
        <v>3</v>
      </c>
      <c r="E572" s="184" t="s">
        <v>3280</v>
      </c>
      <c r="F572" s="183" t="s">
        <v>5</v>
      </c>
      <c r="G572" s="183" t="s">
        <v>447</v>
      </c>
      <c r="H572" s="184" t="s">
        <v>10879</v>
      </c>
      <c r="I572" s="184">
        <v>3</v>
      </c>
      <c r="J572" s="183" t="s">
        <v>543</v>
      </c>
      <c r="K572" s="184" t="s">
        <v>10880</v>
      </c>
      <c r="L572" s="184">
        <v>3</v>
      </c>
      <c r="M572" s="183"/>
      <c r="N572" s="187"/>
      <c r="O572" s="183" t="s">
        <v>452</v>
      </c>
      <c r="P572" s="183" t="s">
        <v>452</v>
      </c>
      <c r="Q572" s="184"/>
      <c r="R572" s="184" t="s">
        <v>24</v>
      </c>
      <c r="S572" s="184"/>
      <c r="T572" s="184"/>
      <c r="U572" s="184"/>
      <c r="V572" s="184"/>
      <c r="W572" s="184"/>
      <c r="X572" s="179"/>
      <c r="Y572" s="179"/>
      <c r="Z572" s="179"/>
      <c r="AA572" s="179"/>
    </row>
    <row r="573" spans="1:27">
      <c r="A573" s="181">
        <f ca="1">IFERROR(__xludf.DUMMYFUNCTION("IFS(B573="""","""",ISDATE(B573)=TRUE,B573,ISDATE(B573)=FALSE,TO_DATE(DATEVALUE(regexextract(B573,""\d+/\d+/\d+""))))"),44789)</f>
        <v>44789</v>
      </c>
      <c r="B573" s="182" t="s">
        <v>6450</v>
      </c>
      <c r="C573" s="183" t="s">
        <v>4189</v>
      </c>
      <c r="D573" s="183">
        <v>3.75</v>
      </c>
      <c r="E573" s="183" t="s">
        <v>4192</v>
      </c>
      <c r="F573" s="183" t="s">
        <v>4</v>
      </c>
      <c r="G573" s="183" t="s">
        <v>602</v>
      </c>
      <c r="H573" s="183" t="s">
        <v>4193</v>
      </c>
      <c r="I573" s="183">
        <v>4</v>
      </c>
      <c r="J573" s="183" t="s">
        <v>1054</v>
      </c>
      <c r="K573" s="183" t="s">
        <v>4194</v>
      </c>
      <c r="L573" s="183">
        <v>3.5</v>
      </c>
      <c r="M573" s="183" t="s">
        <v>478</v>
      </c>
      <c r="N573" s="187" t="s">
        <v>3870</v>
      </c>
      <c r="O573" s="183" t="s">
        <v>452</v>
      </c>
      <c r="P573" s="183" t="s">
        <v>4195</v>
      </c>
      <c r="Q573" s="183"/>
      <c r="R573" s="183" t="s">
        <v>24</v>
      </c>
      <c r="S573" s="184" t="s">
        <v>4196</v>
      </c>
      <c r="T573" s="184"/>
      <c r="U573" s="184"/>
      <c r="V573" s="184"/>
      <c r="W573" s="184"/>
      <c r="X573" s="179"/>
      <c r="Y573" s="179"/>
      <c r="Z573" s="179"/>
      <c r="AA573" s="179"/>
    </row>
    <row r="574" spans="1:27">
      <c r="A574" s="181">
        <f ca="1">IFERROR(__xludf.DUMMYFUNCTION("IFS(B574="""","""",ISDATE(B574)=TRUE,B574,ISDATE(B574)=FALSE,TO_DATE(DATEVALUE(regexextract(B574,""\d+/\d+/\d+""))))"),44791)</f>
        <v>44791</v>
      </c>
      <c r="B574" s="182" t="s">
        <v>598</v>
      </c>
      <c r="C574" s="183" t="s">
        <v>116</v>
      </c>
      <c r="D574" s="183">
        <v>4</v>
      </c>
      <c r="E574" s="183" t="s">
        <v>1399</v>
      </c>
      <c r="F574" s="183" t="s">
        <v>4</v>
      </c>
      <c r="G574" s="183" t="s">
        <v>447</v>
      </c>
      <c r="H574" s="183" t="s">
        <v>10881</v>
      </c>
      <c r="I574" s="183">
        <v>4</v>
      </c>
      <c r="J574" s="183" t="s">
        <v>449</v>
      </c>
      <c r="K574" s="183" t="s">
        <v>10882</v>
      </c>
      <c r="L574" s="183">
        <v>4</v>
      </c>
      <c r="M574" s="184" t="s">
        <v>451</v>
      </c>
      <c r="N574" s="188">
        <v>5000000</v>
      </c>
      <c r="O574" s="183" t="s">
        <v>452</v>
      </c>
      <c r="P574" s="183" t="s">
        <v>1402</v>
      </c>
      <c r="Q574" s="184"/>
      <c r="R574" s="183" t="s">
        <v>18</v>
      </c>
      <c r="S574" s="184"/>
      <c r="T574" s="184"/>
      <c r="U574" s="184"/>
      <c r="V574" s="184"/>
      <c r="W574" s="184"/>
      <c r="X574" s="179"/>
      <c r="Y574" s="179"/>
      <c r="Z574" s="179"/>
      <c r="AA574" s="179"/>
    </row>
    <row r="575" spans="1:27">
      <c r="A575" s="181">
        <f ca="1">IFERROR(__xludf.DUMMYFUNCTION("IFS(B575="""","""",ISDATE(B575)=TRUE,B575,ISDATE(B575)=FALSE,TO_DATE(DATEVALUE(regexextract(B575,""\d+/\d+/\d+""))))"),44791)</f>
        <v>44791</v>
      </c>
      <c r="B575" s="182" t="s">
        <v>10182</v>
      </c>
      <c r="C575" s="183" t="s">
        <v>197</v>
      </c>
      <c r="D575" s="184">
        <v>4.13</v>
      </c>
      <c r="E575" s="183" t="s">
        <v>1245</v>
      </c>
      <c r="F575" s="183" t="s">
        <v>4</v>
      </c>
      <c r="G575" s="183" t="s">
        <v>602</v>
      </c>
      <c r="H575" s="184" t="s">
        <v>1246</v>
      </c>
      <c r="I575" s="184">
        <v>4.25</v>
      </c>
      <c r="J575" s="183" t="s">
        <v>1045</v>
      </c>
      <c r="K575" s="184" t="s">
        <v>1247</v>
      </c>
      <c r="L575" s="184">
        <v>4</v>
      </c>
      <c r="M575" s="184" t="s">
        <v>478</v>
      </c>
      <c r="N575" s="188" t="s">
        <v>1248</v>
      </c>
      <c r="O575" s="183" t="s">
        <v>452</v>
      </c>
      <c r="P575" s="183" t="s">
        <v>452</v>
      </c>
      <c r="Q575" s="184" t="s">
        <v>460</v>
      </c>
      <c r="R575" s="184" t="s">
        <v>18</v>
      </c>
      <c r="S575" s="184"/>
      <c r="T575" s="184"/>
      <c r="U575" s="184"/>
      <c r="V575" s="184"/>
      <c r="W575" s="184"/>
      <c r="X575" s="179"/>
      <c r="Y575" s="179"/>
      <c r="Z575" s="179"/>
      <c r="AA575" s="179"/>
    </row>
    <row r="576" spans="1:27">
      <c r="A576" s="181">
        <f ca="1">IFERROR(__xludf.DUMMYFUNCTION("IFS(B576="""","""",ISDATE(B576)=TRUE,B576,ISDATE(B576)=FALSE,TO_DATE(DATEVALUE(regexextract(B576,""\d+/\d+/\d+""))))"),44791)</f>
        <v>44791</v>
      </c>
      <c r="B576" s="182" t="s">
        <v>10182</v>
      </c>
      <c r="C576" s="183" t="s">
        <v>8133</v>
      </c>
      <c r="D576" s="183">
        <v>1</v>
      </c>
      <c r="E576" s="183" t="s">
        <v>10883</v>
      </c>
      <c r="F576" s="183" t="s">
        <v>4</v>
      </c>
      <c r="G576" s="183" t="s">
        <v>602</v>
      </c>
      <c r="H576" s="183" t="s">
        <v>8137</v>
      </c>
      <c r="I576" s="183">
        <v>1</v>
      </c>
      <c r="J576" s="183" t="s">
        <v>1045</v>
      </c>
      <c r="K576" s="183" t="s">
        <v>8138</v>
      </c>
      <c r="L576" s="183">
        <v>1</v>
      </c>
      <c r="M576" s="183"/>
      <c r="N576" s="187"/>
      <c r="O576" s="183" t="s">
        <v>452</v>
      </c>
      <c r="P576" s="183" t="s">
        <v>452</v>
      </c>
      <c r="Q576" s="184" t="s">
        <v>8139</v>
      </c>
      <c r="R576" s="183" t="s">
        <v>24</v>
      </c>
      <c r="S576" s="184"/>
      <c r="T576" s="184"/>
      <c r="U576" s="184"/>
      <c r="V576" s="184"/>
      <c r="W576" s="184"/>
      <c r="X576" s="179"/>
      <c r="Y576" s="179"/>
      <c r="Z576" s="179"/>
      <c r="AA576" s="179"/>
    </row>
    <row r="577" spans="1:27">
      <c r="A577" s="181">
        <f ca="1">IFERROR(__xludf.DUMMYFUNCTION("IFS(B577="""","""",ISDATE(B577)=TRUE,B577,ISDATE(B577)=FALSE,TO_DATE(DATEVALUE(regexextract(B577,""\d+/\d+/\d+""))))"),44789)</f>
        <v>44789</v>
      </c>
      <c r="B577" s="189" t="s">
        <v>6450</v>
      </c>
      <c r="C577" s="183" t="s">
        <v>2948</v>
      </c>
      <c r="D577" s="184">
        <v>3.25</v>
      </c>
      <c r="E577" s="183" t="s">
        <v>2951</v>
      </c>
      <c r="F577" s="183" t="s">
        <v>5</v>
      </c>
      <c r="G577" s="183" t="s">
        <v>447</v>
      </c>
      <c r="H577" s="184" t="s">
        <v>10884</v>
      </c>
      <c r="I577" s="184">
        <v>3.5</v>
      </c>
      <c r="J577" s="183" t="s">
        <v>543</v>
      </c>
      <c r="K577" s="183" t="s">
        <v>10885</v>
      </c>
      <c r="L577" s="183">
        <v>3</v>
      </c>
      <c r="M577" s="183"/>
      <c r="N577" s="187"/>
      <c r="O577" s="183" t="s">
        <v>452</v>
      </c>
      <c r="P577" s="183" t="s">
        <v>2954</v>
      </c>
      <c r="Q577" s="184"/>
      <c r="R577" s="184" t="s">
        <v>24</v>
      </c>
      <c r="S577" s="184"/>
      <c r="T577" s="184"/>
      <c r="U577" s="184"/>
      <c r="V577" s="184"/>
      <c r="W577" s="184"/>
      <c r="X577" s="179"/>
      <c r="Y577" s="179"/>
      <c r="Z577" s="179"/>
      <c r="AA577" s="179"/>
    </row>
    <row r="578" spans="1:27">
      <c r="A578" s="181">
        <f ca="1">IFERROR(__xludf.DUMMYFUNCTION("IFS(B578="""","""",ISDATE(B578)=TRUE,B578,ISDATE(B578)=FALSE,TO_DATE(DATEVALUE(regexextract(B578,""\d+/\d+/\d+""))))"),44784)</f>
        <v>44784</v>
      </c>
      <c r="B578" s="182" t="s">
        <v>10173</v>
      </c>
      <c r="C578" s="183" t="s">
        <v>4255</v>
      </c>
      <c r="D578" s="183">
        <v>3.75</v>
      </c>
      <c r="E578" s="183" t="s">
        <v>10886</v>
      </c>
      <c r="F578" s="183" t="s">
        <v>4</v>
      </c>
      <c r="G578" s="183" t="s">
        <v>602</v>
      </c>
      <c r="H578" s="183" t="s">
        <v>10887</v>
      </c>
      <c r="I578" s="183">
        <v>4</v>
      </c>
      <c r="J578" s="183" t="s">
        <v>476</v>
      </c>
      <c r="K578" s="183" t="s">
        <v>10888</v>
      </c>
      <c r="L578" s="183">
        <v>3.5</v>
      </c>
      <c r="M578" s="183" t="s">
        <v>784</v>
      </c>
      <c r="N578" s="185">
        <v>600000</v>
      </c>
      <c r="O578" s="183" t="s">
        <v>465</v>
      </c>
      <c r="P578" s="183" t="s">
        <v>575</v>
      </c>
      <c r="Q578" s="184" t="s">
        <v>4261</v>
      </c>
      <c r="R578" s="183" t="s">
        <v>24</v>
      </c>
      <c r="S578" s="183"/>
      <c r="T578" s="184"/>
      <c r="U578" s="184"/>
      <c r="V578" s="184"/>
      <c r="W578" s="184"/>
      <c r="X578" s="179"/>
      <c r="Y578" s="179"/>
      <c r="Z578" s="179"/>
      <c r="AA578" s="179"/>
    </row>
    <row r="579" spans="1:27">
      <c r="A579" s="181">
        <f ca="1">IFERROR(__xludf.DUMMYFUNCTION("IFS(B579="""","""",ISDATE(B579)=TRUE,B579,ISDATE(B579)=FALSE,TO_DATE(DATEVALUE(regexextract(B579,""\d+/\d+/\d+""))))"),44791)</f>
        <v>44791</v>
      </c>
      <c r="B579" s="182" t="s">
        <v>598</v>
      </c>
      <c r="C579" s="183" t="s">
        <v>5495</v>
      </c>
      <c r="D579" s="183">
        <v>3</v>
      </c>
      <c r="E579" s="183" t="s">
        <v>5498</v>
      </c>
      <c r="F579" s="183" t="s">
        <v>4</v>
      </c>
      <c r="G579" s="183" t="s">
        <v>602</v>
      </c>
      <c r="H579" s="183" t="s">
        <v>5499</v>
      </c>
      <c r="I579" s="183">
        <v>3</v>
      </c>
      <c r="J579" s="183" t="s">
        <v>604</v>
      </c>
      <c r="K579" s="183" t="s">
        <v>10889</v>
      </c>
      <c r="L579" s="183">
        <v>3</v>
      </c>
      <c r="M579" s="183"/>
      <c r="N579" s="187"/>
      <c r="O579" s="183" t="s">
        <v>452</v>
      </c>
      <c r="P579" s="183" t="s">
        <v>575</v>
      </c>
      <c r="Q579" s="183"/>
      <c r="R579" s="183" t="s">
        <v>24</v>
      </c>
      <c r="S579" s="184"/>
      <c r="T579" s="184"/>
      <c r="U579" s="184"/>
      <c r="V579" s="184"/>
      <c r="W579" s="184"/>
      <c r="X579" s="179"/>
      <c r="Y579" s="179"/>
      <c r="Z579" s="179"/>
      <c r="AA579" s="179"/>
    </row>
    <row r="580" spans="1:27">
      <c r="A580" s="181">
        <f ca="1">IFERROR(__xludf.DUMMYFUNCTION("IFS(B580="""","""",ISDATE(B580)=TRUE,B580,ISDATE(B580)=FALSE,TO_DATE(DATEVALUE(regexextract(B580,""\d+/\d+/\d+""))))"),44791)</f>
        <v>44791</v>
      </c>
      <c r="B580" s="182" t="s">
        <v>598</v>
      </c>
      <c r="C580" s="183" t="s">
        <v>10890</v>
      </c>
      <c r="D580" s="183">
        <v>1.5</v>
      </c>
      <c r="E580" s="183" t="s">
        <v>7806</v>
      </c>
      <c r="F580" s="183" t="s">
        <v>4</v>
      </c>
      <c r="G580" s="183" t="s">
        <v>602</v>
      </c>
      <c r="H580" s="183" t="s">
        <v>7807</v>
      </c>
      <c r="I580" s="183">
        <v>1</v>
      </c>
      <c r="J580" s="183" t="s">
        <v>1073</v>
      </c>
      <c r="K580" s="183"/>
      <c r="L580" s="183">
        <v>2</v>
      </c>
      <c r="M580" s="184" t="s">
        <v>451</v>
      </c>
      <c r="N580" s="186" t="s">
        <v>7808</v>
      </c>
      <c r="O580" s="183" t="s">
        <v>452</v>
      </c>
      <c r="P580" s="183" t="s">
        <v>452</v>
      </c>
      <c r="Q580" s="184"/>
      <c r="R580" s="184" t="s">
        <v>24</v>
      </c>
      <c r="S580" s="184"/>
      <c r="T580" s="184"/>
      <c r="U580" s="184"/>
      <c r="V580" s="184"/>
      <c r="W580" s="184"/>
      <c r="X580" s="179"/>
      <c r="Y580" s="179"/>
      <c r="Z580" s="179"/>
      <c r="AA580" s="179"/>
    </row>
    <row r="581" spans="1:27">
      <c r="A581" s="181">
        <f ca="1">IFERROR(__xludf.DUMMYFUNCTION("IFS(B581="""","""",ISDATE(B581)=TRUE,B581,ISDATE(B581)=FALSE,TO_DATE(DATEVALUE(regexextract(B581,""\d+/\d+/\d+""))))"),44791)</f>
        <v>44791</v>
      </c>
      <c r="B581" s="182" t="s">
        <v>10182</v>
      </c>
      <c r="C581" s="183" t="s">
        <v>9934</v>
      </c>
      <c r="D581" s="183">
        <v>3.25</v>
      </c>
      <c r="E581" s="183" t="s">
        <v>9937</v>
      </c>
      <c r="F581" s="183" t="s">
        <v>3</v>
      </c>
      <c r="G581" s="183" t="s">
        <v>460</v>
      </c>
      <c r="H581" s="183" t="s">
        <v>9938</v>
      </c>
      <c r="I581" s="183">
        <v>3</v>
      </c>
      <c r="J581" s="183" t="s">
        <v>941</v>
      </c>
      <c r="K581" s="183" t="s">
        <v>9939</v>
      </c>
      <c r="L581" s="183">
        <v>3.5</v>
      </c>
      <c r="M581" s="183"/>
      <c r="N581" s="187"/>
      <c r="O581" s="183" t="s">
        <v>454</v>
      </c>
      <c r="P581" s="183" t="s">
        <v>10891</v>
      </c>
      <c r="Q581" s="184"/>
      <c r="R581" s="183" t="s">
        <v>23</v>
      </c>
      <c r="S581" s="184" t="s">
        <v>9941</v>
      </c>
      <c r="T581" s="184"/>
      <c r="U581" s="184"/>
      <c r="V581" s="184"/>
      <c r="W581" s="184"/>
      <c r="X581" s="179"/>
      <c r="Y581" s="179"/>
      <c r="Z581" s="179"/>
      <c r="AA581" s="179"/>
    </row>
    <row r="582" spans="1:27">
      <c r="A582" s="181">
        <f ca="1">IFERROR(__xludf.DUMMYFUNCTION("IFS(B582="""","""",ISDATE(B582)=TRUE,B582,ISDATE(B582)=FALSE,TO_DATE(DATEVALUE(regexextract(B582,""\d+/\d+/\d+""))))"),44791)</f>
        <v>44791</v>
      </c>
      <c r="B582" s="182" t="s">
        <v>10182</v>
      </c>
      <c r="C582" s="183" t="s">
        <v>5262</v>
      </c>
      <c r="D582" s="183">
        <v>3.25</v>
      </c>
      <c r="E582" s="183" t="s">
        <v>5265</v>
      </c>
      <c r="F582" s="183" t="s">
        <v>4</v>
      </c>
      <c r="G582" s="183" t="s">
        <v>602</v>
      </c>
      <c r="H582" s="183" t="s">
        <v>5266</v>
      </c>
      <c r="I582" s="183">
        <v>4</v>
      </c>
      <c r="J582" s="183" t="s">
        <v>476</v>
      </c>
      <c r="K582" s="183" t="s">
        <v>10892</v>
      </c>
      <c r="L582" s="183">
        <v>2.5</v>
      </c>
      <c r="M582" s="184" t="s">
        <v>973</v>
      </c>
      <c r="N582" s="188">
        <v>50000000</v>
      </c>
      <c r="O582" s="183" t="s">
        <v>452</v>
      </c>
      <c r="P582" s="183" t="s">
        <v>452</v>
      </c>
      <c r="Q582" s="184"/>
      <c r="R582" s="183" t="s">
        <v>24</v>
      </c>
      <c r="S582" s="184" t="s">
        <v>5268</v>
      </c>
      <c r="T582" s="184"/>
      <c r="U582" s="184"/>
      <c r="V582" s="184"/>
      <c r="W582" s="184"/>
      <c r="X582" s="179"/>
      <c r="Y582" s="179"/>
      <c r="Z582" s="179"/>
      <c r="AA582" s="179"/>
    </row>
    <row r="583" spans="1:27">
      <c r="A583" s="181">
        <f ca="1">IFERROR(__xludf.DUMMYFUNCTION("IFS(B583="""","""",ISDATE(B583)=TRUE,B583,ISDATE(B583)=FALSE,TO_DATE(DATEVALUE(regexextract(B583,""\d+/\d+/\d+""))))"),44796)</f>
        <v>44796</v>
      </c>
      <c r="B583" s="182" t="s">
        <v>529</v>
      </c>
      <c r="C583" s="183" t="s">
        <v>6441</v>
      </c>
      <c r="D583" s="183">
        <v>2.5</v>
      </c>
      <c r="E583" s="183" t="s">
        <v>6444</v>
      </c>
      <c r="F583" s="183" t="s">
        <v>4</v>
      </c>
      <c r="G583" s="183" t="s">
        <v>602</v>
      </c>
      <c r="H583" s="184" t="s">
        <v>6445</v>
      </c>
      <c r="I583" s="183">
        <v>2</v>
      </c>
      <c r="J583" s="183" t="s">
        <v>1371</v>
      </c>
      <c r="K583" s="183" t="s">
        <v>6446</v>
      </c>
      <c r="L583" s="183">
        <v>3</v>
      </c>
      <c r="M583" s="184"/>
      <c r="N583" s="186"/>
      <c r="O583" s="183" t="s">
        <v>465</v>
      </c>
      <c r="P583" s="183" t="s">
        <v>1119</v>
      </c>
      <c r="Q583" s="183" t="s">
        <v>6447</v>
      </c>
      <c r="R583" s="183" t="s">
        <v>24</v>
      </c>
      <c r="S583" s="184"/>
      <c r="T583" s="184"/>
      <c r="U583" s="184"/>
      <c r="V583" s="184"/>
      <c r="W583" s="184"/>
      <c r="X583" s="179"/>
      <c r="Y583" s="179"/>
      <c r="Z583" s="179"/>
      <c r="AA583" s="179"/>
    </row>
    <row r="584" spans="1:27">
      <c r="A584" s="181">
        <f ca="1">IFERROR(__xludf.DUMMYFUNCTION("IFS(B584="""","""",ISDATE(B584)=TRUE,B584,ISDATE(B584)=FALSE,TO_DATE(DATEVALUE(regexextract(B584,""\d+/\d+/\d+""))))"),44789)</f>
        <v>44789</v>
      </c>
      <c r="B584" s="182" t="s">
        <v>6450</v>
      </c>
      <c r="C584" s="183" t="s">
        <v>4839</v>
      </c>
      <c r="D584" s="184">
        <v>3.5</v>
      </c>
      <c r="E584" s="183" t="s">
        <v>4842</v>
      </c>
      <c r="F584" s="183" t="s">
        <v>4</v>
      </c>
      <c r="G584" s="183" t="s">
        <v>602</v>
      </c>
      <c r="H584" s="184" t="s">
        <v>4843</v>
      </c>
      <c r="I584" s="184">
        <v>4</v>
      </c>
      <c r="J584" s="183" t="s">
        <v>476</v>
      </c>
      <c r="K584" s="184" t="s">
        <v>10893</v>
      </c>
      <c r="L584" s="184">
        <v>3</v>
      </c>
      <c r="M584" s="184" t="s">
        <v>478</v>
      </c>
      <c r="N584" s="186">
        <v>5000000</v>
      </c>
      <c r="O584" s="183" t="s">
        <v>452</v>
      </c>
      <c r="P584" s="183" t="s">
        <v>4845</v>
      </c>
      <c r="Q584" s="183"/>
      <c r="R584" s="184" t="s">
        <v>24</v>
      </c>
      <c r="S584" s="184"/>
      <c r="T584" s="184"/>
      <c r="U584" s="184"/>
      <c r="V584" s="184"/>
      <c r="W584" s="184"/>
      <c r="X584" s="179"/>
      <c r="Y584" s="179"/>
      <c r="Z584" s="179"/>
      <c r="AA584" s="179"/>
    </row>
    <row r="585" spans="1:27">
      <c r="A585" s="181">
        <f ca="1">IFERROR(__xludf.DUMMYFUNCTION("IFS(B585="""","""",ISDATE(B585)=TRUE,B585,ISDATE(B585)=FALSE,TO_DATE(DATEVALUE(regexextract(B585,""\d+/\d+/\d+""))))"),44789)</f>
        <v>44789</v>
      </c>
      <c r="B585" s="182" t="s">
        <v>6450</v>
      </c>
      <c r="C585" s="183" t="s">
        <v>10894</v>
      </c>
      <c r="D585" s="183">
        <v>1.5</v>
      </c>
      <c r="E585" s="183" t="s">
        <v>8053</v>
      </c>
      <c r="F585" s="183" t="s">
        <v>4</v>
      </c>
      <c r="G585" s="183" t="s">
        <v>602</v>
      </c>
      <c r="H585" s="183" t="s">
        <v>8054</v>
      </c>
      <c r="I585" s="183">
        <v>2</v>
      </c>
      <c r="J585" s="183" t="s">
        <v>476</v>
      </c>
      <c r="K585" s="183" t="s">
        <v>10895</v>
      </c>
      <c r="L585" s="183">
        <v>1</v>
      </c>
      <c r="M585" s="184"/>
      <c r="N585" s="188"/>
      <c r="O585" s="183" t="s">
        <v>454</v>
      </c>
      <c r="P585" s="183" t="s">
        <v>452</v>
      </c>
      <c r="Q585" s="183"/>
      <c r="R585" s="183" t="s">
        <v>24</v>
      </c>
      <c r="S585" s="184"/>
      <c r="T585" s="184"/>
      <c r="U585" s="184"/>
      <c r="V585" s="184"/>
      <c r="W585" s="184"/>
      <c r="X585" s="179"/>
      <c r="Y585" s="179"/>
      <c r="Z585" s="179"/>
      <c r="AA585" s="179"/>
    </row>
    <row r="586" spans="1:27">
      <c r="A586" s="181">
        <f ca="1">IFERROR(__xludf.DUMMYFUNCTION("IFS(B586="""","""",ISDATE(B586)=TRUE,B586,ISDATE(B586)=FALSE,TO_DATE(DATEVALUE(regexextract(B586,""\d+/\d+/\d+""))))"),44789)</f>
        <v>44789</v>
      </c>
      <c r="B586" s="182" t="s">
        <v>6450</v>
      </c>
      <c r="C586" s="183" t="s">
        <v>295</v>
      </c>
      <c r="D586" s="184">
        <v>3.63</v>
      </c>
      <c r="E586" s="183" t="s">
        <v>4502</v>
      </c>
      <c r="F586" s="183" t="s">
        <v>4</v>
      </c>
      <c r="G586" s="183" t="s">
        <v>727</v>
      </c>
      <c r="H586" s="184" t="s">
        <v>10896</v>
      </c>
      <c r="I586" s="184">
        <v>3.75</v>
      </c>
      <c r="J586" s="183" t="s">
        <v>476</v>
      </c>
      <c r="K586" s="184" t="s">
        <v>10897</v>
      </c>
      <c r="L586" s="184">
        <v>3.5</v>
      </c>
      <c r="M586" s="183"/>
      <c r="N586" s="187"/>
      <c r="O586" s="183" t="s">
        <v>452</v>
      </c>
      <c r="P586" s="183" t="s">
        <v>10898</v>
      </c>
      <c r="Q586" s="184"/>
      <c r="R586" s="184" t="s">
        <v>18</v>
      </c>
      <c r="S586" s="184" t="s">
        <v>4506</v>
      </c>
      <c r="T586" s="184"/>
      <c r="U586" s="184"/>
      <c r="V586" s="184"/>
      <c r="W586" s="184"/>
      <c r="X586" s="179"/>
      <c r="Y586" s="179"/>
      <c r="Z586" s="179"/>
      <c r="AA586" s="179"/>
    </row>
    <row r="587" spans="1:27">
      <c r="A587" s="181">
        <f ca="1">IFERROR(__xludf.DUMMYFUNCTION("IFS(B587="""","""",ISDATE(B587)=TRUE,B587,ISDATE(B587)=FALSE,TO_DATE(DATEVALUE(regexextract(B587,""\d+/\d+/\d+""))))"),44789)</f>
        <v>44789</v>
      </c>
      <c r="B587" s="182" t="s">
        <v>6450</v>
      </c>
      <c r="C587" s="183" t="s">
        <v>3387</v>
      </c>
      <c r="D587" s="184">
        <v>3</v>
      </c>
      <c r="E587" s="183" t="s">
        <v>3390</v>
      </c>
      <c r="F587" s="183" t="s">
        <v>5</v>
      </c>
      <c r="G587" s="183" t="s">
        <v>447</v>
      </c>
      <c r="H587" s="184"/>
      <c r="I587" s="184">
        <v>3</v>
      </c>
      <c r="J587" s="183" t="s">
        <v>543</v>
      </c>
      <c r="K587" s="183" t="s">
        <v>10899</v>
      </c>
      <c r="L587" s="183">
        <v>3</v>
      </c>
      <c r="M587" s="184"/>
      <c r="N587" s="195"/>
      <c r="O587" s="183" t="s">
        <v>452</v>
      </c>
      <c r="P587" s="183" t="s">
        <v>10900</v>
      </c>
      <c r="Q587" s="183"/>
      <c r="R587" s="184" t="s">
        <v>24</v>
      </c>
      <c r="S587" s="184"/>
      <c r="T587" s="184"/>
      <c r="U587" s="184"/>
      <c r="V587" s="184"/>
      <c r="W587" s="184"/>
      <c r="X587" s="179"/>
      <c r="Y587" s="179"/>
      <c r="Z587" s="179"/>
      <c r="AA587" s="179"/>
    </row>
    <row r="588" spans="1:27">
      <c r="A588" s="181">
        <f ca="1">IFERROR(__xludf.DUMMYFUNCTION("IFS(B588="""","""",ISDATE(B588)=TRUE,B588,ISDATE(B588)=FALSE,TO_DATE(DATEVALUE(regexextract(B588,""\d+/\d+/\d+""))))"),44789)</f>
        <v>44789</v>
      </c>
      <c r="B588" s="182" t="s">
        <v>6450</v>
      </c>
      <c r="C588" s="183" t="s">
        <v>264</v>
      </c>
      <c r="D588" s="184">
        <v>4</v>
      </c>
      <c r="E588" s="184" t="s">
        <v>4116</v>
      </c>
      <c r="F588" s="183" t="s">
        <v>4</v>
      </c>
      <c r="G588" s="183" t="s">
        <v>602</v>
      </c>
      <c r="H588" s="184" t="s">
        <v>4117</v>
      </c>
      <c r="I588" s="184">
        <v>4</v>
      </c>
      <c r="J588" s="183" t="s">
        <v>476</v>
      </c>
      <c r="K588" s="183" t="s">
        <v>10901</v>
      </c>
      <c r="L588" s="183">
        <v>4</v>
      </c>
      <c r="M588" s="183" t="s">
        <v>451</v>
      </c>
      <c r="N588" s="187">
        <v>700000</v>
      </c>
      <c r="O588" s="183" t="s">
        <v>452</v>
      </c>
      <c r="P588" s="183" t="s">
        <v>4119</v>
      </c>
      <c r="Q588" s="183" t="s">
        <v>4120</v>
      </c>
      <c r="R588" s="184" t="s">
        <v>18</v>
      </c>
      <c r="S588" s="184" t="s">
        <v>4121</v>
      </c>
      <c r="T588" s="184"/>
      <c r="U588" s="184"/>
      <c r="V588" s="184"/>
      <c r="W588" s="184"/>
      <c r="X588" s="179"/>
      <c r="Y588" s="179"/>
      <c r="Z588" s="179"/>
      <c r="AA588" s="179"/>
    </row>
    <row r="589" spans="1:27">
      <c r="A589" s="181">
        <f ca="1">IFERROR(__xludf.DUMMYFUNCTION("IFS(B589="""","""",ISDATE(B589)=TRUE,B589,ISDATE(B589)=FALSE,TO_DATE(DATEVALUE(regexextract(B589,""\d+/\d+/\d+""))))"),44789)</f>
        <v>44789</v>
      </c>
      <c r="B589" s="182" t="s">
        <v>6450</v>
      </c>
      <c r="C589" s="183" t="s">
        <v>7910</v>
      </c>
      <c r="D589" s="183">
        <v>1.5</v>
      </c>
      <c r="E589" s="183" t="s">
        <v>7913</v>
      </c>
      <c r="F589" s="183" t="s">
        <v>4</v>
      </c>
      <c r="G589" s="183" t="s">
        <v>602</v>
      </c>
      <c r="H589" s="183"/>
      <c r="I589" s="183">
        <v>2</v>
      </c>
      <c r="J589" s="183" t="s">
        <v>476</v>
      </c>
      <c r="K589" s="183" t="s">
        <v>10902</v>
      </c>
      <c r="L589" s="183">
        <v>1</v>
      </c>
      <c r="M589" s="183"/>
      <c r="N589" s="187"/>
      <c r="O589" s="183" t="s">
        <v>452</v>
      </c>
      <c r="P589" s="183" t="s">
        <v>10903</v>
      </c>
      <c r="Q589" s="184"/>
      <c r="R589" s="183" t="s">
        <v>24</v>
      </c>
      <c r="S589" s="184"/>
      <c r="T589" s="184"/>
      <c r="U589" s="184"/>
      <c r="V589" s="184"/>
      <c r="W589" s="184"/>
      <c r="X589" s="179"/>
      <c r="Y589" s="179"/>
      <c r="Z589" s="179"/>
      <c r="AA589" s="179"/>
    </row>
    <row r="590" spans="1:27">
      <c r="A590" s="181">
        <f ca="1">IFERROR(__xludf.DUMMYFUNCTION("IFS(B590="""","""",ISDATE(B590)=TRUE,B590,ISDATE(B590)=FALSE,TO_DATE(DATEVALUE(regexextract(B590,""\d+/\d+/\d+""))))"),44789)</f>
        <v>44789</v>
      </c>
      <c r="B590" s="182" t="s">
        <v>6450</v>
      </c>
      <c r="C590" s="183" t="s">
        <v>6581</v>
      </c>
      <c r="D590" s="183">
        <v>2.5</v>
      </c>
      <c r="E590" s="183" t="s">
        <v>6584</v>
      </c>
      <c r="F590" s="183" t="s">
        <v>4</v>
      </c>
      <c r="G590" s="183" t="s">
        <v>602</v>
      </c>
      <c r="H590" s="184" t="s">
        <v>6585</v>
      </c>
      <c r="I590" s="183">
        <v>2.5</v>
      </c>
      <c r="J590" s="183" t="s">
        <v>1045</v>
      </c>
      <c r="K590" s="183" t="s">
        <v>6586</v>
      </c>
      <c r="L590" s="183">
        <v>2.5</v>
      </c>
      <c r="M590" s="183"/>
      <c r="N590" s="187"/>
      <c r="O590" s="183" t="s">
        <v>452</v>
      </c>
      <c r="P590" s="183" t="s">
        <v>10904</v>
      </c>
      <c r="Q590" s="183"/>
      <c r="R590" s="183" t="s">
        <v>24</v>
      </c>
      <c r="S590" s="183"/>
      <c r="T590" s="184"/>
      <c r="U590" s="184"/>
      <c r="V590" s="184"/>
      <c r="W590" s="184"/>
      <c r="X590" s="179"/>
      <c r="Y590" s="179"/>
      <c r="Z590" s="179"/>
      <c r="AA590" s="179"/>
    </row>
    <row r="591" spans="1:27">
      <c r="A591" s="181">
        <f ca="1">IFERROR(__xludf.DUMMYFUNCTION("IFS(B591="""","""",ISDATE(B591)=TRUE,B591,ISDATE(B591)=FALSE,TO_DATE(DATEVALUE(regexextract(B591,""\d+/\d+/\d+""))))"),44789)</f>
        <v>44789</v>
      </c>
      <c r="B591" s="182" t="s">
        <v>6450</v>
      </c>
      <c r="C591" s="183" t="s">
        <v>8831</v>
      </c>
      <c r="D591" s="184">
        <v>2</v>
      </c>
      <c r="E591" s="183" t="s">
        <v>8834</v>
      </c>
      <c r="F591" s="183" t="s">
        <v>3</v>
      </c>
      <c r="G591" s="183" t="s">
        <v>460</v>
      </c>
      <c r="H591" s="183" t="s">
        <v>8835</v>
      </c>
      <c r="I591" s="183">
        <v>2</v>
      </c>
      <c r="J591" s="183" t="s">
        <v>941</v>
      </c>
      <c r="K591" s="184" t="s">
        <v>8836</v>
      </c>
      <c r="L591" s="184">
        <v>2</v>
      </c>
      <c r="M591" s="183" t="s">
        <v>451</v>
      </c>
      <c r="N591" s="185">
        <v>3000000</v>
      </c>
      <c r="O591" s="183" t="s">
        <v>452</v>
      </c>
      <c r="P591" s="183" t="s">
        <v>8837</v>
      </c>
      <c r="Q591" s="184" t="s">
        <v>8838</v>
      </c>
      <c r="R591" s="184" t="s">
        <v>24</v>
      </c>
      <c r="S591" s="184" t="s">
        <v>8839</v>
      </c>
      <c r="T591" s="184"/>
      <c r="U591" s="184"/>
      <c r="V591" s="184"/>
      <c r="W591" s="184"/>
      <c r="X591" s="179"/>
      <c r="Y591" s="179"/>
      <c r="Z591" s="179"/>
      <c r="AA591" s="179"/>
    </row>
    <row r="592" spans="1:27">
      <c r="A592" s="181">
        <f ca="1">IFERROR(__xludf.DUMMYFUNCTION("IFS(B592="""","""",ISDATE(B592)=TRUE,B592,ISDATE(B592)=FALSE,TO_DATE(DATEVALUE(regexextract(B592,""\d+/\d+/\d+""))))"),44789)</f>
        <v>44789</v>
      </c>
      <c r="B592" s="182" t="s">
        <v>6450</v>
      </c>
      <c r="C592" s="183" t="s">
        <v>9311</v>
      </c>
      <c r="D592" s="183">
        <v>3</v>
      </c>
      <c r="E592" s="183" t="s">
        <v>9314</v>
      </c>
      <c r="F592" s="183" t="s">
        <v>3</v>
      </c>
      <c r="G592" s="183" t="s">
        <v>460</v>
      </c>
      <c r="H592" s="183" t="s">
        <v>9315</v>
      </c>
      <c r="I592" s="183">
        <v>3</v>
      </c>
      <c r="J592" s="183" t="s">
        <v>462</v>
      </c>
      <c r="K592" s="183" t="s">
        <v>9316</v>
      </c>
      <c r="L592" s="183">
        <v>3</v>
      </c>
      <c r="M592" s="184" t="s">
        <v>451</v>
      </c>
      <c r="N592" s="188">
        <v>500000</v>
      </c>
      <c r="O592" s="183" t="s">
        <v>452</v>
      </c>
      <c r="P592" s="183" t="s">
        <v>452</v>
      </c>
      <c r="Q592" s="184"/>
      <c r="R592" s="183" t="s">
        <v>24</v>
      </c>
      <c r="S592" s="184"/>
      <c r="T592" s="184"/>
      <c r="U592" s="184"/>
      <c r="V592" s="184"/>
      <c r="W592" s="184"/>
      <c r="X592" s="179"/>
      <c r="Y592" s="179"/>
      <c r="Z592" s="179"/>
      <c r="AA592" s="179"/>
    </row>
    <row r="593" spans="1:27">
      <c r="A593" s="181">
        <f ca="1">IFERROR(__xludf.DUMMYFUNCTION("IFS(B593="""","""",ISDATE(B593)=TRUE,B593,ISDATE(B593)=FALSE,TO_DATE(DATEVALUE(regexextract(B593,""\d+/\d+/\d+""))))"),44789)</f>
        <v>44789</v>
      </c>
      <c r="B593" s="182" t="s">
        <v>6450</v>
      </c>
      <c r="C593" s="183" t="s">
        <v>64</v>
      </c>
      <c r="D593" s="183">
        <v>5</v>
      </c>
      <c r="E593" s="183" t="s">
        <v>459</v>
      </c>
      <c r="F593" s="183" t="s">
        <v>5</v>
      </c>
      <c r="G593" s="183" t="s">
        <v>460</v>
      </c>
      <c r="H593" s="183" t="s">
        <v>10905</v>
      </c>
      <c r="I593" s="183">
        <v>5</v>
      </c>
      <c r="J593" s="183" t="s">
        <v>462</v>
      </c>
      <c r="K593" s="183" t="s">
        <v>463</v>
      </c>
      <c r="L593" s="183">
        <v>5</v>
      </c>
      <c r="M593" s="183" t="s">
        <v>451</v>
      </c>
      <c r="N593" s="187" t="s">
        <v>464</v>
      </c>
      <c r="O593" s="183" t="s">
        <v>465</v>
      </c>
      <c r="P593" s="183" t="s">
        <v>466</v>
      </c>
      <c r="Q593" s="184" t="s">
        <v>467</v>
      </c>
      <c r="R593" s="183" t="s">
        <v>18</v>
      </c>
      <c r="S593" s="184" t="s">
        <v>468</v>
      </c>
      <c r="T593" s="184"/>
      <c r="U593" s="184"/>
      <c r="V593" s="184"/>
      <c r="W593" s="184"/>
      <c r="X593" s="179"/>
      <c r="Y593" s="179"/>
      <c r="Z593" s="179"/>
      <c r="AA593" s="179"/>
    </row>
    <row r="594" spans="1:27">
      <c r="A594" s="181">
        <f ca="1">IFERROR(__xludf.DUMMYFUNCTION("IFS(B594="""","""",ISDATE(B594)=TRUE,B594,ISDATE(B594)=FALSE,TO_DATE(DATEVALUE(regexextract(B594,""\d+/\d+/\d+""))))"),44789)</f>
        <v>44789</v>
      </c>
      <c r="B594" s="182" t="s">
        <v>6450</v>
      </c>
      <c r="C594" s="183" t="s">
        <v>157</v>
      </c>
      <c r="D594" s="183">
        <v>4</v>
      </c>
      <c r="E594" s="183" t="s">
        <v>1060</v>
      </c>
      <c r="F594" s="183" t="s">
        <v>4</v>
      </c>
      <c r="G594" s="183" t="s">
        <v>602</v>
      </c>
      <c r="H594" s="183" t="s">
        <v>1061</v>
      </c>
      <c r="I594" s="183">
        <v>4</v>
      </c>
      <c r="J594" s="183" t="s">
        <v>1054</v>
      </c>
      <c r="K594" s="183" t="s">
        <v>10906</v>
      </c>
      <c r="L594" s="183">
        <v>4</v>
      </c>
      <c r="M594" s="183" t="s">
        <v>1063</v>
      </c>
      <c r="N594" s="185" t="s">
        <v>1064</v>
      </c>
      <c r="O594" s="183" t="s">
        <v>452</v>
      </c>
      <c r="P594" s="191" t="s">
        <v>10907</v>
      </c>
      <c r="Q594" s="183" t="s">
        <v>1066</v>
      </c>
      <c r="R594" s="183" t="s">
        <v>18</v>
      </c>
      <c r="S594" s="184"/>
      <c r="T594" s="184"/>
      <c r="U594" s="184"/>
      <c r="V594" s="184"/>
      <c r="W594" s="184"/>
      <c r="X594" s="179"/>
      <c r="Y594" s="179"/>
      <c r="Z594" s="179"/>
      <c r="AA594" s="179"/>
    </row>
    <row r="595" spans="1:27">
      <c r="A595" s="181">
        <f ca="1">IFERROR(__xludf.DUMMYFUNCTION("IFS(B595="""","""",ISDATE(B595)=TRUE,B595,ISDATE(B595)=FALSE,TO_DATE(DATEVALUE(regexextract(B595,""\d+/\d+/\d+""))))"),44791)</f>
        <v>44791</v>
      </c>
      <c r="B595" s="182" t="s">
        <v>10182</v>
      </c>
      <c r="C595" s="183" t="s">
        <v>2895</v>
      </c>
      <c r="D595" s="183">
        <v>3.25</v>
      </c>
      <c r="E595" s="183" t="s">
        <v>10908</v>
      </c>
      <c r="F595" s="183" t="s">
        <v>5</v>
      </c>
      <c r="G595" s="183" t="s">
        <v>447</v>
      </c>
      <c r="H595" s="183" t="s">
        <v>10909</v>
      </c>
      <c r="I595" s="183">
        <v>3</v>
      </c>
      <c r="J595" s="183" t="s">
        <v>543</v>
      </c>
      <c r="K595" s="183" t="s">
        <v>10910</v>
      </c>
      <c r="L595" s="183">
        <v>3.5</v>
      </c>
      <c r="M595" s="183" t="s">
        <v>451</v>
      </c>
      <c r="N595" s="187">
        <v>7000000</v>
      </c>
      <c r="O595" s="183" t="s">
        <v>452</v>
      </c>
      <c r="P595" s="183" t="s">
        <v>2901</v>
      </c>
      <c r="Q595" s="184"/>
      <c r="R595" s="183" t="s">
        <v>24</v>
      </c>
      <c r="S595" s="183"/>
      <c r="T595" s="184"/>
      <c r="U595" s="184"/>
      <c r="V595" s="184"/>
      <c r="W595" s="184"/>
      <c r="X595" s="179"/>
      <c r="Y595" s="179"/>
      <c r="Z595" s="179"/>
      <c r="AA595" s="179"/>
    </row>
    <row r="596" spans="1:27">
      <c r="A596" s="181">
        <f ca="1">IFERROR(__xludf.DUMMYFUNCTION("IFS(B596="""","""",ISDATE(B596)=TRUE,B596,ISDATE(B596)=FALSE,TO_DATE(DATEVALUE(regexextract(B596,""\d+/\d+/\d+""))))"),44797)</f>
        <v>44797</v>
      </c>
      <c r="B596" s="182" t="s">
        <v>907</v>
      </c>
      <c r="C596" s="183" t="s">
        <v>4245</v>
      </c>
      <c r="D596" s="183">
        <v>3.75</v>
      </c>
      <c r="E596" s="183" t="s">
        <v>4248</v>
      </c>
      <c r="F596" s="183" t="s">
        <v>4</v>
      </c>
      <c r="G596" s="183" t="s">
        <v>1045</v>
      </c>
      <c r="H596" s="183" t="s">
        <v>4249</v>
      </c>
      <c r="I596" s="183">
        <v>3.5</v>
      </c>
      <c r="J596" s="183" t="s">
        <v>1187</v>
      </c>
      <c r="K596" s="183" t="s">
        <v>4250</v>
      </c>
      <c r="L596" s="183">
        <v>4</v>
      </c>
      <c r="M596" s="183" t="s">
        <v>784</v>
      </c>
      <c r="N596" s="187">
        <v>500000</v>
      </c>
      <c r="O596" s="183" t="s">
        <v>454</v>
      </c>
      <c r="P596" s="183" t="s">
        <v>10911</v>
      </c>
      <c r="Q596" s="184" t="s">
        <v>4252</v>
      </c>
      <c r="R596" s="183" t="s">
        <v>24</v>
      </c>
      <c r="S596" s="184"/>
      <c r="T596" s="184"/>
      <c r="U596" s="184"/>
      <c r="V596" s="184"/>
      <c r="W596" s="184"/>
      <c r="X596" s="179"/>
      <c r="Y596" s="179"/>
      <c r="Z596" s="179"/>
      <c r="AA596" s="179"/>
    </row>
    <row r="597" spans="1:27">
      <c r="A597" s="181">
        <f ca="1">IFERROR(__xludf.DUMMYFUNCTION("IFS(B597="""","""",ISDATE(B597)=TRUE,B597,ISDATE(B597)=FALSE,TO_DATE(DATEVALUE(regexextract(B597,""\d+/\d+/\d+""))))"),44791)</f>
        <v>44791</v>
      </c>
      <c r="B597" s="182" t="s">
        <v>10182</v>
      </c>
      <c r="C597" s="183" t="s">
        <v>3367</v>
      </c>
      <c r="D597" s="183">
        <v>3</v>
      </c>
      <c r="E597" s="183" t="s">
        <v>10912</v>
      </c>
      <c r="F597" s="183" t="s">
        <v>5</v>
      </c>
      <c r="G597" s="183" t="s">
        <v>460</v>
      </c>
      <c r="H597" s="183" t="s">
        <v>3371</v>
      </c>
      <c r="I597" s="183">
        <v>3</v>
      </c>
      <c r="J597" s="183" t="s">
        <v>462</v>
      </c>
      <c r="K597" s="183" t="s">
        <v>3372</v>
      </c>
      <c r="L597" s="183">
        <v>3</v>
      </c>
      <c r="M597" s="184"/>
      <c r="N597" s="190"/>
      <c r="O597" s="183" t="s">
        <v>452</v>
      </c>
      <c r="P597" s="183" t="s">
        <v>3373</v>
      </c>
      <c r="Q597" s="184" t="s">
        <v>460</v>
      </c>
      <c r="R597" s="183" t="s">
        <v>24</v>
      </c>
      <c r="S597" s="184" t="s">
        <v>3374</v>
      </c>
      <c r="T597" s="184"/>
      <c r="U597" s="184"/>
      <c r="V597" s="184"/>
      <c r="W597" s="184"/>
      <c r="X597" s="179"/>
      <c r="Y597" s="179"/>
      <c r="Z597" s="179"/>
      <c r="AA597" s="179"/>
    </row>
    <row r="598" spans="1:27">
      <c r="A598" s="181">
        <f ca="1">IFERROR(__xludf.DUMMYFUNCTION("IFS(B598="""","""",ISDATE(B598)=TRUE,B598,ISDATE(B598)=FALSE,TO_DATE(DATEVALUE(regexextract(B598,""\d+/\d+/\d+""))))"),44796)</f>
        <v>44796</v>
      </c>
      <c r="B598" s="182" t="s">
        <v>529</v>
      </c>
      <c r="C598" s="183" t="s">
        <v>7997</v>
      </c>
      <c r="D598" s="184">
        <v>1.5</v>
      </c>
      <c r="E598" s="183" t="s">
        <v>8000</v>
      </c>
      <c r="F598" s="183" t="s">
        <v>4</v>
      </c>
      <c r="G598" s="183" t="s">
        <v>602</v>
      </c>
      <c r="H598" s="184" t="s">
        <v>8001</v>
      </c>
      <c r="I598" s="184">
        <v>2</v>
      </c>
      <c r="J598" s="183" t="s">
        <v>1371</v>
      </c>
      <c r="K598" s="183" t="s">
        <v>8002</v>
      </c>
      <c r="L598" s="183">
        <v>1</v>
      </c>
      <c r="M598" s="183" t="s">
        <v>451</v>
      </c>
      <c r="N598" s="185">
        <v>500000</v>
      </c>
      <c r="O598" s="183" t="s">
        <v>452</v>
      </c>
      <c r="P598" s="183" t="s">
        <v>8003</v>
      </c>
      <c r="Q598" s="184"/>
      <c r="R598" s="184" t="s">
        <v>24</v>
      </c>
      <c r="S598" s="184"/>
      <c r="T598" s="184"/>
      <c r="U598" s="184"/>
      <c r="V598" s="184"/>
      <c r="W598" s="184"/>
      <c r="X598" s="179"/>
      <c r="Y598" s="179"/>
      <c r="Z598" s="179"/>
      <c r="AA598" s="179"/>
    </row>
    <row r="599" spans="1:27">
      <c r="A599" s="181">
        <f ca="1">IFERROR(__xludf.DUMMYFUNCTION("IFS(B599="""","""",ISDATE(B599)=TRUE,B599,ISDATE(B599)=FALSE,TO_DATE(DATEVALUE(regexextract(B599,""\d+/\d+/\d+""))))"),44791)</f>
        <v>44791</v>
      </c>
      <c r="B599" s="182" t="s">
        <v>10182</v>
      </c>
      <c r="C599" s="183" t="s">
        <v>8942</v>
      </c>
      <c r="D599" s="184">
        <v>3</v>
      </c>
      <c r="E599" s="183" t="s">
        <v>10913</v>
      </c>
      <c r="F599" s="183" t="s">
        <v>3</v>
      </c>
      <c r="G599" s="183" t="s">
        <v>460</v>
      </c>
      <c r="H599" s="184" t="s">
        <v>8946</v>
      </c>
      <c r="I599" s="184">
        <v>3</v>
      </c>
      <c r="J599" s="183" t="s">
        <v>462</v>
      </c>
      <c r="K599" s="183" t="s">
        <v>8947</v>
      </c>
      <c r="L599" s="183">
        <v>3</v>
      </c>
      <c r="M599" s="184"/>
      <c r="N599" s="190"/>
      <c r="O599" s="183" t="s">
        <v>454</v>
      </c>
      <c r="P599" s="183" t="s">
        <v>575</v>
      </c>
      <c r="Q599" s="184" t="s">
        <v>8948</v>
      </c>
      <c r="R599" s="184" t="s">
        <v>24</v>
      </c>
      <c r="S599" s="184"/>
      <c r="T599" s="184"/>
      <c r="U599" s="184"/>
      <c r="V599" s="184"/>
      <c r="W599" s="184"/>
      <c r="X599" s="179"/>
      <c r="Y599" s="179"/>
      <c r="Z599" s="179"/>
      <c r="AA599" s="179"/>
    </row>
    <row r="600" spans="1:27">
      <c r="A600" s="181">
        <f ca="1">IFERROR(__xludf.DUMMYFUNCTION("IFS(B600="""","""",ISDATE(B600)=TRUE,B600,ISDATE(B600)=FALSE,TO_DATE(DATEVALUE(regexextract(B600,""\d+/\d+/\d+""))))"),44789)</f>
        <v>44789</v>
      </c>
      <c r="B600" s="182" t="s">
        <v>6450</v>
      </c>
      <c r="C600" s="183" t="s">
        <v>6788</v>
      </c>
      <c r="D600" s="184">
        <v>2.25</v>
      </c>
      <c r="E600" s="183" t="s">
        <v>6791</v>
      </c>
      <c r="F600" s="183" t="s">
        <v>4</v>
      </c>
      <c r="G600" s="183" t="s">
        <v>602</v>
      </c>
      <c r="H600" s="184" t="s">
        <v>6792</v>
      </c>
      <c r="I600" s="184">
        <v>2</v>
      </c>
      <c r="J600" s="183" t="s">
        <v>476</v>
      </c>
      <c r="K600" s="183" t="s">
        <v>10914</v>
      </c>
      <c r="L600" s="183">
        <v>2.5</v>
      </c>
      <c r="M600" s="183" t="s">
        <v>784</v>
      </c>
      <c r="N600" s="185">
        <v>306000</v>
      </c>
      <c r="O600" s="183" t="s">
        <v>452</v>
      </c>
      <c r="P600" s="183" t="s">
        <v>6794</v>
      </c>
      <c r="Q600" s="184"/>
      <c r="R600" s="184" t="s">
        <v>24</v>
      </c>
      <c r="S600" s="184"/>
      <c r="T600" s="184"/>
      <c r="U600" s="184"/>
      <c r="V600" s="184"/>
      <c r="W600" s="184"/>
      <c r="X600" s="179"/>
      <c r="Y600" s="179"/>
      <c r="Z600" s="179"/>
      <c r="AA600" s="179"/>
    </row>
    <row r="601" spans="1:27">
      <c r="A601" s="181">
        <f ca="1">IFERROR(__xludf.DUMMYFUNCTION("IFS(B601="""","""",ISDATE(B601)=TRUE,B601,ISDATE(B601)=FALSE,TO_DATE(DATEVALUE(regexextract(B601,""\d+/\d+/\d+""))))"),44791)</f>
        <v>44791</v>
      </c>
      <c r="B601" s="189" t="s">
        <v>598</v>
      </c>
      <c r="C601" s="183" t="s">
        <v>7051</v>
      </c>
      <c r="D601" s="184">
        <v>2</v>
      </c>
      <c r="E601" s="184" t="s">
        <v>7054</v>
      </c>
      <c r="F601" s="183" t="s">
        <v>4</v>
      </c>
      <c r="G601" s="183" t="s">
        <v>602</v>
      </c>
      <c r="H601" s="184" t="s">
        <v>7055</v>
      </c>
      <c r="I601" s="184">
        <v>2</v>
      </c>
      <c r="J601" s="183" t="s">
        <v>1045</v>
      </c>
      <c r="K601" s="184" t="s">
        <v>7056</v>
      </c>
      <c r="L601" s="184">
        <v>2</v>
      </c>
      <c r="M601" s="183" t="s">
        <v>784</v>
      </c>
      <c r="N601" s="185">
        <v>200000</v>
      </c>
      <c r="O601" s="183" t="s">
        <v>452</v>
      </c>
      <c r="P601" s="184" t="s">
        <v>7057</v>
      </c>
      <c r="Q601" s="184"/>
      <c r="R601" s="184" t="s">
        <v>24</v>
      </c>
      <c r="S601" s="184"/>
      <c r="T601" s="184"/>
      <c r="U601" s="184"/>
      <c r="V601" s="184"/>
      <c r="W601" s="184"/>
      <c r="X601" s="179"/>
      <c r="Y601" s="179"/>
      <c r="Z601" s="179"/>
      <c r="AA601" s="179"/>
    </row>
    <row r="602" spans="1:27">
      <c r="A602" s="181">
        <f ca="1">IFERROR(__xludf.DUMMYFUNCTION("IFS(B602="""","""",ISDATE(B602)=TRUE,B602,ISDATE(B602)=FALSE,TO_DATE(DATEVALUE(regexextract(B602,""\d+/\d+/\d+""))))"),44789)</f>
        <v>44789</v>
      </c>
      <c r="B602" s="182" t="s">
        <v>6450</v>
      </c>
      <c r="C602" s="183" t="s">
        <v>6908</v>
      </c>
      <c r="D602" s="184">
        <v>2.25</v>
      </c>
      <c r="E602" s="184" t="s">
        <v>10915</v>
      </c>
      <c r="F602" s="183" t="s">
        <v>4</v>
      </c>
      <c r="G602" s="183" t="s">
        <v>602</v>
      </c>
      <c r="H602" s="184" t="s">
        <v>6912</v>
      </c>
      <c r="I602" s="184">
        <v>2</v>
      </c>
      <c r="J602" s="183" t="s">
        <v>1054</v>
      </c>
      <c r="K602" s="184" t="s">
        <v>6913</v>
      </c>
      <c r="L602" s="184">
        <v>2.5</v>
      </c>
      <c r="M602" s="183"/>
      <c r="N602" s="187"/>
      <c r="O602" s="183" t="s">
        <v>452</v>
      </c>
      <c r="P602" s="183" t="s">
        <v>10916</v>
      </c>
      <c r="Q602" s="184"/>
      <c r="R602" s="184" t="s">
        <v>24</v>
      </c>
      <c r="S602" s="184"/>
      <c r="T602" s="184"/>
      <c r="U602" s="184"/>
      <c r="V602" s="184"/>
      <c r="W602" s="184"/>
      <c r="X602" s="179"/>
      <c r="Y602" s="179"/>
      <c r="Z602" s="179"/>
      <c r="AA602" s="179"/>
    </row>
    <row r="603" spans="1:27">
      <c r="A603" s="181">
        <f ca="1">IFERROR(__xludf.DUMMYFUNCTION("IFS(B603="""","""",ISDATE(B603)=TRUE,B603,ISDATE(B603)=FALSE,TO_DATE(DATEVALUE(regexextract(B603,""\d+/\d+/\d+""))))"),44789)</f>
        <v>44789</v>
      </c>
      <c r="B603" s="182" t="s">
        <v>6450</v>
      </c>
      <c r="C603" s="183" t="s">
        <v>5934</v>
      </c>
      <c r="D603" s="183">
        <v>2.75</v>
      </c>
      <c r="E603" s="183" t="s">
        <v>5937</v>
      </c>
      <c r="F603" s="183" t="s">
        <v>4</v>
      </c>
      <c r="G603" s="183" t="s">
        <v>602</v>
      </c>
      <c r="H603" s="183" t="s">
        <v>5938</v>
      </c>
      <c r="I603" s="183">
        <v>2.5</v>
      </c>
      <c r="J603" s="183" t="s">
        <v>1054</v>
      </c>
      <c r="K603" s="183" t="s">
        <v>5939</v>
      </c>
      <c r="L603" s="183">
        <v>3</v>
      </c>
      <c r="M603" s="183" t="s">
        <v>923</v>
      </c>
      <c r="N603" s="185" t="s">
        <v>5940</v>
      </c>
      <c r="O603" s="183" t="s">
        <v>452</v>
      </c>
      <c r="P603" s="183" t="s">
        <v>5941</v>
      </c>
      <c r="Q603" s="184"/>
      <c r="R603" s="183" t="s">
        <v>24</v>
      </c>
      <c r="S603" s="184"/>
      <c r="T603" s="184"/>
      <c r="U603" s="184"/>
      <c r="V603" s="184"/>
      <c r="W603" s="184"/>
      <c r="X603" s="179"/>
      <c r="Y603" s="179"/>
      <c r="Z603" s="179"/>
      <c r="AA603" s="179"/>
    </row>
    <row r="604" spans="1:27">
      <c r="A604" s="181">
        <f ca="1">IFERROR(__xludf.DUMMYFUNCTION("IFS(B604="""","""",ISDATE(B604)=TRUE,B604,ISDATE(B604)=FALSE,TO_DATE(DATEVALUE(regexextract(B604,""\d+/\d+/\d+""))))"),44789)</f>
        <v>44789</v>
      </c>
      <c r="B604" s="182" t="s">
        <v>6450</v>
      </c>
      <c r="C604" s="183" t="s">
        <v>6263</v>
      </c>
      <c r="D604" s="184">
        <v>2.5</v>
      </c>
      <c r="E604" s="183" t="s">
        <v>10917</v>
      </c>
      <c r="F604" s="183" t="s">
        <v>4</v>
      </c>
      <c r="G604" s="183" t="s">
        <v>1045</v>
      </c>
      <c r="H604" s="184" t="s">
        <v>6267</v>
      </c>
      <c r="I604" s="184">
        <v>2</v>
      </c>
      <c r="J604" s="183" t="s">
        <v>1054</v>
      </c>
      <c r="K604" s="184" t="s">
        <v>10918</v>
      </c>
      <c r="L604" s="184">
        <v>3</v>
      </c>
      <c r="M604" s="183" t="s">
        <v>451</v>
      </c>
      <c r="N604" s="187" t="s">
        <v>729</v>
      </c>
      <c r="O604" s="183" t="s">
        <v>452</v>
      </c>
      <c r="P604" s="183" t="s">
        <v>452</v>
      </c>
      <c r="Q604" s="184"/>
      <c r="R604" s="184" t="s">
        <v>24</v>
      </c>
      <c r="S604" s="184"/>
      <c r="T604" s="184"/>
      <c r="U604" s="184"/>
      <c r="V604" s="184"/>
      <c r="W604" s="184"/>
      <c r="X604" s="179"/>
      <c r="Y604" s="179"/>
      <c r="Z604" s="179"/>
      <c r="AA604" s="179"/>
    </row>
    <row r="605" spans="1:27">
      <c r="A605" s="181">
        <f ca="1">IFERROR(__xludf.DUMMYFUNCTION("IFS(B605="""","""",ISDATE(B605)=TRUE,B605,ISDATE(B605)=FALSE,TO_DATE(DATEVALUE(regexextract(B605,""\d+/\d+/\d+""))))"),44789)</f>
        <v>44789</v>
      </c>
      <c r="B605" s="182" t="s">
        <v>6450</v>
      </c>
      <c r="C605" s="183" t="s">
        <v>8798</v>
      </c>
      <c r="D605" s="183">
        <v>2.5</v>
      </c>
      <c r="E605" s="183" t="s">
        <v>8801</v>
      </c>
      <c r="F605" s="183" t="s">
        <v>3</v>
      </c>
      <c r="G605" s="183" t="s">
        <v>460</v>
      </c>
      <c r="H605" s="183" t="s">
        <v>8802</v>
      </c>
      <c r="I605" s="183">
        <v>3</v>
      </c>
      <c r="J605" s="183" t="s">
        <v>941</v>
      </c>
      <c r="K605" s="183" t="s">
        <v>8803</v>
      </c>
      <c r="L605" s="183">
        <v>2</v>
      </c>
      <c r="M605" s="184"/>
      <c r="N605" s="188"/>
      <c r="O605" s="183" t="s">
        <v>465</v>
      </c>
      <c r="P605" s="183" t="s">
        <v>10919</v>
      </c>
      <c r="Q605" s="184"/>
      <c r="R605" s="183" t="s">
        <v>24</v>
      </c>
      <c r="S605" s="183"/>
      <c r="T605" s="184"/>
      <c r="U605" s="184"/>
      <c r="V605" s="184"/>
      <c r="W605" s="184"/>
      <c r="X605" s="179"/>
      <c r="Y605" s="179"/>
      <c r="Z605" s="179"/>
      <c r="AA605" s="179"/>
    </row>
    <row r="606" spans="1:27">
      <c r="A606" s="181">
        <f ca="1">IFERROR(__xludf.DUMMYFUNCTION("IFS(B606="""","""",ISDATE(B606)=TRUE,B606,ISDATE(B606)=FALSE,TO_DATE(DATEVALUE(regexextract(B606,""\d+/\d+/\d+""))))"),44796)</f>
        <v>44796</v>
      </c>
      <c r="B606" s="182" t="s">
        <v>529</v>
      </c>
      <c r="C606" s="183" t="s">
        <v>7783</v>
      </c>
      <c r="D606" s="183">
        <v>1.5</v>
      </c>
      <c r="E606" s="183" t="s">
        <v>7786</v>
      </c>
      <c r="F606" s="183" t="s">
        <v>4</v>
      </c>
      <c r="G606" s="183" t="s">
        <v>447</v>
      </c>
      <c r="H606" s="183" t="s">
        <v>10920</v>
      </c>
      <c r="I606" s="183">
        <v>2</v>
      </c>
      <c r="J606" s="183" t="s">
        <v>1036</v>
      </c>
      <c r="K606" s="183" t="s">
        <v>7788</v>
      </c>
      <c r="L606" s="183">
        <v>1</v>
      </c>
      <c r="M606" s="184" t="s">
        <v>451</v>
      </c>
      <c r="N606" s="188">
        <v>1000000</v>
      </c>
      <c r="O606" s="183" t="s">
        <v>452</v>
      </c>
      <c r="P606" s="183" t="s">
        <v>10921</v>
      </c>
      <c r="Q606" s="184"/>
      <c r="R606" s="183" t="s">
        <v>24</v>
      </c>
      <c r="S606" s="184"/>
      <c r="T606" s="184"/>
      <c r="U606" s="184"/>
      <c r="V606" s="184"/>
      <c r="W606" s="184"/>
      <c r="X606" s="179"/>
      <c r="Y606" s="179"/>
      <c r="Z606" s="179"/>
      <c r="AA606" s="179"/>
    </row>
    <row r="607" spans="1:27">
      <c r="A607" s="181">
        <f ca="1">IFERROR(__xludf.DUMMYFUNCTION("IFS(B607="""","""",ISDATE(B607)=TRUE,B607,ISDATE(B607)=FALSE,TO_DATE(DATEVALUE(regexextract(B607,""\d+/\d+/\d+""))))"),44797)</f>
        <v>44797</v>
      </c>
      <c r="B607" s="182" t="s">
        <v>907</v>
      </c>
      <c r="C607" s="183" t="s">
        <v>191</v>
      </c>
      <c r="D607" s="183">
        <v>4</v>
      </c>
      <c r="E607" s="183" t="s">
        <v>1194</v>
      </c>
      <c r="F607" s="183" t="s">
        <v>4</v>
      </c>
      <c r="G607" s="183" t="s">
        <v>602</v>
      </c>
      <c r="H607" s="183" t="s">
        <v>1195</v>
      </c>
      <c r="I607" s="183">
        <v>4</v>
      </c>
      <c r="J607" s="183" t="s">
        <v>1187</v>
      </c>
      <c r="K607" s="183" t="s">
        <v>1196</v>
      </c>
      <c r="L607" s="183">
        <v>4</v>
      </c>
      <c r="M607" s="184" t="s">
        <v>451</v>
      </c>
      <c r="N607" s="188">
        <v>3000000</v>
      </c>
      <c r="O607" s="183" t="s">
        <v>465</v>
      </c>
      <c r="P607" s="183" t="s">
        <v>1197</v>
      </c>
      <c r="Q607" s="184"/>
      <c r="R607" s="183" t="s">
        <v>18</v>
      </c>
      <c r="S607" s="183"/>
      <c r="T607" s="184"/>
      <c r="U607" s="184"/>
      <c r="V607" s="184"/>
      <c r="W607" s="184"/>
      <c r="X607" s="179"/>
      <c r="Y607" s="179"/>
      <c r="Z607" s="179"/>
      <c r="AA607" s="179"/>
    </row>
    <row r="608" spans="1:27">
      <c r="A608" s="181">
        <f ca="1">IFERROR(__xludf.DUMMYFUNCTION("IFS(B608="""","""",ISDATE(B608)=TRUE,B608,ISDATE(B608)=FALSE,TO_DATE(DATEVALUE(regexextract(B608,""\d+/\d+/\d+""))))"),44796)</f>
        <v>44796</v>
      </c>
      <c r="B608" s="182" t="s">
        <v>529</v>
      </c>
      <c r="C608" s="183" t="s">
        <v>7228</v>
      </c>
      <c r="D608" s="183">
        <v>2</v>
      </c>
      <c r="E608" s="183" t="s">
        <v>7231</v>
      </c>
      <c r="F608" s="183" t="s">
        <v>4</v>
      </c>
      <c r="G608" s="183" t="s">
        <v>602</v>
      </c>
      <c r="H608" s="183" t="s">
        <v>7232</v>
      </c>
      <c r="I608" s="183">
        <v>2</v>
      </c>
      <c r="J608" s="183" t="s">
        <v>1187</v>
      </c>
      <c r="K608" s="183" t="s">
        <v>7233</v>
      </c>
      <c r="L608" s="183">
        <v>2</v>
      </c>
      <c r="M608" s="183"/>
      <c r="N608" s="185"/>
      <c r="O608" s="183" t="s">
        <v>452</v>
      </c>
      <c r="P608" s="183" t="s">
        <v>452</v>
      </c>
      <c r="Q608" s="184"/>
      <c r="R608" s="183" t="s">
        <v>24</v>
      </c>
      <c r="S608" s="184"/>
      <c r="T608" s="184"/>
      <c r="U608" s="184"/>
      <c r="V608" s="184"/>
      <c r="W608" s="184"/>
      <c r="X608" s="179"/>
      <c r="Y608" s="179"/>
      <c r="Z608" s="179"/>
      <c r="AA608" s="179"/>
    </row>
    <row r="609" spans="1:27">
      <c r="A609" s="181">
        <f ca="1">IFERROR(__xludf.DUMMYFUNCTION("IFS(B609="""","""",ISDATE(B609)=TRUE,B609,ISDATE(B609)=FALSE,TO_DATE(DATEVALUE(regexextract(B609,""\d+/\d+/\d+""))))"),44796)</f>
        <v>44796</v>
      </c>
      <c r="B609" s="182" t="s">
        <v>529</v>
      </c>
      <c r="C609" s="183" t="s">
        <v>5733</v>
      </c>
      <c r="D609" s="183">
        <v>3</v>
      </c>
      <c r="E609" s="183" t="s">
        <v>5736</v>
      </c>
      <c r="F609" s="183" t="s">
        <v>4</v>
      </c>
      <c r="G609" s="183" t="s">
        <v>725</v>
      </c>
      <c r="H609" s="183" t="s">
        <v>10922</v>
      </c>
      <c r="I609" s="183">
        <v>4</v>
      </c>
      <c r="J609" s="183" t="s">
        <v>1457</v>
      </c>
      <c r="K609" s="183" t="s">
        <v>5738</v>
      </c>
      <c r="L609" s="183">
        <v>2</v>
      </c>
      <c r="M609" s="184"/>
      <c r="N609" s="186"/>
      <c r="O609" s="183" t="s">
        <v>454</v>
      </c>
      <c r="P609" s="183" t="s">
        <v>452</v>
      </c>
      <c r="Q609" s="183"/>
      <c r="R609" s="183" t="s">
        <v>24</v>
      </c>
      <c r="S609" s="184"/>
      <c r="T609" s="184"/>
      <c r="U609" s="184"/>
      <c r="V609" s="184"/>
      <c r="W609" s="184"/>
      <c r="X609" s="179"/>
      <c r="Y609" s="179"/>
      <c r="Z609" s="179"/>
      <c r="AA609" s="179"/>
    </row>
    <row r="610" spans="1:27">
      <c r="A610" s="181">
        <f ca="1">IFERROR(__xludf.DUMMYFUNCTION("IFS(B610="""","""",ISDATE(B610)=TRUE,B610,ISDATE(B610)=FALSE,TO_DATE(DATEVALUE(regexextract(B610,""\d+/\d+/\d+""))))"),44796)</f>
        <v>44796</v>
      </c>
      <c r="B610" s="182" t="s">
        <v>529</v>
      </c>
      <c r="C610" s="183" t="s">
        <v>228</v>
      </c>
      <c r="D610" s="183">
        <v>4</v>
      </c>
      <c r="E610" s="183" t="s">
        <v>3945</v>
      </c>
      <c r="F610" s="183" t="s">
        <v>4</v>
      </c>
      <c r="G610" s="183" t="s">
        <v>725</v>
      </c>
      <c r="H610" s="183" t="s">
        <v>10923</v>
      </c>
      <c r="I610" s="183">
        <v>4</v>
      </c>
      <c r="J610" s="183" t="s">
        <v>1281</v>
      </c>
      <c r="K610" s="183" t="s">
        <v>3947</v>
      </c>
      <c r="L610" s="183">
        <v>4</v>
      </c>
      <c r="M610" s="183" t="s">
        <v>3948</v>
      </c>
      <c r="N610" s="187" t="s">
        <v>3949</v>
      </c>
      <c r="O610" s="183" t="s">
        <v>452</v>
      </c>
      <c r="P610" s="183" t="s">
        <v>452</v>
      </c>
      <c r="Q610" s="184"/>
      <c r="R610" s="183" t="s">
        <v>18</v>
      </c>
      <c r="S610" s="184"/>
      <c r="T610" s="184"/>
      <c r="U610" s="184"/>
      <c r="V610" s="184"/>
      <c r="W610" s="184"/>
      <c r="X610" s="179"/>
      <c r="Y610" s="179"/>
      <c r="Z610" s="179"/>
      <c r="AA610" s="179"/>
    </row>
    <row r="611" spans="1:27">
      <c r="A611" s="181">
        <f ca="1">IFERROR(__xludf.DUMMYFUNCTION("IFS(B611="""","""",ISDATE(B611)=TRUE,B611,ISDATE(B611)=FALSE,TO_DATE(DATEVALUE(regexextract(B611,""\d+/\d+/\d+""))))"),44784)</f>
        <v>44784</v>
      </c>
      <c r="B611" s="182" t="s">
        <v>10173</v>
      </c>
      <c r="C611" s="191" t="s">
        <v>6115</v>
      </c>
      <c r="D611" s="183">
        <v>2.75</v>
      </c>
      <c r="E611" s="183" t="s">
        <v>10924</v>
      </c>
      <c r="F611" s="183" t="s">
        <v>4</v>
      </c>
      <c r="G611" s="183" t="s">
        <v>602</v>
      </c>
      <c r="H611" s="183" t="s">
        <v>6119</v>
      </c>
      <c r="I611" s="183">
        <v>3</v>
      </c>
      <c r="J611" s="183" t="s">
        <v>476</v>
      </c>
      <c r="K611" s="183" t="s">
        <v>10925</v>
      </c>
      <c r="L611" s="183">
        <v>2.5</v>
      </c>
      <c r="M611" s="183"/>
      <c r="N611" s="185"/>
      <c r="O611" s="183" t="s">
        <v>452</v>
      </c>
      <c r="P611" s="183" t="s">
        <v>6121</v>
      </c>
      <c r="Q611" s="184"/>
      <c r="R611" s="183" t="s">
        <v>24</v>
      </c>
      <c r="S611" s="184"/>
      <c r="T611" s="184"/>
      <c r="U611" s="184"/>
      <c r="V611" s="184"/>
      <c r="W611" s="184"/>
      <c r="X611" s="179"/>
      <c r="Y611" s="179"/>
      <c r="Z611" s="179"/>
      <c r="AA611" s="179"/>
    </row>
    <row r="612" spans="1:27">
      <c r="A612" s="181">
        <f ca="1">IFERROR(__xludf.DUMMYFUNCTION("IFS(B612="""","""",ISDATE(B612)=TRUE,B612,ISDATE(B612)=FALSE,TO_DATE(DATEVALUE(regexextract(B612,""\d+/\d+/\d+""))))"),44791)</f>
        <v>44791</v>
      </c>
      <c r="B612" s="182" t="s">
        <v>598</v>
      </c>
      <c r="C612" s="183" t="s">
        <v>5193</v>
      </c>
      <c r="D612" s="183">
        <v>3.25</v>
      </c>
      <c r="E612" s="183" t="s">
        <v>5196</v>
      </c>
      <c r="F612" s="183" t="s">
        <v>4</v>
      </c>
      <c r="G612" s="183" t="s">
        <v>725</v>
      </c>
      <c r="H612" s="183" t="s">
        <v>10926</v>
      </c>
      <c r="I612" s="183">
        <v>3.5</v>
      </c>
      <c r="J612" s="183" t="s">
        <v>1045</v>
      </c>
      <c r="K612" s="183" t="s">
        <v>10927</v>
      </c>
      <c r="L612" s="183">
        <v>3</v>
      </c>
      <c r="M612" s="183"/>
      <c r="N612" s="187"/>
      <c r="O612" s="183" t="s">
        <v>454</v>
      </c>
      <c r="P612" s="183" t="s">
        <v>452</v>
      </c>
      <c r="Q612" s="184"/>
      <c r="R612" s="183" t="s">
        <v>24</v>
      </c>
      <c r="S612" s="184"/>
      <c r="T612" s="184"/>
      <c r="U612" s="184"/>
      <c r="V612" s="184"/>
      <c r="W612" s="184"/>
      <c r="X612" s="179"/>
      <c r="Y612" s="179"/>
      <c r="Z612" s="179"/>
      <c r="AA612" s="179"/>
    </row>
    <row r="613" spans="1:27">
      <c r="A613" s="181">
        <f ca="1">IFERROR(__xludf.DUMMYFUNCTION("IFS(B613="""","""",ISDATE(B613)=TRUE,B613,ISDATE(B613)=FALSE,TO_DATE(DATEVALUE(regexextract(B613,""\d+/\d+/\d+""))))"),44789)</f>
        <v>44789</v>
      </c>
      <c r="B613" s="182" t="s">
        <v>6450</v>
      </c>
      <c r="C613" s="183" t="s">
        <v>199</v>
      </c>
      <c r="D613" s="183">
        <v>3.75</v>
      </c>
      <c r="E613" s="183" t="s">
        <v>1253</v>
      </c>
      <c r="F613" s="183" t="s">
        <v>4</v>
      </c>
      <c r="G613" s="183" t="s">
        <v>602</v>
      </c>
      <c r="H613" s="183" t="s">
        <v>1254</v>
      </c>
      <c r="I613" s="183">
        <v>4</v>
      </c>
      <c r="J613" s="183" t="s">
        <v>1054</v>
      </c>
      <c r="K613" s="183" t="s">
        <v>10928</v>
      </c>
      <c r="L613" s="183">
        <v>3.5</v>
      </c>
      <c r="M613" s="184" t="s">
        <v>451</v>
      </c>
      <c r="N613" s="186">
        <v>2000000</v>
      </c>
      <c r="O613" s="183" t="s">
        <v>465</v>
      </c>
      <c r="P613" s="183" t="s">
        <v>1256</v>
      </c>
      <c r="Q613" s="184"/>
      <c r="R613" s="183" t="s">
        <v>18</v>
      </c>
      <c r="S613" s="184" t="s">
        <v>1257</v>
      </c>
      <c r="T613" s="184"/>
      <c r="U613" s="184"/>
      <c r="V613" s="184"/>
      <c r="W613" s="184"/>
      <c r="X613" s="179"/>
      <c r="Y613" s="179"/>
      <c r="Z613" s="179"/>
      <c r="AA613" s="179"/>
    </row>
    <row r="614" spans="1:27">
      <c r="A614" s="181">
        <f ca="1">IFERROR(__xludf.DUMMYFUNCTION("IFS(B614="""","""",ISDATE(B614)=TRUE,B614,ISDATE(B614)=FALSE,TO_DATE(DATEVALUE(regexextract(B614,""\d+/\d+/\d+""))))"),44789)</f>
        <v>44789</v>
      </c>
      <c r="B614" s="189" t="s">
        <v>6450</v>
      </c>
      <c r="C614" s="183" t="s">
        <v>5037</v>
      </c>
      <c r="D614" s="183">
        <v>3.25</v>
      </c>
      <c r="E614" s="183" t="s">
        <v>5040</v>
      </c>
      <c r="F614" s="183" t="s">
        <v>4</v>
      </c>
      <c r="G614" s="183" t="s">
        <v>602</v>
      </c>
      <c r="H614" s="183" t="s">
        <v>5041</v>
      </c>
      <c r="I614" s="183">
        <v>2.5</v>
      </c>
      <c r="J614" s="183" t="s">
        <v>1054</v>
      </c>
      <c r="K614" s="183" t="s">
        <v>10929</v>
      </c>
      <c r="L614" s="183">
        <v>4</v>
      </c>
      <c r="M614" s="184" t="s">
        <v>451</v>
      </c>
      <c r="N614" s="188">
        <v>2500000</v>
      </c>
      <c r="O614" s="183" t="s">
        <v>452</v>
      </c>
      <c r="P614" s="183" t="s">
        <v>5043</v>
      </c>
      <c r="Q614" s="184"/>
      <c r="R614" s="183" t="s">
        <v>24</v>
      </c>
      <c r="S614" s="184"/>
      <c r="T614" s="184"/>
      <c r="U614" s="184"/>
      <c r="V614" s="184"/>
      <c r="W614" s="184"/>
      <c r="X614" s="179"/>
      <c r="Y614" s="179"/>
      <c r="Z614" s="179"/>
      <c r="AA614" s="179"/>
    </row>
    <row r="615" spans="1:27">
      <c r="A615" s="181">
        <f ca="1">IFERROR(__xludf.DUMMYFUNCTION("IFS(B615="""","""",ISDATE(B615)=TRUE,B615,ISDATE(B615)=FALSE,TO_DATE(DATEVALUE(regexextract(B615,""\d+/\d+/\d+""))))"),44789)</f>
        <v>44789</v>
      </c>
      <c r="B615" s="182" t="s">
        <v>6450</v>
      </c>
      <c r="C615" s="183" t="s">
        <v>5027</v>
      </c>
      <c r="D615" s="183">
        <v>3.25</v>
      </c>
      <c r="E615" s="183" t="s">
        <v>5030</v>
      </c>
      <c r="F615" s="183" t="s">
        <v>4</v>
      </c>
      <c r="G615" s="183" t="s">
        <v>602</v>
      </c>
      <c r="H615" s="183" t="s">
        <v>5031</v>
      </c>
      <c r="I615" s="183">
        <v>3</v>
      </c>
      <c r="J615" s="183" t="s">
        <v>1054</v>
      </c>
      <c r="K615" s="183" t="s">
        <v>5032</v>
      </c>
      <c r="L615" s="183">
        <v>3.5</v>
      </c>
      <c r="M615" s="183" t="s">
        <v>451</v>
      </c>
      <c r="N615" s="187">
        <v>2000000</v>
      </c>
      <c r="O615" s="183" t="s">
        <v>452</v>
      </c>
      <c r="P615" s="183" t="s">
        <v>10930</v>
      </c>
      <c r="Q615" s="184" t="s">
        <v>5034</v>
      </c>
      <c r="R615" s="183" t="s">
        <v>24</v>
      </c>
      <c r="S615" s="184"/>
      <c r="T615" s="184"/>
      <c r="U615" s="184"/>
      <c r="V615" s="184"/>
      <c r="W615" s="184"/>
      <c r="X615" s="179"/>
      <c r="Y615" s="179"/>
      <c r="Z615" s="179"/>
      <c r="AA615" s="179"/>
    </row>
    <row r="616" spans="1:27">
      <c r="A616" s="181">
        <f ca="1">IFERROR(__xludf.DUMMYFUNCTION("IFS(B616="""","""",ISDATE(B616)=TRUE,B616,ISDATE(B616)=FALSE,TO_DATE(DATEVALUE(regexextract(B616,""\d+/\d+/\d+""))))"),44789)</f>
        <v>44789</v>
      </c>
      <c r="B616" s="182" t="s">
        <v>6450</v>
      </c>
      <c r="C616" s="183" t="s">
        <v>7469</v>
      </c>
      <c r="D616" s="183">
        <v>2</v>
      </c>
      <c r="E616" s="183" t="s">
        <v>7472</v>
      </c>
      <c r="F616" s="183" t="s">
        <v>4</v>
      </c>
      <c r="G616" s="183" t="s">
        <v>602</v>
      </c>
      <c r="H616" s="183" t="s">
        <v>7473</v>
      </c>
      <c r="I616" s="183">
        <v>2</v>
      </c>
      <c r="J616" s="183" t="s">
        <v>1054</v>
      </c>
      <c r="K616" s="183" t="s">
        <v>7474</v>
      </c>
      <c r="L616" s="183">
        <v>2</v>
      </c>
      <c r="M616" s="183" t="s">
        <v>451</v>
      </c>
      <c r="N616" s="185">
        <v>2500000</v>
      </c>
      <c r="O616" s="183" t="s">
        <v>452</v>
      </c>
      <c r="P616" s="183" t="s">
        <v>7475</v>
      </c>
      <c r="Q616" s="183"/>
      <c r="R616" s="183" t="s">
        <v>24</v>
      </c>
      <c r="S616" s="183"/>
      <c r="T616" s="184"/>
      <c r="U616" s="184"/>
      <c r="V616" s="184"/>
      <c r="W616" s="184"/>
      <c r="X616" s="179"/>
      <c r="Y616" s="179"/>
      <c r="Z616" s="179"/>
      <c r="AA616" s="179"/>
    </row>
    <row r="617" spans="1:27">
      <c r="A617" s="181">
        <f ca="1">IFERROR(__xludf.DUMMYFUNCTION("IFS(B617="""","""",ISDATE(B617)=TRUE,B617,ISDATE(B617)=FALSE,TO_DATE(DATEVALUE(regexextract(B617,""\d+/\d+/\d+""))))"),44789)</f>
        <v>44789</v>
      </c>
      <c r="B617" s="182" t="s">
        <v>6450</v>
      </c>
      <c r="C617" s="183" t="s">
        <v>7252</v>
      </c>
      <c r="D617" s="184">
        <v>2</v>
      </c>
      <c r="E617" s="183" t="s">
        <v>7255</v>
      </c>
      <c r="F617" s="183" t="s">
        <v>4</v>
      </c>
      <c r="G617" s="183" t="s">
        <v>602</v>
      </c>
      <c r="H617" s="184" t="s">
        <v>6912</v>
      </c>
      <c r="I617" s="184">
        <v>2</v>
      </c>
      <c r="J617" s="183" t="s">
        <v>1045</v>
      </c>
      <c r="K617" s="183" t="s">
        <v>7256</v>
      </c>
      <c r="L617" s="183">
        <v>2</v>
      </c>
      <c r="M617" s="183" t="s">
        <v>451</v>
      </c>
      <c r="N617" s="187">
        <v>500000</v>
      </c>
      <c r="O617" s="183" t="s">
        <v>452</v>
      </c>
      <c r="P617" s="183" t="s">
        <v>1028</v>
      </c>
      <c r="Q617" s="184"/>
      <c r="R617" s="184" t="s">
        <v>24</v>
      </c>
      <c r="S617" s="184"/>
      <c r="T617" s="184"/>
      <c r="U617" s="184"/>
      <c r="V617" s="184"/>
      <c r="W617" s="184"/>
      <c r="X617" s="179"/>
      <c r="Y617" s="179"/>
      <c r="Z617" s="179"/>
      <c r="AA617" s="179"/>
    </row>
    <row r="618" spans="1:27">
      <c r="A618" s="181">
        <f ca="1">IFERROR(__xludf.DUMMYFUNCTION("IFS(B618="""","""",ISDATE(B618)=TRUE,B618,ISDATE(B618)=FALSE,TO_DATE(DATEVALUE(regexextract(B618,""\d+/\d+/\d+""))))"),44789)</f>
        <v>44789</v>
      </c>
      <c r="B618" s="182" t="s">
        <v>6450</v>
      </c>
      <c r="C618" s="183" t="s">
        <v>10931</v>
      </c>
      <c r="D618" s="183">
        <v>3</v>
      </c>
      <c r="E618" s="183" t="s">
        <v>2256</v>
      </c>
      <c r="F618" s="183" t="s">
        <v>5</v>
      </c>
      <c r="G618" s="183" t="s">
        <v>447</v>
      </c>
      <c r="H618" s="183" t="s">
        <v>10932</v>
      </c>
      <c r="I618" s="183">
        <v>3</v>
      </c>
      <c r="J618" s="183" t="s">
        <v>622</v>
      </c>
      <c r="K618" s="183" t="s">
        <v>10933</v>
      </c>
      <c r="L618" s="183">
        <v>3</v>
      </c>
      <c r="M618" s="183" t="s">
        <v>451</v>
      </c>
      <c r="N618" s="187">
        <v>1000000</v>
      </c>
      <c r="O618" s="183" t="s">
        <v>452</v>
      </c>
      <c r="P618" s="183" t="s">
        <v>2259</v>
      </c>
      <c r="Q618" s="184"/>
      <c r="R618" s="183" t="s">
        <v>24</v>
      </c>
      <c r="S618" s="183" t="s">
        <v>2260</v>
      </c>
      <c r="T618" s="184"/>
      <c r="U618" s="184"/>
      <c r="V618" s="184"/>
      <c r="W618" s="184"/>
      <c r="X618" s="179"/>
      <c r="Y618" s="179"/>
      <c r="Z618" s="179"/>
      <c r="AA618" s="179"/>
    </row>
    <row r="619" spans="1:27">
      <c r="A619" s="181">
        <f ca="1">IFERROR(__xludf.DUMMYFUNCTION("IFS(B619="""","""",ISDATE(B619)=TRUE,B619,ISDATE(B619)=FALSE,TO_DATE(DATEVALUE(regexextract(B619,""\d+/\d+/\d+""))))"),44791)</f>
        <v>44791</v>
      </c>
      <c r="B619" s="182" t="s">
        <v>598</v>
      </c>
      <c r="C619" s="183" t="s">
        <v>2344</v>
      </c>
      <c r="D619" s="184">
        <v>3.25</v>
      </c>
      <c r="E619" s="183" t="s">
        <v>2347</v>
      </c>
      <c r="F619" s="183" t="s">
        <v>5</v>
      </c>
      <c r="G619" s="183" t="s">
        <v>447</v>
      </c>
      <c r="H619" s="184" t="s">
        <v>10934</v>
      </c>
      <c r="I619" s="184">
        <v>3.5</v>
      </c>
      <c r="J619" s="183" t="s">
        <v>449</v>
      </c>
      <c r="K619" s="183" t="s">
        <v>10935</v>
      </c>
      <c r="L619" s="183">
        <v>3</v>
      </c>
      <c r="M619" s="183" t="s">
        <v>451</v>
      </c>
      <c r="N619" s="185">
        <v>1500000</v>
      </c>
      <c r="O619" s="183" t="s">
        <v>452</v>
      </c>
      <c r="P619" s="183" t="s">
        <v>2350</v>
      </c>
      <c r="Q619" s="184"/>
      <c r="R619" s="184" t="s">
        <v>24</v>
      </c>
      <c r="S619" s="184"/>
      <c r="T619" s="184"/>
      <c r="U619" s="184"/>
      <c r="V619" s="184"/>
      <c r="W619" s="184"/>
      <c r="X619" s="179"/>
      <c r="Y619" s="179"/>
      <c r="Z619" s="179"/>
      <c r="AA619" s="179"/>
    </row>
    <row r="620" spans="1:27">
      <c r="A620" s="181">
        <f ca="1">IFERROR(__xludf.DUMMYFUNCTION("IFS(B620="""","""",ISDATE(B620)=TRUE,B620,ISDATE(B620)=FALSE,TO_DATE(DATEVALUE(regexextract(B620,""\d+/\d+/\d+""))))"),44796)</f>
        <v>44796</v>
      </c>
      <c r="B620" s="182" t="s">
        <v>529</v>
      </c>
      <c r="C620" s="183" t="s">
        <v>6200</v>
      </c>
      <c r="D620" s="184">
        <v>2.5</v>
      </c>
      <c r="E620" s="183" t="s">
        <v>6203</v>
      </c>
      <c r="F620" s="183" t="s">
        <v>4</v>
      </c>
      <c r="G620" s="183" t="s">
        <v>602</v>
      </c>
      <c r="H620" s="184" t="s">
        <v>6204</v>
      </c>
      <c r="I620" s="184">
        <v>2</v>
      </c>
      <c r="J620" s="183" t="s">
        <v>1073</v>
      </c>
      <c r="K620" s="183"/>
      <c r="L620" s="183">
        <v>3</v>
      </c>
      <c r="M620" s="183" t="s">
        <v>451</v>
      </c>
      <c r="N620" s="187">
        <v>550000</v>
      </c>
      <c r="O620" s="183" t="s">
        <v>465</v>
      </c>
      <c r="P620" s="183" t="s">
        <v>6205</v>
      </c>
      <c r="Q620" s="184"/>
      <c r="R620" s="184" t="s">
        <v>24</v>
      </c>
      <c r="S620" s="184"/>
      <c r="T620" s="184"/>
      <c r="U620" s="184"/>
      <c r="V620" s="184"/>
      <c r="W620" s="184"/>
      <c r="X620" s="179"/>
      <c r="Y620" s="179"/>
      <c r="Z620" s="179"/>
      <c r="AA620" s="179"/>
    </row>
    <row r="621" spans="1:27">
      <c r="A621" s="181">
        <f ca="1">IFERROR(__xludf.DUMMYFUNCTION("IFS(B621="""","""",ISDATE(B621)=TRUE,B621,ISDATE(B621)=FALSE,TO_DATE(DATEVALUE(regexextract(B621,""\d+/\d+/\d+""))))"),44797)</f>
        <v>44797</v>
      </c>
      <c r="B621" s="182" t="s">
        <v>907</v>
      </c>
      <c r="C621" s="183" t="s">
        <v>5700</v>
      </c>
      <c r="D621" s="184">
        <v>3</v>
      </c>
      <c r="E621" s="183" t="s">
        <v>5703</v>
      </c>
      <c r="F621" s="183" t="s">
        <v>4</v>
      </c>
      <c r="G621" s="183" t="s">
        <v>447</v>
      </c>
      <c r="H621" s="184" t="s">
        <v>10936</v>
      </c>
      <c r="I621" s="184">
        <v>2.5</v>
      </c>
      <c r="J621" s="183" t="s">
        <v>1350</v>
      </c>
      <c r="K621" s="184" t="s">
        <v>5705</v>
      </c>
      <c r="L621" s="184">
        <v>3.5</v>
      </c>
      <c r="M621" s="184"/>
      <c r="N621" s="190"/>
      <c r="O621" s="183" t="s">
        <v>452</v>
      </c>
      <c r="P621" s="183" t="s">
        <v>10937</v>
      </c>
      <c r="Q621" s="183"/>
      <c r="R621" s="184" t="s">
        <v>24</v>
      </c>
      <c r="S621" s="184"/>
      <c r="T621" s="184"/>
      <c r="U621" s="184"/>
      <c r="V621" s="184"/>
      <c r="W621" s="184"/>
      <c r="X621" s="179"/>
      <c r="Y621" s="179"/>
      <c r="Z621" s="179"/>
      <c r="AA621" s="179"/>
    </row>
    <row r="622" spans="1:27">
      <c r="A622" s="181">
        <f ca="1">IFERROR(__xludf.DUMMYFUNCTION("IFS(B622="""","""",ISDATE(B622)=TRUE,B622,ISDATE(B622)=FALSE,TO_DATE(DATEVALUE(regexextract(B622,""\d+/\d+/\d+""))))"),44791)</f>
        <v>44791</v>
      </c>
      <c r="B622" s="182" t="s">
        <v>10182</v>
      </c>
      <c r="C622" s="183" t="s">
        <v>337</v>
      </c>
      <c r="D622" s="183">
        <v>4.25</v>
      </c>
      <c r="E622" s="183" t="s">
        <v>1906</v>
      </c>
      <c r="F622" s="183" t="s">
        <v>3</v>
      </c>
      <c r="G622" s="183" t="s">
        <v>460</v>
      </c>
      <c r="H622" s="183" t="s">
        <v>10938</v>
      </c>
      <c r="I622" s="183">
        <v>4</v>
      </c>
      <c r="J622" s="183" t="s">
        <v>462</v>
      </c>
      <c r="K622" s="183" t="s">
        <v>10939</v>
      </c>
      <c r="L622" s="183">
        <v>4.5</v>
      </c>
      <c r="M622" s="183" t="s">
        <v>451</v>
      </c>
      <c r="N622" s="187" t="s">
        <v>1909</v>
      </c>
      <c r="O622" s="183" t="s">
        <v>452</v>
      </c>
      <c r="P622" s="183" t="s">
        <v>10940</v>
      </c>
      <c r="Q622" s="184" t="s">
        <v>1911</v>
      </c>
      <c r="R622" s="183" t="s">
        <v>18</v>
      </c>
      <c r="S622" s="184" t="s">
        <v>1912</v>
      </c>
      <c r="T622" s="184"/>
      <c r="U622" s="184"/>
      <c r="V622" s="184"/>
      <c r="W622" s="184"/>
      <c r="X622" s="179"/>
      <c r="Y622" s="179"/>
      <c r="Z622" s="179"/>
      <c r="AA622" s="179"/>
    </row>
    <row r="623" spans="1:27">
      <c r="A623" s="181">
        <f ca="1">IFERROR(__xludf.DUMMYFUNCTION("IFS(B623="""","""",ISDATE(B623)=TRUE,B623,ISDATE(B623)=FALSE,TO_DATE(DATEVALUE(regexextract(B623,""\d+/\d+/\d+""))))"),44791)</f>
        <v>44791</v>
      </c>
      <c r="B623" s="182" t="s">
        <v>10182</v>
      </c>
      <c r="C623" s="183" t="s">
        <v>345</v>
      </c>
      <c r="D623" s="183">
        <v>4.75</v>
      </c>
      <c r="E623" s="183" t="s">
        <v>1972</v>
      </c>
      <c r="F623" s="183" t="s">
        <v>3</v>
      </c>
      <c r="G623" s="183" t="s">
        <v>460</v>
      </c>
      <c r="H623" s="183" t="s">
        <v>1973</v>
      </c>
      <c r="I623" s="183">
        <v>4.5</v>
      </c>
      <c r="J623" s="183" t="s">
        <v>462</v>
      </c>
      <c r="K623" s="183" t="s">
        <v>1974</v>
      </c>
      <c r="L623" s="183">
        <v>5</v>
      </c>
      <c r="M623" s="183" t="s">
        <v>478</v>
      </c>
      <c r="N623" s="187" t="s">
        <v>1975</v>
      </c>
      <c r="O623" s="183" t="s">
        <v>452</v>
      </c>
      <c r="P623" s="183" t="s">
        <v>1976</v>
      </c>
      <c r="Q623" s="183" t="s">
        <v>725</v>
      </c>
      <c r="R623" s="183" t="s">
        <v>18</v>
      </c>
      <c r="S623" s="184" t="s">
        <v>1977</v>
      </c>
      <c r="T623" s="184"/>
      <c r="U623" s="184"/>
      <c r="V623" s="184"/>
      <c r="W623" s="184"/>
      <c r="X623" s="179"/>
      <c r="Y623" s="179"/>
      <c r="Z623" s="179"/>
      <c r="AA623" s="179"/>
    </row>
    <row r="624" spans="1:27">
      <c r="A624" s="181">
        <f ca="1">IFERROR(__xludf.DUMMYFUNCTION("IFS(B624="""","""",ISDATE(B624)=TRUE,B624,ISDATE(B624)=FALSE,TO_DATE(DATEVALUE(regexextract(B624,""\d+/\d+/\d+""))))"),44796)</f>
        <v>44796</v>
      </c>
      <c r="B624" s="182" t="s">
        <v>529</v>
      </c>
      <c r="C624" s="183" t="s">
        <v>7324</v>
      </c>
      <c r="D624" s="183">
        <v>2</v>
      </c>
      <c r="E624" s="183" t="s">
        <v>10941</v>
      </c>
      <c r="F624" s="183" t="s">
        <v>4</v>
      </c>
      <c r="G624" s="183" t="s">
        <v>725</v>
      </c>
      <c r="H624" s="183"/>
      <c r="I624" s="183">
        <v>2</v>
      </c>
      <c r="J624" s="183" t="s">
        <v>1237</v>
      </c>
      <c r="K624" s="183"/>
      <c r="L624" s="183">
        <v>2</v>
      </c>
      <c r="M624" s="183" t="s">
        <v>451</v>
      </c>
      <c r="N624" s="185" t="s">
        <v>7328</v>
      </c>
      <c r="O624" s="183" t="s">
        <v>454</v>
      </c>
      <c r="P624" s="183" t="s">
        <v>7329</v>
      </c>
      <c r="Q624" s="184"/>
      <c r="R624" s="183" t="s">
        <v>24</v>
      </c>
      <c r="S624" s="183"/>
      <c r="T624" s="184"/>
      <c r="U624" s="184"/>
      <c r="V624" s="184"/>
      <c r="W624" s="184"/>
      <c r="X624" s="179"/>
      <c r="Y624" s="179"/>
      <c r="Z624" s="179"/>
      <c r="AA624" s="179"/>
    </row>
    <row r="625" spans="1:27">
      <c r="A625" s="181">
        <f ca="1">IFERROR(__xludf.DUMMYFUNCTION("IFS(B625="""","""",ISDATE(B625)=TRUE,B625,ISDATE(B625)=FALSE,TO_DATE(DATEVALUE(regexextract(B625,""\d+/\d+/\d+""))))"),44796)</f>
        <v>44796</v>
      </c>
      <c r="B625" s="182" t="s">
        <v>529</v>
      </c>
      <c r="C625" s="183" t="s">
        <v>6521</v>
      </c>
      <c r="D625" s="184">
        <v>2.5</v>
      </c>
      <c r="E625" s="183" t="s">
        <v>6524</v>
      </c>
      <c r="F625" s="183" t="s">
        <v>4</v>
      </c>
      <c r="G625" s="183" t="s">
        <v>725</v>
      </c>
      <c r="H625" s="184" t="s">
        <v>10942</v>
      </c>
      <c r="I625" s="184">
        <v>3</v>
      </c>
      <c r="J625" s="183" t="s">
        <v>1457</v>
      </c>
      <c r="K625" s="183" t="s">
        <v>6526</v>
      </c>
      <c r="L625" s="183">
        <v>2</v>
      </c>
      <c r="M625" s="183" t="s">
        <v>451</v>
      </c>
      <c r="N625" s="187">
        <v>1000000</v>
      </c>
      <c r="O625" s="183" t="s">
        <v>454</v>
      </c>
      <c r="P625" s="183" t="s">
        <v>6527</v>
      </c>
      <c r="Q625" s="184" t="s">
        <v>6528</v>
      </c>
      <c r="R625" s="184" t="s">
        <v>24</v>
      </c>
      <c r="S625" s="184"/>
      <c r="T625" s="184"/>
      <c r="U625" s="184"/>
      <c r="V625" s="184"/>
      <c r="W625" s="184"/>
      <c r="X625" s="179"/>
      <c r="Y625" s="179"/>
      <c r="Z625" s="179"/>
      <c r="AA625" s="179"/>
    </row>
    <row r="626" spans="1:27">
      <c r="A626" s="181">
        <f ca="1">IFERROR(__xludf.DUMMYFUNCTION("IFS(B626="""","""",ISDATE(B626)=TRUE,B626,ISDATE(B626)=FALSE,TO_DATE(DATEVALUE(regexextract(B626,""\d+/\d+/\d+""))))"),44796)</f>
        <v>44796</v>
      </c>
      <c r="B626" s="182" t="s">
        <v>529</v>
      </c>
      <c r="C626" s="183" t="s">
        <v>6190</v>
      </c>
      <c r="D626" s="183">
        <v>2.5</v>
      </c>
      <c r="E626" s="183" t="s">
        <v>6193</v>
      </c>
      <c r="F626" s="183" t="s">
        <v>4</v>
      </c>
      <c r="G626" s="183" t="s">
        <v>725</v>
      </c>
      <c r="H626" s="183" t="s">
        <v>10943</v>
      </c>
      <c r="I626" s="183">
        <v>2</v>
      </c>
      <c r="J626" s="183" t="s">
        <v>1036</v>
      </c>
      <c r="K626" s="183" t="s">
        <v>6195</v>
      </c>
      <c r="L626" s="183">
        <v>3</v>
      </c>
      <c r="M626" s="183" t="s">
        <v>478</v>
      </c>
      <c r="N626" s="185">
        <v>10500000</v>
      </c>
      <c r="O626" s="183" t="s">
        <v>452</v>
      </c>
      <c r="P626" s="183" t="s">
        <v>10944</v>
      </c>
      <c r="Q626" s="184" t="s">
        <v>6197</v>
      </c>
      <c r="R626" s="183" t="s">
        <v>24</v>
      </c>
      <c r="S626" s="184"/>
      <c r="T626" s="184"/>
      <c r="U626" s="184"/>
      <c r="V626" s="184"/>
      <c r="W626" s="184"/>
      <c r="X626" s="179"/>
      <c r="Y626" s="179"/>
      <c r="Z626" s="179"/>
      <c r="AA626" s="179"/>
    </row>
    <row r="627" spans="1:27">
      <c r="A627" s="181">
        <f ca="1">IFERROR(__xludf.DUMMYFUNCTION("IFS(B627="""","""",ISDATE(B627)=TRUE,B627,ISDATE(B627)=FALSE,TO_DATE(DATEVALUE(regexextract(B627,""\d+/\d+/\d+""))))"),44789)</f>
        <v>44789</v>
      </c>
      <c r="B627" s="182" t="s">
        <v>6450</v>
      </c>
      <c r="C627" s="183" t="s">
        <v>9160</v>
      </c>
      <c r="D627" s="184">
        <v>3</v>
      </c>
      <c r="E627" s="183" t="s">
        <v>9163</v>
      </c>
      <c r="F627" s="183" t="s">
        <v>3</v>
      </c>
      <c r="G627" s="183" t="s">
        <v>460</v>
      </c>
      <c r="H627" s="184" t="s">
        <v>9164</v>
      </c>
      <c r="I627" s="184">
        <v>3</v>
      </c>
      <c r="J627" s="183" t="s">
        <v>462</v>
      </c>
      <c r="K627" s="184" t="s">
        <v>9165</v>
      </c>
      <c r="L627" s="183">
        <v>3</v>
      </c>
      <c r="M627" s="183"/>
      <c r="N627" s="187"/>
      <c r="O627" s="183" t="s">
        <v>454</v>
      </c>
      <c r="P627" s="183" t="s">
        <v>10945</v>
      </c>
      <c r="Q627" s="184"/>
      <c r="R627" s="184" t="s">
        <v>24</v>
      </c>
      <c r="S627" s="184"/>
      <c r="T627" s="184"/>
      <c r="U627" s="184"/>
      <c r="V627" s="184"/>
      <c r="W627" s="184"/>
      <c r="X627" s="179"/>
      <c r="Y627" s="179"/>
      <c r="Z627" s="179"/>
      <c r="AA627" s="179"/>
    </row>
    <row r="628" spans="1:27">
      <c r="A628" s="181">
        <f ca="1">IFERROR(__xludf.DUMMYFUNCTION("IFS(B628="""","""",ISDATE(B628)=TRUE,B628,ISDATE(B628)=FALSE,TO_DATE(DATEVALUE(regexextract(B628,""\d+/\d+/\d+""))))"),44796)</f>
        <v>44796</v>
      </c>
      <c r="B628" s="182" t="s">
        <v>529</v>
      </c>
      <c r="C628" s="183" t="s">
        <v>6018</v>
      </c>
      <c r="D628" s="183">
        <v>2.75</v>
      </c>
      <c r="E628" s="183" t="s">
        <v>6021</v>
      </c>
      <c r="F628" s="183" t="s">
        <v>4</v>
      </c>
      <c r="G628" s="183" t="s">
        <v>725</v>
      </c>
      <c r="H628" s="183" t="s">
        <v>6022</v>
      </c>
      <c r="I628" s="183">
        <v>2.5</v>
      </c>
      <c r="J628" s="183" t="s">
        <v>1371</v>
      </c>
      <c r="K628" s="183" t="s">
        <v>6023</v>
      </c>
      <c r="L628" s="183">
        <v>3</v>
      </c>
      <c r="M628" s="183"/>
      <c r="N628" s="187"/>
      <c r="O628" s="183" t="s">
        <v>452</v>
      </c>
      <c r="P628" s="183" t="s">
        <v>6024</v>
      </c>
      <c r="Q628" s="184"/>
      <c r="R628" s="183" t="s">
        <v>24</v>
      </c>
      <c r="S628" s="183"/>
      <c r="T628" s="184"/>
      <c r="U628" s="184"/>
      <c r="V628" s="184"/>
      <c r="W628" s="184"/>
      <c r="X628" s="179"/>
      <c r="Y628" s="179"/>
      <c r="Z628" s="179"/>
      <c r="AA628" s="179"/>
    </row>
    <row r="629" spans="1:27">
      <c r="A629" s="181">
        <f ca="1">IFERROR(__xludf.DUMMYFUNCTION("IFS(B629="""","""",ISDATE(B629)=TRUE,B629,ISDATE(B629)=FALSE,TO_DATE(DATEVALUE(regexextract(B629,""\d+/\d+/\d+""))))"),44796)</f>
        <v>44796</v>
      </c>
      <c r="B629" s="182" t="s">
        <v>529</v>
      </c>
      <c r="C629" s="183" t="s">
        <v>5346</v>
      </c>
      <c r="D629" s="183">
        <v>3</v>
      </c>
      <c r="E629" s="183" t="s">
        <v>5349</v>
      </c>
      <c r="F629" s="183" t="s">
        <v>4</v>
      </c>
      <c r="G629" s="183" t="s">
        <v>725</v>
      </c>
      <c r="H629" s="183" t="s">
        <v>10946</v>
      </c>
      <c r="I629" s="183">
        <v>2</v>
      </c>
      <c r="J629" s="183" t="s">
        <v>990</v>
      </c>
      <c r="K629" s="183"/>
      <c r="L629" s="183">
        <v>4</v>
      </c>
      <c r="M629" s="184" t="s">
        <v>784</v>
      </c>
      <c r="N629" s="188">
        <v>250000</v>
      </c>
      <c r="O629" s="183" t="s">
        <v>452</v>
      </c>
      <c r="P629" s="183" t="s">
        <v>10947</v>
      </c>
      <c r="Q629" s="184"/>
      <c r="R629" s="183" t="s">
        <v>24</v>
      </c>
      <c r="S629" s="184"/>
      <c r="T629" s="184"/>
      <c r="U629" s="184"/>
      <c r="V629" s="184"/>
      <c r="W629" s="184"/>
      <c r="X629" s="179"/>
      <c r="Y629" s="179"/>
      <c r="Z629" s="179"/>
      <c r="AA629" s="179"/>
    </row>
    <row r="630" spans="1:27">
      <c r="A630" s="181">
        <f ca="1">IFERROR(__xludf.DUMMYFUNCTION("IFS(B630="""","""",ISDATE(B630)=TRUE,B630,ISDATE(B630)=FALSE,TO_DATE(DATEVALUE(regexextract(B630,""\d+/\d+/\d+""))))"),44791)</f>
        <v>44791</v>
      </c>
      <c r="B630" s="182" t="s">
        <v>10182</v>
      </c>
      <c r="C630" s="183" t="s">
        <v>159</v>
      </c>
      <c r="D630" s="183">
        <v>4.25</v>
      </c>
      <c r="E630" s="183" t="s">
        <v>3552</v>
      </c>
      <c r="F630" s="183" t="s">
        <v>5</v>
      </c>
      <c r="G630" s="183" t="s">
        <v>460</v>
      </c>
      <c r="H630" s="184" t="s">
        <v>3553</v>
      </c>
      <c r="I630" s="183">
        <v>4</v>
      </c>
      <c r="J630" s="183" t="s">
        <v>462</v>
      </c>
      <c r="K630" s="183" t="s">
        <v>10948</v>
      </c>
      <c r="L630" s="183">
        <v>4.5</v>
      </c>
      <c r="M630" s="183" t="s">
        <v>923</v>
      </c>
      <c r="N630" s="185" t="s">
        <v>3555</v>
      </c>
      <c r="O630" s="183" t="s">
        <v>454</v>
      </c>
      <c r="P630" s="183" t="s">
        <v>10949</v>
      </c>
      <c r="Q630" s="184"/>
      <c r="R630" s="183" t="s">
        <v>19</v>
      </c>
      <c r="S630" s="184" t="s">
        <v>3557</v>
      </c>
      <c r="T630" s="184"/>
      <c r="U630" s="184"/>
      <c r="V630" s="184"/>
      <c r="W630" s="184"/>
      <c r="X630" s="179"/>
      <c r="Y630" s="179"/>
      <c r="Z630" s="179"/>
      <c r="AA630" s="179"/>
    </row>
    <row r="631" spans="1:27">
      <c r="A631" s="181">
        <f ca="1">IFERROR(__xludf.DUMMYFUNCTION("IFS(B631="""","""",ISDATE(B631)=TRUE,B631,ISDATE(B631)=FALSE,TO_DATE(DATEVALUE(regexextract(B631,""\d+/\d+/\d+""))))"),44789)</f>
        <v>44789</v>
      </c>
      <c r="B631" s="182" t="s">
        <v>6450</v>
      </c>
      <c r="C631" s="183" t="s">
        <v>8288</v>
      </c>
      <c r="D631" s="184">
        <v>1</v>
      </c>
      <c r="E631" s="183" t="s">
        <v>8291</v>
      </c>
      <c r="F631" s="183" t="s">
        <v>5</v>
      </c>
      <c r="G631" s="183"/>
      <c r="H631" s="184" t="s">
        <v>8292</v>
      </c>
      <c r="I631" s="184">
        <v>1</v>
      </c>
      <c r="J631" s="183"/>
      <c r="K631" s="183" t="s">
        <v>8292</v>
      </c>
      <c r="L631" s="183">
        <v>1</v>
      </c>
      <c r="M631" s="183"/>
      <c r="N631" s="187"/>
      <c r="O631" s="183" t="s">
        <v>452</v>
      </c>
      <c r="P631" s="183" t="s">
        <v>8293</v>
      </c>
      <c r="Q631" s="183"/>
      <c r="R631" s="184" t="s">
        <v>24</v>
      </c>
      <c r="S631" s="184" t="s">
        <v>10950</v>
      </c>
      <c r="T631" s="184"/>
      <c r="U631" s="184"/>
      <c r="V631" s="184"/>
      <c r="W631" s="184"/>
      <c r="X631" s="179"/>
      <c r="Y631" s="179"/>
      <c r="Z631" s="179"/>
      <c r="AA631" s="179"/>
    </row>
    <row r="632" spans="1:27">
      <c r="A632" s="181">
        <f ca="1">IFERROR(__xludf.DUMMYFUNCTION("IFS(B632="""","""",ISDATE(B632)=TRUE,B632,ISDATE(B632)=FALSE,TO_DATE(DATEVALUE(regexextract(B632,""\d+/\d+/\d+""))))"),44791)</f>
        <v>44791</v>
      </c>
      <c r="B632" s="182" t="s">
        <v>598</v>
      </c>
      <c r="C632" s="183" t="s">
        <v>10951</v>
      </c>
      <c r="D632" s="184">
        <v>3.25</v>
      </c>
      <c r="E632" s="183" t="s">
        <v>2374</v>
      </c>
      <c r="F632" s="183" t="s">
        <v>5</v>
      </c>
      <c r="G632" s="183" t="s">
        <v>447</v>
      </c>
      <c r="H632" s="184" t="s">
        <v>10952</v>
      </c>
      <c r="I632" s="184">
        <v>3</v>
      </c>
      <c r="J632" s="183" t="s">
        <v>449</v>
      </c>
      <c r="K632" s="184" t="s">
        <v>10953</v>
      </c>
      <c r="L632" s="184">
        <v>3.5</v>
      </c>
      <c r="M632" s="183"/>
      <c r="N632" s="185"/>
      <c r="O632" s="183" t="s">
        <v>452</v>
      </c>
      <c r="P632" s="183" t="s">
        <v>10954</v>
      </c>
      <c r="Q632" s="184"/>
      <c r="R632" s="184" t="s">
        <v>24</v>
      </c>
      <c r="S632" s="184"/>
      <c r="T632" s="184"/>
      <c r="U632" s="184"/>
      <c r="V632" s="184"/>
      <c r="W632" s="184"/>
      <c r="X632" s="179"/>
      <c r="Y632" s="179"/>
      <c r="Z632" s="179"/>
      <c r="AA632" s="179"/>
    </row>
    <row r="633" spans="1:27">
      <c r="A633" s="181">
        <f ca="1">IFERROR(__xludf.DUMMYFUNCTION("IFS(B633="""","""",ISDATE(B633)=TRUE,B633,ISDATE(B633)=FALSE,TO_DATE(DATEVALUE(regexextract(B633,""\d+/\d+/\d+""))))"),44791)</f>
        <v>44791</v>
      </c>
      <c r="B633" s="182" t="s">
        <v>598</v>
      </c>
      <c r="C633" s="183" t="s">
        <v>2127</v>
      </c>
      <c r="D633" s="184">
        <v>2.75</v>
      </c>
      <c r="E633" s="183" t="s">
        <v>2130</v>
      </c>
      <c r="F633" s="183" t="s">
        <v>5</v>
      </c>
      <c r="G633" s="183" t="s">
        <v>447</v>
      </c>
      <c r="H633" s="184" t="s">
        <v>10955</v>
      </c>
      <c r="I633" s="184">
        <v>2.5</v>
      </c>
      <c r="J633" s="183" t="s">
        <v>543</v>
      </c>
      <c r="K633" s="184" t="s">
        <v>10956</v>
      </c>
      <c r="L633" s="184">
        <v>3</v>
      </c>
      <c r="M633" s="183" t="s">
        <v>2133</v>
      </c>
      <c r="N633" s="192">
        <v>10000000</v>
      </c>
      <c r="O633" s="183" t="s">
        <v>452</v>
      </c>
      <c r="P633" s="183" t="s">
        <v>2134</v>
      </c>
      <c r="Q633" s="183"/>
      <c r="R633" s="184" t="s">
        <v>24</v>
      </c>
      <c r="S633" s="184"/>
      <c r="T633" s="184"/>
      <c r="U633" s="184"/>
      <c r="V633" s="184"/>
      <c r="W633" s="184"/>
      <c r="X633" s="179"/>
      <c r="Y633" s="179"/>
      <c r="Z633" s="179"/>
      <c r="AA633" s="179"/>
    </row>
    <row r="634" spans="1:27">
      <c r="A634" s="181">
        <f ca="1">IFERROR(__xludf.DUMMYFUNCTION("IFS(B634="""","""",ISDATE(B634)=TRUE,B634,ISDATE(B634)=FALSE,TO_DATE(DATEVALUE(regexextract(B634,""\d+/\d+/\d+""))))"),44789)</f>
        <v>44789</v>
      </c>
      <c r="B634" s="182" t="s">
        <v>6450</v>
      </c>
      <c r="C634" s="183" t="s">
        <v>5218</v>
      </c>
      <c r="D634" s="184">
        <v>3.25</v>
      </c>
      <c r="E634" s="183" t="s">
        <v>5221</v>
      </c>
      <c r="F634" s="183" t="s">
        <v>4</v>
      </c>
      <c r="G634" s="183" t="s">
        <v>602</v>
      </c>
      <c r="H634" s="184" t="s">
        <v>5222</v>
      </c>
      <c r="I634" s="184">
        <v>3</v>
      </c>
      <c r="J634" s="183" t="s">
        <v>1054</v>
      </c>
      <c r="K634" s="184" t="s">
        <v>5223</v>
      </c>
      <c r="L634" s="184">
        <v>3.5</v>
      </c>
      <c r="M634" s="183"/>
      <c r="N634" s="185"/>
      <c r="O634" s="183" t="s">
        <v>454</v>
      </c>
      <c r="P634" s="183" t="s">
        <v>5224</v>
      </c>
      <c r="Q634" s="184"/>
      <c r="R634" s="184" t="s">
        <v>24</v>
      </c>
      <c r="S634" s="184"/>
      <c r="T634" s="184"/>
      <c r="U634" s="184"/>
      <c r="V634" s="184"/>
      <c r="W634" s="184"/>
      <c r="X634" s="179"/>
      <c r="Y634" s="179"/>
      <c r="Z634" s="179"/>
      <c r="AA634" s="179"/>
    </row>
    <row r="635" spans="1:27">
      <c r="A635" s="181">
        <f ca="1">IFERROR(__xludf.DUMMYFUNCTION("IFS(B635="""","""",ISDATE(B635)=TRUE,B635,ISDATE(B635)=FALSE,TO_DATE(DATEVALUE(regexextract(B635,""\d+/\d+/\d+""))))"),44791)</f>
        <v>44791</v>
      </c>
      <c r="B635" s="182" t="s">
        <v>598</v>
      </c>
      <c r="C635" s="183" t="s">
        <v>3587</v>
      </c>
      <c r="D635" s="184">
        <v>3</v>
      </c>
      <c r="E635" s="183" t="s">
        <v>3590</v>
      </c>
      <c r="F635" s="183" t="s">
        <v>5</v>
      </c>
      <c r="G635" s="183" t="s">
        <v>447</v>
      </c>
      <c r="H635" s="184" t="s">
        <v>10957</v>
      </c>
      <c r="I635" s="184">
        <v>3</v>
      </c>
      <c r="J635" s="183" t="s">
        <v>622</v>
      </c>
      <c r="K635" s="183"/>
      <c r="L635" s="183">
        <v>3</v>
      </c>
      <c r="M635" s="183" t="s">
        <v>478</v>
      </c>
      <c r="N635" s="185" t="s">
        <v>3592</v>
      </c>
      <c r="O635" s="183" t="s">
        <v>465</v>
      </c>
      <c r="P635" s="183" t="s">
        <v>3593</v>
      </c>
      <c r="Q635" s="184"/>
      <c r="R635" s="184" t="s">
        <v>24</v>
      </c>
      <c r="S635" s="184"/>
      <c r="T635" s="184"/>
      <c r="U635" s="184"/>
      <c r="V635" s="184"/>
      <c r="W635" s="184"/>
      <c r="X635" s="179"/>
      <c r="Y635" s="179"/>
      <c r="Z635" s="179"/>
      <c r="AA635" s="179"/>
    </row>
    <row r="636" spans="1:27">
      <c r="A636" s="181">
        <f ca="1">IFERROR(__xludf.DUMMYFUNCTION("IFS(B636="""","""",ISDATE(B636)=TRUE,B636,ISDATE(B636)=FALSE,TO_DATE(DATEVALUE(regexextract(B636,""\d+/\d+/\d+""))))"),44789)</f>
        <v>44789</v>
      </c>
      <c r="B636" s="182" t="s">
        <v>6450</v>
      </c>
      <c r="C636" s="183" t="s">
        <v>7259</v>
      </c>
      <c r="D636" s="183">
        <v>2</v>
      </c>
      <c r="E636" s="183" t="s">
        <v>7262</v>
      </c>
      <c r="F636" s="183" t="s">
        <v>4</v>
      </c>
      <c r="G636" s="183" t="s">
        <v>602</v>
      </c>
      <c r="H636" s="183" t="s">
        <v>7263</v>
      </c>
      <c r="I636" s="183">
        <v>2</v>
      </c>
      <c r="J636" s="183" t="s">
        <v>1054</v>
      </c>
      <c r="K636" s="183" t="s">
        <v>7264</v>
      </c>
      <c r="L636" s="183">
        <v>2</v>
      </c>
      <c r="M636" s="183"/>
      <c r="N636" s="187"/>
      <c r="O636" s="183" t="s">
        <v>452</v>
      </c>
      <c r="P636" s="183" t="s">
        <v>7265</v>
      </c>
      <c r="Q636" s="184"/>
      <c r="R636" s="183" t="s">
        <v>24</v>
      </c>
      <c r="S636" s="183"/>
      <c r="T636" s="184"/>
      <c r="U636" s="184"/>
      <c r="V636" s="184"/>
      <c r="W636" s="184"/>
      <c r="X636" s="179"/>
      <c r="Y636" s="179"/>
      <c r="Z636" s="179"/>
      <c r="AA636" s="179"/>
    </row>
    <row r="637" spans="1:27">
      <c r="A637" s="181">
        <f ca="1">IFERROR(__xludf.DUMMYFUNCTION("IFS(B637="""","""",ISDATE(B637)=TRUE,B637,ISDATE(B637)=FALSE,TO_DATE(DATEVALUE(regexextract(B637,""\d+/\d+/\d+""))))"),44789)</f>
        <v>44789</v>
      </c>
      <c r="B637" s="182" t="s">
        <v>6450</v>
      </c>
      <c r="C637" s="183" t="s">
        <v>6754</v>
      </c>
      <c r="D637" s="184">
        <v>2.25</v>
      </c>
      <c r="E637" s="183" t="s">
        <v>6757</v>
      </c>
      <c r="F637" s="183" t="s">
        <v>4</v>
      </c>
      <c r="G637" s="183" t="s">
        <v>602</v>
      </c>
      <c r="H637" s="184" t="s">
        <v>6758</v>
      </c>
      <c r="I637" s="184">
        <v>2.5</v>
      </c>
      <c r="J637" s="183" t="s">
        <v>1054</v>
      </c>
      <c r="K637" s="184" t="s">
        <v>10958</v>
      </c>
      <c r="L637" s="183">
        <v>2</v>
      </c>
      <c r="M637" s="184"/>
      <c r="N637" s="188"/>
      <c r="O637" s="183" t="s">
        <v>452</v>
      </c>
      <c r="P637" s="183" t="s">
        <v>6760</v>
      </c>
      <c r="Q637" s="184"/>
      <c r="R637" s="184" t="s">
        <v>24</v>
      </c>
      <c r="S637" s="184"/>
      <c r="T637" s="184"/>
      <c r="U637" s="184"/>
      <c r="V637" s="184"/>
      <c r="W637" s="184"/>
      <c r="X637" s="179"/>
      <c r="Y637" s="179"/>
      <c r="Z637" s="179"/>
      <c r="AA637" s="179"/>
    </row>
    <row r="638" spans="1:27">
      <c r="A638" s="181">
        <f ca="1">IFERROR(__xludf.DUMMYFUNCTION("IFS(B638="""","""",ISDATE(B638)=TRUE,B638,ISDATE(B638)=FALSE,TO_DATE(DATEVALUE(regexextract(B638,""\d+/\d+/\d+""))))"),44784)</f>
        <v>44784</v>
      </c>
      <c r="B638" s="182" t="s">
        <v>10173</v>
      </c>
      <c r="C638" s="183" t="s">
        <v>6417</v>
      </c>
      <c r="D638" s="184">
        <v>2.5</v>
      </c>
      <c r="E638" s="184" t="s">
        <v>10959</v>
      </c>
      <c r="F638" s="183" t="s">
        <v>4</v>
      </c>
      <c r="G638" s="183" t="s">
        <v>602</v>
      </c>
      <c r="H638" s="184" t="s">
        <v>6421</v>
      </c>
      <c r="I638" s="184">
        <v>2</v>
      </c>
      <c r="J638" s="183" t="s">
        <v>476</v>
      </c>
      <c r="K638" s="183" t="s">
        <v>10960</v>
      </c>
      <c r="L638" s="183">
        <v>3</v>
      </c>
      <c r="M638" s="183" t="s">
        <v>784</v>
      </c>
      <c r="N638" s="192">
        <v>500000</v>
      </c>
      <c r="O638" s="183" t="s">
        <v>452</v>
      </c>
      <c r="P638" s="183" t="s">
        <v>452</v>
      </c>
      <c r="Q638" s="183"/>
      <c r="R638" s="184" t="s">
        <v>24</v>
      </c>
      <c r="S638" s="184"/>
      <c r="T638" s="184"/>
      <c r="U638" s="184"/>
      <c r="V638" s="184"/>
      <c r="W638" s="184"/>
      <c r="X638" s="179"/>
      <c r="Y638" s="179"/>
      <c r="Z638" s="179"/>
      <c r="AA638" s="179"/>
    </row>
    <row r="639" spans="1:27">
      <c r="A639" s="181">
        <f ca="1">IFERROR(__xludf.DUMMYFUNCTION("IFS(B639="""","""",ISDATE(B639)=TRUE,B639,ISDATE(B639)=FALSE,TO_DATE(DATEVALUE(regexextract(B639,""\d+/\d+/\d+""))))"),44789)</f>
        <v>44789</v>
      </c>
      <c r="B639" s="182" t="s">
        <v>6450</v>
      </c>
      <c r="C639" s="183" t="s">
        <v>7085</v>
      </c>
      <c r="D639" s="183">
        <v>2</v>
      </c>
      <c r="E639" s="183" t="s">
        <v>7088</v>
      </c>
      <c r="F639" s="183" t="s">
        <v>4</v>
      </c>
      <c r="G639" s="183" t="s">
        <v>602</v>
      </c>
      <c r="H639" s="183" t="s">
        <v>7089</v>
      </c>
      <c r="I639" s="183">
        <v>2</v>
      </c>
      <c r="J639" s="183" t="s">
        <v>476</v>
      </c>
      <c r="K639" s="183" t="s">
        <v>10961</v>
      </c>
      <c r="L639" s="183">
        <v>2</v>
      </c>
      <c r="M639" s="184"/>
      <c r="N639" s="188"/>
      <c r="O639" s="183" t="s">
        <v>454</v>
      </c>
      <c r="P639" s="183" t="s">
        <v>452</v>
      </c>
      <c r="Q639" s="184"/>
      <c r="R639" s="183" t="s">
        <v>24</v>
      </c>
      <c r="S639" s="183"/>
      <c r="T639" s="184"/>
      <c r="U639" s="184"/>
      <c r="V639" s="184"/>
      <c r="W639" s="184"/>
      <c r="X639" s="179"/>
      <c r="Y639" s="179"/>
      <c r="Z639" s="179"/>
      <c r="AA639" s="179"/>
    </row>
    <row r="640" spans="1:27">
      <c r="A640" s="181">
        <f ca="1">IFERROR(__xludf.DUMMYFUNCTION("IFS(B640="""","""",ISDATE(B640)=TRUE,B640,ISDATE(B640)=FALSE,TO_DATE(DATEVALUE(regexextract(B640,""\d+/\d+/\d+""))))"),44789)</f>
        <v>44789</v>
      </c>
      <c r="B640" s="182" t="s">
        <v>6450</v>
      </c>
      <c r="C640" s="183" t="s">
        <v>4331</v>
      </c>
      <c r="D640" s="184">
        <v>3.75</v>
      </c>
      <c r="E640" s="183" t="s">
        <v>4334</v>
      </c>
      <c r="F640" s="183" t="s">
        <v>4</v>
      </c>
      <c r="G640" s="183" t="s">
        <v>602</v>
      </c>
      <c r="H640" s="184" t="s">
        <v>4335</v>
      </c>
      <c r="I640" s="184">
        <v>3.5</v>
      </c>
      <c r="J640" s="183" t="s">
        <v>476</v>
      </c>
      <c r="K640" s="184" t="s">
        <v>10962</v>
      </c>
      <c r="L640" s="183">
        <v>4</v>
      </c>
      <c r="M640" s="183" t="s">
        <v>451</v>
      </c>
      <c r="N640" s="192">
        <v>500</v>
      </c>
      <c r="O640" s="183" t="s">
        <v>452</v>
      </c>
      <c r="P640" s="183" t="s">
        <v>4337</v>
      </c>
      <c r="Q640" s="184"/>
      <c r="R640" s="184" t="s">
        <v>24</v>
      </c>
      <c r="S640" s="184" t="s">
        <v>4338</v>
      </c>
      <c r="T640" s="184"/>
      <c r="U640" s="184"/>
      <c r="V640" s="184"/>
      <c r="W640" s="184"/>
      <c r="X640" s="179"/>
      <c r="Y640" s="179"/>
      <c r="Z640" s="179"/>
      <c r="AA640" s="179"/>
    </row>
    <row r="641" spans="1:27">
      <c r="A641" s="181">
        <f ca="1">IFERROR(__xludf.DUMMYFUNCTION("IFS(B641="""","""",ISDATE(B641)=TRUE,B641,ISDATE(B641)=FALSE,TO_DATE(DATEVALUE(regexextract(B641,""\d+/\d+/\d+""))))"),44796)</f>
        <v>44796</v>
      </c>
      <c r="B641" s="182" t="s">
        <v>529</v>
      </c>
      <c r="C641" s="183" t="s">
        <v>2408</v>
      </c>
      <c r="D641" s="184">
        <v>3.25</v>
      </c>
      <c r="E641" s="183" t="s">
        <v>2411</v>
      </c>
      <c r="F641" s="183" t="s">
        <v>5</v>
      </c>
      <c r="G641" s="183" t="s">
        <v>447</v>
      </c>
      <c r="H641" s="184" t="s">
        <v>10963</v>
      </c>
      <c r="I641" s="184">
        <v>3</v>
      </c>
      <c r="J641" s="183" t="s">
        <v>543</v>
      </c>
      <c r="K641" s="184" t="s">
        <v>10964</v>
      </c>
      <c r="L641" s="184">
        <v>3.5</v>
      </c>
      <c r="M641" s="184" t="s">
        <v>478</v>
      </c>
      <c r="N641" s="188" t="s">
        <v>2414</v>
      </c>
      <c r="O641" s="183" t="s">
        <v>452</v>
      </c>
      <c r="P641" s="183" t="s">
        <v>10965</v>
      </c>
      <c r="Q641" s="184"/>
      <c r="R641" s="184" t="s">
        <v>24</v>
      </c>
      <c r="S641" s="184"/>
      <c r="T641" s="184"/>
      <c r="U641" s="184"/>
      <c r="V641" s="184"/>
      <c r="W641" s="184"/>
      <c r="X641" s="179"/>
      <c r="Y641" s="179"/>
      <c r="Z641" s="179"/>
      <c r="AA641" s="179"/>
    </row>
    <row r="642" spans="1:27">
      <c r="A642" s="181">
        <f ca="1">IFERROR(__xludf.DUMMYFUNCTION("IFS(B642="""","""",ISDATE(B642)=TRUE,B642,ISDATE(B642)=FALSE,TO_DATE(DATEVALUE(regexextract(B642,""\d+/\d+/\d+""))))"),44796)</f>
        <v>44796</v>
      </c>
      <c r="B642" s="182" t="s">
        <v>529</v>
      </c>
      <c r="C642" s="183" t="s">
        <v>8280</v>
      </c>
      <c r="D642" s="184">
        <v>1</v>
      </c>
      <c r="E642" s="183" t="s">
        <v>8283</v>
      </c>
      <c r="F642" s="183" t="s">
        <v>4</v>
      </c>
      <c r="G642" s="183" t="s">
        <v>725</v>
      </c>
      <c r="H642" s="184" t="s">
        <v>7191</v>
      </c>
      <c r="I642" s="184">
        <v>1</v>
      </c>
      <c r="J642" s="183" t="s">
        <v>1371</v>
      </c>
      <c r="K642" s="184" t="s">
        <v>8284</v>
      </c>
      <c r="L642" s="184">
        <v>1</v>
      </c>
      <c r="M642" s="183"/>
      <c r="N642" s="185"/>
      <c r="O642" s="183" t="s">
        <v>452</v>
      </c>
      <c r="P642" s="183" t="s">
        <v>8285</v>
      </c>
      <c r="Q642" s="184"/>
      <c r="R642" s="184" t="s">
        <v>24</v>
      </c>
      <c r="S642" s="184"/>
      <c r="T642" s="184"/>
      <c r="U642" s="184"/>
      <c r="V642" s="184"/>
      <c r="W642" s="184"/>
      <c r="X642" s="179"/>
      <c r="Y642" s="179"/>
      <c r="Z642" s="179"/>
      <c r="AA642" s="179"/>
    </row>
    <row r="643" spans="1:27">
      <c r="A643" s="181">
        <f ca="1">IFERROR(__xludf.DUMMYFUNCTION("IFS(B643="""","""",ISDATE(B643)=TRUE,B643,ISDATE(B643)=FALSE,TO_DATE(DATEVALUE(regexextract(B643,""\d+/\d+/\d+""))))"),44796)</f>
        <v>44796</v>
      </c>
      <c r="B643" s="182" t="s">
        <v>10966</v>
      </c>
      <c r="C643" s="183" t="s">
        <v>9325</v>
      </c>
      <c r="D643" s="183">
        <v>2</v>
      </c>
      <c r="E643" s="183" t="s">
        <v>9328</v>
      </c>
      <c r="F643" s="183" t="s">
        <v>5</v>
      </c>
      <c r="G643" s="183" t="s">
        <v>447</v>
      </c>
      <c r="H643" s="183" t="s">
        <v>10967</v>
      </c>
      <c r="I643" s="183">
        <v>2</v>
      </c>
      <c r="J643" s="183" t="s">
        <v>622</v>
      </c>
      <c r="K643" s="183" t="s">
        <v>9330</v>
      </c>
      <c r="L643" s="183">
        <v>2</v>
      </c>
      <c r="M643" s="184" t="s">
        <v>923</v>
      </c>
      <c r="N643" s="188">
        <v>350000</v>
      </c>
      <c r="O643" s="183" t="s">
        <v>452</v>
      </c>
      <c r="P643" s="183" t="s">
        <v>10968</v>
      </c>
      <c r="Q643" s="184"/>
      <c r="R643" s="183" t="s">
        <v>25</v>
      </c>
      <c r="S643" s="184" t="s">
        <v>10969</v>
      </c>
      <c r="T643" s="184"/>
      <c r="U643" s="184"/>
      <c r="V643" s="184"/>
      <c r="W643" s="184"/>
      <c r="X643" s="179"/>
      <c r="Y643" s="179"/>
      <c r="Z643" s="179"/>
      <c r="AA643" s="179"/>
    </row>
    <row r="644" spans="1:27">
      <c r="A644" s="181">
        <f ca="1">IFERROR(__xludf.DUMMYFUNCTION("IFS(B644="""","""",ISDATE(B644)=TRUE,B644,ISDATE(B644)=FALSE,TO_DATE(DATEVALUE(regexextract(B644,""\d+/\d+/\d+""))))"),44796)</f>
        <v>44796</v>
      </c>
      <c r="B644" s="182" t="s">
        <v>529</v>
      </c>
      <c r="C644" s="183" t="s">
        <v>6399</v>
      </c>
      <c r="D644" s="184">
        <v>2.5</v>
      </c>
      <c r="E644" s="183" t="s">
        <v>6402</v>
      </c>
      <c r="F644" s="183" t="s">
        <v>4</v>
      </c>
      <c r="G644" s="183" t="s">
        <v>725</v>
      </c>
      <c r="H644" s="184" t="s">
        <v>10970</v>
      </c>
      <c r="I644" s="184">
        <v>2</v>
      </c>
      <c r="J644" s="183" t="s">
        <v>1350</v>
      </c>
      <c r="K644" s="184" t="s">
        <v>6404</v>
      </c>
      <c r="L644" s="184">
        <v>3</v>
      </c>
      <c r="M644" s="183" t="s">
        <v>451</v>
      </c>
      <c r="N644" s="185">
        <v>5000000</v>
      </c>
      <c r="O644" s="183" t="s">
        <v>452</v>
      </c>
      <c r="P644" s="183" t="s">
        <v>1119</v>
      </c>
      <c r="Q644" s="183"/>
      <c r="R644" s="184" t="s">
        <v>24</v>
      </c>
      <c r="S644" s="184"/>
      <c r="T644" s="184"/>
      <c r="U644" s="184"/>
      <c r="V644" s="184"/>
      <c r="W644" s="184"/>
      <c r="X644" s="179"/>
      <c r="Y644" s="179"/>
      <c r="Z644" s="179"/>
      <c r="AA644" s="179"/>
    </row>
    <row r="645" spans="1:27">
      <c r="A645" s="181">
        <f ca="1">IFERROR(__xludf.DUMMYFUNCTION("IFS(B645="""","""",ISDATE(B645)=TRUE,B645,ISDATE(B645)=FALSE,TO_DATE(DATEVALUE(regexextract(B645,""\d+/\d+/\d+""))))"),44791)</f>
        <v>44791</v>
      </c>
      <c r="B645" s="182" t="s">
        <v>10182</v>
      </c>
      <c r="C645" s="183" t="s">
        <v>408</v>
      </c>
      <c r="D645" s="183">
        <v>4</v>
      </c>
      <c r="E645" s="183" t="s">
        <v>1881</v>
      </c>
      <c r="F645" s="183" t="s">
        <v>3</v>
      </c>
      <c r="G645" s="183" t="s">
        <v>460</v>
      </c>
      <c r="H645" s="183" t="s">
        <v>1882</v>
      </c>
      <c r="I645" s="183">
        <v>4</v>
      </c>
      <c r="J645" s="183" t="s">
        <v>462</v>
      </c>
      <c r="K645" s="183" t="s">
        <v>1883</v>
      </c>
      <c r="L645" s="183">
        <v>4</v>
      </c>
      <c r="M645" s="183"/>
      <c r="N645" s="187"/>
      <c r="O645" s="183" t="s">
        <v>452</v>
      </c>
      <c r="P645" s="183" t="s">
        <v>1884</v>
      </c>
      <c r="Q645" s="184" t="s">
        <v>1885</v>
      </c>
      <c r="R645" s="183" t="s">
        <v>18</v>
      </c>
      <c r="S645" s="184"/>
      <c r="T645" s="184"/>
      <c r="U645" s="184"/>
      <c r="V645" s="184"/>
      <c r="W645" s="184"/>
      <c r="X645" s="179"/>
      <c r="Y645" s="179"/>
      <c r="Z645" s="179"/>
      <c r="AA645" s="179"/>
    </row>
    <row r="646" spans="1:27">
      <c r="A646" s="181">
        <f ca="1">IFERROR(__xludf.DUMMYFUNCTION("IFS(B646="""","""",ISDATE(B646)=TRUE,B646,ISDATE(B646)=FALSE,TO_DATE(DATEVALUE(regexextract(B646,""\d+/\d+/\d+""))))"),44796)</f>
        <v>44796</v>
      </c>
      <c r="B646" s="182" t="s">
        <v>529</v>
      </c>
      <c r="C646" s="183" t="s">
        <v>2607</v>
      </c>
      <c r="D646" s="184">
        <v>3</v>
      </c>
      <c r="E646" s="183" t="s">
        <v>2610</v>
      </c>
      <c r="F646" s="183" t="s">
        <v>5</v>
      </c>
      <c r="G646" s="184" t="s">
        <v>447</v>
      </c>
      <c r="H646" s="184" t="s">
        <v>10971</v>
      </c>
      <c r="I646" s="184">
        <v>3</v>
      </c>
      <c r="J646" s="184" t="s">
        <v>449</v>
      </c>
      <c r="K646" s="184" t="s">
        <v>10972</v>
      </c>
      <c r="L646" s="184">
        <v>3</v>
      </c>
      <c r="M646" s="183" t="s">
        <v>451</v>
      </c>
      <c r="N646" s="187">
        <v>1500000</v>
      </c>
      <c r="O646" s="183" t="s">
        <v>452</v>
      </c>
      <c r="P646" s="183" t="s">
        <v>10973</v>
      </c>
      <c r="Q646" s="184"/>
      <c r="R646" s="183" t="s">
        <v>24</v>
      </c>
      <c r="S646" s="184"/>
      <c r="T646" s="184"/>
      <c r="U646" s="184"/>
      <c r="V646" s="184"/>
      <c r="W646" s="184"/>
      <c r="X646" s="179"/>
      <c r="Y646" s="179"/>
      <c r="Z646" s="179"/>
      <c r="AA646" s="179"/>
    </row>
    <row r="647" spans="1:27">
      <c r="A647" s="181">
        <f ca="1">IFERROR(__xludf.DUMMYFUNCTION("IFS(B647="""","""",ISDATE(B647)=TRUE,B647,ISDATE(B647)=FALSE,TO_DATE(DATEVALUE(regexextract(B647,""\d+/\d+/\d+""))))"),44796)</f>
        <v>44796</v>
      </c>
      <c r="B647" s="182" t="s">
        <v>529</v>
      </c>
      <c r="C647" s="183" t="s">
        <v>135</v>
      </c>
      <c r="D647" s="184">
        <v>4.25</v>
      </c>
      <c r="E647" s="183" t="s">
        <v>952</v>
      </c>
      <c r="F647" s="183" t="s">
        <v>5</v>
      </c>
      <c r="G647" s="183" t="s">
        <v>447</v>
      </c>
      <c r="H647" s="184" t="s">
        <v>10974</v>
      </c>
      <c r="I647" s="184">
        <v>4.5</v>
      </c>
      <c r="J647" s="183" t="s">
        <v>622</v>
      </c>
      <c r="K647" s="183" t="s">
        <v>10975</v>
      </c>
      <c r="L647" s="183">
        <v>4</v>
      </c>
      <c r="M647" s="183"/>
      <c r="N647" s="185"/>
      <c r="O647" s="183" t="s">
        <v>452</v>
      </c>
      <c r="P647" s="183" t="s">
        <v>955</v>
      </c>
      <c r="Q647" s="184"/>
      <c r="R647" s="184" t="s">
        <v>18</v>
      </c>
      <c r="S647" s="184" t="s">
        <v>956</v>
      </c>
      <c r="T647" s="184"/>
      <c r="U647" s="184"/>
      <c r="V647" s="184"/>
      <c r="W647" s="184"/>
      <c r="X647" s="179"/>
      <c r="Y647" s="179"/>
      <c r="Z647" s="179"/>
      <c r="AA647" s="179"/>
    </row>
    <row r="648" spans="1:27">
      <c r="A648" s="181">
        <f ca="1">IFERROR(__xludf.DUMMYFUNCTION("IFS(B648="""","""",ISDATE(B648)=TRUE,B648,ISDATE(B648)=FALSE,TO_DATE(DATEVALUE(regexextract(B648,""\d+/\d+/\d+""))))"),44796)</f>
        <v>44796</v>
      </c>
      <c r="B648" s="182" t="s">
        <v>529</v>
      </c>
      <c r="C648" s="183" t="s">
        <v>6106</v>
      </c>
      <c r="D648" s="183">
        <v>2.75</v>
      </c>
      <c r="E648" s="183" t="s">
        <v>10976</v>
      </c>
      <c r="F648" s="183" t="s">
        <v>4</v>
      </c>
      <c r="G648" s="183" t="s">
        <v>725</v>
      </c>
      <c r="H648" s="183" t="s">
        <v>10977</v>
      </c>
      <c r="I648" s="183">
        <v>3</v>
      </c>
      <c r="J648" s="183" t="s">
        <v>1045</v>
      </c>
      <c r="K648" s="183" t="s">
        <v>6111</v>
      </c>
      <c r="L648" s="183">
        <v>2.5</v>
      </c>
      <c r="M648" s="183" t="s">
        <v>451</v>
      </c>
      <c r="N648" s="187">
        <v>1500000</v>
      </c>
      <c r="O648" s="183" t="s">
        <v>452</v>
      </c>
      <c r="P648" s="183" t="s">
        <v>10978</v>
      </c>
      <c r="Q648" s="184"/>
      <c r="R648" s="183" t="s">
        <v>24</v>
      </c>
      <c r="S648" s="183"/>
      <c r="T648" s="184"/>
      <c r="U648" s="184"/>
      <c r="V648" s="184"/>
      <c r="W648" s="184"/>
      <c r="X648" s="179"/>
      <c r="Y648" s="179"/>
      <c r="Z648" s="179"/>
      <c r="AA648" s="179"/>
    </row>
    <row r="649" spans="1:27">
      <c r="A649" s="181">
        <f ca="1">IFERROR(__xludf.DUMMYFUNCTION("IFS(B649="""","""",ISDATE(B649)=TRUE,B649,ISDATE(B649)=FALSE,TO_DATE(DATEVALUE(regexextract(B649,""\d+/\d+/\d+""))))"),44796)</f>
        <v>44796</v>
      </c>
      <c r="B649" s="182" t="s">
        <v>529</v>
      </c>
      <c r="C649" s="183" t="s">
        <v>4263</v>
      </c>
      <c r="D649" s="183">
        <v>3.75</v>
      </c>
      <c r="E649" s="183" t="s">
        <v>4266</v>
      </c>
      <c r="F649" s="183" t="s">
        <v>4</v>
      </c>
      <c r="G649" s="183" t="s">
        <v>725</v>
      </c>
      <c r="H649" s="185" t="s">
        <v>10979</v>
      </c>
      <c r="I649" s="183">
        <v>3.5</v>
      </c>
      <c r="J649" s="183" t="s">
        <v>1237</v>
      </c>
      <c r="K649" s="183"/>
      <c r="L649" s="183">
        <v>4</v>
      </c>
      <c r="M649" s="184"/>
      <c r="N649" s="186"/>
      <c r="O649" s="183" t="s">
        <v>452</v>
      </c>
      <c r="P649" s="183" t="s">
        <v>452</v>
      </c>
      <c r="Q649" s="184"/>
      <c r="R649" s="183" t="s">
        <v>24</v>
      </c>
      <c r="S649" s="184"/>
      <c r="T649" s="184"/>
      <c r="U649" s="184"/>
      <c r="V649" s="184"/>
      <c r="W649" s="184"/>
      <c r="X649" s="179"/>
      <c r="Y649" s="179"/>
      <c r="Z649" s="179"/>
      <c r="AA649" s="179"/>
    </row>
    <row r="650" spans="1:27">
      <c r="A650" s="181">
        <f ca="1">IFERROR(__xludf.DUMMYFUNCTION("IFS(B650="""","""",ISDATE(B650)=TRUE,B650,ISDATE(B650)=FALSE,TO_DATE(DATEVALUE(regexextract(B650,""\d+/\d+/\d+""))))"),44789)</f>
        <v>44789</v>
      </c>
      <c r="B650" s="189" t="s">
        <v>6450</v>
      </c>
      <c r="C650" s="183" t="s">
        <v>338</v>
      </c>
      <c r="D650" s="184">
        <v>5</v>
      </c>
      <c r="E650" s="183" t="s">
        <v>1917</v>
      </c>
      <c r="F650" s="183" t="s">
        <v>3</v>
      </c>
      <c r="G650" s="183" t="s">
        <v>460</v>
      </c>
      <c r="H650" s="184" t="s">
        <v>1918</v>
      </c>
      <c r="I650" s="184">
        <v>5</v>
      </c>
      <c r="J650" s="183" t="s">
        <v>941</v>
      </c>
      <c r="K650" s="183" t="s">
        <v>1919</v>
      </c>
      <c r="L650" s="183">
        <v>5</v>
      </c>
      <c r="M650" s="183" t="s">
        <v>1920</v>
      </c>
      <c r="N650" s="187" t="s">
        <v>1921</v>
      </c>
      <c r="O650" s="183" t="s">
        <v>452</v>
      </c>
      <c r="P650" s="183" t="s">
        <v>10980</v>
      </c>
      <c r="Q650" s="184" t="s">
        <v>1924</v>
      </c>
      <c r="R650" s="184" t="s">
        <v>18</v>
      </c>
      <c r="S650" s="184"/>
      <c r="T650" s="184"/>
      <c r="U650" s="184"/>
      <c r="V650" s="184"/>
      <c r="W650" s="184"/>
      <c r="X650" s="179"/>
      <c r="Y650" s="179"/>
      <c r="Z650" s="179"/>
      <c r="AA650" s="179"/>
    </row>
    <row r="651" spans="1:27">
      <c r="A651" s="181">
        <f ca="1">IFERROR(__xludf.DUMMYFUNCTION("IFS(B651="""","""",ISDATE(B651)=TRUE,B651,ISDATE(B651)=FALSE,TO_DATE(DATEVALUE(regexextract(B651,""\d+/\d+/\d+""))))"),44791)</f>
        <v>44791</v>
      </c>
      <c r="B651" s="182" t="s">
        <v>598</v>
      </c>
      <c r="C651" s="183" t="s">
        <v>2156</v>
      </c>
      <c r="D651" s="184">
        <v>3.25</v>
      </c>
      <c r="E651" s="183" t="s">
        <v>2159</v>
      </c>
      <c r="F651" s="183" t="s">
        <v>5</v>
      </c>
      <c r="G651" s="183" t="s">
        <v>447</v>
      </c>
      <c r="H651" s="184" t="s">
        <v>10981</v>
      </c>
      <c r="I651" s="184">
        <v>3.5</v>
      </c>
      <c r="J651" s="183" t="s">
        <v>543</v>
      </c>
      <c r="K651" s="184" t="s">
        <v>10982</v>
      </c>
      <c r="L651" s="184">
        <v>3</v>
      </c>
      <c r="M651" s="183" t="s">
        <v>478</v>
      </c>
      <c r="N651" s="187">
        <v>6000000</v>
      </c>
      <c r="O651" s="183" t="s">
        <v>452</v>
      </c>
      <c r="P651" s="183" t="s">
        <v>2162</v>
      </c>
      <c r="Q651" s="184"/>
      <c r="R651" s="184" t="s">
        <v>24</v>
      </c>
      <c r="S651" s="184"/>
      <c r="T651" s="184"/>
      <c r="U651" s="184"/>
      <c r="V651" s="184"/>
      <c r="W651" s="184"/>
      <c r="X651" s="179"/>
      <c r="Y651" s="179"/>
      <c r="Z651" s="179"/>
      <c r="AA651" s="179"/>
    </row>
    <row r="652" spans="1:27">
      <c r="A652" s="181">
        <f ca="1">IFERROR(__xludf.DUMMYFUNCTION("IFS(B652="""","""",ISDATE(B652)=TRUE,B652,ISDATE(B652)=FALSE,TO_DATE(DATEVALUE(regexextract(B652,""\d+/\d+/\d+""))))"),44789)</f>
        <v>44789</v>
      </c>
      <c r="B652" s="182" t="s">
        <v>6450</v>
      </c>
      <c r="C652" s="183" t="s">
        <v>6339</v>
      </c>
      <c r="D652" s="184">
        <v>2.5</v>
      </c>
      <c r="E652" s="183" t="s">
        <v>6342</v>
      </c>
      <c r="F652" s="183" t="s">
        <v>4</v>
      </c>
      <c r="G652" s="183" t="s">
        <v>602</v>
      </c>
      <c r="H652" s="184" t="s">
        <v>6343</v>
      </c>
      <c r="I652" s="184">
        <v>3</v>
      </c>
      <c r="J652" s="183" t="s">
        <v>1054</v>
      </c>
      <c r="K652" s="183" t="s">
        <v>6344</v>
      </c>
      <c r="L652" s="183">
        <v>2</v>
      </c>
      <c r="M652" s="183" t="s">
        <v>451</v>
      </c>
      <c r="N652" s="187" t="s">
        <v>6345</v>
      </c>
      <c r="O652" s="183" t="s">
        <v>452</v>
      </c>
      <c r="P652" s="183" t="s">
        <v>452</v>
      </c>
      <c r="Q652" s="183"/>
      <c r="R652" s="184" t="s">
        <v>24</v>
      </c>
      <c r="S652" s="184"/>
      <c r="T652" s="184"/>
      <c r="U652" s="184"/>
      <c r="V652" s="184"/>
      <c r="W652" s="184"/>
      <c r="X652" s="179"/>
      <c r="Y652" s="179"/>
      <c r="Z652" s="179"/>
      <c r="AA652" s="179"/>
    </row>
    <row r="653" spans="1:27">
      <c r="A653" s="181">
        <f ca="1">IFERROR(__xludf.DUMMYFUNCTION("IFS(B653="""","""",ISDATE(B653)=TRUE,B653,ISDATE(B653)=FALSE,TO_DATE(DATEVALUE(regexextract(B653,""\d+/\d+/\d+""))))"),44789)</f>
        <v>44789</v>
      </c>
      <c r="B653" s="182" t="s">
        <v>6450</v>
      </c>
      <c r="C653" s="183" t="s">
        <v>193</v>
      </c>
      <c r="D653" s="183">
        <v>4.5</v>
      </c>
      <c r="E653" s="183" t="s">
        <v>1202</v>
      </c>
      <c r="F653" s="183" t="s">
        <v>4</v>
      </c>
      <c r="G653" s="183" t="s">
        <v>602</v>
      </c>
      <c r="H653" s="183" t="s">
        <v>1203</v>
      </c>
      <c r="I653" s="183">
        <v>4.5</v>
      </c>
      <c r="J653" s="183" t="s">
        <v>1054</v>
      </c>
      <c r="K653" s="184" t="s">
        <v>1204</v>
      </c>
      <c r="L653" s="183">
        <v>4.5</v>
      </c>
      <c r="M653" s="183"/>
      <c r="N653" s="187"/>
      <c r="O653" s="183" t="s">
        <v>452</v>
      </c>
      <c r="P653" s="183" t="s">
        <v>1205</v>
      </c>
      <c r="Q653" s="183"/>
      <c r="R653" s="183" t="s">
        <v>18</v>
      </c>
      <c r="S653" s="184"/>
      <c r="T653" s="184"/>
      <c r="U653" s="184"/>
      <c r="V653" s="184"/>
      <c r="W653" s="184"/>
      <c r="X653" s="179"/>
      <c r="Y653" s="179"/>
      <c r="Z653" s="179"/>
      <c r="AA653" s="179"/>
    </row>
    <row r="654" spans="1:27">
      <c r="A654" s="181">
        <f ca="1">IFERROR(__xludf.DUMMYFUNCTION("IFS(B654="""","""",ISDATE(B654)=TRUE,B654,ISDATE(B654)=FALSE,TO_DATE(DATEVALUE(regexextract(B654,""\d+/\d+/\d+""))))"),44791)</f>
        <v>44791</v>
      </c>
      <c r="B654" s="182" t="s">
        <v>598</v>
      </c>
      <c r="C654" s="183" t="s">
        <v>5253</v>
      </c>
      <c r="D654" s="183">
        <v>3.25</v>
      </c>
      <c r="E654" s="183" t="s">
        <v>5256</v>
      </c>
      <c r="F654" s="183" t="s">
        <v>4</v>
      </c>
      <c r="G654" s="183" t="s">
        <v>602</v>
      </c>
      <c r="H654" s="183" t="s">
        <v>5257</v>
      </c>
      <c r="I654" s="183">
        <v>3</v>
      </c>
      <c r="J654" s="183" t="s">
        <v>1054</v>
      </c>
      <c r="K654" s="183" t="s">
        <v>5258</v>
      </c>
      <c r="L654" s="183">
        <v>3.5</v>
      </c>
      <c r="M654" s="184"/>
      <c r="N654" s="188"/>
      <c r="O654" s="183" t="s">
        <v>452</v>
      </c>
      <c r="P654" s="183" t="s">
        <v>5259</v>
      </c>
      <c r="Q654" s="184"/>
      <c r="R654" s="183" t="s">
        <v>24</v>
      </c>
      <c r="S654" s="183"/>
      <c r="T654" s="184"/>
      <c r="U654" s="184"/>
      <c r="V654" s="184"/>
      <c r="W654" s="184"/>
      <c r="X654" s="179"/>
      <c r="Y654" s="179"/>
      <c r="Z654" s="179"/>
      <c r="AA654" s="179"/>
    </row>
    <row r="655" spans="1:27">
      <c r="A655" s="181">
        <f ca="1">IFERROR(__xludf.DUMMYFUNCTION("IFS(B655="""","""",ISDATE(B655)=TRUE,B655,ISDATE(B655)=FALSE,TO_DATE(DATEVALUE(regexextract(B655,""\d+/\d+/\d+""))))"),44791)</f>
        <v>44791</v>
      </c>
      <c r="B655" s="182" t="s">
        <v>598</v>
      </c>
      <c r="C655" s="183" t="s">
        <v>2291</v>
      </c>
      <c r="D655" s="184">
        <v>3</v>
      </c>
      <c r="E655" s="183" t="s">
        <v>2294</v>
      </c>
      <c r="F655" s="183" t="s">
        <v>5</v>
      </c>
      <c r="G655" s="183" t="s">
        <v>447</v>
      </c>
      <c r="H655" s="184" t="s">
        <v>10983</v>
      </c>
      <c r="I655" s="184">
        <v>2.5</v>
      </c>
      <c r="J655" s="183" t="s">
        <v>449</v>
      </c>
      <c r="K655" s="184" t="s">
        <v>10984</v>
      </c>
      <c r="L655" s="184">
        <v>3.5</v>
      </c>
      <c r="M655" s="183" t="s">
        <v>784</v>
      </c>
      <c r="N655" s="185">
        <v>75000</v>
      </c>
      <c r="O655" s="183" t="s">
        <v>465</v>
      </c>
      <c r="P655" s="183" t="s">
        <v>2297</v>
      </c>
      <c r="Q655" s="183" t="s">
        <v>2298</v>
      </c>
      <c r="R655" s="184" t="s">
        <v>24</v>
      </c>
      <c r="S655" s="184"/>
      <c r="T655" s="184"/>
      <c r="U655" s="184"/>
      <c r="V655" s="184"/>
      <c r="W655" s="184"/>
      <c r="X655" s="179"/>
      <c r="Y655" s="179"/>
      <c r="Z655" s="179"/>
      <c r="AA655" s="179"/>
    </row>
    <row r="656" spans="1:27">
      <c r="A656" s="181">
        <f ca="1">IFERROR(__xludf.DUMMYFUNCTION("IFS(B656="""","""",ISDATE(B656)=TRUE,B656,ISDATE(B656)=FALSE,TO_DATE(DATEVALUE(regexextract(B656,""\d+/\d+/\d+""))))"),44796)</f>
        <v>44796</v>
      </c>
      <c r="B656" s="182" t="s">
        <v>529</v>
      </c>
      <c r="C656" s="183" t="s">
        <v>8997</v>
      </c>
      <c r="D656" s="183">
        <v>1.25</v>
      </c>
      <c r="E656" s="183" t="s">
        <v>9000</v>
      </c>
      <c r="F656" s="183" t="s">
        <v>3</v>
      </c>
      <c r="G656" s="183" t="s">
        <v>460</v>
      </c>
      <c r="H656" s="183" t="s">
        <v>9001</v>
      </c>
      <c r="I656" s="183">
        <v>1.5</v>
      </c>
      <c r="J656" s="183" t="s">
        <v>462</v>
      </c>
      <c r="K656" s="183" t="s">
        <v>9002</v>
      </c>
      <c r="L656" s="183">
        <v>1</v>
      </c>
      <c r="M656" s="184"/>
      <c r="N656" s="188"/>
      <c r="O656" s="183" t="s">
        <v>452</v>
      </c>
      <c r="P656" s="183" t="s">
        <v>9003</v>
      </c>
      <c r="Q656" s="184" t="s">
        <v>9004</v>
      </c>
      <c r="R656" s="183" t="s">
        <v>24</v>
      </c>
      <c r="S656" s="184"/>
      <c r="T656" s="184"/>
      <c r="U656" s="184"/>
      <c r="V656" s="184"/>
      <c r="W656" s="184"/>
      <c r="X656" s="179"/>
      <c r="Y656" s="179"/>
      <c r="Z656" s="179"/>
      <c r="AA656" s="179"/>
    </row>
    <row r="657" spans="1:27">
      <c r="A657" s="181">
        <f ca="1">IFERROR(__xludf.DUMMYFUNCTION("IFS(B657="""","""",ISDATE(B657)=TRUE,B657,ISDATE(B657)=FALSE,TO_DATE(DATEVALUE(regexextract(B657,""\d+/\d+/\d+""))))"),44789)</f>
        <v>44789</v>
      </c>
      <c r="B657" s="182" t="s">
        <v>6450</v>
      </c>
      <c r="C657" s="183" t="s">
        <v>3320</v>
      </c>
      <c r="D657" s="183">
        <v>3</v>
      </c>
      <c r="E657" s="183" t="s">
        <v>3323</v>
      </c>
      <c r="F657" s="183" t="s">
        <v>5</v>
      </c>
      <c r="G657" s="183" t="s">
        <v>447</v>
      </c>
      <c r="H657" s="183" t="s">
        <v>10985</v>
      </c>
      <c r="I657" s="183">
        <v>3</v>
      </c>
      <c r="J657" s="183" t="s">
        <v>543</v>
      </c>
      <c r="K657" s="183" t="s">
        <v>10986</v>
      </c>
      <c r="L657" s="183">
        <v>3</v>
      </c>
      <c r="M657" s="183" t="s">
        <v>451</v>
      </c>
      <c r="N657" s="194">
        <v>1200000</v>
      </c>
      <c r="O657" s="183" t="s">
        <v>452</v>
      </c>
      <c r="P657" s="183" t="s">
        <v>3326</v>
      </c>
      <c r="Q657" s="184" t="s">
        <v>3327</v>
      </c>
      <c r="R657" s="183" t="s">
        <v>24</v>
      </c>
      <c r="S657" s="184"/>
      <c r="T657" s="184"/>
      <c r="U657" s="184"/>
      <c r="V657" s="184"/>
      <c r="W657" s="184"/>
      <c r="X657" s="179"/>
      <c r="Y657" s="179"/>
      <c r="Z657" s="179"/>
      <c r="AA657" s="179"/>
    </row>
    <row r="658" spans="1:27">
      <c r="A658" s="181">
        <f ca="1">IFERROR(__xludf.DUMMYFUNCTION("IFS(B658="""","""",ISDATE(B658)=TRUE,B658,ISDATE(B658)=FALSE,TO_DATE(DATEVALUE(regexextract(B658,""\d+/\d+/\d+""))))"),44796)</f>
        <v>44796</v>
      </c>
      <c r="B658" s="182" t="s">
        <v>529</v>
      </c>
      <c r="C658" s="183" t="s">
        <v>6164</v>
      </c>
      <c r="D658" s="183">
        <v>2.5</v>
      </c>
      <c r="E658" s="183" t="s">
        <v>10987</v>
      </c>
      <c r="F658" s="183" t="s">
        <v>4</v>
      </c>
      <c r="G658" s="183" t="s">
        <v>602</v>
      </c>
      <c r="H658" s="183" t="s">
        <v>6168</v>
      </c>
      <c r="I658" s="183">
        <v>2</v>
      </c>
      <c r="J658" s="183" t="s">
        <v>990</v>
      </c>
      <c r="K658" s="183"/>
      <c r="L658" s="183">
        <v>3</v>
      </c>
      <c r="M658" s="183"/>
      <c r="N658" s="183"/>
      <c r="O658" s="183" t="s">
        <v>452</v>
      </c>
      <c r="P658" s="183" t="s">
        <v>10988</v>
      </c>
      <c r="Q658" s="184" t="s">
        <v>6170</v>
      </c>
      <c r="R658" s="183" t="s">
        <v>24</v>
      </c>
      <c r="S658" s="183"/>
      <c r="T658" s="184"/>
      <c r="U658" s="184"/>
      <c r="V658" s="184"/>
      <c r="W658" s="184"/>
      <c r="X658" s="179"/>
      <c r="Y658" s="179"/>
      <c r="Z658" s="179"/>
      <c r="AA658" s="179"/>
    </row>
    <row r="659" spans="1:27">
      <c r="A659" s="181">
        <f ca="1">IFERROR(__xludf.DUMMYFUNCTION("IFS(B659="""","""",ISDATE(B659)=TRUE,B659,ISDATE(B659)=FALSE,TO_DATE(DATEVALUE(regexextract(B659,""\d+/\d+/\d+""))))"),44791)</f>
        <v>44791</v>
      </c>
      <c r="B659" s="182" t="s">
        <v>10182</v>
      </c>
      <c r="C659" s="183" t="s">
        <v>8405</v>
      </c>
      <c r="D659" s="184">
        <v>2</v>
      </c>
      <c r="E659" s="183" t="s">
        <v>8408</v>
      </c>
      <c r="F659" s="183" t="s">
        <v>3</v>
      </c>
      <c r="G659" s="183" t="s">
        <v>460</v>
      </c>
      <c r="H659" s="184" t="s">
        <v>8409</v>
      </c>
      <c r="I659" s="184">
        <v>2</v>
      </c>
      <c r="J659" s="183" t="s">
        <v>462</v>
      </c>
      <c r="K659" s="183" t="s">
        <v>8410</v>
      </c>
      <c r="L659" s="183">
        <v>2</v>
      </c>
      <c r="M659" s="184"/>
      <c r="N659" s="188"/>
      <c r="O659" s="183" t="s">
        <v>452</v>
      </c>
      <c r="P659" s="183" t="s">
        <v>8411</v>
      </c>
      <c r="Q659" s="184"/>
      <c r="R659" s="184" t="s">
        <v>24</v>
      </c>
      <c r="S659" s="184"/>
      <c r="T659" s="184"/>
      <c r="U659" s="184"/>
      <c r="V659" s="184"/>
      <c r="W659" s="184"/>
      <c r="X659" s="179"/>
      <c r="Y659" s="179"/>
      <c r="Z659" s="179"/>
      <c r="AA659" s="179"/>
    </row>
    <row r="660" spans="1:27">
      <c r="A660" s="181">
        <f ca="1">IFERROR(__xludf.DUMMYFUNCTION("IFS(B660="""","""",ISDATE(B660)=TRUE,B660,ISDATE(B660)=FALSE,TO_DATE(DATEVALUE(regexextract(B660,""\d+/\d+/\d+""))))"),44791)</f>
        <v>44791</v>
      </c>
      <c r="B660" s="182" t="s">
        <v>10182</v>
      </c>
      <c r="C660" s="183" t="s">
        <v>282</v>
      </c>
      <c r="D660" s="183">
        <v>4.25</v>
      </c>
      <c r="E660" s="183" t="s">
        <v>1609</v>
      </c>
      <c r="F660" s="183" t="s">
        <v>3</v>
      </c>
      <c r="G660" s="183" t="s">
        <v>460</v>
      </c>
      <c r="H660" s="183" t="s">
        <v>1610</v>
      </c>
      <c r="I660" s="183">
        <v>4</v>
      </c>
      <c r="J660" s="183" t="s">
        <v>462</v>
      </c>
      <c r="K660" s="183" t="s">
        <v>10989</v>
      </c>
      <c r="L660" s="183">
        <v>4.5</v>
      </c>
      <c r="M660" s="183" t="s">
        <v>451</v>
      </c>
      <c r="N660" s="187">
        <v>2500000</v>
      </c>
      <c r="O660" s="183" t="s">
        <v>452</v>
      </c>
      <c r="P660" s="183" t="s">
        <v>452</v>
      </c>
      <c r="Q660" s="184" t="s">
        <v>1612</v>
      </c>
      <c r="R660" s="183" t="s">
        <v>18</v>
      </c>
      <c r="S660" s="184" t="s">
        <v>1613</v>
      </c>
      <c r="T660" s="184"/>
      <c r="U660" s="184"/>
      <c r="V660" s="184"/>
      <c r="W660" s="184"/>
      <c r="X660" s="179"/>
      <c r="Y660" s="179"/>
      <c r="Z660" s="179"/>
      <c r="AA660" s="179"/>
    </row>
    <row r="661" spans="1:27">
      <c r="A661" s="181">
        <f ca="1">IFERROR(__xludf.DUMMYFUNCTION("IFS(B661="""","""",ISDATE(B661)=TRUE,B661,ISDATE(B661)=FALSE,TO_DATE(DATEVALUE(regexextract(B661,""\d+/\d+/\d+""))))"),44796)</f>
        <v>44796</v>
      </c>
      <c r="B661" s="182" t="s">
        <v>529</v>
      </c>
      <c r="C661" s="183" t="s">
        <v>4680</v>
      </c>
      <c r="D661" s="183">
        <v>3.5</v>
      </c>
      <c r="E661" s="183" t="s">
        <v>4683</v>
      </c>
      <c r="F661" s="183" t="s">
        <v>4</v>
      </c>
      <c r="G661" s="183" t="s">
        <v>725</v>
      </c>
      <c r="H661" s="183" t="s">
        <v>10990</v>
      </c>
      <c r="I661" s="183">
        <v>3</v>
      </c>
      <c r="J661" s="183" t="s">
        <v>1187</v>
      </c>
      <c r="K661" s="183" t="s">
        <v>4685</v>
      </c>
      <c r="L661" s="183">
        <v>4</v>
      </c>
      <c r="M661" s="184" t="s">
        <v>451</v>
      </c>
      <c r="N661" s="188">
        <v>500000</v>
      </c>
      <c r="O661" s="183" t="s">
        <v>452</v>
      </c>
      <c r="P661" s="183" t="s">
        <v>10991</v>
      </c>
      <c r="Q661" s="184" t="s">
        <v>10992</v>
      </c>
      <c r="R661" s="183" t="s">
        <v>24</v>
      </c>
      <c r="S661" s="184"/>
      <c r="T661" s="184"/>
      <c r="U661" s="184"/>
      <c r="V661" s="184"/>
      <c r="W661" s="184"/>
      <c r="X661" s="179"/>
      <c r="Y661" s="179"/>
      <c r="Z661" s="179"/>
      <c r="AA661" s="179"/>
    </row>
    <row r="662" spans="1:27">
      <c r="A662" s="181">
        <f ca="1">IFERROR(__xludf.DUMMYFUNCTION("IFS(B662="""","""",ISDATE(B662)=TRUE,B662,ISDATE(B662)=FALSE,TO_DATE(DATEVALUE(regexextract(B662,""\d+/\d+/\d+""))))"),44784)</f>
        <v>44784</v>
      </c>
      <c r="B662" s="182" t="s">
        <v>10173</v>
      </c>
      <c r="C662" s="183" t="s">
        <v>67</v>
      </c>
      <c r="D662" s="183">
        <v>4</v>
      </c>
      <c r="E662" s="183" t="s">
        <v>487</v>
      </c>
      <c r="F662" s="183" t="s">
        <v>5</v>
      </c>
      <c r="G662" s="183" t="s">
        <v>488</v>
      </c>
      <c r="H662" s="183" t="s">
        <v>489</v>
      </c>
      <c r="I662" s="183">
        <v>4</v>
      </c>
      <c r="J662" s="183" t="s">
        <v>462</v>
      </c>
      <c r="K662" s="183" t="s">
        <v>490</v>
      </c>
      <c r="L662" s="183">
        <v>4</v>
      </c>
      <c r="M662" s="183"/>
      <c r="N662" s="185"/>
      <c r="O662" s="183" t="s">
        <v>452</v>
      </c>
      <c r="P662" s="183" t="s">
        <v>10993</v>
      </c>
      <c r="Q662" s="183"/>
      <c r="R662" s="183" t="s">
        <v>20</v>
      </c>
      <c r="S662" s="184" t="s">
        <v>492</v>
      </c>
      <c r="T662" s="184"/>
      <c r="U662" s="184"/>
      <c r="V662" s="184"/>
      <c r="W662" s="184"/>
      <c r="X662" s="179"/>
      <c r="Y662" s="179"/>
      <c r="Z662" s="179"/>
      <c r="AA662" s="179"/>
    </row>
    <row r="663" spans="1:27">
      <c r="A663" s="181">
        <f ca="1">IFERROR(__xludf.DUMMYFUNCTION("IFS(B663="""","""",ISDATE(B663)=TRUE,B663,ISDATE(B663)=FALSE,TO_DATE(DATEVALUE(regexextract(B663,""\d+/\d+/\d+""))))"),44791)</f>
        <v>44791</v>
      </c>
      <c r="B663" s="189" t="s">
        <v>10182</v>
      </c>
      <c r="C663" s="183" t="s">
        <v>401</v>
      </c>
      <c r="D663" s="183">
        <v>4</v>
      </c>
      <c r="E663" s="183" t="s">
        <v>10115</v>
      </c>
      <c r="F663" s="183" t="s">
        <v>3</v>
      </c>
      <c r="G663" s="183" t="s">
        <v>488</v>
      </c>
      <c r="H663" s="183" t="s">
        <v>10116</v>
      </c>
      <c r="I663" s="183">
        <v>4</v>
      </c>
      <c r="J663" s="183" t="s">
        <v>462</v>
      </c>
      <c r="K663" s="183" t="s">
        <v>10994</v>
      </c>
      <c r="L663" s="183">
        <v>4</v>
      </c>
      <c r="M663" s="184" t="s">
        <v>451</v>
      </c>
      <c r="N663" s="188">
        <v>3000000</v>
      </c>
      <c r="O663" s="183" t="s">
        <v>465</v>
      </c>
      <c r="P663" s="183" t="s">
        <v>10118</v>
      </c>
      <c r="Q663" s="184"/>
      <c r="R663" s="183" t="s">
        <v>20</v>
      </c>
      <c r="S663" s="184" t="s">
        <v>10119</v>
      </c>
      <c r="T663" s="184"/>
      <c r="U663" s="184"/>
      <c r="V663" s="184"/>
      <c r="W663" s="184"/>
      <c r="X663" s="179"/>
      <c r="Y663" s="179"/>
      <c r="Z663" s="179"/>
      <c r="AA663" s="179"/>
    </row>
    <row r="664" spans="1:27">
      <c r="A664" s="181">
        <f ca="1">IFERROR(__xludf.DUMMYFUNCTION("IFS(B664="""","""",ISDATE(B664)=TRUE,B664,ISDATE(B664)=FALSE,TO_DATE(DATEVALUE(regexextract(B664,""\d+/\d+/\d+""))))"),44796)</f>
        <v>44796</v>
      </c>
      <c r="B664" s="189" t="s">
        <v>529</v>
      </c>
      <c r="C664" s="183" t="s">
        <v>179</v>
      </c>
      <c r="D664" s="183">
        <v>4.75</v>
      </c>
      <c r="E664" s="183" t="s">
        <v>1143</v>
      </c>
      <c r="F664" s="183" t="s">
        <v>4</v>
      </c>
      <c r="G664" s="183" t="s">
        <v>725</v>
      </c>
      <c r="H664" s="183"/>
      <c r="I664" s="183">
        <v>4.5</v>
      </c>
      <c r="J664" s="183" t="s">
        <v>604</v>
      </c>
      <c r="K664" s="184" t="s">
        <v>10995</v>
      </c>
      <c r="L664" s="183">
        <v>5</v>
      </c>
      <c r="M664" s="183"/>
      <c r="N664" s="185"/>
      <c r="O664" s="183" t="s">
        <v>454</v>
      </c>
      <c r="P664" s="183" t="s">
        <v>10996</v>
      </c>
      <c r="Q664" s="184"/>
      <c r="R664" s="183" t="s">
        <v>18</v>
      </c>
      <c r="S664" s="184"/>
      <c r="T664" s="184"/>
      <c r="U664" s="184"/>
      <c r="V664" s="184"/>
      <c r="W664" s="184"/>
      <c r="X664" s="179"/>
      <c r="Y664" s="179"/>
      <c r="Z664" s="179"/>
      <c r="AA664" s="179"/>
    </row>
    <row r="665" spans="1:27">
      <c r="A665" s="181">
        <f ca="1">IFERROR(__xludf.DUMMYFUNCTION("IFS(B665="""","""",ISDATE(B665)=TRUE,B665,ISDATE(B665)=FALSE,TO_DATE(DATEVALUE(regexextract(B665,""\d+/\d+/\d+""))))"),44789)</f>
        <v>44789</v>
      </c>
      <c r="B665" s="189" t="s">
        <v>6450</v>
      </c>
      <c r="C665" s="183" t="s">
        <v>105</v>
      </c>
      <c r="D665" s="183">
        <v>4</v>
      </c>
      <c r="E665" s="183" t="s">
        <v>773</v>
      </c>
      <c r="F665" s="183" t="s">
        <v>5</v>
      </c>
      <c r="G665" s="183" t="s">
        <v>447</v>
      </c>
      <c r="H665" s="183" t="s">
        <v>10997</v>
      </c>
      <c r="I665" s="183">
        <v>4</v>
      </c>
      <c r="J665" s="183" t="s">
        <v>449</v>
      </c>
      <c r="K665" s="183" t="s">
        <v>10998</v>
      </c>
      <c r="L665" s="183">
        <v>4</v>
      </c>
      <c r="M665" s="184" t="s">
        <v>478</v>
      </c>
      <c r="N665" s="188">
        <v>20000000</v>
      </c>
      <c r="O665" s="183" t="s">
        <v>452</v>
      </c>
      <c r="P665" s="183" t="s">
        <v>776</v>
      </c>
      <c r="Q665" s="184"/>
      <c r="R665" s="183" t="s">
        <v>18</v>
      </c>
      <c r="S665" s="184"/>
      <c r="T665" s="184"/>
      <c r="U665" s="184"/>
      <c r="V665" s="184"/>
      <c r="W665" s="184"/>
      <c r="X665" s="179"/>
      <c r="Y665" s="179"/>
      <c r="Z665" s="179"/>
      <c r="AA665" s="179"/>
    </row>
    <row r="666" spans="1:27">
      <c r="A666" s="181">
        <f ca="1">IFERROR(__xludf.DUMMYFUNCTION("IFS(B666="""","""",ISDATE(B666)=TRUE,B666,ISDATE(B666)=FALSE,TO_DATE(DATEVALUE(regexextract(B666,""\d+/\d+/\d+""))))"),44784)</f>
        <v>44784</v>
      </c>
      <c r="B666" s="182" t="s">
        <v>10173</v>
      </c>
      <c r="C666" s="183" t="s">
        <v>182</v>
      </c>
      <c r="D666" s="183">
        <v>4</v>
      </c>
      <c r="E666" s="183" t="s">
        <v>3736</v>
      </c>
      <c r="F666" s="183" t="s">
        <v>4</v>
      </c>
      <c r="G666" s="183" t="s">
        <v>602</v>
      </c>
      <c r="H666" s="183" t="s">
        <v>3737</v>
      </c>
      <c r="I666" s="183">
        <v>4</v>
      </c>
      <c r="J666" s="183" t="s">
        <v>476</v>
      </c>
      <c r="K666" s="183" t="s">
        <v>10999</v>
      </c>
      <c r="L666" s="183">
        <v>4</v>
      </c>
      <c r="M666" s="184" t="s">
        <v>451</v>
      </c>
      <c r="N666" s="186">
        <v>3500000</v>
      </c>
      <c r="O666" s="183" t="s">
        <v>452</v>
      </c>
      <c r="P666" s="183" t="s">
        <v>3739</v>
      </c>
      <c r="Q666" s="184"/>
      <c r="R666" s="183" t="s">
        <v>18</v>
      </c>
      <c r="S666" s="184"/>
      <c r="T666" s="184"/>
      <c r="U666" s="184"/>
      <c r="V666" s="184"/>
      <c r="W666" s="184"/>
      <c r="X666" s="179"/>
      <c r="Y666" s="179"/>
      <c r="Z666" s="179"/>
      <c r="AA666" s="179"/>
    </row>
    <row r="667" spans="1:27">
      <c r="A667" s="181">
        <f ca="1">IFERROR(__xludf.DUMMYFUNCTION("IFS(B667="""","""",ISDATE(B667)=TRUE,B667,ISDATE(B667)=FALSE,TO_DATE(DATEVALUE(regexextract(B667,""\d+/\d+/\d+""))))"),44791)</f>
        <v>44791</v>
      </c>
      <c r="B667" s="182" t="s">
        <v>598</v>
      </c>
      <c r="C667" s="183" t="s">
        <v>8814</v>
      </c>
      <c r="D667" s="184">
        <v>3.25</v>
      </c>
      <c r="E667" s="183" t="s">
        <v>8817</v>
      </c>
      <c r="F667" s="183" t="s">
        <v>3</v>
      </c>
      <c r="G667" s="183" t="s">
        <v>460</v>
      </c>
      <c r="H667" s="183" t="s">
        <v>8818</v>
      </c>
      <c r="I667" s="183">
        <v>3</v>
      </c>
      <c r="J667" s="183" t="s">
        <v>462</v>
      </c>
      <c r="K667" s="184" t="s">
        <v>8819</v>
      </c>
      <c r="L667" s="184">
        <v>3.5</v>
      </c>
      <c r="M667" s="183" t="s">
        <v>478</v>
      </c>
      <c r="N667" s="187" t="s">
        <v>8820</v>
      </c>
      <c r="O667" s="183" t="s">
        <v>452</v>
      </c>
      <c r="P667" s="183" t="s">
        <v>452</v>
      </c>
      <c r="Q667" s="184"/>
      <c r="R667" s="184" t="s">
        <v>24</v>
      </c>
      <c r="S667" s="184"/>
      <c r="T667" s="184"/>
      <c r="U667" s="184"/>
      <c r="V667" s="184"/>
      <c r="W667" s="184"/>
      <c r="X667" s="179"/>
      <c r="Y667" s="179"/>
      <c r="Z667" s="179"/>
      <c r="AA667" s="179"/>
    </row>
    <row r="668" spans="1:27">
      <c r="A668" s="181">
        <f ca="1">IFERROR(__xludf.DUMMYFUNCTION("IFS(B668="""","""",ISDATE(B668)=TRUE,B668,ISDATE(B668)=FALSE,TO_DATE(DATEVALUE(regexextract(B668,""\d+/\d+/\d+""))))"),44789)</f>
        <v>44789</v>
      </c>
      <c r="B668" s="182" t="s">
        <v>6450</v>
      </c>
      <c r="C668" s="183" t="s">
        <v>6714</v>
      </c>
      <c r="D668" s="183">
        <v>2.25</v>
      </c>
      <c r="E668" s="183" t="s">
        <v>6717</v>
      </c>
      <c r="F668" s="183" t="s">
        <v>4</v>
      </c>
      <c r="G668" s="183" t="s">
        <v>602</v>
      </c>
      <c r="H668" s="183" t="s">
        <v>6718</v>
      </c>
      <c r="I668" s="183">
        <v>3.5</v>
      </c>
      <c r="J668" s="183" t="s">
        <v>476</v>
      </c>
      <c r="K668" s="184" t="s">
        <v>11000</v>
      </c>
      <c r="L668" s="183">
        <v>1</v>
      </c>
      <c r="M668" s="184"/>
      <c r="N668" s="188"/>
      <c r="O668" s="183" t="s">
        <v>452</v>
      </c>
      <c r="P668" s="183" t="s">
        <v>452</v>
      </c>
      <c r="Q668" s="184"/>
      <c r="R668" s="183" t="s">
        <v>24</v>
      </c>
      <c r="S668" s="184"/>
      <c r="T668" s="184"/>
      <c r="U668" s="184"/>
      <c r="V668" s="184"/>
      <c r="W668" s="184"/>
      <c r="X668" s="179"/>
      <c r="Y668" s="179"/>
      <c r="Z668" s="179"/>
      <c r="AA668" s="179"/>
    </row>
    <row r="669" spans="1:27">
      <c r="A669" s="181">
        <f ca="1">IFERROR(__xludf.DUMMYFUNCTION("IFS(B669="""","""",ISDATE(B669)=TRUE,B669,ISDATE(B669)=FALSE,TO_DATE(DATEVALUE(regexextract(B669,""\d+/\d+/\d+""))))"),44796)</f>
        <v>44796</v>
      </c>
      <c r="B669" s="182" t="s">
        <v>529</v>
      </c>
      <c r="C669" s="183" t="s">
        <v>5164</v>
      </c>
      <c r="D669" s="183">
        <v>3.25</v>
      </c>
      <c r="E669" s="183" t="s">
        <v>5167</v>
      </c>
      <c r="F669" s="183" t="s">
        <v>4</v>
      </c>
      <c r="G669" s="183" t="s">
        <v>727</v>
      </c>
      <c r="H669" s="183" t="s">
        <v>11001</v>
      </c>
      <c r="I669" s="183">
        <v>3</v>
      </c>
      <c r="J669" s="183" t="s">
        <v>1054</v>
      </c>
      <c r="K669" s="183" t="s">
        <v>11002</v>
      </c>
      <c r="L669" s="183">
        <v>3.5</v>
      </c>
      <c r="M669" s="184" t="s">
        <v>5170</v>
      </c>
      <c r="N669" s="188" t="s">
        <v>5171</v>
      </c>
      <c r="O669" s="183" t="s">
        <v>454</v>
      </c>
      <c r="P669" s="183" t="s">
        <v>11003</v>
      </c>
      <c r="Q669" s="184"/>
      <c r="R669" s="183" t="s">
        <v>24</v>
      </c>
      <c r="S669" s="184"/>
      <c r="T669" s="184"/>
      <c r="U669" s="184"/>
      <c r="V669" s="184"/>
      <c r="W669" s="184"/>
      <c r="X669" s="179"/>
      <c r="Y669" s="179"/>
      <c r="Z669" s="179"/>
      <c r="AA669" s="179"/>
    </row>
    <row r="670" spans="1:27">
      <c r="A670" s="181">
        <f ca="1">IFERROR(__xludf.DUMMYFUNCTION("IFS(B670="""","""",ISDATE(B670)=TRUE,B670,ISDATE(B670)=FALSE,TO_DATE(DATEVALUE(regexextract(B670,""\d+/\d+/\d+""))))"),44789)</f>
        <v>44789</v>
      </c>
      <c r="B670" s="182" t="s">
        <v>6450</v>
      </c>
      <c r="C670" s="183" t="s">
        <v>2669</v>
      </c>
      <c r="D670" s="183">
        <v>2.25</v>
      </c>
      <c r="E670" s="183" t="s">
        <v>2672</v>
      </c>
      <c r="F670" s="183" t="s">
        <v>5</v>
      </c>
      <c r="G670" s="183" t="s">
        <v>447</v>
      </c>
      <c r="H670" s="183" t="s">
        <v>11004</v>
      </c>
      <c r="I670" s="183">
        <v>2.5</v>
      </c>
      <c r="J670" s="183" t="s">
        <v>622</v>
      </c>
      <c r="K670" s="183" t="s">
        <v>2674</v>
      </c>
      <c r="L670" s="183">
        <v>2</v>
      </c>
      <c r="M670" s="184" t="s">
        <v>451</v>
      </c>
      <c r="N670" s="188">
        <v>500000</v>
      </c>
      <c r="O670" s="183" t="s">
        <v>452</v>
      </c>
      <c r="P670" s="183" t="s">
        <v>2675</v>
      </c>
      <c r="Q670" s="184"/>
      <c r="R670" s="183" t="s">
        <v>24</v>
      </c>
      <c r="S670" s="184"/>
      <c r="T670" s="184"/>
      <c r="U670" s="184"/>
      <c r="V670" s="184"/>
      <c r="W670" s="184"/>
      <c r="X670" s="179"/>
      <c r="Y670" s="179"/>
      <c r="Z670" s="179"/>
      <c r="AA670" s="179"/>
    </row>
    <row r="671" spans="1:27">
      <c r="A671" s="181">
        <f ca="1">IFERROR(__xludf.DUMMYFUNCTION("IFS(B671="""","""",ISDATE(B671)=TRUE,B671,ISDATE(B671)=FALSE,TO_DATE(DATEVALUE(regexextract(B671,""\d+/\d+/\d+""))))"),44791)</f>
        <v>44791</v>
      </c>
      <c r="B671" s="182" t="s">
        <v>598</v>
      </c>
      <c r="C671" s="183" t="s">
        <v>4996</v>
      </c>
      <c r="D671" s="183">
        <v>3.25</v>
      </c>
      <c r="E671" s="183" t="s">
        <v>4999</v>
      </c>
      <c r="F671" s="183" t="s">
        <v>4</v>
      </c>
      <c r="G671" s="183" t="s">
        <v>602</v>
      </c>
      <c r="H671" s="183" t="s">
        <v>5000</v>
      </c>
      <c r="I671" s="183">
        <v>2.5</v>
      </c>
      <c r="J671" s="183" t="s">
        <v>990</v>
      </c>
      <c r="K671" s="184" t="s">
        <v>5001</v>
      </c>
      <c r="L671" s="183">
        <v>4</v>
      </c>
      <c r="M671" s="183" t="s">
        <v>451</v>
      </c>
      <c r="N671" s="187">
        <v>500000</v>
      </c>
      <c r="O671" s="183" t="s">
        <v>452</v>
      </c>
      <c r="P671" s="183" t="s">
        <v>5002</v>
      </c>
      <c r="Q671" s="184"/>
      <c r="R671" s="183" t="s">
        <v>24</v>
      </c>
      <c r="S671" s="184"/>
      <c r="T671" s="184"/>
      <c r="U671" s="184"/>
      <c r="V671" s="184"/>
      <c r="W671" s="184"/>
      <c r="X671" s="179"/>
      <c r="Y671" s="179"/>
      <c r="Z671" s="179"/>
      <c r="AA671" s="179"/>
    </row>
    <row r="672" spans="1:27">
      <c r="A672" s="181">
        <f ca="1">IFERROR(__xludf.DUMMYFUNCTION("IFS(B672="""","""",ISDATE(B672)=TRUE,B672,ISDATE(B672)=FALSE,TO_DATE(DATEVALUE(regexextract(B672,""\d+/\d+/\d+""))))"),44791)</f>
        <v>44791</v>
      </c>
      <c r="B672" s="182" t="s">
        <v>598</v>
      </c>
      <c r="C672" s="183" t="s">
        <v>5019</v>
      </c>
      <c r="D672" s="183">
        <v>3.25</v>
      </c>
      <c r="E672" s="183" t="s">
        <v>5022</v>
      </c>
      <c r="F672" s="183" t="s">
        <v>4</v>
      </c>
      <c r="G672" s="183" t="s">
        <v>602</v>
      </c>
      <c r="H672" s="183" t="s">
        <v>5023</v>
      </c>
      <c r="I672" s="183">
        <v>3.5</v>
      </c>
      <c r="J672" s="183" t="s">
        <v>1073</v>
      </c>
      <c r="K672" s="183"/>
      <c r="L672" s="183">
        <v>3</v>
      </c>
      <c r="M672" s="183" t="s">
        <v>451</v>
      </c>
      <c r="N672" s="187">
        <v>4000000</v>
      </c>
      <c r="O672" s="183" t="s">
        <v>452</v>
      </c>
      <c r="P672" s="183" t="s">
        <v>11005</v>
      </c>
      <c r="Q672" s="183"/>
      <c r="R672" s="183" t="s">
        <v>24</v>
      </c>
      <c r="S672" s="193"/>
      <c r="T672" s="193"/>
      <c r="U672" s="193"/>
      <c r="V672" s="193"/>
      <c r="W672" s="193"/>
      <c r="X672" s="6"/>
      <c r="Y672" s="6"/>
      <c r="Z672" s="6"/>
      <c r="AA672" s="6"/>
    </row>
    <row r="673" spans="1:27">
      <c r="A673" s="181">
        <f ca="1">IFERROR(__xludf.DUMMYFUNCTION("IFS(B673="""","""",ISDATE(B673)=TRUE,B673,ISDATE(B673)=FALSE,TO_DATE(DATEVALUE(regexextract(B673,""\d+/\d+/\d+""))))"),44791)</f>
        <v>44791</v>
      </c>
      <c r="B673" s="182" t="s">
        <v>598</v>
      </c>
      <c r="C673" s="183" t="s">
        <v>5841</v>
      </c>
      <c r="D673" s="184">
        <v>2.75</v>
      </c>
      <c r="E673" s="183" t="s">
        <v>5844</v>
      </c>
      <c r="F673" s="183" t="s">
        <v>4</v>
      </c>
      <c r="G673" s="183" t="s">
        <v>602</v>
      </c>
      <c r="H673" s="184" t="s">
        <v>5845</v>
      </c>
      <c r="I673" s="184">
        <v>2.5</v>
      </c>
      <c r="J673" s="183" t="s">
        <v>990</v>
      </c>
      <c r="K673" s="183"/>
      <c r="L673" s="183">
        <v>3</v>
      </c>
      <c r="M673" s="183"/>
      <c r="N673" s="183"/>
      <c r="O673" s="183" t="s">
        <v>452</v>
      </c>
      <c r="P673" s="183" t="s">
        <v>5846</v>
      </c>
      <c r="Q673" s="184"/>
      <c r="R673" s="184" t="s">
        <v>24</v>
      </c>
      <c r="S673" s="184"/>
      <c r="T673" s="184"/>
      <c r="U673" s="184"/>
      <c r="V673" s="184"/>
      <c r="W673" s="184"/>
      <c r="X673" s="179"/>
      <c r="Y673" s="179"/>
      <c r="Z673" s="179"/>
      <c r="AA673" s="179"/>
    </row>
    <row r="674" spans="1:27">
      <c r="A674" s="181">
        <f ca="1">IFERROR(__xludf.DUMMYFUNCTION("IFS(B674="""","""",ISDATE(B674)=TRUE,B674,ISDATE(B674)=FALSE,TO_DATE(DATEVALUE(regexextract(B674,""\d+/\d+/\d+""))))"),44791)</f>
        <v>44791</v>
      </c>
      <c r="B674" s="182" t="s">
        <v>598</v>
      </c>
      <c r="C674" s="183" t="s">
        <v>152</v>
      </c>
      <c r="D674" s="184">
        <v>4.25</v>
      </c>
      <c r="E674" s="183" t="s">
        <v>1024</v>
      </c>
      <c r="F674" s="183" t="s">
        <v>4</v>
      </c>
      <c r="G674" s="183" t="s">
        <v>447</v>
      </c>
      <c r="H674" s="184" t="s">
        <v>11006</v>
      </c>
      <c r="I674" s="184">
        <v>4.5</v>
      </c>
      <c r="J674" s="183" t="s">
        <v>543</v>
      </c>
      <c r="K674" s="183" t="s">
        <v>11007</v>
      </c>
      <c r="L674" s="183">
        <v>4</v>
      </c>
      <c r="M674" s="184" t="s">
        <v>478</v>
      </c>
      <c r="N674" s="186" t="s">
        <v>1027</v>
      </c>
      <c r="O674" s="183" t="s">
        <v>452</v>
      </c>
      <c r="P674" s="183" t="s">
        <v>1028</v>
      </c>
      <c r="Q674" s="183"/>
      <c r="R674" s="184" t="s">
        <v>18</v>
      </c>
      <c r="S674" s="184" t="s">
        <v>1029</v>
      </c>
      <c r="T674" s="184"/>
      <c r="U674" s="184"/>
      <c r="V674" s="184"/>
      <c r="W674" s="184"/>
      <c r="X674" s="179"/>
      <c r="Y674" s="179"/>
      <c r="Z674" s="179"/>
      <c r="AA674" s="179"/>
    </row>
    <row r="675" spans="1:27">
      <c r="A675" s="181">
        <f ca="1">IFERROR(__xludf.DUMMYFUNCTION("IFS(B675="""","""",ISDATE(B675)=TRUE,B675,ISDATE(B675)=FALSE,TO_DATE(DATEVALUE(regexextract(B675,""\d+/\d+/\d+""))))"),44784)</f>
        <v>44784</v>
      </c>
      <c r="B675" s="182" t="s">
        <v>10173</v>
      </c>
      <c r="C675" s="183" t="s">
        <v>4385</v>
      </c>
      <c r="D675" s="183">
        <v>3.75</v>
      </c>
      <c r="E675" s="183" t="s">
        <v>4388</v>
      </c>
      <c r="F675" s="183" t="s">
        <v>4</v>
      </c>
      <c r="G675" s="183" t="s">
        <v>602</v>
      </c>
      <c r="H675" s="183" t="s">
        <v>4389</v>
      </c>
      <c r="I675" s="183">
        <v>4</v>
      </c>
      <c r="J675" s="183" t="s">
        <v>476</v>
      </c>
      <c r="K675" s="183" t="s">
        <v>11008</v>
      </c>
      <c r="L675" s="183">
        <v>3.5</v>
      </c>
      <c r="M675" s="183"/>
      <c r="N675" s="185"/>
      <c r="O675" s="183" t="s">
        <v>452</v>
      </c>
      <c r="P675" s="183" t="s">
        <v>11009</v>
      </c>
      <c r="Q675" s="184"/>
      <c r="R675" s="183" t="s">
        <v>24</v>
      </c>
      <c r="S675" s="183"/>
      <c r="T675" s="184"/>
      <c r="U675" s="184"/>
      <c r="V675" s="184"/>
      <c r="W675" s="184"/>
      <c r="X675" s="179"/>
      <c r="Y675" s="179"/>
      <c r="Z675" s="179"/>
      <c r="AA675" s="179"/>
    </row>
    <row r="676" spans="1:27">
      <c r="A676" s="181">
        <f ca="1">IFERROR(__xludf.DUMMYFUNCTION("IFS(B676="""","""",ISDATE(B676)=TRUE,B676,ISDATE(B676)=FALSE,TO_DATE(DATEVALUE(regexextract(B676,""\d+/\d+/\d+""))))"),44789)</f>
        <v>44789</v>
      </c>
      <c r="B676" s="182" t="s">
        <v>6450</v>
      </c>
      <c r="C676" s="183" t="s">
        <v>5573</v>
      </c>
      <c r="D676" s="183">
        <v>3</v>
      </c>
      <c r="E676" s="183" t="s">
        <v>5576</v>
      </c>
      <c r="F676" s="183" t="s">
        <v>4</v>
      </c>
      <c r="G676" s="183" t="s">
        <v>602</v>
      </c>
      <c r="H676" s="183" t="s">
        <v>5577</v>
      </c>
      <c r="I676" s="183">
        <v>3</v>
      </c>
      <c r="J676" s="183" t="s">
        <v>476</v>
      </c>
      <c r="K676" s="183" t="s">
        <v>11010</v>
      </c>
      <c r="L676" s="183">
        <v>3</v>
      </c>
      <c r="M676" s="184" t="s">
        <v>784</v>
      </c>
      <c r="N676" s="188">
        <v>512000</v>
      </c>
      <c r="O676" s="183" t="s">
        <v>452</v>
      </c>
      <c r="P676" s="183" t="s">
        <v>5579</v>
      </c>
      <c r="Q676" s="183"/>
      <c r="R676" s="183" t="s">
        <v>24</v>
      </c>
      <c r="S676" s="184"/>
      <c r="T676" s="184"/>
      <c r="U676" s="184"/>
      <c r="V676" s="184"/>
      <c r="W676" s="184"/>
      <c r="X676" s="179"/>
      <c r="Y676" s="179"/>
      <c r="Z676" s="179"/>
      <c r="AA676" s="179"/>
    </row>
    <row r="677" spans="1:27">
      <c r="A677" s="181">
        <f ca="1">IFERROR(__xludf.DUMMYFUNCTION("IFS(B677="""","""",ISDATE(B677)=TRUE,B677,ISDATE(B677)=FALSE,TO_DATE(DATEVALUE(regexextract(B677,""\d+/\d+/\d+""))))"),44789)</f>
        <v>44789</v>
      </c>
      <c r="B677" s="189" t="s">
        <v>6450</v>
      </c>
      <c r="C677" s="183" t="s">
        <v>7734</v>
      </c>
      <c r="D677" s="183">
        <v>1.75</v>
      </c>
      <c r="E677" s="183" t="s">
        <v>7737</v>
      </c>
      <c r="F677" s="183" t="s">
        <v>4</v>
      </c>
      <c r="G677" s="183" t="s">
        <v>602</v>
      </c>
      <c r="H677" s="183" t="s">
        <v>7738</v>
      </c>
      <c r="I677" s="183">
        <v>2.5</v>
      </c>
      <c r="J677" s="183" t="s">
        <v>476</v>
      </c>
      <c r="K677" s="183" t="s">
        <v>10895</v>
      </c>
      <c r="L677" s="183">
        <v>1</v>
      </c>
      <c r="M677" s="184" t="s">
        <v>451</v>
      </c>
      <c r="N677" s="186">
        <v>2000000</v>
      </c>
      <c r="O677" s="183" t="s">
        <v>452</v>
      </c>
      <c r="P677" s="183" t="s">
        <v>7739</v>
      </c>
      <c r="Q677" s="183"/>
      <c r="R677" s="183" t="s">
        <v>24</v>
      </c>
      <c r="S677" s="183"/>
      <c r="T677" s="184"/>
      <c r="U677" s="184"/>
      <c r="V677" s="184"/>
      <c r="W677" s="184"/>
      <c r="X677" s="179"/>
      <c r="Y677" s="179"/>
      <c r="Z677" s="179"/>
      <c r="AA677" s="179"/>
    </row>
    <row r="678" spans="1:27">
      <c r="A678" s="181">
        <f ca="1">IFERROR(__xludf.DUMMYFUNCTION("IFS(B678="""","""",ISDATE(B678)=TRUE,B678,ISDATE(B678)=FALSE,TO_DATE(DATEVALUE(regexextract(B678,""\d+/\d+/\d+""))))"),44789)</f>
        <v>44789</v>
      </c>
      <c r="B678" s="182" t="s">
        <v>6450</v>
      </c>
      <c r="C678" s="183" t="s">
        <v>7365</v>
      </c>
      <c r="D678" s="184">
        <v>2</v>
      </c>
      <c r="E678" s="183" t="s">
        <v>7368</v>
      </c>
      <c r="F678" s="183" t="s">
        <v>4</v>
      </c>
      <c r="G678" s="183" t="s">
        <v>602</v>
      </c>
      <c r="H678" s="184" t="s">
        <v>7369</v>
      </c>
      <c r="I678" s="184">
        <v>2</v>
      </c>
      <c r="J678" s="183" t="s">
        <v>1045</v>
      </c>
      <c r="K678" s="184" t="s">
        <v>7370</v>
      </c>
      <c r="L678" s="184">
        <v>2</v>
      </c>
      <c r="M678" s="184" t="s">
        <v>3138</v>
      </c>
      <c r="N678" s="188" t="s">
        <v>2240</v>
      </c>
      <c r="O678" s="183" t="s">
        <v>452</v>
      </c>
      <c r="P678" s="183" t="s">
        <v>7371</v>
      </c>
      <c r="Q678" s="184"/>
      <c r="R678" s="184" t="s">
        <v>24</v>
      </c>
      <c r="S678" s="184"/>
      <c r="T678" s="184"/>
      <c r="U678" s="184"/>
      <c r="V678" s="184"/>
      <c r="W678" s="184"/>
      <c r="X678" s="179"/>
      <c r="Y678" s="179"/>
      <c r="Z678" s="179"/>
      <c r="AA678" s="179"/>
    </row>
    <row r="679" spans="1:27">
      <c r="A679" s="181">
        <f ca="1">IFERROR(__xludf.DUMMYFUNCTION("IFS(B679="""","""",ISDATE(B679)=TRUE,B679,ISDATE(B679)=FALSE,TO_DATE(DATEVALUE(regexextract(B679,""\d+/\d+/\d+""))))"),44791)</f>
        <v>44791</v>
      </c>
      <c r="B679" s="182" t="s">
        <v>598</v>
      </c>
      <c r="C679" s="183" t="s">
        <v>3312</v>
      </c>
      <c r="D679" s="183">
        <v>3</v>
      </c>
      <c r="E679" s="183" t="s">
        <v>11011</v>
      </c>
      <c r="F679" s="183" t="s">
        <v>5</v>
      </c>
      <c r="G679" s="183" t="s">
        <v>447</v>
      </c>
      <c r="H679" s="183" t="s">
        <v>11012</v>
      </c>
      <c r="I679" s="183">
        <v>3</v>
      </c>
      <c r="J679" s="183" t="s">
        <v>449</v>
      </c>
      <c r="K679" s="183" t="s">
        <v>11013</v>
      </c>
      <c r="L679" s="183">
        <v>3</v>
      </c>
      <c r="M679" s="184"/>
      <c r="N679" s="188"/>
      <c r="O679" s="183" t="s">
        <v>465</v>
      </c>
      <c r="P679" s="183" t="s">
        <v>575</v>
      </c>
      <c r="Q679" s="184"/>
      <c r="R679" s="183" t="s">
        <v>24</v>
      </c>
      <c r="S679" s="184"/>
      <c r="T679" s="184"/>
      <c r="U679" s="184"/>
      <c r="V679" s="184"/>
      <c r="W679" s="184"/>
      <c r="X679" s="179"/>
      <c r="Y679" s="179"/>
      <c r="Z679" s="179"/>
      <c r="AA679" s="179"/>
    </row>
    <row r="680" spans="1:27">
      <c r="A680" s="181">
        <f ca="1">IFERROR(__xludf.DUMMYFUNCTION("IFS(B680="""","""",ISDATE(B680)=TRUE,B680,ISDATE(B680)=FALSE,TO_DATE(DATEVALUE(regexextract(B680,""\d+/\d+/\d+""))))"),44789)</f>
        <v>44789</v>
      </c>
      <c r="B680" s="182" t="s">
        <v>6450</v>
      </c>
      <c r="C680" s="183" t="s">
        <v>8495</v>
      </c>
      <c r="D680" s="183">
        <v>1.5</v>
      </c>
      <c r="E680" s="183" t="s">
        <v>8498</v>
      </c>
      <c r="F680" s="183" t="s">
        <v>3</v>
      </c>
      <c r="G680" s="183" t="s">
        <v>460</v>
      </c>
      <c r="H680" s="184" t="s">
        <v>8499</v>
      </c>
      <c r="I680" s="183">
        <v>2</v>
      </c>
      <c r="J680" s="183" t="s">
        <v>941</v>
      </c>
      <c r="K680" s="183" t="s">
        <v>8500</v>
      </c>
      <c r="L680" s="183">
        <v>1</v>
      </c>
      <c r="M680" s="183"/>
      <c r="N680" s="187"/>
      <c r="O680" s="183" t="s">
        <v>465</v>
      </c>
      <c r="P680" s="183" t="s">
        <v>452</v>
      </c>
      <c r="Q680" s="184"/>
      <c r="R680" s="183" t="s">
        <v>24</v>
      </c>
      <c r="S680" s="184"/>
      <c r="T680" s="184"/>
      <c r="U680" s="184"/>
      <c r="V680" s="184"/>
      <c r="W680" s="184"/>
      <c r="X680" s="179"/>
      <c r="Y680" s="179"/>
      <c r="Z680" s="179"/>
      <c r="AA680" s="179"/>
    </row>
    <row r="681" spans="1:27">
      <c r="A681" s="181">
        <f ca="1">IFERROR(__xludf.DUMMYFUNCTION("IFS(B681="""","""",ISDATE(B681)=TRUE,B681,ISDATE(B681)=FALSE,TO_DATE(DATEVALUE(regexextract(B681,""\d+/\d+/\d+""))))"),44791)</f>
        <v>44791</v>
      </c>
      <c r="B681" s="189" t="s">
        <v>598</v>
      </c>
      <c r="C681" s="183" t="s">
        <v>3133</v>
      </c>
      <c r="D681" s="183">
        <v>3.25</v>
      </c>
      <c r="E681" s="183" t="s">
        <v>3136</v>
      </c>
      <c r="F681" s="183" t="s">
        <v>5</v>
      </c>
      <c r="G681" s="183" t="s">
        <v>447</v>
      </c>
      <c r="H681" s="183" t="s">
        <v>11014</v>
      </c>
      <c r="I681" s="183">
        <v>3</v>
      </c>
      <c r="J681" s="183" t="s">
        <v>622</v>
      </c>
      <c r="K681" s="183"/>
      <c r="L681" s="183">
        <v>3.5</v>
      </c>
      <c r="M681" s="183" t="s">
        <v>3138</v>
      </c>
      <c r="N681" s="187">
        <v>2</v>
      </c>
      <c r="O681" s="183" t="s">
        <v>452</v>
      </c>
      <c r="P681" s="183" t="s">
        <v>452</v>
      </c>
      <c r="Q681" s="184"/>
      <c r="R681" s="183" t="s">
        <v>24</v>
      </c>
      <c r="S681" s="184"/>
      <c r="T681" s="184"/>
      <c r="U681" s="184"/>
      <c r="V681" s="184"/>
      <c r="W681" s="184"/>
      <c r="X681" s="179"/>
      <c r="Y681" s="179"/>
      <c r="Z681" s="179"/>
      <c r="AA681" s="179"/>
    </row>
    <row r="682" spans="1:27">
      <c r="A682" s="181">
        <f ca="1">IFERROR(__xludf.DUMMYFUNCTION("IFS(B682="""","""",ISDATE(B682)=TRUE,B682,ISDATE(B682)=FALSE,TO_DATE(DATEVALUE(regexextract(B682,""\d+/\d+/\d+""))))"),44789)</f>
        <v>44789</v>
      </c>
      <c r="B682" s="182" t="s">
        <v>6450</v>
      </c>
      <c r="C682" s="183" t="s">
        <v>319</v>
      </c>
      <c r="D682" s="183">
        <v>4</v>
      </c>
      <c r="E682" s="183" t="s">
        <v>11015</v>
      </c>
      <c r="F682" s="183" t="s">
        <v>3</v>
      </c>
      <c r="G682" s="183" t="s">
        <v>460</v>
      </c>
      <c r="H682" s="183" t="s">
        <v>1761</v>
      </c>
      <c r="I682" s="183">
        <v>4</v>
      </c>
      <c r="J682" s="183" t="s">
        <v>941</v>
      </c>
      <c r="K682" s="183" t="s">
        <v>1762</v>
      </c>
      <c r="L682" s="183">
        <v>4</v>
      </c>
      <c r="M682" s="184" t="s">
        <v>478</v>
      </c>
      <c r="N682" s="188" t="s">
        <v>1763</v>
      </c>
      <c r="O682" s="183" t="s">
        <v>452</v>
      </c>
      <c r="P682" s="183" t="s">
        <v>452</v>
      </c>
      <c r="Q682" s="183"/>
      <c r="R682" s="184" t="s">
        <v>18</v>
      </c>
      <c r="S682" s="184"/>
      <c r="T682" s="184"/>
      <c r="U682" s="184"/>
      <c r="V682" s="184"/>
      <c r="W682" s="184"/>
      <c r="X682" s="179"/>
      <c r="Y682" s="179"/>
      <c r="Z682" s="179"/>
      <c r="AA682" s="179"/>
    </row>
    <row r="683" spans="1:27">
      <c r="A683" s="181">
        <f ca="1">IFERROR(__xludf.DUMMYFUNCTION("IFS(B683="""","""",ISDATE(B683)=TRUE,B683,ISDATE(B683)=FALSE,TO_DATE(DATEVALUE(regexextract(B683,""\d+/\d+/\d+""))))"),44796)</f>
        <v>44796</v>
      </c>
      <c r="B683" s="182" t="s">
        <v>529</v>
      </c>
      <c r="C683" s="183" t="s">
        <v>2626</v>
      </c>
      <c r="D683" s="183">
        <v>2.75</v>
      </c>
      <c r="E683" s="183" t="s">
        <v>2629</v>
      </c>
      <c r="F683" s="183" t="s">
        <v>5</v>
      </c>
      <c r="G683" s="183" t="s">
        <v>447</v>
      </c>
      <c r="H683" s="183" t="s">
        <v>11016</v>
      </c>
      <c r="I683" s="183">
        <v>3</v>
      </c>
      <c r="J683" s="183" t="s">
        <v>622</v>
      </c>
      <c r="K683" s="183" t="s">
        <v>11017</v>
      </c>
      <c r="L683" s="183">
        <v>2.5</v>
      </c>
      <c r="M683" s="183" t="s">
        <v>784</v>
      </c>
      <c r="N683" s="185">
        <v>600000</v>
      </c>
      <c r="O683" s="183" t="s">
        <v>452</v>
      </c>
      <c r="P683" s="183" t="s">
        <v>2632</v>
      </c>
      <c r="Q683" s="183"/>
      <c r="R683" s="184" t="s">
        <v>24</v>
      </c>
      <c r="S683" s="184"/>
      <c r="T683" s="184"/>
      <c r="U683" s="184"/>
      <c r="V683" s="184"/>
      <c r="W683" s="184"/>
      <c r="X683" s="179"/>
      <c r="Y683" s="179"/>
      <c r="Z683" s="179"/>
      <c r="AA683" s="179"/>
    </row>
    <row r="684" spans="1:27">
      <c r="A684" s="181">
        <f ca="1">IFERROR(__xludf.DUMMYFUNCTION("IFS(B684="""","""",ISDATE(B684)=TRUE,B684,ISDATE(B684)=FALSE,TO_DATE(DATEVALUE(regexextract(B684,""\d+/\d+/\d+""))))"),44791)</f>
        <v>44791</v>
      </c>
      <c r="B684" s="182" t="s">
        <v>598</v>
      </c>
      <c r="C684" s="183" t="s">
        <v>7851</v>
      </c>
      <c r="D684" s="183">
        <v>1.5</v>
      </c>
      <c r="E684" s="183" t="s">
        <v>7854</v>
      </c>
      <c r="F684" s="183" t="s">
        <v>4</v>
      </c>
      <c r="G684" s="183" t="s">
        <v>602</v>
      </c>
      <c r="H684" s="183" t="s">
        <v>7855</v>
      </c>
      <c r="I684" s="183">
        <v>2</v>
      </c>
      <c r="J684" s="183" t="s">
        <v>1237</v>
      </c>
      <c r="K684" s="183"/>
      <c r="L684" s="183">
        <v>1</v>
      </c>
      <c r="M684" s="183" t="s">
        <v>451</v>
      </c>
      <c r="N684" s="187" t="s">
        <v>7856</v>
      </c>
      <c r="O684" s="183" t="s">
        <v>452</v>
      </c>
      <c r="P684" s="183" t="s">
        <v>3420</v>
      </c>
      <c r="Q684" s="184" t="s">
        <v>7857</v>
      </c>
      <c r="R684" s="183" t="s">
        <v>24</v>
      </c>
      <c r="S684" s="184"/>
      <c r="T684" s="184"/>
      <c r="U684" s="184"/>
      <c r="V684" s="184"/>
      <c r="W684" s="184"/>
      <c r="X684" s="179"/>
      <c r="Y684" s="179"/>
      <c r="Z684" s="179"/>
      <c r="AA684" s="179"/>
    </row>
    <row r="685" spans="1:27">
      <c r="A685" s="181">
        <f ca="1">IFERROR(__xludf.DUMMYFUNCTION("IFS(B685="""","""",ISDATE(B685)=TRUE,B685,ISDATE(B685)=FALSE,TO_DATE(DATEVALUE(regexextract(B685,""\d+/\d+/\d+""))))"),44789)</f>
        <v>44789</v>
      </c>
      <c r="B685" s="182" t="s">
        <v>6450</v>
      </c>
      <c r="C685" s="183" t="s">
        <v>339</v>
      </c>
      <c r="D685" s="183">
        <v>4.25</v>
      </c>
      <c r="E685" s="183" t="s">
        <v>1929</v>
      </c>
      <c r="F685" s="183" t="s">
        <v>3</v>
      </c>
      <c r="G685" s="183" t="s">
        <v>460</v>
      </c>
      <c r="H685" s="183" t="s">
        <v>1930</v>
      </c>
      <c r="I685" s="183">
        <v>4.5</v>
      </c>
      <c r="J685" s="183" t="s">
        <v>941</v>
      </c>
      <c r="K685" s="183" t="s">
        <v>11018</v>
      </c>
      <c r="L685" s="183">
        <v>4</v>
      </c>
      <c r="M685" s="183" t="s">
        <v>451</v>
      </c>
      <c r="N685" s="185">
        <v>8000000</v>
      </c>
      <c r="O685" s="183" t="s">
        <v>465</v>
      </c>
      <c r="P685" s="183" t="s">
        <v>1932</v>
      </c>
      <c r="Q685" s="184"/>
      <c r="R685" s="183" t="s">
        <v>18</v>
      </c>
      <c r="S685" s="184"/>
      <c r="T685" s="184"/>
      <c r="U685" s="184"/>
      <c r="V685" s="184"/>
      <c r="W685" s="184"/>
      <c r="X685" s="179"/>
      <c r="Y685" s="179"/>
      <c r="Z685" s="179"/>
      <c r="AA685" s="179"/>
    </row>
    <row r="686" spans="1:27">
      <c r="A686" s="181">
        <f ca="1">IFERROR(__xludf.DUMMYFUNCTION("IFS(B686="""","""",ISDATE(B686)=TRUE,B686,ISDATE(B686)=FALSE,TO_DATE(DATEVALUE(regexextract(B686,""\d+/\d+/\d+""))))"),44789)</f>
        <v>44789</v>
      </c>
      <c r="B686" s="182" t="s">
        <v>6450</v>
      </c>
      <c r="C686" s="183" t="s">
        <v>271</v>
      </c>
      <c r="D686" s="183">
        <v>3.88</v>
      </c>
      <c r="E686" s="183" t="s">
        <v>4144</v>
      </c>
      <c r="F686" s="183" t="s">
        <v>4</v>
      </c>
      <c r="G686" s="183" t="s">
        <v>602</v>
      </c>
      <c r="H686" s="183" t="s">
        <v>4145</v>
      </c>
      <c r="I686" s="183">
        <v>4</v>
      </c>
      <c r="J686" s="183" t="s">
        <v>1045</v>
      </c>
      <c r="K686" s="183" t="s">
        <v>4146</v>
      </c>
      <c r="L686" s="183">
        <v>3.75</v>
      </c>
      <c r="M686" s="183"/>
      <c r="N686" s="185"/>
      <c r="O686" s="183" t="s">
        <v>452</v>
      </c>
      <c r="P686" s="183" t="s">
        <v>11019</v>
      </c>
      <c r="Q686" s="184"/>
      <c r="R686" s="183" t="s">
        <v>18</v>
      </c>
      <c r="S686" s="183" t="s">
        <v>4148</v>
      </c>
      <c r="T686" s="184"/>
      <c r="U686" s="184"/>
      <c r="V686" s="184"/>
      <c r="W686" s="184"/>
      <c r="X686" s="179"/>
      <c r="Y686" s="179"/>
      <c r="Z686" s="179"/>
      <c r="AA686" s="179"/>
    </row>
    <row r="687" spans="1:27">
      <c r="A687" s="181">
        <f ca="1">IFERROR(__xludf.DUMMYFUNCTION("IFS(B687="""","""",ISDATE(B687)=TRUE,B687,ISDATE(B687)=FALSE,TO_DATE(DATEVALUE(regexextract(B687,""\d+/\d+/\d+""))))"),44791)</f>
        <v>44791</v>
      </c>
      <c r="B687" s="182" t="s">
        <v>10182</v>
      </c>
      <c r="C687" s="183" t="s">
        <v>6245</v>
      </c>
      <c r="D687" s="184">
        <v>2.5</v>
      </c>
      <c r="E687" s="183" t="s">
        <v>6248</v>
      </c>
      <c r="F687" s="183" t="s">
        <v>4</v>
      </c>
      <c r="G687" s="183" t="s">
        <v>602</v>
      </c>
      <c r="H687" s="184" t="s">
        <v>6249</v>
      </c>
      <c r="I687" s="184">
        <v>3.5</v>
      </c>
      <c r="J687" s="183" t="s">
        <v>476</v>
      </c>
      <c r="K687" s="184" t="s">
        <v>11020</v>
      </c>
      <c r="L687" s="184">
        <v>1.5</v>
      </c>
      <c r="M687" s="184" t="s">
        <v>451</v>
      </c>
      <c r="N687" s="188" t="s">
        <v>3555</v>
      </c>
      <c r="O687" s="183" t="s">
        <v>452</v>
      </c>
      <c r="P687" s="183" t="s">
        <v>452</v>
      </c>
      <c r="Q687" s="184"/>
      <c r="R687" s="184" t="s">
        <v>24</v>
      </c>
      <c r="S687" s="184"/>
      <c r="T687" s="184"/>
      <c r="U687" s="184"/>
      <c r="V687" s="184"/>
      <c r="W687" s="184"/>
      <c r="X687" s="179"/>
      <c r="Y687" s="179"/>
      <c r="Z687" s="179"/>
      <c r="AA687" s="179"/>
    </row>
    <row r="688" spans="1:27">
      <c r="A688" s="181">
        <f ca="1">IFERROR(__xludf.DUMMYFUNCTION("IFS(B688="""","""",ISDATE(B688)=TRUE,B688,ISDATE(B688)=FALSE,TO_DATE(DATEVALUE(regexextract(B688,""\d+/\d+/\d+""))))"),44796)</f>
        <v>44796</v>
      </c>
      <c r="B688" s="182" t="s">
        <v>529</v>
      </c>
      <c r="C688" s="183" t="s">
        <v>6771</v>
      </c>
      <c r="D688" s="184">
        <v>2.25</v>
      </c>
      <c r="E688" s="183" t="s">
        <v>6774</v>
      </c>
      <c r="F688" s="183" t="s">
        <v>4</v>
      </c>
      <c r="G688" s="183" t="s">
        <v>447</v>
      </c>
      <c r="H688" s="184" t="s">
        <v>11021</v>
      </c>
      <c r="I688" s="184">
        <v>2.5</v>
      </c>
      <c r="J688" s="183" t="s">
        <v>1298</v>
      </c>
      <c r="K688" s="184" t="s">
        <v>6776</v>
      </c>
      <c r="L688" s="184">
        <v>2</v>
      </c>
      <c r="M688" s="183" t="s">
        <v>451</v>
      </c>
      <c r="N688" s="185">
        <v>2.5</v>
      </c>
      <c r="O688" s="183" t="s">
        <v>465</v>
      </c>
      <c r="P688" s="183" t="s">
        <v>575</v>
      </c>
      <c r="Q688" s="184" t="s">
        <v>6777</v>
      </c>
      <c r="R688" s="184" t="s">
        <v>24</v>
      </c>
      <c r="S688" s="184"/>
      <c r="T688" s="184"/>
      <c r="U688" s="184"/>
      <c r="V688" s="184"/>
      <c r="W688" s="184"/>
      <c r="X688" s="179"/>
      <c r="Y688" s="179"/>
      <c r="Z688" s="179"/>
      <c r="AA688" s="179"/>
    </row>
    <row r="689" spans="1:27">
      <c r="A689" s="181">
        <f ca="1">IFERROR(__xludf.DUMMYFUNCTION("IFS(B689="""","""",ISDATE(B689)=TRUE,B689,ISDATE(B689)=FALSE,TO_DATE(DATEVALUE(regexextract(B689,""\d+/\d+/\d+""))))"),44796)</f>
        <v>44796</v>
      </c>
      <c r="B689" s="182" t="s">
        <v>529</v>
      </c>
      <c r="C689" s="183" t="s">
        <v>4356</v>
      </c>
      <c r="D689" s="184">
        <v>3.75</v>
      </c>
      <c r="E689" s="183" t="s">
        <v>4359</v>
      </c>
      <c r="F689" s="183" t="s">
        <v>4</v>
      </c>
      <c r="G689" s="183" t="s">
        <v>725</v>
      </c>
      <c r="H689" s="184" t="s">
        <v>4360</v>
      </c>
      <c r="I689" s="184">
        <v>3.5</v>
      </c>
      <c r="J689" s="183" t="s">
        <v>1350</v>
      </c>
      <c r="K689" s="184" t="s">
        <v>4361</v>
      </c>
      <c r="L689" s="183">
        <v>4</v>
      </c>
      <c r="M689" s="184" t="s">
        <v>478</v>
      </c>
      <c r="N689" s="188">
        <v>10000000</v>
      </c>
      <c r="O689" s="183" t="s">
        <v>454</v>
      </c>
      <c r="P689" s="183" t="s">
        <v>1119</v>
      </c>
      <c r="Q689" s="183"/>
      <c r="R689" s="184" t="s">
        <v>24</v>
      </c>
      <c r="S689" s="184"/>
      <c r="T689" s="184"/>
      <c r="U689" s="184"/>
      <c r="V689" s="184"/>
      <c r="W689" s="184"/>
      <c r="X689" s="179"/>
      <c r="Y689" s="179"/>
      <c r="Z689" s="179"/>
      <c r="AA689" s="179"/>
    </row>
    <row r="690" spans="1:27">
      <c r="A690" s="181">
        <f ca="1">IFERROR(__xludf.DUMMYFUNCTION("IFS(B690="""","""",ISDATE(B690)=TRUE,B690,ISDATE(B690)=FALSE,TO_DATE(DATEVALUE(regexextract(B690,""\d+/\d+/\d+""))))"),44796)</f>
        <v>44796</v>
      </c>
      <c r="B690" s="182" t="s">
        <v>529</v>
      </c>
      <c r="C690" s="183" t="s">
        <v>5582</v>
      </c>
      <c r="D690" s="183">
        <v>3</v>
      </c>
      <c r="E690" s="183" t="s">
        <v>5585</v>
      </c>
      <c r="F690" s="183" t="s">
        <v>4</v>
      </c>
      <c r="G690" s="183" t="s">
        <v>725</v>
      </c>
      <c r="H690" s="183" t="s">
        <v>11022</v>
      </c>
      <c r="I690" s="183">
        <v>4</v>
      </c>
      <c r="J690" s="183" t="s">
        <v>1237</v>
      </c>
      <c r="K690" s="183"/>
      <c r="L690" s="183">
        <v>2</v>
      </c>
      <c r="M690" s="183" t="s">
        <v>451</v>
      </c>
      <c r="N690" s="185">
        <v>3000000</v>
      </c>
      <c r="O690" s="183" t="s">
        <v>452</v>
      </c>
      <c r="P690" s="183" t="s">
        <v>5587</v>
      </c>
      <c r="Q690" s="184"/>
      <c r="R690" s="183" t="s">
        <v>24</v>
      </c>
      <c r="S690" s="184"/>
      <c r="T690" s="184"/>
      <c r="U690" s="184"/>
      <c r="V690" s="184"/>
      <c r="W690" s="184"/>
      <c r="X690" s="179"/>
      <c r="Y690" s="179"/>
      <c r="Z690" s="179"/>
      <c r="AA690" s="179"/>
    </row>
    <row r="691" spans="1:27">
      <c r="A691" s="181">
        <f ca="1">IFERROR(__xludf.DUMMYFUNCTION("IFS(B691="""","""",ISDATE(B691)=TRUE,B691,ISDATE(B691)=FALSE,TO_DATE(DATEVALUE(regexextract(B691,""\d+/\d+/\d+""))))"),44796)</f>
        <v>44796</v>
      </c>
      <c r="B691" s="182" t="s">
        <v>529</v>
      </c>
      <c r="C691" s="183" t="s">
        <v>5725</v>
      </c>
      <c r="D691" s="183">
        <v>3</v>
      </c>
      <c r="E691" s="183" t="s">
        <v>5728</v>
      </c>
      <c r="F691" s="183" t="s">
        <v>4</v>
      </c>
      <c r="G691" s="183" t="s">
        <v>725</v>
      </c>
      <c r="H691" s="183"/>
      <c r="I691" s="183">
        <v>3</v>
      </c>
      <c r="J691" s="183" t="s">
        <v>1371</v>
      </c>
      <c r="K691" s="183" t="s">
        <v>5729</v>
      </c>
      <c r="L691" s="183">
        <v>3</v>
      </c>
      <c r="M691" s="183" t="s">
        <v>451</v>
      </c>
      <c r="N691" s="187">
        <v>500000</v>
      </c>
      <c r="O691" s="183" t="s">
        <v>452</v>
      </c>
      <c r="P691" s="183" t="s">
        <v>5730</v>
      </c>
      <c r="Q691" s="183"/>
      <c r="R691" s="183" t="s">
        <v>24</v>
      </c>
      <c r="S691" s="184"/>
      <c r="T691" s="184"/>
      <c r="U691" s="184"/>
      <c r="V691" s="184"/>
      <c r="W691" s="184"/>
      <c r="X691" s="179"/>
      <c r="Y691" s="179"/>
      <c r="Z691" s="179"/>
      <c r="AA691" s="179"/>
    </row>
    <row r="692" spans="1:27">
      <c r="A692" s="181">
        <f ca="1">IFERROR(__xludf.DUMMYFUNCTION("IFS(B692="""","""",ISDATE(B692)=TRUE,B692,ISDATE(B692)=FALSE,TO_DATE(DATEVALUE(regexextract(B692,""\d+/\d+/\d+""))))"),44796)</f>
        <v>44796</v>
      </c>
      <c r="B692" s="182" t="s">
        <v>529</v>
      </c>
      <c r="C692" s="183" t="s">
        <v>5521</v>
      </c>
      <c r="D692" s="184">
        <v>3</v>
      </c>
      <c r="E692" s="183" t="s">
        <v>5524</v>
      </c>
      <c r="F692" s="183" t="s">
        <v>4</v>
      </c>
      <c r="G692" s="183" t="s">
        <v>725</v>
      </c>
      <c r="H692" s="184" t="s">
        <v>5525</v>
      </c>
      <c r="I692" s="184">
        <v>3</v>
      </c>
      <c r="J692" s="183" t="s">
        <v>1187</v>
      </c>
      <c r="K692" s="183" t="s">
        <v>5526</v>
      </c>
      <c r="L692" s="183">
        <v>3</v>
      </c>
      <c r="M692" s="184" t="s">
        <v>784</v>
      </c>
      <c r="N692" s="188">
        <v>500000</v>
      </c>
      <c r="O692" s="183" t="s">
        <v>452</v>
      </c>
      <c r="P692" s="183" t="s">
        <v>452</v>
      </c>
      <c r="Q692" s="184"/>
      <c r="R692" s="184" t="s">
        <v>24</v>
      </c>
      <c r="S692" s="184"/>
      <c r="T692" s="184"/>
      <c r="U692" s="184"/>
      <c r="V692" s="184"/>
      <c r="W692" s="184"/>
      <c r="X692" s="179"/>
      <c r="Y692" s="179"/>
      <c r="Z692" s="179"/>
      <c r="AA692" s="179"/>
    </row>
    <row r="693" spans="1:27">
      <c r="A693" s="181">
        <f ca="1">IFERROR(__xludf.DUMMYFUNCTION("IFS(B693="""","""",ISDATE(B693)=TRUE,B693,ISDATE(B693)=FALSE,TO_DATE(DATEVALUE(regexextract(B693,""\d+/\d+/\d+""))))"),44797)</f>
        <v>44797</v>
      </c>
      <c r="B693" s="182" t="s">
        <v>907</v>
      </c>
      <c r="C693" s="183" t="s">
        <v>11023</v>
      </c>
      <c r="D693" s="183">
        <v>2</v>
      </c>
      <c r="E693" s="183" t="s">
        <v>7428</v>
      </c>
      <c r="F693" s="183" t="s">
        <v>4</v>
      </c>
      <c r="G693" s="183" t="s">
        <v>725</v>
      </c>
      <c r="H693" s="183" t="s">
        <v>7429</v>
      </c>
      <c r="I693" s="183">
        <v>2</v>
      </c>
      <c r="J693" s="183" t="s">
        <v>462</v>
      </c>
      <c r="K693" s="183" t="s">
        <v>7430</v>
      </c>
      <c r="L693" s="183">
        <v>2</v>
      </c>
      <c r="M693" s="184"/>
      <c r="N693" s="188"/>
      <c r="O693" s="183" t="s">
        <v>452</v>
      </c>
      <c r="P693" s="183" t="s">
        <v>11024</v>
      </c>
      <c r="Q693" s="183" t="s">
        <v>447</v>
      </c>
      <c r="R693" s="183" t="s">
        <v>24</v>
      </c>
      <c r="S693" s="184"/>
      <c r="T693" s="184"/>
      <c r="U693" s="184"/>
      <c r="V693" s="184"/>
      <c r="W693" s="184"/>
      <c r="X693" s="179"/>
      <c r="Y693" s="179"/>
      <c r="Z693" s="179"/>
      <c r="AA693" s="179"/>
    </row>
    <row r="694" spans="1:27">
      <c r="A694" s="181">
        <f ca="1">IFERROR(__xludf.DUMMYFUNCTION("IFS(B694="""","""",ISDATE(B694)=TRUE,B694,ISDATE(B694)=FALSE,TO_DATE(DATEVALUE(regexextract(B694,""\d+/\d+/\d+""))))"),44789)</f>
        <v>44789</v>
      </c>
      <c r="B694" s="182" t="s">
        <v>6450</v>
      </c>
      <c r="C694" s="183" t="s">
        <v>2940</v>
      </c>
      <c r="D694" s="184">
        <v>2.75</v>
      </c>
      <c r="E694" s="183" t="s">
        <v>2943</v>
      </c>
      <c r="F694" s="183" t="s">
        <v>5</v>
      </c>
      <c r="G694" s="183" t="s">
        <v>447</v>
      </c>
      <c r="H694" s="184" t="s">
        <v>11025</v>
      </c>
      <c r="I694" s="184">
        <v>2.5</v>
      </c>
      <c r="J694" s="183" t="s">
        <v>449</v>
      </c>
      <c r="K694" s="183" t="s">
        <v>11026</v>
      </c>
      <c r="L694" s="183">
        <v>3</v>
      </c>
      <c r="M694" s="183"/>
      <c r="N694" s="194"/>
      <c r="O694" s="183" t="s">
        <v>452</v>
      </c>
      <c r="P694" s="183" t="s">
        <v>452</v>
      </c>
      <c r="Q694" s="184"/>
      <c r="R694" s="184" t="s">
        <v>24</v>
      </c>
      <c r="S694" s="184"/>
      <c r="T694" s="184"/>
      <c r="U694" s="184"/>
      <c r="V694" s="184"/>
      <c r="W694" s="184"/>
      <c r="X694" s="179"/>
      <c r="Y694" s="179"/>
      <c r="Z694" s="179"/>
      <c r="AA694" s="179"/>
    </row>
    <row r="695" spans="1:27">
      <c r="A695" s="181">
        <f ca="1">IFERROR(__xludf.DUMMYFUNCTION("IFS(B695="""","""",ISDATE(B695)=TRUE,B695,ISDATE(B695)=FALSE,TO_DATE(DATEVALUE(regexextract(B695,""\d+/\d+/\d+""))))"),44789)</f>
        <v>44789</v>
      </c>
      <c r="B695" s="189" t="s">
        <v>6450</v>
      </c>
      <c r="C695" s="183" t="s">
        <v>2326</v>
      </c>
      <c r="D695" s="183">
        <v>3</v>
      </c>
      <c r="E695" s="183" t="s">
        <v>2329</v>
      </c>
      <c r="F695" s="183" t="s">
        <v>5</v>
      </c>
      <c r="G695" s="183" t="s">
        <v>447</v>
      </c>
      <c r="H695" s="183" t="s">
        <v>11027</v>
      </c>
      <c r="I695" s="183">
        <v>3</v>
      </c>
      <c r="J695" s="183" t="s">
        <v>622</v>
      </c>
      <c r="K695" s="184" t="s">
        <v>11028</v>
      </c>
      <c r="L695" s="183">
        <v>3</v>
      </c>
      <c r="M695" s="183"/>
      <c r="N695" s="187"/>
      <c r="O695" s="183" t="s">
        <v>452</v>
      </c>
      <c r="P695" s="183" t="s">
        <v>2332</v>
      </c>
      <c r="Q695" s="184"/>
      <c r="R695" s="183" t="s">
        <v>24</v>
      </c>
      <c r="S695" s="184"/>
      <c r="T695" s="184"/>
      <c r="U695" s="184"/>
      <c r="V695" s="184"/>
      <c r="W695" s="184"/>
      <c r="X695" s="179"/>
      <c r="Y695" s="179"/>
      <c r="Z695" s="179"/>
      <c r="AA695" s="179"/>
    </row>
    <row r="696" spans="1:27">
      <c r="A696" s="181">
        <f ca="1">IFERROR(__xludf.DUMMYFUNCTION("IFS(B696="""","""",ISDATE(B696)=TRUE,B696,ISDATE(B696)=FALSE,TO_DATE(DATEVALUE(regexextract(B696,""\d+/\d+/\d+""))))"),44789)</f>
        <v>44789</v>
      </c>
      <c r="B696" s="182" t="s">
        <v>6450</v>
      </c>
      <c r="C696" s="183" t="s">
        <v>7947</v>
      </c>
      <c r="D696" s="183">
        <v>1.5</v>
      </c>
      <c r="E696" s="183" t="s">
        <v>11029</v>
      </c>
      <c r="F696" s="183" t="s">
        <v>4</v>
      </c>
      <c r="G696" s="183" t="s">
        <v>602</v>
      </c>
      <c r="H696" s="183"/>
      <c r="I696" s="183">
        <v>2</v>
      </c>
      <c r="J696" s="183" t="s">
        <v>1054</v>
      </c>
      <c r="K696" s="184" t="s">
        <v>7951</v>
      </c>
      <c r="L696" s="183">
        <v>1</v>
      </c>
      <c r="M696" s="183"/>
      <c r="N696" s="185"/>
      <c r="O696" s="183" t="s">
        <v>452</v>
      </c>
      <c r="P696" s="183" t="s">
        <v>575</v>
      </c>
      <c r="Q696" s="183"/>
      <c r="R696" s="183" t="s">
        <v>24</v>
      </c>
      <c r="S696" s="183"/>
      <c r="T696" s="184"/>
      <c r="U696" s="184"/>
      <c r="V696" s="184"/>
      <c r="W696" s="184"/>
      <c r="X696" s="179"/>
      <c r="Y696" s="179"/>
      <c r="Z696" s="179"/>
      <c r="AA696" s="179"/>
    </row>
    <row r="697" spans="1:27">
      <c r="A697" s="181">
        <f ca="1">IFERROR(__xludf.DUMMYFUNCTION("IFS(B697="""","""",ISDATE(B697)=TRUE,B697,ISDATE(B697)=FALSE,TO_DATE(DATEVALUE(regexextract(B697,""\d+/\d+/\d+""))))"),44791)</f>
        <v>44791</v>
      </c>
      <c r="B697" s="182" t="s">
        <v>598</v>
      </c>
      <c r="C697" s="183" t="s">
        <v>276</v>
      </c>
      <c r="D697" s="183">
        <v>3.75</v>
      </c>
      <c r="E697" s="183" t="s">
        <v>4173</v>
      </c>
      <c r="F697" s="183" t="s">
        <v>4</v>
      </c>
      <c r="G697" s="183" t="s">
        <v>602</v>
      </c>
      <c r="H697" s="183" t="s">
        <v>4174</v>
      </c>
      <c r="I697" s="183">
        <v>4</v>
      </c>
      <c r="J697" s="183" t="s">
        <v>1045</v>
      </c>
      <c r="K697" s="183" t="s">
        <v>4175</v>
      </c>
      <c r="L697" s="183">
        <v>3.5</v>
      </c>
      <c r="M697" s="183" t="s">
        <v>923</v>
      </c>
      <c r="N697" s="187">
        <v>500000</v>
      </c>
      <c r="O697" s="183" t="s">
        <v>452</v>
      </c>
      <c r="P697" s="183" t="s">
        <v>4176</v>
      </c>
      <c r="Q697" s="183" t="s">
        <v>4177</v>
      </c>
      <c r="R697" s="183" t="s">
        <v>20</v>
      </c>
      <c r="S697" s="184" t="s">
        <v>4178</v>
      </c>
      <c r="T697" s="184"/>
      <c r="U697" s="184"/>
      <c r="V697" s="184"/>
      <c r="W697" s="184"/>
      <c r="X697" s="179"/>
      <c r="Y697" s="179"/>
      <c r="Z697" s="179"/>
      <c r="AA697" s="179"/>
    </row>
    <row r="698" spans="1:27">
      <c r="A698" s="181">
        <f ca="1">IFERROR(__xludf.DUMMYFUNCTION("IFS(B698="""","""",ISDATE(B698)=TRUE,B698,ISDATE(B698)=FALSE,TO_DATE(DATEVALUE(regexextract(B698,""\d+/\d+/\d+""))))"),44791)</f>
        <v>44791</v>
      </c>
      <c r="B698" s="182" t="s">
        <v>598</v>
      </c>
      <c r="C698" s="183" t="s">
        <v>8377</v>
      </c>
      <c r="D698" s="183">
        <v>2</v>
      </c>
      <c r="E698" s="183" t="s">
        <v>8380</v>
      </c>
      <c r="F698" s="183" t="s">
        <v>3</v>
      </c>
      <c r="G698" s="183" t="s">
        <v>460</v>
      </c>
      <c r="H698" s="183" t="s">
        <v>8381</v>
      </c>
      <c r="I698" s="183">
        <v>2</v>
      </c>
      <c r="J698" s="183" t="s">
        <v>941</v>
      </c>
      <c r="K698" s="183" t="s">
        <v>8382</v>
      </c>
      <c r="L698" s="183">
        <v>2</v>
      </c>
      <c r="M698" s="183" t="s">
        <v>451</v>
      </c>
      <c r="N698" s="185">
        <v>1200000</v>
      </c>
      <c r="O698" s="183" t="s">
        <v>452</v>
      </c>
      <c r="P698" s="183" t="s">
        <v>8383</v>
      </c>
      <c r="Q698" s="184"/>
      <c r="R698" s="183" t="s">
        <v>24</v>
      </c>
      <c r="S698" s="183"/>
      <c r="T698" s="184"/>
      <c r="U698" s="184"/>
      <c r="V698" s="184"/>
      <c r="W698" s="184"/>
      <c r="X698" s="179"/>
      <c r="Y698" s="179"/>
      <c r="Z698" s="179"/>
      <c r="AA698" s="179"/>
    </row>
    <row r="699" spans="1:27">
      <c r="A699" s="181">
        <f ca="1">IFERROR(__xludf.DUMMYFUNCTION("IFS(B699="""","""",ISDATE(B699)=TRUE,B699,ISDATE(B699)=FALSE,TO_DATE(DATEVALUE(regexextract(B699,""\d+/\d+/\d+""))))"),44791)</f>
        <v>44791</v>
      </c>
      <c r="B699" s="182" t="s">
        <v>598</v>
      </c>
      <c r="C699" s="183" t="s">
        <v>2678</v>
      </c>
      <c r="D699" s="183">
        <v>3.5</v>
      </c>
      <c r="E699" s="183" t="s">
        <v>2681</v>
      </c>
      <c r="F699" s="183" t="s">
        <v>5</v>
      </c>
      <c r="G699" s="183" t="s">
        <v>447</v>
      </c>
      <c r="H699" s="183" t="s">
        <v>11030</v>
      </c>
      <c r="I699" s="183">
        <v>3.5</v>
      </c>
      <c r="J699" s="183" t="s">
        <v>449</v>
      </c>
      <c r="K699" s="184" t="s">
        <v>11031</v>
      </c>
      <c r="L699" s="183">
        <v>3.5</v>
      </c>
      <c r="M699" s="183"/>
      <c r="N699" s="185"/>
      <c r="O699" s="183" t="s">
        <v>454</v>
      </c>
      <c r="P699" s="183" t="s">
        <v>2684</v>
      </c>
      <c r="Q699" s="184" t="s">
        <v>2685</v>
      </c>
      <c r="R699" s="183" t="s">
        <v>24</v>
      </c>
      <c r="S699" s="183"/>
      <c r="T699" s="184"/>
      <c r="U699" s="184"/>
      <c r="V699" s="184"/>
      <c r="W699" s="184"/>
      <c r="X699" s="179"/>
      <c r="Y699" s="179"/>
      <c r="Z699" s="179"/>
      <c r="AA699" s="179"/>
    </row>
    <row r="700" spans="1:27">
      <c r="A700" s="181">
        <f ca="1">IFERROR(__xludf.DUMMYFUNCTION("IFS(B700="""","""",ISDATE(B700)=TRUE,B700,ISDATE(B700)=FALSE,TO_DATE(DATEVALUE(regexextract(B700,""\d+/\d+/\d+""))))"),44789)</f>
        <v>44789</v>
      </c>
      <c r="B700" s="182" t="s">
        <v>6450</v>
      </c>
      <c r="C700" s="183" t="s">
        <v>2282</v>
      </c>
      <c r="D700" s="184">
        <v>2</v>
      </c>
      <c r="E700" s="183" t="s">
        <v>2285</v>
      </c>
      <c r="F700" s="183" t="s">
        <v>5</v>
      </c>
      <c r="G700" s="183" t="s">
        <v>447</v>
      </c>
      <c r="H700" s="184" t="s">
        <v>11032</v>
      </c>
      <c r="I700" s="184">
        <v>2</v>
      </c>
      <c r="J700" s="183" t="s">
        <v>543</v>
      </c>
      <c r="K700" s="184" t="s">
        <v>11033</v>
      </c>
      <c r="L700" s="184">
        <v>2</v>
      </c>
      <c r="M700" s="184" t="s">
        <v>784</v>
      </c>
      <c r="N700" s="188">
        <v>2000000</v>
      </c>
      <c r="O700" s="183" t="s">
        <v>452</v>
      </c>
      <c r="P700" s="183" t="s">
        <v>2288</v>
      </c>
      <c r="Q700" s="184"/>
      <c r="R700" s="184" t="s">
        <v>24</v>
      </c>
      <c r="S700" s="184"/>
      <c r="T700" s="184"/>
      <c r="U700" s="184"/>
      <c r="V700" s="184"/>
      <c r="W700" s="184"/>
      <c r="X700" s="179"/>
      <c r="Y700" s="179"/>
      <c r="Z700" s="179"/>
      <c r="AA700" s="179"/>
    </row>
    <row r="701" spans="1:27">
      <c r="A701" s="181">
        <f ca="1">IFERROR(__xludf.DUMMYFUNCTION("IFS(B701="""","""",ISDATE(B701)=TRUE,B701,ISDATE(B701)=FALSE,TO_DATE(DATEVALUE(regexextract(B701,""\d+/\d+/\d+""))))"),44789)</f>
        <v>44789</v>
      </c>
      <c r="B701" s="182" t="s">
        <v>6450</v>
      </c>
      <c r="C701" s="191" t="s">
        <v>5184</v>
      </c>
      <c r="D701" s="184">
        <v>3.25</v>
      </c>
      <c r="E701" s="183" t="s">
        <v>5187</v>
      </c>
      <c r="F701" s="183" t="s">
        <v>4</v>
      </c>
      <c r="G701" s="183" t="s">
        <v>602</v>
      </c>
      <c r="H701" s="184" t="s">
        <v>5188</v>
      </c>
      <c r="I701" s="184">
        <v>3</v>
      </c>
      <c r="J701" s="183" t="s">
        <v>476</v>
      </c>
      <c r="K701" s="183" t="s">
        <v>11034</v>
      </c>
      <c r="L701" s="183">
        <v>3.5</v>
      </c>
      <c r="M701" s="183" t="s">
        <v>451</v>
      </c>
      <c r="N701" s="185">
        <v>500000</v>
      </c>
      <c r="O701" s="183" t="s">
        <v>452</v>
      </c>
      <c r="P701" s="183" t="s">
        <v>5190</v>
      </c>
      <c r="Q701" s="184"/>
      <c r="R701" s="184" t="s">
        <v>24</v>
      </c>
      <c r="S701" s="184"/>
      <c r="T701" s="184"/>
      <c r="U701" s="184"/>
      <c r="V701" s="184"/>
      <c r="W701" s="184"/>
      <c r="X701" s="179"/>
      <c r="Y701" s="179"/>
      <c r="Z701" s="179"/>
      <c r="AA701" s="179"/>
    </row>
    <row r="702" spans="1:27">
      <c r="A702" s="181">
        <f ca="1">IFERROR(__xludf.DUMMYFUNCTION("IFS(B702="""","""",ISDATE(B702)=TRUE,B702,ISDATE(B702)=FALSE,TO_DATE(DATEVALUE(regexextract(B702,""\d+/\d+/\d+""))))"),44791)</f>
        <v>44791</v>
      </c>
      <c r="B702" s="182" t="s">
        <v>10182</v>
      </c>
      <c r="C702" s="183" t="s">
        <v>5717</v>
      </c>
      <c r="D702" s="183">
        <v>3</v>
      </c>
      <c r="E702" s="183" t="s">
        <v>5720</v>
      </c>
      <c r="F702" s="183" t="s">
        <v>4</v>
      </c>
      <c r="G702" s="183" t="s">
        <v>602</v>
      </c>
      <c r="H702" s="183" t="s">
        <v>5721</v>
      </c>
      <c r="I702" s="183">
        <v>3</v>
      </c>
      <c r="J702" s="183" t="s">
        <v>1371</v>
      </c>
      <c r="K702" s="183" t="s">
        <v>5722</v>
      </c>
      <c r="L702" s="183">
        <v>3</v>
      </c>
      <c r="M702" s="184"/>
      <c r="N702" s="188"/>
      <c r="O702" s="183" t="s">
        <v>452</v>
      </c>
      <c r="P702" s="183" t="s">
        <v>11035</v>
      </c>
      <c r="Q702" s="184"/>
      <c r="R702" s="183" t="s">
        <v>24</v>
      </c>
      <c r="S702" s="183"/>
      <c r="T702" s="184"/>
      <c r="U702" s="184"/>
      <c r="V702" s="184"/>
      <c r="W702" s="184"/>
      <c r="X702" s="179"/>
      <c r="Y702" s="179"/>
      <c r="Z702" s="179"/>
      <c r="AA702" s="179"/>
    </row>
    <row r="703" spans="1:27">
      <c r="A703" s="181">
        <f ca="1">IFERROR(__xludf.DUMMYFUNCTION("IFS(B703="""","""",ISDATE(B703)=TRUE,B703,ISDATE(B703)=FALSE,TO_DATE(DATEVALUE(regexextract(B703,""\d+/\d+/\d+""))))"),44791)</f>
        <v>44791</v>
      </c>
      <c r="B703" s="182" t="s">
        <v>10182</v>
      </c>
      <c r="C703" s="191" t="s">
        <v>6664</v>
      </c>
      <c r="D703" s="183">
        <v>2.25</v>
      </c>
      <c r="E703" s="183" t="s">
        <v>6667</v>
      </c>
      <c r="F703" s="183" t="s">
        <v>4</v>
      </c>
      <c r="G703" s="183" t="s">
        <v>602</v>
      </c>
      <c r="H703" s="183" t="s">
        <v>6668</v>
      </c>
      <c r="I703" s="183">
        <v>2.5</v>
      </c>
      <c r="J703" s="183" t="s">
        <v>1036</v>
      </c>
      <c r="K703" s="183" t="s">
        <v>6669</v>
      </c>
      <c r="L703" s="183">
        <v>2</v>
      </c>
      <c r="M703" s="183" t="s">
        <v>451</v>
      </c>
      <c r="N703" s="187">
        <v>2000000</v>
      </c>
      <c r="O703" s="183" t="s">
        <v>465</v>
      </c>
      <c r="P703" s="183" t="s">
        <v>6670</v>
      </c>
      <c r="Q703" s="184"/>
      <c r="R703" s="183" t="s">
        <v>24</v>
      </c>
      <c r="S703" s="184"/>
      <c r="T703" s="184"/>
      <c r="U703" s="184"/>
      <c r="V703" s="184"/>
      <c r="W703" s="184"/>
      <c r="X703" s="179"/>
      <c r="Y703" s="179"/>
      <c r="Z703" s="179"/>
      <c r="AA703" s="179"/>
    </row>
    <row r="704" spans="1:27">
      <c r="A704" s="181">
        <f ca="1">IFERROR(__xludf.DUMMYFUNCTION("IFS(B704="""","""",ISDATE(B704)=TRUE,B704,ISDATE(B704)=FALSE,TO_DATE(DATEVALUE(regexextract(B704,""\d+/\d+/\d+""))))"),44791)</f>
        <v>44791</v>
      </c>
      <c r="B704" s="182" t="s">
        <v>10182</v>
      </c>
      <c r="C704" s="183" t="s">
        <v>133</v>
      </c>
      <c r="D704" s="183">
        <v>4.75</v>
      </c>
      <c r="E704" s="183" t="s">
        <v>11036</v>
      </c>
      <c r="F704" s="183" t="s">
        <v>5</v>
      </c>
      <c r="G704" s="183" t="s">
        <v>460</v>
      </c>
      <c r="H704" s="183" t="s">
        <v>940</v>
      </c>
      <c r="I704" s="183">
        <v>4.5</v>
      </c>
      <c r="J704" s="183" t="s">
        <v>941</v>
      </c>
      <c r="K704" s="183" t="s">
        <v>11037</v>
      </c>
      <c r="L704" s="183">
        <v>5</v>
      </c>
      <c r="M704" s="184" t="s">
        <v>923</v>
      </c>
      <c r="N704" s="188" t="s">
        <v>943</v>
      </c>
      <c r="O704" s="183" t="s">
        <v>454</v>
      </c>
      <c r="P704" s="183" t="s">
        <v>11038</v>
      </c>
      <c r="Q704" s="184" t="s">
        <v>945</v>
      </c>
      <c r="R704" s="183" t="s">
        <v>18</v>
      </c>
      <c r="S704" s="184" t="s">
        <v>946</v>
      </c>
      <c r="T704" s="184"/>
      <c r="U704" s="184"/>
      <c r="V704" s="184"/>
      <c r="W704" s="184"/>
      <c r="X704" s="179"/>
      <c r="Y704" s="179"/>
      <c r="Z704" s="179"/>
      <c r="AA704" s="179"/>
    </row>
    <row r="705" spans="1:27">
      <c r="A705" s="181">
        <f ca="1">IFERROR(__xludf.DUMMYFUNCTION("IFS(B705="""","""",ISDATE(B705)=TRUE,B705,ISDATE(B705)=FALSE,TO_DATE(DATEVALUE(regexextract(B705,""\d+/\d+/\d+""))))"),44791)</f>
        <v>44791</v>
      </c>
      <c r="B705" s="182" t="s">
        <v>10182</v>
      </c>
      <c r="C705" s="183" t="s">
        <v>9041</v>
      </c>
      <c r="D705" s="183">
        <v>3.25</v>
      </c>
      <c r="E705" s="183" t="s">
        <v>9044</v>
      </c>
      <c r="F705" s="183" t="s">
        <v>3</v>
      </c>
      <c r="G705" s="183" t="s">
        <v>460</v>
      </c>
      <c r="H705" s="183" t="s">
        <v>9045</v>
      </c>
      <c r="I705" s="183">
        <v>3.5</v>
      </c>
      <c r="J705" s="183" t="s">
        <v>941</v>
      </c>
      <c r="K705" s="183" t="s">
        <v>9046</v>
      </c>
      <c r="L705" s="183">
        <v>3</v>
      </c>
      <c r="M705" s="183" t="s">
        <v>973</v>
      </c>
      <c r="N705" s="192" t="s">
        <v>9047</v>
      </c>
      <c r="O705" s="183" t="s">
        <v>452</v>
      </c>
      <c r="P705" s="183" t="s">
        <v>9048</v>
      </c>
      <c r="Q705" s="184"/>
      <c r="R705" s="183" t="s">
        <v>24</v>
      </c>
      <c r="S705" s="184"/>
      <c r="T705" s="184"/>
      <c r="U705" s="184"/>
      <c r="V705" s="184"/>
      <c r="W705" s="184"/>
      <c r="X705" s="179"/>
      <c r="Y705" s="179"/>
      <c r="Z705" s="179"/>
      <c r="AA705" s="179"/>
    </row>
    <row r="706" spans="1:27">
      <c r="A706" s="181">
        <f ca="1">IFERROR(__xludf.DUMMYFUNCTION("IFS(B706="""","""",ISDATE(B706)=TRUE,B706,ISDATE(B706)=FALSE,TO_DATE(DATEVALUE(regexextract(B706,""\d+/\d+/\d+""))))"),44796)</f>
        <v>44796</v>
      </c>
      <c r="B706" s="182" t="s">
        <v>529</v>
      </c>
      <c r="C706" s="183" t="s">
        <v>7607</v>
      </c>
      <c r="D706" s="183">
        <v>2</v>
      </c>
      <c r="E706" s="183" t="s">
        <v>7610</v>
      </c>
      <c r="F706" s="183" t="s">
        <v>4</v>
      </c>
      <c r="G706" s="183" t="s">
        <v>602</v>
      </c>
      <c r="H706" s="183" t="s">
        <v>7611</v>
      </c>
      <c r="I706" s="183">
        <v>2</v>
      </c>
      <c r="J706" s="183" t="s">
        <v>1045</v>
      </c>
      <c r="K706" s="183" t="s">
        <v>7612</v>
      </c>
      <c r="L706" s="183">
        <v>2</v>
      </c>
      <c r="M706" s="184"/>
      <c r="N706" s="186"/>
      <c r="O706" s="183" t="s">
        <v>452</v>
      </c>
      <c r="P706" s="183" t="s">
        <v>3420</v>
      </c>
      <c r="Q706" s="184" t="s">
        <v>725</v>
      </c>
      <c r="R706" s="183" t="s">
        <v>24</v>
      </c>
      <c r="S706" s="184"/>
      <c r="T706" s="184"/>
      <c r="U706" s="184"/>
      <c r="V706" s="184"/>
      <c r="W706" s="184"/>
      <c r="X706" s="179"/>
      <c r="Y706" s="179"/>
      <c r="Z706" s="179"/>
      <c r="AA706" s="179"/>
    </row>
    <row r="707" spans="1:27">
      <c r="A707" s="181">
        <f ca="1">IFERROR(__xludf.DUMMYFUNCTION("IFS(B707="""","""",ISDATE(B707)=TRUE,B707,ISDATE(B707)=FALSE,TO_DATE(DATEVALUE(regexextract(B707,""\d+/\d+/\d+""))))"),44791)</f>
        <v>44791</v>
      </c>
      <c r="B707" s="189" t="s">
        <v>10182</v>
      </c>
      <c r="C707" s="183" t="s">
        <v>4671</v>
      </c>
      <c r="D707" s="183">
        <v>3.5</v>
      </c>
      <c r="E707" s="183" t="s">
        <v>11039</v>
      </c>
      <c r="F707" s="183" t="s">
        <v>4</v>
      </c>
      <c r="G707" s="183" t="s">
        <v>602</v>
      </c>
      <c r="H707" s="183" t="s">
        <v>4675</v>
      </c>
      <c r="I707" s="183">
        <v>3</v>
      </c>
      <c r="J707" s="183" t="s">
        <v>1187</v>
      </c>
      <c r="K707" s="183" t="s">
        <v>4676</v>
      </c>
      <c r="L707" s="183">
        <v>4</v>
      </c>
      <c r="M707" s="184" t="s">
        <v>451</v>
      </c>
      <c r="N707" s="188" t="s">
        <v>1384</v>
      </c>
      <c r="O707" s="183" t="s">
        <v>465</v>
      </c>
      <c r="P707" s="183" t="s">
        <v>4677</v>
      </c>
      <c r="Q707" s="184"/>
      <c r="R707" s="183" t="s">
        <v>24</v>
      </c>
      <c r="S707" s="184"/>
      <c r="T707" s="184"/>
      <c r="U707" s="184"/>
      <c r="V707" s="184"/>
      <c r="W707" s="184"/>
      <c r="X707" s="179"/>
      <c r="Y707" s="179"/>
      <c r="Z707" s="179"/>
      <c r="AA707" s="179"/>
    </row>
    <row r="708" spans="1:27">
      <c r="A708" s="181">
        <f ca="1">IFERROR(__xludf.DUMMYFUNCTION("IFS(B708="""","""",ISDATE(B708)=TRUE,B708,ISDATE(B708)=FALSE,TO_DATE(DATEVALUE(regexextract(B708,""\d+/\d+/\d+""))))"),44789)</f>
        <v>44789</v>
      </c>
      <c r="B708" s="182" t="s">
        <v>6450</v>
      </c>
      <c r="C708" s="183" t="s">
        <v>6097</v>
      </c>
      <c r="D708" s="184">
        <v>2.75</v>
      </c>
      <c r="E708" s="183" t="s">
        <v>6100</v>
      </c>
      <c r="F708" s="183" t="s">
        <v>4</v>
      </c>
      <c r="G708" s="183" t="s">
        <v>602</v>
      </c>
      <c r="H708" s="184" t="s">
        <v>6101</v>
      </c>
      <c r="I708" s="184">
        <v>3</v>
      </c>
      <c r="J708" s="183" t="s">
        <v>1045</v>
      </c>
      <c r="K708" s="184" t="s">
        <v>6102</v>
      </c>
      <c r="L708" s="184">
        <v>2.5</v>
      </c>
      <c r="M708" s="184" t="s">
        <v>784</v>
      </c>
      <c r="N708" s="186">
        <v>500000</v>
      </c>
      <c r="O708" s="183" t="s">
        <v>452</v>
      </c>
      <c r="P708" s="183" t="s">
        <v>6103</v>
      </c>
      <c r="Q708" s="183"/>
      <c r="R708" s="184" t="s">
        <v>24</v>
      </c>
      <c r="S708" s="184"/>
      <c r="T708" s="184"/>
      <c r="U708" s="184"/>
      <c r="V708" s="184"/>
      <c r="W708" s="184"/>
      <c r="X708" s="179"/>
      <c r="Y708" s="179"/>
      <c r="Z708" s="179"/>
      <c r="AA708" s="179"/>
    </row>
    <row r="709" spans="1:27">
      <c r="A709" s="181">
        <f ca="1">IFERROR(__xludf.DUMMYFUNCTION("IFS(B709="""","""",ISDATE(B709)=TRUE,B709,ISDATE(B709)=FALSE,TO_DATE(DATEVALUE(regexextract(B709,""\d+/\d+/\d+""))))"),44791)</f>
        <v>44791</v>
      </c>
      <c r="B709" s="182" t="s">
        <v>10182</v>
      </c>
      <c r="C709" s="183" t="s">
        <v>7380</v>
      </c>
      <c r="D709" s="184">
        <v>2</v>
      </c>
      <c r="E709" s="183" t="s">
        <v>7383</v>
      </c>
      <c r="F709" s="183" t="s">
        <v>4</v>
      </c>
      <c r="G709" s="183" t="s">
        <v>602</v>
      </c>
      <c r="H709" s="184" t="s">
        <v>7384</v>
      </c>
      <c r="I709" s="184">
        <v>2</v>
      </c>
      <c r="J709" s="183" t="s">
        <v>1298</v>
      </c>
      <c r="K709" s="183" t="s">
        <v>7385</v>
      </c>
      <c r="L709" s="183">
        <v>2</v>
      </c>
      <c r="M709" s="184" t="s">
        <v>784</v>
      </c>
      <c r="N709" s="188">
        <v>1000000</v>
      </c>
      <c r="O709" s="183" t="s">
        <v>452</v>
      </c>
      <c r="P709" s="183" t="s">
        <v>7386</v>
      </c>
      <c r="Q709" s="184"/>
      <c r="R709" s="184" t="s">
        <v>24</v>
      </c>
      <c r="S709" s="184"/>
      <c r="T709" s="184"/>
      <c r="U709" s="184"/>
      <c r="V709" s="184"/>
      <c r="W709" s="184"/>
      <c r="X709" s="179"/>
      <c r="Y709" s="179"/>
      <c r="Z709" s="179"/>
      <c r="AA709" s="179"/>
    </row>
    <row r="710" spans="1:27">
      <c r="A710" s="181">
        <f ca="1">IFERROR(__xludf.DUMMYFUNCTION("IFS(B710="""","""",ISDATE(B710)=TRUE,B710,ISDATE(B710)=FALSE,TO_DATE(DATEVALUE(regexextract(B710,""\d+/\d+/\d+""))))"),44789)</f>
        <v>44789</v>
      </c>
      <c r="B710" s="182" t="s">
        <v>6450</v>
      </c>
      <c r="C710" s="183" t="s">
        <v>9235</v>
      </c>
      <c r="D710" s="183">
        <v>2</v>
      </c>
      <c r="E710" s="183" t="s">
        <v>9238</v>
      </c>
      <c r="F710" s="183" t="s">
        <v>3</v>
      </c>
      <c r="G710" s="183" t="s">
        <v>460</v>
      </c>
      <c r="H710" s="183" t="s">
        <v>9239</v>
      </c>
      <c r="I710" s="183">
        <v>2</v>
      </c>
      <c r="J710" s="183" t="s">
        <v>941</v>
      </c>
      <c r="K710" s="183" t="s">
        <v>9240</v>
      </c>
      <c r="L710" s="183">
        <v>2</v>
      </c>
      <c r="M710" s="184" t="s">
        <v>451</v>
      </c>
      <c r="N710" s="190">
        <v>800000</v>
      </c>
      <c r="O710" s="183" t="s">
        <v>452</v>
      </c>
      <c r="P710" s="183" t="s">
        <v>452</v>
      </c>
      <c r="Q710" s="183"/>
      <c r="R710" s="183" t="s">
        <v>24</v>
      </c>
      <c r="S710" s="184"/>
      <c r="T710" s="184"/>
      <c r="U710" s="184"/>
      <c r="V710" s="184"/>
      <c r="W710" s="184"/>
      <c r="X710" s="179"/>
      <c r="Y710" s="179"/>
      <c r="Z710" s="179"/>
      <c r="AA710" s="179"/>
    </row>
    <row r="711" spans="1:27">
      <c r="A711" s="181">
        <f ca="1">IFERROR(__xludf.DUMMYFUNCTION("IFS(B711="""","""",ISDATE(B711)=TRUE,B711,ISDATE(B711)=FALSE,TO_DATE(DATEVALUE(regexextract(B711,""\d+/\d+/\d+""))))"),44791)</f>
        <v>44791</v>
      </c>
      <c r="B711" s="182" t="s">
        <v>10182</v>
      </c>
      <c r="C711" s="183" t="s">
        <v>176</v>
      </c>
      <c r="D711" s="183">
        <v>4</v>
      </c>
      <c r="E711" s="183" t="s">
        <v>1135</v>
      </c>
      <c r="F711" s="183" t="s">
        <v>4</v>
      </c>
      <c r="G711" s="183" t="s">
        <v>602</v>
      </c>
      <c r="H711" s="183" t="s">
        <v>1136</v>
      </c>
      <c r="I711" s="183">
        <v>4</v>
      </c>
      <c r="J711" s="183" t="s">
        <v>604</v>
      </c>
      <c r="K711" s="183" t="s">
        <v>11040</v>
      </c>
      <c r="L711" s="183">
        <v>4</v>
      </c>
      <c r="M711" s="184" t="s">
        <v>451</v>
      </c>
      <c r="N711" s="186">
        <v>1500000</v>
      </c>
      <c r="O711" s="183" t="s">
        <v>452</v>
      </c>
      <c r="P711" s="183" t="s">
        <v>11041</v>
      </c>
      <c r="Q711" s="184"/>
      <c r="R711" s="183" t="s">
        <v>18</v>
      </c>
      <c r="S711" s="184"/>
      <c r="T711" s="184"/>
      <c r="U711" s="184"/>
      <c r="V711" s="184"/>
      <c r="W711" s="184"/>
      <c r="X711" s="179"/>
      <c r="Y711" s="179"/>
      <c r="Z711" s="179"/>
      <c r="AA711" s="179"/>
    </row>
    <row r="712" spans="1:27">
      <c r="A712" s="181">
        <f ca="1">IFERROR(__xludf.DUMMYFUNCTION("IFS(B712="""","""",ISDATE(B712)=TRUE,B712,ISDATE(B712)=FALSE,TO_DATE(DATEVALUE(regexextract(B712,""\d+/\d+/\d+""))))"),44796)</f>
        <v>44796</v>
      </c>
      <c r="B712" s="182" t="s">
        <v>529</v>
      </c>
      <c r="C712" s="183" t="s">
        <v>2454</v>
      </c>
      <c r="D712" s="184">
        <v>3.25</v>
      </c>
      <c r="E712" s="183" t="s">
        <v>2457</v>
      </c>
      <c r="F712" s="183" t="s">
        <v>5</v>
      </c>
      <c r="G712" s="183" t="s">
        <v>447</v>
      </c>
      <c r="H712" s="184" t="s">
        <v>11042</v>
      </c>
      <c r="I712" s="184">
        <v>3</v>
      </c>
      <c r="J712" s="183" t="s">
        <v>622</v>
      </c>
      <c r="K712" s="183" t="s">
        <v>11043</v>
      </c>
      <c r="L712" s="183">
        <v>3.5</v>
      </c>
      <c r="M712" s="183" t="s">
        <v>451</v>
      </c>
      <c r="N712" s="187">
        <v>1500000</v>
      </c>
      <c r="O712" s="183" t="s">
        <v>452</v>
      </c>
      <c r="P712" s="183" t="s">
        <v>2460</v>
      </c>
      <c r="Q712" s="183"/>
      <c r="R712" s="184" t="s">
        <v>24</v>
      </c>
      <c r="S712" s="184"/>
      <c r="T712" s="184"/>
      <c r="U712" s="184"/>
      <c r="V712" s="184"/>
      <c r="W712" s="184"/>
      <c r="X712" s="179"/>
      <c r="Y712" s="179"/>
      <c r="Z712" s="179"/>
      <c r="AA712" s="179"/>
    </row>
    <row r="713" spans="1:27">
      <c r="A713" s="181">
        <f ca="1">IFERROR(__xludf.DUMMYFUNCTION("IFS(B713="""","""",ISDATE(B713)=TRUE,B713,ISDATE(B713)=FALSE,TO_DATE(DATEVALUE(regexextract(B713,""\d+/\d+/\d+""))))"),44796)</f>
        <v>44796</v>
      </c>
      <c r="B713" s="182" t="s">
        <v>529</v>
      </c>
      <c r="C713" s="183" t="s">
        <v>246</v>
      </c>
      <c r="D713" s="184">
        <v>4</v>
      </c>
      <c r="E713" s="183" t="s">
        <v>1437</v>
      </c>
      <c r="F713" s="183" t="s">
        <v>4</v>
      </c>
      <c r="G713" s="183" t="s">
        <v>460</v>
      </c>
      <c r="H713" s="184" t="s">
        <v>1438</v>
      </c>
      <c r="I713" s="184">
        <v>4</v>
      </c>
      <c r="J713" s="183" t="s">
        <v>462</v>
      </c>
      <c r="K713" s="184" t="s">
        <v>1439</v>
      </c>
      <c r="L713" s="184">
        <v>4</v>
      </c>
      <c r="M713" s="183" t="s">
        <v>451</v>
      </c>
      <c r="N713" s="187">
        <v>2000000</v>
      </c>
      <c r="O713" s="183" t="s">
        <v>452</v>
      </c>
      <c r="P713" s="183" t="s">
        <v>1440</v>
      </c>
      <c r="Q713" s="184"/>
      <c r="R713" s="184" t="s">
        <v>19</v>
      </c>
      <c r="S713" s="184" t="s">
        <v>1441</v>
      </c>
      <c r="T713" s="184"/>
      <c r="U713" s="184"/>
      <c r="V713" s="184"/>
      <c r="W713" s="184"/>
      <c r="X713" s="179"/>
      <c r="Y713" s="179"/>
      <c r="Z713" s="179"/>
      <c r="AA713" s="179"/>
    </row>
    <row r="714" spans="1:27">
      <c r="A714" s="181">
        <f ca="1">IFERROR(__xludf.DUMMYFUNCTION("IFS(B714="""","""",ISDATE(B714)=TRUE,B714,ISDATE(B714)=FALSE,TO_DATE(DATEVALUE(regexextract(B714,""\d+/\d+/\d+""))))"),44791)</f>
        <v>44791</v>
      </c>
      <c r="B714" s="182" t="s">
        <v>598</v>
      </c>
      <c r="C714" s="183" t="s">
        <v>5539</v>
      </c>
      <c r="D714" s="183">
        <v>3</v>
      </c>
      <c r="E714" s="184" t="s">
        <v>11044</v>
      </c>
      <c r="F714" s="183" t="s">
        <v>4</v>
      </c>
      <c r="G714" s="184" t="s">
        <v>602</v>
      </c>
      <c r="H714" s="184" t="s">
        <v>5543</v>
      </c>
      <c r="I714" s="183">
        <v>3</v>
      </c>
      <c r="J714" s="184" t="s">
        <v>476</v>
      </c>
      <c r="K714" s="184" t="s">
        <v>11045</v>
      </c>
      <c r="L714" s="183">
        <v>3</v>
      </c>
      <c r="M714" s="184" t="s">
        <v>784</v>
      </c>
      <c r="N714" s="188">
        <v>500000</v>
      </c>
      <c r="O714" s="184" t="s">
        <v>452</v>
      </c>
      <c r="P714" s="184" t="s">
        <v>5545</v>
      </c>
      <c r="Q714" s="184"/>
      <c r="R714" s="183" t="s">
        <v>24</v>
      </c>
      <c r="S714" s="183"/>
      <c r="T714" s="183"/>
      <c r="U714" s="183"/>
      <c r="V714" s="183"/>
      <c r="W714" s="184"/>
      <c r="X714" s="179"/>
      <c r="Y714" s="179"/>
      <c r="Z714" s="179"/>
      <c r="AA714" s="179"/>
    </row>
    <row r="715" spans="1:27">
      <c r="A715" s="181">
        <f ca="1">IFERROR(__xludf.DUMMYFUNCTION("IFS(B715="""","""",ISDATE(B715)=TRUE,B715,ISDATE(B715)=FALSE,TO_DATE(DATEVALUE(regexextract(B715,""\d+/\d+/\d+""))))"),44789)</f>
        <v>44789</v>
      </c>
      <c r="B715" s="182" t="s">
        <v>6450</v>
      </c>
      <c r="C715" s="183" t="s">
        <v>9070</v>
      </c>
      <c r="D715" s="183">
        <v>3.5</v>
      </c>
      <c r="E715" s="183" t="s">
        <v>9073</v>
      </c>
      <c r="F715" s="183" t="s">
        <v>3</v>
      </c>
      <c r="G715" s="183" t="s">
        <v>460</v>
      </c>
      <c r="H715" s="183" t="s">
        <v>9074</v>
      </c>
      <c r="I715" s="183">
        <v>3</v>
      </c>
      <c r="J715" s="183" t="s">
        <v>941</v>
      </c>
      <c r="K715" s="183" t="s">
        <v>9075</v>
      </c>
      <c r="L715" s="183">
        <v>4</v>
      </c>
      <c r="M715" s="183"/>
      <c r="N715" s="185"/>
      <c r="O715" s="183" t="s">
        <v>452</v>
      </c>
      <c r="P715" s="183" t="s">
        <v>11046</v>
      </c>
      <c r="Q715" s="184"/>
      <c r="R715" s="183" t="s">
        <v>24</v>
      </c>
      <c r="S715" s="184"/>
      <c r="T715" s="184"/>
      <c r="U715" s="184"/>
      <c r="V715" s="184"/>
      <c r="W715" s="184"/>
      <c r="X715" s="179"/>
      <c r="Y715" s="179"/>
      <c r="Z715" s="179"/>
      <c r="AA715" s="179"/>
    </row>
    <row r="716" spans="1:27">
      <c r="A716" s="181">
        <f ca="1">IFERROR(__xludf.DUMMYFUNCTION("IFS(B716="""","""",ISDATE(B716)=TRUE,B716,ISDATE(B716)=FALSE,TO_DATE(DATEVALUE(regexextract(B716,""\d+/\d+/\d+""))))"),44791)</f>
        <v>44791</v>
      </c>
      <c r="B716" s="182" t="s">
        <v>10182</v>
      </c>
      <c r="C716" s="183" t="s">
        <v>7642</v>
      </c>
      <c r="D716" s="183">
        <v>1.75</v>
      </c>
      <c r="E716" s="183" t="s">
        <v>7645</v>
      </c>
      <c r="F716" s="183" t="s">
        <v>4</v>
      </c>
      <c r="G716" s="183" t="s">
        <v>602</v>
      </c>
      <c r="H716" s="183" t="s">
        <v>7646</v>
      </c>
      <c r="I716" s="183">
        <v>2.5</v>
      </c>
      <c r="J716" s="183" t="s">
        <v>1036</v>
      </c>
      <c r="K716" s="183" t="s">
        <v>7647</v>
      </c>
      <c r="L716" s="183">
        <v>1</v>
      </c>
      <c r="M716" s="183"/>
      <c r="N716" s="185"/>
      <c r="O716" s="183" t="s">
        <v>452</v>
      </c>
      <c r="P716" s="183" t="s">
        <v>1119</v>
      </c>
      <c r="Q716" s="184"/>
      <c r="R716" s="183" t="s">
        <v>24</v>
      </c>
      <c r="S716" s="183"/>
      <c r="T716" s="184"/>
      <c r="U716" s="184"/>
      <c r="V716" s="184"/>
      <c r="W716" s="184"/>
      <c r="X716" s="179"/>
      <c r="Y716" s="179"/>
      <c r="Z716" s="179"/>
      <c r="AA716" s="179"/>
    </row>
    <row r="717" spans="1:27">
      <c r="A717" s="181">
        <f ca="1">IFERROR(__xludf.DUMMYFUNCTION("IFS(B717="""","""",ISDATE(B717)=TRUE,B717,ISDATE(B717)=FALSE,TO_DATE(DATEVALUE(regexextract(B717,""\d+/\d+/\d+""))))"),44791)</f>
        <v>44791</v>
      </c>
      <c r="B717" s="182" t="s">
        <v>10182</v>
      </c>
      <c r="C717" s="183" t="s">
        <v>145</v>
      </c>
      <c r="D717" s="183">
        <v>4.75</v>
      </c>
      <c r="E717" s="183" t="s">
        <v>988</v>
      </c>
      <c r="F717" s="183" t="s">
        <v>4</v>
      </c>
      <c r="G717" s="183" t="s">
        <v>602</v>
      </c>
      <c r="H717" s="183" t="s">
        <v>989</v>
      </c>
      <c r="I717" s="183">
        <v>4.5</v>
      </c>
      <c r="J717" s="183" t="s">
        <v>990</v>
      </c>
      <c r="K717" s="183" t="s">
        <v>991</v>
      </c>
      <c r="L717" s="183">
        <v>5</v>
      </c>
      <c r="M717" s="183"/>
      <c r="N717" s="187"/>
      <c r="O717" s="183" t="s">
        <v>452</v>
      </c>
      <c r="P717" s="183" t="s">
        <v>452</v>
      </c>
      <c r="Q717" s="183"/>
      <c r="R717" s="183" t="s">
        <v>18</v>
      </c>
      <c r="S717" s="183" t="s">
        <v>992</v>
      </c>
      <c r="T717" s="184"/>
      <c r="U717" s="184"/>
      <c r="V717" s="184"/>
      <c r="W717" s="184"/>
      <c r="X717" s="179"/>
      <c r="Y717" s="179"/>
      <c r="Z717" s="179"/>
      <c r="AA717" s="179"/>
    </row>
    <row r="718" spans="1:27">
      <c r="A718" s="181">
        <f ca="1">IFERROR(__xludf.DUMMYFUNCTION("IFS(B718="""","""",ISDATE(B718)=TRUE,B718,ISDATE(B718)=FALSE,TO_DATE(DATEVALUE(regexextract(B718,""\d+/\d+/\d+""))))"),44791)</f>
        <v>44791</v>
      </c>
      <c r="B718" s="182" t="s">
        <v>10182</v>
      </c>
      <c r="C718" s="183" t="s">
        <v>325</v>
      </c>
      <c r="D718" s="184">
        <v>4.5</v>
      </c>
      <c r="E718" s="183" t="s">
        <v>1809</v>
      </c>
      <c r="F718" s="183" t="s">
        <v>3</v>
      </c>
      <c r="G718" s="183" t="s">
        <v>460</v>
      </c>
      <c r="H718" s="184" t="s">
        <v>1810</v>
      </c>
      <c r="I718" s="184">
        <v>4.5</v>
      </c>
      <c r="J718" s="183" t="s">
        <v>941</v>
      </c>
      <c r="K718" s="183"/>
      <c r="L718" s="183">
        <v>4.5</v>
      </c>
      <c r="M718" s="184" t="s">
        <v>478</v>
      </c>
      <c r="N718" s="188" t="s">
        <v>1811</v>
      </c>
      <c r="O718" s="183" t="s">
        <v>452</v>
      </c>
      <c r="P718" s="183" t="s">
        <v>1812</v>
      </c>
      <c r="Q718" s="183"/>
      <c r="R718" s="184" t="s">
        <v>18</v>
      </c>
      <c r="S718" s="184"/>
      <c r="T718" s="184"/>
      <c r="U718" s="184"/>
      <c r="V718" s="184"/>
      <c r="W718" s="184"/>
      <c r="X718" s="179"/>
      <c r="Y718" s="179"/>
      <c r="Z718" s="179"/>
      <c r="AA718" s="179"/>
    </row>
    <row r="719" spans="1:27">
      <c r="A719" s="181">
        <f ca="1">IFERROR(__xludf.DUMMYFUNCTION("IFS(B719="""","""",ISDATE(B719)=TRUE,B719,ISDATE(B719)=FALSE,TO_DATE(DATEVALUE(regexextract(B719,""\d+/\d+/\d+""))))"),44791)</f>
        <v>44791</v>
      </c>
      <c r="B719" s="182" t="s">
        <v>10182</v>
      </c>
      <c r="C719" s="183" t="s">
        <v>6010</v>
      </c>
      <c r="D719" s="184">
        <v>2.75</v>
      </c>
      <c r="E719" s="183" t="s">
        <v>6013</v>
      </c>
      <c r="F719" s="183" t="s">
        <v>4</v>
      </c>
      <c r="G719" s="183" t="s">
        <v>602</v>
      </c>
      <c r="H719" s="184" t="s">
        <v>6014</v>
      </c>
      <c r="I719" s="184">
        <v>2.5</v>
      </c>
      <c r="J719" s="183" t="s">
        <v>1045</v>
      </c>
      <c r="K719" s="184" t="s">
        <v>6015</v>
      </c>
      <c r="L719" s="184">
        <v>3</v>
      </c>
      <c r="M719" s="184" t="s">
        <v>478</v>
      </c>
      <c r="N719" s="186">
        <v>7000000</v>
      </c>
      <c r="O719" s="183" t="s">
        <v>452</v>
      </c>
      <c r="P719" s="183" t="s">
        <v>452</v>
      </c>
      <c r="Q719" s="183"/>
      <c r="R719" s="184" t="s">
        <v>24</v>
      </c>
      <c r="S719" s="184"/>
      <c r="T719" s="184"/>
      <c r="U719" s="184"/>
      <c r="V719" s="184"/>
      <c r="W719" s="184"/>
      <c r="X719" s="179"/>
      <c r="Y719" s="179"/>
      <c r="Z719" s="179"/>
      <c r="AA719" s="179"/>
    </row>
    <row r="720" spans="1:27">
      <c r="A720" s="181">
        <f ca="1">IFERROR(__xludf.DUMMYFUNCTION("IFS(B720="""","""",ISDATE(B720)=TRUE,B720,ISDATE(B720)=FALSE,TO_DATE(DATEVALUE(regexextract(B720,""\d+/\d+/\d+""))))"),44784)</f>
        <v>44784</v>
      </c>
      <c r="B720" s="182" t="s">
        <v>10173</v>
      </c>
      <c r="C720" s="183" t="s">
        <v>4743</v>
      </c>
      <c r="D720" s="183">
        <v>3.5</v>
      </c>
      <c r="E720" s="183" t="s">
        <v>4746</v>
      </c>
      <c r="F720" s="183" t="s">
        <v>4</v>
      </c>
      <c r="G720" s="183" t="s">
        <v>602</v>
      </c>
      <c r="H720" s="183" t="s">
        <v>4747</v>
      </c>
      <c r="I720" s="183">
        <v>3.5</v>
      </c>
      <c r="J720" s="183" t="s">
        <v>476</v>
      </c>
      <c r="K720" s="183" t="s">
        <v>11047</v>
      </c>
      <c r="L720" s="183">
        <v>3.5</v>
      </c>
      <c r="M720" s="183"/>
      <c r="N720" s="187"/>
      <c r="O720" s="183" t="s">
        <v>465</v>
      </c>
      <c r="P720" s="183" t="s">
        <v>452</v>
      </c>
      <c r="Q720" s="184"/>
      <c r="R720" s="183" t="s">
        <v>24</v>
      </c>
      <c r="S720" s="183"/>
      <c r="T720" s="184"/>
      <c r="U720" s="184"/>
      <c r="V720" s="184"/>
      <c r="W720" s="184"/>
      <c r="X720" s="179"/>
      <c r="Y720" s="179"/>
      <c r="Z720" s="179"/>
      <c r="AA720" s="179"/>
    </row>
    <row r="721" spans="1:27">
      <c r="A721" s="181">
        <f ca="1">IFERROR(__xludf.DUMMYFUNCTION("IFS(B721="""","""",ISDATE(B721)=TRUE,B721,ISDATE(B721)=FALSE,TO_DATE(DATEVALUE(regexextract(B721,""\d+/\d+/\d+""))))"),44784)</f>
        <v>44784</v>
      </c>
      <c r="B721" s="182" t="s">
        <v>10173</v>
      </c>
      <c r="C721" s="183" t="s">
        <v>7940</v>
      </c>
      <c r="D721" s="184">
        <v>1.5</v>
      </c>
      <c r="E721" s="183" t="s">
        <v>7943</v>
      </c>
      <c r="F721" s="183" t="s">
        <v>4</v>
      </c>
      <c r="G721" s="183" t="s">
        <v>602</v>
      </c>
      <c r="H721" s="184"/>
      <c r="I721" s="184">
        <v>2</v>
      </c>
      <c r="J721" s="183" t="s">
        <v>476</v>
      </c>
      <c r="K721" s="183"/>
      <c r="L721" s="183">
        <v>1</v>
      </c>
      <c r="M721" s="183" t="s">
        <v>451</v>
      </c>
      <c r="N721" s="185">
        <v>1500000</v>
      </c>
      <c r="O721" s="183" t="s">
        <v>452</v>
      </c>
      <c r="P721" s="183" t="s">
        <v>11048</v>
      </c>
      <c r="Q721" s="184"/>
      <c r="R721" s="184" t="s">
        <v>24</v>
      </c>
      <c r="S721" s="184"/>
      <c r="T721" s="184"/>
      <c r="U721" s="184"/>
      <c r="V721" s="184"/>
      <c r="W721" s="184"/>
      <c r="X721" s="179"/>
      <c r="Y721" s="179"/>
      <c r="Z721" s="179"/>
      <c r="AA721" s="179"/>
    </row>
    <row r="722" spans="1:27">
      <c r="A722" s="181">
        <f ca="1">IFERROR(__xludf.DUMMYFUNCTION("IFS(B722="""","""",ISDATE(B722)=TRUE,B722,ISDATE(B722)=FALSE,TO_DATE(DATEVALUE(regexextract(B722,""\d+/\d+/\d+""))))"),44789)</f>
        <v>44789</v>
      </c>
      <c r="B722" s="182" t="s">
        <v>6450</v>
      </c>
      <c r="C722" s="183" t="s">
        <v>202</v>
      </c>
      <c r="D722" s="184">
        <v>4.5</v>
      </c>
      <c r="E722" s="183" t="s">
        <v>1269</v>
      </c>
      <c r="F722" s="183" t="s">
        <v>4</v>
      </c>
      <c r="G722" s="183" t="s">
        <v>602</v>
      </c>
      <c r="H722" s="184" t="s">
        <v>1270</v>
      </c>
      <c r="I722" s="184">
        <v>4.5</v>
      </c>
      <c r="J722" s="183" t="s">
        <v>476</v>
      </c>
      <c r="K722" s="184" t="s">
        <v>11049</v>
      </c>
      <c r="L722" s="184">
        <v>4.5</v>
      </c>
      <c r="M722" s="183"/>
      <c r="N722" s="187"/>
      <c r="O722" s="183" t="s">
        <v>454</v>
      </c>
      <c r="P722" s="183" t="s">
        <v>11050</v>
      </c>
      <c r="Q722" s="183" t="s">
        <v>1273</v>
      </c>
      <c r="R722" s="184" t="s">
        <v>18</v>
      </c>
      <c r="S722" s="184" t="s">
        <v>1274</v>
      </c>
      <c r="T722" s="184"/>
      <c r="U722" s="184"/>
      <c r="V722" s="184"/>
      <c r="W722" s="184"/>
      <c r="X722" s="179"/>
      <c r="Y722" s="179"/>
      <c r="Z722" s="179"/>
      <c r="AA722" s="179"/>
    </row>
    <row r="723" spans="1:27">
      <c r="A723" s="181">
        <f ca="1">IFERROR(__xludf.DUMMYFUNCTION("IFS(B723="""","""",ISDATE(B723)=TRUE,B723,ISDATE(B723)=FALSE,TO_DATE(DATEVALUE(regexextract(B723,""\d+/\d+/\d+""))))"),44791)</f>
        <v>44791</v>
      </c>
      <c r="B723" s="182" t="s">
        <v>10182</v>
      </c>
      <c r="C723" s="183" t="s">
        <v>11051</v>
      </c>
      <c r="D723" s="183">
        <v>2.75</v>
      </c>
      <c r="E723" s="183" t="s">
        <v>11052</v>
      </c>
      <c r="F723" s="183" t="s">
        <v>4</v>
      </c>
      <c r="G723" s="183" t="s">
        <v>602</v>
      </c>
      <c r="H723" s="183" t="s">
        <v>6038</v>
      </c>
      <c r="I723" s="183">
        <v>2.5</v>
      </c>
      <c r="J723" s="183" t="s">
        <v>1457</v>
      </c>
      <c r="K723" s="184" t="s">
        <v>6039</v>
      </c>
      <c r="L723" s="183">
        <v>3</v>
      </c>
      <c r="M723" s="183" t="s">
        <v>451</v>
      </c>
      <c r="N723" s="187" t="s">
        <v>6040</v>
      </c>
      <c r="O723" s="183" t="s">
        <v>452</v>
      </c>
      <c r="P723" s="183" t="s">
        <v>6041</v>
      </c>
      <c r="Q723" s="184"/>
      <c r="R723" s="183" t="s">
        <v>24</v>
      </c>
      <c r="S723" s="184"/>
      <c r="T723" s="184"/>
      <c r="U723" s="184"/>
      <c r="V723" s="184"/>
      <c r="W723" s="184"/>
      <c r="X723" s="179"/>
      <c r="Y723" s="179"/>
      <c r="Z723" s="179"/>
      <c r="AA723" s="179"/>
    </row>
    <row r="724" spans="1:27">
      <c r="A724" s="181">
        <f ca="1">IFERROR(__xludf.DUMMYFUNCTION("IFS(B724="""","""",ISDATE(B724)=TRUE,B724,ISDATE(B724)=FALSE,TO_DATE(DATEVALUE(regexextract(B724,""\d+/\d+/\d+""))))"),44784)</f>
        <v>44784</v>
      </c>
      <c r="B724" s="182" t="s">
        <v>10173</v>
      </c>
      <c r="C724" s="183" t="s">
        <v>7284</v>
      </c>
      <c r="D724" s="183">
        <v>2</v>
      </c>
      <c r="E724" s="183" t="s">
        <v>7287</v>
      </c>
      <c r="F724" s="183" t="s">
        <v>4</v>
      </c>
      <c r="G724" s="183" t="s">
        <v>602</v>
      </c>
      <c r="H724" s="183" t="s">
        <v>7288</v>
      </c>
      <c r="I724" s="183">
        <v>2.5</v>
      </c>
      <c r="J724" s="183" t="s">
        <v>476</v>
      </c>
      <c r="K724" s="183" t="s">
        <v>11053</v>
      </c>
      <c r="L724" s="183">
        <v>1.5</v>
      </c>
      <c r="M724" s="183"/>
      <c r="N724" s="185"/>
      <c r="O724" s="183" t="s">
        <v>452</v>
      </c>
      <c r="P724" s="183" t="s">
        <v>452</v>
      </c>
      <c r="Q724" s="184"/>
      <c r="R724" s="183" t="s">
        <v>24</v>
      </c>
      <c r="S724" s="183"/>
      <c r="T724" s="184"/>
      <c r="U724" s="184"/>
      <c r="V724" s="184"/>
      <c r="W724" s="184"/>
      <c r="X724" s="179"/>
      <c r="Y724" s="179"/>
      <c r="Z724" s="179"/>
      <c r="AA724" s="179"/>
    </row>
    <row r="725" spans="1:27">
      <c r="A725" s="181">
        <f ca="1">IFERROR(__xludf.DUMMYFUNCTION("IFS(B725="""","""",ISDATE(B725)=TRUE,B725,ISDATE(B725)=FALSE,TO_DATE(DATEVALUE(regexextract(B725,""\d+/\d+/\d+""))))"),44791)</f>
        <v>44791</v>
      </c>
      <c r="B725" s="189" t="s">
        <v>598</v>
      </c>
      <c r="C725" s="183" t="s">
        <v>2399</v>
      </c>
      <c r="D725" s="184">
        <v>2</v>
      </c>
      <c r="E725" s="183" t="s">
        <v>2402</v>
      </c>
      <c r="F725" s="183" t="s">
        <v>5</v>
      </c>
      <c r="G725" s="183" t="s">
        <v>447</v>
      </c>
      <c r="H725" s="184" t="s">
        <v>11054</v>
      </c>
      <c r="I725" s="184">
        <v>2</v>
      </c>
      <c r="J725" s="183" t="s">
        <v>449</v>
      </c>
      <c r="K725" s="184" t="s">
        <v>11055</v>
      </c>
      <c r="L725" s="184">
        <v>2</v>
      </c>
      <c r="M725" s="183" t="s">
        <v>784</v>
      </c>
      <c r="N725" s="185" t="s">
        <v>2405</v>
      </c>
      <c r="O725" s="183" t="s">
        <v>452</v>
      </c>
      <c r="P725" s="183" t="s">
        <v>452</v>
      </c>
      <c r="Q725" s="184"/>
      <c r="R725" s="184" t="s">
        <v>24</v>
      </c>
      <c r="S725" s="184"/>
      <c r="T725" s="184"/>
      <c r="U725" s="184"/>
      <c r="V725" s="184"/>
      <c r="W725" s="184"/>
      <c r="X725" s="179"/>
      <c r="Y725" s="179"/>
      <c r="Z725" s="179"/>
      <c r="AA725" s="179"/>
    </row>
    <row r="726" spans="1:27">
      <c r="A726" s="181">
        <f ca="1">IFERROR(__xludf.DUMMYFUNCTION("IFS(B726="""","""",ISDATE(B726)=TRUE,B726,ISDATE(B726)=FALSE,TO_DATE(DATEVALUE(regexextract(B726,""\d+/\d+/\d+""))))"),44796)</f>
        <v>44796</v>
      </c>
      <c r="B726" s="182" t="s">
        <v>529</v>
      </c>
      <c r="C726" s="183" t="s">
        <v>219</v>
      </c>
      <c r="D726" s="183">
        <v>4.5</v>
      </c>
      <c r="E726" s="183" t="s">
        <v>1313</v>
      </c>
      <c r="F726" s="183" t="s">
        <v>4</v>
      </c>
      <c r="G726" s="183" t="s">
        <v>727</v>
      </c>
      <c r="H726" s="183" t="s">
        <v>11056</v>
      </c>
      <c r="I726" s="183">
        <v>4.5</v>
      </c>
      <c r="J726" s="183" t="s">
        <v>1045</v>
      </c>
      <c r="K726" s="183" t="s">
        <v>1315</v>
      </c>
      <c r="L726" s="183">
        <v>4.5</v>
      </c>
      <c r="M726" s="183" t="s">
        <v>478</v>
      </c>
      <c r="N726" s="187">
        <v>8000000</v>
      </c>
      <c r="O726" s="183" t="s">
        <v>452</v>
      </c>
      <c r="P726" s="183" t="s">
        <v>452</v>
      </c>
      <c r="Q726" s="184"/>
      <c r="R726" s="183" t="s">
        <v>18</v>
      </c>
      <c r="S726" s="184"/>
      <c r="T726" s="184"/>
      <c r="U726" s="184"/>
      <c r="V726" s="184"/>
      <c r="W726" s="184"/>
      <c r="X726" s="179"/>
      <c r="Y726" s="179"/>
      <c r="Z726" s="179"/>
      <c r="AA726" s="179"/>
    </row>
    <row r="727" spans="1:27">
      <c r="A727" s="181">
        <f ca="1">IFERROR(__xludf.DUMMYFUNCTION("IFS(B727="""","""",ISDATE(B727)=TRUE,B727,ISDATE(B727)=FALSE,TO_DATE(DATEVALUE(regexextract(B727,""\d+/\d+/\d+""))))"),44789)</f>
        <v>44789</v>
      </c>
      <c r="B727" s="182" t="s">
        <v>6450</v>
      </c>
      <c r="C727" s="183" t="s">
        <v>86</v>
      </c>
      <c r="D727" s="184">
        <v>4</v>
      </c>
      <c r="E727" s="183" t="s">
        <v>611</v>
      </c>
      <c r="F727" s="183" t="s">
        <v>5</v>
      </c>
      <c r="G727" s="183" t="s">
        <v>460</v>
      </c>
      <c r="H727" s="184" t="s">
        <v>612</v>
      </c>
      <c r="I727" s="184">
        <v>4</v>
      </c>
      <c r="J727" s="183" t="s">
        <v>462</v>
      </c>
      <c r="K727" s="183" t="s">
        <v>613</v>
      </c>
      <c r="L727" s="183">
        <v>4</v>
      </c>
      <c r="M727" s="184" t="s">
        <v>478</v>
      </c>
      <c r="N727" s="188" t="s">
        <v>614</v>
      </c>
      <c r="O727" s="183" t="s">
        <v>452</v>
      </c>
      <c r="P727" s="183" t="s">
        <v>452</v>
      </c>
      <c r="Q727" s="184"/>
      <c r="R727" s="184" t="s">
        <v>20</v>
      </c>
      <c r="S727" s="184" t="s">
        <v>615</v>
      </c>
      <c r="T727" s="184"/>
      <c r="U727" s="184"/>
      <c r="V727" s="184"/>
      <c r="W727" s="184"/>
      <c r="X727" s="179"/>
      <c r="Y727" s="179"/>
      <c r="Z727" s="179"/>
      <c r="AA727" s="179"/>
    </row>
    <row r="728" spans="1:27">
      <c r="A728" s="181">
        <f ca="1">IFERROR(__xludf.DUMMYFUNCTION("IFS(B728="""","""",ISDATE(B728)=TRUE,B728,ISDATE(B728)=FALSE,TO_DATE(DATEVALUE(regexextract(B728,""\d+/\d+/\d+""))))"),44791)</f>
        <v>44791</v>
      </c>
      <c r="B728" s="182" t="s">
        <v>598</v>
      </c>
      <c r="C728" s="183" t="s">
        <v>4872</v>
      </c>
      <c r="D728" s="183">
        <v>3.5</v>
      </c>
      <c r="E728" s="184" t="s">
        <v>11057</v>
      </c>
      <c r="F728" s="183" t="s">
        <v>4</v>
      </c>
      <c r="G728" s="183" t="s">
        <v>602</v>
      </c>
      <c r="H728" s="183" t="s">
        <v>4876</v>
      </c>
      <c r="I728" s="183">
        <v>3.5</v>
      </c>
      <c r="J728" s="183" t="s">
        <v>1045</v>
      </c>
      <c r="K728" s="183" t="s">
        <v>4877</v>
      </c>
      <c r="L728" s="183">
        <v>3.5</v>
      </c>
      <c r="M728" s="183" t="s">
        <v>478</v>
      </c>
      <c r="N728" s="187">
        <v>3000000</v>
      </c>
      <c r="O728" s="183" t="s">
        <v>452</v>
      </c>
      <c r="P728" s="183" t="s">
        <v>4878</v>
      </c>
      <c r="Q728" s="183"/>
      <c r="R728" s="183" t="s">
        <v>24</v>
      </c>
      <c r="S728" s="184"/>
      <c r="T728" s="184"/>
      <c r="U728" s="184"/>
      <c r="V728" s="184"/>
      <c r="W728" s="184"/>
      <c r="X728" s="179"/>
      <c r="Y728" s="179"/>
      <c r="Z728" s="179"/>
      <c r="AA728" s="179"/>
    </row>
    <row r="729" spans="1:27">
      <c r="A729" s="181">
        <f ca="1">IFERROR(__xludf.DUMMYFUNCTION("IFS(B729="""","""",ISDATE(B729)=TRUE,B729,ISDATE(B729)=FALSE,TO_DATE(DATEVALUE(regexextract(B729,""\d+/\d+/\d+""))))"),44791)</f>
        <v>44791</v>
      </c>
      <c r="B729" s="182" t="s">
        <v>10182</v>
      </c>
      <c r="C729" s="183" t="s">
        <v>5369</v>
      </c>
      <c r="D729" s="183">
        <v>3</v>
      </c>
      <c r="E729" s="183" t="s">
        <v>5372</v>
      </c>
      <c r="F729" s="183" t="s">
        <v>4</v>
      </c>
      <c r="G729" s="183" t="s">
        <v>602</v>
      </c>
      <c r="H729" s="183" t="s">
        <v>5373</v>
      </c>
      <c r="I729" s="183">
        <v>3.5</v>
      </c>
      <c r="J729" s="183" t="s">
        <v>476</v>
      </c>
      <c r="K729" s="184" t="s">
        <v>11058</v>
      </c>
      <c r="L729" s="183">
        <v>2.5</v>
      </c>
      <c r="M729" s="183" t="s">
        <v>451</v>
      </c>
      <c r="N729" s="185">
        <v>3000000</v>
      </c>
      <c r="O729" s="183" t="s">
        <v>452</v>
      </c>
      <c r="P729" s="183" t="s">
        <v>5375</v>
      </c>
      <c r="Q729" s="183"/>
      <c r="R729" s="183" t="s">
        <v>24</v>
      </c>
      <c r="S729" s="184"/>
      <c r="T729" s="184"/>
      <c r="U729" s="184"/>
      <c r="V729" s="184"/>
      <c r="W729" s="184"/>
      <c r="X729" s="179"/>
      <c r="Y729" s="179"/>
      <c r="Z729" s="179"/>
      <c r="AA729" s="179"/>
    </row>
    <row r="730" spans="1:27">
      <c r="A730" s="181">
        <f ca="1">IFERROR(__xludf.DUMMYFUNCTION("IFS(B730="""","""",ISDATE(B730)=TRUE,B730,ISDATE(B730)=FALSE,TO_DATE(DATEVALUE(regexextract(B730,""\d+/\d+/\d+""))))"),44791)</f>
        <v>44791</v>
      </c>
      <c r="B730" s="182" t="s">
        <v>10182</v>
      </c>
      <c r="C730" s="183" t="s">
        <v>7356</v>
      </c>
      <c r="D730" s="183">
        <v>2</v>
      </c>
      <c r="E730" s="183" t="s">
        <v>11059</v>
      </c>
      <c r="F730" s="183" t="s">
        <v>4</v>
      </c>
      <c r="G730" s="183" t="s">
        <v>602</v>
      </c>
      <c r="H730" s="184" t="s">
        <v>7360</v>
      </c>
      <c r="I730" s="183">
        <v>2</v>
      </c>
      <c r="J730" s="183" t="s">
        <v>476</v>
      </c>
      <c r="K730" s="183" t="s">
        <v>11060</v>
      </c>
      <c r="L730" s="183">
        <v>2</v>
      </c>
      <c r="M730" s="183" t="s">
        <v>973</v>
      </c>
      <c r="N730" s="185">
        <v>3000000</v>
      </c>
      <c r="O730" s="183" t="s">
        <v>454</v>
      </c>
      <c r="P730" s="183" t="s">
        <v>7362</v>
      </c>
      <c r="Q730" s="184"/>
      <c r="R730" s="183" t="s">
        <v>24</v>
      </c>
      <c r="S730" s="184"/>
      <c r="T730" s="184"/>
      <c r="U730" s="184"/>
      <c r="V730" s="184"/>
      <c r="W730" s="184"/>
      <c r="X730" s="179"/>
      <c r="Y730" s="179"/>
      <c r="Z730" s="179"/>
      <c r="AA730" s="179"/>
    </row>
    <row r="731" spans="1:27">
      <c r="A731" s="181">
        <f ca="1">IFERROR(__xludf.DUMMYFUNCTION("IFS(B731="""","""",ISDATE(B731)=TRUE,B731,ISDATE(B731)=FALSE,TO_DATE(DATEVALUE(regexextract(B731,""\d+/\d+/\d+""))))"),44796)</f>
        <v>44796</v>
      </c>
      <c r="B731" s="182" t="s">
        <v>529</v>
      </c>
      <c r="C731" s="183" t="s">
        <v>3115</v>
      </c>
      <c r="D731" s="183">
        <v>3.5</v>
      </c>
      <c r="E731" s="183" t="s">
        <v>3118</v>
      </c>
      <c r="F731" s="183" t="s">
        <v>5</v>
      </c>
      <c r="G731" s="183" t="s">
        <v>447</v>
      </c>
      <c r="H731" s="183" t="s">
        <v>3119</v>
      </c>
      <c r="I731" s="183">
        <v>3.5</v>
      </c>
      <c r="J731" s="183" t="s">
        <v>543</v>
      </c>
      <c r="K731" s="183" t="s">
        <v>11061</v>
      </c>
      <c r="L731" s="183">
        <v>3.5</v>
      </c>
      <c r="M731" s="183"/>
      <c r="N731" s="187"/>
      <c r="O731" s="183" t="s">
        <v>465</v>
      </c>
      <c r="P731" s="183" t="s">
        <v>3121</v>
      </c>
      <c r="Q731" s="184" t="s">
        <v>725</v>
      </c>
      <c r="R731" s="183" t="s">
        <v>24</v>
      </c>
      <c r="S731" s="183"/>
      <c r="T731" s="184"/>
      <c r="U731" s="184"/>
      <c r="V731" s="184"/>
      <c r="W731" s="184"/>
      <c r="X731" s="179"/>
      <c r="Y731" s="179"/>
      <c r="Z731" s="179"/>
      <c r="AA731" s="179"/>
    </row>
    <row r="732" spans="1:27">
      <c r="A732" s="181">
        <f ca="1">IFERROR(__xludf.DUMMYFUNCTION("IFS(B732="""","""",ISDATE(B732)=TRUE,B732,ISDATE(B732)=FALSE,TO_DATE(DATEVALUE(regexextract(B732,""\d+/\d+/\d+""))))"),44791)</f>
        <v>44791</v>
      </c>
      <c r="B732" s="182" t="s">
        <v>10182</v>
      </c>
      <c r="C732" s="183" t="s">
        <v>5308</v>
      </c>
      <c r="D732" s="184">
        <v>3.25</v>
      </c>
      <c r="E732" s="183" t="s">
        <v>11062</v>
      </c>
      <c r="F732" s="183" t="s">
        <v>4</v>
      </c>
      <c r="G732" s="183" t="s">
        <v>725</v>
      </c>
      <c r="H732" s="184" t="s">
        <v>11063</v>
      </c>
      <c r="I732" s="184">
        <v>3</v>
      </c>
      <c r="J732" s="183" t="s">
        <v>1054</v>
      </c>
      <c r="K732" s="183" t="s">
        <v>11064</v>
      </c>
      <c r="L732" s="183">
        <v>3.5</v>
      </c>
      <c r="M732" s="183" t="s">
        <v>784</v>
      </c>
      <c r="N732" s="187">
        <v>1800000</v>
      </c>
      <c r="O732" s="183" t="s">
        <v>454</v>
      </c>
      <c r="P732" s="183" t="s">
        <v>11065</v>
      </c>
      <c r="Q732" s="184" t="s">
        <v>5315</v>
      </c>
      <c r="R732" s="184" t="s">
        <v>24</v>
      </c>
      <c r="S732" s="184"/>
      <c r="T732" s="184"/>
      <c r="U732" s="184"/>
      <c r="V732" s="184"/>
      <c r="W732" s="184"/>
      <c r="X732" s="179"/>
      <c r="Y732" s="179"/>
      <c r="Z732" s="179"/>
      <c r="AA732" s="179"/>
    </row>
    <row r="733" spans="1:27">
      <c r="A733" s="181">
        <f ca="1">IFERROR(__xludf.DUMMYFUNCTION("IFS(B733="""","""",ISDATE(B733)=TRUE,B733,ISDATE(B733)=FALSE,TO_DATE(DATEVALUE(regexextract(B733,""\d+/\d+/\d+""))))"),44789)</f>
        <v>44789</v>
      </c>
      <c r="B733" s="182" t="s">
        <v>6450</v>
      </c>
      <c r="C733" s="183" t="s">
        <v>322</v>
      </c>
      <c r="D733" s="183">
        <v>3.75</v>
      </c>
      <c r="E733" s="183" t="s">
        <v>1782</v>
      </c>
      <c r="F733" s="183" t="s">
        <v>3</v>
      </c>
      <c r="G733" s="183" t="s">
        <v>460</v>
      </c>
      <c r="H733" s="183" t="s">
        <v>1783</v>
      </c>
      <c r="I733" s="183">
        <v>4</v>
      </c>
      <c r="J733" s="183" t="s">
        <v>462</v>
      </c>
      <c r="K733" s="183" t="s">
        <v>1784</v>
      </c>
      <c r="L733" s="183">
        <v>3.5</v>
      </c>
      <c r="M733" s="184" t="s">
        <v>451</v>
      </c>
      <c r="N733" s="187">
        <v>3000000</v>
      </c>
      <c r="O733" s="183" t="s">
        <v>452</v>
      </c>
      <c r="P733" s="183" t="s">
        <v>1785</v>
      </c>
      <c r="Q733" s="183"/>
      <c r="R733" s="183" t="s">
        <v>20</v>
      </c>
      <c r="S733" s="183" t="s">
        <v>1786</v>
      </c>
      <c r="T733" s="184"/>
      <c r="U733" s="184"/>
      <c r="V733" s="184"/>
      <c r="W733" s="184"/>
      <c r="X733" s="179"/>
      <c r="Y733" s="179"/>
      <c r="Z733" s="179"/>
      <c r="AA733" s="179"/>
    </row>
    <row r="734" spans="1:27">
      <c r="A734" s="181">
        <f ca="1">IFERROR(__xludf.DUMMYFUNCTION("IFS(B734="""","""",ISDATE(B734)=TRUE,B734,ISDATE(B734)=FALSE,TO_DATE(DATEVALUE(regexextract(B734,""\d+/\d+/\d+""))))"),44796)</f>
        <v>44796</v>
      </c>
      <c r="B734" s="182" t="s">
        <v>529</v>
      </c>
      <c r="C734" s="183" t="s">
        <v>7500</v>
      </c>
      <c r="D734" s="184">
        <v>2</v>
      </c>
      <c r="E734" s="183" t="s">
        <v>7503</v>
      </c>
      <c r="F734" s="183" t="s">
        <v>4</v>
      </c>
      <c r="G734" s="183" t="s">
        <v>602</v>
      </c>
      <c r="H734" s="184" t="s">
        <v>7504</v>
      </c>
      <c r="I734" s="184">
        <v>2</v>
      </c>
      <c r="J734" s="183" t="s">
        <v>1457</v>
      </c>
      <c r="K734" s="184" t="s">
        <v>7505</v>
      </c>
      <c r="L734" s="184">
        <v>2</v>
      </c>
      <c r="M734" s="183" t="s">
        <v>784</v>
      </c>
      <c r="N734" s="187">
        <v>500000</v>
      </c>
      <c r="O734" s="183" t="s">
        <v>452</v>
      </c>
      <c r="P734" s="183" t="s">
        <v>452</v>
      </c>
      <c r="Q734" s="184"/>
      <c r="R734" s="184" t="s">
        <v>24</v>
      </c>
      <c r="S734" s="184"/>
      <c r="T734" s="184"/>
      <c r="U734" s="184"/>
      <c r="V734" s="184"/>
      <c r="W734" s="184"/>
      <c r="X734" s="179"/>
      <c r="Y734" s="179"/>
      <c r="Z734" s="179"/>
      <c r="AA734" s="179"/>
    </row>
    <row r="735" spans="1:27">
      <c r="A735" s="181">
        <f ca="1">IFERROR(__xludf.DUMMYFUNCTION("IFS(B735="""","""",ISDATE(B735)=TRUE,B735,ISDATE(B735)=FALSE,TO_DATE(DATEVALUE(regexextract(B735,""\d+/\d+/\d+""))))"),44796)</f>
        <v>44796</v>
      </c>
      <c r="B735" s="182" t="s">
        <v>529</v>
      </c>
      <c r="C735" s="183" t="s">
        <v>5451</v>
      </c>
      <c r="D735" s="183">
        <v>3</v>
      </c>
      <c r="E735" s="183" t="s">
        <v>5454</v>
      </c>
      <c r="F735" s="183" t="s">
        <v>4</v>
      </c>
      <c r="G735" s="183" t="s">
        <v>602</v>
      </c>
      <c r="H735" s="183" t="s">
        <v>5455</v>
      </c>
      <c r="I735" s="183">
        <v>2</v>
      </c>
      <c r="J735" s="183" t="s">
        <v>604</v>
      </c>
      <c r="K735" s="183" t="s">
        <v>11066</v>
      </c>
      <c r="L735" s="183">
        <v>4</v>
      </c>
      <c r="M735" s="183" t="s">
        <v>478</v>
      </c>
      <c r="N735" s="192">
        <v>5000000</v>
      </c>
      <c r="O735" s="183" t="s">
        <v>452</v>
      </c>
      <c r="P735" s="183" t="s">
        <v>452</v>
      </c>
      <c r="Q735" s="184"/>
      <c r="R735" s="183" t="s">
        <v>24</v>
      </c>
      <c r="S735" s="183"/>
      <c r="T735" s="184"/>
      <c r="U735" s="184"/>
      <c r="V735" s="184"/>
      <c r="W735" s="184"/>
      <c r="X735" s="179"/>
      <c r="Y735" s="179"/>
      <c r="Z735" s="179"/>
      <c r="AA735" s="179"/>
    </row>
    <row r="736" spans="1:27">
      <c r="A736" s="181">
        <f ca="1">IFERROR(__xludf.DUMMYFUNCTION("IFS(B736="""","""",ISDATE(B736)=TRUE,B736,ISDATE(B736)=FALSE,TO_DATE(DATEVALUE(regexextract(B736,""\d+/\d+/\d+""))))"),44791)</f>
        <v>44791</v>
      </c>
      <c r="B736" s="182" t="s">
        <v>10182</v>
      </c>
      <c r="C736" s="183" t="s">
        <v>9266</v>
      </c>
      <c r="D736" s="183">
        <v>2</v>
      </c>
      <c r="E736" s="183" t="s">
        <v>11067</v>
      </c>
      <c r="F736" s="183" t="s">
        <v>3</v>
      </c>
      <c r="G736" s="183" t="s">
        <v>460</v>
      </c>
      <c r="H736" s="183" t="s">
        <v>9270</v>
      </c>
      <c r="I736" s="183">
        <v>2</v>
      </c>
      <c r="J736" s="183" t="s">
        <v>941</v>
      </c>
      <c r="K736" s="183" t="s">
        <v>9271</v>
      </c>
      <c r="L736" s="183">
        <v>2</v>
      </c>
      <c r="M736" s="183" t="s">
        <v>451</v>
      </c>
      <c r="N736" s="187">
        <v>5000000</v>
      </c>
      <c r="O736" s="183" t="s">
        <v>452</v>
      </c>
      <c r="P736" s="183" t="s">
        <v>9272</v>
      </c>
      <c r="Q736" s="184" t="s">
        <v>9273</v>
      </c>
      <c r="R736" s="183" t="s">
        <v>24</v>
      </c>
      <c r="S736" s="183"/>
      <c r="T736" s="184"/>
      <c r="U736" s="184"/>
      <c r="V736" s="184"/>
      <c r="W736" s="184"/>
      <c r="X736" s="179"/>
      <c r="Y736" s="179"/>
      <c r="Z736" s="179"/>
      <c r="AA736" s="179"/>
    </row>
    <row r="737" spans="1:27">
      <c r="A737" s="181">
        <f ca="1">IFERROR(__xludf.DUMMYFUNCTION("IFS(B737="""","""",ISDATE(B737)=TRUE,B737,ISDATE(B737)=FALSE,TO_DATE(DATEVALUE(regexextract(B737,""\d+/\d+/\d+""))))"),44796)</f>
        <v>44796</v>
      </c>
      <c r="B737" s="182" t="s">
        <v>529</v>
      </c>
      <c r="C737" s="183" t="s">
        <v>2515</v>
      </c>
      <c r="D737" s="184">
        <v>3.75</v>
      </c>
      <c r="E737" s="183" t="s">
        <v>2518</v>
      </c>
      <c r="F737" s="183" t="s">
        <v>5</v>
      </c>
      <c r="G737" s="183" t="s">
        <v>447</v>
      </c>
      <c r="H737" s="184" t="s">
        <v>11068</v>
      </c>
      <c r="I737" s="184">
        <v>3.5</v>
      </c>
      <c r="J737" s="183" t="s">
        <v>622</v>
      </c>
      <c r="K737" s="184" t="s">
        <v>2520</v>
      </c>
      <c r="L737" s="184">
        <v>4</v>
      </c>
      <c r="M737" s="183" t="s">
        <v>451</v>
      </c>
      <c r="N737" s="187">
        <v>1000000</v>
      </c>
      <c r="O737" s="183" t="s">
        <v>454</v>
      </c>
      <c r="P737" s="183" t="s">
        <v>2521</v>
      </c>
      <c r="Q737" s="184"/>
      <c r="R737" s="184" t="s">
        <v>24</v>
      </c>
      <c r="S737" s="184"/>
      <c r="T737" s="184"/>
      <c r="U737" s="184"/>
      <c r="V737" s="184"/>
      <c r="W737" s="184"/>
      <c r="X737" s="179"/>
      <c r="Y737" s="179"/>
      <c r="Z737" s="179"/>
      <c r="AA737" s="179"/>
    </row>
    <row r="738" spans="1:27">
      <c r="A738" s="181">
        <f ca="1">IFERROR(__xludf.DUMMYFUNCTION("IFS(B738="""","""",ISDATE(B738)=TRUE,B738,ISDATE(B738)=FALSE,TO_DATE(DATEVALUE(regexextract(B738,""\d+/\d+/\d+""))))"),44791)</f>
        <v>44791</v>
      </c>
      <c r="B738" s="182" t="s">
        <v>10182</v>
      </c>
      <c r="C738" s="183" t="s">
        <v>243</v>
      </c>
      <c r="D738" s="183">
        <v>4</v>
      </c>
      <c r="E738" s="183" t="s">
        <v>4028</v>
      </c>
      <c r="F738" s="183" t="s">
        <v>4</v>
      </c>
      <c r="G738" s="183" t="s">
        <v>602</v>
      </c>
      <c r="H738" s="183" t="s">
        <v>4029</v>
      </c>
      <c r="I738" s="183">
        <v>4</v>
      </c>
      <c r="J738" s="183" t="s">
        <v>476</v>
      </c>
      <c r="K738" s="183" t="s">
        <v>11069</v>
      </c>
      <c r="L738" s="183">
        <v>4</v>
      </c>
      <c r="M738" s="184"/>
      <c r="N738" s="188"/>
      <c r="O738" s="183" t="s">
        <v>452</v>
      </c>
      <c r="P738" s="183" t="s">
        <v>4031</v>
      </c>
      <c r="Q738" s="184"/>
      <c r="R738" s="183" t="s">
        <v>18</v>
      </c>
      <c r="S738" s="184"/>
      <c r="T738" s="184"/>
      <c r="U738" s="184"/>
      <c r="V738" s="184"/>
      <c r="W738" s="184"/>
      <c r="X738" s="179"/>
      <c r="Y738" s="179"/>
      <c r="Z738" s="179"/>
      <c r="AA738" s="179"/>
    </row>
    <row r="739" spans="1:27">
      <c r="A739" s="181">
        <f ca="1">IFERROR(__xludf.DUMMYFUNCTION("IFS(B739="""","""",ISDATE(B739)=TRUE,B739,ISDATE(B739)=FALSE,TO_DATE(DATEVALUE(regexextract(B739,""\d+/\d+/\d+""))))"),44789)</f>
        <v>44789</v>
      </c>
      <c r="B739" s="182" t="s">
        <v>6450</v>
      </c>
      <c r="C739" s="183" t="s">
        <v>9294</v>
      </c>
      <c r="D739" s="183">
        <v>3.25</v>
      </c>
      <c r="E739" s="183" t="s">
        <v>9297</v>
      </c>
      <c r="F739" s="183" t="s">
        <v>3</v>
      </c>
      <c r="G739" s="183" t="s">
        <v>460</v>
      </c>
      <c r="H739" s="183" t="s">
        <v>9298</v>
      </c>
      <c r="I739" s="183">
        <v>3</v>
      </c>
      <c r="J739" s="183" t="s">
        <v>462</v>
      </c>
      <c r="K739" s="183" t="s">
        <v>9299</v>
      </c>
      <c r="L739" s="183">
        <v>3.5</v>
      </c>
      <c r="M739" s="184" t="s">
        <v>9300</v>
      </c>
      <c r="N739" s="188" t="s">
        <v>9301</v>
      </c>
      <c r="O739" s="183" t="s">
        <v>465</v>
      </c>
      <c r="P739" s="183" t="s">
        <v>452</v>
      </c>
      <c r="Q739" s="184"/>
      <c r="R739" s="183" t="s">
        <v>24</v>
      </c>
      <c r="S739" s="184" t="s">
        <v>9302</v>
      </c>
      <c r="T739" s="184"/>
      <c r="U739" s="184"/>
      <c r="V739" s="184"/>
      <c r="W739" s="184"/>
      <c r="X739" s="179"/>
      <c r="Y739" s="179"/>
      <c r="Z739" s="179"/>
      <c r="AA739" s="179"/>
    </row>
    <row r="740" spans="1:27">
      <c r="A740" s="181">
        <f ca="1">IFERROR(__xludf.DUMMYFUNCTION("IFS(B740="""","""",ISDATE(B740)=TRUE,B740,ISDATE(B740)=FALSE,TO_DATE(DATEVALUE(regexextract(B740,""\d+/\d+/\d+""))))"),44797)</f>
        <v>44797</v>
      </c>
      <c r="B740" s="182" t="s">
        <v>907</v>
      </c>
      <c r="C740" s="183" t="s">
        <v>7276</v>
      </c>
      <c r="D740" s="183">
        <v>2</v>
      </c>
      <c r="E740" s="183" t="s">
        <v>7279</v>
      </c>
      <c r="F740" s="183" t="s">
        <v>4</v>
      </c>
      <c r="G740" s="183" t="s">
        <v>1045</v>
      </c>
      <c r="H740" s="183" t="s">
        <v>7280</v>
      </c>
      <c r="I740" s="183">
        <v>2</v>
      </c>
      <c r="J740" s="183" t="s">
        <v>1237</v>
      </c>
      <c r="K740" s="183"/>
      <c r="L740" s="183">
        <v>2</v>
      </c>
      <c r="M740" s="183"/>
      <c r="N740" s="185"/>
      <c r="O740" s="183" t="s">
        <v>452</v>
      </c>
      <c r="P740" s="183" t="s">
        <v>7281</v>
      </c>
      <c r="Q740" s="184"/>
      <c r="R740" s="183" t="s">
        <v>24</v>
      </c>
      <c r="S740" s="183"/>
      <c r="T740" s="184"/>
      <c r="U740" s="184"/>
      <c r="V740" s="184"/>
      <c r="W740" s="184"/>
      <c r="X740" s="179"/>
      <c r="Y740" s="179"/>
      <c r="Z740" s="179"/>
      <c r="AA740" s="179"/>
    </row>
    <row r="741" spans="1:27">
      <c r="A741" s="181">
        <f ca="1">IFERROR(__xludf.DUMMYFUNCTION("IFS(B741="""","""",ISDATE(B741)=TRUE,B741,ISDATE(B741)=FALSE,TO_DATE(DATEVALUE(regexextract(B741,""\d+/\d+/\d+""))))"),44789)</f>
        <v>44789</v>
      </c>
      <c r="B741" s="182" t="s">
        <v>6450</v>
      </c>
      <c r="C741" s="183" t="s">
        <v>8781</v>
      </c>
      <c r="D741" s="183">
        <v>1.5</v>
      </c>
      <c r="E741" s="183" t="s">
        <v>8784</v>
      </c>
      <c r="F741" s="183" t="s">
        <v>3</v>
      </c>
      <c r="G741" s="183" t="s">
        <v>460</v>
      </c>
      <c r="H741" s="183" t="s">
        <v>8785</v>
      </c>
      <c r="I741" s="183">
        <v>1</v>
      </c>
      <c r="J741" s="183" t="s">
        <v>462</v>
      </c>
      <c r="K741" s="183" t="s">
        <v>8786</v>
      </c>
      <c r="L741" s="183">
        <v>2</v>
      </c>
      <c r="M741" s="183"/>
      <c r="N741" s="187"/>
      <c r="O741" s="183" t="s">
        <v>454</v>
      </c>
      <c r="P741" s="183" t="s">
        <v>452</v>
      </c>
      <c r="Q741" s="183"/>
      <c r="R741" s="183" t="s">
        <v>24</v>
      </c>
      <c r="S741" s="183"/>
      <c r="T741" s="184"/>
      <c r="U741" s="184"/>
      <c r="V741" s="184"/>
      <c r="W741" s="184"/>
      <c r="X741" s="179"/>
      <c r="Y741" s="179"/>
      <c r="Z741" s="179"/>
      <c r="AA741" s="179"/>
    </row>
    <row r="742" spans="1:27">
      <c r="A742" s="181">
        <f ca="1">IFERROR(__xludf.DUMMYFUNCTION("IFS(B742="""","""",ISDATE(B742)=TRUE,B742,ISDATE(B742)=FALSE,TO_DATE(DATEVALUE(regexextract(B742,""\d+/\d+/\d+""))))"),44796)</f>
        <v>44796</v>
      </c>
      <c r="B742" s="182" t="s">
        <v>529</v>
      </c>
      <c r="C742" s="183" t="s">
        <v>8033</v>
      </c>
      <c r="D742" s="183">
        <v>1.5</v>
      </c>
      <c r="E742" s="183" t="s">
        <v>8036</v>
      </c>
      <c r="F742" s="183" t="s">
        <v>4</v>
      </c>
      <c r="G742" s="183" t="s">
        <v>725</v>
      </c>
      <c r="H742" s="184" t="s">
        <v>8037</v>
      </c>
      <c r="I742" s="183">
        <v>2</v>
      </c>
      <c r="J742" s="183" t="s">
        <v>4054</v>
      </c>
      <c r="K742" s="183"/>
      <c r="L742" s="183">
        <v>1</v>
      </c>
      <c r="M742" s="183"/>
      <c r="N742" s="187"/>
      <c r="O742" s="183" t="s">
        <v>465</v>
      </c>
      <c r="P742" s="183" t="s">
        <v>8038</v>
      </c>
      <c r="Q742" s="184"/>
      <c r="R742" s="183" t="s">
        <v>24</v>
      </c>
      <c r="S742" s="183"/>
      <c r="T742" s="184"/>
      <c r="U742" s="184"/>
      <c r="V742" s="184"/>
      <c r="W742" s="184"/>
      <c r="X742" s="179"/>
      <c r="Y742" s="179"/>
      <c r="Z742" s="179"/>
      <c r="AA742" s="179"/>
    </row>
    <row r="743" spans="1:27">
      <c r="A743" s="181">
        <f ca="1">IFERROR(__xludf.DUMMYFUNCTION("IFS(B743="""","""",ISDATE(B743)=TRUE,B743,ISDATE(B743)=FALSE,TO_DATE(DATEVALUE(regexextract(B743,""\d+/\d+/\d+""))))"),44791)</f>
        <v>44791</v>
      </c>
      <c r="B743" s="182" t="s">
        <v>10182</v>
      </c>
      <c r="C743" s="183" t="s">
        <v>393</v>
      </c>
      <c r="D743" s="183">
        <v>3.5</v>
      </c>
      <c r="E743" s="183" t="s">
        <v>11070</v>
      </c>
      <c r="F743" s="183" t="s">
        <v>5</v>
      </c>
      <c r="G743" s="183" t="s">
        <v>488</v>
      </c>
      <c r="H743" s="183" t="s">
        <v>11071</v>
      </c>
      <c r="I743" s="183">
        <v>3</v>
      </c>
      <c r="J743" s="183" t="s">
        <v>462</v>
      </c>
      <c r="K743" s="183" t="s">
        <v>3626</v>
      </c>
      <c r="L743" s="183">
        <v>4</v>
      </c>
      <c r="M743" s="184"/>
      <c r="N743" s="188"/>
      <c r="O743" s="183" t="s">
        <v>452</v>
      </c>
      <c r="P743" s="183" t="s">
        <v>11072</v>
      </c>
      <c r="Q743" s="183"/>
      <c r="R743" s="183" t="s">
        <v>20</v>
      </c>
      <c r="S743" s="184" t="s">
        <v>3628</v>
      </c>
      <c r="T743" s="184"/>
      <c r="U743" s="184"/>
      <c r="V743" s="184"/>
      <c r="W743" s="184"/>
      <c r="X743" s="179"/>
      <c r="Y743" s="179"/>
      <c r="Z743" s="179"/>
      <c r="AA743" s="179"/>
    </row>
    <row r="744" spans="1:27">
      <c r="A744" s="181">
        <f ca="1">IFERROR(__xludf.DUMMYFUNCTION("IFS(B744="""","""",ISDATE(B744)=TRUE,B744,ISDATE(B744)=FALSE,TO_DATE(DATEVALUE(regexextract(B744,""\d+/\d+/\d+""))))"),44784)</f>
        <v>44784</v>
      </c>
      <c r="B744" s="182" t="s">
        <v>10173</v>
      </c>
      <c r="C744" s="183" t="s">
        <v>7683</v>
      </c>
      <c r="D744" s="184">
        <v>1.75</v>
      </c>
      <c r="E744" s="183" t="s">
        <v>7686</v>
      </c>
      <c r="F744" s="183" t="s">
        <v>4</v>
      </c>
      <c r="G744" s="183" t="s">
        <v>602</v>
      </c>
      <c r="H744" s="184" t="s">
        <v>7687</v>
      </c>
      <c r="I744" s="184">
        <v>2</v>
      </c>
      <c r="J744" s="183" t="s">
        <v>476</v>
      </c>
      <c r="K744" s="184" t="s">
        <v>7688</v>
      </c>
      <c r="L744" s="184">
        <v>1.5</v>
      </c>
      <c r="M744" s="183"/>
      <c r="N744" s="187"/>
      <c r="O744" s="183" t="s">
        <v>452</v>
      </c>
      <c r="P744" s="183" t="s">
        <v>1119</v>
      </c>
      <c r="Q744" s="184"/>
      <c r="R744" s="184" t="s">
        <v>24</v>
      </c>
      <c r="S744" s="184"/>
      <c r="T744" s="184"/>
      <c r="U744" s="184"/>
      <c r="V744" s="184"/>
      <c r="W744" s="184"/>
      <c r="X744" s="179"/>
      <c r="Y744" s="179"/>
      <c r="Z744" s="179"/>
      <c r="AA744" s="179"/>
    </row>
    <row r="745" spans="1:27">
      <c r="A745" s="181">
        <f ca="1">IFERROR(__xludf.DUMMYFUNCTION("IFS(B745="""","""",ISDATE(B745)=TRUE,B745,ISDATE(B745)=FALSE,TO_DATE(DATEVALUE(regexextract(B745,""\d+/\d+/\d+""))))"),44789)</f>
        <v>44789</v>
      </c>
      <c r="B745" s="196" t="s">
        <v>6450</v>
      </c>
      <c r="C745" s="183" t="s">
        <v>4394</v>
      </c>
      <c r="D745" s="183">
        <v>3.75</v>
      </c>
      <c r="E745" s="183" t="s">
        <v>4397</v>
      </c>
      <c r="F745" s="183" t="s">
        <v>4</v>
      </c>
      <c r="G745" s="183" t="s">
        <v>602</v>
      </c>
      <c r="H745" s="183" t="s">
        <v>11073</v>
      </c>
      <c r="I745" s="183">
        <v>4</v>
      </c>
      <c r="J745" s="183" t="s">
        <v>1054</v>
      </c>
      <c r="K745" s="183" t="s">
        <v>4399</v>
      </c>
      <c r="L745" s="183">
        <v>3.5</v>
      </c>
      <c r="M745" s="184" t="s">
        <v>451</v>
      </c>
      <c r="N745" s="186">
        <v>2000000</v>
      </c>
      <c r="O745" s="183" t="s">
        <v>452</v>
      </c>
      <c r="P745" s="183" t="s">
        <v>4400</v>
      </c>
      <c r="Q745" s="183" t="s">
        <v>585</v>
      </c>
      <c r="R745" s="183" t="s">
        <v>24</v>
      </c>
      <c r="S745" s="184"/>
      <c r="T745" s="184"/>
      <c r="U745" s="184"/>
      <c r="V745" s="184"/>
      <c r="W745" s="184"/>
      <c r="X745" s="179"/>
      <c r="Y745" s="179"/>
      <c r="Z745" s="179"/>
      <c r="AA745" s="179"/>
    </row>
    <row r="746" spans="1:27">
      <c r="A746" s="181">
        <f ca="1">IFERROR(__xludf.DUMMYFUNCTION("IFS(B746="""","""",ISDATE(B746)=TRUE,B746,ISDATE(B746)=FALSE,TO_DATE(DATEVALUE(regexextract(B746,""\d+/\d+/\d+""))))"),44791)</f>
        <v>44791</v>
      </c>
      <c r="B746" s="189" t="s">
        <v>598</v>
      </c>
      <c r="C746" s="183" t="s">
        <v>6697</v>
      </c>
      <c r="D746" s="184">
        <v>2.25</v>
      </c>
      <c r="E746" s="184" t="s">
        <v>6700</v>
      </c>
      <c r="F746" s="183" t="s">
        <v>4</v>
      </c>
      <c r="G746" s="183" t="s">
        <v>602</v>
      </c>
      <c r="H746" s="184" t="s">
        <v>6701</v>
      </c>
      <c r="I746" s="184">
        <v>2.5</v>
      </c>
      <c r="J746" s="183" t="s">
        <v>1073</v>
      </c>
      <c r="K746" s="184" t="s">
        <v>6702</v>
      </c>
      <c r="L746" s="184">
        <v>2</v>
      </c>
      <c r="M746" s="183"/>
      <c r="N746" s="187"/>
      <c r="O746" s="183" t="s">
        <v>454</v>
      </c>
      <c r="P746" s="183" t="s">
        <v>6703</v>
      </c>
      <c r="Q746" s="184"/>
      <c r="R746" s="184" t="s">
        <v>24</v>
      </c>
      <c r="S746" s="184"/>
      <c r="T746" s="184"/>
      <c r="U746" s="184"/>
      <c r="V746" s="184"/>
      <c r="W746" s="184"/>
      <c r="X746" s="179"/>
      <c r="Y746" s="179"/>
      <c r="Z746" s="179"/>
      <c r="AA746" s="179"/>
    </row>
    <row r="747" spans="1:27">
      <c r="A747" s="181">
        <f ca="1">IFERROR(__xludf.DUMMYFUNCTION("IFS(B747="""","""",ISDATE(B747)=TRUE,B747,ISDATE(B747)=FALSE,TO_DATE(DATEVALUE(regexextract(B747,""\d+/\d+/\d+""))))"),44791)</f>
        <v>44791</v>
      </c>
      <c r="B747" s="182" t="s">
        <v>10182</v>
      </c>
      <c r="C747" s="183" t="s">
        <v>4707</v>
      </c>
      <c r="D747" s="183">
        <v>3.5</v>
      </c>
      <c r="E747" s="183" t="s">
        <v>4710</v>
      </c>
      <c r="F747" s="183" t="s">
        <v>4</v>
      </c>
      <c r="G747" s="183" t="s">
        <v>602</v>
      </c>
      <c r="H747" s="183" t="s">
        <v>4711</v>
      </c>
      <c r="I747" s="183">
        <v>3.5</v>
      </c>
      <c r="J747" s="183" t="s">
        <v>476</v>
      </c>
      <c r="K747" s="183" t="s">
        <v>11074</v>
      </c>
      <c r="L747" s="183">
        <v>3.5</v>
      </c>
      <c r="M747" s="184"/>
      <c r="N747" s="190"/>
      <c r="O747" s="183" t="s">
        <v>452</v>
      </c>
      <c r="P747" s="183" t="s">
        <v>11075</v>
      </c>
      <c r="Q747" s="184"/>
      <c r="R747" s="183" t="s">
        <v>24</v>
      </c>
      <c r="S747" s="183"/>
      <c r="T747" s="184"/>
      <c r="U747" s="184"/>
      <c r="V747" s="184"/>
      <c r="W747" s="184"/>
      <c r="X747" s="179"/>
      <c r="Y747" s="179"/>
      <c r="Z747" s="179"/>
      <c r="AA747" s="179"/>
    </row>
    <row r="748" spans="1:27">
      <c r="A748" s="181">
        <f ca="1">IFERROR(__xludf.DUMMYFUNCTION("IFS(B748="""","""",ISDATE(B748)=TRUE,B748,ISDATE(B748)=FALSE,TO_DATE(DATEVALUE(regexextract(B748,""\d+/\d+/\d+""))))"),44789)</f>
        <v>44789</v>
      </c>
      <c r="B748" s="182" t="s">
        <v>6450</v>
      </c>
      <c r="C748" s="183" t="s">
        <v>5677</v>
      </c>
      <c r="D748" s="183">
        <v>3</v>
      </c>
      <c r="E748" s="183" t="s">
        <v>5680</v>
      </c>
      <c r="F748" s="183" t="s">
        <v>4</v>
      </c>
      <c r="G748" s="183" t="s">
        <v>460</v>
      </c>
      <c r="H748" s="183" t="s">
        <v>5681</v>
      </c>
      <c r="I748" s="183">
        <v>3</v>
      </c>
      <c r="J748" s="183" t="s">
        <v>462</v>
      </c>
      <c r="K748" s="183" t="s">
        <v>5682</v>
      </c>
      <c r="L748" s="183">
        <v>3</v>
      </c>
      <c r="M748" s="184" t="s">
        <v>478</v>
      </c>
      <c r="N748" s="186">
        <v>1000000</v>
      </c>
      <c r="O748" s="183" t="s">
        <v>452</v>
      </c>
      <c r="P748" s="183" t="s">
        <v>452</v>
      </c>
      <c r="Q748" s="184"/>
      <c r="R748" s="183" t="s">
        <v>24</v>
      </c>
      <c r="S748" s="184" t="s">
        <v>2242</v>
      </c>
      <c r="T748" s="184"/>
      <c r="U748" s="184"/>
      <c r="V748" s="184"/>
      <c r="W748" s="184"/>
      <c r="X748" s="179"/>
      <c r="Y748" s="179"/>
      <c r="Z748" s="179"/>
      <c r="AA748" s="179"/>
    </row>
    <row r="749" spans="1:27">
      <c r="A749" s="181">
        <f ca="1">IFERROR(__xludf.DUMMYFUNCTION("IFS(B749="""","""",ISDATE(B749)=TRUE,B749,ISDATE(B749)=FALSE,TO_DATE(DATEVALUE(regexextract(B749,""\d+/\d+/\d+""))))"),44791)</f>
        <v>44791</v>
      </c>
      <c r="B749" s="182" t="s">
        <v>10182</v>
      </c>
      <c r="C749" s="183" t="s">
        <v>6631</v>
      </c>
      <c r="D749" s="184">
        <v>2.25</v>
      </c>
      <c r="E749" s="183" t="s">
        <v>6634</v>
      </c>
      <c r="F749" s="183" t="s">
        <v>4</v>
      </c>
      <c r="G749" s="183" t="s">
        <v>602</v>
      </c>
      <c r="H749" s="184" t="s">
        <v>6635</v>
      </c>
      <c r="I749" s="184">
        <v>2</v>
      </c>
      <c r="J749" s="183" t="s">
        <v>476</v>
      </c>
      <c r="K749" s="183" t="s">
        <v>11076</v>
      </c>
      <c r="L749" s="183">
        <v>2.5</v>
      </c>
      <c r="M749" s="184"/>
      <c r="N749" s="188"/>
      <c r="O749" s="183" t="s">
        <v>452</v>
      </c>
      <c r="P749" s="183" t="s">
        <v>575</v>
      </c>
      <c r="Q749" s="184"/>
      <c r="R749" s="184" t="s">
        <v>24</v>
      </c>
      <c r="S749" s="184"/>
      <c r="T749" s="184"/>
      <c r="U749" s="184"/>
      <c r="V749" s="184"/>
      <c r="W749" s="184"/>
      <c r="X749" s="179"/>
      <c r="Y749" s="179"/>
      <c r="Z749" s="179"/>
      <c r="AA749" s="179"/>
    </row>
    <row r="750" spans="1:27">
      <c r="A750" s="181">
        <f ca="1">IFERROR(__xludf.DUMMYFUNCTION("IFS(B750="""","""",ISDATE(B750)=TRUE,B750,ISDATE(B750)=FALSE,TO_DATE(DATEVALUE(regexextract(B750,""\d+/\d+/\d+""))))"),44789)</f>
        <v>44789</v>
      </c>
      <c r="B750" s="182" t="s">
        <v>6450</v>
      </c>
      <c r="C750" s="183" t="s">
        <v>7667</v>
      </c>
      <c r="D750" s="183">
        <v>1.75</v>
      </c>
      <c r="E750" s="183" t="s">
        <v>7670</v>
      </c>
      <c r="F750" s="183" t="s">
        <v>4</v>
      </c>
      <c r="G750" s="183" t="s">
        <v>602</v>
      </c>
      <c r="H750" s="183" t="s">
        <v>7671</v>
      </c>
      <c r="I750" s="183">
        <v>2</v>
      </c>
      <c r="J750" s="183" t="s">
        <v>476</v>
      </c>
      <c r="K750" s="183" t="s">
        <v>10895</v>
      </c>
      <c r="L750" s="183">
        <v>1.5</v>
      </c>
      <c r="M750" s="184" t="s">
        <v>451</v>
      </c>
      <c r="N750" s="186">
        <v>1500000</v>
      </c>
      <c r="O750" s="183" t="s">
        <v>452</v>
      </c>
      <c r="P750" s="183" t="s">
        <v>11077</v>
      </c>
      <c r="Q750" s="183"/>
      <c r="R750" s="183" t="s">
        <v>24</v>
      </c>
      <c r="S750" s="184"/>
      <c r="T750" s="184"/>
      <c r="U750" s="184"/>
      <c r="V750" s="184"/>
      <c r="W750" s="184"/>
      <c r="X750" s="179"/>
      <c r="Y750" s="179"/>
      <c r="Z750" s="179"/>
      <c r="AA750" s="179"/>
    </row>
    <row r="751" spans="1:27">
      <c r="A751" s="181">
        <f ca="1">IFERROR(__xludf.DUMMYFUNCTION("IFS(B751="""","""",ISDATE(B751)=TRUE,B751,ISDATE(B751)=FALSE,TO_DATE(DATEVALUE(regexextract(B751,""\d+/\d+/\d+""))))"),44791)</f>
        <v>44791</v>
      </c>
      <c r="B751" s="182" t="s">
        <v>598</v>
      </c>
      <c r="C751" s="183" t="s">
        <v>8414</v>
      </c>
      <c r="D751" s="183">
        <v>2</v>
      </c>
      <c r="E751" s="183" t="s">
        <v>8417</v>
      </c>
      <c r="F751" s="183" t="s">
        <v>3</v>
      </c>
      <c r="G751" s="183" t="s">
        <v>460</v>
      </c>
      <c r="H751" s="183" t="s">
        <v>8418</v>
      </c>
      <c r="I751" s="183">
        <v>2</v>
      </c>
      <c r="J751" s="183" t="s">
        <v>941</v>
      </c>
      <c r="K751" s="183"/>
      <c r="L751" s="183">
        <v>2</v>
      </c>
      <c r="M751" s="183"/>
      <c r="N751" s="187"/>
      <c r="O751" s="183" t="s">
        <v>452</v>
      </c>
      <c r="P751" s="183" t="s">
        <v>8419</v>
      </c>
      <c r="Q751" s="184"/>
      <c r="R751" s="183" t="s">
        <v>24</v>
      </c>
      <c r="S751" s="184"/>
      <c r="T751" s="184"/>
      <c r="U751" s="184"/>
      <c r="V751" s="184"/>
      <c r="W751" s="184"/>
      <c r="X751" s="179"/>
      <c r="Y751" s="179"/>
      <c r="Z751" s="179"/>
      <c r="AA751" s="179"/>
    </row>
    <row r="752" spans="1:27">
      <c r="A752" s="181">
        <f ca="1">IFERROR(__xludf.DUMMYFUNCTION("IFS(B752="""","""",ISDATE(B752)=TRUE,B752,ISDATE(B752)=FALSE,TO_DATE(DATEVALUE(regexextract(B752,""\d+/\d+/\d+""))))"),44791)</f>
        <v>44791</v>
      </c>
      <c r="B752" s="182" t="s">
        <v>10182</v>
      </c>
      <c r="C752" s="183" t="s">
        <v>5985</v>
      </c>
      <c r="D752" s="183">
        <v>2.75</v>
      </c>
      <c r="E752" s="183" t="s">
        <v>11078</v>
      </c>
      <c r="F752" s="183" t="s">
        <v>4</v>
      </c>
      <c r="G752" s="183" t="s">
        <v>602</v>
      </c>
      <c r="H752" s="183" t="s">
        <v>5989</v>
      </c>
      <c r="I752" s="183">
        <v>2.5</v>
      </c>
      <c r="J752" s="183" t="s">
        <v>1298</v>
      </c>
      <c r="K752" s="183" t="s">
        <v>5990</v>
      </c>
      <c r="L752" s="183">
        <v>3</v>
      </c>
      <c r="M752" s="183" t="s">
        <v>451</v>
      </c>
      <c r="N752" s="187" t="s">
        <v>5991</v>
      </c>
      <c r="O752" s="183" t="s">
        <v>452</v>
      </c>
      <c r="P752" s="183" t="s">
        <v>1119</v>
      </c>
      <c r="Q752" s="183"/>
      <c r="R752" s="183" t="s">
        <v>24</v>
      </c>
      <c r="S752" s="183"/>
      <c r="T752" s="184"/>
      <c r="U752" s="184"/>
      <c r="V752" s="184"/>
      <c r="W752" s="184"/>
      <c r="X752" s="179"/>
      <c r="Y752" s="179"/>
      <c r="Z752" s="179"/>
      <c r="AA752" s="179"/>
    </row>
    <row r="753" spans="1:27">
      <c r="A753" s="181">
        <f ca="1">IFERROR(__xludf.DUMMYFUNCTION("IFS(B753="""","""",ISDATE(B753)=TRUE,B753,ISDATE(B753)=FALSE,TO_DATE(DATEVALUE(regexextract(B753,""\d+/\d+/\d+""))))"),44791)</f>
        <v>44791</v>
      </c>
      <c r="B753" s="189" t="s">
        <v>10182</v>
      </c>
      <c r="C753" s="183" t="s">
        <v>8100</v>
      </c>
      <c r="D753" s="184">
        <v>1</v>
      </c>
      <c r="E753" s="183" t="s">
        <v>8103</v>
      </c>
      <c r="F753" s="183" t="s">
        <v>4</v>
      </c>
      <c r="G753" s="183" t="s">
        <v>602</v>
      </c>
      <c r="H753" s="183" t="s">
        <v>7807</v>
      </c>
      <c r="I753" s="183">
        <v>1</v>
      </c>
      <c r="J753" s="183" t="s">
        <v>1045</v>
      </c>
      <c r="K753" s="184" t="s">
        <v>8104</v>
      </c>
      <c r="L753" s="184">
        <v>1</v>
      </c>
      <c r="M753" s="183"/>
      <c r="N753" s="187"/>
      <c r="O753" s="183" t="s">
        <v>465</v>
      </c>
      <c r="P753" s="183" t="s">
        <v>575</v>
      </c>
      <c r="Q753" s="184"/>
      <c r="R753" s="184" t="s">
        <v>24</v>
      </c>
      <c r="S753" s="184"/>
      <c r="T753" s="184"/>
      <c r="U753" s="184"/>
      <c r="V753" s="184"/>
      <c r="W753" s="184"/>
      <c r="X753" s="179"/>
      <c r="Y753" s="179"/>
      <c r="Z753" s="179"/>
      <c r="AA753" s="179"/>
    </row>
    <row r="754" spans="1:27">
      <c r="A754" s="181">
        <f ca="1">IFERROR(__xludf.DUMMYFUNCTION("IFS(B754="""","""",ISDATE(B754)=TRUE,B754,ISDATE(B754)=FALSE,TO_DATE(DATEVALUE(regexextract(B754,""\d+/\d+/\d+""))))"),44791)</f>
        <v>44791</v>
      </c>
      <c r="B754" s="189" t="s">
        <v>10182</v>
      </c>
      <c r="C754" s="183" t="s">
        <v>7032</v>
      </c>
      <c r="D754" s="183">
        <v>2</v>
      </c>
      <c r="E754" s="183" t="s">
        <v>7035</v>
      </c>
      <c r="F754" s="183" t="s">
        <v>4</v>
      </c>
      <c r="G754" s="183" t="s">
        <v>602</v>
      </c>
      <c r="H754" s="183" t="s">
        <v>7036</v>
      </c>
      <c r="I754" s="183">
        <v>2</v>
      </c>
      <c r="J754" s="183" t="s">
        <v>476</v>
      </c>
      <c r="K754" s="183" t="s">
        <v>11079</v>
      </c>
      <c r="L754" s="183">
        <v>2</v>
      </c>
      <c r="M754" s="183"/>
      <c r="N754" s="187"/>
      <c r="O754" s="183" t="s">
        <v>454</v>
      </c>
      <c r="P754" s="183" t="s">
        <v>11080</v>
      </c>
      <c r="Q754" s="183"/>
      <c r="R754" s="183" t="s">
        <v>24</v>
      </c>
      <c r="S754" s="184"/>
      <c r="T754" s="184"/>
      <c r="U754" s="184"/>
      <c r="V754" s="184"/>
      <c r="W754" s="184"/>
      <c r="X754" s="179"/>
      <c r="Y754" s="179"/>
      <c r="Z754" s="179"/>
      <c r="AA754" s="179"/>
    </row>
    <row r="755" spans="1:27">
      <c r="A755" s="181">
        <f ca="1">IFERROR(__xludf.DUMMYFUNCTION("IFS(B755="""","""",ISDATE(B755)=TRUE,B755,ISDATE(B755)=FALSE,TO_DATE(DATEVALUE(regexextract(B755,""\d+/\d+/\d+""))))"),44791)</f>
        <v>44791</v>
      </c>
      <c r="B755" s="182" t="s">
        <v>10182</v>
      </c>
      <c r="C755" s="183" t="s">
        <v>6689</v>
      </c>
      <c r="D755" s="183">
        <v>2.25</v>
      </c>
      <c r="E755" s="183" t="s">
        <v>6692</v>
      </c>
      <c r="F755" s="183" t="s">
        <v>4</v>
      </c>
      <c r="G755" s="183" t="s">
        <v>602</v>
      </c>
      <c r="H755" s="183" t="s">
        <v>6693</v>
      </c>
      <c r="I755" s="183">
        <v>3</v>
      </c>
      <c r="J755" s="183" t="s">
        <v>476</v>
      </c>
      <c r="K755" s="183" t="s">
        <v>11000</v>
      </c>
      <c r="L755" s="183">
        <v>1.5</v>
      </c>
      <c r="M755" s="183"/>
      <c r="N755" s="187"/>
      <c r="O755" s="183" t="s">
        <v>452</v>
      </c>
      <c r="P755" s="183" t="s">
        <v>974</v>
      </c>
      <c r="Q755" s="184" t="s">
        <v>6695</v>
      </c>
      <c r="R755" s="183" t="s">
        <v>24</v>
      </c>
      <c r="S755" s="184"/>
      <c r="T755" s="184"/>
      <c r="U755" s="184"/>
      <c r="V755" s="184"/>
      <c r="W755" s="184"/>
      <c r="X755" s="179"/>
      <c r="Y755" s="179"/>
      <c r="Z755" s="179"/>
      <c r="AA755" s="179"/>
    </row>
    <row r="756" spans="1:27">
      <c r="A756" s="181">
        <f ca="1">IFERROR(__xludf.DUMMYFUNCTION("IFS(B756="""","""",ISDATE(B756)=TRUE,B756,ISDATE(B756)=FALSE,TO_DATE(DATEVALUE(regexextract(B756,""\d+/\d+/\d+""))))"),44789)</f>
        <v>44789</v>
      </c>
      <c r="B756" s="182" t="s">
        <v>6450</v>
      </c>
      <c r="C756" s="183" t="s">
        <v>286</v>
      </c>
      <c r="D756" s="184">
        <v>4.5</v>
      </c>
      <c r="E756" s="183" t="s">
        <v>1632</v>
      </c>
      <c r="F756" s="183" t="s">
        <v>3</v>
      </c>
      <c r="G756" s="183" t="s">
        <v>460</v>
      </c>
      <c r="H756" s="184" t="s">
        <v>1633</v>
      </c>
      <c r="I756" s="184">
        <v>4.5</v>
      </c>
      <c r="J756" s="183" t="s">
        <v>462</v>
      </c>
      <c r="K756" s="184" t="s">
        <v>1634</v>
      </c>
      <c r="L756" s="183">
        <v>4.5</v>
      </c>
      <c r="M756" s="183" t="s">
        <v>478</v>
      </c>
      <c r="N756" s="185">
        <v>6000000</v>
      </c>
      <c r="O756" s="183" t="s">
        <v>452</v>
      </c>
      <c r="P756" s="183" t="s">
        <v>11081</v>
      </c>
      <c r="Q756" s="184"/>
      <c r="R756" s="184" t="s">
        <v>18</v>
      </c>
      <c r="S756" s="184"/>
      <c r="T756" s="184"/>
      <c r="U756" s="184"/>
      <c r="V756" s="184"/>
      <c r="W756" s="184"/>
      <c r="X756" s="179"/>
      <c r="Y756" s="179"/>
      <c r="Z756" s="179"/>
      <c r="AA756" s="179"/>
    </row>
    <row r="757" spans="1:27">
      <c r="A757" s="181">
        <f ca="1">IFERROR(__xludf.DUMMYFUNCTION("IFS(B757="""","""",ISDATE(B757)=TRUE,B757,ISDATE(B757)=FALSE,TO_DATE(DATEVALUE(regexextract(B757,""\d+/\d+/\d+""))))"),44796)</f>
        <v>44796</v>
      </c>
      <c r="B757" s="182" t="s">
        <v>529</v>
      </c>
      <c r="C757" s="183" t="s">
        <v>6356</v>
      </c>
      <c r="D757" s="183">
        <v>2.5</v>
      </c>
      <c r="E757" s="183" t="s">
        <v>6359</v>
      </c>
      <c r="F757" s="183" t="s">
        <v>4</v>
      </c>
      <c r="G757" s="183" t="s">
        <v>602</v>
      </c>
      <c r="H757" s="183" t="s">
        <v>6360</v>
      </c>
      <c r="I757" s="183">
        <v>2</v>
      </c>
      <c r="J757" s="183" t="s">
        <v>1298</v>
      </c>
      <c r="K757" s="184" t="s">
        <v>6361</v>
      </c>
      <c r="L757" s="183">
        <v>3</v>
      </c>
      <c r="M757" s="183" t="s">
        <v>784</v>
      </c>
      <c r="N757" s="185">
        <v>750000</v>
      </c>
      <c r="O757" s="183" t="s">
        <v>452</v>
      </c>
      <c r="P757" s="183" t="s">
        <v>11082</v>
      </c>
      <c r="Q757" s="184"/>
      <c r="R757" s="183" t="s">
        <v>24</v>
      </c>
      <c r="S757" s="184"/>
      <c r="T757" s="184"/>
      <c r="U757" s="184"/>
      <c r="V757" s="184"/>
      <c r="W757" s="184"/>
      <c r="X757" s="179"/>
      <c r="Y757" s="179"/>
      <c r="Z757" s="179"/>
      <c r="AA757" s="179"/>
    </row>
    <row r="758" spans="1:27">
      <c r="A758" s="181">
        <f ca="1">IFERROR(__xludf.DUMMYFUNCTION("IFS(B758="""","""",ISDATE(B758)=TRUE,B758,ISDATE(B758)=FALSE,TO_DATE(DATEVALUE(regexextract(B758,""\d+/\d+/\d+""))))"),44796)</f>
        <v>44796</v>
      </c>
      <c r="B758" s="182" t="s">
        <v>529</v>
      </c>
      <c r="C758" s="183" t="s">
        <v>3149</v>
      </c>
      <c r="D758" s="183">
        <v>3.5</v>
      </c>
      <c r="E758" s="183" t="s">
        <v>3152</v>
      </c>
      <c r="F758" s="183" t="s">
        <v>5</v>
      </c>
      <c r="G758" s="183" t="s">
        <v>447</v>
      </c>
      <c r="H758" s="183" t="s">
        <v>11083</v>
      </c>
      <c r="I758" s="183">
        <v>3</v>
      </c>
      <c r="J758" s="183" t="s">
        <v>622</v>
      </c>
      <c r="K758" s="183" t="s">
        <v>11084</v>
      </c>
      <c r="L758" s="183">
        <v>4</v>
      </c>
      <c r="M758" s="183"/>
      <c r="N758" s="185"/>
      <c r="O758" s="183" t="s">
        <v>452</v>
      </c>
      <c r="P758" s="183" t="s">
        <v>452</v>
      </c>
      <c r="Q758" s="183"/>
      <c r="R758" s="183" t="s">
        <v>24</v>
      </c>
      <c r="S758" s="184"/>
      <c r="T758" s="184"/>
      <c r="U758" s="184"/>
      <c r="V758" s="184"/>
      <c r="W758" s="184"/>
      <c r="X758" s="179"/>
      <c r="Y758" s="179"/>
      <c r="Z758" s="179"/>
      <c r="AA758" s="179"/>
    </row>
    <row r="759" spans="1:27">
      <c r="A759" s="181">
        <f ca="1">IFERROR(__xludf.DUMMYFUNCTION("IFS(B759="""","""",ISDATE(B759)=TRUE,B759,ISDATE(B759)=FALSE,TO_DATE(DATEVALUE(regexextract(B759,""\d+/\d+/\d+""))))"),44797)</f>
        <v>44797</v>
      </c>
      <c r="B759" s="182" t="s">
        <v>907</v>
      </c>
      <c r="C759" s="183" t="s">
        <v>6002</v>
      </c>
      <c r="D759" s="183">
        <v>2.75</v>
      </c>
      <c r="E759" s="183" t="s">
        <v>6005</v>
      </c>
      <c r="F759" s="183" t="s">
        <v>4</v>
      </c>
      <c r="G759" s="183" t="s">
        <v>447</v>
      </c>
      <c r="H759" s="183" t="s">
        <v>11085</v>
      </c>
      <c r="I759" s="183">
        <v>2.5</v>
      </c>
      <c r="J759" s="183" t="s">
        <v>622</v>
      </c>
      <c r="K759" s="183" t="s">
        <v>11086</v>
      </c>
      <c r="L759" s="183">
        <v>3</v>
      </c>
      <c r="M759" s="183" t="s">
        <v>451</v>
      </c>
      <c r="N759" s="187">
        <v>5000000</v>
      </c>
      <c r="O759" s="183" t="s">
        <v>465</v>
      </c>
      <c r="P759" s="183" t="s">
        <v>6008</v>
      </c>
      <c r="Q759" s="183"/>
      <c r="R759" s="183" t="s">
        <v>24</v>
      </c>
      <c r="S759" s="184"/>
      <c r="T759" s="184"/>
      <c r="U759" s="184"/>
      <c r="V759" s="184"/>
      <c r="W759" s="184"/>
      <c r="X759" s="179"/>
      <c r="Y759" s="179"/>
      <c r="Z759" s="179"/>
      <c r="AA759" s="179"/>
    </row>
    <row r="760" spans="1:27">
      <c r="A760" s="181">
        <f ca="1">IFERROR(__xludf.DUMMYFUNCTION("IFS(B760="""","""",ISDATE(B760)=TRUE,B760,ISDATE(B760)=FALSE,TO_DATE(DATEVALUE(regexextract(B760,""\d+/\d+/\d+""))))"),44796)</f>
        <v>44796</v>
      </c>
      <c r="B760" s="182" t="s">
        <v>529</v>
      </c>
      <c r="C760" s="183" t="s">
        <v>5156</v>
      </c>
      <c r="D760" s="183">
        <v>3.25</v>
      </c>
      <c r="E760" s="183" t="s">
        <v>11087</v>
      </c>
      <c r="F760" s="183" t="s">
        <v>4</v>
      </c>
      <c r="G760" s="183" t="s">
        <v>602</v>
      </c>
      <c r="H760" s="184" t="s">
        <v>5160</v>
      </c>
      <c r="I760" s="183">
        <v>3</v>
      </c>
      <c r="J760" s="183" t="s">
        <v>1350</v>
      </c>
      <c r="K760" s="184" t="s">
        <v>5161</v>
      </c>
      <c r="L760" s="183">
        <v>3.5</v>
      </c>
      <c r="M760" s="183"/>
      <c r="N760" s="185"/>
      <c r="O760" s="183" t="s">
        <v>452</v>
      </c>
      <c r="P760" s="183" t="s">
        <v>5162</v>
      </c>
      <c r="Q760" s="184"/>
      <c r="R760" s="183" t="s">
        <v>24</v>
      </c>
      <c r="S760" s="184"/>
      <c r="T760" s="184"/>
      <c r="U760" s="184"/>
      <c r="V760" s="184"/>
      <c r="W760" s="184"/>
      <c r="X760" s="179"/>
      <c r="Y760" s="179"/>
      <c r="Z760" s="179"/>
      <c r="AA760" s="179"/>
    </row>
    <row r="761" spans="1:27">
      <c r="A761" s="181">
        <f ca="1">IFERROR(__xludf.DUMMYFUNCTION("IFS(B761="""","""",ISDATE(B761)=TRUE,B761,ISDATE(B761)=FALSE,TO_DATE(DATEVALUE(regexextract(B761,""\d+/\d+/\d+""))))"),44789)</f>
        <v>44789</v>
      </c>
      <c r="B761" s="182" t="s">
        <v>6450</v>
      </c>
      <c r="C761" s="183" t="s">
        <v>8631</v>
      </c>
      <c r="D761" s="183">
        <v>2</v>
      </c>
      <c r="E761" s="183" t="s">
        <v>8634</v>
      </c>
      <c r="F761" s="183" t="s">
        <v>3</v>
      </c>
      <c r="G761" s="183" t="s">
        <v>460</v>
      </c>
      <c r="H761" s="183" t="s">
        <v>8635</v>
      </c>
      <c r="I761" s="183">
        <v>2</v>
      </c>
      <c r="J761" s="183" t="s">
        <v>462</v>
      </c>
      <c r="K761" s="183" t="s">
        <v>11088</v>
      </c>
      <c r="L761" s="183">
        <v>2</v>
      </c>
      <c r="M761" s="184" t="s">
        <v>451</v>
      </c>
      <c r="N761" s="188">
        <v>500000</v>
      </c>
      <c r="O761" s="183" t="s">
        <v>452</v>
      </c>
      <c r="P761" s="183" t="s">
        <v>11089</v>
      </c>
      <c r="Q761" s="184"/>
      <c r="R761" s="183" t="s">
        <v>24</v>
      </c>
      <c r="S761" s="184"/>
      <c r="T761" s="184"/>
      <c r="U761" s="184"/>
      <c r="V761" s="184"/>
      <c r="W761" s="184"/>
      <c r="X761" s="179"/>
      <c r="Y761" s="179"/>
      <c r="Z761" s="179"/>
      <c r="AA761" s="179"/>
    </row>
    <row r="762" spans="1:27">
      <c r="A762" s="181">
        <f ca="1">IFERROR(__xludf.DUMMYFUNCTION("IFS(B762="""","""",ISDATE(B762)=TRUE,B762,ISDATE(B762)=FALSE,TO_DATE(DATEVALUE(regexextract(B762,""\d+/\d+/\d+""))))"),44796)</f>
        <v>44796</v>
      </c>
      <c r="B762" s="182" t="s">
        <v>529</v>
      </c>
      <c r="C762" s="183" t="s">
        <v>263</v>
      </c>
      <c r="D762" s="183">
        <v>4</v>
      </c>
      <c r="E762" s="183" t="s">
        <v>4106</v>
      </c>
      <c r="F762" s="183" t="s">
        <v>4</v>
      </c>
      <c r="G762" s="183" t="s">
        <v>725</v>
      </c>
      <c r="H762" s="183" t="s">
        <v>11090</v>
      </c>
      <c r="I762" s="183">
        <v>4</v>
      </c>
      <c r="J762" s="183" t="s">
        <v>1045</v>
      </c>
      <c r="K762" s="183" t="s">
        <v>4108</v>
      </c>
      <c r="L762" s="183">
        <v>4</v>
      </c>
      <c r="M762" s="183" t="s">
        <v>478</v>
      </c>
      <c r="N762" s="187" t="s">
        <v>4109</v>
      </c>
      <c r="O762" s="183" t="s">
        <v>452</v>
      </c>
      <c r="P762" s="183" t="s">
        <v>11091</v>
      </c>
      <c r="Q762" s="184" t="s">
        <v>4111</v>
      </c>
      <c r="R762" s="183" t="s">
        <v>18</v>
      </c>
      <c r="S762" s="183"/>
      <c r="T762" s="184"/>
      <c r="U762" s="184"/>
      <c r="V762" s="184"/>
      <c r="W762" s="184"/>
      <c r="X762" s="179"/>
      <c r="Y762" s="179"/>
      <c r="Z762" s="179"/>
      <c r="AA762" s="179"/>
    </row>
    <row r="763" spans="1:27">
      <c r="A763" s="181">
        <f ca="1">IFERROR(__xludf.DUMMYFUNCTION("IFS(B763="""","""",ISDATE(B763)=TRUE,B763,ISDATE(B763)=FALSE,TO_DATE(DATEVALUE(regexextract(B763,""\d+/\d+/\d+""))))"),44784)</f>
        <v>44784</v>
      </c>
      <c r="B763" s="182" t="s">
        <v>10173</v>
      </c>
      <c r="C763" s="183" t="s">
        <v>8518</v>
      </c>
      <c r="D763" s="183">
        <v>2</v>
      </c>
      <c r="E763" s="183" t="s">
        <v>8521</v>
      </c>
      <c r="F763" s="183" t="s">
        <v>3</v>
      </c>
      <c r="G763" s="183" t="s">
        <v>488</v>
      </c>
      <c r="H763" s="183"/>
      <c r="I763" s="183">
        <v>2</v>
      </c>
      <c r="J763" s="183" t="s">
        <v>462</v>
      </c>
      <c r="K763" s="184" t="s">
        <v>8522</v>
      </c>
      <c r="L763" s="183">
        <v>2</v>
      </c>
      <c r="M763" s="183"/>
      <c r="N763" s="187"/>
      <c r="O763" s="183" t="s">
        <v>465</v>
      </c>
      <c r="P763" s="191" t="s">
        <v>452</v>
      </c>
      <c r="Q763" s="184"/>
      <c r="R763" s="183" t="s">
        <v>24</v>
      </c>
      <c r="S763" s="183" t="s">
        <v>8523</v>
      </c>
      <c r="T763" s="184"/>
      <c r="U763" s="184"/>
      <c r="V763" s="184"/>
      <c r="W763" s="184"/>
      <c r="X763" s="179"/>
      <c r="Y763" s="179"/>
      <c r="Z763" s="179"/>
      <c r="AA763" s="179"/>
    </row>
    <row r="764" spans="1:27">
      <c r="A764" s="181">
        <f ca="1">IFERROR(__xludf.DUMMYFUNCTION("IFS(B764="""","""",ISDATE(B764)=TRUE,B764,ISDATE(B764)=FALSE,TO_DATE(DATEVALUE(regexextract(B764,""\d+/\d+/\d+""))))"),44796)</f>
        <v>44796</v>
      </c>
      <c r="B764" s="182" t="s">
        <v>529</v>
      </c>
      <c r="C764" s="183" t="s">
        <v>11092</v>
      </c>
      <c r="D764" s="183">
        <v>2.5</v>
      </c>
      <c r="E764" s="183" t="s">
        <v>11093</v>
      </c>
      <c r="F764" s="183" t="s">
        <v>5</v>
      </c>
      <c r="G764" s="183" t="s">
        <v>447</v>
      </c>
      <c r="H764" s="183" t="s">
        <v>11094</v>
      </c>
      <c r="I764" s="183">
        <v>2.5</v>
      </c>
      <c r="J764" s="183" t="s">
        <v>449</v>
      </c>
      <c r="K764" s="183" t="s">
        <v>11095</v>
      </c>
      <c r="L764" s="183">
        <v>2.5</v>
      </c>
      <c r="M764" s="184"/>
      <c r="N764" s="188"/>
      <c r="O764" s="183" t="s">
        <v>454</v>
      </c>
      <c r="P764" s="183" t="s">
        <v>1119</v>
      </c>
      <c r="Q764" s="184" t="s">
        <v>3538</v>
      </c>
      <c r="R764" s="183" t="s">
        <v>24</v>
      </c>
      <c r="S764" s="184"/>
      <c r="T764" s="184"/>
      <c r="U764" s="184"/>
      <c r="V764" s="184"/>
      <c r="W764" s="184"/>
      <c r="X764" s="179"/>
      <c r="Y764" s="179"/>
      <c r="Z764" s="179"/>
      <c r="AA764" s="179"/>
    </row>
    <row r="765" spans="1:27">
      <c r="A765" s="181">
        <f ca="1">IFERROR(__xludf.DUMMYFUNCTION("IFS(B765="""","""",ISDATE(B765)=TRUE,B765,ISDATE(B765)=FALSE,TO_DATE(DATEVALUE(regexextract(B765,""\d+/\d+/\d+""))))"),44796)</f>
        <v>44796</v>
      </c>
      <c r="B765" s="182" t="s">
        <v>529</v>
      </c>
      <c r="C765" s="183" t="s">
        <v>4526</v>
      </c>
      <c r="D765" s="184">
        <v>3.5</v>
      </c>
      <c r="E765" s="183" t="s">
        <v>4529</v>
      </c>
      <c r="F765" s="183" t="s">
        <v>4</v>
      </c>
      <c r="G765" s="183" t="s">
        <v>725</v>
      </c>
      <c r="H765" s="184" t="s">
        <v>11096</v>
      </c>
      <c r="I765" s="184">
        <v>2</v>
      </c>
      <c r="J765" s="183" t="s">
        <v>990</v>
      </c>
      <c r="K765" s="183" t="s">
        <v>4531</v>
      </c>
      <c r="L765" s="183">
        <v>5</v>
      </c>
      <c r="M765" s="184" t="s">
        <v>451</v>
      </c>
      <c r="N765" s="188">
        <v>1000000</v>
      </c>
      <c r="O765" s="183" t="s">
        <v>452</v>
      </c>
      <c r="P765" s="183" t="s">
        <v>4532</v>
      </c>
      <c r="Q765" s="184"/>
      <c r="R765" s="184" t="s">
        <v>24</v>
      </c>
      <c r="S765" s="184" t="s">
        <v>4533</v>
      </c>
      <c r="T765" s="184"/>
      <c r="U765" s="184"/>
      <c r="V765" s="184"/>
      <c r="W765" s="184"/>
      <c r="X765" s="179"/>
      <c r="Y765" s="179"/>
      <c r="Z765" s="179"/>
      <c r="AA765" s="179"/>
    </row>
    <row r="766" spans="1:27">
      <c r="A766" s="181">
        <f ca="1">IFERROR(__xludf.DUMMYFUNCTION("IFS(B766="""","""",ISDATE(B766)=TRUE,B766,ISDATE(B766)=FALSE,TO_DATE(DATEVALUE(regexextract(B766,""\d+/\d+/\d+""))))"),44796)</f>
        <v>44796</v>
      </c>
      <c r="B766" s="182" t="s">
        <v>529</v>
      </c>
      <c r="C766" s="183" t="s">
        <v>7708</v>
      </c>
      <c r="D766" s="184">
        <v>1.75</v>
      </c>
      <c r="E766" s="183" t="s">
        <v>7711</v>
      </c>
      <c r="F766" s="183" t="s">
        <v>4</v>
      </c>
      <c r="G766" s="183" t="s">
        <v>725</v>
      </c>
      <c r="H766" s="184" t="s">
        <v>7712</v>
      </c>
      <c r="I766" s="184">
        <v>2</v>
      </c>
      <c r="J766" s="183" t="s">
        <v>476</v>
      </c>
      <c r="K766" s="184" t="s">
        <v>11097</v>
      </c>
      <c r="L766" s="184">
        <v>1.5</v>
      </c>
      <c r="M766" s="183" t="s">
        <v>4416</v>
      </c>
      <c r="N766" s="187">
        <v>1500000</v>
      </c>
      <c r="O766" s="183" t="s">
        <v>452</v>
      </c>
      <c r="P766" s="183" t="s">
        <v>7714</v>
      </c>
      <c r="Q766" s="184"/>
      <c r="R766" s="184" t="s">
        <v>24</v>
      </c>
      <c r="S766" s="184"/>
      <c r="T766" s="184"/>
      <c r="U766" s="184"/>
      <c r="V766" s="184"/>
      <c r="W766" s="184"/>
      <c r="X766" s="179"/>
      <c r="Y766" s="179"/>
      <c r="Z766" s="179"/>
      <c r="AA766" s="179"/>
    </row>
    <row r="767" spans="1:27">
      <c r="A767" s="181">
        <f ca="1">IFERROR(__xludf.DUMMYFUNCTION("IFS(B767="""","""",ISDATE(B767)=TRUE,B767,ISDATE(B767)=FALSE,TO_DATE(DATEVALUE(regexextract(B767,""\d+/\d+/\d+""))))"),44789)</f>
        <v>44789</v>
      </c>
      <c r="B767" s="182" t="s">
        <v>6450</v>
      </c>
      <c r="C767" s="183" t="s">
        <v>8723</v>
      </c>
      <c r="D767" s="184">
        <v>2.75</v>
      </c>
      <c r="E767" s="183" t="s">
        <v>11098</v>
      </c>
      <c r="F767" s="183" t="s">
        <v>3</v>
      </c>
      <c r="G767" s="183" t="s">
        <v>488</v>
      </c>
      <c r="H767" s="184" t="s">
        <v>8727</v>
      </c>
      <c r="I767" s="184">
        <v>2.5</v>
      </c>
      <c r="J767" s="183" t="s">
        <v>941</v>
      </c>
      <c r="K767" s="184" t="s">
        <v>8728</v>
      </c>
      <c r="L767" s="184">
        <v>3</v>
      </c>
      <c r="M767" s="184" t="s">
        <v>451</v>
      </c>
      <c r="N767" s="188">
        <v>450000</v>
      </c>
      <c r="O767" s="183" t="s">
        <v>465</v>
      </c>
      <c r="P767" s="183" t="s">
        <v>8729</v>
      </c>
      <c r="Q767" s="184"/>
      <c r="R767" s="184" t="s">
        <v>24</v>
      </c>
      <c r="S767" s="184"/>
      <c r="T767" s="184"/>
      <c r="U767" s="184"/>
      <c r="V767" s="184"/>
      <c r="W767" s="184"/>
      <c r="X767" s="179"/>
      <c r="Y767" s="179"/>
      <c r="Z767" s="179"/>
      <c r="AA767" s="179"/>
    </row>
    <row r="768" spans="1:27">
      <c r="A768" s="181">
        <f ca="1">IFERROR(__xludf.DUMMYFUNCTION("IFS(B768="""","""",ISDATE(B768)=TRUE,B768,ISDATE(B768)=FALSE,TO_DATE(DATEVALUE(regexextract(B768,""\d+/\d+/\d+""))))"),44796)</f>
        <v>44796</v>
      </c>
      <c r="B768" s="182" t="s">
        <v>529</v>
      </c>
      <c r="C768" s="183" t="s">
        <v>192</v>
      </c>
      <c r="D768" s="183">
        <v>4</v>
      </c>
      <c r="E768" s="183" t="s">
        <v>3778</v>
      </c>
      <c r="F768" s="183" t="s">
        <v>4</v>
      </c>
      <c r="G768" s="183" t="s">
        <v>725</v>
      </c>
      <c r="H768" s="183" t="s">
        <v>11099</v>
      </c>
      <c r="I768" s="183">
        <v>4.5</v>
      </c>
      <c r="J768" s="183" t="s">
        <v>476</v>
      </c>
      <c r="K768" s="183" t="s">
        <v>11100</v>
      </c>
      <c r="L768" s="183">
        <v>3.5</v>
      </c>
      <c r="M768" s="183" t="s">
        <v>451</v>
      </c>
      <c r="N768" s="187">
        <v>2500000</v>
      </c>
      <c r="O768" s="183" t="s">
        <v>452</v>
      </c>
      <c r="P768" s="183" t="s">
        <v>3781</v>
      </c>
      <c r="Q768" s="184"/>
      <c r="R768" s="183" t="s">
        <v>18</v>
      </c>
      <c r="S768" s="183"/>
      <c r="T768" s="184"/>
      <c r="U768" s="184"/>
      <c r="V768" s="184"/>
      <c r="W768" s="184"/>
      <c r="X768" s="179"/>
      <c r="Y768" s="179"/>
      <c r="Z768" s="179"/>
      <c r="AA768" s="179"/>
    </row>
    <row r="769" spans="1:27">
      <c r="A769" s="181">
        <f ca="1">IFERROR(__xludf.DUMMYFUNCTION("IFS(B769="""","""",ISDATE(B769)=TRUE,B769,ISDATE(B769)=FALSE,TO_DATE(DATEVALUE(regexextract(B769,""\d+/\d+/\d+""))))"),44789)</f>
        <v>44789</v>
      </c>
      <c r="B769" s="182" t="s">
        <v>6450</v>
      </c>
      <c r="C769" s="183" t="s">
        <v>8022</v>
      </c>
      <c r="D769" s="183">
        <v>1.5</v>
      </c>
      <c r="E769" s="183" t="s">
        <v>8025</v>
      </c>
      <c r="F769" s="183" t="s">
        <v>4</v>
      </c>
      <c r="G769" s="183" t="s">
        <v>602</v>
      </c>
      <c r="H769" s="183" t="s">
        <v>8026</v>
      </c>
      <c r="I769" s="183">
        <v>2</v>
      </c>
      <c r="J769" s="183" t="s">
        <v>476</v>
      </c>
      <c r="K769" s="183" t="s">
        <v>11101</v>
      </c>
      <c r="L769" s="183">
        <v>1</v>
      </c>
      <c r="M769" s="183" t="s">
        <v>8028</v>
      </c>
      <c r="N769" s="187" t="s">
        <v>8029</v>
      </c>
      <c r="O769" s="183" t="s">
        <v>452</v>
      </c>
      <c r="P769" s="183" t="s">
        <v>11102</v>
      </c>
      <c r="Q769" s="184"/>
      <c r="R769" s="183" t="s">
        <v>24</v>
      </c>
      <c r="S769" s="184"/>
      <c r="T769" s="184"/>
      <c r="U769" s="184"/>
      <c r="V769" s="184"/>
      <c r="W769" s="184"/>
      <c r="X769" s="179"/>
      <c r="Y769" s="179"/>
      <c r="Z769" s="179"/>
      <c r="AA769" s="179"/>
    </row>
    <row r="770" spans="1:27">
      <c r="A770" s="181">
        <f ca="1">IFERROR(__xludf.DUMMYFUNCTION("IFS(B770="""","""",ISDATE(B770)=TRUE,B770,ISDATE(B770)=FALSE,TO_DATE(DATEVALUE(regexextract(B770,""\d+/\d+/\d+""))))"),44791)</f>
        <v>44791</v>
      </c>
      <c r="B770" s="182" t="s">
        <v>598</v>
      </c>
      <c r="C770" s="183" t="s">
        <v>84</v>
      </c>
      <c r="D770" s="184">
        <v>4.5</v>
      </c>
      <c r="E770" s="183" t="s">
        <v>11103</v>
      </c>
      <c r="F770" s="183" t="s">
        <v>5</v>
      </c>
      <c r="G770" s="183" t="s">
        <v>602</v>
      </c>
      <c r="H770" s="184" t="s">
        <v>603</v>
      </c>
      <c r="I770" s="184">
        <v>4</v>
      </c>
      <c r="J770" s="183" t="s">
        <v>604</v>
      </c>
      <c r="K770" s="184" t="s">
        <v>11104</v>
      </c>
      <c r="L770" s="183">
        <v>5</v>
      </c>
      <c r="M770" s="183"/>
      <c r="N770" s="185"/>
      <c r="O770" s="183" t="s">
        <v>465</v>
      </c>
      <c r="P770" s="183" t="s">
        <v>452</v>
      </c>
      <c r="Q770" s="184"/>
      <c r="R770" s="184" t="s">
        <v>18</v>
      </c>
      <c r="S770" s="184" t="s">
        <v>606</v>
      </c>
      <c r="T770" s="184"/>
      <c r="U770" s="184"/>
      <c r="V770" s="184"/>
      <c r="W770" s="184"/>
      <c r="X770" s="179"/>
      <c r="Y770" s="179"/>
      <c r="Z770" s="179"/>
      <c r="AA770" s="179"/>
    </row>
    <row r="771" spans="1:27">
      <c r="A771" s="181">
        <f ca="1">IFERROR(__xludf.DUMMYFUNCTION("IFS(B771="""","""",ISDATE(B771)=TRUE,B771,ISDATE(B771)=FALSE,TO_DATE(DATEVALUE(regexextract(B771,""\d+/\d+/\d+""))))"),44791)</f>
        <v>44791</v>
      </c>
      <c r="B771" s="182" t="s">
        <v>10182</v>
      </c>
      <c r="C771" s="183" t="s">
        <v>324</v>
      </c>
      <c r="D771" s="184">
        <v>4.25</v>
      </c>
      <c r="E771" s="183" t="s">
        <v>1800</v>
      </c>
      <c r="F771" s="183" t="s">
        <v>3</v>
      </c>
      <c r="G771" s="183" t="s">
        <v>460</v>
      </c>
      <c r="H771" s="184" t="s">
        <v>1801</v>
      </c>
      <c r="I771" s="184">
        <v>4.5</v>
      </c>
      <c r="J771" s="183" t="s">
        <v>941</v>
      </c>
      <c r="K771" s="184" t="s">
        <v>1802</v>
      </c>
      <c r="L771" s="184">
        <v>4</v>
      </c>
      <c r="M771" s="184"/>
      <c r="N771" s="188"/>
      <c r="O771" s="183" t="s">
        <v>452</v>
      </c>
      <c r="P771" s="183" t="s">
        <v>1803</v>
      </c>
      <c r="Q771" s="184" t="s">
        <v>1804</v>
      </c>
      <c r="R771" s="184" t="s">
        <v>18</v>
      </c>
      <c r="S771" s="184"/>
      <c r="T771" s="184"/>
      <c r="U771" s="184"/>
      <c r="V771" s="184"/>
      <c r="W771" s="184"/>
      <c r="X771" s="179"/>
      <c r="Y771" s="179"/>
      <c r="Z771" s="179"/>
      <c r="AA771" s="179"/>
    </row>
    <row r="772" spans="1:27">
      <c r="A772" s="181">
        <f ca="1">IFERROR(__xludf.DUMMYFUNCTION("IFS(B772="""","""",ISDATE(B772)=TRUE,B772,ISDATE(B772)=FALSE,TO_DATE(DATEVALUE(regexextract(B772,""\d+/\d+/\d+""))))"),44791)</f>
        <v>44791</v>
      </c>
      <c r="B772" s="182" t="s">
        <v>10182</v>
      </c>
      <c r="C772" s="183" t="s">
        <v>6598</v>
      </c>
      <c r="D772" s="183">
        <v>2.5</v>
      </c>
      <c r="E772" s="183" t="s">
        <v>6601</v>
      </c>
      <c r="F772" s="183" t="s">
        <v>4</v>
      </c>
      <c r="G772" s="183" t="s">
        <v>602</v>
      </c>
      <c r="H772" s="183" t="s">
        <v>6602</v>
      </c>
      <c r="I772" s="183">
        <v>2.5</v>
      </c>
      <c r="J772" s="183" t="s">
        <v>1045</v>
      </c>
      <c r="K772" s="183" t="s">
        <v>6603</v>
      </c>
      <c r="L772" s="183">
        <v>2.5</v>
      </c>
      <c r="M772" s="183"/>
      <c r="N772" s="187"/>
      <c r="O772" s="183" t="s">
        <v>452</v>
      </c>
      <c r="P772" s="183" t="s">
        <v>6604</v>
      </c>
      <c r="Q772" s="183"/>
      <c r="R772" s="183" t="s">
        <v>24</v>
      </c>
      <c r="S772" s="183"/>
      <c r="T772" s="184"/>
      <c r="U772" s="184"/>
      <c r="V772" s="184"/>
      <c r="W772" s="184"/>
      <c r="X772" s="179"/>
      <c r="Y772" s="179"/>
      <c r="Z772" s="179"/>
      <c r="AA772" s="179"/>
    </row>
    <row r="773" spans="1:27">
      <c r="A773" s="181">
        <f ca="1">IFERROR(__xludf.DUMMYFUNCTION("IFS(B773="""","""",ISDATE(B773)=TRUE,B773,ISDATE(B773)=FALSE,TO_DATE(DATEVALUE(regexextract(B773,""\d+/\d+/\d+""))))"),44796)</f>
        <v>44796</v>
      </c>
      <c r="B773" s="182" t="s">
        <v>529</v>
      </c>
      <c r="C773" s="183" t="s">
        <v>3011</v>
      </c>
      <c r="D773" s="184">
        <v>3.25</v>
      </c>
      <c r="E773" s="184" t="s">
        <v>3014</v>
      </c>
      <c r="F773" s="183" t="s">
        <v>5</v>
      </c>
      <c r="G773" s="183" t="s">
        <v>447</v>
      </c>
      <c r="H773" s="184" t="s">
        <v>11105</v>
      </c>
      <c r="I773" s="184">
        <v>3</v>
      </c>
      <c r="J773" s="183" t="s">
        <v>622</v>
      </c>
      <c r="K773" s="184" t="s">
        <v>3016</v>
      </c>
      <c r="L773" s="184">
        <v>3.5</v>
      </c>
      <c r="M773" s="183"/>
      <c r="N773" s="187"/>
      <c r="O773" s="183" t="s">
        <v>452</v>
      </c>
      <c r="P773" s="183" t="s">
        <v>452</v>
      </c>
      <c r="Q773" s="183"/>
      <c r="R773" s="184" t="s">
        <v>24</v>
      </c>
      <c r="S773" s="184"/>
      <c r="T773" s="184"/>
      <c r="U773" s="184"/>
      <c r="V773" s="184"/>
      <c r="W773" s="184"/>
      <c r="X773" s="179"/>
      <c r="Y773" s="179"/>
      <c r="Z773" s="179"/>
      <c r="AA773" s="179"/>
    </row>
    <row r="774" spans="1:27">
      <c r="A774" s="181">
        <f ca="1">IFERROR(__xludf.DUMMYFUNCTION("IFS(B774="""","""",ISDATE(B774)=TRUE,B774,ISDATE(B774)=FALSE,TO_DATE(DATEVALUE(regexextract(B774,""\d+/\d+/\d+""))))"),44791)</f>
        <v>44791</v>
      </c>
      <c r="B774" s="182" t="s">
        <v>10182</v>
      </c>
      <c r="C774" s="183" t="s">
        <v>2530</v>
      </c>
      <c r="D774" s="183">
        <v>3</v>
      </c>
      <c r="E774" s="183" t="s">
        <v>2533</v>
      </c>
      <c r="F774" s="183" t="s">
        <v>5</v>
      </c>
      <c r="G774" s="183" t="s">
        <v>447</v>
      </c>
      <c r="H774" s="183" t="s">
        <v>11106</v>
      </c>
      <c r="I774" s="183">
        <v>3</v>
      </c>
      <c r="J774" s="183" t="s">
        <v>449</v>
      </c>
      <c r="K774" s="183" t="s">
        <v>11107</v>
      </c>
      <c r="L774" s="183">
        <v>3</v>
      </c>
      <c r="M774" s="183"/>
      <c r="N774" s="183"/>
      <c r="O774" s="183" t="s">
        <v>454</v>
      </c>
      <c r="P774" s="183" t="s">
        <v>2536</v>
      </c>
      <c r="Q774" s="184" t="s">
        <v>2537</v>
      </c>
      <c r="R774" s="183" t="s">
        <v>24</v>
      </c>
      <c r="S774" s="184"/>
      <c r="T774" s="184"/>
      <c r="U774" s="184"/>
      <c r="V774" s="184"/>
      <c r="W774" s="184"/>
      <c r="X774" s="179"/>
      <c r="Y774" s="179"/>
      <c r="Z774" s="179"/>
      <c r="AA774" s="179"/>
    </row>
    <row r="775" spans="1:27">
      <c r="A775" s="181">
        <f ca="1">IFERROR(__xludf.DUMMYFUNCTION("IFS(B775="""","""",ISDATE(B775)=TRUE,B775,ISDATE(B775)=FALSE,TO_DATE(DATEVALUE(regexextract(B775,""\d+/\d+/\d+""))))"),44789)</f>
        <v>44789</v>
      </c>
      <c r="B775" s="182" t="s">
        <v>6450</v>
      </c>
      <c r="C775" s="183" t="s">
        <v>4969</v>
      </c>
      <c r="D775" s="184">
        <v>3.25</v>
      </c>
      <c r="E775" s="183" t="s">
        <v>4972</v>
      </c>
      <c r="F775" s="183" t="s">
        <v>4</v>
      </c>
      <c r="G775" s="183" t="s">
        <v>602</v>
      </c>
      <c r="H775" s="184" t="s">
        <v>4973</v>
      </c>
      <c r="I775" s="184">
        <v>3</v>
      </c>
      <c r="J775" s="183" t="s">
        <v>476</v>
      </c>
      <c r="K775" s="184" t="s">
        <v>11108</v>
      </c>
      <c r="L775" s="184">
        <v>3.5</v>
      </c>
      <c r="M775" s="183" t="s">
        <v>451</v>
      </c>
      <c r="N775" s="185">
        <v>3000000</v>
      </c>
      <c r="O775" s="183" t="s">
        <v>452</v>
      </c>
      <c r="P775" s="183" t="s">
        <v>4975</v>
      </c>
      <c r="Q775" s="183"/>
      <c r="R775" s="184" t="s">
        <v>24</v>
      </c>
      <c r="S775" s="184"/>
      <c r="T775" s="184"/>
      <c r="U775" s="184"/>
      <c r="V775" s="184"/>
      <c r="W775" s="184"/>
      <c r="X775" s="179"/>
      <c r="Y775" s="179"/>
      <c r="Z775" s="179"/>
      <c r="AA775" s="179"/>
    </row>
    <row r="776" spans="1:27">
      <c r="A776" s="181">
        <f ca="1">IFERROR(__xludf.DUMMYFUNCTION("IFS(B776="""","""",ISDATE(B776)=TRUE,B776,ISDATE(B776)=FALSE,TO_DATE(DATEVALUE(regexextract(B776,""\d+/\d+/\d+""))))"),44789)</f>
        <v>44789</v>
      </c>
      <c r="B776" s="182" t="s">
        <v>6450</v>
      </c>
      <c r="C776" s="183" t="s">
        <v>7659</v>
      </c>
      <c r="D776" s="183">
        <v>1.75</v>
      </c>
      <c r="E776" s="183" t="s">
        <v>7662</v>
      </c>
      <c r="F776" s="183" t="s">
        <v>4</v>
      </c>
      <c r="G776" s="183" t="s">
        <v>602</v>
      </c>
      <c r="H776" s="183" t="s">
        <v>7663</v>
      </c>
      <c r="I776" s="183">
        <v>2</v>
      </c>
      <c r="J776" s="183" t="s">
        <v>476</v>
      </c>
      <c r="K776" s="183" t="s">
        <v>11109</v>
      </c>
      <c r="L776" s="183">
        <v>1.5</v>
      </c>
      <c r="M776" s="184" t="s">
        <v>451</v>
      </c>
      <c r="N776" s="186">
        <v>500000</v>
      </c>
      <c r="O776" s="183" t="s">
        <v>452</v>
      </c>
      <c r="P776" s="183" t="s">
        <v>452</v>
      </c>
      <c r="Q776" s="184"/>
      <c r="R776" s="183" t="s">
        <v>24</v>
      </c>
      <c r="S776" s="183"/>
      <c r="T776" s="184"/>
      <c r="U776" s="184"/>
      <c r="V776" s="184"/>
      <c r="W776" s="184"/>
      <c r="X776" s="179"/>
      <c r="Y776" s="179"/>
      <c r="Z776" s="179"/>
      <c r="AA776" s="179"/>
    </row>
    <row r="777" spans="1:27">
      <c r="A777" s="181">
        <f ca="1">IFERROR(__xludf.DUMMYFUNCTION("IFS(B777="""","""",ISDATE(B777)=TRUE,B777,ISDATE(B777)=FALSE,TO_DATE(DATEVALUE(regexextract(B777,""\d+/\d+/\d+""))))"),44789)</f>
        <v>44789</v>
      </c>
      <c r="B777" s="182" t="s">
        <v>6450</v>
      </c>
      <c r="C777" s="183" t="s">
        <v>8807</v>
      </c>
      <c r="D777" s="183">
        <v>3</v>
      </c>
      <c r="E777" s="183" t="s">
        <v>8810</v>
      </c>
      <c r="F777" s="183" t="s">
        <v>3</v>
      </c>
      <c r="G777" s="183" t="s">
        <v>460</v>
      </c>
      <c r="H777" s="183" t="s">
        <v>8811</v>
      </c>
      <c r="I777" s="183">
        <v>3</v>
      </c>
      <c r="J777" s="183" t="s">
        <v>462</v>
      </c>
      <c r="K777" s="183" t="s">
        <v>8812</v>
      </c>
      <c r="L777" s="183">
        <v>3</v>
      </c>
      <c r="M777" s="183"/>
      <c r="N777" s="187"/>
      <c r="O777" s="183" t="s">
        <v>452</v>
      </c>
      <c r="P777" s="183" t="s">
        <v>452</v>
      </c>
      <c r="Q777" s="184"/>
      <c r="R777" s="183" t="s">
        <v>24</v>
      </c>
      <c r="S777" s="184"/>
      <c r="T777" s="184"/>
      <c r="U777" s="184"/>
      <c r="V777" s="184"/>
      <c r="W777" s="184"/>
      <c r="X777" s="179"/>
      <c r="Y777" s="179"/>
      <c r="Z777" s="179"/>
      <c r="AA777" s="179"/>
    </row>
    <row r="778" spans="1:27">
      <c r="A778" s="181">
        <f ca="1">IFERROR(__xludf.DUMMYFUNCTION("IFS(B778="""","""",ISDATE(B778)=TRUE,B778,ISDATE(B778)=FALSE,TO_DATE(DATEVALUE(regexextract(B778,""\d+/\d+/\d+""))))"),44797)</f>
        <v>44797</v>
      </c>
      <c r="B778" s="182" t="s">
        <v>907</v>
      </c>
      <c r="C778" s="183" t="s">
        <v>4421</v>
      </c>
      <c r="D778" s="184">
        <v>3.75</v>
      </c>
      <c r="E778" s="183" t="s">
        <v>4424</v>
      </c>
      <c r="F778" s="183" t="s">
        <v>4</v>
      </c>
      <c r="G778" s="183" t="s">
        <v>602</v>
      </c>
      <c r="H778" s="183" t="s">
        <v>4425</v>
      </c>
      <c r="I778" s="183">
        <v>4</v>
      </c>
      <c r="J778" s="183" t="s">
        <v>543</v>
      </c>
      <c r="K778" s="184" t="s">
        <v>11110</v>
      </c>
      <c r="L778" s="184">
        <v>3.5</v>
      </c>
      <c r="M778" s="184" t="s">
        <v>784</v>
      </c>
      <c r="N778" s="184">
        <v>2000000</v>
      </c>
      <c r="O778" s="183" t="s">
        <v>452</v>
      </c>
      <c r="P778" s="183" t="s">
        <v>4427</v>
      </c>
      <c r="Q778" s="184"/>
      <c r="R778" s="184" t="s">
        <v>24</v>
      </c>
      <c r="S778" s="184" t="s">
        <v>4428</v>
      </c>
      <c r="T778" s="184"/>
      <c r="U778" s="184"/>
      <c r="V778" s="184"/>
      <c r="W778" s="184"/>
      <c r="X778" s="179"/>
      <c r="Y778" s="179"/>
      <c r="Z778" s="179"/>
      <c r="AA778" s="179"/>
    </row>
    <row r="779" spans="1:27">
      <c r="A779" s="181">
        <f ca="1">IFERROR(__xludf.DUMMYFUNCTION("IFS(B779="""","""",ISDATE(B779)=TRUE,B779,ISDATE(B779)=FALSE,TO_DATE(DATEVALUE(regexextract(B779,""\d+/\d+/\d+""))))"),44796)</f>
        <v>44796</v>
      </c>
      <c r="B779" s="182" t="s">
        <v>529</v>
      </c>
      <c r="C779" s="183" t="s">
        <v>7970</v>
      </c>
      <c r="D779" s="183">
        <v>1.5</v>
      </c>
      <c r="E779" s="183" t="s">
        <v>11111</v>
      </c>
      <c r="F779" s="183" t="s">
        <v>4</v>
      </c>
      <c r="G779" s="183" t="s">
        <v>447</v>
      </c>
      <c r="H779" s="183" t="s">
        <v>11112</v>
      </c>
      <c r="I779" s="183">
        <v>1</v>
      </c>
      <c r="J779" s="183" t="s">
        <v>1371</v>
      </c>
      <c r="K779" s="183" t="s">
        <v>7975</v>
      </c>
      <c r="L779" s="183">
        <v>2</v>
      </c>
      <c r="M779" s="183"/>
      <c r="N779" s="187"/>
      <c r="O779" s="183" t="s">
        <v>454</v>
      </c>
      <c r="P779" s="183" t="s">
        <v>1028</v>
      </c>
      <c r="Q779" s="183"/>
      <c r="R779" s="183" t="s">
        <v>24</v>
      </c>
      <c r="S779" s="184"/>
      <c r="T779" s="184"/>
      <c r="U779" s="184"/>
      <c r="V779" s="184"/>
      <c r="W779" s="184"/>
      <c r="X779" s="179"/>
      <c r="Y779" s="179"/>
      <c r="Z779" s="179"/>
      <c r="AA779" s="179"/>
    </row>
    <row r="780" spans="1:27">
      <c r="A780" s="181">
        <f ca="1">IFERROR(__xludf.DUMMYFUNCTION("IFS(B780="""","""",ISDATE(B780)=TRUE,B780,ISDATE(B780)=FALSE,TO_DATE(DATEVALUE(regexextract(B780,""\d+/\d+/\d+""))))"),44797)</f>
        <v>44797</v>
      </c>
      <c r="B780" s="182" t="s">
        <v>907</v>
      </c>
      <c r="C780" s="183" t="s">
        <v>5692</v>
      </c>
      <c r="D780" s="183">
        <v>3</v>
      </c>
      <c r="E780" s="183" t="s">
        <v>5695</v>
      </c>
      <c r="F780" s="183" t="s">
        <v>4</v>
      </c>
      <c r="G780" s="183" t="s">
        <v>447</v>
      </c>
      <c r="H780" s="183" t="s">
        <v>11113</v>
      </c>
      <c r="I780" s="183">
        <v>3.5</v>
      </c>
      <c r="J780" s="183" t="s">
        <v>622</v>
      </c>
      <c r="K780" s="183" t="s">
        <v>11114</v>
      </c>
      <c r="L780" s="183">
        <v>2.5</v>
      </c>
      <c r="M780" s="183"/>
      <c r="N780" s="187"/>
      <c r="O780" s="183" t="s">
        <v>452</v>
      </c>
      <c r="P780" s="183" t="s">
        <v>11115</v>
      </c>
      <c r="Q780" s="184"/>
      <c r="R780" s="183" t="s">
        <v>24</v>
      </c>
      <c r="S780" s="184"/>
      <c r="T780" s="184"/>
      <c r="U780" s="184"/>
      <c r="V780" s="184"/>
      <c r="W780" s="184"/>
      <c r="X780" s="179"/>
      <c r="Y780" s="179"/>
      <c r="Z780" s="179"/>
      <c r="AA780" s="179"/>
    </row>
    <row r="781" spans="1:27">
      <c r="A781" s="181">
        <f ca="1">IFERROR(__xludf.DUMMYFUNCTION("IFS(B781="""","""",ISDATE(B781)=TRUE,B781,ISDATE(B781)=FALSE,TO_DATE(DATEVALUE(regexextract(B781,""\d+/\d+/\d+""))))"),44797)</f>
        <v>44797</v>
      </c>
      <c r="B781" s="182" t="s">
        <v>907</v>
      </c>
      <c r="C781" s="183" t="s">
        <v>4856</v>
      </c>
      <c r="D781" s="183">
        <v>3.5</v>
      </c>
      <c r="E781" s="183" t="s">
        <v>4859</v>
      </c>
      <c r="F781" s="183" t="s">
        <v>4</v>
      </c>
      <c r="G781" s="183" t="s">
        <v>1045</v>
      </c>
      <c r="H781" s="183" t="s">
        <v>4860</v>
      </c>
      <c r="I781" s="183">
        <v>3</v>
      </c>
      <c r="J781" s="183" t="s">
        <v>1457</v>
      </c>
      <c r="K781" s="183" t="s">
        <v>4861</v>
      </c>
      <c r="L781" s="183">
        <v>4</v>
      </c>
      <c r="M781" s="183"/>
      <c r="N781" s="185"/>
      <c r="O781" s="183" t="s">
        <v>465</v>
      </c>
      <c r="P781" s="183" t="s">
        <v>4862</v>
      </c>
      <c r="Q781" s="184"/>
      <c r="R781" s="183" t="s">
        <v>24</v>
      </c>
      <c r="S781" s="184"/>
      <c r="T781" s="184"/>
      <c r="U781" s="184"/>
      <c r="V781" s="184"/>
      <c r="W781" s="184"/>
      <c r="X781" s="179"/>
      <c r="Y781" s="179"/>
      <c r="Z781" s="179"/>
      <c r="AA781" s="179"/>
    </row>
    <row r="782" spans="1:27">
      <c r="A782" s="181">
        <f ca="1">IFERROR(__xludf.DUMMYFUNCTION("IFS(B782="""","""",ISDATE(B782)=TRUE,B782,ISDATE(B782)=FALSE,TO_DATE(DATEVALUE(regexextract(B782,""\d+/\d+/\d+""))))"),44796)</f>
        <v>44796</v>
      </c>
      <c r="B782" s="182" t="s">
        <v>529</v>
      </c>
      <c r="C782" s="183" t="s">
        <v>117</v>
      </c>
      <c r="D782" s="183">
        <v>3.25</v>
      </c>
      <c r="E782" s="183" t="s">
        <v>838</v>
      </c>
      <c r="F782" s="183" t="s">
        <v>5</v>
      </c>
      <c r="G782" s="183" t="s">
        <v>447</v>
      </c>
      <c r="H782" s="183" t="s">
        <v>11116</v>
      </c>
      <c r="I782" s="183">
        <v>3</v>
      </c>
      <c r="J782" s="183" t="s">
        <v>449</v>
      </c>
      <c r="K782" s="183" t="s">
        <v>11117</v>
      </c>
      <c r="L782" s="183">
        <v>3.5</v>
      </c>
      <c r="M782" s="183"/>
      <c r="N782" s="187"/>
      <c r="O782" s="183" t="s">
        <v>452</v>
      </c>
      <c r="P782" s="183" t="s">
        <v>452</v>
      </c>
      <c r="Q782" s="184" t="s">
        <v>725</v>
      </c>
      <c r="R782" s="183" t="s">
        <v>24</v>
      </c>
      <c r="S782" s="183" t="s">
        <v>841</v>
      </c>
      <c r="T782" s="184"/>
      <c r="U782" s="184"/>
      <c r="V782" s="184"/>
      <c r="W782" s="184"/>
      <c r="X782" s="179"/>
      <c r="Y782" s="179"/>
      <c r="Z782" s="179"/>
      <c r="AA782" s="179"/>
    </row>
    <row r="783" spans="1:27">
      <c r="A783" s="181">
        <f ca="1">IFERROR(__xludf.DUMMYFUNCTION("IFS(B783="""","""",ISDATE(B783)=TRUE,B783,ISDATE(B783)=FALSE,TO_DATE(DATEVALUE(regexextract(B783,""\d+/\d+/\d+""))))"),44791)</f>
        <v>44791</v>
      </c>
      <c r="B783" s="182" t="s">
        <v>598</v>
      </c>
      <c r="C783" s="183" t="s">
        <v>7978</v>
      </c>
      <c r="D783" s="184">
        <v>1.5</v>
      </c>
      <c r="E783" s="183" t="s">
        <v>7981</v>
      </c>
      <c r="F783" s="183" t="s">
        <v>4</v>
      </c>
      <c r="G783" s="183" t="s">
        <v>725</v>
      </c>
      <c r="H783" s="184" t="s">
        <v>11118</v>
      </c>
      <c r="I783" s="184">
        <v>2</v>
      </c>
      <c r="J783" s="183" t="s">
        <v>476</v>
      </c>
      <c r="K783" s="184" t="s">
        <v>7983</v>
      </c>
      <c r="L783" s="184">
        <v>1</v>
      </c>
      <c r="M783" s="183" t="s">
        <v>451</v>
      </c>
      <c r="N783" s="183" t="s">
        <v>7984</v>
      </c>
      <c r="O783" s="183" t="s">
        <v>452</v>
      </c>
      <c r="P783" s="183" t="s">
        <v>7985</v>
      </c>
      <c r="Q783" s="184"/>
      <c r="R783" s="184" t="s">
        <v>24</v>
      </c>
      <c r="S783" s="184"/>
      <c r="T783" s="184"/>
      <c r="U783" s="184"/>
      <c r="V783" s="184"/>
      <c r="W783" s="184"/>
      <c r="X783" s="179"/>
      <c r="Y783" s="179"/>
      <c r="Z783" s="179"/>
      <c r="AA783" s="179"/>
    </row>
    <row r="784" spans="1:27">
      <c r="A784" s="181">
        <f ca="1">IFERROR(__xludf.DUMMYFUNCTION("IFS(B784="""","""",ISDATE(B784)=TRUE,B784,ISDATE(B784)=FALSE,TO_DATE(DATEVALUE(regexextract(B784,""\d+/\d+/\d+""))))"),44796)</f>
        <v>44796</v>
      </c>
      <c r="B784" s="182" t="s">
        <v>529</v>
      </c>
      <c r="C784" s="183" t="s">
        <v>2724</v>
      </c>
      <c r="D784" s="184">
        <v>3</v>
      </c>
      <c r="E784" s="184" t="s">
        <v>2727</v>
      </c>
      <c r="F784" s="183" t="s">
        <v>5</v>
      </c>
      <c r="G784" s="183" t="s">
        <v>447</v>
      </c>
      <c r="H784" s="184" t="s">
        <v>11119</v>
      </c>
      <c r="I784" s="184">
        <v>3</v>
      </c>
      <c r="J784" s="183" t="s">
        <v>622</v>
      </c>
      <c r="K784" s="184" t="s">
        <v>11120</v>
      </c>
      <c r="L784" s="184">
        <v>3</v>
      </c>
      <c r="M784" s="183" t="s">
        <v>451</v>
      </c>
      <c r="N784" s="187">
        <v>3000000</v>
      </c>
      <c r="O784" s="183" t="s">
        <v>452</v>
      </c>
      <c r="P784" s="183" t="s">
        <v>11121</v>
      </c>
      <c r="Q784" s="184"/>
      <c r="R784" s="184" t="s">
        <v>24</v>
      </c>
      <c r="S784" s="184"/>
      <c r="T784" s="184"/>
      <c r="U784" s="184"/>
      <c r="V784" s="184"/>
      <c r="W784" s="184"/>
      <c r="X784" s="179"/>
      <c r="Y784" s="179"/>
      <c r="Z784" s="179"/>
      <c r="AA784" s="179"/>
    </row>
    <row r="785" spans="1:27">
      <c r="A785" s="181">
        <f ca="1">IFERROR(__xludf.DUMMYFUNCTION("IFS(B785="""","""",ISDATE(B785)=TRUE,B785,ISDATE(B785)=FALSE,TO_DATE(DATEVALUE(regexextract(B785,""\d+/\d+/\d+""))))"),44796)</f>
        <v>44796</v>
      </c>
      <c r="B785" s="182" t="s">
        <v>529</v>
      </c>
      <c r="C785" s="183" t="s">
        <v>5883</v>
      </c>
      <c r="D785" s="184">
        <v>2.75</v>
      </c>
      <c r="E785" s="183" t="s">
        <v>5886</v>
      </c>
      <c r="F785" s="183" t="s">
        <v>4</v>
      </c>
      <c r="G785" s="183" t="s">
        <v>725</v>
      </c>
      <c r="H785" s="184" t="s">
        <v>11122</v>
      </c>
      <c r="I785" s="184">
        <v>3</v>
      </c>
      <c r="J785" s="183" t="s">
        <v>1045</v>
      </c>
      <c r="K785" s="183" t="s">
        <v>5888</v>
      </c>
      <c r="L785" s="183">
        <v>2.5</v>
      </c>
      <c r="M785" s="184" t="s">
        <v>451</v>
      </c>
      <c r="N785" s="188" t="s">
        <v>5889</v>
      </c>
      <c r="O785" s="183" t="s">
        <v>452</v>
      </c>
      <c r="P785" s="183" t="s">
        <v>5890</v>
      </c>
      <c r="Q785" s="183" t="s">
        <v>5891</v>
      </c>
      <c r="R785" s="184" t="s">
        <v>24</v>
      </c>
      <c r="S785" s="184"/>
      <c r="T785" s="184"/>
      <c r="U785" s="184"/>
      <c r="V785" s="184"/>
      <c r="W785" s="184"/>
      <c r="X785" s="179"/>
      <c r="Y785" s="179"/>
      <c r="Z785" s="179"/>
      <c r="AA785" s="179"/>
    </row>
    <row r="786" spans="1:27">
      <c r="A786" s="181">
        <f ca="1">IFERROR(__xludf.DUMMYFUNCTION("IFS(B786="""","""",ISDATE(B786)=TRUE,B786,ISDATE(B786)=FALSE,TO_DATE(DATEVALUE(regexextract(B786,""\d+/\d+/\d+""))))"),44796)</f>
        <v>44796</v>
      </c>
      <c r="B786" s="182" t="s">
        <v>529</v>
      </c>
      <c r="C786" s="183" t="s">
        <v>4438</v>
      </c>
      <c r="D786" s="183">
        <v>3.75</v>
      </c>
      <c r="E786" s="183" t="s">
        <v>11123</v>
      </c>
      <c r="F786" s="183" t="s">
        <v>4</v>
      </c>
      <c r="G786" s="183" t="s">
        <v>725</v>
      </c>
      <c r="H786" s="183" t="s">
        <v>11124</v>
      </c>
      <c r="I786" s="183">
        <v>4</v>
      </c>
      <c r="J786" s="183" t="s">
        <v>1045</v>
      </c>
      <c r="K786" s="183" t="s">
        <v>4443</v>
      </c>
      <c r="L786" s="183">
        <v>3.5</v>
      </c>
      <c r="M786" s="183" t="s">
        <v>451</v>
      </c>
      <c r="N786" s="187" t="s">
        <v>4444</v>
      </c>
      <c r="O786" s="183" t="s">
        <v>452</v>
      </c>
      <c r="P786" s="183" t="s">
        <v>4445</v>
      </c>
      <c r="Q786" s="184"/>
      <c r="R786" s="183" t="s">
        <v>24</v>
      </c>
      <c r="S786" s="184"/>
      <c r="T786" s="184"/>
      <c r="U786" s="184"/>
      <c r="V786" s="184"/>
      <c r="W786" s="184"/>
      <c r="X786" s="179"/>
      <c r="Y786" s="179"/>
      <c r="Z786" s="179"/>
      <c r="AA786" s="179"/>
    </row>
    <row r="787" spans="1:27">
      <c r="A787" s="181">
        <f ca="1">IFERROR(__xludf.DUMMYFUNCTION("IFS(B787="""","""",ISDATE(B787)=TRUE,B787,ISDATE(B787)=FALSE,TO_DATE(DATEVALUE(regexextract(B787,""\d+/\d+/\d+""))))"),44796)</f>
        <v>44796</v>
      </c>
      <c r="B787" s="182" t="s">
        <v>529</v>
      </c>
      <c r="C787" s="183" t="s">
        <v>5427</v>
      </c>
      <c r="D787" s="183">
        <v>3</v>
      </c>
      <c r="E787" s="183" t="s">
        <v>5430</v>
      </c>
      <c r="F787" s="183" t="s">
        <v>4</v>
      </c>
      <c r="G787" s="183" t="s">
        <v>725</v>
      </c>
      <c r="H787" s="183" t="s">
        <v>11125</v>
      </c>
      <c r="I787" s="183">
        <v>4</v>
      </c>
      <c r="J787" s="183" t="s">
        <v>1045</v>
      </c>
      <c r="K787" s="183" t="s">
        <v>5432</v>
      </c>
      <c r="L787" s="183">
        <v>2</v>
      </c>
      <c r="M787" s="183" t="s">
        <v>451</v>
      </c>
      <c r="N787" s="185">
        <v>2500000</v>
      </c>
      <c r="O787" s="183" t="s">
        <v>465</v>
      </c>
      <c r="P787" s="183" t="s">
        <v>11126</v>
      </c>
      <c r="Q787" s="184"/>
      <c r="R787" s="183" t="s">
        <v>24</v>
      </c>
      <c r="S787" s="184"/>
      <c r="T787" s="184"/>
      <c r="U787" s="184"/>
      <c r="V787" s="184"/>
      <c r="W787" s="184"/>
      <c r="X787" s="179"/>
      <c r="Y787" s="179"/>
      <c r="Z787" s="179"/>
      <c r="AA787" s="179"/>
    </row>
    <row r="788" spans="1:27">
      <c r="A788" s="181">
        <f ca="1">IFERROR(__xludf.DUMMYFUNCTION("IFS(B788="""","""",ISDATE(B788)=TRUE,B788,ISDATE(B788)=FALSE,TO_DATE(DATEVALUE(regexextract(B788,""\d+/\d+/\d+""))))"),44796)</f>
        <v>44796</v>
      </c>
      <c r="B788" s="182" t="s">
        <v>529</v>
      </c>
      <c r="C788" s="183" t="s">
        <v>4181</v>
      </c>
      <c r="D788" s="183">
        <v>3.75</v>
      </c>
      <c r="E788" s="183" t="s">
        <v>4184</v>
      </c>
      <c r="F788" s="183" t="s">
        <v>4</v>
      </c>
      <c r="G788" s="183" t="s">
        <v>725</v>
      </c>
      <c r="H788" s="183" t="s">
        <v>11127</v>
      </c>
      <c r="I788" s="183">
        <v>4</v>
      </c>
      <c r="J788" s="183" t="s">
        <v>1045</v>
      </c>
      <c r="K788" s="183" t="s">
        <v>4186</v>
      </c>
      <c r="L788" s="183">
        <v>3.5</v>
      </c>
      <c r="M788" s="183" t="s">
        <v>451</v>
      </c>
      <c r="N788" s="187">
        <v>1600000</v>
      </c>
      <c r="O788" s="183" t="s">
        <v>452</v>
      </c>
      <c r="P788" s="183" t="s">
        <v>1119</v>
      </c>
      <c r="Q788" s="184"/>
      <c r="R788" s="183" t="s">
        <v>24</v>
      </c>
      <c r="S788" s="183"/>
      <c r="T788" s="184"/>
      <c r="U788" s="184"/>
      <c r="V788" s="184"/>
      <c r="W788" s="184"/>
      <c r="X788" s="179"/>
      <c r="Y788" s="179"/>
      <c r="Z788" s="179"/>
      <c r="AA788" s="179"/>
    </row>
    <row r="789" spans="1:27">
      <c r="A789" s="181">
        <f ca="1">IFERROR(__xludf.DUMMYFUNCTION("IFS(B789="""","""",ISDATE(B789)=TRUE,B789,ISDATE(B789)=FALSE,TO_DATE(DATEVALUE(regexextract(B789,""\d+/\d+/\d+""))))"),44796)</f>
        <v>44796</v>
      </c>
      <c r="B789" s="182" t="s">
        <v>529</v>
      </c>
      <c r="C789" s="183" t="s">
        <v>6940</v>
      </c>
      <c r="D789" s="183">
        <v>2</v>
      </c>
      <c r="E789" s="183" t="s">
        <v>6943</v>
      </c>
      <c r="F789" s="183" t="s">
        <v>4</v>
      </c>
      <c r="G789" s="183" t="s">
        <v>725</v>
      </c>
      <c r="H789" s="183" t="s">
        <v>11128</v>
      </c>
      <c r="I789" s="183">
        <v>2</v>
      </c>
      <c r="J789" s="183" t="s">
        <v>1045</v>
      </c>
      <c r="K789" s="183" t="s">
        <v>6945</v>
      </c>
      <c r="L789" s="183">
        <v>2</v>
      </c>
      <c r="M789" s="183"/>
      <c r="N789" s="185"/>
      <c r="O789" s="183" t="s">
        <v>454</v>
      </c>
      <c r="P789" s="183" t="s">
        <v>452</v>
      </c>
      <c r="Q789" s="184"/>
      <c r="R789" s="183" t="s">
        <v>24</v>
      </c>
      <c r="S789" s="183"/>
      <c r="T789" s="184"/>
      <c r="U789" s="184"/>
      <c r="V789" s="184"/>
      <c r="W789" s="184"/>
      <c r="X789" s="179"/>
      <c r="Y789" s="179"/>
      <c r="Z789" s="179"/>
      <c r="AA789" s="179"/>
    </row>
    <row r="790" spans="1:27">
      <c r="A790" s="181">
        <f ca="1">IFERROR(__xludf.DUMMYFUNCTION("IFS(B790="""","""",ISDATE(B790)=TRUE,B790,ISDATE(B790)=FALSE,TO_DATE(DATEVALUE(regexextract(B790,""\d+/\d+/\d+""))))"),44789)</f>
        <v>44789</v>
      </c>
      <c r="B790" s="182" t="s">
        <v>6450</v>
      </c>
      <c r="C790" s="183" t="s">
        <v>321</v>
      </c>
      <c r="D790" s="183">
        <v>4.63</v>
      </c>
      <c r="E790" s="183" t="s">
        <v>1776</v>
      </c>
      <c r="F790" s="183" t="s">
        <v>3</v>
      </c>
      <c r="G790" s="183" t="s">
        <v>488</v>
      </c>
      <c r="H790" s="183"/>
      <c r="I790" s="183">
        <v>4.5</v>
      </c>
      <c r="J790" s="183" t="s">
        <v>941</v>
      </c>
      <c r="K790" s="183"/>
      <c r="L790" s="183">
        <v>4.75</v>
      </c>
      <c r="M790" s="183" t="s">
        <v>451</v>
      </c>
      <c r="N790" s="187">
        <v>10000000</v>
      </c>
      <c r="O790" s="183" t="s">
        <v>452</v>
      </c>
      <c r="P790" s="183" t="s">
        <v>575</v>
      </c>
      <c r="Q790" s="184" t="s">
        <v>1777</v>
      </c>
      <c r="R790" s="183" t="s">
        <v>18</v>
      </c>
      <c r="S790" s="183" t="s">
        <v>1778</v>
      </c>
      <c r="T790" s="184"/>
      <c r="U790" s="184"/>
      <c r="V790" s="184"/>
      <c r="W790" s="184"/>
      <c r="X790" s="179"/>
      <c r="Y790" s="179"/>
      <c r="Z790" s="179"/>
      <c r="AA790" s="179"/>
    </row>
    <row r="791" spans="1:27">
      <c r="A791" s="181">
        <f ca="1">IFERROR(__xludf.DUMMYFUNCTION("IFS(B791="""","""",ISDATE(B791)=TRUE,B791,ISDATE(B791)=FALSE,TO_DATE(DATEVALUE(regexextract(B791,""\d+/\d+/\d+""))))"),44784)</f>
        <v>44784</v>
      </c>
      <c r="B791" s="189" t="s">
        <v>10173</v>
      </c>
      <c r="C791" s="183" t="s">
        <v>8919</v>
      </c>
      <c r="D791" s="183">
        <v>1</v>
      </c>
      <c r="E791" s="183" t="s">
        <v>8922</v>
      </c>
      <c r="F791" s="183" t="s">
        <v>3</v>
      </c>
      <c r="G791" s="183" t="s">
        <v>488</v>
      </c>
      <c r="H791" s="183" t="s">
        <v>8923</v>
      </c>
      <c r="I791" s="183">
        <v>1</v>
      </c>
      <c r="J791" s="183" t="s">
        <v>941</v>
      </c>
      <c r="K791" s="183" t="s">
        <v>8924</v>
      </c>
      <c r="L791" s="183">
        <v>1</v>
      </c>
      <c r="M791" s="183"/>
      <c r="N791" s="187"/>
      <c r="O791" s="183" t="s">
        <v>454</v>
      </c>
      <c r="P791" s="183" t="s">
        <v>575</v>
      </c>
      <c r="Q791" s="183"/>
      <c r="R791" s="183" t="s">
        <v>24</v>
      </c>
      <c r="S791" s="183"/>
      <c r="T791" s="184"/>
      <c r="U791" s="184"/>
      <c r="V791" s="184"/>
      <c r="W791" s="184"/>
      <c r="X791" s="179"/>
      <c r="Y791" s="179"/>
      <c r="Z791" s="179"/>
      <c r="AA791" s="179"/>
    </row>
    <row r="792" spans="1:27">
      <c r="A792" s="181">
        <f ca="1">IFERROR(__xludf.DUMMYFUNCTION("IFS(B792="""","""",ISDATE(B792)=TRUE,B792,ISDATE(B792)=FALSE,TO_DATE(DATEVALUE(regexextract(B792,""\d+/\d+/\d+""))))"),44784)</f>
        <v>44784</v>
      </c>
      <c r="B792" s="182" t="s">
        <v>10173</v>
      </c>
      <c r="C792" s="183" t="s">
        <v>7988</v>
      </c>
      <c r="D792" s="184">
        <v>1.5</v>
      </c>
      <c r="E792" s="184" t="s">
        <v>7991</v>
      </c>
      <c r="F792" s="183" t="s">
        <v>4</v>
      </c>
      <c r="G792" s="183" t="s">
        <v>727</v>
      </c>
      <c r="H792" s="184" t="s">
        <v>11129</v>
      </c>
      <c r="I792" s="184">
        <v>2</v>
      </c>
      <c r="J792" s="183" t="s">
        <v>476</v>
      </c>
      <c r="K792" s="184" t="s">
        <v>11130</v>
      </c>
      <c r="L792" s="184">
        <v>1</v>
      </c>
      <c r="M792" s="184"/>
      <c r="N792" s="190"/>
      <c r="O792" s="183" t="s">
        <v>465</v>
      </c>
      <c r="P792" s="183" t="s">
        <v>7994</v>
      </c>
      <c r="Q792" s="184"/>
      <c r="R792" s="184" t="s">
        <v>24</v>
      </c>
      <c r="S792" s="184"/>
      <c r="T792" s="184"/>
      <c r="U792" s="184"/>
      <c r="V792" s="184"/>
      <c r="W792" s="184"/>
      <c r="X792" s="179"/>
      <c r="Y792" s="179"/>
      <c r="Z792" s="179"/>
      <c r="AA792" s="179"/>
    </row>
    <row r="793" spans="1:27">
      <c r="A793" s="181">
        <f ca="1">IFERROR(__xludf.DUMMYFUNCTION("IFS(B793="""","""",ISDATE(B793)=TRUE,B793,ISDATE(B793)=FALSE,TO_DATE(DATEVALUE(regexextract(B793,""\d+/\d+/\d+""))))"),44784)</f>
        <v>44784</v>
      </c>
      <c r="B793" s="182" t="s">
        <v>10173</v>
      </c>
      <c r="C793" s="183" t="s">
        <v>5765</v>
      </c>
      <c r="D793" s="183">
        <v>3</v>
      </c>
      <c r="E793" s="183" t="s">
        <v>5768</v>
      </c>
      <c r="F793" s="183" t="s">
        <v>4</v>
      </c>
      <c r="G793" s="183" t="s">
        <v>727</v>
      </c>
      <c r="H793" s="183" t="s">
        <v>5769</v>
      </c>
      <c r="I793" s="183">
        <v>3</v>
      </c>
      <c r="J793" s="183" t="s">
        <v>476</v>
      </c>
      <c r="K793" s="183" t="s">
        <v>11131</v>
      </c>
      <c r="L793" s="183">
        <v>3</v>
      </c>
      <c r="M793" s="183" t="s">
        <v>784</v>
      </c>
      <c r="N793" s="187">
        <v>300000</v>
      </c>
      <c r="O793" s="183" t="s">
        <v>452</v>
      </c>
      <c r="P793" s="183" t="s">
        <v>5771</v>
      </c>
      <c r="Q793" s="183"/>
      <c r="R793" s="183" t="s">
        <v>24</v>
      </c>
      <c r="S793" s="184"/>
      <c r="T793" s="184"/>
      <c r="U793" s="184"/>
      <c r="V793" s="184"/>
      <c r="W793" s="184"/>
      <c r="X793" s="179"/>
      <c r="Y793" s="179"/>
      <c r="Z793" s="179"/>
      <c r="AA793" s="179"/>
    </row>
    <row r="794" spans="1:27">
      <c r="A794" s="181">
        <f ca="1">IFERROR(__xludf.DUMMYFUNCTION("IFS(B794="""","""",ISDATE(B794)=TRUE,B794,ISDATE(B794)=FALSE,TO_DATE(DATEVALUE(regexextract(B794,""\d+/\d+/\d+""))))"),44796)</f>
        <v>44796</v>
      </c>
      <c r="B794" s="182" t="s">
        <v>529</v>
      </c>
      <c r="C794" s="183" t="s">
        <v>8065</v>
      </c>
      <c r="D794" s="183">
        <v>1.25</v>
      </c>
      <c r="E794" s="183" t="s">
        <v>8068</v>
      </c>
      <c r="F794" s="183" t="s">
        <v>4</v>
      </c>
      <c r="G794" s="183" t="s">
        <v>725</v>
      </c>
      <c r="H794" s="183"/>
      <c r="I794" s="183">
        <v>1</v>
      </c>
      <c r="J794" s="183" t="s">
        <v>1045</v>
      </c>
      <c r="K794" s="183" t="s">
        <v>8069</v>
      </c>
      <c r="L794" s="183">
        <v>1.5</v>
      </c>
      <c r="M794" s="183" t="s">
        <v>784</v>
      </c>
      <c r="N794" s="185">
        <v>100000</v>
      </c>
      <c r="O794" s="183" t="s">
        <v>465</v>
      </c>
      <c r="P794" s="183" t="s">
        <v>8070</v>
      </c>
      <c r="Q794" s="183"/>
      <c r="R794" s="183" t="s">
        <v>24</v>
      </c>
      <c r="S794" s="184"/>
      <c r="T794" s="184"/>
      <c r="U794" s="184"/>
      <c r="V794" s="184"/>
      <c r="W794" s="184"/>
      <c r="X794" s="179"/>
      <c r="Y794" s="179"/>
      <c r="Z794" s="179"/>
      <c r="AA794" s="179"/>
    </row>
    <row r="795" spans="1:27">
      <c r="A795" s="181">
        <f ca="1">IFERROR(__xludf.DUMMYFUNCTION("IFS(B795="""","""",ISDATE(B795)=TRUE,B795,ISDATE(B795)=FALSE,TO_DATE(DATEVALUE(regexextract(B795,""\d+/\d+/\d+""))))"),44796)</f>
        <v>44796</v>
      </c>
      <c r="B795" s="182" t="s">
        <v>529</v>
      </c>
      <c r="C795" s="183" t="s">
        <v>9666</v>
      </c>
      <c r="D795" s="184">
        <v>3.25</v>
      </c>
      <c r="E795" s="183" t="s">
        <v>9669</v>
      </c>
      <c r="F795" s="183" t="s">
        <v>3</v>
      </c>
      <c r="G795" s="183" t="s">
        <v>460</v>
      </c>
      <c r="H795" s="184" t="s">
        <v>9670</v>
      </c>
      <c r="I795" s="184">
        <v>3.5</v>
      </c>
      <c r="J795" s="183" t="s">
        <v>462</v>
      </c>
      <c r="K795" s="184" t="s">
        <v>9671</v>
      </c>
      <c r="L795" s="184">
        <v>3</v>
      </c>
      <c r="M795" s="183"/>
      <c r="N795" s="185"/>
      <c r="O795" s="183" t="s">
        <v>452</v>
      </c>
      <c r="P795" s="183" t="s">
        <v>9672</v>
      </c>
      <c r="Q795" s="183" t="s">
        <v>9673</v>
      </c>
      <c r="R795" s="184" t="s">
        <v>23</v>
      </c>
      <c r="S795" s="184"/>
      <c r="T795" s="184"/>
      <c r="U795" s="184"/>
      <c r="V795" s="184"/>
      <c r="W795" s="184"/>
      <c r="X795" s="179"/>
      <c r="Y795" s="179"/>
      <c r="Z795" s="179"/>
      <c r="AA795" s="179"/>
    </row>
    <row r="796" spans="1:27">
      <c r="A796" s="181">
        <f ca="1">IFERROR(__xludf.DUMMYFUNCTION("IFS(B796="""","""",ISDATE(B796)=TRUE,B796,ISDATE(B796)=FALSE,TO_DATE(DATEVALUE(regexextract(B796,""\d+/\d+/\d+""))))"),44796)</f>
        <v>44796</v>
      </c>
      <c r="B796" s="182" t="s">
        <v>529</v>
      </c>
      <c r="C796" s="183" t="s">
        <v>185</v>
      </c>
      <c r="D796" s="183">
        <v>3.75</v>
      </c>
      <c r="E796" s="183" t="s">
        <v>1176</v>
      </c>
      <c r="F796" s="183" t="s">
        <v>4</v>
      </c>
      <c r="G796" s="183" t="s">
        <v>725</v>
      </c>
      <c r="H796" s="184" t="s">
        <v>11132</v>
      </c>
      <c r="I796" s="183">
        <v>4</v>
      </c>
      <c r="J796" s="183" t="s">
        <v>1045</v>
      </c>
      <c r="K796" s="183" t="s">
        <v>1178</v>
      </c>
      <c r="L796" s="183">
        <v>3.5</v>
      </c>
      <c r="M796" s="184"/>
      <c r="N796" s="186"/>
      <c r="O796" s="183" t="s">
        <v>452</v>
      </c>
      <c r="P796" s="183" t="s">
        <v>11133</v>
      </c>
      <c r="Q796" s="183"/>
      <c r="R796" s="183" t="s">
        <v>18</v>
      </c>
      <c r="S796" s="184" t="s">
        <v>1180</v>
      </c>
      <c r="T796" s="184"/>
      <c r="U796" s="184"/>
      <c r="V796" s="184"/>
      <c r="W796" s="184"/>
      <c r="X796" s="179"/>
      <c r="Y796" s="179"/>
      <c r="Z796" s="179"/>
      <c r="AA796" s="179"/>
    </row>
    <row r="797" spans="1:27">
      <c r="A797" s="181">
        <f ca="1">IFERROR(__xludf.DUMMYFUNCTION("IFS(B797="""","""",ISDATE(B797)=TRUE,B797,ISDATE(B797)=FALSE,TO_DATE(DATEVALUE(regexextract(B797,""\d+/\d+/\d+""))))"),44796)</f>
        <v>44796</v>
      </c>
      <c r="B797" s="182" t="s">
        <v>529</v>
      </c>
      <c r="C797" s="183" t="s">
        <v>76</v>
      </c>
      <c r="D797" s="184">
        <v>3.5</v>
      </c>
      <c r="E797" s="183" t="s">
        <v>532</v>
      </c>
      <c r="F797" s="183" t="s">
        <v>5</v>
      </c>
      <c r="G797" s="183" t="s">
        <v>447</v>
      </c>
      <c r="H797" s="184" t="s">
        <v>11134</v>
      </c>
      <c r="I797" s="184">
        <v>3</v>
      </c>
      <c r="J797" s="183" t="s">
        <v>449</v>
      </c>
      <c r="K797" s="184" t="s">
        <v>11135</v>
      </c>
      <c r="L797" s="184">
        <v>4</v>
      </c>
      <c r="M797" s="183" t="s">
        <v>451</v>
      </c>
      <c r="N797" s="187">
        <v>6500000</v>
      </c>
      <c r="O797" s="183" t="s">
        <v>452</v>
      </c>
      <c r="P797" s="183" t="s">
        <v>535</v>
      </c>
      <c r="Q797" s="184"/>
      <c r="R797" s="184" t="s">
        <v>24</v>
      </c>
      <c r="S797" s="184" t="s">
        <v>536</v>
      </c>
      <c r="T797" s="184"/>
      <c r="U797" s="184"/>
      <c r="V797" s="184"/>
      <c r="W797" s="184"/>
      <c r="X797" s="179"/>
      <c r="Y797" s="179"/>
      <c r="Z797" s="179"/>
      <c r="AA797" s="179"/>
    </row>
    <row r="798" spans="1:27">
      <c r="A798" s="181">
        <f ca="1">IFERROR(__xludf.DUMMYFUNCTION("IFS(B798="""","""",ISDATE(B798)=TRUE,B798,ISDATE(B798)=FALSE,TO_DATE(DATEVALUE(regexextract(B798,""\d+/\d+/\d+""))))"),44784)</f>
        <v>44784</v>
      </c>
      <c r="B798" s="182" t="s">
        <v>10173</v>
      </c>
      <c r="C798" s="183" t="s">
        <v>8680</v>
      </c>
      <c r="D798" s="184">
        <v>2</v>
      </c>
      <c r="E798" s="183" t="s">
        <v>11136</v>
      </c>
      <c r="F798" s="183" t="s">
        <v>3</v>
      </c>
      <c r="G798" s="183" t="s">
        <v>488</v>
      </c>
      <c r="H798" s="184" t="s">
        <v>11137</v>
      </c>
      <c r="I798" s="184">
        <v>2</v>
      </c>
      <c r="J798" s="183" t="s">
        <v>941</v>
      </c>
      <c r="K798" s="183"/>
      <c r="L798" s="183">
        <v>2</v>
      </c>
      <c r="M798" s="184"/>
      <c r="N798" s="184"/>
      <c r="O798" s="183" t="s">
        <v>454</v>
      </c>
      <c r="P798" s="183" t="s">
        <v>8685</v>
      </c>
      <c r="Q798" s="184"/>
      <c r="R798" s="184" t="s">
        <v>24</v>
      </c>
      <c r="S798" s="184"/>
      <c r="T798" s="184"/>
      <c r="U798" s="184"/>
      <c r="V798" s="184"/>
      <c r="W798" s="184"/>
      <c r="X798" s="179"/>
      <c r="Y798" s="179"/>
      <c r="Z798" s="179"/>
      <c r="AA798" s="179"/>
    </row>
    <row r="799" spans="1:27">
      <c r="A799" s="181">
        <f ca="1">IFERROR(__xludf.DUMMYFUNCTION("IFS(B799="""","""",ISDATE(B799)=TRUE,B799,ISDATE(B799)=FALSE,TO_DATE(DATEVALUE(regexextract(B799,""\d+/\d+/\d+""))))"),44791)</f>
        <v>44791</v>
      </c>
      <c r="B799" s="182" t="s">
        <v>10182</v>
      </c>
      <c r="C799" s="183" t="s">
        <v>383</v>
      </c>
      <c r="D799" s="183">
        <v>3.25</v>
      </c>
      <c r="E799" s="183" t="s">
        <v>9911</v>
      </c>
      <c r="F799" s="183" t="s">
        <v>3</v>
      </c>
      <c r="G799" s="183" t="s">
        <v>488</v>
      </c>
      <c r="H799" s="183" t="s">
        <v>11138</v>
      </c>
      <c r="I799" s="183">
        <v>3.5</v>
      </c>
      <c r="J799" s="183" t="s">
        <v>941</v>
      </c>
      <c r="K799" s="183" t="s">
        <v>9913</v>
      </c>
      <c r="L799" s="183">
        <v>3</v>
      </c>
      <c r="M799" s="184"/>
      <c r="N799" s="188"/>
      <c r="O799" s="183" t="s">
        <v>465</v>
      </c>
      <c r="P799" s="183" t="s">
        <v>9914</v>
      </c>
      <c r="Q799" s="184"/>
      <c r="R799" s="183" t="s">
        <v>19</v>
      </c>
      <c r="S799" s="184"/>
      <c r="T799" s="184"/>
      <c r="U799" s="184"/>
      <c r="V799" s="184"/>
      <c r="W799" s="184"/>
      <c r="X799" s="179"/>
      <c r="Y799" s="179"/>
      <c r="Z799" s="179"/>
      <c r="AA799" s="179"/>
    </row>
    <row r="800" spans="1:27">
      <c r="A800" s="181">
        <f ca="1">IFERROR(__xludf.DUMMYFUNCTION("IFS(B800="""","""",ISDATE(B800)=TRUE,B800,ISDATE(B800)=FALSE,TO_DATE(DATEVALUE(regexextract(B800,""\d+/\d+/\d+""))))"),44796)</f>
        <v>44796</v>
      </c>
      <c r="B800" s="182" t="s">
        <v>529</v>
      </c>
      <c r="C800" s="183" t="s">
        <v>369</v>
      </c>
      <c r="D800" s="184">
        <v>4.75</v>
      </c>
      <c r="E800" s="183" t="s">
        <v>2074</v>
      </c>
      <c r="F800" s="183" t="s">
        <v>3</v>
      </c>
      <c r="G800" s="183" t="s">
        <v>488</v>
      </c>
      <c r="H800" s="184" t="s">
        <v>2075</v>
      </c>
      <c r="I800" s="184">
        <v>5</v>
      </c>
      <c r="J800" s="183" t="s">
        <v>462</v>
      </c>
      <c r="K800" s="184" t="s">
        <v>2076</v>
      </c>
      <c r="L800" s="184">
        <v>4.5</v>
      </c>
      <c r="M800" s="183" t="s">
        <v>478</v>
      </c>
      <c r="N800" s="185" t="s">
        <v>2077</v>
      </c>
      <c r="O800" s="183" t="s">
        <v>452</v>
      </c>
      <c r="P800" s="183" t="s">
        <v>2078</v>
      </c>
      <c r="Q800" s="184"/>
      <c r="R800" s="184" t="s">
        <v>18</v>
      </c>
      <c r="S800" s="184" t="s">
        <v>2079</v>
      </c>
      <c r="T800" s="184"/>
      <c r="U800" s="184"/>
      <c r="V800" s="184"/>
      <c r="W800" s="184"/>
      <c r="X800" s="179"/>
      <c r="Y800" s="179"/>
      <c r="Z800" s="179"/>
      <c r="AA800" s="179"/>
    </row>
    <row r="801" spans="1:27">
      <c r="A801" s="181">
        <f ca="1">IFERROR(__xludf.DUMMYFUNCTION("IFS(B801="""","""",ISDATE(B801)=TRUE,B801,ISDATE(B801)=FALSE,TO_DATE(DATEVALUE(regexextract(B801,""\d+/\d+/\d+""))))"),44796)</f>
        <v>44796</v>
      </c>
      <c r="B801" s="182" t="s">
        <v>529</v>
      </c>
      <c r="C801" s="183" t="s">
        <v>7025</v>
      </c>
      <c r="D801" s="184">
        <v>2</v>
      </c>
      <c r="E801" s="183" t="s">
        <v>7028</v>
      </c>
      <c r="F801" s="183" t="s">
        <v>4</v>
      </c>
      <c r="G801" s="183" t="s">
        <v>725</v>
      </c>
      <c r="H801" s="184" t="s">
        <v>11139</v>
      </c>
      <c r="I801" s="184">
        <v>2</v>
      </c>
      <c r="J801" s="183" t="s">
        <v>1045</v>
      </c>
      <c r="K801" s="183" t="s">
        <v>7030</v>
      </c>
      <c r="L801" s="183">
        <v>2</v>
      </c>
      <c r="M801" s="183"/>
      <c r="N801" s="187"/>
      <c r="O801" s="183" t="s">
        <v>454</v>
      </c>
      <c r="P801" s="183" t="s">
        <v>452</v>
      </c>
      <c r="Q801" s="184"/>
      <c r="R801" s="184" t="s">
        <v>24</v>
      </c>
      <c r="S801" s="184"/>
      <c r="T801" s="184"/>
      <c r="U801" s="184"/>
      <c r="V801" s="184"/>
      <c r="W801" s="184"/>
      <c r="X801" s="179"/>
      <c r="Y801" s="179"/>
      <c r="Z801" s="179"/>
      <c r="AA801" s="179"/>
    </row>
    <row r="802" spans="1:27">
      <c r="A802" s="181">
        <f ca="1">IFERROR(__xludf.DUMMYFUNCTION("IFS(B802="""","""",ISDATE(B802)=TRUE,B802,ISDATE(B802)=FALSE,TO_DATE(DATEVALUE(regexextract(B802,""\d+/\d+/\d+""))))"),44782)</f>
        <v>44782</v>
      </c>
      <c r="B802" s="182" t="s">
        <v>10188</v>
      </c>
      <c r="C802" s="183" t="s">
        <v>164</v>
      </c>
      <c r="D802" s="183">
        <v>2.5</v>
      </c>
      <c r="E802" s="183" t="s">
        <v>9491</v>
      </c>
      <c r="F802" s="183" t="s">
        <v>5</v>
      </c>
      <c r="G802" s="183" t="s">
        <v>447</v>
      </c>
      <c r="H802" s="183" t="s">
        <v>11140</v>
      </c>
      <c r="I802" s="183">
        <v>3</v>
      </c>
      <c r="J802" s="183" t="s">
        <v>449</v>
      </c>
      <c r="K802" s="183" t="s">
        <v>11141</v>
      </c>
      <c r="L802" s="183">
        <v>2</v>
      </c>
      <c r="M802" s="183"/>
      <c r="N802" s="185"/>
      <c r="O802" s="183" t="s">
        <v>452</v>
      </c>
      <c r="P802" s="183" t="s">
        <v>9494</v>
      </c>
      <c r="Q802" s="184"/>
      <c r="R802" s="183" t="s">
        <v>20</v>
      </c>
      <c r="S802" s="184" t="s">
        <v>9495</v>
      </c>
      <c r="T802" s="184"/>
      <c r="U802" s="184"/>
      <c r="V802" s="184"/>
      <c r="W802" s="184"/>
      <c r="X802" s="179"/>
      <c r="Y802" s="179"/>
      <c r="Z802" s="179"/>
      <c r="AA802" s="179"/>
    </row>
    <row r="803" spans="1:27">
      <c r="A803" s="181">
        <f ca="1">IFERROR(__xludf.DUMMYFUNCTION("IFS(B803="""","""",ISDATE(B803)=TRUE,B803,ISDATE(B803)=FALSE,TO_DATE(DATEVALUE(regexextract(B803,""\d+/\d+/\d+""))))"),44789)</f>
        <v>44789</v>
      </c>
      <c r="B803" s="182" t="s">
        <v>6450</v>
      </c>
      <c r="C803" s="183" t="s">
        <v>8474</v>
      </c>
      <c r="D803" s="183">
        <v>3.75</v>
      </c>
      <c r="E803" s="183" t="s">
        <v>8477</v>
      </c>
      <c r="F803" s="183" t="s">
        <v>3</v>
      </c>
      <c r="G803" s="183" t="s">
        <v>488</v>
      </c>
      <c r="H803" s="183" t="s">
        <v>8478</v>
      </c>
      <c r="I803" s="183">
        <v>3.5</v>
      </c>
      <c r="J803" s="183" t="s">
        <v>462</v>
      </c>
      <c r="K803" s="183" t="s">
        <v>8479</v>
      </c>
      <c r="L803" s="183">
        <v>4</v>
      </c>
      <c r="M803" s="183" t="s">
        <v>478</v>
      </c>
      <c r="N803" s="185" t="s">
        <v>8480</v>
      </c>
      <c r="O803" s="183" t="s">
        <v>452</v>
      </c>
      <c r="P803" s="183" t="s">
        <v>8481</v>
      </c>
      <c r="Q803" s="184"/>
      <c r="R803" s="183" t="s">
        <v>24</v>
      </c>
      <c r="S803" s="184" t="s">
        <v>8482</v>
      </c>
      <c r="T803" s="184"/>
      <c r="U803" s="184"/>
      <c r="V803" s="184"/>
      <c r="W803" s="184"/>
      <c r="X803" s="179"/>
      <c r="Y803" s="179"/>
      <c r="Z803" s="179"/>
      <c r="AA803" s="179"/>
    </row>
    <row r="804" spans="1:27">
      <c r="A804" s="181">
        <f ca="1">IFERROR(__xludf.DUMMYFUNCTION("IFS(B804="""","""",ISDATE(B804)=TRUE,B804,ISDATE(B804)=FALSE,TO_DATE(DATEVALUE(regexextract(B804,""\d+/\d+/\d+""))))"),44796)</f>
        <v>44796</v>
      </c>
      <c r="B804" s="182" t="s">
        <v>529</v>
      </c>
      <c r="C804" s="183" t="s">
        <v>6235</v>
      </c>
      <c r="D804" s="183">
        <v>2.5</v>
      </c>
      <c r="E804" s="183" t="s">
        <v>6238</v>
      </c>
      <c r="F804" s="183" t="s">
        <v>4</v>
      </c>
      <c r="G804" s="183" t="s">
        <v>725</v>
      </c>
      <c r="H804" s="183" t="s">
        <v>11142</v>
      </c>
      <c r="I804" s="183">
        <v>3</v>
      </c>
      <c r="J804" s="183" t="s">
        <v>476</v>
      </c>
      <c r="K804" s="183" t="s">
        <v>11143</v>
      </c>
      <c r="L804" s="183">
        <v>2</v>
      </c>
      <c r="M804" s="183" t="s">
        <v>451</v>
      </c>
      <c r="N804" s="187" t="s">
        <v>6241</v>
      </c>
      <c r="O804" s="183" t="s">
        <v>452</v>
      </c>
      <c r="P804" s="183" t="s">
        <v>6242</v>
      </c>
      <c r="Q804" s="184"/>
      <c r="R804" s="183" t="s">
        <v>24</v>
      </c>
      <c r="S804" s="184"/>
      <c r="T804" s="184"/>
      <c r="U804" s="184"/>
      <c r="V804" s="184"/>
      <c r="W804" s="184"/>
      <c r="X804" s="179"/>
      <c r="Y804" s="179"/>
      <c r="Z804" s="179"/>
      <c r="AA804" s="179"/>
    </row>
    <row r="805" spans="1:27">
      <c r="A805" s="181">
        <f ca="1">IFERROR(__xludf.DUMMYFUNCTION("IFS(B805="""","""",ISDATE(B805)=TRUE,B805,ISDATE(B805)=FALSE,TO_DATE(DATEVALUE(regexextract(B805,""\d+/\d+/\d+""))))"),44791)</f>
        <v>44791</v>
      </c>
      <c r="B805" s="182" t="s">
        <v>598</v>
      </c>
      <c r="C805" s="183" t="s">
        <v>2490</v>
      </c>
      <c r="D805" s="183">
        <v>3.75</v>
      </c>
      <c r="E805" s="183" t="s">
        <v>2493</v>
      </c>
      <c r="F805" s="183" t="s">
        <v>5</v>
      </c>
      <c r="G805" s="183" t="s">
        <v>460</v>
      </c>
      <c r="H805" s="183" t="s">
        <v>2494</v>
      </c>
      <c r="I805" s="183">
        <v>3</v>
      </c>
      <c r="J805" s="183" t="s">
        <v>462</v>
      </c>
      <c r="K805" s="183" t="s">
        <v>2495</v>
      </c>
      <c r="L805" s="183">
        <v>4.5</v>
      </c>
      <c r="M805" s="183" t="s">
        <v>478</v>
      </c>
      <c r="N805" s="192">
        <v>4000000</v>
      </c>
      <c r="O805" s="183" t="s">
        <v>452</v>
      </c>
      <c r="P805" s="183" t="s">
        <v>2496</v>
      </c>
      <c r="Q805" s="184"/>
      <c r="R805" s="183" t="s">
        <v>24</v>
      </c>
      <c r="S805" s="183" t="s">
        <v>2242</v>
      </c>
      <c r="T805" s="184"/>
      <c r="U805" s="184"/>
      <c r="V805" s="184"/>
      <c r="W805" s="184"/>
      <c r="X805" s="179"/>
      <c r="Y805" s="179"/>
      <c r="Z805" s="179"/>
      <c r="AA805" s="179"/>
    </row>
    <row r="806" spans="1:27">
      <c r="A806" s="181">
        <f ca="1">IFERROR(__xludf.DUMMYFUNCTION("IFS(B806="""","""",ISDATE(B806)=TRUE,B806,ISDATE(B806)=FALSE,TO_DATE(DATEVALUE(regexextract(B806,""\d+/\d+/\d+""))))"),44791)</f>
        <v>44791</v>
      </c>
      <c r="B806" s="182" t="s">
        <v>10182</v>
      </c>
      <c r="C806" s="183" t="s">
        <v>94</v>
      </c>
      <c r="D806" s="183">
        <v>4.5</v>
      </c>
      <c r="E806" s="183" t="s">
        <v>685</v>
      </c>
      <c r="F806" s="183" t="s">
        <v>5</v>
      </c>
      <c r="G806" s="183" t="s">
        <v>447</v>
      </c>
      <c r="H806" s="183" t="s">
        <v>11144</v>
      </c>
      <c r="I806" s="183">
        <v>5</v>
      </c>
      <c r="J806" s="183" t="s">
        <v>449</v>
      </c>
      <c r="K806" s="183" t="s">
        <v>11145</v>
      </c>
      <c r="L806" s="183">
        <v>4</v>
      </c>
      <c r="M806" s="184" t="s">
        <v>478</v>
      </c>
      <c r="N806" s="188">
        <v>12000000</v>
      </c>
      <c r="O806" s="183" t="s">
        <v>452</v>
      </c>
      <c r="P806" s="183" t="s">
        <v>688</v>
      </c>
      <c r="Q806" s="184" t="s">
        <v>689</v>
      </c>
      <c r="R806" s="183" t="s">
        <v>18</v>
      </c>
      <c r="S806" s="183" t="s">
        <v>690</v>
      </c>
      <c r="T806" s="184"/>
      <c r="U806" s="184"/>
      <c r="V806" s="184"/>
      <c r="W806" s="184"/>
      <c r="X806" s="179"/>
      <c r="Y806" s="179"/>
      <c r="Z806" s="179"/>
      <c r="AA806" s="179"/>
    </row>
    <row r="807" spans="1:27">
      <c r="A807" s="181">
        <f ca="1">IFERROR(__xludf.DUMMYFUNCTION("IFS(B807="""","""",ISDATE(B807)=TRUE,B807,ISDATE(B807)=FALSE,TO_DATE(DATEVALUE(regexextract(B807,""\d+/\d+/\d+""))))"),44796)</f>
        <v>44796</v>
      </c>
      <c r="B807" s="182" t="s">
        <v>529</v>
      </c>
      <c r="C807" s="183" t="s">
        <v>7339</v>
      </c>
      <c r="D807" s="183">
        <v>2</v>
      </c>
      <c r="E807" s="183" t="s">
        <v>7342</v>
      </c>
      <c r="F807" s="183" t="s">
        <v>4</v>
      </c>
      <c r="G807" s="183" t="s">
        <v>602</v>
      </c>
      <c r="H807" s="183" t="s">
        <v>7343</v>
      </c>
      <c r="I807" s="183">
        <v>2</v>
      </c>
      <c r="J807" s="183" t="s">
        <v>1281</v>
      </c>
      <c r="K807" s="183" t="s">
        <v>7344</v>
      </c>
      <c r="L807" s="183">
        <v>2</v>
      </c>
      <c r="M807" s="183" t="s">
        <v>451</v>
      </c>
      <c r="N807" s="187">
        <v>8000000</v>
      </c>
      <c r="O807" s="183" t="s">
        <v>465</v>
      </c>
      <c r="P807" s="183" t="s">
        <v>11146</v>
      </c>
      <c r="Q807" s="184"/>
      <c r="R807" s="183" t="s">
        <v>24</v>
      </c>
      <c r="S807" s="184"/>
      <c r="T807" s="184"/>
      <c r="U807" s="184"/>
      <c r="V807" s="184"/>
      <c r="W807" s="184"/>
      <c r="X807" s="179"/>
      <c r="Y807" s="179"/>
      <c r="Z807" s="179"/>
      <c r="AA807" s="179"/>
    </row>
    <row r="808" spans="1:27">
      <c r="A808" s="181">
        <f ca="1">IFERROR(__xludf.DUMMYFUNCTION("IFS(B808="""","""",ISDATE(B808)=TRUE,B808,ISDATE(B808)=FALSE,TO_DATE(DATEVALUE(regexextract(B808,""\d+/\d+/\d+""))))"),44796)</f>
        <v>44796</v>
      </c>
      <c r="B808" s="189" t="s">
        <v>529</v>
      </c>
      <c r="C808" s="183" t="s">
        <v>2557</v>
      </c>
      <c r="D808" s="183">
        <v>3.25</v>
      </c>
      <c r="E808" s="183" t="s">
        <v>2560</v>
      </c>
      <c r="F808" s="183" t="s">
        <v>5</v>
      </c>
      <c r="G808" s="183" t="s">
        <v>447</v>
      </c>
      <c r="H808" s="183" t="s">
        <v>11147</v>
      </c>
      <c r="I808" s="183">
        <v>3.5</v>
      </c>
      <c r="J808" s="183" t="s">
        <v>622</v>
      </c>
      <c r="K808" s="183" t="s">
        <v>2562</v>
      </c>
      <c r="L808" s="183">
        <v>3</v>
      </c>
      <c r="M808" s="184" t="s">
        <v>451</v>
      </c>
      <c r="N808" s="188">
        <v>3000000</v>
      </c>
      <c r="O808" s="183" t="s">
        <v>452</v>
      </c>
      <c r="P808" s="183" t="s">
        <v>2563</v>
      </c>
      <c r="Q808" s="184"/>
      <c r="R808" s="183" t="s">
        <v>24</v>
      </c>
      <c r="S808" s="184"/>
      <c r="T808" s="184"/>
      <c r="U808" s="184"/>
      <c r="V808" s="184"/>
      <c r="W808" s="184"/>
      <c r="X808" s="179"/>
      <c r="Y808" s="179"/>
      <c r="Z808" s="179"/>
      <c r="AA808" s="179"/>
    </row>
    <row r="809" spans="1:27">
      <c r="A809" s="181">
        <f ca="1">IFERROR(__xludf.DUMMYFUNCTION("IFS(B809="""","""",ISDATE(B809)=TRUE,B809,ISDATE(B809)=FALSE,TO_DATE(DATEVALUE(regexextract(B809,""\d+/\d+/\d+""))))"),44789)</f>
        <v>44789</v>
      </c>
      <c r="B809" s="182" t="s">
        <v>6450</v>
      </c>
      <c r="C809" s="183" t="s">
        <v>5336</v>
      </c>
      <c r="D809" s="183">
        <v>3</v>
      </c>
      <c r="E809" s="183" t="s">
        <v>5339</v>
      </c>
      <c r="F809" s="183" t="s">
        <v>4</v>
      </c>
      <c r="G809" s="183" t="s">
        <v>602</v>
      </c>
      <c r="H809" s="183" t="s">
        <v>5340</v>
      </c>
      <c r="I809" s="183">
        <v>3</v>
      </c>
      <c r="J809" s="183" t="s">
        <v>476</v>
      </c>
      <c r="K809" s="183" t="s">
        <v>11148</v>
      </c>
      <c r="L809" s="183">
        <v>3</v>
      </c>
      <c r="M809" s="183" t="s">
        <v>451</v>
      </c>
      <c r="N809" s="187">
        <v>2000000</v>
      </c>
      <c r="O809" s="183" t="s">
        <v>452</v>
      </c>
      <c r="P809" s="183" t="s">
        <v>5342</v>
      </c>
      <c r="Q809" s="184" t="s">
        <v>5343</v>
      </c>
      <c r="R809" s="183" t="s">
        <v>24</v>
      </c>
      <c r="S809" s="184"/>
      <c r="T809" s="184"/>
      <c r="U809" s="184"/>
      <c r="V809" s="184"/>
      <c r="W809" s="184"/>
      <c r="X809" s="179"/>
      <c r="Y809" s="179"/>
      <c r="Z809" s="179"/>
      <c r="AA809" s="179"/>
    </row>
    <row r="810" spans="1:27">
      <c r="A810" s="181">
        <f ca="1">IFERROR(__xludf.DUMMYFUNCTION("IFS(B810="""","""",ISDATE(B810)=TRUE,B810,ISDATE(B810)=FALSE,TO_DATE(DATEVALUE(regexextract(B810,""\d+/\d+/\d+""))))"),44791)</f>
        <v>44791</v>
      </c>
      <c r="B810" s="182" t="s">
        <v>10182</v>
      </c>
      <c r="C810" s="183" t="s">
        <v>9576</v>
      </c>
      <c r="D810" s="183">
        <v>2.25</v>
      </c>
      <c r="E810" s="183" t="s">
        <v>9579</v>
      </c>
      <c r="F810" s="183" t="s">
        <v>5</v>
      </c>
      <c r="G810" s="183" t="s">
        <v>447</v>
      </c>
      <c r="H810" s="183" t="s">
        <v>11149</v>
      </c>
      <c r="I810" s="183">
        <v>2</v>
      </c>
      <c r="J810" s="183" t="s">
        <v>543</v>
      </c>
      <c r="K810" s="183"/>
      <c r="L810" s="183">
        <v>2.5</v>
      </c>
      <c r="M810" s="183" t="s">
        <v>451</v>
      </c>
      <c r="N810" s="192">
        <v>3620880</v>
      </c>
      <c r="O810" s="183" t="s">
        <v>452</v>
      </c>
      <c r="P810" s="183" t="s">
        <v>9581</v>
      </c>
      <c r="Q810" s="184"/>
      <c r="R810" s="183" t="s">
        <v>23</v>
      </c>
      <c r="S810" s="184"/>
      <c r="T810" s="184"/>
      <c r="U810" s="184"/>
      <c r="V810" s="184"/>
      <c r="W810" s="184"/>
      <c r="X810" s="179"/>
      <c r="Y810" s="179"/>
      <c r="Z810" s="179"/>
      <c r="AA810" s="179"/>
    </row>
    <row r="811" spans="1:27">
      <c r="A811" s="181">
        <f ca="1">IFERROR(__xludf.DUMMYFUNCTION("IFS(B811="""","""",ISDATE(B811)=TRUE,B811,ISDATE(B811)=FALSE,TO_DATE(DATEVALUE(regexextract(B811,""\d+/\d+/\d+""))))"),44797)</f>
        <v>44797</v>
      </c>
      <c r="B811" s="182" t="s">
        <v>907</v>
      </c>
      <c r="C811" s="183" t="s">
        <v>270</v>
      </c>
      <c r="D811" s="183">
        <v>4</v>
      </c>
      <c r="E811" s="183" t="s">
        <v>11150</v>
      </c>
      <c r="F811" s="183" t="s">
        <v>4</v>
      </c>
      <c r="G811" s="183" t="s">
        <v>1045</v>
      </c>
      <c r="H811" s="183" t="s">
        <v>1568</v>
      </c>
      <c r="I811" s="183">
        <v>4</v>
      </c>
      <c r="J811" s="183" t="s">
        <v>543</v>
      </c>
      <c r="K811" s="183" t="s">
        <v>11151</v>
      </c>
      <c r="L811" s="183">
        <v>4</v>
      </c>
      <c r="M811" s="183" t="s">
        <v>923</v>
      </c>
      <c r="N811" s="187">
        <v>5000000</v>
      </c>
      <c r="O811" s="183" t="s">
        <v>452</v>
      </c>
      <c r="P811" s="183" t="s">
        <v>1570</v>
      </c>
      <c r="Q811" s="184"/>
      <c r="R811" s="183" t="s">
        <v>18</v>
      </c>
      <c r="S811" s="184"/>
      <c r="T811" s="184"/>
      <c r="U811" s="184"/>
      <c r="V811" s="184"/>
      <c r="W811" s="184"/>
      <c r="X811" s="179"/>
      <c r="Y811" s="179"/>
      <c r="Z811" s="179"/>
      <c r="AA811" s="179"/>
    </row>
    <row r="812" spans="1:27">
      <c r="A812" s="181">
        <f ca="1">IFERROR(__xludf.DUMMYFUNCTION("IFS(B812="""","""",ISDATE(B812)=TRUE,B812,ISDATE(B812)=FALSE,TO_DATE(DATEVALUE(regexextract(B812,""\d+/\d+/\d+""))))"),44791)</f>
        <v>44791</v>
      </c>
      <c r="B812" s="182" t="s">
        <v>10182</v>
      </c>
      <c r="C812" s="183" t="s">
        <v>109</v>
      </c>
      <c r="D812" s="183">
        <v>4</v>
      </c>
      <c r="E812" s="183" t="s">
        <v>799</v>
      </c>
      <c r="F812" s="183" t="s">
        <v>5</v>
      </c>
      <c r="G812" s="183" t="s">
        <v>447</v>
      </c>
      <c r="H812" s="183" t="s">
        <v>11152</v>
      </c>
      <c r="I812" s="183">
        <v>4</v>
      </c>
      <c r="J812" s="183" t="s">
        <v>449</v>
      </c>
      <c r="K812" s="183" t="s">
        <v>11153</v>
      </c>
      <c r="L812" s="183">
        <v>4</v>
      </c>
      <c r="M812" s="183" t="s">
        <v>478</v>
      </c>
      <c r="N812" s="187">
        <v>12000000</v>
      </c>
      <c r="O812" s="183" t="s">
        <v>452</v>
      </c>
      <c r="P812" s="183" t="s">
        <v>452</v>
      </c>
      <c r="Q812" s="184"/>
      <c r="R812" s="183" t="s">
        <v>18</v>
      </c>
      <c r="S812" s="183"/>
      <c r="T812" s="184"/>
      <c r="U812" s="184"/>
      <c r="V812" s="184"/>
      <c r="W812" s="184"/>
      <c r="X812" s="179"/>
      <c r="Y812" s="179"/>
      <c r="Z812" s="179"/>
      <c r="AA812" s="179"/>
    </row>
    <row r="813" spans="1:27">
      <c r="A813" s="181">
        <f ca="1">IFERROR(__xludf.DUMMYFUNCTION("IFS(B813="""","""",ISDATE(B813)=TRUE,B813,ISDATE(B813)=FALSE,TO_DATE(DATEVALUE(regexextract(B813,""\d+/\d+/\d+""))))"),44797)</f>
        <v>44797</v>
      </c>
      <c r="B813" s="182" t="s">
        <v>907</v>
      </c>
      <c r="C813" s="183" t="s">
        <v>4610</v>
      </c>
      <c r="D813" s="184">
        <v>3.5</v>
      </c>
      <c r="E813" s="183" t="s">
        <v>4613</v>
      </c>
      <c r="F813" s="183" t="s">
        <v>4</v>
      </c>
      <c r="G813" s="183" t="s">
        <v>1045</v>
      </c>
      <c r="H813" s="184" t="s">
        <v>4614</v>
      </c>
      <c r="I813" s="184">
        <v>3</v>
      </c>
      <c r="J813" s="183" t="s">
        <v>604</v>
      </c>
      <c r="K813" s="184" t="s">
        <v>11154</v>
      </c>
      <c r="L813" s="184">
        <v>4</v>
      </c>
      <c r="M813" s="184" t="s">
        <v>784</v>
      </c>
      <c r="N813" s="188">
        <v>750000</v>
      </c>
      <c r="O813" s="183" t="s">
        <v>454</v>
      </c>
      <c r="P813" s="183" t="s">
        <v>4616</v>
      </c>
      <c r="Q813" s="184"/>
      <c r="R813" s="184" t="s">
        <v>24</v>
      </c>
      <c r="S813" s="184"/>
      <c r="T813" s="184"/>
      <c r="U813" s="184"/>
      <c r="V813" s="184"/>
      <c r="W813" s="184"/>
      <c r="X813" s="179"/>
      <c r="Y813" s="179"/>
      <c r="Z813" s="179"/>
      <c r="AA813" s="179"/>
    </row>
    <row r="814" spans="1:27">
      <c r="A814" s="181">
        <f ca="1">IFERROR(__xludf.DUMMYFUNCTION("IFS(B814="""","""",ISDATE(B814)=TRUE,B814,ISDATE(B814)=FALSE,TO_DATE(DATEVALUE(regexextract(B814,""\d+/\d+/\d+""))))"),44796)</f>
        <v>44796</v>
      </c>
      <c r="B814" s="182" t="s">
        <v>529</v>
      </c>
      <c r="C814" s="183" t="s">
        <v>11155</v>
      </c>
      <c r="D814" s="183">
        <v>1.75</v>
      </c>
      <c r="E814" s="183" t="s">
        <v>7745</v>
      </c>
      <c r="F814" s="183" t="s">
        <v>4</v>
      </c>
      <c r="G814" s="183" t="s">
        <v>602</v>
      </c>
      <c r="H814" s="183" t="s">
        <v>7746</v>
      </c>
      <c r="I814" s="183">
        <v>2</v>
      </c>
      <c r="J814" s="183" t="s">
        <v>1045</v>
      </c>
      <c r="K814" s="184" t="s">
        <v>7747</v>
      </c>
      <c r="L814" s="183">
        <v>1.5</v>
      </c>
      <c r="M814" s="184"/>
      <c r="N814" s="188"/>
      <c r="O814" s="183" t="s">
        <v>454</v>
      </c>
      <c r="P814" s="183" t="s">
        <v>7748</v>
      </c>
      <c r="Q814" s="184"/>
      <c r="R814" s="183" t="s">
        <v>24</v>
      </c>
      <c r="S814" s="184"/>
      <c r="T814" s="184"/>
      <c r="U814" s="184"/>
      <c r="V814" s="184"/>
      <c r="W814" s="184"/>
      <c r="X814" s="179"/>
      <c r="Y814" s="179"/>
      <c r="Z814" s="179"/>
      <c r="AA814" s="179"/>
    </row>
    <row r="815" spans="1:27">
      <c r="A815" s="181">
        <f ca="1">IFERROR(__xludf.DUMMYFUNCTION("IFS(B815="""","""",ISDATE(B815)=TRUE,B815,ISDATE(B815)=FALSE,TO_DATE(DATEVALUE(regexextract(B815,""\d+/\d+/\d+""))))"),44797)</f>
        <v>44797</v>
      </c>
      <c r="B815" s="182" t="s">
        <v>907</v>
      </c>
      <c r="C815" s="183" t="s">
        <v>6806</v>
      </c>
      <c r="D815" s="184">
        <v>2.25</v>
      </c>
      <c r="E815" s="183" t="s">
        <v>11156</v>
      </c>
      <c r="F815" s="183" t="s">
        <v>4</v>
      </c>
      <c r="G815" s="183" t="s">
        <v>1045</v>
      </c>
      <c r="H815" s="184" t="s">
        <v>6810</v>
      </c>
      <c r="I815" s="184">
        <v>2</v>
      </c>
      <c r="J815" s="183" t="s">
        <v>622</v>
      </c>
      <c r="K815" s="184" t="s">
        <v>6811</v>
      </c>
      <c r="L815" s="184">
        <v>2.5</v>
      </c>
      <c r="M815" s="183"/>
      <c r="N815" s="187"/>
      <c r="O815" s="183" t="s">
        <v>452</v>
      </c>
      <c r="P815" s="183" t="s">
        <v>6812</v>
      </c>
      <c r="Q815" s="184" t="s">
        <v>6813</v>
      </c>
      <c r="R815" s="184" t="s">
        <v>24</v>
      </c>
      <c r="S815" s="184"/>
      <c r="T815" s="184"/>
      <c r="U815" s="184"/>
      <c r="V815" s="184"/>
      <c r="W815" s="184"/>
      <c r="X815" s="179"/>
      <c r="Y815" s="179"/>
      <c r="Z815" s="179"/>
      <c r="AA815" s="179"/>
    </row>
    <row r="816" spans="1:27">
      <c r="A816" s="181">
        <f ca="1">IFERROR(__xludf.DUMMYFUNCTION("IFS(B816="""","""",ISDATE(B816)=TRUE,B816,ISDATE(B816)=FALSE,TO_DATE(DATEVALUE(regexextract(B816,""\d+/\d+/\d+""))))"),44796)</f>
        <v>44796</v>
      </c>
      <c r="B816" s="182" t="s">
        <v>529</v>
      </c>
      <c r="C816" s="183" t="s">
        <v>11157</v>
      </c>
      <c r="D816" s="183">
        <v>3.25</v>
      </c>
      <c r="E816" s="183" t="s">
        <v>3144</v>
      </c>
      <c r="F816" s="183" t="s">
        <v>5</v>
      </c>
      <c r="G816" s="183" t="s">
        <v>447</v>
      </c>
      <c r="H816" s="183" t="s">
        <v>11158</v>
      </c>
      <c r="I816" s="183">
        <v>3</v>
      </c>
      <c r="J816" s="183" t="s">
        <v>543</v>
      </c>
      <c r="K816" s="183" t="s">
        <v>11159</v>
      </c>
      <c r="L816" s="183">
        <v>3.5</v>
      </c>
      <c r="M816" s="184" t="s">
        <v>451</v>
      </c>
      <c r="N816" s="184">
        <v>2250000</v>
      </c>
      <c r="O816" s="183" t="s">
        <v>452</v>
      </c>
      <c r="P816" s="183" t="s">
        <v>452</v>
      </c>
      <c r="Q816" s="183" t="s">
        <v>585</v>
      </c>
      <c r="R816" s="183" t="s">
        <v>24</v>
      </c>
      <c r="S816" s="183"/>
      <c r="T816" s="184"/>
      <c r="U816" s="184"/>
      <c r="V816" s="184"/>
      <c r="W816" s="184"/>
      <c r="X816" s="179"/>
      <c r="Y816" s="179"/>
      <c r="Z816" s="179"/>
      <c r="AA816" s="179"/>
    </row>
    <row r="817" spans="1:27">
      <c r="A817" s="181">
        <f ca="1">IFERROR(__xludf.DUMMYFUNCTION("IFS(B817="""","""",ISDATE(B817)=TRUE,B817,ISDATE(B817)=FALSE,TO_DATE(DATEVALUE(regexextract(B817,""\d+/\d+/\d+""))))"),44791)</f>
        <v>44791</v>
      </c>
      <c r="B817" s="182" t="s">
        <v>10182</v>
      </c>
      <c r="C817" s="183" t="s">
        <v>11160</v>
      </c>
      <c r="D817" s="184">
        <v>2.5</v>
      </c>
      <c r="E817" s="183" t="s">
        <v>11161</v>
      </c>
      <c r="F817" s="183" t="s">
        <v>5</v>
      </c>
      <c r="G817" s="183" t="s">
        <v>447</v>
      </c>
      <c r="H817" s="184" t="s">
        <v>11162</v>
      </c>
      <c r="I817" s="184">
        <v>2</v>
      </c>
      <c r="J817" s="183" t="s">
        <v>449</v>
      </c>
      <c r="K817" s="183" t="s">
        <v>11163</v>
      </c>
      <c r="L817" s="183">
        <v>3</v>
      </c>
      <c r="M817" s="183" t="s">
        <v>451</v>
      </c>
      <c r="N817" s="187">
        <v>4000000</v>
      </c>
      <c r="O817" s="183" t="s">
        <v>452</v>
      </c>
      <c r="P817" s="183" t="s">
        <v>2694</v>
      </c>
      <c r="Q817" s="183"/>
      <c r="R817" s="184" t="s">
        <v>24</v>
      </c>
      <c r="S817" s="184"/>
      <c r="T817" s="184"/>
      <c r="U817" s="184"/>
      <c r="V817" s="184"/>
      <c r="W817" s="184"/>
      <c r="X817" s="179"/>
      <c r="Y817" s="179"/>
      <c r="Z817" s="179"/>
      <c r="AA817" s="179"/>
    </row>
    <row r="818" spans="1:27">
      <c r="A818" s="181">
        <f ca="1">IFERROR(__xludf.DUMMYFUNCTION("IFS(B818="""","""",ISDATE(B818)=TRUE,B818,ISDATE(B818)=FALSE,TO_DATE(DATEVALUE(regexextract(B818,""\d+/\d+/\d+""))))"),44797)</f>
        <v>44797</v>
      </c>
      <c r="B818" s="182" t="s">
        <v>907</v>
      </c>
      <c r="C818" s="183" t="s">
        <v>5175</v>
      </c>
      <c r="D818" s="183">
        <v>3.25</v>
      </c>
      <c r="E818" s="183" t="s">
        <v>5178</v>
      </c>
      <c r="F818" s="183" t="s">
        <v>4</v>
      </c>
      <c r="G818" s="183" t="s">
        <v>1045</v>
      </c>
      <c r="H818" s="183" t="s">
        <v>5179</v>
      </c>
      <c r="I818" s="183">
        <v>3.5</v>
      </c>
      <c r="J818" s="183" t="s">
        <v>462</v>
      </c>
      <c r="K818" s="183" t="s">
        <v>11164</v>
      </c>
      <c r="L818" s="183">
        <v>3</v>
      </c>
      <c r="M818" s="184" t="s">
        <v>451</v>
      </c>
      <c r="N818" s="188">
        <v>2000000</v>
      </c>
      <c r="O818" s="183" t="s">
        <v>452</v>
      </c>
      <c r="P818" s="183" t="s">
        <v>11165</v>
      </c>
      <c r="Q818" s="184"/>
      <c r="R818" s="183" t="s">
        <v>24</v>
      </c>
      <c r="S818" s="184"/>
      <c r="T818" s="184"/>
      <c r="U818" s="184"/>
      <c r="V818" s="184"/>
      <c r="W818" s="184"/>
      <c r="X818" s="179"/>
      <c r="Y818" s="179"/>
      <c r="Z818" s="179"/>
      <c r="AA818" s="179"/>
    </row>
    <row r="819" spans="1:27">
      <c r="A819" s="181">
        <f ca="1">IFERROR(__xludf.DUMMYFUNCTION("IFS(B819="""","""",ISDATE(B819)=TRUE,B819,ISDATE(B819)=FALSE,TO_DATE(DATEVALUE(regexextract(B819,""\d+/\d+/\d+""))))"),44789)</f>
        <v>44789</v>
      </c>
      <c r="B819" s="182" t="s">
        <v>6450</v>
      </c>
      <c r="C819" s="183" t="s">
        <v>4637</v>
      </c>
      <c r="D819" s="183">
        <v>3.5</v>
      </c>
      <c r="E819" s="183" t="s">
        <v>4640</v>
      </c>
      <c r="F819" s="183" t="s">
        <v>4</v>
      </c>
      <c r="G819" s="183" t="s">
        <v>602</v>
      </c>
      <c r="H819" s="183" t="s">
        <v>4641</v>
      </c>
      <c r="I819" s="183">
        <v>4</v>
      </c>
      <c r="J819" s="183" t="s">
        <v>476</v>
      </c>
      <c r="K819" s="183" t="s">
        <v>11166</v>
      </c>
      <c r="L819" s="183">
        <v>3</v>
      </c>
      <c r="M819" s="184"/>
      <c r="N819" s="190"/>
      <c r="O819" s="183" t="s">
        <v>465</v>
      </c>
      <c r="P819" s="183" t="s">
        <v>4643</v>
      </c>
      <c r="Q819" s="184"/>
      <c r="R819" s="183" t="s">
        <v>24</v>
      </c>
      <c r="S819" s="184"/>
      <c r="T819" s="184"/>
      <c r="U819" s="184"/>
      <c r="V819" s="184"/>
      <c r="W819" s="184"/>
      <c r="X819" s="179"/>
      <c r="Y819" s="179"/>
      <c r="Z819" s="179"/>
      <c r="AA819" s="179"/>
    </row>
    <row r="820" spans="1:27">
      <c r="A820" s="181">
        <f ca="1">IFERROR(__xludf.DUMMYFUNCTION("IFS(B820="""","""",ISDATE(B820)=TRUE,B820,ISDATE(B820)=FALSE,TO_DATE(DATEVALUE(regexextract(B820,""\d+/\d+/\d+""))))"),44789)</f>
        <v>44789</v>
      </c>
      <c r="B820" s="182" t="s">
        <v>6450</v>
      </c>
      <c r="C820" s="183" t="s">
        <v>2597</v>
      </c>
      <c r="D820" s="183">
        <v>2.75</v>
      </c>
      <c r="E820" s="183" t="s">
        <v>2600</v>
      </c>
      <c r="F820" s="183" t="s">
        <v>5</v>
      </c>
      <c r="G820" s="183" t="s">
        <v>447</v>
      </c>
      <c r="H820" s="183" t="s">
        <v>11167</v>
      </c>
      <c r="I820" s="183">
        <v>3</v>
      </c>
      <c r="J820" s="183" t="s">
        <v>543</v>
      </c>
      <c r="K820" s="183" t="s">
        <v>11168</v>
      </c>
      <c r="L820" s="183">
        <v>2.5</v>
      </c>
      <c r="M820" s="183" t="s">
        <v>2603</v>
      </c>
      <c r="N820" s="187" t="s">
        <v>2604</v>
      </c>
      <c r="O820" s="183" t="s">
        <v>452</v>
      </c>
      <c r="P820" s="183" t="s">
        <v>1119</v>
      </c>
      <c r="Q820" s="184"/>
      <c r="R820" s="183" t="s">
        <v>24</v>
      </c>
      <c r="S820" s="183"/>
      <c r="T820" s="184"/>
      <c r="U820" s="184"/>
      <c r="V820" s="184"/>
      <c r="W820" s="184"/>
      <c r="X820" s="179"/>
      <c r="Y820" s="179"/>
      <c r="Z820" s="179"/>
      <c r="AA820" s="179"/>
    </row>
    <row r="821" spans="1:27">
      <c r="A821" s="181">
        <f ca="1">IFERROR(__xludf.DUMMYFUNCTION("IFS(B821="""","""",ISDATE(B821)=TRUE,B821,ISDATE(B821)=FALSE,TO_DATE(DATEVALUE(regexextract(B821,""\d+/\d+/\d+""))))"),44789)</f>
        <v>44789</v>
      </c>
      <c r="B821" s="189" t="s">
        <v>6450</v>
      </c>
      <c r="C821" s="183" t="s">
        <v>310</v>
      </c>
      <c r="D821" s="183">
        <v>4.5</v>
      </c>
      <c r="E821" s="183" t="s">
        <v>1701</v>
      </c>
      <c r="F821" s="183" t="s">
        <v>3</v>
      </c>
      <c r="G821" s="183" t="s">
        <v>460</v>
      </c>
      <c r="H821" s="183" t="s">
        <v>1702</v>
      </c>
      <c r="I821" s="183">
        <v>4.5</v>
      </c>
      <c r="J821" s="183" t="s">
        <v>462</v>
      </c>
      <c r="K821" s="183" t="s">
        <v>1703</v>
      </c>
      <c r="L821" s="183">
        <v>4.5</v>
      </c>
      <c r="M821" s="183" t="s">
        <v>451</v>
      </c>
      <c r="N821" s="187">
        <v>4000000</v>
      </c>
      <c r="O821" s="183" t="s">
        <v>452</v>
      </c>
      <c r="P821" s="183" t="s">
        <v>11169</v>
      </c>
      <c r="Q821" s="184"/>
      <c r="R821" s="183" t="s">
        <v>18</v>
      </c>
      <c r="S821" s="184"/>
      <c r="T821" s="184"/>
      <c r="U821" s="184"/>
      <c r="V821" s="184"/>
      <c r="W821" s="184"/>
      <c r="X821" s="179"/>
      <c r="Y821" s="179"/>
      <c r="Z821" s="179"/>
      <c r="AA821" s="179"/>
    </row>
    <row r="822" spans="1:27">
      <c r="A822" s="181">
        <f ca="1">IFERROR(__xludf.DUMMYFUNCTION("IFS(B822="""","""",ISDATE(B822)=TRUE,B822,ISDATE(B822)=FALSE,TO_DATE(DATEVALUE(regexextract(B822,""\d+/\d+/\d+""))))"),44797)</f>
        <v>44797</v>
      </c>
      <c r="B822" s="182" t="s">
        <v>907</v>
      </c>
      <c r="C822" s="183" t="s">
        <v>5600</v>
      </c>
      <c r="D822" s="183">
        <v>3</v>
      </c>
      <c r="E822" s="183" t="s">
        <v>5603</v>
      </c>
      <c r="F822" s="183" t="s">
        <v>4</v>
      </c>
      <c r="G822" s="183" t="s">
        <v>1045</v>
      </c>
      <c r="H822" s="183" t="s">
        <v>5604</v>
      </c>
      <c r="I822" s="183">
        <v>3</v>
      </c>
      <c r="J822" s="183" t="s">
        <v>1281</v>
      </c>
      <c r="K822" s="184" t="s">
        <v>11170</v>
      </c>
      <c r="L822" s="183">
        <v>3</v>
      </c>
      <c r="M822" s="184"/>
      <c r="N822" s="188"/>
      <c r="O822" s="183" t="s">
        <v>454</v>
      </c>
      <c r="P822" s="183" t="s">
        <v>1119</v>
      </c>
      <c r="Q822" s="183"/>
      <c r="R822" s="183" t="s">
        <v>24</v>
      </c>
      <c r="S822" s="183"/>
      <c r="T822" s="184"/>
      <c r="U822" s="184"/>
      <c r="V822" s="184"/>
      <c r="W822" s="184"/>
      <c r="X822" s="179"/>
      <c r="Y822" s="179"/>
      <c r="Z822" s="179"/>
      <c r="AA822" s="179"/>
    </row>
    <row r="823" spans="1:27">
      <c r="A823" s="181">
        <f ca="1">IFERROR(__xludf.DUMMYFUNCTION("IFS(B823="""","""",ISDATE(B823)=TRUE,B823,ISDATE(B823)=FALSE,TO_DATE(DATEVALUE(regexextract(B823,""\d+/\d+/\d+""))))"),44789)</f>
        <v>44789</v>
      </c>
      <c r="B823" s="182" t="s">
        <v>6450</v>
      </c>
      <c r="C823" s="183" t="s">
        <v>410</v>
      </c>
      <c r="D823" s="184">
        <v>3.75</v>
      </c>
      <c r="E823" s="183" t="s">
        <v>9977</v>
      </c>
      <c r="F823" s="183" t="s">
        <v>3</v>
      </c>
      <c r="G823" s="183" t="s">
        <v>460</v>
      </c>
      <c r="H823" s="184" t="s">
        <v>9978</v>
      </c>
      <c r="I823" s="184">
        <v>4</v>
      </c>
      <c r="J823" s="183" t="s">
        <v>462</v>
      </c>
      <c r="K823" s="184" t="s">
        <v>9979</v>
      </c>
      <c r="L823" s="184">
        <v>3.5</v>
      </c>
      <c r="M823" s="184" t="s">
        <v>784</v>
      </c>
      <c r="N823" s="184">
        <v>500000</v>
      </c>
      <c r="O823" s="183" t="s">
        <v>452</v>
      </c>
      <c r="P823" s="183" t="s">
        <v>452</v>
      </c>
      <c r="Q823" s="184" t="s">
        <v>9980</v>
      </c>
      <c r="R823" s="184" t="s">
        <v>20</v>
      </c>
      <c r="S823" s="184" t="s">
        <v>9981</v>
      </c>
      <c r="T823" s="184"/>
      <c r="U823" s="184"/>
      <c r="V823" s="184"/>
      <c r="W823" s="184"/>
      <c r="X823" s="179"/>
      <c r="Y823" s="179"/>
      <c r="Z823" s="179"/>
      <c r="AA823" s="179"/>
    </row>
    <row r="824" spans="1:27">
      <c r="A824" s="181">
        <f ca="1">IFERROR(__xludf.DUMMYFUNCTION("IFS(B824="""","""",ISDATE(B824)=TRUE,B824,ISDATE(B824)=FALSE,TO_DATE(DATEVALUE(regexextract(B824,""\d+/\d+/\d+""))))"),44782)</f>
        <v>44782</v>
      </c>
      <c r="B824" s="182" t="s">
        <v>10188</v>
      </c>
      <c r="C824" s="183" t="s">
        <v>2965</v>
      </c>
      <c r="D824" s="183">
        <v>3.5</v>
      </c>
      <c r="E824" s="183" t="s">
        <v>2968</v>
      </c>
      <c r="F824" s="183" t="s">
        <v>5</v>
      </c>
      <c r="G824" s="183" t="s">
        <v>447</v>
      </c>
      <c r="H824" s="183" t="s">
        <v>11171</v>
      </c>
      <c r="I824" s="183">
        <v>3.5</v>
      </c>
      <c r="J824" s="183" t="s">
        <v>543</v>
      </c>
      <c r="K824" s="183" t="s">
        <v>11172</v>
      </c>
      <c r="L824" s="183">
        <v>3.5</v>
      </c>
      <c r="M824" s="184" t="s">
        <v>784</v>
      </c>
      <c r="N824" s="188" t="s">
        <v>2527</v>
      </c>
      <c r="O824" s="183" t="s">
        <v>452</v>
      </c>
      <c r="P824" s="183" t="s">
        <v>452</v>
      </c>
      <c r="Q824" s="184" t="s">
        <v>727</v>
      </c>
      <c r="R824" s="183" t="s">
        <v>24</v>
      </c>
      <c r="S824" s="183" t="s">
        <v>11173</v>
      </c>
      <c r="T824" s="184"/>
      <c r="U824" s="184"/>
      <c r="V824" s="184"/>
      <c r="W824" s="184"/>
      <c r="X824" s="179"/>
      <c r="Y824" s="179"/>
      <c r="Z824" s="179"/>
      <c r="AA824" s="179"/>
    </row>
    <row r="825" spans="1:27">
      <c r="A825" s="181">
        <f ca="1">IFERROR(__xludf.DUMMYFUNCTION("IFS(B825="""","""",ISDATE(B825)=TRUE,B825,ISDATE(B825)=FALSE,TO_DATE(DATEVALUE(regexextract(B825,""\d+/\d+/\d+""))))"),44782)</f>
        <v>44782</v>
      </c>
      <c r="B825" s="182" t="s">
        <v>10188</v>
      </c>
      <c r="C825" s="183" t="s">
        <v>2931</v>
      </c>
      <c r="D825" s="184">
        <v>3.5</v>
      </c>
      <c r="E825" s="184" t="s">
        <v>2934</v>
      </c>
      <c r="F825" s="183" t="s">
        <v>5</v>
      </c>
      <c r="G825" s="183" t="s">
        <v>447</v>
      </c>
      <c r="H825" s="184" t="s">
        <v>11174</v>
      </c>
      <c r="I825" s="184">
        <v>4</v>
      </c>
      <c r="J825" s="183" t="s">
        <v>622</v>
      </c>
      <c r="K825" s="184" t="s">
        <v>11175</v>
      </c>
      <c r="L825" s="184">
        <v>3</v>
      </c>
      <c r="M825" s="183" t="s">
        <v>451</v>
      </c>
      <c r="N825" s="187">
        <v>1500000</v>
      </c>
      <c r="O825" s="183" t="s">
        <v>452</v>
      </c>
      <c r="P825" s="183" t="s">
        <v>2937</v>
      </c>
      <c r="Q825" s="183"/>
      <c r="R825" s="184" t="s">
        <v>24</v>
      </c>
      <c r="S825" s="184"/>
      <c r="T825" s="184"/>
      <c r="U825" s="184"/>
      <c r="V825" s="184"/>
      <c r="W825" s="184"/>
      <c r="X825" s="179"/>
      <c r="Y825" s="179"/>
      <c r="Z825" s="179"/>
      <c r="AA825" s="179"/>
    </row>
    <row r="826" spans="1:27">
      <c r="A826" s="181">
        <f ca="1">IFERROR(__xludf.DUMMYFUNCTION("IFS(B826="""","""",ISDATE(B826)=TRUE,B826,ISDATE(B826)=FALSE,TO_DATE(DATEVALUE(regexextract(B826,""\d+/\d+/\d+""))))"),44796)</f>
        <v>44796</v>
      </c>
      <c r="B826" s="182" t="s">
        <v>529</v>
      </c>
      <c r="C826" s="191" t="s">
        <v>7178</v>
      </c>
      <c r="D826" s="184">
        <v>2</v>
      </c>
      <c r="E826" s="191" t="s">
        <v>11176</v>
      </c>
      <c r="F826" s="183" t="s">
        <v>4</v>
      </c>
      <c r="G826" s="183" t="s">
        <v>725</v>
      </c>
      <c r="H826" s="184" t="s">
        <v>7182</v>
      </c>
      <c r="I826" s="184">
        <v>2</v>
      </c>
      <c r="J826" s="183" t="s">
        <v>476</v>
      </c>
      <c r="K826" s="184" t="s">
        <v>11177</v>
      </c>
      <c r="L826" s="184">
        <v>2</v>
      </c>
      <c r="M826" s="183"/>
      <c r="N826" s="187"/>
      <c r="O826" s="183" t="s">
        <v>452</v>
      </c>
      <c r="P826" s="183" t="s">
        <v>11178</v>
      </c>
      <c r="Q826" s="184"/>
      <c r="R826" s="184" t="s">
        <v>24</v>
      </c>
      <c r="S826" s="184"/>
      <c r="T826" s="184"/>
      <c r="U826" s="184"/>
      <c r="V826" s="184"/>
      <c r="W826" s="184"/>
      <c r="X826" s="179"/>
      <c r="Y826" s="179"/>
      <c r="Z826" s="179"/>
      <c r="AA826" s="179"/>
    </row>
    <row r="827" spans="1:27">
      <c r="A827" s="181">
        <f ca="1">IFERROR(__xludf.DUMMYFUNCTION("IFS(B827="""","""",ISDATE(B827)=TRUE,B827,ISDATE(B827)=FALSE,TO_DATE(DATEVALUE(regexextract(B827,""\d+/\d+/\d+""))))"),44796)</f>
        <v>44796</v>
      </c>
      <c r="B827" s="182" t="s">
        <v>529</v>
      </c>
      <c r="C827" s="183" t="s">
        <v>4987</v>
      </c>
      <c r="D827" s="184">
        <v>3.25</v>
      </c>
      <c r="E827" s="183" t="s">
        <v>4990</v>
      </c>
      <c r="F827" s="183" t="s">
        <v>4</v>
      </c>
      <c r="G827" s="183" t="s">
        <v>725</v>
      </c>
      <c r="H827" s="184" t="s">
        <v>11179</v>
      </c>
      <c r="I827" s="184">
        <v>3.5</v>
      </c>
      <c r="J827" s="183" t="s">
        <v>476</v>
      </c>
      <c r="K827" s="184" t="s">
        <v>11180</v>
      </c>
      <c r="L827" s="184">
        <v>3</v>
      </c>
      <c r="M827" s="183" t="s">
        <v>4993</v>
      </c>
      <c r="N827" s="187" t="s">
        <v>4370</v>
      </c>
      <c r="O827" s="183" t="s">
        <v>452</v>
      </c>
      <c r="P827" s="183" t="s">
        <v>452</v>
      </c>
      <c r="Q827" s="184"/>
      <c r="R827" s="184" t="s">
        <v>24</v>
      </c>
      <c r="S827" s="184"/>
      <c r="T827" s="184"/>
      <c r="U827" s="184"/>
      <c r="V827" s="184"/>
      <c r="W827" s="184"/>
      <c r="X827" s="179"/>
      <c r="Y827" s="179"/>
      <c r="Z827" s="179"/>
      <c r="AA827" s="179"/>
    </row>
    <row r="828" spans="1:27">
      <c r="A828" s="181">
        <f ca="1">IFERROR(__xludf.DUMMYFUNCTION("IFS(B828="""","""",ISDATE(B828)=TRUE,B828,ISDATE(B828)=FALSE,TO_DATE(DATEVALUE(regexextract(B828,""\d+/\d+/\d+""))))"),44796)</f>
        <v>44796</v>
      </c>
      <c r="B828" s="182" t="s">
        <v>529</v>
      </c>
      <c r="C828" s="183" t="s">
        <v>4132</v>
      </c>
      <c r="D828" s="184">
        <v>3.88</v>
      </c>
      <c r="E828" s="183" t="s">
        <v>4135</v>
      </c>
      <c r="F828" s="183" t="s">
        <v>4</v>
      </c>
      <c r="G828" s="183" t="s">
        <v>725</v>
      </c>
      <c r="H828" s="183" t="s">
        <v>11181</v>
      </c>
      <c r="I828" s="183">
        <v>3.75</v>
      </c>
      <c r="J828" s="183" t="s">
        <v>476</v>
      </c>
      <c r="K828" s="184" t="s">
        <v>11182</v>
      </c>
      <c r="L828" s="184">
        <v>4</v>
      </c>
      <c r="M828" s="183"/>
      <c r="N828" s="187"/>
      <c r="O828" s="183" t="s">
        <v>452</v>
      </c>
      <c r="P828" s="183" t="s">
        <v>4138</v>
      </c>
      <c r="Q828" s="184"/>
      <c r="R828" s="184" t="s">
        <v>24</v>
      </c>
      <c r="S828" s="184" t="s">
        <v>4139</v>
      </c>
      <c r="T828" s="184"/>
      <c r="U828" s="184"/>
      <c r="V828" s="184"/>
      <c r="W828" s="184"/>
      <c r="X828" s="179"/>
      <c r="Y828" s="179"/>
      <c r="Z828" s="179"/>
      <c r="AA828" s="179"/>
    </row>
    <row r="829" spans="1:27">
      <c r="A829" s="181">
        <f ca="1">IFERROR(__xludf.DUMMYFUNCTION("IFS(B829="""","""",ISDATE(B829)=TRUE,B829,ISDATE(B829)=FALSE,TO_DATE(DATEVALUE(regexextract(B829,""\d+/\d+/\d+""))))"),44782)</f>
        <v>44782</v>
      </c>
      <c r="B829" s="182" t="s">
        <v>10188</v>
      </c>
      <c r="C829" s="183" t="s">
        <v>3294</v>
      </c>
      <c r="D829" s="183">
        <v>2.75</v>
      </c>
      <c r="E829" s="183" t="s">
        <v>3297</v>
      </c>
      <c r="F829" s="183" t="s">
        <v>5</v>
      </c>
      <c r="G829" s="183" t="s">
        <v>447</v>
      </c>
      <c r="H829" s="183" t="s">
        <v>11183</v>
      </c>
      <c r="I829" s="183">
        <v>3</v>
      </c>
      <c r="J829" s="183" t="s">
        <v>622</v>
      </c>
      <c r="K829" s="183" t="s">
        <v>11184</v>
      </c>
      <c r="L829" s="183">
        <v>2.5</v>
      </c>
      <c r="M829" s="184" t="s">
        <v>784</v>
      </c>
      <c r="N829" s="186">
        <v>500000</v>
      </c>
      <c r="O829" s="183" t="s">
        <v>452</v>
      </c>
      <c r="P829" s="183" t="s">
        <v>3300</v>
      </c>
      <c r="Q829" s="183"/>
      <c r="R829" s="183" t="s">
        <v>24</v>
      </c>
      <c r="S829" s="184"/>
      <c r="T829" s="184"/>
      <c r="U829" s="184"/>
      <c r="V829" s="184"/>
      <c r="W829" s="184"/>
      <c r="X829" s="179"/>
      <c r="Y829" s="179"/>
      <c r="Z829" s="179"/>
      <c r="AA829" s="179"/>
    </row>
    <row r="830" spans="1:27">
      <c r="A830" s="181">
        <f ca="1">IFERROR(__xludf.DUMMYFUNCTION("IFS(B830="""","""",ISDATE(B830)=TRUE,B830,ISDATE(B830)=FALSE,TO_DATE(DATEVALUE(regexextract(B830,""\d+/\d+/\d+""))))"),44789)</f>
        <v>44789</v>
      </c>
      <c r="B830" s="182" t="s">
        <v>6450</v>
      </c>
      <c r="C830" s="183" t="s">
        <v>2436</v>
      </c>
      <c r="D830" s="183">
        <v>3.25</v>
      </c>
      <c r="E830" s="183" t="s">
        <v>11185</v>
      </c>
      <c r="F830" s="183" t="s">
        <v>5</v>
      </c>
      <c r="G830" s="183" t="s">
        <v>447</v>
      </c>
      <c r="H830" s="183" t="s">
        <v>11186</v>
      </c>
      <c r="I830" s="183">
        <v>3.5</v>
      </c>
      <c r="J830" s="183" t="s">
        <v>449</v>
      </c>
      <c r="K830" s="183" t="s">
        <v>11187</v>
      </c>
      <c r="L830" s="183">
        <v>3</v>
      </c>
      <c r="M830" s="183" t="s">
        <v>478</v>
      </c>
      <c r="N830" s="187">
        <v>8000000</v>
      </c>
      <c r="O830" s="183" t="s">
        <v>465</v>
      </c>
      <c r="P830" s="183" t="s">
        <v>2442</v>
      </c>
      <c r="Q830" s="183"/>
      <c r="R830" s="183" t="s">
        <v>24</v>
      </c>
      <c r="S830" s="184"/>
      <c r="T830" s="184"/>
      <c r="U830" s="184"/>
      <c r="V830" s="184"/>
      <c r="W830" s="184"/>
      <c r="X830" s="179"/>
      <c r="Y830" s="179"/>
      <c r="Z830" s="179"/>
      <c r="AA830" s="179"/>
    </row>
    <row r="831" spans="1:27">
      <c r="A831" s="181">
        <f ca="1">IFERROR(__xludf.DUMMYFUNCTION("IFS(B831="""","""",ISDATE(B831)=TRUE,B831,ISDATE(B831)=FALSE,TO_DATE(DATEVALUE(regexextract(B831,""\d+/\d+/\d+""))))"),44789)</f>
        <v>44789</v>
      </c>
      <c r="B831" s="182" t="s">
        <v>6450</v>
      </c>
      <c r="C831" s="183" t="s">
        <v>5960</v>
      </c>
      <c r="D831" s="184">
        <v>2.75</v>
      </c>
      <c r="E831" s="183" t="s">
        <v>5963</v>
      </c>
      <c r="F831" s="183" t="s">
        <v>4</v>
      </c>
      <c r="G831" s="183" t="s">
        <v>602</v>
      </c>
      <c r="H831" s="184" t="s">
        <v>5964</v>
      </c>
      <c r="I831" s="184">
        <v>2</v>
      </c>
      <c r="J831" s="183" t="s">
        <v>1054</v>
      </c>
      <c r="K831" s="184" t="s">
        <v>11188</v>
      </c>
      <c r="L831" s="184">
        <v>3.5</v>
      </c>
      <c r="M831" s="184" t="s">
        <v>451</v>
      </c>
      <c r="N831" s="188">
        <v>3000000</v>
      </c>
      <c r="O831" s="183" t="s">
        <v>452</v>
      </c>
      <c r="P831" s="183" t="s">
        <v>5966</v>
      </c>
      <c r="Q831" s="184"/>
      <c r="R831" s="184" t="s">
        <v>24</v>
      </c>
      <c r="S831" s="184"/>
      <c r="T831" s="184"/>
      <c r="U831" s="184"/>
      <c r="V831" s="184"/>
      <c r="W831" s="184"/>
      <c r="X831" s="179"/>
      <c r="Y831" s="179"/>
      <c r="Z831" s="179"/>
      <c r="AA831" s="179"/>
    </row>
    <row r="832" spans="1:27">
      <c r="A832" s="181">
        <f ca="1">IFERROR(__xludf.DUMMYFUNCTION("IFS(B832="""","""",ISDATE(B832)=TRUE,B832,ISDATE(B832)=FALSE,TO_DATE(DATEVALUE(regexextract(B832,""\d+/\d+/\d+""))))"),44789)</f>
        <v>44789</v>
      </c>
      <c r="B832" s="189" t="s">
        <v>6450</v>
      </c>
      <c r="C832" s="183" t="s">
        <v>7195</v>
      </c>
      <c r="D832" s="184">
        <v>2</v>
      </c>
      <c r="E832" s="183" t="s">
        <v>7198</v>
      </c>
      <c r="F832" s="183" t="s">
        <v>4</v>
      </c>
      <c r="G832" s="183" t="s">
        <v>602</v>
      </c>
      <c r="H832" s="184"/>
      <c r="I832" s="184">
        <v>2</v>
      </c>
      <c r="J832" s="183" t="s">
        <v>1054</v>
      </c>
      <c r="K832" s="183" t="s">
        <v>7199</v>
      </c>
      <c r="L832" s="183">
        <v>2</v>
      </c>
      <c r="M832" s="184" t="s">
        <v>451</v>
      </c>
      <c r="N832" s="184">
        <v>250000</v>
      </c>
      <c r="O832" s="183" t="s">
        <v>452</v>
      </c>
      <c r="P832" s="183" t="s">
        <v>7200</v>
      </c>
      <c r="Q832" s="184"/>
      <c r="R832" s="184" t="s">
        <v>24</v>
      </c>
      <c r="S832" s="184"/>
      <c r="T832" s="184"/>
      <c r="U832" s="184"/>
      <c r="V832" s="184"/>
      <c r="W832" s="184"/>
      <c r="X832" s="179"/>
      <c r="Y832" s="179"/>
      <c r="Z832" s="179"/>
      <c r="AA832" s="179"/>
    </row>
    <row r="833" spans="1:27">
      <c r="A833" s="181">
        <f ca="1">IFERROR(__xludf.DUMMYFUNCTION("IFS(B833="""","""",ISDATE(B833)=TRUE,B833,ISDATE(B833)=FALSE,TO_DATE(DATEVALUE(regexextract(B833,""\d+/\d+/\d+""))))"),44789)</f>
        <v>44789</v>
      </c>
      <c r="B833" s="182" t="s">
        <v>6450</v>
      </c>
      <c r="C833" s="183" t="s">
        <v>399</v>
      </c>
      <c r="D833" s="183">
        <v>4</v>
      </c>
      <c r="E833" s="183" t="s">
        <v>11189</v>
      </c>
      <c r="F833" s="183" t="s">
        <v>3</v>
      </c>
      <c r="G833" s="183" t="s">
        <v>460</v>
      </c>
      <c r="H833" s="183" t="s">
        <v>10108</v>
      </c>
      <c r="I833" s="183">
        <v>4</v>
      </c>
      <c r="J833" s="183" t="s">
        <v>462</v>
      </c>
      <c r="K833" s="183" t="s">
        <v>10109</v>
      </c>
      <c r="L833" s="183">
        <v>4</v>
      </c>
      <c r="M833" s="184" t="s">
        <v>478</v>
      </c>
      <c r="N833" s="188">
        <v>25000000</v>
      </c>
      <c r="O833" s="183" t="s">
        <v>452</v>
      </c>
      <c r="P833" s="183" t="s">
        <v>11190</v>
      </c>
      <c r="Q833" s="184"/>
      <c r="R833" s="183" t="s">
        <v>18</v>
      </c>
      <c r="S833" s="184"/>
      <c r="T833" s="184"/>
      <c r="U833" s="184"/>
      <c r="V833" s="184"/>
      <c r="W833" s="184"/>
      <c r="X833" s="179"/>
      <c r="Y833" s="179"/>
      <c r="Z833" s="179"/>
      <c r="AA833" s="179"/>
    </row>
    <row r="834" spans="1:27">
      <c r="A834" s="181">
        <f ca="1">IFERROR(__xludf.DUMMYFUNCTION("IFS(B834="""","""",ISDATE(B834)=TRUE,B834,ISDATE(B834)=FALSE,TO_DATE(DATEVALUE(regexextract(B834,""\d+/\d+/\d+""))))"),44796)</f>
        <v>44796</v>
      </c>
      <c r="B834" s="182" t="s">
        <v>529</v>
      </c>
      <c r="C834" s="183" t="s">
        <v>2769</v>
      </c>
      <c r="D834" s="183">
        <v>3</v>
      </c>
      <c r="E834" s="183" t="s">
        <v>2772</v>
      </c>
      <c r="F834" s="183" t="s">
        <v>5</v>
      </c>
      <c r="G834" s="183" t="s">
        <v>447</v>
      </c>
      <c r="H834" s="183" t="s">
        <v>11191</v>
      </c>
      <c r="I834" s="183">
        <v>3</v>
      </c>
      <c r="J834" s="183" t="s">
        <v>449</v>
      </c>
      <c r="K834" s="183" t="s">
        <v>11192</v>
      </c>
      <c r="L834" s="183">
        <v>3</v>
      </c>
      <c r="M834" s="183"/>
      <c r="N834" s="185"/>
      <c r="O834" s="183" t="s">
        <v>452</v>
      </c>
      <c r="P834" s="183" t="s">
        <v>2775</v>
      </c>
      <c r="Q834" s="184"/>
      <c r="R834" s="183" t="s">
        <v>24</v>
      </c>
      <c r="S834" s="184"/>
      <c r="T834" s="184"/>
      <c r="U834" s="184"/>
      <c r="V834" s="184"/>
      <c r="W834" s="184"/>
      <c r="X834" s="179"/>
      <c r="Y834" s="179"/>
      <c r="Z834" s="179"/>
      <c r="AA834" s="179"/>
    </row>
    <row r="835" spans="1:27">
      <c r="A835" s="181">
        <f ca="1">IFERROR(__xludf.DUMMYFUNCTION("IFS(B835="""","""",ISDATE(B835)=TRUE,B835,ISDATE(B835)=FALSE,TO_DATE(DATEVALUE(regexextract(B835,""\d+/\d+/\d+""))))"),44797)</f>
        <v>44797</v>
      </c>
      <c r="B835" s="182" t="s">
        <v>907</v>
      </c>
      <c r="C835" s="183" t="s">
        <v>5740</v>
      </c>
      <c r="D835" s="184">
        <v>3</v>
      </c>
      <c r="E835" s="183" t="s">
        <v>11193</v>
      </c>
      <c r="F835" s="183" t="s">
        <v>4</v>
      </c>
      <c r="G835" s="183" t="s">
        <v>1045</v>
      </c>
      <c r="H835" s="184" t="s">
        <v>5744</v>
      </c>
      <c r="I835" s="184">
        <v>3</v>
      </c>
      <c r="J835" s="183" t="s">
        <v>1457</v>
      </c>
      <c r="K835" s="184" t="s">
        <v>5745</v>
      </c>
      <c r="L835" s="183">
        <v>3</v>
      </c>
      <c r="M835" s="183" t="s">
        <v>451</v>
      </c>
      <c r="N835" s="187">
        <v>500000</v>
      </c>
      <c r="O835" s="183" t="s">
        <v>452</v>
      </c>
      <c r="P835" s="183" t="s">
        <v>11194</v>
      </c>
      <c r="Q835" s="184"/>
      <c r="R835" s="184" t="s">
        <v>24</v>
      </c>
      <c r="S835" s="184"/>
      <c r="T835" s="184"/>
      <c r="U835" s="184"/>
      <c r="V835" s="184"/>
      <c r="W835" s="184"/>
      <c r="X835" s="179"/>
      <c r="Y835" s="179"/>
      <c r="Z835" s="179"/>
      <c r="AA835" s="179"/>
    </row>
    <row r="836" spans="1:27">
      <c r="A836" s="181">
        <f ca="1">IFERROR(__xludf.DUMMYFUNCTION("IFS(B836="""","""",ISDATE(B836)=TRUE,B836,ISDATE(B836)=FALSE,TO_DATE(DATEVALUE(regexextract(B836,""\d+/\d+/\d+""))))"),44796)</f>
        <v>44796</v>
      </c>
      <c r="B836" s="189" t="s">
        <v>529</v>
      </c>
      <c r="C836" s="183" t="s">
        <v>6156</v>
      </c>
      <c r="D836" s="183">
        <v>2.5</v>
      </c>
      <c r="E836" s="183" t="s">
        <v>6159</v>
      </c>
      <c r="F836" s="183" t="s">
        <v>4</v>
      </c>
      <c r="G836" s="183" t="s">
        <v>725</v>
      </c>
      <c r="H836" s="183" t="s">
        <v>11195</v>
      </c>
      <c r="I836" s="183">
        <v>2</v>
      </c>
      <c r="J836" s="183" t="s">
        <v>990</v>
      </c>
      <c r="K836" s="183"/>
      <c r="L836" s="183">
        <v>3</v>
      </c>
      <c r="M836" s="183" t="s">
        <v>451</v>
      </c>
      <c r="N836" s="187">
        <v>900000</v>
      </c>
      <c r="O836" s="183" t="s">
        <v>452</v>
      </c>
      <c r="P836" s="183" t="s">
        <v>6161</v>
      </c>
      <c r="Q836" s="184"/>
      <c r="R836" s="183" t="s">
        <v>24</v>
      </c>
      <c r="S836" s="184"/>
      <c r="T836" s="184"/>
      <c r="U836" s="184"/>
      <c r="V836" s="184"/>
      <c r="W836" s="184"/>
      <c r="X836" s="179"/>
      <c r="Y836" s="179"/>
      <c r="Z836" s="179"/>
      <c r="AA836" s="179"/>
    </row>
    <row r="837" spans="1:27">
      <c r="A837" s="181">
        <f ca="1">IFERROR(__xludf.DUMMYFUNCTION("IFS(B837="""","""",ISDATE(B837)=TRUE,B837,ISDATE(B837)=FALSE,TO_DATE(DATEVALUE(regexextract(B837,""\d+/\d+/\d+""))))"),44796)</f>
        <v>44796</v>
      </c>
      <c r="B837" s="182" t="s">
        <v>529</v>
      </c>
      <c r="C837" s="183" t="s">
        <v>4544</v>
      </c>
      <c r="D837" s="183">
        <v>3.5</v>
      </c>
      <c r="E837" s="183" t="s">
        <v>4547</v>
      </c>
      <c r="F837" s="183" t="s">
        <v>4</v>
      </c>
      <c r="G837" s="183" t="s">
        <v>447</v>
      </c>
      <c r="H837" s="183" t="s">
        <v>11196</v>
      </c>
      <c r="I837" s="183">
        <v>3</v>
      </c>
      <c r="J837" s="183" t="s">
        <v>990</v>
      </c>
      <c r="K837" s="183" t="s">
        <v>4549</v>
      </c>
      <c r="L837" s="183">
        <v>4</v>
      </c>
      <c r="M837" s="183"/>
      <c r="N837" s="187"/>
      <c r="O837" s="183" t="s">
        <v>452</v>
      </c>
      <c r="P837" s="183" t="s">
        <v>4550</v>
      </c>
      <c r="Q837" s="184"/>
      <c r="R837" s="183" t="s">
        <v>24</v>
      </c>
      <c r="S837" s="183"/>
      <c r="T837" s="184"/>
      <c r="U837" s="184"/>
      <c r="V837" s="184"/>
      <c r="W837" s="184"/>
      <c r="X837" s="179"/>
      <c r="Y837" s="179"/>
      <c r="Z837" s="179"/>
      <c r="AA837" s="179"/>
    </row>
    <row r="838" spans="1:27">
      <c r="A838" s="181">
        <f ca="1">IFERROR(__xludf.DUMMYFUNCTION("IFS(B838="""","""",ISDATE(B838)=TRUE,B838,ISDATE(B838)=FALSE,TO_DATE(DATEVALUE(regexextract(B838,""\d+/\d+/\d+""))))"),44797)</f>
        <v>44797</v>
      </c>
      <c r="B838" s="189" t="s">
        <v>907</v>
      </c>
      <c r="C838" s="183" t="s">
        <v>6882</v>
      </c>
      <c r="D838" s="184">
        <v>2.25</v>
      </c>
      <c r="E838" s="183" t="s">
        <v>6885</v>
      </c>
      <c r="F838" s="183" t="s">
        <v>4</v>
      </c>
      <c r="G838" s="183" t="s">
        <v>602</v>
      </c>
      <c r="H838" s="184" t="s">
        <v>6886</v>
      </c>
      <c r="I838" s="184">
        <v>2.5</v>
      </c>
      <c r="J838" s="183" t="s">
        <v>543</v>
      </c>
      <c r="K838" s="183" t="s">
        <v>11197</v>
      </c>
      <c r="L838" s="183">
        <v>2</v>
      </c>
      <c r="M838" s="183" t="s">
        <v>6888</v>
      </c>
      <c r="N838" s="187" t="s">
        <v>6889</v>
      </c>
      <c r="O838" s="183" t="s">
        <v>452</v>
      </c>
      <c r="P838" s="183" t="s">
        <v>452</v>
      </c>
      <c r="Q838" s="184" t="s">
        <v>585</v>
      </c>
      <c r="R838" s="184" t="s">
        <v>24</v>
      </c>
      <c r="S838" s="184"/>
      <c r="T838" s="184"/>
      <c r="U838" s="184"/>
      <c r="V838" s="184"/>
      <c r="W838" s="184"/>
      <c r="X838" s="179"/>
      <c r="Y838" s="179"/>
      <c r="Z838" s="179"/>
      <c r="AA838" s="179"/>
    </row>
    <row r="839" spans="1:27">
      <c r="A839" s="181">
        <f ca="1">IFERROR(__xludf.DUMMYFUNCTION("IFS(B839="""","""",ISDATE(B839)=TRUE,B839,ISDATE(B839)=FALSE,TO_DATE(DATEVALUE(regexextract(B839,""\d+/\d+/\d+""))))"),44796)</f>
        <v>44796</v>
      </c>
      <c r="B839" s="182" t="s">
        <v>529</v>
      </c>
      <c r="C839" s="183" t="s">
        <v>6484</v>
      </c>
      <c r="D839" s="183">
        <v>2.5</v>
      </c>
      <c r="E839" s="183" t="s">
        <v>6487</v>
      </c>
      <c r="F839" s="183" t="s">
        <v>4</v>
      </c>
      <c r="G839" s="183" t="s">
        <v>447</v>
      </c>
      <c r="H839" s="184" t="s">
        <v>11198</v>
      </c>
      <c r="I839" s="183">
        <v>2</v>
      </c>
      <c r="J839" s="183" t="s">
        <v>1371</v>
      </c>
      <c r="K839" s="184" t="s">
        <v>6489</v>
      </c>
      <c r="L839" s="183">
        <v>3</v>
      </c>
      <c r="M839" s="183"/>
      <c r="N839" s="185"/>
      <c r="O839" s="183" t="s">
        <v>452</v>
      </c>
      <c r="P839" s="183" t="s">
        <v>11199</v>
      </c>
      <c r="Q839" s="184"/>
      <c r="R839" s="183" t="s">
        <v>24</v>
      </c>
      <c r="S839" s="184"/>
      <c r="T839" s="184"/>
      <c r="U839" s="184"/>
      <c r="V839" s="184"/>
      <c r="W839" s="184"/>
      <c r="X839" s="179"/>
      <c r="Y839" s="179"/>
      <c r="Z839" s="179"/>
      <c r="AA839" s="179"/>
    </row>
    <row r="840" spans="1:27">
      <c r="A840" s="181">
        <f ca="1">IFERROR(__xludf.DUMMYFUNCTION("IFS(B840="""","""",ISDATE(B840)=TRUE,B840,ISDATE(B840)=FALSE,TO_DATE(DATEVALUE(regexextract(B840,""\d+/\d+/\d+""))))"),44789)</f>
        <v>44789</v>
      </c>
      <c r="B840" s="189" t="s">
        <v>6450</v>
      </c>
      <c r="C840" s="183" t="s">
        <v>9251</v>
      </c>
      <c r="D840" s="183">
        <v>3.5</v>
      </c>
      <c r="E840" s="183" t="s">
        <v>9254</v>
      </c>
      <c r="F840" s="183" t="s">
        <v>3</v>
      </c>
      <c r="G840" s="183" t="s">
        <v>460</v>
      </c>
      <c r="H840" s="183" t="s">
        <v>9255</v>
      </c>
      <c r="I840" s="183">
        <v>3.5</v>
      </c>
      <c r="J840" s="183" t="s">
        <v>462</v>
      </c>
      <c r="K840" s="183" t="s">
        <v>9256</v>
      </c>
      <c r="L840" s="183">
        <v>3.5</v>
      </c>
      <c r="M840" s="183" t="s">
        <v>451</v>
      </c>
      <c r="N840" s="187">
        <v>3000000</v>
      </c>
      <c r="O840" s="183" t="s">
        <v>452</v>
      </c>
      <c r="P840" s="183" t="s">
        <v>1028</v>
      </c>
      <c r="Q840" s="184"/>
      <c r="R840" s="183" t="s">
        <v>24</v>
      </c>
      <c r="S840" s="184"/>
      <c r="T840" s="184"/>
      <c r="U840" s="184"/>
      <c r="V840" s="184"/>
      <c r="W840" s="184"/>
      <c r="X840" s="179"/>
      <c r="Y840" s="179"/>
      <c r="Z840" s="179"/>
      <c r="AA840" s="179"/>
    </row>
    <row r="841" spans="1:27">
      <c r="A841" s="181">
        <f ca="1">IFERROR(__xludf.DUMMYFUNCTION("IFS(B841="""","""",ISDATE(B841)=TRUE,B841,ISDATE(B841)=FALSE,TO_DATE(DATEVALUE(regexextract(B841,""\d+/\d+/\d+""))))"),44791)</f>
        <v>44791</v>
      </c>
      <c r="B841" s="182" t="s">
        <v>10182</v>
      </c>
      <c r="C841" s="183" t="s">
        <v>9843</v>
      </c>
      <c r="D841" s="184">
        <v>3.5</v>
      </c>
      <c r="E841" s="183" t="s">
        <v>9846</v>
      </c>
      <c r="F841" s="183" t="s">
        <v>3</v>
      </c>
      <c r="G841" s="183" t="s">
        <v>460</v>
      </c>
      <c r="H841" s="184" t="s">
        <v>9847</v>
      </c>
      <c r="I841" s="184">
        <v>3.5</v>
      </c>
      <c r="J841" s="183" t="s">
        <v>462</v>
      </c>
      <c r="K841" s="183" t="s">
        <v>9848</v>
      </c>
      <c r="L841" s="183">
        <v>3.5</v>
      </c>
      <c r="M841" s="183" t="s">
        <v>784</v>
      </c>
      <c r="N841" s="187">
        <v>2000000</v>
      </c>
      <c r="O841" s="183" t="s">
        <v>452</v>
      </c>
      <c r="P841" s="183" t="s">
        <v>9849</v>
      </c>
      <c r="Q841" s="184"/>
      <c r="R841" s="184" t="s">
        <v>23</v>
      </c>
      <c r="S841" s="184" t="s">
        <v>9850</v>
      </c>
      <c r="T841" s="184"/>
      <c r="U841" s="184"/>
      <c r="V841" s="184"/>
      <c r="W841" s="184"/>
      <c r="X841" s="179"/>
      <c r="Y841" s="179"/>
      <c r="Z841" s="179"/>
      <c r="AA841" s="179"/>
    </row>
    <row r="842" spans="1:27">
      <c r="A842" s="181">
        <f ca="1">IFERROR(__xludf.DUMMYFUNCTION("IFS(B842="""","""",ISDATE(B842)=TRUE,B842,ISDATE(B842)=FALSE,TO_DATE(DATEVALUE(regexextract(B842,""\d+/\d+/\d+""))))"),44796)</f>
        <v>44796</v>
      </c>
      <c r="B842" s="182" t="s">
        <v>529</v>
      </c>
      <c r="C842" s="183" t="s">
        <v>206</v>
      </c>
      <c r="D842" s="183">
        <v>4.25</v>
      </c>
      <c r="E842" s="183" t="s">
        <v>1279</v>
      </c>
      <c r="F842" s="183" t="s">
        <v>4</v>
      </c>
      <c r="G842" s="183" t="s">
        <v>725</v>
      </c>
      <c r="H842" s="183" t="s">
        <v>11200</v>
      </c>
      <c r="I842" s="183">
        <v>4.5</v>
      </c>
      <c r="J842" s="183" t="s">
        <v>1281</v>
      </c>
      <c r="K842" s="184" t="s">
        <v>1282</v>
      </c>
      <c r="L842" s="183">
        <v>4</v>
      </c>
      <c r="M842" s="183" t="s">
        <v>451</v>
      </c>
      <c r="N842" s="185">
        <v>350000</v>
      </c>
      <c r="O842" s="183" t="s">
        <v>452</v>
      </c>
      <c r="P842" s="183" t="s">
        <v>1283</v>
      </c>
      <c r="Q842" s="184"/>
      <c r="R842" s="183" t="s">
        <v>18</v>
      </c>
      <c r="S842" s="184"/>
      <c r="T842" s="184"/>
      <c r="U842" s="184"/>
      <c r="V842" s="184"/>
      <c r="W842" s="184"/>
      <c r="X842" s="179"/>
      <c r="Y842" s="179"/>
      <c r="Z842" s="179"/>
      <c r="AA842" s="179"/>
    </row>
    <row r="843" spans="1:27">
      <c r="A843" s="181">
        <f ca="1">IFERROR(__xludf.DUMMYFUNCTION("IFS(B843="""","""",ISDATE(B843)=TRUE,B843,ISDATE(B843)=FALSE,TO_DATE(DATEVALUE(regexextract(B843,""\d+/\d+/\d+""))))"),44782)</f>
        <v>44782</v>
      </c>
      <c r="B843" s="189" t="s">
        <v>10188</v>
      </c>
      <c r="C843" s="183" t="s">
        <v>375</v>
      </c>
      <c r="D843" s="183">
        <v>3.5</v>
      </c>
      <c r="E843" s="183" t="s">
        <v>10012</v>
      </c>
      <c r="F843" s="183" t="s">
        <v>5</v>
      </c>
      <c r="G843" s="183" t="s">
        <v>447</v>
      </c>
      <c r="H843" s="183" t="s">
        <v>11201</v>
      </c>
      <c r="I843" s="183">
        <v>4</v>
      </c>
      <c r="J843" s="183" t="s">
        <v>449</v>
      </c>
      <c r="K843" s="183" t="s">
        <v>11202</v>
      </c>
      <c r="L843" s="183">
        <v>3</v>
      </c>
      <c r="M843" s="183" t="s">
        <v>451</v>
      </c>
      <c r="N843" s="187">
        <v>5000000</v>
      </c>
      <c r="O843" s="183" t="s">
        <v>452</v>
      </c>
      <c r="P843" s="183" t="s">
        <v>452</v>
      </c>
      <c r="Q843" s="183" t="s">
        <v>447</v>
      </c>
      <c r="R843" s="183" t="s">
        <v>18</v>
      </c>
      <c r="S843" s="183"/>
      <c r="T843" s="184"/>
      <c r="U843" s="184"/>
      <c r="V843" s="184"/>
      <c r="W843" s="184"/>
      <c r="X843" s="179"/>
      <c r="Y843" s="179"/>
      <c r="Z843" s="179"/>
      <c r="AA843" s="179"/>
    </row>
    <row r="844" spans="1:27">
      <c r="A844" s="181">
        <f ca="1">IFERROR(__xludf.DUMMYFUNCTION("IFS(B844="""","""",ISDATE(B844)=TRUE,B844,ISDATE(B844)=FALSE,TO_DATE(DATEVALUE(regexextract(B844,""\d+/\d+/\d+""))))"),44782)</f>
        <v>44782</v>
      </c>
      <c r="B844" s="182" t="s">
        <v>10188</v>
      </c>
      <c r="C844" s="183" t="s">
        <v>3052</v>
      </c>
      <c r="D844" s="183">
        <v>3</v>
      </c>
      <c r="E844" s="183" t="s">
        <v>3055</v>
      </c>
      <c r="F844" s="183" t="s">
        <v>5</v>
      </c>
      <c r="G844" s="183" t="s">
        <v>447</v>
      </c>
      <c r="H844" s="183" t="s">
        <v>11203</v>
      </c>
      <c r="I844" s="183">
        <v>3</v>
      </c>
      <c r="J844" s="183" t="s">
        <v>622</v>
      </c>
      <c r="K844" s="183" t="s">
        <v>3057</v>
      </c>
      <c r="L844" s="183">
        <v>3</v>
      </c>
      <c r="M844" s="183"/>
      <c r="N844" s="187"/>
      <c r="O844" s="183" t="s">
        <v>452</v>
      </c>
      <c r="P844" s="183" t="s">
        <v>452</v>
      </c>
      <c r="Q844" s="184"/>
      <c r="R844" s="183" t="s">
        <v>24</v>
      </c>
      <c r="S844" s="183"/>
      <c r="T844" s="184"/>
      <c r="U844" s="184"/>
      <c r="V844" s="184"/>
      <c r="W844" s="184"/>
      <c r="X844" s="179"/>
      <c r="Y844" s="179"/>
      <c r="Z844" s="179"/>
      <c r="AA844" s="179"/>
    </row>
    <row r="845" spans="1:27">
      <c r="A845" s="181">
        <f ca="1">IFERROR(__xludf.DUMMYFUNCTION("IFS(B845="""","""",ISDATE(B845)=TRUE,B845,ISDATE(B845)=FALSE,TO_DATE(DATEVALUE(regexextract(B845,""\d+/\d+/\d+""))))"),44796)</f>
        <v>44796</v>
      </c>
      <c r="B845" s="189" t="s">
        <v>529</v>
      </c>
      <c r="C845" s="183" t="s">
        <v>4289</v>
      </c>
      <c r="D845" s="183">
        <v>3.75</v>
      </c>
      <c r="E845" s="183" t="s">
        <v>4292</v>
      </c>
      <c r="F845" s="183" t="s">
        <v>4</v>
      </c>
      <c r="G845" s="183" t="s">
        <v>725</v>
      </c>
      <c r="H845" s="183" t="s">
        <v>11204</v>
      </c>
      <c r="I845" s="183">
        <v>3.5</v>
      </c>
      <c r="J845" s="183" t="s">
        <v>1237</v>
      </c>
      <c r="K845" s="183"/>
      <c r="L845" s="183">
        <v>4</v>
      </c>
      <c r="M845" s="183"/>
      <c r="N845" s="187"/>
      <c r="O845" s="183" t="s">
        <v>452</v>
      </c>
      <c r="P845" s="183" t="s">
        <v>454</v>
      </c>
      <c r="Q845" s="184"/>
      <c r="R845" s="183" t="s">
        <v>24</v>
      </c>
      <c r="S845" s="183"/>
      <c r="T845" s="184"/>
      <c r="U845" s="184"/>
      <c r="V845" s="184"/>
      <c r="W845" s="184"/>
      <c r="X845" s="179"/>
      <c r="Y845" s="179"/>
      <c r="Z845" s="179"/>
      <c r="AA845" s="179"/>
    </row>
    <row r="846" spans="1:27">
      <c r="A846" s="181">
        <f ca="1">IFERROR(__xludf.DUMMYFUNCTION("IFS(B846="""","""",ISDATE(B846)=TRUE,B846,ISDATE(B846)=FALSE,TO_DATE(DATEVALUE(regexextract(B846,""\d+/\d+/\d+""))))"),44782)</f>
        <v>44782</v>
      </c>
      <c r="B846" s="182" t="s">
        <v>10188</v>
      </c>
      <c r="C846" s="183" t="s">
        <v>147</v>
      </c>
      <c r="D846" s="183">
        <v>3.25</v>
      </c>
      <c r="E846" s="183" t="s">
        <v>9391</v>
      </c>
      <c r="F846" s="183" t="s">
        <v>5</v>
      </c>
      <c r="G846" s="183" t="s">
        <v>447</v>
      </c>
      <c r="H846" s="183" t="s">
        <v>11205</v>
      </c>
      <c r="I846" s="183">
        <v>3</v>
      </c>
      <c r="J846" s="183" t="s">
        <v>543</v>
      </c>
      <c r="K846" s="183" t="s">
        <v>9393</v>
      </c>
      <c r="L846" s="183">
        <v>3.5</v>
      </c>
      <c r="M846" s="183" t="s">
        <v>478</v>
      </c>
      <c r="N846" s="187">
        <v>3000000</v>
      </c>
      <c r="O846" s="183" t="s">
        <v>465</v>
      </c>
      <c r="P846" s="183" t="s">
        <v>11206</v>
      </c>
      <c r="Q846" s="183"/>
      <c r="R846" s="183" t="s">
        <v>19</v>
      </c>
      <c r="S846" s="183" t="s">
        <v>9395</v>
      </c>
      <c r="T846" s="184"/>
      <c r="U846" s="184"/>
      <c r="V846" s="184"/>
      <c r="W846" s="184"/>
      <c r="X846" s="179"/>
      <c r="Y846" s="179"/>
      <c r="Z846" s="179"/>
      <c r="AA846" s="179"/>
    </row>
    <row r="847" spans="1:27">
      <c r="A847" s="181">
        <f ca="1">IFERROR(__xludf.DUMMYFUNCTION("IFS(B847="""","""",ISDATE(B847)=TRUE,B847,ISDATE(B847)=FALSE,TO_DATE(DATEVALUE(regexextract(B847,""\d+/\d+/\d+""))))"),44782)</f>
        <v>44782</v>
      </c>
      <c r="B847" s="182" t="s">
        <v>10188</v>
      </c>
      <c r="C847" s="183" t="s">
        <v>3167</v>
      </c>
      <c r="D847" s="183">
        <v>3.25</v>
      </c>
      <c r="E847" s="183" t="s">
        <v>3170</v>
      </c>
      <c r="F847" s="183" t="s">
        <v>5</v>
      </c>
      <c r="G847" s="183" t="s">
        <v>447</v>
      </c>
      <c r="H847" s="183" t="s">
        <v>11207</v>
      </c>
      <c r="I847" s="183">
        <v>3</v>
      </c>
      <c r="J847" s="183" t="s">
        <v>543</v>
      </c>
      <c r="K847" s="183" t="s">
        <v>3172</v>
      </c>
      <c r="L847" s="183">
        <v>3.5</v>
      </c>
      <c r="M847" s="184" t="s">
        <v>923</v>
      </c>
      <c r="N847" s="190">
        <v>10000000</v>
      </c>
      <c r="O847" s="183" t="s">
        <v>452</v>
      </c>
      <c r="P847" s="183" t="s">
        <v>3173</v>
      </c>
      <c r="Q847" s="184"/>
      <c r="R847" s="183" t="s">
        <v>24</v>
      </c>
      <c r="S847" s="183" t="s">
        <v>3174</v>
      </c>
      <c r="T847" s="184"/>
      <c r="U847" s="184"/>
      <c r="V847" s="184"/>
      <c r="W847" s="184"/>
      <c r="X847" s="179"/>
      <c r="Y847" s="179"/>
      <c r="Z847" s="179"/>
      <c r="AA847" s="179"/>
    </row>
    <row r="848" spans="1:27">
      <c r="A848" s="181">
        <f ca="1">IFERROR(__xludf.DUMMYFUNCTION("IFS(B848="""","""",ISDATE(B848)=TRUE,B848,ISDATE(B848)=FALSE,TO_DATE(DATEVALUE(regexextract(B848,""\d+/\d+/\d+""))))"),44796)</f>
        <v>44796</v>
      </c>
      <c r="B848" s="182" t="s">
        <v>529</v>
      </c>
      <c r="C848" s="183" t="s">
        <v>6858</v>
      </c>
      <c r="D848" s="183">
        <v>2.25</v>
      </c>
      <c r="E848" s="183" t="s">
        <v>6861</v>
      </c>
      <c r="F848" s="183" t="s">
        <v>4</v>
      </c>
      <c r="G848" s="183" t="s">
        <v>725</v>
      </c>
      <c r="H848" s="183" t="s">
        <v>11208</v>
      </c>
      <c r="I848" s="183">
        <v>2.5</v>
      </c>
      <c r="J848" s="183" t="s">
        <v>4054</v>
      </c>
      <c r="K848" s="183"/>
      <c r="L848" s="183">
        <v>2</v>
      </c>
      <c r="M848" s="184"/>
      <c r="N848" s="186"/>
      <c r="O848" s="183" t="s">
        <v>452</v>
      </c>
      <c r="P848" s="183" t="s">
        <v>452</v>
      </c>
      <c r="Q848" s="183"/>
      <c r="R848" s="183" t="s">
        <v>24</v>
      </c>
      <c r="S848" s="184"/>
      <c r="T848" s="184"/>
      <c r="U848" s="184"/>
      <c r="V848" s="184"/>
      <c r="W848" s="184"/>
      <c r="X848" s="179"/>
      <c r="Y848" s="179"/>
      <c r="Z848" s="179"/>
      <c r="AA848" s="179"/>
    </row>
    <row r="849" spans="1:27">
      <c r="A849" s="181">
        <f ca="1">IFERROR(__xludf.DUMMYFUNCTION("IFS(B849="""","""",ISDATE(B849)=TRUE,B849,ISDATE(B849)=FALSE,TO_DATE(DATEVALUE(regexextract(B849,""\d+/\d+/\d+""))))"),44796)</f>
        <v>44796</v>
      </c>
      <c r="B849" s="182" t="s">
        <v>529</v>
      </c>
      <c r="C849" s="183" t="s">
        <v>248</v>
      </c>
      <c r="D849" s="183">
        <v>4</v>
      </c>
      <c r="E849" s="183" t="s">
        <v>4052</v>
      </c>
      <c r="F849" s="183" t="s">
        <v>4</v>
      </c>
      <c r="G849" s="183" t="s">
        <v>725</v>
      </c>
      <c r="H849" s="183" t="s">
        <v>11209</v>
      </c>
      <c r="I849" s="183">
        <v>4</v>
      </c>
      <c r="J849" s="183" t="s">
        <v>4054</v>
      </c>
      <c r="K849" s="183" t="s">
        <v>4055</v>
      </c>
      <c r="L849" s="183">
        <v>4</v>
      </c>
      <c r="M849" s="183" t="s">
        <v>4056</v>
      </c>
      <c r="N849" s="194" t="s">
        <v>4057</v>
      </c>
      <c r="O849" s="183" t="s">
        <v>465</v>
      </c>
      <c r="P849" s="183" t="s">
        <v>4058</v>
      </c>
      <c r="Q849" s="184"/>
      <c r="R849" s="183" t="s">
        <v>18</v>
      </c>
      <c r="S849" s="184"/>
      <c r="T849" s="184"/>
      <c r="U849" s="184"/>
      <c r="V849" s="184"/>
      <c r="W849" s="184"/>
      <c r="X849" s="179"/>
      <c r="Y849" s="179"/>
      <c r="Z849" s="179"/>
      <c r="AA849" s="179"/>
    </row>
    <row r="850" spans="1:27">
      <c r="A850" s="181">
        <f ca="1">IFERROR(__xludf.DUMMYFUNCTION("IFS(B850="""","""",ISDATE(B850)=TRUE,B850,ISDATE(B850)=FALSE,TO_DATE(DATEVALUE(regexextract(B850,""\d+/\d+/\d+""))))"),44789)</f>
        <v>44789</v>
      </c>
      <c r="B850" s="182" t="s">
        <v>6450</v>
      </c>
      <c r="C850" s="183" t="s">
        <v>3001</v>
      </c>
      <c r="D850" s="183">
        <v>3</v>
      </c>
      <c r="E850" s="183" t="s">
        <v>3004</v>
      </c>
      <c r="F850" s="183" t="s">
        <v>5</v>
      </c>
      <c r="G850" s="183" t="s">
        <v>447</v>
      </c>
      <c r="H850" s="183" t="s">
        <v>11210</v>
      </c>
      <c r="I850" s="183">
        <v>3</v>
      </c>
      <c r="J850" s="183" t="s">
        <v>543</v>
      </c>
      <c r="K850" s="183" t="s">
        <v>11211</v>
      </c>
      <c r="L850" s="183">
        <v>3</v>
      </c>
      <c r="M850" s="183" t="s">
        <v>784</v>
      </c>
      <c r="N850" s="187">
        <v>2000000</v>
      </c>
      <c r="O850" s="183" t="s">
        <v>452</v>
      </c>
      <c r="P850" s="183" t="s">
        <v>3007</v>
      </c>
      <c r="Q850" s="184" t="s">
        <v>3008</v>
      </c>
      <c r="R850" s="183" t="s">
        <v>24</v>
      </c>
      <c r="S850" s="184"/>
      <c r="T850" s="184"/>
      <c r="U850" s="184"/>
      <c r="V850" s="184"/>
      <c r="W850" s="184"/>
      <c r="X850" s="179"/>
      <c r="Y850" s="179"/>
      <c r="Z850" s="179"/>
      <c r="AA850" s="179"/>
    </row>
    <row r="851" spans="1:27">
      <c r="A851" s="181">
        <f ca="1">IFERROR(__xludf.DUMMYFUNCTION("IFS(B851="""","""",ISDATE(B851)=TRUE,B851,ISDATE(B851)=FALSE,TO_DATE(DATEVALUE(regexextract(B851,""\d+/\d+/\d+""))))"),44776)</f>
        <v>44776</v>
      </c>
      <c r="B851" s="182" t="s">
        <v>10176</v>
      </c>
      <c r="C851" s="183" t="s">
        <v>137</v>
      </c>
      <c r="D851" s="183">
        <v>3.5</v>
      </c>
      <c r="E851" s="183" t="s">
        <v>11212</v>
      </c>
      <c r="F851" s="183" t="s">
        <v>5</v>
      </c>
      <c r="G851" s="183" t="s">
        <v>622</v>
      </c>
      <c r="H851" s="183" t="s">
        <v>11213</v>
      </c>
      <c r="I851" s="183">
        <v>3</v>
      </c>
      <c r="J851" s="183" t="s">
        <v>449</v>
      </c>
      <c r="K851" s="183" t="s">
        <v>11214</v>
      </c>
      <c r="L851" s="183">
        <v>4</v>
      </c>
      <c r="M851" s="183" t="s">
        <v>478</v>
      </c>
      <c r="N851" s="187">
        <v>2000000</v>
      </c>
      <c r="O851" s="183" t="s">
        <v>465</v>
      </c>
      <c r="P851" s="183" t="s">
        <v>3247</v>
      </c>
      <c r="Q851" s="184"/>
      <c r="R851" s="183" t="s">
        <v>19</v>
      </c>
      <c r="S851" s="184" t="s">
        <v>2747</v>
      </c>
      <c r="T851" s="184"/>
      <c r="U851" s="184"/>
      <c r="V851" s="184"/>
      <c r="W851" s="184"/>
      <c r="X851" s="179"/>
      <c r="Y851" s="179"/>
      <c r="Z851" s="179"/>
      <c r="AA851" s="179"/>
    </row>
    <row r="852" spans="1:27">
      <c r="A852" s="181">
        <f ca="1">IFERROR(__xludf.DUMMYFUNCTION("IFS(B852="""","""",ISDATE(B852)=TRUE,B852,ISDATE(B852)=FALSE,TO_DATE(DATEVALUE(regexextract(B852,""\d+/\d+/\d+""))))"),44782)</f>
        <v>44782</v>
      </c>
      <c r="B852" s="182" t="s">
        <v>10188</v>
      </c>
      <c r="C852" s="183" t="s">
        <v>292</v>
      </c>
      <c r="D852" s="184">
        <v>3.63</v>
      </c>
      <c r="E852" s="183" t="s">
        <v>11215</v>
      </c>
      <c r="F852" s="183" t="s">
        <v>4</v>
      </c>
      <c r="G852" s="183" t="s">
        <v>727</v>
      </c>
      <c r="H852" s="184" t="s">
        <v>11216</v>
      </c>
      <c r="I852" s="184">
        <v>3.75</v>
      </c>
      <c r="J852" s="183" t="s">
        <v>1054</v>
      </c>
      <c r="K852" s="184" t="s">
        <v>11217</v>
      </c>
      <c r="L852" s="183">
        <v>3.5</v>
      </c>
      <c r="M852" s="184" t="s">
        <v>451</v>
      </c>
      <c r="N852" s="186">
        <v>750000</v>
      </c>
      <c r="O852" s="183" t="s">
        <v>452</v>
      </c>
      <c r="P852" s="183" t="s">
        <v>11218</v>
      </c>
      <c r="Q852" s="184"/>
      <c r="R852" s="184" t="s">
        <v>18</v>
      </c>
      <c r="S852" s="184" t="s">
        <v>4463</v>
      </c>
      <c r="T852" s="184"/>
      <c r="U852" s="184"/>
      <c r="V852" s="184"/>
      <c r="W852" s="184"/>
      <c r="X852" s="179"/>
      <c r="Y852" s="179"/>
      <c r="Z852" s="179"/>
      <c r="AA852" s="179"/>
    </row>
    <row r="853" spans="1:27">
      <c r="A853" s="181">
        <f ca="1">IFERROR(__xludf.DUMMYFUNCTION("IFS(B853="""","""",ISDATE(B853)=TRUE,B853,ISDATE(B853)=FALSE,TO_DATE(DATEVALUE(regexextract(B853,""\d+/\d+/\d+""))))"),44782)</f>
        <v>44782</v>
      </c>
      <c r="B853" s="182" t="s">
        <v>10188</v>
      </c>
      <c r="C853" s="183" t="s">
        <v>9031</v>
      </c>
      <c r="D853" s="183">
        <v>3</v>
      </c>
      <c r="E853" s="183" t="s">
        <v>9034</v>
      </c>
      <c r="F853" s="183" t="s">
        <v>3</v>
      </c>
      <c r="G853" s="183" t="s">
        <v>460</v>
      </c>
      <c r="H853" s="183" t="s">
        <v>9035</v>
      </c>
      <c r="I853" s="183">
        <v>3</v>
      </c>
      <c r="J853" s="183" t="s">
        <v>488</v>
      </c>
      <c r="K853" s="183"/>
      <c r="L853" s="183">
        <v>3</v>
      </c>
      <c r="M853" s="183" t="s">
        <v>784</v>
      </c>
      <c r="N853" s="187" t="s">
        <v>4444</v>
      </c>
      <c r="O853" s="183" t="s">
        <v>452</v>
      </c>
      <c r="P853" s="183" t="s">
        <v>11219</v>
      </c>
      <c r="Q853" s="184" t="s">
        <v>9037</v>
      </c>
      <c r="R853" s="183" t="s">
        <v>24</v>
      </c>
      <c r="S853" s="183" t="s">
        <v>11220</v>
      </c>
      <c r="T853" s="184"/>
      <c r="U853" s="184"/>
      <c r="V853" s="184"/>
      <c r="W853" s="184"/>
      <c r="X853" s="179"/>
      <c r="Y853" s="179"/>
      <c r="Z853" s="179"/>
      <c r="AA853" s="179"/>
    </row>
    <row r="854" spans="1:27">
      <c r="A854" s="181">
        <f ca="1">IFERROR(__xludf.DUMMYFUNCTION("IFS(B854="""","""",ISDATE(B854)=TRUE,B854,ISDATE(B854)=FALSE,TO_DATE(DATEVALUE(regexextract(B854,""\d+/\d+/\d+""))))"),44782)</f>
        <v>44782</v>
      </c>
      <c r="B854" s="182" t="s">
        <v>10188</v>
      </c>
      <c r="C854" s="183" t="s">
        <v>8859</v>
      </c>
      <c r="D854" s="183">
        <v>3.5</v>
      </c>
      <c r="E854" s="183" t="s">
        <v>11221</v>
      </c>
      <c r="F854" s="183" t="s">
        <v>3</v>
      </c>
      <c r="G854" s="183" t="s">
        <v>460</v>
      </c>
      <c r="H854" s="183" t="s">
        <v>8863</v>
      </c>
      <c r="I854" s="183">
        <v>3</v>
      </c>
      <c r="J854" s="183" t="s">
        <v>462</v>
      </c>
      <c r="K854" s="183" t="s">
        <v>11222</v>
      </c>
      <c r="L854" s="183">
        <v>4</v>
      </c>
      <c r="M854" s="183" t="s">
        <v>451</v>
      </c>
      <c r="N854" s="187">
        <v>1000000</v>
      </c>
      <c r="O854" s="183" t="s">
        <v>454</v>
      </c>
      <c r="P854" s="183" t="s">
        <v>8865</v>
      </c>
      <c r="Q854" s="184"/>
      <c r="R854" s="183" t="s">
        <v>24</v>
      </c>
      <c r="S854" s="183" t="s">
        <v>8866</v>
      </c>
      <c r="T854" s="184"/>
      <c r="U854" s="184"/>
      <c r="V854" s="184"/>
      <c r="W854" s="184"/>
      <c r="X854" s="179"/>
      <c r="Y854" s="179"/>
      <c r="Z854" s="179"/>
      <c r="AA854" s="179"/>
    </row>
    <row r="855" spans="1:27">
      <c r="A855" s="181">
        <f ca="1">IFERROR(__xludf.DUMMYFUNCTION("IFS(B855="""","""",ISDATE(B855)=TRUE,B855,ISDATE(B855)=FALSE,TO_DATE(DATEVALUE(regexextract(B855,""\d+/\d+/\d+""))))"),44776)</f>
        <v>44776</v>
      </c>
      <c r="B855" s="182" t="s">
        <v>10176</v>
      </c>
      <c r="C855" s="183" t="s">
        <v>143</v>
      </c>
      <c r="D855" s="183">
        <v>4</v>
      </c>
      <c r="E855" s="183" t="s">
        <v>979</v>
      </c>
      <c r="F855" s="183" t="s">
        <v>5</v>
      </c>
      <c r="G855" s="183" t="s">
        <v>447</v>
      </c>
      <c r="H855" s="184" t="s">
        <v>980</v>
      </c>
      <c r="I855" s="183">
        <v>4</v>
      </c>
      <c r="J855" s="183" t="s">
        <v>476</v>
      </c>
      <c r="K855" s="183" t="s">
        <v>11223</v>
      </c>
      <c r="L855" s="183">
        <v>4</v>
      </c>
      <c r="M855" s="183" t="s">
        <v>451</v>
      </c>
      <c r="N855" s="185" t="s">
        <v>982</v>
      </c>
      <c r="O855" s="183" t="s">
        <v>452</v>
      </c>
      <c r="P855" s="183" t="s">
        <v>983</v>
      </c>
      <c r="Q855" s="183"/>
      <c r="R855" s="183" t="s">
        <v>18</v>
      </c>
      <c r="S855" s="184"/>
      <c r="T855" s="184"/>
      <c r="U855" s="184"/>
      <c r="V855" s="184"/>
      <c r="W855" s="184"/>
      <c r="X855" s="179"/>
      <c r="Y855" s="179"/>
      <c r="Z855" s="179"/>
      <c r="AA855" s="179"/>
    </row>
    <row r="856" spans="1:27">
      <c r="A856" s="181">
        <f ca="1">IFERROR(__xludf.DUMMYFUNCTION("IFS(B856="""","""",ISDATE(B856)=TRUE,B856,ISDATE(B856)=FALSE,TO_DATE(DATEVALUE(regexextract(B856,""\d+/\d+/\d+""))))"),44796)</f>
        <v>44796</v>
      </c>
      <c r="B856" s="182" t="s">
        <v>529</v>
      </c>
      <c r="C856" s="183" t="s">
        <v>4403</v>
      </c>
      <c r="D856" s="183">
        <v>3.75</v>
      </c>
      <c r="E856" s="183" t="s">
        <v>4406</v>
      </c>
      <c r="F856" s="183" t="s">
        <v>4</v>
      </c>
      <c r="G856" s="183" t="s">
        <v>447</v>
      </c>
      <c r="H856" s="183" t="s">
        <v>11224</v>
      </c>
      <c r="I856" s="183">
        <v>2.5</v>
      </c>
      <c r="J856" s="183" t="s">
        <v>4054</v>
      </c>
      <c r="K856" s="183"/>
      <c r="L856" s="183">
        <v>5</v>
      </c>
      <c r="M856" s="184" t="s">
        <v>923</v>
      </c>
      <c r="N856" s="188" t="s">
        <v>4408</v>
      </c>
      <c r="O856" s="183" t="s">
        <v>452</v>
      </c>
      <c r="P856" s="183" t="s">
        <v>452</v>
      </c>
      <c r="Q856" s="184"/>
      <c r="R856" s="183" t="s">
        <v>24</v>
      </c>
      <c r="S856" s="184"/>
      <c r="T856" s="184"/>
      <c r="U856" s="184"/>
      <c r="V856" s="184"/>
      <c r="W856" s="184"/>
      <c r="X856" s="179"/>
      <c r="Y856" s="179"/>
      <c r="Z856" s="179"/>
      <c r="AA856" s="179"/>
    </row>
    <row r="857" spans="1:27">
      <c r="A857" s="181">
        <f ca="1">IFERROR(__xludf.DUMMYFUNCTION("IFS(B857="""","""",ISDATE(B857)=TRUE,B857,ISDATE(B857)=FALSE,TO_DATE(DATEVALUE(regexextract(B857,""\d+/\d+/\d+""))))"),44797)</f>
        <v>44797</v>
      </c>
      <c r="B857" s="182" t="s">
        <v>907</v>
      </c>
      <c r="C857" s="183" t="s">
        <v>7119</v>
      </c>
      <c r="D857" s="183">
        <v>2</v>
      </c>
      <c r="E857" s="183" t="s">
        <v>7122</v>
      </c>
      <c r="F857" s="183" t="s">
        <v>4</v>
      </c>
      <c r="G857" s="183" t="s">
        <v>727</v>
      </c>
      <c r="H857" s="183" t="s">
        <v>7123</v>
      </c>
      <c r="I857" s="183">
        <v>2</v>
      </c>
      <c r="J857" s="183" t="s">
        <v>1073</v>
      </c>
      <c r="K857" s="183"/>
      <c r="L857" s="183">
        <v>2</v>
      </c>
      <c r="M857" s="183"/>
      <c r="N857" s="187"/>
      <c r="O857" s="183" t="s">
        <v>452</v>
      </c>
      <c r="P857" s="183" t="s">
        <v>11225</v>
      </c>
      <c r="Q857" s="184"/>
      <c r="R857" s="183" t="s">
        <v>24</v>
      </c>
      <c r="S857" s="183"/>
      <c r="T857" s="184"/>
      <c r="U857" s="184"/>
      <c r="V857" s="184"/>
      <c r="W857" s="184"/>
      <c r="X857" s="179"/>
      <c r="Y857" s="179"/>
      <c r="Z857" s="179"/>
      <c r="AA857" s="179"/>
    </row>
    <row r="858" spans="1:27">
      <c r="A858" s="181">
        <f ca="1">IFERROR(__xludf.DUMMYFUNCTION("IFS(B858="""","""",ISDATE(B858)=TRUE,B858,ISDATE(B858)=FALSE,TO_DATE(DATEVALUE(regexextract(B858,""\d+/\d+/\d+""))))"),44796)</f>
        <v>44796</v>
      </c>
      <c r="B858" s="182" t="s">
        <v>529</v>
      </c>
      <c r="C858" s="183" t="s">
        <v>5121</v>
      </c>
      <c r="D858" s="183">
        <v>3.25</v>
      </c>
      <c r="E858" s="183"/>
      <c r="F858" s="183" t="s">
        <v>4</v>
      </c>
      <c r="G858" s="183" t="s">
        <v>725</v>
      </c>
      <c r="H858" s="183" t="s">
        <v>5124</v>
      </c>
      <c r="I858" s="183">
        <v>3.5</v>
      </c>
      <c r="J858" s="183" t="s">
        <v>1298</v>
      </c>
      <c r="K858" s="184" t="s">
        <v>5125</v>
      </c>
      <c r="L858" s="183">
        <v>3</v>
      </c>
      <c r="M858" s="184" t="s">
        <v>1656</v>
      </c>
      <c r="N858" s="188">
        <v>2000000</v>
      </c>
      <c r="O858" s="183" t="s">
        <v>452</v>
      </c>
      <c r="P858" s="183" t="s">
        <v>5126</v>
      </c>
      <c r="Q858" s="184" t="s">
        <v>5127</v>
      </c>
      <c r="R858" s="183" t="s">
        <v>24</v>
      </c>
      <c r="S858" s="184"/>
      <c r="T858" s="184"/>
      <c r="U858" s="184"/>
      <c r="V858" s="184"/>
      <c r="W858" s="184"/>
      <c r="X858" s="179"/>
      <c r="Y858" s="179"/>
      <c r="Z858" s="179"/>
      <c r="AA858" s="179"/>
    </row>
    <row r="859" spans="1:27">
      <c r="A859" s="181">
        <f ca="1">IFERROR(__xludf.DUMMYFUNCTION("IFS(B859="""","""",ISDATE(B859)=TRUE,B859,ISDATE(B859)=FALSE,TO_DATE(DATEVALUE(regexextract(B859,""\d+/\d+/\d+""))))"),44797)</f>
        <v>44797</v>
      </c>
      <c r="B859" s="182" t="s">
        <v>907</v>
      </c>
      <c r="C859" s="183" t="s">
        <v>335</v>
      </c>
      <c r="D859" s="183">
        <v>4.5</v>
      </c>
      <c r="E859" s="183" t="s">
        <v>1890</v>
      </c>
      <c r="F859" s="183" t="s">
        <v>3</v>
      </c>
      <c r="G859" s="183" t="s">
        <v>488</v>
      </c>
      <c r="H859" s="183" t="s">
        <v>11226</v>
      </c>
      <c r="I859" s="183">
        <v>4.5</v>
      </c>
      <c r="J859" s="183" t="s">
        <v>941</v>
      </c>
      <c r="K859" s="183"/>
      <c r="L859" s="183">
        <v>4.5</v>
      </c>
      <c r="M859" s="183" t="s">
        <v>1892</v>
      </c>
      <c r="N859" s="185" t="s">
        <v>1893</v>
      </c>
      <c r="O859" s="183" t="s">
        <v>452</v>
      </c>
      <c r="P859" s="183" t="s">
        <v>452</v>
      </c>
      <c r="Q859" s="184"/>
      <c r="R859" s="183" t="s">
        <v>18</v>
      </c>
      <c r="S859" s="184" t="s">
        <v>1894</v>
      </c>
      <c r="T859" s="184"/>
      <c r="U859" s="184"/>
      <c r="V859" s="184"/>
      <c r="W859" s="184"/>
      <c r="X859" s="179"/>
      <c r="Y859" s="179"/>
      <c r="Z859" s="179"/>
      <c r="AA859" s="179"/>
    </row>
    <row r="860" spans="1:27">
      <c r="A860" s="181">
        <f ca="1">IFERROR(__xludf.DUMMYFUNCTION("IFS(B860="""","""",ISDATE(B860)=TRUE,B860,ISDATE(B860)=FALSE,TO_DATE(DATEVALUE(regexextract(B860,""\d+/\d+/\d+""))))"),44776)</f>
        <v>44776</v>
      </c>
      <c r="B860" s="182" t="s">
        <v>10176</v>
      </c>
      <c r="C860" s="183" t="s">
        <v>2957</v>
      </c>
      <c r="D860" s="183">
        <v>2.75</v>
      </c>
      <c r="E860" s="183"/>
      <c r="F860" s="183" t="s">
        <v>5</v>
      </c>
      <c r="G860" s="183" t="s">
        <v>447</v>
      </c>
      <c r="H860" s="183"/>
      <c r="I860" s="183">
        <v>2.5</v>
      </c>
      <c r="J860" s="183" t="s">
        <v>622</v>
      </c>
      <c r="K860" s="183" t="s">
        <v>2960</v>
      </c>
      <c r="L860" s="183">
        <v>3</v>
      </c>
      <c r="M860" s="183" t="s">
        <v>2961</v>
      </c>
      <c r="N860" s="185">
        <v>10000</v>
      </c>
      <c r="O860" s="183" t="s">
        <v>452</v>
      </c>
      <c r="P860" s="183" t="s">
        <v>2962</v>
      </c>
      <c r="Q860" s="183"/>
      <c r="R860" s="183" t="s">
        <v>24</v>
      </c>
      <c r="S860" s="184"/>
      <c r="T860" s="184"/>
      <c r="U860" s="184"/>
      <c r="V860" s="184"/>
      <c r="W860" s="184"/>
      <c r="X860" s="179"/>
      <c r="Y860" s="179"/>
      <c r="Z860" s="179"/>
      <c r="AA860" s="179"/>
    </row>
    <row r="861" spans="1:27">
      <c r="A861" s="181">
        <f ca="1">IFERROR(__xludf.DUMMYFUNCTION("IFS(B861="""","""",ISDATE(B861)=TRUE,B861,ISDATE(B861)=FALSE,TO_DATE(DATEVALUE(regexextract(B861,""\d+/\d+/\d+""))))"),44797)</f>
        <v>44797</v>
      </c>
      <c r="B861" s="182" t="s">
        <v>907</v>
      </c>
      <c r="C861" s="183" t="s">
        <v>6407</v>
      </c>
      <c r="D861" s="183">
        <v>2.5</v>
      </c>
      <c r="E861" s="183" t="s">
        <v>6410</v>
      </c>
      <c r="F861" s="183" t="s">
        <v>4</v>
      </c>
      <c r="G861" s="183" t="s">
        <v>725</v>
      </c>
      <c r="H861" s="183" t="s">
        <v>6411</v>
      </c>
      <c r="I861" s="183">
        <v>2</v>
      </c>
      <c r="J861" s="183" t="s">
        <v>1350</v>
      </c>
      <c r="K861" s="183" t="s">
        <v>6412</v>
      </c>
      <c r="L861" s="183">
        <v>3</v>
      </c>
      <c r="M861" s="184" t="s">
        <v>11227</v>
      </c>
      <c r="N861" s="188">
        <v>2000000</v>
      </c>
      <c r="O861" s="183" t="s">
        <v>452</v>
      </c>
      <c r="P861" s="183" t="s">
        <v>6414</v>
      </c>
      <c r="Q861" s="184"/>
      <c r="R861" s="183" t="s">
        <v>24</v>
      </c>
      <c r="S861" s="183"/>
      <c r="T861" s="184"/>
      <c r="U861" s="184"/>
      <c r="V861" s="184"/>
      <c r="W861" s="184"/>
      <c r="X861" s="179"/>
      <c r="Y861" s="179"/>
      <c r="Z861" s="179"/>
      <c r="AA861" s="179"/>
    </row>
    <row r="862" spans="1:27">
      <c r="A862" s="181">
        <f ca="1">IFERROR(__xludf.DUMMYFUNCTION("IFS(B862="""","""",ISDATE(B862)=TRUE,B862,ISDATE(B862)=FALSE,TO_DATE(DATEVALUE(regexextract(B862,""\d+/\d+/\d+""))))"),44791)</f>
        <v>44791</v>
      </c>
      <c r="B862" s="182" t="s">
        <v>10182</v>
      </c>
      <c r="C862" s="183" t="s">
        <v>9226</v>
      </c>
      <c r="D862" s="183">
        <v>3.5</v>
      </c>
      <c r="E862" s="183" t="s">
        <v>9229</v>
      </c>
      <c r="F862" s="183" t="s">
        <v>3</v>
      </c>
      <c r="G862" s="183" t="s">
        <v>488</v>
      </c>
      <c r="H862" s="183" t="s">
        <v>11228</v>
      </c>
      <c r="I862" s="183">
        <v>3</v>
      </c>
      <c r="J862" s="183" t="s">
        <v>941</v>
      </c>
      <c r="K862" s="183" t="s">
        <v>9231</v>
      </c>
      <c r="L862" s="183">
        <v>4</v>
      </c>
      <c r="M862" s="183" t="s">
        <v>2190</v>
      </c>
      <c r="N862" s="187">
        <v>0</v>
      </c>
      <c r="O862" s="183" t="s">
        <v>452</v>
      </c>
      <c r="P862" s="183" t="s">
        <v>575</v>
      </c>
      <c r="Q862" s="184"/>
      <c r="R862" s="183" t="s">
        <v>24</v>
      </c>
      <c r="S862" s="184" t="s">
        <v>9232</v>
      </c>
      <c r="T862" s="184"/>
      <c r="U862" s="184"/>
      <c r="V862" s="184"/>
      <c r="W862" s="184"/>
      <c r="X862" s="179"/>
      <c r="Y862" s="179"/>
      <c r="Z862" s="179"/>
      <c r="AA862" s="179"/>
    </row>
    <row r="863" spans="1:27">
      <c r="A863" s="181">
        <f ca="1">IFERROR(__xludf.DUMMYFUNCTION("IFS(B863="""","""",ISDATE(B863)=TRUE,B863,ISDATE(B863)=FALSE,TO_DATE(DATEVALUE(regexextract(B863,""\d+/\d+/\d+""))))"),44796)</f>
        <v>44796</v>
      </c>
      <c r="B863" s="182" t="s">
        <v>529</v>
      </c>
      <c r="C863" s="183" t="s">
        <v>3487</v>
      </c>
      <c r="D863" s="183">
        <v>3.25</v>
      </c>
      <c r="E863" s="183" t="s">
        <v>11229</v>
      </c>
      <c r="F863" s="183" t="s">
        <v>5</v>
      </c>
      <c r="G863" s="183" t="s">
        <v>447</v>
      </c>
      <c r="H863" s="183" t="s">
        <v>11230</v>
      </c>
      <c r="I863" s="183">
        <v>3</v>
      </c>
      <c r="J863" s="183" t="s">
        <v>543</v>
      </c>
      <c r="K863" s="183" t="s">
        <v>11231</v>
      </c>
      <c r="L863" s="183">
        <v>3.5</v>
      </c>
      <c r="M863" s="183" t="s">
        <v>3493</v>
      </c>
      <c r="N863" s="187" t="s">
        <v>3494</v>
      </c>
      <c r="O863" s="183" t="s">
        <v>452</v>
      </c>
      <c r="P863" s="183" t="s">
        <v>1119</v>
      </c>
      <c r="Q863" s="184"/>
      <c r="R863" s="183" t="s">
        <v>24</v>
      </c>
      <c r="S863" s="184"/>
      <c r="T863" s="184"/>
      <c r="U863" s="184"/>
      <c r="V863" s="184"/>
      <c r="W863" s="184"/>
      <c r="X863" s="179"/>
      <c r="Y863" s="179"/>
      <c r="Z863" s="179"/>
      <c r="AA863" s="179"/>
    </row>
    <row r="864" spans="1:27">
      <c r="A864" s="181">
        <f ca="1">IFERROR(__xludf.DUMMYFUNCTION("IFS(B864="""","""",ISDATE(B864)=TRUE,B864,ISDATE(B864)=FALSE,TO_DATE(DATEVALUE(regexextract(B864,""\d+/\d+/\d+""))))"),44796)</f>
        <v>44796</v>
      </c>
      <c r="B864" s="182" t="s">
        <v>529</v>
      </c>
      <c r="C864" s="183" t="s">
        <v>6348</v>
      </c>
      <c r="D864" s="183">
        <v>2.5</v>
      </c>
      <c r="E864" s="183" t="s">
        <v>6351</v>
      </c>
      <c r="F864" s="183" t="s">
        <v>4</v>
      </c>
      <c r="G864" s="183" t="s">
        <v>727</v>
      </c>
      <c r="H864" s="183"/>
      <c r="I864" s="183">
        <v>2</v>
      </c>
      <c r="J864" s="183" t="s">
        <v>1045</v>
      </c>
      <c r="K864" s="183" t="s">
        <v>6352</v>
      </c>
      <c r="L864" s="183">
        <v>3</v>
      </c>
      <c r="M864" s="183" t="s">
        <v>451</v>
      </c>
      <c r="N864" s="187">
        <v>5000000</v>
      </c>
      <c r="O864" s="183" t="s">
        <v>452</v>
      </c>
      <c r="P864" s="183" t="s">
        <v>11232</v>
      </c>
      <c r="Q864" s="184"/>
      <c r="R864" s="183" t="s">
        <v>24</v>
      </c>
      <c r="S864" s="184"/>
      <c r="T864" s="184"/>
      <c r="U864" s="184"/>
      <c r="V864" s="184"/>
      <c r="W864" s="184"/>
      <c r="X864" s="179"/>
      <c r="Y864" s="179"/>
      <c r="Z864" s="179"/>
      <c r="AA864" s="179"/>
    </row>
    <row r="865" spans="1:27">
      <c r="A865" s="181">
        <f ca="1">IFERROR(__xludf.DUMMYFUNCTION("IFS(B865="""","""",ISDATE(B865)=TRUE,B865,ISDATE(B865)=FALSE,TO_DATE(DATEVALUE(regexextract(B865,""\d+/\d+/\d+""))))"),44796)</f>
        <v>44796</v>
      </c>
      <c r="B865" s="182" t="s">
        <v>529</v>
      </c>
      <c r="C865" s="183" t="s">
        <v>8107</v>
      </c>
      <c r="D865" s="184">
        <v>1</v>
      </c>
      <c r="E865" s="183" t="s">
        <v>8110</v>
      </c>
      <c r="F865" s="183" t="s">
        <v>4</v>
      </c>
      <c r="G865" s="183" t="s">
        <v>725</v>
      </c>
      <c r="H865" s="184" t="s">
        <v>8111</v>
      </c>
      <c r="I865" s="184">
        <v>1</v>
      </c>
      <c r="J865" s="183" t="s">
        <v>476</v>
      </c>
      <c r="K865" s="184" t="s">
        <v>8112</v>
      </c>
      <c r="L865" s="184">
        <v>1</v>
      </c>
      <c r="M865" s="183"/>
      <c r="N865" s="187"/>
      <c r="O865" s="183" t="s">
        <v>452</v>
      </c>
      <c r="P865" s="183" t="s">
        <v>11233</v>
      </c>
      <c r="Q865" s="184"/>
      <c r="R865" s="184" t="s">
        <v>24</v>
      </c>
      <c r="S865" s="184"/>
      <c r="T865" s="184"/>
      <c r="U865" s="184"/>
      <c r="V865" s="184"/>
      <c r="W865" s="184"/>
      <c r="X865" s="179"/>
      <c r="Y865" s="179"/>
      <c r="Z865" s="179"/>
      <c r="AA865" s="179"/>
    </row>
    <row r="866" spans="1:27">
      <c r="A866" s="181">
        <f ca="1">IFERROR(__xludf.DUMMYFUNCTION("IFS(B866="""","""",ISDATE(B866)=TRUE,B866,ISDATE(B866)=FALSE,TO_DATE(DATEVALUE(regexextract(B866,""\d+/\d+/\d+""))))"),44796)</f>
        <v>44796</v>
      </c>
      <c r="B866" s="182" t="s">
        <v>529</v>
      </c>
      <c r="C866" s="183" t="s">
        <v>2318</v>
      </c>
      <c r="D866" s="183">
        <v>1.5</v>
      </c>
      <c r="E866" s="191"/>
      <c r="F866" s="183" t="s">
        <v>5</v>
      </c>
      <c r="G866" s="183" t="s">
        <v>447</v>
      </c>
      <c r="H866" s="183" t="s">
        <v>11234</v>
      </c>
      <c r="I866" s="183">
        <v>1</v>
      </c>
      <c r="J866" s="183" t="s">
        <v>449</v>
      </c>
      <c r="K866" s="184" t="s">
        <v>11235</v>
      </c>
      <c r="L866" s="183">
        <v>2</v>
      </c>
      <c r="M866" s="183" t="s">
        <v>2190</v>
      </c>
      <c r="N866" s="187">
        <v>2000000</v>
      </c>
      <c r="O866" s="183" t="s">
        <v>452</v>
      </c>
      <c r="P866" s="183" t="s">
        <v>2323</v>
      </c>
      <c r="Q866" s="183"/>
      <c r="R866" s="183" t="s">
        <v>24</v>
      </c>
      <c r="S866" s="184"/>
      <c r="T866" s="184"/>
      <c r="U866" s="184"/>
      <c r="V866" s="184"/>
      <c r="W866" s="184"/>
      <c r="X866" s="179"/>
      <c r="Y866" s="179"/>
      <c r="Z866" s="179"/>
      <c r="AA866" s="179"/>
    </row>
    <row r="867" spans="1:27">
      <c r="A867" s="181">
        <f ca="1">IFERROR(__xludf.DUMMYFUNCTION("IFS(B867="""","""",ISDATE(B867)=TRUE,B867,ISDATE(B867)=FALSE,TO_DATE(DATEVALUE(regexextract(B867,""\d+/\d+/\d+""))))"),44796)</f>
        <v>44796</v>
      </c>
      <c r="B867" s="189" t="s">
        <v>529</v>
      </c>
      <c r="C867" s="183" t="s">
        <v>3027</v>
      </c>
      <c r="D867" s="184">
        <v>2.25</v>
      </c>
      <c r="E867" s="183" t="s">
        <v>11236</v>
      </c>
      <c r="F867" s="183" t="s">
        <v>5</v>
      </c>
      <c r="G867" s="183" t="s">
        <v>447</v>
      </c>
      <c r="H867" s="184" t="s">
        <v>11237</v>
      </c>
      <c r="I867" s="184">
        <v>2</v>
      </c>
      <c r="J867" s="183" t="s">
        <v>543</v>
      </c>
      <c r="K867" s="184" t="s">
        <v>11238</v>
      </c>
      <c r="L867" s="184">
        <v>2.5</v>
      </c>
      <c r="M867" s="184" t="s">
        <v>2190</v>
      </c>
      <c r="N867" s="188">
        <v>363000</v>
      </c>
      <c r="O867" s="183" t="s">
        <v>465</v>
      </c>
      <c r="P867" s="183"/>
      <c r="Q867" s="183"/>
      <c r="R867" s="184" t="s">
        <v>24</v>
      </c>
      <c r="S867" s="184"/>
      <c r="T867" s="184"/>
      <c r="U867" s="184"/>
      <c r="V867" s="184"/>
      <c r="W867" s="184"/>
      <c r="X867" s="179"/>
      <c r="Y867" s="179"/>
      <c r="Z867" s="179"/>
      <c r="AA867" s="179"/>
    </row>
    <row r="868" spans="1:27">
      <c r="A868" s="181">
        <f ca="1">IFERROR(__xludf.DUMMYFUNCTION("IFS(B868="""","""",ISDATE(B868)=TRUE,B868,ISDATE(B868)=FALSE,TO_DATE(DATEVALUE(regexextract(B868,""\d+/\d+/\d+""))))"),44796)</f>
        <v>44796</v>
      </c>
      <c r="B868" s="182" t="s">
        <v>529</v>
      </c>
      <c r="C868" s="183" t="s">
        <v>8687</v>
      </c>
      <c r="D868" s="183">
        <v>2</v>
      </c>
      <c r="E868" s="183" t="s">
        <v>11239</v>
      </c>
      <c r="F868" s="183" t="s">
        <v>3</v>
      </c>
      <c r="G868" s="183" t="s">
        <v>488</v>
      </c>
      <c r="H868" s="183" t="s">
        <v>8691</v>
      </c>
      <c r="I868" s="183">
        <v>2</v>
      </c>
      <c r="J868" s="183" t="s">
        <v>941</v>
      </c>
      <c r="K868" s="183" t="s">
        <v>8692</v>
      </c>
      <c r="L868" s="183">
        <v>2</v>
      </c>
      <c r="M868" s="183"/>
      <c r="N868" s="185"/>
      <c r="O868" s="183" t="s">
        <v>454</v>
      </c>
      <c r="P868" s="183" t="s">
        <v>1119</v>
      </c>
      <c r="Q868" s="184"/>
      <c r="R868" s="183" t="s">
        <v>24</v>
      </c>
      <c r="S868" s="184"/>
      <c r="T868" s="184"/>
      <c r="U868" s="184"/>
      <c r="V868" s="184"/>
      <c r="W868" s="184"/>
      <c r="X868" s="179"/>
      <c r="Y868" s="179"/>
      <c r="Z868" s="179"/>
      <c r="AA868" s="179"/>
    </row>
    <row r="869" spans="1:27">
      <c r="A869" s="181">
        <f ca="1">IFERROR(__xludf.DUMMYFUNCTION("IFS(B869="""","""",ISDATE(B869)=TRUE,B869,ISDATE(B869)=FALSE,TO_DATE(DATEVALUE(regexextract(B869,""\d+/\d+/\d+""))))"),44796)</f>
        <v>44796</v>
      </c>
      <c r="B869" s="182" t="s">
        <v>529</v>
      </c>
      <c r="C869" s="183" t="s">
        <v>6493</v>
      </c>
      <c r="D869" s="184">
        <v>2.5</v>
      </c>
      <c r="E869" s="191" t="s">
        <v>6496</v>
      </c>
      <c r="F869" s="183" t="s">
        <v>4</v>
      </c>
      <c r="G869" s="183" t="s">
        <v>727</v>
      </c>
      <c r="H869" s="184" t="s">
        <v>11240</v>
      </c>
      <c r="I869" s="184">
        <v>2.5</v>
      </c>
      <c r="J869" s="183" t="s">
        <v>1045</v>
      </c>
      <c r="K869" s="183" t="s">
        <v>6498</v>
      </c>
      <c r="L869" s="183">
        <v>2.5</v>
      </c>
      <c r="M869" s="183" t="s">
        <v>784</v>
      </c>
      <c r="N869" s="187">
        <v>500000</v>
      </c>
      <c r="O869" s="183" t="s">
        <v>452</v>
      </c>
      <c r="P869" s="183" t="s">
        <v>6499</v>
      </c>
      <c r="Q869" s="184"/>
      <c r="R869" s="184" t="s">
        <v>24</v>
      </c>
      <c r="S869" s="184"/>
      <c r="T869" s="184"/>
      <c r="U869" s="184"/>
      <c r="V869" s="184"/>
      <c r="W869" s="184"/>
      <c r="X869" s="179"/>
      <c r="Y869" s="179"/>
      <c r="Z869" s="179"/>
      <c r="AA869" s="179"/>
    </row>
    <row r="870" spans="1:27">
      <c r="A870" s="181">
        <f ca="1">IFERROR(__xludf.DUMMYFUNCTION("IFS(B870="""","""",ISDATE(B870)=TRUE,B870,ISDATE(B870)=FALSE,TO_DATE(DATEVALUE(regexextract(B870,""\d+/\d+/\d+""))))"),44796)</f>
        <v>44796</v>
      </c>
      <c r="B870" s="182" t="s">
        <v>529</v>
      </c>
      <c r="C870" s="183" t="s">
        <v>209</v>
      </c>
      <c r="D870" s="183">
        <v>4</v>
      </c>
      <c r="E870" s="183" t="s">
        <v>3852</v>
      </c>
      <c r="F870" s="183" t="s">
        <v>4</v>
      </c>
      <c r="G870" s="183" t="s">
        <v>447</v>
      </c>
      <c r="H870" s="183" t="s">
        <v>11241</v>
      </c>
      <c r="I870" s="183">
        <v>4</v>
      </c>
      <c r="J870" s="183" t="s">
        <v>1187</v>
      </c>
      <c r="K870" s="183" t="s">
        <v>3854</v>
      </c>
      <c r="L870" s="183">
        <v>4</v>
      </c>
      <c r="M870" s="183" t="s">
        <v>784</v>
      </c>
      <c r="N870" s="187">
        <v>500000</v>
      </c>
      <c r="O870" s="183" t="s">
        <v>452</v>
      </c>
      <c r="P870" s="183" t="s">
        <v>3855</v>
      </c>
      <c r="Q870" s="184"/>
      <c r="R870" s="183" t="s">
        <v>18</v>
      </c>
      <c r="S870" s="184"/>
      <c r="T870" s="184"/>
      <c r="U870" s="184"/>
      <c r="V870" s="184"/>
      <c r="W870" s="184"/>
      <c r="X870" s="179"/>
      <c r="Y870" s="179"/>
      <c r="Z870" s="179"/>
      <c r="AA870" s="179"/>
    </row>
    <row r="871" spans="1:27">
      <c r="A871" s="181">
        <f ca="1">IFERROR(__xludf.DUMMYFUNCTION("IFS(B871="""","""",ISDATE(B871)=TRUE,B871,ISDATE(B871)=FALSE,TO_DATE(DATEVALUE(regexextract(B871,""\d+/\d+/\d+""))))"),44796)</f>
        <v>44796</v>
      </c>
      <c r="B871" s="182" t="s">
        <v>529</v>
      </c>
      <c r="C871" s="183" t="s">
        <v>8935</v>
      </c>
      <c r="D871" s="184">
        <v>2</v>
      </c>
      <c r="E871" s="183"/>
      <c r="F871" s="183" t="s">
        <v>3</v>
      </c>
      <c r="G871" s="183" t="s">
        <v>488</v>
      </c>
      <c r="H871" s="184" t="s">
        <v>8938</v>
      </c>
      <c r="I871" s="184">
        <v>2</v>
      </c>
      <c r="J871" s="183" t="s">
        <v>941</v>
      </c>
      <c r="K871" s="183"/>
      <c r="L871" s="183">
        <v>2</v>
      </c>
      <c r="M871" s="184" t="s">
        <v>8939</v>
      </c>
      <c r="N871" s="188">
        <v>500000</v>
      </c>
      <c r="O871" s="183" t="s">
        <v>454</v>
      </c>
      <c r="P871" s="183" t="s">
        <v>8938</v>
      </c>
      <c r="Q871" s="184"/>
      <c r="R871" s="184" t="s">
        <v>24</v>
      </c>
      <c r="S871" s="184"/>
      <c r="T871" s="184"/>
      <c r="U871" s="184"/>
      <c r="V871" s="184"/>
      <c r="W871" s="184"/>
      <c r="X871" s="179"/>
      <c r="Y871" s="179"/>
      <c r="Z871" s="179"/>
      <c r="AA871" s="179"/>
    </row>
    <row r="872" spans="1:27">
      <c r="A872" s="181">
        <f ca="1">IFERROR(__xludf.DUMMYFUNCTION("IFS(B872="""","""",ISDATE(B872)=TRUE,B872,ISDATE(B872)=FALSE,TO_DATE(DATEVALUE(regexextract(B872,""\d+/\d+/\d+""))))"),44797)</f>
        <v>44797</v>
      </c>
      <c r="B872" s="182" t="s">
        <v>907</v>
      </c>
      <c r="C872" s="183" t="s">
        <v>357</v>
      </c>
      <c r="D872" s="184">
        <v>3.25</v>
      </c>
      <c r="E872" s="184"/>
      <c r="F872" s="183" t="s">
        <v>3</v>
      </c>
      <c r="G872" s="183" t="s">
        <v>488</v>
      </c>
      <c r="H872" s="184" t="s">
        <v>11242</v>
      </c>
      <c r="I872" s="184">
        <v>3.5</v>
      </c>
      <c r="J872" s="183" t="s">
        <v>941</v>
      </c>
      <c r="K872" s="183" t="s">
        <v>9788</v>
      </c>
      <c r="L872" s="183">
        <v>3</v>
      </c>
      <c r="M872" s="183" t="s">
        <v>8914</v>
      </c>
      <c r="N872" s="185">
        <v>3500000</v>
      </c>
      <c r="O872" s="183" t="s">
        <v>452</v>
      </c>
      <c r="P872" s="183" t="s">
        <v>452</v>
      </c>
      <c r="Q872" s="184"/>
      <c r="R872" s="184" t="s">
        <v>20</v>
      </c>
      <c r="S872" s="184" t="s">
        <v>9789</v>
      </c>
      <c r="T872" s="184"/>
      <c r="U872" s="184"/>
      <c r="V872" s="184"/>
      <c r="W872" s="184"/>
      <c r="X872" s="179"/>
      <c r="Y872" s="179"/>
      <c r="Z872" s="179"/>
      <c r="AA872" s="179"/>
    </row>
    <row r="873" spans="1:27">
      <c r="A873" s="181">
        <f ca="1">IFERROR(__xludf.DUMMYFUNCTION("IFS(B873="""","""",ISDATE(B873)=TRUE,B873,ISDATE(B873)=FALSE,TO_DATE(DATEVALUE(regexextract(B873,""\d+/\d+/\d+""))))"),44796)</f>
        <v>44796</v>
      </c>
      <c r="B873" s="182" t="s">
        <v>529</v>
      </c>
      <c r="C873" s="183" t="s">
        <v>184</v>
      </c>
      <c r="D873" s="184">
        <v>4.25</v>
      </c>
      <c r="E873" s="183"/>
      <c r="F873" s="183" t="s">
        <v>4</v>
      </c>
      <c r="G873" s="183" t="s">
        <v>725</v>
      </c>
      <c r="H873" s="184" t="s">
        <v>11243</v>
      </c>
      <c r="I873" s="184">
        <v>4.5</v>
      </c>
      <c r="J873" s="183" t="s">
        <v>604</v>
      </c>
      <c r="K873" s="184" t="s">
        <v>1169</v>
      </c>
      <c r="L873" s="184">
        <v>4</v>
      </c>
      <c r="M873" s="183" t="s">
        <v>451</v>
      </c>
      <c r="N873" s="187">
        <v>3000000</v>
      </c>
      <c r="O873" s="183" t="s">
        <v>452</v>
      </c>
      <c r="P873" s="183" t="s">
        <v>1170</v>
      </c>
      <c r="Q873" s="184"/>
      <c r="R873" s="184" t="s">
        <v>18</v>
      </c>
      <c r="S873" s="184" t="s">
        <v>1171</v>
      </c>
      <c r="T873" s="184"/>
      <c r="U873" s="184"/>
      <c r="V873" s="184"/>
      <c r="W873" s="184"/>
      <c r="X873" s="179"/>
      <c r="Y873" s="179"/>
      <c r="Z873" s="179"/>
      <c r="AA873" s="179"/>
    </row>
    <row r="874" spans="1:27">
      <c r="A874" s="181">
        <f ca="1">IFERROR(__xludf.DUMMYFUNCTION("IFS(B874="""","""",ISDATE(B874)=TRUE,B874,ISDATE(B874)=FALSE,TO_DATE(DATEVALUE(regexextract(B874,""\d+/\d+/\d+""))))"),44796)</f>
        <v>44796</v>
      </c>
      <c r="B874" s="182" t="s">
        <v>529</v>
      </c>
      <c r="C874" s="183" t="s">
        <v>2540</v>
      </c>
      <c r="D874" s="183">
        <v>2.75</v>
      </c>
      <c r="E874" s="183" t="s">
        <v>2543</v>
      </c>
      <c r="F874" s="183" t="s">
        <v>5</v>
      </c>
      <c r="G874" s="183" t="s">
        <v>447</v>
      </c>
      <c r="H874" s="183" t="s">
        <v>11244</v>
      </c>
      <c r="I874" s="183">
        <v>2.5</v>
      </c>
      <c r="J874" s="183" t="s">
        <v>543</v>
      </c>
      <c r="K874" s="183" t="s">
        <v>11245</v>
      </c>
      <c r="L874" s="183">
        <v>3</v>
      </c>
      <c r="M874" s="183" t="s">
        <v>451</v>
      </c>
      <c r="N874" s="185">
        <v>2000000</v>
      </c>
      <c r="O874" s="183" t="s">
        <v>465</v>
      </c>
      <c r="P874" s="183" t="s">
        <v>2546</v>
      </c>
      <c r="Q874" s="184"/>
      <c r="R874" s="183" t="s">
        <v>24</v>
      </c>
      <c r="S874" s="184"/>
      <c r="T874" s="184"/>
      <c r="U874" s="184"/>
      <c r="V874" s="184"/>
      <c r="W874" s="184"/>
      <c r="X874" s="179"/>
      <c r="Y874" s="179"/>
      <c r="Z874" s="179"/>
      <c r="AA874" s="179"/>
    </row>
    <row r="875" spans="1:27">
      <c r="A875" s="181">
        <f ca="1">IFERROR(__xludf.DUMMYFUNCTION("IFS(B875="""","""",ISDATE(B875)=TRUE,B875,ISDATE(B875)=FALSE,TO_DATE(DATEVALUE(regexextract(B875,""\d+/\d+/\d+""))))"),44791)</f>
        <v>44791</v>
      </c>
      <c r="B875" s="189" t="s">
        <v>10182</v>
      </c>
      <c r="C875" s="183" t="s">
        <v>371</v>
      </c>
      <c r="D875" s="184">
        <v>4.25</v>
      </c>
      <c r="E875" s="183" t="s">
        <v>9985</v>
      </c>
      <c r="F875" s="183" t="s">
        <v>5</v>
      </c>
      <c r="G875" s="183" t="s">
        <v>447</v>
      </c>
      <c r="H875" s="184" t="s">
        <v>11246</v>
      </c>
      <c r="I875" s="184">
        <v>4</v>
      </c>
      <c r="J875" s="183" t="s">
        <v>543</v>
      </c>
      <c r="K875" s="184" t="s">
        <v>11247</v>
      </c>
      <c r="L875" s="184">
        <v>4.5</v>
      </c>
      <c r="M875" s="183" t="s">
        <v>451</v>
      </c>
      <c r="N875" s="185">
        <v>2000000</v>
      </c>
      <c r="O875" s="183" t="s">
        <v>452</v>
      </c>
      <c r="P875" s="183" t="s">
        <v>9988</v>
      </c>
      <c r="Q875" s="184" t="s">
        <v>9989</v>
      </c>
      <c r="R875" s="184" t="s">
        <v>18</v>
      </c>
      <c r="S875" s="184"/>
      <c r="T875" s="184"/>
      <c r="U875" s="184"/>
      <c r="V875" s="184"/>
      <c r="W875" s="184"/>
      <c r="X875" s="179"/>
      <c r="Y875" s="179"/>
      <c r="Z875" s="179"/>
      <c r="AA875" s="179"/>
    </row>
    <row r="876" spans="1:27">
      <c r="A876" s="181">
        <f ca="1">IFERROR(__xludf.DUMMYFUNCTION("IFS(B876="""","""",ISDATE(B876)=TRUE,B876,ISDATE(B876)=FALSE,TO_DATE(DATEVALUE(regexextract(B876,""\d+/\d+/\d+""))))"),44789)</f>
        <v>44789</v>
      </c>
      <c r="B876" s="182" t="s">
        <v>6450</v>
      </c>
      <c r="C876" s="183" t="s">
        <v>2463</v>
      </c>
      <c r="D876" s="183">
        <v>3.5</v>
      </c>
      <c r="E876" s="183" t="s">
        <v>2466</v>
      </c>
      <c r="F876" s="183" t="s">
        <v>5</v>
      </c>
      <c r="G876" s="183" t="s">
        <v>447</v>
      </c>
      <c r="H876" s="183" t="s">
        <v>11248</v>
      </c>
      <c r="I876" s="183">
        <v>3</v>
      </c>
      <c r="J876" s="183" t="s">
        <v>449</v>
      </c>
      <c r="K876" s="183" t="s">
        <v>11249</v>
      </c>
      <c r="L876" s="183">
        <v>4</v>
      </c>
      <c r="M876" s="183" t="s">
        <v>451</v>
      </c>
      <c r="N876" s="187">
        <v>1250000</v>
      </c>
      <c r="O876" s="183" t="s">
        <v>452</v>
      </c>
      <c r="P876" s="183" t="s">
        <v>2469</v>
      </c>
      <c r="Q876" s="184"/>
      <c r="R876" s="183" t="s">
        <v>24</v>
      </c>
      <c r="S876" s="184" t="s">
        <v>2470</v>
      </c>
      <c r="T876" s="184"/>
      <c r="U876" s="184"/>
      <c r="V876" s="184"/>
      <c r="W876" s="184"/>
      <c r="X876" s="179"/>
      <c r="Y876" s="179"/>
      <c r="Z876" s="179"/>
      <c r="AA876" s="179"/>
    </row>
    <row r="877" spans="1:27">
      <c r="A877" s="181">
        <f ca="1">IFERROR(__xludf.DUMMYFUNCTION("IFS(B877="""","""",ISDATE(B877)=TRUE,B877,ISDATE(B877)=FALSE,TO_DATE(DATEVALUE(regexextract(B877,""\d+/\d+/\d+""))))"),44797)</f>
        <v>44797</v>
      </c>
      <c r="B877" s="182" t="s">
        <v>907</v>
      </c>
      <c r="C877" s="183" t="s">
        <v>7615</v>
      </c>
      <c r="D877" s="184">
        <v>2</v>
      </c>
      <c r="E877" s="183" t="s">
        <v>7618</v>
      </c>
      <c r="F877" s="183" t="s">
        <v>4</v>
      </c>
      <c r="G877" s="183" t="s">
        <v>602</v>
      </c>
      <c r="H877" s="184" t="s">
        <v>7619</v>
      </c>
      <c r="I877" s="184">
        <v>2</v>
      </c>
      <c r="J877" s="183" t="s">
        <v>1350</v>
      </c>
      <c r="K877" s="184" t="s">
        <v>7620</v>
      </c>
      <c r="L877" s="184">
        <v>2</v>
      </c>
      <c r="M877" s="183"/>
      <c r="N877" s="187"/>
      <c r="O877" s="183" t="s">
        <v>454</v>
      </c>
      <c r="P877" s="183" t="s">
        <v>7621</v>
      </c>
      <c r="Q877" s="184" t="s">
        <v>7622</v>
      </c>
      <c r="R877" s="184" t="s">
        <v>24</v>
      </c>
      <c r="S877" s="184"/>
      <c r="T877" s="184"/>
      <c r="U877" s="184"/>
      <c r="V877" s="184"/>
      <c r="W877" s="184"/>
      <c r="X877" s="179"/>
      <c r="Y877" s="179"/>
      <c r="Z877" s="179"/>
      <c r="AA877" s="179"/>
    </row>
    <row r="878" spans="1:27">
      <c r="A878" s="181">
        <f ca="1">IFERROR(__xludf.DUMMYFUNCTION("IFS(B878="""","""",ISDATE(B878)=TRUE,B878,ISDATE(B878)=FALSE,TO_DATE(DATEVALUE(regexextract(B878,""\d+/\d+/\d+""))))"),44796)</f>
        <v>44796</v>
      </c>
      <c r="B878" s="182" t="s">
        <v>529</v>
      </c>
      <c r="C878" s="183" t="s">
        <v>296</v>
      </c>
      <c r="D878" s="183">
        <v>4</v>
      </c>
      <c r="E878" s="183" t="s">
        <v>1662</v>
      </c>
      <c r="F878" s="183" t="s">
        <v>3</v>
      </c>
      <c r="G878" s="183" t="s">
        <v>488</v>
      </c>
      <c r="H878" s="184" t="s">
        <v>11250</v>
      </c>
      <c r="I878" s="183">
        <v>3.99</v>
      </c>
      <c r="J878" s="183" t="s">
        <v>941</v>
      </c>
      <c r="K878" s="183" t="s">
        <v>1664</v>
      </c>
      <c r="L878" s="183">
        <v>4</v>
      </c>
      <c r="M878" s="183"/>
      <c r="N878" s="185"/>
      <c r="O878" s="183" t="s">
        <v>452</v>
      </c>
      <c r="P878" s="183" t="s">
        <v>452</v>
      </c>
      <c r="Q878" s="184" t="s">
        <v>1665</v>
      </c>
      <c r="R878" s="183" t="s">
        <v>20</v>
      </c>
      <c r="S878" s="184" t="s">
        <v>1666</v>
      </c>
      <c r="T878" s="184"/>
      <c r="U878" s="184"/>
      <c r="V878" s="184"/>
      <c r="W878" s="184"/>
      <c r="X878" s="179"/>
      <c r="Y878" s="179"/>
      <c r="Z878" s="179"/>
      <c r="AA878" s="179"/>
    </row>
    <row r="879" spans="1:27">
      <c r="A879" s="181">
        <f ca="1">IFERROR(__xludf.DUMMYFUNCTION("IFS(B879="""","""",ISDATE(B879)=TRUE,B879,ISDATE(B879)=FALSE,TO_DATE(DATEVALUE(regexextract(B879,""\d+/\d+/\d+""))))"),44796)</f>
        <v>44796</v>
      </c>
      <c r="B879" s="182" t="s">
        <v>529</v>
      </c>
      <c r="C879" s="183" t="s">
        <v>2353</v>
      </c>
      <c r="D879" s="184">
        <v>1.5</v>
      </c>
      <c r="E879" s="183" t="s">
        <v>2356</v>
      </c>
      <c r="F879" s="183" t="s">
        <v>5</v>
      </c>
      <c r="G879" s="183" t="s">
        <v>447</v>
      </c>
      <c r="H879" s="184" t="s">
        <v>11251</v>
      </c>
      <c r="I879" s="184">
        <v>2</v>
      </c>
      <c r="J879" s="183" t="s">
        <v>622</v>
      </c>
      <c r="K879" s="184" t="s">
        <v>2358</v>
      </c>
      <c r="L879" s="184">
        <v>1</v>
      </c>
      <c r="M879" s="183" t="s">
        <v>451</v>
      </c>
      <c r="N879" s="185">
        <v>3000000</v>
      </c>
      <c r="O879" s="183" t="s">
        <v>452</v>
      </c>
      <c r="P879" s="183" t="s">
        <v>2359</v>
      </c>
      <c r="Q879" s="183"/>
      <c r="R879" s="184" t="s">
        <v>24</v>
      </c>
      <c r="S879" s="184"/>
      <c r="T879" s="184"/>
      <c r="U879" s="184"/>
      <c r="V879" s="184"/>
      <c r="W879" s="184"/>
      <c r="X879" s="179"/>
      <c r="Y879" s="179"/>
      <c r="Z879" s="179"/>
      <c r="AA879" s="179"/>
    </row>
    <row r="880" spans="1:27">
      <c r="A880" s="181">
        <f ca="1">IFERROR(__xludf.DUMMYFUNCTION("IFS(B880="""","""",ISDATE(B880)=TRUE,B880,ISDATE(B880)=FALSE,TO_DATE(DATEVALUE(regexextract(B880,""\d+/\d+/\d+""))))"),44797)</f>
        <v>44797</v>
      </c>
      <c r="B880" s="182" t="s">
        <v>907</v>
      </c>
      <c r="C880" s="183" t="s">
        <v>161</v>
      </c>
      <c r="D880" s="183">
        <v>4.25</v>
      </c>
      <c r="E880" s="183" t="s">
        <v>1079</v>
      </c>
      <c r="F880" s="183" t="s">
        <v>4</v>
      </c>
      <c r="G880" s="183" t="s">
        <v>725</v>
      </c>
      <c r="H880" s="183"/>
      <c r="I880" s="183">
        <v>4.5</v>
      </c>
      <c r="J880" s="183" t="s">
        <v>462</v>
      </c>
      <c r="K880" s="183" t="s">
        <v>1080</v>
      </c>
      <c r="L880" s="183">
        <v>4</v>
      </c>
      <c r="M880" s="184" t="s">
        <v>451</v>
      </c>
      <c r="N880" s="188">
        <v>10000000</v>
      </c>
      <c r="O880" s="183" t="s">
        <v>452</v>
      </c>
      <c r="P880" s="183" t="s">
        <v>974</v>
      </c>
      <c r="Q880" s="184"/>
      <c r="R880" s="183" t="s">
        <v>18</v>
      </c>
      <c r="S880" s="184"/>
      <c r="T880" s="184"/>
      <c r="U880" s="184"/>
      <c r="V880" s="184"/>
      <c r="W880" s="184"/>
      <c r="X880" s="179"/>
      <c r="Y880" s="179"/>
      <c r="Z880" s="179"/>
      <c r="AA880" s="179"/>
    </row>
    <row r="881" spans="1:27">
      <c r="A881" s="181">
        <f ca="1">IFERROR(__xludf.DUMMYFUNCTION("IFS(B881="""","""",ISDATE(B881)=TRUE,B881,ISDATE(B881)=FALSE,TO_DATE(DATEVALUE(regexextract(B881,""\d+/\d+/\d+""))))"),44796)</f>
        <v>44796</v>
      </c>
      <c r="B881" s="182" t="s">
        <v>529</v>
      </c>
      <c r="C881" s="183" t="s">
        <v>3560</v>
      </c>
      <c r="D881" s="184">
        <v>3.25</v>
      </c>
      <c r="E881" s="183" t="s">
        <v>3563</v>
      </c>
      <c r="F881" s="183" t="s">
        <v>5</v>
      </c>
      <c r="G881" s="183" t="s">
        <v>488</v>
      </c>
      <c r="H881" s="184"/>
      <c r="I881" s="184">
        <v>3</v>
      </c>
      <c r="J881" s="183" t="s">
        <v>941</v>
      </c>
      <c r="K881" s="183" t="s">
        <v>3564</v>
      </c>
      <c r="L881" s="183">
        <v>3.5</v>
      </c>
      <c r="M881" s="183" t="s">
        <v>451</v>
      </c>
      <c r="N881" s="187">
        <v>22000000</v>
      </c>
      <c r="O881" s="183" t="s">
        <v>452</v>
      </c>
      <c r="P881" s="183" t="s">
        <v>3565</v>
      </c>
      <c r="Q881" s="183"/>
      <c r="R881" s="184" t="s">
        <v>24</v>
      </c>
      <c r="S881" s="184" t="s">
        <v>2341</v>
      </c>
      <c r="T881" s="184"/>
      <c r="U881" s="184"/>
      <c r="V881" s="184"/>
      <c r="W881" s="184"/>
      <c r="X881" s="179"/>
      <c r="Y881" s="179"/>
      <c r="Z881" s="179"/>
      <c r="AA881" s="179"/>
    </row>
    <row r="882" spans="1:27">
      <c r="A882" s="181">
        <f ca="1">IFERROR(__xludf.DUMMYFUNCTION("IFS(B882="""","""",ISDATE(B882)=TRUE,B882,ISDATE(B882)=FALSE,TO_DATE(DATEVALUE(regexextract(B882,""\d+/\d+/\d+""))))"),44797)</f>
        <v>44797</v>
      </c>
      <c r="B882" s="182" t="s">
        <v>907</v>
      </c>
      <c r="C882" s="183" t="s">
        <v>283</v>
      </c>
      <c r="D882" s="184">
        <v>3.75</v>
      </c>
      <c r="E882" s="183" t="s">
        <v>9171</v>
      </c>
      <c r="F882" s="183" t="s">
        <v>4</v>
      </c>
      <c r="G882" s="183" t="s">
        <v>488</v>
      </c>
      <c r="H882" s="184" t="s">
        <v>11252</v>
      </c>
      <c r="I882" s="184">
        <v>3.5</v>
      </c>
      <c r="J882" s="183" t="s">
        <v>941</v>
      </c>
      <c r="K882" s="184" t="s">
        <v>9173</v>
      </c>
      <c r="L882" s="184">
        <v>4</v>
      </c>
      <c r="M882" s="183" t="s">
        <v>451</v>
      </c>
      <c r="N882" s="187" t="s">
        <v>2604</v>
      </c>
      <c r="O882" s="183" t="s">
        <v>452</v>
      </c>
      <c r="P882" s="183" t="s">
        <v>9174</v>
      </c>
      <c r="Q882" s="184" t="s">
        <v>604</v>
      </c>
      <c r="R882" s="184" t="s">
        <v>19</v>
      </c>
      <c r="S882" s="184" t="s">
        <v>9175</v>
      </c>
      <c r="T882" s="184"/>
      <c r="U882" s="184"/>
      <c r="V882" s="184"/>
      <c r="W882" s="184"/>
      <c r="X882" s="179"/>
      <c r="Y882" s="179"/>
      <c r="Z882" s="179"/>
      <c r="AA882" s="179"/>
    </row>
    <row r="883" spans="1:27">
      <c r="A883" s="181">
        <f ca="1">IFERROR(__xludf.DUMMYFUNCTION("IFS(B883="""","""",ISDATE(B883)=TRUE,B883,ISDATE(B883)=FALSE,TO_DATE(DATEVALUE(regexextract(B883,""\d+/\d+/\d+""))))"),44797)</f>
        <v>44797</v>
      </c>
      <c r="B883" s="182" t="s">
        <v>907</v>
      </c>
      <c r="C883" s="183" t="s">
        <v>244</v>
      </c>
      <c r="D883" s="183">
        <v>4</v>
      </c>
      <c r="E883" s="183" t="s">
        <v>4036</v>
      </c>
      <c r="F883" s="183" t="s">
        <v>4</v>
      </c>
      <c r="G883" s="183" t="s">
        <v>727</v>
      </c>
      <c r="H883" s="183" t="s">
        <v>11253</v>
      </c>
      <c r="I883" s="183">
        <v>4</v>
      </c>
      <c r="J883" s="183" t="s">
        <v>1457</v>
      </c>
      <c r="K883" s="184" t="s">
        <v>4038</v>
      </c>
      <c r="L883" s="183">
        <v>4</v>
      </c>
      <c r="M883" s="183"/>
      <c r="N883" s="187"/>
      <c r="O883" s="183" t="s">
        <v>454</v>
      </c>
      <c r="P883" s="183" t="s">
        <v>452</v>
      </c>
      <c r="Q883" s="184"/>
      <c r="R883" s="183" t="s">
        <v>18</v>
      </c>
      <c r="S883" s="183"/>
      <c r="T883" s="184"/>
      <c r="U883" s="184"/>
      <c r="V883" s="184"/>
      <c r="W883" s="184"/>
      <c r="X883" s="179"/>
      <c r="Y883" s="179"/>
      <c r="Z883" s="179"/>
      <c r="AA883" s="179"/>
    </row>
    <row r="884" spans="1:27">
      <c r="A884" s="181">
        <f ca="1">IFERROR(__xludf.DUMMYFUNCTION("IFS(B884="""","""",ISDATE(B884)=TRUE,B884,ISDATE(B884)=FALSE,TO_DATE(DATEVALUE(regexextract(B884,""\d+/\d+/\d+""))))"),44797)</f>
        <v>44797</v>
      </c>
      <c r="B884" s="182" t="s">
        <v>907</v>
      </c>
      <c r="C884" s="183" t="s">
        <v>5994</v>
      </c>
      <c r="D884" s="183">
        <v>2.75</v>
      </c>
      <c r="E884" s="183"/>
      <c r="F884" s="183" t="s">
        <v>4</v>
      </c>
      <c r="G884" s="183" t="s">
        <v>725</v>
      </c>
      <c r="H884" s="183" t="s">
        <v>11254</v>
      </c>
      <c r="I884" s="183">
        <v>2</v>
      </c>
      <c r="J884" s="183" t="s">
        <v>1350</v>
      </c>
      <c r="K884" s="184" t="s">
        <v>5998</v>
      </c>
      <c r="L884" s="183">
        <v>3.5</v>
      </c>
      <c r="M884" s="183" t="s">
        <v>1656</v>
      </c>
      <c r="N884" s="187">
        <v>20000000</v>
      </c>
      <c r="O884" s="183" t="s">
        <v>452</v>
      </c>
      <c r="P884" s="183" t="s">
        <v>5999</v>
      </c>
      <c r="Q884" s="183"/>
      <c r="R884" s="183" t="s">
        <v>24</v>
      </c>
      <c r="S884" s="184"/>
      <c r="T884" s="184"/>
      <c r="U884" s="184"/>
      <c r="V884" s="184"/>
      <c r="W884" s="184"/>
      <c r="X884" s="179"/>
      <c r="Y884" s="179"/>
      <c r="Z884" s="179"/>
      <c r="AA884" s="179"/>
    </row>
    <row r="885" spans="1:27">
      <c r="A885" s="181">
        <f ca="1">IFERROR(__xludf.DUMMYFUNCTION("IFS(B885="""","""",ISDATE(B885)=TRUE,B885,ISDATE(B885)=FALSE,TO_DATE(DATEVALUE(regexextract(B885,""\d+/\d+/\d+""))))"),44796)</f>
        <v>44796</v>
      </c>
      <c r="B885" s="182" t="s">
        <v>529</v>
      </c>
      <c r="C885" s="183" t="s">
        <v>160</v>
      </c>
      <c r="D885" s="183">
        <v>4.25</v>
      </c>
      <c r="E885" s="183" t="s">
        <v>1071</v>
      </c>
      <c r="F885" s="183" t="s">
        <v>4</v>
      </c>
      <c r="G885" s="183" t="s">
        <v>725</v>
      </c>
      <c r="H885" s="183" t="s">
        <v>11255</v>
      </c>
      <c r="I885" s="183">
        <v>4.5</v>
      </c>
      <c r="J885" s="183" t="s">
        <v>1073</v>
      </c>
      <c r="K885" s="183"/>
      <c r="L885" s="183">
        <v>4</v>
      </c>
      <c r="M885" s="184" t="s">
        <v>1074</v>
      </c>
      <c r="N885" s="186">
        <v>20000000</v>
      </c>
      <c r="O885" s="183" t="s">
        <v>452</v>
      </c>
      <c r="P885" s="183" t="s">
        <v>452</v>
      </c>
      <c r="Q885" s="183"/>
      <c r="R885" s="183" t="s">
        <v>18</v>
      </c>
      <c r="S885" s="184"/>
      <c r="T885" s="184"/>
      <c r="U885" s="184"/>
      <c r="V885" s="184"/>
      <c r="W885" s="184"/>
      <c r="X885" s="179"/>
      <c r="Y885" s="179"/>
      <c r="Z885" s="179"/>
      <c r="AA885" s="179"/>
    </row>
    <row r="886" spans="1:27">
      <c r="A886" s="181">
        <f ca="1">IFERROR(__xludf.DUMMYFUNCTION("IFS(B886="""","""",ISDATE(B886)=TRUE,B886,ISDATE(B886)=FALSE,TO_DATE(DATEVALUE(regexextract(B886,""\d+/\d+/\d+""))))"),44796)</f>
        <v>44796</v>
      </c>
      <c r="B886" s="182" t="s">
        <v>529</v>
      </c>
      <c r="C886" s="183" t="s">
        <v>6983</v>
      </c>
      <c r="D886" s="184">
        <v>2</v>
      </c>
      <c r="E886" s="184" t="s">
        <v>6986</v>
      </c>
      <c r="F886" s="183" t="s">
        <v>4</v>
      </c>
      <c r="G886" s="183" t="s">
        <v>725</v>
      </c>
      <c r="H886" s="184" t="s">
        <v>11256</v>
      </c>
      <c r="I886" s="184">
        <v>2</v>
      </c>
      <c r="J886" s="183" t="s">
        <v>462</v>
      </c>
      <c r="K886" s="184" t="s">
        <v>6988</v>
      </c>
      <c r="L886" s="184">
        <v>2</v>
      </c>
      <c r="M886" s="183" t="s">
        <v>451</v>
      </c>
      <c r="N886" s="185">
        <v>10000000</v>
      </c>
      <c r="O886" s="183" t="s">
        <v>452</v>
      </c>
      <c r="P886" s="183" t="s">
        <v>6989</v>
      </c>
      <c r="Q886" s="184"/>
      <c r="R886" s="184" t="s">
        <v>24</v>
      </c>
      <c r="S886" s="184"/>
      <c r="T886" s="184"/>
      <c r="U886" s="184"/>
      <c r="V886" s="184"/>
      <c r="W886" s="184"/>
      <c r="X886" s="179"/>
      <c r="Y886" s="179"/>
      <c r="Z886" s="179"/>
      <c r="AA886" s="179"/>
    </row>
    <row r="887" spans="1:27">
      <c r="A887" s="181">
        <f ca="1">IFERROR(__xludf.DUMMYFUNCTION("IFS(B887="""","""",ISDATE(B887)=TRUE,B887,ISDATE(B887)=FALSE,TO_DATE(DATEVALUE(regexextract(B887,""\d+/\d+/\d+""))))"),44797)</f>
        <v>44797</v>
      </c>
      <c r="B887" s="182" t="s">
        <v>907</v>
      </c>
      <c r="C887" s="183" t="s">
        <v>4628</v>
      </c>
      <c r="D887" s="184">
        <v>3.5</v>
      </c>
      <c r="E887" s="184" t="s">
        <v>4631</v>
      </c>
      <c r="F887" s="183" t="s">
        <v>4</v>
      </c>
      <c r="G887" s="183" t="s">
        <v>447</v>
      </c>
      <c r="H887" s="184" t="s">
        <v>11257</v>
      </c>
      <c r="I887" s="184">
        <v>4</v>
      </c>
      <c r="J887" s="183" t="s">
        <v>604</v>
      </c>
      <c r="K887" s="184" t="s">
        <v>4633</v>
      </c>
      <c r="L887" s="184">
        <v>3</v>
      </c>
      <c r="M887" s="183" t="s">
        <v>2190</v>
      </c>
      <c r="N887" s="187">
        <v>1000000</v>
      </c>
      <c r="O887" s="183" t="s">
        <v>465</v>
      </c>
      <c r="P887" s="183"/>
      <c r="Q887" s="184" t="s">
        <v>4634</v>
      </c>
      <c r="R887" s="184" t="s">
        <v>24</v>
      </c>
      <c r="S887" s="184"/>
      <c r="T887" s="184"/>
      <c r="U887" s="184"/>
      <c r="V887" s="184"/>
      <c r="W887" s="184"/>
      <c r="X887" s="179"/>
      <c r="Y887" s="179"/>
      <c r="Z887" s="179"/>
      <c r="AA887" s="179"/>
    </row>
    <row r="888" spans="1:27">
      <c r="A888" s="181">
        <f ca="1">IFERROR(__xludf.DUMMYFUNCTION("IFS(B888="""","""",ISDATE(B888)=TRUE,B888,ISDATE(B888)=FALSE,TO_DATE(DATEVALUE(regexextract(B888,""\d+/\d+/\d+""))))"),44791)</f>
        <v>44791</v>
      </c>
      <c r="B888" s="182" t="s">
        <v>10182</v>
      </c>
      <c r="C888" s="183" t="s">
        <v>3349</v>
      </c>
      <c r="D888" s="183">
        <v>3</v>
      </c>
      <c r="E888" s="183" t="s">
        <v>11258</v>
      </c>
      <c r="F888" s="183" t="s">
        <v>5</v>
      </c>
      <c r="G888" s="183" t="s">
        <v>447</v>
      </c>
      <c r="H888" s="183" t="s">
        <v>11259</v>
      </c>
      <c r="I888" s="183">
        <v>3</v>
      </c>
      <c r="J888" s="183" t="s">
        <v>622</v>
      </c>
      <c r="K888" s="183" t="s">
        <v>3354</v>
      </c>
      <c r="L888" s="183">
        <v>3</v>
      </c>
      <c r="M888" s="183" t="s">
        <v>784</v>
      </c>
      <c r="N888" s="185">
        <v>500000</v>
      </c>
      <c r="O888" s="183" t="s">
        <v>452</v>
      </c>
      <c r="P888" s="183" t="s">
        <v>11260</v>
      </c>
      <c r="Q888" s="184"/>
      <c r="R888" s="183" t="s">
        <v>24</v>
      </c>
      <c r="S888" s="183"/>
      <c r="T888" s="184"/>
      <c r="U888" s="184"/>
      <c r="V888" s="184"/>
      <c r="W888" s="184"/>
      <c r="X888" s="179"/>
      <c r="Y888" s="179"/>
      <c r="Z888" s="179"/>
      <c r="AA888" s="179"/>
    </row>
    <row r="889" spans="1:27">
      <c r="A889" s="181">
        <f ca="1">IFERROR(__xludf.DUMMYFUNCTION("IFS(B889="""","""",ISDATE(B889)=TRUE,B889,ISDATE(B889)=FALSE,TO_DATE(DATEVALUE(regexextract(B889,""\d+/\d+/\d+""))))"),44797)</f>
        <v>44797</v>
      </c>
      <c r="B889" s="182" t="s">
        <v>907</v>
      </c>
      <c r="C889" s="183" t="s">
        <v>340</v>
      </c>
      <c r="D889" s="183">
        <v>4</v>
      </c>
      <c r="E889" s="183" t="s">
        <v>1937</v>
      </c>
      <c r="F889" s="183" t="s">
        <v>3</v>
      </c>
      <c r="G889" s="183" t="s">
        <v>460</v>
      </c>
      <c r="H889" s="183" t="s">
        <v>11261</v>
      </c>
      <c r="I889" s="183">
        <v>4</v>
      </c>
      <c r="J889" s="183" t="s">
        <v>941</v>
      </c>
      <c r="K889" s="183" t="s">
        <v>1939</v>
      </c>
      <c r="L889" s="183">
        <v>4</v>
      </c>
      <c r="M889" s="183"/>
      <c r="N889" s="187"/>
      <c r="O889" s="183" t="s">
        <v>452</v>
      </c>
      <c r="P889" s="183" t="s">
        <v>1940</v>
      </c>
      <c r="Q889" s="184" t="s">
        <v>1941</v>
      </c>
      <c r="R889" s="183" t="s">
        <v>18</v>
      </c>
      <c r="S889" s="184"/>
      <c r="T889" s="184"/>
      <c r="U889" s="184"/>
      <c r="V889" s="184"/>
      <c r="W889" s="184"/>
      <c r="X889" s="179"/>
      <c r="Y889" s="179"/>
      <c r="Z889" s="179"/>
      <c r="AA889" s="179"/>
    </row>
    <row r="890" spans="1:27">
      <c r="A890" s="181">
        <f ca="1">IFERROR(__xludf.DUMMYFUNCTION("IFS(B890="""","""",ISDATE(B890)=TRUE,B890,ISDATE(B890)=FALSE,TO_DATE(DATEVALUE(regexextract(B890,""\d+/\d+/\d+""))))"),44796)</f>
        <v>44796</v>
      </c>
      <c r="B890" s="182" t="s">
        <v>529</v>
      </c>
      <c r="C890" s="183" t="s">
        <v>2184</v>
      </c>
      <c r="D890" s="183">
        <v>3</v>
      </c>
      <c r="E890" s="183" t="s">
        <v>2187</v>
      </c>
      <c r="F890" s="183" t="s">
        <v>5</v>
      </c>
      <c r="G890" s="183" t="s">
        <v>447</v>
      </c>
      <c r="H890" s="183" t="s">
        <v>11262</v>
      </c>
      <c r="I890" s="183">
        <v>3</v>
      </c>
      <c r="J890" s="183" t="s">
        <v>543</v>
      </c>
      <c r="K890" s="183" t="s">
        <v>11263</v>
      </c>
      <c r="L890" s="183">
        <v>3</v>
      </c>
      <c r="M890" s="183" t="s">
        <v>2190</v>
      </c>
      <c r="N890" s="185">
        <v>1500000</v>
      </c>
      <c r="O890" s="183" t="s">
        <v>452</v>
      </c>
      <c r="P890" s="183" t="s">
        <v>2191</v>
      </c>
      <c r="Q890" s="184"/>
      <c r="R890" s="183" t="s">
        <v>24</v>
      </c>
      <c r="S890" s="184"/>
      <c r="T890" s="184"/>
      <c r="U890" s="184"/>
      <c r="V890" s="184"/>
      <c r="W890" s="184"/>
      <c r="X890" s="179"/>
      <c r="Y890" s="179"/>
      <c r="Z890" s="179"/>
      <c r="AA890" s="179"/>
    </row>
    <row r="891" spans="1:27">
      <c r="A891" s="181">
        <f ca="1">IFERROR(__xludf.DUMMYFUNCTION("IFS(B891="""","""",ISDATE(B891)=TRUE,B891,ISDATE(B891)=FALSE,TO_DATE(DATEVALUE(regexextract(B891,""\d+/\d+/\d+""))))"),44796)</f>
        <v>44796</v>
      </c>
      <c r="B891" s="182" t="s">
        <v>529</v>
      </c>
      <c r="C891" s="183" t="s">
        <v>2224</v>
      </c>
      <c r="D891" s="184">
        <v>3.25</v>
      </c>
      <c r="E891" s="183"/>
      <c r="F891" s="183" t="s">
        <v>5</v>
      </c>
      <c r="G891" s="183" t="s">
        <v>447</v>
      </c>
      <c r="H891" s="184" t="s">
        <v>11264</v>
      </c>
      <c r="I891" s="184">
        <v>3</v>
      </c>
      <c r="J891" s="183" t="s">
        <v>449</v>
      </c>
      <c r="K891" s="183" t="s">
        <v>11265</v>
      </c>
      <c r="L891" s="183">
        <v>3.5</v>
      </c>
      <c r="M891" s="183" t="s">
        <v>2229</v>
      </c>
      <c r="N891" s="185" t="s">
        <v>2230</v>
      </c>
      <c r="O891" s="183" t="s">
        <v>465</v>
      </c>
      <c r="P891" s="183" t="s">
        <v>2231</v>
      </c>
      <c r="Q891" s="184" t="s">
        <v>2232</v>
      </c>
      <c r="R891" s="184" t="s">
        <v>24</v>
      </c>
      <c r="S891" s="184"/>
      <c r="T891" s="184"/>
      <c r="U891" s="184"/>
      <c r="V891" s="184"/>
      <c r="W891" s="184"/>
      <c r="X891" s="179"/>
      <c r="Y891" s="179"/>
      <c r="Z891" s="179"/>
      <c r="AA891" s="179"/>
    </row>
    <row r="892" spans="1:27">
      <c r="A892" s="181">
        <f ca="1">IFERROR(__xludf.DUMMYFUNCTION("IFS(B892="""","""",ISDATE(B892)=TRUE,B892,ISDATE(B892)=FALSE,TO_DATE(DATEVALUE(regexextract(B892,""\d+/\d+/\d+""))))"),44784)</f>
        <v>44784</v>
      </c>
      <c r="B892" s="182" t="s">
        <v>10173</v>
      </c>
      <c r="C892" s="183" t="s">
        <v>72</v>
      </c>
      <c r="D892" s="183">
        <v>4.75</v>
      </c>
      <c r="E892" s="183" t="s">
        <v>521</v>
      </c>
      <c r="F892" s="183" t="s">
        <v>5</v>
      </c>
      <c r="G892" s="183" t="s">
        <v>447</v>
      </c>
      <c r="H892" s="183" t="s">
        <v>11266</v>
      </c>
      <c r="I892" s="183">
        <v>4.5</v>
      </c>
      <c r="J892" s="183" t="s">
        <v>449</v>
      </c>
      <c r="K892" s="183" t="s">
        <v>11267</v>
      </c>
      <c r="L892" s="183">
        <v>5</v>
      </c>
      <c r="M892" s="183" t="s">
        <v>478</v>
      </c>
      <c r="N892" s="187">
        <v>16000000</v>
      </c>
      <c r="O892" s="183" t="s">
        <v>452</v>
      </c>
      <c r="P892" s="183" t="s">
        <v>11268</v>
      </c>
      <c r="Q892" s="183" t="s">
        <v>525</v>
      </c>
      <c r="R892" s="183" t="s">
        <v>18</v>
      </c>
      <c r="S892" s="184" t="s">
        <v>526</v>
      </c>
      <c r="T892" s="184"/>
      <c r="U892" s="184"/>
      <c r="V892" s="184"/>
      <c r="W892" s="184"/>
      <c r="X892" s="179"/>
      <c r="Y892" s="179"/>
      <c r="Z892" s="179"/>
      <c r="AA892" s="179"/>
    </row>
    <row r="893" spans="1:27">
      <c r="A893" s="181">
        <f ca="1">IFERROR(__xludf.DUMMYFUNCTION("IFS(B893="""","""",ISDATE(B893)=TRUE,B893,ISDATE(B893)=FALSE,TO_DATE(DATEVALUE(regexextract(B893,""\d+/\d+/\d+""))))"),44791)</f>
        <v>44791</v>
      </c>
      <c r="B893" s="189" t="s">
        <v>10182</v>
      </c>
      <c r="C893" s="183" t="s">
        <v>2833</v>
      </c>
      <c r="D893" s="183">
        <v>3.5</v>
      </c>
      <c r="E893" s="183" t="s">
        <v>11269</v>
      </c>
      <c r="F893" s="183" t="s">
        <v>5</v>
      </c>
      <c r="G893" s="183" t="s">
        <v>447</v>
      </c>
      <c r="H893" s="185" t="s">
        <v>11270</v>
      </c>
      <c r="I893" s="183">
        <v>3.5</v>
      </c>
      <c r="J893" s="183" t="s">
        <v>543</v>
      </c>
      <c r="K893" s="183" t="s">
        <v>11271</v>
      </c>
      <c r="L893" s="183">
        <v>3.5</v>
      </c>
      <c r="M893" s="183"/>
      <c r="N893" s="187"/>
      <c r="O893" s="183" t="s">
        <v>452</v>
      </c>
      <c r="P893" s="183" t="s">
        <v>11272</v>
      </c>
      <c r="Q893" s="184"/>
      <c r="R893" s="183" t="s">
        <v>24</v>
      </c>
      <c r="S893" s="184"/>
      <c r="T893" s="184"/>
      <c r="U893" s="184"/>
      <c r="V893" s="184"/>
      <c r="W893" s="184"/>
      <c r="X893" s="179"/>
      <c r="Y893" s="179"/>
      <c r="Z893" s="179"/>
      <c r="AA893" s="179"/>
    </row>
    <row r="894" spans="1:27">
      <c r="A894" s="181">
        <f ca="1">IFERROR(__xludf.DUMMYFUNCTION("IFS(B894="""","""",ISDATE(B894)=TRUE,B894,ISDATE(B894)=FALSE,TO_DATE(DATEVALUE(regexextract(B894,""\d+/\d+/\d+""))))"),44797)</f>
        <v>44797</v>
      </c>
      <c r="B894" s="182" t="s">
        <v>907</v>
      </c>
      <c r="C894" s="183" t="s">
        <v>346</v>
      </c>
      <c r="D894" s="183">
        <v>4.25</v>
      </c>
      <c r="E894" s="183" t="s">
        <v>1982</v>
      </c>
      <c r="F894" s="183" t="s">
        <v>3</v>
      </c>
      <c r="G894" s="183" t="s">
        <v>460</v>
      </c>
      <c r="H894" s="183" t="s">
        <v>1983</v>
      </c>
      <c r="I894" s="183">
        <v>4.5</v>
      </c>
      <c r="J894" s="183" t="s">
        <v>941</v>
      </c>
      <c r="K894" s="183" t="s">
        <v>1984</v>
      </c>
      <c r="L894" s="183">
        <v>4</v>
      </c>
      <c r="M894" s="184" t="s">
        <v>478</v>
      </c>
      <c r="N894" s="190">
        <v>6000000</v>
      </c>
      <c r="O894" s="183" t="s">
        <v>454</v>
      </c>
      <c r="P894" s="183" t="s">
        <v>452</v>
      </c>
      <c r="Q894" s="183"/>
      <c r="R894" s="183" t="s">
        <v>18</v>
      </c>
      <c r="S894" s="184" t="s">
        <v>1985</v>
      </c>
      <c r="T894" s="184"/>
      <c r="U894" s="184"/>
      <c r="V894" s="184"/>
      <c r="W894" s="184"/>
      <c r="X894" s="179"/>
      <c r="Y894" s="179"/>
      <c r="Z894" s="179"/>
      <c r="AA894" s="179"/>
    </row>
    <row r="895" spans="1:27">
      <c r="A895" s="181">
        <f ca="1">IFERROR(__xludf.DUMMYFUNCTION("IFS(B895="""","""",ISDATE(B895)=TRUE,B895,ISDATE(B895)=FALSE,TO_DATE(DATEVALUE(regexextract(B895,""\d+/\d+/\d+""))))"),44796)</f>
        <v>44796</v>
      </c>
      <c r="B895" s="189" t="s">
        <v>529</v>
      </c>
      <c r="C895" s="183" t="s">
        <v>187</v>
      </c>
      <c r="D895" s="183">
        <v>4.25</v>
      </c>
      <c r="E895" s="183" t="s">
        <v>1185</v>
      </c>
      <c r="F895" s="183" t="s">
        <v>4</v>
      </c>
      <c r="G895" s="183" t="s">
        <v>725</v>
      </c>
      <c r="H895" s="183" t="s">
        <v>11273</v>
      </c>
      <c r="I895" s="183">
        <v>4.5</v>
      </c>
      <c r="J895" s="183" t="s">
        <v>1187</v>
      </c>
      <c r="K895" s="183" t="s">
        <v>1188</v>
      </c>
      <c r="L895" s="183">
        <v>4</v>
      </c>
      <c r="M895" s="184" t="s">
        <v>451</v>
      </c>
      <c r="N895" s="186">
        <v>4000000</v>
      </c>
      <c r="O895" s="183" t="s">
        <v>452</v>
      </c>
      <c r="P895" s="183" t="s">
        <v>452</v>
      </c>
      <c r="Q895" s="184" t="s">
        <v>1189</v>
      </c>
      <c r="R895" s="183" t="s">
        <v>18</v>
      </c>
      <c r="S895" s="183"/>
      <c r="T895" s="184"/>
      <c r="U895" s="184"/>
      <c r="V895" s="184"/>
      <c r="W895" s="184"/>
      <c r="X895" s="179"/>
      <c r="Y895" s="179"/>
      <c r="Z895" s="179"/>
      <c r="AA895" s="179"/>
    </row>
    <row r="896" spans="1:27">
      <c r="A896" s="181">
        <f ca="1">IFERROR(__xludf.DUMMYFUNCTION("IFS(B896="""","""",ISDATE(B896)=TRUE,B896,ISDATE(B896)=FALSE,TO_DATE(DATEVALUE(regexextract(B896,""\d+/\d+/\d+""))))"),44797)</f>
        <v>44797</v>
      </c>
      <c r="B896" s="182" t="s">
        <v>907</v>
      </c>
      <c r="C896" s="183" t="s">
        <v>189</v>
      </c>
      <c r="D896" s="183">
        <v>4</v>
      </c>
      <c r="E896" s="183"/>
      <c r="F896" s="183" t="s">
        <v>4</v>
      </c>
      <c r="G896" s="183" t="s">
        <v>725</v>
      </c>
      <c r="H896" s="183" t="s">
        <v>11274</v>
      </c>
      <c r="I896" s="183">
        <v>4</v>
      </c>
      <c r="J896" s="183" t="s">
        <v>462</v>
      </c>
      <c r="K896" s="183" t="s">
        <v>3764</v>
      </c>
      <c r="L896" s="183">
        <v>4</v>
      </c>
      <c r="M896" s="184" t="s">
        <v>1656</v>
      </c>
      <c r="N896" s="188">
        <v>20000000</v>
      </c>
      <c r="O896" s="183" t="s">
        <v>452</v>
      </c>
      <c r="P896" s="183" t="s">
        <v>575</v>
      </c>
      <c r="Q896" s="183"/>
      <c r="R896" s="183" t="s">
        <v>18</v>
      </c>
      <c r="S896" s="183"/>
      <c r="T896" s="184"/>
      <c r="U896" s="184"/>
      <c r="V896" s="184"/>
      <c r="W896" s="184"/>
      <c r="X896" s="179"/>
      <c r="Y896" s="179"/>
      <c r="Z896" s="179"/>
      <c r="AA896" s="179"/>
    </row>
    <row r="897" spans="1:27">
      <c r="A897" s="181">
        <f ca="1">IFERROR(__xludf.DUMMYFUNCTION("IFS(B897="""","""",ISDATE(B897)=TRUE,B897,ISDATE(B897)=FALSE,TO_DATE(DATEVALUE(regexextract(B897,""\d+/\d+/\d+""))))"),44796)</f>
        <v>44796</v>
      </c>
      <c r="B897" s="182" t="s">
        <v>529</v>
      </c>
      <c r="C897" s="183" t="s">
        <v>168</v>
      </c>
      <c r="D897" s="183">
        <v>4.25</v>
      </c>
      <c r="E897" s="183" t="s">
        <v>3659</v>
      </c>
      <c r="F897" s="183" t="s">
        <v>4</v>
      </c>
      <c r="G897" s="183" t="s">
        <v>725</v>
      </c>
      <c r="H897" s="183" t="s">
        <v>11275</v>
      </c>
      <c r="I897" s="183">
        <v>3.5</v>
      </c>
      <c r="J897" s="183" t="s">
        <v>990</v>
      </c>
      <c r="K897" s="183" t="s">
        <v>3661</v>
      </c>
      <c r="L897" s="183">
        <v>5</v>
      </c>
      <c r="M897" s="183" t="s">
        <v>451</v>
      </c>
      <c r="N897" s="187" t="s">
        <v>11276</v>
      </c>
      <c r="O897" s="183" t="s">
        <v>452</v>
      </c>
      <c r="P897" s="183" t="s">
        <v>3663</v>
      </c>
      <c r="Q897" s="184"/>
      <c r="R897" s="183" t="s">
        <v>20</v>
      </c>
      <c r="S897" s="183" t="s">
        <v>3664</v>
      </c>
      <c r="T897" s="184"/>
      <c r="U897" s="184"/>
      <c r="V897" s="184"/>
      <c r="W897" s="184"/>
      <c r="X897" s="179"/>
      <c r="Y897" s="179"/>
      <c r="Z897" s="179"/>
      <c r="AA897" s="179"/>
    </row>
    <row r="898" spans="1:27">
      <c r="A898" s="181">
        <f ca="1">IFERROR(__xludf.DUMMYFUNCTION("IFS(B898="""","""",ISDATE(B898)=TRUE,B898,ISDATE(B898)=FALSE,TO_DATE(DATEVALUE(regexextract(B898,""\d+/\d+/\d+""))))"),44791)</f>
        <v>44791</v>
      </c>
      <c r="B898" s="182" t="s">
        <v>10182</v>
      </c>
      <c r="C898" s="183" t="s">
        <v>3449</v>
      </c>
      <c r="D898" s="183">
        <v>2.25</v>
      </c>
      <c r="E898" s="183" t="s">
        <v>3452</v>
      </c>
      <c r="F898" s="183" t="s">
        <v>5</v>
      </c>
      <c r="G898" s="183" t="s">
        <v>447</v>
      </c>
      <c r="H898" s="184" t="s">
        <v>11277</v>
      </c>
      <c r="I898" s="183">
        <v>2.5</v>
      </c>
      <c r="J898" s="183" t="s">
        <v>543</v>
      </c>
      <c r="K898" s="183" t="s">
        <v>11278</v>
      </c>
      <c r="L898" s="183">
        <v>2</v>
      </c>
      <c r="M898" s="183"/>
      <c r="N898" s="185"/>
      <c r="O898" s="183" t="s">
        <v>454</v>
      </c>
      <c r="P898" s="183" t="s">
        <v>452</v>
      </c>
      <c r="Q898" s="184"/>
      <c r="R898" s="183" t="s">
        <v>24</v>
      </c>
      <c r="S898" s="184"/>
      <c r="T898" s="184"/>
      <c r="U898" s="184"/>
      <c r="V898" s="184"/>
      <c r="W898" s="184"/>
      <c r="X898" s="179"/>
      <c r="Y898" s="179"/>
      <c r="Z898" s="179"/>
      <c r="AA898" s="179"/>
    </row>
    <row r="899" spans="1:27">
      <c r="A899" s="181">
        <f ca="1">IFERROR(__xludf.DUMMYFUNCTION("IFS(B899="""","""",ISDATE(B899)=TRUE,B899,ISDATE(B899)=FALSE,TO_DATE(DATEVALUE(regexextract(B899,""\d+/\d+/\d+""))))"),44796)</f>
        <v>44796</v>
      </c>
      <c r="B899" s="182" t="s">
        <v>529</v>
      </c>
      <c r="C899" s="183" t="s">
        <v>5361</v>
      </c>
      <c r="D899" s="184">
        <v>3</v>
      </c>
      <c r="E899" s="183" t="s">
        <v>5364</v>
      </c>
      <c r="F899" s="183" t="s">
        <v>4</v>
      </c>
      <c r="G899" s="183" t="s">
        <v>447</v>
      </c>
      <c r="H899" s="184" t="s">
        <v>11279</v>
      </c>
      <c r="I899" s="184">
        <v>3</v>
      </c>
      <c r="J899" s="183" t="s">
        <v>1036</v>
      </c>
      <c r="K899" s="183" t="s">
        <v>5366</v>
      </c>
      <c r="L899" s="183">
        <v>3</v>
      </c>
      <c r="M899" s="183"/>
      <c r="N899" s="187"/>
      <c r="O899" s="183" t="s">
        <v>452</v>
      </c>
      <c r="P899" s="183" t="s">
        <v>5367</v>
      </c>
      <c r="Q899" s="184"/>
      <c r="R899" s="184" t="s">
        <v>24</v>
      </c>
      <c r="S899" s="184"/>
      <c r="T899" s="184"/>
      <c r="U899" s="184"/>
      <c r="V899" s="184"/>
      <c r="W899" s="184"/>
      <c r="X899" s="179"/>
      <c r="Y899" s="179"/>
      <c r="Z899" s="179"/>
      <c r="AA899" s="179"/>
    </row>
    <row r="900" spans="1:27">
      <c r="A900" s="181">
        <f ca="1">IFERROR(__xludf.DUMMYFUNCTION("IFS(B900="""","""",ISDATE(B900)=TRUE,B900,ISDATE(B900)=FALSE,TO_DATE(DATEVALUE(regexextract(B900,""\d+/\d+/\d+""))))"),44791)</f>
        <v>44791</v>
      </c>
      <c r="B900" s="182" t="s">
        <v>10182</v>
      </c>
      <c r="C900" s="183" t="s">
        <v>93</v>
      </c>
      <c r="D900" s="184">
        <v>4</v>
      </c>
      <c r="E900" s="183" t="s">
        <v>674</v>
      </c>
      <c r="F900" s="183" t="s">
        <v>5</v>
      </c>
      <c r="G900" s="183" t="s">
        <v>447</v>
      </c>
      <c r="H900" s="184" t="s">
        <v>11280</v>
      </c>
      <c r="I900" s="184">
        <v>4</v>
      </c>
      <c r="J900" s="183" t="s">
        <v>449</v>
      </c>
      <c r="K900" s="183" t="s">
        <v>11281</v>
      </c>
      <c r="L900" s="183">
        <v>4</v>
      </c>
      <c r="M900" s="183" t="s">
        <v>677</v>
      </c>
      <c r="N900" s="185" t="s">
        <v>678</v>
      </c>
      <c r="O900" s="183" t="s">
        <v>452</v>
      </c>
      <c r="P900" s="183" t="s">
        <v>679</v>
      </c>
      <c r="Q900" s="183"/>
      <c r="R900" s="184" t="s">
        <v>18</v>
      </c>
      <c r="S900" s="184" t="s">
        <v>680</v>
      </c>
      <c r="T900" s="184"/>
      <c r="U900" s="184"/>
      <c r="V900" s="184"/>
      <c r="W900" s="184"/>
      <c r="X900" s="179"/>
      <c r="Y900" s="179"/>
      <c r="Z900" s="179"/>
      <c r="AA900" s="179"/>
    </row>
    <row r="901" spans="1:27">
      <c r="A901" s="181">
        <f ca="1">IFERROR(__xludf.DUMMYFUNCTION("IFS(B901="""","""",ISDATE(B901)=TRUE,B901,ISDATE(B901)=FALSE,TO_DATE(DATEVALUE(regexextract(B901,""\d+/\d+/\d+""))))"),44797)</f>
        <v>44797</v>
      </c>
      <c r="B901" s="182" t="s">
        <v>907</v>
      </c>
      <c r="C901" s="183" t="s">
        <v>6531</v>
      </c>
      <c r="D901" s="183">
        <v>2.5</v>
      </c>
      <c r="E901" s="183" t="s">
        <v>6534</v>
      </c>
      <c r="F901" s="183" t="s">
        <v>4</v>
      </c>
      <c r="G901" s="183" t="s">
        <v>447</v>
      </c>
      <c r="H901" s="183" t="s">
        <v>11282</v>
      </c>
      <c r="I901" s="183">
        <v>3</v>
      </c>
      <c r="J901" s="183" t="s">
        <v>1457</v>
      </c>
      <c r="K901" s="184" t="s">
        <v>6536</v>
      </c>
      <c r="L901" s="183">
        <v>2</v>
      </c>
      <c r="M901" s="184" t="s">
        <v>478</v>
      </c>
      <c r="N901" s="186" t="s">
        <v>6537</v>
      </c>
      <c r="O901" s="183" t="s">
        <v>452</v>
      </c>
      <c r="P901" s="183" t="s">
        <v>575</v>
      </c>
      <c r="Q901" s="184"/>
      <c r="R901" s="183" t="s">
        <v>24</v>
      </c>
      <c r="S901" s="184"/>
      <c r="T901" s="184"/>
      <c r="U901" s="184"/>
      <c r="V901" s="184"/>
      <c r="W901" s="184"/>
      <c r="X901" s="179"/>
      <c r="Y901" s="179"/>
      <c r="Z901" s="179"/>
      <c r="AA901" s="179"/>
    </row>
    <row r="902" spans="1:27">
      <c r="A902" s="181">
        <f ca="1">IFERROR(__xludf.DUMMYFUNCTION("IFS(B902="""","""",ISDATE(B902)=TRUE,B902,ISDATE(B902)=FALSE,TO_DATE(DATEVALUE(regexextract(B902,""\d+/\d+/\d+""))))"),44791)</f>
        <v>44791</v>
      </c>
      <c r="B902" s="182" t="s">
        <v>10182</v>
      </c>
      <c r="C902" s="183" t="s">
        <v>8981</v>
      </c>
      <c r="D902" s="184">
        <v>1</v>
      </c>
      <c r="E902" s="183" t="s">
        <v>8984</v>
      </c>
      <c r="F902" s="183" t="s">
        <v>3</v>
      </c>
      <c r="G902" s="183" t="s">
        <v>488</v>
      </c>
      <c r="H902" s="184"/>
      <c r="I902" s="184">
        <v>1</v>
      </c>
      <c r="J902" s="183" t="s">
        <v>941</v>
      </c>
      <c r="K902" s="184" t="s">
        <v>8985</v>
      </c>
      <c r="L902" s="184">
        <v>1</v>
      </c>
      <c r="M902" s="183" t="s">
        <v>451</v>
      </c>
      <c r="N902" s="187">
        <v>500</v>
      </c>
      <c r="O902" s="183" t="s">
        <v>452</v>
      </c>
      <c r="P902" s="183" t="s">
        <v>3420</v>
      </c>
      <c r="Q902" s="184"/>
      <c r="R902" s="184" t="s">
        <v>24</v>
      </c>
      <c r="S902" s="184"/>
      <c r="T902" s="184"/>
      <c r="U902" s="184"/>
      <c r="V902" s="184"/>
      <c r="W902" s="184"/>
      <c r="X902" s="179"/>
      <c r="Y902" s="179"/>
      <c r="Z902" s="179"/>
      <c r="AA902" s="179"/>
    </row>
    <row r="903" spans="1:27">
      <c r="A903" s="181">
        <f ca="1">IFERROR(__xludf.DUMMYFUNCTION("IFS(B903="""","""",ISDATE(B903)=TRUE,B903,ISDATE(B903)=FALSE,TO_DATE(DATEVALUE(regexextract(B903,""\d+/\d+/\d+""))))"),44791)</f>
        <v>44791</v>
      </c>
      <c r="B903" s="182" t="s">
        <v>10182</v>
      </c>
      <c r="C903" s="183" t="s">
        <v>3303</v>
      </c>
      <c r="D903" s="183">
        <v>3</v>
      </c>
      <c r="E903" s="183" t="s">
        <v>3306</v>
      </c>
      <c r="F903" s="183" t="s">
        <v>5</v>
      </c>
      <c r="G903" s="183" t="s">
        <v>447</v>
      </c>
      <c r="H903" s="183" t="s">
        <v>11283</v>
      </c>
      <c r="I903" s="183">
        <v>3</v>
      </c>
      <c r="J903" s="183" t="s">
        <v>543</v>
      </c>
      <c r="K903" s="183" t="s">
        <v>11284</v>
      </c>
      <c r="L903" s="183">
        <v>3</v>
      </c>
      <c r="M903" s="183" t="s">
        <v>2961</v>
      </c>
      <c r="N903" s="185">
        <v>1500000</v>
      </c>
      <c r="O903" s="183" t="s">
        <v>454</v>
      </c>
      <c r="P903" s="183" t="s">
        <v>3309</v>
      </c>
      <c r="Q903" s="184"/>
      <c r="R903" s="183" t="s">
        <v>24</v>
      </c>
      <c r="S903" s="184"/>
      <c r="T903" s="184"/>
      <c r="U903" s="184"/>
      <c r="V903" s="184"/>
      <c r="W903" s="184"/>
      <c r="X903" s="179"/>
      <c r="Y903" s="179"/>
      <c r="Z903" s="179"/>
      <c r="AA903" s="179"/>
    </row>
    <row r="904" spans="1:27">
      <c r="A904" s="181">
        <f ca="1">IFERROR(__xludf.DUMMYFUNCTION("IFS(B904="""","""",ISDATE(B904)=TRUE,B904,ISDATE(B904)=FALSE,TO_DATE(DATEVALUE(regexextract(B904,""\d+/\d+/\d+""))))"),44797)</f>
        <v>44797</v>
      </c>
      <c r="B904" s="182" t="s">
        <v>907</v>
      </c>
      <c r="C904" s="183" t="s">
        <v>5354</v>
      </c>
      <c r="D904" s="184">
        <v>3</v>
      </c>
      <c r="E904" s="183" t="s">
        <v>5357</v>
      </c>
      <c r="F904" s="183" t="s">
        <v>4</v>
      </c>
      <c r="G904" s="183" t="s">
        <v>725</v>
      </c>
      <c r="H904" s="184" t="s">
        <v>5358</v>
      </c>
      <c r="I904" s="184">
        <v>2</v>
      </c>
      <c r="J904" s="183" t="s">
        <v>990</v>
      </c>
      <c r="K904" s="183" t="s">
        <v>5359</v>
      </c>
      <c r="L904" s="183">
        <v>4</v>
      </c>
      <c r="M904" s="183" t="s">
        <v>451</v>
      </c>
      <c r="N904" s="185">
        <v>1000000</v>
      </c>
      <c r="O904" s="183" t="s">
        <v>452</v>
      </c>
      <c r="P904" s="183" t="s">
        <v>452</v>
      </c>
      <c r="Q904" s="184"/>
      <c r="R904" s="184" t="s">
        <v>24</v>
      </c>
      <c r="S904" s="184"/>
      <c r="T904" s="184"/>
      <c r="U904" s="184"/>
      <c r="V904" s="184"/>
      <c r="W904" s="184"/>
      <c r="X904" s="179"/>
      <c r="Y904" s="179"/>
      <c r="Z904" s="179"/>
      <c r="AA904" s="179"/>
    </row>
    <row r="905" spans="1:27">
      <c r="A905" s="181">
        <f ca="1">IFERROR(__xludf.DUMMYFUNCTION("IFS(B905="""","""",ISDATE(B905)=TRUE,B905,ISDATE(B905)=FALSE,TO_DATE(DATEVALUE(regexextract(B905,""\d+/\d+/\d+""))))"),44797)</f>
        <v>44797</v>
      </c>
      <c r="B905" s="182" t="s">
        <v>907</v>
      </c>
      <c r="C905" s="183" t="s">
        <v>302</v>
      </c>
      <c r="D905" s="183">
        <v>3.5</v>
      </c>
      <c r="E905" s="183" t="s">
        <v>11285</v>
      </c>
      <c r="F905" s="183" t="s">
        <v>4</v>
      </c>
      <c r="G905" s="183" t="s">
        <v>460</v>
      </c>
      <c r="H905" s="183" t="s">
        <v>9433</v>
      </c>
      <c r="I905" s="183">
        <v>3</v>
      </c>
      <c r="J905" s="183" t="s">
        <v>1281</v>
      </c>
      <c r="K905" s="183" t="s">
        <v>9434</v>
      </c>
      <c r="L905" s="183">
        <v>4</v>
      </c>
      <c r="M905" s="184" t="s">
        <v>451</v>
      </c>
      <c r="N905" s="190" t="s">
        <v>9435</v>
      </c>
      <c r="O905" s="183" t="s">
        <v>452</v>
      </c>
      <c r="P905" s="183" t="s">
        <v>575</v>
      </c>
      <c r="Q905" s="184"/>
      <c r="R905" s="183" t="s">
        <v>19</v>
      </c>
      <c r="S905" s="184" t="s">
        <v>9436</v>
      </c>
      <c r="T905" s="184"/>
      <c r="U905" s="184"/>
      <c r="V905" s="184"/>
      <c r="W905" s="184"/>
      <c r="X905" s="179"/>
      <c r="Y905" s="179"/>
      <c r="Z905" s="179"/>
      <c r="AA905" s="179"/>
    </row>
    <row r="906" spans="1:27">
      <c r="A906" s="181">
        <f ca="1">IFERROR(__xludf.DUMMYFUNCTION("IFS(B906="""","""",ISDATE(B906)=TRUE,B906,ISDATE(B906)=FALSE,TO_DATE(DATEVALUE(regexextract(B906,""\d+/\d+/\d+""))))"),44797)</f>
        <v>44797</v>
      </c>
      <c r="B906" s="182" t="s">
        <v>907</v>
      </c>
      <c r="C906" s="183" t="s">
        <v>347</v>
      </c>
      <c r="D906" s="184">
        <v>4</v>
      </c>
      <c r="E906" s="183" t="s">
        <v>1990</v>
      </c>
      <c r="F906" s="183" t="s">
        <v>3</v>
      </c>
      <c r="G906" s="183" t="s">
        <v>488</v>
      </c>
      <c r="H906" s="184" t="s">
        <v>1991</v>
      </c>
      <c r="I906" s="184">
        <v>4</v>
      </c>
      <c r="J906" s="183" t="s">
        <v>941</v>
      </c>
      <c r="K906" s="184" t="s">
        <v>1992</v>
      </c>
      <c r="L906" s="184">
        <v>4</v>
      </c>
      <c r="M906" s="183"/>
      <c r="N906" s="187"/>
      <c r="O906" s="183" t="s">
        <v>452</v>
      </c>
      <c r="P906" s="183" t="s">
        <v>575</v>
      </c>
      <c r="Q906" s="183" t="s">
        <v>1993</v>
      </c>
      <c r="R906" s="184" t="s">
        <v>18</v>
      </c>
      <c r="S906" s="184"/>
      <c r="T906" s="184"/>
      <c r="U906" s="184"/>
      <c r="V906" s="184"/>
      <c r="W906" s="184"/>
      <c r="X906" s="179"/>
      <c r="Y906" s="179"/>
      <c r="Z906" s="179"/>
      <c r="AA906" s="179"/>
    </row>
    <row r="907" spans="1:27">
      <c r="A907" s="181">
        <f ca="1">IFERROR(__xludf.DUMMYFUNCTION("IFS(B907="""","""",ISDATE(B907)=TRUE,B907,ISDATE(B907)=FALSE,TO_DATE(DATEVALUE(regexextract(B907,""\d+/\d+/\d+""))))"),44797)</f>
        <v>44797</v>
      </c>
      <c r="B907" s="182" t="s">
        <v>907</v>
      </c>
      <c r="C907" s="183" t="s">
        <v>362</v>
      </c>
      <c r="D907" s="183">
        <v>4</v>
      </c>
      <c r="E907" s="183" t="s">
        <v>2049</v>
      </c>
      <c r="F907" s="183" t="s">
        <v>3</v>
      </c>
      <c r="G907" s="183" t="s">
        <v>460</v>
      </c>
      <c r="H907" s="183" t="s">
        <v>2050</v>
      </c>
      <c r="I907" s="183">
        <v>4</v>
      </c>
      <c r="J907" s="183" t="s">
        <v>941</v>
      </c>
      <c r="K907" s="183" t="s">
        <v>2051</v>
      </c>
      <c r="L907" s="183">
        <v>4</v>
      </c>
      <c r="M907" s="183" t="s">
        <v>478</v>
      </c>
      <c r="N907" s="187">
        <v>5920000</v>
      </c>
      <c r="O907" s="183" t="s">
        <v>452</v>
      </c>
      <c r="P907" s="183" t="s">
        <v>452</v>
      </c>
      <c r="Q907" s="184"/>
      <c r="R907" s="183" t="s">
        <v>18</v>
      </c>
      <c r="S907" s="184"/>
      <c r="T907" s="184"/>
      <c r="U907" s="184"/>
      <c r="V907" s="184"/>
      <c r="W907" s="184"/>
      <c r="X907" s="179"/>
      <c r="Y907" s="179"/>
      <c r="Z907" s="179"/>
      <c r="AA907" s="179"/>
    </row>
    <row r="908" spans="1:27">
      <c r="A908" s="181">
        <f ca="1">IFERROR(__xludf.DUMMYFUNCTION("IFS(B908="""","""",ISDATE(B908)=TRUE,B908,ISDATE(B908)=FALSE,TO_DATE(DATEVALUE(regexextract(B908,""\d+/\d+/\d+""))))"),44796)</f>
        <v>44796</v>
      </c>
      <c r="B908" s="189" t="s">
        <v>529</v>
      </c>
      <c r="C908" s="183" t="s">
        <v>8142</v>
      </c>
      <c r="D908" s="184">
        <v>1</v>
      </c>
      <c r="E908" s="183"/>
      <c r="F908" s="183" t="s">
        <v>4</v>
      </c>
      <c r="G908" s="183" t="s">
        <v>725</v>
      </c>
      <c r="H908" s="184" t="s">
        <v>8145</v>
      </c>
      <c r="I908" s="184">
        <v>1</v>
      </c>
      <c r="J908" s="183" t="s">
        <v>1036</v>
      </c>
      <c r="K908" s="184" t="s">
        <v>8146</v>
      </c>
      <c r="L908" s="184">
        <v>1</v>
      </c>
      <c r="M908" s="184" t="s">
        <v>2152</v>
      </c>
      <c r="N908" s="186">
        <v>2100000</v>
      </c>
      <c r="O908" s="183" t="s">
        <v>454</v>
      </c>
      <c r="P908" s="183" t="s">
        <v>8147</v>
      </c>
      <c r="Q908" s="183"/>
      <c r="R908" s="184" t="s">
        <v>24</v>
      </c>
      <c r="S908" s="184"/>
      <c r="T908" s="184"/>
      <c r="U908" s="184"/>
      <c r="V908" s="184"/>
      <c r="W908" s="184"/>
      <c r="X908" s="179"/>
      <c r="Y908" s="179"/>
      <c r="Z908" s="179"/>
      <c r="AA908" s="179"/>
    </row>
    <row r="909" spans="1:27">
      <c r="A909" s="181">
        <f ca="1">IFERROR(__xludf.DUMMYFUNCTION("IFS(B909="""","""",ISDATE(B909)=TRUE,B909,ISDATE(B909)=FALSE,TO_DATE(DATEVALUE(regexextract(B909,""\d+/\d+/\d+""))))"),44797)</f>
        <v>44797</v>
      </c>
      <c r="B909" s="182" t="s">
        <v>907</v>
      </c>
      <c r="C909" s="183" t="s">
        <v>7102</v>
      </c>
      <c r="D909" s="183">
        <v>2</v>
      </c>
      <c r="E909" s="183" t="s">
        <v>7105</v>
      </c>
      <c r="F909" s="183" t="s">
        <v>4</v>
      </c>
      <c r="G909" s="183" t="s">
        <v>727</v>
      </c>
      <c r="H909" s="183" t="s">
        <v>11286</v>
      </c>
      <c r="I909" s="183">
        <v>2</v>
      </c>
      <c r="J909" s="183" t="s">
        <v>1073</v>
      </c>
      <c r="K909" s="183" t="s">
        <v>7107</v>
      </c>
      <c r="L909" s="183">
        <v>2</v>
      </c>
      <c r="M909" s="183"/>
      <c r="N909" s="187"/>
      <c r="O909" s="183" t="s">
        <v>452</v>
      </c>
      <c r="P909" s="183" t="s">
        <v>1028</v>
      </c>
      <c r="Q909" s="184" t="s">
        <v>7108</v>
      </c>
      <c r="R909" s="183" t="s">
        <v>24</v>
      </c>
      <c r="S909" s="184"/>
      <c r="T909" s="184"/>
      <c r="U909" s="184"/>
      <c r="V909" s="184"/>
      <c r="W909" s="184"/>
      <c r="X909" s="179"/>
      <c r="Y909" s="179"/>
      <c r="Z909" s="179"/>
      <c r="AA909" s="179"/>
    </row>
    <row r="910" spans="1:27">
      <c r="A910" s="181">
        <f ca="1">IFERROR(__xludf.DUMMYFUNCTION("IFS(B910="""","""",ISDATE(B910)=TRUE,B910,ISDATE(B910)=FALSE,TO_DATE(DATEVALUE(regexextract(B910,""\d+/\d+/\d+""))))"),44797)</f>
        <v>44797</v>
      </c>
      <c r="B910" s="182" t="s">
        <v>907</v>
      </c>
      <c r="C910" s="183" t="s">
        <v>5635</v>
      </c>
      <c r="D910" s="183">
        <v>3</v>
      </c>
      <c r="E910" s="183" t="s">
        <v>5638</v>
      </c>
      <c r="F910" s="183" t="s">
        <v>4</v>
      </c>
      <c r="G910" s="183" t="s">
        <v>727</v>
      </c>
      <c r="H910" s="183" t="s">
        <v>11287</v>
      </c>
      <c r="I910" s="183">
        <v>3</v>
      </c>
      <c r="J910" s="183" t="s">
        <v>1281</v>
      </c>
      <c r="K910" s="183" t="s">
        <v>5640</v>
      </c>
      <c r="L910" s="183">
        <v>3</v>
      </c>
      <c r="M910" s="183"/>
      <c r="N910" s="187"/>
      <c r="O910" s="183" t="s">
        <v>452</v>
      </c>
      <c r="P910" s="183" t="s">
        <v>452</v>
      </c>
      <c r="Q910" s="183" t="s">
        <v>725</v>
      </c>
      <c r="R910" s="183" t="s">
        <v>24</v>
      </c>
      <c r="S910" s="183"/>
      <c r="T910" s="184"/>
      <c r="U910" s="184"/>
      <c r="V910" s="184"/>
      <c r="W910" s="184"/>
      <c r="X910" s="179"/>
      <c r="Y910" s="179"/>
      <c r="Z910" s="179"/>
      <c r="AA910" s="179"/>
    </row>
    <row r="911" spans="1:27">
      <c r="A911" s="181">
        <f ca="1">IFERROR(__xludf.DUMMYFUNCTION("IFS(B911="""","""",ISDATE(B911)=TRUE,B911,ISDATE(B911)=FALSE,TO_DATE(DATEVALUE(regexextract(B911,""\d+/\d+/\d+""))))"),44797)</f>
        <v>44797</v>
      </c>
      <c r="B911" s="182" t="s">
        <v>907</v>
      </c>
      <c r="C911" s="183" t="s">
        <v>6475</v>
      </c>
      <c r="D911" s="184">
        <v>2.5</v>
      </c>
      <c r="E911" s="183" t="s">
        <v>11288</v>
      </c>
      <c r="F911" s="183" t="s">
        <v>4</v>
      </c>
      <c r="G911" s="183" t="s">
        <v>460</v>
      </c>
      <c r="H911" s="184" t="s">
        <v>6479</v>
      </c>
      <c r="I911" s="184">
        <v>2</v>
      </c>
      <c r="J911" s="183" t="s">
        <v>1371</v>
      </c>
      <c r="K911" s="184" t="s">
        <v>6480</v>
      </c>
      <c r="L911" s="184">
        <v>3</v>
      </c>
      <c r="M911" s="183" t="s">
        <v>451</v>
      </c>
      <c r="N911" s="187">
        <v>1000000</v>
      </c>
      <c r="O911" s="183" t="s">
        <v>452</v>
      </c>
      <c r="P911" s="183" t="s">
        <v>11289</v>
      </c>
      <c r="Q911" s="183"/>
      <c r="R911" s="184" t="s">
        <v>24</v>
      </c>
      <c r="S911" s="184"/>
      <c r="T911" s="184"/>
      <c r="U911" s="184"/>
      <c r="V911" s="184"/>
      <c r="W911" s="184"/>
      <c r="X911" s="179"/>
      <c r="Y911" s="179"/>
      <c r="Z911" s="179"/>
      <c r="AA911" s="179"/>
    </row>
    <row r="912" spans="1:27">
      <c r="A912" s="181">
        <f ca="1">IFERROR(__xludf.DUMMYFUNCTION("IFS(B912="""","""",ISDATE(B912)=TRUE,B912,ISDATE(B912)=FALSE,TO_DATE(DATEVALUE(regexextract(B912,""\d+/\d+/\d+""))))"),44796)</f>
        <v>44796</v>
      </c>
      <c r="B912" s="182" t="s">
        <v>529</v>
      </c>
      <c r="C912" s="183" t="s">
        <v>8988</v>
      </c>
      <c r="D912" s="183">
        <v>2.25</v>
      </c>
      <c r="E912" s="183"/>
      <c r="F912" s="183" t="s">
        <v>3</v>
      </c>
      <c r="G912" s="183" t="s">
        <v>488</v>
      </c>
      <c r="H912" s="183" t="s">
        <v>8991</v>
      </c>
      <c r="I912" s="183">
        <v>2.5</v>
      </c>
      <c r="J912" s="183" t="s">
        <v>941</v>
      </c>
      <c r="K912" s="184" t="s">
        <v>8992</v>
      </c>
      <c r="L912" s="183">
        <v>2</v>
      </c>
      <c r="M912" s="183" t="s">
        <v>8993</v>
      </c>
      <c r="N912" s="185">
        <v>150000</v>
      </c>
      <c r="O912" s="183" t="s">
        <v>452</v>
      </c>
      <c r="P912" s="183" t="s">
        <v>8994</v>
      </c>
      <c r="Q912" s="184"/>
      <c r="R912" s="183" t="s">
        <v>24</v>
      </c>
      <c r="S912" s="184"/>
      <c r="T912" s="184"/>
      <c r="U912" s="184"/>
      <c r="V912" s="184"/>
      <c r="W912" s="184"/>
      <c r="X912" s="179"/>
      <c r="Y912" s="179"/>
      <c r="Z912" s="179"/>
      <c r="AA912" s="179"/>
    </row>
    <row r="913" spans="1:27">
      <c r="A913" s="181">
        <f ca="1">IFERROR(__xludf.DUMMYFUNCTION("IFS(B913="""","""",ISDATE(B913)=TRUE,B913,ISDATE(B913)=FALSE,TO_DATE(DATEVALUE(regexextract(B913,""\d+/\d+/\d+""))))"),44796)</f>
        <v>44796</v>
      </c>
      <c r="B913" s="189" t="s">
        <v>529</v>
      </c>
      <c r="C913" s="183" t="s">
        <v>6556</v>
      </c>
      <c r="D913" s="183">
        <v>2.5</v>
      </c>
      <c r="E913" s="183" t="s">
        <v>6559</v>
      </c>
      <c r="F913" s="183" t="s">
        <v>4</v>
      </c>
      <c r="G913" s="183" t="s">
        <v>725</v>
      </c>
      <c r="H913" s="183" t="s">
        <v>6560</v>
      </c>
      <c r="I913" s="183">
        <v>2</v>
      </c>
      <c r="J913" s="183" t="s">
        <v>4054</v>
      </c>
      <c r="K913" s="183"/>
      <c r="L913" s="183">
        <v>3</v>
      </c>
      <c r="M913" s="184" t="s">
        <v>784</v>
      </c>
      <c r="N913" s="188" t="s">
        <v>6561</v>
      </c>
      <c r="O913" s="183" t="s">
        <v>465</v>
      </c>
      <c r="P913" s="183" t="s">
        <v>452</v>
      </c>
      <c r="Q913" s="184"/>
      <c r="R913" s="183" t="s">
        <v>24</v>
      </c>
      <c r="S913" s="184"/>
      <c r="T913" s="184"/>
      <c r="U913" s="184"/>
      <c r="V913" s="184"/>
      <c r="W913" s="184"/>
      <c r="X913" s="179"/>
      <c r="Y913" s="179"/>
      <c r="Z913" s="179"/>
      <c r="AA913" s="179"/>
    </row>
    <row r="914" spans="1:27">
      <c r="A914" s="181">
        <f ca="1">IFERROR(__xludf.DUMMYFUNCTION("IFS(B914="""","""",ISDATE(B914)=TRUE,B914,ISDATE(B914)=FALSE,TO_DATE(DATEVALUE(regexextract(B914,""\d+/\d+/\d+""))))"),44791)</f>
        <v>44791</v>
      </c>
      <c r="B914" s="182" t="s">
        <v>10182</v>
      </c>
      <c r="C914" s="183" t="s">
        <v>307</v>
      </c>
      <c r="D914" s="184">
        <v>3.25</v>
      </c>
      <c r="E914" s="183" t="s">
        <v>9424</v>
      </c>
      <c r="F914" s="183" t="s">
        <v>4</v>
      </c>
      <c r="G914" s="183" t="s">
        <v>447</v>
      </c>
      <c r="H914" s="184" t="s">
        <v>11290</v>
      </c>
      <c r="I914" s="184">
        <v>3.5</v>
      </c>
      <c r="J914" s="183" t="s">
        <v>543</v>
      </c>
      <c r="K914" s="184" t="s">
        <v>11291</v>
      </c>
      <c r="L914" s="184">
        <v>3</v>
      </c>
      <c r="M914" s="183"/>
      <c r="N914" s="187"/>
      <c r="O914" s="183" t="s">
        <v>452</v>
      </c>
      <c r="P914" s="183" t="s">
        <v>452</v>
      </c>
      <c r="Q914" s="184"/>
      <c r="R914" s="184" t="s">
        <v>19</v>
      </c>
      <c r="S914" s="184" t="s">
        <v>9427</v>
      </c>
      <c r="T914" s="184"/>
      <c r="U914" s="184"/>
      <c r="V914" s="184"/>
      <c r="W914" s="184"/>
      <c r="X914" s="179"/>
      <c r="Y914" s="179"/>
      <c r="Z914" s="179"/>
      <c r="AA914" s="179"/>
    </row>
    <row r="915" spans="1:27">
      <c r="A915" s="181">
        <f ca="1">IFERROR(__xludf.DUMMYFUNCTION("IFS(B915="""","""",ISDATE(B915)=TRUE,B915,ISDATE(B915)=FALSE,TO_DATE(DATEVALUE(regexextract(B915,""\d+/\d+/\d+""))))"),44796)</f>
        <v>44796</v>
      </c>
      <c r="B915" s="182" t="s">
        <v>529</v>
      </c>
      <c r="C915" s="183" t="s">
        <v>8305</v>
      </c>
      <c r="D915" s="183">
        <v>1</v>
      </c>
      <c r="E915" s="183"/>
      <c r="F915" s="183" t="s">
        <v>4</v>
      </c>
      <c r="G915" s="183" t="s">
        <v>725</v>
      </c>
      <c r="H915" s="183" t="s">
        <v>11292</v>
      </c>
      <c r="I915" s="183">
        <v>1</v>
      </c>
      <c r="J915" s="183" t="s">
        <v>1045</v>
      </c>
      <c r="K915" s="183" t="s">
        <v>8309</v>
      </c>
      <c r="L915" s="183">
        <v>1</v>
      </c>
      <c r="M915" s="184" t="s">
        <v>2190</v>
      </c>
      <c r="N915" s="184">
        <v>500000</v>
      </c>
      <c r="O915" s="183" t="s">
        <v>452</v>
      </c>
      <c r="P915" s="183" t="s">
        <v>8310</v>
      </c>
      <c r="Q915" s="184"/>
      <c r="R915" s="183" t="s">
        <v>24</v>
      </c>
      <c r="S915" s="183"/>
      <c r="T915" s="184"/>
      <c r="U915" s="184"/>
      <c r="V915" s="184"/>
      <c r="W915" s="184"/>
      <c r="X915" s="179"/>
      <c r="Y915" s="179"/>
      <c r="Z915" s="179"/>
      <c r="AA915" s="179"/>
    </row>
    <row r="916" spans="1:27">
      <c r="A916" s="181">
        <f ca="1">IFERROR(__xludf.DUMMYFUNCTION("IFS(B916="""","""",ISDATE(B916)=TRUE,B916,ISDATE(B916)=FALSE,TO_DATE(DATEVALUE(regexextract(B916,""\d+/\d+/\d+""))))"),44797)</f>
        <v>44797</v>
      </c>
      <c r="B916" s="182" t="s">
        <v>907</v>
      </c>
      <c r="C916" s="183" t="s">
        <v>254</v>
      </c>
      <c r="D916" s="183">
        <v>4</v>
      </c>
      <c r="E916" s="183" t="s">
        <v>11293</v>
      </c>
      <c r="F916" s="183" t="s">
        <v>4</v>
      </c>
      <c r="G916" s="183" t="s">
        <v>725</v>
      </c>
      <c r="H916" s="183" t="s">
        <v>4083</v>
      </c>
      <c r="I916" s="183">
        <v>4</v>
      </c>
      <c r="J916" s="183" t="s">
        <v>4054</v>
      </c>
      <c r="K916" s="183"/>
      <c r="L916" s="183">
        <v>4</v>
      </c>
      <c r="M916" s="184" t="s">
        <v>451</v>
      </c>
      <c r="N916" s="188">
        <v>500000</v>
      </c>
      <c r="O916" s="183" t="s">
        <v>452</v>
      </c>
      <c r="P916" s="183" t="s">
        <v>4084</v>
      </c>
      <c r="Q916" s="184"/>
      <c r="R916" s="183" t="s">
        <v>18</v>
      </c>
      <c r="S916" s="184"/>
      <c r="T916" s="184"/>
      <c r="U916" s="184"/>
      <c r="V916" s="184"/>
      <c r="W916" s="184"/>
      <c r="X916" s="179"/>
      <c r="Y916" s="179"/>
      <c r="Z916" s="179"/>
      <c r="AA916" s="179"/>
    </row>
    <row r="917" spans="1:27">
      <c r="A917" s="181">
        <f ca="1">IFERROR(__xludf.DUMMYFUNCTION("IFS(B917="""","""",ISDATE(B917)=TRUE,B917,ISDATE(B917)=FALSE,TO_DATE(DATEVALUE(regexextract(B917,""\d+/\d+/\d+""))))"),44796)</f>
        <v>44796</v>
      </c>
      <c r="B917" s="182" t="s">
        <v>529</v>
      </c>
      <c r="C917" s="183" t="s">
        <v>9007</v>
      </c>
      <c r="D917" s="183">
        <v>3.25</v>
      </c>
      <c r="E917" s="183"/>
      <c r="F917" s="183" t="s">
        <v>3</v>
      </c>
      <c r="G917" s="183" t="s">
        <v>488</v>
      </c>
      <c r="H917" s="183"/>
      <c r="I917" s="183">
        <v>3</v>
      </c>
      <c r="J917" s="183" t="s">
        <v>462</v>
      </c>
      <c r="K917" s="183" t="s">
        <v>9010</v>
      </c>
      <c r="L917" s="183">
        <v>3.5</v>
      </c>
      <c r="M917" s="183" t="s">
        <v>2152</v>
      </c>
      <c r="N917" s="185" t="s">
        <v>9011</v>
      </c>
      <c r="O917" s="183" t="s">
        <v>452</v>
      </c>
      <c r="P917" s="183" t="s">
        <v>9012</v>
      </c>
      <c r="Q917" s="184"/>
      <c r="R917" s="183" t="s">
        <v>24</v>
      </c>
      <c r="S917" s="183"/>
      <c r="T917" s="184"/>
      <c r="U917" s="184"/>
      <c r="V917" s="184"/>
      <c r="W917" s="184"/>
      <c r="X917" s="179"/>
      <c r="Y917" s="179"/>
      <c r="Z917" s="179"/>
      <c r="AA917" s="179"/>
    </row>
    <row r="918" spans="1:27">
      <c r="A918" s="181">
        <f ca="1">IFERROR(__xludf.DUMMYFUNCTION("IFS(B918="""","""",ISDATE(B918)=TRUE,B918,ISDATE(B918)=FALSE,TO_DATE(DATEVALUE(regexextract(B918,""\d+/\d+/\d+""))))"),44797)</f>
        <v>44797</v>
      </c>
      <c r="B918" s="182" t="s">
        <v>907</v>
      </c>
      <c r="C918" s="183" t="s">
        <v>342</v>
      </c>
      <c r="D918" s="184">
        <v>4.5</v>
      </c>
      <c r="E918" s="183" t="s">
        <v>1946</v>
      </c>
      <c r="F918" s="183" t="s">
        <v>3</v>
      </c>
      <c r="G918" s="183" t="s">
        <v>488</v>
      </c>
      <c r="H918" s="183" t="s">
        <v>1947</v>
      </c>
      <c r="I918" s="183">
        <v>4</v>
      </c>
      <c r="J918" s="183" t="s">
        <v>462</v>
      </c>
      <c r="K918" s="184" t="s">
        <v>1948</v>
      </c>
      <c r="L918" s="184">
        <v>5</v>
      </c>
      <c r="M918" s="183" t="s">
        <v>1949</v>
      </c>
      <c r="N918" s="187" t="s">
        <v>1950</v>
      </c>
      <c r="O918" s="183" t="s">
        <v>452</v>
      </c>
      <c r="P918" s="183" t="s">
        <v>452</v>
      </c>
      <c r="Q918" s="184"/>
      <c r="R918" s="184" t="s">
        <v>18</v>
      </c>
      <c r="S918" s="184"/>
      <c r="T918" s="184"/>
      <c r="U918" s="184"/>
      <c r="V918" s="184"/>
      <c r="W918" s="184"/>
      <c r="X918" s="179"/>
      <c r="Y918" s="179"/>
      <c r="Z918" s="179"/>
      <c r="AA918" s="179"/>
    </row>
    <row r="919" spans="1:27">
      <c r="A919" s="181">
        <f ca="1">IFERROR(__xludf.DUMMYFUNCTION("IFS(B919="""","""",ISDATE(B919)=TRUE,B919,ISDATE(B919)=FALSE,TO_DATE(DATEVALUE(regexextract(B919,""\d+/\d+/\d+""))))"),44797)</f>
        <v>44797</v>
      </c>
      <c r="B919" s="189" t="s">
        <v>907</v>
      </c>
      <c r="C919" s="183" t="s">
        <v>234</v>
      </c>
      <c r="D919" s="183">
        <v>4</v>
      </c>
      <c r="E919" s="183" t="s">
        <v>3980</v>
      </c>
      <c r="F919" s="183" t="s">
        <v>4</v>
      </c>
      <c r="G919" s="183" t="s">
        <v>447</v>
      </c>
      <c r="H919" s="183" t="s">
        <v>11294</v>
      </c>
      <c r="I919" s="183">
        <v>3</v>
      </c>
      <c r="J919" s="183" t="s">
        <v>1371</v>
      </c>
      <c r="K919" s="183" t="s">
        <v>3982</v>
      </c>
      <c r="L919" s="183">
        <v>5</v>
      </c>
      <c r="M919" s="183"/>
      <c r="N919" s="183"/>
      <c r="O919" s="183" t="s">
        <v>452</v>
      </c>
      <c r="P919" s="183" t="s">
        <v>3983</v>
      </c>
      <c r="Q919" s="184"/>
      <c r="R919" s="183" t="s">
        <v>18</v>
      </c>
      <c r="S919" s="184"/>
      <c r="T919" s="184"/>
      <c r="U919" s="184"/>
      <c r="V919" s="184"/>
      <c r="W919" s="184"/>
      <c r="X919" s="179"/>
      <c r="Y919" s="179"/>
      <c r="Z919" s="179"/>
      <c r="AA919" s="179"/>
    </row>
    <row r="920" spans="1:27">
      <c r="A920" s="181">
        <f ca="1">IFERROR(__xludf.DUMMYFUNCTION("IFS(B920="""","""",ISDATE(B920)=TRUE,B920,ISDATE(B920)=FALSE,TO_DATE(DATEVALUE(regexextract(B920,""\d+/\d+/\d+""))))"),44797)</f>
        <v>44797</v>
      </c>
      <c r="B920" s="182" t="s">
        <v>907</v>
      </c>
      <c r="C920" s="183" t="s">
        <v>7268</v>
      </c>
      <c r="D920" s="184">
        <v>2</v>
      </c>
      <c r="E920" s="183" t="s">
        <v>7271</v>
      </c>
      <c r="F920" s="183" t="s">
        <v>4</v>
      </c>
      <c r="G920" s="183" t="s">
        <v>460</v>
      </c>
      <c r="H920" s="184" t="s">
        <v>7272</v>
      </c>
      <c r="I920" s="184">
        <v>2</v>
      </c>
      <c r="J920" s="183" t="s">
        <v>1237</v>
      </c>
      <c r="K920" s="183"/>
      <c r="L920" s="183">
        <v>2</v>
      </c>
      <c r="M920" s="183" t="s">
        <v>451</v>
      </c>
      <c r="N920" s="187">
        <v>3000000</v>
      </c>
      <c r="O920" s="183" t="s">
        <v>452</v>
      </c>
      <c r="P920" s="183" t="s">
        <v>7273</v>
      </c>
      <c r="Q920" s="184"/>
      <c r="R920" s="184" t="s">
        <v>24</v>
      </c>
      <c r="S920" s="184"/>
      <c r="T920" s="184"/>
      <c r="U920" s="184"/>
      <c r="V920" s="184"/>
      <c r="W920" s="184"/>
      <c r="X920" s="179"/>
      <c r="Y920" s="179"/>
      <c r="Z920" s="179"/>
      <c r="AA920" s="179"/>
    </row>
    <row r="921" spans="1:27">
      <c r="A921" s="181">
        <f ca="1">IFERROR(__xludf.DUMMYFUNCTION("IFS(B921="""","""",ISDATE(B921)=TRUE,B921,ISDATE(B921)=FALSE,TO_DATE(DATEVALUE(regexextract(B921,""\d+/\d+/\d+""))))"),44796)</f>
        <v>44796</v>
      </c>
      <c r="B921" s="182" t="s">
        <v>529</v>
      </c>
      <c r="C921" s="183" t="s">
        <v>8313</v>
      </c>
      <c r="D921" s="183">
        <v>2.75</v>
      </c>
      <c r="E921" s="183"/>
      <c r="F921" s="183" t="s">
        <v>3</v>
      </c>
      <c r="G921" s="183" t="s">
        <v>488</v>
      </c>
      <c r="H921" s="183" t="s">
        <v>11295</v>
      </c>
      <c r="I921" s="183">
        <v>3</v>
      </c>
      <c r="J921" s="183" t="s">
        <v>941</v>
      </c>
      <c r="K921" s="183" t="s">
        <v>8317</v>
      </c>
      <c r="L921" s="183">
        <v>2.5</v>
      </c>
      <c r="M921" s="184" t="s">
        <v>8318</v>
      </c>
      <c r="N921" s="190">
        <v>50000</v>
      </c>
      <c r="O921" s="183" t="s">
        <v>452</v>
      </c>
      <c r="P921" s="183" t="s">
        <v>8319</v>
      </c>
      <c r="Q921" s="184" t="s">
        <v>8320</v>
      </c>
      <c r="R921" s="183" t="s">
        <v>24</v>
      </c>
      <c r="S921" s="184"/>
      <c r="T921" s="184"/>
      <c r="U921" s="184"/>
      <c r="V921" s="184"/>
      <c r="W921" s="184"/>
      <c r="X921" s="179"/>
      <c r="Y921" s="179"/>
      <c r="Z921" s="179"/>
      <c r="AA921" s="179"/>
    </row>
    <row r="922" spans="1:27">
      <c r="A922" s="181">
        <f ca="1">IFERROR(__xludf.DUMMYFUNCTION("IFS(B922="""","""",ISDATE(B922)=TRUE,B922,ISDATE(B922)=FALSE,TO_DATE(DATEVALUE(regexextract(B922,""\d+/\d+/\d+""))))"),44797)</f>
        <v>44797</v>
      </c>
      <c r="B922" s="182" t="s">
        <v>907</v>
      </c>
      <c r="C922" s="183" t="s">
        <v>8510</v>
      </c>
      <c r="D922" s="183">
        <v>2.5</v>
      </c>
      <c r="E922" s="183" t="s">
        <v>8513</v>
      </c>
      <c r="F922" s="183" t="s">
        <v>3</v>
      </c>
      <c r="G922" s="183" t="s">
        <v>725</v>
      </c>
      <c r="H922" s="183" t="s">
        <v>8514</v>
      </c>
      <c r="I922" s="183">
        <v>2</v>
      </c>
      <c r="J922" s="183" t="s">
        <v>941</v>
      </c>
      <c r="K922" s="184" t="s">
        <v>8515</v>
      </c>
      <c r="L922" s="183">
        <v>3</v>
      </c>
      <c r="M922" s="183"/>
      <c r="N922" s="187"/>
      <c r="O922" s="183" t="s">
        <v>452</v>
      </c>
      <c r="P922" s="183" t="s">
        <v>8516</v>
      </c>
      <c r="Q922" s="183"/>
      <c r="R922" s="183" t="s">
        <v>24</v>
      </c>
      <c r="S922" s="184"/>
      <c r="T922" s="184"/>
      <c r="U922" s="184"/>
      <c r="V922" s="184"/>
      <c r="W922" s="184"/>
      <c r="X922" s="179"/>
      <c r="Y922" s="179"/>
      <c r="Z922" s="179"/>
      <c r="AA922" s="179"/>
    </row>
    <row r="923" spans="1:27">
      <c r="A923" s="181">
        <f ca="1">IFERROR(__xludf.DUMMYFUNCTION("IFS(B923="""","""",ISDATE(B923)=TRUE,B923,ISDATE(B923)=FALSE,TO_DATE(DATEVALUE(regexextract(B923,""\d+/\d+/\d+""))))"),44796)</f>
        <v>44796</v>
      </c>
      <c r="B923" s="197" t="s">
        <v>529</v>
      </c>
      <c r="C923" s="183" t="s">
        <v>8740</v>
      </c>
      <c r="D923" s="183">
        <v>3</v>
      </c>
      <c r="E923" s="184" t="s">
        <v>8743</v>
      </c>
      <c r="F923" s="184" t="s">
        <v>3</v>
      </c>
      <c r="G923" s="184" t="s">
        <v>488</v>
      </c>
      <c r="H923" s="184"/>
      <c r="I923" s="183">
        <v>3</v>
      </c>
      <c r="J923" s="184" t="s">
        <v>941</v>
      </c>
      <c r="K923" s="184" t="s">
        <v>8744</v>
      </c>
      <c r="L923" s="183">
        <v>3</v>
      </c>
      <c r="M923" s="184" t="s">
        <v>478</v>
      </c>
      <c r="N923" s="186">
        <v>500000</v>
      </c>
      <c r="O923" s="184" t="s">
        <v>452</v>
      </c>
      <c r="P923" s="184" t="s">
        <v>452</v>
      </c>
      <c r="Q923" s="184"/>
      <c r="R923" s="184" t="s">
        <v>24</v>
      </c>
      <c r="S923" s="184"/>
      <c r="T923" s="183"/>
      <c r="U923" s="184"/>
      <c r="V923" s="183"/>
      <c r="W923" s="184"/>
      <c r="X923" s="179"/>
      <c r="Y923" s="179"/>
      <c r="Z923" s="179"/>
      <c r="AA923" s="179"/>
    </row>
    <row r="924" spans="1:27">
      <c r="A924" s="181">
        <f ca="1">IFERROR(__xludf.DUMMYFUNCTION("IFS(B924="""","""",ISDATE(B924)=TRUE,B924,ISDATE(B924)=FALSE,TO_DATE(DATEVALUE(regexextract(B924,""\d+/\d+/\d+""))))"),44797)</f>
        <v>44797</v>
      </c>
      <c r="B924" s="182" t="s">
        <v>907</v>
      </c>
      <c r="C924" s="183" t="s">
        <v>6285</v>
      </c>
      <c r="D924" s="183">
        <v>2.5</v>
      </c>
      <c r="E924" s="183" t="s">
        <v>11296</v>
      </c>
      <c r="F924" s="183" t="s">
        <v>4</v>
      </c>
      <c r="G924" s="183" t="s">
        <v>602</v>
      </c>
      <c r="H924" s="183"/>
      <c r="I924" s="183">
        <v>3</v>
      </c>
      <c r="J924" s="183" t="s">
        <v>1237</v>
      </c>
      <c r="K924" s="183"/>
      <c r="L924" s="183">
        <v>2</v>
      </c>
      <c r="M924" s="183"/>
      <c r="N924" s="185"/>
      <c r="O924" s="183" t="s">
        <v>454</v>
      </c>
      <c r="P924" s="183" t="s">
        <v>6289</v>
      </c>
      <c r="Q924" s="184"/>
      <c r="R924" s="183" t="s">
        <v>24</v>
      </c>
      <c r="S924" s="184"/>
      <c r="T924" s="184"/>
      <c r="U924" s="184"/>
      <c r="V924" s="184"/>
      <c r="W924" s="184"/>
      <c r="X924" s="179"/>
      <c r="Y924" s="179"/>
      <c r="Z924" s="179"/>
      <c r="AA924" s="179"/>
    </row>
    <row r="925" spans="1:27">
      <c r="A925" s="181">
        <f ca="1">IFERROR(__xludf.DUMMYFUNCTION("IFS(B925="""","""",ISDATE(B925)=TRUE,B925,ISDATE(B925)=FALSE,TO_DATE(DATEVALUE(regexextract(B925,""\d+/\d+/\d+""))))"),44796)</f>
        <v>44796</v>
      </c>
      <c r="B925" s="182" t="s">
        <v>529</v>
      </c>
      <c r="C925" s="183" t="s">
        <v>104</v>
      </c>
      <c r="D925" s="183">
        <v>4.5</v>
      </c>
      <c r="E925" s="183"/>
      <c r="F925" s="183" t="s">
        <v>5</v>
      </c>
      <c r="G925" s="183" t="s">
        <v>447</v>
      </c>
      <c r="H925" s="183" t="s">
        <v>11297</v>
      </c>
      <c r="I925" s="183">
        <v>4.5</v>
      </c>
      <c r="J925" s="183" t="s">
        <v>449</v>
      </c>
      <c r="K925" s="183" t="s">
        <v>11298</v>
      </c>
      <c r="L925" s="183">
        <v>4.5</v>
      </c>
      <c r="M925" s="183" t="s">
        <v>768</v>
      </c>
      <c r="N925" s="185">
        <v>48500000</v>
      </c>
      <c r="O925" s="183" t="s">
        <v>452</v>
      </c>
      <c r="P925" s="183" t="s">
        <v>452</v>
      </c>
      <c r="Q925" s="184"/>
      <c r="R925" s="183" t="s">
        <v>18</v>
      </c>
      <c r="S925" s="184"/>
      <c r="T925" s="184"/>
      <c r="U925" s="184"/>
      <c r="V925" s="184"/>
      <c r="W925" s="184"/>
      <c r="X925" s="179"/>
      <c r="Y925" s="179"/>
      <c r="Z925" s="179"/>
      <c r="AA925" s="179"/>
    </row>
    <row r="926" spans="1:27">
      <c r="A926" s="181">
        <f ca="1">IFERROR(__xludf.DUMMYFUNCTION("IFS(B926="""","""",ISDATE(B926)=TRUE,B926,ISDATE(B926)=FALSE,TO_DATE(DATEVALUE(regexextract(B926,""\d+/\d+/\d+""))))"),44796)</f>
        <v>44796</v>
      </c>
      <c r="B926" s="182" t="s">
        <v>529</v>
      </c>
      <c r="C926" s="183" t="s">
        <v>294</v>
      </c>
      <c r="D926" s="184">
        <v>4.5</v>
      </c>
      <c r="E926" s="183"/>
      <c r="F926" s="183" t="s">
        <v>3</v>
      </c>
      <c r="G926" s="183" t="s">
        <v>460</v>
      </c>
      <c r="H926" s="184" t="s">
        <v>1654</v>
      </c>
      <c r="I926" s="184">
        <v>4.5</v>
      </c>
      <c r="J926" s="183" t="s">
        <v>941</v>
      </c>
      <c r="K926" s="184" t="s">
        <v>1655</v>
      </c>
      <c r="L926" s="184">
        <v>4.5</v>
      </c>
      <c r="M926" s="183" t="s">
        <v>1656</v>
      </c>
      <c r="N926" s="187">
        <v>10000000</v>
      </c>
      <c r="O926" s="183" t="s">
        <v>454</v>
      </c>
      <c r="P926" s="183" t="s">
        <v>1657</v>
      </c>
      <c r="Q926" s="184"/>
      <c r="R926" s="184" t="s">
        <v>18</v>
      </c>
      <c r="S926" s="184"/>
      <c r="T926" s="184"/>
      <c r="U926" s="184"/>
      <c r="V926" s="184"/>
      <c r="W926" s="184"/>
      <c r="X926" s="179"/>
      <c r="Y926" s="179"/>
      <c r="Z926" s="179"/>
      <c r="AA926" s="179"/>
    </row>
    <row r="927" spans="1:27">
      <c r="A927" s="181">
        <f ca="1">IFERROR(__xludf.DUMMYFUNCTION("IFS(B927="""","""",ISDATE(B927)=TRUE,B927,ISDATE(B927)=FALSE,TO_DATE(DATEVALUE(regexextract(B927,""\d+/\d+/\d+""))))"),44797)</f>
        <v>44797</v>
      </c>
      <c r="B927" s="182" t="s">
        <v>907</v>
      </c>
      <c r="C927" s="183" t="s">
        <v>211</v>
      </c>
      <c r="D927" s="184">
        <v>4</v>
      </c>
      <c r="E927" s="183" t="s">
        <v>3867</v>
      </c>
      <c r="F927" s="183" t="s">
        <v>4</v>
      </c>
      <c r="G927" s="183" t="s">
        <v>725</v>
      </c>
      <c r="H927" s="184" t="s">
        <v>11299</v>
      </c>
      <c r="I927" s="184">
        <v>4</v>
      </c>
      <c r="J927" s="183" t="s">
        <v>1187</v>
      </c>
      <c r="K927" s="184" t="s">
        <v>3869</v>
      </c>
      <c r="L927" s="183">
        <v>4</v>
      </c>
      <c r="M927" s="183" t="s">
        <v>451</v>
      </c>
      <c r="N927" s="185" t="s">
        <v>3870</v>
      </c>
      <c r="O927" s="183" t="s">
        <v>452</v>
      </c>
      <c r="P927" s="183" t="s">
        <v>454</v>
      </c>
      <c r="Q927" s="184"/>
      <c r="R927" s="184" t="s">
        <v>18</v>
      </c>
      <c r="S927" s="184"/>
      <c r="T927" s="184"/>
      <c r="U927" s="184"/>
      <c r="V927" s="184"/>
      <c r="W927" s="184"/>
      <c r="X927" s="179"/>
      <c r="Y927" s="179"/>
      <c r="Z927" s="179"/>
      <c r="AA927" s="179"/>
    </row>
    <row r="928" spans="1:27">
      <c r="A928" s="181">
        <f ca="1">IFERROR(__xludf.DUMMYFUNCTION("IFS(B928="""","""",ISDATE(B928)=TRUE,B928,ISDATE(B928)=FALSE,TO_DATE(DATEVALUE(regexextract(B928,""\d+/\d+/\d+""))))"),44796)</f>
        <v>44796</v>
      </c>
      <c r="B928" s="182" t="s">
        <v>529</v>
      </c>
      <c r="C928" s="183" t="s">
        <v>7397</v>
      </c>
      <c r="D928" s="184">
        <v>2</v>
      </c>
      <c r="E928" s="183" t="s">
        <v>7400</v>
      </c>
      <c r="F928" s="183" t="s">
        <v>4</v>
      </c>
      <c r="G928" s="183" t="s">
        <v>727</v>
      </c>
      <c r="H928" s="184" t="s">
        <v>11300</v>
      </c>
      <c r="I928" s="184">
        <v>2</v>
      </c>
      <c r="J928" s="183" t="s">
        <v>1054</v>
      </c>
      <c r="K928" s="183" t="s">
        <v>7402</v>
      </c>
      <c r="L928" s="183">
        <v>2</v>
      </c>
      <c r="M928" s="183" t="s">
        <v>451</v>
      </c>
      <c r="N928" s="187">
        <v>200000</v>
      </c>
      <c r="O928" s="183" t="s">
        <v>452</v>
      </c>
      <c r="P928" s="183" t="s">
        <v>7403</v>
      </c>
      <c r="Q928" s="184"/>
      <c r="R928" s="184" t="s">
        <v>24</v>
      </c>
      <c r="S928" s="184"/>
      <c r="T928" s="184"/>
      <c r="U928" s="184"/>
      <c r="V928" s="184"/>
      <c r="W928" s="184"/>
      <c r="X928" s="179"/>
      <c r="Y928" s="179"/>
      <c r="Z928" s="179"/>
      <c r="AA928" s="179"/>
    </row>
    <row r="929" spans="1:27">
      <c r="A929" s="181">
        <f ca="1">IFERROR(__xludf.DUMMYFUNCTION("IFS(B929="""","""",ISDATE(B929)=TRUE,B929,ISDATE(B929)=FALSE,TO_DATE(DATEVALUE(regexextract(B929,""\d+/\d+/\d+""))))"),44796)</f>
        <v>44796</v>
      </c>
      <c r="B929" s="182" t="s">
        <v>529</v>
      </c>
      <c r="C929" s="183" t="s">
        <v>661</v>
      </c>
      <c r="D929" s="183">
        <v>3.75</v>
      </c>
      <c r="E929" s="183" t="s">
        <v>664</v>
      </c>
      <c r="F929" s="183" t="s">
        <v>5</v>
      </c>
      <c r="G929" s="183" t="s">
        <v>447</v>
      </c>
      <c r="H929" s="183" t="s">
        <v>11301</v>
      </c>
      <c r="I929" s="183">
        <v>3.5</v>
      </c>
      <c r="J929" s="183" t="s">
        <v>543</v>
      </c>
      <c r="K929" s="183" t="s">
        <v>11302</v>
      </c>
      <c r="L929" s="183">
        <v>4</v>
      </c>
      <c r="M929" s="183" t="s">
        <v>451</v>
      </c>
      <c r="N929" s="187">
        <v>2500000</v>
      </c>
      <c r="O929" s="183" t="s">
        <v>452</v>
      </c>
      <c r="P929" s="183" t="s">
        <v>667</v>
      </c>
      <c r="Q929" s="184" t="s">
        <v>668</v>
      </c>
      <c r="R929" s="183" t="s">
        <v>24</v>
      </c>
      <c r="S929" s="184" t="s">
        <v>669</v>
      </c>
      <c r="T929" s="184"/>
      <c r="U929" s="184"/>
      <c r="V929" s="184"/>
      <c r="W929" s="184"/>
      <c r="X929" s="179"/>
      <c r="Y929" s="179"/>
      <c r="Z929" s="179"/>
      <c r="AA929" s="179"/>
    </row>
    <row r="930" spans="1:27">
      <c r="A930" s="181">
        <f ca="1">IFERROR(__xludf.DUMMYFUNCTION("IFS(B930="""","""",ISDATE(B930)=TRUE,B930,ISDATE(B930)=FALSE,TO_DATE(DATEVALUE(regexextract(B930,""\d+/\d+/\d+""))))"),44797)</f>
        <v>44797</v>
      </c>
      <c r="B930" s="182" t="s">
        <v>907</v>
      </c>
      <c r="C930" s="183" t="s">
        <v>4645</v>
      </c>
      <c r="D930" s="183">
        <v>3.5</v>
      </c>
      <c r="E930" s="183" t="s">
        <v>4648</v>
      </c>
      <c r="F930" s="183" t="s">
        <v>4</v>
      </c>
      <c r="G930" s="183" t="s">
        <v>447</v>
      </c>
      <c r="H930" s="183" t="s">
        <v>11303</v>
      </c>
      <c r="I930" s="183">
        <v>3</v>
      </c>
      <c r="J930" s="183" t="s">
        <v>604</v>
      </c>
      <c r="K930" s="183" t="s">
        <v>11304</v>
      </c>
      <c r="L930" s="183">
        <v>4</v>
      </c>
      <c r="M930" s="184" t="s">
        <v>1656</v>
      </c>
      <c r="N930" s="190">
        <v>3000000</v>
      </c>
      <c r="O930" s="183" t="s">
        <v>452</v>
      </c>
      <c r="P930" s="183" t="s">
        <v>4651</v>
      </c>
      <c r="Q930" s="184"/>
      <c r="R930" s="183" t="s">
        <v>24</v>
      </c>
      <c r="S930" s="184"/>
      <c r="T930" s="184"/>
      <c r="U930" s="184"/>
      <c r="V930" s="184"/>
      <c r="W930" s="184"/>
      <c r="X930" s="179"/>
      <c r="Y930" s="179"/>
      <c r="Z930" s="179"/>
      <c r="AA930" s="179"/>
    </row>
    <row r="931" spans="1:27">
      <c r="A931" s="181">
        <f ca="1">IFERROR(__xludf.DUMMYFUNCTION("IFS(B931="""","""",ISDATE(B931)=TRUE,B931,ISDATE(B931)=FALSE,TO_DATE(DATEVALUE(regexextract(B931,""\d+/\d+/\d+""))))"),44797)</f>
        <v>44797</v>
      </c>
      <c r="B931" s="182" t="s">
        <v>907</v>
      </c>
      <c r="C931" s="183" t="s">
        <v>8773</v>
      </c>
      <c r="D931" s="183">
        <v>1.5</v>
      </c>
      <c r="E931" s="183"/>
      <c r="F931" s="183" t="s">
        <v>3</v>
      </c>
      <c r="G931" s="183" t="s">
        <v>488</v>
      </c>
      <c r="H931" s="183" t="s">
        <v>11305</v>
      </c>
      <c r="I931" s="183">
        <v>2</v>
      </c>
      <c r="J931" s="183" t="s">
        <v>941</v>
      </c>
      <c r="K931" s="183" t="s">
        <v>8777</v>
      </c>
      <c r="L931" s="183">
        <v>1</v>
      </c>
      <c r="M931" s="183" t="s">
        <v>2152</v>
      </c>
      <c r="N931" s="185" t="s">
        <v>8778</v>
      </c>
      <c r="O931" s="183" t="s">
        <v>454</v>
      </c>
      <c r="P931" s="183" t="s">
        <v>452</v>
      </c>
      <c r="Q931" s="184"/>
      <c r="R931" s="183" t="s">
        <v>24</v>
      </c>
      <c r="S931" s="184"/>
      <c r="T931" s="184"/>
      <c r="U931" s="184"/>
      <c r="V931" s="184"/>
      <c r="W931" s="184"/>
      <c r="X931" s="179"/>
      <c r="Y931" s="179"/>
      <c r="Z931" s="179"/>
      <c r="AA931" s="179"/>
    </row>
    <row r="932" spans="1:27">
      <c r="A932" s="181">
        <f ca="1">IFERROR(__xludf.DUMMYFUNCTION("IFS(B932="""","""",ISDATE(B932)=TRUE,B932,ISDATE(B932)=FALSE,TO_DATE(DATEVALUE(regexextract(B932,""\d+/\d+/\d+""))))"),44796)</f>
        <v>44796</v>
      </c>
      <c r="B932" s="182" t="s">
        <v>529</v>
      </c>
      <c r="C932" s="183" t="s">
        <v>8910</v>
      </c>
      <c r="D932" s="184">
        <v>3.75</v>
      </c>
      <c r="E932" s="183"/>
      <c r="F932" s="183" t="s">
        <v>3</v>
      </c>
      <c r="G932" s="183" t="s">
        <v>488</v>
      </c>
      <c r="H932" s="184"/>
      <c r="I932" s="184">
        <v>3.5</v>
      </c>
      <c r="J932" s="183" t="s">
        <v>462</v>
      </c>
      <c r="K932" s="184" t="s">
        <v>8913</v>
      </c>
      <c r="L932" s="184">
        <v>4</v>
      </c>
      <c r="M932" s="184" t="s">
        <v>8914</v>
      </c>
      <c r="N932" s="188">
        <v>5000000</v>
      </c>
      <c r="O932" s="183" t="s">
        <v>452</v>
      </c>
      <c r="P932" s="183" t="s">
        <v>8915</v>
      </c>
      <c r="Q932" s="183"/>
      <c r="R932" s="184" t="s">
        <v>24</v>
      </c>
      <c r="S932" s="184" t="s">
        <v>8916</v>
      </c>
      <c r="T932" s="184"/>
      <c r="U932" s="184"/>
      <c r="V932" s="184"/>
      <c r="W932" s="184"/>
      <c r="X932" s="179"/>
      <c r="Y932" s="179"/>
      <c r="Z932" s="179"/>
      <c r="AA932" s="179"/>
    </row>
    <row r="933" spans="1:27">
      <c r="A933" s="181">
        <f ca="1">IFERROR(__xludf.DUMMYFUNCTION("IFS(B933="""","""",ISDATE(B933)=TRUE,B933,ISDATE(B933)=FALSE,TO_DATE(DATEVALUE(regexextract(B933,""\d+/\d+/\d+""))))"),44796)</f>
        <v>44796</v>
      </c>
      <c r="B933" s="182" t="s">
        <v>529</v>
      </c>
      <c r="C933" s="183" t="s">
        <v>3105</v>
      </c>
      <c r="D933" s="184">
        <v>3</v>
      </c>
      <c r="E933" s="184" t="s">
        <v>3108</v>
      </c>
      <c r="F933" s="183" t="s">
        <v>5</v>
      </c>
      <c r="G933" s="183" t="s">
        <v>447</v>
      </c>
      <c r="H933" s="184" t="s">
        <v>11306</v>
      </c>
      <c r="I933" s="184">
        <v>3</v>
      </c>
      <c r="J933" s="183" t="s">
        <v>543</v>
      </c>
      <c r="K933" s="183" t="s">
        <v>11307</v>
      </c>
      <c r="L933" s="183">
        <v>3</v>
      </c>
      <c r="M933" s="183" t="s">
        <v>3111</v>
      </c>
      <c r="N933" s="187" t="s">
        <v>3112</v>
      </c>
      <c r="O933" s="183" t="s">
        <v>452</v>
      </c>
      <c r="P933" s="183"/>
      <c r="Q933" s="183"/>
      <c r="R933" s="184" t="s">
        <v>24</v>
      </c>
      <c r="S933" s="184"/>
      <c r="T933" s="184"/>
      <c r="U933" s="184"/>
      <c r="V933" s="184"/>
      <c r="W933" s="184"/>
      <c r="X933" s="179"/>
      <c r="Y933" s="179"/>
      <c r="Z933" s="179"/>
      <c r="AA933" s="179"/>
    </row>
    <row r="934" spans="1:27">
      <c r="A934" s="181">
        <f ca="1">IFERROR(__xludf.DUMMYFUNCTION("IFS(B934="""","""",ISDATE(B934)=TRUE,B934,ISDATE(B934)=FALSE,TO_DATE(DATEVALUE(regexextract(B934,""\d+/\d+/\d+""))))"),44797)</f>
        <v>44797</v>
      </c>
      <c r="B934" s="182" t="s">
        <v>907</v>
      </c>
      <c r="C934" s="183" t="s">
        <v>61</v>
      </c>
      <c r="D934" s="183">
        <v>4</v>
      </c>
      <c r="E934" s="183"/>
      <c r="F934" s="183" t="s">
        <v>5</v>
      </c>
      <c r="G934" s="183" t="s">
        <v>725</v>
      </c>
      <c r="H934" s="183" t="s">
        <v>11308</v>
      </c>
      <c r="I934" s="183">
        <v>4</v>
      </c>
      <c r="J934" s="183" t="s">
        <v>447</v>
      </c>
      <c r="K934" s="183" t="s">
        <v>11309</v>
      </c>
      <c r="L934" s="183">
        <v>4</v>
      </c>
      <c r="M934" s="183" t="s">
        <v>913</v>
      </c>
      <c r="N934" s="187">
        <v>850000</v>
      </c>
      <c r="O934" s="183" t="s">
        <v>452</v>
      </c>
      <c r="P934" s="183" t="s">
        <v>914</v>
      </c>
      <c r="Q934" s="183"/>
      <c r="R934" s="183" t="s">
        <v>18</v>
      </c>
      <c r="S934" s="184" t="s">
        <v>915</v>
      </c>
      <c r="T934" s="184"/>
      <c r="U934" s="184"/>
      <c r="V934" s="184"/>
      <c r="W934" s="184"/>
      <c r="X934" s="179"/>
      <c r="Y934" s="179"/>
      <c r="Z934" s="179"/>
      <c r="AA934" s="179"/>
    </row>
    <row r="935" spans="1:27">
      <c r="A935" s="181">
        <f ca="1">IFERROR(__xludf.DUMMYFUNCTION("IFS(B935="""","""",ISDATE(B935)=TRUE,B935,ISDATE(B935)=FALSE,TO_DATE(DATEVALUE(regexextract(B935,""\d+/\d+/\d+""))))"),44796)</f>
        <v>44796</v>
      </c>
      <c r="B935" s="182" t="s">
        <v>529</v>
      </c>
      <c r="C935" s="183" t="s">
        <v>4270</v>
      </c>
      <c r="D935" s="183">
        <v>3.75</v>
      </c>
      <c r="E935" s="183" t="s">
        <v>4273</v>
      </c>
      <c r="F935" s="183" t="s">
        <v>4</v>
      </c>
      <c r="G935" s="183" t="s">
        <v>447</v>
      </c>
      <c r="H935" s="184" t="s">
        <v>11310</v>
      </c>
      <c r="I935" s="183">
        <v>2.5</v>
      </c>
      <c r="J935" s="183" t="s">
        <v>1237</v>
      </c>
      <c r="K935" s="183"/>
      <c r="L935" s="183">
        <v>5</v>
      </c>
      <c r="M935" s="184" t="s">
        <v>451</v>
      </c>
      <c r="N935" s="186" t="s">
        <v>4275</v>
      </c>
      <c r="O935" s="183" t="s">
        <v>452</v>
      </c>
      <c r="P935" s="183" t="s">
        <v>4276</v>
      </c>
      <c r="Q935" s="184" t="s">
        <v>4277</v>
      </c>
      <c r="R935" s="183" t="s">
        <v>24</v>
      </c>
      <c r="S935" s="184" t="s">
        <v>4278</v>
      </c>
      <c r="T935" s="184"/>
      <c r="U935" s="184"/>
      <c r="V935" s="184"/>
      <c r="W935" s="184"/>
      <c r="X935" s="179"/>
      <c r="Y935" s="179"/>
      <c r="Z935" s="179"/>
      <c r="AA935" s="179"/>
    </row>
    <row r="936" spans="1:27">
      <c r="A936" s="181">
        <f ca="1">IFERROR(__xludf.DUMMYFUNCTION("IFS(B936="""","""",ISDATE(B936)=TRUE,B936,ISDATE(B936)=FALSE,TO_DATE(DATEVALUE(regexextract(B936,""\d+/\d+/\d+""))))"),44797)</f>
        <v>44797</v>
      </c>
      <c r="B936" s="182" t="s">
        <v>907</v>
      </c>
      <c r="C936" s="183" t="s">
        <v>6425</v>
      </c>
      <c r="D936" s="183">
        <v>2.5</v>
      </c>
      <c r="E936" s="183" t="s">
        <v>6428</v>
      </c>
      <c r="F936" s="183" t="s">
        <v>4</v>
      </c>
      <c r="G936" s="183" t="s">
        <v>602</v>
      </c>
      <c r="H936" s="183" t="s">
        <v>6429</v>
      </c>
      <c r="I936" s="183">
        <v>2</v>
      </c>
      <c r="J936" s="183" t="s">
        <v>1350</v>
      </c>
      <c r="K936" s="183" t="s">
        <v>6430</v>
      </c>
      <c r="L936" s="183">
        <v>3</v>
      </c>
      <c r="M936" s="183" t="s">
        <v>784</v>
      </c>
      <c r="N936" s="185">
        <v>125000</v>
      </c>
      <c r="O936" s="183" t="s">
        <v>465</v>
      </c>
      <c r="P936" s="183" t="s">
        <v>6431</v>
      </c>
      <c r="Q936" s="184"/>
      <c r="R936" s="183" t="s">
        <v>24</v>
      </c>
      <c r="S936" s="184"/>
      <c r="T936" s="184"/>
      <c r="U936" s="184"/>
      <c r="V936" s="184"/>
      <c r="W936" s="184"/>
      <c r="X936" s="179"/>
      <c r="Y936" s="179"/>
      <c r="Z936" s="179"/>
      <c r="AA936" s="179"/>
    </row>
    <row r="937" spans="1:27">
      <c r="A937" s="181">
        <f ca="1">IFERROR(__xludf.DUMMYFUNCTION("IFS(B937="""","""",ISDATE(B937)=TRUE,B937,ISDATE(B937)=FALSE,TO_DATE(DATEVALUE(regexextract(B937,""\d+/\d+/\d+""))))"),44796)</f>
        <v>44796</v>
      </c>
      <c r="B937" s="182" t="s">
        <v>529</v>
      </c>
      <c r="C937" s="183" t="s">
        <v>2778</v>
      </c>
      <c r="D937" s="184">
        <v>3</v>
      </c>
      <c r="E937" s="183" t="s">
        <v>2781</v>
      </c>
      <c r="F937" s="183" t="s">
        <v>5</v>
      </c>
      <c r="G937" s="183" t="s">
        <v>447</v>
      </c>
      <c r="H937" s="184" t="s">
        <v>11311</v>
      </c>
      <c r="I937" s="184">
        <v>2</v>
      </c>
      <c r="J937" s="183" t="s">
        <v>449</v>
      </c>
      <c r="K937" s="183" t="s">
        <v>11312</v>
      </c>
      <c r="L937" s="183">
        <v>4</v>
      </c>
      <c r="M937" s="183" t="s">
        <v>2784</v>
      </c>
      <c r="N937" s="185">
        <v>1000000</v>
      </c>
      <c r="O937" s="183" t="s">
        <v>452</v>
      </c>
      <c r="P937" s="183" t="s">
        <v>2785</v>
      </c>
      <c r="Q937" s="184"/>
      <c r="R937" s="184" t="s">
        <v>24</v>
      </c>
      <c r="S937" s="184"/>
      <c r="T937" s="184"/>
      <c r="U937" s="184"/>
      <c r="V937" s="184"/>
      <c r="W937" s="184"/>
      <c r="X937" s="179"/>
      <c r="Y937" s="179"/>
      <c r="Z937" s="179"/>
      <c r="AA937" s="179"/>
    </row>
    <row r="938" spans="1:27">
      <c r="A938" s="181">
        <f ca="1">IFERROR(__xludf.DUMMYFUNCTION("IFS(B938="""","""",ISDATE(B938)=TRUE,B938,ISDATE(B938)=FALSE,TO_DATE(DATEVALUE(regexextract(B938,""\d+/\d+/\d+""))))"),44796)</f>
        <v>44796</v>
      </c>
      <c r="B938" s="182" t="s">
        <v>529</v>
      </c>
      <c r="C938" s="183" t="s">
        <v>7886</v>
      </c>
      <c r="D938" s="184">
        <v>1.5</v>
      </c>
      <c r="E938" s="183"/>
      <c r="F938" s="183" t="s">
        <v>4</v>
      </c>
      <c r="G938" s="183" t="s">
        <v>725</v>
      </c>
      <c r="H938" s="184"/>
      <c r="I938" s="184">
        <v>1</v>
      </c>
      <c r="J938" s="183" t="s">
        <v>1298</v>
      </c>
      <c r="K938" s="183" t="s">
        <v>7889</v>
      </c>
      <c r="L938" s="183">
        <v>2</v>
      </c>
      <c r="M938" s="184" t="s">
        <v>2190</v>
      </c>
      <c r="N938" s="186">
        <v>2000000</v>
      </c>
      <c r="O938" s="183" t="s">
        <v>452</v>
      </c>
      <c r="P938" s="183" t="s">
        <v>7890</v>
      </c>
      <c r="Q938" s="184"/>
      <c r="R938" s="184" t="s">
        <v>24</v>
      </c>
      <c r="S938" s="184"/>
      <c r="T938" s="184"/>
      <c r="U938" s="184"/>
      <c r="V938" s="184"/>
      <c r="W938" s="184"/>
      <c r="X938" s="179"/>
      <c r="Y938" s="179"/>
      <c r="Z938" s="179"/>
      <c r="AA938" s="179"/>
    </row>
    <row r="939" spans="1:27">
      <c r="A939" s="181">
        <f ca="1">IFERROR(__xludf.DUMMYFUNCTION("IFS(B939="""","""",ISDATE(B939)=TRUE,B939,ISDATE(B939)=FALSE,TO_DATE(DATEVALUE(regexextract(B939,""\d+/\d+/\d+""))))"),44797)</f>
        <v>44797</v>
      </c>
      <c r="B939" s="182" t="s">
        <v>907</v>
      </c>
      <c r="C939" s="183" t="s">
        <v>9124</v>
      </c>
      <c r="D939" s="183">
        <v>2</v>
      </c>
      <c r="E939" s="183"/>
      <c r="F939" s="183" t="s">
        <v>3</v>
      </c>
      <c r="G939" s="183" t="s">
        <v>488</v>
      </c>
      <c r="H939" s="183" t="s">
        <v>9127</v>
      </c>
      <c r="I939" s="183">
        <v>2</v>
      </c>
      <c r="J939" s="183" t="s">
        <v>941</v>
      </c>
      <c r="K939" s="184" t="s">
        <v>9128</v>
      </c>
      <c r="L939" s="183">
        <v>2</v>
      </c>
      <c r="M939" s="184" t="s">
        <v>2190</v>
      </c>
      <c r="N939" s="188">
        <v>3000000</v>
      </c>
      <c r="O939" s="183" t="s">
        <v>452</v>
      </c>
      <c r="P939" s="183" t="s">
        <v>9129</v>
      </c>
      <c r="Q939" s="183"/>
      <c r="R939" s="183" t="s">
        <v>24</v>
      </c>
      <c r="S939" s="184"/>
      <c r="T939" s="184"/>
      <c r="U939" s="184"/>
      <c r="V939" s="184"/>
      <c r="W939" s="184"/>
      <c r="X939" s="179"/>
      <c r="Y939" s="179"/>
      <c r="Z939" s="179"/>
      <c r="AA939" s="179"/>
    </row>
    <row r="940" spans="1:27">
      <c r="A940" s="181">
        <f ca="1">IFERROR(__xludf.DUMMYFUNCTION("IFS(B940="""","""",ISDATE(B940)=TRUE,B940,ISDATE(B940)=FALSE,TO_DATE(DATEVALUE(regexextract(B940,""\d+/\d+/\d+""))))"),44796)</f>
        <v>44796</v>
      </c>
      <c r="B940" s="182" t="s">
        <v>529</v>
      </c>
      <c r="C940" s="183" t="s">
        <v>4759</v>
      </c>
      <c r="D940" s="183">
        <v>3.5</v>
      </c>
      <c r="E940" s="183" t="s">
        <v>4762</v>
      </c>
      <c r="F940" s="183" t="s">
        <v>4</v>
      </c>
      <c r="G940" s="183" t="s">
        <v>602</v>
      </c>
      <c r="H940" s="183" t="s">
        <v>4763</v>
      </c>
      <c r="I940" s="183">
        <v>3</v>
      </c>
      <c r="J940" s="183" t="s">
        <v>476</v>
      </c>
      <c r="K940" s="183" t="s">
        <v>11313</v>
      </c>
      <c r="L940" s="183">
        <v>4</v>
      </c>
      <c r="M940" s="183" t="s">
        <v>478</v>
      </c>
      <c r="N940" s="187">
        <v>1800000</v>
      </c>
      <c r="O940" s="183" t="s">
        <v>452</v>
      </c>
      <c r="P940" s="183" t="s">
        <v>454</v>
      </c>
      <c r="Q940" s="184"/>
      <c r="R940" s="183" t="s">
        <v>24</v>
      </c>
      <c r="S940" s="184"/>
      <c r="T940" s="184"/>
      <c r="U940" s="184"/>
      <c r="V940" s="184"/>
      <c r="W940" s="184"/>
      <c r="X940" s="179"/>
      <c r="Y940" s="179"/>
      <c r="Z940" s="179"/>
      <c r="AA940" s="179"/>
    </row>
    <row r="941" spans="1:27">
      <c r="A941" s="181" t="str">
        <f ca="1">IFERROR(__xludf.DUMMYFUNCTION("IFS(B941="""","""",ISDATE(B941)=TRUE,B941,ISDATE(B941)=FALSE,TO_DATE(DATEVALUE(regexextract(B941,""\d+/\d+/\d+""))))"),"#VALUE!")</f>
        <v>#VALUE!</v>
      </c>
      <c r="B941" s="182">
        <v>44797</v>
      </c>
      <c r="C941" s="183" t="s">
        <v>11314</v>
      </c>
      <c r="D941" s="183">
        <v>4</v>
      </c>
      <c r="E941" s="183" t="s">
        <v>3727</v>
      </c>
      <c r="F941" s="183" t="s">
        <v>4</v>
      </c>
      <c r="G941" s="183" t="s">
        <v>602</v>
      </c>
      <c r="H941" s="183" t="s">
        <v>3728</v>
      </c>
      <c r="I941" s="183">
        <v>3</v>
      </c>
      <c r="J941" s="183" t="s">
        <v>990</v>
      </c>
      <c r="K941" s="183" t="s">
        <v>3729</v>
      </c>
      <c r="L941" s="183">
        <v>5</v>
      </c>
      <c r="M941" s="183"/>
      <c r="N941" s="187"/>
      <c r="O941" s="183" t="s">
        <v>452</v>
      </c>
      <c r="P941" s="183" t="s">
        <v>11315</v>
      </c>
      <c r="Q941" s="184"/>
      <c r="R941" s="183" t="s">
        <v>24</v>
      </c>
      <c r="S941" s="184"/>
      <c r="T941" s="184"/>
      <c r="U941" s="184"/>
      <c r="V941" s="184"/>
      <c r="W941" s="184"/>
      <c r="X941" s="179"/>
      <c r="Y941" s="179"/>
      <c r="Z941" s="179"/>
      <c r="AA941" s="179"/>
    </row>
    <row r="942" spans="1:27">
      <c r="A942" s="181">
        <f ca="1">IFERROR(__xludf.DUMMYFUNCTION("IFS(B942="""","""",ISDATE(B942)=TRUE,B942,ISDATE(B942)=FALSE,TO_DATE(DATEVALUE(regexextract(B942,""\d+/\d+/\d+""))))"),44796)</f>
        <v>44796</v>
      </c>
      <c r="B942" s="182" t="s">
        <v>529</v>
      </c>
      <c r="C942" s="183" t="s">
        <v>7835</v>
      </c>
      <c r="D942" s="183">
        <v>1.5</v>
      </c>
      <c r="E942" s="183" t="s">
        <v>11316</v>
      </c>
      <c r="F942" s="183" t="s">
        <v>4</v>
      </c>
      <c r="G942" s="183" t="s">
        <v>725</v>
      </c>
      <c r="H942" s="183" t="s">
        <v>11317</v>
      </c>
      <c r="I942" s="183">
        <v>1</v>
      </c>
      <c r="J942" s="183" t="s">
        <v>1187</v>
      </c>
      <c r="K942" s="183" t="s">
        <v>7840</v>
      </c>
      <c r="L942" s="183">
        <v>2</v>
      </c>
      <c r="M942" s="184"/>
      <c r="N942" s="188"/>
      <c r="O942" s="183" t="s">
        <v>452</v>
      </c>
      <c r="P942" s="183" t="s">
        <v>11318</v>
      </c>
      <c r="Q942" s="183"/>
      <c r="R942" s="184" t="s">
        <v>24</v>
      </c>
      <c r="S942" s="184"/>
      <c r="T942" s="184"/>
      <c r="U942" s="184"/>
      <c r="V942" s="184"/>
      <c r="W942" s="184"/>
      <c r="X942" s="179"/>
      <c r="Y942" s="179"/>
      <c r="Z942" s="179"/>
      <c r="AA942" s="179"/>
    </row>
    <row r="943" spans="1:27">
      <c r="A943" s="181">
        <f ca="1">IFERROR(__xludf.DUMMYFUNCTION("IFS(B943="""","""",ISDATE(B943)=TRUE,B943,ISDATE(B943)=FALSE,TO_DATE(DATEVALUE(regexextract(B943,""\d+/\d+/\d+""))))"),44796)</f>
        <v>44796</v>
      </c>
      <c r="B943" s="182" t="s">
        <v>529</v>
      </c>
      <c r="C943" s="183" t="s">
        <v>407</v>
      </c>
      <c r="D943" s="184">
        <v>4</v>
      </c>
      <c r="E943" s="183" t="s">
        <v>9970</v>
      </c>
      <c r="F943" s="183" t="s">
        <v>3</v>
      </c>
      <c r="G943" s="183" t="s">
        <v>725</v>
      </c>
      <c r="H943" s="184" t="s">
        <v>9971</v>
      </c>
      <c r="I943" s="184">
        <v>4</v>
      </c>
      <c r="J943" s="183" t="s">
        <v>941</v>
      </c>
      <c r="K943" s="184" t="s">
        <v>9972</v>
      </c>
      <c r="L943" s="184">
        <v>4</v>
      </c>
      <c r="M943" s="183" t="s">
        <v>478</v>
      </c>
      <c r="N943" s="187">
        <v>20000000</v>
      </c>
      <c r="O943" s="183" t="s">
        <v>465</v>
      </c>
      <c r="P943" s="183" t="s">
        <v>6922</v>
      </c>
      <c r="Q943" s="184"/>
      <c r="R943" s="184" t="s">
        <v>18</v>
      </c>
      <c r="S943" s="184"/>
      <c r="T943" s="184"/>
      <c r="U943" s="184"/>
      <c r="V943" s="184"/>
      <c r="W943" s="184"/>
      <c r="X943" s="179"/>
      <c r="Y943" s="179"/>
      <c r="Z943" s="179"/>
      <c r="AA943" s="179"/>
    </row>
    <row r="944" spans="1:27">
      <c r="A944" s="181">
        <f ca="1">IFERROR(__xludf.DUMMYFUNCTION("IFS(B944="""","""",ISDATE(B944)=TRUE,B944,ISDATE(B944)=FALSE,TO_DATE(DATEVALUE(regexextract(B944,""\d+/\d+/\d+""))))"),44796)</f>
        <v>44796</v>
      </c>
      <c r="B944" s="182" t="s">
        <v>529</v>
      </c>
      <c r="C944" s="183" t="s">
        <v>8200</v>
      </c>
      <c r="D944" s="183">
        <v>1</v>
      </c>
      <c r="E944" s="183" t="s">
        <v>8203</v>
      </c>
      <c r="F944" s="183" t="s">
        <v>4</v>
      </c>
      <c r="G944" s="183" t="s">
        <v>725</v>
      </c>
      <c r="H944" s="183" t="s">
        <v>8204</v>
      </c>
      <c r="I944" s="183">
        <v>1</v>
      </c>
      <c r="J944" s="183" t="s">
        <v>1298</v>
      </c>
      <c r="K944" s="183" t="s">
        <v>8205</v>
      </c>
      <c r="L944" s="183">
        <v>1</v>
      </c>
      <c r="M944" s="183" t="s">
        <v>451</v>
      </c>
      <c r="N944" s="185" t="s">
        <v>8206</v>
      </c>
      <c r="O944" s="183" t="s">
        <v>452</v>
      </c>
      <c r="P944" s="183" t="s">
        <v>8207</v>
      </c>
      <c r="Q944" s="184" t="s">
        <v>8208</v>
      </c>
      <c r="R944" s="183" t="s">
        <v>24</v>
      </c>
      <c r="S944" s="183"/>
      <c r="T944" s="184"/>
      <c r="U944" s="184"/>
      <c r="V944" s="184"/>
      <c r="W944" s="184"/>
      <c r="X944" s="179"/>
      <c r="Y944" s="179"/>
      <c r="Z944" s="179"/>
      <c r="AA944" s="179"/>
    </row>
    <row r="945" spans="1:27">
      <c r="A945" s="181">
        <f ca="1">IFERROR(__xludf.DUMMYFUNCTION("IFS(B945="""","""",ISDATE(B945)=TRUE,B945,ISDATE(B945)=FALSE,TO_DATE(DATEVALUE(regexextract(B945,""\d+/\d+/\d+""))))"),44789)</f>
        <v>44789</v>
      </c>
      <c r="B945" s="182" t="s">
        <v>6450</v>
      </c>
      <c r="C945" s="183" t="s">
        <v>9114</v>
      </c>
      <c r="D945" s="184">
        <v>2.5</v>
      </c>
      <c r="E945" s="183"/>
      <c r="F945" s="183" t="s">
        <v>3</v>
      </c>
      <c r="G945" s="183" t="s">
        <v>488</v>
      </c>
      <c r="H945" s="184" t="s">
        <v>11319</v>
      </c>
      <c r="I945" s="184">
        <v>3</v>
      </c>
      <c r="J945" s="183" t="s">
        <v>941</v>
      </c>
      <c r="K945" s="183" t="s">
        <v>9118</v>
      </c>
      <c r="L945" s="183">
        <v>2</v>
      </c>
      <c r="M945" s="183" t="s">
        <v>2190</v>
      </c>
      <c r="N945" s="187" t="s">
        <v>9119</v>
      </c>
      <c r="O945" s="183" t="s">
        <v>452</v>
      </c>
      <c r="P945" s="183" t="s">
        <v>9120</v>
      </c>
      <c r="Q945" s="184" t="s">
        <v>9121</v>
      </c>
      <c r="R945" s="184" t="s">
        <v>24</v>
      </c>
      <c r="S945" s="184"/>
      <c r="T945" s="184"/>
      <c r="U945" s="184"/>
      <c r="V945" s="184"/>
      <c r="W945" s="184"/>
      <c r="X945" s="179"/>
      <c r="Y945" s="179"/>
      <c r="Z945" s="179"/>
      <c r="AA945" s="179"/>
    </row>
    <row r="946" spans="1:27">
      <c r="A946" s="181">
        <f ca="1">IFERROR(__xludf.DUMMYFUNCTION("IFS(B946="""","""",ISDATE(B946)=TRUE,B946,ISDATE(B946)=FALSE,TO_DATE(DATEVALUE(regexextract(B946,""\d+/\d+/\d+""))))"),44791)</f>
        <v>44791</v>
      </c>
      <c r="B946" s="182" t="s">
        <v>10182</v>
      </c>
      <c r="C946" s="183" t="s">
        <v>278</v>
      </c>
      <c r="D946" s="184">
        <v>3.75</v>
      </c>
      <c r="E946" s="184" t="s">
        <v>9416</v>
      </c>
      <c r="F946" s="183" t="s">
        <v>4</v>
      </c>
      <c r="G946" s="183" t="s">
        <v>447</v>
      </c>
      <c r="H946" s="184" t="s">
        <v>11320</v>
      </c>
      <c r="I946" s="184">
        <v>3.5</v>
      </c>
      <c r="J946" s="183" t="s">
        <v>622</v>
      </c>
      <c r="K946" s="184" t="s">
        <v>11321</v>
      </c>
      <c r="L946" s="184">
        <v>4</v>
      </c>
      <c r="M946" s="183" t="s">
        <v>478</v>
      </c>
      <c r="N946" s="192">
        <v>6000000</v>
      </c>
      <c r="O946" s="183" t="s">
        <v>465</v>
      </c>
      <c r="P946" s="183" t="s">
        <v>452</v>
      </c>
      <c r="Q946" s="184"/>
      <c r="R946" s="184" t="s">
        <v>19</v>
      </c>
      <c r="S946" s="184" t="s">
        <v>9419</v>
      </c>
      <c r="T946" s="184"/>
      <c r="U946" s="184"/>
      <c r="V946" s="184"/>
      <c r="W946" s="184"/>
      <c r="X946" s="179"/>
      <c r="Y946" s="179"/>
      <c r="Z946" s="179"/>
      <c r="AA946" s="179"/>
    </row>
    <row r="947" spans="1:27">
      <c r="A947" s="181">
        <f ca="1">IFERROR(__xludf.DUMMYFUNCTION("IFS(B947="""","""",ISDATE(B947)=TRUE,B947,ISDATE(B947)=FALSE,TO_DATE(DATEVALUE(regexextract(B947,""\d+/\d+/\d+""))))"),44797)</f>
        <v>44797</v>
      </c>
      <c r="B947" s="182" t="s">
        <v>907</v>
      </c>
      <c r="C947" s="183" t="s">
        <v>348</v>
      </c>
      <c r="D947" s="183">
        <v>4.75</v>
      </c>
      <c r="E947" s="183" t="s">
        <v>1998</v>
      </c>
      <c r="F947" s="183" t="s">
        <v>3</v>
      </c>
      <c r="G947" s="183" t="s">
        <v>460</v>
      </c>
      <c r="H947" s="183" t="s">
        <v>1999</v>
      </c>
      <c r="I947" s="183">
        <v>4.5</v>
      </c>
      <c r="J947" s="183" t="s">
        <v>941</v>
      </c>
      <c r="K947" s="183" t="s">
        <v>2000</v>
      </c>
      <c r="L947" s="183">
        <v>5</v>
      </c>
      <c r="M947" s="184" t="s">
        <v>478</v>
      </c>
      <c r="N947" s="187" t="s">
        <v>2001</v>
      </c>
      <c r="O947" s="183" t="s">
        <v>452</v>
      </c>
      <c r="P947" s="183" t="s">
        <v>452</v>
      </c>
      <c r="Q947" s="184" t="s">
        <v>2002</v>
      </c>
      <c r="R947" s="183" t="s">
        <v>18</v>
      </c>
      <c r="S947" s="184" t="s">
        <v>2003</v>
      </c>
      <c r="T947" s="184"/>
      <c r="U947" s="184"/>
      <c r="V947" s="184"/>
      <c r="W947" s="184"/>
      <c r="X947" s="179"/>
      <c r="Y947" s="179"/>
      <c r="Z947" s="179"/>
      <c r="AA947" s="179"/>
    </row>
    <row r="948" spans="1:27">
      <c r="A948" s="181">
        <f ca="1">IFERROR(__xludf.DUMMYFUNCTION("IFS(B948="""","""",ISDATE(B948)=TRUE,B948,ISDATE(B948)=FALSE,TO_DATE(DATEVALUE(regexextract(B948,""\d+/\d+/\d+""))))"),44796)</f>
        <v>44796</v>
      </c>
      <c r="B948" s="182" t="s">
        <v>529</v>
      </c>
      <c r="C948" s="183" t="s">
        <v>8386</v>
      </c>
      <c r="D948" s="183">
        <v>3.75</v>
      </c>
      <c r="E948" s="183" t="s">
        <v>8389</v>
      </c>
      <c r="F948" s="183" t="s">
        <v>3</v>
      </c>
      <c r="G948" s="183" t="s">
        <v>488</v>
      </c>
      <c r="H948" s="183" t="s">
        <v>11322</v>
      </c>
      <c r="I948" s="183">
        <v>3.5</v>
      </c>
      <c r="J948" s="183" t="s">
        <v>941</v>
      </c>
      <c r="K948" s="183" t="s">
        <v>8391</v>
      </c>
      <c r="L948" s="183">
        <v>4</v>
      </c>
      <c r="M948" s="184" t="s">
        <v>451</v>
      </c>
      <c r="N948" s="188">
        <v>1500000</v>
      </c>
      <c r="O948" s="183" t="s">
        <v>452</v>
      </c>
      <c r="P948" s="183" t="s">
        <v>8392</v>
      </c>
      <c r="Q948" s="184"/>
      <c r="R948" s="183" t="s">
        <v>24</v>
      </c>
      <c r="S948" s="184" t="s">
        <v>8393</v>
      </c>
      <c r="T948" s="184"/>
      <c r="U948" s="184"/>
      <c r="V948" s="184"/>
      <c r="W948" s="184"/>
      <c r="X948" s="179"/>
      <c r="Y948" s="179"/>
      <c r="Z948" s="179"/>
      <c r="AA948" s="179"/>
    </row>
    <row r="949" spans="1:27">
      <c r="A949" s="181">
        <f ca="1">IFERROR(__xludf.DUMMYFUNCTION("IFS(B949="""","""",ISDATE(B949)=TRUE,B949,ISDATE(B949)=FALSE,TO_DATE(DATEVALUE(regexextract(B949,""\d+/\d+/\d+""))))"),44796)</f>
        <v>44796</v>
      </c>
      <c r="B949" s="182" t="s">
        <v>529</v>
      </c>
      <c r="C949" s="183" t="s">
        <v>3157</v>
      </c>
      <c r="D949" s="183">
        <v>3</v>
      </c>
      <c r="E949" s="183" t="s">
        <v>3160</v>
      </c>
      <c r="F949" s="183" t="s">
        <v>5</v>
      </c>
      <c r="G949" s="183" t="s">
        <v>447</v>
      </c>
      <c r="H949" s="184" t="s">
        <v>11323</v>
      </c>
      <c r="I949" s="183">
        <v>3</v>
      </c>
      <c r="J949" s="183" t="s">
        <v>449</v>
      </c>
      <c r="K949" s="183" t="s">
        <v>11324</v>
      </c>
      <c r="L949" s="183">
        <v>3</v>
      </c>
      <c r="M949" s="183" t="s">
        <v>3163</v>
      </c>
      <c r="N949" s="187">
        <v>2000000</v>
      </c>
      <c r="O949" s="183" t="s">
        <v>452</v>
      </c>
      <c r="P949" s="183" t="s">
        <v>3164</v>
      </c>
      <c r="Q949" s="184"/>
      <c r="R949" s="183" t="s">
        <v>24</v>
      </c>
      <c r="S949" s="183"/>
      <c r="T949" s="184"/>
      <c r="U949" s="184"/>
      <c r="V949" s="184"/>
      <c r="W949" s="184"/>
      <c r="X949" s="179"/>
      <c r="Y949" s="179"/>
      <c r="Z949" s="179"/>
      <c r="AA949" s="179"/>
    </row>
    <row r="950" spans="1:27">
      <c r="A950" s="181">
        <f ca="1">IFERROR(__xludf.DUMMYFUNCTION("IFS(B950="""","""",ISDATE(B950)=TRUE,B950,ISDATE(B950)=FALSE,TO_DATE(DATEVALUE(regexextract(B950,""\d+/\d+/\d+""))))"),44796)</f>
        <v>44796</v>
      </c>
      <c r="B950" s="182" t="s">
        <v>529</v>
      </c>
      <c r="C950" s="183" t="s">
        <v>5227</v>
      </c>
      <c r="D950" s="184">
        <v>3.25</v>
      </c>
      <c r="E950" s="183"/>
      <c r="F950" s="183" t="s">
        <v>4</v>
      </c>
      <c r="G950" s="183" t="s">
        <v>725</v>
      </c>
      <c r="H950" s="184" t="s">
        <v>5230</v>
      </c>
      <c r="I950" s="184">
        <v>3.5</v>
      </c>
      <c r="J950" s="183" t="s">
        <v>1457</v>
      </c>
      <c r="K950" s="184" t="s">
        <v>5231</v>
      </c>
      <c r="L950" s="184">
        <v>3</v>
      </c>
      <c r="M950" s="183" t="s">
        <v>2190</v>
      </c>
      <c r="N950" s="187">
        <v>2000000</v>
      </c>
      <c r="O950" s="183" t="s">
        <v>465</v>
      </c>
      <c r="P950" s="183" t="s">
        <v>5232</v>
      </c>
      <c r="Q950" s="184"/>
      <c r="R950" s="184" t="s">
        <v>24</v>
      </c>
      <c r="S950" s="184"/>
      <c r="T950" s="184"/>
      <c r="U950" s="184"/>
      <c r="V950" s="184"/>
      <c r="W950" s="184"/>
      <c r="X950" s="179"/>
      <c r="Y950" s="179"/>
      <c r="Z950" s="179"/>
      <c r="AA950" s="179"/>
    </row>
    <row r="951" spans="1:27">
      <c r="A951" s="181">
        <f ca="1">IFERROR(__xludf.DUMMYFUNCTION("IFS(B951="""","""",ISDATE(B951)=TRUE,B951,ISDATE(B951)=FALSE,TO_DATE(DATEVALUE(regexextract(B951,""\d+/\d+/\d+""))))"),44797)</f>
        <v>44797</v>
      </c>
      <c r="B951" s="182" t="s">
        <v>907</v>
      </c>
      <c r="C951" s="183" t="s">
        <v>378</v>
      </c>
      <c r="D951" s="183">
        <v>3.75</v>
      </c>
      <c r="E951" s="191" t="s">
        <v>9864</v>
      </c>
      <c r="F951" s="183" t="s">
        <v>3</v>
      </c>
      <c r="G951" s="183" t="s">
        <v>488</v>
      </c>
      <c r="H951" s="184" t="s">
        <v>9865</v>
      </c>
      <c r="I951" s="183">
        <v>3.5</v>
      </c>
      <c r="J951" s="183" t="s">
        <v>941</v>
      </c>
      <c r="K951" s="183" t="s">
        <v>9866</v>
      </c>
      <c r="L951" s="183">
        <v>4</v>
      </c>
      <c r="M951" s="184" t="s">
        <v>451</v>
      </c>
      <c r="N951" s="188" t="s">
        <v>9867</v>
      </c>
      <c r="O951" s="183" t="s">
        <v>452</v>
      </c>
      <c r="P951" s="183" t="s">
        <v>452</v>
      </c>
      <c r="Q951" s="184" t="s">
        <v>9868</v>
      </c>
      <c r="R951" s="183" t="s">
        <v>20</v>
      </c>
      <c r="S951" s="184" t="s">
        <v>9869</v>
      </c>
      <c r="T951" s="184"/>
      <c r="U951" s="184"/>
      <c r="V951" s="184"/>
      <c r="W951" s="184"/>
      <c r="X951" s="179"/>
      <c r="Y951" s="179"/>
      <c r="Z951" s="179"/>
      <c r="AA951" s="179"/>
    </row>
    <row r="952" spans="1:27">
      <c r="A952" s="181">
        <f ca="1">IFERROR(__xludf.DUMMYFUNCTION("IFS(B952="""","""",ISDATE(B952)=TRUE,B952,ISDATE(B952)=FALSE,TO_DATE(DATEVALUE(regexextract(B952,""\d+/\d+/\d+""))))"),44796)</f>
        <v>44796</v>
      </c>
      <c r="B952" s="182" t="s">
        <v>529</v>
      </c>
      <c r="C952" s="183" t="s">
        <v>8167</v>
      </c>
      <c r="D952" s="183">
        <v>1</v>
      </c>
      <c r="E952" s="183"/>
      <c r="F952" s="183" t="s">
        <v>4</v>
      </c>
      <c r="G952" s="183" t="s">
        <v>725</v>
      </c>
      <c r="H952" s="183" t="s">
        <v>8170</v>
      </c>
      <c r="I952" s="183">
        <v>1</v>
      </c>
      <c r="J952" s="183" t="s">
        <v>1237</v>
      </c>
      <c r="K952" s="183"/>
      <c r="L952" s="183">
        <v>1</v>
      </c>
      <c r="M952" s="184" t="s">
        <v>8171</v>
      </c>
      <c r="N952" s="188">
        <v>2000000</v>
      </c>
      <c r="O952" s="183" t="s">
        <v>465</v>
      </c>
      <c r="P952" s="183" t="s">
        <v>8172</v>
      </c>
      <c r="Q952" s="184"/>
      <c r="R952" s="184" t="s">
        <v>24</v>
      </c>
      <c r="S952" s="184"/>
      <c r="T952" s="184"/>
      <c r="U952" s="184"/>
      <c r="V952" s="184"/>
      <c r="W952" s="184"/>
      <c r="X952" s="179"/>
      <c r="Y952" s="179"/>
      <c r="Z952" s="179"/>
      <c r="AA952" s="179"/>
    </row>
    <row r="953" spans="1:27">
      <c r="A953" s="181">
        <f ca="1">IFERROR(__xludf.DUMMYFUNCTION("IFS(B953="""","""",ISDATE(B953)=TRUE,B953,ISDATE(B953)=FALSE,TO_DATE(DATEVALUE(regexextract(B953,""\d+/\d+/\d+""))))"),44796)</f>
        <v>44796</v>
      </c>
      <c r="B953" s="182" t="s">
        <v>529</v>
      </c>
      <c r="C953" s="183" t="s">
        <v>8271</v>
      </c>
      <c r="D953" s="183">
        <v>1</v>
      </c>
      <c r="E953" s="183" t="s">
        <v>8274</v>
      </c>
      <c r="F953" s="183" t="s">
        <v>4</v>
      </c>
      <c r="G953" s="183" t="s">
        <v>447</v>
      </c>
      <c r="H953" s="183" t="s">
        <v>11325</v>
      </c>
      <c r="I953" s="183">
        <v>1</v>
      </c>
      <c r="J953" s="183" t="s">
        <v>1371</v>
      </c>
      <c r="K953" s="183" t="s">
        <v>8276</v>
      </c>
      <c r="L953" s="183">
        <v>1</v>
      </c>
      <c r="M953" s="184"/>
      <c r="N953" s="190"/>
      <c r="O953" s="183" t="s">
        <v>454</v>
      </c>
      <c r="P953" s="183" t="s">
        <v>452</v>
      </c>
      <c r="Q953" s="183" t="s">
        <v>8277</v>
      </c>
      <c r="R953" s="183" t="s">
        <v>24</v>
      </c>
      <c r="S953" s="183"/>
      <c r="T953" s="184"/>
      <c r="U953" s="184"/>
      <c r="V953" s="184"/>
      <c r="W953" s="184"/>
      <c r="X953" s="179"/>
      <c r="Y953" s="179"/>
      <c r="Z953" s="179"/>
      <c r="AA953" s="179"/>
    </row>
    <row r="954" spans="1:27">
      <c r="A954" s="181">
        <f ca="1">IFERROR(__xludf.DUMMYFUNCTION("IFS(B954="""","""",ISDATE(B954)=TRUE,B954,ISDATE(B954)=FALSE,TO_DATE(DATEVALUE(regexextract(B954,""\d+/\d+/\d+""))))"),44796)</f>
        <v>44796</v>
      </c>
      <c r="B954" s="182" t="s">
        <v>529</v>
      </c>
      <c r="C954" s="183" t="s">
        <v>279</v>
      </c>
      <c r="D954" s="183">
        <v>3.75</v>
      </c>
      <c r="E954" s="183" t="s">
        <v>1235</v>
      </c>
      <c r="F954" s="183" t="s">
        <v>4</v>
      </c>
      <c r="G954" s="183" t="s">
        <v>460</v>
      </c>
      <c r="H954" s="183" t="s">
        <v>1236</v>
      </c>
      <c r="I954" s="183">
        <v>4.5</v>
      </c>
      <c r="J954" s="183" t="s">
        <v>1237</v>
      </c>
      <c r="K954" s="183"/>
      <c r="L954" s="183">
        <v>3</v>
      </c>
      <c r="M954" s="184"/>
      <c r="N954" s="186"/>
      <c r="O954" s="183" t="s">
        <v>465</v>
      </c>
      <c r="P954" s="183" t="s">
        <v>11326</v>
      </c>
      <c r="Q954" s="184" t="s">
        <v>1239</v>
      </c>
      <c r="R954" s="183" t="s">
        <v>18</v>
      </c>
      <c r="S954" s="184" t="s">
        <v>1240</v>
      </c>
      <c r="T954" s="184"/>
      <c r="U954" s="184"/>
      <c r="V954" s="184"/>
      <c r="W954" s="184"/>
      <c r="X954" s="179"/>
      <c r="Y954" s="179"/>
      <c r="Z954" s="179"/>
      <c r="AA954" s="179"/>
    </row>
    <row r="955" spans="1:27">
      <c r="A955" s="181">
        <f ca="1">IFERROR(__xludf.DUMMYFUNCTION("IFS(B955="""","""",ISDATE(B955)=TRUE,B955,ISDATE(B955)=FALSE,TO_DATE(DATEVALUE(regexextract(B955,""\d+/\d+/\d+""))))"),44797)</f>
        <v>44797</v>
      </c>
      <c r="B955" s="182" t="s">
        <v>907</v>
      </c>
      <c r="C955" s="183" t="s">
        <v>166</v>
      </c>
      <c r="D955" s="184">
        <v>4.5</v>
      </c>
      <c r="E955" s="183" t="s">
        <v>3650</v>
      </c>
      <c r="F955" s="183" t="s">
        <v>4</v>
      </c>
      <c r="G955" s="183" t="s">
        <v>447</v>
      </c>
      <c r="H955" s="183" t="s">
        <v>11327</v>
      </c>
      <c r="I955" s="183">
        <v>4</v>
      </c>
      <c r="J955" s="183" t="s">
        <v>1187</v>
      </c>
      <c r="K955" s="184" t="s">
        <v>3652</v>
      </c>
      <c r="L955" s="184">
        <v>5</v>
      </c>
      <c r="M955" s="184" t="s">
        <v>451</v>
      </c>
      <c r="N955" s="186">
        <v>2320000</v>
      </c>
      <c r="O955" s="183" t="s">
        <v>452</v>
      </c>
      <c r="P955" s="183" t="s">
        <v>3653</v>
      </c>
      <c r="Q955" s="184"/>
      <c r="R955" s="184" t="s">
        <v>18</v>
      </c>
      <c r="S955" s="184" t="s">
        <v>3654</v>
      </c>
      <c r="T955" s="184"/>
      <c r="U955" s="184"/>
      <c r="V955" s="184"/>
      <c r="W955" s="184"/>
      <c r="X955" s="179"/>
      <c r="Y955" s="179"/>
      <c r="Z955" s="179"/>
      <c r="AA955" s="179"/>
    </row>
    <row r="956" spans="1:27">
      <c r="A956" s="181">
        <f ca="1">IFERROR(__xludf.DUMMYFUNCTION("IFS(B956="""","""",ISDATE(B956)=TRUE,B956,ISDATE(B956)=FALSE,TO_DATE(DATEVALUE(regexextract(B956,""\d+/\d+/\d+""))))"),44791)</f>
        <v>44791</v>
      </c>
      <c r="B956" s="182" t="s">
        <v>10182</v>
      </c>
      <c r="C956" s="183" t="s">
        <v>2194</v>
      </c>
      <c r="D956" s="183">
        <v>2.5</v>
      </c>
      <c r="E956" s="183" t="s">
        <v>11328</v>
      </c>
      <c r="F956" s="183" t="s">
        <v>5</v>
      </c>
      <c r="G956" s="183" t="s">
        <v>447</v>
      </c>
      <c r="H956" s="183" t="s">
        <v>11329</v>
      </c>
      <c r="I956" s="183">
        <v>2</v>
      </c>
      <c r="J956" s="183" t="s">
        <v>622</v>
      </c>
      <c r="K956" s="183" t="s">
        <v>2199</v>
      </c>
      <c r="L956" s="183">
        <v>3</v>
      </c>
      <c r="M956" s="183" t="s">
        <v>451</v>
      </c>
      <c r="N956" s="187">
        <v>250000</v>
      </c>
      <c r="O956" s="183" t="s">
        <v>452</v>
      </c>
      <c r="P956" s="183" t="s">
        <v>11330</v>
      </c>
      <c r="Q956" s="184"/>
      <c r="R956" s="183" t="s">
        <v>24</v>
      </c>
      <c r="S956" s="184"/>
      <c r="T956" s="184"/>
      <c r="U956" s="184"/>
      <c r="V956" s="184"/>
      <c r="W956" s="184"/>
      <c r="X956" s="179"/>
      <c r="Y956" s="179"/>
      <c r="Z956" s="179"/>
      <c r="AA956" s="179"/>
    </row>
    <row r="957" spans="1:27">
      <c r="A957" s="181">
        <f ca="1">IFERROR(__xludf.DUMMYFUNCTION("IFS(B957="""","""",ISDATE(B957)=TRUE,B957,ISDATE(B957)=FALSE,TO_DATE(DATEVALUE(regexextract(B957,""\d+/\d+/\d+""))))"),44796)</f>
        <v>44796</v>
      </c>
      <c r="B957" s="182" t="s">
        <v>529</v>
      </c>
      <c r="C957" s="183" t="s">
        <v>8607</v>
      </c>
      <c r="D957" s="183">
        <v>2.5</v>
      </c>
      <c r="E957" s="183" t="s">
        <v>8610</v>
      </c>
      <c r="F957" s="183" t="s">
        <v>3</v>
      </c>
      <c r="G957" s="183" t="s">
        <v>725</v>
      </c>
      <c r="H957" s="183" t="s">
        <v>11331</v>
      </c>
      <c r="I957" s="183">
        <v>3</v>
      </c>
      <c r="J957" s="183" t="s">
        <v>941</v>
      </c>
      <c r="K957" s="183" t="s">
        <v>8612</v>
      </c>
      <c r="L957" s="183">
        <v>2</v>
      </c>
      <c r="M957" s="183"/>
      <c r="N957" s="187"/>
      <c r="O957" s="183" t="s">
        <v>452</v>
      </c>
      <c r="P957" s="183" t="s">
        <v>8613</v>
      </c>
      <c r="Q957" s="184" t="s">
        <v>8614</v>
      </c>
      <c r="R957" s="183" t="s">
        <v>24</v>
      </c>
      <c r="S957" s="183"/>
      <c r="T957" s="184"/>
      <c r="U957" s="184"/>
      <c r="V957" s="184"/>
      <c r="W957" s="184"/>
      <c r="X957" s="179"/>
      <c r="Y957" s="179"/>
      <c r="Z957" s="179"/>
      <c r="AA957" s="179"/>
    </row>
    <row r="958" spans="1:27">
      <c r="A958" s="181">
        <f ca="1">IFERROR(__xludf.DUMMYFUNCTION("IFS(B958="""","""",ISDATE(B958)=TRUE,B958,ISDATE(B958)=FALSE,TO_DATE(DATEVALUE(regexextract(B958,""\d+/\d+/\d+""))))"),44797)</f>
        <v>44797</v>
      </c>
      <c r="B958" s="189" t="s">
        <v>907</v>
      </c>
      <c r="C958" s="183" t="s">
        <v>7492</v>
      </c>
      <c r="D958" s="183">
        <v>2</v>
      </c>
      <c r="E958" s="183" t="s">
        <v>7495</v>
      </c>
      <c r="F958" s="183" t="s">
        <v>4</v>
      </c>
      <c r="G958" s="183" t="s">
        <v>602</v>
      </c>
      <c r="H958" s="183" t="s">
        <v>7496</v>
      </c>
      <c r="I958" s="183">
        <v>2</v>
      </c>
      <c r="J958" s="183" t="s">
        <v>1457</v>
      </c>
      <c r="K958" s="183" t="s">
        <v>7497</v>
      </c>
      <c r="L958" s="183">
        <v>2</v>
      </c>
      <c r="M958" s="184" t="s">
        <v>784</v>
      </c>
      <c r="N958" s="188">
        <v>1000000</v>
      </c>
      <c r="O958" s="183" t="s">
        <v>452</v>
      </c>
      <c r="P958" s="183" t="s">
        <v>7498</v>
      </c>
      <c r="Q958" s="184"/>
      <c r="R958" s="183" t="s">
        <v>24</v>
      </c>
      <c r="S958" s="184"/>
      <c r="T958" s="184"/>
      <c r="U958" s="184"/>
      <c r="V958" s="184"/>
      <c r="W958" s="184"/>
      <c r="X958" s="179"/>
      <c r="Y958" s="179"/>
      <c r="Z958" s="179"/>
      <c r="AA958" s="179"/>
    </row>
    <row r="959" spans="1:27">
      <c r="A959" s="181">
        <f ca="1">IFERROR(__xludf.DUMMYFUNCTION("IFS(B959="""","""",ISDATE(B959)=TRUE,B959,ISDATE(B959)=FALSE,TO_DATE(DATEVALUE(regexextract(B959,""\d+/\d+/\d+""))))"),44784)</f>
        <v>44784</v>
      </c>
      <c r="B959" s="189" t="s">
        <v>10173</v>
      </c>
      <c r="C959" s="183" t="s">
        <v>112</v>
      </c>
      <c r="D959" s="183">
        <v>4</v>
      </c>
      <c r="E959" s="183" t="s">
        <v>806</v>
      </c>
      <c r="F959" s="183" t="s">
        <v>5</v>
      </c>
      <c r="G959" s="183" t="s">
        <v>602</v>
      </c>
      <c r="H959" s="183" t="s">
        <v>807</v>
      </c>
      <c r="I959" s="183">
        <v>4.5</v>
      </c>
      <c r="J959" s="183" t="s">
        <v>449</v>
      </c>
      <c r="K959" s="183" t="s">
        <v>11332</v>
      </c>
      <c r="L959" s="183">
        <v>3.5</v>
      </c>
      <c r="M959" s="183"/>
      <c r="N959" s="187"/>
      <c r="O959" s="183" t="s">
        <v>452</v>
      </c>
      <c r="P959" s="183" t="s">
        <v>809</v>
      </c>
      <c r="Q959" s="184" t="s">
        <v>602</v>
      </c>
      <c r="R959" s="183" t="s">
        <v>19</v>
      </c>
      <c r="S959" s="184" t="s">
        <v>810</v>
      </c>
      <c r="T959" s="184"/>
      <c r="U959" s="184"/>
      <c r="V959" s="184"/>
      <c r="W959" s="184"/>
      <c r="X959" s="179"/>
      <c r="Y959" s="179"/>
      <c r="Z959" s="179"/>
      <c r="AA959" s="179"/>
    </row>
    <row r="960" spans="1:27">
      <c r="A960" s="181">
        <f ca="1">IFERROR(__xludf.DUMMYFUNCTION("IFS(B960="""","""",ISDATE(B960)=TRUE,B960,ISDATE(B960)=FALSE,TO_DATE(DATEVALUE(regexextract(B960,""\d+/\d+/\d+""))))"),44791)</f>
        <v>44791</v>
      </c>
      <c r="B960" s="189" t="s">
        <v>10182</v>
      </c>
      <c r="C960" s="183" t="s">
        <v>245</v>
      </c>
      <c r="D960" s="183">
        <v>4</v>
      </c>
      <c r="E960" s="183" t="s">
        <v>1428</v>
      </c>
      <c r="F960" s="183" t="s">
        <v>4</v>
      </c>
      <c r="G960" s="183" t="s">
        <v>447</v>
      </c>
      <c r="H960" s="183" t="s">
        <v>11333</v>
      </c>
      <c r="I960" s="183">
        <v>4</v>
      </c>
      <c r="J960" s="183" t="s">
        <v>449</v>
      </c>
      <c r="K960" s="183" t="s">
        <v>11334</v>
      </c>
      <c r="L960" s="183">
        <v>4</v>
      </c>
      <c r="M960" s="183"/>
      <c r="N960" s="187"/>
      <c r="O960" s="183" t="s">
        <v>465</v>
      </c>
      <c r="P960" s="183" t="s">
        <v>1431</v>
      </c>
      <c r="Q960" s="184"/>
      <c r="R960" s="183" t="s">
        <v>19</v>
      </c>
      <c r="S960" s="184" t="s">
        <v>1432</v>
      </c>
      <c r="T960" s="184"/>
      <c r="U960" s="184"/>
      <c r="V960" s="184"/>
      <c r="W960" s="184"/>
      <c r="X960" s="179"/>
      <c r="Y960" s="179"/>
      <c r="Z960" s="179"/>
      <c r="AA960" s="179"/>
    </row>
    <row r="961" spans="1:27">
      <c r="A961" s="181">
        <f ca="1">IFERROR(__xludf.DUMMYFUNCTION("IFS(B961="""","""",ISDATE(B961)=TRUE,B961,ISDATE(B961)=FALSE,TO_DATE(DATEVALUE(regexextract(B961,""\d+/\d+/\d+""))))"),44791)</f>
        <v>44791</v>
      </c>
      <c r="B961" s="189" t="s">
        <v>10182</v>
      </c>
      <c r="C961" s="183" t="s">
        <v>3568</v>
      </c>
      <c r="D961" s="183">
        <v>2.75</v>
      </c>
      <c r="E961" s="183" t="s">
        <v>3571</v>
      </c>
      <c r="F961" s="183" t="s">
        <v>5</v>
      </c>
      <c r="G961" s="183" t="s">
        <v>447</v>
      </c>
      <c r="H961" s="183" t="s">
        <v>11335</v>
      </c>
      <c r="I961" s="183">
        <v>3</v>
      </c>
      <c r="J961" s="183" t="s">
        <v>622</v>
      </c>
      <c r="K961" s="183" t="s">
        <v>11336</v>
      </c>
      <c r="L961" s="183">
        <v>2.5</v>
      </c>
      <c r="M961" s="184" t="s">
        <v>784</v>
      </c>
      <c r="N961" s="188" t="s">
        <v>3574</v>
      </c>
      <c r="O961" s="183" t="s">
        <v>465</v>
      </c>
      <c r="P961" s="183" t="s">
        <v>11337</v>
      </c>
      <c r="Q961" s="184"/>
      <c r="R961" s="183" t="s">
        <v>24</v>
      </c>
      <c r="S961" s="184"/>
      <c r="T961" s="184"/>
      <c r="U961" s="184"/>
      <c r="V961" s="184"/>
      <c r="W961" s="184"/>
      <c r="X961" s="179"/>
      <c r="Y961" s="179"/>
      <c r="Z961" s="179"/>
      <c r="AA961" s="179"/>
    </row>
    <row r="962" spans="1:27">
      <c r="A962" s="181">
        <f ca="1">IFERROR(__xludf.DUMMYFUNCTION("IFS(B962="""","""",ISDATE(B962)=TRUE,B962,ISDATE(B962)=FALSE,TO_DATE(DATEVALUE(regexextract(B962,""\d+/\d+/\d+""))))"),44789)</f>
        <v>44789</v>
      </c>
      <c r="B962" s="182" t="s">
        <v>6450</v>
      </c>
      <c r="C962" s="183" t="s">
        <v>343</v>
      </c>
      <c r="D962" s="184">
        <v>4</v>
      </c>
      <c r="E962" s="183" t="s">
        <v>11338</v>
      </c>
      <c r="F962" s="183" t="s">
        <v>3</v>
      </c>
      <c r="G962" s="183" t="s">
        <v>488</v>
      </c>
      <c r="H962" s="183" t="s">
        <v>11339</v>
      </c>
      <c r="I962" s="183">
        <v>4</v>
      </c>
      <c r="J962" s="183" t="s">
        <v>941</v>
      </c>
      <c r="K962" s="184" t="s">
        <v>1957</v>
      </c>
      <c r="L962" s="184">
        <v>4</v>
      </c>
      <c r="M962" s="184" t="s">
        <v>923</v>
      </c>
      <c r="N962" s="186" t="s">
        <v>1958</v>
      </c>
      <c r="O962" s="183" t="s">
        <v>452</v>
      </c>
      <c r="P962" s="183" t="s">
        <v>575</v>
      </c>
      <c r="Q962" s="184" t="s">
        <v>1959</v>
      </c>
      <c r="R962" s="184" t="s">
        <v>18</v>
      </c>
      <c r="S962" s="184"/>
      <c r="T962" s="184"/>
      <c r="U962" s="184"/>
      <c r="V962" s="184"/>
      <c r="W962" s="184"/>
      <c r="X962" s="179"/>
      <c r="Y962" s="179"/>
      <c r="Z962" s="179"/>
      <c r="AA962" s="179"/>
    </row>
    <row r="963" spans="1:27">
      <c r="A963" s="181">
        <f ca="1">IFERROR(__xludf.DUMMYFUNCTION("IFS(B963="""","""",ISDATE(B963)=TRUE,B963,ISDATE(B963)=FALSE,TO_DATE(DATEVALUE(regexextract(B963,""\d+/\d+/\d+""))))"),44797)</f>
        <v>44797</v>
      </c>
      <c r="B963" s="182" t="s">
        <v>907</v>
      </c>
      <c r="C963" s="183" t="s">
        <v>7774</v>
      </c>
      <c r="D963" s="183">
        <v>1.5</v>
      </c>
      <c r="E963" s="183" t="s">
        <v>11340</v>
      </c>
      <c r="F963" s="183" t="s">
        <v>4</v>
      </c>
      <c r="G963" s="183" t="s">
        <v>602</v>
      </c>
      <c r="H963" s="183" t="s">
        <v>7778</v>
      </c>
      <c r="I963" s="183">
        <v>2</v>
      </c>
      <c r="J963" s="183" t="s">
        <v>1036</v>
      </c>
      <c r="K963" s="183" t="s">
        <v>7779</v>
      </c>
      <c r="L963" s="183">
        <v>1</v>
      </c>
      <c r="M963" s="183"/>
      <c r="N963" s="187"/>
      <c r="O963" s="183" t="s">
        <v>452</v>
      </c>
      <c r="P963" s="183" t="s">
        <v>11341</v>
      </c>
      <c r="Q963" s="183"/>
      <c r="R963" s="183" t="s">
        <v>24</v>
      </c>
      <c r="S963" s="183"/>
      <c r="T963" s="184"/>
      <c r="U963" s="184"/>
      <c r="V963" s="184"/>
      <c r="W963" s="184"/>
      <c r="X963" s="179"/>
      <c r="Y963" s="179"/>
      <c r="Z963" s="179"/>
      <c r="AA963" s="179"/>
    </row>
    <row r="964" spans="1:27">
      <c r="A964" s="181">
        <f ca="1">IFERROR(__xludf.DUMMYFUNCTION("IFS(B964="""","""",ISDATE(B964)=TRUE,B964,ISDATE(B964)=FALSE,TO_DATE(DATEVALUE(regexextract(B964,""\d+/\d+/\d+""))))"),44796)</f>
        <v>44796</v>
      </c>
      <c r="B964" s="189" t="s">
        <v>529</v>
      </c>
      <c r="C964" s="183" t="s">
        <v>180</v>
      </c>
      <c r="D964" s="183">
        <v>4</v>
      </c>
      <c r="E964" s="183"/>
      <c r="F964" s="183" t="s">
        <v>4</v>
      </c>
      <c r="G964" s="183" t="s">
        <v>725</v>
      </c>
      <c r="H964" s="183" t="s">
        <v>11342</v>
      </c>
      <c r="I964" s="183">
        <v>4</v>
      </c>
      <c r="J964" s="183" t="s">
        <v>990</v>
      </c>
      <c r="K964" s="183" t="s">
        <v>3721</v>
      </c>
      <c r="L964" s="183">
        <v>4</v>
      </c>
      <c r="M964" s="184" t="s">
        <v>913</v>
      </c>
      <c r="N964" s="188">
        <v>1500000</v>
      </c>
      <c r="O964" s="183" t="s">
        <v>465</v>
      </c>
      <c r="P964" s="183" t="s">
        <v>452</v>
      </c>
      <c r="Q964" s="184"/>
      <c r="R964" s="183" t="s">
        <v>18</v>
      </c>
      <c r="S964" s="183"/>
      <c r="T964" s="184"/>
      <c r="U964" s="184"/>
      <c r="V964" s="184"/>
      <c r="W964" s="184"/>
      <c r="X964" s="179"/>
      <c r="Y964" s="179"/>
      <c r="Z964" s="179"/>
      <c r="AA964" s="179"/>
    </row>
    <row r="965" spans="1:27">
      <c r="A965" s="181">
        <f ca="1">IFERROR(__xludf.DUMMYFUNCTION("IFS(B965="""","""",ISDATE(B965)=TRUE,B965,ISDATE(B965)=FALSE,TO_DATE(DATEVALUE(regexextract(B965,""\d+/\d+/\d+""))))"),44796)</f>
        <v>44796</v>
      </c>
      <c r="B965" s="182" t="s">
        <v>529</v>
      </c>
      <c r="C965" s="183" t="s">
        <v>217</v>
      </c>
      <c r="D965" s="183">
        <v>4</v>
      </c>
      <c r="E965" s="183" t="s">
        <v>3907</v>
      </c>
      <c r="F965" s="183" t="s">
        <v>4</v>
      </c>
      <c r="G965" s="183" t="s">
        <v>447</v>
      </c>
      <c r="H965" s="183" t="s">
        <v>11343</v>
      </c>
      <c r="I965" s="183">
        <v>4</v>
      </c>
      <c r="J965" s="183" t="s">
        <v>1237</v>
      </c>
      <c r="K965" s="183"/>
      <c r="L965" s="183">
        <v>4</v>
      </c>
      <c r="M965" s="183" t="s">
        <v>451</v>
      </c>
      <c r="N965" s="185">
        <v>4000000</v>
      </c>
      <c r="O965" s="183" t="s">
        <v>452</v>
      </c>
      <c r="P965" s="183" t="s">
        <v>11344</v>
      </c>
      <c r="Q965" s="184"/>
      <c r="R965" s="184" t="s">
        <v>18</v>
      </c>
      <c r="S965" s="184"/>
      <c r="T965" s="184"/>
      <c r="U965" s="184"/>
      <c r="V965" s="184"/>
      <c r="W965" s="184"/>
      <c r="X965" s="179"/>
      <c r="Y965" s="179"/>
      <c r="Z965" s="179"/>
      <c r="AA965" s="179"/>
    </row>
    <row r="966" spans="1:27">
      <c r="A966" s="181">
        <f ca="1">IFERROR(__xludf.DUMMYFUNCTION("IFS(B966="""","""",ISDATE(B966)=TRUE,B966,ISDATE(B966)=FALSE,TO_DATE(DATEVALUE(regexextract(B966,""\d+/\d+/\d+""))))"),44796)</f>
        <v>44796</v>
      </c>
      <c r="B966" s="182" t="s">
        <v>529</v>
      </c>
      <c r="C966" s="183" t="s">
        <v>8662</v>
      </c>
      <c r="D966" s="183">
        <v>3.75</v>
      </c>
      <c r="E966" s="183" t="s">
        <v>8665</v>
      </c>
      <c r="F966" s="183" t="s">
        <v>3</v>
      </c>
      <c r="G966" s="183" t="s">
        <v>488</v>
      </c>
      <c r="H966" s="183" t="s">
        <v>11345</v>
      </c>
      <c r="I966" s="183">
        <v>3.5</v>
      </c>
      <c r="J966" s="183" t="s">
        <v>941</v>
      </c>
      <c r="K966" s="184" t="s">
        <v>8667</v>
      </c>
      <c r="L966" s="183">
        <v>4</v>
      </c>
      <c r="M966" s="184" t="s">
        <v>478</v>
      </c>
      <c r="N966" s="185">
        <v>3000000</v>
      </c>
      <c r="O966" s="183" t="s">
        <v>452</v>
      </c>
      <c r="P966" s="183" t="s">
        <v>8668</v>
      </c>
      <c r="Q966" s="184"/>
      <c r="R966" s="183" t="s">
        <v>24</v>
      </c>
      <c r="S966" s="184" t="s">
        <v>8669</v>
      </c>
      <c r="T966" s="184"/>
      <c r="U966" s="184"/>
      <c r="V966" s="184"/>
      <c r="W966" s="184"/>
      <c r="X966" s="179"/>
      <c r="Y966" s="179"/>
      <c r="Z966" s="179"/>
      <c r="AA966" s="179"/>
    </row>
    <row r="967" spans="1:27">
      <c r="A967" s="181">
        <f ca="1">IFERROR(__xludf.DUMMYFUNCTION("IFS(B967="""","""",ISDATE(B967)=TRUE,B967,ISDATE(B967)=FALSE,TO_DATE(DATEVALUE(regexextract(B967,""\d+/\d+/\d+""))))"),44797)</f>
        <v>44797</v>
      </c>
      <c r="B967" s="182" t="s">
        <v>907</v>
      </c>
      <c r="C967" s="183" t="s">
        <v>170</v>
      </c>
      <c r="D967" s="183">
        <v>4.25</v>
      </c>
      <c r="E967" s="183" t="s">
        <v>1101</v>
      </c>
      <c r="F967" s="183" t="s">
        <v>4</v>
      </c>
      <c r="G967" s="183" t="s">
        <v>725</v>
      </c>
      <c r="H967" s="183"/>
      <c r="I967" s="183">
        <v>4.5</v>
      </c>
      <c r="J967" s="183" t="s">
        <v>462</v>
      </c>
      <c r="K967" s="183" t="s">
        <v>1102</v>
      </c>
      <c r="L967" s="183">
        <v>4</v>
      </c>
      <c r="M967" s="183" t="s">
        <v>1103</v>
      </c>
      <c r="N967" s="192">
        <v>8000000</v>
      </c>
      <c r="O967" s="183" t="s">
        <v>452</v>
      </c>
      <c r="P967" s="183" t="s">
        <v>575</v>
      </c>
      <c r="Q967" s="184"/>
      <c r="R967" s="183" t="s">
        <v>18</v>
      </c>
      <c r="S967" s="184"/>
      <c r="T967" s="184"/>
      <c r="U967" s="184"/>
      <c r="V967" s="184"/>
      <c r="W967" s="184"/>
      <c r="X967" s="179"/>
      <c r="Y967" s="179"/>
      <c r="Z967" s="179"/>
      <c r="AA967" s="179"/>
    </row>
    <row r="968" spans="1:27">
      <c r="A968" s="181">
        <f ca="1">IFERROR(__xludf.DUMMYFUNCTION("IFS(B968="""","""",ISDATE(B968)=TRUE,B968,ISDATE(B968)=FALSE,TO_DATE(DATEVALUE(regexextract(B968,""\d+/\d+/\d+""))))"),44791)</f>
        <v>44791</v>
      </c>
      <c r="B968" s="182" t="s">
        <v>10182</v>
      </c>
      <c r="C968" s="183" t="s">
        <v>142</v>
      </c>
      <c r="D968" s="183">
        <v>4</v>
      </c>
      <c r="E968" s="183" t="s">
        <v>970</v>
      </c>
      <c r="F968" s="183" t="s">
        <v>5</v>
      </c>
      <c r="G968" s="183" t="s">
        <v>447</v>
      </c>
      <c r="H968" s="183" t="s">
        <v>11346</v>
      </c>
      <c r="I968" s="183">
        <v>4</v>
      </c>
      <c r="J968" s="183" t="s">
        <v>449</v>
      </c>
      <c r="K968" s="183" t="s">
        <v>11347</v>
      </c>
      <c r="L968" s="183">
        <v>4</v>
      </c>
      <c r="M968" s="183" t="s">
        <v>973</v>
      </c>
      <c r="N968" s="187" t="s">
        <v>708</v>
      </c>
      <c r="O968" s="183" t="s">
        <v>452</v>
      </c>
      <c r="P968" s="183" t="s">
        <v>974</v>
      </c>
      <c r="Q968" s="184"/>
      <c r="R968" s="183" t="s">
        <v>18</v>
      </c>
      <c r="S968" s="184"/>
      <c r="T968" s="184"/>
      <c r="U968" s="184"/>
      <c r="V968" s="184"/>
      <c r="W968" s="184"/>
      <c r="X968" s="179"/>
      <c r="Y968" s="179"/>
      <c r="Z968" s="179"/>
      <c r="AA968" s="179"/>
    </row>
    <row r="969" spans="1:27">
      <c r="A969" s="181">
        <f ca="1">IFERROR(__xludf.DUMMYFUNCTION("IFS(B969="""","""",ISDATE(B969)=TRUE,B969,ISDATE(B969)=FALSE,TO_DATE(DATEVALUE(regexextract(B969,""\d+/\d+/\d+""))))"),44796)</f>
        <v>44796</v>
      </c>
      <c r="B969" s="182" t="s">
        <v>529</v>
      </c>
      <c r="C969" s="183" t="s">
        <v>8652</v>
      </c>
      <c r="D969" s="183">
        <v>2</v>
      </c>
      <c r="E969" s="183"/>
      <c r="F969" s="183" t="s">
        <v>3</v>
      </c>
      <c r="G969" s="183" t="s">
        <v>488</v>
      </c>
      <c r="H969" s="183" t="s">
        <v>11348</v>
      </c>
      <c r="I969" s="183">
        <v>2</v>
      </c>
      <c r="J969" s="183" t="s">
        <v>462</v>
      </c>
      <c r="K969" s="183" t="s">
        <v>8656</v>
      </c>
      <c r="L969" s="183">
        <v>2</v>
      </c>
      <c r="M969" s="183" t="s">
        <v>2190</v>
      </c>
      <c r="N969" s="194" t="s">
        <v>8657</v>
      </c>
      <c r="O969" s="183" t="s">
        <v>452</v>
      </c>
      <c r="P969" s="183" t="s">
        <v>8658</v>
      </c>
      <c r="Q969" s="183" t="s">
        <v>8659</v>
      </c>
      <c r="R969" s="183" t="s">
        <v>24</v>
      </c>
      <c r="S969" s="184"/>
      <c r="T969" s="184"/>
      <c r="U969" s="184"/>
      <c r="V969" s="184"/>
      <c r="W969" s="184"/>
      <c r="X969" s="179"/>
      <c r="Y969" s="179"/>
      <c r="Z969" s="179"/>
      <c r="AA969" s="179"/>
    </row>
    <row r="970" spans="1:27">
      <c r="A970" s="181">
        <f ca="1">IFERROR(__xludf.DUMMYFUNCTION("IFS(B970="""","""",ISDATE(B970)=TRUE,B970,ISDATE(B970)=FALSE,TO_DATE(DATEVALUE(regexextract(B970,""\d+/\d+/\d+""))))"),44797)</f>
        <v>44797</v>
      </c>
      <c r="B970" s="182" t="s">
        <v>907</v>
      </c>
      <c r="C970" s="183" t="s">
        <v>5271</v>
      </c>
      <c r="D970" s="183">
        <v>3.25</v>
      </c>
      <c r="E970" s="183" t="s">
        <v>5274</v>
      </c>
      <c r="F970" s="183" t="s">
        <v>4</v>
      </c>
      <c r="G970" s="183" t="s">
        <v>1045</v>
      </c>
      <c r="H970" s="183" t="s">
        <v>5275</v>
      </c>
      <c r="I970" s="183">
        <v>3</v>
      </c>
      <c r="J970" s="183" t="s">
        <v>1350</v>
      </c>
      <c r="K970" s="183" t="s">
        <v>5276</v>
      </c>
      <c r="L970" s="183">
        <v>3.5</v>
      </c>
      <c r="M970" s="184"/>
      <c r="N970" s="188"/>
      <c r="O970" s="183" t="s">
        <v>452</v>
      </c>
      <c r="P970" s="183" t="s">
        <v>5277</v>
      </c>
      <c r="Q970" s="183"/>
      <c r="R970" s="183" t="s">
        <v>24</v>
      </c>
      <c r="S970" s="184"/>
      <c r="T970" s="184"/>
      <c r="U970" s="184"/>
      <c r="V970" s="184"/>
      <c r="W970" s="184"/>
      <c r="X970" s="179"/>
      <c r="Y970" s="179"/>
      <c r="Z970" s="179"/>
      <c r="AA970" s="179"/>
    </row>
    <row r="971" spans="1:27">
      <c r="A971" s="181">
        <f ca="1">IFERROR(__xludf.DUMMYFUNCTION("IFS(B971="""","""",ISDATE(B971)=TRUE,B971,ISDATE(B971)=FALSE,TO_DATE(DATEVALUE(regexextract(B971,""\d+/\d+/\d+""))))"),44797)</f>
        <v>44797</v>
      </c>
      <c r="B971" s="182" t="s">
        <v>907</v>
      </c>
      <c r="C971" s="183" t="s">
        <v>6849</v>
      </c>
      <c r="D971" s="183">
        <v>2.25</v>
      </c>
      <c r="E971" s="183" t="s">
        <v>6852</v>
      </c>
      <c r="F971" s="183" t="s">
        <v>4</v>
      </c>
      <c r="G971" s="183" t="s">
        <v>602</v>
      </c>
      <c r="H971" s="183" t="s">
        <v>6853</v>
      </c>
      <c r="I971" s="183">
        <v>3.5</v>
      </c>
      <c r="J971" s="183" t="s">
        <v>1457</v>
      </c>
      <c r="K971" s="183" t="s">
        <v>6854</v>
      </c>
      <c r="L971" s="183">
        <v>1</v>
      </c>
      <c r="M971" s="183"/>
      <c r="N971" s="187"/>
      <c r="O971" s="183" t="s">
        <v>452</v>
      </c>
      <c r="P971" s="183" t="s">
        <v>452</v>
      </c>
      <c r="Q971" s="184" t="s">
        <v>725</v>
      </c>
      <c r="R971" s="183" t="s">
        <v>24</v>
      </c>
      <c r="S971" s="184" t="s">
        <v>6855</v>
      </c>
      <c r="T971" s="184"/>
      <c r="U971" s="184"/>
      <c r="V971" s="184"/>
      <c r="W971" s="184"/>
      <c r="X971" s="179"/>
      <c r="Y971" s="179"/>
      <c r="Z971" s="179"/>
      <c r="AA971" s="179"/>
    </row>
    <row r="972" spans="1:27">
      <c r="A972" s="181">
        <f ca="1">IFERROR(__xludf.DUMMYFUNCTION("IFS(B972="""","""",ISDATE(B972)=TRUE,B972,ISDATE(B972)=FALSE,TO_DATE(DATEVALUE(regexextract(B972,""\d+/\d+/\d+""))))"),44796)</f>
        <v>44796</v>
      </c>
      <c r="B972" s="182" t="s">
        <v>529</v>
      </c>
      <c r="C972" s="183" t="s">
        <v>7893</v>
      </c>
      <c r="D972" s="183">
        <v>1.5</v>
      </c>
      <c r="E972" s="183"/>
      <c r="F972" s="183" t="s">
        <v>4</v>
      </c>
      <c r="G972" s="183" t="s">
        <v>725</v>
      </c>
      <c r="H972" s="184" t="s">
        <v>7896</v>
      </c>
      <c r="I972" s="183">
        <v>2</v>
      </c>
      <c r="J972" s="183" t="s">
        <v>1298</v>
      </c>
      <c r="K972" s="183" t="s">
        <v>7897</v>
      </c>
      <c r="L972" s="183">
        <v>1</v>
      </c>
      <c r="M972" s="183" t="s">
        <v>2190</v>
      </c>
      <c r="N972" s="187">
        <v>1250000</v>
      </c>
      <c r="O972" s="183" t="s">
        <v>452</v>
      </c>
      <c r="P972" s="183" t="s">
        <v>7898</v>
      </c>
      <c r="Q972" s="184"/>
      <c r="R972" s="183" t="s">
        <v>24</v>
      </c>
      <c r="S972" s="184"/>
      <c r="T972" s="184"/>
      <c r="U972" s="184"/>
      <c r="V972" s="184"/>
      <c r="W972" s="184"/>
      <c r="X972" s="179"/>
      <c r="Y972" s="179"/>
      <c r="Z972" s="179"/>
      <c r="AA972" s="179"/>
    </row>
    <row r="973" spans="1:27">
      <c r="A973" s="181">
        <f ca="1">IFERROR(__xludf.DUMMYFUNCTION("IFS(B973="""","""",ISDATE(B973)=TRUE,B973,ISDATE(B973)=FALSE,TO_DATE(DATEVALUE(regexextract(B973,""\d+/\d+/\d+""))))"),44796)</f>
        <v>44796</v>
      </c>
      <c r="B973" s="182" t="s">
        <v>529</v>
      </c>
      <c r="C973" s="183" t="s">
        <v>4199</v>
      </c>
      <c r="D973" s="183">
        <v>3.75</v>
      </c>
      <c r="E973" s="183" t="s">
        <v>4202</v>
      </c>
      <c r="F973" s="183" t="s">
        <v>4</v>
      </c>
      <c r="G973" s="183" t="s">
        <v>725</v>
      </c>
      <c r="H973" s="184"/>
      <c r="I973" s="183">
        <v>3.5</v>
      </c>
      <c r="J973" s="183" t="s">
        <v>1036</v>
      </c>
      <c r="K973" s="183" t="s">
        <v>4203</v>
      </c>
      <c r="L973" s="183">
        <v>4</v>
      </c>
      <c r="M973" s="183" t="s">
        <v>784</v>
      </c>
      <c r="N973" s="187" t="s">
        <v>4204</v>
      </c>
      <c r="O973" s="183" t="s">
        <v>465</v>
      </c>
      <c r="P973" s="183" t="s">
        <v>4205</v>
      </c>
      <c r="Q973" s="184" t="s">
        <v>4206</v>
      </c>
      <c r="R973" s="183" t="s">
        <v>24</v>
      </c>
      <c r="S973" s="184"/>
      <c r="T973" s="184"/>
      <c r="U973" s="184"/>
      <c r="V973" s="184"/>
      <c r="W973" s="184"/>
      <c r="X973" s="179"/>
      <c r="Y973" s="179"/>
      <c r="Z973" s="179"/>
      <c r="AA973" s="179"/>
    </row>
    <row r="974" spans="1:27">
      <c r="A974" s="181">
        <f ca="1">IFERROR(__xludf.DUMMYFUNCTION("IFS(B974="""","""",ISDATE(B974)=TRUE,B974,ISDATE(B974)=FALSE,TO_DATE(DATEVALUE(regexextract(B974,""\d+/\d+/\d+""))))"),44796)</f>
        <v>44796</v>
      </c>
      <c r="B974" s="182" t="s">
        <v>529</v>
      </c>
      <c r="C974" s="183" t="s">
        <v>6218</v>
      </c>
      <c r="D974" s="183">
        <v>2.5</v>
      </c>
      <c r="E974" s="183" t="s">
        <v>11349</v>
      </c>
      <c r="F974" s="183" t="s">
        <v>4</v>
      </c>
      <c r="G974" s="183" t="s">
        <v>447</v>
      </c>
      <c r="H974" s="183" t="s">
        <v>11350</v>
      </c>
      <c r="I974" s="183">
        <v>2</v>
      </c>
      <c r="J974" s="183" t="s">
        <v>1073</v>
      </c>
      <c r="K974" s="183" t="s">
        <v>6223</v>
      </c>
      <c r="L974" s="183">
        <v>3</v>
      </c>
      <c r="M974" s="183"/>
      <c r="N974" s="187"/>
      <c r="O974" s="183" t="s">
        <v>452</v>
      </c>
      <c r="P974" s="183" t="s">
        <v>6224</v>
      </c>
      <c r="Q974" s="184" t="s">
        <v>6225</v>
      </c>
      <c r="R974" s="183" t="s">
        <v>24</v>
      </c>
      <c r="S974" s="183"/>
      <c r="T974" s="184"/>
      <c r="U974" s="184"/>
      <c r="V974" s="184"/>
      <c r="W974" s="184"/>
      <c r="X974" s="179"/>
      <c r="Y974" s="179"/>
      <c r="Z974" s="179"/>
      <c r="AA974" s="179"/>
    </row>
    <row r="975" spans="1:27">
      <c r="A975" s="181">
        <f ca="1">IFERROR(__xludf.DUMMYFUNCTION("IFS(B975="""","""",ISDATE(B975)=TRUE,B975,ISDATE(B975)=FALSE,TO_DATE(DATEVALUE(regexextract(B975,""\d+/\d+/\d+""))))"),44797)</f>
        <v>44797</v>
      </c>
      <c r="B975" s="182" t="s">
        <v>907</v>
      </c>
      <c r="C975" s="183" t="s">
        <v>7877</v>
      </c>
      <c r="D975" s="184">
        <v>1.5</v>
      </c>
      <c r="E975" s="183" t="s">
        <v>11351</v>
      </c>
      <c r="F975" s="183" t="s">
        <v>4</v>
      </c>
      <c r="G975" s="183" t="s">
        <v>725</v>
      </c>
      <c r="H975" s="184" t="s">
        <v>7881</v>
      </c>
      <c r="I975" s="184">
        <v>1</v>
      </c>
      <c r="J975" s="183" t="s">
        <v>1281</v>
      </c>
      <c r="K975" s="184" t="s">
        <v>7882</v>
      </c>
      <c r="L975" s="184">
        <v>2</v>
      </c>
      <c r="M975" s="183" t="s">
        <v>451</v>
      </c>
      <c r="N975" s="185">
        <v>1000000</v>
      </c>
      <c r="O975" s="183" t="s">
        <v>465</v>
      </c>
      <c r="P975" s="183" t="s">
        <v>7883</v>
      </c>
      <c r="Q975" s="184" t="s">
        <v>7884</v>
      </c>
      <c r="R975" s="184" t="s">
        <v>24</v>
      </c>
      <c r="S975" s="184"/>
      <c r="T975" s="184"/>
      <c r="U975" s="184"/>
      <c r="V975" s="184"/>
      <c r="W975" s="184"/>
      <c r="X975" s="179"/>
      <c r="Y975" s="179"/>
      <c r="Z975" s="179"/>
      <c r="AA975" s="179"/>
    </row>
    <row r="976" spans="1:27">
      <c r="A976" s="181">
        <f ca="1">IFERROR(__xludf.DUMMYFUNCTION("IFS(B976="""","""",ISDATE(B976)=TRUE,B976,ISDATE(B976)=FALSE,TO_DATE(DATEVALUE(regexextract(B976,""\d+/\d+/\d+""))))"),44797)</f>
        <v>44797</v>
      </c>
      <c r="B976" s="189">
        <v>44797</v>
      </c>
      <c r="C976" s="183" t="s">
        <v>11352</v>
      </c>
      <c r="D976" s="184">
        <v>3.25</v>
      </c>
      <c r="E976" s="183" t="s">
        <v>5301</v>
      </c>
      <c r="F976" s="183" t="s">
        <v>4</v>
      </c>
      <c r="G976" s="183" t="s">
        <v>602</v>
      </c>
      <c r="H976" s="184" t="s">
        <v>5302</v>
      </c>
      <c r="I976" s="184">
        <v>2.5</v>
      </c>
      <c r="J976" s="183" t="s">
        <v>447</v>
      </c>
      <c r="K976" s="184" t="s">
        <v>5303</v>
      </c>
      <c r="L976" s="184">
        <v>4</v>
      </c>
      <c r="M976" s="184" t="s">
        <v>451</v>
      </c>
      <c r="N976" s="186">
        <v>3000000</v>
      </c>
      <c r="O976" s="183" t="s">
        <v>452</v>
      </c>
      <c r="P976" s="183" t="s">
        <v>11353</v>
      </c>
      <c r="Q976" s="184"/>
      <c r="R976" s="184" t="s">
        <v>24</v>
      </c>
      <c r="S976" s="184"/>
      <c r="T976" s="184"/>
      <c r="U976" s="184"/>
      <c r="V976" s="184"/>
      <c r="W976" s="184"/>
      <c r="X976" s="179"/>
      <c r="Y976" s="179"/>
      <c r="Z976" s="179"/>
      <c r="AA976" s="179"/>
    </row>
    <row r="977" spans="1:27">
      <c r="A977" s="181">
        <f ca="1">IFERROR(__xludf.DUMMYFUNCTION("IFS(B977="""","""",ISDATE(B977)=TRUE,B977,ISDATE(B977)=FALSE,TO_DATE(DATEVALUE(regexextract(B977,""\d+/\d+/\d+""))))"),44797)</f>
        <v>44797</v>
      </c>
      <c r="B977" s="182" t="s">
        <v>907</v>
      </c>
      <c r="C977" s="183" t="s">
        <v>9105</v>
      </c>
      <c r="D977" s="183">
        <v>3</v>
      </c>
      <c r="E977" s="183" t="s">
        <v>11354</v>
      </c>
      <c r="F977" s="183" t="s">
        <v>3</v>
      </c>
      <c r="G977" s="183" t="s">
        <v>488</v>
      </c>
      <c r="H977" s="183" t="s">
        <v>9109</v>
      </c>
      <c r="I977" s="183">
        <v>3</v>
      </c>
      <c r="J977" s="183" t="s">
        <v>941</v>
      </c>
      <c r="K977" s="183" t="s">
        <v>9110</v>
      </c>
      <c r="L977" s="183">
        <v>3</v>
      </c>
      <c r="M977" s="183" t="s">
        <v>478</v>
      </c>
      <c r="N977" s="187" t="s">
        <v>3555</v>
      </c>
      <c r="O977" s="183" t="s">
        <v>452</v>
      </c>
      <c r="P977" s="183" t="s">
        <v>11355</v>
      </c>
      <c r="Q977" s="198"/>
      <c r="R977" s="183" t="s">
        <v>24</v>
      </c>
      <c r="S977" s="184"/>
      <c r="T977" s="184"/>
      <c r="U977" s="184"/>
      <c r="V977" s="184"/>
      <c r="W977" s="184"/>
      <c r="X977" s="179"/>
      <c r="Y977" s="179"/>
      <c r="Z977" s="179"/>
      <c r="AA977" s="179"/>
    </row>
    <row r="978" spans="1:27">
      <c r="A978" s="181">
        <f ca="1">IFERROR(__xludf.DUMMYFUNCTION("IFS(B978="""","""",ISDATE(B978)=TRUE,B978,ISDATE(B978)=FALSE,TO_DATE(DATEVALUE(regexextract(B978,""\d+/\d+/\d+""))))"),44796)</f>
        <v>44796</v>
      </c>
      <c r="B978" s="182" t="s">
        <v>529</v>
      </c>
      <c r="C978" s="183" t="s">
        <v>6548</v>
      </c>
      <c r="D978" s="183">
        <v>2.5</v>
      </c>
      <c r="E978" s="183"/>
      <c r="F978" s="183" t="s">
        <v>4</v>
      </c>
      <c r="G978" s="183" t="s">
        <v>602</v>
      </c>
      <c r="H978" s="183"/>
      <c r="I978" s="183">
        <v>2</v>
      </c>
      <c r="J978" s="183" t="s">
        <v>476</v>
      </c>
      <c r="K978" s="183" t="s">
        <v>11356</v>
      </c>
      <c r="L978" s="183">
        <v>3</v>
      </c>
      <c r="M978" s="183" t="s">
        <v>2190</v>
      </c>
      <c r="N978" s="185" t="s">
        <v>6552</v>
      </c>
      <c r="O978" s="183" t="s">
        <v>465</v>
      </c>
      <c r="P978" s="183" t="s">
        <v>6553</v>
      </c>
      <c r="Q978" s="184"/>
      <c r="R978" s="183" t="s">
        <v>24</v>
      </c>
      <c r="S978" s="183"/>
      <c r="T978" s="184"/>
      <c r="U978" s="184"/>
      <c r="V978" s="184"/>
      <c r="W978" s="184"/>
      <c r="X978" s="179"/>
      <c r="Y978" s="179"/>
      <c r="Z978" s="179"/>
      <c r="AA978" s="179"/>
    </row>
    <row r="979" spans="1:27">
      <c r="A979" s="181">
        <f ca="1">IFERROR(__xludf.DUMMYFUNCTION("IFS(B979="""","""",ISDATE(B979)=TRUE,B979,ISDATE(B979)=FALSE,TO_DATE(DATEVALUE(regexextract(B979,""\d+/\d+/\d+""))))"),44789)</f>
        <v>44789</v>
      </c>
      <c r="B979" s="182" t="s">
        <v>6450</v>
      </c>
      <c r="C979" s="183" t="s">
        <v>9177</v>
      </c>
      <c r="D979" s="183">
        <v>2.25</v>
      </c>
      <c r="E979" s="183" t="s">
        <v>9180</v>
      </c>
      <c r="F979" s="183" t="s">
        <v>3</v>
      </c>
      <c r="G979" s="183" t="s">
        <v>488</v>
      </c>
      <c r="H979" s="183" t="s">
        <v>9181</v>
      </c>
      <c r="I979" s="183">
        <v>2.5</v>
      </c>
      <c r="J979" s="183" t="s">
        <v>941</v>
      </c>
      <c r="K979" s="183"/>
      <c r="L979" s="183">
        <v>2</v>
      </c>
      <c r="M979" s="183" t="s">
        <v>923</v>
      </c>
      <c r="N979" s="185">
        <v>1000000</v>
      </c>
      <c r="O979" s="183" t="s">
        <v>452</v>
      </c>
      <c r="P979" s="183" t="s">
        <v>9182</v>
      </c>
      <c r="Q979" s="183" t="s">
        <v>9183</v>
      </c>
      <c r="R979" s="183" t="s">
        <v>24</v>
      </c>
      <c r="S979" s="184"/>
      <c r="T979" s="184"/>
      <c r="U979" s="184"/>
      <c r="V979" s="184"/>
      <c r="W979" s="184"/>
      <c r="X979" s="179"/>
      <c r="Y979" s="179"/>
      <c r="Z979" s="179"/>
      <c r="AA979" s="179"/>
    </row>
    <row r="980" spans="1:27">
      <c r="A980" s="181">
        <f ca="1">IFERROR(__xludf.DUMMYFUNCTION("IFS(B980="""","""",ISDATE(B980)=TRUE,B980,ISDATE(B980)=FALSE,TO_DATE(DATEVALUE(regexextract(B980,""\d+/\d+/\d+""))))"),44797)</f>
        <v>44797</v>
      </c>
      <c r="B980" s="182" t="s">
        <v>907</v>
      </c>
      <c r="C980" s="183" t="s">
        <v>6173</v>
      </c>
      <c r="D980" s="183">
        <v>2.5</v>
      </c>
      <c r="E980" s="183" t="s">
        <v>11357</v>
      </c>
      <c r="F980" s="183" t="s">
        <v>4</v>
      </c>
      <c r="G980" s="183" t="s">
        <v>725</v>
      </c>
      <c r="H980" s="183" t="s">
        <v>6177</v>
      </c>
      <c r="I980" s="183">
        <v>1</v>
      </c>
      <c r="J980" s="183" t="s">
        <v>990</v>
      </c>
      <c r="K980" s="183" t="s">
        <v>6178</v>
      </c>
      <c r="L980" s="183">
        <v>4</v>
      </c>
      <c r="M980" s="183"/>
      <c r="N980" s="187"/>
      <c r="O980" s="183" t="s">
        <v>452</v>
      </c>
      <c r="P980" s="183" t="s">
        <v>6179</v>
      </c>
      <c r="Q980" s="184"/>
      <c r="R980" s="183" t="s">
        <v>24</v>
      </c>
      <c r="S980" s="184"/>
      <c r="T980" s="184"/>
      <c r="U980" s="184"/>
      <c r="V980" s="184"/>
      <c r="W980" s="184"/>
      <c r="X980" s="179"/>
      <c r="Y980" s="179"/>
      <c r="Z980" s="179"/>
      <c r="AA980" s="179"/>
    </row>
    <row r="981" spans="1:27">
      <c r="A981" s="181">
        <f ca="1">IFERROR(__xludf.DUMMYFUNCTION("IFS(B981="""","""",ISDATE(B981)=TRUE,B981,ISDATE(B981)=FALSE,TO_DATE(DATEVALUE(regexextract(B981,""\d+/\d+/\d+""))))"),44797)</f>
        <v>44797</v>
      </c>
      <c r="B981" s="189" t="s">
        <v>907</v>
      </c>
      <c r="C981" s="183" t="s">
        <v>4585</v>
      </c>
      <c r="D981" s="184">
        <v>3.5</v>
      </c>
      <c r="E981" s="183" t="s">
        <v>4588</v>
      </c>
      <c r="F981" s="183" t="s">
        <v>4</v>
      </c>
      <c r="G981" s="183" t="s">
        <v>602</v>
      </c>
      <c r="H981" s="184" t="s">
        <v>4589</v>
      </c>
      <c r="I981" s="184">
        <v>2</v>
      </c>
      <c r="J981" s="183" t="s">
        <v>1073</v>
      </c>
      <c r="K981" s="184" t="s">
        <v>4590</v>
      </c>
      <c r="L981" s="183">
        <v>5</v>
      </c>
      <c r="M981" s="183" t="s">
        <v>784</v>
      </c>
      <c r="N981" s="185">
        <v>500000</v>
      </c>
      <c r="O981" s="183" t="s">
        <v>452</v>
      </c>
      <c r="P981" s="183" t="s">
        <v>4591</v>
      </c>
      <c r="Q981" s="184"/>
      <c r="R981" s="184" t="s">
        <v>24</v>
      </c>
      <c r="S981" s="184"/>
      <c r="T981" s="184"/>
      <c r="U981" s="184"/>
      <c r="V981" s="184"/>
      <c r="W981" s="184"/>
      <c r="X981" s="179"/>
      <c r="Y981" s="179"/>
      <c r="Z981" s="179"/>
      <c r="AA981" s="179"/>
    </row>
    <row r="982" spans="1:27">
      <c r="A982" s="181">
        <f ca="1">IFERROR(__xludf.DUMMYFUNCTION("IFS(B982="""","""",ISDATE(B982)=TRUE,B982,ISDATE(B982)=FALSE,TO_DATE(DATEVALUE(regexextract(B982,""\d+/\d+/\d+""))))"),44796)</f>
        <v>44796</v>
      </c>
      <c r="B982" s="189" t="s">
        <v>529</v>
      </c>
      <c r="C982" s="183" t="s">
        <v>8396</v>
      </c>
      <c r="D982" s="183">
        <v>2.75</v>
      </c>
      <c r="E982" s="183"/>
      <c r="F982" s="183" t="s">
        <v>3</v>
      </c>
      <c r="G982" s="183" t="s">
        <v>488</v>
      </c>
      <c r="H982" s="183" t="s">
        <v>8399</v>
      </c>
      <c r="I982" s="183">
        <v>2.5</v>
      </c>
      <c r="J982" s="183" t="s">
        <v>941</v>
      </c>
      <c r="K982" s="183" t="s">
        <v>8400</v>
      </c>
      <c r="L982" s="183">
        <v>3</v>
      </c>
      <c r="M982" s="184" t="s">
        <v>2152</v>
      </c>
      <c r="N982" s="188" t="s">
        <v>8401</v>
      </c>
      <c r="O982" s="183" t="s">
        <v>452</v>
      </c>
      <c r="P982" s="183" t="s">
        <v>8402</v>
      </c>
      <c r="Q982" s="184"/>
      <c r="R982" s="183" t="s">
        <v>24</v>
      </c>
      <c r="S982" s="184"/>
      <c r="T982" s="184"/>
      <c r="U982" s="184"/>
      <c r="V982" s="184"/>
      <c r="W982" s="184"/>
      <c r="X982" s="179"/>
      <c r="Y982" s="179"/>
      <c r="Z982" s="179"/>
      <c r="AA982" s="179"/>
    </row>
    <row r="983" spans="1:27">
      <c r="A983" s="181">
        <f ca="1">IFERROR(__xludf.DUMMYFUNCTION("IFS(B983="""","""",ISDATE(B983)=TRUE,B983,ISDATE(B983)=FALSE,TO_DATE(DATEVALUE(regexextract(B983,""\d+/\d+/\d+""))))"),44791)</f>
        <v>44791</v>
      </c>
      <c r="B983" s="182" t="s">
        <v>10182</v>
      </c>
      <c r="C983" s="183" t="s">
        <v>2147</v>
      </c>
      <c r="D983" s="183">
        <v>2.25</v>
      </c>
      <c r="E983" s="183"/>
      <c r="F983" s="183" t="s">
        <v>5</v>
      </c>
      <c r="G983" s="183" t="s">
        <v>447</v>
      </c>
      <c r="H983" s="183" t="s">
        <v>11358</v>
      </c>
      <c r="I983" s="183">
        <v>2.5</v>
      </c>
      <c r="J983" s="183" t="s">
        <v>622</v>
      </c>
      <c r="K983" s="183" t="s">
        <v>2151</v>
      </c>
      <c r="L983" s="183">
        <v>2</v>
      </c>
      <c r="M983" s="184" t="s">
        <v>2152</v>
      </c>
      <c r="N983" s="188">
        <v>500000</v>
      </c>
      <c r="O983" s="183" t="s">
        <v>452</v>
      </c>
      <c r="P983" s="183" t="s">
        <v>2153</v>
      </c>
      <c r="Q983" s="184"/>
      <c r="R983" s="183" t="s">
        <v>24</v>
      </c>
      <c r="S983" s="184"/>
      <c r="T983" s="184"/>
      <c r="U983" s="184"/>
      <c r="V983" s="184"/>
      <c r="W983" s="184"/>
      <c r="X983" s="179"/>
      <c r="Y983" s="179"/>
      <c r="Z983" s="179"/>
      <c r="AA983" s="179"/>
    </row>
    <row r="984" spans="1:27">
      <c r="A984" s="181">
        <f ca="1">IFERROR(__xludf.DUMMYFUNCTION("IFS(B984="""","""",ISDATE(B984)=TRUE,B984,ISDATE(B984)=FALSE,TO_DATE(DATEVALUE(regexextract(B984,""\d+/\d+/\d+""))))"),44796)</f>
        <v>44796</v>
      </c>
      <c r="B984" s="182" t="s">
        <v>529</v>
      </c>
      <c r="C984" s="183" t="s">
        <v>8334</v>
      </c>
      <c r="D984" s="184">
        <v>3</v>
      </c>
      <c r="E984" s="183"/>
      <c r="F984" s="183" t="s">
        <v>3</v>
      </c>
      <c r="G984" s="183" t="s">
        <v>488</v>
      </c>
      <c r="H984" s="184" t="s">
        <v>11359</v>
      </c>
      <c r="I984" s="184">
        <v>3</v>
      </c>
      <c r="J984" s="183" t="s">
        <v>941</v>
      </c>
      <c r="K984" s="183"/>
      <c r="L984" s="183">
        <v>3</v>
      </c>
      <c r="M984" s="183" t="s">
        <v>451</v>
      </c>
      <c r="N984" s="192">
        <v>2000000</v>
      </c>
      <c r="O984" s="183" t="s">
        <v>452</v>
      </c>
      <c r="P984" s="183" t="s">
        <v>8338</v>
      </c>
      <c r="Q984" s="184"/>
      <c r="R984" s="184" t="s">
        <v>24</v>
      </c>
      <c r="S984" s="184"/>
      <c r="T984" s="184"/>
      <c r="U984" s="184"/>
      <c r="V984" s="184"/>
      <c r="W984" s="184"/>
      <c r="X984" s="179"/>
      <c r="Y984" s="179"/>
      <c r="Z984" s="179"/>
      <c r="AA984" s="179"/>
    </row>
    <row r="985" spans="1:27">
      <c r="A985" s="181">
        <f ca="1">IFERROR(__xludf.DUMMYFUNCTION("IFS(B985="""","""",ISDATE(B985)=TRUE,B985,ISDATE(B985)=FALSE,TO_DATE(DATEVALUE(regexextract(B985,""\d+/\d+/\d+""))))"),44796)</f>
        <v>44796</v>
      </c>
      <c r="B985" s="182" t="s">
        <v>529</v>
      </c>
      <c r="C985" s="191" t="s">
        <v>3578</v>
      </c>
      <c r="D985" s="183">
        <v>3</v>
      </c>
      <c r="E985" s="183" t="s">
        <v>3581</v>
      </c>
      <c r="F985" s="183" t="s">
        <v>5</v>
      </c>
      <c r="G985" s="183" t="s">
        <v>447</v>
      </c>
      <c r="H985" s="183" t="s">
        <v>11360</v>
      </c>
      <c r="I985" s="183">
        <v>3</v>
      </c>
      <c r="J985" s="183" t="s">
        <v>449</v>
      </c>
      <c r="K985" s="183" t="s">
        <v>11361</v>
      </c>
      <c r="L985" s="183">
        <v>3</v>
      </c>
      <c r="M985" s="184" t="s">
        <v>784</v>
      </c>
      <c r="N985" s="186">
        <v>300000</v>
      </c>
      <c r="O985" s="183" t="s">
        <v>454</v>
      </c>
      <c r="P985" s="183" t="s">
        <v>452</v>
      </c>
      <c r="Q985" s="183" t="s">
        <v>3584</v>
      </c>
      <c r="R985" s="183" t="s">
        <v>24</v>
      </c>
      <c r="S985" s="184"/>
      <c r="T985" s="184"/>
      <c r="U985" s="184"/>
      <c r="V985" s="184"/>
      <c r="W985" s="184"/>
      <c r="X985" s="179"/>
      <c r="Y985" s="179"/>
      <c r="Z985" s="179"/>
      <c r="AA985" s="179"/>
    </row>
    <row r="986" spans="1:27">
      <c r="A986" s="181">
        <f ca="1">IFERROR(__xludf.DUMMYFUNCTION("IFS(B986="""","""",ISDATE(B986)=TRUE,B986,ISDATE(B986)=FALSE,TO_DATE(DATEVALUE(regexextract(B986,""\d+/\d+/\d+""))))"),44796)</f>
        <v>44796</v>
      </c>
      <c r="B986" s="182" t="s">
        <v>529</v>
      </c>
      <c r="C986" s="183" t="s">
        <v>123</v>
      </c>
      <c r="D986" s="183">
        <v>4</v>
      </c>
      <c r="E986" s="183" t="s">
        <v>9473</v>
      </c>
      <c r="F986" s="183" t="s">
        <v>5</v>
      </c>
      <c r="G986" s="183" t="s">
        <v>488</v>
      </c>
      <c r="H986" s="183" t="s">
        <v>9474</v>
      </c>
      <c r="I986" s="183">
        <v>4</v>
      </c>
      <c r="J986" s="183" t="s">
        <v>941</v>
      </c>
      <c r="K986" s="184" t="s">
        <v>9475</v>
      </c>
      <c r="L986" s="183">
        <v>4</v>
      </c>
      <c r="M986" s="183"/>
      <c r="N986" s="187"/>
      <c r="O986" s="183" t="s">
        <v>452</v>
      </c>
      <c r="P986" s="183" t="s">
        <v>9476</v>
      </c>
      <c r="Q986" s="184"/>
      <c r="R986" s="183" t="s">
        <v>20</v>
      </c>
      <c r="S986" s="184" t="s">
        <v>9477</v>
      </c>
      <c r="T986" s="184"/>
      <c r="U986" s="184"/>
      <c r="V986" s="184"/>
      <c r="W986" s="184"/>
      <c r="X986" s="179"/>
      <c r="Y986" s="179"/>
      <c r="Z986" s="179"/>
      <c r="AA986" s="179"/>
    </row>
    <row r="987" spans="1:27">
      <c r="A987" s="181">
        <f ca="1">IFERROR(__xludf.DUMMYFUNCTION("IFS(B987="""","""",ISDATE(B987)=TRUE,B987,ISDATE(B987)=FALSE,TO_DATE(DATEVALUE(regexextract(B987,""\d+/\d+/\d+""))))"),44791)</f>
        <v>44791</v>
      </c>
      <c r="B987" s="182" t="s">
        <v>10182</v>
      </c>
      <c r="C987" s="183" t="s">
        <v>3541</v>
      </c>
      <c r="D987" s="183">
        <v>3</v>
      </c>
      <c r="E987" s="183" t="s">
        <v>3544</v>
      </c>
      <c r="F987" s="183" t="s">
        <v>5</v>
      </c>
      <c r="G987" s="183" t="s">
        <v>447</v>
      </c>
      <c r="H987" s="183" t="s">
        <v>11362</v>
      </c>
      <c r="I987" s="183">
        <v>3</v>
      </c>
      <c r="J987" s="183" t="s">
        <v>622</v>
      </c>
      <c r="K987" s="183" t="s">
        <v>3546</v>
      </c>
      <c r="L987" s="183">
        <v>3</v>
      </c>
      <c r="M987" s="184" t="s">
        <v>451</v>
      </c>
      <c r="N987" s="188" t="s">
        <v>3547</v>
      </c>
      <c r="O987" s="183" t="s">
        <v>454</v>
      </c>
      <c r="P987" s="183" t="s">
        <v>11363</v>
      </c>
      <c r="Q987" s="184"/>
      <c r="R987" s="183" t="s">
        <v>24</v>
      </c>
      <c r="S987" s="184"/>
      <c r="T987" s="184"/>
      <c r="U987" s="184"/>
      <c r="V987" s="184"/>
      <c r="W987" s="184"/>
      <c r="X987" s="179"/>
      <c r="Y987" s="179"/>
      <c r="Z987" s="179"/>
      <c r="AA987" s="179"/>
    </row>
    <row r="988" spans="1:27">
      <c r="A988" s="181">
        <f ca="1">IFERROR(__xludf.DUMMYFUNCTION("IFS(B988="""","""",ISDATE(B988)=TRUE,B988,ISDATE(B988)=FALSE,TO_DATE(DATEVALUE(regexextract(B988,""\d+/\d+/\d+""))))"),44784)</f>
        <v>44784</v>
      </c>
      <c r="B988" s="189" t="s">
        <v>10173</v>
      </c>
      <c r="C988" s="183" t="s">
        <v>258</v>
      </c>
      <c r="D988" s="184">
        <v>4.5</v>
      </c>
      <c r="E988" s="183" t="s">
        <v>1492</v>
      </c>
      <c r="F988" s="183" t="s">
        <v>4</v>
      </c>
      <c r="G988" s="183" t="s">
        <v>447</v>
      </c>
      <c r="H988" s="183" t="s">
        <v>11364</v>
      </c>
      <c r="I988" s="183">
        <v>5</v>
      </c>
      <c r="J988" s="183" t="s">
        <v>449</v>
      </c>
      <c r="K988" s="184" t="s">
        <v>11365</v>
      </c>
      <c r="L988" s="184">
        <v>4</v>
      </c>
      <c r="M988" s="184" t="s">
        <v>478</v>
      </c>
      <c r="N988" s="188" t="s">
        <v>1495</v>
      </c>
      <c r="O988" s="183" t="s">
        <v>454</v>
      </c>
      <c r="P988" s="183" t="s">
        <v>452</v>
      </c>
      <c r="Q988" s="183" t="s">
        <v>447</v>
      </c>
      <c r="R988" s="184" t="s">
        <v>18</v>
      </c>
      <c r="S988" s="184" t="s">
        <v>1496</v>
      </c>
      <c r="T988" s="184"/>
      <c r="U988" s="184"/>
      <c r="V988" s="184"/>
      <c r="W988" s="184"/>
      <c r="X988" s="179"/>
      <c r="Y988" s="179"/>
      <c r="Z988" s="179"/>
      <c r="AA988" s="179"/>
    </row>
    <row r="989" spans="1:27">
      <c r="A989" s="181">
        <f ca="1">IFERROR(__xludf.DUMMYFUNCTION("IFS(B989="""","""",ISDATE(B989)=TRUE,B989,ISDATE(B989)=FALSE,TO_DATE(DATEVALUE(regexextract(B989,""\d+/\d+/\d+""))))"),44791)</f>
        <v>44791</v>
      </c>
      <c r="B989" s="182" t="s">
        <v>10182</v>
      </c>
      <c r="C989" s="183" t="s">
        <v>2922</v>
      </c>
      <c r="D989" s="183">
        <v>2.75</v>
      </c>
      <c r="E989" s="183" t="s">
        <v>2925</v>
      </c>
      <c r="F989" s="183" t="s">
        <v>5</v>
      </c>
      <c r="G989" s="183" t="s">
        <v>447</v>
      </c>
      <c r="H989" s="183" t="s">
        <v>11366</v>
      </c>
      <c r="I989" s="183">
        <v>3</v>
      </c>
      <c r="J989" s="183" t="s">
        <v>622</v>
      </c>
      <c r="K989" s="183" t="s">
        <v>2927</v>
      </c>
      <c r="L989" s="183">
        <v>2.5</v>
      </c>
      <c r="M989" s="184" t="s">
        <v>784</v>
      </c>
      <c r="N989" s="186">
        <v>500000</v>
      </c>
      <c r="O989" s="183" t="s">
        <v>452</v>
      </c>
      <c r="P989" s="183" t="s">
        <v>2928</v>
      </c>
      <c r="Q989" s="184"/>
      <c r="R989" s="183" t="s">
        <v>24</v>
      </c>
      <c r="S989" s="184"/>
      <c r="T989" s="184"/>
      <c r="U989" s="184"/>
      <c r="V989" s="184"/>
      <c r="W989" s="184"/>
      <c r="X989" s="179"/>
      <c r="Y989" s="179"/>
      <c r="Z989" s="179"/>
      <c r="AA989" s="179"/>
    </row>
    <row r="990" spans="1:27">
      <c r="A990" s="181">
        <f ca="1">IFERROR(__xludf.DUMMYFUNCTION("IFS(B990="""","""",ISDATE(B990)=TRUE,B990,ISDATE(B990)=FALSE,TO_DATE(DATEVALUE(regexextract(B990,""\d+/\d+/\d+""))))"),44796)</f>
        <v>44796</v>
      </c>
      <c r="B990" s="182" t="s">
        <v>529</v>
      </c>
      <c r="C990" s="183" t="s">
        <v>7018</v>
      </c>
      <c r="D990" s="183">
        <v>2</v>
      </c>
      <c r="E990" s="183"/>
      <c r="F990" s="183" t="s">
        <v>4</v>
      </c>
      <c r="G990" s="183" t="s">
        <v>725</v>
      </c>
      <c r="H990" s="183" t="s">
        <v>7021</v>
      </c>
      <c r="I990" s="183">
        <v>2</v>
      </c>
      <c r="J990" s="183" t="s">
        <v>462</v>
      </c>
      <c r="K990" s="183" t="s">
        <v>7022</v>
      </c>
      <c r="L990" s="183">
        <v>2</v>
      </c>
      <c r="M990" s="184" t="s">
        <v>2190</v>
      </c>
      <c r="N990" s="188">
        <v>1500000</v>
      </c>
      <c r="O990" s="183" t="s">
        <v>452</v>
      </c>
      <c r="P990" s="183" t="s">
        <v>452</v>
      </c>
      <c r="Q990" s="184"/>
      <c r="R990" s="183" t="s">
        <v>24</v>
      </c>
      <c r="S990" s="184"/>
      <c r="T990" s="184"/>
      <c r="U990" s="184"/>
      <c r="V990" s="184"/>
      <c r="W990" s="184"/>
      <c r="X990" s="179"/>
      <c r="Y990" s="179"/>
      <c r="Z990" s="179"/>
      <c r="AA990" s="179"/>
    </row>
    <row r="991" spans="1:27">
      <c r="A991" s="181">
        <f ca="1">IFERROR(__xludf.DUMMYFUNCTION("IFS(B991="""","""",ISDATE(B991)=TRUE,B991,ISDATE(B991)=FALSE,TO_DATE(DATEVALUE(regexextract(B991,""\d+/\d+/\d+""))))"),44797)</f>
        <v>44797</v>
      </c>
      <c r="B991" s="182" t="s">
        <v>907</v>
      </c>
      <c r="C991" s="183" t="s">
        <v>5529</v>
      </c>
      <c r="D991" s="183">
        <v>3</v>
      </c>
      <c r="E991" s="183" t="s">
        <v>5532</v>
      </c>
      <c r="F991" s="183" t="s">
        <v>4</v>
      </c>
      <c r="G991" s="183" t="s">
        <v>725</v>
      </c>
      <c r="H991" s="183" t="s">
        <v>11367</v>
      </c>
      <c r="I991" s="183">
        <v>2</v>
      </c>
      <c r="J991" s="183" t="s">
        <v>1187</v>
      </c>
      <c r="K991" s="183" t="s">
        <v>5534</v>
      </c>
      <c r="L991" s="183">
        <v>4</v>
      </c>
      <c r="M991" s="183"/>
      <c r="N991" s="187"/>
      <c r="O991" s="183" t="s">
        <v>452</v>
      </c>
      <c r="P991" s="183" t="s">
        <v>5535</v>
      </c>
      <c r="Q991" s="183"/>
      <c r="R991" s="183" t="s">
        <v>24</v>
      </c>
      <c r="S991" s="184" t="s">
        <v>5536</v>
      </c>
      <c r="T991" s="184"/>
      <c r="U991" s="184"/>
      <c r="V991" s="184"/>
      <c r="W991" s="184"/>
      <c r="X991" s="179"/>
      <c r="Y991" s="179"/>
      <c r="Z991" s="179"/>
      <c r="AA991" s="179"/>
    </row>
    <row r="992" spans="1:27">
      <c r="A992" s="181">
        <f ca="1">IFERROR(__xludf.DUMMYFUNCTION("IFS(B992="""","""",ISDATE(B992)=TRUE,B992,ISDATE(B992)=FALSE,TO_DATE(DATEVALUE(regexextract(B992,""\d+/\d+/\d+""))))"),44796)</f>
        <v>44796</v>
      </c>
      <c r="B992" s="182" t="s">
        <v>529</v>
      </c>
      <c r="C992" s="183" t="s">
        <v>7574</v>
      </c>
      <c r="D992" s="183">
        <v>2</v>
      </c>
      <c r="E992" s="183"/>
      <c r="F992" s="183" t="s">
        <v>4</v>
      </c>
      <c r="G992" s="183" t="s">
        <v>725</v>
      </c>
      <c r="H992" s="183"/>
      <c r="I992" s="183">
        <v>2</v>
      </c>
      <c r="J992" s="183" t="s">
        <v>1045</v>
      </c>
      <c r="K992" s="183" t="s">
        <v>7577</v>
      </c>
      <c r="L992" s="183">
        <v>2</v>
      </c>
      <c r="M992" s="183" t="s">
        <v>2190</v>
      </c>
      <c r="N992" s="187">
        <v>1000000</v>
      </c>
      <c r="O992" s="183" t="s">
        <v>452</v>
      </c>
      <c r="P992" s="183" t="s">
        <v>7578</v>
      </c>
      <c r="Q992" s="184" t="s">
        <v>7579</v>
      </c>
      <c r="R992" s="183" t="s">
        <v>24</v>
      </c>
      <c r="S992" s="184"/>
      <c r="T992" s="184"/>
      <c r="U992" s="184"/>
      <c r="V992" s="184"/>
      <c r="W992" s="184"/>
      <c r="X992" s="179"/>
      <c r="Y992" s="179"/>
      <c r="Z992" s="179"/>
      <c r="AA992" s="179"/>
    </row>
    <row r="993" spans="1:27">
      <c r="A993" s="181">
        <f ca="1">IFERROR(__xludf.DUMMYFUNCTION("IFS(B993="""","""",ISDATE(B993)=TRUE,B993,ISDATE(B993)=FALSE,TO_DATE(DATEVALUE(regexextract(B993,""\d+/\d+/\d+""))))"),44791)</f>
        <v>44791</v>
      </c>
      <c r="B993" s="182" t="s">
        <v>10182</v>
      </c>
      <c r="C993" s="183" t="s">
        <v>110</v>
      </c>
      <c r="D993" s="183">
        <v>4.25</v>
      </c>
      <c r="E993" s="183" t="s">
        <v>1859</v>
      </c>
      <c r="F993" s="183" t="s">
        <v>3</v>
      </c>
      <c r="G993" s="183" t="s">
        <v>447</v>
      </c>
      <c r="H993" s="183" t="s">
        <v>11368</v>
      </c>
      <c r="I993" s="183">
        <v>4.5</v>
      </c>
      <c r="J993" s="183" t="s">
        <v>543</v>
      </c>
      <c r="K993" s="183" t="s">
        <v>11369</v>
      </c>
      <c r="L993" s="183">
        <v>4</v>
      </c>
      <c r="M993" s="184" t="s">
        <v>973</v>
      </c>
      <c r="N993" s="188" t="s">
        <v>1862</v>
      </c>
      <c r="O993" s="183" t="s">
        <v>452</v>
      </c>
      <c r="P993" s="183" t="s">
        <v>1119</v>
      </c>
      <c r="Q993" s="184"/>
      <c r="R993" s="183" t="s">
        <v>18</v>
      </c>
      <c r="S993" s="184"/>
      <c r="T993" s="184"/>
      <c r="U993" s="184"/>
      <c r="V993" s="184"/>
      <c r="W993" s="184"/>
      <c r="X993" s="179"/>
      <c r="Y993" s="179"/>
      <c r="Z993" s="179"/>
      <c r="AA993" s="179"/>
    </row>
    <row r="994" spans="1:27">
      <c r="A994" s="181">
        <f ca="1">IFERROR(__xludf.DUMMYFUNCTION("IFS(B994="""","""",ISDATE(B994)=TRUE,B994,ISDATE(B994)=FALSE,TO_DATE(DATEVALUE(regexextract(B994,""\d+/\d+/\d+""))))"),44796)</f>
        <v>44796</v>
      </c>
      <c r="B994" s="182" t="s">
        <v>529</v>
      </c>
      <c r="C994" s="183" t="s">
        <v>9305</v>
      </c>
      <c r="D994" s="183">
        <v>1.5</v>
      </c>
      <c r="E994" s="183" t="s">
        <v>11370</v>
      </c>
      <c r="F994" s="183" t="s">
        <v>3</v>
      </c>
      <c r="G994" s="183" t="s">
        <v>488</v>
      </c>
      <c r="H994" s="183"/>
      <c r="I994" s="183">
        <v>2</v>
      </c>
      <c r="J994" s="183" t="s">
        <v>941</v>
      </c>
      <c r="K994" s="183"/>
      <c r="L994" s="183">
        <v>1</v>
      </c>
      <c r="M994" s="184" t="s">
        <v>451</v>
      </c>
      <c r="N994" s="188">
        <v>2000000</v>
      </c>
      <c r="O994" s="183" t="s">
        <v>452</v>
      </c>
      <c r="P994" s="183" t="s">
        <v>452</v>
      </c>
      <c r="Q994" s="184" t="s">
        <v>2180</v>
      </c>
      <c r="R994" s="183" t="s">
        <v>24</v>
      </c>
      <c r="S994" s="183"/>
      <c r="T994" s="184"/>
      <c r="U994" s="184"/>
      <c r="V994" s="184"/>
      <c r="W994" s="184"/>
      <c r="X994" s="179"/>
      <c r="Y994" s="179"/>
      <c r="Z994" s="179"/>
      <c r="AA994" s="179"/>
    </row>
    <row r="995" spans="1:27">
      <c r="A995" s="181">
        <f ca="1">IFERROR(__xludf.DUMMYFUNCTION("IFS(B995="""","""",ISDATE(B995)=TRUE,B995,ISDATE(B995)=FALSE,TO_DATE(DATEVALUE(regexextract(B995,""\d+/\d+/\d+""))))"),44796)</f>
        <v>44796</v>
      </c>
      <c r="B995" s="182" t="s">
        <v>529</v>
      </c>
      <c r="C995" s="183" t="s">
        <v>3340</v>
      </c>
      <c r="D995" s="183">
        <v>2.5</v>
      </c>
      <c r="E995" s="183"/>
      <c r="F995" s="183" t="s">
        <v>5</v>
      </c>
      <c r="G995" s="183" t="s">
        <v>447</v>
      </c>
      <c r="H995" s="183" t="s">
        <v>11371</v>
      </c>
      <c r="I995" s="183">
        <v>2</v>
      </c>
      <c r="J995" s="183" t="s">
        <v>449</v>
      </c>
      <c r="K995" s="184" t="s">
        <v>11372</v>
      </c>
      <c r="L995" s="183">
        <v>3</v>
      </c>
      <c r="M995" s="183" t="s">
        <v>913</v>
      </c>
      <c r="N995" s="185" t="s">
        <v>3345</v>
      </c>
      <c r="O995" s="183" t="s">
        <v>452</v>
      </c>
      <c r="P995" s="183" t="s">
        <v>3346</v>
      </c>
      <c r="Q995" s="184"/>
      <c r="R995" s="183" t="s">
        <v>24</v>
      </c>
      <c r="S995" s="184"/>
      <c r="T995" s="184"/>
      <c r="U995" s="184"/>
      <c r="V995" s="184"/>
      <c r="W995" s="184"/>
      <c r="X995" s="179"/>
      <c r="Y995" s="179"/>
      <c r="Z995" s="179"/>
      <c r="AA995" s="179"/>
    </row>
    <row r="996" spans="1:27">
      <c r="A996" s="181">
        <f ca="1">IFERROR(__xludf.DUMMYFUNCTION("IFS(B996="""","""",ISDATE(B996)=TRUE,B996,ISDATE(B996)=FALSE,TO_DATE(DATEVALUE(regexextract(B996,""\d+/\d+/\d+""))))"),44796)</f>
        <v>44796</v>
      </c>
      <c r="B996" s="182" t="s">
        <v>529</v>
      </c>
      <c r="C996" s="183" t="s">
        <v>2499</v>
      </c>
      <c r="D996" s="184">
        <v>2.25</v>
      </c>
      <c r="E996" s="183" t="s">
        <v>2502</v>
      </c>
      <c r="F996" s="183" t="s">
        <v>5</v>
      </c>
      <c r="G996" s="183" t="s">
        <v>447</v>
      </c>
      <c r="H996" s="184" t="s">
        <v>11373</v>
      </c>
      <c r="I996" s="184">
        <v>2.5</v>
      </c>
      <c r="J996" s="183" t="s">
        <v>543</v>
      </c>
      <c r="K996" s="184" t="s">
        <v>11374</v>
      </c>
      <c r="L996" s="183">
        <v>2</v>
      </c>
      <c r="M996" s="184"/>
      <c r="N996" s="188"/>
      <c r="O996" s="183" t="s">
        <v>465</v>
      </c>
      <c r="P996" s="183" t="s">
        <v>575</v>
      </c>
      <c r="Q996" s="183" t="s">
        <v>725</v>
      </c>
      <c r="R996" s="184" t="s">
        <v>24</v>
      </c>
      <c r="S996" s="184"/>
      <c r="T996" s="184"/>
      <c r="U996" s="184"/>
      <c r="V996" s="184"/>
      <c r="W996" s="184"/>
      <c r="X996" s="179"/>
      <c r="Y996" s="179"/>
      <c r="Z996" s="179"/>
      <c r="AA996" s="179"/>
    </row>
    <row r="997" spans="1:27">
      <c r="A997" s="181">
        <f ca="1">IFERROR(__xludf.DUMMYFUNCTION("IFS(B997="""","""",ISDATE(B997)=TRUE,B997,ISDATE(B997)=FALSE,TO_DATE(DATEVALUE(regexextract(B997,""\d+/\d+/\d+""))))"),44791)</f>
        <v>44791</v>
      </c>
      <c r="B997" s="182" t="s">
        <v>10182</v>
      </c>
      <c r="C997" s="183" t="s">
        <v>3358</v>
      </c>
      <c r="D997" s="183">
        <v>2.75</v>
      </c>
      <c r="E997" s="183" t="s">
        <v>11375</v>
      </c>
      <c r="F997" s="183" t="s">
        <v>5</v>
      </c>
      <c r="G997" s="183" t="s">
        <v>447</v>
      </c>
      <c r="H997" s="183" t="s">
        <v>11376</v>
      </c>
      <c r="I997" s="183">
        <v>2</v>
      </c>
      <c r="J997" s="183" t="s">
        <v>449</v>
      </c>
      <c r="K997" s="183" t="s">
        <v>11377</v>
      </c>
      <c r="L997" s="183">
        <v>3.5</v>
      </c>
      <c r="M997" s="183"/>
      <c r="N997" s="187"/>
      <c r="O997" s="183" t="s">
        <v>452</v>
      </c>
      <c r="P997" s="183" t="s">
        <v>3364</v>
      </c>
      <c r="Q997" s="184"/>
      <c r="R997" s="183" t="s">
        <v>24</v>
      </c>
      <c r="S997" s="183"/>
      <c r="T997" s="184"/>
      <c r="U997" s="184"/>
      <c r="V997" s="184"/>
      <c r="W997" s="184"/>
      <c r="X997" s="179"/>
      <c r="Y997" s="179"/>
      <c r="Z997" s="179"/>
      <c r="AA997" s="179"/>
    </row>
    <row r="998" spans="1:27">
      <c r="A998" s="181">
        <f ca="1">IFERROR(__xludf.DUMMYFUNCTION("IFS(B998="""","""",ISDATE(B998)=TRUE,B998,ISDATE(B998)=FALSE,TO_DATE(DATEVALUE(regexextract(B998,""\d+/\d+/\d+""))))"),44796)</f>
        <v>44796</v>
      </c>
      <c r="B998" s="182" t="s">
        <v>529</v>
      </c>
      <c r="C998" s="183" t="s">
        <v>318</v>
      </c>
      <c r="D998" s="184">
        <v>4</v>
      </c>
      <c r="E998" s="183" t="s">
        <v>11378</v>
      </c>
      <c r="F998" s="183" t="s">
        <v>3</v>
      </c>
      <c r="G998" s="183" t="s">
        <v>725</v>
      </c>
      <c r="H998" s="184" t="s">
        <v>11379</v>
      </c>
      <c r="I998" s="184">
        <v>4</v>
      </c>
      <c r="J998" s="183" t="s">
        <v>941</v>
      </c>
      <c r="K998" s="184" t="s">
        <v>9681</v>
      </c>
      <c r="L998" s="184">
        <v>4</v>
      </c>
      <c r="M998" s="184" t="s">
        <v>451</v>
      </c>
      <c r="N998" s="188">
        <v>6000000</v>
      </c>
      <c r="O998" s="183" t="s">
        <v>452</v>
      </c>
      <c r="P998" s="183" t="s">
        <v>9682</v>
      </c>
      <c r="Q998" s="183"/>
      <c r="R998" s="184" t="s">
        <v>18</v>
      </c>
      <c r="S998" s="184"/>
      <c r="T998" s="184"/>
      <c r="U998" s="184"/>
      <c r="V998" s="184"/>
      <c r="W998" s="184"/>
      <c r="X998" s="179"/>
      <c r="Y998" s="179"/>
      <c r="Z998" s="179"/>
      <c r="AA998" s="179"/>
    </row>
    <row r="999" spans="1:27">
      <c r="A999" s="181">
        <f ca="1">IFERROR(__xludf.DUMMYFUNCTION("IFS(B999="""","""",ISDATE(B999)=TRUE,B999,ISDATE(B999)=FALSE,TO_DATE(DATEVALUE(regexextract(B999,""\d+/\d+/\d+""))))"),44797)</f>
        <v>44797</v>
      </c>
      <c r="B999" s="182" t="s">
        <v>907</v>
      </c>
      <c r="C999" s="183" t="s">
        <v>251</v>
      </c>
      <c r="D999" s="183">
        <v>4</v>
      </c>
      <c r="E999" s="183" t="s">
        <v>1455</v>
      </c>
      <c r="F999" s="183" t="s">
        <v>4</v>
      </c>
      <c r="G999" s="183" t="s">
        <v>727</v>
      </c>
      <c r="H999" s="183" t="s">
        <v>11380</v>
      </c>
      <c r="I999" s="183">
        <v>4</v>
      </c>
      <c r="J999" s="183" t="s">
        <v>1457</v>
      </c>
      <c r="K999" s="183" t="s">
        <v>1458</v>
      </c>
      <c r="L999" s="183">
        <v>4</v>
      </c>
      <c r="M999" s="184" t="s">
        <v>784</v>
      </c>
      <c r="N999" s="188">
        <v>750000</v>
      </c>
      <c r="O999" s="183" t="s">
        <v>452</v>
      </c>
      <c r="P999" s="183" t="s">
        <v>11381</v>
      </c>
      <c r="Q999" s="184"/>
      <c r="R999" s="183" t="s">
        <v>18</v>
      </c>
      <c r="S999" s="184"/>
      <c r="T999" s="184"/>
      <c r="U999" s="184"/>
      <c r="V999" s="184"/>
      <c r="W999" s="184"/>
      <c r="X999" s="179"/>
      <c r="Y999" s="179"/>
      <c r="Z999" s="179"/>
      <c r="AA999" s="179"/>
    </row>
    <row r="1000" spans="1:27">
      <c r="A1000" s="181">
        <f ca="1">IFERROR(__xludf.DUMMYFUNCTION("IFS(B1000="""","""",ISDATE(B1000)=TRUE,B1000,ISDATE(B1000)=FALSE,TO_DATE(DATEVALUE(regexextract(B1000,""\d+/\d+/\d+""))))"),44796)</f>
        <v>44796</v>
      </c>
      <c r="B1000" s="182" t="s">
        <v>529</v>
      </c>
      <c r="C1000" s="183" t="s">
        <v>163</v>
      </c>
      <c r="D1000" s="183">
        <v>4.63</v>
      </c>
      <c r="E1000" s="183" t="s">
        <v>1085</v>
      </c>
      <c r="F1000" s="183" t="s">
        <v>4</v>
      </c>
      <c r="G1000" s="183" t="s">
        <v>725</v>
      </c>
      <c r="H1000" s="183" t="s">
        <v>1086</v>
      </c>
      <c r="I1000" s="183">
        <v>4.25</v>
      </c>
      <c r="J1000" s="183" t="s">
        <v>1073</v>
      </c>
      <c r="K1000" s="183" t="s">
        <v>1087</v>
      </c>
      <c r="L1000" s="183">
        <v>5</v>
      </c>
      <c r="M1000" s="184" t="s">
        <v>784</v>
      </c>
      <c r="N1000" s="186">
        <v>500000</v>
      </c>
      <c r="O1000" s="183" t="s">
        <v>452</v>
      </c>
      <c r="P1000" s="183" t="s">
        <v>1088</v>
      </c>
      <c r="Q1000" s="184"/>
      <c r="R1000" s="183" t="s">
        <v>18</v>
      </c>
      <c r="S1000" s="183"/>
      <c r="T1000" s="184"/>
      <c r="U1000" s="184"/>
      <c r="V1000" s="184"/>
      <c r="W1000" s="184"/>
      <c r="X1000" s="179"/>
      <c r="Y1000" s="179"/>
      <c r="Z1000" s="179"/>
      <c r="AA1000" s="179"/>
    </row>
    <row r="1001" spans="1:27">
      <c r="A1001" s="181">
        <f ca="1">IFERROR(__xludf.DUMMYFUNCTION("IFS(B1001="""","""",ISDATE(B1001)=TRUE,B1001,ISDATE(B1001)=FALSE,TO_DATE(DATEVALUE(regexextract(B1001,""\d+/\d+/\d+""))))"),44791)</f>
        <v>44791</v>
      </c>
      <c r="B1001" s="182" t="s">
        <v>10182</v>
      </c>
      <c r="C1001" s="183" t="s">
        <v>2174</v>
      </c>
      <c r="D1001" s="184">
        <v>3.25</v>
      </c>
      <c r="E1001" s="183"/>
      <c r="F1001" s="183" t="s">
        <v>5</v>
      </c>
      <c r="G1001" s="183" t="s">
        <v>460</v>
      </c>
      <c r="H1001" s="184" t="s">
        <v>2177</v>
      </c>
      <c r="I1001" s="184">
        <v>3.5</v>
      </c>
      <c r="J1001" s="183" t="s">
        <v>941</v>
      </c>
      <c r="K1001" s="183" t="s">
        <v>2178</v>
      </c>
      <c r="L1001" s="183">
        <v>3</v>
      </c>
      <c r="M1001" s="184" t="s">
        <v>2152</v>
      </c>
      <c r="N1001" s="186" t="s">
        <v>2179</v>
      </c>
      <c r="O1001" s="183" t="s">
        <v>452</v>
      </c>
      <c r="P1001" s="183" t="s">
        <v>1119</v>
      </c>
      <c r="Q1001" s="183" t="s">
        <v>2180</v>
      </c>
      <c r="R1001" s="184" t="s">
        <v>24</v>
      </c>
      <c r="S1001" s="184" t="s">
        <v>2181</v>
      </c>
      <c r="T1001" s="184"/>
      <c r="U1001" s="184"/>
      <c r="V1001" s="184"/>
      <c r="W1001" s="184"/>
      <c r="X1001" s="179"/>
      <c r="Y1001" s="179"/>
      <c r="Z1001" s="179"/>
      <c r="AA1001" s="179"/>
    </row>
    <row r="1002" spans="1:27">
      <c r="A1002" s="181">
        <f ca="1">IFERROR(__xludf.DUMMYFUNCTION("IFS(B1002="""","""",ISDATE(B1002)=TRUE,B1002,ISDATE(B1002)=FALSE,TO_DATE(DATEVALUE(regexextract(B1002,""\d+/\d+/\d+""))))"),44782)</f>
        <v>44782</v>
      </c>
      <c r="B1002" s="189" t="s">
        <v>10188</v>
      </c>
      <c r="C1002" s="183" t="s">
        <v>7634</v>
      </c>
      <c r="D1002" s="183">
        <v>2</v>
      </c>
      <c r="E1002" s="183" t="s">
        <v>7637</v>
      </c>
      <c r="F1002" s="183" t="s">
        <v>4</v>
      </c>
      <c r="G1002" s="183" t="s">
        <v>602</v>
      </c>
      <c r="H1002" s="183" t="s">
        <v>7638</v>
      </c>
      <c r="I1002" s="183">
        <v>2</v>
      </c>
      <c r="J1002" s="183" t="s">
        <v>1054</v>
      </c>
      <c r="K1002" s="183" t="s">
        <v>7639</v>
      </c>
      <c r="L1002" s="183">
        <v>2</v>
      </c>
      <c r="M1002" s="183"/>
      <c r="N1002" s="187"/>
      <c r="O1002" s="183" t="s">
        <v>452</v>
      </c>
      <c r="P1002" s="183" t="s">
        <v>7640</v>
      </c>
      <c r="Q1002" s="183"/>
      <c r="R1002" s="183" t="s">
        <v>24</v>
      </c>
      <c r="S1002" s="184"/>
      <c r="T1002" s="184"/>
      <c r="U1002" s="184"/>
      <c r="V1002" s="184"/>
      <c r="W1002" s="184"/>
      <c r="X1002" s="179"/>
      <c r="Y1002" s="179"/>
      <c r="Z1002" s="179"/>
      <c r="AA1002" s="179"/>
    </row>
    <row r="1003" spans="1:27">
      <c r="A1003" s="181">
        <f ca="1">IFERROR(__xludf.DUMMYFUNCTION("IFS(B1003="""","""",ISDATE(B1003)=TRUE,B1003,ISDATE(B1003)=FALSE,TO_DATE(DATEVALUE(regexextract(B1003,""\d+/\d+/\d+""))))"),44782)</f>
        <v>44782</v>
      </c>
      <c r="B1003" s="182" t="s">
        <v>10188</v>
      </c>
      <c r="C1003" s="183" t="s">
        <v>6656</v>
      </c>
      <c r="D1003" s="184">
        <v>2.25</v>
      </c>
      <c r="E1003" s="183" t="s">
        <v>11382</v>
      </c>
      <c r="F1003" s="183" t="s">
        <v>4</v>
      </c>
      <c r="G1003" s="183" t="s">
        <v>602</v>
      </c>
      <c r="H1003" s="184" t="s">
        <v>11383</v>
      </c>
      <c r="I1003" s="184">
        <v>2</v>
      </c>
      <c r="J1003" s="183" t="s">
        <v>727</v>
      </c>
      <c r="K1003" s="184" t="s">
        <v>6661</v>
      </c>
      <c r="L1003" s="183">
        <v>2.5</v>
      </c>
      <c r="M1003" s="183" t="s">
        <v>451</v>
      </c>
      <c r="N1003" s="187">
        <v>1376390</v>
      </c>
      <c r="O1003" s="183" t="s">
        <v>452</v>
      </c>
      <c r="P1003" s="183" t="s">
        <v>452</v>
      </c>
      <c r="Q1003" s="184"/>
      <c r="R1003" s="184" t="s">
        <v>24</v>
      </c>
      <c r="S1003" s="184"/>
      <c r="T1003" s="184"/>
      <c r="U1003" s="184"/>
      <c r="V1003" s="184"/>
      <c r="W1003" s="184"/>
      <c r="X1003" s="179"/>
      <c r="Y1003" s="179"/>
      <c r="Z1003" s="179"/>
      <c r="AA1003" s="179"/>
    </row>
    <row r="1004" spans="1:27">
      <c r="A1004" s="181">
        <f ca="1">IFERROR(__xludf.DUMMYFUNCTION("IFS(B1004="""","""",ISDATE(B1004)=TRUE,B1004,ISDATE(B1004)=FALSE,TO_DATE(DATEVALUE(regexextract(B1004,""\d+/\d+/\d+""))))"),44782)</f>
        <v>44782</v>
      </c>
      <c r="B1004" s="182" t="s">
        <v>10188</v>
      </c>
      <c r="C1004" s="183" t="s">
        <v>11384</v>
      </c>
      <c r="D1004" s="183">
        <v>2</v>
      </c>
      <c r="E1004" s="183" t="s">
        <v>7526</v>
      </c>
      <c r="F1004" s="183" t="s">
        <v>4</v>
      </c>
      <c r="G1004" s="183" t="s">
        <v>602</v>
      </c>
      <c r="H1004" s="183" t="s">
        <v>7527</v>
      </c>
      <c r="I1004" s="183">
        <v>2</v>
      </c>
      <c r="J1004" s="183" t="s">
        <v>727</v>
      </c>
      <c r="K1004" s="184" t="s">
        <v>7528</v>
      </c>
      <c r="L1004" s="183">
        <v>2</v>
      </c>
      <c r="M1004" s="184" t="s">
        <v>451</v>
      </c>
      <c r="N1004" s="188">
        <v>250000</v>
      </c>
      <c r="O1004" s="183" t="s">
        <v>452</v>
      </c>
      <c r="P1004" s="183" t="s">
        <v>452</v>
      </c>
      <c r="Q1004" s="184"/>
      <c r="R1004" s="183" t="s">
        <v>24</v>
      </c>
      <c r="S1004" s="183"/>
      <c r="T1004" s="184"/>
      <c r="U1004" s="184"/>
      <c r="V1004" s="184"/>
      <c r="W1004" s="184"/>
      <c r="X1004" s="179"/>
      <c r="Y1004" s="179"/>
      <c r="Z1004" s="179"/>
      <c r="AA1004" s="179"/>
    </row>
    <row r="1005" spans="1:27">
      <c r="A1005" s="181">
        <f ca="1">IFERROR(__xludf.DUMMYFUNCTION("IFS(B1005="""","""",ISDATE(B1005)=TRUE,B1005,ISDATE(B1005)=FALSE,TO_DATE(DATEVALUE(regexextract(B1005,""\d+/\d+/\d+""))))"),44782)</f>
        <v>44782</v>
      </c>
      <c r="B1005" s="182" t="s">
        <v>10188</v>
      </c>
      <c r="C1005" s="183" t="s">
        <v>8485</v>
      </c>
      <c r="D1005" s="183">
        <v>2.75</v>
      </c>
      <c r="E1005" s="183" t="s">
        <v>8488</v>
      </c>
      <c r="F1005" s="183" t="s">
        <v>3</v>
      </c>
      <c r="G1005" s="183" t="s">
        <v>460</v>
      </c>
      <c r="H1005" s="183" t="s">
        <v>8489</v>
      </c>
      <c r="I1005" s="183">
        <v>2.5</v>
      </c>
      <c r="J1005" s="183" t="s">
        <v>462</v>
      </c>
      <c r="K1005" s="183" t="s">
        <v>8490</v>
      </c>
      <c r="L1005" s="183">
        <v>3</v>
      </c>
      <c r="M1005" s="183" t="s">
        <v>451</v>
      </c>
      <c r="N1005" s="187">
        <v>2500000</v>
      </c>
      <c r="O1005" s="183" t="s">
        <v>452</v>
      </c>
      <c r="P1005" s="183" t="s">
        <v>8491</v>
      </c>
      <c r="Q1005" s="184"/>
      <c r="R1005" s="183" t="s">
        <v>24</v>
      </c>
      <c r="S1005" s="184" t="s">
        <v>8492</v>
      </c>
      <c r="T1005" s="184"/>
      <c r="U1005" s="184"/>
      <c r="V1005" s="184"/>
      <c r="W1005" s="184"/>
      <c r="X1005" s="179"/>
      <c r="Y1005" s="179"/>
      <c r="Z1005" s="179"/>
      <c r="AA1005" s="179"/>
    </row>
    <row r="1006" spans="1:27">
      <c r="A1006" s="181">
        <f ca="1">IFERROR(__xludf.DUMMYFUNCTION("IFS(B1006="""","""",ISDATE(B1006)=TRUE,B1006,ISDATE(B1006)=FALSE,TO_DATE(DATEVALUE(regexextract(B1006,""\d+/\d+/\d+""))))"),44782)</f>
        <v>44782</v>
      </c>
      <c r="B1006" s="182" t="s">
        <v>10188</v>
      </c>
      <c r="C1006" s="183" t="s">
        <v>391</v>
      </c>
      <c r="D1006" s="183">
        <v>4</v>
      </c>
      <c r="E1006" s="183" t="s">
        <v>10090</v>
      </c>
      <c r="F1006" s="183" t="s">
        <v>3</v>
      </c>
      <c r="G1006" s="183" t="s">
        <v>460</v>
      </c>
      <c r="H1006" s="183" t="s">
        <v>11385</v>
      </c>
      <c r="I1006" s="183">
        <v>4</v>
      </c>
      <c r="J1006" s="183" t="s">
        <v>941</v>
      </c>
      <c r="K1006" s="183"/>
      <c r="L1006" s="183">
        <v>4</v>
      </c>
      <c r="M1006" s="183" t="s">
        <v>478</v>
      </c>
      <c r="N1006" s="187" t="s">
        <v>4966</v>
      </c>
      <c r="O1006" s="183" t="s">
        <v>452</v>
      </c>
      <c r="P1006" s="183" t="s">
        <v>10092</v>
      </c>
      <c r="Q1006" s="184"/>
      <c r="R1006" s="183" t="s">
        <v>19</v>
      </c>
      <c r="S1006" s="184" t="s">
        <v>10093</v>
      </c>
      <c r="T1006" s="184"/>
      <c r="U1006" s="184"/>
      <c r="V1006" s="184"/>
      <c r="W1006" s="184"/>
      <c r="X1006" s="179"/>
      <c r="Y1006" s="179"/>
      <c r="Z1006" s="179"/>
      <c r="AA1006" s="179"/>
    </row>
    <row r="1007" spans="1:27">
      <c r="A1007" s="181">
        <f ca="1">IFERROR(__xludf.DUMMYFUNCTION("IFS(B1007="""","""",ISDATE(B1007)=TRUE,B1007,ISDATE(B1007)=FALSE,TO_DATE(DATEVALUE(regexextract(B1007,""\d+/\d+/\d+""))))"),44782)</f>
        <v>44782</v>
      </c>
      <c r="B1007" s="182" t="s">
        <v>10188</v>
      </c>
      <c r="C1007" s="183" t="s">
        <v>9872</v>
      </c>
      <c r="D1007" s="183">
        <v>3.75</v>
      </c>
      <c r="E1007" s="183" t="s">
        <v>9875</v>
      </c>
      <c r="F1007" s="183" t="s">
        <v>3</v>
      </c>
      <c r="G1007" s="183" t="s">
        <v>460</v>
      </c>
      <c r="H1007" s="183" t="s">
        <v>9876</v>
      </c>
      <c r="I1007" s="183">
        <v>3.5</v>
      </c>
      <c r="J1007" s="183" t="s">
        <v>488</v>
      </c>
      <c r="K1007" s="184" t="s">
        <v>9877</v>
      </c>
      <c r="L1007" s="183">
        <v>4</v>
      </c>
      <c r="M1007" s="183" t="s">
        <v>451</v>
      </c>
      <c r="N1007" s="185">
        <v>1000000</v>
      </c>
      <c r="O1007" s="183" t="s">
        <v>452</v>
      </c>
      <c r="P1007" s="183" t="s">
        <v>452</v>
      </c>
      <c r="Q1007" s="184" t="s">
        <v>11386</v>
      </c>
      <c r="R1007" s="183" t="s">
        <v>23</v>
      </c>
      <c r="S1007" s="184" t="s">
        <v>9879</v>
      </c>
      <c r="T1007" s="184"/>
      <c r="U1007" s="184"/>
      <c r="V1007" s="184"/>
      <c r="W1007" s="184"/>
      <c r="X1007" s="179"/>
      <c r="Y1007" s="179"/>
      <c r="Z1007" s="179"/>
      <c r="AA1007" s="179"/>
    </row>
    <row r="1008" spans="1:27">
      <c r="A1008" s="181">
        <f ca="1">IFERROR(__xludf.DUMMYFUNCTION("IFS(B1008="""","""",ISDATE(B1008)=TRUE,B1008,ISDATE(B1008)=FALSE,TO_DATE(DATEVALUE(regexextract(B1008,""\d+/\d+/\d+""))))"),44789)</f>
        <v>44789</v>
      </c>
      <c r="B1008" s="182" t="s">
        <v>6450</v>
      </c>
      <c r="C1008" s="183" t="s">
        <v>4848</v>
      </c>
      <c r="D1008" s="183">
        <v>3.5</v>
      </c>
      <c r="E1008" s="183" t="s">
        <v>4851</v>
      </c>
      <c r="F1008" s="183" t="s">
        <v>4</v>
      </c>
      <c r="G1008" s="183" t="s">
        <v>727</v>
      </c>
      <c r="H1008" s="183" t="s">
        <v>11387</v>
      </c>
      <c r="I1008" s="183">
        <v>3.5</v>
      </c>
      <c r="J1008" s="183" t="s">
        <v>1045</v>
      </c>
      <c r="K1008" s="183" t="s">
        <v>4853</v>
      </c>
      <c r="L1008" s="183">
        <v>3.5</v>
      </c>
      <c r="M1008" s="184"/>
      <c r="N1008" s="188"/>
      <c r="O1008" s="183" t="s">
        <v>452</v>
      </c>
      <c r="P1008" s="183" t="s">
        <v>575</v>
      </c>
      <c r="Q1008" s="184"/>
      <c r="R1008" s="183" t="s">
        <v>24</v>
      </c>
      <c r="S1008" s="184"/>
      <c r="T1008" s="184"/>
      <c r="U1008" s="184"/>
      <c r="V1008" s="184"/>
      <c r="W1008" s="184"/>
      <c r="X1008" s="179"/>
      <c r="Y1008" s="179"/>
      <c r="Z1008" s="179"/>
      <c r="AA1008" s="179"/>
    </row>
    <row r="1009" spans="1:27">
      <c r="A1009" s="181">
        <f ca="1">IFERROR(__xludf.DUMMYFUNCTION("IFS(B1009="""","""",ISDATE(B1009)=TRUE,B1009,ISDATE(B1009)=FALSE,TO_DATE(DATEVALUE(regexextract(B1009,""\d+/\d+/\d+""))))"),44782)</f>
        <v>44782</v>
      </c>
      <c r="B1009" s="182" t="s">
        <v>10188</v>
      </c>
      <c r="C1009" s="183" t="s">
        <v>4822</v>
      </c>
      <c r="D1009" s="184">
        <v>3.5</v>
      </c>
      <c r="E1009" s="183" t="s">
        <v>4825</v>
      </c>
      <c r="F1009" s="183" t="s">
        <v>4</v>
      </c>
      <c r="G1009" s="183" t="s">
        <v>727</v>
      </c>
      <c r="H1009" s="184" t="s">
        <v>11388</v>
      </c>
      <c r="I1009" s="184">
        <v>3</v>
      </c>
      <c r="J1009" s="183" t="s">
        <v>476</v>
      </c>
      <c r="K1009" s="184" t="s">
        <v>11389</v>
      </c>
      <c r="L1009" s="184">
        <v>4</v>
      </c>
      <c r="M1009" s="184" t="s">
        <v>451</v>
      </c>
      <c r="N1009" s="188" t="s">
        <v>4828</v>
      </c>
      <c r="O1009" s="183" t="s">
        <v>452</v>
      </c>
      <c r="P1009" s="183" t="s">
        <v>4829</v>
      </c>
      <c r="Q1009" s="184"/>
      <c r="R1009" s="184" t="s">
        <v>24</v>
      </c>
      <c r="S1009" s="184"/>
      <c r="T1009" s="184"/>
      <c r="U1009" s="184"/>
      <c r="V1009" s="184"/>
      <c r="W1009" s="184"/>
      <c r="X1009" s="179"/>
      <c r="Y1009" s="179"/>
      <c r="Z1009" s="179"/>
      <c r="AA1009" s="179"/>
    </row>
    <row r="1010" spans="1:27">
      <c r="A1010" s="181">
        <f ca="1">IFERROR(__xludf.DUMMYFUNCTION("IFS(B1010="""","""",ISDATE(B1010)=TRUE,B1010,ISDATE(B1010)=FALSE,TO_DATE(DATEVALUE(regexextract(B1010,""\d+/\d+/\d+""))))"),44776)</f>
        <v>44776</v>
      </c>
      <c r="B1010" s="182" t="s">
        <v>10176</v>
      </c>
      <c r="C1010" s="183" t="s">
        <v>156</v>
      </c>
      <c r="D1010" s="184">
        <v>4.25</v>
      </c>
      <c r="E1010" s="183" t="s">
        <v>1052</v>
      </c>
      <c r="F1010" s="183" t="s">
        <v>4</v>
      </c>
      <c r="G1010" s="183" t="s">
        <v>602</v>
      </c>
      <c r="H1010" s="184" t="s">
        <v>11390</v>
      </c>
      <c r="I1010" s="184">
        <v>4.5</v>
      </c>
      <c r="J1010" s="183" t="s">
        <v>1054</v>
      </c>
      <c r="K1010" s="183"/>
      <c r="L1010" s="183">
        <v>4</v>
      </c>
      <c r="M1010" s="183" t="s">
        <v>451</v>
      </c>
      <c r="N1010" s="187">
        <v>4000000</v>
      </c>
      <c r="O1010" s="183" t="s">
        <v>465</v>
      </c>
      <c r="P1010" s="183" t="s">
        <v>1055</v>
      </c>
      <c r="Q1010" s="184"/>
      <c r="R1010" s="184" t="s">
        <v>18</v>
      </c>
      <c r="S1010" s="184"/>
      <c r="T1010" s="184"/>
      <c r="U1010" s="184"/>
      <c r="V1010" s="184"/>
      <c r="W1010" s="184"/>
      <c r="X1010" s="179"/>
      <c r="Y1010" s="179"/>
      <c r="Z1010" s="179"/>
      <c r="AA1010" s="179"/>
    </row>
    <row r="1011" spans="1:27">
      <c r="A1011" s="181">
        <f ca="1">IFERROR(__xludf.DUMMYFUNCTION("IFS(B1011="""","""",ISDATE(B1011)=TRUE,B1011,ISDATE(B1011)=FALSE,TO_DATE(DATEVALUE(regexextract(B1011,""\d+/\d+/\d+""))))"),44776)</f>
        <v>44776</v>
      </c>
      <c r="B1011" s="182" t="s">
        <v>10176</v>
      </c>
      <c r="C1011" s="183" t="s">
        <v>83</v>
      </c>
      <c r="D1011" s="183">
        <v>4.25</v>
      </c>
      <c r="E1011" s="183" t="s">
        <v>1116</v>
      </c>
      <c r="F1011" s="183" t="s">
        <v>5</v>
      </c>
      <c r="G1011" s="183" t="s">
        <v>447</v>
      </c>
      <c r="H1011" s="183" t="s">
        <v>1117</v>
      </c>
      <c r="I1011" s="183">
        <v>4.5</v>
      </c>
      <c r="J1011" s="183" t="s">
        <v>449</v>
      </c>
      <c r="K1011" s="183" t="s">
        <v>11391</v>
      </c>
      <c r="L1011" s="183">
        <v>4</v>
      </c>
      <c r="M1011" s="183" t="s">
        <v>451</v>
      </c>
      <c r="N1011" s="187">
        <v>3500000</v>
      </c>
      <c r="O1011" s="183" t="s">
        <v>452</v>
      </c>
      <c r="P1011" s="183" t="s">
        <v>1119</v>
      </c>
      <c r="Q1011" s="184" t="s">
        <v>1120</v>
      </c>
      <c r="R1011" s="183" t="s">
        <v>18</v>
      </c>
      <c r="S1011" s="183" t="s">
        <v>1121</v>
      </c>
      <c r="T1011" s="184"/>
      <c r="U1011" s="184"/>
      <c r="V1011" s="184"/>
      <c r="W1011" s="184"/>
      <c r="X1011" s="179"/>
      <c r="Y1011" s="179"/>
      <c r="Z1011" s="179"/>
      <c r="AA1011" s="179"/>
    </row>
    <row r="1012" spans="1:27">
      <c r="A1012" s="181">
        <f ca="1">IFERROR(__xludf.DUMMYFUNCTION("IFS(B1012="""","""",ISDATE(B1012)=TRUE,B1012,ISDATE(B1012)=FALSE,TO_DATE(DATEVALUE(regexextract(B1012,""\d+/\d+/\d+""))))"),44776)</f>
        <v>44776</v>
      </c>
      <c r="B1012" s="182" t="s">
        <v>10176</v>
      </c>
      <c r="C1012" s="183" t="s">
        <v>341</v>
      </c>
      <c r="D1012" s="183">
        <v>4</v>
      </c>
      <c r="E1012" s="183" t="s">
        <v>9714</v>
      </c>
      <c r="F1012" s="183" t="s">
        <v>3</v>
      </c>
      <c r="G1012" s="183" t="s">
        <v>460</v>
      </c>
      <c r="H1012" s="183" t="s">
        <v>9715</v>
      </c>
      <c r="I1012" s="183">
        <v>4</v>
      </c>
      <c r="J1012" s="183" t="s">
        <v>488</v>
      </c>
      <c r="K1012" s="183" t="s">
        <v>9716</v>
      </c>
      <c r="L1012" s="183">
        <v>4</v>
      </c>
      <c r="M1012" s="183" t="s">
        <v>451</v>
      </c>
      <c r="N1012" s="187">
        <v>5000000</v>
      </c>
      <c r="O1012" s="183" t="s">
        <v>452</v>
      </c>
      <c r="P1012" s="183" t="s">
        <v>11392</v>
      </c>
      <c r="Q1012" s="184" t="s">
        <v>9718</v>
      </c>
      <c r="R1012" s="183" t="s">
        <v>18</v>
      </c>
      <c r="S1012" s="184"/>
      <c r="T1012" s="184"/>
      <c r="U1012" s="184"/>
      <c r="V1012" s="184"/>
      <c r="W1012" s="184"/>
      <c r="X1012" s="179"/>
      <c r="Y1012" s="179"/>
      <c r="Z1012" s="179"/>
      <c r="AA1012" s="179"/>
    </row>
    <row r="1013" spans="1:27">
      <c r="A1013" s="181">
        <f ca="1">IFERROR(__xludf.DUMMYFUNCTION("IFS(B1013="""","""",ISDATE(B1013)=TRUE,B1013,ISDATE(B1013)=FALSE,TO_DATE(DATEVALUE(regexextract(B1013,""\d+/\d+/\d+""))))"),44776)</f>
        <v>44776</v>
      </c>
      <c r="B1013" s="189" t="s">
        <v>10176</v>
      </c>
      <c r="C1013" s="183" t="s">
        <v>355</v>
      </c>
      <c r="D1013" s="183">
        <v>4</v>
      </c>
      <c r="E1013" s="183" t="s">
        <v>9764</v>
      </c>
      <c r="F1013" s="183" t="s">
        <v>3</v>
      </c>
      <c r="G1013" s="183" t="s">
        <v>460</v>
      </c>
      <c r="H1013" s="183" t="s">
        <v>9765</v>
      </c>
      <c r="I1013" s="183">
        <v>4</v>
      </c>
      <c r="J1013" s="183" t="s">
        <v>462</v>
      </c>
      <c r="K1013" s="183" t="s">
        <v>9766</v>
      </c>
      <c r="L1013" s="183">
        <v>4</v>
      </c>
      <c r="M1013" s="184" t="s">
        <v>784</v>
      </c>
      <c r="N1013" s="184">
        <v>3000000</v>
      </c>
      <c r="O1013" s="183" t="s">
        <v>452</v>
      </c>
      <c r="P1013" s="183" t="s">
        <v>555</v>
      </c>
      <c r="Q1013" s="184" t="s">
        <v>1281</v>
      </c>
      <c r="R1013" s="183" t="s">
        <v>18</v>
      </c>
      <c r="S1013" s="184" t="s">
        <v>11393</v>
      </c>
      <c r="T1013" s="184"/>
      <c r="U1013" s="184"/>
      <c r="V1013" s="184"/>
      <c r="W1013" s="184"/>
      <c r="X1013" s="179"/>
      <c r="Y1013" s="179"/>
      <c r="Z1013" s="179"/>
      <c r="AA1013" s="179"/>
    </row>
    <row r="1014" spans="1:27">
      <c r="A1014" s="181">
        <f ca="1">IFERROR(__xludf.DUMMYFUNCTION("IFS(B1014="""","""",ISDATE(B1014)=TRUE,B1014,ISDATE(B1014)=FALSE,TO_DATE(DATEVALUE(regexextract(B1014,""\d+/\d+/\d+""))))"),44776)</f>
        <v>44776</v>
      </c>
      <c r="B1014" s="182" t="s">
        <v>10176</v>
      </c>
      <c r="C1014" s="183" t="s">
        <v>158</v>
      </c>
      <c r="D1014" s="184">
        <v>3</v>
      </c>
      <c r="E1014" s="183" t="s">
        <v>3509</v>
      </c>
      <c r="F1014" s="183" t="s">
        <v>5</v>
      </c>
      <c r="G1014" s="183" t="s">
        <v>447</v>
      </c>
      <c r="H1014" s="184" t="s">
        <v>11394</v>
      </c>
      <c r="I1014" s="184">
        <v>3.5</v>
      </c>
      <c r="J1014" s="183" t="s">
        <v>476</v>
      </c>
      <c r="K1014" s="184" t="s">
        <v>11395</v>
      </c>
      <c r="L1014" s="184">
        <v>2.5</v>
      </c>
      <c r="M1014" s="184"/>
      <c r="N1014" s="186"/>
      <c r="O1014" s="183" t="s">
        <v>452</v>
      </c>
      <c r="P1014" s="183" t="s">
        <v>3512</v>
      </c>
      <c r="Q1014" s="184"/>
      <c r="R1014" s="184" t="s">
        <v>20</v>
      </c>
      <c r="S1014" s="184" t="s">
        <v>3513</v>
      </c>
      <c r="T1014" s="184"/>
      <c r="U1014" s="184"/>
      <c r="V1014" s="184"/>
      <c r="W1014" s="184"/>
      <c r="X1014" s="179"/>
      <c r="Y1014" s="179"/>
      <c r="Z1014" s="179"/>
      <c r="AA1014" s="179"/>
    </row>
    <row r="1015" spans="1:27">
      <c r="A1015" s="181">
        <f ca="1">IFERROR(__xludf.DUMMYFUNCTION("IFS(B1015="""","""",ISDATE(B1015)=TRUE,B1015,ISDATE(B1015)=FALSE,TO_DATE(DATEVALUE(regexextract(B1015,""\d+/\d+/\d+""))))"),44784)</f>
        <v>44784</v>
      </c>
      <c r="B1015" s="182" t="s">
        <v>10173</v>
      </c>
      <c r="C1015" s="183" t="s">
        <v>5809</v>
      </c>
      <c r="D1015" s="183">
        <v>3</v>
      </c>
      <c r="E1015" s="183" t="s">
        <v>11396</v>
      </c>
      <c r="F1015" s="183" t="s">
        <v>4</v>
      </c>
      <c r="G1015" s="183" t="s">
        <v>602</v>
      </c>
      <c r="H1015" s="183" t="s">
        <v>5813</v>
      </c>
      <c r="I1015" s="183">
        <v>3</v>
      </c>
      <c r="J1015" s="183" t="s">
        <v>1054</v>
      </c>
      <c r="K1015" s="183" t="s">
        <v>5814</v>
      </c>
      <c r="L1015" s="183">
        <v>3</v>
      </c>
      <c r="M1015" s="183" t="s">
        <v>451</v>
      </c>
      <c r="N1015" s="185" t="s">
        <v>5815</v>
      </c>
      <c r="O1015" s="183" t="s">
        <v>465</v>
      </c>
      <c r="P1015" s="183" t="s">
        <v>452</v>
      </c>
      <c r="Q1015" s="183"/>
      <c r="R1015" s="183" t="s">
        <v>24</v>
      </c>
      <c r="S1015" s="183"/>
      <c r="T1015" s="184"/>
      <c r="U1015" s="184"/>
      <c r="V1015" s="184"/>
      <c r="W1015" s="184"/>
      <c r="X1015" s="179"/>
      <c r="Y1015" s="179"/>
      <c r="Z1015" s="179"/>
      <c r="AA1015" s="179"/>
    </row>
    <row r="1016" spans="1:27">
      <c r="A1016" s="181">
        <f ca="1">IFERROR(__xludf.DUMMYFUNCTION("IFS(B1016="""","""",ISDATE(B1016)=TRUE,B1016,ISDATE(B1016)=FALSE,TO_DATE(DATEVALUE(regexextract(B1016,""\d+/\d+/\d+""))))"),44791)</f>
        <v>44791</v>
      </c>
      <c r="B1016" s="182" t="s">
        <v>10182</v>
      </c>
      <c r="C1016" s="183" t="s">
        <v>222</v>
      </c>
      <c r="D1016" s="184">
        <v>4</v>
      </c>
      <c r="E1016" s="183" t="s">
        <v>3922</v>
      </c>
      <c r="F1016" s="183" t="s">
        <v>4</v>
      </c>
      <c r="G1016" s="183" t="s">
        <v>727</v>
      </c>
      <c r="H1016" s="184" t="s">
        <v>11397</v>
      </c>
      <c r="I1016" s="184">
        <v>4</v>
      </c>
      <c r="J1016" s="183" t="s">
        <v>1237</v>
      </c>
      <c r="K1016" s="184"/>
      <c r="L1016" s="183">
        <v>4</v>
      </c>
      <c r="M1016" s="183" t="s">
        <v>451</v>
      </c>
      <c r="N1016" s="187">
        <v>1500000</v>
      </c>
      <c r="O1016" s="183" t="s">
        <v>452</v>
      </c>
      <c r="P1016" s="183" t="s">
        <v>3924</v>
      </c>
      <c r="Q1016" s="184"/>
      <c r="R1016" s="184" t="s">
        <v>18</v>
      </c>
      <c r="S1016" s="184"/>
      <c r="T1016" s="184"/>
      <c r="U1016" s="184"/>
      <c r="V1016" s="184"/>
      <c r="W1016" s="184"/>
      <c r="X1016" s="179"/>
      <c r="Y1016" s="179"/>
      <c r="Z1016" s="179"/>
      <c r="AA1016" s="179"/>
    </row>
    <row r="1017" spans="1:27">
      <c r="A1017" s="181">
        <f ca="1">IFERROR(__xludf.DUMMYFUNCTION("IFS(B1017="""","""",ISDATE(B1017)=TRUE,B1017,ISDATE(B1017)=FALSE,TO_DATE(DATEVALUE(regexextract(B1017,""\d+/\d+/\d+""))))"),44776)</f>
        <v>44776</v>
      </c>
      <c r="B1017" s="182" t="s">
        <v>10176</v>
      </c>
      <c r="C1017" s="183" t="s">
        <v>7110</v>
      </c>
      <c r="D1017" s="183">
        <v>2</v>
      </c>
      <c r="E1017" s="183" t="s">
        <v>7113</v>
      </c>
      <c r="F1017" s="183" t="s">
        <v>4</v>
      </c>
      <c r="G1017" s="183" t="s">
        <v>602</v>
      </c>
      <c r="H1017" s="183" t="s">
        <v>11398</v>
      </c>
      <c r="I1017" s="183">
        <v>2</v>
      </c>
      <c r="J1017" s="183" t="s">
        <v>727</v>
      </c>
      <c r="K1017" s="183" t="s">
        <v>7115</v>
      </c>
      <c r="L1017" s="183">
        <v>2</v>
      </c>
      <c r="M1017" s="183" t="s">
        <v>784</v>
      </c>
      <c r="N1017" s="185">
        <v>1000000</v>
      </c>
      <c r="O1017" s="183" t="s">
        <v>465</v>
      </c>
      <c r="P1017" s="183" t="s">
        <v>7116</v>
      </c>
      <c r="Q1017" s="184"/>
      <c r="R1017" s="183" t="s">
        <v>24</v>
      </c>
      <c r="S1017" s="183"/>
      <c r="T1017" s="184"/>
      <c r="U1017" s="184"/>
      <c r="V1017" s="184"/>
      <c r="W1017" s="184"/>
      <c r="X1017" s="179"/>
      <c r="Y1017" s="179"/>
      <c r="Z1017" s="179"/>
      <c r="AA1017" s="179"/>
    </row>
    <row r="1018" spans="1:27">
      <c r="A1018" s="181">
        <f ca="1">IFERROR(__xludf.DUMMYFUNCTION("IFS(B1018="""","""",ISDATE(B1018)=TRUE,B1018,ISDATE(B1018)=FALSE,TO_DATE(DATEVALUE(regexextract(B1018,""\d+/\d+/\d+""))))"),44776)</f>
        <v>44776</v>
      </c>
      <c r="B1018" s="182" t="s">
        <v>10176</v>
      </c>
      <c r="C1018" s="183" t="s">
        <v>108</v>
      </c>
      <c r="D1018" s="183">
        <v>5</v>
      </c>
      <c r="E1018" s="183" t="s">
        <v>791</v>
      </c>
      <c r="F1018" s="183" t="s">
        <v>5</v>
      </c>
      <c r="G1018" s="183" t="s">
        <v>447</v>
      </c>
      <c r="H1018" s="184" t="s">
        <v>792</v>
      </c>
      <c r="I1018" s="183">
        <v>5</v>
      </c>
      <c r="J1018" s="183" t="s">
        <v>543</v>
      </c>
      <c r="K1018" s="184" t="s">
        <v>11399</v>
      </c>
      <c r="L1018" s="183">
        <v>5</v>
      </c>
      <c r="M1018" s="184" t="s">
        <v>478</v>
      </c>
      <c r="N1018" s="190">
        <v>30000000</v>
      </c>
      <c r="O1018" s="183" t="s">
        <v>452</v>
      </c>
      <c r="P1018" s="183" t="s">
        <v>794</v>
      </c>
      <c r="Q1018" s="184"/>
      <c r="R1018" s="183" t="s">
        <v>18</v>
      </c>
      <c r="S1018" s="184"/>
      <c r="T1018" s="184"/>
      <c r="U1018" s="184"/>
      <c r="V1018" s="184"/>
      <c r="W1018" s="184"/>
      <c r="X1018" s="179"/>
      <c r="Y1018" s="179"/>
      <c r="Z1018" s="179"/>
      <c r="AA1018" s="179"/>
    </row>
    <row r="1019" spans="1:27">
      <c r="A1019" s="181">
        <f ca="1">IFERROR(__xludf.DUMMYFUNCTION("IFS(B1019="""","""",ISDATE(B1019)=TRUE,B1019,ISDATE(B1019)=FALSE,TO_DATE(DATEVALUE(regexextract(B1019,""\d+/\d+/\d+""))))"),44776)</f>
        <v>44776</v>
      </c>
      <c r="B1019" s="182" t="s">
        <v>10176</v>
      </c>
      <c r="C1019" s="183" t="s">
        <v>3596</v>
      </c>
      <c r="D1019" s="183">
        <v>2</v>
      </c>
      <c r="E1019" s="183" t="s">
        <v>3599</v>
      </c>
      <c r="F1019" s="183" t="s">
        <v>5</v>
      </c>
      <c r="G1019" s="183" t="s">
        <v>447</v>
      </c>
      <c r="H1019" s="183" t="s">
        <v>11400</v>
      </c>
      <c r="I1019" s="183">
        <v>2</v>
      </c>
      <c r="J1019" s="183" t="s">
        <v>602</v>
      </c>
      <c r="K1019" s="184" t="s">
        <v>11401</v>
      </c>
      <c r="L1019" s="183">
        <v>2</v>
      </c>
      <c r="M1019" s="183" t="s">
        <v>451</v>
      </c>
      <c r="N1019" s="185">
        <v>1500000</v>
      </c>
      <c r="O1019" s="183" t="s">
        <v>452</v>
      </c>
      <c r="P1019" s="183" t="s">
        <v>3602</v>
      </c>
      <c r="Q1019" s="184"/>
      <c r="R1019" s="183" t="s">
        <v>24</v>
      </c>
      <c r="S1019" s="184"/>
      <c r="T1019" s="184"/>
      <c r="U1019" s="184"/>
      <c r="V1019" s="184"/>
      <c r="W1019" s="184"/>
      <c r="X1019" s="179"/>
      <c r="Y1019" s="179"/>
      <c r="Z1019" s="179"/>
      <c r="AA1019" s="179"/>
    </row>
    <row r="1020" spans="1:27">
      <c r="A1020" s="181">
        <f ca="1">IFERROR(__xludf.DUMMYFUNCTION("IFS(B1020="""","""",ISDATE(B1020)=TRUE,B1020,ISDATE(B1020)=FALSE,TO_DATE(DATEVALUE(regexextract(B1020,""\d+/\d+/\d+""))))"),44776)</f>
        <v>44776</v>
      </c>
      <c r="B1020" s="182" t="s">
        <v>10176</v>
      </c>
      <c r="C1020" s="183" t="s">
        <v>7566</v>
      </c>
      <c r="D1020" s="183">
        <v>2</v>
      </c>
      <c r="E1020" s="183" t="s">
        <v>7569</v>
      </c>
      <c r="F1020" s="183" t="s">
        <v>4</v>
      </c>
      <c r="G1020" s="183" t="s">
        <v>602</v>
      </c>
      <c r="H1020" s="183" t="s">
        <v>7570</v>
      </c>
      <c r="I1020" s="183">
        <v>2</v>
      </c>
      <c r="J1020" s="183" t="s">
        <v>727</v>
      </c>
      <c r="K1020" s="183" t="s">
        <v>7571</v>
      </c>
      <c r="L1020" s="183">
        <v>2</v>
      </c>
      <c r="M1020" s="183" t="s">
        <v>451</v>
      </c>
      <c r="N1020" s="187">
        <v>400000</v>
      </c>
      <c r="O1020" s="183" t="s">
        <v>452</v>
      </c>
      <c r="P1020" s="183" t="s">
        <v>7572</v>
      </c>
      <c r="Q1020" s="184"/>
      <c r="R1020" s="183" t="s">
        <v>24</v>
      </c>
      <c r="S1020" s="184"/>
      <c r="T1020" s="184"/>
      <c r="U1020" s="184"/>
      <c r="V1020" s="184"/>
      <c r="W1020" s="184"/>
      <c r="X1020" s="179"/>
      <c r="Y1020" s="179"/>
      <c r="Z1020" s="179"/>
      <c r="AA1020" s="179"/>
    </row>
    <row r="1021" spans="1:27">
      <c r="A1021" s="181">
        <f ca="1">IFERROR(__xludf.DUMMYFUNCTION("IFS(B1021="""","""",ISDATE(B1021)=TRUE,B1021,ISDATE(B1021)=FALSE,TO_DATE(DATEVALUE(regexextract(B1021,""\d+/\d+/\d+""))))"),44776)</f>
        <v>44776</v>
      </c>
      <c r="B1021" s="182" t="s">
        <v>10176</v>
      </c>
      <c r="C1021" s="183" t="s">
        <v>5607</v>
      </c>
      <c r="D1021" s="183">
        <v>3</v>
      </c>
      <c r="E1021" s="183" t="s">
        <v>5610</v>
      </c>
      <c r="F1021" s="183" t="s">
        <v>4</v>
      </c>
      <c r="G1021" s="183" t="s">
        <v>602</v>
      </c>
      <c r="H1021" s="183" t="s">
        <v>11402</v>
      </c>
      <c r="I1021" s="183">
        <v>3</v>
      </c>
      <c r="J1021" s="183" t="s">
        <v>1054</v>
      </c>
      <c r="K1021" s="183" t="s">
        <v>5612</v>
      </c>
      <c r="L1021" s="183">
        <v>3</v>
      </c>
      <c r="M1021" s="183"/>
      <c r="N1021" s="187"/>
      <c r="O1021" s="183" t="s">
        <v>454</v>
      </c>
      <c r="P1021" s="183" t="s">
        <v>5613</v>
      </c>
      <c r="Q1021" s="184"/>
      <c r="R1021" s="183" t="s">
        <v>24</v>
      </c>
      <c r="S1021" s="184"/>
      <c r="T1021" s="184"/>
      <c r="U1021" s="184"/>
      <c r="V1021" s="184"/>
      <c r="W1021" s="184"/>
      <c r="X1021" s="179"/>
      <c r="Y1021" s="179"/>
      <c r="Z1021" s="179"/>
      <c r="AA1021" s="179"/>
    </row>
    <row r="1022" spans="1:27">
      <c r="A1022" s="181">
        <f ca="1">IFERROR(__xludf.DUMMYFUNCTION("IFS(B1022="""","""",ISDATE(B1022)=TRUE,B1022,ISDATE(B1022)=FALSE,TO_DATE(DATEVALUE(regexextract(B1022,""\d+/\d+/\d+""))))"),44776)</f>
        <v>44776</v>
      </c>
      <c r="B1022" s="182" t="s">
        <v>10176</v>
      </c>
      <c r="C1022" s="183" t="s">
        <v>7001</v>
      </c>
      <c r="D1022" s="183">
        <v>2</v>
      </c>
      <c r="E1022" s="183" t="s">
        <v>7004</v>
      </c>
      <c r="F1022" s="183" t="s">
        <v>4</v>
      </c>
      <c r="G1022" s="183" t="s">
        <v>727</v>
      </c>
      <c r="H1022" s="183" t="s">
        <v>7005</v>
      </c>
      <c r="I1022" s="183">
        <v>2</v>
      </c>
      <c r="J1022" s="183" t="s">
        <v>1054</v>
      </c>
      <c r="K1022" s="183"/>
      <c r="L1022" s="183">
        <v>2</v>
      </c>
      <c r="M1022" s="184" t="s">
        <v>784</v>
      </c>
      <c r="N1022" s="186">
        <v>2500000</v>
      </c>
      <c r="O1022" s="183" t="s">
        <v>452</v>
      </c>
      <c r="P1022" s="183" t="s">
        <v>7006</v>
      </c>
      <c r="Q1022" s="184"/>
      <c r="R1022" s="183" t="s">
        <v>24</v>
      </c>
      <c r="S1022" s="184"/>
      <c r="T1022" s="184"/>
      <c r="U1022" s="184"/>
      <c r="V1022" s="184"/>
      <c r="W1022" s="184"/>
      <c r="X1022" s="179"/>
      <c r="Y1022" s="179"/>
      <c r="Z1022" s="179"/>
      <c r="AA1022" s="179"/>
    </row>
    <row r="1023" spans="1:27">
      <c r="A1023" s="181">
        <f ca="1">IFERROR(__xludf.DUMMYFUNCTION("IFS(B1023="""","""",ISDATE(B1023)=TRUE,B1023,ISDATE(B1023)=FALSE,TO_DATE(DATEVALUE(regexextract(B1023,""\d+/\d+/\d+""))))"),44784)</f>
        <v>44784</v>
      </c>
      <c r="B1023" s="182" t="s">
        <v>10173</v>
      </c>
      <c r="C1023" s="183" t="s">
        <v>370</v>
      </c>
      <c r="D1023" s="184">
        <v>3.75</v>
      </c>
      <c r="E1023" s="183" t="s">
        <v>2084</v>
      </c>
      <c r="F1023" s="183" t="s">
        <v>3</v>
      </c>
      <c r="G1023" s="183" t="s">
        <v>460</v>
      </c>
      <c r="H1023" s="183" t="s">
        <v>11403</v>
      </c>
      <c r="I1023" s="183">
        <v>4</v>
      </c>
      <c r="J1023" s="183" t="s">
        <v>941</v>
      </c>
      <c r="K1023" s="184" t="s">
        <v>2086</v>
      </c>
      <c r="L1023" s="184">
        <v>3.5</v>
      </c>
      <c r="M1023" s="183" t="s">
        <v>451</v>
      </c>
      <c r="N1023" s="183">
        <v>7500000</v>
      </c>
      <c r="O1023" s="183" t="s">
        <v>465</v>
      </c>
      <c r="P1023" s="183" t="s">
        <v>452</v>
      </c>
      <c r="Q1023" s="184"/>
      <c r="R1023" s="184" t="s">
        <v>20</v>
      </c>
      <c r="S1023" s="184" t="s">
        <v>2087</v>
      </c>
      <c r="T1023" s="184"/>
      <c r="U1023" s="184"/>
      <c r="V1023" s="184"/>
      <c r="W1023" s="184"/>
      <c r="X1023" s="179"/>
      <c r="Y1023" s="179"/>
      <c r="Z1023" s="179"/>
      <c r="AA1023" s="179"/>
    </row>
    <row r="1024" spans="1:27">
      <c r="A1024" s="181">
        <f ca="1">IFERROR(__xludf.DUMMYFUNCTION("IFS(B1024="""","""",ISDATE(B1024)=TRUE,B1024,ISDATE(B1024)=FALSE,TO_DATE(DATEVALUE(regexextract(B1024,""\d+/\d+/\d+""))))"),44776)</f>
        <v>44776</v>
      </c>
      <c r="B1024" s="189" t="s">
        <v>10176</v>
      </c>
      <c r="C1024" s="183" t="s">
        <v>3124</v>
      </c>
      <c r="D1024" s="183">
        <v>3</v>
      </c>
      <c r="E1024" s="183" t="s">
        <v>3127</v>
      </c>
      <c r="F1024" s="183" t="s">
        <v>5</v>
      </c>
      <c r="G1024" s="183" t="s">
        <v>447</v>
      </c>
      <c r="H1024" s="183" t="s">
        <v>3128</v>
      </c>
      <c r="I1024" s="183">
        <v>3</v>
      </c>
      <c r="J1024" s="183" t="s">
        <v>449</v>
      </c>
      <c r="K1024" s="184" t="s">
        <v>11404</v>
      </c>
      <c r="L1024" s="183">
        <v>3</v>
      </c>
      <c r="M1024" s="183"/>
      <c r="N1024" s="187"/>
      <c r="O1024" s="183" t="s">
        <v>452</v>
      </c>
      <c r="P1024" s="183" t="s">
        <v>3130</v>
      </c>
      <c r="Q1024" s="184"/>
      <c r="R1024" s="183" t="s">
        <v>24</v>
      </c>
      <c r="S1024" s="184" t="s">
        <v>3131</v>
      </c>
      <c r="T1024" s="184"/>
      <c r="U1024" s="184"/>
      <c r="V1024" s="184"/>
      <c r="W1024" s="184"/>
      <c r="X1024" s="179"/>
      <c r="Y1024" s="179"/>
      <c r="Z1024" s="179"/>
      <c r="AA1024" s="179"/>
    </row>
    <row r="1025" spans="1:27">
      <c r="A1025" s="181">
        <f ca="1">IFERROR(__xludf.DUMMYFUNCTION("IFS(B1025="""","""",ISDATE(B1025)=TRUE,B1025,ISDATE(B1025)=FALSE,TO_DATE(DATEVALUE(regexextract(B1025,""\d+/\d+/\d+""))))"),44782)</f>
        <v>44782</v>
      </c>
      <c r="B1025" s="182" t="s">
        <v>10188</v>
      </c>
      <c r="C1025" s="183" t="s">
        <v>308</v>
      </c>
      <c r="D1025" s="183">
        <v>3</v>
      </c>
      <c r="E1025" s="183" t="s">
        <v>11405</v>
      </c>
      <c r="F1025" s="183" t="s">
        <v>3</v>
      </c>
      <c r="G1025" s="183" t="s">
        <v>460</v>
      </c>
      <c r="H1025" s="183" t="s">
        <v>9653</v>
      </c>
      <c r="I1025" s="183">
        <v>3</v>
      </c>
      <c r="J1025" s="183" t="s">
        <v>462</v>
      </c>
      <c r="K1025" s="183" t="s">
        <v>9654</v>
      </c>
      <c r="L1025" s="183">
        <v>3</v>
      </c>
      <c r="M1025" s="184"/>
      <c r="N1025" s="190">
        <v>1000000</v>
      </c>
      <c r="O1025" s="183" t="s">
        <v>452</v>
      </c>
      <c r="P1025" s="191" t="s">
        <v>452</v>
      </c>
      <c r="Q1025" s="184" t="s">
        <v>9655</v>
      </c>
      <c r="R1025" s="183" t="s">
        <v>20</v>
      </c>
      <c r="S1025" s="183" t="s">
        <v>9656</v>
      </c>
      <c r="T1025" s="184"/>
      <c r="U1025" s="184"/>
      <c r="V1025" s="184"/>
      <c r="W1025" s="184"/>
      <c r="X1025" s="179"/>
      <c r="Y1025" s="179"/>
      <c r="Z1025" s="179"/>
      <c r="AA1025" s="179"/>
    </row>
    <row r="1026" spans="1:27">
      <c r="A1026" s="181">
        <f ca="1">IFERROR(__xludf.DUMMYFUNCTION("IFS(B1026="""","""",ISDATE(B1026)=TRUE,B1026,ISDATE(B1026)=FALSE,TO_DATE(DATEVALUE(regexextract(B1026,""\d+/\d+/\d+""))))"),44782)</f>
        <v>44782</v>
      </c>
      <c r="B1026" s="182" t="s">
        <v>10188</v>
      </c>
      <c r="C1026" s="183" t="s">
        <v>280</v>
      </c>
      <c r="D1026" s="184">
        <v>3.75</v>
      </c>
      <c r="E1026" s="183" t="s">
        <v>9516</v>
      </c>
      <c r="F1026" s="183" t="s">
        <v>4</v>
      </c>
      <c r="G1026" s="183" t="s">
        <v>727</v>
      </c>
      <c r="H1026" s="184" t="s">
        <v>11406</v>
      </c>
      <c r="I1026" s="184">
        <v>4.5</v>
      </c>
      <c r="J1026" s="183" t="s">
        <v>476</v>
      </c>
      <c r="K1026" s="184" t="s">
        <v>9518</v>
      </c>
      <c r="L1026" s="183">
        <v>3</v>
      </c>
      <c r="M1026" s="183" t="s">
        <v>784</v>
      </c>
      <c r="N1026" s="187">
        <v>250000</v>
      </c>
      <c r="O1026" s="183" t="s">
        <v>454</v>
      </c>
      <c r="P1026" s="183" t="s">
        <v>9519</v>
      </c>
      <c r="Q1026" s="184" t="s">
        <v>9520</v>
      </c>
      <c r="R1026" s="184" t="s">
        <v>20</v>
      </c>
      <c r="S1026" s="184" t="s">
        <v>9521</v>
      </c>
      <c r="T1026" s="184"/>
      <c r="U1026" s="184"/>
      <c r="V1026" s="184"/>
      <c r="W1026" s="184"/>
      <c r="X1026" s="179"/>
      <c r="Y1026" s="179"/>
      <c r="Z1026" s="179"/>
      <c r="AA1026" s="179"/>
    </row>
    <row r="1027" spans="1:27">
      <c r="A1027" s="181">
        <f ca="1">IFERROR(__xludf.DUMMYFUNCTION("IFS(B1027="""","""",ISDATE(B1027)=TRUE,B1027,ISDATE(B1027)=FALSE,TO_DATE(DATEVALUE(regexextract(B1027,""\d+/\d+/\d+""))))"),44782)</f>
        <v>44782</v>
      </c>
      <c r="B1027" s="182" t="s">
        <v>10188</v>
      </c>
      <c r="C1027" s="183" t="s">
        <v>8448</v>
      </c>
      <c r="D1027" s="184">
        <v>1</v>
      </c>
      <c r="E1027" s="183" t="s">
        <v>8451</v>
      </c>
      <c r="F1027" s="183" t="s">
        <v>3</v>
      </c>
      <c r="G1027" s="183" t="s">
        <v>460</v>
      </c>
      <c r="H1027" s="184" t="s">
        <v>8452</v>
      </c>
      <c r="I1027" s="184">
        <v>1</v>
      </c>
      <c r="J1027" s="183" t="s">
        <v>488</v>
      </c>
      <c r="K1027" s="184"/>
      <c r="L1027" s="183">
        <v>1</v>
      </c>
      <c r="M1027" s="184" t="s">
        <v>8453</v>
      </c>
      <c r="N1027" s="186" t="s">
        <v>8454</v>
      </c>
      <c r="O1027" s="183" t="s">
        <v>465</v>
      </c>
      <c r="P1027" s="183" t="s">
        <v>8455</v>
      </c>
      <c r="Q1027" s="184"/>
      <c r="R1027" s="184" t="s">
        <v>24</v>
      </c>
      <c r="S1027" s="184"/>
      <c r="T1027" s="184"/>
      <c r="U1027" s="184"/>
      <c r="V1027" s="184"/>
      <c r="W1027" s="184"/>
      <c r="X1027" s="179"/>
      <c r="Y1027" s="179"/>
      <c r="Z1027" s="179"/>
      <c r="AA1027" s="179"/>
    </row>
    <row r="1028" spans="1:27">
      <c r="A1028" s="181">
        <f ca="1">IFERROR(__xludf.DUMMYFUNCTION("IFS(B1028="""","""",ISDATE(B1028)=TRUE,B1028,ISDATE(B1028)=FALSE,TO_DATE(DATEVALUE(regexextract(B1028,""\d+/\d+/\d+""))))"),44776)</f>
        <v>44776</v>
      </c>
      <c r="B1028" s="182" t="s">
        <v>10176</v>
      </c>
      <c r="C1028" s="183" t="s">
        <v>5857</v>
      </c>
      <c r="D1028" s="184">
        <v>2.75</v>
      </c>
      <c r="E1028" s="183" t="s">
        <v>5860</v>
      </c>
      <c r="F1028" s="183" t="s">
        <v>4</v>
      </c>
      <c r="G1028" s="183" t="s">
        <v>602</v>
      </c>
      <c r="H1028" s="184" t="s">
        <v>11407</v>
      </c>
      <c r="I1028" s="184">
        <v>3</v>
      </c>
      <c r="J1028" s="183" t="s">
        <v>727</v>
      </c>
      <c r="K1028" s="183" t="s">
        <v>5862</v>
      </c>
      <c r="L1028" s="183">
        <v>2.5</v>
      </c>
      <c r="M1028" s="183"/>
      <c r="N1028" s="185"/>
      <c r="O1028" s="183" t="s">
        <v>452</v>
      </c>
      <c r="P1028" s="183" t="s">
        <v>5863</v>
      </c>
      <c r="Q1028" s="184"/>
      <c r="R1028" s="184" t="s">
        <v>24</v>
      </c>
      <c r="S1028" s="184" t="s">
        <v>5864</v>
      </c>
      <c r="T1028" s="184"/>
      <c r="U1028" s="184"/>
      <c r="V1028" s="184"/>
      <c r="W1028" s="184"/>
      <c r="X1028" s="179"/>
      <c r="Y1028" s="179"/>
      <c r="Z1028" s="179"/>
      <c r="AA1028" s="179"/>
    </row>
    <row r="1029" spans="1:27">
      <c r="A1029" s="181">
        <f ca="1">IFERROR(__xludf.DUMMYFUNCTION("IFS(B1029="""","""",ISDATE(B1029)=TRUE,B1029,ISDATE(B1029)=FALSE,TO_DATE(DATEVALUE(regexextract(B1029,""\d+/\d+/\d+""))))"),44782)</f>
        <v>44782</v>
      </c>
      <c r="B1029" s="182" t="s">
        <v>10188</v>
      </c>
      <c r="C1029" s="183" t="s">
        <v>208</v>
      </c>
      <c r="D1029" s="184">
        <v>4</v>
      </c>
      <c r="E1029" s="183" t="s">
        <v>3843</v>
      </c>
      <c r="F1029" s="183" t="s">
        <v>4</v>
      </c>
      <c r="G1029" s="183" t="s">
        <v>602</v>
      </c>
      <c r="H1029" s="184" t="s">
        <v>3844</v>
      </c>
      <c r="I1029" s="184">
        <v>4</v>
      </c>
      <c r="J1029" s="183" t="s">
        <v>1054</v>
      </c>
      <c r="K1029" s="183" t="s">
        <v>3845</v>
      </c>
      <c r="L1029" s="183">
        <v>4</v>
      </c>
      <c r="M1029" s="183" t="s">
        <v>451</v>
      </c>
      <c r="N1029" s="185">
        <v>2000000</v>
      </c>
      <c r="O1029" s="183" t="s">
        <v>452</v>
      </c>
      <c r="P1029" s="183" t="s">
        <v>3846</v>
      </c>
      <c r="Q1029" s="184" t="s">
        <v>727</v>
      </c>
      <c r="R1029" s="184" t="s">
        <v>18</v>
      </c>
      <c r="S1029" s="184" t="s">
        <v>3847</v>
      </c>
      <c r="T1029" s="184"/>
      <c r="U1029" s="184"/>
      <c r="V1029" s="184"/>
      <c r="W1029" s="184"/>
      <c r="X1029" s="179"/>
      <c r="Y1029" s="179"/>
      <c r="Z1029" s="179"/>
      <c r="AA1029" s="179"/>
    </row>
    <row r="1030" spans="1:27">
      <c r="A1030" s="181">
        <f ca="1">IFERROR(__xludf.DUMMYFUNCTION("IFS(B1030="""","""",ISDATE(B1030)=TRUE,B1030,ISDATE(B1030)=FALSE,TO_DATE(DATEVALUE(regexextract(B1030,""\d+/\d+/\d+""))))"),44789)</f>
        <v>44789</v>
      </c>
      <c r="B1030" s="189" t="s">
        <v>6450</v>
      </c>
      <c r="C1030" s="183" t="s">
        <v>6451</v>
      </c>
      <c r="D1030" s="183">
        <v>2.5</v>
      </c>
      <c r="E1030" s="183" t="s">
        <v>6454</v>
      </c>
      <c r="F1030" s="183" t="s">
        <v>4</v>
      </c>
      <c r="G1030" s="183" t="s">
        <v>727</v>
      </c>
      <c r="H1030" s="183" t="s">
        <v>6455</v>
      </c>
      <c r="I1030" s="183">
        <v>2.5</v>
      </c>
      <c r="J1030" s="183" t="s">
        <v>1045</v>
      </c>
      <c r="K1030" s="183" t="s">
        <v>6456</v>
      </c>
      <c r="L1030" s="183">
        <v>2.5</v>
      </c>
      <c r="M1030" s="183" t="s">
        <v>784</v>
      </c>
      <c r="N1030" s="185">
        <v>1200000</v>
      </c>
      <c r="O1030" s="183" t="s">
        <v>452</v>
      </c>
      <c r="P1030" s="183" t="s">
        <v>1119</v>
      </c>
      <c r="Q1030" s="183"/>
      <c r="R1030" s="183" t="s">
        <v>24</v>
      </c>
      <c r="S1030" s="183"/>
      <c r="T1030" s="184"/>
      <c r="U1030" s="184"/>
      <c r="V1030" s="184"/>
      <c r="W1030" s="184"/>
      <c r="X1030" s="179"/>
      <c r="Y1030" s="179"/>
      <c r="Z1030" s="179"/>
      <c r="AA1030" s="179"/>
    </row>
    <row r="1031" spans="1:27">
      <c r="A1031" s="181">
        <f ca="1">IFERROR(__xludf.DUMMYFUNCTION("IFS(B1031="""","""",ISDATE(B1031)=TRUE,B1031,ISDATE(B1031)=FALSE,TO_DATE(DATEVALUE(regexextract(B1031,""\d+/\d+/\d+""))))"),44782)</f>
        <v>44782</v>
      </c>
      <c r="B1031" s="182" t="s">
        <v>10188</v>
      </c>
      <c r="C1031" s="183" t="s">
        <v>7918</v>
      </c>
      <c r="D1031" s="184">
        <v>1.5</v>
      </c>
      <c r="E1031" s="183" t="s">
        <v>7921</v>
      </c>
      <c r="F1031" s="183" t="s">
        <v>4</v>
      </c>
      <c r="G1031" s="183" t="s">
        <v>602</v>
      </c>
      <c r="H1031" s="184" t="s">
        <v>7922</v>
      </c>
      <c r="I1031" s="184">
        <v>2</v>
      </c>
      <c r="J1031" s="183" t="s">
        <v>1054</v>
      </c>
      <c r="K1031" s="184" t="s">
        <v>7923</v>
      </c>
      <c r="L1031" s="184">
        <v>1</v>
      </c>
      <c r="M1031" s="184" t="s">
        <v>451</v>
      </c>
      <c r="N1031" s="188">
        <v>3000000</v>
      </c>
      <c r="O1031" s="183" t="s">
        <v>465</v>
      </c>
      <c r="P1031" s="183" t="s">
        <v>452</v>
      </c>
      <c r="Q1031" s="184"/>
      <c r="R1031" s="184" t="s">
        <v>24</v>
      </c>
      <c r="S1031" s="184"/>
      <c r="T1031" s="184"/>
      <c r="U1031" s="184"/>
      <c r="V1031" s="184"/>
      <c r="W1031" s="184"/>
      <c r="X1031" s="179"/>
      <c r="Y1031" s="179"/>
      <c r="Z1031" s="179"/>
      <c r="AA1031" s="179"/>
    </row>
    <row r="1032" spans="1:27">
      <c r="A1032" s="181">
        <f ca="1">IFERROR(__xludf.DUMMYFUNCTION("IFS(B1032="""","""",ISDATE(B1032)=TRUE,B1032,ISDATE(B1032)=FALSE,TO_DATE(DATEVALUE(regexextract(B1032,""\d+/\d+/\d+""))))"),44776)</f>
        <v>44776</v>
      </c>
      <c r="B1032" s="182" t="s">
        <v>10176</v>
      </c>
      <c r="C1032" s="183" t="s">
        <v>190</v>
      </c>
      <c r="D1032" s="183">
        <v>4</v>
      </c>
      <c r="E1032" s="183" t="s">
        <v>3769</v>
      </c>
      <c r="F1032" s="183" t="s">
        <v>4</v>
      </c>
      <c r="G1032" s="183" t="s">
        <v>602</v>
      </c>
      <c r="H1032" s="183" t="s">
        <v>11408</v>
      </c>
      <c r="I1032" s="183">
        <v>4</v>
      </c>
      <c r="J1032" s="183" t="s">
        <v>1054</v>
      </c>
      <c r="K1032" s="183" t="s">
        <v>3771</v>
      </c>
      <c r="L1032" s="183">
        <v>4</v>
      </c>
      <c r="M1032" s="183" t="s">
        <v>451</v>
      </c>
      <c r="N1032" s="187" t="s">
        <v>3473</v>
      </c>
      <c r="O1032" s="183" t="s">
        <v>454</v>
      </c>
      <c r="P1032" s="183" t="s">
        <v>3772</v>
      </c>
      <c r="Q1032" s="183" t="s">
        <v>3773</v>
      </c>
      <c r="R1032" s="183" t="s">
        <v>20</v>
      </c>
      <c r="S1032" s="184" t="s">
        <v>3774</v>
      </c>
      <c r="T1032" s="184"/>
      <c r="U1032" s="184"/>
      <c r="V1032" s="184"/>
      <c r="W1032" s="184"/>
      <c r="X1032" s="179"/>
      <c r="Y1032" s="179"/>
      <c r="Z1032" s="179"/>
      <c r="AA1032" s="179"/>
    </row>
    <row r="1033" spans="1:27">
      <c r="A1033" s="181">
        <f ca="1">IFERROR(__xludf.DUMMYFUNCTION("IFS(B1033="""","""",ISDATE(B1033)=TRUE,B1033,ISDATE(B1033)=FALSE,TO_DATE(DATEVALUE(regexextract(B1033,""\d+/\d+/\d+""))))"),44776)</f>
        <v>44776</v>
      </c>
      <c r="B1033" s="182" t="s">
        <v>10176</v>
      </c>
      <c r="C1033" s="183" t="s">
        <v>11409</v>
      </c>
      <c r="D1033" s="183">
        <v>1</v>
      </c>
      <c r="E1033" s="183" t="s">
        <v>11410</v>
      </c>
      <c r="F1033" s="183" t="s">
        <v>3</v>
      </c>
      <c r="G1033" s="183" t="s">
        <v>460</v>
      </c>
      <c r="H1033" s="183"/>
      <c r="I1033" s="183">
        <v>1</v>
      </c>
      <c r="J1033" s="183" t="s">
        <v>462</v>
      </c>
      <c r="K1033" s="183" t="s">
        <v>8900</v>
      </c>
      <c r="L1033" s="183">
        <v>1</v>
      </c>
      <c r="M1033" s="183" t="s">
        <v>451</v>
      </c>
      <c r="N1033" s="185">
        <v>3250000</v>
      </c>
      <c r="O1033" s="183" t="s">
        <v>465</v>
      </c>
      <c r="P1033" s="183" t="s">
        <v>452</v>
      </c>
      <c r="Q1033" s="184"/>
      <c r="R1033" s="183" t="s">
        <v>24</v>
      </c>
      <c r="S1033" s="184"/>
      <c r="T1033" s="184"/>
      <c r="U1033" s="184"/>
      <c r="V1033" s="184"/>
      <c r="W1033" s="184"/>
      <c r="X1033" s="179"/>
      <c r="Y1033" s="179"/>
      <c r="Z1033" s="179"/>
      <c r="AA1033" s="179"/>
    </row>
    <row r="1034" spans="1:27">
      <c r="A1034" s="181">
        <f ca="1">IFERROR(__xludf.DUMMYFUNCTION("IFS(B1034="""","""",ISDATE(B1034)=TRUE,B1034,ISDATE(B1034)=FALSE,TO_DATE(DATEVALUE(regexextract(B1034,""\d+/\d+/\d+""))))"),44776)</f>
        <v>44776</v>
      </c>
      <c r="B1034" s="182" t="s">
        <v>10176</v>
      </c>
      <c r="C1034" s="183" t="s">
        <v>395</v>
      </c>
      <c r="D1034" s="184">
        <v>4</v>
      </c>
      <c r="E1034" s="183" t="s">
        <v>10098</v>
      </c>
      <c r="F1034" s="183" t="s">
        <v>3</v>
      </c>
      <c r="G1034" s="183" t="s">
        <v>460</v>
      </c>
      <c r="H1034" s="184" t="s">
        <v>10099</v>
      </c>
      <c r="I1034" s="184">
        <v>4</v>
      </c>
      <c r="J1034" s="183" t="s">
        <v>488</v>
      </c>
      <c r="K1034" s="184" t="s">
        <v>11411</v>
      </c>
      <c r="L1034" s="184">
        <v>4</v>
      </c>
      <c r="M1034" s="184" t="s">
        <v>451</v>
      </c>
      <c r="N1034" s="188" t="s">
        <v>10101</v>
      </c>
      <c r="O1034" s="183" t="s">
        <v>452</v>
      </c>
      <c r="P1034" s="183" t="s">
        <v>11412</v>
      </c>
      <c r="Q1034" s="183" t="s">
        <v>10103</v>
      </c>
      <c r="R1034" s="184" t="s">
        <v>18</v>
      </c>
      <c r="S1034" s="184"/>
      <c r="T1034" s="184"/>
      <c r="U1034" s="184"/>
      <c r="V1034" s="184"/>
      <c r="W1034" s="184"/>
      <c r="X1034" s="179"/>
      <c r="Y1034" s="179"/>
      <c r="Z1034" s="179"/>
      <c r="AA1034" s="179"/>
    </row>
    <row r="1035" spans="1:27">
      <c r="A1035" s="181">
        <f ca="1">IFERROR(__xludf.DUMMYFUNCTION("IFS(B1035="""","""",ISDATE(B1035)=TRUE,B1035,ISDATE(B1035)=FALSE,TO_DATE(DATEVALUE(regexextract(B1035,""\d+/\d+/\d+""))))"),44776)</f>
        <v>44776</v>
      </c>
      <c r="B1035" s="182" t="s">
        <v>10176</v>
      </c>
      <c r="C1035" s="183" t="s">
        <v>2814</v>
      </c>
      <c r="D1035" s="183">
        <v>2.5</v>
      </c>
      <c r="E1035" s="183" t="s">
        <v>2817</v>
      </c>
      <c r="F1035" s="183" t="s">
        <v>5</v>
      </c>
      <c r="G1035" s="183" t="s">
        <v>460</v>
      </c>
      <c r="H1035" s="183" t="s">
        <v>2818</v>
      </c>
      <c r="I1035" s="183">
        <v>2</v>
      </c>
      <c r="J1035" s="183" t="s">
        <v>488</v>
      </c>
      <c r="K1035" s="184" t="s">
        <v>2819</v>
      </c>
      <c r="L1035" s="183">
        <v>3</v>
      </c>
      <c r="M1035" s="184"/>
      <c r="N1035" s="188"/>
      <c r="O1035" s="183" t="s">
        <v>452</v>
      </c>
      <c r="P1035" s="183" t="s">
        <v>2820</v>
      </c>
      <c r="Q1035" s="184"/>
      <c r="R1035" s="183" t="s">
        <v>24</v>
      </c>
      <c r="S1035" s="184" t="s">
        <v>2821</v>
      </c>
      <c r="T1035" s="184"/>
      <c r="U1035" s="184"/>
      <c r="V1035" s="184"/>
      <c r="W1035" s="184"/>
      <c r="X1035" s="179"/>
      <c r="Y1035" s="179"/>
      <c r="Z1035" s="179"/>
      <c r="AA1035" s="179"/>
    </row>
    <row r="1036" spans="1:27">
      <c r="A1036" s="181">
        <f ca="1">IFERROR(__xludf.DUMMYFUNCTION("IFS(B1036="""","""",ISDATE(B1036)=TRUE,B1036,ISDATE(B1036)=FALSE,TO_DATE(DATEVALUE(regexextract(B1036,""\d+/\d+/\d+""))))"),44782)</f>
        <v>44782</v>
      </c>
      <c r="B1036" s="182" t="s">
        <v>10188</v>
      </c>
      <c r="C1036" s="183" t="s">
        <v>311</v>
      </c>
      <c r="D1036" s="183">
        <v>5</v>
      </c>
      <c r="E1036" s="183" t="s">
        <v>1709</v>
      </c>
      <c r="F1036" s="183" t="s">
        <v>3</v>
      </c>
      <c r="G1036" s="183" t="s">
        <v>460</v>
      </c>
      <c r="H1036" s="183" t="s">
        <v>1710</v>
      </c>
      <c r="I1036" s="183">
        <v>5</v>
      </c>
      <c r="J1036" s="183" t="s">
        <v>488</v>
      </c>
      <c r="K1036" s="184" t="s">
        <v>11413</v>
      </c>
      <c r="L1036" s="183">
        <v>5</v>
      </c>
      <c r="M1036" s="184" t="s">
        <v>478</v>
      </c>
      <c r="N1036" s="186" t="s">
        <v>1712</v>
      </c>
      <c r="O1036" s="183" t="s">
        <v>465</v>
      </c>
      <c r="P1036" s="183" t="s">
        <v>452</v>
      </c>
      <c r="Q1036" s="184" t="s">
        <v>1713</v>
      </c>
      <c r="R1036" s="183" t="s">
        <v>18</v>
      </c>
      <c r="S1036" s="184"/>
      <c r="T1036" s="184"/>
      <c r="U1036" s="184"/>
      <c r="V1036" s="184"/>
      <c r="W1036" s="184"/>
      <c r="X1036" s="179"/>
      <c r="Y1036" s="179"/>
      <c r="Z1036" s="179"/>
      <c r="AA1036" s="179"/>
    </row>
    <row r="1037" spans="1:27">
      <c r="A1037" s="181">
        <f ca="1">IFERROR(__xludf.DUMMYFUNCTION("IFS(B1037="""","""",ISDATE(B1037)=TRUE,B1037,ISDATE(B1037)=FALSE,TO_DATE(DATEVALUE(regexextract(B1037,""\d+/\d+/\d+""))))"),44782)</f>
        <v>44782</v>
      </c>
      <c r="B1037" s="189" t="s">
        <v>10188</v>
      </c>
      <c r="C1037" s="183" t="s">
        <v>9285</v>
      </c>
      <c r="D1037" s="183">
        <v>2.5</v>
      </c>
      <c r="E1037" s="183" t="s">
        <v>9288</v>
      </c>
      <c r="F1037" s="183" t="s">
        <v>3</v>
      </c>
      <c r="G1037" s="183" t="s">
        <v>460</v>
      </c>
      <c r="H1037" s="183" t="s">
        <v>9289</v>
      </c>
      <c r="I1037" s="183">
        <v>2</v>
      </c>
      <c r="J1037" s="183" t="s">
        <v>941</v>
      </c>
      <c r="K1037" s="184"/>
      <c r="L1037" s="183">
        <v>3</v>
      </c>
      <c r="M1037" s="184" t="s">
        <v>784</v>
      </c>
      <c r="N1037" s="188">
        <v>1600000</v>
      </c>
      <c r="O1037" s="183" t="s">
        <v>452</v>
      </c>
      <c r="P1037" s="183" t="s">
        <v>11414</v>
      </c>
      <c r="Q1037" s="184" t="s">
        <v>9291</v>
      </c>
      <c r="R1037" s="183" t="s">
        <v>24</v>
      </c>
      <c r="S1037" s="184" t="s">
        <v>9292</v>
      </c>
      <c r="T1037" s="184"/>
      <c r="U1037" s="184"/>
      <c r="V1037" s="184"/>
      <c r="W1037" s="184"/>
      <c r="X1037" s="179"/>
      <c r="Y1037" s="179"/>
      <c r="Z1037" s="179"/>
      <c r="AA1037" s="179"/>
    </row>
    <row r="1038" spans="1:27">
      <c r="A1038" s="181">
        <f ca="1">IFERROR(__xludf.DUMMYFUNCTION("IFS(B1038="""","""",ISDATE(B1038)=TRUE,B1038,ISDATE(B1038)=FALSE,TO_DATE(DATEVALUE(regexextract(B1038,""\d+/\d+/\d+""))))"),44782)</f>
        <v>44782</v>
      </c>
      <c r="B1038" s="189" t="s">
        <v>10188</v>
      </c>
      <c r="C1038" s="183" t="s">
        <v>349</v>
      </c>
      <c r="D1038" s="183">
        <v>4.25</v>
      </c>
      <c r="E1038" s="183" t="s">
        <v>2008</v>
      </c>
      <c r="F1038" s="183" t="s">
        <v>3</v>
      </c>
      <c r="G1038" s="183" t="s">
        <v>460</v>
      </c>
      <c r="H1038" s="183" t="s">
        <v>2009</v>
      </c>
      <c r="I1038" s="183">
        <v>4.5</v>
      </c>
      <c r="J1038" s="183" t="s">
        <v>941</v>
      </c>
      <c r="K1038" s="183"/>
      <c r="L1038" s="183">
        <v>4</v>
      </c>
      <c r="M1038" s="183" t="s">
        <v>451</v>
      </c>
      <c r="N1038" s="183" t="s">
        <v>2010</v>
      </c>
      <c r="O1038" s="183" t="s">
        <v>452</v>
      </c>
      <c r="P1038" s="183" t="s">
        <v>452</v>
      </c>
      <c r="Q1038" s="184"/>
      <c r="R1038" s="183" t="s">
        <v>18</v>
      </c>
      <c r="S1038" s="183"/>
      <c r="T1038" s="184"/>
      <c r="U1038" s="184"/>
      <c r="V1038" s="184"/>
      <c r="W1038" s="184"/>
      <c r="X1038" s="179"/>
      <c r="Y1038" s="179"/>
      <c r="Z1038" s="179"/>
      <c r="AA1038" s="179"/>
    </row>
    <row r="1039" spans="1:27">
      <c r="A1039" s="181">
        <f ca="1">IFERROR(__xludf.DUMMYFUNCTION("IFS(B1039="""","""",ISDATE(B1039)=TRUE,B1039,ISDATE(B1039)=FALSE,TO_DATE(DATEVALUE(regexextract(B1039,""\d+/\d+/\d+""))))"),44782)</f>
        <v>44782</v>
      </c>
      <c r="B1039" s="189" t="s">
        <v>10188</v>
      </c>
      <c r="C1039" s="183" t="s">
        <v>198</v>
      </c>
      <c r="D1039" s="183">
        <v>4</v>
      </c>
      <c r="E1039" s="183" t="s">
        <v>11415</v>
      </c>
      <c r="F1039" s="183" t="s">
        <v>4</v>
      </c>
      <c r="G1039" s="183" t="s">
        <v>727</v>
      </c>
      <c r="H1039" s="183" t="s">
        <v>11416</v>
      </c>
      <c r="I1039" s="183">
        <v>4.5</v>
      </c>
      <c r="J1039" s="183" t="s">
        <v>1054</v>
      </c>
      <c r="K1039" s="183" t="s">
        <v>11417</v>
      </c>
      <c r="L1039" s="183">
        <v>3.5</v>
      </c>
      <c r="M1039" s="183"/>
      <c r="N1039" s="192" t="s">
        <v>3555</v>
      </c>
      <c r="O1039" s="183" t="s">
        <v>454</v>
      </c>
      <c r="P1039" s="183" t="s">
        <v>11418</v>
      </c>
      <c r="Q1039" s="183"/>
      <c r="R1039" s="183" t="s">
        <v>18</v>
      </c>
      <c r="S1039" s="183"/>
      <c r="T1039" s="184"/>
      <c r="U1039" s="184"/>
      <c r="V1039" s="184"/>
      <c r="W1039" s="184"/>
      <c r="X1039" s="179"/>
      <c r="Y1039" s="179"/>
      <c r="Z1039" s="179"/>
      <c r="AA1039" s="179"/>
    </row>
    <row r="1040" spans="1:27">
      <c r="A1040" s="181">
        <f ca="1">IFERROR(__xludf.DUMMYFUNCTION("IFS(B1040="""","""",ISDATE(B1040)=TRUE,B1040,ISDATE(B1040)=FALSE,TO_DATE(DATEVALUE(regexextract(B1040,""\d+/\d+/\d+""))))"),44776)</f>
        <v>44776</v>
      </c>
      <c r="B1040" s="182" t="s">
        <v>10176</v>
      </c>
      <c r="C1040" s="183" t="s">
        <v>260</v>
      </c>
      <c r="D1040" s="184">
        <v>4.5</v>
      </c>
      <c r="E1040" s="183" t="s">
        <v>1510</v>
      </c>
      <c r="F1040" s="183" t="s">
        <v>4</v>
      </c>
      <c r="G1040" s="183" t="s">
        <v>602</v>
      </c>
      <c r="H1040" s="184" t="s">
        <v>11419</v>
      </c>
      <c r="I1040" s="184">
        <v>4.5</v>
      </c>
      <c r="J1040" s="183" t="s">
        <v>1054</v>
      </c>
      <c r="K1040" s="184" t="s">
        <v>11420</v>
      </c>
      <c r="L1040" s="184">
        <v>4.5</v>
      </c>
      <c r="M1040" s="184" t="s">
        <v>451</v>
      </c>
      <c r="N1040" s="188">
        <v>3000000</v>
      </c>
      <c r="O1040" s="183" t="s">
        <v>454</v>
      </c>
      <c r="P1040" s="183" t="s">
        <v>11421</v>
      </c>
      <c r="Q1040" s="183" t="s">
        <v>447</v>
      </c>
      <c r="R1040" s="184" t="s">
        <v>18</v>
      </c>
      <c r="S1040" s="184"/>
      <c r="T1040" s="184"/>
      <c r="U1040" s="184"/>
      <c r="V1040" s="184"/>
      <c r="W1040" s="184"/>
      <c r="X1040" s="179"/>
      <c r="Y1040" s="179"/>
      <c r="Z1040" s="179"/>
      <c r="AA1040" s="179"/>
    </row>
    <row r="1041" spans="1:27">
      <c r="A1041" s="181">
        <f ca="1">IFERROR(__xludf.DUMMYFUNCTION("IFS(B1041="""","""",ISDATE(B1041)=TRUE,B1041,ISDATE(B1041)=FALSE,TO_DATE(DATEVALUE(regexextract(B1041,""\d+/\d+/\d+""))))"),44782)</f>
        <v>44782</v>
      </c>
      <c r="B1041" s="182" t="s">
        <v>10188</v>
      </c>
      <c r="C1041" s="183" t="s">
        <v>374</v>
      </c>
      <c r="D1041" s="184">
        <v>3</v>
      </c>
      <c r="E1041" s="183" t="s">
        <v>9837</v>
      </c>
      <c r="F1041" s="183" t="s">
        <v>3</v>
      </c>
      <c r="G1041" s="183" t="s">
        <v>460</v>
      </c>
      <c r="H1041" s="184" t="s">
        <v>9838</v>
      </c>
      <c r="I1041" s="184">
        <v>2</v>
      </c>
      <c r="J1041" s="183" t="s">
        <v>462</v>
      </c>
      <c r="K1041" s="183" t="s">
        <v>11422</v>
      </c>
      <c r="L1041" s="183">
        <v>4</v>
      </c>
      <c r="M1041" s="183"/>
      <c r="N1041" s="187">
        <v>5000000</v>
      </c>
      <c r="O1041" s="183" t="s">
        <v>452</v>
      </c>
      <c r="P1041" s="183" t="s">
        <v>11423</v>
      </c>
      <c r="Q1041" s="184"/>
      <c r="R1041" s="184" t="s">
        <v>19</v>
      </c>
      <c r="S1041" s="184" t="s">
        <v>9841</v>
      </c>
      <c r="T1041" s="184"/>
      <c r="U1041" s="184"/>
      <c r="V1041" s="184"/>
      <c r="W1041" s="184"/>
      <c r="X1041" s="179"/>
      <c r="Y1041" s="179"/>
      <c r="Z1041" s="179"/>
      <c r="AA1041" s="179"/>
    </row>
    <row r="1042" spans="1:27">
      <c r="A1042" s="181">
        <f ca="1">IFERROR(__xludf.DUMMYFUNCTION("IFS(B1042="""","""",ISDATE(B1042)=TRUE,B1042,ISDATE(B1042)=FALSE,TO_DATE(DATEVALUE(regexextract(B1042,""\d+/\d+/\d+""))))"),44784)</f>
        <v>44784</v>
      </c>
      <c r="B1042" s="182" t="s">
        <v>10173</v>
      </c>
      <c r="C1042" s="183" t="s">
        <v>223</v>
      </c>
      <c r="D1042" s="183">
        <v>4.38</v>
      </c>
      <c r="E1042" s="183" t="s">
        <v>1339</v>
      </c>
      <c r="F1042" s="183" t="s">
        <v>4</v>
      </c>
      <c r="G1042" s="183" t="s">
        <v>725</v>
      </c>
      <c r="H1042" s="183" t="s">
        <v>1340</v>
      </c>
      <c r="I1042" s="183">
        <v>4</v>
      </c>
      <c r="J1042" s="183" t="s">
        <v>727</v>
      </c>
      <c r="K1042" s="183" t="s">
        <v>11424</v>
      </c>
      <c r="L1042" s="183">
        <v>4.75</v>
      </c>
      <c r="M1042" s="184" t="s">
        <v>451</v>
      </c>
      <c r="N1042" s="188">
        <v>5000000</v>
      </c>
      <c r="O1042" s="183" t="s">
        <v>452</v>
      </c>
      <c r="P1042" s="183" t="s">
        <v>11425</v>
      </c>
      <c r="Q1042" s="184" t="s">
        <v>1343</v>
      </c>
      <c r="R1042" s="183" t="s">
        <v>18</v>
      </c>
      <c r="S1042" s="183"/>
      <c r="T1042" s="184"/>
      <c r="U1042" s="184"/>
      <c r="V1042" s="184"/>
      <c r="W1042" s="184"/>
      <c r="X1042" s="179"/>
      <c r="Y1042" s="179"/>
      <c r="Z1042" s="179"/>
      <c r="AA1042" s="179"/>
    </row>
    <row r="1043" spans="1:27">
      <c r="A1043" s="181">
        <f ca="1">IFERROR(__xludf.DUMMYFUNCTION("IFS(B1043="""","""",ISDATE(B1043)=TRUE,B1043,ISDATE(B1043)=FALSE,TO_DATE(DATEVALUE(regexextract(B1043,""\d+/\d+/\d+""))))"),44782)</f>
        <v>44782</v>
      </c>
      <c r="B1043" s="182" t="s">
        <v>10188</v>
      </c>
      <c r="C1043" s="183" t="s">
        <v>336</v>
      </c>
      <c r="D1043" s="183">
        <v>4.25</v>
      </c>
      <c r="E1043" s="183" t="s">
        <v>1899</v>
      </c>
      <c r="F1043" s="183" t="s">
        <v>3</v>
      </c>
      <c r="G1043" s="183" t="s">
        <v>460</v>
      </c>
      <c r="H1043" s="183" t="s">
        <v>1900</v>
      </c>
      <c r="I1043" s="183">
        <v>4.5</v>
      </c>
      <c r="J1043" s="183" t="s">
        <v>941</v>
      </c>
      <c r="K1043" s="183"/>
      <c r="L1043" s="183">
        <v>4</v>
      </c>
      <c r="M1043" s="184" t="s">
        <v>451</v>
      </c>
      <c r="N1043" s="184" t="s">
        <v>1901</v>
      </c>
      <c r="O1043" s="183" t="s">
        <v>452</v>
      </c>
      <c r="P1043" s="183" t="s">
        <v>452</v>
      </c>
      <c r="Q1043" s="183"/>
      <c r="R1043" s="183" t="s">
        <v>18</v>
      </c>
      <c r="S1043" s="184"/>
      <c r="T1043" s="184"/>
      <c r="U1043" s="184"/>
      <c r="V1043" s="184"/>
      <c r="W1043" s="184"/>
      <c r="X1043" s="179"/>
      <c r="Y1043" s="179"/>
      <c r="Z1043" s="179"/>
      <c r="AA1043" s="179"/>
    </row>
    <row r="1044" spans="1:27">
      <c r="A1044" s="181">
        <f ca="1">IFERROR(__xludf.DUMMYFUNCTION("IFS(B1044="""","""",ISDATE(B1044)=TRUE,B1044,ISDATE(B1044)=FALSE,TO_DATE(DATEVALUE(regexextract(B1044,""\d+/\d+/\d+""))))"),44782)</f>
        <v>44782</v>
      </c>
      <c r="B1044" s="182" t="s">
        <v>10188</v>
      </c>
      <c r="C1044" s="183" t="s">
        <v>9776</v>
      </c>
      <c r="D1044" s="183">
        <v>3</v>
      </c>
      <c r="E1044" s="183" t="s">
        <v>9779</v>
      </c>
      <c r="F1044" s="183" t="s">
        <v>3</v>
      </c>
      <c r="G1044" s="183" t="s">
        <v>460</v>
      </c>
      <c r="H1044" s="183" t="s">
        <v>11426</v>
      </c>
      <c r="I1044" s="183">
        <v>3</v>
      </c>
      <c r="J1044" s="183" t="s">
        <v>462</v>
      </c>
      <c r="K1044" s="183" t="s">
        <v>11427</v>
      </c>
      <c r="L1044" s="183">
        <v>3</v>
      </c>
      <c r="M1044" s="183" t="s">
        <v>451</v>
      </c>
      <c r="N1044" s="187">
        <v>10000000</v>
      </c>
      <c r="O1044" s="183" t="s">
        <v>452</v>
      </c>
      <c r="P1044" s="183" t="s">
        <v>452</v>
      </c>
      <c r="Q1044" s="184" t="s">
        <v>9782</v>
      </c>
      <c r="R1044" s="183" t="s">
        <v>23</v>
      </c>
      <c r="S1044" s="184" t="s">
        <v>9783</v>
      </c>
      <c r="T1044" s="184"/>
      <c r="U1044" s="184"/>
      <c r="V1044" s="184"/>
      <c r="W1044" s="184"/>
      <c r="X1044" s="179"/>
      <c r="Y1044" s="179"/>
      <c r="Z1044" s="179"/>
      <c r="AA1044" s="179"/>
    </row>
    <row r="1045" spans="1:27">
      <c r="A1045" s="181">
        <f ca="1">IFERROR(__xludf.DUMMYFUNCTION("IFS(B1045="""","""",ISDATE(B1045)=TRUE,B1045,ISDATE(B1045)=FALSE,TO_DATE(DATEVALUE(regexextract(B1045,""\d+/\d+/\d+""))))"),44782)</f>
        <v>44782</v>
      </c>
      <c r="B1045" s="182" t="s">
        <v>10188</v>
      </c>
      <c r="C1045" s="183" t="s">
        <v>9151</v>
      </c>
      <c r="D1045" s="184">
        <v>2.5</v>
      </c>
      <c r="E1045" s="183" t="s">
        <v>9154</v>
      </c>
      <c r="F1045" s="183" t="s">
        <v>3</v>
      </c>
      <c r="G1045" s="183" t="s">
        <v>460</v>
      </c>
      <c r="H1045" s="184" t="s">
        <v>9155</v>
      </c>
      <c r="I1045" s="184">
        <v>2</v>
      </c>
      <c r="J1045" s="183" t="s">
        <v>488</v>
      </c>
      <c r="K1045" s="184" t="s">
        <v>11428</v>
      </c>
      <c r="L1045" s="184">
        <v>3</v>
      </c>
      <c r="M1045" s="183" t="s">
        <v>973</v>
      </c>
      <c r="N1045" s="185">
        <v>7500000</v>
      </c>
      <c r="O1045" s="183" t="s">
        <v>452</v>
      </c>
      <c r="P1045" s="183" t="s">
        <v>1119</v>
      </c>
      <c r="Q1045" s="184"/>
      <c r="R1045" s="184" t="s">
        <v>24</v>
      </c>
      <c r="S1045" s="184" t="s">
        <v>9157</v>
      </c>
      <c r="T1045" s="184"/>
      <c r="U1045" s="184"/>
      <c r="V1045" s="184"/>
      <c r="W1045" s="184"/>
      <c r="X1045" s="179"/>
      <c r="Y1045" s="179"/>
      <c r="Z1045" s="179"/>
      <c r="AA1045" s="179"/>
    </row>
    <row r="1046" spans="1:27">
      <c r="A1046" s="181">
        <f ca="1">IFERROR(__xludf.DUMMYFUNCTION("IFS(B1046="""","""",ISDATE(B1046)=TRUE,B1046,ISDATE(B1046)=FALSE,TO_DATE(DATEVALUE(regexextract(B1046,""\d+/\d+/\d+""))))"),44782)</f>
        <v>44782</v>
      </c>
      <c r="B1046" s="182" t="s">
        <v>10188</v>
      </c>
      <c r="C1046" s="183" t="s">
        <v>6069</v>
      </c>
      <c r="D1046" s="183">
        <v>2.75</v>
      </c>
      <c r="E1046" s="183" t="s">
        <v>11429</v>
      </c>
      <c r="F1046" s="183" t="s">
        <v>4</v>
      </c>
      <c r="G1046" s="183" t="s">
        <v>602</v>
      </c>
      <c r="H1046" s="183" t="s">
        <v>6073</v>
      </c>
      <c r="I1046" s="183">
        <v>2</v>
      </c>
      <c r="J1046" s="183" t="s">
        <v>1054</v>
      </c>
      <c r="K1046" s="183" t="s">
        <v>11430</v>
      </c>
      <c r="L1046" s="183">
        <v>3.5</v>
      </c>
      <c r="M1046" s="183"/>
      <c r="N1046" s="192"/>
      <c r="O1046" s="183" t="s">
        <v>452</v>
      </c>
      <c r="P1046" s="183" t="s">
        <v>11431</v>
      </c>
      <c r="Q1046" s="183"/>
      <c r="R1046" s="183" t="s">
        <v>24</v>
      </c>
      <c r="S1046" s="184"/>
      <c r="T1046" s="184"/>
      <c r="U1046" s="184"/>
      <c r="V1046" s="184"/>
      <c r="W1046" s="184"/>
      <c r="X1046" s="179"/>
      <c r="Y1046" s="179"/>
      <c r="Z1046" s="179"/>
      <c r="AA1046" s="179"/>
    </row>
    <row r="1047" spans="1:27">
      <c r="A1047" s="181">
        <f ca="1">IFERROR(__xludf.DUMMYFUNCTION("IFS(B1047="""","""",ISDATE(B1047)=TRUE,B1047,ISDATE(B1047)=FALSE,TO_DATE(DATEVALUE(regexextract(B1047,""\d+/\d+/\d+""))))"),44776)</f>
        <v>44776</v>
      </c>
      <c r="B1047" s="189" t="s">
        <v>10176</v>
      </c>
      <c r="C1047" s="183" t="s">
        <v>75</v>
      </c>
      <c r="D1047" s="183">
        <v>4</v>
      </c>
      <c r="E1047" s="183" t="s">
        <v>541</v>
      </c>
      <c r="F1047" s="183" t="s">
        <v>5</v>
      </c>
      <c r="G1047" s="183" t="s">
        <v>447</v>
      </c>
      <c r="H1047" s="183" t="s">
        <v>542</v>
      </c>
      <c r="I1047" s="183">
        <v>4.5</v>
      </c>
      <c r="J1047" s="183" t="s">
        <v>543</v>
      </c>
      <c r="K1047" s="183" t="s">
        <v>11432</v>
      </c>
      <c r="L1047" s="183">
        <v>3.5</v>
      </c>
      <c r="M1047" s="184" t="s">
        <v>545</v>
      </c>
      <c r="N1047" s="188" t="s">
        <v>546</v>
      </c>
      <c r="O1047" s="183" t="s">
        <v>452</v>
      </c>
      <c r="P1047" s="183" t="s">
        <v>11433</v>
      </c>
      <c r="Q1047" s="184"/>
      <c r="R1047" s="183" t="s">
        <v>18</v>
      </c>
      <c r="S1047" s="184"/>
      <c r="T1047" s="184"/>
      <c r="U1047" s="184"/>
      <c r="V1047" s="184"/>
      <c r="W1047" s="184"/>
      <c r="X1047" s="179"/>
      <c r="Y1047" s="179"/>
      <c r="Z1047" s="179"/>
      <c r="AA1047" s="179"/>
    </row>
    <row r="1048" spans="1:27">
      <c r="A1048" s="181">
        <f ca="1">IFERROR(__xludf.DUMMYFUNCTION("IFS(B1048="""","""",ISDATE(B1048)=TRUE,B1048,ISDATE(B1048)=FALSE,TO_DATE(DATEVALUE(regexextract(B1048,""\d+/\d+/\d+""))))"),44776)</f>
        <v>44776</v>
      </c>
      <c r="B1048" s="182" t="s">
        <v>10176</v>
      </c>
      <c r="C1048" s="183" t="s">
        <v>4281</v>
      </c>
      <c r="D1048" s="184">
        <v>3.75</v>
      </c>
      <c r="E1048" s="183" t="s">
        <v>4284</v>
      </c>
      <c r="F1048" s="183" t="s">
        <v>4</v>
      </c>
      <c r="G1048" s="183" t="s">
        <v>727</v>
      </c>
      <c r="H1048" s="184" t="s">
        <v>4285</v>
      </c>
      <c r="I1048" s="184">
        <v>3.5</v>
      </c>
      <c r="J1048" s="183" t="s">
        <v>1054</v>
      </c>
      <c r="K1048" s="184"/>
      <c r="L1048" s="184">
        <v>4</v>
      </c>
      <c r="M1048" s="183" t="s">
        <v>451</v>
      </c>
      <c r="N1048" s="187">
        <v>500000</v>
      </c>
      <c r="O1048" s="183" t="s">
        <v>465</v>
      </c>
      <c r="P1048" s="183" t="s">
        <v>4286</v>
      </c>
      <c r="Q1048" s="184"/>
      <c r="R1048" s="184" t="s">
        <v>24</v>
      </c>
      <c r="S1048" s="184"/>
      <c r="T1048" s="184"/>
      <c r="U1048" s="184"/>
      <c r="V1048" s="184"/>
      <c r="W1048" s="184"/>
      <c r="X1048" s="179"/>
      <c r="Y1048" s="179"/>
      <c r="Z1048" s="179"/>
      <c r="AA1048" s="179"/>
    </row>
    <row r="1049" spans="1:27">
      <c r="A1049" s="181">
        <f ca="1">IFERROR(__xludf.DUMMYFUNCTION("IFS(B1049="""","""",ISDATE(B1049)=TRUE,B1049,ISDATE(B1049)=FALSE,TO_DATE(DATEVALUE(regexextract(B1049,""\d+/\d+/\d+""))))"),44776)</f>
        <v>44776</v>
      </c>
      <c r="B1049" s="182" t="s">
        <v>10176</v>
      </c>
      <c r="C1049" s="183" t="s">
        <v>334</v>
      </c>
      <c r="D1049" s="184">
        <v>5</v>
      </c>
      <c r="E1049" s="183" t="s">
        <v>1874</v>
      </c>
      <c r="F1049" s="183" t="s">
        <v>3</v>
      </c>
      <c r="G1049" s="183" t="s">
        <v>460</v>
      </c>
      <c r="H1049" s="184" t="s">
        <v>1875</v>
      </c>
      <c r="I1049" s="184">
        <v>5</v>
      </c>
      <c r="J1049" s="183" t="s">
        <v>941</v>
      </c>
      <c r="K1049" s="184"/>
      <c r="L1049" s="184">
        <v>5</v>
      </c>
      <c r="M1049" s="183" t="s">
        <v>451</v>
      </c>
      <c r="N1049" s="187">
        <v>2000000</v>
      </c>
      <c r="O1049" s="183" t="s">
        <v>452</v>
      </c>
      <c r="P1049" s="183" t="s">
        <v>1876</v>
      </c>
      <c r="Q1049" s="184"/>
      <c r="R1049" s="184" t="s">
        <v>18</v>
      </c>
      <c r="S1049" s="184"/>
      <c r="T1049" s="184"/>
      <c r="U1049" s="184"/>
      <c r="V1049" s="184"/>
      <c r="W1049" s="184"/>
      <c r="X1049" s="179"/>
      <c r="Y1049" s="179"/>
      <c r="Z1049" s="179"/>
      <c r="AA1049" s="179"/>
    </row>
    <row r="1050" spans="1:27">
      <c r="A1050" s="181">
        <f ca="1">IFERROR(__xludf.DUMMYFUNCTION("IFS(B1050="""","""",ISDATE(B1050)=TRUE,B1050,ISDATE(B1050)=FALSE,TO_DATE(DATEVALUE(regexextract(B1050,""\d+/\d+/\d+""))))"),44776)</f>
        <v>44776</v>
      </c>
      <c r="B1050" s="182" t="s">
        <v>10176</v>
      </c>
      <c r="C1050" s="183" t="s">
        <v>7826</v>
      </c>
      <c r="D1050" s="183">
        <v>1.5</v>
      </c>
      <c r="E1050" s="183" t="s">
        <v>7829</v>
      </c>
      <c r="F1050" s="183" t="s">
        <v>4</v>
      </c>
      <c r="G1050" s="183" t="s">
        <v>602</v>
      </c>
      <c r="H1050" s="183" t="s">
        <v>11434</v>
      </c>
      <c r="I1050" s="183">
        <v>2</v>
      </c>
      <c r="J1050" s="183" t="s">
        <v>1054</v>
      </c>
      <c r="K1050" s="183" t="s">
        <v>7831</v>
      </c>
      <c r="L1050" s="183">
        <v>1</v>
      </c>
      <c r="M1050" s="184" t="s">
        <v>784</v>
      </c>
      <c r="N1050" s="186">
        <v>300000</v>
      </c>
      <c r="O1050" s="183" t="s">
        <v>452</v>
      </c>
      <c r="P1050" s="183" t="s">
        <v>7832</v>
      </c>
      <c r="Q1050" s="184"/>
      <c r="R1050" s="183" t="s">
        <v>24</v>
      </c>
      <c r="S1050" s="184"/>
      <c r="T1050" s="184"/>
      <c r="U1050" s="184"/>
      <c r="V1050" s="184"/>
      <c r="W1050" s="184"/>
      <c r="X1050" s="179"/>
      <c r="Y1050" s="179"/>
      <c r="Z1050" s="179"/>
      <c r="AA1050" s="179"/>
    </row>
    <row r="1051" spans="1:27">
      <c r="A1051" s="181">
        <f ca="1">IFERROR(__xludf.DUMMYFUNCTION("IFS(B1051="""","""",ISDATE(B1051)=TRUE,B1051,ISDATE(B1051)=FALSE,TO_DATE(DATEVALUE(regexextract(B1051,""\d+/\d+/\d+""))))"),44776)</f>
        <v>44776</v>
      </c>
      <c r="B1051" s="182" t="s">
        <v>10176</v>
      </c>
      <c r="C1051" s="183" t="s">
        <v>6365</v>
      </c>
      <c r="D1051" s="183">
        <v>2.5</v>
      </c>
      <c r="E1051" s="183" t="s">
        <v>6368</v>
      </c>
      <c r="F1051" s="183" t="s">
        <v>4</v>
      </c>
      <c r="G1051" s="183" t="s">
        <v>602</v>
      </c>
      <c r="H1051" s="183" t="s">
        <v>11435</v>
      </c>
      <c r="I1051" s="183">
        <v>2</v>
      </c>
      <c r="J1051" s="183" t="s">
        <v>727</v>
      </c>
      <c r="K1051" s="183" t="s">
        <v>6370</v>
      </c>
      <c r="L1051" s="183">
        <v>3</v>
      </c>
      <c r="M1051" s="183" t="s">
        <v>6371</v>
      </c>
      <c r="N1051" s="187" t="s">
        <v>6372</v>
      </c>
      <c r="O1051" s="183" t="s">
        <v>454</v>
      </c>
      <c r="P1051" s="183" t="s">
        <v>3420</v>
      </c>
      <c r="Q1051" s="184"/>
      <c r="R1051" s="183" t="s">
        <v>24</v>
      </c>
      <c r="S1051" s="183"/>
      <c r="T1051" s="184"/>
      <c r="U1051" s="184"/>
      <c r="V1051" s="184"/>
      <c r="W1051" s="184"/>
      <c r="X1051" s="179"/>
      <c r="Y1051" s="179"/>
      <c r="Z1051" s="179"/>
      <c r="AA1051" s="179"/>
    </row>
    <row r="1052" spans="1:27">
      <c r="A1052" s="181">
        <f ca="1">IFERROR(__xludf.DUMMYFUNCTION("IFS(B1052="""","""",ISDATE(B1052)=TRUE,B1052,ISDATE(B1052)=FALSE,TO_DATE(DATEVALUE(regexextract(B1052,""\d+/\d+/\d+""))))"),44776)</f>
        <v>44776</v>
      </c>
      <c r="B1052" s="182" t="s">
        <v>10176</v>
      </c>
      <c r="C1052" s="183" t="s">
        <v>8646</v>
      </c>
      <c r="D1052" s="183">
        <v>1.5</v>
      </c>
      <c r="E1052" s="183" t="s">
        <v>8649</v>
      </c>
      <c r="F1052" s="183" t="s">
        <v>3</v>
      </c>
      <c r="G1052" s="183" t="s">
        <v>460</v>
      </c>
      <c r="H1052" s="183"/>
      <c r="I1052" s="183">
        <v>1</v>
      </c>
      <c r="J1052" s="183" t="s">
        <v>462</v>
      </c>
      <c r="K1052" s="184"/>
      <c r="L1052" s="183">
        <v>2</v>
      </c>
      <c r="M1052" s="183" t="s">
        <v>478</v>
      </c>
      <c r="N1052" s="187">
        <v>1500000</v>
      </c>
      <c r="O1052" s="183" t="s">
        <v>452</v>
      </c>
      <c r="P1052" s="183" t="s">
        <v>11436</v>
      </c>
      <c r="Q1052" s="184"/>
      <c r="R1052" s="183" t="s">
        <v>24</v>
      </c>
      <c r="S1052" s="184"/>
      <c r="T1052" s="184"/>
      <c r="U1052" s="184"/>
      <c r="V1052" s="184"/>
      <c r="W1052" s="184"/>
      <c r="X1052" s="179"/>
      <c r="Y1052" s="179"/>
      <c r="Z1052" s="179"/>
      <c r="AA1052" s="179"/>
    </row>
    <row r="1053" spans="1:27">
      <c r="A1053" s="181">
        <f ca="1">IFERROR(__xludf.DUMMYFUNCTION("IFS(B1053="""","""",ISDATE(B1053)=TRUE,B1053,ISDATE(B1053)=FALSE,TO_DATE(DATEVALUE(regexextract(B1053,""\d+/\d+/\d+""))))"),44776)</f>
        <v>44776</v>
      </c>
      <c r="B1053" s="182" t="s">
        <v>10176</v>
      </c>
      <c r="C1053" s="183" t="s">
        <v>8350</v>
      </c>
      <c r="D1053" s="183">
        <v>1.5</v>
      </c>
      <c r="E1053" s="183" t="s">
        <v>8353</v>
      </c>
      <c r="F1053" s="183" t="s">
        <v>3</v>
      </c>
      <c r="G1053" s="183" t="s">
        <v>460</v>
      </c>
      <c r="H1053" s="183"/>
      <c r="I1053" s="183">
        <v>1</v>
      </c>
      <c r="J1053" s="183" t="s">
        <v>462</v>
      </c>
      <c r="K1053" s="183" t="s">
        <v>8354</v>
      </c>
      <c r="L1053" s="183">
        <v>2</v>
      </c>
      <c r="M1053" s="183" t="s">
        <v>451</v>
      </c>
      <c r="N1053" s="187">
        <v>750000</v>
      </c>
      <c r="O1053" s="183" t="s">
        <v>452</v>
      </c>
      <c r="P1053" s="183" t="s">
        <v>8355</v>
      </c>
      <c r="Q1053" s="184"/>
      <c r="R1053" s="183" t="s">
        <v>24</v>
      </c>
      <c r="S1053" s="184"/>
      <c r="T1053" s="184"/>
      <c r="U1053" s="184"/>
      <c r="V1053" s="184"/>
      <c r="W1053" s="184"/>
      <c r="X1053" s="179"/>
      <c r="Y1053" s="179"/>
      <c r="Z1053" s="179"/>
      <c r="AA1053" s="179"/>
    </row>
    <row r="1054" spans="1:27">
      <c r="A1054" s="181">
        <f ca="1">IFERROR(__xludf.DUMMYFUNCTION("IFS(B1054="""","""",ISDATE(B1054)=TRUE,B1054,ISDATE(B1054)=FALSE,TO_DATE(DATEVALUE(regexextract(B1054,""\d+/\d+/\d+""))))"),44784)</f>
        <v>44784</v>
      </c>
      <c r="B1054" s="182" t="s">
        <v>10173</v>
      </c>
      <c r="C1054" s="183" t="s">
        <v>6834</v>
      </c>
      <c r="D1054" s="183">
        <v>2.25</v>
      </c>
      <c r="E1054" s="183" t="s">
        <v>11437</v>
      </c>
      <c r="F1054" s="183" t="s">
        <v>4</v>
      </c>
      <c r="G1054" s="183" t="s">
        <v>602</v>
      </c>
      <c r="H1054" s="183" t="s">
        <v>11438</v>
      </c>
      <c r="I1054" s="183">
        <v>2</v>
      </c>
      <c r="J1054" s="183" t="s">
        <v>1054</v>
      </c>
      <c r="K1054" s="183" t="s">
        <v>11439</v>
      </c>
      <c r="L1054" s="183">
        <v>2.5</v>
      </c>
      <c r="M1054" s="183"/>
      <c r="N1054" s="185"/>
      <c r="O1054" s="183" t="s">
        <v>454</v>
      </c>
      <c r="P1054" s="183" t="s">
        <v>452</v>
      </c>
      <c r="Q1054" s="184"/>
      <c r="R1054" s="183" t="s">
        <v>24</v>
      </c>
      <c r="S1054" s="183"/>
      <c r="T1054" s="184"/>
      <c r="U1054" s="184"/>
      <c r="V1054" s="184"/>
      <c r="W1054" s="184"/>
      <c r="X1054" s="179"/>
      <c r="Y1054" s="179"/>
      <c r="Z1054" s="179"/>
      <c r="AA1054" s="179"/>
    </row>
    <row r="1055" spans="1:27">
      <c r="A1055" s="181">
        <f ca="1">IFERROR(__xludf.DUMMYFUNCTION("IFS(B1055="""","""",ISDATE(B1055)=TRUE,B1055,ISDATE(B1055)=FALSE,TO_DATE(DATEVALUE(regexextract(B1055,""\d+/\d+/\d+""))))"),44784)</f>
        <v>44784</v>
      </c>
      <c r="B1055" s="182" t="s">
        <v>10173</v>
      </c>
      <c r="C1055" s="183" t="s">
        <v>8090</v>
      </c>
      <c r="D1055" s="183">
        <v>1</v>
      </c>
      <c r="E1055" s="183" t="s">
        <v>11440</v>
      </c>
      <c r="F1055" s="183" t="s">
        <v>4</v>
      </c>
      <c r="G1055" s="183" t="s">
        <v>602</v>
      </c>
      <c r="H1055" s="183" t="s">
        <v>8094</v>
      </c>
      <c r="I1055" s="183">
        <v>1</v>
      </c>
      <c r="J1055" s="183" t="s">
        <v>1054</v>
      </c>
      <c r="K1055" s="183" t="s">
        <v>8095</v>
      </c>
      <c r="L1055" s="183">
        <v>1</v>
      </c>
      <c r="M1055" s="184" t="s">
        <v>8096</v>
      </c>
      <c r="N1055" s="186" t="s">
        <v>8097</v>
      </c>
      <c r="O1055" s="183" t="s">
        <v>454</v>
      </c>
      <c r="P1055" s="183" t="s">
        <v>452</v>
      </c>
      <c r="Q1055" s="184"/>
      <c r="R1055" s="183" t="s">
        <v>24</v>
      </c>
      <c r="S1055" s="184"/>
      <c r="T1055" s="184"/>
      <c r="U1055" s="184"/>
      <c r="V1055" s="184"/>
      <c r="W1055" s="184"/>
      <c r="X1055" s="179"/>
      <c r="Y1055" s="179"/>
      <c r="Z1055" s="179"/>
      <c r="AA1055" s="179"/>
    </row>
    <row r="1056" spans="1:27">
      <c r="A1056" s="181">
        <f ca="1">IFERROR(__xludf.DUMMYFUNCTION("IFS(B1056="""","""",ISDATE(B1056)=TRUE,B1056,ISDATE(B1056)=FALSE,TO_DATE(DATEVALUE(regexextract(B1056,""\d+/\d+/\d+""))))"),44776)</f>
        <v>44776</v>
      </c>
      <c r="B1056" s="182" t="s">
        <v>10176</v>
      </c>
      <c r="C1056" s="183" t="s">
        <v>3035</v>
      </c>
      <c r="D1056" s="183">
        <v>2.5</v>
      </c>
      <c r="E1056" s="183" t="s">
        <v>3038</v>
      </c>
      <c r="F1056" s="183" t="s">
        <v>5</v>
      </c>
      <c r="G1056" s="183" t="s">
        <v>447</v>
      </c>
      <c r="H1056" s="183" t="s">
        <v>3039</v>
      </c>
      <c r="I1056" s="183">
        <v>3</v>
      </c>
      <c r="J1056" s="183" t="s">
        <v>543</v>
      </c>
      <c r="K1056" s="183" t="s">
        <v>11441</v>
      </c>
      <c r="L1056" s="183">
        <v>2</v>
      </c>
      <c r="M1056" s="183"/>
      <c r="N1056" s="185"/>
      <c r="O1056" s="183" t="s">
        <v>452</v>
      </c>
      <c r="P1056" s="183" t="s">
        <v>452</v>
      </c>
      <c r="Q1056" s="184"/>
      <c r="R1056" s="183" t="s">
        <v>24</v>
      </c>
      <c r="S1056" s="184"/>
      <c r="T1056" s="184"/>
      <c r="U1056" s="184"/>
      <c r="V1056" s="184"/>
      <c r="W1056" s="184"/>
      <c r="X1056" s="179"/>
      <c r="Y1056" s="179"/>
      <c r="Z1056" s="179"/>
      <c r="AA1056" s="179"/>
    </row>
    <row r="1057" spans="1:27">
      <c r="A1057" s="181">
        <f ca="1">IFERROR(__xludf.DUMMYFUNCTION("IFS(B1057="""","""",ISDATE(B1057)=TRUE,B1057,ISDATE(B1057)=FALSE,TO_DATE(DATEVALUE(regexextract(B1057,""\d+/\d+/\d+""))))"),44784)</f>
        <v>44784</v>
      </c>
      <c r="B1057" s="189" t="s">
        <v>10173</v>
      </c>
      <c r="C1057" s="183" t="s">
        <v>7060</v>
      </c>
      <c r="D1057" s="183">
        <v>2</v>
      </c>
      <c r="E1057" s="183" t="s">
        <v>7063</v>
      </c>
      <c r="F1057" s="183" t="s">
        <v>4</v>
      </c>
      <c r="G1057" s="183" t="s">
        <v>602</v>
      </c>
      <c r="H1057" s="183" t="s">
        <v>7064</v>
      </c>
      <c r="I1057" s="183">
        <v>2</v>
      </c>
      <c r="J1057" s="183" t="s">
        <v>1054</v>
      </c>
      <c r="K1057" s="183" t="s">
        <v>7065</v>
      </c>
      <c r="L1057" s="183">
        <v>2</v>
      </c>
      <c r="M1057" s="183" t="s">
        <v>784</v>
      </c>
      <c r="N1057" s="185">
        <v>1000000</v>
      </c>
      <c r="O1057" s="183" t="s">
        <v>452</v>
      </c>
      <c r="P1057" s="183" t="s">
        <v>452</v>
      </c>
      <c r="Q1057" s="184" t="s">
        <v>7066</v>
      </c>
      <c r="R1057" s="183" t="s">
        <v>24</v>
      </c>
      <c r="S1057" s="183"/>
      <c r="T1057" s="184"/>
      <c r="U1057" s="184"/>
      <c r="V1057" s="184"/>
      <c r="W1057" s="184"/>
      <c r="X1057" s="179"/>
      <c r="Y1057" s="179"/>
      <c r="Z1057" s="179"/>
      <c r="AA1057" s="179"/>
    </row>
    <row r="1058" spans="1:27">
      <c r="A1058" s="181">
        <f ca="1">IFERROR(__xludf.DUMMYFUNCTION("IFS(B1058="""","""",ISDATE(B1058)=TRUE,B1058,ISDATE(B1058)=FALSE,TO_DATE(DATEVALUE(regexextract(B1058,""\d+/\d+/\d+""))))"),44796)</f>
        <v>44796</v>
      </c>
      <c r="B1058" s="182" t="s">
        <v>529</v>
      </c>
      <c r="C1058" s="183" t="s">
        <v>5104</v>
      </c>
      <c r="D1058" s="183">
        <v>3.25</v>
      </c>
      <c r="E1058" s="183" t="s">
        <v>5107</v>
      </c>
      <c r="F1058" s="183" t="s">
        <v>4</v>
      </c>
      <c r="G1058" s="183" t="s">
        <v>1045</v>
      </c>
      <c r="H1058" s="183" t="s">
        <v>5108</v>
      </c>
      <c r="I1058" s="183">
        <v>2.5</v>
      </c>
      <c r="J1058" s="183" t="s">
        <v>1281</v>
      </c>
      <c r="K1058" s="183" t="s">
        <v>5109</v>
      </c>
      <c r="L1058" s="183">
        <v>4</v>
      </c>
      <c r="M1058" s="183" t="s">
        <v>784</v>
      </c>
      <c r="N1058" s="185">
        <v>150000</v>
      </c>
      <c r="O1058" s="183" t="s">
        <v>452</v>
      </c>
      <c r="P1058" s="183" t="s">
        <v>5110</v>
      </c>
      <c r="Q1058" s="184"/>
      <c r="R1058" s="183" t="s">
        <v>24</v>
      </c>
      <c r="S1058" s="184"/>
      <c r="T1058" s="184"/>
      <c r="U1058" s="184"/>
      <c r="V1058" s="184"/>
      <c r="W1058" s="184"/>
      <c r="X1058" s="179"/>
      <c r="Y1058" s="179"/>
      <c r="Z1058" s="179"/>
      <c r="AA1058" s="179"/>
    </row>
    <row r="1059" spans="1:27">
      <c r="A1059" s="181">
        <f ca="1">IFERROR(__xludf.DUMMYFUNCTION("IFS(B1059="""","""",ISDATE(B1059)=TRUE,B1059,ISDATE(B1059)=FALSE,TO_DATE(DATEVALUE(regexextract(B1059,""\d+/\d+/\d+""))))"),44797)</f>
        <v>44797</v>
      </c>
      <c r="B1059" s="182" t="s">
        <v>907</v>
      </c>
      <c r="C1059" s="183" t="s">
        <v>5709</v>
      </c>
      <c r="D1059" s="183">
        <v>3</v>
      </c>
      <c r="E1059" s="183" t="s">
        <v>11442</v>
      </c>
      <c r="F1059" s="183" t="s">
        <v>4</v>
      </c>
      <c r="G1059" s="183" t="s">
        <v>1045</v>
      </c>
      <c r="H1059" s="183" t="s">
        <v>5713</v>
      </c>
      <c r="I1059" s="183">
        <v>2.5</v>
      </c>
      <c r="J1059" s="183" t="s">
        <v>1350</v>
      </c>
      <c r="K1059" s="183" t="s">
        <v>5714</v>
      </c>
      <c r="L1059" s="183">
        <v>3.5</v>
      </c>
      <c r="M1059" s="183" t="s">
        <v>451</v>
      </c>
      <c r="N1059" s="187">
        <v>615000</v>
      </c>
      <c r="O1059" s="183" t="s">
        <v>454</v>
      </c>
      <c r="P1059" s="183" t="s">
        <v>11443</v>
      </c>
      <c r="Q1059" s="184"/>
      <c r="R1059" s="183" t="s">
        <v>24</v>
      </c>
      <c r="S1059" s="184"/>
      <c r="T1059" s="184"/>
      <c r="U1059" s="184"/>
      <c r="V1059" s="184"/>
      <c r="W1059" s="184"/>
      <c r="X1059" s="179"/>
      <c r="Y1059" s="179"/>
      <c r="Z1059" s="179"/>
      <c r="AA1059" s="179"/>
    </row>
    <row r="1060" spans="1:27">
      <c r="A1060" s="181">
        <f ca="1">IFERROR(__xludf.DUMMYFUNCTION("IFS(B1060="""","""",ISDATE(B1060)=TRUE,B1060,ISDATE(B1060)=FALSE,TO_DATE(DATEVALUE(regexextract(B1060,""\d+/\d+/\d+""))))"),44784)</f>
        <v>44784</v>
      </c>
      <c r="B1060" s="182" t="s">
        <v>10173</v>
      </c>
      <c r="C1060" s="183" t="s">
        <v>8617</v>
      </c>
      <c r="D1060" s="184">
        <v>1</v>
      </c>
      <c r="E1060" s="183" t="s">
        <v>8620</v>
      </c>
      <c r="F1060" s="183" t="s">
        <v>3</v>
      </c>
      <c r="G1060" s="183" t="s">
        <v>460</v>
      </c>
      <c r="H1060" s="184" t="s">
        <v>8621</v>
      </c>
      <c r="I1060" s="184">
        <v>1</v>
      </c>
      <c r="J1060" s="183" t="s">
        <v>488</v>
      </c>
      <c r="K1060" s="184"/>
      <c r="L1060" s="184">
        <v>1</v>
      </c>
      <c r="M1060" s="183" t="s">
        <v>451</v>
      </c>
      <c r="N1060" s="187">
        <v>10000</v>
      </c>
      <c r="O1060" s="183" t="s">
        <v>454</v>
      </c>
      <c r="P1060" s="183" t="s">
        <v>1119</v>
      </c>
      <c r="Q1060" s="183"/>
      <c r="R1060" s="184" t="s">
        <v>24</v>
      </c>
      <c r="S1060" s="184"/>
      <c r="T1060" s="184"/>
      <c r="U1060" s="184"/>
      <c r="V1060" s="184"/>
      <c r="W1060" s="184"/>
      <c r="X1060" s="179"/>
      <c r="Y1060" s="179"/>
      <c r="Z1060" s="179"/>
      <c r="AA1060" s="179"/>
    </row>
    <row r="1061" spans="1:27">
      <c r="A1061" s="181">
        <f ca="1">IFERROR(__xludf.DUMMYFUNCTION("IFS(B1061="""","""",ISDATE(B1061)=TRUE,B1061,ISDATE(B1061)=FALSE,TO_DATE(DATEVALUE(regexextract(B1061,""\d+/\d+/\d+""))))"),44789)</f>
        <v>44789</v>
      </c>
      <c r="B1061" s="182" t="s">
        <v>6450</v>
      </c>
      <c r="C1061" s="183" t="s">
        <v>5668</v>
      </c>
      <c r="D1061" s="183">
        <v>3</v>
      </c>
      <c r="E1061" s="183" t="s">
        <v>5671</v>
      </c>
      <c r="F1061" s="183" t="s">
        <v>4</v>
      </c>
      <c r="G1061" s="183" t="s">
        <v>727</v>
      </c>
      <c r="H1061" s="183" t="s">
        <v>11444</v>
      </c>
      <c r="I1061" s="183">
        <v>3</v>
      </c>
      <c r="J1061" s="183" t="s">
        <v>1045</v>
      </c>
      <c r="K1061" s="184" t="s">
        <v>5673</v>
      </c>
      <c r="L1061" s="183">
        <v>3</v>
      </c>
      <c r="M1061" s="183" t="s">
        <v>451</v>
      </c>
      <c r="N1061" s="185">
        <v>750000</v>
      </c>
      <c r="O1061" s="183" t="s">
        <v>452</v>
      </c>
      <c r="P1061" s="183" t="s">
        <v>5674</v>
      </c>
      <c r="Q1061" s="183"/>
      <c r="R1061" s="183" t="s">
        <v>24</v>
      </c>
      <c r="S1061" s="183"/>
      <c r="T1061" s="184"/>
      <c r="U1061" s="184"/>
      <c r="V1061" s="184"/>
      <c r="W1061" s="184"/>
      <c r="X1061" s="179"/>
      <c r="Y1061" s="179"/>
      <c r="Z1061" s="179"/>
      <c r="AA1061" s="179"/>
    </row>
    <row r="1062" spans="1:27">
      <c r="A1062" s="181">
        <f ca="1">IFERROR(__xludf.DUMMYFUNCTION("IFS(B1062="""","""",ISDATE(B1062)=TRUE,B1062,ISDATE(B1062)=FALSE,TO_DATE(DATEVALUE(regexextract(B1062,""\d+/\d+/\d+""))))"),44784)</f>
        <v>44784</v>
      </c>
      <c r="B1062" s="182" t="s">
        <v>10173</v>
      </c>
      <c r="C1062" s="183" t="s">
        <v>8598</v>
      </c>
      <c r="D1062" s="184">
        <v>0.5</v>
      </c>
      <c r="E1062" s="183" t="s">
        <v>8601</v>
      </c>
      <c r="F1062" s="183" t="s">
        <v>3</v>
      </c>
      <c r="G1062" s="183" t="s">
        <v>460</v>
      </c>
      <c r="H1062" s="184" t="s">
        <v>8602</v>
      </c>
      <c r="I1062" s="184">
        <v>0</v>
      </c>
      <c r="J1062" s="183" t="s">
        <v>462</v>
      </c>
      <c r="K1062" s="183" t="s">
        <v>8603</v>
      </c>
      <c r="L1062" s="183">
        <v>1</v>
      </c>
      <c r="M1062" s="184"/>
      <c r="N1062" s="188"/>
      <c r="O1062" s="183" t="s">
        <v>452</v>
      </c>
      <c r="P1062" s="183" t="s">
        <v>452</v>
      </c>
      <c r="Q1062" s="184" t="s">
        <v>8604</v>
      </c>
      <c r="R1062" s="184" t="s">
        <v>24</v>
      </c>
      <c r="S1062" s="184"/>
      <c r="T1062" s="184"/>
      <c r="U1062" s="184"/>
      <c r="V1062" s="184"/>
      <c r="W1062" s="184"/>
      <c r="X1062" s="179"/>
      <c r="Y1062" s="179"/>
      <c r="Z1062" s="179"/>
      <c r="AA1062" s="179"/>
    </row>
    <row r="1063" spans="1:27">
      <c r="A1063" s="181">
        <f ca="1">IFERROR(__xludf.DUMMYFUNCTION("IFS(B1063="""","""",ISDATE(B1063)=TRUE,B1063,ISDATE(B1063)=FALSE,TO_DATE(DATEVALUE(regexextract(B1063,""\d+/\d+/\d+""))))"),44789)</f>
        <v>44789</v>
      </c>
      <c r="B1063" s="182" t="s">
        <v>6450</v>
      </c>
      <c r="C1063" s="183" t="s">
        <v>220</v>
      </c>
      <c r="D1063" s="183">
        <v>4</v>
      </c>
      <c r="E1063" s="183" t="s">
        <v>11445</v>
      </c>
      <c r="F1063" s="183" t="s">
        <v>4</v>
      </c>
      <c r="G1063" s="183" t="s">
        <v>727</v>
      </c>
      <c r="H1063" s="183" t="s">
        <v>11446</v>
      </c>
      <c r="I1063" s="183">
        <v>4</v>
      </c>
      <c r="J1063" s="183" t="s">
        <v>1045</v>
      </c>
      <c r="K1063" s="183" t="s">
        <v>1322</v>
      </c>
      <c r="L1063" s="183">
        <v>4</v>
      </c>
      <c r="M1063" s="184" t="s">
        <v>451</v>
      </c>
      <c r="N1063" s="188" t="s">
        <v>1323</v>
      </c>
      <c r="O1063" s="183" t="s">
        <v>454</v>
      </c>
      <c r="P1063" s="183" t="s">
        <v>452</v>
      </c>
      <c r="Q1063" s="184" t="s">
        <v>1324</v>
      </c>
      <c r="R1063" s="183" t="s">
        <v>18</v>
      </c>
      <c r="S1063" s="183"/>
      <c r="T1063" s="184"/>
      <c r="U1063" s="184"/>
      <c r="V1063" s="184"/>
      <c r="W1063" s="184"/>
      <c r="X1063" s="179"/>
      <c r="Y1063" s="179"/>
      <c r="Z1063" s="179"/>
      <c r="AA1063" s="179"/>
    </row>
    <row r="1064" spans="1:27">
      <c r="A1064" s="181">
        <f ca="1">IFERROR(__xludf.DUMMYFUNCTION("IFS(B1064="""","""",ISDATE(B1064)=TRUE,B1064,ISDATE(B1064)=FALSE,TO_DATE(DATEVALUE(regexextract(B1064,""\d+/\d+/\d+""))))"),44784)</f>
        <v>44784</v>
      </c>
      <c r="B1064" s="182" t="s">
        <v>10173</v>
      </c>
      <c r="C1064" s="183" t="s">
        <v>11447</v>
      </c>
      <c r="D1064" s="183">
        <v>2</v>
      </c>
      <c r="E1064" s="183" t="s">
        <v>8626</v>
      </c>
      <c r="F1064" s="183" t="s">
        <v>3</v>
      </c>
      <c r="G1064" s="183" t="s">
        <v>460</v>
      </c>
      <c r="H1064" s="183" t="s">
        <v>8627</v>
      </c>
      <c r="I1064" s="183">
        <v>2</v>
      </c>
      <c r="J1064" s="183" t="s">
        <v>941</v>
      </c>
      <c r="K1064" s="183" t="s">
        <v>8628</v>
      </c>
      <c r="L1064" s="183">
        <v>2</v>
      </c>
      <c r="M1064" s="183" t="s">
        <v>8096</v>
      </c>
      <c r="N1064" s="187">
        <v>3000000</v>
      </c>
      <c r="O1064" s="183" t="s">
        <v>452</v>
      </c>
      <c r="P1064" s="183" t="s">
        <v>3420</v>
      </c>
      <c r="Q1064" s="184"/>
      <c r="R1064" s="183" t="s">
        <v>24</v>
      </c>
      <c r="S1064" s="183"/>
      <c r="T1064" s="184"/>
      <c r="U1064" s="184"/>
      <c r="V1064" s="184"/>
      <c r="W1064" s="184"/>
      <c r="X1064" s="179"/>
      <c r="Y1064" s="179"/>
      <c r="Z1064" s="179"/>
      <c r="AA1064" s="179"/>
    </row>
    <row r="1065" spans="1:27">
      <c r="A1065" s="181">
        <f ca="1">IFERROR(__xludf.DUMMYFUNCTION("IFS(B1065="""","""",ISDATE(B1065)=TRUE,B1065,ISDATE(B1065)=FALSE,TO_DATE(DATEVALUE(regexextract(B1065,""\d+/\d+/\d+""))))"),44784)</f>
        <v>44784</v>
      </c>
      <c r="B1065" s="189" t="s">
        <v>10173</v>
      </c>
      <c r="C1065" s="183" t="s">
        <v>5556</v>
      </c>
      <c r="D1065" s="183">
        <v>3</v>
      </c>
      <c r="E1065" s="183" t="s">
        <v>5559</v>
      </c>
      <c r="F1065" s="183" t="s">
        <v>4</v>
      </c>
      <c r="G1065" s="183" t="s">
        <v>602</v>
      </c>
      <c r="H1065" s="183" t="s">
        <v>5560</v>
      </c>
      <c r="I1065" s="183">
        <v>3</v>
      </c>
      <c r="J1065" s="183" t="s">
        <v>727</v>
      </c>
      <c r="K1065" s="183" t="s">
        <v>11448</v>
      </c>
      <c r="L1065" s="183">
        <v>3</v>
      </c>
      <c r="M1065" s="183" t="s">
        <v>451</v>
      </c>
      <c r="N1065" s="185" t="s">
        <v>5562</v>
      </c>
      <c r="O1065" s="183" t="s">
        <v>452</v>
      </c>
      <c r="P1065" s="183" t="s">
        <v>452</v>
      </c>
      <c r="Q1065" s="183"/>
      <c r="R1065" s="183" t="s">
        <v>24</v>
      </c>
      <c r="S1065" s="184"/>
      <c r="T1065" s="184"/>
      <c r="U1065" s="184"/>
      <c r="V1065" s="184"/>
      <c r="W1065" s="184"/>
      <c r="X1065" s="179"/>
      <c r="Y1065" s="179"/>
      <c r="Z1065" s="179"/>
      <c r="AA1065" s="179"/>
    </row>
    <row r="1066" spans="1:27">
      <c r="A1066" s="181">
        <f ca="1">IFERROR(__xludf.DUMMYFUNCTION("IFS(B1066="""","""",ISDATE(B1066)=TRUE,B1066,ISDATE(B1066)=FALSE,TO_DATE(DATEVALUE(regexextract(B1066,""\d+/\d+/\d+""))))"),44789)</f>
        <v>44789</v>
      </c>
      <c r="B1066" s="182" t="s">
        <v>6450</v>
      </c>
      <c r="C1066" s="183" t="s">
        <v>5210</v>
      </c>
      <c r="D1066" s="183">
        <v>3.25</v>
      </c>
      <c r="E1066" s="183" t="s">
        <v>5213</v>
      </c>
      <c r="F1066" s="183" t="s">
        <v>4</v>
      </c>
      <c r="G1066" s="183" t="s">
        <v>727</v>
      </c>
      <c r="H1066" s="183" t="s">
        <v>11449</v>
      </c>
      <c r="I1066" s="183">
        <v>3.5</v>
      </c>
      <c r="J1066" s="183" t="s">
        <v>1045</v>
      </c>
      <c r="K1066" s="183" t="s">
        <v>5215</v>
      </c>
      <c r="L1066" s="183">
        <v>3</v>
      </c>
      <c r="M1066" s="183" t="s">
        <v>451</v>
      </c>
      <c r="N1066" s="187">
        <v>3600000</v>
      </c>
      <c r="O1066" s="183" t="s">
        <v>465</v>
      </c>
      <c r="P1066" s="183" t="s">
        <v>452</v>
      </c>
      <c r="Q1066" s="184"/>
      <c r="R1066" s="183" t="s">
        <v>24</v>
      </c>
      <c r="S1066" s="183"/>
      <c r="T1066" s="184"/>
      <c r="U1066" s="184"/>
      <c r="V1066" s="184"/>
      <c r="W1066" s="184"/>
      <c r="X1066" s="179"/>
      <c r="Y1066" s="179"/>
      <c r="Z1066" s="179"/>
      <c r="AA1066" s="179"/>
    </row>
    <row r="1067" spans="1:27">
      <c r="A1067" s="181">
        <f ca="1">IFERROR(__xludf.DUMMYFUNCTION("IFS(B1067="""","""",ISDATE(B1067)=TRUE,B1067,ISDATE(B1067)=FALSE,TO_DATE(DATEVALUE(regexextract(B1067,""\d+/\d+/\d+""))))"),44796)</f>
        <v>44796</v>
      </c>
      <c r="B1067" s="182" t="s">
        <v>529</v>
      </c>
      <c r="C1067" s="183" t="s">
        <v>8124</v>
      </c>
      <c r="D1067" s="184">
        <v>1</v>
      </c>
      <c r="E1067" s="183" t="s">
        <v>8127</v>
      </c>
      <c r="F1067" s="183" t="s">
        <v>4</v>
      </c>
      <c r="G1067" s="183" t="s">
        <v>1045</v>
      </c>
      <c r="H1067" s="184" t="s">
        <v>8128</v>
      </c>
      <c r="I1067" s="184">
        <v>1</v>
      </c>
      <c r="J1067" s="183" t="s">
        <v>1036</v>
      </c>
      <c r="K1067" s="184" t="s">
        <v>8129</v>
      </c>
      <c r="L1067" s="184">
        <v>1</v>
      </c>
      <c r="M1067" s="183" t="s">
        <v>784</v>
      </c>
      <c r="N1067" s="187">
        <v>800000</v>
      </c>
      <c r="O1067" s="183" t="s">
        <v>454</v>
      </c>
      <c r="P1067" s="183" t="s">
        <v>8130</v>
      </c>
      <c r="Q1067" s="184" t="s">
        <v>8131</v>
      </c>
      <c r="R1067" s="184" t="s">
        <v>24</v>
      </c>
      <c r="S1067" s="184"/>
      <c r="T1067" s="184"/>
      <c r="U1067" s="184"/>
      <c r="V1067" s="184"/>
      <c r="W1067" s="184"/>
      <c r="X1067" s="179"/>
      <c r="Y1067" s="179"/>
      <c r="Z1067" s="179"/>
      <c r="AA1067" s="179"/>
    </row>
    <row r="1068" spans="1:27">
      <c r="A1068" s="181">
        <f ca="1">IFERROR(__xludf.DUMMYFUNCTION("IFS(B1068="""","""",ISDATE(B1068)=TRUE,B1068,ISDATE(B1068)=FALSE,TO_DATE(DATEVALUE(regexextract(B1068,""\d+/\d+/\d+""))))"),44776)</f>
        <v>44776</v>
      </c>
      <c r="B1068" s="182" t="s">
        <v>10176</v>
      </c>
      <c r="C1068" s="183" t="s">
        <v>71</v>
      </c>
      <c r="D1068" s="183">
        <v>4</v>
      </c>
      <c r="E1068" s="183" t="s">
        <v>11450</v>
      </c>
      <c r="F1068" s="183" t="s">
        <v>5</v>
      </c>
      <c r="G1068" s="183" t="s">
        <v>447</v>
      </c>
      <c r="H1068" s="183" t="s">
        <v>515</v>
      </c>
      <c r="I1068" s="183">
        <v>4</v>
      </c>
      <c r="J1068" s="183" t="s">
        <v>476</v>
      </c>
      <c r="K1068" s="184" t="s">
        <v>11451</v>
      </c>
      <c r="L1068" s="183">
        <v>4</v>
      </c>
      <c r="M1068" s="183"/>
      <c r="N1068" s="187"/>
      <c r="O1068" s="183" t="s">
        <v>452</v>
      </c>
      <c r="P1068" s="183" t="s">
        <v>452</v>
      </c>
      <c r="Q1068" s="183"/>
      <c r="R1068" s="183" t="s">
        <v>18</v>
      </c>
      <c r="S1068" s="183"/>
      <c r="T1068" s="184"/>
      <c r="U1068" s="184"/>
      <c r="V1068" s="184"/>
      <c r="W1068" s="184"/>
      <c r="X1068" s="179"/>
      <c r="Y1068" s="179"/>
      <c r="Z1068" s="179"/>
      <c r="AA1068" s="179"/>
    </row>
    <row r="1069" spans="1:27">
      <c r="A1069" s="181">
        <f ca="1">IFERROR(__xludf.DUMMYFUNCTION("IFS(B1069="""","""",ISDATE(B1069)=TRUE,B1069,ISDATE(B1069)=FALSE,TO_DATE(DATEVALUE(regexextract(B1069,""\d+/\d+/\d+""))))"),44784)</f>
        <v>44784</v>
      </c>
      <c r="B1069" s="182" t="s">
        <v>10173</v>
      </c>
      <c r="C1069" s="183" t="s">
        <v>5064</v>
      </c>
      <c r="D1069" s="184">
        <v>3.25</v>
      </c>
      <c r="E1069" s="184" t="s">
        <v>11452</v>
      </c>
      <c r="F1069" s="183" t="s">
        <v>4</v>
      </c>
      <c r="G1069" s="183" t="s">
        <v>602</v>
      </c>
      <c r="H1069" s="184" t="s">
        <v>5068</v>
      </c>
      <c r="I1069" s="184">
        <v>3</v>
      </c>
      <c r="J1069" s="183" t="s">
        <v>1054</v>
      </c>
      <c r="K1069" s="184" t="s">
        <v>5069</v>
      </c>
      <c r="L1069" s="184">
        <v>3.5</v>
      </c>
      <c r="M1069" s="183"/>
      <c r="N1069" s="185"/>
      <c r="O1069" s="183" t="s">
        <v>452</v>
      </c>
      <c r="P1069" s="183" t="s">
        <v>5070</v>
      </c>
      <c r="Q1069" s="184"/>
      <c r="R1069" s="184" t="s">
        <v>24</v>
      </c>
      <c r="S1069" s="184"/>
      <c r="T1069" s="184"/>
      <c r="U1069" s="184"/>
      <c r="V1069" s="184"/>
      <c r="W1069" s="184"/>
      <c r="X1069" s="179"/>
      <c r="Y1069" s="179"/>
      <c r="Z1069" s="179"/>
      <c r="AA1069" s="179"/>
    </row>
    <row r="1070" spans="1:27">
      <c r="A1070" s="181">
        <f ca="1">IFERROR(__xludf.DUMMYFUNCTION("IFS(B1070="""","""",ISDATE(B1070)=TRUE,B1070,ISDATE(B1070)=FALSE,TO_DATE(DATEVALUE(regexextract(B1070,""\d+/\d+/\d+""))))"),44784)</f>
        <v>44784</v>
      </c>
      <c r="B1070" s="182" t="s">
        <v>10173</v>
      </c>
      <c r="C1070" s="183" t="s">
        <v>9079</v>
      </c>
      <c r="D1070" s="183">
        <v>2</v>
      </c>
      <c r="E1070" s="183" t="s">
        <v>9082</v>
      </c>
      <c r="F1070" s="183" t="s">
        <v>3</v>
      </c>
      <c r="G1070" s="183" t="s">
        <v>460</v>
      </c>
      <c r="H1070" s="183" t="s">
        <v>9083</v>
      </c>
      <c r="I1070" s="183">
        <v>2</v>
      </c>
      <c r="J1070" s="183" t="s">
        <v>941</v>
      </c>
      <c r="K1070" s="183" t="s">
        <v>9084</v>
      </c>
      <c r="L1070" s="183">
        <v>2</v>
      </c>
      <c r="M1070" s="183"/>
      <c r="N1070" s="185"/>
      <c r="O1070" s="183" t="s">
        <v>452</v>
      </c>
      <c r="P1070" s="183" t="s">
        <v>9085</v>
      </c>
      <c r="Q1070" s="183"/>
      <c r="R1070" s="183" t="s">
        <v>24</v>
      </c>
      <c r="S1070" s="184"/>
      <c r="T1070" s="184"/>
      <c r="U1070" s="184"/>
      <c r="V1070" s="184"/>
      <c r="W1070" s="184"/>
      <c r="X1070" s="179"/>
      <c r="Y1070" s="179"/>
      <c r="Z1070" s="179"/>
      <c r="AA1070" s="179"/>
    </row>
    <row r="1071" spans="1:27">
      <c r="A1071" s="181">
        <f ca="1">IFERROR(__xludf.DUMMYFUNCTION("IFS(B1071="""","""",ISDATE(B1071)=TRUE,B1071,ISDATE(B1071)=FALSE,TO_DATE(DATEVALUE(regexextract(B1071,""\d+/\d+/\d+""))))"),44784)</f>
        <v>44784</v>
      </c>
      <c r="B1071" s="182" t="s">
        <v>10173</v>
      </c>
      <c r="C1071" s="183" t="s">
        <v>8082</v>
      </c>
      <c r="D1071" s="184">
        <v>1.25</v>
      </c>
      <c r="E1071" s="191" t="s">
        <v>8085</v>
      </c>
      <c r="F1071" s="183" t="s">
        <v>4</v>
      </c>
      <c r="G1071" s="183" t="s">
        <v>602</v>
      </c>
      <c r="H1071" s="184" t="s">
        <v>8086</v>
      </c>
      <c r="I1071" s="184">
        <v>1</v>
      </c>
      <c r="J1071" s="183" t="s">
        <v>476</v>
      </c>
      <c r="K1071" s="183" t="s">
        <v>11453</v>
      </c>
      <c r="L1071" s="183">
        <v>1.5</v>
      </c>
      <c r="M1071" s="183" t="s">
        <v>451</v>
      </c>
      <c r="N1071" s="187">
        <v>2000000</v>
      </c>
      <c r="O1071" s="183" t="s">
        <v>454</v>
      </c>
      <c r="P1071" s="183" t="s">
        <v>8088</v>
      </c>
      <c r="Q1071" s="183"/>
      <c r="R1071" s="184" t="s">
        <v>24</v>
      </c>
      <c r="S1071" s="184"/>
      <c r="T1071" s="184"/>
      <c r="U1071" s="184"/>
      <c r="V1071" s="184"/>
      <c r="W1071" s="184"/>
      <c r="X1071" s="179"/>
      <c r="Y1071" s="179"/>
      <c r="Z1071" s="179"/>
      <c r="AA1071" s="179"/>
    </row>
    <row r="1072" spans="1:27">
      <c r="A1072" s="181">
        <f ca="1">IFERROR(__xludf.DUMMYFUNCTION("IFS(B1072="""","""",ISDATE(B1072)=TRUE,B1072,ISDATE(B1072)=FALSE,TO_DATE(DATEVALUE(regexextract(B1072,""\d+/\d+/\d+""))))"),44776)</f>
        <v>44776</v>
      </c>
      <c r="B1072" s="182" t="s">
        <v>10176</v>
      </c>
      <c r="C1072" s="183" t="s">
        <v>69</v>
      </c>
      <c r="D1072" s="183">
        <v>5</v>
      </c>
      <c r="E1072" s="183" t="s">
        <v>506</v>
      </c>
      <c r="F1072" s="183" t="s">
        <v>5</v>
      </c>
      <c r="G1072" s="183" t="s">
        <v>447</v>
      </c>
      <c r="H1072" s="183"/>
      <c r="I1072" s="183">
        <v>5</v>
      </c>
      <c r="J1072" s="183" t="s">
        <v>449</v>
      </c>
      <c r="K1072" s="183" t="s">
        <v>11454</v>
      </c>
      <c r="L1072" s="183">
        <v>5</v>
      </c>
      <c r="M1072" s="183" t="s">
        <v>451</v>
      </c>
      <c r="N1072" s="185">
        <v>3000000</v>
      </c>
      <c r="O1072" s="183" t="s">
        <v>452</v>
      </c>
      <c r="P1072" s="183" t="s">
        <v>508</v>
      </c>
      <c r="Q1072" s="184"/>
      <c r="R1072" s="183" t="s">
        <v>18</v>
      </c>
      <c r="S1072" s="184" t="s">
        <v>509</v>
      </c>
      <c r="T1072" s="184"/>
      <c r="U1072" s="184"/>
      <c r="V1072" s="184"/>
      <c r="W1072" s="184"/>
      <c r="X1072" s="179"/>
      <c r="Y1072" s="179"/>
      <c r="Z1072" s="179"/>
      <c r="AA1072" s="179"/>
    </row>
    <row r="1073" spans="1:27">
      <c r="A1073" s="181">
        <f ca="1">IFERROR(__xludf.DUMMYFUNCTION("IFS(B1073="""","""",ISDATE(B1073)=TRUE,B1073,ISDATE(B1073)=FALSE,TO_DATE(DATEVALUE(regexextract(B1073,""\d+/\d+/\d+""))))"),44784)</f>
        <v>44784</v>
      </c>
      <c r="B1073" s="182" t="s">
        <v>10173</v>
      </c>
      <c r="C1073" s="183" t="s">
        <v>8041</v>
      </c>
      <c r="D1073" s="183">
        <v>1.5</v>
      </c>
      <c r="E1073" s="183" t="s">
        <v>8044</v>
      </c>
      <c r="F1073" s="183" t="s">
        <v>4</v>
      </c>
      <c r="G1073" s="183" t="s">
        <v>602</v>
      </c>
      <c r="H1073" s="183" t="s">
        <v>8045</v>
      </c>
      <c r="I1073" s="183">
        <v>1</v>
      </c>
      <c r="J1073" s="183" t="s">
        <v>476</v>
      </c>
      <c r="K1073" s="183" t="s">
        <v>11455</v>
      </c>
      <c r="L1073" s="183">
        <v>2</v>
      </c>
      <c r="M1073" s="183" t="s">
        <v>478</v>
      </c>
      <c r="N1073" s="187">
        <v>3000</v>
      </c>
      <c r="O1073" s="183" t="s">
        <v>452</v>
      </c>
      <c r="P1073" s="183" t="s">
        <v>8047</v>
      </c>
      <c r="Q1073" s="184"/>
      <c r="R1073" s="183" t="s">
        <v>24</v>
      </c>
      <c r="S1073" s="184"/>
      <c r="T1073" s="184"/>
      <c r="U1073" s="184"/>
      <c r="V1073" s="184"/>
      <c r="W1073" s="184"/>
      <c r="X1073" s="179"/>
      <c r="Y1073" s="179"/>
      <c r="Z1073" s="179"/>
      <c r="AA1073" s="179"/>
    </row>
    <row r="1074" spans="1:27">
      <c r="A1074" s="181">
        <f ca="1">IFERROR(__xludf.DUMMYFUNCTION("IFS(B1074="""","""",ISDATE(B1074)=TRUE,B1074,ISDATE(B1074)=FALSE,TO_DATE(DATEVALUE(regexextract(B1074,""\d+/\d+/\d+""))))"),44796)</f>
        <v>44796</v>
      </c>
      <c r="B1074" s="182" t="s">
        <v>529</v>
      </c>
      <c r="C1074" s="183" t="s">
        <v>9899</v>
      </c>
      <c r="D1074" s="183">
        <v>3.75</v>
      </c>
      <c r="E1074" s="183" t="s">
        <v>9902</v>
      </c>
      <c r="F1074" s="183" t="s">
        <v>3</v>
      </c>
      <c r="G1074" s="183" t="s">
        <v>460</v>
      </c>
      <c r="H1074" s="183" t="s">
        <v>9903</v>
      </c>
      <c r="I1074" s="183">
        <v>3.5</v>
      </c>
      <c r="J1074" s="183" t="s">
        <v>462</v>
      </c>
      <c r="K1074" s="183" t="s">
        <v>9904</v>
      </c>
      <c r="L1074" s="183">
        <v>4</v>
      </c>
      <c r="M1074" s="183" t="s">
        <v>478</v>
      </c>
      <c r="N1074" s="187" t="s">
        <v>4966</v>
      </c>
      <c r="O1074" s="183" t="s">
        <v>465</v>
      </c>
      <c r="P1074" s="183" t="s">
        <v>9905</v>
      </c>
      <c r="Q1074" s="184" t="s">
        <v>9906</v>
      </c>
      <c r="R1074" s="183" t="s">
        <v>23</v>
      </c>
      <c r="S1074" s="184" t="s">
        <v>9907</v>
      </c>
      <c r="T1074" s="184"/>
      <c r="U1074" s="184"/>
      <c r="V1074" s="184"/>
      <c r="W1074" s="184"/>
      <c r="X1074" s="179"/>
      <c r="Y1074" s="179"/>
      <c r="Z1074" s="179"/>
      <c r="AA1074" s="179"/>
    </row>
    <row r="1075" spans="1:27">
      <c r="A1075" s="181">
        <f ca="1">IFERROR(__xludf.DUMMYFUNCTION("IFS(B1075="""","""",ISDATE(B1075)=TRUE,B1075,ISDATE(B1075)=FALSE,TO_DATE(DATEVALUE(regexextract(B1075,""\d+/\d+/\d+""))))"),44784)</f>
        <v>44784</v>
      </c>
      <c r="B1075" s="182" t="s">
        <v>10173</v>
      </c>
      <c r="C1075" s="183" t="s">
        <v>241</v>
      </c>
      <c r="D1075" s="184">
        <v>4.25</v>
      </c>
      <c r="E1075" s="183" t="s">
        <v>11456</v>
      </c>
      <c r="F1075" s="183" t="s">
        <v>4</v>
      </c>
      <c r="G1075" s="183" t="s">
        <v>602</v>
      </c>
      <c r="H1075" s="184" t="s">
        <v>1418</v>
      </c>
      <c r="I1075" s="184">
        <v>4</v>
      </c>
      <c r="J1075" s="183" t="s">
        <v>727</v>
      </c>
      <c r="K1075" s="184" t="s">
        <v>11457</v>
      </c>
      <c r="L1075" s="184">
        <v>4.5</v>
      </c>
      <c r="M1075" s="183" t="s">
        <v>478</v>
      </c>
      <c r="N1075" s="187" t="s">
        <v>1420</v>
      </c>
      <c r="O1075" s="183" t="s">
        <v>454</v>
      </c>
      <c r="P1075" s="183" t="s">
        <v>1421</v>
      </c>
      <c r="Q1075" s="184" t="s">
        <v>1422</v>
      </c>
      <c r="R1075" s="184" t="s">
        <v>18</v>
      </c>
      <c r="S1075" s="184" t="s">
        <v>1423</v>
      </c>
      <c r="T1075" s="184"/>
      <c r="U1075" s="184"/>
      <c r="V1075" s="184"/>
      <c r="W1075" s="184"/>
      <c r="X1075" s="179"/>
      <c r="Y1075" s="179"/>
      <c r="Z1075" s="179"/>
      <c r="AA1075" s="179"/>
    </row>
    <row r="1076" spans="1:27">
      <c r="A1076" s="181">
        <f ca="1">IFERROR(__xludf.DUMMYFUNCTION("IFS(B1076="""","""",ISDATE(B1076)=TRUE,B1076,ISDATE(B1076)=FALSE,TO_DATE(DATEVALUE(regexextract(B1076,""\d+/\d+/\d+""))))"),44796)</f>
        <v>44796</v>
      </c>
      <c r="B1076" s="189" t="s">
        <v>529</v>
      </c>
      <c r="C1076" s="183" t="s">
        <v>5435</v>
      </c>
      <c r="D1076" s="183">
        <v>3</v>
      </c>
      <c r="E1076" s="183" t="s">
        <v>5438</v>
      </c>
      <c r="F1076" s="183" t="s">
        <v>4</v>
      </c>
      <c r="G1076" s="183" t="s">
        <v>1045</v>
      </c>
      <c r="H1076" s="183" t="s">
        <v>5439</v>
      </c>
      <c r="I1076" s="183">
        <v>3</v>
      </c>
      <c r="J1076" s="183" t="s">
        <v>1073</v>
      </c>
      <c r="K1076" s="183"/>
      <c r="L1076" s="183">
        <v>3</v>
      </c>
      <c r="M1076" s="184"/>
      <c r="N1076" s="188"/>
      <c r="O1076" s="183" t="s">
        <v>452</v>
      </c>
      <c r="P1076" s="183" t="s">
        <v>452</v>
      </c>
      <c r="Q1076" s="183"/>
      <c r="R1076" s="183" t="s">
        <v>24</v>
      </c>
      <c r="S1076" s="184"/>
      <c r="T1076" s="184"/>
      <c r="U1076" s="184"/>
      <c r="V1076" s="184"/>
      <c r="W1076" s="184"/>
      <c r="X1076" s="179"/>
      <c r="Y1076" s="179"/>
      <c r="Z1076" s="179"/>
      <c r="AA1076" s="179"/>
    </row>
    <row r="1077" spans="1:27">
      <c r="A1077" s="181">
        <f ca="1">IFERROR(__xludf.DUMMYFUNCTION("IFS(B1077="""","""",ISDATE(B1077)=TRUE,B1077,ISDATE(B1077)=FALSE,TO_DATE(DATEVALUE(regexextract(B1077,""\d+/\d+/\d+""))))"),44776)</f>
        <v>44776</v>
      </c>
      <c r="B1077" s="182" t="s">
        <v>10176</v>
      </c>
      <c r="C1077" s="183" t="s">
        <v>305</v>
      </c>
      <c r="D1077" s="184">
        <v>3.5</v>
      </c>
      <c r="E1077" s="183" t="s">
        <v>9560</v>
      </c>
      <c r="F1077" s="183" t="s">
        <v>4</v>
      </c>
      <c r="G1077" s="183" t="s">
        <v>447</v>
      </c>
      <c r="H1077" s="184" t="s">
        <v>9561</v>
      </c>
      <c r="I1077" s="184">
        <v>3</v>
      </c>
      <c r="J1077" s="183" t="s">
        <v>449</v>
      </c>
      <c r="K1077" s="184" t="s">
        <v>11458</v>
      </c>
      <c r="L1077" s="184">
        <v>4</v>
      </c>
      <c r="M1077" s="184" t="s">
        <v>451</v>
      </c>
      <c r="N1077" s="186" t="s">
        <v>2018</v>
      </c>
      <c r="O1077" s="183" t="s">
        <v>465</v>
      </c>
      <c r="P1077" s="183" t="s">
        <v>9563</v>
      </c>
      <c r="Q1077" s="183"/>
      <c r="R1077" s="184" t="s">
        <v>20</v>
      </c>
      <c r="S1077" s="184" t="s">
        <v>9564</v>
      </c>
      <c r="T1077" s="184"/>
      <c r="U1077" s="184"/>
      <c r="V1077" s="184"/>
      <c r="W1077" s="184"/>
      <c r="X1077" s="179"/>
      <c r="Y1077" s="179"/>
      <c r="Z1077" s="179"/>
      <c r="AA1077" s="179"/>
    </row>
    <row r="1078" spans="1:27">
      <c r="A1078" s="181">
        <f ca="1">IFERROR(__xludf.DUMMYFUNCTION("IFS(B1078="""","""",ISDATE(B1078)=TRUE,B1078,ISDATE(B1078)=FALSE,TO_DATE(DATEVALUE(regexextract(B1078,""\d+/\d+/\d+""))))"),44784)</f>
        <v>44784</v>
      </c>
      <c r="B1078" s="182" t="s">
        <v>10173</v>
      </c>
      <c r="C1078" s="183" t="s">
        <v>4561</v>
      </c>
      <c r="D1078" s="183">
        <v>3.5</v>
      </c>
      <c r="E1078" s="183" t="s">
        <v>4564</v>
      </c>
      <c r="F1078" s="183" t="s">
        <v>4</v>
      </c>
      <c r="G1078" s="183" t="s">
        <v>602</v>
      </c>
      <c r="H1078" s="183" t="s">
        <v>4565</v>
      </c>
      <c r="I1078" s="183">
        <v>4</v>
      </c>
      <c r="J1078" s="183" t="s">
        <v>476</v>
      </c>
      <c r="K1078" s="183" t="s">
        <v>11459</v>
      </c>
      <c r="L1078" s="183">
        <v>3</v>
      </c>
      <c r="M1078" s="183" t="s">
        <v>451</v>
      </c>
      <c r="N1078" s="185">
        <v>1500000</v>
      </c>
      <c r="O1078" s="183" t="s">
        <v>452</v>
      </c>
      <c r="P1078" s="183" t="s">
        <v>1028</v>
      </c>
      <c r="Q1078" s="184"/>
      <c r="R1078" s="183" t="s">
        <v>24</v>
      </c>
      <c r="S1078" s="184"/>
      <c r="T1078" s="184"/>
      <c r="U1078" s="184"/>
      <c r="V1078" s="184"/>
      <c r="W1078" s="184"/>
      <c r="X1078" s="179"/>
      <c r="Y1078" s="179"/>
      <c r="Z1078" s="179"/>
      <c r="AA1078" s="179"/>
    </row>
    <row r="1079" spans="1:27">
      <c r="A1079" s="181">
        <f ca="1">IFERROR(__xludf.DUMMYFUNCTION("IFS(B1079="""","""",ISDATE(B1079)=TRUE,B1079,ISDATE(B1079)=FALSE,TO_DATE(DATEVALUE(regexextract(B1079,""\d+/\d+/\d+""))))"),44789)</f>
        <v>44789</v>
      </c>
      <c r="B1079" s="182" t="s">
        <v>6450</v>
      </c>
      <c r="C1079" s="183" t="s">
        <v>309</v>
      </c>
      <c r="D1079" s="183">
        <v>4.75</v>
      </c>
      <c r="E1079" s="183" t="s">
        <v>1593</v>
      </c>
      <c r="F1079" s="183" t="s">
        <v>4</v>
      </c>
      <c r="G1079" s="183" t="s">
        <v>727</v>
      </c>
      <c r="H1079" s="183" t="s">
        <v>11460</v>
      </c>
      <c r="I1079" s="183">
        <v>5</v>
      </c>
      <c r="J1079" s="183" t="s">
        <v>1045</v>
      </c>
      <c r="K1079" s="184" t="s">
        <v>1595</v>
      </c>
      <c r="L1079" s="183">
        <v>4.5</v>
      </c>
      <c r="M1079" s="183" t="s">
        <v>451</v>
      </c>
      <c r="N1079" s="187">
        <v>1500000</v>
      </c>
      <c r="O1079" s="183" t="s">
        <v>452</v>
      </c>
      <c r="P1079" s="183" t="s">
        <v>1119</v>
      </c>
      <c r="Q1079" s="184"/>
      <c r="R1079" s="183" t="s">
        <v>18</v>
      </c>
      <c r="S1079" s="184" t="s">
        <v>11461</v>
      </c>
      <c r="T1079" s="184"/>
      <c r="U1079" s="184"/>
      <c r="V1079" s="184"/>
      <c r="W1079" s="184"/>
      <c r="X1079" s="179"/>
      <c r="Y1079" s="179"/>
      <c r="Z1079" s="179"/>
      <c r="AA1079" s="179"/>
    </row>
    <row r="1080" spans="1:27">
      <c r="A1080" s="181">
        <f ca="1">IFERROR(__xludf.DUMMYFUNCTION("IFS(B1080="""","""",ISDATE(B1080)=TRUE,B1080,ISDATE(B1080)=FALSE,TO_DATE(DATEVALUE(regexextract(B1080,""\d+/\d+/\d+""))))"),44789)</f>
        <v>44789</v>
      </c>
      <c r="B1080" s="182" t="s">
        <v>6450</v>
      </c>
      <c r="C1080" s="183" t="s">
        <v>304</v>
      </c>
      <c r="D1080" s="183">
        <v>3.5</v>
      </c>
      <c r="E1080" s="183" t="s">
        <v>9526</v>
      </c>
      <c r="F1080" s="183" t="s">
        <v>4</v>
      </c>
      <c r="G1080" s="183" t="s">
        <v>460</v>
      </c>
      <c r="H1080" s="183" t="s">
        <v>11462</v>
      </c>
      <c r="I1080" s="183">
        <v>3</v>
      </c>
      <c r="J1080" s="183" t="s">
        <v>488</v>
      </c>
      <c r="K1080" s="183" t="s">
        <v>9528</v>
      </c>
      <c r="L1080" s="183">
        <v>4</v>
      </c>
      <c r="M1080" s="183"/>
      <c r="N1080" s="185"/>
      <c r="O1080" s="183" t="s">
        <v>452</v>
      </c>
      <c r="P1080" s="183" t="s">
        <v>9529</v>
      </c>
      <c r="Q1080" s="183"/>
      <c r="R1080" s="183" t="s">
        <v>20</v>
      </c>
      <c r="S1080" s="183" t="s">
        <v>9530</v>
      </c>
      <c r="T1080" s="184"/>
      <c r="U1080" s="184"/>
      <c r="V1080" s="184"/>
      <c r="W1080" s="184"/>
      <c r="X1080" s="179"/>
      <c r="Y1080" s="179"/>
      <c r="Z1080" s="179"/>
      <c r="AA1080" s="179"/>
    </row>
    <row r="1081" spans="1:27">
      <c r="A1081" s="181">
        <f ca="1">IFERROR(__xludf.DUMMYFUNCTION("IFS(B1081="""","""",ISDATE(B1081)=TRUE,B1081,ISDATE(B1081)=FALSE,TO_DATE(DATEVALUE(regexextract(B1081,""\d+/\d+/\d+""))))"),44784)</f>
        <v>44784</v>
      </c>
      <c r="B1081" s="182" t="s">
        <v>10173</v>
      </c>
      <c r="C1081" s="183" t="s">
        <v>6253</v>
      </c>
      <c r="D1081" s="184">
        <v>2.5</v>
      </c>
      <c r="E1081" s="184" t="s">
        <v>6256</v>
      </c>
      <c r="F1081" s="183" t="s">
        <v>4</v>
      </c>
      <c r="G1081" s="183" t="s">
        <v>602</v>
      </c>
      <c r="H1081" s="184" t="s">
        <v>6257</v>
      </c>
      <c r="I1081" s="184">
        <v>2</v>
      </c>
      <c r="J1081" s="183" t="s">
        <v>476</v>
      </c>
      <c r="K1081" s="183" t="s">
        <v>11463</v>
      </c>
      <c r="L1081" s="183">
        <v>3</v>
      </c>
      <c r="M1081" s="183"/>
      <c r="N1081" s="185"/>
      <c r="O1081" s="183" t="s">
        <v>452</v>
      </c>
      <c r="P1081" s="183" t="s">
        <v>6259</v>
      </c>
      <c r="Q1081" s="184" t="s">
        <v>6260</v>
      </c>
      <c r="R1081" s="184" t="s">
        <v>24</v>
      </c>
      <c r="S1081" s="184"/>
      <c r="T1081" s="184"/>
      <c r="U1081" s="184"/>
      <c r="V1081" s="184"/>
      <c r="W1081" s="184"/>
      <c r="X1081" s="179"/>
      <c r="Y1081" s="179"/>
      <c r="Z1081" s="179"/>
      <c r="AA1081" s="179"/>
    </row>
    <row r="1082" spans="1:27">
      <c r="A1082" s="181">
        <f ca="1">IFERROR(__xludf.DUMMYFUNCTION("IFS(B1082="""","""",ISDATE(B1082)=TRUE,B1082,ISDATE(B1082)=FALSE,TO_DATE(DATEVALUE(regexextract(B1082,""\d+/\d+/\d+""))))"),44789)</f>
        <v>44789</v>
      </c>
      <c r="B1082" s="189" t="s">
        <v>6450</v>
      </c>
      <c r="C1082" s="183" t="s">
        <v>183</v>
      </c>
      <c r="D1082" s="183">
        <v>4</v>
      </c>
      <c r="E1082" s="183" t="s">
        <v>1159</v>
      </c>
      <c r="F1082" s="183" t="s">
        <v>4</v>
      </c>
      <c r="G1082" s="183" t="s">
        <v>727</v>
      </c>
      <c r="H1082" s="183" t="s">
        <v>11464</v>
      </c>
      <c r="I1082" s="183">
        <v>4</v>
      </c>
      <c r="J1082" s="183" t="s">
        <v>1045</v>
      </c>
      <c r="K1082" s="183" t="s">
        <v>1161</v>
      </c>
      <c r="L1082" s="183">
        <v>4</v>
      </c>
      <c r="M1082" s="184"/>
      <c r="N1082" s="188"/>
      <c r="O1082" s="183"/>
      <c r="P1082" s="183" t="s">
        <v>1162</v>
      </c>
      <c r="Q1082" s="184"/>
      <c r="R1082" s="183" t="s">
        <v>18</v>
      </c>
      <c r="S1082" s="183"/>
      <c r="T1082" s="184"/>
      <c r="U1082" s="184"/>
      <c r="V1082" s="184"/>
      <c r="W1082" s="184"/>
      <c r="X1082" s="179"/>
      <c r="Y1082" s="179"/>
      <c r="Z1082" s="179"/>
      <c r="AA1082" s="179"/>
    </row>
    <row r="1083" spans="1:27">
      <c r="A1083" s="181">
        <f ca="1">IFERROR(__xludf.DUMMYFUNCTION("IFS(B1083="""","""",ISDATE(B1083)=TRUE,B1083,ISDATE(B1083)=FALSE,TO_DATE(DATEVALUE(regexextract(B1083,""\d+/\d+/\d+""))))"),44784)</f>
        <v>44784</v>
      </c>
      <c r="B1083" s="189" t="s">
        <v>10173</v>
      </c>
      <c r="C1083" s="183" t="s">
        <v>8183</v>
      </c>
      <c r="D1083" s="184">
        <v>1</v>
      </c>
      <c r="E1083" s="183" t="s">
        <v>8186</v>
      </c>
      <c r="F1083" s="183" t="s">
        <v>4</v>
      </c>
      <c r="G1083" s="183" t="s">
        <v>602</v>
      </c>
      <c r="H1083" s="184" t="s">
        <v>8187</v>
      </c>
      <c r="I1083" s="184">
        <v>1</v>
      </c>
      <c r="J1083" s="183" t="s">
        <v>476</v>
      </c>
      <c r="K1083" s="183" t="s">
        <v>11465</v>
      </c>
      <c r="L1083" s="183">
        <v>1</v>
      </c>
      <c r="M1083" s="183" t="s">
        <v>451</v>
      </c>
      <c r="N1083" s="185" t="s">
        <v>8189</v>
      </c>
      <c r="O1083" s="183" t="s">
        <v>452</v>
      </c>
      <c r="P1083" s="183" t="s">
        <v>8190</v>
      </c>
      <c r="Q1083" s="184"/>
      <c r="R1083" s="184" t="s">
        <v>24</v>
      </c>
      <c r="S1083" s="184"/>
      <c r="T1083" s="184"/>
      <c r="U1083" s="184"/>
      <c r="V1083" s="184"/>
      <c r="W1083" s="184"/>
      <c r="X1083" s="179"/>
      <c r="Y1083" s="179"/>
      <c r="Z1083" s="179"/>
      <c r="AA1083" s="179"/>
    </row>
    <row r="1084" spans="1:27">
      <c r="A1084" s="181">
        <f ca="1">IFERROR(__xludf.DUMMYFUNCTION("IFS(B1084="""","""",ISDATE(B1084)=TRUE,B1084,ISDATE(B1084)=FALSE,TO_DATE(DATEVALUE(regexextract(B1084,""\d+/\d+/\d+""))))"),44789)</f>
        <v>44789</v>
      </c>
      <c r="B1084" s="189" t="s">
        <v>6450</v>
      </c>
      <c r="C1084" s="183" t="s">
        <v>317</v>
      </c>
      <c r="D1084" s="183">
        <v>4.25</v>
      </c>
      <c r="E1084" s="183" t="s">
        <v>1752</v>
      </c>
      <c r="F1084" s="183" t="s">
        <v>3</v>
      </c>
      <c r="G1084" s="183" t="s">
        <v>460</v>
      </c>
      <c r="H1084" s="183" t="s">
        <v>1753</v>
      </c>
      <c r="I1084" s="183">
        <v>4.5</v>
      </c>
      <c r="J1084" s="183" t="s">
        <v>462</v>
      </c>
      <c r="K1084" s="183" t="s">
        <v>1754</v>
      </c>
      <c r="L1084" s="183">
        <v>4</v>
      </c>
      <c r="M1084" s="183" t="s">
        <v>451</v>
      </c>
      <c r="N1084" s="187">
        <v>4000000</v>
      </c>
      <c r="O1084" s="183" t="s">
        <v>452</v>
      </c>
      <c r="P1084" s="183" t="s">
        <v>1755</v>
      </c>
      <c r="Q1084" s="184" t="s">
        <v>1756</v>
      </c>
      <c r="R1084" s="183" t="s">
        <v>18</v>
      </c>
      <c r="S1084" s="184"/>
      <c r="T1084" s="184"/>
      <c r="U1084" s="184"/>
      <c r="V1084" s="184"/>
      <c r="W1084" s="184"/>
      <c r="X1084" s="179"/>
      <c r="Y1084" s="179"/>
      <c r="Z1084" s="179"/>
      <c r="AA1084" s="179"/>
    </row>
    <row r="1085" spans="1:27">
      <c r="A1085" s="181">
        <f ca="1">IFERROR(__xludf.DUMMYFUNCTION("IFS(B1085="""","""",ISDATE(B1085)=TRUE,B1085,ISDATE(B1085)=FALSE,TO_DATE(DATEVALUE(regexextract(B1085,""\d+/\d+/\d+""))))"),44791)</f>
        <v>44791</v>
      </c>
      <c r="B1085" s="182" t="s">
        <v>10182</v>
      </c>
      <c r="C1085" s="191" t="s">
        <v>213</v>
      </c>
      <c r="D1085" s="183">
        <v>4.5</v>
      </c>
      <c r="E1085" s="183" t="s">
        <v>1296</v>
      </c>
      <c r="F1085" s="183" t="s">
        <v>4</v>
      </c>
      <c r="G1085" s="183" t="s">
        <v>727</v>
      </c>
      <c r="H1085" s="183" t="s">
        <v>11466</v>
      </c>
      <c r="I1085" s="183">
        <v>5</v>
      </c>
      <c r="J1085" s="183" t="s">
        <v>1298</v>
      </c>
      <c r="K1085" s="183" t="s">
        <v>11467</v>
      </c>
      <c r="L1085" s="183">
        <v>4</v>
      </c>
      <c r="M1085" s="184" t="s">
        <v>973</v>
      </c>
      <c r="N1085" s="186">
        <v>40000000</v>
      </c>
      <c r="O1085" s="183" t="s">
        <v>465</v>
      </c>
      <c r="P1085" s="183" t="s">
        <v>452</v>
      </c>
      <c r="Q1085" s="184"/>
      <c r="R1085" s="183" t="s">
        <v>18</v>
      </c>
      <c r="S1085" s="184"/>
      <c r="T1085" s="184"/>
      <c r="U1085" s="184"/>
      <c r="V1085" s="184"/>
      <c r="W1085" s="184"/>
      <c r="X1085" s="179"/>
      <c r="Y1085" s="179"/>
      <c r="Z1085" s="179"/>
      <c r="AA1085" s="179"/>
    </row>
    <row r="1086" spans="1:27">
      <c r="A1086" s="181">
        <f ca="1">IFERROR(__xludf.DUMMYFUNCTION("IFS(B1086="""","""",ISDATE(B1086)=TRUE,B1086,ISDATE(B1086)=FALSE,TO_DATE(DATEVALUE(regexextract(B1086,""\d+/\d+/\d+""))))"),44782)</f>
        <v>44782</v>
      </c>
      <c r="B1086" s="182" t="s">
        <v>10188</v>
      </c>
      <c r="C1086" s="183" t="s">
        <v>6502</v>
      </c>
      <c r="D1086" s="184">
        <v>2.5</v>
      </c>
      <c r="E1086" s="184" t="s">
        <v>11468</v>
      </c>
      <c r="F1086" s="183" t="s">
        <v>4</v>
      </c>
      <c r="G1086" s="183" t="s">
        <v>602</v>
      </c>
      <c r="H1086" s="183" t="s">
        <v>6506</v>
      </c>
      <c r="I1086" s="183">
        <v>2</v>
      </c>
      <c r="J1086" s="183" t="s">
        <v>1054</v>
      </c>
      <c r="K1086" s="184" t="s">
        <v>6507</v>
      </c>
      <c r="L1086" s="184">
        <v>3</v>
      </c>
      <c r="M1086" s="183" t="s">
        <v>451</v>
      </c>
      <c r="N1086" s="187">
        <v>1000000</v>
      </c>
      <c r="O1086" s="183" t="s">
        <v>452</v>
      </c>
      <c r="P1086" s="183" t="s">
        <v>6508</v>
      </c>
      <c r="Q1086" s="184" t="s">
        <v>6509</v>
      </c>
      <c r="R1086" s="184" t="s">
        <v>24</v>
      </c>
      <c r="S1086" s="184"/>
      <c r="T1086" s="184"/>
      <c r="U1086" s="184"/>
      <c r="V1086" s="184"/>
      <c r="W1086" s="184"/>
      <c r="X1086" s="179"/>
      <c r="Y1086" s="179"/>
      <c r="Z1086" s="179"/>
      <c r="AA1086" s="179"/>
    </row>
    <row r="1087" spans="1:27">
      <c r="A1087" s="181">
        <f ca="1">IFERROR(__xludf.DUMMYFUNCTION("IFS(B1087="""","""",ISDATE(B1087)=TRUE,B1087,ISDATE(B1087)=FALSE,TO_DATE(DATEVALUE(regexextract(B1087,""\d+/\d+/\d+""))))"),44784)</f>
        <v>44784</v>
      </c>
      <c r="B1087" s="182" t="s">
        <v>10173</v>
      </c>
      <c r="C1087" s="183" t="s">
        <v>388</v>
      </c>
      <c r="D1087" s="183">
        <v>3.5</v>
      </c>
      <c r="E1087" s="183" t="s">
        <v>9927</v>
      </c>
      <c r="F1087" s="183" t="s">
        <v>3</v>
      </c>
      <c r="G1087" s="183" t="s">
        <v>460</v>
      </c>
      <c r="H1087" s="183" t="s">
        <v>9928</v>
      </c>
      <c r="I1087" s="183">
        <v>3</v>
      </c>
      <c r="J1087" s="183" t="s">
        <v>462</v>
      </c>
      <c r="K1087" s="183" t="s">
        <v>9929</v>
      </c>
      <c r="L1087" s="183">
        <v>4</v>
      </c>
      <c r="M1087" s="183" t="s">
        <v>923</v>
      </c>
      <c r="N1087" s="187">
        <v>4000000</v>
      </c>
      <c r="O1087" s="183" t="s">
        <v>452</v>
      </c>
      <c r="P1087" s="183" t="s">
        <v>9930</v>
      </c>
      <c r="Q1087" s="184" t="s">
        <v>460</v>
      </c>
      <c r="R1087" s="183" t="s">
        <v>20</v>
      </c>
      <c r="S1087" s="184" t="s">
        <v>9931</v>
      </c>
      <c r="T1087" s="184"/>
      <c r="U1087" s="184"/>
      <c r="V1087" s="184"/>
      <c r="W1087" s="184"/>
      <c r="X1087" s="179"/>
      <c r="Y1087" s="179"/>
      <c r="Z1087" s="179"/>
      <c r="AA1087" s="179"/>
    </row>
    <row r="1088" spans="1:27">
      <c r="A1088" s="181">
        <f ca="1">IFERROR(__xludf.DUMMYFUNCTION("IFS(B1088="""","""",ISDATE(B1088)=TRUE,B1088,ISDATE(B1088)=FALSE,TO_DATE(DATEVALUE(regexextract(B1088,""\d+/\d+/\d+""))))"),44784)</f>
        <v>44784</v>
      </c>
      <c r="B1088" s="182" t="s">
        <v>10173</v>
      </c>
      <c r="C1088" s="183" t="s">
        <v>6917</v>
      </c>
      <c r="D1088" s="183">
        <v>2.25</v>
      </c>
      <c r="E1088" s="183" t="s">
        <v>6920</v>
      </c>
      <c r="F1088" s="183" t="s">
        <v>4</v>
      </c>
      <c r="G1088" s="183" t="s">
        <v>727</v>
      </c>
      <c r="H1088" s="183"/>
      <c r="I1088" s="183">
        <v>2.5</v>
      </c>
      <c r="J1088" s="183" t="s">
        <v>1054</v>
      </c>
      <c r="K1088" s="184" t="s">
        <v>6921</v>
      </c>
      <c r="L1088" s="183">
        <v>2</v>
      </c>
      <c r="M1088" s="183" t="s">
        <v>478</v>
      </c>
      <c r="N1088" s="187">
        <v>2000000</v>
      </c>
      <c r="O1088" s="183" t="s">
        <v>454</v>
      </c>
      <c r="P1088" s="183" t="s">
        <v>6922</v>
      </c>
      <c r="Q1088" s="184"/>
      <c r="R1088" s="183" t="s">
        <v>24</v>
      </c>
      <c r="S1088" s="184"/>
      <c r="T1088" s="184"/>
      <c r="U1088" s="184"/>
      <c r="V1088" s="184"/>
      <c r="W1088" s="184"/>
      <c r="X1088" s="179"/>
      <c r="Y1088" s="179"/>
      <c r="Z1088" s="179"/>
      <c r="AA1088" s="179"/>
    </row>
    <row r="1089" spans="1:27">
      <c r="A1089" s="181">
        <f ca="1">IFERROR(__xludf.DUMMYFUNCTION("IFS(B1089="""","""",ISDATE(B1089)=TRUE,B1089,ISDATE(B1089)=FALSE,TO_DATE(DATEVALUE(regexextract(B1089,""\d+/\d+/\d+""))))"),44782)</f>
        <v>44782</v>
      </c>
      <c r="B1089" s="189" t="s">
        <v>10188</v>
      </c>
      <c r="C1089" s="183" t="s">
        <v>333</v>
      </c>
      <c r="D1089" s="184">
        <v>4.5</v>
      </c>
      <c r="E1089" s="184" t="s">
        <v>1867</v>
      </c>
      <c r="F1089" s="183" t="s">
        <v>3</v>
      </c>
      <c r="G1089" s="183" t="s">
        <v>460</v>
      </c>
      <c r="H1089" s="184" t="s">
        <v>1868</v>
      </c>
      <c r="I1089" s="184">
        <v>4.5</v>
      </c>
      <c r="J1089" s="183" t="s">
        <v>462</v>
      </c>
      <c r="K1089" s="184" t="s">
        <v>1869</v>
      </c>
      <c r="L1089" s="184">
        <v>4.5</v>
      </c>
      <c r="M1089" s="183"/>
      <c r="N1089" s="187"/>
      <c r="O1089" s="183" t="s">
        <v>452</v>
      </c>
      <c r="P1089" s="183" t="s">
        <v>452</v>
      </c>
      <c r="Q1089" s="184"/>
      <c r="R1089" s="184" t="s">
        <v>18</v>
      </c>
      <c r="S1089" s="184"/>
      <c r="T1089" s="184"/>
      <c r="U1089" s="184"/>
      <c r="V1089" s="184"/>
      <c r="W1089" s="184"/>
      <c r="X1089" s="179"/>
      <c r="Y1089" s="179"/>
      <c r="Z1089" s="179"/>
      <c r="AA1089" s="179"/>
    </row>
    <row r="1090" spans="1:27">
      <c r="A1090" s="181">
        <f ca="1">IFERROR(__xludf.DUMMYFUNCTION("IFS(B1090="""","""",ISDATE(B1090)=TRUE,B1090,ISDATE(B1090)=FALSE,TO_DATE(DATEVALUE(regexextract(B1090,""\d+/\d+/\d+""))))"),44776)</f>
        <v>44776</v>
      </c>
      <c r="B1090" s="182" t="s">
        <v>10176</v>
      </c>
      <c r="C1090" s="183" t="s">
        <v>2214</v>
      </c>
      <c r="D1090" s="183">
        <v>3</v>
      </c>
      <c r="E1090" s="183" t="s">
        <v>2217</v>
      </c>
      <c r="F1090" s="183" t="s">
        <v>5</v>
      </c>
      <c r="G1090" s="183" t="s">
        <v>447</v>
      </c>
      <c r="H1090" s="183" t="s">
        <v>11469</v>
      </c>
      <c r="I1090" s="183">
        <v>3</v>
      </c>
      <c r="J1090" s="183" t="s">
        <v>622</v>
      </c>
      <c r="K1090" s="183" t="s">
        <v>2219</v>
      </c>
      <c r="L1090" s="183">
        <v>3</v>
      </c>
      <c r="M1090" s="183" t="s">
        <v>784</v>
      </c>
      <c r="N1090" s="185">
        <v>1000000</v>
      </c>
      <c r="O1090" s="183" t="s">
        <v>465</v>
      </c>
      <c r="P1090" s="183" t="s">
        <v>2220</v>
      </c>
      <c r="Q1090" s="184" t="s">
        <v>2221</v>
      </c>
      <c r="R1090" s="183" t="s">
        <v>24</v>
      </c>
      <c r="S1090" s="184"/>
      <c r="T1090" s="184"/>
      <c r="U1090" s="184"/>
      <c r="V1090" s="184"/>
      <c r="W1090" s="184"/>
      <c r="X1090" s="179"/>
      <c r="Y1090" s="179"/>
      <c r="Z1090" s="179"/>
      <c r="AA1090" s="179"/>
    </row>
    <row r="1091" spans="1:27">
      <c r="A1091" s="181">
        <f ca="1">IFERROR(__xludf.DUMMYFUNCTION("IFS(B1091="""","""",ISDATE(B1091)=TRUE,B1091,ISDATE(B1091)=FALSE,TO_DATE(DATEVALUE(regexextract(B1091,""\d+/\d+/\d+""))))"),44782)</f>
        <v>44782</v>
      </c>
      <c r="B1091" s="182" t="s">
        <v>10188</v>
      </c>
      <c r="C1091" s="183" t="s">
        <v>7717</v>
      </c>
      <c r="D1091" s="184">
        <v>1.75</v>
      </c>
      <c r="E1091" s="183" t="s">
        <v>11470</v>
      </c>
      <c r="F1091" s="183" t="s">
        <v>4</v>
      </c>
      <c r="G1091" s="183" t="s">
        <v>602</v>
      </c>
      <c r="H1091" s="184" t="s">
        <v>11471</v>
      </c>
      <c r="I1091" s="184">
        <v>2.5</v>
      </c>
      <c r="J1091" s="183" t="s">
        <v>1054</v>
      </c>
      <c r="K1091" s="184" t="s">
        <v>7722</v>
      </c>
      <c r="L1091" s="184">
        <v>1</v>
      </c>
      <c r="M1091" s="183"/>
      <c r="N1091" s="187"/>
      <c r="O1091" s="183" t="s">
        <v>452</v>
      </c>
      <c r="P1091" s="183" t="s">
        <v>452</v>
      </c>
      <c r="Q1091" s="184"/>
      <c r="R1091" s="184" t="s">
        <v>24</v>
      </c>
      <c r="S1091" s="184"/>
      <c r="T1091" s="184"/>
      <c r="U1091" s="184"/>
      <c r="V1091" s="184"/>
      <c r="W1091" s="184"/>
      <c r="X1091" s="179"/>
      <c r="Y1091" s="179"/>
      <c r="Z1091" s="179"/>
      <c r="AA1091" s="179"/>
    </row>
    <row r="1092" spans="1:27">
      <c r="A1092" s="181">
        <f ca="1">IFERROR(__xludf.DUMMYFUNCTION("IFS(B1092="""","""",ISDATE(B1092)=TRUE,B1092,ISDATE(B1092)=FALSE,TO_DATE(DATEVALUE(regexextract(B1092,""\d+/\d+/\d+""))))"),44784)</f>
        <v>44784</v>
      </c>
      <c r="B1092" s="182" t="s">
        <v>10173</v>
      </c>
      <c r="C1092" s="183" t="s">
        <v>203</v>
      </c>
      <c r="D1092" s="183">
        <v>4</v>
      </c>
      <c r="E1092" s="183" t="s">
        <v>11472</v>
      </c>
      <c r="F1092" s="183" t="s">
        <v>4</v>
      </c>
      <c r="G1092" s="183" t="s">
        <v>602</v>
      </c>
      <c r="H1092" s="183" t="s">
        <v>11473</v>
      </c>
      <c r="I1092" s="183">
        <v>4</v>
      </c>
      <c r="J1092" s="183" t="s">
        <v>1054</v>
      </c>
      <c r="K1092" s="183" t="s">
        <v>3813</v>
      </c>
      <c r="L1092" s="183">
        <v>4</v>
      </c>
      <c r="M1092" s="183"/>
      <c r="N1092" s="187"/>
      <c r="O1092" s="183" t="s">
        <v>452</v>
      </c>
      <c r="P1092" s="183" t="s">
        <v>3814</v>
      </c>
      <c r="Q1092" s="183"/>
      <c r="R1092" s="183" t="s">
        <v>18</v>
      </c>
      <c r="S1092" s="184"/>
      <c r="T1092" s="184"/>
      <c r="U1092" s="184"/>
      <c r="V1092" s="184"/>
      <c r="W1092" s="184"/>
      <c r="X1092" s="179"/>
      <c r="Y1092" s="179"/>
      <c r="Z1092" s="179"/>
      <c r="AA1092" s="179"/>
    </row>
    <row r="1093" spans="1:27">
      <c r="A1093" s="181">
        <f ca="1">IFERROR(__xludf.DUMMYFUNCTION("IFS(B1093="""","""",ISDATE(B1093)=TRUE,B1093,ISDATE(B1093)=FALSE,TO_DATE(DATEVALUE(regexextract(B1093,""\d+/\d+/\d+""))))"),44784)</f>
        <v>44784</v>
      </c>
      <c r="B1093" s="182" t="s">
        <v>10173</v>
      </c>
      <c r="C1093" s="183" t="s">
        <v>8323</v>
      </c>
      <c r="D1093" s="183">
        <v>2.5</v>
      </c>
      <c r="E1093" s="183" t="s">
        <v>8326</v>
      </c>
      <c r="F1093" s="183" t="s">
        <v>3</v>
      </c>
      <c r="G1093" s="183" t="s">
        <v>460</v>
      </c>
      <c r="H1093" s="183" t="s">
        <v>8327</v>
      </c>
      <c r="I1093" s="183">
        <v>2</v>
      </c>
      <c r="J1093" s="183" t="s">
        <v>488</v>
      </c>
      <c r="K1093" s="183" t="s">
        <v>8328</v>
      </c>
      <c r="L1093" s="183">
        <v>3</v>
      </c>
      <c r="M1093" s="183" t="s">
        <v>784</v>
      </c>
      <c r="N1093" s="183" t="s">
        <v>8329</v>
      </c>
      <c r="O1093" s="183" t="s">
        <v>452</v>
      </c>
      <c r="P1093" s="183" t="s">
        <v>8330</v>
      </c>
      <c r="Q1093" s="183" t="s">
        <v>8331</v>
      </c>
      <c r="R1093" s="183" t="s">
        <v>24</v>
      </c>
      <c r="S1093" s="184"/>
      <c r="T1093" s="184"/>
      <c r="U1093" s="184"/>
      <c r="V1093" s="184"/>
      <c r="W1093" s="184"/>
      <c r="X1093" s="179"/>
      <c r="Y1093" s="179"/>
      <c r="Z1093" s="179"/>
      <c r="AA1093" s="179"/>
    </row>
    <row r="1094" spans="1:27">
      <c r="A1094" s="181">
        <f ca="1">IFERROR(__xludf.DUMMYFUNCTION("IFS(B1094="""","""",ISDATE(B1094)=TRUE,B1094,ISDATE(B1094)=FALSE,TO_DATE(DATEVALUE(regexextract(B1094,""\d+/\d+/\d+""))))"),44782)</f>
        <v>44782</v>
      </c>
      <c r="B1094" s="182" t="s">
        <v>10188</v>
      </c>
      <c r="C1094" s="183" t="s">
        <v>4978</v>
      </c>
      <c r="D1094" s="184">
        <v>3.25</v>
      </c>
      <c r="E1094" s="183" t="s">
        <v>4981</v>
      </c>
      <c r="F1094" s="183" t="s">
        <v>4</v>
      </c>
      <c r="G1094" s="183" t="s">
        <v>727</v>
      </c>
      <c r="H1094" s="184" t="s">
        <v>11474</v>
      </c>
      <c r="I1094" s="184">
        <v>3</v>
      </c>
      <c r="J1094" s="183" t="s">
        <v>1054</v>
      </c>
      <c r="K1094" s="184" t="s">
        <v>4983</v>
      </c>
      <c r="L1094" s="184">
        <v>3.5</v>
      </c>
      <c r="M1094" s="184" t="s">
        <v>451</v>
      </c>
      <c r="N1094" s="188">
        <v>1500000</v>
      </c>
      <c r="O1094" s="183" t="s">
        <v>465</v>
      </c>
      <c r="P1094" s="183" t="s">
        <v>4984</v>
      </c>
      <c r="Q1094" s="184"/>
      <c r="R1094" s="184" t="s">
        <v>24</v>
      </c>
      <c r="S1094" s="184"/>
      <c r="T1094" s="184"/>
      <c r="U1094" s="184"/>
      <c r="V1094" s="184"/>
      <c r="W1094" s="184"/>
      <c r="X1094" s="179"/>
      <c r="Y1094" s="179"/>
      <c r="Z1094" s="179"/>
      <c r="AA1094" s="179"/>
    </row>
    <row r="1095" spans="1:27">
      <c r="A1095" s="181">
        <f ca="1">IFERROR(__xludf.DUMMYFUNCTION("IFS(B1095="""","""",ISDATE(B1095)=TRUE,B1095,ISDATE(B1095)=FALSE,TO_DATE(DATEVALUE(regexextract(B1095,""\d+/\d+/\d+""))))"),44776)</f>
        <v>44776</v>
      </c>
      <c r="B1095" s="182" t="s">
        <v>10176</v>
      </c>
      <c r="C1095" s="183" t="s">
        <v>259</v>
      </c>
      <c r="D1095" s="184">
        <v>3.75</v>
      </c>
      <c r="E1095" s="183" t="s">
        <v>1501</v>
      </c>
      <c r="F1095" s="183" t="s">
        <v>4</v>
      </c>
      <c r="G1095" s="183" t="s">
        <v>447</v>
      </c>
      <c r="H1095" s="184" t="s">
        <v>1502</v>
      </c>
      <c r="I1095" s="184">
        <v>3.5</v>
      </c>
      <c r="J1095" s="183" t="s">
        <v>449</v>
      </c>
      <c r="K1095" s="183" t="s">
        <v>11475</v>
      </c>
      <c r="L1095" s="183">
        <v>4</v>
      </c>
      <c r="M1095" s="183"/>
      <c r="N1095" s="187">
        <v>500000</v>
      </c>
      <c r="O1095" s="183" t="s">
        <v>452</v>
      </c>
      <c r="P1095" s="183" t="s">
        <v>11476</v>
      </c>
      <c r="Q1095" s="184" t="s">
        <v>1505</v>
      </c>
      <c r="R1095" s="184" t="s">
        <v>19</v>
      </c>
      <c r="S1095" s="184" t="s">
        <v>1506</v>
      </c>
      <c r="T1095" s="184"/>
      <c r="U1095" s="184"/>
      <c r="V1095" s="184"/>
      <c r="W1095" s="184"/>
      <c r="X1095" s="179"/>
      <c r="Y1095" s="179"/>
      <c r="Z1095" s="179"/>
      <c r="AA1095" s="179"/>
    </row>
    <row r="1096" spans="1:27">
      <c r="A1096" s="181">
        <f ca="1">IFERROR(__xludf.DUMMYFUNCTION("IFS(B1096="""","""",ISDATE(B1096)=TRUE,B1096,ISDATE(B1096)=FALSE,TO_DATE(DATEVALUE(regexextract(B1096,""\d+/\d+/\d+""))))"),44784)</f>
        <v>44784</v>
      </c>
      <c r="B1096" s="182" t="s">
        <v>10173</v>
      </c>
      <c r="C1096" s="183" t="s">
        <v>4933</v>
      </c>
      <c r="D1096" s="183">
        <v>3.38</v>
      </c>
      <c r="E1096" s="183" t="s">
        <v>4936</v>
      </c>
      <c r="F1096" s="183" t="s">
        <v>4</v>
      </c>
      <c r="G1096" s="183" t="s">
        <v>725</v>
      </c>
      <c r="H1096" s="183" t="s">
        <v>11477</v>
      </c>
      <c r="I1096" s="183">
        <v>3.75</v>
      </c>
      <c r="J1096" s="183" t="s">
        <v>727</v>
      </c>
      <c r="K1096" s="183" t="s">
        <v>11478</v>
      </c>
      <c r="L1096" s="183">
        <v>3</v>
      </c>
      <c r="M1096" s="183"/>
      <c r="N1096" s="185"/>
      <c r="O1096" s="183" t="s">
        <v>452</v>
      </c>
      <c r="P1096" s="183" t="s">
        <v>4939</v>
      </c>
      <c r="Q1096" s="184"/>
      <c r="R1096" s="183" t="s">
        <v>24</v>
      </c>
      <c r="S1096" s="184"/>
      <c r="T1096" s="184"/>
      <c r="U1096" s="184"/>
      <c r="V1096" s="184"/>
      <c r="W1096" s="184"/>
      <c r="X1096" s="179"/>
      <c r="Y1096" s="179"/>
      <c r="Z1096" s="179"/>
      <c r="AA1096" s="179"/>
    </row>
    <row r="1097" spans="1:27">
      <c r="A1097" s="181">
        <f ca="1">IFERROR(__xludf.DUMMYFUNCTION("IFS(B1097="""","""",ISDATE(B1097)=TRUE,B1097,ISDATE(B1097)=FALSE,TO_DATE(DATEVALUE(regexextract(B1097,""\d+/\d+/\d+""))))"),44782)</f>
        <v>44782</v>
      </c>
      <c r="B1097" s="189" t="s">
        <v>10188</v>
      </c>
      <c r="C1097" s="183" t="s">
        <v>6932</v>
      </c>
      <c r="D1097" s="183">
        <v>2</v>
      </c>
      <c r="E1097" s="183" t="s">
        <v>6935</v>
      </c>
      <c r="F1097" s="183" t="s">
        <v>4</v>
      </c>
      <c r="G1097" s="183" t="s">
        <v>602</v>
      </c>
      <c r="H1097" s="183" t="s">
        <v>6936</v>
      </c>
      <c r="I1097" s="183">
        <v>2</v>
      </c>
      <c r="J1097" s="183" t="s">
        <v>1054</v>
      </c>
      <c r="K1097" s="183"/>
      <c r="L1097" s="183">
        <v>2</v>
      </c>
      <c r="M1097" s="183" t="s">
        <v>784</v>
      </c>
      <c r="N1097" s="187">
        <v>300000</v>
      </c>
      <c r="O1097" s="183" t="s">
        <v>452</v>
      </c>
      <c r="P1097" s="183" t="s">
        <v>6937</v>
      </c>
      <c r="Q1097" s="184"/>
      <c r="R1097" s="183" t="s">
        <v>24</v>
      </c>
      <c r="S1097" s="184"/>
      <c r="T1097" s="184"/>
      <c r="U1097" s="184"/>
      <c r="V1097" s="184"/>
      <c r="W1097" s="184"/>
      <c r="X1097" s="179"/>
      <c r="Y1097" s="179"/>
      <c r="Z1097" s="179"/>
      <c r="AA1097" s="179"/>
    </row>
    <row r="1098" spans="1:27">
      <c r="A1098" s="181">
        <f ca="1">IFERROR(__xludf.DUMMYFUNCTION("IFS(B1098="""","""",ISDATE(B1098)=TRUE,B1098,ISDATE(B1098)=FALSE,TO_DATE(DATEVALUE(regexextract(B1098,""\d+/\d+/\d+""))))"),44789)</f>
        <v>44789</v>
      </c>
      <c r="B1098" s="182" t="s">
        <v>6450</v>
      </c>
      <c r="C1098" s="183" t="s">
        <v>6673</v>
      </c>
      <c r="D1098" s="183">
        <v>2.25</v>
      </c>
      <c r="E1098" s="183" t="s">
        <v>6676</v>
      </c>
      <c r="F1098" s="183" t="s">
        <v>4</v>
      </c>
      <c r="G1098" s="183" t="s">
        <v>727</v>
      </c>
      <c r="H1098" s="183" t="s">
        <v>6677</v>
      </c>
      <c r="I1098" s="183">
        <v>2.5</v>
      </c>
      <c r="J1098" s="183" t="s">
        <v>1045</v>
      </c>
      <c r="K1098" s="183" t="s">
        <v>6678</v>
      </c>
      <c r="L1098" s="183">
        <v>2</v>
      </c>
      <c r="M1098" s="183" t="s">
        <v>451</v>
      </c>
      <c r="N1098" s="185">
        <v>2800000</v>
      </c>
      <c r="O1098" s="183" t="s">
        <v>452</v>
      </c>
      <c r="P1098" s="183" t="s">
        <v>6679</v>
      </c>
      <c r="Q1098" s="184"/>
      <c r="R1098" s="183" t="s">
        <v>24</v>
      </c>
      <c r="S1098" s="184"/>
      <c r="T1098" s="184"/>
      <c r="U1098" s="184"/>
      <c r="V1098" s="184"/>
      <c r="W1098" s="184"/>
      <c r="X1098" s="179"/>
      <c r="Y1098" s="179"/>
      <c r="Z1098" s="179"/>
      <c r="AA1098" s="179"/>
    </row>
    <row r="1099" spans="1:27">
      <c r="A1099" s="181">
        <f ca="1">IFERROR(__xludf.DUMMYFUNCTION("IFS(B1099="""","""",ISDATE(B1099)=TRUE,B1099,ISDATE(B1099)=FALSE,TO_DATE(DATEVALUE(regexextract(B1099,""\d+/\d+/\d+""))))"),44776)</f>
        <v>44776</v>
      </c>
      <c r="B1099" s="182" t="s">
        <v>10176</v>
      </c>
      <c r="C1099" s="183" t="s">
        <v>91</v>
      </c>
      <c r="D1099" s="183">
        <v>3.5</v>
      </c>
      <c r="E1099" s="183" t="s">
        <v>646</v>
      </c>
      <c r="F1099" s="183" t="s">
        <v>5</v>
      </c>
      <c r="G1099" s="183" t="s">
        <v>447</v>
      </c>
      <c r="H1099" s="183" t="s">
        <v>647</v>
      </c>
      <c r="I1099" s="183">
        <v>4</v>
      </c>
      <c r="J1099" s="183" t="s">
        <v>543</v>
      </c>
      <c r="K1099" s="183" t="s">
        <v>11479</v>
      </c>
      <c r="L1099" s="183">
        <v>3</v>
      </c>
      <c r="M1099" s="184" t="s">
        <v>451</v>
      </c>
      <c r="N1099" s="188">
        <v>4000000</v>
      </c>
      <c r="O1099" s="183" t="s">
        <v>465</v>
      </c>
      <c r="P1099" s="183" t="s">
        <v>649</v>
      </c>
      <c r="Q1099" s="184" t="s">
        <v>460</v>
      </c>
      <c r="R1099" s="183" t="s">
        <v>18</v>
      </c>
      <c r="S1099" s="184" t="s">
        <v>650</v>
      </c>
      <c r="T1099" s="184"/>
      <c r="U1099" s="184"/>
      <c r="V1099" s="184"/>
      <c r="W1099" s="184"/>
      <c r="X1099" s="179"/>
      <c r="Y1099" s="179"/>
      <c r="Z1099" s="179"/>
      <c r="AA1099" s="179"/>
    </row>
    <row r="1100" spans="1:27">
      <c r="A1100" s="181">
        <f ca="1">IFERROR(__xludf.DUMMYFUNCTION("IFS(B1100="""","""",ISDATE(B1100)=TRUE,B1100,ISDATE(B1100)=FALSE,TO_DATE(DATEVALUE(regexextract(B1100,""\d+/\d+/\d+""))))"),44776)</f>
        <v>44776</v>
      </c>
      <c r="B1100" s="182" t="s">
        <v>10176</v>
      </c>
      <c r="C1100" s="183" t="s">
        <v>136</v>
      </c>
      <c r="D1100" s="183">
        <v>4</v>
      </c>
      <c r="E1100" s="183" t="s">
        <v>3235</v>
      </c>
      <c r="F1100" s="183" t="s">
        <v>5</v>
      </c>
      <c r="G1100" s="183" t="s">
        <v>447</v>
      </c>
      <c r="H1100" s="183" t="s">
        <v>11480</v>
      </c>
      <c r="I1100" s="183">
        <v>4</v>
      </c>
      <c r="J1100" s="183" t="s">
        <v>476</v>
      </c>
      <c r="K1100" s="183" t="s">
        <v>11481</v>
      </c>
      <c r="L1100" s="183">
        <v>4</v>
      </c>
      <c r="M1100" s="183" t="s">
        <v>451</v>
      </c>
      <c r="N1100" s="187">
        <v>500000</v>
      </c>
      <c r="O1100" s="183" t="s">
        <v>452</v>
      </c>
      <c r="P1100" s="183" t="s">
        <v>11482</v>
      </c>
      <c r="Q1100" s="183"/>
      <c r="R1100" s="183" t="s">
        <v>19</v>
      </c>
      <c r="S1100" s="184" t="s">
        <v>3239</v>
      </c>
      <c r="T1100" s="184"/>
      <c r="U1100" s="184"/>
      <c r="V1100" s="184"/>
      <c r="W1100" s="184"/>
      <c r="X1100" s="179"/>
      <c r="Y1100" s="179"/>
      <c r="Z1100" s="179"/>
      <c r="AA1100" s="179"/>
    </row>
    <row r="1101" spans="1:27">
      <c r="A1101" s="181">
        <f ca="1">IFERROR(__xludf.DUMMYFUNCTION("IFS(B1101="""","""",ISDATE(B1101)=TRUE,B1101,ISDATE(B1101)=FALSE,TO_DATE(DATEVALUE(regexextract(B1101,""\d+/\d+/\d+""))))"),44784)</f>
        <v>44784</v>
      </c>
      <c r="B1101" s="182" t="s">
        <v>10173</v>
      </c>
      <c r="C1101" s="183" t="s">
        <v>6139</v>
      </c>
      <c r="D1101" s="184">
        <v>2.5</v>
      </c>
      <c r="E1101" s="183" t="s">
        <v>6142</v>
      </c>
      <c r="F1101" s="183" t="s">
        <v>4</v>
      </c>
      <c r="G1101" s="183" t="s">
        <v>602</v>
      </c>
      <c r="H1101" s="184" t="s">
        <v>6143</v>
      </c>
      <c r="I1101" s="184">
        <v>3</v>
      </c>
      <c r="J1101" s="183" t="s">
        <v>1054</v>
      </c>
      <c r="K1101" s="183" t="s">
        <v>6144</v>
      </c>
      <c r="L1101" s="183">
        <v>2</v>
      </c>
      <c r="M1101" s="184" t="s">
        <v>451</v>
      </c>
      <c r="N1101" s="186">
        <v>750000</v>
      </c>
      <c r="O1101" s="183" t="s">
        <v>465</v>
      </c>
      <c r="P1101" s="183" t="s">
        <v>6145</v>
      </c>
      <c r="Q1101" s="184"/>
      <c r="R1101" s="184" t="s">
        <v>24</v>
      </c>
      <c r="S1101" s="184"/>
      <c r="T1101" s="184"/>
      <c r="U1101" s="184"/>
      <c r="V1101" s="184"/>
      <c r="W1101" s="184"/>
      <c r="X1101" s="179"/>
      <c r="Y1101" s="179"/>
      <c r="Z1101" s="179"/>
      <c r="AA1101" s="179"/>
    </row>
    <row r="1102" spans="1:27">
      <c r="A1102" s="181">
        <f ca="1">IFERROR(__xludf.DUMMYFUNCTION("IFS(B1102="""","""",ISDATE(B1102)=TRUE,B1102,ISDATE(B1102)=FALSE,TO_DATE(DATEVALUE(regexextract(B1102,""\d+/\d+/\d+""))))"),44784)</f>
        <v>44784</v>
      </c>
      <c r="B1102" s="182" t="s">
        <v>10173</v>
      </c>
      <c r="C1102" s="183" t="s">
        <v>353</v>
      </c>
      <c r="D1102" s="184">
        <v>4</v>
      </c>
      <c r="E1102" s="183" t="s">
        <v>9739</v>
      </c>
      <c r="F1102" s="183" t="s">
        <v>3</v>
      </c>
      <c r="G1102" s="183" t="s">
        <v>460</v>
      </c>
      <c r="H1102" s="184" t="s">
        <v>9740</v>
      </c>
      <c r="I1102" s="184">
        <v>4</v>
      </c>
      <c r="J1102" s="183" t="s">
        <v>462</v>
      </c>
      <c r="K1102" s="184" t="s">
        <v>9741</v>
      </c>
      <c r="L1102" s="184">
        <v>4</v>
      </c>
      <c r="M1102" s="184" t="s">
        <v>478</v>
      </c>
      <c r="N1102" s="188">
        <v>10000000</v>
      </c>
      <c r="O1102" s="183" t="s">
        <v>465</v>
      </c>
      <c r="P1102" s="183" t="s">
        <v>452</v>
      </c>
      <c r="Q1102" s="184"/>
      <c r="R1102" s="184" t="s">
        <v>20</v>
      </c>
      <c r="S1102" s="184" t="s">
        <v>9742</v>
      </c>
      <c r="T1102" s="184"/>
      <c r="U1102" s="184"/>
      <c r="V1102" s="184"/>
      <c r="W1102" s="184"/>
      <c r="X1102" s="179"/>
      <c r="Y1102" s="179"/>
      <c r="Z1102" s="179"/>
      <c r="AA1102" s="179"/>
    </row>
    <row r="1103" spans="1:27">
      <c r="A1103" s="181">
        <f ca="1">IFERROR(__xludf.DUMMYFUNCTION("IFS(B1103="""","""",ISDATE(B1103)=TRUE,B1103,ISDATE(B1103)=FALSE,TO_DATE(DATEVALUE(regexextract(B1103,""\d+/\d+/\d+""))))"),44784)</f>
        <v>44784</v>
      </c>
      <c r="B1103" s="182" t="s">
        <v>10173</v>
      </c>
      <c r="C1103" s="183" t="s">
        <v>7373</v>
      </c>
      <c r="D1103" s="183">
        <v>2</v>
      </c>
      <c r="E1103" s="183" t="s">
        <v>11483</v>
      </c>
      <c r="F1103" s="183" t="s">
        <v>4</v>
      </c>
      <c r="G1103" s="183" t="s">
        <v>602</v>
      </c>
      <c r="H1103" s="183" t="s">
        <v>11484</v>
      </c>
      <c r="I1103" s="183">
        <v>2</v>
      </c>
      <c r="J1103" s="183" t="s">
        <v>1054</v>
      </c>
      <c r="K1103" s="183" t="s">
        <v>7377</v>
      </c>
      <c r="L1103" s="183">
        <v>2</v>
      </c>
      <c r="M1103" s="183" t="s">
        <v>6371</v>
      </c>
      <c r="N1103" s="187">
        <v>3500000</v>
      </c>
      <c r="O1103" s="183" t="s">
        <v>454</v>
      </c>
      <c r="P1103" s="183" t="s">
        <v>452</v>
      </c>
      <c r="Q1103" s="184"/>
      <c r="R1103" s="183" t="s">
        <v>24</v>
      </c>
      <c r="S1103" s="183"/>
      <c r="T1103" s="184"/>
      <c r="U1103" s="184"/>
      <c r="V1103" s="184"/>
      <c r="W1103" s="184"/>
      <c r="X1103" s="179"/>
      <c r="Y1103" s="179"/>
      <c r="Z1103" s="179"/>
      <c r="AA1103" s="179"/>
    </row>
    <row r="1104" spans="1:27">
      <c r="A1104" s="181">
        <f ca="1">IFERROR(__xludf.DUMMYFUNCTION("IFS(B1104="""","""",ISDATE(B1104)=TRUE,B1104,ISDATE(B1104)=FALSE,TO_DATE(DATEVALUE(regexextract(B1104,""\d+/\d+/\d+""))))"),44796)</f>
        <v>44796</v>
      </c>
      <c r="B1104" s="182" t="s">
        <v>529</v>
      </c>
      <c r="C1104" s="183" t="s">
        <v>6466</v>
      </c>
      <c r="D1104" s="184">
        <v>2.5</v>
      </c>
      <c r="E1104" s="183" t="s">
        <v>6469</v>
      </c>
      <c r="F1104" s="183" t="s">
        <v>4</v>
      </c>
      <c r="G1104" s="183" t="s">
        <v>727</v>
      </c>
      <c r="H1104" s="184" t="s">
        <v>11485</v>
      </c>
      <c r="I1104" s="184">
        <v>3</v>
      </c>
      <c r="J1104" s="183" t="s">
        <v>1371</v>
      </c>
      <c r="K1104" s="184" t="s">
        <v>6471</v>
      </c>
      <c r="L1104" s="184">
        <v>2</v>
      </c>
      <c r="M1104" s="183" t="s">
        <v>451</v>
      </c>
      <c r="N1104" s="187">
        <v>500</v>
      </c>
      <c r="O1104" s="183" t="s">
        <v>452</v>
      </c>
      <c r="P1104" s="183" t="s">
        <v>6472</v>
      </c>
      <c r="Q1104" s="184"/>
      <c r="R1104" s="184" t="s">
        <v>24</v>
      </c>
      <c r="S1104" s="184"/>
      <c r="T1104" s="184"/>
      <c r="U1104" s="184"/>
      <c r="V1104" s="184"/>
      <c r="W1104" s="184"/>
      <c r="X1104" s="179"/>
      <c r="Y1104" s="179"/>
      <c r="Z1104" s="179"/>
      <c r="AA1104" s="179"/>
    </row>
    <row r="1105" spans="1:27">
      <c r="A1105" s="181">
        <f ca="1">IFERROR(__xludf.DUMMYFUNCTION("IFS(B1105="""","""",ISDATE(B1105)=TRUE,B1105,ISDATE(B1105)=FALSE,TO_DATE(DATEVALUE(regexextract(B1105,""\d+/\d+/\d+""))))"),44797)</f>
        <v>44797</v>
      </c>
      <c r="B1105" s="182" t="s">
        <v>907</v>
      </c>
      <c r="C1105" s="183" t="s">
        <v>7146</v>
      </c>
      <c r="D1105" s="184">
        <v>2</v>
      </c>
      <c r="E1105" s="183" t="s">
        <v>7149</v>
      </c>
      <c r="F1105" s="183" t="s">
        <v>4</v>
      </c>
      <c r="G1105" s="183" t="s">
        <v>727</v>
      </c>
      <c r="H1105" s="183" t="s">
        <v>11486</v>
      </c>
      <c r="I1105" s="183">
        <v>2</v>
      </c>
      <c r="J1105" s="183" t="s">
        <v>462</v>
      </c>
      <c r="K1105" s="184" t="s">
        <v>7151</v>
      </c>
      <c r="L1105" s="184">
        <v>2</v>
      </c>
      <c r="M1105" s="184" t="s">
        <v>2152</v>
      </c>
      <c r="N1105" s="188">
        <v>15000</v>
      </c>
      <c r="O1105" s="183" t="s">
        <v>452</v>
      </c>
      <c r="P1105" s="183" t="s">
        <v>11487</v>
      </c>
      <c r="Q1105" s="183"/>
      <c r="R1105" s="184" t="s">
        <v>24</v>
      </c>
      <c r="S1105" s="184"/>
      <c r="T1105" s="184"/>
      <c r="U1105" s="184"/>
      <c r="V1105" s="184"/>
      <c r="W1105" s="184"/>
      <c r="X1105" s="179"/>
      <c r="Y1105" s="179"/>
      <c r="Z1105" s="179"/>
      <c r="AA1105" s="179"/>
    </row>
    <row r="1106" spans="1:27">
      <c r="A1106" s="181">
        <f ca="1">IFERROR(__xludf.DUMMYFUNCTION("IFS(B1106="""","""",ISDATE(B1106)=TRUE,B1106,ISDATE(B1106)=FALSE,TO_DATE(DATEVALUE(regexextract(B1106,""\d+/\d+/\d+""))))"),44789)</f>
        <v>44789</v>
      </c>
      <c r="B1106" s="182" t="s">
        <v>6450</v>
      </c>
      <c r="C1106" s="183" t="s">
        <v>89</v>
      </c>
      <c r="D1106" s="184">
        <v>4.25</v>
      </c>
      <c r="E1106" s="183" t="s">
        <v>629</v>
      </c>
      <c r="F1106" s="183" t="s">
        <v>5</v>
      </c>
      <c r="G1106" s="183" t="s">
        <v>447</v>
      </c>
      <c r="H1106" s="184" t="s">
        <v>11488</v>
      </c>
      <c r="I1106" s="184">
        <v>4</v>
      </c>
      <c r="J1106" s="183" t="s">
        <v>543</v>
      </c>
      <c r="K1106" s="183" t="s">
        <v>11489</v>
      </c>
      <c r="L1106" s="183">
        <v>4.5</v>
      </c>
      <c r="M1106" s="183" t="s">
        <v>478</v>
      </c>
      <c r="N1106" s="187">
        <v>15000000</v>
      </c>
      <c r="O1106" s="183" t="s">
        <v>452</v>
      </c>
      <c r="P1106" s="183" t="s">
        <v>632</v>
      </c>
      <c r="Q1106" s="184"/>
      <c r="R1106" s="184" t="s">
        <v>18</v>
      </c>
      <c r="S1106" s="184"/>
      <c r="T1106" s="184"/>
      <c r="U1106" s="184"/>
      <c r="V1106" s="184"/>
      <c r="W1106" s="184"/>
      <c r="X1106" s="179"/>
      <c r="Y1106" s="179"/>
      <c r="Z1106" s="179"/>
      <c r="AA1106" s="179"/>
    </row>
    <row r="1107" spans="1:27">
      <c r="A1107" s="181">
        <f ca="1">IFERROR(__xludf.DUMMYFUNCTION("IFS(B1107="""","""",ISDATE(B1107)=TRUE,B1107,ISDATE(B1107)=FALSE,TO_DATE(DATEVALUE(regexextract(B1107,""\d+/\d+/\d+""))))"),44796)</f>
        <v>44796</v>
      </c>
      <c r="B1107" s="182" t="s">
        <v>529</v>
      </c>
      <c r="C1107" s="183" t="s">
        <v>210</v>
      </c>
      <c r="D1107" s="183">
        <v>4</v>
      </c>
      <c r="E1107" s="183" t="s">
        <v>3860</v>
      </c>
      <c r="F1107" s="183" t="s">
        <v>4</v>
      </c>
      <c r="G1107" s="183" t="s">
        <v>725</v>
      </c>
      <c r="H1107" s="183" t="s">
        <v>11490</v>
      </c>
      <c r="I1107" s="183">
        <v>4</v>
      </c>
      <c r="J1107" s="183" t="s">
        <v>1187</v>
      </c>
      <c r="K1107" s="183" t="s">
        <v>3862</v>
      </c>
      <c r="L1107" s="183">
        <v>4</v>
      </c>
      <c r="M1107" s="184"/>
      <c r="N1107" s="188"/>
      <c r="O1107" s="183" t="s">
        <v>452</v>
      </c>
      <c r="P1107" s="183" t="s">
        <v>3863</v>
      </c>
      <c r="Q1107" s="184"/>
      <c r="R1107" s="183" t="s">
        <v>18</v>
      </c>
      <c r="S1107" s="184"/>
      <c r="T1107" s="184"/>
      <c r="U1107" s="184"/>
      <c r="V1107" s="184"/>
      <c r="W1107" s="184"/>
      <c r="X1107" s="179"/>
      <c r="Y1107" s="179"/>
      <c r="Z1107" s="179"/>
      <c r="AA1107" s="179"/>
    </row>
    <row r="1108" spans="1:27">
      <c r="A1108" s="181">
        <f ca="1">IFERROR(__xludf.DUMMYFUNCTION("IFS(B1108="""","""",ISDATE(B1108)=TRUE,B1108,ISDATE(B1108)=FALSE,TO_DATE(DATEVALUE(regexextract(B1108,""\d+/\d+/\d+""))))"),44796)</f>
        <v>44796</v>
      </c>
      <c r="B1108" s="182" t="s">
        <v>529</v>
      </c>
      <c r="C1108" s="183" t="s">
        <v>138</v>
      </c>
      <c r="D1108" s="183">
        <v>4.5</v>
      </c>
      <c r="E1108" s="183" t="s">
        <v>961</v>
      </c>
      <c r="F1108" s="183" t="s">
        <v>5</v>
      </c>
      <c r="G1108" s="183" t="s">
        <v>725</v>
      </c>
      <c r="H1108" s="183" t="s">
        <v>11491</v>
      </c>
      <c r="I1108" s="183">
        <v>4.5</v>
      </c>
      <c r="J1108" s="183" t="s">
        <v>462</v>
      </c>
      <c r="K1108" s="184" t="s">
        <v>963</v>
      </c>
      <c r="L1108" s="183">
        <v>4.5</v>
      </c>
      <c r="M1108" s="183"/>
      <c r="N1108" s="185"/>
      <c r="O1108" s="183" t="s">
        <v>452</v>
      </c>
      <c r="P1108" s="183" t="s">
        <v>964</v>
      </c>
      <c r="Q1108" s="184"/>
      <c r="R1108" s="183" t="s">
        <v>18</v>
      </c>
      <c r="S1108" s="183" t="s">
        <v>965</v>
      </c>
      <c r="T1108" s="184"/>
      <c r="U1108" s="184"/>
      <c r="V1108" s="184"/>
      <c r="W1108" s="184"/>
      <c r="X1108" s="179"/>
      <c r="Y1108" s="179"/>
      <c r="Z1108" s="179"/>
      <c r="AA1108" s="179"/>
    </row>
    <row r="1109" spans="1:27">
      <c r="A1109" s="181">
        <f ca="1">IFERROR(__xludf.DUMMYFUNCTION("IFS(B1109="""","""",ISDATE(B1109)=TRUE,B1109,ISDATE(B1109)=FALSE,TO_DATE(DATEVALUE(regexextract(B1109,""\d+/\d+/\d+""))))"),44796)</f>
        <v>44796</v>
      </c>
      <c r="B1109" s="182" t="s">
        <v>529</v>
      </c>
      <c r="C1109" s="183" t="s">
        <v>5625</v>
      </c>
      <c r="D1109" s="184">
        <v>3</v>
      </c>
      <c r="E1109" s="183" t="s">
        <v>5628</v>
      </c>
      <c r="F1109" s="183" t="s">
        <v>4</v>
      </c>
      <c r="G1109" s="183" t="s">
        <v>602</v>
      </c>
      <c r="H1109" s="184" t="s">
        <v>5629</v>
      </c>
      <c r="I1109" s="184">
        <v>2</v>
      </c>
      <c r="J1109" s="183" t="s">
        <v>1281</v>
      </c>
      <c r="K1109" s="183" t="s">
        <v>5630</v>
      </c>
      <c r="L1109" s="183">
        <v>4</v>
      </c>
      <c r="M1109" s="183" t="s">
        <v>784</v>
      </c>
      <c r="N1109" s="187" t="s">
        <v>5631</v>
      </c>
      <c r="O1109" s="183" t="s">
        <v>452</v>
      </c>
      <c r="P1109" s="184" t="s">
        <v>5632</v>
      </c>
      <c r="Q1109" s="183"/>
      <c r="R1109" s="184" t="s">
        <v>24</v>
      </c>
      <c r="S1109" s="184"/>
      <c r="T1109" s="184"/>
      <c r="U1109" s="184"/>
      <c r="V1109" s="184"/>
      <c r="W1109" s="184"/>
      <c r="X1109" s="179"/>
      <c r="Y1109" s="179"/>
      <c r="Z1109" s="179"/>
      <c r="AA1109" s="179"/>
    </row>
    <row r="1110" spans="1:27">
      <c r="A1110" s="181">
        <f ca="1">IFERROR(__xludf.DUMMYFUNCTION("IFS(B1110="""","""",ISDATE(B1110)=TRUE,B1110,ISDATE(B1110)=FALSE,TO_DATE(DATEVALUE(regexextract(B1110,""\d+/\d+/\d+""))))"),44796)</f>
        <v>44796</v>
      </c>
      <c r="B1110" s="182" t="s">
        <v>529</v>
      </c>
      <c r="C1110" s="183" t="s">
        <v>114</v>
      </c>
      <c r="D1110" s="184">
        <v>4</v>
      </c>
      <c r="E1110" s="183" t="s">
        <v>822</v>
      </c>
      <c r="F1110" s="183" t="s">
        <v>5</v>
      </c>
      <c r="G1110" s="183" t="s">
        <v>447</v>
      </c>
      <c r="H1110" s="184" t="s">
        <v>11492</v>
      </c>
      <c r="I1110" s="184">
        <v>4.5</v>
      </c>
      <c r="J1110" s="183" t="s">
        <v>622</v>
      </c>
      <c r="K1110" s="183" t="s">
        <v>11493</v>
      </c>
      <c r="L1110" s="183">
        <v>3.5</v>
      </c>
      <c r="M1110" s="183" t="s">
        <v>478</v>
      </c>
      <c r="N1110" s="185">
        <v>15000000</v>
      </c>
      <c r="O1110" s="183" t="s">
        <v>452</v>
      </c>
      <c r="P1110" s="183" t="s">
        <v>825</v>
      </c>
      <c r="Q1110" s="184"/>
      <c r="R1110" s="184" t="s">
        <v>18</v>
      </c>
      <c r="S1110" s="184"/>
      <c r="T1110" s="184"/>
      <c r="U1110" s="184"/>
      <c r="V1110" s="184"/>
      <c r="W1110" s="184"/>
      <c r="X1110" s="179"/>
      <c r="Y1110" s="179"/>
      <c r="Z1110" s="179"/>
      <c r="AA1110" s="179"/>
    </row>
    <row r="1111" spans="1:27">
      <c r="A1111" s="181">
        <f ca="1">IFERROR(__xludf.DUMMYFUNCTION("IFS(B1111="""","""",ISDATE(B1111)=TRUE,B1111,ISDATE(B1111)=FALSE,TO_DATE(DATEVALUE(regexextract(B1111,""\d+/\d+/\d+""))))"),44791)</f>
        <v>44791</v>
      </c>
      <c r="B1111" s="182" t="s">
        <v>10182</v>
      </c>
      <c r="C1111" s="183" t="s">
        <v>87</v>
      </c>
      <c r="D1111" s="184">
        <v>4</v>
      </c>
      <c r="E1111" s="183" t="s">
        <v>2578</v>
      </c>
      <c r="F1111" s="183" t="s">
        <v>5</v>
      </c>
      <c r="G1111" s="183" t="s">
        <v>460</v>
      </c>
      <c r="H1111" s="184" t="s">
        <v>2579</v>
      </c>
      <c r="I1111" s="184">
        <v>4</v>
      </c>
      <c r="J1111" s="183" t="s">
        <v>462</v>
      </c>
      <c r="K1111" s="183" t="s">
        <v>2580</v>
      </c>
      <c r="L1111" s="183">
        <v>4</v>
      </c>
      <c r="M1111" s="184" t="s">
        <v>2581</v>
      </c>
      <c r="N1111" s="188">
        <v>2500000</v>
      </c>
      <c r="O1111" s="183" t="s">
        <v>452</v>
      </c>
      <c r="P1111" s="183" t="s">
        <v>2582</v>
      </c>
      <c r="Q1111" s="184" t="s">
        <v>2583</v>
      </c>
      <c r="R1111" s="184" t="s">
        <v>20</v>
      </c>
      <c r="S1111" s="184" t="s">
        <v>2584</v>
      </c>
      <c r="T1111" s="184"/>
      <c r="U1111" s="184"/>
      <c r="V1111" s="184"/>
      <c r="W1111" s="184"/>
      <c r="X1111" s="179"/>
      <c r="Y1111" s="179"/>
      <c r="Z1111" s="179"/>
      <c r="AA1111" s="179"/>
    </row>
    <row r="1112" spans="1:27">
      <c r="A1112" s="181">
        <f ca="1">IFERROR(__xludf.DUMMYFUNCTION("IFS(B1112="""","""",ISDATE(B1112)=TRUE,B1112,ISDATE(B1112)=FALSE,TO_DATE(DATEVALUE(regexextract(B1112,""\d+/\d+/\d+""))))"),44796)</f>
        <v>44796</v>
      </c>
      <c r="B1112" s="182" t="s">
        <v>529</v>
      </c>
      <c r="C1112" s="183" t="s">
        <v>290</v>
      </c>
      <c r="D1112" s="183">
        <v>3.75</v>
      </c>
      <c r="E1112" s="183" t="s">
        <v>9441</v>
      </c>
      <c r="F1112" s="183" t="s">
        <v>4</v>
      </c>
      <c r="G1112" s="183" t="s">
        <v>447</v>
      </c>
      <c r="H1112" s="183" t="s">
        <v>11494</v>
      </c>
      <c r="I1112" s="183">
        <v>4</v>
      </c>
      <c r="J1112" s="183" t="s">
        <v>622</v>
      </c>
      <c r="K1112" s="183" t="s">
        <v>9443</v>
      </c>
      <c r="L1112" s="183">
        <v>3.5</v>
      </c>
      <c r="M1112" s="184" t="s">
        <v>478</v>
      </c>
      <c r="N1112" s="188">
        <v>10000000</v>
      </c>
      <c r="O1112" s="184" t="s">
        <v>452</v>
      </c>
      <c r="P1112" s="183" t="s">
        <v>9444</v>
      </c>
      <c r="Q1112" s="184"/>
      <c r="R1112" s="183" t="s">
        <v>19</v>
      </c>
      <c r="S1112" s="184" t="s">
        <v>9445</v>
      </c>
      <c r="T1112" s="184"/>
      <c r="U1112" s="184"/>
      <c r="V1112" s="184"/>
      <c r="W1112" s="184"/>
      <c r="X1112" s="179"/>
      <c r="Y1112" s="179"/>
      <c r="Z1112" s="179"/>
      <c r="AA1112" s="179"/>
    </row>
    <row r="1113" spans="1:27">
      <c r="A1113" s="181">
        <f ca="1">IFERROR(__xludf.DUMMYFUNCTION("IFS(B1113="""","""",ISDATE(B1113)=TRUE,B1113,ISDATE(B1113)=FALSE,TO_DATE(DATEVALUE(regexextract(B1113,""\d+/\d+/\d+""))))"),44797)</f>
        <v>44797</v>
      </c>
      <c r="B1113" s="189" t="s">
        <v>907</v>
      </c>
      <c r="C1113" s="183" t="s">
        <v>7962</v>
      </c>
      <c r="D1113" s="183">
        <v>1.5</v>
      </c>
      <c r="E1113" s="183" t="s">
        <v>7965</v>
      </c>
      <c r="F1113" s="183" t="s">
        <v>4</v>
      </c>
      <c r="G1113" s="183" t="s">
        <v>1045</v>
      </c>
      <c r="H1113" s="184" t="s">
        <v>7966</v>
      </c>
      <c r="I1113" s="183">
        <v>2</v>
      </c>
      <c r="J1113" s="183" t="s">
        <v>1371</v>
      </c>
      <c r="K1113" s="183" t="s">
        <v>7967</v>
      </c>
      <c r="L1113" s="183">
        <v>1</v>
      </c>
      <c r="M1113" s="183" t="s">
        <v>451</v>
      </c>
      <c r="N1113" s="183">
        <v>1000000</v>
      </c>
      <c r="O1113" s="183" t="s">
        <v>454</v>
      </c>
      <c r="P1113" s="183" t="s">
        <v>452</v>
      </c>
      <c r="Q1113" s="184"/>
      <c r="R1113" s="183" t="s">
        <v>24</v>
      </c>
      <c r="S1113" s="184"/>
      <c r="T1113" s="184"/>
      <c r="U1113" s="184"/>
      <c r="V1113" s="184"/>
      <c r="W1113" s="184"/>
      <c r="X1113" s="179"/>
      <c r="Y1113" s="179"/>
      <c r="Z1113" s="179"/>
      <c r="AA1113" s="179"/>
    </row>
    <row r="1114" spans="1:27">
      <c r="A1114" s="181">
        <f ca="1">IFERROR(__xludf.DUMMYFUNCTION("IFS(B1114="""","""",ISDATE(B1114)=TRUE,B1114,ISDATE(B1114)=FALSE,TO_DATE(DATEVALUE(regexextract(B1114,""\d+/\d+/\d+""))))"),44796)</f>
        <v>44796</v>
      </c>
      <c r="B1114" s="182" t="s">
        <v>529</v>
      </c>
      <c r="C1114" s="183" t="s">
        <v>4698</v>
      </c>
      <c r="D1114" s="183">
        <v>3.5</v>
      </c>
      <c r="E1114" s="183"/>
      <c r="F1114" s="183" t="s">
        <v>4</v>
      </c>
      <c r="G1114" s="183" t="s">
        <v>725</v>
      </c>
      <c r="H1114" s="183" t="s">
        <v>4701</v>
      </c>
      <c r="I1114" s="183">
        <v>3</v>
      </c>
      <c r="J1114" s="183" t="s">
        <v>1237</v>
      </c>
      <c r="K1114" s="183"/>
      <c r="L1114" s="183">
        <v>4</v>
      </c>
      <c r="M1114" s="183" t="s">
        <v>2190</v>
      </c>
      <c r="N1114" s="187" t="s">
        <v>4702</v>
      </c>
      <c r="O1114" s="183" t="s">
        <v>454</v>
      </c>
      <c r="P1114" s="183" t="s">
        <v>4703</v>
      </c>
      <c r="Q1114" s="184" t="s">
        <v>4704</v>
      </c>
      <c r="R1114" s="183" t="s">
        <v>24</v>
      </c>
      <c r="S1114" s="184"/>
      <c r="T1114" s="184"/>
      <c r="U1114" s="184"/>
      <c r="V1114" s="184"/>
      <c r="W1114" s="184"/>
      <c r="X1114" s="179"/>
      <c r="Y1114" s="179"/>
      <c r="Z1114" s="179"/>
      <c r="AA1114" s="179"/>
    </row>
    <row r="1115" spans="1:27">
      <c r="A1115" s="181">
        <f ca="1">IFERROR(__xludf.DUMMYFUNCTION("IFS(B1115="""","""",ISDATE(B1115)=TRUE,B1115,ISDATE(B1115)=FALSE,TO_DATE(DATEVALUE(regexextract(B1115,""\d+/\d+/\d+""))))"),44796)</f>
        <v>44796</v>
      </c>
      <c r="B1115" s="182" t="s">
        <v>529</v>
      </c>
      <c r="C1115" s="183" t="s">
        <v>6300</v>
      </c>
      <c r="D1115" s="183">
        <v>2.5</v>
      </c>
      <c r="E1115" s="183"/>
      <c r="F1115" s="183" t="s">
        <v>4</v>
      </c>
      <c r="G1115" s="183" t="s">
        <v>725</v>
      </c>
      <c r="H1115" s="183" t="s">
        <v>11495</v>
      </c>
      <c r="I1115" s="183">
        <v>2</v>
      </c>
      <c r="J1115" s="183" t="s">
        <v>1281</v>
      </c>
      <c r="K1115" s="184" t="s">
        <v>6304</v>
      </c>
      <c r="L1115" s="183">
        <v>3</v>
      </c>
      <c r="M1115" s="183" t="s">
        <v>6305</v>
      </c>
      <c r="N1115" s="187" t="s">
        <v>6306</v>
      </c>
      <c r="O1115" s="183" t="s">
        <v>452</v>
      </c>
      <c r="P1115" s="183" t="s">
        <v>6307</v>
      </c>
      <c r="Q1115" s="184" t="s">
        <v>6308</v>
      </c>
      <c r="R1115" s="183" t="s">
        <v>24</v>
      </c>
      <c r="S1115" s="184"/>
      <c r="T1115" s="184"/>
      <c r="U1115" s="184"/>
      <c r="V1115" s="184"/>
      <c r="W1115" s="184"/>
      <c r="X1115" s="179"/>
      <c r="Y1115" s="179"/>
      <c r="Z1115" s="179"/>
      <c r="AA1115" s="179"/>
    </row>
    <row r="1116" spans="1:27">
      <c r="A1116" s="181">
        <f ca="1">IFERROR(__xludf.DUMMYFUNCTION("IFS(B1116="""","""",ISDATE(B1116)=TRUE,B1116,ISDATE(B1116)=FALSE,TO_DATE(DATEVALUE(regexextract(B1116,""\d+/\d+/\d+""))))"),44797)</f>
        <v>44797</v>
      </c>
      <c r="B1116" s="182" t="s">
        <v>907</v>
      </c>
      <c r="C1116" s="183" t="s">
        <v>366</v>
      </c>
      <c r="D1116" s="183">
        <v>4</v>
      </c>
      <c r="E1116" s="183"/>
      <c r="F1116" s="183" t="s">
        <v>3</v>
      </c>
      <c r="G1116" s="183" t="s">
        <v>488</v>
      </c>
      <c r="H1116" s="183" t="s">
        <v>9809</v>
      </c>
      <c r="I1116" s="183">
        <v>4</v>
      </c>
      <c r="J1116" s="183" t="s">
        <v>941</v>
      </c>
      <c r="K1116" s="183" t="s">
        <v>9810</v>
      </c>
      <c r="L1116" s="183">
        <v>4</v>
      </c>
      <c r="M1116" s="184" t="s">
        <v>9811</v>
      </c>
      <c r="N1116" s="184">
        <v>1000000</v>
      </c>
      <c r="O1116" s="183" t="s">
        <v>452</v>
      </c>
      <c r="P1116" s="183" t="s">
        <v>9812</v>
      </c>
      <c r="Q1116" s="184"/>
      <c r="R1116" s="183" t="s">
        <v>20</v>
      </c>
      <c r="S1116" s="184" t="s">
        <v>9813</v>
      </c>
      <c r="T1116" s="184"/>
      <c r="U1116" s="184"/>
      <c r="V1116" s="184"/>
      <c r="W1116" s="184"/>
      <c r="X1116" s="179"/>
      <c r="Y1116" s="179"/>
      <c r="Z1116" s="179"/>
      <c r="AA1116" s="179"/>
    </row>
    <row r="1117" spans="1:27">
      <c r="A1117" s="181">
        <f ca="1">IFERROR(__xludf.DUMMYFUNCTION("IFS(B1117="""","""",ISDATE(B1117)=TRUE,B1117,ISDATE(B1117)=FALSE,TO_DATE(DATEVALUE(regexextract(B1117,""\d+/\d+/\d+""))))"),44789)</f>
        <v>44789</v>
      </c>
      <c r="B1117" s="182" t="s">
        <v>6450</v>
      </c>
      <c r="C1117" s="183" t="s">
        <v>3224</v>
      </c>
      <c r="D1117" s="184">
        <v>3</v>
      </c>
      <c r="E1117" s="184" t="s">
        <v>3227</v>
      </c>
      <c r="F1117" s="183" t="s">
        <v>5</v>
      </c>
      <c r="G1117" s="183" t="s">
        <v>447</v>
      </c>
      <c r="H1117" s="184" t="s">
        <v>11496</v>
      </c>
      <c r="I1117" s="184">
        <v>3</v>
      </c>
      <c r="J1117" s="183" t="s">
        <v>449</v>
      </c>
      <c r="K1117" s="184" t="s">
        <v>11497</v>
      </c>
      <c r="L1117" s="184">
        <v>3</v>
      </c>
      <c r="M1117" s="183"/>
      <c r="N1117" s="187"/>
      <c r="O1117" s="183" t="s">
        <v>452</v>
      </c>
      <c r="P1117" s="183" t="s">
        <v>3230</v>
      </c>
      <c r="Q1117" s="184" t="s">
        <v>3231</v>
      </c>
      <c r="R1117" s="184" t="s">
        <v>24</v>
      </c>
      <c r="S1117" s="184"/>
      <c r="T1117" s="184"/>
      <c r="U1117" s="184"/>
      <c r="V1117" s="184"/>
      <c r="W1117" s="184"/>
      <c r="X1117" s="179"/>
      <c r="Y1117" s="179"/>
      <c r="Z1117" s="179"/>
      <c r="AA1117" s="179"/>
    </row>
    <row r="1118" spans="1:27">
      <c r="A1118" s="181">
        <f ca="1">IFERROR(__xludf.DUMMYFUNCTION("IFS(B1118="""","""",ISDATE(B1118)=TRUE,B1118,ISDATE(B1118)=FALSE,TO_DATE(DATEVALUE(regexextract(B1118,""\d+/\d+/\d+""))))"),44796)</f>
        <v>44796</v>
      </c>
      <c r="B1118" s="182" t="s">
        <v>529</v>
      </c>
      <c r="C1118" s="183" t="s">
        <v>7210</v>
      </c>
      <c r="D1118" s="183">
        <v>2</v>
      </c>
      <c r="E1118" s="183"/>
      <c r="F1118" s="183" t="s">
        <v>4</v>
      </c>
      <c r="G1118" s="183" t="s">
        <v>725</v>
      </c>
      <c r="H1118" s="183" t="s">
        <v>7213</v>
      </c>
      <c r="I1118" s="183">
        <v>2</v>
      </c>
      <c r="J1118" s="183" t="s">
        <v>1187</v>
      </c>
      <c r="K1118" s="183" t="s">
        <v>7214</v>
      </c>
      <c r="L1118" s="183">
        <v>2</v>
      </c>
      <c r="M1118" s="183" t="s">
        <v>2190</v>
      </c>
      <c r="N1118" s="187" t="s">
        <v>4828</v>
      </c>
      <c r="O1118" s="183" t="s">
        <v>465</v>
      </c>
      <c r="P1118" s="183" t="s">
        <v>7215</v>
      </c>
      <c r="Q1118" s="183" t="s">
        <v>7216</v>
      </c>
      <c r="R1118" s="183" t="s">
        <v>24</v>
      </c>
      <c r="S1118" s="183"/>
      <c r="T1118" s="184"/>
      <c r="U1118" s="184"/>
      <c r="V1118" s="184"/>
      <c r="W1118" s="184"/>
      <c r="X1118" s="179"/>
      <c r="Y1118" s="179"/>
      <c r="Z1118" s="179"/>
      <c r="AA1118" s="179"/>
    </row>
    <row r="1119" spans="1:27">
      <c r="A1119" s="181">
        <f ca="1">IFERROR(__xludf.DUMMYFUNCTION("IFS(B1119="""","""",ISDATE(B1119)=TRUE,B1119,ISDATE(B1119)=FALSE,TO_DATE(DATEVALUE(regexextract(B1119,""\d+/\d+/\d+""))))"),44797)</f>
        <v>44797</v>
      </c>
      <c r="B1119" s="182" t="s">
        <v>907</v>
      </c>
      <c r="C1119" s="183" t="s">
        <v>7925</v>
      </c>
      <c r="D1119" s="183">
        <v>1.5</v>
      </c>
      <c r="E1119" s="183"/>
      <c r="F1119" s="183" t="s">
        <v>4</v>
      </c>
      <c r="G1119" s="183" t="s">
        <v>725</v>
      </c>
      <c r="H1119" s="183" t="s">
        <v>11498</v>
      </c>
      <c r="I1119" s="183">
        <v>1</v>
      </c>
      <c r="J1119" s="183" t="s">
        <v>1350</v>
      </c>
      <c r="K1119" s="183" t="s">
        <v>7929</v>
      </c>
      <c r="L1119" s="183">
        <v>2</v>
      </c>
      <c r="M1119" s="183" t="s">
        <v>2190</v>
      </c>
      <c r="N1119" s="187">
        <v>1000000</v>
      </c>
      <c r="O1119" s="183" t="s">
        <v>452</v>
      </c>
      <c r="P1119" s="183" t="s">
        <v>7930</v>
      </c>
      <c r="Q1119" s="184" t="s">
        <v>1343</v>
      </c>
      <c r="R1119" s="183" t="s">
        <v>24</v>
      </c>
      <c r="S1119" s="184"/>
      <c r="T1119" s="184"/>
      <c r="U1119" s="184"/>
      <c r="V1119" s="184"/>
      <c r="W1119" s="184"/>
      <c r="X1119" s="179"/>
      <c r="Y1119" s="179"/>
      <c r="Z1119" s="179"/>
      <c r="AA1119" s="179"/>
    </row>
    <row r="1120" spans="1:27">
      <c r="A1120" s="181">
        <f ca="1">IFERROR(__xludf.DUMMYFUNCTION("IFS(B1120="""","""",ISDATE(B1120)=TRUE,B1120,ISDATE(B1120)=FALSE,TO_DATE(DATEVALUE(regexextract(B1120,""\d+/\d+/\d+""))))"),44796)</f>
        <v>44796</v>
      </c>
      <c r="B1120" s="182" t="s">
        <v>529</v>
      </c>
      <c r="C1120" s="183" t="s">
        <v>188</v>
      </c>
      <c r="D1120" s="183">
        <v>4</v>
      </c>
      <c r="E1120" s="183" t="s">
        <v>3753</v>
      </c>
      <c r="F1120" s="183" t="s">
        <v>4</v>
      </c>
      <c r="G1120" s="183" t="s">
        <v>727</v>
      </c>
      <c r="H1120" s="183" t="s">
        <v>11499</v>
      </c>
      <c r="I1120" s="183">
        <v>4</v>
      </c>
      <c r="J1120" s="183" t="s">
        <v>1036</v>
      </c>
      <c r="K1120" s="183" t="s">
        <v>3755</v>
      </c>
      <c r="L1120" s="183">
        <v>4</v>
      </c>
      <c r="M1120" s="183"/>
      <c r="N1120" s="192"/>
      <c r="O1120" s="183" t="s">
        <v>454</v>
      </c>
      <c r="P1120" s="183" t="s">
        <v>3756</v>
      </c>
      <c r="Q1120" s="184" t="s">
        <v>3757</v>
      </c>
      <c r="R1120" s="183" t="s">
        <v>20</v>
      </c>
      <c r="S1120" s="183" t="s">
        <v>3758</v>
      </c>
      <c r="T1120" s="184"/>
      <c r="U1120" s="184"/>
      <c r="V1120" s="184"/>
      <c r="W1120" s="184"/>
      <c r="X1120" s="179"/>
      <c r="Y1120" s="179"/>
      <c r="Z1120" s="179"/>
      <c r="AA1120" s="179"/>
    </row>
    <row r="1121" spans="1:27">
      <c r="A1121" s="181">
        <f ca="1">IFERROR(__xludf.DUMMYFUNCTION("IFS(B1121="""","""",ISDATE(B1121)=TRUE,B1121,ISDATE(B1121)=FALSE,TO_DATE(DATEVALUE(regexextract(B1121,""\d+/\d+/\d+""))))"),44776)</f>
        <v>44776</v>
      </c>
      <c r="B1121" s="189" t="s">
        <v>10176</v>
      </c>
      <c r="C1121" s="183" t="s">
        <v>95</v>
      </c>
      <c r="D1121" s="184">
        <v>3.5</v>
      </c>
      <c r="E1121" s="183" t="s">
        <v>2744</v>
      </c>
      <c r="F1121" s="183" t="s">
        <v>5</v>
      </c>
      <c r="G1121" s="183" t="s">
        <v>447</v>
      </c>
      <c r="H1121" s="184" t="s">
        <v>2745</v>
      </c>
      <c r="I1121" s="184">
        <v>3.5</v>
      </c>
      <c r="J1121" s="183" t="s">
        <v>622</v>
      </c>
      <c r="K1121" s="183" t="s">
        <v>2746</v>
      </c>
      <c r="L1121" s="183">
        <v>3.5</v>
      </c>
      <c r="M1121" s="183" t="s">
        <v>451</v>
      </c>
      <c r="N1121" s="187">
        <v>3000000</v>
      </c>
      <c r="O1121" s="183" t="s">
        <v>452</v>
      </c>
      <c r="P1121" s="183" t="s">
        <v>452</v>
      </c>
      <c r="Q1121" s="184" t="s">
        <v>11500</v>
      </c>
      <c r="R1121" s="184" t="s">
        <v>20</v>
      </c>
      <c r="S1121" s="184" t="s">
        <v>2747</v>
      </c>
      <c r="T1121" s="184"/>
      <c r="U1121" s="184"/>
      <c r="V1121" s="184"/>
      <c r="W1121" s="184"/>
      <c r="X1121" s="179"/>
      <c r="Y1121" s="179"/>
      <c r="Z1121" s="179"/>
      <c r="AA1121" s="179"/>
    </row>
    <row r="1122" spans="1:27">
      <c r="A1122" s="181">
        <f ca="1">IFERROR(__xludf.DUMMYFUNCTION("IFS(B1122="""","""",ISDATE(B1122)=TRUE,B1122,ISDATE(B1122)=FALSE,TO_DATE(DATEVALUE(regexextract(B1122,""\d+/\d+/\d+""))))"),44776)</f>
        <v>44776</v>
      </c>
      <c r="B1122" s="182" t="s">
        <v>10176</v>
      </c>
      <c r="C1122" s="183" t="s">
        <v>2913</v>
      </c>
      <c r="D1122" s="183">
        <v>1.5</v>
      </c>
      <c r="E1122" s="183" t="s">
        <v>2916</v>
      </c>
      <c r="F1122" s="183" t="s">
        <v>5</v>
      </c>
      <c r="G1122" s="183" t="s">
        <v>447</v>
      </c>
      <c r="H1122" s="183" t="s">
        <v>2917</v>
      </c>
      <c r="I1122" s="183">
        <v>1</v>
      </c>
      <c r="J1122" s="183" t="s">
        <v>476</v>
      </c>
      <c r="K1122" s="183" t="s">
        <v>11501</v>
      </c>
      <c r="L1122" s="183">
        <v>2</v>
      </c>
      <c r="M1122" s="183"/>
      <c r="N1122" s="185"/>
      <c r="O1122" s="183" t="s">
        <v>452</v>
      </c>
      <c r="P1122" s="183" t="s">
        <v>2919</v>
      </c>
      <c r="Q1122" s="183"/>
      <c r="R1122" s="183" t="s">
        <v>24</v>
      </c>
      <c r="S1122" s="184"/>
      <c r="T1122" s="184"/>
      <c r="U1122" s="184"/>
      <c r="V1122" s="184"/>
      <c r="W1122" s="184"/>
      <c r="X1122" s="179"/>
      <c r="Y1122" s="179"/>
      <c r="Z1122" s="179"/>
      <c r="AA1122" s="179"/>
    </row>
    <row r="1123" spans="1:27">
      <c r="A1123" s="181">
        <f ca="1">IFERROR(__xludf.DUMMYFUNCTION("IFS(B1123="""","""",ISDATE(B1123)=TRUE,B1123,ISDATE(B1123)=FALSE,TO_DATE(DATEVALUE(regexextract(B1123,""\d+/\d+/\d+""))))"),44796)</f>
        <v>44796</v>
      </c>
      <c r="B1123" s="182" t="s">
        <v>529</v>
      </c>
      <c r="C1123" s="183" t="s">
        <v>7811</v>
      </c>
      <c r="D1123" s="184">
        <v>1.5</v>
      </c>
      <c r="E1123" s="183" t="s">
        <v>7814</v>
      </c>
      <c r="F1123" s="183" t="s">
        <v>4</v>
      </c>
      <c r="G1123" s="183" t="s">
        <v>1045</v>
      </c>
      <c r="H1123" s="184" t="s">
        <v>7815</v>
      </c>
      <c r="I1123" s="184">
        <v>1</v>
      </c>
      <c r="J1123" s="183" t="s">
        <v>1073</v>
      </c>
      <c r="K1123" s="183" t="s">
        <v>7816</v>
      </c>
      <c r="L1123" s="183">
        <v>2</v>
      </c>
      <c r="M1123" s="184"/>
      <c r="N1123" s="184"/>
      <c r="O1123" s="183" t="s">
        <v>454</v>
      </c>
      <c r="P1123" s="183" t="s">
        <v>452</v>
      </c>
      <c r="Q1123" s="184"/>
      <c r="R1123" s="184" t="s">
        <v>24</v>
      </c>
      <c r="S1123" s="184"/>
      <c r="T1123" s="184"/>
      <c r="U1123" s="184"/>
      <c r="V1123" s="184"/>
      <c r="W1123" s="184"/>
      <c r="X1123" s="179"/>
      <c r="Y1123" s="179"/>
      <c r="Z1123" s="179"/>
      <c r="AA1123" s="179"/>
    </row>
    <row r="1124" spans="1:27">
      <c r="A1124" s="181" t="str">
        <f ca="1">IFERROR(__xludf.DUMMYFUNCTION("IFS(B1124="""","""",ISDATE(B1124)=TRUE,B1124,ISDATE(B1124)=FALSE,TO_DATE(DATEVALUE(regexextract(B1124,""\d+/\d+/\d+""))))"),"")</f>
        <v/>
      </c>
      <c r="B1124" s="182"/>
      <c r="C1124" s="183"/>
      <c r="D1124" s="183"/>
      <c r="E1124" s="183"/>
      <c r="F1124" s="183"/>
      <c r="G1124" s="183"/>
      <c r="H1124" s="184"/>
      <c r="I1124" s="183"/>
      <c r="J1124" s="183"/>
      <c r="K1124" s="183"/>
      <c r="L1124" s="183"/>
      <c r="M1124" s="183"/>
      <c r="N1124" s="192"/>
      <c r="O1124" s="183"/>
      <c r="P1124" s="183"/>
      <c r="Q1124" s="184"/>
      <c r="R1124" s="183"/>
      <c r="S1124" s="184"/>
      <c r="T1124" s="184"/>
      <c r="U1124" s="184"/>
      <c r="V1124" s="184"/>
      <c r="W1124" s="184"/>
      <c r="X1124" s="179"/>
      <c r="Y1124" s="179"/>
      <c r="Z1124" s="179"/>
      <c r="AA1124" s="179"/>
    </row>
    <row r="1125" spans="1:27">
      <c r="A1125" s="181" t="str">
        <f ca="1">IFERROR(__xludf.DUMMYFUNCTION("IFS(B1125="""","""",ISDATE(B1125)=TRUE,B1125,ISDATE(B1125)=FALSE,TO_DATE(DATEVALUE(regexextract(B1125,""\d+/\d+/\d+""))))"),"")</f>
        <v/>
      </c>
      <c r="B1125" s="189"/>
      <c r="C1125" s="183"/>
      <c r="D1125" s="183"/>
      <c r="E1125" s="183"/>
      <c r="F1125" s="183"/>
      <c r="G1125" s="183"/>
      <c r="H1125" s="183"/>
      <c r="I1125" s="183"/>
      <c r="J1125" s="183"/>
      <c r="K1125" s="184"/>
      <c r="L1125" s="183"/>
      <c r="M1125" s="183"/>
      <c r="N1125" s="185"/>
      <c r="O1125" s="183"/>
      <c r="P1125" s="183"/>
      <c r="Q1125" s="184"/>
      <c r="R1125" s="183"/>
      <c r="S1125" s="184"/>
      <c r="T1125" s="184"/>
      <c r="U1125" s="184"/>
      <c r="V1125" s="184"/>
      <c r="W1125" s="184"/>
      <c r="X1125" s="179"/>
      <c r="Y1125" s="179"/>
      <c r="Z1125" s="179"/>
      <c r="AA1125" s="179"/>
    </row>
    <row r="1126" spans="1:27">
      <c r="A1126" s="181" t="str">
        <f ca="1">IFERROR(__xludf.DUMMYFUNCTION("IFS(B1126="""","""",ISDATE(B1126)=TRUE,B1126,ISDATE(B1126)=FALSE,TO_DATE(DATEVALUE(regexextract(B1126,""\d+/\d+/\d+""))))"),"")</f>
        <v/>
      </c>
      <c r="B1126" s="182"/>
      <c r="C1126" s="183"/>
      <c r="D1126" s="184"/>
      <c r="E1126" s="183"/>
      <c r="F1126" s="183"/>
      <c r="G1126" s="183"/>
      <c r="H1126" s="184"/>
      <c r="I1126" s="184"/>
      <c r="J1126" s="183"/>
      <c r="K1126" s="184"/>
      <c r="L1126" s="184"/>
      <c r="M1126" s="183"/>
      <c r="N1126" s="187"/>
      <c r="O1126" s="183"/>
      <c r="P1126" s="183"/>
      <c r="Q1126" s="184"/>
      <c r="R1126" s="184"/>
      <c r="S1126" s="184"/>
      <c r="T1126" s="184"/>
      <c r="U1126" s="184"/>
      <c r="V1126" s="184"/>
      <c r="W1126" s="184"/>
      <c r="X1126" s="179"/>
      <c r="Y1126" s="179"/>
      <c r="Z1126" s="179"/>
      <c r="AA1126" s="179"/>
    </row>
    <row r="1127" spans="1:27">
      <c r="A1127" s="181"/>
      <c r="B1127" s="182"/>
      <c r="C1127" s="183"/>
      <c r="D1127" s="183"/>
      <c r="E1127" s="183"/>
      <c r="F1127" s="183"/>
      <c r="G1127" s="183"/>
      <c r="H1127" s="183"/>
      <c r="I1127" s="183"/>
      <c r="J1127" s="183"/>
      <c r="K1127" s="183"/>
      <c r="L1127" s="183"/>
      <c r="M1127" s="183"/>
      <c r="N1127" s="187"/>
      <c r="O1127" s="183"/>
      <c r="P1127" s="183"/>
      <c r="Q1127" s="183"/>
      <c r="R1127" s="183"/>
      <c r="S1127" s="193"/>
      <c r="T1127" s="193"/>
      <c r="U1127" s="193"/>
      <c r="V1127" s="193"/>
      <c r="W1127" s="193"/>
      <c r="X1127" s="6"/>
      <c r="Y1127" s="6"/>
      <c r="Z1127" s="6"/>
      <c r="AA1127" s="6"/>
    </row>
    <row r="1128" spans="1:27">
      <c r="A1128" s="181"/>
      <c r="B1128" s="182"/>
      <c r="C1128" s="183"/>
      <c r="D1128" s="183"/>
      <c r="E1128" s="183"/>
      <c r="F1128" s="183"/>
      <c r="G1128" s="183"/>
      <c r="H1128" s="183"/>
      <c r="I1128" s="183"/>
      <c r="J1128" s="183"/>
      <c r="K1128" s="183"/>
      <c r="L1128" s="183"/>
      <c r="M1128" s="183"/>
      <c r="N1128" s="187"/>
      <c r="O1128" s="183"/>
      <c r="P1128" s="183"/>
      <c r="Q1128" s="183"/>
      <c r="R1128" s="183"/>
      <c r="S1128" s="193"/>
      <c r="T1128" s="193"/>
      <c r="U1128" s="193"/>
      <c r="V1128" s="193"/>
      <c r="W1128" s="193"/>
      <c r="X1128" s="6"/>
      <c r="Y1128" s="6"/>
      <c r="Z1128" s="6"/>
      <c r="AA1128" s="6"/>
    </row>
  </sheetData>
  <autoFilter ref="A1:AA1128" xr:uid="{00000000-0009-0000-0000-000005000000}"/>
  <conditionalFormatting sqref="C1:C1128">
    <cfRule type="expression" dxfId="41" priority="1">
      <formula>AND(ISTEXT(C1), COUNTIF(C:C,C1)&gt;1)</formula>
    </cfRule>
  </conditionalFormatting>
  <conditionalFormatting sqref="P1:P1128">
    <cfRule type="containsText" dxfId="40" priority="2" operator="containsText" text="YC">
      <formula>NOT(ISERROR(SEARCH(("YC"),(P1))))</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L1129"/>
  <sheetViews>
    <sheetView workbookViewId="0"/>
  </sheetViews>
  <sheetFormatPr baseColWidth="10" defaultColWidth="14.5" defaultRowHeight="15" customHeight="1"/>
  <cols>
    <col min="8" max="12" width="5.6640625" customWidth="1"/>
  </cols>
  <sheetData>
    <row r="1" spans="1:12">
      <c r="A1" s="6" t="str">
        <f ca="1">IFERROR(__xludf.DUMMYFUNCTION("QUERY('2022-2023 Applications Review'!1:1126,""select A,B,C,E,Q where (C&gt;=0) order by C desc"")"),"Date of Team Review")</f>
        <v>Date of Team Review</v>
      </c>
      <c r="B1" s="6" t="str">
        <f ca="1">IFERROR(__xludf.DUMMYFUNCTION("""COMPUTED_VALUE"""),"Opportunity Name")</f>
        <v>Opportunity Name</v>
      </c>
      <c r="C1" s="6" t="str">
        <f ca="1">IFERROR(__xludf.DUMMYFUNCTION("""COMPUTED_VALUE"""),"Pre-Interview Composite Score")</f>
        <v>Pre-Interview Composite Score</v>
      </c>
      <c r="D1" s="6" t="str">
        <f ca="1">IFERROR(__xludf.DUMMYFUNCTION("""COMPUTED_VALUE"""),"Track")</f>
        <v>Track</v>
      </c>
      <c r="E1" s="6" t="str">
        <f ca="1">IFERROR(__xludf.DUMMYFUNCTION("""COMPUTED_VALUE"""),"Interview Day Status")</f>
        <v>Interview Day Status</v>
      </c>
      <c r="F1" s="6" t="s">
        <v>11502</v>
      </c>
      <c r="G1" s="6" t="s">
        <v>11503</v>
      </c>
      <c r="K1" s="6" t="s">
        <v>11504</v>
      </c>
    </row>
    <row r="2" spans="1:12">
      <c r="A2" s="199">
        <f ca="1">IFERROR(__xludf.DUMMYFUNCTION("""COMPUTED_VALUE"""),44776)</f>
        <v>44776</v>
      </c>
      <c r="B2" s="6" t="str">
        <f ca="1">IFERROR(__xludf.DUMMYFUNCTION("""COMPUTED_VALUE"""),"Amplo Biotechnology _2022")</f>
        <v>Amplo Biotechnology _2022</v>
      </c>
      <c r="C2" s="6">
        <f ca="1">IFERROR(__xludf.DUMMYFUNCTION("""COMPUTED_VALUE"""),5)</f>
        <v>5</v>
      </c>
      <c r="D2" s="6" t="str">
        <f ca="1">IFERROR(__xludf.DUMMYFUNCTION("""COMPUTED_VALUE"""),"Life Sciences")</f>
        <v>Life Sciences</v>
      </c>
      <c r="E2" s="6" t="str">
        <f ca="1">IFERROR(__xludf.DUMMYFUNCTION("""COMPUTED_VALUE"""),"Invite")</f>
        <v>Invite</v>
      </c>
      <c r="F2" s="6" t="e">
        <f t="shared" ref="F2:F256" ca="1" si="0">_xludf.IFS(D2="Life Sciences","LS",D2="Digital Tech","DiT",D2="Deep Tech","DT")</f>
        <v>#NAME?</v>
      </c>
      <c r="G2" s="6" t="s">
        <v>13</v>
      </c>
      <c r="H2" s="6">
        <f ca="1">Totals!C8</f>
        <v>989</v>
      </c>
      <c r="I2" s="6">
        <f>SUM(I3:I5)</f>
        <v>1122</v>
      </c>
      <c r="K2" s="199">
        <v>44791</v>
      </c>
      <c r="L2" s="6" t="s">
        <v>246</v>
      </c>
    </row>
    <row r="3" spans="1:12">
      <c r="A3" s="199">
        <f ca="1">IFERROR(__xludf.DUMMYFUNCTION("""COMPUTED_VALUE"""),44776)</f>
        <v>44776</v>
      </c>
      <c r="B3" s="6" t="str">
        <f ca="1">IFERROR(__xludf.DUMMYFUNCTION("""COMPUTED_VALUE"""),"Panhwar Jet _2022")</f>
        <v>Panhwar Jet _2022</v>
      </c>
      <c r="C3" s="6">
        <f ca="1">IFERROR(__xludf.DUMMYFUNCTION("""COMPUTED_VALUE"""),5)</f>
        <v>5</v>
      </c>
      <c r="D3" s="6" t="str">
        <f ca="1">IFERROR(__xludf.DUMMYFUNCTION("""COMPUTED_VALUE"""),"Deep Tech")</f>
        <v>Deep Tech</v>
      </c>
      <c r="E3" s="6" t="str">
        <f ca="1">IFERROR(__xludf.DUMMYFUNCTION("""COMPUTED_VALUE"""),"Invite")</f>
        <v>Invite</v>
      </c>
      <c r="F3" s="6" t="e">
        <f t="shared" ca="1" si="0"/>
        <v>#NAME?</v>
      </c>
      <c r="G3" s="6" t="s">
        <v>14</v>
      </c>
      <c r="H3" s="6">
        <f ca="1">Totals!C9</f>
        <v>226</v>
      </c>
      <c r="I3" s="200">
        <f>COUNTIF(Import!F:F,"Life Sciences")</f>
        <v>224</v>
      </c>
      <c r="J3" s="200"/>
      <c r="K3" s="199">
        <v>44796</v>
      </c>
      <c r="L3" s="6" t="s">
        <v>246</v>
      </c>
    </row>
    <row r="4" spans="1:12">
      <c r="A4" s="199">
        <f ca="1">IFERROR(__xludf.DUMMYFUNCTION("""COMPUTED_VALUE"""),44776)</f>
        <v>44776</v>
      </c>
      <c r="B4" s="6" t="str">
        <f ca="1">IFERROR(__xludf.DUMMYFUNCTION("""COMPUTED_VALUE"""),"Nano PharmaSolutions, Inc. _2022")</f>
        <v>Nano PharmaSolutions, Inc. _2022</v>
      </c>
      <c r="C4" s="6">
        <f ca="1">IFERROR(__xludf.DUMMYFUNCTION("""COMPUTED_VALUE"""),5)</f>
        <v>5</v>
      </c>
      <c r="D4" s="6" t="str">
        <f ca="1">IFERROR(__xludf.DUMMYFUNCTION("""COMPUTED_VALUE"""),"Life Sciences")</f>
        <v>Life Sciences</v>
      </c>
      <c r="E4" s="6" t="str">
        <f ca="1">IFERROR(__xludf.DUMMYFUNCTION("""COMPUTED_VALUE"""),"Invite")</f>
        <v>Invite</v>
      </c>
      <c r="F4" s="6" t="e">
        <f t="shared" ca="1" si="0"/>
        <v>#NAME?</v>
      </c>
      <c r="G4" s="6" t="s">
        <v>15</v>
      </c>
      <c r="H4" s="6">
        <f ca="1">Totals!C10</f>
        <v>640</v>
      </c>
      <c r="I4" s="200">
        <f>COUNTIF(Import!F:F,"Digital Tech")</f>
        <v>636</v>
      </c>
      <c r="J4" s="200" t="s">
        <v>11505</v>
      </c>
      <c r="K4" s="199">
        <v>44797</v>
      </c>
      <c r="L4" s="6" t="s">
        <v>283</v>
      </c>
    </row>
    <row r="5" spans="1:12">
      <c r="A5" s="199">
        <f ca="1">IFERROR(__xludf.DUMMYFUNCTION("""COMPUTED_VALUE"""),44776)</f>
        <v>44776</v>
      </c>
      <c r="B5" s="6" t="str">
        <f ca="1">IFERROR(__xludf.DUMMYFUNCTION("""COMPUTED_VALUE"""),"Automated Architecture Ltd _2022")</f>
        <v>Automated Architecture Ltd _2022</v>
      </c>
      <c r="C5" s="6">
        <f ca="1">IFERROR(__xludf.DUMMYFUNCTION("""COMPUTED_VALUE"""),5)</f>
        <v>5</v>
      </c>
      <c r="D5" s="6" t="str">
        <f ca="1">IFERROR(__xludf.DUMMYFUNCTION("""COMPUTED_VALUE"""),"Deep Tech")</f>
        <v>Deep Tech</v>
      </c>
      <c r="E5" s="6" t="str">
        <f ca="1">IFERROR(__xludf.DUMMYFUNCTION("""COMPUTED_VALUE"""),"Invite")</f>
        <v>Invite</v>
      </c>
      <c r="F5" s="6" t="e">
        <f t="shared" ca="1" si="0"/>
        <v>#NAME?</v>
      </c>
      <c r="G5" s="6" t="s">
        <v>16</v>
      </c>
      <c r="H5" s="6">
        <f ca="1">Totals!C11</f>
        <v>259</v>
      </c>
      <c r="I5" s="200">
        <f>COUNTIF(Import!F:F,"Deep Tech")</f>
        <v>262</v>
      </c>
      <c r="J5" s="200"/>
      <c r="K5" s="199">
        <v>44797</v>
      </c>
      <c r="L5" s="6" t="s">
        <v>283</v>
      </c>
    </row>
    <row r="6" spans="1:12">
      <c r="A6" s="199">
        <f ca="1">IFERROR(__xludf.DUMMYFUNCTION("""COMPUTED_VALUE"""),44782)</f>
        <v>44782</v>
      </c>
      <c r="B6" s="6" t="str">
        <f ca="1">IFERROR(__xludf.DUMMYFUNCTION("""COMPUTED_VALUE"""),"Amberstone Biosciences Inc _2022")</f>
        <v>Amberstone Biosciences Inc _2022</v>
      </c>
      <c r="C6" s="6">
        <f ca="1">IFERROR(__xludf.DUMMYFUNCTION("""COMPUTED_VALUE"""),5)</f>
        <v>5</v>
      </c>
      <c r="D6" s="6" t="str">
        <f ca="1">IFERROR(__xludf.DUMMYFUNCTION("""COMPUTED_VALUE"""),"Life Sciences")</f>
        <v>Life Sciences</v>
      </c>
      <c r="E6" s="6" t="str">
        <f ca="1">IFERROR(__xludf.DUMMYFUNCTION("""COMPUTED_VALUE"""),"Invite")</f>
        <v>Invite</v>
      </c>
      <c r="F6" s="6" t="e">
        <f t="shared" ca="1" si="0"/>
        <v>#NAME?</v>
      </c>
      <c r="J6" s="6" t="s">
        <v>11505</v>
      </c>
      <c r="K6" s="199">
        <v>44791</v>
      </c>
      <c r="L6" s="6" t="s">
        <v>117</v>
      </c>
    </row>
    <row r="7" spans="1:12">
      <c r="A7" s="199">
        <f ca="1">IFERROR(__xludf.DUMMYFUNCTION("""COMPUTED_VALUE"""),44782)</f>
        <v>44782</v>
      </c>
      <c r="B7" s="6" t="str">
        <f ca="1">IFERROR(__xludf.DUMMYFUNCTION("""COMPUTED_VALUE"""),"IPS HEART _2022")</f>
        <v>IPS HEART _2022</v>
      </c>
      <c r="C7" s="6">
        <f ca="1">IFERROR(__xludf.DUMMYFUNCTION("""COMPUTED_VALUE"""),5)</f>
        <v>5</v>
      </c>
      <c r="D7" s="6" t="str">
        <f ca="1">IFERROR(__xludf.DUMMYFUNCTION("""COMPUTED_VALUE"""),"Life Sciences")</f>
        <v>Life Sciences</v>
      </c>
      <c r="E7" s="6" t="str">
        <f ca="1">IFERROR(__xludf.DUMMYFUNCTION("""COMPUTED_VALUE"""),"Invite")</f>
        <v>Invite</v>
      </c>
      <c r="F7" s="6" t="e">
        <f t="shared" ca="1" si="0"/>
        <v>#NAME?</v>
      </c>
      <c r="K7" s="199">
        <v>44796</v>
      </c>
      <c r="L7" s="6" t="s">
        <v>117</v>
      </c>
    </row>
    <row r="8" spans="1:12">
      <c r="A8" s="199">
        <f ca="1">IFERROR(__xludf.DUMMYFUNCTION("""COMPUTED_VALUE"""),44782)</f>
        <v>44782</v>
      </c>
      <c r="B8" s="6" t="str">
        <f ca="1">IFERROR(__xludf.DUMMYFUNCTION("""COMPUTED_VALUE"""),"JelikaLite Corp _2022")</f>
        <v>JelikaLite Corp _2022</v>
      </c>
      <c r="C8" s="6">
        <f ca="1">IFERROR(__xludf.DUMMYFUNCTION("""COMPUTED_VALUE"""),5)</f>
        <v>5</v>
      </c>
      <c r="D8" s="6" t="str">
        <f ca="1">IFERROR(__xludf.DUMMYFUNCTION("""COMPUTED_VALUE"""),"Deep Tech")</f>
        <v>Deep Tech</v>
      </c>
      <c r="E8" s="6" t="str">
        <f ca="1">IFERROR(__xludf.DUMMYFUNCTION("""COMPUTED_VALUE"""),"Invite")</f>
        <v>Invite</v>
      </c>
      <c r="F8" s="6" t="e">
        <f t="shared" ca="1" si="0"/>
        <v>#NAME?</v>
      </c>
      <c r="K8" s="199">
        <v>44791</v>
      </c>
      <c r="L8" s="6" t="s">
        <v>2769</v>
      </c>
    </row>
    <row r="9" spans="1:12">
      <c r="A9" s="199">
        <f ca="1">IFERROR(__xludf.DUMMYFUNCTION("""COMPUTED_VALUE"""),44782)</f>
        <v>44782</v>
      </c>
      <c r="B9" s="6" t="str">
        <f ca="1">IFERROR(__xludf.DUMMYFUNCTION("""COMPUTED_VALUE"""),"Bilayer Therapeutics _2022")</f>
        <v>Bilayer Therapeutics _2022</v>
      </c>
      <c r="C9" s="6">
        <f ca="1">IFERROR(__xludf.DUMMYFUNCTION("""COMPUTED_VALUE"""),5)</f>
        <v>5</v>
      </c>
      <c r="D9" s="6" t="str">
        <f ca="1">IFERROR(__xludf.DUMMYFUNCTION("""COMPUTED_VALUE"""),"Life Sciences")</f>
        <v>Life Sciences</v>
      </c>
      <c r="E9" s="6" t="str">
        <f ca="1">IFERROR(__xludf.DUMMYFUNCTION("""COMPUTED_VALUE"""),"Invite")</f>
        <v>Invite</v>
      </c>
      <c r="F9" s="6" t="e">
        <f t="shared" ca="1" si="0"/>
        <v>#NAME?</v>
      </c>
      <c r="J9" s="6" t="s">
        <v>11506</v>
      </c>
      <c r="K9" s="199">
        <v>44796</v>
      </c>
      <c r="L9" s="6" t="s">
        <v>2769</v>
      </c>
    </row>
    <row r="10" spans="1:12">
      <c r="A10" s="199">
        <f ca="1">IFERROR(__xludf.DUMMYFUNCTION("""COMPUTED_VALUE"""),44782)</f>
        <v>44782</v>
      </c>
      <c r="B10" s="6" t="str">
        <f ca="1">IFERROR(__xludf.DUMMYFUNCTION("""COMPUTED_VALUE"""),"Exavir Therapeutics _2022")</f>
        <v>Exavir Therapeutics _2022</v>
      </c>
      <c r="C10" s="6">
        <f ca="1">IFERROR(__xludf.DUMMYFUNCTION("""COMPUTED_VALUE"""),5)</f>
        <v>5</v>
      </c>
      <c r="D10" s="6" t="str">
        <f ca="1">IFERROR(__xludf.DUMMYFUNCTION("""COMPUTED_VALUE"""),"Life Sciences")</f>
        <v>Life Sciences</v>
      </c>
      <c r="E10" s="6" t="str">
        <f ca="1">IFERROR(__xludf.DUMMYFUNCTION("""COMPUTED_VALUE"""),"Invite")</f>
        <v>Invite</v>
      </c>
      <c r="F10" s="6" t="e">
        <f t="shared" ca="1" si="0"/>
        <v>#NAME?</v>
      </c>
      <c r="K10" s="199">
        <v>44789</v>
      </c>
      <c r="L10" s="6" t="s">
        <v>10205</v>
      </c>
    </row>
    <row r="11" spans="1:12">
      <c r="A11" s="199">
        <f ca="1">IFERROR(__xludf.DUMMYFUNCTION("""COMPUTED_VALUE"""),44784)</f>
        <v>44784</v>
      </c>
      <c r="B11" s="6" t="str">
        <f ca="1">IFERROR(__xludf.DUMMYFUNCTION("""COMPUTED_VALUE"""),"Woven Orthopedic Technologies, LLC _2022")</f>
        <v>Woven Orthopedic Technologies, LLC _2022</v>
      </c>
      <c r="C11" s="6">
        <f ca="1">IFERROR(__xludf.DUMMYFUNCTION("""COMPUTED_VALUE"""),5)</f>
        <v>5</v>
      </c>
      <c r="D11" s="6" t="str">
        <f ca="1">IFERROR(__xludf.DUMMYFUNCTION("""COMPUTED_VALUE"""),"Life Sciences")</f>
        <v>Life Sciences</v>
      </c>
      <c r="E11" s="6" t="str">
        <f ca="1">IFERROR(__xludf.DUMMYFUNCTION("""COMPUTED_VALUE"""),"Invite")</f>
        <v>Invite</v>
      </c>
      <c r="F11" s="6" t="e">
        <f t="shared" ca="1" si="0"/>
        <v>#NAME?</v>
      </c>
      <c r="J11" s="6" t="s">
        <v>11505</v>
      </c>
      <c r="K11" s="199">
        <v>44784</v>
      </c>
      <c r="L11" s="6" t="s">
        <v>10205</v>
      </c>
    </row>
    <row r="12" spans="1:12">
      <c r="A12" s="199">
        <f ca="1">IFERROR(__xludf.DUMMYFUNCTION("""COMPUTED_VALUE"""),44784)</f>
        <v>44784</v>
      </c>
      <c r="B12" s="6" t="str">
        <f ca="1">IFERROR(__xludf.DUMMYFUNCTION("""COMPUTED_VALUE"""),"Turion Space _2022")</f>
        <v>Turion Space _2022</v>
      </c>
      <c r="C12" s="6">
        <f ca="1">IFERROR(__xludf.DUMMYFUNCTION("""COMPUTED_VALUE"""),5)</f>
        <v>5</v>
      </c>
      <c r="D12" s="6" t="str">
        <f ca="1">IFERROR(__xludf.DUMMYFUNCTION("""COMPUTED_VALUE"""),"Deep Tech")</f>
        <v>Deep Tech</v>
      </c>
      <c r="E12" s="6" t="str">
        <f ca="1">IFERROR(__xludf.DUMMYFUNCTION("""COMPUTED_VALUE"""),"Invite")</f>
        <v>Invite</v>
      </c>
      <c r="F12" s="6" t="e">
        <f t="shared" ca="1" si="0"/>
        <v>#NAME?</v>
      </c>
      <c r="K12" s="199">
        <v>44791</v>
      </c>
      <c r="L12" s="6" t="s">
        <v>6235</v>
      </c>
    </row>
    <row r="13" spans="1:12">
      <c r="A13" s="199">
        <f ca="1">IFERROR(__xludf.DUMMYFUNCTION("""COMPUTED_VALUE"""),44784)</f>
        <v>44784</v>
      </c>
      <c r="B13" s="6" t="str">
        <f ca="1">IFERROR(__xludf.DUMMYFUNCTION("""COMPUTED_VALUE"""),"Terra Bioworks Corp _2022")</f>
        <v>Terra Bioworks Corp _2022</v>
      </c>
      <c r="C13" s="6">
        <f ca="1">IFERROR(__xludf.DUMMYFUNCTION("""COMPUTED_VALUE"""),5)</f>
        <v>5</v>
      </c>
      <c r="D13" s="6" t="str">
        <f ca="1">IFERROR(__xludf.DUMMYFUNCTION("""COMPUTED_VALUE"""),"Life Sciences")</f>
        <v>Life Sciences</v>
      </c>
      <c r="E13" s="6" t="str">
        <f ca="1">IFERROR(__xludf.DUMMYFUNCTION("""COMPUTED_VALUE"""),"Invite")</f>
        <v>Invite</v>
      </c>
      <c r="F13" s="6" t="e">
        <f t="shared" ca="1" si="0"/>
        <v>#NAME?</v>
      </c>
      <c r="J13" s="6" t="s">
        <v>11505</v>
      </c>
      <c r="K13" s="199">
        <v>44796</v>
      </c>
      <c r="L13" s="6" t="s">
        <v>6235</v>
      </c>
    </row>
    <row r="14" spans="1:12">
      <c r="A14" s="199">
        <f ca="1">IFERROR(__xludf.DUMMYFUNCTION("""COMPUTED_VALUE"""),44784)</f>
        <v>44784</v>
      </c>
      <c r="B14" s="6" t="str">
        <f ca="1">IFERROR(__xludf.DUMMYFUNCTION("""COMPUTED_VALUE"""),"Charco Neurotech _2022")</f>
        <v>Charco Neurotech _2022</v>
      </c>
      <c r="C14" s="6">
        <f ca="1">IFERROR(__xludf.DUMMYFUNCTION("""COMPUTED_VALUE"""),5)</f>
        <v>5</v>
      </c>
      <c r="D14" s="6" t="str">
        <f ca="1">IFERROR(__xludf.DUMMYFUNCTION("""COMPUTED_VALUE"""),"Life Sciences")</f>
        <v>Life Sciences</v>
      </c>
      <c r="E14" s="6" t="str">
        <f ca="1">IFERROR(__xludf.DUMMYFUNCTION("""COMPUTED_VALUE"""),"Invite")</f>
        <v>Invite</v>
      </c>
      <c r="F14" s="6" t="e">
        <f t="shared" ca="1" si="0"/>
        <v>#NAME?</v>
      </c>
      <c r="K14" s="199">
        <v>44784</v>
      </c>
      <c r="L14" s="6" t="s">
        <v>7954</v>
      </c>
    </row>
    <row r="15" spans="1:12">
      <c r="A15" s="199">
        <f ca="1">IFERROR(__xludf.DUMMYFUNCTION("""COMPUTED_VALUE"""),44789)</f>
        <v>44789</v>
      </c>
      <c r="B15" s="6" t="str">
        <f ca="1">IFERROR(__xludf.DUMMYFUNCTION("""COMPUTED_VALUE"""),"Maxwell Biosciences _2022")</f>
        <v>Maxwell Biosciences _2022</v>
      </c>
      <c r="C15" s="6">
        <f ca="1">IFERROR(__xludf.DUMMYFUNCTION("""COMPUTED_VALUE"""),5)</f>
        <v>5</v>
      </c>
      <c r="D15" s="6" t="str">
        <f ca="1">IFERROR(__xludf.DUMMYFUNCTION("""COMPUTED_VALUE"""),"Life Sciences")</f>
        <v>Life Sciences</v>
      </c>
      <c r="E15" s="6" t="str">
        <f ca="1">IFERROR(__xludf.DUMMYFUNCTION("""COMPUTED_VALUE"""),"Invite")</f>
        <v>Invite</v>
      </c>
      <c r="F15" s="6" t="e">
        <f t="shared" ca="1" si="0"/>
        <v>#NAME?</v>
      </c>
      <c r="J15" s="6" t="s">
        <v>11506</v>
      </c>
      <c r="K15" s="199">
        <v>44791</v>
      </c>
      <c r="L15" s="6" t="s">
        <v>7954</v>
      </c>
    </row>
    <row r="16" spans="1:12">
      <c r="A16" s="199">
        <f ca="1">IFERROR(__xludf.DUMMYFUNCTION("""COMPUTED_VALUE"""),44789)</f>
        <v>44789</v>
      </c>
      <c r="B16" s="6" t="str">
        <f ca="1">IFERROR(__xludf.DUMMYFUNCTION("""COMPUTED_VALUE"""),"Senseidata, S.A. _2022")</f>
        <v>Senseidata, S.A. _2022</v>
      </c>
      <c r="C16" s="6">
        <f ca="1">IFERROR(__xludf.DUMMYFUNCTION("""COMPUTED_VALUE"""),5)</f>
        <v>5</v>
      </c>
      <c r="D16" s="6" t="str">
        <f ca="1">IFERROR(__xludf.DUMMYFUNCTION("""COMPUTED_VALUE"""),"Digital Tech")</f>
        <v>Digital Tech</v>
      </c>
      <c r="E16" s="6" t="str">
        <f ca="1">IFERROR(__xludf.DUMMYFUNCTION("""COMPUTED_VALUE"""),"Invite")</f>
        <v>Invite</v>
      </c>
      <c r="F16" s="6" t="e">
        <f t="shared" ca="1" si="0"/>
        <v>#NAME?</v>
      </c>
    </row>
    <row r="17" spans="1:6">
      <c r="A17" s="199">
        <f ca="1">IFERROR(__xludf.DUMMYFUNCTION("""COMPUTED_VALUE"""),44789)</f>
        <v>44789</v>
      </c>
      <c r="B17" s="6" t="str">
        <f ca="1">IFERROR(__xludf.DUMMYFUNCTION("""COMPUTED_VALUE"""),"Aequor Inc. _2022")</f>
        <v>Aequor Inc. _2022</v>
      </c>
      <c r="C17" s="6">
        <f ca="1">IFERROR(__xludf.DUMMYFUNCTION("""COMPUTED_VALUE"""),5)</f>
        <v>5</v>
      </c>
      <c r="D17" s="6" t="str">
        <f ca="1">IFERROR(__xludf.DUMMYFUNCTION("""COMPUTED_VALUE"""),"Deep Tech")</f>
        <v>Deep Tech</v>
      </c>
      <c r="E17" s="6" t="str">
        <f ca="1">IFERROR(__xludf.DUMMYFUNCTION("""COMPUTED_VALUE"""),"Invite")</f>
        <v>Invite</v>
      </c>
      <c r="F17" s="6" t="e">
        <f t="shared" ca="1" si="0"/>
        <v>#NAME?</v>
      </c>
    </row>
    <row r="18" spans="1:6">
      <c r="A18" s="199">
        <f ca="1">IFERROR(__xludf.DUMMYFUNCTION("""COMPUTED_VALUE"""),44789)</f>
        <v>44789</v>
      </c>
      <c r="B18" s="6" t="str">
        <f ca="1">IFERROR(__xludf.DUMMYFUNCTION("""COMPUTED_VALUE"""),"Pandorum International Inc. _2022")</f>
        <v>Pandorum International Inc. _2022</v>
      </c>
      <c r="C18" s="6">
        <f ca="1">IFERROR(__xludf.DUMMYFUNCTION("""COMPUTED_VALUE"""),5)</f>
        <v>5</v>
      </c>
      <c r="D18" s="6" t="str">
        <f ca="1">IFERROR(__xludf.DUMMYFUNCTION("""COMPUTED_VALUE"""),"Life Sciences")</f>
        <v>Life Sciences</v>
      </c>
      <c r="E18" s="6" t="str">
        <f ca="1">IFERROR(__xludf.DUMMYFUNCTION("""COMPUTED_VALUE"""),"Invite")</f>
        <v>Invite</v>
      </c>
      <c r="F18" s="6" t="e">
        <f t="shared" ca="1" si="0"/>
        <v>#NAME?</v>
      </c>
    </row>
    <row r="19" spans="1:6">
      <c r="A19" s="199">
        <f ca="1">IFERROR(__xludf.DUMMYFUNCTION("""COMPUTED_VALUE"""),44791)</f>
        <v>44791</v>
      </c>
      <c r="B19" s="6" t="str">
        <f ca="1">IFERROR(__xludf.DUMMYFUNCTION("""COMPUTED_VALUE"""),"EydisBio, Inc. _2022")</f>
        <v>EydisBio, Inc. _2022</v>
      </c>
      <c r="C19" s="6">
        <f ca="1">IFERROR(__xludf.DUMMYFUNCTION("""COMPUTED_VALUE"""),5)</f>
        <v>5</v>
      </c>
      <c r="D19" s="6" t="str">
        <f ca="1">IFERROR(__xludf.DUMMYFUNCTION("""COMPUTED_VALUE"""),"Life Sciences")</f>
        <v>Life Sciences</v>
      </c>
      <c r="E19" s="6" t="str">
        <f ca="1">IFERROR(__xludf.DUMMYFUNCTION("""COMPUTED_VALUE"""),"Invite")</f>
        <v>Invite</v>
      </c>
      <c r="F19" s="6" t="e">
        <f t="shared" ca="1" si="0"/>
        <v>#NAME?</v>
      </c>
    </row>
    <row r="20" spans="1:6">
      <c r="A20" s="199">
        <f ca="1">IFERROR(__xludf.DUMMYFUNCTION("""COMPUTED_VALUE"""),44791)</f>
        <v>44791</v>
      </c>
      <c r="B20" s="6" t="str">
        <f ca="1">IFERROR(__xludf.DUMMYFUNCTION("""COMPUTED_VALUE"""),"Portcast _2022")</f>
        <v>Portcast _2022</v>
      </c>
      <c r="C20" s="6">
        <f ca="1">IFERROR(__xludf.DUMMYFUNCTION("""COMPUTED_VALUE"""),5)</f>
        <v>5</v>
      </c>
      <c r="D20" s="6" t="str">
        <f ca="1">IFERROR(__xludf.DUMMYFUNCTION("""COMPUTED_VALUE"""),"Digital Tech")</f>
        <v>Digital Tech</v>
      </c>
      <c r="E20" s="6" t="str">
        <f ca="1">IFERROR(__xludf.DUMMYFUNCTION("""COMPUTED_VALUE"""),"Invite")</f>
        <v>Invite</v>
      </c>
      <c r="F20" s="6" t="e">
        <f t="shared" ca="1" si="0"/>
        <v>#NAME?</v>
      </c>
    </row>
    <row r="21" spans="1:6">
      <c r="A21" s="199">
        <f ca="1">IFERROR(__xludf.DUMMYFUNCTION("""COMPUTED_VALUE"""),44782)</f>
        <v>44782</v>
      </c>
      <c r="B21" s="6" t="str">
        <f ca="1">IFERROR(__xludf.DUMMYFUNCTION("""COMPUTED_VALUE"""),"Exero Medical _2022")</f>
        <v>Exero Medical _2022</v>
      </c>
      <c r="C21" s="6">
        <f ca="1">IFERROR(__xludf.DUMMYFUNCTION("""COMPUTED_VALUE"""),4.75)</f>
        <v>4.75</v>
      </c>
      <c r="D21" s="6" t="str">
        <f ca="1">IFERROR(__xludf.DUMMYFUNCTION("""COMPUTED_VALUE"""),"Life Sciences")</f>
        <v>Life Sciences</v>
      </c>
      <c r="E21" s="6" t="str">
        <f ca="1">IFERROR(__xludf.DUMMYFUNCTION("""COMPUTED_VALUE"""),"Invite")</f>
        <v>Invite</v>
      </c>
      <c r="F21" s="6" t="e">
        <f t="shared" ca="1" si="0"/>
        <v>#NAME?</v>
      </c>
    </row>
    <row r="22" spans="1:6">
      <c r="A22" s="199">
        <f ca="1">IFERROR(__xludf.DUMMYFUNCTION("""COMPUTED_VALUE"""),44782)</f>
        <v>44782</v>
      </c>
      <c r="B22" s="6" t="str">
        <f ca="1">IFERROR(__xludf.DUMMYFUNCTION("""COMPUTED_VALUE"""),"Lumirithmic Limited _2022")</f>
        <v>Lumirithmic Limited _2022</v>
      </c>
      <c r="C22" s="6">
        <f ca="1">IFERROR(__xludf.DUMMYFUNCTION("""COMPUTED_VALUE"""),4.75)</f>
        <v>4.75</v>
      </c>
      <c r="D22" s="6" t="str">
        <f ca="1">IFERROR(__xludf.DUMMYFUNCTION("""COMPUTED_VALUE"""),"Deep Tech")</f>
        <v>Deep Tech</v>
      </c>
      <c r="E22" s="6" t="str">
        <f ca="1">IFERROR(__xludf.DUMMYFUNCTION("""COMPUTED_VALUE"""),"Invite")</f>
        <v>Invite</v>
      </c>
      <c r="F22" s="6" t="e">
        <f t="shared" ca="1" si="0"/>
        <v>#NAME?</v>
      </c>
    </row>
    <row r="23" spans="1:6">
      <c r="A23" s="199">
        <f ca="1">IFERROR(__xludf.DUMMYFUNCTION("""COMPUTED_VALUE"""),44784)</f>
        <v>44784</v>
      </c>
      <c r="B23" s="6" t="str">
        <f ca="1">IFERROR(__xludf.DUMMYFUNCTION("""COMPUTED_VALUE"""),"Chargewheel Co. _2022")</f>
        <v>Chargewheel Co. _2022</v>
      </c>
      <c r="C23" s="6">
        <f ca="1">IFERROR(__xludf.DUMMYFUNCTION("""COMPUTED_VALUE"""),4.75)</f>
        <v>4.75</v>
      </c>
      <c r="D23" s="6" t="str">
        <f ca="1">IFERROR(__xludf.DUMMYFUNCTION("""COMPUTED_VALUE"""),"Deep Tech")</f>
        <v>Deep Tech</v>
      </c>
      <c r="E23" s="6" t="str">
        <f ca="1">IFERROR(__xludf.DUMMYFUNCTION("""COMPUTED_VALUE"""),"Invite")</f>
        <v>Invite</v>
      </c>
      <c r="F23" s="6" t="e">
        <f t="shared" ca="1" si="0"/>
        <v>#NAME?</v>
      </c>
    </row>
    <row r="24" spans="1:6">
      <c r="A24" s="199">
        <f ca="1">IFERROR(__xludf.DUMMYFUNCTION("""COMPUTED_VALUE"""),44784)</f>
        <v>44784</v>
      </c>
      <c r="B24" s="6" t="str">
        <f ca="1">IFERROR(__xludf.DUMMYFUNCTION("""COMPUTED_VALUE"""),"Bleximo Corp. _2022")</f>
        <v>Bleximo Corp. _2022</v>
      </c>
      <c r="C24" s="6">
        <f ca="1">IFERROR(__xludf.DUMMYFUNCTION("""COMPUTED_VALUE"""),4.75)</f>
        <v>4.75</v>
      </c>
      <c r="D24" s="6" t="str">
        <f ca="1">IFERROR(__xludf.DUMMYFUNCTION("""COMPUTED_VALUE"""),"Deep Tech")</f>
        <v>Deep Tech</v>
      </c>
      <c r="E24" s="6" t="str">
        <f ca="1">IFERROR(__xludf.DUMMYFUNCTION("""COMPUTED_VALUE"""),"Invite")</f>
        <v>Invite</v>
      </c>
      <c r="F24" s="6" t="e">
        <f t="shared" ca="1" si="0"/>
        <v>#NAME?</v>
      </c>
    </row>
    <row r="25" spans="1:6">
      <c r="A25" s="199">
        <f ca="1">IFERROR(__xludf.DUMMYFUNCTION("""COMPUTED_VALUE"""),44789)</f>
        <v>44789</v>
      </c>
      <c r="B25" s="6" t="str">
        <f ca="1">IFERROR(__xludf.DUMMYFUNCTION("""COMPUTED_VALUE"""),"Summer Robotics Inc _2022")</f>
        <v>Summer Robotics Inc _2022</v>
      </c>
      <c r="C25" s="6">
        <f ca="1">IFERROR(__xludf.DUMMYFUNCTION("""COMPUTED_VALUE"""),4.75)</f>
        <v>4.75</v>
      </c>
      <c r="D25" s="6" t="str">
        <f ca="1">IFERROR(__xludf.DUMMYFUNCTION("""COMPUTED_VALUE"""),"Digital Tech")</f>
        <v>Digital Tech</v>
      </c>
      <c r="E25" s="6" t="str">
        <f ca="1">IFERROR(__xludf.DUMMYFUNCTION("""COMPUTED_VALUE"""),"Invite")</f>
        <v>Invite</v>
      </c>
      <c r="F25" s="6" t="e">
        <f t="shared" ca="1" si="0"/>
        <v>#NAME?</v>
      </c>
    </row>
    <row r="26" spans="1:6">
      <c r="A26" s="199">
        <f ca="1">IFERROR(__xludf.DUMMYFUNCTION("""COMPUTED_VALUE"""),44789)</f>
        <v>44789</v>
      </c>
      <c r="B26" s="6" t="str">
        <f ca="1">IFERROR(__xludf.DUMMYFUNCTION("""COMPUTED_VALUE"""),"48 Hour Discovery Inc. _2022")</f>
        <v>48 Hour Discovery Inc. _2022</v>
      </c>
      <c r="C26" s="6">
        <f ca="1">IFERROR(__xludf.DUMMYFUNCTION("""COMPUTED_VALUE"""),4.75)</f>
        <v>4.75</v>
      </c>
      <c r="D26" s="6" t="str">
        <f ca="1">IFERROR(__xludf.DUMMYFUNCTION("""COMPUTED_VALUE"""),"Life Sciences")</f>
        <v>Life Sciences</v>
      </c>
      <c r="E26" s="6" t="str">
        <f ca="1">IFERROR(__xludf.DUMMYFUNCTION("""COMPUTED_VALUE"""),"Invite")</f>
        <v>Invite</v>
      </c>
      <c r="F26" s="6" t="e">
        <f t="shared" ca="1" si="0"/>
        <v>#NAME?</v>
      </c>
    </row>
    <row r="27" spans="1:6">
      <c r="A27" s="199">
        <f ca="1">IFERROR(__xludf.DUMMYFUNCTION("""COMPUTED_VALUE"""),44789)</f>
        <v>44789</v>
      </c>
      <c r="B27" s="6" t="str">
        <f ca="1">IFERROR(__xludf.DUMMYFUNCTION("""COMPUTED_VALUE"""),"Zoundream _2022")</f>
        <v>Zoundream _2022</v>
      </c>
      <c r="C27" s="6">
        <f ca="1">IFERROR(__xludf.DUMMYFUNCTION("""COMPUTED_VALUE"""),4.75)</f>
        <v>4.75</v>
      </c>
      <c r="D27" s="6" t="str">
        <f ca="1">IFERROR(__xludf.DUMMYFUNCTION("""COMPUTED_VALUE"""),"Digital Tech")</f>
        <v>Digital Tech</v>
      </c>
      <c r="E27" s="6" t="str">
        <f ca="1">IFERROR(__xludf.DUMMYFUNCTION("""COMPUTED_VALUE"""),"Invite")</f>
        <v>Invite</v>
      </c>
      <c r="F27" s="6" t="e">
        <f t="shared" ca="1" si="0"/>
        <v>#NAME?</v>
      </c>
    </row>
    <row r="28" spans="1:6">
      <c r="A28" s="199">
        <f ca="1">IFERROR(__xludf.DUMMYFUNCTION("""COMPUTED_VALUE"""),44791)</f>
        <v>44791</v>
      </c>
      <c r="B28" s="6" t="str">
        <f ca="1">IFERROR(__xludf.DUMMYFUNCTION("""COMPUTED_VALUE"""),"Sachi Bioworks Inc _2022")</f>
        <v>Sachi Bioworks Inc _2022</v>
      </c>
      <c r="C28" s="6">
        <f ca="1">IFERROR(__xludf.DUMMYFUNCTION("""COMPUTED_VALUE"""),4.75)</f>
        <v>4.75</v>
      </c>
      <c r="D28" s="6" t="str">
        <f ca="1">IFERROR(__xludf.DUMMYFUNCTION("""COMPUTED_VALUE"""),"Life Sciences")</f>
        <v>Life Sciences</v>
      </c>
      <c r="E28" s="6" t="str">
        <f ca="1">IFERROR(__xludf.DUMMYFUNCTION("""COMPUTED_VALUE"""),"Invite")</f>
        <v>Invite</v>
      </c>
      <c r="F28" s="6" t="e">
        <f t="shared" ca="1" si="0"/>
        <v>#NAME?</v>
      </c>
    </row>
    <row r="29" spans="1:6">
      <c r="A29" s="199">
        <f ca="1">IFERROR(__xludf.DUMMYFUNCTION("""COMPUTED_VALUE"""),44791)</f>
        <v>44791</v>
      </c>
      <c r="B29" s="6" t="str">
        <f ca="1">IFERROR(__xludf.DUMMYFUNCTION("""COMPUTED_VALUE"""),"VentriFlo, Inc. _2022")</f>
        <v>VentriFlo, Inc. _2022</v>
      </c>
      <c r="C29" s="6">
        <f ca="1">IFERROR(__xludf.DUMMYFUNCTION("""COMPUTED_VALUE"""),4.75)</f>
        <v>4.75</v>
      </c>
      <c r="D29" s="6" t="str">
        <f ca="1">IFERROR(__xludf.DUMMYFUNCTION("""COMPUTED_VALUE"""),"Deep Tech")</f>
        <v>Deep Tech</v>
      </c>
      <c r="E29" s="6" t="str">
        <f ca="1">IFERROR(__xludf.DUMMYFUNCTION("""COMPUTED_VALUE"""),"Invite")</f>
        <v>Invite</v>
      </c>
      <c r="F29" s="6" t="e">
        <f t="shared" ca="1" si="0"/>
        <v>#NAME?</v>
      </c>
    </row>
    <row r="30" spans="1:6">
      <c r="A30" s="199">
        <f ca="1">IFERROR(__xludf.DUMMYFUNCTION("""COMPUTED_VALUE"""),44791)</f>
        <v>44791</v>
      </c>
      <c r="B30" s="6" t="str">
        <f ca="1">IFERROR(__xludf.DUMMYFUNCTION("""COMPUTED_VALUE"""),"AiRANACULUS _2022")</f>
        <v>AiRANACULUS _2022</v>
      </c>
      <c r="C30" s="6">
        <f ca="1">IFERROR(__xludf.DUMMYFUNCTION("""COMPUTED_VALUE"""),4.75)</f>
        <v>4.75</v>
      </c>
      <c r="D30" s="6" t="str">
        <f ca="1">IFERROR(__xludf.DUMMYFUNCTION("""COMPUTED_VALUE"""),"Digital Tech")</f>
        <v>Digital Tech</v>
      </c>
      <c r="E30" s="6" t="str">
        <f ca="1">IFERROR(__xludf.DUMMYFUNCTION("""COMPUTED_VALUE"""),"Invite")</f>
        <v>Invite</v>
      </c>
      <c r="F30" s="6" t="e">
        <f t="shared" ca="1" si="0"/>
        <v>#NAME?</v>
      </c>
    </row>
    <row r="31" spans="1:6">
      <c r="A31" s="199">
        <f ca="1">IFERROR(__xludf.DUMMYFUNCTION("""COMPUTED_VALUE"""),44796)</f>
        <v>44796</v>
      </c>
      <c r="B31" s="6" t="str">
        <f ca="1">IFERROR(__xludf.DUMMYFUNCTION("""COMPUTED_VALUE"""),"CellChorus _2022")</f>
        <v>CellChorus _2022</v>
      </c>
      <c r="C31" s="6">
        <f ca="1">IFERROR(__xludf.DUMMYFUNCTION("""COMPUTED_VALUE"""),4.75)</f>
        <v>4.75</v>
      </c>
      <c r="D31" s="6" t="str">
        <f ca="1">IFERROR(__xludf.DUMMYFUNCTION("""COMPUTED_VALUE"""),"Life Sciences")</f>
        <v>Life Sciences</v>
      </c>
      <c r="E31" s="6" t="str">
        <f ca="1">IFERROR(__xludf.DUMMYFUNCTION("""COMPUTED_VALUE"""),"Invite")</f>
        <v>Invite</v>
      </c>
      <c r="F31" s="6" t="e">
        <f t="shared" ca="1" si="0"/>
        <v>#NAME?</v>
      </c>
    </row>
    <row r="32" spans="1:6">
      <c r="A32" s="199">
        <f ca="1">IFERROR(__xludf.DUMMYFUNCTION("""COMPUTED_VALUE"""),44796)</f>
        <v>44796</v>
      </c>
      <c r="B32" s="6" t="str">
        <f ca="1">IFERROR(__xludf.DUMMYFUNCTION("""COMPUTED_VALUE"""),"Preteckt Inc _2022")</f>
        <v>Preteckt Inc _2022</v>
      </c>
      <c r="C32" s="6">
        <f ca="1">IFERROR(__xludf.DUMMYFUNCTION("""COMPUTED_VALUE"""),4.75)</f>
        <v>4.75</v>
      </c>
      <c r="D32" s="6" t="str">
        <f ca="1">IFERROR(__xludf.DUMMYFUNCTION("""COMPUTED_VALUE"""),"Digital Tech")</f>
        <v>Digital Tech</v>
      </c>
      <c r="E32" s="6" t="str">
        <f ca="1">IFERROR(__xludf.DUMMYFUNCTION("""COMPUTED_VALUE"""),"Invite")</f>
        <v>Invite</v>
      </c>
      <c r="F32" s="6" t="e">
        <f t="shared" ca="1" si="0"/>
        <v>#NAME?</v>
      </c>
    </row>
    <row r="33" spans="1:6">
      <c r="A33" s="199">
        <f ca="1">IFERROR(__xludf.DUMMYFUNCTION("""COMPUTED_VALUE"""),44796)</f>
        <v>44796</v>
      </c>
      <c r="B33" s="6" t="str">
        <f ca="1">IFERROR(__xludf.DUMMYFUNCTION("""COMPUTED_VALUE"""),"Arpalus _2022")</f>
        <v>Arpalus _2022</v>
      </c>
      <c r="C33" s="6">
        <f ca="1">IFERROR(__xludf.DUMMYFUNCTION("""COMPUTED_VALUE"""),4.75)</f>
        <v>4.75</v>
      </c>
      <c r="D33" s="6" t="str">
        <f ca="1">IFERROR(__xludf.DUMMYFUNCTION("""COMPUTED_VALUE"""),"Digital Tech")</f>
        <v>Digital Tech</v>
      </c>
      <c r="E33" s="6" t="str">
        <f ca="1">IFERROR(__xludf.DUMMYFUNCTION("""COMPUTED_VALUE"""),"Invite")</f>
        <v>Invite</v>
      </c>
      <c r="F33" s="6" t="e">
        <f t="shared" ca="1" si="0"/>
        <v>#NAME?</v>
      </c>
    </row>
    <row r="34" spans="1:6">
      <c r="A34" s="199">
        <f ca="1">IFERROR(__xludf.DUMMYFUNCTION("""COMPUTED_VALUE"""),44796)</f>
        <v>44796</v>
      </c>
      <c r="B34" s="6" t="str">
        <f ca="1">IFERROR(__xludf.DUMMYFUNCTION("""COMPUTED_VALUE"""),"UbiquiTx, Inc. _2022")</f>
        <v>UbiquiTx, Inc. _2022</v>
      </c>
      <c r="C34" s="6">
        <f ca="1">IFERROR(__xludf.DUMMYFUNCTION("""COMPUTED_VALUE"""),4.75)</f>
        <v>4.75</v>
      </c>
      <c r="D34" s="6" t="str">
        <f ca="1">IFERROR(__xludf.DUMMYFUNCTION("""COMPUTED_VALUE"""),"Life Sciences")</f>
        <v>Life Sciences</v>
      </c>
      <c r="E34" s="6" t="str">
        <f ca="1">IFERROR(__xludf.DUMMYFUNCTION("""COMPUTED_VALUE"""),"Invite")</f>
        <v>Invite</v>
      </c>
      <c r="F34" s="6" t="e">
        <f t="shared" ca="1" si="0"/>
        <v>#NAME?</v>
      </c>
    </row>
    <row r="35" spans="1:6">
      <c r="A35" s="199">
        <f ca="1">IFERROR(__xludf.DUMMYFUNCTION("""COMPUTED_VALUE"""),44796)</f>
        <v>44796</v>
      </c>
      <c r="B35" s="6" t="str">
        <f ca="1">IFERROR(__xludf.DUMMYFUNCTION("""COMPUTED_VALUE"""),"ChargeNet Holdings _2022")</f>
        <v>ChargeNet Holdings _2022</v>
      </c>
      <c r="C35" s="6">
        <f ca="1">IFERROR(__xludf.DUMMYFUNCTION("""COMPUTED_VALUE"""),4.75)</f>
        <v>4.75</v>
      </c>
      <c r="D35" s="6" t="str">
        <f ca="1">IFERROR(__xludf.DUMMYFUNCTION("""COMPUTED_VALUE"""),"Deep Tech")</f>
        <v>Deep Tech</v>
      </c>
      <c r="E35" s="6" t="str">
        <f ca="1">IFERROR(__xludf.DUMMYFUNCTION("""COMPUTED_VALUE"""),"Invite")</f>
        <v>Invite</v>
      </c>
      <c r="F35" s="6" t="e">
        <f t="shared" ca="1" si="0"/>
        <v>#NAME?</v>
      </c>
    </row>
    <row r="36" spans="1:6">
      <c r="A36" s="199">
        <f ca="1">IFERROR(__xludf.DUMMYFUNCTION("""COMPUTED_VALUE"""),44796)</f>
        <v>44796</v>
      </c>
      <c r="B36" s="6" t="str">
        <f ca="1">IFERROR(__xludf.DUMMYFUNCTION("""COMPUTED_VALUE"""),"XGenomes Corp. _2022")</f>
        <v>XGenomes Corp. _2022</v>
      </c>
      <c r="C36" s="6">
        <f ca="1">IFERROR(__xludf.DUMMYFUNCTION("""COMPUTED_VALUE"""),4.75)</f>
        <v>4.75</v>
      </c>
      <c r="D36" s="6" t="str">
        <f ca="1">IFERROR(__xludf.DUMMYFUNCTION("""COMPUTED_VALUE"""),"Life Sciences")</f>
        <v>Life Sciences</v>
      </c>
      <c r="E36" s="6" t="str">
        <f ca="1">IFERROR(__xludf.DUMMYFUNCTION("""COMPUTED_VALUE"""),"Invite")</f>
        <v>Invite</v>
      </c>
      <c r="F36" s="6" t="e">
        <f t="shared" ca="1" si="0"/>
        <v>#NAME?</v>
      </c>
    </row>
    <row r="37" spans="1:6">
      <c r="A37" s="199">
        <f ca="1">IFERROR(__xludf.DUMMYFUNCTION("""COMPUTED_VALUE"""),44796)</f>
        <v>44796</v>
      </c>
      <c r="B37" s="6" t="str">
        <f ca="1">IFERROR(__xludf.DUMMYFUNCTION("""COMPUTED_VALUE"""),"Droice Labs _2022")</f>
        <v>Droice Labs _2022</v>
      </c>
      <c r="C37" s="6">
        <f ca="1">IFERROR(__xludf.DUMMYFUNCTION("""COMPUTED_VALUE"""),4.75)</f>
        <v>4.75</v>
      </c>
      <c r="D37" s="6" t="str">
        <f ca="1">IFERROR(__xludf.DUMMYFUNCTION("""COMPUTED_VALUE"""),"Digital Tech")</f>
        <v>Digital Tech</v>
      </c>
      <c r="E37" s="6" t="str">
        <f ca="1">IFERROR(__xludf.DUMMYFUNCTION("""COMPUTED_VALUE"""),"Invite")</f>
        <v>Invite</v>
      </c>
      <c r="F37" s="6" t="e">
        <f t="shared" ca="1" si="0"/>
        <v>#NAME?</v>
      </c>
    </row>
    <row r="38" spans="1:6">
      <c r="A38" s="199">
        <f ca="1">IFERROR(__xludf.DUMMYFUNCTION("""COMPUTED_VALUE"""),44797)</f>
        <v>44797</v>
      </c>
      <c r="B38" s="6" t="str">
        <f ca="1">IFERROR(__xludf.DUMMYFUNCTION("""COMPUTED_VALUE"""),"siRNAgen Therapeutics _2022")</f>
        <v>siRNAgen Therapeutics _2022</v>
      </c>
      <c r="C38" s="6">
        <f ca="1">IFERROR(__xludf.DUMMYFUNCTION("""COMPUTED_VALUE"""),4.75)</f>
        <v>4.75</v>
      </c>
      <c r="D38" s="6" t="str">
        <f ca="1">IFERROR(__xludf.DUMMYFUNCTION("""COMPUTED_VALUE"""),"Life Sciences")</f>
        <v>Life Sciences</v>
      </c>
      <c r="E38" s="6" t="str">
        <f ca="1">IFERROR(__xludf.DUMMYFUNCTION("""COMPUTED_VALUE"""),"Invite")</f>
        <v>Invite</v>
      </c>
      <c r="F38" s="6" t="e">
        <f t="shared" ca="1" si="0"/>
        <v>#NAME?</v>
      </c>
    </row>
    <row r="39" spans="1:6">
      <c r="A39" s="199">
        <f ca="1">IFERROR(__xludf.DUMMYFUNCTION("""COMPUTED_VALUE"""),44789)</f>
        <v>44789</v>
      </c>
      <c r="B39" s="6" t="str">
        <f ca="1">IFERROR(__xludf.DUMMYFUNCTION("""COMPUTED_VALUE"""),"ImmunoGel LLC _2022")</f>
        <v>ImmunoGel LLC _2022</v>
      </c>
      <c r="C39" s="6">
        <f ca="1">IFERROR(__xludf.DUMMYFUNCTION("""COMPUTED_VALUE"""),4.63)</f>
        <v>4.63</v>
      </c>
      <c r="D39" s="6" t="str">
        <f ca="1">IFERROR(__xludf.DUMMYFUNCTION("""COMPUTED_VALUE"""),"Life Sciences")</f>
        <v>Life Sciences</v>
      </c>
      <c r="E39" s="6" t="str">
        <f ca="1">IFERROR(__xludf.DUMMYFUNCTION("""COMPUTED_VALUE"""),"Invite")</f>
        <v>Invite</v>
      </c>
      <c r="F39" s="6" t="e">
        <f t="shared" ca="1" si="0"/>
        <v>#NAME?</v>
      </c>
    </row>
    <row r="40" spans="1:6">
      <c r="A40" s="199">
        <f ca="1">IFERROR(__xludf.DUMMYFUNCTION("""COMPUTED_VALUE"""),44796)</f>
        <v>44796</v>
      </c>
      <c r="B40" s="6" t="str">
        <f ca="1">IFERROR(__xludf.DUMMYFUNCTION("""COMPUTED_VALUE"""),"Conatix _2022")</f>
        <v>Conatix _2022</v>
      </c>
      <c r="C40" s="6">
        <f ca="1">IFERROR(__xludf.DUMMYFUNCTION("""COMPUTED_VALUE"""),4.63)</f>
        <v>4.63</v>
      </c>
      <c r="D40" s="6" t="str">
        <f ca="1">IFERROR(__xludf.DUMMYFUNCTION("""COMPUTED_VALUE"""),"Digital Tech")</f>
        <v>Digital Tech</v>
      </c>
      <c r="E40" s="6" t="str">
        <f ca="1">IFERROR(__xludf.DUMMYFUNCTION("""COMPUTED_VALUE"""),"Invite")</f>
        <v>Invite</v>
      </c>
      <c r="F40" s="6" t="e">
        <f t="shared" ca="1" si="0"/>
        <v>#NAME?</v>
      </c>
    </row>
    <row r="41" spans="1:6">
      <c r="A41" s="199">
        <f ca="1">IFERROR(__xludf.DUMMYFUNCTION("""COMPUTED_VALUE"""),44776)</f>
        <v>44776</v>
      </c>
      <c r="B41" s="6" t="str">
        <f ca="1">IFERROR(__xludf.DUMMYFUNCTION("""COMPUTED_VALUE"""),"Culina Health _2022")</f>
        <v>Culina Health _2022</v>
      </c>
      <c r="C41" s="6">
        <f ca="1">IFERROR(__xludf.DUMMYFUNCTION("""COMPUTED_VALUE"""),4.5)</f>
        <v>4.5</v>
      </c>
      <c r="D41" s="6" t="str">
        <f ca="1">IFERROR(__xludf.DUMMYFUNCTION("""COMPUTED_VALUE"""),"Digital Tech")</f>
        <v>Digital Tech</v>
      </c>
      <c r="E41" s="6" t="str">
        <f ca="1">IFERROR(__xludf.DUMMYFUNCTION("""COMPUTED_VALUE"""),"Invite")</f>
        <v>Invite</v>
      </c>
      <c r="F41" s="6" t="e">
        <f t="shared" ca="1" si="0"/>
        <v>#NAME?</v>
      </c>
    </row>
    <row r="42" spans="1:6">
      <c r="A42" s="199">
        <f ca="1">IFERROR(__xludf.DUMMYFUNCTION("""COMPUTED_VALUE"""),44776)</f>
        <v>44776</v>
      </c>
      <c r="B42" s="6" t="str">
        <f ca="1">IFERROR(__xludf.DUMMYFUNCTION("""COMPUTED_VALUE"""),"VLP Plus LLC _2022")</f>
        <v>VLP Plus LLC _2022</v>
      </c>
      <c r="C42" s="6">
        <f ca="1">IFERROR(__xludf.DUMMYFUNCTION("""COMPUTED_VALUE"""),4.5)</f>
        <v>4.5</v>
      </c>
      <c r="D42" s="6" t="str">
        <f ca="1">IFERROR(__xludf.DUMMYFUNCTION("""COMPUTED_VALUE"""),"Life Sciences")</f>
        <v>Life Sciences</v>
      </c>
      <c r="E42" s="6" t="str">
        <f ca="1">IFERROR(__xludf.DUMMYFUNCTION("""COMPUTED_VALUE"""),"Invite")</f>
        <v>Invite</v>
      </c>
      <c r="F42" s="6" t="e">
        <f t="shared" ca="1" si="0"/>
        <v>#NAME?</v>
      </c>
    </row>
    <row r="43" spans="1:6">
      <c r="A43" s="199">
        <f ca="1">IFERROR(__xludf.DUMMYFUNCTION("""COMPUTED_VALUE"""),44776)</f>
        <v>44776</v>
      </c>
      <c r="B43" s="6" t="str">
        <f ca="1">IFERROR(__xludf.DUMMYFUNCTION("""COMPUTED_VALUE"""),"Steg.AI _2022")</f>
        <v>Steg.AI _2022</v>
      </c>
      <c r="C43" s="6">
        <f ca="1">IFERROR(__xludf.DUMMYFUNCTION("""COMPUTED_VALUE"""),4.5)</f>
        <v>4.5</v>
      </c>
      <c r="D43" s="6" t="str">
        <f ca="1">IFERROR(__xludf.DUMMYFUNCTION("""COMPUTED_VALUE"""),"Digital Tech")</f>
        <v>Digital Tech</v>
      </c>
      <c r="E43" s="6" t="str">
        <f ca="1">IFERROR(__xludf.DUMMYFUNCTION("""COMPUTED_VALUE"""),"Invite")</f>
        <v>Invite</v>
      </c>
      <c r="F43" s="6" t="e">
        <f t="shared" ca="1" si="0"/>
        <v>#NAME?</v>
      </c>
    </row>
    <row r="44" spans="1:6">
      <c r="A44" s="199">
        <f ca="1">IFERROR(__xludf.DUMMYFUNCTION("""COMPUTED_VALUE"""),44782)</f>
        <v>44782</v>
      </c>
      <c r="B44" s="6" t="str">
        <f ca="1">IFERROR(__xludf.DUMMYFUNCTION("""COMPUTED_VALUE"""),"Azarc.io Inc _2022")</f>
        <v>Azarc.io Inc _2022</v>
      </c>
      <c r="C44" s="6">
        <f ca="1">IFERROR(__xludf.DUMMYFUNCTION("""COMPUTED_VALUE"""),4.5)</f>
        <v>4.5</v>
      </c>
      <c r="D44" s="6" t="str">
        <f ca="1">IFERROR(__xludf.DUMMYFUNCTION("""COMPUTED_VALUE"""),"Digital Tech")</f>
        <v>Digital Tech</v>
      </c>
      <c r="E44" s="6" t="str">
        <f ca="1">IFERROR(__xludf.DUMMYFUNCTION("""COMPUTED_VALUE"""),"Invite")</f>
        <v>Invite</v>
      </c>
      <c r="F44" s="6" t="e">
        <f t="shared" ca="1" si="0"/>
        <v>#NAME?</v>
      </c>
    </row>
    <row r="45" spans="1:6">
      <c r="A45" s="199">
        <f ca="1">IFERROR(__xludf.DUMMYFUNCTION("""COMPUTED_VALUE"""),44782)</f>
        <v>44782</v>
      </c>
      <c r="B45" s="6" t="str">
        <f ca="1">IFERROR(__xludf.DUMMYFUNCTION("""COMPUTED_VALUE"""),"Genomic Expression Inc _2022")</f>
        <v>Genomic Expression Inc _2022</v>
      </c>
      <c r="C45" s="6">
        <f ca="1">IFERROR(__xludf.DUMMYFUNCTION("""COMPUTED_VALUE"""),4.5)</f>
        <v>4.5</v>
      </c>
      <c r="D45" s="6" t="str">
        <f ca="1">IFERROR(__xludf.DUMMYFUNCTION("""COMPUTED_VALUE"""),"Life Sciences")</f>
        <v>Life Sciences</v>
      </c>
      <c r="E45" s="6" t="str">
        <f ca="1">IFERROR(__xludf.DUMMYFUNCTION("""COMPUTED_VALUE"""),"Invite")</f>
        <v>Invite</v>
      </c>
      <c r="F45" s="6" t="e">
        <f t="shared" ca="1" si="0"/>
        <v>#NAME?</v>
      </c>
    </row>
    <row r="46" spans="1:6">
      <c r="A46" s="199">
        <f ca="1">IFERROR(__xludf.DUMMYFUNCTION("""COMPUTED_VALUE"""),44782)</f>
        <v>44782</v>
      </c>
      <c r="B46" s="6" t="str">
        <f ca="1">IFERROR(__xludf.DUMMYFUNCTION("""COMPUTED_VALUE"""),"Namida Lab Inc. _2022")</f>
        <v>Namida Lab Inc. _2022</v>
      </c>
      <c r="C46" s="6">
        <f ca="1">IFERROR(__xludf.DUMMYFUNCTION("""COMPUTED_VALUE"""),4.5)</f>
        <v>4.5</v>
      </c>
      <c r="D46" s="6" t="str">
        <f ca="1">IFERROR(__xludf.DUMMYFUNCTION("""COMPUTED_VALUE"""),"Life Sciences")</f>
        <v>Life Sciences</v>
      </c>
      <c r="E46" s="6" t="str">
        <f ca="1">IFERROR(__xludf.DUMMYFUNCTION("""COMPUTED_VALUE"""),"Invite")</f>
        <v>Invite</v>
      </c>
      <c r="F46" s="6" t="e">
        <f t="shared" ca="1" si="0"/>
        <v>#NAME?</v>
      </c>
    </row>
    <row r="47" spans="1:6">
      <c r="A47" s="199">
        <f ca="1">IFERROR(__xludf.DUMMYFUNCTION("""COMPUTED_VALUE"""),44782)</f>
        <v>44782</v>
      </c>
      <c r="B47" s="6" t="str">
        <f ca="1">IFERROR(__xludf.DUMMYFUNCTION("""COMPUTED_VALUE"""),"HPC-AI Technology Inc. _2022")</f>
        <v>HPC-AI Technology Inc. _2022</v>
      </c>
      <c r="C47" s="6">
        <f ca="1">IFERROR(__xludf.DUMMYFUNCTION("""COMPUTED_VALUE"""),4.5)</f>
        <v>4.5</v>
      </c>
      <c r="D47" s="6" t="str">
        <f ca="1">IFERROR(__xludf.DUMMYFUNCTION("""COMPUTED_VALUE"""),"Digital Tech")</f>
        <v>Digital Tech</v>
      </c>
      <c r="E47" s="6" t="str">
        <f ca="1">IFERROR(__xludf.DUMMYFUNCTION("""COMPUTED_VALUE"""),"Invite")</f>
        <v>Invite</v>
      </c>
      <c r="F47" s="6" t="e">
        <f t="shared" ca="1" si="0"/>
        <v>#NAME?</v>
      </c>
    </row>
    <row r="48" spans="1:6">
      <c r="A48" s="199">
        <f ca="1">IFERROR(__xludf.DUMMYFUNCTION("""COMPUTED_VALUE"""),44784)</f>
        <v>44784</v>
      </c>
      <c r="B48" s="6" t="str">
        <f ca="1">IFERROR(__xludf.DUMMYFUNCTION("""COMPUTED_VALUE"""),"TimberFish Technologies _2022")</f>
        <v>TimberFish Technologies _2022</v>
      </c>
      <c r="C48" s="6">
        <f ca="1">IFERROR(__xludf.DUMMYFUNCTION("""COMPUTED_VALUE"""),4.5)</f>
        <v>4.5</v>
      </c>
      <c r="D48" s="6" t="str">
        <f ca="1">IFERROR(__xludf.DUMMYFUNCTION("""COMPUTED_VALUE"""),"Deep Tech")</f>
        <v>Deep Tech</v>
      </c>
      <c r="E48" s="6" t="str">
        <f ca="1">IFERROR(__xludf.DUMMYFUNCTION("""COMPUTED_VALUE"""),"Invite")</f>
        <v>Invite</v>
      </c>
      <c r="F48" s="6" t="e">
        <f t="shared" ca="1" si="0"/>
        <v>#NAME?</v>
      </c>
    </row>
    <row r="49" spans="1:6">
      <c r="A49" s="199">
        <f ca="1">IFERROR(__xludf.DUMMYFUNCTION("""COMPUTED_VALUE"""),44784)</f>
        <v>44784</v>
      </c>
      <c r="B49" s="6" t="str">
        <f ca="1">IFERROR(__xludf.DUMMYFUNCTION("""COMPUTED_VALUE"""),"LumosTech, Inc. _2022")</f>
        <v>LumosTech, Inc. _2022</v>
      </c>
      <c r="C49" s="6">
        <f ca="1">IFERROR(__xludf.DUMMYFUNCTION("""COMPUTED_VALUE"""),4.5)</f>
        <v>4.5</v>
      </c>
      <c r="D49" s="6" t="str">
        <f ca="1">IFERROR(__xludf.DUMMYFUNCTION("""COMPUTED_VALUE"""),"Deep Tech")</f>
        <v>Deep Tech</v>
      </c>
      <c r="E49" s="6" t="str">
        <f ca="1">IFERROR(__xludf.DUMMYFUNCTION("""COMPUTED_VALUE"""),"Invite")</f>
        <v>Invite</v>
      </c>
      <c r="F49" s="6" t="e">
        <f t="shared" ca="1" si="0"/>
        <v>#NAME?</v>
      </c>
    </row>
    <row r="50" spans="1:6">
      <c r="A50" s="199">
        <f ca="1">IFERROR(__xludf.DUMMYFUNCTION("""COMPUTED_VALUE"""),44784)</f>
        <v>44784</v>
      </c>
      <c r="B50" s="6" t="str">
        <f ca="1">IFERROR(__xludf.DUMMYFUNCTION("""COMPUTED_VALUE"""),"LuftCar LLC _2022")</f>
        <v>LuftCar LLC _2022</v>
      </c>
      <c r="C50" s="6">
        <f ca="1">IFERROR(__xludf.DUMMYFUNCTION("""COMPUTED_VALUE"""),4.5)</f>
        <v>4.5</v>
      </c>
      <c r="D50" s="6" t="str">
        <f ca="1">IFERROR(__xludf.DUMMYFUNCTION("""COMPUTED_VALUE"""),"Deep Tech")</f>
        <v>Deep Tech</v>
      </c>
      <c r="E50" s="6" t="str">
        <f ca="1">IFERROR(__xludf.DUMMYFUNCTION("""COMPUTED_VALUE"""),"Invite")</f>
        <v>Invite</v>
      </c>
      <c r="F50" s="6" t="e">
        <f t="shared" ca="1" si="0"/>
        <v>#NAME?</v>
      </c>
    </row>
    <row r="51" spans="1:6">
      <c r="A51" s="199">
        <f ca="1">IFERROR(__xludf.DUMMYFUNCTION("""COMPUTED_VALUE"""),44784)</f>
        <v>44784</v>
      </c>
      <c r="B51" s="6" t="str">
        <f ca="1">IFERROR(__xludf.DUMMYFUNCTION("""COMPUTED_VALUE"""),"Cortina Health _2022")</f>
        <v>Cortina Health _2022</v>
      </c>
      <c r="C51" s="6">
        <f ca="1">IFERROR(__xludf.DUMMYFUNCTION("""COMPUTED_VALUE"""),4.5)</f>
        <v>4.5</v>
      </c>
      <c r="D51" s="6" t="str">
        <f ca="1">IFERROR(__xludf.DUMMYFUNCTION("""COMPUTED_VALUE"""),"Digital Tech")</f>
        <v>Digital Tech</v>
      </c>
      <c r="E51" s="6" t="str">
        <f ca="1">IFERROR(__xludf.DUMMYFUNCTION("""COMPUTED_VALUE"""),"Invite")</f>
        <v>Invite</v>
      </c>
      <c r="F51" s="6" t="e">
        <f t="shared" ca="1" si="0"/>
        <v>#NAME?</v>
      </c>
    </row>
    <row r="52" spans="1:6">
      <c r="A52" s="199">
        <f ca="1">IFERROR(__xludf.DUMMYFUNCTION("""COMPUTED_VALUE"""),44784)</f>
        <v>44784</v>
      </c>
      <c r="B52" s="6" t="str">
        <f ca="1">IFERROR(__xludf.DUMMYFUNCTION("""COMPUTED_VALUE"""),"SparkAI _2022")</f>
        <v>SparkAI _2022</v>
      </c>
      <c r="C52" s="6">
        <f ca="1">IFERROR(__xludf.DUMMYFUNCTION("""COMPUTED_VALUE"""),4.5)</f>
        <v>4.5</v>
      </c>
      <c r="D52" s="6" t="str">
        <f ca="1">IFERROR(__xludf.DUMMYFUNCTION("""COMPUTED_VALUE"""),"Digital Tech")</f>
        <v>Digital Tech</v>
      </c>
      <c r="E52" s="6" t="str">
        <f ca="1">IFERROR(__xludf.DUMMYFUNCTION("""COMPUTED_VALUE"""),"Invite")</f>
        <v>Invite</v>
      </c>
      <c r="F52" s="6" t="e">
        <f t="shared" ca="1" si="0"/>
        <v>#NAME?</v>
      </c>
    </row>
    <row r="53" spans="1:6">
      <c r="A53" s="199">
        <f ca="1">IFERROR(__xludf.DUMMYFUNCTION("""COMPUTED_VALUE"""),44789)</f>
        <v>44789</v>
      </c>
      <c r="B53" s="6" t="str">
        <f ca="1">IFERROR(__xludf.DUMMYFUNCTION("""COMPUTED_VALUE"""),"Kano Therapeutics _2022")</f>
        <v>Kano Therapeutics _2022</v>
      </c>
      <c r="C53" s="6">
        <f ca="1">IFERROR(__xludf.DUMMYFUNCTION("""COMPUTED_VALUE"""),4.5)</f>
        <v>4.5</v>
      </c>
      <c r="D53" s="6" t="str">
        <f ca="1">IFERROR(__xludf.DUMMYFUNCTION("""COMPUTED_VALUE"""),"Life Sciences")</f>
        <v>Life Sciences</v>
      </c>
      <c r="E53" s="6" t="str">
        <f ca="1">IFERROR(__xludf.DUMMYFUNCTION("""COMPUTED_VALUE"""),"Invite")</f>
        <v>Invite</v>
      </c>
      <c r="F53" s="6" t="e">
        <f t="shared" ca="1" si="0"/>
        <v>#NAME?</v>
      </c>
    </row>
    <row r="54" spans="1:6">
      <c r="A54" s="199">
        <f ca="1">IFERROR(__xludf.DUMMYFUNCTION("""COMPUTED_VALUE"""),44789)</f>
        <v>44789</v>
      </c>
      <c r="B54" s="6" t="str">
        <f ca="1">IFERROR(__xludf.DUMMYFUNCTION("""COMPUTED_VALUE"""),"PONS _2022")</f>
        <v>PONS _2022</v>
      </c>
      <c r="C54" s="6">
        <f ca="1">IFERROR(__xludf.DUMMYFUNCTION("""COMPUTED_VALUE"""),4.5)</f>
        <v>4.5</v>
      </c>
      <c r="D54" s="6" t="str">
        <f ca="1">IFERROR(__xludf.DUMMYFUNCTION("""COMPUTED_VALUE"""),"Deep Tech")</f>
        <v>Deep Tech</v>
      </c>
      <c r="E54" s="6" t="str">
        <f ca="1">IFERROR(__xludf.DUMMYFUNCTION("""COMPUTED_VALUE"""),"Invite")</f>
        <v>Invite</v>
      </c>
      <c r="F54" s="6" t="e">
        <f t="shared" ca="1" si="0"/>
        <v>#NAME?</v>
      </c>
    </row>
    <row r="55" spans="1:6">
      <c r="A55" s="199">
        <f ca="1">IFERROR(__xludf.DUMMYFUNCTION("""COMPUTED_VALUE"""),44789)</f>
        <v>44789</v>
      </c>
      <c r="B55" s="6" t="str">
        <f ca="1">IFERROR(__xludf.DUMMYFUNCTION("""COMPUTED_VALUE"""),"GridMatrix _2022")</f>
        <v>GridMatrix _2022</v>
      </c>
      <c r="C55" s="6">
        <f ca="1">IFERROR(__xludf.DUMMYFUNCTION("""COMPUTED_VALUE"""),4.5)</f>
        <v>4.5</v>
      </c>
      <c r="D55" s="6" t="str">
        <f ca="1">IFERROR(__xludf.DUMMYFUNCTION("""COMPUTED_VALUE"""),"Digital Tech")</f>
        <v>Digital Tech</v>
      </c>
      <c r="E55" s="6" t="str">
        <f ca="1">IFERROR(__xludf.DUMMYFUNCTION("""COMPUTED_VALUE"""),"Invite")</f>
        <v>Invite</v>
      </c>
      <c r="F55" s="6" t="e">
        <f t="shared" ca="1" si="0"/>
        <v>#NAME?</v>
      </c>
    </row>
    <row r="56" spans="1:6">
      <c r="A56" s="199">
        <f ca="1">IFERROR(__xludf.DUMMYFUNCTION("""COMPUTED_VALUE"""),44789)</f>
        <v>44789</v>
      </c>
      <c r="B56" s="6" t="str">
        <f ca="1">IFERROR(__xludf.DUMMYFUNCTION("""COMPUTED_VALUE"""),"Amplified Sciences, Inc. _2022")</f>
        <v>Amplified Sciences, Inc. _2022</v>
      </c>
      <c r="C56" s="6">
        <f ca="1">IFERROR(__xludf.DUMMYFUNCTION("""COMPUTED_VALUE"""),4.5)</f>
        <v>4.5</v>
      </c>
      <c r="D56" s="6" t="str">
        <f ca="1">IFERROR(__xludf.DUMMYFUNCTION("""COMPUTED_VALUE"""),"Life Sciences")</f>
        <v>Life Sciences</v>
      </c>
      <c r="E56" s="6" t="str">
        <f ca="1">IFERROR(__xludf.DUMMYFUNCTION("""COMPUTED_VALUE"""),"Invite")</f>
        <v>Invite</v>
      </c>
      <c r="F56" s="6" t="e">
        <f t="shared" ca="1" si="0"/>
        <v>#NAME?</v>
      </c>
    </row>
    <row r="57" spans="1:6">
      <c r="A57" s="199">
        <f ca="1">IFERROR(__xludf.DUMMYFUNCTION("""COMPUTED_VALUE"""),44789)</f>
        <v>44789</v>
      </c>
      <c r="B57" s="6" t="str">
        <f ca="1">IFERROR(__xludf.DUMMYFUNCTION("""COMPUTED_VALUE"""),"EMPIRI _2022")</f>
        <v>EMPIRI _2022</v>
      </c>
      <c r="C57" s="6">
        <f ca="1">IFERROR(__xludf.DUMMYFUNCTION("""COMPUTED_VALUE"""),4.5)</f>
        <v>4.5</v>
      </c>
      <c r="D57" s="6" t="str">
        <f ca="1">IFERROR(__xludf.DUMMYFUNCTION("""COMPUTED_VALUE"""),"Life Sciences")</f>
        <v>Life Sciences</v>
      </c>
      <c r="E57" s="6" t="str">
        <f ca="1">IFERROR(__xludf.DUMMYFUNCTION("""COMPUTED_VALUE"""),"Invite")</f>
        <v>Invite</v>
      </c>
      <c r="F57" s="6" t="e">
        <f t="shared" ca="1" si="0"/>
        <v>#NAME?</v>
      </c>
    </row>
    <row r="58" spans="1:6">
      <c r="A58" s="199">
        <f ca="1">IFERROR(__xludf.DUMMYFUNCTION("""COMPUTED_VALUE"""),44789)</f>
        <v>44789</v>
      </c>
      <c r="B58" s="6" t="str">
        <f ca="1">IFERROR(__xludf.DUMMYFUNCTION("""COMPUTED_VALUE"""),"Labfront _2022")</f>
        <v>Labfront _2022</v>
      </c>
      <c r="C58" s="6">
        <f ca="1">IFERROR(__xludf.DUMMYFUNCTION("""COMPUTED_VALUE"""),4.5)</f>
        <v>4.5</v>
      </c>
      <c r="D58" s="6" t="str">
        <f ca="1">IFERROR(__xludf.DUMMYFUNCTION("""COMPUTED_VALUE"""),"Digital Tech")</f>
        <v>Digital Tech</v>
      </c>
      <c r="E58" s="6" t="str">
        <f ca="1">IFERROR(__xludf.DUMMYFUNCTION("""COMPUTED_VALUE"""),"Invite")</f>
        <v>Invite</v>
      </c>
      <c r="F58" s="6" t="e">
        <f t="shared" ca="1" si="0"/>
        <v>#NAME?</v>
      </c>
    </row>
    <row r="59" spans="1:6">
      <c r="A59" s="199">
        <f ca="1">IFERROR(__xludf.DUMMYFUNCTION("""COMPUTED_VALUE"""),44791)</f>
        <v>44791</v>
      </c>
      <c r="B59" s="6" t="str">
        <f ca="1">IFERROR(__xludf.DUMMYFUNCTION("""COMPUTED_VALUE"""),"iQure Pharma Inc _2022")</f>
        <v>iQure Pharma Inc _2022</v>
      </c>
      <c r="C59" s="6">
        <f ca="1">IFERROR(__xludf.DUMMYFUNCTION("""COMPUTED_VALUE"""),4.5)</f>
        <v>4.5</v>
      </c>
      <c r="D59" s="6" t="str">
        <f ca="1">IFERROR(__xludf.DUMMYFUNCTION("""COMPUTED_VALUE"""),"Life Sciences")</f>
        <v>Life Sciences</v>
      </c>
      <c r="E59" s="6" t="str">
        <f ca="1">IFERROR(__xludf.DUMMYFUNCTION("""COMPUTED_VALUE"""),"Invite")</f>
        <v>Invite</v>
      </c>
      <c r="F59" s="6" t="e">
        <f t="shared" ca="1" si="0"/>
        <v>#NAME?</v>
      </c>
    </row>
    <row r="60" spans="1:6">
      <c r="A60" s="199">
        <f ca="1">IFERROR(__xludf.DUMMYFUNCTION("""COMPUTED_VALUE"""),44791)</f>
        <v>44791</v>
      </c>
      <c r="B60" s="6" t="str">
        <f ca="1">IFERROR(__xludf.DUMMYFUNCTION("""COMPUTED_VALUE"""),"InvivoSciences, Inc. _2022")</f>
        <v>InvivoSciences, Inc. _2022</v>
      </c>
      <c r="C60" s="6">
        <f ca="1">IFERROR(__xludf.DUMMYFUNCTION("""COMPUTED_VALUE"""),4.5)</f>
        <v>4.5</v>
      </c>
      <c r="D60" s="6" t="str">
        <f ca="1">IFERROR(__xludf.DUMMYFUNCTION("""COMPUTED_VALUE"""),"Life Sciences")</f>
        <v>Life Sciences</v>
      </c>
      <c r="E60" s="6" t="str">
        <f ca="1">IFERROR(__xludf.DUMMYFUNCTION("""COMPUTED_VALUE"""),"Invite")</f>
        <v>Invite</v>
      </c>
      <c r="F60" s="6" t="e">
        <f t="shared" ca="1" si="0"/>
        <v>#NAME?</v>
      </c>
    </row>
    <row r="61" spans="1:6">
      <c r="A61" s="199">
        <f ca="1">IFERROR(__xludf.DUMMYFUNCTION("""COMPUTED_VALUE"""),44791)</f>
        <v>44791</v>
      </c>
      <c r="B61" s="6" t="str">
        <f ca="1">IFERROR(__xludf.DUMMYFUNCTION("""COMPUTED_VALUE"""),"LEVEL 42 AI, INC _2022")</f>
        <v>LEVEL 42 AI, INC _2022</v>
      </c>
      <c r="C61" s="6">
        <f ca="1">IFERROR(__xludf.DUMMYFUNCTION("""COMPUTED_VALUE"""),4.5)</f>
        <v>4.5</v>
      </c>
      <c r="D61" s="6" t="str">
        <f ca="1">IFERROR(__xludf.DUMMYFUNCTION("""COMPUTED_VALUE"""),"Deep Tech")</f>
        <v>Deep Tech</v>
      </c>
      <c r="E61" s="6" t="str">
        <f ca="1">IFERROR(__xludf.DUMMYFUNCTION("""COMPUTED_VALUE"""),"Invite")</f>
        <v>Invite</v>
      </c>
      <c r="F61" s="6" t="e">
        <f t="shared" ca="1" si="0"/>
        <v>#NAME?</v>
      </c>
    </row>
    <row r="62" spans="1:6">
      <c r="A62" s="199">
        <f ca="1">IFERROR(__xludf.DUMMYFUNCTION("""COMPUTED_VALUE"""),44791)</f>
        <v>44791</v>
      </c>
      <c r="B62" s="6" t="str">
        <f ca="1">IFERROR(__xludf.DUMMYFUNCTION("""COMPUTED_VALUE"""),"LiveCare _2022")</f>
        <v>LiveCare _2022</v>
      </c>
      <c r="C62" s="6">
        <f ca="1">IFERROR(__xludf.DUMMYFUNCTION("""COMPUTED_VALUE"""),4.5)</f>
        <v>4.5</v>
      </c>
      <c r="D62" s="6" t="str">
        <f ca="1">IFERROR(__xludf.DUMMYFUNCTION("""COMPUTED_VALUE"""),"Digital Tech")</f>
        <v>Digital Tech</v>
      </c>
      <c r="E62" s="6" t="str">
        <f ca="1">IFERROR(__xludf.DUMMYFUNCTION("""COMPUTED_VALUE"""),"Invite")</f>
        <v>Invite</v>
      </c>
      <c r="F62" s="6" t="e">
        <f t="shared" ca="1" si="0"/>
        <v>#NAME?</v>
      </c>
    </row>
    <row r="63" spans="1:6">
      <c r="A63" s="199">
        <f ca="1">IFERROR(__xludf.DUMMYFUNCTION("""COMPUTED_VALUE"""),44791)</f>
        <v>44791</v>
      </c>
      <c r="B63" s="6" t="str">
        <f ca="1">IFERROR(__xludf.DUMMYFUNCTION("""COMPUTED_VALUE"""),"QurCan Therapeutics Inc. _2022")</f>
        <v>QurCan Therapeutics Inc. _2022</v>
      </c>
      <c r="C63" s="6">
        <f ca="1">IFERROR(__xludf.DUMMYFUNCTION("""COMPUTED_VALUE"""),4.5)</f>
        <v>4.5</v>
      </c>
      <c r="D63" s="6" t="str">
        <f ca="1">IFERROR(__xludf.DUMMYFUNCTION("""COMPUTED_VALUE"""),"Life Sciences")</f>
        <v>Life Sciences</v>
      </c>
      <c r="E63" s="6" t="str">
        <f ca="1">IFERROR(__xludf.DUMMYFUNCTION("""COMPUTED_VALUE"""),"Invite")</f>
        <v>Invite</v>
      </c>
      <c r="F63" s="6" t="e">
        <f t="shared" ca="1" si="0"/>
        <v>#NAME?</v>
      </c>
    </row>
    <row r="64" spans="1:6">
      <c r="A64" s="199">
        <f ca="1">IFERROR(__xludf.DUMMYFUNCTION("""COMPUTED_VALUE"""),44791)</f>
        <v>44791</v>
      </c>
      <c r="B64" s="6" t="str">
        <f ca="1">IFERROR(__xludf.DUMMYFUNCTION("""COMPUTED_VALUE"""),"Enteligent Inc. _2022")</f>
        <v>Enteligent Inc. _2022</v>
      </c>
      <c r="C64" s="6">
        <f ca="1">IFERROR(__xludf.DUMMYFUNCTION("""COMPUTED_VALUE"""),4.5)</f>
        <v>4.5</v>
      </c>
      <c r="D64" s="6" t="str">
        <f ca="1">IFERROR(__xludf.DUMMYFUNCTION("""COMPUTED_VALUE"""),"Deep Tech")</f>
        <v>Deep Tech</v>
      </c>
      <c r="E64" s="6" t="str">
        <f ca="1">IFERROR(__xludf.DUMMYFUNCTION("""COMPUTED_VALUE"""),"Invite")</f>
        <v>Invite</v>
      </c>
      <c r="F64" s="6" t="e">
        <f t="shared" ca="1" si="0"/>
        <v>#NAME?</v>
      </c>
    </row>
    <row r="65" spans="1:6">
      <c r="A65" s="199">
        <f ca="1">IFERROR(__xludf.DUMMYFUNCTION("""COMPUTED_VALUE"""),44796)</f>
        <v>44796</v>
      </c>
      <c r="B65" s="6" t="str">
        <f ca="1">IFERROR(__xludf.DUMMYFUNCTION("""COMPUTED_VALUE"""),"Encora Therapeutics _2022")</f>
        <v>Encora Therapeutics _2022</v>
      </c>
      <c r="C65" s="6">
        <f ca="1">IFERROR(__xludf.DUMMYFUNCTION("""COMPUTED_VALUE"""),4.5)</f>
        <v>4.5</v>
      </c>
      <c r="D65" s="6" t="str">
        <f ca="1">IFERROR(__xludf.DUMMYFUNCTION("""COMPUTED_VALUE"""),"Deep Tech")</f>
        <v>Deep Tech</v>
      </c>
      <c r="E65" s="6" t="str">
        <f ca="1">IFERROR(__xludf.DUMMYFUNCTION("""COMPUTED_VALUE"""),"Invite")</f>
        <v>Invite</v>
      </c>
      <c r="F65" s="6" t="e">
        <f t="shared" ca="1" si="0"/>
        <v>#NAME?</v>
      </c>
    </row>
    <row r="66" spans="1:6">
      <c r="A66" s="199">
        <f ca="1">IFERROR(__xludf.DUMMYFUNCTION("""COMPUTED_VALUE"""),44796)</f>
        <v>44796</v>
      </c>
      <c r="B66" s="6" t="str">
        <f ca="1">IFERROR(__xludf.DUMMYFUNCTION("""COMPUTED_VALUE"""),"Narrativa _2022")</f>
        <v>Narrativa _2022</v>
      </c>
      <c r="C66" s="6">
        <f ca="1">IFERROR(__xludf.DUMMYFUNCTION("""COMPUTED_VALUE"""),4.5)</f>
        <v>4.5</v>
      </c>
      <c r="D66" s="6" t="str">
        <f ca="1">IFERROR(__xludf.DUMMYFUNCTION("""COMPUTED_VALUE"""),"Digital Tech")</f>
        <v>Digital Tech</v>
      </c>
      <c r="E66" s="6" t="str">
        <f ca="1">IFERROR(__xludf.DUMMYFUNCTION("""COMPUTED_VALUE"""),"Invite")</f>
        <v>Invite</v>
      </c>
      <c r="F66" s="6" t="e">
        <f t="shared" ca="1" si="0"/>
        <v>#NAME?</v>
      </c>
    </row>
    <row r="67" spans="1:6">
      <c r="A67" s="199">
        <f ca="1">IFERROR(__xludf.DUMMYFUNCTION("""COMPUTED_VALUE"""),44796)</f>
        <v>44796</v>
      </c>
      <c r="B67" s="6" t="str">
        <f ca="1">IFERROR(__xludf.DUMMYFUNCTION("""COMPUTED_VALUE"""),"Arterez, Inc. _2022")</f>
        <v>Arterez, Inc. _2022</v>
      </c>
      <c r="C67" s="6">
        <f ca="1">IFERROR(__xludf.DUMMYFUNCTION("""COMPUTED_VALUE"""),4.5)</f>
        <v>4.5</v>
      </c>
      <c r="D67" s="6" t="str">
        <f ca="1">IFERROR(__xludf.DUMMYFUNCTION("""COMPUTED_VALUE"""),"Life Sciences")</f>
        <v>Life Sciences</v>
      </c>
      <c r="E67" s="6" t="str">
        <f ca="1">IFERROR(__xludf.DUMMYFUNCTION("""COMPUTED_VALUE"""),"Invite")</f>
        <v>Invite</v>
      </c>
      <c r="F67" s="6" t="e">
        <f t="shared" ca="1" si="0"/>
        <v>#NAME?</v>
      </c>
    </row>
    <row r="68" spans="1:6">
      <c r="A68" s="199">
        <f ca="1">IFERROR(__xludf.DUMMYFUNCTION("""COMPUTED_VALUE"""),44796)</f>
        <v>44796</v>
      </c>
      <c r="B68" s="6" t="str">
        <f ca="1">IFERROR(__xludf.DUMMYFUNCTION("""COMPUTED_VALUE"""),"Violett _2022")</f>
        <v>Violett _2022</v>
      </c>
      <c r="C68" s="6">
        <f ca="1">IFERROR(__xludf.DUMMYFUNCTION("""COMPUTED_VALUE"""),4.5)</f>
        <v>4.5</v>
      </c>
      <c r="D68" s="6" t="str">
        <f ca="1">IFERROR(__xludf.DUMMYFUNCTION("""COMPUTED_VALUE"""),"Deep Tech")</f>
        <v>Deep Tech</v>
      </c>
      <c r="E68" s="6" t="str">
        <f ca="1">IFERROR(__xludf.DUMMYFUNCTION("""COMPUTED_VALUE"""),"Invite")</f>
        <v>Invite</v>
      </c>
      <c r="F68" s="6" t="e">
        <f t="shared" ca="1" si="0"/>
        <v>#NAME?</v>
      </c>
    </row>
    <row r="69" spans="1:6">
      <c r="A69" s="199">
        <f ca="1">IFERROR(__xludf.DUMMYFUNCTION("""COMPUTED_VALUE"""),44796)</f>
        <v>44796</v>
      </c>
      <c r="B69" s="6" t="str">
        <f ca="1">IFERROR(__xludf.DUMMYFUNCTION("""COMPUTED_VALUE"""),"NTherma Corporation _2022")</f>
        <v>NTherma Corporation _2022</v>
      </c>
      <c r="C69" s="6">
        <f ca="1">IFERROR(__xludf.DUMMYFUNCTION("""COMPUTED_VALUE"""),4.5)</f>
        <v>4.5</v>
      </c>
      <c r="D69" s="6" t="str">
        <f ca="1">IFERROR(__xludf.DUMMYFUNCTION("""COMPUTED_VALUE"""),"Deep Tech")</f>
        <v>Deep Tech</v>
      </c>
      <c r="E69" s="6" t="str">
        <f ca="1">IFERROR(__xludf.DUMMYFUNCTION("""COMPUTED_VALUE"""),"Invite")</f>
        <v>Invite</v>
      </c>
      <c r="F69" s="6" t="e">
        <f t="shared" ca="1" si="0"/>
        <v>#NAME?</v>
      </c>
    </row>
    <row r="70" spans="1:6">
      <c r="A70" s="199">
        <f ca="1">IFERROR(__xludf.DUMMYFUNCTION("""COMPUTED_VALUE"""),44797)</f>
        <v>44797</v>
      </c>
      <c r="B70" s="6" t="str">
        <f ca="1">IFERROR(__xludf.DUMMYFUNCTION("""COMPUTED_VALUE"""),"ORNA Inc. _2022")</f>
        <v>ORNA Inc. _2022</v>
      </c>
      <c r="C70" s="6">
        <f ca="1">IFERROR(__xludf.DUMMYFUNCTION("""COMPUTED_VALUE"""),4.5)</f>
        <v>4.5</v>
      </c>
      <c r="D70" s="6" t="str">
        <f ca="1">IFERROR(__xludf.DUMMYFUNCTION("""COMPUTED_VALUE"""),"Digital Tech")</f>
        <v>Digital Tech</v>
      </c>
      <c r="E70" s="6" t="str">
        <f ca="1">IFERROR(__xludf.DUMMYFUNCTION("""COMPUTED_VALUE"""),"Invite")</f>
        <v>Invite</v>
      </c>
      <c r="F70" s="6" t="e">
        <f t="shared" ca="1" si="0"/>
        <v>#NAME?</v>
      </c>
    </row>
    <row r="71" spans="1:6">
      <c r="A71" s="199">
        <f ca="1">IFERROR(__xludf.DUMMYFUNCTION("""COMPUTED_VALUE"""),44797)</f>
        <v>44797</v>
      </c>
      <c r="B71" s="6" t="str">
        <f ca="1">IFERROR(__xludf.DUMMYFUNCTION("""COMPUTED_VALUE"""),"NaNotics, LLC _2022")</f>
        <v>NaNotics, LLC _2022</v>
      </c>
      <c r="C71" s="6">
        <f ca="1">IFERROR(__xludf.DUMMYFUNCTION("""COMPUTED_VALUE"""),4.5)</f>
        <v>4.5</v>
      </c>
      <c r="D71" s="6" t="str">
        <f ca="1">IFERROR(__xludf.DUMMYFUNCTION("""COMPUTED_VALUE"""),"Life Sciences")</f>
        <v>Life Sciences</v>
      </c>
      <c r="E71" s="6" t="str">
        <f ca="1">IFERROR(__xludf.DUMMYFUNCTION("""COMPUTED_VALUE"""),"Invite")</f>
        <v>Invite</v>
      </c>
      <c r="F71" s="6" t="e">
        <f t="shared" ca="1" si="0"/>
        <v>#NAME?</v>
      </c>
    </row>
    <row r="72" spans="1:6">
      <c r="A72" s="199">
        <f ca="1">IFERROR(__xludf.DUMMYFUNCTION("""COMPUTED_VALUE"""),44797)</f>
        <v>44797</v>
      </c>
      <c r="B72" s="6" t="str">
        <f ca="1">IFERROR(__xludf.DUMMYFUNCTION("""COMPUTED_VALUE"""),"Protabit LLC _2022")</f>
        <v>Protabit LLC _2022</v>
      </c>
      <c r="C72" s="6">
        <f ca="1">IFERROR(__xludf.DUMMYFUNCTION("""COMPUTED_VALUE"""),4.5)</f>
        <v>4.5</v>
      </c>
      <c r="D72" s="6" t="str">
        <f ca="1">IFERROR(__xludf.DUMMYFUNCTION("""COMPUTED_VALUE"""),"Life Sciences")</f>
        <v>Life Sciences</v>
      </c>
      <c r="E72" s="6" t="str">
        <f ca="1">IFERROR(__xludf.DUMMYFUNCTION("""COMPUTED_VALUE"""),"Invite")</f>
        <v>Invite</v>
      </c>
      <c r="F72" s="6" t="e">
        <f t="shared" ca="1" si="0"/>
        <v>#NAME?</v>
      </c>
    </row>
    <row r="73" spans="1:6">
      <c r="A73" s="199">
        <f ca="1">IFERROR(__xludf.DUMMYFUNCTION("""COMPUTED_VALUE"""),44797)</f>
        <v>44797</v>
      </c>
      <c r="B73" s="6" t="str">
        <f ca="1">IFERROR(__xludf.DUMMYFUNCTION("""COMPUTED_VALUE"""),"Friendlier _2022")</f>
        <v>Friendlier _2022</v>
      </c>
      <c r="C73" s="6">
        <f ca="1">IFERROR(__xludf.DUMMYFUNCTION("""COMPUTED_VALUE"""),4.5)</f>
        <v>4.5</v>
      </c>
      <c r="D73" s="6" t="str">
        <f ca="1">IFERROR(__xludf.DUMMYFUNCTION("""COMPUTED_VALUE"""),"Digital Tech")</f>
        <v>Digital Tech</v>
      </c>
      <c r="E73" s="6" t="str">
        <f ca="1">IFERROR(__xludf.DUMMYFUNCTION("""COMPUTED_VALUE"""),"Invite")</f>
        <v>Invite</v>
      </c>
      <c r="F73" s="6" t="e">
        <f t="shared" ca="1" si="0"/>
        <v>#NAME?</v>
      </c>
    </row>
    <row r="74" spans="1:6">
      <c r="A74" s="199">
        <f ca="1">IFERROR(__xludf.DUMMYFUNCTION("""COMPUTED_VALUE"""),44784)</f>
        <v>44784</v>
      </c>
      <c r="B74" s="6" t="str">
        <f ca="1">IFERROR(__xludf.DUMMYFUNCTION("""COMPUTED_VALUE"""),"OPTT Health _2022")</f>
        <v>OPTT Health _2022</v>
      </c>
      <c r="C74" s="6">
        <f ca="1">IFERROR(__xludf.DUMMYFUNCTION("""COMPUTED_VALUE"""),4.38)</f>
        <v>4.38</v>
      </c>
      <c r="D74" s="6" t="str">
        <f ca="1">IFERROR(__xludf.DUMMYFUNCTION("""COMPUTED_VALUE"""),"Digital Tech")</f>
        <v>Digital Tech</v>
      </c>
      <c r="E74" s="6" t="str">
        <f ca="1">IFERROR(__xludf.DUMMYFUNCTION("""COMPUTED_VALUE"""),"Invite")</f>
        <v>Invite</v>
      </c>
      <c r="F74" s="6" t="e">
        <f t="shared" ca="1" si="0"/>
        <v>#NAME?</v>
      </c>
    </row>
    <row r="75" spans="1:6">
      <c r="A75" s="199">
        <f ca="1">IFERROR(__xludf.DUMMYFUNCTION("""COMPUTED_VALUE"""),44796)</f>
        <v>44796</v>
      </c>
      <c r="B75" s="6" t="str">
        <f ca="1">IFERROR(__xludf.DUMMYFUNCTION("""COMPUTED_VALUE"""),"INAEDIS _2022")</f>
        <v>INAEDIS _2022</v>
      </c>
      <c r="C75" s="6">
        <f ca="1">IFERROR(__xludf.DUMMYFUNCTION("""COMPUTED_VALUE"""),4.38)</f>
        <v>4.38</v>
      </c>
      <c r="D75" s="6" t="str">
        <f ca="1">IFERROR(__xludf.DUMMYFUNCTION("""COMPUTED_VALUE"""),"Life Sciences")</f>
        <v>Life Sciences</v>
      </c>
      <c r="E75" s="6" t="str">
        <f ca="1">IFERROR(__xludf.DUMMYFUNCTION("""COMPUTED_VALUE"""),"Invite")</f>
        <v>Invite</v>
      </c>
      <c r="F75" s="6" t="e">
        <f t="shared" ca="1" si="0"/>
        <v>#NAME?</v>
      </c>
    </row>
    <row r="76" spans="1:6">
      <c r="A76" s="199">
        <f ca="1">IFERROR(__xludf.DUMMYFUNCTION("""COMPUTED_VALUE"""),44776)</f>
        <v>44776</v>
      </c>
      <c r="B76" s="6" t="str">
        <f ca="1">IFERROR(__xludf.DUMMYFUNCTION("""COMPUTED_VALUE"""),"BreachQuest _2022")</f>
        <v>BreachQuest _2022</v>
      </c>
      <c r="C76" s="6">
        <f ca="1">IFERROR(__xludf.DUMMYFUNCTION("""COMPUTED_VALUE"""),4.25)</f>
        <v>4.25</v>
      </c>
      <c r="D76" s="6" t="str">
        <f ca="1">IFERROR(__xludf.DUMMYFUNCTION("""COMPUTED_VALUE"""),"Digital Tech")</f>
        <v>Digital Tech</v>
      </c>
      <c r="E76" s="6" t="str">
        <f ca="1">IFERROR(__xludf.DUMMYFUNCTION("""COMPUTED_VALUE"""),"Invite")</f>
        <v>Invite</v>
      </c>
      <c r="F76" s="6" t="e">
        <f t="shared" ca="1" si="0"/>
        <v>#NAME?</v>
      </c>
    </row>
    <row r="77" spans="1:6">
      <c r="A77" s="199">
        <f ca="1">IFERROR(__xludf.DUMMYFUNCTION("""COMPUTED_VALUE"""),44776)</f>
        <v>44776</v>
      </c>
      <c r="B77" s="6" t="str">
        <f ca="1">IFERROR(__xludf.DUMMYFUNCTION("""COMPUTED_VALUE"""),"Datanchor Inc. _2022")</f>
        <v>Datanchor Inc. _2022</v>
      </c>
      <c r="C77" s="6">
        <f ca="1">IFERROR(__xludf.DUMMYFUNCTION("""COMPUTED_VALUE"""),4.25)</f>
        <v>4.25</v>
      </c>
      <c r="D77" s="6" t="str">
        <f ca="1">IFERROR(__xludf.DUMMYFUNCTION("""COMPUTED_VALUE"""),"Digital Tech")</f>
        <v>Digital Tech</v>
      </c>
      <c r="E77" s="6" t="str">
        <f ca="1">IFERROR(__xludf.DUMMYFUNCTION("""COMPUTED_VALUE"""),"Invite")</f>
        <v>Invite</v>
      </c>
      <c r="F77" s="6" t="e">
        <f t="shared" ca="1" si="0"/>
        <v>#NAME?</v>
      </c>
    </row>
    <row r="78" spans="1:6">
      <c r="A78" s="199">
        <f ca="1">IFERROR(__xludf.DUMMYFUNCTION("""COMPUTED_VALUE"""),44782)</f>
        <v>44782</v>
      </c>
      <c r="B78" s="6" t="str">
        <f ca="1">IFERROR(__xludf.DUMMYFUNCTION("""COMPUTED_VALUE"""),"syGlass, Inc _2022")</f>
        <v>syGlass, Inc _2022</v>
      </c>
      <c r="C78" s="6">
        <f ca="1">IFERROR(__xludf.DUMMYFUNCTION("""COMPUTED_VALUE"""),4.25)</f>
        <v>4.25</v>
      </c>
      <c r="D78" s="6" t="str">
        <f ca="1">IFERROR(__xludf.DUMMYFUNCTION("""COMPUTED_VALUE"""),"Deep Tech")</f>
        <v>Deep Tech</v>
      </c>
      <c r="E78" s="6" t="str">
        <f ca="1">IFERROR(__xludf.DUMMYFUNCTION("""COMPUTED_VALUE"""),"Invite")</f>
        <v>Invite</v>
      </c>
      <c r="F78" s="6" t="e">
        <f t="shared" ca="1" si="0"/>
        <v>#NAME?</v>
      </c>
    </row>
    <row r="79" spans="1:6">
      <c r="A79" s="199">
        <f ca="1">IFERROR(__xludf.DUMMYFUNCTION("""COMPUTED_VALUE"""),44782)</f>
        <v>44782</v>
      </c>
      <c r="B79" s="6" t="str">
        <f ca="1">IFERROR(__xludf.DUMMYFUNCTION("""COMPUTED_VALUE"""),"Antlia Bioscience, Inc.   _2022")</f>
        <v>Antlia Bioscience, Inc.   _2022</v>
      </c>
      <c r="C79" s="6">
        <f ca="1">IFERROR(__xludf.DUMMYFUNCTION("""COMPUTED_VALUE"""),4.25)</f>
        <v>4.25</v>
      </c>
      <c r="D79" s="6" t="str">
        <f ca="1">IFERROR(__xludf.DUMMYFUNCTION("""COMPUTED_VALUE"""),"Life Sciences")</f>
        <v>Life Sciences</v>
      </c>
      <c r="E79" s="6" t="str">
        <f ca="1">IFERROR(__xludf.DUMMYFUNCTION("""COMPUTED_VALUE"""),"Invite")</f>
        <v>Invite</v>
      </c>
      <c r="F79" s="6" t="e">
        <f t="shared" ca="1" si="0"/>
        <v>#NAME?</v>
      </c>
    </row>
    <row r="80" spans="1:6">
      <c r="A80" s="199">
        <f ca="1">IFERROR(__xludf.DUMMYFUNCTION("""COMPUTED_VALUE"""),44782)</f>
        <v>44782</v>
      </c>
      <c r="B80" s="6" t="str">
        <f ca="1">IFERROR(__xludf.DUMMYFUNCTION("""COMPUTED_VALUE"""),"Aerones Inc _2022")</f>
        <v>Aerones Inc _2022</v>
      </c>
      <c r="C80" s="6">
        <f ca="1">IFERROR(__xludf.DUMMYFUNCTION("""COMPUTED_VALUE"""),4.25)</f>
        <v>4.25</v>
      </c>
      <c r="D80" s="6" t="str">
        <f ca="1">IFERROR(__xludf.DUMMYFUNCTION("""COMPUTED_VALUE"""),"Deep Tech")</f>
        <v>Deep Tech</v>
      </c>
      <c r="E80" s="6" t="str">
        <f ca="1">IFERROR(__xludf.DUMMYFUNCTION("""COMPUTED_VALUE"""),"Invite")</f>
        <v>Invite</v>
      </c>
      <c r="F80" s="6" t="e">
        <f t="shared" ca="1" si="0"/>
        <v>#NAME?</v>
      </c>
    </row>
    <row r="81" spans="1:6">
      <c r="A81" s="199">
        <f ca="1">IFERROR(__xludf.DUMMYFUNCTION("""COMPUTED_VALUE"""),44782)</f>
        <v>44782</v>
      </c>
      <c r="B81" s="6" t="str">
        <f ca="1">IFERROR(__xludf.DUMMYFUNCTION("""COMPUTED_VALUE"""),"SignPost Cancer Dx Inc. _2022")</f>
        <v>SignPost Cancer Dx Inc. _2022</v>
      </c>
      <c r="C81" s="6">
        <f ca="1">IFERROR(__xludf.DUMMYFUNCTION("""COMPUTED_VALUE"""),4.25)</f>
        <v>4.25</v>
      </c>
      <c r="D81" s="6" t="str">
        <f ca="1">IFERROR(__xludf.DUMMYFUNCTION("""COMPUTED_VALUE"""),"Life Sciences")</f>
        <v>Life Sciences</v>
      </c>
      <c r="E81" s="6" t="str">
        <f ca="1">IFERROR(__xludf.DUMMYFUNCTION("""COMPUTED_VALUE"""),"Invite")</f>
        <v>Invite</v>
      </c>
      <c r="F81" s="6" t="e">
        <f t="shared" ca="1" si="0"/>
        <v>#NAME?</v>
      </c>
    </row>
    <row r="82" spans="1:6">
      <c r="A82" s="199">
        <f ca="1">IFERROR(__xludf.DUMMYFUNCTION("""COMPUTED_VALUE"""),44782)</f>
        <v>44782</v>
      </c>
      <c r="B82" s="6" t="str">
        <f ca="1">IFERROR(__xludf.DUMMYFUNCTION("""COMPUTED_VALUE"""),"RevivBio Inc _2022")</f>
        <v>RevivBio Inc _2022</v>
      </c>
      <c r="C82" s="6">
        <f ca="1">IFERROR(__xludf.DUMMYFUNCTION("""COMPUTED_VALUE"""),4.25)</f>
        <v>4.25</v>
      </c>
      <c r="D82" s="6" t="str">
        <f ca="1">IFERROR(__xludf.DUMMYFUNCTION("""COMPUTED_VALUE"""),"Deep Tech")</f>
        <v>Deep Tech</v>
      </c>
      <c r="E82" s="6" t="str">
        <f ca="1">IFERROR(__xludf.DUMMYFUNCTION("""COMPUTED_VALUE"""),"Invite")</f>
        <v>Invite</v>
      </c>
      <c r="F82" s="6" t="e">
        <f t="shared" ca="1" si="0"/>
        <v>#NAME?</v>
      </c>
    </row>
    <row r="83" spans="1:6">
      <c r="A83" s="199">
        <f ca="1">IFERROR(__xludf.DUMMYFUNCTION("""COMPUTED_VALUE"""),44782)</f>
        <v>44782</v>
      </c>
      <c r="B83" s="6" t="str">
        <f ca="1">IFERROR(__xludf.DUMMYFUNCTION("""COMPUTED_VALUE"""),"Sisu Pharma, Inc. _2022")</f>
        <v>Sisu Pharma, Inc. _2022</v>
      </c>
      <c r="C83" s="6">
        <f ca="1">IFERROR(__xludf.DUMMYFUNCTION("""COMPUTED_VALUE"""),4.25)</f>
        <v>4.25</v>
      </c>
      <c r="D83" s="6" t="str">
        <f ca="1">IFERROR(__xludf.DUMMYFUNCTION("""COMPUTED_VALUE"""),"Life Sciences")</f>
        <v>Life Sciences</v>
      </c>
      <c r="E83" s="6" t="str">
        <f ca="1">IFERROR(__xludf.DUMMYFUNCTION("""COMPUTED_VALUE"""),"Invite")</f>
        <v>Invite</v>
      </c>
      <c r="F83" s="6" t="e">
        <f t="shared" ca="1" si="0"/>
        <v>#NAME?</v>
      </c>
    </row>
    <row r="84" spans="1:6">
      <c r="A84" s="199">
        <f ca="1">IFERROR(__xludf.DUMMYFUNCTION("""COMPUTED_VALUE"""),44782)</f>
        <v>44782</v>
      </c>
      <c r="B84" s="6" t="str">
        <f ca="1">IFERROR(__xludf.DUMMYFUNCTION("""COMPUTED_VALUE"""),"OVIBIO _2022")</f>
        <v>OVIBIO _2022</v>
      </c>
      <c r="C84" s="6">
        <f ca="1">IFERROR(__xludf.DUMMYFUNCTION("""COMPUTED_VALUE"""),4.25)</f>
        <v>4.25</v>
      </c>
      <c r="D84" s="6" t="str">
        <f ca="1">IFERROR(__xludf.DUMMYFUNCTION("""COMPUTED_VALUE"""),"Life Sciences")</f>
        <v>Life Sciences</v>
      </c>
      <c r="E84" s="6" t="str">
        <f ca="1">IFERROR(__xludf.DUMMYFUNCTION("""COMPUTED_VALUE"""),"Invite")</f>
        <v>Invite</v>
      </c>
      <c r="F84" s="6" t="e">
        <f t="shared" ca="1" si="0"/>
        <v>#NAME?</v>
      </c>
    </row>
    <row r="85" spans="1:6">
      <c r="A85" s="199">
        <f ca="1">IFERROR(__xludf.DUMMYFUNCTION("""COMPUTED_VALUE"""),44782)</f>
        <v>44782</v>
      </c>
      <c r="B85" s="6" t="str">
        <f ca="1">IFERROR(__xludf.DUMMYFUNCTION("""COMPUTED_VALUE"""),"DataPrime _2022")</f>
        <v>DataPrime _2022</v>
      </c>
      <c r="C85" s="6">
        <f ca="1">IFERROR(__xludf.DUMMYFUNCTION("""COMPUTED_VALUE"""),4.25)</f>
        <v>4.25</v>
      </c>
      <c r="D85" s="6" t="str">
        <f ca="1">IFERROR(__xludf.DUMMYFUNCTION("""COMPUTED_VALUE"""),"Digital Tech")</f>
        <v>Digital Tech</v>
      </c>
      <c r="E85" s="6" t="str">
        <f ca="1">IFERROR(__xludf.DUMMYFUNCTION("""COMPUTED_VALUE"""),"Invite")</f>
        <v>Invite</v>
      </c>
      <c r="F85" s="6" t="e">
        <f t="shared" ca="1" si="0"/>
        <v>#NAME?</v>
      </c>
    </row>
    <row r="86" spans="1:6">
      <c r="A86" s="199">
        <f ca="1">IFERROR(__xludf.DUMMYFUNCTION("""COMPUTED_VALUE"""),44782)</f>
        <v>44782</v>
      </c>
      <c r="B86" s="6" t="str">
        <f ca="1">IFERROR(__xludf.DUMMYFUNCTION("""COMPUTED_VALUE"""),"HDAX Therapeutics _2022")</f>
        <v>HDAX Therapeutics _2022</v>
      </c>
      <c r="C86" s="6">
        <f ca="1">IFERROR(__xludf.DUMMYFUNCTION("""COMPUTED_VALUE"""),4.25)</f>
        <v>4.25</v>
      </c>
      <c r="D86" s="6" t="str">
        <f ca="1">IFERROR(__xludf.DUMMYFUNCTION("""COMPUTED_VALUE"""),"Life Sciences")</f>
        <v>Life Sciences</v>
      </c>
      <c r="E86" s="6" t="str">
        <f ca="1">IFERROR(__xludf.DUMMYFUNCTION("""COMPUTED_VALUE"""),"Invite")</f>
        <v>Invite</v>
      </c>
      <c r="F86" s="6" t="e">
        <f t="shared" ca="1" si="0"/>
        <v>#NAME?</v>
      </c>
    </row>
    <row r="87" spans="1:6">
      <c r="A87" s="199">
        <f ca="1">IFERROR(__xludf.DUMMYFUNCTION("""COMPUTED_VALUE"""),44784)</f>
        <v>44784</v>
      </c>
      <c r="B87" s="6" t="str">
        <f ca="1">IFERROR(__xludf.DUMMYFUNCTION("""COMPUTED_VALUE"""),"Sustain Group Holdings LLC _2022")</f>
        <v>Sustain Group Holdings LLC _2022</v>
      </c>
      <c r="C87" s="6">
        <f ca="1">IFERROR(__xludf.DUMMYFUNCTION("""COMPUTED_VALUE"""),4.25)</f>
        <v>4.25</v>
      </c>
      <c r="D87" s="6" t="str">
        <f ca="1">IFERROR(__xludf.DUMMYFUNCTION("""COMPUTED_VALUE"""),"Digital Tech")</f>
        <v>Digital Tech</v>
      </c>
      <c r="E87" s="6" t="str">
        <f ca="1">IFERROR(__xludf.DUMMYFUNCTION("""COMPUTED_VALUE"""),"Invite")</f>
        <v>Invite</v>
      </c>
      <c r="F87" s="6" t="e">
        <f t="shared" ca="1" si="0"/>
        <v>#NAME?</v>
      </c>
    </row>
    <row r="88" spans="1:6">
      <c r="A88" s="199">
        <f ca="1">IFERROR(__xludf.DUMMYFUNCTION("""COMPUTED_VALUE"""),44784)</f>
        <v>44784</v>
      </c>
      <c r="B88" s="6" t="str">
        <f ca="1">IFERROR(__xludf.DUMMYFUNCTION("""COMPUTED_VALUE"""),"Eachday, INC. _2022")</f>
        <v>Eachday, INC. _2022</v>
      </c>
      <c r="C88" s="6">
        <f ca="1">IFERROR(__xludf.DUMMYFUNCTION("""COMPUTED_VALUE"""),4.25)</f>
        <v>4.25</v>
      </c>
      <c r="D88" s="6" t="str">
        <f ca="1">IFERROR(__xludf.DUMMYFUNCTION("""COMPUTED_VALUE"""),"Digital Tech")</f>
        <v>Digital Tech</v>
      </c>
      <c r="E88" s="6" t="str">
        <f ca="1">IFERROR(__xludf.DUMMYFUNCTION("""COMPUTED_VALUE"""),"Invite")</f>
        <v>Invite</v>
      </c>
      <c r="F88" s="6" t="e">
        <f t="shared" ca="1" si="0"/>
        <v>#NAME?</v>
      </c>
    </row>
    <row r="89" spans="1:6">
      <c r="A89" s="199">
        <f ca="1">IFERROR(__xludf.DUMMYFUNCTION("""COMPUTED_VALUE"""),44784)</f>
        <v>44784</v>
      </c>
      <c r="B89" s="6" t="str">
        <f ca="1">IFERROR(__xludf.DUMMYFUNCTION("""COMPUTED_VALUE"""),"vadimUS _2022")</f>
        <v>vadimUS _2022</v>
      </c>
      <c r="C89" s="6">
        <f ca="1">IFERROR(__xludf.DUMMYFUNCTION("""COMPUTED_VALUE"""),4.25)</f>
        <v>4.25</v>
      </c>
      <c r="D89" s="6" t="str">
        <f ca="1">IFERROR(__xludf.DUMMYFUNCTION("""COMPUTED_VALUE"""),"Digital Tech")</f>
        <v>Digital Tech</v>
      </c>
      <c r="E89" s="6" t="str">
        <f ca="1">IFERROR(__xludf.DUMMYFUNCTION("""COMPUTED_VALUE"""),"Invite")</f>
        <v>Invite</v>
      </c>
      <c r="F89" s="6" t="e">
        <f t="shared" ca="1" si="0"/>
        <v>#NAME?</v>
      </c>
    </row>
    <row r="90" spans="1:6">
      <c r="A90" s="199">
        <f ca="1">IFERROR(__xludf.DUMMYFUNCTION("""COMPUTED_VALUE"""),44784)</f>
        <v>44784</v>
      </c>
      <c r="B90" s="6" t="str">
        <f ca="1">IFERROR(__xludf.DUMMYFUNCTION("""COMPUTED_VALUE"""),"IX Swap _2022")</f>
        <v>IX Swap _2022</v>
      </c>
      <c r="C90" s="6">
        <f ca="1">IFERROR(__xludf.DUMMYFUNCTION("""COMPUTED_VALUE"""),4.25)</f>
        <v>4.25</v>
      </c>
      <c r="D90" s="6" t="str">
        <f ca="1">IFERROR(__xludf.DUMMYFUNCTION("""COMPUTED_VALUE"""),"Digital Tech")</f>
        <v>Digital Tech</v>
      </c>
      <c r="E90" s="6" t="str">
        <f ca="1">IFERROR(__xludf.DUMMYFUNCTION("""COMPUTED_VALUE"""),"Invite")</f>
        <v>Invite</v>
      </c>
      <c r="F90" s="6" t="e">
        <f t="shared" ca="1" si="0"/>
        <v>#NAME?</v>
      </c>
    </row>
    <row r="91" spans="1:6">
      <c r="A91" s="199">
        <f ca="1">IFERROR(__xludf.DUMMYFUNCTION("""COMPUTED_VALUE"""),44784)</f>
        <v>44784</v>
      </c>
      <c r="B91" s="6" t="str">
        <f ca="1">IFERROR(__xludf.DUMMYFUNCTION("""COMPUTED_VALUE"""),"RIFFIT  _2022")</f>
        <v>RIFFIT  _2022</v>
      </c>
      <c r="C91" s="6">
        <f ca="1">IFERROR(__xludf.DUMMYFUNCTION("""COMPUTED_VALUE"""),4.25)</f>
        <v>4.25</v>
      </c>
      <c r="D91" s="6" t="str">
        <f ca="1">IFERROR(__xludf.DUMMYFUNCTION("""COMPUTED_VALUE"""),"Digital Tech")</f>
        <v>Digital Tech</v>
      </c>
      <c r="E91" s="6" t="str">
        <f ca="1">IFERROR(__xludf.DUMMYFUNCTION("""COMPUTED_VALUE"""),"Invite")</f>
        <v>Invite</v>
      </c>
      <c r="F91" s="6" t="e">
        <f t="shared" ca="1" si="0"/>
        <v>#NAME?</v>
      </c>
    </row>
    <row r="92" spans="1:6">
      <c r="A92" s="199">
        <f ca="1">IFERROR(__xludf.DUMMYFUNCTION("""COMPUTED_VALUE"""),44789)</f>
        <v>44789</v>
      </c>
      <c r="B92" s="6" t="str">
        <f ca="1">IFERROR(__xludf.DUMMYFUNCTION("""COMPUTED_VALUE"""),"A&amp;K Robotics _2022")</f>
        <v>A&amp;K Robotics _2022</v>
      </c>
      <c r="C92" s="6">
        <f ca="1">IFERROR(__xludf.DUMMYFUNCTION("""COMPUTED_VALUE"""),4.25)</f>
        <v>4.25</v>
      </c>
      <c r="D92" s="6" t="str">
        <f ca="1">IFERROR(__xludf.DUMMYFUNCTION("""COMPUTED_VALUE"""),"Deep Tech")</f>
        <v>Deep Tech</v>
      </c>
      <c r="E92" s="6" t="str">
        <f ca="1">IFERROR(__xludf.DUMMYFUNCTION("""COMPUTED_VALUE"""),"Invite")</f>
        <v>Invite</v>
      </c>
      <c r="F92" s="6" t="e">
        <f t="shared" ca="1" si="0"/>
        <v>#NAME?</v>
      </c>
    </row>
    <row r="93" spans="1:6">
      <c r="A93" s="199">
        <f ca="1">IFERROR(__xludf.DUMMYFUNCTION("""COMPUTED_VALUE"""),44789)</f>
        <v>44789</v>
      </c>
      <c r="B93" s="6" t="str">
        <f ca="1">IFERROR(__xludf.DUMMYFUNCTION("""COMPUTED_VALUE"""),"Tactical Therapeutics, Inc _2022")</f>
        <v>Tactical Therapeutics, Inc _2022</v>
      </c>
      <c r="C93" s="6">
        <f ca="1">IFERROR(__xludf.DUMMYFUNCTION("""COMPUTED_VALUE"""),4.25)</f>
        <v>4.25</v>
      </c>
      <c r="D93" s="6" t="str">
        <f ca="1">IFERROR(__xludf.DUMMYFUNCTION("""COMPUTED_VALUE"""),"Life Sciences")</f>
        <v>Life Sciences</v>
      </c>
      <c r="E93" s="6" t="str">
        <f ca="1">IFERROR(__xludf.DUMMYFUNCTION("""COMPUTED_VALUE"""),"Invite")</f>
        <v>Invite</v>
      </c>
      <c r="F93" s="6" t="e">
        <f t="shared" ca="1" si="0"/>
        <v>#NAME?</v>
      </c>
    </row>
    <row r="94" spans="1:6">
      <c r="A94" s="199">
        <f ca="1">IFERROR(__xludf.DUMMYFUNCTION("""COMPUTED_VALUE"""),44789)</f>
        <v>44789</v>
      </c>
      <c r="B94" s="6" t="str">
        <f ca="1">IFERROR(__xludf.DUMMYFUNCTION("""COMPUTED_VALUE"""),"pragyaa.ai _2022")</f>
        <v>pragyaa.ai _2022</v>
      </c>
      <c r="C94" s="6">
        <f ca="1">IFERROR(__xludf.DUMMYFUNCTION("""COMPUTED_VALUE"""),4.25)</f>
        <v>4.25</v>
      </c>
      <c r="D94" s="6" t="str">
        <f ca="1">IFERROR(__xludf.DUMMYFUNCTION("""COMPUTED_VALUE"""),"Digital Tech")</f>
        <v>Digital Tech</v>
      </c>
      <c r="E94" s="6" t="str">
        <f ca="1">IFERROR(__xludf.DUMMYFUNCTION("""COMPUTED_VALUE"""),"Invite")</f>
        <v>Invite</v>
      </c>
      <c r="F94" s="6" t="e">
        <f t="shared" ca="1" si="0"/>
        <v>#NAME?</v>
      </c>
    </row>
    <row r="95" spans="1:6">
      <c r="A95" s="199">
        <f ca="1">IFERROR(__xludf.DUMMYFUNCTION("""COMPUTED_VALUE"""),44789)</f>
        <v>44789</v>
      </c>
      <c r="B95" s="6" t="str">
        <f ca="1">IFERROR(__xludf.DUMMYFUNCTION("""COMPUTED_VALUE"""),"Skyhook Solar Corp. _2022")</f>
        <v>Skyhook Solar Corp. _2022</v>
      </c>
      <c r="C95" s="6">
        <f ca="1">IFERROR(__xludf.DUMMYFUNCTION("""COMPUTED_VALUE"""),4.25)</f>
        <v>4.25</v>
      </c>
      <c r="D95" s="6" t="str">
        <f ca="1">IFERROR(__xludf.DUMMYFUNCTION("""COMPUTED_VALUE"""),"Deep Tech")</f>
        <v>Deep Tech</v>
      </c>
      <c r="E95" s="6" t="str">
        <f ca="1">IFERROR(__xludf.DUMMYFUNCTION("""COMPUTED_VALUE"""),"Invite")</f>
        <v>Invite</v>
      </c>
      <c r="F95" s="6" t="e">
        <f t="shared" ca="1" si="0"/>
        <v>#NAME?</v>
      </c>
    </row>
    <row r="96" spans="1:6">
      <c r="A96" s="199">
        <f ca="1">IFERROR(__xludf.DUMMYFUNCTION("""COMPUTED_VALUE"""),44789)</f>
        <v>44789</v>
      </c>
      <c r="B96" s="6" t="str">
        <f ca="1">IFERROR(__xludf.DUMMYFUNCTION("""COMPUTED_VALUE"""),"Pannex Therapeutics _2022")</f>
        <v>Pannex Therapeutics _2022</v>
      </c>
      <c r="C96" s="6">
        <f ca="1">IFERROR(__xludf.DUMMYFUNCTION("""COMPUTED_VALUE"""),4.25)</f>
        <v>4.25</v>
      </c>
      <c r="D96" s="6" t="str">
        <f ca="1">IFERROR(__xludf.DUMMYFUNCTION("""COMPUTED_VALUE"""),"Life Sciences")</f>
        <v>Life Sciences</v>
      </c>
      <c r="E96" s="6" t="str">
        <f ca="1">IFERROR(__xludf.DUMMYFUNCTION("""COMPUTED_VALUE"""),"Invite")</f>
        <v>Invite</v>
      </c>
      <c r="F96" s="6" t="e">
        <f t="shared" ca="1" si="0"/>
        <v>#NAME?</v>
      </c>
    </row>
    <row r="97" spans="1:6">
      <c r="A97" s="199">
        <f ca="1">IFERROR(__xludf.DUMMYFUNCTION("""COMPUTED_VALUE"""),44789)</f>
        <v>44789</v>
      </c>
      <c r="B97" s="6" t="str">
        <f ca="1">IFERROR(__xludf.DUMMYFUNCTION("""COMPUTED_VALUE"""),"H Quest Vanguard, Inc. _2022")</f>
        <v>H Quest Vanguard, Inc. _2022</v>
      </c>
      <c r="C97" s="6">
        <f ca="1">IFERROR(__xludf.DUMMYFUNCTION("""COMPUTED_VALUE"""),4.25)</f>
        <v>4.25</v>
      </c>
      <c r="D97" s="6" t="str">
        <f ca="1">IFERROR(__xludf.DUMMYFUNCTION("""COMPUTED_VALUE"""),"Deep Tech")</f>
        <v>Deep Tech</v>
      </c>
      <c r="E97" s="6" t="str">
        <f ca="1">IFERROR(__xludf.DUMMYFUNCTION("""COMPUTED_VALUE"""),"Invite")</f>
        <v>Invite</v>
      </c>
      <c r="F97" s="6" t="e">
        <f t="shared" ca="1" si="0"/>
        <v>#NAME?</v>
      </c>
    </row>
    <row r="98" spans="1:6">
      <c r="A98" s="199">
        <f ca="1">IFERROR(__xludf.DUMMYFUNCTION("""COMPUTED_VALUE"""),44789)</f>
        <v>44789</v>
      </c>
      <c r="B98" s="6" t="str">
        <f ca="1">IFERROR(__xludf.DUMMYFUNCTION("""COMPUTED_VALUE"""),"GenoTwin, Inc. _2022")</f>
        <v>GenoTwin, Inc. _2022</v>
      </c>
      <c r="C98" s="6">
        <f ca="1">IFERROR(__xludf.DUMMYFUNCTION("""COMPUTED_VALUE"""),4.25)</f>
        <v>4.25</v>
      </c>
      <c r="D98" s="6" t="str">
        <f ca="1">IFERROR(__xludf.DUMMYFUNCTION("""COMPUTED_VALUE"""),"Life Sciences")</f>
        <v>Life Sciences</v>
      </c>
      <c r="E98" s="6" t="str">
        <f ca="1">IFERROR(__xludf.DUMMYFUNCTION("""COMPUTED_VALUE"""),"Invite")</f>
        <v>Invite</v>
      </c>
      <c r="F98" s="6" t="e">
        <f t="shared" ca="1" si="0"/>
        <v>#NAME?</v>
      </c>
    </row>
    <row r="99" spans="1:6">
      <c r="A99" s="199">
        <f ca="1">IFERROR(__xludf.DUMMYFUNCTION("""COMPUTED_VALUE"""),44791)</f>
        <v>44791</v>
      </c>
      <c r="B99" s="6" t="str">
        <f ca="1">IFERROR(__xludf.DUMMYFUNCTION("""COMPUTED_VALUE"""),"Metalmark Innovations PBC _2022")</f>
        <v>Metalmark Innovations PBC _2022</v>
      </c>
      <c r="C99" s="6">
        <f ca="1">IFERROR(__xludf.DUMMYFUNCTION("""COMPUTED_VALUE"""),4.25)</f>
        <v>4.25</v>
      </c>
      <c r="D99" s="6" t="str">
        <f ca="1">IFERROR(__xludf.DUMMYFUNCTION("""COMPUTED_VALUE"""),"Deep Tech")</f>
        <v>Deep Tech</v>
      </c>
      <c r="E99" s="6" t="str">
        <f ca="1">IFERROR(__xludf.DUMMYFUNCTION("""COMPUTED_VALUE"""),"Invite")</f>
        <v>Invite</v>
      </c>
      <c r="F99" s="6" t="e">
        <f t="shared" ca="1" si="0"/>
        <v>#NAME?</v>
      </c>
    </row>
    <row r="100" spans="1:6">
      <c r="A100" s="199">
        <f ca="1">IFERROR(__xludf.DUMMYFUNCTION("""COMPUTED_VALUE"""),44791)</f>
        <v>44791</v>
      </c>
      <c r="B100" s="6" t="str">
        <f ca="1">IFERROR(__xludf.DUMMYFUNCTION("""COMPUTED_VALUE"""),"LEVI Diagnostics, Inc. _2022")</f>
        <v>LEVI Diagnostics, Inc. _2022</v>
      </c>
      <c r="C100" s="6">
        <f ca="1">IFERROR(__xludf.DUMMYFUNCTION("""COMPUTED_VALUE"""),4.25)</f>
        <v>4.25</v>
      </c>
      <c r="D100" s="6" t="str">
        <f ca="1">IFERROR(__xludf.DUMMYFUNCTION("""COMPUTED_VALUE"""),"Life Sciences")</f>
        <v>Life Sciences</v>
      </c>
      <c r="E100" s="6" t="str">
        <f ca="1">IFERROR(__xludf.DUMMYFUNCTION("""COMPUTED_VALUE"""),"Invite")</f>
        <v>Invite</v>
      </c>
      <c r="F100" s="6" t="e">
        <f t="shared" ca="1" si="0"/>
        <v>#NAME?</v>
      </c>
    </row>
    <row r="101" spans="1:6">
      <c r="A101" s="199">
        <f ca="1">IFERROR(__xludf.DUMMYFUNCTION("""COMPUTED_VALUE"""),44791)</f>
        <v>44791</v>
      </c>
      <c r="B101" s="6" t="str">
        <f ca="1">IFERROR(__xludf.DUMMYFUNCTION("""COMPUTED_VALUE"""),"Panakeia Technolgies Ltd _2022")</f>
        <v>Panakeia Technolgies Ltd _2022</v>
      </c>
      <c r="C101" s="6">
        <f ca="1">IFERROR(__xludf.DUMMYFUNCTION("""COMPUTED_VALUE"""),4.25)</f>
        <v>4.25</v>
      </c>
      <c r="D101" s="6" t="str">
        <f ca="1">IFERROR(__xludf.DUMMYFUNCTION("""COMPUTED_VALUE"""),"Life Sciences")</f>
        <v>Life Sciences</v>
      </c>
      <c r="E101" s="6" t="str">
        <f ca="1">IFERROR(__xludf.DUMMYFUNCTION("""COMPUTED_VALUE"""),"Invite")</f>
        <v>Invite</v>
      </c>
      <c r="F101" s="6" t="e">
        <f t="shared" ca="1" si="0"/>
        <v>#NAME?</v>
      </c>
    </row>
    <row r="102" spans="1:6">
      <c r="A102" s="199">
        <f ca="1">IFERROR(__xludf.DUMMYFUNCTION("""COMPUTED_VALUE"""),44791)</f>
        <v>44791</v>
      </c>
      <c r="B102" s="6" t="str">
        <f ca="1">IFERROR(__xludf.DUMMYFUNCTION("""COMPUTED_VALUE"""),"Vyv _2022")</f>
        <v>Vyv _2022</v>
      </c>
      <c r="C102" s="6">
        <f ca="1">IFERROR(__xludf.DUMMYFUNCTION("""COMPUTED_VALUE"""),4.25)</f>
        <v>4.25</v>
      </c>
      <c r="D102" s="6" t="str">
        <f ca="1">IFERROR(__xludf.DUMMYFUNCTION("""COMPUTED_VALUE"""),"Deep Tech")</f>
        <v>Deep Tech</v>
      </c>
      <c r="E102" s="6" t="str">
        <f ca="1">IFERROR(__xludf.DUMMYFUNCTION("""COMPUTED_VALUE"""),"Revisit")</f>
        <v>Revisit</v>
      </c>
      <c r="F102" s="6" t="e">
        <f t="shared" ca="1" si="0"/>
        <v>#NAME?</v>
      </c>
    </row>
    <row r="103" spans="1:6">
      <c r="A103" s="199">
        <f ca="1">IFERROR(__xludf.DUMMYFUNCTION("""COMPUTED_VALUE"""),44791)</f>
        <v>44791</v>
      </c>
      <c r="B103" s="6" t="str">
        <f ca="1">IFERROR(__xludf.DUMMYFUNCTION("""COMPUTED_VALUE"""),"Abram Scientific, Inc. _2022")</f>
        <v>Abram Scientific, Inc. _2022</v>
      </c>
      <c r="C103" s="6">
        <f ca="1">IFERROR(__xludf.DUMMYFUNCTION("""COMPUTED_VALUE"""),4.25)</f>
        <v>4.25</v>
      </c>
      <c r="D103" s="6" t="str">
        <f ca="1">IFERROR(__xludf.DUMMYFUNCTION("""COMPUTED_VALUE"""),"Life Sciences")</f>
        <v>Life Sciences</v>
      </c>
      <c r="E103" s="6" t="str">
        <f ca="1">IFERROR(__xludf.DUMMYFUNCTION("""COMPUTED_VALUE"""),"Invite")</f>
        <v>Invite</v>
      </c>
      <c r="F103" s="6" t="e">
        <f t="shared" ca="1" si="0"/>
        <v>#NAME?</v>
      </c>
    </row>
    <row r="104" spans="1:6">
      <c r="A104" s="199">
        <f ca="1">IFERROR(__xludf.DUMMYFUNCTION("""COMPUTED_VALUE"""),44791)</f>
        <v>44791</v>
      </c>
      <c r="B104" s="6" t="str">
        <f ca="1">IFERROR(__xludf.DUMMYFUNCTION("""COMPUTED_VALUE"""),"Beowulf Network Inc. _2022")</f>
        <v>Beowulf Network Inc. _2022</v>
      </c>
      <c r="C104" s="6">
        <f ca="1">IFERROR(__xludf.DUMMYFUNCTION("""COMPUTED_VALUE"""),4.25)</f>
        <v>4.25</v>
      </c>
      <c r="D104" s="6" t="str">
        <f ca="1">IFERROR(__xludf.DUMMYFUNCTION("""COMPUTED_VALUE"""),"Digital Tech")</f>
        <v>Digital Tech</v>
      </c>
      <c r="E104" s="6" t="str">
        <f ca="1">IFERROR(__xludf.DUMMYFUNCTION("""COMPUTED_VALUE"""),"Invite")</f>
        <v>Invite</v>
      </c>
      <c r="F104" s="6" t="e">
        <f t="shared" ca="1" si="0"/>
        <v>#NAME?</v>
      </c>
    </row>
    <row r="105" spans="1:6">
      <c r="A105" s="199">
        <f ca="1">IFERROR(__xludf.DUMMYFUNCTION("""COMPUTED_VALUE"""),44791)</f>
        <v>44791</v>
      </c>
      <c r="B105" s="6" t="str">
        <f ca="1">IFERROR(__xludf.DUMMYFUNCTION("""COMPUTED_VALUE"""),"Inso Biosciences Inc. _2022")</f>
        <v>Inso Biosciences Inc. _2022</v>
      </c>
      <c r="C105" s="6">
        <f ca="1">IFERROR(__xludf.DUMMYFUNCTION("""COMPUTED_VALUE"""),4.25)</f>
        <v>4.25</v>
      </c>
      <c r="D105" s="6" t="str">
        <f ca="1">IFERROR(__xludf.DUMMYFUNCTION("""COMPUTED_VALUE"""),"Life Sciences")</f>
        <v>Life Sciences</v>
      </c>
      <c r="E105" s="6" t="str">
        <f ca="1">IFERROR(__xludf.DUMMYFUNCTION("""COMPUTED_VALUE"""),"Invite")</f>
        <v>Invite</v>
      </c>
      <c r="F105" s="6" t="e">
        <f t="shared" ca="1" si="0"/>
        <v>#NAME?</v>
      </c>
    </row>
    <row r="106" spans="1:6">
      <c r="A106" s="199">
        <f ca="1">IFERROR(__xludf.DUMMYFUNCTION("""COMPUTED_VALUE"""),44791)</f>
        <v>44791</v>
      </c>
      <c r="B106" s="6" t="str">
        <f ca="1">IFERROR(__xludf.DUMMYFUNCTION("""COMPUTED_VALUE"""),"Artificial Intelligence Imaging Sensors (AiimSense Inc.) _2022")</f>
        <v>Artificial Intelligence Imaging Sensors (AiimSense Inc.) _2022</v>
      </c>
      <c r="C106" s="6">
        <f ca="1">IFERROR(__xludf.DUMMYFUNCTION("""COMPUTED_VALUE"""),4.25)</f>
        <v>4.25</v>
      </c>
      <c r="D106" s="6" t="str">
        <f ca="1">IFERROR(__xludf.DUMMYFUNCTION("""COMPUTED_VALUE"""),"Deep Tech")</f>
        <v>Deep Tech</v>
      </c>
      <c r="E106" s="6" t="str">
        <f ca="1">IFERROR(__xludf.DUMMYFUNCTION("""COMPUTED_VALUE"""),"Invite")</f>
        <v>Invite</v>
      </c>
      <c r="F106" s="6" t="e">
        <f t="shared" ca="1" si="0"/>
        <v>#NAME?</v>
      </c>
    </row>
    <row r="107" spans="1:6">
      <c r="A107" s="199">
        <f ca="1">IFERROR(__xludf.DUMMYFUNCTION("""COMPUTED_VALUE"""),44791)</f>
        <v>44791</v>
      </c>
      <c r="B107" s="6" t="str">
        <f ca="1">IFERROR(__xludf.DUMMYFUNCTION("""COMPUTED_VALUE"""),"MindRank _2022")</f>
        <v>MindRank _2022</v>
      </c>
      <c r="C107" s="6">
        <f ca="1">IFERROR(__xludf.DUMMYFUNCTION("""COMPUTED_VALUE"""),4.25)</f>
        <v>4.25</v>
      </c>
      <c r="D107" s="6" t="str">
        <f ca="1">IFERROR(__xludf.DUMMYFUNCTION("""COMPUTED_VALUE"""),"Life Sciences")</f>
        <v>Life Sciences</v>
      </c>
      <c r="E107" s="6" t="str">
        <f ca="1">IFERROR(__xludf.DUMMYFUNCTION("""COMPUTED_VALUE"""),"Invite")</f>
        <v>Invite</v>
      </c>
      <c r="F107" s="6" t="e">
        <f t="shared" ca="1" si="0"/>
        <v>#NAME?</v>
      </c>
    </row>
    <row r="108" spans="1:6">
      <c r="A108" s="199">
        <f ca="1">IFERROR(__xludf.DUMMYFUNCTION("""COMPUTED_VALUE"""),44796)</f>
        <v>44796</v>
      </c>
      <c r="B108" s="6" t="str">
        <f ca="1">IFERROR(__xludf.DUMMYFUNCTION("""COMPUTED_VALUE"""),"THYROSCOPE INC. _2022")</f>
        <v>THYROSCOPE INC. _2022</v>
      </c>
      <c r="C108" s="6">
        <f ca="1">IFERROR(__xludf.DUMMYFUNCTION("""COMPUTED_VALUE"""),4.25)</f>
        <v>4.25</v>
      </c>
      <c r="D108" s="6" t="str">
        <f ca="1">IFERROR(__xludf.DUMMYFUNCTION("""COMPUTED_VALUE"""),"Digital Tech")</f>
        <v>Digital Tech</v>
      </c>
      <c r="E108" s="6" t="str">
        <f ca="1">IFERROR(__xludf.DUMMYFUNCTION("""COMPUTED_VALUE"""),"Revisit/ Cluster")</f>
        <v>Revisit/ Cluster</v>
      </c>
      <c r="F108" s="6" t="e">
        <f t="shared" ca="1" si="0"/>
        <v>#NAME?</v>
      </c>
    </row>
    <row r="109" spans="1:6">
      <c r="A109" s="199">
        <f ca="1">IFERROR(__xludf.DUMMYFUNCTION("""COMPUTED_VALUE"""),44796)</f>
        <v>44796</v>
      </c>
      <c r="B109" s="6" t="str">
        <f ca="1">IFERROR(__xludf.DUMMYFUNCTION("""COMPUTED_VALUE"""),"Dteckt, Inc. _2022")</f>
        <v>Dteckt, Inc. _2022</v>
      </c>
      <c r="C109" s="6">
        <f ca="1">IFERROR(__xludf.DUMMYFUNCTION("""COMPUTED_VALUE"""),4.25)</f>
        <v>4.25</v>
      </c>
      <c r="D109" s="6" t="str">
        <f ca="1">IFERROR(__xludf.DUMMYFUNCTION("""COMPUTED_VALUE"""),"Digital Tech")</f>
        <v>Digital Tech</v>
      </c>
      <c r="E109" s="6" t="str">
        <f ca="1">IFERROR(__xludf.DUMMYFUNCTION("""COMPUTED_VALUE"""),"Invite")</f>
        <v>Invite</v>
      </c>
      <c r="F109" s="6" t="e">
        <f t="shared" ca="1" si="0"/>
        <v>#NAME?</v>
      </c>
    </row>
    <row r="110" spans="1:6">
      <c r="A110" s="199">
        <f ca="1">IFERROR(__xludf.DUMMYFUNCTION("""COMPUTED_VALUE"""),44796)</f>
        <v>44796</v>
      </c>
      <c r="B110" s="6" t="str">
        <f ca="1">IFERROR(__xludf.DUMMYFUNCTION("""COMPUTED_VALUE"""),"Stanford University Medical Center _2022")</f>
        <v>Stanford University Medical Center _2022</v>
      </c>
      <c r="C110" s="6">
        <f ca="1">IFERROR(__xludf.DUMMYFUNCTION("""COMPUTED_VALUE"""),4.25)</f>
        <v>4.25</v>
      </c>
      <c r="D110" s="6" t="str">
        <f ca="1">IFERROR(__xludf.DUMMYFUNCTION("""COMPUTED_VALUE"""),"Life Sciences")</f>
        <v>Life Sciences</v>
      </c>
      <c r="E110" s="6" t="str">
        <f ca="1">IFERROR(__xludf.DUMMYFUNCTION("""COMPUTED_VALUE"""),"Invite")</f>
        <v>Invite</v>
      </c>
      <c r="F110" s="6" t="e">
        <f t="shared" ca="1" si="0"/>
        <v>#NAME?</v>
      </c>
    </row>
    <row r="111" spans="1:6">
      <c r="A111" s="199">
        <f ca="1">IFERROR(__xludf.DUMMYFUNCTION("""COMPUTED_VALUE"""),44796)</f>
        <v>44796</v>
      </c>
      <c r="B111" s="6" t="str">
        <f ca="1">IFERROR(__xludf.DUMMYFUNCTION("""COMPUTED_VALUE"""),"MindTrace _2022")</f>
        <v>MindTrace _2022</v>
      </c>
      <c r="C111" s="6">
        <f ca="1">IFERROR(__xludf.DUMMYFUNCTION("""COMPUTED_VALUE"""),4.25)</f>
        <v>4.25</v>
      </c>
      <c r="D111" s="6" t="str">
        <f ca="1">IFERROR(__xludf.DUMMYFUNCTION("""COMPUTED_VALUE"""),"Digital Tech")</f>
        <v>Digital Tech</v>
      </c>
      <c r="E111" s="6" t="str">
        <f ca="1">IFERROR(__xludf.DUMMYFUNCTION("""COMPUTED_VALUE"""),"Invite")</f>
        <v>Invite</v>
      </c>
      <c r="F111" s="6" t="e">
        <f t="shared" ca="1" si="0"/>
        <v>#NAME?</v>
      </c>
    </row>
    <row r="112" spans="1:6">
      <c r="A112" s="199">
        <f ca="1">IFERROR(__xludf.DUMMYFUNCTION("""COMPUTED_VALUE"""),44796)</f>
        <v>44796</v>
      </c>
      <c r="B112" s="6" t="str">
        <f ca="1">IFERROR(__xludf.DUMMYFUNCTION("""COMPUTED_VALUE"""),"Vici Robotics _2022")</f>
        <v>Vici Robotics _2022</v>
      </c>
      <c r="C112" s="6">
        <f ca="1">IFERROR(__xludf.DUMMYFUNCTION("""COMPUTED_VALUE"""),4.25)</f>
        <v>4.25</v>
      </c>
      <c r="D112" s="6" t="str">
        <f ca="1">IFERROR(__xludf.DUMMYFUNCTION("""COMPUTED_VALUE"""),"Deep Tech")</f>
        <v>Deep Tech</v>
      </c>
      <c r="E112" s="6" t="str">
        <f ca="1">IFERROR(__xludf.DUMMYFUNCTION("""COMPUTED_VALUE"""),"Invite")</f>
        <v>Invite</v>
      </c>
      <c r="F112" s="6" t="e">
        <f t="shared" ca="1" si="0"/>
        <v>#NAME?</v>
      </c>
    </row>
    <row r="113" spans="1:6">
      <c r="A113" s="199">
        <f ca="1">IFERROR(__xludf.DUMMYFUNCTION("""COMPUTED_VALUE"""),44796)</f>
        <v>44796</v>
      </c>
      <c r="B113" s="6" t="str">
        <f ca="1">IFERROR(__xludf.DUMMYFUNCTION("""COMPUTED_VALUE"""),"Laxis, Inc. _2022")</f>
        <v>Laxis, Inc. _2022</v>
      </c>
      <c r="C113" s="6">
        <f ca="1">IFERROR(__xludf.DUMMYFUNCTION("""COMPUTED_VALUE"""),4.25)</f>
        <v>4.25</v>
      </c>
      <c r="D113" s="6" t="str">
        <f ca="1">IFERROR(__xludf.DUMMYFUNCTION("""COMPUTED_VALUE"""),"Digital Tech")</f>
        <v>Digital Tech</v>
      </c>
      <c r="E113" s="6" t="str">
        <f ca="1">IFERROR(__xludf.DUMMYFUNCTION("""COMPUTED_VALUE"""),"Invite")</f>
        <v>Invite</v>
      </c>
      <c r="F113" s="6" t="e">
        <f t="shared" ca="1" si="0"/>
        <v>#NAME?</v>
      </c>
    </row>
    <row r="114" spans="1:6">
      <c r="A114" s="199">
        <f ca="1">IFERROR(__xludf.DUMMYFUNCTION("""COMPUTED_VALUE"""),44796)</f>
        <v>44796</v>
      </c>
      <c r="B114" s="6" t="str">
        <f ca="1">IFERROR(__xludf.DUMMYFUNCTION("""COMPUTED_VALUE"""),"Evercity _2022")</f>
        <v>Evercity _2022</v>
      </c>
      <c r="C114" s="6">
        <f ca="1">IFERROR(__xludf.DUMMYFUNCTION("""COMPUTED_VALUE"""),4.25)</f>
        <v>4.25</v>
      </c>
      <c r="D114" s="6" t="str">
        <f ca="1">IFERROR(__xludf.DUMMYFUNCTION("""COMPUTED_VALUE"""),"Digital Tech")</f>
        <v>Digital Tech</v>
      </c>
      <c r="E114" s="6" t="str">
        <f ca="1">IFERROR(__xludf.DUMMYFUNCTION("""COMPUTED_VALUE"""),"Invite")</f>
        <v>Invite</v>
      </c>
      <c r="F114" s="6" t="e">
        <f t="shared" ca="1" si="0"/>
        <v>#NAME?</v>
      </c>
    </row>
    <row r="115" spans="1:6">
      <c r="A115" s="199">
        <f ca="1">IFERROR(__xludf.DUMMYFUNCTION("""COMPUTED_VALUE"""),44796)</f>
        <v>44796</v>
      </c>
      <c r="B115" s="6" t="str">
        <f ca="1">IFERROR(__xludf.DUMMYFUNCTION("""COMPUTED_VALUE"""),"Bureau, Inc. _2022")</f>
        <v>Bureau, Inc. _2022</v>
      </c>
      <c r="C115" s="6">
        <f ca="1">IFERROR(__xludf.DUMMYFUNCTION("""COMPUTED_VALUE"""),4.25)</f>
        <v>4.25</v>
      </c>
      <c r="D115" s="6" t="str">
        <f ca="1">IFERROR(__xludf.DUMMYFUNCTION("""COMPUTED_VALUE"""),"Digital Tech")</f>
        <v>Digital Tech</v>
      </c>
      <c r="E115" s="6" t="str">
        <f ca="1">IFERROR(__xludf.DUMMYFUNCTION("""COMPUTED_VALUE"""),"Invite")</f>
        <v>Invite</v>
      </c>
      <c r="F115" s="6" t="e">
        <f t="shared" ca="1" si="0"/>
        <v>#NAME?</v>
      </c>
    </row>
    <row r="116" spans="1:6">
      <c r="A116" s="199">
        <f ca="1">IFERROR(__xludf.DUMMYFUNCTION("""COMPUTED_VALUE"""),44796)</f>
        <v>44796</v>
      </c>
      <c r="B116" s="6" t="str">
        <f ca="1">IFERROR(__xludf.DUMMYFUNCTION("""COMPUTED_VALUE"""),"FR0NTIER X _2022")</f>
        <v>FR0NTIER X _2022</v>
      </c>
      <c r="C116" s="6">
        <f ca="1">IFERROR(__xludf.DUMMYFUNCTION("""COMPUTED_VALUE"""),4.25)</f>
        <v>4.25</v>
      </c>
      <c r="D116" s="6" t="str">
        <f ca="1">IFERROR(__xludf.DUMMYFUNCTION("""COMPUTED_VALUE"""),"Digital Tech")</f>
        <v>Digital Tech</v>
      </c>
      <c r="E116" s="6" t="str">
        <f ca="1">IFERROR(__xludf.DUMMYFUNCTION("""COMPUTED_VALUE"""),"Invite")</f>
        <v>Invite</v>
      </c>
      <c r="F116" s="6" t="e">
        <f t="shared" ca="1" si="0"/>
        <v>#NAME?</v>
      </c>
    </row>
    <row r="117" spans="1:6">
      <c r="A117" s="199">
        <f ca="1">IFERROR(__xludf.DUMMYFUNCTION("""COMPUTED_VALUE"""),44796)</f>
        <v>44796</v>
      </c>
      <c r="B117" s="6" t="str">
        <f ca="1">IFERROR(__xludf.DUMMYFUNCTION("""COMPUTED_VALUE"""),"AssetVault Limited _2022")</f>
        <v>AssetVault Limited _2022</v>
      </c>
      <c r="C117" s="6">
        <f ca="1">IFERROR(__xludf.DUMMYFUNCTION("""COMPUTED_VALUE"""),4.25)</f>
        <v>4.25</v>
      </c>
      <c r="D117" s="6" t="str">
        <f ca="1">IFERROR(__xludf.DUMMYFUNCTION("""COMPUTED_VALUE"""),"Digital Tech")</f>
        <v>Digital Tech</v>
      </c>
      <c r="E117" s="6" t="str">
        <f ca="1">IFERROR(__xludf.DUMMYFUNCTION("""COMPUTED_VALUE"""),"Revisit/ Cluster")</f>
        <v>Revisit/ Cluster</v>
      </c>
      <c r="F117" s="6" t="e">
        <f t="shared" ca="1" si="0"/>
        <v>#NAME?</v>
      </c>
    </row>
    <row r="118" spans="1:6">
      <c r="A118" s="199">
        <f ca="1">IFERROR(__xludf.DUMMYFUNCTION("""COMPUTED_VALUE"""),44796)</f>
        <v>44796</v>
      </c>
      <c r="B118" s="6" t="str">
        <f ca="1">IFERROR(__xludf.DUMMYFUNCTION("""COMPUTED_VALUE"""),"Chimera Therapeutics LLC _2022")</f>
        <v>Chimera Therapeutics LLC _2022</v>
      </c>
      <c r="C118" s="6">
        <f ca="1">IFERROR(__xludf.DUMMYFUNCTION("""COMPUTED_VALUE"""),4.25)</f>
        <v>4.25</v>
      </c>
      <c r="D118" s="6" t="str">
        <f ca="1">IFERROR(__xludf.DUMMYFUNCTION("""COMPUTED_VALUE"""),"Life Sciences")</f>
        <v>Life Sciences</v>
      </c>
      <c r="E118" s="6" t="str">
        <f ca="1">IFERROR(__xludf.DUMMYFUNCTION("""COMPUTED_VALUE"""),"Invite")</f>
        <v>Invite</v>
      </c>
      <c r="F118" s="6" t="e">
        <f t="shared" ca="1" si="0"/>
        <v>#NAME?</v>
      </c>
    </row>
    <row r="119" spans="1:6">
      <c r="A119" s="199">
        <f ca="1">IFERROR(__xludf.DUMMYFUNCTION("""COMPUTED_VALUE"""),44797)</f>
        <v>44797</v>
      </c>
      <c r="B119" s="6" t="str">
        <f ca="1">IFERROR(__xludf.DUMMYFUNCTION("""COMPUTED_VALUE"""),"ShanX Medtech BV _2022")</f>
        <v>ShanX Medtech BV _2022</v>
      </c>
      <c r="C119" s="6">
        <f ca="1">IFERROR(__xludf.DUMMYFUNCTION("""COMPUTED_VALUE"""),4.25)</f>
        <v>4.25</v>
      </c>
      <c r="D119" s="6" t="str">
        <f ca="1">IFERROR(__xludf.DUMMYFUNCTION("""COMPUTED_VALUE"""),"Digital Tech")</f>
        <v>Digital Tech</v>
      </c>
      <c r="E119" s="6" t="str">
        <f ca="1">IFERROR(__xludf.DUMMYFUNCTION("""COMPUTED_VALUE"""),"Invite")</f>
        <v>Invite</v>
      </c>
      <c r="F119" s="6" t="e">
        <f t="shared" ca="1" si="0"/>
        <v>#NAME?</v>
      </c>
    </row>
    <row r="120" spans="1:6">
      <c r="A120" s="199">
        <f ca="1">IFERROR(__xludf.DUMMYFUNCTION("""COMPUTED_VALUE"""),44797)</f>
        <v>44797</v>
      </c>
      <c r="B120" s="6" t="str">
        <f ca="1">IFERROR(__xludf.DUMMYFUNCTION("""COMPUTED_VALUE"""),"Tradewell Technologies Inc _2022")</f>
        <v>Tradewell Technologies Inc _2022</v>
      </c>
      <c r="C120" s="6">
        <f ca="1">IFERROR(__xludf.DUMMYFUNCTION("""COMPUTED_VALUE"""),4.25)</f>
        <v>4.25</v>
      </c>
      <c r="D120" s="6" t="str">
        <f ca="1">IFERROR(__xludf.DUMMYFUNCTION("""COMPUTED_VALUE"""),"Digital Tech")</f>
        <v>Digital Tech</v>
      </c>
      <c r="E120" s="6" t="str">
        <f ca="1">IFERROR(__xludf.DUMMYFUNCTION("""COMPUTED_VALUE"""),"Invite")</f>
        <v>Invite</v>
      </c>
      <c r="F120" s="6" t="e">
        <f t="shared" ca="1" si="0"/>
        <v>#NAME?</v>
      </c>
    </row>
    <row r="121" spans="1:6">
      <c r="A121" s="199">
        <f ca="1">IFERROR(__xludf.DUMMYFUNCTION("""COMPUTED_VALUE"""),44797)</f>
        <v>44797</v>
      </c>
      <c r="B121" s="6" t="str">
        <f ca="1">IFERROR(__xludf.DUMMYFUNCTION("""COMPUTED_VALUE"""),"Television Korea 24, Inc. (ESTV) _2022")</f>
        <v>Television Korea 24, Inc. (ESTV) _2022</v>
      </c>
      <c r="C121" s="6">
        <f ca="1">IFERROR(__xludf.DUMMYFUNCTION("""COMPUTED_VALUE"""),4.25)</f>
        <v>4.25</v>
      </c>
      <c r="D121" s="6" t="str">
        <f ca="1">IFERROR(__xludf.DUMMYFUNCTION("""COMPUTED_VALUE"""),"Digital Tech")</f>
        <v>Digital Tech</v>
      </c>
      <c r="E121" s="6" t="str">
        <f ca="1">IFERROR(__xludf.DUMMYFUNCTION("""COMPUTED_VALUE"""),"Invite")</f>
        <v>Invite</v>
      </c>
      <c r="F121" s="6" t="e">
        <f t="shared" ca="1" si="0"/>
        <v>#NAME?</v>
      </c>
    </row>
    <row r="122" spans="1:6">
      <c r="A122" s="199">
        <f ca="1">IFERROR(__xludf.DUMMYFUNCTION("""COMPUTED_VALUE"""),44797)</f>
        <v>44797</v>
      </c>
      <c r="B122" s="6" t="str">
        <f ca="1">IFERROR(__xludf.DUMMYFUNCTION("""COMPUTED_VALUE"""),"Strong Network Inc. _2022")</f>
        <v>Strong Network Inc. _2022</v>
      </c>
      <c r="C122" s="6">
        <f ca="1">IFERROR(__xludf.DUMMYFUNCTION("""COMPUTED_VALUE"""),4.25)</f>
        <v>4.25</v>
      </c>
      <c r="D122" s="6" t="str">
        <f ca="1">IFERROR(__xludf.DUMMYFUNCTION("""COMPUTED_VALUE"""),"Digital Tech")</f>
        <v>Digital Tech</v>
      </c>
      <c r="E122" s="6" t="str">
        <f ca="1">IFERROR(__xludf.DUMMYFUNCTION("""COMPUTED_VALUE"""),"Invite")</f>
        <v>Invite</v>
      </c>
      <c r="F122" s="6" t="e">
        <f t="shared" ca="1" si="0"/>
        <v>#NAME?</v>
      </c>
    </row>
    <row r="123" spans="1:6">
      <c r="A123" s="199">
        <f ca="1">IFERROR(__xludf.DUMMYFUNCTION("""COMPUTED_VALUE"""),44797)</f>
        <v>44797</v>
      </c>
      <c r="B123" s="6" t="str">
        <f ca="1">IFERROR(__xludf.DUMMYFUNCTION("""COMPUTED_VALUE"""),"SAGEMEDIC CORP. _2022")</f>
        <v>SAGEMEDIC CORP. _2022</v>
      </c>
      <c r="C123" s="6">
        <f ca="1">IFERROR(__xludf.DUMMYFUNCTION("""COMPUTED_VALUE"""),4.25)</f>
        <v>4.25</v>
      </c>
      <c r="D123" s="6" t="str">
        <f ca="1">IFERROR(__xludf.DUMMYFUNCTION("""COMPUTED_VALUE"""),"Life Sciences")</f>
        <v>Life Sciences</v>
      </c>
      <c r="E123" s="6" t="str">
        <f ca="1">IFERROR(__xludf.DUMMYFUNCTION("""COMPUTED_VALUE"""),"Invite")</f>
        <v>Invite</v>
      </c>
      <c r="F123" s="6" t="e">
        <f t="shared" ca="1" si="0"/>
        <v>#NAME?</v>
      </c>
    </row>
    <row r="124" spans="1:6">
      <c r="A124" s="199">
        <f ca="1">IFERROR(__xludf.DUMMYFUNCTION("""COMPUTED_VALUE"""),44797)</f>
        <v>44797</v>
      </c>
      <c r="B124" s="6" t="str">
        <f ca="1">IFERROR(__xludf.DUMMYFUNCTION("""COMPUTED_VALUE"""),"Candi Holdings, Inc. (d/b/a ONUU) _2022")</f>
        <v>Candi Holdings, Inc. (d/b/a ONUU) _2022</v>
      </c>
      <c r="C124" s="6">
        <f ca="1">IFERROR(__xludf.DUMMYFUNCTION("""COMPUTED_VALUE"""),4.25)</f>
        <v>4.25</v>
      </c>
      <c r="D124" s="6" t="str">
        <f ca="1">IFERROR(__xludf.DUMMYFUNCTION("""COMPUTED_VALUE"""),"Digital Tech")</f>
        <v>Digital Tech</v>
      </c>
      <c r="E124" s="6" t="str">
        <f ca="1">IFERROR(__xludf.DUMMYFUNCTION("""COMPUTED_VALUE"""),"Invite")</f>
        <v>Invite</v>
      </c>
      <c r="F124" s="6" t="e">
        <f t="shared" ca="1" si="0"/>
        <v>#NAME?</v>
      </c>
    </row>
    <row r="125" spans="1:6">
      <c r="A125" s="199">
        <f ca="1">IFERROR(__xludf.DUMMYFUNCTION("""COMPUTED_VALUE"""),44797)</f>
        <v>44797</v>
      </c>
      <c r="B125" s="6" t="str">
        <f ca="1">IFERROR(__xludf.DUMMYFUNCTION("""COMPUTED_VALUE"""),"Creative Blockchain Solutions SRL _2022")</f>
        <v>Creative Blockchain Solutions SRL _2022</v>
      </c>
      <c r="C125" s="6">
        <f ca="1">IFERROR(__xludf.DUMMYFUNCTION("""COMPUTED_VALUE"""),4.25)</f>
        <v>4.25</v>
      </c>
      <c r="D125" s="6" t="str">
        <f ca="1">IFERROR(__xludf.DUMMYFUNCTION("""COMPUTED_VALUE"""),"Digital Tech")</f>
        <v>Digital Tech</v>
      </c>
      <c r="E125" s="6" t="str">
        <f ca="1">IFERROR(__xludf.DUMMYFUNCTION("""COMPUTED_VALUE"""),"Invite")</f>
        <v>Invite</v>
      </c>
      <c r="F125" s="6" t="e">
        <f t="shared" ca="1" si="0"/>
        <v>#NAME?</v>
      </c>
    </row>
    <row r="126" spans="1:6">
      <c r="A126" s="199">
        <f ca="1">IFERROR(__xludf.DUMMYFUNCTION("""COMPUTED_VALUE"""),44791)</f>
        <v>44791</v>
      </c>
      <c r="B126" s="6" t="str">
        <f ca="1">IFERROR(__xludf.DUMMYFUNCTION("""COMPUTED_VALUE"""),"inHEART _2022")</f>
        <v>inHEART _2022</v>
      </c>
      <c r="C126" s="6">
        <f ca="1">IFERROR(__xludf.DUMMYFUNCTION("""COMPUTED_VALUE"""),4.13)</f>
        <v>4.13</v>
      </c>
      <c r="D126" s="6" t="str">
        <f ca="1">IFERROR(__xludf.DUMMYFUNCTION("""COMPUTED_VALUE"""),"Digital Tech")</f>
        <v>Digital Tech</v>
      </c>
      <c r="E126" s="6" t="str">
        <f ca="1">IFERROR(__xludf.DUMMYFUNCTION("""COMPUTED_VALUE"""),"Invite")</f>
        <v>Invite</v>
      </c>
      <c r="F126" s="6" t="e">
        <f t="shared" ca="1" si="0"/>
        <v>#NAME?</v>
      </c>
    </row>
    <row r="127" spans="1:6">
      <c r="A127" s="199">
        <f ca="1">IFERROR(__xludf.DUMMYFUNCTION("""COMPUTED_VALUE"""),44776)</f>
        <v>44776</v>
      </c>
      <c r="B127" s="6" t="str">
        <f ca="1">IFERROR(__xludf.DUMMYFUNCTION("""COMPUTED_VALUE"""),"Coflow Jet, LLC _2022")</f>
        <v>Coflow Jet, LLC _2022</v>
      </c>
      <c r="C127" s="6">
        <f ca="1">IFERROR(__xludf.DUMMYFUNCTION("""COMPUTED_VALUE"""),4)</f>
        <v>4</v>
      </c>
      <c r="D127" s="6" t="str">
        <f ca="1">IFERROR(__xludf.DUMMYFUNCTION("""COMPUTED_VALUE"""),"Deep Tech")</f>
        <v>Deep Tech</v>
      </c>
      <c r="E127" s="6" t="str">
        <f ca="1">IFERROR(__xludf.DUMMYFUNCTION("""COMPUTED_VALUE"""),"Invite")</f>
        <v>Invite</v>
      </c>
      <c r="F127" s="6" t="e">
        <f t="shared" ca="1" si="0"/>
        <v>#NAME?</v>
      </c>
    </row>
    <row r="128" spans="1:6">
      <c r="A128" s="199">
        <f ca="1">IFERROR(__xludf.DUMMYFUNCTION("""COMPUTED_VALUE"""),44776)</f>
        <v>44776</v>
      </c>
      <c r="B128" s="6" t="str">
        <f ca="1">IFERROR(__xludf.DUMMYFUNCTION("""COMPUTED_VALUE"""),"Scispot.io, Inc.  _2022")</f>
        <v>Scispot.io, Inc.  _2022</v>
      </c>
      <c r="C128" s="6">
        <f ca="1">IFERROR(__xludf.DUMMYFUNCTION("""COMPUTED_VALUE"""),4)</f>
        <v>4</v>
      </c>
      <c r="D128" s="6" t="str">
        <f ca="1">IFERROR(__xludf.DUMMYFUNCTION("""COMPUTED_VALUE"""),"Life Sciences")</f>
        <v>Life Sciences</v>
      </c>
      <c r="E128" s="6" t="str">
        <f ca="1">IFERROR(__xludf.DUMMYFUNCTION("""COMPUTED_VALUE"""),"Invite")</f>
        <v>Invite</v>
      </c>
      <c r="F128" s="6" t="e">
        <f t="shared" ca="1" si="0"/>
        <v>#NAME?</v>
      </c>
    </row>
    <row r="129" spans="1:6">
      <c r="A129" s="199">
        <f ca="1">IFERROR(__xludf.DUMMYFUNCTION("""COMPUTED_VALUE"""),44776)</f>
        <v>44776</v>
      </c>
      <c r="B129" s="6" t="str">
        <f ca="1">IFERROR(__xludf.DUMMYFUNCTION("""COMPUTED_VALUE"""),"SPG Therapeutics, Inc.  _2022")</f>
        <v>SPG Therapeutics, Inc.  _2022</v>
      </c>
      <c r="C129" s="6">
        <f ca="1">IFERROR(__xludf.DUMMYFUNCTION("""COMPUTED_VALUE"""),4)</f>
        <v>4</v>
      </c>
      <c r="D129" s="6" t="str">
        <f ca="1">IFERROR(__xludf.DUMMYFUNCTION("""COMPUTED_VALUE"""),"Life Sciences")</f>
        <v>Life Sciences</v>
      </c>
      <c r="E129" s="6" t="str">
        <f ca="1">IFERROR(__xludf.DUMMYFUNCTION("""COMPUTED_VALUE"""),"Invite")</f>
        <v>Invite</v>
      </c>
      <c r="F129" s="6" t="e">
        <f t="shared" ca="1" si="0"/>
        <v>#NAME?</v>
      </c>
    </row>
    <row r="130" spans="1:6">
      <c r="A130" s="199">
        <f ca="1">IFERROR(__xludf.DUMMYFUNCTION("""COMPUTED_VALUE"""),44776)</f>
        <v>44776</v>
      </c>
      <c r="B130" s="6" t="str">
        <f ca="1">IFERROR(__xludf.DUMMYFUNCTION("""COMPUTED_VALUE"""),"Watershed Therapeutics _2022")</f>
        <v>Watershed Therapeutics _2022</v>
      </c>
      <c r="C130" s="6">
        <f ca="1">IFERROR(__xludf.DUMMYFUNCTION("""COMPUTED_VALUE"""),4)</f>
        <v>4</v>
      </c>
      <c r="D130" s="6" t="str">
        <f ca="1">IFERROR(__xludf.DUMMYFUNCTION("""COMPUTED_VALUE"""),"Deep Tech")</f>
        <v>Deep Tech</v>
      </c>
      <c r="E130" s="6" t="str">
        <f ca="1">IFERROR(__xludf.DUMMYFUNCTION("""COMPUTED_VALUE"""),"Invite")</f>
        <v>Invite</v>
      </c>
      <c r="F130" s="6" t="e">
        <f t="shared" ca="1" si="0"/>
        <v>#NAME?</v>
      </c>
    </row>
    <row r="131" spans="1:6">
      <c r="A131" s="199">
        <f ca="1">IFERROR(__xludf.DUMMYFUNCTION("""COMPUTED_VALUE"""),44776)</f>
        <v>44776</v>
      </c>
      <c r="B131" s="6" t="str">
        <f ca="1">IFERROR(__xludf.DUMMYFUNCTION("""COMPUTED_VALUE"""),"Aclid, Inc. _2022")</f>
        <v>Aclid, Inc. _2022</v>
      </c>
      <c r="C131" s="6">
        <f ca="1">IFERROR(__xludf.DUMMYFUNCTION("""COMPUTED_VALUE"""),4)</f>
        <v>4</v>
      </c>
      <c r="D131" s="6" t="str">
        <f ca="1">IFERROR(__xludf.DUMMYFUNCTION("""COMPUTED_VALUE"""),"Life Sciences")</f>
        <v>Life Sciences</v>
      </c>
      <c r="E131" s="6" t="str">
        <f ca="1">IFERROR(__xludf.DUMMYFUNCTION("""COMPUTED_VALUE"""),"Invite")</f>
        <v>Invite</v>
      </c>
      <c r="F131" s="6" t="e">
        <f t="shared" ca="1" si="0"/>
        <v>#NAME?</v>
      </c>
    </row>
    <row r="132" spans="1:6">
      <c r="A132" s="199">
        <f ca="1">IFERROR(__xludf.DUMMYFUNCTION("""COMPUTED_VALUE"""),44776)</f>
        <v>44776</v>
      </c>
      <c r="B132" s="6" t="str">
        <f ca="1">IFERROR(__xludf.DUMMYFUNCTION("""COMPUTED_VALUE"""),"Structure Financial _2022")</f>
        <v>Structure Financial _2022</v>
      </c>
      <c r="C132" s="6">
        <f ca="1">IFERROR(__xludf.DUMMYFUNCTION("""COMPUTED_VALUE"""),4)</f>
        <v>4</v>
      </c>
      <c r="D132" s="6" t="str">
        <f ca="1">IFERROR(__xludf.DUMMYFUNCTION("""COMPUTED_VALUE"""),"Digital Tech")</f>
        <v>Digital Tech</v>
      </c>
      <c r="E132" s="6" t="str">
        <f ca="1">IFERROR(__xludf.DUMMYFUNCTION("""COMPUTED_VALUE"""),"Invite")</f>
        <v>Invite</v>
      </c>
      <c r="F132" s="6" t="e">
        <f t="shared" ca="1" si="0"/>
        <v>#NAME?</v>
      </c>
    </row>
    <row r="133" spans="1:6">
      <c r="A133" s="199">
        <f ca="1">IFERROR(__xludf.DUMMYFUNCTION("""COMPUTED_VALUE"""),44776)</f>
        <v>44776</v>
      </c>
      <c r="B133" s="6" t="str">
        <f ca="1">IFERROR(__xludf.DUMMYFUNCTION("""COMPUTED_VALUE"""),"Beegol Corp _2022")</f>
        <v>Beegol Corp _2022</v>
      </c>
      <c r="C133" s="6">
        <f ca="1">IFERROR(__xludf.DUMMYFUNCTION("""COMPUTED_VALUE"""),4)</f>
        <v>4</v>
      </c>
      <c r="D133" s="6" t="str">
        <f ca="1">IFERROR(__xludf.DUMMYFUNCTION("""COMPUTED_VALUE"""),"Deep Tech")</f>
        <v>Deep Tech</v>
      </c>
      <c r="E133" s="6" t="str">
        <f ca="1">IFERROR(__xludf.DUMMYFUNCTION("""COMPUTED_VALUE"""),"Revisit/ Cluster")</f>
        <v>Revisit/ Cluster</v>
      </c>
      <c r="F133" s="6" t="e">
        <f t="shared" ca="1" si="0"/>
        <v>#NAME?</v>
      </c>
    </row>
    <row r="134" spans="1:6">
      <c r="A134" s="199">
        <f ca="1">IFERROR(__xludf.DUMMYFUNCTION("""COMPUTED_VALUE"""),44776)</f>
        <v>44776</v>
      </c>
      <c r="B134" s="6" t="str">
        <f ca="1">IFERROR(__xludf.DUMMYFUNCTION("""COMPUTED_VALUE"""),"Ingenii Inc _2022")</f>
        <v>Ingenii Inc _2022</v>
      </c>
      <c r="C134" s="6">
        <f ca="1">IFERROR(__xludf.DUMMYFUNCTION("""COMPUTED_VALUE"""),4)</f>
        <v>4</v>
      </c>
      <c r="D134" s="6" t="str">
        <f ca="1">IFERROR(__xludf.DUMMYFUNCTION("""COMPUTED_VALUE"""),"Deep Tech")</f>
        <v>Deep Tech</v>
      </c>
      <c r="E134" s="6" t="str">
        <f ca="1">IFERROR(__xludf.DUMMYFUNCTION("""COMPUTED_VALUE"""),"Invite")</f>
        <v>Invite</v>
      </c>
      <c r="F134" s="6" t="e">
        <f t="shared" ca="1" si="0"/>
        <v>#NAME?</v>
      </c>
    </row>
    <row r="135" spans="1:6">
      <c r="A135" s="199">
        <f ca="1">IFERROR(__xludf.DUMMYFUNCTION("""COMPUTED_VALUE"""),44776)</f>
        <v>44776</v>
      </c>
      <c r="B135" s="6" t="str">
        <f ca="1">IFERROR(__xludf.DUMMYFUNCTION("""COMPUTED_VALUE"""),"Xinterra _2022")</f>
        <v>Xinterra _2022</v>
      </c>
      <c r="C135" s="6">
        <f ca="1">IFERROR(__xludf.DUMMYFUNCTION("""COMPUTED_VALUE"""),4)</f>
        <v>4</v>
      </c>
      <c r="D135" s="6" t="str">
        <f ca="1">IFERROR(__xludf.DUMMYFUNCTION("""COMPUTED_VALUE"""),"Deep Tech")</f>
        <v>Deep Tech</v>
      </c>
      <c r="E135" s="6" t="str">
        <f ca="1">IFERROR(__xludf.DUMMYFUNCTION("""COMPUTED_VALUE"""),"Invite")</f>
        <v>Invite</v>
      </c>
      <c r="F135" s="6" t="e">
        <f t="shared" ca="1" si="0"/>
        <v>#NAME?</v>
      </c>
    </row>
    <row r="136" spans="1:6">
      <c r="A136" s="199">
        <f ca="1">IFERROR(__xludf.DUMMYFUNCTION("""COMPUTED_VALUE"""),44776)</f>
        <v>44776</v>
      </c>
      <c r="B136" s="6" t="str">
        <f ca="1">IFERROR(__xludf.DUMMYFUNCTION("""COMPUTED_VALUE"""),"Hubly Surgical _2022")</f>
        <v>Hubly Surgical _2022</v>
      </c>
      <c r="C136" s="6">
        <f ca="1">IFERROR(__xludf.DUMMYFUNCTION("""COMPUTED_VALUE"""),4)</f>
        <v>4</v>
      </c>
      <c r="D136" s="6" t="str">
        <f ca="1">IFERROR(__xludf.DUMMYFUNCTION("""COMPUTED_VALUE"""),"Life Sciences")</f>
        <v>Life Sciences</v>
      </c>
      <c r="E136" s="6" t="str">
        <f ca="1">IFERROR(__xludf.DUMMYFUNCTION("""COMPUTED_VALUE"""),"Invite")</f>
        <v>Invite</v>
      </c>
      <c r="F136" s="6" t="e">
        <f t="shared" ca="1" si="0"/>
        <v>#NAME?</v>
      </c>
    </row>
    <row r="137" spans="1:6">
      <c r="A137" s="199">
        <f ca="1">IFERROR(__xludf.DUMMYFUNCTION("""COMPUTED_VALUE"""),44776)</f>
        <v>44776</v>
      </c>
      <c r="B137" s="6" t="str">
        <f ca="1">IFERROR(__xludf.DUMMYFUNCTION("""COMPUTED_VALUE"""),"Chiefy _2022")</f>
        <v>Chiefy _2022</v>
      </c>
      <c r="C137" s="6">
        <f ca="1">IFERROR(__xludf.DUMMYFUNCTION("""COMPUTED_VALUE"""),4)</f>
        <v>4</v>
      </c>
      <c r="D137" s="6" t="str">
        <f ca="1">IFERROR(__xludf.DUMMYFUNCTION("""COMPUTED_VALUE"""),"Digital Tech")</f>
        <v>Digital Tech</v>
      </c>
      <c r="E137" s="6" t="str">
        <f ca="1">IFERROR(__xludf.DUMMYFUNCTION("""COMPUTED_VALUE"""),"Revisit/ Cluster")</f>
        <v>Revisit/ Cluster</v>
      </c>
      <c r="F137" s="6" t="e">
        <f t="shared" ca="1" si="0"/>
        <v>#NAME?</v>
      </c>
    </row>
    <row r="138" spans="1:6">
      <c r="A138" s="199">
        <f ca="1">IFERROR(__xludf.DUMMYFUNCTION("""COMPUTED_VALUE"""),44776)</f>
        <v>44776</v>
      </c>
      <c r="B138" s="6" t="str">
        <f ca="1">IFERROR(__xludf.DUMMYFUNCTION("""COMPUTED_VALUE"""),"Bosque Foods _2022")</f>
        <v>Bosque Foods _2022</v>
      </c>
      <c r="C138" s="6">
        <f ca="1">IFERROR(__xludf.DUMMYFUNCTION("""COMPUTED_VALUE"""),4)</f>
        <v>4</v>
      </c>
      <c r="D138" s="6" t="str">
        <f ca="1">IFERROR(__xludf.DUMMYFUNCTION("""COMPUTED_VALUE"""),"Deep Tech")</f>
        <v>Deep Tech</v>
      </c>
      <c r="E138" s="6" t="str">
        <f ca="1">IFERROR(__xludf.DUMMYFUNCTION("""COMPUTED_VALUE"""),"Invite")</f>
        <v>Invite</v>
      </c>
      <c r="F138" s="6" t="e">
        <f t="shared" ca="1" si="0"/>
        <v>#NAME?</v>
      </c>
    </row>
    <row r="139" spans="1:6">
      <c r="A139" s="199">
        <f ca="1">IFERROR(__xludf.DUMMYFUNCTION("""COMPUTED_VALUE"""),44776)</f>
        <v>44776</v>
      </c>
      <c r="B139" s="6" t="str">
        <f ca="1">IFERROR(__xludf.DUMMYFUNCTION("""COMPUTED_VALUE"""),"Basquevolt SA _2022")</f>
        <v>Basquevolt SA _2022</v>
      </c>
      <c r="C139" s="6">
        <f ca="1">IFERROR(__xludf.DUMMYFUNCTION("""COMPUTED_VALUE"""),4)</f>
        <v>4</v>
      </c>
      <c r="D139" s="6" t="str">
        <f ca="1">IFERROR(__xludf.DUMMYFUNCTION("""COMPUTED_VALUE"""),"Deep Tech")</f>
        <v>Deep Tech</v>
      </c>
      <c r="E139" s="6" t="str">
        <f ca="1">IFERROR(__xludf.DUMMYFUNCTION("""COMPUTED_VALUE"""),"Invite")</f>
        <v>Invite</v>
      </c>
      <c r="F139" s="6" t="e">
        <f t="shared" ca="1" si="0"/>
        <v>#NAME?</v>
      </c>
    </row>
    <row r="140" spans="1:6">
      <c r="A140" s="199">
        <f ca="1">IFERROR(__xludf.DUMMYFUNCTION("""COMPUTED_VALUE"""),44776)</f>
        <v>44776</v>
      </c>
      <c r="B140" s="6" t="str">
        <f ca="1">IFERROR(__xludf.DUMMYFUNCTION("""COMPUTED_VALUE"""),"LizarBio Therapeutics _2022")</f>
        <v>LizarBio Therapeutics _2022</v>
      </c>
      <c r="C140" s="6">
        <f ca="1">IFERROR(__xludf.DUMMYFUNCTION("""COMPUTED_VALUE"""),4)</f>
        <v>4</v>
      </c>
      <c r="D140" s="6" t="str">
        <f ca="1">IFERROR(__xludf.DUMMYFUNCTION("""COMPUTED_VALUE"""),"Life Sciences")</f>
        <v>Life Sciences</v>
      </c>
      <c r="E140" s="6" t="str">
        <f ca="1">IFERROR(__xludf.DUMMYFUNCTION("""COMPUTED_VALUE"""),"Invite")</f>
        <v>Invite</v>
      </c>
      <c r="F140" s="6" t="e">
        <f t="shared" ca="1" si="0"/>
        <v>#NAME?</v>
      </c>
    </row>
    <row r="141" spans="1:6">
      <c r="A141" s="199">
        <f ca="1">IFERROR(__xludf.DUMMYFUNCTION("""COMPUTED_VALUE"""),44776)</f>
        <v>44776</v>
      </c>
      <c r="B141" s="6" t="str">
        <f ca="1">IFERROR(__xludf.DUMMYFUNCTION("""COMPUTED_VALUE"""),"Arvetas Biosciences, Inc. _2022")</f>
        <v>Arvetas Biosciences, Inc. _2022</v>
      </c>
      <c r="C141" s="6">
        <f ca="1">IFERROR(__xludf.DUMMYFUNCTION("""COMPUTED_VALUE"""),4)</f>
        <v>4</v>
      </c>
      <c r="D141" s="6" t="str">
        <f ca="1">IFERROR(__xludf.DUMMYFUNCTION("""COMPUTED_VALUE"""),"Life Sciences")</f>
        <v>Life Sciences</v>
      </c>
      <c r="E141" s="6" t="str">
        <f ca="1">IFERROR(__xludf.DUMMYFUNCTION("""COMPUTED_VALUE"""),"Invite")</f>
        <v>Invite</v>
      </c>
      <c r="F141" s="6" t="e">
        <f t="shared" ca="1" si="0"/>
        <v>#NAME?</v>
      </c>
    </row>
    <row r="142" spans="1:6">
      <c r="A142" s="199">
        <f ca="1">IFERROR(__xludf.DUMMYFUNCTION("""COMPUTED_VALUE"""),44782)</f>
        <v>44782</v>
      </c>
      <c r="B142" s="6" t="str">
        <f ca="1">IFERROR(__xludf.DUMMYFUNCTION("""COMPUTED_VALUE"""),"Bankuish _2022")</f>
        <v>Bankuish _2022</v>
      </c>
      <c r="C142" s="6">
        <f ca="1">IFERROR(__xludf.DUMMYFUNCTION("""COMPUTED_VALUE"""),4)</f>
        <v>4</v>
      </c>
      <c r="D142" s="6" t="str">
        <f ca="1">IFERROR(__xludf.DUMMYFUNCTION("""COMPUTED_VALUE"""),"Digital Tech")</f>
        <v>Digital Tech</v>
      </c>
      <c r="E142" s="6" t="str">
        <f ca="1">IFERROR(__xludf.DUMMYFUNCTION("""COMPUTED_VALUE"""),"Invite")</f>
        <v>Invite</v>
      </c>
      <c r="F142" s="6" t="e">
        <f t="shared" ca="1" si="0"/>
        <v>#NAME?</v>
      </c>
    </row>
    <row r="143" spans="1:6">
      <c r="A143" s="199">
        <f ca="1">IFERROR(__xludf.DUMMYFUNCTION("""COMPUTED_VALUE"""),44782)</f>
        <v>44782</v>
      </c>
      <c r="B143" s="6" t="str">
        <f ca="1">IFERROR(__xludf.DUMMYFUNCTION("""COMPUTED_VALUE"""),"Summit Biomedical Imaging _2022")</f>
        <v>Summit Biomedical Imaging _2022</v>
      </c>
      <c r="C143" s="6">
        <f ca="1">IFERROR(__xludf.DUMMYFUNCTION("""COMPUTED_VALUE"""),4)</f>
        <v>4</v>
      </c>
      <c r="D143" s="6" t="str">
        <f ca="1">IFERROR(__xludf.DUMMYFUNCTION("""COMPUTED_VALUE"""),"Life Sciences")</f>
        <v>Life Sciences</v>
      </c>
      <c r="E143" s="6" t="str">
        <f ca="1">IFERROR(__xludf.DUMMYFUNCTION("""COMPUTED_VALUE"""),"Invite")</f>
        <v>Invite</v>
      </c>
      <c r="F143" s="6" t="e">
        <f t="shared" ca="1" si="0"/>
        <v>#NAME?</v>
      </c>
    </row>
    <row r="144" spans="1:6">
      <c r="A144" s="199">
        <f ca="1">IFERROR(__xludf.DUMMYFUNCTION("""COMPUTED_VALUE"""),44782)</f>
        <v>44782</v>
      </c>
      <c r="B144" s="6" t="str">
        <f ca="1">IFERROR(__xludf.DUMMYFUNCTION("""COMPUTED_VALUE"""),"Undesert Corporation _2022")</f>
        <v>Undesert Corporation _2022</v>
      </c>
      <c r="C144" s="6">
        <f ca="1">IFERROR(__xludf.DUMMYFUNCTION("""COMPUTED_VALUE"""),4)</f>
        <v>4</v>
      </c>
      <c r="D144" s="6" t="str">
        <f ca="1">IFERROR(__xludf.DUMMYFUNCTION("""COMPUTED_VALUE"""),"Deep Tech")</f>
        <v>Deep Tech</v>
      </c>
      <c r="E144" s="6" t="str">
        <f ca="1">IFERROR(__xludf.DUMMYFUNCTION("""COMPUTED_VALUE"""),"Invite")</f>
        <v>Invite</v>
      </c>
      <c r="F144" s="6" t="e">
        <f t="shared" ca="1" si="0"/>
        <v>#NAME?</v>
      </c>
    </row>
    <row r="145" spans="1:6">
      <c r="A145" s="199">
        <f ca="1">IFERROR(__xludf.DUMMYFUNCTION("""COMPUTED_VALUE"""),44782)</f>
        <v>44782</v>
      </c>
      <c r="B145" s="6" t="str">
        <f ca="1">IFERROR(__xludf.DUMMYFUNCTION("""COMPUTED_VALUE"""),"Astek Diagnostics Inc. _2022")</f>
        <v>Astek Diagnostics Inc. _2022</v>
      </c>
      <c r="C145" s="6">
        <f ca="1">IFERROR(__xludf.DUMMYFUNCTION("""COMPUTED_VALUE"""),4)</f>
        <v>4</v>
      </c>
      <c r="D145" s="6" t="str">
        <f ca="1">IFERROR(__xludf.DUMMYFUNCTION("""COMPUTED_VALUE"""),"Deep Tech")</f>
        <v>Deep Tech</v>
      </c>
      <c r="E145" s="6" t="str">
        <f ca="1">IFERROR(__xludf.DUMMYFUNCTION("""COMPUTED_VALUE"""),"Invite")</f>
        <v>Invite</v>
      </c>
      <c r="F145" s="6" t="e">
        <f t="shared" ca="1" si="0"/>
        <v>#NAME?</v>
      </c>
    </row>
    <row r="146" spans="1:6">
      <c r="A146" s="199">
        <f ca="1">IFERROR(__xludf.DUMMYFUNCTION("""COMPUTED_VALUE"""),44782)</f>
        <v>44782</v>
      </c>
      <c r="B146" s="6" t="str">
        <f ca="1">IFERROR(__xludf.DUMMYFUNCTION("""COMPUTED_VALUE"""),"OmicsChart _2022")</f>
        <v>OmicsChart _2022</v>
      </c>
      <c r="C146" s="6">
        <f ca="1">IFERROR(__xludf.DUMMYFUNCTION("""COMPUTED_VALUE"""),4)</f>
        <v>4</v>
      </c>
      <c r="D146" s="6" t="str">
        <f ca="1">IFERROR(__xludf.DUMMYFUNCTION("""COMPUTED_VALUE"""),"Digital Tech")</f>
        <v>Digital Tech</v>
      </c>
      <c r="E146" s="6" t="str">
        <f ca="1">IFERROR(__xludf.DUMMYFUNCTION("""COMPUTED_VALUE"""),"Invite")</f>
        <v>Invite</v>
      </c>
      <c r="F146" s="6" t="e">
        <f t="shared" ca="1" si="0"/>
        <v>#NAME?</v>
      </c>
    </row>
    <row r="147" spans="1:6">
      <c r="A147" s="199">
        <f ca="1">IFERROR(__xludf.DUMMYFUNCTION("""COMPUTED_VALUE"""),44782)</f>
        <v>44782</v>
      </c>
      <c r="B147" s="6" t="str">
        <f ca="1">IFERROR(__xludf.DUMMYFUNCTION("""COMPUTED_VALUE"""),"ArgenTAG _2022")</f>
        <v>ArgenTAG _2022</v>
      </c>
      <c r="C147" s="6">
        <f ca="1">IFERROR(__xludf.DUMMYFUNCTION("""COMPUTED_VALUE"""),4)</f>
        <v>4</v>
      </c>
      <c r="D147" s="6" t="str">
        <f ca="1">IFERROR(__xludf.DUMMYFUNCTION("""COMPUTED_VALUE"""),"Deep Tech")</f>
        <v>Deep Tech</v>
      </c>
      <c r="E147" s="6" t="str">
        <f ca="1">IFERROR(__xludf.DUMMYFUNCTION("""COMPUTED_VALUE"""),"Invite")</f>
        <v>Invite</v>
      </c>
      <c r="F147" s="6" t="e">
        <f t="shared" ca="1" si="0"/>
        <v>#NAME?</v>
      </c>
    </row>
    <row r="148" spans="1:6">
      <c r="A148" s="199">
        <f ca="1">IFERROR(__xludf.DUMMYFUNCTION("""COMPUTED_VALUE"""),44782)</f>
        <v>44782</v>
      </c>
      <c r="B148" s="6" t="str">
        <f ca="1">IFERROR(__xludf.DUMMYFUNCTION("""COMPUTED_VALUE"""),"PentaBind Ltd _2022")</f>
        <v>PentaBind Ltd _2022</v>
      </c>
      <c r="C148" s="6">
        <f ca="1">IFERROR(__xludf.DUMMYFUNCTION("""COMPUTED_VALUE"""),4)</f>
        <v>4</v>
      </c>
      <c r="D148" s="6" t="str">
        <f ca="1">IFERROR(__xludf.DUMMYFUNCTION("""COMPUTED_VALUE"""),"Deep Tech")</f>
        <v>Deep Tech</v>
      </c>
      <c r="E148" s="6" t="str">
        <f ca="1">IFERROR(__xludf.DUMMYFUNCTION("""COMPUTED_VALUE"""),"Invite")</f>
        <v>Invite</v>
      </c>
      <c r="F148" s="6" t="e">
        <f t="shared" ca="1" si="0"/>
        <v>#NAME?</v>
      </c>
    </row>
    <row r="149" spans="1:6">
      <c r="A149" s="199">
        <f ca="1">IFERROR(__xludf.DUMMYFUNCTION("""COMPUTED_VALUE"""),44782)</f>
        <v>44782</v>
      </c>
      <c r="B149" s="6" t="str">
        <f ca="1">IFERROR(__xludf.DUMMYFUNCTION("""COMPUTED_VALUE"""),"Photon Vault _2022")</f>
        <v>Photon Vault _2022</v>
      </c>
      <c r="C149" s="6">
        <f ca="1">IFERROR(__xludf.DUMMYFUNCTION("""COMPUTED_VALUE"""),4)</f>
        <v>4</v>
      </c>
      <c r="D149" s="6" t="str">
        <f ca="1">IFERROR(__xludf.DUMMYFUNCTION("""COMPUTED_VALUE"""),"Deep Tech")</f>
        <v>Deep Tech</v>
      </c>
      <c r="E149" s="6" t="str">
        <f ca="1">IFERROR(__xludf.DUMMYFUNCTION("""COMPUTED_VALUE"""),"Invite")</f>
        <v>Invite</v>
      </c>
      <c r="F149" s="6" t="e">
        <f t="shared" ca="1" si="0"/>
        <v>#NAME?</v>
      </c>
    </row>
    <row r="150" spans="1:6">
      <c r="A150" s="199">
        <f ca="1">IFERROR(__xludf.DUMMYFUNCTION("""COMPUTED_VALUE"""),44782)</f>
        <v>44782</v>
      </c>
      <c r="B150" s="6" t="str">
        <f ca="1">IFERROR(__xludf.DUMMYFUNCTION("""COMPUTED_VALUE"""),"Flying Ship Technologies, Corp. _2022")</f>
        <v>Flying Ship Technologies, Corp. _2022</v>
      </c>
      <c r="C150" s="6">
        <f ca="1">IFERROR(__xludf.DUMMYFUNCTION("""COMPUTED_VALUE"""),4)</f>
        <v>4</v>
      </c>
      <c r="D150" s="6" t="str">
        <f ca="1">IFERROR(__xludf.DUMMYFUNCTION("""COMPUTED_VALUE"""),"Deep Tech")</f>
        <v>Deep Tech</v>
      </c>
      <c r="E150" s="6" t="str">
        <f ca="1">IFERROR(__xludf.DUMMYFUNCTION("""COMPUTED_VALUE"""),"Invite")</f>
        <v>Invite</v>
      </c>
      <c r="F150" s="6" t="e">
        <f t="shared" ca="1" si="0"/>
        <v>#NAME?</v>
      </c>
    </row>
    <row r="151" spans="1:6">
      <c r="A151" s="199">
        <f ca="1">IFERROR(__xludf.DUMMYFUNCTION("""COMPUTED_VALUE"""),44782)</f>
        <v>44782</v>
      </c>
      <c r="B151" s="6" t="str">
        <f ca="1">IFERROR(__xludf.DUMMYFUNCTION("""COMPUTED_VALUE"""),"Ambulero, Inc.  _2022")</f>
        <v>Ambulero, Inc.  _2022</v>
      </c>
      <c r="C151" s="6">
        <f ca="1">IFERROR(__xludf.DUMMYFUNCTION("""COMPUTED_VALUE"""),4)</f>
        <v>4</v>
      </c>
      <c r="D151" s="6" t="str">
        <f ca="1">IFERROR(__xludf.DUMMYFUNCTION("""COMPUTED_VALUE"""),"Life Sciences")</f>
        <v>Life Sciences</v>
      </c>
      <c r="E151" s="6" t="str">
        <f ca="1">IFERROR(__xludf.DUMMYFUNCTION("""COMPUTED_VALUE"""),"Revisit")</f>
        <v>Revisit</v>
      </c>
      <c r="F151" s="6" t="e">
        <f t="shared" ca="1" si="0"/>
        <v>#NAME?</v>
      </c>
    </row>
    <row r="152" spans="1:6">
      <c r="A152" s="199">
        <f ca="1">IFERROR(__xludf.DUMMYFUNCTION("""COMPUTED_VALUE"""),44782)</f>
        <v>44782</v>
      </c>
      <c r="B152" s="6" t="str">
        <f ca="1">IFERROR(__xludf.DUMMYFUNCTION("""COMPUTED_VALUE"""),"FANLUV _2022")</f>
        <v>FANLUV _2022</v>
      </c>
      <c r="C152" s="6">
        <f ca="1">IFERROR(__xludf.DUMMYFUNCTION("""COMPUTED_VALUE"""),4)</f>
        <v>4</v>
      </c>
      <c r="D152" s="6" t="str">
        <f ca="1">IFERROR(__xludf.DUMMYFUNCTION("""COMPUTED_VALUE"""),"Digital Tech")</f>
        <v>Digital Tech</v>
      </c>
      <c r="E152" s="6" t="str">
        <f ca="1">IFERROR(__xludf.DUMMYFUNCTION("""COMPUTED_VALUE"""),"Invite")</f>
        <v>Invite</v>
      </c>
      <c r="F152" s="6" t="e">
        <f t="shared" ca="1" si="0"/>
        <v>#NAME?</v>
      </c>
    </row>
    <row r="153" spans="1:6">
      <c r="A153" s="199">
        <f ca="1">IFERROR(__xludf.DUMMYFUNCTION("""COMPUTED_VALUE"""),44782)</f>
        <v>44782</v>
      </c>
      <c r="B153" s="6" t="str">
        <f ca="1">IFERROR(__xludf.DUMMYFUNCTION("""COMPUTED_VALUE"""),"CYTRIO, Inc. _2022")</f>
        <v>CYTRIO, Inc. _2022</v>
      </c>
      <c r="C153" s="6">
        <f ca="1">IFERROR(__xludf.DUMMYFUNCTION("""COMPUTED_VALUE"""),4)</f>
        <v>4</v>
      </c>
      <c r="D153" s="6" t="str">
        <f ca="1">IFERROR(__xludf.DUMMYFUNCTION("""COMPUTED_VALUE"""),"Digital Tech")</f>
        <v>Digital Tech</v>
      </c>
      <c r="E153" s="6" t="str">
        <f ca="1">IFERROR(__xludf.DUMMYFUNCTION("""COMPUTED_VALUE"""),"Invite")</f>
        <v>Invite</v>
      </c>
      <c r="F153" s="6" t="e">
        <f t="shared" ca="1" si="0"/>
        <v>#NAME?</v>
      </c>
    </row>
    <row r="154" spans="1:6">
      <c r="A154" s="199">
        <f ca="1">IFERROR(__xludf.DUMMYFUNCTION("""COMPUTED_VALUE"""),44782)</f>
        <v>44782</v>
      </c>
      <c r="B154" s="6" t="str">
        <f ca="1">IFERROR(__xludf.DUMMYFUNCTION("""COMPUTED_VALUE"""),"Infinity Gaming Media _2022")</f>
        <v>Infinity Gaming Media _2022</v>
      </c>
      <c r="C154" s="6">
        <f ca="1">IFERROR(__xludf.DUMMYFUNCTION("""COMPUTED_VALUE"""),4)</f>
        <v>4</v>
      </c>
      <c r="D154" s="6" t="str">
        <f ca="1">IFERROR(__xludf.DUMMYFUNCTION("""COMPUTED_VALUE"""),"Digital Tech")</f>
        <v>Digital Tech</v>
      </c>
      <c r="E154" s="6" t="str">
        <f ca="1">IFERROR(__xludf.DUMMYFUNCTION("""COMPUTED_VALUE"""),"Invite")</f>
        <v>Invite</v>
      </c>
      <c r="F154" s="6" t="e">
        <f t="shared" ca="1" si="0"/>
        <v>#NAME?</v>
      </c>
    </row>
    <row r="155" spans="1:6">
      <c r="A155" s="199">
        <f ca="1">IFERROR(__xludf.DUMMYFUNCTION("""COMPUTED_VALUE"""),44784)</f>
        <v>44784</v>
      </c>
      <c r="B155" s="6" t="str">
        <f ca="1">IFERROR(__xludf.DUMMYFUNCTION("""COMPUTED_VALUE"""),"Hummingbirds AI _2022")</f>
        <v>Hummingbirds AI _2022</v>
      </c>
      <c r="C155" s="6">
        <f ca="1">IFERROR(__xludf.DUMMYFUNCTION("""COMPUTED_VALUE"""),4)</f>
        <v>4</v>
      </c>
      <c r="D155" s="6" t="str">
        <f ca="1">IFERROR(__xludf.DUMMYFUNCTION("""COMPUTED_VALUE"""),"Digital Tech")</f>
        <v>Digital Tech</v>
      </c>
      <c r="E155" s="6" t="str">
        <f ca="1">IFERROR(__xludf.DUMMYFUNCTION("""COMPUTED_VALUE"""),"Invite")</f>
        <v>Invite</v>
      </c>
      <c r="F155" s="6" t="e">
        <f t="shared" ca="1" si="0"/>
        <v>#NAME?</v>
      </c>
    </row>
    <row r="156" spans="1:6">
      <c r="A156" s="199">
        <f ca="1">IFERROR(__xludf.DUMMYFUNCTION("""COMPUTED_VALUE"""),44784)</f>
        <v>44784</v>
      </c>
      <c r="B156" s="6" t="str">
        <f ca="1">IFERROR(__xludf.DUMMYFUNCTION("""COMPUTED_VALUE"""),"Dryad Networks GmbH _2022")</f>
        <v>Dryad Networks GmbH _2022</v>
      </c>
      <c r="C156" s="6">
        <f ca="1">IFERROR(__xludf.DUMMYFUNCTION("""COMPUTED_VALUE"""),4)</f>
        <v>4</v>
      </c>
      <c r="D156" s="6" t="str">
        <f ca="1">IFERROR(__xludf.DUMMYFUNCTION("""COMPUTED_VALUE"""),"Digital Tech")</f>
        <v>Digital Tech</v>
      </c>
      <c r="E156" s="6" t="str">
        <f ca="1">IFERROR(__xludf.DUMMYFUNCTION("""COMPUTED_VALUE"""),"Invite")</f>
        <v>Invite</v>
      </c>
      <c r="F156" s="6" t="e">
        <f t="shared" ca="1" si="0"/>
        <v>#NAME?</v>
      </c>
    </row>
    <row r="157" spans="1:6">
      <c r="A157" s="199">
        <f ca="1">IFERROR(__xludf.DUMMYFUNCTION("""COMPUTED_VALUE"""),44784)</f>
        <v>44784</v>
      </c>
      <c r="B157" s="6" t="str">
        <f ca="1">IFERROR(__xludf.DUMMYFUNCTION("""COMPUTED_VALUE"""),"Ossiform _2022")</f>
        <v>Ossiform _2022</v>
      </c>
      <c r="C157" s="6">
        <f ca="1">IFERROR(__xludf.DUMMYFUNCTION("""COMPUTED_VALUE"""),4)</f>
        <v>4</v>
      </c>
      <c r="D157" s="6" t="str">
        <f ca="1">IFERROR(__xludf.DUMMYFUNCTION("""COMPUTED_VALUE"""),"Life Sciences")</f>
        <v>Life Sciences</v>
      </c>
      <c r="E157" s="6" t="str">
        <f ca="1">IFERROR(__xludf.DUMMYFUNCTION("""COMPUTED_VALUE"""),"Invite")</f>
        <v>Invite</v>
      </c>
      <c r="F157" s="6" t="e">
        <f t="shared" ca="1" si="0"/>
        <v>#NAME?</v>
      </c>
    </row>
    <row r="158" spans="1:6">
      <c r="A158" s="199">
        <f ca="1">IFERROR(__xludf.DUMMYFUNCTION("""COMPUTED_VALUE"""),44784)</f>
        <v>44784</v>
      </c>
      <c r="B158" s="6" t="str">
        <f ca="1">IFERROR(__xludf.DUMMYFUNCTION("""COMPUTED_VALUE"""),"Solaires Entreprises Inc _2022")</f>
        <v>Solaires Entreprises Inc _2022</v>
      </c>
      <c r="C158" s="6">
        <f ca="1">IFERROR(__xludf.DUMMYFUNCTION("""COMPUTED_VALUE"""),4)</f>
        <v>4</v>
      </c>
      <c r="D158" s="6" t="str">
        <f ca="1">IFERROR(__xludf.DUMMYFUNCTION("""COMPUTED_VALUE"""),"Deep Tech")</f>
        <v>Deep Tech</v>
      </c>
      <c r="E158" s="6" t="str">
        <f ca="1">IFERROR(__xludf.DUMMYFUNCTION("""COMPUTED_VALUE"""),"Invite")</f>
        <v>Invite</v>
      </c>
      <c r="F158" s="6" t="e">
        <f t="shared" ca="1" si="0"/>
        <v>#NAME?</v>
      </c>
    </row>
    <row r="159" spans="1:6">
      <c r="A159" s="199">
        <f ca="1">IFERROR(__xludf.DUMMYFUNCTION("""COMPUTED_VALUE"""),44784)</f>
        <v>44784</v>
      </c>
      <c r="B159" s="6" t="str">
        <f ca="1">IFERROR(__xludf.DUMMYFUNCTION("""COMPUTED_VALUE"""),"ONEKEY GmbH _2022")</f>
        <v>ONEKEY GmbH _2022</v>
      </c>
      <c r="C159" s="6">
        <f ca="1">IFERROR(__xludf.DUMMYFUNCTION("""COMPUTED_VALUE"""),4)</f>
        <v>4</v>
      </c>
      <c r="D159" s="6" t="str">
        <f ca="1">IFERROR(__xludf.DUMMYFUNCTION("""COMPUTED_VALUE"""),"Digital Tech")</f>
        <v>Digital Tech</v>
      </c>
      <c r="E159" s="6" t="str">
        <f ca="1">IFERROR(__xludf.DUMMYFUNCTION("""COMPUTED_VALUE"""),"Invite")</f>
        <v>Invite</v>
      </c>
      <c r="F159" s="6" t="e">
        <f t="shared" ca="1" si="0"/>
        <v>#NAME?</v>
      </c>
    </row>
    <row r="160" spans="1:6">
      <c r="A160" s="199">
        <f ca="1">IFERROR(__xludf.DUMMYFUNCTION("""COMPUTED_VALUE"""),44784)</f>
        <v>44784</v>
      </c>
      <c r="B160" s="6" t="str">
        <f ca="1">IFERROR(__xludf.DUMMYFUNCTION("""COMPUTED_VALUE"""),"Terecircuits Corporation _2022")</f>
        <v>Terecircuits Corporation _2022</v>
      </c>
      <c r="C160" s="6">
        <f ca="1">IFERROR(__xludf.DUMMYFUNCTION("""COMPUTED_VALUE"""),4)</f>
        <v>4</v>
      </c>
      <c r="D160" s="6" t="str">
        <f ca="1">IFERROR(__xludf.DUMMYFUNCTION("""COMPUTED_VALUE"""),"Deep Tech")</f>
        <v>Deep Tech</v>
      </c>
      <c r="E160" s="6" t="str">
        <f ca="1">IFERROR(__xludf.DUMMYFUNCTION("""COMPUTED_VALUE"""),"Invite")</f>
        <v>Invite</v>
      </c>
      <c r="F160" s="6" t="e">
        <f t="shared" ca="1" si="0"/>
        <v>#NAME?</v>
      </c>
    </row>
    <row r="161" spans="1:6">
      <c r="A161" s="199">
        <f ca="1">IFERROR(__xludf.DUMMYFUNCTION("""COMPUTED_VALUE"""),44784)</f>
        <v>44784</v>
      </c>
      <c r="B161" s="6" t="str">
        <f ca="1">IFERROR(__xludf.DUMMYFUNCTION("""COMPUTED_VALUE"""),"Immersive Fox Ltd _2022")</f>
        <v>Immersive Fox Ltd _2022</v>
      </c>
      <c r="C161" s="6">
        <f ca="1">IFERROR(__xludf.DUMMYFUNCTION("""COMPUTED_VALUE"""),4)</f>
        <v>4</v>
      </c>
      <c r="D161" s="6" t="str">
        <f ca="1">IFERROR(__xludf.DUMMYFUNCTION("""COMPUTED_VALUE"""),"Digital Tech")</f>
        <v>Digital Tech</v>
      </c>
      <c r="E161" s="6" t="str">
        <f ca="1">IFERROR(__xludf.DUMMYFUNCTION("""COMPUTED_VALUE"""),"Invite")</f>
        <v>Invite</v>
      </c>
      <c r="F161" s="6" t="e">
        <f t="shared" ca="1" si="0"/>
        <v>#NAME?</v>
      </c>
    </row>
    <row r="162" spans="1:6">
      <c r="A162" s="199">
        <f ca="1">IFERROR(__xludf.DUMMYFUNCTION("""COMPUTED_VALUE"""),44784)</f>
        <v>44784</v>
      </c>
      <c r="B162" s="6" t="str">
        <f ca="1">IFERROR(__xludf.DUMMYFUNCTION("""COMPUTED_VALUE"""),"Blings.io _2022")</f>
        <v>Blings.io _2022</v>
      </c>
      <c r="C162" s="6">
        <f ca="1">IFERROR(__xludf.DUMMYFUNCTION("""COMPUTED_VALUE"""),4)</f>
        <v>4</v>
      </c>
      <c r="D162" s="6" t="str">
        <f ca="1">IFERROR(__xludf.DUMMYFUNCTION("""COMPUTED_VALUE"""),"Digital Tech")</f>
        <v>Digital Tech</v>
      </c>
      <c r="E162" s="6" t="str">
        <f ca="1">IFERROR(__xludf.DUMMYFUNCTION("""COMPUTED_VALUE"""),"Invite")</f>
        <v>Invite</v>
      </c>
      <c r="F162" s="6" t="e">
        <f t="shared" ca="1" si="0"/>
        <v>#NAME?</v>
      </c>
    </row>
    <row r="163" spans="1:6">
      <c r="A163" s="199">
        <f ca="1">IFERROR(__xludf.DUMMYFUNCTION("""COMPUTED_VALUE"""),44784)</f>
        <v>44784</v>
      </c>
      <c r="B163" s="6" t="str">
        <f ca="1">IFERROR(__xludf.DUMMYFUNCTION("""COMPUTED_VALUE"""),"Selia _2022")</f>
        <v>Selia _2022</v>
      </c>
      <c r="C163" s="6">
        <f ca="1">IFERROR(__xludf.DUMMYFUNCTION("""COMPUTED_VALUE"""),4)</f>
        <v>4</v>
      </c>
      <c r="D163" s="6" t="str">
        <f ca="1">IFERROR(__xludf.DUMMYFUNCTION("""COMPUTED_VALUE"""),"Digital Tech")</f>
        <v>Digital Tech</v>
      </c>
      <c r="E163" s="6" t="str">
        <f ca="1">IFERROR(__xludf.DUMMYFUNCTION("""COMPUTED_VALUE"""),"Invite")</f>
        <v>Invite</v>
      </c>
      <c r="F163" s="6" t="e">
        <f t="shared" ca="1" si="0"/>
        <v>#NAME?</v>
      </c>
    </row>
    <row r="164" spans="1:6">
      <c r="A164" s="199">
        <f ca="1">IFERROR(__xludf.DUMMYFUNCTION("""COMPUTED_VALUE"""),44784)</f>
        <v>44784</v>
      </c>
      <c r="B164" s="6" t="str">
        <f ca="1">IFERROR(__xludf.DUMMYFUNCTION("""COMPUTED_VALUE"""),"Alva Health, Inc. _2022")</f>
        <v>Alva Health, Inc. _2022</v>
      </c>
      <c r="C164" s="6">
        <f ca="1">IFERROR(__xludf.DUMMYFUNCTION("""COMPUTED_VALUE"""),4)</f>
        <v>4</v>
      </c>
      <c r="D164" s="6" t="str">
        <f ca="1">IFERROR(__xludf.DUMMYFUNCTION("""COMPUTED_VALUE"""),"Deep Tech")</f>
        <v>Deep Tech</v>
      </c>
      <c r="E164" s="6" t="str">
        <f ca="1">IFERROR(__xludf.DUMMYFUNCTION("""COMPUTED_VALUE"""),"Revisit/ Cluster")</f>
        <v>Revisit/ Cluster</v>
      </c>
      <c r="F164" s="6" t="e">
        <f t="shared" ca="1" si="0"/>
        <v>#NAME?</v>
      </c>
    </row>
    <row r="165" spans="1:6">
      <c r="A165" s="199">
        <f ca="1">IFERROR(__xludf.DUMMYFUNCTION("""COMPUTED_VALUE"""),44784)</f>
        <v>44784</v>
      </c>
      <c r="B165" s="6" t="str">
        <f ca="1">IFERROR(__xludf.DUMMYFUNCTION("""COMPUTED_VALUE"""),"BetterData _2022")</f>
        <v>BetterData _2022</v>
      </c>
      <c r="C165" s="6">
        <f ca="1">IFERROR(__xludf.DUMMYFUNCTION("""COMPUTED_VALUE"""),4)</f>
        <v>4</v>
      </c>
      <c r="D165" s="6" t="str">
        <f ca="1">IFERROR(__xludf.DUMMYFUNCTION("""COMPUTED_VALUE"""),"Digital Tech")</f>
        <v>Digital Tech</v>
      </c>
      <c r="E165" s="6" t="str">
        <f ca="1">IFERROR(__xludf.DUMMYFUNCTION("""COMPUTED_VALUE"""),"Invite")</f>
        <v>Invite</v>
      </c>
      <c r="F165" s="6" t="e">
        <f t="shared" ca="1" si="0"/>
        <v>#NAME?</v>
      </c>
    </row>
    <row r="166" spans="1:6">
      <c r="A166" s="199">
        <f ca="1">IFERROR(__xludf.DUMMYFUNCTION("""COMPUTED_VALUE"""),44784)</f>
        <v>44784</v>
      </c>
      <c r="B166" s="6" t="str">
        <f ca="1">IFERROR(__xludf.DUMMYFUNCTION("""COMPUTED_VALUE"""),"Pharmor _2022")</f>
        <v>Pharmor _2022</v>
      </c>
      <c r="C166" s="6">
        <f ca="1">IFERROR(__xludf.DUMMYFUNCTION("""COMPUTED_VALUE"""),4)</f>
        <v>4</v>
      </c>
      <c r="D166" s="6" t="str">
        <f ca="1">IFERROR(__xludf.DUMMYFUNCTION("""COMPUTED_VALUE"""),"Deep Tech")</f>
        <v>Deep Tech</v>
      </c>
      <c r="E166" s="6" t="str">
        <f ca="1">IFERROR(__xludf.DUMMYFUNCTION("""COMPUTED_VALUE"""),"Revisit")</f>
        <v>Revisit</v>
      </c>
      <c r="F166" s="6" t="e">
        <f t="shared" ca="1" si="0"/>
        <v>#NAME?</v>
      </c>
    </row>
    <row r="167" spans="1:6">
      <c r="A167" s="199">
        <f ca="1">IFERROR(__xludf.DUMMYFUNCTION("""COMPUTED_VALUE"""),44784)</f>
        <v>44784</v>
      </c>
      <c r="B167" s="6" t="str">
        <f ca="1">IFERROR(__xludf.DUMMYFUNCTION("""COMPUTED_VALUE"""),"eBombo _2022")</f>
        <v>eBombo _2022</v>
      </c>
      <c r="C167" s="6">
        <f ca="1">IFERROR(__xludf.DUMMYFUNCTION("""COMPUTED_VALUE"""),4)</f>
        <v>4</v>
      </c>
      <c r="D167" s="6" t="str">
        <f ca="1">IFERROR(__xludf.DUMMYFUNCTION("""COMPUTED_VALUE"""),"Digital Tech")</f>
        <v>Digital Tech</v>
      </c>
      <c r="E167" s="6" t="str">
        <f ca="1">IFERROR(__xludf.DUMMYFUNCTION("""COMPUTED_VALUE"""),"Invite")</f>
        <v>Invite</v>
      </c>
      <c r="F167" s="6" t="e">
        <f t="shared" ca="1" si="0"/>
        <v>#NAME?</v>
      </c>
    </row>
    <row r="168" spans="1:6">
      <c r="A168" s="199">
        <f ca="1">IFERROR(__xludf.DUMMYFUNCTION("""COMPUTED_VALUE"""),44784)</f>
        <v>44784</v>
      </c>
      <c r="B168" s="6" t="str">
        <f ca="1">IFERROR(__xludf.DUMMYFUNCTION("""COMPUTED_VALUE"""),"Kleiner Device Labs _2022")</f>
        <v>Kleiner Device Labs _2022</v>
      </c>
      <c r="C168" s="6">
        <f ca="1">IFERROR(__xludf.DUMMYFUNCTION("""COMPUTED_VALUE"""),4)</f>
        <v>4</v>
      </c>
      <c r="D168" s="6" t="str">
        <f ca="1">IFERROR(__xludf.DUMMYFUNCTION("""COMPUTED_VALUE"""),"Life Sciences")</f>
        <v>Life Sciences</v>
      </c>
      <c r="E168" s="6" t="str">
        <f ca="1">IFERROR(__xludf.DUMMYFUNCTION("""COMPUTED_VALUE"""),"Revisit/ Cluster")</f>
        <v>Revisit/ Cluster</v>
      </c>
      <c r="F168" s="6" t="e">
        <f t="shared" ca="1" si="0"/>
        <v>#NAME?</v>
      </c>
    </row>
    <row r="169" spans="1:6">
      <c r="A169" s="199">
        <f ca="1">IFERROR(__xludf.DUMMYFUNCTION("""COMPUTED_VALUE"""),44789)</f>
        <v>44789</v>
      </c>
      <c r="B169" s="6" t="str">
        <f ca="1">IFERROR(__xludf.DUMMYFUNCTION("""COMPUTED_VALUE"""),"Abstractive Health  _2022")</f>
        <v>Abstractive Health  _2022</v>
      </c>
      <c r="C169" s="6">
        <f ca="1">IFERROR(__xludf.DUMMYFUNCTION("""COMPUTED_VALUE"""),4)</f>
        <v>4</v>
      </c>
      <c r="D169" s="6" t="str">
        <f ca="1">IFERROR(__xludf.DUMMYFUNCTION("""COMPUTED_VALUE"""),"Digital Tech")</f>
        <v>Digital Tech</v>
      </c>
      <c r="E169" s="6" t="str">
        <f ca="1">IFERROR(__xludf.DUMMYFUNCTION("""COMPUTED_VALUE"""),"Invite")</f>
        <v>Invite</v>
      </c>
      <c r="F169" s="6" t="e">
        <f t="shared" ca="1" si="0"/>
        <v>#NAME?</v>
      </c>
    </row>
    <row r="170" spans="1:6">
      <c r="A170" s="199">
        <f ca="1">IFERROR(__xludf.DUMMYFUNCTION("""COMPUTED_VALUE"""),44789)</f>
        <v>44789</v>
      </c>
      <c r="B170" s="6" t="str">
        <f ca="1">IFERROR(__xludf.DUMMYFUNCTION("""COMPUTED_VALUE"""),"InvVax _2022")</f>
        <v>InvVax _2022</v>
      </c>
      <c r="C170" s="6">
        <f ca="1">IFERROR(__xludf.DUMMYFUNCTION("""COMPUTED_VALUE"""),4)</f>
        <v>4</v>
      </c>
      <c r="D170" s="6" t="str">
        <f ca="1">IFERROR(__xludf.DUMMYFUNCTION("""COMPUTED_VALUE"""),"Life Sciences")</f>
        <v>Life Sciences</v>
      </c>
      <c r="E170" s="6" t="str">
        <f ca="1">IFERROR(__xludf.DUMMYFUNCTION("""COMPUTED_VALUE"""),"Invite")</f>
        <v>Invite</v>
      </c>
      <c r="F170" s="6" t="e">
        <f t="shared" ca="1" si="0"/>
        <v>#NAME?</v>
      </c>
    </row>
    <row r="171" spans="1:6">
      <c r="A171" s="199">
        <f ca="1">IFERROR(__xludf.DUMMYFUNCTION("""COMPUTED_VALUE"""),44789)</f>
        <v>44789</v>
      </c>
      <c r="B171" s="6" t="str">
        <f ca="1">IFERROR(__xludf.DUMMYFUNCTION("""COMPUTED_VALUE"""),"Blip Labs Technologies, Inc. _2022")</f>
        <v>Blip Labs Technologies, Inc. _2022</v>
      </c>
      <c r="C171" s="6">
        <f ca="1">IFERROR(__xludf.DUMMYFUNCTION("""COMPUTED_VALUE"""),4)</f>
        <v>4</v>
      </c>
      <c r="D171" s="6" t="str">
        <f ca="1">IFERROR(__xludf.DUMMYFUNCTION("""COMPUTED_VALUE"""),"Digital Tech")</f>
        <v>Digital Tech</v>
      </c>
      <c r="E171" s="6" t="str">
        <f ca="1">IFERROR(__xludf.DUMMYFUNCTION("""COMPUTED_VALUE"""),"Invite")</f>
        <v>Invite</v>
      </c>
      <c r="F171" s="6" t="e">
        <f t="shared" ca="1" si="0"/>
        <v>#NAME?</v>
      </c>
    </row>
    <row r="172" spans="1:6">
      <c r="A172" s="199">
        <f ca="1">IFERROR(__xludf.DUMMYFUNCTION("""COMPUTED_VALUE"""),44789)</f>
        <v>44789</v>
      </c>
      <c r="B172" s="6" t="str">
        <f ca="1">IFERROR(__xludf.DUMMYFUNCTION("""COMPUTED_VALUE"""),"Ischemia Care _2022")</f>
        <v>Ischemia Care _2022</v>
      </c>
      <c r="C172" s="6">
        <f ca="1">IFERROR(__xludf.DUMMYFUNCTION("""COMPUTED_VALUE"""),4)</f>
        <v>4</v>
      </c>
      <c r="D172" s="6" t="str">
        <f ca="1">IFERROR(__xludf.DUMMYFUNCTION("""COMPUTED_VALUE"""),"Life Sciences")</f>
        <v>Life Sciences</v>
      </c>
      <c r="E172" s="6" t="str">
        <f ca="1">IFERROR(__xludf.DUMMYFUNCTION("""COMPUTED_VALUE"""),"Invite")</f>
        <v>Invite</v>
      </c>
      <c r="F172" s="6" t="e">
        <f t="shared" ca="1" si="0"/>
        <v>#NAME?</v>
      </c>
    </row>
    <row r="173" spans="1:6">
      <c r="A173" s="199">
        <f ca="1">IFERROR(__xludf.DUMMYFUNCTION("""COMPUTED_VALUE"""),44789)</f>
        <v>44789</v>
      </c>
      <c r="B173" s="6" t="str">
        <f ca="1">IFERROR(__xludf.DUMMYFUNCTION("""COMPUTED_VALUE"""),"Emani trading as Collective Quotient Ltd _2022")</f>
        <v>Emani trading as Collective Quotient Ltd _2022</v>
      </c>
      <c r="C173" s="6">
        <f ca="1">IFERROR(__xludf.DUMMYFUNCTION("""COMPUTED_VALUE"""),4)</f>
        <v>4</v>
      </c>
      <c r="D173" s="6" t="str">
        <f ca="1">IFERROR(__xludf.DUMMYFUNCTION("""COMPUTED_VALUE"""),"Digital Tech")</f>
        <v>Digital Tech</v>
      </c>
      <c r="E173" s="6" t="str">
        <f ca="1">IFERROR(__xludf.DUMMYFUNCTION("""COMPUTED_VALUE"""),"Invite")</f>
        <v>Invite</v>
      </c>
      <c r="F173" s="6" t="e">
        <f t="shared" ca="1" si="0"/>
        <v>#NAME?</v>
      </c>
    </row>
    <row r="174" spans="1:6">
      <c r="A174" s="199">
        <f ca="1">IFERROR(__xludf.DUMMYFUNCTION("""COMPUTED_VALUE"""),44789)</f>
        <v>44789</v>
      </c>
      <c r="B174" s="6" t="str">
        <f ca="1">IFERROR(__xludf.DUMMYFUNCTION("""COMPUTED_VALUE"""),"SecureCHEK AI, Inc. _2022")</f>
        <v>SecureCHEK AI, Inc. _2022</v>
      </c>
      <c r="C174" s="6">
        <f ca="1">IFERROR(__xludf.DUMMYFUNCTION("""COMPUTED_VALUE"""),4)</f>
        <v>4</v>
      </c>
      <c r="D174" s="6" t="str">
        <f ca="1">IFERROR(__xludf.DUMMYFUNCTION("""COMPUTED_VALUE"""),"Digital Tech")</f>
        <v>Digital Tech</v>
      </c>
      <c r="E174" s="6" t="str">
        <f ca="1">IFERROR(__xludf.DUMMYFUNCTION("""COMPUTED_VALUE"""),"Invite")</f>
        <v>Invite</v>
      </c>
      <c r="F174" s="6" t="e">
        <f t="shared" ca="1" si="0"/>
        <v>#NAME?</v>
      </c>
    </row>
    <row r="175" spans="1:6">
      <c r="A175" s="199">
        <f ca="1">IFERROR(__xludf.DUMMYFUNCTION("""COMPUTED_VALUE"""),44789)</f>
        <v>44789</v>
      </c>
      <c r="B175" s="6" t="str">
        <f ca="1">IFERROR(__xludf.DUMMYFUNCTION("""COMPUTED_VALUE"""),"Datirium, LLC _2022")</f>
        <v>Datirium, LLC _2022</v>
      </c>
      <c r="C175" s="6">
        <f ca="1">IFERROR(__xludf.DUMMYFUNCTION("""COMPUTED_VALUE"""),4)</f>
        <v>4</v>
      </c>
      <c r="D175" s="6" t="str">
        <f ca="1">IFERROR(__xludf.DUMMYFUNCTION("""COMPUTED_VALUE"""),"Digital Tech")</f>
        <v>Digital Tech</v>
      </c>
      <c r="E175" s="6" t="str">
        <f ca="1">IFERROR(__xludf.DUMMYFUNCTION("""COMPUTED_VALUE"""),"Invite")</f>
        <v>Invite</v>
      </c>
      <c r="F175" s="6" t="e">
        <f t="shared" ca="1" si="0"/>
        <v>#NAME?</v>
      </c>
    </row>
    <row r="176" spans="1:6">
      <c r="A176" s="199">
        <f ca="1">IFERROR(__xludf.DUMMYFUNCTION("""COMPUTED_VALUE"""),44789)</f>
        <v>44789</v>
      </c>
      <c r="B176" s="6" t="str">
        <f ca="1">IFERROR(__xludf.DUMMYFUNCTION("""COMPUTED_VALUE"""),"Regtick Ltd _2022")</f>
        <v>Regtick Ltd _2022</v>
      </c>
      <c r="C176" s="6">
        <f ca="1">IFERROR(__xludf.DUMMYFUNCTION("""COMPUTED_VALUE"""),4)</f>
        <v>4</v>
      </c>
      <c r="D176" s="6" t="str">
        <f ca="1">IFERROR(__xludf.DUMMYFUNCTION("""COMPUTED_VALUE"""),"Digital Tech")</f>
        <v>Digital Tech</v>
      </c>
      <c r="E176" s="6" t="str">
        <f ca="1">IFERROR(__xludf.DUMMYFUNCTION("""COMPUTED_VALUE"""),"Invite")</f>
        <v>Invite</v>
      </c>
      <c r="F176" s="6" t="e">
        <f t="shared" ca="1" si="0"/>
        <v>#NAME?</v>
      </c>
    </row>
    <row r="177" spans="1:6">
      <c r="A177" s="199">
        <f ca="1">IFERROR(__xludf.DUMMYFUNCTION("""COMPUTED_VALUE"""),44789)</f>
        <v>44789</v>
      </c>
      <c r="B177" s="6" t="str">
        <f ca="1">IFERROR(__xludf.DUMMYFUNCTION("""COMPUTED_VALUE"""),"Suru Together Ltd _2022")</f>
        <v>Suru Together Ltd _2022</v>
      </c>
      <c r="C177" s="6">
        <f ca="1">IFERROR(__xludf.DUMMYFUNCTION("""COMPUTED_VALUE"""),4)</f>
        <v>4</v>
      </c>
      <c r="D177" s="6" t="str">
        <f ca="1">IFERROR(__xludf.DUMMYFUNCTION("""COMPUTED_VALUE"""),"Digital Tech")</f>
        <v>Digital Tech</v>
      </c>
      <c r="E177" s="6" t="str">
        <f ca="1">IFERROR(__xludf.DUMMYFUNCTION("""COMPUTED_VALUE"""),"Invite")</f>
        <v>Invite</v>
      </c>
      <c r="F177" s="6" t="e">
        <f t="shared" ca="1" si="0"/>
        <v>#NAME?</v>
      </c>
    </row>
    <row r="178" spans="1:6">
      <c r="A178" s="199">
        <f ca="1">IFERROR(__xludf.DUMMYFUNCTION("""COMPUTED_VALUE"""),44789)</f>
        <v>44789</v>
      </c>
      <c r="B178" s="6" t="str">
        <f ca="1">IFERROR(__xludf.DUMMYFUNCTION("""COMPUTED_VALUE"""),"California Cultured _2022")</f>
        <v>California Cultured _2022</v>
      </c>
      <c r="C178" s="6">
        <f ca="1">IFERROR(__xludf.DUMMYFUNCTION("""COMPUTED_VALUE"""),4)</f>
        <v>4</v>
      </c>
      <c r="D178" s="6" t="str">
        <f ca="1">IFERROR(__xludf.DUMMYFUNCTION("""COMPUTED_VALUE"""),"Deep Tech")</f>
        <v>Deep Tech</v>
      </c>
      <c r="E178" s="6" t="str">
        <f ca="1">IFERROR(__xludf.DUMMYFUNCTION("""COMPUTED_VALUE"""),"Invite")</f>
        <v>Invite</v>
      </c>
      <c r="F178" s="6" t="e">
        <f t="shared" ca="1" si="0"/>
        <v>#NAME?</v>
      </c>
    </row>
    <row r="179" spans="1:6">
      <c r="A179" s="199">
        <f ca="1">IFERROR(__xludf.DUMMYFUNCTION("""COMPUTED_VALUE"""),44789)</f>
        <v>44789</v>
      </c>
      <c r="B179" s="6" t="str">
        <f ca="1">IFERROR(__xludf.DUMMYFUNCTION("""COMPUTED_VALUE"""),"Wootzano Limited _2022")</f>
        <v>Wootzano Limited _2022</v>
      </c>
      <c r="C179" s="6">
        <f ca="1">IFERROR(__xludf.DUMMYFUNCTION("""COMPUTED_VALUE"""),4)</f>
        <v>4</v>
      </c>
      <c r="D179" s="6" t="str">
        <f ca="1">IFERROR(__xludf.DUMMYFUNCTION("""COMPUTED_VALUE"""),"Deep Tech")</f>
        <v>Deep Tech</v>
      </c>
      <c r="E179" s="6" t="str">
        <f ca="1">IFERROR(__xludf.DUMMYFUNCTION("""COMPUTED_VALUE"""),"Invite")</f>
        <v>Invite</v>
      </c>
      <c r="F179" s="6" t="e">
        <f t="shared" ca="1" si="0"/>
        <v>#NAME?</v>
      </c>
    </row>
    <row r="180" spans="1:6">
      <c r="A180" s="199">
        <f ca="1">IFERROR(__xludf.DUMMYFUNCTION("""COMPUTED_VALUE"""),44789)</f>
        <v>44789</v>
      </c>
      <c r="B180" s="6" t="str">
        <f ca="1">IFERROR(__xludf.DUMMYFUNCTION("""COMPUTED_VALUE"""),"Voltela _2022")</f>
        <v>Voltela _2022</v>
      </c>
      <c r="C180" s="6">
        <f ca="1">IFERROR(__xludf.DUMMYFUNCTION("""COMPUTED_VALUE"""),4)</f>
        <v>4</v>
      </c>
      <c r="D180" s="6" t="str">
        <f ca="1">IFERROR(__xludf.DUMMYFUNCTION("""COMPUTED_VALUE"""),"Digital Tech")</f>
        <v>Digital Tech</v>
      </c>
      <c r="E180" s="6" t="str">
        <f ca="1">IFERROR(__xludf.DUMMYFUNCTION("""COMPUTED_VALUE"""),"Invite")</f>
        <v>Invite</v>
      </c>
      <c r="F180" s="6" t="e">
        <f t="shared" ca="1" si="0"/>
        <v>#NAME?</v>
      </c>
    </row>
    <row r="181" spans="1:6">
      <c r="A181" s="199">
        <f ca="1">IFERROR(__xludf.DUMMYFUNCTION("""COMPUTED_VALUE"""),44789)</f>
        <v>44789</v>
      </c>
      <c r="B181" s="6" t="str">
        <f ca="1">IFERROR(__xludf.DUMMYFUNCTION("""COMPUTED_VALUE"""),"breathe ilo GmbH _2022")</f>
        <v>breathe ilo GmbH _2022</v>
      </c>
      <c r="C181" s="6">
        <f ca="1">IFERROR(__xludf.DUMMYFUNCTION("""COMPUTED_VALUE"""),4)</f>
        <v>4</v>
      </c>
      <c r="D181" s="6" t="str">
        <f ca="1">IFERROR(__xludf.DUMMYFUNCTION("""COMPUTED_VALUE"""),"Digital Tech")</f>
        <v>Digital Tech</v>
      </c>
      <c r="E181" s="6" t="str">
        <f ca="1">IFERROR(__xludf.DUMMYFUNCTION("""COMPUTED_VALUE"""),"Invite")</f>
        <v>Invite</v>
      </c>
      <c r="F181" s="6" t="e">
        <f t="shared" ca="1" si="0"/>
        <v>#NAME?</v>
      </c>
    </row>
    <row r="182" spans="1:6">
      <c r="A182" s="199">
        <f ca="1">IFERROR(__xludf.DUMMYFUNCTION("""COMPUTED_VALUE"""),44789)</f>
        <v>44789</v>
      </c>
      <c r="B182" s="6" t="str">
        <f ca="1">IFERROR(__xludf.DUMMYFUNCTION("""COMPUTED_VALUE"""),"Haystack Oncology _2022")</f>
        <v>Haystack Oncology _2022</v>
      </c>
      <c r="C182" s="6">
        <f ca="1">IFERROR(__xludf.DUMMYFUNCTION("""COMPUTED_VALUE"""),4)</f>
        <v>4</v>
      </c>
      <c r="D182" s="6" t="str">
        <f ca="1">IFERROR(__xludf.DUMMYFUNCTION("""COMPUTED_VALUE"""),"Life Sciences")</f>
        <v>Life Sciences</v>
      </c>
      <c r="E182" s="6" t="str">
        <f ca="1">IFERROR(__xludf.DUMMYFUNCTION("""COMPUTED_VALUE"""),"Invite")</f>
        <v>Invite</v>
      </c>
      <c r="F182" s="6" t="e">
        <f t="shared" ca="1" si="0"/>
        <v>#NAME?</v>
      </c>
    </row>
    <row r="183" spans="1:6">
      <c r="A183" s="199">
        <f ca="1">IFERROR(__xludf.DUMMYFUNCTION("""COMPUTED_VALUE"""),44789)</f>
        <v>44789</v>
      </c>
      <c r="B183" s="6" t="str">
        <f ca="1">IFERROR(__xludf.DUMMYFUNCTION("""COMPUTED_VALUE"""),"Entoprotech Ltd _2022")</f>
        <v>Entoprotech Ltd _2022</v>
      </c>
      <c r="C183" s="6">
        <f ca="1">IFERROR(__xludf.DUMMYFUNCTION("""COMPUTED_VALUE"""),4)</f>
        <v>4</v>
      </c>
      <c r="D183" s="6" t="str">
        <f ca="1">IFERROR(__xludf.DUMMYFUNCTION("""COMPUTED_VALUE"""),"Deep Tech")</f>
        <v>Deep Tech</v>
      </c>
      <c r="E183" s="6" t="str">
        <f ca="1">IFERROR(__xludf.DUMMYFUNCTION("""COMPUTED_VALUE"""),"Revisit/ Cluster")</f>
        <v>Revisit/ Cluster</v>
      </c>
      <c r="F183" s="6" t="e">
        <f t="shared" ca="1" si="0"/>
        <v>#NAME?</v>
      </c>
    </row>
    <row r="184" spans="1:6">
      <c r="A184" s="199">
        <f ca="1">IFERROR(__xludf.DUMMYFUNCTION("""COMPUTED_VALUE"""),44789)</f>
        <v>44789</v>
      </c>
      <c r="B184" s="6" t="str">
        <f ca="1">IFERROR(__xludf.DUMMYFUNCTION("""COMPUTED_VALUE"""),"Neu Bio, Inc. _2022")</f>
        <v>Neu Bio, Inc. _2022</v>
      </c>
      <c r="C184" s="6">
        <f ca="1">IFERROR(__xludf.DUMMYFUNCTION("""COMPUTED_VALUE"""),4)</f>
        <v>4</v>
      </c>
      <c r="D184" s="6" t="str">
        <f ca="1">IFERROR(__xludf.DUMMYFUNCTION("""COMPUTED_VALUE"""),"Digital Tech")</f>
        <v>Digital Tech</v>
      </c>
      <c r="E184" s="6" t="str">
        <f ca="1">IFERROR(__xludf.DUMMYFUNCTION("""COMPUTED_VALUE"""),"Invite")</f>
        <v>Invite</v>
      </c>
      <c r="F184" s="6" t="e">
        <f t="shared" ca="1" si="0"/>
        <v>#NAME?</v>
      </c>
    </row>
    <row r="185" spans="1:6">
      <c r="A185" s="199">
        <f ca="1">IFERROR(__xludf.DUMMYFUNCTION("""COMPUTED_VALUE"""),44789)</f>
        <v>44789</v>
      </c>
      <c r="B185" s="6" t="str">
        <f ca="1">IFERROR(__xludf.DUMMYFUNCTION("""COMPUTED_VALUE"""),"ecolytiq GmbH _2022")</f>
        <v>ecolytiq GmbH _2022</v>
      </c>
      <c r="C185" s="6">
        <f ca="1">IFERROR(__xludf.DUMMYFUNCTION("""COMPUTED_VALUE"""),4)</f>
        <v>4</v>
      </c>
      <c r="D185" s="6" t="str">
        <f ca="1">IFERROR(__xludf.DUMMYFUNCTION("""COMPUTED_VALUE"""),"Digital Tech")</f>
        <v>Digital Tech</v>
      </c>
      <c r="E185" s="6" t="str">
        <f ca="1">IFERROR(__xludf.DUMMYFUNCTION("""COMPUTED_VALUE"""),"Invite")</f>
        <v>Invite</v>
      </c>
      <c r="F185" s="6" t="e">
        <f t="shared" ca="1" si="0"/>
        <v>#NAME?</v>
      </c>
    </row>
    <row r="186" spans="1:6">
      <c r="A186" s="199">
        <f ca="1">IFERROR(__xludf.DUMMYFUNCTION("""COMPUTED_VALUE"""),44789)</f>
        <v>44789</v>
      </c>
      <c r="B186" s="6" t="str">
        <f ca="1">IFERROR(__xludf.DUMMYFUNCTION("""COMPUTED_VALUE"""),"LightCode Photonics _2022")</f>
        <v>LightCode Photonics _2022</v>
      </c>
      <c r="C186" s="6">
        <f ca="1">IFERROR(__xludf.DUMMYFUNCTION("""COMPUTED_VALUE"""),4)</f>
        <v>4</v>
      </c>
      <c r="D186" s="6" t="str">
        <f ca="1">IFERROR(__xludf.DUMMYFUNCTION("""COMPUTED_VALUE"""),"Deep Tech")</f>
        <v>Deep Tech</v>
      </c>
      <c r="E186" s="6" t="str">
        <f ca="1">IFERROR(__xludf.DUMMYFUNCTION("""COMPUTED_VALUE"""),"Invite")</f>
        <v>Invite</v>
      </c>
      <c r="F186" s="6" t="e">
        <f t="shared" ca="1" si="0"/>
        <v>#NAME?</v>
      </c>
    </row>
    <row r="187" spans="1:6">
      <c r="A187" s="199">
        <f ca="1">IFERROR(__xludf.DUMMYFUNCTION("""COMPUTED_VALUE"""),44789)</f>
        <v>44789</v>
      </c>
      <c r="B187" s="6" t="str">
        <f ca="1">IFERROR(__xludf.DUMMYFUNCTION("""COMPUTED_VALUE"""),"GeneSkin _2022")</f>
        <v>GeneSkin _2022</v>
      </c>
      <c r="C187" s="6">
        <f ca="1">IFERROR(__xludf.DUMMYFUNCTION("""COMPUTED_VALUE"""),4)</f>
        <v>4</v>
      </c>
      <c r="D187" s="6" t="str">
        <f ca="1">IFERROR(__xludf.DUMMYFUNCTION("""COMPUTED_VALUE"""),"Life Sciences")</f>
        <v>Life Sciences</v>
      </c>
      <c r="E187" s="6" t="str">
        <f ca="1">IFERROR(__xludf.DUMMYFUNCTION("""COMPUTED_VALUE"""),"Invite")</f>
        <v>Invite</v>
      </c>
      <c r="F187" s="6" t="e">
        <f t="shared" ca="1" si="0"/>
        <v>#NAME?</v>
      </c>
    </row>
    <row r="188" spans="1:6">
      <c r="A188" s="199">
        <f ca="1">IFERROR(__xludf.DUMMYFUNCTION("""COMPUTED_VALUE"""),44789)</f>
        <v>44789</v>
      </c>
      <c r="B188" s="6" t="str">
        <f ca="1">IFERROR(__xludf.DUMMYFUNCTION("""COMPUTED_VALUE"""),"UpBeing Inc. _2022")</f>
        <v>UpBeing Inc. _2022</v>
      </c>
      <c r="C188" s="6">
        <f ca="1">IFERROR(__xludf.DUMMYFUNCTION("""COMPUTED_VALUE"""),4)</f>
        <v>4</v>
      </c>
      <c r="D188" s="6" t="str">
        <f ca="1">IFERROR(__xludf.DUMMYFUNCTION("""COMPUTED_VALUE"""),"Digital Tech")</f>
        <v>Digital Tech</v>
      </c>
      <c r="E188" s="6" t="str">
        <f ca="1">IFERROR(__xludf.DUMMYFUNCTION("""COMPUTED_VALUE"""),"Invite")</f>
        <v>Invite</v>
      </c>
      <c r="F188" s="6" t="e">
        <f t="shared" ca="1" si="0"/>
        <v>#NAME?</v>
      </c>
    </row>
    <row r="189" spans="1:6">
      <c r="A189" s="199">
        <f ca="1">IFERROR(__xludf.DUMMYFUNCTION("""COMPUTED_VALUE"""),44789)</f>
        <v>44789</v>
      </c>
      <c r="B189" s="6" t="str">
        <f ca="1">IFERROR(__xludf.DUMMYFUNCTION("""COMPUTED_VALUE"""),"Odqa Renewable Energy Technologies Limited _2022")</f>
        <v>Odqa Renewable Energy Technologies Limited _2022</v>
      </c>
      <c r="C189" s="6">
        <f ca="1">IFERROR(__xludf.DUMMYFUNCTION("""COMPUTED_VALUE"""),4)</f>
        <v>4</v>
      </c>
      <c r="D189" s="6" t="str">
        <f ca="1">IFERROR(__xludf.DUMMYFUNCTION("""COMPUTED_VALUE"""),"Deep Tech")</f>
        <v>Deep Tech</v>
      </c>
      <c r="E189" s="6" t="str">
        <f ca="1">IFERROR(__xludf.DUMMYFUNCTION("""COMPUTED_VALUE"""),"Invite")</f>
        <v>Invite</v>
      </c>
      <c r="F189" s="6" t="e">
        <f t="shared" ca="1" si="0"/>
        <v>#NAME?</v>
      </c>
    </row>
    <row r="190" spans="1:6">
      <c r="A190" s="199">
        <f ca="1">IFERROR(__xludf.DUMMYFUNCTION("""COMPUTED_VALUE"""),44789)</f>
        <v>44789</v>
      </c>
      <c r="B190" s="6" t="str">
        <f ca="1">IFERROR(__xludf.DUMMYFUNCTION("""COMPUTED_VALUE"""),"Avior Bio Inc. _2022")</f>
        <v>Avior Bio Inc. _2022</v>
      </c>
      <c r="C190" s="6">
        <f ca="1">IFERROR(__xludf.DUMMYFUNCTION("""COMPUTED_VALUE"""),4)</f>
        <v>4</v>
      </c>
      <c r="D190" s="6" t="str">
        <f ca="1">IFERROR(__xludf.DUMMYFUNCTION("""COMPUTED_VALUE"""),"Life Sciences")</f>
        <v>Life Sciences</v>
      </c>
      <c r="E190" s="6" t="str">
        <f ca="1">IFERROR(__xludf.DUMMYFUNCTION("""COMPUTED_VALUE"""),"Invite")</f>
        <v>Invite</v>
      </c>
      <c r="F190" s="6" t="e">
        <f t="shared" ca="1" si="0"/>
        <v>#NAME?</v>
      </c>
    </row>
    <row r="191" spans="1:6">
      <c r="A191" s="199">
        <f ca="1">IFERROR(__xludf.DUMMYFUNCTION("""COMPUTED_VALUE"""),44789)</f>
        <v>44789</v>
      </c>
      <c r="B191" s="6" t="str">
        <f ca="1">IFERROR(__xludf.DUMMYFUNCTION("""COMPUTED_VALUE"""),"Protai _2022")</f>
        <v>Protai _2022</v>
      </c>
      <c r="C191" s="6">
        <f ca="1">IFERROR(__xludf.DUMMYFUNCTION("""COMPUTED_VALUE"""),4)</f>
        <v>4</v>
      </c>
      <c r="D191" s="6" t="str">
        <f ca="1">IFERROR(__xludf.DUMMYFUNCTION("""COMPUTED_VALUE"""),"Life Sciences")</f>
        <v>Life Sciences</v>
      </c>
      <c r="E191" s="6" t="str">
        <f ca="1">IFERROR(__xludf.DUMMYFUNCTION("""COMPUTED_VALUE"""),"Invite")</f>
        <v>Invite</v>
      </c>
      <c r="F191" s="6" t="e">
        <f t="shared" ca="1" si="0"/>
        <v>#NAME?</v>
      </c>
    </row>
    <row r="192" spans="1:6">
      <c r="A192" s="199">
        <f ca="1">IFERROR(__xludf.DUMMYFUNCTION("""COMPUTED_VALUE"""),44791)</f>
        <v>44791</v>
      </c>
      <c r="B192" s="6" t="str">
        <f ca="1">IFERROR(__xludf.DUMMYFUNCTION("""COMPUTED_VALUE"""),"PRP Concepts, Inc. _2022")</f>
        <v>PRP Concepts, Inc. _2022</v>
      </c>
      <c r="C192" s="6">
        <f ca="1">IFERROR(__xludf.DUMMYFUNCTION("""COMPUTED_VALUE"""),4)</f>
        <v>4</v>
      </c>
      <c r="D192" s="6" t="str">
        <f ca="1">IFERROR(__xludf.DUMMYFUNCTION("""COMPUTED_VALUE"""),"Life Sciences")</f>
        <v>Life Sciences</v>
      </c>
      <c r="E192" s="6" t="str">
        <f ca="1">IFERROR(__xludf.DUMMYFUNCTION("""COMPUTED_VALUE"""),"Revisit")</f>
        <v>Revisit</v>
      </c>
      <c r="F192" s="6" t="e">
        <f t="shared" ca="1" si="0"/>
        <v>#NAME?</v>
      </c>
    </row>
    <row r="193" spans="1:6">
      <c r="A193" s="199">
        <f ca="1">IFERROR(__xludf.DUMMYFUNCTION("""COMPUTED_VALUE"""),44791)</f>
        <v>44791</v>
      </c>
      <c r="B193" s="6" t="str">
        <f ca="1">IFERROR(__xludf.DUMMYFUNCTION("""COMPUTED_VALUE"""),"LISA Insurtech _2022")</f>
        <v>LISA Insurtech _2022</v>
      </c>
      <c r="C193" s="6">
        <f ca="1">IFERROR(__xludf.DUMMYFUNCTION("""COMPUTED_VALUE"""),4)</f>
        <v>4</v>
      </c>
      <c r="D193" s="6" t="str">
        <f ca="1">IFERROR(__xludf.DUMMYFUNCTION("""COMPUTED_VALUE"""),"Digital Tech")</f>
        <v>Digital Tech</v>
      </c>
      <c r="E193" s="6" t="str">
        <f ca="1">IFERROR(__xludf.DUMMYFUNCTION("""COMPUTED_VALUE"""),"Invite")</f>
        <v>Invite</v>
      </c>
      <c r="F193" s="6" t="e">
        <f t="shared" ca="1" si="0"/>
        <v>#NAME?</v>
      </c>
    </row>
    <row r="194" spans="1:6">
      <c r="A194" s="199">
        <f ca="1">IFERROR(__xludf.DUMMYFUNCTION("""COMPUTED_VALUE"""),44791)</f>
        <v>44791</v>
      </c>
      <c r="B194" s="6" t="str">
        <f ca="1">IFERROR(__xludf.DUMMYFUNCTION("""COMPUTED_VALUE"""),"Semeris _2022")</f>
        <v>Semeris _2022</v>
      </c>
      <c r="C194" s="6">
        <f ca="1">IFERROR(__xludf.DUMMYFUNCTION("""COMPUTED_VALUE"""),4)</f>
        <v>4</v>
      </c>
      <c r="D194" s="6" t="str">
        <f ca="1">IFERROR(__xludf.DUMMYFUNCTION("""COMPUTED_VALUE"""),"Digital Tech")</f>
        <v>Digital Tech</v>
      </c>
      <c r="E194" s="6" t="str">
        <f ca="1">IFERROR(__xludf.DUMMYFUNCTION("""COMPUTED_VALUE"""),"Revisit/ Cluster")</f>
        <v>Revisit/ Cluster</v>
      </c>
      <c r="F194" s="6" t="e">
        <f t="shared" ca="1" si="0"/>
        <v>#NAME?</v>
      </c>
    </row>
    <row r="195" spans="1:6">
      <c r="A195" s="199">
        <f ca="1">IFERROR(__xludf.DUMMYFUNCTION("""COMPUTED_VALUE"""),44791)</f>
        <v>44791</v>
      </c>
      <c r="B195" s="6" t="str">
        <f ca="1">IFERROR(__xludf.DUMMYFUNCTION("""COMPUTED_VALUE"""),"EndObetes _2022")</f>
        <v>EndObetes _2022</v>
      </c>
      <c r="C195" s="6">
        <f ca="1">IFERROR(__xludf.DUMMYFUNCTION("""COMPUTED_VALUE"""),4)</f>
        <v>4</v>
      </c>
      <c r="D195" s="6" t="str">
        <f ca="1">IFERROR(__xludf.DUMMYFUNCTION("""COMPUTED_VALUE"""),"Life Sciences")</f>
        <v>Life Sciences</v>
      </c>
      <c r="E195" s="6" t="str">
        <f ca="1">IFERROR(__xludf.DUMMYFUNCTION("""COMPUTED_VALUE"""),"Invite")</f>
        <v>Invite</v>
      </c>
      <c r="F195" s="6" t="e">
        <f t="shared" ca="1" si="0"/>
        <v>#NAME?</v>
      </c>
    </row>
    <row r="196" spans="1:6">
      <c r="A196" s="199">
        <f ca="1">IFERROR(__xludf.DUMMYFUNCTION("""COMPUTED_VALUE"""),44791)</f>
        <v>44791</v>
      </c>
      <c r="B196" s="6" t="str">
        <f ca="1">IFERROR(__xludf.DUMMYFUNCTION("""COMPUTED_VALUE"""),"TrustPoint, Inc. _2022")</f>
        <v>TrustPoint, Inc. _2022</v>
      </c>
      <c r="C196" s="6">
        <f ca="1">IFERROR(__xludf.DUMMYFUNCTION("""COMPUTED_VALUE"""),4)</f>
        <v>4</v>
      </c>
      <c r="D196" s="6" t="str">
        <f ca="1">IFERROR(__xludf.DUMMYFUNCTION("""COMPUTED_VALUE"""),"Deep Tech")</f>
        <v>Deep Tech</v>
      </c>
      <c r="E196" s="6" t="str">
        <f ca="1">IFERROR(__xludf.DUMMYFUNCTION("""COMPUTED_VALUE"""),"Invite")</f>
        <v>Invite</v>
      </c>
      <c r="F196" s="6" t="e">
        <f t="shared" ca="1" si="0"/>
        <v>#NAME?</v>
      </c>
    </row>
    <row r="197" spans="1:6">
      <c r="A197" s="199">
        <f ca="1">IFERROR(__xludf.DUMMYFUNCTION("""COMPUTED_VALUE"""),44791)</f>
        <v>44791</v>
      </c>
      <c r="B197" s="6" t="str">
        <f ca="1">IFERROR(__xludf.DUMMYFUNCTION("""COMPUTED_VALUE"""),"Empo Health _2022")</f>
        <v>Empo Health _2022</v>
      </c>
      <c r="C197" s="6">
        <f ca="1">IFERROR(__xludf.DUMMYFUNCTION("""COMPUTED_VALUE"""),4)</f>
        <v>4</v>
      </c>
      <c r="D197" s="6" t="str">
        <f ca="1">IFERROR(__xludf.DUMMYFUNCTION("""COMPUTED_VALUE"""),"Deep Tech")</f>
        <v>Deep Tech</v>
      </c>
      <c r="E197" s="6" t="str">
        <f ca="1">IFERROR(__xludf.DUMMYFUNCTION("""COMPUTED_VALUE"""),"Revisit/ Cluster")</f>
        <v>Revisit/ Cluster</v>
      </c>
      <c r="F197" s="6" t="e">
        <f t="shared" ca="1" si="0"/>
        <v>#NAME?</v>
      </c>
    </row>
    <row r="198" spans="1:6">
      <c r="A198" s="199">
        <f ca="1">IFERROR(__xludf.DUMMYFUNCTION("""COMPUTED_VALUE"""),44791)</f>
        <v>44791</v>
      </c>
      <c r="B198" s="6" t="str">
        <f ca="1">IFERROR(__xludf.DUMMYFUNCTION("""COMPUTED_VALUE"""),"Nano RED _2022")</f>
        <v>Nano RED _2022</v>
      </c>
      <c r="C198" s="6">
        <f ca="1">IFERROR(__xludf.DUMMYFUNCTION("""COMPUTED_VALUE"""),4)</f>
        <v>4</v>
      </c>
      <c r="D198" s="6" t="str">
        <f ca="1">IFERROR(__xludf.DUMMYFUNCTION("""COMPUTED_VALUE"""),"Life Sciences")</f>
        <v>Life Sciences</v>
      </c>
      <c r="E198" s="6" t="str">
        <f ca="1">IFERROR(__xludf.DUMMYFUNCTION("""COMPUTED_VALUE"""),"Invite")</f>
        <v>Invite</v>
      </c>
      <c r="F198" s="6" t="e">
        <f t="shared" ca="1" si="0"/>
        <v>#NAME?</v>
      </c>
    </row>
    <row r="199" spans="1:6">
      <c r="A199" s="199">
        <f ca="1">IFERROR(__xludf.DUMMYFUNCTION("""COMPUTED_VALUE"""),44791)</f>
        <v>44791</v>
      </c>
      <c r="B199" s="6" t="str">
        <f ca="1">IFERROR(__xludf.DUMMYFUNCTION("""COMPUTED_VALUE"""),"Deriskly Limited _2022")</f>
        <v>Deriskly Limited _2022</v>
      </c>
      <c r="C199" s="6">
        <f ca="1">IFERROR(__xludf.DUMMYFUNCTION("""COMPUTED_VALUE"""),4)</f>
        <v>4</v>
      </c>
      <c r="D199" s="6" t="str">
        <f ca="1">IFERROR(__xludf.DUMMYFUNCTION("""COMPUTED_VALUE"""),"Digital Tech")</f>
        <v>Digital Tech</v>
      </c>
      <c r="E199" s="6" t="str">
        <f ca="1">IFERROR(__xludf.DUMMYFUNCTION("""COMPUTED_VALUE"""),"Invite")</f>
        <v>Invite</v>
      </c>
      <c r="F199" s="6" t="e">
        <f t="shared" ca="1" si="0"/>
        <v>#NAME?</v>
      </c>
    </row>
    <row r="200" spans="1:6">
      <c r="A200" s="199">
        <f ca="1">IFERROR(__xludf.DUMMYFUNCTION("""COMPUTED_VALUE"""),44791)</f>
        <v>44791</v>
      </c>
      <c r="B200" s="6" t="str">
        <f ca="1">IFERROR(__xludf.DUMMYFUNCTION("""COMPUTED_VALUE"""),"Rimble _2022")</f>
        <v>Rimble _2022</v>
      </c>
      <c r="C200" s="6">
        <f ca="1">IFERROR(__xludf.DUMMYFUNCTION("""COMPUTED_VALUE"""),4)</f>
        <v>4</v>
      </c>
      <c r="D200" s="6" t="str">
        <f ca="1">IFERROR(__xludf.DUMMYFUNCTION("""COMPUTED_VALUE"""),"Digital Tech")</f>
        <v>Digital Tech</v>
      </c>
      <c r="E200" s="6" t="str">
        <f ca="1">IFERROR(__xludf.DUMMYFUNCTION("""COMPUTED_VALUE"""),"Revisit")</f>
        <v>Revisit</v>
      </c>
      <c r="F200" s="6" t="e">
        <f t="shared" ca="1" si="0"/>
        <v>#NAME?</v>
      </c>
    </row>
    <row r="201" spans="1:6">
      <c r="A201" s="199">
        <f ca="1">IFERROR(__xludf.DUMMYFUNCTION("""COMPUTED_VALUE"""),44791)</f>
        <v>44791</v>
      </c>
      <c r="B201" s="6" t="str">
        <f ca="1">IFERROR(__xludf.DUMMYFUNCTION("""COMPUTED_VALUE"""),"WiPowerOne _2022")</f>
        <v>WiPowerOne _2022</v>
      </c>
      <c r="C201" s="6">
        <f ca="1">IFERROR(__xludf.DUMMYFUNCTION("""COMPUTED_VALUE"""),4)</f>
        <v>4</v>
      </c>
      <c r="D201" s="6" t="str">
        <f ca="1">IFERROR(__xludf.DUMMYFUNCTION("""COMPUTED_VALUE"""),"Deep Tech")</f>
        <v>Deep Tech</v>
      </c>
      <c r="E201" s="6" t="str">
        <f ca="1">IFERROR(__xludf.DUMMYFUNCTION("""COMPUTED_VALUE"""),"Invite")</f>
        <v>Invite</v>
      </c>
      <c r="F201" s="6" t="e">
        <f t="shared" ca="1" si="0"/>
        <v>#NAME?</v>
      </c>
    </row>
    <row r="202" spans="1:6">
      <c r="A202" s="199">
        <f ca="1">IFERROR(__xludf.DUMMYFUNCTION("""COMPUTED_VALUE"""),44791)</f>
        <v>44791</v>
      </c>
      <c r="B202" s="6" t="str">
        <f ca="1">IFERROR(__xludf.DUMMYFUNCTION("""COMPUTED_VALUE"""),"INION LT _2022")</f>
        <v>INION LT _2022</v>
      </c>
      <c r="C202" s="6">
        <f ca="1">IFERROR(__xludf.DUMMYFUNCTION("""COMPUTED_VALUE"""),4)</f>
        <v>4</v>
      </c>
      <c r="D202" s="6" t="str">
        <f ca="1">IFERROR(__xludf.DUMMYFUNCTION("""COMPUTED_VALUE"""),"Digital Tech")</f>
        <v>Digital Tech</v>
      </c>
      <c r="E202" s="6" t="str">
        <f ca="1">IFERROR(__xludf.DUMMYFUNCTION("""COMPUTED_VALUE"""),"Invite")</f>
        <v>Invite</v>
      </c>
      <c r="F202" s="6" t="e">
        <f t="shared" ca="1" si="0"/>
        <v>#NAME?</v>
      </c>
    </row>
    <row r="203" spans="1:6">
      <c r="A203" s="199">
        <f ca="1">IFERROR(__xludf.DUMMYFUNCTION("""COMPUTED_VALUE"""),44791)</f>
        <v>44791</v>
      </c>
      <c r="B203" s="6" t="str">
        <f ca="1">IFERROR(__xludf.DUMMYFUNCTION("""COMPUTED_VALUE"""),"Coinrule _2022")</f>
        <v>Coinrule _2022</v>
      </c>
      <c r="C203" s="6">
        <f ca="1">IFERROR(__xludf.DUMMYFUNCTION("""COMPUTED_VALUE"""),4)</f>
        <v>4</v>
      </c>
      <c r="D203" s="6" t="str">
        <f ca="1">IFERROR(__xludf.DUMMYFUNCTION("""COMPUTED_VALUE"""),"Digital Tech")</f>
        <v>Digital Tech</v>
      </c>
      <c r="E203" s="6" t="str">
        <f ca="1">IFERROR(__xludf.DUMMYFUNCTION("""COMPUTED_VALUE"""),"Revisit/ Cluster")</f>
        <v>Revisit/ Cluster</v>
      </c>
      <c r="F203" s="6" t="e">
        <f t="shared" ca="1" si="0"/>
        <v>#NAME?</v>
      </c>
    </row>
    <row r="204" spans="1:6">
      <c r="A204" s="199">
        <f ca="1">IFERROR(__xludf.DUMMYFUNCTION("""COMPUTED_VALUE"""),44791)</f>
        <v>44791</v>
      </c>
      <c r="B204" s="6" t="str">
        <f ca="1">IFERROR(__xludf.DUMMYFUNCTION("""COMPUTED_VALUE"""),"Pulsenics _2022")</f>
        <v>Pulsenics _2022</v>
      </c>
      <c r="C204" s="6">
        <f ca="1">IFERROR(__xludf.DUMMYFUNCTION("""COMPUTED_VALUE"""),4)</f>
        <v>4</v>
      </c>
      <c r="D204" s="6" t="str">
        <f ca="1">IFERROR(__xludf.DUMMYFUNCTION("""COMPUTED_VALUE"""),"Deep Tech")</f>
        <v>Deep Tech</v>
      </c>
      <c r="E204" s="6" t="str">
        <f ca="1">IFERROR(__xludf.DUMMYFUNCTION("""COMPUTED_VALUE"""),"Invite")</f>
        <v>Invite</v>
      </c>
      <c r="F204" s="6" t="e">
        <f t="shared" ca="1" si="0"/>
        <v>#NAME?</v>
      </c>
    </row>
    <row r="205" spans="1:6">
      <c r="A205" s="199">
        <f ca="1">IFERROR(__xludf.DUMMYFUNCTION("""COMPUTED_VALUE"""),44791)</f>
        <v>44791</v>
      </c>
      <c r="B205" s="6" t="str">
        <f ca="1">IFERROR(__xludf.DUMMYFUNCTION("""COMPUTED_VALUE"""),"Cell Harbor _2022")</f>
        <v>Cell Harbor _2022</v>
      </c>
      <c r="C205" s="6">
        <f ca="1">IFERROR(__xludf.DUMMYFUNCTION("""COMPUTED_VALUE"""),4)</f>
        <v>4</v>
      </c>
      <c r="D205" s="6" t="str">
        <f ca="1">IFERROR(__xludf.DUMMYFUNCTION("""COMPUTED_VALUE"""),"Life Sciences")</f>
        <v>Life Sciences</v>
      </c>
      <c r="E205" s="6" t="str">
        <f ca="1">IFERROR(__xludf.DUMMYFUNCTION("""COMPUTED_VALUE"""),"Revisit/ Cluster")</f>
        <v>Revisit/ Cluster</v>
      </c>
      <c r="F205" s="6" t="e">
        <f t="shared" ca="1" si="0"/>
        <v>#NAME?</v>
      </c>
    </row>
    <row r="206" spans="1:6">
      <c r="A206" s="199">
        <f ca="1">IFERROR(__xludf.DUMMYFUNCTION("""COMPUTED_VALUE"""),44791)</f>
        <v>44791</v>
      </c>
      <c r="B206" s="6" t="str">
        <f ca="1">IFERROR(__xludf.DUMMYFUNCTION("""COMPUTED_VALUE"""),"Rocket VR Health _2022")</f>
        <v>Rocket VR Health _2022</v>
      </c>
      <c r="C206" s="6">
        <f ca="1">IFERROR(__xludf.DUMMYFUNCTION("""COMPUTED_VALUE"""),4)</f>
        <v>4</v>
      </c>
      <c r="D206" s="6" t="str">
        <f ca="1">IFERROR(__xludf.DUMMYFUNCTION("""COMPUTED_VALUE"""),"Digital Tech")</f>
        <v>Digital Tech</v>
      </c>
      <c r="E206" s="6" t="str">
        <f ca="1">IFERROR(__xludf.DUMMYFUNCTION("""COMPUTED_VALUE"""),"Invite")</f>
        <v>Invite</v>
      </c>
      <c r="F206" s="6" t="e">
        <f t="shared" ca="1" si="0"/>
        <v>#NAME?</v>
      </c>
    </row>
    <row r="207" spans="1:6">
      <c r="A207" s="199">
        <f ca="1">IFERROR(__xludf.DUMMYFUNCTION("""COMPUTED_VALUE"""),44791)</f>
        <v>44791</v>
      </c>
      <c r="B207" s="6" t="str">
        <f ca="1">IFERROR(__xludf.DUMMYFUNCTION("""COMPUTED_VALUE"""),"Sentinel Occupational Safety (Sentinel) _2022")</f>
        <v>Sentinel Occupational Safety (Sentinel) _2022</v>
      </c>
      <c r="C207" s="6">
        <f ca="1">IFERROR(__xludf.DUMMYFUNCTION("""COMPUTED_VALUE"""),4)</f>
        <v>4</v>
      </c>
      <c r="D207" s="6" t="str">
        <f ca="1">IFERROR(__xludf.DUMMYFUNCTION("""COMPUTED_VALUE"""),"Digital Tech")</f>
        <v>Digital Tech</v>
      </c>
      <c r="E207" s="6" t="str">
        <f ca="1">IFERROR(__xludf.DUMMYFUNCTION("""COMPUTED_VALUE"""),"Invite")</f>
        <v>Invite</v>
      </c>
      <c r="F207" s="6" t="e">
        <f t="shared" ca="1" si="0"/>
        <v>#NAME?</v>
      </c>
    </row>
    <row r="208" spans="1:6">
      <c r="A208" s="199">
        <f ca="1">IFERROR(__xludf.DUMMYFUNCTION("""COMPUTED_VALUE"""),44791)</f>
        <v>44791</v>
      </c>
      <c r="B208" s="6" t="str">
        <f ca="1">IFERROR(__xludf.DUMMYFUNCTION("""COMPUTED_VALUE"""),"PeroLED _2022")</f>
        <v>PeroLED _2022</v>
      </c>
      <c r="C208" s="6">
        <f ca="1">IFERROR(__xludf.DUMMYFUNCTION("""COMPUTED_VALUE"""),4)</f>
        <v>4</v>
      </c>
      <c r="D208" s="6" t="str">
        <f ca="1">IFERROR(__xludf.DUMMYFUNCTION("""COMPUTED_VALUE"""),"Deep Tech")</f>
        <v>Deep Tech</v>
      </c>
      <c r="E208" s="6" t="str">
        <f ca="1">IFERROR(__xludf.DUMMYFUNCTION("""COMPUTED_VALUE"""),"Invite")</f>
        <v>Invite</v>
      </c>
      <c r="F208" s="6" t="e">
        <f t="shared" ca="1" si="0"/>
        <v>#NAME?</v>
      </c>
    </row>
    <row r="209" spans="1:6">
      <c r="A209" s="199">
        <f ca="1">IFERROR(__xludf.DUMMYFUNCTION("""COMPUTED_VALUE"""),44791)</f>
        <v>44791</v>
      </c>
      <c r="B209" s="6" t="str">
        <f ca="1">IFERROR(__xludf.DUMMYFUNCTION("""COMPUTED_VALUE"""),"Kyomei _2022")</f>
        <v>Kyomei _2022</v>
      </c>
      <c r="C209" s="6">
        <f ca="1">IFERROR(__xludf.DUMMYFUNCTION("""COMPUTED_VALUE"""),4)</f>
        <v>4</v>
      </c>
      <c r="D209" s="6" t="str">
        <f ca="1">IFERROR(__xludf.DUMMYFUNCTION("""COMPUTED_VALUE"""),"Deep Tech")</f>
        <v>Deep Tech</v>
      </c>
      <c r="E209" s="6" t="str">
        <f ca="1">IFERROR(__xludf.DUMMYFUNCTION("""COMPUTED_VALUE"""),"Invite")</f>
        <v>Invite</v>
      </c>
      <c r="F209" s="6" t="e">
        <f t="shared" ca="1" si="0"/>
        <v>#NAME?</v>
      </c>
    </row>
    <row r="210" spans="1:6">
      <c r="A210" s="199">
        <f ca="1">IFERROR(__xludf.DUMMYFUNCTION("""COMPUTED_VALUE"""),44796)</f>
        <v>44796</v>
      </c>
      <c r="B210" s="6" t="str">
        <f ca="1">IFERROR(__xludf.DUMMYFUNCTION("""COMPUTED_VALUE"""),"Efani Secure Mobile _2022")</f>
        <v>Efani Secure Mobile _2022</v>
      </c>
      <c r="C210" s="6">
        <f ca="1">IFERROR(__xludf.DUMMYFUNCTION("""COMPUTED_VALUE"""),4)</f>
        <v>4</v>
      </c>
      <c r="D210" s="6" t="str">
        <f ca="1">IFERROR(__xludf.DUMMYFUNCTION("""COMPUTED_VALUE"""),"Digital Tech")</f>
        <v>Digital Tech</v>
      </c>
      <c r="E210" s="6" t="str">
        <f ca="1">IFERROR(__xludf.DUMMYFUNCTION("""COMPUTED_VALUE"""),"Invite")</f>
        <v>Invite</v>
      </c>
      <c r="F210" s="6" t="e">
        <f t="shared" ca="1" si="0"/>
        <v>#NAME?</v>
      </c>
    </row>
    <row r="211" spans="1:6">
      <c r="A211" s="199">
        <f ca="1">IFERROR(__xludf.DUMMYFUNCTION("""COMPUTED_VALUE"""),44796)</f>
        <v>44796</v>
      </c>
      <c r="B211" s="6" t="str">
        <f ca="1">IFERROR(__xludf.DUMMYFUNCTION("""COMPUTED_VALUE"""),"Seek AI Inc. _2022")</f>
        <v>Seek AI Inc. _2022</v>
      </c>
      <c r="C211" s="6">
        <f ca="1">IFERROR(__xludf.DUMMYFUNCTION("""COMPUTED_VALUE"""),4)</f>
        <v>4</v>
      </c>
      <c r="D211" s="6" t="str">
        <f ca="1">IFERROR(__xludf.DUMMYFUNCTION("""COMPUTED_VALUE"""),"Digital Tech")</f>
        <v>Digital Tech</v>
      </c>
      <c r="E211" s="6" t="str">
        <f ca="1">IFERROR(__xludf.DUMMYFUNCTION("""COMPUTED_VALUE"""),"Invite")</f>
        <v>Invite</v>
      </c>
      <c r="F211" s="6" t="e">
        <f t="shared" ca="1" si="0"/>
        <v>#NAME?</v>
      </c>
    </row>
    <row r="212" spans="1:6">
      <c r="A212" s="199">
        <f ca="1">IFERROR(__xludf.DUMMYFUNCTION("""COMPUTED_VALUE"""),44796)</f>
        <v>44796</v>
      </c>
      <c r="B212" s="6" t="str">
        <f ca="1">IFERROR(__xludf.DUMMYFUNCTION("""COMPUTED_VALUE"""),"Webeyez _2022")</f>
        <v>Webeyez _2022</v>
      </c>
      <c r="C212" s="6">
        <f ca="1">IFERROR(__xludf.DUMMYFUNCTION("""COMPUTED_VALUE"""),4)</f>
        <v>4</v>
      </c>
      <c r="D212" s="6" t="str">
        <f ca="1">IFERROR(__xludf.DUMMYFUNCTION("""COMPUTED_VALUE"""),"Digital Tech")</f>
        <v>Digital Tech</v>
      </c>
      <c r="E212" s="6" t="str">
        <f ca="1">IFERROR(__xludf.DUMMYFUNCTION("""COMPUTED_VALUE"""),"Invite")</f>
        <v>Invite</v>
      </c>
      <c r="F212" s="6" t="e">
        <f t="shared" ca="1" si="0"/>
        <v>#NAME?</v>
      </c>
    </row>
    <row r="213" spans="1:6">
      <c r="A213" s="199">
        <f ca="1">IFERROR(__xludf.DUMMYFUNCTION("""COMPUTED_VALUE"""),44796)</f>
        <v>44796</v>
      </c>
      <c r="B213" s="6" t="str">
        <f ca="1">IFERROR(__xludf.DUMMYFUNCTION("""COMPUTED_VALUE"""),"Mon4t _2022")</f>
        <v>Mon4t _2022</v>
      </c>
      <c r="C213" s="6">
        <f ca="1">IFERROR(__xludf.DUMMYFUNCTION("""COMPUTED_VALUE"""),4)</f>
        <v>4</v>
      </c>
      <c r="D213" s="6" t="str">
        <f ca="1">IFERROR(__xludf.DUMMYFUNCTION("""COMPUTED_VALUE"""),"Digital Tech")</f>
        <v>Digital Tech</v>
      </c>
      <c r="E213" s="6" t="str">
        <f ca="1">IFERROR(__xludf.DUMMYFUNCTION("""COMPUTED_VALUE"""),"Invite")</f>
        <v>Invite</v>
      </c>
      <c r="F213" s="6" t="e">
        <f t="shared" ca="1" si="0"/>
        <v>#NAME?</v>
      </c>
    </row>
    <row r="214" spans="1:6">
      <c r="A214" s="199">
        <f ca="1">IFERROR(__xludf.DUMMYFUNCTION("""COMPUTED_VALUE"""),44796)</f>
        <v>44796</v>
      </c>
      <c r="B214" s="6" t="str">
        <f ca="1">IFERROR(__xludf.DUMMYFUNCTION("""COMPUTED_VALUE"""),"IPwe _2022")</f>
        <v>IPwe _2022</v>
      </c>
      <c r="C214" s="6">
        <f ca="1">IFERROR(__xludf.DUMMYFUNCTION("""COMPUTED_VALUE"""),4)</f>
        <v>4</v>
      </c>
      <c r="D214" s="6" t="str">
        <f ca="1">IFERROR(__xludf.DUMMYFUNCTION("""COMPUTED_VALUE"""),"Digital Tech")</f>
        <v>Digital Tech</v>
      </c>
      <c r="E214" s="6" t="str">
        <f ca="1">IFERROR(__xludf.DUMMYFUNCTION("""COMPUTED_VALUE"""),"Invite")</f>
        <v>Invite</v>
      </c>
      <c r="F214" s="6" t="e">
        <f t="shared" ca="1" si="0"/>
        <v>#NAME?</v>
      </c>
    </row>
    <row r="215" spans="1:6">
      <c r="A215" s="199">
        <f ca="1">IFERROR(__xludf.DUMMYFUNCTION("""COMPUTED_VALUE"""),44796)</f>
        <v>44796</v>
      </c>
      <c r="B215" s="6" t="str">
        <f ca="1">IFERROR(__xludf.DUMMYFUNCTION("""COMPUTED_VALUE"""),"A4i _2022")</f>
        <v>A4i _2022</v>
      </c>
      <c r="C215" s="6">
        <f ca="1">IFERROR(__xludf.DUMMYFUNCTION("""COMPUTED_VALUE"""),4)</f>
        <v>4</v>
      </c>
      <c r="D215" s="6" t="str">
        <f ca="1">IFERROR(__xludf.DUMMYFUNCTION("""COMPUTED_VALUE"""),"Digital Tech")</f>
        <v>Digital Tech</v>
      </c>
      <c r="E215" s="6" t="str">
        <f ca="1">IFERROR(__xludf.DUMMYFUNCTION("""COMPUTED_VALUE"""),"Invite")</f>
        <v>Invite</v>
      </c>
      <c r="F215" s="6" t="e">
        <f t="shared" ca="1" si="0"/>
        <v>#NAME?</v>
      </c>
    </row>
    <row r="216" spans="1:6">
      <c r="A216" s="199">
        <f ca="1">IFERROR(__xludf.DUMMYFUNCTION("""COMPUTED_VALUE"""),44796)</f>
        <v>44796</v>
      </c>
      <c r="B216" s="6" t="str">
        <f ca="1">IFERROR(__xludf.DUMMYFUNCTION("""COMPUTED_VALUE"""),"Fulfilld _2022")</f>
        <v>Fulfilld _2022</v>
      </c>
      <c r="C216" s="6">
        <f ca="1">IFERROR(__xludf.DUMMYFUNCTION("""COMPUTED_VALUE"""),4)</f>
        <v>4</v>
      </c>
      <c r="D216" s="6" t="str">
        <f ca="1">IFERROR(__xludf.DUMMYFUNCTION("""COMPUTED_VALUE"""),"Digital Tech")</f>
        <v>Digital Tech</v>
      </c>
      <c r="E216" s="6" t="str">
        <f ca="1">IFERROR(__xludf.DUMMYFUNCTION("""COMPUTED_VALUE"""),"Invite")</f>
        <v>Invite</v>
      </c>
      <c r="F216" s="6" t="e">
        <f t="shared" ca="1" si="0"/>
        <v>#NAME?</v>
      </c>
    </row>
    <row r="217" spans="1:6">
      <c r="A217" s="199">
        <f ca="1">IFERROR(__xludf.DUMMYFUNCTION("""COMPUTED_VALUE"""),44796)</f>
        <v>44796</v>
      </c>
      <c r="B217" s="6" t="str">
        <f ca="1">IFERROR(__xludf.DUMMYFUNCTION("""COMPUTED_VALUE"""),"REVER _2022")</f>
        <v>REVER _2022</v>
      </c>
      <c r="C217" s="6">
        <f ca="1">IFERROR(__xludf.DUMMYFUNCTION("""COMPUTED_VALUE"""),4)</f>
        <v>4</v>
      </c>
      <c r="D217" s="6" t="str">
        <f ca="1">IFERROR(__xludf.DUMMYFUNCTION("""COMPUTED_VALUE"""),"Digital Tech")</f>
        <v>Digital Tech</v>
      </c>
      <c r="E217" s="6" t="str">
        <f ca="1">IFERROR(__xludf.DUMMYFUNCTION("""COMPUTED_VALUE"""),"Invite")</f>
        <v>Invite</v>
      </c>
      <c r="F217" s="6" t="e">
        <f t="shared" ca="1" si="0"/>
        <v>#NAME?</v>
      </c>
    </row>
    <row r="218" spans="1:6">
      <c r="A218" s="199">
        <f ca="1">IFERROR(__xludf.DUMMYFUNCTION("""COMPUTED_VALUE"""),44796)</f>
        <v>44796</v>
      </c>
      <c r="B218" s="6" t="str">
        <f ca="1">IFERROR(__xludf.DUMMYFUNCTION("""COMPUTED_VALUE"""),"Symphony Biosciences  _2022")</f>
        <v>Symphony Biosciences  _2022</v>
      </c>
      <c r="C218" s="6">
        <f ca="1">IFERROR(__xludf.DUMMYFUNCTION("""COMPUTED_VALUE"""),4)</f>
        <v>4</v>
      </c>
      <c r="D218" s="6" t="str">
        <f ca="1">IFERROR(__xludf.DUMMYFUNCTION("""COMPUTED_VALUE"""),"Life Sciences")</f>
        <v>Life Sciences</v>
      </c>
      <c r="E218" s="6" t="str">
        <f ca="1">IFERROR(__xludf.DUMMYFUNCTION("""COMPUTED_VALUE"""),"Invite")</f>
        <v>Invite</v>
      </c>
      <c r="F218" s="6" t="e">
        <f t="shared" ca="1" si="0"/>
        <v>#NAME?</v>
      </c>
    </row>
    <row r="219" spans="1:6">
      <c r="A219" s="199">
        <f ca="1">IFERROR(__xludf.DUMMYFUNCTION("""COMPUTED_VALUE"""),44796)</f>
        <v>44796</v>
      </c>
      <c r="B219" s="6" t="str">
        <f ca="1">IFERROR(__xludf.DUMMYFUNCTION("""COMPUTED_VALUE"""),"Isoprene Pharmaceuticals, Inc. _2022")</f>
        <v>Isoprene Pharmaceuticals, Inc. _2022</v>
      </c>
      <c r="C219" s="6">
        <f ca="1">IFERROR(__xludf.DUMMYFUNCTION("""COMPUTED_VALUE"""),4)</f>
        <v>4</v>
      </c>
      <c r="D219" s="6" t="str">
        <f ca="1">IFERROR(__xludf.DUMMYFUNCTION("""COMPUTED_VALUE"""),"Life Sciences")</f>
        <v>Life Sciences</v>
      </c>
      <c r="E219" s="6" t="str">
        <f ca="1">IFERROR(__xludf.DUMMYFUNCTION("""COMPUTED_VALUE"""),"Invite")</f>
        <v>Invite</v>
      </c>
      <c r="F219" s="6" t="e">
        <f t="shared" ca="1" si="0"/>
        <v>#NAME?</v>
      </c>
    </row>
    <row r="220" spans="1:6">
      <c r="A220" s="199">
        <f ca="1">IFERROR(__xludf.DUMMYFUNCTION("""COMPUTED_VALUE"""),44796)</f>
        <v>44796</v>
      </c>
      <c r="B220" s="6" t="str">
        <f ca="1">IFERROR(__xludf.DUMMYFUNCTION("""COMPUTED_VALUE"""),"ZiO Health  _2022")</f>
        <v>ZiO Health  _2022</v>
      </c>
      <c r="C220" s="6">
        <f ca="1">IFERROR(__xludf.DUMMYFUNCTION("""COMPUTED_VALUE"""),4)</f>
        <v>4</v>
      </c>
      <c r="D220" s="6" t="str">
        <f ca="1">IFERROR(__xludf.DUMMYFUNCTION("""COMPUTED_VALUE"""),"Deep Tech")</f>
        <v>Deep Tech</v>
      </c>
      <c r="E220" s="6" t="str">
        <f ca="1">IFERROR(__xludf.DUMMYFUNCTION("""COMPUTED_VALUE"""),"Revisit/ Cluster")</f>
        <v>Revisit/ Cluster</v>
      </c>
      <c r="F220" s="6" t="e">
        <f t="shared" ca="1" si="0"/>
        <v>#NAME?</v>
      </c>
    </row>
    <row r="221" spans="1:6">
      <c r="A221" s="199">
        <f ca="1">IFERROR(__xludf.DUMMYFUNCTION("""COMPUTED_VALUE"""),44796)</f>
        <v>44796</v>
      </c>
      <c r="B221" s="6" t="str">
        <f ca="1">IFERROR(__xludf.DUMMYFUNCTION("""COMPUTED_VALUE"""),"OmniCyte, LLC _2022")</f>
        <v>OmniCyte, LLC _2022</v>
      </c>
      <c r="C221" s="6">
        <f ca="1">IFERROR(__xludf.DUMMYFUNCTION("""COMPUTED_VALUE"""),4)</f>
        <v>4</v>
      </c>
      <c r="D221" s="6" t="str">
        <f ca="1">IFERROR(__xludf.DUMMYFUNCTION("""COMPUTED_VALUE"""),"Life Sciences")</f>
        <v>Life Sciences</v>
      </c>
      <c r="E221" s="6" t="str">
        <f ca="1">IFERROR(__xludf.DUMMYFUNCTION("""COMPUTED_VALUE"""),"Invite")</f>
        <v>Invite</v>
      </c>
      <c r="F221" s="6" t="e">
        <f t="shared" ca="1" si="0"/>
        <v>#NAME?</v>
      </c>
    </row>
    <row r="222" spans="1:6">
      <c r="A222" s="199">
        <f ca="1">IFERROR(__xludf.DUMMYFUNCTION("""COMPUTED_VALUE"""),44796)</f>
        <v>44796</v>
      </c>
      <c r="B222" s="6" t="str">
        <f ca="1">IFERROR(__xludf.DUMMYFUNCTION("""COMPUTED_VALUE"""),"Edverse Ltd _2022")</f>
        <v>Edverse Ltd _2022</v>
      </c>
      <c r="C222" s="6">
        <f ca="1">IFERROR(__xludf.DUMMYFUNCTION("""COMPUTED_VALUE"""),4)</f>
        <v>4</v>
      </c>
      <c r="D222" s="6" t="str">
        <f ca="1">IFERROR(__xludf.DUMMYFUNCTION("""COMPUTED_VALUE"""),"Digital Tech")</f>
        <v>Digital Tech</v>
      </c>
      <c r="E222" s="6" t="str">
        <f ca="1">IFERROR(__xludf.DUMMYFUNCTION("""COMPUTED_VALUE"""),"Invite")</f>
        <v>Invite</v>
      </c>
      <c r="F222" s="6" t="e">
        <f t="shared" ca="1" si="0"/>
        <v>#NAME?</v>
      </c>
    </row>
    <row r="223" spans="1:6">
      <c r="A223" s="199">
        <f ca="1">IFERROR(__xludf.DUMMYFUNCTION("""COMPUTED_VALUE"""),44796)</f>
        <v>44796</v>
      </c>
      <c r="B223" s="6" t="str">
        <f ca="1">IFERROR(__xludf.DUMMYFUNCTION("""COMPUTED_VALUE"""),"Red Arrow Therapeutics, Co. Ltd.  _2022")</f>
        <v>Red Arrow Therapeutics, Co. Ltd.  _2022</v>
      </c>
      <c r="C223" s="6">
        <f ca="1">IFERROR(__xludf.DUMMYFUNCTION("""COMPUTED_VALUE"""),4)</f>
        <v>4</v>
      </c>
      <c r="D223" s="6" t="str">
        <f ca="1">IFERROR(__xludf.DUMMYFUNCTION("""COMPUTED_VALUE"""),"Life Sciences")</f>
        <v>Life Sciences</v>
      </c>
      <c r="E223" s="6" t="str">
        <f ca="1">IFERROR(__xludf.DUMMYFUNCTION("""COMPUTED_VALUE"""),"Invite")</f>
        <v>Invite</v>
      </c>
      <c r="F223" s="6" t="e">
        <f t="shared" ca="1" si="0"/>
        <v>#NAME?</v>
      </c>
    </row>
    <row r="224" spans="1:6">
      <c r="A224" s="199">
        <f ca="1">IFERROR(__xludf.DUMMYFUNCTION("""COMPUTED_VALUE"""),44796)</f>
        <v>44796</v>
      </c>
      <c r="B224" s="6" t="str">
        <f ca="1">IFERROR(__xludf.DUMMYFUNCTION("""COMPUTED_VALUE"""),"Serenity Bioworks  _2022")</f>
        <v>Serenity Bioworks  _2022</v>
      </c>
      <c r="C224" s="6">
        <f ca="1">IFERROR(__xludf.DUMMYFUNCTION("""COMPUTED_VALUE"""),4)</f>
        <v>4</v>
      </c>
      <c r="D224" s="6" t="str">
        <f ca="1">IFERROR(__xludf.DUMMYFUNCTION("""COMPUTED_VALUE"""),"Life Sciences")</f>
        <v>Life Sciences</v>
      </c>
      <c r="E224" s="6" t="str">
        <f ca="1">IFERROR(__xludf.DUMMYFUNCTION("""COMPUTED_VALUE"""),"Invite")</f>
        <v>Invite</v>
      </c>
      <c r="F224" s="6" t="e">
        <f t="shared" ca="1" si="0"/>
        <v>#NAME?</v>
      </c>
    </row>
    <row r="225" spans="1:6">
      <c r="A225" s="199">
        <f ca="1">IFERROR(__xludf.DUMMYFUNCTION("""COMPUTED_VALUE"""),44796)</f>
        <v>44796</v>
      </c>
      <c r="B225" s="6" t="str">
        <f ca="1">IFERROR(__xludf.DUMMYFUNCTION("""COMPUTED_VALUE"""),"Field 33 _2022")</f>
        <v>Field 33 _2022</v>
      </c>
      <c r="C225" s="6">
        <f ca="1">IFERROR(__xludf.DUMMYFUNCTION("""COMPUTED_VALUE"""),4)</f>
        <v>4</v>
      </c>
      <c r="D225" s="6" t="str">
        <f ca="1">IFERROR(__xludf.DUMMYFUNCTION("""COMPUTED_VALUE"""),"Digital Tech")</f>
        <v>Digital Tech</v>
      </c>
      <c r="E225" s="6" t="str">
        <f ca="1">IFERROR(__xludf.DUMMYFUNCTION("""COMPUTED_VALUE"""),"Invite")</f>
        <v>Invite</v>
      </c>
      <c r="F225" s="6" t="e">
        <f t="shared" ca="1" si="0"/>
        <v>#NAME?</v>
      </c>
    </row>
    <row r="226" spans="1:6">
      <c r="A226" s="199">
        <f ca="1">IFERROR(__xludf.DUMMYFUNCTION("""COMPUTED_VALUE"""),44796)</f>
        <v>44796</v>
      </c>
      <c r="B226" s="6" t="str">
        <f ca="1">IFERROR(__xludf.DUMMYFUNCTION("""COMPUTED_VALUE"""),"EriVan Bio _2022")</f>
        <v>EriVan Bio _2022</v>
      </c>
      <c r="C226" s="6">
        <f ca="1">IFERROR(__xludf.DUMMYFUNCTION("""COMPUTED_VALUE"""),4)</f>
        <v>4</v>
      </c>
      <c r="D226" s="6" t="str">
        <f ca="1">IFERROR(__xludf.DUMMYFUNCTION("""COMPUTED_VALUE"""),"Life Sciences")</f>
        <v>Life Sciences</v>
      </c>
      <c r="E226" s="6" t="str">
        <f ca="1">IFERROR(__xludf.DUMMYFUNCTION("""COMPUTED_VALUE"""),"Special Reject")</f>
        <v>Special Reject</v>
      </c>
      <c r="F226" s="6" t="e">
        <f t="shared" ca="1" si="0"/>
        <v>#NAME?</v>
      </c>
    </row>
    <row r="227" spans="1:6">
      <c r="A227" s="199">
        <f ca="1">IFERROR(__xludf.DUMMYFUNCTION("""COMPUTED_VALUE"""),44796)</f>
        <v>44796</v>
      </c>
      <c r="B227" s="6" t="str">
        <f ca="1">IFERROR(__xludf.DUMMYFUNCTION("""COMPUTED_VALUE"""),"Gabbit Trans Systems Pvt Ltd _2022")</f>
        <v>Gabbit Trans Systems Pvt Ltd _2022</v>
      </c>
      <c r="C227" s="6">
        <f ca="1">IFERROR(__xludf.DUMMYFUNCTION("""COMPUTED_VALUE"""),4)</f>
        <v>4</v>
      </c>
      <c r="D227" s="6" t="str">
        <f ca="1">IFERROR(__xludf.DUMMYFUNCTION("""COMPUTED_VALUE"""),"Digital Tech")</f>
        <v>Digital Tech</v>
      </c>
      <c r="E227" s="6" t="str">
        <f ca="1">IFERROR(__xludf.DUMMYFUNCTION("""COMPUTED_VALUE"""),"Invite Next Year")</f>
        <v>Invite Next Year</v>
      </c>
      <c r="F227" s="6" t="e">
        <f t="shared" ca="1" si="0"/>
        <v>#NAME?</v>
      </c>
    </row>
    <row r="228" spans="1:6">
      <c r="A228" s="199">
        <f ca="1">IFERROR(__xludf.DUMMYFUNCTION("""COMPUTED_VALUE"""),44796)</f>
        <v>44796</v>
      </c>
      <c r="B228" s="6" t="str">
        <f ca="1">IFERROR(__xludf.DUMMYFUNCTION("""COMPUTED_VALUE"""),"mPOD, Inc. _2022")</f>
        <v>mPOD, Inc. _2022</v>
      </c>
      <c r="C228" s="6">
        <f ca="1">IFERROR(__xludf.DUMMYFUNCTION("""COMPUTED_VALUE"""),4)</f>
        <v>4</v>
      </c>
      <c r="D228" s="6" t="str">
        <f ca="1">IFERROR(__xludf.DUMMYFUNCTION("""COMPUTED_VALUE"""),"Digital Tech")</f>
        <v>Digital Tech</v>
      </c>
      <c r="E228" s="6" t="str">
        <f ca="1">IFERROR(__xludf.DUMMYFUNCTION("""COMPUTED_VALUE"""),"Invite")</f>
        <v>Invite</v>
      </c>
      <c r="F228" s="6" t="e">
        <f t="shared" ca="1" si="0"/>
        <v>#NAME?</v>
      </c>
    </row>
    <row r="229" spans="1:6">
      <c r="A229" s="199">
        <f ca="1">IFERROR(__xludf.DUMMYFUNCTION("""COMPUTED_VALUE"""),44796)</f>
        <v>44796</v>
      </c>
      <c r="B229" s="6" t="str">
        <f ca="1">IFERROR(__xludf.DUMMYFUNCTION("""COMPUTED_VALUE"""),"Is CLEAN AIR Italia S.r.l. _2022")</f>
        <v>Is CLEAN AIR Italia S.r.l. _2022</v>
      </c>
      <c r="C229" s="6">
        <f ca="1">IFERROR(__xludf.DUMMYFUNCTION("""COMPUTED_VALUE"""),4)</f>
        <v>4</v>
      </c>
      <c r="D229" s="6" t="str">
        <f ca="1">IFERROR(__xludf.DUMMYFUNCTION("""COMPUTED_VALUE"""),"Deep Tech")</f>
        <v>Deep Tech</v>
      </c>
      <c r="E229" s="6" t="str">
        <f ca="1">IFERROR(__xludf.DUMMYFUNCTION("""COMPUTED_VALUE"""),"Revisit/ Cluster")</f>
        <v>Revisit/ Cluster</v>
      </c>
      <c r="F229" s="6" t="e">
        <f t="shared" ca="1" si="0"/>
        <v>#NAME?</v>
      </c>
    </row>
    <row r="230" spans="1:6">
      <c r="A230" s="199">
        <f ca="1">IFERROR(__xludf.DUMMYFUNCTION("""COMPUTED_VALUE"""),44796)</f>
        <v>44796</v>
      </c>
      <c r="B230" s="6" t="str">
        <f ca="1">IFERROR(__xludf.DUMMYFUNCTION("""COMPUTED_VALUE"""),"PlantSwitch _2022")</f>
        <v>PlantSwitch _2022</v>
      </c>
      <c r="C230" s="6">
        <f ca="1">IFERROR(__xludf.DUMMYFUNCTION("""COMPUTED_VALUE"""),4)</f>
        <v>4</v>
      </c>
      <c r="D230" s="6" t="str">
        <f ca="1">IFERROR(__xludf.DUMMYFUNCTION("""COMPUTED_VALUE"""),"Deep Tech")</f>
        <v>Deep Tech</v>
      </c>
      <c r="E230" s="6" t="str">
        <f ca="1">IFERROR(__xludf.DUMMYFUNCTION("""COMPUTED_VALUE"""),"Invite")</f>
        <v>Invite</v>
      </c>
      <c r="F230" s="6" t="e">
        <f t="shared" ca="1" si="0"/>
        <v>#NAME?</v>
      </c>
    </row>
    <row r="231" spans="1:6">
      <c r="A231" s="199">
        <f ca="1">IFERROR(__xludf.DUMMYFUNCTION("""COMPUTED_VALUE"""),44796)</f>
        <v>44796</v>
      </c>
      <c r="B231" s="6" t="str">
        <f ca="1">IFERROR(__xludf.DUMMYFUNCTION("""COMPUTED_VALUE"""),"Legible Inc. _2022")</f>
        <v>Legible Inc. _2022</v>
      </c>
      <c r="C231" s="6">
        <f ca="1">IFERROR(__xludf.DUMMYFUNCTION("""COMPUTED_VALUE"""),4)</f>
        <v>4</v>
      </c>
      <c r="D231" s="6" t="str">
        <f ca="1">IFERROR(__xludf.DUMMYFUNCTION("""COMPUTED_VALUE"""),"Digital Tech")</f>
        <v>Digital Tech</v>
      </c>
      <c r="E231" s="6" t="str">
        <f ca="1">IFERROR(__xludf.DUMMYFUNCTION("""COMPUTED_VALUE"""),"Invite")</f>
        <v>Invite</v>
      </c>
      <c r="F231" s="6" t="e">
        <f t="shared" ca="1" si="0"/>
        <v>#NAME?</v>
      </c>
    </row>
    <row r="232" spans="1:6">
      <c r="A232" s="199">
        <f ca="1">IFERROR(__xludf.DUMMYFUNCTION("""COMPUTED_VALUE"""),44796)</f>
        <v>44796</v>
      </c>
      <c r="B232" s="6" t="str">
        <f ca="1">IFERROR(__xludf.DUMMYFUNCTION("""COMPUTED_VALUE"""),"Rocket VR Health _2022")</f>
        <v>Rocket VR Health _2022</v>
      </c>
      <c r="C232" s="6">
        <f ca="1">IFERROR(__xludf.DUMMYFUNCTION("""COMPUTED_VALUE"""),4)</f>
        <v>4</v>
      </c>
      <c r="D232" s="6" t="str">
        <f ca="1">IFERROR(__xludf.DUMMYFUNCTION("""COMPUTED_VALUE"""),"Digital Tech")</f>
        <v>Digital Tech</v>
      </c>
      <c r="E232" s="6" t="str">
        <f ca="1">IFERROR(__xludf.DUMMYFUNCTION("""COMPUTED_VALUE"""),"Revisit")</f>
        <v>Revisit</v>
      </c>
      <c r="F232" s="6" t="e">
        <f t="shared" ca="1" si="0"/>
        <v>#NAME?</v>
      </c>
    </row>
    <row r="233" spans="1:6">
      <c r="A233" s="199">
        <f ca="1">IFERROR(__xludf.DUMMYFUNCTION("""COMPUTED_VALUE"""),44796)</f>
        <v>44796</v>
      </c>
      <c r="B233" s="6" t="str">
        <f ca="1">IFERROR(__xludf.DUMMYFUNCTION("""COMPUTED_VALUE"""),"VendRx Inc. _2022")</f>
        <v>VendRx Inc. _2022</v>
      </c>
      <c r="C233" s="6">
        <f ca="1">IFERROR(__xludf.DUMMYFUNCTION("""COMPUTED_VALUE"""),4)</f>
        <v>4</v>
      </c>
      <c r="D233" s="6" t="str">
        <f ca="1">IFERROR(__xludf.DUMMYFUNCTION("""COMPUTED_VALUE"""),"Digital Tech")</f>
        <v>Digital Tech</v>
      </c>
      <c r="E233" s="6" t="str">
        <f ca="1">IFERROR(__xludf.DUMMYFUNCTION("""COMPUTED_VALUE"""),"Invite")</f>
        <v>Invite</v>
      </c>
      <c r="F233" s="6" t="e">
        <f t="shared" ca="1" si="0"/>
        <v>#NAME?</v>
      </c>
    </row>
    <row r="234" spans="1:6">
      <c r="A234" s="199">
        <f ca="1">IFERROR(__xludf.DUMMYFUNCTION("""COMPUTED_VALUE"""),44796)</f>
        <v>44796</v>
      </c>
      <c r="B234" s="6" t="str">
        <f ca="1">IFERROR(__xludf.DUMMYFUNCTION("""COMPUTED_VALUE"""),"CIRT (Can I Recycle This, Inc.) _2022")</f>
        <v>CIRT (Can I Recycle This, Inc.) _2022</v>
      </c>
      <c r="C234" s="6">
        <f ca="1">IFERROR(__xludf.DUMMYFUNCTION("""COMPUTED_VALUE"""),4)</f>
        <v>4</v>
      </c>
      <c r="D234" s="6" t="str">
        <f ca="1">IFERROR(__xludf.DUMMYFUNCTION("""COMPUTED_VALUE"""),"Digital Tech")</f>
        <v>Digital Tech</v>
      </c>
      <c r="E234" s="6" t="str">
        <f ca="1">IFERROR(__xludf.DUMMYFUNCTION("""COMPUTED_VALUE"""),"Invite")</f>
        <v>Invite</v>
      </c>
      <c r="F234" s="6" t="e">
        <f t="shared" ca="1" si="0"/>
        <v>#NAME?</v>
      </c>
    </row>
    <row r="235" spans="1:6">
      <c r="A235" s="199">
        <f ca="1">IFERROR(__xludf.DUMMYFUNCTION("""COMPUTED_VALUE"""),44796)</f>
        <v>44796</v>
      </c>
      <c r="B235" s="6" t="str">
        <f ca="1">IFERROR(__xludf.DUMMYFUNCTION("""COMPUTED_VALUE"""),"Sumer _2022")</f>
        <v>Sumer _2022</v>
      </c>
      <c r="C235" s="6">
        <f ca="1">IFERROR(__xludf.DUMMYFUNCTION("""COMPUTED_VALUE"""),4)</f>
        <v>4</v>
      </c>
      <c r="D235" s="6" t="str">
        <f ca="1">IFERROR(__xludf.DUMMYFUNCTION("""COMPUTED_VALUE"""),"Digital Tech")</f>
        <v>Digital Tech</v>
      </c>
      <c r="E235" s="6" t="str">
        <f ca="1">IFERROR(__xludf.DUMMYFUNCTION("""COMPUTED_VALUE"""),"Invite")</f>
        <v>Invite</v>
      </c>
      <c r="F235" s="6" t="e">
        <f t="shared" ca="1" si="0"/>
        <v>#NAME?</v>
      </c>
    </row>
    <row r="236" spans="1:6">
      <c r="A236" s="199">
        <f ca="1">IFERROR(__xludf.DUMMYFUNCTION("""COMPUTED_VALUE"""),44796)</f>
        <v>44796</v>
      </c>
      <c r="B236" s="6" t="str">
        <f ca="1">IFERROR(__xludf.DUMMYFUNCTION("""COMPUTED_VALUE"""),"Fathom _2022")</f>
        <v>Fathom _2022</v>
      </c>
      <c r="C236" s="6">
        <f ca="1">IFERROR(__xludf.DUMMYFUNCTION("""COMPUTED_VALUE"""),4)</f>
        <v>4</v>
      </c>
      <c r="D236" s="6" t="str">
        <f ca="1">IFERROR(__xludf.DUMMYFUNCTION("""COMPUTED_VALUE"""),"Digital Tech")</f>
        <v>Digital Tech</v>
      </c>
      <c r="E236" s="6" t="str">
        <f ca="1">IFERROR(__xludf.DUMMYFUNCTION("""COMPUTED_VALUE"""),"Invite")</f>
        <v>Invite</v>
      </c>
      <c r="F236" s="6" t="e">
        <f t="shared" ca="1" si="0"/>
        <v>#NAME?</v>
      </c>
    </row>
    <row r="237" spans="1:6">
      <c r="A237" s="199">
        <f ca="1">IFERROR(__xludf.DUMMYFUNCTION("""COMPUTED_VALUE"""),44796)</f>
        <v>44796</v>
      </c>
      <c r="B237" s="6" t="str">
        <f ca="1">IFERROR(__xludf.DUMMYFUNCTION("""COMPUTED_VALUE"""),"Base5 Genomics, Inc. _2022")</f>
        <v>Base5 Genomics, Inc. _2022</v>
      </c>
      <c r="C237" s="6">
        <f ca="1">IFERROR(__xludf.DUMMYFUNCTION("""COMPUTED_VALUE"""),4)</f>
        <v>4</v>
      </c>
      <c r="D237" s="6" t="str">
        <f ca="1">IFERROR(__xludf.DUMMYFUNCTION("""COMPUTED_VALUE"""),"Life Sciences")</f>
        <v>Life Sciences</v>
      </c>
      <c r="E237" s="6" t="str">
        <f ca="1">IFERROR(__xludf.DUMMYFUNCTION("""COMPUTED_VALUE"""),"Revisit/ Cluster")</f>
        <v>Revisit/ Cluster</v>
      </c>
      <c r="F237" s="6" t="e">
        <f t="shared" ca="1" si="0"/>
        <v>#NAME?</v>
      </c>
    </row>
    <row r="238" spans="1:6">
      <c r="A238" s="199">
        <f ca="1">IFERROR(__xludf.DUMMYFUNCTION("""COMPUTED_VALUE"""),44796)</f>
        <v>44796</v>
      </c>
      <c r="B238" s="6" t="str">
        <f ca="1">IFERROR(__xludf.DUMMYFUNCTION("""COMPUTED_VALUE"""),"VitriVac.com _2022")</f>
        <v>VitriVac.com _2022</v>
      </c>
      <c r="C238" s="6">
        <f ca="1">IFERROR(__xludf.DUMMYFUNCTION("""COMPUTED_VALUE"""),4)</f>
        <v>4</v>
      </c>
      <c r="D238" s="6" t="str">
        <f ca="1">IFERROR(__xludf.DUMMYFUNCTION("""COMPUTED_VALUE"""),"Life Sciences")</f>
        <v>Life Sciences</v>
      </c>
      <c r="E238" s="6" t="str">
        <f ca="1">IFERROR(__xludf.DUMMYFUNCTION("""COMPUTED_VALUE"""),"Invite")</f>
        <v>Invite</v>
      </c>
      <c r="F238" s="6" t="e">
        <f t="shared" ca="1" si="0"/>
        <v>#NAME?</v>
      </c>
    </row>
    <row r="239" spans="1:6">
      <c r="A239" s="199">
        <f ca="1">IFERROR(__xludf.DUMMYFUNCTION("""COMPUTED_VALUE"""),44796)</f>
        <v>44796</v>
      </c>
      <c r="B239" s="6" t="str">
        <f ca="1">IFERROR(__xludf.DUMMYFUNCTION("""COMPUTED_VALUE"""),"BoostDraft Inc. _2022")</f>
        <v>BoostDraft Inc. _2022</v>
      </c>
      <c r="C239" s="6">
        <f ca="1">IFERROR(__xludf.DUMMYFUNCTION("""COMPUTED_VALUE"""),4)</f>
        <v>4</v>
      </c>
      <c r="D239" s="6" t="str">
        <f ca="1">IFERROR(__xludf.DUMMYFUNCTION("""COMPUTED_VALUE"""),"Digital Tech")</f>
        <v>Digital Tech</v>
      </c>
      <c r="E239" s="6" t="str">
        <f ca="1">IFERROR(__xludf.DUMMYFUNCTION("""COMPUTED_VALUE"""),"Revisit/ Cluster")</f>
        <v>Revisit/ Cluster</v>
      </c>
      <c r="F239" s="6" t="e">
        <f t="shared" ca="1" si="0"/>
        <v>#NAME?</v>
      </c>
    </row>
    <row r="240" spans="1:6">
      <c r="A240" s="199">
        <f ca="1">IFERROR(__xludf.DUMMYFUNCTION("""COMPUTED_VALUE"""),44796)</f>
        <v>44796</v>
      </c>
      <c r="B240" s="6" t="str">
        <f ca="1">IFERROR(__xludf.DUMMYFUNCTION("""COMPUTED_VALUE"""),"Allset _2022")</f>
        <v>Allset _2022</v>
      </c>
      <c r="C240" s="6">
        <f ca="1">IFERROR(__xludf.DUMMYFUNCTION("""COMPUTED_VALUE"""),4)</f>
        <v>4</v>
      </c>
      <c r="D240" s="6" t="str">
        <f ca="1">IFERROR(__xludf.DUMMYFUNCTION("""COMPUTED_VALUE"""),"Digital Tech")</f>
        <v>Digital Tech</v>
      </c>
      <c r="E240" s="6" t="str">
        <f ca="1">IFERROR(__xludf.DUMMYFUNCTION("""COMPUTED_VALUE"""),"Invite")</f>
        <v>Invite</v>
      </c>
      <c r="F240" s="6" t="e">
        <f t="shared" ca="1" si="0"/>
        <v>#NAME?</v>
      </c>
    </row>
    <row r="241" spans="1:6">
      <c r="A241" s="199">
        <f ca="1">IFERROR(__xludf.DUMMYFUNCTION("""COMPUTED_VALUE"""),44796)</f>
        <v>44796</v>
      </c>
      <c r="B241" s="6" t="str">
        <f ca="1">IFERROR(__xludf.DUMMYFUNCTION("""COMPUTED_VALUE"""),"Inference Analytics, Inc.  _2022")</f>
        <v>Inference Analytics, Inc.  _2022</v>
      </c>
      <c r="C241" s="6">
        <f ca="1">IFERROR(__xludf.DUMMYFUNCTION("""COMPUTED_VALUE"""),4)</f>
        <v>4</v>
      </c>
      <c r="D241" s="6" t="str">
        <f ca="1">IFERROR(__xludf.DUMMYFUNCTION("""COMPUTED_VALUE"""),"Digital Tech")</f>
        <v>Digital Tech</v>
      </c>
      <c r="E241" s="6" t="str">
        <f ca="1">IFERROR(__xludf.DUMMYFUNCTION("""COMPUTED_VALUE"""),"Invite")</f>
        <v>Invite</v>
      </c>
      <c r="F241" s="6" t="e">
        <f t="shared" ca="1" si="0"/>
        <v>#NAME?</v>
      </c>
    </row>
    <row r="242" spans="1:6">
      <c r="A242" s="199">
        <f ca="1">IFERROR(__xludf.DUMMYFUNCTION("""COMPUTED_VALUE"""),44796)</f>
        <v>44796</v>
      </c>
      <c r="B242" s="6" t="str">
        <f ca="1">IFERROR(__xludf.DUMMYFUNCTION("""COMPUTED_VALUE"""),"Plantae Bioscience _2022")</f>
        <v>Plantae Bioscience _2022</v>
      </c>
      <c r="C242" s="6">
        <f ca="1">IFERROR(__xludf.DUMMYFUNCTION("""COMPUTED_VALUE"""),4)</f>
        <v>4</v>
      </c>
      <c r="D242" s="6" t="str">
        <f ca="1">IFERROR(__xludf.DUMMYFUNCTION("""COMPUTED_VALUE"""),"Deep Tech")</f>
        <v>Deep Tech</v>
      </c>
      <c r="E242" s="6" t="str">
        <f ca="1">IFERROR(__xludf.DUMMYFUNCTION("""COMPUTED_VALUE"""),"Revisit/ Cluster")</f>
        <v>Revisit/ Cluster</v>
      </c>
      <c r="F242" s="6" t="e">
        <f t="shared" ca="1" si="0"/>
        <v>#NAME?</v>
      </c>
    </row>
    <row r="243" spans="1:6">
      <c r="A243" s="199">
        <f ca="1">IFERROR(__xludf.DUMMYFUNCTION("""COMPUTED_VALUE"""),44796)</f>
        <v>44796</v>
      </c>
      <c r="B243" s="6" t="str">
        <f ca="1">IFERROR(__xludf.DUMMYFUNCTION("""COMPUTED_VALUE"""),"APIE Therapeutics  _2022")</f>
        <v>APIE Therapeutics  _2022</v>
      </c>
      <c r="C243" s="6">
        <f ca="1">IFERROR(__xludf.DUMMYFUNCTION("""COMPUTED_VALUE"""),4)</f>
        <v>4</v>
      </c>
      <c r="D243" s="6" t="str">
        <f ca="1">IFERROR(__xludf.DUMMYFUNCTION("""COMPUTED_VALUE"""),"Life Sciences")</f>
        <v>Life Sciences</v>
      </c>
      <c r="E243" s="6" t="str">
        <f ca="1">IFERROR(__xludf.DUMMYFUNCTION("""COMPUTED_VALUE"""),"Invite")</f>
        <v>Invite</v>
      </c>
      <c r="F243" s="6" t="e">
        <f t="shared" ca="1" si="0"/>
        <v>#NAME?</v>
      </c>
    </row>
    <row r="244" spans="1:6">
      <c r="A244" s="199">
        <f ca="1">IFERROR(__xludf.DUMMYFUNCTION("""COMPUTED_VALUE"""),44797)</f>
        <v>44797</v>
      </c>
      <c r="B244" s="6" t="str">
        <f ca="1">IFERROR(__xludf.DUMMYFUNCTION("""COMPUTED_VALUE"""),"Pulzze Systems, INC (DBA Interactor) _2022")</f>
        <v>Pulzze Systems, INC (DBA Interactor) _2022</v>
      </c>
      <c r="C244" s="6">
        <f ca="1">IFERROR(__xludf.DUMMYFUNCTION("""COMPUTED_VALUE"""),4)</f>
        <v>4</v>
      </c>
      <c r="D244" s="6" t="str">
        <f ca="1">IFERROR(__xludf.DUMMYFUNCTION("""COMPUTED_VALUE"""),"Digital Tech")</f>
        <v>Digital Tech</v>
      </c>
      <c r="E244" s="6" t="str">
        <f ca="1">IFERROR(__xludf.DUMMYFUNCTION("""COMPUTED_VALUE"""),"Invite")</f>
        <v>Invite</v>
      </c>
      <c r="F244" s="6" t="e">
        <f t="shared" ca="1" si="0"/>
        <v>#NAME?</v>
      </c>
    </row>
    <row r="245" spans="1:6">
      <c r="A245" s="199">
        <f ca="1">IFERROR(__xludf.DUMMYFUNCTION("""COMPUTED_VALUE"""),44797)</f>
        <v>44797</v>
      </c>
      <c r="B245" s="6" t="str">
        <f ca="1">IFERROR(__xludf.DUMMYFUNCTION("""COMPUTED_VALUE"""),"Sova Health _2022")</f>
        <v>Sova Health _2022</v>
      </c>
      <c r="C245" s="6">
        <f ca="1">IFERROR(__xludf.DUMMYFUNCTION("""COMPUTED_VALUE"""),4)</f>
        <v>4</v>
      </c>
      <c r="D245" s="6" t="str">
        <f ca="1">IFERROR(__xludf.DUMMYFUNCTION("""COMPUTED_VALUE"""),"Digital Tech")</f>
        <v>Digital Tech</v>
      </c>
      <c r="E245" s="6" t="str">
        <f ca="1">IFERROR(__xludf.DUMMYFUNCTION("""COMPUTED_VALUE"""),"Invite")</f>
        <v>Invite</v>
      </c>
      <c r="F245" s="6" t="e">
        <f t="shared" ca="1" si="0"/>
        <v>#NAME?</v>
      </c>
    </row>
    <row r="246" spans="1:6">
      <c r="A246" s="199">
        <f ca="1">IFERROR(__xludf.DUMMYFUNCTION("""COMPUTED_VALUE"""),44797)</f>
        <v>44797</v>
      </c>
      <c r="B246" s="6" t="str">
        <f ca="1">IFERROR(__xludf.DUMMYFUNCTION("""COMPUTED_VALUE"""),"sustamize  _2022")</f>
        <v>sustamize  _2022</v>
      </c>
      <c r="C246" s="6">
        <f ca="1">IFERROR(__xludf.DUMMYFUNCTION("""COMPUTED_VALUE"""),4)</f>
        <v>4</v>
      </c>
      <c r="D246" s="6" t="str">
        <f ca="1">IFERROR(__xludf.DUMMYFUNCTION("""COMPUTED_VALUE"""),"Digital Tech")</f>
        <v>Digital Tech</v>
      </c>
      <c r="E246" s="6" t="str">
        <f ca="1">IFERROR(__xludf.DUMMYFUNCTION("""COMPUTED_VALUE"""),"Invite")</f>
        <v>Invite</v>
      </c>
      <c r="F246" s="6" t="e">
        <f t="shared" ca="1" si="0"/>
        <v>#NAME?</v>
      </c>
    </row>
    <row r="247" spans="1:6">
      <c r="A247" s="199">
        <f ca="1">IFERROR(__xludf.DUMMYFUNCTION("""COMPUTED_VALUE"""),44797)</f>
        <v>44797</v>
      </c>
      <c r="B247" s="6" t="str">
        <f ca="1">IFERROR(__xludf.DUMMYFUNCTION("""COMPUTED_VALUE"""),"Untap Ltd _2022")</f>
        <v>Untap Ltd _2022</v>
      </c>
      <c r="C247" s="6">
        <f ca="1">IFERROR(__xludf.DUMMYFUNCTION("""COMPUTED_VALUE"""),4)</f>
        <v>4</v>
      </c>
      <c r="D247" s="6" t="str">
        <f ca="1">IFERROR(__xludf.DUMMYFUNCTION("""COMPUTED_VALUE"""),"Digital Tech")</f>
        <v>Digital Tech</v>
      </c>
      <c r="E247" s="6" t="str">
        <f ca="1">IFERROR(__xludf.DUMMYFUNCTION("""COMPUTED_VALUE"""),"Invite Next Year")</f>
        <v>Invite Next Year</v>
      </c>
      <c r="F247" s="6" t="e">
        <f t="shared" ca="1" si="0"/>
        <v>#NAME?</v>
      </c>
    </row>
    <row r="248" spans="1:6">
      <c r="A248" s="199">
        <f ca="1">IFERROR(__xludf.DUMMYFUNCTION("""COMPUTED_VALUE"""),44797)</f>
        <v>44797</v>
      </c>
      <c r="B248" s="6" t="str">
        <f ca="1">IFERROR(__xludf.DUMMYFUNCTION("""COMPUTED_VALUE"""),"Krystal Holdings Pte. Ltd. _2022")</f>
        <v>Krystal Holdings Pte. Ltd. _2022</v>
      </c>
      <c r="C248" s="6">
        <f ca="1">IFERROR(__xludf.DUMMYFUNCTION("""COMPUTED_VALUE"""),4)</f>
        <v>4</v>
      </c>
      <c r="D248" s="6" t="str">
        <f ca="1">IFERROR(__xludf.DUMMYFUNCTION("""COMPUTED_VALUE"""),"Digital Tech")</f>
        <v>Digital Tech</v>
      </c>
      <c r="E248" s="6" t="str">
        <f ca="1">IFERROR(__xludf.DUMMYFUNCTION("""COMPUTED_VALUE"""),"Invite")</f>
        <v>Invite</v>
      </c>
      <c r="F248" s="6" t="e">
        <f t="shared" ca="1" si="0"/>
        <v>#NAME?</v>
      </c>
    </row>
    <row r="249" spans="1:6">
      <c r="A249" s="199">
        <f ca="1">IFERROR(__xludf.DUMMYFUNCTION("""COMPUTED_VALUE"""),44797)</f>
        <v>44797</v>
      </c>
      <c r="B249" s="6" t="str">
        <f ca="1">IFERROR(__xludf.DUMMYFUNCTION("""COMPUTED_VALUE"""),"Elysium Therapeutics, Inc. _2022")</f>
        <v>Elysium Therapeutics, Inc. _2022</v>
      </c>
      <c r="C249" s="6">
        <f ca="1">IFERROR(__xludf.DUMMYFUNCTION("""COMPUTED_VALUE"""),4)</f>
        <v>4</v>
      </c>
      <c r="D249" s="6" t="str">
        <f ca="1">IFERROR(__xludf.DUMMYFUNCTION("""COMPUTED_VALUE"""),"Life Sciences")</f>
        <v>Life Sciences</v>
      </c>
      <c r="E249" s="6" t="str">
        <f ca="1">IFERROR(__xludf.DUMMYFUNCTION("""COMPUTED_VALUE"""),"Invite")</f>
        <v>Invite</v>
      </c>
      <c r="F249" s="6" t="e">
        <f t="shared" ca="1" si="0"/>
        <v>#NAME?</v>
      </c>
    </row>
    <row r="250" spans="1:6">
      <c r="A250" s="199">
        <f ca="1">IFERROR(__xludf.DUMMYFUNCTION("""COMPUTED_VALUE"""),44797)</f>
        <v>44797</v>
      </c>
      <c r="B250" s="6" t="str">
        <f ca="1">IFERROR(__xludf.DUMMYFUNCTION("""COMPUTED_VALUE"""),"Fragmynt _2022")</f>
        <v>Fragmynt _2022</v>
      </c>
      <c r="C250" s="6">
        <f ca="1">IFERROR(__xludf.DUMMYFUNCTION("""COMPUTED_VALUE"""),4)</f>
        <v>4</v>
      </c>
      <c r="D250" s="6" t="str">
        <f ca="1">IFERROR(__xludf.DUMMYFUNCTION("""COMPUTED_VALUE"""),"Digital Tech")</f>
        <v>Digital Tech</v>
      </c>
      <c r="E250" s="6" t="str">
        <f ca="1">IFERROR(__xludf.DUMMYFUNCTION("""COMPUTED_VALUE"""),"Invite")</f>
        <v>Invite</v>
      </c>
      <c r="F250" s="6" t="e">
        <f t="shared" ca="1" si="0"/>
        <v>#NAME?</v>
      </c>
    </row>
    <row r="251" spans="1:6">
      <c r="A251" s="199">
        <f ca="1">IFERROR(__xludf.DUMMYFUNCTION("""COMPUTED_VALUE"""),44797)</f>
        <v>44797</v>
      </c>
      <c r="B251" s="6" t="str">
        <f ca="1">IFERROR(__xludf.DUMMYFUNCTION("""COMPUTED_VALUE"""),"Troverlo _2022")</f>
        <v>Troverlo _2022</v>
      </c>
      <c r="C251" s="6">
        <f ca="1">IFERROR(__xludf.DUMMYFUNCTION("""COMPUTED_VALUE"""),4)</f>
        <v>4</v>
      </c>
      <c r="D251" s="6" t="str">
        <f ca="1">IFERROR(__xludf.DUMMYFUNCTION("""COMPUTED_VALUE"""),"Digital Tech")</f>
        <v>Digital Tech</v>
      </c>
      <c r="E251" s="6" t="str">
        <f ca="1">IFERROR(__xludf.DUMMYFUNCTION("""COMPUTED_VALUE"""),"Invite")</f>
        <v>Invite</v>
      </c>
      <c r="F251" s="6" t="e">
        <f t="shared" ca="1" si="0"/>
        <v>#NAME?</v>
      </c>
    </row>
    <row r="252" spans="1:6">
      <c r="A252" s="199">
        <f ca="1">IFERROR(__xludf.DUMMYFUNCTION("""COMPUTED_VALUE"""),44797)</f>
        <v>44797</v>
      </c>
      <c r="B252" s="6" t="str">
        <f ca="1">IFERROR(__xludf.DUMMYFUNCTION("""COMPUTED_VALUE"""),"SOLO Secure _2022")</f>
        <v>SOLO Secure _2022</v>
      </c>
      <c r="C252" s="6">
        <f ca="1">IFERROR(__xludf.DUMMYFUNCTION("""COMPUTED_VALUE"""),4)</f>
        <v>4</v>
      </c>
      <c r="D252" s="6" t="str">
        <f ca="1">IFERROR(__xludf.DUMMYFUNCTION("""COMPUTED_VALUE"""),"Digital Tech")</f>
        <v>Digital Tech</v>
      </c>
      <c r="E252" s="6" t="str">
        <f ca="1">IFERROR(__xludf.DUMMYFUNCTION("""COMPUTED_VALUE"""),"Invite")</f>
        <v>Invite</v>
      </c>
      <c r="F252" s="6" t="e">
        <f t="shared" ca="1" si="0"/>
        <v>#NAME?</v>
      </c>
    </row>
    <row r="253" spans="1:6">
      <c r="A253" s="199">
        <f ca="1">IFERROR(__xludf.DUMMYFUNCTION("""COMPUTED_VALUE"""),44797)</f>
        <v>44797</v>
      </c>
      <c r="B253" s="6" t="str">
        <f ca="1">IFERROR(__xludf.DUMMYFUNCTION("""COMPUTED_VALUE"""),"Prazer Therapeutics _2022")</f>
        <v>Prazer Therapeutics _2022</v>
      </c>
      <c r="C253" s="6">
        <f ca="1">IFERROR(__xludf.DUMMYFUNCTION("""COMPUTED_VALUE"""),4)</f>
        <v>4</v>
      </c>
      <c r="D253" s="6" t="str">
        <f ca="1">IFERROR(__xludf.DUMMYFUNCTION("""COMPUTED_VALUE"""),"Life Sciences")</f>
        <v>Life Sciences</v>
      </c>
      <c r="E253" s="6" t="str">
        <f ca="1">IFERROR(__xludf.DUMMYFUNCTION("""COMPUTED_VALUE"""),"Invite")</f>
        <v>Invite</v>
      </c>
      <c r="F253" s="6" t="e">
        <f t="shared" ca="1" si="0"/>
        <v>#NAME?</v>
      </c>
    </row>
    <row r="254" spans="1:6">
      <c r="A254" s="199">
        <f ca="1">IFERROR(__xludf.DUMMYFUNCTION("""COMPUTED_VALUE"""),44797)</f>
        <v>44797</v>
      </c>
      <c r="B254" s="6" t="str">
        <f ca="1">IFERROR(__xludf.DUMMYFUNCTION("""COMPUTED_VALUE"""),"C-End, LLC _2022")</f>
        <v>C-End, LLC _2022</v>
      </c>
      <c r="C254" s="6">
        <f ca="1">IFERROR(__xludf.DUMMYFUNCTION("""COMPUTED_VALUE"""),4)</f>
        <v>4</v>
      </c>
      <c r="D254" s="6" t="str">
        <f ca="1">IFERROR(__xludf.DUMMYFUNCTION("""COMPUTED_VALUE"""),"Digital Tech")</f>
        <v>Digital Tech</v>
      </c>
      <c r="E254" s="6" t="str">
        <f ca="1">IFERROR(__xludf.DUMMYFUNCTION("""COMPUTED_VALUE"""),"Invite")</f>
        <v>Invite</v>
      </c>
      <c r="F254" s="6" t="e">
        <f t="shared" ca="1" si="0"/>
        <v>#NAME?</v>
      </c>
    </row>
    <row r="255" spans="1:6">
      <c r="A255" s="199">
        <f ca="1">IFERROR(__xludf.DUMMYFUNCTION("""COMPUTED_VALUE"""),44797)</f>
        <v>44797</v>
      </c>
      <c r="B255" s="6" t="str">
        <f ca="1">IFERROR(__xludf.DUMMYFUNCTION("""COMPUTED_VALUE"""),"Scale Biosciences, Inc _2022")</f>
        <v>Scale Biosciences, Inc _2022</v>
      </c>
      <c r="C255" s="6">
        <f ca="1">IFERROR(__xludf.DUMMYFUNCTION("""COMPUTED_VALUE"""),4)</f>
        <v>4</v>
      </c>
      <c r="D255" s="6" t="str">
        <f ca="1">IFERROR(__xludf.DUMMYFUNCTION("""COMPUTED_VALUE"""),"Life Sciences")</f>
        <v>Life Sciences</v>
      </c>
      <c r="E255" s="6" t="str">
        <f ca="1">IFERROR(__xludf.DUMMYFUNCTION("""COMPUTED_VALUE"""),"Invite")</f>
        <v>Invite</v>
      </c>
      <c r="F255" s="6" t="e">
        <f t="shared" ca="1" si="0"/>
        <v>#NAME?</v>
      </c>
    </row>
    <row r="256" spans="1:6">
      <c r="A256" s="199">
        <f ca="1">IFERROR(__xludf.DUMMYFUNCTION("""COMPUTED_VALUE"""),44797)</f>
        <v>44797</v>
      </c>
      <c r="B256" s="6" t="str">
        <f ca="1">IFERROR(__xludf.DUMMYFUNCTION("""COMPUTED_VALUE"""),"VC Cell Therapy _2022")</f>
        <v>VC Cell Therapy _2022</v>
      </c>
      <c r="C256" s="6">
        <f ca="1">IFERROR(__xludf.DUMMYFUNCTION("""COMPUTED_VALUE"""),4)</f>
        <v>4</v>
      </c>
      <c r="D256" s="6" t="str">
        <f ca="1">IFERROR(__xludf.DUMMYFUNCTION("""COMPUTED_VALUE"""),"Life Sciences")</f>
        <v>Life Sciences</v>
      </c>
      <c r="E256" s="6" t="str">
        <f ca="1">IFERROR(__xludf.DUMMYFUNCTION("""COMPUTED_VALUE"""),"Invite")</f>
        <v>Invite</v>
      </c>
      <c r="F256" s="6" t="e">
        <f t="shared" ca="1" si="0"/>
        <v>#NAME?</v>
      </c>
    </row>
    <row r="257" spans="1:6">
      <c r="A257" s="199">
        <f ca="1">IFERROR(__xludf.DUMMYFUNCTION("""COMPUTED_VALUE"""),44797)</f>
        <v>44797</v>
      </c>
      <c r="B257" s="6" t="str">
        <f ca="1">IFERROR(__xludf.DUMMYFUNCTION("""COMPUTED_VALUE"""),"Tripoverse _2022")</f>
        <v>Tripoverse _2022</v>
      </c>
      <c r="C257" s="6">
        <f ca="1">IFERROR(__xludf.DUMMYFUNCTION("""COMPUTED_VALUE"""),4)</f>
        <v>4</v>
      </c>
      <c r="D257" s="6" t="str">
        <f ca="1">IFERROR(__xludf.DUMMYFUNCTION("""COMPUTED_VALUE"""),"Digital Tech")</f>
        <v>Digital Tech</v>
      </c>
      <c r="E257" s="6" t="str">
        <f ca="1">IFERROR(__xludf.DUMMYFUNCTION("""COMPUTED_VALUE"""),"Invite")</f>
        <v>Invite</v>
      </c>
      <c r="F257" s="6" t="e">
        <f t="shared" ref="F257:F511" ca="1" si="1">_xludf.IFS(D257="Life Sciences","LS",D257="Digital Tech","DiT",D257="Deep Tech","DT")</f>
        <v>#NAME?</v>
      </c>
    </row>
    <row r="258" spans="1:6">
      <c r="A258" s="199">
        <f ca="1">IFERROR(__xludf.DUMMYFUNCTION("""COMPUTED_VALUE"""),44797)</f>
        <v>44797</v>
      </c>
      <c r="B258" s="6" t="str">
        <f ca="1">IFERROR(__xludf.DUMMYFUNCTION("""COMPUTED_VALUE"""),"refive _2022")</f>
        <v>refive _2022</v>
      </c>
      <c r="C258" s="6">
        <f ca="1">IFERROR(__xludf.DUMMYFUNCTION("""COMPUTED_VALUE"""),4)</f>
        <v>4</v>
      </c>
      <c r="D258" s="6" t="str">
        <f ca="1">IFERROR(__xludf.DUMMYFUNCTION("""COMPUTED_VALUE"""),"Digital Tech")</f>
        <v>Digital Tech</v>
      </c>
      <c r="E258" s="6" t="str">
        <f ca="1">IFERROR(__xludf.DUMMYFUNCTION("""COMPUTED_VALUE"""),"Invite")</f>
        <v>Invite</v>
      </c>
      <c r="F258" s="6" t="e">
        <f t="shared" ca="1" si="1"/>
        <v>#NAME?</v>
      </c>
    </row>
    <row r="259" spans="1:6">
      <c r="A259" s="199">
        <f ca="1">IFERROR(__xludf.DUMMYFUNCTION("""COMPUTED_VALUE"""),44797)</f>
        <v>44797</v>
      </c>
      <c r="B259" s="6" t="str">
        <f ca="1">IFERROR(__xludf.DUMMYFUNCTION("""COMPUTED_VALUE"""),"Forward Protocol _2022")</f>
        <v>Forward Protocol _2022</v>
      </c>
      <c r="C259" s="6">
        <f ca="1">IFERROR(__xludf.DUMMYFUNCTION("""COMPUTED_VALUE"""),4)</f>
        <v>4</v>
      </c>
      <c r="D259" s="6" t="str">
        <f ca="1">IFERROR(__xludf.DUMMYFUNCTION("""COMPUTED_VALUE"""),"Digital Tech")</f>
        <v>Digital Tech</v>
      </c>
      <c r="E259" s="6" t="str">
        <f ca="1">IFERROR(__xludf.DUMMYFUNCTION("""COMPUTED_VALUE"""),"Invite")</f>
        <v>Invite</v>
      </c>
      <c r="F259" s="6" t="e">
        <f t="shared" ca="1" si="1"/>
        <v>#NAME?</v>
      </c>
    </row>
    <row r="260" spans="1:6">
      <c r="A260" s="199">
        <f ca="1">IFERROR(__xludf.DUMMYFUNCTION("""COMPUTED_VALUE"""),44797)</f>
        <v>44797</v>
      </c>
      <c r="B260" s="6" t="str">
        <f ca="1">IFERROR(__xludf.DUMMYFUNCTION("""COMPUTED_VALUE"""),"AsisVisa Immigration Corp  _2022")</f>
        <v>AsisVisa Immigration Corp  _2022</v>
      </c>
      <c r="C260" s="6">
        <f ca="1">IFERROR(__xludf.DUMMYFUNCTION("""COMPUTED_VALUE"""),4)</f>
        <v>4</v>
      </c>
      <c r="D260" s="6" t="str">
        <f ca="1">IFERROR(__xludf.DUMMYFUNCTION("""COMPUTED_VALUE"""),"Digital Tech")</f>
        <v>Digital Tech</v>
      </c>
      <c r="E260" s="6" t="str">
        <f ca="1">IFERROR(__xludf.DUMMYFUNCTION("""COMPUTED_VALUE"""),"Invite Next Year")</f>
        <v>Invite Next Year</v>
      </c>
      <c r="F260" s="6" t="e">
        <f t="shared" ca="1" si="1"/>
        <v>#NAME?</v>
      </c>
    </row>
    <row r="261" spans="1:6">
      <c r="A261" s="199">
        <f ca="1">IFERROR(__xludf.DUMMYFUNCTION("""COMPUTED_VALUE"""),44797)</f>
        <v>44797</v>
      </c>
      <c r="B261" s="6" t="str">
        <f ca="1">IFERROR(__xludf.DUMMYFUNCTION("""COMPUTED_VALUE"""),"Orbit Genomics, Inc. _2022")</f>
        <v>Orbit Genomics, Inc. _2022</v>
      </c>
      <c r="C261" s="6">
        <f ca="1">IFERROR(__xludf.DUMMYFUNCTION("""COMPUTED_VALUE"""),4)</f>
        <v>4</v>
      </c>
      <c r="D261" s="6" t="str">
        <f ca="1">IFERROR(__xludf.DUMMYFUNCTION("""COMPUTED_VALUE"""),"Life Sciences")</f>
        <v>Life Sciences</v>
      </c>
      <c r="E261" s="6" t="str">
        <f ca="1">IFERROR(__xludf.DUMMYFUNCTION("""COMPUTED_VALUE"""),"Revisit/ Cluster")</f>
        <v>Revisit/ Cluster</v>
      </c>
      <c r="F261" s="6" t="e">
        <f t="shared" ca="1" si="1"/>
        <v>#NAME?</v>
      </c>
    </row>
    <row r="262" spans="1:6">
      <c r="A262" s="199">
        <f ca="1">IFERROR(__xludf.DUMMYFUNCTION("""COMPUTED_VALUE"""),44797)</f>
        <v>44797</v>
      </c>
      <c r="B262" s="6" t="str">
        <f ca="1">IFERROR(__xludf.DUMMYFUNCTION("""COMPUTED_VALUE"""),"Scrapays Inc _2022")</f>
        <v>Scrapays Inc _2022</v>
      </c>
      <c r="C262" s="6">
        <f ca="1">IFERROR(__xludf.DUMMYFUNCTION("""COMPUTED_VALUE"""),4)</f>
        <v>4</v>
      </c>
      <c r="D262" s="6" t="str">
        <f ca="1">IFERROR(__xludf.DUMMYFUNCTION("""COMPUTED_VALUE"""),"Digital Tech")</f>
        <v>Digital Tech</v>
      </c>
      <c r="E262" s="6" t="str">
        <f ca="1">IFERROR(__xludf.DUMMYFUNCTION("""COMPUTED_VALUE"""),"Invite")</f>
        <v>Invite</v>
      </c>
      <c r="F262" s="6" t="e">
        <f t="shared" ca="1" si="1"/>
        <v>#NAME?</v>
      </c>
    </row>
    <row r="263" spans="1:6">
      <c r="A263" s="199">
        <f ca="1">IFERROR(__xludf.DUMMYFUNCTION("""COMPUTED_VALUE"""),44797)</f>
        <v>44797</v>
      </c>
      <c r="B263" s="6" t="str">
        <f ca="1">IFERROR(__xludf.DUMMYFUNCTION("""COMPUTED_VALUE"""),"Truffle Health, Inc. _2022")</f>
        <v>Truffle Health, Inc. _2022</v>
      </c>
      <c r="C263" s="6">
        <f ca="1">IFERROR(__xludf.DUMMYFUNCTION("""COMPUTED_VALUE"""),4)</f>
        <v>4</v>
      </c>
      <c r="D263" s="6" t="str">
        <f ca="1">IFERROR(__xludf.DUMMYFUNCTION("""COMPUTED_VALUE"""),"Digital Tech")</f>
        <v>Digital Tech</v>
      </c>
      <c r="E263" s="6" t="str">
        <f ca="1">IFERROR(__xludf.DUMMYFUNCTION("""COMPUTED_VALUE"""),"Invite")</f>
        <v>Invite</v>
      </c>
      <c r="F263" s="6" t="e">
        <f t="shared" ca="1" si="1"/>
        <v>#NAME?</v>
      </c>
    </row>
    <row r="264" spans="1:6">
      <c r="A264" s="199">
        <f ca="1">IFERROR(__xludf.DUMMYFUNCTION("""COMPUTED_VALUE"""),44797)</f>
        <v>44797</v>
      </c>
      <c r="B264" s="6" t="str">
        <f ca="1">IFERROR(__xludf.DUMMYFUNCTION("""COMPUTED_VALUE"""),"Timedrips Kft. _2022")</f>
        <v>Timedrips Kft. _2022</v>
      </c>
      <c r="C264" s="6">
        <f ca="1">IFERROR(__xludf.DUMMYFUNCTION("""COMPUTED_VALUE"""),4)</f>
        <v>4</v>
      </c>
      <c r="D264" s="6" t="str">
        <f ca="1">IFERROR(__xludf.DUMMYFUNCTION("""COMPUTED_VALUE"""),"Deep Tech")</f>
        <v>Deep Tech</v>
      </c>
      <c r="E264" s="6" t="str">
        <f ca="1">IFERROR(__xludf.DUMMYFUNCTION("""COMPUTED_VALUE"""),"Invite")</f>
        <v>Invite</v>
      </c>
      <c r="F264" s="6" t="e">
        <f t="shared" ca="1" si="1"/>
        <v>#NAME?</v>
      </c>
    </row>
    <row r="265" spans="1:6">
      <c r="A265" s="199">
        <f ca="1">IFERROR(__xludf.DUMMYFUNCTION("""COMPUTED_VALUE"""),44782)</f>
        <v>44782</v>
      </c>
      <c r="B265" s="6" t="str">
        <f ca="1">IFERROR(__xludf.DUMMYFUNCTION("""COMPUTED_VALUE"""),"Health Cost IQ _2022")</f>
        <v>Health Cost IQ _2022</v>
      </c>
      <c r="C265" s="6">
        <f ca="1">IFERROR(__xludf.DUMMYFUNCTION("""COMPUTED_VALUE"""),3.88)</f>
        <v>3.88</v>
      </c>
      <c r="D265" s="6" t="str">
        <f ca="1">IFERROR(__xludf.DUMMYFUNCTION("""COMPUTED_VALUE"""),"Digital Tech")</f>
        <v>Digital Tech</v>
      </c>
      <c r="E265" s="6" t="str">
        <f ca="1">IFERROR(__xludf.DUMMYFUNCTION("""COMPUTED_VALUE"""),"Invite")</f>
        <v>Invite</v>
      </c>
      <c r="F265" s="6" t="e">
        <f t="shared" ca="1" si="1"/>
        <v>#NAME?</v>
      </c>
    </row>
    <row r="266" spans="1:6">
      <c r="A266" s="199">
        <f ca="1">IFERROR(__xludf.DUMMYFUNCTION("""COMPUTED_VALUE"""),44782)</f>
        <v>44782</v>
      </c>
      <c r="B266" s="6" t="str">
        <f ca="1">IFERROR(__xludf.DUMMYFUNCTION("""COMPUTED_VALUE"""),"Engage Labs _2022")</f>
        <v>Engage Labs _2022</v>
      </c>
      <c r="C266" s="6">
        <f ca="1">IFERROR(__xludf.DUMMYFUNCTION("""COMPUTED_VALUE"""),3.88)</f>
        <v>3.88</v>
      </c>
      <c r="D266" s="6" t="str">
        <f ca="1">IFERROR(__xludf.DUMMYFUNCTION("""COMPUTED_VALUE"""),"Digital Tech")</f>
        <v>Digital Tech</v>
      </c>
      <c r="E266" s="6" t="str">
        <f ca="1">IFERROR(__xludf.DUMMYFUNCTION("""COMPUTED_VALUE"""),"Revisit/ Cluster")</f>
        <v>Revisit/ Cluster</v>
      </c>
      <c r="F266" s="6" t="e">
        <f t="shared" ca="1" si="1"/>
        <v>#NAME?</v>
      </c>
    </row>
    <row r="267" spans="1:6">
      <c r="A267" s="199">
        <f ca="1">IFERROR(__xludf.DUMMYFUNCTION("""COMPUTED_VALUE"""),44789)</f>
        <v>44789</v>
      </c>
      <c r="B267" s="6" t="str">
        <f ca="1">IFERROR(__xludf.DUMMYFUNCTION("""COMPUTED_VALUE"""),"Impilo _2022")</f>
        <v>Impilo _2022</v>
      </c>
      <c r="C267" s="6">
        <f ca="1">IFERROR(__xludf.DUMMYFUNCTION("""COMPUTED_VALUE"""),3.88)</f>
        <v>3.88</v>
      </c>
      <c r="D267" s="6" t="str">
        <f ca="1">IFERROR(__xludf.DUMMYFUNCTION("""COMPUTED_VALUE"""),"Digital Tech")</f>
        <v>Digital Tech</v>
      </c>
      <c r="E267" s="6" t="str">
        <f ca="1">IFERROR(__xludf.DUMMYFUNCTION("""COMPUTED_VALUE"""),"Invite")</f>
        <v>Invite</v>
      </c>
      <c r="F267" s="6" t="e">
        <f t="shared" ca="1" si="1"/>
        <v>#NAME?</v>
      </c>
    </row>
    <row r="268" spans="1:6">
      <c r="A268" s="199">
        <f ca="1">IFERROR(__xludf.DUMMYFUNCTION("""COMPUTED_VALUE"""),44789)</f>
        <v>44789</v>
      </c>
      <c r="B268" s="6" t="str">
        <f ca="1">IFERROR(__xludf.DUMMYFUNCTION("""COMPUTED_VALUE"""),"Relyon.ai _2022")</f>
        <v>Relyon.ai _2022</v>
      </c>
      <c r="C268" s="6">
        <f ca="1">IFERROR(__xludf.DUMMYFUNCTION("""COMPUTED_VALUE"""),3.88)</f>
        <v>3.88</v>
      </c>
      <c r="D268" s="6" t="str">
        <f ca="1">IFERROR(__xludf.DUMMYFUNCTION("""COMPUTED_VALUE"""),"Digital Tech")</f>
        <v>Digital Tech</v>
      </c>
      <c r="E268" s="6" t="str">
        <f ca="1">IFERROR(__xludf.DUMMYFUNCTION("""COMPUTED_VALUE"""),"Invite Next Year")</f>
        <v>Invite Next Year</v>
      </c>
      <c r="F268" s="6" t="e">
        <f t="shared" ca="1" si="1"/>
        <v>#NAME?</v>
      </c>
    </row>
    <row r="269" spans="1:6">
      <c r="A269" s="199">
        <f ca="1">IFERROR(__xludf.DUMMYFUNCTION("""COMPUTED_VALUE"""),44789)</f>
        <v>44789</v>
      </c>
      <c r="B269" s="6" t="str">
        <f ca="1">IFERROR(__xludf.DUMMYFUNCTION("""COMPUTED_VALUE"""),"ConConnect _2022")</f>
        <v>ConConnect _2022</v>
      </c>
      <c r="C269" s="6">
        <f ca="1">IFERROR(__xludf.DUMMYFUNCTION("""COMPUTED_VALUE"""),3.88)</f>
        <v>3.88</v>
      </c>
      <c r="D269" s="6" t="str">
        <f ca="1">IFERROR(__xludf.DUMMYFUNCTION("""COMPUTED_VALUE"""),"Digital Tech")</f>
        <v>Digital Tech</v>
      </c>
      <c r="E269" s="6" t="str">
        <f ca="1">IFERROR(__xludf.DUMMYFUNCTION("""COMPUTED_VALUE"""),"Invite")</f>
        <v>Invite</v>
      </c>
      <c r="F269" s="6" t="e">
        <f t="shared" ca="1" si="1"/>
        <v>#NAME?</v>
      </c>
    </row>
    <row r="270" spans="1:6">
      <c r="A270" s="199">
        <f ca="1">IFERROR(__xludf.DUMMYFUNCTION("""COMPUTED_VALUE"""),44791)</f>
        <v>44791</v>
      </c>
      <c r="B270" s="6" t="str">
        <f ca="1">IFERROR(__xludf.DUMMYFUNCTION("""COMPUTED_VALUE"""),"Sensible Biotechnologies _2022")</f>
        <v>Sensible Biotechnologies _2022</v>
      </c>
      <c r="C270" s="6">
        <f ca="1">IFERROR(__xludf.DUMMYFUNCTION("""COMPUTED_VALUE"""),3.88)</f>
        <v>3.88</v>
      </c>
      <c r="D270" s="6" t="str">
        <f ca="1">IFERROR(__xludf.DUMMYFUNCTION("""COMPUTED_VALUE"""),"Life Sciences")</f>
        <v>Life Sciences</v>
      </c>
      <c r="E270" s="6" t="str">
        <f ca="1">IFERROR(__xludf.DUMMYFUNCTION("""COMPUTED_VALUE"""),"Invite Next Year")</f>
        <v>Invite Next Year</v>
      </c>
      <c r="F270" s="6" t="e">
        <f t="shared" ca="1" si="1"/>
        <v>#NAME?</v>
      </c>
    </row>
    <row r="271" spans="1:6">
      <c r="A271" s="199">
        <f ca="1">IFERROR(__xludf.DUMMYFUNCTION("""COMPUTED_VALUE"""),44796)</f>
        <v>44796</v>
      </c>
      <c r="B271" s="6" t="str">
        <f ca="1">IFERROR(__xludf.DUMMYFUNCTION("""COMPUTED_VALUE"""),"Anima Interactive _2022")</f>
        <v>Anima Interactive _2022</v>
      </c>
      <c r="C271" s="6">
        <f ca="1">IFERROR(__xludf.DUMMYFUNCTION("""COMPUTED_VALUE"""),3.88)</f>
        <v>3.88</v>
      </c>
      <c r="D271" s="6" t="str">
        <f ca="1">IFERROR(__xludf.DUMMYFUNCTION("""COMPUTED_VALUE"""),"Digital Tech")</f>
        <v>Digital Tech</v>
      </c>
      <c r="E271" s="6" t="str">
        <f ca="1">IFERROR(__xludf.DUMMYFUNCTION("""COMPUTED_VALUE"""),"Invite Next Year")</f>
        <v>Invite Next Year</v>
      </c>
      <c r="F271" s="6" t="e">
        <f t="shared" ca="1" si="1"/>
        <v>#NAME?</v>
      </c>
    </row>
    <row r="272" spans="1:6">
      <c r="A272" s="199">
        <f ca="1">IFERROR(__xludf.DUMMYFUNCTION("""COMPUTED_VALUE"""),44776)</f>
        <v>44776</v>
      </c>
      <c r="B272" s="6" t="str">
        <f ca="1">IFERROR(__xludf.DUMMYFUNCTION("""COMPUTED_VALUE"""),"Spiky.ai _2022")</f>
        <v>Spiky.ai _2022</v>
      </c>
      <c r="C272" s="6">
        <f ca="1">IFERROR(__xludf.DUMMYFUNCTION("""COMPUTED_VALUE"""),3.75)</f>
        <v>3.75</v>
      </c>
      <c r="D272" s="6" t="str">
        <f ca="1">IFERROR(__xludf.DUMMYFUNCTION("""COMPUTED_VALUE"""),"Digital Tech")</f>
        <v>Digital Tech</v>
      </c>
      <c r="E272" s="6" t="str">
        <f ca="1">IFERROR(__xludf.DUMMYFUNCTION("""COMPUTED_VALUE"""),"Revisit/ Cluster")</f>
        <v>Revisit/ Cluster</v>
      </c>
      <c r="F272" s="6" t="e">
        <f t="shared" ca="1" si="1"/>
        <v>#NAME?</v>
      </c>
    </row>
    <row r="273" spans="1:6">
      <c r="A273" s="199">
        <f ca="1">IFERROR(__xludf.DUMMYFUNCTION("""COMPUTED_VALUE"""),44776)</f>
        <v>44776</v>
      </c>
      <c r="B273" s="6" t="str">
        <f ca="1">IFERROR(__xludf.DUMMYFUNCTION("""COMPUTED_VALUE"""),"staex GmbH _2022")</f>
        <v>staex GmbH _2022</v>
      </c>
      <c r="C273" s="6">
        <f ca="1">IFERROR(__xludf.DUMMYFUNCTION("""COMPUTED_VALUE"""),3.75)</f>
        <v>3.75</v>
      </c>
      <c r="D273" s="6" t="str">
        <f ca="1">IFERROR(__xludf.DUMMYFUNCTION("""COMPUTED_VALUE"""),"Digital Tech")</f>
        <v>Digital Tech</v>
      </c>
      <c r="E273" s="6" t="str">
        <f ca="1">IFERROR(__xludf.DUMMYFUNCTION("""COMPUTED_VALUE"""),"Revisit")</f>
        <v>Revisit</v>
      </c>
      <c r="F273" s="6" t="e">
        <f t="shared" ca="1" si="1"/>
        <v>#NAME?</v>
      </c>
    </row>
    <row r="274" spans="1:6">
      <c r="A274" s="199">
        <f ca="1">IFERROR(__xludf.DUMMYFUNCTION("""COMPUTED_VALUE"""),44776)</f>
        <v>44776</v>
      </c>
      <c r="B274" s="6" t="str">
        <f ca="1">IFERROR(__xludf.DUMMYFUNCTION("""COMPUTED_VALUE"""),"Immergo Labs, Inc. _2022")</f>
        <v>Immergo Labs, Inc. _2022</v>
      </c>
      <c r="C274" s="6">
        <f ca="1">IFERROR(__xludf.DUMMYFUNCTION("""COMPUTED_VALUE"""),3.75)</f>
        <v>3.75</v>
      </c>
      <c r="D274" s="6" t="str">
        <f ca="1">IFERROR(__xludf.DUMMYFUNCTION("""COMPUTED_VALUE"""),"Digital Tech")</f>
        <v>Digital Tech</v>
      </c>
      <c r="E274" s="6" t="str">
        <f ca="1">IFERROR(__xludf.DUMMYFUNCTION("""COMPUTED_VALUE"""),"Invite Next Year")</f>
        <v>Invite Next Year</v>
      </c>
      <c r="F274" s="6" t="e">
        <f t="shared" ca="1" si="1"/>
        <v>#NAME?</v>
      </c>
    </row>
    <row r="275" spans="1:6">
      <c r="A275" s="199">
        <f ca="1">IFERROR(__xludf.DUMMYFUNCTION("""COMPUTED_VALUE"""),44782)</f>
        <v>44782</v>
      </c>
      <c r="B275" s="6" t="str">
        <f ca="1">IFERROR(__xludf.DUMMYFUNCTION("""COMPUTED_VALUE"""),"Counter-Intuitive Cooking Inc. _2022")</f>
        <v>Counter-Intuitive Cooking Inc. _2022</v>
      </c>
      <c r="C275" s="6">
        <f ca="1">IFERROR(__xludf.DUMMYFUNCTION("""COMPUTED_VALUE"""),3.75)</f>
        <v>3.75</v>
      </c>
      <c r="D275" s="6" t="str">
        <f ca="1">IFERROR(__xludf.DUMMYFUNCTION("""COMPUTED_VALUE"""),"Deep Tech")</f>
        <v>Deep Tech</v>
      </c>
      <c r="E275" s="6" t="str">
        <f ca="1">IFERROR(__xludf.DUMMYFUNCTION("""COMPUTED_VALUE"""),"Invite Next Year")</f>
        <v>Invite Next Year</v>
      </c>
      <c r="F275" s="6" t="e">
        <f t="shared" ca="1" si="1"/>
        <v>#NAME?</v>
      </c>
    </row>
    <row r="276" spans="1:6">
      <c r="A276" s="199">
        <f ca="1">IFERROR(__xludf.DUMMYFUNCTION("""COMPUTED_VALUE"""),44782)</f>
        <v>44782</v>
      </c>
      <c r="B276" s="6" t="str">
        <f ca="1">IFERROR(__xludf.DUMMYFUNCTION("""COMPUTED_VALUE"""),"DELIVERS.AI _2022")</f>
        <v>DELIVERS.AI _2022</v>
      </c>
      <c r="C276" s="6">
        <f ca="1">IFERROR(__xludf.DUMMYFUNCTION("""COMPUTED_VALUE"""),3.75)</f>
        <v>3.75</v>
      </c>
      <c r="D276" s="6" t="str">
        <f ca="1">IFERROR(__xludf.DUMMYFUNCTION("""COMPUTED_VALUE"""),"Deep Tech")</f>
        <v>Deep Tech</v>
      </c>
      <c r="E276" s="6" t="str">
        <f ca="1">IFERROR(__xludf.DUMMYFUNCTION("""COMPUTED_VALUE"""),"Revisit/ Cluster")</f>
        <v>Revisit/ Cluster</v>
      </c>
      <c r="F276" s="6" t="e">
        <f t="shared" ca="1" si="1"/>
        <v>#NAME?</v>
      </c>
    </row>
    <row r="277" spans="1:6">
      <c r="A277" s="199">
        <f ca="1">IFERROR(__xludf.DUMMYFUNCTION("""COMPUTED_VALUE"""),44782)</f>
        <v>44782</v>
      </c>
      <c r="B277" s="6" t="str">
        <f ca="1">IFERROR(__xludf.DUMMYFUNCTION("""COMPUTED_VALUE"""),"Renew Risk _2022")</f>
        <v>Renew Risk _2022</v>
      </c>
      <c r="C277" s="6">
        <f ca="1">IFERROR(__xludf.DUMMYFUNCTION("""COMPUTED_VALUE"""),3.75)</f>
        <v>3.75</v>
      </c>
      <c r="D277" s="6" t="str">
        <f ca="1">IFERROR(__xludf.DUMMYFUNCTION("""COMPUTED_VALUE"""),"Deep Tech")</f>
        <v>Deep Tech</v>
      </c>
      <c r="E277" s="6" t="str">
        <f ca="1">IFERROR(__xludf.DUMMYFUNCTION("""COMPUTED_VALUE"""),"Revisit")</f>
        <v>Revisit</v>
      </c>
      <c r="F277" s="6" t="e">
        <f t="shared" ca="1" si="1"/>
        <v>#NAME?</v>
      </c>
    </row>
    <row r="278" spans="1:6">
      <c r="A278" s="199">
        <f ca="1">IFERROR(__xludf.DUMMYFUNCTION("""COMPUTED_VALUE"""),44782)</f>
        <v>44782</v>
      </c>
      <c r="B278" s="6" t="str">
        <f ca="1">IFERROR(__xludf.DUMMYFUNCTION("""COMPUTED_VALUE"""),"Promin Aerospace _2022")</f>
        <v>Promin Aerospace _2022</v>
      </c>
      <c r="C278" s="6">
        <f ca="1">IFERROR(__xludf.DUMMYFUNCTION("""COMPUTED_VALUE"""),3.75)</f>
        <v>3.75</v>
      </c>
      <c r="D278" s="6" t="str">
        <f ca="1">IFERROR(__xludf.DUMMYFUNCTION("""COMPUTED_VALUE"""),"Deep Tech")</f>
        <v>Deep Tech</v>
      </c>
      <c r="E278" s="6" t="str">
        <f ca="1">IFERROR(__xludf.DUMMYFUNCTION("""COMPUTED_VALUE"""),"Revisit/ Cluster")</f>
        <v>Revisit/ Cluster</v>
      </c>
      <c r="F278" s="6" t="e">
        <f t="shared" ca="1" si="1"/>
        <v>#NAME?</v>
      </c>
    </row>
    <row r="279" spans="1:6">
      <c r="A279" s="199">
        <f ca="1">IFERROR(__xludf.DUMMYFUNCTION("""COMPUTED_VALUE"""),44782)</f>
        <v>44782</v>
      </c>
      <c r="B279" s="6" t="str">
        <f ca="1">IFERROR(__xludf.DUMMYFUNCTION("""COMPUTED_VALUE"""),"RaSpect _2022")</f>
        <v>RaSpect _2022</v>
      </c>
      <c r="C279" s="6">
        <f ca="1">IFERROR(__xludf.DUMMYFUNCTION("""COMPUTED_VALUE"""),3.75)</f>
        <v>3.75</v>
      </c>
      <c r="D279" s="6" t="str">
        <f ca="1">IFERROR(__xludf.DUMMYFUNCTION("""COMPUTED_VALUE"""),"Deep Tech")</f>
        <v>Deep Tech</v>
      </c>
      <c r="E279" s="6" t="str">
        <f ca="1">IFERROR(__xludf.DUMMYFUNCTION("""COMPUTED_VALUE"""),"Revisit")</f>
        <v>Revisit</v>
      </c>
      <c r="F279" s="6" t="e">
        <f t="shared" ca="1" si="1"/>
        <v>#NAME?</v>
      </c>
    </row>
    <row r="280" spans="1:6">
      <c r="A280" s="199">
        <f ca="1">IFERROR(__xludf.DUMMYFUNCTION("""COMPUTED_VALUE"""),44782)</f>
        <v>44782</v>
      </c>
      <c r="B280" s="6" t="str">
        <f ca="1">IFERROR(__xludf.DUMMYFUNCTION("""COMPUTED_VALUE"""),"Silicon Technologies, Inc. _2022")</f>
        <v>Silicon Technologies, Inc. _2022</v>
      </c>
      <c r="C280" s="6">
        <f ca="1">IFERROR(__xludf.DUMMYFUNCTION("""COMPUTED_VALUE"""),3.75)</f>
        <v>3.75</v>
      </c>
      <c r="D280" s="6" t="str">
        <f ca="1">IFERROR(__xludf.DUMMYFUNCTION("""COMPUTED_VALUE"""),"Deep Tech")</f>
        <v>Deep Tech</v>
      </c>
      <c r="E280" s="6" t="str">
        <f ca="1">IFERROR(__xludf.DUMMYFUNCTION("""COMPUTED_VALUE"""),"Invite")</f>
        <v>Invite</v>
      </c>
      <c r="F280" s="6" t="e">
        <f t="shared" ca="1" si="1"/>
        <v>#NAME?</v>
      </c>
    </row>
    <row r="281" spans="1:6">
      <c r="A281" s="199">
        <f ca="1">IFERROR(__xludf.DUMMYFUNCTION("""COMPUTED_VALUE"""),44782)</f>
        <v>44782</v>
      </c>
      <c r="B281" s="6" t="str">
        <f ca="1">IFERROR(__xludf.DUMMYFUNCTION("""COMPUTED_VALUE"""),"Straylight Systems _2022")</f>
        <v>Straylight Systems _2022</v>
      </c>
      <c r="C281" s="6">
        <f ca="1">IFERROR(__xludf.DUMMYFUNCTION("""COMPUTED_VALUE"""),3.75)</f>
        <v>3.75</v>
      </c>
      <c r="D281" s="6" t="str">
        <f ca="1">IFERROR(__xludf.DUMMYFUNCTION("""COMPUTED_VALUE"""),"Deep Tech")</f>
        <v>Deep Tech</v>
      </c>
      <c r="E281" s="6" t="str">
        <f ca="1">IFERROR(__xludf.DUMMYFUNCTION("""COMPUTED_VALUE"""),"Revisit")</f>
        <v>Revisit</v>
      </c>
      <c r="F281" s="6" t="e">
        <f t="shared" ca="1" si="1"/>
        <v>#NAME?</v>
      </c>
    </row>
    <row r="282" spans="1:6">
      <c r="A282" s="199">
        <f ca="1">IFERROR(__xludf.DUMMYFUNCTION("""COMPUTED_VALUE"""),44782)</f>
        <v>44782</v>
      </c>
      <c r="B282" s="6" t="str">
        <f ca="1">IFERROR(__xludf.DUMMYFUNCTION("""COMPUTED_VALUE"""),"Rebound Technologies, Inc.  _2022")</f>
        <v>Rebound Technologies, Inc.  _2022</v>
      </c>
      <c r="C282" s="6">
        <f ca="1">IFERROR(__xludf.DUMMYFUNCTION("""COMPUTED_VALUE"""),3.75)</f>
        <v>3.75</v>
      </c>
      <c r="D282" s="6" t="str">
        <f ca="1">IFERROR(__xludf.DUMMYFUNCTION("""COMPUTED_VALUE"""),"Deep Tech")</f>
        <v>Deep Tech</v>
      </c>
      <c r="E282" s="6" t="str">
        <f ca="1">IFERROR(__xludf.DUMMYFUNCTION("""COMPUTED_VALUE"""),"Revisit/ Cluster")</f>
        <v>Revisit/ Cluster</v>
      </c>
      <c r="F282" s="6" t="e">
        <f t="shared" ca="1" si="1"/>
        <v>#NAME?</v>
      </c>
    </row>
    <row r="283" spans="1:6">
      <c r="A283" s="199">
        <f ca="1">IFERROR(__xludf.DUMMYFUNCTION("""COMPUTED_VALUE"""),44782)</f>
        <v>44782</v>
      </c>
      <c r="B283" s="6" t="str">
        <f ca="1">IFERROR(__xludf.DUMMYFUNCTION("""COMPUTED_VALUE"""),"RAADYSAN BIOTECH, INC. _2022")</f>
        <v>RAADYSAN BIOTECH, INC. _2022</v>
      </c>
      <c r="C283" s="6">
        <f ca="1">IFERROR(__xludf.DUMMYFUNCTION("""COMPUTED_VALUE"""),3.75)</f>
        <v>3.75</v>
      </c>
      <c r="D283" s="6" t="str">
        <f ca="1">IFERROR(__xludf.DUMMYFUNCTION("""COMPUTED_VALUE"""),"Life Sciences")</f>
        <v>Life Sciences</v>
      </c>
      <c r="E283" s="6" t="str">
        <f ca="1">IFERROR(__xludf.DUMMYFUNCTION("""COMPUTED_VALUE"""),"Special Reject")</f>
        <v>Special Reject</v>
      </c>
      <c r="F283" s="6" t="e">
        <f t="shared" ca="1" si="1"/>
        <v>#NAME?</v>
      </c>
    </row>
    <row r="284" spans="1:6">
      <c r="A284" s="199">
        <f ca="1">IFERROR(__xludf.DUMMYFUNCTION("""COMPUTED_VALUE"""),44782)</f>
        <v>44782</v>
      </c>
      <c r="B284" s="6" t="str">
        <f ca="1">IFERROR(__xludf.DUMMYFUNCTION("""COMPUTED_VALUE"""),"Iryss, Inc _2022")</f>
        <v>Iryss, Inc _2022</v>
      </c>
      <c r="C284" s="6">
        <f ca="1">IFERROR(__xludf.DUMMYFUNCTION("""COMPUTED_VALUE"""),3.75)</f>
        <v>3.75</v>
      </c>
      <c r="D284" s="6" t="str">
        <f ca="1">IFERROR(__xludf.DUMMYFUNCTION("""COMPUTED_VALUE"""),"Digital Tech")</f>
        <v>Digital Tech</v>
      </c>
      <c r="E284" s="6" t="str">
        <f ca="1">IFERROR(__xludf.DUMMYFUNCTION("""COMPUTED_VALUE"""),"Revisit/ Cluster")</f>
        <v>Revisit/ Cluster</v>
      </c>
      <c r="F284" s="6" t="e">
        <f t="shared" ca="1" si="1"/>
        <v>#NAME?</v>
      </c>
    </row>
    <row r="285" spans="1:6">
      <c r="A285" s="199">
        <f ca="1">IFERROR(__xludf.DUMMYFUNCTION("""COMPUTED_VALUE"""),44784)</f>
        <v>44784</v>
      </c>
      <c r="B285" s="6" t="str">
        <f ca="1">IFERROR(__xludf.DUMMYFUNCTION("""COMPUTED_VALUE"""),"REEV _2022")</f>
        <v>REEV _2022</v>
      </c>
      <c r="C285" s="6">
        <f ca="1">IFERROR(__xludf.DUMMYFUNCTION("""COMPUTED_VALUE"""),3.75)</f>
        <v>3.75</v>
      </c>
      <c r="D285" s="6" t="str">
        <f ca="1">IFERROR(__xludf.DUMMYFUNCTION("""COMPUTED_VALUE"""),"Deep Tech")</f>
        <v>Deep Tech</v>
      </c>
      <c r="E285" s="6" t="str">
        <f ca="1">IFERROR(__xludf.DUMMYFUNCTION("""COMPUTED_VALUE"""),"Revisit/ Cluster")</f>
        <v>Revisit/ Cluster</v>
      </c>
      <c r="F285" s="6" t="e">
        <f t="shared" ca="1" si="1"/>
        <v>#NAME?</v>
      </c>
    </row>
    <row r="286" spans="1:6">
      <c r="A286" s="199">
        <f ca="1">IFERROR(__xludf.DUMMYFUNCTION("""COMPUTED_VALUE"""),44784)</f>
        <v>44784</v>
      </c>
      <c r="B286" s="6" t="str">
        <f ca="1">IFERROR(__xludf.DUMMYFUNCTION("""COMPUTED_VALUE"""),"Logie _2022")</f>
        <v>Logie _2022</v>
      </c>
      <c r="C286" s="6">
        <f ca="1">IFERROR(__xludf.DUMMYFUNCTION("""COMPUTED_VALUE"""),3.75)</f>
        <v>3.75</v>
      </c>
      <c r="D286" s="6" t="str">
        <f ca="1">IFERROR(__xludf.DUMMYFUNCTION("""COMPUTED_VALUE"""),"Digital Tech")</f>
        <v>Digital Tech</v>
      </c>
      <c r="E286" s="6" t="str">
        <f ca="1">IFERROR(__xludf.DUMMYFUNCTION("""COMPUTED_VALUE"""),"Invite Next Year")</f>
        <v>Invite Next Year</v>
      </c>
      <c r="F286" s="6" t="e">
        <f t="shared" ca="1" si="1"/>
        <v>#NAME?</v>
      </c>
    </row>
    <row r="287" spans="1:6">
      <c r="A287" s="199">
        <f ca="1">IFERROR(__xludf.DUMMYFUNCTION("""COMPUTED_VALUE"""),44784)</f>
        <v>44784</v>
      </c>
      <c r="B287" s="6" t="str">
        <f ca="1">IFERROR(__xludf.DUMMYFUNCTION("""COMPUTED_VALUE"""),"Safety Arms Systems _2022")</f>
        <v>Safety Arms Systems _2022</v>
      </c>
      <c r="C287" s="6">
        <f ca="1">IFERROR(__xludf.DUMMYFUNCTION("""COMPUTED_VALUE"""),3.75)</f>
        <v>3.75</v>
      </c>
      <c r="D287" s="6" t="str">
        <f ca="1">IFERROR(__xludf.DUMMYFUNCTION("""COMPUTED_VALUE"""),"Deep Tech")</f>
        <v>Deep Tech</v>
      </c>
      <c r="E287" s="6" t="str">
        <f ca="1">IFERROR(__xludf.DUMMYFUNCTION("""COMPUTED_VALUE"""),"Revisit")</f>
        <v>Revisit</v>
      </c>
      <c r="F287" s="6" t="e">
        <f t="shared" ca="1" si="1"/>
        <v>#NAME?</v>
      </c>
    </row>
    <row r="288" spans="1:6">
      <c r="A288" s="199">
        <f ca="1">IFERROR(__xludf.DUMMYFUNCTION("""COMPUTED_VALUE"""),44784)</f>
        <v>44784</v>
      </c>
      <c r="B288" s="6" t="str">
        <f ca="1">IFERROR(__xludf.DUMMYFUNCTION("""COMPUTED_VALUE"""),"LevelFields _2022")</f>
        <v>LevelFields _2022</v>
      </c>
      <c r="C288" s="6">
        <f ca="1">IFERROR(__xludf.DUMMYFUNCTION("""COMPUTED_VALUE"""),3.75)</f>
        <v>3.75</v>
      </c>
      <c r="D288" s="6" t="str">
        <f ca="1">IFERROR(__xludf.DUMMYFUNCTION("""COMPUTED_VALUE"""),"Digital Tech")</f>
        <v>Digital Tech</v>
      </c>
      <c r="E288" s="6" t="str">
        <f ca="1">IFERROR(__xludf.DUMMYFUNCTION("""COMPUTED_VALUE"""),"Invite")</f>
        <v>Invite</v>
      </c>
      <c r="F288" s="6" t="e">
        <f t="shared" ca="1" si="1"/>
        <v>#NAME?</v>
      </c>
    </row>
    <row r="289" spans="1:6">
      <c r="A289" s="199">
        <f ca="1">IFERROR(__xludf.DUMMYFUNCTION("""COMPUTED_VALUE"""),44784)</f>
        <v>44784</v>
      </c>
      <c r="B289" s="6" t="str">
        <f ca="1">IFERROR(__xludf.DUMMYFUNCTION("""COMPUTED_VALUE"""),"CRISP-HR Therapeutics _2022")</f>
        <v>CRISP-HR Therapeutics _2022</v>
      </c>
      <c r="C289" s="6">
        <f ca="1">IFERROR(__xludf.DUMMYFUNCTION("""COMPUTED_VALUE"""),3.75)</f>
        <v>3.75</v>
      </c>
      <c r="D289" s="6" t="str">
        <f ca="1">IFERROR(__xludf.DUMMYFUNCTION("""COMPUTED_VALUE"""),"Life Sciences")</f>
        <v>Life Sciences</v>
      </c>
      <c r="E289" s="6" t="str">
        <f ca="1">IFERROR(__xludf.DUMMYFUNCTION("""COMPUTED_VALUE"""),"Revisit/ Cluster")</f>
        <v>Revisit/ Cluster</v>
      </c>
      <c r="F289" s="6" t="e">
        <f t="shared" ca="1" si="1"/>
        <v>#NAME?</v>
      </c>
    </row>
    <row r="290" spans="1:6">
      <c r="A290" s="199">
        <f ca="1">IFERROR(__xludf.DUMMYFUNCTION("""COMPUTED_VALUE"""),44784)</f>
        <v>44784</v>
      </c>
      <c r="B290" s="6" t="str">
        <f ca="1">IFERROR(__xludf.DUMMYFUNCTION("""COMPUTED_VALUE"""),"Rockland Technimed limited _2022")</f>
        <v>Rockland Technimed limited _2022</v>
      </c>
      <c r="C290" s="6">
        <f ca="1">IFERROR(__xludf.DUMMYFUNCTION("""COMPUTED_VALUE"""),3.75)</f>
        <v>3.75</v>
      </c>
      <c r="D290" s="6" t="str">
        <f ca="1">IFERROR(__xludf.DUMMYFUNCTION("""COMPUTED_VALUE"""),"Deep Tech")</f>
        <v>Deep Tech</v>
      </c>
      <c r="E290" s="6" t="str">
        <f ca="1">IFERROR(__xludf.DUMMYFUNCTION("""COMPUTED_VALUE"""),"Revisit/ Cluster")</f>
        <v>Revisit/ Cluster</v>
      </c>
      <c r="F290" s="6" t="e">
        <f t="shared" ca="1" si="1"/>
        <v>#NAME?</v>
      </c>
    </row>
    <row r="291" spans="1:6">
      <c r="A291" s="199">
        <f ca="1">IFERROR(__xludf.DUMMYFUNCTION("""COMPUTED_VALUE"""),44784)</f>
        <v>44784</v>
      </c>
      <c r="B291" s="6" t="str">
        <f ca="1">IFERROR(__xludf.DUMMYFUNCTION("""COMPUTED_VALUE"""),"Skyline Nav AI Inc. _2022")</f>
        <v>Skyline Nav AI Inc. _2022</v>
      </c>
      <c r="C291" s="6">
        <f ca="1">IFERROR(__xludf.DUMMYFUNCTION("""COMPUTED_VALUE"""),3.75)</f>
        <v>3.75</v>
      </c>
      <c r="D291" s="6" t="str">
        <f ca="1">IFERROR(__xludf.DUMMYFUNCTION("""COMPUTED_VALUE"""),"Deep Tech")</f>
        <v>Deep Tech</v>
      </c>
      <c r="E291" s="6" t="str">
        <f ca="1">IFERROR(__xludf.DUMMYFUNCTION("""COMPUTED_VALUE"""),"Revisit/ Cluster")</f>
        <v>Revisit/ Cluster</v>
      </c>
      <c r="F291" s="6" t="e">
        <f t="shared" ca="1" si="1"/>
        <v>#NAME?</v>
      </c>
    </row>
    <row r="292" spans="1:6">
      <c r="A292" s="199">
        <f ca="1">IFERROR(__xludf.DUMMYFUNCTION("""COMPUTED_VALUE"""),44784)</f>
        <v>44784</v>
      </c>
      <c r="B292" s="6" t="str">
        <f ca="1">IFERROR(__xludf.DUMMYFUNCTION("""COMPUTED_VALUE"""),"Helico Bio  _2022")</f>
        <v>Helico Bio  _2022</v>
      </c>
      <c r="C292" s="6">
        <f ca="1">IFERROR(__xludf.DUMMYFUNCTION("""COMPUTED_VALUE"""),3.75)</f>
        <v>3.75</v>
      </c>
      <c r="D292" s="6" t="str">
        <f ca="1">IFERROR(__xludf.DUMMYFUNCTION("""COMPUTED_VALUE"""),"Deep Tech")</f>
        <v>Deep Tech</v>
      </c>
      <c r="E292" s="6" t="str">
        <f ca="1">IFERROR(__xludf.DUMMYFUNCTION("""COMPUTED_VALUE"""),"Revisit/ Cluster")</f>
        <v>Revisit/ Cluster</v>
      </c>
      <c r="F292" s="6" t="e">
        <f t="shared" ca="1" si="1"/>
        <v>#NAME?</v>
      </c>
    </row>
    <row r="293" spans="1:6">
      <c r="A293" s="199">
        <f ca="1">IFERROR(__xludf.DUMMYFUNCTION("""COMPUTED_VALUE"""),44784)</f>
        <v>44784</v>
      </c>
      <c r="B293" s="6" t="str">
        <f ca="1">IFERROR(__xludf.DUMMYFUNCTION("""COMPUTED_VALUE"""),"Behamics _2022")</f>
        <v>Behamics _2022</v>
      </c>
      <c r="C293" s="6">
        <f ca="1">IFERROR(__xludf.DUMMYFUNCTION("""COMPUTED_VALUE"""),3.75)</f>
        <v>3.75</v>
      </c>
      <c r="D293" s="6" t="str">
        <f ca="1">IFERROR(__xludf.DUMMYFUNCTION("""COMPUTED_VALUE"""),"Digital Tech")</f>
        <v>Digital Tech</v>
      </c>
      <c r="E293" s="6" t="str">
        <f ca="1">IFERROR(__xludf.DUMMYFUNCTION("""COMPUTED_VALUE"""),"Revisit")</f>
        <v>Revisit</v>
      </c>
      <c r="F293" s="6" t="e">
        <f t="shared" ca="1" si="1"/>
        <v>#NAME?</v>
      </c>
    </row>
    <row r="294" spans="1:6">
      <c r="A294" s="199">
        <f ca="1">IFERROR(__xludf.DUMMYFUNCTION("""COMPUTED_VALUE"""),44784)</f>
        <v>44784</v>
      </c>
      <c r="B294" s="6" t="str">
        <f ca="1">IFERROR(__xludf.DUMMYFUNCTION("""COMPUTED_VALUE"""),"Oscillum Biotechnology SL _2022")</f>
        <v>Oscillum Biotechnology SL _2022</v>
      </c>
      <c r="C294" s="6">
        <f ca="1">IFERROR(__xludf.DUMMYFUNCTION("""COMPUTED_VALUE"""),3.75)</f>
        <v>3.75</v>
      </c>
      <c r="D294" s="6" t="str">
        <f ca="1">IFERROR(__xludf.DUMMYFUNCTION("""COMPUTED_VALUE"""),"Deep Tech")</f>
        <v>Deep Tech</v>
      </c>
      <c r="E294" s="6" t="str">
        <f ca="1">IFERROR(__xludf.DUMMYFUNCTION("""COMPUTED_VALUE"""),"Invite")</f>
        <v>Invite</v>
      </c>
      <c r="F294" s="6" t="e">
        <f t="shared" ca="1" si="1"/>
        <v>#NAME?</v>
      </c>
    </row>
    <row r="295" spans="1:6">
      <c r="A295" s="199">
        <f ca="1">IFERROR(__xludf.DUMMYFUNCTION("""COMPUTED_VALUE"""),44784)</f>
        <v>44784</v>
      </c>
      <c r="B295" s="6" t="str">
        <f ca="1">IFERROR(__xludf.DUMMYFUNCTION("""COMPUTED_VALUE"""),"TOMi.digital _2022")</f>
        <v>TOMi.digital _2022</v>
      </c>
      <c r="C295" s="6">
        <f ca="1">IFERROR(__xludf.DUMMYFUNCTION("""COMPUTED_VALUE"""),3.75)</f>
        <v>3.75</v>
      </c>
      <c r="D295" s="6" t="str">
        <f ca="1">IFERROR(__xludf.DUMMYFUNCTION("""COMPUTED_VALUE"""),"Digital Tech")</f>
        <v>Digital Tech</v>
      </c>
      <c r="E295" s="6" t="str">
        <f ca="1">IFERROR(__xludf.DUMMYFUNCTION("""COMPUTED_VALUE"""),"Invite")</f>
        <v>Invite</v>
      </c>
      <c r="F295" s="6" t="e">
        <f t="shared" ca="1" si="1"/>
        <v>#NAME?</v>
      </c>
    </row>
    <row r="296" spans="1:6">
      <c r="A296" s="199">
        <f ca="1">IFERROR(__xludf.DUMMYFUNCTION("""COMPUTED_VALUE"""),44784)</f>
        <v>44784</v>
      </c>
      <c r="B296" s="6" t="str">
        <f ca="1">IFERROR(__xludf.DUMMYFUNCTION("""COMPUTED_VALUE"""),"Novac _2022")</f>
        <v>Novac _2022</v>
      </c>
      <c r="C296" s="6">
        <f ca="1">IFERROR(__xludf.DUMMYFUNCTION("""COMPUTED_VALUE"""),3.75)</f>
        <v>3.75</v>
      </c>
      <c r="D296" s="6" t="str">
        <f ca="1">IFERROR(__xludf.DUMMYFUNCTION("""COMPUTED_VALUE"""),"Deep Tech")</f>
        <v>Deep Tech</v>
      </c>
      <c r="E296" s="6" t="str">
        <f ca="1">IFERROR(__xludf.DUMMYFUNCTION("""COMPUTED_VALUE"""),"Invite")</f>
        <v>Invite</v>
      </c>
      <c r="F296" s="6" t="e">
        <f t="shared" ca="1" si="1"/>
        <v>#NAME?</v>
      </c>
    </row>
    <row r="297" spans="1:6">
      <c r="A297" s="199">
        <f ca="1">IFERROR(__xludf.DUMMYFUNCTION("""COMPUTED_VALUE"""),44784)</f>
        <v>44784</v>
      </c>
      <c r="B297" s="6" t="str">
        <f ca="1">IFERROR(__xludf.DUMMYFUNCTION("""COMPUTED_VALUE"""),"DFiant _2022")</f>
        <v>DFiant _2022</v>
      </c>
      <c r="C297" s="6">
        <f ca="1">IFERROR(__xludf.DUMMYFUNCTION("""COMPUTED_VALUE"""),3.75)</f>
        <v>3.75</v>
      </c>
      <c r="D297" s="6" t="str">
        <f ca="1">IFERROR(__xludf.DUMMYFUNCTION("""COMPUTED_VALUE"""),"Digital Tech")</f>
        <v>Digital Tech</v>
      </c>
      <c r="E297" s="6" t="str">
        <f ca="1">IFERROR(__xludf.DUMMYFUNCTION("""COMPUTED_VALUE"""),"Invite Next Year")</f>
        <v>Invite Next Year</v>
      </c>
      <c r="F297" s="6" t="e">
        <f t="shared" ca="1" si="1"/>
        <v>#NAME?</v>
      </c>
    </row>
    <row r="298" spans="1:6">
      <c r="A298" s="199">
        <f ca="1">IFERROR(__xludf.DUMMYFUNCTION("""COMPUTED_VALUE"""),44784)</f>
        <v>44784</v>
      </c>
      <c r="B298" s="6" t="str">
        <f ca="1">IFERROR(__xludf.DUMMYFUNCTION("""COMPUTED_VALUE"""),"Grow Computer _2022")</f>
        <v>Grow Computer _2022</v>
      </c>
      <c r="C298" s="6">
        <f ca="1">IFERROR(__xludf.DUMMYFUNCTION("""COMPUTED_VALUE"""),3.75)</f>
        <v>3.75</v>
      </c>
      <c r="D298" s="6" t="str">
        <f ca="1">IFERROR(__xludf.DUMMYFUNCTION("""COMPUTED_VALUE"""),"Digital Tech")</f>
        <v>Digital Tech</v>
      </c>
      <c r="E298" s="6" t="str">
        <f ca="1">IFERROR(__xludf.DUMMYFUNCTION("""COMPUTED_VALUE"""),"Invite Next Year")</f>
        <v>Invite Next Year</v>
      </c>
      <c r="F298" s="6" t="e">
        <f t="shared" ca="1" si="1"/>
        <v>#NAME?</v>
      </c>
    </row>
    <row r="299" spans="1:6">
      <c r="A299" s="199">
        <f ca="1">IFERROR(__xludf.DUMMYFUNCTION("""COMPUTED_VALUE"""),44784)</f>
        <v>44784</v>
      </c>
      <c r="B299" s="6" t="str">
        <f ca="1">IFERROR(__xludf.DUMMYFUNCTION("""COMPUTED_VALUE"""),"Smplrspace _2022")</f>
        <v>Smplrspace _2022</v>
      </c>
      <c r="C299" s="6">
        <f ca="1">IFERROR(__xludf.DUMMYFUNCTION("""COMPUTED_VALUE"""),3.75)</f>
        <v>3.75</v>
      </c>
      <c r="D299" s="6" t="str">
        <f ca="1">IFERROR(__xludf.DUMMYFUNCTION("""COMPUTED_VALUE"""),"Digital Tech")</f>
        <v>Digital Tech</v>
      </c>
      <c r="E299" s="6" t="str">
        <f ca="1">IFERROR(__xludf.DUMMYFUNCTION("""COMPUTED_VALUE"""),"Invite Next Year")</f>
        <v>Invite Next Year</v>
      </c>
      <c r="F299" s="6" t="e">
        <f t="shared" ca="1" si="1"/>
        <v>#NAME?</v>
      </c>
    </row>
    <row r="300" spans="1:6">
      <c r="A300" s="199">
        <f ca="1">IFERROR(__xludf.DUMMYFUNCTION("""COMPUTED_VALUE"""),44784)</f>
        <v>44784</v>
      </c>
      <c r="B300" s="6" t="str">
        <f ca="1">IFERROR(__xludf.DUMMYFUNCTION("""COMPUTED_VALUE"""),"YouthBio Therapeutics Inc. _2022")</f>
        <v>YouthBio Therapeutics Inc. _2022</v>
      </c>
      <c r="C300" s="6">
        <f ca="1">IFERROR(__xludf.DUMMYFUNCTION("""COMPUTED_VALUE"""),3.75)</f>
        <v>3.75</v>
      </c>
      <c r="D300" s="6" t="str">
        <f ca="1">IFERROR(__xludf.DUMMYFUNCTION("""COMPUTED_VALUE"""),"Life Sciences")</f>
        <v>Life Sciences</v>
      </c>
      <c r="E300" s="6" t="str">
        <f ca="1">IFERROR(__xludf.DUMMYFUNCTION("""COMPUTED_VALUE"""),"Revisit/ Cluster")</f>
        <v>Revisit/ Cluster</v>
      </c>
      <c r="F300" s="6" t="e">
        <f t="shared" ca="1" si="1"/>
        <v>#NAME?</v>
      </c>
    </row>
    <row r="301" spans="1:6">
      <c r="A301" s="199">
        <f ca="1">IFERROR(__xludf.DUMMYFUNCTION("""COMPUTED_VALUE"""),44784)</f>
        <v>44784</v>
      </c>
      <c r="B301" s="6" t="str">
        <f ca="1">IFERROR(__xludf.DUMMYFUNCTION("""COMPUTED_VALUE"""),"Nerbio _2022")</f>
        <v>Nerbio _2022</v>
      </c>
      <c r="C301" s="6">
        <f ca="1">IFERROR(__xludf.DUMMYFUNCTION("""COMPUTED_VALUE"""),3.75)</f>
        <v>3.75</v>
      </c>
      <c r="D301" s="6" t="str">
        <f ca="1">IFERROR(__xludf.DUMMYFUNCTION("""COMPUTED_VALUE"""),"Digital Tech")</f>
        <v>Digital Tech</v>
      </c>
      <c r="E301" s="6" t="str">
        <f ca="1">IFERROR(__xludf.DUMMYFUNCTION("""COMPUTED_VALUE"""),"Invite Next Year")</f>
        <v>Invite Next Year</v>
      </c>
      <c r="F301" s="6" t="e">
        <f t="shared" ca="1" si="1"/>
        <v>#NAME?</v>
      </c>
    </row>
    <row r="302" spans="1:6">
      <c r="A302" s="199">
        <f ca="1">IFERROR(__xludf.DUMMYFUNCTION("""COMPUTED_VALUE"""),44789)</f>
        <v>44789</v>
      </c>
      <c r="B302" s="6" t="str">
        <f ca="1">IFERROR(__xludf.DUMMYFUNCTION("""COMPUTED_VALUE"""),"Lux Wind Power Ltd. _2022")</f>
        <v>Lux Wind Power Ltd. _2022</v>
      </c>
      <c r="C302" s="6">
        <f ca="1">IFERROR(__xludf.DUMMYFUNCTION("""COMPUTED_VALUE"""),3.75)</f>
        <v>3.75</v>
      </c>
      <c r="D302" s="6" t="str">
        <f ca="1">IFERROR(__xludf.DUMMYFUNCTION("""COMPUTED_VALUE"""),"Deep Tech")</f>
        <v>Deep Tech</v>
      </c>
      <c r="E302" s="6" t="str">
        <f ca="1">IFERROR(__xludf.DUMMYFUNCTION("""COMPUTED_VALUE"""),"Revisit/ Cluster")</f>
        <v>Revisit/ Cluster</v>
      </c>
      <c r="F302" s="6" t="e">
        <f t="shared" ca="1" si="1"/>
        <v>#NAME?</v>
      </c>
    </row>
    <row r="303" spans="1:6">
      <c r="A303" s="199">
        <f ca="1">IFERROR(__xludf.DUMMYFUNCTION("""COMPUTED_VALUE"""),44789)</f>
        <v>44789</v>
      </c>
      <c r="B303" s="6" t="str">
        <f ca="1">IFERROR(__xludf.DUMMYFUNCTION("""COMPUTED_VALUE"""),"Helex _2022")</f>
        <v>Helex _2022</v>
      </c>
      <c r="C303" s="6">
        <f ca="1">IFERROR(__xludf.DUMMYFUNCTION("""COMPUTED_VALUE"""),3.75)</f>
        <v>3.75</v>
      </c>
      <c r="D303" s="6" t="str">
        <f ca="1">IFERROR(__xludf.DUMMYFUNCTION("""COMPUTED_VALUE"""),"Life Sciences")</f>
        <v>Life Sciences</v>
      </c>
      <c r="E303" s="6" t="str">
        <f ca="1">IFERROR(__xludf.DUMMYFUNCTION("""COMPUTED_VALUE"""),"Revisit/ Cluster")</f>
        <v>Revisit/ Cluster</v>
      </c>
      <c r="F303" s="6" t="e">
        <f t="shared" ca="1" si="1"/>
        <v>#NAME?</v>
      </c>
    </row>
    <row r="304" spans="1:6">
      <c r="A304" s="199">
        <f ca="1">IFERROR(__xludf.DUMMYFUNCTION("""COMPUTED_VALUE"""),44789)</f>
        <v>44789</v>
      </c>
      <c r="B304" s="6" t="str">
        <f ca="1">IFERROR(__xludf.DUMMYFUNCTION("""COMPUTED_VALUE"""),"NemaGen Discoveries, INC _2022")</f>
        <v>NemaGen Discoveries, INC _2022</v>
      </c>
      <c r="C304" s="6">
        <f ca="1">IFERROR(__xludf.DUMMYFUNCTION("""COMPUTED_VALUE"""),3.75)</f>
        <v>3.75</v>
      </c>
      <c r="D304" s="6" t="str">
        <f ca="1">IFERROR(__xludf.DUMMYFUNCTION("""COMPUTED_VALUE"""),"Life Sciences")</f>
        <v>Life Sciences</v>
      </c>
      <c r="E304" s="6" t="str">
        <f ca="1">IFERROR(__xludf.DUMMYFUNCTION("""COMPUTED_VALUE"""),"Revisit/ Cluster")</f>
        <v>Revisit/ Cluster</v>
      </c>
      <c r="F304" s="6" t="e">
        <f t="shared" ca="1" si="1"/>
        <v>#NAME?</v>
      </c>
    </row>
    <row r="305" spans="1:6">
      <c r="A305" s="199">
        <f ca="1">IFERROR(__xludf.DUMMYFUNCTION("""COMPUTED_VALUE"""),44789)</f>
        <v>44789</v>
      </c>
      <c r="B305" s="6" t="str">
        <f ca="1">IFERROR(__xludf.DUMMYFUNCTION("""COMPUTED_VALUE"""),"Bima, Inc. _2022")</f>
        <v>Bima, Inc. _2022</v>
      </c>
      <c r="C305" s="6">
        <f ca="1">IFERROR(__xludf.DUMMYFUNCTION("""COMPUTED_VALUE"""),3.75)</f>
        <v>3.75</v>
      </c>
      <c r="D305" s="6" t="str">
        <f ca="1">IFERROR(__xludf.DUMMYFUNCTION("""COMPUTED_VALUE"""),"Digital Tech")</f>
        <v>Digital Tech</v>
      </c>
      <c r="E305" s="6" t="str">
        <f ca="1">IFERROR(__xludf.DUMMYFUNCTION("""COMPUTED_VALUE"""),"Invite Next Year")</f>
        <v>Invite Next Year</v>
      </c>
      <c r="F305" s="6" t="e">
        <f t="shared" ca="1" si="1"/>
        <v>#NAME?</v>
      </c>
    </row>
    <row r="306" spans="1:6">
      <c r="A306" s="199">
        <f ca="1">IFERROR(__xludf.DUMMYFUNCTION("""COMPUTED_VALUE"""),44789)</f>
        <v>44789</v>
      </c>
      <c r="B306" s="6" t="str">
        <f ca="1">IFERROR(__xludf.DUMMYFUNCTION("""COMPUTED_VALUE"""),"Intelligent AI _2022")</f>
        <v>Intelligent AI _2022</v>
      </c>
      <c r="C306" s="6">
        <f ca="1">IFERROR(__xludf.DUMMYFUNCTION("""COMPUTED_VALUE"""),3.75)</f>
        <v>3.75</v>
      </c>
      <c r="D306" s="6" t="str">
        <f ca="1">IFERROR(__xludf.DUMMYFUNCTION("""COMPUTED_VALUE"""),"Digital Tech")</f>
        <v>Digital Tech</v>
      </c>
      <c r="E306" s="6" t="str">
        <f ca="1">IFERROR(__xludf.DUMMYFUNCTION("""COMPUTED_VALUE"""),"Invite")</f>
        <v>Invite</v>
      </c>
      <c r="F306" s="6" t="e">
        <f t="shared" ca="1" si="1"/>
        <v>#NAME?</v>
      </c>
    </row>
    <row r="307" spans="1:6">
      <c r="A307" s="199">
        <f ca="1">IFERROR(__xludf.DUMMYFUNCTION("""COMPUTED_VALUE"""),44789)</f>
        <v>44789</v>
      </c>
      <c r="B307" s="6" t="str">
        <f ca="1">IFERROR(__xludf.DUMMYFUNCTION("""COMPUTED_VALUE"""),"MPzero _2022")</f>
        <v>MPzero _2022</v>
      </c>
      <c r="C307" s="6">
        <f ca="1">IFERROR(__xludf.DUMMYFUNCTION("""COMPUTED_VALUE"""),3.75)</f>
        <v>3.75</v>
      </c>
      <c r="D307" s="6" t="str">
        <f ca="1">IFERROR(__xludf.DUMMYFUNCTION("""COMPUTED_VALUE"""),"Digital Tech")</f>
        <v>Digital Tech</v>
      </c>
      <c r="E307" s="6" t="str">
        <f ca="1">IFERROR(__xludf.DUMMYFUNCTION("""COMPUTED_VALUE"""),"Invite Next Year")</f>
        <v>Invite Next Year</v>
      </c>
      <c r="F307" s="6" t="e">
        <f t="shared" ca="1" si="1"/>
        <v>#NAME?</v>
      </c>
    </row>
    <row r="308" spans="1:6">
      <c r="A308" s="199">
        <f ca="1">IFERROR(__xludf.DUMMYFUNCTION("""COMPUTED_VALUE"""),44789)</f>
        <v>44789</v>
      </c>
      <c r="B308" s="6" t="str">
        <f ca="1">IFERROR(__xludf.DUMMYFUNCTION("""COMPUTED_VALUE"""),"ImmunoMind _2022")</f>
        <v>ImmunoMind _2022</v>
      </c>
      <c r="C308" s="6">
        <f ca="1">IFERROR(__xludf.DUMMYFUNCTION("""COMPUTED_VALUE"""),3.75)</f>
        <v>3.75</v>
      </c>
      <c r="D308" s="6" t="str">
        <f ca="1">IFERROR(__xludf.DUMMYFUNCTION("""COMPUTED_VALUE"""),"Life Sciences")</f>
        <v>Life Sciences</v>
      </c>
      <c r="E308" s="6" t="str">
        <f ca="1">IFERROR(__xludf.DUMMYFUNCTION("""COMPUTED_VALUE"""),"Revisit/ Cluster")</f>
        <v>Revisit/ Cluster</v>
      </c>
      <c r="F308" s="6" t="e">
        <f t="shared" ca="1" si="1"/>
        <v>#NAME?</v>
      </c>
    </row>
    <row r="309" spans="1:6">
      <c r="A309" s="199">
        <f ca="1">IFERROR(__xludf.DUMMYFUNCTION("""COMPUTED_VALUE"""),44789)</f>
        <v>44789</v>
      </c>
      <c r="B309" s="6" t="str">
        <f ca="1">IFERROR(__xludf.DUMMYFUNCTION("""COMPUTED_VALUE"""),"Staxe _2022")</f>
        <v>Staxe _2022</v>
      </c>
      <c r="C309" s="6">
        <f ca="1">IFERROR(__xludf.DUMMYFUNCTION("""COMPUTED_VALUE"""),3.75)</f>
        <v>3.75</v>
      </c>
      <c r="D309" s="6" t="str">
        <f ca="1">IFERROR(__xludf.DUMMYFUNCTION("""COMPUTED_VALUE"""),"Digital Tech")</f>
        <v>Digital Tech</v>
      </c>
      <c r="E309" s="6" t="str">
        <f ca="1">IFERROR(__xludf.DUMMYFUNCTION("""COMPUTED_VALUE"""),"Invite Next Year")</f>
        <v>Invite Next Year</v>
      </c>
      <c r="F309" s="6" t="e">
        <f t="shared" ca="1" si="1"/>
        <v>#NAME?</v>
      </c>
    </row>
    <row r="310" spans="1:6">
      <c r="A310" s="199">
        <f ca="1">IFERROR(__xludf.DUMMYFUNCTION("""COMPUTED_VALUE"""),44789)</f>
        <v>44789</v>
      </c>
      <c r="B310" s="6" t="str">
        <f ca="1">IFERROR(__xludf.DUMMYFUNCTION("""COMPUTED_VALUE"""),"TakeOne _2022")</f>
        <v>TakeOne _2022</v>
      </c>
      <c r="C310" s="6">
        <f ca="1">IFERROR(__xludf.DUMMYFUNCTION("""COMPUTED_VALUE"""),3.75)</f>
        <v>3.75</v>
      </c>
      <c r="D310" s="6" t="str">
        <f ca="1">IFERROR(__xludf.DUMMYFUNCTION("""COMPUTED_VALUE"""),"Digital Tech")</f>
        <v>Digital Tech</v>
      </c>
      <c r="E310" s="6" t="str">
        <f ca="1">IFERROR(__xludf.DUMMYFUNCTION("""COMPUTED_VALUE"""),"Invite")</f>
        <v>Invite</v>
      </c>
      <c r="F310" s="6" t="e">
        <f t="shared" ca="1" si="1"/>
        <v>#NAME?</v>
      </c>
    </row>
    <row r="311" spans="1:6">
      <c r="A311" s="199">
        <f ca="1">IFERROR(__xludf.DUMMYFUNCTION("""COMPUTED_VALUE"""),44789)</f>
        <v>44789</v>
      </c>
      <c r="B311" s="6" t="str">
        <f ca="1">IFERROR(__xludf.DUMMYFUNCTION("""COMPUTED_VALUE"""),"Certa Dose _2022")</f>
        <v>Certa Dose _2022</v>
      </c>
      <c r="C311" s="6">
        <f ca="1">IFERROR(__xludf.DUMMYFUNCTION("""COMPUTED_VALUE"""),3.75)</f>
        <v>3.75</v>
      </c>
      <c r="D311" s="6" t="str">
        <f ca="1">IFERROR(__xludf.DUMMYFUNCTION("""COMPUTED_VALUE"""),"Life Sciences")</f>
        <v>Life Sciences</v>
      </c>
      <c r="E311" s="6" t="str">
        <f ca="1">IFERROR(__xludf.DUMMYFUNCTION("""COMPUTED_VALUE"""),"Invite Next Year")</f>
        <v>Invite Next Year</v>
      </c>
      <c r="F311" s="6" t="e">
        <f t="shared" ca="1" si="1"/>
        <v>#NAME?</v>
      </c>
    </row>
    <row r="312" spans="1:6">
      <c r="A312" s="199">
        <f ca="1">IFERROR(__xludf.DUMMYFUNCTION("""COMPUTED_VALUE"""),44789)</f>
        <v>44789</v>
      </c>
      <c r="B312" s="6" t="str">
        <f ca="1">IFERROR(__xludf.DUMMYFUNCTION("""COMPUTED_VALUE"""),"White Rock Therapeutics _2022")</f>
        <v>White Rock Therapeutics _2022</v>
      </c>
      <c r="C312" s="6">
        <f ca="1">IFERROR(__xludf.DUMMYFUNCTION("""COMPUTED_VALUE"""),3.75)</f>
        <v>3.75</v>
      </c>
      <c r="D312" s="6" t="str">
        <f ca="1">IFERROR(__xludf.DUMMYFUNCTION("""COMPUTED_VALUE"""),"Life Sciences")</f>
        <v>Life Sciences</v>
      </c>
      <c r="E312" s="6" t="str">
        <f ca="1">IFERROR(__xludf.DUMMYFUNCTION("""COMPUTED_VALUE"""),"Revisit/ Cluster")</f>
        <v>Revisit/ Cluster</v>
      </c>
      <c r="F312" s="6" t="e">
        <f t="shared" ca="1" si="1"/>
        <v>#NAME?</v>
      </c>
    </row>
    <row r="313" spans="1:6">
      <c r="A313" s="199">
        <f ca="1">IFERROR(__xludf.DUMMYFUNCTION("""COMPUTED_VALUE"""),44791)</f>
        <v>44791</v>
      </c>
      <c r="B313" s="6" t="str">
        <f ca="1">IFERROR(__xludf.DUMMYFUNCTION("""COMPUTED_VALUE"""),"Allergy Butler _2022")</f>
        <v>Allergy Butler _2022</v>
      </c>
      <c r="C313" s="6">
        <f ca="1">IFERROR(__xludf.DUMMYFUNCTION("""COMPUTED_VALUE"""),3.75)</f>
        <v>3.75</v>
      </c>
      <c r="D313" s="6" t="str">
        <f ca="1">IFERROR(__xludf.DUMMYFUNCTION("""COMPUTED_VALUE"""),"Life Sciences")</f>
        <v>Life Sciences</v>
      </c>
      <c r="E313" s="6" t="str">
        <f ca="1">IFERROR(__xludf.DUMMYFUNCTION("""COMPUTED_VALUE"""),"Invite")</f>
        <v>Invite</v>
      </c>
      <c r="F313" s="6" t="e">
        <f t="shared" ca="1" si="1"/>
        <v>#NAME?</v>
      </c>
    </row>
    <row r="314" spans="1:6">
      <c r="A314" s="199">
        <f ca="1">IFERROR(__xludf.DUMMYFUNCTION("""COMPUTED_VALUE"""),44791)</f>
        <v>44791</v>
      </c>
      <c r="B314" s="6" t="str">
        <f ca="1">IFERROR(__xludf.DUMMYFUNCTION("""COMPUTED_VALUE"""),"Lodos Theranostics _2022")</f>
        <v>Lodos Theranostics _2022</v>
      </c>
      <c r="C314" s="6">
        <f ca="1">IFERROR(__xludf.DUMMYFUNCTION("""COMPUTED_VALUE"""),3.75)</f>
        <v>3.75</v>
      </c>
      <c r="D314" s="6" t="str">
        <f ca="1">IFERROR(__xludf.DUMMYFUNCTION("""COMPUTED_VALUE"""),"Life Sciences")</f>
        <v>Life Sciences</v>
      </c>
      <c r="E314" s="6" t="str">
        <f ca="1">IFERROR(__xludf.DUMMYFUNCTION("""COMPUTED_VALUE"""),"Special Reject")</f>
        <v>Special Reject</v>
      </c>
      <c r="F314" s="6" t="e">
        <f t="shared" ca="1" si="1"/>
        <v>#NAME?</v>
      </c>
    </row>
    <row r="315" spans="1:6">
      <c r="A315" s="199">
        <f ca="1">IFERROR(__xludf.DUMMYFUNCTION("""COMPUTED_VALUE"""),44791)</f>
        <v>44791</v>
      </c>
      <c r="B315" s="6" t="str">
        <f ca="1">IFERROR(__xludf.DUMMYFUNCTION("""COMPUTED_VALUE"""),"Kitchenita _2022")</f>
        <v>Kitchenita _2022</v>
      </c>
      <c r="C315" s="6">
        <f ca="1">IFERROR(__xludf.DUMMYFUNCTION("""COMPUTED_VALUE"""),3.75)</f>
        <v>3.75</v>
      </c>
      <c r="D315" s="6" t="str">
        <f ca="1">IFERROR(__xludf.DUMMYFUNCTION("""COMPUTED_VALUE"""),"Digital Tech")</f>
        <v>Digital Tech</v>
      </c>
      <c r="E315" s="6" t="str">
        <f ca="1">IFERROR(__xludf.DUMMYFUNCTION("""COMPUTED_VALUE"""),"Invite Next Year")</f>
        <v>Invite Next Year</v>
      </c>
      <c r="F315" s="6" t="e">
        <f t="shared" ca="1" si="1"/>
        <v>#NAME?</v>
      </c>
    </row>
    <row r="316" spans="1:6">
      <c r="A316" s="199">
        <f ca="1">IFERROR(__xludf.DUMMYFUNCTION("""COMPUTED_VALUE"""),44791)</f>
        <v>44791</v>
      </c>
      <c r="B316" s="6" t="str">
        <f ca="1">IFERROR(__xludf.DUMMYFUNCTION("""COMPUTED_VALUE"""),"Fortu Wealth _2022")</f>
        <v>Fortu Wealth _2022</v>
      </c>
      <c r="C316" s="6">
        <f ca="1">IFERROR(__xludf.DUMMYFUNCTION("""COMPUTED_VALUE"""),3.75)</f>
        <v>3.75</v>
      </c>
      <c r="D316" s="6" t="str">
        <f ca="1">IFERROR(__xludf.DUMMYFUNCTION("""COMPUTED_VALUE"""),"Digital Tech")</f>
        <v>Digital Tech</v>
      </c>
      <c r="E316" s="6" t="str">
        <f ca="1">IFERROR(__xludf.DUMMYFUNCTION("""COMPUTED_VALUE"""),"Invite Next Year")</f>
        <v>Invite Next Year</v>
      </c>
      <c r="F316" s="6" t="e">
        <f t="shared" ca="1" si="1"/>
        <v>#NAME?</v>
      </c>
    </row>
    <row r="317" spans="1:6">
      <c r="A317" s="199">
        <f ca="1">IFERROR(__xludf.DUMMYFUNCTION("""COMPUTED_VALUE"""),44791)</f>
        <v>44791</v>
      </c>
      <c r="B317" s="6" t="str">
        <f ca="1">IFERROR(__xludf.DUMMYFUNCTION("""COMPUTED_VALUE"""),"Mindeye Solutions Pvt Ltd _2022")</f>
        <v>Mindeye Solutions Pvt Ltd _2022</v>
      </c>
      <c r="C317" s="6">
        <f ca="1">IFERROR(__xludf.DUMMYFUNCTION("""COMPUTED_VALUE"""),3.75)</f>
        <v>3.75</v>
      </c>
      <c r="D317" s="6" t="str">
        <f ca="1">IFERROR(__xludf.DUMMYFUNCTION("""COMPUTED_VALUE"""),"Digital Tech")</f>
        <v>Digital Tech</v>
      </c>
      <c r="E317" s="6" t="str">
        <f ca="1">IFERROR(__xludf.DUMMYFUNCTION("""COMPUTED_VALUE"""),"Invite Next Year")</f>
        <v>Invite Next Year</v>
      </c>
      <c r="F317" s="6" t="e">
        <f t="shared" ca="1" si="1"/>
        <v>#NAME?</v>
      </c>
    </row>
    <row r="318" spans="1:6">
      <c r="A318" s="199">
        <f ca="1">IFERROR(__xludf.DUMMYFUNCTION("""COMPUTED_VALUE"""),44791)</f>
        <v>44791</v>
      </c>
      <c r="B318" s="6" t="str">
        <f ca="1">IFERROR(__xludf.DUMMYFUNCTION("""COMPUTED_VALUE"""),"Metanovas Biotech _2022")</f>
        <v>Metanovas Biotech _2022</v>
      </c>
      <c r="C318" s="6">
        <f ca="1">IFERROR(__xludf.DUMMYFUNCTION("""COMPUTED_VALUE"""),3.75)</f>
        <v>3.75</v>
      </c>
      <c r="D318" s="6" t="str">
        <f ca="1">IFERROR(__xludf.DUMMYFUNCTION("""COMPUTED_VALUE"""),"Life Sciences")</f>
        <v>Life Sciences</v>
      </c>
      <c r="E318" s="6" t="str">
        <f ca="1">IFERROR(__xludf.DUMMYFUNCTION("""COMPUTED_VALUE"""),"Invite Next Year")</f>
        <v>Invite Next Year</v>
      </c>
      <c r="F318" s="6" t="e">
        <f t="shared" ca="1" si="1"/>
        <v>#NAME?</v>
      </c>
    </row>
    <row r="319" spans="1:6">
      <c r="A319" s="199">
        <f ca="1">IFERROR(__xludf.DUMMYFUNCTION("""COMPUTED_VALUE"""),44791)</f>
        <v>44791</v>
      </c>
      <c r="B319" s="6" t="str">
        <f ca="1">IFERROR(__xludf.DUMMYFUNCTION("""COMPUTED_VALUE"""),"IM SYSTEM Co. Ltd. _2022")</f>
        <v>IM SYSTEM Co. Ltd. _2022</v>
      </c>
      <c r="C319" s="6">
        <f ca="1">IFERROR(__xludf.DUMMYFUNCTION("""COMPUTED_VALUE"""),3.75)</f>
        <v>3.75</v>
      </c>
      <c r="D319" s="6" t="str">
        <f ca="1">IFERROR(__xludf.DUMMYFUNCTION("""COMPUTED_VALUE"""),"Deep Tech")</f>
        <v>Deep Tech</v>
      </c>
      <c r="E319" s="6" t="str">
        <f ca="1">IFERROR(__xludf.DUMMYFUNCTION("""COMPUTED_VALUE"""),"Invite Next Year")</f>
        <v>Invite Next Year</v>
      </c>
      <c r="F319" s="6" t="e">
        <f t="shared" ca="1" si="1"/>
        <v>#NAME?</v>
      </c>
    </row>
    <row r="320" spans="1:6">
      <c r="A320" s="199">
        <f ca="1">IFERROR(__xludf.DUMMYFUNCTION("""COMPUTED_VALUE"""),44791)</f>
        <v>44791</v>
      </c>
      <c r="B320" s="6" t="str">
        <f ca="1">IFERROR(__xludf.DUMMYFUNCTION("""COMPUTED_VALUE"""),"BeneTalk _2022")</f>
        <v>BeneTalk _2022</v>
      </c>
      <c r="C320" s="6">
        <f ca="1">IFERROR(__xludf.DUMMYFUNCTION("""COMPUTED_VALUE"""),3.75)</f>
        <v>3.75</v>
      </c>
      <c r="D320" s="6" t="str">
        <f ca="1">IFERROR(__xludf.DUMMYFUNCTION("""COMPUTED_VALUE"""),"Digital Tech")</f>
        <v>Digital Tech</v>
      </c>
      <c r="E320" s="6" t="str">
        <f ca="1">IFERROR(__xludf.DUMMYFUNCTION("""COMPUTED_VALUE"""),"Revisit/ Cluster")</f>
        <v>Revisit/ Cluster</v>
      </c>
      <c r="F320" s="6" t="e">
        <f t="shared" ca="1" si="1"/>
        <v>#NAME?</v>
      </c>
    </row>
    <row r="321" spans="1:6">
      <c r="A321" s="199">
        <f ca="1">IFERROR(__xludf.DUMMYFUNCTION("""COMPUTED_VALUE"""),44791)</f>
        <v>44791</v>
      </c>
      <c r="B321" s="6" t="str">
        <f ca="1">IFERROR(__xludf.DUMMYFUNCTION("""COMPUTED_VALUE"""),"CytoRecovery, Inc. _2022")</f>
        <v>CytoRecovery, Inc. _2022</v>
      </c>
      <c r="C321" s="6">
        <f ca="1">IFERROR(__xludf.DUMMYFUNCTION("""COMPUTED_VALUE"""),3.75)</f>
        <v>3.75</v>
      </c>
      <c r="D321" s="6" t="str">
        <f ca="1">IFERROR(__xludf.DUMMYFUNCTION("""COMPUTED_VALUE"""),"Deep Tech")</f>
        <v>Deep Tech</v>
      </c>
      <c r="E321" s="6" t="str">
        <f ca="1">IFERROR(__xludf.DUMMYFUNCTION("""COMPUTED_VALUE"""),"Invite Next Year")</f>
        <v>Invite Next Year</v>
      </c>
      <c r="F321" s="6" t="e">
        <f t="shared" ca="1" si="1"/>
        <v>#NAME?</v>
      </c>
    </row>
    <row r="322" spans="1:6">
      <c r="A322" s="199">
        <f ca="1">IFERROR(__xludf.DUMMYFUNCTION("""COMPUTED_VALUE"""),44791)</f>
        <v>44791</v>
      </c>
      <c r="B322" s="6" t="str">
        <f ca="1">IFERROR(__xludf.DUMMYFUNCTION("""COMPUTED_VALUE"""),"Drona Pay Private Ltd _2022")</f>
        <v>Drona Pay Private Ltd _2022</v>
      </c>
      <c r="C322" s="6">
        <f ca="1">IFERROR(__xludf.DUMMYFUNCTION("""COMPUTED_VALUE"""),3.75)</f>
        <v>3.75</v>
      </c>
      <c r="D322" s="6" t="str">
        <f ca="1">IFERROR(__xludf.DUMMYFUNCTION("""COMPUTED_VALUE"""),"Digital Tech")</f>
        <v>Digital Tech</v>
      </c>
      <c r="E322" s="6" t="str">
        <f ca="1">IFERROR(__xludf.DUMMYFUNCTION("""COMPUTED_VALUE"""),"Revisit")</f>
        <v>Revisit</v>
      </c>
      <c r="F322" s="6" t="e">
        <f t="shared" ca="1" si="1"/>
        <v>#NAME?</v>
      </c>
    </row>
    <row r="323" spans="1:6">
      <c r="A323" s="199">
        <f ca="1">IFERROR(__xludf.DUMMYFUNCTION("""COMPUTED_VALUE"""),44791)</f>
        <v>44791</v>
      </c>
      <c r="B323" s="6" t="str">
        <f ca="1">IFERROR(__xludf.DUMMYFUNCTION("""COMPUTED_VALUE"""),"Rivet _2022")</f>
        <v>Rivet _2022</v>
      </c>
      <c r="C323" s="6">
        <f ca="1">IFERROR(__xludf.DUMMYFUNCTION("""COMPUTED_VALUE"""),3.75)</f>
        <v>3.75</v>
      </c>
      <c r="D323" s="6" t="str">
        <f ca="1">IFERROR(__xludf.DUMMYFUNCTION("""COMPUTED_VALUE"""),"Digital Tech")</f>
        <v>Digital Tech</v>
      </c>
      <c r="E323" s="6" t="str">
        <f ca="1">IFERROR(__xludf.DUMMYFUNCTION("""COMPUTED_VALUE"""),"Invite Next Year")</f>
        <v>Invite Next Year</v>
      </c>
      <c r="F323" s="6" t="e">
        <f t="shared" ca="1" si="1"/>
        <v>#NAME?</v>
      </c>
    </row>
    <row r="324" spans="1:6">
      <c r="A324" s="199">
        <f ca="1">IFERROR(__xludf.DUMMYFUNCTION("""COMPUTED_VALUE"""),44796)</f>
        <v>44796</v>
      </c>
      <c r="B324" s="6" t="str">
        <f ca="1">IFERROR(__xludf.DUMMYFUNCTION("""COMPUTED_VALUE"""),"PurMinds NeuroPharma Inc. _2022")</f>
        <v>PurMinds NeuroPharma Inc. _2022</v>
      </c>
      <c r="C324" s="6">
        <f ca="1">IFERROR(__xludf.DUMMYFUNCTION("""COMPUTED_VALUE"""),3.75)</f>
        <v>3.75</v>
      </c>
      <c r="D324" s="6" t="str">
        <f ca="1">IFERROR(__xludf.DUMMYFUNCTION("""COMPUTED_VALUE"""),"Life Sciences")</f>
        <v>Life Sciences</v>
      </c>
      <c r="E324" s="6" t="str">
        <f ca="1">IFERROR(__xludf.DUMMYFUNCTION("""COMPUTED_VALUE"""),"Invite Next Year")</f>
        <v>Invite Next Year</v>
      </c>
      <c r="F324" s="6" t="e">
        <f t="shared" ca="1" si="1"/>
        <v>#NAME?</v>
      </c>
    </row>
    <row r="325" spans="1:6">
      <c r="A325" s="199">
        <f ca="1">IFERROR(__xludf.DUMMYFUNCTION("""COMPUTED_VALUE"""),44796)</f>
        <v>44796</v>
      </c>
      <c r="B325" s="6" t="str">
        <f ca="1">IFERROR(__xludf.DUMMYFUNCTION("""COMPUTED_VALUE"""),"Carteav _2022")</f>
        <v>Carteav _2022</v>
      </c>
      <c r="C325" s="6">
        <f ca="1">IFERROR(__xludf.DUMMYFUNCTION("""COMPUTED_VALUE"""),3.75)</f>
        <v>3.75</v>
      </c>
      <c r="D325" s="6" t="str">
        <f ca="1">IFERROR(__xludf.DUMMYFUNCTION("""COMPUTED_VALUE"""),"Digital Tech")</f>
        <v>Digital Tech</v>
      </c>
      <c r="E325" s="6" t="str">
        <f ca="1">IFERROR(__xludf.DUMMYFUNCTION("""COMPUTED_VALUE"""),"Invite Next Year")</f>
        <v>Invite Next Year</v>
      </c>
      <c r="F325" s="6" t="e">
        <f t="shared" ca="1" si="1"/>
        <v>#NAME?</v>
      </c>
    </row>
    <row r="326" spans="1:6">
      <c r="A326" s="199">
        <f ca="1">IFERROR(__xludf.DUMMYFUNCTION("""COMPUTED_VALUE"""),44796)</f>
        <v>44796</v>
      </c>
      <c r="B326" s="6" t="str">
        <f ca="1">IFERROR(__xludf.DUMMYFUNCTION("""COMPUTED_VALUE"""),"NextStep Health _2022")</f>
        <v>NextStep Health _2022</v>
      </c>
      <c r="C326" s="6">
        <f ca="1">IFERROR(__xludf.DUMMYFUNCTION("""COMPUTED_VALUE"""),3.75)</f>
        <v>3.75</v>
      </c>
      <c r="D326" s="6" t="str">
        <f ca="1">IFERROR(__xludf.DUMMYFUNCTION("""COMPUTED_VALUE"""),"Digital Tech")</f>
        <v>Digital Tech</v>
      </c>
      <c r="E326" s="6" t="str">
        <f ca="1">IFERROR(__xludf.DUMMYFUNCTION("""COMPUTED_VALUE"""),"Invite Next Year")</f>
        <v>Invite Next Year</v>
      </c>
      <c r="F326" s="6" t="e">
        <f t="shared" ca="1" si="1"/>
        <v>#NAME?</v>
      </c>
    </row>
    <row r="327" spans="1:6">
      <c r="A327" s="199">
        <f ca="1">IFERROR(__xludf.DUMMYFUNCTION("""COMPUTED_VALUE"""),44796)</f>
        <v>44796</v>
      </c>
      <c r="B327" s="6" t="str">
        <f ca="1">IFERROR(__xludf.DUMMYFUNCTION("""COMPUTED_VALUE"""),"CARI Health, Inc. _2022")</f>
        <v>CARI Health, Inc. _2022</v>
      </c>
      <c r="C327" s="6">
        <f ca="1">IFERROR(__xludf.DUMMYFUNCTION("""COMPUTED_VALUE"""),3.75)</f>
        <v>3.75</v>
      </c>
      <c r="D327" s="6" t="str">
        <f ca="1">IFERROR(__xludf.DUMMYFUNCTION("""COMPUTED_VALUE"""),"Deep Tech")</f>
        <v>Deep Tech</v>
      </c>
      <c r="E327" s="6" t="str">
        <f ca="1">IFERROR(__xludf.DUMMYFUNCTION("""COMPUTED_VALUE"""),"Revisit/ Cluster")</f>
        <v>Revisit/ Cluster</v>
      </c>
      <c r="F327" s="6" t="e">
        <f t="shared" ca="1" si="1"/>
        <v>#NAME?</v>
      </c>
    </row>
    <row r="328" spans="1:6">
      <c r="A328" s="199">
        <f ca="1">IFERROR(__xludf.DUMMYFUNCTION("""COMPUTED_VALUE"""),44796)</f>
        <v>44796</v>
      </c>
      <c r="B328" s="6" t="str">
        <f ca="1">IFERROR(__xludf.DUMMYFUNCTION("""COMPUTED_VALUE"""),"OBORTECHglobal OÜ _2022")</f>
        <v>OBORTECHglobal OÜ _2022</v>
      </c>
      <c r="C328" s="6">
        <f ca="1">IFERROR(__xludf.DUMMYFUNCTION("""COMPUTED_VALUE"""),3.75)</f>
        <v>3.75</v>
      </c>
      <c r="D328" s="6" t="str">
        <f ca="1">IFERROR(__xludf.DUMMYFUNCTION("""COMPUTED_VALUE"""),"Digital Tech")</f>
        <v>Digital Tech</v>
      </c>
      <c r="E328" s="6" t="str">
        <f ca="1">IFERROR(__xludf.DUMMYFUNCTION("""COMPUTED_VALUE"""),"Invite Next Year")</f>
        <v>Invite Next Year</v>
      </c>
      <c r="F328" s="6" t="e">
        <f t="shared" ca="1" si="1"/>
        <v>#NAME?</v>
      </c>
    </row>
    <row r="329" spans="1:6">
      <c r="A329" s="199">
        <f ca="1">IFERROR(__xludf.DUMMYFUNCTION("""COMPUTED_VALUE"""),44796)</f>
        <v>44796</v>
      </c>
      <c r="B329" s="6" t="str">
        <f ca="1">IFERROR(__xludf.DUMMYFUNCTION("""COMPUTED_VALUE"""),"Anavah Health _2022")</f>
        <v>Anavah Health _2022</v>
      </c>
      <c r="C329" s="6">
        <f ca="1">IFERROR(__xludf.DUMMYFUNCTION("""COMPUTED_VALUE"""),3.75)</f>
        <v>3.75</v>
      </c>
      <c r="D329" s="6" t="str">
        <f ca="1">IFERROR(__xludf.DUMMYFUNCTION("""COMPUTED_VALUE"""),"Digital Tech")</f>
        <v>Digital Tech</v>
      </c>
      <c r="E329" s="6" t="str">
        <f ca="1">IFERROR(__xludf.DUMMYFUNCTION("""COMPUTED_VALUE"""),"Invite Next Year")</f>
        <v>Invite Next Year</v>
      </c>
      <c r="F329" s="6" t="e">
        <f t="shared" ca="1" si="1"/>
        <v>#NAME?</v>
      </c>
    </row>
    <row r="330" spans="1:6">
      <c r="A330" s="199">
        <f ca="1">IFERROR(__xludf.DUMMYFUNCTION("""COMPUTED_VALUE"""),44796)</f>
        <v>44796</v>
      </c>
      <c r="B330" s="6" t="str">
        <f ca="1">IFERROR(__xludf.DUMMYFUNCTION("""COMPUTED_VALUE"""),"Weather Trade Net _2022")</f>
        <v>Weather Trade Net _2022</v>
      </c>
      <c r="C330" s="6">
        <f ca="1">IFERROR(__xludf.DUMMYFUNCTION("""COMPUTED_VALUE"""),3.75)</f>
        <v>3.75</v>
      </c>
      <c r="D330" s="6" t="str">
        <f ca="1">IFERROR(__xludf.DUMMYFUNCTION("""COMPUTED_VALUE"""),"Digital Tech")</f>
        <v>Digital Tech</v>
      </c>
      <c r="E330" s="6" t="str">
        <f ca="1">IFERROR(__xludf.DUMMYFUNCTION("""COMPUTED_VALUE"""),"Invite Next Year")</f>
        <v>Invite Next Year</v>
      </c>
      <c r="F330" s="6" t="e">
        <f t="shared" ca="1" si="1"/>
        <v>#NAME?</v>
      </c>
    </row>
    <row r="331" spans="1:6">
      <c r="A331" s="199">
        <f ca="1">IFERROR(__xludf.DUMMYFUNCTION("""COMPUTED_VALUE"""),44796)</f>
        <v>44796</v>
      </c>
      <c r="B331" s="6" t="str">
        <f ca="1">IFERROR(__xludf.DUMMYFUNCTION("""COMPUTED_VALUE"""),"Findustrial _2022")</f>
        <v>Findustrial _2022</v>
      </c>
      <c r="C331" s="6">
        <f ca="1">IFERROR(__xludf.DUMMYFUNCTION("""COMPUTED_VALUE"""),3.75)</f>
        <v>3.75</v>
      </c>
      <c r="D331" s="6" t="str">
        <f ca="1">IFERROR(__xludf.DUMMYFUNCTION("""COMPUTED_VALUE"""),"Digital Tech")</f>
        <v>Digital Tech</v>
      </c>
      <c r="E331" s="6" t="str">
        <f ca="1">IFERROR(__xludf.DUMMYFUNCTION("""COMPUTED_VALUE"""),"Invite Next Year")</f>
        <v>Invite Next Year</v>
      </c>
      <c r="F331" s="6" t="e">
        <f t="shared" ca="1" si="1"/>
        <v>#NAME?</v>
      </c>
    </row>
    <row r="332" spans="1:6">
      <c r="A332" s="199">
        <f ca="1">IFERROR(__xludf.DUMMYFUNCTION("""COMPUTED_VALUE"""),44796)</f>
        <v>44796</v>
      </c>
      <c r="B332" s="6" t="str">
        <f ca="1">IFERROR(__xludf.DUMMYFUNCTION("""COMPUTED_VALUE"""),"HeyPeers _2022")</f>
        <v>HeyPeers _2022</v>
      </c>
      <c r="C332" s="6">
        <f ca="1">IFERROR(__xludf.DUMMYFUNCTION("""COMPUTED_VALUE"""),3.75)</f>
        <v>3.75</v>
      </c>
      <c r="D332" s="6" t="str">
        <f ca="1">IFERROR(__xludf.DUMMYFUNCTION("""COMPUTED_VALUE"""),"Digital Tech")</f>
        <v>Digital Tech</v>
      </c>
      <c r="E332" s="6" t="str">
        <f ca="1">IFERROR(__xludf.DUMMYFUNCTION("""COMPUTED_VALUE"""),"Invite Next Year")</f>
        <v>Invite Next Year</v>
      </c>
      <c r="F332" s="6" t="e">
        <f t="shared" ca="1" si="1"/>
        <v>#NAME?</v>
      </c>
    </row>
    <row r="333" spans="1:6">
      <c r="A333" s="199">
        <f ca="1">IFERROR(__xludf.DUMMYFUNCTION("""COMPUTED_VALUE"""),44796)</f>
        <v>44796</v>
      </c>
      <c r="B333" s="6" t="str">
        <f ca="1">IFERROR(__xludf.DUMMYFUNCTION("""COMPUTED_VALUE"""),"NOWHERE (NWR CORP) _2022")</f>
        <v>NOWHERE (NWR CORP) _2022</v>
      </c>
      <c r="C333" s="6">
        <f ca="1">IFERROR(__xludf.DUMMYFUNCTION("""COMPUTED_VALUE"""),3.75)</f>
        <v>3.75</v>
      </c>
      <c r="D333" s="6" t="str">
        <f ca="1">IFERROR(__xludf.DUMMYFUNCTION("""COMPUTED_VALUE"""),"Digital Tech")</f>
        <v>Digital Tech</v>
      </c>
      <c r="E333" s="6" t="str">
        <f ca="1">IFERROR(__xludf.DUMMYFUNCTION("""COMPUTED_VALUE"""),"Invite Next Year")</f>
        <v>Invite Next Year</v>
      </c>
      <c r="F333" s="6" t="e">
        <f t="shared" ca="1" si="1"/>
        <v>#NAME?</v>
      </c>
    </row>
    <row r="334" spans="1:6">
      <c r="A334" s="199">
        <f ca="1">IFERROR(__xludf.DUMMYFUNCTION("""COMPUTED_VALUE"""),44796)</f>
        <v>44796</v>
      </c>
      <c r="B334" s="6" t="str">
        <f ca="1">IFERROR(__xludf.DUMMYFUNCTION("""COMPUTED_VALUE"""),"EASEEbot _2022")</f>
        <v>EASEEbot _2022</v>
      </c>
      <c r="C334" s="6">
        <f ca="1">IFERROR(__xludf.DUMMYFUNCTION("""COMPUTED_VALUE"""),3.75)</f>
        <v>3.75</v>
      </c>
      <c r="D334" s="6" t="str">
        <f ca="1">IFERROR(__xludf.DUMMYFUNCTION("""COMPUTED_VALUE"""),"Deep Tech")</f>
        <v>Deep Tech</v>
      </c>
      <c r="E334" s="6" t="str">
        <f ca="1">IFERROR(__xludf.DUMMYFUNCTION("""COMPUTED_VALUE"""),"Invite Next Year")</f>
        <v>Invite Next Year</v>
      </c>
      <c r="F334" s="6" t="e">
        <f t="shared" ca="1" si="1"/>
        <v>#NAME?</v>
      </c>
    </row>
    <row r="335" spans="1:6">
      <c r="A335" s="199">
        <f ca="1">IFERROR(__xludf.DUMMYFUNCTION("""COMPUTED_VALUE"""),44796)</f>
        <v>44796</v>
      </c>
      <c r="B335" s="6" t="str">
        <f ca="1">IFERROR(__xludf.DUMMYFUNCTION("""COMPUTED_VALUE"""),"YouVue _2022")</f>
        <v>YouVue _2022</v>
      </c>
      <c r="C335" s="6">
        <f ca="1">IFERROR(__xludf.DUMMYFUNCTION("""COMPUTED_VALUE"""),3.75)</f>
        <v>3.75</v>
      </c>
      <c r="D335" s="6" t="str">
        <f ca="1">IFERROR(__xludf.DUMMYFUNCTION("""COMPUTED_VALUE"""),"Digital Tech")</f>
        <v>Digital Tech</v>
      </c>
      <c r="E335" s="6" t="str">
        <f ca="1">IFERROR(__xludf.DUMMYFUNCTION("""COMPUTED_VALUE"""),"Invite Next Year")</f>
        <v>Invite Next Year</v>
      </c>
      <c r="F335" s="6" t="e">
        <f t="shared" ca="1" si="1"/>
        <v>#NAME?</v>
      </c>
    </row>
    <row r="336" spans="1:6">
      <c r="A336" s="199">
        <f ca="1">IFERROR(__xludf.DUMMYFUNCTION("""COMPUTED_VALUE"""),44796)</f>
        <v>44796</v>
      </c>
      <c r="B336" s="6" t="str">
        <f ca="1">IFERROR(__xludf.DUMMYFUNCTION("""COMPUTED_VALUE"""),"Fairmint _2022")</f>
        <v>Fairmint _2022</v>
      </c>
      <c r="C336" s="6">
        <f ca="1">IFERROR(__xludf.DUMMYFUNCTION("""COMPUTED_VALUE"""),3.75)</f>
        <v>3.75</v>
      </c>
      <c r="D336" s="6" t="str">
        <f ca="1">IFERROR(__xludf.DUMMYFUNCTION("""COMPUTED_VALUE"""),"Digital Tech")</f>
        <v>Digital Tech</v>
      </c>
      <c r="E336" s="6" t="str">
        <f ca="1">IFERROR(__xludf.DUMMYFUNCTION("""COMPUTED_VALUE"""),"Invite")</f>
        <v>Invite</v>
      </c>
      <c r="F336" s="6" t="e">
        <f t="shared" ca="1" si="1"/>
        <v>#NAME?</v>
      </c>
    </row>
    <row r="337" spans="1:6">
      <c r="A337" s="199">
        <f ca="1">IFERROR(__xludf.DUMMYFUNCTION("""COMPUTED_VALUE"""),44796)</f>
        <v>44796</v>
      </c>
      <c r="B337" s="6" t="str">
        <f ca="1">IFERROR(__xludf.DUMMYFUNCTION("""COMPUTED_VALUE"""),"Immersive Reality Group _2022")</f>
        <v>Immersive Reality Group _2022</v>
      </c>
      <c r="C337" s="6">
        <f ca="1">IFERROR(__xludf.DUMMYFUNCTION("""COMPUTED_VALUE"""),3.75)</f>
        <v>3.75</v>
      </c>
      <c r="D337" s="6" t="str">
        <f ca="1">IFERROR(__xludf.DUMMYFUNCTION("""COMPUTED_VALUE"""),"Digital Tech")</f>
        <v>Digital Tech</v>
      </c>
      <c r="E337" s="6" t="str">
        <f ca="1">IFERROR(__xludf.DUMMYFUNCTION("""COMPUTED_VALUE"""),"Invite Next Year")</f>
        <v>Invite Next Year</v>
      </c>
      <c r="F337" s="6" t="e">
        <f t="shared" ca="1" si="1"/>
        <v>#NAME?</v>
      </c>
    </row>
    <row r="338" spans="1:6">
      <c r="A338" s="199">
        <f ca="1">IFERROR(__xludf.DUMMYFUNCTION("""COMPUTED_VALUE"""),44796)</f>
        <v>44796</v>
      </c>
      <c r="B338" s="6" t="str">
        <f ca="1">IFERROR(__xludf.DUMMYFUNCTION("""COMPUTED_VALUE"""),"Syos _2022")</f>
        <v>Syos _2022</v>
      </c>
      <c r="C338" s="6">
        <f ca="1">IFERROR(__xludf.DUMMYFUNCTION("""COMPUTED_VALUE"""),3.75)</f>
        <v>3.75</v>
      </c>
      <c r="D338" s="6" t="str">
        <f ca="1">IFERROR(__xludf.DUMMYFUNCTION("""COMPUTED_VALUE"""),"Digital Tech")</f>
        <v>Digital Tech</v>
      </c>
      <c r="E338" s="6" t="str">
        <f ca="1">IFERROR(__xludf.DUMMYFUNCTION("""COMPUTED_VALUE"""),"Invite Next Year")</f>
        <v>Invite Next Year</v>
      </c>
      <c r="F338" s="6" t="e">
        <f t="shared" ca="1" si="1"/>
        <v>#NAME?</v>
      </c>
    </row>
    <row r="339" spans="1:6">
      <c r="A339" s="199">
        <f ca="1">IFERROR(__xludf.DUMMYFUNCTION("""COMPUTED_VALUE"""),44796)</f>
        <v>44796</v>
      </c>
      <c r="B339" s="6" t="str">
        <f ca="1">IFERROR(__xludf.DUMMYFUNCTION("""COMPUTED_VALUE"""),"Khepra _2022")</f>
        <v>Khepra _2022</v>
      </c>
      <c r="C339" s="6">
        <f ca="1">IFERROR(__xludf.DUMMYFUNCTION("""COMPUTED_VALUE"""),3.75)</f>
        <v>3.75</v>
      </c>
      <c r="D339" s="6" t="str">
        <f ca="1">IFERROR(__xludf.DUMMYFUNCTION("""COMPUTED_VALUE"""),"Deep Tech")</f>
        <v>Deep Tech</v>
      </c>
      <c r="E339" s="6" t="str">
        <f ca="1">IFERROR(__xludf.DUMMYFUNCTION("""COMPUTED_VALUE"""),"Invite Next Year")</f>
        <v>Invite Next Year</v>
      </c>
      <c r="F339" s="6" t="e">
        <f t="shared" ca="1" si="1"/>
        <v>#NAME?</v>
      </c>
    </row>
    <row r="340" spans="1:6">
      <c r="A340" s="199">
        <f ca="1">IFERROR(__xludf.DUMMYFUNCTION("""COMPUTED_VALUE"""),44796)</f>
        <v>44796</v>
      </c>
      <c r="B340" s="6" t="str">
        <f ca="1">IFERROR(__xludf.DUMMYFUNCTION("""COMPUTED_VALUE"""),"Holoxica Limited _2022")</f>
        <v>Holoxica Limited _2022</v>
      </c>
      <c r="C340" s="6">
        <f ca="1">IFERROR(__xludf.DUMMYFUNCTION("""COMPUTED_VALUE"""),3.75)</f>
        <v>3.75</v>
      </c>
      <c r="D340" s="6" t="str">
        <f ca="1">IFERROR(__xludf.DUMMYFUNCTION("""COMPUTED_VALUE"""),"Digital Tech")</f>
        <v>Digital Tech</v>
      </c>
      <c r="E340" s="6" t="str">
        <f ca="1">IFERROR(__xludf.DUMMYFUNCTION("""COMPUTED_VALUE"""),"Invite Next Year")</f>
        <v>Invite Next Year</v>
      </c>
      <c r="F340" s="6" t="e">
        <f t="shared" ca="1" si="1"/>
        <v>#NAME?</v>
      </c>
    </row>
    <row r="341" spans="1:6">
      <c r="A341" s="199">
        <f ca="1">IFERROR(__xludf.DUMMYFUNCTION("""COMPUTED_VALUE"""),44796)</f>
        <v>44796</v>
      </c>
      <c r="B341" s="6" t="str">
        <f ca="1">IFERROR(__xludf.DUMMYFUNCTION("""COMPUTED_VALUE"""),"Alpha 1 Biologics _2022")</f>
        <v>Alpha 1 Biologics _2022</v>
      </c>
      <c r="C341" s="6">
        <f ca="1">IFERROR(__xludf.DUMMYFUNCTION("""COMPUTED_VALUE"""),3.75)</f>
        <v>3.75</v>
      </c>
      <c r="D341" s="6" t="str">
        <f ca="1">IFERROR(__xludf.DUMMYFUNCTION("""COMPUTED_VALUE"""),"Life Sciences")</f>
        <v>Life Sciences</v>
      </c>
      <c r="E341" s="6" t="str">
        <f ca="1">IFERROR(__xludf.DUMMYFUNCTION("""COMPUTED_VALUE"""),"Invite Next Year")</f>
        <v>Invite Next Year</v>
      </c>
      <c r="F341" s="6" t="e">
        <f t="shared" ca="1" si="1"/>
        <v>#NAME?</v>
      </c>
    </row>
    <row r="342" spans="1:6">
      <c r="A342" s="199">
        <f ca="1">IFERROR(__xludf.DUMMYFUNCTION("""COMPUTED_VALUE"""),44796)</f>
        <v>44796</v>
      </c>
      <c r="B342" s="6" t="str">
        <f ca="1">IFERROR(__xludf.DUMMYFUNCTION("""COMPUTED_VALUE"""),"IndyGeneUS AI _2022")</f>
        <v>IndyGeneUS AI _2022</v>
      </c>
      <c r="C342" s="6">
        <f ca="1">IFERROR(__xludf.DUMMYFUNCTION("""COMPUTED_VALUE"""),3.75)</f>
        <v>3.75</v>
      </c>
      <c r="D342" s="6" t="str">
        <f ca="1">IFERROR(__xludf.DUMMYFUNCTION("""COMPUTED_VALUE"""),"Digital Tech")</f>
        <v>Digital Tech</v>
      </c>
      <c r="E342" s="6" t="str">
        <f ca="1">IFERROR(__xludf.DUMMYFUNCTION("""COMPUTED_VALUE"""),"Invite")</f>
        <v>Invite</v>
      </c>
      <c r="F342" s="6" t="e">
        <f t="shared" ca="1" si="1"/>
        <v>#NAME?</v>
      </c>
    </row>
    <row r="343" spans="1:6">
      <c r="A343" s="199">
        <f ca="1">IFERROR(__xludf.DUMMYFUNCTION("""COMPUTED_VALUE"""),44796)</f>
        <v>44796</v>
      </c>
      <c r="B343" s="6" t="str">
        <f ca="1">IFERROR(__xludf.DUMMYFUNCTION("""COMPUTED_VALUE"""),"Femtera Laboratories LLC _2022")</f>
        <v>Femtera Laboratories LLC _2022</v>
      </c>
      <c r="C343" s="6">
        <f ca="1">IFERROR(__xludf.DUMMYFUNCTION("""COMPUTED_VALUE"""),3.75)</f>
        <v>3.75</v>
      </c>
      <c r="D343" s="6" t="str">
        <f ca="1">IFERROR(__xludf.DUMMYFUNCTION("""COMPUTED_VALUE"""),"Life Sciences")</f>
        <v>Life Sciences</v>
      </c>
      <c r="E343" s="6" t="str">
        <f ca="1">IFERROR(__xludf.DUMMYFUNCTION("""COMPUTED_VALUE"""),"Invite Next Year")</f>
        <v>Invite Next Year</v>
      </c>
      <c r="F343" s="6" t="e">
        <f t="shared" ca="1" si="1"/>
        <v>#NAME?</v>
      </c>
    </row>
    <row r="344" spans="1:6">
      <c r="A344" s="199">
        <f ca="1">IFERROR(__xludf.DUMMYFUNCTION("""COMPUTED_VALUE"""),44796)</f>
        <v>44796</v>
      </c>
      <c r="B344" s="6" t="str">
        <f ca="1">IFERROR(__xludf.DUMMYFUNCTION("""COMPUTED_VALUE"""),"Blueberry Technology Inc. _2022")</f>
        <v>Blueberry Technology Inc. _2022</v>
      </c>
      <c r="C344" s="6">
        <f ca="1">IFERROR(__xludf.DUMMYFUNCTION("""COMPUTED_VALUE"""),3.75)</f>
        <v>3.75</v>
      </c>
      <c r="D344" s="6" t="str">
        <f ca="1">IFERROR(__xludf.DUMMYFUNCTION("""COMPUTED_VALUE"""),"Digital Tech")</f>
        <v>Digital Tech</v>
      </c>
      <c r="E344" s="6" t="str">
        <f ca="1">IFERROR(__xludf.DUMMYFUNCTION("""COMPUTED_VALUE"""),"Invite Next Year")</f>
        <v>Invite Next Year</v>
      </c>
      <c r="F344" s="6" t="e">
        <f t="shared" ca="1" si="1"/>
        <v>#NAME?</v>
      </c>
    </row>
    <row r="345" spans="1:6">
      <c r="A345" s="199">
        <f ca="1">IFERROR(__xludf.DUMMYFUNCTION("""COMPUTED_VALUE"""),44796)</f>
        <v>44796</v>
      </c>
      <c r="B345" s="6" t="str">
        <f ca="1">IFERROR(__xludf.DUMMYFUNCTION("""COMPUTED_VALUE"""),"Ricovr Healthcare Inc _2022")</f>
        <v>Ricovr Healthcare Inc _2022</v>
      </c>
      <c r="C345" s="6">
        <f ca="1">IFERROR(__xludf.DUMMYFUNCTION("""COMPUTED_VALUE"""),3.75)</f>
        <v>3.75</v>
      </c>
      <c r="D345" s="6" t="str">
        <f ca="1">IFERROR(__xludf.DUMMYFUNCTION("""COMPUTED_VALUE"""),"Life Sciences")</f>
        <v>Life Sciences</v>
      </c>
      <c r="E345" s="6" t="str">
        <f ca="1">IFERROR(__xludf.DUMMYFUNCTION("""COMPUTED_VALUE"""),"Special Reject")</f>
        <v>Special Reject</v>
      </c>
      <c r="F345" s="6" t="e">
        <f t="shared" ca="1" si="1"/>
        <v>#NAME?</v>
      </c>
    </row>
    <row r="346" spans="1:6">
      <c r="A346" s="199">
        <f ca="1">IFERROR(__xludf.DUMMYFUNCTION("""COMPUTED_VALUE"""),44796)</f>
        <v>44796</v>
      </c>
      <c r="B346" s="6" t="str">
        <f ca="1">IFERROR(__xludf.DUMMYFUNCTION("""COMPUTED_VALUE"""),"Sonostik LLC _2022")</f>
        <v>Sonostik LLC _2022</v>
      </c>
      <c r="C346" s="6">
        <f ca="1">IFERROR(__xludf.DUMMYFUNCTION("""COMPUTED_VALUE"""),3.75)</f>
        <v>3.75</v>
      </c>
      <c r="D346" s="6" t="str">
        <f ca="1">IFERROR(__xludf.DUMMYFUNCTION("""COMPUTED_VALUE"""),"Life Sciences")</f>
        <v>Life Sciences</v>
      </c>
      <c r="E346" s="6" t="str">
        <f ca="1">IFERROR(__xludf.DUMMYFUNCTION("""COMPUTED_VALUE"""),"Invite Next Year")</f>
        <v>Invite Next Year</v>
      </c>
      <c r="F346" s="6" t="e">
        <f t="shared" ca="1" si="1"/>
        <v>#NAME?</v>
      </c>
    </row>
    <row r="347" spans="1:6">
      <c r="A347" s="199">
        <f ca="1">IFERROR(__xludf.DUMMYFUNCTION("""COMPUTED_VALUE"""),44796)</f>
        <v>44796</v>
      </c>
      <c r="B347" s="6" t="str">
        <f ca="1">IFERROR(__xludf.DUMMYFUNCTION("""COMPUTED_VALUE"""),"Yepic AI Limited _2022")</f>
        <v>Yepic AI Limited _2022</v>
      </c>
      <c r="C347" s="6">
        <f ca="1">IFERROR(__xludf.DUMMYFUNCTION("""COMPUTED_VALUE"""),3.75)</f>
        <v>3.75</v>
      </c>
      <c r="D347" s="6" t="str">
        <f ca="1">IFERROR(__xludf.DUMMYFUNCTION("""COMPUTED_VALUE"""),"Digital Tech")</f>
        <v>Digital Tech</v>
      </c>
      <c r="E347" s="6" t="str">
        <f ca="1">IFERROR(__xludf.DUMMYFUNCTION("""COMPUTED_VALUE"""),"Revisit")</f>
        <v>Revisit</v>
      </c>
      <c r="F347" s="6" t="e">
        <f t="shared" ca="1" si="1"/>
        <v>#NAME?</v>
      </c>
    </row>
    <row r="348" spans="1:6">
      <c r="A348" s="199">
        <f ca="1">IFERROR(__xludf.DUMMYFUNCTION("""COMPUTED_VALUE"""),44796)</f>
        <v>44796</v>
      </c>
      <c r="B348" s="6" t="str">
        <f ca="1">IFERROR(__xludf.DUMMYFUNCTION("""COMPUTED_VALUE"""),"Bidorium, LLC _2022")</f>
        <v>Bidorium, LLC _2022</v>
      </c>
      <c r="C348" s="6">
        <f ca="1">IFERROR(__xludf.DUMMYFUNCTION("""COMPUTED_VALUE"""),3.75)</f>
        <v>3.75</v>
      </c>
      <c r="D348" s="6" t="str">
        <f ca="1">IFERROR(__xludf.DUMMYFUNCTION("""COMPUTED_VALUE"""),"Digital Tech")</f>
        <v>Digital Tech</v>
      </c>
      <c r="E348" s="6" t="str">
        <f ca="1">IFERROR(__xludf.DUMMYFUNCTION("""COMPUTED_VALUE"""),"Invite Next Year")</f>
        <v>Invite Next Year</v>
      </c>
      <c r="F348" s="6" t="e">
        <f t="shared" ca="1" si="1"/>
        <v>#NAME?</v>
      </c>
    </row>
    <row r="349" spans="1:6">
      <c r="A349" s="199">
        <f ca="1">IFERROR(__xludf.DUMMYFUNCTION("""COMPUTED_VALUE"""),44796)</f>
        <v>44796</v>
      </c>
      <c r="B349" s="6" t="str">
        <f ca="1">IFERROR(__xludf.DUMMYFUNCTION("""COMPUTED_VALUE"""),"Nemosia AG _2022")</f>
        <v>Nemosia AG _2022</v>
      </c>
      <c r="C349" s="6">
        <f ca="1">IFERROR(__xludf.DUMMYFUNCTION("""COMPUTED_VALUE"""),3.75)</f>
        <v>3.75</v>
      </c>
      <c r="D349" s="6" t="str">
        <f ca="1">IFERROR(__xludf.DUMMYFUNCTION("""COMPUTED_VALUE"""),"Life Sciences")</f>
        <v>Life Sciences</v>
      </c>
      <c r="E349" s="6" t="str">
        <f ca="1">IFERROR(__xludf.DUMMYFUNCTION("""COMPUTED_VALUE"""),"Invite Next Year")</f>
        <v>Invite Next Year</v>
      </c>
      <c r="F349" s="6" t="e">
        <f t="shared" ca="1" si="1"/>
        <v>#NAME?</v>
      </c>
    </row>
    <row r="350" spans="1:6">
      <c r="A350" s="199">
        <f ca="1">IFERROR(__xludf.DUMMYFUNCTION("""COMPUTED_VALUE"""),44797)</f>
        <v>44797</v>
      </c>
      <c r="B350" s="6" t="str">
        <f ca="1">IFERROR(__xludf.DUMMYFUNCTION("""COMPUTED_VALUE"""),"GoCharlie.ai _2022")</f>
        <v>GoCharlie.ai _2022</v>
      </c>
      <c r="C350" s="6">
        <f ca="1">IFERROR(__xludf.DUMMYFUNCTION("""COMPUTED_VALUE"""),3.75)</f>
        <v>3.75</v>
      </c>
      <c r="D350" s="6" t="str">
        <f ca="1">IFERROR(__xludf.DUMMYFUNCTION("""COMPUTED_VALUE"""),"Digital Tech")</f>
        <v>Digital Tech</v>
      </c>
      <c r="E350" s="6" t="str">
        <f ca="1">IFERROR(__xludf.DUMMYFUNCTION("""COMPUTED_VALUE"""),"Invite Next Year")</f>
        <v>Invite Next Year</v>
      </c>
      <c r="F350" s="6" t="e">
        <f t="shared" ca="1" si="1"/>
        <v>#NAME?</v>
      </c>
    </row>
    <row r="351" spans="1:6">
      <c r="A351" s="199">
        <f ca="1">IFERROR(__xludf.DUMMYFUNCTION("""COMPUTED_VALUE"""),44797)</f>
        <v>44797</v>
      </c>
      <c r="B351" s="6" t="str">
        <f ca="1">IFERROR(__xludf.DUMMYFUNCTION("""COMPUTED_VALUE"""),"TrueToForm _2022")</f>
        <v>TrueToForm _2022</v>
      </c>
      <c r="C351" s="6">
        <f ca="1">IFERROR(__xludf.DUMMYFUNCTION("""COMPUTED_VALUE"""),3.75)</f>
        <v>3.75</v>
      </c>
      <c r="D351" s="6" t="str">
        <f ca="1">IFERROR(__xludf.DUMMYFUNCTION("""COMPUTED_VALUE"""),"Digital Tech")</f>
        <v>Digital Tech</v>
      </c>
      <c r="E351" s="6" t="str">
        <f ca="1">IFERROR(__xludf.DUMMYFUNCTION("""COMPUTED_VALUE"""),"Invite Next Year")</f>
        <v>Invite Next Year</v>
      </c>
      <c r="F351" s="6" t="e">
        <f t="shared" ca="1" si="1"/>
        <v>#NAME?</v>
      </c>
    </row>
    <row r="352" spans="1:6">
      <c r="A352" s="199">
        <f ca="1">IFERROR(__xludf.DUMMYFUNCTION("""COMPUTED_VALUE"""),44797)</f>
        <v>44797</v>
      </c>
      <c r="B352" s="6" t="str">
        <f ca="1">IFERROR(__xludf.DUMMYFUNCTION("""COMPUTED_VALUE"""),"Solvuu _2022")</f>
        <v>Solvuu _2022</v>
      </c>
      <c r="C352" s="6">
        <f ca="1">IFERROR(__xludf.DUMMYFUNCTION("""COMPUTED_VALUE"""),3.75)</f>
        <v>3.75</v>
      </c>
      <c r="D352" s="6" t="str">
        <f ca="1">IFERROR(__xludf.DUMMYFUNCTION("""COMPUTED_VALUE"""),"Digital Tech")</f>
        <v>Digital Tech</v>
      </c>
      <c r="E352" s="6" t="str">
        <f ca="1">IFERROR(__xludf.DUMMYFUNCTION("""COMPUTED_VALUE"""),"Revisit")</f>
        <v>Revisit</v>
      </c>
      <c r="F352" s="6" t="e">
        <f t="shared" ca="1" si="1"/>
        <v>#NAME?</v>
      </c>
    </row>
    <row r="353" spans="1:6">
      <c r="A353" s="199">
        <f ca="1">IFERROR(__xludf.DUMMYFUNCTION("""COMPUTED_VALUE"""),44797)</f>
        <v>44797</v>
      </c>
      <c r="B353" s="6" t="str">
        <f ca="1">IFERROR(__xludf.DUMMYFUNCTION("""COMPUTED_VALUE"""),"QSINGULA DEVELOPMENT FZ-LLC (QSD) _2022")</f>
        <v>QSINGULA DEVELOPMENT FZ-LLC (QSD) _2022</v>
      </c>
      <c r="C353" s="6">
        <f ca="1">IFERROR(__xludf.DUMMYFUNCTION("""COMPUTED_VALUE"""),3.75)</f>
        <v>3.75</v>
      </c>
      <c r="D353" s="6" t="str">
        <f ca="1">IFERROR(__xludf.DUMMYFUNCTION("""COMPUTED_VALUE"""),"Life Sciences")</f>
        <v>Life Sciences</v>
      </c>
      <c r="E353" s="6" t="str">
        <f ca="1">IFERROR(__xludf.DUMMYFUNCTION("""COMPUTED_VALUE"""),"Revisit/ Cluster")</f>
        <v>Revisit/ Cluster</v>
      </c>
      <c r="F353" s="6" t="e">
        <f t="shared" ca="1" si="1"/>
        <v>#NAME?</v>
      </c>
    </row>
    <row r="354" spans="1:6">
      <c r="A354" s="199">
        <f ca="1">IFERROR(__xludf.DUMMYFUNCTION("""COMPUTED_VALUE"""),44782)</f>
        <v>44782</v>
      </c>
      <c r="B354" s="6" t="str">
        <f ca="1">IFERROR(__xludf.DUMMYFUNCTION("""COMPUTED_VALUE"""),"Eureka FinTech Limited _2022")</f>
        <v>Eureka FinTech Limited _2022</v>
      </c>
      <c r="C354" s="6">
        <f ca="1">IFERROR(__xludf.DUMMYFUNCTION("""COMPUTED_VALUE"""),3.63)</f>
        <v>3.63</v>
      </c>
      <c r="D354" s="6" t="str">
        <f ca="1">IFERROR(__xludf.DUMMYFUNCTION("""COMPUTED_VALUE"""),"Digital Tech")</f>
        <v>Digital Tech</v>
      </c>
      <c r="E354" s="6" t="str">
        <f ca="1">IFERROR(__xludf.DUMMYFUNCTION("""COMPUTED_VALUE"""),"Invite")</f>
        <v>Invite</v>
      </c>
      <c r="F354" s="6" t="e">
        <f t="shared" ca="1" si="1"/>
        <v>#NAME?</v>
      </c>
    </row>
    <row r="355" spans="1:6">
      <c r="A355" s="199">
        <f ca="1">IFERROR(__xludf.DUMMYFUNCTION("""COMPUTED_VALUE"""),44789)</f>
        <v>44789</v>
      </c>
      <c r="B355" s="6" t="str">
        <f ca="1">IFERROR(__xludf.DUMMYFUNCTION("""COMPUTED_VALUE"""),"Anonymous Agent Inc. _2022")</f>
        <v>Anonymous Agent Inc. _2022</v>
      </c>
      <c r="C355" s="6">
        <f ca="1">IFERROR(__xludf.DUMMYFUNCTION("""COMPUTED_VALUE"""),3.63)</f>
        <v>3.63</v>
      </c>
      <c r="D355" s="6" t="str">
        <f ca="1">IFERROR(__xludf.DUMMYFUNCTION("""COMPUTED_VALUE"""),"Digital Tech")</f>
        <v>Digital Tech</v>
      </c>
      <c r="E355" s="6" t="str">
        <f ca="1">IFERROR(__xludf.DUMMYFUNCTION("""COMPUTED_VALUE"""),"Invite Next Year")</f>
        <v>Invite Next Year</v>
      </c>
      <c r="F355" s="6" t="e">
        <f t="shared" ca="1" si="1"/>
        <v>#NAME?</v>
      </c>
    </row>
    <row r="356" spans="1:6">
      <c r="A356" s="199">
        <f ca="1">IFERROR(__xludf.DUMMYFUNCTION("""COMPUTED_VALUE"""),44789)</f>
        <v>44789</v>
      </c>
      <c r="B356" s="6" t="str">
        <f ca="1">IFERROR(__xludf.DUMMYFUNCTION("""COMPUTED_VALUE"""),"LangInnov _2022")</f>
        <v>LangInnov _2022</v>
      </c>
      <c r="C356" s="6">
        <f ca="1">IFERROR(__xludf.DUMMYFUNCTION("""COMPUTED_VALUE"""),3.63)</f>
        <v>3.63</v>
      </c>
      <c r="D356" s="6" t="str">
        <f ca="1">IFERROR(__xludf.DUMMYFUNCTION("""COMPUTED_VALUE"""),"Digital Tech")</f>
        <v>Digital Tech</v>
      </c>
      <c r="E356" s="6" t="str">
        <f ca="1">IFERROR(__xludf.DUMMYFUNCTION("""COMPUTED_VALUE"""),"Invite Next Year")</f>
        <v>Invite Next Year</v>
      </c>
      <c r="F356" s="6" t="e">
        <f t="shared" ca="1" si="1"/>
        <v>#NAME?</v>
      </c>
    </row>
    <row r="357" spans="1:6">
      <c r="A357" s="199">
        <f ca="1">IFERROR(__xludf.DUMMYFUNCTION("""COMPUTED_VALUE"""),44789)</f>
        <v>44789</v>
      </c>
      <c r="B357" s="6" t="str">
        <f ca="1">IFERROR(__xludf.DUMMYFUNCTION("""COMPUTED_VALUE"""),"Noala _2022")</f>
        <v>Noala _2022</v>
      </c>
      <c r="C357" s="6">
        <f ca="1">IFERROR(__xludf.DUMMYFUNCTION("""COMPUTED_VALUE"""),3.63)</f>
        <v>3.63</v>
      </c>
      <c r="D357" s="6" t="str">
        <f ca="1">IFERROR(__xludf.DUMMYFUNCTION("""COMPUTED_VALUE"""),"Digital Tech")</f>
        <v>Digital Tech</v>
      </c>
      <c r="E357" s="6" t="str">
        <f ca="1">IFERROR(__xludf.DUMMYFUNCTION("""COMPUTED_VALUE"""),"Invite")</f>
        <v>Invite</v>
      </c>
      <c r="F357" s="6" t="e">
        <f t="shared" ca="1" si="1"/>
        <v>#NAME?</v>
      </c>
    </row>
    <row r="358" spans="1:6">
      <c r="A358" s="199">
        <f ca="1">IFERROR(__xludf.DUMMYFUNCTION("""COMPUTED_VALUE"""),44789)</f>
        <v>44789</v>
      </c>
      <c r="B358" s="6" t="str">
        <f ca="1">IFERROR(__xludf.DUMMYFUNCTION("""COMPUTED_VALUE"""),"Lazy Trade _2022")</f>
        <v>Lazy Trade _2022</v>
      </c>
      <c r="C358" s="6">
        <f ca="1">IFERROR(__xludf.DUMMYFUNCTION("""COMPUTED_VALUE"""),3.63)</f>
        <v>3.63</v>
      </c>
      <c r="D358" s="6" t="str">
        <f ca="1">IFERROR(__xludf.DUMMYFUNCTION("""COMPUTED_VALUE"""),"Digital Tech")</f>
        <v>Digital Tech</v>
      </c>
      <c r="E358" s="6" t="str">
        <f ca="1">IFERROR(__xludf.DUMMYFUNCTION("""COMPUTED_VALUE"""),"Invite Next Year")</f>
        <v>Invite Next Year</v>
      </c>
      <c r="F358" s="6" t="e">
        <f t="shared" ca="1" si="1"/>
        <v>#NAME?</v>
      </c>
    </row>
    <row r="359" spans="1:6">
      <c r="A359" s="199">
        <f ca="1">IFERROR(__xludf.DUMMYFUNCTION("""COMPUTED_VALUE"""),44789)</f>
        <v>44789</v>
      </c>
      <c r="B359" s="6" t="str">
        <f ca="1">IFERROR(__xludf.DUMMYFUNCTION("""COMPUTED_VALUE"""),"ShareID _2022")</f>
        <v>ShareID _2022</v>
      </c>
      <c r="C359" s="6">
        <f ca="1">IFERROR(__xludf.DUMMYFUNCTION("""COMPUTED_VALUE"""),3.63)</f>
        <v>3.63</v>
      </c>
      <c r="D359" s="6" t="str">
        <f ca="1">IFERROR(__xludf.DUMMYFUNCTION("""COMPUTED_VALUE"""),"Digital Tech")</f>
        <v>Digital Tech</v>
      </c>
      <c r="E359" s="6" t="str">
        <f ca="1">IFERROR(__xludf.DUMMYFUNCTION("""COMPUTED_VALUE"""),"Invite")</f>
        <v>Invite</v>
      </c>
      <c r="F359" s="6" t="e">
        <f t="shared" ca="1" si="1"/>
        <v>#NAME?</v>
      </c>
    </row>
    <row r="360" spans="1:6">
      <c r="A360" s="199">
        <f ca="1">IFERROR(__xludf.DUMMYFUNCTION("""COMPUTED_VALUE"""),44791)</f>
        <v>44791</v>
      </c>
      <c r="B360" s="6" t="str">
        <f ca="1">IFERROR(__xludf.DUMMYFUNCTION("""COMPUTED_VALUE"""),"Mobility Partners Inc. _2022")</f>
        <v>Mobility Partners Inc. _2022</v>
      </c>
      <c r="C360" s="6">
        <f ca="1">IFERROR(__xludf.DUMMYFUNCTION("""COMPUTED_VALUE"""),3.63)</f>
        <v>3.63</v>
      </c>
      <c r="D360" s="6" t="str">
        <f ca="1">IFERROR(__xludf.DUMMYFUNCTION("""COMPUTED_VALUE"""),"Digital Tech")</f>
        <v>Digital Tech</v>
      </c>
      <c r="E360" s="6" t="str">
        <f ca="1">IFERROR(__xludf.DUMMYFUNCTION("""COMPUTED_VALUE"""),"Invite Next Year")</f>
        <v>Invite Next Year</v>
      </c>
      <c r="F360" s="6" t="e">
        <f t="shared" ca="1" si="1"/>
        <v>#NAME?</v>
      </c>
    </row>
    <row r="361" spans="1:6">
      <c r="A361" s="199">
        <f ca="1">IFERROR(__xludf.DUMMYFUNCTION("""COMPUTED_VALUE"""),44796)</f>
        <v>44796</v>
      </c>
      <c r="B361" s="6" t="str">
        <f ca="1">IFERROR(__xludf.DUMMYFUNCTION("""COMPUTED_VALUE"""),"BintanGO _2022")</f>
        <v>BintanGO _2022</v>
      </c>
      <c r="C361" s="6">
        <f ca="1">IFERROR(__xludf.DUMMYFUNCTION("""COMPUTED_VALUE"""),3.63)</f>
        <v>3.63</v>
      </c>
      <c r="D361" s="6" t="str">
        <f ca="1">IFERROR(__xludf.DUMMYFUNCTION("""COMPUTED_VALUE"""),"Digital Tech")</f>
        <v>Digital Tech</v>
      </c>
      <c r="E361" s="6" t="str">
        <f ca="1">IFERROR(__xludf.DUMMYFUNCTION("""COMPUTED_VALUE"""),"Invite")</f>
        <v>Invite</v>
      </c>
      <c r="F361" s="6" t="e">
        <f t="shared" ca="1" si="1"/>
        <v>#NAME?</v>
      </c>
    </row>
    <row r="362" spans="1:6">
      <c r="A362" s="199">
        <f ca="1">IFERROR(__xludf.DUMMYFUNCTION("""COMPUTED_VALUE"""),44797)</f>
        <v>44797</v>
      </c>
      <c r="B362" s="6" t="str">
        <f ca="1">IFERROR(__xludf.DUMMYFUNCTION("""COMPUTED_VALUE"""),"Sustainaccount AG _2022")</f>
        <v>Sustainaccount AG _2022</v>
      </c>
      <c r="C362" s="6">
        <f ca="1">IFERROR(__xludf.DUMMYFUNCTION("""COMPUTED_VALUE"""),3.63)</f>
        <v>3.63</v>
      </c>
      <c r="D362" s="6" t="str">
        <f ca="1">IFERROR(__xludf.DUMMYFUNCTION("""COMPUTED_VALUE"""),"Digital Tech")</f>
        <v>Digital Tech</v>
      </c>
      <c r="E362" s="6" t="str">
        <f ca="1">IFERROR(__xludf.DUMMYFUNCTION("""COMPUTED_VALUE"""),"Invite Next Year")</f>
        <v>Invite Next Year</v>
      </c>
      <c r="F362" s="6" t="e">
        <f t="shared" ca="1" si="1"/>
        <v>#NAME?</v>
      </c>
    </row>
    <row r="363" spans="1:6">
      <c r="A363" s="199">
        <f ca="1">IFERROR(__xludf.DUMMYFUNCTION("""COMPUTED_VALUE"""),44776)</f>
        <v>44776</v>
      </c>
      <c r="B363" s="6" t="str">
        <f ca="1">IFERROR(__xludf.DUMMYFUNCTION("""COMPUTED_VALUE"""),"Bidmii _2022")</f>
        <v>Bidmii _2022</v>
      </c>
      <c r="C363" s="6">
        <f ca="1">IFERROR(__xludf.DUMMYFUNCTION("""COMPUTED_VALUE"""),3.5)</f>
        <v>3.5</v>
      </c>
      <c r="D363" s="6" t="str">
        <f ca="1">IFERROR(__xludf.DUMMYFUNCTION("""COMPUTED_VALUE"""),"Digital Tech")</f>
        <v>Digital Tech</v>
      </c>
      <c r="E363" s="6" t="str">
        <f ca="1">IFERROR(__xludf.DUMMYFUNCTION("""COMPUTED_VALUE"""),"Revisit")</f>
        <v>Revisit</v>
      </c>
      <c r="F363" s="6" t="e">
        <f t="shared" ca="1" si="1"/>
        <v>#NAME?</v>
      </c>
    </row>
    <row r="364" spans="1:6">
      <c r="A364" s="199">
        <f ca="1">IFERROR(__xludf.DUMMYFUNCTION("""COMPUTED_VALUE"""),44776)</f>
        <v>44776</v>
      </c>
      <c r="B364" s="6" t="str">
        <f ca="1">IFERROR(__xludf.DUMMYFUNCTION("""COMPUTED_VALUE"""),"Rocket Propulsion Systems LLC _2022")</f>
        <v>Rocket Propulsion Systems LLC _2022</v>
      </c>
      <c r="C364" s="6">
        <f ca="1">IFERROR(__xludf.DUMMYFUNCTION("""COMPUTED_VALUE"""),3.5)</f>
        <v>3.5</v>
      </c>
      <c r="D364" s="6" t="str">
        <f ca="1">IFERROR(__xludf.DUMMYFUNCTION("""COMPUTED_VALUE"""),"Deep Tech")</f>
        <v>Deep Tech</v>
      </c>
      <c r="E364" s="6" t="str">
        <f ca="1">IFERROR(__xludf.DUMMYFUNCTION("""COMPUTED_VALUE"""),"Revisit")</f>
        <v>Revisit</v>
      </c>
      <c r="F364" s="6" t="e">
        <f t="shared" ca="1" si="1"/>
        <v>#NAME?</v>
      </c>
    </row>
    <row r="365" spans="1:6">
      <c r="A365" s="199">
        <f ca="1">IFERROR(__xludf.DUMMYFUNCTION("""COMPUTED_VALUE"""),44776)</f>
        <v>44776</v>
      </c>
      <c r="B365" s="6" t="str">
        <f ca="1">IFERROR(__xludf.DUMMYFUNCTION("""COMPUTED_VALUE"""),"iCardio.ai _2022")</f>
        <v>iCardio.ai _2022</v>
      </c>
      <c r="C365" s="6">
        <f ca="1">IFERROR(__xludf.DUMMYFUNCTION("""COMPUTED_VALUE"""),3.5)</f>
        <v>3.5</v>
      </c>
      <c r="D365" s="6" t="str">
        <f ca="1">IFERROR(__xludf.DUMMYFUNCTION("""COMPUTED_VALUE"""),"Deep Tech")</f>
        <v>Deep Tech</v>
      </c>
      <c r="E365" s="6" t="str">
        <f ca="1">IFERROR(__xludf.DUMMYFUNCTION("""COMPUTED_VALUE"""),"Revisit/ Cluster")</f>
        <v>Revisit/ Cluster</v>
      </c>
      <c r="F365" s="6" t="e">
        <f t="shared" ca="1" si="1"/>
        <v>#NAME?</v>
      </c>
    </row>
    <row r="366" spans="1:6">
      <c r="A366" s="199">
        <f ca="1">IFERROR(__xludf.DUMMYFUNCTION("""COMPUTED_VALUE"""),44776)</f>
        <v>44776</v>
      </c>
      <c r="B366" s="6" t="str">
        <f ca="1">IFERROR(__xludf.DUMMYFUNCTION("""COMPUTED_VALUE"""),"Taiyo.AI _2022")</f>
        <v>Taiyo.AI _2022</v>
      </c>
      <c r="C366" s="6">
        <f ca="1">IFERROR(__xludf.DUMMYFUNCTION("""COMPUTED_VALUE"""),3.5)</f>
        <v>3.5</v>
      </c>
      <c r="D366" s="6" t="str">
        <f ca="1">IFERROR(__xludf.DUMMYFUNCTION("""COMPUTED_VALUE"""),"Digital Tech")</f>
        <v>Digital Tech</v>
      </c>
      <c r="E366" s="6" t="str">
        <f ca="1">IFERROR(__xludf.DUMMYFUNCTION("""COMPUTED_VALUE"""),"Revisit/ Cluster")</f>
        <v>Revisit/ Cluster</v>
      </c>
      <c r="F366" s="6" t="e">
        <f t="shared" ca="1" si="1"/>
        <v>#NAME?</v>
      </c>
    </row>
    <row r="367" spans="1:6">
      <c r="A367" s="199">
        <f ca="1">IFERROR(__xludf.DUMMYFUNCTION("""COMPUTED_VALUE"""),44776)</f>
        <v>44776</v>
      </c>
      <c r="B367" s="6" t="str">
        <f ca="1">IFERROR(__xludf.DUMMYFUNCTION("""COMPUTED_VALUE"""),"Innatrix Inc. _2022")</f>
        <v>Innatrix Inc. _2022</v>
      </c>
      <c r="C367" s="6">
        <f ca="1">IFERROR(__xludf.DUMMYFUNCTION("""COMPUTED_VALUE"""),3.5)</f>
        <v>3.5</v>
      </c>
      <c r="D367" s="6" t="str">
        <f ca="1">IFERROR(__xludf.DUMMYFUNCTION("""COMPUTED_VALUE"""),"Deep Tech")</f>
        <v>Deep Tech</v>
      </c>
      <c r="E367" s="6" t="str">
        <f ca="1">IFERROR(__xludf.DUMMYFUNCTION("""COMPUTED_VALUE"""),"Invite")</f>
        <v>Invite</v>
      </c>
      <c r="F367" s="6" t="e">
        <f t="shared" ca="1" si="1"/>
        <v>#NAME?</v>
      </c>
    </row>
    <row r="368" spans="1:6">
      <c r="A368" s="199">
        <f ca="1">IFERROR(__xludf.DUMMYFUNCTION("""COMPUTED_VALUE"""),44776)</f>
        <v>44776</v>
      </c>
      <c r="B368" s="6" t="str">
        <f ca="1">IFERROR(__xludf.DUMMYFUNCTION("""COMPUTED_VALUE"""),"Rightbot Technologies, Inc. _2022")</f>
        <v>Rightbot Technologies, Inc. _2022</v>
      </c>
      <c r="C368" s="6">
        <f ca="1">IFERROR(__xludf.DUMMYFUNCTION("""COMPUTED_VALUE"""),3.5)</f>
        <v>3.5</v>
      </c>
      <c r="D368" s="6" t="str">
        <f ca="1">IFERROR(__xludf.DUMMYFUNCTION("""COMPUTED_VALUE"""),"Deep Tech")</f>
        <v>Deep Tech</v>
      </c>
      <c r="E368" s="6" t="str">
        <f ca="1">IFERROR(__xludf.DUMMYFUNCTION("""COMPUTED_VALUE"""),"Revisit")</f>
        <v>Revisit</v>
      </c>
      <c r="F368" s="6" t="e">
        <f t="shared" ca="1" si="1"/>
        <v>#NAME?</v>
      </c>
    </row>
    <row r="369" spans="1:6">
      <c r="A369" s="199">
        <f ca="1">IFERROR(__xludf.DUMMYFUNCTION("""COMPUTED_VALUE"""),44782)</f>
        <v>44782</v>
      </c>
      <c r="B369" s="6" t="str">
        <f ca="1">IFERROR(__xludf.DUMMYFUNCTION("""COMPUTED_VALUE"""),"Nixtla _2022")</f>
        <v>Nixtla _2022</v>
      </c>
      <c r="C369" s="6">
        <f ca="1">IFERROR(__xludf.DUMMYFUNCTION("""COMPUTED_VALUE"""),3.5)</f>
        <v>3.5</v>
      </c>
      <c r="D369" s="6" t="str">
        <f ca="1">IFERROR(__xludf.DUMMYFUNCTION("""COMPUTED_VALUE"""),"Digital Tech")</f>
        <v>Digital Tech</v>
      </c>
      <c r="E369" s="6" t="str">
        <f ca="1">IFERROR(__xludf.DUMMYFUNCTION("""COMPUTED_VALUE"""),"Revisit")</f>
        <v>Revisit</v>
      </c>
      <c r="F369" s="6" t="e">
        <f t="shared" ca="1" si="1"/>
        <v>#NAME?</v>
      </c>
    </row>
    <row r="370" spans="1:6">
      <c r="A370" s="199">
        <f ca="1">IFERROR(__xludf.DUMMYFUNCTION("""COMPUTED_VALUE"""),44782)</f>
        <v>44782</v>
      </c>
      <c r="B370" s="6" t="str">
        <f ca="1">IFERROR(__xludf.DUMMYFUNCTION("""COMPUTED_VALUE"""),"Plant an App _2022")</f>
        <v>Plant an App _2022</v>
      </c>
      <c r="C370" s="6">
        <f ca="1">IFERROR(__xludf.DUMMYFUNCTION("""COMPUTED_VALUE"""),3.5)</f>
        <v>3.5</v>
      </c>
      <c r="D370" s="6" t="str">
        <f ca="1">IFERROR(__xludf.DUMMYFUNCTION("""COMPUTED_VALUE"""),"Digital Tech")</f>
        <v>Digital Tech</v>
      </c>
      <c r="E370" s="6" t="str">
        <f ca="1">IFERROR(__xludf.DUMMYFUNCTION("""COMPUTED_VALUE"""),"Invite")</f>
        <v>Invite</v>
      </c>
      <c r="F370" s="6" t="e">
        <f t="shared" ca="1" si="1"/>
        <v>#NAME?</v>
      </c>
    </row>
    <row r="371" spans="1:6">
      <c r="A371" s="199">
        <f ca="1">IFERROR(__xludf.DUMMYFUNCTION("""COMPUTED_VALUE"""),44782)</f>
        <v>44782</v>
      </c>
      <c r="B371" s="6" t="str">
        <f ca="1">IFERROR(__xludf.DUMMYFUNCTION("""COMPUTED_VALUE"""),"ROCSOLE _2022")</f>
        <v>ROCSOLE _2022</v>
      </c>
      <c r="C371" s="6">
        <f ca="1">IFERROR(__xludf.DUMMYFUNCTION("""COMPUTED_VALUE"""),3.5)</f>
        <v>3.5</v>
      </c>
      <c r="D371" s="6" t="str">
        <f ca="1">IFERROR(__xludf.DUMMYFUNCTION("""COMPUTED_VALUE"""),"Digital Tech")</f>
        <v>Digital Tech</v>
      </c>
      <c r="E371" s="6" t="str">
        <f ca="1">IFERROR(__xludf.DUMMYFUNCTION("""COMPUTED_VALUE"""),"Invite")</f>
        <v>Invite</v>
      </c>
      <c r="F371" s="6" t="e">
        <f t="shared" ca="1" si="1"/>
        <v>#NAME?</v>
      </c>
    </row>
    <row r="372" spans="1:6">
      <c r="A372" s="199">
        <f ca="1">IFERROR(__xludf.DUMMYFUNCTION("""COMPUTED_VALUE"""),44782)</f>
        <v>44782</v>
      </c>
      <c r="B372" s="6" t="str">
        <f ca="1">IFERROR(__xludf.DUMMYFUNCTION("""COMPUTED_VALUE"""),"SAYA Life _2022")</f>
        <v>SAYA Life _2022</v>
      </c>
      <c r="C372" s="6">
        <f ca="1">IFERROR(__xludf.DUMMYFUNCTION("""COMPUTED_VALUE"""),3.5)</f>
        <v>3.5</v>
      </c>
      <c r="D372" s="6" t="str">
        <f ca="1">IFERROR(__xludf.DUMMYFUNCTION("""COMPUTED_VALUE"""),"Deep Tech")</f>
        <v>Deep Tech</v>
      </c>
      <c r="E372" s="6" t="str">
        <f ca="1">IFERROR(__xludf.DUMMYFUNCTION("""COMPUTED_VALUE"""),"Revisit/ Cluster")</f>
        <v>Revisit/ Cluster</v>
      </c>
      <c r="F372" s="6" t="e">
        <f t="shared" ca="1" si="1"/>
        <v>#NAME?</v>
      </c>
    </row>
    <row r="373" spans="1:6">
      <c r="A373" s="199">
        <f ca="1">IFERROR(__xludf.DUMMYFUNCTION("""COMPUTED_VALUE"""),44782)</f>
        <v>44782</v>
      </c>
      <c r="B373" s="6" t="str">
        <f ca="1">IFERROR(__xludf.DUMMYFUNCTION("""COMPUTED_VALUE"""),"Keyper _2022")</f>
        <v>Keyper _2022</v>
      </c>
      <c r="C373" s="6">
        <f ca="1">IFERROR(__xludf.DUMMYFUNCTION("""COMPUTED_VALUE"""),3.5)</f>
        <v>3.5</v>
      </c>
      <c r="D373" s="6" t="str">
        <f ca="1">IFERROR(__xludf.DUMMYFUNCTION("""COMPUTED_VALUE"""),"Digital Tech")</f>
        <v>Digital Tech</v>
      </c>
      <c r="E373" s="6" t="str">
        <f ca="1">IFERROR(__xludf.DUMMYFUNCTION("""COMPUTED_VALUE"""),"Invite Next Year")</f>
        <v>Invite Next Year</v>
      </c>
      <c r="F373" s="6" t="e">
        <f t="shared" ca="1" si="1"/>
        <v>#NAME?</v>
      </c>
    </row>
    <row r="374" spans="1:6">
      <c r="A374" s="199">
        <f ca="1">IFERROR(__xludf.DUMMYFUNCTION("""COMPUTED_VALUE"""),44782)</f>
        <v>44782</v>
      </c>
      <c r="B374" s="6" t="str">
        <f ca="1">IFERROR(__xludf.DUMMYFUNCTION("""COMPUTED_VALUE"""),"Gardian Technologies Pty Ltd _2022")</f>
        <v>Gardian Technologies Pty Ltd _2022</v>
      </c>
      <c r="C374" s="6">
        <f ca="1">IFERROR(__xludf.DUMMYFUNCTION("""COMPUTED_VALUE"""),3.5)</f>
        <v>3.5</v>
      </c>
      <c r="D374" s="6" t="str">
        <f ca="1">IFERROR(__xludf.DUMMYFUNCTION("""COMPUTED_VALUE"""),"Digital Tech")</f>
        <v>Digital Tech</v>
      </c>
      <c r="E374" s="6" t="str">
        <f ca="1">IFERROR(__xludf.DUMMYFUNCTION("""COMPUTED_VALUE"""),"Revisit/ Cluster")</f>
        <v>Revisit/ Cluster</v>
      </c>
      <c r="F374" s="6" t="e">
        <f t="shared" ca="1" si="1"/>
        <v>#NAME?</v>
      </c>
    </row>
    <row r="375" spans="1:6">
      <c r="A375" s="199">
        <f ca="1">IFERROR(__xludf.DUMMYFUNCTION("""COMPUTED_VALUE"""),44782)</f>
        <v>44782</v>
      </c>
      <c r="B375" s="6" t="str">
        <f ca="1">IFERROR(__xludf.DUMMYFUNCTION("""COMPUTED_VALUE"""),"Nomi Materials _2022")</f>
        <v>Nomi Materials _2022</v>
      </c>
      <c r="C375" s="6">
        <f ca="1">IFERROR(__xludf.DUMMYFUNCTION("""COMPUTED_VALUE"""),3.5)</f>
        <v>3.5</v>
      </c>
      <c r="D375" s="6" t="str">
        <f ca="1">IFERROR(__xludf.DUMMYFUNCTION("""COMPUTED_VALUE"""),"Deep Tech")</f>
        <v>Deep Tech</v>
      </c>
      <c r="E375" s="6" t="str">
        <f ca="1">IFERROR(__xludf.DUMMYFUNCTION("""COMPUTED_VALUE"""),"Invite Next Year")</f>
        <v>Invite Next Year</v>
      </c>
      <c r="F375" s="6" t="e">
        <f t="shared" ca="1" si="1"/>
        <v>#NAME?</v>
      </c>
    </row>
    <row r="376" spans="1:6">
      <c r="A376" s="199">
        <f ca="1">IFERROR(__xludf.DUMMYFUNCTION("""COMPUTED_VALUE"""),44782)</f>
        <v>44782</v>
      </c>
      <c r="B376" s="6" t="str">
        <f ca="1">IFERROR(__xludf.DUMMYFUNCTION("""COMPUTED_VALUE"""),"FlyX Technologies Inc _2022")</f>
        <v>FlyX Technologies Inc _2022</v>
      </c>
      <c r="C376" s="6">
        <f ca="1">IFERROR(__xludf.DUMMYFUNCTION("""COMPUTED_VALUE"""),3.5)</f>
        <v>3.5</v>
      </c>
      <c r="D376" s="6" t="str">
        <f ca="1">IFERROR(__xludf.DUMMYFUNCTION("""COMPUTED_VALUE"""),"Deep Tech")</f>
        <v>Deep Tech</v>
      </c>
      <c r="E376" s="6" t="str">
        <f ca="1">IFERROR(__xludf.DUMMYFUNCTION("""COMPUTED_VALUE"""),"Invite")</f>
        <v>Invite</v>
      </c>
      <c r="F376" s="6" t="e">
        <f t="shared" ca="1" si="1"/>
        <v>#NAME?</v>
      </c>
    </row>
    <row r="377" spans="1:6">
      <c r="A377" s="199">
        <f ca="1">IFERROR(__xludf.DUMMYFUNCTION("""COMPUTED_VALUE"""),44782)</f>
        <v>44782</v>
      </c>
      <c r="B377" s="6" t="str">
        <f ca="1">IFERROR(__xludf.DUMMYFUNCTION("""COMPUTED_VALUE"""),"Metfora _2022")</f>
        <v>Metfora _2022</v>
      </c>
      <c r="C377" s="6">
        <f ca="1">IFERROR(__xludf.DUMMYFUNCTION("""COMPUTED_VALUE"""),3.5)</f>
        <v>3.5</v>
      </c>
      <c r="D377" s="6" t="str">
        <f ca="1">IFERROR(__xludf.DUMMYFUNCTION("""COMPUTED_VALUE"""),"Life Sciences")</f>
        <v>Life Sciences</v>
      </c>
      <c r="E377" s="6" t="str">
        <f ca="1">IFERROR(__xludf.DUMMYFUNCTION("""COMPUTED_VALUE"""),"Invite Next Year")</f>
        <v>Invite Next Year</v>
      </c>
      <c r="F377" s="6" t="e">
        <f t="shared" ca="1" si="1"/>
        <v>#NAME?</v>
      </c>
    </row>
    <row r="378" spans="1:6">
      <c r="A378" s="199">
        <f ca="1">IFERROR(__xludf.DUMMYFUNCTION("""COMPUTED_VALUE"""),44782)</f>
        <v>44782</v>
      </c>
      <c r="B378" s="6" t="str">
        <f ca="1">IFERROR(__xludf.DUMMYFUNCTION("""COMPUTED_VALUE"""),"Oiler Equation _2022")</f>
        <v>Oiler Equation _2022</v>
      </c>
      <c r="C378" s="6">
        <f ca="1">IFERROR(__xludf.DUMMYFUNCTION("""COMPUTED_VALUE"""),3.5)</f>
        <v>3.5</v>
      </c>
      <c r="D378" s="6" t="str">
        <f ca="1">IFERROR(__xludf.DUMMYFUNCTION("""COMPUTED_VALUE"""),"Digital Tech")</f>
        <v>Digital Tech</v>
      </c>
      <c r="E378" s="6" t="str">
        <f ca="1">IFERROR(__xludf.DUMMYFUNCTION("""COMPUTED_VALUE"""),"Invite Next Year")</f>
        <v>Invite Next Year</v>
      </c>
      <c r="F378" s="6" t="e">
        <f t="shared" ca="1" si="1"/>
        <v>#NAME?</v>
      </c>
    </row>
    <row r="379" spans="1:6">
      <c r="A379" s="199">
        <f ca="1">IFERROR(__xludf.DUMMYFUNCTION("""COMPUTED_VALUE"""),44782)</f>
        <v>44782</v>
      </c>
      <c r="B379" s="6" t="str">
        <f ca="1">IFERROR(__xludf.DUMMYFUNCTION("""COMPUTED_VALUE"""),"AIXSCAN _2022")</f>
        <v>AIXSCAN _2022</v>
      </c>
      <c r="C379" s="6">
        <f ca="1">IFERROR(__xludf.DUMMYFUNCTION("""COMPUTED_VALUE"""),3.5)</f>
        <v>3.5</v>
      </c>
      <c r="D379" s="6" t="str">
        <f ca="1">IFERROR(__xludf.DUMMYFUNCTION("""COMPUTED_VALUE"""),"Deep Tech")</f>
        <v>Deep Tech</v>
      </c>
      <c r="E379" s="6" t="str">
        <f ca="1">IFERROR(__xludf.DUMMYFUNCTION("""COMPUTED_VALUE"""),"Revisit/ Cluster")</f>
        <v>Revisit/ Cluster</v>
      </c>
      <c r="F379" s="6" t="e">
        <f t="shared" ca="1" si="1"/>
        <v>#NAME?</v>
      </c>
    </row>
    <row r="380" spans="1:6">
      <c r="A380" s="199">
        <f ca="1">IFERROR(__xludf.DUMMYFUNCTION("""COMPUTED_VALUE"""),44782)</f>
        <v>44782</v>
      </c>
      <c r="B380" s="6" t="str">
        <f ca="1">IFERROR(__xludf.DUMMYFUNCTION("""COMPUTED_VALUE"""),"Millibeam _2022")</f>
        <v>Millibeam _2022</v>
      </c>
      <c r="C380" s="6">
        <f ca="1">IFERROR(__xludf.DUMMYFUNCTION("""COMPUTED_VALUE"""),3.5)</f>
        <v>3.5</v>
      </c>
      <c r="D380" s="6" t="str">
        <f ca="1">IFERROR(__xludf.DUMMYFUNCTION("""COMPUTED_VALUE"""),"Deep Tech")</f>
        <v>Deep Tech</v>
      </c>
      <c r="E380" s="6" t="str">
        <f ca="1">IFERROR(__xludf.DUMMYFUNCTION("""COMPUTED_VALUE"""),"Invite Next Year")</f>
        <v>Invite Next Year</v>
      </c>
      <c r="F380" s="6" t="e">
        <f t="shared" ca="1" si="1"/>
        <v>#NAME?</v>
      </c>
    </row>
    <row r="381" spans="1:6">
      <c r="A381" s="199">
        <f ca="1">IFERROR(__xludf.DUMMYFUNCTION("""COMPUTED_VALUE"""),44784)</f>
        <v>44784</v>
      </c>
      <c r="B381" s="6" t="str">
        <f ca="1">IFERROR(__xludf.DUMMYFUNCTION("""COMPUTED_VALUE"""),"KabCash Inc. _2022")</f>
        <v>KabCash Inc. _2022</v>
      </c>
      <c r="C381" s="6">
        <f ca="1">IFERROR(__xludf.DUMMYFUNCTION("""COMPUTED_VALUE"""),3.5)</f>
        <v>3.5</v>
      </c>
      <c r="D381" s="6" t="str">
        <f ca="1">IFERROR(__xludf.DUMMYFUNCTION("""COMPUTED_VALUE"""),"Digital Tech")</f>
        <v>Digital Tech</v>
      </c>
      <c r="E381" s="6" t="str">
        <f ca="1">IFERROR(__xludf.DUMMYFUNCTION("""COMPUTED_VALUE"""),"Invite Next Year")</f>
        <v>Invite Next Year</v>
      </c>
      <c r="F381" s="6" t="e">
        <f t="shared" ca="1" si="1"/>
        <v>#NAME?</v>
      </c>
    </row>
    <row r="382" spans="1:6">
      <c r="A382" s="199">
        <f ca="1">IFERROR(__xludf.DUMMYFUNCTION("""COMPUTED_VALUE"""),44784)</f>
        <v>44784</v>
      </c>
      <c r="B382" s="6" t="str">
        <f ca="1">IFERROR(__xludf.DUMMYFUNCTION("""COMPUTED_VALUE"""),"Tazah Technologies _2022")</f>
        <v>Tazah Technologies _2022</v>
      </c>
      <c r="C382" s="6">
        <f ca="1">IFERROR(__xludf.DUMMYFUNCTION("""COMPUTED_VALUE"""),3.5)</f>
        <v>3.5</v>
      </c>
      <c r="D382" s="6" t="str">
        <f ca="1">IFERROR(__xludf.DUMMYFUNCTION("""COMPUTED_VALUE"""),"Digital Tech")</f>
        <v>Digital Tech</v>
      </c>
      <c r="E382" s="6" t="str">
        <f ca="1">IFERROR(__xludf.DUMMYFUNCTION("""COMPUTED_VALUE"""),"Invite Next Year")</f>
        <v>Invite Next Year</v>
      </c>
      <c r="F382" s="6" t="e">
        <f t="shared" ca="1" si="1"/>
        <v>#NAME?</v>
      </c>
    </row>
    <row r="383" spans="1:6">
      <c r="A383" s="199">
        <f ca="1">IFERROR(__xludf.DUMMYFUNCTION("""COMPUTED_VALUE"""),44784)</f>
        <v>44784</v>
      </c>
      <c r="B383" s="6" t="str">
        <f ca="1">IFERROR(__xludf.DUMMYFUNCTION("""COMPUTED_VALUE"""),"Vocal Image _2022")</f>
        <v>Vocal Image _2022</v>
      </c>
      <c r="C383" s="6">
        <f ca="1">IFERROR(__xludf.DUMMYFUNCTION("""COMPUTED_VALUE"""),3.5)</f>
        <v>3.5</v>
      </c>
      <c r="D383" s="6" t="str">
        <f ca="1">IFERROR(__xludf.DUMMYFUNCTION("""COMPUTED_VALUE"""),"Digital Tech")</f>
        <v>Digital Tech</v>
      </c>
      <c r="E383" s="6" t="str">
        <f ca="1">IFERROR(__xludf.DUMMYFUNCTION("""COMPUTED_VALUE"""),"Invite Next Year")</f>
        <v>Invite Next Year</v>
      </c>
      <c r="F383" s="6" t="e">
        <f t="shared" ca="1" si="1"/>
        <v>#NAME?</v>
      </c>
    </row>
    <row r="384" spans="1:6">
      <c r="A384" s="199">
        <f ca="1">IFERROR(__xludf.DUMMYFUNCTION("""COMPUTED_VALUE"""),44784)</f>
        <v>44784</v>
      </c>
      <c r="B384" s="6" t="str">
        <f ca="1">IFERROR(__xludf.DUMMYFUNCTION("""COMPUTED_VALUE"""),"MarsCharge, Inc. _2022")</f>
        <v>MarsCharge, Inc. _2022</v>
      </c>
      <c r="C384" s="6">
        <f ca="1">IFERROR(__xludf.DUMMYFUNCTION("""COMPUTED_VALUE"""),3.5)</f>
        <v>3.5</v>
      </c>
      <c r="D384" s="6" t="str">
        <f ca="1">IFERROR(__xludf.DUMMYFUNCTION("""COMPUTED_VALUE"""),"Deep Tech")</f>
        <v>Deep Tech</v>
      </c>
      <c r="E384" s="6" t="str">
        <f ca="1">IFERROR(__xludf.DUMMYFUNCTION("""COMPUTED_VALUE"""),"Invite")</f>
        <v>Invite</v>
      </c>
      <c r="F384" s="6" t="e">
        <f t="shared" ca="1" si="1"/>
        <v>#NAME?</v>
      </c>
    </row>
    <row r="385" spans="1:6">
      <c r="A385" s="199">
        <f ca="1">IFERROR(__xludf.DUMMYFUNCTION("""COMPUTED_VALUE"""),44784)</f>
        <v>44784</v>
      </c>
      <c r="B385" s="6" t="str">
        <f ca="1">IFERROR(__xludf.DUMMYFUNCTION("""COMPUTED_VALUE"""),"Snacka! _2022")</f>
        <v>Snacka! _2022</v>
      </c>
      <c r="C385" s="6">
        <f ca="1">IFERROR(__xludf.DUMMYFUNCTION("""COMPUTED_VALUE"""),3.5)</f>
        <v>3.5</v>
      </c>
      <c r="D385" s="6" t="str">
        <f ca="1">IFERROR(__xludf.DUMMYFUNCTION("""COMPUTED_VALUE"""),"Digital Tech")</f>
        <v>Digital Tech</v>
      </c>
      <c r="E385" s="6" t="str">
        <f ca="1">IFERROR(__xludf.DUMMYFUNCTION("""COMPUTED_VALUE"""),"Invite Next Year")</f>
        <v>Invite Next Year</v>
      </c>
      <c r="F385" s="6" t="e">
        <f t="shared" ca="1" si="1"/>
        <v>#NAME?</v>
      </c>
    </row>
    <row r="386" spans="1:6">
      <c r="A386" s="199">
        <f ca="1">IFERROR(__xludf.DUMMYFUNCTION("""COMPUTED_VALUE"""),44784)</f>
        <v>44784</v>
      </c>
      <c r="B386" s="6" t="str">
        <f ca="1">IFERROR(__xludf.DUMMYFUNCTION("""COMPUTED_VALUE"""),"Livin Farms AgriFood GmBh _2022")</f>
        <v>Livin Farms AgriFood GmBh _2022</v>
      </c>
      <c r="C386" s="6">
        <f ca="1">IFERROR(__xludf.DUMMYFUNCTION("""COMPUTED_VALUE"""),3.5)</f>
        <v>3.5</v>
      </c>
      <c r="D386" s="6" t="str">
        <f ca="1">IFERROR(__xludf.DUMMYFUNCTION("""COMPUTED_VALUE"""),"Digital Tech")</f>
        <v>Digital Tech</v>
      </c>
      <c r="E386" s="6" t="str">
        <f ca="1">IFERROR(__xludf.DUMMYFUNCTION("""COMPUTED_VALUE"""),"Invite Next Year")</f>
        <v>Invite Next Year</v>
      </c>
      <c r="F386" s="6" t="e">
        <f t="shared" ca="1" si="1"/>
        <v>#NAME?</v>
      </c>
    </row>
    <row r="387" spans="1:6">
      <c r="A387" s="199">
        <f ca="1">IFERROR(__xludf.DUMMYFUNCTION("""COMPUTED_VALUE"""),44784)</f>
        <v>44784</v>
      </c>
      <c r="B387" s="6" t="str">
        <f ca="1">IFERROR(__xludf.DUMMYFUNCTION("""COMPUTED_VALUE"""),"Singh Biotechnology, LLC _2022")</f>
        <v>Singh Biotechnology, LLC _2022</v>
      </c>
      <c r="C387" s="6">
        <f ca="1">IFERROR(__xludf.DUMMYFUNCTION("""COMPUTED_VALUE"""),3.5)</f>
        <v>3.5</v>
      </c>
      <c r="D387" s="6" t="str">
        <f ca="1">IFERROR(__xludf.DUMMYFUNCTION("""COMPUTED_VALUE"""),"Life Sciences")</f>
        <v>Life Sciences</v>
      </c>
      <c r="E387" s="6" t="str">
        <f ca="1">IFERROR(__xludf.DUMMYFUNCTION("""COMPUTED_VALUE"""),"Revisit/ Cluster")</f>
        <v>Revisit/ Cluster</v>
      </c>
      <c r="F387" s="6" t="e">
        <f t="shared" ca="1" si="1"/>
        <v>#NAME?</v>
      </c>
    </row>
    <row r="388" spans="1:6">
      <c r="A388" s="199">
        <f ca="1">IFERROR(__xludf.DUMMYFUNCTION("""COMPUTED_VALUE"""),44784)</f>
        <v>44784</v>
      </c>
      <c r="B388" s="6" t="str">
        <f ca="1">IFERROR(__xludf.DUMMYFUNCTION("""COMPUTED_VALUE"""),"Apollo iGDS, Inc. _2022")</f>
        <v>Apollo iGDS, Inc. _2022</v>
      </c>
      <c r="C388" s="6">
        <f ca="1">IFERROR(__xludf.DUMMYFUNCTION("""COMPUTED_VALUE"""),3.5)</f>
        <v>3.5</v>
      </c>
      <c r="D388" s="6" t="str">
        <f ca="1">IFERROR(__xludf.DUMMYFUNCTION("""COMPUTED_VALUE"""),"Digital Tech")</f>
        <v>Digital Tech</v>
      </c>
      <c r="E388" s="6" t="str">
        <f ca="1">IFERROR(__xludf.DUMMYFUNCTION("""COMPUTED_VALUE"""),"Invite Next Year")</f>
        <v>Invite Next Year</v>
      </c>
      <c r="F388" s="6" t="e">
        <f t="shared" ca="1" si="1"/>
        <v>#NAME?</v>
      </c>
    </row>
    <row r="389" spans="1:6">
      <c r="A389" s="199">
        <f ca="1">IFERROR(__xludf.DUMMYFUNCTION("""COMPUTED_VALUE"""),44789)</f>
        <v>44789</v>
      </c>
      <c r="B389" s="6" t="str">
        <f ca="1">IFERROR(__xludf.DUMMYFUNCTION("""COMPUTED_VALUE"""),"Nomitri _2022")</f>
        <v>Nomitri _2022</v>
      </c>
      <c r="C389" s="6">
        <f ca="1">IFERROR(__xludf.DUMMYFUNCTION("""COMPUTED_VALUE"""),3.5)</f>
        <v>3.5</v>
      </c>
      <c r="D389" s="6" t="str">
        <f ca="1">IFERROR(__xludf.DUMMYFUNCTION("""COMPUTED_VALUE"""),"Deep Tech")</f>
        <v>Deep Tech</v>
      </c>
      <c r="E389" s="6" t="str">
        <f ca="1">IFERROR(__xludf.DUMMYFUNCTION("""COMPUTED_VALUE"""),"Revisit")</f>
        <v>Revisit</v>
      </c>
      <c r="F389" s="6" t="e">
        <f t="shared" ca="1" si="1"/>
        <v>#NAME?</v>
      </c>
    </row>
    <row r="390" spans="1:6">
      <c r="A390" s="199">
        <f ca="1">IFERROR(__xludf.DUMMYFUNCTION("""COMPUTED_VALUE"""),44789)</f>
        <v>44789</v>
      </c>
      <c r="B390" s="6" t="str">
        <f ca="1">IFERROR(__xludf.DUMMYFUNCTION("""COMPUTED_VALUE"""),"satis.ai ltd _2022")</f>
        <v>satis.ai ltd _2022</v>
      </c>
      <c r="C390" s="6">
        <f ca="1">IFERROR(__xludf.DUMMYFUNCTION("""COMPUTED_VALUE"""),3.5)</f>
        <v>3.5</v>
      </c>
      <c r="D390" s="6" t="str">
        <f ca="1">IFERROR(__xludf.DUMMYFUNCTION("""COMPUTED_VALUE"""),"Deep Tech")</f>
        <v>Deep Tech</v>
      </c>
      <c r="E390" s="6" t="str">
        <f ca="1">IFERROR(__xludf.DUMMYFUNCTION("""COMPUTED_VALUE"""),"Revisit")</f>
        <v>Revisit</v>
      </c>
      <c r="F390" s="6" t="e">
        <f t="shared" ca="1" si="1"/>
        <v>#NAME?</v>
      </c>
    </row>
    <row r="391" spans="1:6">
      <c r="A391" s="199">
        <f ca="1">IFERROR(__xludf.DUMMYFUNCTION("""COMPUTED_VALUE"""),44789)</f>
        <v>44789</v>
      </c>
      <c r="B391" s="6" t="str">
        <f ca="1">IFERROR(__xludf.DUMMYFUNCTION("""COMPUTED_VALUE"""),"carecircle AG _2022")</f>
        <v>carecircle AG _2022</v>
      </c>
      <c r="C391" s="6">
        <f ca="1">IFERROR(__xludf.DUMMYFUNCTION("""COMPUTED_VALUE"""),3.5)</f>
        <v>3.5</v>
      </c>
      <c r="D391" s="6" t="str">
        <f ca="1">IFERROR(__xludf.DUMMYFUNCTION("""COMPUTED_VALUE"""),"Digital Tech")</f>
        <v>Digital Tech</v>
      </c>
      <c r="E391" s="6" t="str">
        <f ca="1">IFERROR(__xludf.DUMMYFUNCTION("""COMPUTED_VALUE"""),"Invite Next Year")</f>
        <v>Invite Next Year</v>
      </c>
      <c r="F391" s="6" t="e">
        <f t="shared" ca="1" si="1"/>
        <v>#NAME?</v>
      </c>
    </row>
    <row r="392" spans="1:6">
      <c r="A392" s="199">
        <f ca="1">IFERROR(__xludf.DUMMYFUNCTION("""COMPUTED_VALUE"""),44789)</f>
        <v>44789</v>
      </c>
      <c r="B392" s="6" t="str">
        <f ca="1">IFERROR(__xludf.DUMMYFUNCTION("""COMPUTED_VALUE"""),"Metavent _2022")</f>
        <v>Metavent _2022</v>
      </c>
      <c r="C392" s="6">
        <f ca="1">IFERROR(__xludf.DUMMYFUNCTION("""COMPUTED_VALUE"""),3.5)</f>
        <v>3.5</v>
      </c>
      <c r="D392" s="6" t="str">
        <f ca="1">IFERROR(__xludf.DUMMYFUNCTION("""COMPUTED_VALUE"""),"Digital Tech")</f>
        <v>Digital Tech</v>
      </c>
      <c r="E392" s="6" t="str">
        <f ca="1">IFERROR(__xludf.DUMMYFUNCTION("""COMPUTED_VALUE"""),"Invite Next Year")</f>
        <v>Invite Next Year</v>
      </c>
      <c r="F392" s="6" t="e">
        <f t="shared" ca="1" si="1"/>
        <v>#NAME?</v>
      </c>
    </row>
    <row r="393" spans="1:6">
      <c r="A393" s="199">
        <f ca="1">IFERROR(__xludf.DUMMYFUNCTION("""COMPUTED_VALUE"""),44789)</f>
        <v>44789</v>
      </c>
      <c r="B393" s="6" t="str">
        <f ca="1">IFERROR(__xludf.DUMMYFUNCTION("""COMPUTED_VALUE"""),"SanChip _2022")</f>
        <v>SanChip _2022</v>
      </c>
      <c r="C393" s="6">
        <f ca="1">IFERROR(__xludf.DUMMYFUNCTION("""COMPUTED_VALUE"""),3.5)</f>
        <v>3.5</v>
      </c>
      <c r="D393" s="6" t="str">
        <f ca="1">IFERROR(__xludf.DUMMYFUNCTION("""COMPUTED_VALUE"""),"Deep Tech")</f>
        <v>Deep Tech</v>
      </c>
      <c r="E393" s="6" t="str">
        <f ca="1">IFERROR(__xludf.DUMMYFUNCTION("""COMPUTED_VALUE"""),"Invite Next Year")</f>
        <v>Invite Next Year</v>
      </c>
      <c r="F393" s="6" t="e">
        <f t="shared" ca="1" si="1"/>
        <v>#NAME?</v>
      </c>
    </row>
    <row r="394" spans="1:6">
      <c r="A394" s="199">
        <f ca="1">IFERROR(__xludf.DUMMYFUNCTION("""COMPUTED_VALUE"""),44789)</f>
        <v>44789</v>
      </c>
      <c r="B394" s="6" t="str">
        <f ca="1">IFERROR(__xludf.DUMMYFUNCTION("""COMPUTED_VALUE"""),"Accelerate Wind _2022")</f>
        <v>Accelerate Wind _2022</v>
      </c>
      <c r="C394" s="6">
        <f ca="1">IFERROR(__xludf.DUMMYFUNCTION("""COMPUTED_VALUE"""),3.5)</f>
        <v>3.5</v>
      </c>
      <c r="D394" s="6" t="str">
        <f ca="1">IFERROR(__xludf.DUMMYFUNCTION("""COMPUTED_VALUE"""),"Deep Tech")</f>
        <v>Deep Tech</v>
      </c>
      <c r="E394" s="6" t="str">
        <f ca="1">IFERROR(__xludf.DUMMYFUNCTION("""COMPUTED_VALUE"""),"Revisit/ Cluster")</f>
        <v>Revisit/ Cluster</v>
      </c>
      <c r="F394" s="6" t="e">
        <f t="shared" ca="1" si="1"/>
        <v>#NAME?</v>
      </c>
    </row>
    <row r="395" spans="1:6">
      <c r="A395" s="199">
        <f ca="1">IFERROR(__xludf.DUMMYFUNCTION("""COMPUTED_VALUE"""),44789)</f>
        <v>44789</v>
      </c>
      <c r="B395" s="6" t="str">
        <f ca="1">IFERROR(__xludf.DUMMYFUNCTION("""COMPUTED_VALUE"""),"Riverr Pte. Ltd. _2022")</f>
        <v>Riverr Pte. Ltd. _2022</v>
      </c>
      <c r="C395" s="6">
        <f ca="1">IFERROR(__xludf.DUMMYFUNCTION("""COMPUTED_VALUE"""),3.5)</f>
        <v>3.5</v>
      </c>
      <c r="D395" s="6" t="str">
        <f ca="1">IFERROR(__xludf.DUMMYFUNCTION("""COMPUTED_VALUE"""),"Digital Tech")</f>
        <v>Digital Tech</v>
      </c>
      <c r="E395" s="6" t="str">
        <f ca="1">IFERROR(__xludf.DUMMYFUNCTION("""COMPUTED_VALUE"""),"Invite Next Year")</f>
        <v>Invite Next Year</v>
      </c>
      <c r="F395" s="6" t="e">
        <f t="shared" ca="1" si="1"/>
        <v>#NAME?</v>
      </c>
    </row>
    <row r="396" spans="1:6">
      <c r="A396" s="199">
        <f ca="1">IFERROR(__xludf.DUMMYFUNCTION("""COMPUTED_VALUE"""),44789)</f>
        <v>44789</v>
      </c>
      <c r="B396" s="6" t="str">
        <f ca="1">IFERROR(__xludf.DUMMYFUNCTION("""COMPUTED_VALUE"""),"PhagePro _2022")</f>
        <v>PhagePro _2022</v>
      </c>
      <c r="C396" s="6">
        <f ca="1">IFERROR(__xludf.DUMMYFUNCTION("""COMPUTED_VALUE"""),3.5)</f>
        <v>3.5</v>
      </c>
      <c r="D396" s="6" t="str">
        <f ca="1">IFERROR(__xludf.DUMMYFUNCTION("""COMPUTED_VALUE"""),"Life Sciences")</f>
        <v>Life Sciences</v>
      </c>
      <c r="E396" s="6" t="str">
        <f ca="1">IFERROR(__xludf.DUMMYFUNCTION("""COMPUTED_VALUE"""),"Invite Next Year")</f>
        <v>Invite Next Year</v>
      </c>
      <c r="F396" s="6" t="e">
        <f t="shared" ca="1" si="1"/>
        <v>#NAME?</v>
      </c>
    </row>
    <row r="397" spans="1:6">
      <c r="A397" s="199">
        <f ca="1">IFERROR(__xludf.DUMMYFUNCTION("""COMPUTED_VALUE"""),44789)</f>
        <v>44789</v>
      </c>
      <c r="B397" s="6" t="str">
        <f ca="1">IFERROR(__xludf.DUMMYFUNCTION("""COMPUTED_VALUE"""),"Etiq AI _2022")</f>
        <v>Etiq AI _2022</v>
      </c>
      <c r="C397" s="6">
        <f ca="1">IFERROR(__xludf.DUMMYFUNCTION("""COMPUTED_VALUE"""),3.5)</f>
        <v>3.5</v>
      </c>
      <c r="D397" s="6" t="str">
        <f ca="1">IFERROR(__xludf.DUMMYFUNCTION("""COMPUTED_VALUE"""),"Digital Tech")</f>
        <v>Digital Tech</v>
      </c>
      <c r="E397" s="6" t="str">
        <f ca="1">IFERROR(__xludf.DUMMYFUNCTION("""COMPUTED_VALUE"""),"Invite Next Year")</f>
        <v>Invite Next Year</v>
      </c>
      <c r="F397" s="6" t="e">
        <f t="shared" ca="1" si="1"/>
        <v>#NAME?</v>
      </c>
    </row>
    <row r="398" spans="1:6">
      <c r="A398" s="199">
        <f ca="1">IFERROR(__xludf.DUMMYFUNCTION("""COMPUTED_VALUE"""),44789)</f>
        <v>44789</v>
      </c>
      <c r="B398" s="6" t="str">
        <f ca="1">IFERROR(__xludf.DUMMYFUNCTION("""COMPUTED_VALUE"""),"Corral Technologies _2022")</f>
        <v>Corral Technologies _2022</v>
      </c>
      <c r="C398" s="6">
        <f ca="1">IFERROR(__xludf.DUMMYFUNCTION("""COMPUTED_VALUE"""),3.5)</f>
        <v>3.5</v>
      </c>
      <c r="D398" s="6" t="str">
        <f ca="1">IFERROR(__xludf.DUMMYFUNCTION("""COMPUTED_VALUE"""),"Deep Tech")</f>
        <v>Deep Tech</v>
      </c>
      <c r="E398" s="6" t="str">
        <f ca="1">IFERROR(__xludf.DUMMYFUNCTION("""COMPUTED_VALUE"""),"Invite Next Year")</f>
        <v>Invite Next Year</v>
      </c>
      <c r="F398" s="6" t="e">
        <f t="shared" ca="1" si="1"/>
        <v>#NAME?</v>
      </c>
    </row>
    <row r="399" spans="1:6">
      <c r="A399" s="199">
        <f ca="1">IFERROR(__xludf.DUMMYFUNCTION("""COMPUTED_VALUE"""),44789)</f>
        <v>44789</v>
      </c>
      <c r="B399" s="6" t="str">
        <f ca="1">IFERROR(__xludf.DUMMYFUNCTION("""COMPUTED_VALUE"""),"Roseon World _2022")</f>
        <v>Roseon World _2022</v>
      </c>
      <c r="C399" s="6">
        <f ca="1">IFERROR(__xludf.DUMMYFUNCTION("""COMPUTED_VALUE"""),3.5)</f>
        <v>3.5</v>
      </c>
      <c r="D399" s="6" t="str">
        <f ca="1">IFERROR(__xludf.DUMMYFUNCTION("""COMPUTED_VALUE"""),"Digital Tech")</f>
        <v>Digital Tech</v>
      </c>
      <c r="E399" s="6" t="str">
        <f ca="1">IFERROR(__xludf.DUMMYFUNCTION("""COMPUTED_VALUE"""),"Invite Next Year")</f>
        <v>Invite Next Year</v>
      </c>
      <c r="F399" s="6" t="e">
        <f t="shared" ca="1" si="1"/>
        <v>#NAME?</v>
      </c>
    </row>
    <row r="400" spans="1:6">
      <c r="A400" s="199">
        <f ca="1">IFERROR(__xludf.DUMMYFUNCTION("""COMPUTED_VALUE"""),44789)</f>
        <v>44789</v>
      </c>
      <c r="B400" s="6" t="str">
        <f ca="1">IFERROR(__xludf.DUMMYFUNCTION("""COMPUTED_VALUE"""),"ACCELStars Inc. _2022")</f>
        <v>ACCELStars Inc. _2022</v>
      </c>
      <c r="C400" s="6">
        <f ca="1">IFERROR(__xludf.DUMMYFUNCTION("""COMPUTED_VALUE"""),3.5)</f>
        <v>3.5</v>
      </c>
      <c r="D400" s="6" t="str">
        <f ca="1">IFERROR(__xludf.DUMMYFUNCTION("""COMPUTED_VALUE"""),"Deep Tech")</f>
        <v>Deep Tech</v>
      </c>
      <c r="E400" s="6" t="str">
        <f ca="1">IFERROR(__xludf.DUMMYFUNCTION("""COMPUTED_VALUE"""),"Invite Next Year")</f>
        <v>Invite Next Year</v>
      </c>
      <c r="F400" s="6" t="e">
        <f t="shared" ca="1" si="1"/>
        <v>#NAME?</v>
      </c>
    </row>
    <row r="401" spans="1:6">
      <c r="A401" s="199">
        <f ca="1">IFERROR(__xludf.DUMMYFUNCTION("""COMPUTED_VALUE"""),44789)</f>
        <v>44789</v>
      </c>
      <c r="B401" s="6" t="str">
        <f ca="1">IFERROR(__xludf.DUMMYFUNCTION("""COMPUTED_VALUE"""),"Indrio Technologies Inc _2022")</f>
        <v>Indrio Technologies Inc _2022</v>
      </c>
      <c r="C401" s="6">
        <f ca="1">IFERROR(__xludf.DUMMYFUNCTION("""COMPUTED_VALUE"""),3.5)</f>
        <v>3.5</v>
      </c>
      <c r="D401" s="6" t="str">
        <f ca="1">IFERROR(__xludf.DUMMYFUNCTION("""COMPUTED_VALUE"""),"Deep Tech")</f>
        <v>Deep Tech</v>
      </c>
      <c r="E401" s="6" t="str">
        <f ca="1">IFERROR(__xludf.DUMMYFUNCTION("""COMPUTED_VALUE"""),"Invite Next Year")</f>
        <v>Invite Next Year</v>
      </c>
      <c r="F401" s="6" t="e">
        <f t="shared" ca="1" si="1"/>
        <v>#NAME?</v>
      </c>
    </row>
    <row r="402" spans="1:6">
      <c r="A402" s="199">
        <f ca="1">IFERROR(__xludf.DUMMYFUNCTION("""COMPUTED_VALUE"""),44789)</f>
        <v>44789</v>
      </c>
      <c r="B402" s="6" t="str">
        <f ca="1">IFERROR(__xludf.DUMMYFUNCTION("""COMPUTED_VALUE"""),"TriAltus Bioscience _2022")</f>
        <v>TriAltus Bioscience _2022</v>
      </c>
      <c r="C402" s="6">
        <f ca="1">IFERROR(__xludf.DUMMYFUNCTION("""COMPUTED_VALUE"""),3.5)</f>
        <v>3.5</v>
      </c>
      <c r="D402" s="6" t="str">
        <f ca="1">IFERROR(__xludf.DUMMYFUNCTION("""COMPUTED_VALUE"""),"Life Sciences")</f>
        <v>Life Sciences</v>
      </c>
      <c r="E402" s="6" t="str">
        <f ca="1">IFERROR(__xludf.DUMMYFUNCTION("""COMPUTED_VALUE"""),"Invite Next Year")</f>
        <v>Invite Next Year</v>
      </c>
      <c r="F402" s="6" t="e">
        <f t="shared" ca="1" si="1"/>
        <v>#NAME?</v>
      </c>
    </row>
    <row r="403" spans="1:6">
      <c r="A403" s="199">
        <f ca="1">IFERROR(__xludf.DUMMYFUNCTION("""COMPUTED_VALUE"""),44789)</f>
        <v>44789</v>
      </c>
      <c r="B403" s="6" t="str">
        <f ca="1">IFERROR(__xludf.DUMMYFUNCTION("""COMPUTED_VALUE"""),"Lindus Health _2022")</f>
        <v>Lindus Health _2022</v>
      </c>
      <c r="C403" s="6">
        <f ca="1">IFERROR(__xludf.DUMMYFUNCTION("""COMPUTED_VALUE"""),3.5)</f>
        <v>3.5</v>
      </c>
      <c r="D403" s="6" t="str">
        <f ca="1">IFERROR(__xludf.DUMMYFUNCTION("""COMPUTED_VALUE"""),"Digital Tech")</f>
        <v>Digital Tech</v>
      </c>
      <c r="E403" s="6" t="str">
        <f ca="1">IFERROR(__xludf.DUMMYFUNCTION("""COMPUTED_VALUE"""),"Revisit/ Cluster")</f>
        <v>Revisit/ Cluster</v>
      </c>
      <c r="F403" s="6" t="e">
        <f t="shared" ca="1" si="1"/>
        <v>#NAME?</v>
      </c>
    </row>
    <row r="404" spans="1:6">
      <c r="A404" s="199">
        <f ca="1">IFERROR(__xludf.DUMMYFUNCTION("""COMPUTED_VALUE"""),44791)</f>
        <v>44791</v>
      </c>
      <c r="B404" s="6" t="str">
        <f ca="1">IFERROR(__xludf.DUMMYFUNCTION("""COMPUTED_VALUE"""),"Snap Vision Ltd _2022")</f>
        <v>Snap Vision Ltd _2022</v>
      </c>
      <c r="C404" s="6">
        <f ca="1">IFERROR(__xludf.DUMMYFUNCTION("""COMPUTED_VALUE"""),3.5)</f>
        <v>3.5</v>
      </c>
      <c r="D404" s="6" t="str">
        <f ca="1">IFERROR(__xludf.DUMMYFUNCTION("""COMPUTED_VALUE"""),"Digital Tech")</f>
        <v>Digital Tech</v>
      </c>
      <c r="E404" s="6" t="str">
        <f ca="1">IFERROR(__xludf.DUMMYFUNCTION("""COMPUTED_VALUE"""),"Invite Next Year")</f>
        <v>Invite Next Year</v>
      </c>
      <c r="F404" s="6" t="e">
        <f t="shared" ca="1" si="1"/>
        <v>#NAME?</v>
      </c>
    </row>
    <row r="405" spans="1:6">
      <c r="A405" s="199">
        <f ca="1">IFERROR(__xludf.DUMMYFUNCTION("""COMPUTED_VALUE"""),44791)</f>
        <v>44791</v>
      </c>
      <c r="B405" s="6" t="str">
        <f ca="1">IFERROR(__xludf.DUMMYFUNCTION("""COMPUTED_VALUE"""),"MRPeasy _2022")</f>
        <v>MRPeasy _2022</v>
      </c>
      <c r="C405" s="6">
        <f ca="1">IFERROR(__xludf.DUMMYFUNCTION("""COMPUTED_VALUE"""),3.5)</f>
        <v>3.5</v>
      </c>
      <c r="D405" s="6" t="str">
        <f ca="1">IFERROR(__xludf.DUMMYFUNCTION("""COMPUTED_VALUE"""),"Digital Tech")</f>
        <v>Digital Tech</v>
      </c>
      <c r="E405" s="6" t="str">
        <f ca="1">IFERROR(__xludf.DUMMYFUNCTION("""COMPUTED_VALUE"""),"Invite Next Year")</f>
        <v>Invite Next Year</v>
      </c>
      <c r="F405" s="6" t="e">
        <f t="shared" ca="1" si="1"/>
        <v>#NAME?</v>
      </c>
    </row>
    <row r="406" spans="1:6">
      <c r="A406" s="199">
        <f ca="1">IFERROR(__xludf.DUMMYFUNCTION("""COMPUTED_VALUE"""),44791)</f>
        <v>44791</v>
      </c>
      <c r="B406" s="6" t="str">
        <f ca="1">IFERROR(__xludf.DUMMYFUNCTION("""COMPUTED_VALUE"""),"Kandola Network _2022")</f>
        <v>Kandola Network _2022</v>
      </c>
      <c r="C406" s="6">
        <f ca="1">IFERROR(__xludf.DUMMYFUNCTION("""COMPUTED_VALUE"""),3.5)</f>
        <v>3.5</v>
      </c>
      <c r="D406" s="6" t="str">
        <f ca="1">IFERROR(__xludf.DUMMYFUNCTION("""COMPUTED_VALUE"""),"Digital Tech")</f>
        <v>Digital Tech</v>
      </c>
      <c r="E406" s="6" t="str">
        <f ca="1">IFERROR(__xludf.DUMMYFUNCTION("""COMPUTED_VALUE"""),"Invite Next Year")</f>
        <v>Invite Next Year</v>
      </c>
      <c r="F406" s="6" t="e">
        <f t="shared" ca="1" si="1"/>
        <v>#NAME?</v>
      </c>
    </row>
    <row r="407" spans="1:6">
      <c r="A407" s="199">
        <f ca="1">IFERROR(__xludf.DUMMYFUNCTION("""COMPUTED_VALUE"""),44791)</f>
        <v>44791</v>
      </c>
      <c r="B407" s="6" t="str">
        <f ca="1">IFERROR(__xludf.DUMMYFUNCTION("""COMPUTED_VALUE"""),"Skydo Inc. _2022")</f>
        <v>Skydo Inc. _2022</v>
      </c>
      <c r="C407" s="6">
        <f ca="1">IFERROR(__xludf.DUMMYFUNCTION("""COMPUTED_VALUE"""),3.5)</f>
        <v>3.5</v>
      </c>
      <c r="D407" s="6" t="str">
        <f ca="1">IFERROR(__xludf.DUMMYFUNCTION("""COMPUTED_VALUE"""),"Digital Tech")</f>
        <v>Digital Tech</v>
      </c>
      <c r="E407" s="6" t="str">
        <f ca="1">IFERROR(__xludf.DUMMYFUNCTION("""COMPUTED_VALUE"""),"Invite Next Year")</f>
        <v>Invite Next Year</v>
      </c>
      <c r="F407" s="6" t="e">
        <f t="shared" ca="1" si="1"/>
        <v>#NAME?</v>
      </c>
    </row>
    <row r="408" spans="1:6">
      <c r="A408" s="199">
        <f ca="1">IFERROR(__xludf.DUMMYFUNCTION("""COMPUTED_VALUE"""),44791)</f>
        <v>44791</v>
      </c>
      <c r="B408" s="6" t="str">
        <f ca="1">IFERROR(__xludf.DUMMYFUNCTION("""COMPUTED_VALUE"""),"Advisor.com _2022")</f>
        <v>Advisor.com _2022</v>
      </c>
      <c r="C408" s="6">
        <f ca="1">IFERROR(__xludf.DUMMYFUNCTION("""COMPUTED_VALUE"""),3.5)</f>
        <v>3.5</v>
      </c>
      <c r="D408" s="6" t="str">
        <f ca="1">IFERROR(__xludf.DUMMYFUNCTION("""COMPUTED_VALUE"""),"Digital Tech")</f>
        <v>Digital Tech</v>
      </c>
      <c r="E408" s="6" t="str">
        <f ca="1">IFERROR(__xludf.DUMMYFUNCTION("""COMPUTED_VALUE"""),"Invite Next Year")</f>
        <v>Invite Next Year</v>
      </c>
      <c r="F408" s="6" t="e">
        <f t="shared" ca="1" si="1"/>
        <v>#NAME?</v>
      </c>
    </row>
    <row r="409" spans="1:6">
      <c r="A409" s="199">
        <f ca="1">IFERROR(__xludf.DUMMYFUNCTION("""COMPUTED_VALUE"""),44791)</f>
        <v>44791</v>
      </c>
      <c r="B409" s="6" t="str">
        <f ca="1">IFERROR(__xludf.DUMMYFUNCTION("""COMPUTED_VALUE"""),"Her Impact _2022")</f>
        <v>Her Impact _2022</v>
      </c>
      <c r="C409" s="6">
        <f ca="1">IFERROR(__xludf.DUMMYFUNCTION("""COMPUTED_VALUE"""),3.5)</f>
        <v>3.5</v>
      </c>
      <c r="D409" s="6" t="str">
        <f ca="1">IFERROR(__xludf.DUMMYFUNCTION("""COMPUTED_VALUE"""),"Digital Tech")</f>
        <v>Digital Tech</v>
      </c>
      <c r="E409" s="6" t="str">
        <f ca="1">IFERROR(__xludf.DUMMYFUNCTION("""COMPUTED_VALUE"""),"Invite Next Year")</f>
        <v>Invite Next Year</v>
      </c>
      <c r="F409" s="6" t="e">
        <f t="shared" ca="1" si="1"/>
        <v>#NAME?</v>
      </c>
    </row>
    <row r="410" spans="1:6">
      <c r="A410" s="199">
        <f ca="1">IFERROR(__xludf.DUMMYFUNCTION("""COMPUTED_VALUE"""),44791)</f>
        <v>44791</v>
      </c>
      <c r="B410" s="6" t="str">
        <f ca="1">IFERROR(__xludf.DUMMYFUNCTION("""COMPUTED_VALUE"""),"Haylon Technologies _2022")</f>
        <v>Haylon Technologies _2022</v>
      </c>
      <c r="C410" s="6">
        <f ca="1">IFERROR(__xludf.DUMMYFUNCTION("""COMPUTED_VALUE"""),3.5)</f>
        <v>3.5</v>
      </c>
      <c r="D410" s="6" t="str">
        <f ca="1">IFERROR(__xludf.DUMMYFUNCTION("""COMPUTED_VALUE"""),"Deep Tech")</f>
        <v>Deep Tech</v>
      </c>
      <c r="E410" s="6" t="str">
        <f ca="1">IFERROR(__xludf.DUMMYFUNCTION("""COMPUTED_VALUE"""),"Invite Next Year")</f>
        <v>Invite Next Year</v>
      </c>
      <c r="F410" s="6" t="e">
        <f t="shared" ca="1" si="1"/>
        <v>#NAME?</v>
      </c>
    </row>
    <row r="411" spans="1:6">
      <c r="A411" s="199">
        <f ca="1">IFERROR(__xludf.DUMMYFUNCTION("""COMPUTED_VALUE"""),44791)</f>
        <v>44791</v>
      </c>
      <c r="B411" s="6" t="str">
        <f ca="1">IFERROR(__xludf.DUMMYFUNCTION("""COMPUTED_VALUE"""),"Gigaforce Inc. _2022")</f>
        <v>Gigaforce Inc. _2022</v>
      </c>
      <c r="C411" s="6">
        <f ca="1">IFERROR(__xludf.DUMMYFUNCTION("""COMPUTED_VALUE"""),3.5)</f>
        <v>3.5</v>
      </c>
      <c r="D411" s="6" t="str">
        <f ca="1">IFERROR(__xludf.DUMMYFUNCTION("""COMPUTED_VALUE"""),"Digital Tech")</f>
        <v>Digital Tech</v>
      </c>
      <c r="E411" s="6" t="str">
        <f ca="1">IFERROR(__xludf.DUMMYFUNCTION("""COMPUTED_VALUE"""),"Invite Next Year")</f>
        <v>Invite Next Year</v>
      </c>
      <c r="F411" s="6" t="e">
        <f t="shared" ca="1" si="1"/>
        <v>#NAME?</v>
      </c>
    </row>
    <row r="412" spans="1:6">
      <c r="A412" s="199">
        <f ca="1">IFERROR(__xludf.DUMMYFUNCTION("""COMPUTED_VALUE"""),44791)</f>
        <v>44791</v>
      </c>
      <c r="B412" s="6" t="str">
        <f ca="1">IFERROR(__xludf.DUMMYFUNCTION("""COMPUTED_VALUE"""),"SkySquirrel Technologies (dba VineView) _2022")</f>
        <v>SkySquirrel Technologies (dba VineView) _2022</v>
      </c>
      <c r="C412" s="6">
        <f ca="1">IFERROR(__xludf.DUMMYFUNCTION("""COMPUTED_VALUE"""),3.5)</f>
        <v>3.5</v>
      </c>
      <c r="D412" s="6" t="str">
        <f ca="1">IFERROR(__xludf.DUMMYFUNCTION("""COMPUTED_VALUE"""),"Digital Tech")</f>
        <v>Digital Tech</v>
      </c>
      <c r="E412" s="6" t="str">
        <f ca="1">IFERROR(__xludf.DUMMYFUNCTION("""COMPUTED_VALUE"""),"Invite Next Year")</f>
        <v>Invite Next Year</v>
      </c>
      <c r="F412" s="6" t="e">
        <f t="shared" ca="1" si="1"/>
        <v>#NAME?</v>
      </c>
    </row>
    <row r="413" spans="1:6">
      <c r="A413" s="199">
        <f ca="1">IFERROR(__xludf.DUMMYFUNCTION("""COMPUTED_VALUE"""),44791)</f>
        <v>44791</v>
      </c>
      <c r="B413" s="6" t="str">
        <f ca="1">IFERROR(__xludf.DUMMYFUNCTION("""COMPUTED_VALUE"""),"Zoomrin _2022")</f>
        <v>Zoomrin _2022</v>
      </c>
      <c r="C413" s="6">
        <f ca="1">IFERROR(__xludf.DUMMYFUNCTION("""COMPUTED_VALUE"""),3.5)</f>
        <v>3.5</v>
      </c>
      <c r="D413" s="6" t="str">
        <f ca="1">IFERROR(__xludf.DUMMYFUNCTION("""COMPUTED_VALUE"""),"Deep Tech")</f>
        <v>Deep Tech</v>
      </c>
      <c r="E413" s="6" t="str">
        <f ca="1">IFERROR(__xludf.DUMMYFUNCTION("""COMPUTED_VALUE"""),"Revisit/ Cluster")</f>
        <v>Revisit/ Cluster</v>
      </c>
      <c r="F413" s="6" t="e">
        <f t="shared" ca="1" si="1"/>
        <v>#NAME?</v>
      </c>
    </row>
    <row r="414" spans="1:6">
      <c r="A414" s="199">
        <f ca="1">IFERROR(__xludf.DUMMYFUNCTION("""COMPUTED_VALUE"""),44791)</f>
        <v>44791</v>
      </c>
      <c r="B414" s="6" t="str">
        <f ca="1">IFERROR(__xludf.DUMMYFUNCTION("""COMPUTED_VALUE"""),"Providentia Technologies _2022")</f>
        <v>Providentia Technologies _2022</v>
      </c>
      <c r="C414" s="6">
        <f ca="1">IFERROR(__xludf.DUMMYFUNCTION("""COMPUTED_VALUE"""),3.5)</f>
        <v>3.5</v>
      </c>
      <c r="D414" s="6" t="str">
        <f ca="1">IFERROR(__xludf.DUMMYFUNCTION("""COMPUTED_VALUE"""),"Life Sciences")</f>
        <v>Life Sciences</v>
      </c>
      <c r="E414" s="6" t="str">
        <f ca="1">IFERROR(__xludf.DUMMYFUNCTION("""COMPUTED_VALUE"""),"Special Reject")</f>
        <v>Special Reject</v>
      </c>
      <c r="F414" s="6" t="e">
        <f t="shared" ca="1" si="1"/>
        <v>#NAME?</v>
      </c>
    </row>
    <row r="415" spans="1:6">
      <c r="A415" s="199">
        <f ca="1">IFERROR(__xludf.DUMMYFUNCTION("""COMPUTED_VALUE"""),44791)</f>
        <v>44791</v>
      </c>
      <c r="B415" s="6" t="str">
        <f ca="1">IFERROR(__xludf.DUMMYFUNCTION("""COMPUTED_VALUE"""),"Synaps Dx _2022")</f>
        <v>Synaps Dx _2022</v>
      </c>
      <c r="C415" s="6">
        <f ca="1">IFERROR(__xludf.DUMMYFUNCTION("""COMPUTED_VALUE"""),3.5)</f>
        <v>3.5</v>
      </c>
      <c r="D415" s="6" t="str">
        <f ca="1">IFERROR(__xludf.DUMMYFUNCTION("""COMPUTED_VALUE"""),"Life Sciences")</f>
        <v>Life Sciences</v>
      </c>
      <c r="E415" s="6" t="str">
        <f ca="1">IFERROR(__xludf.DUMMYFUNCTION("""COMPUTED_VALUE"""),"Invite Next Year")</f>
        <v>Invite Next Year</v>
      </c>
      <c r="F415" s="6" t="e">
        <f t="shared" ca="1" si="1"/>
        <v>#NAME?</v>
      </c>
    </row>
    <row r="416" spans="1:6">
      <c r="A416" s="199">
        <f ca="1">IFERROR(__xludf.DUMMYFUNCTION("""COMPUTED_VALUE"""),44791)</f>
        <v>44791</v>
      </c>
      <c r="B416" s="6" t="str">
        <f ca="1">IFERROR(__xludf.DUMMYFUNCTION("""COMPUTED_VALUE"""),"KYTE DYNAMICS, INC. d/b/a KYTE _2022")</f>
        <v>KYTE DYNAMICS, INC. d/b/a KYTE _2022</v>
      </c>
      <c r="C416" s="6">
        <f ca="1">IFERROR(__xludf.DUMMYFUNCTION("""COMPUTED_VALUE"""),3.5)</f>
        <v>3.5</v>
      </c>
      <c r="D416" s="6" t="str">
        <f ca="1">IFERROR(__xludf.DUMMYFUNCTION("""COMPUTED_VALUE"""),"Deep Tech")</f>
        <v>Deep Tech</v>
      </c>
      <c r="E416" s="6" t="str">
        <f ca="1">IFERROR(__xludf.DUMMYFUNCTION("""COMPUTED_VALUE"""),"Invite Next Year")</f>
        <v>Invite Next Year</v>
      </c>
      <c r="F416" s="6" t="e">
        <f t="shared" ca="1" si="1"/>
        <v>#NAME?</v>
      </c>
    </row>
    <row r="417" spans="1:6">
      <c r="A417" s="199">
        <f ca="1">IFERROR(__xludf.DUMMYFUNCTION("""COMPUTED_VALUE"""),44791)</f>
        <v>44791</v>
      </c>
      <c r="B417" s="6" t="str">
        <f ca="1">IFERROR(__xludf.DUMMYFUNCTION("""COMPUTED_VALUE"""),"Akeso Therapeutics, Inc. _2022")</f>
        <v>Akeso Therapeutics, Inc. _2022</v>
      </c>
      <c r="C417" s="6">
        <f ca="1">IFERROR(__xludf.DUMMYFUNCTION("""COMPUTED_VALUE"""),3.5)</f>
        <v>3.5</v>
      </c>
      <c r="D417" s="6" t="str">
        <f ca="1">IFERROR(__xludf.DUMMYFUNCTION("""COMPUTED_VALUE"""),"Life Sciences")</f>
        <v>Life Sciences</v>
      </c>
      <c r="E417" s="6" t="str">
        <f ca="1">IFERROR(__xludf.DUMMYFUNCTION("""COMPUTED_VALUE"""),"Invite Next Year")</f>
        <v>Invite Next Year</v>
      </c>
      <c r="F417" s="6" t="e">
        <f t="shared" ca="1" si="1"/>
        <v>#NAME?</v>
      </c>
    </row>
    <row r="418" spans="1:6">
      <c r="A418" s="199">
        <f ca="1">IFERROR(__xludf.DUMMYFUNCTION("""COMPUTED_VALUE"""),44791)</f>
        <v>44791</v>
      </c>
      <c r="B418" s="6" t="str">
        <f ca="1">IFERROR(__xludf.DUMMYFUNCTION("""COMPUTED_VALUE"""),"Hyfi _2022")</f>
        <v>Hyfi _2022</v>
      </c>
      <c r="C418" s="6">
        <f ca="1">IFERROR(__xludf.DUMMYFUNCTION("""COMPUTED_VALUE"""),3.5)</f>
        <v>3.5</v>
      </c>
      <c r="D418" s="6" t="str">
        <f ca="1">IFERROR(__xludf.DUMMYFUNCTION("""COMPUTED_VALUE"""),"Digital Tech")</f>
        <v>Digital Tech</v>
      </c>
      <c r="E418" s="6" t="str">
        <f ca="1">IFERROR(__xludf.DUMMYFUNCTION("""COMPUTED_VALUE"""),"Invite Next Year")</f>
        <v>Invite Next Year</v>
      </c>
      <c r="F418" s="6" t="e">
        <f t="shared" ca="1" si="1"/>
        <v>#NAME?</v>
      </c>
    </row>
    <row r="419" spans="1:6">
      <c r="A419" s="199">
        <f ca="1">IFERROR(__xludf.DUMMYFUNCTION("""COMPUTED_VALUE"""),44796)</f>
        <v>44796</v>
      </c>
      <c r="B419" s="6" t="str">
        <f ca="1">IFERROR(__xludf.DUMMYFUNCTION("""COMPUTED_VALUE"""),"Untap _2022")</f>
        <v>Untap _2022</v>
      </c>
      <c r="C419" s="6">
        <f ca="1">IFERROR(__xludf.DUMMYFUNCTION("""COMPUTED_VALUE"""),3.5)</f>
        <v>3.5</v>
      </c>
      <c r="D419" s="6" t="str">
        <f ca="1">IFERROR(__xludf.DUMMYFUNCTION("""COMPUTED_VALUE"""),"Digital Tech")</f>
        <v>Digital Tech</v>
      </c>
      <c r="E419" s="6" t="str">
        <f ca="1">IFERROR(__xludf.DUMMYFUNCTION("""COMPUTED_VALUE"""),"Invite Next Year")</f>
        <v>Invite Next Year</v>
      </c>
      <c r="F419" s="6" t="e">
        <f t="shared" ca="1" si="1"/>
        <v>#NAME?</v>
      </c>
    </row>
    <row r="420" spans="1:6">
      <c r="A420" s="199">
        <f ca="1">IFERROR(__xludf.DUMMYFUNCTION("""COMPUTED_VALUE"""),44796)</f>
        <v>44796</v>
      </c>
      <c r="B420" s="6" t="str">
        <f ca="1">IFERROR(__xludf.DUMMYFUNCTION("""COMPUTED_VALUE"""),"Descifra _2022")</f>
        <v>Descifra _2022</v>
      </c>
      <c r="C420" s="6">
        <f ca="1">IFERROR(__xludf.DUMMYFUNCTION("""COMPUTED_VALUE"""),3.5)</f>
        <v>3.5</v>
      </c>
      <c r="D420" s="6" t="str">
        <f ca="1">IFERROR(__xludf.DUMMYFUNCTION("""COMPUTED_VALUE"""),"Digital Tech")</f>
        <v>Digital Tech</v>
      </c>
      <c r="E420" s="6" t="str">
        <f ca="1">IFERROR(__xludf.DUMMYFUNCTION("""COMPUTED_VALUE"""),"Invite Next Year")</f>
        <v>Invite Next Year</v>
      </c>
      <c r="F420" s="6" t="e">
        <f t="shared" ca="1" si="1"/>
        <v>#NAME?</v>
      </c>
    </row>
    <row r="421" spans="1:6">
      <c r="A421" s="199">
        <f ca="1">IFERROR(__xludf.DUMMYFUNCTION("""COMPUTED_VALUE"""),44796)</f>
        <v>44796</v>
      </c>
      <c r="B421" s="6" t="str">
        <f ca="1">IFERROR(__xludf.DUMMYFUNCTION("""COMPUTED_VALUE"""),"Navigating AWEtism _2022")</f>
        <v>Navigating AWEtism _2022</v>
      </c>
      <c r="C421" s="6">
        <f ca="1">IFERROR(__xludf.DUMMYFUNCTION("""COMPUTED_VALUE"""),3.5)</f>
        <v>3.5</v>
      </c>
      <c r="D421" s="6" t="str">
        <f ca="1">IFERROR(__xludf.DUMMYFUNCTION("""COMPUTED_VALUE"""),"Digital Tech")</f>
        <v>Digital Tech</v>
      </c>
      <c r="E421" s="6" t="str">
        <f ca="1">IFERROR(__xludf.DUMMYFUNCTION("""COMPUTED_VALUE"""),"Invite Next Year")</f>
        <v>Invite Next Year</v>
      </c>
      <c r="F421" s="6" t="e">
        <f t="shared" ca="1" si="1"/>
        <v>#NAME?</v>
      </c>
    </row>
    <row r="422" spans="1:6">
      <c r="A422" s="199">
        <f ca="1">IFERROR(__xludf.DUMMYFUNCTION("""COMPUTED_VALUE"""),44796)</f>
        <v>44796</v>
      </c>
      <c r="B422" s="6" t="str">
        <f ca="1">IFERROR(__xludf.DUMMYFUNCTION("""COMPUTED_VALUE"""),"Frontline Gig _2022")</f>
        <v>Frontline Gig _2022</v>
      </c>
      <c r="C422" s="6">
        <f ca="1">IFERROR(__xludf.DUMMYFUNCTION("""COMPUTED_VALUE"""),3.5)</f>
        <v>3.5</v>
      </c>
      <c r="D422" s="6" t="str">
        <f ca="1">IFERROR(__xludf.DUMMYFUNCTION("""COMPUTED_VALUE"""),"Digital Tech")</f>
        <v>Digital Tech</v>
      </c>
      <c r="E422" s="6" t="str">
        <f ca="1">IFERROR(__xludf.DUMMYFUNCTION("""COMPUTED_VALUE"""),"Invite Next Year")</f>
        <v>Invite Next Year</v>
      </c>
      <c r="F422" s="6" t="e">
        <f t="shared" ca="1" si="1"/>
        <v>#NAME?</v>
      </c>
    </row>
    <row r="423" spans="1:6">
      <c r="A423" s="199">
        <f ca="1">IFERROR(__xludf.DUMMYFUNCTION("""COMPUTED_VALUE"""),44796)</f>
        <v>44796</v>
      </c>
      <c r="B423" s="6" t="str">
        <f ca="1">IFERROR(__xludf.DUMMYFUNCTION("""COMPUTED_VALUE"""),"NEOMICS PHARMACEUTICALS LLC _2022")</f>
        <v>NEOMICS PHARMACEUTICALS LLC _2022</v>
      </c>
      <c r="C423" s="6">
        <f ca="1">IFERROR(__xludf.DUMMYFUNCTION("""COMPUTED_VALUE"""),3.5)</f>
        <v>3.5</v>
      </c>
      <c r="D423" s="6" t="str">
        <f ca="1">IFERROR(__xludf.DUMMYFUNCTION("""COMPUTED_VALUE"""),"Life Sciences")</f>
        <v>Life Sciences</v>
      </c>
      <c r="E423" s="6" t="str">
        <f ca="1">IFERROR(__xludf.DUMMYFUNCTION("""COMPUTED_VALUE"""),"Invite Next Year")</f>
        <v>Invite Next Year</v>
      </c>
      <c r="F423" s="6" t="e">
        <f t="shared" ca="1" si="1"/>
        <v>#NAME?</v>
      </c>
    </row>
    <row r="424" spans="1:6">
      <c r="A424" s="199">
        <f ca="1">IFERROR(__xludf.DUMMYFUNCTION("""COMPUTED_VALUE"""),44796)</f>
        <v>44796</v>
      </c>
      <c r="B424" s="6" t="str">
        <f ca="1">IFERROR(__xludf.DUMMYFUNCTION("""COMPUTED_VALUE"""),"Multipl Fintech Solutions Pvt. LTD _2022")</f>
        <v>Multipl Fintech Solutions Pvt. LTD _2022</v>
      </c>
      <c r="C424" s="6">
        <f ca="1">IFERROR(__xludf.DUMMYFUNCTION("""COMPUTED_VALUE"""),3.5)</f>
        <v>3.5</v>
      </c>
      <c r="D424" s="6" t="str">
        <f ca="1">IFERROR(__xludf.DUMMYFUNCTION("""COMPUTED_VALUE"""),"Digital Tech")</f>
        <v>Digital Tech</v>
      </c>
      <c r="E424" s="6" t="str">
        <f ca="1">IFERROR(__xludf.DUMMYFUNCTION("""COMPUTED_VALUE"""),"Invite Next Year")</f>
        <v>Invite Next Year</v>
      </c>
      <c r="F424" s="6" t="e">
        <f t="shared" ca="1" si="1"/>
        <v>#NAME?</v>
      </c>
    </row>
    <row r="425" spans="1:6">
      <c r="A425" s="199">
        <f ca="1">IFERROR(__xludf.DUMMYFUNCTION("""COMPUTED_VALUE"""),44796)</f>
        <v>44796</v>
      </c>
      <c r="B425" s="6" t="str">
        <f ca="1">IFERROR(__xludf.DUMMYFUNCTION("""COMPUTED_VALUE"""),"Altafid _2022")</f>
        <v>Altafid _2022</v>
      </c>
      <c r="C425" s="6">
        <f ca="1">IFERROR(__xludf.DUMMYFUNCTION("""COMPUTED_VALUE"""),3.5)</f>
        <v>3.5</v>
      </c>
      <c r="D425" s="6" t="str">
        <f ca="1">IFERROR(__xludf.DUMMYFUNCTION("""COMPUTED_VALUE"""),"Digital Tech")</f>
        <v>Digital Tech</v>
      </c>
      <c r="E425" s="6" t="str">
        <f ca="1">IFERROR(__xludf.DUMMYFUNCTION("""COMPUTED_VALUE"""),"Invite Next Year")</f>
        <v>Invite Next Year</v>
      </c>
      <c r="F425" s="6" t="e">
        <f t="shared" ca="1" si="1"/>
        <v>#NAME?</v>
      </c>
    </row>
    <row r="426" spans="1:6">
      <c r="A426" s="199">
        <f ca="1">IFERROR(__xludf.DUMMYFUNCTION("""COMPUTED_VALUE"""),44796)</f>
        <v>44796</v>
      </c>
      <c r="B426" s="6" t="str">
        <f ca="1">IFERROR(__xludf.DUMMYFUNCTION("""COMPUTED_VALUE"""),"ODWEN Inc _2022")</f>
        <v>ODWEN Inc _2022</v>
      </c>
      <c r="C426" s="6">
        <f ca="1">IFERROR(__xludf.DUMMYFUNCTION("""COMPUTED_VALUE"""),3.5)</f>
        <v>3.5</v>
      </c>
      <c r="D426" s="6" t="str">
        <f ca="1">IFERROR(__xludf.DUMMYFUNCTION("""COMPUTED_VALUE"""),"Digital Tech")</f>
        <v>Digital Tech</v>
      </c>
      <c r="E426" s="6" t="str">
        <f ca="1">IFERROR(__xludf.DUMMYFUNCTION("""COMPUTED_VALUE"""),"Invite Next Year")</f>
        <v>Invite Next Year</v>
      </c>
      <c r="F426" s="6" t="e">
        <f t="shared" ca="1" si="1"/>
        <v>#NAME?</v>
      </c>
    </row>
    <row r="427" spans="1:6">
      <c r="A427" s="199">
        <f ca="1">IFERROR(__xludf.DUMMYFUNCTION("""COMPUTED_VALUE"""),44796)</f>
        <v>44796</v>
      </c>
      <c r="B427" s="6" t="str">
        <f ca="1">IFERROR(__xludf.DUMMYFUNCTION("""COMPUTED_VALUE"""),"nami.ai _2022")</f>
        <v>nami.ai _2022</v>
      </c>
      <c r="C427" s="6">
        <f ca="1">IFERROR(__xludf.DUMMYFUNCTION("""COMPUTED_VALUE"""),3.5)</f>
        <v>3.5</v>
      </c>
      <c r="D427" s="6" t="str">
        <f ca="1">IFERROR(__xludf.DUMMYFUNCTION("""COMPUTED_VALUE"""),"Digital Tech")</f>
        <v>Digital Tech</v>
      </c>
      <c r="E427" s="6" t="str">
        <f ca="1">IFERROR(__xludf.DUMMYFUNCTION("""COMPUTED_VALUE"""),"Invite Next Year")</f>
        <v>Invite Next Year</v>
      </c>
      <c r="F427" s="6" t="e">
        <f t="shared" ca="1" si="1"/>
        <v>#NAME?</v>
      </c>
    </row>
    <row r="428" spans="1:6">
      <c r="A428" s="199">
        <f ca="1">IFERROR(__xludf.DUMMYFUNCTION("""COMPUTED_VALUE"""),44796)</f>
        <v>44796</v>
      </c>
      <c r="B428" s="6" t="str">
        <f ca="1">IFERROR(__xludf.DUMMYFUNCTION("""COMPUTED_VALUE"""),"Ravata Solutions _2022")</f>
        <v>Ravata Solutions _2022</v>
      </c>
      <c r="C428" s="6">
        <f ca="1">IFERROR(__xludf.DUMMYFUNCTION("""COMPUTED_VALUE"""),3.5)</f>
        <v>3.5</v>
      </c>
      <c r="D428" s="6" t="str">
        <f ca="1">IFERROR(__xludf.DUMMYFUNCTION("""COMPUTED_VALUE"""),"Life Sciences")</f>
        <v>Life Sciences</v>
      </c>
      <c r="E428" s="6" t="str">
        <f ca="1">IFERROR(__xludf.DUMMYFUNCTION("""COMPUTED_VALUE"""),"Special Reject")</f>
        <v>Special Reject</v>
      </c>
      <c r="F428" s="6" t="e">
        <f t="shared" ca="1" si="1"/>
        <v>#NAME?</v>
      </c>
    </row>
    <row r="429" spans="1:6">
      <c r="A429" s="199">
        <f ca="1">IFERROR(__xludf.DUMMYFUNCTION("""COMPUTED_VALUE"""),44796)</f>
        <v>44796</v>
      </c>
      <c r="B429" s="6" t="str">
        <f ca="1">IFERROR(__xludf.DUMMYFUNCTION("""COMPUTED_VALUE"""),"EPICA _2022")</f>
        <v>EPICA _2022</v>
      </c>
      <c r="C429" s="6">
        <f ca="1">IFERROR(__xludf.DUMMYFUNCTION("""COMPUTED_VALUE"""),3.5)</f>
        <v>3.5</v>
      </c>
      <c r="D429" s="6" t="str">
        <f ca="1">IFERROR(__xludf.DUMMYFUNCTION("""COMPUTED_VALUE"""),"Digital Tech")</f>
        <v>Digital Tech</v>
      </c>
      <c r="E429" s="6" t="str">
        <f ca="1">IFERROR(__xludf.DUMMYFUNCTION("""COMPUTED_VALUE"""),"Invite Next Year")</f>
        <v>Invite Next Year</v>
      </c>
      <c r="F429" s="6" t="e">
        <f t="shared" ca="1" si="1"/>
        <v>#NAME?</v>
      </c>
    </row>
    <row r="430" spans="1:6">
      <c r="A430" s="199">
        <f ca="1">IFERROR(__xludf.DUMMYFUNCTION("""COMPUTED_VALUE"""),44796)</f>
        <v>44796</v>
      </c>
      <c r="B430" s="6" t="str">
        <f ca="1">IFERROR(__xludf.DUMMYFUNCTION("""COMPUTED_VALUE"""),"Akesa Health _2022")</f>
        <v>Akesa Health _2022</v>
      </c>
      <c r="C430" s="6">
        <f ca="1">IFERROR(__xludf.DUMMYFUNCTION("""COMPUTED_VALUE"""),3.5)</f>
        <v>3.5</v>
      </c>
      <c r="D430" s="6" t="str">
        <f ca="1">IFERROR(__xludf.DUMMYFUNCTION("""COMPUTED_VALUE"""),"Digital Tech")</f>
        <v>Digital Tech</v>
      </c>
      <c r="E430" s="6" t="str">
        <f ca="1">IFERROR(__xludf.DUMMYFUNCTION("""COMPUTED_VALUE"""),"Invite Next Year")</f>
        <v>Invite Next Year</v>
      </c>
      <c r="F430" s="6" t="e">
        <f t="shared" ca="1" si="1"/>
        <v>#NAME?</v>
      </c>
    </row>
    <row r="431" spans="1:6">
      <c r="A431" s="199">
        <f ca="1">IFERROR(__xludf.DUMMYFUNCTION("""COMPUTED_VALUE"""),44796)</f>
        <v>44796</v>
      </c>
      <c r="B431" s="6" t="str">
        <f ca="1">IFERROR(__xludf.DUMMYFUNCTION("""COMPUTED_VALUE"""),"giveback _2022")</f>
        <v>giveback _2022</v>
      </c>
      <c r="C431" s="6">
        <f ca="1">IFERROR(__xludf.DUMMYFUNCTION("""COMPUTED_VALUE"""),3.5)</f>
        <v>3.5</v>
      </c>
      <c r="D431" s="6" t="str">
        <f ca="1">IFERROR(__xludf.DUMMYFUNCTION("""COMPUTED_VALUE"""),"Digital Tech")</f>
        <v>Digital Tech</v>
      </c>
      <c r="E431" s="6" t="str">
        <f ca="1">IFERROR(__xludf.DUMMYFUNCTION("""COMPUTED_VALUE"""),"Invite Next Year")</f>
        <v>Invite Next Year</v>
      </c>
      <c r="F431" s="6" t="e">
        <f t="shared" ca="1" si="1"/>
        <v>#NAME?</v>
      </c>
    </row>
    <row r="432" spans="1:6">
      <c r="A432" s="199">
        <f ca="1">IFERROR(__xludf.DUMMYFUNCTION("""COMPUTED_VALUE"""),44796)</f>
        <v>44796</v>
      </c>
      <c r="B432" s="6" t="str">
        <f ca="1">IFERROR(__xludf.DUMMYFUNCTION("""COMPUTED_VALUE"""),"Precision Periodic _2022")</f>
        <v>Precision Periodic _2022</v>
      </c>
      <c r="C432" s="6">
        <f ca="1">IFERROR(__xludf.DUMMYFUNCTION("""COMPUTED_VALUE"""),3.5)</f>
        <v>3.5</v>
      </c>
      <c r="D432" s="6" t="str">
        <f ca="1">IFERROR(__xludf.DUMMYFUNCTION("""COMPUTED_VALUE"""),"Deep Tech")</f>
        <v>Deep Tech</v>
      </c>
      <c r="E432" s="6" t="str">
        <f ca="1">IFERROR(__xludf.DUMMYFUNCTION("""COMPUTED_VALUE"""),"Invite Next Year")</f>
        <v>Invite Next Year</v>
      </c>
      <c r="F432" s="6" t="e">
        <f t="shared" ca="1" si="1"/>
        <v>#NAME?</v>
      </c>
    </row>
    <row r="433" spans="1:6">
      <c r="A433" s="199">
        <f ca="1">IFERROR(__xludf.DUMMYFUNCTION("""COMPUTED_VALUE"""),44796)</f>
        <v>44796</v>
      </c>
      <c r="B433" s="6" t="str">
        <f ca="1">IFERROR(__xludf.DUMMYFUNCTION("""COMPUTED_VALUE"""),"QCoefficient, Inc. _2022")</f>
        <v>QCoefficient, Inc. _2022</v>
      </c>
      <c r="C433" s="6">
        <f ca="1">IFERROR(__xludf.DUMMYFUNCTION("""COMPUTED_VALUE"""),3.5)</f>
        <v>3.5</v>
      </c>
      <c r="D433" s="6" t="str">
        <f ca="1">IFERROR(__xludf.DUMMYFUNCTION("""COMPUTED_VALUE"""),"Deep Tech")</f>
        <v>Deep Tech</v>
      </c>
      <c r="E433" s="6" t="str">
        <f ca="1">IFERROR(__xludf.DUMMYFUNCTION("""COMPUTED_VALUE"""),"Invite Next Year")</f>
        <v>Invite Next Year</v>
      </c>
      <c r="F433" s="6" t="e">
        <f t="shared" ca="1" si="1"/>
        <v>#NAME?</v>
      </c>
    </row>
    <row r="434" spans="1:6">
      <c r="A434" s="199">
        <f ca="1">IFERROR(__xludf.DUMMYFUNCTION("""COMPUTED_VALUE"""),44796)</f>
        <v>44796</v>
      </c>
      <c r="B434" s="6" t="str">
        <f ca="1">IFERROR(__xludf.DUMMYFUNCTION("""COMPUTED_VALUE"""),"AKALA _2022")</f>
        <v>AKALA _2022</v>
      </c>
      <c r="C434" s="6">
        <f ca="1">IFERROR(__xludf.DUMMYFUNCTION("""COMPUTED_VALUE"""),3.5)</f>
        <v>3.5</v>
      </c>
      <c r="D434" s="6" t="str">
        <f ca="1">IFERROR(__xludf.DUMMYFUNCTION("""COMPUTED_VALUE"""),"Digital Tech")</f>
        <v>Digital Tech</v>
      </c>
      <c r="E434" s="6" t="str">
        <f ca="1">IFERROR(__xludf.DUMMYFUNCTION("""COMPUTED_VALUE"""),"Invite Next Year")</f>
        <v>Invite Next Year</v>
      </c>
      <c r="F434" s="6" t="e">
        <f t="shared" ca="1" si="1"/>
        <v>#NAME?</v>
      </c>
    </row>
    <row r="435" spans="1:6">
      <c r="A435" s="199">
        <f ca="1">IFERROR(__xludf.DUMMYFUNCTION("""COMPUTED_VALUE"""),44796)</f>
        <v>44796</v>
      </c>
      <c r="B435" s="6" t="str">
        <f ca="1">IFERROR(__xludf.DUMMYFUNCTION("""COMPUTED_VALUE"""),"bluShift Aerospace _2022")</f>
        <v>bluShift Aerospace _2022</v>
      </c>
      <c r="C435" s="6">
        <f ca="1">IFERROR(__xludf.DUMMYFUNCTION("""COMPUTED_VALUE"""),3.5)</f>
        <v>3.5</v>
      </c>
      <c r="D435" s="6" t="str">
        <f ca="1">IFERROR(__xludf.DUMMYFUNCTION("""COMPUTED_VALUE"""),"Deep Tech")</f>
        <v>Deep Tech</v>
      </c>
      <c r="E435" s="6" t="str">
        <f ca="1">IFERROR(__xludf.DUMMYFUNCTION("""COMPUTED_VALUE"""),"Invite Next Year")</f>
        <v>Invite Next Year</v>
      </c>
      <c r="F435" s="6" t="e">
        <f t="shared" ca="1" si="1"/>
        <v>#NAME?</v>
      </c>
    </row>
    <row r="436" spans="1:6">
      <c r="A436" s="199">
        <f ca="1">IFERROR(__xludf.DUMMYFUNCTION("""COMPUTED_VALUE"""),44796)</f>
        <v>44796</v>
      </c>
      <c r="B436" s="6" t="str">
        <f ca="1">IFERROR(__xludf.DUMMYFUNCTION("""COMPUTED_VALUE"""),"MotionsCloud _2022")</f>
        <v>MotionsCloud _2022</v>
      </c>
      <c r="C436" s="6">
        <f ca="1">IFERROR(__xludf.DUMMYFUNCTION("""COMPUTED_VALUE"""),3.5)</f>
        <v>3.5</v>
      </c>
      <c r="D436" s="6" t="str">
        <f ca="1">IFERROR(__xludf.DUMMYFUNCTION("""COMPUTED_VALUE"""),"Digital Tech")</f>
        <v>Digital Tech</v>
      </c>
      <c r="E436" s="6" t="str">
        <f ca="1">IFERROR(__xludf.DUMMYFUNCTION("""COMPUTED_VALUE"""),"Invite Next Year")</f>
        <v>Invite Next Year</v>
      </c>
      <c r="F436" s="6" t="e">
        <f t="shared" ca="1" si="1"/>
        <v>#NAME?</v>
      </c>
    </row>
    <row r="437" spans="1:6">
      <c r="A437" s="199">
        <f ca="1">IFERROR(__xludf.DUMMYFUNCTION("""COMPUTED_VALUE"""),44796)</f>
        <v>44796</v>
      </c>
      <c r="B437" s="6" t="str">
        <f ca="1">IFERROR(__xludf.DUMMYFUNCTION("""COMPUTED_VALUE"""),"Alpha Drive _2022")</f>
        <v>Alpha Drive _2022</v>
      </c>
      <c r="C437" s="6">
        <f ca="1">IFERROR(__xludf.DUMMYFUNCTION("""COMPUTED_VALUE"""),3.5)</f>
        <v>3.5</v>
      </c>
      <c r="D437" s="6" t="str">
        <f ca="1">IFERROR(__xludf.DUMMYFUNCTION("""COMPUTED_VALUE"""),"Digital Tech")</f>
        <v>Digital Tech</v>
      </c>
      <c r="E437" s="6" t="str">
        <f ca="1">IFERROR(__xludf.DUMMYFUNCTION("""COMPUTED_VALUE"""),"Invite Next Year")</f>
        <v>Invite Next Year</v>
      </c>
      <c r="F437" s="6" t="e">
        <f t="shared" ca="1" si="1"/>
        <v>#NAME?</v>
      </c>
    </row>
    <row r="438" spans="1:6">
      <c r="A438" s="199">
        <f ca="1">IFERROR(__xludf.DUMMYFUNCTION("""COMPUTED_VALUE"""),44796)</f>
        <v>44796</v>
      </c>
      <c r="B438" s="6" t="str">
        <f ca="1">IFERROR(__xludf.DUMMYFUNCTION("""COMPUTED_VALUE"""),"Holocron Technologies _2022")</f>
        <v>Holocron Technologies _2022</v>
      </c>
      <c r="C438" s="6">
        <f ca="1">IFERROR(__xludf.DUMMYFUNCTION("""COMPUTED_VALUE"""),3.5)</f>
        <v>3.5</v>
      </c>
      <c r="D438" s="6" t="str">
        <f ca="1">IFERROR(__xludf.DUMMYFUNCTION("""COMPUTED_VALUE"""),"Digital Tech")</f>
        <v>Digital Tech</v>
      </c>
      <c r="E438" s="6" t="str">
        <f ca="1">IFERROR(__xludf.DUMMYFUNCTION("""COMPUTED_VALUE"""),"Invite Next Year")</f>
        <v>Invite Next Year</v>
      </c>
      <c r="F438" s="6" t="e">
        <f t="shared" ca="1" si="1"/>
        <v>#NAME?</v>
      </c>
    </row>
    <row r="439" spans="1:6">
      <c r="A439" s="199">
        <f ca="1">IFERROR(__xludf.DUMMYFUNCTION("""COMPUTED_VALUE"""),44797)</f>
        <v>44797</v>
      </c>
      <c r="B439" s="6" t="str">
        <f ca="1">IFERROR(__xludf.DUMMYFUNCTION("""COMPUTED_VALUE"""),"PALM ENERGY SYSTEMS _2022")</f>
        <v>PALM ENERGY SYSTEMS _2022</v>
      </c>
      <c r="C439" s="6">
        <f ca="1">IFERROR(__xludf.DUMMYFUNCTION("""COMPUTED_VALUE"""),3.5)</f>
        <v>3.5</v>
      </c>
      <c r="D439" s="6" t="str">
        <f ca="1">IFERROR(__xludf.DUMMYFUNCTION("""COMPUTED_VALUE"""),"Digital Tech")</f>
        <v>Digital Tech</v>
      </c>
      <c r="E439" s="6" t="str">
        <f ca="1">IFERROR(__xludf.DUMMYFUNCTION("""COMPUTED_VALUE"""),"Invite Next Year")</f>
        <v>Invite Next Year</v>
      </c>
      <c r="F439" s="6" t="e">
        <f t="shared" ca="1" si="1"/>
        <v>#NAME?</v>
      </c>
    </row>
    <row r="440" spans="1:6">
      <c r="A440" s="199">
        <f ca="1">IFERROR(__xludf.DUMMYFUNCTION("""COMPUTED_VALUE"""),44797)</f>
        <v>44797</v>
      </c>
      <c r="B440" s="6" t="str">
        <f ca="1">IFERROR(__xludf.DUMMYFUNCTION("""COMPUTED_VALUE"""),"NOMA AI INC. _2022")</f>
        <v>NOMA AI INC. _2022</v>
      </c>
      <c r="C440" s="6">
        <f ca="1">IFERROR(__xludf.DUMMYFUNCTION("""COMPUTED_VALUE"""),3.5)</f>
        <v>3.5</v>
      </c>
      <c r="D440" s="6" t="str">
        <f ca="1">IFERROR(__xludf.DUMMYFUNCTION("""COMPUTED_VALUE"""),"Digital Tech")</f>
        <v>Digital Tech</v>
      </c>
      <c r="E440" s="6" t="str">
        <f ca="1">IFERROR(__xludf.DUMMYFUNCTION("""COMPUTED_VALUE"""),"Invite Next Year")</f>
        <v>Invite Next Year</v>
      </c>
      <c r="F440" s="6" t="e">
        <f t="shared" ca="1" si="1"/>
        <v>#NAME?</v>
      </c>
    </row>
    <row r="441" spans="1:6">
      <c r="A441" s="199">
        <f ca="1">IFERROR(__xludf.DUMMYFUNCTION("""COMPUTED_VALUE"""),44797)</f>
        <v>44797</v>
      </c>
      <c r="B441" s="6" t="str">
        <f ca="1">IFERROR(__xludf.DUMMYFUNCTION("""COMPUTED_VALUE"""),"Cornerstone AI _2022")</f>
        <v>Cornerstone AI _2022</v>
      </c>
      <c r="C441" s="6">
        <f ca="1">IFERROR(__xludf.DUMMYFUNCTION("""COMPUTED_VALUE"""),3.5)</f>
        <v>3.5</v>
      </c>
      <c r="D441" s="6" t="str">
        <f ca="1">IFERROR(__xludf.DUMMYFUNCTION("""COMPUTED_VALUE"""),"Digital Tech")</f>
        <v>Digital Tech</v>
      </c>
      <c r="E441" s="6" t="str">
        <f ca="1">IFERROR(__xludf.DUMMYFUNCTION("""COMPUTED_VALUE"""),"Invite Next Year")</f>
        <v>Invite Next Year</v>
      </c>
      <c r="F441" s="6" t="e">
        <f t="shared" ca="1" si="1"/>
        <v>#NAME?</v>
      </c>
    </row>
    <row r="442" spans="1:6">
      <c r="A442" s="199">
        <f ca="1">IFERROR(__xludf.DUMMYFUNCTION("""COMPUTED_VALUE"""),44797)</f>
        <v>44797</v>
      </c>
      <c r="B442" s="6" t="str">
        <f ca="1">IFERROR(__xludf.DUMMYFUNCTION("""COMPUTED_VALUE"""),"Sheetgo _2022")</f>
        <v>Sheetgo _2022</v>
      </c>
      <c r="C442" s="6">
        <f ca="1">IFERROR(__xludf.DUMMYFUNCTION("""COMPUTED_VALUE"""),3.5)</f>
        <v>3.5</v>
      </c>
      <c r="D442" s="6" t="str">
        <f ca="1">IFERROR(__xludf.DUMMYFUNCTION("""COMPUTED_VALUE"""),"Digital Tech")</f>
        <v>Digital Tech</v>
      </c>
      <c r="E442" s="6" t="str">
        <f ca="1">IFERROR(__xludf.DUMMYFUNCTION("""COMPUTED_VALUE"""),"Invite Next Year")</f>
        <v>Invite Next Year</v>
      </c>
      <c r="F442" s="6" t="e">
        <f t="shared" ca="1" si="1"/>
        <v>#NAME?</v>
      </c>
    </row>
    <row r="443" spans="1:6">
      <c r="A443" s="199">
        <f ca="1">IFERROR(__xludf.DUMMYFUNCTION("""COMPUTED_VALUE"""),44797)</f>
        <v>44797</v>
      </c>
      <c r="B443" s="6" t="str">
        <f ca="1">IFERROR(__xludf.DUMMYFUNCTION("""COMPUTED_VALUE"""),"Dropshop _2022")</f>
        <v>Dropshop _2022</v>
      </c>
      <c r="C443" s="6">
        <f ca="1">IFERROR(__xludf.DUMMYFUNCTION("""COMPUTED_VALUE"""),3.5)</f>
        <v>3.5</v>
      </c>
      <c r="D443" s="6" t="str">
        <f ca="1">IFERROR(__xludf.DUMMYFUNCTION("""COMPUTED_VALUE"""),"Digital Tech")</f>
        <v>Digital Tech</v>
      </c>
      <c r="E443" s="6" t="str">
        <f ca="1">IFERROR(__xludf.DUMMYFUNCTION("""COMPUTED_VALUE"""),"Invite Next Year")</f>
        <v>Invite Next Year</v>
      </c>
      <c r="F443" s="6" t="e">
        <f t="shared" ca="1" si="1"/>
        <v>#NAME?</v>
      </c>
    </row>
    <row r="444" spans="1:6">
      <c r="A444" s="199">
        <f ca="1">IFERROR(__xludf.DUMMYFUNCTION("""COMPUTED_VALUE"""),44797)</f>
        <v>44797</v>
      </c>
      <c r="B444" s="6" t="str">
        <f ca="1">IFERROR(__xludf.DUMMYFUNCTION("""COMPUTED_VALUE"""),"Etha _2022")</f>
        <v>Etha _2022</v>
      </c>
      <c r="C444" s="6">
        <f ca="1">IFERROR(__xludf.DUMMYFUNCTION("""COMPUTED_VALUE"""),3.5)</f>
        <v>3.5</v>
      </c>
      <c r="D444" s="6" t="str">
        <f ca="1">IFERROR(__xludf.DUMMYFUNCTION("""COMPUTED_VALUE"""),"Digital Tech")</f>
        <v>Digital Tech</v>
      </c>
      <c r="E444" s="6" t="str">
        <f ca="1">IFERROR(__xludf.DUMMYFUNCTION("""COMPUTED_VALUE"""),"Invite Next Year")</f>
        <v>Invite Next Year</v>
      </c>
      <c r="F444" s="6" t="e">
        <f t="shared" ca="1" si="1"/>
        <v>#NAME?</v>
      </c>
    </row>
    <row r="445" spans="1:6">
      <c r="A445" s="199">
        <f ca="1">IFERROR(__xludf.DUMMYFUNCTION("""COMPUTED_VALUE"""),44797)</f>
        <v>44797</v>
      </c>
      <c r="B445" s="6" t="str">
        <f ca="1">IFERROR(__xludf.DUMMYFUNCTION("""COMPUTED_VALUE"""),"KAWA ANALYTICS CORP _2022")</f>
        <v>KAWA ANALYTICS CORP _2022</v>
      </c>
      <c r="C445" s="6">
        <f ca="1">IFERROR(__xludf.DUMMYFUNCTION("""COMPUTED_VALUE"""),3.5)</f>
        <v>3.5</v>
      </c>
      <c r="D445" s="6" t="str">
        <f ca="1">IFERROR(__xludf.DUMMYFUNCTION("""COMPUTED_VALUE"""),"Digital Tech")</f>
        <v>Digital Tech</v>
      </c>
      <c r="E445" s="6" t="str">
        <f ca="1">IFERROR(__xludf.DUMMYFUNCTION("""COMPUTED_VALUE"""),"Revisit")</f>
        <v>Revisit</v>
      </c>
      <c r="F445" s="6" t="e">
        <f t="shared" ca="1" si="1"/>
        <v>#NAME?</v>
      </c>
    </row>
    <row r="446" spans="1:6">
      <c r="A446" s="199">
        <f ca="1">IFERROR(__xludf.DUMMYFUNCTION("""COMPUTED_VALUE"""),44797)</f>
        <v>44797</v>
      </c>
      <c r="B446" s="6" t="str">
        <f ca="1">IFERROR(__xludf.DUMMYFUNCTION("""COMPUTED_VALUE"""),"Fatakpay _2022")</f>
        <v>Fatakpay _2022</v>
      </c>
      <c r="C446" s="6">
        <f ca="1">IFERROR(__xludf.DUMMYFUNCTION("""COMPUTED_VALUE"""),3.5)</f>
        <v>3.5</v>
      </c>
      <c r="D446" s="6" t="str">
        <f ca="1">IFERROR(__xludf.DUMMYFUNCTION("""COMPUTED_VALUE"""),"Digital Tech")</f>
        <v>Digital Tech</v>
      </c>
      <c r="E446" s="6" t="str">
        <f ca="1">IFERROR(__xludf.DUMMYFUNCTION("""COMPUTED_VALUE"""),"Invite Next Year")</f>
        <v>Invite Next Year</v>
      </c>
      <c r="F446" s="6" t="e">
        <f t="shared" ca="1" si="1"/>
        <v>#NAME?</v>
      </c>
    </row>
    <row r="447" spans="1:6">
      <c r="A447" s="199">
        <f ca="1">IFERROR(__xludf.DUMMYFUNCTION("""COMPUTED_VALUE"""),44797)</f>
        <v>44797</v>
      </c>
      <c r="B447" s="6" t="str">
        <f ca="1">IFERROR(__xludf.DUMMYFUNCTION("""COMPUTED_VALUE"""),"Clocr (Crypto Legacy) _2022")</f>
        <v>Clocr (Crypto Legacy) _2022</v>
      </c>
      <c r="C447" s="6">
        <f ca="1">IFERROR(__xludf.DUMMYFUNCTION("""COMPUTED_VALUE"""),3.5)</f>
        <v>3.5</v>
      </c>
      <c r="D447" s="6" t="str">
        <f ca="1">IFERROR(__xludf.DUMMYFUNCTION("""COMPUTED_VALUE"""),"Digital Tech")</f>
        <v>Digital Tech</v>
      </c>
      <c r="E447" s="6" t="str">
        <f ca="1">IFERROR(__xludf.DUMMYFUNCTION("""COMPUTED_VALUE"""),"Invite Next Year")</f>
        <v>Invite Next Year</v>
      </c>
      <c r="F447" s="6" t="e">
        <f t="shared" ca="1" si="1"/>
        <v>#NAME?</v>
      </c>
    </row>
    <row r="448" spans="1:6">
      <c r="A448" s="199">
        <f ca="1">IFERROR(__xludf.DUMMYFUNCTION("""COMPUTED_VALUE"""),44782)</f>
        <v>44782</v>
      </c>
      <c r="B448" s="6" t="str">
        <f ca="1">IFERROR(__xludf.DUMMYFUNCTION("""COMPUTED_VALUE"""),"Reyets: Social Justice Network _2022")</f>
        <v>Reyets: Social Justice Network _2022</v>
      </c>
      <c r="C448" s="6">
        <f ca="1">IFERROR(__xludf.DUMMYFUNCTION("""COMPUTED_VALUE"""),3.38)</f>
        <v>3.38</v>
      </c>
      <c r="D448" s="6" t="str">
        <f ca="1">IFERROR(__xludf.DUMMYFUNCTION("""COMPUTED_VALUE"""),"Digital Tech")</f>
        <v>Digital Tech</v>
      </c>
      <c r="E448" s="6" t="str">
        <f ca="1">IFERROR(__xludf.DUMMYFUNCTION("""COMPUTED_VALUE"""),"Invite Next Year")</f>
        <v>Invite Next Year</v>
      </c>
      <c r="F448" s="6" t="e">
        <f t="shared" ca="1" si="1"/>
        <v>#NAME?</v>
      </c>
    </row>
    <row r="449" spans="1:6">
      <c r="A449" s="199">
        <f ca="1">IFERROR(__xludf.DUMMYFUNCTION("""COMPUTED_VALUE"""),44784)</f>
        <v>44784</v>
      </c>
      <c r="B449" s="6" t="str">
        <f ca="1">IFERROR(__xludf.DUMMYFUNCTION("""COMPUTED_VALUE"""),"Heyhack _2022")</f>
        <v>Heyhack _2022</v>
      </c>
      <c r="C449" s="6">
        <f ca="1">IFERROR(__xludf.DUMMYFUNCTION("""COMPUTED_VALUE"""),3.38)</f>
        <v>3.38</v>
      </c>
      <c r="D449" s="6" t="str">
        <f ca="1">IFERROR(__xludf.DUMMYFUNCTION("""COMPUTED_VALUE"""),"Digital Tech")</f>
        <v>Digital Tech</v>
      </c>
      <c r="E449" s="6" t="str">
        <f ca="1">IFERROR(__xludf.DUMMYFUNCTION("""COMPUTED_VALUE"""),"Invite Next Year")</f>
        <v>Invite Next Year</v>
      </c>
      <c r="F449" s="6" t="e">
        <f t="shared" ca="1" si="1"/>
        <v>#NAME?</v>
      </c>
    </row>
    <row r="450" spans="1:6">
      <c r="A450" s="199">
        <f ca="1">IFERROR(__xludf.DUMMYFUNCTION("""COMPUTED_VALUE"""),44796)</f>
        <v>44796</v>
      </c>
      <c r="B450" s="6" t="str">
        <f ca="1">IFERROR(__xludf.DUMMYFUNCTION("""COMPUTED_VALUE"""),"Confidencial, Inc. _2022")</f>
        <v>Confidencial, Inc. _2022</v>
      </c>
      <c r="C450" s="6">
        <f ca="1">IFERROR(__xludf.DUMMYFUNCTION("""COMPUTED_VALUE"""),3.38)</f>
        <v>3.38</v>
      </c>
      <c r="D450" s="6" t="str">
        <f ca="1">IFERROR(__xludf.DUMMYFUNCTION("""COMPUTED_VALUE"""),"Digital Tech")</f>
        <v>Digital Tech</v>
      </c>
      <c r="E450" s="6" t="str">
        <f ca="1">IFERROR(__xludf.DUMMYFUNCTION("""COMPUTED_VALUE"""),"Invite Next Year")</f>
        <v>Invite Next Year</v>
      </c>
      <c r="F450" s="6" t="e">
        <f t="shared" ca="1" si="1"/>
        <v>#NAME?</v>
      </c>
    </row>
    <row r="451" spans="1:6">
      <c r="A451" s="199">
        <f ca="1">IFERROR(__xludf.DUMMYFUNCTION("""COMPUTED_VALUE"""),44796)</f>
        <v>44796</v>
      </c>
      <c r="B451" s="6" t="str">
        <f ca="1">IFERROR(__xludf.DUMMYFUNCTION("""COMPUTED_VALUE"""),"Winvesta Ltd _2022")</f>
        <v>Winvesta Ltd _2022</v>
      </c>
      <c r="C451" s="6">
        <f ca="1">IFERROR(__xludf.DUMMYFUNCTION("""COMPUTED_VALUE"""),3.38)</f>
        <v>3.38</v>
      </c>
      <c r="D451" s="6" t="str">
        <f ca="1">IFERROR(__xludf.DUMMYFUNCTION("""COMPUTED_VALUE"""),"Digital Tech")</f>
        <v>Digital Tech</v>
      </c>
      <c r="E451" s="6" t="str">
        <f ca="1">IFERROR(__xludf.DUMMYFUNCTION("""COMPUTED_VALUE"""),"Invite Next Year")</f>
        <v>Invite Next Year</v>
      </c>
      <c r="F451" s="6" t="e">
        <f t="shared" ca="1" si="1"/>
        <v>#NAME?</v>
      </c>
    </row>
    <row r="452" spans="1:6">
      <c r="A452" s="199">
        <f ca="1">IFERROR(__xludf.DUMMYFUNCTION("""COMPUTED_VALUE"""),44776)</f>
        <v>44776</v>
      </c>
      <c r="B452" s="6" t="str">
        <f ca="1">IFERROR(__xludf.DUMMYFUNCTION("""COMPUTED_VALUE"""),"noktos _2022")</f>
        <v>noktos _2022</v>
      </c>
      <c r="C452" s="6">
        <f ca="1">IFERROR(__xludf.DUMMYFUNCTION("""COMPUTED_VALUE"""),3.25)</f>
        <v>3.25</v>
      </c>
      <c r="D452" s="6" t="str">
        <f ca="1">IFERROR(__xludf.DUMMYFUNCTION("""COMPUTED_VALUE"""),"Digital Tech")</f>
        <v>Digital Tech</v>
      </c>
      <c r="E452" s="6" t="str">
        <f ca="1">IFERROR(__xludf.DUMMYFUNCTION("""COMPUTED_VALUE"""),"Invite Next Year")</f>
        <v>Invite Next Year</v>
      </c>
      <c r="F452" s="6" t="e">
        <f t="shared" ca="1" si="1"/>
        <v>#NAME?</v>
      </c>
    </row>
    <row r="453" spans="1:6">
      <c r="A453" s="199">
        <f ca="1">IFERROR(__xludf.DUMMYFUNCTION("""COMPUTED_VALUE"""),44776)</f>
        <v>44776</v>
      </c>
      <c r="B453" s="6" t="str">
        <f ca="1">IFERROR(__xludf.DUMMYFUNCTION("""COMPUTED_VALUE"""),"AIWaysion, Inc. _2022")</f>
        <v>AIWaysion, Inc. _2022</v>
      </c>
      <c r="C453" s="6">
        <f ca="1">IFERROR(__xludf.DUMMYFUNCTION("""COMPUTED_VALUE"""),3.25)</f>
        <v>3.25</v>
      </c>
      <c r="D453" s="6" t="str">
        <f ca="1">IFERROR(__xludf.DUMMYFUNCTION("""COMPUTED_VALUE"""),"Digital Tech")</f>
        <v>Digital Tech</v>
      </c>
      <c r="E453" s="6" t="str">
        <f ca="1">IFERROR(__xludf.DUMMYFUNCTION("""COMPUTED_VALUE"""),"Revisit/ Cluster")</f>
        <v>Revisit/ Cluster</v>
      </c>
      <c r="F453" s="6" t="e">
        <f t="shared" ca="1" si="1"/>
        <v>#NAME?</v>
      </c>
    </row>
    <row r="454" spans="1:6">
      <c r="A454" s="199">
        <f ca="1">IFERROR(__xludf.DUMMYFUNCTION("""COMPUTED_VALUE"""),44782)</f>
        <v>44782</v>
      </c>
      <c r="B454" s="6" t="str">
        <f ca="1">IFERROR(__xludf.DUMMYFUNCTION("""COMPUTED_VALUE"""),"Seccuri _2022")</f>
        <v>Seccuri _2022</v>
      </c>
      <c r="C454" s="6">
        <f ca="1">IFERROR(__xludf.DUMMYFUNCTION("""COMPUTED_VALUE"""),3.25)</f>
        <v>3.25</v>
      </c>
      <c r="D454" s="6" t="str">
        <f ca="1">IFERROR(__xludf.DUMMYFUNCTION("""COMPUTED_VALUE"""),"Digital Tech")</f>
        <v>Digital Tech</v>
      </c>
      <c r="E454" s="6" t="str">
        <f ca="1">IFERROR(__xludf.DUMMYFUNCTION("""COMPUTED_VALUE"""),"Invite Next Year")</f>
        <v>Invite Next Year</v>
      </c>
      <c r="F454" s="6" t="e">
        <f t="shared" ca="1" si="1"/>
        <v>#NAME?</v>
      </c>
    </row>
    <row r="455" spans="1:6">
      <c r="A455" s="199">
        <f ca="1">IFERROR(__xludf.DUMMYFUNCTION("""COMPUTED_VALUE"""),44782)</f>
        <v>44782</v>
      </c>
      <c r="B455" s="6" t="str">
        <f ca="1">IFERROR(__xludf.DUMMYFUNCTION("""COMPUTED_VALUE"""),"Suquino, Inc _2022")</f>
        <v>Suquino, Inc _2022</v>
      </c>
      <c r="C455" s="6">
        <f ca="1">IFERROR(__xludf.DUMMYFUNCTION("""COMPUTED_VALUE"""),3.25)</f>
        <v>3.25</v>
      </c>
      <c r="D455" s="6" t="str">
        <f ca="1">IFERROR(__xludf.DUMMYFUNCTION("""COMPUTED_VALUE"""),"Life Sciences")</f>
        <v>Life Sciences</v>
      </c>
      <c r="E455" s="6" t="str">
        <f ca="1">IFERROR(__xludf.DUMMYFUNCTION("""COMPUTED_VALUE"""),"Invite Next Year")</f>
        <v>Invite Next Year</v>
      </c>
      <c r="F455" s="6" t="e">
        <f t="shared" ca="1" si="1"/>
        <v>#NAME?</v>
      </c>
    </row>
    <row r="456" spans="1:6">
      <c r="A456" s="199">
        <f ca="1">IFERROR(__xludf.DUMMYFUNCTION("""COMPUTED_VALUE"""),44782)</f>
        <v>44782</v>
      </c>
      <c r="B456" s="6" t="str">
        <f ca="1">IFERROR(__xludf.DUMMYFUNCTION("""COMPUTED_VALUE"""),"Biodesign Innovation Labs _2022")</f>
        <v>Biodesign Innovation Labs _2022</v>
      </c>
      <c r="C456" s="6">
        <f ca="1">IFERROR(__xludf.DUMMYFUNCTION("""COMPUTED_VALUE"""),3.25)</f>
        <v>3.25</v>
      </c>
      <c r="D456" s="6" t="str">
        <f ca="1">IFERROR(__xludf.DUMMYFUNCTION("""COMPUTED_VALUE"""),"Life Sciences")</f>
        <v>Life Sciences</v>
      </c>
      <c r="E456" s="6" t="str">
        <f ca="1">IFERROR(__xludf.DUMMYFUNCTION("""COMPUTED_VALUE"""),"Revisit/ Cluster")</f>
        <v>Revisit/ Cluster</v>
      </c>
      <c r="F456" s="6" t="e">
        <f t="shared" ca="1" si="1"/>
        <v>#NAME?</v>
      </c>
    </row>
    <row r="457" spans="1:6">
      <c r="A457" s="199">
        <f ca="1">IFERROR(__xludf.DUMMYFUNCTION("""COMPUTED_VALUE"""),44782)</f>
        <v>44782</v>
      </c>
      <c r="B457" s="6" t="str">
        <f ca="1">IFERROR(__xludf.DUMMYFUNCTION("""COMPUTED_VALUE"""),"Terra Carbon Development, Inc. _2022")</f>
        <v>Terra Carbon Development, Inc. _2022</v>
      </c>
      <c r="C457" s="6">
        <f ca="1">IFERROR(__xludf.DUMMYFUNCTION("""COMPUTED_VALUE"""),3.25)</f>
        <v>3.25</v>
      </c>
      <c r="D457" s="6" t="str">
        <f ca="1">IFERROR(__xludf.DUMMYFUNCTION("""COMPUTED_VALUE"""),"Deep Tech")</f>
        <v>Deep Tech</v>
      </c>
      <c r="E457" s="6" t="str">
        <f ca="1">IFERROR(__xludf.DUMMYFUNCTION("""COMPUTED_VALUE"""),"Invite Next Year")</f>
        <v>Invite Next Year</v>
      </c>
      <c r="F457" s="6" t="e">
        <f t="shared" ca="1" si="1"/>
        <v>#NAME?</v>
      </c>
    </row>
    <row r="458" spans="1:6">
      <c r="A458" s="199">
        <f ca="1">IFERROR(__xludf.DUMMYFUNCTION("""COMPUTED_VALUE"""),44782)</f>
        <v>44782</v>
      </c>
      <c r="B458" s="6" t="str">
        <f ca="1">IFERROR(__xludf.DUMMYFUNCTION("""COMPUTED_VALUE"""),"ABBY by GOGOTECH _2022")</f>
        <v>ABBY by GOGOTECH _2022</v>
      </c>
      <c r="C458" s="6">
        <f ca="1">IFERROR(__xludf.DUMMYFUNCTION("""COMPUTED_VALUE"""),3.25)</f>
        <v>3.25</v>
      </c>
      <c r="D458" s="6" t="str">
        <f ca="1">IFERROR(__xludf.DUMMYFUNCTION("""COMPUTED_VALUE"""),"Deep Tech")</f>
        <v>Deep Tech</v>
      </c>
      <c r="E458" s="6" t="str">
        <f ca="1">IFERROR(__xludf.DUMMYFUNCTION("""COMPUTED_VALUE"""),"Invite Next Year")</f>
        <v>Invite Next Year</v>
      </c>
      <c r="F458" s="6" t="e">
        <f t="shared" ca="1" si="1"/>
        <v>#NAME?</v>
      </c>
    </row>
    <row r="459" spans="1:6">
      <c r="A459" s="199">
        <f ca="1">IFERROR(__xludf.DUMMYFUNCTION("""COMPUTED_VALUE"""),44782)</f>
        <v>44782</v>
      </c>
      <c r="B459" s="6" t="str">
        <f ca="1">IFERROR(__xludf.DUMMYFUNCTION("""COMPUTED_VALUE"""),"Lifeline Robotics _2022")</f>
        <v>Lifeline Robotics _2022</v>
      </c>
      <c r="C459" s="6">
        <f ca="1">IFERROR(__xludf.DUMMYFUNCTION("""COMPUTED_VALUE"""),3.25)</f>
        <v>3.25</v>
      </c>
      <c r="D459" s="6" t="str">
        <f ca="1">IFERROR(__xludf.DUMMYFUNCTION("""COMPUTED_VALUE"""),"Life Sciences")</f>
        <v>Life Sciences</v>
      </c>
      <c r="E459" s="6" t="str">
        <f ca="1">IFERROR(__xludf.DUMMYFUNCTION("""COMPUTED_VALUE"""),"Revisit")</f>
        <v>Revisit</v>
      </c>
      <c r="F459" s="6" t="e">
        <f t="shared" ca="1" si="1"/>
        <v>#NAME?</v>
      </c>
    </row>
    <row r="460" spans="1:6">
      <c r="A460" s="199">
        <f ca="1">IFERROR(__xludf.DUMMYFUNCTION("""COMPUTED_VALUE"""),44782)</f>
        <v>44782</v>
      </c>
      <c r="B460" s="6" t="str">
        <f ca="1">IFERROR(__xludf.DUMMYFUNCTION("""COMPUTED_VALUE"""),"Veyond Metaverse, Inc _2022")</f>
        <v>Veyond Metaverse, Inc _2022</v>
      </c>
      <c r="C460" s="6">
        <f ca="1">IFERROR(__xludf.DUMMYFUNCTION("""COMPUTED_VALUE"""),3.25)</f>
        <v>3.25</v>
      </c>
      <c r="D460" s="6" t="str">
        <f ca="1">IFERROR(__xludf.DUMMYFUNCTION("""COMPUTED_VALUE"""),"Deep Tech")</f>
        <v>Deep Tech</v>
      </c>
      <c r="E460" s="6" t="str">
        <f ca="1">IFERROR(__xludf.DUMMYFUNCTION("""COMPUTED_VALUE"""),"Revisit")</f>
        <v>Revisit</v>
      </c>
      <c r="F460" s="6" t="e">
        <f t="shared" ca="1" si="1"/>
        <v>#NAME?</v>
      </c>
    </row>
    <row r="461" spans="1:6">
      <c r="A461" s="199">
        <f ca="1">IFERROR(__xludf.DUMMYFUNCTION("""COMPUTED_VALUE"""),44782)</f>
        <v>44782</v>
      </c>
      <c r="B461" s="6" t="str">
        <f ca="1">IFERROR(__xludf.DUMMYFUNCTION("""COMPUTED_VALUE"""),"Beacon Street Innovations _2022")</f>
        <v>Beacon Street Innovations _2022</v>
      </c>
      <c r="C461" s="6">
        <f ca="1">IFERROR(__xludf.DUMMYFUNCTION("""COMPUTED_VALUE"""),3.25)</f>
        <v>3.25</v>
      </c>
      <c r="D461" s="6" t="str">
        <f ca="1">IFERROR(__xludf.DUMMYFUNCTION("""COMPUTED_VALUE"""),"Deep Tech")</f>
        <v>Deep Tech</v>
      </c>
      <c r="E461" s="6" t="str">
        <f ca="1">IFERROR(__xludf.DUMMYFUNCTION("""COMPUTED_VALUE"""),"Invite Next Year")</f>
        <v>Invite Next Year</v>
      </c>
      <c r="F461" s="6" t="e">
        <f t="shared" ca="1" si="1"/>
        <v>#NAME?</v>
      </c>
    </row>
    <row r="462" spans="1:6">
      <c r="A462" s="199">
        <f ca="1">IFERROR(__xludf.DUMMYFUNCTION("""COMPUTED_VALUE"""),44782)</f>
        <v>44782</v>
      </c>
      <c r="B462" s="6" t="str">
        <f ca="1">IFERROR(__xludf.DUMMYFUNCTION("""COMPUTED_VALUE"""),"Coala Pay _2022")</f>
        <v>Coala Pay _2022</v>
      </c>
      <c r="C462" s="6">
        <f ca="1">IFERROR(__xludf.DUMMYFUNCTION("""COMPUTED_VALUE"""),3.25)</f>
        <v>3.25</v>
      </c>
      <c r="D462" s="6" t="str">
        <f ca="1">IFERROR(__xludf.DUMMYFUNCTION("""COMPUTED_VALUE"""),"Digital Tech")</f>
        <v>Digital Tech</v>
      </c>
      <c r="E462" s="6" t="str">
        <f ca="1">IFERROR(__xludf.DUMMYFUNCTION("""COMPUTED_VALUE"""),"Invite Next Year")</f>
        <v>Invite Next Year</v>
      </c>
      <c r="F462" s="6" t="e">
        <f t="shared" ca="1" si="1"/>
        <v>#NAME?</v>
      </c>
    </row>
    <row r="463" spans="1:6">
      <c r="A463" s="199">
        <f ca="1">IFERROR(__xludf.DUMMYFUNCTION("""COMPUTED_VALUE"""),44782)</f>
        <v>44782</v>
      </c>
      <c r="B463" s="6" t="str">
        <f ca="1">IFERROR(__xludf.DUMMYFUNCTION("""COMPUTED_VALUE"""),"Strayos _2022")</f>
        <v>Strayos _2022</v>
      </c>
      <c r="C463" s="6">
        <f ca="1">IFERROR(__xludf.DUMMYFUNCTION("""COMPUTED_VALUE"""),3.25)</f>
        <v>3.25</v>
      </c>
      <c r="D463" s="6" t="str">
        <f ca="1">IFERROR(__xludf.DUMMYFUNCTION("""COMPUTED_VALUE"""),"Deep Tech")</f>
        <v>Deep Tech</v>
      </c>
      <c r="E463" s="6" t="str">
        <f ca="1">IFERROR(__xludf.DUMMYFUNCTION("""COMPUTED_VALUE"""),"Revisit")</f>
        <v>Revisit</v>
      </c>
      <c r="F463" s="6" t="e">
        <f t="shared" ca="1" si="1"/>
        <v>#NAME?</v>
      </c>
    </row>
    <row r="464" spans="1:6">
      <c r="A464" s="199">
        <f ca="1">IFERROR(__xludf.DUMMYFUNCTION("""COMPUTED_VALUE"""),44782)</f>
        <v>44782</v>
      </c>
      <c r="B464" s="6" t="str">
        <f ca="1">IFERROR(__xludf.DUMMYFUNCTION("""COMPUTED_VALUE"""),"QuantumCat Co., Ltd. _2022")</f>
        <v>QuantumCat Co., Ltd. _2022</v>
      </c>
      <c r="C464" s="6">
        <f ca="1">IFERROR(__xludf.DUMMYFUNCTION("""COMPUTED_VALUE"""),3.25)</f>
        <v>3.25</v>
      </c>
      <c r="D464" s="6" t="str">
        <f ca="1">IFERROR(__xludf.DUMMYFUNCTION("""COMPUTED_VALUE"""),"Deep Tech")</f>
        <v>Deep Tech</v>
      </c>
      <c r="E464" s="6" t="str">
        <f ca="1">IFERROR(__xludf.DUMMYFUNCTION("""COMPUTED_VALUE"""),"Invite Next Year")</f>
        <v>Invite Next Year</v>
      </c>
      <c r="F464" s="6" t="e">
        <f t="shared" ca="1" si="1"/>
        <v>#NAME?</v>
      </c>
    </row>
    <row r="465" spans="1:6">
      <c r="A465" s="199">
        <f ca="1">IFERROR(__xludf.DUMMYFUNCTION("""COMPUTED_VALUE"""),44782)</f>
        <v>44782</v>
      </c>
      <c r="B465" s="6" t="str">
        <f ca="1">IFERROR(__xludf.DUMMYFUNCTION("""COMPUTED_VALUE"""),"AGICortex _2022")</f>
        <v>AGICortex _2022</v>
      </c>
      <c r="C465" s="6">
        <f ca="1">IFERROR(__xludf.DUMMYFUNCTION("""COMPUTED_VALUE"""),3.25)</f>
        <v>3.25</v>
      </c>
      <c r="D465" s="6" t="str">
        <f ca="1">IFERROR(__xludf.DUMMYFUNCTION("""COMPUTED_VALUE"""),"Digital Tech")</f>
        <v>Digital Tech</v>
      </c>
      <c r="E465" s="6" t="str">
        <f ca="1">IFERROR(__xludf.DUMMYFUNCTION("""COMPUTED_VALUE"""),"Invite Next Year")</f>
        <v>Invite Next Year</v>
      </c>
      <c r="F465" s="6" t="e">
        <f t="shared" ca="1" si="1"/>
        <v>#NAME?</v>
      </c>
    </row>
    <row r="466" spans="1:6">
      <c r="A466" s="199">
        <f ca="1">IFERROR(__xludf.DUMMYFUNCTION("""COMPUTED_VALUE"""),44784)</f>
        <v>44784</v>
      </c>
      <c r="B466" s="6" t="str">
        <f ca="1">IFERROR(__xludf.DUMMYFUNCTION("""COMPUTED_VALUE"""),"GetChkd Inc. _2022")</f>
        <v>GetChkd Inc. _2022</v>
      </c>
      <c r="C466" s="6">
        <f ca="1">IFERROR(__xludf.DUMMYFUNCTION("""COMPUTED_VALUE"""),3.25)</f>
        <v>3.25</v>
      </c>
      <c r="D466" s="6" t="str">
        <f ca="1">IFERROR(__xludf.DUMMYFUNCTION("""COMPUTED_VALUE"""),"Digital Tech")</f>
        <v>Digital Tech</v>
      </c>
      <c r="E466" s="6" t="str">
        <f ca="1">IFERROR(__xludf.DUMMYFUNCTION("""COMPUTED_VALUE"""),"Invite Next Year")</f>
        <v>Invite Next Year</v>
      </c>
      <c r="F466" s="6" t="e">
        <f t="shared" ca="1" si="1"/>
        <v>#NAME?</v>
      </c>
    </row>
    <row r="467" spans="1:6">
      <c r="A467" s="199">
        <f ca="1">IFERROR(__xludf.DUMMYFUNCTION("""COMPUTED_VALUE"""),44784)</f>
        <v>44784</v>
      </c>
      <c r="B467" s="6" t="str">
        <f ca="1">IFERROR(__xludf.DUMMYFUNCTION("""COMPUTED_VALUE"""),"Foundry Spatial _2022")</f>
        <v>Foundry Spatial _2022</v>
      </c>
      <c r="C467" s="6">
        <f ca="1">IFERROR(__xludf.DUMMYFUNCTION("""COMPUTED_VALUE"""),3.25)</f>
        <v>3.25</v>
      </c>
      <c r="D467" s="6" t="str">
        <f ca="1">IFERROR(__xludf.DUMMYFUNCTION("""COMPUTED_VALUE"""),"Digital Tech")</f>
        <v>Digital Tech</v>
      </c>
      <c r="E467" s="6" t="str">
        <f ca="1">IFERROR(__xludf.DUMMYFUNCTION("""COMPUTED_VALUE"""),"Invite Next Year")</f>
        <v>Invite Next Year</v>
      </c>
      <c r="F467" s="6" t="e">
        <f t="shared" ca="1" si="1"/>
        <v>#NAME?</v>
      </c>
    </row>
    <row r="468" spans="1:6">
      <c r="A468" s="199">
        <f ca="1">IFERROR(__xludf.DUMMYFUNCTION("""COMPUTED_VALUE"""),44784)</f>
        <v>44784</v>
      </c>
      <c r="B468" s="6" t="str">
        <f ca="1">IFERROR(__xludf.DUMMYFUNCTION("""COMPUTED_VALUE"""),"DrainBot  _2022")</f>
        <v>DrainBot  _2022</v>
      </c>
      <c r="C468" s="6">
        <f ca="1">IFERROR(__xludf.DUMMYFUNCTION("""COMPUTED_VALUE"""),3.25)</f>
        <v>3.25</v>
      </c>
      <c r="D468" s="6" t="str">
        <f ca="1">IFERROR(__xludf.DUMMYFUNCTION("""COMPUTED_VALUE"""),"Deep Tech")</f>
        <v>Deep Tech</v>
      </c>
      <c r="E468" s="6" t="str">
        <f ca="1">IFERROR(__xludf.DUMMYFUNCTION("""COMPUTED_VALUE"""),"Revisit")</f>
        <v>Revisit</v>
      </c>
      <c r="F468" s="6" t="e">
        <f t="shared" ca="1" si="1"/>
        <v>#NAME?</v>
      </c>
    </row>
    <row r="469" spans="1:6">
      <c r="A469" s="199">
        <f ca="1">IFERROR(__xludf.DUMMYFUNCTION("""COMPUTED_VALUE"""),44784)</f>
        <v>44784</v>
      </c>
      <c r="B469" s="6" t="str">
        <f ca="1">IFERROR(__xludf.DUMMYFUNCTION("""COMPUTED_VALUE"""),"Orbify, Inc. _2022")</f>
        <v>Orbify, Inc. _2022</v>
      </c>
      <c r="C469" s="6">
        <f ca="1">IFERROR(__xludf.DUMMYFUNCTION("""COMPUTED_VALUE"""),3.25)</f>
        <v>3.25</v>
      </c>
      <c r="D469" s="6" t="str">
        <f ca="1">IFERROR(__xludf.DUMMYFUNCTION("""COMPUTED_VALUE"""),"Deep Tech")</f>
        <v>Deep Tech</v>
      </c>
      <c r="E469" s="6" t="str">
        <f ca="1">IFERROR(__xludf.DUMMYFUNCTION("""COMPUTED_VALUE"""),"Invite Next Year")</f>
        <v>Invite Next Year</v>
      </c>
      <c r="F469" s="6" t="e">
        <f t="shared" ca="1" si="1"/>
        <v>#NAME?</v>
      </c>
    </row>
    <row r="470" spans="1:6">
      <c r="A470" s="199">
        <f ca="1">IFERROR(__xludf.DUMMYFUNCTION("""COMPUTED_VALUE"""),44784)</f>
        <v>44784</v>
      </c>
      <c r="B470" s="6" t="str">
        <f ca="1">IFERROR(__xludf.DUMMYFUNCTION("""COMPUTED_VALUE"""),"Olympian Motors _2022")</f>
        <v>Olympian Motors _2022</v>
      </c>
      <c r="C470" s="6">
        <f ca="1">IFERROR(__xludf.DUMMYFUNCTION("""COMPUTED_VALUE"""),3.25)</f>
        <v>3.25</v>
      </c>
      <c r="D470" s="6" t="str">
        <f ca="1">IFERROR(__xludf.DUMMYFUNCTION("""COMPUTED_VALUE"""),"Deep Tech")</f>
        <v>Deep Tech</v>
      </c>
      <c r="E470" s="6" t="str">
        <f ca="1">IFERROR(__xludf.DUMMYFUNCTION("""COMPUTED_VALUE"""),"Invite")</f>
        <v>Invite</v>
      </c>
      <c r="F470" s="6" t="e">
        <f t="shared" ca="1" si="1"/>
        <v>#NAME?</v>
      </c>
    </row>
    <row r="471" spans="1:6">
      <c r="A471" s="199">
        <f ca="1">IFERROR(__xludf.DUMMYFUNCTION("""COMPUTED_VALUE"""),44784)</f>
        <v>44784</v>
      </c>
      <c r="B471" s="6" t="str">
        <f ca="1">IFERROR(__xludf.DUMMYFUNCTION("""COMPUTED_VALUE"""),"Nordetect _2022")</f>
        <v>Nordetect _2022</v>
      </c>
      <c r="C471" s="6">
        <f ca="1">IFERROR(__xludf.DUMMYFUNCTION("""COMPUTED_VALUE"""),3.25)</f>
        <v>3.25</v>
      </c>
      <c r="D471" s="6" t="str">
        <f ca="1">IFERROR(__xludf.DUMMYFUNCTION("""COMPUTED_VALUE"""),"Deep Tech")</f>
        <v>Deep Tech</v>
      </c>
      <c r="E471" s="6" t="str">
        <f ca="1">IFERROR(__xludf.DUMMYFUNCTION("""COMPUTED_VALUE"""),"Invite Next Year")</f>
        <v>Invite Next Year</v>
      </c>
      <c r="F471" s="6" t="e">
        <f t="shared" ca="1" si="1"/>
        <v>#NAME?</v>
      </c>
    </row>
    <row r="472" spans="1:6">
      <c r="A472" s="199">
        <f ca="1">IFERROR(__xludf.DUMMYFUNCTION("""COMPUTED_VALUE"""),44784)</f>
        <v>44784</v>
      </c>
      <c r="B472" s="6" t="str">
        <f ca="1">IFERROR(__xludf.DUMMYFUNCTION("""COMPUTED_VALUE"""),"CO2 Lock Corp.  _2022")</f>
        <v>CO2 Lock Corp.  _2022</v>
      </c>
      <c r="C472" s="6">
        <f ca="1">IFERROR(__xludf.DUMMYFUNCTION("""COMPUTED_VALUE"""),3.25)</f>
        <v>3.25</v>
      </c>
      <c r="D472" s="6" t="str">
        <f ca="1">IFERROR(__xludf.DUMMYFUNCTION("""COMPUTED_VALUE"""),"Deep Tech")</f>
        <v>Deep Tech</v>
      </c>
      <c r="E472" s="6" t="str">
        <f ca="1">IFERROR(__xludf.DUMMYFUNCTION("""COMPUTED_VALUE"""),"Invite Next Year")</f>
        <v>Invite Next Year</v>
      </c>
      <c r="F472" s="6" t="e">
        <f t="shared" ca="1" si="1"/>
        <v>#NAME?</v>
      </c>
    </row>
    <row r="473" spans="1:6">
      <c r="A473" s="199">
        <f ca="1">IFERROR(__xludf.DUMMYFUNCTION("""COMPUTED_VALUE"""),44784)</f>
        <v>44784</v>
      </c>
      <c r="B473" s="6" t="str">
        <f ca="1">IFERROR(__xludf.DUMMYFUNCTION("""COMPUTED_VALUE"""),"L-Infinity Labs, Inc. _2022")</f>
        <v>L-Infinity Labs, Inc. _2022</v>
      </c>
      <c r="C473" s="6">
        <f ca="1">IFERROR(__xludf.DUMMYFUNCTION("""COMPUTED_VALUE"""),3.25)</f>
        <v>3.25</v>
      </c>
      <c r="D473" s="6" t="str">
        <f ca="1">IFERROR(__xludf.DUMMYFUNCTION("""COMPUTED_VALUE"""),"Digital Tech")</f>
        <v>Digital Tech</v>
      </c>
      <c r="E473" s="6" t="str">
        <f ca="1">IFERROR(__xludf.DUMMYFUNCTION("""COMPUTED_VALUE"""),"Invite Next Year")</f>
        <v>Invite Next Year</v>
      </c>
      <c r="F473" s="6" t="e">
        <f t="shared" ca="1" si="1"/>
        <v>#NAME?</v>
      </c>
    </row>
    <row r="474" spans="1:6">
      <c r="A474" s="199">
        <f ca="1">IFERROR(__xludf.DUMMYFUNCTION("""COMPUTED_VALUE"""),44784)</f>
        <v>44784</v>
      </c>
      <c r="B474" s="6" t="str">
        <f ca="1">IFERROR(__xludf.DUMMYFUNCTION("""COMPUTED_VALUE"""),"Vinco _2022")</f>
        <v>Vinco _2022</v>
      </c>
      <c r="C474" s="6">
        <f ca="1">IFERROR(__xludf.DUMMYFUNCTION("""COMPUTED_VALUE"""),3.25)</f>
        <v>3.25</v>
      </c>
      <c r="D474" s="6" t="str">
        <f ca="1">IFERROR(__xludf.DUMMYFUNCTION("""COMPUTED_VALUE"""),"Digital Tech")</f>
        <v>Digital Tech</v>
      </c>
      <c r="E474" s="6" t="str">
        <f ca="1">IFERROR(__xludf.DUMMYFUNCTION("""COMPUTED_VALUE"""),"Invite Next Year")</f>
        <v>Invite Next Year</v>
      </c>
      <c r="F474" s="6" t="e">
        <f t="shared" ca="1" si="1"/>
        <v>#NAME?</v>
      </c>
    </row>
    <row r="475" spans="1:6">
      <c r="A475" s="199">
        <f ca="1">IFERROR(__xludf.DUMMYFUNCTION("""COMPUTED_VALUE"""),44784)</f>
        <v>44784</v>
      </c>
      <c r="B475" s="6" t="str">
        <f ca="1">IFERROR(__xludf.DUMMYFUNCTION("""COMPUTED_VALUE"""),"Folks Finance _2022")</f>
        <v>Folks Finance _2022</v>
      </c>
      <c r="C475" s="6">
        <f ca="1">IFERROR(__xludf.DUMMYFUNCTION("""COMPUTED_VALUE"""),3.25)</f>
        <v>3.25</v>
      </c>
      <c r="D475" s="6" t="str">
        <f ca="1">IFERROR(__xludf.DUMMYFUNCTION("""COMPUTED_VALUE"""),"Digital Tech")</f>
        <v>Digital Tech</v>
      </c>
      <c r="E475" s="6" t="str">
        <f ca="1">IFERROR(__xludf.DUMMYFUNCTION("""COMPUTED_VALUE"""),"Invite Next Year")</f>
        <v>Invite Next Year</v>
      </c>
      <c r="F475" s="6" t="e">
        <f t="shared" ca="1" si="1"/>
        <v>#NAME?</v>
      </c>
    </row>
    <row r="476" spans="1:6">
      <c r="A476" s="199">
        <f ca="1">IFERROR(__xludf.DUMMYFUNCTION("""COMPUTED_VALUE"""),44789)</f>
        <v>44789</v>
      </c>
      <c r="B476" s="6" t="str">
        <f ca="1">IFERROR(__xludf.DUMMYFUNCTION("""COMPUTED_VALUE"""),"Niura _2022")</f>
        <v>Niura _2022</v>
      </c>
      <c r="C476" s="6">
        <f ca="1">IFERROR(__xludf.DUMMYFUNCTION("""COMPUTED_VALUE"""),3.25)</f>
        <v>3.25</v>
      </c>
      <c r="D476" s="6" t="str">
        <f ca="1">IFERROR(__xludf.DUMMYFUNCTION("""COMPUTED_VALUE"""),"Deep Tech")</f>
        <v>Deep Tech</v>
      </c>
      <c r="E476" s="6" t="str">
        <f ca="1">IFERROR(__xludf.DUMMYFUNCTION("""COMPUTED_VALUE"""),"Special Reject")</f>
        <v>Special Reject</v>
      </c>
      <c r="F476" s="6" t="e">
        <f t="shared" ca="1" si="1"/>
        <v>#NAME?</v>
      </c>
    </row>
    <row r="477" spans="1:6">
      <c r="A477" s="199">
        <f ca="1">IFERROR(__xludf.DUMMYFUNCTION("""COMPUTED_VALUE"""),44789)</f>
        <v>44789</v>
      </c>
      <c r="B477" s="6" t="str">
        <f ca="1">IFERROR(__xludf.DUMMYFUNCTION("""COMPUTED_VALUE"""),"Autonopia Technologies Inc. _2022")</f>
        <v>Autonopia Technologies Inc. _2022</v>
      </c>
      <c r="C477" s="6">
        <f ca="1">IFERROR(__xludf.DUMMYFUNCTION("""COMPUTED_VALUE"""),3.25)</f>
        <v>3.25</v>
      </c>
      <c r="D477" s="6" t="str">
        <f ca="1">IFERROR(__xludf.DUMMYFUNCTION("""COMPUTED_VALUE"""),"Deep Tech")</f>
        <v>Deep Tech</v>
      </c>
      <c r="E477" s="6" t="str">
        <f ca="1">IFERROR(__xludf.DUMMYFUNCTION("""COMPUTED_VALUE"""),"Invite Next Year")</f>
        <v>Invite Next Year</v>
      </c>
      <c r="F477" s="6" t="e">
        <f t="shared" ca="1" si="1"/>
        <v>#NAME?</v>
      </c>
    </row>
    <row r="478" spans="1:6">
      <c r="A478" s="199">
        <f ca="1">IFERROR(__xludf.DUMMYFUNCTION("""COMPUTED_VALUE"""),44789)</f>
        <v>44789</v>
      </c>
      <c r="B478" s="6" t="str">
        <f ca="1">IFERROR(__xludf.DUMMYFUNCTION("""COMPUTED_VALUE"""),"phelas GmbH _2022")</f>
        <v>phelas GmbH _2022</v>
      </c>
      <c r="C478" s="6">
        <f ca="1">IFERROR(__xludf.DUMMYFUNCTION("""COMPUTED_VALUE"""),3.25)</f>
        <v>3.25</v>
      </c>
      <c r="D478" s="6" t="str">
        <f ca="1">IFERROR(__xludf.DUMMYFUNCTION("""COMPUTED_VALUE"""),"Deep Tech")</f>
        <v>Deep Tech</v>
      </c>
      <c r="E478" s="6" t="str">
        <f ca="1">IFERROR(__xludf.DUMMYFUNCTION("""COMPUTED_VALUE"""),"Invite Next Year")</f>
        <v>Invite Next Year</v>
      </c>
      <c r="F478" s="6" t="e">
        <f t="shared" ca="1" si="1"/>
        <v>#NAME?</v>
      </c>
    </row>
    <row r="479" spans="1:6">
      <c r="A479" s="199">
        <f ca="1">IFERROR(__xludf.DUMMYFUNCTION("""COMPUTED_VALUE"""),44789)</f>
        <v>44789</v>
      </c>
      <c r="B479" s="6" t="str">
        <f ca="1">IFERROR(__xludf.DUMMYFUNCTION("""COMPUTED_VALUE"""),"BoxyHQ _2022")</f>
        <v>BoxyHQ _2022</v>
      </c>
      <c r="C479" s="6">
        <f ca="1">IFERROR(__xludf.DUMMYFUNCTION("""COMPUTED_VALUE"""),3.25)</f>
        <v>3.25</v>
      </c>
      <c r="D479" s="6" t="str">
        <f ca="1">IFERROR(__xludf.DUMMYFUNCTION("""COMPUTED_VALUE"""),"Digital Tech")</f>
        <v>Digital Tech</v>
      </c>
      <c r="E479" s="6" t="str">
        <f ca="1">IFERROR(__xludf.DUMMYFUNCTION("""COMPUTED_VALUE"""),"Invite Next Year")</f>
        <v>Invite Next Year</v>
      </c>
      <c r="F479" s="6" t="e">
        <f t="shared" ca="1" si="1"/>
        <v>#NAME?</v>
      </c>
    </row>
    <row r="480" spans="1:6">
      <c r="A480" s="199">
        <f ca="1">IFERROR(__xludf.DUMMYFUNCTION("""COMPUTED_VALUE"""),44789)</f>
        <v>44789</v>
      </c>
      <c r="B480" s="6" t="str">
        <f ca="1">IFERROR(__xludf.DUMMYFUNCTION("""COMPUTED_VALUE"""),"FirstWork LLC  _2022")</f>
        <v>FirstWork LLC  _2022</v>
      </c>
      <c r="C480" s="6">
        <f ca="1">IFERROR(__xludf.DUMMYFUNCTION("""COMPUTED_VALUE"""),3.25)</f>
        <v>3.25</v>
      </c>
      <c r="D480" s="6" t="str">
        <f ca="1">IFERROR(__xludf.DUMMYFUNCTION("""COMPUTED_VALUE"""),"Digital Tech")</f>
        <v>Digital Tech</v>
      </c>
      <c r="E480" s="6" t="str">
        <f ca="1">IFERROR(__xludf.DUMMYFUNCTION("""COMPUTED_VALUE"""),"Invite Next Year")</f>
        <v>Invite Next Year</v>
      </c>
      <c r="F480" s="6" t="e">
        <f t="shared" ca="1" si="1"/>
        <v>#NAME?</v>
      </c>
    </row>
    <row r="481" spans="1:6">
      <c r="A481" s="199">
        <f ca="1">IFERROR(__xludf.DUMMYFUNCTION("""COMPUTED_VALUE"""),44789)</f>
        <v>44789</v>
      </c>
      <c r="B481" s="6" t="str">
        <f ca="1">IFERROR(__xludf.DUMMYFUNCTION("""COMPUTED_VALUE"""),"Revolute Robotics _2022")</f>
        <v>Revolute Robotics _2022</v>
      </c>
      <c r="C481" s="6">
        <f ca="1">IFERROR(__xludf.DUMMYFUNCTION("""COMPUTED_VALUE"""),3.25)</f>
        <v>3.25</v>
      </c>
      <c r="D481" s="6" t="str">
        <f ca="1">IFERROR(__xludf.DUMMYFUNCTION("""COMPUTED_VALUE"""),"Deep Tech")</f>
        <v>Deep Tech</v>
      </c>
      <c r="E481" s="6" t="str">
        <f ca="1">IFERROR(__xludf.DUMMYFUNCTION("""COMPUTED_VALUE"""),"Invite Next Year")</f>
        <v>Invite Next Year</v>
      </c>
      <c r="F481" s="6" t="e">
        <f t="shared" ca="1" si="1"/>
        <v>#NAME?</v>
      </c>
    </row>
    <row r="482" spans="1:6">
      <c r="A482" s="199">
        <f ca="1">IFERROR(__xludf.DUMMYFUNCTION("""COMPUTED_VALUE"""),44789)</f>
        <v>44789</v>
      </c>
      <c r="B482" s="6" t="str">
        <f ca="1">IFERROR(__xludf.DUMMYFUNCTION("""COMPUTED_VALUE"""),"NUADA _2022")</f>
        <v>NUADA _2022</v>
      </c>
      <c r="C482" s="6">
        <f ca="1">IFERROR(__xludf.DUMMYFUNCTION("""COMPUTED_VALUE"""),3.25)</f>
        <v>3.25</v>
      </c>
      <c r="D482" s="6" t="str">
        <f ca="1">IFERROR(__xludf.DUMMYFUNCTION("""COMPUTED_VALUE"""),"Deep Tech")</f>
        <v>Deep Tech</v>
      </c>
      <c r="E482" s="6" t="str">
        <f ca="1">IFERROR(__xludf.DUMMYFUNCTION("""COMPUTED_VALUE"""),"Invite Next Year")</f>
        <v>Invite Next Year</v>
      </c>
      <c r="F482" s="6" t="e">
        <f t="shared" ca="1" si="1"/>
        <v>#NAME?</v>
      </c>
    </row>
    <row r="483" spans="1:6">
      <c r="A483" s="199">
        <f ca="1">IFERROR(__xludf.DUMMYFUNCTION("""COMPUTED_VALUE"""),44789)</f>
        <v>44789</v>
      </c>
      <c r="B483" s="6" t="str">
        <f ca="1">IFERROR(__xludf.DUMMYFUNCTION("""COMPUTED_VALUE"""),"Upword _2022")</f>
        <v>Upword _2022</v>
      </c>
      <c r="C483" s="6">
        <f ca="1">IFERROR(__xludf.DUMMYFUNCTION("""COMPUTED_VALUE"""),3.25)</f>
        <v>3.25</v>
      </c>
      <c r="D483" s="6" t="str">
        <f ca="1">IFERROR(__xludf.DUMMYFUNCTION("""COMPUTED_VALUE"""),"Deep Tech")</f>
        <v>Deep Tech</v>
      </c>
      <c r="E483" s="6" t="str">
        <f ca="1">IFERROR(__xludf.DUMMYFUNCTION("""COMPUTED_VALUE"""),"Invite Next Year")</f>
        <v>Invite Next Year</v>
      </c>
      <c r="F483" s="6" t="e">
        <f t="shared" ca="1" si="1"/>
        <v>#NAME?</v>
      </c>
    </row>
    <row r="484" spans="1:6">
      <c r="A484" s="199">
        <f ca="1">IFERROR(__xludf.DUMMYFUNCTION("""COMPUTED_VALUE"""),44789)</f>
        <v>44789</v>
      </c>
      <c r="B484" s="6" t="str">
        <f ca="1">IFERROR(__xludf.DUMMYFUNCTION("""COMPUTED_VALUE"""),"GlucoActive _2022")</f>
        <v>GlucoActive _2022</v>
      </c>
      <c r="C484" s="6">
        <f ca="1">IFERROR(__xludf.DUMMYFUNCTION("""COMPUTED_VALUE"""),3.25)</f>
        <v>3.25</v>
      </c>
      <c r="D484" s="6" t="str">
        <f ca="1">IFERROR(__xludf.DUMMYFUNCTION("""COMPUTED_VALUE"""),"Deep Tech")</f>
        <v>Deep Tech</v>
      </c>
      <c r="E484" s="6" t="str">
        <f ca="1">IFERROR(__xludf.DUMMYFUNCTION("""COMPUTED_VALUE"""),"Invite Next Year")</f>
        <v>Invite Next Year</v>
      </c>
      <c r="F484" s="6" t="e">
        <f t="shared" ca="1" si="1"/>
        <v>#NAME?</v>
      </c>
    </row>
    <row r="485" spans="1:6">
      <c r="A485" s="199">
        <f ca="1">IFERROR(__xludf.DUMMYFUNCTION("""COMPUTED_VALUE"""),44789)</f>
        <v>44789</v>
      </c>
      <c r="B485" s="6" t="str">
        <f ca="1">IFERROR(__xludf.DUMMYFUNCTION("""COMPUTED_VALUE"""),"Genomines _2022")</f>
        <v>Genomines _2022</v>
      </c>
      <c r="C485" s="6">
        <f ca="1">IFERROR(__xludf.DUMMYFUNCTION("""COMPUTED_VALUE"""),3.25)</f>
        <v>3.25</v>
      </c>
      <c r="D485" s="6" t="str">
        <f ca="1">IFERROR(__xludf.DUMMYFUNCTION("""COMPUTED_VALUE"""),"Deep Tech")</f>
        <v>Deep Tech</v>
      </c>
      <c r="E485" s="6" t="str">
        <f ca="1">IFERROR(__xludf.DUMMYFUNCTION("""COMPUTED_VALUE"""),"Invite Next Year")</f>
        <v>Invite Next Year</v>
      </c>
      <c r="F485" s="6" t="e">
        <f t="shared" ca="1" si="1"/>
        <v>#NAME?</v>
      </c>
    </row>
    <row r="486" spans="1:6">
      <c r="A486" s="199">
        <f ca="1">IFERROR(__xludf.DUMMYFUNCTION("""COMPUTED_VALUE"""),44789)</f>
        <v>44789</v>
      </c>
      <c r="B486" s="6" t="str">
        <f ca="1">IFERROR(__xludf.DUMMYFUNCTION("""COMPUTED_VALUE"""),"Nat4Bio _2022")</f>
        <v>Nat4Bio _2022</v>
      </c>
      <c r="C486" s="6">
        <f ca="1">IFERROR(__xludf.DUMMYFUNCTION("""COMPUTED_VALUE"""),3.25)</f>
        <v>3.25</v>
      </c>
      <c r="D486" s="6" t="str">
        <f ca="1">IFERROR(__xludf.DUMMYFUNCTION("""COMPUTED_VALUE"""),"Deep Tech")</f>
        <v>Deep Tech</v>
      </c>
      <c r="E486" s="6" t="str">
        <f ca="1">IFERROR(__xludf.DUMMYFUNCTION("""COMPUTED_VALUE"""),"Invite Next Year")</f>
        <v>Invite Next Year</v>
      </c>
      <c r="F486" s="6" t="e">
        <f t="shared" ca="1" si="1"/>
        <v>#NAME?</v>
      </c>
    </row>
    <row r="487" spans="1:6">
      <c r="A487" s="199">
        <f ca="1">IFERROR(__xludf.DUMMYFUNCTION("""COMPUTED_VALUE"""),44789)</f>
        <v>44789</v>
      </c>
      <c r="B487" s="6" t="str">
        <f ca="1">IFERROR(__xludf.DUMMYFUNCTION("""COMPUTED_VALUE"""),"Educai.io _2022")</f>
        <v>Educai.io _2022</v>
      </c>
      <c r="C487" s="6">
        <f ca="1">IFERROR(__xludf.DUMMYFUNCTION("""COMPUTED_VALUE"""),3.25)</f>
        <v>3.25</v>
      </c>
      <c r="D487" s="6" t="str">
        <f ca="1">IFERROR(__xludf.DUMMYFUNCTION("""COMPUTED_VALUE"""),"Digital Tech")</f>
        <v>Digital Tech</v>
      </c>
      <c r="E487" s="6" t="str">
        <f ca="1">IFERROR(__xludf.DUMMYFUNCTION("""COMPUTED_VALUE"""),"Invite Next Year")</f>
        <v>Invite Next Year</v>
      </c>
      <c r="F487" s="6" t="e">
        <f t="shared" ca="1" si="1"/>
        <v>#NAME?</v>
      </c>
    </row>
    <row r="488" spans="1:6">
      <c r="A488" s="199">
        <f ca="1">IFERROR(__xludf.DUMMYFUNCTION("""COMPUTED_VALUE"""),44789)</f>
        <v>44789</v>
      </c>
      <c r="B488" s="6" t="str">
        <f ca="1">IFERROR(__xludf.DUMMYFUNCTION("""COMPUTED_VALUE"""),"DLTEO GmbH _2022")</f>
        <v>DLTEO GmbH _2022</v>
      </c>
      <c r="C488" s="6">
        <f ca="1">IFERROR(__xludf.DUMMYFUNCTION("""COMPUTED_VALUE"""),3.25)</f>
        <v>3.25</v>
      </c>
      <c r="D488" s="6" t="str">
        <f ca="1">IFERROR(__xludf.DUMMYFUNCTION("""COMPUTED_VALUE"""),"Digital Tech")</f>
        <v>Digital Tech</v>
      </c>
      <c r="E488" s="6" t="str">
        <f ca="1">IFERROR(__xludf.DUMMYFUNCTION("""COMPUTED_VALUE"""),"Invite Next Year")</f>
        <v>Invite Next Year</v>
      </c>
      <c r="F488" s="6" t="e">
        <f t="shared" ca="1" si="1"/>
        <v>#NAME?</v>
      </c>
    </row>
    <row r="489" spans="1:6">
      <c r="A489" s="199">
        <f ca="1">IFERROR(__xludf.DUMMYFUNCTION("""COMPUTED_VALUE"""),44789)</f>
        <v>44789</v>
      </c>
      <c r="B489" s="6" t="str">
        <f ca="1">IFERROR(__xludf.DUMMYFUNCTION("""COMPUTED_VALUE"""),"Parverio Inc,. _2022")</f>
        <v>Parverio Inc,. _2022</v>
      </c>
      <c r="C489" s="6">
        <f ca="1">IFERROR(__xludf.DUMMYFUNCTION("""COMPUTED_VALUE"""),3.25)</f>
        <v>3.25</v>
      </c>
      <c r="D489" s="6" t="str">
        <f ca="1">IFERROR(__xludf.DUMMYFUNCTION("""COMPUTED_VALUE"""),"Digital Tech")</f>
        <v>Digital Tech</v>
      </c>
      <c r="E489" s="6" t="str">
        <f ca="1">IFERROR(__xludf.DUMMYFUNCTION("""COMPUTED_VALUE"""),"Invite Next Year")</f>
        <v>Invite Next Year</v>
      </c>
      <c r="F489" s="6" t="e">
        <f t="shared" ca="1" si="1"/>
        <v>#NAME?</v>
      </c>
    </row>
    <row r="490" spans="1:6">
      <c r="A490" s="199">
        <f ca="1">IFERROR(__xludf.DUMMYFUNCTION("""COMPUTED_VALUE"""),44789)</f>
        <v>44789</v>
      </c>
      <c r="B490" s="6" t="str">
        <f ca="1">IFERROR(__xludf.DUMMYFUNCTION("""COMPUTED_VALUE"""),"Wild Coast Biologics Inc _2022")</f>
        <v>Wild Coast Biologics Inc _2022</v>
      </c>
      <c r="C490" s="6">
        <f ca="1">IFERROR(__xludf.DUMMYFUNCTION("""COMPUTED_VALUE"""),3.25)</f>
        <v>3.25</v>
      </c>
      <c r="D490" s="6" t="str">
        <f ca="1">IFERROR(__xludf.DUMMYFUNCTION("""COMPUTED_VALUE"""),"Life Sciences")</f>
        <v>Life Sciences</v>
      </c>
      <c r="E490" s="6" t="str">
        <f ca="1">IFERROR(__xludf.DUMMYFUNCTION("""COMPUTED_VALUE"""),"Invite Next Year")</f>
        <v>Invite Next Year</v>
      </c>
      <c r="F490" s="6" t="e">
        <f t="shared" ca="1" si="1"/>
        <v>#NAME?</v>
      </c>
    </row>
    <row r="491" spans="1:6">
      <c r="A491" s="199">
        <f ca="1">IFERROR(__xludf.DUMMYFUNCTION("""COMPUTED_VALUE"""),44789)</f>
        <v>44789</v>
      </c>
      <c r="B491" s="6" t="str">
        <f ca="1">IFERROR(__xludf.DUMMYFUNCTION("""COMPUTED_VALUE"""),"Aerobiosys Innovations Private Limited _2022")</f>
        <v>Aerobiosys Innovations Private Limited _2022</v>
      </c>
      <c r="C491" s="6">
        <f ca="1">IFERROR(__xludf.DUMMYFUNCTION("""COMPUTED_VALUE"""),3.25)</f>
        <v>3.25</v>
      </c>
      <c r="D491" s="6" t="str">
        <f ca="1">IFERROR(__xludf.DUMMYFUNCTION("""COMPUTED_VALUE"""),"Digital Tech")</f>
        <v>Digital Tech</v>
      </c>
      <c r="E491" s="6" t="str">
        <f ca="1">IFERROR(__xludf.DUMMYFUNCTION("""COMPUTED_VALUE"""),"Invite Next Year")</f>
        <v>Invite Next Year</v>
      </c>
      <c r="F491" s="6" t="e">
        <f t="shared" ca="1" si="1"/>
        <v>#NAME?</v>
      </c>
    </row>
    <row r="492" spans="1:6">
      <c r="A492" s="199">
        <f ca="1">IFERROR(__xludf.DUMMYFUNCTION("""COMPUTED_VALUE"""),44789)</f>
        <v>44789</v>
      </c>
      <c r="B492" s="6" t="str">
        <f ca="1">IFERROR(__xludf.DUMMYFUNCTION("""COMPUTED_VALUE"""),"Clearword _2022")</f>
        <v>Clearword _2022</v>
      </c>
      <c r="C492" s="6">
        <f ca="1">IFERROR(__xludf.DUMMYFUNCTION("""COMPUTED_VALUE"""),3.25)</f>
        <v>3.25</v>
      </c>
      <c r="D492" s="6" t="str">
        <f ca="1">IFERROR(__xludf.DUMMYFUNCTION("""COMPUTED_VALUE"""),"Deep Tech")</f>
        <v>Deep Tech</v>
      </c>
      <c r="E492" s="6" t="str">
        <f ca="1">IFERROR(__xludf.DUMMYFUNCTION("""COMPUTED_VALUE"""),"Invite Next Year")</f>
        <v>Invite Next Year</v>
      </c>
      <c r="F492" s="6" t="e">
        <f t="shared" ca="1" si="1"/>
        <v>#NAME?</v>
      </c>
    </row>
    <row r="493" spans="1:6">
      <c r="A493" s="199">
        <f ca="1">IFERROR(__xludf.DUMMYFUNCTION("""COMPUTED_VALUE"""),44789)</f>
        <v>44789</v>
      </c>
      <c r="B493" s="6" t="str">
        <f ca="1">IFERROR(__xludf.DUMMYFUNCTION("""COMPUTED_VALUE"""),"RABOT Charge _2022")</f>
        <v>RABOT Charge _2022</v>
      </c>
      <c r="C493" s="6">
        <f ca="1">IFERROR(__xludf.DUMMYFUNCTION("""COMPUTED_VALUE"""),3.25)</f>
        <v>3.25</v>
      </c>
      <c r="D493" s="6" t="str">
        <f ca="1">IFERROR(__xludf.DUMMYFUNCTION("""COMPUTED_VALUE"""),"Digital Tech")</f>
        <v>Digital Tech</v>
      </c>
      <c r="E493" s="6" t="str">
        <f ca="1">IFERROR(__xludf.DUMMYFUNCTION("""COMPUTED_VALUE"""),"Invite Next Year")</f>
        <v>Invite Next Year</v>
      </c>
      <c r="F493" s="6" t="e">
        <f t="shared" ca="1" si="1"/>
        <v>#NAME?</v>
      </c>
    </row>
    <row r="494" spans="1:6">
      <c r="A494" s="199">
        <f ca="1">IFERROR(__xludf.DUMMYFUNCTION("""COMPUTED_VALUE"""),44789)</f>
        <v>44789</v>
      </c>
      <c r="B494" s="6" t="str">
        <f ca="1">IFERROR(__xludf.DUMMYFUNCTION("""COMPUTED_VALUE"""),"Energao, Inc. _2022")</f>
        <v>Energao, Inc. _2022</v>
      </c>
      <c r="C494" s="6">
        <f ca="1">IFERROR(__xludf.DUMMYFUNCTION("""COMPUTED_VALUE"""),3.25)</f>
        <v>3.25</v>
      </c>
      <c r="D494" s="6" t="str">
        <f ca="1">IFERROR(__xludf.DUMMYFUNCTION("""COMPUTED_VALUE"""),"Deep Tech")</f>
        <v>Deep Tech</v>
      </c>
      <c r="E494" s="6" t="str">
        <f ca="1">IFERROR(__xludf.DUMMYFUNCTION("""COMPUTED_VALUE"""),"Invite Next Year")</f>
        <v>Invite Next Year</v>
      </c>
      <c r="F494" s="6" t="e">
        <f t="shared" ca="1" si="1"/>
        <v>#NAME?</v>
      </c>
    </row>
    <row r="495" spans="1:6">
      <c r="A495" s="199">
        <f ca="1">IFERROR(__xludf.DUMMYFUNCTION("""COMPUTED_VALUE"""),44789)</f>
        <v>44789</v>
      </c>
      <c r="B495" s="6" t="str">
        <f ca="1">IFERROR(__xludf.DUMMYFUNCTION("""COMPUTED_VALUE"""),"Rollio _2022")</f>
        <v>Rollio _2022</v>
      </c>
      <c r="C495" s="6">
        <f ca="1">IFERROR(__xludf.DUMMYFUNCTION("""COMPUTED_VALUE"""),3.25)</f>
        <v>3.25</v>
      </c>
      <c r="D495" s="6" t="str">
        <f ca="1">IFERROR(__xludf.DUMMYFUNCTION("""COMPUTED_VALUE"""),"Digital Tech")</f>
        <v>Digital Tech</v>
      </c>
      <c r="E495" s="6" t="str">
        <f ca="1">IFERROR(__xludf.DUMMYFUNCTION("""COMPUTED_VALUE"""),"Invite Next Year")</f>
        <v>Invite Next Year</v>
      </c>
      <c r="F495" s="6" t="e">
        <f t="shared" ca="1" si="1"/>
        <v>#NAME?</v>
      </c>
    </row>
    <row r="496" spans="1:6">
      <c r="A496" s="199">
        <f ca="1">IFERROR(__xludf.DUMMYFUNCTION("""COMPUTED_VALUE"""),44791)</f>
        <v>44791</v>
      </c>
      <c r="B496" s="6" t="str">
        <f ca="1">IFERROR(__xludf.DUMMYFUNCTION("""COMPUTED_VALUE"""),"Acquire Invest _2022")</f>
        <v>Acquire Invest _2022</v>
      </c>
      <c r="C496" s="6">
        <f ca="1">IFERROR(__xludf.DUMMYFUNCTION("""COMPUTED_VALUE"""),3.25)</f>
        <v>3.25</v>
      </c>
      <c r="D496" s="6" t="str">
        <f ca="1">IFERROR(__xludf.DUMMYFUNCTION("""COMPUTED_VALUE"""),"Digital Tech")</f>
        <v>Digital Tech</v>
      </c>
      <c r="E496" s="6" t="str">
        <f ca="1">IFERROR(__xludf.DUMMYFUNCTION("""COMPUTED_VALUE"""),"Invite Next Year")</f>
        <v>Invite Next Year</v>
      </c>
      <c r="F496" s="6" t="e">
        <f t="shared" ca="1" si="1"/>
        <v>#NAME?</v>
      </c>
    </row>
    <row r="497" spans="1:6">
      <c r="A497" s="199">
        <f ca="1">IFERROR(__xludf.DUMMYFUNCTION("""COMPUTED_VALUE"""),44791)</f>
        <v>44791</v>
      </c>
      <c r="B497" s="6" t="str">
        <f ca="1">IFERROR(__xludf.DUMMYFUNCTION("""COMPUTED_VALUE"""),"Adroit Surgical _2022")</f>
        <v>Adroit Surgical _2022</v>
      </c>
      <c r="C497" s="6">
        <f ca="1">IFERROR(__xludf.DUMMYFUNCTION("""COMPUTED_VALUE"""),3.25)</f>
        <v>3.25</v>
      </c>
      <c r="D497" s="6" t="str">
        <f ca="1">IFERROR(__xludf.DUMMYFUNCTION("""COMPUTED_VALUE"""),"Life Sciences")</f>
        <v>Life Sciences</v>
      </c>
      <c r="E497" s="6" t="str">
        <f ca="1">IFERROR(__xludf.DUMMYFUNCTION("""COMPUTED_VALUE"""),"Invite Next Year")</f>
        <v>Invite Next Year</v>
      </c>
      <c r="F497" s="6" t="e">
        <f t="shared" ca="1" si="1"/>
        <v>#NAME?</v>
      </c>
    </row>
    <row r="498" spans="1:6">
      <c r="A498" s="199">
        <f ca="1">IFERROR(__xludf.DUMMYFUNCTION("""COMPUTED_VALUE"""),44791)</f>
        <v>44791</v>
      </c>
      <c r="B498" s="6" t="str">
        <f ca="1">IFERROR(__xludf.DUMMYFUNCTION("""COMPUTED_VALUE"""),"GrowSquares _2022")</f>
        <v>GrowSquares _2022</v>
      </c>
      <c r="C498" s="6">
        <f ca="1">IFERROR(__xludf.DUMMYFUNCTION("""COMPUTED_VALUE"""),3.25)</f>
        <v>3.25</v>
      </c>
      <c r="D498" s="6" t="str">
        <f ca="1">IFERROR(__xludf.DUMMYFUNCTION("""COMPUTED_VALUE"""),"Digital Tech")</f>
        <v>Digital Tech</v>
      </c>
      <c r="E498" s="6" t="str">
        <f ca="1">IFERROR(__xludf.DUMMYFUNCTION("""COMPUTED_VALUE"""),"Invite Next Year")</f>
        <v>Invite Next Year</v>
      </c>
      <c r="F498" s="6" t="e">
        <f t="shared" ca="1" si="1"/>
        <v>#NAME?</v>
      </c>
    </row>
    <row r="499" spans="1:6">
      <c r="A499" s="199">
        <f ca="1">IFERROR(__xludf.DUMMYFUNCTION("""COMPUTED_VALUE"""),44791)</f>
        <v>44791</v>
      </c>
      <c r="B499" s="6" t="str">
        <f ca="1">IFERROR(__xludf.DUMMYFUNCTION("""COMPUTED_VALUE"""),"MultiOmic Health Limited _2022")</f>
        <v>MultiOmic Health Limited _2022</v>
      </c>
      <c r="C499" s="6">
        <f ca="1">IFERROR(__xludf.DUMMYFUNCTION("""COMPUTED_VALUE"""),3.25)</f>
        <v>3.25</v>
      </c>
      <c r="D499" s="6" t="str">
        <f ca="1">IFERROR(__xludf.DUMMYFUNCTION("""COMPUTED_VALUE"""),"Life Sciences")</f>
        <v>Life Sciences</v>
      </c>
      <c r="E499" s="6" t="str">
        <f ca="1">IFERROR(__xludf.DUMMYFUNCTION("""COMPUTED_VALUE"""),"Invite Next Year")</f>
        <v>Invite Next Year</v>
      </c>
      <c r="F499" s="6" t="e">
        <f t="shared" ca="1" si="1"/>
        <v>#NAME?</v>
      </c>
    </row>
    <row r="500" spans="1:6">
      <c r="A500" s="199">
        <f ca="1">IFERROR(__xludf.DUMMYFUNCTION("""COMPUTED_VALUE"""),44791)</f>
        <v>44791</v>
      </c>
      <c r="B500" s="6" t="str">
        <f ca="1">IFERROR(__xludf.DUMMYFUNCTION("""COMPUTED_VALUE"""),"Constellation4 Health _2022")</f>
        <v>Constellation4 Health _2022</v>
      </c>
      <c r="C500" s="6">
        <f ca="1">IFERROR(__xludf.DUMMYFUNCTION("""COMPUTED_VALUE"""),3.25)</f>
        <v>3.25</v>
      </c>
      <c r="D500" s="6" t="str">
        <f ca="1">IFERROR(__xludf.DUMMYFUNCTION("""COMPUTED_VALUE"""),"Life Sciences")</f>
        <v>Life Sciences</v>
      </c>
      <c r="E500" s="6" t="str">
        <f ca="1">IFERROR(__xludf.DUMMYFUNCTION("""COMPUTED_VALUE"""),"Invite Next Year")</f>
        <v>Invite Next Year</v>
      </c>
      <c r="F500" s="6" t="e">
        <f t="shared" ca="1" si="1"/>
        <v>#NAME?</v>
      </c>
    </row>
    <row r="501" spans="1:6">
      <c r="A501" s="199">
        <f ca="1">IFERROR(__xludf.DUMMYFUNCTION("""COMPUTED_VALUE"""),44791)</f>
        <v>44791</v>
      </c>
      <c r="B501" s="6" t="str">
        <f ca="1">IFERROR(__xludf.DUMMYFUNCTION("""COMPUTED_VALUE"""),"Novel Farms _2022")</f>
        <v>Novel Farms _2022</v>
      </c>
      <c r="C501" s="6">
        <f ca="1">IFERROR(__xludf.DUMMYFUNCTION("""COMPUTED_VALUE"""),3.25)</f>
        <v>3.25</v>
      </c>
      <c r="D501" s="6" t="str">
        <f ca="1">IFERROR(__xludf.DUMMYFUNCTION("""COMPUTED_VALUE"""),"Life Sciences")</f>
        <v>Life Sciences</v>
      </c>
      <c r="E501" s="6" t="str">
        <f ca="1">IFERROR(__xludf.DUMMYFUNCTION("""COMPUTED_VALUE"""),"Invite Next Year")</f>
        <v>Invite Next Year</v>
      </c>
      <c r="F501" s="6" t="e">
        <f t="shared" ca="1" si="1"/>
        <v>#NAME?</v>
      </c>
    </row>
    <row r="502" spans="1:6">
      <c r="A502" s="199">
        <f ca="1">IFERROR(__xludf.DUMMYFUNCTION("""COMPUTED_VALUE"""),44791)</f>
        <v>44791</v>
      </c>
      <c r="B502" s="6" t="str">
        <f ca="1">IFERROR(__xludf.DUMMYFUNCTION("""COMPUTED_VALUE"""),"Neurometry _2022")</f>
        <v>Neurometry _2022</v>
      </c>
      <c r="C502" s="6">
        <f ca="1">IFERROR(__xludf.DUMMYFUNCTION("""COMPUTED_VALUE"""),3.25)</f>
        <v>3.25</v>
      </c>
      <c r="D502" s="6" t="str">
        <f ca="1">IFERROR(__xludf.DUMMYFUNCTION("""COMPUTED_VALUE"""),"Digital Tech")</f>
        <v>Digital Tech</v>
      </c>
      <c r="E502" s="6" t="str">
        <f ca="1">IFERROR(__xludf.DUMMYFUNCTION("""COMPUTED_VALUE"""),"Invite Next Year")</f>
        <v>Invite Next Year</v>
      </c>
      <c r="F502" s="6" t="e">
        <f t="shared" ca="1" si="1"/>
        <v>#NAME?</v>
      </c>
    </row>
    <row r="503" spans="1:6">
      <c r="A503" s="199">
        <f ca="1">IFERROR(__xludf.DUMMYFUNCTION("""COMPUTED_VALUE"""),44791)</f>
        <v>44791</v>
      </c>
      <c r="B503" s="6" t="str">
        <f ca="1">IFERROR(__xludf.DUMMYFUNCTION("""COMPUTED_VALUE"""),"StockGro _2022")</f>
        <v>StockGro _2022</v>
      </c>
      <c r="C503" s="6">
        <f ca="1">IFERROR(__xludf.DUMMYFUNCTION("""COMPUTED_VALUE"""),3.25)</f>
        <v>3.25</v>
      </c>
      <c r="D503" s="6" t="str">
        <f ca="1">IFERROR(__xludf.DUMMYFUNCTION("""COMPUTED_VALUE"""),"Digital Tech")</f>
        <v>Digital Tech</v>
      </c>
      <c r="E503" s="6" t="str">
        <f ca="1">IFERROR(__xludf.DUMMYFUNCTION("""COMPUTED_VALUE"""),"Invite Next Year")</f>
        <v>Invite Next Year</v>
      </c>
      <c r="F503" s="6" t="e">
        <f t="shared" ca="1" si="1"/>
        <v>#NAME?</v>
      </c>
    </row>
    <row r="504" spans="1:6">
      <c r="A504" s="199">
        <f ca="1">IFERROR(__xludf.DUMMYFUNCTION("""COMPUTED_VALUE"""),44791)</f>
        <v>44791</v>
      </c>
      <c r="B504" s="6" t="str">
        <f ca="1">IFERROR(__xludf.DUMMYFUNCTION("""COMPUTED_VALUE"""),"Marine Kinetic Energy Inc. _2022")</f>
        <v>Marine Kinetic Energy Inc. _2022</v>
      </c>
      <c r="C504" s="6">
        <f ca="1">IFERROR(__xludf.DUMMYFUNCTION("""COMPUTED_VALUE"""),3.25)</f>
        <v>3.25</v>
      </c>
      <c r="D504" s="6" t="str">
        <f ca="1">IFERROR(__xludf.DUMMYFUNCTION("""COMPUTED_VALUE"""),"Deep Tech")</f>
        <v>Deep Tech</v>
      </c>
      <c r="E504" s="6" t="str">
        <f ca="1">IFERROR(__xludf.DUMMYFUNCTION("""COMPUTED_VALUE"""),"Invite Next Year")</f>
        <v>Invite Next Year</v>
      </c>
      <c r="F504" s="6" t="e">
        <f t="shared" ca="1" si="1"/>
        <v>#NAME?</v>
      </c>
    </row>
    <row r="505" spans="1:6">
      <c r="A505" s="199">
        <f ca="1">IFERROR(__xludf.DUMMYFUNCTION("""COMPUTED_VALUE"""),44791)</f>
        <v>44791</v>
      </c>
      <c r="B505" s="6" t="str">
        <f ca="1">IFERROR(__xludf.DUMMYFUNCTION("""COMPUTED_VALUE"""),"PepperMintClub _2022")</f>
        <v>PepperMintClub _2022</v>
      </c>
      <c r="C505" s="6">
        <f ca="1">IFERROR(__xludf.DUMMYFUNCTION("""COMPUTED_VALUE"""),3.25)</f>
        <v>3.25</v>
      </c>
      <c r="D505" s="6" t="str">
        <f ca="1">IFERROR(__xludf.DUMMYFUNCTION("""COMPUTED_VALUE"""),"Digital Tech")</f>
        <v>Digital Tech</v>
      </c>
      <c r="E505" s="6" t="str">
        <f ca="1">IFERROR(__xludf.DUMMYFUNCTION("""COMPUTED_VALUE"""),"Invite Next Year")</f>
        <v>Invite Next Year</v>
      </c>
      <c r="F505" s="6" t="e">
        <f t="shared" ca="1" si="1"/>
        <v>#NAME?</v>
      </c>
    </row>
    <row r="506" spans="1:6">
      <c r="A506" s="199">
        <f ca="1">IFERROR(__xludf.DUMMYFUNCTION("""COMPUTED_VALUE"""),44791)</f>
        <v>44791</v>
      </c>
      <c r="B506" s="6" t="str">
        <f ca="1">IFERROR(__xludf.DUMMYFUNCTION("""COMPUTED_VALUE"""),"Blazar SAS _2022")</f>
        <v>Blazar SAS _2022</v>
      </c>
      <c r="C506" s="6">
        <f ca="1">IFERROR(__xludf.DUMMYFUNCTION("""COMPUTED_VALUE"""),3.25)</f>
        <v>3.25</v>
      </c>
      <c r="D506" s="6" t="str">
        <f ca="1">IFERROR(__xludf.DUMMYFUNCTION("""COMPUTED_VALUE"""),"Deep Tech")</f>
        <v>Deep Tech</v>
      </c>
      <c r="E506" s="6" t="str">
        <f ca="1">IFERROR(__xludf.DUMMYFUNCTION("""COMPUTED_VALUE"""),"Invite Next Year")</f>
        <v>Invite Next Year</v>
      </c>
      <c r="F506" s="6" t="e">
        <f t="shared" ca="1" si="1"/>
        <v>#NAME?</v>
      </c>
    </row>
    <row r="507" spans="1:6">
      <c r="A507" s="199">
        <f ca="1">IFERROR(__xludf.DUMMYFUNCTION("""COMPUTED_VALUE"""),44791)</f>
        <v>44791</v>
      </c>
      <c r="B507" s="6" t="str">
        <f ca="1">IFERROR(__xludf.DUMMYFUNCTION("""COMPUTED_VALUE"""),"Briya  _2022")</f>
        <v>Briya  _2022</v>
      </c>
      <c r="C507" s="6">
        <f ca="1">IFERROR(__xludf.DUMMYFUNCTION("""COMPUTED_VALUE"""),3.25)</f>
        <v>3.25</v>
      </c>
      <c r="D507" s="6" t="str">
        <f ca="1">IFERROR(__xludf.DUMMYFUNCTION("""COMPUTED_VALUE"""),"Deep Tech")</f>
        <v>Deep Tech</v>
      </c>
      <c r="E507" s="6" t="str">
        <f ca="1">IFERROR(__xludf.DUMMYFUNCTION("""COMPUTED_VALUE"""),"Invite Next Year")</f>
        <v>Invite Next Year</v>
      </c>
      <c r="F507" s="6" t="e">
        <f t="shared" ca="1" si="1"/>
        <v>#NAME?</v>
      </c>
    </row>
    <row r="508" spans="1:6">
      <c r="A508" s="199">
        <f ca="1">IFERROR(__xludf.DUMMYFUNCTION("""COMPUTED_VALUE"""),44791)</f>
        <v>44791</v>
      </c>
      <c r="B508" s="6" t="str">
        <f ca="1">IFERROR(__xludf.DUMMYFUNCTION("""COMPUTED_VALUE"""),"Agtools Inc _2022")</f>
        <v>Agtools Inc _2022</v>
      </c>
      <c r="C508" s="6">
        <f ca="1">IFERROR(__xludf.DUMMYFUNCTION("""COMPUTED_VALUE"""),3.25)</f>
        <v>3.25</v>
      </c>
      <c r="D508" s="6" t="str">
        <f ca="1">IFERROR(__xludf.DUMMYFUNCTION("""COMPUTED_VALUE"""),"Deep Tech")</f>
        <v>Deep Tech</v>
      </c>
      <c r="E508" s="6" t="str">
        <f ca="1">IFERROR(__xludf.DUMMYFUNCTION("""COMPUTED_VALUE"""),"Invite Next Year")</f>
        <v>Invite Next Year</v>
      </c>
      <c r="F508" s="6" t="e">
        <f t="shared" ca="1" si="1"/>
        <v>#NAME?</v>
      </c>
    </row>
    <row r="509" spans="1:6">
      <c r="A509" s="199">
        <f ca="1">IFERROR(__xludf.DUMMYFUNCTION("""COMPUTED_VALUE"""),44791)</f>
        <v>44791</v>
      </c>
      <c r="B509" s="6" t="str">
        <f ca="1">IFERROR(__xludf.DUMMYFUNCTION("""COMPUTED_VALUE"""),"Social-Impact Innovations Pvt. Ltd. _2022")</f>
        <v>Social-Impact Innovations Pvt. Ltd. _2022</v>
      </c>
      <c r="C509" s="6">
        <f ca="1">IFERROR(__xludf.DUMMYFUNCTION("""COMPUTED_VALUE"""),3.25)</f>
        <v>3.25</v>
      </c>
      <c r="D509" s="6" t="str">
        <f ca="1">IFERROR(__xludf.DUMMYFUNCTION("""COMPUTED_VALUE"""),"Digital Tech")</f>
        <v>Digital Tech</v>
      </c>
      <c r="E509" s="6" t="str">
        <f ca="1">IFERROR(__xludf.DUMMYFUNCTION("""COMPUTED_VALUE"""),"Invite Next Year")</f>
        <v>Invite Next Year</v>
      </c>
      <c r="F509" s="6" t="e">
        <f t="shared" ca="1" si="1"/>
        <v>#NAME?</v>
      </c>
    </row>
    <row r="510" spans="1:6">
      <c r="A510" s="199">
        <f ca="1">IFERROR(__xludf.DUMMYFUNCTION("""COMPUTED_VALUE"""),44791)</f>
        <v>44791</v>
      </c>
      <c r="B510" s="6" t="str">
        <f ca="1">IFERROR(__xludf.DUMMYFUNCTION("""COMPUTED_VALUE"""),"MedGene Therapeutics _2022")</f>
        <v>MedGene Therapeutics _2022</v>
      </c>
      <c r="C510" s="6">
        <f ca="1">IFERROR(__xludf.DUMMYFUNCTION("""COMPUTED_VALUE"""),3.25)</f>
        <v>3.25</v>
      </c>
      <c r="D510" s="6" t="str">
        <f ca="1">IFERROR(__xludf.DUMMYFUNCTION("""COMPUTED_VALUE"""),"Life Sciences")</f>
        <v>Life Sciences</v>
      </c>
      <c r="E510" s="6" t="str">
        <f ca="1">IFERROR(__xludf.DUMMYFUNCTION("""COMPUTED_VALUE"""),"Invite Next Year")</f>
        <v>Invite Next Year</v>
      </c>
      <c r="F510" s="6" t="e">
        <f t="shared" ca="1" si="1"/>
        <v>#NAME?</v>
      </c>
    </row>
    <row r="511" spans="1:6">
      <c r="A511" s="199">
        <f ca="1">IFERROR(__xludf.DUMMYFUNCTION("""COMPUTED_VALUE"""),44791)</f>
        <v>44791</v>
      </c>
      <c r="B511" s="6" t="str">
        <f ca="1">IFERROR(__xludf.DUMMYFUNCTION("""COMPUTED_VALUE"""),"AssayMe _2022")</f>
        <v>AssayMe _2022</v>
      </c>
      <c r="C511" s="6">
        <f ca="1">IFERROR(__xludf.DUMMYFUNCTION("""COMPUTED_VALUE"""),3.25)</f>
        <v>3.25</v>
      </c>
      <c r="D511" s="6" t="str">
        <f ca="1">IFERROR(__xludf.DUMMYFUNCTION("""COMPUTED_VALUE"""),"Digital Tech")</f>
        <v>Digital Tech</v>
      </c>
      <c r="E511" s="6" t="str">
        <f ca="1">IFERROR(__xludf.DUMMYFUNCTION("""COMPUTED_VALUE"""),"Invite Next Year")</f>
        <v>Invite Next Year</v>
      </c>
      <c r="F511" s="6" t="e">
        <f t="shared" ca="1" si="1"/>
        <v>#NAME?</v>
      </c>
    </row>
    <row r="512" spans="1:6">
      <c r="A512" s="199">
        <f ca="1">IFERROR(__xludf.DUMMYFUNCTION("""COMPUTED_VALUE"""),44791)</f>
        <v>44791</v>
      </c>
      <c r="B512" s="6" t="str">
        <f ca="1">IFERROR(__xludf.DUMMYFUNCTION("""COMPUTED_VALUE"""),"Dealcode GmbH _2022")</f>
        <v>Dealcode GmbH _2022</v>
      </c>
      <c r="C512" s="6">
        <f ca="1">IFERROR(__xludf.DUMMYFUNCTION("""COMPUTED_VALUE"""),3.25)</f>
        <v>3.25</v>
      </c>
      <c r="D512" s="6" t="str">
        <f ca="1">IFERROR(__xludf.DUMMYFUNCTION("""COMPUTED_VALUE"""),"Digital Tech")</f>
        <v>Digital Tech</v>
      </c>
      <c r="E512" s="6" t="str">
        <f ca="1">IFERROR(__xludf.DUMMYFUNCTION("""COMPUTED_VALUE"""),"Invite Next Year")</f>
        <v>Invite Next Year</v>
      </c>
      <c r="F512" s="6" t="e">
        <f t="shared" ref="F512:F766" ca="1" si="2">_xludf.IFS(D512="Life Sciences","LS",D512="Digital Tech","DiT",D512="Deep Tech","DT")</f>
        <v>#NAME?</v>
      </c>
    </row>
    <row r="513" spans="1:6">
      <c r="A513" s="199">
        <f ca="1">IFERROR(__xludf.DUMMYFUNCTION("""COMPUTED_VALUE"""),44791)</f>
        <v>44791</v>
      </c>
      <c r="B513" s="6" t="str">
        <f ca="1">IFERROR(__xludf.DUMMYFUNCTION("""COMPUTED_VALUE"""),"Proxgy _2022")</f>
        <v>Proxgy _2022</v>
      </c>
      <c r="C513" s="6">
        <f ca="1">IFERROR(__xludf.DUMMYFUNCTION("""COMPUTED_VALUE"""),3.25)</f>
        <v>3.25</v>
      </c>
      <c r="D513" s="6" t="str">
        <f ca="1">IFERROR(__xludf.DUMMYFUNCTION("""COMPUTED_VALUE"""),"Deep Tech")</f>
        <v>Deep Tech</v>
      </c>
      <c r="E513" s="6" t="str">
        <f ca="1">IFERROR(__xludf.DUMMYFUNCTION("""COMPUTED_VALUE"""),"Invite Next Year")</f>
        <v>Invite Next Year</v>
      </c>
      <c r="F513" s="6" t="e">
        <f t="shared" ca="1" si="2"/>
        <v>#NAME?</v>
      </c>
    </row>
    <row r="514" spans="1:6">
      <c r="A514" s="199">
        <f ca="1">IFERROR(__xludf.DUMMYFUNCTION("""COMPUTED_VALUE"""),44791)</f>
        <v>44791</v>
      </c>
      <c r="B514" s="6" t="str">
        <f ca="1">IFERROR(__xludf.DUMMYFUNCTION("""COMPUTED_VALUE"""),"PB&amp;B _2022")</f>
        <v>PB&amp;B _2022</v>
      </c>
      <c r="C514" s="6">
        <f ca="1">IFERROR(__xludf.DUMMYFUNCTION("""COMPUTED_VALUE"""),3.25)</f>
        <v>3.25</v>
      </c>
      <c r="D514" s="6" t="str">
        <f ca="1">IFERROR(__xludf.DUMMYFUNCTION("""COMPUTED_VALUE"""),"Life Sciences")</f>
        <v>Life Sciences</v>
      </c>
      <c r="E514" s="6" t="str">
        <f ca="1">IFERROR(__xludf.DUMMYFUNCTION("""COMPUTED_VALUE"""),"Invite Next Year")</f>
        <v>Invite Next Year</v>
      </c>
      <c r="F514" s="6" t="e">
        <f t="shared" ca="1" si="2"/>
        <v>#NAME?</v>
      </c>
    </row>
    <row r="515" spans="1:6">
      <c r="A515" s="199">
        <f ca="1">IFERROR(__xludf.DUMMYFUNCTION("""COMPUTED_VALUE"""),44791)</f>
        <v>44791</v>
      </c>
      <c r="B515" s="6" t="str">
        <f ca="1">IFERROR(__xludf.DUMMYFUNCTION("""COMPUTED_VALUE"""),"Zeer, dba _2022")</f>
        <v>Zeer, dba _2022</v>
      </c>
      <c r="C515" s="6">
        <f ca="1">IFERROR(__xludf.DUMMYFUNCTION("""COMPUTED_VALUE"""),3.25)</f>
        <v>3.25</v>
      </c>
      <c r="D515" s="6" t="str">
        <f ca="1">IFERROR(__xludf.DUMMYFUNCTION("""COMPUTED_VALUE"""),"Digital Tech")</f>
        <v>Digital Tech</v>
      </c>
      <c r="E515" s="6" t="str">
        <f ca="1">IFERROR(__xludf.DUMMYFUNCTION("""COMPUTED_VALUE"""),"Invite Next Year")</f>
        <v>Invite Next Year</v>
      </c>
      <c r="F515" s="6" t="e">
        <f t="shared" ca="1" si="2"/>
        <v>#NAME?</v>
      </c>
    </row>
    <row r="516" spans="1:6">
      <c r="A516" s="199">
        <f ca="1">IFERROR(__xludf.DUMMYFUNCTION("""COMPUTED_VALUE"""),44791)</f>
        <v>44791</v>
      </c>
      <c r="B516" s="6" t="str">
        <f ca="1">IFERROR(__xludf.DUMMYFUNCTION("""COMPUTED_VALUE"""),"Sayenza Biosciences _2022")</f>
        <v>Sayenza Biosciences _2022</v>
      </c>
      <c r="C516" s="6">
        <f ca="1">IFERROR(__xludf.DUMMYFUNCTION("""COMPUTED_VALUE"""),3.25)</f>
        <v>3.25</v>
      </c>
      <c r="D516" s="6" t="str">
        <f ca="1">IFERROR(__xludf.DUMMYFUNCTION("""COMPUTED_VALUE"""),"Life Sciences")</f>
        <v>Life Sciences</v>
      </c>
      <c r="E516" s="6" t="str">
        <f ca="1">IFERROR(__xludf.DUMMYFUNCTION("""COMPUTED_VALUE"""),"Revisit")</f>
        <v>Revisit</v>
      </c>
      <c r="F516" s="6" t="e">
        <f t="shared" ca="1" si="2"/>
        <v>#NAME?</v>
      </c>
    </row>
    <row r="517" spans="1:6">
      <c r="A517" s="199">
        <f ca="1">IFERROR(__xludf.DUMMYFUNCTION("""COMPUTED_VALUE"""),44791)</f>
        <v>44791</v>
      </c>
      <c r="B517" s="6" t="str">
        <f ca="1">IFERROR(__xludf.DUMMYFUNCTION("""COMPUTED_VALUE"""),"Intelligent Technology Co., Ltd _2022")</f>
        <v>Intelligent Technology Co., Ltd _2022</v>
      </c>
      <c r="C517" s="6">
        <f ca="1">IFERROR(__xludf.DUMMYFUNCTION("""COMPUTED_VALUE"""),3.25)</f>
        <v>3.25</v>
      </c>
      <c r="D517" s="6" t="str">
        <f ca="1">IFERROR(__xludf.DUMMYFUNCTION("""COMPUTED_VALUE"""),"Digital Tech")</f>
        <v>Digital Tech</v>
      </c>
      <c r="E517" s="6" t="str">
        <f ca="1">IFERROR(__xludf.DUMMYFUNCTION("""COMPUTED_VALUE"""),"Revisit")</f>
        <v>Revisit</v>
      </c>
      <c r="F517" s="6" t="e">
        <f t="shared" ca="1" si="2"/>
        <v>#NAME?</v>
      </c>
    </row>
    <row r="518" spans="1:6">
      <c r="A518" s="199">
        <f ca="1">IFERROR(__xludf.DUMMYFUNCTION("""COMPUTED_VALUE"""),44791)</f>
        <v>44791</v>
      </c>
      <c r="B518" s="6" t="str">
        <f ca="1">IFERROR(__xludf.DUMMYFUNCTION("""COMPUTED_VALUE"""),"AirMid Critical Care Products, Inc. _2022")</f>
        <v>AirMid Critical Care Products, Inc. _2022</v>
      </c>
      <c r="C518" s="6">
        <f ca="1">IFERROR(__xludf.DUMMYFUNCTION("""COMPUTED_VALUE"""),3.25)</f>
        <v>3.25</v>
      </c>
      <c r="D518" s="6" t="str">
        <f ca="1">IFERROR(__xludf.DUMMYFUNCTION("""COMPUTED_VALUE"""),"Deep Tech")</f>
        <v>Deep Tech</v>
      </c>
      <c r="E518" s="6" t="str">
        <f ca="1">IFERROR(__xludf.DUMMYFUNCTION("""COMPUTED_VALUE"""),"Invite Next Year")</f>
        <v>Invite Next Year</v>
      </c>
      <c r="F518" s="6" t="e">
        <f t="shared" ca="1" si="2"/>
        <v>#NAME?</v>
      </c>
    </row>
    <row r="519" spans="1:6">
      <c r="A519" s="199">
        <f ca="1">IFERROR(__xludf.DUMMYFUNCTION("""COMPUTED_VALUE"""),44791)</f>
        <v>44791</v>
      </c>
      <c r="B519" s="6" t="str">
        <f ca="1">IFERROR(__xludf.DUMMYFUNCTION("""COMPUTED_VALUE"""),"Sipple Care Inc. _2022")</f>
        <v>Sipple Care Inc. _2022</v>
      </c>
      <c r="C519" s="6">
        <f ca="1">IFERROR(__xludf.DUMMYFUNCTION("""COMPUTED_VALUE"""),3.25)</f>
        <v>3.25</v>
      </c>
      <c r="D519" s="6" t="str">
        <f ca="1">IFERROR(__xludf.DUMMYFUNCTION("""COMPUTED_VALUE"""),"Life Sciences")</f>
        <v>Life Sciences</v>
      </c>
      <c r="E519" s="6" t="str">
        <f ca="1">IFERROR(__xludf.DUMMYFUNCTION("""COMPUTED_VALUE"""),"Special Reject")</f>
        <v>Special Reject</v>
      </c>
      <c r="F519" s="6" t="e">
        <f t="shared" ca="1" si="2"/>
        <v>#NAME?</v>
      </c>
    </row>
    <row r="520" spans="1:6">
      <c r="A520" s="199">
        <f ca="1">IFERROR(__xludf.DUMMYFUNCTION("""COMPUTED_VALUE"""),44796)</f>
        <v>44796</v>
      </c>
      <c r="B520" s="6" t="str">
        <f ca="1">IFERROR(__xludf.DUMMYFUNCTION("""COMPUTED_VALUE"""),"Witty Health Inc _2022")</f>
        <v>Witty Health Inc _2022</v>
      </c>
      <c r="C520" s="6">
        <f ca="1">IFERROR(__xludf.DUMMYFUNCTION("""COMPUTED_VALUE"""),3.25)</f>
        <v>3.25</v>
      </c>
      <c r="D520" s="6" t="str">
        <f ca="1">IFERROR(__xludf.DUMMYFUNCTION("""COMPUTED_VALUE"""),"Digital Tech")</f>
        <v>Digital Tech</v>
      </c>
      <c r="E520" s="6" t="str">
        <f ca="1">IFERROR(__xludf.DUMMYFUNCTION("""COMPUTED_VALUE"""),"Invite Next Year")</f>
        <v>Invite Next Year</v>
      </c>
      <c r="F520" s="6" t="e">
        <f t="shared" ca="1" si="2"/>
        <v>#NAME?</v>
      </c>
    </row>
    <row r="521" spans="1:6">
      <c r="A521" s="199">
        <f ca="1">IFERROR(__xludf.DUMMYFUNCTION("""COMPUTED_VALUE"""),44796)</f>
        <v>44796</v>
      </c>
      <c r="B521" s="6" t="str">
        <f ca="1">IFERROR(__xludf.DUMMYFUNCTION("""COMPUTED_VALUE"""),"Aspisafe Solutions Inc. _2022")</f>
        <v>Aspisafe Solutions Inc. _2022</v>
      </c>
      <c r="C521" s="6">
        <f ca="1">IFERROR(__xludf.DUMMYFUNCTION("""COMPUTED_VALUE"""),3.25)</f>
        <v>3.25</v>
      </c>
      <c r="D521" s="6" t="str">
        <f ca="1">IFERROR(__xludf.DUMMYFUNCTION("""COMPUTED_VALUE"""),"Deep Tech")</f>
        <v>Deep Tech</v>
      </c>
      <c r="E521" s="6" t="str">
        <f ca="1">IFERROR(__xludf.DUMMYFUNCTION("""COMPUTED_VALUE"""),"Invite Next Year")</f>
        <v>Invite Next Year</v>
      </c>
      <c r="F521" s="6" t="e">
        <f t="shared" ca="1" si="2"/>
        <v>#NAME?</v>
      </c>
    </row>
    <row r="522" spans="1:6">
      <c r="A522" s="199">
        <f ca="1">IFERROR(__xludf.DUMMYFUNCTION("""COMPUTED_VALUE"""),44796)</f>
        <v>44796</v>
      </c>
      <c r="B522" s="6" t="str">
        <f ca="1">IFERROR(__xludf.DUMMYFUNCTION("""COMPUTED_VALUE"""),"CLYRA MEDICAL TECHNOLOGIES _2022")</f>
        <v>CLYRA MEDICAL TECHNOLOGIES _2022</v>
      </c>
      <c r="C522" s="6">
        <f ca="1">IFERROR(__xludf.DUMMYFUNCTION("""COMPUTED_VALUE"""),3.25)</f>
        <v>3.25</v>
      </c>
      <c r="D522" s="6" t="str">
        <f ca="1">IFERROR(__xludf.DUMMYFUNCTION("""COMPUTED_VALUE"""),"Life Sciences")</f>
        <v>Life Sciences</v>
      </c>
      <c r="E522" s="6" t="str">
        <f ca="1">IFERROR(__xludf.DUMMYFUNCTION("""COMPUTED_VALUE"""),"Invite Next Year")</f>
        <v>Invite Next Year</v>
      </c>
      <c r="F522" s="6" t="e">
        <f t="shared" ca="1" si="2"/>
        <v>#NAME?</v>
      </c>
    </row>
    <row r="523" spans="1:6">
      <c r="A523" s="199">
        <f ca="1">IFERROR(__xludf.DUMMYFUNCTION("""COMPUTED_VALUE"""),44796)</f>
        <v>44796</v>
      </c>
      <c r="B523" s="6" t="str">
        <f ca="1">IFERROR(__xludf.DUMMYFUNCTION("""COMPUTED_VALUE"""),"OR Link _2022")</f>
        <v>OR Link _2022</v>
      </c>
      <c r="C523" s="6">
        <f ca="1">IFERROR(__xludf.DUMMYFUNCTION("""COMPUTED_VALUE"""),3.25)</f>
        <v>3.25</v>
      </c>
      <c r="D523" s="6" t="str">
        <f ca="1">IFERROR(__xludf.DUMMYFUNCTION("""COMPUTED_VALUE"""),"Digital Tech")</f>
        <v>Digital Tech</v>
      </c>
      <c r="E523" s="6" t="str">
        <f ca="1">IFERROR(__xludf.DUMMYFUNCTION("""COMPUTED_VALUE"""),"Special Reject")</f>
        <v>Special Reject</v>
      </c>
      <c r="F523" s="6" t="e">
        <f t="shared" ca="1" si="2"/>
        <v>#NAME?</v>
      </c>
    </row>
    <row r="524" spans="1:6">
      <c r="A524" s="199">
        <f ca="1">IFERROR(__xludf.DUMMYFUNCTION("""COMPUTED_VALUE"""),44796)</f>
        <v>44796</v>
      </c>
      <c r="B524" s="6" t="str">
        <f ca="1">IFERROR(__xludf.DUMMYFUNCTION("""COMPUTED_VALUE"""),"Ochy _2022")</f>
        <v>Ochy _2022</v>
      </c>
      <c r="C524" s="6">
        <f ca="1">IFERROR(__xludf.DUMMYFUNCTION("""COMPUTED_VALUE"""),3.25)</f>
        <v>3.25</v>
      </c>
      <c r="D524" s="6" t="str">
        <f ca="1">IFERROR(__xludf.DUMMYFUNCTION("""COMPUTED_VALUE"""),"Digital Tech")</f>
        <v>Digital Tech</v>
      </c>
      <c r="E524" s="6" t="str">
        <f ca="1">IFERROR(__xludf.DUMMYFUNCTION("""COMPUTED_VALUE"""),"Invite Next Year")</f>
        <v>Invite Next Year</v>
      </c>
      <c r="F524" s="6" t="e">
        <f t="shared" ca="1" si="2"/>
        <v>#NAME?</v>
      </c>
    </row>
    <row r="525" spans="1:6">
      <c r="A525" s="199">
        <f ca="1">IFERROR(__xludf.DUMMYFUNCTION("""COMPUTED_VALUE"""),44796)</f>
        <v>44796</v>
      </c>
      <c r="B525" s="6" t="str">
        <f ca="1">IFERROR(__xludf.DUMMYFUNCTION("""COMPUTED_VALUE"""),"Promise Bio _2022")</f>
        <v>Promise Bio _2022</v>
      </c>
      <c r="C525" s="6">
        <f ca="1">IFERROR(__xludf.DUMMYFUNCTION("""COMPUTED_VALUE"""),3.25)</f>
        <v>3.25</v>
      </c>
      <c r="D525" s="6" t="str">
        <f ca="1">IFERROR(__xludf.DUMMYFUNCTION("""COMPUTED_VALUE"""),"Life Sciences")</f>
        <v>Life Sciences</v>
      </c>
      <c r="E525" s="6" t="str">
        <f ca="1">IFERROR(__xludf.DUMMYFUNCTION("""COMPUTED_VALUE"""),"Special Reject")</f>
        <v>Special Reject</v>
      </c>
      <c r="F525" s="6" t="e">
        <f t="shared" ca="1" si="2"/>
        <v>#NAME?</v>
      </c>
    </row>
    <row r="526" spans="1:6">
      <c r="A526" s="199">
        <f ca="1">IFERROR(__xludf.DUMMYFUNCTION("""COMPUTED_VALUE"""),44796)</f>
        <v>44796</v>
      </c>
      <c r="B526" s="6" t="str">
        <f ca="1">IFERROR(__xludf.DUMMYFUNCTION("""COMPUTED_VALUE"""),"SeoHong Tech Co., Ltd. _2022")</f>
        <v>SeoHong Tech Co., Ltd. _2022</v>
      </c>
      <c r="C526" s="6">
        <f ca="1">IFERROR(__xludf.DUMMYFUNCTION("""COMPUTED_VALUE"""),3.25)</f>
        <v>3.25</v>
      </c>
      <c r="D526" s="6" t="str">
        <f ca="1">IFERROR(__xludf.DUMMYFUNCTION("""COMPUTED_VALUE"""),"Digital Tech")</f>
        <v>Digital Tech</v>
      </c>
      <c r="E526" s="6" t="str">
        <f ca="1">IFERROR(__xludf.DUMMYFUNCTION("""COMPUTED_VALUE"""),"Invite Next Year")</f>
        <v>Invite Next Year</v>
      </c>
      <c r="F526" s="6" t="e">
        <f t="shared" ca="1" si="2"/>
        <v>#NAME?</v>
      </c>
    </row>
    <row r="527" spans="1:6">
      <c r="A527" s="199">
        <f ca="1">IFERROR(__xludf.DUMMYFUNCTION("""COMPUTED_VALUE"""),44796)</f>
        <v>44796</v>
      </c>
      <c r="B527" s="6" t="str">
        <f ca="1">IFERROR(__xludf.DUMMYFUNCTION("""COMPUTED_VALUE"""),"Chara Technologies Private Limited _2022")</f>
        <v>Chara Technologies Private Limited _2022</v>
      </c>
      <c r="C527" s="6">
        <f ca="1">IFERROR(__xludf.DUMMYFUNCTION("""COMPUTED_VALUE"""),3.25)</f>
        <v>3.25</v>
      </c>
      <c r="D527" s="6" t="str">
        <f ca="1">IFERROR(__xludf.DUMMYFUNCTION("""COMPUTED_VALUE"""),"Deep Tech")</f>
        <v>Deep Tech</v>
      </c>
      <c r="E527" s="6" t="str">
        <f ca="1">IFERROR(__xludf.DUMMYFUNCTION("""COMPUTED_VALUE"""),"Invite Next Year")</f>
        <v>Invite Next Year</v>
      </c>
      <c r="F527" s="6" t="e">
        <f t="shared" ca="1" si="2"/>
        <v>#NAME?</v>
      </c>
    </row>
    <row r="528" spans="1:6">
      <c r="A528" s="199">
        <f ca="1">IFERROR(__xludf.DUMMYFUNCTION("""COMPUTED_VALUE"""),44796)</f>
        <v>44796</v>
      </c>
      <c r="B528" s="6" t="str">
        <f ca="1">IFERROR(__xludf.DUMMYFUNCTION("""COMPUTED_VALUE"""),"Orange Therapeutics _2022")</f>
        <v>Orange Therapeutics _2022</v>
      </c>
      <c r="C528" s="6">
        <f ca="1">IFERROR(__xludf.DUMMYFUNCTION("""COMPUTED_VALUE"""),3.25)</f>
        <v>3.25</v>
      </c>
      <c r="D528" s="6" t="str">
        <f ca="1">IFERROR(__xludf.DUMMYFUNCTION("""COMPUTED_VALUE"""),"Digital Tech")</f>
        <v>Digital Tech</v>
      </c>
      <c r="E528" s="6" t="str">
        <f ca="1">IFERROR(__xludf.DUMMYFUNCTION("""COMPUTED_VALUE"""),"Invite Next Year")</f>
        <v>Invite Next Year</v>
      </c>
      <c r="F528" s="6" t="e">
        <f t="shared" ca="1" si="2"/>
        <v>#NAME?</v>
      </c>
    </row>
    <row r="529" spans="1:6">
      <c r="A529" s="199">
        <f ca="1">IFERROR(__xludf.DUMMYFUNCTION("""COMPUTED_VALUE"""),44796)</f>
        <v>44796</v>
      </c>
      <c r="B529" s="6" t="str">
        <f ca="1">IFERROR(__xludf.DUMMYFUNCTION("""COMPUTED_VALUE"""),"Cohesive Robotics _2022")</f>
        <v>Cohesive Robotics _2022</v>
      </c>
      <c r="C529" s="6">
        <f ca="1">IFERROR(__xludf.DUMMYFUNCTION("""COMPUTED_VALUE"""),3.25)</f>
        <v>3.25</v>
      </c>
      <c r="D529" s="6" t="str">
        <f ca="1">IFERROR(__xludf.DUMMYFUNCTION("""COMPUTED_VALUE"""),"Deep Tech")</f>
        <v>Deep Tech</v>
      </c>
      <c r="E529" s="6" t="str">
        <f ca="1">IFERROR(__xludf.DUMMYFUNCTION("""COMPUTED_VALUE"""),"Invite Next Year")</f>
        <v>Invite Next Year</v>
      </c>
      <c r="F529" s="6" t="e">
        <f t="shared" ca="1" si="2"/>
        <v>#NAME?</v>
      </c>
    </row>
    <row r="530" spans="1:6">
      <c r="A530" s="199">
        <f ca="1">IFERROR(__xludf.DUMMYFUNCTION("""COMPUTED_VALUE"""),44796)</f>
        <v>44796</v>
      </c>
      <c r="B530" s="6" t="str">
        <f ca="1">IFERROR(__xludf.DUMMYFUNCTION("""COMPUTED_VALUE"""),"Omnic Data, Inc. _2022")</f>
        <v>Omnic Data, Inc. _2022</v>
      </c>
      <c r="C530" s="6">
        <f ca="1">IFERROR(__xludf.DUMMYFUNCTION("""COMPUTED_VALUE"""),3.25)</f>
        <v>3.25</v>
      </c>
      <c r="D530" s="6" t="str">
        <f ca="1">IFERROR(__xludf.DUMMYFUNCTION("""COMPUTED_VALUE"""),"Digital Tech")</f>
        <v>Digital Tech</v>
      </c>
      <c r="E530" s="6" t="str">
        <f ca="1">IFERROR(__xludf.DUMMYFUNCTION("""COMPUTED_VALUE"""),"Invite Next Year")</f>
        <v>Invite Next Year</v>
      </c>
      <c r="F530" s="6" t="e">
        <f t="shared" ca="1" si="2"/>
        <v>#NAME?</v>
      </c>
    </row>
    <row r="531" spans="1:6">
      <c r="A531" s="199">
        <f ca="1">IFERROR(__xludf.DUMMYFUNCTION("""COMPUTED_VALUE"""),44796)</f>
        <v>44796</v>
      </c>
      <c r="B531" s="6" t="str">
        <f ca="1">IFERROR(__xludf.DUMMYFUNCTION("""COMPUTED_VALUE"""),"Qlimate LLC _2022")</f>
        <v>Qlimate LLC _2022</v>
      </c>
      <c r="C531" s="6">
        <f ca="1">IFERROR(__xludf.DUMMYFUNCTION("""COMPUTED_VALUE"""),3.25)</f>
        <v>3.25</v>
      </c>
      <c r="D531" s="6" t="str">
        <f ca="1">IFERROR(__xludf.DUMMYFUNCTION("""COMPUTED_VALUE"""),"Deep Tech")</f>
        <v>Deep Tech</v>
      </c>
      <c r="E531" s="6" t="str">
        <f ca="1">IFERROR(__xludf.DUMMYFUNCTION("""COMPUTED_VALUE"""),"Invite Next Year")</f>
        <v>Invite Next Year</v>
      </c>
      <c r="F531" s="6" t="e">
        <f t="shared" ca="1" si="2"/>
        <v>#NAME?</v>
      </c>
    </row>
    <row r="532" spans="1:6">
      <c r="A532" s="199">
        <f ca="1">IFERROR(__xludf.DUMMYFUNCTION("""COMPUTED_VALUE"""),44796)</f>
        <v>44796</v>
      </c>
      <c r="B532" s="6" t="str">
        <f ca="1">IFERROR(__xludf.DUMMYFUNCTION("""COMPUTED_VALUE"""),"Ampli _2022")</f>
        <v>Ampli _2022</v>
      </c>
      <c r="C532" s="6">
        <f ca="1">IFERROR(__xludf.DUMMYFUNCTION("""COMPUTED_VALUE"""),3.25)</f>
        <v>3.25</v>
      </c>
      <c r="D532" s="6" t="str">
        <f ca="1">IFERROR(__xludf.DUMMYFUNCTION("""COMPUTED_VALUE"""),"Life Sciences")</f>
        <v>Life Sciences</v>
      </c>
      <c r="E532" s="6" t="str">
        <f ca="1">IFERROR(__xludf.DUMMYFUNCTION("""COMPUTED_VALUE"""),"Special Reject")</f>
        <v>Special Reject</v>
      </c>
      <c r="F532" s="6" t="e">
        <f t="shared" ca="1" si="2"/>
        <v>#NAME?</v>
      </c>
    </row>
    <row r="533" spans="1:6">
      <c r="A533" s="199">
        <f ca="1">IFERROR(__xludf.DUMMYFUNCTION("""COMPUTED_VALUE"""),44796)</f>
        <v>44796</v>
      </c>
      <c r="B533" s="6" t="str">
        <f ca="1">IFERROR(__xludf.DUMMYFUNCTION("""COMPUTED_VALUE"""),"Einsted _2022")</f>
        <v>Einsted _2022</v>
      </c>
      <c r="C533" s="6">
        <f ca="1">IFERROR(__xludf.DUMMYFUNCTION("""COMPUTED_VALUE"""),3.25)</f>
        <v>3.25</v>
      </c>
      <c r="D533" s="6" t="str">
        <f ca="1">IFERROR(__xludf.DUMMYFUNCTION("""COMPUTED_VALUE"""),"Deep Tech")</f>
        <v>Deep Tech</v>
      </c>
      <c r="E533" s="6" t="str">
        <f ca="1">IFERROR(__xludf.DUMMYFUNCTION("""COMPUTED_VALUE"""),"Invite Next Year")</f>
        <v>Invite Next Year</v>
      </c>
      <c r="F533" s="6" t="e">
        <f t="shared" ca="1" si="2"/>
        <v>#NAME?</v>
      </c>
    </row>
    <row r="534" spans="1:6">
      <c r="A534" s="199">
        <f ca="1">IFERROR(__xludf.DUMMYFUNCTION("""COMPUTED_VALUE"""),44796)</f>
        <v>44796</v>
      </c>
      <c r="B534" s="6" t="str">
        <f ca="1">IFERROR(__xludf.DUMMYFUNCTION("""COMPUTED_VALUE"""),"Puro Bioplastics, Inc.  _2022")</f>
        <v>Puro Bioplastics, Inc.  _2022</v>
      </c>
      <c r="C534" s="6">
        <f ca="1">IFERROR(__xludf.DUMMYFUNCTION("""COMPUTED_VALUE"""),3.25)</f>
        <v>3.25</v>
      </c>
      <c r="D534" s="6" t="str">
        <f ca="1">IFERROR(__xludf.DUMMYFUNCTION("""COMPUTED_VALUE"""),"Deep Tech")</f>
        <v>Deep Tech</v>
      </c>
      <c r="E534" s="6" t="str">
        <f ca="1">IFERROR(__xludf.DUMMYFUNCTION("""COMPUTED_VALUE"""),"Invite Next Year")</f>
        <v>Invite Next Year</v>
      </c>
      <c r="F534" s="6" t="e">
        <f t="shared" ca="1" si="2"/>
        <v>#NAME?</v>
      </c>
    </row>
    <row r="535" spans="1:6">
      <c r="A535" s="199">
        <f ca="1">IFERROR(__xludf.DUMMYFUNCTION("""COMPUTED_VALUE"""),44796)</f>
        <v>44796</v>
      </c>
      <c r="B535" s="6" t="str">
        <f ca="1">IFERROR(__xludf.DUMMYFUNCTION("""COMPUTED_VALUE"""),"ARCHITEChTURES _2022")</f>
        <v>ARCHITEChTURES _2022</v>
      </c>
      <c r="C535" s="6">
        <f ca="1">IFERROR(__xludf.DUMMYFUNCTION("""COMPUTED_VALUE"""),3.25)</f>
        <v>3.25</v>
      </c>
      <c r="D535" s="6" t="str">
        <f ca="1">IFERROR(__xludf.DUMMYFUNCTION("""COMPUTED_VALUE"""),"Digital Tech")</f>
        <v>Digital Tech</v>
      </c>
      <c r="E535" s="6" t="str">
        <f ca="1">IFERROR(__xludf.DUMMYFUNCTION("""COMPUTED_VALUE"""),"Invite Next Year")</f>
        <v>Invite Next Year</v>
      </c>
      <c r="F535" s="6" t="e">
        <f t="shared" ca="1" si="2"/>
        <v>#NAME?</v>
      </c>
    </row>
    <row r="536" spans="1:6">
      <c r="A536" s="199">
        <f ca="1">IFERROR(__xludf.DUMMYFUNCTION("""COMPUTED_VALUE"""),44796)</f>
        <v>44796</v>
      </c>
      <c r="B536" s="6" t="str">
        <f ca="1">IFERROR(__xludf.DUMMYFUNCTION("""COMPUTED_VALUE"""),"myAir Smart Wellness _2022")</f>
        <v>myAir Smart Wellness _2022</v>
      </c>
      <c r="C536" s="6">
        <f ca="1">IFERROR(__xludf.DUMMYFUNCTION("""COMPUTED_VALUE"""),3.25)</f>
        <v>3.25</v>
      </c>
      <c r="D536" s="6" t="str">
        <f ca="1">IFERROR(__xludf.DUMMYFUNCTION("""COMPUTED_VALUE"""),"Digital Tech")</f>
        <v>Digital Tech</v>
      </c>
      <c r="E536" s="6" t="str">
        <f ca="1">IFERROR(__xludf.DUMMYFUNCTION("""COMPUTED_VALUE"""),"Invite Next Year")</f>
        <v>Invite Next Year</v>
      </c>
      <c r="F536" s="6" t="e">
        <f t="shared" ca="1" si="2"/>
        <v>#NAME?</v>
      </c>
    </row>
    <row r="537" spans="1:6">
      <c r="A537" s="199">
        <f ca="1">IFERROR(__xludf.DUMMYFUNCTION("""COMPUTED_VALUE"""),44796)</f>
        <v>44796</v>
      </c>
      <c r="B537" s="6" t="str">
        <f ca="1">IFERROR(__xludf.DUMMYFUNCTION("""COMPUTED_VALUE"""),"Vectra Automation Inc. _2022")</f>
        <v>Vectra Automation Inc. _2022</v>
      </c>
      <c r="C537" s="6">
        <f ca="1">IFERROR(__xludf.DUMMYFUNCTION("""COMPUTED_VALUE"""),3.25)</f>
        <v>3.25</v>
      </c>
      <c r="D537" s="6" t="str">
        <f ca="1">IFERROR(__xludf.DUMMYFUNCTION("""COMPUTED_VALUE"""),"Deep Tech")</f>
        <v>Deep Tech</v>
      </c>
      <c r="E537" s="6" t="str">
        <f ca="1">IFERROR(__xludf.DUMMYFUNCTION("""COMPUTED_VALUE"""),"Invite Next Year")</f>
        <v>Invite Next Year</v>
      </c>
      <c r="F537" s="6" t="e">
        <f t="shared" ca="1" si="2"/>
        <v>#NAME?</v>
      </c>
    </row>
    <row r="538" spans="1:6">
      <c r="A538" s="199">
        <f ca="1">IFERROR(__xludf.DUMMYFUNCTION("""COMPUTED_VALUE"""),44796)</f>
        <v>44796</v>
      </c>
      <c r="B538" s="6" t="str">
        <f ca="1">IFERROR(__xludf.DUMMYFUNCTION("""COMPUTED_VALUE"""),"Walela Inc. _2022")</f>
        <v>Walela Inc. _2022</v>
      </c>
      <c r="C538" s="6">
        <f ca="1">IFERROR(__xludf.DUMMYFUNCTION("""COMPUTED_VALUE"""),3.25)</f>
        <v>3.25</v>
      </c>
      <c r="D538" s="6" t="str">
        <f ca="1">IFERROR(__xludf.DUMMYFUNCTION("""COMPUTED_VALUE"""),"Deep Tech")</f>
        <v>Deep Tech</v>
      </c>
      <c r="E538" s="6" t="str">
        <f ca="1">IFERROR(__xludf.DUMMYFUNCTION("""COMPUTED_VALUE"""),"Invite Next Year")</f>
        <v>Invite Next Year</v>
      </c>
      <c r="F538" s="6" t="e">
        <f t="shared" ca="1" si="2"/>
        <v>#NAME?</v>
      </c>
    </row>
    <row r="539" spans="1:6">
      <c r="A539" s="199">
        <f ca="1">IFERROR(__xludf.DUMMYFUNCTION("""COMPUTED_VALUE"""),44796)</f>
        <v>44796</v>
      </c>
      <c r="B539" s="6" t="str">
        <f ca="1">IFERROR(__xludf.DUMMYFUNCTION("""COMPUTED_VALUE"""),"Ascend Manufacturing Inc. _2022")</f>
        <v>Ascend Manufacturing Inc. _2022</v>
      </c>
      <c r="C539" s="6">
        <f ca="1">IFERROR(__xludf.DUMMYFUNCTION("""COMPUTED_VALUE"""),3.25)</f>
        <v>3.25</v>
      </c>
      <c r="D539" s="6" t="str">
        <f ca="1">IFERROR(__xludf.DUMMYFUNCTION("""COMPUTED_VALUE"""),"Deep Tech")</f>
        <v>Deep Tech</v>
      </c>
      <c r="E539" s="6" t="str">
        <f ca="1">IFERROR(__xludf.DUMMYFUNCTION("""COMPUTED_VALUE"""),"Invite Next Year")</f>
        <v>Invite Next Year</v>
      </c>
      <c r="F539" s="6" t="e">
        <f t="shared" ca="1" si="2"/>
        <v>#NAME?</v>
      </c>
    </row>
    <row r="540" spans="1:6">
      <c r="A540" s="199">
        <f ca="1">IFERROR(__xludf.DUMMYFUNCTION("""COMPUTED_VALUE"""),44796)</f>
        <v>44796</v>
      </c>
      <c r="B540" s="6" t="str">
        <f ca="1">IFERROR(__xludf.DUMMYFUNCTION("""COMPUTED_VALUE"""),"Oncoliq _2022")</f>
        <v>Oncoliq _2022</v>
      </c>
      <c r="C540" s="6">
        <f ca="1">IFERROR(__xludf.DUMMYFUNCTION("""COMPUTED_VALUE"""),3.25)</f>
        <v>3.25</v>
      </c>
      <c r="D540" s="6" t="str">
        <f ca="1">IFERROR(__xludf.DUMMYFUNCTION("""COMPUTED_VALUE"""),"Life Sciences")</f>
        <v>Life Sciences</v>
      </c>
      <c r="E540" s="6" t="str">
        <f ca="1">IFERROR(__xludf.DUMMYFUNCTION("""COMPUTED_VALUE"""),"Invite Next Year")</f>
        <v>Invite Next Year</v>
      </c>
      <c r="F540" s="6" t="e">
        <f t="shared" ca="1" si="2"/>
        <v>#NAME?</v>
      </c>
    </row>
    <row r="541" spans="1:6">
      <c r="A541" s="199">
        <f ca="1">IFERROR(__xludf.DUMMYFUNCTION("""COMPUTED_VALUE"""),44796)</f>
        <v>44796</v>
      </c>
      <c r="B541" s="6" t="str">
        <f ca="1">IFERROR(__xludf.DUMMYFUNCTION("""COMPUTED_VALUE"""),"Satocci (Legal name Satocci Finance AB) _2022")</f>
        <v>Satocci (Legal name Satocci Finance AB) _2022</v>
      </c>
      <c r="C541" s="6">
        <f ca="1">IFERROR(__xludf.DUMMYFUNCTION("""COMPUTED_VALUE"""),3.25)</f>
        <v>3.25</v>
      </c>
      <c r="D541" s="6" t="str">
        <f ca="1">IFERROR(__xludf.DUMMYFUNCTION("""COMPUTED_VALUE"""),"Digital Tech")</f>
        <v>Digital Tech</v>
      </c>
      <c r="E541" s="6" t="str">
        <f ca="1">IFERROR(__xludf.DUMMYFUNCTION("""COMPUTED_VALUE"""),"Invite Next Year")</f>
        <v>Invite Next Year</v>
      </c>
      <c r="F541" s="6" t="e">
        <f t="shared" ca="1" si="2"/>
        <v>#NAME?</v>
      </c>
    </row>
    <row r="542" spans="1:6">
      <c r="A542" s="199">
        <f ca="1">IFERROR(__xludf.DUMMYFUNCTION("""COMPUTED_VALUE"""),44796)</f>
        <v>44796</v>
      </c>
      <c r="B542" s="6" t="str">
        <f ca="1">IFERROR(__xludf.DUMMYFUNCTION("""COMPUTED_VALUE"""),"Labocine _2022")</f>
        <v>Labocine _2022</v>
      </c>
      <c r="C542" s="6">
        <f ca="1">IFERROR(__xludf.DUMMYFUNCTION("""COMPUTED_VALUE"""),3.25)</f>
        <v>3.25</v>
      </c>
      <c r="D542" s="6" t="str">
        <f ca="1">IFERROR(__xludf.DUMMYFUNCTION("""COMPUTED_VALUE"""),"Digital Tech")</f>
        <v>Digital Tech</v>
      </c>
      <c r="E542" s="6" t="str">
        <f ca="1">IFERROR(__xludf.DUMMYFUNCTION("""COMPUTED_VALUE"""),"Invite Next Year")</f>
        <v>Invite Next Year</v>
      </c>
      <c r="F542" s="6" t="e">
        <f t="shared" ca="1" si="2"/>
        <v>#NAME?</v>
      </c>
    </row>
    <row r="543" spans="1:6">
      <c r="A543" s="199">
        <f ca="1">IFERROR(__xludf.DUMMYFUNCTION("""COMPUTED_VALUE"""),44796)</f>
        <v>44796</v>
      </c>
      <c r="B543" s="6" t="str">
        <f ca="1">IFERROR(__xludf.DUMMYFUNCTION("""COMPUTED_VALUE"""),"Aqua Development _2022")</f>
        <v>Aqua Development _2022</v>
      </c>
      <c r="C543" s="6">
        <f ca="1">IFERROR(__xludf.DUMMYFUNCTION("""COMPUTED_VALUE"""),3.25)</f>
        <v>3.25</v>
      </c>
      <c r="D543" s="6" t="str">
        <f ca="1">IFERROR(__xludf.DUMMYFUNCTION("""COMPUTED_VALUE"""),"Deep Tech")</f>
        <v>Deep Tech</v>
      </c>
      <c r="E543" s="6" t="str">
        <f ca="1">IFERROR(__xludf.DUMMYFUNCTION("""COMPUTED_VALUE"""),"Invite Next Year")</f>
        <v>Invite Next Year</v>
      </c>
      <c r="F543" s="6" t="e">
        <f t="shared" ca="1" si="2"/>
        <v>#NAME?</v>
      </c>
    </row>
    <row r="544" spans="1:6">
      <c r="A544" s="199">
        <f ca="1">IFERROR(__xludf.DUMMYFUNCTION("""COMPUTED_VALUE"""),44796)</f>
        <v>44796</v>
      </c>
      <c r="B544" s="6" t="str">
        <f ca="1">IFERROR(__xludf.DUMMYFUNCTION("""COMPUTED_VALUE"""),"NXTSENS Microsystems Inc. _2022")</f>
        <v>NXTSENS Microsystems Inc. _2022</v>
      </c>
      <c r="C544" s="6">
        <f ca="1">IFERROR(__xludf.DUMMYFUNCTION("""COMPUTED_VALUE"""),3.25)</f>
        <v>3.25</v>
      </c>
      <c r="D544" s="6" t="str">
        <f ca="1">IFERROR(__xludf.DUMMYFUNCTION("""COMPUTED_VALUE"""),"Deep Tech")</f>
        <v>Deep Tech</v>
      </c>
      <c r="E544" s="6" t="str">
        <f ca="1">IFERROR(__xludf.DUMMYFUNCTION("""COMPUTED_VALUE"""),"Invite Next Year")</f>
        <v>Invite Next Year</v>
      </c>
      <c r="F544" s="6" t="e">
        <f t="shared" ca="1" si="2"/>
        <v>#NAME?</v>
      </c>
    </row>
    <row r="545" spans="1:6">
      <c r="A545" s="199">
        <f ca="1">IFERROR(__xludf.DUMMYFUNCTION("""COMPUTED_VALUE"""),44797)</f>
        <v>44797</v>
      </c>
      <c r="B545" s="6" t="str">
        <f ca="1">IFERROR(__xludf.DUMMYFUNCTION("""COMPUTED_VALUE"""),"Yuty  _2022")</f>
        <v>Yuty  _2022</v>
      </c>
      <c r="C545" s="6">
        <f ca="1">IFERROR(__xludf.DUMMYFUNCTION("""COMPUTED_VALUE"""),3.25)</f>
        <v>3.25</v>
      </c>
      <c r="D545" s="6" t="str">
        <f ca="1">IFERROR(__xludf.DUMMYFUNCTION("""COMPUTED_VALUE"""),"Digital Tech")</f>
        <v>Digital Tech</v>
      </c>
      <c r="E545" s="6" t="str">
        <f ca="1">IFERROR(__xludf.DUMMYFUNCTION("""COMPUTED_VALUE"""),"Invite Next Year")</f>
        <v>Invite Next Year</v>
      </c>
      <c r="F545" s="6" t="e">
        <f t="shared" ca="1" si="2"/>
        <v>#NAME?</v>
      </c>
    </row>
    <row r="546" spans="1:6">
      <c r="A546" s="199">
        <f ca="1">IFERROR(__xludf.DUMMYFUNCTION("""COMPUTED_VALUE"""),44797)</f>
        <v>44797</v>
      </c>
      <c r="B546" s="6" t="str">
        <f ca="1">IFERROR(__xludf.DUMMYFUNCTION("""COMPUTED_VALUE"""),"Oxus.AI _2022")</f>
        <v>Oxus.AI _2022</v>
      </c>
      <c r="C546" s="6">
        <f ca="1">IFERROR(__xludf.DUMMYFUNCTION("""COMPUTED_VALUE"""),3.25)</f>
        <v>3.25</v>
      </c>
      <c r="D546" s="6" t="str">
        <f ca="1">IFERROR(__xludf.DUMMYFUNCTION("""COMPUTED_VALUE"""),"Digital Tech")</f>
        <v>Digital Tech</v>
      </c>
      <c r="E546" s="6" t="str">
        <f ca="1">IFERROR(__xludf.DUMMYFUNCTION("""COMPUTED_VALUE"""),"Invite Next Year")</f>
        <v>Invite Next Year</v>
      </c>
      <c r="F546" s="6" t="e">
        <f t="shared" ca="1" si="2"/>
        <v>#NAME?</v>
      </c>
    </row>
    <row r="547" spans="1:6">
      <c r="A547" s="199">
        <f ca="1">IFERROR(__xludf.DUMMYFUNCTION("""COMPUTED_VALUE"""),44797)</f>
        <v>44797</v>
      </c>
      <c r="B547" s="6" t="str">
        <f ca="1">IFERROR(__xludf.DUMMYFUNCTION("""COMPUTED_VALUE"""),"Liv Labs Inc. _2022")</f>
        <v>Liv Labs Inc. _2022</v>
      </c>
      <c r="C547" s="6">
        <f ca="1">IFERROR(__xludf.DUMMYFUNCTION("""COMPUTED_VALUE"""),3.25)</f>
        <v>3.25</v>
      </c>
      <c r="D547" s="6" t="str">
        <f ca="1">IFERROR(__xludf.DUMMYFUNCTION("""COMPUTED_VALUE"""),"Digital Tech")</f>
        <v>Digital Tech</v>
      </c>
      <c r="E547" s="6" t="str">
        <f ca="1">IFERROR(__xludf.DUMMYFUNCTION("""COMPUTED_VALUE"""),"Invite Next Year")</f>
        <v>Invite Next Year</v>
      </c>
      <c r="F547" s="6" t="e">
        <f t="shared" ca="1" si="2"/>
        <v>#NAME?</v>
      </c>
    </row>
    <row r="548" spans="1:6">
      <c r="A548" s="199">
        <f ca="1">IFERROR(__xludf.DUMMYFUNCTION("""COMPUTED_VALUE"""),44797)</f>
        <v>44797</v>
      </c>
      <c r="B548" s="6" t="str">
        <f ca="1">IFERROR(__xludf.DUMMYFUNCTION("""COMPUTED_VALUE"""),"Visi Health Technologies  _2022")</f>
        <v>Visi Health Technologies  _2022</v>
      </c>
      <c r="C548" s="6">
        <f ca="1">IFERROR(__xludf.DUMMYFUNCTION("""COMPUTED_VALUE"""),3.25)</f>
        <v>3.25</v>
      </c>
      <c r="D548" s="6" t="str">
        <f ca="1">IFERROR(__xludf.DUMMYFUNCTION("""COMPUTED_VALUE"""),"Digital Tech")</f>
        <v>Digital Tech</v>
      </c>
      <c r="E548" s="6" t="str">
        <f ca="1">IFERROR(__xludf.DUMMYFUNCTION("""COMPUTED_VALUE"""),"Special Reject")</f>
        <v>Special Reject</v>
      </c>
      <c r="F548" s="6" t="e">
        <f t="shared" ca="1" si="2"/>
        <v>#NAME?</v>
      </c>
    </row>
    <row r="549" spans="1:6">
      <c r="A549" s="199">
        <f ca="1">IFERROR(__xludf.DUMMYFUNCTION("""COMPUTED_VALUE"""),44797)</f>
        <v>44797</v>
      </c>
      <c r="B549" s="6" t="str">
        <f ca="1">IFERROR(__xludf.DUMMYFUNCTION("""COMPUTED_VALUE"""),"Eve World Platform Pte Ltd  _2022")</f>
        <v>Eve World Platform Pte Ltd  _2022</v>
      </c>
      <c r="C549" s="6">
        <f ca="1">IFERROR(__xludf.DUMMYFUNCTION("""COMPUTED_VALUE"""),3.25)</f>
        <v>3.25</v>
      </c>
      <c r="D549" s="6" t="str">
        <f ca="1">IFERROR(__xludf.DUMMYFUNCTION("""COMPUTED_VALUE"""),"Digital Tech")</f>
        <v>Digital Tech</v>
      </c>
      <c r="E549" s="6" t="str">
        <f ca="1">IFERROR(__xludf.DUMMYFUNCTION("""COMPUTED_VALUE"""),"Invite Next Year")</f>
        <v>Invite Next Year</v>
      </c>
      <c r="F549" s="6" t="e">
        <f t="shared" ca="1" si="2"/>
        <v>#NAME?</v>
      </c>
    </row>
    <row r="550" spans="1:6">
      <c r="A550" s="199">
        <f ca="1">IFERROR(__xludf.DUMMYFUNCTION("""COMPUTED_VALUE"""),44797)</f>
        <v>44797</v>
      </c>
      <c r="B550" s="6" t="str">
        <f ca="1">IFERROR(__xludf.DUMMYFUNCTION("""COMPUTED_VALUE"""),"MDDx, Inc. _2022")</f>
        <v>MDDx, Inc. _2022</v>
      </c>
      <c r="C550" s="6">
        <f ca="1">IFERROR(__xludf.DUMMYFUNCTION("""COMPUTED_VALUE"""),3.25)</f>
        <v>3.25</v>
      </c>
      <c r="D550" s="6" t="str">
        <f ca="1">IFERROR(__xludf.DUMMYFUNCTION("""COMPUTED_VALUE"""),"Life Sciences")</f>
        <v>Life Sciences</v>
      </c>
      <c r="E550" s="6" t="str">
        <f ca="1">IFERROR(__xludf.DUMMYFUNCTION("""COMPUTED_VALUE"""),"Revisit/ Cluster")</f>
        <v>Revisit/ Cluster</v>
      </c>
      <c r="F550" s="6" t="e">
        <f t="shared" ca="1" si="2"/>
        <v>#NAME?</v>
      </c>
    </row>
    <row r="551" spans="1:6">
      <c r="A551" s="199">
        <f ca="1">IFERROR(__xludf.DUMMYFUNCTION("""COMPUTED_VALUE"""),44797)</f>
        <v>44797</v>
      </c>
      <c r="B551" s="6" t="str">
        <f ca="1">IFERROR(__xludf.DUMMYFUNCTION("""COMPUTED_VALUE"""),"Yuty _2022")</f>
        <v>Yuty _2022</v>
      </c>
      <c r="C551" s="6">
        <f ca="1">IFERROR(__xludf.DUMMYFUNCTION("""COMPUTED_VALUE"""),3.25)</f>
        <v>3.25</v>
      </c>
      <c r="D551" s="6" t="str">
        <f ca="1">IFERROR(__xludf.DUMMYFUNCTION("""COMPUTED_VALUE"""),"Digital Tech")</f>
        <v>Digital Tech</v>
      </c>
      <c r="E551" s="6" t="str">
        <f ca="1">IFERROR(__xludf.DUMMYFUNCTION("""COMPUTED_VALUE"""),"Invite Next Year")</f>
        <v>Invite Next Year</v>
      </c>
      <c r="F551" s="6" t="e">
        <f t="shared" ca="1" si="2"/>
        <v>#NAME?</v>
      </c>
    </row>
    <row r="552" spans="1:6">
      <c r="A552" s="199">
        <f ca="1">IFERROR(__xludf.DUMMYFUNCTION("""COMPUTED_VALUE"""),44797)</f>
        <v>44797</v>
      </c>
      <c r="B552" s="6" t="str">
        <f ca="1">IFERROR(__xludf.DUMMYFUNCTION("""COMPUTED_VALUE"""),"Perception Grid  _2022")</f>
        <v>Perception Grid  _2022</v>
      </c>
      <c r="C552" s="6">
        <f ca="1">IFERROR(__xludf.DUMMYFUNCTION("""COMPUTED_VALUE"""),3.25)</f>
        <v>3.25</v>
      </c>
      <c r="D552" s="6" t="str">
        <f ca="1">IFERROR(__xludf.DUMMYFUNCTION("""COMPUTED_VALUE"""),"Digital Tech")</f>
        <v>Digital Tech</v>
      </c>
      <c r="E552" s="6" t="str">
        <f ca="1">IFERROR(__xludf.DUMMYFUNCTION("""COMPUTED_VALUE"""),"Invite Next Year")</f>
        <v>Invite Next Year</v>
      </c>
      <c r="F552" s="6" t="e">
        <f t="shared" ca="1" si="2"/>
        <v>#NAME?</v>
      </c>
    </row>
    <row r="553" spans="1:6">
      <c r="A553" s="199">
        <f ca="1">IFERROR(__xludf.DUMMYFUNCTION("""COMPUTED_VALUE"""),44797)</f>
        <v>44797</v>
      </c>
      <c r="B553" s="6" t="str">
        <f ca="1">IFERROR(__xludf.DUMMYFUNCTION("""COMPUTED_VALUE"""),"Udeesa Systemics &amp; Technology _2022")</f>
        <v>Udeesa Systemics &amp; Technology _2022</v>
      </c>
      <c r="C553" s="6">
        <f ca="1">IFERROR(__xludf.DUMMYFUNCTION("""COMPUTED_VALUE"""),3.25)</f>
        <v>3.25</v>
      </c>
      <c r="D553" s="6" t="str">
        <f ca="1">IFERROR(__xludf.DUMMYFUNCTION("""COMPUTED_VALUE"""),"Digital Tech")</f>
        <v>Digital Tech</v>
      </c>
      <c r="E553" s="6" t="str">
        <f ca="1">IFERROR(__xludf.DUMMYFUNCTION("""COMPUTED_VALUE"""),"Invite Next Year")</f>
        <v>Invite Next Year</v>
      </c>
      <c r="F553" s="6" t="e">
        <f t="shared" ca="1" si="2"/>
        <v>#NAME?</v>
      </c>
    </row>
    <row r="554" spans="1:6">
      <c r="A554" s="199">
        <f ca="1">IFERROR(__xludf.DUMMYFUNCTION("""COMPUTED_VALUE"""),44789)</f>
        <v>44789</v>
      </c>
      <c r="B554" s="6" t="str">
        <f ca="1">IFERROR(__xludf.DUMMYFUNCTION("""COMPUTED_VALUE"""),"Friendlyforce, Inc. _2022")</f>
        <v>Friendlyforce, Inc. _2022</v>
      </c>
      <c r="C554" s="6">
        <f ca="1">IFERROR(__xludf.DUMMYFUNCTION("""COMPUTED_VALUE"""),3.13)</f>
        <v>3.13</v>
      </c>
      <c r="D554" s="6" t="str">
        <f ca="1">IFERROR(__xludf.DUMMYFUNCTION("""COMPUTED_VALUE"""),"Digital Tech")</f>
        <v>Digital Tech</v>
      </c>
      <c r="E554" s="6" t="str">
        <f ca="1">IFERROR(__xludf.DUMMYFUNCTION("""COMPUTED_VALUE"""),"Invite Next Year")</f>
        <v>Invite Next Year</v>
      </c>
      <c r="F554" s="6" t="e">
        <f t="shared" ca="1" si="2"/>
        <v>#NAME?</v>
      </c>
    </row>
    <row r="555" spans="1:6">
      <c r="A555" s="199">
        <f ca="1">IFERROR(__xludf.DUMMYFUNCTION("""COMPUTED_VALUE"""),44776)</f>
        <v>44776</v>
      </c>
      <c r="B555" s="6" t="str">
        <f ca="1">IFERROR(__xludf.DUMMYFUNCTION("""COMPUTED_VALUE"""),"Linshom Medical, Inc. _2022")</f>
        <v>Linshom Medical, Inc. _2022</v>
      </c>
      <c r="C555" s="6">
        <f ca="1">IFERROR(__xludf.DUMMYFUNCTION("""COMPUTED_VALUE"""),3)</f>
        <v>3</v>
      </c>
      <c r="D555" s="6" t="str">
        <f ca="1">IFERROR(__xludf.DUMMYFUNCTION("""COMPUTED_VALUE"""),"Deep Tech")</f>
        <v>Deep Tech</v>
      </c>
      <c r="E555" s="6" t="str">
        <f ca="1">IFERROR(__xludf.DUMMYFUNCTION("""COMPUTED_VALUE"""),"Invite Next Year")</f>
        <v>Invite Next Year</v>
      </c>
      <c r="F555" s="6" t="e">
        <f t="shared" ca="1" si="2"/>
        <v>#NAME?</v>
      </c>
    </row>
    <row r="556" spans="1:6">
      <c r="A556" s="199">
        <f ca="1">IFERROR(__xludf.DUMMYFUNCTION("""COMPUTED_VALUE"""),44776)</f>
        <v>44776</v>
      </c>
      <c r="B556" s="6" t="str">
        <f ca="1">IFERROR(__xludf.DUMMYFUNCTION("""COMPUTED_VALUE"""),"PredictNow.ai _2022")</f>
        <v>PredictNow.ai _2022</v>
      </c>
      <c r="C556" s="6">
        <f ca="1">IFERROR(__xludf.DUMMYFUNCTION("""COMPUTED_VALUE"""),3)</f>
        <v>3</v>
      </c>
      <c r="D556" s="6" t="str">
        <f ca="1">IFERROR(__xludf.DUMMYFUNCTION("""COMPUTED_VALUE"""),"Digital Tech")</f>
        <v>Digital Tech</v>
      </c>
      <c r="E556" s="6" t="str">
        <f ca="1">IFERROR(__xludf.DUMMYFUNCTION("""COMPUTED_VALUE"""),"Revisit/ Cluster")</f>
        <v>Revisit/ Cluster</v>
      </c>
      <c r="F556" s="6" t="e">
        <f t="shared" ca="1" si="2"/>
        <v>#NAME?</v>
      </c>
    </row>
    <row r="557" spans="1:6">
      <c r="A557" s="199">
        <f ca="1">IFERROR(__xludf.DUMMYFUNCTION("""COMPUTED_VALUE"""),44776)</f>
        <v>44776</v>
      </c>
      <c r="B557" s="6" t="str">
        <f ca="1">IFERROR(__xludf.DUMMYFUNCTION("""COMPUTED_VALUE"""),"Maalexi _2022")</f>
        <v>Maalexi _2022</v>
      </c>
      <c r="C557" s="6">
        <f ca="1">IFERROR(__xludf.DUMMYFUNCTION("""COMPUTED_VALUE"""),3)</f>
        <v>3</v>
      </c>
      <c r="D557" s="6" t="str">
        <f ca="1">IFERROR(__xludf.DUMMYFUNCTION("""COMPUTED_VALUE"""),"Digital Tech")</f>
        <v>Digital Tech</v>
      </c>
      <c r="E557" s="6" t="str">
        <f ca="1">IFERROR(__xludf.DUMMYFUNCTION("""COMPUTED_VALUE"""),"Invite Next Year")</f>
        <v>Invite Next Year</v>
      </c>
      <c r="F557" s="6" t="e">
        <f t="shared" ca="1" si="2"/>
        <v>#NAME?</v>
      </c>
    </row>
    <row r="558" spans="1:6">
      <c r="A558" s="199">
        <f ca="1">IFERROR(__xludf.DUMMYFUNCTION("""COMPUTED_VALUE"""),44776)</f>
        <v>44776</v>
      </c>
      <c r="B558" s="6" t="str">
        <f ca="1">IFERROR(__xludf.DUMMYFUNCTION("""COMPUTED_VALUE"""),"iCover _2022")</f>
        <v>iCover _2022</v>
      </c>
      <c r="C558" s="6">
        <f ca="1">IFERROR(__xludf.DUMMYFUNCTION("""COMPUTED_VALUE"""),3)</f>
        <v>3</v>
      </c>
      <c r="D558" s="6" t="str">
        <f ca="1">IFERROR(__xludf.DUMMYFUNCTION("""COMPUTED_VALUE"""),"Digital Tech")</f>
        <v>Digital Tech</v>
      </c>
      <c r="E558" s="6" t="str">
        <f ca="1">IFERROR(__xludf.DUMMYFUNCTION("""COMPUTED_VALUE"""),"Invite Next Year")</f>
        <v>Invite Next Year</v>
      </c>
      <c r="F558" s="6" t="e">
        <f t="shared" ca="1" si="2"/>
        <v>#NAME?</v>
      </c>
    </row>
    <row r="559" spans="1:6">
      <c r="A559" s="199">
        <f ca="1">IFERROR(__xludf.DUMMYFUNCTION("""COMPUTED_VALUE"""),44776)</f>
        <v>44776</v>
      </c>
      <c r="B559" s="6" t="str">
        <f ca="1">IFERROR(__xludf.DUMMYFUNCTION("""COMPUTED_VALUE"""),"Viridian Space Corporation _2022")</f>
        <v>Viridian Space Corporation _2022</v>
      </c>
      <c r="C559" s="6">
        <f ca="1">IFERROR(__xludf.DUMMYFUNCTION("""COMPUTED_VALUE"""),3)</f>
        <v>3</v>
      </c>
      <c r="D559" s="6" t="str">
        <f ca="1">IFERROR(__xludf.DUMMYFUNCTION("""COMPUTED_VALUE"""),"Deep Tech")</f>
        <v>Deep Tech</v>
      </c>
      <c r="E559" s="6" t="str">
        <f ca="1">IFERROR(__xludf.DUMMYFUNCTION("""COMPUTED_VALUE"""),"Revisit/ Cluster")</f>
        <v>Revisit/ Cluster</v>
      </c>
      <c r="F559" s="6" t="e">
        <f t="shared" ca="1" si="2"/>
        <v>#NAME?</v>
      </c>
    </row>
    <row r="560" spans="1:6">
      <c r="A560" s="199">
        <f ca="1">IFERROR(__xludf.DUMMYFUNCTION("""COMPUTED_VALUE"""),44776)</f>
        <v>44776</v>
      </c>
      <c r="B560" s="6" t="str">
        <f ca="1">IFERROR(__xludf.DUMMYFUNCTION("""COMPUTED_VALUE"""),"Kambio _2022")</f>
        <v>Kambio _2022</v>
      </c>
      <c r="C560" s="6">
        <f ca="1">IFERROR(__xludf.DUMMYFUNCTION("""COMPUTED_VALUE"""),3)</f>
        <v>3</v>
      </c>
      <c r="D560" s="6" t="str">
        <f ca="1">IFERROR(__xludf.DUMMYFUNCTION("""COMPUTED_VALUE"""),"Digital Tech")</f>
        <v>Digital Tech</v>
      </c>
      <c r="E560" s="6" t="str">
        <f ca="1">IFERROR(__xludf.DUMMYFUNCTION("""COMPUTED_VALUE"""),"Invite Next Year")</f>
        <v>Invite Next Year</v>
      </c>
      <c r="F560" s="6" t="e">
        <f t="shared" ca="1" si="2"/>
        <v>#NAME?</v>
      </c>
    </row>
    <row r="561" spans="1:6">
      <c r="A561" s="199">
        <f ca="1">IFERROR(__xludf.DUMMYFUNCTION("""COMPUTED_VALUE"""),44776)</f>
        <v>44776</v>
      </c>
      <c r="B561" s="6" t="str">
        <f ca="1">IFERROR(__xludf.DUMMYFUNCTION("""COMPUTED_VALUE"""),"Proactive Life Inc (SleepSpace) _2022")</f>
        <v>Proactive Life Inc (SleepSpace) _2022</v>
      </c>
      <c r="C561" s="6">
        <f ca="1">IFERROR(__xludf.DUMMYFUNCTION("""COMPUTED_VALUE"""),3)</f>
        <v>3</v>
      </c>
      <c r="D561" s="6" t="str">
        <f ca="1">IFERROR(__xludf.DUMMYFUNCTION("""COMPUTED_VALUE"""),"Deep Tech")</f>
        <v>Deep Tech</v>
      </c>
      <c r="E561" s="6" t="str">
        <f ca="1">IFERROR(__xludf.DUMMYFUNCTION("""COMPUTED_VALUE"""),"Invite Next Year")</f>
        <v>Invite Next Year</v>
      </c>
      <c r="F561" s="6" t="e">
        <f t="shared" ca="1" si="2"/>
        <v>#NAME?</v>
      </c>
    </row>
    <row r="562" spans="1:6">
      <c r="A562" s="199">
        <f ca="1">IFERROR(__xludf.DUMMYFUNCTION("""COMPUTED_VALUE"""),44776)</f>
        <v>44776</v>
      </c>
      <c r="B562" s="6" t="str">
        <f ca="1">IFERROR(__xludf.DUMMYFUNCTION("""COMPUTED_VALUE"""),"ARDA Biomaterials _2022")</f>
        <v>ARDA Biomaterials _2022</v>
      </c>
      <c r="C562" s="6">
        <f ca="1">IFERROR(__xludf.DUMMYFUNCTION("""COMPUTED_VALUE"""),3)</f>
        <v>3</v>
      </c>
      <c r="D562" s="6" t="str">
        <f ca="1">IFERROR(__xludf.DUMMYFUNCTION("""COMPUTED_VALUE"""),"Deep Tech")</f>
        <v>Deep Tech</v>
      </c>
      <c r="E562" s="6" t="str">
        <f ca="1">IFERROR(__xludf.DUMMYFUNCTION("""COMPUTED_VALUE"""),"Invite Next Year")</f>
        <v>Invite Next Year</v>
      </c>
      <c r="F562" s="6" t="e">
        <f t="shared" ca="1" si="2"/>
        <v>#NAME?</v>
      </c>
    </row>
    <row r="563" spans="1:6">
      <c r="A563" s="199">
        <f ca="1">IFERROR(__xludf.DUMMYFUNCTION("""COMPUTED_VALUE"""),44782)</f>
        <v>44782</v>
      </c>
      <c r="B563" s="6" t="str">
        <f ca="1">IFERROR(__xludf.DUMMYFUNCTION("""COMPUTED_VALUE"""),"Kaveat _2022")</f>
        <v>Kaveat _2022</v>
      </c>
      <c r="C563" s="6">
        <f ca="1">IFERROR(__xludf.DUMMYFUNCTION("""COMPUTED_VALUE"""),3)</f>
        <v>3</v>
      </c>
      <c r="D563" s="6" t="str">
        <f ca="1">IFERROR(__xludf.DUMMYFUNCTION("""COMPUTED_VALUE"""),"Digital Tech")</f>
        <v>Digital Tech</v>
      </c>
      <c r="E563" s="6" t="str">
        <f ca="1">IFERROR(__xludf.DUMMYFUNCTION("""COMPUTED_VALUE"""),"Invite Next Year")</f>
        <v>Invite Next Year</v>
      </c>
      <c r="F563" s="6" t="e">
        <f t="shared" ca="1" si="2"/>
        <v>#NAME?</v>
      </c>
    </row>
    <row r="564" spans="1:6">
      <c r="A564" s="199">
        <f ca="1">IFERROR(__xludf.DUMMYFUNCTION("""COMPUTED_VALUE"""),44782)</f>
        <v>44782</v>
      </c>
      <c r="B564" s="6" t="str">
        <f ca="1">IFERROR(__xludf.DUMMYFUNCTION("""COMPUTED_VALUE"""),"Meili Technologies _2022")</f>
        <v>Meili Technologies _2022</v>
      </c>
      <c r="C564" s="6">
        <f ca="1">IFERROR(__xludf.DUMMYFUNCTION("""COMPUTED_VALUE"""),3)</f>
        <v>3</v>
      </c>
      <c r="D564" s="6" t="str">
        <f ca="1">IFERROR(__xludf.DUMMYFUNCTION("""COMPUTED_VALUE"""),"Deep Tech")</f>
        <v>Deep Tech</v>
      </c>
      <c r="E564" s="6" t="str">
        <f ca="1">IFERROR(__xludf.DUMMYFUNCTION("""COMPUTED_VALUE"""),"Invite Next Year")</f>
        <v>Invite Next Year</v>
      </c>
      <c r="F564" s="6" t="e">
        <f t="shared" ca="1" si="2"/>
        <v>#NAME?</v>
      </c>
    </row>
    <row r="565" spans="1:6">
      <c r="A565" s="199">
        <f ca="1">IFERROR(__xludf.DUMMYFUNCTION("""COMPUTED_VALUE"""),44782)</f>
        <v>44782</v>
      </c>
      <c r="B565" s="6" t="str">
        <f ca="1">IFERROR(__xludf.DUMMYFUNCTION("""COMPUTED_VALUE"""),"Augment Health, Inc. _2022")</f>
        <v>Augment Health, Inc. _2022</v>
      </c>
      <c r="C565" s="6">
        <f ca="1">IFERROR(__xludf.DUMMYFUNCTION("""COMPUTED_VALUE"""),3)</f>
        <v>3</v>
      </c>
      <c r="D565" s="6" t="str">
        <f ca="1">IFERROR(__xludf.DUMMYFUNCTION("""COMPUTED_VALUE"""),"Deep Tech")</f>
        <v>Deep Tech</v>
      </c>
      <c r="E565" s="6" t="str">
        <f ca="1">IFERROR(__xludf.DUMMYFUNCTION("""COMPUTED_VALUE"""),"Invite Next Year")</f>
        <v>Invite Next Year</v>
      </c>
      <c r="F565" s="6" t="e">
        <f t="shared" ca="1" si="2"/>
        <v>#NAME?</v>
      </c>
    </row>
    <row r="566" spans="1:6">
      <c r="A566" s="199">
        <f ca="1">IFERROR(__xludf.DUMMYFUNCTION("""COMPUTED_VALUE"""),44782)</f>
        <v>44782</v>
      </c>
      <c r="B566" s="6" t="str">
        <f ca="1">IFERROR(__xludf.DUMMYFUNCTION("""COMPUTED_VALUE"""),"Diversican Corporation _2022")</f>
        <v>Diversican Corporation _2022</v>
      </c>
      <c r="C566" s="6">
        <f ca="1">IFERROR(__xludf.DUMMYFUNCTION("""COMPUTED_VALUE"""),3)</f>
        <v>3</v>
      </c>
      <c r="D566" s="6" t="str">
        <f ca="1">IFERROR(__xludf.DUMMYFUNCTION("""COMPUTED_VALUE"""),"Deep Tech")</f>
        <v>Deep Tech</v>
      </c>
      <c r="E566" s="6" t="str">
        <f ca="1">IFERROR(__xludf.DUMMYFUNCTION("""COMPUTED_VALUE"""),"Invite Next Year")</f>
        <v>Invite Next Year</v>
      </c>
      <c r="F566" s="6" t="e">
        <f t="shared" ca="1" si="2"/>
        <v>#NAME?</v>
      </c>
    </row>
    <row r="567" spans="1:6">
      <c r="A567" s="199">
        <f ca="1">IFERROR(__xludf.DUMMYFUNCTION("""COMPUTED_VALUE"""),44782)</f>
        <v>44782</v>
      </c>
      <c r="B567" s="6" t="str">
        <f ca="1">IFERROR(__xludf.DUMMYFUNCTION("""COMPUTED_VALUE"""),"Sahara Cloud _2022")</f>
        <v>Sahara Cloud _2022</v>
      </c>
      <c r="C567" s="6">
        <f ca="1">IFERROR(__xludf.DUMMYFUNCTION("""COMPUTED_VALUE"""),3)</f>
        <v>3</v>
      </c>
      <c r="D567" s="6" t="str">
        <f ca="1">IFERROR(__xludf.DUMMYFUNCTION("""COMPUTED_VALUE"""),"Digital Tech")</f>
        <v>Digital Tech</v>
      </c>
      <c r="E567" s="6" t="str">
        <f ca="1">IFERROR(__xludf.DUMMYFUNCTION("""COMPUTED_VALUE"""),"Special Reject")</f>
        <v>Special Reject</v>
      </c>
      <c r="F567" s="6" t="e">
        <f t="shared" ca="1" si="2"/>
        <v>#NAME?</v>
      </c>
    </row>
    <row r="568" spans="1:6">
      <c r="A568" s="199">
        <f ca="1">IFERROR(__xludf.DUMMYFUNCTION("""COMPUTED_VALUE"""),44782)</f>
        <v>44782</v>
      </c>
      <c r="B568" s="6" t="str">
        <f ca="1">IFERROR(__xludf.DUMMYFUNCTION("""COMPUTED_VALUE"""),"Soli _2022")</f>
        <v>Soli _2022</v>
      </c>
      <c r="C568" s="6">
        <f ca="1">IFERROR(__xludf.DUMMYFUNCTION("""COMPUTED_VALUE"""),3)</f>
        <v>3</v>
      </c>
      <c r="D568" s="6" t="str">
        <f ca="1">IFERROR(__xludf.DUMMYFUNCTION("""COMPUTED_VALUE"""),"Digital Tech")</f>
        <v>Digital Tech</v>
      </c>
      <c r="E568" s="6" t="str">
        <f ca="1">IFERROR(__xludf.DUMMYFUNCTION("""COMPUTED_VALUE"""),"Invite Next Year")</f>
        <v>Invite Next Year</v>
      </c>
      <c r="F568" s="6" t="e">
        <f t="shared" ca="1" si="2"/>
        <v>#NAME?</v>
      </c>
    </row>
    <row r="569" spans="1:6">
      <c r="A569" s="199">
        <f ca="1">IFERROR(__xludf.DUMMYFUNCTION("""COMPUTED_VALUE"""),44782)</f>
        <v>44782</v>
      </c>
      <c r="B569" s="6" t="str">
        <f ca="1">IFERROR(__xludf.DUMMYFUNCTION("""COMPUTED_VALUE"""),"PACE Inc. _2022")</f>
        <v>PACE Inc. _2022</v>
      </c>
      <c r="C569" s="6">
        <f ca="1">IFERROR(__xludf.DUMMYFUNCTION("""COMPUTED_VALUE"""),3)</f>
        <v>3</v>
      </c>
      <c r="D569" s="6" t="str">
        <f ca="1">IFERROR(__xludf.DUMMYFUNCTION("""COMPUTED_VALUE"""),"Deep Tech")</f>
        <v>Deep Tech</v>
      </c>
      <c r="E569" s="6" t="str">
        <f ca="1">IFERROR(__xludf.DUMMYFUNCTION("""COMPUTED_VALUE"""),"Invite Next Year")</f>
        <v>Invite Next Year</v>
      </c>
      <c r="F569" s="6" t="e">
        <f t="shared" ca="1" si="2"/>
        <v>#NAME?</v>
      </c>
    </row>
    <row r="570" spans="1:6">
      <c r="A570" s="199">
        <f ca="1">IFERROR(__xludf.DUMMYFUNCTION("""COMPUTED_VALUE"""),44782)</f>
        <v>44782</v>
      </c>
      <c r="B570" s="6" t="str">
        <f ca="1">IFERROR(__xludf.DUMMYFUNCTION("""COMPUTED_VALUE"""),"Parrots Inc. _2022")</f>
        <v>Parrots Inc. _2022</v>
      </c>
      <c r="C570" s="6">
        <f ca="1">IFERROR(__xludf.DUMMYFUNCTION("""COMPUTED_VALUE"""),3)</f>
        <v>3</v>
      </c>
      <c r="D570" s="6" t="str">
        <f ca="1">IFERROR(__xludf.DUMMYFUNCTION("""COMPUTED_VALUE"""),"Life Sciences")</f>
        <v>Life Sciences</v>
      </c>
      <c r="E570" s="6" t="str">
        <f ca="1">IFERROR(__xludf.DUMMYFUNCTION("""COMPUTED_VALUE"""),"Invite Next Year")</f>
        <v>Invite Next Year</v>
      </c>
      <c r="F570" s="6" t="e">
        <f t="shared" ca="1" si="2"/>
        <v>#NAME?</v>
      </c>
    </row>
    <row r="571" spans="1:6">
      <c r="A571" s="199">
        <f ca="1">IFERROR(__xludf.DUMMYFUNCTION("""COMPUTED_VALUE"""),44782)</f>
        <v>44782</v>
      </c>
      <c r="B571" s="6" t="str">
        <f ca="1">IFERROR(__xludf.DUMMYFUNCTION("""COMPUTED_VALUE"""),"3 Ridge Technologies _2022")</f>
        <v>3 Ridge Technologies _2022</v>
      </c>
      <c r="C571" s="6">
        <f ca="1">IFERROR(__xludf.DUMMYFUNCTION("""COMPUTED_VALUE"""),3)</f>
        <v>3</v>
      </c>
      <c r="D571" s="6" t="str">
        <f ca="1">IFERROR(__xludf.DUMMYFUNCTION("""COMPUTED_VALUE"""),"Life Sciences")</f>
        <v>Life Sciences</v>
      </c>
      <c r="E571" s="6" t="str">
        <f ca="1">IFERROR(__xludf.DUMMYFUNCTION("""COMPUTED_VALUE"""),"Revisit/ Cluster")</f>
        <v>Revisit/ Cluster</v>
      </c>
      <c r="F571" s="6" t="e">
        <f t="shared" ca="1" si="2"/>
        <v>#NAME?</v>
      </c>
    </row>
    <row r="572" spans="1:6">
      <c r="A572" s="199">
        <f ca="1">IFERROR(__xludf.DUMMYFUNCTION("""COMPUTED_VALUE"""),44782)</f>
        <v>44782</v>
      </c>
      <c r="B572" s="6" t="str">
        <f ca="1">IFERROR(__xludf.DUMMYFUNCTION("""COMPUTED_VALUE"""),"Propelle Therapeutics, Inc. _2022")</f>
        <v>Propelle Therapeutics, Inc. _2022</v>
      </c>
      <c r="C572" s="6">
        <f ca="1">IFERROR(__xludf.DUMMYFUNCTION("""COMPUTED_VALUE"""),3)</f>
        <v>3</v>
      </c>
      <c r="D572" s="6" t="str">
        <f ca="1">IFERROR(__xludf.DUMMYFUNCTION("""COMPUTED_VALUE"""),"Life Sciences")</f>
        <v>Life Sciences</v>
      </c>
      <c r="E572" s="6" t="str">
        <f ca="1">IFERROR(__xludf.DUMMYFUNCTION("""COMPUTED_VALUE"""),"Revisit")</f>
        <v>Revisit</v>
      </c>
      <c r="F572" s="6" t="e">
        <f t="shared" ca="1" si="2"/>
        <v>#NAME?</v>
      </c>
    </row>
    <row r="573" spans="1:6">
      <c r="A573" s="199">
        <f ca="1">IFERROR(__xludf.DUMMYFUNCTION("""COMPUTED_VALUE"""),44782)</f>
        <v>44782</v>
      </c>
      <c r="B573" s="6" t="str">
        <f ca="1">IFERROR(__xludf.DUMMYFUNCTION("""COMPUTED_VALUE"""),"Mana.bio _2022")</f>
        <v>Mana.bio _2022</v>
      </c>
      <c r="C573" s="6">
        <f ca="1">IFERROR(__xludf.DUMMYFUNCTION("""COMPUTED_VALUE"""),3)</f>
        <v>3</v>
      </c>
      <c r="D573" s="6" t="str">
        <f ca="1">IFERROR(__xludf.DUMMYFUNCTION("""COMPUTED_VALUE"""),"Life Sciences")</f>
        <v>Life Sciences</v>
      </c>
      <c r="E573" s="6" t="str">
        <f ca="1">IFERROR(__xludf.DUMMYFUNCTION("""COMPUTED_VALUE"""),"Special Reject")</f>
        <v>Special Reject</v>
      </c>
      <c r="F573" s="6" t="e">
        <f t="shared" ca="1" si="2"/>
        <v>#NAME?</v>
      </c>
    </row>
    <row r="574" spans="1:6">
      <c r="A574" s="199">
        <f ca="1">IFERROR(__xludf.DUMMYFUNCTION("""COMPUTED_VALUE"""),44784)</f>
        <v>44784</v>
      </c>
      <c r="B574" s="6" t="str">
        <f ca="1">IFERROR(__xludf.DUMMYFUNCTION("""COMPUTED_VALUE"""),"Tooliqa Inc. _2022")</f>
        <v>Tooliqa Inc. _2022</v>
      </c>
      <c r="C574" s="6">
        <f ca="1">IFERROR(__xludf.DUMMYFUNCTION("""COMPUTED_VALUE"""),3)</f>
        <v>3</v>
      </c>
      <c r="D574" s="6" t="str">
        <f ca="1">IFERROR(__xludf.DUMMYFUNCTION("""COMPUTED_VALUE"""),"Deep Tech")</f>
        <v>Deep Tech</v>
      </c>
      <c r="E574" s="6" t="str">
        <f ca="1">IFERROR(__xludf.DUMMYFUNCTION("""COMPUTED_VALUE"""),"Invite Next Year")</f>
        <v>Invite Next Year</v>
      </c>
      <c r="F574" s="6" t="e">
        <f t="shared" ca="1" si="2"/>
        <v>#NAME?</v>
      </c>
    </row>
    <row r="575" spans="1:6">
      <c r="A575" s="199">
        <f ca="1">IFERROR(__xludf.DUMMYFUNCTION("""COMPUTED_VALUE"""),44784)</f>
        <v>44784</v>
      </c>
      <c r="B575" s="6" t="str">
        <f ca="1">IFERROR(__xludf.DUMMYFUNCTION("""COMPUTED_VALUE"""),"Factinsect _2022")</f>
        <v>Factinsect _2022</v>
      </c>
      <c r="C575" s="6">
        <f ca="1">IFERROR(__xludf.DUMMYFUNCTION("""COMPUTED_VALUE"""),3)</f>
        <v>3</v>
      </c>
      <c r="D575" s="6" t="str">
        <f ca="1">IFERROR(__xludf.DUMMYFUNCTION("""COMPUTED_VALUE"""),"Digital Tech")</f>
        <v>Digital Tech</v>
      </c>
      <c r="E575" s="6" t="str">
        <f ca="1">IFERROR(__xludf.DUMMYFUNCTION("""COMPUTED_VALUE"""),"Invite Next Year")</f>
        <v>Invite Next Year</v>
      </c>
      <c r="F575" s="6" t="e">
        <f t="shared" ca="1" si="2"/>
        <v>#NAME?</v>
      </c>
    </row>
    <row r="576" spans="1:6">
      <c r="A576" s="199">
        <f ca="1">IFERROR(__xludf.DUMMYFUNCTION("""COMPUTED_VALUE"""),44784)</f>
        <v>44784</v>
      </c>
      <c r="B576" s="6" t="str">
        <f ca="1">IFERROR(__xludf.DUMMYFUNCTION("""COMPUTED_VALUE"""),"Olokun Minerals _2022")</f>
        <v>Olokun Minerals _2022</v>
      </c>
      <c r="C576" s="6">
        <f ca="1">IFERROR(__xludf.DUMMYFUNCTION("""COMPUTED_VALUE"""),3)</f>
        <v>3</v>
      </c>
      <c r="D576" s="6" t="str">
        <f ca="1">IFERROR(__xludf.DUMMYFUNCTION("""COMPUTED_VALUE"""),"Deep Tech")</f>
        <v>Deep Tech</v>
      </c>
      <c r="E576" s="6" t="str">
        <f ca="1">IFERROR(__xludf.DUMMYFUNCTION("""COMPUTED_VALUE"""),"Invite Next Year")</f>
        <v>Invite Next Year</v>
      </c>
      <c r="F576" s="6" t="e">
        <f t="shared" ca="1" si="2"/>
        <v>#NAME?</v>
      </c>
    </row>
    <row r="577" spans="1:6">
      <c r="A577" s="199">
        <f ca="1">IFERROR(__xludf.DUMMYFUNCTION("""COMPUTED_VALUE"""),44784)</f>
        <v>44784</v>
      </c>
      <c r="B577" s="6" t="str">
        <f ca="1">IFERROR(__xludf.DUMMYFUNCTION("""COMPUTED_VALUE"""),"Magic Valley _2022")</f>
        <v>Magic Valley _2022</v>
      </c>
      <c r="C577" s="6">
        <f ca="1">IFERROR(__xludf.DUMMYFUNCTION("""COMPUTED_VALUE"""),3)</f>
        <v>3</v>
      </c>
      <c r="D577" s="6" t="str">
        <f ca="1">IFERROR(__xludf.DUMMYFUNCTION("""COMPUTED_VALUE"""),"Deep Tech")</f>
        <v>Deep Tech</v>
      </c>
      <c r="E577" s="6" t="str">
        <f ca="1">IFERROR(__xludf.DUMMYFUNCTION("""COMPUTED_VALUE"""),"Invite Next Year")</f>
        <v>Invite Next Year</v>
      </c>
      <c r="F577" s="6" t="e">
        <f t="shared" ca="1" si="2"/>
        <v>#NAME?</v>
      </c>
    </row>
    <row r="578" spans="1:6">
      <c r="A578" s="199">
        <f ca="1">IFERROR(__xludf.DUMMYFUNCTION("""COMPUTED_VALUE"""),44784)</f>
        <v>44784</v>
      </c>
      <c r="B578" s="6" t="str">
        <f ca="1">IFERROR(__xludf.DUMMYFUNCTION("""COMPUTED_VALUE"""),"Peep _2022")</f>
        <v>Peep _2022</v>
      </c>
      <c r="C578" s="6">
        <f ca="1">IFERROR(__xludf.DUMMYFUNCTION("""COMPUTED_VALUE"""),3)</f>
        <v>3</v>
      </c>
      <c r="D578" s="6" t="str">
        <f ca="1">IFERROR(__xludf.DUMMYFUNCTION("""COMPUTED_VALUE"""),"Deep Tech")</f>
        <v>Deep Tech</v>
      </c>
      <c r="E578" s="6" t="str">
        <f ca="1">IFERROR(__xludf.DUMMYFUNCTION("""COMPUTED_VALUE"""),"Invite Next Year")</f>
        <v>Invite Next Year</v>
      </c>
      <c r="F578" s="6" t="e">
        <f t="shared" ca="1" si="2"/>
        <v>#NAME?</v>
      </c>
    </row>
    <row r="579" spans="1:6">
      <c r="A579" s="199">
        <f ca="1">IFERROR(__xludf.DUMMYFUNCTION("""COMPUTED_VALUE"""),44784)</f>
        <v>44784</v>
      </c>
      <c r="B579" s="6" t="str">
        <f ca="1">IFERROR(__xludf.DUMMYFUNCTION("""COMPUTED_VALUE"""),"ThoughtData _2022")</f>
        <v>ThoughtData _2022</v>
      </c>
      <c r="C579" s="6">
        <f ca="1">IFERROR(__xludf.DUMMYFUNCTION("""COMPUTED_VALUE"""),3)</f>
        <v>3</v>
      </c>
      <c r="D579" s="6" t="str">
        <f ca="1">IFERROR(__xludf.DUMMYFUNCTION("""COMPUTED_VALUE"""),"Deep Tech")</f>
        <v>Deep Tech</v>
      </c>
      <c r="E579" s="6" t="str">
        <f ca="1">IFERROR(__xludf.DUMMYFUNCTION("""COMPUTED_VALUE"""),"Invite Next Year")</f>
        <v>Invite Next Year</v>
      </c>
      <c r="F579" s="6" t="e">
        <f t="shared" ca="1" si="2"/>
        <v>#NAME?</v>
      </c>
    </row>
    <row r="580" spans="1:6">
      <c r="A580" s="199">
        <f ca="1">IFERROR(__xludf.DUMMYFUNCTION("""COMPUTED_VALUE"""),44784)</f>
        <v>44784</v>
      </c>
      <c r="B580" s="6" t="str">
        <f ca="1">IFERROR(__xludf.DUMMYFUNCTION("""COMPUTED_VALUE"""),"Cleanlight _2022")</f>
        <v>Cleanlight _2022</v>
      </c>
      <c r="C580" s="6">
        <f ca="1">IFERROR(__xludf.DUMMYFUNCTION("""COMPUTED_VALUE"""),3)</f>
        <v>3</v>
      </c>
      <c r="D580" s="6" t="str">
        <f ca="1">IFERROR(__xludf.DUMMYFUNCTION("""COMPUTED_VALUE"""),"Deep Tech")</f>
        <v>Deep Tech</v>
      </c>
      <c r="E580" s="6" t="str">
        <f ca="1">IFERROR(__xludf.DUMMYFUNCTION("""COMPUTED_VALUE"""),"Invite Next Year")</f>
        <v>Invite Next Year</v>
      </c>
      <c r="F580" s="6" t="e">
        <f t="shared" ca="1" si="2"/>
        <v>#NAME?</v>
      </c>
    </row>
    <row r="581" spans="1:6">
      <c r="A581" s="199">
        <f ca="1">IFERROR(__xludf.DUMMYFUNCTION("""COMPUTED_VALUE"""),44784)</f>
        <v>44784</v>
      </c>
      <c r="B581" s="6" t="str">
        <f ca="1">IFERROR(__xludf.DUMMYFUNCTION("""COMPUTED_VALUE"""),"Gomboc.ai _2022")</f>
        <v>Gomboc.ai _2022</v>
      </c>
      <c r="C581" s="6">
        <f ca="1">IFERROR(__xludf.DUMMYFUNCTION("""COMPUTED_VALUE"""),3)</f>
        <v>3</v>
      </c>
      <c r="D581" s="6" t="str">
        <f ca="1">IFERROR(__xludf.DUMMYFUNCTION("""COMPUTED_VALUE"""),"Digital Tech")</f>
        <v>Digital Tech</v>
      </c>
      <c r="E581" s="6" t="str">
        <f ca="1">IFERROR(__xludf.DUMMYFUNCTION("""COMPUTED_VALUE"""),"Invite Next Year")</f>
        <v>Invite Next Year</v>
      </c>
      <c r="F581" s="6" t="e">
        <f t="shared" ca="1" si="2"/>
        <v>#NAME?</v>
      </c>
    </row>
    <row r="582" spans="1:6">
      <c r="A582" s="199">
        <f ca="1">IFERROR(__xludf.DUMMYFUNCTION("""COMPUTED_VALUE"""),44784)</f>
        <v>44784</v>
      </c>
      <c r="B582" s="6" t="str">
        <f ca="1">IFERROR(__xludf.DUMMYFUNCTION("""COMPUTED_VALUE"""),"WeVoice, SL _2022")</f>
        <v>WeVoice, SL _2022</v>
      </c>
      <c r="C582" s="6">
        <f ca="1">IFERROR(__xludf.DUMMYFUNCTION("""COMPUTED_VALUE"""),3)</f>
        <v>3</v>
      </c>
      <c r="D582" s="6" t="str">
        <f ca="1">IFERROR(__xludf.DUMMYFUNCTION("""COMPUTED_VALUE"""),"Digital Tech")</f>
        <v>Digital Tech</v>
      </c>
      <c r="E582" s="6" t="str">
        <f ca="1">IFERROR(__xludf.DUMMYFUNCTION("""COMPUTED_VALUE"""),"Invite Next Year")</f>
        <v>Invite Next Year</v>
      </c>
      <c r="F582" s="6" t="e">
        <f t="shared" ca="1" si="2"/>
        <v>#NAME?</v>
      </c>
    </row>
    <row r="583" spans="1:6">
      <c r="A583" s="199">
        <f ca="1">IFERROR(__xludf.DUMMYFUNCTION("""COMPUTED_VALUE"""),44784)</f>
        <v>44784</v>
      </c>
      <c r="B583" s="6" t="str">
        <f ca="1">IFERROR(__xludf.DUMMYFUNCTION("""COMPUTED_VALUE"""),"Summations _2022")</f>
        <v>Summations _2022</v>
      </c>
      <c r="C583" s="6">
        <f ca="1">IFERROR(__xludf.DUMMYFUNCTION("""COMPUTED_VALUE"""),3)</f>
        <v>3</v>
      </c>
      <c r="D583" s="6" t="str">
        <f ca="1">IFERROR(__xludf.DUMMYFUNCTION("""COMPUTED_VALUE"""),"Digital Tech")</f>
        <v>Digital Tech</v>
      </c>
      <c r="E583" s="6" t="str">
        <f ca="1">IFERROR(__xludf.DUMMYFUNCTION("""COMPUTED_VALUE"""),"Invite Next Year")</f>
        <v>Invite Next Year</v>
      </c>
      <c r="F583" s="6" t="e">
        <f t="shared" ca="1" si="2"/>
        <v>#NAME?</v>
      </c>
    </row>
    <row r="584" spans="1:6">
      <c r="A584" s="199">
        <f ca="1">IFERROR(__xludf.DUMMYFUNCTION("""COMPUTED_VALUE"""),44784)</f>
        <v>44784</v>
      </c>
      <c r="B584" s="6" t="str">
        <f ca="1">IFERROR(__xludf.DUMMYFUNCTION("""COMPUTED_VALUE"""),"Wiingy _2022")</f>
        <v>Wiingy _2022</v>
      </c>
      <c r="C584" s="6">
        <f ca="1">IFERROR(__xludf.DUMMYFUNCTION("""COMPUTED_VALUE"""),3)</f>
        <v>3</v>
      </c>
      <c r="D584" s="6" t="str">
        <f ca="1">IFERROR(__xludf.DUMMYFUNCTION("""COMPUTED_VALUE"""),"Digital Tech")</f>
        <v>Digital Tech</v>
      </c>
      <c r="E584" s="6" t="str">
        <f ca="1">IFERROR(__xludf.DUMMYFUNCTION("""COMPUTED_VALUE"""),"Invite Next Year")</f>
        <v>Invite Next Year</v>
      </c>
      <c r="F584" s="6" t="e">
        <f t="shared" ca="1" si="2"/>
        <v>#NAME?</v>
      </c>
    </row>
    <row r="585" spans="1:6">
      <c r="A585" s="199">
        <f ca="1">IFERROR(__xludf.DUMMYFUNCTION("""COMPUTED_VALUE"""),44784)</f>
        <v>44784</v>
      </c>
      <c r="B585" s="6" t="str">
        <f ca="1">IFERROR(__xludf.DUMMYFUNCTION("""COMPUTED_VALUE"""),"GoWit Technology _2022")</f>
        <v>GoWit Technology _2022</v>
      </c>
      <c r="C585" s="6">
        <f ca="1">IFERROR(__xludf.DUMMYFUNCTION("""COMPUTED_VALUE"""),3)</f>
        <v>3</v>
      </c>
      <c r="D585" s="6" t="str">
        <f ca="1">IFERROR(__xludf.DUMMYFUNCTION("""COMPUTED_VALUE"""),"Digital Tech")</f>
        <v>Digital Tech</v>
      </c>
      <c r="E585" s="6" t="str">
        <f ca="1">IFERROR(__xludf.DUMMYFUNCTION("""COMPUTED_VALUE"""),"Invite Next Year")</f>
        <v>Invite Next Year</v>
      </c>
      <c r="F585" s="6" t="e">
        <f t="shared" ca="1" si="2"/>
        <v>#NAME?</v>
      </c>
    </row>
    <row r="586" spans="1:6">
      <c r="A586" s="199">
        <f ca="1">IFERROR(__xludf.DUMMYFUNCTION("""COMPUTED_VALUE"""),44789)</f>
        <v>44789</v>
      </c>
      <c r="B586" s="6" t="str">
        <f ca="1">IFERROR(__xludf.DUMMYFUNCTION("""COMPUTED_VALUE"""),"EllieGrid _2022")</f>
        <v>EllieGrid _2022</v>
      </c>
      <c r="C586" s="6">
        <f ca="1">IFERROR(__xludf.DUMMYFUNCTION("""COMPUTED_VALUE"""),3)</f>
        <v>3</v>
      </c>
      <c r="D586" s="6" t="str">
        <f ca="1">IFERROR(__xludf.DUMMYFUNCTION("""COMPUTED_VALUE"""),"Deep Tech")</f>
        <v>Deep Tech</v>
      </c>
      <c r="E586" s="6" t="str">
        <f ca="1">IFERROR(__xludf.DUMMYFUNCTION("""COMPUTED_VALUE"""),"Invite")</f>
        <v>Invite</v>
      </c>
      <c r="F586" s="6" t="e">
        <f t="shared" ca="1" si="2"/>
        <v>#NAME?</v>
      </c>
    </row>
    <row r="587" spans="1:6">
      <c r="A587" s="199">
        <f ca="1">IFERROR(__xludf.DUMMYFUNCTION("""COMPUTED_VALUE"""),44789)</f>
        <v>44789</v>
      </c>
      <c r="B587" s="6" t="str">
        <f ca="1">IFERROR(__xludf.DUMMYFUNCTION("""COMPUTED_VALUE"""),"UZME _2022")</f>
        <v>UZME _2022</v>
      </c>
      <c r="C587" s="6">
        <f ca="1">IFERROR(__xludf.DUMMYFUNCTION("""COMPUTED_VALUE"""),3)</f>
        <v>3</v>
      </c>
      <c r="D587" s="6" t="str">
        <f ca="1">IFERROR(__xludf.DUMMYFUNCTION("""COMPUTED_VALUE"""),"Deep Tech")</f>
        <v>Deep Tech</v>
      </c>
      <c r="E587" s="6" t="str">
        <f ca="1">IFERROR(__xludf.DUMMYFUNCTION("""COMPUTED_VALUE"""),"Invite Next Year")</f>
        <v>Invite Next Year</v>
      </c>
      <c r="F587" s="6" t="e">
        <f t="shared" ca="1" si="2"/>
        <v>#NAME?</v>
      </c>
    </row>
    <row r="588" spans="1:6">
      <c r="A588" s="199">
        <f ca="1">IFERROR(__xludf.DUMMYFUNCTION("""COMPUTED_VALUE"""),44789)</f>
        <v>44789</v>
      </c>
      <c r="B588" s="6" t="str">
        <f ca="1">IFERROR(__xludf.DUMMYFUNCTION("""COMPUTED_VALUE"""),"AIHunters _2022")</f>
        <v>AIHunters _2022</v>
      </c>
      <c r="C588" s="6">
        <f ca="1">IFERROR(__xludf.DUMMYFUNCTION("""COMPUTED_VALUE"""),3)</f>
        <v>3</v>
      </c>
      <c r="D588" s="6" t="str">
        <f ca="1">IFERROR(__xludf.DUMMYFUNCTION("""COMPUTED_VALUE"""),"Deep Tech")</f>
        <v>Deep Tech</v>
      </c>
      <c r="E588" s="6" t="str">
        <f ca="1">IFERROR(__xludf.DUMMYFUNCTION("""COMPUTED_VALUE"""),"Invite Next Year")</f>
        <v>Invite Next Year</v>
      </c>
      <c r="F588" s="6" t="e">
        <f t="shared" ca="1" si="2"/>
        <v>#NAME?</v>
      </c>
    </row>
    <row r="589" spans="1:6">
      <c r="A589" s="199">
        <f ca="1">IFERROR(__xludf.DUMMYFUNCTION("""COMPUTED_VALUE"""),44789)</f>
        <v>44789</v>
      </c>
      <c r="B589" s="6" t="str">
        <f ca="1">IFERROR(__xludf.DUMMYFUNCTION("""COMPUTED_VALUE"""),"Niftron (Pvt) Ltd _2022")</f>
        <v>Niftron (Pvt) Ltd _2022</v>
      </c>
      <c r="C589" s="6">
        <f ca="1">IFERROR(__xludf.DUMMYFUNCTION("""COMPUTED_VALUE"""),3)</f>
        <v>3</v>
      </c>
      <c r="D589" s="6" t="str">
        <f ca="1">IFERROR(__xludf.DUMMYFUNCTION("""COMPUTED_VALUE"""),"Digital Tech")</f>
        <v>Digital Tech</v>
      </c>
      <c r="E589" s="6" t="str">
        <f ca="1">IFERROR(__xludf.DUMMYFUNCTION("""COMPUTED_VALUE"""),"Invite Next Year")</f>
        <v>Invite Next Year</v>
      </c>
      <c r="F589" s="6" t="e">
        <f t="shared" ca="1" si="2"/>
        <v>#NAME?</v>
      </c>
    </row>
    <row r="590" spans="1:6">
      <c r="A590" s="199">
        <f ca="1">IFERROR(__xludf.DUMMYFUNCTION("""COMPUTED_VALUE"""),44789)</f>
        <v>44789</v>
      </c>
      <c r="B590" s="6" t="str">
        <f ca="1">IFERROR(__xludf.DUMMYFUNCTION("""COMPUTED_VALUE"""),"Kumulus _2022")</f>
        <v>Kumulus _2022</v>
      </c>
      <c r="C590" s="6">
        <f ca="1">IFERROR(__xludf.DUMMYFUNCTION("""COMPUTED_VALUE"""),3)</f>
        <v>3</v>
      </c>
      <c r="D590" s="6" t="str">
        <f ca="1">IFERROR(__xludf.DUMMYFUNCTION("""COMPUTED_VALUE"""),"Deep Tech")</f>
        <v>Deep Tech</v>
      </c>
      <c r="E590" s="6" t="str">
        <f ca="1">IFERROR(__xludf.DUMMYFUNCTION("""COMPUTED_VALUE"""),"Invite Next Year")</f>
        <v>Invite Next Year</v>
      </c>
      <c r="F590" s="6" t="e">
        <f t="shared" ca="1" si="2"/>
        <v>#NAME?</v>
      </c>
    </row>
    <row r="591" spans="1:6">
      <c r="A591" s="199">
        <f ca="1">IFERROR(__xludf.DUMMYFUNCTION("""COMPUTED_VALUE"""),44789)</f>
        <v>44789</v>
      </c>
      <c r="B591" s="6" t="str">
        <f ca="1">IFERROR(__xludf.DUMMYFUNCTION("""COMPUTED_VALUE"""),"Texelio AB _2022")</f>
        <v>Texelio AB _2022</v>
      </c>
      <c r="C591" s="6">
        <f ca="1">IFERROR(__xludf.DUMMYFUNCTION("""COMPUTED_VALUE"""),3)</f>
        <v>3</v>
      </c>
      <c r="D591" s="6" t="str">
        <f ca="1">IFERROR(__xludf.DUMMYFUNCTION("""COMPUTED_VALUE"""),"Deep Tech")</f>
        <v>Deep Tech</v>
      </c>
      <c r="E591" s="6" t="str">
        <f ca="1">IFERROR(__xludf.DUMMYFUNCTION("""COMPUTED_VALUE"""),"Invite Next Year")</f>
        <v>Invite Next Year</v>
      </c>
      <c r="F591" s="6" t="e">
        <f t="shared" ca="1" si="2"/>
        <v>#NAME?</v>
      </c>
    </row>
    <row r="592" spans="1:6">
      <c r="A592" s="199">
        <f ca="1">IFERROR(__xludf.DUMMYFUNCTION("""COMPUTED_VALUE"""),44789)</f>
        <v>44789</v>
      </c>
      <c r="B592" s="6" t="str">
        <f ca="1">IFERROR(__xludf.DUMMYFUNCTION("""COMPUTED_VALUE"""),"Zena Therapeutics INC. _2022")</f>
        <v>Zena Therapeutics INC. _2022</v>
      </c>
      <c r="C592" s="6">
        <f ca="1">IFERROR(__xludf.DUMMYFUNCTION("""COMPUTED_VALUE"""),3)</f>
        <v>3</v>
      </c>
      <c r="D592" s="6" t="str">
        <f ca="1">IFERROR(__xludf.DUMMYFUNCTION("""COMPUTED_VALUE"""),"Life Sciences")</f>
        <v>Life Sciences</v>
      </c>
      <c r="E592" s="6" t="str">
        <f ca="1">IFERROR(__xludf.DUMMYFUNCTION("""COMPUTED_VALUE"""),"Invite Next Year")</f>
        <v>Invite Next Year</v>
      </c>
      <c r="F592" s="6" t="e">
        <f t="shared" ca="1" si="2"/>
        <v>#NAME?</v>
      </c>
    </row>
    <row r="593" spans="1:6">
      <c r="A593" s="199">
        <f ca="1">IFERROR(__xludf.DUMMYFUNCTION("""COMPUTED_VALUE"""),44789)</f>
        <v>44789</v>
      </c>
      <c r="B593" s="6" t="str">
        <f ca="1">IFERROR(__xludf.DUMMYFUNCTION("""COMPUTED_VALUE"""),"AstraKode  _2022")</f>
        <v>AstraKode  _2022</v>
      </c>
      <c r="C593" s="6">
        <f ca="1">IFERROR(__xludf.DUMMYFUNCTION("""COMPUTED_VALUE"""),3)</f>
        <v>3</v>
      </c>
      <c r="D593" s="6" t="str">
        <f ca="1">IFERROR(__xludf.DUMMYFUNCTION("""COMPUTED_VALUE"""),"Deep Tech")</f>
        <v>Deep Tech</v>
      </c>
      <c r="E593" s="6" t="str">
        <f ca="1">IFERROR(__xludf.DUMMYFUNCTION("""COMPUTED_VALUE"""),"Invite Next Year")</f>
        <v>Invite Next Year</v>
      </c>
      <c r="F593" s="6" t="e">
        <f t="shared" ca="1" si="2"/>
        <v>#NAME?</v>
      </c>
    </row>
    <row r="594" spans="1:6">
      <c r="A594" s="199">
        <f ca="1">IFERROR(__xludf.DUMMYFUNCTION("""COMPUTED_VALUE"""),44789)</f>
        <v>44789</v>
      </c>
      <c r="B594" s="6" t="str">
        <f ca="1">IFERROR(__xludf.DUMMYFUNCTION("""COMPUTED_VALUE"""),"Stranded Solutions _2022")</f>
        <v>Stranded Solutions _2022</v>
      </c>
      <c r="C594" s="6">
        <f ca="1">IFERROR(__xludf.DUMMYFUNCTION("""COMPUTED_VALUE"""),3)</f>
        <v>3</v>
      </c>
      <c r="D594" s="6" t="str">
        <f ca="1">IFERROR(__xludf.DUMMYFUNCTION("""COMPUTED_VALUE"""),"Deep Tech")</f>
        <v>Deep Tech</v>
      </c>
      <c r="E594" s="6" t="str">
        <f ca="1">IFERROR(__xludf.DUMMYFUNCTION("""COMPUTED_VALUE"""),"Invite Next Year")</f>
        <v>Invite Next Year</v>
      </c>
      <c r="F594" s="6" t="e">
        <f t="shared" ca="1" si="2"/>
        <v>#NAME?</v>
      </c>
    </row>
    <row r="595" spans="1:6">
      <c r="A595" s="199">
        <f ca="1">IFERROR(__xludf.DUMMYFUNCTION("""COMPUTED_VALUE"""),44789)</f>
        <v>44789</v>
      </c>
      <c r="B595" s="6" t="str">
        <f ca="1">IFERROR(__xludf.DUMMYFUNCTION("""COMPUTED_VALUE"""),"Impactbytes _2022")</f>
        <v>Impactbytes _2022</v>
      </c>
      <c r="C595" s="6">
        <f ca="1">IFERROR(__xludf.DUMMYFUNCTION("""COMPUTED_VALUE"""),3)</f>
        <v>3</v>
      </c>
      <c r="D595" s="6" t="str">
        <f ca="1">IFERROR(__xludf.DUMMYFUNCTION("""COMPUTED_VALUE"""),"Digital Tech")</f>
        <v>Digital Tech</v>
      </c>
      <c r="E595" s="6" t="str">
        <f ca="1">IFERROR(__xludf.DUMMYFUNCTION("""COMPUTED_VALUE"""),"Invite Next Year")</f>
        <v>Invite Next Year</v>
      </c>
      <c r="F595" s="6" t="e">
        <f t="shared" ca="1" si="2"/>
        <v>#NAME?</v>
      </c>
    </row>
    <row r="596" spans="1:6">
      <c r="A596" s="199">
        <f ca="1">IFERROR(__xludf.DUMMYFUNCTION("""COMPUTED_VALUE"""),44789)</f>
        <v>44789</v>
      </c>
      <c r="B596" s="6" t="str">
        <f ca="1">IFERROR(__xludf.DUMMYFUNCTION("""COMPUTED_VALUE"""),"Biosimo _2022")</f>
        <v>Biosimo _2022</v>
      </c>
      <c r="C596" s="6">
        <f ca="1">IFERROR(__xludf.DUMMYFUNCTION("""COMPUTED_VALUE"""),3)</f>
        <v>3</v>
      </c>
      <c r="D596" s="6" t="str">
        <f ca="1">IFERROR(__xludf.DUMMYFUNCTION("""COMPUTED_VALUE"""),"Deep Tech")</f>
        <v>Deep Tech</v>
      </c>
      <c r="E596" s="6" t="str">
        <f ca="1">IFERROR(__xludf.DUMMYFUNCTION("""COMPUTED_VALUE"""),"Invite Next Year")</f>
        <v>Invite Next Year</v>
      </c>
      <c r="F596" s="6" t="e">
        <f t="shared" ca="1" si="2"/>
        <v>#NAME?</v>
      </c>
    </row>
    <row r="597" spans="1:6">
      <c r="A597" s="199">
        <f ca="1">IFERROR(__xludf.DUMMYFUNCTION("""COMPUTED_VALUE"""),44789)</f>
        <v>44789</v>
      </c>
      <c r="B597" s="6" t="str">
        <f ca="1">IFERROR(__xludf.DUMMYFUNCTION("""COMPUTED_VALUE"""),"NEATCap Medical LLC _2022")</f>
        <v>NEATCap Medical LLC _2022</v>
      </c>
      <c r="C597" s="6">
        <f ca="1">IFERROR(__xludf.DUMMYFUNCTION("""COMPUTED_VALUE"""),3)</f>
        <v>3</v>
      </c>
      <c r="D597" s="6" t="str">
        <f ca="1">IFERROR(__xludf.DUMMYFUNCTION("""COMPUTED_VALUE"""),"Digital Tech")</f>
        <v>Digital Tech</v>
      </c>
      <c r="E597" s="6" t="str">
        <f ca="1">IFERROR(__xludf.DUMMYFUNCTION("""COMPUTED_VALUE"""),"Invite Next Year")</f>
        <v>Invite Next Year</v>
      </c>
      <c r="F597" s="6" t="e">
        <f t="shared" ca="1" si="2"/>
        <v>#NAME?</v>
      </c>
    </row>
    <row r="598" spans="1:6">
      <c r="A598" s="199">
        <f ca="1">IFERROR(__xludf.DUMMYFUNCTION("""COMPUTED_VALUE"""),44789)</f>
        <v>44789</v>
      </c>
      <c r="B598" s="6" t="str">
        <f ca="1">IFERROR(__xludf.DUMMYFUNCTION("""COMPUTED_VALUE"""),"MatMaCorp _2022")</f>
        <v>MatMaCorp _2022</v>
      </c>
      <c r="C598" s="6">
        <f ca="1">IFERROR(__xludf.DUMMYFUNCTION("""COMPUTED_VALUE"""),3)</f>
        <v>3</v>
      </c>
      <c r="D598" s="6" t="str">
        <f ca="1">IFERROR(__xludf.DUMMYFUNCTION("""COMPUTED_VALUE"""),"Life Sciences")</f>
        <v>Life Sciences</v>
      </c>
      <c r="E598" s="6" t="str">
        <f ca="1">IFERROR(__xludf.DUMMYFUNCTION("""COMPUTED_VALUE"""),"Invite Next Year")</f>
        <v>Invite Next Year</v>
      </c>
      <c r="F598" s="6" t="e">
        <f t="shared" ca="1" si="2"/>
        <v>#NAME?</v>
      </c>
    </row>
    <row r="599" spans="1:6">
      <c r="A599" s="199">
        <f ca="1">IFERROR(__xludf.DUMMYFUNCTION("""COMPUTED_VALUE"""),44789)</f>
        <v>44789</v>
      </c>
      <c r="B599" s="6" t="str">
        <f ca="1">IFERROR(__xludf.DUMMYFUNCTION("""COMPUTED_VALUE"""),"AiTera inc. _2022")</f>
        <v>AiTera inc. _2022</v>
      </c>
      <c r="C599" s="6">
        <f ca="1">IFERROR(__xludf.DUMMYFUNCTION("""COMPUTED_VALUE"""),3)</f>
        <v>3</v>
      </c>
      <c r="D599" s="6" t="str">
        <f ca="1">IFERROR(__xludf.DUMMYFUNCTION("""COMPUTED_VALUE"""),"Digital Tech")</f>
        <v>Digital Tech</v>
      </c>
      <c r="E599" s="6" t="str">
        <f ca="1">IFERROR(__xludf.DUMMYFUNCTION("""COMPUTED_VALUE"""),"Invite Next Year")</f>
        <v>Invite Next Year</v>
      </c>
      <c r="F599" s="6" t="e">
        <f t="shared" ca="1" si="2"/>
        <v>#NAME?</v>
      </c>
    </row>
    <row r="600" spans="1:6">
      <c r="A600" s="199">
        <f ca="1">IFERROR(__xludf.DUMMYFUNCTION("""COMPUTED_VALUE"""),44789)</f>
        <v>44789</v>
      </c>
      <c r="B600" s="6" t="str">
        <f ca="1">IFERROR(__xludf.DUMMYFUNCTION("""COMPUTED_VALUE"""),"nucleusRx _2022")</f>
        <v>nucleusRx _2022</v>
      </c>
      <c r="C600" s="6">
        <f ca="1">IFERROR(__xludf.DUMMYFUNCTION("""COMPUTED_VALUE"""),3)</f>
        <v>3</v>
      </c>
      <c r="D600" s="6" t="str">
        <f ca="1">IFERROR(__xludf.DUMMYFUNCTION("""COMPUTED_VALUE"""),"Deep Tech")</f>
        <v>Deep Tech</v>
      </c>
      <c r="E600" s="6" t="str">
        <f ca="1">IFERROR(__xludf.DUMMYFUNCTION("""COMPUTED_VALUE"""),"Invite Next Year")</f>
        <v>Invite Next Year</v>
      </c>
      <c r="F600" s="6" t="e">
        <f t="shared" ca="1" si="2"/>
        <v>#NAME?</v>
      </c>
    </row>
    <row r="601" spans="1:6">
      <c r="A601" s="199">
        <f ca="1">IFERROR(__xludf.DUMMYFUNCTION("""COMPUTED_VALUE"""),44789)</f>
        <v>44789</v>
      </c>
      <c r="B601" s="6" t="str">
        <f ca="1">IFERROR(__xludf.DUMMYFUNCTION("""COMPUTED_VALUE"""),"ReynKo _2022")</f>
        <v>ReynKo _2022</v>
      </c>
      <c r="C601" s="6">
        <f ca="1">IFERROR(__xludf.DUMMYFUNCTION("""COMPUTED_VALUE"""),3)</f>
        <v>3</v>
      </c>
      <c r="D601" s="6" t="str">
        <f ca="1">IFERROR(__xludf.DUMMYFUNCTION("""COMPUTED_VALUE"""),"Deep Tech")</f>
        <v>Deep Tech</v>
      </c>
      <c r="E601" s="6" t="str">
        <f ca="1">IFERROR(__xludf.DUMMYFUNCTION("""COMPUTED_VALUE"""),"Invite Next Year")</f>
        <v>Invite Next Year</v>
      </c>
      <c r="F601" s="6" t="e">
        <f t="shared" ca="1" si="2"/>
        <v>#NAME?</v>
      </c>
    </row>
    <row r="602" spans="1:6">
      <c r="A602" s="199">
        <f ca="1">IFERROR(__xludf.DUMMYFUNCTION("""COMPUTED_VALUE"""),44789)</f>
        <v>44789</v>
      </c>
      <c r="B602" s="6" t="str">
        <f ca="1">IFERROR(__xludf.DUMMYFUNCTION("""COMPUTED_VALUE"""),"SingletO2 Therapeutics LLC _2022")</f>
        <v>SingletO2 Therapeutics LLC _2022</v>
      </c>
      <c r="C602" s="6">
        <f ca="1">IFERROR(__xludf.DUMMYFUNCTION("""COMPUTED_VALUE"""),3)</f>
        <v>3</v>
      </c>
      <c r="D602" s="6" t="str">
        <f ca="1">IFERROR(__xludf.DUMMYFUNCTION("""COMPUTED_VALUE"""),"Life Sciences")</f>
        <v>Life Sciences</v>
      </c>
      <c r="E602" s="6" t="str">
        <f ca="1">IFERROR(__xludf.DUMMYFUNCTION("""COMPUTED_VALUE"""),"Invite Next Year")</f>
        <v>Invite Next Year</v>
      </c>
      <c r="F602" s="6" t="e">
        <f t="shared" ca="1" si="2"/>
        <v>#NAME?</v>
      </c>
    </row>
    <row r="603" spans="1:6">
      <c r="A603" s="199">
        <f ca="1">IFERROR(__xludf.DUMMYFUNCTION("""COMPUTED_VALUE"""),44789)</f>
        <v>44789</v>
      </c>
      <c r="B603" s="6" t="str">
        <f ca="1">IFERROR(__xludf.DUMMYFUNCTION("""COMPUTED_VALUE"""),"myLaminin _2022")</f>
        <v>myLaminin _2022</v>
      </c>
      <c r="C603" s="6">
        <f ca="1">IFERROR(__xludf.DUMMYFUNCTION("""COMPUTED_VALUE"""),3)</f>
        <v>3</v>
      </c>
      <c r="D603" s="6" t="str">
        <f ca="1">IFERROR(__xludf.DUMMYFUNCTION("""COMPUTED_VALUE"""),"Digital Tech")</f>
        <v>Digital Tech</v>
      </c>
      <c r="E603" s="6" t="str">
        <f ca="1">IFERROR(__xludf.DUMMYFUNCTION("""COMPUTED_VALUE"""),"Invite Next Year")</f>
        <v>Invite Next Year</v>
      </c>
      <c r="F603" s="6" t="e">
        <f t="shared" ca="1" si="2"/>
        <v>#NAME?</v>
      </c>
    </row>
    <row r="604" spans="1:6">
      <c r="A604" s="199">
        <f ca="1">IFERROR(__xludf.DUMMYFUNCTION("""COMPUTED_VALUE"""),44791)</f>
        <v>44791</v>
      </c>
      <c r="B604" s="6" t="str">
        <f ca="1">IFERROR(__xludf.DUMMYFUNCTION("""COMPUTED_VALUE"""),"Hypercell Technologies, Inc _2022")</f>
        <v>Hypercell Technologies, Inc _2022</v>
      </c>
      <c r="C604" s="6">
        <f ca="1">IFERROR(__xludf.DUMMYFUNCTION("""COMPUTED_VALUE"""),3)</f>
        <v>3</v>
      </c>
      <c r="D604" s="6" t="str">
        <f ca="1">IFERROR(__xludf.DUMMYFUNCTION("""COMPUTED_VALUE"""),"Life Sciences")</f>
        <v>Life Sciences</v>
      </c>
      <c r="E604" s="6" t="str">
        <f ca="1">IFERROR(__xludf.DUMMYFUNCTION("""COMPUTED_VALUE"""),"Invite Next Year")</f>
        <v>Invite Next Year</v>
      </c>
      <c r="F604" s="6" t="e">
        <f t="shared" ca="1" si="2"/>
        <v>#NAME?</v>
      </c>
    </row>
    <row r="605" spans="1:6">
      <c r="A605" s="199">
        <f ca="1">IFERROR(__xludf.DUMMYFUNCTION("""COMPUTED_VALUE"""),44791)</f>
        <v>44791</v>
      </c>
      <c r="B605" s="6" t="str">
        <f ca="1">IFERROR(__xludf.DUMMYFUNCTION("""COMPUTED_VALUE"""),"Endeema _2022")</f>
        <v>Endeema _2022</v>
      </c>
      <c r="C605" s="6">
        <f ca="1">IFERROR(__xludf.DUMMYFUNCTION("""COMPUTED_VALUE"""),3)</f>
        <v>3</v>
      </c>
      <c r="D605" s="6" t="str">
        <f ca="1">IFERROR(__xludf.DUMMYFUNCTION("""COMPUTED_VALUE"""),"Digital Tech")</f>
        <v>Digital Tech</v>
      </c>
      <c r="E605" s="6" t="str">
        <f ca="1">IFERROR(__xludf.DUMMYFUNCTION("""COMPUTED_VALUE"""),"Invite Next Year")</f>
        <v>Invite Next Year</v>
      </c>
      <c r="F605" s="6" t="e">
        <f t="shared" ca="1" si="2"/>
        <v>#NAME?</v>
      </c>
    </row>
    <row r="606" spans="1:6">
      <c r="A606" s="199">
        <f ca="1">IFERROR(__xludf.DUMMYFUNCTION("""COMPUTED_VALUE"""),44791)</f>
        <v>44791</v>
      </c>
      <c r="B606" s="6" t="str">
        <f ca="1">IFERROR(__xludf.DUMMYFUNCTION("""COMPUTED_VALUE"""),"Sleuth _2022")</f>
        <v>Sleuth _2022</v>
      </c>
      <c r="C606" s="6">
        <f ca="1">IFERROR(__xludf.DUMMYFUNCTION("""COMPUTED_VALUE"""),3)</f>
        <v>3</v>
      </c>
      <c r="D606" s="6" t="str">
        <f ca="1">IFERROR(__xludf.DUMMYFUNCTION("""COMPUTED_VALUE"""),"Digital Tech")</f>
        <v>Digital Tech</v>
      </c>
      <c r="E606" s="6" t="str">
        <f ca="1">IFERROR(__xludf.DUMMYFUNCTION("""COMPUTED_VALUE"""),"Invite Next Year")</f>
        <v>Invite Next Year</v>
      </c>
      <c r="F606" s="6" t="e">
        <f t="shared" ca="1" si="2"/>
        <v>#NAME?</v>
      </c>
    </row>
    <row r="607" spans="1:6">
      <c r="A607" s="199">
        <f ca="1">IFERROR(__xludf.DUMMYFUNCTION("""COMPUTED_VALUE"""),44791)</f>
        <v>44791</v>
      </c>
      <c r="B607" s="6" t="str">
        <f ca="1">IFERROR(__xludf.DUMMYFUNCTION("""COMPUTED_VALUE"""),"Fastagger Inc _2022")</f>
        <v>Fastagger Inc _2022</v>
      </c>
      <c r="C607" s="6">
        <f ca="1">IFERROR(__xludf.DUMMYFUNCTION("""COMPUTED_VALUE"""),3)</f>
        <v>3</v>
      </c>
      <c r="D607" s="6" t="str">
        <f ca="1">IFERROR(__xludf.DUMMYFUNCTION("""COMPUTED_VALUE"""),"Digital Tech")</f>
        <v>Digital Tech</v>
      </c>
      <c r="E607" s="6" t="str">
        <f ca="1">IFERROR(__xludf.DUMMYFUNCTION("""COMPUTED_VALUE"""),"Invite Next Year")</f>
        <v>Invite Next Year</v>
      </c>
      <c r="F607" s="6" t="e">
        <f t="shared" ca="1" si="2"/>
        <v>#NAME?</v>
      </c>
    </row>
    <row r="608" spans="1:6">
      <c r="A608" s="199">
        <f ca="1">IFERROR(__xludf.DUMMYFUNCTION("""COMPUTED_VALUE"""),44791)</f>
        <v>44791</v>
      </c>
      <c r="B608" s="6" t="str">
        <f ca="1">IFERROR(__xludf.DUMMYFUNCTION("""COMPUTED_VALUE"""),"Unlocked Labs Inc.  _2022")</f>
        <v>Unlocked Labs Inc.  _2022</v>
      </c>
      <c r="C608" s="6">
        <f ca="1">IFERROR(__xludf.DUMMYFUNCTION("""COMPUTED_VALUE"""),3)</f>
        <v>3</v>
      </c>
      <c r="D608" s="6" t="str">
        <f ca="1">IFERROR(__xludf.DUMMYFUNCTION("""COMPUTED_VALUE"""),"Life Sciences")</f>
        <v>Life Sciences</v>
      </c>
      <c r="E608" s="6" t="str">
        <f ca="1">IFERROR(__xludf.DUMMYFUNCTION("""COMPUTED_VALUE"""),"Invite Next Year")</f>
        <v>Invite Next Year</v>
      </c>
      <c r="F608" s="6" t="e">
        <f t="shared" ca="1" si="2"/>
        <v>#NAME?</v>
      </c>
    </row>
    <row r="609" spans="1:6">
      <c r="A609" s="199">
        <f ca="1">IFERROR(__xludf.DUMMYFUNCTION("""COMPUTED_VALUE"""),44791)</f>
        <v>44791</v>
      </c>
      <c r="B609" s="6" t="str">
        <f ca="1">IFERROR(__xludf.DUMMYFUNCTION("""COMPUTED_VALUE"""),"Eoliann _2022")</f>
        <v>Eoliann _2022</v>
      </c>
      <c r="C609" s="6">
        <f ca="1">IFERROR(__xludf.DUMMYFUNCTION("""COMPUTED_VALUE"""),3)</f>
        <v>3</v>
      </c>
      <c r="D609" s="6" t="str">
        <f ca="1">IFERROR(__xludf.DUMMYFUNCTION("""COMPUTED_VALUE"""),"Digital Tech")</f>
        <v>Digital Tech</v>
      </c>
      <c r="E609" s="6" t="str">
        <f ca="1">IFERROR(__xludf.DUMMYFUNCTION("""COMPUTED_VALUE"""),"Invite Next Year")</f>
        <v>Invite Next Year</v>
      </c>
      <c r="F609" s="6" t="e">
        <f t="shared" ca="1" si="2"/>
        <v>#NAME?</v>
      </c>
    </row>
    <row r="610" spans="1:6">
      <c r="A610" s="199">
        <f ca="1">IFERROR(__xludf.DUMMYFUNCTION("""COMPUTED_VALUE"""),44791)</f>
        <v>44791</v>
      </c>
      <c r="B610" s="6" t="str">
        <f ca="1">IFERROR(__xludf.DUMMYFUNCTION("""COMPUTED_VALUE"""),"REX Property Holdings Corp _2022")</f>
        <v>REX Property Holdings Corp _2022</v>
      </c>
      <c r="C610" s="6">
        <f ca="1">IFERROR(__xludf.DUMMYFUNCTION("""COMPUTED_VALUE"""),3)</f>
        <v>3</v>
      </c>
      <c r="D610" s="6" t="str">
        <f ca="1">IFERROR(__xludf.DUMMYFUNCTION("""COMPUTED_VALUE"""),"Digital Tech")</f>
        <v>Digital Tech</v>
      </c>
      <c r="E610" s="6" t="str">
        <f ca="1">IFERROR(__xludf.DUMMYFUNCTION("""COMPUTED_VALUE"""),"Special Reject")</f>
        <v>Special Reject</v>
      </c>
      <c r="F610" s="6" t="e">
        <f t="shared" ca="1" si="2"/>
        <v>#NAME?</v>
      </c>
    </row>
    <row r="611" spans="1:6">
      <c r="A611" s="199">
        <f ca="1">IFERROR(__xludf.DUMMYFUNCTION("""COMPUTED_VALUE"""),44791)</f>
        <v>44791</v>
      </c>
      <c r="B611" s="6" t="str">
        <f ca="1">IFERROR(__xludf.DUMMYFUNCTION("""COMPUTED_VALUE"""),"Shortcut Robotics, Inc. _2022")</f>
        <v>Shortcut Robotics, Inc. _2022</v>
      </c>
      <c r="C611" s="6">
        <f ca="1">IFERROR(__xludf.DUMMYFUNCTION("""COMPUTED_VALUE"""),3)</f>
        <v>3</v>
      </c>
      <c r="D611" s="6" t="str">
        <f ca="1">IFERROR(__xludf.DUMMYFUNCTION("""COMPUTED_VALUE"""),"Deep Tech")</f>
        <v>Deep Tech</v>
      </c>
      <c r="E611" s="6" t="str">
        <f ca="1">IFERROR(__xludf.DUMMYFUNCTION("""COMPUTED_VALUE"""),"Invite Next Year")</f>
        <v>Invite Next Year</v>
      </c>
      <c r="F611" s="6" t="e">
        <f t="shared" ca="1" si="2"/>
        <v>#NAME?</v>
      </c>
    </row>
    <row r="612" spans="1:6">
      <c r="A612" s="199">
        <f ca="1">IFERROR(__xludf.DUMMYFUNCTION("""COMPUTED_VALUE"""),44791)</f>
        <v>44791</v>
      </c>
      <c r="B612" s="6" t="str">
        <f ca="1">IFERROR(__xludf.DUMMYFUNCTION("""COMPUTED_VALUE"""),"Expertwired _2022")</f>
        <v>Expertwired _2022</v>
      </c>
      <c r="C612" s="6">
        <f ca="1">IFERROR(__xludf.DUMMYFUNCTION("""COMPUTED_VALUE"""),3)</f>
        <v>3</v>
      </c>
      <c r="D612" s="6" t="str">
        <f ca="1">IFERROR(__xludf.DUMMYFUNCTION("""COMPUTED_VALUE"""),"Digital Tech")</f>
        <v>Digital Tech</v>
      </c>
      <c r="E612" s="6" t="str">
        <f ca="1">IFERROR(__xludf.DUMMYFUNCTION("""COMPUTED_VALUE"""),"Invite Next Year")</f>
        <v>Invite Next Year</v>
      </c>
      <c r="F612" s="6" t="e">
        <f t="shared" ca="1" si="2"/>
        <v>#NAME?</v>
      </c>
    </row>
    <row r="613" spans="1:6">
      <c r="A613" s="199">
        <f ca="1">IFERROR(__xludf.DUMMYFUNCTION("""COMPUTED_VALUE"""),44791)</f>
        <v>44791</v>
      </c>
      <c r="B613" s="6" t="str">
        <f ca="1">IFERROR(__xludf.DUMMYFUNCTION("""COMPUTED_VALUE"""),"Neuropair, Inc. _2022")</f>
        <v>Neuropair, Inc. _2022</v>
      </c>
      <c r="C613" s="6">
        <f ca="1">IFERROR(__xludf.DUMMYFUNCTION("""COMPUTED_VALUE"""),3)</f>
        <v>3</v>
      </c>
      <c r="D613" s="6" t="str">
        <f ca="1">IFERROR(__xludf.DUMMYFUNCTION("""COMPUTED_VALUE"""),"Life Sciences")</f>
        <v>Life Sciences</v>
      </c>
      <c r="E613" s="6" t="str">
        <f ca="1">IFERROR(__xludf.DUMMYFUNCTION("""COMPUTED_VALUE"""),"Invite Next Year")</f>
        <v>Invite Next Year</v>
      </c>
      <c r="F613" s="6" t="e">
        <f t="shared" ca="1" si="2"/>
        <v>#NAME?</v>
      </c>
    </row>
    <row r="614" spans="1:6">
      <c r="A614" s="199">
        <f ca="1">IFERROR(__xludf.DUMMYFUNCTION("""COMPUTED_VALUE"""),44791)</f>
        <v>44791</v>
      </c>
      <c r="B614" s="6" t="str">
        <f ca="1">IFERROR(__xludf.DUMMYFUNCTION("""COMPUTED_VALUE"""),"Wenu Work _2022")</f>
        <v>Wenu Work _2022</v>
      </c>
      <c r="C614" s="6">
        <f ca="1">IFERROR(__xludf.DUMMYFUNCTION("""COMPUTED_VALUE"""),3)</f>
        <v>3</v>
      </c>
      <c r="D614" s="6" t="str">
        <f ca="1">IFERROR(__xludf.DUMMYFUNCTION("""COMPUTED_VALUE"""),"Deep Tech")</f>
        <v>Deep Tech</v>
      </c>
      <c r="E614" s="6" t="str">
        <f ca="1">IFERROR(__xludf.DUMMYFUNCTION("""COMPUTED_VALUE"""),"Invite Next Year")</f>
        <v>Invite Next Year</v>
      </c>
      <c r="F614" s="6" t="e">
        <f t="shared" ca="1" si="2"/>
        <v>#NAME?</v>
      </c>
    </row>
    <row r="615" spans="1:6">
      <c r="A615" s="199">
        <f ca="1">IFERROR(__xludf.DUMMYFUNCTION("""COMPUTED_VALUE"""),44791)</f>
        <v>44791</v>
      </c>
      <c r="B615" s="6" t="str">
        <f ca="1">IFERROR(__xludf.DUMMYFUNCTION("""COMPUTED_VALUE"""),"Bairitone Health Inc _2022")</f>
        <v>Bairitone Health Inc _2022</v>
      </c>
      <c r="C615" s="6">
        <f ca="1">IFERROR(__xludf.DUMMYFUNCTION("""COMPUTED_VALUE"""),3)</f>
        <v>3</v>
      </c>
      <c r="D615" s="6" t="str">
        <f ca="1">IFERROR(__xludf.DUMMYFUNCTION("""COMPUTED_VALUE"""),"Deep Tech")</f>
        <v>Deep Tech</v>
      </c>
      <c r="E615" s="6" t="str">
        <f ca="1">IFERROR(__xludf.DUMMYFUNCTION("""COMPUTED_VALUE"""),"Invite Next Year")</f>
        <v>Invite Next Year</v>
      </c>
      <c r="F615" s="6" t="e">
        <f t="shared" ca="1" si="2"/>
        <v>#NAME?</v>
      </c>
    </row>
    <row r="616" spans="1:6">
      <c r="A616" s="199">
        <f ca="1">IFERROR(__xludf.DUMMYFUNCTION("""COMPUTED_VALUE"""),44791)</f>
        <v>44791</v>
      </c>
      <c r="B616" s="6" t="str">
        <f ca="1">IFERROR(__xludf.DUMMYFUNCTION("""COMPUTED_VALUE"""),"Stonehouse Innovations, LLC _2022")</f>
        <v>Stonehouse Innovations, LLC _2022</v>
      </c>
      <c r="C616" s="6">
        <f ca="1">IFERROR(__xludf.DUMMYFUNCTION("""COMPUTED_VALUE"""),3)</f>
        <v>3</v>
      </c>
      <c r="D616" s="6" t="str">
        <f ca="1">IFERROR(__xludf.DUMMYFUNCTION("""COMPUTED_VALUE"""),"Deep Tech")</f>
        <v>Deep Tech</v>
      </c>
      <c r="E616" s="6" t="str">
        <f ca="1">IFERROR(__xludf.DUMMYFUNCTION("""COMPUTED_VALUE"""),"Invite Next Year")</f>
        <v>Invite Next Year</v>
      </c>
      <c r="F616" s="6" t="e">
        <f t="shared" ca="1" si="2"/>
        <v>#NAME?</v>
      </c>
    </row>
    <row r="617" spans="1:6">
      <c r="A617" s="199">
        <f ca="1">IFERROR(__xludf.DUMMYFUNCTION("""COMPUTED_VALUE"""),44791)</f>
        <v>44791</v>
      </c>
      <c r="B617" s="6" t="str">
        <f ca="1">IFERROR(__xludf.DUMMYFUNCTION("""COMPUTED_VALUE"""),"Purency _2022")</f>
        <v>Purency _2022</v>
      </c>
      <c r="C617" s="6">
        <f ca="1">IFERROR(__xludf.DUMMYFUNCTION("""COMPUTED_VALUE"""),3)</f>
        <v>3</v>
      </c>
      <c r="D617" s="6" t="str">
        <f ca="1">IFERROR(__xludf.DUMMYFUNCTION("""COMPUTED_VALUE"""),"Digital Tech")</f>
        <v>Digital Tech</v>
      </c>
      <c r="E617" s="6" t="str">
        <f ca="1">IFERROR(__xludf.DUMMYFUNCTION("""COMPUTED_VALUE"""),"Invite Next Year")</f>
        <v>Invite Next Year</v>
      </c>
      <c r="F617" s="6" t="e">
        <f t="shared" ca="1" si="2"/>
        <v>#NAME?</v>
      </c>
    </row>
    <row r="618" spans="1:6">
      <c r="A618" s="199">
        <f ca="1">IFERROR(__xludf.DUMMYFUNCTION("""COMPUTED_VALUE"""),44791)</f>
        <v>44791</v>
      </c>
      <c r="B618" s="6" t="str">
        <f ca="1">IFERROR(__xludf.DUMMYFUNCTION("""COMPUTED_VALUE"""),"Blue Studios.io _2022")</f>
        <v>Blue Studios.io _2022</v>
      </c>
      <c r="C618" s="6">
        <f ca="1">IFERROR(__xludf.DUMMYFUNCTION("""COMPUTED_VALUE"""),3)</f>
        <v>3</v>
      </c>
      <c r="D618" s="6" t="str">
        <f ca="1">IFERROR(__xludf.DUMMYFUNCTION("""COMPUTED_VALUE"""),"Digital Tech")</f>
        <v>Digital Tech</v>
      </c>
      <c r="E618" s="6" t="str">
        <f ca="1">IFERROR(__xludf.DUMMYFUNCTION("""COMPUTED_VALUE"""),"Invite Next Year")</f>
        <v>Invite Next Year</v>
      </c>
      <c r="F618" s="6" t="e">
        <f t="shared" ca="1" si="2"/>
        <v>#NAME?</v>
      </c>
    </row>
    <row r="619" spans="1:6">
      <c r="A619" s="199">
        <f ca="1">IFERROR(__xludf.DUMMYFUNCTION("""COMPUTED_VALUE"""),44791)</f>
        <v>44791</v>
      </c>
      <c r="B619" s="6" t="str">
        <f ca="1">IFERROR(__xludf.DUMMYFUNCTION("""COMPUTED_VALUE"""),"EcoEdge Data _2022")</f>
        <v>EcoEdge Data _2022</v>
      </c>
      <c r="C619" s="6">
        <f ca="1">IFERROR(__xludf.DUMMYFUNCTION("""COMPUTED_VALUE"""),3)</f>
        <v>3</v>
      </c>
      <c r="D619" s="6" t="str">
        <f ca="1">IFERROR(__xludf.DUMMYFUNCTION("""COMPUTED_VALUE"""),"Deep Tech")</f>
        <v>Deep Tech</v>
      </c>
      <c r="E619" s="6" t="str">
        <f ca="1">IFERROR(__xludf.DUMMYFUNCTION("""COMPUTED_VALUE"""),"Invite Next Year")</f>
        <v>Invite Next Year</v>
      </c>
      <c r="F619" s="6" t="e">
        <f t="shared" ca="1" si="2"/>
        <v>#NAME?</v>
      </c>
    </row>
    <row r="620" spans="1:6">
      <c r="A620" s="199">
        <f ca="1">IFERROR(__xludf.DUMMYFUNCTION("""COMPUTED_VALUE"""),44791)</f>
        <v>44791</v>
      </c>
      <c r="B620" s="6" t="str">
        <f ca="1">IFERROR(__xludf.DUMMYFUNCTION("""COMPUTED_VALUE"""),"Solais Ventures LLC _2022")</f>
        <v>Solais Ventures LLC _2022</v>
      </c>
      <c r="C620" s="6">
        <f ca="1">IFERROR(__xludf.DUMMYFUNCTION("""COMPUTED_VALUE"""),3)</f>
        <v>3</v>
      </c>
      <c r="D620" s="6" t="str">
        <f ca="1">IFERROR(__xludf.DUMMYFUNCTION("""COMPUTED_VALUE"""),"Deep Tech")</f>
        <v>Deep Tech</v>
      </c>
      <c r="E620" s="6" t="str">
        <f ca="1">IFERROR(__xludf.DUMMYFUNCTION("""COMPUTED_VALUE"""),"Invite Next Year")</f>
        <v>Invite Next Year</v>
      </c>
      <c r="F620" s="6" t="e">
        <f t="shared" ca="1" si="2"/>
        <v>#NAME?</v>
      </c>
    </row>
    <row r="621" spans="1:6">
      <c r="A621" s="199">
        <f ca="1">IFERROR(__xludf.DUMMYFUNCTION("""COMPUTED_VALUE"""),44791)</f>
        <v>44791</v>
      </c>
      <c r="B621" s="6" t="str">
        <f ca="1">IFERROR(__xludf.DUMMYFUNCTION("""COMPUTED_VALUE"""),"Vyir Inc _2022")</f>
        <v>Vyir Inc _2022</v>
      </c>
      <c r="C621" s="6">
        <f ca="1">IFERROR(__xludf.DUMMYFUNCTION("""COMPUTED_VALUE"""),3)</f>
        <v>3</v>
      </c>
      <c r="D621" s="6" t="str">
        <f ca="1">IFERROR(__xludf.DUMMYFUNCTION("""COMPUTED_VALUE"""),"Deep Tech")</f>
        <v>Deep Tech</v>
      </c>
      <c r="E621" s="6" t="str">
        <f ca="1">IFERROR(__xludf.DUMMYFUNCTION("""COMPUTED_VALUE"""),"Invite Next Year")</f>
        <v>Invite Next Year</v>
      </c>
      <c r="F621" s="6" t="e">
        <f t="shared" ca="1" si="2"/>
        <v>#NAME?</v>
      </c>
    </row>
    <row r="622" spans="1:6">
      <c r="A622" s="199">
        <f ca="1">IFERROR(__xludf.DUMMYFUNCTION("""COMPUTED_VALUE"""),44791)</f>
        <v>44791</v>
      </c>
      <c r="B622" s="6" t="str">
        <f ca="1">IFERROR(__xludf.DUMMYFUNCTION("""COMPUTED_VALUE"""),"TerMir, Inc. _2022")</f>
        <v>TerMir, Inc. _2022</v>
      </c>
      <c r="C622" s="6">
        <f ca="1">IFERROR(__xludf.DUMMYFUNCTION("""COMPUTED_VALUE"""),3)</f>
        <v>3</v>
      </c>
      <c r="D622" s="6" t="str">
        <f ca="1">IFERROR(__xludf.DUMMYFUNCTION("""COMPUTED_VALUE"""),"Deep Tech")</f>
        <v>Deep Tech</v>
      </c>
      <c r="E622" s="6" t="str">
        <f ca="1">IFERROR(__xludf.DUMMYFUNCTION("""COMPUTED_VALUE"""),"Invite Next Year")</f>
        <v>Invite Next Year</v>
      </c>
      <c r="F622" s="6" t="e">
        <f t="shared" ca="1" si="2"/>
        <v>#NAME?</v>
      </c>
    </row>
    <row r="623" spans="1:6">
      <c r="A623" s="199">
        <f ca="1">IFERROR(__xludf.DUMMYFUNCTION("""COMPUTED_VALUE"""),44791)</f>
        <v>44791</v>
      </c>
      <c r="B623" s="6" t="str">
        <f ca="1">IFERROR(__xludf.DUMMYFUNCTION("""COMPUTED_VALUE"""),"Gaia AI _2022")</f>
        <v>Gaia AI _2022</v>
      </c>
      <c r="C623" s="6">
        <f ca="1">IFERROR(__xludf.DUMMYFUNCTION("""COMPUTED_VALUE"""),3)</f>
        <v>3</v>
      </c>
      <c r="D623" s="6" t="str">
        <f ca="1">IFERROR(__xludf.DUMMYFUNCTION("""COMPUTED_VALUE"""),"Digital Tech")</f>
        <v>Digital Tech</v>
      </c>
      <c r="E623" s="6" t="str">
        <f ca="1">IFERROR(__xludf.DUMMYFUNCTION("""COMPUTED_VALUE"""),"Invite Next Year")</f>
        <v>Invite Next Year</v>
      </c>
      <c r="F623" s="6" t="e">
        <f t="shared" ca="1" si="2"/>
        <v>#NAME?</v>
      </c>
    </row>
    <row r="624" spans="1:6">
      <c r="A624" s="199">
        <f ca="1">IFERROR(__xludf.DUMMYFUNCTION("""COMPUTED_VALUE"""),44791)</f>
        <v>44791</v>
      </c>
      <c r="B624" s="6" t="str">
        <f ca="1">IFERROR(__xludf.DUMMYFUNCTION("""COMPUTED_VALUE"""),"Insu Health Design, Inc _2022")</f>
        <v>Insu Health Design, Inc _2022</v>
      </c>
      <c r="C624" s="6">
        <f ca="1">IFERROR(__xludf.DUMMYFUNCTION("""COMPUTED_VALUE"""),3)</f>
        <v>3</v>
      </c>
      <c r="D624" s="6" t="str">
        <f ca="1">IFERROR(__xludf.DUMMYFUNCTION("""COMPUTED_VALUE"""),"Deep Tech")</f>
        <v>Deep Tech</v>
      </c>
      <c r="E624" s="6" t="str">
        <f ca="1">IFERROR(__xludf.DUMMYFUNCTION("""COMPUTED_VALUE"""),"Invite Next Year")</f>
        <v>Invite Next Year</v>
      </c>
      <c r="F624" s="6" t="e">
        <f t="shared" ca="1" si="2"/>
        <v>#NAME?</v>
      </c>
    </row>
    <row r="625" spans="1:6">
      <c r="A625" s="199">
        <f ca="1">IFERROR(__xludf.DUMMYFUNCTION("""COMPUTED_VALUE"""),44791)</f>
        <v>44791</v>
      </c>
      <c r="B625" s="6" t="str">
        <f ca="1">IFERROR(__xludf.DUMMYFUNCTION("""COMPUTED_VALUE"""),"Tau Drones _2022")</f>
        <v>Tau Drones _2022</v>
      </c>
      <c r="C625" s="6">
        <f ca="1">IFERROR(__xludf.DUMMYFUNCTION("""COMPUTED_VALUE"""),3)</f>
        <v>3</v>
      </c>
      <c r="D625" s="6" t="str">
        <f ca="1">IFERROR(__xludf.DUMMYFUNCTION("""COMPUTED_VALUE"""),"Deep Tech")</f>
        <v>Deep Tech</v>
      </c>
      <c r="E625" s="6" t="str">
        <f ca="1">IFERROR(__xludf.DUMMYFUNCTION("""COMPUTED_VALUE"""),"Invite Next Year")</f>
        <v>Invite Next Year</v>
      </c>
      <c r="F625" s="6" t="e">
        <f t="shared" ca="1" si="2"/>
        <v>#NAME?</v>
      </c>
    </row>
    <row r="626" spans="1:6">
      <c r="A626" s="199">
        <f ca="1">IFERROR(__xludf.DUMMYFUNCTION("""COMPUTED_VALUE"""),44796)</f>
        <v>44796</v>
      </c>
      <c r="B626" s="6" t="str">
        <f ca="1">IFERROR(__xludf.DUMMYFUNCTION("""COMPUTED_VALUE"""),"DigiBuild _2022")</f>
        <v>DigiBuild _2022</v>
      </c>
      <c r="C626" s="6">
        <f ca="1">IFERROR(__xludf.DUMMYFUNCTION("""COMPUTED_VALUE"""),3)</f>
        <v>3</v>
      </c>
      <c r="D626" s="6" t="str">
        <f ca="1">IFERROR(__xludf.DUMMYFUNCTION("""COMPUTED_VALUE"""),"Digital Tech")</f>
        <v>Digital Tech</v>
      </c>
      <c r="E626" s="6" t="str">
        <f ca="1">IFERROR(__xludf.DUMMYFUNCTION("""COMPUTED_VALUE"""),"Invite Next Year")</f>
        <v>Invite Next Year</v>
      </c>
      <c r="F626" s="6" t="e">
        <f t="shared" ca="1" si="2"/>
        <v>#NAME?</v>
      </c>
    </row>
    <row r="627" spans="1:6">
      <c r="A627" s="199">
        <f ca="1">IFERROR(__xludf.DUMMYFUNCTION("""COMPUTED_VALUE"""),44796)</f>
        <v>44796</v>
      </c>
      <c r="B627" s="6" t="str">
        <f ca="1">IFERROR(__xludf.DUMMYFUNCTION("""COMPUTED_VALUE"""),"Edupay _2022")</f>
        <v>Edupay _2022</v>
      </c>
      <c r="C627" s="6">
        <f ca="1">IFERROR(__xludf.DUMMYFUNCTION("""COMPUTED_VALUE"""),3)</f>
        <v>3</v>
      </c>
      <c r="D627" s="6" t="str">
        <f ca="1">IFERROR(__xludf.DUMMYFUNCTION("""COMPUTED_VALUE"""),"Digital Tech")</f>
        <v>Digital Tech</v>
      </c>
      <c r="E627" s="6" t="str">
        <f ca="1">IFERROR(__xludf.DUMMYFUNCTION("""COMPUTED_VALUE"""),"Invite Next Year")</f>
        <v>Invite Next Year</v>
      </c>
      <c r="F627" s="6" t="e">
        <f t="shared" ca="1" si="2"/>
        <v>#NAME?</v>
      </c>
    </row>
    <row r="628" spans="1:6">
      <c r="A628" s="199">
        <f ca="1">IFERROR(__xludf.DUMMYFUNCTION("""COMPUTED_VALUE"""),44796)</f>
        <v>44796</v>
      </c>
      <c r="B628" s="6" t="str">
        <f ca="1">IFERROR(__xludf.DUMMYFUNCTION("""COMPUTED_VALUE"""),"Chari Co.  _2022")</f>
        <v>Chari Co.  _2022</v>
      </c>
      <c r="C628" s="6">
        <f ca="1">IFERROR(__xludf.DUMMYFUNCTION("""COMPUTED_VALUE"""),3)</f>
        <v>3</v>
      </c>
      <c r="D628" s="6" t="str">
        <f ca="1">IFERROR(__xludf.DUMMYFUNCTION("""COMPUTED_VALUE"""),"Digital Tech")</f>
        <v>Digital Tech</v>
      </c>
      <c r="E628" s="6" t="str">
        <f ca="1">IFERROR(__xludf.DUMMYFUNCTION("""COMPUTED_VALUE"""),"Invite Next Year")</f>
        <v>Invite Next Year</v>
      </c>
      <c r="F628" s="6" t="e">
        <f t="shared" ca="1" si="2"/>
        <v>#NAME?</v>
      </c>
    </row>
    <row r="629" spans="1:6">
      <c r="A629" s="199">
        <f ca="1">IFERROR(__xludf.DUMMYFUNCTION("""COMPUTED_VALUE"""),44796)</f>
        <v>44796</v>
      </c>
      <c r="B629" s="6" t="str">
        <f ca="1">IFERROR(__xludf.DUMMYFUNCTION("""COMPUTED_VALUE"""),"Vessl Prosthetics Inc. _2022")</f>
        <v>Vessl Prosthetics Inc. _2022</v>
      </c>
      <c r="C629" s="6">
        <f ca="1">IFERROR(__xludf.DUMMYFUNCTION("""COMPUTED_VALUE"""),3)</f>
        <v>3</v>
      </c>
      <c r="D629" s="6" t="str">
        <f ca="1">IFERROR(__xludf.DUMMYFUNCTION("""COMPUTED_VALUE"""),"Deep Tech")</f>
        <v>Deep Tech</v>
      </c>
      <c r="E629" s="6" t="str">
        <f ca="1">IFERROR(__xludf.DUMMYFUNCTION("""COMPUTED_VALUE"""),"Invite Next Year")</f>
        <v>Invite Next Year</v>
      </c>
      <c r="F629" s="6" t="e">
        <f t="shared" ca="1" si="2"/>
        <v>#NAME?</v>
      </c>
    </row>
    <row r="630" spans="1:6">
      <c r="A630" s="199">
        <f ca="1">IFERROR(__xludf.DUMMYFUNCTION("""COMPUTED_VALUE"""),44796)</f>
        <v>44796</v>
      </c>
      <c r="B630" s="6" t="str">
        <f ca="1">IFERROR(__xludf.DUMMYFUNCTION("""COMPUTED_VALUE"""),"Genflow Biosciences _2022")</f>
        <v>Genflow Biosciences _2022</v>
      </c>
      <c r="C630" s="6">
        <f ca="1">IFERROR(__xludf.DUMMYFUNCTION("""COMPUTED_VALUE"""),3)</f>
        <v>3</v>
      </c>
      <c r="D630" s="6" t="str">
        <f ca="1">IFERROR(__xludf.DUMMYFUNCTION("""COMPUTED_VALUE"""),"Life Sciences")</f>
        <v>Life Sciences</v>
      </c>
      <c r="E630" s="6" t="str">
        <f ca="1">IFERROR(__xludf.DUMMYFUNCTION("""COMPUTED_VALUE"""),"Invite Next Year")</f>
        <v>Invite Next Year</v>
      </c>
      <c r="F630" s="6" t="e">
        <f t="shared" ca="1" si="2"/>
        <v>#NAME?</v>
      </c>
    </row>
    <row r="631" spans="1:6">
      <c r="A631" s="199">
        <f ca="1">IFERROR(__xludf.DUMMYFUNCTION("""COMPUTED_VALUE"""),44796)</f>
        <v>44796</v>
      </c>
      <c r="B631" s="6" t="str">
        <f ca="1">IFERROR(__xludf.DUMMYFUNCTION("""COMPUTED_VALUE"""),"CryptoMate _2022")</f>
        <v>CryptoMate _2022</v>
      </c>
      <c r="C631" s="6">
        <f ca="1">IFERROR(__xludf.DUMMYFUNCTION("""COMPUTED_VALUE"""),3)</f>
        <v>3</v>
      </c>
      <c r="D631" s="6" t="str">
        <f ca="1">IFERROR(__xludf.DUMMYFUNCTION("""COMPUTED_VALUE"""),"Digital Tech")</f>
        <v>Digital Tech</v>
      </c>
      <c r="E631" s="6" t="str">
        <f ca="1">IFERROR(__xludf.DUMMYFUNCTION("""COMPUTED_VALUE"""),"Invite Next Year")</f>
        <v>Invite Next Year</v>
      </c>
      <c r="F631" s="6" t="e">
        <f t="shared" ca="1" si="2"/>
        <v>#NAME?</v>
      </c>
    </row>
    <row r="632" spans="1:6">
      <c r="A632" s="199">
        <f ca="1">IFERROR(__xludf.DUMMYFUNCTION("""COMPUTED_VALUE"""),44796)</f>
        <v>44796</v>
      </c>
      <c r="B632" s="6" t="str">
        <f ca="1">IFERROR(__xludf.DUMMYFUNCTION("""COMPUTED_VALUE"""),"Blue Velvet Innovations LTD t/a Cook My Grub _2022")</f>
        <v>Blue Velvet Innovations LTD t/a Cook My Grub _2022</v>
      </c>
      <c r="C632" s="6">
        <f ca="1">IFERROR(__xludf.DUMMYFUNCTION("""COMPUTED_VALUE"""),3)</f>
        <v>3</v>
      </c>
      <c r="D632" s="6" t="str">
        <f ca="1">IFERROR(__xludf.DUMMYFUNCTION("""COMPUTED_VALUE"""),"Digital Tech")</f>
        <v>Digital Tech</v>
      </c>
      <c r="E632" s="6" t="str">
        <f ca="1">IFERROR(__xludf.DUMMYFUNCTION("""COMPUTED_VALUE"""),"Invite Next Year")</f>
        <v>Invite Next Year</v>
      </c>
      <c r="F632" s="6" t="e">
        <f t="shared" ca="1" si="2"/>
        <v>#NAME?</v>
      </c>
    </row>
    <row r="633" spans="1:6">
      <c r="A633" s="199">
        <f ca="1">IFERROR(__xludf.DUMMYFUNCTION("""COMPUTED_VALUE"""),44796)</f>
        <v>44796</v>
      </c>
      <c r="B633" s="6" t="str">
        <f ca="1">IFERROR(__xludf.DUMMYFUNCTION("""COMPUTED_VALUE"""),"WeBoard _2022")</f>
        <v>WeBoard _2022</v>
      </c>
      <c r="C633" s="6">
        <f ca="1">IFERROR(__xludf.DUMMYFUNCTION("""COMPUTED_VALUE"""),3)</f>
        <v>3</v>
      </c>
      <c r="D633" s="6" t="str">
        <f ca="1">IFERROR(__xludf.DUMMYFUNCTION("""COMPUTED_VALUE"""),"Digital Tech")</f>
        <v>Digital Tech</v>
      </c>
      <c r="E633" s="6" t="str">
        <f ca="1">IFERROR(__xludf.DUMMYFUNCTION("""COMPUTED_VALUE"""),"Invite Next Year")</f>
        <v>Invite Next Year</v>
      </c>
      <c r="F633" s="6" t="e">
        <f t="shared" ca="1" si="2"/>
        <v>#NAME?</v>
      </c>
    </row>
    <row r="634" spans="1:6">
      <c r="A634" s="199">
        <f ca="1">IFERROR(__xludf.DUMMYFUNCTION("""COMPUTED_VALUE"""),44796)</f>
        <v>44796</v>
      </c>
      <c r="B634" s="6" t="str">
        <f ca="1">IFERROR(__xludf.DUMMYFUNCTION("""COMPUTED_VALUE"""),"Countd _2022")</f>
        <v>Countd _2022</v>
      </c>
      <c r="C634" s="6">
        <f ca="1">IFERROR(__xludf.DUMMYFUNCTION("""COMPUTED_VALUE"""),3)</f>
        <v>3</v>
      </c>
      <c r="D634" s="6" t="str">
        <f ca="1">IFERROR(__xludf.DUMMYFUNCTION("""COMPUTED_VALUE"""),"Digital Tech")</f>
        <v>Digital Tech</v>
      </c>
      <c r="E634" s="6" t="str">
        <f ca="1">IFERROR(__xludf.DUMMYFUNCTION("""COMPUTED_VALUE"""),"Invite Next Year")</f>
        <v>Invite Next Year</v>
      </c>
      <c r="F634" s="6" t="e">
        <f t="shared" ca="1" si="2"/>
        <v>#NAME?</v>
      </c>
    </row>
    <row r="635" spans="1:6">
      <c r="A635" s="199">
        <f ca="1">IFERROR(__xludf.DUMMYFUNCTION("""COMPUTED_VALUE"""),44796)</f>
        <v>44796</v>
      </c>
      <c r="B635" s="6" t="str">
        <f ca="1">IFERROR(__xludf.DUMMYFUNCTION("""COMPUTED_VALUE"""),"Littlebird Connected Care _2022")</f>
        <v>Littlebird Connected Care _2022</v>
      </c>
      <c r="C635" s="6">
        <f ca="1">IFERROR(__xludf.DUMMYFUNCTION("""COMPUTED_VALUE"""),3)</f>
        <v>3</v>
      </c>
      <c r="D635" s="6" t="str">
        <f ca="1">IFERROR(__xludf.DUMMYFUNCTION("""COMPUTED_VALUE"""),"Digital Tech")</f>
        <v>Digital Tech</v>
      </c>
      <c r="E635" s="6" t="str">
        <f ca="1">IFERROR(__xludf.DUMMYFUNCTION("""COMPUTED_VALUE"""),"Invite Next Year")</f>
        <v>Invite Next Year</v>
      </c>
      <c r="F635" s="6" t="e">
        <f t="shared" ca="1" si="2"/>
        <v>#NAME?</v>
      </c>
    </row>
    <row r="636" spans="1:6">
      <c r="A636" s="199">
        <f ca="1">IFERROR(__xludf.DUMMYFUNCTION("""COMPUTED_VALUE"""),44796)</f>
        <v>44796</v>
      </c>
      <c r="B636" s="6" t="str">
        <f ca="1">IFERROR(__xludf.DUMMYFUNCTION("""COMPUTED_VALUE"""),"5ire _2022")</f>
        <v>5ire _2022</v>
      </c>
      <c r="C636" s="6">
        <f ca="1">IFERROR(__xludf.DUMMYFUNCTION("""COMPUTED_VALUE"""),3)</f>
        <v>3</v>
      </c>
      <c r="D636" s="6" t="str">
        <f ca="1">IFERROR(__xludf.DUMMYFUNCTION("""COMPUTED_VALUE"""),"Digital Tech")</f>
        <v>Digital Tech</v>
      </c>
      <c r="E636" s="6" t="str">
        <f ca="1">IFERROR(__xludf.DUMMYFUNCTION("""COMPUTED_VALUE"""),"Invite Next Year")</f>
        <v>Invite Next Year</v>
      </c>
      <c r="F636" s="6" t="e">
        <f t="shared" ca="1" si="2"/>
        <v>#NAME?</v>
      </c>
    </row>
    <row r="637" spans="1:6">
      <c r="A637" s="199">
        <f ca="1">IFERROR(__xludf.DUMMYFUNCTION("""COMPUTED_VALUE"""),44796)</f>
        <v>44796</v>
      </c>
      <c r="B637" s="6" t="str">
        <f ca="1">IFERROR(__xludf.DUMMYFUNCTION("""COMPUTED_VALUE"""),"Joulez, Inc. _2022")</f>
        <v>Joulez, Inc. _2022</v>
      </c>
      <c r="C637" s="6">
        <f ca="1">IFERROR(__xludf.DUMMYFUNCTION("""COMPUTED_VALUE"""),3)</f>
        <v>3</v>
      </c>
      <c r="D637" s="6" t="str">
        <f ca="1">IFERROR(__xludf.DUMMYFUNCTION("""COMPUTED_VALUE"""),"Digital Tech")</f>
        <v>Digital Tech</v>
      </c>
      <c r="E637" s="6" t="str">
        <f ca="1">IFERROR(__xludf.DUMMYFUNCTION("""COMPUTED_VALUE"""),"Invite Next Year")</f>
        <v>Invite Next Year</v>
      </c>
      <c r="F637" s="6" t="e">
        <f t="shared" ca="1" si="2"/>
        <v>#NAME?</v>
      </c>
    </row>
    <row r="638" spans="1:6">
      <c r="A638" s="199">
        <f ca="1">IFERROR(__xludf.DUMMYFUNCTION("""COMPUTED_VALUE"""),44796)</f>
        <v>44796</v>
      </c>
      <c r="B638" s="6" t="str">
        <f ca="1">IFERROR(__xludf.DUMMYFUNCTION("""COMPUTED_VALUE"""),"Veris Behavior _2022")</f>
        <v>Veris Behavior _2022</v>
      </c>
      <c r="C638" s="6">
        <f ca="1">IFERROR(__xludf.DUMMYFUNCTION("""COMPUTED_VALUE"""),3)</f>
        <v>3</v>
      </c>
      <c r="D638" s="6" t="str">
        <f ca="1">IFERROR(__xludf.DUMMYFUNCTION("""COMPUTED_VALUE"""),"Digital Tech")</f>
        <v>Digital Tech</v>
      </c>
      <c r="E638" s="6" t="str">
        <f ca="1">IFERROR(__xludf.DUMMYFUNCTION("""COMPUTED_VALUE"""),"Invite Next Year")</f>
        <v>Invite Next Year</v>
      </c>
      <c r="F638" s="6" t="e">
        <f t="shared" ca="1" si="2"/>
        <v>#NAME?</v>
      </c>
    </row>
    <row r="639" spans="1:6">
      <c r="A639" s="199">
        <f ca="1">IFERROR(__xludf.DUMMYFUNCTION("""COMPUTED_VALUE"""),44796)</f>
        <v>44796</v>
      </c>
      <c r="B639" s="6" t="str">
        <f ca="1">IFERROR(__xludf.DUMMYFUNCTION("""COMPUTED_VALUE"""),"PEGASI INTERNATIONAL, INC. _2022")</f>
        <v>PEGASI INTERNATIONAL, INC. _2022</v>
      </c>
      <c r="C639" s="6">
        <f ca="1">IFERROR(__xludf.DUMMYFUNCTION("""COMPUTED_VALUE"""),3)</f>
        <v>3</v>
      </c>
      <c r="D639" s="6" t="str">
        <f ca="1">IFERROR(__xludf.DUMMYFUNCTION("""COMPUTED_VALUE"""),"Life Sciences")</f>
        <v>Life Sciences</v>
      </c>
      <c r="E639" s="6" t="str">
        <f ca="1">IFERROR(__xludf.DUMMYFUNCTION("""COMPUTED_VALUE"""),"Invite Next Year")</f>
        <v>Invite Next Year</v>
      </c>
      <c r="F639" s="6" t="e">
        <f t="shared" ca="1" si="2"/>
        <v>#NAME?</v>
      </c>
    </row>
    <row r="640" spans="1:6">
      <c r="A640" s="199">
        <f ca="1">IFERROR(__xludf.DUMMYFUNCTION("""COMPUTED_VALUE"""),44796)</f>
        <v>44796</v>
      </c>
      <c r="B640" s="6" t="str">
        <f ca="1">IFERROR(__xludf.DUMMYFUNCTION("""COMPUTED_VALUE"""),"Conan Medtech Corp. _2022")</f>
        <v>Conan Medtech Corp. _2022</v>
      </c>
      <c r="C640" s="6">
        <f ca="1">IFERROR(__xludf.DUMMYFUNCTION("""COMPUTED_VALUE"""),3)</f>
        <v>3</v>
      </c>
      <c r="D640" s="6" t="str">
        <f ca="1">IFERROR(__xludf.DUMMYFUNCTION("""COMPUTED_VALUE"""),"Life Sciences")</f>
        <v>Life Sciences</v>
      </c>
      <c r="E640" s="6" t="str">
        <f ca="1">IFERROR(__xludf.DUMMYFUNCTION("""COMPUTED_VALUE"""),"Invite Next Year")</f>
        <v>Invite Next Year</v>
      </c>
      <c r="F640" s="6" t="e">
        <f t="shared" ca="1" si="2"/>
        <v>#NAME?</v>
      </c>
    </row>
    <row r="641" spans="1:6">
      <c r="A641" s="199">
        <f ca="1">IFERROR(__xludf.DUMMYFUNCTION("""COMPUTED_VALUE"""),44796)</f>
        <v>44796</v>
      </c>
      <c r="B641" s="6" t="str">
        <f ca="1">IFERROR(__xludf.DUMMYFUNCTION("""COMPUTED_VALUE"""),"ByteLearn _2022")</f>
        <v>ByteLearn _2022</v>
      </c>
      <c r="C641" s="6">
        <f ca="1">IFERROR(__xludf.DUMMYFUNCTION("""COMPUTED_VALUE"""),3)</f>
        <v>3</v>
      </c>
      <c r="D641" s="6" t="str">
        <f ca="1">IFERROR(__xludf.DUMMYFUNCTION("""COMPUTED_VALUE"""),"Digital Tech")</f>
        <v>Digital Tech</v>
      </c>
      <c r="E641" s="6" t="str">
        <f ca="1">IFERROR(__xludf.DUMMYFUNCTION("""COMPUTED_VALUE"""),"Invite Next Year")</f>
        <v>Invite Next Year</v>
      </c>
      <c r="F641" s="6" t="e">
        <f t="shared" ca="1" si="2"/>
        <v>#NAME?</v>
      </c>
    </row>
    <row r="642" spans="1:6">
      <c r="A642" s="199">
        <f ca="1">IFERROR(__xludf.DUMMYFUNCTION("""COMPUTED_VALUE"""),44796)</f>
        <v>44796</v>
      </c>
      <c r="B642" s="6" t="str">
        <f ca="1">IFERROR(__xludf.DUMMYFUNCTION("""COMPUTED_VALUE"""),"Kluero _2022")</f>
        <v>Kluero _2022</v>
      </c>
      <c r="C642" s="6">
        <f ca="1">IFERROR(__xludf.DUMMYFUNCTION("""COMPUTED_VALUE"""),3)</f>
        <v>3</v>
      </c>
      <c r="D642" s="6" t="str">
        <f ca="1">IFERROR(__xludf.DUMMYFUNCTION("""COMPUTED_VALUE"""),"Digital Tech")</f>
        <v>Digital Tech</v>
      </c>
      <c r="E642" s="6" t="str">
        <f ca="1">IFERROR(__xludf.DUMMYFUNCTION("""COMPUTED_VALUE"""),"Invite Next Year")</f>
        <v>Invite Next Year</v>
      </c>
      <c r="F642" s="6" t="e">
        <f t="shared" ca="1" si="2"/>
        <v>#NAME?</v>
      </c>
    </row>
    <row r="643" spans="1:6">
      <c r="A643" s="199">
        <f ca="1">IFERROR(__xludf.DUMMYFUNCTION("""COMPUTED_VALUE"""),44796)</f>
        <v>44796</v>
      </c>
      <c r="B643" s="6" t="str">
        <f ca="1">IFERROR(__xludf.DUMMYFUNCTION("""COMPUTED_VALUE"""),"RoQR _2022")</f>
        <v>RoQR _2022</v>
      </c>
      <c r="C643" s="6">
        <f ca="1">IFERROR(__xludf.DUMMYFUNCTION("""COMPUTED_VALUE"""),3)</f>
        <v>3</v>
      </c>
      <c r="D643" s="6" t="str">
        <f ca="1">IFERROR(__xludf.DUMMYFUNCTION("""COMPUTED_VALUE"""),"Digital Tech")</f>
        <v>Digital Tech</v>
      </c>
      <c r="E643" s="6" t="str">
        <f ca="1">IFERROR(__xludf.DUMMYFUNCTION("""COMPUTED_VALUE"""),"Invite Next Year")</f>
        <v>Invite Next Year</v>
      </c>
      <c r="F643" s="6" t="e">
        <f t="shared" ca="1" si="2"/>
        <v>#NAME?</v>
      </c>
    </row>
    <row r="644" spans="1:6">
      <c r="A644" s="199">
        <f ca="1">IFERROR(__xludf.DUMMYFUNCTION("""COMPUTED_VALUE"""),44796)</f>
        <v>44796</v>
      </c>
      <c r="B644" s="6" t="str">
        <f ca="1">IFERROR(__xludf.DUMMYFUNCTION("""COMPUTED_VALUE"""),"Arbol _2022")</f>
        <v>Arbol _2022</v>
      </c>
      <c r="C644" s="6">
        <f ca="1">IFERROR(__xludf.DUMMYFUNCTION("""COMPUTED_VALUE"""),3)</f>
        <v>3</v>
      </c>
      <c r="D644" s="6" t="str">
        <f ca="1">IFERROR(__xludf.DUMMYFUNCTION("""COMPUTED_VALUE"""),"Digital Tech")</f>
        <v>Digital Tech</v>
      </c>
      <c r="E644" s="6" t="str">
        <f ca="1">IFERROR(__xludf.DUMMYFUNCTION("""COMPUTED_VALUE"""),"Invite Next Year")</f>
        <v>Invite Next Year</v>
      </c>
      <c r="F644" s="6" t="e">
        <f t="shared" ca="1" si="2"/>
        <v>#NAME?</v>
      </c>
    </row>
    <row r="645" spans="1:6">
      <c r="A645" s="199">
        <f ca="1">IFERROR(__xludf.DUMMYFUNCTION("""COMPUTED_VALUE"""),44796)</f>
        <v>44796</v>
      </c>
      <c r="B645" s="6" t="str">
        <f ca="1">IFERROR(__xludf.DUMMYFUNCTION("""COMPUTED_VALUE"""),"EnKoat _2022")</f>
        <v>EnKoat _2022</v>
      </c>
      <c r="C645" s="6">
        <f ca="1">IFERROR(__xludf.DUMMYFUNCTION("""COMPUTED_VALUE"""),3)</f>
        <v>3</v>
      </c>
      <c r="D645" s="6" t="str">
        <f ca="1">IFERROR(__xludf.DUMMYFUNCTION("""COMPUTED_VALUE"""),"Deep Tech")</f>
        <v>Deep Tech</v>
      </c>
      <c r="E645" s="6" t="str">
        <f ca="1">IFERROR(__xludf.DUMMYFUNCTION("""COMPUTED_VALUE"""),"Invite Next Year")</f>
        <v>Invite Next Year</v>
      </c>
      <c r="F645" s="6" t="e">
        <f t="shared" ca="1" si="2"/>
        <v>#NAME?</v>
      </c>
    </row>
    <row r="646" spans="1:6">
      <c r="A646" s="199">
        <f ca="1">IFERROR(__xludf.DUMMYFUNCTION("""COMPUTED_VALUE"""),44796)</f>
        <v>44796</v>
      </c>
      <c r="B646" s="6" t="str">
        <f ca="1">IFERROR(__xludf.DUMMYFUNCTION("""COMPUTED_VALUE"""),"Insynctive, Inc. _2022")</f>
        <v>Insynctive, Inc. _2022</v>
      </c>
      <c r="C646" s="6">
        <f ca="1">IFERROR(__xludf.DUMMYFUNCTION("""COMPUTED_VALUE"""),3)</f>
        <v>3</v>
      </c>
      <c r="D646" s="6" t="str">
        <f ca="1">IFERROR(__xludf.DUMMYFUNCTION("""COMPUTED_VALUE"""),"Digital Tech")</f>
        <v>Digital Tech</v>
      </c>
      <c r="E646" s="6" t="str">
        <f ca="1">IFERROR(__xludf.DUMMYFUNCTION("""COMPUTED_VALUE"""),"Invite Next Year")</f>
        <v>Invite Next Year</v>
      </c>
      <c r="F646" s="6" t="e">
        <f t="shared" ca="1" si="2"/>
        <v>#NAME?</v>
      </c>
    </row>
    <row r="647" spans="1:6">
      <c r="A647" s="199">
        <f ca="1">IFERROR(__xludf.DUMMYFUNCTION("""COMPUTED_VALUE"""),44796)</f>
        <v>44796</v>
      </c>
      <c r="B647" s="6" t="str">
        <f ca="1">IFERROR(__xludf.DUMMYFUNCTION("""COMPUTED_VALUE"""),"Qbrics, Inc _2022")</f>
        <v>Qbrics, Inc _2022</v>
      </c>
      <c r="C647" s="6">
        <f ca="1">IFERROR(__xludf.DUMMYFUNCTION("""COMPUTED_VALUE"""),3)</f>
        <v>3</v>
      </c>
      <c r="D647" s="6" t="str">
        <f ca="1">IFERROR(__xludf.DUMMYFUNCTION("""COMPUTED_VALUE"""),"Digital Tech")</f>
        <v>Digital Tech</v>
      </c>
      <c r="E647" s="6" t="str">
        <f ca="1">IFERROR(__xludf.DUMMYFUNCTION("""COMPUTED_VALUE"""),"Invite Next Year")</f>
        <v>Invite Next Year</v>
      </c>
      <c r="F647" s="6" t="e">
        <f t="shared" ca="1" si="2"/>
        <v>#NAME?</v>
      </c>
    </row>
    <row r="648" spans="1:6">
      <c r="A648" s="199">
        <f ca="1">IFERROR(__xludf.DUMMYFUNCTION("""COMPUTED_VALUE"""),44796)</f>
        <v>44796</v>
      </c>
      <c r="B648" s="6" t="str">
        <f ca="1">IFERROR(__xludf.DUMMYFUNCTION("""COMPUTED_VALUE"""),"Findpet _2022")</f>
        <v>Findpet _2022</v>
      </c>
      <c r="C648" s="6">
        <f ca="1">IFERROR(__xludf.DUMMYFUNCTION("""COMPUTED_VALUE"""),3)</f>
        <v>3</v>
      </c>
      <c r="D648" s="6" t="str">
        <f ca="1">IFERROR(__xludf.DUMMYFUNCTION("""COMPUTED_VALUE"""),"Digital Tech")</f>
        <v>Digital Tech</v>
      </c>
      <c r="E648" s="6" t="str">
        <f ca="1">IFERROR(__xludf.DUMMYFUNCTION("""COMPUTED_VALUE"""),"Invite Next Year")</f>
        <v>Invite Next Year</v>
      </c>
      <c r="F648" s="6" t="e">
        <f t="shared" ca="1" si="2"/>
        <v>#NAME?</v>
      </c>
    </row>
    <row r="649" spans="1:6">
      <c r="A649" s="199">
        <f ca="1">IFERROR(__xludf.DUMMYFUNCTION("""COMPUTED_VALUE"""),44796)</f>
        <v>44796</v>
      </c>
      <c r="B649" s="6" t="str">
        <f ca="1">IFERROR(__xludf.DUMMYFUNCTION("""COMPUTED_VALUE"""),"Digikraft.Io, Inc. _2022")</f>
        <v>Digikraft.Io, Inc. _2022</v>
      </c>
      <c r="C649" s="6">
        <f ca="1">IFERROR(__xludf.DUMMYFUNCTION("""COMPUTED_VALUE"""),3)</f>
        <v>3</v>
      </c>
      <c r="D649" s="6" t="str">
        <f ca="1">IFERROR(__xludf.DUMMYFUNCTION("""COMPUTED_VALUE"""),"Digital Tech")</f>
        <v>Digital Tech</v>
      </c>
      <c r="E649" s="6" t="str">
        <f ca="1">IFERROR(__xludf.DUMMYFUNCTION("""COMPUTED_VALUE"""),"Invite Next Year")</f>
        <v>Invite Next Year</v>
      </c>
      <c r="F649" s="6" t="e">
        <f t="shared" ca="1" si="2"/>
        <v>#NAME?</v>
      </c>
    </row>
    <row r="650" spans="1:6">
      <c r="A650" s="199">
        <f ca="1">IFERROR(__xludf.DUMMYFUNCTION("""COMPUTED_VALUE"""),44796)</f>
        <v>44796</v>
      </c>
      <c r="B650" s="6" t="str">
        <f ca="1">IFERROR(__xludf.DUMMYFUNCTION("""COMPUTED_VALUE"""),"Holloid _2022")</f>
        <v>Holloid _2022</v>
      </c>
      <c r="C650" s="6">
        <f ca="1">IFERROR(__xludf.DUMMYFUNCTION("""COMPUTED_VALUE"""),3)</f>
        <v>3</v>
      </c>
      <c r="D650" s="6" t="str">
        <f ca="1">IFERROR(__xludf.DUMMYFUNCTION("""COMPUTED_VALUE"""),"Deep Tech")</f>
        <v>Deep Tech</v>
      </c>
      <c r="E650" s="6" t="str">
        <f ca="1">IFERROR(__xludf.DUMMYFUNCTION("""COMPUTED_VALUE"""),"Invite Next Year")</f>
        <v>Invite Next Year</v>
      </c>
      <c r="F650" s="6" t="e">
        <f t="shared" ca="1" si="2"/>
        <v>#NAME?</v>
      </c>
    </row>
    <row r="651" spans="1:6">
      <c r="A651" s="199">
        <f ca="1">IFERROR(__xludf.DUMMYFUNCTION("""COMPUTED_VALUE"""),44796)</f>
        <v>44796</v>
      </c>
      <c r="B651" s="6" t="str">
        <f ca="1">IFERROR(__xludf.DUMMYFUNCTION("""COMPUTED_VALUE"""),"Dailyhuman _2022")</f>
        <v>Dailyhuman _2022</v>
      </c>
      <c r="C651" s="6">
        <f ca="1">IFERROR(__xludf.DUMMYFUNCTION("""COMPUTED_VALUE"""),3)</f>
        <v>3</v>
      </c>
      <c r="D651" s="6" t="str">
        <f ca="1">IFERROR(__xludf.DUMMYFUNCTION("""COMPUTED_VALUE"""),"Digital Tech")</f>
        <v>Digital Tech</v>
      </c>
      <c r="E651" s="6" t="str">
        <f ca="1">IFERROR(__xludf.DUMMYFUNCTION("""COMPUTED_VALUE"""),"Invite Next Year")</f>
        <v>Invite Next Year</v>
      </c>
      <c r="F651" s="6" t="e">
        <f t="shared" ca="1" si="2"/>
        <v>#NAME?</v>
      </c>
    </row>
    <row r="652" spans="1:6">
      <c r="A652" s="199">
        <f ca="1">IFERROR(__xludf.DUMMYFUNCTION("""COMPUTED_VALUE"""),44796)</f>
        <v>44796</v>
      </c>
      <c r="B652" s="6" t="str">
        <f ca="1">IFERROR(__xludf.DUMMYFUNCTION("""COMPUTED_VALUE"""),"AMATEC _2022")</f>
        <v>AMATEC _2022</v>
      </c>
      <c r="C652" s="6">
        <f ca="1">IFERROR(__xludf.DUMMYFUNCTION("""COMPUTED_VALUE"""),3)</f>
        <v>3</v>
      </c>
      <c r="D652" s="6" t="str">
        <f ca="1">IFERROR(__xludf.DUMMYFUNCTION("""COMPUTED_VALUE"""),"Deep Tech")</f>
        <v>Deep Tech</v>
      </c>
      <c r="E652" s="6" t="str">
        <f ca="1">IFERROR(__xludf.DUMMYFUNCTION("""COMPUTED_VALUE"""),"Invite Next Year")</f>
        <v>Invite Next Year</v>
      </c>
      <c r="F652" s="6" t="e">
        <f t="shared" ca="1" si="2"/>
        <v>#NAME?</v>
      </c>
    </row>
    <row r="653" spans="1:6">
      <c r="A653" s="199">
        <f ca="1">IFERROR(__xludf.DUMMYFUNCTION("""COMPUTED_VALUE"""),44796)</f>
        <v>44796</v>
      </c>
      <c r="B653" s="6" t="str">
        <f ca="1">IFERROR(__xludf.DUMMYFUNCTION("""COMPUTED_VALUE"""),"BLOOP _2022")</f>
        <v>BLOOP _2022</v>
      </c>
      <c r="C653" s="6">
        <f ca="1">IFERROR(__xludf.DUMMYFUNCTION("""COMPUTED_VALUE"""),3)</f>
        <v>3</v>
      </c>
      <c r="D653" s="6" t="str">
        <f ca="1">IFERROR(__xludf.DUMMYFUNCTION("""COMPUTED_VALUE"""),"Digital Tech")</f>
        <v>Digital Tech</v>
      </c>
      <c r="E653" s="6" t="str">
        <f ca="1">IFERROR(__xludf.DUMMYFUNCTION("""COMPUTED_VALUE"""),"Invite Next Year")</f>
        <v>Invite Next Year</v>
      </c>
      <c r="F653" s="6" t="e">
        <f t="shared" ca="1" si="2"/>
        <v>#NAME?</v>
      </c>
    </row>
    <row r="654" spans="1:6">
      <c r="A654" s="199">
        <f ca="1">IFERROR(__xludf.DUMMYFUNCTION("""COMPUTED_VALUE"""),44796)</f>
        <v>44796</v>
      </c>
      <c r="B654" s="6" t="str">
        <f ca="1">IFERROR(__xludf.DUMMYFUNCTION("""COMPUTED_VALUE"""),"INCLODE LLC _2022")</f>
        <v>INCLODE LLC _2022</v>
      </c>
      <c r="C654" s="6">
        <f ca="1">IFERROR(__xludf.DUMMYFUNCTION("""COMPUTED_VALUE"""),3)</f>
        <v>3</v>
      </c>
      <c r="D654" s="6" t="str">
        <f ca="1">IFERROR(__xludf.DUMMYFUNCTION("""COMPUTED_VALUE"""),"Life Sciences")</f>
        <v>Life Sciences</v>
      </c>
      <c r="E654" s="6" t="str">
        <f ca="1">IFERROR(__xludf.DUMMYFUNCTION("""COMPUTED_VALUE"""),"Invite Next Year")</f>
        <v>Invite Next Year</v>
      </c>
      <c r="F654" s="6" t="e">
        <f t="shared" ca="1" si="2"/>
        <v>#NAME?</v>
      </c>
    </row>
    <row r="655" spans="1:6">
      <c r="A655" s="199">
        <f ca="1">IFERROR(__xludf.DUMMYFUNCTION("""COMPUTED_VALUE"""),44796)</f>
        <v>44796</v>
      </c>
      <c r="B655" s="6" t="str">
        <f ca="1">IFERROR(__xludf.DUMMYFUNCTION("""COMPUTED_VALUE"""),"Intelline _2022")</f>
        <v>Intelline _2022</v>
      </c>
      <c r="C655" s="6">
        <f ca="1">IFERROR(__xludf.DUMMYFUNCTION("""COMPUTED_VALUE"""),3)</f>
        <v>3</v>
      </c>
      <c r="D655" s="6" t="str">
        <f ca="1">IFERROR(__xludf.DUMMYFUNCTION("""COMPUTED_VALUE"""),"Deep Tech")</f>
        <v>Deep Tech</v>
      </c>
      <c r="E655" s="6" t="str">
        <f ca="1">IFERROR(__xludf.DUMMYFUNCTION("""COMPUTED_VALUE"""),"Invite Next Year")</f>
        <v>Invite Next Year</v>
      </c>
      <c r="F655" s="6" t="e">
        <f t="shared" ca="1" si="2"/>
        <v>#NAME?</v>
      </c>
    </row>
    <row r="656" spans="1:6">
      <c r="A656" s="199">
        <f ca="1">IFERROR(__xludf.DUMMYFUNCTION("""COMPUTED_VALUE"""),44796)</f>
        <v>44796</v>
      </c>
      <c r="B656" s="6" t="str">
        <f ca="1">IFERROR(__xludf.DUMMYFUNCTION("""COMPUTED_VALUE"""),"Quantic Brains Technologies SL _2022")</f>
        <v>Quantic Brains Technologies SL _2022</v>
      </c>
      <c r="C656" s="6">
        <f ca="1">IFERROR(__xludf.DUMMYFUNCTION("""COMPUTED_VALUE"""),3)</f>
        <v>3</v>
      </c>
      <c r="D656" s="6" t="str">
        <f ca="1">IFERROR(__xludf.DUMMYFUNCTION("""COMPUTED_VALUE"""),"Deep Tech")</f>
        <v>Deep Tech</v>
      </c>
      <c r="E656" s="6" t="str">
        <f ca="1">IFERROR(__xludf.DUMMYFUNCTION("""COMPUTED_VALUE"""),"Invite Next Year")</f>
        <v>Invite Next Year</v>
      </c>
      <c r="F656" s="6" t="e">
        <f t="shared" ca="1" si="2"/>
        <v>#NAME?</v>
      </c>
    </row>
    <row r="657" spans="1:6">
      <c r="A657" s="199">
        <f ca="1">IFERROR(__xludf.DUMMYFUNCTION("""COMPUTED_VALUE"""),44796)</f>
        <v>44796</v>
      </c>
      <c r="B657" s="6" t="str">
        <f ca="1">IFERROR(__xludf.DUMMYFUNCTION("""COMPUTED_VALUE"""),"Addinex Technologies, Inc. _2022")</f>
        <v>Addinex Technologies, Inc. _2022</v>
      </c>
      <c r="C657" s="6">
        <f ca="1">IFERROR(__xludf.DUMMYFUNCTION("""COMPUTED_VALUE"""),3)</f>
        <v>3</v>
      </c>
      <c r="D657" s="6" t="str">
        <f ca="1">IFERROR(__xludf.DUMMYFUNCTION("""COMPUTED_VALUE"""),"Life Sciences")</f>
        <v>Life Sciences</v>
      </c>
      <c r="E657" s="6" t="str">
        <f ca="1">IFERROR(__xludf.DUMMYFUNCTION("""COMPUTED_VALUE"""),"Invite Next Year")</f>
        <v>Invite Next Year</v>
      </c>
      <c r="F657" s="6" t="e">
        <f t="shared" ca="1" si="2"/>
        <v>#NAME?</v>
      </c>
    </row>
    <row r="658" spans="1:6">
      <c r="A658" s="199">
        <f ca="1">IFERROR(__xludf.DUMMYFUNCTION("""COMPUTED_VALUE"""),44796)</f>
        <v>44796</v>
      </c>
      <c r="B658" s="6" t="str">
        <f ca="1">IFERROR(__xludf.DUMMYFUNCTION("""COMPUTED_VALUE"""),"WATZ _2022")</f>
        <v>WATZ _2022</v>
      </c>
      <c r="C658" s="6">
        <f ca="1">IFERROR(__xludf.DUMMYFUNCTION("""COMPUTED_VALUE"""),3)</f>
        <v>3</v>
      </c>
      <c r="D658" s="6" t="str">
        <f ca="1">IFERROR(__xludf.DUMMYFUNCTION("""COMPUTED_VALUE"""),"Deep Tech")</f>
        <v>Deep Tech</v>
      </c>
      <c r="E658" s="6" t="str">
        <f ca="1">IFERROR(__xludf.DUMMYFUNCTION("""COMPUTED_VALUE"""),"Invite Next Year")</f>
        <v>Invite Next Year</v>
      </c>
      <c r="F658" s="6" t="e">
        <f t="shared" ca="1" si="2"/>
        <v>#NAME?</v>
      </c>
    </row>
    <row r="659" spans="1:6">
      <c r="A659" s="199">
        <f ca="1">IFERROR(__xludf.DUMMYFUNCTION("""COMPUTED_VALUE"""),44796)</f>
        <v>44796</v>
      </c>
      <c r="B659" s="6" t="str">
        <f ca="1">IFERROR(__xludf.DUMMYFUNCTION("""COMPUTED_VALUE"""),"Dekar Edge/Society _2022")</f>
        <v>Dekar Edge/Society _2022</v>
      </c>
      <c r="C659" s="6">
        <f ca="1">IFERROR(__xludf.DUMMYFUNCTION("""COMPUTED_VALUE"""),3)</f>
        <v>3</v>
      </c>
      <c r="D659" s="6" t="str">
        <f ca="1">IFERROR(__xludf.DUMMYFUNCTION("""COMPUTED_VALUE"""),"Digital Tech")</f>
        <v>Digital Tech</v>
      </c>
      <c r="E659" s="6" t="str">
        <f ca="1">IFERROR(__xludf.DUMMYFUNCTION("""COMPUTED_VALUE"""),"Invite Next Year")</f>
        <v>Invite Next Year</v>
      </c>
      <c r="F659" s="6" t="e">
        <f t="shared" ca="1" si="2"/>
        <v>#NAME?</v>
      </c>
    </row>
    <row r="660" spans="1:6">
      <c r="A660" s="199">
        <f ca="1">IFERROR(__xludf.DUMMYFUNCTION("""COMPUTED_VALUE"""),44796)</f>
        <v>44796</v>
      </c>
      <c r="B660" s="6" t="str">
        <f ca="1">IFERROR(__xludf.DUMMYFUNCTION("""COMPUTED_VALUE"""),"Blyp.ai _2022")</f>
        <v>Blyp.ai _2022</v>
      </c>
      <c r="C660" s="6">
        <f ca="1">IFERROR(__xludf.DUMMYFUNCTION("""COMPUTED_VALUE"""),3)</f>
        <v>3</v>
      </c>
      <c r="D660" s="6" t="str">
        <f ca="1">IFERROR(__xludf.DUMMYFUNCTION("""COMPUTED_VALUE"""),"Digital Tech")</f>
        <v>Digital Tech</v>
      </c>
      <c r="E660" s="6" t="str">
        <f ca="1">IFERROR(__xludf.DUMMYFUNCTION("""COMPUTED_VALUE"""),"Invite Next Year")</f>
        <v>Invite Next Year</v>
      </c>
      <c r="F660" s="6" t="e">
        <f t="shared" ca="1" si="2"/>
        <v>#NAME?</v>
      </c>
    </row>
    <row r="661" spans="1:6">
      <c r="A661" s="199">
        <f ca="1">IFERROR(__xludf.DUMMYFUNCTION("""COMPUTED_VALUE"""),44796)</f>
        <v>44796</v>
      </c>
      <c r="B661" s="6" t="str">
        <f ca="1">IFERROR(__xludf.DUMMYFUNCTION("""COMPUTED_VALUE"""),"Plastic Green Power Ltd _2022")</f>
        <v>Plastic Green Power Ltd _2022</v>
      </c>
      <c r="C661" s="6">
        <f ca="1">IFERROR(__xludf.DUMMYFUNCTION("""COMPUTED_VALUE"""),3)</f>
        <v>3</v>
      </c>
      <c r="D661" s="6" t="str">
        <f ca="1">IFERROR(__xludf.DUMMYFUNCTION("""COMPUTED_VALUE"""),"Deep Tech")</f>
        <v>Deep Tech</v>
      </c>
      <c r="E661" s="6" t="str">
        <f ca="1">IFERROR(__xludf.DUMMYFUNCTION("""COMPUTED_VALUE"""),"Invite Next Year")</f>
        <v>Invite Next Year</v>
      </c>
      <c r="F661" s="6" t="e">
        <f t="shared" ca="1" si="2"/>
        <v>#NAME?</v>
      </c>
    </row>
    <row r="662" spans="1:6">
      <c r="A662" s="199">
        <f ca="1">IFERROR(__xludf.DUMMYFUNCTION("""COMPUTED_VALUE"""),44797)</f>
        <v>44797</v>
      </c>
      <c r="B662" s="6" t="str">
        <f ca="1">IFERROR(__xludf.DUMMYFUNCTION("""COMPUTED_VALUE"""),"Zedosh Limited (Attention Exchange®) _2022")</f>
        <v>Zedosh Limited (Attention Exchange®) _2022</v>
      </c>
      <c r="C662" s="6">
        <f ca="1">IFERROR(__xludf.DUMMYFUNCTION("""COMPUTED_VALUE"""),3)</f>
        <v>3</v>
      </c>
      <c r="D662" s="6" t="str">
        <f ca="1">IFERROR(__xludf.DUMMYFUNCTION("""COMPUTED_VALUE"""),"Digital Tech")</f>
        <v>Digital Tech</v>
      </c>
      <c r="E662" s="6" t="str">
        <f ca="1">IFERROR(__xludf.DUMMYFUNCTION("""COMPUTED_VALUE"""),"Invite Next Year")</f>
        <v>Invite Next Year</v>
      </c>
      <c r="F662" s="6" t="e">
        <f t="shared" ca="1" si="2"/>
        <v>#NAME?</v>
      </c>
    </row>
    <row r="663" spans="1:6">
      <c r="A663" s="199">
        <f ca="1">IFERROR(__xludf.DUMMYFUNCTION("""COMPUTED_VALUE"""),44797)</f>
        <v>44797</v>
      </c>
      <c r="B663" s="6" t="str">
        <f ca="1">IFERROR(__xludf.DUMMYFUNCTION("""COMPUTED_VALUE"""),"OneDeal _2022")</f>
        <v>OneDeal _2022</v>
      </c>
      <c r="C663" s="6">
        <f ca="1">IFERROR(__xludf.DUMMYFUNCTION("""COMPUTED_VALUE"""),3)</f>
        <v>3</v>
      </c>
      <c r="D663" s="6" t="str">
        <f ca="1">IFERROR(__xludf.DUMMYFUNCTION("""COMPUTED_VALUE"""),"Digital Tech")</f>
        <v>Digital Tech</v>
      </c>
      <c r="E663" s="6" t="str">
        <f ca="1">IFERROR(__xludf.DUMMYFUNCTION("""COMPUTED_VALUE"""),"Invite Next Year")</f>
        <v>Invite Next Year</v>
      </c>
      <c r="F663" s="6" t="e">
        <f t="shared" ca="1" si="2"/>
        <v>#NAME?</v>
      </c>
    </row>
    <row r="664" spans="1:6">
      <c r="A664" s="199">
        <f ca="1">IFERROR(__xludf.DUMMYFUNCTION("""COMPUTED_VALUE"""),44797)</f>
        <v>44797</v>
      </c>
      <c r="B664" s="6" t="str">
        <f ca="1">IFERROR(__xludf.DUMMYFUNCTION("""COMPUTED_VALUE"""),"Troc Circle _2022")</f>
        <v>Troc Circle _2022</v>
      </c>
      <c r="C664" s="6">
        <f ca="1">IFERROR(__xludf.DUMMYFUNCTION("""COMPUTED_VALUE"""),3)</f>
        <v>3</v>
      </c>
      <c r="D664" s="6" t="str">
        <f ca="1">IFERROR(__xludf.DUMMYFUNCTION("""COMPUTED_VALUE"""),"Digital Tech")</f>
        <v>Digital Tech</v>
      </c>
      <c r="E664" s="6" t="str">
        <f ca="1">IFERROR(__xludf.DUMMYFUNCTION("""COMPUTED_VALUE"""),"Invite Next Year")</f>
        <v>Invite Next Year</v>
      </c>
      <c r="F664" s="6" t="e">
        <f t="shared" ca="1" si="2"/>
        <v>#NAME?</v>
      </c>
    </row>
    <row r="665" spans="1:6">
      <c r="A665" s="199">
        <f ca="1">IFERROR(__xludf.DUMMYFUNCTION("""COMPUTED_VALUE"""),44797)</f>
        <v>44797</v>
      </c>
      <c r="B665" s="6" t="str">
        <f ca="1">IFERROR(__xludf.DUMMYFUNCTION("""COMPUTED_VALUE"""),"eWitness Media Inc. _2022")</f>
        <v>eWitness Media Inc. _2022</v>
      </c>
      <c r="C665" s="6">
        <f ca="1">IFERROR(__xludf.DUMMYFUNCTION("""COMPUTED_VALUE"""),3)</f>
        <v>3</v>
      </c>
      <c r="D665" s="6" t="str">
        <f ca="1">IFERROR(__xludf.DUMMYFUNCTION("""COMPUTED_VALUE"""),"Digital Tech")</f>
        <v>Digital Tech</v>
      </c>
      <c r="E665" s="6" t="str">
        <f ca="1">IFERROR(__xludf.DUMMYFUNCTION("""COMPUTED_VALUE"""),"Invite Next Year")</f>
        <v>Invite Next Year</v>
      </c>
      <c r="F665" s="6" t="e">
        <f t="shared" ca="1" si="2"/>
        <v>#NAME?</v>
      </c>
    </row>
    <row r="666" spans="1:6">
      <c r="A666" s="199">
        <f ca="1">IFERROR(__xludf.DUMMYFUNCTION("""COMPUTED_VALUE"""),44797)</f>
        <v>44797</v>
      </c>
      <c r="B666" s="6" t="str">
        <f ca="1">IFERROR(__xludf.DUMMYFUNCTION("""COMPUTED_VALUE"""),"Outprfrm _2022")</f>
        <v>Outprfrm _2022</v>
      </c>
      <c r="C666" s="6">
        <f ca="1">IFERROR(__xludf.DUMMYFUNCTION("""COMPUTED_VALUE"""),3)</f>
        <v>3</v>
      </c>
      <c r="D666" s="6" t="str">
        <f ca="1">IFERROR(__xludf.DUMMYFUNCTION("""COMPUTED_VALUE"""),"Digital Tech")</f>
        <v>Digital Tech</v>
      </c>
      <c r="E666" s="6" t="str">
        <f ca="1">IFERROR(__xludf.DUMMYFUNCTION("""COMPUTED_VALUE"""),"Invite Next Year")</f>
        <v>Invite Next Year</v>
      </c>
      <c r="F666" s="6" t="e">
        <f t="shared" ca="1" si="2"/>
        <v>#NAME?</v>
      </c>
    </row>
    <row r="667" spans="1:6">
      <c r="A667" s="199">
        <f ca="1">IFERROR(__xludf.DUMMYFUNCTION("""COMPUTED_VALUE"""),44797)</f>
        <v>44797</v>
      </c>
      <c r="B667" s="6" t="str">
        <f ca="1">IFERROR(__xludf.DUMMYFUNCTION("""COMPUTED_VALUE"""),"JS Group _2022")</f>
        <v>JS Group _2022</v>
      </c>
      <c r="C667" s="6">
        <f ca="1">IFERROR(__xludf.DUMMYFUNCTION("""COMPUTED_VALUE"""),3)</f>
        <v>3</v>
      </c>
      <c r="D667" s="6" t="str">
        <f ca="1">IFERROR(__xludf.DUMMYFUNCTION("""COMPUTED_VALUE"""),"Digital Tech")</f>
        <v>Digital Tech</v>
      </c>
      <c r="E667" s="6" t="str">
        <f ca="1">IFERROR(__xludf.DUMMYFUNCTION("""COMPUTED_VALUE"""),"Invite Next Year")</f>
        <v>Invite Next Year</v>
      </c>
      <c r="F667" s="6" t="e">
        <f t="shared" ca="1" si="2"/>
        <v>#NAME?</v>
      </c>
    </row>
    <row r="668" spans="1:6">
      <c r="A668" s="199">
        <f ca="1">IFERROR(__xludf.DUMMYFUNCTION("""COMPUTED_VALUE"""),44797)</f>
        <v>44797</v>
      </c>
      <c r="B668" s="6" t="str">
        <f ca="1">IFERROR(__xludf.DUMMYFUNCTION("""COMPUTED_VALUE"""),"SEED - Sustainable Entrepreneurial Ecosystem Development _2022")</f>
        <v>SEED - Sustainable Entrepreneurial Ecosystem Development _2022</v>
      </c>
      <c r="C668" s="6">
        <f ca="1">IFERROR(__xludf.DUMMYFUNCTION("""COMPUTED_VALUE"""),3)</f>
        <v>3</v>
      </c>
      <c r="D668" s="6" t="str">
        <f ca="1">IFERROR(__xludf.DUMMYFUNCTION("""COMPUTED_VALUE"""),"Digital Tech")</f>
        <v>Digital Tech</v>
      </c>
      <c r="E668" s="6" t="str">
        <f ca="1">IFERROR(__xludf.DUMMYFUNCTION("""COMPUTED_VALUE"""),"Invite Next Year")</f>
        <v>Invite Next Year</v>
      </c>
      <c r="F668" s="6" t="e">
        <f t="shared" ca="1" si="2"/>
        <v>#NAME?</v>
      </c>
    </row>
    <row r="669" spans="1:6">
      <c r="A669" s="199">
        <f ca="1">IFERROR(__xludf.DUMMYFUNCTION("""COMPUTED_VALUE"""),44797)</f>
        <v>44797</v>
      </c>
      <c r="B669" s="6" t="str">
        <f ca="1">IFERROR(__xludf.DUMMYFUNCTION("""COMPUTED_VALUE"""),"Asklaser _2022")</f>
        <v>Asklaser _2022</v>
      </c>
      <c r="C669" s="6">
        <f ca="1">IFERROR(__xludf.DUMMYFUNCTION("""COMPUTED_VALUE"""),3)</f>
        <v>3</v>
      </c>
      <c r="D669" s="6" t="str">
        <f ca="1">IFERROR(__xludf.DUMMYFUNCTION("""COMPUTED_VALUE"""),"Digital Tech")</f>
        <v>Digital Tech</v>
      </c>
      <c r="E669" s="6" t="str">
        <f ca="1">IFERROR(__xludf.DUMMYFUNCTION("""COMPUTED_VALUE"""),"Invite Next Year")</f>
        <v>Invite Next Year</v>
      </c>
      <c r="F669" s="6" t="e">
        <f t="shared" ca="1" si="2"/>
        <v>#NAME?</v>
      </c>
    </row>
    <row r="670" spans="1:6">
      <c r="A670" s="199">
        <f ca="1">IFERROR(__xludf.DUMMYFUNCTION("""COMPUTED_VALUE"""),44797)</f>
        <v>44797</v>
      </c>
      <c r="B670" s="6" t="str">
        <f ca="1">IFERROR(__xludf.DUMMYFUNCTION("""COMPUTED_VALUE"""),"Kola Project _2022")</f>
        <v>Kola Project _2022</v>
      </c>
      <c r="C670" s="6">
        <f ca="1">IFERROR(__xludf.DUMMYFUNCTION("""COMPUTED_VALUE"""),3)</f>
        <v>3</v>
      </c>
      <c r="D670" s="6" t="str">
        <f ca="1">IFERROR(__xludf.DUMMYFUNCTION("""COMPUTED_VALUE"""),"Digital Tech")</f>
        <v>Digital Tech</v>
      </c>
      <c r="E670" s="6" t="str">
        <f ca="1">IFERROR(__xludf.DUMMYFUNCTION("""COMPUTED_VALUE"""),"Invite Next Year")</f>
        <v>Invite Next Year</v>
      </c>
      <c r="F670" s="6" t="e">
        <f t="shared" ca="1" si="2"/>
        <v>#NAME?</v>
      </c>
    </row>
    <row r="671" spans="1:6">
      <c r="A671" s="199">
        <f ca="1">IFERROR(__xludf.DUMMYFUNCTION("""COMPUTED_VALUE"""),44797)</f>
        <v>44797</v>
      </c>
      <c r="B671" s="6" t="str">
        <f ca="1">IFERROR(__xludf.DUMMYFUNCTION("""COMPUTED_VALUE"""),"Rapid Nexus Nanotech Wound Solutions, Inc. _2022")</f>
        <v>Rapid Nexus Nanotech Wound Solutions, Inc. _2022</v>
      </c>
      <c r="C671" s="6">
        <f ca="1">IFERROR(__xludf.DUMMYFUNCTION("""COMPUTED_VALUE"""),3)</f>
        <v>3</v>
      </c>
      <c r="D671" s="6" t="str">
        <f ca="1">IFERROR(__xludf.DUMMYFUNCTION("""COMPUTED_VALUE"""),"Life Sciences")</f>
        <v>Life Sciences</v>
      </c>
      <c r="E671" s="6" t="str">
        <f ca="1">IFERROR(__xludf.DUMMYFUNCTION("""COMPUTED_VALUE"""),"Invite Next Year")</f>
        <v>Invite Next Year</v>
      </c>
      <c r="F671" s="6" t="e">
        <f t="shared" ca="1" si="2"/>
        <v>#NAME?</v>
      </c>
    </row>
    <row r="672" spans="1:6">
      <c r="A672" s="199">
        <f ca="1">IFERROR(__xludf.DUMMYFUNCTION("""COMPUTED_VALUE"""),44797)</f>
        <v>44797</v>
      </c>
      <c r="B672" s="6" t="str">
        <f ca="1">IFERROR(__xludf.DUMMYFUNCTION("""COMPUTED_VALUE"""),"Fundamento _2022")</f>
        <v>Fundamento _2022</v>
      </c>
      <c r="C672" s="6">
        <f ca="1">IFERROR(__xludf.DUMMYFUNCTION("""COMPUTED_VALUE"""),3)</f>
        <v>3</v>
      </c>
      <c r="D672" s="6" t="str">
        <f ca="1">IFERROR(__xludf.DUMMYFUNCTION("""COMPUTED_VALUE"""),"Digital Tech")</f>
        <v>Digital Tech</v>
      </c>
      <c r="E672" s="6" t="str">
        <f ca="1">IFERROR(__xludf.DUMMYFUNCTION("""COMPUTED_VALUE"""),"Invite Next Year")</f>
        <v>Invite Next Year</v>
      </c>
      <c r="F672" s="6" t="e">
        <f t="shared" ca="1" si="2"/>
        <v>#NAME?</v>
      </c>
    </row>
    <row r="673" spans="1:6">
      <c r="A673" s="199">
        <f ca="1">IFERROR(__xludf.DUMMYFUNCTION("""COMPUTED_VALUE"""),44797)</f>
        <v>44797</v>
      </c>
      <c r="B673" s="6" t="str">
        <f ca="1">IFERROR(__xludf.DUMMYFUNCTION("""COMPUTED_VALUE"""),"Pearl Interactives _2022")</f>
        <v>Pearl Interactives _2022</v>
      </c>
      <c r="C673" s="6">
        <f ca="1">IFERROR(__xludf.DUMMYFUNCTION("""COMPUTED_VALUE"""),3)</f>
        <v>3</v>
      </c>
      <c r="D673" s="6" t="str">
        <f ca="1">IFERROR(__xludf.DUMMYFUNCTION("""COMPUTED_VALUE"""),"Digital Tech")</f>
        <v>Digital Tech</v>
      </c>
      <c r="E673" s="6" t="str">
        <f ca="1">IFERROR(__xludf.DUMMYFUNCTION("""COMPUTED_VALUE"""),"Invite Next Year")</f>
        <v>Invite Next Year</v>
      </c>
      <c r="F673" s="6" t="e">
        <f t="shared" ca="1" si="2"/>
        <v>#NAME?</v>
      </c>
    </row>
    <row r="674" spans="1:6">
      <c r="A674" s="199">
        <f ca="1">IFERROR(__xludf.DUMMYFUNCTION("""COMPUTED_VALUE"""),44797)</f>
        <v>44797</v>
      </c>
      <c r="B674" s="6" t="str">
        <f ca="1">IFERROR(__xludf.DUMMYFUNCTION("""COMPUTED_VALUE"""),"Koshex Inc. _2022")</f>
        <v>Koshex Inc. _2022</v>
      </c>
      <c r="C674" s="6">
        <f ca="1">IFERROR(__xludf.DUMMYFUNCTION("""COMPUTED_VALUE"""),3)</f>
        <v>3</v>
      </c>
      <c r="D674" s="6" t="str">
        <f ca="1">IFERROR(__xludf.DUMMYFUNCTION("""COMPUTED_VALUE"""),"Digital Tech")</f>
        <v>Digital Tech</v>
      </c>
      <c r="E674" s="6" t="str">
        <f ca="1">IFERROR(__xludf.DUMMYFUNCTION("""COMPUTED_VALUE"""),"Invite Next Year")</f>
        <v>Invite Next Year</v>
      </c>
      <c r="F674" s="6" t="e">
        <f t="shared" ca="1" si="2"/>
        <v>#NAME?</v>
      </c>
    </row>
    <row r="675" spans="1:6">
      <c r="A675" s="199">
        <f ca="1">IFERROR(__xludf.DUMMYFUNCTION("""COMPUTED_VALUE"""),44789)</f>
        <v>44789</v>
      </c>
      <c r="B675" s="6" t="str">
        <f ca="1">IFERROR(__xludf.DUMMYFUNCTION("""COMPUTED_VALUE"""),"Shipturtle Apps Pvt Ltd _2022")</f>
        <v>Shipturtle Apps Pvt Ltd _2022</v>
      </c>
      <c r="C675" s="6">
        <f ca="1">IFERROR(__xludf.DUMMYFUNCTION("""COMPUTED_VALUE"""),2.88)</f>
        <v>2.88</v>
      </c>
      <c r="D675" s="6" t="str">
        <f ca="1">IFERROR(__xludf.DUMMYFUNCTION("""COMPUTED_VALUE"""),"Digital Tech")</f>
        <v>Digital Tech</v>
      </c>
      <c r="E675" s="6" t="str">
        <f ca="1">IFERROR(__xludf.DUMMYFUNCTION("""COMPUTED_VALUE"""),"Invite Next Year")</f>
        <v>Invite Next Year</v>
      </c>
      <c r="F675" s="6" t="e">
        <f t="shared" ca="1" si="2"/>
        <v>#NAME?</v>
      </c>
    </row>
    <row r="676" spans="1:6">
      <c r="A676" s="199">
        <f ca="1">IFERROR(__xludf.DUMMYFUNCTION("""COMPUTED_VALUE"""),44791)</f>
        <v>44791</v>
      </c>
      <c r="B676" s="6" t="str">
        <f ca="1">IFERROR(__xludf.DUMMYFUNCTION("""COMPUTED_VALUE"""),"Melior AI, Inc. _2022")</f>
        <v>Melior AI, Inc. _2022</v>
      </c>
      <c r="C676" s="6">
        <f ca="1">IFERROR(__xludf.DUMMYFUNCTION("""COMPUTED_VALUE"""),2.88)</f>
        <v>2.88</v>
      </c>
      <c r="D676" s="6" t="str">
        <f ca="1">IFERROR(__xludf.DUMMYFUNCTION("""COMPUTED_VALUE"""),"Digital Tech")</f>
        <v>Digital Tech</v>
      </c>
      <c r="E676" s="6" t="str">
        <f ca="1">IFERROR(__xludf.DUMMYFUNCTION("""COMPUTED_VALUE"""),"Revisit/ Cluster")</f>
        <v>Revisit/ Cluster</v>
      </c>
      <c r="F676" s="6" t="e">
        <f t="shared" ca="1" si="2"/>
        <v>#NAME?</v>
      </c>
    </row>
    <row r="677" spans="1:6">
      <c r="A677" s="199">
        <f ca="1">IFERROR(__xludf.DUMMYFUNCTION("""COMPUTED_VALUE"""),44776)</f>
        <v>44776</v>
      </c>
      <c r="B677" s="6" t="str">
        <f ca="1">IFERROR(__xludf.DUMMYFUNCTION("""COMPUTED_VALUE"""),"Nettoyer Automotives PVT LTD _2022")</f>
        <v>Nettoyer Automotives PVT LTD _2022</v>
      </c>
      <c r="C677" s="6">
        <f ca="1">IFERROR(__xludf.DUMMYFUNCTION("""COMPUTED_VALUE"""),2.75)</f>
        <v>2.75</v>
      </c>
      <c r="D677" s="6" t="str">
        <f ca="1">IFERROR(__xludf.DUMMYFUNCTION("""COMPUTED_VALUE"""),"Deep Tech")</f>
        <v>Deep Tech</v>
      </c>
      <c r="E677" s="6" t="str">
        <f ca="1">IFERROR(__xludf.DUMMYFUNCTION("""COMPUTED_VALUE"""),"Invite Next Year")</f>
        <v>Invite Next Year</v>
      </c>
      <c r="F677" s="6" t="e">
        <f t="shared" ca="1" si="2"/>
        <v>#NAME?</v>
      </c>
    </row>
    <row r="678" spans="1:6">
      <c r="A678" s="199">
        <f ca="1">IFERROR(__xludf.DUMMYFUNCTION("""COMPUTED_VALUE"""),44776)</f>
        <v>44776</v>
      </c>
      <c r="B678" s="6" t="str">
        <f ca="1">IFERROR(__xludf.DUMMYFUNCTION("""COMPUTED_VALUE"""),"Exovolar Industries Corp. _2022")</f>
        <v>Exovolar Industries Corp. _2022</v>
      </c>
      <c r="C678" s="6">
        <f ca="1">IFERROR(__xludf.DUMMYFUNCTION("""COMPUTED_VALUE"""),2.75)</f>
        <v>2.75</v>
      </c>
      <c r="D678" s="6" t="str">
        <f ca="1">IFERROR(__xludf.DUMMYFUNCTION("""COMPUTED_VALUE"""),"Deep Tech")</f>
        <v>Deep Tech</v>
      </c>
      <c r="E678" s="6" t="str">
        <f ca="1">IFERROR(__xludf.DUMMYFUNCTION("""COMPUTED_VALUE"""),"Invite Next Year")</f>
        <v>Invite Next Year</v>
      </c>
      <c r="F678" s="6" t="e">
        <f t="shared" ca="1" si="2"/>
        <v>#NAME?</v>
      </c>
    </row>
    <row r="679" spans="1:6">
      <c r="A679" s="199">
        <f ca="1">IFERROR(__xludf.DUMMYFUNCTION("""COMPUTED_VALUE"""),44776)</f>
        <v>44776</v>
      </c>
      <c r="B679" s="6" t="str">
        <f ca="1">IFERROR(__xludf.DUMMYFUNCTION("""COMPUTED_VALUE"""),"Heartland _2022")</f>
        <v>Heartland _2022</v>
      </c>
      <c r="C679" s="6">
        <f ca="1">IFERROR(__xludf.DUMMYFUNCTION("""COMPUTED_VALUE"""),2.75)</f>
        <v>2.75</v>
      </c>
      <c r="D679" s="6" t="str">
        <f ca="1">IFERROR(__xludf.DUMMYFUNCTION("""COMPUTED_VALUE"""),"Deep Tech")</f>
        <v>Deep Tech</v>
      </c>
      <c r="E679" s="6" t="str">
        <f ca="1">IFERROR(__xludf.DUMMYFUNCTION("""COMPUTED_VALUE"""),"Invite Next Year")</f>
        <v>Invite Next Year</v>
      </c>
      <c r="F679" s="6" t="e">
        <f t="shared" ca="1" si="2"/>
        <v>#NAME?</v>
      </c>
    </row>
    <row r="680" spans="1:6">
      <c r="A680" s="199">
        <f ca="1">IFERROR(__xludf.DUMMYFUNCTION("""COMPUTED_VALUE"""),44776)</f>
        <v>44776</v>
      </c>
      <c r="B680" s="6" t="str">
        <f ca="1">IFERROR(__xludf.DUMMYFUNCTION("""COMPUTED_VALUE"""),"Be A Maker Club _2022")</f>
        <v>Be A Maker Club _2022</v>
      </c>
      <c r="C680" s="6">
        <f ca="1">IFERROR(__xludf.DUMMYFUNCTION("""COMPUTED_VALUE"""),2.75)</f>
        <v>2.75</v>
      </c>
      <c r="D680" s="6" t="str">
        <f ca="1">IFERROR(__xludf.DUMMYFUNCTION("""COMPUTED_VALUE"""),"Digital Tech")</f>
        <v>Digital Tech</v>
      </c>
      <c r="E680" s="6" t="str">
        <f ca="1">IFERROR(__xludf.DUMMYFUNCTION("""COMPUTED_VALUE"""),"Invite Next Year")</f>
        <v>Invite Next Year</v>
      </c>
      <c r="F680" s="6" t="e">
        <f t="shared" ca="1" si="2"/>
        <v>#NAME?</v>
      </c>
    </row>
    <row r="681" spans="1:6">
      <c r="A681" s="199">
        <f ca="1">IFERROR(__xludf.DUMMYFUNCTION("""COMPUTED_VALUE"""),44782)</f>
        <v>44782</v>
      </c>
      <c r="B681" s="6" t="str">
        <f ca="1">IFERROR(__xludf.DUMMYFUNCTION("""COMPUTED_VALUE"""),"IOTE2E INC _2022")</f>
        <v>IOTE2E INC _2022</v>
      </c>
      <c r="C681" s="6">
        <f ca="1">IFERROR(__xludf.DUMMYFUNCTION("""COMPUTED_VALUE"""),2.75)</f>
        <v>2.75</v>
      </c>
      <c r="D681" s="6" t="str">
        <f ca="1">IFERROR(__xludf.DUMMYFUNCTION("""COMPUTED_VALUE"""),"Deep Tech")</f>
        <v>Deep Tech</v>
      </c>
      <c r="E681" s="6" t="str">
        <f ca="1">IFERROR(__xludf.DUMMYFUNCTION("""COMPUTED_VALUE"""),"Invite Next Year")</f>
        <v>Invite Next Year</v>
      </c>
      <c r="F681" s="6" t="e">
        <f t="shared" ca="1" si="2"/>
        <v>#NAME?</v>
      </c>
    </row>
    <row r="682" spans="1:6">
      <c r="A682" s="199">
        <f ca="1">IFERROR(__xludf.DUMMYFUNCTION("""COMPUTED_VALUE"""),44782)</f>
        <v>44782</v>
      </c>
      <c r="B682" s="6" t="str">
        <f ca="1">IFERROR(__xludf.DUMMYFUNCTION("""COMPUTED_VALUE"""),"Meta Carbon Inc _2022")</f>
        <v>Meta Carbon Inc _2022</v>
      </c>
      <c r="C682" s="6">
        <f ca="1">IFERROR(__xludf.DUMMYFUNCTION("""COMPUTED_VALUE"""),2.75)</f>
        <v>2.75</v>
      </c>
      <c r="D682" s="6" t="str">
        <f ca="1">IFERROR(__xludf.DUMMYFUNCTION("""COMPUTED_VALUE"""),"Digital Tech")</f>
        <v>Digital Tech</v>
      </c>
      <c r="E682" s="6" t="str">
        <f ca="1">IFERROR(__xludf.DUMMYFUNCTION("""COMPUTED_VALUE"""),"Invite Next Year")</f>
        <v>Invite Next Year</v>
      </c>
      <c r="F682" s="6" t="e">
        <f t="shared" ca="1" si="2"/>
        <v>#NAME?</v>
      </c>
    </row>
    <row r="683" spans="1:6">
      <c r="A683" s="199">
        <f ca="1">IFERROR(__xludf.DUMMYFUNCTION("""COMPUTED_VALUE"""),44782)</f>
        <v>44782</v>
      </c>
      <c r="B683" s="6" t="str">
        <f ca="1">IFERROR(__xludf.DUMMYFUNCTION("""COMPUTED_VALUE"""),"Fiomet Ventures, Inc. _2022")</f>
        <v>Fiomet Ventures, Inc. _2022</v>
      </c>
      <c r="C683" s="6">
        <f ca="1">IFERROR(__xludf.DUMMYFUNCTION("""COMPUTED_VALUE"""),2.75)</f>
        <v>2.75</v>
      </c>
      <c r="D683" s="6" t="str">
        <f ca="1">IFERROR(__xludf.DUMMYFUNCTION("""COMPUTED_VALUE"""),"Digital Tech")</f>
        <v>Digital Tech</v>
      </c>
      <c r="E683" s="6" t="str">
        <f ca="1">IFERROR(__xludf.DUMMYFUNCTION("""COMPUTED_VALUE"""),"Invite Next Year")</f>
        <v>Invite Next Year</v>
      </c>
      <c r="F683" s="6" t="e">
        <f t="shared" ca="1" si="2"/>
        <v>#NAME?</v>
      </c>
    </row>
    <row r="684" spans="1:6">
      <c r="A684" s="199">
        <f ca="1">IFERROR(__xludf.DUMMYFUNCTION("""COMPUTED_VALUE"""),44782)</f>
        <v>44782</v>
      </c>
      <c r="B684" s="6" t="str">
        <f ca="1">IFERROR(__xludf.DUMMYFUNCTION("""COMPUTED_VALUE"""),"Helical Fusion Co., Ltd. _2022")</f>
        <v>Helical Fusion Co., Ltd. _2022</v>
      </c>
      <c r="C684" s="6">
        <f ca="1">IFERROR(__xludf.DUMMYFUNCTION("""COMPUTED_VALUE"""),2.75)</f>
        <v>2.75</v>
      </c>
      <c r="D684" s="6" t="str">
        <f ca="1">IFERROR(__xludf.DUMMYFUNCTION("""COMPUTED_VALUE"""),"Deep Tech")</f>
        <v>Deep Tech</v>
      </c>
      <c r="E684" s="6" t="str">
        <f ca="1">IFERROR(__xludf.DUMMYFUNCTION("""COMPUTED_VALUE"""),"Invite Next Year")</f>
        <v>Invite Next Year</v>
      </c>
      <c r="F684" s="6" t="e">
        <f t="shared" ca="1" si="2"/>
        <v>#NAME?</v>
      </c>
    </row>
    <row r="685" spans="1:6">
      <c r="A685" s="199">
        <f ca="1">IFERROR(__xludf.DUMMYFUNCTION("""COMPUTED_VALUE"""),44782)</f>
        <v>44782</v>
      </c>
      <c r="B685" s="6" t="str">
        <f ca="1">IFERROR(__xludf.DUMMYFUNCTION("""COMPUTED_VALUE"""),"Hudson Space Systems _2022")</f>
        <v>Hudson Space Systems _2022</v>
      </c>
      <c r="C685" s="6">
        <f ca="1">IFERROR(__xludf.DUMMYFUNCTION("""COMPUTED_VALUE"""),2.75)</f>
        <v>2.75</v>
      </c>
      <c r="D685" s="6" t="str">
        <f ca="1">IFERROR(__xludf.DUMMYFUNCTION("""COMPUTED_VALUE"""),"Deep Tech")</f>
        <v>Deep Tech</v>
      </c>
      <c r="E685" s="6" t="str">
        <f ca="1">IFERROR(__xludf.DUMMYFUNCTION("""COMPUTED_VALUE"""),"Invite Next Year")</f>
        <v>Invite Next Year</v>
      </c>
      <c r="F685" s="6" t="e">
        <f t="shared" ca="1" si="2"/>
        <v>#NAME?</v>
      </c>
    </row>
    <row r="686" spans="1:6">
      <c r="A686" s="199">
        <f ca="1">IFERROR(__xludf.DUMMYFUNCTION("""COMPUTED_VALUE"""),44782)</f>
        <v>44782</v>
      </c>
      <c r="B686" s="6" t="str">
        <f ca="1">IFERROR(__xludf.DUMMYFUNCTION("""COMPUTED_VALUE"""),"Sleep Easy Technology Inc. _2022")</f>
        <v>Sleep Easy Technology Inc. _2022</v>
      </c>
      <c r="C686" s="6">
        <f ca="1">IFERROR(__xludf.DUMMYFUNCTION("""COMPUTED_VALUE"""),2.75)</f>
        <v>2.75</v>
      </c>
      <c r="D686" s="6" t="str">
        <f ca="1">IFERROR(__xludf.DUMMYFUNCTION("""COMPUTED_VALUE"""),"Deep Tech")</f>
        <v>Deep Tech</v>
      </c>
      <c r="E686" s="6" t="str">
        <f ca="1">IFERROR(__xludf.DUMMYFUNCTION("""COMPUTED_VALUE"""),"Invite Next Year")</f>
        <v>Invite Next Year</v>
      </c>
      <c r="F686" s="6" t="e">
        <f t="shared" ca="1" si="2"/>
        <v>#NAME?</v>
      </c>
    </row>
    <row r="687" spans="1:6">
      <c r="A687" s="199">
        <f ca="1">IFERROR(__xludf.DUMMYFUNCTION("""COMPUTED_VALUE"""),44782)</f>
        <v>44782</v>
      </c>
      <c r="B687" s="6" t="str">
        <f ca="1">IFERROR(__xludf.DUMMYFUNCTION("""COMPUTED_VALUE"""),"CF Foods Group _2022")</f>
        <v>CF Foods Group _2022</v>
      </c>
      <c r="C687" s="6">
        <f ca="1">IFERROR(__xludf.DUMMYFUNCTION("""COMPUTED_VALUE"""),2.75)</f>
        <v>2.75</v>
      </c>
      <c r="D687" s="6" t="str">
        <f ca="1">IFERROR(__xludf.DUMMYFUNCTION("""COMPUTED_VALUE"""),"Life Sciences")</f>
        <v>Life Sciences</v>
      </c>
      <c r="E687" s="6" t="str">
        <f ca="1">IFERROR(__xludf.DUMMYFUNCTION("""COMPUTED_VALUE"""),"Invite Next Year")</f>
        <v>Invite Next Year</v>
      </c>
      <c r="F687" s="6" t="e">
        <f t="shared" ca="1" si="2"/>
        <v>#NAME?</v>
      </c>
    </row>
    <row r="688" spans="1:6">
      <c r="A688" s="199">
        <f ca="1">IFERROR(__xludf.DUMMYFUNCTION("""COMPUTED_VALUE"""),44782)</f>
        <v>44782</v>
      </c>
      <c r="B688" s="6" t="str">
        <f ca="1">IFERROR(__xludf.DUMMYFUNCTION("""COMPUTED_VALUE"""),"Visuo _2022")</f>
        <v>Visuo _2022</v>
      </c>
      <c r="C688" s="6">
        <f ca="1">IFERROR(__xludf.DUMMYFUNCTION("""COMPUTED_VALUE"""),2.75)</f>
        <v>2.75</v>
      </c>
      <c r="D688" s="6" t="str">
        <f ca="1">IFERROR(__xludf.DUMMYFUNCTION("""COMPUTED_VALUE"""),"Digital Tech")</f>
        <v>Digital Tech</v>
      </c>
      <c r="E688" s="6" t="str">
        <f ca="1">IFERROR(__xludf.DUMMYFUNCTION("""COMPUTED_VALUE"""),"Invite Next Year")</f>
        <v>Invite Next Year</v>
      </c>
      <c r="F688" s="6" t="e">
        <f t="shared" ca="1" si="2"/>
        <v>#NAME?</v>
      </c>
    </row>
    <row r="689" spans="1:6">
      <c r="A689" s="199">
        <f ca="1">IFERROR(__xludf.DUMMYFUNCTION("""COMPUTED_VALUE"""),44784)</f>
        <v>44784</v>
      </c>
      <c r="B689" s="6" t="str">
        <f ca="1">IFERROR(__xludf.DUMMYFUNCTION("""COMPUTED_VALUE"""),"DEX Insight _2022")</f>
        <v>DEX Insight _2022</v>
      </c>
      <c r="C689" s="6">
        <f ca="1">IFERROR(__xludf.DUMMYFUNCTION("""COMPUTED_VALUE"""),2.75)</f>
        <v>2.75</v>
      </c>
      <c r="D689" s="6" t="str">
        <f ca="1">IFERROR(__xludf.DUMMYFUNCTION("""COMPUTED_VALUE"""),"Digital Tech")</f>
        <v>Digital Tech</v>
      </c>
      <c r="E689" s="6" t="str">
        <f ca="1">IFERROR(__xludf.DUMMYFUNCTION("""COMPUTED_VALUE"""),"Invite Next Year")</f>
        <v>Invite Next Year</v>
      </c>
      <c r="F689" s="6" t="e">
        <f t="shared" ca="1" si="2"/>
        <v>#NAME?</v>
      </c>
    </row>
    <row r="690" spans="1:6">
      <c r="A690" s="199">
        <f ca="1">IFERROR(__xludf.DUMMYFUNCTION("""COMPUTED_VALUE"""),44784)</f>
        <v>44784</v>
      </c>
      <c r="B690" s="6" t="str">
        <f ca="1">IFERROR(__xludf.DUMMYFUNCTION("""COMPUTED_VALUE"""),"Radiolife _2022")</f>
        <v>Radiolife _2022</v>
      </c>
      <c r="C690" s="6">
        <f ca="1">IFERROR(__xludf.DUMMYFUNCTION("""COMPUTED_VALUE"""),2.75)</f>
        <v>2.75</v>
      </c>
      <c r="D690" s="6" t="str">
        <f ca="1">IFERROR(__xludf.DUMMYFUNCTION("""COMPUTED_VALUE"""),"Deep Tech")</f>
        <v>Deep Tech</v>
      </c>
      <c r="E690" s="6" t="str">
        <f ca="1">IFERROR(__xludf.DUMMYFUNCTION("""COMPUTED_VALUE"""),"Revisit")</f>
        <v>Revisit</v>
      </c>
      <c r="F690" s="6" t="e">
        <f t="shared" ca="1" si="2"/>
        <v>#NAME?</v>
      </c>
    </row>
    <row r="691" spans="1:6">
      <c r="A691" s="199">
        <f ca="1">IFERROR(__xludf.DUMMYFUNCTION("""COMPUTED_VALUE"""),44784)</f>
        <v>44784</v>
      </c>
      <c r="B691" s="6" t="str">
        <f ca="1">IFERROR(__xludf.DUMMYFUNCTION("""COMPUTED_VALUE"""),"SAGEFirst, Inc. _2022")</f>
        <v>SAGEFirst, Inc. _2022</v>
      </c>
      <c r="C691" s="6">
        <f ca="1">IFERROR(__xludf.DUMMYFUNCTION("""COMPUTED_VALUE"""),2.75)</f>
        <v>2.75</v>
      </c>
      <c r="D691" s="6" t="str">
        <f ca="1">IFERROR(__xludf.DUMMYFUNCTION("""COMPUTED_VALUE"""),"Digital Tech")</f>
        <v>Digital Tech</v>
      </c>
      <c r="E691" s="6" t="str">
        <f ca="1">IFERROR(__xludf.DUMMYFUNCTION("""COMPUTED_VALUE"""),"Invite Next Year")</f>
        <v>Invite Next Year</v>
      </c>
      <c r="F691" s="6" t="e">
        <f t="shared" ca="1" si="2"/>
        <v>#NAME?</v>
      </c>
    </row>
    <row r="692" spans="1:6">
      <c r="A692" s="199">
        <f ca="1">IFERROR(__xludf.DUMMYFUNCTION("""COMPUTED_VALUE"""),44784)</f>
        <v>44784</v>
      </c>
      <c r="B692" s="6" t="str">
        <f ca="1">IFERROR(__xludf.DUMMYFUNCTION("""COMPUTED_VALUE"""),"Key2enable Assistive Technology _2022")</f>
        <v>Key2enable Assistive Technology _2022</v>
      </c>
      <c r="C692" s="6">
        <f ca="1">IFERROR(__xludf.DUMMYFUNCTION("""COMPUTED_VALUE"""),2.75)</f>
        <v>2.75</v>
      </c>
      <c r="D692" s="6" t="str">
        <f ca="1">IFERROR(__xludf.DUMMYFUNCTION("""COMPUTED_VALUE"""),"Deep Tech")</f>
        <v>Deep Tech</v>
      </c>
      <c r="E692" s="6" t="str">
        <f ca="1">IFERROR(__xludf.DUMMYFUNCTION("""COMPUTED_VALUE"""),"Invite Next Year")</f>
        <v>Invite Next Year</v>
      </c>
      <c r="F692" s="6" t="e">
        <f t="shared" ca="1" si="2"/>
        <v>#NAME?</v>
      </c>
    </row>
    <row r="693" spans="1:6">
      <c r="A693" s="199">
        <f ca="1">IFERROR(__xludf.DUMMYFUNCTION("""COMPUTED_VALUE"""),44784)</f>
        <v>44784</v>
      </c>
      <c r="B693" s="6" t="str">
        <f ca="1">IFERROR(__xludf.DUMMYFUNCTION("""COMPUTED_VALUE"""),"Voltiza Inc _2022")</f>
        <v>Voltiza Inc _2022</v>
      </c>
      <c r="C693" s="6">
        <f ca="1">IFERROR(__xludf.DUMMYFUNCTION("""COMPUTED_VALUE"""),2.75)</f>
        <v>2.75</v>
      </c>
      <c r="D693" s="6" t="str">
        <f ca="1">IFERROR(__xludf.DUMMYFUNCTION("""COMPUTED_VALUE"""),"Deep Tech")</f>
        <v>Deep Tech</v>
      </c>
      <c r="E693" s="6" t="str">
        <f ca="1">IFERROR(__xludf.DUMMYFUNCTION("""COMPUTED_VALUE"""),"Invite Next Year")</f>
        <v>Invite Next Year</v>
      </c>
      <c r="F693" s="6" t="e">
        <f t="shared" ca="1" si="2"/>
        <v>#NAME?</v>
      </c>
    </row>
    <row r="694" spans="1:6">
      <c r="A694" s="199">
        <f ca="1">IFERROR(__xludf.DUMMYFUNCTION("""COMPUTED_VALUE"""),44784)</f>
        <v>44784</v>
      </c>
      <c r="B694" s="6" t="str">
        <f ca="1">IFERROR(__xludf.DUMMYFUNCTION("""COMPUTED_VALUE"""),"Wyblo srl  _2022")</f>
        <v>Wyblo srl  _2022</v>
      </c>
      <c r="C694" s="6">
        <f ca="1">IFERROR(__xludf.DUMMYFUNCTION("""COMPUTED_VALUE"""),2.75)</f>
        <v>2.75</v>
      </c>
      <c r="D694" s="6" t="str">
        <f ca="1">IFERROR(__xludf.DUMMYFUNCTION("""COMPUTED_VALUE"""),"Digital Tech")</f>
        <v>Digital Tech</v>
      </c>
      <c r="E694" s="6" t="str">
        <f ca="1">IFERROR(__xludf.DUMMYFUNCTION("""COMPUTED_VALUE"""),"Invite Next Year")</f>
        <v>Invite Next Year</v>
      </c>
      <c r="F694" s="6" t="e">
        <f t="shared" ca="1" si="2"/>
        <v>#NAME?</v>
      </c>
    </row>
    <row r="695" spans="1:6">
      <c r="A695" s="199">
        <f ca="1">IFERROR(__xludf.DUMMYFUNCTION("""COMPUTED_VALUE"""),44784)</f>
        <v>44784</v>
      </c>
      <c r="B695" s="6" t="str">
        <f ca="1">IFERROR(__xludf.DUMMYFUNCTION("""COMPUTED_VALUE"""),"Zoios _2022")</f>
        <v>Zoios _2022</v>
      </c>
      <c r="C695" s="6">
        <f ca="1">IFERROR(__xludf.DUMMYFUNCTION("""COMPUTED_VALUE"""),2.75)</f>
        <v>2.75</v>
      </c>
      <c r="D695" s="6" t="str">
        <f ca="1">IFERROR(__xludf.DUMMYFUNCTION("""COMPUTED_VALUE"""),"Digital Tech")</f>
        <v>Digital Tech</v>
      </c>
      <c r="E695" s="6" t="str">
        <f ca="1">IFERROR(__xludf.DUMMYFUNCTION("""COMPUTED_VALUE"""),"Invite Next Year")</f>
        <v>Invite Next Year</v>
      </c>
      <c r="F695" s="6" t="e">
        <f t="shared" ca="1" si="2"/>
        <v>#NAME?</v>
      </c>
    </row>
    <row r="696" spans="1:6">
      <c r="A696" s="199">
        <f ca="1">IFERROR(__xludf.DUMMYFUNCTION("""COMPUTED_VALUE"""),44789)</f>
        <v>44789</v>
      </c>
      <c r="B696" s="6" t="str">
        <f ca="1">IFERROR(__xludf.DUMMYFUNCTION("""COMPUTED_VALUE"""),"iAssay.net _2022")</f>
        <v>iAssay.net _2022</v>
      </c>
      <c r="C696" s="6">
        <f ca="1">IFERROR(__xludf.DUMMYFUNCTION("""COMPUTED_VALUE"""),2.75)</f>
        <v>2.75</v>
      </c>
      <c r="D696" s="6" t="str">
        <f ca="1">IFERROR(__xludf.DUMMYFUNCTION("""COMPUTED_VALUE"""),"Life Sciences")</f>
        <v>Life Sciences</v>
      </c>
      <c r="E696" s="6" t="str">
        <f ca="1">IFERROR(__xludf.DUMMYFUNCTION("""COMPUTED_VALUE"""),"Invite Next Year")</f>
        <v>Invite Next Year</v>
      </c>
      <c r="F696" s="6" t="e">
        <f t="shared" ca="1" si="2"/>
        <v>#NAME?</v>
      </c>
    </row>
    <row r="697" spans="1:6">
      <c r="A697" s="199">
        <f ca="1">IFERROR(__xludf.DUMMYFUNCTION("""COMPUTED_VALUE"""),44789)</f>
        <v>44789</v>
      </c>
      <c r="B697" s="6" t="str">
        <f ca="1">IFERROR(__xludf.DUMMYFUNCTION("""COMPUTED_VALUE"""),"Believyn  _2022")</f>
        <v>Believyn  _2022</v>
      </c>
      <c r="C697" s="6">
        <f ca="1">IFERROR(__xludf.DUMMYFUNCTION("""COMPUTED_VALUE"""),2.75)</f>
        <v>2.75</v>
      </c>
      <c r="D697" s="6" t="str">
        <f ca="1">IFERROR(__xludf.DUMMYFUNCTION("""COMPUTED_VALUE"""),"Digital Tech")</f>
        <v>Digital Tech</v>
      </c>
      <c r="E697" s="6" t="str">
        <f ca="1">IFERROR(__xludf.DUMMYFUNCTION("""COMPUTED_VALUE"""),"Invite Next Year")</f>
        <v>Invite Next Year</v>
      </c>
      <c r="F697" s="6" t="e">
        <f t="shared" ca="1" si="2"/>
        <v>#NAME?</v>
      </c>
    </row>
    <row r="698" spans="1:6">
      <c r="A698" s="199">
        <f ca="1">IFERROR(__xludf.DUMMYFUNCTION("""COMPUTED_VALUE"""),44789)</f>
        <v>44789</v>
      </c>
      <c r="B698" s="6" t="str">
        <f ca="1">IFERROR(__xludf.DUMMYFUNCTION("""COMPUTED_VALUE"""),"Astrabeam LLC _2022")</f>
        <v>Astrabeam LLC _2022</v>
      </c>
      <c r="C698" s="6">
        <f ca="1">IFERROR(__xludf.DUMMYFUNCTION("""COMPUTED_VALUE"""),2.75)</f>
        <v>2.75</v>
      </c>
      <c r="D698" s="6" t="str">
        <f ca="1">IFERROR(__xludf.DUMMYFUNCTION("""COMPUTED_VALUE"""),"Digital Tech")</f>
        <v>Digital Tech</v>
      </c>
      <c r="E698" s="6" t="str">
        <f ca="1">IFERROR(__xludf.DUMMYFUNCTION("""COMPUTED_VALUE"""),"Invite Next Year")</f>
        <v>Invite Next Year</v>
      </c>
      <c r="F698" s="6" t="e">
        <f t="shared" ca="1" si="2"/>
        <v>#NAME?</v>
      </c>
    </row>
    <row r="699" spans="1:6">
      <c r="A699" s="199">
        <f ca="1">IFERROR(__xludf.DUMMYFUNCTION("""COMPUTED_VALUE"""),44789)</f>
        <v>44789</v>
      </c>
      <c r="B699" s="6" t="str">
        <f ca="1">IFERROR(__xludf.DUMMYFUNCTION("""COMPUTED_VALUE"""),"Biodimension Technology Pvt Ltd _2022")</f>
        <v>Biodimension Technology Pvt Ltd _2022</v>
      </c>
      <c r="C699" s="6">
        <f ca="1">IFERROR(__xludf.DUMMYFUNCTION("""COMPUTED_VALUE"""),2.75)</f>
        <v>2.75</v>
      </c>
      <c r="D699" s="6" t="str">
        <f ca="1">IFERROR(__xludf.DUMMYFUNCTION("""COMPUTED_VALUE"""),"Life Sciences")</f>
        <v>Life Sciences</v>
      </c>
      <c r="E699" s="6" t="str">
        <f ca="1">IFERROR(__xludf.DUMMYFUNCTION("""COMPUTED_VALUE"""),"Invite Next Year")</f>
        <v>Invite Next Year</v>
      </c>
      <c r="F699" s="6" t="e">
        <f t="shared" ca="1" si="2"/>
        <v>#NAME?</v>
      </c>
    </row>
    <row r="700" spans="1:6">
      <c r="A700" s="199">
        <f ca="1">IFERROR(__xludf.DUMMYFUNCTION("""COMPUTED_VALUE"""),44789)</f>
        <v>44789</v>
      </c>
      <c r="B700" s="6" t="str">
        <f ca="1">IFERROR(__xludf.DUMMYFUNCTION("""COMPUTED_VALUE"""),"Volatile AI _2022")</f>
        <v>Volatile AI _2022</v>
      </c>
      <c r="C700" s="6">
        <f ca="1">IFERROR(__xludf.DUMMYFUNCTION("""COMPUTED_VALUE"""),2.75)</f>
        <v>2.75</v>
      </c>
      <c r="D700" s="6" t="str">
        <f ca="1">IFERROR(__xludf.DUMMYFUNCTION("""COMPUTED_VALUE"""),"Deep Tech")</f>
        <v>Deep Tech</v>
      </c>
      <c r="E700" s="6" t="str">
        <f ca="1">IFERROR(__xludf.DUMMYFUNCTION("""COMPUTED_VALUE"""),"Invite Next Year")</f>
        <v>Invite Next Year</v>
      </c>
      <c r="F700" s="6" t="e">
        <f t="shared" ca="1" si="2"/>
        <v>#NAME?</v>
      </c>
    </row>
    <row r="701" spans="1:6">
      <c r="A701" s="199">
        <f ca="1">IFERROR(__xludf.DUMMYFUNCTION("""COMPUTED_VALUE"""),44789)</f>
        <v>44789</v>
      </c>
      <c r="B701" s="6" t="str">
        <f ca="1">IFERROR(__xludf.DUMMYFUNCTION("""COMPUTED_VALUE"""),"Turn Plus Power LLC.  _2022")</f>
        <v>Turn Plus Power LLC.  _2022</v>
      </c>
      <c r="C701" s="6">
        <f ca="1">IFERROR(__xludf.DUMMYFUNCTION("""COMPUTED_VALUE"""),2.75)</f>
        <v>2.75</v>
      </c>
      <c r="D701" s="6" t="str">
        <f ca="1">IFERROR(__xludf.DUMMYFUNCTION("""COMPUTED_VALUE"""),"Deep Tech")</f>
        <v>Deep Tech</v>
      </c>
      <c r="E701" s="6" t="str">
        <f ca="1">IFERROR(__xludf.DUMMYFUNCTION("""COMPUTED_VALUE"""),"Invite Next Year")</f>
        <v>Invite Next Year</v>
      </c>
      <c r="F701" s="6" t="e">
        <f t="shared" ca="1" si="2"/>
        <v>#NAME?</v>
      </c>
    </row>
    <row r="702" spans="1:6">
      <c r="A702" s="199">
        <f ca="1">IFERROR(__xludf.DUMMYFUNCTION("""COMPUTED_VALUE"""),44789)</f>
        <v>44789</v>
      </c>
      <c r="B702" s="6" t="str">
        <f ca="1">IFERROR(__xludf.DUMMYFUNCTION("""COMPUTED_VALUE"""),"Lychee Things Inc. _2022")</f>
        <v>Lychee Things Inc. _2022</v>
      </c>
      <c r="C702" s="6">
        <f ca="1">IFERROR(__xludf.DUMMYFUNCTION("""COMPUTED_VALUE"""),2.75)</f>
        <v>2.75</v>
      </c>
      <c r="D702" s="6" t="str">
        <f ca="1">IFERROR(__xludf.DUMMYFUNCTION("""COMPUTED_VALUE"""),"Deep Tech")</f>
        <v>Deep Tech</v>
      </c>
      <c r="E702" s="6" t="str">
        <f ca="1">IFERROR(__xludf.DUMMYFUNCTION("""COMPUTED_VALUE"""),"Invite Next Year")</f>
        <v>Invite Next Year</v>
      </c>
      <c r="F702" s="6" t="e">
        <f t="shared" ca="1" si="2"/>
        <v>#NAME?</v>
      </c>
    </row>
    <row r="703" spans="1:6">
      <c r="A703" s="199">
        <f ca="1">IFERROR(__xludf.DUMMYFUNCTION("""COMPUTED_VALUE"""),44789)</f>
        <v>44789</v>
      </c>
      <c r="B703" s="6" t="str">
        <f ca="1">IFERROR(__xludf.DUMMYFUNCTION("""COMPUTED_VALUE"""),"CRANENANO LLC _2022")</f>
        <v>CRANENANO LLC _2022</v>
      </c>
      <c r="C703" s="6">
        <f ca="1">IFERROR(__xludf.DUMMYFUNCTION("""COMPUTED_VALUE"""),2.75)</f>
        <v>2.75</v>
      </c>
      <c r="D703" s="6" t="str">
        <f ca="1">IFERROR(__xludf.DUMMYFUNCTION("""COMPUTED_VALUE"""),"Deep Tech")</f>
        <v>Deep Tech</v>
      </c>
      <c r="E703" s="6" t="str">
        <f ca="1">IFERROR(__xludf.DUMMYFUNCTION("""COMPUTED_VALUE"""),"Invite Next Year")</f>
        <v>Invite Next Year</v>
      </c>
      <c r="F703" s="6" t="e">
        <f t="shared" ca="1" si="2"/>
        <v>#NAME?</v>
      </c>
    </row>
    <row r="704" spans="1:6">
      <c r="A704" s="199">
        <f ca="1">IFERROR(__xludf.DUMMYFUNCTION("""COMPUTED_VALUE"""),44789)</f>
        <v>44789</v>
      </c>
      <c r="B704" s="6" t="str">
        <f ca="1">IFERROR(__xludf.DUMMYFUNCTION("""COMPUTED_VALUE"""),"HealMed Solutions.Inc _2022")</f>
        <v>HealMed Solutions.Inc _2022</v>
      </c>
      <c r="C704" s="6">
        <f ca="1">IFERROR(__xludf.DUMMYFUNCTION("""COMPUTED_VALUE"""),2.75)</f>
        <v>2.75</v>
      </c>
      <c r="D704" s="6" t="str">
        <f ca="1">IFERROR(__xludf.DUMMYFUNCTION("""COMPUTED_VALUE"""),"Digital Tech")</f>
        <v>Digital Tech</v>
      </c>
      <c r="E704" s="6" t="str">
        <f ca="1">IFERROR(__xludf.DUMMYFUNCTION("""COMPUTED_VALUE"""),"Invite Next Year")</f>
        <v>Invite Next Year</v>
      </c>
      <c r="F704" s="6" t="e">
        <f t="shared" ca="1" si="2"/>
        <v>#NAME?</v>
      </c>
    </row>
    <row r="705" spans="1:6">
      <c r="A705" s="199">
        <f ca="1">IFERROR(__xludf.DUMMYFUNCTION("""COMPUTED_VALUE"""),44789)</f>
        <v>44789</v>
      </c>
      <c r="B705" s="6" t="str">
        <f ca="1">IFERROR(__xludf.DUMMYFUNCTION("""COMPUTED_VALUE"""),"My One Medical Source, LLC _2022")</f>
        <v>My One Medical Source, LLC _2022</v>
      </c>
      <c r="C705" s="6">
        <f ca="1">IFERROR(__xludf.DUMMYFUNCTION("""COMPUTED_VALUE"""),2.75)</f>
        <v>2.75</v>
      </c>
      <c r="D705" s="6" t="str">
        <f ca="1">IFERROR(__xludf.DUMMYFUNCTION("""COMPUTED_VALUE"""),"Deep Tech")</f>
        <v>Deep Tech</v>
      </c>
      <c r="E705" s="6" t="str">
        <f ca="1">IFERROR(__xludf.DUMMYFUNCTION("""COMPUTED_VALUE"""),"Invite Next Year")</f>
        <v>Invite Next Year</v>
      </c>
      <c r="F705" s="6" t="e">
        <f t="shared" ca="1" si="2"/>
        <v>#NAME?</v>
      </c>
    </row>
    <row r="706" spans="1:6">
      <c r="A706" s="199">
        <f ca="1">IFERROR(__xludf.DUMMYFUNCTION("""COMPUTED_VALUE"""),44789)</f>
        <v>44789</v>
      </c>
      <c r="B706" s="6" t="str">
        <f ca="1">IFERROR(__xludf.DUMMYFUNCTION("""COMPUTED_VALUE"""),"Zario _2022")</f>
        <v>Zario _2022</v>
      </c>
      <c r="C706" s="6">
        <f ca="1">IFERROR(__xludf.DUMMYFUNCTION("""COMPUTED_VALUE"""),2.75)</f>
        <v>2.75</v>
      </c>
      <c r="D706" s="6" t="str">
        <f ca="1">IFERROR(__xludf.DUMMYFUNCTION("""COMPUTED_VALUE"""),"Digital Tech")</f>
        <v>Digital Tech</v>
      </c>
      <c r="E706" s="6" t="str">
        <f ca="1">IFERROR(__xludf.DUMMYFUNCTION("""COMPUTED_VALUE"""),"Invite Next Year")</f>
        <v>Invite Next Year</v>
      </c>
      <c r="F706" s="6" t="e">
        <f t="shared" ca="1" si="2"/>
        <v>#NAME?</v>
      </c>
    </row>
    <row r="707" spans="1:6">
      <c r="A707" s="199">
        <f ca="1">IFERROR(__xludf.DUMMYFUNCTION("""COMPUTED_VALUE"""),44789)</f>
        <v>44789</v>
      </c>
      <c r="B707" s="6" t="str">
        <f ca="1">IFERROR(__xludf.DUMMYFUNCTION("""COMPUTED_VALUE"""),"Engine Systems Innovation, Inc. _2022")</f>
        <v>Engine Systems Innovation, Inc. _2022</v>
      </c>
      <c r="C707" s="6">
        <f ca="1">IFERROR(__xludf.DUMMYFUNCTION("""COMPUTED_VALUE"""),2.75)</f>
        <v>2.75</v>
      </c>
      <c r="D707" s="6" t="str">
        <f ca="1">IFERROR(__xludf.DUMMYFUNCTION("""COMPUTED_VALUE"""),"Deep Tech")</f>
        <v>Deep Tech</v>
      </c>
      <c r="E707" s="6" t="str">
        <f ca="1">IFERROR(__xludf.DUMMYFUNCTION("""COMPUTED_VALUE"""),"Invite Next Year")</f>
        <v>Invite Next Year</v>
      </c>
      <c r="F707" s="6" t="e">
        <f t="shared" ca="1" si="2"/>
        <v>#NAME?</v>
      </c>
    </row>
    <row r="708" spans="1:6">
      <c r="A708" s="199">
        <f ca="1">IFERROR(__xludf.DUMMYFUNCTION("""COMPUTED_VALUE"""),44789)</f>
        <v>44789</v>
      </c>
      <c r="B708" s="6" t="str">
        <f ca="1">IFERROR(__xludf.DUMMYFUNCTION("""COMPUTED_VALUE"""),"Lynxai _2022")</f>
        <v>Lynxai _2022</v>
      </c>
      <c r="C708" s="6">
        <f ca="1">IFERROR(__xludf.DUMMYFUNCTION("""COMPUTED_VALUE"""),2.75)</f>
        <v>2.75</v>
      </c>
      <c r="D708" s="6" t="str">
        <f ca="1">IFERROR(__xludf.DUMMYFUNCTION("""COMPUTED_VALUE"""),"Digital Tech")</f>
        <v>Digital Tech</v>
      </c>
      <c r="E708" s="6" t="str">
        <f ca="1">IFERROR(__xludf.DUMMYFUNCTION("""COMPUTED_VALUE"""),"Invite Next Year")</f>
        <v>Invite Next Year</v>
      </c>
      <c r="F708" s="6" t="e">
        <f t="shared" ca="1" si="2"/>
        <v>#NAME?</v>
      </c>
    </row>
    <row r="709" spans="1:6">
      <c r="A709" s="199">
        <f ca="1">IFERROR(__xludf.DUMMYFUNCTION("""COMPUTED_VALUE"""),44789)</f>
        <v>44789</v>
      </c>
      <c r="B709" s="6" t="str">
        <f ca="1">IFERROR(__xludf.DUMMYFUNCTION("""COMPUTED_VALUE"""),"Ziscuit, Inc. _2022")</f>
        <v>Ziscuit, Inc. _2022</v>
      </c>
      <c r="C709" s="6">
        <f ca="1">IFERROR(__xludf.DUMMYFUNCTION("""COMPUTED_VALUE"""),2.75)</f>
        <v>2.75</v>
      </c>
      <c r="D709" s="6" t="str">
        <f ca="1">IFERROR(__xludf.DUMMYFUNCTION("""COMPUTED_VALUE"""),"Deep Tech")</f>
        <v>Deep Tech</v>
      </c>
      <c r="E709" s="6" t="str">
        <f ca="1">IFERROR(__xludf.DUMMYFUNCTION("""COMPUTED_VALUE"""),"Invite Next Year")</f>
        <v>Invite Next Year</v>
      </c>
      <c r="F709" s="6" t="e">
        <f t="shared" ca="1" si="2"/>
        <v>#NAME?</v>
      </c>
    </row>
    <row r="710" spans="1:6">
      <c r="A710" s="199">
        <f ca="1">IFERROR(__xludf.DUMMYFUNCTION("""COMPUTED_VALUE"""),44791)</f>
        <v>44791</v>
      </c>
      <c r="B710" s="6" t="str">
        <f ca="1">IFERROR(__xludf.DUMMYFUNCTION("""COMPUTED_VALUE"""),"Verity Fitech _2022")</f>
        <v>Verity Fitech _2022</v>
      </c>
      <c r="C710" s="6">
        <f ca="1">IFERROR(__xludf.DUMMYFUNCTION("""COMPUTED_VALUE"""),2.75)</f>
        <v>2.75</v>
      </c>
      <c r="D710" s="6" t="str">
        <f ca="1">IFERROR(__xludf.DUMMYFUNCTION("""COMPUTED_VALUE"""),"Digital Tech")</f>
        <v>Digital Tech</v>
      </c>
      <c r="E710" s="6" t="str">
        <f ca="1">IFERROR(__xludf.DUMMYFUNCTION("""COMPUTED_VALUE"""),"Invite Next Year")</f>
        <v>Invite Next Year</v>
      </c>
      <c r="F710" s="6" t="e">
        <f t="shared" ca="1" si="2"/>
        <v>#NAME?</v>
      </c>
    </row>
    <row r="711" spans="1:6">
      <c r="A711" s="199">
        <f ca="1">IFERROR(__xludf.DUMMYFUNCTION("""COMPUTED_VALUE"""),44791)</f>
        <v>44791</v>
      </c>
      <c r="B711" s="6" t="str">
        <f ca="1">IFERROR(__xludf.DUMMYFUNCTION("""COMPUTED_VALUE"""),"DIGITAL CENTURY LIMITED _2022")</f>
        <v>DIGITAL CENTURY LIMITED _2022</v>
      </c>
      <c r="C711" s="6">
        <f ca="1">IFERROR(__xludf.DUMMYFUNCTION("""COMPUTED_VALUE"""),2.75)</f>
        <v>2.75</v>
      </c>
      <c r="D711" s="6" t="str">
        <f ca="1">IFERROR(__xludf.DUMMYFUNCTION("""COMPUTED_VALUE"""),"Digital Tech")</f>
        <v>Digital Tech</v>
      </c>
      <c r="E711" s="6" t="str">
        <f ca="1">IFERROR(__xludf.DUMMYFUNCTION("""COMPUTED_VALUE"""),"Invite Next Year")</f>
        <v>Invite Next Year</v>
      </c>
      <c r="F711" s="6" t="e">
        <f t="shared" ca="1" si="2"/>
        <v>#NAME?</v>
      </c>
    </row>
    <row r="712" spans="1:6">
      <c r="A712" s="199">
        <f ca="1">IFERROR(__xludf.DUMMYFUNCTION("""COMPUTED_VALUE"""),44791)</f>
        <v>44791</v>
      </c>
      <c r="B712" s="6" t="str">
        <f ca="1">IFERROR(__xludf.DUMMYFUNCTION("""COMPUTED_VALUE"""),"Boto _2022")</f>
        <v>Boto _2022</v>
      </c>
      <c r="C712" s="6">
        <f ca="1">IFERROR(__xludf.DUMMYFUNCTION("""COMPUTED_VALUE"""),2.75)</f>
        <v>2.75</v>
      </c>
      <c r="D712" s="6" t="str">
        <f ca="1">IFERROR(__xludf.DUMMYFUNCTION("""COMPUTED_VALUE"""),"Digital Tech")</f>
        <v>Digital Tech</v>
      </c>
      <c r="E712" s="6" t="str">
        <f ca="1">IFERROR(__xludf.DUMMYFUNCTION("""COMPUTED_VALUE"""),"Invite Next Year")</f>
        <v>Invite Next Year</v>
      </c>
      <c r="F712" s="6" t="e">
        <f t="shared" ca="1" si="2"/>
        <v>#NAME?</v>
      </c>
    </row>
    <row r="713" spans="1:6">
      <c r="A713" s="199">
        <f ca="1">IFERROR(__xludf.DUMMYFUNCTION("""COMPUTED_VALUE"""),44791)</f>
        <v>44791</v>
      </c>
      <c r="B713" s="6" t="str">
        <f ca="1">IFERROR(__xludf.DUMMYFUNCTION("""COMPUTED_VALUE"""),"4A Financial Technology Private Limited _2022")</f>
        <v>4A Financial Technology Private Limited _2022</v>
      </c>
      <c r="C713" s="6">
        <f ca="1">IFERROR(__xludf.DUMMYFUNCTION("""COMPUTED_VALUE"""),2.75)</f>
        <v>2.75</v>
      </c>
      <c r="D713" s="6" t="str">
        <f ca="1">IFERROR(__xludf.DUMMYFUNCTION("""COMPUTED_VALUE"""),"Digital Tech")</f>
        <v>Digital Tech</v>
      </c>
      <c r="E713" s="6" t="str">
        <f ca="1">IFERROR(__xludf.DUMMYFUNCTION("""COMPUTED_VALUE"""),"Invite Next Year")</f>
        <v>Invite Next Year</v>
      </c>
      <c r="F713" s="6" t="e">
        <f t="shared" ca="1" si="2"/>
        <v>#NAME?</v>
      </c>
    </row>
    <row r="714" spans="1:6">
      <c r="A714" s="199">
        <f ca="1">IFERROR(__xludf.DUMMYFUNCTION("""COMPUTED_VALUE"""),44791)</f>
        <v>44791</v>
      </c>
      <c r="B714" s="6" t="str">
        <f ca="1">IFERROR(__xludf.DUMMYFUNCTION("""COMPUTED_VALUE"""),"enspired _2022")</f>
        <v>enspired _2022</v>
      </c>
      <c r="C714" s="6">
        <f ca="1">IFERROR(__xludf.DUMMYFUNCTION("""COMPUTED_VALUE"""),2.75)</f>
        <v>2.75</v>
      </c>
      <c r="D714" s="6" t="str">
        <f ca="1">IFERROR(__xludf.DUMMYFUNCTION("""COMPUTED_VALUE"""),"Digital Tech")</f>
        <v>Digital Tech</v>
      </c>
      <c r="E714" s="6" t="str">
        <f ca="1">IFERROR(__xludf.DUMMYFUNCTION("""COMPUTED_VALUE"""),"Invite Next Year")</f>
        <v>Invite Next Year</v>
      </c>
      <c r="F714" s="6" t="e">
        <f t="shared" ca="1" si="2"/>
        <v>#NAME?</v>
      </c>
    </row>
    <row r="715" spans="1:6">
      <c r="A715" s="199">
        <f ca="1">IFERROR(__xludf.DUMMYFUNCTION("""COMPUTED_VALUE"""),44791)</f>
        <v>44791</v>
      </c>
      <c r="B715" s="6" t="str">
        <f ca="1">IFERROR(__xludf.DUMMYFUNCTION("""COMPUTED_VALUE"""),"AdaSwap _2022")</f>
        <v>AdaSwap _2022</v>
      </c>
      <c r="C715" s="6">
        <f ca="1">IFERROR(__xludf.DUMMYFUNCTION("""COMPUTED_VALUE"""),2.75)</f>
        <v>2.75</v>
      </c>
      <c r="D715" s="6" t="str">
        <f ca="1">IFERROR(__xludf.DUMMYFUNCTION("""COMPUTED_VALUE"""),"Deep Tech")</f>
        <v>Deep Tech</v>
      </c>
      <c r="E715" s="6" t="str">
        <f ca="1">IFERROR(__xludf.DUMMYFUNCTION("""COMPUTED_VALUE"""),"Invite Next Year")</f>
        <v>Invite Next Year</v>
      </c>
      <c r="F715" s="6" t="e">
        <f t="shared" ca="1" si="2"/>
        <v>#NAME?</v>
      </c>
    </row>
    <row r="716" spans="1:6">
      <c r="A716" s="199">
        <f ca="1">IFERROR(__xludf.DUMMYFUNCTION("""COMPUTED_VALUE"""),44791)</f>
        <v>44791</v>
      </c>
      <c r="B716" s="6" t="str">
        <f ca="1">IFERROR(__xludf.DUMMYFUNCTION("""COMPUTED_VALUE"""),"Apphive _2022")</f>
        <v>Apphive _2022</v>
      </c>
      <c r="C716" s="6">
        <f ca="1">IFERROR(__xludf.DUMMYFUNCTION("""COMPUTED_VALUE"""),2.75)</f>
        <v>2.75</v>
      </c>
      <c r="D716" s="6" t="str">
        <f ca="1">IFERROR(__xludf.DUMMYFUNCTION("""COMPUTED_VALUE"""),"Digital Tech")</f>
        <v>Digital Tech</v>
      </c>
      <c r="E716" s="6" t="str">
        <f ca="1">IFERROR(__xludf.DUMMYFUNCTION("""COMPUTED_VALUE"""),"Invite Next Year")</f>
        <v>Invite Next Year</v>
      </c>
      <c r="F716" s="6" t="e">
        <f t="shared" ca="1" si="2"/>
        <v>#NAME?</v>
      </c>
    </row>
    <row r="717" spans="1:6">
      <c r="A717" s="199">
        <f ca="1">IFERROR(__xludf.DUMMYFUNCTION("""COMPUTED_VALUE"""),44791)</f>
        <v>44791</v>
      </c>
      <c r="B717" s="6" t="str">
        <f ca="1">IFERROR(__xludf.DUMMYFUNCTION("""COMPUTED_VALUE"""),"Plethy _2022")</f>
        <v>Plethy _2022</v>
      </c>
      <c r="C717" s="6">
        <f ca="1">IFERROR(__xludf.DUMMYFUNCTION("""COMPUTED_VALUE"""),2.75)</f>
        <v>2.75</v>
      </c>
      <c r="D717" s="6" t="str">
        <f ca="1">IFERROR(__xludf.DUMMYFUNCTION("""COMPUTED_VALUE"""),"Digital Tech")</f>
        <v>Digital Tech</v>
      </c>
      <c r="E717" s="6" t="str">
        <f ca="1">IFERROR(__xludf.DUMMYFUNCTION("""COMPUTED_VALUE"""),"Invite Next Year")</f>
        <v>Invite Next Year</v>
      </c>
      <c r="F717" s="6" t="e">
        <f t="shared" ca="1" si="2"/>
        <v>#NAME?</v>
      </c>
    </row>
    <row r="718" spans="1:6">
      <c r="A718" s="199">
        <f ca="1">IFERROR(__xludf.DUMMYFUNCTION("""COMPUTED_VALUE"""),44791)</f>
        <v>44791</v>
      </c>
      <c r="B718" s="6" t="str">
        <f ca="1">IFERROR(__xludf.DUMMYFUNCTION("""COMPUTED_VALUE"""),"Silicon Assurance  _2022")</f>
        <v>Silicon Assurance  _2022</v>
      </c>
      <c r="C718" s="6">
        <f ca="1">IFERROR(__xludf.DUMMYFUNCTION("""COMPUTED_VALUE"""),2.75)</f>
        <v>2.75</v>
      </c>
      <c r="D718" s="6" t="str">
        <f ca="1">IFERROR(__xludf.DUMMYFUNCTION("""COMPUTED_VALUE"""),"Digital Tech")</f>
        <v>Digital Tech</v>
      </c>
      <c r="E718" s="6" t="str">
        <f ca="1">IFERROR(__xludf.DUMMYFUNCTION("""COMPUTED_VALUE"""),"Invite Next Year")</f>
        <v>Invite Next Year</v>
      </c>
      <c r="F718" s="6" t="e">
        <f t="shared" ca="1" si="2"/>
        <v>#NAME?</v>
      </c>
    </row>
    <row r="719" spans="1:6">
      <c r="A719" s="199">
        <f ca="1">IFERROR(__xludf.DUMMYFUNCTION("""COMPUTED_VALUE"""),44791)</f>
        <v>44791</v>
      </c>
      <c r="B719" s="6" t="str">
        <f ca="1">IFERROR(__xludf.DUMMYFUNCTION("""COMPUTED_VALUE"""),"Navierre _2022")</f>
        <v>Navierre _2022</v>
      </c>
      <c r="C719" s="6">
        <f ca="1">IFERROR(__xludf.DUMMYFUNCTION("""COMPUTED_VALUE"""),2.75)</f>
        <v>2.75</v>
      </c>
      <c r="D719" s="6" t="str">
        <f ca="1">IFERROR(__xludf.DUMMYFUNCTION("""COMPUTED_VALUE"""),"Digital Tech")</f>
        <v>Digital Tech</v>
      </c>
      <c r="E719" s="6" t="str">
        <f ca="1">IFERROR(__xludf.DUMMYFUNCTION("""COMPUTED_VALUE"""),"Invite Next Year")</f>
        <v>Invite Next Year</v>
      </c>
      <c r="F719" s="6" t="e">
        <f t="shared" ca="1" si="2"/>
        <v>#NAME?</v>
      </c>
    </row>
    <row r="720" spans="1:6">
      <c r="A720" s="199">
        <f ca="1">IFERROR(__xludf.DUMMYFUNCTION("""COMPUTED_VALUE"""),44791)</f>
        <v>44791</v>
      </c>
      <c r="B720" s="6" t="str">
        <f ca="1">IFERROR(__xludf.DUMMYFUNCTION("""COMPUTED_VALUE"""),"Walkspan _2022")</f>
        <v>Walkspan _2022</v>
      </c>
      <c r="C720" s="6">
        <f ca="1">IFERROR(__xludf.DUMMYFUNCTION("""COMPUTED_VALUE"""),2.75)</f>
        <v>2.75</v>
      </c>
      <c r="D720" s="6" t="str">
        <f ca="1">IFERROR(__xludf.DUMMYFUNCTION("""COMPUTED_VALUE"""),"Deep Tech")</f>
        <v>Deep Tech</v>
      </c>
      <c r="E720" s="6" t="str">
        <f ca="1">IFERROR(__xludf.DUMMYFUNCTION("""COMPUTED_VALUE"""),"Invite Next Year")</f>
        <v>Invite Next Year</v>
      </c>
      <c r="F720" s="6" t="e">
        <f t="shared" ca="1" si="2"/>
        <v>#NAME?</v>
      </c>
    </row>
    <row r="721" spans="1:6">
      <c r="A721" s="199">
        <f ca="1">IFERROR(__xludf.DUMMYFUNCTION("""COMPUTED_VALUE"""),44791)</f>
        <v>44791</v>
      </c>
      <c r="B721" s="6" t="str">
        <f ca="1">IFERROR(__xludf.DUMMYFUNCTION("""COMPUTED_VALUE"""),"MiFood Tech _2022")</f>
        <v>MiFood Tech _2022</v>
      </c>
      <c r="C721" s="6">
        <f ca="1">IFERROR(__xludf.DUMMYFUNCTION("""COMPUTED_VALUE"""),2.75)</f>
        <v>2.75</v>
      </c>
      <c r="D721" s="6" t="str">
        <f ca="1">IFERROR(__xludf.DUMMYFUNCTION("""COMPUTED_VALUE"""),"Deep Tech")</f>
        <v>Deep Tech</v>
      </c>
      <c r="E721" s="6" t="str">
        <f ca="1">IFERROR(__xludf.DUMMYFUNCTION("""COMPUTED_VALUE"""),"Invite Next Year")</f>
        <v>Invite Next Year</v>
      </c>
      <c r="F721" s="6" t="e">
        <f t="shared" ca="1" si="2"/>
        <v>#NAME?</v>
      </c>
    </row>
    <row r="722" spans="1:6">
      <c r="A722" s="199">
        <f ca="1">IFERROR(__xludf.DUMMYFUNCTION("""COMPUTED_VALUE"""),44791)</f>
        <v>44791</v>
      </c>
      <c r="B722" s="6" t="str">
        <f ca="1">IFERROR(__xludf.DUMMYFUNCTION("""COMPUTED_VALUE"""),"Tekuma _2022")</f>
        <v>Tekuma _2022</v>
      </c>
      <c r="C722" s="6">
        <f ca="1">IFERROR(__xludf.DUMMYFUNCTION("""COMPUTED_VALUE"""),2.75)</f>
        <v>2.75</v>
      </c>
      <c r="D722" s="6" t="str">
        <f ca="1">IFERROR(__xludf.DUMMYFUNCTION("""COMPUTED_VALUE"""),"Deep Tech")</f>
        <v>Deep Tech</v>
      </c>
      <c r="E722" s="6" t="str">
        <f ca="1">IFERROR(__xludf.DUMMYFUNCTION("""COMPUTED_VALUE"""),"Invite Next Year")</f>
        <v>Invite Next Year</v>
      </c>
      <c r="F722" s="6" t="e">
        <f t="shared" ca="1" si="2"/>
        <v>#NAME?</v>
      </c>
    </row>
    <row r="723" spans="1:6">
      <c r="A723" s="199">
        <f ca="1">IFERROR(__xludf.DUMMYFUNCTION("""COMPUTED_VALUE"""),44796)</f>
        <v>44796</v>
      </c>
      <c r="B723" s="6" t="str">
        <f ca="1">IFERROR(__xludf.DUMMYFUNCTION("""COMPUTED_VALUE"""),"Yield Monitor _2022")</f>
        <v>Yield Monitor _2022</v>
      </c>
      <c r="C723" s="6">
        <f ca="1">IFERROR(__xludf.DUMMYFUNCTION("""COMPUTED_VALUE"""),2.75)</f>
        <v>2.75</v>
      </c>
      <c r="D723" s="6" t="str">
        <f ca="1">IFERROR(__xludf.DUMMYFUNCTION("""COMPUTED_VALUE"""),"Digital Tech")</f>
        <v>Digital Tech</v>
      </c>
      <c r="E723" s="6" t="str">
        <f ca="1">IFERROR(__xludf.DUMMYFUNCTION("""COMPUTED_VALUE"""),"Invite Next Year")</f>
        <v>Invite Next Year</v>
      </c>
      <c r="F723" s="6" t="e">
        <f t="shared" ca="1" si="2"/>
        <v>#NAME?</v>
      </c>
    </row>
    <row r="724" spans="1:6">
      <c r="A724" s="199">
        <f ca="1">IFERROR(__xludf.DUMMYFUNCTION("""COMPUTED_VALUE"""),44796)</f>
        <v>44796</v>
      </c>
      <c r="B724" s="6" t="str">
        <f ca="1">IFERROR(__xludf.DUMMYFUNCTION("""COMPUTED_VALUE"""),"Lalo _2022")</f>
        <v>Lalo _2022</v>
      </c>
      <c r="C724" s="6">
        <f ca="1">IFERROR(__xludf.DUMMYFUNCTION("""COMPUTED_VALUE"""),2.75)</f>
        <v>2.75</v>
      </c>
      <c r="D724" s="6" t="str">
        <f ca="1">IFERROR(__xludf.DUMMYFUNCTION("""COMPUTED_VALUE"""),"Digital Tech")</f>
        <v>Digital Tech</v>
      </c>
      <c r="E724" s="6" t="str">
        <f ca="1">IFERROR(__xludf.DUMMYFUNCTION("""COMPUTED_VALUE"""),"Invite Next Year")</f>
        <v>Invite Next Year</v>
      </c>
      <c r="F724" s="6" t="e">
        <f t="shared" ca="1" si="2"/>
        <v>#NAME?</v>
      </c>
    </row>
    <row r="725" spans="1:6">
      <c r="A725" s="199">
        <f ca="1">IFERROR(__xludf.DUMMYFUNCTION("""COMPUTED_VALUE"""),44796)</f>
        <v>44796</v>
      </c>
      <c r="B725" s="6" t="str">
        <f ca="1">IFERROR(__xludf.DUMMYFUNCTION("""COMPUTED_VALUE"""),"Kazam _2022")</f>
        <v>Kazam _2022</v>
      </c>
      <c r="C725" s="6">
        <f ca="1">IFERROR(__xludf.DUMMYFUNCTION("""COMPUTED_VALUE"""),2.75)</f>
        <v>2.75</v>
      </c>
      <c r="D725" s="6" t="str">
        <f ca="1">IFERROR(__xludf.DUMMYFUNCTION("""COMPUTED_VALUE"""),"Digital Tech")</f>
        <v>Digital Tech</v>
      </c>
      <c r="E725" s="6" t="str">
        <f ca="1">IFERROR(__xludf.DUMMYFUNCTION("""COMPUTED_VALUE"""),"Invite Next Year")</f>
        <v>Invite Next Year</v>
      </c>
      <c r="F725" s="6" t="e">
        <f t="shared" ca="1" si="2"/>
        <v>#NAME?</v>
      </c>
    </row>
    <row r="726" spans="1:6">
      <c r="A726" s="199">
        <f ca="1">IFERROR(__xludf.DUMMYFUNCTION("""COMPUTED_VALUE"""),44796)</f>
        <v>44796</v>
      </c>
      <c r="B726" s="6" t="str">
        <f ca="1">IFERROR(__xludf.DUMMYFUNCTION("""COMPUTED_VALUE"""),"Minitable Tech, Inc _2022")</f>
        <v>Minitable Tech, Inc _2022</v>
      </c>
      <c r="C726" s="6">
        <f ca="1">IFERROR(__xludf.DUMMYFUNCTION("""COMPUTED_VALUE"""),2.75)</f>
        <v>2.75</v>
      </c>
      <c r="D726" s="6" t="str">
        <f ca="1">IFERROR(__xludf.DUMMYFUNCTION("""COMPUTED_VALUE"""),"Digital Tech")</f>
        <v>Digital Tech</v>
      </c>
      <c r="E726" s="6" t="str">
        <f ca="1">IFERROR(__xludf.DUMMYFUNCTION("""COMPUTED_VALUE"""),"Invite Next Year")</f>
        <v>Invite Next Year</v>
      </c>
      <c r="F726" s="6" t="e">
        <f t="shared" ca="1" si="2"/>
        <v>#NAME?</v>
      </c>
    </row>
    <row r="727" spans="1:6">
      <c r="A727" s="199">
        <f ca="1">IFERROR(__xludf.DUMMYFUNCTION("""COMPUTED_VALUE"""),44796)</f>
        <v>44796</v>
      </c>
      <c r="B727" s="6" t="str">
        <f ca="1">IFERROR(__xludf.DUMMYFUNCTION("""COMPUTED_VALUE"""),"Caravel Concepts, LLC _2022")</f>
        <v>Caravel Concepts, LLC _2022</v>
      </c>
      <c r="C727" s="6">
        <f ca="1">IFERROR(__xludf.DUMMYFUNCTION("""COMPUTED_VALUE"""),2.75)</f>
        <v>2.75</v>
      </c>
      <c r="D727" s="6" t="str">
        <f ca="1">IFERROR(__xludf.DUMMYFUNCTION("""COMPUTED_VALUE"""),"Digital Tech")</f>
        <v>Digital Tech</v>
      </c>
      <c r="E727" s="6" t="str">
        <f ca="1">IFERROR(__xludf.DUMMYFUNCTION("""COMPUTED_VALUE"""),"Invite Next Year")</f>
        <v>Invite Next Year</v>
      </c>
      <c r="F727" s="6" t="e">
        <f t="shared" ca="1" si="2"/>
        <v>#NAME?</v>
      </c>
    </row>
    <row r="728" spans="1:6">
      <c r="A728" s="199">
        <f ca="1">IFERROR(__xludf.DUMMYFUNCTION("""COMPUTED_VALUE"""),44796)</f>
        <v>44796</v>
      </c>
      <c r="B728" s="6" t="str">
        <f ca="1">IFERROR(__xludf.DUMMYFUNCTION("""COMPUTED_VALUE"""),"Handprint _2022")</f>
        <v>Handprint _2022</v>
      </c>
      <c r="C728" s="6">
        <f ca="1">IFERROR(__xludf.DUMMYFUNCTION("""COMPUTED_VALUE"""),2.75)</f>
        <v>2.75</v>
      </c>
      <c r="D728" s="6" t="str">
        <f ca="1">IFERROR(__xludf.DUMMYFUNCTION("""COMPUTED_VALUE"""),"Digital Tech")</f>
        <v>Digital Tech</v>
      </c>
      <c r="E728" s="6" t="str">
        <f ca="1">IFERROR(__xludf.DUMMYFUNCTION("""COMPUTED_VALUE"""),"Invite Next Year")</f>
        <v>Invite Next Year</v>
      </c>
      <c r="F728" s="6" t="e">
        <f t="shared" ca="1" si="2"/>
        <v>#NAME?</v>
      </c>
    </row>
    <row r="729" spans="1:6">
      <c r="A729" s="199">
        <f ca="1">IFERROR(__xludf.DUMMYFUNCTION("""COMPUTED_VALUE"""),44796)</f>
        <v>44796</v>
      </c>
      <c r="B729" s="6" t="str">
        <f ca="1">IFERROR(__xludf.DUMMYFUNCTION("""COMPUTED_VALUE"""),"SimSkills _2022")</f>
        <v>SimSkills _2022</v>
      </c>
      <c r="C729" s="6">
        <f ca="1">IFERROR(__xludf.DUMMYFUNCTION("""COMPUTED_VALUE"""),2.75)</f>
        <v>2.75</v>
      </c>
      <c r="D729" s="6" t="str">
        <f ca="1">IFERROR(__xludf.DUMMYFUNCTION("""COMPUTED_VALUE"""),"Digital Tech")</f>
        <v>Digital Tech</v>
      </c>
      <c r="E729" s="6" t="str">
        <f ca="1">IFERROR(__xludf.DUMMYFUNCTION("""COMPUTED_VALUE"""),"Invite Next Year")</f>
        <v>Invite Next Year</v>
      </c>
      <c r="F729" s="6" t="e">
        <f t="shared" ca="1" si="2"/>
        <v>#NAME?</v>
      </c>
    </row>
    <row r="730" spans="1:6">
      <c r="A730" s="199">
        <f ca="1">IFERROR(__xludf.DUMMYFUNCTION("""COMPUTED_VALUE"""),44796)</f>
        <v>44796</v>
      </c>
      <c r="B730" s="6" t="str">
        <f ca="1">IFERROR(__xludf.DUMMYFUNCTION("""COMPUTED_VALUE"""),"Kolibri _2022")</f>
        <v>Kolibri _2022</v>
      </c>
      <c r="C730" s="6">
        <f ca="1">IFERROR(__xludf.DUMMYFUNCTION("""COMPUTED_VALUE"""),2.75)</f>
        <v>2.75</v>
      </c>
      <c r="D730" s="6" t="str">
        <f ca="1">IFERROR(__xludf.DUMMYFUNCTION("""COMPUTED_VALUE"""),"Life Sciences")</f>
        <v>Life Sciences</v>
      </c>
      <c r="E730" s="6" t="str">
        <f ca="1">IFERROR(__xludf.DUMMYFUNCTION("""COMPUTED_VALUE"""),"Invite Next Year")</f>
        <v>Invite Next Year</v>
      </c>
      <c r="F730" s="6" t="e">
        <f t="shared" ca="1" si="2"/>
        <v>#NAME?</v>
      </c>
    </row>
    <row r="731" spans="1:6">
      <c r="A731" s="199">
        <f ca="1">IFERROR(__xludf.DUMMYFUNCTION("""COMPUTED_VALUE"""),44796)</f>
        <v>44796</v>
      </c>
      <c r="B731" s="6" t="str">
        <f ca="1">IFERROR(__xludf.DUMMYFUNCTION("""COMPUTED_VALUE"""),"Review Piper _2022")</f>
        <v>Review Piper _2022</v>
      </c>
      <c r="C731" s="6">
        <f ca="1">IFERROR(__xludf.DUMMYFUNCTION("""COMPUTED_VALUE"""),2.75)</f>
        <v>2.75</v>
      </c>
      <c r="D731" s="6" t="str">
        <f ca="1">IFERROR(__xludf.DUMMYFUNCTION("""COMPUTED_VALUE"""),"Digital Tech")</f>
        <v>Digital Tech</v>
      </c>
      <c r="E731" s="6" t="str">
        <f ca="1">IFERROR(__xludf.DUMMYFUNCTION("""COMPUTED_VALUE"""),"Invite Next Year")</f>
        <v>Invite Next Year</v>
      </c>
      <c r="F731" s="6" t="e">
        <f t="shared" ca="1" si="2"/>
        <v>#NAME?</v>
      </c>
    </row>
    <row r="732" spans="1:6">
      <c r="A732" s="199">
        <f ca="1">IFERROR(__xludf.DUMMYFUNCTION("""COMPUTED_VALUE"""),44796)</f>
        <v>44796</v>
      </c>
      <c r="B732" s="6" t="str">
        <f ca="1">IFERROR(__xludf.DUMMYFUNCTION("""COMPUTED_VALUE"""),"ZipData, INC _2022")</f>
        <v>ZipData, INC _2022</v>
      </c>
      <c r="C732" s="6">
        <f ca="1">IFERROR(__xludf.DUMMYFUNCTION("""COMPUTED_VALUE"""),2.75)</f>
        <v>2.75</v>
      </c>
      <c r="D732" s="6" t="str">
        <f ca="1">IFERROR(__xludf.DUMMYFUNCTION("""COMPUTED_VALUE"""),"Digital Tech")</f>
        <v>Digital Tech</v>
      </c>
      <c r="E732" s="6" t="str">
        <f ca="1">IFERROR(__xludf.DUMMYFUNCTION("""COMPUTED_VALUE"""),"Invite Next Year")</f>
        <v>Invite Next Year</v>
      </c>
      <c r="F732" s="6" t="e">
        <f t="shared" ca="1" si="2"/>
        <v>#NAME?</v>
      </c>
    </row>
    <row r="733" spans="1:6">
      <c r="A733" s="199">
        <f ca="1">IFERROR(__xludf.DUMMYFUNCTION("""COMPUTED_VALUE"""),44796)</f>
        <v>44796</v>
      </c>
      <c r="B733" s="6" t="str">
        <f ca="1">IFERROR(__xludf.DUMMYFUNCTION("""COMPUTED_VALUE"""),"evAI Intelligence GmbH _2022")</f>
        <v>evAI Intelligence GmbH _2022</v>
      </c>
      <c r="C733" s="6">
        <f ca="1">IFERROR(__xludf.DUMMYFUNCTION("""COMPUTED_VALUE"""),2.75)</f>
        <v>2.75</v>
      </c>
      <c r="D733" s="6" t="str">
        <f ca="1">IFERROR(__xludf.DUMMYFUNCTION("""COMPUTED_VALUE"""),"Deep Tech")</f>
        <v>Deep Tech</v>
      </c>
      <c r="E733" s="6" t="str">
        <f ca="1">IFERROR(__xludf.DUMMYFUNCTION("""COMPUTED_VALUE"""),"Invite Next Year")</f>
        <v>Invite Next Year</v>
      </c>
      <c r="F733" s="6" t="e">
        <f t="shared" ca="1" si="2"/>
        <v>#NAME?</v>
      </c>
    </row>
    <row r="734" spans="1:6">
      <c r="A734" s="199">
        <f ca="1">IFERROR(__xludf.DUMMYFUNCTION("""COMPUTED_VALUE"""),44796)</f>
        <v>44796</v>
      </c>
      <c r="B734" s="6" t="str">
        <f ca="1">IFERROR(__xludf.DUMMYFUNCTION("""COMPUTED_VALUE"""),"DataVal Ventures _2022")</f>
        <v>DataVal Ventures _2022</v>
      </c>
      <c r="C734" s="6">
        <f ca="1">IFERROR(__xludf.DUMMYFUNCTION("""COMPUTED_VALUE"""),2.75)</f>
        <v>2.75</v>
      </c>
      <c r="D734" s="6" t="str">
        <f ca="1">IFERROR(__xludf.DUMMYFUNCTION("""COMPUTED_VALUE"""),"Digital Tech")</f>
        <v>Digital Tech</v>
      </c>
      <c r="E734" s="6" t="str">
        <f ca="1">IFERROR(__xludf.DUMMYFUNCTION("""COMPUTED_VALUE"""),"Invite Next Year")</f>
        <v>Invite Next Year</v>
      </c>
      <c r="F734" s="6" t="e">
        <f t="shared" ca="1" si="2"/>
        <v>#NAME?</v>
      </c>
    </row>
    <row r="735" spans="1:6">
      <c r="A735" s="199">
        <f ca="1">IFERROR(__xludf.DUMMYFUNCTION("""COMPUTED_VALUE"""),44796)</f>
        <v>44796</v>
      </c>
      <c r="B735" s="6" t="str">
        <f ca="1">IFERROR(__xludf.DUMMYFUNCTION("""COMPUTED_VALUE"""),"Ecotone Renewables _2022")</f>
        <v>Ecotone Renewables _2022</v>
      </c>
      <c r="C735" s="6">
        <f ca="1">IFERROR(__xludf.DUMMYFUNCTION("""COMPUTED_VALUE"""),2.75)</f>
        <v>2.75</v>
      </c>
      <c r="D735" s="6" t="str">
        <f ca="1">IFERROR(__xludf.DUMMYFUNCTION("""COMPUTED_VALUE"""),"Deep Tech")</f>
        <v>Deep Tech</v>
      </c>
      <c r="E735" s="6" t="str">
        <f ca="1">IFERROR(__xludf.DUMMYFUNCTION("""COMPUTED_VALUE"""),"Invite Next Year")</f>
        <v>Invite Next Year</v>
      </c>
      <c r="F735" s="6" t="e">
        <f t="shared" ca="1" si="2"/>
        <v>#NAME?</v>
      </c>
    </row>
    <row r="736" spans="1:6">
      <c r="A736" s="199">
        <f ca="1">IFERROR(__xludf.DUMMYFUNCTION("""COMPUTED_VALUE"""),44796)</f>
        <v>44796</v>
      </c>
      <c r="B736" s="6" t="str">
        <f ca="1">IFERROR(__xludf.DUMMYFUNCTION("""COMPUTED_VALUE"""),"3D-OPS _2022")</f>
        <v>3D-OPS _2022</v>
      </c>
      <c r="C736" s="6">
        <f ca="1">IFERROR(__xludf.DUMMYFUNCTION("""COMPUTED_VALUE"""),2.75)</f>
        <v>2.75</v>
      </c>
      <c r="D736" s="6" t="str">
        <f ca="1">IFERROR(__xludf.DUMMYFUNCTION("""COMPUTED_VALUE"""),"Life Sciences")</f>
        <v>Life Sciences</v>
      </c>
      <c r="E736" s="6" t="str">
        <f ca="1">IFERROR(__xludf.DUMMYFUNCTION("""COMPUTED_VALUE"""),"Invite Next Year")</f>
        <v>Invite Next Year</v>
      </c>
      <c r="F736" s="6" t="e">
        <f t="shared" ca="1" si="2"/>
        <v>#NAME?</v>
      </c>
    </row>
    <row r="737" spans="1:6">
      <c r="A737" s="199">
        <f ca="1">IFERROR(__xludf.DUMMYFUNCTION("""COMPUTED_VALUE"""),44796)</f>
        <v>44796</v>
      </c>
      <c r="B737" s="6" t="str">
        <f ca="1">IFERROR(__xludf.DUMMYFUNCTION("""COMPUTED_VALUE"""),"Alyve Medical _2022")</f>
        <v>Alyve Medical _2022</v>
      </c>
      <c r="C737" s="6">
        <f ca="1">IFERROR(__xludf.DUMMYFUNCTION("""COMPUTED_VALUE"""),2.75)</f>
        <v>2.75</v>
      </c>
      <c r="D737" s="6" t="str">
        <f ca="1">IFERROR(__xludf.DUMMYFUNCTION("""COMPUTED_VALUE"""),"Life Sciences")</f>
        <v>Life Sciences</v>
      </c>
      <c r="E737" s="6" t="str">
        <f ca="1">IFERROR(__xludf.DUMMYFUNCTION("""COMPUTED_VALUE"""),"Invite Next Year")</f>
        <v>Invite Next Year</v>
      </c>
      <c r="F737" s="6" t="e">
        <f t="shared" ca="1" si="2"/>
        <v>#NAME?</v>
      </c>
    </row>
    <row r="738" spans="1:6">
      <c r="A738" s="199">
        <f ca="1">IFERROR(__xludf.DUMMYFUNCTION("""COMPUTED_VALUE"""),44797)</f>
        <v>44797</v>
      </c>
      <c r="B738" s="6" t="str">
        <f ca="1">IFERROR(__xludf.DUMMYFUNCTION("""COMPUTED_VALUE"""),"Patientory, Inc. _2022")</f>
        <v>Patientory, Inc. _2022</v>
      </c>
      <c r="C738" s="6">
        <f ca="1">IFERROR(__xludf.DUMMYFUNCTION("""COMPUTED_VALUE"""),2.75)</f>
        <v>2.75</v>
      </c>
      <c r="D738" s="6" t="str">
        <f ca="1">IFERROR(__xludf.DUMMYFUNCTION("""COMPUTED_VALUE"""),"Digital Tech")</f>
        <v>Digital Tech</v>
      </c>
      <c r="E738" s="6" t="str">
        <f ca="1">IFERROR(__xludf.DUMMYFUNCTION("""COMPUTED_VALUE"""),"Invite Next Year")</f>
        <v>Invite Next Year</v>
      </c>
      <c r="F738" s="6" t="e">
        <f t="shared" ca="1" si="2"/>
        <v>#NAME?</v>
      </c>
    </row>
    <row r="739" spans="1:6">
      <c r="A739" s="199">
        <f ca="1">IFERROR(__xludf.DUMMYFUNCTION("""COMPUTED_VALUE"""),44797)</f>
        <v>44797</v>
      </c>
      <c r="B739" s="6" t="str">
        <f ca="1">IFERROR(__xludf.DUMMYFUNCTION("""COMPUTED_VALUE"""),"T4L Inc _2022")</f>
        <v>T4L Inc _2022</v>
      </c>
      <c r="C739" s="6">
        <f ca="1">IFERROR(__xludf.DUMMYFUNCTION("""COMPUTED_VALUE"""),2.75)</f>
        <v>2.75</v>
      </c>
      <c r="D739" s="6" t="str">
        <f ca="1">IFERROR(__xludf.DUMMYFUNCTION("""COMPUTED_VALUE"""),"Digital Tech")</f>
        <v>Digital Tech</v>
      </c>
      <c r="E739" s="6" t="str">
        <f ca="1">IFERROR(__xludf.DUMMYFUNCTION("""COMPUTED_VALUE"""),"Invite Next Year")</f>
        <v>Invite Next Year</v>
      </c>
      <c r="F739" s="6" t="e">
        <f t="shared" ca="1" si="2"/>
        <v>#NAME?</v>
      </c>
    </row>
    <row r="740" spans="1:6">
      <c r="A740" s="199">
        <f ca="1">IFERROR(__xludf.DUMMYFUNCTION("""COMPUTED_VALUE"""),44797)</f>
        <v>44797</v>
      </c>
      <c r="B740" s="6" t="str">
        <f ca="1">IFERROR(__xludf.DUMMYFUNCTION("""COMPUTED_VALUE"""),"Nu-Credits _2022")</f>
        <v>Nu-Credits _2022</v>
      </c>
      <c r="C740" s="6">
        <f ca="1">IFERROR(__xludf.DUMMYFUNCTION("""COMPUTED_VALUE"""),2.75)</f>
        <v>2.75</v>
      </c>
      <c r="D740" s="6" t="str">
        <f ca="1">IFERROR(__xludf.DUMMYFUNCTION("""COMPUTED_VALUE"""),"Digital Tech")</f>
        <v>Digital Tech</v>
      </c>
      <c r="E740" s="6" t="str">
        <f ca="1">IFERROR(__xludf.DUMMYFUNCTION("""COMPUTED_VALUE"""),"Invite Next Year")</f>
        <v>Invite Next Year</v>
      </c>
      <c r="F740" s="6" t="e">
        <f t="shared" ca="1" si="2"/>
        <v>#NAME?</v>
      </c>
    </row>
    <row r="741" spans="1:6">
      <c r="A741" s="199">
        <f ca="1">IFERROR(__xludf.DUMMYFUNCTION("""COMPUTED_VALUE"""),44789)</f>
        <v>44789</v>
      </c>
      <c r="B741" s="6" t="str">
        <f ca="1">IFERROR(__xludf.DUMMYFUNCTION("""COMPUTED_VALUE"""),"FanAnywhere _2022")</f>
        <v>FanAnywhere _2022</v>
      </c>
      <c r="C741" s="6">
        <f ca="1">IFERROR(__xludf.DUMMYFUNCTION("""COMPUTED_VALUE"""),2.63)</f>
        <v>2.63</v>
      </c>
      <c r="D741" s="6" t="str">
        <f ca="1">IFERROR(__xludf.DUMMYFUNCTION("""COMPUTED_VALUE"""),"Digital Tech")</f>
        <v>Digital Tech</v>
      </c>
      <c r="E741" s="6" t="str">
        <f ca="1">IFERROR(__xludf.DUMMYFUNCTION("""COMPUTED_VALUE"""),"Invite Next Year")</f>
        <v>Invite Next Year</v>
      </c>
      <c r="F741" s="6" t="e">
        <f t="shared" ca="1" si="2"/>
        <v>#NAME?</v>
      </c>
    </row>
    <row r="742" spans="1:6">
      <c r="A742" s="199">
        <f ca="1">IFERROR(__xludf.DUMMYFUNCTION("""COMPUTED_VALUE"""),44789)</f>
        <v>44789</v>
      </c>
      <c r="B742" s="6" t="str">
        <f ca="1">IFERROR(__xludf.DUMMYFUNCTION("""COMPUTED_VALUE"""),"Aerovoyance Inc _2022")</f>
        <v>Aerovoyance Inc _2022</v>
      </c>
      <c r="C742" s="6">
        <f ca="1">IFERROR(__xludf.DUMMYFUNCTION("""COMPUTED_VALUE"""),2.63)</f>
        <v>2.63</v>
      </c>
      <c r="D742" s="6" t="str">
        <f ca="1">IFERROR(__xludf.DUMMYFUNCTION("""COMPUTED_VALUE"""),"Deep Tech")</f>
        <v>Deep Tech</v>
      </c>
      <c r="E742" s="6" t="str">
        <f ca="1">IFERROR(__xludf.DUMMYFUNCTION("""COMPUTED_VALUE"""),"Invite Next Year")</f>
        <v>Invite Next Year</v>
      </c>
      <c r="F742" s="6" t="e">
        <f t="shared" ca="1" si="2"/>
        <v>#NAME?</v>
      </c>
    </row>
    <row r="743" spans="1:6">
      <c r="A743" s="199">
        <f ca="1">IFERROR(__xludf.DUMMYFUNCTION("""COMPUTED_VALUE"""),44791)</f>
        <v>44791</v>
      </c>
      <c r="B743" s="6" t="str">
        <f ca="1">IFERROR(__xludf.DUMMYFUNCTION("""COMPUTED_VALUE"""),"Langoo _2022")</f>
        <v>Langoo _2022</v>
      </c>
      <c r="C743" s="6">
        <f ca="1">IFERROR(__xludf.DUMMYFUNCTION("""COMPUTED_VALUE"""),2.63)</f>
        <v>2.63</v>
      </c>
      <c r="D743" s="6" t="str">
        <f ca="1">IFERROR(__xludf.DUMMYFUNCTION("""COMPUTED_VALUE"""),"Digital Tech")</f>
        <v>Digital Tech</v>
      </c>
      <c r="E743" s="6" t="str">
        <f ca="1">IFERROR(__xludf.DUMMYFUNCTION("""COMPUTED_VALUE"""),"Invite Next Year")</f>
        <v>Invite Next Year</v>
      </c>
      <c r="F743" s="6" t="e">
        <f t="shared" ca="1" si="2"/>
        <v>#NAME?</v>
      </c>
    </row>
    <row r="744" spans="1:6">
      <c r="A744" s="199">
        <f ca="1">IFERROR(__xludf.DUMMYFUNCTION("""COMPUTED_VALUE"""),44776)</f>
        <v>44776</v>
      </c>
      <c r="B744" s="6" t="str">
        <f ca="1">IFERROR(__xludf.DUMMYFUNCTION("""COMPUTED_VALUE"""),"Blind Tiger, LLC D/B/A Blind Tiger Spirit-Free Cocktails _2022")</f>
        <v>Blind Tiger, LLC D/B/A Blind Tiger Spirit-Free Cocktails _2022</v>
      </c>
      <c r="C744" s="6">
        <f ca="1">IFERROR(__xludf.DUMMYFUNCTION("""COMPUTED_VALUE"""),2.5)</f>
        <v>2.5</v>
      </c>
      <c r="D744" s="6" t="str">
        <f ca="1">IFERROR(__xludf.DUMMYFUNCTION("""COMPUTED_VALUE"""),"Life Sciences")</f>
        <v>Life Sciences</v>
      </c>
      <c r="E744" s="6" t="str">
        <f ca="1">IFERROR(__xludf.DUMMYFUNCTION("""COMPUTED_VALUE"""),"Reject")</f>
        <v>Reject</v>
      </c>
      <c r="F744" s="6" t="e">
        <f t="shared" ca="1" si="2"/>
        <v>#NAME?</v>
      </c>
    </row>
    <row r="745" spans="1:6">
      <c r="A745" s="199">
        <f ca="1">IFERROR(__xludf.DUMMYFUNCTION("""COMPUTED_VALUE"""),44776)</f>
        <v>44776</v>
      </c>
      <c r="B745" s="6" t="str">
        <f ca="1">IFERROR(__xludf.DUMMYFUNCTION("""COMPUTED_VALUE"""),"Pressto _2022")</f>
        <v>Pressto _2022</v>
      </c>
      <c r="C745" s="6">
        <f ca="1">IFERROR(__xludf.DUMMYFUNCTION("""COMPUTED_VALUE"""),2.5)</f>
        <v>2.5</v>
      </c>
      <c r="D745" s="6" t="str">
        <f ca="1">IFERROR(__xludf.DUMMYFUNCTION("""COMPUTED_VALUE"""),"Digital Tech")</f>
        <v>Digital Tech</v>
      </c>
      <c r="E745" s="6" t="str">
        <f ca="1">IFERROR(__xludf.DUMMYFUNCTION("""COMPUTED_VALUE"""),"Invite Next Year")</f>
        <v>Invite Next Year</v>
      </c>
      <c r="F745" s="6" t="e">
        <f t="shared" ca="1" si="2"/>
        <v>#NAME?</v>
      </c>
    </row>
    <row r="746" spans="1:6">
      <c r="A746" s="199">
        <f ca="1">IFERROR(__xludf.DUMMYFUNCTION("""COMPUTED_VALUE"""),44776)</f>
        <v>44776</v>
      </c>
      <c r="B746" s="6" t="str">
        <f ca="1">IFERROR(__xludf.DUMMYFUNCTION("""COMPUTED_VALUE"""),"Tomorrow Biostasis _2022")</f>
        <v>Tomorrow Biostasis _2022</v>
      </c>
      <c r="C746" s="6">
        <f ca="1">IFERROR(__xludf.DUMMYFUNCTION("""COMPUTED_VALUE"""),2.5)</f>
        <v>2.5</v>
      </c>
      <c r="D746" s="6" t="str">
        <f ca="1">IFERROR(__xludf.DUMMYFUNCTION("""COMPUTED_VALUE"""),"Deep Tech")</f>
        <v>Deep Tech</v>
      </c>
      <c r="E746" s="6" t="str">
        <f ca="1">IFERROR(__xludf.DUMMYFUNCTION("""COMPUTED_VALUE"""),"Invite Next Year")</f>
        <v>Invite Next Year</v>
      </c>
      <c r="F746" s="6" t="e">
        <f t="shared" ca="1" si="2"/>
        <v>#NAME?</v>
      </c>
    </row>
    <row r="747" spans="1:6">
      <c r="A747" s="199">
        <f ca="1">IFERROR(__xludf.DUMMYFUNCTION("""COMPUTED_VALUE"""),44776)</f>
        <v>44776</v>
      </c>
      <c r="B747" s="6" t="str">
        <f ca="1">IFERROR(__xludf.DUMMYFUNCTION("""COMPUTED_VALUE"""),"Active Energy Systems _2022")</f>
        <v>Active Energy Systems _2022</v>
      </c>
      <c r="C747" s="6">
        <f ca="1">IFERROR(__xludf.DUMMYFUNCTION("""COMPUTED_VALUE"""),2.5)</f>
        <v>2.5</v>
      </c>
      <c r="D747" s="6" t="str">
        <f ca="1">IFERROR(__xludf.DUMMYFUNCTION("""COMPUTED_VALUE"""),"Deep Tech")</f>
        <v>Deep Tech</v>
      </c>
      <c r="E747" s="6" t="str">
        <f ca="1">IFERROR(__xludf.DUMMYFUNCTION("""COMPUTED_VALUE"""),"Invite Next Year")</f>
        <v>Invite Next Year</v>
      </c>
      <c r="F747" s="6" t="e">
        <f t="shared" ca="1" si="2"/>
        <v>#NAME?</v>
      </c>
    </row>
    <row r="748" spans="1:6">
      <c r="A748" s="199">
        <f ca="1">IFERROR(__xludf.DUMMYFUNCTION("""COMPUTED_VALUE"""),44776)</f>
        <v>44776</v>
      </c>
      <c r="B748" s="6" t="str">
        <f ca="1">IFERROR(__xludf.DUMMYFUNCTION("""COMPUTED_VALUE"""),"Rushnu _2022")</f>
        <v>Rushnu _2022</v>
      </c>
      <c r="C748" s="6">
        <f ca="1">IFERROR(__xludf.DUMMYFUNCTION("""COMPUTED_VALUE"""),2.5)</f>
        <v>2.5</v>
      </c>
      <c r="D748" s="6" t="str">
        <f ca="1">IFERROR(__xludf.DUMMYFUNCTION("""COMPUTED_VALUE"""),"Deep Tech")</f>
        <v>Deep Tech</v>
      </c>
      <c r="E748" s="6" t="str">
        <f ca="1">IFERROR(__xludf.DUMMYFUNCTION("""COMPUTED_VALUE"""),"Invite Next Year")</f>
        <v>Invite Next Year</v>
      </c>
      <c r="F748" s="6" t="e">
        <f t="shared" ca="1" si="2"/>
        <v>#NAME?</v>
      </c>
    </row>
    <row r="749" spans="1:6">
      <c r="A749" s="199">
        <f ca="1">IFERROR(__xludf.DUMMYFUNCTION("""COMPUTED_VALUE"""),44776)</f>
        <v>44776</v>
      </c>
      <c r="B749" s="6" t="str">
        <f ca="1">IFERROR(__xludf.DUMMYFUNCTION("""COMPUTED_VALUE"""),"KnoNap _2022")</f>
        <v>KnoNap _2022</v>
      </c>
      <c r="C749" s="6">
        <f ca="1">IFERROR(__xludf.DUMMYFUNCTION("""COMPUTED_VALUE"""),2.5)</f>
        <v>2.5</v>
      </c>
      <c r="D749" s="6" t="str">
        <f ca="1">IFERROR(__xludf.DUMMYFUNCTION("""COMPUTED_VALUE"""),"Deep Tech")</f>
        <v>Deep Tech</v>
      </c>
      <c r="E749" s="6" t="str">
        <f ca="1">IFERROR(__xludf.DUMMYFUNCTION("""COMPUTED_VALUE"""),"Invite Next Year")</f>
        <v>Invite Next Year</v>
      </c>
      <c r="F749" s="6" t="e">
        <f t="shared" ca="1" si="2"/>
        <v>#NAME?</v>
      </c>
    </row>
    <row r="750" spans="1:6">
      <c r="A750" s="199">
        <f ca="1">IFERROR(__xludf.DUMMYFUNCTION("""COMPUTED_VALUE"""),44776)</f>
        <v>44776</v>
      </c>
      <c r="B750" s="6" t="str">
        <f ca="1">IFERROR(__xludf.DUMMYFUNCTION("""COMPUTED_VALUE"""),"Mirror World _2022")</f>
        <v>Mirror World _2022</v>
      </c>
      <c r="C750" s="6">
        <f ca="1">IFERROR(__xludf.DUMMYFUNCTION("""COMPUTED_VALUE"""),2.5)</f>
        <v>2.5</v>
      </c>
      <c r="D750" s="6" t="str">
        <f ca="1">IFERROR(__xludf.DUMMYFUNCTION("""COMPUTED_VALUE"""),"Digital Tech")</f>
        <v>Digital Tech</v>
      </c>
      <c r="E750" s="6" t="str">
        <f ca="1">IFERROR(__xludf.DUMMYFUNCTION("""COMPUTED_VALUE"""),"Invite Next Year")</f>
        <v>Invite Next Year</v>
      </c>
      <c r="F750" s="6" t="e">
        <f t="shared" ca="1" si="2"/>
        <v>#NAME?</v>
      </c>
    </row>
    <row r="751" spans="1:6">
      <c r="A751" s="199">
        <f ca="1">IFERROR(__xludf.DUMMYFUNCTION("""COMPUTED_VALUE"""),44776)</f>
        <v>44776</v>
      </c>
      <c r="B751" s="6" t="str">
        <f ca="1">IFERROR(__xludf.DUMMYFUNCTION("""COMPUTED_VALUE"""),"OpenPie.com _2022")</f>
        <v>OpenPie.com _2022</v>
      </c>
      <c r="C751" s="6">
        <f ca="1">IFERROR(__xludf.DUMMYFUNCTION("""COMPUTED_VALUE"""),2.5)</f>
        <v>2.5</v>
      </c>
      <c r="D751" s="6" t="str">
        <f ca="1">IFERROR(__xludf.DUMMYFUNCTION("""COMPUTED_VALUE"""),"Deep Tech")</f>
        <v>Deep Tech</v>
      </c>
      <c r="E751" s="6" t="str">
        <f ca="1">IFERROR(__xludf.DUMMYFUNCTION("""COMPUTED_VALUE"""),"Invite Next Year")</f>
        <v>Invite Next Year</v>
      </c>
      <c r="F751" s="6" t="e">
        <f t="shared" ca="1" si="2"/>
        <v>#NAME?</v>
      </c>
    </row>
    <row r="752" spans="1:6">
      <c r="A752" s="199">
        <f ca="1">IFERROR(__xludf.DUMMYFUNCTION("""COMPUTED_VALUE"""),44782)</f>
        <v>44782</v>
      </c>
      <c r="B752" s="6" t="str">
        <f ca="1">IFERROR(__xludf.DUMMYFUNCTION("""COMPUTED_VALUE"""),"Rensselaer Polytechnic Institute _2022")</f>
        <v>Rensselaer Polytechnic Institute _2022</v>
      </c>
      <c r="C752" s="6">
        <f ca="1">IFERROR(__xludf.DUMMYFUNCTION("""COMPUTED_VALUE"""),2.5)</f>
        <v>2.5</v>
      </c>
      <c r="D752" s="6" t="str">
        <f ca="1">IFERROR(__xludf.DUMMYFUNCTION("""COMPUTED_VALUE"""),"Deep Tech")</f>
        <v>Deep Tech</v>
      </c>
      <c r="E752" s="6" t="str">
        <f ca="1">IFERROR(__xludf.DUMMYFUNCTION("""COMPUTED_VALUE"""),"Invite Next Year")</f>
        <v>Invite Next Year</v>
      </c>
      <c r="F752" s="6" t="e">
        <f t="shared" ca="1" si="2"/>
        <v>#NAME?</v>
      </c>
    </row>
    <row r="753" spans="1:6">
      <c r="A753" s="199">
        <f ca="1">IFERROR(__xludf.DUMMYFUNCTION("""COMPUTED_VALUE"""),44782)</f>
        <v>44782</v>
      </c>
      <c r="B753" s="6" t="str">
        <f ca="1">IFERROR(__xludf.DUMMYFUNCTION("""COMPUTED_VALUE"""),"nmodes _2022")</f>
        <v>nmodes _2022</v>
      </c>
      <c r="C753" s="6">
        <f ca="1">IFERROR(__xludf.DUMMYFUNCTION("""COMPUTED_VALUE"""),2.5)</f>
        <v>2.5</v>
      </c>
      <c r="D753" s="6" t="str">
        <f ca="1">IFERROR(__xludf.DUMMYFUNCTION("""COMPUTED_VALUE"""),"Digital Tech")</f>
        <v>Digital Tech</v>
      </c>
      <c r="E753" s="6" t="str">
        <f ca="1">IFERROR(__xludf.DUMMYFUNCTION("""COMPUTED_VALUE"""),"Invite Next Year")</f>
        <v>Invite Next Year</v>
      </c>
      <c r="F753" s="6" t="e">
        <f t="shared" ca="1" si="2"/>
        <v>#NAME?</v>
      </c>
    </row>
    <row r="754" spans="1:6">
      <c r="A754" s="199">
        <f ca="1">IFERROR(__xludf.DUMMYFUNCTION("""COMPUTED_VALUE"""),44782)</f>
        <v>44782</v>
      </c>
      <c r="B754" s="6" t="str">
        <f ca="1">IFERROR(__xludf.DUMMYFUNCTION("""COMPUTED_VALUE"""),"Yodacart _2022")</f>
        <v>Yodacart _2022</v>
      </c>
      <c r="C754" s="6">
        <f ca="1">IFERROR(__xludf.DUMMYFUNCTION("""COMPUTED_VALUE"""),2.5)</f>
        <v>2.5</v>
      </c>
      <c r="D754" s="6" t="str">
        <f ca="1">IFERROR(__xludf.DUMMYFUNCTION("""COMPUTED_VALUE"""),"Digital Tech")</f>
        <v>Digital Tech</v>
      </c>
      <c r="E754" s="6" t="str">
        <f ca="1">IFERROR(__xludf.DUMMYFUNCTION("""COMPUTED_VALUE"""),"Invite Next Year")</f>
        <v>Invite Next Year</v>
      </c>
      <c r="F754" s="6" t="e">
        <f t="shared" ca="1" si="2"/>
        <v>#NAME?</v>
      </c>
    </row>
    <row r="755" spans="1:6">
      <c r="A755" s="199">
        <f ca="1">IFERROR(__xludf.DUMMYFUNCTION("""COMPUTED_VALUE"""),44782)</f>
        <v>44782</v>
      </c>
      <c r="B755" s="6" t="str">
        <f ca="1">IFERROR(__xludf.DUMMYFUNCTION("""COMPUTED_VALUE"""),"Xtellix, Inc _2022")</f>
        <v>Xtellix, Inc _2022</v>
      </c>
      <c r="C755" s="6">
        <f ca="1">IFERROR(__xludf.DUMMYFUNCTION("""COMPUTED_VALUE"""),2.5)</f>
        <v>2.5</v>
      </c>
      <c r="D755" s="6" t="str">
        <f ca="1">IFERROR(__xludf.DUMMYFUNCTION("""COMPUTED_VALUE"""),"Deep Tech")</f>
        <v>Deep Tech</v>
      </c>
      <c r="E755" s="6" t="str">
        <f ca="1">IFERROR(__xludf.DUMMYFUNCTION("""COMPUTED_VALUE"""),"Revisit/ Cluster")</f>
        <v>Revisit/ Cluster</v>
      </c>
      <c r="F755" s="6" t="e">
        <f t="shared" ca="1" si="2"/>
        <v>#NAME?</v>
      </c>
    </row>
    <row r="756" spans="1:6">
      <c r="A756" s="199">
        <f ca="1">IFERROR(__xludf.DUMMYFUNCTION("""COMPUTED_VALUE"""),44782)</f>
        <v>44782</v>
      </c>
      <c r="B756" s="6" t="str">
        <f ca="1">IFERROR(__xludf.DUMMYFUNCTION("""COMPUTED_VALUE"""),"ViBo Health _2022")</f>
        <v>ViBo Health _2022</v>
      </c>
      <c r="C756" s="6">
        <f ca="1">IFERROR(__xludf.DUMMYFUNCTION("""COMPUTED_VALUE"""),2.5)</f>
        <v>2.5</v>
      </c>
      <c r="D756" s="6" t="str">
        <f ca="1">IFERROR(__xludf.DUMMYFUNCTION("""COMPUTED_VALUE"""),"Life Sciences")</f>
        <v>Life Sciences</v>
      </c>
      <c r="E756" s="6" t="str">
        <f ca="1">IFERROR(__xludf.DUMMYFUNCTION("""COMPUTED_VALUE"""),"Invite Next Year")</f>
        <v>Invite Next Year</v>
      </c>
      <c r="F756" s="6" t="e">
        <f t="shared" ca="1" si="2"/>
        <v>#NAME?</v>
      </c>
    </row>
    <row r="757" spans="1:6">
      <c r="A757" s="199">
        <f ca="1">IFERROR(__xludf.DUMMYFUNCTION("""COMPUTED_VALUE"""),44782)</f>
        <v>44782</v>
      </c>
      <c r="B757" s="6" t="str">
        <f ca="1">IFERROR(__xludf.DUMMYFUNCTION("""COMPUTED_VALUE"""),"Sensifree _2022")</f>
        <v>Sensifree _2022</v>
      </c>
      <c r="C757" s="6">
        <f ca="1">IFERROR(__xludf.DUMMYFUNCTION("""COMPUTED_VALUE"""),2.5)</f>
        <v>2.5</v>
      </c>
      <c r="D757" s="6" t="str">
        <f ca="1">IFERROR(__xludf.DUMMYFUNCTION("""COMPUTED_VALUE"""),"Life Sciences")</f>
        <v>Life Sciences</v>
      </c>
      <c r="E757" s="6" t="str">
        <f ca="1">IFERROR(__xludf.DUMMYFUNCTION("""COMPUTED_VALUE"""),"Invite Next Year")</f>
        <v>Invite Next Year</v>
      </c>
      <c r="F757" s="6" t="e">
        <f t="shared" ca="1" si="2"/>
        <v>#NAME?</v>
      </c>
    </row>
    <row r="758" spans="1:6">
      <c r="A758" s="199">
        <f ca="1">IFERROR(__xludf.DUMMYFUNCTION("""COMPUTED_VALUE"""),44782)</f>
        <v>44782</v>
      </c>
      <c r="B758" s="6" t="str">
        <f ca="1">IFERROR(__xludf.DUMMYFUNCTION("""COMPUTED_VALUE"""),"Saathealth _2022")</f>
        <v>Saathealth _2022</v>
      </c>
      <c r="C758" s="6">
        <f ca="1">IFERROR(__xludf.DUMMYFUNCTION("""COMPUTED_VALUE"""),2.5)</f>
        <v>2.5</v>
      </c>
      <c r="D758" s="6" t="str">
        <f ca="1">IFERROR(__xludf.DUMMYFUNCTION("""COMPUTED_VALUE"""),"Digital Tech")</f>
        <v>Digital Tech</v>
      </c>
      <c r="E758" s="6" t="str">
        <f ca="1">IFERROR(__xludf.DUMMYFUNCTION("""COMPUTED_VALUE"""),"Invite Next Year")</f>
        <v>Invite Next Year</v>
      </c>
      <c r="F758" s="6" t="e">
        <f t="shared" ca="1" si="2"/>
        <v>#NAME?</v>
      </c>
    </row>
    <row r="759" spans="1:6">
      <c r="A759" s="199">
        <f ca="1">IFERROR(__xludf.DUMMYFUNCTION("""COMPUTED_VALUE"""),44784)</f>
        <v>44784</v>
      </c>
      <c r="B759" s="6" t="str">
        <f ca="1">IFERROR(__xludf.DUMMYFUNCTION("""COMPUTED_VALUE"""),"AGR Health, LLC _2022")</f>
        <v>AGR Health, LLC _2022</v>
      </c>
      <c r="C759" s="6">
        <f ca="1">IFERROR(__xludf.DUMMYFUNCTION("""COMPUTED_VALUE"""),2.5)</f>
        <v>2.5</v>
      </c>
      <c r="D759" s="6" t="str">
        <f ca="1">IFERROR(__xludf.DUMMYFUNCTION("""COMPUTED_VALUE"""),"Digital Tech")</f>
        <v>Digital Tech</v>
      </c>
      <c r="E759" s="6" t="str">
        <f ca="1">IFERROR(__xludf.DUMMYFUNCTION("""COMPUTED_VALUE"""),"Invite Next Year")</f>
        <v>Invite Next Year</v>
      </c>
      <c r="F759" s="6" t="e">
        <f t="shared" ca="1" si="2"/>
        <v>#NAME?</v>
      </c>
    </row>
    <row r="760" spans="1:6">
      <c r="A760" s="199">
        <f ca="1">IFERROR(__xludf.DUMMYFUNCTION("""COMPUTED_VALUE"""),44784)</f>
        <v>44784</v>
      </c>
      <c r="B760" s="6" t="str">
        <f ca="1">IFERROR(__xludf.DUMMYFUNCTION("""COMPUTED_VALUE"""),"Monocle _2022")</f>
        <v>Monocle _2022</v>
      </c>
      <c r="C760" s="6">
        <f ca="1">IFERROR(__xludf.DUMMYFUNCTION("""COMPUTED_VALUE"""),2.5)</f>
        <v>2.5</v>
      </c>
      <c r="D760" s="6" t="str">
        <f ca="1">IFERROR(__xludf.DUMMYFUNCTION("""COMPUTED_VALUE"""),"Digital Tech")</f>
        <v>Digital Tech</v>
      </c>
      <c r="E760" s="6" t="str">
        <f ca="1">IFERROR(__xludf.DUMMYFUNCTION("""COMPUTED_VALUE"""),"Invite Next Year")</f>
        <v>Invite Next Year</v>
      </c>
      <c r="F760" s="6" t="e">
        <f t="shared" ca="1" si="2"/>
        <v>#NAME?</v>
      </c>
    </row>
    <row r="761" spans="1:6">
      <c r="A761" s="199">
        <f ca="1">IFERROR(__xludf.DUMMYFUNCTION("""COMPUTED_VALUE"""),44784)</f>
        <v>44784</v>
      </c>
      <c r="B761" s="6" t="str">
        <f ca="1">IFERROR(__xludf.DUMMYFUNCTION("""COMPUTED_VALUE"""),"PlateRate _2022")</f>
        <v>PlateRate _2022</v>
      </c>
      <c r="C761" s="6">
        <f ca="1">IFERROR(__xludf.DUMMYFUNCTION("""COMPUTED_VALUE"""),2.5)</f>
        <v>2.5</v>
      </c>
      <c r="D761" s="6" t="str">
        <f ca="1">IFERROR(__xludf.DUMMYFUNCTION("""COMPUTED_VALUE"""),"Digital Tech")</f>
        <v>Digital Tech</v>
      </c>
      <c r="E761" s="6" t="str">
        <f ca="1">IFERROR(__xludf.DUMMYFUNCTION("""COMPUTED_VALUE"""),"Invite Next Year")</f>
        <v>Invite Next Year</v>
      </c>
      <c r="F761" s="6" t="e">
        <f t="shared" ca="1" si="2"/>
        <v>#NAME?</v>
      </c>
    </row>
    <row r="762" spans="1:6">
      <c r="A762" s="199">
        <f ca="1">IFERROR(__xludf.DUMMYFUNCTION("""COMPUTED_VALUE"""),44784)</f>
        <v>44784</v>
      </c>
      <c r="B762" s="6" t="str">
        <f ca="1">IFERROR(__xludf.DUMMYFUNCTION("""COMPUTED_VALUE"""),"Periomics Care _2022")</f>
        <v>Periomics Care _2022</v>
      </c>
      <c r="C762" s="6">
        <f ca="1">IFERROR(__xludf.DUMMYFUNCTION("""COMPUTED_VALUE"""),2.5)</f>
        <v>2.5</v>
      </c>
      <c r="D762" s="6" t="str">
        <f ca="1">IFERROR(__xludf.DUMMYFUNCTION("""COMPUTED_VALUE"""),"Life Sciences")</f>
        <v>Life Sciences</v>
      </c>
      <c r="E762" s="6" t="str">
        <f ca="1">IFERROR(__xludf.DUMMYFUNCTION("""COMPUTED_VALUE"""),"Special Reject")</f>
        <v>Special Reject</v>
      </c>
      <c r="F762" s="6" t="e">
        <f t="shared" ca="1" si="2"/>
        <v>#NAME?</v>
      </c>
    </row>
    <row r="763" spans="1:6">
      <c r="A763" s="199">
        <f ca="1">IFERROR(__xludf.DUMMYFUNCTION("""COMPUTED_VALUE"""),44784)</f>
        <v>44784</v>
      </c>
      <c r="B763" s="6" t="str">
        <f ca="1">IFERROR(__xludf.DUMMYFUNCTION("""COMPUTED_VALUE"""),"Elementa Labs _2022")</f>
        <v>Elementa Labs _2022</v>
      </c>
      <c r="C763" s="6">
        <f ca="1">IFERROR(__xludf.DUMMYFUNCTION("""COMPUTED_VALUE"""),2.5)</f>
        <v>2.5</v>
      </c>
      <c r="D763" s="6" t="str">
        <f ca="1">IFERROR(__xludf.DUMMYFUNCTION("""COMPUTED_VALUE"""),"Deep Tech")</f>
        <v>Deep Tech</v>
      </c>
      <c r="E763" s="6" t="str">
        <f ca="1">IFERROR(__xludf.DUMMYFUNCTION("""COMPUTED_VALUE"""),"Invite Next Year")</f>
        <v>Invite Next Year</v>
      </c>
      <c r="F763" s="6" t="e">
        <f t="shared" ca="1" si="2"/>
        <v>#NAME?</v>
      </c>
    </row>
    <row r="764" spans="1:6">
      <c r="A764" s="199">
        <f ca="1">IFERROR(__xludf.DUMMYFUNCTION("""COMPUTED_VALUE"""),44784)</f>
        <v>44784</v>
      </c>
      <c r="B764" s="6" t="str">
        <f ca="1">IFERROR(__xludf.DUMMYFUNCTION("""COMPUTED_VALUE"""),"My Greens 2021 SL _2022")</f>
        <v>My Greens 2021 SL _2022</v>
      </c>
      <c r="C764" s="6">
        <f ca="1">IFERROR(__xludf.DUMMYFUNCTION("""COMPUTED_VALUE"""),2.5)</f>
        <v>2.5</v>
      </c>
      <c r="D764" s="6" t="str">
        <f ca="1">IFERROR(__xludf.DUMMYFUNCTION("""COMPUTED_VALUE"""),"Life Sciences")</f>
        <v>Life Sciences</v>
      </c>
      <c r="E764" s="6" t="str">
        <f ca="1">IFERROR(__xludf.DUMMYFUNCTION("""COMPUTED_VALUE"""),"Invite Next Year")</f>
        <v>Invite Next Year</v>
      </c>
      <c r="F764" s="6" t="e">
        <f t="shared" ca="1" si="2"/>
        <v>#NAME?</v>
      </c>
    </row>
    <row r="765" spans="1:6">
      <c r="A765" s="199">
        <f ca="1">IFERROR(__xludf.DUMMYFUNCTION("""COMPUTED_VALUE"""),44784)</f>
        <v>44784</v>
      </c>
      <c r="B765" s="6" t="str">
        <f ca="1">IFERROR(__xludf.DUMMYFUNCTION("""COMPUTED_VALUE"""),"BLUEWAVE Technologies _2022")</f>
        <v>BLUEWAVE Technologies _2022</v>
      </c>
      <c r="C765" s="6">
        <f ca="1">IFERROR(__xludf.DUMMYFUNCTION("""COMPUTED_VALUE"""),2.5)</f>
        <v>2.5</v>
      </c>
      <c r="D765" s="6" t="str">
        <f ca="1">IFERROR(__xludf.DUMMYFUNCTION("""COMPUTED_VALUE"""),"Life Sciences")</f>
        <v>Life Sciences</v>
      </c>
      <c r="E765" s="6" t="str">
        <f ca="1">IFERROR(__xludf.DUMMYFUNCTION("""COMPUTED_VALUE"""),"Invite Next Year")</f>
        <v>Invite Next Year</v>
      </c>
      <c r="F765" s="6" t="e">
        <f t="shared" ca="1" si="2"/>
        <v>#NAME?</v>
      </c>
    </row>
    <row r="766" spans="1:6">
      <c r="A766" s="199">
        <f ca="1">IFERROR(__xludf.DUMMYFUNCTION("""COMPUTED_VALUE"""),44784)</f>
        <v>44784</v>
      </c>
      <c r="B766" s="6" t="str">
        <f ca="1">IFERROR(__xludf.DUMMYFUNCTION("""COMPUTED_VALUE"""),"Eco-Panels LLC _2022")</f>
        <v>Eco-Panels LLC _2022</v>
      </c>
      <c r="C766" s="6">
        <f ca="1">IFERROR(__xludf.DUMMYFUNCTION("""COMPUTED_VALUE"""),2.5)</f>
        <v>2.5</v>
      </c>
      <c r="D766" s="6" t="str">
        <f ca="1">IFERROR(__xludf.DUMMYFUNCTION("""COMPUTED_VALUE"""),"Deep Tech")</f>
        <v>Deep Tech</v>
      </c>
      <c r="E766" s="6" t="str">
        <f ca="1">IFERROR(__xludf.DUMMYFUNCTION("""COMPUTED_VALUE"""),"Invite Next Year")</f>
        <v>Invite Next Year</v>
      </c>
      <c r="F766" s="6" t="e">
        <f t="shared" ca="1" si="2"/>
        <v>#NAME?</v>
      </c>
    </row>
    <row r="767" spans="1:6">
      <c r="A767" s="199">
        <f ca="1">IFERROR(__xludf.DUMMYFUNCTION("""COMPUTED_VALUE"""),44784)</f>
        <v>44784</v>
      </c>
      <c r="B767" s="6" t="str">
        <f ca="1">IFERROR(__xludf.DUMMYFUNCTION("""COMPUTED_VALUE"""),"Revamp Moto Pvt. Ltd. _2022")</f>
        <v>Revamp Moto Pvt. Ltd. _2022</v>
      </c>
      <c r="C767" s="6">
        <f ca="1">IFERROR(__xludf.DUMMYFUNCTION("""COMPUTED_VALUE"""),2.5)</f>
        <v>2.5</v>
      </c>
      <c r="D767" s="6" t="str">
        <f ca="1">IFERROR(__xludf.DUMMYFUNCTION("""COMPUTED_VALUE"""),"Deep Tech")</f>
        <v>Deep Tech</v>
      </c>
      <c r="E767" s="6" t="str">
        <f ca="1">IFERROR(__xludf.DUMMYFUNCTION("""COMPUTED_VALUE"""),"Invite Next Year")</f>
        <v>Invite Next Year</v>
      </c>
      <c r="F767" s="6" t="e">
        <f t="shared" ref="F767:F1021" ca="1" si="3">_xludf.IFS(D767="Life Sciences","LS",D767="Digital Tech","DiT",D767="Deep Tech","DT")</f>
        <v>#NAME?</v>
      </c>
    </row>
    <row r="768" spans="1:6">
      <c r="A768" s="199">
        <f ca="1">IFERROR(__xludf.DUMMYFUNCTION("""COMPUTED_VALUE"""),44784)</f>
        <v>44784</v>
      </c>
      <c r="B768" s="6" t="str">
        <f ca="1">IFERROR(__xludf.DUMMYFUNCTION("""COMPUTED_VALUE"""),"PhoneOptika Ltd. _2022")</f>
        <v>PhoneOptika Ltd. _2022</v>
      </c>
      <c r="C768" s="6">
        <f ca="1">IFERROR(__xludf.DUMMYFUNCTION("""COMPUTED_VALUE"""),2.5)</f>
        <v>2.5</v>
      </c>
      <c r="D768" s="6" t="str">
        <f ca="1">IFERROR(__xludf.DUMMYFUNCTION("""COMPUTED_VALUE"""),"Deep Tech")</f>
        <v>Deep Tech</v>
      </c>
      <c r="E768" s="6" t="str">
        <f ca="1">IFERROR(__xludf.DUMMYFUNCTION("""COMPUTED_VALUE"""),"Revisit")</f>
        <v>Revisit</v>
      </c>
      <c r="F768" s="6" t="e">
        <f t="shared" ca="1" si="3"/>
        <v>#NAME?</v>
      </c>
    </row>
    <row r="769" spans="1:6">
      <c r="A769" s="199">
        <f ca="1">IFERROR(__xludf.DUMMYFUNCTION("""COMPUTED_VALUE"""),44784)</f>
        <v>44784</v>
      </c>
      <c r="B769" s="6" t="str">
        <f ca="1">IFERROR(__xludf.DUMMYFUNCTION("""COMPUTED_VALUE"""),"Pajama Cats Media _2022")</f>
        <v>Pajama Cats Media _2022</v>
      </c>
      <c r="C769" s="6">
        <f ca="1">IFERROR(__xludf.DUMMYFUNCTION("""COMPUTED_VALUE"""),2.5)</f>
        <v>2.5</v>
      </c>
      <c r="D769" s="6" t="str">
        <f ca="1">IFERROR(__xludf.DUMMYFUNCTION("""COMPUTED_VALUE"""),"Digital Tech")</f>
        <v>Digital Tech</v>
      </c>
      <c r="E769" s="6" t="str">
        <f ca="1">IFERROR(__xludf.DUMMYFUNCTION("""COMPUTED_VALUE"""),"Invite Next Year")</f>
        <v>Invite Next Year</v>
      </c>
      <c r="F769" s="6" t="e">
        <f t="shared" ca="1" si="3"/>
        <v>#NAME?</v>
      </c>
    </row>
    <row r="770" spans="1:6">
      <c r="A770" s="199">
        <f ca="1">IFERROR(__xludf.DUMMYFUNCTION("""COMPUTED_VALUE"""),44784)</f>
        <v>44784</v>
      </c>
      <c r="B770" s="6" t="str">
        <f ca="1">IFERROR(__xludf.DUMMYFUNCTION("""COMPUTED_VALUE"""),"Deskfirst, Inc. _2022")</f>
        <v>Deskfirst, Inc. _2022</v>
      </c>
      <c r="C770" s="6">
        <f ca="1">IFERROR(__xludf.DUMMYFUNCTION("""COMPUTED_VALUE"""),2.5)</f>
        <v>2.5</v>
      </c>
      <c r="D770" s="6" t="str">
        <f ca="1">IFERROR(__xludf.DUMMYFUNCTION("""COMPUTED_VALUE"""),"Digital Tech")</f>
        <v>Digital Tech</v>
      </c>
      <c r="E770" s="6" t="str">
        <f ca="1">IFERROR(__xludf.DUMMYFUNCTION("""COMPUTED_VALUE"""),"Invite Next Year")</f>
        <v>Invite Next Year</v>
      </c>
      <c r="F770" s="6" t="e">
        <f t="shared" ca="1" si="3"/>
        <v>#NAME?</v>
      </c>
    </row>
    <row r="771" spans="1:6">
      <c r="A771" s="199">
        <f ca="1">IFERROR(__xludf.DUMMYFUNCTION("""COMPUTED_VALUE"""),44784)</f>
        <v>44784</v>
      </c>
      <c r="B771" s="6" t="str">
        <f ca="1">IFERROR(__xludf.DUMMYFUNCTION("""COMPUTED_VALUE"""),"Aequaland Studio SA _2022")</f>
        <v>Aequaland Studio SA _2022</v>
      </c>
      <c r="C771" s="6">
        <f ca="1">IFERROR(__xludf.DUMMYFUNCTION("""COMPUTED_VALUE"""),2.5)</f>
        <v>2.5</v>
      </c>
      <c r="D771" s="6" t="str">
        <f ca="1">IFERROR(__xludf.DUMMYFUNCTION("""COMPUTED_VALUE"""),"Digital Tech")</f>
        <v>Digital Tech</v>
      </c>
      <c r="E771" s="6" t="str">
        <f ca="1">IFERROR(__xludf.DUMMYFUNCTION("""COMPUTED_VALUE"""),"Invite Next Year")</f>
        <v>Invite Next Year</v>
      </c>
      <c r="F771" s="6" t="e">
        <f t="shared" ca="1" si="3"/>
        <v>#NAME?</v>
      </c>
    </row>
    <row r="772" spans="1:6">
      <c r="A772" s="199">
        <f ca="1">IFERROR(__xludf.DUMMYFUNCTION("""COMPUTED_VALUE"""),44784)</f>
        <v>44784</v>
      </c>
      <c r="B772" s="6" t="str">
        <f ca="1">IFERROR(__xludf.DUMMYFUNCTION("""COMPUTED_VALUE"""),"3F Waste Recovery _2022")</f>
        <v>3F Waste Recovery _2022</v>
      </c>
      <c r="C772" s="6">
        <f ca="1">IFERROR(__xludf.DUMMYFUNCTION("""COMPUTED_VALUE"""),2.5)</f>
        <v>2.5</v>
      </c>
      <c r="D772" s="6" t="str">
        <f ca="1">IFERROR(__xludf.DUMMYFUNCTION("""COMPUTED_VALUE"""),"Life Sciences")</f>
        <v>Life Sciences</v>
      </c>
      <c r="E772" s="6" t="str">
        <f ca="1">IFERROR(__xludf.DUMMYFUNCTION("""COMPUTED_VALUE"""),"Invite Next Year")</f>
        <v>Invite Next Year</v>
      </c>
      <c r="F772" s="6" t="e">
        <f t="shared" ca="1" si="3"/>
        <v>#NAME?</v>
      </c>
    </row>
    <row r="773" spans="1:6">
      <c r="A773" s="199">
        <f ca="1">IFERROR(__xludf.DUMMYFUNCTION("""COMPUTED_VALUE"""),44789)</f>
        <v>44789</v>
      </c>
      <c r="B773" s="6" t="str">
        <f ca="1">IFERROR(__xludf.DUMMYFUNCTION("""COMPUTED_VALUE"""),"Alaria Biotech  _2022")</f>
        <v>Alaria Biotech  _2022</v>
      </c>
      <c r="C773" s="6">
        <f ca="1">IFERROR(__xludf.DUMMYFUNCTION("""COMPUTED_VALUE"""),2.5)</f>
        <v>2.5</v>
      </c>
      <c r="D773" s="6" t="str">
        <f ca="1">IFERROR(__xludf.DUMMYFUNCTION("""COMPUTED_VALUE"""),"Life Sciences")</f>
        <v>Life Sciences</v>
      </c>
      <c r="E773" s="6" t="str">
        <f ca="1">IFERROR(__xludf.DUMMYFUNCTION("""COMPUTED_VALUE"""),"Invite Next Year")</f>
        <v>Invite Next Year</v>
      </c>
      <c r="F773" s="6" t="e">
        <f t="shared" ca="1" si="3"/>
        <v>#NAME?</v>
      </c>
    </row>
    <row r="774" spans="1:6">
      <c r="A774" s="199">
        <f ca="1">IFERROR(__xludf.DUMMYFUNCTION("""COMPUTED_VALUE"""),44789)</f>
        <v>44789</v>
      </c>
      <c r="B774" s="6" t="str">
        <f ca="1">IFERROR(__xludf.DUMMYFUNCTION("""COMPUTED_VALUE"""),"Street Farms _2022")</f>
        <v>Street Farms _2022</v>
      </c>
      <c r="C774" s="6">
        <f ca="1">IFERROR(__xludf.DUMMYFUNCTION("""COMPUTED_VALUE"""),2.5)</f>
        <v>2.5</v>
      </c>
      <c r="D774" s="6" t="str">
        <f ca="1">IFERROR(__xludf.DUMMYFUNCTION("""COMPUTED_VALUE"""),"Deep Tech")</f>
        <v>Deep Tech</v>
      </c>
      <c r="E774" s="6" t="str">
        <f ca="1">IFERROR(__xludf.DUMMYFUNCTION("""COMPUTED_VALUE"""),"Invite Next Year")</f>
        <v>Invite Next Year</v>
      </c>
      <c r="F774" s="6" t="e">
        <f t="shared" ca="1" si="3"/>
        <v>#NAME?</v>
      </c>
    </row>
    <row r="775" spans="1:6">
      <c r="A775" s="199">
        <f ca="1">IFERROR(__xludf.DUMMYFUNCTION("""COMPUTED_VALUE"""),44789)</f>
        <v>44789</v>
      </c>
      <c r="B775" s="6" t="str">
        <f ca="1">IFERROR(__xludf.DUMMYFUNCTION("""COMPUTED_VALUE"""),"elovee, Inc. _2022")</f>
        <v>elovee, Inc. _2022</v>
      </c>
      <c r="C775" s="6">
        <f ca="1">IFERROR(__xludf.DUMMYFUNCTION("""COMPUTED_VALUE"""),2.5)</f>
        <v>2.5</v>
      </c>
      <c r="D775" s="6" t="str">
        <f ca="1">IFERROR(__xludf.DUMMYFUNCTION("""COMPUTED_VALUE"""),"Digital Tech")</f>
        <v>Digital Tech</v>
      </c>
      <c r="E775" s="6" t="str">
        <f ca="1">IFERROR(__xludf.DUMMYFUNCTION("""COMPUTED_VALUE"""),"Invite Next Year")</f>
        <v>Invite Next Year</v>
      </c>
      <c r="F775" s="6" t="e">
        <f t="shared" ca="1" si="3"/>
        <v>#NAME?</v>
      </c>
    </row>
    <row r="776" spans="1:6">
      <c r="A776" s="199">
        <f ca="1">IFERROR(__xludf.DUMMYFUNCTION("""COMPUTED_VALUE"""),44789)</f>
        <v>44789</v>
      </c>
      <c r="B776" s="6" t="str">
        <f ca="1">IFERROR(__xludf.DUMMYFUNCTION("""COMPUTED_VALUE"""),"kyron.bio _2022")</f>
        <v>kyron.bio _2022</v>
      </c>
      <c r="C776" s="6">
        <f ca="1">IFERROR(__xludf.DUMMYFUNCTION("""COMPUTED_VALUE"""),2.5)</f>
        <v>2.5</v>
      </c>
      <c r="D776" s="6" t="str">
        <f ca="1">IFERROR(__xludf.DUMMYFUNCTION("""COMPUTED_VALUE"""),"Life Sciences")</f>
        <v>Life Sciences</v>
      </c>
      <c r="E776" s="6" t="str">
        <f ca="1">IFERROR(__xludf.DUMMYFUNCTION("""COMPUTED_VALUE"""),"Invite Next Year")</f>
        <v>Invite Next Year</v>
      </c>
      <c r="F776" s="6" t="e">
        <f t="shared" ca="1" si="3"/>
        <v>#NAME?</v>
      </c>
    </row>
    <row r="777" spans="1:6">
      <c r="A777" s="199">
        <f ca="1">IFERROR(__xludf.DUMMYFUNCTION("""COMPUTED_VALUE"""),44789)</f>
        <v>44789</v>
      </c>
      <c r="B777" s="6" t="str">
        <f ca="1">IFERROR(__xludf.DUMMYFUNCTION("""COMPUTED_VALUE"""),"Mahila Money Pte Ltd _2022")</f>
        <v>Mahila Money Pte Ltd _2022</v>
      </c>
      <c r="C777" s="6">
        <f ca="1">IFERROR(__xludf.DUMMYFUNCTION("""COMPUTED_VALUE"""),2.5)</f>
        <v>2.5</v>
      </c>
      <c r="D777" s="6" t="str">
        <f ca="1">IFERROR(__xludf.DUMMYFUNCTION("""COMPUTED_VALUE"""),"Digital Tech")</f>
        <v>Digital Tech</v>
      </c>
      <c r="E777" s="6" t="str">
        <f ca="1">IFERROR(__xludf.DUMMYFUNCTION("""COMPUTED_VALUE"""),"Invite Next Year")</f>
        <v>Invite Next Year</v>
      </c>
      <c r="F777" s="6" t="e">
        <f t="shared" ca="1" si="3"/>
        <v>#NAME?</v>
      </c>
    </row>
    <row r="778" spans="1:6">
      <c r="A778" s="199">
        <f ca="1">IFERROR(__xludf.DUMMYFUNCTION("""COMPUTED_VALUE"""),44789)</f>
        <v>44789</v>
      </c>
      <c r="B778" s="6" t="str">
        <f ca="1">IFERROR(__xludf.DUMMYFUNCTION("""COMPUTED_VALUE"""),"Re-Colonize _2022")</f>
        <v>Re-Colonize _2022</v>
      </c>
      <c r="C778" s="6">
        <f ca="1">IFERROR(__xludf.DUMMYFUNCTION("""COMPUTED_VALUE"""),2.5)</f>
        <v>2.5</v>
      </c>
      <c r="D778" s="6" t="str">
        <f ca="1">IFERROR(__xludf.DUMMYFUNCTION("""COMPUTED_VALUE"""),"Life Sciences")</f>
        <v>Life Sciences</v>
      </c>
      <c r="E778" s="6" t="str">
        <f ca="1">IFERROR(__xludf.DUMMYFUNCTION("""COMPUTED_VALUE"""),"Invite Next Year")</f>
        <v>Invite Next Year</v>
      </c>
      <c r="F778" s="6" t="e">
        <f t="shared" ca="1" si="3"/>
        <v>#NAME?</v>
      </c>
    </row>
    <row r="779" spans="1:6">
      <c r="A779" s="199">
        <f ca="1">IFERROR(__xludf.DUMMYFUNCTION("""COMPUTED_VALUE"""),44789)</f>
        <v>44789</v>
      </c>
      <c r="B779" s="6" t="str">
        <f ca="1">IFERROR(__xludf.DUMMYFUNCTION("""COMPUTED_VALUE"""),"Portelo _2022")</f>
        <v>Portelo _2022</v>
      </c>
      <c r="C779" s="6">
        <f ca="1">IFERROR(__xludf.DUMMYFUNCTION("""COMPUTED_VALUE"""),2.5)</f>
        <v>2.5</v>
      </c>
      <c r="D779" s="6" t="str">
        <f ca="1">IFERROR(__xludf.DUMMYFUNCTION("""COMPUTED_VALUE"""),"Digital Tech")</f>
        <v>Digital Tech</v>
      </c>
      <c r="E779" s="6" t="str">
        <f ca="1">IFERROR(__xludf.DUMMYFUNCTION("""COMPUTED_VALUE"""),"Invite Next Year")</f>
        <v>Invite Next Year</v>
      </c>
      <c r="F779" s="6" t="e">
        <f t="shared" ca="1" si="3"/>
        <v>#NAME?</v>
      </c>
    </row>
    <row r="780" spans="1:6">
      <c r="A780" s="199">
        <f ca="1">IFERROR(__xludf.DUMMYFUNCTION("""COMPUTED_VALUE"""),44789)</f>
        <v>44789</v>
      </c>
      <c r="B780" s="6" t="str">
        <f ca="1">IFERROR(__xludf.DUMMYFUNCTION("""COMPUTED_VALUE"""),"Clever Forever Education AG _2022")</f>
        <v>Clever Forever Education AG _2022</v>
      </c>
      <c r="C780" s="6">
        <f ca="1">IFERROR(__xludf.DUMMYFUNCTION("""COMPUTED_VALUE"""),2.5)</f>
        <v>2.5</v>
      </c>
      <c r="D780" s="6" t="str">
        <f ca="1">IFERROR(__xludf.DUMMYFUNCTION("""COMPUTED_VALUE"""),"Digital Tech")</f>
        <v>Digital Tech</v>
      </c>
      <c r="E780" s="6" t="str">
        <f ca="1">IFERROR(__xludf.DUMMYFUNCTION("""COMPUTED_VALUE"""),"Invite Next Year")</f>
        <v>Invite Next Year</v>
      </c>
      <c r="F780" s="6" t="e">
        <f t="shared" ca="1" si="3"/>
        <v>#NAME?</v>
      </c>
    </row>
    <row r="781" spans="1:6">
      <c r="A781" s="199">
        <f ca="1">IFERROR(__xludf.DUMMYFUNCTION("""COMPUTED_VALUE"""),44789)</f>
        <v>44789</v>
      </c>
      <c r="B781" s="6" t="str">
        <f ca="1">IFERROR(__xludf.DUMMYFUNCTION("""COMPUTED_VALUE"""),"Vernocular Inc _2022")</f>
        <v>Vernocular Inc _2022</v>
      </c>
      <c r="C781" s="6">
        <f ca="1">IFERROR(__xludf.DUMMYFUNCTION("""COMPUTED_VALUE"""),2.5)</f>
        <v>2.5</v>
      </c>
      <c r="D781" s="6" t="str">
        <f ca="1">IFERROR(__xludf.DUMMYFUNCTION("""COMPUTED_VALUE"""),"Digital Tech")</f>
        <v>Digital Tech</v>
      </c>
      <c r="E781" s="6" t="str">
        <f ca="1">IFERROR(__xludf.DUMMYFUNCTION("""COMPUTED_VALUE"""),"Invite Next Year")</f>
        <v>Invite Next Year</v>
      </c>
      <c r="F781" s="6" t="e">
        <f t="shared" ca="1" si="3"/>
        <v>#NAME?</v>
      </c>
    </row>
    <row r="782" spans="1:6">
      <c r="A782" s="199">
        <f ca="1">IFERROR(__xludf.DUMMYFUNCTION("""COMPUTED_VALUE"""),44791)</f>
        <v>44791</v>
      </c>
      <c r="B782" s="6" t="str">
        <f ca="1">IFERROR(__xludf.DUMMYFUNCTION("""COMPUTED_VALUE"""),"Innov2Learn _2022")</f>
        <v>Innov2Learn _2022</v>
      </c>
      <c r="C782" s="6">
        <f ca="1">IFERROR(__xludf.DUMMYFUNCTION("""COMPUTED_VALUE"""),2.5)</f>
        <v>2.5</v>
      </c>
      <c r="D782" s="6" t="str">
        <f ca="1">IFERROR(__xludf.DUMMYFUNCTION("""COMPUTED_VALUE"""),"Life Sciences")</f>
        <v>Life Sciences</v>
      </c>
      <c r="E782" s="6" t="str">
        <f ca="1">IFERROR(__xludf.DUMMYFUNCTION("""COMPUTED_VALUE"""),"Invite Next Year")</f>
        <v>Invite Next Year</v>
      </c>
      <c r="F782" s="6" t="e">
        <f t="shared" ca="1" si="3"/>
        <v>#NAME?</v>
      </c>
    </row>
    <row r="783" spans="1:6">
      <c r="A783" s="199">
        <f ca="1">IFERROR(__xludf.DUMMYFUNCTION("""COMPUTED_VALUE"""),44791)</f>
        <v>44791</v>
      </c>
      <c r="B783" s="6" t="str">
        <f ca="1">IFERROR(__xludf.DUMMYFUNCTION("""COMPUTED_VALUE"""),"ClinConnect _2022")</f>
        <v>ClinConnect _2022</v>
      </c>
      <c r="C783" s="6">
        <f ca="1">IFERROR(__xludf.DUMMYFUNCTION("""COMPUTED_VALUE"""),2.5)</f>
        <v>2.5</v>
      </c>
      <c r="D783" s="6" t="str">
        <f ca="1">IFERROR(__xludf.DUMMYFUNCTION("""COMPUTED_VALUE"""),"Life Sciences")</f>
        <v>Life Sciences</v>
      </c>
      <c r="E783" s="6" t="str">
        <f ca="1">IFERROR(__xludf.DUMMYFUNCTION("""COMPUTED_VALUE"""),"Invite Next Year")</f>
        <v>Invite Next Year</v>
      </c>
      <c r="F783" s="6" t="e">
        <f t="shared" ca="1" si="3"/>
        <v>#NAME?</v>
      </c>
    </row>
    <row r="784" spans="1:6">
      <c r="A784" s="199">
        <f ca="1">IFERROR(__xludf.DUMMYFUNCTION("""COMPUTED_VALUE"""),44791)</f>
        <v>44791</v>
      </c>
      <c r="B784" s="6" t="str">
        <f ca="1">IFERROR(__xludf.DUMMYFUNCTION("""COMPUTED_VALUE"""),"manot _2022")</f>
        <v>manot _2022</v>
      </c>
      <c r="C784" s="6">
        <f ca="1">IFERROR(__xludf.DUMMYFUNCTION("""COMPUTED_VALUE"""),2.5)</f>
        <v>2.5</v>
      </c>
      <c r="D784" s="6" t="str">
        <f ca="1">IFERROR(__xludf.DUMMYFUNCTION("""COMPUTED_VALUE"""),"Digital Tech")</f>
        <v>Digital Tech</v>
      </c>
      <c r="E784" s="6" t="str">
        <f ca="1">IFERROR(__xludf.DUMMYFUNCTION("""COMPUTED_VALUE"""),"Special Reject")</f>
        <v>Special Reject</v>
      </c>
      <c r="F784" s="6" t="e">
        <f t="shared" ca="1" si="3"/>
        <v>#NAME?</v>
      </c>
    </row>
    <row r="785" spans="1:6">
      <c r="A785" s="199">
        <f ca="1">IFERROR(__xludf.DUMMYFUNCTION("""COMPUTED_VALUE"""),44791)</f>
        <v>44791</v>
      </c>
      <c r="B785" s="6" t="str">
        <f ca="1">IFERROR(__xludf.DUMMYFUNCTION("""COMPUTED_VALUE"""),"Kima _2022")</f>
        <v>Kima _2022</v>
      </c>
      <c r="C785" s="6">
        <f ca="1">IFERROR(__xludf.DUMMYFUNCTION("""COMPUTED_VALUE"""),2.5)</f>
        <v>2.5</v>
      </c>
      <c r="D785" s="6" t="str">
        <f ca="1">IFERROR(__xludf.DUMMYFUNCTION("""COMPUTED_VALUE"""),"Digital Tech")</f>
        <v>Digital Tech</v>
      </c>
      <c r="E785" s="6" t="str">
        <f ca="1">IFERROR(__xludf.DUMMYFUNCTION("""COMPUTED_VALUE"""),"Invite Next Year")</f>
        <v>Invite Next Year</v>
      </c>
      <c r="F785" s="6" t="e">
        <f t="shared" ca="1" si="3"/>
        <v>#NAME?</v>
      </c>
    </row>
    <row r="786" spans="1:6">
      <c r="A786" s="199">
        <f ca="1">IFERROR(__xludf.DUMMYFUNCTION("""COMPUTED_VALUE"""),44791)</f>
        <v>44791</v>
      </c>
      <c r="B786" s="6" t="str">
        <f ca="1">IFERROR(__xludf.DUMMYFUNCTION("""COMPUTED_VALUE"""),"Dandelion Health, Inc. _2022")</f>
        <v>Dandelion Health, Inc. _2022</v>
      </c>
      <c r="C786" s="6">
        <f ca="1">IFERROR(__xludf.DUMMYFUNCTION("""COMPUTED_VALUE"""),2.5)</f>
        <v>2.5</v>
      </c>
      <c r="D786" s="6" t="str">
        <f ca="1">IFERROR(__xludf.DUMMYFUNCTION("""COMPUTED_VALUE"""),"Digital Tech")</f>
        <v>Digital Tech</v>
      </c>
      <c r="E786" s="6" t="str">
        <f ca="1">IFERROR(__xludf.DUMMYFUNCTION("""COMPUTED_VALUE"""),"Invite Next Year")</f>
        <v>Invite Next Year</v>
      </c>
      <c r="F786" s="6" t="e">
        <f t="shared" ca="1" si="3"/>
        <v>#NAME?</v>
      </c>
    </row>
    <row r="787" spans="1:6">
      <c r="A787" s="199">
        <f ca="1">IFERROR(__xludf.DUMMYFUNCTION("""COMPUTED_VALUE"""),44791)</f>
        <v>44791</v>
      </c>
      <c r="B787" s="6" t="str">
        <f ca="1">IFERROR(__xludf.DUMMYFUNCTION("""COMPUTED_VALUE"""),"Cruz Street LLC _2022")</f>
        <v>Cruz Street LLC _2022</v>
      </c>
      <c r="C787" s="6">
        <f ca="1">IFERROR(__xludf.DUMMYFUNCTION("""COMPUTED_VALUE"""),2.5)</f>
        <v>2.5</v>
      </c>
      <c r="D787" s="6" t="str">
        <f ca="1">IFERROR(__xludf.DUMMYFUNCTION("""COMPUTED_VALUE"""),"Digital Tech")</f>
        <v>Digital Tech</v>
      </c>
      <c r="E787" s="6" t="str">
        <f ca="1">IFERROR(__xludf.DUMMYFUNCTION("""COMPUTED_VALUE"""),"Invite Next Year")</f>
        <v>Invite Next Year</v>
      </c>
      <c r="F787" s="6" t="e">
        <f t="shared" ca="1" si="3"/>
        <v>#NAME?</v>
      </c>
    </row>
    <row r="788" spans="1:6">
      <c r="A788" s="199">
        <f ca="1">IFERROR(__xludf.DUMMYFUNCTION("""COMPUTED_VALUE"""),44791)</f>
        <v>44791</v>
      </c>
      <c r="B788" s="6" t="str">
        <f ca="1">IFERROR(__xludf.DUMMYFUNCTION("""COMPUTED_VALUE"""),"Anatomech Private Limited _2022")</f>
        <v>Anatomech Private Limited _2022</v>
      </c>
      <c r="C788" s="6">
        <f ca="1">IFERROR(__xludf.DUMMYFUNCTION("""COMPUTED_VALUE"""),2.5)</f>
        <v>2.5</v>
      </c>
      <c r="D788" s="6" t="str">
        <f ca="1">IFERROR(__xludf.DUMMYFUNCTION("""COMPUTED_VALUE"""),"Deep Tech")</f>
        <v>Deep Tech</v>
      </c>
      <c r="E788" s="6" t="str">
        <f ca="1">IFERROR(__xludf.DUMMYFUNCTION("""COMPUTED_VALUE"""),"Invite Next Year")</f>
        <v>Invite Next Year</v>
      </c>
      <c r="F788" s="6" t="e">
        <f t="shared" ca="1" si="3"/>
        <v>#NAME?</v>
      </c>
    </row>
    <row r="789" spans="1:6">
      <c r="A789" s="199">
        <f ca="1">IFERROR(__xludf.DUMMYFUNCTION("""COMPUTED_VALUE"""),44791)</f>
        <v>44791</v>
      </c>
      <c r="B789" s="6" t="str">
        <f ca="1">IFERROR(__xludf.DUMMYFUNCTION("""COMPUTED_VALUE"""),"Avie AI _2022")</f>
        <v>Avie AI _2022</v>
      </c>
      <c r="C789" s="6">
        <f ca="1">IFERROR(__xludf.DUMMYFUNCTION("""COMPUTED_VALUE"""),2.5)</f>
        <v>2.5</v>
      </c>
      <c r="D789" s="6" t="str">
        <f ca="1">IFERROR(__xludf.DUMMYFUNCTION("""COMPUTED_VALUE"""),"Digital Tech")</f>
        <v>Digital Tech</v>
      </c>
      <c r="E789" s="6" t="str">
        <f ca="1">IFERROR(__xludf.DUMMYFUNCTION("""COMPUTED_VALUE"""),"Invite Next Year")</f>
        <v>Invite Next Year</v>
      </c>
      <c r="F789" s="6" t="e">
        <f t="shared" ca="1" si="3"/>
        <v>#NAME?</v>
      </c>
    </row>
    <row r="790" spans="1:6">
      <c r="A790" s="199">
        <f ca="1">IFERROR(__xludf.DUMMYFUNCTION("""COMPUTED_VALUE"""),44791)</f>
        <v>44791</v>
      </c>
      <c r="B790" s="6" t="str">
        <f ca="1">IFERROR(__xludf.DUMMYFUNCTION("""COMPUTED_VALUE"""),"WERI _2022")</f>
        <v>WERI _2022</v>
      </c>
      <c r="C790" s="6">
        <f ca="1">IFERROR(__xludf.DUMMYFUNCTION("""COMPUTED_VALUE"""),2.5)</f>
        <v>2.5</v>
      </c>
      <c r="D790" s="6" t="str">
        <f ca="1">IFERROR(__xludf.DUMMYFUNCTION("""COMPUTED_VALUE"""),"Digital Tech")</f>
        <v>Digital Tech</v>
      </c>
      <c r="E790" s="6" t="str">
        <f ca="1">IFERROR(__xludf.DUMMYFUNCTION("""COMPUTED_VALUE"""),"Invite Next Year")</f>
        <v>Invite Next Year</v>
      </c>
      <c r="F790" s="6" t="e">
        <f t="shared" ca="1" si="3"/>
        <v>#NAME?</v>
      </c>
    </row>
    <row r="791" spans="1:6">
      <c r="A791" s="199">
        <f ca="1">IFERROR(__xludf.DUMMYFUNCTION("""COMPUTED_VALUE"""),44791)</f>
        <v>44791</v>
      </c>
      <c r="B791" s="6" t="str">
        <f ca="1">IFERROR(__xludf.DUMMYFUNCTION("""COMPUTED_VALUE"""),"HeartHealth Technologies  _2022")</f>
        <v>HeartHealth Technologies  _2022</v>
      </c>
      <c r="C791" s="6">
        <f ca="1">IFERROR(__xludf.DUMMYFUNCTION("""COMPUTED_VALUE"""),2.5)</f>
        <v>2.5</v>
      </c>
      <c r="D791" s="6" t="str">
        <f ca="1">IFERROR(__xludf.DUMMYFUNCTION("""COMPUTED_VALUE"""),"Deep Tech")</f>
        <v>Deep Tech</v>
      </c>
      <c r="E791" s="6" t="str">
        <f ca="1">IFERROR(__xludf.DUMMYFUNCTION("""COMPUTED_VALUE"""),"Invite Next Year")</f>
        <v>Invite Next Year</v>
      </c>
      <c r="F791" s="6" t="e">
        <f t="shared" ca="1" si="3"/>
        <v>#NAME?</v>
      </c>
    </row>
    <row r="792" spans="1:6">
      <c r="A792" s="199">
        <f ca="1">IFERROR(__xludf.DUMMYFUNCTION("""COMPUTED_VALUE"""),44796)</f>
        <v>44796</v>
      </c>
      <c r="B792" s="6" t="str">
        <f ca="1">IFERROR(__xludf.DUMMYFUNCTION("""COMPUTED_VALUE"""),"InsureTax _2022")</f>
        <v>InsureTax _2022</v>
      </c>
      <c r="C792" s="6">
        <f ca="1">IFERROR(__xludf.DUMMYFUNCTION("""COMPUTED_VALUE"""),2.5)</f>
        <v>2.5</v>
      </c>
      <c r="D792" s="6" t="str">
        <f ca="1">IFERROR(__xludf.DUMMYFUNCTION("""COMPUTED_VALUE"""),"Digital Tech")</f>
        <v>Digital Tech</v>
      </c>
      <c r="E792" s="6" t="str">
        <f ca="1">IFERROR(__xludf.DUMMYFUNCTION("""COMPUTED_VALUE"""),"Invite Next Year")</f>
        <v>Invite Next Year</v>
      </c>
      <c r="F792" s="6" t="e">
        <f t="shared" ca="1" si="3"/>
        <v>#NAME?</v>
      </c>
    </row>
    <row r="793" spans="1:6">
      <c r="A793" s="199">
        <f ca="1">IFERROR(__xludf.DUMMYFUNCTION("""COMPUTED_VALUE"""),44796)</f>
        <v>44796</v>
      </c>
      <c r="B793" s="6" t="str">
        <f ca="1">IFERROR(__xludf.DUMMYFUNCTION("""COMPUTED_VALUE"""),"Mirrori _2022")</f>
        <v>Mirrori _2022</v>
      </c>
      <c r="C793" s="6">
        <f ca="1">IFERROR(__xludf.DUMMYFUNCTION("""COMPUTED_VALUE"""),2.5)</f>
        <v>2.5</v>
      </c>
      <c r="D793" s="6" t="str">
        <f ca="1">IFERROR(__xludf.DUMMYFUNCTION("""COMPUTED_VALUE"""),"Digital Tech")</f>
        <v>Digital Tech</v>
      </c>
      <c r="E793" s="6" t="str">
        <f ca="1">IFERROR(__xludf.DUMMYFUNCTION("""COMPUTED_VALUE"""),"Invite Next Year")</f>
        <v>Invite Next Year</v>
      </c>
      <c r="F793" s="6" t="e">
        <f t="shared" ca="1" si="3"/>
        <v>#NAME?</v>
      </c>
    </row>
    <row r="794" spans="1:6">
      <c r="A794" s="199">
        <f ca="1">IFERROR(__xludf.DUMMYFUNCTION("""COMPUTED_VALUE"""),44796)</f>
        <v>44796</v>
      </c>
      <c r="B794" s="6" t="str">
        <f ca="1">IFERROR(__xludf.DUMMYFUNCTION("""COMPUTED_VALUE"""),"Qpick _2022")</f>
        <v>Qpick _2022</v>
      </c>
      <c r="C794" s="6">
        <f ca="1">IFERROR(__xludf.DUMMYFUNCTION("""COMPUTED_VALUE"""),2.5)</f>
        <v>2.5</v>
      </c>
      <c r="D794" s="6" t="str">
        <f ca="1">IFERROR(__xludf.DUMMYFUNCTION("""COMPUTED_VALUE"""),"Digital Tech")</f>
        <v>Digital Tech</v>
      </c>
      <c r="E794" s="6" t="str">
        <f ca="1">IFERROR(__xludf.DUMMYFUNCTION("""COMPUTED_VALUE"""),"Invite Next Year")</f>
        <v>Invite Next Year</v>
      </c>
      <c r="F794" s="6" t="e">
        <f t="shared" ca="1" si="3"/>
        <v>#NAME?</v>
      </c>
    </row>
    <row r="795" spans="1:6">
      <c r="A795" s="199">
        <f ca="1">IFERROR(__xludf.DUMMYFUNCTION("""COMPUTED_VALUE"""),44796)</f>
        <v>44796</v>
      </c>
      <c r="B795" s="6" t="str">
        <f ca="1">IFERROR(__xludf.DUMMYFUNCTION("""COMPUTED_VALUE"""),"Kaboodle, Inc. dba BooCooPets _2022")</f>
        <v>Kaboodle, Inc. dba BooCooPets _2022</v>
      </c>
      <c r="C795" s="6">
        <f ca="1">IFERROR(__xludf.DUMMYFUNCTION("""COMPUTED_VALUE"""),2.5)</f>
        <v>2.5</v>
      </c>
      <c r="D795" s="6" t="str">
        <f ca="1">IFERROR(__xludf.DUMMYFUNCTION("""COMPUTED_VALUE"""),"Digital Tech")</f>
        <v>Digital Tech</v>
      </c>
      <c r="E795" s="6" t="str">
        <f ca="1">IFERROR(__xludf.DUMMYFUNCTION("""COMPUTED_VALUE"""),"Invite Next Year")</f>
        <v>Invite Next Year</v>
      </c>
      <c r="F795" s="6" t="e">
        <f t="shared" ca="1" si="3"/>
        <v>#NAME?</v>
      </c>
    </row>
    <row r="796" spans="1:6">
      <c r="A796" s="199">
        <f ca="1">IFERROR(__xludf.DUMMYFUNCTION("""COMPUTED_VALUE"""),44796)</f>
        <v>44796</v>
      </c>
      <c r="B796" s="6" t="str">
        <f ca="1">IFERROR(__xludf.DUMMYFUNCTION("""COMPUTED_VALUE"""),"Hero Trainer Inc. _2022")</f>
        <v>Hero Trainer Inc. _2022</v>
      </c>
      <c r="C796" s="6">
        <f ca="1">IFERROR(__xludf.DUMMYFUNCTION("""COMPUTED_VALUE"""),2.5)</f>
        <v>2.5</v>
      </c>
      <c r="D796" s="6" t="str">
        <f ca="1">IFERROR(__xludf.DUMMYFUNCTION("""COMPUTED_VALUE"""),"Digital Tech")</f>
        <v>Digital Tech</v>
      </c>
      <c r="E796" s="6" t="str">
        <f ca="1">IFERROR(__xludf.DUMMYFUNCTION("""COMPUTED_VALUE"""),"Invite Next Year")</f>
        <v>Invite Next Year</v>
      </c>
      <c r="F796" s="6" t="e">
        <f t="shared" ca="1" si="3"/>
        <v>#NAME?</v>
      </c>
    </row>
    <row r="797" spans="1:6">
      <c r="A797" s="199">
        <f ca="1">IFERROR(__xludf.DUMMYFUNCTION("""COMPUTED_VALUE"""),44796)</f>
        <v>44796</v>
      </c>
      <c r="B797" s="6" t="str">
        <f ca="1">IFERROR(__xludf.DUMMYFUNCTION("""COMPUTED_VALUE"""),"Seek Health AI _2022")</f>
        <v>Seek Health AI _2022</v>
      </c>
      <c r="C797" s="6">
        <f ca="1">IFERROR(__xludf.DUMMYFUNCTION("""COMPUTED_VALUE"""),2.5)</f>
        <v>2.5</v>
      </c>
      <c r="D797" s="6" t="str">
        <f ca="1">IFERROR(__xludf.DUMMYFUNCTION("""COMPUTED_VALUE"""),"Digital Tech")</f>
        <v>Digital Tech</v>
      </c>
      <c r="E797" s="6" t="str">
        <f ca="1">IFERROR(__xludf.DUMMYFUNCTION("""COMPUTED_VALUE"""),"Invite Next Year")</f>
        <v>Invite Next Year</v>
      </c>
      <c r="F797" s="6" t="e">
        <f t="shared" ca="1" si="3"/>
        <v>#NAME?</v>
      </c>
    </row>
    <row r="798" spans="1:6">
      <c r="A798" s="199">
        <f ca="1">IFERROR(__xludf.DUMMYFUNCTION("""COMPUTED_VALUE"""),44796)</f>
        <v>44796</v>
      </c>
      <c r="B798" s="6" t="str">
        <f ca="1">IFERROR(__xludf.DUMMYFUNCTION("""COMPUTED_VALUE"""),"VitalForm _2022")</f>
        <v>VitalForm _2022</v>
      </c>
      <c r="C798" s="6">
        <f ca="1">IFERROR(__xludf.DUMMYFUNCTION("""COMPUTED_VALUE"""),2.5)</f>
        <v>2.5</v>
      </c>
      <c r="D798" s="6" t="str">
        <f ca="1">IFERROR(__xludf.DUMMYFUNCTION("""COMPUTED_VALUE"""),"Digital Tech")</f>
        <v>Digital Tech</v>
      </c>
      <c r="E798" s="6" t="str">
        <f ca="1">IFERROR(__xludf.DUMMYFUNCTION("""COMPUTED_VALUE"""),"Invite Next Year")</f>
        <v>Invite Next Year</v>
      </c>
      <c r="F798" s="6" t="e">
        <f t="shared" ca="1" si="3"/>
        <v>#NAME?</v>
      </c>
    </row>
    <row r="799" spans="1:6">
      <c r="A799" s="199">
        <f ca="1">IFERROR(__xludf.DUMMYFUNCTION("""COMPUTED_VALUE"""),44796)</f>
        <v>44796</v>
      </c>
      <c r="B799" s="6" t="str">
        <f ca="1">IFERROR(__xludf.DUMMYFUNCTION("""COMPUTED_VALUE"""),"IT'SRAPID _2022")</f>
        <v>IT'SRAPID _2022</v>
      </c>
      <c r="C799" s="6">
        <f ca="1">IFERROR(__xludf.DUMMYFUNCTION("""COMPUTED_VALUE"""),2.5)</f>
        <v>2.5</v>
      </c>
      <c r="D799" s="6" t="str">
        <f ca="1">IFERROR(__xludf.DUMMYFUNCTION("""COMPUTED_VALUE"""),"Digital Tech")</f>
        <v>Digital Tech</v>
      </c>
      <c r="E799" s="6" t="str">
        <f ca="1">IFERROR(__xludf.DUMMYFUNCTION("""COMPUTED_VALUE"""),"Invite Next Year")</f>
        <v>Invite Next Year</v>
      </c>
      <c r="F799" s="6" t="e">
        <f t="shared" ca="1" si="3"/>
        <v>#NAME?</v>
      </c>
    </row>
    <row r="800" spans="1:6">
      <c r="A800" s="199">
        <f ca="1">IFERROR(__xludf.DUMMYFUNCTION("""COMPUTED_VALUE"""),44796)</f>
        <v>44796</v>
      </c>
      <c r="B800" s="6" t="str">
        <f ca="1">IFERROR(__xludf.DUMMYFUNCTION("""COMPUTED_VALUE"""),"Peptris Technologies Private Limited _2022")</f>
        <v>Peptris Technologies Private Limited _2022</v>
      </c>
      <c r="C800" s="6">
        <f ca="1">IFERROR(__xludf.DUMMYFUNCTION("""COMPUTED_VALUE"""),2.5)</f>
        <v>2.5</v>
      </c>
      <c r="D800" s="6" t="str">
        <f ca="1">IFERROR(__xludf.DUMMYFUNCTION("""COMPUTED_VALUE"""),"Life Sciences")</f>
        <v>Life Sciences</v>
      </c>
      <c r="E800" s="6" t="str">
        <f ca="1">IFERROR(__xludf.DUMMYFUNCTION("""COMPUTED_VALUE"""),"Invite Next Year")</f>
        <v>Invite Next Year</v>
      </c>
      <c r="F800" s="6" t="e">
        <f t="shared" ca="1" si="3"/>
        <v>#NAME?</v>
      </c>
    </row>
    <row r="801" spans="1:6">
      <c r="A801" s="199">
        <f ca="1">IFERROR(__xludf.DUMMYFUNCTION("""COMPUTED_VALUE"""),44796)</f>
        <v>44796</v>
      </c>
      <c r="B801" s="6" t="str">
        <f ca="1">IFERROR(__xludf.DUMMYFUNCTION("""COMPUTED_VALUE"""),"Creditchek _2022")</f>
        <v>Creditchek _2022</v>
      </c>
      <c r="C801" s="6">
        <f ca="1">IFERROR(__xludf.DUMMYFUNCTION("""COMPUTED_VALUE"""),2.5)</f>
        <v>2.5</v>
      </c>
      <c r="D801" s="6" t="str">
        <f ca="1">IFERROR(__xludf.DUMMYFUNCTION("""COMPUTED_VALUE"""),"Digital Tech")</f>
        <v>Digital Tech</v>
      </c>
      <c r="E801" s="6" t="str">
        <f ca="1">IFERROR(__xludf.DUMMYFUNCTION("""COMPUTED_VALUE"""),"Invite Next Year")</f>
        <v>Invite Next Year</v>
      </c>
      <c r="F801" s="6" t="e">
        <f t="shared" ca="1" si="3"/>
        <v>#NAME?</v>
      </c>
    </row>
    <row r="802" spans="1:6">
      <c r="A802" s="199">
        <f ca="1">IFERROR(__xludf.DUMMYFUNCTION("""COMPUTED_VALUE"""),44796)</f>
        <v>44796</v>
      </c>
      <c r="B802" s="6" t="str">
        <f ca="1">IFERROR(__xludf.DUMMYFUNCTION("""COMPUTED_VALUE"""),"Vendor Infra Global Private limited _2022")</f>
        <v>Vendor Infra Global Private limited _2022</v>
      </c>
      <c r="C802" s="6">
        <f ca="1">IFERROR(__xludf.DUMMYFUNCTION("""COMPUTED_VALUE"""),2.5)</f>
        <v>2.5</v>
      </c>
      <c r="D802" s="6" t="str">
        <f ca="1">IFERROR(__xludf.DUMMYFUNCTION("""COMPUTED_VALUE"""),"Digital Tech")</f>
        <v>Digital Tech</v>
      </c>
      <c r="E802" s="6" t="str">
        <f ca="1">IFERROR(__xludf.DUMMYFUNCTION("""COMPUTED_VALUE"""),"Invite Next Year")</f>
        <v>Invite Next Year</v>
      </c>
      <c r="F802" s="6" t="e">
        <f t="shared" ca="1" si="3"/>
        <v>#NAME?</v>
      </c>
    </row>
    <row r="803" spans="1:6">
      <c r="A803" s="199">
        <f ca="1">IFERROR(__xludf.DUMMYFUNCTION("""COMPUTED_VALUE"""),44796)</f>
        <v>44796</v>
      </c>
      <c r="B803" s="6" t="str">
        <f ca="1">IFERROR(__xludf.DUMMYFUNCTION("""COMPUTED_VALUE"""),"StartupFuel Inc. _2022")</f>
        <v>StartupFuel Inc. _2022</v>
      </c>
      <c r="C803" s="6">
        <f ca="1">IFERROR(__xludf.DUMMYFUNCTION("""COMPUTED_VALUE"""),2.5)</f>
        <v>2.5</v>
      </c>
      <c r="D803" s="6" t="str">
        <f ca="1">IFERROR(__xludf.DUMMYFUNCTION("""COMPUTED_VALUE"""),"Digital Tech")</f>
        <v>Digital Tech</v>
      </c>
      <c r="E803" s="6" t="str">
        <f ca="1">IFERROR(__xludf.DUMMYFUNCTION("""COMPUTED_VALUE"""),"Invite Next Year")</f>
        <v>Invite Next Year</v>
      </c>
      <c r="F803" s="6" t="e">
        <f t="shared" ca="1" si="3"/>
        <v>#NAME?</v>
      </c>
    </row>
    <row r="804" spans="1:6">
      <c r="A804" s="199">
        <f ca="1">IFERROR(__xludf.DUMMYFUNCTION("""COMPUTED_VALUE"""),44796)</f>
        <v>44796</v>
      </c>
      <c r="B804" s="6" t="str">
        <f ca="1">IFERROR(__xludf.DUMMYFUNCTION("""COMPUTED_VALUE"""),"Poppy Seed Health _2022")</f>
        <v>Poppy Seed Health _2022</v>
      </c>
      <c r="C804" s="6">
        <f ca="1">IFERROR(__xludf.DUMMYFUNCTION("""COMPUTED_VALUE"""),2.5)</f>
        <v>2.5</v>
      </c>
      <c r="D804" s="6" t="str">
        <f ca="1">IFERROR(__xludf.DUMMYFUNCTION("""COMPUTED_VALUE"""),"Digital Tech")</f>
        <v>Digital Tech</v>
      </c>
      <c r="E804" s="6" t="str">
        <f ca="1">IFERROR(__xludf.DUMMYFUNCTION("""COMPUTED_VALUE"""),"Invite Next Year")</f>
        <v>Invite Next Year</v>
      </c>
      <c r="F804" s="6" t="e">
        <f t="shared" ca="1" si="3"/>
        <v>#NAME?</v>
      </c>
    </row>
    <row r="805" spans="1:6">
      <c r="A805" s="199">
        <f ca="1">IFERROR(__xludf.DUMMYFUNCTION("""COMPUTED_VALUE"""),44796)</f>
        <v>44796</v>
      </c>
      <c r="B805" s="6" t="str">
        <f ca="1">IFERROR(__xludf.DUMMYFUNCTION("""COMPUTED_VALUE"""),"Clastr _2022")</f>
        <v>Clastr _2022</v>
      </c>
      <c r="C805" s="6">
        <f ca="1">IFERROR(__xludf.DUMMYFUNCTION("""COMPUTED_VALUE"""),2.5)</f>
        <v>2.5</v>
      </c>
      <c r="D805" s="6" t="str">
        <f ca="1">IFERROR(__xludf.DUMMYFUNCTION("""COMPUTED_VALUE"""),"Digital Tech")</f>
        <v>Digital Tech</v>
      </c>
      <c r="E805" s="6" t="str">
        <f ca="1">IFERROR(__xludf.DUMMYFUNCTION("""COMPUTED_VALUE"""),"Invite Next Year")</f>
        <v>Invite Next Year</v>
      </c>
      <c r="F805" s="6" t="e">
        <f t="shared" ca="1" si="3"/>
        <v>#NAME?</v>
      </c>
    </row>
    <row r="806" spans="1:6">
      <c r="A806" s="199">
        <f ca="1">IFERROR(__xludf.DUMMYFUNCTION("""COMPUTED_VALUE"""),44796)</f>
        <v>44796</v>
      </c>
      <c r="B806" s="6" t="str">
        <f ca="1">IFERROR(__xludf.DUMMYFUNCTION("""COMPUTED_VALUE"""),"Slap, Inc. _2022")</f>
        <v>Slap, Inc. _2022</v>
      </c>
      <c r="C806" s="6">
        <f ca="1">IFERROR(__xludf.DUMMYFUNCTION("""COMPUTED_VALUE"""),2.5)</f>
        <v>2.5</v>
      </c>
      <c r="D806" s="6" t="str">
        <f ca="1">IFERROR(__xludf.DUMMYFUNCTION("""COMPUTED_VALUE"""),"Digital Tech")</f>
        <v>Digital Tech</v>
      </c>
      <c r="E806" s="6" t="str">
        <f ca="1">IFERROR(__xludf.DUMMYFUNCTION("""COMPUTED_VALUE"""),"Invite Next Year")</f>
        <v>Invite Next Year</v>
      </c>
      <c r="F806" s="6" t="e">
        <f t="shared" ca="1" si="3"/>
        <v>#NAME?</v>
      </c>
    </row>
    <row r="807" spans="1:6">
      <c r="A807" s="199">
        <f ca="1">IFERROR(__xludf.DUMMYFUNCTION("""COMPUTED_VALUE"""),44796)</f>
        <v>44796</v>
      </c>
      <c r="B807" s="6" t="str">
        <f ca="1">IFERROR(__xludf.DUMMYFUNCTION("""COMPUTED_VALUE"""),"BlueFairy, Inc. _2022")</f>
        <v>BlueFairy, Inc. _2022</v>
      </c>
      <c r="C807" s="6">
        <f ca="1">IFERROR(__xludf.DUMMYFUNCTION("""COMPUTED_VALUE"""),2.5)</f>
        <v>2.5</v>
      </c>
      <c r="D807" s="6" t="str">
        <f ca="1">IFERROR(__xludf.DUMMYFUNCTION("""COMPUTED_VALUE"""),"Digital Tech")</f>
        <v>Digital Tech</v>
      </c>
      <c r="E807" s="6" t="str">
        <f ca="1">IFERROR(__xludf.DUMMYFUNCTION("""COMPUTED_VALUE"""),"Invite Next Year")</f>
        <v>Invite Next Year</v>
      </c>
      <c r="F807" s="6" t="e">
        <f t="shared" ca="1" si="3"/>
        <v>#NAME?</v>
      </c>
    </row>
    <row r="808" spans="1:6">
      <c r="A808" s="199">
        <f ca="1">IFERROR(__xludf.DUMMYFUNCTION("""COMPUTED_VALUE"""),44796)</f>
        <v>44796</v>
      </c>
      <c r="B808" s="6" t="str">
        <f ca="1">IFERROR(__xludf.DUMMYFUNCTION("""COMPUTED_VALUE"""),"Norebase Limited _2022")</f>
        <v>Norebase Limited _2022</v>
      </c>
      <c r="C808" s="6">
        <f ca="1">IFERROR(__xludf.DUMMYFUNCTION("""COMPUTED_VALUE"""),2.5)</f>
        <v>2.5</v>
      </c>
      <c r="D808" s="6" t="str">
        <f ca="1">IFERROR(__xludf.DUMMYFUNCTION("""COMPUTED_VALUE"""),"Digital Tech")</f>
        <v>Digital Tech</v>
      </c>
      <c r="E808" s="6" t="str">
        <f ca="1">IFERROR(__xludf.DUMMYFUNCTION("""COMPUTED_VALUE"""),"Invite Next Year")</f>
        <v>Invite Next Year</v>
      </c>
      <c r="F808" s="6" t="e">
        <f t="shared" ca="1" si="3"/>
        <v>#NAME?</v>
      </c>
    </row>
    <row r="809" spans="1:6">
      <c r="A809" s="199">
        <f ca="1">IFERROR(__xludf.DUMMYFUNCTION("""COMPUTED_VALUE"""),44796)</f>
        <v>44796</v>
      </c>
      <c r="B809" s="6" t="str">
        <f ca="1">IFERROR(__xludf.DUMMYFUNCTION("""COMPUTED_VALUE"""),"Arceum Inc. _2022")</f>
        <v>Arceum Inc. _2022</v>
      </c>
      <c r="C809" s="6">
        <f ca="1">IFERROR(__xludf.DUMMYFUNCTION("""COMPUTED_VALUE"""),2.5)</f>
        <v>2.5</v>
      </c>
      <c r="D809" s="6" t="str">
        <f ca="1">IFERROR(__xludf.DUMMYFUNCTION("""COMPUTED_VALUE"""),"Digital Tech")</f>
        <v>Digital Tech</v>
      </c>
      <c r="E809" s="6" t="str">
        <f ca="1">IFERROR(__xludf.DUMMYFUNCTION("""COMPUTED_VALUE"""),"Invite Next Year")</f>
        <v>Invite Next Year</v>
      </c>
      <c r="F809" s="6" t="e">
        <f t="shared" ca="1" si="3"/>
        <v>#NAME?</v>
      </c>
    </row>
    <row r="810" spans="1:6">
      <c r="A810" s="199">
        <f ca="1">IFERROR(__xludf.DUMMYFUNCTION("""COMPUTED_VALUE"""),44796)</f>
        <v>44796</v>
      </c>
      <c r="B810" s="6" t="str">
        <f ca="1">IFERROR(__xludf.DUMMYFUNCTION("""COMPUTED_VALUE"""),"MegaMinds _2022")</f>
        <v>MegaMinds _2022</v>
      </c>
      <c r="C810" s="6">
        <f ca="1">IFERROR(__xludf.DUMMYFUNCTION("""COMPUTED_VALUE"""),2.5)</f>
        <v>2.5</v>
      </c>
      <c r="D810" s="6" t="str">
        <f ca="1">IFERROR(__xludf.DUMMYFUNCTION("""COMPUTED_VALUE"""),"Digital Tech")</f>
        <v>Digital Tech</v>
      </c>
      <c r="E810" s="6" t="str">
        <f ca="1">IFERROR(__xludf.DUMMYFUNCTION("""COMPUTED_VALUE"""),"Invite Next Year")</f>
        <v>Invite Next Year</v>
      </c>
      <c r="F810" s="6" t="e">
        <f t="shared" ca="1" si="3"/>
        <v>#NAME?</v>
      </c>
    </row>
    <row r="811" spans="1:6">
      <c r="A811" s="199">
        <f ca="1">IFERROR(__xludf.DUMMYFUNCTION("""COMPUTED_VALUE"""),44796)</f>
        <v>44796</v>
      </c>
      <c r="B811" s="6" t="str">
        <f ca="1">IFERROR(__xludf.DUMMYFUNCTION("""COMPUTED_VALUE"""),"VoteOurVoice, Inc.  _2022")</f>
        <v>VoteOurVoice, Inc.  _2022</v>
      </c>
      <c r="C811" s="6">
        <f ca="1">IFERROR(__xludf.DUMMYFUNCTION("""COMPUTED_VALUE"""),2.5)</f>
        <v>2.5</v>
      </c>
      <c r="D811" s="6" t="str">
        <f ca="1">IFERROR(__xludf.DUMMYFUNCTION("""COMPUTED_VALUE"""),"Deep Tech")</f>
        <v>Deep Tech</v>
      </c>
      <c r="E811" s="6" t="str">
        <f ca="1">IFERROR(__xludf.DUMMYFUNCTION("""COMPUTED_VALUE"""),"Invite Next Year")</f>
        <v>Invite Next Year</v>
      </c>
      <c r="F811" s="6" t="e">
        <f t="shared" ca="1" si="3"/>
        <v>#NAME?</v>
      </c>
    </row>
    <row r="812" spans="1:6">
      <c r="A812" s="199">
        <f ca="1">IFERROR(__xludf.DUMMYFUNCTION("""COMPUTED_VALUE"""),44796)</f>
        <v>44796</v>
      </c>
      <c r="B812" s="6" t="str">
        <f ca="1">IFERROR(__xludf.DUMMYFUNCTION("""COMPUTED_VALUE"""),"AnyFans Inc _2022")</f>
        <v>AnyFans Inc _2022</v>
      </c>
      <c r="C812" s="6">
        <f ca="1">IFERROR(__xludf.DUMMYFUNCTION("""COMPUTED_VALUE"""),2.5)</f>
        <v>2.5</v>
      </c>
      <c r="D812" s="6" t="str">
        <f ca="1">IFERROR(__xludf.DUMMYFUNCTION("""COMPUTED_VALUE"""),"Digital Tech")</f>
        <v>Digital Tech</v>
      </c>
      <c r="E812" s="6" t="str">
        <f ca="1">IFERROR(__xludf.DUMMYFUNCTION("""COMPUTED_VALUE"""),"Invite Next Year")</f>
        <v>Invite Next Year</v>
      </c>
      <c r="F812" s="6" t="e">
        <f t="shared" ca="1" si="3"/>
        <v>#NAME?</v>
      </c>
    </row>
    <row r="813" spans="1:6">
      <c r="A813" s="199">
        <f ca="1">IFERROR(__xludf.DUMMYFUNCTION("""COMPUTED_VALUE"""),44796)</f>
        <v>44796</v>
      </c>
      <c r="B813" s="6" t="str">
        <f ca="1">IFERROR(__xludf.DUMMYFUNCTION("""COMPUTED_VALUE"""),"Roleshare _2022")</f>
        <v>Roleshare _2022</v>
      </c>
      <c r="C813" s="6">
        <f ca="1">IFERROR(__xludf.DUMMYFUNCTION("""COMPUTED_VALUE"""),2.5)</f>
        <v>2.5</v>
      </c>
      <c r="D813" s="6" t="str">
        <f ca="1">IFERROR(__xludf.DUMMYFUNCTION("""COMPUTED_VALUE"""),"Digital Tech")</f>
        <v>Digital Tech</v>
      </c>
      <c r="E813" s="6" t="str">
        <f ca="1">IFERROR(__xludf.DUMMYFUNCTION("""COMPUTED_VALUE"""),"Invite Next Year")</f>
        <v>Invite Next Year</v>
      </c>
      <c r="F813" s="6" t="e">
        <f t="shared" ca="1" si="3"/>
        <v>#NAME?</v>
      </c>
    </row>
    <row r="814" spans="1:6">
      <c r="A814" s="199">
        <f ca="1">IFERROR(__xludf.DUMMYFUNCTION("""COMPUTED_VALUE"""),44796)</f>
        <v>44796</v>
      </c>
      <c r="B814" s="6" t="str">
        <f ca="1">IFERROR(__xludf.DUMMYFUNCTION("""COMPUTED_VALUE"""),"Matdun _2022")</f>
        <v>Matdun _2022</v>
      </c>
      <c r="C814" s="6">
        <f ca="1">IFERROR(__xludf.DUMMYFUNCTION("""COMPUTED_VALUE"""),2.5)</f>
        <v>2.5</v>
      </c>
      <c r="D814" s="6" t="str">
        <f ca="1">IFERROR(__xludf.DUMMYFUNCTION("""COMPUTED_VALUE"""),"Digital Tech")</f>
        <v>Digital Tech</v>
      </c>
      <c r="E814" s="6" t="str">
        <f ca="1">IFERROR(__xludf.DUMMYFUNCTION("""COMPUTED_VALUE"""),"Invite Next Year")</f>
        <v>Invite Next Year</v>
      </c>
      <c r="F814" s="6" t="e">
        <f t="shared" ca="1" si="3"/>
        <v>#NAME?</v>
      </c>
    </row>
    <row r="815" spans="1:6">
      <c r="A815" s="199">
        <f ca="1">IFERROR(__xludf.DUMMYFUNCTION("""COMPUTED_VALUE"""),44796)</f>
        <v>44796</v>
      </c>
      <c r="B815" s="6" t="str">
        <f ca="1">IFERROR(__xludf.DUMMYFUNCTION("""COMPUTED_VALUE"""),"Techfunic _2022")</f>
        <v>Techfunic _2022</v>
      </c>
      <c r="C815" s="6">
        <f ca="1">IFERROR(__xludf.DUMMYFUNCTION("""COMPUTED_VALUE"""),2.5)</f>
        <v>2.5</v>
      </c>
      <c r="D815" s="6" t="str">
        <f ca="1">IFERROR(__xludf.DUMMYFUNCTION("""COMPUTED_VALUE"""),"Digital Tech")</f>
        <v>Digital Tech</v>
      </c>
      <c r="E815" s="6" t="str">
        <f ca="1">IFERROR(__xludf.DUMMYFUNCTION("""COMPUTED_VALUE"""),"Invite Next Year")</f>
        <v>Invite Next Year</v>
      </c>
      <c r="F815" s="6" t="e">
        <f t="shared" ca="1" si="3"/>
        <v>#NAME?</v>
      </c>
    </row>
    <row r="816" spans="1:6">
      <c r="A816" s="199">
        <f ca="1">IFERROR(__xludf.DUMMYFUNCTION("""COMPUTED_VALUE"""),44796)</f>
        <v>44796</v>
      </c>
      <c r="B816" s="6" t="str">
        <f ca="1">IFERROR(__xludf.DUMMYFUNCTION("""COMPUTED_VALUE"""),"Dentia, Inc _2022")</f>
        <v>Dentia, Inc _2022</v>
      </c>
      <c r="C816" s="6">
        <f ca="1">IFERROR(__xludf.DUMMYFUNCTION("""COMPUTED_VALUE"""),2.5)</f>
        <v>2.5</v>
      </c>
      <c r="D816" s="6" t="str">
        <f ca="1">IFERROR(__xludf.DUMMYFUNCTION("""COMPUTED_VALUE"""),"Life Sciences")</f>
        <v>Life Sciences</v>
      </c>
      <c r="E816" s="6" t="str">
        <f ca="1">IFERROR(__xludf.DUMMYFUNCTION("""COMPUTED_VALUE"""),"Invite Next Year")</f>
        <v>Invite Next Year</v>
      </c>
      <c r="F816" s="6" t="e">
        <f t="shared" ca="1" si="3"/>
        <v>#NAME?</v>
      </c>
    </row>
    <row r="817" spans="1:6">
      <c r="A817" s="199">
        <f ca="1">IFERROR(__xludf.DUMMYFUNCTION("""COMPUTED_VALUE"""),44796)</f>
        <v>44796</v>
      </c>
      <c r="B817" s="6" t="str">
        <f ca="1">IFERROR(__xludf.DUMMYFUNCTION("""COMPUTED_VALUE"""),"CodeGem _2022")</f>
        <v>CodeGem _2022</v>
      </c>
      <c r="C817" s="6">
        <f ca="1">IFERROR(__xludf.DUMMYFUNCTION("""COMPUTED_VALUE"""),2.5)</f>
        <v>2.5</v>
      </c>
      <c r="D817" s="6" t="str">
        <f ca="1">IFERROR(__xludf.DUMMYFUNCTION("""COMPUTED_VALUE"""),"Digital Tech")</f>
        <v>Digital Tech</v>
      </c>
      <c r="E817" s="6" t="str">
        <f ca="1">IFERROR(__xludf.DUMMYFUNCTION("""COMPUTED_VALUE"""),"Invite Next Year")</f>
        <v>Invite Next Year</v>
      </c>
      <c r="F817" s="6" t="e">
        <f t="shared" ca="1" si="3"/>
        <v>#NAME?</v>
      </c>
    </row>
    <row r="818" spans="1:6">
      <c r="A818" s="199">
        <f ca="1">IFERROR(__xludf.DUMMYFUNCTION("""COMPUTED_VALUE"""),44796)</f>
        <v>44796</v>
      </c>
      <c r="B818" s="6" t="str">
        <f ca="1">IFERROR(__xludf.DUMMYFUNCTION("""COMPUTED_VALUE"""),"StreamBee _2022")</f>
        <v>StreamBee _2022</v>
      </c>
      <c r="C818" s="6">
        <f ca="1">IFERROR(__xludf.DUMMYFUNCTION("""COMPUTED_VALUE"""),2.5)</f>
        <v>2.5</v>
      </c>
      <c r="D818" s="6" t="str">
        <f ca="1">IFERROR(__xludf.DUMMYFUNCTION("""COMPUTED_VALUE"""),"Digital Tech")</f>
        <v>Digital Tech</v>
      </c>
      <c r="E818" s="6" t="str">
        <f ca="1">IFERROR(__xludf.DUMMYFUNCTION("""COMPUTED_VALUE"""),"Invite Next Year")</f>
        <v>Invite Next Year</v>
      </c>
      <c r="F818" s="6" t="e">
        <f t="shared" ca="1" si="3"/>
        <v>#NAME?</v>
      </c>
    </row>
    <row r="819" spans="1:6">
      <c r="A819" s="199">
        <f ca="1">IFERROR(__xludf.DUMMYFUNCTION("""COMPUTED_VALUE"""),44796)</f>
        <v>44796</v>
      </c>
      <c r="B819" s="6" t="str">
        <f ca="1">IFERROR(__xludf.DUMMYFUNCTION("""COMPUTED_VALUE"""),"Surplusmap AS _2022")</f>
        <v>Surplusmap AS _2022</v>
      </c>
      <c r="C819" s="6">
        <f ca="1">IFERROR(__xludf.DUMMYFUNCTION("""COMPUTED_VALUE"""),2.5)</f>
        <v>2.5</v>
      </c>
      <c r="D819" s="6" t="str">
        <f ca="1">IFERROR(__xludf.DUMMYFUNCTION("""COMPUTED_VALUE"""),"Deep Tech")</f>
        <v>Deep Tech</v>
      </c>
      <c r="E819" s="6" t="str">
        <f ca="1">IFERROR(__xludf.DUMMYFUNCTION("""COMPUTED_VALUE"""),"Invite Next Year")</f>
        <v>Invite Next Year</v>
      </c>
      <c r="F819" s="6" t="e">
        <f t="shared" ca="1" si="3"/>
        <v>#NAME?</v>
      </c>
    </row>
    <row r="820" spans="1:6">
      <c r="A820" s="199">
        <f ca="1">IFERROR(__xludf.DUMMYFUNCTION("""COMPUTED_VALUE"""),44796)</f>
        <v>44796</v>
      </c>
      <c r="B820" s="6" t="str">
        <f ca="1">IFERROR(__xludf.DUMMYFUNCTION("""COMPUTED_VALUE"""),"Hadada Global Limited _2022")</f>
        <v>Hadada Global Limited _2022</v>
      </c>
      <c r="C820" s="6">
        <f ca="1">IFERROR(__xludf.DUMMYFUNCTION("""COMPUTED_VALUE"""),2.5)</f>
        <v>2.5</v>
      </c>
      <c r="D820" s="6" t="str">
        <f ca="1">IFERROR(__xludf.DUMMYFUNCTION("""COMPUTED_VALUE"""),"Digital Tech")</f>
        <v>Digital Tech</v>
      </c>
      <c r="E820" s="6" t="str">
        <f ca="1">IFERROR(__xludf.DUMMYFUNCTION("""COMPUTED_VALUE"""),"Invite Next Year")</f>
        <v>Invite Next Year</v>
      </c>
      <c r="F820" s="6" t="e">
        <f t="shared" ca="1" si="3"/>
        <v>#NAME?</v>
      </c>
    </row>
    <row r="821" spans="1:6">
      <c r="A821" s="199">
        <f ca="1">IFERROR(__xludf.DUMMYFUNCTION("""COMPUTED_VALUE"""),44796)</f>
        <v>44796</v>
      </c>
      <c r="B821" s="6" t="str">
        <f ca="1">IFERROR(__xludf.DUMMYFUNCTION("""COMPUTED_VALUE"""),"Rubato _2022")</f>
        <v>Rubato _2022</v>
      </c>
      <c r="C821" s="6">
        <f ca="1">IFERROR(__xludf.DUMMYFUNCTION("""COMPUTED_VALUE"""),2.5)</f>
        <v>2.5</v>
      </c>
      <c r="D821" s="6" t="str">
        <f ca="1">IFERROR(__xludf.DUMMYFUNCTION("""COMPUTED_VALUE"""),"Digital Tech")</f>
        <v>Digital Tech</v>
      </c>
      <c r="E821" s="6" t="str">
        <f ca="1">IFERROR(__xludf.DUMMYFUNCTION("""COMPUTED_VALUE"""),"Invite Next Year")</f>
        <v>Invite Next Year</v>
      </c>
      <c r="F821" s="6" t="e">
        <f t="shared" ca="1" si="3"/>
        <v>#NAME?</v>
      </c>
    </row>
    <row r="822" spans="1:6">
      <c r="A822" s="199">
        <f ca="1">IFERROR(__xludf.DUMMYFUNCTION("""COMPUTED_VALUE"""),44796)</f>
        <v>44796</v>
      </c>
      <c r="B822" s="6" t="str">
        <f ca="1">IFERROR(__xludf.DUMMYFUNCTION("""COMPUTED_VALUE"""),"iPondr SBC _2022")</f>
        <v>iPondr SBC _2022</v>
      </c>
      <c r="C822" s="6">
        <f ca="1">IFERROR(__xludf.DUMMYFUNCTION("""COMPUTED_VALUE"""),2.5)</f>
        <v>2.5</v>
      </c>
      <c r="D822" s="6" t="str">
        <f ca="1">IFERROR(__xludf.DUMMYFUNCTION("""COMPUTED_VALUE"""),"Digital Tech")</f>
        <v>Digital Tech</v>
      </c>
      <c r="E822" s="6" t="str">
        <f ca="1">IFERROR(__xludf.DUMMYFUNCTION("""COMPUTED_VALUE"""),"Invite Next Year")</f>
        <v>Invite Next Year</v>
      </c>
      <c r="F822" s="6" t="e">
        <f t="shared" ca="1" si="3"/>
        <v>#NAME?</v>
      </c>
    </row>
    <row r="823" spans="1:6">
      <c r="A823" s="199">
        <f ca="1">IFERROR(__xludf.DUMMYFUNCTION("""COMPUTED_VALUE"""),44797)</f>
        <v>44797</v>
      </c>
      <c r="B823" s="6" t="str">
        <f ca="1">IFERROR(__xludf.DUMMYFUNCTION("""COMPUTED_VALUE"""),"Telebionix _2022")</f>
        <v>Telebionix _2022</v>
      </c>
      <c r="C823" s="6">
        <f ca="1">IFERROR(__xludf.DUMMYFUNCTION("""COMPUTED_VALUE"""),2.5)</f>
        <v>2.5</v>
      </c>
      <c r="D823" s="6" t="str">
        <f ca="1">IFERROR(__xludf.DUMMYFUNCTION("""COMPUTED_VALUE"""),"Digital Tech")</f>
        <v>Digital Tech</v>
      </c>
      <c r="E823" s="6" t="str">
        <f ca="1">IFERROR(__xludf.DUMMYFUNCTION("""COMPUTED_VALUE"""),"Invite Next Year")</f>
        <v>Invite Next Year</v>
      </c>
      <c r="F823" s="6" t="e">
        <f t="shared" ca="1" si="3"/>
        <v>#NAME?</v>
      </c>
    </row>
    <row r="824" spans="1:6">
      <c r="A824" s="199">
        <f ca="1">IFERROR(__xludf.DUMMYFUNCTION("""COMPUTED_VALUE"""),44797)</f>
        <v>44797</v>
      </c>
      <c r="B824" s="6" t="str">
        <f ca="1">IFERROR(__xludf.DUMMYFUNCTION("""COMPUTED_VALUE"""),"Norma _2022")</f>
        <v>Norma _2022</v>
      </c>
      <c r="C824" s="6">
        <f ca="1">IFERROR(__xludf.DUMMYFUNCTION("""COMPUTED_VALUE"""),2.5)</f>
        <v>2.5</v>
      </c>
      <c r="D824" s="6" t="str">
        <f ca="1">IFERROR(__xludf.DUMMYFUNCTION("""COMPUTED_VALUE"""),"Digital Tech")</f>
        <v>Digital Tech</v>
      </c>
      <c r="E824" s="6" t="str">
        <f ca="1">IFERROR(__xludf.DUMMYFUNCTION("""COMPUTED_VALUE"""),"Invite Next Year")</f>
        <v>Invite Next Year</v>
      </c>
      <c r="F824" s="6" t="e">
        <f t="shared" ca="1" si="3"/>
        <v>#NAME?</v>
      </c>
    </row>
    <row r="825" spans="1:6">
      <c r="A825" s="199">
        <f ca="1">IFERROR(__xludf.DUMMYFUNCTION("""COMPUTED_VALUE"""),44797)</f>
        <v>44797</v>
      </c>
      <c r="B825" s="6" t="str">
        <f ca="1">IFERROR(__xludf.DUMMYFUNCTION("""COMPUTED_VALUE"""),"SSP Software, LLC _2022")</f>
        <v>SSP Software, LLC _2022</v>
      </c>
      <c r="C825" s="6">
        <f ca="1">IFERROR(__xludf.DUMMYFUNCTION("""COMPUTED_VALUE"""),2.5)</f>
        <v>2.5</v>
      </c>
      <c r="D825" s="6" t="str">
        <f ca="1">IFERROR(__xludf.DUMMYFUNCTION("""COMPUTED_VALUE"""),"Digital Tech")</f>
        <v>Digital Tech</v>
      </c>
      <c r="E825" s="6" t="str">
        <f ca="1">IFERROR(__xludf.DUMMYFUNCTION("""COMPUTED_VALUE"""),"Invite Next Year")</f>
        <v>Invite Next Year</v>
      </c>
      <c r="F825" s="6" t="e">
        <f t="shared" ca="1" si="3"/>
        <v>#NAME?</v>
      </c>
    </row>
    <row r="826" spans="1:6">
      <c r="A826" s="199">
        <f ca="1">IFERROR(__xludf.DUMMYFUNCTION("""COMPUTED_VALUE"""),44797)</f>
        <v>44797</v>
      </c>
      <c r="B826" s="6" t="str">
        <f ca="1">IFERROR(__xludf.DUMMYFUNCTION("""COMPUTED_VALUE"""),"Quota _2022")</f>
        <v>Quota _2022</v>
      </c>
      <c r="C826" s="6">
        <f ca="1">IFERROR(__xludf.DUMMYFUNCTION("""COMPUTED_VALUE"""),2.5)</f>
        <v>2.5</v>
      </c>
      <c r="D826" s="6" t="str">
        <f ca="1">IFERROR(__xludf.DUMMYFUNCTION("""COMPUTED_VALUE"""),"Digital Tech")</f>
        <v>Digital Tech</v>
      </c>
      <c r="E826" s="6" t="str">
        <f ca="1">IFERROR(__xludf.DUMMYFUNCTION("""COMPUTED_VALUE"""),"Invite Next Year")</f>
        <v>Invite Next Year</v>
      </c>
      <c r="F826" s="6" t="e">
        <f t="shared" ca="1" si="3"/>
        <v>#NAME?</v>
      </c>
    </row>
    <row r="827" spans="1:6">
      <c r="A827" s="199">
        <f ca="1">IFERROR(__xludf.DUMMYFUNCTION("""COMPUTED_VALUE"""),44797)</f>
        <v>44797</v>
      </c>
      <c r="B827" s="6" t="str">
        <f ca="1">IFERROR(__xludf.DUMMYFUNCTION("""COMPUTED_VALUE"""),"Cinference _2022")</f>
        <v>Cinference _2022</v>
      </c>
      <c r="C827" s="6">
        <f ca="1">IFERROR(__xludf.DUMMYFUNCTION("""COMPUTED_VALUE"""),2.5)</f>
        <v>2.5</v>
      </c>
      <c r="D827" s="6" t="str">
        <f ca="1">IFERROR(__xludf.DUMMYFUNCTION("""COMPUTED_VALUE"""),"Life Sciences")</f>
        <v>Life Sciences</v>
      </c>
      <c r="E827" s="6" t="str">
        <f ca="1">IFERROR(__xludf.DUMMYFUNCTION("""COMPUTED_VALUE"""),"Invite Next Year")</f>
        <v>Invite Next Year</v>
      </c>
      <c r="F827" s="6" t="e">
        <f t="shared" ca="1" si="3"/>
        <v>#NAME?</v>
      </c>
    </row>
    <row r="828" spans="1:6">
      <c r="A828" s="199">
        <f ca="1">IFERROR(__xludf.DUMMYFUNCTION("""COMPUTED_VALUE"""),44797)</f>
        <v>44797</v>
      </c>
      <c r="B828" s="6" t="str">
        <f ca="1">IFERROR(__xludf.DUMMYFUNCTION("""COMPUTED_VALUE"""),"Igugu Global _2022")</f>
        <v>Igugu Global _2022</v>
      </c>
      <c r="C828" s="6">
        <f ca="1">IFERROR(__xludf.DUMMYFUNCTION("""COMPUTED_VALUE"""),2.5)</f>
        <v>2.5</v>
      </c>
      <c r="D828" s="6" t="str">
        <f ca="1">IFERROR(__xludf.DUMMYFUNCTION("""COMPUTED_VALUE"""),"Digital Tech")</f>
        <v>Digital Tech</v>
      </c>
      <c r="E828" s="6" t="str">
        <f ca="1">IFERROR(__xludf.DUMMYFUNCTION("""COMPUTED_VALUE"""),"Invite Next Year")</f>
        <v>Invite Next Year</v>
      </c>
      <c r="F828" s="6" t="e">
        <f t="shared" ca="1" si="3"/>
        <v>#NAME?</v>
      </c>
    </row>
    <row r="829" spans="1:6">
      <c r="A829" s="199">
        <f ca="1">IFERROR(__xludf.DUMMYFUNCTION("""COMPUTED_VALUE"""),44797)</f>
        <v>44797</v>
      </c>
      <c r="B829" s="6" t="str">
        <f ca="1">IFERROR(__xludf.DUMMYFUNCTION("""COMPUTED_VALUE"""),"Pedestal _2022")</f>
        <v>Pedestal _2022</v>
      </c>
      <c r="C829" s="6">
        <f ca="1">IFERROR(__xludf.DUMMYFUNCTION("""COMPUTED_VALUE"""),2.5)</f>
        <v>2.5</v>
      </c>
      <c r="D829" s="6" t="str">
        <f ca="1">IFERROR(__xludf.DUMMYFUNCTION("""COMPUTED_VALUE"""),"Digital Tech")</f>
        <v>Digital Tech</v>
      </c>
      <c r="E829" s="6" t="str">
        <f ca="1">IFERROR(__xludf.DUMMYFUNCTION("""COMPUTED_VALUE"""),"Invite Next Year")</f>
        <v>Invite Next Year</v>
      </c>
      <c r="F829" s="6" t="e">
        <f t="shared" ca="1" si="3"/>
        <v>#NAME?</v>
      </c>
    </row>
    <row r="830" spans="1:6">
      <c r="A830" s="199">
        <f ca="1">IFERROR(__xludf.DUMMYFUNCTION("""COMPUTED_VALUE"""),44797)</f>
        <v>44797</v>
      </c>
      <c r="B830" s="6" t="str">
        <f ca="1">IFERROR(__xludf.DUMMYFUNCTION("""COMPUTED_VALUE"""),"AUMHUM _2022")</f>
        <v>AUMHUM _2022</v>
      </c>
      <c r="C830" s="6">
        <f ca="1">IFERROR(__xludf.DUMMYFUNCTION("""COMPUTED_VALUE"""),2.5)</f>
        <v>2.5</v>
      </c>
      <c r="D830" s="6" t="str">
        <f ca="1">IFERROR(__xludf.DUMMYFUNCTION("""COMPUTED_VALUE"""),"Digital Tech")</f>
        <v>Digital Tech</v>
      </c>
      <c r="E830" s="6" t="str">
        <f ca="1">IFERROR(__xludf.DUMMYFUNCTION("""COMPUTED_VALUE"""),"Invite Next Year")</f>
        <v>Invite Next Year</v>
      </c>
      <c r="F830" s="6" t="e">
        <f t="shared" ca="1" si="3"/>
        <v>#NAME?</v>
      </c>
    </row>
    <row r="831" spans="1:6">
      <c r="A831" s="199">
        <f ca="1">IFERROR(__xludf.DUMMYFUNCTION("""COMPUTED_VALUE"""),44784)</f>
        <v>44784</v>
      </c>
      <c r="B831" s="6" t="str">
        <f ca="1">IFERROR(__xludf.DUMMYFUNCTION("""COMPUTED_VALUE"""),"Strich, Inc. _2022")</f>
        <v>Strich, Inc. _2022</v>
      </c>
      <c r="C831" s="6">
        <f ca="1">IFERROR(__xludf.DUMMYFUNCTION("""COMPUTED_VALUE"""),2.38)</f>
        <v>2.38</v>
      </c>
      <c r="D831" s="6" t="str">
        <f ca="1">IFERROR(__xludf.DUMMYFUNCTION("""COMPUTED_VALUE"""),"Digital Tech")</f>
        <v>Digital Tech</v>
      </c>
      <c r="E831" s="6" t="str">
        <f ca="1">IFERROR(__xludf.DUMMYFUNCTION("""COMPUTED_VALUE"""),"Invite Next Year")</f>
        <v>Invite Next Year</v>
      </c>
      <c r="F831" s="6" t="e">
        <f t="shared" ca="1" si="3"/>
        <v>#NAME?</v>
      </c>
    </row>
    <row r="832" spans="1:6">
      <c r="A832" s="199">
        <f ca="1">IFERROR(__xludf.DUMMYFUNCTION("""COMPUTED_VALUE"""),44776)</f>
        <v>44776</v>
      </c>
      <c r="B832" s="6" t="str">
        <f ca="1">IFERROR(__xludf.DUMMYFUNCTION("""COMPUTED_VALUE"""),"GigOut _2022")</f>
        <v>GigOut _2022</v>
      </c>
      <c r="C832" s="6">
        <f ca="1">IFERROR(__xludf.DUMMYFUNCTION("""COMPUTED_VALUE"""),2.25)</f>
        <v>2.25</v>
      </c>
      <c r="D832" s="6" t="str">
        <f ca="1">IFERROR(__xludf.DUMMYFUNCTION("""COMPUTED_VALUE"""),"Digital Tech")</f>
        <v>Digital Tech</v>
      </c>
      <c r="E832" s="6" t="str">
        <f ca="1">IFERROR(__xludf.DUMMYFUNCTION("""COMPUTED_VALUE"""),"Invite Next Year")</f>
        <v>Invite Next Year</v>
      </c>
      <c r="F832" s="6" t="e">
        <f t="shared" ca="1" si="3"/>
        <v>#NAME?</v>
      </c>
    </row>
    <row r="833" spans="1:6">
      <c r="A833" s="199">
        <f ca="1">IFERROR(__xludf.DUMMYFUNCTION("""COMPUTED_VALUE"""),44782)</f>
        <v>44782</v>
      </c>
      <c r="B833" s="6" t="str">
        <f ca="1">IFERROR(__xludf.DUMMYFUNCTION("""COMPUTED_VALUE"""),"Fig Finance _2022")</f>
        <v>Fig Finance _2022</v>
      </c>
      <c r="C833" s="6">
        <f ca="1">IFERROR(__xludf.DUMMYFUNCTION("""COMPUTED_VALUE"""),2.25)</f>
        <v>2.25</v>
      </c>
      <c r="D833" s="6" t="str">
        <f ca="1">IFERROR(__xludf.DUMMYFUNCTION("""COMPUTED_VALUE"""),"Digital Tech")</f>
        <v>Digital Tech</v>
      </c>
      <c r="E833" s="6" t="str">
        <f ca="1">IFERROR(__xludf.DUMMYFUNCTION("""COMPUTED_VALUE"""),"Invite Next Year")</f>
        <v>Invite Next Year</v>
      </c>
      <c r="F833" s="6" t="e">
        <f t="shared" ca="1" si="3"/>
        <v>#NAME?</v>
      </c>
    </row>
    <row r="834" spans="1:6">
      <c r="A834" s="199">
        <f ca="1">IFERROR(__xludf.DUMMYFUNCTION("""COMPUTED_VALUE"""),44782)</f>
        <v>44782</v>
      </c>
      <c r="B834" s="6" t="str">
        <f ca="1">IFERROR(__xludf.DUMMYFUNCTION("""COMPUTED_VALUE"""),"Palapa _2022")</f>
        <v>Palapa _2022</v>
      </c>
      <c r="C834" s="6">
        <f ca="1">IFERROR(__xludf.DUMMYFUNCTION("""COMPUTED_VALUE"""),2.25)</f>
        <v>2.25</v>
      </c>
      <c r="D834" s="6" t="str">
        <f ca="1">IFERROR(__xludf.DUMMYFUNCTION("""COMPUTED_VALUE"""),"Deep Tech")</f>
        <v>Deep Tech</v>
      </c>
      <c r="E834" s="6" t="str">
        <f ca="1">IFERROR(__xludf.DUMMYFUNCTION("""COMPUTED_VALUE"""),"Invite Next Year")</f>
        <v>Invite Next Year</v>
      </c>
      <c r="F834" s="6" t="e">
        <f t="shared" ca="1" si="3"/>
        <v>#NAME?</v>
      </c>
    </row>
    <row r="835" spans="1:6">
      <c r="A835" s="199">
        <f ca="1">IFERROR(__xludf.DUMMYFUNCTION("""COMPUTED_VALUE"""),44782)</f>
        <v>44782</v>
      </c>
      <c r="B835" s="6" t="str">
        <f ca="1">IFERROR(__xludf.DUMMYFUNCTION("""COMPUTED_VALUE"""),"Cochair Corp. _2022")</f>
        <v>Cochair Corp. _2022</v>
      </c>
      <c r="C835" s="6">
        <f ca="1">IFERROR(__xludf.DUMMYFUNCTION("""COMPUTED_VALUE"""),2.25)</f>
        <v>2.25</v>
      </c>
      <c r="D835" s="6" t="str">
        <f ca="1">IFERROR(__xludf.DUMMYFUNCTION("""COMPUTED_VALUE"""),"Digital Tech")</f>
        <v>Digital Tech</v>
      </c>
      <c r="E835" s="6" t="str">
        <f ca="1">IFERROR(__xludf.DUMMYFUNCTION("""COMPUTED_VALUE"""),"Invite Next Year")</f>
        <v>Invite Next Year</v>
      </c>
      <c r="F835" s="6" t="e">
        <f t="shared" ca="1" si="3"/>
        <v>#NAME?</v>
      </c>
    </row>
    <row r="836" spans="1:6">
      <c r="A836" s="199">
        <f ca="1">IFERROR(__xludf.DUMMYFUNCTION("""COMPUTED_VALUE"""),44782)</f>
        <v>44782</v>
      </c>
      <c r="B836" s="6" t="str">
        <f ca="1">IFERROR(__xludf.DUMMYFUNCTION("""COMPUTED_VALUE"""),"TourMega _2022")</f>
        <v>TourMega _2022</v>
      </c>
      <c r="C836" s="6">
        <f ca="1">IFERROR(__xludf.DUMMYFUNCTION("""COMPUTED_VALUE"""),2.25)</f>
        <v>2.25</v>
      </c>
      <c r="D836" s="6" t="str">
        <f ca="1">IFERROR(__xludf.DUMMYFUNCTION("""COMPUTED_VALUE"""),"Deep Tech")</f>
        <v>Deep Tech</v>
      </c>
      <c r="E836" s="6" t="str">
        <f ca="1">IFERROR(__xludf.DUMMYFUNCTION("""COMPUTED_VALUE"""),"Invite Next Year")</f>
        <v>Invite Next Year</v>
      </c>
      <c r="F836" s="6" t="e">
        <f t="shared" ca="1" si="3"/>
        <v>#NAME?</v>
      </c>
    </row>
    <row r="837" spans="1:6">
      <c r="A837" s="199">
        <f ca="1">IFERROR(__xludf.DUMMYFUNCTION("""COMPUTED_VALUE"""),44782)</f>
        <v>44782</v>
      </c>
      <c r="B837" s="6" t="str">
        <f ca="1">IFERROR(__xludf.DUMMYFUNCTION("""COMPUTED_VALUE"""),"Sendit.Money Ltd _2022")</f>
        <v>Sendit.Money Ltd _2022</v>
      </c>
      <c r="C837" s="6">
        <f ca="1">IFERROR(__xludf.DUMMYFUNCTION("""COMPUTED_VALUE"""),2.25)</f>
        <v>2.25</v>
      </c>
      <c r="D837" s="6" t="str">
        <f ca="1">IFERROR(__xludf.DUMMYFUNCTION("""COMPUTED_VALUE"""),"Digital Tech")</f>
        <v>Digital Tech</v>
      </c>
      <c r="E837" s="6" t="str">
        <f ca="1">IFERROR(__xludf.DUMMYFUNCTION("""COMPUTED_VALUE"""),"Invite Next Year")</f>
        <v>Invite Next Year</v>
      </c>
      <c r="F837" s="6" t="e">
        <f t="shared" ca="1" si="3"/>
        <v>#NAME?</v>
      </c>
    </row>
    <row r="838" spans="1:6">
      <c r="A838" s="199">
        <f ca="1">IFERROR(__xludf.DUMMYFUNCTION("""COMPUTED_VALUE"""),44782)</f>
        <v>44782</v>
      </c>
      <c r="B838" s="6" t="str">
        <f ca="1">IFERROR(__xludf.DUMMYFUNCTION("""COMPUTED_VALUE"""),"Eget Liber, Inc. _2022")</f>
        <v>Eget Liber, Inc. _2022</v>
      </c>
      <c r="C838" s="6">
        <f ca="1">IFERROR(__xludf.DUMMYFUNCTION("""COMPUTED_VALUE"""),2.25)</f>
        <v>2.25</v>
      </c>
      <c r="D838" s="6" t="str">
        <f ca="1">IFERROR(__xludf.DUMMYFUNCTION("""COMPUTED_VALUE"""),"Deep Tech")</f>
        <v>Deep Tech</v>
      </c>
      <c r="E838" s="6" t="str">
        <f ca="1">IFERROR(__xludf.DUMMYFUNCTION("""COMPUTED_VALUE"""),"Invite Next Year")</f>
        <v>Invite Next Year</v>
      </c>
      <c r="F838" s="6" t="e">
        <f t="shared" ca="1" si="3"/>
        <v>#NAME?</v>
      </c>
    </row>
    <row r="839" spans="1:6">
      <c r="A839" s="199">
        <f ca="1">IFERROR(__xludf.DUMMYFUNCTION("""COMPUTED_VALUE"""),44782)</f>
        <v>44782</v>
      </c>
      <c r="B839" s="6" t="str">
        <f ca="1">IFERROR(__xludf.DUMMYFUNCTION("""COMPUTED_VALUE"""),"Hello Space Co. _2022")</f>
        <v>Hello Space Co. _2022</v>
      </c>
      <c r="C839" s="6">
        <f ca="1">IFERROR(__xludf.DUMMYFUNCTION("""COMPUTED_VALUE"""),2.25)</f>
        <v>2.25</v>
      </c>
      <c r="D839" s="6" t="str">
        <f ca="1">IFERROR(__xludf.DUMMYFUNCTION("""COMPUTED_VALUE"""),"Deep Tech")</f>
        <v>Deep Tech</v>
      </c>
      <c r="E839" s="6" t="str">
        <f ca="1">IFERROR(__xludf.DUMMYFUNCTION("""COMPUTED_VALUE"""),"Invite Next Year")</f>
        <v>Invite Next Year</v>
      </c>
      <c r="F839" s="6" t="e">
        <f t="shared" ca="1" si="3"/>
        <v>#NAME?</v>
      </c>
    </row>
    <row r="840" spans="1:6">
      <c r="A840" s="199">
        <f ca="1">IFERROR(__xludf.DUMMYFUNCTION("""COMPUTED_VALUE"""),44782)</f>
        <v>44782</v>
      </c>
      <c r="B840" s="6" t="str">
        <f ca="1">IFERROR(__xludf.DUMMYFUNCTION("""COMPUTED_VALUE"""),"Bloom Impact Investing _2022")</f>
        <v>Bloom Impact Investing _2022</v>
      </c>
      <c r="C840" s="6">
        <f ca="1">IFERROR(__xludf.DUMMYFUNCTION("""COMPUTED_VALUE"""),2.25)</f>
        <v>2.25</v>
      </c>
      <c r="D840" s="6" t="str">
        <f ca="1">IFERROR(__xludf.DUMMYFUNCTION("""COMPUTED_VALUE"""),"Digital Tech")</f>
        <v>Digital Tech</v>
      </c>
      <c r="E840" s="6" t="str">
        <f ca="1">IFERROR(__xludf.DUMMYFUNCTION("""COMPUTED_VALUE"""),"Invite Next Year")</f>
        <v>Invite Next Year</v>
      </c>
      <c r="F840" s="6" t="e">
        <f t="shared" ca="1" si="3"/>
        <v>#NAME?</v>
      </c>
    </row>
    <row r="841" spans="1:6">
      <c r="A841" s="199">
        <f ca="1">IFERROR(__xludf.DUMMYFUNCTION("""COMPUTED_VALUE"""),44784)</f>
        <v>44784</v>
      </c>
      <c r="B841" s="6" t="str">
        <f ca="1">IFERROR(__xludf.DUMMYFUNCTION("""COMPUTED_VALUE"""),"Mumerz for Ecommerce _2022")</f>
        <v>Mumerz for Ecommerce _2022</v>
      </c>
      <c r="C841" s="6">
        <f ca="1">IFERROR(__xludf.DUMMYFUNCTION("""COMPUTED_VALUE"""),2.25)</f>
        <v>2.25</v>
      </c>
      <c r="D841" s="6" t="str">
        <f ca="1">IFERROR(__xludf.DUMMYFUNCTION("""COMPUTED_VALUE"""),"Digital Tech")</f>
        <v>Digital Tech</v>
      </c>
      <c r="E841" s="6" t="str">
        <f ca="1">IFERROR(__xludf.DUMMYFUNCTION("""COMPUTED_VALUE"""),"Invite Next Year")</f>
        <v>Invite Next Year</v>
      </c>
      <c r="F841" s="6" t="e">
        <f t="shared" ca="1" si="3"/>
        <v>#NAME?</v>
      </c>
    </row>
    <row r="842" spans="1:6">
      <c r="A842" s="199">
        <f ca="1">IFERROR(__xludf.DUMMYFUNCTION("""COMPUTED_VALUE"""),44784)</f>
        <v>44784</v>
      </c>
      <c r="B842" s="6" t="str">
        <f ca="1">IFERROR(__xludf.DUMMYFUNCTION("""COMPUTED_VALUE"""),"the klubb _2022")</f>
        <v>the klubb _2022</v>
      </c>
      <c r="C842" s="6">
        <f ca="1">IFERROR(__xludf.DUMMYFUNCTION("""COMPUTED_VALUE"""),2.25)</f>
        <v>2.25</v>
      </c>
      <c r="D842" s="6" t="str">
        <f ca="1">IFERROR(__xludf.DUMMYFUNCTION("""COMPUTED_VALUE"""),"Digital Tech")</f>
        <v>Digital Tech</v>
      </c>
      <c r="E842" s="6" t="str">
        <f ca="1">IFERROR(__xludf.DUMMYFUNCTION("""COMPUTED_VALUE"""),"Invite Next Year")</f>
        <v>Invite Next Year</v>
      </c>
      <c r="F842" s="6" t="e">
        <f t="shared" ca="1" si="3"/>
        <v>#NAME?</v>
      </c>
    </row>
    <row r="843" spans="1:6">
      <c r="A843" s="199">
        <f ca="1">IFERROR(__xludf.DUMMYFUNCTION("""COMPUTED_VALUE"""),44784)</f>
        <v>44784</v>
      </c>
      <c r="B843" s="6" t="str">
        <f ca="1">IFERROR(__xludf.DUMMYFUNCTION("""COMPUTED_VALUE"""),"GenoFAB, Inc. _2022")</f>
        <v>GenoFAB, Inc. _2022</v>
      </c>
      <c r="C843" s="6">
        <f ca="1">IFERROR(__xludf.DUMMYFUNCTION("""COMPUTED_VALUE"""),2.25)</f>
        <v>2.25</v>
      </c>
      <c r="D843" s="6" t="str">
        <f ca="1">IFERROR(__xludf.DUMMYFUNCTION("""COMPUTED_VALUE"""),"Life Sciences")</f>
        <v>Life Sciences</v>
      </c>
      <c r="E843" s="6" t="str">
        <f ca="1">IFERROR(__xludf.DUMMYFUNCTION("""COMPUTED_VALUE"""),"Invite Next Year")</f>
        <v>Invite Next Year</v>
      </c>
      <c r="F843" s="6" t="e">
        <f t="shared" ca="1" si="3"/>
        <v>#NAME?</v>
      </c>
    </row>
    <row r="844" spans="1:6">
      <c r="A844" s="199">
        <f ca="1">IFERROR(__xludf.DUMMYFUNCTION("""COMPUTED_VALUE"""),44784)</f>
        <v>44784</v>
      </c>
      <c r="B844" s="6" t="str">
        <f ca="1">IFERROR(__xludf.DUMMYFUNCTION("""COMPUTED_VALUE"""),"Nume _2022")</f>
        <v>Nume _2022</v>
      </c>
      <c r="C844" s="6">
        <f ca="1">IFERROR(__xludf.DUMMYFUNCTION("""COMPUTED_VALUE"""),2.25)</f>
        <v>2.25</v>
      </c>
      <c r="D844" s="6" t="str">
        <f ca="1">IFERROR(__xludf.DUMMYFUNCTION("""COMPUTED_VALUE"""),"Digital Tech")</f>
        <v>Digital Tech</v>
      </c>
      <c r="E844" s="6" t="str">
        <f ca="1">IFERROR(__xludf.DUMMYFUNCTION("""COMPUTED_VALUE"""),"Invite Next Year")</f>
        <v>Invite Next Year</v>
      </c>
      <c r="F844" s="6" t="e">
        <f t="shared" ca="1" si="3"/>
        <v>#NAME?</v>
      </c>
    </row>
    <row r="845" spans="1:6">
      <c r="A845" s="199">
        <f ca="1">IFERROR(__xludf.DUMMYFUNCTION("""COMPUTED_VALUE"""),44784)</f>
        <v>44784</v>
      </c>
      <c r="B845" s="6" t="str">
        <f ca="1">IFERROR(__xludf.DUMMYFUNCTION("""COMPUTED_VALUE"""),"Axyz (Bundled, Inc.) _2022")</f>
        <v>Axyz (Bundled, Inc.) _2022</v>
      </c>
      <c r="C845" s="6">
        <f ca="1">IFERROR(__xludf.DUMMYFUNCTION("""COMPUTED_VALUE"""),2.25)</f>
        <v>2.25</v>
      </c>
      <c r="D845" s="6" t="str">
        <f ca="1">IFERROR(__xludf.DUMMYFUNCTION("""COMPUTED_VALUE"""),"Digital Tech")</f>
        <v>Digital Tech</v>
      </c>
      <c r="E845" s="6" t="str">
        <f ca="1">IFERROR(__xludf.DUMMYFUNCTION("""COMPUTED_VALUE"""),"Invite Next Year")</f>
        <v>Invite Next Year</v>
      </c>
      <c r="F845" s="6" t="e">
        <f t="shared" ca="1" si="3"/>
        <v>#NAME?</v>
      </c>
    </row>
    <row r="846" spans="1:6">
      <c r="A846" s="199">
        <f ca="1">IFERROR(__xludf.DUMMYFUNCTION("""COMPUTED_VALUE"""),44784)</f>
        <v>44784</v>
      </c>
      <c r="B846" s="6" t="str">
        <f ca="1">IFERROR(__xludf.DUMMYFUNCTION("""COMPUTED_VALUE"""),"iVoice Africa Media _2022")</f>
        <v>iVoice Africa Media _2022</v>
      </c>
      <c r="C846" s="6">
        <f ca="1">IFERROR(__xludf.DUMMYFUNCTION("""COMPUTED_VALUE"""),2.25)</f>
        <v>2.25</v>
      </c>
      <c r="D846" s="6" t="str">
        <f ca="1">IFERROR(__xludf.DUMMYFUNCTION("""COMPUTED_VALUE"""),"Deep Tech")</f>
        <v>Deep Tech</v>
      </c>
      <c r="E846" s="6" t="str">
        <f ca="1">IFERROR(__xludf.DUMMYFUNCTION("""COMPUTED_VALUE"""),"Invite Next Year")</f>
        <v>Invite Next Year</v>
      </c>
      <c r="F846" s="6" t="e">
        <f t="shared" ca="1" si="3"/>
        <v>#NAME?</v>
      </c>
    </row>
    <row r="847" spans="1:6">
      <c r="A847" s="199">
        <f ca="1">IFERROR(__xludf.DUMMYFUNCTION("""COMPUTED_VALUE"""),44784)</f>
        <v>44784</v>
      </c>
      <c r="B847" s="6" t="str">
        <f ca="1">IFERROR(__xludf.DUMMYFUNCTION("""COMPUTED_VALUE"""),"Dealbook, Inc. _2022")</f>
        <v>Dealbook, Inc. _2022</v>
      </c>
      <c r="C847" s="6">
        <f ca="1">IFERROR(__xludf.DUMMYFUNCTION("""COMPUTED_VALUE"""),2.25)</f>
        <v>2.25</v>
      </c>
      <c r="D847" s="6" t="str">
        <f ca="1">IFERROR(__xludf.DUMMYFUNCTION("""COMPUTED_VALUE"""),"Digital Tech")</f>
        <v>Digital Tech</v>
      </c>
      <c r="E847" s="6" t="str">
        <f ca="1">IFERROR(__xludf.DUMMYFUNCTION("""COMPUTED_VALUE"""),"Invite Next Year")</f>
        <v>Invite Next Year</v>
      </c>
      <c r="F847" s="6" t="e">
        <f t="shared" ca="1" si="3"/>
        <v>#NAME?</v>
      </c>
    </row>
    <row r="848" spans="1:6">
      <c r="A848" s="199">
        <f ca="1">IFERROR(__xludf.DUMMYFUNCTION("""COMPUTED_VALUE"""),44784)</f>
        <v>44784</v>
      </c>
      <c r="B848" s="6" t="str">
        <f ca="1">IFERROR(__xludf.DUMMYFUNCTION("""COMPUTED_VALUE"""),"Gembridge Pte Ltd _2022")</f>
        <v>Gembridge Pte Ltd _2022</v>
      </c>
      <c r="C848" s="6">
        <f ca="1">IFERROR(__xludf.DUMMYFUNCTION("""COMPUTED_VALUE"""),2.25)</f>
        <v>2.25</v>
      </c>
      <c r="D848" s="6" t="str">
        <f ca="1">IFERROR(__xludf.DUMMYFUNCTION("""COMPUTED_VALUE"""),"Digital Tech")</f>
        <v>Digital Tech</v>
      </c>
      <c r="E848" s="6" t="str">
        <f ca="1">IFERROR(__xludf.DUMMYFUNCTION("""COMPUTED_VALUE"""),"Invite Next Year")</f>
        <v>Invite Next Year</v>
      </c>
      <c r="F848" s="6" t="e">
        <f t="shared" ca="1" si="3"/>
        <v>#NAME?</v>
      </c>
    </row>
    <row r="849" spans="1:6">
      <c r="A849" s="199">
        <f ca="1">IFERROR(__xludf.DUMMYFUNCTION("""COMPUTED_VALUE"""),44784)</f>
        <v>44784</v>
      </c>
      <c r="B849" s="6" t="str">
        <f ca="1">IFERROR(__xludf.DUMMYFUNCTION("""COMPUTED_VALUE"""),"Primary Assembly _2022")</f>
        <v>Primary Assembly _2022</v>
      </c>
      <c r="C849" s="6">
        <f ca="1">IFERROR(__xludf.DUMMYFUNCTION("""COMPUTED_VALUE"""),2.25)</f>
        <v>2.25</v>
      </c>
      <c r="D849" s="6" t="str">
        <f ca="1">IFERROR(__xludf.DUMMYFUNCTION("""COMPUTED_VALUE"""),"Digital Tech")</f>
        <v>Digital Tech</v>
      </c>
      <c r="E849" s="6" t="str">
        <f ca="1">IFERROR(__xludf.DUMMYFUNCTION("""COMPUTED_VALUE"""),"Invite Next Year")</f>
        <v>Invite Next Year</v>
      </c>
      <c r="F849" s="6" t="e">
        <f t="shared" ca="1" si="3"/>
        <v>#NAME?</v>
      </c>
    </row>
    <row r="850" spans="1:6">
      <c r="A850" s="199">
        <f ca="1">IFERROR(__xludf.DUMMYFUNCTION("""COMPUTED_VALUE"""),44784)</f>
        <v>44784</v>
      </c>
      <c r="B850" s="6" t="str">
        <f ca="1">IFERROR(__xludf.DUMMYFUNCTION("""COMPUTED_VALUE"""),"VioScore . My Life Kit _2022")</f>
        <v>VioScore . My Life Kit _2022</v>
      </c>
      <c r="C850" s="6">
        <f ca="1">IFERROR(__xludf.DUMMYFUNCTION("""COMPUTED_VALUE"""),2.25)</f>
        <v>2.25</v>
      </c>
      <c r="D850" s="6" t="str">
        <f ca="1">IFERROR(__xludf.DUMMYFUNCTION("""COMPUTED_VALUE"""),"Digital Tech")</f>
        <v>Digital Tech</v>
      </c>
      <c r="E850" s="6" t="str">
        <f ca="1">IFERROR(__xludf.DUMMYFUNCTION("""COMPUTED_VALUE"""),"Invite Next Year")</f>
        <v>Invite Next Year</v>
      </c>
      <c r="F850" s="6" t="e">
        <f t="shared" ca="1" si="3"/>
        <v>#NAME?</v>
      </c>
    </row>
    <row r="851" spans="1:6">
      <c r="A851" s="199">
        <f ca="1">IFERROR(__xludf.DUMMYFUNCTION("""COMPUTED_VALUE"""),44789)</f>
        <v>44789</v>
      </c>
      <c r="B851" s="6" t="str">
        <f ca="1">IFERROR(__xludf.DUMMYFUNCTION("""COMPUTED_VALUE"""),"Believyn  _2022")</f>
        <v>Believyn  _2022</v>
      </c>
      <c r="C851" s="6">
        <f ca="1">IFERROR(__xludf.DUMMYFUNCTION("""COMPUTED_VALUE"""),2.25)</f>
        <v>2.25</v>
      </c>
      <c r="D851" s="6" t="str">
        <f ca="1">IFERROR(__xludf.DUMMYFUNCTION("""COMPUTED_VALUE"""),"Digital Tech")</f>
        <v>Digital Tech</v>
      </c>
      <c r="E851" s="6" t="str">
        <f ca="1">IFERROR(__xludf.DUMMYFUNCTION("""COMPUTED_VALUE"""),"Invite Next Year")</f>
        <v>Invite Next Year</v>
      </c>
      <c r="F851" s="6" t="e">
        <f t="shared" ca="1" si="3"/>
        <v>#NAME?</v>
      </c>
    </row>
    <row r="852" spans="1:6">
      <c r="A852" s="199">
        <f ca="1">IFERROR(__xludf.DUMMYFUNCTION("""COMPUTED_VALUE"""),44789)</f>
        <v>44789</v>
      </c>
      <c r="B852" s="6" t="str">
        <f ca="1">IFERROR(__xludf.DUMMYFUNCTION("""COMPUTED_VALUE"""),"Healthtracka _2022")</f>
        <v>Healthtracka _2022</v>
      </c>
      <c r="C852" s="6">
        <f ca="1">IFERROR(__xludf.DUMMYFUNCTION("""COMPUTED_VALUE"""),2.25)</f>
        <v>2.25</v>
      </c>
      <c r="D852" s="6" t="str">
        <f ca="1">IFERROR(__xludf.DUMMYFUNCTION("""COMPUTED_VALUE"""),"Digital Tech")</f>
        <v>Digital Tech</v>
      </c>
      <c r="E852" s="6" t="str">
        <f ca="1">IFERROR(__xludf.DUMMYFUNCTION("""COMPUTED_VALUE"""),"Invite Next Year")</f>
        <v>Invite Next Year</v>
      </c>
      <c r="F852" s="6" t="e">
        <f t="shared" ca="1" si="3"/>
        <v>#NAME?</v>
      </c>
    </row>
    <row r="853" spans="1:6">
      <c r="A853" s="199">
        <f ca="1">IFERROR(__xludf.DUMMYFUNCTION("""COMPUTED_VALUE"""),44789)</f>
        <v>44789</v>
      </c>
      <c r="B853" s="6" t="str">
        <f ca="1">IFERROR(__xludf.DUMMYFUNCTION("""COMPUTED_VALUE"""),"Lagoon _2022")</f>
        <v>Lagoon _2022</v>
      </c>
      <c r="C853" s="6">
        <f ca="1">IFERROR(__xludf.DUMMYFUNCTION("""COMPUTED_VALUE"""),2.25)</f>
        <v>2.25</v>
      </c>
      <c r="D853" s="6" t="str">
        <f ca="1">IFERROR(__xludf.DUMMYFUNCTION("""COMPUTED_VALUE"""),"Digital Tech")</f>
        <v>Digital Tech</v>
      </c>
      <c r="E853" s="6" t="str">
        <f ca="1">IFERROR(__xludf.DUMMYFUNCTION("""COMPUTED_VALUE"""),"Invite Next Year")</f>
        <v>Invite Next Year</v>
      </c>
      <c r="F853" s="6" t="e">
        <f t="shared" ca="1" si="3"/>
        <v>#NAME?</v>
      </c>
    </row>
    <row r="854" spans="1:6">
      <c r="A854" s="199">
        <f ca="1">IFERROR(__xludf.DUMMYFUNCTION("""COMPUTED_VALUE"""),44789)</f>
        <v>44789</v>
      </c>
      <c r="B854" s="6" t="str">
        <f ca="1">IFERROR(__xludf.DUMMYFUNCTION("""COMPUTED_VALUE"""),"BPANALITYCAL S.A. _2022")</f>
        <v>BPANALITYCAL S.A. _2022</v>
      </c>
      <c r="C854" s="6">
        <f ca="1">IFERROR(__xludf.DUMMYFUNCTION("""COMPUTED_VALUE"""),2.25)</f>
        <v>2.25</v>
      </c>
      <c r="D854" s="6" t="str">
        <f ca="1">IFERROR(__xludf.DUMMYFUNCTION("""COMPUTED_VALUE"""),"Deep Tech")</f>
        <v>Deep Tech</v>
      </c>
      <c r="E854" s="6" t="str">
        <f ca="1">IFERROR(__xludf.DUMMYFUNCTION("""COMPUTED_VALUE"""),"Invite Next Year")</f>
        <v>Invite Next Year</v>
      </c>
      <c r="F854" s="6" t="e">
        <f t="shared" ca="1" si="3"/>
        <v>#NAME?</v>
      </c>
    </row>
    <row r="855" spans="1:6">
      <c r="A855" s="199">
        <f ca="1">IFERROR(__xludf.DUMMYFUNCTION("""COMPUTED_VALUE"""),44789)</f>
        <v>44789</v>
      </c>
      <c r="B855" s="6" t="str">
        <f ca="1">IFERROR(__xludf.DUMMYFUNCTION("""COMPUTED_VALUE"""),"The Results-Oriented Work School, LLC _2022")</f>
        <v>The Results-Oriented Work School, LLC _2022</v>
      </c>
      <c r="C855" s="6">
        <f ca="1">IFERROR(__xludf.DUMMYFUNCTION("""COMPUTED_VALUE"""),2.25)</f>
        <v>2.25</v>
      </c>
      <c r="D855" s="6" t="str">
        <f ca="1">IFERROR(__xludf.DUMMYFUNCTION("""COMPUTED_VALUE"""),"Digital Tech")</f>
        <v>Digital Tech</v>
      </c>
      <c r="E855" s="6" t="str">
        <f ca="1">IFERROR(__xludf.DUMMYFUNCTION("""COMPUTED_VALUE"""),"Invite Next Year")</f>
        <v>Invite Next Year</v>
      </c>
      <c r="F855" s="6" t="e">
        <f t="shared" ca="1" si="3"/>
        <v>#NAME?</v>
      </c>
    </row>
    <row r="856" spans="1:6">
      <c r="A856" s="199">
        <f ca="1">IFERROR(__xludf.DUMMYFUNCTION("""COMPUTED_VALUE"""),44789)</f>
        <v>44789</v>
      </c>
      <c r="B856" s="6" t="str">
        <f ca="1">IFERROR(__xludf.DUMMYFUNCTION("""COMPUTED_VALUE"""),"Celise BioProducts _2022")</f>
        <v>Celise BioProducts _2022</v>
      </c>
      <c r="C856" s="6">
        <f ca="1">IFERROR(__xludf.DUMMYFUNCTION("""COMPUTED_VALUE"""),2.25)</f>
        <v>2.25</v>
      </c>
      <c r="D856" s="6" t="str">
        <f ca="1">IFERROR(__xludf.DUMMYFUNCTION("""COMPUTED_VALUE"""),"Deep Tech")</f>
        <v>Deep Tech</v>
      </c>
      <c r="E856" s="6" t="str">
        <f ca="1">IFERROR(__xludf.DUMMYFUNCTION("""COMPUTED_VALUE"""),"Invite Next Year")</f>
        <v>Invite Next Year</v>
      </c>
      <c r="F856" s="6" t="e">
        <f t="shared" ca="1" si="3"/>
        <v>#NAME?</v>
      </c>
    </row>
    <row r="857" spans="1:6">
      <c r="A857" s="199">
        <f ca="1">IFERROR(__xludf.DUMMYFUNCTION("""COMPUTED_VALUE"""),44789)</f>
        <v>44789</v>
      </c>
      <c r="B857" s="6" t="str">
        <f ca="1">IFERROR(__xludf.DUMMYFUNCTION("""COMPUTED_VALUE"""),"ThinkPods Education Services Pvt Ltd _2022")</f>
        <v>ThinkPods Education Services Pvt Ltd _2022</v>
      </c>
      <c r="C857" s="6">
        <f ca="1">IFERROR(__xludf.DUMMYFUNCTION("""COMPUTED_VALUE"""),2.25)</f>
        <v>2.25</v>
      </c>
      <c r="D857" s="6" t="str">
        <f ca="1">IFERROR(__xludf.DUMMYFUNCTION("""COMPUTED_VALUE"""),"Digital Tech")</f>
        <v>Digital Tech</v>
      </c>
      <c r="E857" s="6" t="str">
        <f ca="1">IFERROR(__xludf.DUMMYFUNCTION("""COMPUTED_VALUE"""),"Invite Next Year")</f>
        <v>Invite Next Year</v>
      </c>
      <c r="F857" s="6" t="e">
        <f t="shared" ca="1" si="3"/>
        <v>#NAME?</v>
      </c>
    </row>
    <row r="858" spans="1:6">
      <c r="A858" s="199">
        <f ca="1">IFERROR(__xludf.DUMMYFUNCTION("""COMPUTED_VALUE"""),44789)</f>
        <v>44789</v>
      </c>
      <c r="B858" s="6" t="str">
        <f ca="1">IFERROR(__xludf.DUMMYFUNCTION("""COMPUTED_VALUE"""),"Intended Future _2022")</f>
        <v>Intended Future _2022</v>
      </c>
      <c r="C858" s="6">
        <f ca="1">IFERROR(__xludf.DUMMYFUNCTION("""COMPUTED_VALUE"""),2.25)</f>
        <v>2.25</v>
      </c>
      <c r="D858" s="6" t="str">
        <f ca="1">IFERROR(__xludf.DUMMYFUNCTION("""COMPUTED_VALUE"""),"Digital Tech")</f>
        <v>Digital Tech</v>
      </c>
      <c r="E858" s="6" t="str">
        <f ca="1">IFERROR(__xludf.DUMMYFUNCTION("""COMPUTED_VALUE"""),"Invite Next Year")</f>
        <v>Invite Next Year</v>
      </c>
      <c r="F858" s="6" t="e">
        <f t="shared" ca="1" si="3"/>
        <v>#NAME?</v>
      </c>
    </row>
    <row r="859" spans="1:6">
      <c r="A859" s="199">
        <f ca="1">IFERROR(__xludf.DUMMYFUNCTION("""COMPUTED_VALUE"""),44789)</f>
        <v>44789</v>
      </c>
      <c r="B859" s="6" t="str">
        <f ca="1">IFERROR(__xludf.DUMMYFUNCTION("""COMPUTED_VALUE"""),"Dresma Inc. _2022")</f>
        <v>Dresma Inc. _2022</v>
      </c>
      <c r="C859" s="6">
        <f ca="1">IFERROR(__xludf.DUMMYFUNCTION("""COMPUTED_VALUE"""),2.25)</f>
        <v>2.25</v>
      </c>
      <c r="D859" s="6" t="str">
        <f ca="1">IFERROR(__xludf.DUMMYFUNCTION("""COMPUTED_VALUE"""),"Digital Tech")</f>
        <v>Digital Tech</v>
      </c>
      <c r="E859" s="6" t="str">
        <f ca="1">IFERROR(__xludf.DUMMYFUNCTION("""COMPUTED_VALUE"""),"Invite Next Year")</f>
        <v>Invite Next Year</v>
      </c>
      <c r="F859" s="6" t="e">
        <f t="shared" ca="1" si="3"/>
        <v>#NAME?</v>
      </c>
    </row>
    <row r="860" spans="1:6">
      <c r="A860" s="199">
        <f ca="1">IFERROR(__xludf.DUMMYFUNCTION("""COMPUTED_VALUE"""),44789)</f>
        <v>44789</v>
      </c>
      <c r="B860" s="6" t="str">
        <f ca="1">IFERROR(__xludf.DUMMYFUNCTION("""COMPUTED_VALUE"""),"GridWorkX _2022")</f>
        <v>GridWorkX _2022</v>
      </c>
      <c r="C860" s="6">
        <f ca="1">IFERROR(__xludf.DUMMYFUNCTION("""COMPUTED_VALUE"""),2.25)</f>
        <v>2.25</v>
      </c>
      <c r="D860" s="6" t="str">
        <f ca="1">IFERROR(__xludf.DUMMYFUNCTION("""COMPUTED_VALUE"""),"Deep Tech")</f>
        <v>Deep Tech</v>
      </c>
      <c r="E860" s="6" t="str">
        <f ca="1">IFERROR(__xludf.DUMMYFUNCTION("""COMPUTED_VALUE"""),"Invite Next Year")</f>
        <v>Invite Next Year</v>
      </c>
      <c r="F860" s="6" t="e">
        <f t="shared" ca="1" si="3"/>
        <v>#NAME?</v>
      </c>
    </row>
    <row r="861" spans="1:6">
      <c r="A861" s="199">
        <f ca="1">IFERROR(__xludf.DUMMYFUNCTION("""COMPUTED_VALUE"""),44789)</f>
        <v>44789</v>
      </c>
      <c r="B861" s="6" t="str">
        <f ca="1">IFERROR(__xludf.DUMMYFUNCTION("""COMPUTED_VALUE"""),"Sona Labs _2022")</f>
        <v>Sona Labs _2022</v>
      </c>
      <c r="C861" s="6">
        <f ca="1">IFERROR(__xludf.DUMMYFUNCTION("""COMPUTED_VALUE"""),2.25)</f>
        <v>2.25</v>
      </c>
      <c r="D861" s="6" t="str">
        <f ca="1">IFERROR(__xludf.DUMMYFUNCTION("""COMPUTED_VALUE"""),"Life Sciences")</f>
        <v>Life Sciences</v>
      </c>
      <c r="E861" s="6" t="str">
        <f ca="1">IFERROR(__xludf.DUMMYFUNCTION("""COMPUTED_VALUE"""),"Invite Next Year")</f>
        <v>Invite Next Year</v>
      </c>
      <c r="F861" s="6" t="e">
        <f t="shared" ca="1" si="3"/>
        <v>#NAME?</v>
      </c>
    </row>
    <row r="862" spans="1:6">
      <c r="A862" s="199">
        <f ca="1">IFERROR(__xludf.DUMMYFUNCTION("""COMPUTED_VALUE"""),44789)</f>
        <v>44789</v>
      </c>
      <c r="B862" s="6" t="str">
        <f ca="1">IFERROR(__xludf.DUMMYFUNCTION("""COMPUTED_VALUE"""),"Clanq _2022")</f>
        <v>Clanq _2022</v>
      </c>
      <c r="C862" s="6">
        <f ca="1">IFERROR(__xludf.DUMMYFUNCTION("""COMPUTED_VALUE"""),2.25)</f>
        <v>2.25</v>
      </c>
      <c r="D862" s="6" t="str">
        <f ca="1">IFERROR(__xludf.DUMMYFUNCTION("""COMPUTED_VALUE"""),"Digital Tech")</f>
        <v>Digital Tech</v>
      </c>
      <c r="E862" s="6" t="str">
        <f ca="1">IFERROR(__xludf.DUMMYFUNCTION("""COMPUTED_VALUE"""),"Invite Next Year")</f>
        <v>Invite Next Year</v>
      </c>
      <c r="F862" s="6" t="e">
        <f t="shared" ca="1" si="3"/>
        <v>#NAME?</v>
      </c>
    </row>
    <row r="863" spans="1:6">
      <c r="A863" s="199">
        <f ca="1">IFERROR(__xludf.DUMMYFUNCTION("""COMPUTED_VALUE"""),44789)</f>
        <v>44789</v>
      </c>
      <c r="B863" s="6" t="str">
        <f ca="1">IFERROR(__xludf.DUMMYFUNCTION("""COMPUTED_VALUE"""),"Make It Black _2022")</f>
        <v>Make It Black _2022</v>
      </c>
      <c r="C863" s="6">
        <f ca="1">IFERROR(__xludf.DUMMYFUNCTION("""COMPUTED_VALUE"""),2.25)</f>
        <v>2.25</v>
      </c>
      <c r="D863" s="6" t="str">
        <f ca="1">IFERROR(__xludf.DUMMYFUNCTION("""COMPUTED_VALUE"""),"Deep Tech")</f>
        <v>Deep Tech</v>
      </c>
      <c r="E863" s="6" t="str">
        <f ca="1">IFERROR(__xludf.DUMMYFUNCTION("""COMPUTED_VALUE"""),"Invite Next Year")</f>
        <v>Invite Next Year</v>
      </c>
      <c r="F863" s="6" t="e">
        <f t="shared" ca="1" si="3"/>
        <v>#NAME?</v>
      </c>
    </row>
    <row r="864" spans="1:6">
      <c r="A864" s="199">
        <f ca="1">IFERROR(__xludf.DUMMYFUNCTION("""COMPUTED_VALUE"""),44789)</f>
        <v>44789</v>
      </c>
      <c r="B864" s="6" t="str">
        <f ca="1">IFERROR(__xludf.DUMMYFUNCTION("""COMPUTED_VALUE"""),"Nebula Accounting _2022")</f>
        <v>Nebula Accounting _2022</v>
      </c>
      <c r="C864" s="6">
        <f ca="1">IFERROR(__xludf.DUMMYFUNCTION("""COMPUTED_VALUE"""),2.25)</f>
        <v>2.25</v>
      </c>
      <c r="D864" s="6" t="str">
        <f ca="1">IFERROR(__xludf.DUMMYFUNCTION("""COMPUTED_VALUE"""),"Digital Tech")</f>
        <v>Digital Tech</v>
      </c>
      <c r="E864" s="6" t="str">
        <f ca="1">IFERROR(__xludf.DUMMYFUNCTION("""COMPUTED_VALUE"""),"Invite Next Year")</f>
        <v>Invite Next Year</v>
      </c>
      <c r="F864" s="6" t="e">
        <f t="shared" ca="1" si="3"/>
        <v>#NAME?</v>
      </c>
    </row>
    <row r="865" spans="1:6">
      <c r="A865" s="199">
        <f ca="1">IFERROR(__xludf.DUMMYFUNCTION("""COMPUTED_VALUE"""),44791)</f>
        <v>44791</v>
      </c>
      <c r="B865" s="6" t="str">
        <f ca="1">IFERROR(__xludf.DUMMYFUNCTION("""COMPUTED_VALUE"""),"PraxiLabs _2022")</f>
        <v>PraxiLabs _2022</v>
      </c>
      <c r="C865" s="6">
        <f ca="1">IFERROR(__xludf.DUMMYFUNCTION("""COMPUTED_VALUE"""),2.25)</f>
        <v>2.25</v>
      </c>
      <c r="D865" s="6" t="str">
        <f ca="1">IFERROR(__xludf.DUMMYFUNCTION("""COMPUTED_VALUE"""),"Digital Tech")</f>
        <v>Digital Tech</v>
      </c>
      <c r="E865" s="6" t="str">
        <f ca="1">IFERROR(__xludf.DUMMYFUNCTION("""COMPUTED_VALUE"""),"Invite Next Year")</f>
        <v>Invite Next Year</v>
      </c>
      <c r="F865" s="6" t="e">
        <f t="shared" ca="1" si="3"/>
        <v>#NAME?</v>
      </c>
    </row>
    <row r="866" spans="1:6">
      <c r="A866" s="199">
        <f ca="1">IFERROR(__xludf.DUMMYFUNCTION("""COMPUTED_VALUE"""),44791)</f>
        <v>44791</v>
      </c>
      <c r="B866" s="6" t="str">
        <f ca="1">IFERROR(__xludf.DUMMYFUNCTION("""COMPUTED_VALUE"""),"Podi.ai _2022")</f>
        <v>Podi.ai _2022</v>
      </c>
      <c r="C866" s="6">
        <f ca="1">IFERROR(__xludf.DUMMYFUNCTION("""COMPUTED_VALUE"""),2.25)</f>
        <v>2.25</v>
      </c>
      <c r="D866" s="6" t="str">
        <f ca="1">IFERROR(__xludf.DUMMYFUNCTION("""COMPUTED_VALUE"""),"Digital Tech")</f>
        <v>Digital Tech</v>
      </c>
      <c r="E866" s="6" t="str">
        <f ca="1">IFERROR(__xludf.DUMMYFUNCTION("""COMPUTED_VALUE"""),"Invite Next Year")</f>
        <v>Invite Next Year</v>
      </c>
      <c r="F866" s="6" t="e">
        <f t="shared" ca="1" si="3"/>
        <v>#NAME?</v>
      </c>
    </row>
    <row r="867" spans="1:6">
      <c r="A867" s="199">
        <f ca="1">IFERROR(__xludf.DUMMYFUNCTION("""COMPUTED_VALUE"""),44791)</f>
        <v>44791</v>
      </c>
      <c r="B867" s="6" t="str">
        <f ca="1">IFERROR(__xludf.DUMMYFUNCTION("""COMPUTED_VALUE"""),"bringy _2022")</f>
        <v>bringy _2022</v>
      </c>
      <c r="C867" s="6">
        <f ca="1">IFERROR(__xludf.DUMMYFUNCTION("""COMPUTED_VALUE"""),2.25)</f>
        <v>2.25</v>
      </c>
      <c r="D867" s="6" t="str">
        <f ca="1">IFERROR(__xludf.DUMMYFUNCTION("""COMPUTED_VALUE"""),"Digital Tech")</f>
        <v>Digital Tech</v>
      </c>
      <c r="E867" s="6" t="str">
        <f ca="1">IFERROR(__xludf.DUMMYFUNCTION("""COMPUTED_VALUE"""),"Invite Next Year")</f>
        <v>Invite Next Year</v>
      </c>
      <c r="F867" s="6" t="e">
        <f t="shared" ca="1" si="3"/>
        <v>#NAME?</v>
      </c>
    </row>
    <row r="868" spans="1:6">
      <c r="A868" s="199">
        <f ca="1">IFERROR(__xludf.DUMMYFUNCTION("""COMPUTED_VALUE"""),44791)</f>
        <v>44791</v>
      </c>
      <c r="B868" s="6" t="str">
        <f ca="1">IFERROR(__xludf.DUMMYFUNCTION("""COMPUTED_VALUE"""),"CShell Health _2022")</f>
        <v>CShell Health _2022</v>
      </c>
      <c r="C868" s="6">
        <f ca="1">IFERROR(__xludf.DUMMYFUNCTION("""COMPUTED_VALUE"""),2.25)</f>
        <v>2.25</v>
      </c>
      <c r="D868" s="6" t="str">
        <f ca="1">IFERROR(__xludf.DUMMYFUNCTION("""COMPUTED_VALUE"""),"Digital Tech")</f>
        <v>Digital Tech</v>
      </c>
      <c r="E868" s="6" t="str">
        <f ca="1">IFERROR(__xludf.DUMMYFUNCTION("""COMPUTED_VALUE"""),"Invite Next Year")</f>
        <v>Invite Next Year</v>
      </c>
      <c r="F868" s="6" t="e">
        <f t="shared" ca="1" si="3"/>
        <v>#NAME?</v>
      </c>
    </row>
    <row r="869" spans="1:6">
      <c r="A869" s="199">
        <f ca="1">IFERROR(__xludf.DUMMYFUNCTION("""COMPUTED_VALUE"""),44791)</f>
        <v>44791</v>
      </c>
      <c r="B869" s="6" t="str">
        <f ca="1">IFERROR(__xludf.DUMMYFUNCTION("""COMPUTED_VALUE"""),"Alloy Software GmbH _2022")</f>
        <v>Alloy Software GmbH _2022</v>
      </c>
      <c r="C869" s="6">
        <f ca="1">IFERROR(__xludf.DUMMYFUNCTION("""COMPUTED_VALUE"""),2.25)</f>
        <v>2.25</v>
      </c>
      <c r="D869" s="6" t="str">
        <f ca="1">IFERROR(__xludf.DUMMYFUNCTION("""COMPUTED_VALUE"""),"Digital Tech")</f>
        <v>Digital Tech</v>
      </c>
      <c r="E869" s="6" t="str">
        <f ca="1">IFERROR(__xludf.DUMMYFUNCTION("""COMPUTED_VALUE"""),"Invite Next Year")</f>
        <v>Invite Next Year</v>
      </c>
      <c r="F869" s="6" t="e">
        <f t="shared" ca="1" si="3"/>
        <v>#NAME?</v>
      </c>
    </row>
    <row r="870" spans="1:6">
      <c r="A870" s="199">
        <f ca="1">IFERROR(__xludf.DUMMYFUNCTION("""COMPUTED_VALUE"""),44791)</f>
        <v>44791</v>
      </c>
      <c r="B870" s="6" t="str">
        <f ca="1">IFERROR(__xludf.DUMMYFUNCTION("""COMPUTED_VALUE"""),"Cromatic _2022")</f>
        <v>Cromatic _2022</v>
      </c>
      <c r="C870" s="6">
        <f ca="1">IFERROR(__xludf.DUMMYFUNCTION("""COMPUTED_VALUE"""),2.25)</f>
        <v>2.25</v>
      </c>
      <c r="D870" s="6" t="str">
        <f ca="1">IFERROR(__xludf.DUMMYFUNCTION("""COMPUTED_VALUE"""),"Digital Tech")</f>
        <v>Digital Tech</v>
      </c>
      <c r="E870" s="6" t="str">
        <f ca="1">IFERROR(__xludf.DUMMYFUNCTION("""COMPUTED_VALUE"""),"Invite Next Year")</f>
        <v>Invite Next Year</v>
      </c>
      <c r="F870" s="6" t="e">
        <f t="shared" ca="1" si="3"/>
        <v>#NAME?</v>
      </c>
    </row>
    <row r="871" spans="1:6">
      <c r="A871" s="199">
        <f ca="1">IFERROR(__xludf.DUMMYFUNCTION("""COMPUTED_VALUE"""),44791)</f>
        <v>44791</v>
      </c>
      <c r="B871" s="6" t="str">
        <f ca="1">IFERROR(__xludf.DUMMYFUNCTION("""COMPUTED_VALUE"""),"TRAFFpass _2022")</f>
        <v>TRAFFpass _2022</v>
      </c>
      <c r="C871" s="6">
        <f ca="1">IFERROR(__xludf.DUMMYFUNCTION("""COMPUTED_VALUE"""),2.25)</f>
        <v>2.25</v>
      </c>
      <c r="D871" s="6" t="str">
        <f ca="1">IFERROR(__xludf.DUMMYFUNCTION("""COMPUTED_VALUE"""),"Deep Tech")</f>
        <v>Deep Tech</v>
      </c>
      <c r="E871" s="6" t="str">
        <f ca="1">IFERROR(__xludf.DUMMYFUNCTION("""COMPUTED_VALUE"""),"Invite Next Year")</f>
        <v>Invite Next Year</v>
      </c>
      <c r="F871" s="6" t="e">
        <f t="shared" ca="1" si="3"/>
        <v>#NAME?</v>
      </c>
    </row>
    <row r="872" spans="1:6">
      <c r="A872" s="199">
        <f ca="1">IFERROR(__xludf.DUMMYFUNCTION("""COMPUTED_VALUE"""),44791)</f>
        <v>44791</v>
      </c>
      <c r="B872" s="6" t="str">
        <f ca="1">IFERROR(__xludf.DUMMYFUNCTION("""COMPUTED_VALUE"""),"Flow Recovery Limited _2022")</f>
        <v>Flow Recovery Limited _2022</v>
      </c>
      <c r="C872" s="6">
        <f ca="1">IFERROR(__xludf.DUMMYFUNCTION("""COMPUTED_VALUE"""),2.25)</f>
        <v>2.25</v>
      </c>
      <c r="D872" s="6" t="str">
        <f ca="1">IFERROR(__xludf.DUMMYFUNCTION("""COMPUTED_VALUE"""),"Deep Tech")</f>
        <v>Deep Tech</v>
      </c>
      <c r="E872" s="6" t="str">
        <f ca="1">IFERROR(__xludf.DUMMYFUNCTION("""COMPUTED_VALUE"""),"Special Reject")</f>
        <v>Special Reject</v>
      </c>
      <c r="F872" s="6" t="e">
        <f t="shared" ca="1" si="3"/>
        <v>#NAME?</v>
      </c>
    </row>
    <row r="873" spans="1:6">
      <c r="A873" s="199">
        <f ca="1">IFERROR(__xludf.DUMMYFUNCTION("""COMPUTED_VALUE"""),44791)</f>
        <v>44791</v>
      </c>
      <c r="B873" s="6" t="str">
        <f ca="1">IFERROR(__xludf.DUMMYFUNCTION("""COMPUTED_VALUE"""),"AgriVijay _2022")</f>
        <v>AgriVijay _2022</v>
      </c>
      <c r="C873" s="6">
        <f ca="1">IFERROR(__xludf.DUMMYFUNCTION("""COMPUTED_VALUE"""),2.25)</f>
        <v>2.25</v>
      </c>
      <c r="D873" s="6" t="str">
        <f ca="1">IFERROR(__xludf.DUMMYFUNCTION("""COMPUTED_VALUE"""),"Deep Tech")</f>
        <v>Deep Tech</v>
      </c>
      <c r="E873" s="6" t="str">
        <f ca="1">IFERROR(__xludf.DUMMYFUNCTION("""COMPUTED_VALUE"""),"Invite Next Year")</f>
        <v>Invite Next Year</v>
      </c>
      <c r="F873" s="6" t="e">
        <f t="shared" ca="1" si="3"/>
        <v>#NAME?</v>
      </c>
    </row>
    <row r="874" spans="1:6">
      <c r="A874" s="199">
        <f ca="1">IFERROR(__xludf.DUMMYFUNCTION("""COMPUTED_VALUE"""),44796)</f>
        <v>44796</v>
      </c>
      <c r="B874" s="6" t="str">
        <f ca="1">IFERROR(__xludf.DUMMYFUNCTION("""COMPUTED_VALUE"""),"YRIKKA _2022")</f>
        <v>YRIKKA _2022</v>
      </c>
      <c r="C874" s="6">
        <f ca="1">IFERROR(__xludf.DUMMYFUNCTION("""COMPUTED_VALUE"""),2.25)</f>
        <v>2.25</v>
      </c>
      <c r="D874" s="6" t="str">
        <f ca="1">IFERROR(__xludf.DUMMYFUNCTION("""COMPUTED_VALUE"""),"Digital Tech")</f>
        <v>Digital Tech</v>
      </c>
      <c r="E874" s="6" t="str">
        <f ca="1">IFERROR(__xludf.DUMMYFUNCTION("""COMPUTED_VALUE"""),"Invite Next Year")</f>
        <v>Invite Next Year</v>
      </c>
      <c r="F874" s="6" t="e">
        <f t="shared" ca="1" si="3"/>
        <v>#NAME?</v>
      </c>
    </row>
    <row r="875" spans="1:6">
      <c r="A875" s="199">
        <f ca="1">IFERROR(__xludf.DUMMYFUNCTION("""COMPUTED_VALUE"""),44796)</f>
        <v>44796</v>
      </c>
      <c r="B875" s="6" t="str">
        <f ca="1">IFERROR(__xludf.DUMMYFUNCTION("""COMPUTED_VALUE"""),"OYA Femtech Apparel _2022")</f>
        <v>OYA Femtech Apparel _2022</v>
      </c>
      <c r="C875" s="6">
        <f ca="1">IFERROR(__xludf.DUMMYFUNCTION("""COMPUTED_VALUE"""),2.25)</f>
        <v>2.25</v>
      </c>
      <c r="D875" s="6" t="str">
        <f ca="1">IFERROR(__xludf.DUMMYFUNCTION("""COMPUTED_VALUE"""),"Life Sciences")</f>
        <v>Life Sciences</v>
      </c>
      <c r="E875" s="6" t="str">
        <f ca="1">IFERROR(__xludf.DUMMYFUNCTION("""COMPUTED_VALUE"""),"Invite Next Year")</f>
        <v>Invite Next Year</v>
      </c>
      <c r="F875" s="6" t="e">
        <f t="shared" ca="1" si="3"/>
        <v>#NAME?</v>
      </c>
    </row>
    <row r="876" spans="1:6">
      <c r="A876" s="199">
        <f ca="1">IFERROR(__xludf.DUMMYFUNCTION("""COMPUTED_VALUE"""),44796)</f>
        <v>44796</v>
      </c>
      <c r="B876" s="6" t="str">
        <f ca="1">IFERROR(__xludf.DUMMYFUNCTION("""COMPUTED_VALUE"""),"Algor Lab _2022")</f>
        <v>Algor Lab _2022</v>
      </c>
      <c r="C876" s="6">
        <f ca="1">IFERROR(__xludf.DUMMYFUNCTION("""COMPUTED_VALUE"""),2.25)</f>
        <v>2.25</v>
      </c>
      <c r="D876" s="6" t="str">
        <f ca="1">IFERROR(__xludf.DUMMYFUNCTION("""COMPUTED_VALUE"""),"Digital Tech")</f>
        <v>Digital Tech</v>
      </c>
      <c r="E876" s="6" t="str">
        <f ca="1">IFERROR(__xludf.DUMMYFUNCTION("""COMPUTED_VALUE"""),"Invite Next Year")</f>
        <v>Invite Next Year</v>
      </c>
      <c r="F876" s="6" t="e">
        <f t="shared" ca="1" si="3"/>
        <v>#NAME?</v>
      </c>
    </row>
    <row r="877" spans="1:6">
      <c r="A877" s="199">
        <f ca="1">IFERROR(__xludf.DUMMYFUNCTION("""COMPUTED_VALUE"""),44796)</f>
        <v>44796</v>
      </c>
      <c r="B877" s="6" t="str">
        <f ca="1">IFERROR(__xludf.DUMMYFUNCTION("""COMPUTED_VALUE"""),"MissPoppins, Inc _2022")</f>
        <v>MissPoppins, Inc _2022</v>
      </c>
      <c r="C877" s="6">
        <f ca="1">IFERROR(__xludf.DUMMYFUNCTION("""COMPUTED_VALUE"""),2.25)</f>
        <v>2.25</v>
      </c>
      <c r="D877" s="6" t="str">
        <f ca="1">IFERROR(__xludf.DUMMYFUNCTION("""COMPUTED_VALUE"""),"Digital Tech")</f>
        <v>Digital Tech</v>
      </c>
      <c r="E877" s="6" t="str">
        <f ca="1">IFERROR(__xludf.DUMMYFUNCTION("""COMPUTED_VALUE"""),"Invite Next Year")</f>
        <v>Invite Next Year</v>
      </c>
      <c r="F877" s="6" t="e">
        <f t="shared" ca="1" si="3"/>
        <v>#NAME?</v>
      </c>
    </row>
    <row r="878" spans="1:6">
      <c r="A878" s="199">
        <f ca="1">IFERROR(__xludf.DUMMYFUNCTION("""COMPUTED_VALUE"""),44796)</f>
        <v>44796</v>
      </c>
      <c r="B878" s="6" t="str">
        <f ca="1">IFERROR(__xludf.DUMMYFUNCTION("""COMPUTED_VALUE"""),"Sumitt _2022")</f>
        <v>Sumitt _2022</v>
      </c>
      <c r="C878" s="6">
        <f ca="1">IFERROR(__xludf.DUMMYFUNCTION("""COMPUTED_VALUE"""),2.25)</f>
        <v>2.25</v>
      </c>
      <c r="D878" s="6" t="str">
        <f ca="1">IFERROR(__xludf.DUMMYFUNCTION("""COMPUTED_VALUE"""),"Digital Tech")</f>
        <v>Digital Tech</v>
      </c>
      <c r="E878" s="6" t="str">
        <f ca="1">IFERROR(__xludf.DUMMYFUNCTION("""COMPUTED_VALUE"""),"Invite Next Year")</f>
        <v>Invite Next Year</v>
      </c>
      <c r="F878" s="6" t="e">
        <f t="shared" ca="1" si="3"/>
        <v>#NAME?</v>
      </c>
    </row>
    <row r="879" spans="1:6">
      <c r="A879" s="199">
        <f ca="1">IFERROR(__xludf.DUMMYFUNCTION("""COMPUTED_VALUE"""),44796)</f>
        <v>44796</v>
      </c>
      <c r="B879" s="6" t="str">
        <f ca="1">IFERROR(__xludf.DUMMYFUNCTION("""COMPUTED_VALUE"""),"Omnifia _2022")</f>
        <v>Omnifia _2022</v>
      </c>
      <c r="C879" s="6">
        <f ca="1">IFERROR(__xludf.DUMMYFUNCTION("""COMPUTED_VALUE"""),2.25)</f>
        <v>2.25</v>
      </c>
      <c r="D879" s="6" t="str">
        <f ca="1">IFERROR(__xludf.DUMMYFUNCTION("""COMPUTED_VALUE"""),"Deep Tech")</f>
        <v>Deep Tech</v>
      </c>
      <c r="E879" s="6" t="str">
        <f ca="1">IFERROR(__xludf.DUMMYFUNCTION("""COMPUTED_VALUE"""),"Invite Next Year")</f>
        <v>Invite Next Year</v>
      </c>
      <c r="F879" s="6" t="e">
        <f t="shared" ca="1" si="3"/>
        <v>#NAME?</v>
      </c>
    </row>
    <row r="880" spans="1:6">
      <c r="A880" s="199">
        <f ca="1">IFERROR(__xludf.DUMMYFUNCTION("""COMPUTED_VALUE"""),44796)</f>
        <v>44796</v>
      </c>
      <c r="B880" s="6" t="str">
        <f ca="1">IFERROR(__xludf.DUMMYFUNCTION("""COMPUTED_VALUE"""),"Nutrivide Inc. _2022")</f>
        <v>Nutrivide Inc. _2022</v>
      </c>
      <c r="C880" s="6">
        <f ca="1">IFERROR(__xludf.DUMMYFUNCTION("""COMPUTED_VALUE"""),2.25)</f>
        <v>2.25</v>
      </c>
      <c r="D880" s="6" t="str">
        <f ca="1">IFERROR(__xludf.DUMMYFUNCTION("""COMPUTED_VALUE"""),"Life Sciences")</f>
        <v>Life Sciences</v>
      </c>
      <c r="E880" s="6" t="str">
        <f ca="1">IFERROR(__xludf.DUMMYFUNCTION("""COMPUTED_VALUE"""),"Invite Next Year")</f>
        <v>Invite Next Year</v>
      </c>
      <c r="F880" s="6" t="e">
        <f t="shared" ca="1" si="3"/>
        <v>#NAME?</v>
      </c>
    </row>
    <row r="881" spans="1:6">
      <c r="A881" s="199">
        <f ca="1">IFERROR(__xludf.DUMMYFUNCTION("""COMPUTED_VALUE"""),44796)</f>
        <v>44796</v>
      </c>
      <c r="B881" s="6" t="str">
        <f ca="1">IFERROR(__xludf.DUMMYFUNCTION("""COMPUTED_VALUE"""),"Dextall _2022")</f>
        <v>Dextall _2022</v>
      </c>
      <c r="C881" s="6">
        <f ca="1">IFERROR(__xludf.DUMMYFUNCTION("""COMPUTED_VALUE"""),2.25)</f>
        <v>2.25</v>
      </c>
      <c r="D881" s="6" t="str">
        <f ca="1">IFERROR(__xludf.DUMMYFUNCTION("""COMPUTED_VALUE"""),"Deep Tech")</f>
        <v>Deep Tech</v>
      </c>
      <c r="E881" s="6" t="str">
        <f ca="1">IFERROR(__xludf.DUMMYFUNCTION("""COMPUTED_VALUE"""),"Invite Next Year")</f>
        <v>Invite Next Year</v>
      </c>
      <c r="F881" s="6" t="e">
        <f t="shared" ca="1" si="3"/>
        <v>#NAME?</v>
      </c>
    </row>
    <row r="882" spans="1:6">
      <c r="A882" s="199">
        <f ca="1">IFERROR(__xludf.DUMMYFUNCTION("""COMPUTED_VALUE"""),44797)</f>
        <v>44797</v>
      </c>
      <c r="B882" s="6" t="str">
        <f ca="1">IFERROR(__xludf.DUMMYFUNCTION("""COMPUTED_VALUE"""),"SuperFi Finance Ltd _2022")</f>
        <v>SuperFi Finance Ltd _2022</v>
      </c>
      <c r="C882" s="6">
        <f ca="1">IFERROR(__xludf.DUMMYFUNCTION("""COMPUTED_VALUE"""),2.25)</f>
        <v>2.25</v>
      </c>
      <c r="D882" s="6" t="str">
        <f ca="1">IFERROR(__xludf.DUMMYFUNCTION("""COMPUTED_VALUE"""),"Digital Tech")</f>
        <v>Digital Tech</v>
      </c>
      <c r="E882" s="6" t="str">
        <f ca="1">IFERROR(__xludf.DUMMYFUNCTION("""COMPUTED_VALUE"""),"Invite Next Year")</f>
        <v>Invite Next Year</v>
      </c>
      <c r="F882" s="6" t="e">
        <f t="shared" ca="1" si="3"/>
        <v>#NAME?</v>
      </c>
    </row>
    <row r="883" spans="1:6">
      <c r="A883" s="199">
        <f ca="1">IFERROR(__xludf.DUMMYFUNCTION("""COMPUTED_VALUE"""),44797)</f>
        <v>44797</v>
      </c>
      <c r="B883" s="6" t="str">
        <f ca="1">IFERROR(__xludf.DUMMYFUNCTION("""COMPUTED_VALUE"""),"Passage Health Inc. _2022")</f>
        <v>Passage Health Inc. _2022</v>
      </c>
      <c r="C883" s="6">
        <f ca="1">IFERROR(__xludf.DUMMYFUNCTION("""COMPUTED_VALUE"""),2.25)</f>
        <v>2.25</v>
      </c>
      <c r="D883" s="6" t="str">
        <f ca="1">IFERROR(__xludf.DUMMYFUNCTION("""COMPUTED_VALUE"""),"Digital Tech")</f>
        <v>Digital Tech</v>
      </c>
      <c r="E883" s="6" t="str">
        <f ca="1">IFERROR(__xludf.DUMMYFUNCTION("""COMPUTED_VALUE"""),"Invite Next Year")</f>
        <v>Invite Next Year</v>
      </c>
      <c r="F883" s="6" t="e">
        <f t="shared" ca="1" si="3"/>
        <v>#NAME?</v>
      </c>
    </row>
    <row r="884" spans="1:6">
      <c r="A884" s="199">
        <f ca="1">IFERROR(__xludf.DUMMYFUNCTION("""COMPUTED_VALUE"""),44797)</f>
        <v>44797</v>
      </c>
      <c r="B884" s="6" t="str">
        <f ca="1">IFERROR(__xludf.DUMMYFUNCTION("""COMPUTED_VALUE"""),"TEXpert AI Ltd _2022")</f>
        <v>TEXpert AI Ltd _2022</v>
      </c>
      <c r="C884" s="6">
        <f ca="1">IFERROR(__xludf.DUMMYFUNCTION("""COMPUTED_VALUE"""),2.25)</f>
        <v>2.25</v>
      </c>
      <c r="D884" s="6" t="str">
        <f ca="1">IFERROR(__xludf.DUMMYFUNCTION("""COMPUTED_VALUE"""),"Digital Tech")</f>
        <v>Digital Tech</v>
      </c>
      <c r="E884" s="6" t="str">
        <f ca="1">IFERROR(__xludf.DUMMYFUNCTION("""COMPUTED_VALUE"""),"Invite Next Year")</f>
        <v>Invite Next Year</v>
      </c>
      <c r="F884" s="6" t="e">
        <f t="shared" ca="1" si="3"/>
        <v>#NAME?</v>
      </c>
    </row>
    <row r="885" spans="1:6">
      <c r="A885" s="199">
        <f ca="1">IFERROR(__xludf.DUMMYFUNCTION("""COMPUTED_VALUE"""),44797)</f>
        <v>44797</v>
      </c>
      <c r="B885" s="6" t="str">
        <f ca="1">IFERROR(__xludf.DUMMYFUNCTION("""COMPUTED_VALUE"""),"The JaraNetwork _2022")</f>
        <v>The JaraNetwork _2022</v>
      </c>
      <c r="C885" s="6">
        <f ca="1">IFERROR(__xludf.DUMMYFUNCTION("""COMPUTED_VALUE"""),2.25)</f>
        <v>2.25</v>
      </c>
      <c r="D885" s="6" t="str">
        <f ca="1">IFERROR(__xludf.DUMMYFUNCTION("""COMPUTED_VALUE"""),"Digital Tech")</f>
        <v>Digital Tech</v>
      </c>
      <c r="E885" s="6" t="str">
        <f ca="1">IFERROR(__xludf.DUMMYFUNCTION("""COMPUTED_VALUE"""),"Invite Next Year")</f>
        <v>Invite Next Year</v>
      </c>
      <c r="F885" s="6" t="e">
        <f t="shared" ca="1" si="3"/>
        <v>#NAME?</v>
      </c>
    </row>
    <row r="886" spans="1:6">
      <c r="A886" s="199">
        <f ca="1">IFERROR(__xludf.DUMMYFUNCTION("""COMPUTED_VALUE"""),44797)</f>
        <v>44797</v>
      </c>
      <c r="B886" s="6" t="str">
        <f ca="1">IFERROR(__xludf.DUMMYFUNCTION("""COMPUTED_VALUE"""),"SiliconScapes _2022")</f>
        <v>SiliconScapes _2022</v>
      </c>
      <c r="C886" s="6">
        <f ca="1">IFERROR(__xludf.DUMMYFUNCTION("""COMPUTED_VALUE"""),2.25)</f>
        <v>2.25</v>
      </c>
      <c r="D886" s="6" t="str">
        <f ca="1">IFERROR(__xludf.DUMMYFUNCTION("""COMPUTED_VALUE"""),"Digital Tech")</f>
        <v>Digital Tech</v>
      </c>
      <c r="E886" s="6" t="str">
        <f ca="1">IFERROR(__xludf.DUMMYFUNCTION("""COMPUTED_VALUE"""),"Invite Next Year")</f>
        <v>Invite Next Year</v>
      </c>
      <c r="F886" s="6" t="e">
        <f t="shared" ca="1" si="3"/>
        <v>#NAME?</v>
      </c>
    </row>
    <row r="887" spans="1:6">
      <c r="A887" s="199">
        <f ca="1">IFERROR(__xludf.DUMMYFUNCTION("""COMPUTED_VALUE"""),44776)</f>
        <v>44776</v>
      </c>
      <c r="B887" s="6" t="str">
        <f ca="1">IFERROR(__xludf.DUMMYFUNCTION("""COMPUTED_VALUE"""),"ChargeHorizons _2022")</f>
        <v>ChargeHorizons _2022</v>
      </c>
      <c r="C887" s="6">
        <f ca="1">IFERROR(__xludf.DUMMYFUNCTION("""COMPUTED_VALUE"""),2)</f>
        <v>2</v>
      </c>
      <c r="D887" s="6" t="str">
        <f ca="1">IFERROR(__xludf.DUMMYFUNCTION("""COMPUTED_VALUE"""),"Deep Tech")</f>
        <v>Deep Tech</v>
      </c>
      <c r="E887" s="6" t="str">
        <f ca="1">IFERROR(__xludf.DUMMYFUNCTION("""COMPUTED_VALUE"""),"Invite Next Year")</f>
        <v>Invite Next Year</v>
      </c>
      <c r="F887" s="6" t="e">
        <f t="shared" ca="1" si="3"/>
        <v>#NAME?</v>
      </c>
    </row>
    <row r="888" spans="1:6">
      <c r="A888" s="199">
        <f ca="1">IFERROR(__xludf.DUMMYFUNCTION("""COMPUTED_VALUE"""),44776)</f>
        <v>44776</v>
      </c>
      <c r="B888" s="6" t="str">
        <f ca="1">IFERROR(__xludf.DUMMYFUNCTION("""COMPUTED_VALUE"""),"Nanotransfer _2022")</f>
        <v>Nanotransfer _2022</v>
      </c>
      <c r="C888" s="6">
        <f ca="1">IFERROR(__xludf.DUMMYFUNCTION("""COMPUTED_VALUE"""),2)</f>
        <v>2</v>
      </c>
      <c r="D888" s="6" t="str">
        <f ca="1">IFERROR(__xludf.DUMMYFUNCTION("""COMPUTED_VALUE"""),"Life Sciences")</f>
        <v>Life Sciences</v>
      </c>
      <c r="E888" s="6" t="str">
        <f ca="1">IFERROR(__xludf.DUMMYFUNCTION("""COMPUTED_VALUE"""),"Invite Next Year")</f>
        <v>Invite Next Year</v>
      </c>
      <c r="F888" s="6" t="e">
        <f t="shared" ca="1" si="3"/>
        <v>#NAME?</v>
      </c>
    </row>
    <row r="889" spans="1:6">
      <c r="A889" s="199">
        <f ca="1">IFERROR(__xludf.DUMMYFUNCTION("""COMPUTED_VALUE"""),44776)</f>
        <v>44776</v>
      </c>
      <c r="B889" s="6" t="str">
        <f ca="1">IFERROR(__xludf.DUMMYFUNCTION("""COMPUTED_VALUE"""),"Connecthedocks _2022")</f>
        <v>Connecthedocks _2022</v>
      </c>
      <c r="C889" s="6">
        <f ca="1">IFERROR(__xludf.DUMMYFUNCTION("""COMPUTED_VALUE"""),2)</f>
        <v>2</v>
      </c>
      <c r="D889" s="6" t="str">
        <f ca="1">IFERROR(__xludf.DUMMYFUNCTION("""COMPUTED_VALUE"""),"Digital Tech")</f>
        <v>Digital Tech</v>
      </c>
      <c r="E889" s="6" t="str">
        <f ca="1">IFERROR(__xludf.DUMMYFUNCTION("""COMPUTED_VALUE"""),"Invite Next Year")</f>
        <v>Invite Next Year</v>
      </c>
      <c r="F889" s="6" t="e">
        <f t="shared" ca="1" si="3"/>
        <v>#NAME?</v>
      </c>
    </row>
    <row r="890" spans="1:6">
      <c r="A890" s="199">
        <f ca="1">IFERROR(__xludf.DUMMYFUNCTION("""COMPUTED_VALUE"""),44776)</f>
        <v>44776</v>
      </c>
      <c r="B890" s="6" t="str">
        <f ca="1">IFERROR(__xludf.DUMMYFUNCTION("""COMPUTED_VALUE"""),"Wordcab _2022")</f>
        <v>Wordcab _2022</v>
      </c>
      <c r="C890" s="6">
        <f ca="1">IFERROR(__xludf.DUMMYFUNCTION("""COMPUTED_VALUE"""),2)</f>
        <v>2</v>
      </c>
      <c r="D890" s="6" t="str">
        <f ca="1">IFERROR(__xludf.DUMMYFUNCTION("""COMPUTED_VALUE"""),"Deep Tech")</f>
        <v>Deep Tech</v>
      </c>
      <c r="E890" s="6" t="str">
        <f ca="1">IFERROR(__xludf.DUMMYFUNCTION("""COMPUTED_VALUE"""),"Invite Next Year")</f>
        <v>Invite Next Year</v>
      </c>
      <c r="F890" s="6" t="e">
        <f t="shared" ca="1" si="3"/>
        <v>#NAME?</v>
      </c>
    </row>
    <row r="891" spans="1:6">
      <c r="A891" s="199">
        <f ca="1">IFERROR(__xludf.DUMMYFUNCTION("""COMPUTED_VALUE"""),44776)</f>
        <v>44776</v>
      </c>
      <c r="B891" s="6" t="str">
        <f ca="1">IFERROR(__xludf.DUMMYFUNCTION("""COMPUTED_VALUE"""),"Venn Paltform _2022")</f>
        <v>Venn Paltform _2022</v>
      </c>
      <c r="C891" s="6">
        <f ca="1">IFERROR(__xludf.DUMMYFUNCTION("""COMPUTED_VALUE"""),2)</f>
        <v>2</v>
      </c>
      <c r="D891" s="6" t="str">
        <f ca="1">IFERROR(__xludf.DUMMYFUNCTION("""COMPUTED_VALUE"""),"Digital Tech")</f>
        <v>Digital Tech</v>
      </c>
      <c r="E891" s="6" t="str">
        <f ca="1">IFERROR(__xludf.DUMMYFUNCTION("""COMPUTED_VALUE"""),"Invite Next Year")</f>
        <v>Invite Next Year</v>
      </c>
      <c r="F891" s="6" t="e">
        <f t="shared" ca="1" si="3"/>
        <v>#NAME?</v>
      </c>
    </row>
    <row r="892" spans="1:6">
      <c r="A892" s="199">
        <f ca="1">IFERROR(__xludf.DUMMYFUNCTION("""COMPUTED_VALUE"""),44776)</f>
        <v>44776</v>
      </c>
      <c r="B892" s="6" t="str">
        <f ca="1">IFERROR(__xludf.DUMMYFUNCTION("""COMPUTED_VALUE"""),"Anant Financial Corp. _2022")</f>
        <v>Anant Financial Corp. _2022</v>
      </c>
      <c r="C892" s="6">
        <f ca="1">IFERROR(__xludf.DUMMYFUNCTION("""COMPUTED_VALUE"""),2)</f>
        <v>2</v>
      </c>
      <c r="D892" s="6" t="str">
        <f ca="1">IFERROR(__xludf.DUMMYFUNCTION("""COMPUTED_VALUE"""),"Digital Tech")</f>
        <v>Digital Tech</v>
      </c>
      <c r="E892" s="6" t="str">
        <f ca="1">IFERROR(__xludf.DUMMYFUNCTION("""COMPUTED_VALUE"""),"Invite Next Year")</f>
        <v>Invite Next Year</v>
      </c>
      <c r="F892" s="6" t="e">
        <f t="shared" ca="1" si="3"/>
        <v>#NAME?</v>
      </c>
    </row>
    <row r="893" spans="1:6">
      <c r="A893" s="199">
        <f ca="1">IFERROR(__xludf.DUMMYFUNCTION("""COMPUTED_VALUE"""),44782)</f>
        <v>44782</v>
      </c>
      <c r="B893" s="6" t="str">
        <f ca="1">IFERROR(__xludf.DUMMYFUNCTION("""COMPUTED_VALUE"""),"Scholarship Advisors _2022")</f>
        <v>Scholarship Advisors _2022</v>
      </c>
      <c r="C893" s="6">
        <f ca="1">IFERROR(__xludf.DUMMYFUNCTION("""COMPUTED_VALUE"""),2)</f>
        <v>2</v>
      </c>
      <c r="D893" s="6" t="str">
        <f ca="1">IFERROR(__xludf.DUMMYFUNCTION("""COMPUTED_VALUE"""),"Digital Tech")</f>
        <v>Digital Tech</v>
      </c>
      <c r="E893" s="6" t="str">
        <f ca="1">IFERROR(__xludf.DUMMYFUNCTION("""COMPUTED_VALUE"""),"Invite Next Year")</f>
        <v>Invite Next Year</v>
      </c>
      <c r="F893" s="6" t="e">
        <f t="shared" ca="1" si="3"/>
        <v>#NAME?</v>
      </c>
    </row>
    <row r="894" spans="1:6">
      <c r="A894" s="199">
        <f ca="1">IFERROR(__xludf.DUMMYFUNCTION("""COMPUTED_VALUE"""),44782)</f>
        <v>44782</v>
      </c>
      <c r="B894" s="6" t="str">
        <f ca="1">IFERROR(__xludf.DUMMYFUNCTION("""COMPUTED_VALUE"""),"Realtimate Labs Private Limited _2022")</f>
        <v>Realtimate Labs Private Limited _2022</v>
      </c>
      <c r="C894" s="6">
        <f ca="1">IFERROR(__xludf.DUMMYFUNCTION("""COMPUTED_VALUE"""),2)</f>
        <v>2</v>
      </c>
      <c r="D894" s="6" t="str">
        <f ca="1">IFERROR(__xludf.DUMMYFUNCTION("""COMPUTED_VALUE"""),"Digital Tech")</f>
        <v>Digital Tech</v>
      </c>
      <c r="E894" s="6" t="str">
        <f ca="1">IFERROR(__xludf.DUMMYFUNCTION("""COMPUTED_VALUE"""),"Invite Next Year")</f>
        <v>Invite Next Year</v>
      </c>
      <c r="F894" s="6" t="e">
        <f t="shared" ca="1" si="3"/>
        <v>#NAME?</v>
      </c>
    </row>
    <row r="895" spans="1:6">
      <c r="A895" s="199">
        <f ca="1">IFERROR(__xludf.DUMMYFUNCTION("""COMPUTED_VALUE"""),44782)</f>
        <v>44782</v>
      </c>
      <c r="B895" s="6" t="str">
        <f ca="1">IFERROR(__xludf.DUMMYFUNCTION("""COMPUTED_VALUE"""),"Cogniant _2022")</f>
        <v>Cogniant _2022</v>
      </c>
      <c r="C895" s="6">
        <f ca="1">IFERROR(__xludf.DUMMYFUNCTION("""COMPUTED_VALUE"""),2)</f>
        <v>2</v>
      </c>
      <c r="D895" s="6" t="str">
        <f ca="1">IFERROR(__xludf.DUMMYFUNCTION("""COMPUTED_VALUE"""),"Life Sciences")</f>
        <v>Life Sciences</v>
      </c>
      <c r="E895" s="6" t="str">
        <f ca="1">IFERROR(__xludf.DUMMYFUNCTION("""COMPUTED_VALUE"""),"Invite Next Year")</f>
        <v>Invite Next Year</v>
      </c>
      <c r="F895" s="6" t="e">
        <f t="shared" ca="1" si="3"/>
        <v>#NAME?</v>
      </c>
    </row>
    <row r="896" spans="1:6">
      <c r="A896" s="199">
        <f ca="1">IFERROR(__xludf.DUMMYFUNCTION("""COMPUTED_VALUE"""),44782)</f>
        <v>44782</v>
      </c>
      <c r="B896" s="6" t="str">
        <f ca="1">IFERROR(__xludf.DUMMYFUNCTION("""COMPUTED_VALUE"""),"Cara7 _2022")</f>
        <v>Cara7 _2022</v>
      </c>
      <c r="C896" s="6">
        <f ca="1">IFERROR(__xludf.DUMMYFUNCTION("""COMPUTED_VALUE"""),2)</f>
        <v>2</v>
      </c>
      <c r="D896" s="6" t="str">
        <f ca="1">IFERROR(__xludf.DUMMYFUNCTION("""COMPUTED_VALUE"""),"Digital Tech")</f>
        <v>Digital Tech</v>
      </c>
      <c r="E896" s="6" t="str">
        <f ca="1">IFERROR(__xludf.DUMMYFUNCTION("""COMPUTED_VALUE"""),"Invite Next Year")</f>
        <v>Invite Next Year</v>
      </c>
      <c r="F896" s="6" t="e">
        <f t="shared" ca="1" si="3"/>
        <v>#NAME?</v>
      </c>
    </row>
    <row r="897" spans="1:6">
      <c r="A897" s="199">
        <f ca="1">IFERROR(__xludf.DUMMYFUNCTION("""COMPUTED_VALUE"""),44782)</f>
        <v>44782</v>
      </c>
      <c r="B897" s="6" t="str">
        <f ca="1">IFERROR(__xludf.DUMMYFUNCTION("""COMPUTED_VALUE"""),"Zr3i _2022")</f>
        <v>Zr3i _2022</v>
      </c>
      <c r="C897" s="6">
        <f ca="1">IFERROR(__xludf.DUMMYFUNCTION("""COMPUTED_VALUE"""),2)</f>
        <v>2</v>
      </c>
      <c r="D897" s="6" t="str">
        <f ca="1">IFERROR(__xludf.DUMMYFUNCTION("""COMPUTED_VALUE"""),"Digital Tech")</f>
        <v>Digital Tech</v>
      </c>
      <c r="E897" s="6" t="str">
        <f ca="1">IFERROR(__xludf.DUMMYFUNCTION("""COMPUTED_VALUE"""),"Invite Next Year")</f>
        <v>Invite Next Year</v>
      </c>
      <c r="F897" s="6" t="e">
        <f t="shared" ca="1" si="3"/>
        <v>#NAME?</v>
      </c>
    </row>
    <row r="898" spans="1:6">
      <c r="A898" s="199">
        <f ca="1">IFERROR(__xludf.DUMMYFUNCTION("""COMPUTED_VALUE"""),44782)</f>
        <v>44782</v>
      </c>
      <c r="B898" s="6" t="str">
        <f ca="1">IFERROR(__xludf.DUMMYFUNCTION("""COMPUTED_VALUE"""),"SymbEx  _2022")</f>
        <v>SymbEx  _2022</v>
      </c>
      <c r="C898" s="6">
        <f ca="1">IFERROR(__xludf.DUMMYFUNCTION("""COMPUTED_VALUE"""),2)</f>
        <v>2</v>
      </c>
      <c r="D898" s="6" t="str">
        <f ca="1">IFERROR(__xludf.DUMMYFUNCTION("""COMPUTED_VALUE"""),"Digital Tech")</f>
        <v>Digital Tech</v>
      </c>
      <c r="E898" s="6" t="str">
        <f ca="1">IFERROR(__xludf.DUMMYFUNCTION("""COMPUTED_VALUE"""),"Invite Next Year")</f>
        <v>Invite Next Year</v>
      </c>
      <c r="F898" s="6" t="e">
        <f t="shared" ca="1" si="3"/>
        <v>#NAME?</v>
      </c>
    </row>
    <row r="899" spans="1:6">
      <c r="A899" s="199">
        <f ca="1">IFERROR(__xludf.DUMMYFUNCTION("""COMPUTED_VALUE"""),44782)</f>
        <v>44782</v>
      </c>
      <c r="B899" s="6" t="str">
        <f ca="1">IFERROR(__xludf.DUMMYFUNCTION("""COMPUTED_VALUE"""),"Abacube AB _2022")</f>
        <v>Abacube AB _2022</v>
      </c>
      <c r="C899" s="6">
        <f ca="1">IFERROR(__xludf.DUMMYFUNCTION("""COMPUTED_VALUE"""),2)</f>
        <v>2</v>
      </c>
      <c r="D899" s="6" t="str">
        <f ca="1">IFERROR(__xludf.DUMMYFUNCTION("""COMPUTED_VALUE"""),"Digital Tech")</f>
        <v>Digital Tech</v>
      </c>
      <c r="E899" s="6" t="str">
        <f ca="1">IFERROR(__xludf.DUMMYFUNCTION("""COMPUTED_VALUE"""),"Invite Next Year")</f>
        <v>Invite Next Year</v>
      </c>
      <c r="F899" s="6" t="e">
        <f t="shared" ca="1" si="3"/>
        <v>#NAME?</v>
      </c>
    </row>
    <row r="900" spans="1:6">
      <c r="A900" s="199">
        <f ca="1">IFERROR(__xludf.DUMMYFUNCTION("""COMPUTED_VALUE"""),44784)</f>
        <v>44784</v>
      </c>
      <c r="B900" s="6" t="str">
        <f ca="1">IFERROR(__xludf.DUMMYFUNCTION("""COMPUTED_VALUE"""),"Exirio _2022")</f>
        <v>Exirio _2022</v>
      </c>
      <c r="C900" s="6">
        <f ca="1">IFERROR(__xludf.DUMMYFUNCTION("""COMPUTED_VALUE"""),2)</f>
        <v>2</v>
      </c>
      <c r="D900" s="6" t="str">
        <f ca="1">IFERROR(__xludf.DUMMYFUNCTION("""COMPUTED_VALUE"""),"Digital Tech")</f>
        <v>Digital Tech</v>
      </c>
      <c r="E900" s="6" t="str">
        <f ca="1">IFERROR(__xludf.DUMMYFUNCTION("""COMPUTED_VALUE"""),"Invite Next Year")</f>
        <v>Invite Next Year</v>
      </c>
      <c r="F900" s="6" t="e">
        <f t="shared" ca="1" si="3"/>
        <v>#NAME?</v>
      </c>
    </row>
    <row r="901" spans="1:6">
      <c r="A901" s="199">
        <f ca="1">IFERROR(__xludf.DUMMYFUNCTION("""COMPUTED_VALUE"""),44784)</f>
        <v>44784</v>
      </c>
      <c r="B901" s="6" t="str">
        <f ca="1">IFERROR(__xludf.DUMMYFUNCTION("""COMPUTED_VALUE"""),"Ujama Incorporated _2022")</f>
        <v>Ujama Incorporated _2022</v>
      </c>
      <c r="C901" s="6">
        <f ca="1">IFERROR(__xludf.DUMMYFUNCTION("""COMPUTED_VALUE"""),2)</f>
        <v>2</v>
      </c>
      <c r="D901" s="6" t="str">
        <f ca="1">IFERROR(__xludf.DUMMYFUNCTION("""COMPUTED_VALUE"""),"Digital Tech")</f>
        <v>Digital Tech</v>
      </c>
      <c r="E901" s="6" t="str">
        <f ca="1">IFERROR(__xludf.DUMMYFUNCTION("""COMPUTED_VALUE"""),"Invite Next Year")</f>
        <v>Invite Next Year</v>
      </c>
      <c r="F901" s="6" t="e">
        <f t="shared" ca="1" si="3"/>
        <v>#NAME?</v>
      </c>
    </row>
    <row r="902" spans="1:6">
      <c r="A902" s="199">
        <f ca="1">IFERROR(__xludf.DUMMYFUNCTION("""COMPUTED_VALUE"""),44784)</f>
        <v>44784</v>
      </c>
      <c r="B902" s="6" t="str">
        <f ca="1">IFERROR(__xludf.DUMMYFUNCTION("""COMPUTED_VALUE"""),"Areto Labs _2022")</f>
        <v>Areto Labs _2022</v>
      </c>
      <c r="C902" s="6">
        <f ca="1">IFERROR(__xludf.DUMMYFUNCTION("""COMPUTED_VALUE"""),2)</f>
        <v>2</v>
      </c>
      <c r="D902" s="6" t="str">
        <f ca="1">IFERROR(__xludf.DUMMYFUNCTION("""COMPUTED_VALUE"""),"Digital Tech")</f>
        <v>Digital Tech</v>
      </c>
      <c r="E902" s="6" t="str">
        <f ca="1">IFERROR(__xludf.DUMMYFUNCTION("""COMPUTED_VALUE"""),"Invite Next Year")</f>
        <v>Invite Next Year</v>
      </c>
      <c r="F902" s="6" t="e">
        <f t="shared" ca="1" si="3"/>
        <v>#NAME?</v>
      </c>
    </row>
    <row r="903" spans="1:6">
      <c r="A903" s="199">
        <f ca="1">IFERROR(__xludf.DUMMYFUNCTION("""COMPUTED_VALUE"""),44784)</f>
        <v>44784</v>
      </c>
      <c r="B903" s="6" t="str">
        <f ca="1">IFERROR(__xludf.DUMMYFUNCTION("""COMPUTED_VALUE"""),"iThrive _2022")</f>
        <v>iThrive _2022</v>
      </c>
      <c r="C903" s="6">
        <f ca="1">IFERROR(__xludf.DUMMYFUNCTION("""COMPUTED_VALUE"""),2)</f>
        <v>2</v>
      </c>
      <c r="D903" s="6" t="str">
        <f ca="1">IFERROR(__xludf.DUMMYFUNCTION("""COMPUTED_VALUE"""),"Digital Tech")</f>
        <v>Digital Tech</v>
      </c>
      <c r="E903" s="6" t="str">
        <f ca="1">IFERROR(__xludf.DUMMYFUNCTION("""COMPUTED_VALUE"""),"Invite Next Year")</f>
        <v>Invite Next Year</v>
      </c>
      <c r="F903" s="6" t="e">
        <f t="shared" ca="1" si="3"/>
        <v>#NAME?</v>
      </c>
    </row>
    <row r="904" spans="1:6">
      <c r="A904" s="199">
        <f ca="1">IFERROR(__xludf.DUMMYFUNCTION("""COMPUTED_VALUE"""),44784)</f>
        <v>44784</v>
      </c>
      <c r="B904" s="6" t="str">
        <f ca="1">IFERROR(__xludf.DUMMYFUNCTION("""COMPUTED_VALUE"""),"ADRESS AS _2022")</f>
        <v>ADRESS AS _2022</v>
      </c>
      <c r="C904" s="6">
        <f ca="1">IFERROR(__xludf.DUMMYFUNCTION("""COMPUTED_VALUE"""),2)</f>
        <v>2</v>
      </c>
      <c r="D904" s="6" t="str">
        <f ca="1">IFERROR(__xludf.DUMMYFUNCTION("""COMPUTED_VALUE"""),"Digital Tech")</f>
        <v>Digital Tech</v>
      </c>
      <c r="E904" s="6" t="str">
        <f ca="1">IFERROR(__xludf.DUMMYFUNCTION("""COMPUTED_VALUE"""),"Invite Next Year")</f>
        <v>Invite Next Year</v>
      </c>
      <c r="F904" s="6" t="e">
        <f t="shared" ca="1" si="3"/>
        <v>#NAME?</v>
      </c>
    </row>
    <row r="905" spans="1:6">
      <c r="A905" s="199">
        <f ca="1">IFERROR(__xludf.DUMMYFUNCTION("""COMPUTED_VALUE"""),44784)</f>
        <v>44784</v>
      </c>
      <c r="B905" s="6" t="str">
        <f ca="1">IFERROR(__xludf.DUMMYFUNCTION("""COMPUTED_VALUE"""),"Agrapp _2022")</f>
        <v>Agrapp _2022</v>
      </c>
      <c r="C905" s="6">
        <f ca="1">IFERROR(__xludf.DUMMYFUNCTION("""COMPUTED_VALUE"""),2)</f>
        <v>2</v>
      </c>
      <c r="D905" s="6" t="str">
        <f ca="1">IFERROR(__xludf.DUMMYFUNCTION("""COMPUTED_VALUE"""),"Digital Tech")</f>
        <v>Digital Tech</v>
      </c>
      <c r="E905" s="6" t="str">
        <f ca="1">IFERROR(__xludf.DUMMYFUNCTION("""COMPUTED_VALUE"""),"Invite Next Year")</f>
        <v>Invite Next Year</v>
      </c>
      <c r="F905" s="6" t="e">
        <f t="shared" ca="1" si="3"/>
        <v>#NAME?</v>
      </c>
    </row>
    <row r="906" spans="1:6">
      <c r="A906" s="199">
        <f ca="1">IFERROR(__xludf.DUMMYFUNCTION("""COMPUTED_VALUE"""),44784)</f>
        <v>44784</v>
      </c>
      <c r="B906" s="6" t="str">
        <f ca="1">IFERROR(__xludf.DUMMYFUNCTION("""COMPUTED_VALUE"""),"Loop _2022")</f>
        <v>Loop _2022</v>
      </c>
      <c r="C906" s="6">
        <f ca="1">IFERROR(__xludf.DUMMYFUNCTION("""COMPUTED_VALUE"""),2)</f>
        <v>2</v>
      </c>
      <c r="D906" s="6" t="str">
        <f ca="1">IFERROR(__xludf.DUMMYFUNCTION("""COMPUTED_VALUE"""),"Deep Tech")</f>
        <v>Deep Tech</v>
      </c>
      <c r="E906" s="6" t="str">
        <f ca="1">IFERROR(__xludf.DUMMYFUNCTION("""COMPUTED_VALUE"""),"Invite Next Year")</f>
        <v>Invite Next Year</v>
      </c>
      <c r="F906" s="6" t="e">
        <f t="shared" ca="1" si="3"/>
        <v>#NAME?</v>
      </c>
    </row>
    <row r="907" spans="1:6">
      <c r="A907" s="199">
        <f ca="1">IFERROR(__xludf.DUMMYFUNCTION("""COMPUTED_VALUE"""),44784)</f>
        <v>44784</v>
      </c>
      <c r="B907" s="6" t="str">
        <f ca="1">IFERROR(__xludf.DUMMYFUNCTION("""COMPUTED_VALUE"""),"BioXycle _2022")</f>
        <v>BioXycle _2022</v>
      </c>
      <c r="C907" s="6">
        <f ca="1">IFERROR(__xludf.DUMMYFUNCTION("""COMPUTED_VALUE"""),2)</f>
        <v>2</v>
      </c>
      <c r="D907" s="6" t="str">
        <f ca="1">IFERROR(__xludf.DUMMYFUNCTION("""COMPUTED_VALUE"""),"Deep Tech")</f>
        <v>Deep Tech</v>
      </c>
      <c r="E907" s="6" t="str">
        <f ca="1">IFERROR(__xludf.DUMMYFUNCTION("""COMPUTED_VALUE"""),"Invite Next Year")</f>
        <v>Invite Next Year</v>
      </c>
      <c r="F907" s="6" t="e">
        <f t="shared" ca="1" si="3"/>
        <v>#NAME?</v>
      </c>
    </row>
    <row r="908" spans="1:6">
      <c r="A908" s="199">
        <f ca="1">IFERROR(__xludf.DUMMYFUNCTION("""COMPUTED_VALUE"""),44784)</f>
        <v>44784</v>
      </c>
      <c r="B908" s="6" t="str">
        <f ca="1">IFERROR(__xludf.DUMMYFUNCTION("""COMPUTED_VALUE"""),"Hyperhuman _2022")</f>
        <v>Hyperhuman _2022</v>
      </c>
      <c r="C908" s="6">
        <f ca="1">IFERROR(__xludf.DUMMYFUNCTION("""COMPUTED_VALUE"""),2)</f>
        <v>2</v>
      </c>
      <c r="D908" s="6" t="str">
        <f ca="1">IFERROR(__xludf.DUMMYFUNCTION("""COMPUTED_VALUE"""),"Digital Tech")</f>
        <v>Digital Tech</v>
      </c>
      <c r="E908" s="6" t="str">
        <f ca="1">IFERROR(__xludf.DUMMYFUNCTION("""COMPUTED_VALUE"""),"Invite Next Year")</f>
        <v>Invite Next Year</v>
      </c>
      <c r="F908" s="6" t="e">
        <f t="shared" ca="1" si="3"/>
        <v>#NAME?</v>
      </c>
    </row>
    <row r="909" spans="1:6">
      <c r="A909" s="199">
        <f ca="1">IFERROR(__xludf.DUMMYFUNCTION("""COMPUTED_VALUE"""),44784)</f>
        <v>44784</v>
      </c>
      <c r="B909" s="6" t="str">
        <f ca="1">IFERROR(__xludf.DUMMYFUNCTION("""COMPUTED_VALUE"""),"ALTRA ERC LTD _2022")</f>
        <v>ALTRA ERC LTD _2022</v>
      </c>
      <c r="C909" s="6">
        <f ca="1">IFERROR(__xludf.DUMMYFUNCTION("""COMPUTED_VALUE"""),2)</f>
        <v>2</v>
      </c>
      <c r="D909" s="6" t="str">
        <f ca="1">IFERROR(__xludf.DUMMYFUNCTION("""COMPUTED_VALUE"""),"Digital Tech")</f>
        <v>Digital Tech</v>
      </c>
      <c r="E909" s="6" t="str">
        <f ca="1">IFERROR(__xludf.DUMMYFUNCTION("""COMPUTED_VALUE"""),"Invite Next Year")</f>
        <v>Invite Next Year</v>
      </c>
      <c r="F909" s="6" t="e">
        <f t="shared" ca="1" si="3"/>
        <v>#NAME?</v>
      </c>
    </row>
    <row r="910" spans="1:6">
      <c r="A910" s="199">
        <f ca="1">IFERROR(__xludf.DUMMYFUNCTION("""COMPUTED_VALUE"""),44784)</f>
        <v>44784</v>
      </c>
      <c r="B910" s="6" t="str">
        <f ca="1">IFERROR(__xludf.DUMMYFUNCTION("""COMPUTED_VALUE"""),"EPDL LTD _2022")</f>
        <v>EPDL LTD _2022</v>
      </c>
      <c r="C910" s="6">
        <f ca="1">IFERROR(__xludf.DUMMYFUNCTION("""COMPUTED_VALUE"""),2)</f>
        <v>2</v>
      </c>
      <c r="D910" s="6" t="str">
        <f ca="1">IFERROR(__xludf.DUMMYFUNCTION("""COMPUTED_VALUE"""),"Digital Tech")</f>
        <v>Digital Tech</v>
      </c>
      <c r="E910" s="6" t="str">
        <f ca="1">IFERROR(__xludf.DUMMYFUNCTION("""COMPUTED_VALUE"""),"Invite Next Year")</f>
        <v>Invite Next Year</v>
      </c>
      <c r="F910" s="6" t="e">
        <f t="shared" ca="1" si="3"/>
        <v>#NAME?</v>
      </c>
    </row>
    <row r="911" spans="1:6">
      <c r="A911" s="199">
        <f ca="1">IFERROR(__xludf.DUMMYFUNCTION("""COMPUTED_VALUE"""),44784)</f>
        <v>44784</v>
      </c>
      <c r="B911" s="6" t="str">
        <f ca="1">IFERROR(__xludf.DUMMYFUNCTION("""COMPUTED_VALUE"""),"AdHear Health _2022")</f>
        <v>AdHear Health _2022</v>
      </c>
      <c r="C911" s="6">
        <f ca="1">IFERROR(__xludf.DUMMYFUNCTION("""COMPUTED_VALUE"""),2)</f>
        <v>2</v>
      </c>
      <c r="D911" s="6" t="str">
        <f ca="1">IFERROR(__xludf.DUMMYFUNCTION("""COMPUTED_VALUE"""),"Digital Tech")</f>
        <v>Digital Tech</v>
      </c>
      <c r="E911" s="6" t="str">
        <f ca="1">IFERROR(__xludf.DUMMYFUNCTION("""COMPUTED_VALUE"""),"Invite Next Year")</f>
        <v>Invite Next Year</v>
      </c>
      <c r="F911" s="6" t="e">
        <f t="shared" ca="1" si="3"/>
        <v>#NAME?</v>
      </c>
    </row>
    <row r="912" spans="1:6">
      <c r="A912" s="199">
        <f ca="1">IFERROR(__xludf.DUMMYFUNCTION("""COMPUTED_VALUE"""),44784)</f>
        <v>44784</v>
      </c>
      <c r="B912" s="6" t="str">
        <f ca="1">IFERROR(__xludf.DUMMYFUNCTION("""COMPUTED_VALUE"""),"Doji _2022")</f>
        <v>Doji _2022</v>
      </c>
      <c r="C912" s="6">
        <f ca="1">IFERROR(__xludf.DUMMYFUNCTION("""COMPUTED_VALUE"""),2)</f>
        <v>2</v>
      </c>
      <c r="D912" s="6" t="str">
        <f ca="1">IFERROR(__xludf.DUMMYFUNCTION("""COMPUTED_VALUE"""),"Digital Tech")</f>
        <v>Digital Tech</v>
      </c>
      <c r="E912" s="6" t="str">
        <f ca="1">IFERROR(__xludf.DUMMYFUNCTION("""COMPUTED_VALUE"""),"Invite Next Year")</f>
        <v>Invite Next Year</v>
      </c>
      <c r="F912" s="6" t="e">
        <f t="shared" ca="1" si="3"/>
        <v>#NAME?</v>
      </c>
    </row>
    <row r="913" spans="1:6">
      <c r="A913" s="199">
        <f ca="1">IFERROR(__xludf.DUMMYFUNCTION("""COMPUTED_VALUE"""),44784)</f>
        <v>44784</v>
      </c>
      <c r="B913" s="6" t="str">
        <f ca="1">IFERROR(__xludf.DUMMYFUNCTION("""COMPUTED_VALUE"""),"Vinum Collection _2022")</f>
        <v>Vinum Collection _2022</v>
      </c>
      <c r="C913" s="6">
        <f ca="1">IFERROR(__xludf.DUMMYFUNCTION("""COMPUTED_VALUE"""),2)</f>
        <v>2</v>
      </c>
      <c r="D913" s="6" t="str">
        <f ca="1">IFERROR(__xludf.DUMMYFUNCTION("""COMPUTED_VALUE"""),"Digital Tech")</f>
        <v>Digital Tech</v>
      </c>
      <c r="E913" s="6" t="str">
        <f ca="1">IFERROR(__xludf.DUMMYFUNCTION("""COMPUTED_VALUE"""),"Invite Next Year")</f>
        <v>Invite Next Year</v>
      </c>
      <c r="F913" s="6" t="e">
        <f t="shared" ca="1" si="3"/>
        <v>#NAME?</v>
      </c>
    </row>
    <row r="914" spans="1:6">
      <c r="A914" s="199">
        <f ca="1">IFERROR(__xludf.DUMMYFUNCTION("""COMPUTED_VALUE"""),44784)</f>
        <v>44784</v>
      </c>
      <c r="B914" s="6" t="str">
        <f ca="1">IFERROR(__xludf.DUMMYFUNCTION("""COMPUTED_VALUE"""),"OnMyGrad _2022")</f>
        <v>OnMyGrad _2022</v>
      </c>
      <c r="C914" s="6">
        <f ca="1">IFERROR(__xludf.DUMMYFUNCTION("""COMPUTED_VALUE"""),2)</f>
        <v>2</v>
      </c>
      <c r="D914" s="6" t="str">
        <f ca="1">IFERROR(__xludf.DUMMYFUNCTION("""COMPUTED_VALUE"""),"Digital Tech")</f>
        <v>Digital Tech</v>
      </c>
      <c r="E914" s="6" t="str">
        <f ca="1">IFERROR(__xludf.DUMMYFUNCTION("""COMPUTED_VALUE"""),"Invite Next Year")</f>
        <v>Invite Next Year</v>
      </c>
      <c r="F914" s="6" t="e">
        <f t="shared" ca="1" si="3"/>
        <v>#NAME?</v>
      </c>
    </row>
    <row r="915" spans="1:6">
      <c r="A915" s="199">
        <f ca="1">IFERROR(__xludf.DUMMYFUNCTION("""COMPUTED_VALUE"""),44784)</f>
        <v>44784</v>
      </c>
      <c r="B915" s="6" t="str">
        <f ca="1">IFERROR(__xludf.DUMMYFUNCTION("""COMPUTED_VALUE"""),"Hundred Technology MENA DMCC _2022")</f>
        <v>Hundred Technology MENA DMCC _2022</v>
      </c>
      <c r="C915" s="6">
        <f ca="1">IFERROR(__xludf.DUMMYFUNCTION("""COMPUTED_VALUE"""),2)</f>
        <v>2</v>
      </c>
      <c r="D915" s="6" t="str">
        <f ca="1">IFERROR(__xludf.DUMMYFUNCTION("""COMPUTED_VALUE"""),"Digital Tech")</f>
        <v>Digital Tech</v>
      </c>
      <c r="E915" s="6" t="str">
        <f ca="1">IFERROR(__xludf.DUMMYFUNCTION("""COMPUTED_VALUE"""),"Invite Next Year")</f>
        <v>Invite Next Year</v>
      </c>
      <c r="F915" s="6" t="e">
        <f t="shared" ca="1" si="3"/>
        <v>#NAME?</v>
      </c>
    </row>
    <row r="916" spans="1:6">
      <c r="A916" s="199">
        <f ca="1">IFERROR(__xludf.DUMMYFUNCTION("""COMPUTED_VALUE"""),44784)</f>
        <v>44784</v>
      </c>
      <c r="B916" s="6" t="str">
        <f ca="1">IFERROR(__xludf.DUMMYFUNCTION("""COMPUTED_VALUE"""),"Fun Guy Project _2022")</f>
        <v>Fun Guy Project _2022</v>
      </c>
      <c r="C916" s="6">
        <f ca="1">IFERROR(__xludf.DUMMYFUNCTION("""COMPUTED_VALUE"""),2)</f>
        <v>2</v>
      </c>
      <c r="D916" s="6" t="str">
        <f ca="1">IFERROR(__xludf.DUMMYFUNCTION("""COMPUTED_VALUE"""),"Life Sciences")</f>
        <v>Life Sciences</v>
      </c>
      <c r="E916" s="6" t="str">
        <f ca="1">IFERROR(__xludf.DUMMYFUNCTION("""COMPUTED_VALUE"""),"Invite Next Year")</f>
        <v>Invite Next Year</v>
      </c>
      <c r="F916" s="6" t="e">
        <f t="shared" ca="1" si="3"/>
        <v>#NAME?</v>
      </c>
    </row>
    <row r="917" spans="1:6">
      <c r="A917" s="199">
        <f ca="1">IFERROR(__xludf.DUMMYFUNCTION("""COMPUTED_VALUE"""),44784)</f>
        <v>44784</v>
      </c>
      <c r="B917" s="6" t="str">
        <f ca="1">IFERROR(__xludf.DUMMYFUNCTION("""COMPUTED_VALUE"""),"Better World _2022")</f>
        <v>Better World _2022</v>
      </c>
      <c r="C917" s="6">
        <f ca="1">IFERROR(__xludf.DUMMYFUNCTION("""COMPUTED_VALUE"""),2)</f>
        <v>2</v>
      </c>
      <c r="D917" s="6" t="str">
        <f ca="1">IFERROR(__xludf.DUMMYFUNCTION("""COMPUTED_VALUE"""),"Digital Tech")</f>
        <v>Digital Tech</v>
      </c>
      <c r="E917" s="6" t="str">
        <f ca="1">IFERROR(__xludf.DUMMYFUNCTION("""COMPUTED_VALUE"""),"Invite Next Year")</f>
        <v>Invite Next Year</v>
      </c>
      <c r="F917" s="6" t="e">
        <f t="shared" ca="1" si="3"/>
        <v>#NAME?</v>
      </c>
    </row>
    <row r="918" spans="1:6">
      <c r="A918" s="199">
        <f ca="1">IFERROR(__xludf.DUMMYFUNCTION("""COMPUTED_VALUE"""),44784)</f>
        <v>44784</v>
      </c>
      <c r="B918" s="6" t="str">
        <f ca="1">IFERROR(__xludf.DUMMYFUNCTION("""COMPUTED_VALUE"""),"Proxygen _2022")</f>
        <v>Proxygen _2022</v>
      </c>
      <c r="C918" s="6">
        <f ca="1">IFERROR(__xludf.DUMMYFUNCTION("""COMPUTED_VALUE"""),2)</f>
        <v>2</v>
      </c>
      <c r="D918" s="6" t="str">
        <f ca="1">IFERROR(__xludf.DUMMYFUNCTION("""COMPUTED_VALUE"""),"Life Sciences")</f>
        <v>Life Sciences</v>
      </c>
      <c r="E918" s="6" t="str">
        <f ca="1">IFERROR(__xludf.DUMMYFUNCTION("""COMPUTED_VALUE"""),"Invite Next Year")</f>
        <v>Invite Next Year</v>
      </c>
      <c r="F918" s="6" t="e">
        <f t="shared" ca="1" si="3"/>
        <v>#NAME?</v>
      </c>
    </row>
    <row r="919" spans="1:6">
      <c r="A919" s="199">
        <f ca="1">IFERROR(__xludf.DUMMYFUNCTION("""COMPUTED_VALUE"""),44784)</f>
        <v>44784</v>
      </c>
      <c r="B919" s="6" t="str">
        <f ca="1">IFERROR(__xludf.DUMMYFUNCTION("""COMPUTED_VALUE"""),"Mirror World Inc. _2022")</f>
        <v>Mirror World Inc. _2022</v>
      </c>
      <c r="C919" s="6">
        <f ca="1">IFERROR(__xludf.DUMMYFUNCTION("""COMPUTED_VALUE"""),2)</f>
        <v>2</v>
      </c>
      <c r="D919" s="6" t="str">
        <f ca="1">IFERROR(__xludf.DUMMYFUNCTION("""COMPUTED_VALUE"""),"Digital Tech")</f>
        <v>Digital Tech</v>
      </c>
      <c r="E919" s="6" t="str">
        <f ca="1">IFERROR(__xludf.DUMMYFUNCTION("""COMPUTED_VALUE"""),"Invite Next Year")</f>
        <v>Invite Next Year</v>
      </c>
      <c r="F919" s="6" t="e">
        <f t="shared" ca="1" si="3"/>
        <v>#NAME?</v>
      </c>
    </row>
    <row r="920" spans="1:6">
      <c r="A920" s="199">
        <f ca="1">IFERROR(__xludf.DUMMYFUNCTION("""COMPUTED_VALUE"""),44784)</f>
        <v>44784</v>
      </c>
      <c r="B920" s="6" t="str">
        <f ca="1">IFERROR(__xludf.DUMMYFUNCTION("""COMPUTED_VALUE"""),"Mediloq, Inc. _2022")</f>
        <v>Mediloq, Inc. _2022</v>
      </c>
      <c r="C920" s="6">
        <f ca="1">IFERROR(__xludf.DUMMYFUNCTION("""COMPUTED_VALUE"""),2)</f>
        <v>2</v>
      </c>
      <c r="D920" s="6" t="str">
        <f ca="1">IFERROR(__xludf.DUMMYFUNCTION("""COMPUTED_VALUE"""),"Life Sciences")</f>
        <v>Life Sciences</v>
      </c>
      <c r="E920" s="6" t="str">
        <f ca="1">IFERROR(__xludf.DUMMYFUNCTION("""COMPUTED_VALUE"""),"Invite Next Year")</f>
        <v>Invite Next Year</v>
      </c>
      <c r="F920" s="6" t="e">
        <f t="shared" ca="1" si="3"/>
        <v>#NAME?</v>
      </c>
    </row>
    <row r="921" spans="1:6">
      <c r="A921" s="199">
        <f ca="1">IFERROR(__xludf.DUMMYFUNCTION("""COMPUTED_VALUE"""),44784)</f>
        <v>44784</v>
      </c>
      <c r="B921" s="6" t="str">
        <f ca="1">IFERROR(__xludf.DUMMYFUNCTION("""COMPUTED_VALUE"""),"Clean Bite, LLC _2022")</f>
        <v>Clean Bite, LLC _2022</v>
      </c>
      <c r="C921" s="6">
        <f ca="1">IFERROR(__xludf.DUMMYFUNCTION("""COMPUTED_VALUE"""),2)</f>
        <v>2</v>
      </c>
      <c r="D921" s="6" t="str">
        <f ca="1">IFERROR(__xludf.DUMMYFUNCTION("""COMPUTED_VALUE"""),"Life Sciences")</f>
        <v>Life Sciences</v>
      </c>
      <c r="E921" s="6" t="str">
        <f ca="1">IFERROR(__xludf.DUMMYFUNCTION("""COMPUTED_VALUE"""),"Invite Next Year")</f>
        <v>Invite Next Year</v>
      </c>
      <c r="F921" s="6" t="e">
        <f t="shared" ca="1" si="3"/>
        <v>#NAME?</v>
      </c>
    </row>
    <row r="922" spans="1:6">
      <c r="A922" s="199">
        <f ca="1">IFERROR(__xludf.DUMMYFUNCTION("""COMPUTED_VALUE"""),44784)</f>
        <v>44784</v>
      </c>
      <c r="B922" s="6" t="str">
        <f ca="1">IFERROR(__xludf.DUMMYFUNCTION("""COMPUTED_VALUE"""),"Earth To Go  _2022")</f>
        <v>Earth To Go  _2022</v>
      </c>
      <c r="C922" s="6">
        <f ca="1">IFERROR(__xludf.DUMMYFUNCTION("""COMPUTED_VALUE"""),2)</f>
        <v>2</v>
      </c>
      <c r="D922" s="6" t="str">
        <f ca="1">IFERROR(__xludf.DUMMYFUNCTION("""COMPUTED_VALUE"""),"Life Sciences")</f>
        <v>Life Sciences</v>
      </c>
      <c r="E922" s="6" t="str">
        <f ca="1">IFERROR(__xludf.DUMMYFUNCTION("""COMPUTED_VALUE"""),"Invite Next Year")</f>
        <v>Invite Next Year</v>
      </c>
      <c r="F922" s="6" t="e">
        <f t="shared" ca="1" si="3"/>
        <v>#NAME?</v>
      </c>
    </row>
    <row r="923" spans="1:6">
      <c r="A923" s="199">
        <f ca="1">IFERROR(__xludf.DUMMYFUNCTION("""COMPUTED_VALUE"""),44789)</f>
        <v>44789</v>
      </c>
      <c r="B923" s="6" t="str">
        <f ca="1">IFERROR(__xludf.DUMMYFUNCTION("""COMPUTED_VALUE"""),"Vivanta _2022")</f>
        <v>Vivanta _2022</v>
      </c>
      <c r="C923" s="6">
        <f ca="1">IFERROR(__xludf.DUMMYFUNCTION("""COMPUTED_VALUE"""),2)</f>
        <v>2</v>
      </c>
      <c r="D923" s="6" t="str">
        <f ca="1">IFERROR(__xludf.DUMMYFUNCTION("""COMPUTED_VALUE"""),"Digital Tech")</f>
        <v>Digital Tech</v>
      </c>
      <c r="E923" s="6" t="str">
        <f ca="1">IFERROR(__xludf.DUMMYFUNCTION("""COMPUTED_VALUE"""),"Invite Next Year")</f>
        <v>Invite Next Year</v>
      </c>
      <c r="F923" s="6" t="e">
        <f t="shared" ca="1" si="3"/>
        <v>#NAME?</v>
      </c>
    </row>
    <row r="924" spans="1:6">
      <c r="A924" s="199">
        <f ca="1">IFERROR(__xludf.DUMMYFUNCTION("""COMPUTED_VALUE"""),44789)</f>
        <v>44789</v>
      </c>
      <c r="B924" s="6" t="str">
        <f ca="1">IFERROR(__xludf.DUMMYFUNCTION("""COMPUTED_VALUE"""),"Diversity Cyber Council _2022")</f>
        <v>Diversity Cyber Council _2022</v>
      </c>
      <c r="C924" s="6">
        <f ca="1">IFERROR(__xludf.DUMMYFUNCTION("""COMPUTED_VALUE"""),2)</f>
        <v>2</v>
      </c>
      <c r="D924" s="6" t="str">
        <f ca="1">IFERROR(__xludf.DUMMYFUNCTION("""COMPUTED_VALUE"""),"Digital Tech")</f>
        <v>Digital Tech</v>
      </c>
      <c r="E924" s="6" t="str">
        <f ca="1">IFERROR(__xludf.DUMMYFUNCTION("""COMPUTED_VALUE"""),"Invite Next Year")</f>
        <v>Invite Next Year</v>
      </c>
      <c r="F924" s="6" t="e">
        <f t="shared" ca="1" si="3"/>
        <v>#NAME?</v>
      </c>
    </row>
    <row r="925" spans="1:6">
      <c r="A925" s="199">
        <f ca="1">IFERROR(__xludf.DUMMYFUNCTION("""COMPUTED_VALUE"""),44789)</f>
        <v>44789</v>
      </c>
      <c r="B925" s="6" t="str">
        <f ca="1">IFERROR(__xludf.DUMMYFUNCTION("""COMPUTED_VALUE"""),"Populemetry _2022")</f>
        <v>Populemetry _2022</v>
      </c>
      <c r="C925" s="6">
        <f ca="1">IFERROR(__xludf.DUMMYFUNCTION("""COMPUTED_VALUE"""),2)</f>
        <v>2</v>
      </c>
      <c r="D925" s="6" t="str">
        <f ca="1">IFERROR(__xludf.DUMMYFUNCTION("""COMPUTED_VALUE"""),"Digital Tech")</f>
        <v>Digital Tech</v>
      </c>
      <c r="E925" s="6" t="str">
        <f ca="1">IFERROR(__xludf.DUMMYFUNCTION("""COMPUTED_VALUE"""),"Invite Next Year")</f>
        <v>Invite Next Year</v>
      </c>
      <c r="F925" s="6" t="e">
        <f t="shared" ca="1" si="3"/>
        <v>#NAME?</v>
      </c>
    </row>
    <row r="926" spans="1:6">
      <c r="A926" s="199">
        <f ca="1">IFERROR(__xludf.DUMMYFUNCTION("""COMPUTED_VALUE"""),44789)</f>
        <v>44789</v>
      </c>
      <c r="B926" s="6" t="str">
        <f ca="1">IFERROR(__xludf.DUMMYFUNCTION("""COMPUTED_VALUE"""),"Biomedix SA, Geneva, Switzerland _2022")</f>
        <v>Biomedix SA, Geneva, Switzerland _2022</v>
      </c>
      <c r="C926" s="6">
        <f ca="1">IFERROR(__xludf.DUMMYFUNCTION("""COMPUTED_VALUE"""),2)</f>
        <v>2</v>
      </c>
      <c r="D926" s="6" t="str">
        <f ca="1">IFERROR(__xludf.DUMMYFUNCTION("""COMPUTED_VALUE"""),"Life Sciences")</f>
        <v>Life Sciences</v>
      </c>
      <c r="E926" s="6" t="str">
        <f ca="1">IFERROR(__xludf.DUMMYFUNCTION("""COMPUTED_VALUE"""),"Invite Next Year")</f>
        <v>Invite Next Year</v>
      </c>
      <c r="F926" s="6" t="e">
        <f t="shared" ca="1" si="3"/>
        <v>#NAME?</v>
      </c>
    </row>
    <row r="927" spans="1:6">
      <c r="A927" s="199">
        <f ca="1">IFERROR(__xludf.DUMMYFUNCTION("""COMPUTED_VALUE"""),44789)</f>
        <v>44789</v>
      </c>
      <c r="B927" s="6" t="str">
        <f ca="1">IFERROR(__xludf.DUMMYFUNCTION("""COMPUTED_VALUE"""),"GameAir _2022")</f>
        <v>GameAir _2022</v>
      </c>
      <c r="C927" s="6">
        <f ca="1">IFERROR(__xludf.DUMMYFUNCTION("""COMPUTED_VALUE"""),2)</f>
        <v>2</v>
      </c>
      <c r="D927" s="6" t="str">
        <f ca="1">IFERROR(__xludf.DUMMYFUNCTION("""COMPUTED_VALUE"""),"Deep Tech")</f>
        <v>Deep Tech</v>
      </c>
      <c r="E927" s="6" t="str">
        <f ca="1">IFERROR(__xludf.DUMMYFUNCTION("""COMPUTED_VALUE"""),"Invite Next Year")</f>
        <v>Invite Next Year</v>
      </c>
      <c r="F927" s="6" t="e">
        <f t="shared" ca="1" si="3"/>
        <v>#NAME?</v>
      </c>
    </row>
    <row r="928" spans="1:6">
      <c r="A928" s="199">
        <f ca="1">IFERROR(__xludf.DUMMYFUNCTION("""COMPUTED_VALUE"""),44789)</f>
        <v>44789</v>
      </c>
      <c r="B928" s="6" t="str">
        <f ca="1">IFERROR(__xludf.DUMMYFUNCTION("""COMPUTED_VALUE"""),"Ignitus Networks _2022")</f>
        <v>Ignitus Networks _2022</v>
      </c>
      <c r="C928" s="6">
        <f ca="1">IFERROR(__xludf.DUMMYFUNCTION("""COMPUTED_VALUE"""),2)</f>
        <v>2</v>
      </c>
      <c r="D928" s="6" t="str">
        <f ca="1">IFERROR(__xludf.DUMMYFUNCTION("""COMPUTED_VALUE"""),"Digital Tech")</f>
        <v>Digital Tech</v>
      </c>
      <c r="E928" s="6" t="str">
        <f ca="1">IFERROR(__xludf.DUMMYFUNCTION("""COMPUTED_VALUE"""),"Invite Next Year")</f>
        <v>Invite Next Year</v>
      </c>
      <c r="F928" s="6" t="e">
        <f t="shared" ca="1" si="3"/>
        <v>#NAME?</v>
      </c>
    </row>
    <row r="929" spans="1:6">
      <c r="A929" s="199">
        <f ca="1">IFERROR(__xludf.DUMMYFUNCTION("""COMPUTED_VALUE"""),44789)</f>
        <v>44789</v>
      </c>
      <c r="B929" s="6" t="str">
        <f ca="1">IFERROR(__xludf.DUMMYFUNCTION("""COMPUTED_VALUE"""),"Bowr _2022")</f>
        <v>Bowr _2022</v>
      </c>
      <c r="C929" s="6">
        <f ca="1">IFERROR(__xludf.DUMMYFUNCTION("""COMPUTED_VALUE"""),2)</f>
        <v>2</v>
      </c>
      <c r="D929" s="6" t="str">
        <f ca="1">IFERROR(__xludf.DUMMYFUNCTION("""COMPUTED_VALUE"""),"Digital Tech")</f>
        <v>Digital Tech</v>
      </c>
      <c r="E929" s="6" t="str">
        <f ca="1">IFERROR(__xludf.DUMMYFUNCTION("""COMPUTED_VALUE"""),"Invite Next Year")</f>
        <v>Invite Next Year</v>
      </c>
      <c r="F929" s="6" t="e">
        <f t="shared" ca="1" si="3"/>
        <v>#NAME?</v>
      </c>
    </row>
    <row r="930" spans="1:6">
      <c r="A930" s="199">
        <f ca="1">IFERROR(__xludf.DUMMYFUNCTION("""COMPUTED_VALUE"""),44789)</f>
        <v>44789</v>
      </c>
      <c r="B930" s="6" t="str">
        <f ca="1">IFERROR(__xludf.DUMMYFUNCTION("""COMPUTED_VALUE"""),"GiftE _2022")</f>
        <v>GiftE _2022</v>
      </c>
      <c r="C930" s="6">
        <f ca="1">IFERROR(__xludf.DUMMYFUNCTION("""COMPUTED_VALUE"""),2)</f>
        <v>2</v>
      </c>
      <c r="D930" s="6" t="str">
        <f ca="1">IFERROR(__xludf.DUMMYFUNCTION("""COMPUTED_VALUE"""),"Digital Tech")</f>
        <v>Digital Tech</v>
      </c>
      <c r="E930" s="6" t="str">
        <f ca="1">IFERROR(__xludf.DUMMYFUNCTION("""COMPUTED_VALUE"""),"Invite Next Year")</f>
        <v>Invite Next Year</v>
      </c>
      <c r="F930" s="6" t="e">
        <f t="shared" ca="1" si="3"/>
        <v>#NAME?</v>
      </c>
    </row>
    <row r="931" spans="1:6">
      <c r="A931" s="199">
        <f ca="1">IFERROR(__xludf.DUMMYFUNCTION("""COMPUTED_VALUE"""),44789)</f>
        <v>44789</v>
      </c>
      <c r="B931" s="6" t="str">
        <f ca="1">IFERROR(__xludf.DUMMYFUNCTION("""COMPUTED_VALUE"""),"Etimo  _2022")</f>
        <v>Etimo  _2022</v>
      </c>
      <c r="C931" s="6">
        <f ca="1">IFERROR(__xludf.DUMMYFUNCTION("""COMPUTED_VALUE"""),2)</f>
        <v>2</v>
      </c>
      <c r="D931" s="6" t="str">
        <f ca="1">IFERROR(__xludf.DUMMYFUNCTION("""COMPUTED_VALUE"""),"Deep Tech")</f>
        <v>Deep Tech</v>
      </c>
      <c r="E931" s="6" t="str">
        <f ca="1">IFERROR(__xludf.DUMMYFUNCTION("""COMPUTED_VALUE"""),"Invite Next Year")</f>
        <v>Invite Next Year</v>
      </c>
      <c r="F931" s="6" t="e">
        <f t="shared" ca="1" si="3"/>
        <v>#NAME?</v>
      </c>
    </row>
    <row r="932" spans="1:6">
      <c r="A932" s="199">
        <f ca="1">IFERROR(__xludf.DUMMYFUNCTION("""COMPUTED_VALUE"""),44789)</f>
        <v>44789</v>
      </c>
      <c r="B932" s="6" t="str">
        <f ca="1">IFERROR(__xludf.DUMMYFUNCTION("""COMPUTED_VALUE"""),"Pointz Mobility, Inc. _2022")</f>
        <v>Pointz Mobility, Inc. _2022</v>
      </c>
      <c r="C932" s="6">
        <f ca="1">IFERROR(__xludf.DUMMYFUNCTION("""COMPUTED_VALUE"""),2)</f>
        <v>2</v>
      </c>
      <c r="D932" s="6" t="str">
        <f ca="1">IFERROR(__xludf.DUMMYFUNCTION("""COMPUTED_VALUE"""),"Digital Tech")</f>
        <v>Digital Tech</v>
      </c>
      <c r="E932" s="6" t="str">
        <f ca="1">IFERROR(__xludf.DUMMYFUNCTION("""COMPUTED_VALUE"""),"Invite Next Year")</f>
        <v>Invite Next Year</v>
      </c>
      <c r="F932" s="6" t="e">
        <f t="shared" ca="1" si="3"/>
        <v>#NAME?</v>
      </c>
    </row>
    <row r="933" spans="1:6">
      <c r="A933" s="199">
        <f ca="1">IFERROR(__xludf.DUMMYFUNCTION("""COMPUTED_VALUE"""),44789)</f>
        <v>44789</v>
      </c>
      <c r="B933" s="6" t="str">
        <f ca="1">IFERROR(__xludf.DUMMYFUNCTION("""COMPUTED_VALUE"""),"MeNow _2022")</f>
        <v>MeNow _2022</v>
      </c>
      <c r="C933" s="6">
        <f ca="1">IFERROR(__xludf.DUMMYFUNCTION("""COMPUTED_VALUE"""),2)</f>
        <v>2</v>
      </c>
      <c r="D933" s="6" t="str">
        <f ca="1">IFERROR(__xludf.DUMMYFUNCTION("""COMPUTED_VALUE"""),"Life Sciences")</f>
        <v>Life Sciences</v>
      </c>
      <c r="E933" s="6" t="str">
        <f ca="1">IFERROR(__xludf.DUMMYFUNCTION("""COMPUTED_VALUE"""),"Invite Next Year")</f>
        <v>Invite Next Year</v>
      </c>
      <c r="F933" s="6" t="e">
        <f t="shared" ca="1" si="3"/>
        <v>#NAME?</v>
      </c>
    </row>
    <row r="934" spans="1:6">
      <c r="A934" s="199">
        <f ca="1">IFERROR(__xludf.DUMMYFUNCTION("""COMPUTED_VALUE"""),44789)</f>
        <v>44789</v>
      </c>
      <c r="B934" s="6" t="str">
        <f ca="1">IFERROR(__xludf.DUMMYFUNCTION("""COMPUTED_VALUE"""),"PulsOps Inc _2022")</f>
        <v>PulsOps Inc _2022</v>
      </c>
      <c r="C934" s="6">
        <f ca="1">IFERROR(__xludf.DUMMYFUNCTION("""COMPUTED_VALUE"""),2)</f>
        <v>2</v>
      </c>
      <c r="D934" s="6" t="str">
        <f ca="1">IFERROR(__xludf.DUMMYFUNCTION("""COMPUTED_VALUE"""),"Digital Tech")</f>
        <v>Digital Tech</v>
      </c>
      <c r="E934" s="6" t="str">
        <f ca="1">IFERROR(__xludf.DUMMYFUNCTION("""COMPUTED_VALUE"""),"Invite Next Year")</f>
        <v>Invite Next Year</v>
      </c>
      <c r="F934" s="6" t="e">
        <f t="shared" ca="1" si="3"/>
        <v>#NAME?</v>
      </c>
    </row>
    <row r="935" spans="1:6">
      <c r="A935" s="199">
        <f ca="1">IFERROR(__xludf.DUMMYFUNCTION("""COMPUTED_VALUE"""),44789)</f>
        <v>44789</v>
      </c>
      <c r="B935" s="6" t="str">
        <f ca="1">IFERROR(__xludf.DUMMYFUNCTION("""COMPUTED_VALUE"""),"gogoBus _2022")</f>
        <v>gogoBus _2022</v>
      </c>
      <c r="C935" s="6">
        <f ca="1">IFERROR(__xludf.DUMMYFUNCTION("""COMPUTED_VALUE"""),2)</f>
        <v>2</v>
      </c>
      <c r="D935" s="6" t="str">
        <f ca="1">IFERROR(__xludf.DUMMYFUNCTION("""COMPUTED_VALUE"""),"Digital Tech")</f>
        <v>Digital Tech</v>
      </c>
      <c r="E935" s="6" t="str">
        <f ca="1">IFERROR(__xludf.DUMMYFUNCTION("""COMPUTED_VALUE"""),"Invite Next Year")</f>
        <v>Invite Next Year</v>
      </c>
      <c r="F935" s="6" t="e">
        <f t="shared" ca="1" si="3"/>
        <v>#NAME?</v>
      </c>
    </row>
    <row r="936" spans="1:6">
      <c r="A936" s="199">
        <f ca="1">IFERROR(__xludf.DUMMYFUNCTION("""COMPUTED_VALUE"""),44789)</f>
        <v>44789</v>
      </c>
      <c r="B936" s="6" t="str">
        <f ca="1">IFERROR(__xludf.DUMMYFUNCTION("""COMPUTED_VALUE"""),"Haven Now, LLC _2022")</f>
        <v>Haven Now, LLC _2022</v>
      </c>
      <c r="C936" s="6">
        <f ca="1">IFERROR(__xludf.DUMMYFUNCTION("""COMPUTED_VALUE"""),2)</f>
        <v>2</v>
      </c>
      <c r="D936" s="6" t="str">
        <f ca="1">IFERROR(__xludf.DUMMYFUNCTION("""COMPUTED_VALUE"""),"Digital Tech")</f>
        <v>Digital Tech</v>
      </c>
      <c r="E936" s="6" t="str">
        <f ca="1">IFERROR(__xludf.DUMMYFUNCTION("""COMPUTED_VALUE"""),"Invite Next Year")</f>
        <v>Invite Next Year</v>
      </c>
      <c r="F936" s="6" t="e">
        <f t="shared" ca="1" si="3"/>
        <v>#NAME?</v>
      </c>
    </row>
    <row r="937" spans="1:6">
      <c r="A937" s="199">
        <f ca="1">IFERROR(__xludf.DUMMYFUNCTION("""COMPUTED_VALUE"""),44789)</f>
        <v>44789</v>
      </c>
      <c r="B937" s="6" t="str">
        <f ca="1">IFERROR(__xludf.DUMMYFUNCTION("""COMPUTED_VALUE"""),"BuildIt _2022")</f>
        <v>BuildIt _2022</v>
      </c>
      <c r="C937" s="6">
        <f ca="1">IFERROR(__xludf.DUMMYFUNCTION("""COMPUTED_VALUE"""),2)</f>
        <v>2</v>
      </c>
      <c r="D937" s="6" t="str">
        <f ca="1">IFERROR(__xludf.DUMMYFUNCTION("""COMPUTED_VALUE"""),"Digital Tech")</f>
        <v>Digital Tech</v>
      </c>
      <c r="E937" s="6" t="str">
        <f ca="1">IFERROR(__xludf.DUMMYFUNCTION("""COMPUTED_VALUE"""),"Invite Next Year")</f>
        <v>Invite Next Year</v>
      </c>
      <c r="F937" s="6" t="e">
        <f t="shared" ca="1" si="3"/>
        <v>#NAME?</v>
      </c>
    </row>
    <row r="938" spans="1:6">
      <c r="A938" s="199">
        <f ca="1">IFERROR(__xludf.DUMMYFUNCTION("""COMPUTED_VALUE"""),44789)</f>
        <v>44789</v>
      </c>
      <c r="B938" s="6" t="str">
        <f ca="1">IFERROR(__xludf.DUMMYFUNCTION("""COMPUTED_VALUE"""),"Mihuru _2022")</f>
        <v>Mihuru _2022</v>
      </c>
      <c r="C938" s="6">
        <f ca="1">IFERROR(__xludf.DUMMYFUNCTION("""COMPUTED_VALUE"""),2)</f>
        <v>2</v>
      </c>
      <c r="D938" s="6" t="str">
        <f ca="1">IFERROR(__xludf.DUMMYFUNCTION("""COMPUTED_VALUE"""),"Digital Tech")</f>
        <v>Digital Tech</v>
      </c>
      <c r="E938" s="6" t="str">
        <f ca="1">IFERROR(__xludf.DUMMYFUNCTION("""COMPUTED_VALUE"""),"Invite Next Year")</f>
        <v>Invite Next Year</v>
      </c>
      <c r="F938" s="6" t="e">
        <f t="shared" ca="1" si="3"/>
        <v>#NAME?</v>
      </c>
    </row>
    <row r="939" spans="1:6">
      <c r="A939" s="199">
        <f ca="1">IFERROR(__xludf.DUMMYFUNCTION("""COMPUTED_VALUE"""),44789)</f>
        <v>44789</v>
      </c>
      <c r="B939" s="6" t="str">
        <f ca="1">IFERROR(__xludf.DUMMYFUNCTION("""COMPUTED_VALUE"""),"Badili Africa _2022")</f>
        <v>Badili Africa _2022</v>
      </c>
      <c r="C939" s="6">
        <f ca="1">IFERROR(__xludf.DUMMYFUNCTION("""COMPUTED_VALUE"""),2)</f>
        <v>2</v>
      </c>
      <c r="D939" s="6" t="str">
        <f ca="1">IFERROR(__xludf.DUMMYFUNCTION("""COMPUTED_VALUE"""),"Deep Tech")</f>
        <v>Deep Tech</v>
      </c>
      <c r="E939" s="6" t="str">
        <f ca="1">IFERROR(__xludf.DUMMYFUNCTION("""COMPUTED_VALUE"""),"Invite Next Year")</f>
        <v>Invite Next Year</v>
      </c>
      <c r="F939" s="6" t="e">
        <f t="shared" ca="1" si="3"/>
        <v>#NAME?</v>
      </c>
    </row>
    <row r="940" spans="1:6">
      <c r="A940" s="199">
        <f ca="1">IFERROR(__xludf.DUMMYFUNCTION("""COMPUTED_VALUE"""),44789)</f>
        <v>44789</v>
      </c>
      <c r="B940" s="6" t="str">
        <f ca="1">IFERROR(__xludf.DUMMYFUNCTION("""COMPUTED_VALUE"""),"Tawazon inc _2022")</f>
        <v>Tawazon inc _2022</v>
      </c>
      <c r="C940" s="6">
        <f ca="1">IFERROR(__xludf.DUMMYFUNCTION("""COMPUTED_VALUE"""),2)</f>
        <v>2</v>
      </c>
      <c r="D940" s="6" t="str">
        <f ca="1">IFERROR(__xludf.DUMMYFUNCTION("""COMPUTED_VALUE"""),"Life Sciences")</f>
        <v>Life Sciences</v>
      </c>
      <c r="E940" s="6" t="str">
        <f ca="1">IFERROR(__xludf.DUMMYFUNCTION("""COMPUTED_VALUE"""),"Invite Next Year")</f>
        <v>Invite Next Year</v>
      </c>
      <c r="F940" s="6" t="e">
        <f t="shared" ca="1" si="3"/>
        <v>#NAME?</v>
      </c>
    </row>
    <row r="941" spans="1:6">
      <c r="A941" s="199">
        <f ca="1">IFERROR(__xludf.DUMMYFUNCTION("""COMPUTED_VALUE"""),44789)</f>
        <v>44789</v>
      </c>
      <c r="B941" s="6" t="str">
        <f ca="1">IFERROR(__xludf.DUMMYFUNCTION("""COMPUTED_VALUE"""),"echoscope _2022")</f>
        <v>echoscope _2022</v>
      </c>
      <c r="C941" s="6">
        <f ca="1">IFERROR(__xludf.DUMMYFUNCTION("""COMPUTED_VALUE"""),2)</f>
        <v>2</v>
      </c>
      <c r="D941" s="6" t="str">
        <f ca="1">IFERROR(__xludf.DUMMYFUNCTION("""COMPUTED_VALUE"""),"Life Sciences")</f>
        <v>Life Sciences</v>
      </c>
      <c r="E941" s="6" t="str">
        <f ca="1">IFERROR(__xludf.DUMMYFUNCTION("""COMPUTED_VALUE"""),"Invite Next Year")</f>
        <v>Invite Next Year</v>
      </c>
      <c r="F941" s="6" t="e">
        <f t="shared" ca="1" si="3"/>
        <v>#NAME?</v>
      </c>
    </row>
    <row r="942" spans="1:6">
      <c r="A942" s="199">
        <f ca="1">IFERROR(__xludf.DUMMYFUNCTION("""COMPUTED_VALUE"""),44789)</f>
        <v>44789</v>
      </c>
      <c r="B942" s="6" t="str">
        <f ca="1">IFERROR(__xludf.DUMMYFUNCTION("""COMPUTED_VALUE"""),"Everewear, LLC _2022")</f>
        <v>Everewear, LLC _2022</v>
      </c>
      <c r="C942" s="6">
        <f ca="1">IFERROR(__xludf.DUMMYFUNCTION("""COMPUTED_VALUE"""),2)</f>
        <v>2</v>
      </c>
      <c r="D942" s="6" t="str">
        <f ca="1">IFERROR(__xludf.DUMMYFUNCTION("""COMPUTED_VALUE"""),"Digital Tech")</f>
        <v>Digital Tech</v>
      </c>
      <c r="E942" s="6" t="str">
        <f ca="1">IFERROR(__xludf.DUMMYFUNCTION("""COMPUTED_VALUE"""),"Invite Next Year")</f>
        <v>Invite Next Year</v>
      </c>
      <c r="F942" s="6" t="e">
        <f t="shared" ca="1" si="3"/>
        <v>#NAME?</v>
      </c>
    </row>
    <row r="943" spans="1:6">
      <c r="A943" s="199">
        <f ca="1">IFERROR(__xludf.DUMMYFUNCTION("""COMPUTED_VALUE"""),44789)</f>
        <v>44789</v>
      </c>
      <c r="B943" s="6" t="str">
        <f ca="1">IFERROR(__xludf.DUMMYFUNCTION("""COMPUTED_VALUE"""),"Cognitive IVF s.r.o. _2022")</f>
        <v>Cognitive IVF s.r.o. _2022</v>
      </c>
      <c r="C943" s="6">
        <f ca="1">IFERROR(__xludf.DUMMYFUNCTION("""COMPUTED_VALUE"""),2)</f>
        <v>2</v>
      </c>
      <c r="D943" s="6" t="str">
        <f ca="1">IFERROR(__xludf.DUMMYFUNCTION("""COMPUTED_VALUE"""),"Life Sciences")</f>
        <v>Life Sciences</v>
      </c>
      <c r="E943" s="6" t="str">
        <f ca="1">IFERROR(__xludf.DUMMYFUNCTION("""COMPUTED_VALUE"""),"Invite Next Year")</f>
        <v>Invite Next Year</v>
      </c>
      <c r="F943" s="6" t="e">
        <f t="shared" ca="1" si="3"/>
        <v>#NAME?</v>
      </c>
    </row>
    <row r="944" spans="1:6">
      <c r="A944" s="199">
        <f ca="1">IFERROR(__xludf.DUMMYFUNCTION("""COMPUTED_VALUE"""),44791)</f>
        <v>44791</v>
      </c>
      <c r="B944" s="6" t="str">
        <f ca="1">IFERROR(__xludf.DUMMYFUNCTION("""COMPUTED_VALUE"""),"Spiritory GmbH _2022")</f>
        <v>Spiritory GmbH _2022</v>
      </c>
      <c r="C944" s="6">
        <f ca="1">IFERROR(__xludf.DUMMYFUNCTION("""COMPUTED_VALUE"""),2)</f>
        <v>2</v>
      </c>
      <c r="D944" s="6" t="str">
        <f ca="1">IFERROR(__xludf.DUMMYFUNCTION("""COMPUTED_VALUE"""),"Digital Tech")</f>
        <v>Digital Tech</v>
      </c>
      <c r="E944" s="6" t="str">
        <f ca="1">IFERROR(__xludf.DUMMYFUNCTION("""COMPUTED_VALUE"""),"Invite Next Year")</f>
        <v>Invite Next Year</v>
      </c>
      <c r="F944" s="6" t="e">
        <f t="shared" ca="1" si="3"/>
        <v>#NAME?</v>
      </c>
    </row>
    <row r="945" spans="1:6">
      <c r="A945" s="199">
        <f ca="1">IFERROR(__xludf.DUMMYFUNCTION("""COMPUTED_VALUE"""),44791)</f>
        <v>44791</v>
      </c>
      <c r="B945" s="6" t="str">
        <f ca="1">IFERROR(__xludf.DUMMYFUNCTION("""COMPUTED_VALUE"""),"Pyrojas Inc. _2022")</f>
        <v>Pyrojas Inc. _2022</v>
      </c>
      <c r="C945" s="6">
        <f ca="1">IFERROR(__xludf.DUMMYFUNCTION("""COMPUTED_VALUE"""),2)</f>
        <v>2</v>
      </c>
      <c r="D945" s="6" t="str">
        <f ca="1">IFERROR(__xludf.DUMMYFUNCTION("""COMPUTED_VALUE"""),"Life Sciences")</f>
        <v>Life Sciences</v>
      </c>
      <c r="E945" s="6" t="str">
        <f ca="1">IFERROR(__xludf.DUMMYFUNCTION("""COMPUTED_VALUE"""),"Invite Next Year")</f>
        <v>Invite Next Year</v>
      </c>
      <c r="F945" s="6" t="e">
        <f t="shared" ca="1" si="3"/>
        <v>#NAME?</v>
      </c>
    </row>
    <row r="946" spans="1:6">
      <c r="A946" s="199">
        <f ca="1">IFERROR(__xludf.DUMMYFUNCTION("""COMPUTED_VALUE"""),44791)</f>
        <v>44791</v>
      </c>
      <c r="B946" s="6" t="str">
        <f ca="1">IFERROR(__xludf.DUMMYFUNCTION("""COMPUTED_VALUE"""),"Yacht Labs Inc. _2022")</f>
        <v>Yacht Labs Inc. _2022</v>
      </c>
      <c r="C946" s="6">
        <f ca="1">IFERROR(__xludf.DUMMYFUNCTION("""COMPUTED_VALUE"""),2)</f>
        <v>2</v>
      </c>
      <c r="D946" s="6" t="str">
        <f ca="1">IFERROR(__xludf.DUMMYFUNCTION("""COMPUTED_VALUE"""),"Digital Tech")</f>
        <v>Digital Tech</v>
      </c>
      <c r="E946" s="6" t="str">
        <f ca="1">IFERROR(__xludf.DUMMYFUNCTION("""COMPUTED_VALUE"""),"Invite Next Year")</f>
        <v>Invite Next Year</v>
      </c>
      <c r="F946" s="6" t="e">
        <f t="shared" ca="1" si="3"/>
        <v>#NAME?</v>
      </c>
    </row>
    <row r="947" spans="1:6">
      <c r="A947" s="199">
        <f ca="1">IFERROR(__xludf.DUMMYFUNCTION("""COMPUTED_VALUE"""),44791)</f>
        <v>44791</v>
      </c>
      <c r="B947" s="6" t="str">
        <f ca="1">IFERROR(__xludf.DUMMYFUNCTION("""COMPUTED_VALUE"""),"Acciopay Pte. Ltd. _2022")</f>
        <v>Acciopay Pte. Ltd. _2022</v>
      </c>
      <c r="C947" s="6">
        <f ca="1">IFERROR(__xludf.DUMMYFUNCTION("""COMPUTED_VALUE"""),2)</f>
        <v>2</v>
      </c>
      <c r="D947" s="6" t="str">
        <f ca="1">IFERROR(__xludf.DUMMYFUNCTION("""COMPUTED_VALUE"""),"Digital Tech")</f>
        <v>Digital Tech</v>
      </c>
      <c r="E947" s="6" t="str">
        <f ca="1">IFERROR(__xludf.DUMMYFUNCTION("""COMPUTED_VALUE"""),"Invite Next Year")</f>
        <v>Invite Next Year</v>
      </c>
      <c r="F947" s="6" t="e">
        <f t="shared" ca="1" si="3"/>
        <v>#NAME?</v>
      </c>
    </row>
    <row r="948" spans="1:6">
      <c r="A948" s="199">
        <f ca="1">IFERROR(__xludf.DUMMYFUNCTION("""COMPUTED_VALUE"""),44791)</f>
        <v>44791</v>
      </c>
      <c r="B948" s="6" t="str">
        <f ca="1">IFERROR(__xludf.DUMMYFUNCTION("""COMPUTED_VALUE"""),"Packworks _2022")</f>
        <v>Packworks _2022</v>
      </c>
      <c r="C948" s="6">
        <f ca="1">IFERROR(__xludf.DUMMYFUNCTION("""COMPUTED_VALUE"""),2)</f>
        <v>2</v>
      </c>
      <c r="D948" s="6" t="str">
        <f ca="1">IFERROR(__xludf.DUMMYFUNCTION("""COMPUTED_VALUE"""),"Digital Tech")</f>
        <v>Digital Tech</v>
      </c>
      <c r="E948" s="6" t="str">
        <f ca="1">IFERROR(__xludf.DUMMYFUNCTION("""COMPUTED_VALUE"""),"Invite Next Year")</f>
        <v>Invite Next Year</v>
      </c>
      <c r="F948" s="6" t="e">
        <f t="shared" ca="1" si="3"/>
        <v>#NAME?</v>
      </c>
    </row>
    <row r="949" spans="1:6">
      <c r="A949" s="199">
        <f ca="1">IFERROR(__xludf.DUMMYFUNCTION("""COMPUTED_VALUE"""),44791)</f>
        <v>44791</v>
      </c>
      <c r="B949" s="6" t="str">
        <f ca="1">IFERROR(__xludf.DUMMYFUNCTION("""COMPUTED_VALUE"""),"Street2school _2022")</f>
        <v>Street2school _2022</v>
      </c>
      <c r="C949" s="6">
        <f ca="1">IFERROR(__xludf.DUMMYFUNCTION("""COMPUTED_VALUE"""),2)</f>
        <v>2</v>
      </c>
      <c r="D949" s="6" t="str">
        <f ca="1">IFERROR(__xludf.DUMMYFUNCTION("""COMPUTED_VALUE"""),"Digital Tech")</f>
        <v>Digital Tech</v>
      </c>
      <c r="E949" s="6" t="str">
        <f ca="1">IFERROR(__xludf.DUMMYFUNCTION("""COMPUTED_VALUE"""),"Invite Next Year")</f>
        <v>Invite Next Year</v>
      </c>
      <c r="F949" s="6" t="e">
        <f t="shared" ca="1" si="3"/>
        <v>#NAME?</v>
      </c>
    </row>
    <row r="950" spans="1:6">
      <c r="A950" s="199">
        <f ca="1">IFERROR(__xludf.DUMMYFUNCTION("""COMPUTED_VALUE"""),44791)</f>
        <v>44791</v>
      </c>
      <c r="B950" s="6" t="str">
        <f ca="1">IFERROR(__xludf.DUMMYFUNCTION("""COMPUTED_VALUE"""),"DineUps  _2022")</f>
        <v>DineUps  _2022</v>
      </c>
      <c r="C950" s="6">
        <f ca="1">IFERROR(__xludf.DUMMYFUNCTION("""COMPUTED_VALUE"""),2)</f>
        <v>2</v>
      </c>
      <c r="D950" s="6" t="str">
        <f ca="1">IFERROR(__xludf.DUMMYFUNCTION("""COMPUTED_VALUE"""),"Digital Tech")</f>
        <v>Digital Tech</v>
      </c>
      <c r="E950" s="6" t="str">
        <f ca="1">IFERROR(__xludf.DUMMYFUNCTION("""COMPUTED_VALUE"""),"Invite Next Year")</f>
        <v>Invite Next Year</v>
      </c>
      <c r="F950" s="6" t="e">
        <f t="shared" ca="1" si="3"/>
        <v>#NAME?</v>
      </c>
    </row>
    <row r="951" spans="1:6">
      <c r="A951" s="199">
        <f ca="1">IFERROR(__xludf.DUMMYFUNCTION("""COMPUTED_VALUE"""),44791)</f>
        <v>44791</v>
      </c>
      <c r="B951" s="6" t="str">
        <f ca="1">IFERROR(__xludf.DUMMYFUNCTION("""COMPUTED_VALUE"""),"Dana Fintech Limited _2022")</f>
        <v>Dana Fintech Limited _2022</v>
      </c>
      <c r="C951" s="6">
        <f ca="1">IFERROR(__xludf.DUMMYFUNCTION("""COMPUTED_VALUE"""),2)</f>
        <v>2</v>
      </c>
      <c r="D951" s="6" t="str">
        <f ca="1">IFERROR(__xludf.DUMMYFUNCTION("""COMPUTED_VALUE"""),"Digital Tech")</f>
        <v>Digital Tech</v>
      </c>
      <c r="E951" s="6" t="str">
        <f ca="1">IFERROR(__xludf.DUMMYFUNCTION("""COMPUTED_VALUE"""),"Invite Next Year")</f>
        <v>Invite Next Year</v>
      </c>
      <c r="F951" s="6" t="e">
        <f t="shared" ca="1" si="3"/>
        <v>#NAME?</v>
      </c>
    </row>
    <row r="952" spans="1:6">
      <c r="A952" s="199">
        <f ca="1">IFERROR(__xludf.DUMMYFUNCTION("""COMPUTED_VALUE"""),44791)</f>
        <v>44791</v>
      </c>
      <c r="B952" s="6" t="str">
        <f ca="1">IFERROR(__xludf.DUMMYFUNCTION("""COMPUTED_VALUE"""),"Tanél Heatlh _2022")</f>
        <v>Tanél Heatlh _2022</v>
      </c>
      <c r="C952" s="6">
        <f ca="1">IFERROR(__xludf.DUMMYFUNCTION("""COMPUTED_VALUE"""),2)</f>
        <v>2</v>
      </c>
      <c r="D952" s="6" t="str">
        <f ca="1">IFERROR(__xludf.DUMMYFUNCTION("""COMPUTED_VALUE"""),"Digital Tech")</f>
        <v>Digital Tech</v>
      </c>
      <c r="E952" s="6" t="str">
        <f ca="1">IFERROR(__xludf.DUMMYFUNCTION("""COMPUTED_VALUE"""),"Invite Next Year")</f>
        <v>Invite Next Year</v>
      </c>
      <c r="F952" s="6" t="e">
        <f t="shared" ca="1" si="3"/>
        <v>#NAME?</v>
      </c>
    </row>
    <row r="953" spans="1:6">
      <c r="A953" s="199">
        <f ca="1">IFERROR(__xludf.DUMMYFUNCTION("""COMPUTED_VALUE"""),44791)</f>
        <v>44791</v>
      </c>
      <c r="B953" s="6" t="str">
        <f ca="1">IFERROR(__xludf.DUMMYFUNCTION("""COMPUTED_VALUE"""),"Vyro Pty Ltd _2022")</f>
        <v>Vyro Pty Ltd _2022</v>
      </c>
      <c r="C953" s="6">
        <f ca="1">IFERROR(__xludf.DUMMYFUNCTION("""COMPUTED_VALUE"""),2)</f>
        <v>2</v>
      </c>
      <c r="D953" s="6" t="str">
        <f ca="1">IFERROR(__xludf.DUMMYFUNCTION("""COMPUTED_VALUE"""),"Digital Tech")</f>
        <v>Digital Tech</v>
      </c>
      <c r="E953" s="6" t="str">
        <f ca="1">IFERROR(__xludf.DUMMYFUNCTION("""COMPUTED_VALUE"""),"Invite Next Year")</f>
        <v>Invite Next Year</v>
      </c>
      <c r="F953" s="6" t="e">
        <f t="shared" ca="1" si="3"/>
        <v>#NAME?</v>
      </c>
    </row>
    <row r="954" spans="1:6">
      <c r="A954" s="199">
        <f ca="1">IFERROR(__xludf.DUMMYFUNCTION("""COMPUTED_VALUE"""),44791)</f>
        <v>44791</v>
      </c>
      <c r="B954" s="6" t="str">
        <f ca="1">IFERROR(__xludf.DUMMYFUNCTION("""COMPUTED_VALUE"""),"Kresko RNAtech _2022")</f>
        <v>Kresko RNAtech _2022</v>
      </c>
      <c r="C954" s="6">
        <f ca="1">IFERROR(__xludf.DUMMYFUNCTION("""COMPUTED_VALUE"""),2)</f>
        <v>2</v>
      </c>
      <c r="D954" s="6" t="str">
        <f ca="1">IFERROR(__xludf.DUMMYFUNCTION("""COMPUTED_VALUE"""),"Life Sciences")</f>
        <v>Life Sciences</v>
      </c>
      <c r="E954" s="6" t="str">
        <f ca="1">IFERROR(__xludf.DUMMYFUNCTION("""COMPUTED_VALUE"""),"Special Reject")</f>
        <v>Special Reject</v>
      </c>
      <c r="F954" s="6" t="e">
        <f t="shared" ca="1" si="3"/>
        <v>#NAME?</v>
      </c>
    </row>
    <row r="955" spans="1:6">
      <c r="A955" s="199">
        <f ca="1">IFERROR(__xludf.DUMMYFUNCTION("""COMPUTED_VALUE"""),44791)</f>
        <v>44791</v>
      </c>
      <c r="B955" s="6" t="str">
        <f ca="1">IFERROR(__xludf.DUMMYFUNCTION("""COMPUTED_VALUE"""),"Being Vakil _2022")</f>
        <v>Being Vakil _2022</v>
      </c>
      <c r="C955" s="6">
        <f ca="1">IFERROR(__xludf.DUMMYFUNCTION("""COMPUTED_VALUE"""),2)</f>
        <v>2</v>
      </c>
      <c r="D955" s="6" t="str">
        <f ca="1">IFERROR(__xludf.DUMMYFUNCTION("""COMPUTED_VALUE"""),"Digital Tech")</f>
        <v>Digital Tech</v>
      </c>
      <c r="E955" s="6" t="str">
        <f ca="1">IFERROR(__xludf.DUMMYFUNCTION("""COMPUTED_VALUE"""),"Invite Next Year")</f>
        <v>Invite Next Year</v>
      </c>
      <c r="F955" s="6" t="e">
        <f t="shared" ca="1" si="3"/>
        <v>#NAME?</v>
      </c>
    </row>
    <row r="956" spans="1:6">
      <c r="A956" s="199">
        <f ca="1">IFERROR(__xludf.DUMMYFUNCTION("""COMPUTED_VALUE"""),44791)</f>
        <v>44791</v>
      </c>
      <c r="B956" s="6" t="str">
        <f ca="1">IFERROR(__xludf.DUMMYFUNCTION("""COMPUTED_VALUE"""),"ASD.ai LLC _2022")</f>
        <v>ASD.ai LLC _2022</v>
      </c>
      <c r="C956" s="6">
        <f ca="1">IFERROR(__xludf.DUMMYFUNCTION("""COMPUTED_VALUE"""),2)</f>
        <v>2</v>
      </c>
      <c r="D956" s="6" t="str">
        <f ca="1">IFERROR(__xludf.DUMMYFUNCTION("""COMPUTED_VALUE"""),"Life Sciences")</f>
        <v>Life Sciences</v>
      </c>
      <c r="E956" s="6" t="str">
        <f ca="1">IFERROR(__xludf.DUMMYFUNCTION("""COMPUTED_VALUE"""),"Invite Next Year")</f>
        <v>Invite Next Year</v>
      </c>
      <c r="F956" s="6" t="e">
        <f t="shared" ca="1" si="3"/>
        <v>#NAME?</v>
      </c>
    </row>
    <row r="957" spans="1:6">
      <c r="A957" s="199">
        <f ca="1">IFERROR(__xludf.DUMMYFUNCTION("""COMPUTED_VALUE"""),44791)</f>
        <v>44791</v>
      </c>
      <c r="B957" s="6" t="str">
        <f ca="1">IFERROR(__xludf.DUMMYFUNCTION("""COMPUTED_VALUE"""),"Aliform Inc. _2022")</f>
        <v>Aliform Inc. _2022</v>
      </c>
      <c r="C957" s="6">
        <f ca="1">IFERROR(__xludf.DUMMYFUNCTION("""COMPUTED_VALUE"""),2)</f>
        <v>2</v>
      </c>
      <c r="D957" s="6" t="str">
        <f ca="1">IFERROR(__xludf.DUMMYFUNCTION("""COMPUTED_VALUE"""),"Life Sciences")</f>
        <v>Life Sciences</v>
      </c>
      <c r="E957" s="6" t="str">
        <f ca="1">IFERROR(__xludf.DUMMYFUNCTION("""COMPUTED_VALUE"""),"Invite Next Year")</f>
        <v>Invite Next Year</v>
      </c>
      <c r="F957" s="6" t="e">
        <f t="shared" ca="1" si="3"/>
        <v>#NAME?</v>
      </c>
    </row>
    <row r="958" spans="1:6">
      <c r="A958" s="199">
        <f ca="1">IFERROR(__xludf.DUMMYFUNCTION("""COMPUTED_VALUE"""),44791)</f>
        <v>44791</v>
      </c>
      <c r="B958" s="6" t="str">
        <f ca="1">IFERROR(__xludf.DUMMYFUNCTION("""COMPUTED_VALUE"""),"MotivateU _2022")</f>
        <v>MotivateU _2022</v>
      </c>
      <c r="C958" s="6">
        <f ca="1">IFERROR(__xludf.DUMMYFUNCTION("""COMPUTED_VALUE"""),2)</f>
        <v>2</v>
      </c>
      <c r="D958" s="6" t="str">
        <f ca="1">IFERROR(__xludf.DUMMYFUNCTION("""COMPUTED_VALUE"""),"Digital Tech")</f>
        <v>Digital Tech</v>
      </c>
      <c r="E958" s="6" t="str">
        <f ca="1">IFERROR(__xludf.DUMMYFUNCTION("""COMPUTED_VALUE"""),"Invite Next Year")</f>
        <v>Invite Next Year</v>
      </c>
      <c r="F958" s="6" t="e">
        <f t="shared" ca="1" si="3"/>
        <v>#NAME?</v>
      </c>
    </row>
    <row r="959" spans="1:6">
      <c r="A959" s="199">
        <f ca="1">IFERROR(__xludf.DUMMYFUNCTION("""COMPUTED_VALUE"""),44791)</f>
        <v>44791</v>
      </c>
      <c r="B959" s="6" t="str">
        <f ca="1">IFERROR(__xludf.DUMMYFUNCTION("""COMPUTED_VALUE"""),"Cfromatik Parallel, LDA _2022")</f>
        <v>Cfromatik Parallel, LDA _2022</v>
      </c>
      <c r="C959" s="6">
        <f ca="1">IFERROR(__xludf.DUMMYFUNCTION("""COMPUTED_VALUE"""),2)</f>
        <v>2</v>
      </c>
      <c r="D959" s="6" t="str">
        <f ca="1">IFERROR(__xludf.DUMMYFUNCTION("""COMPUTED_VALUE"""),"Deep Tech")</f>
        <v>Deep Tech</v>
      </c>
      <c r="E959" s="6" t="str">
        <f ca="1">IFERROR(__xludf.DUMMYFUNCTION("""COMPUTED_VALUE"""),"Invite Next Year")</f>
        <v>Invite Next Year</v>
      </c>
      <c r="F959" s="6" t="e">
        <f t="shared" ca="1" si="3"/>
        <v>#NAME?</v>
      </c>
    </row>
    <row r="960" spans="1:6">
      <c r="A960" s="199">
        <f ca="1">IFERROR(__xludf.DUMMYFUNCTION("""COMPUTED_VALUE"""),44791)</f>
        <v>44791</v>
      </c>
      <c r="B960" s="6" t="str">
        <f ca="1">IFERROR(__xludf.DUMMYFUNCTION("""COMPUTED_VALUE"""),"Lineage Medical, Inc. _2022")</f>
        <v>Lineage Medical, Inc. _2022</v>
      </c>
      <c r="C960" s="6">
        <f ca="1">IFERROR(__xludf.DUMMYFUNCTION("""COMPUTED_VALUE"""),2)</f>
        <v>2</v>
      </c>
      <c r="D960" s="6" t="str">
        <f ca="1">IFERROR(__xludf.DUMMYFUNCTION("""COMPUTED_VALUE"""),"Digital Tech")</f>
        <v>Digital Tech</v>
      </c>
      <c r="E960" s="6" t="str">
        <f ca="1">IFERROR(__xludf.DUMMYFUNCTION("""COMPUTED_VALUE"""),"Invite Next Year")</f>
        <v>Invite Next Year</v>
      </c>
      <c r="F960" s="6" t="e">
        <f t="shared" ca="1" si="3"/>
        <v>#NAME?</v>
      </c>
    </row>
    <row r="961" spans="1:6">
      <c r="A961" s="199">
        <f ca="1">IFERROR(__xludf.DUMMYFUNCTION("""COMPUTED_VALUE"""),44791)</f>
        <v>44791</v>
      </c>
      <c r="B961" s="6" t="str">
        <f ca="1">IFERROR(__xludf.DUMMYFUNCTION("""COMPUTED_VALUE"""),"Ultrasonic Medical Mapping, Inc. _2022")</f>
        <v>Ultrasonic Medical Mapping, Inc. _2022</v>
      </c>
      <c r="C961" s="6">
        <f ca="1">IFERROR(__xludf.DUMMYFUNCTION("""COMPUTED_VALUE"""),2)</f>
        <v>2</v>
      </c>
      <c r="D961" s="6" t="str">
        <f ca="1">IFERROR(__xludf.DUMMYFUNCTION("""COMPUTED_VALUE"""),"Life Sciences")</f>
        <v>Life Sciences</v>
      </c>
      <c r="E961" s="6" t="str">
        <f ca="1">IFERROR(__xludf.DUMMYFUNCTION("""COMPUTED_VALUE"""),"Invite Next Year")</f>
        <v>Invite Next Year</v>
      </c>
      <c r="F961" s="6" t="e">
        <f t="shared" ca="1" si="3"/>
        <v>#NAME?</v>
      </c>
    </row>
    <row r="962" spans="1:6">
      <c r="A962" s="199">
        <f ca="1">IFERROR(__xludf.DUMMYFUNCTION("""COMPUTED_VALUE"""),44791)</f>
        <v>44791</v>
      </c>
      <c r="B962" s="6" t="str">
        <f ca="1">IFERROR(__xludf.DUMMYFUNCTION("""COMPUTED_VALUE"""),"Axaitech _2022")</f>
        <v>Axaitech _2022</v>
      </c>
      <c r="C962" s="6">
        <f ca="1">IFERROR(__xludf.DUMMYFUNCTION("""COMPUTED_VALUE"""),2)</f>
        <v>2</v>
      </c>
      <c r="D962" s="6" t="str">
        <f ca="1">IFERROR(__xludf.DUMMYFUNCTION("""COMPUTED_VALUE"""),"Life Sciences")</f>
        <v>Life Sciences</v>
      </c>
      <c r="E962" s="6" t="str">
        <f ca="1">IFERROR(__xludf.DUMMYFUNCTION("""COMPUTED_VALUE"""),"Invite Next Year")</f>
        <v>Invite Next Year</v>
      </c>
      <c r="F962" s="6" t="e">
        <f t="shared" ca="1" si="3"/>
        <v>#NAME?</v>
      </c>
    </row>
    <row r="963" spans="1:6">
      <c r="A963" s="199">
        <f ca="1">IFERROR(__xludf.DUMMYFUNCTION("""COMPUTED_VALUE"""),44791)</f>
        <v>44791</v>
      </c>
      <c r="B963" s="6" t="str">
        <f ca="1">IFERROR(__xludf.DUMMYFUNCTION("""COMPUTED_VALUE"""),"FINWEDGE _2022")</f>
        <v>FINWEDGE _2022</v>
      </c>
      <c r="C963" s="6">
        <f ca="1">IFERROR(__xludf.DUMMYFUNCTION("""COMPUTED_VALUE"""),2)</f>
        <v>2</v>
      </c>
      <c r="D963" s="6" t="str">
        <f ca="1">IFERROR(__xludf.DUMMYFUNCTION("""COMPUTED_VALUE"""),"Digital Tech")</f>
        <v>Digital Tech</v>
      </c>
      <c r="E963" s="6" t="str">
        <f ca="1">IFERROR(__xludf.DUMMYFUNCTION("""COMPUTED_VALUE"""),"Invite Next Year")</f>
        <v>Invite Next Year</v>
      </c>
      <c r="F963" s="6" t="e">
        <f t="shared" ca="1" si="3"/>
        <v>#NAME?</v>
      </c>
    </row>
    <row r="964" spans="1:6">
      <c r="A964" s="199">
        <f ca="1">IFERROR(__xludf.DUMMYFUNCTION("""COMPUTED_VALUE"""),44791)</f>
        <v>44791</v>
      </c>
      <c r="B964" s="6" t="str">
        <f ca="1">IFERROR(__xludf.DUMMYFUNCTION("""COMPUTED_VALUE"""),"Auriga Interactive Studios LLC _2022")</f>
        <v>Auriga Interactive Studios LLC _2022</v>
      </c>
      <c r="C964" s="6">
        <f ca="1">IFERROR(__xludf.DUMMYFUNCTION("""COMPUTED_VALUE"""),2)</f>
        <v>2</v>
      </c>
      <c r="D964" s="6" t="str">
        <f ca="1">IFERROR(__xludf.DUMMYFUNCTION("""COMPUTED_VALUE"""),"Digital Tech")</f>
        <v>Digital Tech</v>
      </c>
      <c r="E964" s="6" t="str">
        <f ca="1">IFERROR(__xludf.DUMMYFUNCTION("""COMPUTED_VALUE"""),"Invite Next Year")</f>
        <v>Invite Next Year</v>
      </c>
      <c r="F964" s="6" t="e">
        <f t="shared" ca="1" si="3"/>
        <v>#NAME?</v>
      </c>
    </row>
    <row r="965" spans="1:6">
      <c r="A965" s="199">
        <f ca="1">IFERROR(__xludf.DUMMYFUNCTION("""COMPUTED_VALUE"""),44796)</f>
        <v>44796</v>
      </c>
      <c r="B965" s="6" t="str">
        <f ca="1">IFERROR(__xludf.DUMMYFUNCTION("""COMPUTED_VALUE"""),"Autentica Industrial Platforms Ltd _2022")</f>
        <v>Autentica Industrial Platforms Ltd _2022</v>
      </c>
      <c r="C965" s="6">
        <f ca="1">IFERROR(__xludf.DUMMYFUNCTION("""COMPUTED_VALUE"""),2)</f>
        <v>2</v>
      </c>
      <c r="D965" s="6" t="str">
        <f ca="1">IFERROR(__xludf.DUMMYFUNCTION("""COMPUTED_VALUE"""),"Digital Tech")</f>
        <v>Digital Tech</v>
      </c>
      <c r="E965" s="6" t="str">
        <f ca="1">IFERROR(__xludf.DUMMYFUNCTION("""COMPUTED_VALUE"""),"Invite Next Year")</f>
        <v>Invite Next Year</v>
      </c>
      <c r="F965" s="6" t="e">
        <f t="shared" ca="1" si="3"/>
        <v>#NAME?</v>
      </c>
    </row>
    <row r="966" spans="1:6">
      <c r="A966" s="199">
        <f ca="1">IFERROR(__xludf.DUMMYFUNCTION("""COMPUTED_VALUE"""),44796)</f>
        <v>44796</v>
      </c>
      <c r="B966" s="6" t="str">
        <f ca="1">IFERROR(__xludf.DUMMYFUNCTION("""COMPUTED_VALUE"""),"InRento _2022")</f>
        <v>InRento _2022</v>
      </c>
      <c r="C966" s="6">
        <f ca="1">IFERROR(__xludf.DUMMYFUNCTION("""COMPUTED_VALUE"""),2)</f>
        <v>2</v>
      </c>
      <c r="D966" s="6" t="str">
        <f ca="1">IFERROR(__xludf.DUMMYFUNCTION("""COMPUTED_VALUE"""),"Digital Tech")</f>
        <v>Digital Tech</v>
      </c>
      <c r="E966" s="6" t="str">
        <f ca="1">IFERROR(__xludf.DUMMYFUNCTION("""COMPUTED_VALUE"""),"Invite Next Year")</f>
        <v>Invite Next Year</v>
      </c>
      <c r="F966" s="6" t="e">
        <f t="shared" ca="1" si="3"/>
        <v>#NAME?</v>
      </c>
    </row>
    <row r="967" spans="1:6">
      <c r="A967" s="199">
        <f ca="1">IFERROR(__xludf.DUMMYFUNCTION("""COMPUTED_VALUE"""),44796)</f>
        <v>44796</v>
      </c>
      <c r="B967" s="6" t="str">
        <f ca="1">IFERROR(__xludf.DUMMYFUNCTION("""COMPUTED_VALUE"""),"Crypto-Z _2022")</f>
        <v>Crypto-Z _2022</v>
      </c>
      <c r="C967" s="6">
        <f ca="1">IFERROR(__xludf.DUMMYFUNCTION("""COMPUTED_VALUE"""),2)</f>
        <v>2</v>
      </c>
      <c r="D967" s="6" t="str">
        <f ca="1">IFERROR(__xludf.DUMMYFUNCTION("""COMPUTED_VALUE"""),"Digital Tech")</f>
        <v>Digital Tech</v>
      </c>
      <c r="E967" s="6" t="str">
        <f ca="1">IFERROR(__xludf.DUMMYFUNCTION("""COMPUTED_VALUE"""),"Invite Next Year")</f>
        <v>Invite Next Year</v>
      </c>
      <c r="F967" s="6" t="e">
        <f t="shared" ca="1" si="3"/>
        <v>#NAME?</v>
      </c>
    </row>
    <row r="968" spans="1:6">
      <c r="A968" s="199">
        <f ca="1">IFERROR(__xludf.DUMMYFUNCTION("""COMPUTED_VALUE"""),44796)</f>
        <v>44796</v>
      </c>
      <c r="B968" s="6" t="str">
        <f ca="1">IFERROR(__xludf.DUMMYFUNCTION("""COMPUTED_VALUE"""),"Influcracy Inc _2022")</f>
        <v>Influcracy Inc _2022</v>
      </c>
      <c r="C968" s="6">
        <f ca="1">IFERROR(__xludf.DUMMYFUNCTION("""COMPUTED_VALUE"""),2)</f>
        <v>2</v>
      </c>
      <c r="D968" s="6" t="str">
        <f ca="1">IFERROR(__xludf.DUMMYFUNCTION("""COMPUTED_VALUE"""),"Digital Tech")</f>
        <v>Digital Tech</v>
      </c>
      <c r="E968" s="6" t="str">
        <f ca="1">IFERROR(__xludf.DUMMYFUNCTION("""COMPUTED_VALUE"""),"Invite Next Year")</f>
        <v>Invite Next Year</v>
      </c>
      <c r="F968" s="6" t="e">
        <f t="shared" ca="1" si="3"/>
        <v>#NAME?</v>
      </c>
    </row>
    <row r="969" spans="1:6">
      <c r="A969" s="199">
        <f ca="1">IFERROR(__xludf.DUMMYFUNCTION("""COMPUTED_VALUE"""),44796)</f>
        <v>44796</v>
      </c>
      <c r="B969" s="6" t="str">
        <f ca="1">IFERROR(__xludf.DUMMYFUNCTION("""COMPUTED_VALUE"""),"Nash fintechX _2022")</f>
        <v>Nash fintechX _2022</v>
      </c>
      <c r="C969" s="6">
        <f ca="1">IFERROR(__xludf.DUMMYFUNCTION("""COMPUTED_VALUE"""),2)</f>
        <v>2</v>
      </c>
      <c r="D969" s="6" t="str">
        <f ca="1">IFERROR(__xludf.DUMMYFUNCTION("""COMPUTED_VALUE"""),"Digital Tech")</f>
        <v>Digital Tech</v>
      </c>
      <c r="E969" s="6" t="str">
        <f ca="1">IFERROR(__xludf.DUMMYFUNCTION("""COMPUTED_VALUE"""),"Invite Next Year")</f>
        <v>Invite Next Year</v>
      </c>
      <c r="F969" s="6" t="e">
        <f t="shared" ca="1" si="3"/>
        <v>#NAME?</v>
      </c>
    </row>
    <row r="970" spans="1:6">
      <c r="A970" s="199">
        <f ca="1">IFERROR(__xludf.DUMMYFUNCTION("""COMPUTED_VALUE"""),44796)</f>
        <v>44796</v>
      </c>
      <c r="B970" s="6" t="str">
        <f ca="1">IFERROR(__xludf.DUMMYFUNCTION("""COMPUTED_VALUE"""),"prints.me _2022")</f>
        <v>prints.me _2022</v>
      </c>
      <c r="C970" s="6">
        <f ca="1">IFERROR(__xludf.DUMMYFUNCTION("""COMPUTED_VALUE"""),2)</f>
        <v>2</v>
      </c>
      <c r="D970" s="6" t="str">
        <f ca="1">IFERROR(__xludf.DUMMYFUNCTION("""COMPUTED_VALUE"""),"Digital Tech")</f>
        <v>Digital Tech</v>
      </c>
      <c r="E970" s="6" t="str">
        <f ca="1">IFERROR(__xludf.DUMMYFUNCTION("""COMPUTED_VALUE"""),"Invite Next Year")</f>
        <v>Invite Next Year</v>
      </c>
      <c r="F970" s="6" t="e">
        <f t="shared" ca="1" si="3"/>
        <v>#NAME?</v>
      </c>
    </row>
    <row r="971" spans="1:6">
      <c r="A971" s="199">
        <f ca="1">IFERROR(__xludf.DUMMYFUNCTION("""COMPUTED_VALUE"""),44796)</f>
        <v>44796</v>
      </c>
      <c r="B971" s="6" t="str">
        <f ca="1">IFERROR(__xludf.DUMMYFUNCTION("""COMPUTED_VALUE"""),"CLOWAK INNOVATIONS LLP _2022")</f>
        <v>CLOWAK INNOVATIONS LLP _2022</v>
      </c>
      <c r="C971" s="6">
        <f ca="1">IFERROR(__xludf.DUMMYFUNCTION("""COMPUTED_VALUE"""),2)</f>
        <v>2</v>
      </c>
      <c r="D971" s="6" t="str">
        <f ca="1">IFERROR(__xludf.DUMMYFUNCTION("""COMPUTED_VALUE"""),"Life Sciences")</f>
        <v>Life Sciences</v>
      </c>
      <c r="E971" s="6" t="str">
        <f ca="1">IFERROR(__xludf.DUMMYFUNCTION("""COMPUTED_VALUE"""),"Invite Next Year")</f>
        <v>Invite Next Year</v>
      </c>
      <c r="F971" s="6" t="e">
        <f t="shared" ca="1" si="3"/>
        <v>#NAME?</v>
      </c>
    </row>
    <row r="972" spans="1:6">
      <c r="A972" s="199">
        <f ca="1">IFERROR(__xludf.DUMMYFUNCTION("""COMPUTED_VALUE"""),44796)</f>
        <v>44796</v>
      </c>
      <c r="B972" s="6" t="str">
        <f ca="1">IFERROR(__xludf.DUMMYFUNCTION("""COMPUTED_VALUE"""),"BleBluBla _2022")</f>
        <v>BleBluBla _2022</v>
      </c>
      <c r="C972" s="6">
        <f ca="1">IFERROR(__xludf.DUMMYFUNCTION("""COMPUTED_VALUE"""),2)</f>
        <v>2</v>
      </c>
      <c r="D972" s="6" t="str">
        <f ca="1">IFERROR(__xludf.DUMMYFUNCTION("""COMPUTED_VALUE"""),"Digital Tech")</f>
        <v>Digital Tech</v>
      </c>
      <c r="E972" s="6" t="str">
        <f ca="1">IFERROR(__xludf.DUMMYFUNCTION("""COMPUTED_VALUE"""),"Invite Next Year")</f>
        <v>Invite Next Year</v>
      </c>
      <c r="F972" s="6" t="e">
        <f t="shared" ca="1" si="3"/>
        <v>#NAME?</v>
      </c>
    </row>
    <row r="973" spans="1:6">
      <c r="A973" s="199">
        <f ca="1">IFERROR(__xludf.DUMMYFUNCTION("""COMPUTED_VALUE"""),44796)</f>
        <v>44796</v>
      </c>
      <c r="B973" s="6" t="str">
        <f ca="1">IFERROR(__xludf.DUMMYFUNCTION("""COMPUTED_VALUE"""),"Progressive Generation Studios _2022")</f>
        <v>Progressive Generation Studios _2022</v>
      </c>
      <c r="C973" s="6">
        <f ca="1">IFERROR(__xludf.DUMMYFUNCTION("""COMPUTED_VALUE"""),2)</f>
        <v>2</v>
      </c>
      <c r="D973" s="6" t="str">
        <f ca="1">IFERROR(__xludf.DUMMYFUNCTION("""COMPUTED_VALUE"""),"Digital Tech")</f>
        <v>Digital Tech</v>
      </c>
      <c r="E973" s="6" t="str">
        <f ca="1">IFERROR(__xludf.DUMMYFUNCTION("""COMPUTED_VALUE"""),"Invite Next Year")</f>
        <v>Invite Next Year</v>
      </c>
      <c r="F973" s="6" t="e">
        <f t="shared" ca="1" si="3"/>
        <v>#NAME?</v>
      </c>
    </row>
    <row r="974" spans="1:6">
      <c r="A974" s="199">
        <f ca="1">IFERROR(__xludf.DUMMYFUNCTION("""COMPUTED_VALUE"""),44796)</f>
        <v>44796</v>
      </c>
      <c r="B974" s="6" t="str">
        <f ca="1">IFERROR(__xludf.DUMMYFUNCTION("""COMPUTED_VALUE"""),"Prospero.Ai _2022")</f>
        <v>Prospero.Ai _2022</v>
      </c>
      <c r="C974" s="6">
        <f ca="1">IFERROR(__xludf.DUMMYFUNCTION("""COMPUTED_VALUE"""),2)</f>
        <v>2</v>
      </c>
      <c r="D974" s="6" t="str">
        <f ca="1">IFERROR(__xludf.DUMMYFUNCTION("""COMPUTED_VALUE"""),"Digital Tech")</f>
        <v>Digital Tech</v>
      </c>
      <c r="E974" s="6" t="str">
        <f ca="1">IFERROR(__xludf.DUMMYFUNCTION("""COMPUTED_VALUE"""),"Invite Next Year")</f>
        <v>Invite Next Year</v>
      </c>
      <c r="F974" s="6" t="e">
        <f t="shared" ca="1" si="3"/>
        <v>#NAME?</v>
      </c>
    </row>
    <row r="975" spans="1:6">
      <c r="A975" s="199">
        <f ca="1">IFERROR(__xludf.DUMMYFUNCTION("""COMPUTED_VALUE"""),44796)</f>
        <v>44796</v>
      </c>
      <c r="B975" s="6" t="str">
        <f ca="1">IFERROR(__xludf.DUMMYFUNCTION("""COMPUTED_VALUE"""),"Metamorphic Foods Pvt Ltd (Klever Meat) _2022")</f>
        <v>Metamorphic Foods Pvt Ltd (Klever Meat) _2022</v>
      </c>
      <c r="C975" s="6">
        <f ca="1">IFERROR(__xludf.DUMMYFUNCTION("""COMPUTED_VALUE"""),2)</f>
        <v>2</v>
      </c>
      <c r="D975" s="6" t="str">
        <f ca="1">IFERROR(__xludf.DUMMYFUNCTION("""COMPUTED_VALUE"""),"Life Sciences")</f>
        <v>Life Sciences</v>
      </c>
      <c r="E975" s="6" t="str">
        <f ca="1">IFERROR(__xludf.DUMMYFUNCTION("""COMPUTED_VALUE"""),"Invite Next Year")</f>
        <v>Invite Next Year</v>
      </c>
      <c r="F975" s="6" t="e">
        <f t="shared" ca="1" si="3"/>
        <v>#NAME?</v>
      </c>
    </row>
    <row r="976" spans="1:6">
      <c r="A976" s="199">
        <f ca="1">IFERROR(__xludf.DUMMYFUNCTION("""COMPUTED_VALUE"""),44796)</f>
        <v>44796</v>
      </c>
      <c r="B976" s="6" t="str">
        <f ca="1">IFERROR(__xludf.DUMMYFUNCTION("""COMPUTED_VALUE"""),"InTune Inc. _2022")</f>
        <v>InTune Inc. _2022</v>
      </c>
      <c r="C976" s="6">
        <f ca="1">IFERROR(__xludf.DUMMYFUNCTION("""COMPUTED_VALUE"""),2)</f>
        <v>2</v>
      </c>
      <c r="D976" s="6" t="str">
        <f ca="1">IFERROR(__xludf.DUMMYFUNCTION("""COMPUTED_VALUE"""),"Digital Tech")</f>
        <v>Digital Tech</v>
      </c>
      <c r="E976" s="6" t="str">
        <f ca="1">IFERROR(__xludf.DUMMYFUNCTION("""COMPUTED_VALUE"""),"Invite Next Year")</f>
        <v>Invite Next Year</v>
      </c>
      <c r="F976" s="6" t="e">
        <f t="shared" ca="1" si="3"/>
        <v>#NAME?</v>
      </c>
    </row>
    <row r="977" spans="1:6">
      <c r="A977" s="199">
        <f ca="1">IFERROR(__xludf.DUMMYFUNCTION("""COMPUTED_VALUE"""),44796)</f>
        <v>44796</v>
      </c>
      <c r="B977" s="6" t="str">
        <f ca="1">IFERROR(__xludf.DUMMYFUNCTION("""COMPUTED_VALUE"""),"Wealthspan Financial Partners _2022")</f>
        <v>Wealthspan Financial Partners _2022</v>
      </c>
      <c r="C977" s="6">
        <f ca="1">IFERROR(__xludf.DUMMYFUNCTION("""COMPUTED_VALUE"""),2)</f>
        <v>2</v>
      </c>
      <c r="D977" s="6" t="str">
        <f ca="1">IFERROR(__xludf.DUMMYFUNCTION("""COMPUTED_VALUE"""),"Digital Tech")</f>
        <v>Digital Tech</v>
      </c>
      <c r="E977" s="6" t="str">
        <f ca="1">IFERROR(__xludf.DUMMYFUNCTION("""COMPUTED_VALUE"""),"Invite Next Year")</f>
        <v>Invite Next Year</v>
      </c>
      <c r="F977" s="6" t="e">
        <f t="shared" ca="1" si="3"/>
        <v>#NAME?</v>
      </c>
    </row>
    <row r="978" spans="1:6">
      <c r="A978" s="199">
        <f ca="1">IFERROR(__xludf.DUMMYFUNCTION("""COMPUTED_VALUE"""),44796)</f>
        <v>44796</v>
      </c>
      <c r="B978" s="6" t="str">
        <f ca="1">IFERROR(__xludf.DUMMYFUNCTION("""COMPUTED_VALUE"""),"skillcert.io _2022")</f>
        <v>skillcert.io _2022</v>
      </c>
      <c r="C978" s="6">
        <f ca="1">IFERROR(__xludf.DUMMYFUNCTION("""COMPUTED_VALUE"""),2)</f>
        <v>2</v>
      </c>
      <c r="D978" s="6" t="str">
        <f ca="1">IFERROR(__xludf.DUMMYFUNCTION("""COMPUTED_VALUE"""),"Digital Tech")</f>
        <v>Digital Tech</v>
      </c>
      <c r="E978" s="6" t="str">
        <f ca="1">IFERROR(__xludf.DUMMYFUNCTION("""COMPUTED_VALUE"""),"Invite Next Year")</f>
        <v>Invite Next Year</v>
      </c>
      <c r="F978" s="6" t="e">
        <f t="shared" ca="1" si="3"/>
        <v>#NAME?</v>
      </c>
    </row>
    <row r="979" spans="1:6">
      <c r="A979" s="199">
        <f ca="1">IFERROR(__xludf.DUMMYFUNCTION("""COMPUTED_VALUE"""),44796)</f>
        <v>44796</v>
      </c>
      <c r="B979" s="6" t="str">
        <f ca="1">IFERROR(__xludf.DUMMYFUNCTION("""COMPUTED_VALUE"""),"Above &amp; Beyond Studios, Inc. _2022")</f>
        <v>Above &amp; Beyond Studios, Inc. _2022</v>
      </c>
      <c r="C979" s="6">
        <f ca="1">IFERROR(__xludf.DUMMYFUNCTION("""COMPUTED_VALUE"""),2)</f>
        <v>2</v>
      </c>
      <c r="D979" s="6" t="str">
        <f ca="1">IFERROR(__xludf.DUMMYFUNCTION("""COMPUTED_VALUE"""),"Digital Tech")</f>
        <v>Digital Tech</v>
      </c>
      <c r="E979" s="6" t="str">
        <f ca="1">IFERROR(__xludf.DUMMYFUNCTION("""COMPUTED_VALUE"""),"Invite Next Year")</f>
        <v>Invite Next Year</v>
      </c>
      <c r="F979" s="6" t="e">
        <f t="shared" ca="1" si="3"/>
        <v>#NAME?</v>
      </c>
    </row>
    <row r="980" spans="1:6">
      <c r="A980" s="199">
        <f ca="1">IFERROR(__xludf.DUMMYFUNCTION("""COMPUTED_VALUE"""),44796)</f>
        <v>44796</v>
      </c>
      <c r="B980" s="6" t="str">
        <f ca="1">IFERROR(__xludf.DUMMYFUNCTION("""COMPUTED_VALUE"""),"Assistive Descriptive Accessible Platforms products and Technologies Inc. (A.D.A.P.T.) _2022")</f>
        <v>Assistive Descriptive Accessible Platforms products and Technologies Inc. (A.D.A.P.T.) _2022</v>
      </c>
      <c r="C980" s="6">
        <f ca="1">IFERROR(__xludf.DUMMYFUNCTION("""COMPUTED_VALUE"""),2)</f>
        <v>2</v>
      </c>
      <c r="D980" s="6" t="str">
        <f ca="1">IFERROR(__xludf.DUMMYFUNCTION("""COMPUTED_VALUE"""),"Digital Tech")</f>
        <v>Digital Tech</v>
      </c>
      <c r="E980" s="6" t="str">
        <f ca="1">IFERROR(__xludf.DUMMYFUNCTION("""COMPUTED_VALUE"""),"Invite Next Year")</f>
        <v>Invite Next Year</v>
      </c>
      <c r="F980" s="6" t="e">
        <f t="shared" ca="1" si="3"/>
        <v>#NAME?</v>
      </c>
    </row>
    <row r="981" spans="1:6">
      <c r="A981" s="199">
        <f ca="1">IFERROR(__xludf.DUMMYFUNCTION("""COMPUTED_VALUE"""),44796)</f>
        <v>44796</v>
      </c>
      <c r="B981" s="6" t="str">
        <f ca="1">IFERROR(__xludf.DUMMYFUNCTION("""COMPUTED_VALUE"""),"Kaso _2022")</f>
        <v>Kaso _2022</v>
      </c>
      <c r="C981" s="6">
        <f ca="1">IFERROR(__xludf.DUMMYFUNCTION("""COMPUTED_VALUE"""),2)</f>
        <v>2</v>
      </c>
      <c r="D981" s="6" t="str">
        <f ca="1">IFERROR(__xludf.DUMMYFUNCTION("""COMPUTED_VALUE"""),"Digital Tech")</f>
        <v>Digital Tech</v>
      </c>
      <c r="E981" s="6" t="str">
        <f ca="1">IFERROR(__xludf.DUMMYFUNCTION("""COMPUTED_VALUE"""),"Invite Next Year")</f>
        <v>Invite Next Year</v>
      </c>
      <c r="F981" s="6" t="e">
        <f t="shared" ca="1" si="3"/>
        <v>#NAME?</v>
      </c>
    </row>
    <row r="982" spans="1:6">
      <c r="A982" s="199">
        <f ca="1">IFERROR(__xludf.DUMMYFUNCTION("""COMPUTED_VALUE"""),44796)</f>
        <v>44796</v>
      </c>
      <c r="B982" s="6" t="str">
        <f ca="1">IFERROR(__xludf.DUMMYFUNCTION("""COMPUTED_VALUE"""),"ELANZA Wellness _2022")</f>
        <v>ELANZA Wellness _2022</v>
      </c>
      <c r="C982" s="6">
        <f ca="1">IFERROR(__xludf.DUMMYFUNCTION("""COMPUTED_VALUE"""),2)</f>
        <v>2</v>
      </c>
      <c r="D982" s="6" t="str">
        <f ca="1">IFERROR(__xludf.DUMMYFUNCTION("""COMPUTED_VALUE"""),"Digital Tech")</f>
        <v>Digital Tech</v>
      </c>
      <c r="E982" s="6" t="str">
        <f ca="1">IFERROR(__xludf.DUMMYFUNCTION("""COMPUTED_VALUE"""),"Invite Next Year")</f>
        <v>Invite Next Year</v>
      </c>
      <c r="F982" s="6" t="e">
        <f t="shared" ca="1" si="3"/>
        <v>#NAME?</v>
      </c>
    </row>
    <row r="983" spans="1:6">
      <c r="A983" s="199">
        <f ca="1">IFERROR(__xludf.DUMMYFUNCTION("""COMPUTED_VALUE"""),44796)</f>
        <v>44796</v>
      </c>
      <c r="B983" s="6" t="str">
        <f ca="1">IFERROR(__xludf.DUMMYFUNCTION("""COMPUTED_VALUE"""),"GaleSun Technologies _2022")</f>
        <v>GaleSun Technologies _2022</v>
      </c>
      <c r="C983" s="6">
        <f ca="1">IFERROR(__xludf.DUMMYFUNCTION("""COMPUTED_VALUE"""),2)</f>
        <v>2</v>
      </c>
      <c r="D983" s="6" t="str">
        <f ca="1">IFERROR(__xludf.DUMMYFUNCTION("""COMPUTED_VALUE"""),"Life Sciences")</f>
        <v>Life Sciences</v>
      </c>
      <c r="E983" s="6" t="str">
        <f ca="1">IFERROR(__xludf.DUMMYFUNCTION("""COMPUTED_VALUE"""),"Invite Next Year")</f>
        <v>Invite Next Year</v>
      </c>
      <c r="F983" s="6" t="e">
        <f t="shared" ca="1" si="3"/>
        <v>#NAME?</v>
      </c>
    </row>
    <row r="984" spans="1:6">
      <c r="A984" s="199">
        <f ca="1">IFERROR(__xludf.DUMMYFUNCTION("""COMPUTED_VALUE"""),44796)</f>
        <v>44796</v>
      </c>
      <c r="B984" s="6" t="str">
        <f ca="1">IFERROR(__xludf.DUMMYFUNCTION("""COMPUTED_VALUE"""),"Neurohue _2022")</f>
        <v>Neurohue _2022</v>
      </c>
      <c r="C984" s="6">
        <f ca="1">IFERROR(__xludf.DUMMYFUNCTION("""COMPUTED_VALUE"""),2)</f>
        <v>2</v>
      </c>
      <c r="D984" s="6" t="str">
        <f ca="1">IFERROR(__xludf.DUMMYFUNCTION("""COMPUTED_VALUE"""),"Life Sciences")</f>
        <v>Life Sciences</v>
      </c>
      <c r="E984" s="6" t="str">
        <f ca="1">IFERROR(__xludf.DUMMYFUNCTION("""COMPUTED_VALUE"""),"Invite Next Year")</f>
        <v>Invite Next Year</v>
      </c>
      <c r="F984" s="6" t="e">
        <f t="shared" ca="1" si="3"/>
        <v>#NAME?</v>
      </c>
    </row>
    <row r="985" spans="1:6">
      <c r="A985" s="199">
        <f ca="1">IFERROR(__xludf.DUMMYFUNCTION("""COMPUTED_VALUE"""),44796)</f>
        <v>44796</v>
      </c>
      <c r="B985" s="6" t="str">
        <f ca="1">IFERROR(__xludf.DUMMYFUNCTION("""COMPUTED_VALUE"""),"AltCal _2022")</f>
        <v>AltCal _2022</v>
      </c>
      <c r="C985" s="6">
        <f ca="1">IFERROR(__xludf.DUMMYFUNCTION("""COMPUTED_VALUE"""),2)</f>
        <v>2</v>
      </c>
      <c r="D985" s="6" t="str">
        <f ca="1">IFERROR(__xludf.DUMMYFUNCTION("""COMPUTED_VALUE"""),"Digital Tech")</f>
        <v>Digital Tech</v>
      </c>
      <c r="E985" s="6" t="str">
        <f ca="1">IFERROR(__xludf.DUMMYFUNCTION("""COMPUTED_VALUE"""),"Invite Next Year")</f>
        <v>Invite Next Year</v>
      </c>
      <c r="F985" s="6" t="e">
        <f t="shared" ca="1" si="3"/>
        <v>#NAME?</v>
      </c>
    </row>
    <row r="986" spans="1:6">
      <c r="A986" s="199">
        <f ca="1">IFERROR(__xludf.DUMMYFUNCTION("""COMPUTED_VALUE"""),44796)</f>
        <v>44796</v>
      </c>
      <c r="B986" s="6" t="str">
        <f ca="1">IFERROR(__xludf.DUMMYFUNCTION("""COMPUTED_VALUE"""),"Fifty Bricks _2022")</f>
        <v>Fifty Bricks _2022</v>
      </c>
      <c r="C986" s="6">
        <f ca="1">IFERROR(__xludf.DUMMYFUNCTION("""COMPUTED_VALUE"""),2)</f>
        <v>2</v>
      </c>
      <c r="D986" s="6" t="str">
        <f ca="1">IFERROR(__xludf.DUMMYFUNCTION("""COMPUTED_VALUE"""),"Digital Tech")</f>
        <v>Digital Tech</v>
      </c>
      <c r="E986" s="6" t="str">
        <f ca="1">IFERROR(__xludf.DUMMYFUNCTION("""COMPUTED_VALUE"""),"Invite Next Year")</f>
        <v>Invite Next Year</v>
      </c>
      <c r="F986" s="6" t="e">
        <f t="shared" ca="1" si="3"/>
        <v>#NAME?</v>
      </c>
    </row>
    <row r="987" spans="1:6">
      <c r="A987" s="199">
        <f ca="1">IFERROR(__xludf.DUMMYFUNCTION("""COMPUTED_VALUE"""),44796)</f>
        <v>44796</v>
      </c>
      <c r="B987" s="6" t="str">
        <f ca="1">IFERROR(__xludf.DUMMYFUNCTION("""COMPUTED_VALUE"""),"OnEx Medical _2022")</f>
        <v>OnEx Medical _2022</v>
      </c>
      <c r="C987" s="6">
        <f ca="1">IFERROR(__xludf.DUMMYFUNCTION("""COMPUTED_VALUE"""),2)</f>
        <v>2</v>
      </c>
      <c r="D987" s="6" t="str">
        <f ca="1">IFERROR(__xludf.DUMMYFUNCTION("""COMPUTED_VALUE"""),"Digital Tech")</f>
        <v>Digital Tech</v>
      </c>
      <c r="E987" s="6" t="str">
        <f ca="1">IFERROR(__xludf.DUMMYFUNCTION("""COMPUTED_VALUE"""),"Invite Next Year")</f>
        <v>Invite Next Year</v>
      </c>
      <c r="F987" s="6" t="e">
        <f t="shared" ca="1" si="3"/>
        <v>#NAME?</v>
      </c>
    </row>
    <row r="988" spans="1:6">
      <c r="A988" s="199">
        <f ca="1">IFERROR(__xludf.DUMMYFUNCTION("""COMPUTED_VALUE"""),44796)</f>
        <v>44796</v>
      </c>
      <c r="B988" s="6" t="str">
        <f ca="1">IFERROR(__xludf.DUMMYFUNCTION("""COMPUTED_VALUE"""),"eXeer Biotech, Inc _2022")</f>
        <v>eXeer Biotech, Inc _2022</v>
      </c>
      <c r="C988" s="6">
        <f ca="1">IFERROR(__xludf.DUMMYFUNCTION("""COMPUTED_VALUE"""),2)</f>
        <v>2</v>
      </c>
      <c r="D988" s="6" t="str">
        <f ca="1">IFERROR(__xludf.DUMMYFUNCTION("""COMPUTED_VALUE"""),"Life Sciences")</f>
        <v>Life Sciences</v>
      </c>
      <c r="E988" s="6" t="str">
        <f ca="1">IFERROR(__xludf.DUMMYFUNCTION("""COMPUTED_VALUE"""),"Invite Next Year")</f>
        <v>Invite Next Year</v>
      </c>
      <c r="F988" s="6" t="e">
        <f t="shared" ca="1" si="3"/>
        <v>#NAME?</v>
      </c>
    </row>
    <row r="989" spans="1:6">
      <c r="A989" s="199">
        <f ca="1">IFERROR(__xludf.DUMMYFUNCTION("""COMPUTED_VALUE"""),44796)</f>
        <v>44796</v>
      </c>
      <c r="B989" s="6" t="str">
        <f ca="1">IFERROR(__xludf.DUMMYFUNCTION("""COMPUTED_VALUE"""),"Assemble _2022")</f>
        <v>Assemble _2022</v>
      </c>
      <c r="C989" s="6">
        <f ca="1">IFERROR(__xludf.DUMMYFUNCTION("""COMPUTED_VALUE"""),2)</f>
        <v>2</v>
      </c>
      <c r="D989" s="6" t="str">
        <f ca="1">IFERROR(__xludf.DUMMYFUNCTION("""COMPUTED_VALUE"""),"Digital Tech")</f>
        <v>Digital Tech</v>
      </c>
      <c r="E989" s="6" t="str">
        <f ca="1">IFERROR(__xludf.DUMMYFUNCTION("""COMPUTED_VALUE"""),"Invite Next Year")</f>
        <v>Invite Next Year</v>
      </c>
      <c r="F989" s="6" t="e">
        <f t="shared" ca="1" si="3"/>
        <v>#NAME?</v>
      </c>
    </row>
    <row r="990" spans="1:6">
      <c r="A990" s="199">
        <f ca="1">IFERROR(__xludf.DUMMYFUNCTION("""COMPUTED_VALUE"""),44796)</f>
        <v>44796</v>
      </c>
      <c r="B990" s="6" t="str">
        <f ca="1">IFERROR(__xludf.DUMMYFUNCTION("""COMPUTED_VALUE"""),"Vertikal X, Inc _2022")</f>
        <v>Vertikal X, Inc _2022</v>
      </c>
      <c r="C990" s="6">
        <f ca="1">IFERROR(__xludf.DUMMYFUNCTION("""COMPUTED_VALUE"""),2)</f>
        <v>2</v>
      </c>
      <c r="D990" s="6" t="str">
        <f ca="1">IFERROR(__xludf.DUMMYFUNCTION("""COMPUTED_VALUE"""),"Digital Tech")</f>
        <v>Digital Tech</v>
      </c>
      <c r="E990" s="6" t="str">
        <f ca="1">IFERROR(__xludf.DUMMYFUNCTION("""COMPUTED_VALUE"""),"Invite Next Year")</f>
        <v>Invite Next Year</v>
      </c>
      <c r="F990" s="6" t="e">
        <f t="shared" ca="1" si="3"/>
        <v>#NAME?</v>
      </c>
    </row>
    <row r="991" spans="1:6">
      <c r="A991" s="199">
        <f ca="1">IFERROR(__xludf.DUMMYFUNCTION("""COMPUTED_VALUE"""),44796)</f>
        <v>44796</v>
      </c>
      <c r="B991" s="6" t="str">
        <f ca="1">IFERROR(__xludf.DUMMYFUNCTION("""COMPUTED_VALUE"""),"Fits _2022")</f>
        <v>Fits _2022</v>
      </c>
      <c r="C991" s="6">
        <f ca="1">IFERROR(__xludf.DUMMYFUNCTION("""COMPUTED_VALUE"""),2)</f>
        <v>2</v>
      </c>
      <c r="D991" s="6" t="str">
        <f ca="1">IFERROR(__xludf.DUMMYFUNCTION("""COMPUTED_VALUE"""),"Digital Tech")</f>
        <v>Digital Tech</v>
      </c>
      <c r="E991" s="6" t="str">
        <f ca="1">IFERROR(__xludf.DUMMYFUNCTION("""COMPUTED_VALUE"""),"Invite Next Year")</f>
        <v>Invite Next Year</v>
      </c>
      <c r="F991" s="6" t="e">
        <f t="shared" ca="1" si="3"/>
        <v>#NAME?</v>
      </c>
    </row>
    <row r="992" spans="1:6">
      <c r="A992" s="199">
        <f ca="1">IFERROR(__xludf.DUMMYFUNCTION("""COMPUTED_VALUE"""),44797)</f>
        <v>44797</v>
      </c>
      <c r="B992" s="6" t="str">
        <f ca="1">IFERROR(__xludf.DUMMYFUNCTION("""COMPUTED_VALUE"""),"Peer Circles by wedstll  _2022")</f>
        <v>Peer Circles by wedstll  _2022</v>
      </c>
      <c r="C992" s="6">
        <f ca="1">IFERROR(__xludf.DUMMYFUNCTION("""COMPUTED_VALUE"""),2)</f>
        <v>2</v>
      </c>
      <c r="D992" s="6" t="str">
        <f ca="1">IFERROR(__xludf.DUMMYFUNCTION("""COMPUTED_VALUE"""),"Digital Tech")</f>
        <v>Digital Tech</v>
      </c>
      <c r="E992" s="6" t="str">
        <f ca="1">IFERROR(__xludf.DUMMYFUNCTION("""COMPUTED_VALUE"""),"Invite Next Year")</f>
        <v>Invite Next Year</v>
      </c>
      <c r="F992" s="6" t="e">
        <f t="shared" ca="1" si="3"/>
        <v>#NAME?</v>
      </c>
    </row>
    <row r="993" spans="1:6">
      <c r="A993" s="199">
        <f ca="1">IFERROR(__xludf.DUMMYFUNCTION("""COMPUTED_VALUE"""),44797)</f>
        <v>44797</v>
      </c>
      <c r="B993" s="6" t="str">
        <f ca="1">IFERROR(__xludf.DUMMYFUNCTION("""COMPUTED_VALUE"""),"Kitchefy _2022")</f>
        <v>Kitchefy _2022</v>
      </c>
      <c r="C993" s="6">
        <f ca="1">IFERROR(__xludf.DUMMYFUNCTION("""COMPUTED_VALUE"""),2)</f>
        <v>2</v>
      </c>
      <c r="D993" s="6" t="str">
        <f ca="1">IFERROR(__xludf.DUMMYFUNCTION("""COMPUTED_VALUE"""),"Digital Tech")</f>
        <v>Digital Tech</v>
      </c>
      <c r="E993" s="6" t="str">
        <f ca="1">IFERROR(__xludf.DUMMYFUNCTION("""COMPUTED_VALUE"""),"Invite Next Year")</f>
        <v>Invite Next Year</v>
      </c>
      <c r="F993" s="6" t="e">
        <f t="shared" ca="1" si="3"/>
        <v>#NAME?</v>
      </c>
    </row>
    <row r="994" spans="1:6">
      <c r="A994" s="199">
        <f ca="1">IFERROR(__xludf.DUMMYFUNCTION("""COMPUTED_VALUE"""),44797)</f>
        <v>44797</v>
      </c>
      <c r="B994" s="6" t="str">
        <f ca="1">IFERROR(__xludf.DUMMYFUNCTION("""COMPUTED_VALUE"""),"Vansanity, Inc. _2022")</f>
        <v>Vansanity, Inc. _2022</v>
      </c>
      <c r="C994" s="6">
        <f ca="1">IFERROR(__xludf.DUMMYFUNCTION("""COMPUTED_VALUE"""),2)</f>
        <v>2</v>
      </c>
      <c r="D994" s="6" t="str">
        <f ca="1">IFERROR(__xludf.DUMMYFUNCTION("""COMPUTED_VALUE"""),"Digital Tech")</f>
        <v>Digital Tech</v>
      </c>
      <c r="E994" s="6" t="str">
        <f ca="1">IFERROR(__xludf.DUMMYFUNCTION("""COMPUTED_VALUE"""),"Invite Next Year")</f>
        <v>Invite Next Year</v>
      </c>
      <c r="F994" s="6" t="e">
        <f t="shared" ca="1" si="3"/>
        <v>#NAME?</v>
      </c>
    </row>
    <row r="995" spans="1:6">
      <c r="A995" s="199">
        <f ca="1">IFERROR(__xludf.DUMMYFUNCTION("""COMPUTED_VALUE"""),44797)</f>
        <v>44797</v>
      </c>
      <c r="B995" s="6" t="str">
        <f ca="1">IFERROR(__xludf.DUMMYFUNCTION("""COMPUTED_VALUE"""),"TAMP  _2022")</f>
        <v>TAMP  _2022</v>
      </c>
      <c r="C995" s="6">
        <f ca="1">IFERROR(__xludf.DUMMYFUNCTION("""COMPUTED_VALUE"""),2)</f>
        <v>2</v>
      </c>
      <c r="D995" s="6" t="str">
        <f ca="1">IFERROR(__xludf.DUMMYFUNCTION("""COMPUTED_VALUE"""),"Digital Tech")</f>
        <v>Digital Tech</v>
      </c>
      <c r="E995" s="6" t="str">
        <f ca="1">IFERROR(__xludf.DUMMYFUNCTION("""COMPUTED_VALUE"""),"Invite Next Year")</f>
        <v>Invite Next Year</v>
      </c>
      <c r="F995" s="6" t="e">
        <f t="shared" ca="1" si="3"/>
        <v>#NAME?</v>
      </c>
    </row>
    <row r="996" spans="1:6">
      <c r="A996" s="199">
        <f ca="1">IFERROR(__xludf.DUMMYFUNCTION("""COMPUTED_VALUE"""),44797)</f>
        <v>44797</v>
      </c>
      <c r="B996" s="6" t="str">
        <f ca="1">IFERROR(__xludf.DUMMYFUNCTION("""COMPUTED_VALUE"""),"Gahez Market _2022")</f>
        <v>Gahez Market _2022</v>
      </c>
      <c r="C996" s="6">
        <f ca="1">IFERROR(__xludf.DUMMYFUNCTION("""COMPUTED_VALUE"""),2)</f>
        <v>2</v>
      </c>
      <c r="D996" s="6" t="str">
        <f ca="1">IFERROR(__xludf.DUMMYFUNCTION("""COMPUTED_VALUE"""),"Digital Tech")</f>
        <v>Digital Tech</v>
      </c>
      <c r="E996" s="6" t="str">
        <f ca="1">IFERROR(__xludf.DUMMYFUNCTION("""COMPUTED_VALUE"""),"Invite Next Year")</f>
        <v>Invite Next Year</v>
      </c>
      <c r="F996" s="6" t="e">
        <f t="shared" ca="1" si="3"/>
        <v>#NAME?</v>
      </c>
    </row>
    <row r="997" spans="1:6">
      <c r="A997" s="199">
        <f ca="1">IFERROR(__xludf.DUMMYFUNCTION("""COMPUTED_VALUE"""),44797)</f>
        <v>44797</v>
      </c>
      <c r="B997" s="6" t="str">
        <f ca="1">IFERROR(__xludf.DUMMYFUNCTION("""COMPUTED_VALUE"""),"Hiveclass _2022")</f>
        <v>Hiveclass _2022</v>
      </c>
      <c r="C997" s="6">
        <f ca="1">IFERROR(__xludf.DUMMYFUNCTION("""COMPUTED_VALUE"""),2)</f>
        <v>2</v>
      </c>
      <c r="D997" s="6" t="str">
        <f ca="1">IFERROR(__xludf.DUMMYFUNCTION("""COMPUTED_VALUE"""),"Digital Tech")</f>
        <v>Digital Tech</v>
      </c>
      <c r="E997" s="6" t="str">
        <f ca="1">IFERROR(__xludf.DUMMYFUNCTION("""COMPUTED_VALUE"""),"Invite Next Year")</f>
        <v>Invite Next Year</v>
      </c>
      <c r="F997" s="6" t="e">
        <f t="shared" ca="1" si="3"/>
        <v>#NAME?</v>
      </c>
    </row>
    <row r="998" spans="1:6">
      <c r="A998" s="199">
        <f ca="1">IFERROR(__xludf.DUMMYFUNCTION("""COMPUTED_VALUE"""),44797)</f>
        <v>44797</v>
      </c>
      <c r="B998" s="6" t="str">
        <f ca="1">IFERROR(__xludf.DUMMYFUNCTION("""COMPUTED_VALUE"""),"Cosmosii _2022")</f>
        <v>Cosmosii _2022</v>
      </c>
      <c r="C998" s="6">
        <f ca="1">IFERROR(__xludf.DUMMYFUNCTION("""COMPUTED_VALUE"""),2)</f>
        <v>2</v>
      </c>
      <c r="D998" s="6" t="str">
        <f ca="1">IFERROR(__xludf.DUMMYFUNCTION("""COMPUTED_VALUE"""),"Digital Tech")</f>
        <v>Digital Tech</v>
      </c>
      <c r="E998" s="6" t="str">
        <f ca="1">IFERROR(__xludf.DUMMYFUNCTION("""COMPUTED_VALUE"""),"Invite Next Year")</f>
        <v>Invite Next Year</v>
      </c>
      <c r="F998" s="6" t="e">
        <f t="shared" ca="1" si="3"/>
        <v>#NAME?</v>
      </c>
    </row>
    <row r="999" spans="1:6">
      <c r="A999" s="199">
        <f ca="1">IFERROR(__xludf.DUMMYFUNCTION("""COMPUTED_VALUE"""),44797)</f>
        <v>44797</v>
      </c>
      <c r="B999" s="6" t="str">
        <f ca="1">IFERROR(__xludf.DUMMYFUNCTION("""COMPUTED_VALUE"""),"WellnessWins _2022")</f>
        <v>WellnessWins _2022</v>
      </c>
      <c r="C999" s="6">
        <f ca="1">IFERROR(__xludf.DUMMYFUNCTION("""COMPUTED_VALUE"""),2)</f>
        <v>2</v>
      </c>
      <c r="D999" s="6" t="str">
        <f ca="1">IFERROR(__xludf.DUMMYFUNCTION("""COMPUTED_VALUE"""),"Digital Tech")</f>
        <v>Digital Tech</v>
      </c>
      <c r="E999" s="6" t="str">
        <f ca="1">IFERROR(__xludf.DUMMYFUNCTION("""COMPUTED_VALUE"""),"Invite Next Year")</f>
        <v>Invite Next Year</v>
      </c>
      <c r="F999" s="6" t="e">
        <f t="shared" ca="1" si="3"/>
        <v>#NAME?</v>
      </c>
    </row>
    <row r="1000" spans="1:6">
      <c r="A1000" s="199">
        <f ca="1">IFERROR(__xludf.DUMMYFUNCTION("""COMPUTED_VALUE"""),44797)</f>
        <v>44797</v>
      </c>
      <c r="B1000" s="6" t="str">
        <f ca="1">IFERROR(__xludf.DUMMYFUNCTION("""COMPUTED_VALUE"""),"CARDISYSTEMS _2022")</f>
        <v>CARDISYSTEMS _2022</v>
      </c>
      <c r="C1000" s="6">
        <f ca="1">IFERROR(__xludf.DUMMYFUNCTION("""COMPUTED_VALUE"""),2)</f>
        <v>2</v>
      </c>
      <c r="D1000" s="6" t="str">
        <f ca="1">IFERROR(__xludf.DUMMYFUNCTION("""COMPUTED_VALUE"""),"Digital Tech")</f>
        <v>Digital Tech</v>
      </c>
      <c r="E1000" s="6" t="str">
        <f ca="1">IFERROR(__xludf.DUMMYFUNCTION("""COMPUTED_VALUE"""),"Invite Next Year")</f>
        <v>Invite Next Year</v>
      </c>
      <c r="F1000" s="6" t="e">
        <f t="shared" ca="1" si="3"/>
        <v>#NAME?</v>
      </c>
    </row>
    <row r="1001" spans="1:6">
      <c r="A1001" s="199">
        <f ca="1">IFERROR(__xludf.DUMMYFUNCTION("""COMPUTED_VALUE"""),44797)</f>
        <v>44797</v>
      </c>
      <c r="B1001" s="6" t="str">
        <f ca="1">IFERROR(__xludf.DUMMYFUNCTION("""COMPUTED_VALUE"""),"Healthy Hip Hop _2022")</f>
        <v>Healthy Hip Hop _2022</v>
      </c>
      <c r="C1001" s="6">
        <f ca="1">IFERROR(__xludf.DUMMYFUNCTION("""COMPUTED_VALUE"""),2)</f>
        <v>2</v>
      </c>
      <c r="D1001" s="6" t="str">
        <f ca="1">IFERROR(__xludf.DUMMYFUNCTION("""COMPUTED_VALUE"""),"Digital Tech")</f>
        <v>Digital Tech</v>
      </c>
      <c r="E1001" s="6" t="str">
        <f ca="1">IFERROR(__xludf.DUMMYFUNCTION("""COMPUTED_VALUE"""),"Invite Next Year")</f>
        <v>Invite Next Year</v>
      </c>
      <c r="F1001" s="6" t="e">
        <f t="shared" ca="1" si="3"/>
        <v>#NAME?</v>
      </c>
    </row>
    <row r="1002" spans="1:6">
      <c r="A1002" s="199">
        <f ca="1">IFERROR(__xludf.DUMMYFUNCTION("""COMPUTED_VALUE"""),44797)</f>
        <v>44797</v>
      </c>
      <c r="B1002" s="6" t="str">
        <f ca="1">IFERROR(__xludf.DUMMYFUNCTION("""COMPUTED_VALUE"""),"Salve Therapeutics _2022")</f>
        <v>Salve Therapeutics _2022</v>
      </c>
      <c r="C1002" s="6">
        <f ca="1">IFERROR(__xludf.DUMMYFUNCTION("""COMPUTED_VALUE"""),2)</f>
        <v>2</v>
      </c>
      <c r="D1002" s="6" t="str">
        <f ca="1">IFERROR(__xludf.DUMMYFUNCTION("""COMPUTED_VALUE"""),"Life Sciences")</f>
        <v>Life Sciences</v>
      </c>
      <c r="E1002" s="6" t="str">
        <f ca="1">IFERROR(__xludf.DUMMYFUNCTION("""COMPUTED_VALUE"""),"Invite Next Year")</f>
        <v>Invite Next Year</v>
      </c>
      <c r="F1002" s="6" t="e">
        <f t="shared" ca="1" si="3"/>
        <v>#NAME?</v>
      </c>
    </row>
    <row r="1003" spans="1:6">
      <c r="A1003" s="199">
        <f ca="1">IFERROR(__xludf.DUMMYFUNCTION("""COMPUTED_VALUE"""),44797)</f>
        <v>44797</v>
      </c>
      <c r="B1003" s="6" t="str">
        <f ca="1">IFERROR(__xludf.DUMMYFUNCTION("""COMPUTED_VALUE"""),"Sherrell Dorsey _2022")</f>
        <v>Sherrell Dorsey _2022</v>
      </c>
      <c r="C1003" s="6">
        <f ca="1">IFERROR(__xludf.DUMMYFUNCTION("""COMPUTED_VALUE"""),2)</f>
        <v>2</v>
      </c>
      <c r="D1003" s="6" t="str">
        <f ca="1">IFERROR(__xludf.DUMMYFUNCTION("""COMPUTED_VALUE"""),"Digital Tech")</f>
        <v>Digital Tech</v>
      </c>
      <c r="E1003" s="6" t="str">
        <f ca="1">IFERROR(__xludf.DUMMYFUNCTION("""COMPUTED_VALUE"""),"Invite Next Year")</f>
        <v>Invite Next Year</v>
      </c>
      <c r="F1003" s="6" t="e">
        <f t="shared" ca="1" si="3"/>
        <v>#NAME?</v>
      </c>
    </row>
    <row r="1004" spans="1:6">
      <c r="A1004" s="199">
        <f ca="1">IFERROR(__xludf.DUMMYFUNCTION("""COMPUTED_VALUE"""),44797)</f>
        <v>44797</v>
      </c>
      <c r="B1004" s="6" t="str">
        <f ca="1">IFERROR(__xludf.DUMMYFUNCTION("""COMPUTED_VALUE"""),"Decentralized Data and Research (DDR) _2022")</f>
        <v>Decentralized Data and Research (DDR) _2022</v>
      </c>
      <c r="C1004" s="6">
        <f ca="1">IFERROR(__xludf.DUMMYFUNCTION("""COMPUTED_VALUE"""),2)</f>
        <v>2</v>
      </c>
      <c r="D1004" s="6" t="str">
        <f ca="1">IFERROR(__xludf.DUMMYFUNCTION("""COMPUTED_VALUE"""),"Digital Tech")</f>
        <v>Digital Tech</v>
      </c>
      <c r="E1004" s="6" t="str">
        <f ca="1">IFERROR(__xludf.DUMMYFUNCTION("""COMPUTED_VALUE"""),"Invite Next Year")</f>
        <v>Invite Next Year</v>
      </c>
      <c r="F1004" s="6" t="e">
        <f t="shared" ca="1" si="3"/>
        <v>#NAME?</v>
      </c>
    </row>
    <row r="1005" spans="1:6">
      <c r="A1005" s="199">
        <f ca="1">IFERROR(__xludf.DUMMYFUNCTION("""COMPUTED_VALUE"""),44797)</f>
        <v>44797</v>
      </c>
      <c r="B1005" s="6" t="str">
        <f ca="1">IFERROR(__xludf.DUMMYFUNCTION("""COMPUTED_VALUE"""),"Fila Manila _2022")</f>
        <v>Fila Manila _2022</v>
      </c>
      <c r="C1005" s="6">
        <f ca="1">IFERROR(__xludf.DUMMYFUNCTION("""COMPUTED_VALUE"""),2)</f>
        <v>2</v>
      </c>
      <c r="D1005" s="6" t="str">
        <f ca="1">IFERROR(__xludf.DUMMYFUNCTION("""COMPUTED_VALUE"""),"Deep Tech")</f>
        <v>Deep Tech</v>
      </c>
      <c r="E1005" s="6" t="str">
        <f ca="1">IFERROR(__xludf.DUMMYFUNCTION("""COMPUTED_VALUE"""),"Reject")</f>
        <v>Reject</v>
      </c>
      <c r="F1005" s="6" t="e">
        <f t="shared" ca="1" si="3"/>
        <v>#NAME?</v>
      </c>
    </row>
    <row r="1006" spans="1:6">
      <c r="A1006" s="199">
        <f ca="1">IFERROR(__xludf.DUMMYFUNCTION("""COMPUTED_VALUE"""),44782)</f>
        <v>44782</v>
      </c>
      <c r="B1006" s="6" t="str">
        <f ca="1">IFERROR(__xludf.DUMMYFUNCTION("""COMPUTED_VALUE"""),"SynerAI Inc _2022")</f>
        <v>SynerAI Inc _2022</v>
      </c>
      <c r="C1006" s="6">
        <f ca="1">IFERROR(__xludf.DUMMYFUNCTION("""COMPUTED_VALUE"""),1.75)</f>
        <v>1.75</v>
      </c>
      <c r="D1006" s="6" t="str">
        <f ca="1">IFERROR(__xludf.DUMMYFUNCTION("""COMPUTED_VALUE"""),"Digital Tech")</f>
        <v>Digital Tech</v>
      </c>
      <c r="E1006" s="6" t="str">
        <f ca="1">IFERROR(__xludf.DUMMYFUNCTION("""COMPUTED_VALUE"""),"Invite Next Year")</f>
        <v>Invite Next Year</v>
      </c>
      <c r="F1006" s="6" t="e">
        <f t="shared" ca="1" si="3"/>
        <v>#NAME?</v>
      </c>
    </row>
    <row r="1007" spans="1:6">
      <c r="A1007" s="199">
        <f ca="1">IFERROR(__xludf.DUMMYFUNCTION("""COMPUTED_VALUE"""),44784)</f>
        <v>44784</v>
      </c>
      <c r="B1007" s="6" t="str">
        <f ca="1">IFERROR(__xludf.DUMMYFUNCTION("""COMPUTED_VALUE"""),"Map-Collective Inc _2022")</f>
        <v>Map-Collective Inc _2022</v>
      </c>
      <c r="C1007" s="6">
        <f ca="1">IFERROR(__xludf.DUMMYFUNCTION("""COMPUTED_VALUE"""),1.75)</f>
        <v>1.75</v>
      </c>
      <c r="D1007" s="6" t="str">
        <f ca="1">IFERROR(__xludf.DUMMYFUNCTION("""COMPUTED_VALUE"""),"Digital Tech")</f>
        <v>Digital Tech</v>
      </c>
      <c r="E1007" s="6" t="str">
        <f ca="1">IFERROR(__xludf.DUMMYFUNCTION("""COMPUTED_VALUE"""),"Invite Next Year")</f>
        <v>Invite Next Year</v>
      </c>
      <c r="F1007" s="6" t="e">
        <f t="shared" ca="1" si="3"/>
        <v>#NAME?</v>
      </c>
    </row>
    <row r="1008" spans="1:6">
      <c r="A1008" s="199">
        <f ca="1">IFERROR(__xludf.DUMMYFUNCTION("""COMPUTED_VALUE"""),44789)</f>
        <v>44789</v>
      </c>
      <c r="B1008" s="6" t="str">
        <f ca="1">IFERROR(__xludf.DUMMYFUNCTION("""COMPUTED_VALUE"""),"Sebb Inc _2022")</f>
        <v>Sebb Inc _2022</v>
      </c>
      <c r="C1008" s="6">
        <f ca="1">IFERROR(__xludf.DUMMYFUNCTION("""COMPUTED_VALUE"""),1.75)</f>
        <v>1.75</v>
      </c>
      <c r="D1008" s="6" t="str">
        <f ca="1">IFERROR(__xludf.DUMMYFUNCTION("""COMPUTED_VALUE"""),"Digital Tech")</f>
        <v>Digital Tech</v>
      </c>
      <c r="E1008" s="6" t="str">
        <f ca="1">IFERROR(__xludf.DUMMYFUNCTION("""COMPUTED_VALUE"""),"Invite Next Year")</f>
        <v>Invite Next Year</v>
      </c>
      <c r="F1008" s="6" t="e">
        <f t="shared" ca="1" si="3"/>
        <v>#NAME?</v>
      </c>
    </row>
    <row r="1009" spans="1:6">
      <c r="A1009" s="199">
        <f ca="1">IFERROR(__xludf.DUMMYFUNCTION("""COMPUTED_VALUE"""),44789)</f>
        <v>44789</v>
      </c>
      <c r="B1009" s="6" t="str">
        <f ca="1">IFERROR(__xludf.DUMMYFUNCTION("""COMPUTED_VALUE"""),"WEARFITS _2022")</f>
        <v>WEARFITS _2022</v>
      </c>
      <c r="C1009" s="6">
        <f ca="1">IFERROR(__xludf.DUMMYFUNCTION("""COMPUTED_VALUE"""),1.75)</f>
        <v>1.75</v>
      </c>
      <c r="D1009" s="6" t="str">
        <f ca="1">IFERROR(__xludf.DUMMYFUNCTION("""COMPUTED_VALUE"""),"Digital Tech")</f>
        <v>Digital Tech</v>
      </c>
      <c r="E1009" s="6" t="str">
        <f ca="1">IFERROR(__xludf.DUMMYFUNCTION("""COMPUTED_VALUE"""),"Invite Next Year")</f>
        <v>Invite Next Year</v>
      </c>
      <c r="F1009" s="6" t="e">
        <f t="shared" ca="1" si="3"/>
        <v>#NAME?</v>
      </c>
    </row>
    <row r="1010" spans="1:6">
      <c r="A1010" s="199">
        <f ca="1">IFERROR(__xludf.DUMMYFUNCTION("""COMPUTED_VALUE"""),44789)</f>
        <v>44789</v>
      </c>
      <c r="B1010" s="6" t="str">
        <f ca="1">IFERROR(__xludf.DUMMYFUNCTION("""COMPUTED_VALUE"""),"Finuprise _2022")</f>
        <v>Finuprise _2022</v>
      </c>
      <c r="C1010" s="6">
        <f ca="1">IFERROR(__xludf.DUMMYFUNCTION("""COMPUTED_VALUE"""),1.75)</f>
        <v>1.75</v>
      </c>
      <c r="D1010" s="6" t="str">
        <f ca="1">IFERROR(__xludf.DUMMYFUNCTION("""COMPUTED_VALUE"""),"Digital Tech")</f>
        <v>Digital Tech</v>
      </c>
      <c r="E1010" s="6" t="str">
        <f ca="1">IFERROR(__xludf.DUMMYFUNCTION("""COMPUTED_VALUE"""),"Invite Next Year")</f>
        <v>Invite Next Year</v>
      </c>
      <c r="F1010" s="6" t="e">
        <f t="shared" ca="1" si="3"/>
        <v>#NAME?</v>
      </c>
    </row>
    <row r="1011" spans="1:6">
      <c r="A1011" s="199">
        <f ca="1">IFERROR(__xludf.DUMMYFUNCTION("""COMPUTED_VALUE"""),44789)</f>
        <v>44789</v>
      </c>
      <c r="B1011" s="6" t="str">
        <f ca="1">IFERROR(__xludf.DUMMYFUNCTION("""COMPUTED_VALUE"""),"IN-HOUSE _2022")</f>
        <v>IN-HOUSE _2022</v>
      </c>
      <c r="C1011" s="6">
        <f ca="1">IFERROR(__xludf.DUMMYFUNCTION("""COMPUTED_VALUE"""),1.75)</f>
        <v>1.75</v>
      </c>
      <c r="D1011" s="6" t="str">
        <f ca="1">IFERROR(__xludf.DUMMYFUNCTION("""COMPUTED_VALUE"""),"Digital Tech")</f>
        <v>Digital Tech</v>
      </c>
      <c r="E1011" s="6" t="str">
        <f ca="1">IFERROR(__xludf.DUMMYFUNCTION("""COMPUTED_VALUE"""),"Invite Next Year")</f>
        <v>Invite Next Year</v>
      </c>
      <c r="F1011" s="6" t="e">
        <f t="shared" ca="1" si="3"/>
        <v>#NAME?</v>
      </c>
    </row>
    <row r="1012" spans="1:6">
      <c r="A1012" s="199">
        <f ca="1">IFERROR(__xludf.DUMMYFUNCTION("""COMPUTED_VALUE"""),44789)</f>
        <v>44789</v>
      </c>
      <c r="B1012" s="6" t="str">
        <f ca="1">IFERROR(__xludf.DUMMYFUNCTION("""COMPUTED_VALUE"""),"FynCom _2022")</f>
        <v>FynCom _2022</v>
      </c>
      <c r="C1012" s="6">
        <f ca="1">IFERROR(__xludf.DUMMYFUNCTION("""COMPUTED_VALUE"""),1.75)</f>
        <v>1.75</v>
      </c>
      <c r="D1012" s="6" t="str">
        <f ca="1">IFERROR(__xludf.DUMMYFUNCTION("""COMPUTED_VALUE"""),"Digital Tech")</f>
        <v>Digital Tech</v>
      </c>
      <c r="E1012" s="6" t="str">
        <f ca="1">IFERROR(__xludf.DUMMYFUNCTION("""COMPUTED_VALUE"""),"Invite Next Year")</f>
        <v>Invite Next Year</v>
      </c>
      <c r="F1012" s="6" t="e">
        <f t="shared" ca="1" si="3"/>
        <v>#NAME?</v>
      </c>
    </row>
    <row r="1013" spans="1:6">
      <c r="A1013" s="199">
        <f ca="1">IFERROR(__xludf.DUMMYFUNCTION("""COMPUTED_VALUE"""),44791)</f>
        <v>44791</v>
      </c>
      <c r="B1013" s="6" t="str">
        <f ca="1">IFERROR(__xludf.DUMMYFUNCTION("""COMPUTED_VALUE"""),"Boaz Bikes Inc _2022")</f>
        <v>Boaz Bikes Inc _2022</v>
      </c>
      <c r="C1013" s="6">
        <f ca="1">IFERROR(__xludf.DUMMYFUNCTION("""COMPUTED_VALUE"""),1.75)</f>
        <v>1.75</v>
      </c>
      <c r="D1013" s="6" t="str">
        <f ca="1">IFERROR(__xludf.DUMMYFUNCTION("""COMPUTED_VALUE"""),"Digital Tech")</f>
        <v>Digital Tech</v>
      </c>
      <c r="E1013" s="6" t="str">
        <f ca="1">IFERROR(__xludf.DUMMYFUNCTION("""COMPUTED_VALUE"""),"Invite Next Year")</f>
        <v>Invite Next Year</v>
      </c>
      <c r="F1013" s="6" t="e">
        <f t="shared" ca="1" si="3"/>
        <v>#NAME?</v>
      </c>
    </row>
    <row r="1014" spans="1:6">
      <c r="A1014" s="199">
        <f ca="1">IFERROR(__xludf.DUMMYFUNCTION("""COMPUTED_VALUE"""),44796)</f>
        <v>44796</v>
      </c>
      <c r="B1014" s="6" t="str">
        <f ca="1">IFERROR(__xludf.DUMMYFUNCTION("""COMPUTED_VALUE"""),"Pixchange  _2022")</f>
        <v>Pixchange  _2022</v>
      </c>
      <c r="C1014" s="6">
        <f ca="1">IFERROR(__xludf.DUMMYFUNCTION("""COMPUTED_VALUE"""),1.75)</f>
        <v>1.75</v>
      </c>
      <c r="D1014" s="6" t="str">
        <f ca="1">IFERROR(__xludf.DUMMYFUNCTION("""COMPUTED_VALUE"""),"Digital Tech")</f>
        <v>Digital Tech</v>
      </c>
      <c r="E1014" s="6" t="str">
        <f ca="1">IFERROR(__xludf.DUMMYFUNCTION("""COMPUTED_VALUE"""),"Invite Next Year")</f>
        <v>Invite Next Year</v>
      </c>
      <c r="F1014" s="6" t="e">
        <f t="shared" ca="1" si="3"/>
        <v>#NAME?</v>
      </c>
    </row>
    <row r="1015" spans="1:6">
      <c r="A1015" s="199">
        <f ca="1">IFERROR(__xludf.DUMMYFUNCTION("""COMPUTED_VALUE"""),44796)</f>
        <v>44796</v>
      </c>
      <c r="B1015" s="6" t="str">
        <f ca="1">IFERROR(__xludf.DUMMYFUNCTION("""COMPUTED_VALUE"""),"Breeze _2022")</f>
        <v>Breeze _2022</v>
      </c>
      <c r="C1015" s="6">
        <f ca="1">IFERROR(__xludf.DUMMYFUNCTION("""COMPUTED_VALUE"""),1.75)</f>
        <v>1.75</v>
      </c>
      <c r="D1015" s="6" t="str">
        <f ca="1">IFERROR(__xludf.DUMMYFUNCTION("""COMPUTED_VALUE"""),"Digital Tech")</f>
        <v>Digital Tech</v>
      </c>
      <c r="E1015" s="6" t="str">
        <f ca="1">IFERROR(__xludf.DUMMYFUNCTION("""COMPUTED_VALUE"""),"Invite Next Year")</f>
        <v>Invite Next Year</v>
      </c>
      <c r="F1015" s="6" t="e">
        <f t="shared" ca="1" si="3"/>
        <v>#NAME?</v>
      </c>
    </row>
    <row r="1016" spans="1:6">
      <c r="A1016" s="199">
        <f ca="1">IFERROR(__xludf.DUMMYFUNCTION("""COMPUTED_VALUE"""),44796)</f>
        <v>44796</v>
      </c>
      <c r="B1016" s="6" t="str">
        <f ca="1">IFERROR(__xludf.DUMMYFUNCTION("""COMPUTED_VALUE"""),"StoryBrain _2022")</f>
        <v>StoryBrain _2022</v>
      </c>
      <c r="C1016" s="6">
        <f ca="1">IFERROR(__xludf.DUMMYFUNCTION("""COMPUTED_VALUE"""),1.75)</f>
        <v>1.75</v>
      </c>
      <c r="D1016" s="6" t="str">
        <f ca="1">IFERROR(__xludf.DUMMYFUNCTION("""COMPUTED_VALUE"""),"Digital Tech")</f>
        <v>Digital Tech</v>
      </c>
      <c r="E1016" s="6" t="str">
        <f ca="1">IFERROR(__xludf.DUMMYFUNCTION("""COMPUTED_VALUE"""),"Invite Next Year")</f>
        <v>Invite Next Year</v>
      </c>
      <c r="F1016" s="6" t="e">
        <f t="shared" ca="1" si="3"/>
        <v>#NAME?</v>
      </c>
    </row>
    <row r="1017" spans="1:6">
      <c r="A1017" s="199">
        <f ca="1">IFERROR(__xludf.DUMMYFUNCTION("""COMPUTED_VALUE"""),44796)</f>
        <v>44796</v>
      </c>
      <c r="B1017" s="6" t="str">
        <f ca="1">IFERROR(__xludf.DUMMYFUNCTION("""COMPUTED_VALUE"""),"Whyzers  _2022")</f>
        <v>Whyzers  _2022</v>
      </c>
      <c r="C1017" s="6">
        <f ca="1">IFERROR(__xludf.DUMMYFUNCTION("""COMPUTED_VALUE"""),1.75)</f>
        <v>1.75</v>
      </c>
      <c r="D1017" s="6" t="str">
        <f ca="1">IFERROR(__xludf.DUMMYFUNCTION("""COMPUTED_VALUE"""),"Digital Tech")</f>
        <v>Digital Tech</v>
      </c>
      <c r="E1017" s="6" t="str">
        <f ca="1">IFERROR(__xludf.DUMMYFUNCTION("""COMPUTED_VALUE"""),"Invite Next Year")</f>
        <v>Invite Next Year</v>
      </c>
      <c r="F1017" s="6" t="e">
        <f t="shared" ca="1" si="3"/>
        <v>#NAME?</v>
      </c>
    </row>
    <row r="1018" spans="1:6">
      <c r="A1018" s="199">
        <f ca="1">IFERROR(__xludf.DUMMYFUNCTION("""COMPUTED_VALUE"""),44797)</f>
        <v>44797</v>
      </c>
      <c r="B1018" s="6" t="str">
        <f ca="1">IFERROR(__xludf.DUMMYFUNCTION("""COMPUTED_VALUE"""),"targo.digital UG (haftungsbeschraenkt) _2022")</f>
        <v>targo.digital UG (haftungsbeschraenkt) _2022</v>
      </c>
      <c r="C1018" s="6">
        <f ca="1">IFERROR(__xludf.DUMMYFUNCTION("""COMPUTED_VALUE"""),1.75)</f>
        <v>1.75</v>
      </c>
      <c r="D1018" s="6" t="str">
        <f ca="1">IFERROR(__xludf.DUMMYFUNCTION("""COMPUTED_VALUE"""),"Digital Tech")</f>
        <v>Digital Tech</v>
      </c>
      <c r="E1018" s="6" t="str">
        <f ca="1">IFERROR(__xludf.DUMMYFUNCTION("""COMPUTED_VALUE"""),"Invite Next Year")</f>
        <v>Invite Next Year</v>
      </c>
      <c r="F1018" s="6" t="e">
        <f t="shared" ca="1" si="3"/>
        <v>#NAME?</v>
      </c>
    </row>
    <row r="1019" spans="1:6">
      <c r="A1019" s="199">
        <f ca="1">IFERROR(__xludf.DUMMYFUNCTION("""COMPUTED_VALUE"""),44776)</f>
        <v>44776</v>
      </c>
      <c r="B1019" s="6" t="str">
        <f ca="1">IFERROR(__xludf.DUMMYFUNCTION("""COMPUTED_VALUE"""),"ION Medical Safety _2022")</f>
        <v>ION Medical Safety _2022</v>
      </c>
      <c r="C1019" s="6">
        <f ca="1">IFERROR(__xludf.DUMMYFUNCTION("""COMPUTED_VALUE"""),1.5)</f>
        <v>1.5</v>
      </c>
      <c r="D1019" s="6" t="str">
        <f ca="1">IFERROR(__xludf.DUMMYFUNCTION("""COMPUTED_VALUE"""),"Life Sciences")</f>
        <v>Life Sciences</v>
      </c>
      <c r="E1019" s="6" t="str">
        <f ca="1">IFERROR(__xludf.DUMMYFUNCTION("""COMPUTED_VALUE"""),"Invite Next Year")</f>
        <v>Invite Next Year</v>
      </c>
      <c r="F1019" s="6" t="e">
        <f t="shared" ca="1" si="3"/>
        <v>#NAME?</v>
      </c>
    </row>
    <row r="1020" spans="1:6">
      <c r="A1020" s="199">
        <f ca="1">IFERROR(__xludf.DUMMYFUNCTION("""COMPUTED_VALUE"""),44776)</f>
        <v>44776</v>
      </c>
      <c r="B1020" s="6" t="str">
        <f ca="1">IFERROR(__xludf.DUMMYFUNCTION("""COMPUTED_VALUE"""),"Tokenizer Banx _2022")</f>
        <v>Tokenizer Banx _2022</v>
      </c>
      <c r="C1020" s="6">
        <f ca="1">IFERROR(__xludf.DUMMYFUNCTION("""COMPUTED_VALUE"""),1.5)</f>
        <v>1.5</v>
      </c>
      <c r="D1020" s="6" t="str">
        <f ca="1">IFERROR(__xludf.DUMMYFUNCTION("""COMPUTED_VALUE"""),"Deep Tech")</f>
        <v>Deep Tech</v>
      </c>
      <c r="E1020" s="6" t="str">
        <f ca="1">IFERROR(__xludf.DUMMYFUNCTION("""COMPUTED_VALUE"""),"Invite Next Year")</f>
        <v>Invite Next Year</v>
      </c>
      <c r="F1020" s="6" t="e">
        <f t="shared" ca="1" si="3"/>
        <v>#NAME?</v>
      </c>
    </row>
    <row r="1021" spans="1:6">
      <c r="A1021" s="199">
        <f ca="1">IFERROR(__xludf.DUMMYFUNCTION("""COMPUTED_VALUE"""),44776)</f>
        <v>44776</v>
      </c>
      <c r="B1021" s="6" t="str">
        <f ca="1">IFERROR(__xludf.DUMMYFUNCTION("""COMPUTED_VALUE"""),"Supporteo _2022")</f>
        <v>Supporteo _2022</v>
      </c>
      <c r="C1021" s="6">
        <f ca="1">IFERROR(__xludf.DUMMYFUNCTION("""COMPUTED_VALUE"""),1.5)</f>
        <v>1.5</v>
      </c>
      <c r="D1021" s="6" t="str">
        <f ca="1">IFERROR(__xludf.DUMMYFUNCTION("""COMPUTED_VALUE"""),"Digital Tech")</f>
        <v>Digital Tech</v>
      </c>
      <c r="E1021" s="6" t="str">
        <f ca="1">IFERROR(__xludf.DUMMYFUNCTION("""COMPUTED_VALUE"""),"Invite Next Year")</f>
        <v>Invite Next Year</v>
      </c>
      <c r="F1021" s="6" t="e">
        <f t="shared" ca="1" si="3"/>
        <v>#NAME?</v>
      </c>
    </row>
    <row r="1022" spans="1:6">
      <c r="A1022" s="199">
        <f ca="1">IFERROR(__xludf.DUMMYFUNCTION("""COMPUTED_VALUE"""),44776)</f>
        <v>44776</v>
      </c>
      <c r="B1022" s="6" t="str">
        <f ca="1">IFERROR(__xludf.DUMMYFUNCTION("""COMPUTED_VALUE"""),"equitest _2022")</f>
        <v>equitest _2022</v>
      </c>
      <c r="C1022" s="6">
        <f ca="1">IFERROR(__xludf.DUMMYFUNCTION("""COMPUTED_VALUE"""),1.5)</f>
        <v>1.5</v>
      </c>
      <c r="D1022" s="6" t="str">
        <f ca="1">IFERROR(__xludf.DUMMYFUNCTION("""COMPUTED_VALUE"""),"Digital Tech")</f>
        <v>Digital Tech</v>
      </c>
      <c r="E1022" s="6" t="str">
        <f ca="1">IFERROR(__xludf.DUMMYFUNCTION("""COMPUTED_VALUE"""),"Invite Next Year")</f>
        <v>Invite Next Year</v>
      </c>
      <c r="F1022" s="6" t="e">
        <f t="shared" ref="F1022:F1129" ca="1" si="4">_xludf.IFS(D1022="Life Sciences","LS",D1022="Digital Tech","DiT",D1022="Deep Tech","DT")</f>
        <v>#NAME?</v>
      </c>
    </row>
    <row r="1023" spans="1:6">
      <c r="A1023" s="199">
        <f ca="1">IFERROR(__xludf.DUMMYFUNCTION("""COMPUTED_VALUE"""),44776)</f>
        <v>44776</v>
      </c>
      <c r="B1023" s="6" t="str">
        <f ca="1">IFERROR(__xludf.DUMMYFUNCTION("""COMPUTED_VALUE"""),"Electra Beverages &amp; Nutritionals, LLC _2022")</f>
        <v>Electra Beverages &amp; Nutritionals, LLC _2022</v>
      </c>
      <c r="C1023" s="6">
        <f ca="1">IFERROR(__xludf.DUMMYFUNCTION("""COMPUTED_VALUE"""),1.5)</f>
        <v>1.5</v>
      </c>
      <c r="D1023" s="6" t="str">
        <f ca="1">IFERROR(__xludf.DUMMYFUNCTION("""COMPUTED_VALUE"""),"Life Sciences")</f>
        <v>Life Sciences</v>
      </c>
      <c r="E1023" s="6" t="str">
        <f ca="1">IFERROR(__xludf.DUMMYFUNCTION("""COMPUTED_VALUE"""),"Invite Next Year")</f>
        <v>Invite Next Year</v>
      </c>
      <c r="F1023" s="6" t="e">
        <f t="shared" ca="1" si="4"/>
        <v>#NAME?</v>
      </c>
    </row>
    <row r="1024" spans="1:6">
      <c r="A1024" s="199">
        <f ca="1">IFERROR(__xludf.DUMMYFUNCTION("""COMPUTED_VALUE"""),44776)</f>
        <v>44776</v>
      </c>
      <c r="B1024" s="6" t="str">
        <f ca="1">IFERROR(__xludf.DUMMYFUNCTION("""COMPUTED_VALUE"""),"AiroSolve _2022")</f>
        <v>AiroSolve _2022</v>
      </c>
      <c r="C1024" s="6">
        <f ca="1">IFERROR(__xludf.DUMMYFUNCTION("""COMPUTED_VALUE"""),1.5)</f>
        <v>1.5</v>
      </c>
      <c r="D1024" s="6" t="str">
        <f ca="1">IFERROR(__xludf.DUMMYFUNCTION("""COMPUTED_VALUE"""),"Life Sciences")</f>
        <v>Life Sciences</v>
      </c>
      <c r="E1024" s="6" t="str">
        <f ca="1">IFERROR(__xludf.DUMMYFUNCTION("""COMPUTED_VALUE"""),"Invite Next Year")</f>
        <v>Invite Next Year</v>
      </c>
      <c r="F1024" s="6" t="e">
        <f t="shared" ca="1" si="4"/>
        <v>#NAME?</v>
      </c>
    </row>
    <row r="1025" spans="1:6">
      <c r="A1025" s="199">
        <f ca="1">IFERROR(__xludf.DUMMYFUNCTION("""COMPUTED_VALUE"""),44776)</f>
        <v>44776</v>
      </c>
      <c r="B1025" s="6" t="str">
        <f ca="1">IFERROR(__xludf.DUMMYFUNCTION("""COMPUTED_VALUE"""),"Methic Engineering Ltd _2022")</f>
        <v>Methic Engineering Ltd _2022</v>
      </c>
      <c r="C1025" s="6">
        <f ca="1">IFERROR(__xludf.DUMMYFUNCTION("""COMPUTED_VALUE"""),1.5)</f>
        <v>1.5</v>
      </c>
      <c r="D1025" s="6" t="str">
        <f ca="1">IFERROR(__xludf.DUMMYFUNCTION("""COMPUTED_VALUE"""),"Deep Tech")</f>
        <v>Deep Tech</v>
      </c>
      <c r="E1025" s="6" t="str">
        <f ca="1">IFERROR(__xludf.DUMMYFUNCTION("""COMPUTED_VALUE"""),"Invite Next Year")</f>
        <v>Invite Next Year</v>
      </c>
      <c r="F1025" s="6" t="e">
        <f t="shared" ca="1" si="4"/>
        <v>#NAME?</v>
      </c>
    </row>
    <row r="1026" spans="1:6">
      <c r="A1026" s="199">
        <f ca="1">IFERROR(__xludf.DUMMYFUNCTION("""COMPUTED_VALUE"""),44782)</f>
        <v>44782</v>
      </c>
      <c r="B1026" s="6" t="str">
        <f ca="1">IFERROR(__xludf.DUMMYFUNCTION("""COMPUTED_VALUE"""),"Beast Mobile _2022")</f>
        <v>Beast Mobile _2022</v>
      </c>
      <c r="C1026" s="6">
        <f ca="1">IFERROR(__xludf.DUMMYFUNCTION("""COMPUTED_VALUE"""),1.5)</f>
        <v>1.5</v>
      </c>
      <c r="D1026" s="6" t="str">
        <f ca="1">IFERROR(__xludf.DUMMYFUNCTION("""COMPUTED_VALUE"""),"Deep Tech")</f>
        <v>Deep Tech</v>
      </c>
      <c r="E1026" s="6" t="str">
        <f ca="1">IFERROR(__xludf.DUMMYFUNCTION("""COMPUTED_VALUE"""),"Invite Next Year")</f>
        <v>Invite Next Year</v>
      </c>
      <c r="F1026" s="6" t="e">
        <f t="shared" ca="1" si="4"/>
        <v>#NAME?</v>
      </c>
    </row>
    <row r="1027" spans="1:6">
      <c r="A1027" s="199">
        <f ca="1">IFERROR(__xludf.DUMMYFUNCTION("""COMPUTED_VALUE"""),44782)</f>
        <v>44782</v>
      </c>
      <c r="B1027" s="6" t="str">
        <f ca="1">IFERROR(__xludf.DUMMYFUNCTION("""COMPUTED_VALUE"""),"10Adventures _2022")</f>
        <v>10Adventures _2022</v>
      </c>
      <c r="C1027" s="6">
        <f ca="1">IFERROR(__xludf.DUMMYFUNCTION("""COMPUTED_VALUE"""),1.5)</f>
        <v>1.5</v>
      </c>
      <c r="D1027" s="6" t="str">
        <f ca="1">IFERROR(__xludf.DUMMYFUNCTION("""COMPUTED_VALUE"""),"Digital Tech")</f>
        <v>Digital Tech</v>
      </c>
      <c r="E1027" s="6" t="str">
        <f ca="1">IFERROR(__xludf.DUMMYFUNCTION("""COMPUTED_VALUE"""),"Invite Next Year")</f>
        <v>Invite Next Year</v>
      </c>
      <c r="F1027" s="6" t="e">
        <f t="shared" ca="1" si="4"/>
        <v>#NAME?</v>
      </c>
    </row>
    <row r="1028" spans="1:6">
      <c r="A1028" s="199">
        <f ca="1">IFERROR(__xludf.DUMMYFUNCTION("""COMPUTED_VALUE"""),44782)</f>
        <v>44782</v>
      </c>
      <c r="B1028" s="6" t="str">
        <f ca="1">IFERROR(__xludf.DUMMYFUNCTION("""COMPUTED_VALUE"""),"Neon Wild, Inc. _2022")</f>
        <v>Neon Wild, Inc. _2022</v>
      </c>
      <c r="C1028" s="6">
        <f ca="1">IFERROR(__xludf.DUMMYFUNCTION("""COMPUTED_VALUE"""),1.5)</f>
        <v>1.5</v>
      </c>
      <c r="D1028" s="6" t="str">
        <f ca="1">IFERROR(__xludf.DUMMYFUNCTION("""COMPUTED_VALUE"""),"Digital Tech")</f>
        <v>Digital Tech</v>
      </c>
      <c r="E1028" s="6" t="str">
        <f ca="1">IFERROR(__xludf.DUMMYFUNCTION("""COMPUTED_VALUE"""),"Invite Next Year")</f>
        <v>Invite Next Year</v>
      </c>
      <c r="F1028" s="6" t="e">
        <f t="shared" ca="1" si="4"/>
        <v>#NAME?</v>
      </c>
    </row>
    <row r="1029" spans="1:6">
      <c r="A1029" s="199">
        <f ca="1">IFERROR(__xludf.DUMMYFUNCTION("""COMPUTED_VALUE"""),44784)</f>
        <v>44784</v>
      </c>
      <c r="B1029" s="6" t="str">
        <f ca="1">IFERROR(__xludf.DUMMYFUNCTION("""COMPUTED_VALUE"""),"First Person Solutions _2022")</f>
        <v>First Person Solutions _2022</v>
      </c>
      <c r="C1029" s="6">
        <f ca="1">IFERROR(__xludf.DUMMYFUNCTION("""COMPUTED_VALUE"""),1.5)</f>
        <v>1.5</v>
      </c>
      <c r="D1029" s="6" t="str">
        <f ca="1">IFERROR(__xludf.DUMMYFUNCTION("""COMPUTED_VALUE"""),"Life Sciences")</f>
        <v>Life Sciences</v>
      </c>
      <c r="E1029" s="6" t="str">
        <f ca="1">IFERROR(__xludf.DUMMYFUNCTION("""COMPUTED_VALUE"""),"Invite Next Year")</f>
        <v>Invite Next Year</v>
      </c>
      <c r="F1029" s="6" t="e">
        <f t="shared" ca="1" si="4"/>
        <v>#NAME?</v>
      </c>
    </row>
    <row r="1030" spans="1:6">
      <c r="A1030" s="199">
        <f ca="1">IFERROR(__xludf.DUMMYFUNCTION("""COMPUTED_VALUE"""),44784)</f>
        <v>44784</v>
      </c>
      <c r="B1030" s="6" t="str">
        <f ca="1">IFERROR(__xludf.DUMMYFUNCTION("""COMPUTED_VALUE"""),"KARI _2022")</f>
        <v>KARI _2022</v>
      </c>
      <c r="C1030" s="6">
        <f ca="1">IFERROR(__xludf.DUMMYFUNCTION("""COMPUTED_VALUE"""),1.5)</f>
        <v>1.5</v>
      </c>
      <c r="D1030" s="6" t="str">
        <f ca="1">IFERROR(__xludf.DUMMYFUNCTION("""COMPUTED_VALUE"""),"Digital Tech")</f>
        <v>Digital Tech</v>
      </c>
      <c r="E1030" s="6" t="str">
        <f ca="1">IFERROR(__xludf.DUMMYFUNCTION("""COMPUTED_VALUE"""),"Invite Next Year")</f>
        <v>Invite Next Year</v>
      </c>
      <c r="F1030" s="6" t="e">
        <f t="shared" ca="1" si="4"/>
        <v>#NAME?</v>
      </c>
    </row>
    <row r="1031" spans="1:6">
      <c r="A1031" s="199">
        <f ca="1">IFERROR(__xludf.DUMMYFUNCTION("""COMPUTED_VALUE"""),44784)</f>
        <v>44784</v>
      </c>
      <c r="B1031" s="6" t="str">
        <f ca="1">IFERROR(__xludf.DUMMYFUNCTION("""COMPUTED_VALUE"""),"PLAYBOOK APPLICATION W.L.L _2022")</f>
        <v>PLAYBOOK APPLICATION W.L.L _2022</v>
      </c>
      <c r="C1031" s="6">
        <f ca="1">IFERROR(__xludf.DUMMYFUNCTION("""COMPUTED_VALUE"""),1.5)</f>
        <v>1.5</v>
      </c>
      <c r="D1031" s="6" t="str">
        <f ca="1">IFERROR(__xludf.DUMMYFUNCTION("""COMPUTED_VALUE"""),"Digital Tech")</f>
        <v>Digital Tech</v>
      </c>
      <c r="E1031" s="6" t="str">
        <f ca="1">IFERROR(__xludf.DUMMYFUNCTION("""COMPUTED_VALUE"""),"Invite Next Year")</f>
        <v>Invite Next Year</v>
      </c>
      <c r="F1031" s="6" t="e">
        <f t="shared" ca="1" si="4"/>
        <v>#NAME?</v>
      </c>
    </row>
    <row r="1032" spans="1:6">
      <c r="A1032" s="199">
        <f ca="1">IFERROR(__xludf.DUMMYFUNCTION("""COMPUTED_VALUE"""),44784)</f>
        <v>44784</v>
      </c>
      <c r="B1032" s="6" t="str">
        <f ca="1">IFERROR(__xludf.DUMMYFUNCTION("""COMPUTED_VALUE"""),"ReRent _2022")</f>
        <v>ReRent _2022</v>
      </c>
      <c r="C1032" s="6">
        <f ca="1">IFERROR(__xludf.DUMMYFUNCTION("""COMPUTED_VALUE"""),1.5)</f>
        <v>1.5</v>
      </c>
      <c r="D1032" s="6" t="str">
        <f ca="1">IFERROR(__xludf.DUMMYFUNCTION("""COMPUTED_VALUE"""),"Digital Tech")</f>
        <v>Digital Tech</v>
      </c>
      <c r="E1032" s="6" t="str">
        <f ca="1">IFERROR(__xludf.DUMMYFUNCTION("""COMPUTED_VALUE"""),"Invite Next Year")</f>
        <v>Invite Next Year</v>
      </c>
      <c r="F1032" s="6" t="e">
        <f t="shared" ca="1" si="4"/>
        <v>#NAME?</v>
      </c>
    </row>
    <row r="1033" spans="1:6">
      <c r="A1033" s="199">
        <f ca="1">IFERROR(__xludf.DUMMYFUNCTION("""COMPUTED_VALUE"""),44784)</f>
        <v>44784</v>
      </c>
      <c r="B1033" s="6" t="str">
        <f ca="1">IFERROR(__xludf.DUMMYFUNCTION("""COMPUTED_VALUE"""),"The Cloud World _2022")</f>
        <v>The Cloud World _2022</v>
      </c>
      <c r="C1033" s="6">
        <f ca="1">IFERROR(__xludf.DUMMYFUNCTION("""COMPUTED_VALUE"""),1.5)</f>
        <v>1.5</v>
      </c>
      <c r="D1033" s="6" t="str">
        <f ca="1">IFERROR(__xludf.DUMMYFUNCTION("""COMPUTED_VALUE"""),"Digital Tech")</f>
        <v>Digital Tech</v>
      </c>
      <c r="E1033" s="6" t="str">
        <f ca="1">IFERROR(__xludf.DUMMYFUNCTION("""COMPUTED_VALUE"""),"Invite Next Year")</f>
        <v>Invite Next Year</v>
      </c>
      <c r="F1033" s="6" t="e">
        <f t="shared" ca="1" si="4"/>
        <v>#NAME?</v>
      </c>
    </row>
    <row r="1034" spans="1:6">
      <c r="A1034" s="199">
        <f ca="1">IFERROR(__xludf.DUMMYFUNCTION("""COMPUTED_VALUE"""),44784)</f>
        <v>44784</v>
      </c>
      <c r="B1034" s="6" t="str">
        <f ca="1">IFERROR(__xludf.DUMMYFUNCTION("""COMPUTED_VALUE"""),"TrioWave Technologies _2022")</f>
        <v>TrioWave Technologies _2022</v>
      </c>
      <c r="C1034" s="6">
        <f ca="1">IFERROR(__xludf.DUMMYFUNCTION("""COMPUTED_VALUE"""),1.5)</f>
        <v>1.5</v>
      </c>
      <c r="D1034" s="6" t="str">
        <f ca="1">IFERROR(__xludf.DUMMYFUNCTION("""COMPUTED_VALUE"""),"Life Sciences")</f>
        <v>Life Sciences</v>
      </c>
      <c r="E1034" s="6" t="str">
        <f ca="1">IFERROR(__xludf.DUMMYFUNCTION("""COMPUTED_VALUE"""),"Invite Next Year")</f>
        <v>Invite Next Year</v>
      </c>
      <c r="F1034" s="6" t="e">
        <f t="shared" ca="1" si="4"/>
        <v>#NAME?</v>
      </c>
    </row>
    <row r="1035" spans="1:6">
      <c r="A1035" s="199">
        <f ca="1">IFERROR(__xludf.DUMMYFUNCTION("""COMPUTED_VALUE"""),44784)</f>
        <v>44784</v>
      </c>
      <c r="B1035" s="6" t="str">
        <f ca="1">IFERROR(__xludf.DUMMYFUNCTION("""COMPUTED_VALUE"""),"Cardiología Hiskin _2022")</f>
        <v>Cardiología Hiskin _2022</v>
      </c>
      <c r="C1035" s="6">
        <f ca="1">IFERROR(__xludf.DUMMYFUNCTION("""COMPUTED_VALUE"""),1.5)</f>
        <v>1.5</v>
      </c>
      <c r="D1035" s="6" t="str">
        <f ca="1">IFERROR(__xludf.DUMMYFUNCTION("""COMPUTED_VALUE"""),"Life Sciences")</f>
        <v>Life Sciences</v>
      </c>
      <c r="E1035" s="6" t="str">
        <f ca="1">IFERROR(__xludf.DUMMYFUNCTION("""COMPUTED_VALUE"""),"Invite Next Year")</f>
        <v>Invite Next Year</v>
      </c>
      <c r="F1035" s="6" t="e">
        <f t="shared" ca="1" si="4"/>
        <v>#NAME?</v>
      </c>
    </row>
    <row r="1036" spans="1:6">
      <c r="A1036" s="199">
        <f ca="1">IFERROR(__xludf.DUMMYFUNCTION("""COMPUTED_VALUE"""),44789)</f>
        <v>44789</v>
      </c>
      <c r="B1036" s="6" t="str">
        <f ca="1">IFERROR(__xludf.DUMMYFUNCTION("""COMPUTED_VALUE"""),"Boxes.im Inc dba Boxes Email _2022")</f>
        <v>Boxes.im Inc dba Boxes Email _2022</v>
      </c>
      <c r="C1036" s="6">
        <f ca="1">IFERROR(__xludf.DUMMYFUNCTION("""COMPUTED_VALUE"""),1.5)</f>
        <v>1.5</v>
      </c>
      <c r="D1036" s="6" t="str">
        <f ca="1">IFERROR(__xludf.DUMMYFUNCTION("""COMPUTED_VALUE"""),"Digital Tech")</f>
        <v>Digital Tech</v>
      </c>
      <c r="E1036" s="6" t="str">
        <f ca="1">IFERROR(__xludf.DUMMYFUNCTION("""COMPUTED_VALUE"""),"Invite Next Year")</f>
        <v>Invite Next Year</v>
      </c>
      <c r="F1036" s="6" t="e">
        <f t="shared" ca="1" si="4"/>
        <v>#NAME?</v>
      </c>
    </row>
    <row r="1037" spans="1:6">
      <c r="A1037" s="199">
        <f ca="1">IFERROR(__xludf.DUMMYFUNCTION("""COMPUTED_VALUE"""),44789)</f>
        <v>44789</v>
      </c>
      <c r="B1037" s="6" t="str">
        <f ca="1">IFERROR(__xludf.DUMMYFUNCTION("""COMPUTED_VALUE"""),"ChoroPharma, LLC _2022")</f>
        <v>ChoroPharma, LLC _2022</v>
      </c>
      <c r="C1037" s="6">
        <f ca="1">IFERROR(__xludf.DUMMYFUNCTION("""COMPUTED_VALUE"""),1.5)</f>
        <v>1.5</v>
      </c>
      <c r="D1037" s="6" t="str">
        <f ca="1">IFERROR(__xludf.DUMMYFUNCTION("""COMPUTED_VALUE"""),"Life Sciences")</f>
        <v>Life Sciences</v>
      </c>
      <c r="E1037" s="6" t="str">
        <f ca="1">IFERROR(__xludf.DUMMYFUNCTION("""COMPUTED_VALUE"""),"Invite Next Year")</f>
        <v>Invite Next Year</v>
      </c>
      <c r="F1037" s="6" t="e">
        <f t="shared" ca="1" si="4"/>
        <v>#NAME?</v>
      </c>
    </row>
    <row r="1038" spans="1:6">
      <c r="A1038" s="199">
        <f ca="1">IFERROR(__xludf.DUMMYFUNCTION("""COMPUTED_VALUE"""),44789)</f>
        <v>44789</v>
      </c>
      <c r="B1038" s="6" t="str">
        <f ca="1">IFERROR(__xludf.DUMMYFUNCTION("""COMPUTED_VALUE"""),"Studentocity _2022")</f>
        <v>Studentocity _2022</v>
      </c>
      <c r="C1038" s="6">
        <f ca="1">IFERROR(__xludf.DUMMYFUNCTION("""COMPUTED_VALUE"""),1.5)</f>
        <v>1.5</v>
      </c>
      <c r="D1038" s="6" t="str">
        <f ca="1">IFERROR(__xludf.DUMMYFUNCTION("""COMPUTED_VALUE"""),"Digital Tech")</f>
        <v>Digital Tech</v>
      </c>
      <c r="E1038" s="6" t="str">
        <f ca="1">IFERROR(__xludf.DUMMYFUNCTION("""COMPUTED_VALUE"""),"Invite Next Year")</f>
        <v>Invite Next Year</v>
      </c>
      <c r="F1038" s="6" t="e">
        <f t="shared" ca="1" si="4"/>
        <v>#NAME?</v>
      </c>
    </row>
    <row r="1039" spans="1:6">
      <c r="A1039" s="199">
        <f ca="1">IFERROR(__xludf.DUMMYFUNCTION("""COMPUTED_VALUE"""),44789)</f>
        <v>44789</v>
      </c>
      <c r="B1039" s="6" t="str">
        <f ca="1">IFERROR(__xludf.DUMMYFUNCTION("""COMPUTED_VALUE"""),"Perfect Color Ventures LLC _2022")</f>
        <v>Perfect Color Ventures LLC _2022</v>
      </c>
      <c r="C1039" s="6">
        <f ca="1">IFERROR(__xludf.DUMMYFUNCTION("""COMPUTED_VALUE"""),1.5)</f>
        <v>1.5</v>
      </c>
      <c r="D1039" s="6" t="str">
        <f ca="1">IFERROR(__xludf.DUMMYFUNCTION("""COMPUTED_VALUE"""),"Deep Tech")</f>
        <v>Deep Tech</v>
      </c>
      <c r="E1039" s="6" t="str">
        <f ca="1">IFERROR(__xludf.DUMMYFUNCTION("""COMPUTED_VALUE"""),"Invite Next Year")</f>
        <v>Invite Next Year</v>
      </c>
      <c r="F1039" s="6" t="e">
        <f t="shared" ca="1" si="4"/>
        <v>#NAME?</v>
      </c>
    </row>
    <row r="1040" spans="1:6">
      <c r="A1040" s="199">
        <f ca="1">IFERROR(__xludf.DUMMYFUNCTION("""COMPUTED_VALUE"""),44789)</f>
        <v>44789</v>
      </c>
      <c r="B1040" s="6" t="str">
        <f ca="1">IFERROR(__xludf.DUMMYFUNCTION("""COMPUTED_VALUE"""),"Dista Inc. _2022")</f>
        <v>Dista Inc. _2022</v>
      </c>
      <c r="C1040" s="6">
        <f ca="1">IFERROR(__xludf.DUMMYFUNCTION("""COMPUTED_VALUE"""),1.5)</f>
        <v>1.5</v>
      </c>
      <c r="D1040" s="6" t="str">
        <f ca="1">IFERROR(__xludf.DUMMYFUNCTION("""COMPUTED_VALUE"""),"Digital Tech")</f>
        <v>Digital Tech</v>
      </c>
      <c r="E1040" s="6" t="str">
        <f ca="1">IFERROR(__xludf.DUMMYFUNCTION("""COMPUTED_VALUE"""),"Invite Next Year")</f>
        <v>Invite Next Year</v>
      </c>
      <c r="F1040" s="6" t="e">
        <f t="shared" ca="1" si="4"/>
        <v>#NAME?</v>
      </c>
    </row>
    <row r="1041" spans="1:6">
      <c r="A1041" s="199">
        <f ca="1">IFERROR(__xludf.DUMMYFUNCTION("""COMPUTED_VALUE"""),44789)</f>
        <v>44789</v>
      </c>
      <c r="B1041" s="6" t="str">
        <f ca="1">IFERROR(__xludf.DUMMYFUNCTION("""COMPUTED_VALUE"""),"To be determined (TBD)  _2022")</f>
        <v>To be determined (TBD)  _2022</v>
      </c>
      <c r="C1041" s="6">
        <f ca="1">IFERROR(__xludf.DUMMYFUNCTION("""COMPUTED_VALUE"""),1.5)</f>
        <v>1.5</v>
      </c>
      <c r="D1041" s="6" t="str">
        <f ca="1">IFERROR(__xludf.DUMMYFUNCTION("""COMPUTED_VALUE"""),"Digital Tech")</f>
        <v>Digital Tech</v>
      </c>
      <c r="E1041" s="6" t="str">
        <f ca="1">IFERROR(__xludf.DUMMYFUNCTION("""COMPUTED_VALUE"""),"Invite Next Year")</f>
        <v>Invite Next Year</v>
      </c>
      <c r="F1041" s="6" t="e">
        <f t="shared" ca="1" si="4"/>
        <v>#NAME?</v>
      </c>
    </row>
    <row r="1042" spans="1:6">
      <c r="A1042" s="199">
        <f ca="1">IFERROR(__xludf.DUMMYFUNCTION("""COMPUTED_VALUE"""),44789)</f>
        <v>44789</v>
      </c>
      <c r="B1042" s="6" t="str">
        <f ca="1">IFERROR(__xludf.DUMMYFUNCTION("""COMPUTED_VALUE"""),"CFIT _2022")</f>
        <v>CFIT _2022</v>
      </c>
      <c r="C1042" s="6">
        <f ca="1">IFERROR(__xludf.DUMMYFUNCTION("""COMPUTED_VALUE"""),1.5)</f>
        <v>1.5</v>
      </c>
      <c r="D1042" s="6" t="str">
        <f ca="1">IFERROR(__xludf.DUMMYFUNCTION("""COMPUTED_VALUE"""),"Life Sciences")</f>
        <v>Life Sciences</v>
      </c>
      <c r="E1042" s="6" t="str">
        <f ca="1">IFERROR(__xludf.DUMMYFUNCTION("""COMPUTED_VALUE"""),"Invite Next Year")</f>
        <v>Invite Next Year</v>
      </c>
      <c r="F1042" s="6" t="e">
        <f t="shared" ca="1" si="4"/>
        <v>#NAME?</v>
      </c>
    </row>
    <row r="1043" spans="1:6">
      <c r="A1043" s="199">
        <f ca="1">IFERROR(__xludf.DUMMYFUNCTION("""COMPUTED_VALUE"""),44789)</f>
        <v>44789</v>
      </c>
      <c r="B1043" s="6" t="str">
        <f ca="1">IFERROR(__xludf.DUMMYFUNCTION("""COMPUTED_VALUE"""),"POMdesk _2022")</f>
        <v>POMdesk _2022</v>
      </c>
      <c r="C1043" s="6">
        <f ca="1">IFERROR(__xludf.DUMMYFUNCTION("""COMPUTED_VALUE"""),1.5)</f>
        <v>1.5</v>
      </c>
      <c r="D1043" s="6" t="str">
        <f ca="1">IFERROR(__xludf.DUMMYFUNCTION("""COMPUTED_VALUE"""),"Digital Tech")</f>
        <v>Digital Tech</v>
      </c>
      <c r="E1043" s="6" t="str">
        <f ca="1">IFERROR(__xludf.DUMMYFUNCTION("""COMPUTED_VALUE"""),"Invite Next Year")</f>
        <v>Invite Next Year</v>
      </c>
      <c r="F1043" s="6" t="e">
        <f t="shared" ca="1" si="4"/>
        <v>#NAME?</v>
      </c>
    </row>
    <row r="1044" spans="1:6">
      <c r="A1044" s="199">
        <f ca="1">IFERROR(__xludf.DUMMYFUNCTION("""COMPUTED_VALUE"""),44789)</f>
        <v>44789</v>
      </c>
      <c r="B1044" s="6" t="str">
        <f ca="1">IFERROR(__xludf.DUMMYFUNCTION("""COMPUTED_VALUE"""),"Syntience Inc _2022")</f>
        <v>Syntience Inc _2022</v>
      </c>
      <c r="C1044" s="6">
        <f ca="1">IFERROR(__xludf.DUMMYFUNCTION("""COMPUTED_VALUE"""),1.5)</f>
        <v>1.5</v>
      </c>
      <c r="D1044" s="6" t="str">
        <f ca="1">IFERROR(__xludf.DUMMYFUNCTION("""COMPUTED_VALUE"""),"Digital Tech")</f>
        <v>Digital Tech</v>
      </c>
      <c r="E1044" s="6" t="str">
        <f ca="1">IFERROR(__xludf.DUMMYFUNCTION("""COMPUTED_VALUE"""),"Invite Next Year")</f>
        <v>Invite Next Year</v>
      </c>
      <c r="F1044" s="6" t="e">
        <f t="shared" ca="1" si="4"/>
        <v>#NAME?</v>
      </c>
    </row>
    <row r="1045" spans="1:6">
      <c r="A1045" s="199">
        <f ca="1">IFERROR(__xludf.DUMMYFUNCTION("""COMPUTED_VALUE"""),44789)</f>
        <v>44789</v>
      </c>
      <c r="B1045" s="6" t="str">
        <f ca="1">IFERROR(__xludf.DUMMYFUNCTION("""COMPUTED_VALUE"""),"Monetized _2022")</f>
        <v>Monetized _2022</v>
      </c>
      <c r="C1045" s="6">
        <f ca="1">IFERROR(__xludf.DUMMYFUNCTION("""COMPUTED_VALUE"""),1.5)</f>
        <v>1.5</v>
      </c>
      <c r="D1045" s="6" t="str">
        <f ca="1">IFERROR(__xludf.DUMMYFUNCTION("""COMPUTED_VALUE"""),"Digital Tech")</f>
        <v>Digital Tech</v>
      </c>
      <c r="E1045" s="6" t="str">
        <f ca="1">IFERROR(__xludf.DUMMYFUNCTION("""COMPUTED_VALUE"""),"Invite Next Year")</f>
        <v>Invite Next Year</v>
      </c>
      <c r="F1045" s="6" t="e">
        <f t="shared" ca="1" si="4"/>
        <v>#NAME?</v>
      </c>
    </row>
    <row r="1046" spans="1:6">
      <c r="A1046" s="199">
        <f ca="1">IFERROR(__xludf.DUMMYFUNCTION("""COMPUTED_VALUE"""),44789)</f>
        <v>44789</v>
      </c>
      <c r="B1046" s="6" t="str">
        <f ca="1">IFERROR(__xludf.DUMMYFUNCTION("""COMPUTED_VALUE"""),"Kara _2022")</f>
        <v>Kara _2022</v>
      </c>
      <c r="C1046" s="6">
        <f ca="1">IFERROR(__xludf.DUMMYFUNCTION("""COMPUTED_VALUE"""),1.5)</f>
        <v>1.5</v>
      </c>
      <c r="D1046" s="6" t="str">
        <f ca="1">IFERROR(__xludf.DUMMYFUNCTION("""COMPUTED_VALUE"""),"Life Sciences")</f>
        <v>Life Sciences</v>
      </c>
      <c r="E1046" s="6" t="str">
        <f ca="1">IFERROR(__xludf.DUMMYFUNCTION("""COMPUTED_VALUE"""),"Invite Next Year")</f>
        <v>Invite Next Year</v>
      </c>
      <c r="F1046" s="6" t="e">
        <f t="shared" ca="1" si="4"/>
        <v>#NAME?</v>
      </c>
    </row>
    <row r="1047" spans="1:6">
      <c r="A1047" s="199">
        <f ca="1">IFERROR(__xludf.DUMMYFUNCTION("""COMPUTED_VALUE"""),44791)</f>
        <v>44791</v>
      </c>
      <c r="B1047" s="6" t="str">
        <f ca="1">IFERROR(__xludf.DUMMYFUNCTION("""COMPUTED_VALUE"""),"Say Ha _2022")</f>
        <v>Say Ha _2022</v>
      </c>
      <c r="C1047" s="6">
        <f ca="1">IFERROR(__xludf.DUMMYFUNCTION("""COMPUTED_VALUE"""),1.5)</f>
        <v>1.5</v>
      </c>
      <c r="D1047" s="6" t="str">
        <f ca="1">IFERROR(__xludf.DUMMYFUNCTION("""COMPUTED_VALUE"""),"Life Sciences")</f>
        <v>Life Sciences</v>
      </c>
      <c r="E1047" s="6" t="str">
        <f ca="1">IFERROR(__xludf.DUMMYFUNCTION("""COMPUTED_VALUE"""),"Invite Next Year")</f>
        <v>Invite Next Year</v>
      </c>
      <c r="F1047" s="6" t="e">
        <f t="shared" ca="1" si="4"/>
        <v>#NAME?</v>
      </c>
    </row>
    <row r="1048" spans="1:6">
      <c r="A1048" s="199">
        <f ca="1">IFERROR(__xludf.DUMMYFUNCTION("""COMPUTED_VALUE"""),44791)</f>
        <v>44791</v>
      </c>
      <c r="B1048" s="6" t="str">
        <f ca="1">IFERROR(__xludf.DUMMYFUNCTION("""COMPUTED_VALUE"""),"Modernly Nerdish  _2022")</f>
        <v>Modernly Nerdish  _2022</v>
      </c>
      <c r="C1048" s="6">
        <f ca="1">IFERROR(__xludf.DUMMYFUNCTION("""COMPUTED_VALUE"""),1.5)</f>
        <v>1.5</v>
      </c>
      <c r="D1048" s="6" t="str">
        <f ca="1">IFERROR(__xludf.DUMMYFUNCTION("""COMPUTED_VALUE"""),"Digital Tech")</f>
        <v>Digital Tech</v>
      </c>
      <c r="E1048" s="6" t="str">
        <f ca="1">IFERROR(__xludf.DUMMYFUNCTION("""COMPUTED_VALUE"""),"Invite Next Year")</f>
        <v>Invite Next Year</v>
      </c>
      <c r="F1048" s="6" t="e">
        <f t="shared" ca="1" si="4"/>
        <v>#NAME?</v>
      </c>
    </row>
    <row r="1049" spans="1:6">
      <c r="A1049" s="199">
        <f ca="1">IFERROR(__xludf.DUMMYFUNCTION("""COMPUTED_VALUE"""),44791)</f>
        <v>44791</v>
      </c>
      <c r="B1049" s="6" t="str">
        <f ca="1">IFERROR(__xludf.DUMMYFUNCTION("""COMPUTED_VALUE"""),"CLICK DEAL BUY!  _2022")</f>
        <v>CLICK DEAL BUY!  _2022</v>
      </c>
      <c r="C1049" s="6">
        <f ca="1">IFERROR(__xludf.DUMMYFUNCTION("""COMPUTED_VALUE"""),1.5)</f>
        <v>1.5</v>
      </c>
      <c r="D1049" s="6" t="str">
        <f ca="1">IFERROR(__xludf.DUMMYFUNCTION("""COMPUTED_VALUE"""),"Digital Tech")</f>
        <v>Digital Tech</v>
      </c>
      <c r="E1049" s="6" t="str">
        <f ca="1">IFERROR(__xludf.DUMMYFUNCTION("""COMPUTED_VALUE"""),"Invite Next Year")</f>
        <v>Invite Next Year</v>
      </c>
      <c r="F1049" s="6" t="e">
        <f t="shared" ca="1" si="4"/>
        <v>#NAME?</v>
      </c>
    </row>
    <row r="1050" spans="1:6">
      <c r="A1050" s="199">
        <f ca="1">IFERROR(__xludf.DUMMYFUNCTION("""COMPUTED_VALUE"""),44791)</f>
        <v>44791</v>
      </c>
      <c r="B1050" s="6" t="str">
        <f ca="1">IFERROR(__xludf.DUMMYFUNCTION("""COMPUTED_VALUE"""),"HouseStay inc _2022")</f>
        <v>HouseStay inc _2022</v>
      </c>
      <c r="C1050" s="6">
        <f ca="1">IFERROR(__xludf.DUMMYFUNCTION("""COMPUTED_VALUE"""),1.5)</f>
        <v>1.5</v>
      </c>
      <c r="D1050" s="6" t="str">
        <f ca="1">IFERROR(__xludf.DUMMYFUNCTION("""COMPUTED_VALUE"""),"Digital Tech")</f>
        <v>Digital Tech</v>
      </c>
      <c r="E1050" s="6" t="str">
        <f ca="1">IFERROR(__xludf.DUMMYFUNCTION("""COMPUTED_VALUE"""),"Invite Next Year")</f>
        <v>Invite Next Year</v>
      </c>
      <c r="F1050" s="6" t="e">
        <f t="shared" ca="1" si="4"/>
        <v>#NAME?</v>
      </c>
    </row>
    <row r="1051" spans="1:6">
      <c r="A1051" s="199">
        <f ca="1">IFERROR(__xludf.DUMMYFUNCTION("""COMPUTED_VALUE"""),44791)</f>
        <v>44791</v>
      </c>
      <c r="B1051" s="6" t="str">
        <f ca="1">IFERROR(__xludf.DUMMYFUNCTION("""COMPUTED_VALUE"""),"Rentastic _2022")</f>
        <v>Rentastic _2022</v>
      </c>
      <c r="C1051" s="6">
        <f ca="1">IFERROR(__xludf.DUMMYFUNCTION("""COMPUTED_VALUE"""),1.5)</f>
        <v>1.5</v>
      </c>
      <c r="D1051" s="6" t="str">
        <f ca="1">IFERROR(__xludf.DUMMYFUNCTION("""COMPUTED_VALUE"""),"Digital Tech")</f>
        <v>Digital Tech</v>
      </c>
      <c r="E1051" s="6" t="str">
        <f ca="1">IFERROR(__xludf.DUMMYFUNCTION("""COMPUTED_VALUE"""),"Invite Next Year")</f>
        <v>Invite Next Year</v>
      </c>
      <c r="F1051" s="6" t="e">
        <f t="shared" ca="1" si="4"/>
        <v>#NAME?</v>
      </c>
    </row>
    <row r="1052" spans="1:6">
      <c r="A1052" s="199">
        <f ca="1">IFERROR(__xludf.DUMMYFUNCTION("""COMPUTED_VALUE"""),44796)</f>
        <v>44796</v>
      </c>
      <c r="B1052" s="6" t="str">
        <f ca="1">IFERROR(__xludf.DUMMYFUNCTION("""COMPUTED_VALUE"""),"UnityActs  _2022")</f>
        <v>UnityActs  _2022</v>
      </c>
      <c r="C1052" s="6">
        <f ca="1">IFERROR(__xludf.DUMMYFUNCTION("""COMPUTED_VALUE"""),1.5)</f>
        <v>1.5</v>
      </c>
      <c r="D1052" s="6" t="str">
        <f ca="1">IFERROR(__xludf.DUMMYFUNCTION("""COMPUTED_VALUE"""),"Digital Tech")</f>
        <v>Digital Tech</v>
      </c>
      <c r="E1052" s="6" t="str">
        <f ca="1">IFERROR(__xludf.DUMMYFUNCTION("""COMPUTED_VALUE"""),"Invite Next Year")</f>
        <v>Invite Next Year</v>
      </c>
      <c r="F1052" s="6" t="e">
        <f t="shared" ca="1" si="4"/>
        <v>#NAME?</v>
      </c>
    </row>
    <row r="1053" spans="1:6">
      <c r="A1053" s="199">
        <f ca="1">IFERROR(__xludf.DUMMYFUNCTION("""COMPUTED_VALUE"""),44796)</f>
        <v>44796</v>
      </c>
      <c r="B1053" s="6" t="str">
        <f ca="1">IFERROR(__xludf.DUMMYFUNCTION("""COMPUTED_VALUE"""),"Broom.id (PT Teknologi Usaha Nusantara) _2022")</f>
        <v>Broom.id (PT Teknologi Usaha Nusantara) _2022</v>
      </c>
      <c r="C1053" s="6">
        <f ca="1">IFERROR(__xludf.DUMMYFUNCTION("""COMPUTED_VALUE"""),1.5)</f>
        <v>1.5</v>
      </c>
      <c r="D1053" s="6" t="str">
        <f ca="1">IFERROR(__xludf.DUMMYFUNCTION("""COMPUTED_VALUE"""),"Digital Tech")</f>
        <v>Digital Tech</v>
      </c>
      <c r="E1053" s="6" t="str">
        <f ca="1">IFERROR(__xludf.DUMMYFUNCTION("""COMPUTED_VALUE"""),"Invite Next Year")</f>
        <v>Invite Next Year</v>
      </c>
      <c r="F1053" s="6" t="e">
        <f t="shared" ca="1" si="4"/>
        <v>#NAME?</v>
      </c>
    </row>
    <row r="1054" spans="1:6">
      <c r="A1054" s="199">
        <f ca="1">IFERROR(__xludf.DUMMYFUNCTION("""COMPUTED_VALUE"""),44796)</f>
        <v>44796</v>
      </c>
      <c r="B1054" s="6" t="str">
        <f ca="1">IFERROR(__xludf.DUMMYFUNCTION("""COMPUTED_VALUE"""),"Jovian _2022")</f>
        <v>Jovian _2022</v>
      </c>
      <c r="C1054" s="6">
        <f ca="1">IFERROR(__xludf.DUMMYFUNCTION("""COMPUTED_VALUE"""),1.5)</f>
        <v>1.5</v>
      </c>
      <c r="D1054" s="6" t="str">
        <f ca="1">IFERROR(__xludf.DUMMYFUNCTION("""COMPUTED_VALUE"""),"Digital Tech")</f>
        <v>Digital Tech</v>
      </c>
      <c r="E1054" s="6" t="str">
        <f ca="1">IFERROR(__xludf.DUMMYFUNCTION("""COMPUTED_VALUE"""),"Invite Next Year")</f>
        <v>Invite Next Year</v>
      </c>
      <c r="F1054" s="6" t="e">
        <f t="shared" ca="1" si="4"/>
        <v>#NAME?</v>
      </c>
    </row>
    <row r="1055" spans="1:6">
      <c r="A1055" s="199">
        <f ca="1">IFERROR(__xludf.DUMMYFUNCTION("""COMPUTED_VALUE"""),44796)</f>
        <v>44796</v>
      </c>
      <c r="B1055" s="6" t="str">
        <f ca="1">IFERROR(__xludf.DUMMYFUNCTION("""COMPUTED_VALUE"""),"Pendulum _2022")</f>
        <v>Pendulum _2022</v>
      </c>
      <c r="C1055" s="6">
        <f ca="1">IFERROR(__xludf.DUMMYFUNCTION("""COMPUTED_VALUE"""),1.5)</f>
        <v>1.5</v>
      </c>
      <c r="D1055" s="6" t="str">
        <f ca="1">IFERROR(__xludf.DUMMYFUNCTION("""COMPUTED_VALUE"""),"Digital Tech")</f>
        <v>Digital Tech</v>
      </c>
      <c r="E1055" s="6" t="str">
        <f ca="1">IFERROR(__xludf.DUMMYFUNCTION("""COMPUTED_VALUE"""),"Invite Next Year")</f>
        <v>Invite Next Year</v>
      </c>
      <c r="F1055" s="6" t="e">
        <f t="shared" ca="1" si="4"/>
        <v>#NAME?</v>
      </c>
    </row>
    <row r="1056" spans="1:6">
      <c r="A1056" s="199">
        <f ca="1">IFERROR(__xludf.DUMMYFUNCTION("""COMPUTED_VALUE"""),44796)</f>
        <v>44796</v>
      </c>
      <c r="B1056" s="6" t="str">
        <f ca="1">IFERROR(__xludf.DUMMYFUNCTION("""COMPUTED_VALUE"""),"The Cumin Culinary Brands _2022")</f>
        <v>The Cumin Culinary Brands _2022</v>
      </c>
      <c r="C1056" s="6">
        <f ca="1">IFERROR(__xludf.DUMMYFUNCTION("""COMPUTED_VALUE"""),1.5)</f>
        <v>1.5</v>
      </c>
      <c r="D1056" s="6" t="str">
        <f ca="1">IFERROR(__xludf.DUMMYFUNCTION("""COMPUTED_VALUE"""),"Life Sciences")</f>
        <v>Life Sciences</v>
      </c>
      <c r="E1056" s="6" t="str">
        <f ca="1">IFERROR(__xludf.DUMMYFUNCTION("""COMPUTED_VALUE"""),"Invite Next Year")</f>
        <v>Invite Next Year</v>
      </c>
      <c r="F1056" s="6" t="e">
        <f t="shared" ca="1" si="4"/>
        <v>#NAME?</v>
      </c>
    </row>
    <row r="1057" spans="1:6">
      <c r="A1057" s="199">
        <f ca="1">IFERROR(__xludf.DUMMYFUNCTION("""COMPUTED_VALUE"""),44796)</f>
        <v>44796</v>
      </c>
      <c r="B1057" s="6" t="str">
        <f ca="1">IFERROR(__xludf.DUMMYFUNCTION("""COMPUTED_VALUE"""),"bistrochat software ltd _2022")</f>
        <v>bistrochat software ltd _2022</v>
      </c>
      <c r="C1057" s="6">
        <f ca="1">IFERROR(__xludf.DUMMYFUNCTION("""COMPUTED_VALUE"""),1.5)</f>
        <v>1.5</v>
      </c>
      <c r="D1057" s="6" t="str">
        <f ca="1">IFERROR(__xludf.DUMMYFUNCTION("""COMPUTED_VALUE"""),"Digital Tech")</f>
        <v>Digital Tech</v>
      </c>
      <c r="E1057" s="6" t="str">
        <f ca="1">IFERROR(__xludf.DUMMYFUNCTION("""COMPUTED_VALUE"""),"Invite Next Year")</f>
        <v>Invite Next Year</v>
      </c>
      <c r="F1057" s="6" t="e">
        <f t="shared" ca="1" si="4"/>
        <v>#NAME?</v>
      </c>
    </row>
    <row r="1058" spans="1:6">
      <c r="A1058" s="199">
        <f ca="1">IFERROR(__xludf.DUMMYFUNCTION("""COMPUTED_VALUE"""),44796)</f>
        <v>44796</v>
      </c>
      <c r="B1058" s="6" t="str">
        <f ca="1">IFERROR(__xludf.DUMMYFUNCTION("""COMPUTED_VALUE"""),"Highsy, Inc. _2022")</f>
        <v>Highsy, Inc. _2022</v>
      </c>
      <c r="C1058" s="6">
        <f ca="1">IFERROR(__xludf.DUMMYFUNCTION("""COMPUTED_VALUE"""),1.5)</f>
        <v>1.5</v>
      </c>
      <c r="D1058" s="6" t="str">
        <f ca="1">IFERROR(__xludf.DUMMYFUNCTION("""COMPUTED_VALUE"""),"Digital Tech")</f>
        <v>Digital Tech</v>
      </c>
      <c r="E1058" s="6" t="str">
        <f ca="1">IFERROR(__xludf.DUMMYFUNCTION("""COMPUTED_VALUE"""),"Invite Next Year")</f>
        <v>Invite Next Year</v>
      </c>
      <c r="F1058" s="6" t="e">
        <f t="shared" ca="1" si="4"/>
        <v>#NAME?</v>
      </c>
    </row>
    <row r="1059" spans="1:6">
      <c r="A1059" s="199">
        <f ca="1">IFERROR(__xludf.DUMMYFUNCTION("""COMPUTED_VALUE"""),44796)</f>
        <v>44796</v>
      </c>
      <c r="B1059" s="6" t="str">
        <f ca="1">IFERROR(__xludf.DUMMYFUNCTION("""COMPUTED_VALUE"""),"RockStable _2022")</f>
        <v>RockStable _2022</v>
      </c>
      <c r="C1059" s="6">
        <f ca="1">IFERROR(__xludf.DUMMYFUNCTION("""COMPUTED_VALUE"""),1.5)</f>
        <v>1.5</v>
      </c>
      <c r="D1059" s="6" t="str">
        <f ca="1">IFERROR(__xludf.DUMMYFUNCTION("""COMPUTED_VALUE"""),"Digital Tech")</f>
        <v>Digital Tech</v>
      </c>
      <c r="E1059" s="6" t="str">
        <f ca="1">IFERROR(__xludf.DUMMYFUNCTION("""COMPUTED_VALUE"""),"Invite Next Year")</f>
        <v>Invite Next Year</v>
      </c>
      <c r="F1059" s="6" t="e">
        <f t="shared" ca="1" si="4"/>
        <v>#NAME?</v>
      </c>
    </row>
    <row r="1060" spans="1:6">
      <c r="A1060" s="199">
        <f ca="1">IFERROR(__xludf.DUMMYFUNCTION("""COMPUTED_VALUE"""),44796)</f>
        <v>44796</v>
      </c>
      <c r="B1060" s="6" t="str">
        <f ca="1">IFERROR(__xludf.DUMMYFUNCTION("""COMPUTED_VALUE"""),"breathing.ai _2022")</f>
        <v>breathing.ai _2022</v>
      </c>
      <c r="C1060" s="6">
        <f ca="1">IFERROR(__xludf.DUMMYFUNCTION("""COMPUTED_VALUE"""),1.5)</f>
        <v>1.5</v>
      </c>
      <c r="D1060" s="6" t="str">
        <f ca="1">IFERROR(__xludf.DUMMYFUNCTION("""COMPUTED_VALUE"""),"Digital Tech")</f>
        <v>Digital Tech</v>
      </c>
      <c r="E1060" s="6" t="str">
        <f ca="1">IFERROR(__xludf.DUMMYFUNCTION("""COMPUTED_VALUE"""),"Invite Next Year")</f>
        <v>Invite Next Year</v>
      </c>
      <c r="F1060" s="6" t="e">
        <f t="shared" ca="1" si="4"/>
        <v>#NAME?</v>
      </c>
    </row>
    <row r="1061" spans="1:6">
      <c r="A1061" s="199">
        <f ca="1">IFERROR(__xludf.DUMMYFUNCTION("""COMPUTED_VALUE"""),44796)</f>
        <v>44796</v>
      </c>
      <c r="B1061" s="6" t="str">
        <f ca="1">IFERROR(__xludf.DUMMYFUNCTION("""COMPUTED_VALUE"""),"The Bridge _2022")</f>
        <v>The Bridge _2022</v>
      </c>
      <c r="C1061" s="6">
        <f ca="1">IFERROR(__xludf.DUMMYFUNCTION("""COMPUTED_VALUE"""),1.5)</f>
        <v>1.5</v>
      </c>
      <c r="D1061" s="6" t="str">
        <f ca="1">IFERROR(__xludf.DUMMYFUNCTION("""COMPUTED_VALUE"""),"Digital Tech")</f>
        <v>Digital Tech</v>
      </c>
      <c r="E1061" s="6" t="str">
        <f ca="1">IFERROR(__xludf.DUMMYFUNCTION("""COMPUTED_VALUE"""),"Invite Next Year")</f>
        <v>Invite Next Year</v>
      </c>
      <c r="F1061" s="6" t="e">
        <f t="shared" ca="1" si="4"/>
        <v>#NAME?</v>
      </c>
    </row>
    <row r="1062" spans="1:6">
      <c r="A1062" s="199">
        <f ca="1">IFERROR(__xludf.DUMMYFUNCTION("""COMPUTED_VALUE"""),44796)</f>
        <v>44796</v>
      </c>
      <c r="B1062" s="6" t="str">
        <f ca="1">IFERROR(__xludf.DUMMYFUNCTION("""COMPUTED_VALUE"""),"QualDev _2022")</f>
        <v>QualDev _2022</v>
      </c>
      <c r="C1062" s="6">
        <f ca="1">IFERROR(__xludf.DUMMYFUNCTION("""COMPUTED_VALUE"""),1.5)</f>
        <v>1.5</v>
      </c>
      <c r="D1062" s="6" t="str">
        <f ca="1">IFERROR(__xludf.DUMMYFUNCTION("""COMPUTED_VALUE"""),"Digital Tech")</f>
        <v>Digital Tech</v>
      </c>
      <c r="E1062" s="6" t="str">
        <f ca="1">IFERROR(__xludf.DUMMYFUNCTION("""COMPUTED_VALUE"""),"Invite Next Year")</f>
        <v>Invite Next Year</v>
      </c>
      <c r="F1062" s="6" t="e">
        <f t="shared" ca="1" si="4"/>
        <v>#NAME?</v>
      </c>
    </row>
    <row r="1063" spans="1:6">
      <c r="A1063" s="199">
        <f ca="1">IFERROR(__xludf.DUMMYFUNCTION("""COMPUTED_VALUE"""),44796)</f>
        <v>44796</v>
      </c>
      <c r="B1063" s="6" t="str">
        <f ca="1">IFERROR(__xludf.DUMMYFUNCTION("""COMPUTED_VALUE"""),"BioShade _2022")</f>
        <v>BioShade _2022</v>
      </c>
      <c r="C1063" s="6">
        <f ca="1">IFERROR(__xludf.DUMMYFUNCTION("""COMPUTED_VALUE"""),1.5)</f>
        <v>1.5</v>
      </c>
      <c r="D1063" s="6" t="str">
        <f ca="1">IFERROR(__xludf.DUMMYFUNCTION("""COMPUTED_VALUE"""),"Deep Tech")</f>
        <v>Deep Tech</v>
      </c>
      <c r="E1063" s="6" t="str">
        <f ca="1">IFERROR(__xludf.DUMMYFUNCTION("""COMPUTED_VALUE"""),"Invite Next Year")</f>
        <v>Invite Next Year</v>
      </c>
      <c r="F1063" s="6" t="e">
        <f t="shared" ca="1" si="4"/>
        <v>#NAME?</v>
      </c>
    </row>
    <row r="1064" spans="1:6">
      <c r="A1064" s="199">
        <f ca="1">IFERROR(__xludf.DUMMYFUNCTION("""COMPUTED_VALUE"""),44796)</f>
        <v>44796</v>
      </c>
      <c r="B1064" s="6" t="str">
        <f ca="1">IFERROR(__xludf.DUMMYFUNCTION("""COMPUTED_VALUE"""),"Boundless Robotics _2022")</f>
        <v>Boundless Robotics _2022</v>
      </c>
      <c r="C1064" s="6">
        <f ca="1">IFERROR(__xludf.DUMMYFUNCTION("""COMPUTED_VALUE"""),1.5)</f>
        <v>1.5</v>
      </c>
      <c r="D1064" s="6" t="str">
        <f ca="1">IFERROR(__xludf.DUMMYFUNCTION("""COMPUTED_VALUE"""),"Deep Tech")</f>
        <v>Deep Tech</v>
      </c>
      <c r="E1064" s="6" t="str">
        <f ca="1">IFERROR(__xludf.DUMMYFUNCTION("""COMPUTED_VALUE"""),"Invite Next Year")</f>
        <v>Invite Next Year</v>
      </c>
      <c r="F1064" s="6" t="e">
        <f t="shared" ca="1" si="4"/>
        <v>#NAME?</v>
      </c>
    </row>
    <row r="1065" spans="1:6">
      <c r="A1065" s="199">
        <f ca="1">IFERROR(__xludf.DUMMYFUNCTION("""COMPUTED_VALUE"""),44796)</f>
        <v>44796</v>
      </c>
      <c r="B1065" s="6" t="str">
        <f ca="1">IFERROR(__xludf.DUMMYFUNCTION("""COMPUTED_VALUE"""),"MedExplain, Inc. _2022")</f>
        <v>MedExplain, Inc. _2022</v>
      </c>
      <c r="C1065" s="6">
        <f ca="1">IFERROR(__xludf.DUMMYFUNCTION("""COMPUTED_VALUE"""),1.5)</f>
        <v>1.5</v>
      </c>
      <c r="D1065" s="6" t="str">
        <f ca="1">IFERROR(__xludf.DUMMYFUNCTION("""COMPUTED_VALUE"""),"Digital Tech")</f>
        <v>Digital Tech</v>
      </c>
      <c r="E1065" s="6" t="str">
        <f ca="1">IFERROR(__xludf.DUMMYFUNCTION("""COMPUTED_VALUE"""),"Invite Next Year")</f>
        <v>Invite Next Year</v>
      </c>
      <c r="F1065" s="6" t="e">
        <f t="shared" ca="1" si="4"/>
        <v>#NAME?</v>
      </c>
    </row>
    <row r="1066" spans="1:6">
      <c r="A1066" s="199">
        <f ca="1">IFERROR(__xludf.DUMMYFUNCTION("""COMPUTED_VALUE"""),44796)</f>
        <v>44796</v>
      </c>
      <c r="B1066" s="6" t="str">
        <f ca="1">IFERROR(__xludf.DUMMYFUNCTION("""COMPUTED_VALUE"""),"Greenfields Digital Susu and Bank _2022")</f>
        <v>Greenfields Digital Susu and Bank _2022</v>
      </c>
      <c r="C1066" s="6">
        <f ca="1">IFERROR(__xludf.DUMMYFUNCTION("""COMPUTED_VALUE"""),1.5)</f>
        <v>1.5</v>
      </c>
      <c r="D1066" s="6" t="str">
        <f ca="1">IFERROR(__xludf.DUMMYFUNCTION("""COMPUTED_VALUE"""),"Digital Tech")</f>
        <v>Digital Tech</v>
      </c>
      <c r="E1066" s="6" t="str">
        <f ca="1">IFERROR(__xludf.DUMMYFUNCTION("""COMPUTED_VALUE"""),"Invite Next Year")</f>
        <v>Invite Next Year</v>
      </c>
      <c r="F1066" s="6" t="e">
        <f t="shared" ca="1" si="4"/>
        <v>#NAME?</v>
      </c>
    </row>
    <row r="1067" spans="1:6">
      <c r="A1067" s="199">
        <f ca="1">IFERROR(__xludf.DUMMYFUNCTION("""COMPUTED_VALUE"""),44796)</f>
        <v>44796</v>
      </c>
      <c r="B1067" s="6" t="str">
        <f ca="1">IFERROR(__xludf.DUMMYFUNCTION("""COMPUTED_VALUE"""),"Metaiss _2022")</f>
        <v>Metaiss _2022</v>
      </c>
      <c r="C1067" s="6">
        <f ca="1">IFERROR(__xludf.DUMMYFUNCTION("""COMPUTED_VALUE"""),1.5)</f>
        <v>1.5</v>
      </c>
      <c r="D1067" s="6" t="str">
        <f ca="1">IFERROR(__xludf.DUMMYFUNCTION("""COMPUTED_VALUE"""),"Digital Tech")</f>
        <v>Digital Tech</v>
      </c>
      <c r="E1067" s="6" t="str">
        <f ca="1">IFERROR(__xludf.DUMMYFUNCTION("""COMPUTED_VALUE"""),"Invite Next Year")</f>
        <v>Invite Next Year</v>
      </c>
      <c r="F1067" s="6" t="e">
        <f t="shared" ca="1" si="4"/>
        <v>#NAME?</v>
      </c>
    </row>
    <row r="1068" spans="1:6">
      <c r="A1068" s="199">
        <f ca="1">IFERROR(__xludf.DUMMYFUNCTION("""COMPUTED_VALUE"""),44796)</f>
        <v>44796</v>
      </c>
      <c r="B1068" s="6" t="str">
        <f ca="1">IFERROR(__xludf.DUMMYFUNCTION("""COMPUTED_VALUE"""),"Yumwoof Natural Pet Food _2022")</f>
        <v>Yumwoof Natural Pet Food _2022</v>
      </c>
      <c r="C1068" s="6">
        <f ca="1">IFERROR(__xludf.DUMMYFUNCTION("""COMPUTED_VALUE"""),1.5)</f>
        <v>1.5</v>
      </c>
      <c r="D1068" s="6" t="str">
        <f ca="1">IFERROR(__xludf.DUMMYFUNCTION("""COMPUTED_VALUE"""),"Life Sciences")</f>
        <v>Life Sciences</v>
      </c>
      <c r="E1068" s="6" t="str">
        <f ca="1">IFERROR(__xludf.DUMMYFUNCTION("""COMPUTED_VALUE"""),"Invite Next Year")</f>
        <v>Invite Next Year</v>
      </c>
      <c r="F1068" s="6" t="e">
        <f t="shared" ca="1" si="4"/>
        <v>#NAME?</v>
      </c>
    </row>
    <row r="1069" spans="1:6">
      <c r="A1069" s="199">
        <f ca="1">IFERROR(__xludf.DUMMYFUNCTION("""COMPUTED_VALUE"""),44796)</f>
        <v>44796</v>
      </c>
      <c r="B1069" s="6" t="str">
        <f ca="1">IFERROR(__xludf.DUMMYFUNCTION("""COMPUTED_VALUE"""),"Data Creative, LLC _2022")</f>
        <v>Data Creative, LLC _2022</v>
      </c>
      <c r="C1069" s="6">
        <f ca="1">IFERROR(__xludf.DUMMYFUNCTION("""COMPUTED_VALUE"""),1.5)</f>
        <v>1.5</v>
      </c>
      <c r="D1069" s="6" t="str">
        <f ca="1">IFERROR(__xludf.DUMMYFUNCTION("""COMPUTED_VALUE"""),"Digital Tech")</f>
        <v>Digital Tech</v>
      </c>
      <c r="E1069" s="6" t="str">
        <f ca="1">IFERROR(__xludf.DUMMYFUNCTION("""COMPUTED_VALUE"""),"Invite Next Year")</f>
        <v>Invite Next Year</v>
      </c>
      <c r="F1069" s="6" t="e">
        <f t="shared" ca="1" si="4"/>
        <v>#NAME?</v>
      </c>
    </row>
    <row r="1070" spans="1:6">
      <c r="A1070" s="199">
        <f ca="1">IFERROR(__xludf.DUMMYFUNCTION("""COMPUTED_VALUE"""),44797)</f>
        <v>44797</v>
      </c>
      <c r="B1070" s="6" t="str">
        <f ca="1">IFERROR(__xludf.DUMMYFUNCTION("""COMPUTED_VALUE"""),"Port. _2022")</f>
        <v>Port. _2022</v>
      </c>
      <c r="C1070" s="6">
        <f ca="1">IFERROR(__xludf.DUMMYFUNCTION("""COMPUTED_VALUE"""),1.5)</f>
        <v>1.5</v>
      </c>
      <c r="D1070" s="6" t="str">
        <f ca="1">IFERROR(__xludf.DUMMYFUNCTION("""COMPUTED_VALUE"""),"Digital Tech")</f>
        <v>Digital Tech</v>
      </c>
      <c r="E1070" s="6" t="str">
        <f ca="1">IFERROR(__xludf.DUMMYFUNCTION("""COMPUTED_VALUE"""),"Invite Next Year")</f>
        <v>Invite Next Year</v>
      </c>
      <c r="F1070" s="6" t="e">
        <f t="shared" ca="1" si="4"/>
        <v>#NAME?</v>
      </c>
    </row>
    <row r="1071" spans="1:6">
      <c r="A1071" s="199">
        <f ca="1">IFERROR(__xludf.DUMMYFUNCTION("""COMPUTED_VALUE"""),44797)</f>
        <v>44797</v>
      </c>
      <c r="B1071" s="6" t="str">
        <f ca="1">IFERROR(__xludf.DUMMYFUNCTION("""COMPUTED_VALUE"""),"O'Peers _2022")</f>
        <v>O'Peers _2022</v>
      </c>
      <c r="C1071" s="6">
        <f ca="1">IFERROR(__xludf.DUMMYFUNCTION("""COMPUTED_VALUE"""),1.5)</f>
        <v>1.5</v>
      </c>
      <c r="D1071" s="6" t="str">
        <f ca="1">IFERROR(__xludf.DUMMYFUNCTION("""COMPUTED_VALUE"""),"Digital Tech")</f>
        <v>Digital Tech</v>
      </c>
      <c r="E1071" s="6" t="str">
        <f ca="1">IFERROR(__xludf.DUMMYFUNCTION("""COMPUTED_VALUE"""),"Invite Next Year")</f>
        <v>Invite Next Year</v>
      </c>
      <c r="F1071" s="6" t="e">
        <f t="shared" ca="1" si="4"/>
        <v>#NAME?</v>
      </c>
    </row>
    <row r="1072" spans="1:6">
      <c r="A1072" s="199">
        <f ca="1">IFERROR(__xludf.DUMMYFUNCTION("""COMPUTED_VALUE"""),44797)</f>
        <v>44797</v>
      </c>
      <c r="B1072" s="6" t="str">
        <f ca="1">IFERROR(__xludf.DUMMYFUNCTION("""COMPUTED_VALUE"""),"IonMedicine _2022")</f>
        <v>IonMedicine _2022</v>
      </c>
      <c r="C1072" s="6">
        <f ca="1">IFERROR(__xludf.DUMMYFUNCTION("""COMPUTED_VALUE"""),1.5)</f>
        <v>1.5</v>
      </c>
      <c r="D1072" s="6" t="str">
        <f ca="1">IFERROR(__xludf.DUMMYFUNCTION("""COMPUTED_VALUE"""),"Life Sciences")</f>
        <v>Life Sciences</v>
      </c>
      <c r="E1072" s="6" t="str">
        <f ca="1">IFERROR(__xludf.DUMMYFUNCTION("""COMPUTED_VALUE"""),"Invite Next Year")</f>
        <v>Invite Next Year</v>
      </c>
      <c r="F1072" s="6" t="e">
        <f t="shared" ca="1" si="4"/>
        <v>#NAME?</v>
      </c>
    </row>
    <row r="1073" spans="1:6">
      <c r="A1073" s="199">
        <f ca="1">IFERROR(__xludf.DUMMYFUNCTION("""COMPUTED_VALUE"""),44797)</f>
        <v>44797</v>
      </c>
      <c r="B1073" s="6" t="str">
        <f ca="1">IFERROR(__xludf.DUMMYFUNCTION("""COMPUTED_VALUE"""),"Branddu _2022")</f>
        <v>Branddu _2022</v>
      </c>
      <c r="C1073" s="6">
        <f ca="1">IFERROR(__xludf.DUMMYFUNCTION("""COMPUTED_VALUE"""),1.5)</f>
        <v>1.5</v>
      </c>
      <c r="D1073" s="6" t="str">
        <f ca="1">IFERROR(__xludf.DUMMYFUNCTION("""COMPUTED_VALUE"""),"Digital Tech")</f>
        <v>Digital Tech</v>
      </c>
      <c r="E1073" s="6" t="str">
        <f ca="1">IFERROR(__xludf.DUMMYFUNCTION("""COMPUTED_VALUE"""),"Invite Next Year")</f>
        <v>Invite Next Year</v>
      </c>
      <c r="F1073" s="6" t="e">
        <f t="shared" ca="1" si="4"/>
        <v>#NAME?</v>
      </c>
    </row>
    <row r="1074" spans="1:6">
      <c r="A1074" s="199">
        <f ca="1">IFERROR(__xludf.DUMMYFUNCTION("""COMPUTED_VALUE"""),44797)</f>
        <v>44797</v>
      </c>
      <c r="B1074" s="6" t="str">
        <f ca="1">IFERROR(__xludf.DUMMYFUNCTION("""COMPUTED_VALUE"""),"KARMEQ, LLC _2022")</f>
        <v>KARMEQ, LLC _2022</v>
      </c>
      <c r="C1074" s="6">
        <f ca="1">IFERROR(__xludf.DUMMYFUNCTION("""COMPUTED_VALUE"""),1.5)</f>
        <v>1.5</v>
      </c>
      <c r="D1074" s="6" t="str">
        <f ca="1">IFERROR(__xludf.DUMMYFUNCTION("""COMPUTED_VALUE"""),"Digital Tech")</f>
        <v>Digital Tech</v>
      </c>
      <c r="E1074" s="6" t="str">
        <f ca="1">IFERROR(__xludf.DUMMYFUNCTION("""COMPUTED_VALUE"""),"Invite Next Year")</f>
        <v>Invite Next Year</v>
      </c>
      <c r="F1074" s="6" t="e">
        <f t="shared" ca="1" si="4"/>
        <v>#NAME?</v>
      </c>
    </row>
    <row r="1075" spans="1:6">
      <c r="A1075" s="199">
        <f ca="1">IFERROR(__xludf.DUMMYFUNCTION("""COMPUTED_VALUE"""),44776)</f>
        <v>44776</v>
      </c>
      <c r="B1075" s="6" t="str">
        <f ca="1">IFERROR(__xludf.DUMMYFUNCTION("""COMPUTED_VALUE"""),"Nourish _2022")</f>
        <v>Nourish _2022</v>
      </c>
      <c r="C1075" s="6">
        <f ca="1">IFERROR(__xludf.DUMMYFUNCTION("""COMPUTED_VALUE"""),1.25)</f>
        <v>1.25</v>
      </c>
      <c r="D1075" s="6" t="str">
        <f ca="1">IFERROR(__xludf.DUMMYFUNCTION("""COMPUTED_VALUE"""),"Deep Tech")</f>
        <v>Deep Tech</v>
      </c>
      <c r="E1075" s="6" t="str">
        <f ca="1">IFERROR(__xludf.DUMMYFUNCTION("""COMPUTED_VALUE"""),"Invite Next Year")</f>
        <v>Invite Next Year</v>
      </c>
      <c r="F1075" s="6" t="e">
        <f t="shared" ca="1" si="4"/>
        <v>#NAME?</v>
      </c>
    </row>
    <row r="1076" spans="1:6">
      <c r="A1076" s="199">
        <f ca="1">IFERROR(__xludf.DUMMYFUNCTION("""COMPUTED_VALUE"""),44784)</f>
        <v>44784</v>
      </c>
      <c r="B1076" s="6" t="str">
        <f ca="1">IFERROR(__xludf.DUMMYFUNCTION("""COMPUTED_VALUE"""),"TRAKID _2022")</f>
        <v>TRAKID _2022</v>
      </c>
      <c r="C1076" s="6">
        <f ca="1">IFERROR(__xludf.DUMMYFUNCTION("""COMPUTED_VALUE"""),1.25)</f>
        <v>1.25</v>
      </c>
      <c r="D1076" s="6" t="str">
        <f ca="1">IFERROR(__xludf.DUMMYFUNCTION("""COMPUTED_VALUE"""),"Digital Tech")</f>
        <v>Digital Tech</v>
      </c>
      <c r="E1076" s="6" t="str">
        <f ca="1">IFERROR(__xludf.DUMMYFUNCTION("""COMPUTED_VALUE"""),"Invite Next Year")</f>
        <v>Invite Next Year</v>
      </c>
      <c r="F1076" s="6" t="e">
        <f t="shared" ca="1" si="4"/>
        <v>#NAME?</v>
      </c>
    </row>
    <row r="1077" spans="1:6">
      <c r="A1077" s="199">
        <f ca="1">IFERROR(__xludf.DUMMYFUNCTION("""COMPUTED_VALUE"""),44784)</f>
        <v>44784</v>
      </c>
      <c r="B1077" s="6" t="str">
        <f ca="1">IFERROR(__xludf.DUMMYFUNCTION("""COMPUTED_VALUE"""),"Atlas _2022")</f>
        <v>Atlas _2022</v>
      </c>
      <c r="C1077" s="6">
        <f ca="1">IFERROR(__xludf.DUMMYFUNCTION("""COMPUTED_VALUE"""),1.25)</f>
        <v>1.25</v>
      </c>
      <c r="D1077" s="6" t="str">
        <f ca="1">IFERROR(__xludf.DUMMYFUNCTION("""COMPUTED_VALUE"""),"Deep Tech")</f>
        <v>Deep Tech</v>
      </c>
      <c r="E1077" s="6" t="str">
        <f ca="1">IFERROR(__xludf.DUMMYFUNCTION("""COMPUTED_VALUE"""),"Reject")</f>
        <v>Reject</v>
      </c>
      <c r="F1077" s="6" t="e">
        <f t="shared" ca="1" si="4"/>
        <v>#NAME?</v>
      </c>
    </row>
    <row r="1078" spans="1:6">
      <c r="A1078" s="199">
        <f ca="1">IFERROR(__xludf.DUMMYFUNCTION("""COMPUTED_VALUE"""),44796)</f>
        <v>44796</v>
      </c>
      <c r="B1078" s="6" t="str">
        <f ca="1">IFERROR(__xludf.DUMMYFUNCTION("""COMPUTED_VALUE"""),"Too-King Technology _2022")</f>
        <v>Too-King Technology _2022</v>
      </c>
      <c r="C1078" s="6">
        <f ca="1">IFERROR(__xludf.DUMMYFUNCTION("""COMPUTED_VALUE"""),1.25)</f>
        <v>1.25</v>
      </c>
      <c r="D1078" s="6" t="str">
        <f ca="1">IFERROR(__xludf.DUMMYFUNCTION("""COMPUTED_VALUE"""),"Digital Tech")</f>
        <v>Digital Tech</v>
      </c>
      <c r="E1078" s="6" t="str">
        <f ca="1">IFERROR(__xludf.DUMMYFUNCTION("""COMPUTED_VALUE"""),"Invite Next Year")</f>
        <v>Invite Next Year</v>
      </c>
      <c r="F1078" s="6" t="e">
        <f t="shared" ca="1" si="4"/>
        <v>#NAME?</v>
      </c>
    </row>
    <row r="1079" spans="1:6">
      <c r="A1079" s="199">
        <f ca="1">IFERROR(__xludf.DUMMYFUNCTION("""COMPUTED_VALUE"""),44796)</f>
        <v>44796</v>
      </c>
      <c r="B1079" s="6" t="str">
        <f ca="1">IFERROR(__xludf.DUMMYFUNCTION("""COMPUTED_VALUE"""),"Nutrizle _2022")</f>
        <v>Nutrizle _2022</v>
      </c>
      <c r="C1079" s="6">
        <f ca="1">IFERROR(__xludf.DUMMYFUNCTION("""COMPUTED_VALUE"""),1.25)</f>
        <v>1.25</v>
      </c>
      <c r="D1079" s="6" t="str">
        <f ca="1">IFERROR(__xludf.DUMMYFUNCTION("""COMPUTED_VALUE"""),"Life Sciences")</f>
        <v>Life Sciences</v>
      </c>
      <c r="E1079" s="6" t="str">
        <f ca="1">IFERROR(__xludf.DUMMYFUNCTION("""COMPUTED_VALUE"""),"Invite Next Year")</f>
        <v>Invite Next Year</v>
      </c>
      <c r="F1079" s="6" t="e">
        <f t="shared" ca="1" si="4"/>
        <v>#NAME?</v>
      </c>
    </row>
    <row r="1080" spans="1:6">
      <c r="A1080" s="199">
        <f ca="1">IFERROR(__xludf.DUMMYFUNCTION("""COMPUTED_VALUE"""),44796)</f>
        <v>44796</v>
      </c>
      <c r="B1080" s="6" t="str">
        <f ca="1">IFERROR(__xludf.DUMMYFUNCTION("""COMPUTED_VALUE"""),"Oval NFT _2022")</f>
        <v>Oval NFT _2022</v>
      </c>
      <c r="C1080" s="6">
        <f ca="1">IFERROR(__xludf.DUMMYFUNCTION("""COMPUTED_VALUE"""),1.25)</f>
        <v>1.25</v>
      </c>
      <c r="D1080" s="6" t="str">
        <f ca="1">IFERROR(__xludf.DUMMYFUNCTION("""COMPUTED_VALUE"""),"Digital Tech")</f>
        <v>Digital Tech</v>
      </c>
      <c r="E1080" s="6" t="str">
        <f ca="1">IFERROR(__xludf.DUMMYFUNCTION("""COMPUTED_VALUE"""),"Invite Next Year")</f>
        <v>Invite Next Year</v>
      </c>
      <c r="F1080" s="6" t="e">
        <f t="shared" ca="1" si="4"/>
        <v>#NAME?</v>
      </c>
    </row>
    <row r="1081" spans="1:6">
      <c r="A1081" s="199">
        <f ca="1">IFERROR(__xludf.DUMMYFUNCTION("""COMPUTED_VALUE"""),44776)</f>
        <v>44776</v>
      </c>
      <c r="B1081" s="6" t="str">
        <f ca="1">IFERROR(__xludf.DUMMYFUNCTION("""COMPUTED_VALUE"""),"Southern Dairy Products _2022")</f>
        <v>Southern Dairy Products _2022</v>
      </c>
      <c r="C1081" s="6">
        <f ca="1">IFERROR(__xludf.DUMMYFUNCTION("""COMPUTED_VALUE"""),1)</f>
        <v>1</v>
      </c>
      <c r="D1081" s="6" t="str">
        <f ca="1">IFERROR(__xludf.DUMMYFUNCTION("""COMPUTED_VALUE"""),"Life Sciences")</f>
        <v>Life Sciences</v>
      </c>
      <c r="E1081" s="6" t="str">
        <f ca="1">IFERROR(__xludf.DUMMYFUNCTION("""COMPUTED_VALUE"""),"Invite Next Year")</f>
        <v>Invite Next Year</v>
      </c>
      <c r="F1081" s="6" t="e">
        <f t="shared" ca="1" si="4"/>
        <v>#NAME?</v>
      </c>
    </row>
    <row r="1082" spans="1:6">
      <c r="A1082" s="199">
        <f ca="1">IFERROR(__xludf.DUMMYFUNCTION("""COMPUTED_VALUE"""),44776)</f>
        <v>44776</v>
      </c>
      <c r="B1082" s="6" t="str">
        <f ca="1">IFERROR(__xludf.DUMMYFUNCTION("""COMPUTED_VALUE"""),"ZRC - AI-powered HVAC solutions _2022")</f>
        <v>ZRC - AI-powered HVAC solutions _2022</v>
      </c>
      <c r="C1082" s="6">
        <f ca="1">IFERROR(__xludf.DUMMYFUNCTION("""COMPUTED_VALUE"""),1)</f>
        <v>1</v>
      </c>
      <c r="D1082" s="6" t="str">
        <f ca="1">IFERROR(__xludf.DUMMYFUNCTION("""COMPUTED_VALUE"""),"Deep Tech")</f>
        <v>Deep Tech</v>
      </c>
      <c r="E1082" s="6" t="str">
        <f ca="1">IFERROR(__xludf.DUMMYFUNCTION("""COMPUTED_VALUE"""),"Invite Next Year")</f>
        <v>Invite Next Year</v>
      </c>
      <c r="F1082" s="6" t="e">
        <f t="shared" ca="1" si="4"/>
        <v>#NAME?</v>
      </c>
    </row>
    <row r="1083" spans="1:6">
      <c r="A1083" s="199">
        <f ca="1">IFERROR(__xludf.DUMMYFUNCTION("""COMPUTED_VALUE"""),44776)</f>
        <v>44776</v>
      </c>
      <c r="B1083" s="6" t="str">
        <f ca="1">IFERROR(__xludf.DUMMYFUNCTION("""COMPUTED_VALUE"""),"Iocure, Inc. _2022")</f>
        <v>Iocure, Inc. _2022</v>
      </c>
      <c r="C1083" s="6">
        <f ca="1">IFERROR(__xludf.DUMMYFUNCTION("""COMPUTED_VALUE"""),1)</f>
        <v>1</v>
      </c>
      <c r="D1083" s="6" t="str">
        <f ca="1">IFERROR(__xludf.DUMMYFUNCTION("""COMPUTED_VALUE"""),"Life Sciences")</f>
        <v>Life Sciences</v>
      </c>
      <c r="E1083" s="6" t="str">
        <f ca="1">IFERROR(__xludf.DUMMYFUNCTION("""COMPUTED_VALUE"""),"Invite Next Year")</f>
        <v>Invite Next Year</v>
      </c>
      <c r="F1083" s="6" t="e">
        <f t="shared" ca="1" si="4"/>
        <v>#NAME?</v>
      </c>
    </row>
    <row r="1084" spans="1:6">
      <c r="A1084" s="199">
        <f ca="1">IFERROR(__xludf.DUMMYFUNCTION("""COMPUTED_VALUE"""),44776)</f>
        <v>44776</v>
      </c>
      <c r="B1084" s="6" t="str">
        <f ca="1">IFERROR(__xludf.DUMMYFUNCTION("""COMPUTED_VALUE"""),"Ndal Mfg Inc, Dba Ndal Biofilm Medical Group,  _2022")</f>
        <v>Ndal Mfg Inc, Dba Ndal Biofilm Medical Group,  _2022</v>
      </c>
      <c r="C1084" s="6">
        <f ca="1">IFERROR(__xludf.DUMMYFUNCTION("""COMPUTED_VALUE"""),1)</f>
        <v>1</v>
      </c>
      <c r="D1084" s="6" t="str">
        <f ca="1">IFERROR(__xludf.DUMMYFUNCTION("""COMPUTED_VALUE"""),"Life Sciences")</f>
        <v>Life Sciences</v>
      </c>
      <c r="E1084" s="6" t="str">
        <f ca="1">IFERROR(__xludf.DUMMYFUNCTION("""COMPUTED_VALUE"""),"Invite Next Year")</f>
        <v>Invite Next Year</v>
      </c>
      <c r="F1084" s="6" t="e">
        <f t="shared" ca="1" si="4"/>
        <v>#NAME?</v>
      </c>
    </row>
    <row r="1085" spans="1:6">
      <c r="A1085" s="199">
        <f ca="1">IFERROR(__xludf.DUMMYFUNCTION("""COMPUTED_VALUE"""),44782)</f>
        <v>44782</v>
      </c>
      <c r="B1085" s="6" t="str">
        <f ca="1">IFERROR(__xludf.DUMMYFUNCTION("""COMPUTED_VALUE"""),"Novamp Pharma Pack _2022")</f>
        <v>Novamp Pharma Pack _2022</v>
      </c>
      <c r="C1085" s="6">
        <f ca="1">IFERROR(__xludf.DUMMYFUNCTION("""COMPUTED_VALUE"""),1)</f>
        <v>1</v>
      </c>
      <c r="D1085" s="6" t="str">
        <f ca="1">IFERROR(__xludf.DUMMYFUNCTION("""COMPUTED_VALUE"""),"Life Sciences")</f>
        <v>Life Sciences</v>
      </c>
      <c r="E1085" s="6" t="str">
        <f ca="1">IFERROR(__xludf.DUMMYFUNCTION("""COMPUTED_VALUE"""),"Invite Next Year")</f>
        <v>Invite Next Year</v>
      </c>
      <c r="F1085" s="6" t="e">
        <f t="shared" ca="1" si="4"/>
        <v>#NAME?</v>
      </c>
    </row>
    <row r="1086" spans="1:6">
      <c r="A1086" s="199">
        <f ca="1">IFERROR(__xludf.DUMMYFUNCTION("""COMPUTED_VALUE"""),44782)</f>
        <v>44782</v>
      </c>
      <c r="B1086" s="6" t="str">
        <f ca="1">IFERROR(__xludf.DUMMYFUNCTION("""COMPUTED_VALUE"""),"Foundhowt _2022")</f>
        <v>Foundhowt _2022</v>
      </c>
      <c r="C1086" s="6">
        <f ca="1">IFERROR(__xludf.DUMMYFUNCTION("""COMPUTED_VALUE"""),1)</f>
        <v>1</v>
      </c>
      <c r="D1086" s="6" t="str">
        <f ca="1">IFERROR(__xludf.DUMMYFUNCTION("""COMPUTED_VALUE"""),"Digital Tech")</f>
        <v>Digital Tech</v>
      </c>
      <c r="E1086" s="6" t="str">
        <f ca="1">IFERROR(__xludf.DUMMYFUNCTION("""COMPUTED_VALUE"""),"Invite Next Year")</f>
        <v>Invite Next Year</v>
      </c>
      <c r="F1086" s="6" t="e">
        <f t="shared" ca="1" si="4"/>
        <v>#NAME?</v>
      </c>
    </row>
    <row r="1087" spans="1:6">
      <c r="A1087" s="199">
        <f ca="1">IFERROR(__xludf.DUMMYFUNCTION("""COMPUTED_VALUE"""),44782)</f>
        <v>44782</v>
      </c>
      <c r="B1087" s="6" t="str">
        <f ca="1">IFERROR(__xludf.DUMMYFUNCTION("""COMPUTED_VALUE"""),"Oral FLuid Testing Labs LLC _2022")</f>
        <v>Oral FLuid Testing Labs LLC _2022</v>
      </c>
      <c r="C1087" s="6">
        <f ca="1">IFERROR(__xludf.DUMMYFUNCTION("""COMPUTED_VALUE"""),1)</f>
        <v>1</v>
      </c>
      <c r="D1087" s="6" t="str">
        <f ca="1">IFERROR(__xludf.DUMMYFUNCTION("""COMPUTED_VALUE"""),"Life Sciences")</f>
        <v>Life Sciences</v>
      </c>
      <c r="E1087" s="6" t="str">
        <f ca="1">IFERROR(__xludf.DUMMYFUNCTION("""COMPUTED_VALUE"""),"Invite Next Year")</f>
        <v>Invite Next Year</v>
      </c>
      <c r="F1087" s="6" t="e">
        <f t="shared" ca="1" si="4"/>
        <v>#NAME?</v>
      </c>
    </row>
    <row r="1088" spans="1:6">
      <c r="A1088" s="199">
        <f ca="1">IFERROR(__xludf.DUMMYFUNCTION("""COMPUTED_VALUE"""),44782)</f>
        <v>44782</v>
      </c>
      <c r="B1088" s="6" t="str">
        <f ca="1">IFERROR(__xludf.DUMMYFUNCTION("""COMPUTED_VALUE"""),"Brigade Automation Corporation LLC _2022")</f>
        <v>Brigade Automation Corporation LLC _2022</v>
      </c>
      <c r="C1088" s="6">
        <f ca="1">IFERROR(__xludf.DUMMYFUNCTION("""COMPUTED_VALUE"""),1)</f>
        <v>1</v>
      </c>
      <c r="D1088" s="6" t="str">
        <f ca="1">IFERROR(__xludf.DUMMYFUNCTION("""COMPUTED_VALUE"""),"Life Sciences")</f>
        <v>Life Sciences</v>
      </c>
      <c r="E1088" s="6" t="str">
        <f ca="1">IFERROR(__xludf.DUMMYFUNCTION("""COMPUTED_VALUE"""),"Invite Next Year")</f>
        <v>Invite Next Year</v>
      </c>
      <c r="F1088" s="6" t="e">
        <f t="shared" ca="1" si="4"/>
        <v>#NAME?</v>
      </c>
    </row>
    <row r="1089" spans="1:6">
      <c r="A1089" s="199">
        <f ca="1">IFERROR(__xludf.DUMMYFUNCTION("""COMPUTED_VALUE"""),44784)</f>
        <v>44784</v>
      </c>
      <c r="B1089" s="6" t="str">
        <f ca="1">IFERROR(__xludf.DUMMYFUNCTION("""COMPUTED_VALUE"""),"IceBeanie  _2022")</f>
        <v>IceBeanie  _2022</v>
      </c>
      <c r="C1089" s="6">
        <f ca="1">IFERROR(__xludf.DUMMYFUNCTION("""COMPUTED_VALUE"""),1)</f>
        <v>1</v>
      </c>
      <c r="D1089" s="6" t="str">
        <f ca="1">IFERROR(__xludf.DUMMYFUNCTION("""COMPUTED_VALUE"""),"Life Sciences")</f>
        <v>Life Sciences</v>
      </c>
      <c r="E1089" s="6" t="str">
        <f ca="1">IFERROR(__xludf.DUMMYFUNCTION("""COMPUTED_VALUE"""),"Invite Next Year")</f>
        <v>Invite Next Year</v>
      </c>
      <c r="F1089" s="6" t="e">
        <f t="shared" ca="1" si="4"/>
        <v>#NAME?</v>
      </c>
    </row>
    <row r="1090" spans="1:6">
      <c r="A1090" s="199">
        <f ca="1">IFERROR(__xludf.DUMMYFUNCTION("""COMPUTED_VALUE"""),44784)</f>
        <v>44784</v>
      </c>
      <c r="B1090" s="6" t="str">
        <f ca="1">IFERROR(__xludf.DUMMYFUNCTION("""COMPUTED_VALUE"""),"Neo Xenia Biotech _2022")</f>
        <v>Neo Xenia Biotech _2022</v>
      </c>
      <c r="C1090" s="6">
        <f ca="1">IFERROR(__xludf.DUMMYFUNCTION("""COMPUTED_VALUE"""),1)</f>
        <v>1</v>
      </c>
      <c r="D1090" s="6" t="str">
        <f ca="1">IFERROR(__xludf.DUMMYFUNCTION("""COMPUTED_VALUE"""),"Life Sciences")</f>
        <v>Life Sciences</v>
      </c>
      <c r="E1090" s="6" t="str">
        <f ca="1">IFERROR(__xludf.DUMMYFUNCTION("""COMPUTED_VALUE"""),"Invite Next Year")</f>
        <v>Invite Next Year</v>
      </c>
      <c r="F1090" s="6" t="e">
        <f t="shared" ca="1" si="4"/>
        <v>#NAME?</v>
      </c>
    </row>
    <row r="1091" spans="1:6">
      <c r="A1091" s="199">
        <f ca="1">IFERROR(__xludf.DUMMYFUNCTION("""COMPUTED_VALUE"""),44784)</f>
        <v>44784</v>
      </c>
      <c r="B1091" s="6" t="str">
        <f ca="1">IFERROR(__xludf.DUMMYFUNCTION("""COMPUTED_VALUE"""),"Al-Hadi International Trading (SMC-Private) Limited _2022")</f>
        <v>Al-Hadi International Trading (SMC-Private) Limited _2022</v>
      </c>
      <c r="C1091" s="6">
        <f ca="1">IFERROR(__xludf.DUMMYFUNCTION("""COMPUTED_VALUE"""),1)</f>
        <v>1</v>
      </c>
      <c r="D1091" s="6" t="str">
        <f ca="1">IFERROR(__xludf.DUMMYFUNCTION("""COMPUTED_VALUE"""),"Digital Tech")</f>
        <v>Digital Tech</v>
      </c>
      <c r="E1091" s="6" t="str">
        <f ca="1">IFERROR(__xludf.DUMMYFUNCTION("""COMPUTED_VALUE"""),"Invite Next Year")</f>
        <v>Invite Next Year</v>
      </c>
      <c r="F1091" s="6" t="e">
        <f t="shared" ca="1" si="4"/>
        <v>#NAME?</v>
      </c>
    </row>
    <row r="1092" spans="1:6">
      <c r="A1092" s="199">
        <f ca="1">IFERROR(__xludf.DUMMYFUNCTION("""COMPUTED_VALUE"""),44784)</f>
        <v>44784</v>
      </c>
      <c r="B1092" s="6" t="str">
        <f ca="1">IFERROR(__xludf.DUMMYFUNCTION("""COMPUTED_VALUE"""),"Dream Tea NYC _2022")</f>
        <v>Dream Tea NYC _2022</v>
      </c>
      <c r="C1092" s="6">
        <f ca="1">IFERROR(__xludf.DUMMYFUNCTION("""COMPUTED_VALUE"""),1)</f>
        <v>1</v>
      </c>
      <c r="D1092" s="6" t="str">
        <f ca="1">IFERROR(__xludf.DUMMYFUNCTION("""COMPUTED_VALUE"""),"Life Sciences")</f>
        <v>Life Sciences</v>
      </c>
      <c r="E1092" s="6" t="str">
        <f ca="1">IFERROR(__xludf.DUMMYFUNCTION("""COMPUTED_VALUE"""),"Invite Next Year")</f>
        <v>Invite Next Year</v>
      </c>
      <c r="F1092" s="6" t="e">
        <f t="shared" ca="1" si="4"/>
        <v>#NAME?</v>
      </c>
    </row>
    <row r="1093" spans="1:6">
      <c r="A1093" s="199">
        <f ca="1">IFERROR(__xludf.DUMMYFUNCTION("""COMPUTED_VALUE"""),44784)</f>
        <v>44784</v>
      </c>
      <c r="B1093" s="6" t="str">
        <f ca="1">IFERROR(__xludf.DUMMYFUNCTION("""COMPUTED_VALUE"""),"LYK INC _2022")</f>
        <v>LYK INC _2022</v>
      </c>
      <c r="C1093" s="6">
        <f ca="1">IFERROR(__xludf.DUMMYFUNCTION("""COMPUTED_VALUE"""),1)</f>
        <v>1</v>
      </c>
      <c r="D1093" s="6" t="str">
        <f ca="1">IFERROR(__xludf.DUMMYFUNCTION("""COMPUTED_VALUE"""),"Digital Tech")</f>
        <v>Digital Tech</v>
      </c>
      <c r="E1093" s="6" t="str">
        <f ca="1">IFERROR(__xludf.DUMMYFUNCTION("""COMPUTED_VALUE"""),"Invite Next Year")</f>
        <v>Invite Next Year</v>
      </c>
      <c r="F1093" s="6" t="e">
        <f t="shared" ca="1" si="4"/>
        <v>#NAME?</v>
      </c>
    </row>
    <row r="1094" spans="1:6">
      <c r="A1094" s="199">
        <f ca="1">IFERROR(__xludf.DUMMYFUNCTION("""COMPUTED_VALUE"""),44784)</f>
        <v>44784</v>
      </c>
      <c r="B1094" s="6" t="str">
        <f ca="1">IFERROR(__xludf.DUMMYFUNCTION("""COMPUTED_VALUE"""),"Pool Party Co. _2022")</f>
        <v>Pool Party Co. _2022</v>
      </c>
      <c r="C1094" s="6">
        <f ca="1">IFERROR(__xludf.DUMMYFUNCTION("""COMPUTED_VALUE"""),1)</f>
        <v>1</v>
      </c>
      <c r="D1094" s="6" t="str">
        <f ca="1">IFERROR(__xludf.DUMMYFUNCTION("""COMPUTED_VALUE"""),"Digital Tech")</f>
        <v>Digital Tech</v>
      </c>
      <c r="E1094" s="6" t="str">
        <f ca="1">IFERROR(__xludf.DUMMYFUNCTION("""COMPUTED_VALUE"""),"Invite Next Year")</f>
        <v>Invite Next Year</v>
      </c>
      <c r="F1094" s="6" t="e">
        <f t="shared" ca="1" si="4"/>
        <v>#NAME?</v>
      </c>
    </row>
    <row r="1095" spans="1:6">
      <c r="A1095" s="199">
        <f ca="1">IFERROR(__xludf.DUMMYFUNCTION("""COMPUTED_VALUE"""),44789)</f>
        <v>44789</v>
      </c>
      <c r="B1095" s="6" t="str">
        <f ca="1">IFERROR(__xludf.DUMMYFUNCTION("""COMPUTED_VALUE"""),"Ndal Mfg Inc., Biofilm Medical _2022")</f>
        <v>Ndal Mfg Inc., Biofilm Medical _2022</v>
      </c>
      <c r="C1095" s="6">
        <f ca="1">IFERROR(__xludf.DUMMYFUNCTION("""COMPUTED_VALUE"""),1)</f>
        <v>1</v>
      </c>
      <c r="D1095" s="6" t="str">
        <f ca="1">IFERROR(__xludf.DUMMYFUNCTION("""COMPUTED_VALUE"""),"Life Sciences")</f>
        <v>Life Sciences</v>
      </c>
      <c r="E1095" s="6" t="str">
        <f ca="1">IFERROR(__xludf.DUMMYFUNCTION("""COMPUTED_VALUE"""),"Invite Next Year")</f>
        <v>Invite Next Year</v>
      </c>
      <c r="F1095" s="6" t="e">
        <f t="shared" ca="1" si="4"/>
        <v>#NAME?</v>
      </c>
    </row>
    <row r="1096" spans="1:6">
      <c r="A1096" s="199">
        <f ca="1">IFERROR(__xludf.DUMMYFUNCTION("""COMPUTED_VALUE"""),44789)</f>
        <v>44789</v>
      </c>
      <c r="B1096" s="6" t="str">
        <f ca="1">IFERROR(__xludf.DUMMYFUNCTION("""COMPUTED_VALUE"""),"sustaident _2022")</f>
        <v>sustaident _2022</v>
      </c>
      <c r="C1096" s="6">
        <f ca="1">IFERROR(__xludf.DUMMYFUNCTION("""COMPUTED_VALUE"""),1)</f>
        <v>1</v>
      </c>
      <c r="D1096" s="6" t="str">
        <f ca="1">IFERROR(__xludf.DUMMYFUNCTION("""COMPUTED_VALUE"""),"Life Sciences")</f>
        <v>Life Sciences</v>
      </c>
      <c r="E1096" s="6" t="str">
        <f ca="1">IFERROR(__xludf.DUMMYFUNCTION("""COMPUTED_VALUE"""),"Invite Next Year")</f>
        <v>Invite Next Year</v>
      </c>
      <c r="F1096" s="6" t="e">
        <f t="shared" ca="1" si="4"/>
        <v>#NAME?</v>
      </c>
    </row>
    <row r="1097" spans="1:6">
      <c r="A1097" s="199">
        <f ca="1">IFERROR(__xludf.DUMMYFUNCTION("""COMPUTED_VALUE"""),44791)</f>
        <v>44791</v>
      </c>
      <c r="B1097" s="6" t="str">
        <f ca="1">IFERROR(__xludf.DUMMYFUNCTION("""COMPUTED_VALUE"""),"MUST HAD _2022")</f>
        <v>MUST HAD _2022</v>
      </c>
      <c r="C1097" s="6">
        <f ca="1">IFERROR(__xludf.DUMMYFUNCTION("""COMPUTED_VALUE"""),1)</f>
        <v>1</v>
      </c>
      <c r="D1097" s="6" t="str">
        <f ca="1">IFERROR(__xludf.DUMMYFUNCTION("""COMPUTED_VALUE"""),"Digital Tech")</f>
        <v>Digital Tech</v>
      </c>
      <c r="E1097" s="6" t="str">
        <f ca="1">IFERROR(__xludf.DUMMYFUNCTION("""COMPUTED_VALUE"""),"Invite Next Year")</f>
        <v>Invite Next Year</v>
      </c>
      <c r="F1097" s="6" t="e">
        <f t="shared" ca="1" si="4"/>
        <v>#NAME?</v>
      </c>
    </row>
    <row r="1098" spans="1:6">
      <c r="A1098" s="199">
        <f ca="1">IFERROR(__xludf.DUMMYFUNCTION("""COMPUTED_VALUE"""),44791)</f>
        <v>44791</v>
      </c>
      <c r="B1098" s="6" t="str">
        <f ca="1">IFERROR(__xludf.DUMMYFUNCTION("""COMPUTED_VALUE"""),"MyArtVisit _2022")</f>
        <v>MyArtVisit _2022</v>
      </c>
      <c r="C1098" s="6">
        <f ca="1">IFERROR(__xludf.DUMMYFUNCTION("""COMPUTED_VALUE"""),1)</f>
        <v>1</v>
      </c>
      <c r="D1098" s="6" t="str">
        <f ca="1">IFERROR(__xludf.DUMMYFUNCTION("""COMPUTED_VALUE"""),"Digital Tech")</f>
        <v>Digital Tech</v>
      </c>
      <c r="E1098" s="6" t="str">
        <f ca="1">IFERROR(__xludf.DUMMYFUNCTION("""COMPUTED_VALUE"""),"Invite Next Year")</f>
        <v>Invite Next Year</v>
      </c>
      <c r="F1098" s="6" t="e">
        <f t="shared" ca="1" si="4"/>
        <v>#NAME?</v>
      </c>
    </row>
    <row r="1099" spans="1:6">
      <c r="A1099" s="199">
        <f ca="1">IFERROR(__xludf.DUMMYFUNCTION("""COMPUTED_VALUE"""),44791)</f>
        <v>44791</v>
      </c>
      <c r="B1099" s="6" t="str">
        <f ca="1">IFERROR(__xludf.DUMMYFUNCTION("""COMPUTED_VALUE"""),"MAE  _2022")</f>
        <v>MAE  _2022</v>
      </c>
      <c r="C1099" s="6">
        <f ca="1">IFERROR(__xludf.DUMMYFUNCTION("""COMPUTED_VALUE"""),1)</f>
        <v>1</v>
      </c>
      <c r="D1099" s="6" t="str">
        <f ca="1">IFERROR(__xludf.DUMMYFUNCTION("""COMPUTED_VALUE"""),"Digital Tech")</f>
        <v>Digital Tech</v>
      </c>
      <c r="E1099" s="6" t="str">
        <f ca="1">IFERROR(__xludf.DUMMYFUNCTION("""COMPUTED_VALUE"""),"Invite Next Year")</f>
        <v>Invite Next Year</v>
      </c>
      <c r="F1099" s="6" t="e">
        <f t="shared" ca="1" si="4"/>
        <v>#NAME?</v>
      </c>
    </row>
    <row r="1100" spans="1:6">
      <c r="A1100" s="199">
        <f ca="1">IFERROR(__xludf.DUMMYFUNCTION("""COMPUTED_VALUE"""),44791)</f>
        <v>44791</v>
      </c>
      <c r="B1100" s="6" t="str">
        <f ca="1">IFERROR(__xludf.DUMMYFUNCTION("""COMPUTED_VALUE"""),"Blockant.io _2022")</f>
        <v>Blockant.io _2022</v>
      </c>
      <c r="C1100" s="6">
        <f ca="1">IFERROR(__xludf.DUMMYFUNCTION("""COMPUTED_VALUE"""),1)</f>
        <v>1</v>
      </c>
      <c r="D1100" s="6" t="str">
        <f ca="1">IFERROR(__xludf.DUMMYFUNCTION("""COMPUTED_VALUE"""),"Digital Tech")</f>
        <v>Digital Tech</v>
      </c>
      <c r="E1100" s="6" t="str">
        <f ca="1">IFERROR(__xludf.DUMMYFUNCTION("""COMPUTED_VALUE"""),"Invite Next Year")</f>
        <v>Invite Next Year</v>
      </c>
      <c r="F1100" s="6" t="e">
        <f t="shared" ca="1" si="4"/>
        <v>#NAME?</v>
      </c>
    </row>
    <row r="1101" spans="1:6">
      <c r="A1101" s="199">
        <f ca="1">IFERROR(__xludf.DUMMYFUNCTION("""COMPUTED_VALUE"""),44791)</f>
        <v>44791</v>
      </c>
      <c r="B1101" s="6" t="str">
        <f ca="1">IFERROR(__xludf.DUMMYFUNCTION("""COMPUTED_VALUE"""),"alpha.one _2022")</f>
        <v>alpha.one _2022</v>
      </c>
      <c r="C1101" s="6">
        <f ca="1">IFERROR(__xludf.DUMMYFUNCTION("""COMPUTED_VALUE"""),1)</f>
        <v>1</v>
      </c>
      <c r="D1101" s="6" t="str">
        <f ca="1">IFERROR(__xludf.DUMMYFUNCTION("""COMPUTED_VALUE"""),"Digital Tech")</f>
        <v>Digital Tech</v>
      </c>
      <c r="E1101" s="6" t="str">
        <f ca="1">IFERROR(__xludf.DUMMYFUNCTION("""COMPUTED_VALUE"""),"Invite Next Year")</f>
        <v>Invite Next Year</v>
      </c>
      <c r="F1101" s="6" t="e">
        <f t="shared" ca="1" si="4"/>
        <v>#NAME?</v>
      </c>
    </row>
    <row r="1102" spans="1:6">
      <c r="A1102" s="199">
        <f ca="1">IFERROR(__xludf.DUMMYFUNCTION("""COMPUTED_VALUE"""),44791)</f>
        <v>44791</v>
      </c>
      <c r="B1102" s="6" t="str">
        <f ca="1">IFERROR(__xludf.DUMMYFUNCTION("""COMPUTED_VALUE"""),"Nutrarte LLC, Nutrarte SAS _2022")</f>
        <v>Nutrarte LLC, Nutrarte SAS _2022</v>
      </c>
      <c r="C1102" s="6">
        <f ca="1">IFERROR(__xludf.DUMMYFUNCTION("""COMPUTED_VALUE"""),1)</f>
        <v>1</v>
      </c>
      <c r="D1102" s="6" t="str">
        <f ca="1">IFERROR(__xludf.DUMMYFUNCTION("""COMPUTED_VALUE"""),"Life Sciences")</f>
        <v>Life Sciences</v>
      </c>
      <c r="E1102" s="6" t="str">
        <f ca="1">IFERROR(__xludf.DUMMYFUNCTION("""COMPUTED_VALUE"""),"Invite Next Year")</f>
        <v>Invite Next Year</v>
      </c>
      <c r="F1102" s="6" t="e">
        <f t="shared" ca="1" si="4"/>
        <v>#NAME?</v>
      </c>
    </row>
    <row r="1103" spans="1:6">
      <c r="A1103" s="199">
        <f ca="1">IFERROR(__xludf.DUMMYFUNCTION("""COMPUTED_VALUE"""),44791)</f>
        <v>44791</v>
      </c>
      <c r="B1103" s="6" t="str">
        <f ca="1">IFERROR(__xludf.DUMMYFUNCTION("""COMPUTED_VALUE"""),"Sprayify (formerly known as Coatify) _2022")</f>
        <v>Sprayify (formerly known as Coatify) _2022</v>
      </c>
      <c r="C1103" s="6">
        <f ca="1">IFERROR(__xludf.DUMMYFUNCTION("""COMPUTED_VALUE"""),1)</f>
        <v>1</v>
      </c>
      <c r="D1103" s="6" t="str">
        <f ca="1">IFERROR(__xludf.DUMMYFUNCTION("""COMPUTED_VALUE"""),"Life Sciences")</f>
        <v>Life Sciences</v>
      </c>
      <c r="E1103" s="6" t="str">
        <f ca="1">IFERROR(__xludf.DUMMYFUNCTION("""COMPUTED_VALUE"""),"Invite Next Year")</f>
        <v>Invite Next Year</v>
      </c>
      <c r="F1103" s="6" t="e">
        <f t="shared" ca="1" si="4"/>
        <v>#NAME?</v>
      </c>
    </row>
    <row r="1104" spans="1:6">
      <c r="A1104" s="199">
        <f ca="1">IFERROR(__xludf.DUMMYFUNCTION("""COMPUTED_VALUE"""),44796)</f>
        <v>44796</v>
      </c>
      <c r="B1104" s="6" t="str">
        <f ca="1">IFERROR(__xludf.DUMMYFUNCTION("""COMPUTED_VALUE"""),"Avatar Interview Training _2022")</f>
        <v>Avatar Interview Training _2022</v>
      </c>
      <c r="C1104" s="6">
        <f ca="1">IFERROR(__xludf.DUMMYFUNCTION("""COMPUTED_VALUE"""),1)</f>
        <v>1</v>
      </c>
      <c r="D1104" s="6" t="str">
        <f ca="1">IFERROR(__xludf.DUMMYFUNCTION("""COMPUTED_VALUE"""),"Digital Tech")</f>
        <v>Digital Tech</v>
      </c>
      <c r="E1104" s="6" t="str">
        <f ca="1">IFERROR(__xludf.DUMMYFUNCTION("""COMPUTED_VALUE"""),"Invite Next Year")</f>
        <v>Invite Next Year</v>
      </c>
      <c r="F1104" s="6" t="e">
        <f t="shared" ca="1" si="4"/>
        <v>#NAME?</v>
      </c>
    </row>
    <row r="1105" spans="1:6">
      <c r="A1105" s="199">
        <f ca="1">IFERROR(__xludf.DUMMYFUNCTION("""COMPUTED_VALUE"""),44796)</f>
        <v>44796</v>
      </c>
      <c r="B1105" s="6" t="str">
        <f ca="1">IFERROR(__xludf.DUMMYFUNCTION("""COMPUTED_VALUE"""),"Raylon (subject to change) _2022")</f>
        <v>Raylon (subject to change) _2022</v>
      </c>
      <c r="C1105" s="6">
        <f ca="1">IFERROR(__xludf.DUMMYFUNCTION("""COMPUTED_VALUE"""),1)</f>
        <v>1</v>
      </c>
      <c r="D1105" s="6" t="str">
        <f ca="1">IFERROR(__xludf.DUMMYFUNCTION("""COMPUTED_VALUE"""),"Digital Tech")</f>
        <v>Digital Tech</v>
      </c>
      <c r="E1105" s="6" t="str">
        <f ca="1">IFERROR(__xludf.DUMMYFUNCTION("""COMPUTED_VALUE"""),"Invite Next Year")</f>
        <v>Invite Next Year</v>
      </c>
      <c r="F1105" s="6" t="e">
        <f t="shared" ca="1" si="4"/>
        <v>#NAME?</v>
      </c>
    </row>
    <row r="1106" spans="1:6">
      <c r="A1106" s="199">
        <f ca="1">IFERROR(__xludf.DUMMYFUNCTION("""COMPUTED_VALUE"""),44796)</f>
        <v>44796</v>
      </c>
      <c r="B1106" s="6" t="str">
        <f ca="1">IFERROR(__xludf.DUMMYFUNCTION("""COMPUTED_VALUE"""),"BWISECORP Blue Whale Invention Safety Energy Corporation  _2022")</f>
        <v>BWISECORP Blue Whale Invention Safety Energy Corporation  _2022</v>
      </c>
      <c r="C1106" s="6">
        <f ca="1">IFERROR(__xludf.DUMMYFUNCTION("""COMPUTED_VALUE"""),1)</f>
        <v>1</v>
      </c>
      <c r="D1106" s="6" t="str">
        <f ca="1">IFERROR(__xludf.DUMMYFUNCTION("""COMPUTED_VALUE"""),"Life Sciences")</f>
        <v>Life Sciences</v>
      </c>
      <c r="E1106" s="6" t="str">
        <f ca="1">IFERROR(__xludf.DUMMYFUNCTION("""COMPUTED_VALUE"""),"Invite Next Year")</f>
        <v>Invite Next Year</v>
      </c>
      <c r="F1106" s="6" t="e">
        <f t="shared" ca="1" si="4"/>
        <v>#NAME?</v>
      </c>
    </row>
    <row r="1107" spans="1:6">
      <c r="A1107" s="199">
        <f ca="1">IFERROR(__xludf.DUMMYFUNCTION("""COMPUTED_VALUE"""),44796)</f>
        <v>44796</v>
      </c>
      <c r="B1107" s="6" t="str">
        <f ca="1">IFERROR(__xludf.DUMMYFUNCTION("""COMPUTED_VALUE"""),"Goody Basket Games, LLC _2022")</f>
        <v>Goody Basket Games, LLC _2022</v>
      </c>
      <c r="C1107" s="6">
        <f ca="1">IFERROR(__xludf.DUMMYFUNCTION("""COMPUTED_VALUE"""),1)</f>
        <v>1</v>
      </c>
      <c r="D1107" s="6" t="str">
        <f ca="1">IFERROR(__xludf.DUMMYFUNCTION("""COMPUTED_VALUE"""),"Digital Tech")</f>
        <v>Digital Tech</v>
      </c>
      <c r="E1107" s="6" t="str">
        <f ca="1">IFERROR(__xludf.DUMMYFUNCTION("""COMPUTED_VALUE"""),"Invite Next Year")</f>
        <v>Invite Next Year</v>
      </c>
      <c r="F1107" s="6" t="e">
        <f t="shared" ca="1" si="4"/>
        <v>#NAME?</v>
      </c>
    </row>
    <row r="1108" spans="1:6">
      <c r="A1108" s="199">
        <f ca="1">IFERROR(__xludf.DUMMYFUNCTION("""COMPUTED_VALUE"""),44796)</f>
        <v>44796</v>
      </c>
      <c r="B1108" s="6" t="str">
        <f ca="1">IFERROR(__xludf.DUMMYFUNCTION("""COMPUTED_VALUE"""),"MetaPals _2022")</f>
        <v>MetaPals _2022</v>
      </c>
      <c r="C1108" s="6">
        <f ca="1">IFERROR(__xludf.DUMMYFUNCTION("""COMPUTED_VALUE"""),1)</f>
        <v>1</v>
      </c>
      <c r="D1108" s="6" t="str">
        <f ca="1">IFERROR(__xludf.DUMMYFUNCTION("""COMPUTED_VALUE"""),"Digital Tech")</f>
        <v>Digital Tech</v>
      </c>
      <c r="E1108" s="6" t="str">
        <f ca="1">IFERROR(__xludf.DUMMYFUNCTION("""COMPUTED_VALUE"""),"Invite Next Year")</f>
        <v>Invite Next Year</v>
      </c>
      <c r="F1108" s="6" t="e">
        <f t="shared" ca="1" si="4"/>
        <v>#NAME?</v>
      </c>
    </row>
    <row r="1109" spans="1:6">
      <c r="A1109" s="199">
        <f ca="1">IFERROR(__xludf.DUMMYFUNCTION("""COMPUTED_VALUE"""),44796)</f>
        <v>44796</v>
      </c>
      <c r="B1109" s="6" t="str">
        <f ca="1">IFERROR(__xludf.DUMMYFUNCTION("""COMPUTED_VALUE"""),"MOBU _2022")</f>
        <v>MOBU _2022</v>
      </c>
      <c r="C1109" s="6">
        <f ca="1">IFERROR(__xludf.DUMMYFUNCTION("""COMPUTED_VALUE"""),1)</f>
        <v>1</v>
      </c>
      <c r="D1109" s="6" t="str">
        <f ca="1">IFERROR(__xludf.DUMMYFUNCTION("""COMPUTED_VALUE"""),"Digital Tech")</f>
        <v>Digital Tech</v>
      </c>
      <c r="E1109" s="6" t="str">
        <f ca="1">IFERROR(__xludf.DUMMYFUNCTION("""COMPUTED_VALUE"""),"Invite Next Year")</f>
        <v>Invite Next Year</v>
      </c>
      <c r="F1109" s="6" t="e">
        <f t="shared" ca="1" si="4"/>
        <v>#NAME?</v>
      </c>
    </row>
    <row r="1110" spans="1:6">
      <c r="A1110" s="199">
        <f ca="1">IFERROR(__xludf.DUMMYFUNCTION("""COMPUTED_VALUE"""),44796)</f>
        <v>44796</v>
      </c>
      <c r="B1110" s="6" t="str">
        <f ca="1">IFERROR(__xludf.DUMMYFUNCTION("""COMPUTED_VALUE"""),"Intelpure  _2022")</f>
        <v>Intelpure  _2022</v>
      </c>
      <c r="C1110" s="6">
        <f ca="1">IFERROR(__xludf.DUMMYFUNCTION("""COMPUTED_VALUE"""),1)</f>
        <v>1</v>
      </c>
      <c r="D1110" s="6" t="str">
        <f ca="1">IFERROR(__xludf.DUMMYFUNCTION("""COMPUTED_VALUE"""),"Digital Tech")</f>
        <v>Digital Tech</v>
      </c>
      <c r="E1110" s="6" t="str">
        <f ca="1">IFERROR(__xludf.DUMMYFUNCTION("""COMPUTED_VALUE"""),"Invite Next Year")</f>
        <v>Invite Next Year</v>
      </c>
      <c r="F1110" s="6" t="e">
        <f t="shared" ca="1" si="4"/>
        <v>#NAME?</v>
      </c>
    </row>
    <row r="1111" spans="1:6">
      <c r="A1111" s="199">
        <f ca="1">IFERROR(__xludf.DUMMYFUNCTION("""COMPUTED_VALUE"""),44796)</f>
        <v>44796</v>
      </c>
      <c r="B1111" s="6" t="str">
        <f ca="1">IFERROR(__xludf.DUMMYFUNCTION("""COMPUTED_VALUE"""),"COMPOSTAME _2022")</f>
        <v>COMPOSTAME _2022</v>
      </c>
      <c r="C1111" s="6">
        <f ca="1">IFERROR(__xludf.DUMMYFUNCTION("""COMPUTED_VALUE"""),1)</f>
        <v>1</v>
      </c>
      <c r="D1111" s="6" t="str">
        <f ca="1">IFERROR(__xludf.DUMMYFUNCTION("""COMPUTED_VALUE"""),"Life Sciences")</f>
        <v>Life Sciences</v>
      </c>
      <c r="E1111" s="6" t="str">
        <f ca="1">IFERROR(__xludf.DUMMYFUNCTION("""COMPUTED_VALUE"""),"Invite Next Year")</f>
        <v>Invite Next Year</v>
      </c>
      <c r="F1111" s="6" t="e">
        <f t="shared" ca="1" si="4"/>
        <v>#NAME?</v>
      </c>
    </row>
    <row r="1112" spans="1:6">
      <c r="A1112" s="199">
        <f ca="1">IFERROR(__xludf.DUMMYFUNCTION("""COMPUTED_VALUE"""),44796)</f>
        <v>44796</v>
      </c>
      <c r="B1112" s="6" t="str">
        <f ca="1">IFERROR(__xludf.DUMMYFUNCTION("""COMPUTED_VALUE"""),"NewYou /ThePeopleChain/notyet _2022")</f>
        <v>NewYou /ThePeopleChain/notyet _2022</v>
      </c>
      <c r="C1112" s="6">
        <f ca="1">IFERROR(__xludf.DUMMYFUNCTION("""COMPUTED_VALUE"""),1)</f>
        <v>1</v>
      </c>
      <c r="D1112" s="6" t="str">
        <f ca="1">IFERROR(__xludf.DUMMYFUNCTION("""COMPUTED_VALUE"""),"Life Sciences")</f>
        <v>Life Sciences</v>
      </c>
      <c r="E1112" s="6" t="str">
        <f ca="1">IFERROR(__xludf.DUMMYFUNCTION("""COMPUTED_VALUE"""),"Invite Next Year")</f>
        <v>Invite Next Year</v>
      </c>
      <c r="F1112" s="6" t="e">
        <f t="shared" ca="1" si="4"/>
        <v>#NAME?</v>
      </c>
    </row>
    <row r="1113" spans="1:6">
      <c r="A1113" s="199">
        <f ca="1">IFERROR(__xludf.DUMMYFUNCTION("""COMPUTED_VALUE"""),44796)</f>
        <v>44796</v>
      </c>
      <c r="B1113" s="6" t="str">
        <f ca="1">IFERROR(__xludf.DUMMYFUNCTION("""COMPUTED_VALUE"""),"Upfront _2022")</f>
        <v>Upfront _2022</v>
      </c>
      <c r="C1113" s="6">
        <f ca="1">IFERROR(__xludf.DUMMYFUNCTION("""COMPUTED_VALUE"""),1)</f>
        <v>1</v>
      </c>
      <c r="D1113" s="6" t="str">
        <f ca="1">IFERROR(__xludf.DUMMYFUNCTION("""COMPUTED_VALUE"""),"Digital Tech")</f>
        <v>Digital Tech</v>
      </c>
      <c r="E1113" s="6" t="str">
        <f ca="1">IFERROR(__xludf.DUMMYFUNCTION("""COMPUTED_VALUE"""),"Invite Next Year")</f>
        <v>Invite Next Year</v>
      </c>
      <c r="F1113" s="6" t="e">
        <f t="shared" ca="1" si="4"/>
        <v>#NAME?</v>
      </c>
    </row>
    <row r="1114" spans="1:6">
      <c r="A1114" s="199">
        <f ca="1">IFERROR(__xludf.DUMMYFUNCTION("""COMPUTED_VALUE"""),44796)</f>
        <v>44796</v>
      </c>
      <c r="B1114" s="6" t="str">
        <f ca="1">IFERROR(__xludf.DUMMYFUNCTION("""COMPUTED_VALUE"""),"Edible Graveyards _2022")</f>
        <v>Edible Graveyards _2022</v>
      </c>
      <c r="C1114" s="6">
        <f ca="1">IFERROR(__xludf.DUMMYFUNCTION("""COMPUTED_VALUE"""),1)</f>
        <v>1</v>
      </c>
      <c r="D1114" s="6" t="str">
        <f ca="1">IFERROR(__xludf.DUMMYFUNCTION("""COMPUTED_VALUE"""),"Life Sciences")</f>
        <v>Life Sciences</v>
      </c>
      <c r="E1114" s="6" t="str">
        <f ca="1">IFERROR(__xludf.DUMMYFUNCTION("""COMPUTED_VALUE"""),"Invite Next Year")</f>
        <v>Invite Next Year</v>
      </c>
      <c r="F1114" s="6" t="e">
        <f t="shared" ca="1" si="4"/>
        <v>#NAME?</v>
      </c>
    </row>
    <row r="1115" spans="1:6">
      <c r="A1115" s="199">
        <f ca="1">IFERROR(__xludf.DUMMYFUNCTION("""COMPUTED_VALUE"""),44796)</f>
        <v>44796</v>
      </c>
      <c r="B1115" s="6" t="str">
        <f ca="1">IFERROR(__xludf.DUMMYFUNCTION("""COMPUTED_VALUE"""),"Ripplenity Inc. _2022")</f>
        <v>Ripplenity Inc. _2022</v>
      </c>
      <c r="C1115" s="6">
        <f ca="1">IFERROR(__xludf.DUMMYFUNCTION("""COMPUTED_VALUE"""),1)</f>
        <v>1</v>
      </c>
      <c r="D1115" s="6" t="str">
        <f ca="1">IFERROR(__xludf.DUMMYFUNCTION("""COMPUTED_VALUE"""),"Digital Tech")</f>
        <v>Digital Tech</v>
      </c>
      <c r="E1115" s="6" t="str">
        <f ca="1">IFERROR(__xludf.DUMMYFUNCTION("""COMPUTED_VALUE"""),"Invite Next Year")</f>
        <v>Invite Next Year</v>
      </c>
      <c r="F1115" s="6" t="e">
        <f t="shared" ca="1" si="4"/>
        <v>#NAME?</v>
      </c>
    </row>
    <row r="1116" spans="1:6">
      <c r="A1116" s="199">
        <f ca="1">IFERROR(__xludf.DUMMYFUNCTION("""COMPUTED_VALUE"""),44796)</f>
        <v>44796</v>
      </c>
      <c r="B1116" s="6" t="str">
        <f ca="1">IFERROR(__xludf.DUMMYFUNCTION("""COMPUTED_VALUE"""),"Ankler Media _2022")</f>
        <v>Ankler Media _2022</v>
      </c>
      <c r="C1116" s="6">
        <f ca="1">IFERROR(__xludf.DUMMYFUNCTION("""COMPUTED_VALUE"""),1)</f>
        <v>1</v>
      </c>
      <c r="D1116" s="6" t="str">
        <f ca="1">IFERROR(__xludf.DUMMYFUNCTION("""COMPUTED_VALUE"""),"Digital Tech")</f>
        <v>Digital Tech</v>
      </c>
      <c r="E1116" s="6" t="str">
        <f ca="1">IFERROR(__xludf.DUMMYFUNCTION("""COMPUTED_VALUE"""),"Invite Next Year")</f>
        <v>Invite Next Year</v>
      </c>
      <c r="F1116" s="6" t="e">
        <f t="shared" ca="1" si="4"/>
        <v>#NAME?</v>
      </c>
    </row>
    <row r="1117" spans="1:6">
      <c r="A1117" s="199">
        <f ca="1">IFERROR(__xludf.DUMMYFUNCTION("""COMPUTED_VALUE"""),44796)</f>
        <v>44796</v>
      </c>
      <c r="B1117" s="6" t="str">
        <f ca="1">IFERROR(__xludf.DUMMYFUNCTION("""COMPUTED_VALUE"""),"Breakthru _2022")</f>
        <v>Breakthru _2022</v>
      </c>
      <c r="C1117" s="6">
        <f ca="1">IFERROR(__xludf.DUMMYFUNCTION("""COMPUTED_VALUE"""),1)</f>
        <v>1</v>
      </c>
      <c r="D1117" s="6" t="str">
        <f ca="1">IFERROR(__xludf.DUMMYFUNCTION("""COMPUTED_VALUE"""),"Digital Tech")</f>
        <v>Digital Tech</v>
      </c>
      <c r="E1117" s="6" t="str">
        <f ca="1">IFERROR(__xludf.DUMMYFUNCTION("""COMPUTED_VALUE"""),"Invite Next Year")</f>
        <v>Invite Next Year</v>
      </c>
      <c r="F1117" s="6" t="e">
        <f t="shared" ca="1" si="4"/>
        <v>#NAME?</v>
      </c>
    </row>
    <row r="1118" spans="1:6">
      <c r="A1118" s="199">
        <f ca="1">IFERROR(__xludf.DUMMYFUNCTION("""COMPUTED_VALUE"""),44796)</f>
        <v>44796</v>
      </c>
      <c r="B1118" s="6" t="str">
        <f ca="1">IFERROR(__xludf.DUMMYFUNCTION("""COMPUTED_VALUE"""),"Videoster Inc. _2022")</f>
        <v>Videoster Inc. _2022</v>
      </c>
      <c r="C1118" s="6">
        <f ca="1">IFERROR(__xludf.DUMMYFUNCTION("""COMPUTED_VALUE"""),1)</f>
        <v>1</v>
      </c>
      <c r="D1118" s="6" t="str">
        <f ca="1">IFERROR(__xludf.DUMMYFUNCTION("""COMPUTED_VALUE"""),"Digital Tech")</f>
        <v>Digital Tech</v>
      </c>
      <c r="E1118" s="6" t="str">
        <f ca="1">IFERROR(__xludf.DUMMYFUNCTION("""COMPUTED_VALUE"""),"Invite Next Year")</f>
        <v>Invite Next Year</v>
      </c>
      <c r="F1118" s="6" t="e">
        <f t="shared" ca="1" si="4"/>
        <v>#NAME?</v>
      </c>
    </row>
    <row r="1119" spans="1:6">
      <c r="A1119" s="199">
        <f ca="1">IFERROR(__xludf.DUMMYFUNCTION("""COMPUTED_VALUE"""),44796)</f>
        <v>44796</v>
      </c>
      <c r="B1119" s="6" t="str">
        <f ca="1">IFERROR(__xludf.DUMMYFUNCTION("""COMPUTED_VALUE"""),"MechanicMe _2022")</f>
        <v>MechanicMe _2022</v>
      </c>
      <c r="C1119" s="6">
        <f ca="1">IFERROR(__xludf.DUMMYFUNCTION("""COMPUTED_VALUE"""),1)</f>
        <v>1</v>
      </c>
      <c r="D1119" s="6" t="str">
        <f ca="1">IFERROR(__xludf.DUMMYFUNCTION("""COMPUTED_VALUE"""),"Digital Tech")</f>
        <v>Digital Tech</v>
      </c>
      <c r="E1119" s="6" t="str">
        <f ca="1">IFERROR(__xludf.DUMMYFUNCTION("""COMPUTED_VALUE"""),"Invite Next Year")</f>
        <v>Invite Next Year</v>
      </c>
      <c r="F1119" s="6" t="e">
        <f t="shared" ca="1" si="4"/>
        <v>#NAME?</v>
      </c>
    </row>
    <row r="1120" spans="1:6">
      <c r="A1120" s="199">
        <f ca="1">IFERROR(__xludf.DUMMYFUNCTION("""COMPUTED_VALUE"""),44796)</f>
        <v>44796</v>
      </c>
      <c r="B1120" s="6" t="str">
        <f ca="1">IFERROR(__xludf.DUMMYFUNCTION("""COMPUTED_VALUE"""),"HeyLayer _2022")</f>
        <v>HeyLayer _2022</v>
      </c>
      <c r="C1120" s="6">
        <f ca="1">IFERROR(__xludf.DUMMYFUNCTION("""COMPUTED_VALUE"""),1)</f>
        <v>1</v>
      </c>
      <c r="D1120" s="6" t="str">
        <f ca="1">IFERROR(__xludf.DUMMYFUNCTION("""COMPUTED_VALUE"""),"Digital Tech")</f>
        <v>Digital Tech</v>
      </c>
      <c r="E1120" s="6" t="str">
        <f ca="1">IFERROR(__xludf.DUMMYFUNCTION("""COMPUTED_VALUE"""),"Invite Next Year")</f>
        <v>Invite Next Year</v>
      </c>
      <c r="F1120" s="6" t="e">
        <f t="shared" ca="1" si="4"/>
        <v>#NAME?</v>
      </c>
    </row>
    <row r="1121" spans="1:6">
      <c r="A1121" s="199">
        <f ca="1">IFERROR(__xludf.DUMMYFUNCTION("""COMPUTED_VALUE"""),44796)</f>
        <v>44796</v>
      </c>
      <c r="B1121" s="6" t="str">
        <f ca="1">IFERROR(__xludf.DUMMYFUNCTION("""COMPUTED_VALUE"""),"Res Bid _2022")</f>
        <v>Res Bid _2022</v>
      </c>
      <c r="C1121" s="6">
        <f ca="1">IFERROR(__xludf.DUMMYFUNCTION("""COMPUTED_VALUE"""),1)</f>
        <v>1</v>
      </c>
      <c r="D1121" s="6" t="str">
        <f ca="1">IFERROR(__xludf.DUMMYFUNCTION("""COMPUTED_VALUE"""),"Digital Tech")</f>
        <v>Digital Tech</v>
      </c>
      <c r="E1121" s="6" t="str">
        <f ca="1">IFERROR(__xludf.DUMMYFUNCTION("""COMPUTED_VALUE"""),"Invite Next Year")</f>
        <v>Invite Next Year</v>
      </c>
      <c r="F1121" s="6" t="e">
        <f t="shared" ca="1" si="4"/>
        <v>#NAME?</v>
      </c>
    </row>
    <row r="1122" spans="1:6">
      <c r="A1122" s="199">
        <f ca="1">IFERROR(__xludf.DUMMYFUNCTION("""COMPUTED_VALUE"""),44796)</f>
        <v>44796</v>
      </c>
      <c r="B1122" s="6" t="str">
        <f ca="1">IFERROR(__xludf.DUMMYFUNCTION("""COMPUTED_VALUE"""),"BLD Funds _2022")</f>
        <v>BLD Funds _2022</v>
      </c>
      <c r="C1122" s="6">
        <f ca="1">IFERROR(__xludf.DUMMYFUNCTION("""COMPUTED_VALUE"""),1)</f>
        <v>1</v>
      </c>
      <c r="D1122" s="6" t="str">
        <f ca="1">IFERROR(__xludf.DUMMYFUNCTION("""COMPUTED_VALUE"""),"Digital Tech")</f>
        <v>Digital Tech</v>
      </c>
      <c r="E1122" s="6" t="str">
        <f ca="1">IFERROR(__xludf.DUMMYFUNCTION("""COMPUTED_VALUE"""),"Invite Next Year")</f>
        <v>Invite Next Year</v>
      </c>
      <c r="F1122" s="6" t="e">
        <f t="shared" ca="1" si="4"/>
        <v>#NAME?</v>
      </c>
    </row>
    <row r="1123" spans="1:6">
      <c r="A1123" s="199">
        <f ca="1">IFERROR(__xludf.DUMMYFUNCTION("""COMPUTED_VALUE"""),44797)</f>
        <v>44797</v>
      </c>
      <c r="B1123" s="6" t="str">
        <f ca="1">IFERROR(__xludf.DUMMYFUNCTION("""COMPUTED_VALUE"""),"People Pulse _2022")</f>
        <v>People Pulse _2022</v>
      </c>
      <c r="C1123" s="6">
        <f ca="1">IFERROR(__xludf.DUMMYFUNCTION("""COMPUTED_VALUE"""),1)</f>
        <v>1</v>
      </c>
      <c r="D1123" s="6" t="str">
        <f ca="1">IFERROR(__xludf.DUMMYFUNCTION("""COMPUTED_VALUE"""),"Digital Tech")</f>
        <v>Digital Tech</v>
      </c>
      <c r="E1123" s="6" t="str">
        <f ca="1">IFERROR(__xludf.DUMMYFUNCTION("""COMPUTED_VALUE"""),"Invite Next Year")</f>
        <v>Invite Next Year</v>
      </c>
      <c r="F1123" s="6" t="e">
        <f t="shared" ca="1" si="4"/>
        <v>#NAME?</v>
      </c>
    </row>
    <row r="1124" spans="1:6">
      <c r="A1124" s="199">
        <f ca="1">IFERROR(__xludf.DUMMYFUNCTION("""COMPUTED_VALUE"""),44797)</f>
        <v>44797</v>
      </c>
      <c r="B1124" s="6" t="str">
        <f ca="1">IFERROR(__xludf.DUMMYFUNCTION("""COMPUTED_VALUE"""),"Scryper _2022")</f>
        <v>Scryper _2022</v>
      </c>
      <c r="C1124" s="6">
        <f ca="1">IFERROR(__xludf.DUMMYFUNCTION("""COMPUTED_VALUE"""),1)</f>
        <v>1</v>
      </c>
      <c r="D1124" s="6" t="str">
        <f ca="1">IFERROR(__xludf.DUMMYFUNCTION("""COMPUTED_VALUE"""),"Digital Tech")</f>
        <v>Digital Tech</v>
      </c>
      <c r="E1124" s="6" t="str">
        <f ca="1">IFERROR(__xludf.DUMMYFUNCTION("""COMPUTED_VALUE"""),"Invite Next Year")</f>
        <v>Invite Next Year</v>
      </c>
      <c r="F1124" s="6" t="e">
        <f t="shared" ca="1" si="4"/>
        <v>#NAME?</v>
      </c>
    </row>
    <row r="1125" spans="1:6">
      <c r="A1125" s="199">
        <f ca="1">IFERROR(__xludf.DUMMYFUNCTION("""COMPUTED_VALUE"""),44784)</f>
        <v>44784</v>
      </c>
      <c r="B1125" s="6" t="str">
        <f ca="1">IFERROR(__xludf.DUMMYFUNCTION("""COMPUTED_VALUE"""),"Dentco _2022")</f>
        <v>Dentco _2022</v>
      </c>
      <c r="C1125" s="6">
        <f ca="1">IFERROR(__xludf.DUMMYFUNCTION("""COMPUTED_VALUE"""),0.5)</f>
        <v>0.5</v>
      </c>
      <c r="D1125" s="6" t="str">
        <f ca="1">IFERROR(__xludf.DUMMYFUNCTION("""COMPUTED_VALUE"""),"Life Sciences")</f>
        <v>Life Sciences</v>
      </c>
      <c r="E1125" s="6" t="str">
        <f ca="1">IFERROR(__xludf.DUMMYFUNCTION("""COMPUTED_VALUE"""),"Invite Next Year")</f>
        <v>Invite Next Year</v>
      </c>
      <c r="F1125" s="6" t="e">
        <f t="shared" ca="1" si="4"/>
        <v>#NAME?</v>
      </c>
    </row>
    <row r="1126" spans="1:6">
      <c r="A1126" s="199">
        <f ca="1">IFERROR(__xludf.DUMMYFUNCTION("""COMPUTED_VALUE"""),44784)</f>
        <v>44784</v>
      </c>
      <c r="B1126" s="6" t="str">
        <f ca="1">IFERROR(__xludf.DUMMYFUNCTION("""COMPUTED_VALUE"""),"New Age Hygienic Systems, Inc. _2022")</f>
        <v>New Age Hygienic Systems, Inc. _2022</v>
      </c>
      <c r="C1126" s="6">
        <f ca="1">IFERROR(__xludf.DUMMYFUNCTION("""COMPUTED_VALUE"""),0)</f>
        <v>0</v>
      </c>
      <c r="D1126" s="6" t="str">
        <f ca="1">IFERROR(__xludf.DUMMYFUNCTION("""COMPUTED_VALUE"""),"Life Sciences")</f>
        <v>Life Sciences</v>
      </c>
      <c r="E1126" s="6" t="str">
        <f ca="1">IFERROR(__xludf.DUMMYFUNCTION("""COMPUTED_VALUE"""),"Invite Next Year")</f>
        <v>Invite Next Year</v>
      </c>
      <c r="F1126" s="6" t="e">
        <f t="shared" ca="1" si="4"/>
        <v>#NAME?</v>
      </c>
    </row>
    <row r="1127" spans="1:6">
      <c r="F1127" s="6" t="e">
        <f t="shared" ca="1" si="4"/>
        <v>#NAME?</v>
      </c>
    </row>
    <row r="1128" spans="1:6">
      <c r="F1128" s="6" t="e">
        <f t="shared" ca="1" si="4"/>
        <v>#NAME?</v>
      </c>
    </row>
    <row r="1129" spans="1:6">
      <c r="F1129" s="6" t="e">
        <f t="shared" ca="1" si="4"/>
        <v>#NAME?</v>
      </c>
    </row>
  </sheetData>
  <conditionalFormatting sqref="B1:B1129 K2:K5 L2:L15">
    <cfRule type="expression" dxfId="39" priority="1">
      <formula>AND(ISTEXT(B1), COUNTIF(B:B, B1)&gt;1)</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filterMode="1">
    <outlinePr summaryBelow="0" summaryRight="0"/>
  </sheetPr>
  <dimension ref="A1:C446"/>
  <sheetViews>
    <sheetView workbookViewId="0">
      <pane ySplit="1" topLeftCell="A2" activePane="bottomLeft" state="frozen"/>
      <selection pane="bottomLeft" activeCell="B3" sqref="B3"/>
    </sheetView>
  </sheetViews>
  <sheetFormatPr baseColWidth="10" defaultColWidth="14.5" defaultRowHeight="15" customHeight="1"/>
  <cols>
    <col min="1" max="1" width="56.5" customWidth="1"/>
  </cols>
  <sheetData>
    <row r="1" spans="1:3" ht="34">
      <c r="A1" s="201" t="s">
        <v>11507</v>
      </c>
      <c r="B1" s="201" t="s">
        <v>11508</v>
      </c>
      <c r="C1" s="201" t="s">
        <v>11509</v>
      </c>
    </row>
    <row r="2" spans="1:3" ht="16">
      <c r="A2" s="202" t="s">
        <v>285</v>
      </c>
      <c r="B2" s="202" t="s">
        <v>3</v>
      </c>
      <c r="C2" s="202" t="s">
        <v>18</v>
      </c>
    </row>
    <row r="3" spans="1:3" ht="16">
      <c r="A3" s="203" t="s">
        <v>287</v>
      </c>
      <c r="B3" s="203" t="s">
        <v>3</v>
      </c>
      <c r="C3" s="203" t="s">
        <v>18</v>
      </c>
    </row>
    <row r="4" spans="1:3" ht="16">
      <c r="A4" s="203" t="s">
        <v>298</v>
      </c>
      <c r="B4" s="203" t="s">
        <v>3</v>
      </c>
      <c r="C4" s="203" t="s">
        <v>18</v>
      </c>
    </row>
    <row r="5" spans="1:3" ht="16">
      <c r="A5" s="203" t="s">
        <v>301</v>
      </c>
      <c r="B5" s="203" t="s">
        <v>3</v>
      </c>
      <c r="C5" s="203" t="s">
        <v>18</v>
      </c>
    </row>
    <row r="6" spans="1:3" ht="16">
      <c r="A6" s="203" t="s">
        <v>311</v>
      </c>
      <c r="B6" s="203" t="s">
        <v>3</v>
      </c>
      <c r="C6" s="203" t="s">
        <v>18</v>
      </c>
    </row>
    <row r="7" spans="1:3" ht="16">
      <c r="A7" s="203" t="s">
        <v>314</v>
      </c>
      <c r="B7" s="203" t="s">
        <v>3</v>
      </c>
      <c r="C7" s="203" t="s">
        <v>18</v>
      </c>
    </row>
    <row r="8" spans="1:3" ht="16">
      <c r="A8" s="203" t="s">
        <v>327</v>
      </c>
      <c r="B8" s="203" t="s">
        <v>3</v>
      </c>
      <c r="C8" s="203" t="s">
        <v>18</v>
      </c>
    </row>
    <row r="9" spans="1:3" ht="16">
      <c r="A9" s="203" t="s">
        <v>331</v>
      </c>
      <c r="B9" s="203" t="s">
        <v>3</v>
      </c>
      <c r="C9" s="203" t="s">
        <v>18</v>
      </c>
    </row>
    <row r="10" spans="1:3" ht="16">
      <c r="A10" s="203" t="s">
        <v>334</v>
      </c>
      <c r="B10" s="203" t="s">
        <v>3</v>
      </c>
      <c r="C10" s="203" t="s">
        <v>18</v>
      </c>
    </row>
    <row r="11" spans="1:3" ht="16">
      <c r="A11" s="203" t="s">
        <v>338</v>
      </c>
      <c r="B11" s="203" t="s">
        <v>3</v>
      </c>
      <c r="C11" s="203" t="s">
        <v>18</v>
      </c>
    </row>
    <row r="12" spans="1:3" ht="16">
      <c r="A12" s="203" t="s">
        <v>360</v>
      </c>
      <c r="B12" s="203" t="s">
        <v>3</v>
      </c>
      <c r="C12" s="203" t="s">
        <v>18</v>
      </c>
    </row>
    <row r="13" spans="1:3" ht="16">
      <c r="A13" s="203" t="s">
        <v>368</v>
      </c>
      <c r="B13" s="203" t="s">
        <v>3</v>
      </c>
      <c r="C13" s="203" t="s">
        <v>18</v>
      </c>
    </row>
    <row r="14" spans="1:3" ht="16">
      <c r="A14" s="203" t="s">
        <v>277</v>
      </c>
      <c r="B14" s="203" t="s">
        <v>3</v>
      </c>
      <c r="C14" s="203" t="s">
        <v>18</v>
      </c>
    </row>
    <row r="15" spans="1:3" ht="16">
      <c r="A15" s="203" t="s">
        <v>300</v>
      </c>
      <c r="B15" s="203" t="s">
        <v>3</v>
      </c>
      <c r="C15" s="203" t="s">
        <v>18</v>
      </c>
    </row>
    <row r="16" spans="1:3" ht="16">
      <c r="A16" s="203" t="s">
        <v>313</v>
      </c>
      <c r="B16" s="203" t="s">
        <v>3</v>
      </c>
      <c r="C16" s="203" t="s">
        <v>18</v>
      </c>
    </row>
    <row r="17" spans="1:3" ht="16">
      <c r="A17" s="203" t="s">
        <v>345</v>
      </c>
      <c r="B17" s="203" t="s">
        <v>3</v>
      </c>
      <c r="C17" s="203" t="s">
        <v>18</v>
      </c>
    </row>
    <row r="18" spans="1:3" ht="16">
      <c r="A18" s="203" t="s">
        <v>348</v>
      </c>
      <c r="B18" s="203" t="s">
        <v>3</v>
      </c>
      <c r="C18" s="203" t="s">
        <v>18</v>
      </c>
    </row>
    <row r="19" spans="1:3" ht="16">
      <c r="A19" s="203" t="s">
        <v>361</v>
      </c>
      <c r="B19" s="203" t="s">
        <v>3</v>
      </c>
      <c r="C19" s="203" t="s">
        <v>18</v>
      </c>
    </row>
    <row r="20" spans="1:3" ht="16">
      <c r="A20" s="203" t="s">
        <v>369</v>
      </c>
      <c r="B20" s="203" t="s">
        <v>3</v>
      </c>
      <c r="C20" s="203" t="s">
        <v>18</v>
      </c>
    </row>
    <row r="21" spans="1:3" ht="16">
      <c r="A21" s="203" t="s">
        <v>321</v>
      </c>
      <c r="B21" s="203" t="s">
        <v>3</v>
      </c>
      <c r="C21" s="203" t="s">
        <v>18</v>
      </c>
    </row>
    <row r="22" spans="1:3" ht="16">
      <c r="A22" s="203" t="s">
        <v>286</v>
      </c>
      <c r="B22" s="203" t="s">
        <v>3</v>
      </c>
      <c r="C22" s="203" t="s">
        <v>18</v>
      </c>
    </row>
    <row r="23" spans="1:3" ht="16">
      <c r="A23" s="203" t="s">
        <v>294</v>
      </c>
      <c r="B23" s="203" t="s">
        <v>3</v>
      </c>
      <c r="C23" s="203" t="s">
        <v>18</v>
      </c>
    </row>
    <row r="24" spans="1:3" ht="16">
      <c r="A24" s="203" t="s">
        <v>310</v>
      </c>
      <c r="B24" s="203" t="s">
        <v>3</v>
      </c>
      <c r="C24" s="203" t="s">
        <v>18</v>
      </c>
    </row>
    <row r="25" spans="1:3" ht="16">
      <c r="A25" s="203" t="s">
        <v>316</v>
      </c>
      <c r="B25" s="203" t="s">
        <v>3</v>
      </c>
      <c r="C25" s="203" t="s">
        <v>18</v>
      </c>
    </row>
    <row r="26" spans="1:3" ht="16">
      <c r="A26" s="203" t="s">
        <v>325</v>
      </c>
      <c r="B26" s="203" t="s">
        <v>3</v>
      </c>
      <c r="C26" s="203" t="s">
        <v>18</v>
      </c>
    </row>
    <row r="27" spans="1:3" ht="16">
      <c r="A27" s="203" t="s">
        <v>328</v>
      </c>
      <c r="B27" s="203" t="s">
        <v>3</v>
      </c>
      <c r="C27" s="203" t="s">
        <v>18</v>
      </c>
    </row>
    <row r="28" spans="1:3" ht="16">
      <c r="A28" s="203" t="s">
        <v>329</v>
      </c>
      <c r="B28" s="203" t="s">
        <v>3</v>
      </c>
      <c r="C28" s="203" t="s">
        <v>18</v>
      </c>
    </row>
    <row r="29" spans="1:3" ht="16">
      <c r="A29" s="203" t="s">
        <v>333</v>
      </c>
      <c r="B29" s="203" t="s">
        <v>3</v>
      </c>
      <c r="C29" s="203" t="s">
        <v>18</v>
      </c>
    </row>
    <row r="30" spans="1:3" ht="16">
      <c r="A30" s="203" t="s">
        <v>335</v>
      </c>
      <c r="B30" s="203" t="s">
        <v>3</v>
      </c>
      <c r="C30" s="203" t="s">
        <v>18</v>
      </c>
    </row>
    <row r="31" spans="1:3" ht="16">
      <c r="A31" s="203" t="s">
        <v>342</v>
      </c>
      <c r="B31" s="203" t="s">
        <v>3</v>
      </c>
      <c r="C31" s="203" t="s">
        <v>18</v>
      </c>
    </row>
    <row r="32" spans="1:3" ht="16">
      <c r="A32" s="203" t="s">
        <v>344</v>
      </c>
      <c r="B32" s="203" t="s">
        <v>3</v>
      </c>
      <c r="C32" s="203" t="s">
        <v>18</v>
      </c>
    </row>
    <row r="33" spans="1:3" ht="16">
      <c r="A33" s="203" t="s">
        <v>363</v>
      </c>
      <c r="B33" s="203" t="s">
        <v>3</v>
      </c>
      <c r="C33" s="203" t="s">
        <v>18</v>
      </c>
    </row>
    <row r="34" spans="1:3" ht="16">
      <c r="A34" s="203" t="s">
        <v>323</v>
      </c>
      <c r="B34" s="203" t="s">
        <v>3</v>
      </c>
      <c r="C34" s="203" t="s">
        <v>18</v>
      </c>
    </row>
    <row r="35" spans="1:3" ht="16">
      <c r="A35" s="203" t="s">
        <v>282</v>
      </c>
      <c r="B35" s="203" t="s">
        <v>3</v>
      </c>
      <c r="C35" s="203" t="s">
        <v>18</v>
      </c>
    </row>
    <row r="36" spans="1:3" ht="16">
      <c r="A36" s="203" t="s">
        <v>291</v>
      </c>
      <c r="B36" s="203" t="s">
        <v>3</v>
      </c>
      <c r="C36" s="203" t="s">
        <v>18</v>
      </c>
    </row>
    <row r="37" spans="1:3" ht="16">
      <c r="A37" s="203" t="s">
        <v>303</v>
      </c>
      <c r="B37" s="203" t="s">
        <v>3</v>
      </c>
      <c r="C37" s="203" t="s">
        <v>18</v>
      </c>
    </row>
    <row r="38" spans="1:3" ht="16">
      <c r="A38" s="203" t="s">
        <v>317</v>
      </c>
      <c r="B38" s="203" t="s">
        <v>3</v>
      </c>
      <c r="C38" s="203" t="s">
        <v>18</v>
      </c>
    </row>
    <row r="39" spans="1:3" ht="16">
      <c r="A39" s="203" t="s">
        <v>320</v>
      </c>
      <c r="B39" s="203" t="s">
        <v>3</v>
      </c>
      <c r="C39" s="203" t="s">
        <v>18</v>
      </c>
    </row>
    <row r="40" spans="1:3" ht="16">
      <c r="A40" s="203" t="s">
        <v>324</v>
      </c>
      <c r="B40" s="203" t="s">
        <v>3</v>
      </c>
      <c r="C40" s="203" t="s">
        <v>18</v>
      </c>
    </row>
    <row r="41" spans="1:3" ht="16">
      <c r="A41" s="203" t="s">
        <v>110</v>
      </c>
      <c r="B41" s="203" t="s">
        <v>3</v>
      </c>
      <c r="C41" s="203" t="s">
        <v>18</v>
      </c>
    </row>
    <row r="42" spans="1:3" ht="16">
      <c r="A42" s="203" t="s">
        <v>336</v>
      </c>
      <c r="B42" s="203" t="s">
        <v>3</v>
      </c>
      <c r="C42" s="203" t="s">
        <v>18</v>
      </c>
    </row>
    <row r="43" spans="1:3" ht="16">
      <c r="A43" s="203" t="s">
        <v>337</v>
      </c>
      <c r="B43" s="203" t="s">
        <v>3</v>
      </c>
      <c r="C43" s="203" t="s">
        <v>18</v>
      </c>
    </row>
    <row r="44" spans="1:3" ht="16">
      <c r="A44" s="203" t="s">
        <v>339</v>
      </c>
      <c r="B44" s="203" t="s">
        <v>3</v>
      </c>
      <c r="C44" s="203" t="s">
        <v>18</v>
      </c>
    </row>
    <row r="45" spans="1:3" ht="16">
      <c r="A45" s="203" t="s">
        <v>346</v>
      </c>
      <c r="B45" s="203" t="s">
        <v>3</v>
      </c>
      <c r="C45" s="203" t="s">
        <v>18</v>
      </c>
    </row>
    <row r="46" spans="1:3" ht="16">
      <c r="A46" s="203" t="s">
        <v>349</v>
      </c>
      <c r="B46" s="203" t="s">
        <v>3</v>
      </c>
      <c r="C46" s="203" t="s">
        <v>18</v>
      </c>
    </row>
    <row r="47" spans="1:3" ht="16">
      <c r="A47" s="203" t="s">
        <v>356</v>
      </c>
      <c r="B47" s="203" t="s">
        <v>3</v>
      </c>
      <c r="C47" s="203" t="s">
        <v>18</v>
      </c>
    </row>
    <row r="48" spans="1:3" ht="16">
      <c r="A48" s="203" t="s">
        <v>284</v>
      </c>
      <c r="B48" s="203" t="s">
        <v>3</v>
      </c>
      <c r="C48" s="203" t="s">
        <v>18</v>
      </c>
    </row>
    <row r="49" spans="1:3" ht="16">
      <c r="A49" s="203" t="s">
        <v>296</v>
      </c>
      <c r="B49" s="203" t="s">
        <v>3</v>
      </c>
      <c r="C49" s="203" t="s">
        <v>18</v>
      </c>
    </row>
    <row r="50" spans="1:3" ht="16">
      <c r="A50" s="203" t="s">
        <v>315</v>
      </c>
      <c r="B50" s="203" t="s">
        <v>3</v>
      </c>
      <c r="C50" s="203" t="s">
        <v>18</v>
      </c>
    </row>
    <row r="51" spans="1:3" ht="16">
      <c r="A51" s="203" t="s">
        <v>319</v>
      </c>
      <c r="B51" s="203" t="s">
        <v>3</v>
      </c>
      <c r="C51" s="203" t="s">
        <v>18</v>
      </c>
    </row>
    <row r="52" spans="1:3" ht="16">
      <c r="A52" s="203" t="s">
        <v>326</v>
      </c>
      <c r="B52" s="203" t="s">
        <v>3</v>
      </c>
      <c r="C52" s="203" t="s">
        <v>18</v>
      </c>
    </row>
    <row r="53" spans="1:3" ht="16">
      <c r="A53" s="203" t="s">
        <v>340</v>
      </c>
      <c r="B53" s="203" t="s">
        <v>3</v>
      </c>
      <c r="C53" s="203" t="s">
        <v>18</v>
      </c>
    </row>
    <row r="54" spans="1:3" ht="16">
      <c r="A54" s="203" t="s">
        <v>343</v>
      </c>
      <c r="B54" s="203" t="s">
        <v>3</v>
      </c>
      <c r="C54" s="203" t="s">
        <v>18</v>
      </c>
    </row>
    <row r="55" spans="1:3" ht="16">
      <c r="A55" s="203" t="s">
        <v>347</v>
      </c>
      <c r="B55" s="203" t="s">
        <v>3</v>
      </c>
      <c r="C55" s="203" t="s">
        <v>18</v>
      </c>
    </row>
    <row r="56" spans="1:3" ht="16">
      <c r="A56" s="203" t="s">
        <v>362</v>
      </c>
      <c r="B56" s="203" t="s">
        <v>3</v>
      </c>
      <c r="C56" s="203" t="s">
        <v>18</v>
      </c>
    </row>
    <row r="57" spans="1:3" ht="16">
      <c r="A57" s="203" t="s">
        <v>358</v>
      </c>
      <c r="B57" s="203" t="s">
        <v>3</v>
      </c>
      <c r="C57" s="203" t="s">
        <v>18</v>
      </c>
    </row>
    <row r="58" spans="1:3" ht="16">
      <c r="A58" s="203" t="s">
        <v>322</v>
      </c>
      <c r="B58" s="203" t="s">
        <v>3</v>
      </c>
      <c r="C58" s="203" t="s">
        <v>18</v>
      </c>
    </row>
    <row r="59" spans="1:3" ht="16">
      <c r="A59" s="203" t="s">
        <v>370</v>
      </c>
      <c r="B59" s="203" t="s">
        <v>3</v>
      </c>
      <c r="C59" s="203" t="s">
        <v>18</v>
      </c>
    </row>
    <row r="60" spans="1:3" ht="16" hidden="1">
      <c r="A60" s="203" t="str">
        <f>'LS Shortlist'!B60</f>
        <v>Nano RED _2022</v>
      </c>
      <c r="B60" s="203" t="str">
        <f>'LS Shortlist'!E60</f>
        <v>Life Sciences</v>
      </c>
      <c r="C60" s="203" t="str">
        <f>'LS Shortlist'!U60</f>
        <v>Invite</v>
      </c>
    </row>
    <row r="61" spans="1:3" ht="16" hidden="1">
      <c r="A61" s="203" t="str">
        <f>'LS Shortlist'!B61</f>
        <v>Sensible Biotechnologies _2022</v>
      </c>
      <c r="B61" s="203" t="str">
        <f>'LS Shortlist'!E61</f>
        <v>Life Sciences</v>
      </c>
      <c r="C61" s="203" t="str">
        <f>'LS Shortlist'!U61</f>
        <v>Invite Next Year</v>
      </c>
    </row>
    <row r="62" spans="1:3" ht="16" hidden="1">
      <c r="A62" s="203" t="str">
        <f>'LS Shortlist'!B62</f>
        <v>Certa Dose _2022</v>
      </c>
      <c r="B62" s="203" t="str">
        <f>'LS Shortlist'!E62</f>
        <v>Life Sciences</v>
      </c>
      <c r="C62" s="203" t="str">
        <f>'LS Shortlist'!U62</f>
        <v>Invite Next Year</v>
      </c>
    </row>
    <row r="63" spans="1:3" ht="16" hidden="1">
      <c r="A63" s="203" t="str">
        <f>'LS Shortlist'!B63</f>
        <v>Metanovas Biotech _2022</v>
      </c>
      <c r="B63" s="203" t="str">
        <f>'LS Shortlist'!E63</f>
        <v>Life Sciences</v>
      </c>
      <c r="C63" s="203" t="str">
        <f>'LS Shortlist'!U63</f>
        <v>Invite Next Year</v>
      </c>
    </row>
    <row r="64" spans="1:3" ht="16" hidden="1">
      <c r="A64" s="203" t="str">
        <f>'LS Shortlist'!B64</f>
        <v>PurMinds NeuroPharma Inc. _2022</v>
      </c>
      <c r="B64" s="203" t="str">
        <f>'LS Shortlist'!E64</f>
        <v>Life Sciences</v>
      </c>
      <c r="C64" s="203" t="str">
        <f>'LS Shortlist'!U64</f>
        <v>Invite Next Year</v>
      </c>
    </row>
    <row r="65" spans="1:3" ht="16" hidden="1">
      <c r="A65" s="203" t="str">
        <f>'LS Shortlist'!B65</f>
        <v>Alpha 1 Biologics _2022</v>
      </c>
      <c r="B65" s="203" t="str">
        <f>'LS Shortlist'!E65</f>
        <v>Life Sciences</v>
      </c>
      <c r="C65" s="203" t="str">
        <f>'LS Shortlist'!U65</f>
        <v>Invite Next Year</v>
      </c>
    </row>
    <row r="66" spans="1:3" ht="16" hidden="1">
      <c r="A66" s="203" t="str">
        <f>'LS Shortlist'!B66</f>
        <v>Femtera Laboratories LLC _2022</v>
      </c>
      <c r="B66" s="203" t="str">
        <f>'LS Shortlist'!E66</f>
        <v>Life Sciences</v>
      </c>
      <c r="C66" s="203" t="str">
        <f>'LS Shortlist'!U66</f>
        <v>Invite Next Year</v>
      </c>
    </row>
    <row r="67" spans="1:3" ht="16" hidden="1">
      <c r="A67" s="203" t="str">
        <f>'LS Shortlist'!B67</f>
        <v>Sonostik LLC _2022</v>
      </c>
      <c r="B67" s="203" t="str">
        <f>'LS Shortlist'!E67</f>
        <v>Life Sciences</v>
      </c>
      <c r="C67" s="203" t="str">
        <f>'LS Shortlist'!U67</f>
        <v>Invite Next Year</v>
      </c>
    </row>
    <row r="68" spans="1:3" ht="16" hidden="1">
      <c r="A68" s="203" t="str">
        <f>'LS Shortlist'!B68</f>
        <v>Nemosia AG _2022</v>
      </c>
      <c r="B68" s="203" t="str">
        <f>'LS Shortlist'!E68</f>
        <v>Life Sciences</v>
      </c>
      <c r="C68" s="203" t="str">
        <f>'LS Shortlist'!U68</f>
        <v>Invite Next Year</v>
      </c>
    </row>
    <row r="69" spans="1:3" ht="16" hidden="1">
      <c r="A69" s="203" t="str">
        <f>'LS Shortlist'!B69</f>
        <v>Metfora _2022</v>
      </c>
      <c r="B69" s="203" t="str">
        <f>'LS Shortlist'!E69</f>
        <v>Life Sciences</v>
      </c>
      <c r="C69" s="203" t="str">
        <f>'LS Shortlist'!U69</f>
        <v>Invite Next Year</v>
      </c>
    </row>
    <row r="70" spans="1:3" ht="16" hidden="1">
      <c r="A70" s="203" t="str">
        <f>'LS Shortlist'!B70</f>
        <v>PhagePro _2022</v>
      </c>
      <c r="B70" s="203" t="str">
        <f>'LS Shortlist'!E70</f>
        <v>Life Sciences</v>
      </c>
      <c r="C70" s="203" t="str">
        <f>'LS Shortlist'!U70</f>
        <v>Invite Next Year</v>
      </c>
    </row>
    <row r="71" spans="1:3" ht="16" hidden="1">
      <c r="A71" s="203" t="str">
        <f>'LS Shortlist'!B71</f>
        <v>TriAltus Bioscience _2022</v>
      </c>
      <c r="B71" s="203" t="str">
        <f>'LS Shortlist'!E71</f>
        <v>Life Sciences</v>
      </c>
      <c r="C71" s="203" t="str">
        <f>'LS Shortlist'!U71</f>
        <v>Invite Next Year</v>
      </c>
    </row>
    <row r="72" spans="1:3" ht="16" hidden="1">
      <c r="A72" s="203" t="str">
        <f>'LS Shortlist'!B72</f>
        <v>Synaps Dx _2022</v>
      </c>
      <c r="B72" s="203" t="str">
        <f>'LS Shortlist'!E72</f>
        <v>Life Sciences</v>
      </c>
      <c r="C72" s="203" t="str">
        <f>'LS Shortlist'!U72</f>
        <v>Invite Next Year</v>
      </c>
    </row>
    <row r="73" spans="1:3" ht="16" hidden="1">
      <c r="A73" s="203" t="str">
        <f>'LS Shortlist'!B73</f>
        <v>Akeso Therapeutics, Inc. _2022</v>
      </c>
      <c r="B73" s="203" t="str">
        <f>'LS Shortlist'!E73</f>
        <v>Life Sciences</v>
      </c>
      <c r="C73" s="203" t="str">
        <f>'LS Shortlist'!U73</f>
        <v>Invite Next Year</v>
      </c>
    </row>
    <row r="74" spans="1:3" ht="16" hidden="1">
      <c r="A74" s="203" t="str">
        <f>'LS Shortlist'!B74</f>
        <v>NEOMICS PHARMACEUTICALS LLC _2022</v>
      </c>
      <c r="B74" s="203" t="str">
        <f>'LS Shortlist'!E74</f>
        <v>Life Sciences</v>
      </c>
      <c r="C74" s="203" t="str">
        <f>'LS Shortlist'!U74</f>
        <v>Invite Next Year</v>
      </c>
    </row>
    <row r="75" spans="1:3" ht="16" hidden="1">
      <c r="A75" s="203" t="str">
        <f>'LS Shortlist'!B75</f>
        <v>Solvuu _2022</v>
      </c>
      <c r="B75" s="203" t="str">
        <f>'LS Shortlist'!E75</f>
        <v>Life Sciences</v>
      </c>
      <c r="C75" s="203" t="str">
        <f>'LS Shortlist'!U75</f>
        <v>Invite Next Year</v>
      </c>
    </row>
    <row r="76" spans="1:3" ht="16" hidden="1">
      <c r="A76" s="203" t="str">
        <f>'LS Shortlist'!B76</f>
        <v>Suquino, Inc _2022</v>
      </c>
      <c r="B76" s="203" t="str">
        <f>'LS Shortlist'!E76</f>
        <v>Life Sciences</v>
      </c>
      <c r="C76" s="203" t="str">
        <f>'LS Shortlist'!U76</f>
        <v>Invite Next Year</v>
      </c>
    </row>
    <row r="77" spans="1:3" ht="16" hidden="1">
      <c r="A77" s="203" t="str">
        <f>'LS Shortlist'!B77</f>
        <v>Wild Coast Biologics Inc _2022</v>
      </c>
      <c r="B77" s="203" t="str">
        <f>'LS Shortlist'!E77</f>
        <v>Life Sciences</v>
      </c>
      <c r="C77" s="203" t="str">
        <f>'LS Shortlist'!U77</f>
        <v>Invite Next Year</v>
      </c>
    </row>
    <row r="78" spans="1:3" ht="16" hidden="1">
      <c r="A78" s="203" t="str">
        <f>'LS Shortlist'!B78</f>
        <v>Adroit Surgical _2022</v>
      </c>
      <c r="B78" s="203" t="str">
        <f>'LS Shortlist'!E78</f>
        <v>Life Sciences</v>
      </c>
      <c r="C78" s="203" t="str">
        <f>'LS Shortlist'!U78</f>
        <v>Invite Next Year</v>
      </c>
    </row>
    <row r="79" spans="1:3" ht="16" hidden="1">
      <c r="A79" s="203" t="str">
        <f>'LS Shortlist'!B79</f>
        <v>MultiOmic Health Limited _2022</v>
      </c>
      <c r="B79" s="203" t="str">
        <f>'LS Shortlist'!E79</f>
        <v>Life Sciences</v>
      </c>
      <c r="C79" s="203" t="str">
        <f>'LS Shortlist'!U79</f>
        <v>Invite Next Year</v>
      </c>
    </row>
    <row r="80" spans="1:3" ht="16" hidden="1">
      <c r="A80" s="203" t="str">
        <f>'LS Shortlist'!B80</f>
        <v>Constellation4 Health _2022</v>
      </c>
      <c r="B80" s="203" t="str">
        <f>'LS Shortlist'!E80</f>
        <v>Life Sciences</v>
      </c>
      <c r="C80" s="203" t="str">
        <f>'LS Shortlist'!U80</f>
        <v>Invite Next Year</v>
      </c>
    </row>
    <row r="81" spans="1:3" ht="16" hidden="1">
      <c r="A81" s="203" t="str">
        <f>'LS Shortlist'!B81</f>
        <v>Novel Farms _2022</v>
      </c>
      <c r="B81" s="203" t="str">
        <f>'LS Shortlist'!E81</f>
        <v>Life Sciences</v>
      </c>
      <c r="C81" s="203" t="str">
        <f>'LS Shortlist'!U81</f>
        <v>Invite Next Year</v>
      </c>
    </row>
    <row r="82" spans="1:3" ht="16" hidden="1">
      <c r="A82" s="203" t="str">
        <f>'LS Shortlist'!B82</f>
        <v>MedGene Therapeutics _2022</v>
      </c>
      <c r="B82" s="203" t="str">
        <f>'LS Shortlist'!E82</f>
        <v>Life Sciences</v>
      </c>
      <c r="C82" s="203" t="str">
        <f>'LS Shortlist'!U82</f>
        <v>Invite Next Year</v>
      </c>
    </row>
    <row r="83" spans="1:3" ht="16" hidden="1">
      <c r="A83" s="203" t="str">
        <f>'LS Shortlist'!B83</f>
        <v>PB&amp;B _2022</v>
      </c>
      <c r="B83" s="203" t="str">
        <f>'LS Shortlist'!E83</f>
        <v>Life Sciences</v>
      </c>
      <c r="C83" s="203" t="str">
        <f>'LS Shortlist'!U83</f>
        <v>Invite Next Year</v>
      </c>
    </row>
    <row r="84" spans="1:3" ht="16" hidden="1">
      <c r="A84" s="203" t="str">
        <f>'LS Shortlist'!B84</f>
        <v>CLYRA MEDICAL TECHNOLOGIES _2022</v>
      </c>
      <c r="B84" s="203" t="str">
        <f>'LS Shortlist'!E84</f>
        <v>Life Sciences</v>
      </c>
      <c r="C84" s="203" t="str">
        <f>'LS Shortlist'!U84</f>
        <v>Invite Next Year</v>
      </c>
    </row>
    <row r="85" spans="1:3" ht="16" hidden="1">
      <c r="A85" s="203" t="str">
        <f>'LS Shortlist'!B85</f>
        <v>Oncoliq _2022</v>
      </c>
      <c r="B85" s="203" t="str">
        <f>'LS Shortlist'!E85</f>
        <v>Life Sciences</v>
      </c>
      <c r="C85" s="203" t="str">
        <f>'LS Shortlist'!U85</f>
        <v>Invite Next Year</v>
      </c>
    </row>
    <row r="86" spans="1:3" ht="16" hidden="1">
      <c r="A86" s="203" t="str">
        <f>'LS Shortlist'!B86</f>
        <v>Parrots Inc. _2022</v>
      </c>
      <c r="B86" s="203" t="str">
        <f>'LS Shortlist'!E86</f>
        <v>Life Sciences</v>
      </c>
      <c r="C86" s="203" t="str">
        <f>'LS Shortlist'!U86</f>
        <v>Invite Next Year</v>
      </c>
    </row>
    <row r="87" spans="1:3" ht="16" hidden="1">
      <c r="A87" s="203" t="str">
        <f>'LS Shortlist'!B87</f>
        <v>Zena Therapeutics INC. _2022</v>
      </c>
      <c r="B87" s="203" t="str">
        <f>'LS Shortlist'!E87</f>
        <v>Life Sciences</v>
      </c>
      <c r="C87" s="203" t="str">
        <f>'LS Shortlist'!U87</f>
        <v>Invite Next Year</v>
      </c>
    </row>
    <row r="88" spans="1:3" ht="16" hidden="1">
      <c r="A88" s="203" t="str">
        <f>'LS Shortlist'!B88</f>
        <v>MatMaCorp _2022</v>
      </c>
      <c r="B88" s="203" t="str">
        <f>'LS Shortlist'!E88</f>
        <v>Life Sciences</v>
      </c>
      <c r="C88" s="203" t="str">
        <f>'LS Shortlist'!U88</f>
        <v>Invite Next Year</v>
      </c>
    </row>
    <row r="89" spans="1:3" ht="16" hidden="1">
      <c r="A89" s="203" t="str">
        <f>'LS Shortlist'!B89</f>
        <v>SingletO2 Therapeutics LLC _2022</v>
      </c>
      <c r="B89" s="203" t="str">
        <f>'LS Shortlist'!E89</f>
        <v>Life Sciences</v>
      </c>
      <c r="C89" s="203" t="str">
        <f>'LS Shortlist'!U89</f>
        <v>Invite Next Year</v>
      </c>
    </row>
    <row r="90" spans="1:3" ht="16" hidden="1">
      <c r="A90" s="203" t="str">
        <f>'LS Shortlist'!B90</f>
        <v>Hypercell Technologies, Inc _2022</v>
      </c>
      <c r="B90" s="203" t="str">
        <f>'LS Shortlist'!E90</f>
        <v>Life Sciences</v>
      </c>
      <c r="C90" s="203" t="str">
        <f>'LS Shortlist'!U90</f>
        <v>Invite Next Year</v>
      </c>
    </row>
    <row r="91" spans="1:3" ht="16" hidden="1">
      <c r="A91" s="203" t="str">
        <f>'LS Shortlist'!B91</f>
        <v>Unlocked Labs Inc.  _2022</v>
      </c>
      <c r="B91" s="203" t="str">
        <f>'LS Shortlist'!E91</f>
        <v>Life Sciences</v>
      </c>
      <c r="C91" s="203" t="str">
        <f>'LS Shortlist'!U91</f>
        <v>Invite Next Year</v>
      </c>
    </row>
    <row r="92" spans="1:3" ht="16" hidden="1">
      <c r="A92" s="203" t="str">
        <f>'LS Shortlist'!B92</f>
        <v>Neuropair, Inc. _2022</v>
      </c>
      <c r="B92" s="203" t="str">
        <f>'LS Shortlist'!E92</f>
        <v>Life Sciences</v>
      </c>
      <c r="C92" s="203" t="str">
        <f>'LS Shortlist'!U92</f>
        <v>Invite Next Year</v>
      </c>
    </row>
    <row r="93" spans="1:3" ht="16" hidden="1">
      <c r="A93" s="203" t="str">
        <f>'LS Shortlist'!B93</f>
        <v>Genflow Biosciences _2022</v>
      </c>
      <c r="B93" s="203" t="str">
        <f>'LS Shortlist'!E93</f>
        <v>Life Sciences</v>
      </c>
      <c r="C93" s="203" t="str">
        <f>'LS Shortlist'!U93</f>
        <v>Invite Next Year</v>
      </c>
    </row>
    <row r="94" spans="1:3" ht="16" hidden="1">
      <c r="A94" s="203" t="str">
        <f>'LS Shortlist'!B94</f>
        <v>PEGASI INTERNATIONAL, INC. _2022</v>
      </c>
      <c r="B94" s="203" t="str">
        <f>'LS Shortlist'!E94</f>
        <v>Life Sciences</v>
      </c>
      <c r="C94" s="203" t="str">
        <f>'LS Shortlist'!U94</f>
        <v>Invite Next Year</v>
      </c>
    </row>
    <row r="95" spans="1:3" ht="16" hidden="1">
      <c r="A95" s="203" t="str">
        <f>'LS Shortlist'!B95</f>
        <v>Conan Medtech Corp. _2022</v>
      </c>
      <c r="B95" s="203" t="str">
        <f>'LS Shortlist'!E95</f>
        <v>Life Sciences</v>
      </c>
      <c r="C95" s="203" t="str">
        <f>'LS Shortlist'!U95</f>
        <v>Invite Next Year</v>
      </c>
    </row>
    <row r="96" spans="1:3" ht="16" hidden="1">
      <c r="A96" s="203" t="str">
        <f>'LS Shortlist'!B96</f>
        <v>INCLODE LLC _2022</v>
      </c>
      <c r="B96" s="203" t="str">
        <f>'LS Shortlist'!E96</f>
        <v>Life Sciences</v>
      </c>
      <c r="C96" s="203" t="str">
        <f>'LS Shortlist'!U96</f>
        <v>Invite Next Year</v>
      </c>
    </row>
    <row r="97" spans="1:3" ht="16" hidden="1">
      <c r="A97" s="203" t="str">
        <f>'LS Shortlist'!B97</f>
        <v>Addinex Technologies, Inc. _2022</v>
      </c>
      <c r="B97" s="203" t="str">
        <f>'LS Shortlist'!E97</f>
        <v>Life Sciences</v>
      </c>
      <c r="C97" s="203" t="str">
        <f>'LS Shortlist'!U97</f>
        <v>Invite Next Year</v>
      </c>
    </row>
    <row r="98" spans="1:3" ht="16" hidden="1">
      <c r="A98" s="203" t="str">
        <f>'LS Shortlist'!B98</f>
        <v>Rapid Nexus Nanotech Wound Solutions, Inc. _2022</v>
      </c>
      <c r="B98" s="203" t="str">
        <f>'LS Shortlist'!E98</f>
        <v>Life Sciences</v>
      </c>
      <c r="C98" s="203" t="str">
        <f>'LS Shortlist'!U98</f>
        <v>Invite Next Year</v>
      </c>
    </row>
    <row r="99" spans="1:3" ht="16" hidden="1">
      <c r="A99" s="203" t="str">
        <f>'LS Shortlist'!B99</f>
        <v>CF Foods Group _2022</v>
      </c>
      <c r="B99" s="203" t="str">
        <f>'LS Shortlist'!E99</f>
        <v>Life Sciences</v>
      </c>
      <c r="C99" s="203" t="str">
        <f>'LS Shortlist'!U99</f>
        <v>Invite Next Year</v>
      </c>
    </row>
    <row r="100" spans="1:3" ht="16" hidden="1">
      <c r="A100" s="203" t="str">
        <f>'LS Shortlist'!B100</f>
        <v>Biodimension Technology Pvt Ltd _2022</v>
      </c>
      <c r="B100" s="203" t="str">
        <f>'LS Shortlist'!E100</f>
        <v>Life Sciences</v>
      </c>
      <c r="C100" s="203" t="str">
        <f>'LS Shortlist'!U100</f>
        <v>Invite Next Year</v>
      </c>
    </row>
    <row r="101" spans="1:3" ht="16" hidden="1">
      <c r="A101" s="203" t="str">
        <f>'LS Shortlist'!B101</f>
        <v>Kolibri _2022</v>
      </c>
      <c r="B101" s="203" t="str">
        <f>'LS Shortlist'!E101</f>
        <v>Life Sciences</v>
      </c>
      <c r="C101" s="203" t="str">
        <f>'LS Shortlist'!U101</f>
        <v>Invite Next Year</v>
      </c>
    </row>
    <row r="102" spans="1:3" ht="16" hidden="1">
      <c r="A102" s="203" t="str">
        <f>'LS Shortlist'!B102</f>
        <v>3D-OPS _2022</v>
      </c>
      <c r="B102" s="203" t="str">
        <f>'LS Shortlist'!E102</f>
        <v>Life Sciences</v>
      </c>
      <c r="C102" s="203" t="str">
        <f>'LS Shortlist'!U102</f>
        <v>Invite Next Year</v>
      </c>
    </row>
    <row r="103" spans="1:3" ht="16" hidden="1">
      <c r="A103" s="203" t="str">
        <f>'LS Shortlist'!B103</f>
        <v>Alyve Medical _2022</v>
      </c>
      <c r="B103" s="203" t="str">
        <f>'LS Shortlist'!E103</f>
        <v>Life Sciences</v>
      </c>
      <c r="C103" s="203" t="str">
        <f>'LS Shortlist'!U103</f>
        <v>Invite Next Year</v>
      </c>
    </row>
    <row r="104" spans="1:3" ht="16" hidden="1">
      <c r="A104" s="203" t="str">
        <f>'LS Shortlist'!B104</f>
        <v>ViBo Health _2022</v>
      </c>
      <c r="B104" s="203" t="str">
        <f>'LS Shortlist'!E104</f>
        <v>Life Sciences</v>
      </c>
      <c r="C104" s="203" t="str">
        <f>'LS Shortlist'!U104</f>
        <v>Invite Next Year</v>
      </c>
    </row>
    <row r="105" spans="1:3" ht="16" hidden="1">
      <c r="A105" s="203" t="str">
        <f>'LS Shortlist'!B105</f>
        <v>Sensifree _2022</v>
      </c>
      <c r="B105" s="203" t="str">
        <f>'LS Shortlist'!E105</f>
        <v>Life Sciences</v>
      </c>
      <c r="C105" s="203" t="str">
        <f>'LS Shortlist'!U105</f>
        <v>Invite Next Year</v>
      </c>
    </row>
    <row r="106" spans="1:3" ht="16" hidden="1">
      <c r="A106" s="203" t="str">
        <f>'LS Shortlist'!B106</f>
        <v>My Greens 2021 SL _2022</v>
      </c>
      <c r="B106" s="203" t="str">
        <f>'LS Shortlist'!E106</f>
        <v>Life Sciences</v>
      </c>
      <c r="C106" s="203" t="str">
        <f>'LS Shortlist'!U106</f>
        <v>Invite Next Year</v>
      </c>
    </row>
    <row r="107" spans="1:3" ht="16" hidden="1">
      <c r="A107" s="203" t="str">
        <f>'LS Shortlist'!B107</f>
        <v>BLUEWAVE Technologies _2022</v>
      </c>
      <c r="B107" s="203" t="str">
        <f>'LS Shortlist'!E107</f>
        <v>Life Sciences</v>
      </c>
      <c r="C107" s="203" t="str">
        <f>'LS Shortlist'!U107</f>
        <v>Invite Next Year</v>
      </c>
    </row>
    <row r="108" spans="1:3" ht="16" hidden="1">
      <c r="A108" s="203" t="str">
        <f>'LS Shortlist'!B108</f>
        <v>3F Waste Recovery _2022</v>
      </c>
      <c r="B108" s="203" t="str">
        <f>'LS Shortlist'!E108</f>
        <v>Life Sciences</v>
      </c>
      <c r="C108" s="203" t="str">
        <f>'LS Shortlist'!U108</f>
        <v>Invite Next Year</v>
      </c>
    </row>
    <row r="109" spans="1:3" ht="16" hidden="1">
      <c r="A109" s="203" t="str">
        <f>'LS Shortlist'!B109</f>
        <v>Alaria Biotech  _2022</v>
      </c>
      <c r="B109" s="203" t="str">
        <f>'LS Shortlist'!E109</f>
        <v>Life Sciences</v>
      </c>
      <c r="C109" s="203" t="str">
        <f>'LS Shortlist'!U109</f>
        <v>Invite Next Year</v>
      </c>
    </row>
    <row r="110" spans="1:3" ht="16" hidden="1">
      <c r="A110" s="203" t="str">
        <f>'LS Shortlist'!B110</f>
        <v>kyron.bio _2022</v>
      </c>
      <c r="B110" s="203" t="str">
        <f>'LS Shortlist'!E110</f>
        <v>Life Sciences</v>
      </c>
      <c r="C110" s="203" t="str">
        <f>'LS Shortlist'!U110</f>
        <v>Invite Next Year</v>
      </c>
    </row>
    <row r="111" spans="1:3" ht="16" hidden="1">
      <c r="A111" s="203" t="str">
        <f>'LS Shortlist'!B111</f>
        <v>Re-Colonize _2022</v>
      </c>
      <c r="B111" s="203" t="str">
        <f>'LS Shortlist'!E111</f>
        <v>Life Sciences</v>
      </c>
      <c r="C111" s="203" t="str">
        <f>'LS Shortlist'!U111</f>
        <v>Invite Next Year</v>
      </c>
    </row>
    <row r="112" spans="1:3" ht="16" hidden="1">
      <c r="A112" s="203" t="str">
        <f>'LS Shortlist'!B112</f>
        <v>Innov2Learn _2022</v>
      </c>
      <c r="B112" s="203" t="str">
        <f>'LS Shortlist'!E112</f>
        <v>Life Sciences</v>
      </c>
      <c r="C112" s="203" t="str">
        <f>'LS Shortlist'!U112</f>
        <v>Invite Next Year</v>
      </c>
    </row>
    <row r="113" spans="1:3" ht="16" hidden="1">
      <c r="A113" s="203" t="str">
        <f>'LS Shortlist'!B113</f>
        <v>ClinConnect _2022</v>
      </c>
      <c r="B113" s="203" t="str">
        <f>'LS Shortlist'!E113</f>
        <v>Life Sciences</v>
      </c>
      <c r="C113" s="203" t="str">
        <f>'LS Shortlist'!U113</f>
        <v>Invite Next Year</v>
      </c>
    </row>
    <row r="114" spans="1:3" ht="16" hidden="1">
      <c r="A114" s="203" t="str">
        <f>'LS Shortlist'!B114</f>
        <v>Peptris Technologies Private Limited _2022</v>
      </c>
      <c r="B114" s="203" t="str">
        <f>'LS Shortlist'!E114</f>
        <v>Life Sciences</v>
      </c>
      <c r="C114" s="203" t="str">
        <f>'LS Shortlist'!U114</f>
        <v>Invite Next Year</v>
      </c>
    </row>
    <row r="115" spans="1:3" ht="16" hidden="1">
      <c r="A115" s="203" t="str">
        <f>'LS Shortlist'!B115</f>
        <v>Dentia, Inc _2022</v>
      </c>
      <c r="B115" s="203" t="str">
        <f>'LS Shortlist'!E115</f>
        <v>Life Sciences</v>
      </c>
      <c r="C115" s="203" t="str">
        <f>'LS Shortlist'!U115</f>
        <v>Invite Next Year</v>
      </c>
    </row>
    <row r="116" spans="1:3" ht="16" hidden="1">
      <c r="A116" s="203" t="str">
        <f>'LS Shortlist'!B116</f>
        <v>Cinference _2022</v>
      </c>
      <c r="B116" s="203" t="str">
        <f>'LS Shortlist'!E116</f>
        <v>Life Sciences</v>
      </c>
      <c r="C116" s="203" t="str">
        <f>'LS Shortlist'!U116</f>
        <v>Invite Next Year</v>
      </c>
    </row>
    <row r="117" spans="1:3" ht="16" hidden="1">
      <c r="A117" s="203" t="str">
        <f>'LS Shortlist'!B117</f>
        <v>GenoFAB, Inc. _2022</v>
      </c>
      <c r="B117" s="203" t="str">
        <f>'LS Shortlist'!E117</f>
        <v>Life Sciences</v>
      </c>
      <c r="C117" s="203" t="str">
        <f>'LS Shortlist'!U117</f>
        <v>Invite Next Year</v>
      </c>
    </row>
    <row r="118" spans="1:3" ht="16" hidden="1">
      <c r="A118" s="203" t="str">
        <f>'LS Shortlist'!B118</f>
        <v>Sona Labs _2022</v>
      </c>
      <c r="B118" s="203" t="str">
        <f>'LS Shortlist'!E118</f>
        <v>Life Sciences</v>
      </c>
      <c r="C118" s="203" t="str">
        <f>'LS Shortlist'!U118</f>
        <v>Invite Next Year</v>
      </c>
    </row>
    <row r="119" spans="1:3" ht="16" hidden="1">
      <c r="A119" s="203" t="str">
        <f>'LS Shortlist'!B119</f>
        <v>OYA Femtech Apparel _2022</v>
      </c>
      <c r="B119" s="203" t="str">
        <f>'LS Shortlist'!E119</f>
        <v>Life Sciences</v>
      </c>
      <c r="C119" s="203" t="str">
        <f>'LS Shortlist'!U119</f>
        <v>Invite Next Year</v>
      </c>
    </row>
    <row r="120" spans="1:3" ht="16" hidden="1">
      <c r="A120" s="203" t="str">
        <f>'LS Shortlist'!B120</f>
        <v>Nutrivide Inc. _2022</v>
      </c>
      <c r="B120" s="203" t="str">
        <f>'LS Shortlist'!E120</f>
        <v>Life Sciences</v>
      </c>
      <c r="C120" s="203" t="str">
        <f>'LS Shortlist'!U120</f>
        <v>Invite Next Year</v>
      </c>
    </row>
    <row r="121" spans="1:3" ht="16" hidden="1">
      <c r="A121" s="203" t="str">
        <f>'LS Shortlist'!B121</f>
        <v>Nanotransfer _2022</v>
      </c>
      <c r="B121" s="203" t="str">
        <f>'LS Shortlist'!E121</f>
        <v>Life Sciences</v>
      </c>
      <c r="C121" s="203" t="str">
        <f>'LS Shortlist'!U121</f>
        <v>Invite Next Year</v>
      </c>
    </row>
    <row r="122" spans="1:3" ht="16" hidden="1">
      <c r="A122" s="203" t="str">
        <f>'LS Shortlist'!B122</f>
        <v>Cogniant _2022</v>
      </c>
      <c r="B122" s="203" t="str">
        <f>'LS Shortlist'!E122</f>
        <v>Life Sciences</v>
      </c>
      <c r="C122" s="203" t="str">
        <f>'LS Shortlist'!U122</f>
        <v>Invite Next Year</v>
      </c>
    </row>
    <row r="123" spans="1:3" ht="16" hidden="1">
      <c r="A123" s="203" t="str">
        <f>'LS Shortlist'!B123</f>
        <v>Fun Guy Project _2022</v>
      </c>
      <c r="B123" s="203" t="str">
        <f>'LS Shortlist'!E123</f>
        <v>Life Sciences</v>
      </c>
      <c r="C123" s="203" t="str">
        <f>'LS Shortlist'!U123</f>
        <v>Invite Next Year</v>
      </c>
    </row>
    <row r="124" spans="1:3" ht="16" hidden="1">
      <c r="A124" s="203" t="str">
        <f>'LS Shortlist'!B124</f>
        <v>Proxygen _2022</v>
      </c>
      <c r="B124" s="203" t="str">
        <f>'LS Shortlist'!E124</f>
        <v>Life Sciences</v>
      </c>
      <c r="C124" s="203" t="str">
        <f>'LS Shortlist'!U124</f>
        <v>Invite Next Year</v>
      </c>
    </row>
    <row r="125" spans="1:3" ht="16" hidden="1">
      <c r="A125" s="203" t="str">
        <f>'LS Shortlist'!B125</f>
        <v>Mediloq, Inc. _2022</v>
      </c>
      <c r="B125" s="203" t="str">
        <f>'LS Shortlist'!E125</f>
        <v>Life Sciences</v>
      </c>
      <c r="C125" s="203" t="str">
        <f>'LS Shortlist'!U125</f>
        <v>Invite Next Year</v>
      </c>
    </row>
    <row r="126" spans="1:3" ht="16" hidden="1">
      <c r="A126" s="203" t="str">
        <f>'LS Shortlist'!B126</f>
        <v>Clean Bite, LLC _2022</v>
      </c>
      <c r="B126" s="203" t="str">
        <f>'LS Shortlist'!E126</f>
        <v>Life Sciences</v>
      </c>
      <c r="C126" s="203" t="str">
        <f>'LS Shortlist'!U126</f>
        <v>Invite Next Year</v>
      </c>
    </row>
    <row r="127" spans="1:3" ht="16" hidden="1">
      <c r="A127" s="203" t="str">
        <f>'LS Shortlist'!B127</f>
        <v>Earth To Go  _2022</v>
      </c>
      <c r="B127" s="203" t="str">
        <f>'LS Shortlist'!E127</f>
        <v>Life Sciences</v>
      </c>
      <c r="C127" s="203" t="str">
        <f>'LS Shortlist'!U127</f>
        <v>Invite Next Year</v>
      </c>
    </row>
    <row r="128" spans="1:3" ht="16" hidden="1">
      <c r="A128" s="203" t="str">
        <f>'LS Shortlist'!B128</f>
        <v>Biomedix SA, Geneva, Switzerland _2022</v>
      </c>
      <c r="B128" s="203" t="str">
        <f>'LS Shortlist'!E128</f>
        <v>Life Sciences</v>
      </c>
      <c r="C128" s="203" t="str">
        <f>'LS Shortlist'!U128</f>
        <v>Invite Next Year</v>
      </c>
    </row>
    <row r="129" spans="1:3" ht="16" hidden="1">
      <c r="A129" s="203" t="str">
        <f>'LS Shortlist'!B129</f>
        <v>MeNow _2022</v>
      </c>
      <c r="B129" s="203" t="str">
        <f>'LS Shortlist'!E129</f>
        <v>Life Sciences</v>
      </c>
      <c r="C129" s="203" t="str">
        <f>'LS Shortlist'!U129</f>
        <v>Invite Next Year</v>
      </c>
    </row>
    <row r="130" spans="1:3" ht="16" hidden="1">
      <c r="A130" s="203" t="str">
        <f>'LS Shortlist'!B130</f>
        <v>Tawazon inc _2022</v>
      </c>
      <c r="B130" s="203" t="str">
        <f>'LS Shortlist'!E130</f>
        <v>Life Sciences</v>
      </c>
      <c r="C130" s="203" t="str">
        <f>'LS Shortlist'!U130</f>
        <v>Invite Next Year</v>
      </c>
    </row>
    <row r="131" spans="1:3" ht="16" hidden="1">
      <c r="A131" s="203" t="str">
        <f>'LS Shortlist'!B131</f>
        <v>echoscope _2022</v>
      </c>
      <c r="B131" s="203" t="str">
        <f>'LS Shortlist'!E131</f>
        <v>Life Sciences</v>
      </c>
      <c r="C131" s="203" t="str">
        <f>'LS Shortlist'!U131</f>
        <v>Invite Next Year</v>
      </c>
    </row>
    <row r="132" spans="1:3" ht="16" hidden="1">
      <c r="A132" s="203" t="str">
        <f>'LS Shortlist'!B132</f>
        <v>Cognitive IVF s.r.o. _2022</v>
      </c>
      <c r="B132" s="203" t="str">
        <f>'LS Shortlist'!E132</f>
        <v>Life Sciences</v>
      </c>
      <c r="C132" s="203" t="str">
        <f>'LS Shortlist'!U132</f>
        <v>Invite Next Year</v>
      </c>
    </row>
    <row r="133" spans="1:3" ht="16" hidden="1">
      <c r="A133" s="203" t="str">
        <f>'LS Shortlist'!B133</f>
        <v>Pyrojas Inc. _2022</v>
      </c>
      <c r="B133" s="203" t="str">
        <f>'LS Shortlist'!E133</f>
        <v>Life Sciences</v>
      </c>
      <c r="C133" s="203" t="str">
        <f>'LS Shortlist'!U133</f>
        <v>Invite Next Year</v>
      </c>
    </row>
    <row r="134" spans="1:3" ht="16" hidden="1">
      <c r="A134" s="203" t="str">
        <f>'LS Shortlist'!B134</f>
        <v>ASD.ai LLC _2022</v>
      </c>
      <c r="B134" s="203" t="str">
        <f>'LS Shortlist'!E134</f>
        <v>Life Sciences</v>
      </c>
      <c r="C134" s="203" t="str">
        <f>'LS Shortlist'!U134</f>
        <v>Invite Next Year</v>
      </c>
    </row>
    <row r="135" spans="1:3" ht="16" hidden="1">
      <c r="A135" s="203" t="str">
        <f>'LS Shortlist'!B135</f>
        <v>Aliform Inc. _2022</v>
      </c>
      <c r="B135" s="203" t="str">
        <f>'LS Shortlist'!E135</f>
        <v>Life Sciences</v>
      </c>
      <c r="C135" s="203" t="str">
        <f>'LS Shortlist'!U135</f>
        <v>Invite Next Year</v>
      </c>
    </row>
    <row r="136" spans="1:3" ht="16" hidden="1">
      <c r="A136" s="203" t="str">
        <f>'LS Shortlist'!B136</f>
        <v>Ultrasonic Medical Mapping, Inc. _2022</v>
      </c>
      <c r="B136" s="203" t="str">
        <f>'LS Shortlist'!E136</f>
        <v>Life Sciences</v>
      </c>
      <c r="C136" s="203" t="str">
        <f>'LS Shortlist'!U136</f>
        <v>Invite Next Year</v>
      </c>
    </row>
    <row r="137" spans="1:3" ht="16" hidden="1">
      <c r="A137" s="203" t="str">
        <f>'LS Shortlist'!B137</f>
        <v>Axaitech _2022</v>
      </c>
      <c r="B137" s="203" t="str">
        <f>'LS Shortlist'!E137</f>
        <v>Life Sciences</v>
      </c>
      <c r="C137" s="203" t="str">
        <f>'LS Shortlist'!U137</f>
        <v>Invite Next Year</v>
      </c>
    </row>
    <row r="138" spans="1:3" ht="16" hidden="1">
      <c r="A138" s="203" t="str">
        <f>'LS Shortlist'!B138</f>
        <v>CLOWAK INNOVATIONS LLP _2022</v>
      </c>
      <c r="B138" s="203" t="str">
        <f>'LS Shortlist'!E138</f>
        <v>Life Sciences</v>
      </c>
      <c r="C138" s="203" t="str">
        <f>'LS Shortlist'!U138</f>
        <v>Invite Next Year</v>
      </c>
    </row>
    <row r="139" spans="1:3" ht="16" hidden="1">
      <c r="A139" s="203" t="str">
        <f>'LS Shortlist'!B139</f>
        <v>Metamorphic Foods Pvt Ltd (Klever Meat) _2022</v>
      </c>
      <c r="B139" s="203" t="str">
        <f>'LS Shortlist'!E139</f>
        <v>Life Sciences</v>
      </c>
      <c r="C139" s="203" t="str">
        <f>'LS Shortlist'!U139</f>
        <v>Invite Next Year</v>
      </c>
    </row>
    <row r="140" spans="1:3" ht="16" hidden="1">
      <c r="A140" s="203" t="str">
        <f>'LS Shortlist'!B140</f>
        <v>GaleSun Technologies _2022</v>
      </c>
      <c r="B140" s="203" t="str">
        <f>'LS Shortlist'!E140</f>
        <v>Life Sciences</v>
      </c>
      <c r="C140" s="203" t="str">
        <f>'LS Shortlist'!U140</f>
        <v>Invite Next Year</v>
      </c>
    </row>
    <row r="141" spans="1:3" ht="16" hidden="1">
      <c r="A141" s="203" t="str">
        <f>'LS Shortlist'!B141</f>
        <v>Neurohue _2022</v>
      </c>
      <c r="B141" s="203" t="str">
        <f>'LS Shortlist'!E141</f>
        <v>Life Sciences</v>
      </c>
      <c r="C141" s="203" t="str">
        <f>'LS Shortlist'!U141</f>
        <v>Invite Next Year</v>
      </c>
    </row>
    <row r="142" spans="1:3" ht="16" hidden="1">
      <c r="A142" s="203" t="str">
        <f>'LS Shortlist'!B142</f>
        <v>eXeer Biotech, Inc _2022</v>
      </c>
      <c r="B142" s="203" t="str">
        <f>'LS Shortlist'!E142</f>
        <v>Life Sciences</v>
      </c>
      <c r="C142" s="203" t="str">
        <f>'LS Shortlist'!U142</f>
        <v>Invite Next Year</v>
      </c>
    </row>
    <row r="143" spans="1:3" ht="16" hidden="1">
      <c r="A143" s="203" t="str">
        <f>'LS Shortlist'!B143</f>
        <v>Salve Therapeutics _2022</v>
      </c>
      <c r="B143" s="203" t="str">
        <f>'LS Shortlist'!E143</f>
        <v>Life Sciences</v>
      </c>
      <c r="C143" s="203" t="str">
        <f>'LS Shortlist'!U143</f>
        <v>Invite Next Year</v>
      </c>
    </row>
    <row r="144" spans="1:3" ht="16" hidden="1">
      <c r="A144" s="203" t="str">
        <f>'LS Shortlist'!B144</f>
        <v>ION Medical Safety _2022</v>
      </c>
      <c r="B144" s="203" t="str">
        <f>'LS Shortlist'!E144</f>
        <v>Life Sciences</v>
      </c>
      <c r="C144" s="203" t="str">
        <f>'LS Shortlist'!U144</f>
        <v>Invite Next Year</v>
      </c>
    </row>
    <row r="145" spans="1:3" ht="16" hidden="1">
      <c r="A145" s="203" t="str">
        <f>'LS Shortlist'!B145</f>
        <v>Electra Beverages &amp; Nutritionals, LLC _2022</v>
      </c>
      <c r="B145" s="203" t="str">
        <f>'LS Shortlist'!E145</f>
        <v>Life Sciences</v>
      </c>
      <c r="C145" s="203" t="str">
        <f>'LS Shortlist'!U145</f>
        <v>Invite Next Year</v>
      </c>
    </row>
    <row r="146" spans="1:3" ht="16" hidden="1">
      <c r="A146" s="203" t="str">
        <f>'LS Shortlist'!B146</f>
        <v>AiroSolve _2022</v>
      </c>
      <c r="B146" s="203" t="str">
        <f>'LS Shortlist'!E146</f>
        <v>Life Sciences</v>
      </c>
      <c r="C146" s="203" t="str">
        <f>'LS Shortlist'!U146</f>
        <v>Invite Next Year</v>
      </c>
    </row>
    <row r="147" spans="1:3" ht="16" hidden="1">
      <c r="A147" s="203" t="str">
        <f>'LS Shortlist'!B147</f>
        <v>First Person Solutions _2022</v>
      </c>
      <c r="B147" s="203" t="str">
        <f>'LS Shortlist'!E147</f>
        <v>Life Sciences</v>
      </c>
      <c r="C147" s="203" t="str">
        <f>'LS Shortlist'!U147</f>
        <v>Invite Next Year</v>
      </c>
    </row>
    <row r="148" spans="1:3" ht="16" hidden="1">
      <c r="A148" s="203" t="str">
        <f>'LS Shortlist'!B148</f>
        <v>TrioWave Technologies _2022</v>
      </c>
      <c r="B148" s="203" t="str">
        <f>'LS Shortlist'!E148</f>
        <v>Life Sciences</v>
      </c>
      <c r="C148" s="203" t="str">
        <f>'LS Shortlist'!U148</f>
        <v>Invite Next Year</v>
      </c>
    </row>
    <row r="149" spans="1:3" ht="16" hidden="1">
      <c r="A149" s="203" t="str">
        <f>'LS Shortlist'!B149</f>
        <v>Cardiología Hiskin _2022</v>
      </c>
      <c r="B149" s="203" t="str">
        <f>'LS Shortlist'!E149</f>
        <v>Life Sciences</v>
      </c>
      <c r="C149" s="203" t="str">
        <f>'LS Shortlist'!U149</f>
        <v>Invite Next Year</v>
      </c>
    </row>
    <row r="150" spans="1:3" ht="16" hidden="1">
      <c r="A150" s="203" t="str">
        <f>'LS Shortlist'!B150</f>
        <v>ChoroPharma, LLC _2022</v>
      </c>
      <c r="B150" s="203" t="str">
        <f>'LS Shortlist'!E150</f>
        <v>Life Sciences</v>
      </c>
      <c r="C150" s="203" t="str">
        <f>'LS Shortlist'!U150</f>
        <v>Invite Next Year</v>
      </c>
    </row>
    <row r="151" spans="1:3" ht="16" hidden="1">
      <c r="A151" s="203" t="str">
        <f>'LS Shortlist'!B151</f>
        <v>CFIT _2022</v>
      </c>
      <c r="B151" s="203" t="str">
        <f>'LS Shortlist'!E151</f>
        <v>Life Sciences</v>
      </c>
      <c r="C151" s="203" t="str">
        <f>'LS Shortlist'!U151</f>
        <v>Invite Next Year</v>
      </c>
    </row>
    <row r="152" spans="1:3" ht="16" hidden="1">
      <c r="A152" s="203" t="str">
        <f>'LS Shortlist'!B152</f>
        <v>Kara _2022</v>
      </c>
      <c r="B152" s="203" t="str">
        <f>'LS Shortlist'!E152</f>
        <v>Life Sciences</v>
      </c>
      <c r="C152" s="203" t="str">
        <f>'LS Shortlist'!U152</f>
        <v>Invite Next Year</v>
      </c>
    </row>
    <row r="153" spans="1:3" ht="16" hidden="1">
      <c r="A153" s="203" t="str">
        <f>'LS Shortlist'!B153</f>
        <v>Say Ha _2022</v>
      </c>
      <c r="B153" s="203" t="str">
        <f>'LS Shortlist'!E153</f>
        <v>Life Sciences</v>
      </c>
      <c r="C153" s="203" t="str">
        <f>'LS Shortlist'!U153</f>
        <v>Invite Next Year</v>
      </c>
    </row>
    <row r="154" spans="1:3" ht="16" hidden="1">
      <c r="A154" s="203" t="str">
        <f>'LS Shortlist'!B154</f>
        <v>The Cumin Culinary Brands _2022</v>
      </c>
      <c r="B154" s="203" t="str">
        <f>'LS Shortlist'!E154</f>
        <v>Life Sciences</v>
      </c>
      <c r="C154" s="203" t="str">
        <f>'LS Shortlist'!U154</f>
        <v>Invite Next Year</v>
      </c>
    </row>
    <row r="155" spans="1:3" ht="16" hidden="1">
      <c r="A155" s="203" t="str">
        <f>'LS Shortlist'!B155</f>
        <v>Yumwoof Natural Pet Food _2022</v>
      </c>
      <c r="B155" s="203" t="str">
        <f>'LS Shortlist'!E155</f>
        <v>Life Sciences</v>
      </c>
      <c r="C155" s="203" t="str">
        <f>'LS Shortlist'!U155</f>
        <v>Invite Next Year</v>
      </c>
    </row>
    <row r="156" spans="1:3" ht="16" hidden="1">
      <c r="A156" s="203" t="str">
        <f>'LS Shortlist'!B156</f>
        <v>IonMedicine _2022</v>
      </c>
      <c r="B156" s="203" t="str">
        <f>'LS Shortlist'!E156</f>
        <v>Life Sciences</v>
      </c>
      <c r="C156" s="203" t="str">
        <f>'LS Shortlist'!U156</f>
        <v>Invite Next Year</v>
      </c>
    </row>
    <row r="157" spans="1:3" ht="16" hidden="1">
      <c r="A157" s="203" t="str">
        <f>'LS Shortlist'!B157</f>
        <v>Nutrizle _2022</v>
      </c>
      <c r="B157" s="203" t="str">
        <f>'LS Shortlist'!E157</f>
        <v>Life Sciences</v>
      </c>
      <c r="C157" s="203" t="str">
        <f>'LS Shortlist'!U157</f>
        <v>Invite Next Year</v>
      </c>
    </row>
    <row r="158" spans="1:3" ht="16" hidden="1">
      <c r="A158" s="203" t="str">
        <f>'LS Shortlist'!B158</f>
        <v>Southern Dairy Products _2022</v>
      </c>
      <c r="B158" s="203" t="str">
        <f>'LS Shortlist'!E158</f>
        <v>Life Sciences</v>
      </c>
      <c r="C158" s="203" t="str">
        <f>'LS Shortlist'!U158</f>
        <v>Invite Next Year</v>
      </c>
    </row>
    <row r="159" spans="1:3" ht="16" hidden="1">
      <c r="A159" s="203" t="str">
        <f>'LS Shortlist'!B159</f>
        <v>Iocure, Inc. _2022</v>
      </c>
      <c r="B159" s="203" t="str">
        <f>'LS Shortlist'!E159</f>
        <v>Life Sciences</v>
      </c>
      <c r="C159" s="203" t="str">
        <f>'LS Shortlist'!U159</f>
        <v>Invite Next Year</v>
      </c>
    </row>
    <row r="160" spans="1:3" ht="16" hidden="1">
      <c r="A160" s="203" t="str">
        <f>'LS Shortlist'!B160</f>
        <v>Ndal Mfg Inc, Dba Ndal Biofilm Medical Group,  _2022</v>
      </c>
      <c r="B160" s="203" t="str">
        <f>'LS Shortlist'!E160</f>
        <v>Life Sciences</v>
      </c>
      <c r="C160" s="203" t="str">
        <f>'LS Shortlist'!U160</f>
        <v>Invite Next Year</v>
      </c>
    </row>
    <row r="161" spans="1:3" ht="16" hidden="1">
      <c r="A161" s="203" t="str">
        <f>'LS Shortlist'!B161</f>
        <v>Novamp Pharma Pack _2022</v>
      </c>
      <c r="B161" s="203" t="str">
        <f>'LS Shortlist'!E161</f>
        <v>Life Sciences</v>
      </c>
      <c r="C161" s="203" t="str">
        <f>'LS Shortlist'!U161</f>
        <v>Invite Next Year</v>
      </c>
    </row>
    <row r="162" spans="1:3" ht="16" hidden="1">
      <c r="A162" s="203" t="str">
        <f>'LS Shortlist'!B162</f>
        <v>Oral FLuid Testing Labs LLC _2022</v>
      </c>
      <c r="B162" s="203" t="str">
        <f>'LS Shortlist'!E162</f>
        <v>Life Sciences</v>
      </c>
      <c r="C162" s="203" t="str">
        <f>'LS Shortlist'!U162</f>
        <v>Invite Next Year</v>
      </c>
    </row>
    <row r="163" spans="1:3" ht="16" hidden="1">
      <c r="A163" s="203" t="str">
        <f>'LS Shortlist'!B163</f>
        <v>Brigade Automation Corporation LLC _2022</v>
      </c>
      <c r="B163" s="203" t="str">
        <f>'LS Shortlist'!E163</f>
        <v>Life Sciences</v>
      </c>
      <c r="C163" s="203" t="str">
        <f>'LS Shortlist'!U163</f>
        <v>Invite Next Year</v>
      </c>
    </row>
    <row r="164" spans="1:3" ht="16" hidden="1">
      <c r="A164" s="203" t="str">
        <f>'LS Shortlist'!B164</f>
        <v>IceBeanie  _2022</v>
      </c>
      <c r="B164" s="203" t="str">
        <f>'LS Shortlist'!E164</f>
        <v>Life Sciences</v>
      </c>
      <c r="C164" s="203" t="str">
        <f>'LS Shortlist'!U164</f>
        <v>Invite Next Year</v>
      </c>
    </row>
    <row r="165" spans="1:3" ht="16" hidden="1">
      <c r="A165" s="203" t="str">
        <f>'LS Shortlist'!B165</f>
        <v>Neo Xenia Biotech _2022</v>
      </c>
      <c r="B165" s="203" t="str">
        <f>'LS Shortlist'!E165</f>
        <v>Life Sciences</v>
      </c>
      <c r="C165" s="203" t="str">
        <f>'LS Shortlist'!U165</f>
        <v>Invite Next Year</v>
      </c>
    </row>
    <row r="166" spans="1:3" ht="16" hidden="1">
      <c r="A166" s="203" t="str">
        <f>'LS Shortlist'!B166</f>
        <v>Dream Tea NYC _2022</v>
      </c>
      <c r="B166" s="203" t="str">
        <f>'LS Shortlist'!E166</f>
        <v>Life Sciences</v>
      </c>
      <c r="C166" s="203" t="str">
        <f>'LS Shortlist'!U166</f>
        <v>Invite Next Year</v>
      </c>
    </row>
    <row r="167" spans="1:3" ht="16" hidden="1">
      <c r="A167" s="203" t="str">
        <f>'LS Shortlist'!B167</f>
        <v>Ndal Mfg Inc., Biofilm Medical _2022</v>
      </c>
      <c r="B167" s="203" t="str">
        <f>'LS Shortlist'!E167</f>
        <v>Life Sciences</v>
      </c>
      <c r="C167" s="203" t="str">
        <f>'LS Shortlist'!U167</f>
        <v>Invite Next Year</v>
      </c>
    </row>
    <row r="168" spans="1:3" ht="16" hidden="1">
      <c r="A168" s="203" t="str">
        <f>'LS Shortlist'!B168</f>
        <v>sustaident _2022</v>
      </c>
      <c r="B168" s="203" t="str">
        <f>'LS Shortlist'!E168</f>
        <v>Life Sciences</v>
      </c>
      <c r="C168" s="203" t="str">
        <f>'LS Shortlist'!U168</f>
        <v>Invite Next Year</v>
      </c>
    </row>
    <row r="169" spans="1:3" ht="16" hidden="1">
      <c r="A169" s="203" t="str">
        <f>'LS Shortlist'!B169</f>
        <v>Nutrarte LLC, Nutrarte SAS _2022</v>
      </c>
      <c r="B169" s="203" t="str">
        <f>'LS Shortlist'!E169</f>
        <v>Life Sciences</v>
      </c>
      <c r="C169" s="203" t="str">
        <f>'LS Shortlist'!U169</f>
        <v>Invite Next Year</v>
      </c>
    </row>
    <row r="170" spans="1:3" ht="16" hidden="1">
      <c r="A170" s="203" t="str">
        <f>'LS Shortlist'!B170</f>
        <v>Sprayify (formerly known as Coatify) _2022</v>
      </c>
      <c r="B170" s="203" t="str">
        <f>'LS Shortlist'!E170</f>
        <v>Life Sciences</v>
      </c>
      <c r="C170" s="203" t="str">
        <f>'LS Shortlist'!U170</f>
        <v>Invite Next Year</v>
      </c>
    </row>
    <row r="171" spans="1:3" ht="16" hidden="1">
      <c r="A171" s="203" t="str">
        <f>'LS Shortlist'!B171</f>
        <v>BWISECORP Blue Whale Invention Safety Energy Corporation  _2022</v>
      </c>
      <c r="B171" s="203" t="str">
        <f>'LS Shortlist'!E171</f>
        <v>Life Sciences</v>
      </c>
      <c r="C171" s="203" t="str">
        <f>'LS Shortlist'!U171</f>
        <v>Invite Next Year</v>
      </c>
    </row>
    <row r="172" spans="1:3" ht="16" hidden="1">
      <c r="A172" s="203" t="str">
        <f>'LS Shortlist'!B172</f>
        <v>COMPOSTAME _2022</v>
      </c>
      <c r="B172" s="203" t="str">
        <f>'LS Shortlist'!E172</f>
        <v>Life Sciences</v>
      </c>
      <c r="C172" s="203" t="str">
        <f>'LS Shortlist'!U172</f>
        <v>Invite Next Year</v>
      </c>
    </row>
    <row r="173" spans="1:3" ht="16" hidden="1">
      <c r="A173" s="203" t="str">
        <f>'LS Shortlist'!B173</f>
        <v>NewYou /ThePeopleChain/notyet _2022</v>
      </c>
      <c r="B173" s="203" t="str">
        <f>'LS Shortlist'!E173</f>
        <v>Life Sciences</v>
      </c>
      <c r="C173" s="203" t="str">
        <f>'LS Shortlist'!U173</f>
        <v>Invite Next Year</v>
      </c>
    </row>
    <row r="174" spans="1:3" ht="16" hidden="1">
      <c r="A174" s="203" t="str">
        <f>'LS Shortlist'!B174</f>
        <v>Edible Graveyards _2022</v>
      </c>
      <c r="B174" s="203" t="str">
        <f>'LS Shortlist'!E174</f>
        <v>Life Sciences</v>
      </c>
      <c r="C174" s="203" t="str">
        <f>'LS Shortlist'!U174</f>
        <v>Invite Next Year</v>
      </c>
    </row>
    <row r="175" spans="1:3" ht="16" hidden="1">
      <c r="A175" s="203" t="str">
        <f>'LS Shortlist'!B175</f>
        <v>Dentco _2022</v>
      </c>
      <c r="B175" s="203" t="str">
        <f>'LS Shortlist'!E175</f>
        <v>Life Sciences</v>
      </c>
      <c r="C175" s="203" t="str">
        <f>'LS Shortlist'!U175</f>
        <v>Invite Next Year</v>
      </c>
    </row>
    <row r="176" spans="1:3" ht="16" hidden="1">
      <c r="A176" s="203" t="str">
        <f>'LS Shortlist'!B176</f>
        <v>New Age Hygienic Systems, Inc. _2022</v>
      </c>
      <c r="B176" s="203" t="str">
        <f>'LS Shortlist'!E176</f>
        <v>Life Sciences</v>
      </c>
      <c r="C176" s="203" t="str">
        <f>'LS Shortlist'!U176</f>
        <v>Invite Next Year</v>
      </c>
    </row>
    <row r="177" spans="1:3" ht="16" hidden="1">
      <c r="A177" s="203" t="str">
        <f>'LS Shortlist'!B177</f>
        <v>Blind Tiger, LLC D/B/A Blind Tiger Spirit-Free Cocktails _2022</v>
      </c>
      <c r="B177" s="203" t="str">
        <f>'LS Shortlist'!E177</f>
        <v>Life Sciences</v>
      </c>
      <c r="C177" s="203" t="str">
        <f>'LS Shortlist'!U177</f>
        <v>Reject</v>
      </c>
    </row>
    <row r="178" spans="1:3" ht="16" hidden="1">
      <c r="A178" s="203" t="str">
        <f>'LS Shortlist'!B178</f>
        <v>LEVI Diagnostics, Inc. _2022</v>
      </c>
      <c r="B178" s="203" t="str">
        <f>'LS Shortlist'!E178</f>
        <v>Life Sciences</v>
      </c>
      <c r="C178" s="203" t="str">
        <f>'LS Shortlist'!U178</f>
        <v>Special Reject</v>
      </c>
    </row>
    <row r="179" spans="1:3" ht="16" hidden="1">
      <c r="A179" s="203" t="str">
        <f>'LS Shortlist'!B179</f>
        <v>APIE Therapeutics  _2022</v>
      </c>
      <c r="B179" s="203" t="str">
        <f>'LS Shortlist'!E179</f>
        <v>Life Sciences</v>
      </c>
      <c r="C179" s="203" t="str">
        <f>'LS Shortlist'!U179</f>
        <v>Special Reject</v>
      </c>
    </row>
    <row r="180" spans="1:3" ht="16" hidden="1">
      <c r="A180" s="203" t="str">
        <f>'LS Shortlist'!B180</f>
        <v>Elysium Therapeutics, Inc. _2022</v>
      </c>
      <c r="B180" s="203" t="str">
        <f>'LS Shortlist'!E180</f>
        <v>Life Sciences</v>
      </c>
      <c r="C180" s="203" t="str">
        <f>'LS Shortlist'!U180</f>
        <v>Special Reject</v>
      </c>
    </row>
    <row r="181" spans="1:3" ht="16" hidden="1">
      <c r="A181" s="203" t="str">
        <f>'LS Shortlist'!B181</f>
        <v>EndObetes _2022</v>
      </c>
      <c r="B181" s="203" t="str">
        <f>'LS Shortlist'!E181</f>
        <v>Life Sciences</v>
      </c>
      <c r="C181" s="203" t="str">
        <f>'LS Shortlist'!U181</f>
        <v>Special Reject</v>
      </c>
    </row>
    <row r="182" spans="1:3" ht="16" hidden="1">
      <c r="A182" s="203" t="str">
        <f>'LS Shortlist'!B182</f>
        <v>Hubly Surgical _2022</v>
      </c>
      <c r="B182" s="203" t="str">
        <f>'LS Shortlist'!E182</f>
        <v>Life Sciences</v>
      </c>
      <c r="C182" s="203" t="str">
        <f>'LS Shortlist'!U182</f>
        <v>Special Reject</v>
      </c>
    </row>
    <row r="183" spans="1:3" ht="16" hidden="1">
      <c r="A183" s="203" t="str">
        <f>'LS Shortlist'!B183</f>
        <v>Ischemia Care _2022</v>
      </c>
      <c r="B183" s="203" t="str">
        <f>'LS Shortlist'!E183</f>
        <v>Life Sciences</v>
      </c>
      <c r="C183" s="203" t="str">
        <f>'LS Shortlist'!U183</f>
        <v>Special Reject</v>
      </c>
    </row>
    <row r="184" spans="1:3" ht="16" hidden="1">
      <c r="A184" s="203" t="str">
        <f>'LS Shortlist'!B184</f>
        <v>Isoprene Pharmaceuticals, Inc. _2022</v>
      </c>
      <c r="B184" s="203" t="str">
        <f>'LS Shortlist'!E184</f>
        <v>Life Sciences</v>
      </c>
      <c r="C184" s="203" t="str">
        <f>'LS Shortlist'!U184</f>
        <v>Special Reject</v>
      </c>
    </row>
    <row r="185" spans="1:3" ht="16" hidden="1">
      <c r="A185" s="203" t="str">
        <f>'LS Shortlist'!B185</f>
        <v>Kleiner Device Labs _2022</v>
      </c>
      <c r="B185" s="203" t="str">
        <f>'LS Shortlist'!E185</f>
        <v>Life Sciences</v>
      </c>
      <c r="C185" s="203" t="str">
        <f>'LS Shortlist'!U185</f>
        <v>Special Reject</v>
      </c>
    </row>
    <row r="186" spans="1:3" ht="16" hidden="1">
      <c r="A186" s="203" t="str">
        <f>'LS Shortlist'!B186</f>
        <v>LizarBio Therapeutics _2022</v>
      </c>
      <c r="B186" s="203" t="str">
        <f>'LS Shortlist'!E186</f>
        <v>Life Sciences</v>
      </c>
      <c r="C186" s="203" t="str">
        <f>'LS Shortlist'!U186</f>
        <v>Special Reject</v>
      </c>
    </row>
    <row r="187" spans="1:3" ht="16" hidden="1">
      <c r="A187" s="203" t="str">
        <f>'LS Shortlist'!B187</f>
        <v>OmniCyte, LLC _2022</v>
      </c>
      <c r="B187" s="203" t="str">
        <f>'LS Shortlist'!E187</f>
        <v>Life Sciences</v>
      </c>
      <c r="C187" s="203" t="str">
        <f>'LS Shortlist'!U187</f>
        <v>Special Reject</v>
      </c>
    </row>
    <row r="188" spans="1:3" ht="16" hidden="1">
      <c r="A188" s="203" t="str">
        <f>'LS Shortlist'!B188</f>
        <v>Orbit Genomics, Inc. _2022</v>
      </c>
      <c r="B188" s="203" t="str">
        <f>'LS Shortlist'!E188</f>
        <v>Life Sciences</v>
      </c>
      <c r="C188" s="203" t="str">
        <f>'LS Shortlist'!U188</f>
        <v>Special Reject</v>
      </c>
    </row>
    <row r="189" spans="1:3" ht="16" hidden="1">
      <c r="A189" s="203" t="str">
        <f>'LS Shortlist'!B189</f>
        <v>PRP Concepts, Inc. _2022</v>
      </c>
      <c r="B189" s="203" t="str">
        <f>'LS Shortlist'!E189</f>
        <v>Life Sciences</v>
      </c>
      <c r="C189" s="203" t="str">
        <f>'LS Shortlist'!U189</f>
        <v>Special Reject</v>
      </c>
    </row>
    <row r="190" spans="1:3" ht="16" hidden="1">
      <c r="A190" s="203" t="str">
        <f>'LS Shortlist'!B190</f>
        <v>Red Arrow Therapeutics, Co. Ltd.  _2022</v>
      </c>
      <c r="B190" s="203" t="str">
        <f>'LS Shortlist'!E190</f>
        <v>Life Sciences</v>
      </c>
      <c r="C190" s="203" t="str">
        <f>'LS Shortlist'!U190</f>
        <v>Special Reject</v>
      </c>
    </row>
    <row r="191" spans="1:3" ht="16" hidden="1">
      <c r="A191" s="203" t="str">
        <f>'LS Shortlist'!B191</f>
        <v>Scispot.io, Inc.  _2022</v>
      </c>
      <c r="B191" s="203" t="str">
        <f>'LS Shortlist'!E191</f>
        <v>Life Sciences</v>
      </c>
      <c r="C191" s="203" t="str">
        <f>'LS Shortlist'!U191</f>
        <v>Special Reject</v>
      </c>
    </row>
    <row r="192" spans="1:3" ht="16" hidden="1">
      <c r="A192" s="203" t="str">
        <f>'LS Shortlist'!B192</f>
        <v>EriVan Bio _2022</v>
      </c>
      <c r="B192" s="203" t="str">
        <f>'LS Shortlist'!E192</f>
        <v>Life Sciences</v>
      </c>
      <c r="C192" s="203" t="str">
        <f>'LS Shortlist'!U192</f>
        <v>Special Reject</v>
      </c>
    </row>
    <row r="193" spans="1:3" ht="16" hidden="1">
      <c r="A193" s="203" t="str">
        <f>'LS Shortlist'!B193</f>
        <v>SPG Therapeutics, Inc.  _2022</v>
      </c>
      <c r="B193" s="203" t="str">
        <f>'LS Shortlist'!E193</f>
        <v>Life Sciences</v>
      </c>
      <c r="C193" s="203" t="str">
        <f>'LS Shortlist'!U193</f>
        <v>Special Reject</v>
      </c>
    </row>
    <row r="194" spans="1:3" ht="16" hidden="1">
      <c r="A194" s="203" t="str">
        <f>'LS Shortlist'!B194</f>
        <v>Summit Biomedical Imaging _2022</v>
      </c>
      <c r="B194" s="203" t="str">
        <f>'LS Shortlist'!E194</f>
        <v>Life Sciences</v>
      </c>
      <c r="C194" s="203" t="str">
        <f>'LS Shortlist'!U194</f>
        <v>Special Reject</v>
      </c>
    </row>
    <row r="195" spans="1:3" ht="16" hidden="1">
      <c r="A195" s="203" t="str">
        <f>'LS Shortlist'!B195</f>
        <v>Symphony Biosciences  _2022</v>
      </c>
      <c r="B195" s="203" t="str">
        <f>'LS Shortlist'!E195</f>
        <v>Life Sciences</v>
      </c>
      <c r="C195" s="203" t="str">
        <f>'LS Shortlist'!U195</f>
        <v>Special Reject</v>
      </c>
    </row>
    <row r="196" spans="1:3" ht="16" hidden="1">
      <c r="A196" s="203" t="str">
        <f>'LS Shortlist'!B196</f>
        <v>VitriVac.com _2022</v>
      </c>
      <c r="B196" s="203" t="str">
        <f>'LS Shortlist'!E196</f>
        <v>Life Sciences</v>
      </c>
      <c r="C196" s="203" t="str">
        <f>'LS Shortlist'!U196</f>
        <v>Special Reject</v>
      </c>
    </row>
    <row r="197" spans="1:3" ht="16" hidden="1">
      <c r="A197" s="203" t="str">
        <f>'LS Shortlist'!B197</f>
        <v>Allergy Butler _2022</v>
      </c>
      <c r="B197" s="203" t="str">
        <f>'LS Shortlist'!E197</f>
        <v>Life Sciences</v>
      </c>
      <c r="C197" s="203" t="str">
        <f>'LS Shortlist'!U197</f>
        <v>Special Reject</v>
      </c>
    </row>
    <row r="198" spans="1:3" ht="16" hidden="1">
      <c r="A198" s="203" t="str">
        <f>'LS Shortlist'!B198</f>
        <v>NemaGen Discoveries, INC _2022</v>
      </c>
      <c r="B198" s="203" t="str">
        <f>'LS Shortlist'!E198</f>
        <v>Life Sciences</v>
      </c>
      <c r="C198" s="203" t="str">
        <f>'LS Shortlist'!U198</f>
        <v>Special Reject</v>
      </c>
    </row>
    <row r="199" spans="1:3" ht="16" hidden="1">
      <c r="A199" s="203" t="str">
        <f>'LS Shortlist'!B199</f>
        <v>QSINGULA DEVELOPMENT FZ-LLC (QSD) _2022</v>
      </c>
      <c r="B199" s="203" t="str">
        <f>'LS Shortlist'!E199</f>
        <v>Life Sciences</v>
      </c>
      <c r="C199" s="203" t="str">
        <f>'LS Shortlist'!U199</f>
        <v>Special Reject</v>
      </c>
    </row>
    <row r="200" spans="1:3" ht="16" hidden="1">
      <c r="A200" s="203" t="str">
        <f>'LS Shortlist'!B200</f>
        <v>RAADYSAN BIOTECH, INC. _2022</v>
      </c>
      <c r="B200" s="203" t="str">
        <f>'LS Shortlist'!E200</f>
        <v>Life Sciences</v>
      </c>
      <c r="C200" s="203" t="str">
        <f>'LS Shortlist'!U200</f>
        <v>Special Reject</v>
      </c>
    </row>
    <row r="201" spans="1:3" ht="16" hidden="1">
      <c r="A201" s="203" t="str">
        <f>'LS Shortlist'!B201</f>
        <v>White Rock Therapeutics _2022</v>
      </c>
      <c r="B201" s="203" t="str">
        <f>'LS Shortlist'!E201</f>
        <v>Life Sciences</v>
      </c>
      <c r="C201" s="203" t="str">
        <f>'LS Shortlist'!U201</f>
        <v>Special Reject</v>
      </c>
    </row>
    <row r="202" spans="1:3" ht="16" hidden="1">
      <c r="A202" s="203" t="str">
        <f>'LS Shortlist'!B202</f>
        <v>Singh Biotechnology, LLC _2022</v>
      </c>
      <c r="B202" s="203" t="str">
        <f>'LS Shortlist'!E202</f>
        <v>Life Sciences</v>
      </c>
      <c r="C202" s="203" t="str">
        <f>'LS Shortlist'!U202</f>
        <v>Special Reject</v>
      </c>
    </row>
    <row r="203" spans="1:3" ht="16" hidden="1">
      <c r="A203" s="203" t="str">
        <f>'LS Shortlist'!B203</f>
        <v>MDDx, Inc. _2022</v>
      </c>
      <c r="B203" s="203" t="str">
        <f>'LS Shortlist'!E203</f>
        <v>Life Sciences</v>
      </c>
      <c r="C203" s="203" t="str">
        <f>'LS Shortlist'!U203</f>
        <v>Special Reject</v>
      </c>
    </row>
    <row r="204" spans="1:3" ht="16" hidden="1">
      <c r="A204" s="203" t="str">
        <f>'LS Shortlist'!B204</f>
        <v>Sayenza Biosciences _2022</v>
      </c>
      <c r="B204" s="203" t="str">
        <f>'LS Shortlist'!E204</f>
        <v>Life Sciences</v>
      </c>
      <c r="C204" s="203" t="str">
        <f>'LS Shortlist'!U204</f>
        <v>Special Reject</v>
      </c>
    </row>
    <row r="205" spans="1:3" ht="16" hidden="1">
      <c r="A205" s="203" t="str">
        <f>'LS Shortlist'!B205</f>
        <v>3 Ridge Technologies _2022</v>
      </c>
      <c r="B205" s="203" t="str">
        <f>'LS Shortlist'!E205</f>
        <v>Life Sciences</v>
      </c>
      <c r="C205" s="203" t="str">
        <f>'LS Shortlist'!U205</f>
        <v>Special Reject</v>
      </c>
    </row>
    <row r="206" spans="1:3" ht="16" hidden="1">
      <c r="A206" s="203" t="str">
        <f>'LS Shortlist'!B206</f>
        <v>Propelle Therapeutics, Inc. _2022</v>
      </c>
      <c r="B206" s="203" t="str">
        <f>'LS Shortlist'!E206</f>
        <v>Life Sciences</v>
      </c>
      <c r="C206" s="203" t="str">
        <f>'LS Shortlist'!U206</f>
        <v>Special Reject</v>
      </c>
    </row>
    <row r="207" spans="1:3" ht="16" hidden="1">
      <c r="A207" s="203" t="str">
        <f>'LS Shortlist'!B207</f>
        <v>Lodos Theranostics _2022</v>
      </c>
      <c r="B207" s="203" t="str">
        <f>'LS Shortlist'!E207</f>
        <v>Life Sciences</v>
      </c>
      <c r="C207" s="203" t="str">
        <f>'LS Shortlist'!U207</f>
        <v>Special Reject</v>
      </c>
    </row>
    <row r="208" spans="1:3" ht="16" hidden="1">
      <c r="A208" s="203" t="str">
        <f>'LS Shortlist'!B208</f>
        <v>Ricovr Healthcare Inc _2022</v>
      </c>
      <c r="B208" s="203" t="str">
        <f>'LS Shortlist'!E208</f>
        <v>Life Sciences</v>
      </c>
      <c r="C208" s="203" t="str">
        <f>'LS Shortlist'!U208</f>
        <v>Special Reject</v>
      </c>
    </row>
    <row r="209" spans="1:3" ht="16" hidden="1">
      <c r="A209" s="203" t="str">
        <f>'LS Shortlist'!B209</f>
        <v>Providentia Technologies _2022</v>
      </c>
      <c r="B209" s="203" t="str">
        <f>'LS Shortlist'!E209</f>
        <v>Life Sciences</v>
      </c>
      <c r="C209" s="203" t="str">
        <f>'LS Shortlist'!U209</f>
        <v>Special Reject</v>
      </c>
    </row>
    <row r="210" spans="1:3" ht="16" hidden="1">
      <c r="A210" s="203" t="str">
        <f>'LS Shortlist'!B210</f>
        <v>Ravata Solutions _2022</v>
      </c>
      <c r="B210" s="203" t="str">
        <f>'LS Shortlist'!E210</f>
        <v>Life Sciences</v>
      </c>
      <c r="C210" s="203" t="str">
        <f>'LS Shortlist'!U210</f>
        <v>Special Reject</v>
      </c>
    </row>
    <row r="211" spans="1:3" ht="16" hidden="1">
      <c r="A211" s="203" t="str">
        <f>'LS Shortlist'!B211</f>
        <v>Sipple Care Inc. _2022</v>
      </c>
      <c r="B211" s="203" t="str">
        <f>'LS Shortlist'!E211</f>
        <v>Life Sciences</v>
      </c>
      <c r="C211" s="203" t="str">
        <f>'LS Shortlist'!U211</f>
        <v>Special Reject</v>
      </c>
    </row>
    <row r="212" spans="1:3" ht="16" hidden="1">
      <c r="A212" s="203" t="str">
        <f>'LS Shortlist'!B212</f>
        <v>Promise Bio _2022</v>
      </c>
      <c r="B212" s="203" t="str">
        <f>'LS Shortlist'!E212</f>
        <v>Life Sciences</v>
      </c>
      <c r="C212" s="203" t="str">
        <f>'LS Shortlist'!U212</f>
        <v>Special Reject</v>
      </c>
    </row>
    <row r="213" spans="1:3" ht="16" hidden="1">
      <c r="A213" s="203" t="str">
        <f>'LS Shortlist'!B213</f>
        <v>Ampli _2022</v>
      </c>
      <c r="B213" s="203" t="str">
        <f>'LS Shortlist'!E213</f>
        <v>Life Sciences</v>
      </c>
      <c r="C213" s="203" t="str">
        <f>'LS Shortlist'!U213</f>
        <v>Special Reject</v>
      </c>
    </row>
    <row r="214" spans="1:3" ht="16" hidden="1">
      <c r="A214" s="203" t="str">
        <f>'LS Shortlist'!B214</f>
        <v>Mana.bio _2022</v>
      </c>
      <c r="B214" s="203" t="str">
        <f>'LS Shortlist'!E214</f>
        <v>Life Sciences</v>
      </c>
      <c r="C214" s="203" t="str">
        <f>'LS Shortlist'!U214</f>
        <v>Special Reject</v>
      </c>
    </row>
    <row r="215" spans="1:3" ht="16" hidden="1">
      <c r="A215" s="203" t="str">
        <f>'LS Shortlist'!B215</f>
        <v>Periomics Care _2022</v>
      </c>
      <c r="B215" s="203" t="str">
        <f>'LS Shortlist'!E215</f>
        <v>Life Sciences</v>
      </c>
      <c r="C215" s="203" t="str">
        <f>'LS Shortlist'!U215</f>
        <v>Special Reject</v>
      </c>
    </row>
    <row r="216" spans="1:3" ht="16" hidden="1">
      <c r="A216" s="203" t="str">
        <f>'LS Shortlist'!B216</f>
        <v>Kresko RNAtech _2022</v>
      </c>
      <c r="B216" s="203" t="str">
        <f>'LS Shortlist'!E216</f>
        <v>Life Sciences</v>
      </c>
      <c r="C216" s="203" t="str">
        <f>'LS Shortlist'!U216</f>
        <v>Special Reject</v>
      </c>
    </row>
    <row r="217" spans="1:3" ht="16" hidden="1">
      <c r="A217" s="203" t="str">
        <f>'LS Shortlist'!B217</f>
        <v>SignPost Cancer Dx Inc. _2022</v>
      </c>
      <c r="B217" s="203" t="str">
        <f>'LS Shortlist'!E217</f>
        <v>Life Sciences</v>
      </c>
      <c r="C217" s="203" t="str">
        <f>'LS Shortlist'!U217</f>
        <v>Waitlist</v>
      </c>
    </row>
    <row r="218" spans="1:3" ht="16" hidden="1">
      <c r="A218" s="203" t="str">
        <f>'LS Shortlist'!B218</f>
        <v>Ambulero, Inc.  _2022</v>
      </c>
      <c r="B218" s="203" t="str">
        <f>'LS Shortlist'!E218</f>
        <v>Life Sciences</v>
      </c>
      <c r="C218" s="203" t="str">
        <f>'LS Shortlist'!U218</f>
        <v>Waitlist</v>
      </c>
    </row>
    <row r="219" spans="1:3" ht="16" hidden="1">
      <c r="A219" s="203" t="str">
        <f>'LS Shortlist'!B219</f>
        <v>Arvetas Biosciences, Inc. _2022</v>
      </c>
      <c r="B219" s="203" t="str">
        <f>'LS Shortlist'!E219</f>
        <v>Life Sciences</v>
      </c>
      <c r="C219" s="203" t="str">
        <f>'LS Shortlist'!U219</f>
        <v>Waitlist</v>
      </c>
    </row>
    <row r="220" spans="1:3" ht="16" hidden="1">
      <c r="A220" s="203" t="str">
        <f>'LS Shortlist'!B220</f>
        <v>Avior Bio Inc. _2022</v>
      </c>
      <c r="B220" s="203" t="str">
        <f>'LS Shortlist'!E220</f>
        <v>Life Sciences</v>
      </c>
      <c r="C220" s="203" t="str">
        <f>'LS Shortlist'!U220</f>
        <v>Waitlist</v>
      </c>
    </row>
    <row r="221" spans="1:3" ht="16" hidden="1">
      <c r="A221" s="203" t="str">
        <f>'LS Shortlist'!B221</f>
        <v>Cell Harbor _2022</v>
      </c>
      <c r="B221" s="203" t="str">
        <f>'LS Shortlist'!E221</f>
        <v>Life Sciences</v>
      </c>
      <c r="C221" s="203" t="str">
        <f>'LS Shortlist'!U221</f>
        <v>Waitlist</v>
      </c>
    </row>
    <row r="222" spans="1:3" ht="16" hidden="1">
      <c r="A222" s="203" t="str">
        <f>'LS Shortlist'!B222</f>
        <v>Ossiform _2022</v>
      </c>
      <c r="B222" s="203" t="str">
        <f>'LS Shortlist'!E222</f>
        <v>Life Sciences</v>
      </c>
      <c r="C222" s="203" t="str">
        <f>'LS Shortlist'!U222</f>
        <v>Waitlist</v>
      </c>
    </row>
    <row r="223" spans="1:3" ht="16" hidden="1">
      <c r="A223" s="203" t="str">
        <f>'LS Shortlist'!B223</f>
        <v>Serenity Bioworks  _2022</v>
      </c>
      <c r="B223" s="203" t="str">
        <f>'LS Shortlist'!E223</f>
        <v>Life Sciences</v>
      </c>
      <c r="C223" s="203" t="str">
        <f>'LS Shortlist'!U223</f>
        <v>Waitlist</v>
      </c>
    </row>
    <row r="224" spans="1:3" ht="16" hidden="1">
      <c r="A224" s="203" t="str">
        <f>'LS Shortlist'!B224</f>
        <v>CRISP-HR Therapeutics _2022</v>
      </c>
      <c r="B224" s="203" t="str">
        <f>'LS Shortlist'!E224</f>
        <v>Life Sciences</v>
      </c>
      <c r="C224" s="203" t="str">
        <f>'LS Shortlist'!U224</f>
        <v>Waitlist</v>
      </c>
    </row>
    <row r="225" spans="1:3" ht="16" hidden="1">
      <c r="A225" s="203" t="str">
        <f>'LS Shortlist'!B225</f>
        <v>Helex _2022</v>
      </c>
      <c r="B225" s="203" t="str">
        <f>'LS Shortlist'!E225</f>
        <v>Life Sciences</v>
      </c>
      <c r="C225" s="203" t="str">
        <f>'LS Shortlist'!U225</f>
        <v>Waitlist</v>
      </c>
    </row>
    <row r="226" spans="1:3" ht="16">
      <c r="A226" s="203" t="s">
        <v>62</v>
      </c>
      <c r="B226" s="203" t="s">
        <v>5</v>
      </c>
      <c r="C226" s="203" t="s">
        <v>18</v>
      </c>
    </row>
    <row r="227" spans="1:3" ht="16">
      <c r="A227" s="203" t="s">
        <v>64</v>
      </c>
      <c r="B227" s="203" t="s">
        <v>5</v>
      </c>
      <c r="C227" s="203" t="s">
        <v>18</v>
      </c>
    </row>
    <row r="228" spans="1:3" ht="16">
      <c r="A228" s="203" t="s">
        <v>65</v>
      </c>
      <c r="B228" s="203" t="s">
        <v>5</v>
      </c>
      <c r="C228" s="203" t="s">
        <v>18</v>
      </c>
    </row>
    <row r="229" spans="1:3" ht="16">
      <c r="A229" s="203" t="s">
        <v>67</v>
      </c>
      <c r="B229" s="203" t="s">
        <v>5</v>
      </c>
      <c r="C229" s="203" t="s">
        <v>18</v>
      </c>
    </row>
    <row r="230" spans="1:3" ht="16">
      <c r="A230" s="203" t="s">
        <v>68</v>
      </c>
      <c r="B230" s="203" t="s">
        <v>5</v>
      </c>
      <c r="C230" s="203" t="s">
        <v>18</v>
      </c>
    </row>
    <row r="231" spans="1:3" ht="16">
      <c r="A231" s="203" t="s">
        <v>69</v>
      </c>
      <c r="B231" s="203" t="s">
        <v>5</v>
      </c>
      <c r="C231" s="203" t="s">
        <v>18</v>
      </c>
    </row>
    <row r="232" spans="1:3" ht="16">
      <c r="A232" s="203" t="s">
        <v>96</v>
      </c>
      <c r="B232" s="203" t="s">
        <v>5</v>
      </c>
      <c r="C232" s="203" t="s">
        <v>18</v>
      </c>
    </row>
    <row r="233" spans="1:3" ht="16">
      <c r="A233" s="203" t="s">
        <v>71</v>
      </c>
      <c r="B233" s="203" t="s">
        <v>5</v>
      </c>
      <c r="C233" s="203" t="s">
        <v>18</v>
      </c>
    </row>
    <row r="234" spans="1:3" ht="16">
      <c r="A234" s="203" t="s">
        <v>72</v>
      </c>
      <c r="B234" s="203" t="s">
        <v>5</v>
      </c>
      <c r="C234" s="203" t="s">
        <v>18</v>
      </c>
    </row>
    <row r="235" spans="1:3" ht="16">
      <c r="A235" s="203" t="s">
        <v>76</v>
      </c>
      <c r="B235" s="203" t="s">
        <v>5</v>
      </c>
      <c r="C235" s="203" t="s">
        <v>18</v>
      </c>
    </row>
    <row r="236" spans="1:3" ht="16">
      <c r="A236" s="203" t="s">
        <v>75</v>
      </c>
      <c r="B236" s="203" t="s">
        <v>5</v>
      </c>
      <c r="C236" s="203" t="s">
        <v>18</v>
      </c>
    </row>
    <row r="237" spans="1:3" ht="16">
      <c r="A237" s="203" t="s">
        <v>77</v>
      </c>
      <c r="B237" s="203" t="s">
        <v>5</v>
      </c>
      <c r="C237" s="203" t="s">
        <v>18</v>
      </c>
    </row>
    <row r="238" spans="1:3" ht="16">
      <c r="A238" s="203" t="s">
        <v>78</v>
      </c>
      <c r="B238" s="203" t="s">
        <v>5</v>
      </c>
      <c r="C238" s="203" t="s">
        <v>18</v>
      </c>
    </row>
    <row r="239" spans="1:3" ht="16">
      <c r="A239" s="203" t="s">
        <v>80</v>
      </c>
      <c r="B239" s="203" t="s">
        <v>5</v>
      </c>
      <c r="C239" s="203" t="s">
        <v>18</v>
      </c>
    </row>
    <row r="240" spans="1:3" ht="16">
      <c r="A240" s="203" t="s">
        <v>81</v>
      </c>
      <c r="B240" s="203" t="s">
        <v>5</v>
      </c>
      <c r="C240" s="203" t="s">
        <v>18</v>
      </c>
    </row>
    <row r="241" spans="1:3" ht="16">
      <c r="A241" s="203" t="s">
        <v>82</v>
      </c>
      <c r="B241" s="203" t="s">
        <v>5</v>
      </c>
      <c r="C241" s="203" t="s">
        <v>18</v>
      </c>
    </row>
    <row r="242" spans="1:3" ht="16">
      <c r="A242" s="203" t="s">
        <v>84</v>
      </c>
      <c r="B242" s="203" t="s">
        <v>5</v>
      </c>
      <c r="C242" s="203" t="s">
        <v>18</v>
      </c>
    </row>
    <row r="243" spans="1:3" ht="16">
      <c r="A243" s="203" t="s">
        <v>86</v>
      </c>
      <c r="B243" s="203" t="s">
        <v>5</v>
      </c>
      <c r="C243" s="203" t="s">
        <v>18</v>
      </c>
    </row>
    <row r="244" spans="1:3" ht="16">
      <c r="A244" s="203" t="s">
        <v>88</v>
      </c>
      <c r="B244" s="203" t="s">
        <v>5</v>
      </c>
      <c r="C244" s="203" t="s">
        <v>18</v>
      </c>
    </row>
    <row r="245" spans="1:3" ht="16">
      <c r="A245" s="203" t="s">
        <v>89</v>
      </c>
      <c r="B245" s="203" t="s">
        <v>5</v>
      </c>
      <c r="C245" s="203" t="s">
        <v>18</v>
      </c>
    </row>
    <row r="246" spans="1:3" ht="16">
      <c r="A246" s="203" t="s">
        <v>90</v>
      </c>
      <c r="B246" s="203" t="s">
        <v>5</v>
      </c>
      <c r="C246" s="203" t="s">
        <v>18</v>
      </c>
    </row>
    <row r="247" spans="1:3" ht="16">
      <c r="A247" s="203" t="s">
        <v>91</v>
      </c>
      <c r="B247" s="203" t="s">
        <v>5</v>
      </c>
      <c r="C247" s="203" t="s">
        <v>18</v>
      </c>
    </row>
    <row r="248" spans="1:3" ht="16">
      <c r="A248" s="203" t="s">
        <v>92</v>
      </c>
      <c r="B248" s="203" t="s">
        <v>5</v>
      </c>
      <c r="C248" s="203" t="s">
        <v>18</v>
      </c>
    </row>
    <row r="249" spans="1:3" ht="16">
      <c r="A249" s="203" t="s">
        <v>93</v>
      </c>
      <c r="B249" s="203" t="s">
        <v>5</v>
      </c>
      <c r="C249" s="203" t="s">
        <v>18</v>
      </c>
    </row>
    <row r="250" spans="1:3" ht="16">
      <c r="A250" s="203" t="s">
        <v>94</v>
      </c>
      <c r="B250" s="203" t="s">
        <v>5</v>
      </c>
      <c r="C250" s="203" t="s">
        <v>18</v>
      </c>
    </row>
    <row r="251" spans="1:3" ht="16">
      <c r="A251" s="203" t="s">
        <v>97</v>
      </c>
      <c r="B251" s="203" t="s">
        <v>5</v>
      </c>
      <c r="C251" s="203" t="s">
        <v>18</v>
      </c>
    </row>
    <row r="252" spans="1:3" ht="16">
      <c r="A252" s="203" t="s">
        <v>98</v>
      </c>
      <c r="B252" s="203" t="s">
        <v>5</v>
      </c>
      <c r="C252" s="203" t="s">
        <v>18</v>
      </c>
    </row>
    <row r="253" spans="1:3" ht="16">
      <c r="A253" s="203" t="s">
        <v>99</v>
      </c>
      <c r="B253" s="203" t="s">
        <v>5</v>
      </c>
      <c r="C253" s="203" t="s">
        <v>18</v>
      </c>
    </row>
    <row r="254" spans="1:3" ht="16">
      <c r="A254" s="203" t="s">
        <v>100</v>
      </c>
      <c r="B254" s="203" t="s">
        <v>5</v>
      </c>
      <c r="C254" s="203" t="s">
        <v>18</v>
      </c>
    </row>
    <row r="255" spans="1:3" ht="16">
      <c r="A255" s="203" t="s">
        <v>101</v>
      </c>
      <c r="B255" s="203" t="s">
        <v>5</v>
      </c>
      <c r="C255" s="203" t="s">
        <v>18</v>
      </c>
    </row>
    <row r="256" spans="1:3" ht="16">
      <c r="A256" s="203" t="s">
        <v>103</v>
      </c>
      <c r="B256" s="203" t="s">
        <v>5</v>
      </c>
      <c r="C256" s="203" t="s">
        <v>18</v>
      </c>
    </row>
    <row r="257" spans="1:3" ht="16">
      <c r="A257" s="203" t="s">
        <v>104</v>
      </c>
      <c r="B257" s="203" t="s">
        <v>5</v>
      </c>
      <c r="C257" s="203" t="s">
        <v>18</v>
      </c>
    </row>
    <row r="258" spans="1:3" ht="16">
      <c r="A258" s="203" t="s">
        <v>105</v>
      </c>
      <c r="B258" s="203" t="s">
        <v>5</v>
      </c>
      <c r="C258" s="203" t="s">
        <v>18</v>
      </c>
    </row>
    <row r="259" spans="1:3" ht="16">
      <c r="A259" s="203" t="s">
        <v>106</v>
      </c>
      <c r="B259" s="203" t="s">
        <v>5</v>
      </c>
      <c r="C259" s="203" t="s">
        <v>18</v>
      </c>
    </row>
    <row r="260" spans="1:3" ht="16">
      <c r="A260" s="203" t="s">
        <v>108</v>
      </c>
      <c r="B260" s="203" t="s">
        <v>5</v>
      </c>
      <c r="C260" s="203" t="s">
        <v>18</v>
      </c>
    </row>
    <row r="261" spans="1:3" ht="16">
      <c r="A261" s="203" t="s">
        <v>109</v>
      </c>
      <c r="B261" s="203" t="s">
        <v>5</v>
      </c>
      <c r="C261" s="203" t="s">
        <v>18</v>
      </c>
    </row>
    <row r="262" spans="1:3" ht="16">
      <c r="A262" s="203" t="s">
        <v>112</v>
      </c>
      <c r="B262" s="203" t="s">
        <v>5</v>
      </c>
      <c r="C262" s="203" t="s">
        <v>18</v>
      </c>
    </row>
    <row r="263" spans="1:3" ht="16">
      <c r="A263" s="203" t="s">
        <v>113</v>
      </c>
      <c r="B263" s="203" t="s">
        <v>5</v>
      </c>
      <c r="C263" s="203" t="s">
        <v>18</v>
      </c>
    </row>
    <row r="264" spans="1:3" ht="16">
      <c r="A264" s="203" t="s">
        <v>114</v>
      </c>
      <c r="B264" s="203" t="s">
        <v>5</v>
      </c>
      <c r="C264" s="203" t="s">
        <v>18</v>
      </c>
    </row>
    <row r="265" spans="1:3" ht="16">
      <c r="A265" s="203" t="s">
        <v>115</v>
      </c>
      <c r="B265" s="203" t="s">
        <v>5</v>
      </c>
      <c r="C265" s="203" t="s">
        <v>18</v>
      </c>
    </row>
    <row r="266" spans="1:3" ht="16">
      <c r="A266" s="203" t="s">
        <v>116</v>
      </c>
      <c r="B266" s="203" t="s">
        <v>4</v>
      </c>
      <c r="C266" s="203" t="s">
        <v>18</v>
      </c>
    </row>
    <row r="267" spans="1:3" ht="16">
      <c r="A267" s="203" t="s">
        <v>117</v>
      </c>
      <c r="B267" s="203" t="s">
        <v>5</v>
      </c>
      <c r="C267" s="203" t="s">
        <v>18</v>
      </c>
    </row>
    <row r="268" spans="1:3" ht="16">
      <c r="A268" s="203" t="s">
        <v>118</v>
      </c>
      <c r="B268" s="203" t="s">
        <v>5</v>
      </c>
      <c r="C268" s="203" t="s">
        <v>18</v>
      </c>
    </row>
    <row r="269" spans="1:3" ht="16">
      <c r="A269" s="203" t="s">
        <v>119</v>
      </c>
      <c r="B269" s="203" t="s">
        <v>5</v>
      </c>
      <c r="C269" s="203" t="s">
        <v>18</v>
      </c>
    </row>
    <row r="270" spans="1:3" ht="16">
      <c r="A270" s="203" t="s">
        <v>120</v>
      </c>
      <c r="B270" s="203" t="s">
        <v>5</v>
      </c>
      <c r="C270" s="203" t="s">
        <v>18</v>
      </c>
    </row>
    <row r="271" spans="1:3" ht="16">
      <c r="A271" s="203" t="s">
        <v>122</v>
      </c>
      <c r="B271" s="203" t="s">
        <v>5</v>
      </c>
      <c r="C271" s="203" t="s">
        <v>18</v>
      </c>
    </row>
    <row r="272" spans="1:3" ht="16">
      <c r="A272" s="203" t="s">
        <v>124</v>
      </c>
      <c r="B272" s="203" t="s">
        <v>5</v>
      </c>
      <c r="C272" s="203" t="s">
        <v>18</v>
      </c>
    </row>
    <row r="273" spans="1:3" ht="16">
      <c r="A273" s="203" t="s">
        <v>125</v>
      </c>
      <c r="B273" s="203" t="s">
        <v>5</v>
      </c>
      <c r="C273" s="203" t="s">
        <v>18</v>
      </c>
    </row>
    <row r="274" spans="1:3" ht="16">
      <c r="A274" s="203" t="s">
        <v>127</v>
      </c>
      <c r="B274" s="203" t="s">
        <v>5</v>
      </c>
      <c r="C274" s="203" t="s">
        <v>18</v>
      </c>
    </row>
    <row r="275" spans="1:3" ht="16">
      <c r="A275" s="203" t="s">
        <v>128</v>
      </c>
      <c r="B275" s="203" t="s">
        <v>5</v>
      </c>
      <c r="C275" s="203" t="s">
        <v>18</v>
      </c>
    </row>
    <row r="276" spans="1:3" ht="16">
      <c r="A276" s="203" t="s">
        <v>129</v>
      </c>
      <c r="B276" s="203" t="s">
        <v>5</v>
      </c>
      <c r="C276" s="203" t="s">
        <v>18</v>
      </c>
    </row>
    <row r="277" spans="1:3" ht="16">
      <c r="A277" s="203" t="s">
        <v>133</v>
      </c>
      <c r="B277" s="203" t="s">
        <v>5</v>
      </c>
      <c r="C277" s="203" t="s">
        <v>18</v>
      </c>
    </row>
    <row r="278" spans="1:3" ht="16">
      <c r="A278" s="203" t="s">
        <v>135</v>
      </c>
      <c r="B278" s="203" t="s">
        <v>5</v>
      </c>
      <c r="C278" s="203" t="s">
        <v>18</v>
      </c>
    </row>
    <row r="279" spans="1:3" ht="16">
      <c r="A279" s="203" t="s">
        <v>138</v>
      </c>
      <c r="B279" s="203" t="s">
        <v>5</v>
      </c>
      <c r="C279" s="203" t="s">
        <v>18</v>
      </c>
    </row>
    <row r="280" spans="1:3" ht="16">
      <c r="A280" s="203" t="s">
        <v>142</v>
      </c>
      <c r="B280" s="203" t="s">
        <v>5</v>
      </c>
      <c r="C280" s="203" t="s">
        <v>18</v>
      </c>
    </row>
    <row r="281" spans="1:3" ht="16">
      <c r="A281" s="203" t="s">
        <v>143</v>
      </c>
      <c r="B281" s="203" t="s">
        <v>5</v>
      </c>
      <c r="C281" s="203" t="s">
        <v>18</v>
      </c>
    </row>
    <row r="282" spans="1:3" ht="16">
      <c r="A282" s="203" t="s">
        <v>352</v>
      </c>
      <c r="B282" s="203" t="s">
        <v>5</v>
      </c>
      <c r="C282" s="203" t="s">
        <v>24</v>
      </c>
    </row>
    <row r="283" spans="1:3" ht="16" hidden="1">
      <c r="A283" s="203" t="str">
        <f>'DT Short List'!A60</f>
        <v>Accelerate Wind _2022</v>
      </c>
      <c r="B283" s="203" t="str">
        <f>'DT Short List'!H60</f>
        <v>Deep Tech</v>
      </c>
      <c r="C283" s="203" t="str">
        <f>'DT Short List'!F60</f>
        <v>Invite Next Year</v>
      </c>
    </row>
    <row r="284" spans="1:3" ht="16" hidden="1">
      <c r="A284" s="203" t="str">
        <f>'DT Short List'!A61</f>
        <v>Astek Diagnostics Inc. _2022</v>
      </c>
      <c r="B284" s="203" t="str">
        <f>'DT Short List'!H61</f>
        <v>Deep Tech</v>
      </c>
      <c r="C284" s="203" t="str">
        <f>'DT Short List'!F61</f>
        <v>Invite Next Year</v>
      </c>
    </row>
    <row r="285" spans="1:3" ht="16" hidden="1">
      <c r="A285" s="203" t="str">
        <f>'DT Short List'!A62</f>
        <v>CARI Health, Inc. _2022</v>
      </c>
      <c r="B285" s="203" t="str">
        <f>'DT Short List'!H62</f>
        <v>Deep Tech</v>
      </c>
      <c r="C285" s="203" t="str">
        <f>'DT Short List'!F62</f>
        <v>Invite Next Year</v>
      </c>
    </row>
    <row r="286" spans="1:3" ht="16" hidden="1">
      <c r="A286" s="203" t="str">
        <f>'DT Short List'!A63</f>
        <v>DrainBot _2022</v>
      </c>
      <c r="B286" s="203" t="str">
        <f>'DT Short List'!H63</f>
        <v>Deep Tech</v>
      </c>
      <c r="C286" s="203" t="str">
        <f>'DT Short List'!F63</f>
        <v>Invite Next Year</v>
      </c>
    </row>
    <row r="287" spans="1:3" ht="16" hidden="1">
      <c r="A287" s="203" t="str">
        <f>'DT Short List'!A64</f>
        <v>Empo Health _2022</v>
      </c>
      <c r="B287" s="203" t="str">
        <f>'DT Short List'!H64</f>
        <v>Deep Tech</v>
      </c>
      <c r="C287" s="203" t="str">
        <f>'DT Short List'!F64</f>
        <v>Invite Next Year</v>
      </c>
    </row>
    <row r="288" spans="1:3" ht="16" hidden="1">
      <c r="A288" s="203" t="str">
        <f>'DT Short List'!A65</f>
        <v>iCardio.ai _2022</v>
      </c>
      <c r="B288" s="203" t="str">
        <f>'DT Short List'!H65</f>
        <v>Deep Tech</v>
      </c>
      <c r="C288" s="203" t="str">
        <f>'DT Short List'!F65</f>
        <v>Invite Next Year</v>
      </c>
    </row>
    <row r="289" spans="1:3" ht="16" hidden="1">
      <c r="A289" s="203" t="str">
        <f>'DT Short List'!A66</f>
        <v>Lux Wind Power Ltd. _2022</v>
      </c>
      <c r="B289" s="203" t="str">
        <f>'DT Short List'!H66</f>
        <v>Deep Tech</v>
      </c>
      <c r="C289" s="203" t="str">
        <f>'DT Short List'!F66</f>
        <v>Invite Next Year</v>
      </c>
    </row>
    <row r="290" spans="1:3" ht="16" hidden="1">
      <c r="A290" s="203" t="str">
        <f>'DT Short List'!A67</f>
        <v>PhoneOptika Ltd. _2022</v>
      </c>
      <c r="B290" s="203" t="str">
        <f>'DT Short List'!H67</f>
        <v>Deep Tech</v>
      </c>
      <c r="C290" s="203" t="str">
        <f>'DT Short List'!F67</f>
        <v>Invite Next Year</v>
      </c>
    </row>
    <row r="291" spans="1:3" ht="16" hidden="1">
      <c r="A291" s="203" t="str">
        <f>'DT Short List'!A68</f>
        <v>Radiolife _2022</v>
      </c>
      <c r="B291" s="203" t="str">
        <f>'DT Short List'!H68</f>
        <v>Deep Tech</v>
      </c>
      <c r="C291" s="203" t="str">
        <f>'DT Short List'!F68</f>
        <v>Invite Next Year</v>
      </c>
    </row>
    <row r="292" spans="1:3" ht="16" hidden="1">
      <c r="A292" s="203" t="str">
        <f>'DT Short List'!A69</f>
        <v>Rebound Technologies, Inc.  _2022</v>
      </c>
      <c r="B292" s="203" t="str">
        <f>'DT Short List'!H69</f>
        <v>Deep Tech</v>
      </c>
      <c r="C292" s="203" t="str">
        <f>'DT Short List'!F69</f>
        <v>Invite Next Year</v>
      </c>
    </row>
    <row r="293" spans="1:3" ht="16" hidden="1">
      <c r="A293" s="203" t="str">
        <f>'DT Short List'!A70</f>
        <v>Rightbot Technologies, Inc. _2022</v>
      </c>
      <c r="B293" s="203" t="str">
        <f>'DT Short List'!H70</f>
        <v>Deep Tech</v>
      </c>
      <c r="C293" s="203" t="str">
        <f>'DT Short List'!F70</f>
        <v>Invite Next Year</v>
      </c>
    </row>
    <row r="294" spans="1:3" ht="16" hidden="1">
      <c r="A294" s="203" t="str">
        <f>'DT Short List'!A71</f>
        <v>Rocket Propulsion Systems LLC _2022</v>
      </c>
      <c r="B294" s="203" t="str">
        <f>'DT Short List'!H71</f>
        <v>Deep Tech</v>
      </c>
      <c r="C294" s="203" t="str">
        <f>'DT Short List'!F71</f>
        <v>Invite Next Year</v>
      </c>
    </row>
    <row r="295" spans="1:3" ht="16" hidden="1">
      <c r="A295" s="203" t="str">
        <f>'DT Short List'!A72</f>
        <v>Safety Arms Systems _2022</v>
      </c>
      <c r="B295" s="203" t="str">
        <f>'DT Short List'!H72</f>
        <v>Deep Tech</v>
      </c>
      <c r="C295" s="203" t="str">
        <f>'DT Short List'!F72</f>
        <v>Invite Next Year</v>
      </c>
    </row>
    <row r="296" spans="1:3" ht="16" hidden="1">
      <c r="A296" s="203" t="str">
        <f>'DT Short List'!A73</f>
        <v>Skyline Nav AI Inc. _2022</v>
      </c>
      <c r="B296" s="203" t="str">
        <f>'DT Short List'!H73</f>
        <v>Deep Tech</v>
      </c>
      <c r="C296" s="203" t="str">
        <f>'DT Short List'!F73</f>
        <v>Invite Next Year</v>
      </c>
    </row>
    <row r="297" spans="1:3" ht="16" hidden="1">
      <c r="A297" s="203" t="str">
        <f>'DT Short List'!A74</f>
        <v>TimberFish Technologies _2022</v>
      </c>
      <c r="B297" s="203" t="str">
        <f>'DT Short List'!H74</f>
        <v>Deep Tech</v>
      </c>
      <c r="C297" s="203" t="str">
        <f>'DT Short List'!F74</f>
        <v>Invite Next Year</v>
      </c>
    </row>
    <row r="298" spans="1:3" ht="16" hidden="1">
      <c r="A298" s="203" t="str">
        <f>'DT Short List'!A75</f>
        <v>Viridian Space Corporation _2022</v>
      </c>
      <c r="B298" s="203" t="str">
        <f>'DT Short List'!H75</f>
        <v>Deep Tech</v>
      </c>
      <c r="C298" s="203" t="str">
        <f>'DT Short List'!F75</f>
        <v>Invite Next Year</v>
      </c>
    </row>
    <row r="299" spans="1:3" ht="16" hidden="1">
      <c r="A299" s="203" t="str">
        <f>'DT Short List'!A76</f>
        <v>Vyv _2022</v>
      </c>
      <c r="B299" s="203" t="str">
        <f>'DT Short List'!H76</f>
        <v>Deep Tech</v>
      </c>
      <c r="C299" s="203" t="str">
        <f>'DT Short List'!F76</f>
        <v>Invite Next Year</v>
      </c>
    </row>
    <row r="300" spans="1:3" ht="16" hidden="1">
      <c r="A300" s="203" t="str">
        <f>'DT Short List'!A77</f>
        <v>Zoomrin _2022</v>
      </c>
      <c r="B300" s="203" t="str">
        <f>'DT Short List'!H77</f>
        <v>Deep Tech</v>
      </c>
      <c r="C300" s="203" t="str">
        <f>'DT Short List'!F77</f>
        <v>Invite Next Year</v>
      </c>
    </row>
    <row r="301" spans="1:3" ht="16" hidden="1">
      <c r="A301" s="203" t="str">
        <f>'DT Short List'!A78</f>
        <v>Plantae Bioscience _2022</v>
      </c>
      <c r="B301" s="203" t="str">
        <f>'DT Short List'!H78</f>
        <v>Deep Tech</v>
      </c>
      <c r="C301" s="203" t="str">
        <f>'DT Short List'!F78</f>
        <v>Revisit/ Cluster</v>
      </c>
    </row>
    <row r="302" spans="1:3" ht="16" hidden="1">
      <c r="A302" s="203" t="str">
        <f>'DT Short List'!A79</f>
        <v>Wootzano Limited _2022</v>
      </c>
      <c r="B302" s="203" t="str">
        <f>'DT Short List'!H79</f>
        <v>Deep Tech</v>
      </c>
      <c r="C302" s="203" t="str">
        <f>'DT Short List'!F79</f>
        <v>Special Reject</v>
      </c>
    </row>
    <row r="303" spans="1:3" ht="16" hidden="1">
      <c r="A303" s="203" t="str">
        <f>'DT Short List'!A80</f>
        <v>Artificial Intelligence Imaging Sensors (AiimSense Inc.) _2022</v>
      </c>
      <c r="B303" s="203" t="str">
        <f>'DT Short List'!H80</f>
        <v>Deep Tech</v>
      </c>
      <c r="C303" s="203" t="str">
        <f>'DT Short List'!F80</f>
        <v>Waitlist</v>
      </c>
    </row>
    <row r="304" spans="1:3" ht="16" hidden="1">
      <c r="A304" s="203" t="str">
        <f>'DT Short List'!A81</f>
        <v>Coflow Jet, LLC _2022</v>
      </c>
      <c r="B304" s="203" t="str">
        <f>'DT Short List'!H81</f>
        <v>Deep Tech</v>
      </c>
      <c r="C304" s="203" t="str">
        <f>'DT Short List'!F81</f>
        <v>Waitlist</v>
      </c>
    </row>
    <row r="305" spans="1:3" ht="16" hidden="1">
      <c r="A305" s="203" t="str">
        <f>'DT Short List'!A82</f>
        <v>EllieGrid _2022</v>
      </c>
      <c r="B305" s="203" t="str">
        <f>'DT Short List'!H82</f>
        <v>Deep Tech</v>
      </c>
      <c r="C305" s="203" t="str">
        <f>'DT Short List'!F82</f>
        <v>Waitlist</v>
      </c>
    </row>
    <row r="306" spans="1:3" ht="16" hidden="1">
      <c r="A306" s="203" t="str">
        <f>'DT Short List'!A83</f>
        <v>FlyX Technologies Inc _2022</v>
      </c>
      <c r="B306" s="203" t="str">
        <f>'DT Short List'!H83</f>
        <v>Deep Tech</v>
      </c>
      <c r="C306" s="203" t="str">
        <f>'DT Short List'!F83</f>
        <v>Waitlist</v>
      </c>
    </row>
    <row r="307" spans="1:3" ht="16" hidden="1">
      <c r="A307" s="203" t="str">
        <f>'DT Short List'!A84</f>
        <v>Ingenii Inc _2022</v>
      </c>
      <c r="B307" s="203" t="str">
        <f>'DT Short List'!H84</f>
        <v>Deep Tech</v>
      </c>
      <c r="C307" s="203" t="str">
        <f>'DT Short List'!F84</f>
        <v>Waitlist</v>
      </c>
    </row>
    <row r="308" spans="1:3" ht="16" hidden="1">
      <c r="A308" s="203" t="str">
        <f>'DT Short List'!A85</f>
        <v>Is CLEAN AIR Italia S.r.l. _2022</v>
      </c>
      <c r="B308" s="203" t="str">
        <f>'DT Short List'!H85</f>
        <v>Deep Tech</v>
      </c>
      <c r="C308" s="203" t="str">
        <f>'DT Short List'!F85</f>
        <v>Waitlist</v>
      </c>
    </row>
    <row r="309" spans="1:3" ht="16" hidden="1">
      <c r="A309" s="203" t="str">
        <f>'DT Short List'!A86</f>
        <v>Oscillum Biotechnology SL _2022</v>
      </c>
      <c r="B309" s="203" t="str">
        <f>'DT Short List'!H86</f>
        <v>Deep Tech</v>
      </c>
      <c r="C309" s="203" t="str">
        <f>'DT Short List'!F86</f>
        <v>Waitlist</v>
      </c>
    </row>
    <row r="310" spans="1:3" ht="16" hidden="1">
      <c r="A310" s="203" t="str">
        <f>'DT Short List'!A87</f>
        <v>PentaBind Ltd _2022</v>
      </c>
      <c r="B310" s="203" t="str">
        <f>'DT Short List'!H87</f>
        <v>Deep Tech</v>
      </c>
      <c r="C310" s="203" t="str">
        <f>'DT Short List'!F87</f>
        <v>Waitlist</v>
      </c>
    </row>
    <row r="311" spans="1:3" ht="16" hidden="1">
      <c r="A311" s="203" t="str">
        <f>'DT Short List'!A88</f>
        <v>Promin Aerospace _2022</v>
      </c>
      <c r="B311" s="203" t="str">
        <f>'DT Short List'!H88</f>
        <v>Deep Tech</v>
      </c>
      <c r="C311" s="203" t="str">
        <f>'DT Short List'!F88</f>
        <v>Waitlist</v>
      </c>
    </row>
    <row r="312" spans="1:3" ht="16" hidden="1">
      <c r="A312" s="203" t="str">
        <f>'DT Short List'!A89</f>
        <v>Rockland Technimed limited _2022</v>
      </c>
      <c r="B312" s="203" t="str">
        <f>'DT Short List'!H89</f>
        <v>Deep Tech</v>
      </c>
      <c r="C312" s="203" t="str">
        <f>'DT Short List'!F89</f>
        <v>Waitlist</v>
      </c>
    </row>
    <row r="313" spans="1:3" ht="16" hidden="1">
      <c r="A313" s="203" t="str">
        <f>'DT Short List'!A90</f>
        <v>TrustPoint, Inc. _2022</v>
      </c>
      <c r="B313" s="203" t="str">
        <f>'DT Short List'!H90</f>
        <v>Deep Tech</v>
      </c>
      <c r="C313" s="203" t="str">
        <f>'DT Short List'!F90</f>
        <v>Waitlist</v>
      </c>
    </row>
    <row r="314" spans="1:3" ht="16" hidden="1">
      <c r="A314" s="203" t="str">
        <f>'DT Short List'!A91</f>
        <v>Watershed Therapeutics _2022</v>
      </c>
      <c r="B314" s="203" t="str">
        <f>'DT Short List'!H91</f>
        <v>Deep Tech</v>
      </c>
      <c r="C314" s="203" t="str">
        <f>'DT Short List'!F91</f>
        <v>Waitlist</v>
      </c>
    </row>
    <row r="315" spans="1:3" ht="16">
      <c r="A315" s="203" t="s">
        <v>145</v>
      </c>
      <c r="B315" s="203" t="s">
        <v>4</v>
      </c>
      <c r="C315" s="203" t="s">
        <v>18</v>
      </c>
    </row>
    <row r="316" spans="1:3" ht="16">
      <c r="A316" s="203" t="s">
        <v>148</v>
      </c>
      <c r="B316" s="203" t="s">
        <v>4</v>
      </c>
      <c r="C316" s="203" t="s">
        <v>18</v>
      </c>
    </row>
    <row r="317" spans="1:3" ht="16">
      <c r="A317" s="203" t="s">
        <v>149</v>
      </c>
      <c r="B317" s="203" t="s">
        <v>4</v>
      </c>
      <c r="C317" s="203" t="s">
        <v>18</v>
      </c>
    </row>
    <row r="318" spans="1:3" ht="16">
      <c r="A318" s="203" t="s">
        <v>151</v>
      </c>
      <c r="B318" s="203" t="s">
        <v>4</v>
      </c>
      <c r="C318" s="203" t="s">
        <v>18</v>
      </c>
    </row>
    <row r="319" spans="1:3" ht="16">
      <c r="A319" s="203" t="s">
        <v>152</v>
      </c>
      <c r="B319" s="203" t="s">
        <v>4</v>
      </c>
      <c r="C319" s="203" t="s">
        <v>18</v>
      </c>
    </row>
    <row r="320" spans="1:3" ht="16">
      <c r="A320" s="203" t="s">
        <v>153</v>
      </c>
      <c r="B320" s="203" t="s">
        <v>4</v>
      </c>
      <c r="C320" s="203" t="s">
        <v>18</v>
      </c>
    </row>
    <row r="321" spans="1:3" ht="16">
      <c r="A321" s="203" t="s">
        <v>154</v>
      </c>
      <c r="B321" s="203" t="s">
        <v>4</v>
      </c>
      <c r="C321" s="203" t="s">
        <v>18</v>
      </c>
    </row>
    <row r="322" spans="1:3" ht="16">
      <c r="A322" s="203" t="s">
        <v>156</v>
      </c>
      <c r="B322" s="203" t="s">
        <v>4</v>
      </c>
      <c r="C322" s="203" t="s">
        <v>18</v>
      </c>
    </row>
    <row r="323" spans="1:3" ht="16">
      <c r="A323" s="203" t="s">
        <v>157</v>
      </c>
      <c r="B323" s="203" t="s">
        <v>4</v>
      </c>
      <c r="C323" s="203" t="s">
        <v>18</v>
      </c>
    </row>
    <row r="324" spans="1:3" ht="16">
      <c r="A324" s="203" t="s">
        <v>160</v>
      </c>
      <c r="B324" s="203" t="s">
        <v>4</v>
      </c>
      <c r="C324" s="203" t="s">
        <v>18</v>
      </c>
    </row>
    <row r="325" spans="1:3" ht="16">
      <c r="A325" s="203" t="s">
        <v>161</v>
      </c>
      <c r="B325" s="203" t="s">
        <v>4</v>
      </c>
      <c r="C325" s="203" t="s">
        <v>18</v>
      </c>
    </row>
    <row r="326" spans="1:3" ht="16">
      <c r="A326" s="203" t="s">
        <v>163</v>
      </c>
      <c r="B326" s="203" t="s">
        <v>4</v>
      </c>
      <c r="C326" s="203" t="s">
        <v>18</v>
      </c>
    </row>
    <row r="327" spans="1:3" ht="16">
      <c r="A327" s="203" t="s">
        <v>167</v>
      </c>
      <c r="B327" s="203" t="s">
        <v>4</v>
      </c>
      <c r="C327" s="203" t="s">
        <v>18</v>
      </c>
    </row>
    <row r="328" spans="1:3" ht="16">
      <c r="A328" s="203" t="s">
        <v>170</v>
      </c>
      <c r="B328" s="203" t="s">
        <v>4</v>
      </c>
      <c r="C328" s="203" t="s">
        <v>18</v>
      </c>
    </row>
    <row r="329" spans="1:3" ht="16">
      <c r="A329" s="203" t="s">
        <v>172</v>
      </c>
      <c r="B329" s="203" t="s">
        <v>4</v>
      </c>
      <c r="C329" s="203" t="s">
        <v>18</v>
      </c>
    </row>
    <row r="330" spans="1:3" ht="16">
      <c r="A330" s="203" t="s">
        <v>173</v>
      </c>
      <c r="B330" s="203" t="s">
        <v>4</v>
      </c>
      <c r="C330" s="203" t="s">
        <v>18</v>
      </c>
    </row>
    <row r="331" spans="1:3" ht="16">
      <c r="A331" s="203" t="s">
        <v>176</v>
      </c>
      <c r="B331" s="203" t="s">
        <v>4</v>
      </c>
      <c r="C331" s="203" t="s">
        <v>18</v>
      </c>
    </row>
    <row r="332" spans="1:3" ht="16">
      <c r="A332" s="203" t="s">
        <v>179</v>
      </c>
      <c r="B332" s="203" t="s">
        <v>4</v>
      </c>
      <c r="C332" s="203" t="s">
        <v>18</v>
      </c>
    </row>
    <row r="333" spans="1:3" ht="16">
      <c r="A333" s="203" t="s">
        <v>181</v>
      </c>
      <c r="B333" s="203" t="s">
        <v>4</v>
      </c>
      <c r="C333" s="203" t="s">
        <v>18</v>
      </c>
    </row>
    <row r="334" spans="1:3" ht="16">
      <c r="A334" s="203" t="s">
        <v>183</v>
      </c>
      <c r="B334" s="203" t="s">
        <v>4</v>
      </c>
      <c r="C334" s="203" t="s">
        <v>18</v>
      </c>
    </row>
    <row r="335" spans="1:3" ht="16">
      <c r="A335" s="203" t="s">
        <v>184</v>
      </c>
      <c r="B335" s="203" t="s">
        <v>4</v>
      </c>
      <c r="C335" s="203" t="s">
        <v>18</v>
      </c>
    </row>
    <row r="336" spans="1:3" ht="16">
      <c r="A336" s="203" t="s">
        <v>185</v>
      </c>
      <c r="B336" s="203" t="s">
        <v>4</v>
      </c>
      <c r="C336" s="203" t="s">
        <v>18</v>
      </c>
    </row>
    <row r="337" spans="1:3" ht="16">
      <c r="A337" s="203" t="s">
        <v>187</v>
      </c>
      <c r="B337" s="203" t="s">
        <v>4</v>
      </c>
      <c r="C337" s="203" t="s">
        <v>18</v>
      </c>
    </row>
    <row r="338" spans="1:3" ht="16">
      <c r="A338" s="203" t="s">
        <v>191</v>
      </c>
      <c r="B338" s="203" t="s">
        <v>4</v>
      </c>
      <c r="C338" s="203" t="s">
        <v>18</v>
      </c>
    </row>
    <row r="339" spans="1:3" ht="16">
      <c r="A339" s="203" t="s">
        <v>193</v>
      </c>
      <c r="B339" s="203" t="s">
        <v>4</v>
      </c>
      <c r="C339" s="203" t="s">
        <v>18</v>
      </c>
    </row>
    <row r="340" spans="1:3" ht="16">
      <c r="A340" s="203" t="s">
        <v>194</v>
      </c>
      <c r="B340" s="203" t="s">
        <v>4</v>
      </c>
      <c r="C340" s="203" t="s">
        <v>18</v>
      </c>
    </row>
    <row r="341" spans="1:3" ht="16">
      <c r="A341" s="203" t="s">
        <v>195</v>
      </c>
      <c r="B341" s="203" t="s">
        <v>4</v>
      </c>
      <c r="C341" s="203" t="s">
        <v>18</v>
      </c>
    </row>
    <row r="342" spans="1:3" ht="16">
      <c r="A342" s="203" t="s">
        <v>197</v>
      </c>
      <c r="B342" s="203" t="s">
        <v>4</v>
      </c>
      <c r="C342" s="203" t="s">
        <v>18</v>
      </c>
    </row>
    <row r="343" spans="1:3" ht="16">
      <c r="A343" s="203" t="s">
        <v>199</v>
      </c>
      <c r="B343" s="203" t="s">
        <v>4</v>
      </c>
      <c r="C343" s="203" t="s">
        <v>18</v>
      </c>
    </row>
    <row r="344" spans="1:3" ht="16">
      <c r="A344" s="203" t="s">
        <v>200</v>
      </c>
      <c r="B344" s="203" t="s">
        <v>4</v>
      </c>
      <c r="C344" s="203" t="s">
        <v>18</v>
      </c>
    </row>
    <row r="345" spans="1:3" ht="16">
      <c r="A345" s="203" t="s">
        <v>202</v>
      </c>
      <c r="B345" s="203" t="s">
        <v>4</v>
      </c>
      <c r="C345" s="203" t="s">
        <v>18</v>
      </c>
    </row>
    <row r="346" spans="1:3" ht="16">
      <c r="A346" s="203" t="s">
        <v>206</v>
      </c>
      <c r="B346" s="203" t="s">
        <v>4</v>
      </c>
      <c r="C346" s="203" t="s">
        <v>18</v>
      </c>
    </row>
    <row r="347" spans="1:3" ht="16">
      <c r="A347" s="203" t="s">
        <v>212</v>
      </c>
      <c r="B347" s="203" t="s">
        <v>4</v>
      </c>
      <c r="C347" s="203" t="s">
        <v>18</v>
      </c>
    </row>
    <row r="348" spans="1:3" ht="16">
      <c r="A348" s="203" t="s">
        <v>213</v>
      </c>
      <c r="B348" s="203" t="s">
        <v>4</v>
      </c>
      <c r="C348" s="203" t="s">
        <v>18</v>
      </c>
    </row>
    <row r="349" spans="1:3" ht="16">
      <c r="A349" s="203" t="s">
        <v>218</v>
      </c>
      <c r="B349" s="203" t="s">
        <v>4</v>
      </c>
      <c r="C349" s="203" t="s">
        <v>18</v>
      </c>
    </row>
    <row r="350" spans="1:3" ht="16">
      <c r="A350" s="203" t="s">
        <v>219</v>
      </c>
      <c r="B350" s="203" t="s">
        <v>4</v>
      </c>
      <c r="C350" s="203" t="s">
        <v>18</v>
      </c>
    </row>
    <row r="351" spans="1:3" ht="16">
      <c r="A351" s="203" t="s">
        <v>220</v>
      </c>
      <c r="B351" s="203" t="s">
        <v>4</v>
      </c>
      <c r="C351" s="203" t="s">
        <v>18</v>
      </c>
    </row>
    <row r="352" spans="1:3" ht="16">
      <c r="A352" s="203" t="s">
        <v>223</v>
      </c>
      <c r="B352" s="203" t="s">
        <v>4</v>
      </c>
      <c r="C352" s="203" t="s">
        <v>18</v>
      </c>
    </row>
    <row r="353" spans="1:3" ht="16">
      <c r="A353" s="203" t="s">
        <v>224</v>
      </c>
      <c r="B353" s="203" t="s">
        <v>4</v>
      </c>
      <c r="C353" s="203" t="s">
        <v>18</v>
      </c>
    </row>
    <row r="354" spans="1:3" ht="16">
      <c r="A354" s="203" t="s">
        <v>227</v>
      </c>
      <c r="B354" s="203" t="s">
        <v>4</v>
      </c>
      <c r="C354" s="203" t="s">
        <v>18</v>
      </c>
    </row>
    <row r="355" spans="1:3" ht="16">
      <c r="A355" s="203" t="s">
        <v>231</v>
      </c>
      <c r="B355" s="203" t="s">
        <v>4</v>
      </c>
      <c r="C355" s="203" t="s">
        <v>18</v>
      </c>
    </row>
    <row r="356" spans="1:3" ht="16">
      <c r="A356" s="203" t="s">
        <v>233</v>
      </c>
      <c r="B356" s="203" t="s">
        <v>4</v>
      </c>
      <c r="C356" s="203" t="s">
        <v>18</v>
      </c>
    </row>
    <row r="357" spans="1:3" ht="16">
      <c r="A357" s="203" t="s">
        <v>237</v>
      </c>
      <c r="B357" s="203" t="s">
        <v>4</v>
      </c>
      <c r="C357" s="203" t="s">
        <v>18</v>
      </c>
    </row>
    <row r="358" spans="1:3" ht="16">
      <c r="A358" s="203" t="s">
        <v>240</v>
      </c>
      <c r="B358" s="203" t="s">
        <v>4</v>
      </c>
      <c r="C358" s="203" t="s">
        <v>18</v>
      </c>
    </row>
    <row r="359" spans="1:3" ht="16">
      <c r="A359" s="203" t="s">
        <v>241</v>
      </c>
      <c r="B359" s="203" t="s">
        <v>4</v>
      </c>
      <c r="C359" s="203" t="s">
        <v>18</v>
      </c>
    </row>
    <row r="360" spans="1:3" ht="16">
      <c r="A360" s="203" t="s">
        <v>245</v>
      </c>
      <c r="B360" s="203" t="s">
        <v>4</v>
      </c>
      <c r="C360" s="203" t="s">
        <v>18</v>
      </c>
    </row>
    <row r="361" spans="1:3" ht="16">
      <c r="A361" s="203" t="s">
        <v>246</v>
      </c>
      <c r="B361" s="203" t="s">
        <v>4</v>
      </c>
      <c r="C361" s="203" t="s">
        <v>18</v>
      </c>
    </row>
    <row r="362" spans="1:3" ht="16">
      <c r="A362" s="203" t="s">
        <v>250</v>
      </c>
      <c r="B362" s="203" t="s">
        <v>4</v>
      </c>
      <c r="C362" s="203" t="s">
        <v>18</v>
      </c>
    </row>
    <row r="363" spans="1:3" ht="16">
      <c r="A363" s="203" t="s">
        <v>251</v>
      </c>
      <c r="B363" s="203" t="s">
        <v>4</v>
      </c>
      <c r="C363" s="203" t="s">
        <v>18</v>
      </c>
    </row>
    <row r="364" spans="1:3" ht="16">
      <c r="A364" s="203" t="s">
        <v>252</v>
      </c>
      <c r="B364" s="203" t="s">
        <v>4</v>
      </c>
      <c r="C364" s="203" t="s">
        <v>18</v>
      </c>
    </row>
    <row r="365" spans="1:3" ht="16">
      <c r="A365" s="203" t="s">
        <v>256</v>
      </c>
      <c r="B365" s="203" t="s">
        <v>4</v>
      </c>
      <c r="C365" s="203" t="s">
        <v>18</v>
      </c>
    </row>
    <row r="366" spans="1:3" ht="16">
      <c r="A366" s="203" t="s">
        <v>257</v>
      </c>
      <c r="B366" s="203" t="s">
        <v>4</v>
      </c>
      <c r="C366" s="203" t="s">
        <v>18</v>
      </c>
    </row>
    <row r="367" spans="1:3" ht="16">
      <c r="A367" s="203" t="s">
        <v>258</v>
      </c>
      <c r="B367" s="203" t="s">
        <v>4</v>
      </c>
      <c r="C367" s="203" t="s">
        <v>18</v>
      </c>
    </row>
    <row r="368" spans="1:3" ht="16">
      <c r="A368" s="203" t="s">
        <v>259</v>
      </c>
      <c r="B368" s="203" t="s">
        <v>4</v>
      </c>
      <c r="C368" s="203" t="s">
        <v>18</v>
      </c>
    </row>
    <row r="369" spans="1:3" ht="16">
      <c r="A369" s="203" t="s">
        <v>260</v>
      </c>
      <c r="B369" s="203" t="s">
        <v>4</v>
      </c>
      <c r="C369" s="203" t="s">
        <v>18</v>
      </c>
    </row>
    <row r="370" spans="1:3" ht="16">
      <c r="A370" s="203" t="s">
        <v>261</v>
      </c>
      <c r="B370" s="203" t="s">
        <v>4</v>
      </c>
      <c r="C370" s="203" t="s">
        <v>18</v>
      </c>
    </row>
    <row r="371" spans="1:3" ht="16">
      <c r="A371" s="203" t="s">
        <v>262</v>
      </c>
      <c r="B371" s="203" t="s">
        <v>4</v>
      </c>
      <c r="C371" s="203" t="s">
        <v>18</v>
      </c>
    </row>
    <row r="372" spans="1:3" ht="16">
      <c r="A372" s="203" t="s">
        <v>266</v>
      </c>
      <c r="B372" s="203" t="s">
        <v>4</v>
      </c>
      <c r="C372" s="203" t="s">
        <v>18</v>
      </c>
    </row>
    <row r="373" spans="1:3" ht="16">
      <c r="A373" s="203" t="s">
        <v>267</v>
      </c>
      <c r="B373" s="203" t="s">
        <v>4</v>
      </c>
      <c r="C373" s="203" t="s">
        <v>18</v>
      </c>
    </row>
    <row r="374" spans="1:3" ht="16">
      <c r="A374" s="203" t="s">
        <v>268</v>
      </c>
      <c r="B374" s="203" t="s">
        <v>4</v>
      </c>
      <c r="C374" s="203" t="s">
        <v>18</v>
      </c>
    </row>
    <row r="375" spans="1:3" ht="16">
      <c r="A375" s="203" t="s">
        <v>269</v>
      </c>
      <c r="B375" s="203" t="s">
        <v>4</v>
      </c>
      <c r="C375" s="203" t="s">
        <v>18</v>
      </c>
    </row>
    <row r="376" spans="1:3" ht="16">
      <c r="A376" s="203" t="s">
        <v>270</v>
      </c>
      <c r="B376" s="203" t="s">
        <v>4</v>
      </c>
      <c r="C376" s="203" t="s">
        <v>18</v>
      </c>
    </row>
    <row r="377" spans="1:3" ht="16">
      <c r="A377" s="203" t="s">
        <v>272</v>
      </c>
      <c r="B377" s="203" t="s">
        <v>4</v>
      </c>
      <c r="C377" s="203" t="s">
        <v>18</v>
      </c>
    </row>
    <row r="378" spans="1:3" ht="16">
      <c r="A378" s="203" t="s">
        <v>275</v>
      </c>
      <c r="B378" s="203" t="s">
        <v>4</v>
      </c>
      <c r="C378" s="203" t="s">
        <v>18</v>
      </c>
    </row>
    <row r="379" spans="1:3" ht="16">
      <c r="A379" s="203" t="s">
        <v>309</v>
      </c>
      <c r="B379" s="203" t="s">
        <v>4</v>
      </c>
      <c r="C379" s="203" t="s">
        <v>18</v>
      </c>
    </row>
    <row r="380" spans="1:3" ht="16" hidden="1">
      <c r="A380" s="203" t="str">
        <f>'DiT - Shortlist'!B67</f>
        <v>A4i _2022</v>
      </c>
      <c r="B380" s="203" t="str">
        <f>'DiT - Shortlist'!E67</f>
        <v>Digital Tech</v>
      </c>
      <c r="C380" s="203" t="str">
        <f>'DiT - Shortlist'!U67</f>
        <v>Invite Next Year</v>
      </c>
    </row>
    <row r="381" spans="1:3" ht="16" hidden="1">
      <c r="A381" s="203" t="str">
        <f>'DiT - Shortlist'!B68</f>
        <v>Abstractive Health  _2022</v>
      </c>
      <c r="B381" s="203" t="str">
        <f>'DiT - Shortlist'!E68</f>
        <v>Digital Tech</v>
      </c>
      <c r="C381" s="203" t="str">
        <f>'DiT - Shortlist'!U68</f>
        <v>Invite Next Year</v>
      </c>
    </row>
    <row r="382" spans="1:3" ht="16" hidden="1">
      <c r="A382" s="203" t="str">
        <f>'DiT - Shortlist'!B69</f>
        <v>Allset _2022</v>
      </c>
      <c r="B382" s="203" t="str">
        <f>'DiT - Shortlist'!E69</f>
        <v>Digital Tech</v>
      </c>
      <c r="C382" s="203" t="str">
        <f>'DiT - Shortlist'!U69</f>
        <v>Invite Next Year</v>
      </c>
    </row>
    <row r="383" spans="1:3" ht="16" hidden="1">
      <c r="A383" s="203" t="str">
        <f>'DiT - Shortlist'!B70</f>
        <v>AsisVisa Immigration Corp _2022</v>
      </c>
      <c r="B383" s="203" t="str">
        <f>'DiT - Shortlist'!E70</f>
        <v>Digital Tech</v>
      </c>
      <c r="C383" s="203" t="str">
        <f>'DiT - Shortlist'!U70</f>
        <v>Invite Next Year</v>
      </c>
    </row>
    <row r="384" spans="1:3" ht="16" hidden="1">
      <c r="A384" s="203" t="str">
        <f>'DiT - Shortlist'!B71</f>
        <v>AssetVault Limited _2022</v>
      </c>
      <c r="B384" s="203" t="str">
        <f>'DiT - Shortlist'!E71</f>
        <v>Digital Tech</v>
      </c>
      <c r="C384" s="203" t="str">
        <f>'DiT - Shortlist'!U71</f>
        <v>Invite Next Year</v>
      </c>
    </row>
    <row r="385" spans="1:3" ht="16" hidden="1">
      <c r="A385" s="203" t="str">
        <f>'DiT - Shortlist'!B72</f>
        <v>BeneTalk _2022</v>
      </c>
      <c r="B385" s="203" t="str">
        <f>'DiT - Shortlist'!E72</f>
        <v>Digital Tech</v>
      </c>
      <c r="C385" s="203" t="str">
        <f>'DiT - Shortlist'!U72</f>
        <v>Invite Next Year</v>
      </c>
    </row>
    <row r="386" spans="1:3" ht="16" hidden="1">
      <c r="A386" s="203" t="str">
        <f>'DiT - Shortlist'!B73</f>
        <v>BetterData _2022</v>
      </c>
      <c r="B386" s="203" t="str">
        <f>'DiT - Shortlist'!E73</f>
        <v>Digital Tech</v>
      </c>
      <c r="C386" s="203" t="str">
        <f>'DiT - Shortlist'!U73</f>
        <v>Invite Next Year</v>
      </c>
    </row>
    <row r="387" spans="1:3" ht="16" hidden="1">
      <c r="A387" s="203" t="str">
        <f>'DiT - Shortlist'!B74</f>
        <v>Bidmii _2022</v>
      </c>
      <c r="B387" s="203" t="str">
        <f>'DiT - Shortlist'!E74</f>
        <v>Digital Tech</v>
      </c>
      <c r="C387" s="203" t="str">
        <f>'DiT - Shortlist'!U74</f>
        <v>Invite Next Year</v>
      </c>
    </row>
    <row r="388" spans="1:3" ht="16" hidden="1">
      <c r="A388" s="204" t="str">
        <f>'DiT - Shortlist'!B75</f>
        <v>Blings.io _2022</v>
      </c>
      <c r="B388" s="203" t="str">
        <f>'DiT - Shortlist'!E75</f>
        <v>Digital Tech</v>
      </c>
      <c r="C388" s="203" t="str">
        <f>'DiT - Shortlist'!U75</f>
        <v>Invite Next Year</v>
      </c>
    </row>
    <row r="389" spans="1:3" ht="16" hidden="1">
      <c r="A389" s="203" t="str">
        <f>'DiT - Shortlist'!B76</f>
        <v>BoostDraft Inc. _2022</v>
      </c>
      <c r="B389" s="203" t="str">
        <f>'DiT - Shortlist'!E76</f>
        <v>Digital Tech</v>
      </c>
      <c r="C389" s="203" t="str">
        <f>'DiT - Shortlist'!U76</f>
        <v>Invite Next Year</v>
      </c>
    </row>
    <row r="390" spans="1:3" ht="16" hidden="1">
      <c r="A390" s="203" t="str">
        <f>'DiT - Shortlist'!B77</f>
        <v>C-End, LLC _2022</v>
      </c>
      <c r="B390" s="203" t="str">
        <f>'DiT - Shortlist'!E77</f>
        <v>Digital Tech</v>
      </c>
      <c r="C390" s="203" t="str">
        <f>'DiT - Shortlist'!U77</f>
        <v>Invite Next Year</v>
      </c>
    </row>
    <row r="391" spans="1:3" ht="16" hidden="1">
      <c r="A391" s="203" t="str">
        <f>'DiT - Shortlist'!B78</f>
        <v>Chiefy _2022</v>
      </c>
      <c r="B391" s="203" t="str">
        <f>'DiT - Shortlist'!E78</f>
        <v>Digital Tech</v>
      </c>
      <c r="C391" s="203" t="str">
        <f>'DiT - Shortlist'!U78</f>
        <v>Invite Next Year</v>
      </c>
    </row>
    <row r="392" spans="1:3" ht="16" hidden="1">
      <c r="A392" s="203" t="str">
        <f>'DiT - Shortlist'!B79</f>
        <v>CIRT (Can I Recycle This, Inc.) _2022</v>
      </c>
      <c r="B392" s="203" t="str">
        <f>'DiT - Shortlist'!E79</f>
        <v>Digital Tech</v>
      </c>
      <c r="C392" s="203" t="str">
        <f>'DiT - Shortlist'!U79</f>
        <v>Invite Next Year</v>
      </c>
    </row>
    <row r="393" spans="1:3" ht="16" hidden="1">
      <c r="A393" s="203" t="str">
        <f>'DiT - Shortlist'!B80</f>
        <v>Coinrule _2022</v>
      </c>
      <c r="B393" s="203" t="str">
        <f>'DiT - Shortlist'!E80</f>
        <v>Digital Tech</v>
      </c>
      <c r="C393" s="203" t="str">
        <f>'DiT - Shortlist'!U80</f>
        <v>Invite Next Year</v>
      </c>
    </row>
    <row r="394" spans="1:3" ht="16" hidden="1">
      <c r="A394" s="203" t="str">
        <f>'DiT - Shortlist'!B81</f>
        <v>ConConnect _2022</v>
      </c>
      <c r="B394" s="203" t="str">
        <f>'DiT - Shortlist'!E81</f>
        <v>Digital Tech</v>
      </c>
      <c r="C394" s="203" t="str">
        <f>'DiT - Shortlist'!U81</f>
        <v>Invite Next Year</v>
      </c>
    </row>
    <row r="395" spans="1:3" ht="16" hidden="1">
      <c r="A395" s="203" t="str">
        <f>'DiT - Shortlist'!B82</f>
        <v>CYTRIO, Inc. _2022</v>
      </c>
      <c r="B395" s="203" t="str">
        <f>'DiT - Shortlist'!E82</f>
        <v>Digital Tech</v>
      </c>
      <c r="C395" s="203" t="str">
        <f>'DiT - Shortlist'!U82</f>
        <v>Invite Next Year</v>
      </c>
    </row>
    <row r="396" spans="1:3" ht="16" hidden="1">
      <c r="A396" s="203" t="str">
        <f>'DiT - Shortlist'!B83</f>
        <v>Datirium, LLC _2022</v>
      </c>
      <c r="B396" s="203" t="str">
        <f>'DiT - Shortlist'!E83</f>
        <v>Digital Tech</v>
      </c>
      <c r="C396" s="203" t="str">
        <f>'DiT - Shortlist'!U83</f>
        <v>Invite Next Year</v>
      </c>
    </row>
    <row r="397" spans="1:3" ht="16" hidden="1">
      <c r="A397" s="203" t="str">
        <f>'DiT - Shortlist'!B84</f>
        <v>Dteckt, Inc. _2022</v>
      </c>
      <c r="B397" s="203" t="str">
        <f>'DiT - Shortlist'!E84</f>
        <v>Digital Tech</v>
      </c>
      <c r="C397" s="203" t="str">
        <f>'DiT - Shortlist'!U84</f>
        <v>Invite Next Year</v>
      </c>
    </row>
    <row r="398" spans="1:3" ht="16" hidden="1">
      <c r="A398" s="203" t="str">
        <f>'DiT - Shortlist'!B85</f>
        <v>Eachday, INC. _2022</v>
      </c>
      <c r="B398" s="203" t="str">
        <f>'DiT - Shortlist'!E85</f>
        <v>Digital Tech</v>
      </c>
      <c r="C398" s="203" t="str">
        <f>'DiT - Shortlist'!U85</f>
        <v>Invite Next Year</v>
      </c>
    </row>
    <row r="399" spans="1:3" ht="16" hidden="1">
      <c r="A399" s="203" t="str">
        <f>'DiT - Shortlist'!B86</f>
        <v>eBombo _2022</v>
      </c>
      <c r="B399" s="203" t="str">
        <f>'DiT - Shortlist'!E86</f>
        <v>Digital Tech</v>
      </c>
      <c r="C399" s="203" t="str">
        <f>'DiT - Shortlist'!U86</f>
        <v>Invite Next Year</v>
      </c>
    </row>
    <row r="400" spans="1:3" ht="16" hidden="1">
      <c r="A400" s="203" t="str">
        <f>'DiT - Shortlist'!B87</f>
        <v>Edverse Ltd _2022</v>
      </c>
      <c r="B400" s="203" t="str">
        <f>'DiT - Shortlist'!E87</f>
        <v>Digital Tech</v>
      </c>
      <c r="C400" s="203" t="str">
        <f>'DiT - Shortlist'!U87</f>
        <v>Invite Next Year</v>
      </c>
    </row>
    <row r="401" spans="1:3" ht="16" hidden="1">
      <c r="A401" s="203" t="str">
        <f>'DiT - Shortlist'!B88</f>
        <v>Efani Secure Mobile _2022</v>
      </c>
      <c r="B401" s="203" t="str">
        <f>'DiT - Shortlist'!E88</f>
        <v>Digital Tech</v>
      </c>
      <c r="C401" s="203" t="str">
        <f>'DiT - Shortlist'!U88</f>
        <v>Invite Next Year</v>
      </c>
    </row>
    <row r="402" spans="1:3" ht="16" hidden="1">
      <c r="A402" s="203" t="str">
        <f>'DiT - Shortlist'!B89</f>
        <v>Emani trading as Collective Quotient Ltd _2022</v>
      </c>
      <c r="B402" s="203" t="str">
        <f>'DiT - Shortlist'!E89</f>
        <v>Digital Tech</v>
      </c>
      <c r="C402" s="203" t="str">
        <f>'DiT - Shortlist'!U89</f>
        <v>Invite Next Year</v>
      </c>
    </row>
    <row r="403" spans="1:3" ht="16" hidden="1">
      <c r="A403" s="203" t="str">
        <f>'DiT - Shortlist'!B90</f>
        <v>FANLUV _2022</v>
      </c>
      <c r="B403" s="203" t="str">
        <f>'DiT - Shortlist'!E90</f>
        <v>Digital Tech</v>
      </c>
      <c r="C403" s="203" t="str">
        <f>'DiT - Shortlist'!U90</f>
        <v>Invite Next Year</v>
      </c>
    </row>
    <row r="404" spans="1:3" ht="16" hidden="1">
      <c r="A404" s="203" t="str">
        <f>'DiT - Shortlist'!B91</f>
        <v>Fathom _2022</v>
      </c>
      <c r="B404" s="203" t="str">
        <f>'DiT - Shortlist'!E91</f>
        <v>Digital Tech</v>
      </c>
      <c r="C404" s="203" t="str">
        <f>'DiT - Shortlist'!U91</f>
        <v>Invite Next Year</v>
      </c>
    </row>
    <row r="405" spans="1:3" ht="16" hidden="1">
      <c r="A405" s="203" t="str">
        <f>'DiT - Shortlist'!B92</f>
        <v>Field 33 _2022</v>
      </c>
      <c r="B405" s="203" t="str">
        <f>'DiT - Shortlist'!E92</f>
        <v>Digital Tech</v>
      </c>
      <c r="C405" s="203" t="str">
        <f>'DiT - Shortlist'!U92</f>
        <v>Invite Next Year</v>
      </c>
    </row>
    <row r="406" spans="1:3" ht="16" hidden="1">
      <c r="A406" s="203" t="str">
        <f>'DiT - Shortlist'!B93</f>
        <v>Forward Protocol _2022</v>
      </c>
      <c r="B406" s="203" t="str">
        <f>'DiT - Shortlist'!E93</f>
        <v>Digital Tech</v>
      </c>
      <c r="C406" s="203" t="str">
        <f>'DiT - Shortlist'!U93</f>
        <v>Invite Next Year</v>
      </c>
    </row>
    <row r="407" spans="1:3" ht="16" hidden="1">
      <c r="A407" s="203" t="str">
        <f>'DiT - Shortlist'!B94</f>
        <v>Fulfilld _2022</v>
      </c>
      <c r="B407" s="203" t="str">
        <f>'DiT - Shortlist'!E94</f>
        <v>Digital Tech</v>
      </c>
      <c r="C407" s="203" t="str">
        <f>'DiT - Shortlist'!U94</f>
        <v>Invite Next Year</v>
      </c>
    </row>
    <row r="408" spans="1:3" ht="16" hidden="1">
      <c r="A408" s="203" t="str">
        <f>'DiT - Shortlist'!B95</f>
        <v>Gabbit Trans Systems Pvt Ltd _2022</v>
      </c>
      <c r="B408" s="203" t="str">
        <f>'DiT - Shortlist'!E95</f>
        <v>Digital Tech</v>
      </c>
      <c r="C408" s="203" t="str">
        <f>'DiT - Shortlist'!U95</f>
        <v>Invite Next Year</v>
      </c>
    </row>
    <row r="409" spans="1:3" ht="16" hidden="1">
      <c r="A409" s="203" t="str">
        <f>'DiT - Shortlist'!B96</f>
        <v>Gardian Technologies Pty Ltd _2022</v>
      </c>
      <c r="B409" s="203" t="str">
        <f>'DiT - Shortlist'!E96</f>
        <v>Digital Tech</v>
      </c>
      <c r="C409" s="203" t="str">
        <f>'DiT - Shortlist'!U96</f>
        <v>Invite Next Year</v>
      </c>
    </row>
    <row r="410" spans="1:3" ht="16" hidden="1">
      <c r="A410" s="203" t="str">
        <f>'DiT - Shortlist'!B97</f>
        <v>Grow Computer _2022</v>
      </c>
      <c r="B410" s="203" t="str">
        <f>'DiT - Shortlist'!E97</f>
        <v>Digital Tech</v>
      </c>
      <c r="C410" s="203" t="str">
        <f>'DiT - Shortlist'!U97</f>
        <v>Invite Next Year</v>
      </c>
    </row>
    <row r="411" spans="1:3" ht="16" hidden="1">
      <c r="A411" s="203" t="str">
        <f>'DiT - Shortlist'!B98</f>
        <v>Hummingbirds AI _2022</v>
      </c>
      <c r="B411" s="203" t="str">
        <f>'DiT - Shortlist'!E98</f>
        <v>Digital Tech</v>
      </c>
      <c r="C411" s="203" t="str">
        <f>'DiT - Shortlist'!U98</f>
        <v>Invite Next Year</v>
      </c>
    </row>
    <row r="412" spans="1:3" ht="16" hidden="1">
      <c r="A412" s="203" t="str">
        <f>'DiT - Shortlist'!B99</f>
        <v>Immersive Fox Ltd _2022</v>
      </c>
      <c r="B412" s="203" t="str">
        <f>'DiT - Shortlist'!E99</f>
        <v>Digital Tech</v>
      </c>
      <c r="C412" s="203" t="str">
        <f>'DiT - Shortlist'!U99</f>
        <v>Invite Next Year</v>
      </c>
    </row>
    <row r="413" spans="1:3" ht="16" hidden="1">
      <c r="A413" s="203" t="str">
        <f>'DiT - Shortlist'!B100</f>
        <v>Inference Analytics, Inc.  _2022</v>
      </c>
      <c r="B413" s="203" t="str">
        <f>'DiT - Shortlist'!E100</f>
        <v>Digital Tech</v>
      </c>
      <c r="C413" s="203" t="str">
        <f>'DiT - Shortlist'!U100</f>
        <v>Invite Next Year</v>
      </c>
    </row>
    <row r="414" spans="1:3" ht="16" hidden="1">
      <c r="A414" s="203" t="str">
        <f>'DiT - Shortlist'!B101</f>
        <v>Infinity Gaming Media _2022</v>
      </c>
      <c r="B414" s="203" t="str">
        <f>'DiT - Shortlist'!E101</f>
        <v>Digital Tech</v>
      </c>
      <c r="C414" s="203" t="str">
        <f>'DiT - Shortlist'!U101</f>
        <v>Invite Next Year</v>
      </c>
    </row>
    <row r="415" spans="1:3" ht="16" hidden="1">
      <c r="A415" s="203" t="str">
        <f>'DiT - Shortlist'!B102</f>
        <v>INION LT _2022</v>
      </c>
      <c r="B415" s="203" t="str">
        <f>'DiT - Shortlist'!E102</f>
        <v>Digital Tech</v>
      </c>
      <c r="C415" s="203" t="str">
        <f>'DiT - Shortlist'!U102</f>
        <v>Invite Next Year</v>
      </c>
    </row>
    <row r="416" spans="1:3" ht="16" hidden="1">
      <c r="A416" s="203" t="str">
        <f>'DiT - Shortlist'!B103</f>
        <v>IPwe _2022</v>
      </c>
      <c r="B416" s="203" t="str">
        <f>'DiT - Shortlist'!E103</f>
        <v>Digital Tech</v>
      </c>
      <c r="C416" s="203" t="str">
        <f>'DiT - Shortlist'!U103</f>
        <v>Invite Next Year</v>
      </c>
    </row>
    <row r="417" spans="1:3" ht="16" hidden="1">
      <c r="A417" s="203" t="str">
        <f>'DiT - Shortlist'!B104</f>
        <v>Krystal Holdings Pte. Ltd. _2022</v>
      </c>
      <c r="B417" s="203" t="str">
        <f>'DiT - Shortlist'!E104</f>
        <v>Digital Tech</v>
      </c>
      <c r="C417" s="203" t="str">
        <f>'DiT - Shortlist'!U104</f>
        <v>Invite Next Year</v>
      </c>
    </row>
    <row r="418" spans="1:3" ht="16" hidden="1">
      <c r="A418" s="203" t="str">
        <f>'DiT - Shortlist'!B105</f>
        <v>Legible Inc. _2022</v>
      </c>
      <c r="B418" s="203" t="str">
        <f>'DiT - Shortlist'!E105</f>
        <v>Digital Tech</v>
      </c>
      <c r="C418" s="203" t="str">
        <f>'DiT - Shortlist'!U105</f>
        <v>Invite Next Year</v>
      </c>
    </row>
    <row r="419" spans="1:3" ht="16" hidden="1">
      <c r="A419" s="203" t="str">
        <f>'DiT - Shortlist'!B106</f>
        <v>MindTrace _2022</v>
      </c>
      <c r="B419" s="203" t="str">
        <f>'DiT - Shortlist'!E106</f>
        <v>Digital Tech</v>
      </c>
      <c r="C419" s="203" t="str">
        <f>'DiT - Shortlist'!U106</f>
        <v>Invite Next Year</v>
      </c>
    </row>
    <row r="420" spans="1:3" ht="16" hidden="1">
      <c r="A420" s="203" t="str">
        <f>'DiT - Shortlist'!B107</f>
        <v>Mon4t _2022</v>
      </c>
      <c r="B420" s="203" t="str">
        <f>'DiT - Shortlist'!E107</f>
        <v>Digital Tech</v>
      </c>
      <c r="C420" s="203" t="str">
        <f>'DiT - Shortlist'!U107</f>
        <v>Invite Next Year</v>
      </c>
    </row>
    <row r="421" spans="1:3" ht="16" hidden="1">
      <c r="A421" s="203" t="str">
        <f>'DiT - Shortlist'!B108</f>
        <v>MPzero _2022</v>
      </c>
      <c r="B421" s="203" t="str">
        <f>'DiT - Shortlist'!E108</f>
        <v>Digital Tech</v>
      </c>
      <c r="C421" s="203" t="str">
        <f>'DiT - Shortlist'!U108</f>
        <v>Invite Next Year</v>
      </c>
    </row>
    <row r="422" spans="1:3" ht="16" hidden="1">
      <c r="A422" s="203" t="str">
        <f>'DiT - Shortlist'!B109</f>
        <v>OmicsChart _2022</v>
      </c>
      <c r="B422" s="203" t="str">
        <f>'DiT - Shortlist'!E109</f>
        <v>Digital Tech</v>
      </c>
      <c r="C422" s="203" t="str">
        <f>'DiT - Shortlist'!U109</f>
        <v>Invite Next Year</v>
      </c>
    </row>
    <row r="423" spans="1:3" ht="16" hidden="1">
      <c r="A423" s="203" t="str">
        <f>'DiT - Shortlist'!B110</f>
        <v>ONEKEY GmbH _2022</v>
      </c>
      <c r="B423" s="203" t="str">
        <f>'DiT - Shortlist'!E110</f>
        <v>Digital Tech</v>
      </c>
      <c r="C423" s="203" t="str">
        <f>'DiT - Shortlist'!U110</f>
        <v>Invite Next Year</v>
      </c>
    </row>
    <row r="424" spans="1:3" ht="16" hidden="1">
      <c r="A424" s="203" t="str">
        <f>'DiT - Shortlist'!B111</f>
        <v>refive _2022</v>
      </c>
      <c r="B424" s="203" t="str">
        <f>'DiT - Shortlist'!E111</f>
        <v>Digital Tech</v>
      </c>
      <c r="C424" s="203" t="str">
        <f>'DiT - Shortlist'!U111</f>
        <v>Invite Next Year</v>
      </c>
    </row>
    <row r="425" spans="1:3" ht="16" hidden="1">
      <c r="A425" s="203" t="str">
        <f>'DiT - Shortlist'!B112</f>
        <v>Regtick Ltd _2022</v>
      </c>
      <c r="B425" s="203" t="str">
        <f>'DiT - Shortlist'!E112</f>
        <v>Digital Tech</v>
      </c>
      <c r="C425" s="203" t="str">
        <f>'DiT - Shortlist'!U112</f>
        <v>Invite Next Year</v>
      </c>
    </row>
    <row r="426" spans="1:3" ht="16" hidden="1">
      <c r="A426" s="203" t="str">
        <f>'DiT - Shortlist'!B113</f>
        <v>REVER _2022</v>
      </c>
      <c r="B426" s="203" t="str">
        <f>'DiT - Shortlist'!E113</f>
        <v>Digital Tech</v>
      </c>
      <c r="C426" s="203" t="str">
        <f>'DiT - Shortlist'!U113</f>
        <v>Invite Next Year</v>
      </c>
    </row>
    <row r="427" spans="1:3" ht="16" hidden="1">
      <c r="A427" s="203" t="str">
        <f>'DiT - Shortlist'!B114</f>
        <v>Rivet _2022</v>
      </c>
      <c r="B427" s="203" t="str">
        <f>'DiT - Shortlist'!E114</f>
        <v>Digital Tech</v>
      </c>
      <c r="C427" s="203" t="str">
        <f>'DiT - Shortlist'!U114</f>
        <v>Invite Next Year</v>
      </c>
    </row>
    <row r="428" spans="1:3" ht="16" hidden="1">
      <c r="A428" s="203" t="str">
        <f>'DiT - Shortlist'!B115</f>
        <v>SecureCHEK AI, Inc. _2022</v>
      </c>
      <c r="B428" s="203" t="str">
        <f>'DiT - Shortlist'!E115</f>
        <v>Digital Tech</v>
      </c>
      <c r="C428" s="203" t="str">
        <f>'DiT - Shortlist'!U115</f>
        <v>Invite Next Year</v>
      </c>
    </row>
    <row r="429" spans="1:3" ht="16" hidden="1">
      <c r="A429" s="203" t="str">
        <f>'DiT - Shortlist'!B116</f>
        <v>Selia _2022</v>
      </c>
      <c r="B429" s="203" t="str">
        <f>'DiT - Shortlist'!E116</f>
        <v>Digital Tech</v>
      </c>
      <c r="C429" s="203" t="str">
        <f>'DiT - Shortlist'!U116</f>
        <v>Invite Next Year</v>
      </c>
    </row>
    <row r="430" spans="1:3" ht="16" hidden="1">
      <c r="A430" s="203" t="str">
        <f>'DiT - Shortlist'!B117</f>
        <v>Semeris _2022</v>
      </c>
      <c r="B430" s="203" t="str">
        <f>'DiT - Shortlist'!E117</f>
        <v>Digital Tech</v>
      </c>
      <c r="C430" s="203" t="str">
        <f>'DiT - Shortlist'!U117</f>
        <v>Invite Next Year</v>
      </c>
    </row>
    <row r="431" spans="1:3" ht="16" hidden="1">
      <c r="A431" s="203" t="str">
        <f>'DiT - Shortlist'!B118</f>
        <v>Sentinel Occupational Safety (Sentinel) _2022</v>
      </c>
      <c r="B431" s="203" t="str">
        <f>'DiT - Shortlist'!E118</f>
        <v>Digital Tech</v>
      </c>
      <c r="C431" s="203" t="str">
        <f>'DiT - Shortlist'!U118</f>
        <v>Invite Next Year</v>
      </c>
    </row>
    <row r="432" spans="1:3" ht="16" hidden="1">
      <c r="A432" s="203" t="str">
        <f>'DiT - Shortlist'!B119</f>
        <v>SOLO Secure _2022</v>
      </c>
      <c r="B432" s="203" t="str">
        <f>'DiT - Shortlist'!E119</f>
        <v>Digital Tech</v>
      </c>
      <c r="C432" s="203" t="str">
        <f>'DiT - Shortlist'!U119</f>
        <v>Invite Next Year</v>
      </c>
    </row>
    <row r="433" spans="1:3" ht="16" hidden="1">
      <c r="A433" s="203" t="str">
        <f>'DiT - Shortlist'!B120</f>
        <v>Sova Health _2022</v>
      </c>
      <c r="B433" s="203" t="str">
        <f>'DiT - Shortlist'!E120</f>
        <v>Digital Tech</v>
      </c>
      <c r="C433" s="203" t="str">
        <f>'DiT - Shortlist'!U120</f>
        <v>Invite Next Year</v>
      </c>
    </row>
    <row r="434" spans="1:3" ht="16" hidden="1">
      <c r="A434" s="203" t="str">
        <f>'DiT - Shortlist'!B121</f>
        <v>Sumer _2022</v>
      </c>
      <c r="B434" s="203" t="str">
        <f>'DiT - Shortlist'!E121</f>
        <v>Digital Tech</v>
      </c>
      <c r="C434" s="203" t="str">
        <f>'DiT - Shortlist'!U121</f>
        <v>Invite Next Year</v>
      </c>
    </row>
    <row r="435" spans="1:3" ht="16" hidden="1">
      <c r="A435" s="203" t="str">
        <f>'DiT - Shortlist'!B122</f>
        <v>Summer Robotics Inc _2022</v>
      </c>
      <c r="B435" s="203" t="str">
        <f>'DiT - Shortlist'!E122</f>
        <v>Digital Tech</v>
      </c>
      <c r="C435" s="203" t="str">
        <f>'DiT - Shortlist'!U122</f>
        <v>Invite Next Year</v>
      </c>
    </row>
    <row r="436" spans="1:3" ht="16" hidden="1">
      <c r="A436" s="203" t="str">
        <f>'DiT - Shortlist'!B123</f>
        <v>Suru Together Ltd _2022</v>
      </c>
      <c r="B436" s="203" t="str">
        <f>'DiT - Shortlist'!E123</f>
        <v>Digital Tech</v>
      </c>
      <c r="C436" s="203" t="str">
        <f>'DiT - Shortlist'!U123</f>
        <v>Invite Next Year</v>
      </c>
    </row>
    <row r="437" spans="1:3" ht="16" hidden="1">
      <c r="A437" s="203" t="str">
        <f>'DiT - Shortlist'!B124</f>
        <v>sustamize  _2022</v>
      </c>
      <c r="B437" s="203" t="str">
        <f>'DiT - Shortlist'!E124</f>
        <v>Digital Tech</v>
      </c>
      <c r="C437" s="203" t="str">
        <f>'DiT - Shortlist'!U124</f>
        <v>Invite Next Year</v>
      </c>
    </row>
    <row r="438" spans="1:3" ht="16" hidden="1">
      <c r="A438" s="203" t="str">
        <f>'DiT - Shortlist'!B125</f>
        <v>Television Korea 24, Inc. (ESTV) _2022</v>
      </c>
      <c r="B438" s="203" t="str">
        <f>'DiT - Shortlist'!E125</f>
        <v>Digital Tech</v>
      </c>
      <c r="C438" s="203" t="str">
        <f>'DiT - Shortlist'!U125</f>
        <v>Invite Next Year</v>
      </c>
    </row>
    <row r="439" spans="1:3" ht="16" hidden="1">
      <c r="A439" s="203" t="str">
        <f>'DiT - Shortlist'!B126</f>
        <v>Tripoverse _2022</v>
      </c>
      <c r="B439" s="203" t="str">
        <f>'DiT - Shortlist'!E126</f>
        <v>Digital Tech</v>
      </c>
      <c r="C439" s="203" t="str">
        <f>'DiT - Shortlist'!U126</f>
        <v>Invite Next Year</v>
      </c>
    </row>
    <row r="440" spans="1:3" ht="16" hidden="1">
      <c r="A440" s="203" t="str">
        <f>'DiT - Shortlist'!B127</f>
        <v>TrueToForm _2022</v>
      </c>
      <c r="B440" s="203" t="str">
        <f>'DiT - Shortlist'!E127</f>
        <v>Digital Tech</v>
      </c>
      <c r="C440" s="203" t="str">
        <f>'DiT - Shortlist'!U127</f>
        <v>Invite Next Year</v>
      </c>
    </row>
    <row r="441" spans="1:3" ht="16" hidden="1">
      <c r="A441" s="203" t="str">
        <f>'DiT - Shortlist'!B128</f>
        <v>Untap Ltd _2022</v>
      </c>
      <c r="B441" s="203" t="str">
        <f>'DiT - Shortlist'!E128</f>
        <v>Digital Tech</v>
      </c>
      <c r="C441" s="203" t="str">
        <f>'DiT - Shortlist'!U128</f>
        <v>Invite Next Year</v>
      </c>
    </row>
    <row r="442" spans="1:3" ht="16" hidden="1">
      <c r="A442" s="203" t="str">
        <f>'DiT - Shortlist'!B129</f>
        <v>UpBeing Inc. _2022</v>
      </c>
      <c r="B442" s="203" t="str">
        <f>'DiT - Shortlist'!E129</f>
        <v>Digital Tech</v>
      </c>
      <c r="C442" s="203" t="str">
        <f>'DiT - Shortlist'!U129</f>
        <v>Invite Next Year</v>
      </c>
    </row>
    <row r="443" spans="1:3" ht="16" hidden="1">
      <c r="A443" s="203" t="str">
        <f>'DiT - Shortlist'!B130</f>
        <v>VendRx Inc. _2022</v>
      </c>
      <c r="B443" s="203" t="str">
        <f>'DiT - Shortlist'!E130</f>
        <v>Digital Tech</v>
      </c>
      <c r="C443" s="203" t="str">
        <f>'DiT - Shortlist'!U130</f>
        <v>Invite Next Year</v>
      </c>
    </row>
    <row r="444" spans="1:3" ht="16" hidden="1">
      <c r="A444" s="203" t="str">
        <f>'DiT - Shortlist'!B131</f>
        <v>Voltela _2022</v>
      </c>
      <c r="B444" s="203" t="str">
        <f>'DiT - Shortlist'!E131</f>
        <v>Digital Tech</v>
      </c>
      <c r="C444" s="203" t="str">
        <f>'DiT - Shortlist'!U131</f>
        <v>Invite Next Year</v>
      </c>
    </row>
    <row r="445" spans="1:3" ht="16" hidden="1">
      <c r="A445" s="203" t="str">
        <f>'DiT - Shortlist'!B132</f>
        <v>Webeyez _2022</v>
      </c>
      <c r="B445" s="203" t="str">
        <f>'DiT - Shortlist'!E132</f>
        <v>Digital Tech</v>
      </c>
      <c r="C445" s="203" t="str">
        <f>'DiT - Shortlist'!U132</f>
        <v>Invite Next Year</v>
      </c>
    </row>
    <row r="446" spans="1:3" ht="16" hidden="1">
      <c r="A446" s="203" t="str">
        <f>'DiT - Shortlist'!B133</f>
        <v>Friendlier _2022</v>
      </c>
      <c r="B446" s="203" t="str">
        <f>'DiT - Shortlist'!E133</f>
        <v>Digital Tech</v>
      </c>
      <c r="C446" s="203" t="str">
        <f>'DiT - Shortlist'!U133</f>
        <v>Invite Next Year</v>
      </c>
    </row>
  </sheetData>
  <autoFilter ref="A1:C446" xr:uid="{00000000-0009-0000-0000-000007000000}">
    <filterColumn colId="2">
      <filters>
        <filter val="Invite"/>
      </filters>
    </filterColumn>
  </autoFilter>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126"/>
  <sheetViews>
    <sheetView workbookViewId="0">
      <pane xSplit="3" ySplit="1" topLeftCell="D2" activePane="bottomRight" state="frozen"/>
      <selection pane="topRight" activeCell="D1" sqref="D1"/>
      <selection pane="bottomLeft" activeCell="A2" sqref="A2"/>
      <selection pane="bottomRight" activeCell="D2" sqref="D2"/>
    </sheetView>
  </sheetViews>
  <sheetFormatPr baseColWidth="10" defaultColWidth="14.5" defaultRowHeight="15" customHeight="1" outlineLevelCol="1"/>
  <cols>
    <col min="1" max="1" width="14.1640625" customWidth="1"/>
    <col min="2" max="2" width="38.6640625" customWidth="1"/>
    <col min="3" max="3" width="20.6640625" customWidth="1"/>
    <col min="4" max="4" width="64.1640625" customWidth="1"/>
    <col min="5" max="5" width="16.1640625" customWidth="1"/>
    <col min="6" max="6" width="14.5" customWidth="1"/>
    <col min="7" max="7" width="41.5" customWidth="1" outlineLevel="1"/>
    <col min="8" max="8" width="20.1640625" customWidth="1"/>
    <col min="9" max="9" width="31.1640625" customWidth="1"/>
    <col min="10" max="10" width="37.33203125" customWidth="1" outlineLevel="1"/>
    <col min="11" max="11" width="20.1640625" customWidth="1"/>
    <col min="12" max="12" width="21.6640625" customWidth="1"/>
    <col min="13" max="13" width="22.1640625" customWidth="1"/>
    <col min="14" max="14" width="22.5" customWidth="1"/>
    <col min="15" max="15" width="33.6640625" customWidth="1"/>
    <col min="16" max="17" width="31.1640625" customWidth="1"/>
    <col min="18" max="18" width="66.6640625" customWidth="1"/>
    <col min="19" max="21" width="31.1640625" hidden="1" customWidth="1"/>
    <col min="22" max="26" width="11.5" hidden="1" customWidth="1"/>
  </cols>
  <sheetData>
    <row r="1" spans="1:26" ht="30">
      <c r="A1" s="205" t="s">
        <v>419</v>
      </c>
      <c r="B1" s="205" t="s">
        <v>420</v>
      </c>
      <c r="C1" s="206" t="s">
        <v>424</v>
      </c>
      <c r="D1" s="205" t="s">
        <v>423</v>
      </c>
      <c r="E1" s="207" t="s">
        <v>39</v>
      </c>
      <c r="F1" s="205" t="s">
        <v>42</v>
      </c>
      <c r="G1" s="205" t="s">
        <v>426</v>
      </c>
      <c r="H1" s="205" t="s">
        <v>427</v>
      </c>
      <c r="I1" s="205" t="s">
        <v>43</v>
      </c>
      <c r="J1" s="205" t="s">
        <v>428</v>
      </c>
      <c r="K1" s="205" t="s">
        <v>429</v>
      </c>
      <c r="L1" s="205" t="s">
        <v>430</v>
      </c>
      <c r="M1" s="205" t="s">
        <v>431</v>
      </c>
      <c r="N1" s="205" t="s">
        <v>432</v>
      </c>
      <c r="O1" s="208" t="s">
        <v>433</v>
      </c>
      <c r="P1" s="209" t="s">
        <v>434</v>
      </c>
      <c r="Q1" s="207" t="s">
        <v>425</v>
      </c>
      <c r="R1" s="207" t="s">
        <v>435</v>
      </c>
      <c r="S1" s="210" t="s">
        <v>10170</v>
      </c>
      <c r="T1" s="210" t="s">
        <v>10171</v>
      </c>
      <c r="U1" s="210" t="s">
        <v>10172</v>
      </c>
      <c r="V1" s="211"/>
      <c r="W1" s="211"/>
      <c r="X1" s="211"/>
      <c r="Y1" s="211"/>
      <c r="Z1" s="211"/>
    </row>
    <row r="2" spans="1:26">
      <c r="A2" s="212">
        <v>44776</v>
      </c>
      <c r="B2" s="213" t="s">
        <v>287</v>
      </c>
      <c r="C2" s="214">
        <v>5</v>
      </c>
      <c r="D2" s="213" t="s">
        <v>1640</v>
      </c>
      <c r="E2" s="215" t="s">
        <v>3</v>
      </c>
      <c r="F2" s="213" t="s">
        <v>460</v>
      </c>
      <c r="G2" s="213"/>
      <c r="H2" s="213">
        <v>5</v>
      </c>
      <c r="I2" s="213" t="s">
        <v>488</v>
      </c>
      <c r="J2" s="213"/>
      <c r="K2" s="213">
        <v>5</v>
      </c>
      <c r="L2" s="213" t="s">
        <v>478</v>
      </c>
      <c r="M2" s="216">
        <v>16000000</v>
      </c>
      <c r="N2" s="213" t="s">
        <v>452</v>
      </c>
      <c r="O2" s="213" t="s">
        <v>575</v>
      </c>
      <c r="P2" s="143"/>
      <c r="Q2" s="213" t="str">
        <f t="array" ref="Q2">INDEX(Notes!B:B,MATCH($B2,Notes!$A:$A,0))</f>
        <v>Invite</v>
      </c>
      <c r="R2" s="217" t="s">
        <v>1641</v>
      </c>
      <c r="S2" s="218"/>
      <c r="T2" s="218"/>
      <c r="U2" s="218"/>
      <c r="V2" s="219"/>
      <c r="W2" s="219"/>
      <c r="X2" s="219"/>
      <c r="Y2" s="219"/>
      <c r="Z2" s="219"/>
    </row>
    <row r="3" spans="1:26">
      <c r="A3" s="220">
        <v>44776</v>
      </c>
      <c r="B3" s="221" t="s">
        <v>108</v>
      </c>
      <c r="C3" s="214">
        <v>5</v>
      </c>
      <c r="D3" s="221" t="s">
        <v>791</v>
      </c>
      <c r="E3" s="215" t="s">
        <v>5</v>
      </c>
      <c r="F3" s="221" t="s">
        <v>447</v>
      </c>
      <c r="G3" s="221" t="s">
        <v>792</v>
      </c>
      <c r="H3" s="221">
        <v>5</v>
      </c>
      <c r="I3" s="221" t="s">
        <v>543</v>
      </c>
      <c r="J3" s="221" t="s">
        <v>11399</v>
      </c>
      <c r="K3" s="221">
        <v>5</v>
      </c>
      <c r="L3" s="221" t="s">
        <v>478</v>
      </c>
      <c r="M3" s="222">
        <v>30000000</v>
      </c>
      <c r="N3" s="221" t="s">
        <v>452</v>
      </c>
      <c r="O3" s="221" t="s">
        <v>794</v>
      </c>
      <c r="P3" s="145"/>
      <c r="Q3" s="221" t="str">
        <f t="array" ref="Q3">INDEX(Notes!B:B,MATCH($B3,Notes!$A:$A,0))</f>
        <v>Invite</v>
      </c>
      <c r="R3" s="223">
        <f t="array" ref="R3">INDEX(Notes!C:C,MATCH($B3,Notes!$A:$A,0))</f>
        <v>0</v>
      </c>
      <c r="S3" s="218"/>
      <c r="T3" s="218"/>
      <c r="U3" s="218"/>
      <c r="V3" s="224"/>
      <c r="W3" s="224"/>
      <c r="X3" s="224"/>
      <c r="Y3" s="224"/>
      <c r="Z3" s="224"/>
    </row>
    <row r="4" spans="1:26">
      <c r="A4" s="212">
        <v>44776</v>
      </c>
      <c r="B4" s="213" t="s">
        <v>334</v>
      </c>
      <c r="C4" s="214">
        <v>5</v>
      </c>
      <c r="D4" s="213" t="s">
        <v>1874</v>
      </c>
      <c r="E4" s="215" t="s">
        <v>3</v>
      </c>
      <c r="F4" s="213" t="s">
        <v>460</v>
      </c>
      <c r="G4" s="213" t="s">
        <v>1875</v>
      </c>
      <c r="H4" s="213">
        <v>5</v>
      </c>
      <c r="I4" s="213" t="s">
        <v>941</v>
      </c>
      <c r="J4" s="213"/>
      <c r="K4" s="213">
        <v>5</v>
      </c>
      <c r="L4" s="213" t="s">
        <v>451</v>
      </c>
      <c r="M4" s="225">
        <v>2000000</v>
      </c>
      <c r="N4" s="213" t="s">
        <v>452</v>
      </c>
      <c r="O4" s="213" t="s">
        <v>1876</v>
      </c>
      <c r="P4" s="143"/>
      <c r="Q4" s="213" t="str">
        <f t="array" ref="Q4">INDEX(Notes!B:B,MATCH($B4,Notes!$A:$A,0))</f>
        <v>Invite</v>
      </c>
      <c r="R4" s="226">
        <f t="array" ref="R4">INDEX(Notes!C:C,MATCH($B4,Notes!$A:$A,0))</f>
        <v>0</v>
      </c>
      <c r="S4" s="218"/>
      <c r="T4" s="218"/>
      <c r="U4" s="218"/>
      <c r="V4" s="219"/>
      <c r="W4" s="219"/>
      <c r="X4" s="219"/>
      <c r="Y4" s="219"/>
      <c r="Z4" s="219"/>
    </row>
    <row r="5" spans="1:26" ht="30">
      <c r="A5" s="220">
        <v>44776</v>
      </c>
      <c r="B5" s="221" t="s">
        <v>69</v>
      </c>
      <c r="C5" s="214">
        <v>5</v>
      </c>
      <c r="D5" s="221" t="s">
        <v>506</v>
      </c>
      <c r="E5" s="215" t="s">
        <v>5</v>
      </c>
      <c r="F5" s="221" t="s">
        <v>447</v>
      </c>
      <c r="G5" s="221"/>
      <c r="H5" s="221">
        <v>5</v>
      </c>
      <c r="I5" s="221" t="s">
        <v>449</v>
      </c>
      <c r="J5" s="221" t="e">
        <f>+Credible Team with strong academic links
+Sound business plan and roadmap that follows similar successful startups
+Have participated in other start up programs
+Have positive press and government recognition</f>
        <v>#NAME?</v>
      </c>
      <c r="K5" s="221">
        <v>5</v>
      </c>
      <c r="L5" s="221" t="s">
        <v>451</v>
      </c>
      <c r="M5" s="222">
        <v>3000000</v>
      </c>
      <c r="N5" s="221" t="s">
        <v>452</v>
      </c>
      <c r="O5" s="221" t="s">
        <v>508</v>
      </c>
      <c r="P5" s="145"/>
      <c r="Q5" s="221" t="str">
        <f t="array" ref="Q5">INDEX(Notes!B:B,MATCH($B5,Notes!$A:$A,0))</f>
        <v>Invite</v>
      </c>
      <c r="R5" s="223" t="str">
        <f t="array" ref="R5">INDEX(Notes!C:C,MATCH($B5,Notes!$A:$A,0))</f>
        <v>Missed similar company previously; good mission and partnerships in UK with affordable housing; strong room to grow</v>
      </c>
      <c r="S5" s="218"/>
      <c r="T5" s="218"/>
      <c r="U5" s="218"/>
      <c r="V5" s="224"/>
      <c r="W5" s="224"/>
      <c r="X5" s="224"/>
      <c r="Y5" s="224"/>
      <c r="Z5" s="224"/>
    </row>
    <row r="6" spans="1:26">
      <c r="A6" s="212">
        <v>44776</v>
      </c>
      <c r="B6" s="213" t="s">
        <v>172</v>
      </c>
      <c r="C6" s="214">
        <v>4.5</v>
      </c>
      <c r="D6" s="213" t="s">
        <v>1108</v>
      </c>
      <c r="E6" s="215" t="s">
        <v>4</v>
      </c>
      <c r="F6" s="213" t="s">
        <v>602</v>
      </c>
      <c r="G6" s="213" t="s">
        <v>1109</v>
      </c>
      <c r="H6" s="213">
        <v>4.5</v>
      </c>
      <c r="I6" s="213" t="s">
        <v>727</v>
      </c>
      <c r="J6" s="213" t="s">
        <v>1110</v>
      </c>
      <c r="K6" s="213">
        <v>4.5</v>
      </c>
      <c r="L6" s="213"/>
      <c r="M6" s="213"/>
      <c r="N6" s="213" t="s">
        <v>465</v>
      </c>
      <c r="O6" s="213" t="s">
        <v>452</v>
      </c>
      <c r="P6" s="143"/>
      <c r="Q6" s="213" t="str">
        <f t="array" ref="Q6">INDEX(Notes!B:B,MATCH($B6,Notes!$A:$A,0))</f>
        <v>Invite</v>
      </c>
      <c r="R6" s="226" t="s">
        <v>1111</v>
      </c>
      <c r="S6" s="218"/>
      <c r="T6" s="218"/>
      <c r="U6" s="218"/>
      <c r="V6" s="219"/>
      <c r="W6" s="219"/>
      <c r="X6" s="219"/>
      <c r="Y6" s="219"/>
      <c r="Z6" s="219"/>
    </row>
    <row r="7" spans="1:26">
      <c r="A7" s="220">
        <v>44776</v>
      </c>
      <c r="B7" s="221" t="s">
        <v>363</v>
      </c>
      <c r="C7" s="214">
        <v>4.5</v>
      </c>
      <c r="D7" s="221" t="s">
        <v>2056</v>
      </c>
      <c r="E7" s="215" t="s">
        <v>3</v>
      </c>
      <c r="F7" s="221" t="s">
        <v>460</v>
      </c>
      <c r="G7" s="221" t="s">
        <v>2057</v>
      </c>
      <c r="H7" s="221">
        <v>4</v>
      </c>
      <c r="I7" s="221" t="s">
        <v>941</v>
      </c>
      <c r="J7" s="221"/>
      <c r="K7" s="221">
        <v>5</v>
      </c>
      <c r="L7" s="221" t="s">
        <v>784</v>
      </c>
      <c r="M7" s="221" t="s">
        <v>11510</v>
      </c>
      <c r="N7" s="221" t="s">
        <v>452</v>
      </c>
      <c r="O7" s="221" t="s">
        <v>452</v>
      </c>
      <c r="P7" s="145" t="s">
        <v>2059</v>
      </c>
      <c r="Q7" s="221" t="str">
        <f t="array" ref="Q7">INDEX(Notes!B:B,MATCH($B7,Notes!$A:$A,0))</f>
        <v>Invite</v>
      </c>
      <c r="R7" s="223">
        <f t="array" ref="R7">INDEX(Notes!C:C,MATCH($B7,Notes!$A:$A,0))</f>
        <v>0</v>
      </c>
      <c r="S7" s="218"/>
      <c r="T7" s="218"/>
      <c r="U7" s="218"/>
      <c r="V7" s="224"/>
      <c r="W7" s="224"/>
      <c r="X7" s="224"/>
      <c r="Y7" s="224"/>
      <c r="Z7" s="224"/>
    </row>
    <row r="8" spans="1:26">
      <c r="A8" s="212">
        <v>44776</v>
      </c>
      <c r="B8" s="213" t="s">
        <v>260</v>
      </c>
      <c r="C8" s="214">
        <v>4.5</v>
      </c>
      <c r="D8" s="213" t="s">
        <v>1510</v>
      </c>
      <c r="E8" s="215" t="s">
        <v>4</v>
      </c>
      <c r="F8" s="213" t="s">
        <v>602</v>
      </c>
      <c r="G8" s="213" t="s">
        <v>11419</v>
      </c>
      <c r="H8" s="213">
        <v>4.5</v>
      </c>
      <c r="I8" s="213" t="s">
        <v>1054</v>
      </c>
      <c r="J8" s="213" t="s">
        <v>11420</v>
      </c>
      <c r="K8" s="213">
        <v>4.5</v>
      </c>
      <c r="L8" s="213" t="s">
        <v>451</v>
      </c>
      <c r="M8" s="225">
        <v>3000000</v>
      </c>
      <c r="N8" s="213" t="s">
        <v>454</v>
      </c>
      <c r="O8" s="213" t="s">
        <v>11421</v>
      </c>
      <c r="P8" s="143"/>
      <c r="Q8" s="213" t="str">
        <f t="array" ref="Q8">INDEX(Notes!B:B,MATCH($B8,Notes!$A:$A,0))</f>
        <v>Invite</v>
      </c>
      <c r="R8" s="226">
        <f t="array" ref="R8">INDEX(Notes!C:C,MATCH($B8,Notes!$A:$A,0))</f>
        <v>0</v>
      </c>
      <c r="S8" s="218"/>
      <c r="T8" s="218"/>
      <c r="U8" s="218"/>
      <c r="V8" s="219"/>
      <c r="W8" s="219"/>
      <c r="X8" s="219"/>
      <c r="Y8" s="219"/>
      <c r="Z8" s="219"/>
    </row>
    <row r="9" spans="1:26">
      <c r="A9" s="220">
        <v>44776</v>
      </c>
      <c r="B9" s="221" t="s">
        <v>156</v>
      </c>
      <c r="C9" s="214">
        <v>4.25</v>
      </c>
      <c r="D9" s="221" t="s">
        <v>1052</v>
      </c>
      <c r="E9" s="215" t="s">
        <v>4</v>
      </c>
      <c r="F9" s="221" t="s">
        <v>602</v>
      </c>
      <c r="G9" s="221" t="s">
        <v>11390</v>
      </c>
      <c r="H9" s="221">
        <v>4.5</v>
      </c>
      <c r="I9" s="221" t="s">
        <v>1054</v>
      </c>
      <c r="J9" s="221"/>
      <c r="K9" s="221">
        <v>4</v>
      </c>
      <c r="L9" s="221" t="s">
        <v>451</v>
      </c>
      <c r="M9" s="221">
        <v>4000000</v>
      </c>
      <c r="N9" s="221" t="s">
        <v>465</v>
      </c>
      <c r="O9" s="221" t="s">
        <v>1055</v>
      </c>
      <c r="P9" s="145" t="s">
        <v>1120</v>
      </c>
      <c r="Q9" s="221" t="str">
        <f t="array" ref="Q9">INDEX(Notes!B:B,MATCH($B9,Notes!$A:$A,0))</f>
        <v>Invite</v>
      </c>
      <c r="R9" s="223">
        <f t="array" ref="R9">INDEX(Notes!C:C,MATCH($B9,Notes!$A:$A,0))</f>
        <v>0</v>
      </c>
      <c r="S9" s="218"/>
      <c r="T9" s="218"/>
      <c r="U9" s="218"/>
      <c r="V9" s="224"/>
      <c r="W9" s="224"/>
      <c r="X9" s="224"/>
      <c r="Y9" s="224"/>
      <c r="Z9" s="224"/>
    </row>
    <row r="10" spans="1:26">
      <c r="A10" s="227">
        <v>44776</v>
      </c>
      <c r="B10" s="228" t="s">
        <v>83</v>
      </c>
      <c r="C10" s="214">
        <v>4.25</v>
      </c>
      <c r="D10" s="228" t="s">
        <v>1116</v>
      </c>
      <c r="E10" s="215" t="s">
        <v>4</v>
      </c>
      <c r="F10" s="228" t="s">
        <v>447</v>
      </c>
      <c r="G10" s="228" t="s">
        <v>1117</v>
      </c>
      <c r="H10" s="228">
        <v>4.5</v>
      </c>
      <c r="I10" s="228" t="s">
        <v>449</v>
      </c>
      <c r="J10" s="228" t="s">
        <v>13400</v>
      </c>
      <c r="K10" s="228">
        <v>4</v>
      </c>
      <c r="L10" s="228" t="s">
        <v>451</v>
      </c>
      <c r="M10" s="229">
        <v>3500000</v>
      </c>
      <c r="N10" s="228" t="s">
        <v>452</v>
      </c>
      <c r="O10" s="228" t="s">
        <v>1119</v>
      </c>
      <c r="P10" s="230"/>
      <c r="Q10" s="228" t="str">
        <f t="array" ref="Q10">INDEX(Notes!B:B,MATCH($B10,Notes!$A:$A,0))</f>
        <v>Invite</v>
      </c>
      <c r="R10" s="231" t="str">
        <f t="array" ref="R10">INDEX(Notes!C:C,MATCH($B10,Notes!$A:$A,0))</f>
        <v xml:space="preserve">Potential change to Digital tech; </v>
      </c>
      <c r="S10" s="228"/>
      <c r="T10" s="228"/>
      <c r="U10" s="228"/>
      <c r="V10" s="219"/>
      <c r="W10" s="219"/>
      <c r="X10" s="219"/>
      <c r="Y10" s="219"/>
      <c r="Z10" s="219"/>
    </row>
    <row r="11" spans="1:26">
      <c r="A11" s="227">
        <v>44776</v>
      </c>
      <c r="B11" s="228" t="s">
        <v>372</v>
      </c>
      <c r="C11" s="214">
        <v>4</v>
      </c>
      <c r="D11" s="228" t="s">
        <v>10177</v>
      </c>
      <c r="E11" s="215" t="s">
        <v>5</v>
      </c>
      <c r="F11" s="228" t="s">
        <v>447</v>
      </c>
      <c r="G11" s="228" t="s">
        <v>9995</v>
      </c>
      <c r="H11" s="228">
        <v>4</v>
      </c>
      <c r="I11" s="228" t="s">
        <v>622</v>
      </c>
      <c r="J11" s="228" t="s">
        <v>10178</v>
      </c>
      <c r="K11" s="228">
        <v>4</v>
      </c>
      <c r="L11" s="228"/>
      <c r="M11" s="228" t="s">
        <v>9997</v>
      </c>
      <c r="N11" s="228" t="s">
        <v>452</v>
      </c>
      <c r="O11" s="228" t="s">
        <v>10179</v>
      </c>
      <c r="P11" s="230"/>
      <c r="Q11" s="228" t="s">
        <v>18</v>
      </c>
      <c r="R11" s="231" t="str">
        <f t="array" ref="R11">INDEX(Notes!C:C,MATCH($B11,Notes!$A:$A,0))</f>
        <v>Potentially remove from interview list; very comparable to other companies</v>
      </c>
      <c r="S11" s="228"/>
      <c r="T11" s="228"/>
      <c r="U11" s="228"/>
      <c r="V11" s="224"/>
      <c r="W11" s="224"/>
      <c r="X11" s="224"/>
      <c r="Y11" s="224"/>
      <c r="Z11" s="224"/>
    </row>
    <row r="12" spans="1:26" ht="15.75" customHeight="1">
      <c r="A12" s="227">
        <v>44776</v>
      </c>
      <c r="B12" s="228" t="s">
        <v>385</v>
      </c>
      <c r="C12" s="214">
        <v>4</v>
      </c>
      <c r="D12" s="228" t="s">
        <v>9919</v>
      </c>
      <c r="E12" s="215" t="s">
        <v>3</v>
      </c>
      <c r="F12" s="228" t="s">
        <v>460</v>
      </c>
      <c r="G12" s="228" t="s">
        <v>9920</v>
      </c>
      <c r="H12" s="228">
        <v>4</v>
      </c>
      <c r="I12" s="228" t="s">
        <v>941</v>
      </c>
      <c r="J12" s="228" t="s">
        <v>9921</v>
      </c>
      <c r="K12" s="228">
        <v>4</v>
      </c>
      <c r="L12" s="228" t="s">
        <v>784</v>
      </c>
      <c r="M12" s="232">
        <v>2000000</v>
      </c>
      <c r="N12" s="228" t="s">
        <v>452</v>
      </c>
      <c r="O12" s="228" t="s">
        <v>9922</v>
      </c>
      <c r="P12" s="230"/>
      <c r="Q12" s="228" t="s">
        <v>18</v>
      </c>
      <c r="R12" s="231" t="str">
        <f t="array" ref="R12">INDEX(Notes!C:C,MATCH($B12,Notes!$A:$A,0))</f>
        <v>Fully integrated lab data system; nyu and Columbia have similar systems that dominate market, but this company is still pulling in 15k/month despite this. Track change to digital tech</v>
      </c>
      <c r="S12" s="228"/>
      <c r="T12" s="228"/>
      <c r="U12" s="228"/>
      <c r="V12" s="219"/>
      <c r="W12" s="219"/>
      <c r="X12" s="219"/>
      <c r="Y12" s="219"/>
      <c r="Z12" s="219"/>
    </row>
    <row r="13" spans="1:26" ht="15.75" customHeight="1">
      <c r="A13" s="220">
        <v>44776</v>
      </c>
      <c r="B13" s="221" t="s">
        <v>394</v>
      </c>
      <c r="C13" s="214">
        <v>4</v>
      </c>
      <c r="D13" s="221" t="s">
        <v>9947</v>
      </c>
      <c r="E13" s="215" t="s">
        <v>3</v>
      </c>
      <c r="F13" s="221" t="s">
        <v>460</v>
      </c>
      <c r="G13" s="221" t="s">
        <v>9948</v>
      </c>
      <c r="H13" s="221">
        <v>4</v>
      </c>
      <c r="I13" s="221" t="s">
        <v>941</v>
      </c>
      <c r="J13" s="221"/>
      <c r="K13" s="221">
        <v>4</v>
      </c>
      <c r="L13" s="221" t="s">
        <v>478</v>
      </c>
      <c r="M13" s="221" t="s">
        <v>9949</v>
      </c>
      <c r="N13" s="221" t="s">
        <v>454</v>
      </c>
      <c r="O13" s="221" t="s">
        <v>9950</v>
      </c>
      <c r="P13" s="145"/>
      <c r="Q13" s="221" t="s">
        <v>18</v>
      </c>
      <c r="R13" s="223">
        <f t="array" ref="R13">INDEX(Notes!C:C,MATCH($B13,Notes!$A:$A,0))</f>
        <v>0</v>
      </c>
      <c r="S13" s="218"/>
      <c r="T13" s="218"/>
      <c r="U13" s="218"/>
      <c r="V13" s="224"/>
      <c r="W13" s="224"/>
      <c r="X13" s="224"/>
      <c r="Y13" s="224"/>
      <c r="Z13" s="224"/>
    </row>
    <row r="14" spans="1:26" ht="15.75" customHeight="1">
      <c r="A14" s="233">
        <v>44776</v>
      </c>
      <c r="B14" s="234" t="s">
        <v>389</v>
      </c>
      <c r="C14" s="235">
        <v>4</v>
      </c>
      <c r="D14" s="234" t="s">
        <v>10082</v>
      </c>
      <c r="E14" s="234" t="s">
        <v>5</v>
      </c>
      <c r="F14" s="234" t="s">
        <v>460</v>
      </c>
      <c r="G14" s="234"/>
      <c r="H14" s="234">
        <v>4</v>
      </c>
      <c r="I14" s="234" t="s">
        <v>488</v>
      </c>
      <c r="J14" s="234" t="s">
        <v>10282</v>
      </c>
      <c r="K14" s="234">
        <v>4</v>
      </c>
      <c r="L14" s="234" t="s">
        <v>923</v>
      </c>
      <c r="M14" s="236">
        <v>1000000</v>
      </c>
      <c r="N14" s="234" t="s">
        <v>452</v>
      </c>
      <c r="O14" s="234" t="s">
        <v>1119</v>
      </c>
      <c r="P14" s="237"/>
      <c r="Q14" s="234" t="s">
        <v>18</v>
      </c>
      <c r="R14" s="238" t="s">
        <v>10084</v>
      </c>
      <c r="S14" s="234"/>
      <c r="T14" s="234"/>
      <c r="U14" s="234"/>
      <c r="V14" s="239"/>
      <c r="W14" s="239"/>
      <c r="X14" s="239"/>
      <c r="Y14" s="239"/>
      <c r="Z14" s="239"/>
    </row>
    <row r="15" spans="1:26" ht="15.75" customHeight="1">
      <c r="A15" s="220">
        <v>44776</v>
      </c>
      <c r="B15" s="221" t="s">
        <v>284</v>
      </c>
      <c r="C15" s="214">
        <v>4</v>
      </c>
      <c r="D15" s="221" t="s">
        <v>1618</v>
      </c>
      <c r="E15" s="215" t="s">
        <v>3</v>
      </c>
      <c r="F15" s="221" t="s">
        <v>460</v>
      </c>
      <c r="G15" s="221" t="s">
        <v>1619</v>
      </c>
      <c r="H15" s="221">
        <v>4</v>
      </c>
      <c r="I15" s="221" t="s">
        <v>941</v>
      </c>
      <c r="J15" s="221" t="s">
        <v>1620</v>
      </c>
      <c r="K15" s="221">
        <v>4</v>
      </c>
      <c r="L15" s="221"/>
      <c r="M15" s="221"/>
      <c r="N15" s="221" t="s">
        <v>452</v>
      </c>
      <c r="O15" s="221" t="s">
        <v>1621</v>
      </c>
      <c r="P15" s="145"/>
      <c r="Q15" s="221" t="s">
        <v>18</v>
      </c>
      <c r="R15" s="223">
        <f t="array" ref="R15">INDEX(Notes!C:C,MATCH($B15,Notes!$A:$A,0))</f>
        <v>0</v>
      </c>
      <c r="S15" s="218"/>
      <c r="T15" s="218"/>
      <c r="U15" s="218"/>
      <c r="V15" s="224"/>
      <c r="W15" s="224"/>
      <c r="X15" s="224"/>
      <c r="Y15" s="224"/>
      <c r="Z15" s="224"/>
    </row>
    <row r="16" spans="1:26" ht="15.75" customHeight="1">
      <c r="A16" s="227">
        <v>44776</v>
      </c>
      <c r="B16" s="228" t="s">
        <v>262</v>
      </c>
      <c r="C16" s="214">
        <v>4</v>
      </c>
      <c r="D16" s="228" t="s">
        <v>1525</v>
      </c>
      <c r="E16" s="215" t="s">
        <v>4</v>
      </c>
      <c r="F16" s="228" t="s">
        <v>727</v>
      </c>
      <c r="G16" s="228" t="s">
        <v>1526</v>
      </c>
      <c r="H16" s="228">
        <v>4</v>
      </c>
      <c r="I16" s="228" t="s">
        <v>1054</v>
      </c>
      <c r="J16" s="228" t="s">
        <v>1527</v>
      </c>
      <c r="K16" s="228">
        <v>4</v>
      </c>
      <c r="L16" s="228"/>
      <c r="M16" s="228"/>
      <c r="N16" s="228" t="s">
        <v>452</v>
      </c>
      <c r="O16" s="228" t="s">
        <v>452</v>
      </c>
      <c r="P16" s="230"/>
      <c r="Q16" s="228" t="str">
        <f t="array" ref="Q16">INDEX(Notes!B:B,MATCH($B16,Notes!$A:$A,0))</f>
        <v>Invite</v>
      </c>
      <c r="R16" s="231" t="s">
        <v>1528</v>
      </c>
      <c r="S16" s="228"/>
      <c r="T16" s="228"/>
      <c r="U16" s="228"/>
      <c r="V16" s="219"/>
      <c r="W16" s="219"/>
      <c r="X16" s="219"/>
      <c r="Y16" s="219"/>
      <c r="Z16" s="219"/>
    </row>
    <row r="17" spans="1:26" ht="15.75" customHeight="1">
      <c r="A17" s="227">
        <v>44776</v>
      </c>
      <c r="B17" s="228" t="s">
        <v>73</v>
      </c>
      <c r="C17" s="240">
        <v>4</v>
      </c>
      <c r="D17" s="228" t="s">
        <v>9466</v>
      </c>
      <c r="E17" s="215" t="s">
        <v>5</v>
      </c>
      <c r="F17" s="228" t="s">
        <v>447</v>
      </c>
      <c r="G17" s="228"/>
      <c r="H17" s="228">
        <v>4</v>
      </c>
      <c r="I17" s="228" t="s">
        <v>543</v>
      </c>
      <c r="J17" s="228" t="s">
        <v>11511</v>
      </c>
      <c r="K17" s="228">
        <v>4</v>
      </c>
      <c r="L17" s="228"/>
      <c r="M17" s="228"/>
      <c r="N17" s="228" t="s">
        <v>452</v>
      </c>
      <c r="O17" s="228" t="s">
        <v>452</v>
      </c>
      <c r="P17" s="230"/>
      <c r="Q17" s="228" t="s">
        <v>20</v>
      </c>
      <c r="R17" s="231" t="s">
        <v>9468</v>
      </c>
      <c r="S17" s="228"/>
      <c r="T17" s="228"/>
      <c r="U17" s="228"/>
      <c r="V17" s="224"/>
      <c r="W17" s="224"/>
      <c r="X17" s="224"/>
      <c r="Y17" s="224"/>
      <c r="Z17" s="224"/>
    </row>
    <row r="18" spans="1:26" ht="15.75" customHeight="1">
      <c r="A18" s="227">
        <v>44776</v>
      </c>
      <c r="B18" s="228" t="s">
        <v>376</v>
      </c>
      <c r="C18" s="214">
        <v>4</v>
      </c>
      <c r="D18" s="228" t="s">
        <v>10019</v>
      </c>
      <c r="E18" s="215" t="s">
        <v>5</v>
      </c>
      <c r="F18" s="228" t="s">
        <v>447</v>
      </c>
      <c r="G18" s="228" t="s">
        <v>10020</v>
      </c>
      <c r="H18" s="228">
        <v>4</v>
      </c>
      <c r="I18" s="228" t="s">
        <v>543</v>
      </c>
      <c r="J18" s="228" t="s">
        <v>11512</v>
      </c>
      <c r="K18" s="228">
        <v>4</v>
      </c>
      <c r="L18" s="228" t="s">
        <v>784</v>
      </c>
      <c r="M18" s="228">
        <v>500000</v>
      </c>
      <c r="N18" s="228" t="s">
        <v>452</v>
      </c>
      <c r="O18" s="228" t="s">
        <v>452</v>
      </c>
      <c r="P18" s="230" t="s">
        <v>10022</v>
      </c>
      <c r="Q18" s="228" t="s">
        <v>18</v>
      </c>
      <c r="R18" s="231" t="str">
        <f t="array" ref="R18">INDEX(Notes!C:C,MATCH($B18,Notes!$A:$A,0))</f>
        <v>Move to dit khoa will f/u with ads</v>
      </c>
      <c r="S18" s="228"/>
      <c r="T18" s="228"/>
      <c r="U18" s="228"/>
      <c r="V18" s="219"/>
      <c r="W18" s="219"/>
      <c r="X18" s="219"/>
      <c r="Y18" s="219"/>
      <c r="Z18" s="219"/>
    </row>
    <row r="19" spans="1:26" ht="15.75" customHeight="1">
      <c r="A19" s="220">
        <v>44776</v>
      </c>
      <c r="B19" s="221" t="s">
        <v>143</v>
      </c>
      <c r="C19" s="214">
        <v>4</v>
      </c>
      <c r="D19" s="221" t="s">
        <v>979</v>
      </c>
      <c r="E19" s="215" t="s">
        <v>5</v>
      </c>
      <c r="F19" s="221" t="s">
        <v>447</v>
      </c>
      <c r="G19" s="221" t="s">
        <v>13400</v>
      </c>
      <c r="H19" s="221">
        <v>4</v>
      </c>
      <c r="I19" s="221" t="s">
        <v>476</v>
      </c>
      <c r="J19" s="221" t="s">
        <v>13400</v>
      </c>
      <c r="K19" s="221">
        <v>4</v>
      </c>
      <c r="L19" s="221" t="s">
        <v>451</v>
      </c>
      <c r="M19" s="221" t="s">
        <v>982</v>
      </c>
      <c r="N19" s="221" t="s">
        <v>452</v>
      </c>
      <c r="O19" s="221" t="s">
        <v>983</v>
      </c>
      <c r="P19" s="145"/>
      <c r="Q19" s="221" t="s">
        <v>18</v>
      </c>
      <c r="R19" s="223">
        <f t="array" ref="R19">INDEX(Notes!C:C,MATCH($B19,Notes!$A:$A,0))</f>
        <v>0</v>
      </c>
      <c r="S19" s="218"/>
      <c r="T19" s="218"/>
      <c r="U19" s="218"/>
      <c r="V19" s="224"/>
      <c r="W19" s="224"/>
      <c r="X19" s="224"/>
      <c r="Y19" s="224"/>
      <c r="Z19" s="224"/>
    </row>
    <row r="20" spans="1:26" ht="15.75" customHeight="1">
      <c r="A20" s="212">
        <v>44776</v>
      </c>
      <c r="B20" s="213" t="s">
        <v>341</v>
      </c>
      <c r="C20" s="214">
        <v>4</v>
      </c>
      <c r="D20" s="213" t="s">
        <v>9714</v>
      </c>
      <c r="E20" s="215" t="s">
        <v>3</v>
      </c>
      <c r="F20" s="213" t="s">
        <v>460</v>
      </c>
      <c r="G20" s="213" t="s">
        <v>9715</v>
      </c>
      <c r="H20" s="213">
        <v>4</v>
      </c>
      <c r="I20" s="213" t="s">
        <v>488</v>
      </c>
      <c r="J20" s="213" t="s">
        <v>9716</v>
      </c>
      <c r="K20" s="213">
        <v>4</v>
      </c>
      <c r="L20" s="213" t="s">
        <v>451</v>
      </c>
      <c r="M20" s="225">
        <v>5000000</v>
      </c>
      <c r="N20" s="213" t="s">
        <v>452</v>
      </c>
      <c r="O20" s="213" t="s">
        <v>11392</v>
      </c>
      <c r="P20" s="143" t="s">
        <v>9718</v>
      </c>
      <c r="Q20" s="213" t="s">
        <v>18</v>
      </c>
      <c r="R20" s="226">
        <f t="array" ref="R20">INDEX(Notes!C:C,MATCH($B20,Notes!$A:$A,0))</f>
        <v>0</v>
      </c>
      <c r="S20" s="218"/>
      <c r="T20" s="218"/>
      <c r="U20" s="218"/>
      <c r="V20" s="219"/>
      <c r="W20" s="219"/>
      <c r="X20" s="219"/>
      <c r="Y20" s="219"/>
      <c r="Z20" s="219"/>
    </row>
    <row r="21" spans="1:26" ht="15.75" customHeight="1">
      <c r="A21" s="233">
        <v>44776</v>
      </c>
      <c r="B21" s="234" t="s">
        <v>190</v>
      </c>
      <c r="C21" s="241">
        <v>4</v>
      </c>
      <c r="D21" s="234" t="s">
        <v>3769</v>
      </c>
      <c r="E21" s="242" t="s">
        <v>4</v>
      </c>
      <c r="F21" s="234" t="s">
        <v>602</v>
      </c>
      <c r="G21" s="234" t="s">
        <v>11408</v>
      </c>
      <c r="H21" s="234">
        <v>4</v>
      </c>
      <c r="I21" s="234" t="s">
        <v>1054</v>
      </c>
      <c r="J21" s="234" t="s">
        <v>3771</v>
      </c>
      <c r="K21" s="234">
        <v>4</v>
      </c>
      <c r="L21" s="234" t="s">
        <v>451</v>
      </c>
      <c r="M21" s="234" t="s">
        <v>3473</v>
      </c>
      <c r="N21" s="234" t="s">
        <v>454</v>
      </c>
      <c r="O21" s="234" t="s">
        <v>3773</v>
      </c>
      <c r="P21" s="237"/>
      <c r="Q21" s="234" t="str">
        <f t="array" ref="Q21">INDEX(Notes!B:B,MATCH($B21,Notes!$A:$A,0))</f>
        <v>Revisit/ Cluster</v>
      </c>
      <c r="R21" s="238" t="s">
        <v>3774</v>
      </c>
      <c r="S21" s="234"/>
      <c r="T21" s="234"/>
      <c r="U21" s="234"/>
      <c r="V21" s="239"/>
      <c r="W21" s="239"/>
      <c r="X21" s="239"/>
      <c r="Y21" s="239"/>
      <c r="Z21" s="239"/>
    </row>
    <row r="22" spans="1:26" ht="15.75" customHeight="1">
      <c r="A22" s="212">
        <v>44776</v>
      </c>
      <c r="B22" s="213" t="s">
        <v>75</v>
      </c>
      <c r="C22" s="214">
        <v>4</v>
      </c>
      <c r="D22" s="213" t="s">
        <v>541</v>
      </c>
      <c r="E22" s="215" t="s">
        <v>5</v>
      </c>
      <c r="F22" s="213" t="s">
        <v>447</v>
      </c>
      <c r="G22" s="213" t="s">
        <v>542</v>
      </c>
      <c r="H22" s="213">
        <v>4.5</v>
      </c>
      <c r="I22" s="213" t="s">
        <v>543</v>
      </c>
      <c r="J22" s="213" t="s">
        <v>13400</v>
      </c>
      <c r="K22" s="213">
        <v>3.5</v>
      </c>
      <c r="L22" s="213" t="s">
        <v>545</v>
      </c>
      <c r="M22" s="213" t="s">
        <v>546</v>
      </c>
      <c r="N22" s="213" t="s">
        <v>452</v>
      </c>
      <c r="O22" s="213" t="s">
        <v>11433</v>
      </c>
      <c r="P22" s="143"/>
      <c r="Q22" s="213" t="s">
        <v>18</v>
      </c>
      <c r="R22" s="226">
        <f t="array" ref="R22">INDEX(Notes!C:C,MATCH($B22,Notes!$A:$A,0))</f>
        <v>0</v>
      </c>
      <c r="S22" s="218"/>
      <c r="T22" s="218"/>
      <c r="U22" s="218"/>
      <c r="V22" s="219"/>
      <c r="W22" s="219"/>
      <c r="X22" s="219"/>
      <c r="Y22" s="219"/>
      <c r="Z22" s="219"/>
    </row>
    <row r="23" spans="1:26" ht="15.75" customHeight="1">
      <c r="A23" s="220">
        <v>44776</v>
      </c>
      <c r="B23" s="221" t="s">
        <v>71</v>
      </c>
      <c r="C23" s="214">
        <v>4</v>
      </c>
      <c r="D23" s="221" t="s">
        <v>11450</v>
      </c>
      <c r="E23" s="215" t="s">
        <v>5</v>
      </c>
      <c r="F23" s="221" t="s">
        <v>447</v>
      </c>
      <c r="G23" s="221" t="s">
        <v>515</v>
      </c>
      <c r="H23" s="221">
        <v>4</v>
      </c>
      <c r="I23" s="221" t="s">
        <v>476</v>
      </c>
      <c r="J23" s="221" t="s">
        <v>11451</v>
      </c>
      <c r="K23" s="221">
        <v>4</v>
      </c>
      <c r="L23" s="221"/>
      <c r="M23" s="221"/>
      <c r="N23" s="221" t="s">
        <v>452</v>
      </c>
      <c r="O23" s="221" t="s">
        <v>452</v>
      </c>
      <c r="P23" s="145"/>
      <c r="Q23" s="221" t="s">
        <v>18</v>
      </c>
      <c r="R23" s="223">
        <f t="array" ref="R23">INDEX(Notes!C:C,MATCH($B23,Notes!$A:$A,0))</f>
        <v>0</v>
      </c>
      <c r="S23" s="218"/>
      <c r="T23" s="218"/>
      <c r="U23" s="218"/>
      <c r="V23" s="224"/>
      <c r="W23" s="224"/>
      <c r="X23" s="224"/>
      <c r="Y23" s="224"/>
      <c r="Z23" s="224"/>
    </row>
    <row r="24" spans="1:26" ht="15.75" customHeight="1">
      <c r="A24" s="227">
        <v>44776</v>
      </c>
      <c r="B24" s="228" t="s">
        <v>355</v>
      </c>
      <c r="C24" s="214">
        <v>4</v>
      </c>
      <c r="D24" s="228" t="s">
        <v>9764</v>
      </c>
      <c r="E24" s="215" t="s">
        <v>3</v>
      </c>
      <c r="F24" s="228" t="s">
        <v>460</v>
      </c>
      <c r="G24" s="228" t="s">
        <v>9765</v>
      </c>
      <c r="H24" s="228">
        <v>4</v>
      </c>
      <c r="I24" s="228" t="s">
        <v>462</v>
      </c>
      <c r="J24" s="228" t="s">
        <v>9766</v>
      </c>
      <c r="K24" s="228">
        <v>4</v>
      </c>
      <c r="L24" s="228" t="s">
        <v>784</v>
      </c>
      <c r="M24" s="228">
        <v>3000000</v>
      </c>
      <c r="N24" s="228" t="s">
        <v>452</v>
      </c>
      <c r="O24" s="228" t="s">
        <v>555</v>
      </c>
      <c r="P24" s="230" t="s">
        <v>1281</v>
      </c>
      <c r="Q24" s="228" t="str">
        <f t="array" ref="Q24">INDEX(Notes!B:B,MATCH($B24,Notes!$A:$A,0))</f>
        <v>Invite</v>
      </c>
      <c r="R24" s="231" t="s">
        <v>11393</v>
      </c>
      <c r="S24" s="228"/>
      <c r="T24" s="228"/>
      <c r="U24" s="228"/>
      <c r="V24" s="219"/>
      <c r="W24" s="219"/>
      <c r="X24" s="219"/>
      <c r="Y24" s="219"/>
      <c r="Z24" s="219"/>
    </row>
    <row r="25" spans="1:26" ht="15.75" customHeight="1">
      <c r="A25" s="220">
        <v>44776</v>
      </c>
      <c r="B25" s="221" t="s">
        <v>395</v>
      </c>
      <c r="C25" s="214">
        <v>4</v>
      </c>
      <c r="D25" s="221" t="s">
        <v>10098</v>
      </c>
      <c r="E25" s="215" t="s">
        <v>3</v>
      </c>
      <c r="F25" s="221" t="s">
        <v>460</v>
      </c>
      <c r="G25" s="221" t="s">
        <v>10099</v>
      </c>
      <c r="H25" s="221">
        <v>4</v>
      </c>
      <c r="I25" s="221" t="s">
        <v>488</v>
      </c>
      <c r="J25" s="221" t="s">
        <v>11411</v>
      </c>
      <c r="K25" s="221">
        <v>4</v>
      </c>
      <c r="L25" s="221" t="s">
        <v>451</v>
      </c>
      <c r="M25" s="221" t="s">
        <v>10101</v>
      </c>
      <c r="N25" s="221" t="s">
        <v>452</v>
      </c>
      <c r="O25" s="221" t="s">
        <v>11412</v>
      </c>
      <c r="P25" s="145" t="s">
        <v>10103</v>
      </c>
      <c r="Q25" s="221" t="str">
        <f t="array" ref="Q25">INDEX(Notes!B:B,MATCH($B25,Notes!$A:$A,0))</f>
        <v>Invite</v>
      </c>
      <c r="R25" s="223">
        <f t="array" ref="R25">INDEX(Notes!C:C,MATCH($B25,Notes!$A:$A,0))</f>
        <v>0</v>
      </c>
      <c r="S25" s="218"/>
      <c r="T25" s="218"/>
      <c r="U25" s="218"/>
      <c r="V25" s="224"/>
      <c r="W25" s="224"/>
      <c r="X25" s="224"/>
      <c r="Y25" s="224"/>
      <c r="Z25" s="224"/>
    </row>
    <row r="26" spans="1:26" ht="15.75" customHeight="1">
      <c r="A26" s="233">
        <v>44776</v>
      </c>
      <c r="B26" s="234" t="s">
        <v>288</v>
      </c>
      <c r="C26" s="241">
        <v>3.75</v>
      </c>
      <c r="D26" s="234" t="s">
        <v>9550</v>
      </c>
      <c r="E26" s="242" t="s">
        <v>4</v>
      </c>
      <c r="F26" s="234" t="s">
        <v>447</v>
      </c>
      <c r="G26" s="234" t="s">
        <v>9551</v>
      </c>
      <c r="H26" s="234">
        <v>3.5</v>
      </c>
      <c r="I26" s="234" t="s">
        <v>543</v>
      </c>
      <c r="J26" s="234" t="s">
        <v>11513</v>
      </c>
      <c r="K26" s="234">
        <v>4</v>
      </c>
      <c r="L26" s="234" t="s">
        <v>9553</v>
      </c>
      <c r="M26" s="234">
        <v>1500000</v>
      </c>
      <c r="N26" s="234" t="s">
        <v>465</v>
      </c>
      <c r="O26" s="234" t="s">
        <v>9554</v>
      </c>
      <c r="P26" s="237"/>
      <c r="Q26" s="234" t="s">
        <v>20</v>
      </c>
      <c r="R26" s="238" t="s">
        <v>9555</v>
      </c>
      <c r="S26" s="234"/>
      <c r="T26" s="234"/>
      <c r="U26" s="234"/>
      <c r="V26" s="239"/>
      <c r="W26" s="239"/>
      <c r="X26" s="239"/>
      <c r="Y26" s="239"/>
      <c r="Z26" s="239"/>
    </row>
    <row r="27" spans="1:26" ht="15.75" customHeight="1">
      <c r="A27" s="233">
        <v>44776</v>
      </c>
      <c r="B27" s="234" t="s">
        <v>259</v>
      </c>
      <c r="C27" s="241">
        <v>3.75</v>
      </c>
      <c r="D27" s="234" t="s">
        <v>1501</v>
      </c>
      <c r="E27" s="242" t="s">
        <v>4</v>
      </c>
      <c r="F27" s="234" t="s">
        <v>447</v>
      </c>
      <c r="G27" s="234" t="s">
        <v>11514</v>
      </c>
      <c r="H27" s="234">
        <v>3.5</v>
      </c>
      <c r="I27" s="234" t="s">
        <v>449</v>
      </c>
      <c r="J27" s="234" t="s">
        <v>13400</v>
      </c>
      <c r="K27" s="234">
        <v>4</v>
      </c>
      <c r="L27" s="234"/>
      <c r="M27" s="234">
        <v>500000</v>
      </c>
      <c r="N27" s="234" t="s">
        <v>452</v>
      </c>
      <c r="O27" s="234" t="s">
        <v>11476</v>
      </c>
      <c r="P27" s="237" t="s">
        <v>1505</v>
      </c>
      <c r="Q27" s="234" t="s">
        <v>19</v>
      </c>
      <c r="R27" s="238" t="s">
        <v>1506</v>
      </c>
      <c r="S27" s="234"/>
      <c r="T27" s="234"/>
      <c r="U27" s="234"/>
      <c r="V27" s="239"/>
      <c r="W27" s="239"/>
      <c r="X27" s="239"/>
      <c r="Y27" s="239"/>
      <c r="Z27" s="239"/>
    </row>
    <row r="28" spans="1:26" ht="15.75" customHeight="1">
      <c r="A28" s="212">
        <v>44776</v>
      </c>
      <c r="B28" s="213" t="s">
        <v>4281</v>
      </c>
      <c r="C28" s="214">
        <v>3.75</v>
      </c>
      <c r="D28" s="213" t="s">
        <v>4284</v>
      </c>
      <c r="E28" s="215" t="s">
        <v>4</v>
      </c>
      <c r="F28" s="213" t="s">
        <v>727</v>
      </c>
      <c r="G28" s="213" t="s">
        <v>4285</v>
      </c>
      <c r="H28" s="213">
        <v>3.5</v>
      </c>
      <c r="I28" s="213" t="s">
        <v>1054</v>
      </c>
      <c r="J28" s="213"/>
      <c r="K28" s="213">
        <v>4</v>
      </c>
      <c r="L28" s="213" t="s">
        <v>451</v>
      </c>
      <c r="M28" s="243">
        <v>500000</v>
      </c>
      <c r="N28" s="213" t="s">
        <v>465</v>
      </c>
      <c r="O28" s="213" t="s">
        <v>4286</v>
      </c>
      <c r="P28" s="143"/>
      <c r="Q28" s="213" t="s">
        <v>24</v>
      </c>
      <c r="R28" s="226">
        <f t="array" ref="R28">INDEX(Notes!C:C,MATCH($B28,Notes!$A:$A,0))</f>
        <v>0</v>
      </c>
      <c r="S28" s="218"/>
      <c r="T28" s="218"/>
      <c r="U28" s="218"/>
      <c r="V28" s="219"/>
      <c r="W28" s="219"/>
      <c r="X28" s="219"/>
      <c r="Y28" s="219"/>
      <c r="Z28" s="219"/>
    </row>
    <row r="29" spans="1:26" ht="15.75" customHeight="1">
      <c r="A29" s="227">
        <v>44776</v>
      </c>
      <c r="B29" s="228" t="s">
        <v>297</v>
      </c>
      <c r="C29" s="240">
        <v>3.5</v>
      </c>
      <c r="D29" s="228" t="s">
        <v>4570</v>
      </c>
      <c r="E29" s="244" t="s">
        <v>4</v>
      </c>
      <c r="F29" s="228" t="s">
        <v>602</v>
      </c>
      <c r="G29" s="228" t="s">
        <v>10185</v>
      </c>
      <c r="H29" s="228">
        <v>4</v>
      </c>
      <c r="I29" s="228" t="s">
        <v>1054</v>
      </c>
      <c r="J29" s="228" t="s">
        <v>4572</v>
      </c>
      <c r="K29" s="228">
        <v>3</v>
      </c>
      <c r="L29" s="228"/>
      <c r="M29" s="228"/>
      <c r="N29" s="228" t="s">
        <v>452</v>
      </c>
      <c r="O29" s="228" t="s">
        <v>10186</v>
      </c>
      <c r="P29" s="230"/>
      <c r="Q29" s="228" t="str">
        <f t="array" ref="Q29">INDEX(Notes!B:B,MATCH($B29,Notes!$A:$A,0))</f>
        <v>Revisit</v>
      </c>
      <c r="R29" s="231" t="s">
        <v>4574</v>
      </c>
      <c r="S29" s="228"/>
      <c r="T29" s="228"/>
      <c r="U29" s="228"/>
      <c r="V29" s="224"/>
      <c r="W29" s="224"/>
      <c r="X29" s="224"/>
      <c r="Y29" s="224"/>
      <c r="Z29" s="224"/>
    </row>
    <row r="30" spans="1:26" ht="15.75" customHeight="1">
      <c r="A30" s="212">
        <v>44776</v>
      </c>
      <c r="B30" s="213" t="s">
        <v>137</v>
      </c>
      <c r="C30" s="240">
        <v>3.5</v>
      </c>
      <c r="D30" s="213" t="s">
        <v>11212</v>
      </c>
      <c r="E30" s="244" t="s">
        <v>5</v>
      </c>
      <c r="F30" s="213" t="s">
        <v>622</v>
      </c>
      <c r="G30" s="213" t="s">
        <v>11213</v>
      </c>
      <c r="H30" s="213">
        <v>3</v>
      </c>
      <c r="I30" s="213" t="s">
        <v>449</v>
      </c>
      <c r="J30" s="213" t="e">
        <f>+the Team is very Credible and passionate
+the small satellite launch market is growing
+They need funding
-their engine design is not mature</f>
        <v>#NAME?</v>
      </c>
      <c r="K30" s="213">
        <v>4</v>
      </c>
      <c r="L30" s="213" t="s">
        <v>478</v>
      </c>
      <c r="M30" s="225">
        <v>2000000</v>
      </c>
      <c r="N30" s="213" t="s">
        <v>465</v>
      </c>
      <c r="O30" s="213" t="s">
        <v>3247</v>
      </c>
      <c r="P30" s="143"/>
      <c r="Q30" s="213" t="str">
        <f t="array" ref="Q30">INDEX(Notes!B:B,MATCH($B30,Notes!$A:$A,0))</f>
        <v>Revisit</v>
      </c>
      <c r="R30" s="226" t="s">
        <v>2747</v>
      </c>
      <c r="S30" s="218"/>
      <c r="T30" s="218"/>
      <c r="U30" s="218"/>
      <c r="V30" s="219"/>
      <c r="W30" s="219"/>
      <c r="X30" s="219"/>
      <c r="Y30" s="219"/>
      <c r="Z30" s="219"/>
    </row>
    <row r="31" spans="1:26" ht="15.75" customHeight="1">
      <c r="A31" s="227">
        <v>44776</v>
      </c>
      <c r="B31" s="228" t="s">
        <v>95</v>
      </c>
      <c r="C31" s="240">
        <v>3.5</v>
      </c>
      <c r="D31" s="228" t="s">
        <v>2744</v>
      </c>
      <c r="E31" s="244" t="s">
        <v>5</v>
      </c>
      <c r="F31" s="228" t="s">
        <v>447</v>
      </c>
      <c r="G31" s="228" t="s">
        <v>2745</v>
      </c>
      <c r="H31" s="228">
        <v>3.5</v>
      </c>
      <c r="I31" s="228" t="s">
        <v>622</v>
      </c>
      <c r="J31" s="228" t="s">
        <v>2746</v>
      </c>
      <c r="K31" s="228">
        <v>3.5</v>
      </c>
      <c r="L31" s="228" t="s">
        <v>451</v>
      </c>
      <c r="M31" s="232">
        <v>3000000</v>
      </c>
      <c r="N31" s="228" t="s">
        <v>452</v>
      </c>
      <c r="O31" s="228" t="s">
        <v>452</v>
      </c>
      <c r="P31" s="230"/>
      <c r="Q31" s="228" t="s">
        <v>20</v>
      </c>
      <c r="R31" s="231" t="s">
        <v>2747</v>
      </c>
      <c r="S31" s="228"/>
      <c r="T31" s="228"/>
      <c r="U31" s="228"/>
      <c r="V31" s="224"/>
      <c r="W31" s="224"/>
      <c r="X31" s="224"/>
      <c r="Y31" s="224"/>
      <c r="Z31" s="224"/>
    </row>
    <row r="32" spans="1:26" ht="15.75" customHeight="1">
      <c r="A32" s="233">
        <v>44776</v>
      </c>
      <c r="B32" s="245" t="s">
        <v>11515</v>
      </c>
      <c r="C32" s="241">
        <v>3.5</v>
      </c>
      <c r="D32" s="234" t="s">
        <v>9560</v>
      </c>
      <c r="E32" s="242" t="s">
        <v>4</v>
      </c>
      <c r="F32" s="234" t="s">
        <v>447</v>
      </c>
      <c r="G32" s="234" t="s">
        <v>9561</v>
      </c>
      <c r="H32" s="234">
        <v>3</v>
      </c>
      <c r="I32" s="234" t="s">
        <v>449</v>
      </c>
      <c r="J32" s="234" t="e">
        <f>+the Team seems Credible
+Revenue and interest from Large companies proves the products value
+the product seems well developed</f>
        <v>#NAME?</v>
      </c>
      <c r="K32" s="234">
        <v>4</v>
      </c>
      <c r="L32" s="234" t="s">
        <v>451</v>
      </c>
      <c r="M32" s="234" t="s">
        <v>2018</v>
      </c>
      <c r="N32" s="234" t="s">
        <v>465</v>
      </c>
      <c r="O32" s="234" t="s">
        <v>9563</v>
      </c>
      <c r="P32" s="237"/>
      <c r="Q32" s="234" t="s">
        <v>20</v>
      </c>
      <c r="R32" s="238" t="s">
        <v>9564</v>
      </c>
      <c r="S32" s="234"/>
      <c r="T32" s="234"/>
      <c r="U32" s="234"/>
      <c r="V32" s="239"/>
      <c r="W32" s="239"/>
      <c r="X32" s="239"/>
      <c r="Y32" s="239"/>
      <c r="Z32" s="239"/>
    </row>
    <row r="33" spans="1:26" ht="15.75" customHeight="1">
      <c r="A33" s="227">
        <v>44776</v>
      </c>
      <c r="B33" s="228" t="s">
        <v>91</v>
      </c>
      <c r="C33" s="214">
        <v>3.5</v>
      </c>
      <c r="D33" s="228" t="s">
        <v>646</v>
      </c>
      <c r="E33" s="215" t="s">
        <v>5</v>
      </c>
      <c r="F33" s="228" t="s">
        <v>447</v>
      </c>
      <c r="G33" s="228" t="s">
        <v>647</v>
      </c>
      <c r="H33" s="228">
        <v>4</v>
      </c>
      <c r="I33" s="228" t="s">
        <v>543</v>
      </c>
      <c r="J33" s="228" t="s">
        <v>11479</v>
      </c>
      <c r="K33" s="228">
        <v>3</v>
      </c>
      <c r="L33" s="228" t="s">
        <v>451</v>
      </c>
      <c r="M33" s="228">
        <v>4000000</v>
      </c>
      <c r="N33" s="228" t="s">
        <v>465</v>
      </c>
      <c r="O33" s="228" t="s">
        <v>649</v>
      </c>
      <c r="P33" s="230"/>
      <c r="Q33" s="228" t="s">
        <v>18</v>
      </c>
      <c r="R33" s="231" t="s">
        <v>650</v>
      </c>
      <c r="S33" s="228"/>
      <c r="T33" s="228"/>
      <c r="U33" s="228"/>
      <c r="V33" s="224"/>
      <c r="W33" s="224"/>
      <c r="X33" s="224"/>
      <c r="Y33" s="224"/>
      <c r="Z33" s="224"/>
    </row>
    <row r="34" spans="1:26" ht="15.75" customHeight="1">
      <c r="A34" s="212">
        <v>44776</v>
      </c>
      <c r="B34" s="213" t="s">
        <v>136</v>
      </c>
      <c r="C34" s="240">
        <v>3.5</v>
      </c>
      <c r="D34" s="213" t="s">
        <v>3235</v>
      </c>
      <c r="E34" s="244" t="s">
        <v>5</v>
      </c>
      <c r="F34" s="213" t="s">
        <v>447</v>
      </c>
      <c r="G34" s="213" t="e">
        <f>+ the Team has a good understanding of the problem and has the right structure of people with diverse backgrounds
- need more info on how They can challenge the existing systems and sustain in the market</f>
        <v>#NAME?</v>
      </c>
      <c r="H34" s="213">
        <v>3</v>
      </c>
      <c r="I34" s="213" t="s">
        <v>476</v>
      </c>
      <c r="J34" s="213" t="s">
        <v>11481</v>
      </c>
      <c r="K34" s="213">
        <v>4</v>
      </c>
      <c r="L34" s="213" t="s">
        <v>451</v>
      </c>
      <c r="M34" s="213">
        <v>500000</v>
      </c>
      <c r="N34" s="213" t="s">
        <v>452</v>
      </c>
      <c r="O34" s="213" t="s">
        <v>11482</v>
      </c>
      <c r="P34" s="143"/>
      <c r="Q34" s="213" t="str">
        <f t="array" ref="Q34">INDEX(Notes!B:B,MATCH($B34,Notes!$A:$A,0))</f>
        <v>Revisit</v>
      </c>
      <c r="R34" s="226" t="s">
        <v>3239</v>
      </c>
      <c r="S34" s="218"/>
      <c r="T34" s="218"/>
      <c r="U34" s="218"/>
      <c r="V34" s="219"/>
      <c r="W34" s="219"/>
      <c r="X34" s="219"/>
      <c r="Y34" s="219"/>
      <c r="Z34" s="219"/>
    </row>
    <row r="35" spans="1:26" ht="15.75" customHeight="1">
      <c r="A35" s="220">
        <v>44776</v>
      </c>
      <c r="B35" s="221" t="s">
        <v>5140</v>
      </c>
      <c r="C35" s="214">
        <v>3.25</v>
      </c>
      <c r="D35" s="221" t="s">
        <v>5143</v>
      </c>
      <c r="E35" s="215" t="s">
        <v>4</v>
      </c>
      <c r="F35" s="221" t="s">
        <v>602</v>
      </c>
      <c r="G35" s="221" t="s">
        <v>10196</v>
      </c>
      <c r="H35" s="221">
        <v>3.5</v>
      </c>
      <c r="I35" s="221" t="s">
        <v>1054</v>
      </c>
      <c r="J35" s="221"/>
      <c r="K35" s="221">
        <v>3</v>
      </c>
      <c r="L35" s="221" t="s">
        <v>451</v>
      </c>
      <c r="M35" s="222">
        <v>3000000</v>
      </c>
      <c r="N35" s="221" t="s">
        <v>452</v>
      </c>
      <c r="O35" s="221" t="s">
        <v>5145</v>
      </c>
      <c r="P35" s="145"/>
      <c r="Q35" s="221" t="s">
        <v>24</v>
      </c>
      <c r="R35" s="223">
        <f t="array" ref="R35">INDEX(Notes!C:C,MATCH($B35,Notes!$A:$A,0))</f>
        <v>0</v>
      </c>
      <c r="S35" s="218"/>
      <c r="T35" s="218"/>
      <c r="U35" s="218"/>
      <c r="V35" s="224"/>
      <c r="W35" s="224"/>
      <c r="X35" s="224"/>
      <c r="Y35" s="224"/>
      <c r="Z35" s="224"/>
    </row>
    <row r="36" spans="1:26" ht="15.75" customHeight="1">
      <c r="A36" s="233">
        <v>44776</v>
      </c>
      <c r="B36" s="234" t="s">
        <v>306</v>
      </c>
      <c r="C36" s="241">
        <v>3.25</v>
      </c>
      <c r="D36" s="234" t="s">
        <v>9500</v>
      </c>
      <c r="E36" s="242" t="s">
        <v>4</v>
      </c>
      <c r="F36" s="234" t="s">
        <v>447</v>
      </c>
      <c r="G36" s="234" t="s">
        <v>9501</v>
      </c>
      <c r="H36" s="234">
        <v>3</v>
      </c>
      <c r="I36" s="234" t="s">
        <v>543</v>
      </c>
      <c r="J36" s="234" t="s">
        <v>11516</v>
      </c>
      <c r="K36" s="234">
        <v>3.5</v>
      </c>
      <c r="L36" s="234"/>
      <c r="M36" s="234"/>
      <c r="N36" s="234" t="s">
        <v>452</v>
      </c>
      <c r="O36" s="234" t="s">
        <v>9503</v>
      </c>
      <c r="P36" s="237"/>
      <c r="Q36" s="234" t="str">
        <f t="array" ref="Q36">INDEX(Notes!B:B,MATCH($B36,Notes!$A:$A,0))</f>
        <v>Revisit/ Cluster</v>
      </c>
      <c r="R36" s="238" t="s">
        <v>9504</v>
      </c>
      <c r="S36" s="234"/>
      <c r="T36" s="234"/>
      <c r="U36" s="234"/>
      <c r="V36" s="239"/>
      <c r="W36" s="239"/>
      <c r="X36" s="239"/>
      <c r="Y36" s="239"/>
      <c r="Z36" s="239"/>
    </row>
    <row r="37" spans="1:26" ht="15.75" customHeight="1">
      <c r="A37" s="233">
        <v>44776</v>
      </c>
      <c r="B37" s="234" t="s">
        <v>2842</v>
      </c>
      <c r="C37" s="235">
        <v>3</v>
      </c>
      <c r="D37" s="234" t="s">
        <v>2845</v>
      </c>
      <c r="E37" s="234" t="s">
        <v>5</v>
      </c>
      <c r="F37" s="234" t="s">
        <v>460</v>
      </c>
      <c r="G37" s="234"/>
      <c r="H37" s="234">
        <v>3</v>
      </c>
      <c r="I37" s="234" t="s">
        <v>488</v>
      </c>
      <c r="J37" s="234" t="s">
        <v>2846</v>
      </c>
      <c r="K37" s="234">
        <v>3</v>
      </c>
      <c r="L37" s="234" t="s">
        <v>478</v>
      </c>
      <c r="M37" s="234">
        <v>3000000</v>
      </c>
      <c r="N37" s="234" t="s">
        <v>452</v>
      </c>
      <c r="O37" s="234" t="s">
        <v>2847</v>
      </c>
      <c r="P37" s="237" t="s">
        <v>10184</v>
      </c>
      <c r="Q37" s="234" t="s">
        <v>24</v>
      </c>
      <c r="R37" s="238" t="s">
        <v>2849</v>
      </c>
      <c r="S37" s="234"/>
      <c r="T37" s="234"/>
      <c r="U37" s="234"/>
      <c r="V37" s="239"/>
      <c r="W37" s="239"/>
      <c r="X37" s="239"/>
      <c r="Y37" s="239"/>
      <c r="Z37" s="239"/>
    </row>
    <row r="38" spans="1:26" ht="15.75" customHeight="1">
      <c r="A38" s="227">
        <v>44776</v>
      </c>
      <c r="B38" s="246" t="s">
        <v>11517</v>
      </c>
      <c r="C38" s="240">
        <v>3</v>
      </c>
      <c r="D38" s="228" t="s">
        <v>9542</v>
      </c>
      <c r="E38" s="242" t="s">
        <v>4</v>
      </c>
      <c r="F38" s="228" t="s">
        <v>447</v>
      </c>
      <c r="G38" s="228" t="s">
        <v>9543</v>
      </c>
      <c r="H38" s="228">
        <v>3</v>
      </c>
      <c r="I38" s="228" t="s">
        <v>622</v>
      </c>
      <c r="J38" s="228" t="s">
        <v>10277</v>
      </c>
      <c r="K38" s="228">
        <v>3</v>
      </c>
      <c r="L38" s="228" t="s">
        <v>451</v>
      </c>
      <c r="M38" s="228">
        <v>1000000</v>
      </c>
      <c r="N38" s="228" t="s">
        <v>452</v>
      </c>
      <c r="O38" s="228" t="s">
        <v>9545</v>
      </c>
      <c r="P38" s="230"/>
      <c r="Q38" s="228" t="s">
        <v>20</v>
      </c>
      <c r="R38" s="231" t="s">
        <v>15</v>
      </c>
      <c r="S38" s="228"/>
      <c r="T38" s="228"/>
      <c r="U38" s="228"/>
      <c r="V38" s="219"/>
      <c r="W38" s="219"/>
      <c r="X38" s="219"/>
      <c r="Y38" s="219"/>
      <c r="Z38" s="219"/>
    </row>
    <row r="39" spans="1:26" ht="15.75" customHeight="1">
      <c r="A39" s="220">
        <v>44776</v>
      </c>
      <c r="B39" s="221" t="s">
        <v>5661</v>
      </c>
      <c r="C39" s="214">
        <v>3</v>
      </c>
      <c r="D39" s="221" t="s">
        <v>5664</v>
      </c>
      <c r="E39" s="215" t="s">
        <v>4</v>
      </c>
      <c r="F39" s="221" t="s">
        <v>727</v>
      </c>
      <c r="G39" s="221" t="s">
        <v>5665</v>
      </c>
      <c r="H39" s="221">
        <v>3</v>
      </c>
      <c r="I39" s="221" t="s">
        <v>1054</v>
      </c>
      <c r="J39" s="221"/>
      <c r="K39" s="221">
        <v>3</v>
      </c>
      <c r="L39" s="221" t="s">
        <v>451</v>
      </c>
      <c r="M39" s="221">
        <v>2400000</v>
      </c>
      <c r="N39" s="221" t="s">
        <v>452</v>
      </c>
      <c r="O39" s="221" t="s">
        <v>5666</v>
      </c>
      <c r="P39" s="145"/>
      <c r="Q39" s="221" t="s">
        <v>24</v>
      </c>
      <c r="R39" s="223">
        <f t="array" ref="R39">INDEX(Notes!C:C,MATCH($B39,Notes!$A:$A,0))</f>
        <v>0</v>
      </c>
      <c r="S39" s="218"/>
      <c r="T39" s="218"/>
      <c r="U39" s="218"/>
      <c r="V39" s="224"/>
      <c r="W39" s="224"/>
      <c r="X39" s="224"/>
      <c r="Y39" s="224"/>
      <c r="Z39" s="224"/>
    </row>
    <row r="40" spans="1:26" ht="15.75" customHeight="1">
      <c r="A40" s="212">
        <v>44776</v>
      </c>
      <c r="B40" s="213" t="s">
        <v>5565</v>
      </c>
      <c r="C40" s="214">
        <v>3</v>
      </c>
      <c r="D40" s="213" t="s">
        <v>10197</v>
      </c>
      <c r="E40" s="215" t="s">
        <v>4</v>
      </c>
      <c r="F40" s="213" t="s">
        <v>602</v>
      </c>
      <c r="G40" s="213" t="s">
        <v>5569</v>
      </c>
      <c r="H40" s="213">
        <v>3</v>
      </c>
      <c r="I40" s="213" t="s">
        <v>727</v>
      </c>
      <c r="J40" s="213" t="s">
        <v>5570</v>
      </c>
      <c r="K40" s="213">
        <v>3</v>
      </c>
      <c r="L40" s="213" t="s">
        <v>478</v>
      </c>
      <c r="M40" s="225">
        <v>2000000</v>
      </c>
      <c r="N40" s="213" t="s">
        <v>452</v>
      </c>
      <c r="O40" s="213" t="s">
        <v>575</v>
      </c>
      <c r="P40" s="143"/>
      <c r="Q40" s="213" t="s">
        <v>24</v>
      </c>
      <c r="R40" s="226">
        <f t="array" ref="R40">INDEX(Notes!C:C,MATCH($B40,Notes!$A:$A,0))</f>
        <v>0</v>
      </c>
      <c r="S40" s="218"/>
      <c r="T40" s="218"/>
      <c r="U40" s="218"/>
      <c r="V40" s="219"/>
      <c r="W40" s="219"/>
      <c r="X40" s="219"/>
      <c r="Y40" s="219"/>
      <c r="Z40" s="219"/>
    </row>
    <row r="41" spans="1:26" ht="15.75" customHeight="1">
      <c r="A41" s="227">
        <v>44776</v>
      </c>
      <c r="B41" s="228" t="s">
        <v>158</v>
      </c>
      <c r="C41" s="240">
        <v>3</v>
      </c>
      <c r="D41" s="228" t="s">
        <v>3509</v>
      </c>
      <c r="E41" s="244" t="s">
        <v>5</v>
      </c>
      <c r="F41" s="228" t="s">
        <v>447</v>
      </c>
      <c r="G41" s="228" t="s">
        <v>11394</v>
      </c>
      <c r="H41" s="228">
        <v>3.5</v>
      </c>
      <c r="I41" s="228" t="s">
        <v>476</v>
      </c>
      <c r="J41" s="228" t="s">
        <v>13400</v>
      </c>
      <c r="K41" s="228">
        <v>2.5</v>
      </c>
      <c r="L41" s="228"/>
      <c r="M41" s="228"/>
      <c r="N41" s="228" t="s">
        <v>452</v>
      </c>
      <c r="O41" s="228" t="s">
        <v>3512</v>
      </c>
      <c r="P41" s="230"/>
      <c r="Q41" s="228" t="s">
        <v>20</v>
      </c>
      <c r="R41" s="231" t="s">
        <v>3513</v>
      </c>
      <c r="S41" s="228"/>
      <c r="T41" s="228"/>
      <c r="U41" s="228"/>
      <c r="V41" s="224"/>
      <c r="W41" s="224"/>
      <c r="X41" s="224"/>
      <c r="Y41" s="224"/>
      <c r="Z41" s="224"/>
    </row>
    <row r="42" spans="1:26" ht="15.75" customHeight="1">
      <c r="A42" s="212">
        <v>44776</v>
      </c>
      <c r="B42" s="213" t="s">
        <v>5607</v>
      </c>
      <c r="C42" s="214">
        <v>3</v>
      </c>
      <c r="D42" s="213" t="s">
        <v>5610</v>
      </c>
      <c r="E42" s="215" t="s">
        <v>4</v>
      </c>
      <c r="F42" s="213" t="s">
        <v>602</v>
      </c>
      <c r="G42" s="213" t="s">
        <v>11402</v>
      </c>
      <c r="H42" s="213">
        <v>3</v>
      </c>
      <c r="I42" s="213" t="s">
        <v>1054</v>
      </c>
      <c r="J42" s="213" t="s">
        <v>5612</v>
      </c>
      <c r="K42" s="213">
        <v>3</v>
      </c>
      <c r="L42" s="213"/>
      <c r="M42" s="213"/>
      <c r="N42" s="213" t="s">
        <v>454</v>
      </c>
      <c r="O42" s="213" t="s">
        <v>5613</v>
      </c>
      <c r="P42" s="143"/>
      <c r="Q42" s="213" t="s">
        <v>24</v>
      </c>
      <c r="R42" s="226">
        <f t="array" ref="R42">INDEX(Notes!C:C,MATCH($B42,Notes!$A:$A,0))</f>
        <v>0</v>
      </c>
      <c r="S42" s="218"/>
      <c r="T42" s="218"/>
      <c r="U42" s="218"/>
      <c r="V42" s="219"/>
      <c r="W42" s="219"/>
      <c r="X42" s="219"/>
      <c r="Y42" s="219"/>
      <c r="Z42" s="219"/>
    </row>
    <row r="43" spans="1:26" ht="15.75" customHeight="1">
      <c r="A43" s="227">
        <v>44776</v>
      </c>
      <c r="B43" s="228" t="s">
        <v>3124</v>
      </c>
      <c r="C43" s="214">
        <v>3</v>
      </c>
      <c r="D43" s="228" t="s">
        <v>3127</v>
      </c>
      <c r="E43" s="215" t="s">
        <v>5</v>
      </c>
      <c r="F43" s="228" t="s">
        <v>447</v>
      </c>
      <c r="G43" s="228" t="s">
        <v>3128</v>
      </c>
      <c r="H43" s="228">
        <v>3</v>
      </c>
      <c r="I43" s="228" t="s">
        <v>449</v>
      </c>
      <c r="J43" s="228" t="e">
        <f ca="1">+They are trying to help people with insomnia through therapy(sounds and lighting controlled by devices) instead of drugs
+the Have multiple patents and academic research
+They Have raised a Large amoount of money through grants and Have some MRR
-product seems to require user to already Have lots of smart devices and Have them compatible with their application</f>
        <v>#NAME?</v>
      </c>
      <c r="K43" s="228">
        <v>3</v>
      </c>
      <c r="L43" s="228"/>
      <c r="M43" s="228"/>
      <c r="N43" s="228" t="s">
        <v>452</v>
      </c>
      <c r="O43" s="228" t="s">
        <v>3130</v>
      </c>
      <c r="P43" s="230"/>
      <c r="Q43" s="228" t="s">
        <v>24</v>
      </c>
      <c r="R43" s="231" t="s">
        <v>3131</v>
      </c>
      <c r="S43" s="228"/>
      <c r="T43" s="228"/>
      <c r="U43" s="228"/>
      <c r="V43" s="224"/>
      <c r="W43" s="224"/>
      <c r="X43" s="224"/>
      <c r="Y43" s="224"/>
      <c r="Z43" s="224"/>
    </row>
    <row r="44" spans="1:26" ht="15.75" customHeight="1">
      <c r="A44" s="212">
        <v>44776</v>
      </c>
      <c r="B44" s="213" t="s">
        <v>2214</v>
      </c>
      <c r="C44" s="214">
        <v>3</v>
      </c>
      <c r="D44" s="213" t="s">
        <v>2217</v>
      </c>
      <c r="E44" s="215" t="s">
        <v>5</v>
      </c>
      <c r="F44" s="213" t="s">
        <v>447</v>
      </c>
      <c r="G44" s="213" t="e">
        <f>+Credible Team
+Large TAM and plan to apply technology
-They are still very early, Developing MVP</f>
        <v>#NAME?</v>
      </c>
      <c r="H44" s="213">
        <v>3</v>
      </c>
      <c r="I44" s="213" t="s">
        <v>622</v>
      </c>
      <c r="J44" s="213" t="s">
        <v>2219</v>
      </c>
      <c r="K44" s="213">
        <v>3</v>
      </c>
      <c r="L44" s="213" t="s">
        <v>784</v>
      </c>
      <c r="M44" s="225">
        <v>1000000</v>
      </c>
      <c r="N44" s="213" t="s">
        <v>465</v>
      </c>
      <c r="O44" s="213" t="s">
        <v>2220</v>
      </c>
      <c r="P44" s="143"/>
      <c r="Q44" s="213" t="s">
        <v>24</v>
      </c>
      <c r="R44" s="226">
        <f t="array" ref="R44">INDEX(Notes!C:C,MATCH($B44,Notes!$A:$A,0))</f>
        <v>0</v>
      </c>
      <c r="S44" s="218"/>
      <c r="T44" s="218"/>
      <c r="U44" s="218"/>
      <c r="V44" s="219"/>
      <c r="W44" s="219"/>
      <c r="X44" s="219"/>
      <c r="Y44" s="219"/>
      <c r="Z44" s="219"/>
    </row>
    <row r="45" spans="1:26" ht="15.75" customHeight="1">
      <c r="A45" s="220">
        <v>44776</v>
      </c>
      <c r="B45" s="221" t="s">
        <v>2957</v>
      </c>
      <c r="C45" s="214">
        <v>2.75</v>
      </c>
      <c r="D45" s="221" t="s">
        <v>11518</v>
      </c>
      <c r="E45" s="215" t="s">
        <v>5</v>
      </c>
      <c r="F45" s="221" t="s">
        <v>447</v>
      </c>
      <c r="G45" s="221"/>
      <c r="H45" s="221">
        <v>2.5</v>
      </c>
      <c r="I45" s="221" t="s">
        <v>476</v>
      </c>
      <c r="J45" s="221" t="s">
        <v>13400</v>
      </c>
      <c r="K45" s="221">
        <v>3</v>
      </c>
      <c r="L45" s="221" t="s">
        <v>784</v>
      </c>
      <c r="M45" s="221" t="s">
        <v>11519</v>
      </c>
      <c r="N45" s="221" t="s">
        <v>452</v>
      </c>
      <c r="O45" s="221" t="s">
        <v>11520</v>
      </c>
      <c r="P45" s="145"/>
      <c r="Q45" s="221" t="s">
        <v>24</v>
      </c>
      <c r="R45" s="223" t="e">
        <f t="array" ref="R45">INDEX(Notes!C:C,MATCH($B45,Notes!$A:$A,0))</f>
        <v>#N/A</v>
      </c>
      <c r="S45" s="218"/>
      <c r="T45" s="218"/>
      <c r="U45" s="218"/>
      <c r="V45" s="224"/>
      <c r="W45" s="224"/>
      <c r="X45" s="224"/>
      <c r="Y45" s="224"/>
      <c r="Z45" s="224"/>
    </row>
    <row r="46" spans="1:26" ht="15.75" customHeight="1">
      <c r="A46" s="212">
        <v>44776</v>
      </c>
      <c r="B46" s="213" t="s">
        <v>2635</v>
      </c>
      <c r="C46" s="214">
        <v>2.75</v>
      </c>
      <c r="D46" s="213" t="s">
        <v>2638</v>
      </c>
      <c r="E46" s="215" t="s">
        <v>5</v>
      </c>
      <c r="F46" s="213" t="s">
        <v>447</v>
      </c>
      <c r="G46" s="213" t="s">
        <v>2639</v>
      </c>
      <c r="H46" s="213">
        <v>2.5</v>
      </c>
      <c r="I46" s="213" t="s">
        <v>622</v>
      </c>
      <c r="J46" s="213" t="s">
        <v>10202</v>
      </c>
      <c r="K46" s="213">
        <v>3</v>
      </c>
      <c r="L46" s="213"/>
      <c r="M46" s="213"/>
      <c r="N46" s="213" t="s">
        <v>452</v>
      </c>
      <c r="O46" s="213" t="s">
        <v>10203</v>
      </c>
      <c r="P46" s="143"/>
      <c r="Q46" s="213" t="s">
        <v>24</v>
      </c>
      <c r="R46" s="226">
        <f t="array" ref="R46">INDEX(Notes!C:C,MATCH($B46,Notes!$A:$A,0))</f>
        <v>0</v>
      </c>
      <c r="S46" s="218"/>
      <c r="T46" s="218"/>
      <c r="U46" s="218"/>
      <c r="V46" s="219"/>
      <c r="W46" s="219"/>
      <c r="X46" s="219"/>
      <c r="Y46" s="219"/>
      <c r="Z46" s="219"/>
    </row>
    <row r="47" spans="1:26" ht="15.75" customHeight="1">
      <c r="A47" s="227">
        <v>44776</v>
      </c>
      <c r="B47" s="228" t="s">
        <v>2696</v>
      </c>
      <c r="C47" s="214">
        <v>2.75</v>
      </c>
      <c r="D47" s="228" t="s">
        <v>2699</v>
      </c>
      <c r="E47" s="215" t="s">
        <v>5</v>
      </c>
      <c r="F47" s="228" t="s">
        <v>447</v>
      </c>
      <c r="G47" s="228" t="s">
        <v>2700</v>
      </c>
      <c r="H47" s="228">
        <v>3.5</v>
      </c>
      <c r="I47" s="228" t="s">
        <v>449</v>
      </c>
      <c r="J47" s="228" t="s">
        <v>13400</v>
      </c>
      <c r="K47" s="228">
        <v>2</v>
      </c>
      <c r="L47" s="228" t="s">
        <v>478</v>
      </c>
      <c r="M47" s="232">
        <v>3000000</v>
      </c>
      <c r="N47" s="228" t="s">
        <v>452</v>
      </c>
      <c r="O47" s="228" t="s">
        <v>10222</v>
      </c>
      <c r="P47" s="230"/>
      <c r="Q47" s="228" t="s">
        <v>24</v>
      </c>
      <c r="R47" s="231" t="s">
        <v>2703</v>
      </c>
      <c r="S47" s="228"/>
      <c r="T47" s="228"/>
      <c r="U47" s="228"/>
      <c r="V47" s="224"/>
      <c r="W47" s="224"/>
      <c r="X47" s="224"/>
      <c r="Y47" s="224"/>
      <c r="Z47" s="224"/>
    </row>
    <row r="48" spans="1:26" ht="15.75" customHeight="1">
      <c r="A48" s="212">
        <v>44776</v>
      </c>
      <c r="B48" s="213" t="s">
        <v>5857</v>
      </c>
      <c r="C48" s="214">
        <v>2.75</v>
      </c>
      <c r="D48" s="213" t="s">
        <v>5860</v>
      </c>
      <c r="E48" s="215" t="s">
        <v>4</v>
      </c>
      <c r="F48" s="213" t="s">
        <v>602</v>
      </c>
      <c r="G48" s="213" t="s">
        <v>11407</v>
      </c>
      <c r="H48" s="213">
        <v>3</v>
      </c>
      <c r="I48" s="213" t="s">
        <v>727</v>
      </c>
      <c r="J48" s="213" t="s">
        <v>5862</v>
      </c>
      <c r="K48" s="213">
        <v>2.5</v>
      </c>
      <c r="L48" s="213"/>
      <c r="M48" s="213"/>
      <c r="N48" s="213" t="s">
        <v>452</v>
      </c>
      <c r="O48" s="213" t="s">
        <v>5863</v>
      </c>
      <c r="P48" s="143"/>
      <c r="Q48" s="213" t="s">
        <v>24</v>
      </c>
      <c r="R48" s="226" t="s">
        <v>5864</v>
      </c>
      <c r="S48" s="218"/>
      <c r="T48" s="218"/>
      <c r="U48" s="218"/>
      <c r="V48" s="219"/>
      <c r="W48" s="219"/>
      <c r="X48" s="219"/>
      <c r="Y48" s="219"/>
      <c r="Z48" s="219"/>
    </row>
    <row r="49" spans="1:26" ht="15.75" customHeight="1">
      <c r="A49" s="227">
        <v>44776</v>
      </c>
      <c r="B49" s="228" t="s">
        <v>9334</v>
      </c>
      <c r="C49" s="214">
        <v>2.5</v>
      </c>
      <c r="D49" s="228" t="s">
        <v>9337</v>
      </c>
      <c r="E49" s="215" t="s">
        <v>3</v>
      </c>
      <c r="F49" s="228" t="s">
        <v>460</v>
      </c>
      <c r="G49" s="228"/>
      <c r="H49" s="228">
        <v>1</v>
      </c>
      <c r="I49" s="228" t="s">
        <v>462</v>
      </c>
      <c r="J49" s="228" t="s">
        <v>9338</v>
      </c>
      <c r="K49" s="228">
        <v>4</v>
      </c>
      <c r="L49" s="228"/>
      <c r="M49" s="232">
        <v>250000</v>
      </c>
      <c r="N49" s="228" t="s">
        <v>452</v>
      </c>
      <c r="O49" s="228" t="s">
        <v>452</v>
      </c>
      <c r="P49" s="230"/>
      <c r="Q49" s="228" t="s">
        <v>25</v>
      </c>
      <c r="R49" s="231" t="s">
        <v>9339</v>
      </c>
      <c r="S49" s="228"/>
      <c r="T49" s="228"/>
      <c r="U49" s="228"/>
      <c r="V49" s="224"/>
      <c r="W49" s="224"/>
      <c r="X49" s="224"/>
      <c r="Y49" s="224"/>
      <c r="Z49" s="224"/>
    </row>
    <row r="50" spans="1:26" ht="15.75" customHeight="1">
      <c r="A50" s="212">
        <v>44776</v>
      </c>
      <c r="B50" s="213" t="s">
        <v>6459</v>
      </c>
      <c r="C50" s="214">
        <v>2.5</v>
      </c>
      <c r="D50" s="213" t="s">
        <v>6462</v>
      </c>
      <c r="E50" s="215" t="s">
        <v>4</v>
      </c>
      <c r="F50" s="213" t="s">
        <v>602</v>
      </c>
      <c r="G50" s="213" t="s">
        <v>6463</v>
      </c>
      <c r="H50" s="213">
        <v>2</v>
      </c>
      <c r="I50" s="213" t="s">
        <v>1054</v>
      </c>
      <c r="J50" s="213"/>
      <c r="K50" s="213">
        <v>3</v>
      </c>
      <c r="L50" s="213" t="s">
        <v>784</v>
      </c>
      <c r="M50" s="213">
        <v>400000</v>
      </c>
      <c r="N50" s="213" t="s">
        <v>452</v>
      </c>
      <c r="O50" s="213" t="s">
        <v>6464</v>
      </c>
      <c r="P50" s="143"/>
      <c r="Q50" s="213" t="s">
        <v>24</v>
      </c>
      <c r="R50" s="226">
        <f t="array" ref="R50">INDEX(Notes!C:C,MATCH($B50,Notes!$A:$A,0))</f>
        <v>0</v>
      </c>
      <c r="S50" s="218"/>
      <c r="T50" s="218"/>
      <c r="U50" s="218"/>
      <c r="V50" s="219"/>
      <c r="W50" s="219"/>
      <c r="X50" s="219"/>
      <c r="Y50" s="219"/>
      <c r="Z50" s="219"/>
    </row>
    <row r="51" spans="1:26" ht="15.75" customHeight="1">
      <c r="A51" s="220">
        <v>44776</v>
      </c>
      <c r="B51" s="221" t="s">
        <v>3424</v>
      </c>
      <c r="C51" s="214">
        <v>2.5</v>
      </c>
      <c r="D51" s="221" t="s">
        <v>3427</v>
      </c>
      <c r="E51" s="215" t="s">
        <v>5</v>
      </c>
      <c r="F51" s="221" t="s">
        <v>447</v>
      </c>
      <c r="G51" s="221" t="s">
        <v>3428</v>
      </c>
      <c r="H51" s="221">
        <v>3</v>
      </c>
      <c r="I51" s="221" t="s">
        <v>449</v>
      </c>
      <c r="J51" s="221" t="e">
        <f ca="1">+They are a biostasis(preservation of dead body) company that wants to make the practice more mainstream and accessible
+the Have raised a significant amount of money and Have a few customers
+Have insurance and longterm storage partners</f>
        <v>#NAME?</v>
      </c>
      <c r="K51" s="221">
        <v>2</v>
      </c>
      <c r="L51" s="221"/>
      <c r="M51" s="221"/>
      <c r="N51" s="221" t="s">
        <v>452</v>
      </c>
      <c r="O51" s="221" t="s">
        <v>452</v>
      </c>
      <c r="P51" s="145"/>
      <c r="Q51" s="221" t="s">
        <v>24</v>
      </c>
      <c r="R51" s="223">
        <f t="array" ref="R51">INDEX(Notes!C:C,MATCH($B51,Notes!$A:$A,0))</f>
        <v>0</v>
      </c>
      <c r="S51" s="218"/>
      <c r="T51" s="218"/>
      <c r="U51" s="218"/>
      <c r="V51" s="224"/>
      <c r="W51" s="224"/>
      <c r="X51" s="224"/>
      <c r="Y51" s="224"/>
      <c r="Z51" s="224"/>
    </row>
    <row r="52" spans="1:26" ht="15.75" customHeight="1">
      <c r="A52" s="212">
        <v>44776</v>
      </c>
      <c r="B52" s="213" t="s">
        <v>2118</v>
      </c>
      <c r="C52" s="214">
        <v>2.5</v>
      </c>
      <c r="D52" s="213" t="s">
        <v>2121</v>
      </c>
      <c r="E52" s="215" t="s">
        <v>5</v>
      </c>
      <c r="F52" s="213" t="s">
        <v>447</v>
      </c>
      <c r="G52" s="213" t="s">
        <v>2122</v>
      </c>
      <c r="H52" s="213">
        <v>2.5</v>
      </c>
      <c r="I52" s="213" t="s">
        <v>543</v>
      </c>
      <c r="J52" s="213" t="s">
        <v>2123</v>
      </c>
      <c r="K52" s="213">
        <v>2.5</v>
      </c>
      <c r="L52" s="213" t="s">
        <v>451</v>
      </c>
      <c r="M52" s="216">
        <v>400000</v>
      </c>
      <c r="N52" s="213" t="s">
        <v>452</v>
      </c>
      <c r="O52" s="213" t="s">
        <v>10209</v>
      </c>
      <c r="P52" s="143"/>
      <c r="Q52" s="213" t="s">
        <v>24</v>
      </c>
      <c r="R52" s="226">
        <f t="array" ref="R52">INDEX(Notes!C:C,MATCH($B52,Notes!$A:$A,0))</f>
        <v>0</v>
      </c>
      <c r="S52" s="218"/>
      <c r="T52" s="218"/>
      <c r="U52" s="218"/>
      <c r="V52" s="219"/>
      <c r="W52" s="219"/>
      <c r="X52" s="219"/>
      <c r="Y52" s="219"/>
      <c r="Z52" s="219"/>
    </row>
    <row r="53" spans="1:26" ht="15.75" customHeight="1">
      <c r="A53" s="220">
        <v>44776</v>
      </c>
      <c r="B53" s="221" t="s">
        <v>3250</v>
      </c>
      <c r="C53" s="214">
        <v>2.5</v>
      </c>
      <c r="D53" s="221" t="s">
        <v>3253</v>
      </c>
      <c r="E53" s="215" t="s">
        <v>5</v>
      </c>
      <c r="F53" s="221" t="s">
        <v>447</v>
      </c>
      <c r="G53" s="221" t="s">
        <v>3254</v>
      </c>
      <c r="H53" s="221">
        <v>2</v>
      </c>
      <c r="I53" s="221" t="s">
        <v>602</v>
      </c>
      <c r="J53" s="221" t="s">
        <v>3255</v>
      </c>
      <c r="K53" s="221">
        <v>3</v>
      </c>
      <c r="L53" s="221" t="s">
        <v>451</v>
      </c>
      <c r="M53" s="221" t="s">
        <v>3256</v>
      </c>
      <c r="N53" s="221" t="s">
        <v>452</v>
      </c>
      <c r="O53" s="221" t="s">
        <v>452</v>
      </c>
      <c r="P53" s="145"/>
      <c r="Q53" s="221" t="s">
        <v>24</v>
      </c>
      <c r="R53" s="223">
        <f t="array" ref="R53">INDEX(Notes!C:C,MATCH($B53,Notes!$A:$A,0))</f>
        <v>0</v>
      </c>
      <c r="S53" s="218"/>
      <c r="T53" s="218"/>
      <c r="U53" s="218"/>
      <c r="V53" s="224"/>
      <c r="W53" s="224"/>
      <c r="X53" s="224"/>
      <c r="Y53" s="224"/>
      <c r="Z53" s="224"/>
    </row>
    <row r="54" spans="1:26" ht="15.75" customHeight="1">
      <c r="A54" s="233">
        <v>44776</v>
      </c>
      <c r="B54" s="234" t="s">
        <v>2814</v>
      </c>
      <c r="C54" s="235">
        <v>2.5</v>
      </c>
      <c r="D54" s="234" t="s">
        <v>2817</v>
      </c>
      <c r="E54" s="234" t="s">
        <v>5</v>
      </c>
      <c r="F54" s="234" t="s">
        <v>460</v>
      </c>
      <c r="G54" s="234" t="s">
        <v>2818</v>
      </c>
      <c r="H54" s="234">
        <v>2</v>
      </c>
      <c r="I54" s="234" t="s">
        <v>488</v>
      </c>
      <c r="J54" s="234" t="s">
        <v>2819</v>
      </c>
      <c r="K54" s="234">
        <v>3</v>
      </c>
      <c r="L54" s="234"/>
      <c r="M54" s="234"/>
      <c r="N54" s="234" t="s">
        <v>452</v>
      </c>
      <c r="O54" s="234" t="s">
        <v>2820</v>
      </c>
      <c r="P54" s="237"/>
      <c r="Q54" s="234" t="s">
        <v>24</v>
      </c>
      <c r="R54" s="238" t="s">
        <v>2821</v>
      </c>
      <c r="S54" s="234"/>
      <c r="T54" s="234"/>
      <c r="U54" s="234"/>
      <c r="V54" s="239"/>
      <c r="W54" s="239"/>
      <c r="X54" s="239"/>
      <c r="Y54" s="239"/>
      <c r="Z54" s="239"/>
    </row>
    <row r="55" spans="1:26" ht="15.75" customHeight="1">
      <c r="A55" s="220">
        <v>44776</v>
      </c>
      <c r="B55" s="221" t="s">
        <v>6365</v>
      </c>
      <c r="C55" s="214">
        <v>2.5</v>
      </c>
      <c r="D55" s="221" t="s">
        <v>6368</v>
      </c>
      <c r="E55" s="215" t="s">
        <v>4</v>
      </c>
      <c r="F55" s="221" t="s">
        <v>602</v>
      </c>
      <c r="G55" s="221" t="s">
        <v>11435</v>
      </c>
      <c r="H55" s="221">
        <v>2</v>
      </c>
      <c r="I55" s="221" t="s">
        <v>727</v>
      </c>
      <c r="J55" s="221" t="s">
        <v>6370</v>
      </c>
      <c r="K55" s="221">
        <v>3</v>
      </c>
      <c r="L55" s="221" t="s">
        <v>6371</v>
      </c>
      <c r="M55" s="221" t="s">
        <v>6372</v>
      </c>
      <c r="N55" s="221" t="s">
        <v>454</v>
      </c>
      <c r="O55" s="221" t="s">
        <v>3420</v>
      </c>
      <c r="P55" s="145"/>
      <c r="Q55" s="221" t="s">
        <v>24</v>
      </c>
      <c r="R55" s="223">
        <f t="array" ref="R55">INDEX(Notes!C:C,MATCH($B55,Notes!$A:$A,0))</f>
        <v>0</v>
      </c>
      <c r="S55" s="218"/>
      <c r="T55" s="218"/>
      <c r="U55" s="218"/>
      <c r="V55" s="224"/>
      <c r="W55" s="224"/>
      <c r="X55" s="224"/>
      <c r="Y55" s="224"/>
      <c r="Z55" s="224"/>
    </row>
    <row r="56" spans="1:26" ht="15.75" customHeight="1">
      <c r="A56" s="212">
        <v>44776</v>
      </c>
      <c r="B56" s="213" t="s">
        <v>3035</v>
      </c>
      <c r="C56" s="214">
        <v>2.5</v>
      </c>
      <c r="D56" s="213" t="s">
        <v>3038</v>
      </c>
      <c r="E56" s="215" t="s">
        <v>5</v>
      </c>
      <c r="F56" s="213" t="s">
        <v>447</v>
      </c>
      <c r="G56" s="213" t="s">
        <v>3039</v>
      </c>
      <c r="H56" s="213">
        <v>3</v>
      </c>
      <c r="I56" s="213" t="s">
        <v>543</v>
      </c>
      <c r="J56" s="213" t="s">
        <v>11521</v>
      </c>
      <c r="K56" s="213">
        <v>2</v>
      </c>
      <c r="L56" s="213"/>
      <c r="M56" s="213"/>
      <c r="N56" s="213" t="s">
        <v>452</v>
      </c>
      <c r="O56" s="213" t="s">
        <v>452</v>
      </c>
      <c r="P56" s="143"/>
      <c r="Q56" s="213" t="s">
        <v>24</v>
      </c>
      <c r="R56" s="226">
        <f t="array" ref="R56">INDEX(Notes!C:C,MATCH($B56,Notes!$A:$A,0))</f>
        <v>0</v>
      </c>
      <c r="S56" s="218"/>
      <c r="T56" s="218"/>
      <c r="U56" s="218"/>
      <c r="V56" s="219"/>
      <c r="W56" s="219"/>
      <c r="X56" s="219"/>
      <c r="Y56" s="219"/>
      <c r="Z56" s="219"/>
    </row>
    <row r="57" spans="1:26" ht="15.75" customHeight="1">
      <c r="A57" s="220">
        <v>44776</v>
      </c>
      <c r="B57" s="221" t="s">
        <v>6737</v>
      </c>
      <c r="C57" s="214">
        <v>2.25</v>
      </c>
      <c r="D57" s="221" t="s">
        <v>6740</v>
      </c>
      <c r="E57" s="215" t="s">
        <v>4</v>
      </c>
      <c r="F57" s="221" t="s">
        <v>602</v>
      </c>
      <c r="G57" s="221" t="s">
        <v>6741</v>
      </c>
      <c r="H57" s="221">
        <v>2</v>
      </c>
      <c r="I57" s="221" t="s">
        <v>727</v>
      </c>
      <c r="J57" s="221" t="s">
        <v>6742</v>
      </c>
      <c r="K57" s="221">
        <v>2.5</v>
      </c>
      <c r="L57" s="221" t="s">
        <v>451</v>
      </c>
      <c r="M57" s="222">
        <v>1000000</v>
      </c>
      <c r="N57" s="221" t="s">
        <v>465</v>
      </c>
      <c r="O57" s="221" t="s">
        <v>452</v>
      </c>
      <c r="P57" s="145"/>
      <c r="Q57" s="221" t="s">
        <v>24</v>
      </c>
      <c r="R57" s="223" t="str">
        <f t="array" ref="R57">INDEX(Notes!C:C,MATCH($B57,Notes!$A:$A,0))</f>
        <v>Lenny Saizan</v>
      </c>
      <c r="S57" s="218"/>
      <c r="T57" s="218"/>
      <c r="U57" s="218"/>
      <c r="V57" s="224"/>
      <c r="W57" s="224"/>
      <c r="X57" s="224"/>
      <c r="Y57" s="224"/>
      <c r="Z57" s="224"/>
    </row>
    <row r="58" spans="1:26" ht="15.75" customHeight="1">
      <c r="A58" s="212">
        <v>44776</v>
      </c>
      <c r="B58" s="213" t="s">
        <v>2418</v>
      </c>
      <c r="C58" s="214">
        <v>2</v>
      </c>
      <c r="D58" s="213" t="s">
        <v>2421</v>
      </c>
      <c r="E58" s="215" t="s">
        <v>5</v>
      </c>
      <c r="F58" s="213" t="s">
        <v>447</v>
      </c>
      <c r="G58" s="213" t="s">
        <v>2422</v>
      </c>
      <c r="H58" s="213">
        <v>2</v>
      </c>
      <c r="I58" s="213" t="s">
        <v>622</v>
      </c>
      <c r="J58" s="213"/>
      <c r="K58" s="213">
        <v>2</v>
      </c>
      <c r="L58" s="213"/>
      <c r="M58" s="213"/>
      <c r="N58" s="213" t="s">
        <v>452</v>
      </c>
      <c r="O58" s="213" t="s">
        <v>2423</v>
      </c>
      <c r="P58" s="143"/>
      <c r="Q58" s="213" t="s">
        <v>24</v>
      </c>
      <c r="R58" s="226">
        <f t="array" ref="R58">INDEX(Notes!C:C,MATCH($B58,Notes!$A:$A,0))</f>
        <v>0</v>
      </c>
      <c r="S58" s="218"/>
      <c r="T58" s="218"/>
      <c r="U58" s="218"/>
      <c r="V58" s="219"/>
      <c r="W58" s="219"/>
      <c r="X58" s="219"/>
      <c r="Y58" s="219"/>
      <c r="Z58" s="219"/>
    </row>
    <row r="59" spans="1:26" ht="15.75" customHeight="1">
      <c r="A59" s="220">
        <v>44776</v>
      </c>
      <c r="B59" s="221" t="s">
        <v>8887</v>
      </c>
      <c r="C59" s="214">
        <v>2</v>
      </c>
      <c r="D59" s="221" t="s">
        <v>10629</v>
      </c>
      <c r="E59" s="215" t="s">
        <v>3</v>
      </c>
      <c r="F59" s="221" t="s">
        <v>460</v>
      </c>
      <c r="G59" s="221" t="s">
        <v>8891</v>
      </c>
      <c r="H59" s="221">
        <v>2</v>
      </c>
      <c r="I59" s="221" t="s">
        <v>488</v>
      </c>
      <c r="J59" s="221"/>
      <c r="K59" s="221">
        <v>2</v>
      </c>
      <c r="L59" s="221" t="s">
        <v>451</v>
      </c>
      <c r="M59" s="221">
        <v>2500000</v>
      </c>
      <c r="N59" s="221" t="s">
        <v>452</v>
      </c>
      <c r="O59" s="221" t="s">
        <v>10630</v>
      </c>
      <c r="P59" s="145"/>
      <c r="Q59" s="221" t="s">
        <v>24</v>
      </c>
      <c r="R59" s="223" t="str">
        <f t="array" ref="R59">INDEX(Notes!C:C,MATCH($B59,Notes!$A:$A,0))</f>
        <v>Tarek Ali</v>
      </c>
      <c r="S59" s="218"/>
      <c r="T59" s="218"/>
      <c r="U59" s="218"/>
      <c r="V59" s="224"/>
      <c r="W59" s="224"/>
      <c r="X59" s="224"/>
      <c r="Y59" s="224"/>
      <c r="Z59" s="224"/>
    </row>
    <row r="60" spans="1:26" ht="15.75" customHeight="1">
      <c r="A60" s="212">
        <v>44776</v>
      </c>
      <c r="B60" s="213" t="s">
        <v>7110</v>
      </c>
      <c r="C60" s="214">
        <v>2</v>
      </c>
      <c r="D60" s="213" t="s">
        <v>7113</v>
      </c>
      <c r="E60" s="215" t="s">
        <v>4</v>
      </c>
      <c r="F60" s="213" t="s">
        <v>602</v>
      </c>
      <c r="G60" s="213" t="s">
        <v>11398</v>
      </c>
      <c r="H60" s="213">
        <v>2</v>
      </c>
      <c r="I60" s="213" t="s">
        <v>727</v>
      </c>
      <c r="J60" s="213" t="s">
        <v>7115</v>
      </c>
      <c r="K60" s="213">
        <v>2</v>
      </c>
      <c r="L60" s="213" t="s">
        <v>784</v>
      </c>
      <c r="M60" s="216">
        <v>1000000</v>
      </c>
      <c r="N60" s="213" t="s">
        <v>465</v>
      </c>
      <c r="O60" s="213" t="s">
        <v>7116</v>
      </c>
      <c r="P60" s="143"/>
      <c r="Q60" s="213" t="s">
        <v>24</v>
      </c>
      <c r="R60" s="226">
        <f t="array" ref="R60">INDEX(Notes!C:C,MATCH($B60,Notes!$A:$A,0))</f>
        <v>0</v>
      </c>
      <c r="S60" s="218"/>
      <c r="T60" s="218"/>
      <c r="U60" s="218"/>
      <c r="V60" s="219"/>
      <c r="W60" s="219"/>
      <c r="X60" s="219"/>
      <c r="Y60" s="219"/>
      <c r="Z60" s="219"/>
    </row>
    <row r="61" spans="1:26" ht="15.75" customHeight="1">
      <c r="A61" s="220">
        <v>44776</v>
      </c>
      <c r="B61" s="221" t="s">
        <v>3596</v>
      </c>
      <c r="C61" s="214">
        <v>2</v>
      </c>
      <c r="D61" s="221" t="s">
        <v>3599</v>
      </c>
      <c r="E61" s="215" t="s">
        <v>5</v>
      </c>
      <c r="F61" s="221" t="s">
        <v>447</v>
      </c>
      <c r="G61" s="221" t="s">
        <v>11400</v>
      </c>
      <c r="H61" s="221">
        <v>2</v>
      </c>
      <c r="I61" s="221" t="s">
        <v>602</v>
      </c>
      <c r="J61" s="221" t="s">
        <v>11401</v>
      </c>
      <c r="K61" s="221">
        <v>2</v>
      </c>
      <c r="L61" s="221" t="s">
        <v>451</v>
      </c>
      <c r="M61" s="222">
        <v>1500000</v>
      </c>
      <c r="N61" s="221" t="s">
        <v>452</v>
      </c>
      <c r="O61" s="221" t="s">
        <v>3602</v>
      </c>
      <c r="P61" s="145"/>
      <c r="Q61" s="221" t="s">
        <v>24</v>
      </c>
      <c r="R61" s="223">
        <f t="array" ref="R61">INDEX(Notes!C:C,MATCH($B61,Notes!$A:$A,0))</f>
        <v>0</v>
      </c>
      <c r="S61" s="218"/>
      <c r="T61" s="218"/>
      <c r="U61" s="218"/>
      <c r="V61" s="224"/>
      <c r="W61" s="224"/>
      <c r="X61" s="224"/>
      <c r="Y61" s="224"/>
      <c r="Z61" s="224"/>
    </row>
    <row r="62" spans="1:26" ht="15.75" customHeight="1">
      <c r="A62" s="212">
        <v>44776</v>
      </c>
      <c r="B62" s="213" t="s">
        <v>7566</v>
      </c>
      <c r="C62" s="214">
        <v>2</v>
      </c>
      <c r="D62" s="213" t="s">
        <v>7569</v>
      </c>
      <c r="E62" s="215" t="s">
        <v>4</v>
      </c>
      <c r="F62" s="213" t="s">
        <v>602</v>
      </c>
      <c r="G62" s="213" t="s">
        <v>7570</v>
      </c>
      <c r="H62" s="213">
        <v>2</v>
      </c>
      <c r="I62" s="213" t="s">
        <v>727</v>
      </c>
      <c r="J62" s="213" t="s">
        <v>7571</v>
      </c>
      <c r="K62" s="213">
        <v>2</v>
      </c>
      <c r="L62" s="213" t="s">
        <v>451</v>
      </c>
      <c r="M62" s="213">
        <v>400000</v>
      </c>
      <c r="N62" s="213" t="s">
        <v>452</v>
      </c>
      <c r="O62" s="213" t="s">
        <v>7572</v>
      </c>
      <c r="P62" s="143"/>
      <c r="Q62" s="213" t="s">
        <v>24</v>
      </c>
      <c r="R62" s="226">
        <f t="array" ref="R62">INDEX(Notes!C:C,MATCH($B62,Notes!$A:$A,0))</f>
        <v>0</v>
      </c>
      <c r="S62" s="218"/>
      <c r="T62" s="218"/>
      <c r="U62" s="218"/>
      <c r="V62" s="219"/>
      <c r="W62" s="219"/>
      <c r="X62" s="219"/>
      <c r="Y62" s="219"/>
      <c r="Z62" s="219"/>
    </row>
    <row r="63" spans="1:26" ht="15.75" customHeight="1">
      <c r="A63" s="220">
        <v>44776</v>
      </c>
      <c r="B63" s="221" t="s">
        <v>7001</v>
      </c>
      <c r="C63" s="214">
        <v>2</v>
      </c>
      <c r="D63" s="221" t="s">
        <v>7004</v>
      </c>
      <c r="E63" s="215" t="s">
        <v>4</v>
      </c>
      <c r="F63" s="221" t="s">
        <v>727</v>
      </c>
      <c r="G63" s="221" t="s">
        <v>7005</v>
      </c>
      <c r="H63" s="221">
        <v>2</v>
      </c>
      <c r="I63" s="221" t="s">
        <v>1054</v>
      </c>
      <c r="J63" s="221"/>
      <c r="K63" s="221">
        <v>2</v>
      </c>
      <c r="L63" s="221" t="s">
        <v>784</v>
      </c>
      <c r="M63" s="221">
        <v>2500000</v>
      </c>
      <c r="N63" s="221" t="s">
        <v>452</v>
      </c>
      <c r="O63" s="221" t="s">
        <v>7006</v>
      </c>
      <c r="P63" s="145"/>
      <c r="Q63" s="221" t="s">
        <v>24</v>
      </c>
      <c r="R63" s="223">
        <f t="array" ref="R63">INDEX(Notes!C:C,MATCH($B63,Notes!$A:$A,0))</f>
        <v>0</v>
      </c>
      <c r="S63" s="218"/>
      <c r="T63" s="218"/>
      <c r="U63" s="218"/>
      <c r="V63" s="224"/>
      <c r="W63" s="224"/>
      <c r="X63" s="224"/>
      <c r="Y63" s="224"/>
      <c r="Z63" s="224"/>
    </row>
    <row r="64" spans="1:26" ht="15.75" customHeight="1">
      <c r="A64" s="212">
        <v>44776</v>
      </c>
      <c r="B64" s="213" t="s">
        <v>8766</v>
      </c>
      <c r="C64" s="214">
        <v>1.5</v>
      </c>
      <c r="D64" s="213" t="s">
        <v>10187</v>
      </c>
      <c r="E64" s="215" t="s">
        <v>3</v>
      </c>
      <c r="F64" s="213" t="s">
        <v>460</v>
      </c>
      <c r="G64" s="213"/>
      <c r="H64" s="213">
        <v>1</v>
      </c>
      <c r="I64" s="213" t="s">
        <v>941</v>
      </c>
      <c r="J64" s="213"/>
      <c r="K64" s="213">
        <v>2</v>
      </c>
      <c r="L64" s="213" t="s">
        <v>784</v>
      </c>
      <c r="M64" s="225">
        <v>0</v>
      </c>
      <c r="N64" s="213" t="s">
        <v>465</v>
      </c>
      <c r="O64" s="213" t="s">
        <v>8770</v>
      </c>
      <c r="P64" s="143"/>
      <c r="Q64" s="213" t="s">
        <v>24</v>
      </c>
      <c r="R64" s="226">
        <f t="array" ref="R64">INDEX(Notes!C:C,MATCH($B64,Notes!$A:$A,0))</f>
        <v>0</v>
      </c>
      <c r="S64" s="218"/>
      <c r="T64" s="218"/>
      <c r="U64" s="218"/>
      <c r="V64" s="219"/>
      <c r="W64" s="219"/>
      <c r="X64" s="219"/>
      <c r="Y64" s="219"/>
      <c r="Z64" s="219"/>
    </row>
    <row r="65" spans="1:26" ht="15.75" customHeight="1">
      <c r="A65" s="227">
        <v>44776</v>
      </c>
      <c r="B65" s="228" t="s">
        <v>3413</v>
      </c>
      <c r="C65" s="214">
        <v>1.5</v>
      </c>
      <c r="D65" s="228" t="s">
        <v>10223</v>
      </c>
      <c r="E65" s="215" t="s">
        <v>5</v>
      </c>
      <c r="F65" s="228" t="s">
        <v>447</v>
      </c>
      <c r="G65" s="228" t="s">
        <v>3417</v>
      </c>
      <c r="H65" s="228">
        <v>1</v>
      </c>
      <c r="I65" s="228" t="s">
        <v>449</v>
      </c>
      <c r="J65" s="228" t="e">
        <f>+Coin exchange app
-seems like other apps like Coinbase or PayPal already do this
-early Startup
-No Revenue</f>
        <v>#NAME?</v>
      </c>
      <c r="K65" s="228">
        <v>2</v>
      </c>
      <c r="L65" s="228"/>
      <c r="M65" s="228" t="s">
        <v>3419</v>
      </c>
      <c r="N65" s="228" t="s">
        <v>452</v>
      </c>
      <c r="O65" s="228" t="s">
        <v>3420</v>
      </c>
      <c r="P65" s="230"/>
      <c r="Q65" s="228" t="s">
        <v>24</v>
      </c>
      <c r="R65" s="231" t="s">
        <v>3421</v>
      </c>
      <c r="S65" s="228"/>
      <c r="T65" s="228"/>
      <c r="U65" s="228"/>
      <c r="V65" s="224"/>
      <c r="W65" s="224"/>
      <c r="X65" s="224"/>
      <c r="Y65" s="224"/>
      <c r="Z65" s="224"/>
    </row>
    <row r="66" spans="1:26" ht="15.75" customHeight="1">
      <c r="A66" s="212">
        <v>44776</v>
      </c>
      <c r="B66" s="213" t="s">
        <v>8014</v>
      </c>
      <c r="C66" s="214">
        <v>1.5</v>
      </c>
      <c r="D66" s="213" t="s">
        <v>8017</v>
      </c>
      <c r="E66" s="215" t="s">
        <v>4</v>
      </c>
      <c r="F66" s="213" t="s">
        <v>602</v>
      </c>
      <c r="G66" s="213" t="s">
        <v>10628</v>
      </c>
      <c r="H66" s="213">
        <v>2</v>
      </c>
      <c r="I66" s="213" t="s">
        <v>1054</v>
      </c>
      <c r="J66" s="213" t="s">
        <v>8019</v>
      </c>
      <c r="K66" s="213">
        <v>1</v>
      </c>
      <c r="L66" s="213" t="s">
        <v>784</v>
      </c>
      <c r="M66" s="213">
        <v>500000</v>
      </c>
      <c r="N66" s="213" t="s">
        <v>452</v>
      </c>
      <c r="O66" s="213" t="s">
        <v>575</v>
      </c>
      <c r="P66" s="143"/>
      <c r="Q66" s="213" t="s">
        <v>24</v>
      </c>
      <c r="R66" s="226">
        <f t="array" ref="R66">INDEX(Notes!C:C,MATCH($B66,Notes!$A:$A,0))</f>
        <v>0</v>
      </c>
      <c r="S66" s="218"/>
      <c r="T66" s="218"/>
      <c r="U66" s="218"/>
      <c r="V66" s="219"/>
      <c r="W66" s="219"/>
      <c r="X66" s="219"/>
      <c r="Y66" s="219"/>
      <c r="Z66" s="219"/>
    </row>
    <row r="67" spans="1:26" ht="15.75" customHeight="1">
      <c r="A67" s="220">
        <v>44776</v>
      </c>
      <c r="B67" s="221" t="s">
        <v>7826</v>
      </c>
      <c r="C67" s="214">
        <v>1.5</v>
      </c>
      <c r="D67" s="221" t="s">
        <v>7829</v>
      </c>
      <c r="E67" s="215" t="s">
        <v>4</v>
      </c>
      <c r="F67" s="221" t="s">
        <v>602</v>
      </c>
      <c r="G67" s="221" t="s">
        <v>11434</v>
      </c>
      <c r="H67" s="221">
        <v>2</v>
      </c>
      <c r="I67" s="221" t="s">
        <v>1054</v>
      </c>
      <c r="J67" s="221" t="s">
        <v>7831</v>
      </c>
      <c r="K67" s="221">
        <v>1</v>
      </c>
      <c r="L67" s="221" t="s">
        <v>784</v>
      </c>
      <c r="M67" s="221">
        <v>300000</v>
      </c>
      <c r="N67" s="221" t="s">
        <v>452</v>
      </c>
      <c r="O67" s="221" t="s">
        <v>7832</v>
      </c>
      <c r="P67" s="145"/>
      <c r="Q67" s="221" t="s">
        <v>24</v>
      </c>
      <c r="R67" s="223">
        <f t="array" ref="R67">INDEX(Notes!C:C,MATCH($B67,Notes!$A:$A,0))</f>
        <v>0</v>
      </c>
      <c r="S67" s="218"/>
      <c r="T67" s="218"/>
      <c r="U67" s="218"/>
      <c r="V67" s="224"/>
      <c r="W67" s="224"/>
      <c r="X67" s="224"/>
      <c r="Y67" s="224"/>
      <c r="Z67" s="224"/>
    </row>
    <row r="68" spans="1:26" ht="15.75" customHeight="1">
      <c r="A68" s="212">
        <v>44776</v>
      </c>
      <c r="B68" s="213" t="s">
        <v>8646</v>
      </c>
      <c r="C68" s="214">
        <v>1.5</v>
      </c>
      <c r="D68" s="213" t="s">
        <v>8649</v>
      </c>
      <c r="E68" s="215" t="s">
        <v>3</v>
      </c>
      <c r="F68" s="213" t="s">
        <v>460</v>
      </c>
      <c r="G68" s="213"/>
      <c r="H68" s="213">
        <v>1</v>
      </c>
      <c r="I68" s="213" t="s">
        <v>462</v>
      </c>
      <c r="J68" s="213"/>
      <c r="K68" s="213">
        <v>2</v>
      </c>
      <c r="L68" s="213" t="s">
        <v>478</v>
      </c>
      <c r="M68" s="216">
        <v>1500000</v>
      </c>
      <c r="N68" s="213" t="s">
        <v>452</v>
      </c>
      <c r="O68" s="213" t="s">
        <v>11436</v>
      </c>
      <c r="P68" s="143"/>
      <c r="Q68" s="213" t="s">
        <v>24</v>
      </c>
      <c r="R68" s="226">
        <f t="array" ref="R68">INDEX(Notes!C:C,MATCH($B68,Notes!$A:$A,0))</f>
        <v>0</v>
      </c>
      <c r="S68" s="218"/>
      <c r="T68" s="218"/>
      <c r="U68" s="218"/>
      <c r="V68" s="219"/>
      <c r="W68" s="219"/>
      <c r="X68" s="219"/>
      <c r="Y68" s="219"/>
      <c r="Z68" s="219"/>
    </row>
    <row r="69" spans="1:26" ht="15.75" customHeight="1">
      <c r="A69" s="220">
        <v>44776</v>
      </c>
      <c r="B69" s="221" t="s">
        <v>8350</v>
      </c>
      <c r="C69" s="214">
        <v>1.5</v>
      </c>
      <c r="D69" s="221" t="s">
        <v>8353</v>
      </c>
      <c r="E69" s="215" t="s">
        <v>3</v>
      </c>
      <c r="F69" s="221" t="s">
        <v>460</v>
      </c>
      <c r="G69" s="221"/>
      <c r="H69" s="221">
        <v>1</v>
      </c>
      <c r="I69" s="221" t="s">
        <v>462</v>
      </c>
      <c r="J69" s="221" t="s">
        <v>8354</v>
      </c>
      <c r="K69" s="221">
        <v>2</v>
      </c>
      <c r="L69" s="221" t="s">
        <v>451</v>
      </c>
      <c r="M69" s="247">
        <v>750000</v>
      </c>
      <c r="N69" s="221" t="s">
        <v>452</v>
      </c>
      <c r="O69" s="221" t="s">
        <v>8355</v>
      </c>
      <c r="P69" s="145"/>
      <c r="Q69" s="221" t="s">
        <v>24</v>
      </c>
      <c r="R69" s="223">
        <f t="array" ref="R69">INDEX(Notes!C:C,MATCH($B69,Notes!$A:$A,0))</f>
        <v>0</v>
      </c>
      <c r="S69" s="218"/>
      <c r="T69" s="218"/>
      <c r="U69" s="218"/>
      <c r="V69" s="224"/>
      <c r="W69" s="224"/>
      <c r="X69" s="224"/>
      <c r="Y69" s="224"/>
      <c r="Z69" s="224"/>
    </row>
    <row r="70" spans="1:26" ht="15.75" customHeight="1">
      <c r="A70" s="212">
        <v>44776</v>
      </c>
      <c r="B70" s="213" t="s">
        <v>2913</v>
      </c>
      <c r="C70" s="214">
        <v>1.5</v>
      </c>
      <c r="D70" s="213" t="s">
        <v>2916</v>
      </c>
      <c r="E70" s="215" t="s">
        <v>5</v>
      </c>
      <c r="F70" s="213" t="s">
        <v>447</v>
      </c>
      <c r="G70" s="213" t="s">
        <v>2917</v>
      </c>
      <c r="H70" s="213">
        <v>1</v>
      </c>
      <c r="I70" s="213" t="s">
        <v>476</v>
      </c>
      <c r="J70" s="213" t="s">
        <v>13400</v>
      </c>
      <c r="K70" s="213">
        <v>2</v>
      </c>
      <c r="L70" s="213"/>
      <c r="M70" s="213"/>
      <c r="N70" s="213" t="s">
        <v>452</v>
      </c>
      <c r="O70" s="213" t="s">
        <v>2919</v>
      </c>
      <c r="P70" s="143"/>
      <c r="Q70" s="213" t="s">
        <v>24</v>
      </c>
      <c r="R70" s="226">
        <f t="array" ref="R70">INDEX(Notes!C:C,MATCH($B70,Notes!$A:$A,0))</f>
        <v>0</v>
      </c>
      <c r="S70" s="218"/>
      <c r="T70" s="218"/>
      <c r="U70" s="218"/>
      <c r="V70" s="219"/>
      <c r="W70" s="219"/>
      <c r="X70" s="219"/>
      <c r="Y70" s="219"/>
      <c r="Z70" s="219"/>
    </row>
    <row r="71" spans="1:26" ht="15.75" customHeight="1">
      <c r="A71" s="227">
        <v>44776</v>
      </c>
      <c r="B71" s="228" t="s">
        <v>2982</v>
      </c>
      <c r="C71" s="214">
        <v>1.25</v>
      </c>
      <c r="D71" s="228" t="s">
        <v>2985</v>
      </c>
      <c r="E71" s="215" t="s">
        <v>5</v>
      </c>
      <c r="F71" s="228" t="s">
        <v>447</v>
      </c>
      <c r="G71" s="228" t="s">
        <v>2986</v>
      </c>
      <c r="H71" s="228">
        <v>2.5</v>
      </c>
      <c r="I71" s="228" t="s">
        <v>622</v>
      </c>
      <c r="J71" s="228" t="s">
        <v>2987</v>
      </c>
      <c r="K71" s="228">
        <v>0</v>
      </c>
      <c r="L71" s="228"/>
      <c r="M71" s="228"/>
      <c r="N71" s="228" t="s">
        <v>454</v>
      </c>
      <c r="O71" s="228" t="s">
        <v>452</v>
      </c>
      <c r="P71" s="230"/>
      <c r="Q71" s="228" t="s">
        <v>24</v>
      </c>
      <c r="R71" s="231">
        <f t="array" ref="R71">INDEX(Notes!C:C,MATCH($B71,Notes!$A:$A,0))</f>
        <v>0</v>
      </c>
      <c r="S71" s="228"/>
      <c r="T71" s="228"/>
      <c r="U71" s="228"/>
      <c r="V71" s="224"/>
      <c r="W71" s="224"/>
      <c r="X71" s="224"/>
      <c r="Y71" s="224"/>
      <c r="Z71" s="224"/>
    </row>
    <row r="72" spans="1:26" ht="15.75" customHeight="1">
      <c r="A72" s="212">
        <v>44776</v>
      </c>
      <c r="B72" s="213" t="s">
        <v>9195</v>
      </c>
      <c r="C72" s="214">
        <v>1</v>
      </c>
      <c r="D72" s="213" t="s">
        <v>10183</v>
      </c>
      <c r="E72" s="215" t="s">
        <v>3</v>
      </c>
      <c r="F72" s="213" t="s">
        <v>460</v>
      </c>
      <c r="G72" s="213"/>
      <c r="H72" s="213">
        <v>1</v>
      </c>
      <c r="I72" s="213" t="s">
        <v>462</v>
      </c>
      <c r="J72" s="213"/>
      <c r="K72" s="213">
        <v>1</v>
      </c>
      <c r="L72" s="213" t="s">
        <v>451</v>
      </c>
      <c r="M72" s="225">
        <v>150000</v>
      </c>
      <c r="N72" s="213" t="s">
        <v>452</v>
      </c>
      <c r="O72" s="213" t="s">
        <v>452</v>
      </c>
      <c r="P72" s="143"/>
      <c r="Q72" s="213" t="s">
        <v>24</v>
      </c>
      <c r="R72" s="226">
        <f t="array" ref="R72">INDEX(Notes!C:C,MATCH($B72,Notes!$A:$A,0))</f>
        <v>0</v>
      </c>
      <c r="S72" s="218"/>
      <c r="T72" s="218"/>
      <c r="U72" s="218"/>
      <c r="V72" s="219"/>
      <c r="W72" s="219"/>
      <c r="X72" s="219"/>
      <c r="Y72" s="219"/>
      <c r="Z72" s="219"/>
    </row>
    <row r="73" spans="1:26" ht="15.75" customHeight="1">
      <c r="A73" s="220">
        <v>44776</v>
      </c>
      <c r="B73" s="221" t="s">
        <v>3631</v>
      </c>
      <c r="C73" s="214">
        <v>1</v>
      </c>
      <c r="D73" s="221" t="s">
        <v>3634</v>
      </c>
      <c r="E73" s="215" t="s">
        <v>5</v>
      </c>
      <c r="F73" s="221" t="s">
        <v>447</v>
      </c>
      <c r="G73" s="221" t="s">
        <v>3635</v>
      </c>
      <c r="H73" s="221">
        <v>1</v>
      </c>
      <c r="I73" s="221" t="s">
        <v>476</v>
      </c>
      <c r="J73" s="221" t="s">
        <v>10227</v>
      </c>
      <c r="K73" s="221">
        <v>1</v>
      </c>
      <c r="L73" s="221"/>
      <c r="M73" s="221"/>
      <c r="N73" s="221" t="s">
        <v>454</v>
      </c>
      <c r="O73" s="221" t="s">
        <v>3637</v>
      </c>
      <c r="P73" s="145"/>
      <c r="Q73" s="221" t="s">
        <v>24</v>
      </c>
      <c r="R73" s="223">
        <f t="array" ref="R73">INDEX(Notes!C:C,MATCH($B73,Notes!$A:$A,0))</f>
        <v>0</v>
      </c>
      <c r="S73" s="218"/>
      <c r="T73" s="218"/>
      <c r="U73" s="218"/>
      <c r="V73" s="224"/>
      <c r="W73" s="224"/>
      <c r="X73" s="224"/>
      <c r="Y73" s="224"/>
      <c r="Z73" s="224"/>
    </row>
    <row r="74" spans="1:26" ht="15.75" customHeight="1">
      <c r="A74" s="212">
        <v>44776</v>
      </c>
      <c r="B74" s="213" t="s">
        <v>8756</v>
      </c>
      <c r="C74" s="214">
        <v>1</v>
      </c>
      <c r="D74" s="213" t="s">
        <v>8759</v>
      </c>
      <c r="E74" s="215" t="s">
        <v>3</v>
      </c>
      <c r="F74" s="213" t="s">
        <v>460</v>
      </c>
      <c r="G74" s="213" t="s">
        <v>8760</v>
      </c>
      <c r="H74" s="213">
        <v>1</v>
      </c>
      <c r="I74" s="213" t="s">
        <v>941</v>
      </c>
      <c r="J74" s="213" t="s">
        <v>8761</v>
      </c>
      <c r="K74" s="213">
        <v>1</v>
      </c>
      <c r="L74" s="213"/>
      <c r="M74" s="213"/>
      <c r="N74" s="213" t="s">
        <v>452</v>
      </c>
      <c r="O74" s="213" t="s">
        <v>10308</v>
      </c>
      <c r="P74" s="143"/>
      <c r="Q74" s="213" t="s">
        <v>24</v>
      </c>
      <c r="R74" s="226">
        <f t="array" ref="R74">INDEX(Notes!C:C,MATCH($B74,Notes!$A:$A,0))</f>
        <v>0</v>
      </c>
      <c r="S74" s="218"/>
      <c r="T74" s="218"/>
      <c r="U74" s="218"/>
      <c r="V74" s="219"/>
      <c r="W74" s="219"/>
      <c r="X74" s="219"/>
      <c r="Y74" s="219"/>
      <c r="Z74" s="219"/>
    </row>
    <row r="75" spans="1:26" ht="15.75" customHeight="1">
      <c r="A75" s="220">
        <v>44776</v>
      </c>
      <c r="B75" s="221" t="s">
        <v>11409</v>
      </c>
      <c r="C75" s="214">
        <v>1</v>
      </c>
      <c r="D75" s="221" t="s">
        <v>11410</v>
      </c>
      <c r="E75" s="215" t="s">
        <v>3</v>
      </c>
      <c r="F75" s="221" t="s">
        <v>460</v>
      </c>
      <c r="G75" s="221"/>
      <c r="H75" s="221">
        <v>1</v>
      </c>
      <c r="I75" s="221" t="s">
        <v>462</v>
      </c>
      <c r="J75" s="221" t="s">
        <v>8900</v>
      </c>
      <c r="K75" s="221">
        <v>1</v>
      </c>
      <c r="L75" s="221" t="s">
        <v>451</v>
      </c>
      <c r="M75" s="247">
        <v>3250000</v>
      </c>
      <c r="N75" s="221" t="s">
        <v>465</v>
      </c>
      <c r="O75" s="221" t="s">
        <v>452</v>
      </c>
      <c r="P75" s="145"/>
      <c r="Q75" s="221" t="s">
        <v>24</v>
      </c>
      <c r="R75" s="223">
        <f t="array" ref="R75">INDEX(Notes!C:C,MATCH($B75,Notes!$A:$A,0))</f>
        <v>0</v>
      </c>
      <c r="S75" s="218"/>
      <c r="T75" s="218"/>
      <c r="U75" s="218"/>
      <c r="V75" s="224"/>
      <c r="W75" s="224"/>
      <c r="X75" s="224"/>
      <c r="Y75" s="224"/>
      <c r="Z75" s="224"/>
    </row>
    <row r="76" spans="1:26" ht="15.75" customHeight="1">
      <c r="A76" s="248">
        <v>44782</v>
      </c>
      <c r="B76" s="219" t="s">
        <v>285</v>
      </c>
      <c r="C76" s="249">
        <v>5</v>
      </c>
      <c r="D76" s="219" t="s">
        <v>1626</v>
      </c>
      <c r="E76" s="250" t="s">
        <v>3</v>
      </c>
      <c r="F76" s="219" t="s">
        <v>460</v>
      </c>
      <c r="G76" s="219" t="s">
        <v>10208</v>
      </c>
      <c r="H76" s="219">
        <v>5</v>
      </c>
      <c r="I76" s="219" t="s">
        <v>488</v>
      </c>
      <c r="J76" s="219"/>
      <c r="K76" s="219">
        <v>5</v>
      </c>
      <c r="L76" s="219"/>
      <c r="M76" s="219">
        <v>15000000</v>
      </c>
      <c r="N76" s="219" t="s">
        <v>452</v>
      </c>
      <c r="O76" s="219" t="s">
        <v>575</v>
      </c>
      <c r="P76" s="219"/>
      <c r="Q76" s="213" t="s">
        <v>18</v>
      </c>
      <c r="R76" s="251"/>
      <c r="S76" s="252"/>
      <c r="T76" s="252"/>
      <c r="U76" s="252"/>
      <c r="V76" s="219"/>
      <c r="W76" s="219"/>
      <c r="X76" s="219"/>
      <c r="Y76" s="219"/>
      <c r="Z76" s="219"/>
    </row>
    <row r="77" spans="1:26" ht="15.75" customHeight="1">
      <c r="A77" s="253">
        <v>44782</v>
      </c>
      <c r="B77" s="224" t="s">
        <v>327</v>
      </c>
      <c r="C77" s="249">
        <v>5</v>
      </c>
      <c r="D77" s="224" t="s">
        <v>1825</v>
      </c>
      <c r="E77" s="250" t="s">
        <v>3</v>
      </c>
      <c r="F77" s="224" t="s">
        <v>460</v>
      </c>
      <c r="G77" s="224" t="s">
        <v>1826</v>
      </c>
      <c r="H77" s="224">
        <v>5</v>
      </c>
      <c r="I77" s="224" t="s">
        <v>941</v>
      </c>
      <c r="J77" s="224"/>
      <c r="K77" s="224">
        <v>5</v>
      </c>
      <c r="L77" s="224" t="s">
        <v>478</v>
      </c>
      <c r="M77" s="224">
        <v>20000000</v>
      </c>
      <c r="N77" s="224" t="s">
        <v>465</v>
      </c>
      <c r="O77" s="224" t="s">
        <v>1827</v>
      </c>
      <c r="P77" s="224"/>
      <c r="Q77" s="224" t="s">
        <v>18</v>
      </c>
      <c r="R77" s="254"/>
      <c r="S77" s="252"/>
      <c r="T77" s="252"/>
      <c r="U77" s="252"/>
      <c r="V77" s="224"/>
      <c r="W77" s="224"/>
      <c r="X77" s="224"/>
      <c r="Y77" s="224"/>
      <c r="Z77" s="224"/>
    </row>
    <row r="78" spans="1:26" ht="15.75" customHeight="1">
      <c r="A78" s="255">
        <v>44782</v>
      </c>
      <c r="B78" s="239" t="s">
        <v>92</v>
      </c>
      <c r="C78" s="249">
        <v>5</v>
      </c>
      <c r="D78" s="239" t="s">
        <v>655</v>
      </c>
      <c r="E78" s="250" t="s">
        <v>5</v>
      </c>
      <c r="F78" s="239" t="s">
        <v>460</v>
      </c>
      <c r="G78" s="239" t="s">
        <v>656</v>
      </c>
      <c r="H78" s="239">
        <v>5</v>
      </c>
      <c r="I78" s="239" t="s">
        <v>462</v>
      </c>
      <c r="J78" s="239"/>
      <c r="K78" s="239">
        <v>5</v>
      </c>
      <c r="L78" s="239" t="s">
        <v>451</v>
      </c>
      <c r="M78" s="239">
        <v>3000000</v>
      </c>
      <c r="N78" s="239" t="s">
        <v>452</v>
      </c>
      <c r="O78" s="239" t="s">
        <v>10395</v>
      </c>
      <c r="P78" s="239"/>
      <c r="Q78" s="239" t="s">
        <v>18</v>
      </c>
      <c r="R78" s="256" t="s">
        <v>658</v>
      </c>
      <c r="S78" s="239"/>
      <c r="T78" s="239"/>
      <c r="U78" s="239"/>
      <c r="V78" s="239"/>
      <c r="W78" s="239"/>
      <c r="X78" s="239"/>
      <c r="Y78" s="239"/>
      <c r="Z78" s="239"/>
    </row>
    <row r="79" spans="1:26" ht="15.75" customHeight="1">
      <c r="A79" s="253">
        <v>44782</v>
      </c>
      <c r="B79" s="224" t="s">
        <v>298</v>
      </c>
      <c r="C79" s="249">
        <v>5</v>
      </c>
      <c r="D79" s="224" t="s">
        <v>1670</v>
      </c>
      <c r="E79" s="250" t="s">
        <v>3</v>
      </c>
      <c r="F79" s="224" t="s">
        <v>460</v>
      </c>
      <c r="G79" s="224" t="s">
        <v>10453</v>
      </c>
      <c r="H79" s="224">
        <v>5</v>
      </c>
      <c r="I79" s="224" t="s">
        <v>462</v>
      </c>
      <c r="J79" s="224"/>
      <c r="K79" s="224">
        <v>5</v>
      </c>
      <c r="L79" s="224" t="s">
        <v>451</v>
      </c>
      <c r="M79" s="224">
        <v>2000000</v>
      </c>
      <c r="N79" s="224" t="s">
        <v>452</v>
      </c>
      <c r="O79" s="224" t="s">
        <v>452</v>
      </c>
      <c r="P79" s="224"/>
      <c r="Q79" s="224" t="s">
        <v>18</v>
      </c>
      <c r="R79" s="254"/>
      <c r="S79" s="252"/>
      <c r="T79" s="252"/>
      <c r="U79" s="252"/>
      <c r="V79" s="224"/>
      <c r="W79" s="224"/>
      <c r="X79" s="224"/>
      <c r="Y79" s="224"/>
      <c r="Z79" s="224"/>
    </row>
    <row r="80" spans="1:26" ht="15.75" customHeight="1">
      <c r="A80" s="248">
        <v>44782</v>
      </c>
      <c r="B80" s="219" t="s">
        <v>311</v>
      </c>
      <c r="C80" s="249">
        <v>5</v>
      </c>
      <c r="D80" s="219" t="s">
        <v>1709</v>
      </c>
      <c r="E80" s="250" t="s">
        <v>3</v>
      </c>
      <c r="F80" s="219" t="s">
        <v>460</v>
      </c>
      <c r="G80" s="219" t="s">
        <v>1710</v>
      </c>
      <c r="H80" s="219">
        <v>5</v>
      </c>
      <c r="I80" s="219" t="s">
        <v>488</v>
      </c>
      <c r="J80" s="219" t="s">
        <v>11413</v>
      </c>
      <c r="K80" s="219">
        <v>5</v>
      </c>
      <c r="L80" s="219" t="s">
        <v>478</v>
      </c>
      <c r="M80" s="219">
        <v>30000000</v>
      </c>
      <c r="N80" s="219" t="s">
        <v>465</v>
      </c>
      <c r="O80" s="219" t="s">
        <v>452</v>
      </c>
      <c r="P80" s="219" t="s">
        <v>1713</v>
      </c>
      <c r="Q80" s="219" t="s">
        <v>18</v>
      </c>
      <c r="R80" s="251"/>
      <c r="S80" s="252"/>
      <c r="T80" s="252"/>
      <c r="U80" s="252"/>
      <c r="V80" s="219"/>
      <c r="W80" s="219"/>
      <c r="X80" s="219"/>
      <c r="Y80" s="219"/>
      <c r="Z80" s="219"/>
    </row>
    <row r="81" spans="1:26" ht="15.75" customHeight="1">
      <c r="A81" s="253">
        <v>44782</v>
      </c>
      <c r="B81" s="224" t="s">
        <v>313</v>
      </c>
      <c r="C81" s="249">
        <v>4.75</v>
      </c>
      <c r="D81" s="224" t="s">
        <v>1718</v>
      </c>
      <c r="E81" s="250" t="s">
        <v>3</v>
      </c>
      <c r="F81" s="224" t="s">
        <v>460</v>
      </c>
      <c r="G81" s="224" t="s">
        <v>1719</v>
      </c>
      <c r="H81" s="224">
        <v>5</v>
      </c>
      <c r="I81" s="224" t="s">
        <v>462</v>
      </c>
      <c r="J81" s="224" t="s">
        <v>1720</v>
      </c>
      <c r="K81" s="224">
        <v>4.5</v>
      </c>
      <c r="L81" s="224" t="s">
        <v>478</v>
      </c>
      <c r="M81" s="224">
        <v>6000000</v>
      </c>
      <c r="N81" s="224" t="s">
        <v>452</v>
      </c>
      <c r="O81" s="224" t="s">
        <v>1721</v>
      </c>
      <c r="P81" s="224"/>
      <c r="Q81" s="221" t="s">
        <v>18</v>
      </c>
      <c r="R81" s="254"/>
      <c r="S81" s="252"/>
      <c r="T81" s="252"/>
      <c r="U81" s="252"/>
      <c r="V81" s="224"/>
      <c r="W81" s="224"/>
      <c r="X81" s="224"/>
      <c r="Y81" s="224"/>
      <c r="Z81" s="224"/>
    </row>
    <row r="82" spans="1:26" ht="15.75" customHeight="1">
      <c r="A82" s="248">
        <v>44782</v>
      </c>
      <c r="B82" s="219" t="s">
        <v>98</v>
      </c>
      <c r="C82" s="249">
        <v>4.75</v>
      </c>
      <c r="D82" s="219" t="s">
        <v>11522</v>
      </c>
      <c r="E82" s="250" t="s">
        <v>5</v>
      </c>
      <c r="F82" s="219" t="s">
        <v>447</v>
      </c>
      <c r="G82" s="219" t="s">
        <v>717</v>
      </c>
      <c r="H82" s="219">
        <v>4.5</v>
      </c>
      <c r="I82" s="219" t="s">
        <v>449</v>
      </c>
      <c r="J82" s="219" t="s">
        <v>13400</v>
      </c>
      <c r="K82" s="219">
        <v>5</v>
      </c>
      <c r="L82" s="219" t="s">
        <v>451</v>
      </c>
      <c r="M82" s="219">
        <v>6000000</v>
      </c>
      <c r="N82" s="219" t="s">
        <v>454</v>
      </c>
      <c r="O82" s="219" t="s">
        <v>452</v>
      </c>
      <c r="P82" s="219"/>
      <c r="Q82" s="219" t="s">
        <v>18</v>
      </c>
      <c r="R82" s="251" t="s">
        <v>11523</v>
      </c>
      <c r="S82" s="252"/>
      <c r="T82" s="252"/>
      <c r="U82" s="252"/>
      <c r="V82" s="219"/>
      <c r="W82" s="219"/>
      <c r="X82" s="219"/>
      <c r="Y82" s="219"/>
      <c r="Z82" s="219"/>
    </row>
    <row r="83" spans="1:26" ht="15.75" customHeight="1">
      <c r="A83" s="253">
        <v>44782</v>
      </c>
      <c r="B83" s="224" t="s">
        <v>149</v>
      </c>
      <c r="C83" s="249">
        <v>4.5</v>
      </c>
      <c r="D83" s="224" t="s">
        <v>1006</v>
      </c>
      <c r="E83" s="250" t="s">
        <v>4</v>
      </c>
      <c r="F83" s="224" t="s">
        <v>602</v>
      </c>
      <c r="G83" s="224" t="s">
        <v>10233</v>
      </c>
      <c r="H83" s="224">
        <v>4.5</v>
      </c>
      <c r="I83" s="224" t="s">
        <v>727</v>
      </c>
      <c r="J83" s="224" t="s">
        <v>10234</v>
      </c>
      <c r="K83" s="224">
        <v>4.5</v>
      </c>
      <c r="L83" s="224"/>
      <c r="M83" s="224"/>
      <c r="N83" s="224" t="s">
        <v>452</v>
      </c>
      <c r="O83" s="224" t="s">
        <v>10235</v>
      </c>
      <c r="P83" s="224"/>
      <c r="Q83" s="221" t="s">
        <v>18</v>
      </c>
      <c r="R83" s="254" t="s">
        <v>1010</v>
      </c>
      <c r="S83" s="252"/>
      <c r="T83" s="252"/>
      <c r="U83" s="252"/>
      <c r="V83" s="224"/>
      <c r="W83" s="224"/>
      <c r="X83" s="224"/>
      <c r="Y83" s="224"/>
      <c r="Z83" s="224"/>
    </row>
    <row r="84" spans="1:26" ht="15.75" customHeight="1">
      <c r="A84" s="248">
        <v>44782</v>
      </c>
      <c r="B84" s="219" t="s">
        <v>316</v>
      </c>
      <c r="C84" s="249">
        <v>4.5</v>
      </c>
      <c r="D84" s="219" t="s">
        <v>1744</v>
      </c>
      <c r="E84" s="250" t="s">
        <v>3</v>
      </c>
      <c r="F84" s="219" t="s">
        <v>460</v>
      </c>
      <c r="G84" s="219" t="s">
        <v>11524</v>
      </c>
      <c r="H84" s="219">
        <v>4.5</v>
      </c>
      <c r="I84" s="219" t="s">
        <v>462</v>
      </c>
      <c r="J84" s="219" t="s">
        <v>1746</v>
      </c>
      <c r="K84" s="219">
        <v>4.5</v>
      </c>
      <c r="L84" s="219" t="s">
        <v>478</v>
      </c>
      <c r="M84" s="219">
        <v>20000000</v>
      </c>
      <c r="N84" s="219" t="s">
        <v>454</v>
      </c>
      <c r="O84" s="219" t="s">
        <v>1747</v>
      </c>
      <c r="P84" s="219"/>
      <c r="Q84" s="219" t="s">
        <v>18</v>
      </c>
      <c r="R84" s="251"/>
      <c r="S84" s="252"/>
      <c r="T84" s="252"/>
      <c r="U84" s="252"/>
      <c r="V84" s="219"/>
      <c r="W84" s="219"/>
      <c r="X84" s="219"/>
      <c r="Y84" s="219"/>
      <c r="Z84" s="219"/>
    </row>
    <row r="85" spans="1:26" ht="15.75" customHeight="1">
      <c r="A85" s="253">
        <v>44782</v>
      </c>
      <c r="B85" s="224" t="s">
        <v>333</v>
      </c>
      <c r="C85" s="249">
        <v>4.5</v>
      </c>
      <c r="D85" s="224" t="s">
        <v>1867</v>
      </c>
      <c r="E85" s="250" t="s">
        <v>3</v>
      </c>
      <c r="F85" s="224" t="s">
        <v>460</v>
      </c>
      <c r="G85" s="224" t="s">
        <v>1868</v>
      </c>
      <c r="H85" s="224">
        <v>4.5</v>
      </c>
      <c r="I85" s="224" t="s">
        <v>462</v>
      </c>
      <c r="J85" s="224" t="s">
        <v>1869</v>
      </c>
      <c r="K85" s="224">
        <v>4.5</v>
      </c>
      <c r="L85" s="224"/>
      <c r="M85" s="224"/>
      <c r="N85" s="224" t="s">
        <v>452</v>
      </c>
      <c r="O85" s="224" t="s">
        <v>452</v>
      </c>
      <c r="P85" s="224"/>
      <c r="Q85" s="224" t="s">
        <v>18</v>
      </c>
      <c r="R85" s="254"/>
      <c r="S85" s="252"/>
      <c r="T85" s="252"/>
      <c r="U85" s="252"/>
      <c r="V85" s="224"/>
      <c r="W85" s="224"/>
      <c r="X85" s="224"/>
      <c r="Y85" s="224"/>
      <c r="Z85" s="224"/>
    </row>
    <row r="86" spans="1:26" ht="15.75" customHeight="1">
      <c r="A86" s="257">
        <v>44782</v>
      </c>
      <c r="B86" s="258" t="s">
        <v>416</v>
      </c>
      <c r="C86" s="249">
        <v>4.5</v>
      </c>
      <c r="D86" s="258" t="s">
        <v>1219</v>
      </c>
      <c r="E86" s="250" t="s">
        <v>4</v>
      </c>
      <c r="F86" s="258" t="s">
        <v>447</v>
      </c>
      <c r="G86" s="258" t="s">
        <v>11525</v>
      </c>
      <c r="H86" s="258">
        <v>4</v>
      </c>
      <c r="I86" s="258" t="s">
        <v>449</v>
      </c>
      <c r="J86" s="258" t="s">
        <v>13400</v>
      </c>
      <c r="K86" s="258">
        <v>5</v>
      </c>
      <c r="L86" s="258" t="s">
        <v>478</v>
      </c>
      <c r="M86" s="258">
        <v>15000000</v>
      </c>
      <c r="N86" s="258" t="s">
        <v>454</v>
      </c>
      <c r="O86" s="258" t="s">
        <v>1221</v>
      </c>
      <c r="P86" s="258"/>
      <c r="Q86" s="258" t="s">
        <v>18</v>
      </c>
      <c r="R86" s="259" t="s">
        <v>1222</v>
      </c>
      <c r="S86" s="258"/>
      <c r="T86" s="258"/>
      <c r="U86" s="258"/>
      <c r="V86" s="258"/>
      <c r="W86" s="258"/>
      <c r="X86" s="258"/>
      <c r="Y86" s="258"/>
      <c r="Z86" s="258"/>
    </row>
    <row r="87" spans="1:26" ht="15.75" customHeight="1">
      <c r="A87" s="253">
        <v>44782</v>
      </c>
      <c r="B87" s="224" t="s">
        <v>125</v>
      </c>
      <c r="C87" s="249">
        <v>4.25</v>
      </c>
      <c r="D87" s="224" t="s">
        <v>892</v>
      </c>
      <c r="E87" s="250" t="s">
        <v>5</v>
      </c>
      <c r="F87" s="224" t="s">
        <v>447</v>
      </c>
      <c r="G87" s="224" t="s">
        <v>10251</v>
      </c>
      <c r="H87" s="224">
        <v>4</v>
      </c>
      <c r="I87" s="224" t="s">
        <v>543</v>
      </c>
      <c r="J87" s="224" t="s">
        <v>894</v>
      </c>
      <c r="K87" s="224">
        <v>4.5</v>
      </c>
      <c r="L87" s="224" t="s">
        <v>478</v>
      </c>
      <c r="M87" s="224">
        <v>3000000</v>
      </c>
      <c r="N87" s="224" t="s">
        <v>452</v>
      </c>
      <c r="O87" s="224" t="s">
        <v>895</v>
      </c>
      <c r="P87" s="224"/>
      <c r="Q87" s="221" t="s">
        <v>18</v>
      </c>
      <c r="R87" s="254" t="s">
        <v>896</v>
      </c>
      <c r="S87" s="252"/>
      <c r="T87" s="252"/>
      <c r="U87" s="252"/>
      <c r="V87" s="224"/>
      <c r="W87" s="224"/>
      <c r="X87" s="224"/>
      <c r="Y87" s="224"/>
      <c r="Z87" s="224"/>
    </row>
    <row r="88" spans="1:26" ht="15.75" customHeight="1">
      <c r="A88" s="248">
        <v>44782</v>
      </c>
      <c r="B88" s="219" t="s">
        <v>291</v>
      </c>
      <c r="C88" s="249">
        <v>4.25</v>
      </c>
      <c r="D88" s="219" t="s">
        <v>10303</v>
      </c>
      <c r="E88" s="250" t="s">
        <v>3</v>
      </c>
      <c r="F88" s="219" t="s">
        <v>460</v>
      </c>
      <c r="G88" s="219" t="s">
        <v>1648</v>
      </c>
      <c r="H88" s="219">
        <v>4.5</v>
      </c>
      <c r="I88" s="219" t="s">
        <v>941</v>
      </c>
      <c r="J88" s="219"/>
      <c r="K88" s="219">
        <v>4</v>
      </c>
      <c r="L88" s="219"/>
      <c r="M88" s="219"/>
      <c r="N88" s="219" t="s">
        <v>452</v>
      </c>
      <c r="O88" s="219" t="s">
        <v>1119</v>
      </c>
      <c r="P88" s="219" t="s">
        <v>1649</v>
      </c>
      <c r="Q88" s="219" t="s">
        <v>18</v>
      </c>
      <c r="R88" s="251"/>
      <c r="S88" s="252"/>
      <c r="T88" s="252"/>
      <c r="U88" s="252"/>
      <c r="V88" s="219"/>
      <c r="W88" s="219"/>
      <c r="X88" s="219"/>
      <c r="Y88" s="219"/>
      <c r="Z88" s="219"/>
    </row>
    <row r="89" spans="1:26" ht="15.75" customHeight="1">
      <c r="A89" s="253">
        <v>44782</v>
      </c>
      <c r="B89" s="224" t="s">
        <v>65</v>
      </c>
      <c r="C89" s="249">
        <v>4.25</v>
      </c>
      <c r="D89" s="224" t="s">
        <v>474</v>
      </c>
      <c r="E89" s="250" t="s">
        <v>5</v>
      </c>
      <c r="F89" s="224" t="s">
        <v>447</v>
      </c>
      <c r="G89" s="224" t="s">
        <v>10420</v>
      </c>
      <c r="H89" s="224">
        <v>4.5</v>
      </c>
      <c r="I89" s="224" t="s">
        <v>476</v>
      </c>
      <c r="J89" s="224" t="s">
        <v>13400</v>
      </c>
      <c r="K89" s="224">
        <v>4</v>
      </c>
      <c r="L89" s="224" t="s">
        <v>478</v>
      </c>
      <c r="M89" s="224" t="s">
        <v>479</v>
      </c>
      <c r="N89" s="224" t="s">
        <v>452</v>
      </c>
      <c r="O89" s="224" t="s">
        <v>480</v>
      </c>
      <c r="P89" s="224"/>
      <c r="Q89" s="224" t="s">
        <v>18</v>
      </c>
      <c r="R89" s="254"/>
      <c r="S89" s="252"/>
      <c r="T89" s="252"/>
      <c r="U89" s="252"/>
      <c r="V89" s="224"/>
      <c r="W89" s="224"/>
      <c r="X89" s="224"/>
      <c r="Y89" s="224"/>
      <c r="Z89" s="224"/>
    </row>
    <row r="90" spans="1:26" ht="15.75" customHeight="1">
      <c r="A90" s="248">
        <v>44782</v>
      </c>
      <c r="B90" s="219" t="s">
        <v>414</v>
      </c>
      <c r="C90" s="249">
        <v>4.25</v>
      </c>
      <c r="D90" s="219" t="s">
        <v>10440</v>
      </c>
      <c r="E90" s="250" t="s">
        <v>3</v>
      </c>
      <c r="F90" s="219" t="s">
        <v>460</v>
      </c>
      <c r="G90" s="219" t="s">
        <v>10441</v>
      </c>
      <c r="H90" s="219">
        <v>4.5</v>
      </c>
      <c r="I90" s="219" t="s">
        <v>941</v>
      </c>
      <c r="J90" s="219"/>
      <c r="K90" s="219">
        <v>4</v>
      </c>
      <c r="L90" s="219" t="s">
        <v>478</v>
      </c>
      <c r="M90" s="219">
        <v>10000000</v>
      </c>
      <c r="N90" s="219" t="s">
        <v>452</v>
      </c>
      <c r="O90" s="219" t="s">
        <v>452</v>
      </c>
      <c r="P90" s="219"/>
      <c r="Q90" s="219" t="s">
        <v>18</v>
      </c>
      <c r="R90" s="251"/>
      <c r="S90" s="252"/>
      <c r="T90" s="252"/>
      <c r="U90" s="252"/>
      <c r="V90" s="219"/>
      <c r="W90" s="219"/>
      <c r="X90" s="219"/>
      <c r="Y90" s="219"/>
      <c r="Z90" s="219"/>
    </row>
    <row r="91" spans="1:26" ht="15.75" customHeight="1">
      <c r="A91" s="253">
        <v>44782</v>
      </c>
      <c r="B91" s="224" t="s">
        <v>119</v>
      </c>
      <c r="C91" s="249">
        <v>4.25</v>
      </c>
      <c r="D91" s="224" t="s">
        <v>855</v>
      </c>
      <c r="E91" s="250" t="s">
        <v>5</v>
      </c>
      <c r="F91" s="224" t="s">
        <v>447</v>
      </c>
      <c r="G91" s="224" t="s">
        <v>10635</v>
      </c>
      <c r="H91" s="224">
        <v>4.5</v>
      </c>
      <c r="I91" s="224" t="s">
        <v>543</v>
      </c>
      <c r="J91" s="224" t="s">
        <v>13400</v>
      </c>
      <c r="K91" s="224">
        <v>4</v>
      </c>
      <c r="L91" s="224" t="s">
        <v>451</v>
      </c>
      <c r="M91" s="224">
        <v>2000000</v>
      </c>
      <c r="N91" s="224" t="s">
        <v>452</v>
      </c>
      <c r="O91" s="224" t="s">
        <v>858</v>
      </c>
      <c r="P91" s="224" t="s">
        <v>859</v>
      </c>
      <c r="Q91" s="224" t="s">
        <v>18</v>
      </c>
      <c r="R91" s="254"/>
      <c r="S91" s="252"/>
      <c r="T91" s="252"/>
      <c r="U91" s="252"/>
      <c r="V91" s="224"/>
      <c r="W91" s="224"/>
      <c r="X91" s="224"/>
      <c r="Y91" s="224"/>
      <c r="Z91" s="224"/>
    </row>
    <row r="92" spans="1:26" ht="15.75" customHeight="1">
      <c r="A92" s="248">
        <v>44782</v>
      </c>
      <c r="B92" s="219" t="s">
        <v>349</v>
      </c>
      <c r="C92" s="249">
        <v>4.25</v>
      </c>
      <c r="D92" s="219" t="s">
        <v>2008</v>
      </c>
      <c r="E92" s="250" t="s">
        <v>3</v>
      </c>
      <c r="F92" s="219" t="s">
        <v>460</v>
      </c>
      <c r="G92" s="219" t="s">
        <v>2009</v>
      </c>
      <c r="H92" s="219">
        <v>4.5</v>
      </c>
      <c r="I92" s="219" t="s">
        <v>941</v>
      </c>
      <c r="J92" s="219"/>
      <c r="K92" s="219">
        <v>4</v>
      </c>
      <c r="L92" s="219" t="s">
        <v>451</v>
      </c>
      <c r="M92" s="219" t="s">
        <v>2010</v>
      </c>
      <c r="N92" s="219" t="s">
        <v>452</v>
      </c>
      <c r="O92" s="219" t="s">
        <v>452</v>
      </c>
      <c r="P92" s="219"/>
      <c r="Q92" s="219" t="s">
        <v>18</v>
      </c>
      <c r="R92" s="251"/>
      <c r="S92" s="252"/>
      <c r="T92" s="252"/>
      <c r="U92" s="252"/>
      <c r="V92" s="219"/>
      <c r="W92" s="219"/>
      <c r="X92" s="219"/>
      <c r="Y92" s="219"/>
      <c r="Z92" s="219"/>
    </row>
    <row r="93" spans="1:26" ht="15.75" customHeight="1">
      <c r="A93" s="253">
        <v>44782</v>
      </c>
      <c r="B93" s="224" t="s">
        <v>336</v>
      </c>
      <c r="C93" s="249">
        <v>4.25</v>
      </c>
      <c r="D93" s="224" t="s">
        <v>1899</v>
      </c>
      <c r="E93" s="250" t="s">
        <v>3</v>
      </c>
      <c r="F93" s="224" t="s">
        <v>460</v>
      </c>
      <c r="G93" s="224" t="s">
        <v>1900</v>
      </c>
      <c r="H93" s="224">
        <v>4.5</v>
      </c>
      <c r="I93" s="224" t="s">
        <v>941</v>
      </c>
      <c r="J93" s="224"/>
      <c r="K93" s="224">
        <v>4</v>
      </c>
      <c r="L93" s="224" t="s">
        <v>451</v>
      </c>
      <c r="M93" s="224" t="s">
        <v>1901</v>
      </c>
      <c r="N93" s="224" t="s">
        <v>452</v>
      </c>
      <c r="O93" s="224" t="s">
        <v>452</v>
      </c>
      <c r="P93" s="224"/>
      <c r="Q93" s="224" t="s">
        <v>18</v>
      </c>
      <c r="R93" s="254"/>
      <c r="S93" s="252"/>
      <c r="T93" s="252"/>
      <c r="U93" s="252"/>
      <c r="V93" s="224"/>
      <c r="W93" s="224"/>
      <c r="X93" s="224"/>
      <c r="Y93" s="224"/>
      <c r="Z93" s="224"/>
    </row>
    <row r="94" spans="1:26" ht="15.75" customHeight="1">
      <c r="A94" s="255">
        <v>44782</v>
      </c>
      <c r="B94" s="239" t="s">
        <v>173</v>
      </c>
      <c r="C94" s="249">
        <v>4.25</v>
      </c>
      <c r="D94" s="239" t="s">
        <v>10368</v>
      </c>
      <c r="E94" s="250" t="s">
        <v>4</v>
      </c>
      <c r="F94" s="239" t="s">
        <v>460</v>
      </c>
      <c r="G94" s="239" t="s">
        <v>1127</v>
      </c>
      <c r="H94" s="239">
        <v>4.5</v>
      </c>
      <c r="I94" s="239" t="s">
        <v>462</v>
      </c>
      <c r="J94" s="239" t="s">
        <v>1128</v>
      </c>
      <c r="K94" s="239">
        <v>4</v>
      </c>
      <c r="L94" s="239" t="s">
        <v>451</v>
      </c>
      <c r="M94" s="239">
        <v>2000000</v>
      </c>
      <c r="N94" s="239" t="s">
        <v>452</v>
      </c>
      <c r="O94" s="239" t="s">
        <v>1129</v>
      </c>
      <c r="P94" s="239"/>
      <c r="Q94" s="239" t="s">
        <v>18</v>
      </c>
      <c r="R94" s="256" t="s">
        <v>1130</v>
      </c>
      <c r="S94" s="239"/>
      <c r="T94" s="239"/>
      <c r="U94" s="239"/>
      <c r="V94" s="239"/>
      <c r="W94" s="239"/>
      <c r="X94" s="239"/>
      <c r="Y94" s="239"/>
      <c r="Z94" s="239"/>
    </row>
    <row r="95" spans="1:26" ht="15.75" customHeight="1">
      <c r="A95" s="253">
        <v>44782</v>
      </c>
      <c r="B95" s="224" t="s">
        <v>320</v>
      </c>
      <c r="C95" s="249">
        <v>4.25</v>
      </c>
      <c r="D95" s="224" t="s">
        <v>1768</v>
      </c>
      <c r="E95" s="250" t="s">
        <v>3</v>
      </c>
      <c r="F95" s="224" t="s">
        <v>460</v>
      </c>
      <c r="G95" s="224" t="s">
        <v>1769</v>
      </c>
      <c r="H95" s="224">
        <v>4</v>
      </c>
      <c r="I95" s="224" t="s">
        <v>462</v>
      </c>
      <c r="J95" s="224" t="s">
        <v>1770</v>
      </c>
      <c r="K95" s="224">
        <v>4.5</v>
      </c>
      <c r="L95" s="224" t="s">
        <v>451</v>
      </c>
      <c r="M95" s="224">
        <v>2000000</v>
      </c>
      <c r="N95" s="224" t="s">
        <v>465</v>
      </c>
      <c r="O95" s="224" t="s">
        <v>1771</v>
      </c>
      <c r="P95" s="224"/>
      <c r="Q95" s="224" t="s">
        <v>18</v>
      </c>
      <c r="R95" s="254"/>
      <c r="S95" s="252"/>
      <c r="T95" s="252"/>
      <c r="U95" s="252"/>
      <c r="V95" s="224"/>
      <c r="W95" s="224"/>
      <c r="X95" s="224"/>
      <c r="Y95" s="224"/>
      <c r="Z95" s="224"/>
    </row>
    <row r="96" spans="1:26" ht="15.75" customHeight="1">
      <c r="A96" s="248">
        <v>44782</v>
      </c>
      <c r="B96" s="219" t="s">
        <v>151</v>
      </c>
      <c r="C96" s="249">
        <v>4</v>
      </c>
      <c r="D96" s="219" t="s">
        <v>1015</v>
      </c>
      <c r="E96" s="250" t="s">
        <v>4</v>
      </c>
      <c r="F96" s="219" t="s">
        <v>727</v>
      </c>
      <c r="G96" s="219" t="s">
        <v>1016</v>
      </c>
      <c r="H96" s="219">
        <v>4</v>
      </c>
      <c r="I96" s="219" t="s">
        <v>476</v>
      </c>
      <c r="J96" s="219" t="s">
        <v>13400</v>
      </c>
      <c r="K96" s="219">
        <v>4</v>
      </c>
      <c r="L96" s="219" t="s">
        <v>451</v>
      </c>
      <c r="M96" s="219">
        <v>14000000</v>
      </c>
      <c r="N96" s="219" t="s">
        <v>452</v>
      </c>
      <c r="O96" s="219" t="s">
        <v>10194</v>
      </c>
      <c r="P96" s="219"/>
      <c r="Q96" s="213" t="s">
        <v>18</v>
      </c>
      <c r="R96" s="251" t="s">
        <v>1019</v>
      </c>
      <c r="S96" s="252"/>
      <c r="T96" s="252"/>
      <c r="U96" s="252"/>
      <c r="V96" s="219"/>
      <c r="W96" s="219"/>
      <c r="X96" s="219"/>
      <c r="Y96" s="219"/>
      <c r="Z96" s="219"/>
    </row>
    <row r="97" spans="1:26" ht="15.75" customHeight="1">
      <c r="A97" s="253">
        <v>44782</v>
      </c>
      <c r="B97" s="224" t="s">
        <v>397</v>
      </c>
      <c r="C97" s="249">
        <v>4</v>
      </c>
      <c r="D97" s="224" t="s">
        <v>9955</v>
      </c>
      <c r="E97" s="250" t="s">
        <v>3</v>
      </c>
      <c r="F97" s="224" t="s">
        <v>460</v>
      </c>
      <c r="G97" s="224" t="s">
        <v>9956</v>
      </c>
      <c r="H97" s="224">
        <v>4</v>
      </c>
      <c r="I97" s="224" t="s">
        <v>462</v>
      </c>
      <c r="J97" s="224" t="s">
        <v>9957</v>
      </c>
      <c r="K97" s="224">
        <v>4</v>
      </c>
      <c r="L97" s="224" t="s">
        <v>451</v>
      </c>
      <c r="M97" s="224">
        <v>10000000</v>
      </c>
      <c r="N97" s="224" t="s">
        <v>452</v>
      </c>
      <c r="O97" s="224" t="s">
        <v>10210</v>
      </c>
      <c r="P97" s="224"/>
      <c r="Q97" s="221" t="s">
        <v>18</v>
      </c>
      <c r="R97" s="254"/>
      <c r="S97" s="252"/>
      <c r="T97" s="252"/>
      <c r="U97" s="252"/>
      <c r="V97" s="224"/>
      <c r="W97" s="224"/>
      <c r="X97" s="224"/>
      <c r="Y97" s="224"/>
      <c r="Z97" s="224"/>
    </row>
    <row r="98" spans="1:26" ht="15.75" customHeight="1">
      <c r="A98" s="248">
        <v>44782</v>
      </c>
      <c r="B98" s="219" t="s">
        <v>129</v>
      </c>
      <c r="C98" s="249">
        <v>4</v>
      </c>
      <c r="D98" s="219" t="s">
        <v>10363</v>
      </c>
      <c r="E98" s="250" t="s">
        <v>5</v>
      </c>
      <c r="F98" s="219" t="s">
        <v>447</v>
      </c>
      <c r="G98" s="219" t="s">
        <v>931</v>
      </c>
      <c r="H98" s="219">
        <v>4</v>
      </c>
      <c r="I98" s="219" t="s">
        <v>449</v>
      </c>
      <c r="J98" s="219" t="s">
        <v>13400</v>
      </c>
      <c r="K98" s="219">
        <v>4</v>
      </c>
      <c r="L98" s="219" t="s">
        <v>478</v>
      </c>
      <c r="M98" s="219">
        <v>5000000</v>
      </c>
      <c r="N98" s="219" t="s">
        <v>452</v>
      </c>
      <c r="O98" s="219" t="s">
        <v>933</v>
      </c>
      <c r="P98" s="219" t="s">
        <v>934</v>
      </c>
      <c r="Q98" s="219" t="s">
        <v>18</v>
      </c>
      <c r="R98" s="251"/>
      <c r="S98" s="252"/>
      <c r="T98" s="252"/>
      <c r="U98" s="252"/>
      <c r="V98" s="219"/>
      <c r="W98" s="219"/>
      <c r="X98" s="219"/>
      <c r="Y98" s="219"/>
      <c r="Z98" s="219"/>
    </row>
    <row r="99" spans="1:26" ht="15.75" customHeight="1">
      <c r="A99" s="257">
        <v>44782</v>
      </c>
      <c r="B99" s="258" t="s">
        <v>70</v>
      </c>
      <c r="C99" s="249">
        <v>4</v>
      </c>
      <c r="D99" s="258" t="s">
        <v>2247</v>
      </c>
      <c r="E99" s="250" t="s">
        <v>5</v>
      </c>
      <c r="F99" s="258" t="s">
        <v>460</v>
      </c>
      <c r="G99" s="258" t="s">
        <v>2248</v>
      </c>
      <c r="H99" s="258">
        <v>4</v>
      </c>
      <c r="I99" s="258" t="s">
        <v>941</v>
      </c>
      <c r="J99" s="258"/>
      <c r="K99" s="258">
        <v>4</v>
      </c>
      <c r="L99" s="258"/>
      <c r="M99" s="258"/>
      <c r="N99" s="258" t="s">
        <v>452</v>
      </c>
      <c r="O99" s="258" t="s">
        <v>2249</v>
      </c>
      <c r="P99" s="258"/>
      <c r="Q99" s="258" t="s">
        <v>18</v>
      </c>
      <c r="R99" s="259" t="s">
        <v>2250</v>
      </c>
      <c r="S99" s="258"/>
      <c r="T99" s="258"/>
      <c r="U99" s="258"/>
      <c r="V99" s="258"/>
      <c r="W99" s="258"/>
      <c r="X99" s="258"/>
      <c r="Y99" s="258"/>
      <c r="Z99" s="258"/>
    </row>
    <row r="100" spans="1:26" ht="15.75" customHeight="1">
      <c r="A100" s="248">
        <v>44782</v>
      </c>
      <c r="B100" s="219" t="s">
        <v>230</v>
      </c>
      <c r="C100" s="249">
        <v>4</v>
      </c>
      <c r="D100" s="219" t="s">
        <v>3962</v>
      </c>
      <c r="E100" s="250" t="s">
        <v>4</v>
      </c>
      <c r="F100" s="219" t="s">
        <v>727</v>
      </c>
      <c r="G100" s="219" t="s">
        <v>10428</v>
      </c>
      <c r="H100" s="219">
        <v>4</v>
      </c>
      <c r="I100" s="219" t="s">
        <v>941</v>
      </c>
      <c r="J100" s="219" t="s">
        <v>3964</v>
      </c>
      <c r="K100" s="219">
        <v>4</v>
      </c>
      <c r="L100" s="219"/>
      <c r="M100" s="219"/>
      <c r="N100" s="219" t="s">
        <v>452</v>
      </c>
      <c r="O100" s="219" t="s">
        <v>11526</v>
      </c>
      <c r="P100" s="219" t="s">
        <v>3966</v>
      </c>
      <c r="Q100" s="219" t="s">
        <v>18</v>
      </c>
      <c r="R100" s="251"/>
      <c r="S100" s="252"/>
      <c r="T100" s="252"/>
      <c r="U100" s="252"/>
      <c r="V100" s="219"/>
      <c r="W100" s="219"/>
      <c r="X100" s="219"/>
      <c r="Y100" s="219"/>
      <c r="Z100" s="219"/>
    </row>
    <row r="101" spans="1:26" ht="15.75" customHeight="1">
      <c r="A101" s="253">
        <v>44782</v>
      </c>
      <c r="B101" s="224" t="s">
        <v>68</v>
      </c>
      <c r="C101" s="249">
        <v>4</v>
      </c>
      <c r="D101" s="224" t="s">
        <v>497</v>
      </c>
      <c r="E101" s="250" t="s">
        <v>5</v>
      </c>
      <c r="F101" s="224" t="s">
        <v>447</v>
      </c>
      <c r="G101" s="224" t="s">
        <v>10503</v>
      </c>
      <c r="H101" s="224">
        <v>4.5</v>
      </c>
      <c r="I101" s="224" t="s">
        <v>449</v>
      </c>
      <c r="J101" s="224" t="s">
        <v>13400</v>
      </c>
      <c r="K101" s="224">
        <v>3.5</v>
      </c>
      <c r="L101" s="224" t="s">
        <v>451</v>
      </c>
      <c r="M101" s="224">
        <v>2000000</v>
      </c>
      <c r="N101" s="224" t="s">
        <v>452</v>
      </c>
      <c r="O101" s="224" t="s">
        <v>500</v>
      </c>
      <c r="P101" s="224"/>
      <c r="Q101" s="224" t="s">
        <v>18</v>
      </c>
      <c r="R101" s="254"/>
      <c r="S101" s="252"/>
      <c r="T101" s="252"/>
      <c r="U101" s="252"/>
      <c r="V101" s="224"/>
      <c r="W101" s="224"/>
      <c r="X101" s="224"/>
      <c r="Y101" s="224"/>
      <c r="Z101" s="224"/>
    </row>
    <row r="102" spans="1:26" ht="15.75" customHeight="1">
      <c r="A102" s="248">
        <v>44782</v>
      </c>
      <c r="B102" s="219" t="s">
        <v>382</v>
      </c>
      <c r="C102" s="249">
        <v>4</v>
      </c>
      <c r="D102" s="219" t="s">
        <v>10047</v>
      </c>
      <c r="E102" s="250" t="s">
        <v>5</v>
      </c>
      <c r="F102" s="219" t="s">
        <v>447</v>
      </c>
      <c r="G102" s="219" t="s">
        <v>10509</v>
      </c>
      <c r="H102" s="219">
        <v>4</v>
      </c>
      <c r="I102" s="219" t="s">
        <v>543</v>
      </c>
      <c r="J102" s="219"/>
      <c r="K102" s="219">
        <v>4</v>
      </c>
      <c r="L102" s="219" t="s">
        <v>784</v>
      </c>
      <c r="M102" s="219">
        <v>1200000</v>
      </c>
      <c r="N102" s="219" t="s">
        <v>452</v>
      </c>
      <c r="O102" s="219" t="s">
        <v>10049</v>
      </c>
      <c r="P102" s="219" t="s">
        <v>10050</v>
      </c>
      <c r="Q102" s="219" t="s">
        <v>18</v>
      </c>
      <c r="R102" s="251"/>
      <c r="S102" s="252"/>
      <c r="T102" s="252"/>
      <c r="U102" s="252"/>
      <c r="V102" s="219"/>
      <c r="W102" s="219"/>
      <c r="X102" s="219"/>
      <c r="Y102" s="219"/>
      <c r="Z102" s="219"/>
    </row>
    <row r="103" spans="1:26" ht="15.75" customHeight="1">
      <c r="A103" s="253">
        <v>44782</v>
      </c>
      <c r="B103" s="224" t="s">
        <v>113</v>
      </c>
      <c r="C103" s="249">
        <v>4</v>
      </c>
      <c r="D103" s="224" t="s">
        <v>814</v>
      </c>
      <c r="E103" s="250" t="s">
        <v>5</v>
      </c>
      <c r="F103" s="224" t="s">
        <v>447</v>
      </c>
      <c r="G103" s="224" t="s">
        <v>10521</v>
      </c>
      <c r="H103" s="224">
        <v>4</v>
      </c>
      <c r="I103" s="224" t="s">
        <v>449</v>
      </c>
      <c r="J103" s="224" t="s">
        <v>13400</v>
      </c>
      <c r="K103" s="224">
        <v>4</v>
      </c>
      <c r="L103" s="224" t="s">
        <v>451</v>
      </c>
      <c r="M103" s="224">
        <v>2000000</v>
      </c>
      <c r="N103" s="224" t="s">
        <v>454</v>
      </c>
      <c r="O103" s="224" t="s">
        <v>452</v>
      </c>
      <c r="P103" s="224"/>
      <c r="Q103" s="224" t="s">
        <v>18</v>
      </c>
      <c r="R103" s="254" t="s">
        <v>817</v>
      </c>
      <c r="S103" s="252"/>
      <c r="T103" s="252"/>
      <c r="U103" s="252"/>
      <c r="V103" s="224"/>
      <c r="W103" s="224"/>
      <c r="X103" s="224"/>
      <c r="Y103" s="224"/>
      <c r="Z103" s="224"/>
    </row>
    <row r="104" spans="1:26" ht="15.75" customHeight="1">
      <c r="A104" s="248">
        <v>44782</v>
      </c>
      <c r="B104" s="219" t="s">
        <v>88</v>
      </c>
      <c r="C104" s="249">
        <v>4</v>
      </c>
      <c r="D104" s="219" t="s">
        <v>620</v>
      </c>
      <c r="E104" s="250" t="s">
        <v>5</v>
      </c>
      <c r="F104" s="219" t="s">
        <v>447</v>
      </c>
      <c r="G104" s="219" t="s">
        <v>10697</v>
      </c>
      <c r="H104" s="219">
        <v>4</v>
      </c>
      <c r="I104" s="219" t="s">
        <v>622</v>
      </c>
      <c r="J104" s="219" t="s">
        <v>13400</v>
      </c>
      <c r="K104" s="219">
        <v>4</v>
      </c>
      <c r="L104" s="219" t="s">
        <v>478</v>
      </c>
      <c r="M104" s="219">
        <v>3000000</v>
      </c>
      <c r="N104" s="219" t="s">
        <v>452</v>
      </c>
      <c r="O104" s="219" t="s">
        <v>452</v>
      </c>
      <c r="P104" s="219"/>
      <c r="Q104" s="219" t="s">
        <v>18</v>
      </c>
      <c r="R104" s="251" t="s">
        <v>624</v>
      </c>
      <c r="S104" s="252"/>
      <c r="T104" s="252"/>
      <c r="U104" s="252"/>
      <c r="V104" s="219"/>
      <c r="W104" s="219"/>
      <c r="X104" s="219"/>
      <c r="Y104" s="219"/>
      <c r="Z104" s="219"/>
    </row>
    <row r="105" spans="1:26" ht="15.75" customHeight="1">
      <c r="A105" s="257">
        <v>44782</v>
      </c>
      <c r="B105" s="258" t="s">
        <v>391</v>
      </c>
      <c r="C105" s="249">
        <v>4</v>
      </c>
      <c r="D105" s="258" t="s">
        <v>10090</v>
      </c>
      <c r="E105" s="250" t="s">
        <v>3</v>
      </c>
      <c r="F105" s="258" t="s">
        <v>460</v>
      </c>
      <c r="G105" s="258" t="s">
        <v>11385</v>
      </c>
      <c r="H105" s="258">
        <v>4</v>
      </c>
      <c r="I105" s="258" t="s">
        <v>941</v>
      </c>
      <c r="J105" s="258"/>
      <c r="K105" s="258">
        <v>4</v>
      </c>
      <c r="L105" s="258" t="s">
        <v>478</v>
      </c>
      <c r="M105" s="258" t="s">
        <v>4966</v>
      </c>
      <c r="N105" s="258" t="s">
        <v>452</v>
      </c>
      <c r="O105" s="258" t="s">
        <v>10092</v>
      </c>
      <c r="P105" s="258"/>
      <c r="Q105" s="258" t="s">
        <v>19</v>
      </c>
      <c r="R105" s="259" t="s">
        <v>10093</v>
      </c>
      <c r="S105" s="258"/>
      <c r="T105" s="258"/>
      <c r="U105" s="258"/>
      <c r="V105" s="258"/>
      <c r="W105" s="258"/>
      <c r="X105" s="258"/>
      <c r="Y105" s="258"/>
      <c r="Z105" s="258"/>
    </row>
    <row r="106" spans="1:26" ht="15.75" customHeight="1">
      <c r="A106" s="257">
        <v>44782</v>
      </c>
      <c r="B106" s="258" t="s">
        <v>208</v>
      </c>
      <c r="C106" s="249">
        <v>4</v>
      </c>
      <c r="D106" s="258" t="s">
        <v>3843</v>
      </c>
      <c r="E106" s="250" t="s">
        <v>4</v>
      </c>
      <c r="F106" s="258" t="s">
        <v>602</v>
      </c>
      <c r="G106" s="258" t="s">
        <v>3844</v>
      </c>
      <c r="H106" s="258">
        <v>4</v>
      </c>
      <c r="I106" s="258" t="s">
        <v>1054</v>
      </c>
      <c r="J106" s="258" t="s">
        <v>3845</v>
      </c>
      <c r="K106" s="258">
        <v>4</v>
      </c>
      <c r="L106" s="258" t="s">
        <v>451</v>
      </c>
      <c r="M106" s="258">
        <v>2000000</v>
      </c>
      <c r="N106" s="258" t="s">
        <v>452</v>
      </c>
      <c r="O106" s="258" t="s">
        <v>3846</v>
      </c>
      <c r="P106" s="258" t="s">
        <v>727</v>
      </c>
      <c r="Q106" s="258" t="s">
        <v>18</v>
      </c>
      <c r="R106" s="259" t="s">
        <v>3847</v>
      </c>
      <c r="S106" s="258"/>
      <c r="T106" s="258"/>
      <c r="U106" s="258"/>
      <c r="V106" s="258"/>
      <c r="W106" s="258"/>
      <c r="X106" s="258"/>
      <c r="Y106" s="258"/>
      <c r="Z106" s="258"/>
    </row>
    <row r="107" spans="1:26" ht="15.75" customHeight="1">
      <c r="A107" s="253">
        <v>44782</v>
      </c>
      <c r="B107" s="224" t="s">
        <v>198</v>
      </c>
      <c r="C107" s="249">
        <v>4</v>
      </c>
      <c r="D107" s="224" t="s">
        <v>11415</v>
      </c>
      <c r="E107" s="250" t="s">
        <v>4</v>
      </c>
      <c r="F107" s="224" t="s">
        <v>727</v>
      </c>
      <c r="G107" s="224" t="s">
        <v>11416</v>
      </c>
      <c r="H107" s="224">
        <v>4.5</v>
      </c>
      <c r="I107" s="224" t="s">
        <v>1054</v>
      </c>
      <c r="J107" s="224" t="s">
        <v>11417</v>
      </c>
      <c r="K107" s="224">
        <v>3.5</v>
      </c>
      <c r="L107" s="224"/>
      <c r="M107" s="224" t="s">
        <v>3555</v>
      </c>
      <c r="N107" s="224" t="s">
        <v>454</v>
      </c>
      <c r="O107" s="224" t="s">
        <v>11527</v>
      </c>
      <c r="P107" s="224"/>
      <c r="Q107" s="224" t="s">
        <v>18</v>
      </c>
      <c r="R107" s="254"/>
      <c r="S107" s="252"/>
      <c r="T107" s="252"/>
      <c r="U107" s="252"/>
      <c r="V107" s="224"/>
      <c r="W107" s="224"/>
      <c r="X107" s="224"/>
      <c r="Y107" s="224"/>
      <c r="Z107" s="224"/>
    </row>
    <row r="108" spans="1:26" ht="15.75" customHeight="1">
      <c r="A108" s="248">
        <v>44782</v>
      </c>
      <c r="B108" s="219" t="s">
        <v>221</v>
      </c>
      <c r="C108" s="249">
        <v>4</v>
      </c>
      <c r="D108" s="219" t="s">
        <v>3914</v>
      </c>
      <c r="E108" s="250" t="s">
        <v>4</v>
      </c>
      <c r="F108" s="219" t="s">
        <v>727</v>
      </c>
      <c r="G108" s="219" t="s">
        <v>10366</v>
      </c>
      <c r="H108" s="219">
        <v>4</v>
      </c>
      <c r="I108" s="219" t="s">
        <v>1054</v>
      </c>
      <c r="J108" s="219" t="s">
        <v>3916</v>
      </c>
      <c r="K108" s="219">
        <v>4</v>
      </c>
      <c r="L108" s="219" t="s">
        <v>451</v>
      </c>
      <c r="M108" s="219" t="s">
        <v>3917</v>
      </c>
      <c r="N108" s="219" t="s">
        <v>452</v>
      </c>
      <c r="O108" s="219" t="s">
        <v>452</v>
      </c>
      <c r="P108" s="219"/>
      <c r="Q108" s="219" t="s">
        <v>18</v>
      </c>
      <c r="R108" s="251"/>
      <c r="S108" s="252"/>
      <c r="T108" s="252"/>
      <c r="U108" s="252"/>
      <c r="V108" s="219"/>
      <c r="W108" s="219"/>
      <c r="X108" s="219"/>
      <c r="Y108" s="219"/>
      <c r="Z108" s="219"/>
    </row>
    <row r="109" spans="1:26" ht="15.75" customHeight="1">
      <c r="A109" s="257">
        <v>44782</v>
      </c>
      <c r="B109" s="258" t="s">
        <v>194</v>
      </c>
      <c r="C109" s="249">
        <v>3.88</v>
      </c>
      <c r="D109" s="258" t="s">
        <v>1210</v>
      </c>
      <c r="E109" s="250" t="s">
        <v>4</v>
      </c>
      <c r="F109" s="258" t="s">
        <v>602</v>
      </c>
      <c r="G109" s="258" t="s">
        <v>10191</v>
      </c>
      <c r="H109" s="258">
        <v>4</v>
      </c>
      <c r="I109" s="258" t="s">
        <v>1054</v>
      </c>
      <c r="J109" s="258" t="s">
        <v>1212</v>
      </c>
      <c r="K109" s="258">
        <v>3.75</v>
      </c>
      <c r="L109" s="258" t="s">
        <v>478</v>
      </c>
      <c r="M109" s="258">
        <v>3000000</v>
      </c>
      <c r="N109" s="258" t="s">
        <v>465</v>
      </c>
      <c r="O109" s="258" t="s">
        <v>1213</v>
      </c>
      <c r="P109" s="258"/>
      <c r="Q109" s="228" t="s">
        <v>18</v>
      </c>
      <c r="R109" s="259" t="s">
        <v>1214</v>
      </c>
      <c r="S109" s="252"/>
      <c r="T109" s="252"/>
      <c r="U109" s="252"/>
      <c r="V109" s="224"/>
      <c r="W109" s="224"/>
      <c r="X109" s="224"/>
      <c r="Y109" s="224"/>
      <c r="Z109" s="224"/>
    </row>
    <row r="110" spans="1:26" ht="15.75" customHeight="1">
      <c r="A110" s="257">
        <v>44782</v>
      </c>
      <c r="B110" s="258" t="s">
        <v>273</v>
      </c>
      <c r="C110" s="249">
        <v>3.88</v>
      </c>
      <c r="D110" s="258" t="s">
        <v>9508</v>
      </c>
      <c r="E110" s="250" t="s">
        <v>4</v>
      </c>
      <c r="F110" s="258" t="s">
        <v>727</v>
      </c>
      <c r="G110" s="258" t="s">
        <v>9509</v>
      </c>
      <c r="H110" s="258">
        <v>3.75</v>
      </c>
      <c r="I110" s="258" t="s">
        <v>1054</v>
      </c>
      <c r="J110" s="258" t="s">
        <v>11528</v>
      </c>
      <c r="K110" s="258">
        <v>4</v>
      </c>
      <c r="L110" s="258"/>
      <c r="M110" s="258"/>
      <c r="N110" s="258" t="s">
        <v>452</v>
      </c>
      <c r="O110" s="258" t="s">
        <v>452</v>
      </c>
      <c r="P110" s="258"/>
      <c r="Q110" s="228" t="s">
        <v>20</v>
      </c>
      <c r="R110" s="259" t="s">
        <v>9511</v>
      </c>
      <c r="S110" s="258"/>
      <c r="T110" s="258"/>
      <c r="U110" s="258"/>
      <c r="V110" s="258"/>
      <c r="W110" s="258"/>
      <c r="X110" s="258"/>
      <c r="Y110" s="258"/>
      <c r="Z110" s="258"/>
    </row>
    <row r="111" spans="1:26" ht="15.75" customHeight="1">
      <c r="A111" s="257">
        <v>44782</v>
      </c>
      <c r="B111" s="258" t="s">
        <v>2473</v>
      </c>
      <c r="C111" s="249">
        <v>3.75</v>
      </c>
      <c r="D111" s="258" t="s">
        <v>2476</v>
      </c>
      <c r="E111" s="250" t="s">
        <v>5</v>
      </c>
      <c r="F111" s="258" t="s">
        <v>447</v>
      </c>
      <c r="G111" s="258" t="s">
        <v>10217</v>
      </c>
      <c r="H111" s="258">
        <v>3.5</v>
      </c>
      <c r="I111" s="258" t="s">
        <v>622</v>
      </c>
      <c r="J111" s="258" t="s">
        <v>2478</v>
      </c>
      <c r="K111" s="258">
        <v>4</v>
      </c>
      <c r="L111" s="258" t="s">
        <v>451</v>
      </c>
      <c r="M111" s="258" t="s">
        <v>3555</v>
      </c>
      <c r="N111" s="258" t="s">
        <v>452</v>
      </c>
      <c r="O111" s="258" t="s">
        <v>452</v>
      </c>
      <c r="P111" s="258" t="s">
        <v>447</v>
      </c>
      <c r="Q111" s="228" t="s">
        <v>24</v>
      </c>
      <c r="R111" s="259" t="s">
        <v>2479</v>
      </c>
      <c r="S111" s="258"/>
      <c r="T111" s="258"/>
      <c r="U111" s="258"/>
      <c r="V111" s="258"/>
      <c r="W111" s="258"/>
      <c r="X111" s="258"/>
      <c r="Y111" s="258"/>
      <c r="Z111" s="258"/>
    </row>
    <row r="112" spans="1:26" ht="53.25" customHeight="1">
      <c r="A112" s="257">
        <v>44782</v>
      </c>
      <c r="B112" s="258" t="s">
        <v>81</v>
      </c>
      <c r="C112" s="249">
        <v>3.75</v>
      </c>
      <c r="D112" s="258" t="s">
        <v>581</v>
      </c>
      <c r="E112" s="250" t="s">
        <v>5</v>
      </c>
      <c r="F112" s="258" t="s">
        <v>447</v>
      </c>
      <c r="G112" s="258" t="s">
        <v>582</v>
      </c>
      <c r="H112" s="258">
        <v>3.5</v>
      </c>
      <c r="I112" s="258" t="s">
        <v>543</v>
      </c>
      <c r="J112" s="258" t="s">
        <v>13400</v>
      </c>
      <c r="K112" s="258">
        <v>4</v>
      </c>
      <c r="L112" s="258" t="s">
        <v>478</v>
      </c>
      <c r="M112" s="258">
        <v>8500000</v>
      </c>
      <c r="N112" s="258" t="s">
        <v>452</v>
      </c>
      <c r="O112" s="260" t="s">
        <v>11529</v>
      </c>
      <c r="P112" s="258" t="s">
        <v>585</v>
      </c>
      <c r="Q112" s="228" t="s">
        <v>20</v>
      </c>
      <c r="R112" s="259" t="s">
        <v>11530</v>
      </c>
      <c r="S112" s="258"/>
      <c r="T112" s="258"/>
      <c r="U112" s="258"/>
      <c r="V112" s="258"/>
      <c r="W112" s="258"/>
      <c r="X112" s="258"/>
      <c r="Y112" s="258"/>
      <c r="Z112" s="258"/>
    </row>
    <row r="113" spans="1:26" ht="15.75" customHeight="1">
      <c r="A113" s="257">
        <v>44782</v>
      </c>
      <c r="B113" s="258" t="s">
        <v>134</v>
      </c>
      <c r="C113" s="249">
        <v>3.75</v>
      </c>
      <c r="D113" s="258" t="s">
        <v>9369</v>
      </c>
      <c r="E113" s="250" t="s">
        <v>5</v>
      </c>
      <c r="F113" s="258" t="s">
        <v>447</v>
      </c>
      <c r="G113" s="258" t="s">
        <v>9370</v>
      </c>
      <c r="H113" s="258">
        <v>4</v>
      </c>
      <c r="I113" s="258" t="s">
        <v>476</v>
      </c>
      <c r="J113" s="258" t="s">
        <v>13400</v>
      </c>
      <c r="K113" s="258">
        <v>3.5</v>
      </c>
      <c r="L113" s="258" t="s">
        <v>451</v>
      </c>
      <c r="M113" s="258">
        <v>1000000</v>
      </c>
      <c r="N113" s="258" t="s">
        <v>454</v>
      </c>
      <c r="O113" s="258" t="s">
        <v>452</v>
      </c>
      <c r="P113" s="258"/>
      <c r="Q113" s="258" t="s">
        <v>19</v>
      </c>
      <c r="R113" s="259" t="s">
        <v>9372</v>
      </c>
      <c r="S113" s="258"/>
      <c r="T113" s="258"/>
      <c r="U113" s="258"/>
      <c r="V113" s="258"/>
      <c r="W113" s="258"/>
      <c r="X113" s="258"/>
      <c r="Y113" s="258"/>
      <c r="Z113" s="258"/>
    </row>
    <row r="114" spans="1:26" ht="15.75" customHeight="1">
      <c r="A114" s="248">
        <v>44782</v>
      </c>
      <c r="B114" s="219" t="s">
        <v>384</v>
      </c>
      <c r="C114" s="249">
        <v>3.75</v>
      </c>
      <c r="D114" s="219" t="s">
        <v>10054</v>
      </c>
      <c r="E114" s="250" t="s">
        <v>5</v>
      </c>
      <c r="F114" s="219" t="s">
        <v>447</v>
      </c>
      <c r="G114" s="219" t="s">
        <v>10055</v>
      </c>
      <c r="H114" s="219">
        <v>3.5</v>
      </c>
      <c r="I114" s="219" t="s">
        <v>622</v>
      </c>
      <c r="J114" s="219" t="s">
        <v>10056</v>
      </c>
      <c r="K114" s="219">
        <v>4</v>
      </c>
      <c r="L114" s="219" t="s">
        <v>451</v>
      </c>
      <c r="M114" s="219">
        <v>5000000</v>
      </c>
      <c r="N114" s="219" t="s">
        <v>452</v>
      </c>
      <c r="O114" s="219" t="s">
        <v>10057</v>
      </c>
      <c r="P114" s="219" t="s">
        <v>725</v>
      </c>
      <c r="Q114" s="219" t="s">
        <v>20</v>
      </c>
      <c r="R114" s="251" t="s">
        <v>10058</v>
      </c>
      <c r="S114" s="252"/>
      <c r="T114" s="252"/>
      <c r="U114" s="252"/>
      <c r="V114" s="219"/>
      <c r="W114" s="219"/>
      <c r="X114" s="219"/>
      <c r="Y114" s="219"/>
      <c r="Z114" s="219"/>
    </row>
    <row r="115" spans="1:26" ht="15.75" customHeight="1">
      <c r="A115" s="255">
        <v>44782</v>
      </c>
      <c r="B115" s="239" t="s">
        <v>131</v>
      </c>
      <c r="C115" s="249">
        <v>3.75</v>
      </c>
      <c r="D115" s="239" t="s">
        <v>9362</v>
      </c>
      <c r="E115" s="250" t="s">
        <v>5</v>
      </c>
      <c r="F115" s="239" t="s">
        <v>447</v>
      </c>
      <c r="G115" s="239" t="s">
        <v>9363</v>
      </c>
      <c r="H115" s="239">
        <v>3.5</v>
      </c>
      <c r="I115" s="239" t="s">
        <v>543</v>
      </c>
      <c r="J115" s="239" t="s">
        <v>13400</v>
      </c>
      <c r="K115" s="239">
        <v>4</v>
      </c>
      <c r="L115" s="239" t="s">
        <v>478</v>
      </c>
      <c r="M115" s="239" t="s">
        <v>4956</v>
      </c>
      <c r="N115" s="239" t="s">
        <v>452</v>
      </c>
      <c r="O115" s="239" t="s">
        <v>9365</v>
      </c>
      <c r="P115" s="239"/>
      <c r="Q115" s="239" t="s">
        <v>19</v>
      </c>
      <c r="R115" s="256" t="s">
        <v>1334</v>
      </c>
      <c r="S115" s="239"/>
      <c r="T115" s="239"/>
      <c r="U115" s="239"/>
      <c r="V115" s="239"/>
      <c r="W115" s="239"/>
      <c r="X115" s="239"/>
      <c r="Y115" s="239"/>
      <c r="Z115" s="239"/>
    </row>
    <row r="116" spans="1:26" ht="15.75" customHeight="1">
      <c r="A116" s="257">
        <v>44782</v>
      </c>
      <c r="B116" s="258" t="s">
        <v>120</v>
      </c>
      <c r="C116" s="249">
        <v>3.75</v>
      </c>
      <c r="D116" s="258" t="s">
        <v>864</v>
      </c>
      <c r="E116" s="250" t="s">
        <v>5</v>
      </c>
      <c r="F116" s="258" t="s">
        <v>447</v>
      </c>
      <c r="G116" s="258" t="s">
        <v>10457</v>
      </c>
      <c r="H116" s="258">
        <v>3.5</v>
      </c>
      <c r="I116" s="258" t="s">
        <v>543</v>
      </c>
      <c r="J116" s="258" t="s">
        <v>866</v>
      </c>
      <c r="K116" s="258">
        <v>4</v>
      </c>
      <c r="L116" s="258"/>
      <c r="M116" s="258"/>
      <c r="N116" s="258" t="s">
        <v>452</v>
      </c>
      <c r="O116" s="258" t="s">
        <v>452</v>
      </c>
      <c r="P116" s="258"/>
      <c r="Q116" s="258" t="s">
        <v>18</v>
      </c>
      <c r="R116" s="259" t="s">
        <v>867</v>
      </c>
      <c r="S116" s="258"/>
      <c r="T116" s="258"/>
      <c r="U116" s="258"/>
      <c r="V116" s="258"/>
      <c r="W116" s="258"/>
      <c r="X116" s="258"/>
      <c r="Y116" s="258"/>
      <c r="Z116" s="258"/>
    </row>
    <row r="117" spans="1:26" ht="15.75" customHeight="1">
      <c r="A117" s="255">
        <v>44782</v>
      </c>
      <c r="B117" s="239" t="s">
        <v>146</v>
      </c>
      <c r="C117" s="249">
        <v>3.75</v>
      </c>
      <c r="D117" s="239" t="s">
        <v>9383</v>
      </c>
      <c r="E117" s="250" t="s">
        <v>5</v>
      </c>
      <c r="F117" s="239" t="s">
        <v>447</v>
      </c>
      <c r="G117" s="239" t="s">
        <v>10475</v>
      </c>
      <c r="H117" s="239">
        <v>3.5</v>
      </c>
      <c r="I117" s="239" t="s">
        <v>449</v>
      </c>
      <c r="J117" s="239" t="s">
        <v>13400</v>
      </c>
      <c r="K117" s="239">
        <v>4</v>
      </c>
      <c r="L117" s="239" t="s">
        <v>784</v>
      </c>
      <c r="M117" s="239">
        <v>250000</v>
      </c>
      <c r="N117" s="239" t="s">
        <v>454</v>
      </c>
      <c r="O117" s="239" t="s">
        <v>9386</v>
      </c>
      <c r="P117" s="239"/>
      <c r="Q117" s="239" t="s">
        <v>19</v>
      </c>
      <c r="R117" s="256" t="s">
        <v>1334</v>
      </c>
      <c r="S117" s="239"/>
      <c r="T117" s="239"/>
      <c r="U117" s="239"/>
      <c r="V117" s="239"/>
      <c r="W117" s="239"/>
      <c r="X117" s="239"/>
      <c r="Y117" s="239"/>
      <c r="Z117" s="239"/>
    </row>
    <row r="118" spans="1:26" ht="15.75" customHeight="1">
      <c r="A118" s="257">
        <v>44782</v>
      </c>
      <c r="B118" s="258" t="s">
        <v>132</v>
      </c>
      <c r="C118" s="249">
        <v>3.75</v>
      </c>
      <c r="D118" s="258" t="s">
        <v>10518</v>
      </c>
      <c r="E118" s="250" t="s">
        <v>5</v>
      </c>
      <c r="F118" s="258" t="s">
        <v>447</v>
      </c>
      <c r="G118" s="258" t="s">
        <v>10519</v>
      </c>
      <c r="H118" s="258">
        <v>3.5</v>
      </c>
      <c r="I118" s="258" t="s">
        <v>543</v>
      </c>
      <c r="J118" s="258" t="s">
        <v>13400</v>
      </c>
      <c r="K118" s="258">
        <v>4</v>
      </c>
      <c r="L118" s="258" t="s">
        <v>478</v>
      </c>
      <c r="M118" s="258" t="s">
        <v>3191</v>
      </c>
      <c r="N118" s="258" t="s">
        <v>452</v>
      </c>
      <c r="O118" s="258" t="s">
        <v>3192</v>
      </c>
      <c r="P118" s="258"/>
      <c r="Q118" s="258" t="s">
        <v>20</v>
      </c>
      <c r="R118" s="259" t="s">
        <v>3193</v>
      </c>
      <c r="S118" s="258"/>
      <c r="T118" s="258"/>
      <c r="U118" s="258"/>
      <c r="V118" s="258"/>
      <c r="W118" s="258"/>
      <c r="X118" s="258"/>
      <c r="Y118" s="258"/>
      <c r="Z118" s="258"/>
    </row>
    <row r="119" spans="1:26" ht="15.75" customHeight="1">
      <c r="A119" s="257">
        <v>44782</v>
      </c>
      <c r="B119" s="258" t="s">
        <v>9872</v>
      </c>
      <c r="C119" s="249">
        <v>3.75</v>
      </c>
      <c r="D119" s="258" t="s">
        <v>9875</v>
      </c>
      <c r="E119" s="250" t="s">
        <v>3</v>
      </c>
      <c r="F119" s="258" t="s">
        <v>460</v>
      </c>
      <c r="G119" s="258" t="s">
        <v>9876</v>
      </c>
      <c r="H119" s="258">
        <v>3.5</v>
      </c>
      <c r="I119" s="258" t="s">
        <v>488</v>
      </c>
      <c r="J119" s="258" t="s">
        <v>9877</v>
      </c>
      <c r="K119" s="258">
        <v>4</v>
      </c>
      <c r="L119" s="258" t="s">
        <v>451</v>
      </c>
      <c r="M119" s="258">
        <v>1000000</v>
      </c>
      <c r="N119" s="258" t="s">
        <v>452</v>
      </c>
      <c r="O119" s="258" t="s">
        <v>452</v>
      </c>
      <c r="P119" s="258" t="s">
        <v>11386</v>
      </c>
      <c r="Q119" s="258" t="s">
        <v>23</v>
      </c>
      <c r="R119" s="259" t="s">
        <v>9879</v>
      </c>
      <c r="S119" s="258"/>
      <c r="T119" s="258"/>
      <c r="U119" s="258"/>
      <c r="V119" s="258"/>
      <c r="W119" s="258"/>
      <c r="X119" s="258"/>
      <c r="Y119" s="258"/>
      <c r="Z119" s="258"/>
    </row>
    <row r="120" spans="1:26" ht="15.75" customHeight="1">
      <c r="A120" s="257">
        <v>44782</v>
      </c>
      <c r="B120" s="258" t="s">
        <v>280</v>
      </c>
      <c r="C120" s="249">
        <v>3.75</v>
      </c>
      <c r="D120" s="258" t="s">
        <v>9516</v>
      </c>
      <c r="E120" s="250" t="s">
        <v>4</v>
      </c>
      <c r="F120" s="258" t="s">
        <v>727</v>
      </c>
      <c r="G120" s="258" t="s">
        <v>11406</v>
      </c>
      <c r="H120" s="258">
        <v>4.5</v>
      </c>
      <c r="I120" s="258" t="s">
        <v>476</v>
      </c>
      <c r="J120" s="258" t="s">
        <v>9518</v>
      </c>
      <c r="K120" s="258">
        <v>3</v>
      </c>
      <c r="L120" s="258" t="s">
        <v>784</v>
      </c>
      <c r="M120" s="258">
        <v>250000</v>
      </c>
      <c r="N120" s="258" t="s">
        <v>454</v>
      </c>
      <c r="O120" s="258" t="s">
        <v>9519</v>
      </c>
      <c r="P120" s="258" t="s">
        <v>9520</v>
      </c>
      <c r="Q120" s="258" t="s">
        <v>20</v>
      </c>
      <c r="R120" s="259" t="s">
        <v>11531</v>
      </c>
      <c r="S120" s="258"/>
      <c r="T120" s="258"/>
      <c r="U120" s="258"/>
      <c r="V120" s="258"/>
      <c r="W120" s="258"/>
      <c r="X120" s="258"/>
      <c r="Y120" s="258"/>
      <c r="Z120" s="258"/>
    </row>
    <row r="121" spans="1:26" ht="15.75" customHeight="1">
      <c r="A121" s="257">
        <v>44782</v>
      </c>
      <c r="B121" s="258" t="s">
        <v>292</v>
      </c>
      <c r="C121" s="249">
        <v>3.63</v>
      </c>
      <c r="D121" s="258" t="s">
        <v>11215</v>
      </c>
      <c r="E121" s="250" t="s">
        <v>4</v>
      </c>
      <c r="F121" s="258" t="s">
        <v>727</v>
      </c>
      <c r="G121" s="258" t="s">
        <v>11216</v>
      </c>
      <c r="H121" s="258">
        <v>3.75</v>
      </c>
      <c r="I121" s="258" t="s">
        <v>1054</v>
      </c>
      <c r="J121" s="258" t="s">
        <v>11217</v>
      </c>
      <c r="K121" s="258">
        <v>3.5</v>
      </c>
      <c r="L121" s="258" t="s">
        <v>451</v>
      </c>
      <c r="M121" s="258">
        <v>750000</v>
      </c>
      <c r="N121" s="258" t="s">
        <v>452</v>
      </c>
      <c r="O121" s="258" t="s">
        <v>11532</v>
      </c>
      <c r="P121" s="258"/>
      <c r="Q121" s="258" t="s">
        <v>18</v>
      </c>
      <c r="R121" s="259" t="s">
        <v>4463</v>
      </c>
      <c r="S121" s="258"/>
      <c r="T121" s="258"/>
      <c r="U121" s="258"/>
      <c r="V121" s="258"/>
      <c r="W121" s="258"/>
      <c r="X121" s="258"/>
      <c r="Y121" s="258"/>
      <c r="Z121" s="258"/>
    </row>
    <row r="122" spans="1:26" ht="15.75" customHeight="1">
      <c r="A122" s="255">
        <v>44782</v>
      </c>
      <c r="B122" s="239" t="s">
        <v>1327</v>
      </c>
      <c r="C122" s="249">
        <v>3.5</v>
      </c>
      <c r="D122" s="239" t="s">
        <v>1330</v>
      </c>
      <c r="E122" s="250" t="s">
        <v>4</v>
      </c>
      <c r="F122" s="239" t="s">
        <v>447</v>
      </c>
      <c r="G122" s="239" t="s">
        <v>10325</v>
      </c>
      <c r="H122" s="239">
        <v>3.5</v>
      </c>
      <c r="I122" s="239" t="s">
        <v>543</v>
      </c>
      <c r="J122" s="239" t="s">
        <v>1332</v>
      </c>
      <c r="K122" s="239">
        <v>3.5</v>
      </c>
      <c r="L122" s="239"/>
      <c r="M122" s="239"/>
      <c r="N122" s="239" t="s">
        <v>452</v>
      </c>
      <c r="O122" s="239" t="s">
        <v>10326</v>
      </c>
      <c r="P122" s="239"/>
      <c r="Q122" s="239" t="s">
        <v>19</v>
      </c>
      <c r="R122" s="256" t="s">
        <v>1334</v>
      </c>
      <c r="S122" s="239"/>
      <c r="T122" s="239"/>
      <c r="U122" s="239"/>
      <c r="V122" s="239"/>
      <c r="W122" s="239"/>
      <c r="X122" s="239"/>
      <c r="Y122" s="239"/>
      <c r="Z122" s="239"/>
    </row>
    <row r="123" spans="1:26" ht="15.75" customHeight="1">
      <c r="A123" s="257">
        <v>44782</v>
      </c>
      <c r="B123" s="258" t="s">
        <v>227</v>
      </c>
      <c r="C123" s="249">
        <v>3.5</v>
      </c>
      <c r="D123" s="258" t="s">
        <v>1358</v>
      </c>
      <c r="E123" s="250" t="s">
        <v>4</v>
      </c>
      <c r="F123" s="258" t="s">
        <v>602</v>
      </c>
      <c r="G123" s="258" t="s">
        <v>1359</v>
      </c>
      <c r="H123" s="258">
        <v>4</v>
      </c>
      <c r="I123" s="258" t="s">
        <v>476</v>
      </c>
      <c r="J123" s="258" t="s">
        <v>13400</v>
      </c>
      <c r="K123" s="258">
        <v>3</v>
      </c>
      <c r="L123" s="258" t="s">
        <v>1361</v>
      </c>
      <c r="M123" s="258" t="s">
        <v>1362</v>
      </c>
      <c r="N123" s="258" t="s">
        <v>465</v>
      </c>
      <c r="O123" s="258" t="s">
        <v>1363</v>
      </c>
      <c r="P123" s="258"/>
      <c r="Q123" s="258" t="s">
        <v>18</v>
      </c>
      <c r="R123" s="259" t="s">
        <v>1364</v>
      </c>
      <c r="S123" s="252"/>
      <c r="T123" s="252"/>
      <c r="U123" s="252"/>
      <c r="V123" s="224"/>
      <c r="W123" s="224"/>
      <c r="X123" s="224"/>
      <c r="Y123" s="224"/>
      <c r="Z123" s="224"/>
    </row>
    <row r="124" spans="1:26" ht="15.75" customHeight="1">
      <c r="A124" s="255">
        <v>44782</v>
      </c>
      <c r="B124" s="239" t="s">
        <v>250</v>
      </c>
      <c r="C124" s="249">
        <v>3.5</v>
      </c>
      <c r="D124" s="239" t="s">
        <v>1446</v>
      </c>
      <c r="E124" s="250" t="s">
        <v>4</v>
      </c>
      <c r="F124" s="239" t="s">
        <v>447</v>
      </c>
      <c r="G124" s="239" t="s">
        <v>11533</v>
      </c>
      <c r="H124" s="239">
        <v>4</v>
      </c>
      <c r="I124" s="239" t="s">
        <v>622</v>
      </c>
      <c r="J124" s="239" t="s">
        <v>1448</v>
      </c>
      <c r="K124" s="239">
        <v>3</v>
      </c>
      <c r="L124" s="239" t="s">
        <v>973</v>
      </c>
      <c r="M124" s="239">
        <v>30000000</v>
      </c>
      <c r="N124" s="239" t="s">
        <v>452</v>
      </c>
      <c r="O124" s="239" t="s">
        <v>10412</v>
      </c>
      <c r="P124" s="239" t="s">
        <v>447</v>
      </c>
      <c r="Q124" s="239" t="s">
        <v>18</v>
      </c>
      <c r="R124" s="256" t="s">
        <v>1450</v>
      </c>
      <c r="S124" s="239"/>
      <c r="T124" s="239"/>
      <c r="U124" s="239"/>
      <c r="V124" s="239"/>
      <c r="W124" s="239"/>
      <c r="X124" s="239"/>
      <c r="Y124" s="239"/>
      <c r="Z124" s="239"/>
    </row>
    <row r="125" spans="1:26" ht="15.75" customHeight="1">
      <c r="A125" s="255">
        <v>44782</v>
      </c>
      <c r="B125" s="239" t="s">
        <v>141</v>
      </c>
      <c r="C125" s="249">
        <v>3.5</v>
      </c>
      <c r="D125" s="239" t="s">
        <v>11534</v>
      </c>
      <c r="E125" s="250" t="s">
        <v>5</v>
      </c>
      <c r="F125" s="239" t="s">
        <v>447</v>
      </c>
      <c r="G125" s="239" t="s">
        <v>10438</v>
      </c>
      <c r="H125" s="239">
        <v>3</v>
      </c>
      <c r="I125" s="239" t="s">
        <v>449</v>
      </c>
      <c r="J125" s="239" t="s">
        <v>13400</v>
      </c>
      <c r="K125" s="239">
        <v>4</v>
      </c>
      <c r="L125" s="239" t="s">
        <v>451</v>
      </c>
      <c r="M125" s="239">
        <v>1500000</v>
      </c>
      <c r="N125" s="239" t="s">
        <v>452</v>
      </c>
      <c r="O125" s="239" t="s">
        <v>9485</v>
      </c>
      <c r="P125" s="239"/>
      <c r="Q125" s="239" t="s">
        <v>20</v>
      </c>
      <c r="R125" s="256" t="s">
        <v>9486</v>
      </c>
      <c r="S125" s="239"/>
      <c r="T125" s="239"/>
      <c r="U125" s="239"/>
      <c r="V125" s="239"/>
      <c r="W125" s="239"/>
      <c r="X125" s="239"/>
      <c r="Y125" s="239"/>
      <c r="Z125" s="239"/>
    </row>
    <row r="126" spans="1:26" ht="15.75" customHeight="1">
      <c r="A126" s="248">
        <v>44782</v>
      </c>
      <c r="B126" s="219" t="s">
        <v>4735</v>
      </c>
      <c r="C126" s="249">
        <v>3.5</v>
      </c>
      <c r="D126" s="219" t="s">
        <v>4738</v>
      </c>
      <c r="E126" s="250" t="s">
        <v>4</v>
      </c>
      <c r="F126" s="219" t="s">
        <v>727</v>
      </c>
      <c r="G126" s="219" t="s">
        <v>4739</v>
      </c>
      <c r="H126" s="219">
        <v>4</v>
      </c>
      <c r="I126" s="219" t="s">
        <v>1054</v>
      </c>
      <c r="J126" s="219" t="s">
        <v>10445</v>
      </c>
      <c r="K126" s="219">
        <v>3</v>
      </c>
      <c r="L126" s="219" t="s">
        <v>451</v>
      </c>
      <c r="M126" s="219">
        <v>3000000</v>
      </c>
      <c r="N126" s="219" t="s">
        <v>465</v>
      </c>
      <c r="O126" s="219" t="s">
        <v>452</v>
      </c>
      <c r="P126" s="219" t="s">
        <v>710</v>
      </c>
      <c r="Q126" s="219" t="s">
        <v>24</v>
      </c>
      <c r="R126" s="251"/>
      <c r="S126" s="252"/>
      <c r="T126" s="252"/>
      <c r="U126" s="252"/>
      <c r="V126" s="219"/>
      <c r="W126" s="219"/>
      <c r="X126" s="219"/>
      <c r="Y126" s="219"/>
      <c r="Z126" s="219"/>
    </row>
    <row r="127" spans="1:26" ht="15.75" customHeight="1">
      <c r="A127" s="255">
        <v>44782</v>
      </c>
      <c r="B127" s="239" t="s">
        <v>299</v>
      </c>
      <c r="C127" s="249">
        <v>3.5</v>
      </c>
      <c r="D127" s="239" t="s">
        <v>4665</v>
      </c>
      <c r="E127" s="250" t="s">
        <v>4</v>
      </c>
      <c r="F127" s="239" t="s">
        <v>460</v>
      </c>
      <c r="G127" s="239" t="s">
        <v>4666</v>
      </c>
      <c r="H127" s="239">
        <v>4</v>
      </c>
      <c r="I127" s="239" t="s">
        <v>462</v>
      </c>
      <c r="J127" s="239"/>
      <c r="K127" s="239">
        <v>3</v>
      </c>
      <c r="L127" s="239" t="s">
        <v>478</v>
      </c>
      <c r="M127" s="239" t="s">
        <v>4667</v>
      </c>
      <c r="N127" s="239" t="s">
        <v>452</v>
      </c>
      <c r="O127" s="239" t="s">
        <v>452</v>
      </c>
      <c r="P127" s="239"/>
      <c r="Q127" s="239" t="s">
        <v>20</v>
      </c>
      <c r="R127" s="256" t="s">
        <v>4668</v>
      </c>
      <c r="S127" s="239"/>
      <c r="T127" s="239"/>
      <c r="U127" s="239"/>
      <c r="V127" s="239"/>
      <c r="W127" s="239"/>
      <c r="X127" s="239"/>
      <c r="Y127" s="239"/>
      <c r="Z127" s="239"/>
    </row>
    <row r="128" spans="1:26" ht="15.75" customHeight="1">
      <c r="A128" s="257">
        <v>44782</v>
      </c>
      <c r="B128" s="258" t="s">
        <v>2965</v>
      </c>
      <c r="C128" s="249">
        <v>3.5</v>
      </c>
      <c r="D128" s="258" t="s">
        <v>2968</v>
      </c>
      <c r="E128" s="250" t="s">
        <v>5</v>
      </c>
      <c r="F128" s="258" t="s">
        <v>447</v>
      </c>
      <c r="G128" s="258" t="s">
        <v>11171</v>
      </c>
      <c r="H128" s="258">
        <v>3.5</v>
      </c>
      <c r="I128" s="258" t="s">
        <v>543</v>
      </c>
      <c r="J128" s="258">
        <v>3.5</v>
      </c>
      <c r="K128" s="258">
        <v>3.5</v>
      </c>
      <c r="L128" s="258" t="s">
        <v>784</v>
      </c>
      <c r="M128" s="258" t="s">
        <v>2527</v>
      </c>
      <c r="N128" s="258" t="s">
        <v>452</v>
      </c>
      <c r="O128" s="258" t="s">
        <v>452</v>
      </c>
      <c r="P128" s="258" t="s">
        <v>727</v>
      </c>
      <c r="Q128" s="258" t="s">
        <v>24</v>
      </c>
      <c r="R128" s="259" t="s">
        <v>11173</v>
      </c>
      <c r="S128" s="258"/>
      <c r="T128" s="258"/>
      <c r="U128" s="258"/>
      <c r="V128" s="258"/>
      <c r="W128" s="258"/>
      <c r="X128" s="258"/>
      <c r="Y128" s="258"/>
      <c r="Z128" s="258"/>
    </row>
    <row r="129" spans="1:26" ht="15.75" customHeight="1">
      <c r="A129" s="253">
        <v>44782</v>
      </c>
      <c r="B129" s="224" t="s">
        <v>375</v>
      </c>
      <c r="C129" s="249">
        <v>3.5</v>
      </c>
      <c r="D129" s="224" t="s">
        <v>10012</v>
      </c>
      <c r="E129" s="250" t="s">
        <v>5</v>
      </c>
      <c r="F129" s="224" t="s">
        <v>447</v>
      </c>
      <c r="G129" s="224" t="s">
        <v>11201</v>
      </c>
      <c r="H129" s="224">
        <v>4</v>
      </c>
      <c r="I129" s="224" t="s">
        <v>449</v>
      </c>
      <c r="J129" s="224" t="s">
        <v>13400</v>
      </c>
      <c r="K129" s="224">
        <v>3</v>
      </c>
      <c r="L129" s="224" t="s">
        <v>451</v>
      </c>
      <c r="M129" s="224">
        <v>5000000</v>
      </c>
      <c r="N129" s="224" t="s">
        <v>452</v>
      </c>
      <c r="O129" s="224" t="s">
        <v>452</v>
      </c>
      <c r="P129" s="224" t="s">
        <v>447</v>
      </c>
      <c r="Q129" s="224" t="s">
        <v>18</v>
      </c>
      <c r="R129" s="254"/>
      <c r="S129" s="252"/>
      <c r="T129" s="252"/>
      <c r="U129" s="252"/>
      <c r="V129" s="224"/>
      <c r="W129" s="224"/>
      <c r="X129" s="224"/>
      <c r="Y129" s="224"/>
      <c r="Z129" s="224"/>
    </row>
    <row r="130" spans="1:26" ht="15.75" customHeight="1">
      <c r="A130" s="257">
        <v>44782</v>
      </c>
      <c r="B130" s="258" t="s">
        <v>8859</v>
      </c>
      <c r="C130" s="249">
        <v>3.5</v>
      </c>
      <c r="D130" s="258" t="s">
        <v>11221</v>
      </c>
      <c r="E130" s="250" t="s">
        <v>3</v>
      </c>
      <c r="F130" s="258" t="s">
        <v>460</v>
      </c>
      <c r="G130" s="258" t="s">
        <v>8863</v>
      </c>
      <c r="H130" s="258">
        <v>3</v>
      </c>
      <c r="I130" s="258" t="s">
        <v>462</v>
      </c>
      <c r="J130" s="258" t="s">
        <v>11222</v>
      </c>
      <c r="K130" s="258">
        <v>4</v>
      </c>
      <c r="L130" s="258" t="s">
        <v>451</v>
      </c>
      <c r="M130" s="258">
        <v>1000000</v>
      </c>
      <c r="N130" s="258" t="s">
        <v>454</v>
      </c>
      <c r="O130" s="258" t="s">
        <v>8865</v>
      </c>
      <c r="P130" s="258"/>
      <c r="Q130" s="258" t="s">
        <v>24</v>
      </c>
      <c r="R130" s="259" t="s">
        <v>8866</v>
      </c>
      <c r="S130" s="258"/>
      <c r="T130" s="258"/>
      <c r="U130" s="258"/>
      <c r="V130" s="258"/>
      <c r="W130" s="258"/>
      <c r="X130" s="258"/>
      <c r="Y130" s="258"/>
      <c r="Z130" s="258"/>
    </row>
    <row r="131" spans="1:26" ht="15.75" customHeight="1">
      <c r="A131" s="253">
        <v>44782</v>
      </c>
      <c r="B131" s="224" t="s">
        <v>4822</v>
      </c>
      <c r="C131" s="249">
        <v>3.5</v>
      </c>
      <c r="D131" s="224" t="s">
        <v>4825</v>
      </c>
      <c r="E131" s="250" t="s">
        <v>4</v>
      </c>
      <c r="F131" s="224" t="s">
        <v>727</v>
      </c>
      <c r="G131" s="224" t="s">
        <v>11388</v>
      </c>
      <c r="H131" s="224">
        <v>3</v>
      </c>
      <c r="I131" s="224" t="s">
        <v>476</v>
      </c>
      <c r="J131" s="224" t="s">
        <v>13400</v>
      </c>
      <c r="K131" s="224">
        <v>4</v>
      </c>
      <c r="L131" s="224" t="s">
        <v>451</v>
      </c>
      <c r="M131" s="224" t="s">
        <v>4828</v>
      </c>
      <c r="N131" s="224" t="s">
        <v>452</v>
      </c>
      <c r="O131" s="224" t="s">
        <v>4829</v>
      </c>
      <c r="P131" s="224"/>
      <c r="Q131" s="224" t="s">
        <v>24</v>
      </c>
      <c r="R131" s="254"/>
      <c r="S131" s="252"/>
      <c r="T131" s="252"/>
      <c r="U131" s="252"/>
      <c r="V131" s="224"/>
      <c r="W131" s="224"/>
      <c r="X131" s="224"/>
      <c r="Y131" s="224"/>
      <c r="Z131" s="224"/>
    </row>
    <row r="132" spans="1:26" ht="15.75" customHeight="1">
      <c r="A132" s="257">
        <v>44782</v>
      </c>
      <c r="B132" s="258" t="s">
        <v>66</v>
      </c>
      <c r="C132" s="249">
        <v>3.5</v>
      </c>
      <c r="D132" s="258" t="s">
        <v>9458</v>
      </c>
      <c r="E132" s="250" t="s">
        <v>5</v>
      </c>
      <c r="F132" s="258" t="s">
        <v>460</v>
      </c>
      <c r="G132" s="258" t="s">
        <v>9459</v>
      </c>
      <c r="H132" s="258">
        <v>3</v>
      </c>
      <c r="I132" s="258" t="s">
        <v>462</v>
      </c>
      <c r="J132" s="258" t="s">
        <v>9460</v>
      </c>
      <c r="K132" s="258">
        <v>4</v>
      </c>
      <c r="L132" s="258" t="s">
        <v>478</v>
      </c>
      <c r="M132" s="261">
        <v>20000000</v>
      </c>
      <c r="N132" s="258" t="s">
        <v>452</v>
      </c>
      <c r="O132" s="258" t="s">
        <v>452</v>
      </c>
      <c r="P132" s="258"/>
      <c r="Q132" s="258" t="s">
        <v>20</v>
      </c>
      <c r="R132" s="259" t="s">
        <v>11535</v>
      </c>
      <c r="S132" s="258"/>
      <c r="T132" s="258"/>
      <c r="U132" s="258"/>
      <c r="V132" s="258"/>
      <c r="W132" s="258"/>
      <c r="X132" s="258"/>
      <c r="Y132" s="258"/>
      <c r="Z132" s="258"/>
    </row>
    <row r="133" spans="1:26" ht="15.75" customHeight="1">
      <c r="A133" s="253">
        <v>44782</v>
      </c>
      <c r="B133" s="224" t="s">
        <v>2931</v>
      </c>
      <c r="C133" s="249">
        <v>3.5</v>
      </c>
      <c r="D133" s="224" t="s">
        <v>2934</v>
      </c>
      <c r="E133" s="250" t="s">
        <v>5</v>
      </c>
      <c r="F133" s="224" t="s">
        <v>447</v>
      </c>
      <c r="G133" s="224" t="s">
        <v>11174</v>
      </c>
      <c r="H133" s="224">
        <v>4</v>
      </c>
      <c r="I133" s="224" t="s">
        <v>622</v>
      </c>
      <c r="J133" s="224" t="s">
        <v>11536</v>
      </c>
      <c r="K133" s="224">
        <v>3</v>
      </c>
      <c r="L133" s="224" t="s">
        <v>451</v>
      </c>
      <c r="M133" s="224">
        <v>1500000</v>
      </c>
      <c r="N133" s="224" t="s">
        <v>452</v>
      </c>
      <c r="O133" s="224" t="s">
        <v>2937</v>
      </c>
      <c r="P133" s="224"/>
      <c r="Q133" s="224" t="s">
        <v>24</v>
      </c>
      <c r="R133" s="254"/>
      <c r="S133" s="252"/>
      <c r="T133" s="252"/>
      <c r="U133" s="252"/>
      <c r="V133" s="224"/>
      <c r="W133" s="224"/>
      <c r="X133" s="224"/>
      <c r="Y133" s="224"/>
      <c r="Z133" s="224"/>
    </row>
    <row r="134" spans="1:26" ht="15.75" customHeight="1">
      <c r="A134" s="248">
        <v>44782</v>
      </c>
      <c r="B134" s="219" t="s">
        <v>4942</v>
      </c>
      <c r="C134" s="249">
        <v>3.38</v>
      </c>
      <c r="D134" s="219" t="s">
        <v>4945</v>
      </c>
      <c r="E134" s="250" t="s">
        <v>4</v>
      </c>
      <c r="F134" s="219" t="s">
        <v>727</v>
      </c>
      <c r="G134" s="219" t="s">
        <v>4946</v>
      </c>
      <c r="H134" s="219">
        <v>3.75</v>
      </c>
      <c r="I134" s="219" t="s">
        <v>1054</v>
      </c>
      <c r="J134" s="219"/>
      <c r="K134" s="219">
        <v>3</v>
      </c>
      <c r="L134" s="219" t="s">
        <v>451</v>
      </c>
      <c r="M134" s="219">
        <v>345000</v>
      </c>
      <c r="N134" s="219" t="s">
        <v>452</v>
      </c>
      <c r="O134" s="219" t="s">
        <v>4947</v>
      </c>
      <c r="P134" s="219"/>
      <c r="Q134" s="219" t="s">
        <v>24</v>
      </c>
      <c r="R134" s="251"/>
      <c r="S134" s="252"/>
      <c r="T134" s="252"/>
      <c r="U134" s="252"/>
      <c r="V134" s="219"/>
      <c r="W134" s="219"/>
      <c r="X134" s="219"/>
      <c r="Y134" s="219"/>
      <c r="Z134" s="219"/>
    </row>
    <row r="135" spans="1:26" ht="15.75" customHeight="1">
      <c r="A135" s="253">
        <v>44782</v>
      </c>
      <c r="B135" s="224" t="s">
        <v>5235</v>
      </c>
      <c r="C135" s="249">
        <v>3.25</v>
      </c>
      <c r="D135" s="224" t="s">
        <v>5238</v>
      </c>
      <c r="E135" s="250" t="s">
        <v>4</v>
      </c>
      <c r="F135" s="224" t="s">
        <v>727</v>
      </c>
      <c r="G135" s="224" t="s">
        <v>5239</v>
      </c>
      <c r="H135" s="224">
        <v>3.5</v>
      </c>
      <c r="I135" s="224" t="s">
        <v>476</v>
      </c>
      <c r="J135" s="224" t="s">
        <v>13400</v>
      </c>
      <c r="K135" s="224">
        <v>3</v>
      </c>
      <c r="L135" s="224"/>
      <c r="M135" s="224"/>
      <c r="N135" s="224" t="s">
        <v>452</v>
      </c>
      <c r="O135" s="224" t="s">
        <v>5241</v>
      </c>
      <c r="P135" s="224" t="s">
        <v>447</v>
      </c>
      <c r="Q135" s="224" t="s">
        <v>24</v>
      </c>
      <c r="R135" s="254"/>
      <c r="S135" s="252"/>
      <c r="T135" s="252"/>
      <c r="U135" s="252"/>
      <c r="V135" s="224"/>
      <c r="W135" s="224"/>
      <c r="X135" s="224"/>
      <c r="Y135" s="224"/>
      <c r="Z135" s="224"/>
    </row>
    <row r="136" spans="1:26" ht="15.75" customHeight="1">
      <c r="A136" s="248">
        <v>44782</v>
      </c>
      <c r="B136" s="219" t="s">
        <v>9210</v>
      </c>
      <c r="C136" s="249">
        <v>3.25</v>
      </c>
      <c r="D136" s="219" t="s">
        <v>9213</v>
      </c>
      <c r="E136" s="250" t="s">
        <v>3</v>
      </c>
      <c r="F136" s="219" t="s">
        <v>727</v>
      </c>
      <c r="G136" s="219" t="s">
        <v>10271</v>
      </c>
      <c r="H136" s="219">
        <v>3</v>
      </c>
      <c r="I136" s="219" t="s">
        <v>1054</v>
      </c>
      <c r="J136" s="219"/>
      <c r="K136" s="219">
        <v>3.5</v>
      </c>
      <c r="L136" s="219" t="s">
        <v>478</v>
      </c>
      <c r="M136" s="219" t="s">
        <v>9215</v>
      </c>
      <c r="N136" s="219" t="s">
        <v>452</v>
      </c>
      <c r="O136" s="219" t="s">
        <v>9216</v>
      </c>
      <c r="P136" s="219"/>
      <c r="Q136" s="219" t="s">
        <v>24</v>
      </c>
      <c r="R136" s="251"/>
      <c r="S136" s="252"/>
      <c r="T136" s="252"/>
      <c r="U136" s="252"/>
      <c r="V136" s="219"/>
      <c r="W136" s="219"/>
      <c r="X136" s="219"/>
      <c r="Y136" s="219"/>
      <c r="Z136" s="219"/>
    </row>
    <row r="137" spans="1:26" ht="15.75" customHeight="1">
      <c r="A137" s="255">
        <v>44782</v>
      </c>
      <c r="B137" s="239" t="s">
        <v>74</v>
      </c>
      <c r="C137" s="262">
        <v>3.25</v>
      </c>
      <c r="D137" s="239" t="s">
        <v>9569</v>
      </c>
      <c r="E137" s="239" t="s">
        <v>3</v>
      </c>
      <c r="F137" s="239" t="s">
        <v>5</v>
      </c>
      <c r="G137" s="239" t="s">
        <v>9570</v>
      </c>
      <c r="H137" s="239">
        <v>3.5</v>
      </c>
      <c r="I137" s="239" t="s">
        <v>941</v>
      </c>
      <c r="J137" s="239"/>
      <c r="K137" s="239">
        <v>3</v>
      </c>
      <c r="L137" s="239" t="s">
        <v>478</v>
      </c>
      <c r="M137" s="239">
        <v>5000000</v>
      </c>
      <c r="N137" s="239" t="s">
        <v>452</v>
      </c>
      <c r="O137" s="239" t="s">
        <v>9571</v>
      </c>
      <c r="P137" s="239" t="s">
        <v>9572</v>
      </c>
      <c r="Q137" s="239" t="s">
        <v>20</v>
      </c>
      <c r="R137" s="256" t="s">
        <v>9573</v>
      </c>
      <c r="S137" s="239"/>
      <c r="T137" s="239"/>
      <c r="U137" s="239"/>
      <c r="V137" s="239"/>
      <c r="W137" s="239"/>
      <c r="X137" s="239"/>
      <c r="Y137" s="239"/>
      <c r="Z137" s="239"/>
    </row>
    <row r="138" spans="1:26" ht="15.75" customHeight="1">
      <c r="A138" s="248">
        <v>44782</v>
      </c>
      <c r="B138" s="219" t="s">
        <v>3377</v>
      </c>
      <c r="C138" s="249">
        <v>3.25</v>
      </c>
      <c r="D138" s="219" t="s">
        <v>10391</v>
      </c>
      <c r="E138" s="250" t="s">
        <v>5</v>
      </c>
      <c r="F138" s="219" t="s">
        <v>447</v>
      </c>
      <c r="G138" s="219" t="s">
        <v>10392</v>
      </c>
      <c r="H138" s="219">
        <v>3.5</v>
      </c>
      <c r="I138" s="219" t="s">
        <v>476</v>
      </c>
      <c r="J138" s="219" t="s">
        <v>13400</v>
      </c>
      <c r="K138" s="219">
        <v>3</v>
      </c>
      <c r="L138" s="219" t="s">
        <v>478</v>
      </c>
      <c r="M138" s="219">
        <v>5000000</v>
      </c>
      <c r="N138" s="219" t="s">
        <v>3383</v>
      </c>
      <c r="O138" s="219" t="s">
        <v>10394</v>
      </c>
      <c r="P138" s="219"/>
      <c r="Q138" s="219" t="s">
        <v>24</v>
      </c>
      <c r="R138" s="251"/>
      <c r="S138" s="252"/>
      <c r="T138" s="252"/>
      <c r="U138" s="252"/>
      <c r="V138" s="219"/>
      <c r="W138" s="219"/>
      <c r="X138" s="219"/>
      <c r="Y138" s="219"/>
      <c r="Z138" s="219"/>
    </row>
    <row r="139" spans="1:26" ht="15.75" customHeight="1">
      <c r="A139" s="253">
        <v>44782</v>
      </c>
      <c r="B139" s="224" t="s">
        <v>2090</v>
      </c>
      <c r="C139" s="249">
        <v>3.25</v>
      </c>
      <c r="D139" s="224" t="s">
        <v>2093</v>
      </c>
      <c r="E139" s="250" t="s">
        <v>5</v>
      </c>
      <c r="F139" s="224" t="s">
        <v>447</v>
      </c>
      <c r="G139" s="224" t="s">
        <v>10401</v>
      </c>
      <c r="H139" s="224">
        <v>3.5</v>
      </c>
      <c r="I139" s="224" t="s">
        <v>449</v>
      </c>
      <c r="J139" s="224" t="s">
        <v>13400</v>
      </c>
      <c r="K139" s="224">
        <v>3</v>
      </c>
      <c r="L139" s="224" t="s">
        <v>451</v>
      </c>
      <c r="M139" s="224">
        <v>2500000</v>
      </c>
      <c r="N139" s="224" t="s">
        <v>465</v>
      </c>
      <c r="O139" s="224" t="s">
        <v>2096</v>
      </c>
      <c r="P139" s="224"/>
      <c r="Q139" s="224" t="s">
        <v>24</v>
      </c>
      <c r="R139" s="254"/>
      <c r="S139" s="252"/>
      <c r="T139" s="252"/>
      <c r="U139" s="252"/>
      <c r="V139" s="224"/>
      <c r="W139" s="224"/>
      <c r="X139" s="224"/>
      <c r="Y139" s="224"/>
      <c r="Z139" s="224"/>
    </row>
    <row r="140" spans="1:26" ht="15.75" customHeight="1">
      <c r="A140" s="255">
        <v>44782</v>
      </c>
      <c r="B140" s="239" t="s">
        <v>102</v>
      </c>
      <c r="C140" s="249">
        <v>3.25</v>
      </c>
      <c r="D140" s="239" t="s">
        <v>9450</v>
      </c>
      <c r="E140" s="250" t="s">
        <v>3</v>
      </c>
      <c r="F140" s="239" t="s">
        <v>460</v>
      </c>
      <c r="G140" s="239" t="s">
        <v>9451</v>
      </c>
      <c r="H140" s="239">
        <v>3</v>
      </c>
      <c r="I140" s="239" t="s">
        <v>941</v>
      </c>
      <c r="J140" s="239"/>
      <c r="K140" s="239">
        <v>3.5</v>
      </c>
      <c r="L140" s="239" t="s">
        <v>451</v>
      </c>
      <c r="M140" s="239">
        <v>1000000</v>
      </c>
      <c r="N140" s="239" t="s">
        <v>452</v>
      </c>
      <c r="O140" s="239" t="s">
        <v>11537</v>
      </c>
      <c r="P140" s="239"/>
      <c r="Q140" s="239" t="s">
        <v>19</v>
      </c>
      <c r="R140" s="256" t="s">
        <v>9453</v>
      </c>
      <c r="S140" s="239"/>
      <c r="T140" s="239"/>
      <c r="U140" s="239"/>
      <c r="V140" s="239"/>
      <c r="W140" s="239"/>
      <c r="X140" s="239"/>
      <c r="Y140" s="239"/>
      <c r="Z140" s="239"/>
    </row>
    <row r="141" spans="1:26" ht="15.75" customHeight="1">
      <c r="A141" s="255">
        <v>44782</v>
      </c>
      <c r="B141" s="239" t="s">
        <v>155</v>
      </c>
      <c r="C141" s="249">
        <v>3.25</v>
      </c>
      <c r="D141" s="239" t="s">
        <v>10478</v>
      </c>
      <c r="E141" s="250" t="s">
        <v>5</v>
      </c>
      <c r="F141" s="239" t="s">
        <v>447</v>
      </c>
      <c r="G141" s="239" t="s">
        <v>10479</v>
      </c>
      <c r="H141" s="239">
        <v>3.5</v>
      </c>
      <c r="I141" s="239" t="s">
        <v>543</v>
      </c>
      <c r="J141" s="239" t="s">
        <v>10480</v>
      </c>
      <c r="K141" s="239">
        <v>3</v>
      </c>
      <c r="L141" s="239" t="s">
        <v>478</v>
      </c>
      <c r="M141" s="239" t="s">
        <v>9403</v>
      </c>
      <c r="N141" s="239" t="s">
        <v>452</v>
      </c>
      <c r="O141" s="239" t="s">
        <v>452</v>
      </c>
      <c r="P141" s="239"/>
      <c r="Q141" s="239" t="s">
        <v>19</v>
      </c>
      <c r="R141" s="256" t="s">
        <v>2260</v>
      </c>
      <c r="S141" s="239"/>
      <c r="T141" s="239"/>
      <c r="U141" s="239"/>
      <c r="V141" s="239"/>
      <c r="W141" s="239"/>
      <c r="X141" s="239"/>
      <c r="Y141" s="239"/>
      <c r="Z141" s="239"/>
    </row>
    <row r="142" spans="1:26" ht="15.75" customHeight="1">
      <c r="A142" s="248">
        <v>44782</v>
      </c>
      <c r="B142" s="219" t="s">
        <v>2301</v>
      </c>
      <c r="C142" s="249">
        <v>3.25</v>
      </c>
      <c r="D142" s="219" t="s">
        <v>10482</v>
      </c>
      <c r="E142" s="250" t="s">
        <v>5</v>
      </c>
      <c r="F142" s="219" t="s">
        <v>447</v>
      </c>
      <c r="G142" s="219" t="s">
        <v>10483</v>
      </c>
      <c r="H142" s="219">
        <v>3</v>
      </c>
      <c r="I142" s="219" t="s">
        <v>543</v>
      </c>
      <c r="J142" s="219"/>
      <c r="K142" s="219">
        <v>3.5</v>
      </c>
      <c r="L142" s="219" t="s">
        <v>451</v>
      </c>
      <c r="M142" s="219" t="s">
        <v>2306</v>
      </c>
      <c r="N142" s="219" t="s">
        <v>452</v>
      </c>
      <c r="O142" s="219" t="s">
        <v>575</v>
      </c>
      <c r="P142" s="219"/>
      <c r="Q142" s="219" t="s">
        <v>24</v>
      </c>
      <c r="R142" s="251"/>
      <c r="S142" s="252"/>
      <c r="T142" s="252"/>
      <c r="U142" s="252"/>
      <c r="V142" s="219"/>
      <c r="W142" s="219"/>
      <c r="X142" s="219"/>
      <c r="Y142" s="219"/>
      <c r="Z142" s="219"/>
    </row>
    <row r="143" spans="1:26" ht="15.75" customHeight="1">
      <c r="A143" s="253">
        <v>44782</v>
      </c>
      <c r="B143" s="224" t="s">
        <v>5011</v>
      </c>
      <c r="C143" s="249">
        <v>3.25</v>
      </c>
      <c r="D143" s="224" t="s">
        <v>5014</v>
      </c>
      <c r="E143" s="250" t="s">
        <v>4</v>
      </c>
      <c r="F143" s="224" t="s">
        <v>602</v>
      </c>
      <c r="G143" s="224" t="s">
        <v>5015</v>
      </c>
      <c r="H143" s="224">
        <v>3.5</v>
      </c>
      <c r="I143" s="224" t="s">
        <v>1054</v>
      </c>
      <c r="J143" s="224" t="s">
        <v>5016</v>
      </c>
      <c r="K143" s="224">
        <v>3</v>
      </c>
      <c r="L143" s="224" t="s">
        <v>784</v>
      </c>
      <c r="M143" s="224">
        <v>500000</v>
      </c>
      <c r="N143" s="224" t="s">
        <v>452</v>
      </c>
      <c r="O143" s="224" t="s">
        <v>1119</v>
      </c>
      <c r="P143" s="224"/>
      <c r="Q143" s="224" t="s">
        <v>24</v>
      </c>
      <c r="R143" s="254"/>
      <c r="S143" s="252"/>
      <c r="T143" s="252"/>
      <c r="U143" s="252"/>
      <c r="V143" s="224"/>
      <c r="W143" s="224"/>
      <c r="X143" s="224"/>
      <c r="Y143" s="224"/>
      <c r="Z143" s="224"/>
    </row>
    <row r="144" spans="1:26" ht="15.75" customHeight="1">
      <c r="A144" s="255">
        <v>44782</v>
      </c>
      <c r="B144" s="239" t="s">
        <v>147</v>
      </c>
      <c r="C144" s="249">
        <v>3.25</v>
      </c>
      <c r="D144" s="239" t="s">
        <v>9391</v>
      </c>
      <c r="E144" s="250" t="s">
        <v>5</v>
      </c>
      <c r="F144" s="239" t="s">
        <v>447</v>
      </c>
      <c r="G144" s="239" t="s">
        <v>11205</v>
      </c>
      <c r="H144" s="239">
        <v>3</v>
      </c>
      <c r="I144" s="239" t="s">
        <v>543</v>
      </c>
      <c r="J144" s="239" t="s">
        <v>13400</v>
      </c>
      <c r="K144" s="239">
        <v>3.5</v>
      </c>
      <c r="L144" s="239" t="s">
        <v>478</v>
      </c>
      <c r="M144" s="239">
        <v>3000000</v>
      </c>
      <c r="N144" s="239" t="s">
        <v>465</v>
      </c>
      <c r="O144" s="239" t="s">
        <v>11206</v>
      </c>
      <c r="P144" s="239"/>
      <c r="Q144" s="239" t="s">
        <v>19</v>
      </c>
      <c r="R144" s="256" t="s">
        <v>9395</v>
      </c>
      <c r="S144" s="239"/>
      <c r="T144" s="239"/>
      <c r="U144" s="239"/>
      <c r="V144" s="239"/>
      <c r="W144" s="239"/>
      <c r="X144" s="239"/>
      <c r="Y144" s="239"/>
      <c r="Z144" s="239"/>
    </row>
    <row r="145" spans="1:26" ht="15.75" customHeight="1">
      <c r="A145" s="257">
        <v>44782</v>
      </c>
      <c r="B145" s="258" t="s">
        <v>3167</v>
      </c>
      <c r="C145" s="249">
        <v>3.25</v>
      </c>
      <c r="D145" s="258" t="s">
        <v>3170</v>
      </c>
      <c r="E145" s="250" t="s">
        <v>5</v>
      </c>
      <c r="F145" s="258" t="s">
        <v>447</v>
      </c>
      <c r="G145" s="258" t="s">
        <v>11207</v>
      </c>
      <c r="H145" s="258">
        <v>3</v>
      </c>
      <c r="I145" s="258" t="s">
        <v>543</v>
      </c>
      <c r="J145" s="258" t="s">
        <v>3172</v>
      </c>
      <c r="K145" s="258">
        <v>3.5</v>
      </c>
      <c r="L145" s="258" t="s">
        <v>923</v>
      </c>
      <c r="M145" s="258">
        <v>10000000</v>
      </c>
      <c r="N145" s="258" t="s">
        <v>452</v>
      </c>
      <c r="O145" s="258" t="s">
        <v>3173</v>
      </c>
      <c r="P145" s="258"/>
      <c r="Q145" s="258" t="s">
        <v>24</v>
      </c>
      <c r="R145" s="259" t="s">
        <v>3174</v>
      </c>
      <c r="S145" s="258"/>
      <c r="T145" s="258"/>
      <c r="U145" s="258"/>
      <c r="V145" s="258"/>
      <c r="W145" s="258"/>
      <c r="X145" s="258"/>
      <c r="Y145" s="258"/>
      <c r="Z145" s="258"/>
    </row>
    <row r="146" spans="1:26" ht="15.75" customHeight="1">
      <c r="A146" s="248">
        <v>44782</v>
      </c>
      <c r="B146" s="219" t="s">
        <v>4978</v>
      </c>
      <c r="C146" s="249">
        <v>3.25</v>
      </c>
      <c r="D146" s="219" t="s">
        <v>4981</v>
      </c>
      <c r="E146" s="250" t="s">
        <v>4</v>
      </c>
      <c r="F146" s="219" t="s">
        <v>727</v>
      </c>
      <c r="G146" s="219" t="s">
        <v>11474</v>
      </c>
      <c r="H146" s="219">
        <v>3</v>
      </c>
      <c r="I146" s="219" t="s">
        <v>1054</v>
      </c>
      <c r="J146" s="219" t="s">
        <v>4983</v>
      </c>
      <c r="K146" s="219">
        <v>3.5</v>
      </c>
      <c r="L146" s="219" t="s">
        <v>451</v>
      </c>
      <c r="M146" s="219">
        <v>1500000</v>
      </c>
      <c r="N146" s="219" t="s">
        <v>465</v>
      </c>
      <c r="O146" s="219" t="s">
        <v>4984</v>
      </c>
      <c r="P146" s="219"/>
      <c r="Q146" s="219" t="s">
        <v>24</v>
      </c>
      <c r="R146" s="251"/>
      <c r="S146" s="252"/>
      <c r="T146" s="252"/>
      <c r="U146" s="252"/>
      <c r="V146" s="219"/>
      <c r="W146" s="219"/>
      <c r="X146" s="219"/>
      <c r="Y146" s="219"/>
      <c r="Z146" s="219"/>
    </row>
    <row r="147" spans="1:26" ht="15.75" customHeight="1">
      <c r="A147" s="253">
        <v>44782</v>
      </c>
      <c r="B147" s="224" t="s">
        <v>5616</v>
      </c>
      <c r="C147" s="249">
        <v>3</v>
      </c>
      <c r="D147" s="224" t="s">
        <v>5619</v>
      </c>
      <c r="E147" s="250" t="s">
        <v>4</v>
      </c>
      <c r="F147" s="224" t="s">
        <v>602</v>
      </c>
      <c r="G147" s="224" t="s">
        <v>5620</v>
      </c>
      <c r="H147" s="224">
        <v>3</v>
      </c>
      <c r="I147" s="224" t="s">
        <v>1054</v>
      </c>
      <c r="J147" s="224" t="s">
        <v>5621</v>
      </c>
      <c r="K147" s="224">
        <v>3</v>
      </c>
      <c r="L147" s="224" t="s">
        <v>784</v>
      </c>
      <c r="M147" s="224">
        <v>1500000</v>
      </c>
      <c r="N147" s="224" t="s">
        <v>465</v>
      </c>
      <c r="O147" s="224" t="s">
        <v>5622</v>
      </c>
      <c r="P147" s="224" t="s">
        <v>5623</v>
      </c>
      <c r="Q147" s="224" t="s">
        <v>24</v>
      </c>
      <c r="R147" s="254"/>
      <c r="S147" s="252"/>
      <c r="T147" s="252"/>
      <c r="U147" s="252"/>
      <c r="V147" s="224"/>
      <c r="W147" s="224"/>
      <c r="X147" s="224"/>
      <c r="Y147" s="224"/>
      <c r="Z147" s="224"/>
    </row>
    <row r="148" spans="1:26" ht="15.75" customHeight="1">
      <c r="A148" s="255">
        <v>44782</v>
      </c>
      <c r="B148" s="239" t="s">
        <v>2904</v>
      </c>
      <c r="C148" s="249">
        <v>3</v>
      </c>
      <c r="D148" s="239" t="s">
        <v>2907</v>
      </c>
      <c r="E148" s="250" t="s">
        <v>5</v>
      </c>
      <c r="F148" s="239" t="s">
        <v>447</v>
      </c>
      <c r="G148" s="239" t="s">
        <v>2908</v>
      </c>
      <c r="H148" s="239">
        <v>3</v>
      </c>
      <c r="I148" s="239" t="s">
        <v>476</v>
      </c>
      <c r="J148" s="239" t="s">
        <v>13400</v>
      </c>
      <c r="K148" s="239">
        <v>3</v>
      </c>
      <c r="L148" s="239" t="s">
        <v>451</v>
      </c>
      <c r="M148" s="239">
        <v>3500000</v>
      </c>
      <c r="N148" s="239" t="s">
        <v>454</v>
      </c>
      <c r="O148" s="239" t="s">
        <v>2910</v>
      </c>
      <c r="P148" s="239" t="s">
        <v>725</v>
      </c>
      <c r="Q148" s="219" t="s">
        <v>24</v>
      </c>
      <c r="R148" s="256" t="s">
        <v>2911</v>
      </c>
      <c r="S148" s="239"/>
      <c r="T148" s="239"/>
      <c r="U148" s="239"/>
      <c r="V148" s="239"/>
      <c r="W148" s="239"/>
      <c r="X148" s="239"/>
      <c r="Y148" s="239"/>
      <c r="Z148" s="239"/>
    </row>
    <row r="149" spans="1:26" ht="15.75" customHeight="1">
      <c r="A149" s="255">
        <v>44782</v>
      </c>
      <c r="B149" s="239" t="s">
        <v>2263</v>
      </c>
      <c r="C149" s="249">
        <v>3</v>
      </c>
      <c r="D149" s="239" t="s">
        <v>2266</v>
      </c>
      <c r="E149" s="250" t="s">
        <v>5</v>
      </c>
      <c r="F149" s="239" t="s">
        <v>460</v>
      </c>
      <c r="G149" s="239" t="s">
        <v>2267</v>
      </c>
      <c r="H149" s="239">
        <v>3</v>
      </c>
      <c r="I149" s="239" t="s">
        <v>1054</v>
      </c>
      <c r="J149" s="239" t="s">
        <v>2268</v>
      </c>
      <c r="K149" s="239">
        <v>3</v>
      </c>
      <c r="L149" s="239" t="s">
        <v>451</v>
      </c>
      <c r="M149" s="239">
        <v>1300000</v>
      </c>
      <c r="N149" s="239" t="s">
        <v>465</v>
      </c>
      <c r="O149" s="239" t="s">
        <v>2269</v>
      </c>
      <c r="P149" s="239"/>
      <c r="Q149" s="239" t="s">
        <v>24</v>
      </c>
      <c r="R149" s="256" t="s">
        <v>2270</v>
      </c>
      <c r="S149" s="239"/>
      <c r="T149" s="239"/>
      <c r="U149" s="239"/>
      <c r="V149" s="239"/>
      <c r="W149" s="239"/>
      <c r="X149" s="239"/>
      <c r="Y149" s="239"/>
      <c r="Z149" s="239"/>
    </row>
    <row r="150" spans="1:26" ht="15.75" customHeight="1">
      <c r="A150" s="248">
        <v>44782</v>
      </c>
      <c r="B150" s="219" t="s">
        <v>2507</v>
      </c>
      <c r="C150" s="249">
        <v>3</v>
      </c>
      <c r="D150" s="219" t="s">
        <v>2510</v>
      </c>
      <c r="E150" s="250" t="s">
        <v>5</v>
      </c>
      <c r="F150" s="219" t="s">
        <v>447</v>
      </c>
      <c r="G150" s="219" t="s">
        <v>10331</v>
      </c>
      <c r="H150" s="219">
        <v>4</v>
      </c>
      <c r="I150" s="219" t="s">
        <v>622</v>
      </c>
      <c r="J150" s="219"/>
      <c r="K150" s="219">
        <v>2</v>
      </c>
      <c r="L150" s="219"/>
      <c r="M150" s="219"/>
      <c r="N150" s="219" t="s">
        <v>452</v>
      </c>
      <c r="O150" s="219" t="s">
        <v>2512</v>
      </c>
      <c r="P150" s="219"/>
      <c r="Q150" s="219" t="s">
        <v>24</v>
      </c>
      <c r="R150" s="251"/>
      <c r="S150" s="252"/>
      <c r="T150" s="252"/>
      <c r="U150" s="252"/>
      <c r="V150" s="219"/>
      <c r="W150" s="219"/>
      <c r="X150" s="219"/>
      <c r="Y150" s="219"/>
      <c r="Z150" s="219"/>
    </row>
    <row r="151" spans="1:26" ht="15.75" customHeight="1">
      <c r="A151" s="257">
        <v>44782</v>
      </c>
      <c r="B151" s="258" t="s">
        <v>9630</v>
      </c>
      <c r="C151" s="263">
        <v>3</v>
      </c>
      <c r="D151" s="258" t="s">
        <v>9633</v>
      </c>
      <c r="E151" s="258" t="s">
        <v>4</v>
      </c>
      <c r="F151" s="258" t="s">
        <v>727</v>
      </c>
      <c r="G151" s="258" t="s">
        <v>10378</v>
      </c>
      <c r="H151" s="258">
        <v>3</v>
      </c>
      <c r="I151" s="258" t="s">
        <v>447</v>
      </c>
      <c r="J151" s="258" t="s">
        <v>10379</v>
      </c>
      <c r="K151" s="258">
        <v>3</v>
      </c>
      <c r="L151" s="258" t="s">
        <v>451</v>
      </c>
      <c r="M151" s="258" t="s">
        <v>4444</v>
      </c>
      <c r="N151" s="258" t="s">
        <v>452</v>
      </c>
      <c r="O151" s="258" t="s">
        <v>9636</v>
      </c>
      <c r="P151" s="258"/>
      <c r="Q151" s="258" t="s">
        <v>23</v>
      </c>
      <c r="R151" s="259" t="s">
        <v>9637</v>
      </c>
      <c r="S151" s="258"/>
      <c r="T151" s="258"/>
      <c r="U151" s="258"/>
      <c r="V151" s="258"/>
      <c r="W151" s="258"/>
      <c r="X151" s="258"/>
      <c r="Y151" s="258"/>
      <c r="Z151" s="258"/>
    </row>
    <row r="152" spans="1:26" ht="15.75" customHeight="1">
      <c r="A152" s="248">
        <v>44782</v>
      </c>
      <c r="B152" s="219" t="s">
        <v>5757</v>
      </c>
      <c r="C152" s="249">
        <v>3</v>
      </c>
      <c r="D152" s="219" t="s">
        <v>5760</v>
      </c>
      <c r="E152" s="250" t="s">
        <v>4</v>
      </c>
      <c r="F152" s="219" t="s">
        <v>602</v>
      </c>
      <c r="G152" s="219" t="s">
        <v>10403</v>
      </c>
      <c r="H152" s="219">
        <v>4</v>
      </c>
      <c r="I152" s="219" t="s">
        <v>476</v>
      </c>
      <c r="J152" s="219" t="s">
        <v>13400</v>
      </c>
      <c r="K152" s="219">
        <v>2</v>
      </c>
      <c r="L152" s="219" t="s">
        <v>451</v>
      </c>
      <c r="M152" s="219">
        <v>5000000</v>
      </c>
      <c r="N152" s="219" t="s">
        <v>452</v>
      </c>
      <c r="O152" s="219" t="s">
        <v>5763</v>
      </c>
      <c r="P152" s="219"/>
      <c r="Q152" s="219" t="s">
        <v>24</v>
      </c>
      <c r="R152" s="251"/>
      <c r="S152" s="219"/>
      <c r="T152" s="219"/>
      <c r="U152" s="219"/>
      <c r="V152" s="219"/>
      <c r="W152" s="219"/>
      <c r="X152" s="219"/>
      <c r="Y152" s="219"/>
      <c r="Z152" s="219"/>
    </row>
    <row r="153" spans="1:26" ht="15.75" customHeight="1">
      <c r="A153" s="253">
        <v>44782</v>
      </c>
      <c r="B153" s="224" t="s">
        <v>3052</v>
      </c>
      <c r="C153" s="249">
        <v>3</v>
      </c>
      <c r="D153" s="224" t="s">
        <v>3055</v>
      </c>
      <c r="E153" s="250" t="s">
        <v>5</v>
      </c>
      <c r="F153" s="224" t="s">
        <v>447</v>
      </c>
      <c r="G153" s="224" t="s">
        <v>11203</v>
      </c>
      <c r="H153" s="224">
        <v>3</v>
      </c>
      <c r="I153" s="224" t="s">
        <v>622</v>
      </c>
      <c r="J153" s="224" t="s">
        <v>3057</v>
      </c>
      <c r="K153" s="224">
        <v>3</v>
      </c>
      <c r="L153" s="224"/>
      <c r="M153" s="224"/>
      <c r="N153" s="224" t="s">
        <v>452</v>
      </c>
      <c r="O153" s="224" t="s">
        <v>452</v>
      </c>
      <c r="P153" s="224"/>
      <c r="Q153" s="224" t="s">
        <v>24</v>
      </c>
      <c r="R153" s="254"/>
      <c r="S153" s="252"/>
      <c r="T153" s="252"/>
      <c r="U153" s="252"/>
      <c r="V153" s="224"/>
      <c r="W153" s="224"/>
      <c r="X153" s="224"/>
      <c r="Y153" s="224"/>
      <c r="Z153" s="224"/>
    </row>
    <row r="154" spans="1:26" ht="15.75" customHeight="1">
      <c r="A154" s="257">
        <v>44782</v>
      </c>
      <c r="B154" s="258" t="s">
        <v>9031</v>
      </c>
      <c r="C154" s="249">
        <v>3</v>
      </c>
      <c r="D154" s="258" t="s">
        <v>9034</v>
      </c>
      <c r="E154" s="250" t="s">
        <v>3</v>
      </c>
      <c r="F154" s="258" t="s">
        <v>460</v>
      </c>
      <c r="G154" s="258" t="s">
        <v>9035</v>
      </c>
      <c r="H154" s="258">
        <v>3</v>
      </c>
      <c r="I154" s="258" t="s">
        <v>488</v>
      </c>
      <c r="J154" s="258"/>
      <c r="K154" s="258">
        <v>3</v>
      </c>
      <c r="L154" s="258" t="s">
        <v>784</v>
      </c>
      <c r="M154" s="258" t="s">
        <v>4444</v>
      </c>
      <c r="N154" s="258" t="s">
        <v>452</v>
      </c>
      <c r="O154" s="258" t="s">
        <v>11219</v>
      </c>
      <c r="P154" s="258" t="s">
        <v>9037</v>
      </c>
      <c r="Q154" s="258" t="s">
        <v>24</v>
      </c>
      <c r="R154" s="259" t="s">
        <v>11220</v>
      </c>
      <c r="S154" s="258"/>
      <c r="T154" s="258"/>
      <c r="U154" s="258"/>
      <c r="V154" s="258"/>
      <c r="W154" s="258"/>
      <c r="X154" s="258"/>
      <c r="Y154" s="258"/>
      <c r="Z154" s="258"/>
    </row>
    <row r="155" spans="1:26" ht="15.75" customHeight="1">
      <c r="A155" s="257">
        <v>44782</v>
      </c>
      <c r="B155" s="258" t="s">
        <v>308</v>
      </c>
      <c r="C155" s="249">
        <v>3</v>
      </c>
      <c r="D155" s="258" t="s">
        <v>11405</v>
      </c>
      <c r="E155" s="250" t="s">
        <v>3</v>
      </c>
      <c r="F155" s="258" t="s">
        <v>460</v>
      </c>
      <c r="G155" s="258" t="s">
        <v>9653</v>
      </c>
      <c r="H155" s="258">
        <v>3</v>
      </c>
      <c r="I155" s="258" t="s">
        <v>462</v>
      </c>
      <c r="J155" s="258" t="s">
        <v>9654</v>
      </c>
      <c r="K155" s="258">
        <v>3</v>
      </c>
      <c r="L155" s="258"/>
      <c r="M155" s="258">
        <v>1000000</v>
      </c>
      <c r="N155" s="258" t="s">
        <v>452</v>
      </c>
      <c r="O155" s="258" t="s">
        <v>452</v>
      </c>
      <c r="P155" s="258" t="s">
        <v>9655</v>
      </c>
      <c r="Q155" s="258" t="s">
        <v>20</v>
      </c>
      <c r="R155" s="259" t="s">
        <v>9656</v>
      </c>
      <c r="S155" s="258"/>
      <c r="T155" s="258"/>
      <c r="U155" s="258"/>
      <c r="V155" s="258"/>
      <c r="W155" s="258"/>
      <c r="X155" s="258"/>
      <c r="Y155" s="258"/>
      <c r="Z155" s="258"/>
    </row>
    <row r="156" spans="1:26" ht="15.75" customHeight="1">
      <c r="A156" s="257">
        <v>44782</v>
      </c>
      <c r="B156" s="258" t="s">
        <v>374</v>
      </c>
      <c r="C156" s="249">
        <v>3</v>
      </c>
      <c r="D156" s="258" t="s">
        <v>9837</v>
      </c>
      <c r="E156" s="250" t="s">
        <v>3</v>
      </c>
      <c r="F156" s="258" t="s">
        <v>460</v>
      </c>
      <c r="G156" s="258" t="s">
        <v>9838</v>
      </c>
      <c r="H156" s="258">
        <v>2</v>
      </c>
      <c r="I156" s="258" t="s">
        <v>462</v>
      </c>
      <c r="J156" s="258" t="s">
        <v>11422</v>
      </c>
      <c r="K156" s="258">
        <v>4</v>
      </c>
      <c r="L156" s="258"/>
      <c r="M156" s="258">
        <v>5000000</v>
      </c>
      <c r="N156" s="258" t="s">
        <v>452</v>
      </c>
      <c r="O156" s="258" t="s">
        <v>11423</v>
      </c>
      <c r="P156" s="258"/>
      <c r="Q156" s="258" t="s">
        <v>19</v>
      </c>
      <c r="R156" s="259" t="s">
        <v>9841</v>
      </c>
      <c r="S156" s="258"/>
      <c r="T156" s="258"/>
      <c r="U156" s="258"/>
      <c r="V156" s="258"/>
      <c r="W156" s="258"/>
      <c r="X156" s="258"/>
      <c r="Y156" s="258"/>
      <c r="Z156" s="258"/>
    </row>
    <row r="157" spans="1:26" ht="15.75" customHeight="1">
      <c r="A157" s="257">
        <v>44782</v>
      </c>
      <c r="B157" s="258" t="s">
        <v>9776</v>
      </c>
      <c r="C157" s="249">
        <v>3</v>
      </c>
      <c r="D157" s="258" t="s">
        <v>9779</v>
      </c>
      <c r="E157" s="250" t="s">
        <v>3</v>
      </c>
      <c r="F157" s="258" t="s">
        <v>460</v>
      </c>
      <c r="G157" s="258" t="s">
        <v>11426</v>
      </c>
      <c r="H157" s="258">
        <v>3</v>
      </c>
      <c r="I157" s="258" t="s">
        <v>462</v>
      </c>
      <c r="J157" s="258" t="s">
        <v>11427</v>
      </c>
      <c r="K157" s="258">
        <v>3</v>
      </c>
      <c r="L157" s="258" t="s">
        <v>451</v>
      </c>
      <c r="M157" s="258">
        <v>10000000</v>
      </c>
      <c r="N157" s="258" t="s">
        <v>452</v>
      </c>
      <c r="O157" s="258" t="s">
        <v>452</v>
      </c>
      <c r="P157" s="258" t="s">
        <v>9782</v>
      </c>
      <c r="Q157" s="258" t="s">
        <v>23</v>
      </c>
      <c r="R157" s="259" t="s">
        <v>9783</v>
      </c>
      <c r="S157" s="258"/>
      <c r="T157" s="258"/>
      <c r="U157" s="258"/>
      <c r="V157" s="258"/>
      <c r="W157" s="258"/>
      <c r="X157" s="258"/>
      <c r="Y157" s="258"/>
      <c r="Z157" s="258"/>
    </row>
    <row r="158" spans="1:26" ht="15.75" customHeight="1">
      <c r="A158" s="248">
        <v>44782</v>
      </c>
      <c r="B158" s="219" t="s">
        <v>2788</v>
      </c>
      <c r="C158" s="249">
        <v>2.75</v>
      </c>
      <c r="D158" s="219" t="s">
        <v>2791</v>
      </c>
      <c r="E158" s="250" t="s">
        <v>5</v>
      </c>
      <c r="F158" s="219" t="s">
        <v>447</v>
      </c>
      <c r="G158" s="219" t="s">
        <v>2792</v>
      </c>
      <c r="H158" s="219">
        <v>3</v>
      </c>
      <c r="I158" s="219" t="s">
        <v>622</v>
      </c>
      <c r="J158" s="219" t="s">
        <v>2793</v>
      </c>
      <c r="K158" s="219">
        <v>2.5</v>
      </c>
      <c r="L158" s="219" t="s">
        <v>451</v>
      </c>
      <c r="M158" s="219">
        <v>3000000</v>
      </c>
      <c r="N158" s="219" t="s">
        <v>452</v>
      </c>
      <c r="O158" s="219" t="s">
        <v>2794</v>
      </c>
      <c r="P158" s="219"/>
      <c r="Q158" s="219" t="s">
        <v>24</v>
      </c>
      <c r="R158" s="251"/>
      <c r="S158" s="252"/>
      <c r="T158" s="252"/>
      <c r="U158" s="252"/>
      <c r="V158" s="219"/>
      <c r="W158" s="219"/>
      <c r="X158" s="219"/>
      <c r="Y158" s="219"/>
      <c r="Z158" s="219"/>
    </row>
    <row r="159" spans="1:26" ht="15.75" customHeight="1">
      <c r="A159" s="253">
        <v>44782</v>
      </c>
      <c r="B159" s="224" t="s">
        <v>5969</v>
      </c>
      <c r="C159" s="249">
        <v>2.75</v>
      </c>
      <c r="D159" s="224" t="s">
        <v>5972</v>
      </c>
      <c r="E159" s="250" t="s">
        <v>4</v>
      </c>
      <c r="F159" s="224" t="s">
        <v>602</v>
      </c>
      <c r="G159" s="224" t="s">
        <v>10273</v>
      </c>
      <c r="H159" s="224">
        <v>2</v>
      </c>
      <c r="I159" s="224" t="s">
        <v>727</v>
      </c>
      <c r="J159" s="224" t="s">
        <v>10274</v>
      </c>
      <c r="K159" s="224">
        <v>3.5</v>
      </c>
      <c r="L159" s="224" t="s">
        <v>451</v>
      </c>
      <c r="M159" s="224">
        <v>1500000</v>
      </c>
      <c r="N159" s="224" t="s">
        <v>465</v>
      </c>
      <c r="O159" s="224" t="s">
        <v>5975</v>
      </c>
      <c r="P159" s="224"/>
      <c r="Q159" s="224" t="s">
        <v>24</v>
      </c>
      <c r="R159" s="254"/>
      <c r="S159" s="252"/>
      <c r="T159" s="252"/>
      <c r="U159" s="252"/>
      <c r="V159" s="224"/>
      <c r="W159" s="224"/>
      <c r="X159" s="224"/>
      <c r="Y159" s="224"/>
      <c r="Z159" s="224"/>
    </row>
    <row r="160" spans="1:26" ht="15.75" customHeight="1">
      <c r="A160" s="248">
        <v>44782</v>
      </c>
      <c r="B160" s="219" t="s">
        <v>5919</v>
      </c>
      <c r="C160" s="249">
        <v>2.75</v>
      </c>
      <c r="D160" s="219" t="s">
        <v>10458</v>
      </c>
      <c r="E160" s="250" t="s">
        <v>4</v>
      </c>
      <c r="F160" s="219" t="s">
        <v>602</v>
      </c>
      <c r="G160" s="219" t="s">
        <v>5923</v>
      </c>
      <c r="H160" s="219">
        <v>2</v>
      </c>
      <c r="I160" s="219" t="s">
        <v>1054</v>
      </c>
      <c r="J160" s="219" t="s">
        <v>5924</v>
      </c>
      <c r="K160" s="219">
        <v>3.5</v>
      </c>
      <c r="L160" s="219" t="s">
        <v>451</v>
      </c>
      <c r="M160" s="219">
        <v>5000000</v>
      </c>
      <c r="N160" s="219" t="s">
        <v>452</v>
      </c>
      <c r="O160" s="219" t="s">
        <v>452</v>
      </c>
      <c r="P160" s="219"/>
      <c r="Q160" s="219" t="s">
        <v>24</v>
      </c>
      <c r="R160" s="251"/>
      <c r="S160" s="252"/>
      <c r="T160" s="252"/>
      <c r="U160" s="252"/>
      <c r="V160" s="219"/>
      <c r="W160" s="219"/>
      <c r="X160" s="219"/>
      <c r="Y160" s="219"/>
      <c r="Z160" s="219"/>
    </row>
    <row r="161" spans="1:26" ht="15.75" customHeight="1">
      <c r="A161" s="253">
        <v>44782</v>
      </c>
      <c r="B161" s="224" t="s">
        <v>2706</v>
      </c>
      <c r="C161" s="249">
        <v>2.75</v>
      </c>
      <c r="D161" s="224" t="s">
        <v>10472</v>
      </c>
      <c r="E161" s="250" t="s">
        <v>5</v>
      </c>
      <c r="F161" s="224" t="s">
        <v>447</v>
      </c>
      <c r="G161" s="224" t="s">
        <v>2710</v>
      </c>
      <c r="H161" s="224">
        <v>2.5</v>
      </c>
      <c r="I161" s="224" t="s">
        <v>543</v>
      </c>
      <c r="J161" s="224" t="s">
        <v>2711</v>
      </c>
      <c r="K161" s="224">
        <v>3</v>
      </c>
      <c r="L161" s="224" t="s">
        <v>451</v>
      </c>
      <c r="M161" s="224" t="s">
        <v>2712</v>
      </c>
      <c r="N161" s="224" t="s">
        <v>452</v>
      </c>
      <c r="O161" s="224" t="s">
        <v>452</v>
      </c>
      <c r="P161" s="224"/>
      <c r="Q161" s="224" t="s">
        <v>24</v>
      </c>
      <c r="R161" s="254"/>
      <c r="S161" s="252"/>
      <c r="T161" s="252"/>
      <c r="U161" s="252"/>
      <c r="V161" s="224"/>
      <c r="W161" s="224"/>
      <c r="X161" s="224"/>
      <c r="Y161" s="224"/>
      <c r="Z161" s="224"/>
    </row>
    <row r="162" spans="1:26" ht="15.75" customHeight="1">
      <c r="A162" s="248">
        <v>44782</v>
      </c>
      <c r="B162" s="219" t="s">
        <v>2733</v>
      </c>
      <c r="C162" s="249">
        <v>2.75</v>
      </c>
      <c r="D162" s="219" t="s">
        <v>2736</v>
      </c>
      <c r="E162" s="250" t="s">
        <v>5</v>
      </c>
      <c r="F162" s="219" t="s">
        <v>447</v>
      </c>
      <c r="G162" s="219" t="s">
        <v>10650</v>
      </c>
      <c r="H162" s="219">
        <v>3</v>
      </c>
      <c r="I162" s="219" t="s">
        <v>622</v>
      </c>
      <c r="J162" s="219" t="s">
        <v>13400</v>
      </c>
      <c r="K162" s="219">
        <v>2.5</v>
      </c>
      <c r="L162" s="219" t="s">
        <v>451</v>
      </c>
      <c r="M162" s="219">
        <v>2250000</v>
      </c>
      <c r="N162" s="219" t="s">
        <v>454</v>
      </c>
      <c r="O162" s="219" t="s">
        <v>2739</v>
      </c>
      <c r="P162" s="219"/>
      <c r="Q162" s="219" t="s">
        <v>24</v>
      </c>
      <c r="R162" s="251"/>
      <c r="S162" s="252"/>
      <c r="T162" s="252"/>
      <c r="U162" s="252"/>
      <c r="V162" s="219"/>
      <c r="W162" s="219"/>
      <c r="X162" s="219"/>
      <c r="Y162" s="219"/>
      <c r="Z162" s="219"/>
    </row>
    <row r="163" spans="1:26" ht="15.75" customHeight="1">
      <c r="A163" s="253">
        <v>44782</v>
      </c>
      <c r="B163" s="224" t="s">
        <v>3294</v>
      </c>
      <c r="C163" s="249">
        <v>2.75</v>
      </c>
      <c r="D163" s="224" t="s">
        <v>3297</v>
      </c>
      <c r="E163" s="250" t="s">
        <v>5</v>
      </c>
      <c r="F163" s="224" t="s">
        <v>447</v>
      </c>
      <c r="G163" s="224" t="s">
        <v>11183</v>
      </c>
      <c r="H163" s="224">
        <v>3</v>
      </c>
      <c r="I163" s="224" t="s">
        <v>622</v>
      </c>
      <c r="J163" s="224" t="s">
        <v>11538</v>
      </c>
      <c r="K163" s="224">
        <v>2.5</v>
      </c>
      <c r="L163" s="224" t="s">
        <v>784</v>
      </c>
      <c r="M163" s="224">
        <v>500000</v>
      </c>
      <c r="N163" s="224" t="s">
        <v>452</v>
      </c>
      <c r="O163" s="224" t="s">
        <v>3300</v>
      </c>
      <c r="P163" s="224"/>
      <c r="Q163" s="224" t="s">
        <v>24</v>
      </c>
      <c r="R163" s="254"/>
      <c r="S163" s="252"/>
      <c r="T163" s="252"/>
      <c r="U163" s="252"/>
      <c r="V163" s="224"/>
      <c r="W163" s="224"/>
      <c r="X163" s="224"/>
      <c r="Y163" s="224"/>
      <c r="Z163" s="224"/>
    </row>
    <row r="164" spans="1:26" ht="15.75" customHeight="1">
      <c r="A164" s="264">
        <v>44782</v>
      </c>
      <c r="B164" s="265" t="s">
        <v>8485</v>
      </c>
      <c r="C164" s="249">
        <v>2.75</v>
      </c>
      <c r="D164" s="265" t="s">
        <v>8488</v>
      </c>
      <c r="E164" s="250" t="s">
        <v>3</v>
      </c>
      <c r="F164" s="265" t="s">
        <v>460</v>
      </c>
      <c r="G164" s="265" t="s">
        <v>8489</v>
      </c>
      <c r="H164" s="265">
        <v>2.5</v>
      </c>
      <c r="I164" s="265" t="s">
        <v>462</v>
      </c>
      <c r="J164" s="265" t="s">
        <v>8490</v>
      </c>
      <c r="K164" s="265">
        <v>3</v>
      </c>
      <c r="L164" s="265" t="s">
        <v>451</v>
      </c>
      <c r="M164" s="265">
        <v>2500000</v>
      </c>
      <c r="N164" s="265" t="s">
        <v>452</v>
      </c>
      <c r="O164" s="265" t="s">
        <v>8491</v>
      </c>
      <c r="P164" s="265"/>
      <c r="Q164" s="265" t="s">
        <v>24</v>
      </c>
      <c r="R164" s="266" t="s">
        <v>11539</v>
      </c>
      <c r="S164" s="265"/>
      <c r="T164" s="265"/>
      <c r="U164" s="265"/>
      <c r="V164" s="265"/>
      <c r="W164" s="265"/>
      <c r="X164" s="265"/>
      <c r="Y164" s="265"/>
      <c r="Z164" s="265"/>
    </row>
    <row r="165" spans="1:26" ht="15.75" customHeight="1">
      <c r="A165" s="253">
        <v>44782</v>
      </c>
      <c r="B165" s="224" t="s">
        <v>6069</v>
      </c>
      <c r="C165" s="249">
        <v>2.75</v>
      </c>
      <c r="D165" s="224" t="s">
        <v>11540</v>
      </c>
      <c r="E165" s="250" t="s">
        <v>4</v>
      </c>
      <c r="F165" s="224" t="s">
        <v>602</v>
      </c>
      <c r="G165" s="224" t="s">
        <v>6073</v>
      </c>
      <c r="H165" s="224">
        <v>2</v>
      </c>
      <c r="I165" s="224" t="s">
        <v>1054</v>
      </c>
      <c r="J165" s="224" t="s">
        <v>11430</v>
      </c>
      <c r="K165" s="224">
        <v>3.5</v>
      </c>
      <c r="L165" s="224"/>
      <c r="M165" s="224"/>
      <c r="N165" s="224" t="s">
        <v>452</v>
      </c>
      <c r="O165" s="224" t="s">
        <v>11431</v>
      </c>
      <c r="P165" s="224"/>
      <c r="Q165" s="224" t="s">
        <v>24</v>
      </c>
      <c r="R165" s="254"/>
      <c r="S165" s="252"/>
      <c r="T165" s="252"/>
      <c r="U165" s="252"/>
      <c r="V165" s="224"/>
      <c r="W165" s="224"/>
      <c r="X165" s="224"/>
      <c r="Y165" s="224"/>
      <c r="Z165" s="224"/>
    </row>
    <row r="166" spans="1:26" ht="15.75" customHeight="1">
      <c r="A166" s="257">
        <v>44782</v>
      </c>
      <c r="B166" s="258" t="s">
        <v>3196</v>
      </c>
      <c r="C166" s="249">
        <v>2.5</v>
      </c>
      <c r="D166" s="258" t="s">
        <v>3199</v>
      </c>
      <c r="E166" s="250" t="s">
        <v>5</v>
      </c>
      <c r="F166" s="258" t="s">
        <v>447</v>
      </c>
      <c r="G166" s="258" t="s">
        <v>10289</v>
      </c>
      <c r="H166" s="258">
        <v>3</v>
      </c>
      <c r="I166" s="258" t="s">
        <v>449</v>
      </c>
      <c r="J166" s="258" t="s">
        <v>13400</v>
      </c>
      <c r="K166" s="258">
        <v>2</v>
      </c>
      <c r="L166" s="258"/>
      <c r="M166" s="258"/>
      <c r="N166" s="258" t="s">
        <v>465</v>
      </c>
      <c r="O166" s="258" t="s">
        <v>3202</v>
      </c>
      <c r="P166" s="258"/>
      <c r="Q166" s="228" t="s">
        <v>24</v>
      </c>
      <c r="R166" s="259" t="s">
        <v>3203</v>
      </c>
      <c r="S166" s="258"/>
      <c r="T166" s="258"/>
      <c r="U166" s="258"/>
      <c r="V166" s="258"/>
      <c r="W166" s="258"/>
      <c r="X166" s="258"/>
      <c r="Y166" s="258"/>
      <c r="Z166" s="258"/>
    </row>
    <row r="167" spans="1:26" ht="15.75" customHeight="1">
      <c r="A167" s="253">
        <v>44782</v>
      </c>
      <c r="B167" s="224" t="s">
        <v>6390</v>
      </c>
      <c r="C167" s="249">
        <v>2.5</v>
      </c>
      <c r="D167" s="224" t="s">
        <v>6393</v>
      </c>
      <c r="E167" s="250" t="s">
        <v>4</v>
      </c>
      <c r="F167" s="224" t="s">
        <v>602</v>
      </c>
      <c r="G167" s="224" t="s">
        <v>6394</v>
      </c>
      <c r="H167" s="224">
        <v>3</v>
      </c>
      <c r="I167" s="224" t="s">
        <v>476</v>
      </c>
      <c r="J167" s="224" t="s">
        <v>10389</v>
      </c>
      <c r="K167" s="224">
        <v>2</v>
      </c>
      <c r="L167" s="224"/>
      <c r="M167" s="224"/>
      <c r="N167" s="224" t="s">
        <v>452</v>
      </c>
      <c r="O167" s="224" t="s">
        <v>6396</v>
      </c>
      <c r="P167" s="224"/>
      <c r="Q167" s="224" t="s">
        <v>24</v>
      </c>
      <c r="R167" s="254"/>
      <c r="S167" s="252"/>
      <c r="T167" s="252"/>
      <c r="U167" s="252"/>
      <c r="V167" s="224"/>
      <c r="W167" s="224"/>
      <c r="X167" s="224"/>
      <c r="Y167" s="224"/>
      <c r="Z167" s="224"/>
    </row>
    <row r="168" spans="1:26" ht="15.75" customHeight="1">
      <c r="A168" s="248">
        <v>44782</v>
      </c>
      <c r="B168" s="219" t="s">
        <v>6607</v>
      </c>
      <c r="C168" s="249">
        <v>2.5</v>
      </c>
      <c r="D168" s="219" t="s">
        <v>6610</v>
      </c>
      <c r="E168" s="250" t="s">
        <v>4</v>
      </c>
      <c r="F168" s="219" t="s">
        <v>602</v>
      </c>
      <c r="G168" s="219" t="s">
        <v>6611</v>
      </c>
      <c r="H168" s="219">
        <v>2</v>
      </c>
      <c r="I168" s="219" t="s">
        <v>1054</v>
      </c>
      <c r="J168" s="219" t="s">
        <v>6612</v>
      </c>
      <c r="K168" s="219">
        <v>3</v>
      </c>
      <c r="L168" s="219" t="s">
        <v>451</v>
      </c>
      <c r="M168" s="219">
        <v>2000000</v>
      </c>
      <c r="N168" s="219" t="s">
        <v>452</v>
      </c>
      <c r="O168" s="219" t="s">
        <v>452</v>
      </c>
      <c r="P168" s="219"/>
      <c r="Q168" s="219" t="s">
        <v>24</v>
      </c>
      <c r="R168" s="251"/>
      <c r="S168" s="252"/>
      <c r="T168" s="252"/>
      <c r="U168" s="252"/>
      <c r="V168" s="219"/>
      <c r="W168" s="219"/>
      <c r="X168" s="219"/>
      <c r="Y168" s="219"/>
      <c r="Z168" s="219"/>
    </row>
    <row r="169" spans="1:26" ht="15.75" customHeight="1">
      <c r="A169" s="255">
        <v>44782</v>
      </c>
      <c r="B169" s="239" t="s">
        <v>164</v>
      </c>
      <c r="C169" s="249">
        <v>2.5</v>
      </c>
      <c r="D169" s="239" t="s">
        <v>9491</v>
      </c>
      <c r="E169" s="250" t="s">
        <v>5</v>
      </c>
      <c r="F169" s="239" t="s">
        <v>447</v>
      </c>
      <c r="G169" s="239" t="s">
        <v>11140</v>
      </c>
      <c r="H169" s="239">
        <v>3</v>
      </c>
      <c r="I169" s="239" t="s">
        <v>449</v>
      </c>
      <c r="J169" s="239" t="s">
        <v>13400</v>
      </c>
      <c r="K169" s="239">
        <v>2</v>
      </c>
      <c r="L169" s="239"/>
      <c r="M169" s="239"/>
      <c r="N169" s="239" t="s">
        <v>452</v>
      </c>
      <c r="O169" s="239" t="s">
        <v>9494</v>
      </c>
      <c r="P169" s="239"/>
      <c r="Q169" s="239" t="s">
        <v>20</v>
      </c>
      <c r="R169" s="256" t="s">
        <v>9495</v>
      </c>
      <c r="S169" s="239"/>
      <c r="T169" s="239"/>
      <c r="U169" s="239"/>
      <c r="V169" s="239"/>
      <c r="W169" s="239"/>
      <c r="X169" s="239"/>
      <c r="Y169" s="239"/>
      <c r="Z169" s="239"/>
    </row>
    <row r="170" spans="1:26" ht="15.75" customHeight="1">
      <c r="A170" s="257">
        <v>44782</v>
      </c>
      <c r="B170" s="258" t="s">
        <v>9285</v>
      </c>
      <c r="C170" s="249">
        <v>2.5</v>
      </c>
      <c r="D170" s="258" t="s">
        <v>9288</v>
      </c>
      <c r="E170" s="250" t="s">
        <v>3</v>
      </c>
      <c r="F170" s="258" t="s">
        <v>460</v>
      </c>
      <c r="G170" s="258" t="s">
        <v>9289</v>
      </c>
      <c r="H170" s="258">
        <v>2</v>
      </c>
      <c r="I170" s="258" t="s">
        <v>941</v>
      </c>
      <c r="J170" s="258"/>
      <c r="K170" s="258">
        <v>3</v>
      </c>
      <c r="L170" s="258" t="s">
        <v>784</v>
      </c>
      <c r="M170" s="258">
        <v>1600000</v>
      </c>
      <c r="N170" s="258" t="s">
        <v>452</v>
      </c>
      <c r="O170" s="258" t="s">
        <v>11414</v>
      </c>
      <c r="P170" s="258" t="s">
        <v>9291</v>
      </c>
      <c r="Q170" s="258" t="s">
        <v>24</v>
      </c>
      <c r="R170" s="259" t="s">
        <v>9292</v>
      </c>
      <c r="S170" s="258"/>
      <c r="T170" s="258"/>
      <c r="U170" s="258"/>
      <c r="V170" s="258"/>
      <c r="W170" s="258"/>
      <c r="X170" s="258"/>
      <c r="Y170" s="258"/>
      <c r="Z170" s="258"/>
    </row>
    <row r="171" spans="1:26" ht="15.75" customHeight="1">
      <c r="A171" s="257">
        <v>44782</v>
      </c>
      <c r="B171" s="258" t="s">
        <v>9151</v>
      </c>
      <c r="C171" s="249">
        <v>2.5</v>
      </c>
      <c r="D171" s="258" t="s">
        <v>9154</v>
      </c>
      <c r="E171" s="250" t="s">
        <v>3</v>
      </c>
      <c r="F171" s="258" t="s">
        <v>460</v>
      </c>
      <c r="G171" s="258" t="s">
        <v>9155</v>
      </c>
      <c r="H171" s="258">
        <v>2</v>
      </c>
      <c r="I171" s="258" t="s">
        <v>488</v>
      </c>
      <c r="J171" s="258" t="s">
        <v>11428</v>
      </c>
      <c r="K171" s="258">
        <v>3</v>
      </c>
      <c r="L171" s="258" t="s">
        <v>973</v>
      </c>
      <c r="M171" s="258">
        <v>7500000</v>
      </c>
      <c r="N171" s="258" t="s">
        <v>452</v>
      </c>
      <c r="O171" s="258" t="s">
        <v>1119</v>
      </c>
      <c r="P171" s="258"/>
      <c r="Q171" s="258" t="s">
        <v>24</v>
      </c>
      <c r="R171" s="259" t="s">
        <v>9157</v>
      </c>
      <c r="S171" s="258"/>
      <c r="T171" s="258"/>
      <c r="U171" s="258"/>
      <c r="V171" s="258"/>
      <c r="W171" s="258"/>
      <c r="X171" s="258"/>
      <c r="Y171" s="258"/>
      <c r="Z171" s="258"/>
    </row>
    <row r="172" spans="1:26" ht="15.75" customHeight="1">
      <c r="A172" s="248">
        <v>44782</v>
      </c>
      <c r="B172" s="219" t="s">
        <v>6502</v>
      </c>
      <c r="C172" s="249">
        <v>2.5</v>
      </c>
      <c r="D172" s="219" t="s">
        <v>11541</v>
      </c>
      <c r="E172" s="250" t="s">
        <v>4</v>
      </c>
      <c r="F172" s="219" t="s">
        <v>602</v>
      </c>
      <c r="G172" s="219" t="s">
        <v>6506</v>
      </c>
      <c r="H172" s="219">
        <v>2</v>
      </c>
      <c r="I172" s="219" t="s">
        <v>1054</v>
      </c>
      <c r="J172" s="219" t="s">
        <v>6507</v>
      </c>
      <c r="K172" s="219">
        <v>3</v>
      </c>
      <c r="L172" s="219" t="s">
        <v>451</v>
      </c>
      <c r="M172" s="219">
        <v>1000000</v>
      </c>
      <c r="N172" s="219" t="s">
        <v>452</v>
      </c>
      <c r="O172" s="219" t="s">
        <v>6508</v>
      </c>
      <c r="P172" s="219" t="s">
        <v>6509</v>
      </c>
      <c r="Q172" s="219" t="s">
        <v>24</v>
      </c>
      <c r="R172" s="251"/>
      <c r="S172" s="252"/>
      <c r="T172" s="252"/>
      <c r="U172" s="252"/>
      <c r="V172" s="219"/>
      <c r="W172" s="219"/>
      <c r="X172" s="219"/>
      <c r="Y172" s="219"/>
      <c r="Z172" s="219"/>
    </row>
    <row r="173" spans="1:26" ht="15.75" customHeight="1">
      <c r="A173" s="253">
        <v>44782</v>
      </c>
      <c r="B173" s="224" t="s">
        <v>6720</v>
      </c>
      <c r="C173" s="249">
        <v>2.25</v>
      </c>
      <c r="D173" s="224" t="s">
        <v>6723</v>
      </c>
      <c r="E173" s="250" t="s">
        <v>4</v>
      </c>
      <c r="F173" s="224" t="s">
        <v>727</v>
      </c>
      <c r="G173" s="224" t="s">
        <v>6724</v>
      </c>
      <c r="H173" s="224">
        <v>2.5</v>
      </c>
      <c r="I173" s="224" t="s">
        <v>1054</v>
      </c>
      <c r="J173" s="224" t="s">
        <v>6725</v>
      </c>
      <c r="K173" s="224">
        <v>2</v>
      </c>
      <c r="L173" s="224"/>
      <c r="M173" s="224"/>
      <c r="N173" s="224" t="s">
        <v>452</v>
      </c>
      <c r="O173" s="224" t="s">
        <v>11542</v>
      </c>
      <c r="P173" s="224"/>
      <c r="Q173" s="224" t="s">
        <v>24</v>
      </c>
      <c r="R173" s="254"/>
      <c r="S173" s="252"/>
      <c r="T173" s="252"/>
      <c r="U173" s="252"/>
      <c r="V173" s="224"/>
      <c r="W173" s="224"/>
      <c r="X173" s="224"/>
      <c r="Y173" s="224"/>
      <c r="Z173" s="224"/>
    </row>
    <row r="174" spans="1:26" ht="15.75" customHeight="1">
      <c r="A174" s="248">
        <v>44782</v>
      </c>
      <c r="B174" s="219" t="s">
        <v>3060</v>
      </c>
      <c r="C174" s="249">
        <v>2.25</v>
      </c>
      <c r="D174" s="219" t="s">
        <v>3063</v>
      </c>
      <c r="E174" s="250" t="s">
        <v>5</v>
      </c>
      <c r="F174" s="219" t="s">
        <v>447</v>
      </c>
      <c r="G174" s="219" t="s">
        <v>10399</v>
      </c>
      <c r="H174" s="219">
        <v>2.5</v>
      </c>
      <c r="I174" s="219" t="s">
        <v>476</v>
      </c>
      <c r="J174" s="219" t="s">
        <v>10400</v>
      </c>
      <c r="K174" s="219">
        <v>2</v>
      </c>
      <c r="L174" s="219"/>
      <c r="M174" s="219"/>
      <c r="N174" s="219" t="s">
        <v>452</v>
      </c>
      <c r="O174" s="219" t="s">
        <v>452</v>
      </c>
      <c r="P174" s="219"/>
      <c r="Q174" s="219" t="s">
        <v>24</v>
      </c>
      <c r="R174" s="251"/>
      <c r="S174" s="252"/>
      <c r="T174" s="252"/>
      <c r="U174" s="252"/>
      <c r="V174" s="219"/>
      <c r="W174" s="219"/>
      <c r="X174" s="219"/>
      <c r="Y174" s="219"/>
      <c r="Z174" s="219"/>
    </row>
    <row r="175" spans="1:26" ht="15.75" customHeight="1">
      <c r="A175" s="253">
        <v>44782</v>
      </c>
      <c r="B175" s="224" t="s">
        <v>6681</v>
      </c>
      <c r="C175" s="249">
        <v>2.25</v>
      </c>
      <c r="D175" s="224" t="s">
        <v>6684</v>
      </c>
      <c r="E175" s="250" t="s">
        <v>4</v>
      </c>
      <c r="F175" s="224" t="s">
        <v>602</v>
      </c>
      <c r="G175" s="224"/>
      <c r="H175" s="224">
        <v>2</v>
      </c>
      <c r="I175" s="224" t="s">
        <v>476</v>
      </c>
      <c r="J175" s="224" t="s">
        <v>13400</v>
      </c>
      <c r="K175" s="224">
        <v>2.5</v>
      </c>
      <c r="L175" s="224" t="s">
        <v>451</v>
      </c>
      <c r="M175" s="224">
        <v>120000</v>
      </c>
      <c r="N175" s="224" t="s">
        <v>454</v>
      </c>
      <c r="O175" s="224" t="s">
        <v>6686</v>
      </c>
      <c r="P175" s="224" t="s">
        <v>6687</v>
      </c>
      <c r="Q175" s="224" t="s">
        <v>24</v>
      </c>
      <c r="R175" s="254"/>
      <c r="S175" s="252"/>
      <c r="T175" s="252"/>
      <c r="U175" s="252"/>
      <c r="V175" s="224"/>
      <c r="W175" s="224"/>
      <c r="X175" s="224"/>
      <c r="Y175" s="224"/>
      <c r="Z175" s="224"/>
    </row>
    <row r="176" spans="1:26" ht="15.75" customHeight="1">
      <c r="A176" s="248">
        <v>44782</v>
      </c>
      <c r="B176" s="219" t="s">
        <v>3441</v>
      </c>
      <c r="C176" s="249">
        <v>2.25</v>
      </c>
      <c r="D176" s="219" t="s">
        <v>3444</v>
      </c>
      <c r="E176" s="250" t="s">
        <v>5</v>
      </c>
      <c r="F176" s="219" t="s">
        <v>447</v>
      </c>
      <c r="G176" s="219" t="s">
        <v>10465</v>
      </c>
      <c r="H176" s="219">
        <v>2</v>
      </c>
      <c r="I176" s="219" t="s">
        <v>476</v>
      </c>
      <c r="J176" s="219" t="s">
        <v>13400</v>
      </c>
      <c r="K176" s="219">
        <v>2.5</v>
      </c>
      <c r="L176" s="219"/>
      <c r="M176" s="219"/>
      <c r="N176" s="219" t="s">
        <v>452</v>
      </c>
      <c r="O176" s="219" t="s">
        <v>3447</v>
      </c>
      <c r="P176" s="219"/>
      <c r="Q176" s="219" t="s">
        <v>24</v>
      </c>
      <c r="R176" s="251"/>
      <c r="S176" s="252"/>
      <c r="T176" s="252"/>
      <c r="U176" s="252"/>
      <c r="V176" s="219"/>
      <c r="W176" s="219"/>
      <c r="X176" s="219"/>
      <c r="Y176" s="219"/>
      <c r="Z176" s="219"/>
    </row>
    <row r="177" spans="1:26" ht="15.75" customHeight="1">
      <c r="A177" s="253">
        <v>44782</v>
      </c>
      <c r="B177" s="224" t="s">
        <v>6841</v>
      </c>
      <c r="C177" s="249">
        <v>2.25</v>
      </c>
      <c r="D177" s="224" t="s">
        <v>10468</v>
      </c>
      <c r="E177" s="250" t="s">
        <v>4</v>
      </c>
      <c r="F177" s="224" t="s">
        <v>727</v>
      </c>
      <c r="G177" s="224" t="s">
        <v>6845</v>
      </c>
      <c r="H177" s="224">
        <v>2.5</v>
      </c>
      <c r="I177" s="224" t="s">
        <v>1054</v>
      </c>
      <c r="J177" s="224" t="s">
        <v>6846</v>
      </c>
      <c r="K177" s="224">
        <v>2</v>
      </c>
      <c r="L177" s="224" t="s">
        <v>451</v>
      </c>
      <c r="M177" s="224">
        <v>2000000</v>
      </c>
      <c r="N177" s="224" t="s">
        <v>452</v>
      </c>
      <c r="O177" s="224" t="s">
        <v>10469</v>
      </c>
      <c r="P177" s="224"/>
      <c r="Q177" s="224" t="s">
        <v>24</v>
      </c>
      <c r="R177" s="254"/>
      <c r="S177" s="252"/>
      <c r="T177" s="252"/>
      <c r="U177" s="252"/>
      <c r="V177" s="224"/>
      <c r="W177" s="224"/>
      <c r="X177" s="224"/>
      <c r="Y177" s="224"/>
      <c r="Z177" s="224"/>
    </row>
    <row r="178" spans="1:26" ht="15.75" customHeight="1">
      <c r="A178" s="248">
        <v>44782</v>
      </c>
      <c r="B178" s="219" t="s">
        <v>2549</v>
      </c>
      <c r="C178" s="249">
        <v>2.25</v>
      </c>
      <c r="D178" s="219" t="s">
        <v>2552</v>
      </c>
      <c r="E178" s="250" t="s">
        <v>5</v>
      </c>
      <c r="F178" s="219" t="s">
        <v>447</v>
      </c>
      <c r="G178" s="219" t="s">
        <v>10537</v>
      </c>
      <c r="H178" s="219">
        <v>2.5</v>
      </c>
      <c r="I178" s="219" t="s">
        <v>449</v>
      </c>
      <c r="J178" s="219" t="s">
        <v>13400</v>
      </c>
      <c r="K178" s="219">
        <v>2</v>
      </c>
      <c r="L178" s="219" t="s">
        <v>784</v>
      </c>
      <c r="M178" s="219">
        <v>5000000</v>
      </c>
      <c r="N178" s="219" t="s">
        <v>454</v>
      </c>
      <c r="O178" s="219" t="s">
        <v>452</v>
      </c>
      <c r="P178" s="219"/>
      <c r="Q178" s="219" t="s">
        <v>24</v>
      </c>
      <c r="R178" s="251"/>
      <c r="S178" s="252"/>
      <c r="T178" s="252"/>
      <c r="U178" s="252"/>
      <c r="V178" s="219"/>
      <c r="W178" s="219"/>
      <c r="X178" s="219"/>
      <c r="Y178" s="219"/>
      <c r="Z178" s="219"/>
    </row>
    <row r="179" spans="1:26" ht="15.75" customHeight="1">
      <c r="A179" s="253">
        <v>44782</v>
      </c>
      <c r="B179" s="224" t="s">
        <v>2715</v>
      </c>
      <c r="C179" s="249">
        <v>2.25</v>
      </c>
      <c r="D179" s="224" t="s">
        <v>10595</v>
      </c>
      <c r="E179" s="250" t="s">
        <v>5</v>
      </c>
      <c r="F179" s="224" t="s">
        <v>447</v>
      </c>
      <c r="G179" s="224" t="s">
        <v>2719</v>
      </c>
      <c r="H179" s="224">
        <v>2.5</v>
      </c>
      <c r="I179" s="224" t="s">
        <v>622</v>
      </c>
      <c r="J179" s="224" t="s">
        <v>11543</v>
      </c>
      <c r="K179" s="224">
        <v>2</v>
      </c>
      <c r="L179" s="224" t="s">
        <v>451</v>
      </c>
      <c r="M179" s="224">
        <v>1000000</v>
      </c>
      <c r="N179" s="224" t="s">
        <v>452</v>
      </c>
      <c r="O179" s="224" t="s">
        <v>10597</v>
      </c>
      <c r="P179" s="224"/>
      <c r="Q179" s="224" t="s">
        <v>24</v>
      </c>
      <c r="R179" s="254"/>
      <c r="S179" s="252"/>
      <c r="T179" s="252"/>
      <c r="U179" s="252"/>
      <c r="V179" s="224"/>
      <c r="W179" s="224"/>
      <c r="X179" s="224"/>
      <c r="Y179" s="224"/>
      <c r="Z179" s="224"/>
    </row>
    <row r="180" spans="1:26" ht="15.75" customHeight="1">
      <c r="A180" s="248">
        <v>44782</v>
      </c>
      <c r="B180" s="219" t="s">
        <v>6656</v>
      </c>
      <c r="C180" s="249">
        <v>2.25</v>
      </c>
      <c r="D180" s="219" t="s">
        <v>11382</v>
      </c>
      <c r="E180" s="250" t="s">
        <v>4</v>
      </c>
      <c r="F180" s="219" t="s">
        <v>602</v>
      </c>
      <c r="G180" s="219" t="s">
        <v>11383</v>
      </c>
      <c r="H180" s="219">
        <v>2</v>
      </c>
      <c r="I180" s="219" t="s">
        <v>727</v>
      </c>
      <c r="J180" s="219" t="s">
        <v>6661</v>
      </c>
      <c r="K180" s="219">
        <v>2.5</v>
      </c>
      <c r="L180" s="219" t="s">
        <v>451</v>
      </c>
      <c r="M180" s="219">
        <v>1376390</v>
      </c>
      <c r="N180" s="219" t="s">
        <v>452</v>
      </c>
      <c r="O180" s="219" t="s">
        <v>452</v>
      </c>
      <c r="P180" s="219"/>
      <c r="Q180" s="219" t="s">
        <v>24</v>
      </c>
      <c r="R180" s="251"/>
      <c r="S180" s="252"/>
      <c r="T180" s="252"/>
      <c r="U180" s="252"/>
      <c r="V180" s="219"/>
      <c r="W180" s="219"/>
      <c r="X180" s="219"/>
      <c r="Y180" s="219"/>
      <c r="Z180" s="219"/>
    </row>
    <row r="181" spans="1:26" ht="15.75" customHeight="1">
      <c r="A181" s="253">
        <v>44782</v>
      </c>
      <c r="B181" s="221" t="s">
        <v>7485</v>
      </c>
      <c r="C181" s="214">
        <v>2</v>
      </c>
      <c r="D181" s="221" t="s">
        <v>10189</v>
      </c>
      <c r="E181" s="215" t="s">
        <v>4</v>
      </c>
      <c r="F181" s="221" t="s">
        <v>602</v>
      </c>
      <c r="G181" s="221"/>
      <c r="H181" s="221">
        <v>2</v>
      </c>
      <c r="I181" s="221" t="s">
        <v>727</v>
      </c>
      <c r="J181" s="221" t="s">
        <v>7489</v>
      </c>
      <c r="K181" s="221">
        <v>2</v>
      </c>
      <c r="L181" s="221" t="s">
        <v>478</v>
      </c>
      <c r="M181" s="221">
        <v>2000000</v>
      </c>
      <c r="N181" s="221" t="s">
        <v>452</v>
      </c>
      <c r="O181" s="221" t="s">
        <v>452</v>
      </c>
      <c r="P181" s="221"/>
      <c r="Q181" s="224" t="s">
        <v>24</v>
      </c>
      <c r="R181" s="223"/>
      <c r="S181" s="218"/>
      <c r="T181" s="218"/>
      <c r="U181" s="218"/>
      <c r="V181" s="224"/>
      <c r="W181" s="224"/>
      <c r="X181" s="224"/>
      <c r="Y181" s="224"/>
      <c r="Z181" s="224"/>
    </row>
    <row r="182" spans="1:26" ht="15.75" customHeight="1">
      <c r="A182" s="248">
        <v>44782</v>
      </c>
      <c r="B182" s="219" t="s">
        <v>7478</v>
      </c>
      <c r="C182" s="249">
        <v>2</v>
      </c>
      <c r="D182" s="219" t="s">
        <v>7481</v>
      </c>
      <c r="E182" s="250" t="s">
        <v>4</v>
      </c>
      <c r="F182" s="219" t="s">
        <v>602</v>
      </c>
      <c r="G182" s="219"/>
      <c r="H182" s="219">
        <v>2</v>
      </c>
      <c r="I182" s="219" t="s">
        <v>1054</v>
      </c>
      <c r="J182" s="219" t="s">
        <v>7482</v>
      </c>
      <c r="K182" s="219">
        <v>2</v>
      </c>
      <c r="L182" s="219"/>
      <c r="M182" s="219"/>
      <c r="N182" s="219" t="s">
        <v>452</v>
      </c>
      <c r="O182" s="219" t="s">
        <v>3420</v>
      </c>
      <c r="P182" s="219" t="s">
        <v>7483</v>
      </c>
      <c r="Q182" s="219" t="s">
        <v>24</v>
      </c>
      <c r="R182" s="251"/>
      <c r="S182" s="252"/>
      <c r="T182" s="252"/>
      <c r="U182" s="252"/>
      <c r="V182" s="219"/>
      <c r="W182" s="219"/>
      <c r="X182" s="219"/>
      <c r="Y182" s="219"/>
      <c r="Z182" s="219"/>
    </row>
    <row r="183" spans="1:26" ht="15.75" customHeight="1">
      <c r="A183" s="257">
        <v>44782</v>
      </c>
      <c r="B183" s="221" t="s">
        <v>8551</v>
      </c>
      <c r="C183" s="249">
        <v>2</v>
      </c>
      <c r="D183" s="258" t="s">
        <v>8554</v>
      </c>
      <c r="E183" s="250" t="s">
        <v>3</v>
      </c>
      <c r="F183" s="258" t="s">
        <v>460</v>
      </c>
      <c r="G183" s="258" t="s">
        <v>8555</v>
      </c>
      <c r="H183" s="258">
        <v>2</v>
      </c>
      <c r="I183" s="258" t="s">
        <v>462</v>
      </c>
      <c r="J183" s="258" t="s">
        <v>8556</v>
      </c>
      <c r="K183" s="258">
        <v>2</v>
      </c>
      <c r="L183" s="258"/>
      <c r="M183" s="258"/>
      <c r="N183" s="258" t="s">
        <v>452</v>
      </c>
      <c r="O183" s="258" t="s">
        <v>8557</v>
      </c>
      <c r="P183" s="258" t="s">
        <v>8558</v>
      </c>
      <c r="Q183" s="228" t="s">
        <v>24</v>
      </c>
      <c r="R183" s="259" t="s">
        <v>8559</v>
      </c>
      <c r="S183" s="258"/>
      <c r="T183" s="258"/>
      <c r="U183" s="258"/>
      <c r="V183" s="258"/>
      <c r="W183" s="258"/>
      <c r="X183" s="258"/>
      <c r="Y183" s="258"/>
      <c r="Z183" s="258"/>
    </row>
    <row r="184" spans="1:26" ht="15.75" customHeight="1">
      <c r="A184" s="248">
        <v>44782</v>
      </c>
      <c r="B184" s="219" t="s">
        <v>7092</v>
      </c>
      <c r="C184" s="249">
        <v>2</v>
      </c>
      <c r="D184" s="219" t="s">
        <v>7095</v>
      </c>
      <c r="E184" s="250" t="s">
        <v>4</v>
      </c>
      <c r="F184" s="219" t="s">
        <v>602</v>
      </c>
      <c r="G184" s="219" t="s">
        <v>10454</v>
      </c>
      <c r="H184" s="219">
        <v>2</v>
      </c>
      <c r="I184" s="219" t="s">
        <v>476</v>
      </c>
      <c r="J184" s="219" t="s">
        <v>10455</v>
      </c>
      <c r="K184" s="219">
        <v>2</v>
      </c>
      <c r="L184" s="219" t="s">
        <v>451</v>
      </c>
      <c r="M184" s="219" t="s">
        <v>7098</v>
      </c>
      <c r="N184" s="219" t="s">
        <v>452</v>
      </c>
      <c r="O184" s="219" t="s">
        <v>11544</v>
      </c>
      <c r="P184" s="219"/>
      <c r="Q184" s="219" t="s">
        <v>24</v>
      </c>
      <c r="R184" s="251"/>
      <c r="S184" s="252"/>
      <c r="T184" s="252"/>
      <c r="U184" s="252"/>
      <c r="V184" s="219"/>
      <c r="W184" s="219"/>
      <c r="X184" s="219"/>
      <c r="Y184" s="219"/>
      <c r="Z184" s="219"/>
    </row>
    <row r="185" spans="1:26" ht="15.75" customHeight="1">
      <c r="A185" s="253">
        <v>44782</v>
      </c>
      <c r="B185" s="224" t="s">
        <v>7634</v>
      </c>
      <c r="C185" s="249">
        <v>2</v>
      </c>
      <c r="D185" s="224" t="s">
        <v>7637</v>
      </c>
      <c r="E185" s="250" t="s">
        <v>4</v>
      </c>
      <c r="F185" s="224" t="s">
        <v>602</v>
      </c>
      <c r="G185" s="224" t="s">
        <v>7638</v>
      </c>
      <c r="H185" s="224">
        <v>2</v>
      </c>
      <c r="I185" s="224" t="s">
        <v>1054</v>
      </c>
      <c r="J185" s="224" t="s">
        <v>7639</v>
      </c>
      <c r="K185" s="224">
        <v>2</v>
      </c>
      <c r="L185" s="224"/>
      <c r="M185" s="224"/>
      <c r="N185" s="224" t="s">
        <v>452</v>
      </c>
      <c r="O185" s="224" t="s">
        <v>7640</v>
      </c>
      <c r="P185" s="224"/>
      <c r="Q185" s="224" t="s">
        <v>24</v>
      </c>
      <c r="R185" s="254"/>
      <c r="S185" s="252"/>
      <c r="T185" s="252"/>
      <c r="U185" s="252"/>
      <c r="V185" s="224"/>
      <c r="W185" s="224"/>
      <c r="X185" s="224"/>
      <c r="Y185" s="224"/>
      <c r="Z185" s="224"/>
    </row>
    <row r="186" spans="1:26" ht="15.75" customHeight="1">
      <c r="A186" s="248">
        <v>44782</v>
      </c>
      <c r="B186" s="219" t="s">
        <v>11384</v>
      </c>
      <c r="C186" s="249">
        <v>2</v>
      </c>
      <c r="D186" s="219" t="s">
        <v>7526</v>
      </c>
      <c r="E186" s="250" t="s">
        <v>4</v>
      </c>
      <c r="F186" s="219" t="s">
        <v>602</v>
      </c>
      <c r="G186" s="219" t="s">
        <v>7527</v>
      </c>
      <c r="H186" s="219">
        <v>2</v>
      </c>
      <c r="I186" s="219" t="s">
        <v>727</v>
      </c>
      <c r="J186" s="219" t="s">
        <v>7528</v>
      </c>
      <c r="K186" s="219">
        <v>2</v>
      </c>
      <c r="L186" s="219" t="s">
        <v>451</v>
      </c>
      <c r="M186" s="219">
        <v>250000</v>
      </c>
      <c r="N186" s="219" t="s">
        <v>452</v>
      </c>
      <c r="O186" s="219" t="s">
        <v>452</v>
      </c>
      <c r="P186" s="219"/>
      <c r="Q186" s="219" t="s">
        <v>24</v>
      </c>
      <c r="R186" s="251"/>
      <c r="S186" s="252"/>
      <c r="T186" s="252"/>
      <c r="U186" s="252"/>
      <c r="V186" s="219"/>
      <c r="W186" s="219"/>
      <c r="X186" s="219"/>
      <c r="Y186" s="219"/>
      <c r="Z186" s="219"/>
    </row>
    <row r="187" spans="1:26" ht="15.75" customHeight="1">
      <c r="A187" s="253">
        <v>44782</v>
      </c>
      <c r="B187" s="224" t="s">
        <v>6932</v>
      </c>
      <c r="C187" s="249">
        <v>2</v>
      </c>
      <c r="D187" s="224" t="s">
        <v>6935</v>
      </c>
      <c r="E187" s="250" t="s">
        <v>4</v>
      </c>
      <c r="F187" s="224" t="s">
        <v>602</v>
      </c>
      <c r="G187" s="224" t="s">
        <v>6936</v>
      </c>
      <c r="H187" s="224">
        <v>2</v>
      </c>
      <c r="I187" s="224" t="s">
        <v>1054</v>
      </c>
      <c r="J187" s="224"/>
      <c r="K187" s="224">
        <v>2</v>
      </c>
      <c r="L187" s="224" t="s">
        <v>784</v>
      </c>
      <c r="M187" s="224">
        <v>300000</v>
      </c>
      <c r="N187" s="224" t="s">
        <v>452</v>
      </c>
      <c r="O187" s="224" t="s">
        <v>6937</v>
      </c>
      <c r="P187" s="224"/>
      <c r="Q187" s="224" t="s">
        <v>24</v>
      </c>
      <c r="R187" s="254"/>
      <c r="S187" s="252"/>
      <c r="T187" s="252"/>
      <c r="U187" s="252"/>
      <c r="V187" s="224"/>
      <c r="W187" s="224"/>
      <c r="X187" s="224"/>
      <c r="Y187" s="224"/>
      <c r="Z187" s="224"/>
    </row>
    <row r="188" spans="1:26" ht="15.75" customHeight="1">
      <c r="A188" s="248">
        <v>44782</v>
      </c>
      <c r="B188" s="219" t="s">
        <v>7717</v>
      </c>
      <c r="C188" s="249">
        <v>1.75</v>
      </c>
      <c r="D188" s="219" t="s">
        <v>11470</v>
      </c>
      <c r="E188" s="250" t="s">
        <v>4</v>
      </c>
      <c r="F188" s="219" t="s">
        <v>602</v>
      </c>
      <c r="G188" s="219" t="s">
        <v>11471</v>
      </c>
      <c r="H188" s="219">
        <v>2.5</v>
      </c>
      <c r="I188" s="219" t="s">
        <v>1054</v>
      </c>
      <c r="J188" s="219" t="s">
        <v>7722</v>
      </c>
      <c r="K188" s="219">
        <v>1</v>
      </c>
      <c r="L188" s="219"/>
      <c r="M188" s="219"/>
      <c r="N188" s="219" t="s">
        <v>452</v>
      </c>
      <c r="O188" s="219" t="s">
        <v>452</v>
      </c>
      <c r="P188" s="219"/>
      <c r="Q188" s="219" t="s">
        <v>24</v>
      </c>
      <c r="R188" s="251"/>
      <c r="S188" s="252"/>
      <c r="T188" s="252"/>
      <c r="U188" s="252"/>
      <c r="V188" s="219"/>
      <c r="W188" s="219"/>
      <c r="X188" s="219"/>
      <c r="Y188" s="219"/>
      <c r="Z188" s="219"/>
    </row>
    <row r="189" spans="1:26" ht="15.75" customHeight="1">
      <c r="A189" s="253">
        <v>44782</v>
      </c>
      <c r="B189" s="224" t="s">
        <v>2309</v>
      </c>
      <c r="C189" s="249">
        <v>1.5</v>
      </c>
      <c r="D189" s="224" t="s">
        <v>2312</v>
      </c>
      <c r="E189" s="250" t="s">
        <v>5</v>
      </c>
      <c r="F189" s="224" t="s">
        <v>447</v>
      </c>
      <c r="G189" s="224" t="s">
        <v>10299</v>
      </c>
      <c r="H189" s="224">
        <v>1</v>
      </c>
      <c r="I189" s="224" t="s">
        <v>543</v>
      </c>
      <c r="J189" s="224" t="s">
        <v>13400</v>
      </c>
      <c r="K189" s="224">
        <v>2</v>
      </c>
      <c r="L189" s="224" t="s">
        <v>451</v>
      </c>
      <c r="M189" s="224">
        <v>1000000</v>
      </c>
      <c r="N189" s="224" t="s">
        <v>465</v>
      </c>
      <c r="O189" s="224" t="s">
        <v>2315</v>
      </c>
      <c r="P189" s="224"/>
      <c r="Q189" s="224" t="s">
        <v>24</v>
      </c>
      <c r="R189" s="254"/>
      <c r="S189" s="252"/>
      <c r="T189" s="252"/>
      <c r="U189" s="252"/>
      <c r="V189" s="224"/>
      <c r="W189" s="224"/>
      <c r="X189" s="224"/>
      <c r="Y189" s="224"/>
      <c r="Z189" s="224"/>
    </row>
    <row r="190" spans="1:26" ht="15.75" customHeight="1">
      <c r="A190" s="248">
        <v>44782</v>
      </c>
      <c r="B190" s="219" t="s">
        <v>7751</v>
      </c>
      <c r="C190" s="249">
        <v>1.5</v>
      </c>
      <c r="D190" s="219" t="s">
        <v>10481</v>
      </c>
      <c r="E190" s="250" t="s">
        <v>4</v>
      </c>
      <c r="F190" s="219" t="s">
        <v>602</v>
      </c>
      <c r="G190" s="219" t="s">
        <v>7755</v>
      </c>
      <c r="H190" s="219">
        <v>2</v>
      </c>
      <c r="I190" s="219" t="s">
        <v>1054</v>
      </c>
      <c r="J190" s="219"/>
      <c r="K190" s="219">
        <v>1</v>
      </c>
      <c r="L190" s="219" t="s">
        <v>451</v>
      </c>
      <c r="M190" s="219">
        <v>1000000</v>
      </c>
      <c r="N190" s="219" t="s">
        <v>452</v>
      </c>
      <c r="O190" s="219" t="s">
        <v>452</v>
      </c>
      <c r="P190" s="219"/>
      <c r="Q190" s="219" t="s">
        <v>24</v>
      </c>
      <c r="R190" s="251"/>
      <c r="S190" s="252"/>
      <c r="T190" s="252"/>
      <c r="U190" s="252"/>
      <c r="V190" s="219"/>
      <c r="W190" s="219"/>
      <c r="X190" s="219"/>
      <c r="Y190" s="219"/>
      <c r="Z190" s="219"/>
    </row>
    <row r="191" spans="1:26" ht="15.75" customHeight="1">
      <c r="A191" s="253">
        <v>44782</v>
      </c>
      <c r="B191" s="224" t="s">
        <v>7918</v>
      </c>
      <c r="C191" s="249">
        <v>1.5</v>
      </c>
      <c r="D191" s="224" t="s">
        <v>7921</v>
      </c>
      <c r="E191" s="250" t="s">
        <v>4</v>
      </c>
      <c r="F191" s="224" t="s">
        <v>602</v>
      </c>
      <c r="G191" s="224" t="s">
        <v>7922</v>
      </c>
      <c r="H191" s="224">
        <v>2</v>
      </c>
      <c r="I191" s="224" t="s">
        <v>1054</v>
      </c>
      <c r="J191" s="224" t="s">
        <v>7923</v>
      </c>
      <c r="K191" s="224">
        <v>1</v>
      </c>
      <c r="L191" s="224" t="s">
        <v>451</v>
      </c>
      <c r="M191" s="224">
        <v>3000000</v>
      </c>
      <c r="N191" s="224" t="s">
        <v>465</v>
      </c>
      <c r="O191" s="224" t="s">
        <v>452</v>
      </c>
      <c r="P191" s="224"/>
      <c r="Q191" s="224" t="s">
        <v>24</v>
      </c>
      <c r="R191" s="254"/>
      <c r="S191" s="252"/>
      <c r="T191" s="252"/>
      <c r="U191" s="252"/>
      <c r="V191" s="224"/>
      <c r="W191" s="224"/>
      <c r="X191" s="224"/>
      <c r="Y191" s="224"/>
      <c r="Z191" s="224"/>
    </row>
    <row r="192" spans="1:26" ht="15.75" customHeight="1">
      <c r="A192" s="248">
        <v>44782</v>
      </c>
      <c r="B192" s="219" t="s">
        <v>8966</v>
      </c>
      <c r="C192" s="249">
        <v>1</v>
      </c>
      <c r="D192" s="219" t="s">
        <v>8969</v>
      </c>
      <c r="E192" s="250" t="s">
        <v>3</v>
      </c>
      <c r="F192" s="219" t="s">
        <v>460</v>
      </c>
      <c r="G192" s="219"/>
      <c r="H192" s="219">
        <v>1</v>
      </c>
      <c r="I192" s="219" t="s">
        <v>941</v>
      </c>
      <c r="J192" s="219"/>
      <c r="K192" s="219">
        <v>1</v>
      </c>
      <c r="L192" s="219"/>
      <c r="M192" s="219"/>
      <c r="N192" s="219" t="s">
        <v>452</v>
      </c>
      <c r="O192" s="219" t="s">
        <v>452</v>
      </c>
      <c r="P192" s="219"/>
      <c r="Q192" s="219" t="s">
        <v>24</v>
      </c>
      <c r="R192" s="251"/>
      <c r="S192" s="252"/>
      <c r="T192" s="252"/>
      <c r="U192" s="252"/>
      <c r="V192" s="219"/>
      <c r="W192" s="219"/>
      <c r="X192" s="219"/>
      <c r="Y192" s="219"/>
      <c r="Z192" s="219"/>
    </row>
    <row r="193" spans="1:26" ht="15.75" customHeight="1">
      <c r="A193" s="253">
        <v>44782</v>
      </c>
      <c r="B193" s="224" t="s">
        <v>8150</v>
      </c>
      <c r="C193" s="249">
        <v>1</v>
      </c>
      <c r="D193" s="224" t="s">
        <v>8153</v>
      </c>
      <c r="E193" s="250" t="s">
        <v>4</v>
      </c>
      <c r="F193" s="224" t="s">
        <v>727</v>
      </c>
      <c r="G193" s="224" t="s">
        <v>8154</v>
      </c>
      <c r="H193" s="224">
        <v>1</v>
      </c>
      <c r="I193" s="224" t="s">
        <v>476</v>
      </c>
      <c r="J193" s="224" t="s">
        <v>10372</v>
      </c>
      <c r="K193" s="224">
        <v>1</v>
      </c>
      <c r="L193" s="224" t="s">
        <v>784</v>
      </c>
      <c r="M193" s="224">
        <v>600000</v>
      </c>
      <c r="N193" s="224" t="s">
        <v>452</v>
      </c>
      <c r="O193" s="224" t="s">
        <v>452</v>
      </c>
      <c r="P193" s="224"/>
      <c r="Q193" s="224" t="s">
        <v>24</v>
      </c>
      <c r="R193" s="254"/>
      <c r="S193" s="252"/>
      <c r="T193" s="252"/>
      <c r="U193" s="252"/>
      <c r="V193" s="224"/>
      <c r="W193" s="224"/>
      <c r="X193" s="224"/>
      <c r="Y193" s="224"/>
      <c r="Z193" s="224"/>
    </row>
    <row r="194" spans="1:26" ht="15.75" customHeight="1">
      <c r="A194" s="248">
        <v>44782</v>
      </c>
      <c r="B194" s="219" t="s">
        <v>9015</v>
      </c>
      <c r="C194" s="249">
        <v>1</v>
      </c>
      <c r="D194" s="219" t="s">
        <v>9018</v>
      </c>
      <c r="E194" s="250" t="s">
        <v>3</v>
      </c>
      <c r="F194" s="219" t="s">
        <v>460</v>
      </c>
      <c r="G194" s="219" t="s">
        <v>9019</v>
      </c>
      <c r="H194" s="219">
        <v>1</v>
      </c>
      <c r="I194" s="219" t="s">
        <v>941</v>
      </c>
      <c r="J194" s="219"/>
      <c r="K194" s="219">
        <v>1</v>
      </c>
      <c r="L194" s="219"/>
      <c r="M194" s="219"/>
      <c r="N194" s="219" t="s">
        <v>452</v>
      </c>
      <c r="O194" s="219" t="s">
        <v>452</v>
      </c>
      <c r="P194" s="219"/>
      <c r="Q194" s="219" t="s">
        <v>24</v>
      </c>
      <c r="R194" s="251"/>
      <c r="S194" s="252"/>
      <c r="T194" s="252"/>
      <c r="U194" s="252"/>
      <c r="V194" s="219"/>
      <c r="W194" s="219"/>
      <c r="X194" s="219"/>
      <c r="Y194" s="219"/>
      <c r="Z194" s="219"/>
    </row>
    <row r="195" spans="1:26" ht="15.75" customHeight="1">
      <c r="A195" s="253">
        <v>44782</v>
      </c>
      <c r="B195" s="224" t="s">
        <v>8448</v>
      </c>
      <c r="C195" s="249">
        <v>1</v>
      </c>
      <c r="D195" s="224" t="s">
        <v>8451</v>
      </c>
      <c r="E195" s="250" t="s">
        <v>3</v>
      </c>
      <c r="F195" s="224" t="s">
        <v>460</v>
      </c>
      <c r="G195" s="224" t="s">
        <v>8452</v>
      </c>
      <c r="H195" s="224">
        <v>1</v>
      </c>
      <c r="I195" s="224" t="s">
        <v>488</v>
      </c>
      <c r="J195" s="224"/>
      <c r="K195" s="224">
        <v>1</v>
      </c>
      <c r="L195" s="224" t="s">
        <v>8453</v>
      </c>
      <c r="M195" s="224" t="s">
        <v>8454</v>
      </c>
      <c r="N195" s="224" t="s">
        <v>465</v>
      </c>
      <c r="O195" s="224" t="s">
        <v>8455</v>
      </c>
      <c r="P195" s="224"/>
      <c r="Q195" s="224" t="s">
        <v>24</v>
      </c>
      <c r="R195" s="254"/>
      <c r="S195" s="252"/>
      <c r="T195" s="252"/>
      <c r="U195" s="252"/>
      <c r="V195" s="224"/>
      <c r="W195" s="224"/>
      <c r="X195" s="224"/>
      <c r="Y195" s="224"/>
      <c r="Z195" s="224"/>
    </row>
    <row r="196" spans="1:26" ht="15.75" customHeight="1">
      <c r="A196" s="267">
        <v>44784</v>
      </c>
      <c r="B196" s="268" t="s">
        <v>368</v>
      </c>
      <c r="C196" s="269">
        <v>5</v>
      </c>
      <c r="D196" s="268" t="s">
        <v>2064</v>
      </c>
      <c r="E196" s="270" t="s">
        <v>3</v>
      </c>
      <c r="F196" s="268" t="s">
        <v>460</v>
      </c>
      <c r="G196" s="268" t="s">
        <v>2065</v>
      </c>
      <c r="H196" s="268">
        <v>5</v>
      </c>
      <c r="I196" s="268" t="s">
        <v>488</v>
      </c>
      <c r="J196" s="268" t="s">
        <v>2066</v>
      </c>
      <c r="K196" s="268">
        <v>5</v>
      </c>
      <c r="L196" s="268" t="s">
        <v>973</v>
      </c>
      <c r="M196" s="268" t="s">
        <v>2067</v>
      </c>
      <c r="N196" s="268" t="s">
        <v>465</v>
      </c>
      <c r="O196" s="268" t="s">
        <v>2068</v>
      </c>
      <c r="P196" s="268"/>
      <c r="Q196" s="268" t="s">
        <v>18</v>
      </c>
      <c r="R196" s="271" t="s">
        <v>2069</v>
      </c>
      <c r="S196" s="268"/>
      <c r="T196" s="268"/>
      <c r="U196" s="268"/>
      <c r="V196" s="268"/>
      <c r="W196" s="268"/>
      <c r="X196" s="219"/>
      <c r="Y196" s="219"/>
      <c r="Z196" s="219"/>
    </row>
    <row r="197" spans="1:26" ht="15.75" customHeight="1">
      <c r="A197" s="267">
        <v>44784</v>
      </c>
      <c r="B197" s="272" t="s">
        <v>128</v>
      </c>
      <c r="C197" s="269">
        <v>5</v>
      </c>
      <c r="D197" s="272" t="s">
        <v>920</v>
      </c>
      <c r="E197" s="270" t="s">
        <v>5</v>
      </c>
      <c r="F197" s="272" t="s">
        <v>447</v>
      </c>
      <c r="G197" s="272" t="s">
        <v>10430</v>
      </c>
      <c r="H197" s="272">
        <v>5</v>
      </c>
      <c r="I197" s="272" t="s">
        <v>543</v>
      </c>
      <c r="J197" s="272" t="s">
        <v>11545</v>
      </c>
      <c r="K197" s="272">
        <v>5</v>
      </c>
      <c r="L197" s="272" t="s">
        <v>923</v>
      </c>
      <c r="M197" s="273">
        <v>3000000</v>
      </c>
      <c r="N197" s="272" t="s">
        <v>452</v>
      </c>
      <c r="O197" s="273" t="s">
        <v>924</v>
      </c>
      <c r="P197" s="272"/>
      <c r="Q197" s="272" t="s">
        <v>18</v>
      </c>
      <c r="R197" s="274" t="s">
        <v>925</v>
      </c>
      <c r="S197" s="272"/>
      <c r="T197" s="272"/>
      <c r="U197" s="272"/>
      <c r="V197" s="272"/>
      <c r="W197" s="272"/>
      <c r="X197" s="224"/>
      <c r="Y197" s="224"/>
      <c r="Z197" s="224"/>
    </row>
    <row r="198" spans="1:26" ht="15.75" customHeight="1">
      <c r="A198" s="267">
        <v>44784</v>
      </c>
      <c r="B198" s="268" t="s">
        <v>360</v>
      </c>
      <c r="C198" s="269">
        <v>5</v>
      </c>
      <c r="D198" s="268" t="s">
        <v>2032</v>
      </c>
      <c r="E198" s="270" t="s">
        <v>3</v>
      </c>
      <c r="F198" s="268" t="s">
        <v>460</v>
      </c>
      <c r="G198" s="268" t="s">
        <v>2033</v>
      </c>
      <c r="H198" s="268">
        <v>5</v>
      </c>
      <c r="I198" s="268" t="s">
        <v>462</v>
      </c>
      <c r="J198" s="268" t="s">
        <v>2034</v>
      </c>
      <c r="K198" s="268">
        <v>5</v>
      </c>
      <c r="L198" s="268" t="s">
        <v>478</v>
      </c>
      <c r="M198" s="275">
        <v>3000000</v>
      </c>
      <c r="N198" s="268" t="s">
        <v>465</v>
      </c>
      <c r="O198" s="275" t="s">
        <v>452</v>
      </c>
      <c r="P198" s="268"/>
      <c r="Q198" s="268" t="s">
        <v>18</v>
      </c>
      <c r="R198" s="271" t="s">
        <v>2035</v>
      </c>
      <c r="S198" s="268"/>
      <c r="T198" s="268"/>
      <c r="U198" s="268"/>
      <c r="V198" s="268"/>
      <c r="W198" s="268"/>
      <c r="X198" s="219"/>
      <c r="Y198" s="219"/>
      <c r="Z198" s="219"/>
    </row>
    <row r="199" spans="1:26" ht="15.75" customHeight="1">
      <c r="A199" s="267">
        <v>44784</v>
      </c>
      <c r="B199" s="272" t="s">
        <v>301</v>
      </c>
      <c r="C199" s="269">
        <v>5</v>
      </c>
      <c r="D199" s="272" t="s">
        <v>1684</v>
      </c>
      <c r="E199" s="270" t="s">
        <v>3</v>
      </c>
      <c r="F199" s="272" t="s">
        <v>460</v>
      </c>
      <c r="G199" s="272" t="s">
        <v>1685</v>
      </c>
      <c r="H199" s="272">
        <v>5</v>
      </c>
      <c r="I199" s="272" t="s">
        <v>941</v>
      </c>
      <c r="J199" s="272" t="s">
        <v>1686</v>
      </c>
      <c r="K199" s="272">
        <v>5</v>
      </c>
      <c r="L199" s="272"/>
      <c r="M199" s="272"/>
      <c r="N199" s="272" t="s">
        <v>452</v>
      </c>
      <c r="O199" s="272" t="s">
        <v>1687</v>
      </c>
      <c r="P199" s="272" t="s">
        <v>725</v>
      </c>
      <c r="Q199" s="272" t="s">
        <v>18</v>
      </c>
      <c r="R199" s="274" t="s">
        <v>1688</v>
      </c>
      <c r="S199" s="272"/>
      <c r="T199" s="272"/>
      <c r="U199" s="272"/>
      <c r="V199" s="272"/>
      <c r="W199" s="272"/>
      <c r="X199" s="224"/>
      <c r="Y199" s="224"/>
      <c r="Z199" s="224"/>
    </row>
    <row r="200" spans="1:26" ht="15.75" customHeight="1">
      <c r="A200" s="267">
        <v>44784</v>
      </c>
      <c r="B200" s="268" t="s">
        <v>80</v>
      </c>
      <c r="C200" s="269">
        <v>4.75</v>
      </c>
      <c r="D200" s="268" t="s">
        <v>572</v>
      </c>
      <c r="E200" s="270" t="s">
        <v>5</v>
      </c>
      <c r="F200" s="268" t="s">
        <v>447</v>
      </c>
      <c r="G200" s="268" t="s">
        <v>10410</v>
      </c>
      <c r="H200" s="268">
        <v>4.5</v>
      </c>
      <c r="I200" s="268" t="s">
        <v>449</v>
      </c>
      <c r="J200" s="268" t="s">
        <v>11546</v>
      </c>
      <c r="K200" s="268">
        <v>5</v>
      </c>
      <c r="L200" s="268" t="s">
        <v>451</v>
      </c>
      <c r="M200" s="275">
        <v>5000000</v>
      </c>
      <c r="N200" s="268" t="s">
        <v>465</v>
      </c>
      <c r="O200" s="275" t="s">
        <v>575</v>
      </c>
      <c r="P200" s="268"/>
      <c r="Q200" s="268" t="s">
        <v>18</v>
      </c>
      <c r="R200" s="271" t="s">
        <v>576</v>
      </c>
      <c r="S200" s="268"/>
      <c r="T200" s="268"/>
      <c r="U200" s="268"/>
      <c r="V200" s="268"/>
      <c r="W200" s="268"/>
      <c r="X200" s="219"/>
      <c r="Y200" s="219"/>
      <c r="Z200" s="219"/>
    </row>
    <row r="201" spans="1:26" ht="15.75" customHeight="1">
      <c r="A201" s="267">
        <v>44784</v>
      </c>
      <c r="B201" s="272" t="s">
        <v>72</v>
      </c>
      <c r="C201" s="269">
        <v>4.75</v>
      </c>
      <c r="D201" s="272" t="s">
        <v>521</v>
      </c>
      <c r="E201" s="270" t="s">
        <v>5</v>
      </c>
      <c r="F201" s="272" t="s">
        <v>447</v>
      </c>
      <c r="G201" s="272" t="s">
        <v>11266</v>
      </c>
      <c r="H201" s="272">
        <v>4.5</v>
      </c>
      <c r="I201" s="272" t="s">
        <v>449</v>
      </c>
      <c r="J201" s="272" t="s">
        <v>11547</v>
      </c>
      <c r="K201" s="272">
        <v>5</v>
      </c>
      <c r="L201" s="272" t="s">
        <v>478</v>
      </c>
      <c r="M201" s="273">
        <v>16000000</v>
      </c>
      <c r="N201" s="272" t="s">
        <v>452</v>
      </c>
      <c r="O201" s="273" t="s">
        <v>11268</v>
      </c>
      <c r="P201" s="272" t="s">
        <v>525</v>
      </c>
      <c r="Q201" s="272" t="s">
        <v>18</v>
      </c>
      <c r="R201" s="274" t="s">
        <v>526</v>
      </c>
      <c r="S201" s="272"/>
      <c r="T201" s="272"/>
      <c r="U201" s="272"/>
      <c r="V201" s="272"/>
      <c r="W201" s="272"/>
      <c r="X201" s="224"/>
      <c r="Y201" s="224"/>
      <c r="Z201" s="224"/>
    </row>
    <row r="202" spans="1:26" ht="15.75" customHeight="1">
      <c r="A202" s="276">
        <v>44784</v>
      </c>
      <c r="B202" s="277" t="s">
        <v>150</v>
      </c>
      <c r="C202" s="278">
        <v>4.5</v>
      </c>
      <c r="D202" s="277" t="s">
        <v>3406</v>
      </c>
      <c r="E202" s="277" t="s">
        <v>5</v>
      </c>
      <c r="F202" s="277" t="s">
        <v>460</v>
      </c>
      <c r="G202" s="277" t="s">
        <v>10278</v>
      </c>
      <c r="H202" s="277">
        <v>4.5</v>
      </c>
      <c r="I202" s="277" t="s">
        <v>462</v>
      </c>
      <c r="J202" s="277" t="s">
        <v>3408</v>
      </c>
      <c r="K202" s="277">
        <v>4.5</v>
      </c>
      <c r="L202" s="277"/>
      <c r="M202" s="277"/>
      <c r="N202" s="277" t="s">
        <v>452</v>
      </c>
      <c r="O202" s="277" t="s">
        <v>10279</v>
      </c>
      <c r="P202" s="277"/>
      <c r="Q202" s="277" t="s">
        <v>18</v>
      </c>
      <c r="R202" s="279" t="s">
        <v>3410</v>
      </c>
      <c r="S202" s="277"/>
      <c r="T202" s="277"/>
      <c r="U202" s="277"/>
      <c r="V202" s="277"/>
      <c r="W202" s="277"/>
      <c r="X202" s="239"/>
      <c r="Y202" s="239"/>
      <c r="Z202" s="239"/>
    </row>
    <row r="203" spans="1:26" ht="15.75" customHeight="1">
      <c r="A203" s="276">
        <v>44784</v>
      </c>
      <c r="B203" s="277" t="s">
        <v>99</v>
      </c>
      <c r="C203" s="278">
        <v>4.5</v>
      </c>
      <c r="D203" s="277" t="s">
        <v>724</v>
      </c>
      <c r="E203" s="277" t="s">
        <v>5</v>
      </c>
      <c r="F203" s="277" t="s">
        <v>725</v>
      </c>
      <c r="G203" s="277" t="s">
        <v>10323</v>
      </c>
      <c r="H203" s="277">
        <v>5</v>
      </c>
      <c r="I203" s="277" t="s">
        <v>727</v>
      </c>
      <c r="J203" s="277" t="s">
        <v>10324</v>
      </c>
      <c r="K203" s="277">
        <v>4</v>
      </c>
      <c r="L203" s="277" t="s">
        <v>451</v>
      </c>
      <c r="M203" s="277" t="s">
        <v>729</v>
      </c>
      <c r="N203" s="277" t="s">
        <v>452</v>
      </c>
      <c r="O203" s="277" t="s">
        <v>730</v>
      </c>
      <c r="P203" s="277"/>
      <c r="Q203" s="277" t="s">
        <v>18</v>
      </c>
      <c r="R203" s="279" t="s">
        <v>731</v>
      </c>
      <c r="S203" s="277"/>
      <c r="T203" s="277"/>
      <c r="U203" s="277"/>
      <c r="V203" s="277"/>
      <c r="W203" s="277"/>
      <c r="X203" s="239"/>
      <c r="Y203" s="239"/>
      <c r="Z203" s="239"/>
    </row>
    <row r="204" spans="1:26" ht="15.75" customHeight="1">
      <c r="A204" s="280">
        <v>44784</v>
      </c>
      <c r="B204" s="281" t="s">
        <v>97</v>
      </c>
      <c r="C204" s="282">
        <v>4.5</v>
      </c>
      <c r="D204" s="281" t="s">
        <v>705</v>
      </c>
      <c r="E204" s="281" t="s">
        <v>5</v>
      </c>
      <c r="F204" s="281" t="s">
        <v>447</v>
      </c>
      <c r="G204" s="281" t="s">
        <v>10446</v>
      </c>
      <c r="H204" s="281">
        <v>5</v>
      </c>
      <c r="I204" s="281" t="s">
        <v>622</v>
      </c>
      <c r="J204" s="281" t="s">
        <v>707</v>
      </c>
      <c r="K204" s="281">
        <v>4</v>
      </c>
      <c r="L204" s="281" t="s">
        <v>451</v>
      </c>
      <c r="M204" s="281" t="s">
        <v>708</v>
      </c>
      <c r="N204" s="281" t="s">
        <v>452</v>
      </c>
      <c r="O204" s="281" t="s">
        <v>709</v>
      </c>
      <c r="P204" s="281" t="s">
        <v>710</v>
      </c>
      <c r="Q204" s="281" t="s">
        <v>18</v>
      </c>
      <c r="R204" s="283" t="s">
        <v>711</v>
      </c>
      <c r="S204" s="281"/>
      <c r="T204" s="281"/>
      <c r="U204" s="281"/>
      <c r="V204" s="281"/>
      <c r="W204" s="281"/>
      <c r="X204" s="258"/>
      <c r="Y204" s="258"/>
      <c r="Z204" s="258"/>
    </row>
    <row r="205" spans="1:26" ht="15.75" customHeight="1">
      <c r="A205" s="267">
        <v>44784</v>
      </c>
      <c r="B205" s="272" t="s">
        <v>167</v>
      </c>
      <c r="C205" s="269">
        <v>4.5</v>
      </c>
      <c r="D205" s="272" t="s">
        <v>1093</v>
      </c>
      <c r="E205" s="270" t="s">
        <v>4</v>
      </c>
      <c r="F205" s="272" t="s">
        <v>727</v>
      </c>
      <c r="G205" s="272" t="s">
        <v>10760</v>
      </c>
      <c r="H205" s="272">
        <v>5</v>
      </c>
      <c r="I205" s="272" t="s">
        <v>1054</v>
      </c>
      <c r="J205" s="272" t="s">
        <v>1095</v>
      </c>
      <c r="K205" s="272">
        <v>4</v>
      </c>
      <c r="L205" s="272" t="s">
        <v>451</v>
      </c>
      <c r="M205" s="284">
        <v>7000000</v>
      </c>
      <c r="N205" s="272" t="s">
        <v>452</v>
      </c>
      <c r="O205" s="284" t="s">
        <v>452</v>
      </c>
      <c r="P205" s="272" t="s">
        <v>1096</v>
      </c>
      <c r="Q205" s="272" t="s">
        <v>18</v>
      </c>
      <c r="R205" s="274"/>
      <c r="S205" s="272"/>
      <c r="T205" s="272"/>
      <c r="U205" s="272"/>
      <c r="V205" s="272"/>
      <c r="W205" s="272"/>
      <c r="X205" s="224"/>
      <c r="Y205" s="224"/>
      <c r="Z205" s="224"/>
    </row>
    <row r="206" spans="1:26" ht="15.75" customHeight="1">
      <c r="A206" s="276">
        <v>44784</v>
      </c>
      <c r="B206" s="277" t="s">
        <v>258</v>
      </c>
      <c r="C206" s="278">
        <v>4.5</v>
      </c>
      <c r="D206" s="277" t="s">
        <v>1492</v>
      </c>
      <c r="E206" s="277" t="s">
        <v>4</v>
      </c>
      <c r="F206" s="277" t="s">
        <v>447</v>
      </c>
      <c r="G206" s="277" t="s">
        <v>11364</v>
      </c>
      <c r="H206" s="277">
        <v>5</v>
      </c>
      <c r="I206" s="277" t="s">
        <v>449</v>
      </c>
      <c r="J206" s="277" t="s">
        <v>11548</v>
      </c>
      <c r="K206" s="277">
        <v>4</v>
      </c>
      <c r="L206" s="277" t="s">
        <v>478</v>
      </c>
      <c r="M206" s="277" t="s">
        <v>1495</v>
      </c>
      <c r="N206" s="277" t="s">
        <v>454</v>
      </c>
      <c r="O206" s="277" t="s">
        <v>452</v>
      </c>
      <c r="P206" s="277" t="s">
        <v>447</v>
      </c>
      <c r="Q206" s="277" t="s">
        <v>18</v>
      </c>
      <c r="R206" s="279" t="s">
        <v>1496</v>
      </c>
      <c r="S206" s="277"/>
      <c r="T206" s="277"/>
      <c r="U206" s="277"/>
      <c r="V206" s="277"/>
      <c r="W206" s="277"/>
      <c r="X206" s="239"/>
      <c r="Y206" s="239"/>
      <c r="Z206" s="239"/>
    </row>
    <row r="207" spans="1:26" ht="15.75" customHeight="1">
      <c r="A207" s="267">
        <v>44784</v>
      </c>
      <c r="B207" s="272" t="s">
        <v>223</v>
      </c>
      <c r="C207" s="269">
        <v>4.38</v>
      </c>
      <c r="D207" s="272" t="s">
        <v>1339</v>
      </c>
      <c r="E207" s="270" t="s">
        <v>4</v>
      </c>
      <c r="F207" s="272" t="s">
        <v>725</v>
      </c>
      <c r="G207" s="272" t="s">
        <v>1340</v>
      </c>
      <c r="H207" s="272">
        <v>4</v>
      </c>
      <c r="I207" s="272" t="s">
        <v>727</v>
      </c>
      <c r="J207" s="272" t="s">
        <v>11549</v>
      </c>
      <c r="K207" s="272">
        <v>4.75</v>
      </c>
      <c r="L207" s="272" t="s">
        <v>451</v>
      </c>
      <c r="M207" s="272">
        <v>5000000</v>
      </c>
      <c r="N207" s="272" t="s">
        <v>452</v>
      </c>
      <c r="O207" s="272" t="s">
        <v>11425</v>
      </c>
      <c r="P207" s="272" t="s">
        <v>1343</v>
      </c>
      <c r="Q207" s="272" t="s">
        <v>18</v>
      </c>
      <c r="R207" s="274"/>
      <c r="S207" s="272"/>
      <c r="T207" s="272"/>
      <c r="U207" s="272"/>
      <c r="V207" s="272"/>
      <c r="W207" s="272"/>
      <c r="X207" s="224"/>
      <c r="Y207" s="224"/>
      <c r="Z207" s="224"/>
    </row>
    <row r="208" spans="1:26" ht="15.75" customHeight="1">
      <c r="A208" s="267">
        <v>44784</v>
      </c>
      <c r="B208" s="268" t="s">
        <v>266</v>
      </c>
      <c r="C208" s="269">
        <v>4.25</v>
      </c>
      <c r="D208" s="268" t="s">
        <v>10174</v>
      </c>
      <c r="E208" s="270" t="s">
        <v>4</v>
      </c>
      <c r="F208" s="268" t="s">
        <v>602</v>
      </c>
      <c r="G208" s="268" t="s">
        <v>1534</v>
      </c>
      <c r="H208" s="268">
        <v>4</v>
      </c>
      <c r="I208" s="268" t="s">
        <v>1054</v>
      </c>
      <c r="J208" s="268"/>
      <c r="K208" s="268">
        <v>4.5</v>
      </c>
      <c r="L208" s="268" t="s">
        <v>451</v>
      </c>
      <c r="M208" s="285">
        <v>2000000</v>
      </c>
      <c r="N208" s="268" t="s">
        <v>454</v>
      </c>
      <c r="O208" s="285" t="s">
        <v>11550</v>
      </c>
      <c r="P208" s="268" t="s">
        <v>1536</v>
      </c>
      <c r="Q208" s="268" t="s">
        <v>18</v>
      </c>
      <c r="R208" s="271" t="s">
        <v>1537</v>
      </c>
      <c r="S208" s="268"/>
      <c r="T208" s="268"/>
      <c r="U208" s="268"/>
      <c r="V208" s="268"/>
      <c r="W208" s="268"/>
      <c r="X208" s="219"/>
      <c r="Y208" s="219"/>
      <c r="Z208" s="219"/>
    </row>
    <row r="209" spans="1:26" ht="15.75" customHeight="1">
      <c r="A209" s="276">
        <v>44784</v>
      </c>
      <c r="B209" s="277" t="s">
        <v>171</v>
      </c>
      <c r="C209" s="278">
        <v>4.25</v>
      </c>
      <c r="D209" s="277" t="s">
        <v>3676</v>
      </c>
      <c r="E209" s="277" t="s">
        <v>4</v>
      </c>
      <c r="F209" s="277" t="s">
        <v>460</v>
      </c>
      <c r="G209" s="277" t="s">
        <v>3677</v>
      </c>
      <c r="H209" s="277">
        <v>4</v>
      </c>
      <c r="I209" s="277" t="s">
        <v>462</v>
      </c>
      <c r="J209" s="277" t="s">
        <v>3678</v>
      </c>
      <c r="K209" s="277">
        <v>4.5</v>
      </c>
      <c r="L209" s="277" t="s">
        <v>451</v>
      </c>
      <c r="M209" s="277">
        <v>2000000</v>
      </c>
      <c r="N209" s="277" t="s">
        <v>452</v>
      </c>
      <c r="O209" s="277" t="s">
        <v>10285</v>
      </c>
      <c r="P209" s="277" t="s">
        <v>3680</v>
      </c>
      <c r="Q209" s="277" t="s">
        <v>18</v>
      </c>
      <c r="R209" s="279" t="s">
        <v>11551</v>
      </c>
      <c r="S209" s="277"/>
      <c r="T209" s="277"/>
      <c r="U209" s="277"/>
      <c r="V209" s="277"/>
      <c r="W209" s="277"/>
      <c r="X209" s="239"/>
      <c r="Y209" s="239"/>
      <c r="Z209" s="239"/>
    </row>
    <row r="210" spans="1:26" ht="15.75" customHeight="1">
      <c r="A210" s="267">
        <v>44784</v>
      </c>
      <c r="B210" s="268" t="s">
        <v>275</v>
      </c>
      <c r="C210" s="269">
        <v>4.25</v>
      </c>
      <c r="D210" s="268" t="s">
        <v>1585</v>
      </c>
      <c r="E210" s="270" t="s">
        <v>4</v>
      </c>
      <c r="F210" s="268" t="s">
        <v>602</v>
      </c>
      <c r="G210" s="268" t="s">
        <v>1586</v>
      </c>
      <c r="H210" s="268">
        <v>4</v>
      </c>
      <c r="I210" s="268" t="s">
        <v>727</v>
      </c>
      <c r="J210" s="268" t="s">
        <v>10318</v>
      </c>
      <c r="K210" s="268">
        <v>4.5</v>
      </c>
      <c r="L210" s="268" t="s">
        <v>478</v>
      </c>
      <c r="M210" s="268">
        <v>4000000</v>
      </c>
      <c r="N210" s="268" t="s">
        <v>465</v>
      </c>
      <c r="O210" s="268" t="s">
        <v>1588</v>
      </c>
      <c r="P210" s="268"/>
      <c r="Q210" s="268" t="s">
        <v>18</v>
      </c>
      <c r="R210" s="271"/>
      <c r="S210" s="268"/>
      <c r="T210" s="268"/>
      <c r="U210" s="268"/>
      <c r="V210" s="268"/>
      <c r="W210" s="268"/>
      <c r="X210" s="219"/>
      <c r="Y210" s="219"/>
      <c r="Z210" s="219"/>
    </row>
    <row r="211" spans="1:26" ht="15.75" customHeight="1">
      <c r="A211" s="267">
        <v>44784</v>
      </c>
      <c r="B211" s="272" t="s">
        <v>200</v>
      </c>
      <c r="C211" s="269">
        <v>4.25</v>
      </c>
      <c r="D211" s="272" t="s">
        <v>1262</v>
      </c>
      <c r="E211" s="270" t="s">
        <v>4</v>
      </c>
      <c r="F211" s="272" t="s">
        <v>727</v>
      </c>
      <c r="G211" s="286" t="s">
        <v>10383</v>
      </c>
      <c r="H211" s="272">
        <v>4.5</v>
      </c>
      <c r="I211" s="272" t="s">
        <v>1054</v>
      </c>
      <c r="J211" s="272" t="s">
        <v>11552</v>
      </c>
      <c r="K211" s="272">
        <v>4</v>
      </c>
      <c r="L211" s="272" t="s">
        <v>451</v>
      </c>
      <c r="M211" s="273">
        <v>2000000</v>
      </c>
      <c r="N211" s="272" t="s">
        <v>465</v>
      </c>
      <c r="O211" s="273" t="s">
        <v>452</v>
      </c>
      <c r="P211" s="272"/>
      <c r="Q211" s="272" t="s">
        <v>18</v>
      </c>
      <c r="R211" s="274"/>
      <c r="S211" s="272"/>
      <c r="T211" s="272"/>
      <c r="U211" s="272"/>
      <c r="V211" s="272"/>
      <c r="W211" s="272"/>
      <c r="X211" s="224"/>
      <c r="Y211" s="224"/>
      <c r="Z211" s="224"/>
    </row>
    <row r="212" spans="1:26" ht="15.75" customHeight="1">
      <c r="A212" s="267">
        <v>44784</v>
      </c>
      <c r="B212" s="268" t="s">
        <v>241</v>
      </c>
      <c r="C212" s="269">
        <v>4.25</v>
      </c>
      <c r="D212" s="268" t="s">
        <v>11456</v>
      </c>
      <c r="E212" s="270" t="s">
        <v>4</v>
      </c>
      <c r="F212" s="268" t="s">
        <v>602</v>
      </c>
      <c r="G212" s="268" t="s">
        <v>1418</v>
      </c>
      <c r="H212" s="268">
        <v>4</v>
      </c>
      <c r="I212" s="268" t="s">
        <v>727</v>
      </c>
      <c r="J212" s="268" t="s">
        <v>11457</v>
      </c>
      <c r="K212" s="268">
        <v>4.5</v>
      </c>
      <c r="L212" s="268" t="s">
        <v>478</v>
      </c>
      <c r="M212" s="268" t="s">
        <v>1420</v>
      </c>
      <c r="N212" s="268" t="s">
        <v>454</v>
      </c>
      <c r="O212" s="268" t="s">
        <v>1421</v>
      </c>
      <c r="P212" s="268" t="s">
        <v>1422</v>
      </c>
      <c r="Q212" s="268" t="s">
        <v>18</v>
      </c>
      <c r="R212" s="271" t="s">
        <v>1423</v>
      </c>
      <c r="S212" s="268"/>
      <c r="T212" s="268"/>
      <c r="U212" s="268"/>
      <c r="V212" s="268"/>
      <c r="W212" s="268"/>
      <c r="X212" s="219"/>
      <c r="Y212" s="219"/>
      <c r="Z212" s="219"/>
    </row>
    <row r="213" spans="1:26" ht="15.75" customHeight="1">
      <c r="A213" s="267">
        <v>44784</v>
      </c>
      <c r="B213" s="272" t="s">
        <v>215</v>
      </c>
      <c r="C213" s="269">
        <v>4</v>
      </c>
      <c r="D213" s="272" t="s">
        <v>3891</v>
      </c>
      <c r="E213" s="270" t="s">
        <v>4</v>
      </c>
      <c r="F213" s="272" t="s">
        <v>602</v>
      </c>
      <c r="G213" s="272" t="s">
        <v>3892</v>
      </c>
      <c r="H213" s="272">
        <v>4</v>
      </c>
      <c r="I213" s="272" t="s">
        <v>1054</v>
      </c>
      <c r="J213" s="272" t="s">
        <v>3893</v>
      </c>
      <c r="K213" s="272">
        <v>4</v>
      </c>
      <c r="L213" s="272"/>
      <c r="M213" s="272"/>
      <c r="N213" s="272" t="s">
        <v>452</v>
      </c>
      <c r="O213" s="272" t="s">
        <v>10365</v>
      </c>
      <c r="P213" s="272"/>
      <c r="Q213" s="272" t="s">
        <v>18</v>
      </c>
      <c r="R213" s="274"/>
      <c r="S213" s="272"/>
      <c r="T213" s="272"/>
      <c r="U213" s="272"/>
      <c r="V213" s="272"/>
      <c r="W213" s="272"/>
      <c r="X213" s="224"/>
      <c r="Y213" s="224"/>
      <c r="Z213" s="224"/>
    </row>
    <row r="214" spans="1:26" ht="15.75" customHeight="1">
      <c r="A214" s="276">
        <v>44784</v>
      </c>
      <c r="B214" s="277" t="s">
        <v>181</v>
      </c>
      <c r="C214" s="278">
        <v>4</v>
      </c>
      <c r="D214" s="277" t="s">
        <v>1150</v>
      </c>
      <c r="E214" s="277" t="s">
        <v>4</v>
      </c>
      <c r="F214" s="277" t="s">
        <v>447</v>
      </c>
      <c r="G214" s="277" t="s">
        <v>10459</v>
      </c>
      <c r="H214" s="277">
        <v>4</v>
      </c>
      <c r="I214" s="277" t="s">
        <v>543</v>
      </c>
      <c r="J214" s="277" t="s">
        <v>11553</v>
      </c>
      <c r="K214" s="277">
        <v>4</v>
      </c>
      <c r="L214" s="277" t="s">
        <v>478</v>
      </c>
      <c r="M214" s="287">
        <v>10000000</v>
      </c>
      <c r="N214" s="277" t="s">
        <v>452</v>
      </c>
      <c r="O214" s="287" t="s">
        <v>1153</v>
      </c>
      <c r="P214" s="277"/>
      <c r="Q214" s="277" t="s">
        <v>18</v>
      </c>
      <c r="R214" s="279" t="s">
        <v>1154</v>
      </c>
      <c r="S214" s="277"/>
      <c r="T214" s="277"/>
      <c r="U214" s="277"/>
      <c r="V214" s="277"/>
      <c r="W214" s="277"/>
      <c r="X214" s="239"/>
      <c r="Y214" s="239"/>
      <c r="Z214" s="239"/>
    </row>
    <row r="215" spans="1:26" ht="15.75" customHeight="1">
      <c r="A215" s="280">
        <v>44784</v>
      </c>
      <c r="B215" s="281" t="s">
        <v>411</v>
      </c>
      <c r="C215" s="282">
        <v>4</v>
      </c>
      <c r="D215" s="281" t="s">
        <v>10140</v>
      </c>
      <c r="E215" s="281" t="s">
        <v>3</v>
      </c>
      <c r="F215" s="281" t="s">
        <v>460</v>
      </c>
      <c r="G215" s="281" t="s">
        <v>10141</v>
      </c>
      <c r="H215" s="281">
        <v>4</v>
      </c>
      <c r="I215" s="281" t="s">
        <v>488</v>
      </c>
      <c r="J215" s="281" t="s">
        <v>10142</v>
      </c>
      <c r="K215" s="281">
        <v>4</v>
      </c>
      <c r="L215" s="281" t="s">
        <v>478</v>
      </c>
      <c r="M215" s="288">
        <v>8000000</v>
      </c>
      <c r="N215" s="281" t="s">
        <v>452</v>
      </c>
      <c r="O215" s="288" t="s">
        <v>10143</v>
      </c>
      <c r="P215" s="281"/>
      <c r="Q215" s="281" t="s">
        <v>18</v>
      </c>
      <c r="R215" s="283"/>
      <c r="S215" s="281"/>
      <c r="T215" s="281"/>
      <c r="U215" s="281"/>
      <c r="V215" s="281"/>
      <c r="W215" s="281"/>
      <c r="X215" s="258"/>
      <c r="Y215" s="258"/>
      <c r="Z215" s="258"/>
    </row>
    <row r="216" spans="1:26" ht="15.75" customHeight="1">
      <c r="A216" s="267">
        <v>44784</v>
      </c>
      <c r="B216" s="268" t="s">
        <v>124</v>
      </c>
      <c r="C216" s="269">
        <v>4</v>
      </c>
      <c r="D216" s="268" t="s">
        <v>882</v>
      </c>
      <c r="E216" s="270" t="s">
        <v>5</v>
      </c>
      <c r="F216" s="268" t="s">
        <v>447</v>
      </c>
      <c r="G216" s="268" t="s">
        <v>10553</v>
      </c>
      <c r="H216" s="268">
        <v>4</v>
      </c>
      <c r="I216" s="268" t="s">
        <v>449</v>
      </c>
      <c r="J216" s="268" t="s">
        <v>11554</v>
      </c>
      <c r="K216" s="268">
        <v>4</v>
      </c>
      <c r="L216" s="268" t="s">
        <v>885</v>
      </c>
      <c r="M216" s="268" t="s">
        <v>886</v>
      </c>
      <c r="N216" s="268" t="s">
        <v>452</v>
      </c>
      <c r="O216" s="268" t="s">
        <v>10555</v>
      </c>
      <c r="P216" s="268"/>
      <c r="Q216" s="268" t="s">
        <v>18</v>
      </c>
      <c r="R216" s="271"/>
      <c r="S216" s="268"/>
      <c r="T216" s="268"/>
      <c r="U216" s="268"/>
      <c r="V216" s="268"/>
      <c r="W216" s="268"/>
      <c r="X216" s="219"/>
      <c r="Y216" s="219"/>
      <c r="Z216" s="219"/>
    </row>
    <row r="217" spans="1:26" ht="15.75" customHeight="1">
      <c r="A217" s="276">
        <v>44784</v>
      </c>
      <c r="B217" s="277" t="s">
        <v>232</v>
      </c>
      <c r="C217" s="278">
        <v>4</v>
      </c>
      <c r="D217" s="277" t="s">
        <v>3971</v>
      </c>
      <c r="E217" s="277" t="s">
        <v>4</v>
      </c>
      <c r="F217" s="277" t="s">
        <v>447</v>
      </c>
      <c r="G217" s="277" t="s">
        <v>10580</v>
      </c>
      <c r="H217" s="277">
        <v>4</v>
      </c>
      <c r="I217" s="277" t="s">
        <v>476</v>
      </c>
      <c r="J217" s="277" t="s">
        <v>11555</v>
      </c>
      <c r="K217" s="277">
        <v>4</v>
      </c>
      <c r="L217" s="277" t="s">
        <v>3974</v>
      </c>
      <c r="M217" s="289">
        <v>5000000</v>
      </c>
      <c r="N217" s="277" t="s">
        <v>452</v>
      </c>
      <c r="O217" s="289" t="s">
        <v>3420</v>
      </c>
      <c r="P217" s="277"/>
      <c r="Q217" s="277" t="s">
        <v>18</v>
      </c>
      <c r="R217" s="279" t="s">
        <v>3975</v>
      </c>
      <c r="S217" s="277"/>
      <c r="T217" s="277"/>
      <c r="U217" s="277"/>
      <c r="V217" s="277"/>
      <c r="W217" s="277"/>
      <c r="X217" s="239"/>
      <c r="Y217" s="239"/>
      <c r="Z217" s="239"/>
    </row>
    <row r="218" spans="1:26" ht="15.75" customHeight="1">
      <c r="A218" s="280">
        <v>44784</v>
      </c>
      <c r="B218" s="281" t="s">
        <v>127</v>
      </c>
      <c r="C218" s="282">
        <v>4</v>
      </c>
      <c r="D218" s="281" t="s">
        <v>901</v>
      </c>
      <c r="E218" s="281" t="s">
        <v>5</v>
      </c>
      <c r="F218" s="281" t="s">
        <v>447</v>
      </c>
      <c r="G218" s="281" t="s">
        <v>10588</v>
      </c>
      <c r="H218" s="281">
        <v>4</v>
      </c>
      <c r="I218" s="281" t="s">
        <v>449</v>
      </c>
      <c r="J218" s="281" t="s">
        <v>11556</v>
      </c>
      <c r="K218" s="281">
        <v>4</v>
      </c>
      <c r="L218" s="281" t="s">
        <v>451</v>
      </c>
      <c r="M218" s="288">
        <v>4000000</v>
      </c>
      <c r="N218" s="281" t="s">
        <v>452</v>
      </c>
      <c r="O218" s="288" t="s">
        <v>904</v>
      </c>
      <c r="P218" s="281"/>
      <c r="Q218" s="281" t="s">
        <v>18</v>
      </c>
      <c r="R218" s="283"/>
      <c r="S218" s="281"/>
      <c r="T218" s="281"/>
      <c r="U218" s="281"/>
      <c r="V218" s="281"/>
      <c r="W218" s="281"/>
      <c r="X218" s="258"/>
      <c r="Y218" s="258"/>
      <c r="Z218" s="258"/>
    </row>
    <row r="219" spans="1:26" ht="15.75" customHeight="1">
      <c r="A219" s="276">
        <v>44784</v>
      </c>
      <c r="B219" s="277" t="s">
        <v>216</v>
      </c>
      <c r="C219" s="278">
        <v>4</v>
      </c>
      <c r="D219" s="277" t="s">
        <v>3899</v>
      </c>
      <c r="E219" s="277" t="s">
        <v>4</v>
      </c>
      <c r="F219" s="277" t="s">
        <v>447</v>
      </c>
      <c r="G219" s="277" t="s">
        <v>11557</v>
      </c>
      <c r="H219" s="277">
        <v>4</v>
      </c>
      <c r="I219" s="277" t="s">
        <v>543</v>
      </c>
      <c r="J219" s="277" t="s">
        <v>11558</v>
      </c>
      <c r="K219" s="277">
        <v>4</v>
      </c>
      <c r="L219" s="277" t="s">
        <v>451</v>
      </c>
      <c r="M219" s="289">
        <v>3600000</v>
      </c>
      <c r="N219" s="277" t="s">
        <v>452</v>
      </c>
      <c r="O219" s="289" t="s">
        <v>3901</v>
      </c>
      <c r="P219" s="277" t="s">
        <v>725</v>
      </c>
      <c r="Q219" s="277" t="s">
        <v>18</v>
      </c>
      <c r="R219" s="279" t="s">
        <v>11559</v>
      </c>
      <c r="S219" s="277"/>
      <c r="T219" s="277"/>
      <c r="U219" s="277"/>
      <c r="V219" s="277"/>
      <c r="W219" s="277"/>
      <c r="X219" s="239"/>
      <c r="Y219" s="239"/>
      <c r="Z219" s="239"/>
    </row>
    <row r="220" spans="1:26" ht="15.75" customHeight="1">
      <c r="A220" s="267">
        <v>44784</v>
      </c>
      <c r="B220" s="290" t="s">
        <v>186</v>
      </c>
      <c r="C220" s="269">
        <v>4</v>
      </c>
      <c r="D220" s="268" t="s">
        <v>3744</v>
      </c>
      <c r="E220" s="270" t="s">
        <v>4</v>
      </c>
      <c r="F220" s="268" t="s">
        <v>727</v>
      </c>
      <c r="G220" s="268" t="s">
        <v>10721</v>
      </c>
      <c r="H220" s="268">
        <v>4</v>
      </c>
      <c r="I220" s="268" t="s">
        <v>1054</v>
      </c>
      <c r="J220" s="268" t="s">
        <v>3746</v>
      </c>
      <c r="K220" s="268">
        <v>4</v>
      </c>
      <c r="L220" s="268" t="s">
        <v>923</v>
      </c>
      <c r="M220" s="268" t="s">
        <v>3747</v>
      </c>
      <c r="N220" s="268" t="s">
        <v>452</v>
      </c>
      <c r="O220" s="268" t="s">
        <v>10722</v>
      </c>
      <c r="P220" s="268"/>
      <c r="Q220" s="268" t="s">
        <v>18</v>
      </c>
      <c r="R220" s="271"/>
      <c r="S220" s="268"/>
      <c r="T220" s="268"/>
      <c r="U220" s="268"/>
      <c r="V220" s="268"/>
      <c r="W220" s="268"/>
      <c r="X220" s="219"/>
      <c r="Y220" s="219"/>
      <c r="Z220" s="219"/>
    </row>
    <row r="221" spans="1:26" ht="15.75" customHeight="1">
      <c r="A221" s="267">
        <v>44784</v>
      </c>
      <c r="B221" s="272" t="s">
        <v>239</v>
      </c>
      <c r="C221" s="269">
        <v>4</v>
      </c>
      <c r="D221" s="272" t="s">
        <v>4011</v>
      </c>
      <c r="E221" s="270" t="s">
        <v>4</v>
      </c>
      <c r="F221" s="272" t="s">
        <v>727</v>
      </c>
      <c r="G221" s="272" t="s">
        <v>10732</v>
      </c>
      <c r="H221" s="272">
        <v>4</v>
      </c>
      <c r="I221" s="272" t="s">
        <v>1054</v>
      </c>
      <c r="J221" s="272" t="s">
        <v>10733</v>
      </c>
      <c r="K221" s="272">
        <v>4</v>
      </c>
      <c r="L221" s="272" t="s">
        <v>451</v>
      </c>
      <c r="M221" s="272" t="s">
        <v>4014</v>
      </c>
      <c r="N221" s="272" t="s">
        <v>465</v>
      </c>
      <c r="O221" s="272" t="s">
        <v>4015</v>
      </c>
      <c r="P221" s="272"/>
      <c r="Q221" s="272" t="s">
        <v>18</v>
      </c>
      <c r="R221" s="274"/>
      <c r="S221" s="272"/>
      <c r="T221" s="272"/>
      <c r="U221" s="272"/>
      <c r="V221" s="272"/>
      <c r="W221" s="272"/>
      <c r="X221" s="224"/>
      <c r="Y221" s="224"/>
      <c r="Z221" s="224"/>
    </row>
    <row r="222" spans="1:26" ht="15.75" customHeight="1">
      <c r="A222" s="276">
        <v>44784</v>
      </c>
      <c r="B222" s="277" t="s">
        <v>67</v>
      </c>
      <c r="C222" s="278">
        <v>4</v>
      </c>
      <c r="D222" s="277" t="s">
        <v>487</v>
      </c>
      <c r="E222" s="277" t="s">
        <v>5</v>
      </c>
      <c r="F222" s="277" t="s">
        <v>488</v>
      </c>
      <c r="G222" s="277" t="s">
        <v>489</v>
      </c>
      <c r="H222" s="277">
        <v>4</v>
      </c>
      <c r="I222" s="277" t="s">
        <v>462</v>
      </c>
      <c r="J222" s="277" t="s">
        <v>490</v>
      </c>
      <c r="K222" s="277">
        <v>4</v>
      </c>
      <c r="L222" s="277"/>
      <c r="M222" s="277"/>
      <c r="N222" s="277" t="s">
        <v>452</v>
      </c>
      <c r="O222" s="277" t="s">
        <v>10993</v>
      </c>
      <c r="P222" s="277"/>
      <c r="Q222" s="277" t="s">
        <v>20</v>
      </c>
      <c r="R222" s="279" t="s">
        <v>492</v>
      </c>
      <c r="S222" s="277"/>
      <c r="T222" s="277"/>
      <c r="U222" s="277"/>
      <c r="V222" s="277"/>
      <c r="W222" s="277"/>
      <c r="X222" s="239"/>
      <c r="Y222" s="239"/>
      <c r="Z222" s="239"/>
    </row>
    <row r="223" spans="1:26" ht="15.75" customHeight="1">
      <c r="A223" s="267">
        <v>44784</v>
      </c>
      <c r="B223" s="272" t="s">
        <v>182</v>
      </c>
      <c r="C223" s="269">
        <v>4</v>
      </c>
      <c r="D223" s="272" t="s">
        <v>3736</v>
      </c>
      <c r="E223" s="270" t="s">
        <v>4</v>
      </c>
      <c r="F223" s="272" t="s">
        <v>602</v>
      </c>
      <c r="G223" s="272" t="s">
        <v>3737</v>
      </c>
      <c r="H223" s="272">
        <v>4</v>
      </c>
      <c r="I223" s="272" t="s">
        <v>476</v>
      </c>
      <c r="J223" s="272" t="s">
        <v>11560</v>
      </c>
      <c r="K223" s="272">
        <v>4</v>
      </c>
      <c r="L223" s="272" t="s">
        <v>451</v>
      </c>
      <c r="M223" s="272">
        <v>3500000</v>
      </c>
      <c r="N223" s="272" t="s">
        <v>452</v>
      </c>
      <c r="O223" s="272" t="s">
        <v>3739</v>
      </c>
      <c r="P223" s="272"/>
      <c r="Q223" s="272" t="s">
        <v>18</v>
      </c>
      <c r="R223" s="274"/>
      <c r="S223" s="272"/>
      <c r="T223" s="272"/>
      <c r="U223" s="272"/>
      <c r="V223" s="272"/>
      <c r="W223" s="272"/>
      <c r="X223" s="224"/>
      <c r="Y223" s="224"/>
      <c r="Z223" s="224"/>
    </row>
    <row r="224" spans="1:26" ht="15.75" customHeight="1">
      <c r="A224" s="267">
        <v>44784</v>
      </c>
      <c r="B224" s="268" t="s">
        <v>112</v>
      </c>
      <c r="C224" s="269">
        <v>4</v>
      </c>
      <c r="D224" s="268" t="s">
        <v>806</v>
      </c>
      <c r="E224" s="270" t="s">
        <v>5</v>
      </c>
      <c r="F224" s="268" t="s">
        <v>602</v>
      </c>
      <c r="G224" s="268" t="s">
        <v>807</v>
      </c>
      <c r="H224" s="268">
        <v>4.5</v>
      </c>
      <c r="I224" s="268" t="s">
        <v>449</v>
      </c>
      <c r="J224" s="268" t="s">
        <v>11561</v>
      </c>
      <c r="K224" s="268">
        <v>3.5</v>
      </c>
      <c r="L224" s="268"/>
      <c r="M224" s="268"/>
      <c r="N224" s="268" t="s">
        <v>452</v>
      </c>
      <c r="O224" s="268" t="s">
        <v>809</v>
      </c>
      <c r="P224" s="268" t="s">
        <v>602</v>
      </c>
      <c r="Q224" s="268" t="s">
        <v>19</v>
      </c>
      <c r="R224" s="271" t="s">
        <v>810</v>
      </c>
      <c r="S224" s="268"/>
      <c r="T224" s="268"/>
      <c r="U224" s="268"/>
      <c r="V224" s="268"/>
      <c r="W224" s="268"/>
      <c r="X224" s="219"/>
      <c r="Y224" s="219"/>
      <c r="Z224" s="219"/>
    </row>
    <row r="225" spans="1:26" ht="15.75" customHeight="1">
      <c r="A225" s="267">
        <v>44784</v>
      </c>
      <c r="B225" s="272" t="s">
        <v>203</v>
      </c>
      <c r="C225" s="269">
        <v>4</v>
      </c>
      <c r="D225" s="272" t="s">
        <v>11562</v>
      </c>
      <c r="E225" s="270" t="s">
        <v>4</v>
      </c>
      <c r="F225" s="272" t="s">
        <v>602</v>
      </c>
      <c r="G225" s="272" t="s">
        <v>11473</v>
      </c>
      <c r="H225" s="272">
        <v>4</v>
      </c>
      <c r="I225" s="272" t="s">
        <v>1054</v>
      </c>
      <c r="J225" s="272" t="s">
        <v>3813</v>
      </c>
      <c r="K225" s="272">
        <v>4</v>
      </c>
      <c r="L225" s="272"/>
      <c r="M225" s="272"/>
      <c r="N225" s="272" t="s">
        <v>452</v>
      </c>
      <c r="O225" s="272" t="s">
        <v>3814</v>
      </c>
      <c r="P225" s="272"/>
      <c r="Q225" s="272" t="s">
        <v>18</v>
      </c>
      <c r="R225" s="274"/>
      <c r="S225" s="272"/>
      <c r="T225" s="272"/>
      <c r="U225" s="272"/>
      <c r="V225" s="272"/>
      <c r="W225" s="272"/>
      <c r="X225" s="224"/>
      <c r="Y225" s="224"/>
      <c r="Z225" s="224"/>
    </row>
    <row r="226" spans="1:26" ht="15.75" customHeight="1">
      <c r="A226" s="280">
        <v>44784</v>
      </c>
      <c r="B226" s="281" t="s">
        <v>353</v>
      </c>
      <c r="C226" s="282">
        <v>4</v>
      </c>
      <c r="D226" s="281" t="s">
        <v>9739</v>
      </c>
      <c r="E226" s="281" t="s">
        <v>3</v>
      </c>
      <c r="F226" s="281" t="s">
        <v>460</v>
      </c>
      <c r="G226" s="281" t="s">
        <v>9740</v>
      </c>
      <c r="H226" s="281">
        <v>4</v>
      </c>
      <c r="I226" s="281" t="s">
        <v>462</v>
      </c>
      <c r="J226" s="281" t="s">
        <v>9741</v>
      </c>
      <c r="K226" s="281">
        <v>4</v>
      </c>
      <c r="L226" s="281" t="s">
        <v>478</v>
      </c>
      <c r="M226" s="291">
        <v>10000000</v>
      </c>
      <c r="N226" s="281" t="s">
        <v>465</v>
      </c>
      <c r="O226" s="291" t="s">
        <v>452</v>
      </c>
      <c r="P226" s="281"/>
      <c r="Q226" s="281" t="s">
        <v>20</v>
      </c>
      <c r="R226" s="283" t="s">
        <v>9742</v>
      </c>
      <c r="S226" s="281"/>
      <c r="T226" s="281"/>
      <c r="U226" s="281"/>
      <c r="V226" s="281"/>
      <c r="W226" s="281"/>
      <c r="X226" s="258"/>
      <c r="Y226" s="258"/>
      <c r="Z226" s="258"/>
    </row>
    <row r="227" spans="1:26" ht="15.75" customHeight="1">
      <c r="A227" s="276">
        <v>44784</v>
      </c>
      <c r="B227" s="277" t="s">
        <v>118</v>
      </c>
      <c r="C227" s="278">
        <v>3.75</v>
      </c>
      <c r="D227" s="277" t="s">
        <v>11563</v>
      </c>
      <c r="E227" s="277" t="s">
        <v>5</v>
      </c>
      <c r="F227" s="277" t="s">
        <v>460</v>
      </c>
      <c r="G227" s="277" t="s">
        <v>847</v>
      </c>
      <c r="H227" s="277">
        <v>4</v>
      </c>
      <c r="I227" s="277" t="s">
        <v>488</v>
      </c>
      <c r="J227" s="277" t="s">
        <v>848</v>
      </c>
      <c r="K227" s="277">
        <v>3.5</v>
      </c>
      <c r="L227" s="277" t="s">
        <v>451</v>
      </c>
      <c r="M227" s="289">
        <v>3000000</v>
      </c>
      <c r="N227" s="277" t="s">
        <v>452</v>
      </c>
      <c r="O227" s="289" t="s">
        <v>11564</v>
      </c>
      <c r="P227" s="277"/>
      <c r="Q227" s="277" t="s">
        <v>20</v>
      </c>
      <c r="R227" s="279" t="s">
        <v>850</v>
      </c>
      <c r="S227" s="277"/>
      <c r="T227" s="277"/>
      <c r="U227" s="277"/>
      <c r="V227" s="277"/>
      <c r="W227" s="277"/>
      <c r="X227" s="239"/>
      <c r="Y227" s="239"/>
      <c r="Z227" s="239"/>
    </row>
    <row r="228" spans="1:26" ht="15.75" customHeight="1">
      <c r="A228" s="280">
        <v>44784</v>
      </c>
      <c r="B228" s="281" t="s">
        <v>4313</v>
      </c>
      <c r="C228" s="282">
        <v>3.75</v>
      </c>
      <c r="D228" s="281" t="s">
        <v>4316</v>
      </c>
      <c r="E228" s="281" t="s">
        <v>4</v>
      </c>
      <c r="F228" s="281" t="s">
        <v>725</v>
      </c>
      <c r="G228" s="281" t="s">
        <v>10327</v>
      </c>
      <c r="H228" s="281">
        <v>3.5</v>
      </c>
      <c r="I228" s="281" t="s">
        <v>1054</v>
      </c>
      <c r="J228" s="281" t="s">
        <v>4318</v>
      </c>
      <c r="K228" s="281">
        <v>4</v>
      </c>
      <c r="L228" s="281"/>
      <c r="M228" s="281"/>
      <c r="N228" s="281" t="s">
        <v>452</v>
      </c>
      <c r="O228" s="292" t="s">
        <v>10328</v>
      </c>
      <c r="P228" s="281"/>
      <c r="Q228" s="281" t="s">
        <v>24</v>
      </c>
      <c r="R228" s="283" t="s">
        <v>4320</v>
      </c>
      <c r="S228" s="281"/>
      <c r="T228" s="281"/>
      <c r="U228" s="281"/>
      <c r="V228" s="281"/>
      <c r="W228" s="281"/>
      <c r="X228" s="258"/>
      <c r="Y228" s="258"/>
      <c r="Z228" s="258"/>
    </row>
    <row r="229" spans="1:26" ht="15.75" customHeight="1">
      <c r="A229" s="276">
        <v>44784</v>
      </c>
      <c r="B229" s="277" t="s">
        <v>139</v>
      </c>
      <c r="C229" s="278">
        <v>3.75</v>
      </c>
      <c r="D229" s="277" t="s">
        <v>10333</v>
      </c>
      <c r="E229" s="277" t="s">
        <v>5</v>
      </c>
      <c r="F229" s="277" t="s">
        <v>727</v>
      </c>
      <c r="G229" s="277" t="s">
        <v>10334</v>
      </c>
      <c r="H229" s="277">
        <v>3.5</v>
      </c>
      <c r="I229" s="277" t="s">
        <v>1054</v>
      </c>
      <c r="J229" s="277" t="s">
        <v>3263</v>
      </c>
      <c r="K229" s="277">
        <v>4</v>
      </c>
      <c r="L229" s="277" t="s">
        <v>451</v>
      </c>
      <c r="M229" s="277" t="s">
        <v>3264</v>
      </c>
      <c r="N229" s="277" t="s">
        <v>452</v>
      </c>
      <c r="O229" s="277" t="s">
        <v>452</v>
      </c>
      <c r="P229" s="277" t="s">
        <v>460</v>
      </c>
      <c r="Q229" s="277" t="s">
        <v>19</v>
      </c>
      <c r="R229" s="279" t="s">
        <v>3265</v>
      </c>
      <c r="S229" s="277"/>
      <c r="T229" s="277"/>
      <c r="U229" s="277"/>
      <c r="V229" s="277"/>
      <c r="W229" s="277"/>
      <c r="X229" s="239"/>
      <c r="Y229" s="239"/>
      <c r="Z229" s="239"/>
    </row>
    <row r="230" spans="1:26" ht="15.75" customHeight="1">
      <c r="A230" s="280">
        <v>44784</v>
      </c>
      <c r="B230" s="281" t="s">
        <v>281</v>
      </c>
      <c r="C230" s="282">
        <v>3.75</v>
      </c>
      <c r="D230" s="281" t="s">
        <v>4307</v>
      </c>
      <c r="E230" s="281" t="s">
        <v>4</v>
      </c>
      <c r="F230" s="281" t="s">
        <v>727</v>
      </c>
      <c r="G230" s="281" t="s">
        <v>10339</v>
      </c>
      <c r="H230" s="281">
        <v>4</v>
      </c>
      <c r="I230" s="281" t="s">
        <v>1054</v>
      </c>
      <c r="J230" s="281" t="s">
        <v>4309</v>
      </c>
      <c r="K230" s="281">
        <v>3.5</v>
      </c>
      <c r="L230" s="281"/>
      <c r="M230" s="281"/>
      <c r="N230" s="281" t="s">
        <v>452</v>
      </c>
      <c r="O230" s="281" t="s">
        <v>452</v>
      </c>
      <c r="P230" s="281"/>
      <c r="Q230" s="281" t="s">
        <v>18</v>
      </c>
      <c r="R230" s="283" t="s">
        <v>4310</v>
      </c>
      <c r="S230" s="281"/>
      <c r="T230" s="281"/>
      <c r="U230" s="281"/>
      <c r="V230" s="281"/>
      <c r="W230" s="281"/>
      <c r="X230" s="258"/>
      <c r="Y230" s="258"/>
      <c r="Z230" s="258"/>
    </row>
    <row r="231" spans="1:26" ht="15.75" customHeight="1">
      <c r="A231" s="280">
        <v>44784</v>
      </c>
      <c r="B231" s="281" t="s">
        <v>403</v>
      </c>
      <c r="C231" s="282">
        <v>3.75</v>
      </c>
      <c r="D231" s="281" t="s">
        <v>10123</v>
      </c>
      <c r="E231" s="281" t="s">
        <v>3</v>
      </c>
      <c r="F231" s="281" t="s">
        <v>460</v>
      </c>
      <c r="G231" s="281" t="s">
        <v>10124</v>
      </c>
      <c r="H231" s="281">
        <v>4</v>
      </c>
      <c r="I231" s="281" t="s">
        <v>488</v>
      </c>
      <c r="J231" s="281" t="s">
        <v>10367</v>
      </c>
      <c r="K231" s="281">
        <v>3.5</v>
      </c>
      <c r="L231" s="281" t="s">
        <v>451</v>
      </c>
      <c r="M231" s="281" t="s">
        <v>2604</v>
      </c>
      <c r="N231" s="281" t="s">
        <v>454</v>
      </c>
      <c r="O231" s="281" t="s">
        <v>10126</v>
      </c>
      <c r="P231" s="281" t="s">
        <v>460</v>
      </c>
      <c r="Q231" s="281" t="s">
        <v>20</v>
      </c>
      <c r="R231" s="283" t="s">
        <v>10127</v>
      </c>
      <c r="S231" s="281"/>
      <c r="T231" s="281"/>
      <c r="U231" s="281"/>
      <c r="V231" s="281"/>
      <c r="W231" s="281"/>
      <c r="X231" s="258"/>
      <c r="Y231" s="258"/>
      <c r="Z231" s="258"/>
    </row>
    <row r="232" spans="1:26" ht="15.75" customHeight="1">
      <c r="A232" s="280">
        <v>44784</v>
      </c>
      <c r="B232" s="281" t="s">
        <v>386</v>
      </c>
      <c r="C232" s="282">
        <v>3.75</v>
      </c>
      <c r="D232" s="281" t="s">
        <v>10063</v>
      </c>
      <c r="E232" s="281" t="s">
        <v>5</v>
      </c>
      <c r="F232" s="281" t="s">
        <v>447</v>
      </c>
      <c r="G232" s="281" t="s">
        <v>10380</v>
      </c>
      <c r="H232" s="281">
        <v>3.5</v>
      </c>
      <c r="I232" s="281" t="s">
        <v>622</v>
      </c>
      <c r="J232" s="281" t="s">
        <v>10065</v>
      </c>
      <c r="K232" s="281">
        <v>4</v>
      </c>
      <c r="L232" s="281" t="s">
        <v>478</v>
      </c>
      <c r="M232" s="281" t="s">
        <v>10066</v>
      </c>
      <c r="N232" s="281" t="s">
        <v>452</v>
      </c>
      <c r="O232" s="281" t="s">
        <v>10381</v>
      </c>
      <c r="P232" s="281"/>
      <c r="Q232" s="281" t="s">
        <v>20</v>
      </c>
      <c r="R232" s="283" t="s">
        <v>10068</v>
      </c>
      <c r="S232" s="281"/>
      <c r="T232" s="281"/>
      <c r="U232" s="281"/>
      <c r="V232" s="281"/>
      <c r="W232" s="281"/>
      <c r="X232" s="258"/>
      <c r="Y232" s="258"/>
      <c r="Z232" s="258"/>
    </row>
    <row r="233" spans="1:26" ht="15.75" customHeight="1">
      <c r="A233" s="280">
        <v>44784</v>
      </c>
      <c r="B233" s="281" t="s">
        <v>144</v>
      </c>
      <c r="C233" s="282">
        <v>3.75</v>
      </c>
      <c r="D233" s="281" t="s">
        <v>10432</v>
      </c>
      <c r="E233" s="281" t="s">
        <v>5</v>
      </c>
      <c r="F233" s="281" t="s">
        <v>447</v>
      </c>
      <c r="G233" s="281" t="s">
        <v>10433</v>
      </c>
      <c r="H233" s="281">
        <v>3.5</v>
      </c>
      <c r="I233" s="281" t="s">
        <v>449</v>
      </c>
      <c r="J233" s="281" t="s">
        <v>11565</v>
      </c>
      <c r="K233" s="281">
        <v>4</v>
      </c>
      <c r="L233" s="281"/>
      <c r="M233" s="281"/>
      <c r="N233" s="281" t="s">
        <v>452</v>
      </c>
      <c r="O233" s="281" t="s">
        <v>3290</v>
      </c>
      <c r="P233" s="281"/>
      <c r="Q233" s="281" t="s">
        <v>20</v>
      </c>
      <c r="R233" s="283" t="s">
        <v>3291</v>
      </c>
      <c r="S233" s="281"/>
      <c r="T233" s="281"/>
      <c r="U233" s="281"/>
      <c r="V233" s="281"/>
      <c r="W233" s="281"/>
      <c r="X233" s="258"/>
      <c r="Y233" s="258"/>
      <c r="Z233" s="258"/>
    </row>
    <row r="234" spans="1:26" ht="15.75" customHeight="1">
      <c r="A234" s="280">
        <v>44784</v>
      </c>
      <c r="B234" s="281" t="s">
        <v>90</v>
      </c>
      <c r="C234" s="282">
        <v>3.75</v>
      </c>
      <c r="D234" s="281" t="s">
        <v>638</v>
      </c>
      <c r="E234" s="281" t="s">
        <v>5</v>
      </c>
      <c r="F234" s="281" t="s">
        <v>447</v>
      </c>
      <c r="G234" s="281" t="s">
        <v>10569</v>
      </c>
      <c r="H234" s="281">
        <v>3.5</v>
      </c>
      <c r="I234" s="281" t="s">
        <v>622</v>
      </c>
      <c r="J234" s="281"/>
      <c r="K234" s="281">
        <v>4</v>
      </c>
      <c r="L234" s="281"/>
      <c r="M234" s="281"/>
      <c r="N234" s="281" t="s">
        <v>452</v>
      </c>
      <c r="O234" s="281" t="s">
        <v>575</v>
      </c>
      <c r="P234" s="281" t="s">
        <v>640</v>
      </c>
      <c r="Q234" s="281" t="s">
        <v>20</v>
      </c>
      <c r="R234" s="283" t="s">
        <v>641</v>
      </c>
      <c r="S234" s="281"/>
      <c r="T234" s="281"/>
      <c r="U234" s="281"/>
      <c r="V234" s="281"/>
      <c r="W234" s="281"/>
      <c r="X234" s="258"/>
      <c r="Y234" s="258"/>
      <c r="Z234" s="258"/>
    </row>
    <row r="235" spans="1:26" ht="15.75" customHeight="1">
      <c r="A235" s="293">
        <v>44784</v>
      </c>
      <c r="B235" s="294" t="s">
        <v>274</v>
      </c>
      <c r="C235" s="295">
        <v>3.75</v>
      </c>
      <c r="D235" s="294" t="s">
        <v>9408</v>
      </c>
      <c r="E235" s="294" t="s">
        <v>4</v>
      </c>
      <c r="F235" s="294" t="s">
        <v>447</v>
      </c>
      <c r="G235" s="294" t="s">
        <v>10642</v>
      </c>
      <c r="H235" s="294">
        <v>3</v>
      </c>
      <c r="I235" s="294" t="s">
        <v>449</v>
      </c>
      <c r="J235" s="294" t="s">
        <v>11566</v>
      </c>
      <c r="K235" s="294">
        <v>4.5</v>
      </c>
      <c r="L235" s="294"/>
      <c r="M235" s="294"/>
      <c r="N235" s="294" t="s">
        <v>452</v>
      </c>
      <c r="O235" s="296" t="s">
        <v>9411</v>
      </c>
      <c r="P235" s="294"/>
      <c r="Q235" s="294" t="s">
        <v>19</v>
      </c>
      <c r="R235" s="297" t="s">
        <v>9412</v>
      </c>
      <c r="S235" s="294"/>
      <c r="T235" s="294"/>
      <c r="U235" s="294"/>
      <c r="V235" s="294"/>
      <c r="W235" s="294"/>
      <c r="X235" s="265"/>
      <c r="Y235" s="265"/>
      <c r="Z235" s="265"/>
    </row>
    <row r="236" spans="1:26" ht="15.75" customHeight="1">
      <c r="A236" s="280">
        <v>44784</v>
      </c>
      <c r="B236" s="281" t="s">
        <v>381</v>
      </c>
      <c r="C236" s="282">
        <v>3.75</v>
      </c>
      <c r="D236" s="281" t="s">
        <v>10038</v>
      </c>
      <c r="E236" s="281" t="s">
        <v>5</v>
      </c>
      <c r="F236" s="281" t="s">
        <v>447</v>
      </c>
      <c r="G236" s="281" t="s">
        <v>10699</v>
      </c>
      <c r="H236" s="281">
        <v>3.5</v>
      </c>
      <c r="I236" s="281" t="s">
        <v>449</v>
      </c>
      <c r="J236" s="281" t="s">
        <v>11567</v>
      </c>
      <c r="K236" s="281">
        <v>4</v>
      </c>
      <c r="L236" s="281" t="s">
        <v>451</v>
      </c>
      <c r="M236" s="288">
        <v>800</v>
      </c>
      <c r="N236" s="281" t="s">
        <v>465</v>
      </c>
      <c r="O236" s="288" t="s">
        <v>10701</v>
      </c>
      <c r="P236" s="281"/>
      <c r="Q236" s="281" t="s">
        <v>18</v>
      </c>
      <c r="R236" s="283" t="s">
        <v>10042</v>
      </c>
      <c r="S236" s="281"/>
      <c r="T236" s="281"/>
      <c r="U236" s="281"/>
      <c r="V236" s="281"/>
      <c r="W236" s="281"/>
      <c r="X236" s="258"/>
      <c r="Y236" s="258"/>
      <c r="Z236" s="258"/>
    </row>
    <row r="237" spans="1:26" ht="15.75" customHeight="1">
      <c r="A237" s="280">
        <v>44784</v>
      </c>
      <c r="B237" s="281" t="s">
        <v>289</v>
      </c>
      <c r="C237" s="282">
        <v>3.75</v>
      </c>
      <c r="D237" s="281" t="s">
        <v>4413</v>
      </c>
      <c r="E237" s="281" t="s">
        <v>4</v>
      </c>
      <c r="F237" s="281" t="s">
        <v>727</v>
      </c>
      <c r="G237" s="281" t="s">
        <v>10737</v>
      </c>
      <c r="H237" s="281">
        <v>4</v>
      </c>
      <c r="I237" s="281" t="s">
        <v>476</v>
      </c>
      <c r="J237" s="281" t="s">
        <v>11568</v>
      </c>
      <c r="K237" s="281">
        <v>3.5</v>
      </c>
      <c r="L237" s="281" t="s">
        <v>4416</v>
      </c>
      <c r="M237" s="288">
        <v>3500000</v>
      </c>
      <c r="N237" s="281" t="s">
        <v>452</v>
      </c>
      <c r="O237" s="288" t="s">
        <v>10739</v>
      </c>
      <c r="P237" s="281"/>
      <c r="Q237" s="281" t="s">
        <v>18</v>
      </c>
      <c r="R237" s="283" t="s">
        <v>4418</v>
      </c>
      <c r="S237" s="281"/>
      <c r="T237" s="281"/>
      <c r="U237" s="281"/>
      <c r="V237" s="281"/>
      <c r="W237" s="281"/>
      <c r="X237" s="258"/>
      <c r="Y237" s="258"/>
      <c r="Z237" s="258"/>
    </row>
    <row r="238" spans="1:26" ht="15.75" customHeight="1">
      <c r="A238" s="280">
        <v>44784</v>
      </c>
      <c r="B238" s="281" t="s">
        <v>103</v>
      </c>
      <c r="C238" s="282">
        <v>3.75</v>
      </c>
      <c r="D238" s="281" t="s">
        <v>756</v>
      </c>
      <c r="E238" s="281" t="s">
        <v>5</v>
      </c>
      <c r="F238" s="281" t="s">
        <v>447</v>
      </c>
      <c r="G238" s="281" t="s">
        <v>10750</v>
      </c>
      <c r="H238" s="281">
        <v>4</v>
      </c>
      <c r="I238" s="281" t="s">
        <v>543</v>
      </c>
      <c r="J238" s="281" t="s">
        <v>11569</v>
      </c>
      <c r="K238" s="281">
        <v>3.5</v>
      </c>
      <c r="L238" s="281"/>
      <c r="M238" s="281"/>
      <c r="N238" s="281" t="s">
        <v>452</v>
      </c>
      <c r="O238" s="281" t="s">
        <v>759</v>
      </c>
      <c r="P238" s="281"/>
      <c r="Q238" s="281" t="s">
        <v>18</v>
      </c>
      <c r="R238" s="283" t="s">
        <v>760</v>
      </c>
      <c r="S238" s="281"/>
      <c r="T238" s="281"/>
      <c r="U238" s="281"/>
      <c r="V238" s="281"/>
      <c r="W238" s="281"/>
      <c r="X238" s="258"/>
      <c r="Y238" s="258"/>
      <c r="Z238" s="258"/>
    </row>
    <row r="239" spans="1:26" ht="15.75" customHeight="1">
      <c r="A239" s="267">
        <v>44784</v>
      </c>
      <c r="B239" s="272" t="s">
        <v>4218</v>
      </c>
      <c r="C239" s="269">
        <v>3.75</v>
      </c>
      <c r="D239" s="272" t="s">
        <v>4221</v>
      </c>
      <c r="E239" s="270" t="s">
        <v>4</v>
      </c>
      <c r="F239" s="272" t="s">
        <v>727</v>
      </c>
      <c r="G239" s="272" t="s">
        <v>10752</v>
      </c>
      <c r="H239" s="272">
        <v>3.5</v>
      </c>
      <c r="I239" s="272" t="s">
        <v>476</v>
      </c>
      <c r="J239" s="272" t="s">
        <v>11570</v>
      </c>
      <c r="K239" s="272">
        <v>4</v>
      </c>
      <c r="L239" s="272" t="s">
        <v>451</v>
      </c>
      <c r="M239" s="272">
        <v>3000000</v>
      </c>
      <c r="N239" s="272" t="s">
        <v>452</v>
      </c>
      <c r="O239" s="272" t="s">
        <v>4224</v>
      </c>
      <c r="P239" s="272"/>
      <c r="Q239" s="272" t="s">
        <v>24</v>
      </c>
      <c r="R239" s="274"/>
      <c r="S239" s="272"/>
      <c r="T239" s="272"/>
      <c r="U239" s="272"/>
      <c r="V239" s="272"/>
      <c r="W239" s="272"/>
      <c r="X239" s="224"/>
      <c r="Y239" s="224"/>
      <c r="Z239" s="224"/>
    </row>
    <row r="240" spans="1:26" ht="15.75" customHeight="1">
      <c r="A240" s="267">
        <v>44784</v>
      </c>
      <c r="B240" s="268" t="s">
        <v>4255</v>
      </c>
      <c r="C240" s="269">
        <v>3.75</v>
      </c>
      <c r="D240" s="268" t="s">
        <v>10886</v>
      </c>
      <c r="E240" s="270" t="s">
        <v>4</v>
      </c>
      <c r="F240" s="268" t="s">
        <v>602</v>
      </c>
      <c r="G240" s="268" t="s">
        <v>10887</v>
      </c>
      <c r="H240" s="268">
        <v>4</v>
      </c>
      <c r="I240" s="268" t="s">
        <v>476</v>
      </c>
      <c r="J240" s="268" t="s">
        <v>11571</v>
      </c>
      <c r="K240" s="268">
        <v>3.5</v>
      </c>
      <c r="L240" s="268" t="s">
        <v>784</v>
      </c>
      <c r="M240" s="268">
        <v>600000</v>
      </c>
      <c r="N240" s="268" t="s">
        <v>465</v>
      </c>
      <c r="O240" s="268" t="s">
        <v>575</v>
      </c>
      <c r="P240" s="268" t="s">
        <v>4261</v>
      </c>
      <c r="Q240" s="268" t="s">
        <v>24</v>
      </c>
      <c r="R240" s="271"/>
      <c r="S240" s="268"/>
      <c r="T240" s="268"/>
      <c r="U240" s="268"/>
      <c r="V240" s="268"/>
      <c r="W240" s="268"/>
      <c r="X240" s="219"/>
      <c r="Y240" s="219"/>
      <c r="Z240" s="219"/>
    </row>
    <row r="241" spans="1:26" ht="15.75" customHeight="1">
      <c r="A241" s="267">
        <v>44784</v>
      </c>
      <c r="B241" s="272" t="s">
        <v>4385</v>
      </c>
      <c r="C241" s="269">
        <v>3.75</v>
      </c>
      <c r="D241" s="272" t="s">
        <v>4388</v>
      </c>
      <c r="E241" s="270" t="s">
        <v>4</v>
      </c>
      <c r="F241" s="272" t="s">
        <v>602</v>
      </c>
      <c r="G241" s="272" t="s">
        <v>11572</v>
      </c>
      <c r="H241" s="272">
        <v>4</v>
      </c>
      <c r="I241" s="272" t="s">
        <v>476</v>
      </c>
      <c r="J241" s="272" t="s">
        <v>11573</v>
      </c>
      <c r="K241" s="272">
        <v>3.5</v>
      </c>
      <c r="L241" s="272"/>
      <c r="M241" s="272"/>
      <c r="N241" s="272" t="s">
        <v>452</v>
      </c>
      <c r="O241" s="272" t="s">
        <v>11009</v>
      </c>
      <c r="P241" s="272"/>
      <c r="Q241" s="272" t="s">
        <v>24</v>
      </c>
      <c r="R241" s="274"/>
      <c r="S241" s="272"/>
      <c r="T241" s="272"/>
      <c r="U241" s="272"/>
      <c r="V241" s="272"/>
      <c r="W241" s="272"/>
      <c r="X241" s="224"/>
      <c r="Y241" s="224"/>
      <c r="Z241" s="224"/>
    </row>
    <row r="242" spans="1:26" ht="15.75" customHeight="1">
      <c r="A242" s="280">
        <v>44784</v>
      </c>
      <c r="B242" s="281" t="s">
        <v>370</v>
      </c>
      <c r="C242" s="282">
        <v>3.75</v>
      </c>
      <c r="D242" s="281" t="s">
        <v>2084</v>
      </c>
      <c r="E242" s="281" t="s">
        <v>3</v>
      </c>
      <c r="F242" s="281" t="s">
        <v>460</v>
      </c>
      <c r="G242" s="281" t="s">
        <v>2085</v>
      </c>
      <c r="H242" s="281">
        <v>4</v>
      </c>
      <c r="I242" s="281" t="s">
        <v>941</v>
      </c>
      <c r="J242" s="281" t="s">
        <v>2086</v>
      </c>
      <c r="K242" s="281">
        <v>3.5</v>
      </c>
      <c r="L242" s="281" t="s">
        <v>451</v>
      </c>
      <c r="M242" s="288">
        <v>7500000</v>
      </c>
      <c r="N242" s="281" t="s">
        <v>465</v>
      </c>
      <c r="O242" s="288" t="s">
        <v>452</v>
      </c>
      <c r="P242" s="281"/>
      <c r="Q242" s="281" t="s">
        <v>20</v>
      </c>
      <c r="R242" s="283" t="s">
        <v>2087</v>
      </c>
      <c r="S242" s="281"/>
      <c r="T242" s="281"/>
      <c r="U242" s="281"/>
      <c r="V242" s="281"/>
      <c r="W242" s="281"/>
      <c r="X242" s="258"/>
      <c r="Y242" s="258"/>
      <c r="Z242" s="258"/>
    </row>
    <row r="243" spans="1:26" ht="15.75" customHeight="1">
      <c r="A243" s="267">
        <v>44784</v>
      </c>
      <c r="B243" s="272" t="s">
        <v>4341</v>
      </c>
      <c r="C243" s="269">
        <v>3.75</v>
      </c>
      <c r="D243" s="272" t="s">
        <v>4344</v>
      </c>
      <c r="E243" s="270" t="s">
        <v>4</v>
      </c>
      <c r="F243" s="272" t="s">
        <v>727</v>
      </c>
      <c r="G243" s="272" t="s">
        <v>10486</v>
      </c>
      <c r="H243" s="272">
        <v>4</v>
      </c>
      <c r="I243" s="272" t="s">
        <v>476</v>
      </c>
      <c r="J243" s="272" t="s">
        <v>13400</v>
      </c>
      <c r="K243" s="272">
        <v>3.5</v>
      </c>
      <c r="L243" s="272" t="s">
        <v>923</v>
      </c>
      <c r="M243" s="273">
        <v>1000000</v>
      </c>
      <c r="N243" s="272" t="s">
        <v>452</v>
      </c>
      <c r="O243" s="273" t="s">
        <v>575</v>
      </c>
      <c r="P243" s="272"/>
      <c r="Q243" s="272" t="s">
        <v>24</v>
      </c>
      <c r="R243" s="274"/>
      <c r="S243" s="272"/>
      <c r="T243" s="272"/>
      <c r="U243" s="272"/>
      <c r="V243" s="272"/>
      <c r="W243" s="272"/>
      <c r="X243" s="224"/>
      <c r="Y243" s="224"/>
      <c r="Z243" s="224"/>
    </row>
    <row r="244" spans="1:26" ht="15.75" customHeight="1">
      <c r="A244" s="280">
        <v>44784</v>
      </c>
      <c r="B244" s="281" t="s">
        <v>4716</v>
      </c>
      <c r="C244" s="282">
        <v>3.5</v>
      </c>
      <c r="D244" s="281" t="s">
        <v>4719</v>
      </c>
      <c r="E244" s="281" t="s">
        <v>4</v>
      </c>
      <c r="F244" s="281" t="s">
        <v>727</v>
      </c>
      <c r="G244" s="281" t="s">
        <v>10220</v>
      </c>
      <c r="H244" s="281">
        <v>3.5</v>
      </c>
      <c r="I244" s="281" t="s">
        <v>1054</v>
      </c>
      <c r="J244" s="281" t="s">
        <v>4721</v>
      </c>
      <c r="K244" s="281">
        <v>3.5</v>
      </c>
      <c r="L244" s="281"/>
      <c r="M244" s="281"/>
      <c r="N244" s="281" t="s">
        <v>452</v>
      </c>
      <c r="O244" s="281" t="s">
        <v>4722</v>
      </c>
      <c r="P244" s="281" t="s">
        <v>4723</v>
      </c>
      <c r="Q244" s="281" t="s">
        <v>24</v>
      </c>
      <c r="R244" s="283" t="s">
        <v>4724</v>
      </c>
      <c r="S244" s="281"/>
      <c r="T244" s="281"/>
      <c r="U244" s="281"/>
      <c r="V244" s="281"/>
      <c r="W244" s="281"/>
      <c r="X244" s="258"/>
      <c r="Y244" s="258"/>
      <c r="Z244" s="258"/>
    </row>
    <row r="245" spans="1:26" ht="15.75" customHeight="1">
      <c r="A245" s="267">
        <v>44784</v>
      </c>
      <c r="B245" s="272" t="s">
        <v>4899</v>
      </c>
      <c r="C245" s="269">
        <v>3.5</v>
      </c>
      <c r="D245" s="272" t="s">
        <v>10229</v>
      </c>
      <c r="E245" s="270" t="s">
        <v>4</v>
      </c>
      <c r="F245" s="272" t="s">
        <v>602</v>
      </c>
      <c r="G245" s="272" t="s">
        <v>10230</v>
      </c>
      <c r="H245" s="272">
        <v>3</v>
      </c>
      <c r="I245" s="272" t="s">
        <v>727</v>
      </c>
      <c r="J245" s="272" t="s">
        <v>10231</v>
      </c>
      <c r="K245" s="272">
        <v>4</v>
      </c>
      <c r="L245" s="272"/>
      <c r="M245" s="272"/>
      <c r="N245" s="272" t="s">
        <v>452</v>
      </c>
      <c r="O245" s="272" t="s">
        <v>4905</v>
      </c>
      <c r="P245" s="272"/>
      <c r="Q245" s="272" t="s">
        <v>24</v>
      </c>
      <c r="R245" s="274"/>
      <c r="S245" s="272"/>
      <c r="T245" s="272"/>
      <c r="U245" s="272"/>
      <c r="V245" s="272"/>
      <c r="W245" s="272"/>
      <c r="X245" s="224"/>
      <c r="Y245" s="224"/>
      <c r="Z245" s="224"/>
    </row>
    <row r="246" spans="1:26" ht="15.75" customHeight="1">
      <c r="A246" s="267">
        <v>44784</v>
      </c>
      <c r="B246" s="268" t="s">
        <v>4917</v>
      </c>
      <c r="C246" s="269">
        <v>3.5</v>
      </c>
      <c r="D246" s="268" t="s">
        <v>4920</v>
      </c>
      <c r="E246" s="270" t="s">
        <v>4</v>
      </c>
      <c r="F246" s="268" t="s">
        <v>602</v>
      </c>
      <c r="G246" s="268"/>
      <c r="H246" s="268">
        <v>3</v>
      </c>
      <c r="I246" s="268" t="s">
        <v>1054</v>
      </c>
      <c r="J246" s="268" t="s">
        <v>4921</v>
      </c>
      <c r="K246" s="268">
        <v>4</v>
      </c>
      <c r="L246" s="268" t="s">
        <v>451</v>
      </c>
      <c r="M246" s="268">
        <v>800000</v>
      </c>
      <c r="N246" s="268" t="s">
        <v>452</v>
      </c>
      <c r="O246" s="268" t="s">
        <v>4922</v>
      </c>
      <c r="P246" s="268"/>
      <c r="Q246" s="268" t="s">
        <v>24</v>
      </c>
      <c r="R246" s="271"/>
      <c r="S246" s="268"/>
      <c r="T246" s="268"/>
      <c r="U246" s="268"/>
      <c r="V246" s="268"/>
      <c r="W246" s="268"/>
      <c r="X246" s="219"/>
      <c r="Y246" s="219"/>
      <c r="Z246" s="219"/>
    </row>
    <row r="247" spans="1:26" ht="15.75" customHeight="1">
      <c r="A247" s="280">
        <v>44784</v>
      </c>
      <c r="B247" s="281" t="s">
        <v>100</v>
      </c>
      <c r="C247" s="282">
        <v>3.5</v>
      </c>
      <c r="D247" s="281" t="s">
        <v>736</v>
      </c>
      <c r="E247" s="281" t="s">
        <v>5</v>
      </c>
      <c r="F247" s="281" t="s">
        <v>447</v>
      </c>
      <c r="G247" s="281" t="s">
        <v>10551</v>
      </c>
      <c r="H247" s="281">
        <v>3</v>
      </c>
      <c r="I247" s="281" t="s">
        <v>449</v>
      </c>
      <c r="J247" s="281" t="s">
        <v>11574</v>
      </c>
      <c r="K247" s="281">
        <v>4</v>
      </c>
      <c r="L247" s="281" t="s">
        <v>451</v>
      </c>
      <c r="M247" s="288">
        <v>5750000</v>
      </c>
      <c r="N247" s="281" t="s">
        <v>454</v>
      </c>
      <c r="O247" s="288" t="s">
        <v>739</v>
      </c>
      <c r="P247" s="281" t="s">
        <v>740</v>
      </c>
      <c r="Q247" s="281" t="s">
        <v>18</v>
      </c>
      <c r="R247" s="283" t="s">
        <v>741</v>
      </c>
      <c r="S247" s="281"/>
      <c r="T247" s="281"/>
      <c r="U247" s="281"/>
      <c r="V247" s="281"/>
      <c r="W247" s="281"/>
      <c r="X247" s="258"/>
      <c r="Y247" s="258"/>
      <c r="Z247" s="258"/>
    </row>
    <row r="248" spans="1:26" ht="15.75" customHeight="1">
      <c r="A248" s="267">
        <v>44784</v>
      </c>
      <c r="B248" s="268" t="s">
        <v>4881</v>
      </c>
      <c r="C248" s="269">
        <v>3.5</v>
      </c>
      <c r="D248" s="268" t="s">
        <v>4884</v>
      </c>
      <c r="E248" s="270" t="s">
        <v>4</v>
      </c>
      <c r="F248" s="268" t="s">
        <v>727</v>
      </c>
      <c r="G248" s="268" t="s">
        <v>10715</v>
      </c>
      <c r="H248" s="268">
        <v>3.5</v>
      </c>
      <c r="I248" s="268" t="s">
        <v>1054</v>
      </c>
      <c r="J248" s="268" t="s">
        <v>4886</v>
      </c>
      <c r="K248" s="268">
        <v>3.5</v>
      </c>
      <c r="L248" s="268" t="s">
        <v>451</v>
      </c>
      <c r="M248" s="275">
        <v>1200000</v>
      </c>
      <c r="N248" s="268" t="s">
        <v>452</v>
      </c>
      <c r="O248" s="275" t="s">
        <v>4887</v>
      </c>
      <c r="P248" s="268"/>
      <c r="Q248" s="268" t="s">
        <v>24</v>
      </c>
      <c r="R248" s="271"/>
      <c r="S248" s="268"/>
      <c r="T248" s="268"/>
      <c r="U248" s="268"/>
      <c r="V248" s="268"/>
      <c r="W248" s="268"/>
      <c r="X248" s="219"/>
      <c r="Y248" s="219"/>
      <c r="Z248" s="219"/>
    </row>
    <row r="249" spans="1:26" ht="15.75" customHeight="1">
      <c r="A249" s="267">
        <v>44784</v>
      </c>
      <c r="B249" s="272" t="s">
        <v>4743</v>
      </c>
      <c r="C249" s="269">
        <v>3.5</v>
      </c>
      <c r="D249" s="272" t="s">
        <v>4746</v>
      </c>
      <c r="E249" s="270" t="s">
        <v>4</v>
      </c>
      <c r="F249" s="272" t="s">
        <v>602</v>
      </c>
      <c r="G249" s="272" t="s">
        <v>4747</v>
      </c>
      <c r="H249" s="272">
        <v>3.5</v>
      </c>
      <c r="I249" s="272" t="s">
        <v>476</v>
      </c>
      <c r="J249" s="272" t="s">
        <v>11575</v>
      </c>
      <c r="K249" s="272">
        <v>3.5</v>
      </c>
      <c r="L249" s="272"/>
      <c r="M249" s="272"/>
      <c r="N249" s="272" t="s">
        <v>465</v>
      </c>
      <c r="O249" s="272" t="s">
        <v>452</v>
      </c>
      <c r="P249" s="272"/>
      <c r="Q249" s="272" t="s">
        <v>24</v>
      </c>
      <c r="R249" s="274"/>
      <c r="S249" s="272"/>
      <c r="T249" s="272"/>
      <c r="U249" s="272"/>
      <c r="V249" s="272"/>
      <c r="W249" s="272"/>
      <c r="X249" s="224"/>
      <c r="Y249" s="224"/>
      <c r="Z249" s="224"/>
    </row>
    <row r="250" spans="1:26" ht="15.75" customHeight="1">
      <c r="A250" s="280">
        <v>44784</v>
      </c>
      <c r="B250" s="281" t="s">
        <v>388</v>
      </c>
      <c r="C250" s="282">
        <v>3.5</v>
      </c>
      <c r="D250" s="281" t="s">
        <v>9927</v>
      </c>
      <c r="E250" s="281" t="s">
        <v>3</v>
      </c>
      <c r="F250" s="281" t="s">
        <v>460</v>
      </c>
      <c r="G250" s="281" t="s">
        <v>9928</v>
      </c>
      <c r="H250" s="281">
        <v>3</v>
      </c>
      <c r="I250" s="281" t="s">
        <v>462</v>
      </c>
      <c r="J250" s="281" t="s">
        <v>9929</v>
      </c>
      <c r="K250" s="281">
        <v>4</v>
      </c>
      <c r="L250" s="281" t="s">
        <v>923</v>
      </c>
      <c r="M250" s="288">
        <v>4000000</v>
      </c>
      <c r="N250" s="281" t="s">
        <v>452</v>
      </c>
      <c r="O250" s="288" t="s">
        <v>9930</v>
      </c>
      <c r="P250" s="281" t="s">
        <v>460</v>
      </c>
      <c r="Q250" s="281" t="s">
        <v>20</v>
      </c>
      <c r="R250" s="283" t="s">
        <v>9931</v>
      </c>
      <c r="S250" s="281"/>
      <c r="T250" s="281"/>
      <c r="U250" s="281"/>
      <c r="V250" s="281"/>
      <c r="W250" s="281"/>
      <c r="X250" s="258"/>
      <c r="Y250" s="258"/>
      <c r="Z250" s="258"/>
    </row>
    <row r="251" spans="1:26" ht="15.75" customHeight="1">
      <c r="A251" s="267">
        <v>44784</v>
      </c>
      <c r="B251" s="272" t="s">
        <v>4561</v>
      </c>
      <c r="C251" s="269">
        <v>3.5</v>
      </c>
      <c r="D251" s="272" t="s">
        <v>4564</v>
      </c>
      <c r="E251" s="270" t="s">
        <v>4</v>
      </c>
      <c r="F251" s="272" t="s">
        <v>602</v>
      </c>
      <c r="G251" s="272" t="s">
        <v>4565</v>
      </c>
      <c r="H251" s="272">
        <v>4</v>
      </c>
      <c r="I251" s="272" t="s">
        <v>476</v>
      </c>
      <c r="J251" s="272" t="s">
        <v>13400</v>
      </c>
      <c r="K251" s="272">
        <v>3</v>
      </c>
      <c r="L251" s="272" t="s">
        <v>451</v>
      </c>
      <c r="M251" s="273">
        <v>1500000</v>
      </c>
      <c r="N251" s="272" t="s">
        <v>452</v>
      </c>
      <c r="O251" s="273" t="s">
        <v>1028</v>
      </c>
      <c r="P251" s="272"/>
      <c r="Q251" s="272" t="s">
        <v>24</v>
      </c>
      <c r="R251" s="274"/>
      <c r="S251" s="272"/>
      <c r="T251" s="272"/>
      <c r="U251" s="272"/>
      <c r="V251" s="272"/>
      <c r="W251" s="272"/>
      <c r="X251" s="224"/>
      <c r="Y251" s="224"/>
      <c r="Z251" s="224"/>
    </row>
    <row r="252" spans="1:26" ht="15.75" customHeight="1">
      <c r="A252" s="267">
        <v>44784</v>
      </c>
      <c r="B252" s="268" t="s">
        <v>4933</v>
      </c>
      <c r="C252" s="269">
        <v>3.38</v>
      </c>
      <c r="D252" s="268" t="s">
        <v>4936</v>
      </c>
      <c r="E252" s="270" t="s">
        <v>4</v>
      </c>
      <c r="F252" s="268" t="s">
        <v>725</v>
      </c>
      <c r="G252" s="268" t="s">
        <v>11477</v>
      </c>
      <c r="H252" s="268">
        <v>3.75</v>
      </c>
      <c r="I252" s="268" t="s">
        <v>727</v>
      </c>
      <c r="J252" s="268" t="s">
        <v>11478</v>
      </c>
      <c r="K252" s="268">
        <v>3</v>
      </c>
      <c r="L252" s="268"/>
      <c r="M252" s="268"/>
      <c r="N252" s="268" t="s">
        <v>452</v>
      </c>
      <c r="O252" s="268" t="s">
        <v>4939</v>
      </c>
      <c r="P252" s="268"/>
      <c r="Q252" s="268" t="s">
        <v>24</v>
      </c>
      <c r="R252" s="271"/>
      <c r="S252" s="268"/>
      <c r="T252" s="268"/>
      <c r="U252" s="268"/>
      <c r="V252" s="268"/>
      <c r="W252" s="268"/>
      <c r="X252" s="219"/>
      <c r="Y252" s="219"/>
      <c r="Z252" s="219"/>
    </row>
    <row r="253" spans="1:26" ht="15.75" customHeight="1">
      <c r="A253" s="267">
        <v>44784</v>
      </c>
      <c r="B253" s="272" t="s">
        <v>5080</v>
      </c>
      <c r="C253" s="269">
        <v>3.25</v>
      </c>
      <c r="D253" s="272" t="s">
        <v>10320</v>
      </c>
      <c r="E253" s="270" t="s">
        <v>4</v>
      </c>
      <c r="F253" s="272" t="s">
        <v>727</v>
      </c>
      <c r="G253" s="272" t="s">
        <v>10321</v>
      </c>
      <c r="H253" s="272">
        <v>3.5</v>
      </c>
      <c r="I253" s="272" t="s">
        <v>1054</v>
      </c>
      <c r="J253" s="272" t="s">
        <v>5085</v>
      </c>
      <c r="K253" s="272">
        <v>3</v>
      </c>
      <c r="L253" s="272" t="s">
        <v>451</v>
      </c>
      <c r="M253" s="272">
        <v>2500000</v>
      </c>
      <c r="N253" s="272" t="s">
        <v>452</v>
      </c>
      <c r="O253" s="272" t="s">
        <v>10322</v>
      </c>
      <c r="P253" s="272" t="s">
        <v>727</v>
      </c>
      <c r="Q253" s="272" t="s">
        <v>24</v>
      </c>
      <c r="R253" s="274"/>
      <c r="S253" s="272"/>
      <c r="T253" s="272"/>
      <c r="U253" s="272"/>
      <c r="V253" s="272"/>
      <c r="W253" s="272"/>
      <c r="X253" s="224"/>
      <c r="Y253" s="224"/>
      <c r="Z253" s="224"/>
    </row>
    <row r="254" spans="1:26" ht="15.75" customHeight="1">
      <c r="A254" s="267">
        <v>44784</v>
      </c>
      <c r="B254" s="268" t="s">
        <v>5072</v>
      </c>
      <c r="C254" s="269">
        <v>3.25</v>
      </c>
      <c r="D254" s="268" t="s">
        <v>5075</v>
      </c>
      <c r="E254" s="270" t="s">
        <v>4</v>
      </c>
      <c r="F254" s="268" t="s">
        <v>602</v>
      </c>
      <c r="G254" s="268" t="s">
        <v>5076</v>
      </c>
      <c r="H254" s="268">
        <v>3</v>
      </c>
      <c r="I254" s="268" t="s">
        <v>1054</v>
      </c>
      <c r="J254" s="268" t="s">
        <v>5077</v>
      </c>
      <c r="K254" s="268">
        <v>3.5</v>
      </c>
      <c r="L254" s="268"/>
      <c r="M254" s="268"/>
      <c r="N254" s="268" t="s">
        <v>465</v>
      </c>
      <c r="O254" s="268" t="s">
        <v>454</v>
      </c>
      <c r="P254" s="268"/>
      <c r="Q254" s="268" t="s">
        <v>24</v>
      </c>
      <c r="R254" s="271"/>
      <c r="S254" s="268"/>
      <c r="T254" s="268"/>
      <c r="U254" s="268"/>
      <c r="V254" s="268"/>
      <c r="W254" s="268"/>
      <c r="X254" s="219"/>
      <c r="Y254" s="219"/>
      <c r="Z254" s="219"/>
    </row>
    <row r="255" spans="1:26" ht="15.75" customHeight="1">
      <c r="A255" s="280">
        <v>44784</v>
      </c>
      <c r="B255" s="281" t="s">
        <v>85</v>
      </c>
      <c r="C255" s="282">
        <v>3.25</v>
      </c>
      <c r="D255" s="281" t="s">
        <v>9345</v>
      </c>
      <c r="E255" s="281" t="s">
        <v>5</v>
      </c>
      <c r="F255" s="281" t="s">
        <v>447</v>
      </c>
      <c r="G255" s="281" t="s">
        <v>10406</v>
      </c>
      <c r="H255" s="281">
        <v>3.5</v>
      </c>
      <c r="I255" s="281" t="s">
        <v>622</v>
      </c>
      <c r="J255" s="281" t="s">
        <v>10407</v>
      </c>
      <c r="K255" s="281">
        <v>3</v>
      </c>
      <c r="L255" s="281" t="s">
        <v>478</v>
      </c>
      <c r="M255" s="281" t="s">
        <v>9348</v>
      </c>
      <c r="N255" s="281" t="s">
        <v>452</v>
      </c>
      <c r="O255" s="281" t="s">
        <v>11576</v>
      </c>
      <c r="P255" s="281" t="s">
        <v>1862</v>
      </c>
      <c r="Q255" s="281" t="s">
        <v>19</v>
      </c>
      <c r="R255" s="283" t="s">
        <v>9350</v>
      </c>
      <c r="S255" s="281"/>
      <c r="T255" s="281"/>
      <c r="U255" s="281"/>
      <c r="V255" s="281"/>
      <c r="W255" s="281"/>
      <c r="X255" s="258"/>
      <c r="Y255" s="258"/>
      <c r="Z255" s="258"/>
    </row>
    <row r="256" spans="1:26" ht="15.75" customHeight="1">
      <c r="A256" s="280">
        <v>44784</v>
      </c>
      <c r="B256" s="281" t="s">
        <v>3043</v>
      </c>
      <c r="C256" s="282">
        <v>3.25</v>
      </c>
      <c r="D256" s="281" t="s">
        <v>3046</v>
      </c>
      <c r="E256" s="281" t="s">
        <v>5</v>
      </c>
      <c r="F256" s="281" t="s">
        <v>447</v>
      </c>
      <c r="G256" s="281" t="s">
        <v>10600</v>
      </c>
      <c r="H256" s="281">
        <v>3</v>
      </c>
      <c r="I256" s="281" t="s">
        <v>476</v>
      </c>
      <c r="J256" s="281" t="s">
        <v>11577</v>
      </c>
      <c r="K256" s="281">
        <v>3.5</v>
      </c>
      <c r="L256" s="281" t="s">
        <v>451</v>
      </c>
      <c r="M256" s="281">
        <v>1700000</v>
      </c>
      <c r="N256" s="281" t="s">
        <v>465</v>
      </c>
      <c r="O256" s="281" t="s">
        <v>575</v>
      </c>
      <c r="P256" s="281"/>
      <c r="Q256" s="281" t="s">
        <v>24</v>
      </c>
      <c r="R256" s="283" t="s">
        <v>3049</v>
      </c>
      <c r="S256" s="281"/>
      <c r="T256" s="281"/>
      <c r="U256" s="281"/>
      <c r="V256" s="281"/>
      <c r="W256" s="281"/>
      <c r="X256" s="258"/>
      <c r="Y256" s="258"/>
      <c r="Z256" s="258"/>
    </row>
    <row r="257" spans="1:26" ht="15.75" customHeight="1">
      <c r="A257" s="280">
        <v>44784</v>
      </c>
      <c r="B257" s="281" t="s">
        <v>106</v>
      </c>
      <c r="C257" s="282">
        <v>3.25</v>
      </c>
      <c r="D257" s="281" t="s">
        <v>781</v>
      </c>
      <c r="E257" s="281" t="s">
        <v>5</v>
      </c>
      <c r="F257" s="281" t="s">
        <v>447</v>
      </c>
      <c r="G257" s="281" t="s">
        <v>10610</v>
      </c>
      <c r="H257" s="281">
        <v>3.5</v>
      </c>
      <c r="I257" s="281" t="s">
        <v>543</v>
      </c>
      <c r="J257" s="281" t="s">
        <v>11578</v>
      </c>
      <c r="K257" s="281">
        <v>3</v>
      </c>
      <c r="L257" s="281" t="s">
        <v>784</v>
      </c>
      <c r="M257" s="281">
        <v>4000000</v>
      </c>
      <c r="N257" s="281" t="s">
        <v>465</v>
      </c>
      <c r="O257" s="281" t="s">
        <v>785</v>
      </c>
      <c r="P257" s="281"/>
      <c r="Q257" s="281" t="s">
        <v>18</v>
      </c>
      <c r="R257" s="283" t="s">
        <v>11579</v>
      </c>
      <c r="S257" s="281"/>
      <c r="T257" s="281"/>
      <c r="U257" s="281"/>
      <c r="V257" s="281"/>
      <c r="W257" s="281"/>
      <c r="X257" s="258"/>
      <c r="Y257" s="258"/>
      <c r="Z257" s="258"/>
    </row>
    <row r="258" spans="1:26" ht="15.75" customHeight="1">
      <c r="A258" s="267">
        <v>44784</v>
      </c>
      <c r="B258" s="268" t="s">
        <v>2973</v>
      </c>
      <c r="C258" s="269">
        <v>3.25</v>
      </c>
      <c r="D258" s="268" t="s">
        <v>2976</v>
      </c>
      <c r="E258" s="270" t="s">
        <v>5</v>
      </c>
      <c r="F258" s="268" t="s">
        <v>447</v>
      </c>
      <c r="G258" s="268" t="s">
        <v>10662</v>
      </c>
      <c r="H258" s="268">
        <v>3</v>
      </c>
      <c r="I258" s="268" t="s">
        <v>449</v>
      </c>
      <c r="J258" s="268" t="s">
        <v>11580</v>
      </c>
      <c r="K258" s="268">
        <v>3.5</v>
      </c>
      <c r="L258" s="268" t="s">
        <v>451</v>
      </c>
      <c r="M258" s="285">
        <v>3000000</v>
      </c>
      <c r="N258" s="268" t="s">
        <v>465</v>
      </c>
      <c r="O258" s="285" t="s">
        <v>10664</v>
      </c>
      <c r="P258" s="268"/>
      <c r="Q258" s="268" t="s">
        <v>24</v>
      </c>
      <c r="R258" s="271"/>
      <c r="S258" s="268"/>
      <c r="T258" s="268"/>
      <c r="U258" s="268"/>
      <c r="V258" s="268"/>
      <c r="W258" s="268"/>
      <c r="X258" s="219"/>
      <c r="Y258" s="219"/>
      <c r="Z258" s="219"/>
    </row>
    <row r="259" spans="1:26" ht="15.75" customHeight="1">
      <c r="A259" s="267">
        <v>44784</v>
      </c>
      <c r="B259" s="272" t="s">
        <v>10708</v>
      </c>
      <c r="C259" s="269">
        <v>3.25</v>
      </c>
      <c r="D259" s="272" t="s">
        <v>10709</v>
      </c>
      <c r="E259" s="270" t="s">
        <v>5</v>
      </c>
      <c r="F259" s="272" t="s">
        <v>447</v>
      </c>
      <c r="G259" s="272" t="s">
        <v>10710</v>
      </c>
      <c r="H259" s="272">
        <v>3</v>
      </c>
      <c r="I259" s="272" t="s">
        <v>543</v>
      </c>
      <c r="J259" s="272" t="s">
        <v>11581</v>
      </c>
      <c r="K259" s="272">
        <v>3.5</v>
      </c>
      <c r="L259" s="272"/>
      <c r="M259" s="272"/>
      <c r="N259" s="272" t="s">
        <v>452</v>
      </c>
      <c r="O259" s="272" t="s">
        <v>2451</v>
      </c>
      <c r="P259" s="272"/>
      <c r="Q259" s="272" t="s">
        <v>24</v>
      </c>
      <c r="R259" s="274"/>
      <c r="S259" s="272"/>
      <c r="T259" s="272"/>
      <c r="U259" s="272"/>
      <c r="V259" s="272"/>
      <c r="W259" s="272"/>
      <c r="X259" s="224"/>
      <c r="Y259" s="224"/>
      <c r="Z259" s="224"/>
    </row>
    <row r="260" spans="1:26" ht="15.75" customHeight="1">
      <c r="A260" s="267">
        <v>44784</v>
      </c>
      <c r="B260" s="268" t="s">
        <v>5096</v>
      </c>
      <c r="C260" s="269">
        <v>3.25</v>
      </c>
      <c r="D260" s="268" t="s">
        <v>5099</v>
      </c>
      <c r="E260" s="270" t="s">
        <v>4</v>
      </c>
      <c r="F260" s="268" t="s">
        <v>727</v>
      </c>
      <c r="G260" s="268" t="s">
        <v>10720</v>
      </c>
      <c r="H260" s="268">
        <v>3</v>
      </c>
      <c r="I260" s="268" t="s">
        <v>1054</v>
      </c>
      <c r="J260" s="268" t="s">
        <v>5101</v>
      </c>
      <c r="K260" s="268">
        <v>3.5</v>
      </c>
      <c r="L260" s="268" t="s">
        <v>451</v>
      </c>
      <c r="M260" s="285">
        <v>300000</v>
      </c>
      <c r="N260" s="268" t="s">
        <v>454</v>
      </c>
      <c r="O260" s="285" t="s">
        <v>452</v>
      </c>
      <c r="P260" s="268"/>
      <c r="Q260" s="268" t="s">
        <v>24</v>
      </c>
      <c r="R260" s="271"/>
      <c r="S260" s="268"/>
      <c r="T260" s="268"/>
      <c r="U260" s="268"/>
      <c r="V260" s="268"/>
      <c r="W260" s="268"/>
      <c r="X260" s="219"/>
      <c r="Y260" s="219"/>
      <c r="Z260" s="219"/>
    </row>
    <row r="261" spans="1:26" ht="15.75" customHeight="1">
      <c r="A261" s="267">
        <v>44784</v>
      </c>
      <c r="B261" s="272" t="s">
        <v>5280</v>
      </c>
      <c r="C261" s="269">
        <v>3.25</v>
      </c>
      <c r="D261" s="272" t="s">
        <v>5283</v>
      </c>
      <c r="E261" s="270" t="s">
        <v>4</v>
      </c>
      <c r="F261" s="272" t="s">
        <v>727</v>
      </c>
      <c r="G261" s="272" t="s">
        <v>10735</v>
      </c>
      <c r="H261" s="272">
        <v>3.5</v>
      </c>
      <c r="I261" s="272" t="s">
        <v>476</v>
      </c>
      <c r="J261" s="272" t="s">
        <v>11582</v>
      </c>
      <c r="K261" s="272">
        <v>3</v>
      </c>
      <c r="L261" s="272"/>
      <c r="M261" s="272"/>
      <c r="N261" s="272" t="s">
        <v>452</v>
      </c>
      <c r="O261" s="272" t="s">
        <v>5286</v>
      </c>
      <c r="P261" s="272"/>
      <c r="Q261" s="272" t="s">
        <v>24</v>
      </c>
      <c r="R261" s="274"/>
      <c r="S261" s="272"/>
      <c r="T261" s="272"/>
      <c r="U261" s="272"/>
      <c r="V261" s="272"/>
      <c r="W261" s="272"/>
      <c r="X261" s="224"/>
      <c r="Y261" s="224"/>
      <c r="Z261" s="224"/>
    </row>
    <row r="262" spans="1:26" ht="15.75" customHeight="1">
      <c r="A262" s="267">
        <v>44784</v>
      </c>
      <c r="B262" s="268" t="s">
        <v>5064</v>
      </c>
      <c r="C262" s="269">
        <v>3.25</v>
      </c>
      <c r="D262" s="268" t="s">
        <v>11452</v>
      </c>
      <c r="E262" s="270" t="s">
        <v>4</v>
      </c>
      <c r="F262" s="268" t="s">
        <v>602</v>
      </c>
      <c r="G262" s="268" t="s">
        <v>5068</v>
      </c>
      <c r="H262" s="268">
        <v>3</v>
      </c>
      <c r="I262" s="268" t="s">
        <v>1054</v>
      </c>
      <c r="J262" s="268" t="s">
        <v>5069</v>
      </c>
      <c r="K262" s="268">
        <v>3.5</v>
      </c>
      <c r="L262" s="268"/>
      <c r="M262" s="268"/>
      <c r="N262" s="268" t="s">
        <v>452</v>
      </c>
      <c r="O262" s="268" t="s">
        <v>5070</v>
      </c>
      <c r="P262" s="268"/>
      <c r="Q262" s="268" t="s">
        <v>24</v>
      </c>
      <c r="R262" s="271"/>
      <c r="S262" s="268"/>
      <c r="T262" s="268"/>
      <c r="U262" s="268"/>
      <c r="V262" s="268"/>
      <c r="W262" s="268"/>
      <c r="X262" s="219"/>
      <c r="Y262" s="219"/>
      <c r="Z262" s="219"/>
    </row>
    <row r="263" spans="1:26" ht="15.75" customHeight="1">
      <c r="A263" s="280">
        <v>44784</v>
      </c>
      <c r="B263" s="281" t="s">
        <v>3432</v>
      </c>
      <c r="C263" s="282">
        <v>3</v>
      </c>
      <c r="D263" s="281" t="s">
        <v>3435</v>
      </c>
      <c r="E263" s="281" t="s">
        <v>5</v>
      </c>
      <c r="F263" s="281" t="s">
        <v>447</v>
      </c>
      <c r="G263" s="281" t="s">
        <v>10256</v>
      </c>
      <c r="H263" s="281">
        <v>3</v>
      </c>
      <c r="I263" s="281" t="s">
        <v>476</v>
      </c>
      <c r="J263" s="281" t="s">
        <v>11583</v>
      </c>
      <c r="K263" s="281">
        <v>3</v>
      </c>
      <c r="L263" s="281"/>
      <c r="M263" s="281"/>
      <c r="N263" s="281" t="s">
        <v>465</v>
      </c>
      <c r="O263" s="281" t="s">
        <v>452</v>
      </c>
      <c r="P263" s="281"/>
      <c r="Q263" s="281" t="s">
        <v>24</v>
      </c>
      <c r="R263" s="283" t="s">
        <v>3438</v>
      </c>
      <c r="S263" s="281"/>
      <c r="T263" s="281"/>
      <c r="U263" s="281"/>
      <c r="V263" s="281"/>
      <c r="W263" s="281"/>
      <c r="X263" s="258"/>
      <c r="Y263" s="258"/>
      <c r="Z263" s="258"/>
    </row>
    <row r="264" spans="1:26" ht="15.75" customHeight="1">
      <c r="A264" s="267">
        <v>44784</v>
      </c>
      <c r="B264" s="268" t="s">
        <v>5503</v>
      </c>
      <c r="C264" s="269">
        <v>3</v>
      </c>
      <c r="D264" s="268" t="s">
        <v>5506</v>
      </c>
      <c r="E264" s="270" t="s">
        <v>4</v>
      </c>
      <c r="F264" s="268" t="s">
        <v>727</v>
      </c>
      <c r="G264" s="268"/>
      <c r="H264" s="268">
        <v>3</v>
      </c>
      <c r="I264" s="268" t="s">
        <v>1054</v>
      </c>
      <c r="J264" s="268" t="s">
        <v>5507</v>
      </c>
      <c r="K264" s="268">
        <v>3</v>
      </c>
      <c r="L264" s="268" t="s">
        <v>451</v>
      </c>
      <c r="M264" s="268" t="s">
        <v>5508</v>
      </c>
      <c r="N264" s="268" t="s">
        <v>452</v>
      </c>
      <c r="O264" s="268" t="s">
        <v>10335</v>
      </c>
      <c r="P264" s="268"/>
      <c r="Q264" s="268" t="s">
        <v>24</v>
      </c>
      <c r="R264" s="271"/>
      <c r="S264" s="268"/>
      <c r="T264" s="268"/>
      <c r="U264" s="268"/>
      <c r="V264" s="268"/>
      <c r="W264" s="268"/>
      <c r="X264" s="219"/>
      <c r="Y264" s="219"/>
      <c r="Z264" s="219"/>
    </row>
    <row r="265" spans="1:26" ht="15.75" customHeight="1">
      <c r="A265" s="267">
        <v>44784</v>
      </c>
      <c r="B265" s="272" t="s">
        <v>3019</v>
      </c>
      <c r="C265" s="269">
        <v>3</v>
      </c>
      <c r="D265" s="272" t="s">
        <v>10396</v>
      </c>
      <c r="E265" s="270" t="s">
        <v>5</v>
      </c>
      <c r="F265" s="272" t="s">
        <v>447</v>
      </c>
      <c r="G265" s="272" t="s">
        <v>10397</v>
      </c>
      <c r="H265" s="272">
        <v>3</v>
      </c>
      <c r="I265" s="272" t="s">
        <v>622</v>
      </c>
      <c r="J265" s="272" t="s">
        <v>3024</v>
      </c>
      <c r="K265" s="272">
        <v>3</v>
      </c>
      <c r="L265" s="272" t="s">
        <v>784</v>
      </c>
      <c r="M265" s="273">
        <v>1000000</v>
      </c>
      <c r="N265" s="272" t="s">
        <v>452</v>
      </c>
      <c r="O265" s="273" t="s">
        <v>3025</v>
      </c>
      <c r="P265" s="272" t="s">
        <v>447</v>
      </c>
      <c r="Q265" s="272" t="s">
        <v>24</v>
      </c>
      <c r="R265" s="274"/>
      <c r="S265" s="272"/>
      <c r="T265" s="272"/>
      <c r="U265" s="272"/>
      <c r="V265" s="272"/>
      <c r="W265" s="272"/>
      <c r="X265" s="224"/>
      <c r="Y265" s="224"/>
      <c r="Z265" s="224"/>
    </row>
    <row r="266" spans="1:26" ht="15.75" customHeight="1">
      <c r="A266" s="267">
        <v>44784</v>
      </c>
      <c r="B266" s="268" t="s">
        <v>2876</v>
      </c>
      <c r="C266" s="269">
        <v>3</v>
      </c>
      <c r="D266" s="268" t="s">
        <v>2879</v>
      </c>
      <c r="E266" s="270" t="s">
        <v>5</v>
      </c>
      <c r="F266" s="268" t="s">
        <v>447</v>
      </c>
      <c r="G266" s="268" t="s">
        <v>10447</v>
      </c>
      <c r="H266" s="268">
        <v>2</v>
      </c>
      <c r="I266" s="268" t="s">
        <v>476</v>
      </c>
      <c r="J266" s="268" t="s">
        <v>11584</v>
      </c>
      <c r="K266" s="268">
        <v>4</v>
      </c>
      <c r="L266" s="268" t="s">
        <v>451</v>
      </c>
      <c r="M266" s="275">
        <v>5000000</v>
      </c>
      <c r="N266" s="268" t="s">
        <v>452</v>
      </c>
      <c r="O266" s="275" t="s">
        <v>2882</v>
      </c>
      <c r="P266" s="268"/>
      <c r="Q266" s="268" t="s">
        <v>24</v>
      </c>
      <c r="R266" s="271"/>
      <c r="S266" s="268"/>
      <c r="T266" s="268"/>
      <c r="U266" s="268"/>
      <c r="V266" s="268"/>
      <c r="W266" s="268"/>
      <c r="X266" s="219"/>
      <c r="Y266" s="219"/>
      <c r="Z266" s="219"/>
    </row>
    <row r="267" spans="1:26" ht="15.75" customHeight="1">
      <c r="A267" s="267">
        <v>44784</v>
      </c>
      <c r="B267" s="272" t="s">
        <v>3068</v>
      </c>
      <c r="C267" s="269">
        <v>3</v>
      </c>
      <c r="D267" s="272" t="s">
        <v>3071</v>
      </c>
      <c r="E267" s="270" t="s">
        <v>5</v>
      </c>
      <c r="F267" s="272" t="s">
        <v>447</v>
      </c>
      <c r="G267" s="272" t="s">
        <v>10450</v>
      </c>
      <c r="H267" s="272">
        <v>3</v>
      </c>
      <c r="I267" s="272" t="s">
        <v>449</v>
      </c>
      <c r="J267" s="272" t="s">
        <v>11585</v>
      </c>
      <c r="K267" s="272">
        <v>3</v>
      </c>
      <c r="L267" s="272"/>
      <c r="M267" s="272"/>
      <c r="N267" s="272" t="s">
        <v>452</v>
      </c>
      <c r="O267" s="272" t="s">
        <v>3074</v>
      </c>
      <c r="P267" s="272"/>
      <c r="Q267" s="272" t="s">
        <v>24</v>
      </c>
      <c r="R267" s="274"/>
      <c r="S267" s="272"/>
      <c r="T267" s="272"/>
      <c r="U267" s="272"/>
      <c r="V267" s="272"/>
      <c r="W267" s="272"/>
      <c r="X267" s="224"/>
      <c r="Y267" s="224"/>
      <c r="Z267" s="224"/>
    </row>
    <row r="268" spans="1:26" ht="15.75" customHeight="1">
      <c r="A268" s="280">
        <v>44784</v>
      </c>
      <c r="B268" s="281" t="s">
        <v>3395</v>
      </c>
      <c r="C268" s="282">
        <v>3</v>
      </c>
      <c r="D268" s="281" t="s">
        <v>3398</v>
      </c>
      <c r="E268" s="281" t="s">
        <v>5</v>
      </c>
      <c r="F268" s="281" t="s">
        <v>447</v>
      </c>
      <c r="G268" s="281" t="s">
        <v>10462</v>
      </c>
      <c r="H268" s="281">
        <v>3</v>
      </c>
      <c r="I268" s="281" t="s">
        <v>543</v>
      </c>
      <c r="J268" s="281" t="s">
        <v>11586</v>
      </c>
      <c r="K268" s="281">
        <v>3</v>
      </c>
      <c r="L268" s="281" t="s">
        <v>451</v>
      </c>
      <c r="M268" s="281">
        <v>1000000</v>
      </c>
      <c r="N268" s="281" t="s">
        <v>452</v>
      </c>
      <c r="O268" s="281" t="s">
        <v>10464</v>
      </c>
      <c r="P268" s="281"/>
      <c r="Q268" s="281" t="s">
        <v>24</v>
      </c>
      <c r="R268" s="283" t="s">
        <v>2260</v>
      </c>
      <c r="S268" s="281"/>
      <c r="T268" s="281"/>
      <c r="U268" s="281"/>
      <c r="V268" s="281"/>
      <c r="W268" s="281"/>
      <c r="X268" s="258"/>
      <c r="Y268" s="258"/>
      <c r="Z268" s="258"/>
    </row>
    <row r="269" spans="1:26" ht="15.75" customHeight="1">
      <c r="A269" s="280">
        <v>44784</v>
      </c>
      <c r="B269" s="281" t="s">
        <v>2426</v>
      </c>
      <c r="C269" s="282">
        <v>3</v>
      </c>
      <c r="D269" s="281" t="s">
        <v>2429</v>
      </c>
      <c r="E269" s="281" t="s">
        <v>5</v>
      </c>
      <c r="F269" s="281" t="s">
        <v>447</v>
      </c>
      <c r="G269" s="281" t="s">
        <v>10614</v>
      </c>
      <c r="H269" s="281">
        <v>2.5</v>
      </c>
      <c r="I269" s="281" t="s">
        <v>449</v>
      </c>
      <c r="J269" s="281" t="s">
        <v>11587</v>
      </c>
      <c r="K269" s="281">
        <v>3.5</v>
      </c>
      <c r="L269" s="281" t="s">
        <v>478</v>
      </c>
      <c r="M269" s="288">
        <v>7000000</v>
      </c>
      <c r="N269" s="281" t="s">
        <v>452</v>
      </c>
      <c r="O269" s="288" t="s">
        <v>2432</v>
      </c>
      <c r="P269" s="281"/>
      <c r="Q269" s="281" t="s">
        <v>24</v>
      </c>
      <c r="R269" s="283" t="s">
        <v>2433</v>
      </c>
      <c r="S269" s="281"/>
      <c r="T269" s="281"/>
      <c r="U269" s="281"/>
      <c r="V269" s="281"/>
      <c r="W269" s="281"/>
      <c r="X269" s="258"/>
      <c r="Y269" s="258"/>
      <c r="Z269" s="258"/>
    </row>
    <row r="270" spans="1:26" ht="15.75" customHeight="1">
      <c r="A270" s="267">
        <v>44784</v>
      </c>
      <c r="B270" s="268" t="s">
        <v>5548</v>
      </c>
      <c r="C270" s="269">
        <v>3</v>
      </c>
      <c r="D270" s="268" t="s">
        <v>5551</v>
      </c>
      <c r="E270" s="270" t="s">
        <v>4</v>
      </c>
      <c r="F270" s="268" t="s">
        <v>727</v>
      </c>
      <c r="G270" s="268" t="s">
        <v>10730</v>
      </c>
      <c r="H270" s="268">
        <v>3</v>
      </c>
      <c r="I270" s="268" t="s">
        <v>1054</v>
      </c>
      <c r="J270" s="268" t="s">
        <v>5553</v>
      </c>
      <c r="K270" s="268">
        <v>3</v>
      </c>
      <c r="L270" s="268" t="s">
        <v>451</v>
      </c>
      <c r="M270" s="268">
        <v>5000000</v>
      </c>
      <c r="N270" s="268" t="s">
        <v>452</v>
      </c>
      <c r="O270" s="268" t="s">
        <v>452</v>
      </c>
      <c r="P270" s="268" t="s">
        <v>5554</v>
      </c>
      <c r="Q270" s="268" t="s">
        <v>24</v>
      </c>
      <c r="R270" s="271"/>
      <c r="S270" s="268"/>
      <c r="T270" s="268"/>
      <c r="U270" s="268"/>
      <c r="V270" s="268"/>
      <c r="W270" s="268"/>
      <c r="X270" s="219"/>
      <c r="Y270" s="219"/>
      <c r="Z270" s="219"/>
    </row>
    <row r="271" spans="1:26" ht="15.75" customHeight="1">
      <c r="A271" s="267">
        <v>44784</v>
      </c>
      <c r="B271" s="272" t="s">
        <v>5800</v>
      </c>
      <c r="C271" s="269">
        <v>3</v>
      </c>
      <c r="D271" s="272" t="s">
        <v>5803</v>
      </c>
      <c r="E271" s="270" t="s">
        <v>4</v>
      </c>
      <c r="F271" s="272" t="s">
        <v>727</v>
      </c>
      <c r="G271" s="272" t="s">
        <v>10863</v>
      </c>
      <c r="H271" s="272">
        <v>3</v>
      </c>
      <c r="I271" s="272" t="s">
        <v>476</v>
      </c>
      <c r="J271" s="272" t="s">
        <v>11588</v>
      </c>
      <c r="K271" s="272">
        <v>3</v>
      </c>
      <c r="L271" s="272" t="s">
        <v>451</v>
      </c>
      <c r="M271" s="273">
        <v>1000000</v>
      </c>
      <c r="N271" s="272" t="s">
        <v>452</v>
      </c>
      <c r="O271" s="273" t="s">
        <v>10865</v>
      </c>
      <c r="P271" s="272"/>
      <c r="Q271" s="272" t="s">
        <v>24</v>
      </c>
      <c r="R271" s="274"/>
      <c r="S271" s="272"/>
      <c r="T271" s="272"/>
      <c r="U271" s="272"/>
      <c r="V271" s="272"/>
      <c r="W271" s="272"/>
      <c r="X271" s="224"/>
      <c r="Y271" s="224"/>
      <c r="Z271" s="224"/>
    </row>
    <row r="272" spans="1:26" ht="15.75" customHeight="1">
      <c r="A272" s="267">
        <v>44784</v>
      </c>
      <c r="B272" s="268" t="s">
        <v>5765</v>
      </c>
      <c r="C272" s="269">
        <v>3</v>
      </c>
      <c r="D272" s="298" t="s">
        <v>5768</v>
      </c>
      <c r="E272" s="270" t="s">
        <v>4</v>
      </c>
      <c r="F272" s="268" t="s">
        <v>727</v>
      </c>
      <c r="G272" s="268" t="s">
        <v>5769</v>
      </c>
      <c r="H272" s="268">
        <v>3</v>
      </c>
      <c r="I272" s="268" t="s">
        <v>476</v>
      </c>
      <c r="J272" s="268" t="s">
        <v>11589</v>
      </c>
      <c r="K272" s="268">
        <v>3</v>
      </c>
      <c r="L272" s="268" t="s">
        <v>784</v>
      </c>
      <c r="M272" s="285">
        <v>300000</v>
      </c>
      <c r="N272" s="268" t="s">
        <v>452</v>
      </c>
      <c r="O272" s="285" t="s">
        <v>5771</v>
      </c>
      <c r="P272" s="268"/>
      <c r="Q272" s="268" t="s">
        <v>24</v>
      </c>
      <c r="R272" s="271"/>
      <c r="S272" s="268"/>
      <c r="T272" s="268"/>
      <c r="U272" s="268"/>
      <c r="V272" s="268"/>
      <c r="W272" s="268"/>
      <c r="X272" s="219"/>
      <c r="Y272" s="219"/>
      <c r="Z272" s="219"/>
    </row>
    <row r="273" spans="1:26" ht="15.75" customHeight="1">
      <c r="A273" s="267">
        <v>44784</v>
      </c>
      <c r="B273" s="272" t="s">
        <v>5809</v>
      </c>
      <c r="C273" s="269">
        <v>3</v>
      </c>
      <c r="D273" s="286" t="s">
        <v>11396</v>
      </c>
      <c r="E273" s="270" t="s">
        <v>4</v>
      </c>
      <c r="F273" s="272" t="s">
        <v>602</v>
      </c>
      <c r="G273" s="272" t="s">
        <v>5813</v>
      </c>
      <c r="H273" s="272">
        <v>3</v>
      </c>
      <c r="I273" s="272" t="s">
        <v>1054</v>
      </c>
      <c r="J273" s="272" t="s">
        <v>5814</v>
      </c>
      <c r="K273" s="272">
        <v>3</v>
      </c>
      <c r="L273" s="272" t="s">
        <v>451</v>
      </c>
      <c r="M273" s="272" t="s">
        <v>5815</v>
      </c>
      <c r="N273" s="272" t="s">
        <v>465</v>
      </c>
      <c r="O273" s="272" t="s">
        <v>452</v>
      </c>
      <c r="P273" s="272"/>
      <c r="Q273" s="272" t="s">
        <v>24</v>
      </c>
      <c r="R273" s="274"/>
      <c r="S273" s="272"/>
      <c r="T273" s="272"/>
      <c r="U273" s="272"/>
      <c r="V273" s="272"/>
      <c r="W273" s="272"/>
      <c r="X273" s="224"/>
      <c r="Y273" s="224"/>
      <c r="Z273" s="224"/>
    </row>
    <row r="274" spans="1:26" ht="15.75" customHeight="1">
      <c r="A274" s="267">
        <v>44784</v>
      </c>
      <c r="B274" s="268" t="s">
        <v>5556</v>
      </c>
      <c r="C274" s="269">
        <v>3</v>
      </c>
      <c r="D274" s="268" t="s">
        <v>5559</v>
      </c>
      <c r="E274" s="270" t="s">
        <v>4</v>
      </c>
      <c r="F274" s="268" t="s">
        <v>602</v>
      </c>
      <c r="G274" s="268" t="s">
        <v>5560</v>
      </c>
      <c r="H274" s="268">
        <v>3</v>
      </c>
      <c r="I274" s="268" t="s">
        <v>727</v>
      </c>
      <c r="J274" s="268" t="s">
        <v>11448</v>
      </c>
      <c r="K274" s="268">
        <v>3</v>
      </c>
      <c r="L274" s="268" t="s">
        <v>451</v>
      </c>
      <c r="M274" s="268" t="s">
        <v>5562</v>
      </c>
      <c r="N274" s="268" t="s">
        <v>452</v>
      </c>
      <c r="O274" s="268" t="s">
        <v>452</v>
      </c>
      <c r="P274" s="268"/>
      <c r="Q274" s="268" t="s">
        <v>24</v>
      </c>
      <c r="R274" s="271"/>
      <c r="S274" s="268"/>
      <c r="T274" s="268"/>
      <c r="U274" s="268"/>
      <c r="V274" s="268"/>
      <c r="W274" s="268"/>
      <c r="X274" s="219"/>
      <c r="Y274" s="219"/>
      <c r="Z274" s="219"/>
    </row>
    <row r="275" spans="1:26" ht="15.75" customHeight="1">
      <c r="A275" s="267">
        <v>44784</v>
      </c>
      <c r="B275" s="272" t="s">
        <v>5894</v>
      </c>
      <c r="C275" s="269">
        <v>2.75</v>
      </c>
      <c r="D275" s="272" t="s">
        <v>5897</v>
      </c>
      <c r="E275" s="270" t="s">
        <v>4</v>
      </c>
      <c r="F275" s="272" t="s">
        <v>727</v>
      </c>
      <c r="G275" s="272" t="s">
        <v>10218</v>
      </c>
      <c r="H275" s="272">
        <v>3</v>
      </c>
      <c r="I275" s="272" t="s">
        <v>1054</v>
      </c>
      <c r="J275" s="272" t="s">
        <v>5899</v>
      </c>
      <c r="K275" s="272">
        <v>2.5</v>
      </c>
      <c r="L275" s="272" t="s">
        <v>784</v>
      </c>
      <c r="M275" s="272">
        <v>1000000</v>
      </c>
      <c r="N275" s="272" t="s">
        <v>465</v>
      </c>
      <c r="O275" s="272" t="s">
        <v>5900</v>
      </c>
      <c r="P275" s="272"/>
      <c r="Q275" s="272" t="s">
        <v>24</v>
      </c>
      <c r="R275" s="274"/>
      <c r="S275" s="272"/>
      <c r="T275" s="272"/>
      <c r="U275" s="272"/>
      <c r="V275" s="272"/>
      <c r="W275" s="272"/>
      <c r="X275" s="224"/>
      <c r="Y275" s="224"/>
      <c r="Z275" s="224"/>
    </row>
    <row r="276" spans="1:26" ht="15.75" customHeight="1">
      <c r="A276" s="276">
        <v>44784</v>
      </c>
      <c r="B276" s="277" t="s">
        <v>130</v>
      </c>
      <c r="C276" s="278">
        <v>2.75</v>
      </c>
      <c r="D276" s="277" t="s">
        <v>3179</v>
      </c>
      <c r="E276" s="277" t="s">
        <v>5</v>
      </c>
      <c r="F276" s="277" t="s">
        <v>460</v>
      </c>
      <c r="G276" s="277" t="s">
        <v>3180</v>
      </c>
      <c r="H276" s="277">
        <v>3</v>
      </c>
      <c r="I276" s="277" t="s">
        <v>488</v>
      </c>
      <c r="J276" s="277" t="s">
        <v>11590</v>
      </c>
      <c r="K276" s="277">
        <v>2.5</v>
      </c>
      <c r="L276" s="277" t="s">
        <v>784</v>
      </c>
      <c r="M276" s="277">
        <v>3000000</v>
      </c>
      <c r="N276" s="277" t="s">
        <v>452</v>
      </c>
      <c r="O276" s="277" t="s">
        <v>3182</v>
      </c>
      <c r="P276" s="277"/>
      <c r="Q276" s="277" t="s">
        <v>19</v>
      </c>
      <c r="R276" s="279" t="s">
        <v>3183</v>
      </c>
      <c r="S276" s="277"/>
      <c r="T276" s="277"/>
      <c r="U276" s="277"/>
      <c r="V276" s="277"/>
      <c r="W276" s="277"/>
      <c r="X276" s="239"/>
      <c r="Y276" s="239"/>
      <c r="Z276" s="239"/>
    </row>
    <row r="277" spans="1:26" ht="15.75" customHeight="1">
      <c r="A277" s="267">
        <v>44784</v>
      </c>
      <c r="B277" s="272" t="s">
        <v>6026</v>
      </c>
      <c r="C277" s="269">
        <v>2.75</v>
      </c>
      <c r="D277" s="272" t="s">
        <v>6029</v>
      </c>
      <c r="E277" s="270" t="s">
        <v>4</v>
      </c>
      <c r="F277" s="272" t="s">
        <v>602</v>
      </c>
      <c r="G277" s="272" t="s">
        <v>10336</v>
      </c>
      <c r="H277" s="272">
        <v>2.5</v>
      </c>
      <c r="I277" s="272" t="s">
        <v>1054</v>
      </c>
      <c r="J277" s="272" t="s">
        <v>6031</v>
      </c>
      <c r="K277" s="272">
        <v>3</v>
      </c>
      <c r="L277" s="272"/>
      <c r="M277" s="272"/>
      <c r="N277" s="272" t="s">
        <v>452</v>
      </c>
      <c r="O277" s="272" t="s">
        <v>452</v>
      </c>
      <c r="P277" s="272"/>
      <c r="Q277" s="272" t="s">
        <v>24</v>
      </c>
      <c r="R277" s="274"/>
      <c r="S277" s="272"/>
      <c r="T277" s="272"/>
      <c r="U277" s="272"/>
      <c r="V277" s="272"/>
      <c r="W277" s="272"/>
      <c r="X277" s="224"/>
      <c r="Y277" s="224"/>
      <c r="Z277" s="224"/>
    </row>
    <row r="278" spans="1:26" ht="15.75" customHeight="1">
      <c r="A278" s="267">
        <v>44784</v>
      </c>
      <c r="B278" s="268" t="s">
        <v>2805</v>
      </c>
      <c r="C278" s="269">
        <v>2.75</v>
      </c>
      <c r="D278" s="268" t="s">
        <v>2808</v>
      </c>
      <c r="E278" s="270" t="s">
        <v>5</v>
      </c>
      <c r="F278" s="268" t="s">
        <v>447</v>
      </c>
      <c r="G278" s="268" t="s">
        <v>10426</v>
      </c>
      <c r="H278" s="268">
        <v>3</v>
      </c>
      <c r="I278" s="268" t="s">
        <v>622</v>
      </c>
      <c r="J278" s="268" t="s">
        <v>2810</v>
      </c>
      <c r="K278" s="268">
        <v>2.5</v>
      </c>
      <c r="L278" s="268" t="s">
        <v>451</v>
      </c>
      <c r="M278" s="285">
        <v>1000000</v>
      </c>
      <c r="N278" s="268" t="s">
        <v>452</v>
      </c>
      <c r="O278" s="285" t="s">
        <v>10427</v>
      </c>
      <c r="P278" s="268"/>
      <c r="Q278" s="268" t="s">
        <v>24</v>
      </c>
      <c r="R278" s="271"/>
      <c r="S278" s="268"/>
      <c r="T278" s="268"/>
      <c r="U278" s="268"/>
      <c r="V278" s="268"/>
      <c r="W278" s="268"/>
      <c r="X278" s="219"/>
      <c r="Y278" s="219"/>
      <c r="Z278" s="219"/>
    </row>
    <row r="279" spans="1:26" ht="15.75" customHeight="1">
      <c r="A279" s="267">
        <v>44784</v>
      </c>
      <c r="B279" s="272" t="s">
        <v>3524</v>
      </c>
      <c r="C279" s="269">
        <v>2.75</v>
      </c>
      <c r="D279" s="272" t="s">
        <v>3527</v>
      </c>
      <c r="E279" s="270" t="s">
        <v>5</v>
      </c>
      <c r="F279" s="272" t="s">
        <v>447</v>
      </c>
      <c r="G279" s="272" t="s">
        <v>10702</v>
      </c>
      <c r="H279" s="272">
        <v>2.5</v>
      </c>
      <c r="I279" s="272" t="s">
        <v>449</v>
      </c>
      <c r="J279" s="272" t="s">
        <v>11591</v>
      </c>
      <c r="K279" s="272">
        <v>3</v>
      </c>
      <c r="L279" s="272"/>
      <c r="M279" s="272"/>
      <c r="N279" s="272" t="s">
        <v>452</v>
      </c>
      <c r="O279" s="272" t="s">
        <v>452</v>
      </c>
      <c r="P279" s="272"/>
      <c r="Q279" s="272" t="s">
        <v>24</v>
      </c>
      <c r="R279" s="274"/>
      <c r="S279" s="272"/>
      <c r="T279" s="272"/>
      <c r="U279" s="272"/>
      <c r="V279" s="272"/>
      <c r="W279" s="272"/>
      <c r="X279" s="224"/>
      <c r="Y279" s="224"/>
      <c r="Z279" s="224"/>
    </row>
    <row r="280" spans="1:26" ht="15.75" customHeight="1">
      <c r="A280" s="267">
        <v>44784</v>
      </c>
      <c r="B280" s="268" t="s">
        <v>10729</v>
      </c>
      <c r="C280" s="269">
        <v>2.75</v>
      </c>
      <c r="D280" s="268" t="s">
        <v>6081</v>
      </c>
      <c r="E280" s="270" t="s">
        <v>4</v>
      </c>
      <c r="F280" s="268" t="s">
        <v>727</v>
      </c>
      <c r="G280" s="268" t="s">
        <v>6082</v>
      </c>
      <c r="H280" s="268">
        <v>2.5</v>
      </c>
      <c r="I280" s="268" t="s">
        <v>1054</v>
      </c>
      <c r="J280" s="268" t="s">
        <v>6083</v>
      </c>
      <c r="K280" s="268">
        <v>3</v>
      </c>
      <c r="L280" s="268" t="s">
        <v>784</v>
      </c>
      <c r="M280" s="285">
        <v>715840.11</v>
      </c>
      <c r="N280" s="268" t="s">
        <v>452</v>
      </c>
      <c r="O280" s="285" t="s">
        <v>6084</v>
      </c>
      <c r="P280" s="268"/>
      <c r="Q280" s="268" t="s">
        <v>24</v>
      </c>
      <c r="R280" s="271"/>
      <c r="S280" s="268"/>
      <c r="T280" s="268"/>
      <c r="U280" s="268"/>
      <c r="V280" s="268"/>
      <c r="W280" s="268"/>
      <c r="X280" s="219"/>
      <c r="Y280" s="219"/>
      <c r="Z280" s="219"/>
    </row>
    <row r="281" spans="1:26" ht="15.75" customHeight="1">
      <c r="A281" s="267">
        <v>44784</v>
      </c>
      <c r="B281" s="272" t="s">
        <v>6115</v>
      </c>
      <c r="C281" s="269">
        <v>2.75</v>
      </c>
      <c r="D281" s="272" t="s">
        <v>11592</v>
      </c>
      <c r="E281" s="270" t="s">
        <v>4</v>
      </c>
      <c r="F281" s="272" t="s">
        <v>602</v>
      </c>
      <c r="G281" s="272" t="s">
        <v>6119</v>
      </c>
      <c r="H281" s="272">
        <v>3</v>
      </c>
      <c r="I281" s="272" t="s">
        <v>476</v>
      </c>
      <c r="J281" s="272" t="s">
        <v>13400</v>
      </c>
      <c r="K281" s="272">
        <v>2.5</v>
      </c>
      <c r="L281" s="272"/>
      <c r="M281" s="272"/>
      <c r="N281" s="272" t="s">
        <v>452</v>
      </c>
      <c r="O281" s="272" t="s">
        <v>6121</v>
      </c>
      <c r="P281" s="272"/>
      <c r="Q281" s="272" t="s">
        <v>24</v>
      </c>
      <c r="R281" s="274"/>
      <c r="S281" s="272"/>
      <c r="T281" s="272"/>
      <c r="U281" s="272"/>
      <c r="V281" s="272"/>
      <c r="W281" s="272"/>
      <c r="X281" s="224"/>
      <c r="Y281" s="224"/>
      <c r="Z281" s="224"/>
    </row>
    <row r="282" spans="1:26" ht="15.75" customHeight="1">
      <c r="A282" s="267">
        <v>44784</v>
      </c>
      <c r="B282" s="268" t="s">
        <v>6148</v>
      </c>
      <c r="C282" s="269">
        <v>2.5</v>
      </c>
      <c r="D282" s="268" t="s">
        <v>10190</v>
      </c>
      <c r="E282" s="270" t="s">
        <v>4</v>
      </c>
      <c r="F282" s="268" t="s">
        <v>602</v>
      </c>
      <c r="G282" s="268" t="s">
        <v>6152</v>
      </c>
      <c r="H282" s="268">
        <v>2</v>
      </c>
      <c r="I282" s="268" t="s">
        <v>1054</v>
      </c>
      <c r="J282" s="268" t="s">
        <v>6153</v>
      </c>
      <c r="K282" s="268">
        <v>3</v>
      </c>
      <c r="L282" s="268" t="s">
        <v>451</v>
      </c>
      <c r="M282" s="285">
        <v>2000000</v>
      </c>
      <c r="N282" s="268" t="s">
        <v>452</v>
      </c>
      <c r="O282" s="285" t="s">
        <v>452</v>
      </c>
      <c r="P282" s="268"/>
      <c r="Q282" s="268" t="s">
        <v>24</v>
      </c>
      <c r="R282" s="271"/>
      <c r="S282" s="268"/>
      <c r="T282" s="268"/>
      <c r="U282" s="268"/>
      <c r="V282" s="268"/>
      <c r="W282" s="268"/>
      <c r="X282" s="219"/>
      <c r="Y282" s="219"/>
      <c r="Z282" s="219"/>
    </row>
    <row r="283" spans="1:26" ht="15.75" customHeight="1">
      <c r="A283" s="267">
        <v>44784</v>
      </c>
      <c r="B283" s="272" t="s">
        <v>6384</v>
      </c>
      <c r="C283" s="269">
        <v>2.5</v>
      </c>
      <c r="D283" s="272" t="s">
        <v>6387</v>
      </c>
      <c r="E283" s="270" t="s">
        <v>4</v>
      </c>
      <c r="F283" s="272" t="s">
        <v>602</v>
      </c>
      <c r="G283" s="272"/>
      <c r="H283" s="272">
        <v>2.5</v>
      </c>
      <c r="I283" s="272" t="s">
        <v>727</v>
      </c>
      <c r="J283" s="272"/>
      <c r="K283" s="272">
        <v>2.5</v>
      </c>
      <c r="L283" s="272"/>
      <c r="M283" s="272"/>
      <c r="N283" s="272" t="s">
        <v>465</v>
      </c>
      <c r="O283" s="272" t="s">
        <v>575</v>
      </c>
      <c r="P283" s="272"/>
      <c r="Q283" s="272" t="s">
        <v>24</v>
      </c>
      <c r="R283" s="274"/>
      <c r="S283" s="272"/>
      <c r="T283" s="272"/>
      <c r="U283" s="272"/>
      <c r="V283" s="272"/>
      <c r="W283" s="272"/>
      <c r="X283" s="224"/>
      <c r="Y283" s="224"/>
      <c r="Z283" s="224"/>
    </row>
    <row r="284" spans="1:26" ht="15.75" customHeight="1">
      <c r="A284" s="267">
        <v>44784</v>
      </c>
      <c r="B284" s="268" t="s">
        <v>6434</v>
      </c>
      <c r="C284" s="269">
        <v>2.5</v>
      </c>
      <c r="D284" s="268" t="s">
        <v>10329</v>
      </c>
      <c r="E284" s="270" t="s">
        <v>4</v>
      </c>
      <c r="F284" s="268" t="s">
        <v>725</v>
      </c>
      <c r="G284" s="268"/>
      <c r="H284" s="268">
        <v>3</v>
      </c>
      <c r="I284" s="268" t="s">
        <v>727</v>
      </c>
      <c r="J284" s="268" t="s">
        <v>10330</v>
      </c>
      <c r="K284" s="268">
        <v>2</v>
      </c>
      <c r="L284" s="268"/>
      <c r="M284" s="268"/>
      <c r="N284" s="268" t="s">
        <v>452</v>
      </c>
      <c r="O284" s="268" t="s">
        <v>1119</v>
      </c>
      <c r="P284" s="268"/>
      <c r="Q284" s="268" t="s">
        <v>24</v>
      </c>
      <c r="R284" s="271"/>
      <c r="S284" s="268"/>
      <c r="T284" s="268"/>
      <c r="U284" s="268"/>
      <c r="V284" s="268"/>
      <c r="W284" s="268"/>
      <c r="X284" s="219"/>
      <c r="Y284" s="219"/>
      <c r="Z284" s="219"/>
    </row>
    <row r="285" spans="1:26" ht="15.75" customHeight="1">
      <c r="A285" s="280">
        <v>44784</v>
      </c>
      <c r="B285" s="281" t="s">
        <v>9816</v>
      </c>
      <c r="C285" s="282">
        <v>2.5</v>
      </c>
      <c r="D285" s="281" t="s">
        <v>9819</v>
      </c>
      <c r="E285" s="281" t="s">
        <v>3</v>
      </c>
      <c r="F285" s="281" t="s">
        <v>460</v>
      </c>
      <c r="G285" s="281" t="s">
        <v>9820</v>
      </c>
      <c r="H285" s="281">
        <v>3</v>
      </c>
      <c r="I285" s="281" t="s">
        <v>488</v>
      </c>
      <c r="J285" s="281" t="s">
        <v>11593</v>
      </c>
      <c r="K285" s="281">
        <v>2</v>
      </c>
      <c r="L285" s="281"/>
      <c r="M285" s="281"/>
      <c r="N285" s="281" t="s">
        <v>454</v>
      </c>
      <c r="O285" s="281" t="s">
        <v>452</v>
      </c>
      <c r="P285" s="281"/>
      <c r="Q285" s="281" t="s">
        <v>23</v>
      </c>
      <c r="R285" s="283" t="s">
        <v>9822</v>
      </c>
      <c r="S285" s="281"/>
      <c r="T285" s="281"/>
      <c r="U285" s="281"/>
      <c r="V285" s="281"/>
      <c r="W285" s="281"/>
      <c r="X285" s="258"/>
      <c r="Y285" s="258"/>
      <c r="Z285" s="258"/>
    </row>
    <row r="286" spans="1:26" ht="15.75" customHeight="1">
      <c r="A286" s="280">
        <v>44784</v>
      </c>
      <c r="B286" s="281" t="s">
        <v>2566</v>
      </c>
      <c r="C286" s="282">
        <v>2.5</v>
      </c>
      <c r="D286" s="281" t="s">
        <v>2569</v>
      </c>
      <c r="E286" s="281" t="s">
        <v>5</v>
      </c>
      <c r="F286" s="281" t="s">
        <v>447</v>
      </c>
      <c r="G286" s="281" t="s">
        <v>10417</v>
      </c>
      <c r="H286" s="281">
        <v>3</v>
      </c>
      <c r="I286" s="281" t="s">
        <v>622</v>
      </c>
      <c r="J286" s="281" t="s">
        <v>10418</v>
      </c>
      <c r="K286" s="281">
        <v>2</v>
      </c>
      <c r="L286" s="281" t="s">
        <v>451</v>
      </c>
      <c r="M286" s="291">
        <v>760000</v>
      </c>
      <c r="N286" s="281" t="s">
        <v>465</v>
      </c>
      <c r="O286" s="291" t="s">
        <v>11594</v>
      </c>
      <c r="P286" s="281"/>
      <c r="Q286" s="281" t="s">
        <v>24</v>
      </c>
      <c r="R286" s="283" t="s">
        <v>11595</v>
      </c>
      <c r="S286" s="281"/>
      <c r="T286" s="281"/>
      <c r="U286" s="281"/>
      <c r="V286" s="281"/>
      <c r="W286" s="281"/>
      <c r="X286" s="258"/>
      <c r="Y286" s="258"/>
      <c r="Z286" s="258"/>
    </row>
    <row r="287" spans="1:26" ht="15.75" customHeight="1">
      <c r="A287" s="280">
        <v>44784</v>
      </c>
      <c r="B287" s="281" t="s">
        <v>8877</v>
      </c>
      <c r="C287" s="282">
        <v>2.5</v>
      </c>
      <c r="D287" s="281" t="s">
        <v>10449</v>
      </c>
      <c r="E287" s="281" t="s">
        <v>3</v>
      </c>
      <c r="F287" s="281" t="s">
        <v>460</v>
      </c>
      <c r="G287" s="281" t="s">
        <v>8881</v>
      </c>
      <c r="H287" s="281">
        <v>3</v>
      </c>
      <c r="I287" s="281" t="s">
        <v>488</v>
      </c>
      <c r="J287" s="281" t="s">
        <v>8882</v>
      </c>
      <c r="K287" s="281">
        <v>2</v>
      </c>
      <c r="L287" s="281"/>
      <c r="M287" s="281"/>
      <c r="N287" s="281" t="s">
        <v>465</v>
      </c>
      <c r="O287" s="281" t="s">
        <v>8883</v>
      </c>
      <c r="P287" s="281"/>
      <c r="Q287" s="281" t="s">
        <v>24</v>
      </c>
      <c r="R287" s="283" t="s">
        <v>8884</v>
      </c>
      <c r="S287" s="281"/>
      <c r="T287" s="281"/>
      <c r="U287" s="281"/>
      <c r="V287" s="281"/>
      <c r="W287" s="281"/>
      <c r="X287" s="258"/>
      <c r="Y287" s="258"/>
      <c r="Z287" s="258"/>
    </row>
    <row r="288" spans="1:26" ht="15.75" customHeight="1">
      <c r="A288" s="280">
        <v>44784</v>
      </c>
      <c r="B288" s="281" t="s">
        <v>8439</v>
      </c>
      <c r="C288" s="282">
        <v>2.5</v>
      </c>
      <c r="D288" s="281" t="s">
        <v>8442</v>
      </c>
      <c r="E288" s="281" t="s">
        <v>3</v>
      </c>
      <c r="F288" s="281" t="s">
        <v>460</v>
      </c>
      <c r="G288" s="281" t="s">
        <v>8443</v>
      </c>
      <c r="H288" s="281">
        <v>2</v>
      </c>
      <c r="I288" s="281" t="s">
        <v>462</v>
      </c>
      <c r="J288" s="281" t="s">
        <v>8444</v>
      </c>
      <c r="K288" s="281">
        <v>3</v>
      </c>
      <c r="L288" s="281" t="s">
        <v>923</v>
      </c>
      <c r="M288" s="288">
        <v>5000000</v>
      </c>
      <c r="N288" s="281" t="s">
        <v>454</v>
      </c>
      <c r="O288" s="288" t="s">
        <v>8445</v>
      </c>
      <c r="P288" s="281"/>
      <c r="Q288" s="281" t="s">
        <v>24</v>
      </c>
      <c r="R288" s="283" t="s">
        <v>8446</v>
      </c>
      <c r="S288" s="281"/>
      <c r="T288" s="281"/>
      <c r="U288" s="281"/>
      <c r="V288" s="281"/>
      <c r="W288" s="281"/>
      <c r="X288" s="258"/>
      <c r="Y288" s="258"/>
      <c r="Z288" s="258"/>
    </row>
    <row r="289" spans="1:26" ht="15.75" customHeight="1">
      <c r="A289" s="267">
        <v>44784</v>
      </c>
      <c r="B289" s="272" t="s">
        <v>2523</v>
      </c>
      <c r="C289" s="269">
        <v>2.5</v>
      </c>
      <c r="D289" s="272" t="s">
        <v>10582</v>
      </c>
      <c r="E289" s="270" t="s">
        <v>5</v>
      </c>
      <c r="F289" s="272" t="s">
        <v>447</v>
      </c>
      <c r="G289" s="272" t="s">
        <v>11596</v>
      </c>
      <c r="H289" s="272">
        <v>1</v>
      </c>
      <c r="I289" s="272" t="s">
        <v>622</v>
      </c>
      <c r="J289" s="272"/>
      <c r="K289" s="272">
        <v>4</v>
      </c>
      <c r="L289" s="272" t="s">
        <v>478</v>
      </c>
      <c r="M289" s="272" t="s">
        <v>2527</v>
      </c>
      <c r="N289" s="272" t="s">
        <v>452</v>
      </c>
      <c r="O289" s="272" t="s">
        <v>1119</v>
      </c>
      <c r="P289" s="272"/>
      <c r="Q289" s="272" t="s">
        <v>24</v>
      </c>
      <c r="R289" s="274"/>
      <c r="S289" s="272"/>
      <c r="T289" s="272"/>
      <c r="U289" s="272"/>
      <c r="V289" s="272"/>
      <c r="W289" s="272"/>
      <c r="X289" s="224"/>
      <c r="Y289" s="224"/>
      <c r="Z289" s="224"/>
    </row>
    <row r="290" spans="1:26" ht="15.75" customHeight="1">
      <c r="A290" s="267">
        <v>44784</v>
      </c>
      <c r="B290" s="268" t="s">
        <v>3206</v>
      </c>
      <c r="C290" s="269">
        <v>2.5</v>
      </c>
      <c r="D290" s="268" t="s">
        <v>3209</v>
      </c>
      <c r="E290" s="270" t="s">
        <v>5</v>
      </c>
      <c r="F290" s="268" t="s">
        <v>447</v>
      </c>
      <c r="G290" s="268" t="s">
        <v>10640</v>
      </c>
      <c r="H290" s="268">
        <v>2</v>
      </c>
      <c r="I290" s="268" t="s">
        <v>449</v>
      </c>
      <c r="J290" s="268" t="s">
        <v>11597</v>
      </c>
      <c r="K290" s="268">
        <v>3</v>
      </c>
      <c r="L290" s="268" t="s">
        <v>451</v>
      </c>
      <c r="M290" s="285">
        <v>3000000</v>
      </c>
      <c r="N290" s="268" t="s">
        <v>452</v>
      </c>
      <c r="O290" s="285" t="s">
        <v>452</v>
      </c>
      <c r="P290" s="268" t="s">
        <v>3212</v>
      </c>
      <c r="Q290" s="268" t="s">
        <v>24</v>
      </c>
      <c r="R290" s="271"/>
      <c r="S290" s="268"/>
      <c r="T290" s="268"/>
      <c r="U290" s="268"/>
      <c r="V290" s="268"/>
      <c r="W290" s="268"/>
      <c r="X290" s="219"/>
      <c r="Y290" s="219"/>
      <c r="Z290" s="219"/>
    </row>
    <row r="291" spans="1:26" ht="15.75" customHeight="1">
      <c r="A291" s="276">
        <v>44784</v>
      </c>
      <c r="B291" s="277" t="s">
        <v>121</v>
      </c>
      <c r="C291" s="278">
        <v>2.5</v>
      </c>
      <c r="D291" s="277" t="s">
        <v>10776</v>
      </c>
      <c r="E291" s="277" t="s">
        <v>5</v>
      </c>
      <c r="F291" s="277" t="s">
        <v>460</v>
      </c>
      <c r="G291" s="277" t="s">
        <v>3100</v>
      </c>
      <c r="H291" s="277">
        <v>2</v>
      </c>
      <c r="I291" s="277" t="s">
        <v>941</v>
      </c>
      <c r="J291" s="277" t="s">
        <v>3101</v>
      </c>
      <c r="K291" s="277">
        <v>3</v>
      </c>
      <c r="L291" s="277" t="s">
        <v>973</v>
      </c>
      <c r="M291" s="287">
        <v>3000000</v>
      </c>
      <c r="N291" s="277" t="s">
        <v>452</v>
      </c>
      <c r="O291" s="287" t="s">
        <v>575</v>
      </c>
      <c r="P291" s="277"/>
      <c r="Q291" s="277" t="s">
        <v>19</v>
      </c>
      <c r="R291" s="279" t="s">
        <v>3102</v>
      </c>
      <c r="S291" s="277"/>
      <c r="T291" s="277"/>
      <c r="U291" s="277"/>
      <c r="V291" s="277"/>
      <c r="W291" s="277"/>
      <c r="X291" s="239"/>
      <c r="Y291" s="239"/>
      <c r="Z291" s="239"/>
    </row>
    <row r="292" spans="1:26" ht="15.75" customHeight="1">
      <c r="A292" s="267">
        <v>44784</v>
      </c>
      <c r="B292" s="268" t="s">
        <v>6417</v>
      </c>
      <c r="C292" s="269">
        <v>2.5</v>
      </c>
      <c r="D292" s="268" t="s">
        <v>10959</v>
      </c>
      <c r="E292" s="270" t="s">
        <v>4</v>
      </c>
      <c r="F292" s="268" t="s">
        <v>602</v>
      </c>
      <c r="G292" s="268" t="s">
        <v>6421</v>
      </c>
      <c r="H292" s="268">
        <v>2</v>
      </c>
      <c r="I292" s="268" t="s">
        <v>476</v>
      </c>
      <c r="J292" s="268" t="s">
        <v>11598</v>
      </c>
      <c r="K292" s="268">
        <v>3</v>
      </c>
      <c r="L292" s="268" t="s">
        <v>784</v>
      </c>
      <c r="M292" s="268">
        <v>500000</v>
      </c>
      <c r="N292" s="268" t="s">
        <v>452</v>
      </c>
      <c r="O292" s="268" t="s">
        <v>452</v>
      </c>
      <c r="P292" s="268"/>
      <c r="Q292" s="268" t="s">
        <v>24</v>
      </c>
      <c r="R292" s="271"/>
      <c r="S292" s="268"/>
      <c r="T292" s="268"/>
      <c r="U292" s="268"/>
      <c r="V292" s="268"/>
      <c r="W292" s="268"/>
      <c r="X292" s="219"/>
      <c r="Y292" s="219"/>
      <c r="Z292" s="219"/>
    </row>
    <row r="293" spans="1:26" ht="15.75" customHeight="1">
      <c r="A293" s="267">
        <v>44784</v>
      </c>
      <c r="B293" s="272" t="s">
        <v>6253</v>
      </c>
      <c r="C293" s="269">
        <v>2.5</v>
      </c>
      <c r="D293" s="272" t="s">
        <v>6256</v>
      </c>
      <c r="E293" s="270" t="s">
        <v>4</v>
      </c>
      <c r="F293" s="272" t="s">
        <v>602</v>
      </c>
      <c r="G293" s="272" t="s">
        <v>6257</v>
      </c>
      <c r="H293" s="272">
        <v>2</v>
      </c>
      <c r="I293" s="272" t="s">
        <v>476</v>
      </c>
      <c r="J293" s="272" t="s">
        <v>13400</v>
      </c>
      <c r="K293" s="272">
        <v>3</v>
      </c>
      <c r="L293" s="272"/>
      <c r="M293" s="272"/>
      <c r="N293" s="272" t="s">
        <v>452</v>
      </c>
      <c r="O293" s="299" t="s">
        <v>6259</v>
      </c>
      <c r="P293" s="272" t="s">
        <v>6260</v>
      </c>
      <c r="Q293" s="272" t="s">
        <v>24</v>
      </c>
      <c r="R293" s="274"/>
      <c r="S293" s="272"/>
      <c r="T293" s="272"/>
      <c r="U293" s="272"/>
      <c r="V293" s="272"/>
      <c r="W293" s="272"/>
      <c r="X293" s="224"/>
      <c r="Y293" s="224"/>
      <c r="Z293" s="224"/>
    </row>
    <row r="294" spans="1:26" ht="15.75" customHeight="1">
      <c r="A294" s="267">
        <v>44784</v>
      </c>
      <c r="B294" s="268" t="s">
        <v>6139</v>
      </c>
      <c r="C294" s="269">
        <v>2.5</v>
      </c>
      <c r="D294" s="268" t="s">
        <v>6142</v>
      </c>
      <c r="E294" s="270" t="s">
        <v>4</v>
      </c>
      <c r="F294" s="268" t="s">
        <v>602</v>
      </c>
      <c r="G294" s="268" t="s">
        <v>6143</v>
      </c>
      <c r="H294" s="268">
        <v>3</v>
      </c>
      <c r="I294" s="268" t="s">
        <v>1054</v>
      </c>
      <c r="J294" s="268" t="s">
        <v>6144</v>
      </c>
      <c r="K294" s="268">
        <v>2</v>
      </c>
      <c r="L294" s="268" t="s">
        <v>451</v>
      </c>
      <c r="M294" s="268">
        <v>750000</v>
      </c>
      <c r="N294" s="268" t="s">
        <v>465</v>
      </c>
      <c r="O294" s="268" t="s">
        <v>6145</v>
      </c>
      <c r="P294" s="268"/>
      <c r="Q294" s="268" t="s">
        <v>24</v>
      </c>
      <c r="R294" s="271"/>
      <c r="S294" s="268"/>
      <c r="T294" s="268"/>
      <c r="U294" s="268"/>
      <c r="V294" s="268"/>
      <c r="W294" s="268"/>
      <c r="X294" s="219"/>
      <c r="Y294" s="219"/>
      <c r="Z294" s="219"/>
    </row>
    <row r="295" spans="1:26" ht="15.75" customHeight="1">
      <c r="A295" s="267">
        <v>44784</v>
      </c>
      <c r="B295" s="272" t="s">
        <v>8323</v>
      </c>
      <c r="C295" s="269">
        <v>2.5</v>
      </c>
      <c r="D295" s="272" t="s">
        <v>8326</v>
      </c>
      <c r="E295" s="270" t="s">
        <v>3</v>
      </c>
      <c r="F295" s="272" t="s">
        <v>460</v>
      </c>
      <c r="G295" s="272" t="s">
        <v>8327</v>
      </c>
      <c r="H295" s="272">
        <v>2</v>
      </c>
      <c r="I295" s="272" t="s">
        <v>488</v>
      </c>
      <c r="J295" s="272" t="s">
        <v>8328</v>
      </c>
      <c r="K295" s="272">
        <v>3</v>
      </c>
      <c r="L295" s="272" t="s">
        <v>784</v>
      </c>
      <c r="M295" s="272" t="s">
        <v>8329</v>
      </c>
      <c r="N295" s="272" t="s">
        <v>452</v>
      </c>
      <c r="O295" s="272" t="s">
        <v>8330</v>
      </c>
      <c r="P295" s="272" t="s">
        <v>8331</v>
      </c>
      <c r="Q295" s="272" t="s">
        <v>24</v>
      </c>
      <c r="R295" s="274"/>
      <c r="S295" s="272"/>
      <c r="T295" s="272"/>
      <c r="U295" s="272"/>
      <c r="V295" s="272"/>
      <c r="W295" s="272"/>
      <c r="X295" s="224"/>
      <c r="Y295" s="224"/>
      <c r="Z295" s="224"/>
    </row>
    <row r="296" spans="1:26" ht="15.75" customHeight="1">
      <c r="A296" s="267">
        <v>44784</v>
      </c>
      <c r="B296" s="268" t="s">
        <v>6614</v>
      </c>
      <c r="C296" s="269">
        <v>2.38</v>
      </c>
      <c r="D296" s="268" t="s">
        <v>6617</v>
      </c>
      <c r="E296" s="270" t="s">
        <v>4</v>
      </c>
      <c r="F296" s="268" t="s">
        <v>725</v>
      </c>
      <c r="G296" s="268"/>
      <c r="H296" s="268">
        <v>2</v>
      </c>
      <c r="I296" s="268" t="s">
        <v>727</v>
      </c>
      <c r="J296" s="268" t="s">
        <v>10846</v>
      </c>
      <c r="K296" s="268">
        <v>2.75</v>
      </c>
      <c r="L296" s="268" t="s">
        <v>451</v>
      </c>
      <c r="M296" s="268">
        <v>800000</v>
      </c>
      <c r="N296" s="268" t="s">
        <v>452</v>
      </c>
      <c r="O296" s="300" t="s">
        <v>10847</v>
      </c>
      <c r="P296" s="268"/>
      <c r="Q296" s="268" t="s">
        <v>24</v>
      </c>
      <c r="R296" s="271"/>
      <c r="S296" s="268"/>
      <c r="T296" s="268"/>
      <c r="U296" s="268"/>
      <c r="V296" s="268"/>
      <c r="W296" s="268"/>
      <c r="X296" s="219"/>
      <c r="Y296" s="219"/>
      <c r="Z296" s="219"/>
    </row>
    <row r="297" spans="1:26" ht="15.75" customHeight="1">
      <c r="A297" s="267">
        <v>44784</v>
      </c>
      <c r="B297" s="272" t="s">
        <v>6780</v>
      </c>
      <c r="C297" s="269">
        <v>2.25</v>
      </c>
      <c r="D297" s="286" t="s">
        <v>6783</v>
      </c>
      <c r="E297" s="270" t="s">
        <v>4</v>
      </c>
      <c r="F297" s="272" t="s">
        <v>602</v>
      </c>
      <c r="G297" s="272" t="s">
        <v>6784</v>
      </c>
      <c r="H297" s="272">
        <v>2.5</v>
      </c>
      <c r="I297" s="272" t="s">
        <v>1054</v>
      </c>
      <c r="J297" s="272" t="s">
        <v>6785</v>
      </c>
      <c r="K297" s="272">
        <v>2</v>
      </c>
      <c r="L297" s="272" t="s">
        <v>451</v>
      </c>
      <c r="M297" s="273">
        <v>3000000</v>
      </c>
      <c r="N297" s="272" t="s">
        <v>452</v>
      </c>
      <c r="O297" s="273" t="s">
        <v>452</v>
      </c>
      <c r="P297" s="272"/>
      <c r="Q297" s="272" t="s">
        <v>24</v>
      </c>
      <c r="R297" s="274"/>
      <c r="S297" s="272"/>
      <c r="T297" s="272"/>
      <c r="U297" s="272"/>
      <c r="V297" s="272"/>
      <c r="W297" s="272"/>
      <c r="X297" s="224"/>
      <c r="Y297" s="224"/>
      <c r="Z297" s="224"/>
    </row>
    <row r="298" spans="1:26" ht="15.75" customHeight="1">
      <c r="A298" s="267">
        <v>44784</v>
      </c>
      <c r="B298" s="268" t="s">
        <v>6892</v>
      </c>
      <c r="C298" s="269">
        <v>2.25</v>
      </c>
      <c r="D298" s="268" t="s">
        <v>6895</v>
      </c>
      <c r="E298" s="270" t="s">
        <v>4</v>
      </c>
      <c r="F298" s="268" t="s">
        <v>602</v>
      </c>
      <c r="G298" s="268" t="s">
        <v>6896</v>
      </c>
      <c r="H298" s="268">
        <v>2</v>
      </c>
      <c r="I298" s="268" t="s">
        <v>727</v>
      </c>
      <c r="J298" s="268" t="s">
        <v>6897</v>
      </c>
      <c r="K298" s="268">
        <v>2.5</v>
      </c>
      <c r="L298" s="268" t="s">
        <v>451</v>
      </c>
      <c r="M298" s="285">
        <v>4000000</v>
      </c>
      <c r="N298" s="268" t="s">
        <v>465</v>
      </c>
      <c r="O298" s="285" t="s">
        <v>575</v>
      </c>
      <c r="P298" s="268"/>
      <c r="Q298" s="268" t="s">
        <v>24</v>
      </c>
      <c r="R298" s="271"/>
      <c r="S298" s="268"/>
      <c r="T298" s="268"/>
      <c r="U298" s="268"/>
      <c r="V298" s="268"/>
      <c r="W298" s="268"/>
      <c r="X298" s="219"/>
      <c r="Y298" s="219"/>
      <c r="Z298" s="219"/>
    </row>
    <row r="299" spans="1:26" ht="15.75" customHeight="1">
      <c r="A299" s="267">
        <v>44784</v>
      </c>
      <c r="B299" s="272" t="s">
        <v>8705</v>
      </c>
      <c r="C299" s="269">
        <v>2.25</v>
      </c>
      <c r="D299" s="272" t="s">
        <v>8708</v>
      </c>
      <c r="E299" s="270" t="s">
        <v>3</v>
      </c>
      <c r="F299" s="272" t="s">
        <v>460</v>
      </c>
      <c r="G299" s="272" t="s">
        <v>8709</v>
      </c>
      <c r="H299" s="272">
        <v>2.5</v>
      </c>
      <c r="I299" s="272" t="s">
        <v>488</v>
      </c>
      <c r="J299" s="272" t="s">
        <v>8710</v>
      </c>
      <c r="K299" s="272">
        <v>2</v>
      </c>
      <c r="L299" s="272" t="s">
        <v>451</v>
      </c>
      <c r="M299" s="284">
        <v>1800000</v>
      </c>
      <c r="N299" s="272" t="s">
        <v>452</v>
      </c>
      <c r="O299" s="284" t="s">
        <v>8711</v>
      </c>
      <c r="P299" s="272"/>
      <c r="Q299" s="272" t="s">
        <v>24</v>
      </c>
      <c r="R299" s="274"/>
      <c r="S299" s="272"/>
      <c r="T299" s="272"/>
      <c r="U299" s="272"/>
      <c r="V299" s="272"/>
      <c r="W299" s="272"/>
      <c r="X299" s="224"/>
      <c r="Y299" s="224"/>
      <c r="Z299" s="224"/>
    </row>
    <row r="300" spans="1:26" ht="15.75" customHeight="1">
      <c r="A300" s="267">
        <v>44784</v>
      </c>
      <c r="B300" s="268" t="s">
        <v>6797</v>
      </c>
      <c r="C300" s="269">
        <v>2.25</v>
      </c>
      <c r="D300" s="268" t="s">
        <v>6800</v>
      </c>
      <c r="E300" s="270" t="s">
        <v>4</v>
      </c>
      <c r="F300" s="268" t="s">
        <v>602</v>
      </c>
      <c r="G300" s="268" t="s">
        <v>6801</v>
      </c>
      <c r="H300" s="268">
        <v>2</v>
      </c>
      <c r="I300" s="268" t="s">
        <v>727</v>
      </c>
      <c r="J300" s="268" t="s">
        <v>10313</v>
      </c>
      <c r="K300" s="268">
        <v>2.5</v>
      </c>
      <c r="L300" s="268" t="s">
        <v>784</v>
      </c>
      <c r="M300" s="268">
        <v>500000</v>
      </c>
      <c r="N300" s="268" t="s">
        <v>452</v>
      </c>
      <c r="O300" s="268" t="s">
        <v>10314</v>
      </c>
      <c r="P300" s="268"/>
      <c r="Q300" s="268" t="s">
        <v>24</v>
      </c>
      <c r="R300" s="271"/>
      <c r="S300" s="268"/>
      <c r="T300" s="268"/>
      <c r="U300" s="268"/>
      <c r="V300" s="268"/>
      <c r="W300" s="268"/>
      <c r="X300" s="219"/>
      <c r="Y300" s="219"/>
      <c r="Z300" s="219"/>
    </row>
    <row r="301" spans="1:26" ht="15.75" customHeight="1">
      <c r="A301" s="267">
        <v>44784</v>
      </c>
      <c r="B301" s="272" t="s">
        <v>6639</v>
      </c>
      <c r="C301" s="269">
        <v>2.25</v>
      </c>
      <c r="D301" s="272" t="s">
        <v>6642</v>
      </c>
      <c r="E301" s="270" t="s">
        <v>4</v>
      </c>
      <c r="F301" s="272" t="s">
        <v>727</v>
      </c>
      <c r="G301" s="272" t="s">
        <v>10319</v>
      </c>
      <c r="H301" s="272">
        <v>2</v>
      </c>
      <c r="I301" s="272" t="s">
        <v>1054</v>
      </c>
      <c r="J301" s="272" t="s">
        <v>6644</v>
      </c>
      <c r="K301" s="272">
        <v>2.5</v>
      </c>
      <c r="L301" s="272" t="s">
        <v>451</v>
      </c>
      <c r="M301" s="272">
        <v>2000000</v>
      </c>
      <c r="N301" s="272" t="s">
        <v>452</v>
      </c>
      <c r="O301" s="272" t="s">
        <v>452</v>
      </c>
      <c r="P301" s="272"/>
      <c r="Q301" s="272" t="s">
        <v>24</v>
      </c>
      <c r="R301" s="274"/>
      <c r="S301" s="272"/>
      <c r="T301" s="272"/>
      <c r="U301" s="272"/>
      <c r="V301" s="272"/>
      <c r="W301" s="272"/>
      <c r="X301" s="224"/>
      <c r="Y301" s="224"/>
      <c r="Z301" s="224"/>
    </row>
    <row r="302" spans="1:26" ht="15.75" customHeight="1">
      <c r="A302" s="267">
        <v>44784</v>
      </c>
      <c r="B302" s="268" t="s">
        <v>2797</v>
      </c>
      <c r="C302" s="269">
        <v>2.25</v>
      </c>
      <c r="D302" s="268" t="s">
        <v>10593</v>
      </c>
      <c r="E302" s="270" t="s">
        <v>5</v>
      </c>
      <c r="F302" s="268" t="s">
        <v>447</v>
      </c>
      <c r="G302" s="268" t="s">
        <v>10594</v>
      </c>
      <c r="H302" s="268">
        <v>2.5</v>
      </c>
      <c r="I302" s="268" t="s">
        <v>622</v>
      </c>
      <c r="J302" s="268"/>
      <c r="K302" s="268">
        <v>2</v>
      </c>
      <c r="L302" s="268"/>
      <c r="M302" s="268"/>
      <c r="N302" s="268" t="s">
        <v>452</v>
      </c>
      <c r="O302" s="268" t="s">
        <v>2802</v>
      </c>
      <c r="P302" s="268"/>
      <c r="Q302" s="268" t="s">
        <v>24</v>
      </c>
      <c r="R302" s="271"/>
      <c r="S302" s="268"/>
      <c r="T302" s="268"/>
      <c r="U302" s="268"/>
      <c r="V302" s="268"/>
      <c r="W302" s="268"/>
      <c r="X302" s="219"/>
      <c r="Y302" s="219"/>
      <c r="Z302" s="219"/>
    </row>
    <row r="303" spans="1:26" ht="15.75" customHeight="1">
      <c r="A303" s="267">
        <v>44784</v>
      </c>
      <c r="B303" s="272" t="s">
        <v>6706</v>
      </c>
      <c r="C303" s="269">
        <v>2.25</v>
      </c>
      <c r="D303" s="272" t="s">
        <v>6709</v>
      </c>
      <c r="E303" s="270" t="s">
        <v>4</v>
      </c>
      <c r="F303" s="272" t="s">
        <v>727</v>
      </c>
      <c r="G303" s="272" t="s">
        <v>10731</v>
      </c>
      <c r="H303" s="272">
        <v>2.5</v>
      </c>
      <c r="I303" s="272" t="s">
        <v>1054</v>
      </c>
      <c r="J303" s="272" t="s">
        <v>6711</v>
      </c>
      <c r="K303" s="272">
        <v>2</v>
      </c>
      <c r="L303" s="272"/>
      <c r="M303" s="272"/>
      <c r="N303" s="272" t="s">
        <v>452</v>
      </c>
      <c r="O303" s="272" t="s">
        <v>6712</v>
      </c>
      <c r="P303" s="272"/>
      <c r="Q303" s="272" t="s">
        <v>24</v>
      </c>
      <c r="R303" s="274"/>
      <c r="S303" s="272"/>
      <c r="T303" s="272"/>
      <c r="U303" s="272"/>
      <c r="V303" s="272"/>
      <c r="W303" s="272"/>
      <c r="X303" s="224"/>
      <c r="Y303" s="224"/>
      <c r="Z303" s="224"/>
    </row>
    <row r="304" spans="1:26" ht="15.75" customHeight="1">
      <c r="A304" s="267">
        <v>44784</v>
      </c>
      <c r="B304" s="268" t="s">
        <v>6729</v>
      </c>
      <c r="C304" s="269">
        <v>2.25</v>
      </c>
      <c r="D304" s="268" t="s">
        <v>6732</v>
      </c>
      <c r="E304" s="270" t="s">
        <v>4</v>
      </c>
      <c r="F304" s="268" t="s">
        <v>727</v>
      </c>
      <c r="G304" s="268" t="s">
        <v>6733</v>
      </c>
      <c r="H304" s="268">
        <v>2</v>
      </c>
      <c r="I304" s="268" t="s">
        <v>1054</v>
      </c>
      <c r="J304" s="268" t="s">
        <v>6734</v>
      </c>
      <c r="K304" s="268">
        <v>2.5</v>
      </c>
      <c r="L304" s="268" t="s">
        <v>478</v>
      </c>
      <c r="M304" s="275">
        <v>5000000</v>
      </c>
      <c r="N304" s="268" t="s">
        <v>465</v>
      </c>
      <c r="O304" s="275" t="s">
        <v>452</v>
      </c>
      <c r="P304" s="268"/>
      <c r="Q304" s="268" t="s">
        <v>24</v>
      </c>
      <c r="R304" s="271"/>
      <c r="S304" s="268"/>
      <c r="T304" s="268"/>
      <c r="U304" s="268"/>
      <c r="V304" s="268"/>
      <c r="W304" s="268"/>
      <c r="X304" s="219"/>
      <c r="Y304" s="219"/>
      <c r="Z304" s="219"/>
    </row>
    <row r="305" spans="1:26" ht="15.75" customHeight="1">
      <c r="A305" s="267">
        <v>44784</v>
      </c>
      <c r="B305" s="272" t="s">
        <v>6834</v>
      </c>
      <c r="C305" s="269">
        <v>2.25</v>
      </c>
      <c r="D305" s="272" t="s">
        <v>11599</v>
      </c>
      <c r="E305" s="270" t="s">
        <v>4</v>
      </c>
      <c r="F305" s="272" t="s">
        <v>602</v>
      </c>
      <c r="G305" s="272" t="s">
        <v>11438</v>
      </c>
      <c r="H305" s="272">
        <v>2</v>
      </c>
      <c r="I305" s="272" t="s">
        <v>1054</v>
      </c>
      <c r="J305" s="272" t="s">
        <v>11439</v>
      </c>
      <c r="K305" s="272">
        <v>2.5</v>
      </c>
      <c r="L305" s="272"/>
      <c r="M305" s="272"/>
      <c r="N305" s="272" t="s">
        <v>454</v>
      </c>
      <c r="O305" s="272" t="s">
        <v>452</v>
      </c>
      <c r="P305" s="272"/>
      <c r="Q305" s="272" t="s">
        <v>24</v>
      </c>
      <c r="R305" s="274"/>
      <c r="S305" s="272"/>
      <c r="T305" s="272"/>
      <c r="U305" s="272"/>
      <c r="V305" s="272"/>
      <c r="W305" s="272"/>
      <c r="X305" s="224"/>
      <c r="Y305" s="224"/>
      <c r="Z305" s="224"/>
    </row>
    <row r="306" spans="1:26" ht="15.75" customHeight="1">
      <c r="A306" s="267">
        <v>44784</v>
      </c>
      <c r="B306" s="268" t="s">
        <v>6917</v>
      </c>
      <c r="C306" s="269">
        <v>2.25</v>
      </c>
      <c r="D306" s="268" t="s">
        <v>6920</v>
      </c>
      <c r="E306" s="270" t="s">
        <v>4</v>
      </c>
      <c r="F306" s="268" t="s">
        <v>727</v>
      </c>
      <c r="G306" s="268"/>
      <c r="H306" s="268">
        <v>2.5</v>
      </c>
      <c r="I306" s="268" t="s">
        <v>1054</v>
      </c>
      <c r="J306" s="268" t="s">
        <v>6921</v>
      </c>
      <c r="K306" s="268">
        <v>2</v>
      </c>
      <c r="L306" s="268" t="s">
        <v>478</v>
      </c>
      <c r="M306" s="268">
        <v>2000000</v>
      </c>
      <c r="N306" s="268" t="s">
        <v>454</v>
      </c>
      <c r="O306" s="268" t="s">
        <v>6922</v>
      </c>
      <c r="P306" s="268"/>
      <c r="Q306" s="268" t="s">
        <v>24</v>
      </c>
      <c r="R306" s="271"/>
      <c r="S306" s="268"/>
      <c r="T306" s="268"/>
      <c r="U306" s="268"/>
      <c r="V306" s="268"/>
      <c r="W306" s="268"/>
      <c r="X306" s="219"/>
      <c r="Y306" s="219"/>
      <c r="Z306" s="219"/>
    </row>
    <row r="307" spans="1:26" ht="15.75" customHeight="1">
      <c r="A307" s="267">
        <v>44784</v>
      </c>
      <c r="B307" s="272" t="s">
        <v>7203</v>
      </c>
      <c r="C307" s="269">
        <v>2</v>
      </c>
      <c r="D307" s="272" t="s">
        <v>7206</v>
      </c>
      <c r="E307" s="270" t="s">
        <v>4</v>
      </c>
      <c r="F307" s="272" t="s">
        <v>602</v>
      </c>
      <c r="G307" s="272" t="s">
        <v>7207</v>
      </c>
      <c r="H307" s="272">
        <v>2</v>
      </c>
      <c r="I307" s="272" t="s">
        <v>1054</v>
      </c>
      <c r="J307" s="272" t="s">
        <v>7208</v>
      </c>
      <c r="K307" s="272">
        <v>2</v>
      </c>
      <c r="L307" s="272"/>
      <c r="M307" s="273">
        <v>1000000</v>
      </c>
      <c r="N307" s="272" t="s">
        <v>452</v>
      </c>
      <c r="O307" s="273" t="s">
        <v>452</v>
      </c>
      <c r="P307" s="272"/>
      <c r="Q307" s="272" t="s">
        <v>24</v>
      </c>
      <c r="R307" s="274"/>
      <c r="S307" s="272"/>
      <c r="T307" s="272"/>
      <c r="U307" s="272"/>
      <c r="V307" s="272"/>
      <c r="W307" s="272"/>
      <c r="X307" s="224"/>
      <c r="Y307" s="224"/>
      <c r="Z307" s="224"/>
    </row>
    <row r="308" spans="1:26" ht="15.75" customHeight="1">
      <c r="A308" s="267">
        <v>44784</v>
      </c>
      <c r="B308" s="268" t="s">
        <v>7550</v>
      </c>
      <c r="C308" s="269">
        <v>2</v>
      </c>
      <c r="D308" s="268" t="s">
        <v>7553</v>
      </c>
      <c r="E308" s="270" t="s">
        <v>4</v>
      </c>
      <c r="F308" s="268" t="s">
        <v>602</v>
      </c>
      <c r="G308" s="268" t="s">
        <v>7554</v>
      </c>
      <c r="H308" s="268">
        <v>2</v>
      </c>
      <c r="I308" s="268" t="s">
        <v>1054</v>
      </c>
      <c r="J308" s="268" t="s">
        <v>7555</v>
      </c>
      <c r="K308" s="268">
        <v>2</v>
      </c>
      <c r="L308" s="268" t="s">
        <v>784</v>
      </c>
      <c r="M308" s="285">
        <v>500000</v>
      </c>
      <c r="N308" s="268" t="s">
        <v>452</v>
      </c>
      <c r="O308" s="285" t="s">
        <v>452</v>
      </c>
      <c r="P308" s="268"/>
      <c r="Q308" s="268" t="s">
        <v>24</v>
      </c>
      <c r="R308" s="271"/>
      <c r="S308" s="268"/>
      <c r="T308" s="268"/>
      <c r="U308" s="268"/>
      <c r="V308" s="268"/>
      <c r="W308" s="268"/>
      <c r="X308" s="219"/>
      <c r="Y308" s="219"/>
      <c r="Z308" s="219"/>
    </row>
    <row r="309" spans="1:26" ht="15.75" customHeight="1">
      <c r="A309" s="267">
        <v>44784</v>
      </c>
      <c r="B309" s="272" t="s">
        <v>7009</v>
      </c>
      <c r="C309" s="269">
        <v>2</v>
      </c>
      <c r="D309" s="272" t="s">
        <v>7012</v>
      </c>
      <c r="E309" s="270" t="s">
        <v>4</v>
      </c>
      <c r="F309" s="272" t="s">
        <v>602</v>
      </c>
      <c r="G309" s="272" t="s">
        <v>7013</v>
      </c>
      <c r="H309" s="272">
        <v>2</v>
      </c>
      <c r="I309" s="272" t="s">
        <v>1054</v>
      </c>
      <c r="J309" s="272" t="s">
        <v>7014</v>
      </c>
      <c r="K309" s="272">
        <v>2</v>
      </c>
      <c r="L309" s="272"/>
      <c r="M309" s="272"/>
      <c r="N309" s="272" t="s">
        <v>452</v>
      </c>
      <c r="O309" s="272" t="s">
        <v>7015</v>
      </c>
      <c r="P309" s="272"/>
      <c r="Q309" s="272" t="s">
        <v>24</v>
      </c>
      <c r="R309" s="274"/>
      <c r="S309" s="272"/>
      <c r="T309" s="272"/>
      <c r="U309" s="272"/>
      <c r="V309" s="272"/>
      <c r="W309" s="272"/>
      <c r="X309" s="224"/>
      <c r="Y309" s="224"/>
      <c r="Z309" s="224"/>
    </row>
    <row r="310" spans="1:26" ht="15.75" customHeight="1">
      <c r="A310" s="267">
        <v>44784</v>
      </c>
      <c r="B310" s="268" t="s">
        <v>7332</v>
      </c>
      <c r="C310" s="269">
        <v>2</v>
      </c>
      <c r="D310" s="268" t="s">
        <v>7335</v>
      </c>
      <c r="E310" s="270" t="s">
        <v>4</v>
      </c>
      <c r="F310" s="268" t="s">
        <v>602</v>
      </c>
      <c r="G310" s="268"/>
      <c r="H310" s="268">
        <v>2</v>
      </c>
      <c r="I310" s="268" t="s">
        <v>1054</v>
      </c>
      <c r="J310" s="268" t="s">
        <v>7336</v>
      </c>
      <c r="K310" s="268">
        <v>2</v>
      </c>
      <c r="L310" s="268"/>
      <c r="M310" s="268"/>
      <c r="N310" s="268" t="s">
        <v>452</v>
      </c>
      <c r="O310" s="268" t="s">
        <v>452</v>
      </c>
      <c r="P310" s="268" t="s">
        <v>447</v>
      </c>
      <c r="Q310" s="268" t="s">
        <v>24</v>
      </c>
      <c r="R310" s="271"/>
      <c r="S310" s="268"/>
      <c r="T310" s="268"/>
      <c r="U310" s="268"/>
      <c r="V310" s="268"/>
      <c r="W310" s="268"/>
      <c r="X310" s="219"/>
      <c r="Y310" s="219"/>
      <c r="Z310" s="219"/>
    </row>
    <row r="311" spans="1:26" ht="15.75" customHeight="1">
      <c r="A311" s="267">
        <v>44784</v>
      </c>
      <c r="B311" s="272" t="s">
        <v>6964</v>
      </c>
      <c r="C311" s="269">
        <v>2</v>
      </c>
      <c r="D311" s="272" t="s">
        <v>6967</v>
      </c>
      <c r="E311" s="270" t="s">
        <v>4</v>
      </c>
      <c r="F311" s="272" t="s">
        <v>725</v>
      </c>
      <c r="G311" s="272" t="s">
        <v>6968</v>
      </c>
      <c r="H311" s="272">
        <v>2</v>
      </c>
      <c r="I311" s="272" t="s">
        <v>1054</v>
      </c>
      <c r="J311" s="272" t="s">
        <v>6969</v>
      </c>
      <c r="K311" s="272">
        <v>2</v>
      </c>
      <c r="L311" s="272" t="s">
        <v>784</v>
      </c>
      <c r="M311" s="284">
        <v>500000</v>
      </c>
      <c r="N311" s="272" t="s">
        <v>452</v>
      </c>
      <c r="O311" s="284" t="s">
        <v>6970</v>
      </c>
      <c r="P311" s="272"/>
      <c r="Q311" s="272" t="s">
        <v>24</v>
      </c>
      <c r="R311" s="274"/>
      <c r="S311" s="272"/>
      <c r="T311" s="272"/>
      <c r="U311" s="272"/>
      <c r="V311" s="272"/>
      <c r="W311" s="272"/>
      <c r="X311" s="224"/>
      <c r="Y311" s="224"/>
      <c r="Z311" s="224"/>
    </row>
    <row r="312" spans="1:26" ht="15.75" customHeight="1">
      <c r="A312" s="267">
        <v>44784</v>
      </c>
      <c r="B312" s="268" t="s">
        <v>6973</v>
      </c>
      <c r="C312" s="269">
        <v>2</v>
      </c>
      <c r="D312" s="268" t="s">
        <v>6976</v>
      </c>
      <c r="E312" s="270" t="s">
        <v>4</v>
      </c>
      <c r="F312" s="268" t="s">
        <v>602</v>
      </c>
      <c r="G312" s="268" t="s">
        <v>6977</v>
      </c>
      <c r="H312" s="268">
        <v>2</v>
      </c>
      <c r="I312" s="268" t="s">
        <v>1054</v>
      </c>
      <c r="J312" s="268" t="s">
        <v>6978</v>
      </c>
      <c r="K312" s="268">
        <v>2</v>
      </c>
      <c r="L312" s="268" t="s">
        <v>451</v>
      </c>
      <c r="M312" s="268" t="s">
        <v>6979</v>
      </c>
      <c r="N312" s="268" t="s">
        <v>452</v>
      </c>
      <c r="O312" s="268" t="s">
        <v>6980</v>
      </c>
      <c r="P312" s="268"/>
      <c r="Q312" s="268" t="s">
        <v>24</v>
      </c>
      <c r="R312" s="271"/>
      <c r="S312" s="268"/>
      <c r="T312" s="268"/>
      <c r="U312" s="268"/>
      <c r="V312" s="268"/>
      <c r="W312" s="268"/>
      <c r="X312" s="219"/>
      <c r="Y312" s="219"/>
      <c r="Z312" s="219"/>
    </row>
    <row r="313" spans="1:26" ht="15.75" customHeight="1">
      <c r="A313" s="267">
        <v>44784</v>
      </c>
      <c r="B313" s="272" t="s">
        <v>2852</v>
      </c>
      <c r="C313" s="269">
        <v>2</v>
      </c>
      <c r="D313" s="272" t="s">
        <v>2855</v>
      </c>
      <c r="E313" s="270" t="s">
        <v>5</v>
      </c>
      <c r="F313" s="272" t="s">
        <v>447</v>
      </c>
      <c r="G313" s="272" t="s">
        <v>10471</v>
      </c>
      <c r="H313" s="272">
        <v>2</v>
      </c>
      <c r="I313" s="272" t="s">
        <v>622</v>
      </c>
      <c r="J313" s="272" t="s">
        <v>2857</v>
      </c>
      <c r="K313" s="272">
        <v>2</v>
      </c>
      <c r="L313" s="272"/>
      <c r="M313" s="272"/>
      <c r="N313" s="272" t="s">
        <v>452</v>
      </c>
      <c r="O313" s="272" t="s">
        <v>452</v>
      </c>
      <c r="P313" s="272" t="s">
        <v>1343</v>
      </c>
      <c r="Q313" s="272" t="s">
        <v>24</v>
      </c>
      <c r="R313" s="274"/>
      <c r="S313" s="272"/>
      <c r="T313" s="272"/>
      <c r="U313" s="272"/>
      <c r="V313" s="272"/>
      <c r="W313" s="272"/>
      <c r="X313" s="224"/>
      <c r="Y313" s="224"/>
      <c r="Z313" s="224"/>
    </row>
    <row r="314" spans="1:26" ht="15.75" customHeight="1">
      <c r="A314" s="276">
        <v>44784</v>
      </c>
      <c r="B314" s="277" t="s">
        <v>2335</v>
      </c>
      <c r="C314" s="278">
        <v>2</v>
      </c>
      <c r="D314" s="277" t="s">
        <v>2338</v>
      </c>
      <c r="E314" s="277" t="s">
        <v>5</v>
      </c>
      <c r="F314" s="277" t="s">
        <v>460</v>
      </c>
      <c r="G314" s="277" t="s">
        <v>2339</v>
      </c>
      <c r="H314" s="277">
        <v>2</v>
      </c>
      <c r="I314" s="277" t="s">
        <v>462</v>
      </c>
      <c r="J314" s="277" t="s">
        <v>2340</v>
      </c>
      <c r="K314" s="277">
        <v>2</v>
      </c>
      <c r="L314" s="277" t="s">
        <v>784</v>
      </c>
      <c r="M314" s="289">
        <v>250000</v>
      </c>
      <c r="N314" s="277" t="s">
        <v>465</v>
      </c>
      <c r="O314" s="289" t="s">
        <v>452</v>
      </c>
      <c r="P314" s="277"/>
      <c r="Q314" s="277" t="s">
        <v>24</v>
      </c>
      <c r="R314" s="279" t="s">
        <v>2341</v>
      </c>
      <c r="S314" s="277"/>
      <c r="T314" s="277"/>
      <c r="U314" s="277"/>
      <c r="V314" s="277"/>
      <c r="W314" s="277"/>
      <c r="X314" s="239"/>
      <c r="Y314" s="239"/>
      <c r="Z314" s="239"/>
    </row>
    <row r="315" spans="1:26" ht="15.75" customHeight="1">
      <c r="A315" s="267">
        <v>44784</v>
      </c>
      <c r="B315" s="272" t="s">
        <v>7291</v>
      </c>
      <c r="C315" s="269">
        <v>2</v>
      </c>
      <c r="D315" s="272" t="s">
        <v>7294</v>
      </c>
      <c r="E315" s="270" t="s">
        <v>4</v>
      </c>
      <c r="F315" s="272" t="s">
        <v>602</v>
      </c>
      <c r="G315" s="272" t="s">
        <v>7295</v>
      </c>
      <c r="H315" s="272">
        <v>2</v>
      </c>
      <c r="I315" s="272" t="s">
        <v>622</v>
      </c>
      <c r="J315" s="272" t="s">
        <v>7296</v>
      </c>
      <c r="K315" s="272">
        <v>2</v>
      </c>
      <c r="L315" s="272"/>
      <c r="M315" s="272"/>
      <c r="N315" s="272" t="s">
        <v>452</v>
      </c>
      <c r="O315" s="272" t="s">
        <v>7297</v>
      </c>
      <c r="P315" s="272"/>
      <c r="Q315" s="272" t="s">
        <v>24</v>
      </c>
      <c r="R315" s="274"/>
      <c r="S315" s="272"/>
      <c r="T315" s="272"/>
      <c r="U315" s="272"/>
      <c r="V315" s="272"/>
      <c r="W315" s="272"/>
      <c r="X315" s="224"/>
      <c r="Y315" s="224"/>
      <c r="Z315" s="224"/>
    </row>
    <row r="316" spans="1:26" ht="15.75" customHeight="1">
      <c r="A316" s="267">
        <v>44784</v>
      </c>
      <c r="B316" s="268" t="s">
        <v>6992</v>
      </c>
      <c r="C316" s="269">
        <v>2</v>
      </c>
      <c r="D316" s="268" t="s">
        <v>6995</v>
      </c>
      <c r="E316" s="270" t="s">
        <v>4</v>
      </c>
      <c r="F316" s="268" t="s">
        <v>727</v>
      </c>
      <c r="G316" s="268" t="s">
        <v>6996</v>
      </c>
      <c r="H316" s="268">
        <v>2</v>
      </c>
      <c r="I316" s="268" t="s">
        <v>1054</v>
      </c>
      <c r="J316" s="268" t="s">
        <v>6997</v>
      </c>
      <c r="K316" s="268">
        <v>2</v>
      </c>
      <c r="L316" s="268" t="s">
        <v>451</v>
      </c>
      <c r="M316" s="275">
        <v>650000</v>
      </c>
      <c r="N316" s="268" t="s">
        <v>465</v>
      </c>
      <c r="O316" s="275" t="s">
        <v>6998</v>
      </c>
      <c r="P316" s="268" t="s">
        <v>449</v>
      </c>
      <c r="Q316" s="268" t="s">
        <v>24</v>
      </c>
      <c r="R316" s="271"/>
      <c r="S316" s="268"/>
      <c r="T316" s="268"/>
      <c r="U316" s="268"/>
      <c r="V316" s="268"/>
      <c r="W316" s="268"/>
      <c r="X316" s="219"/>
      <c r="Y316" s="219"/>
      <c r="Z316" s="219"/>
    </row>
    <row r="317" spans="1:26" ht="15.75" customHeight="1">
      <c r="A317" s="267">
        <v>44784</v>
      </c>
      <c r="B317" s="272" t="s">
        <v>7187</v>
      </c>
      <c r="C317" s="269">
        <v>2</v>
      </c>
      <c r="D317" s="272" t="s">
        <v>7190</v>
      </c>
      <c r="E317" s="270" t="s">
        <v>4</v>
      </c>
      <c r="F317" s="272" t="s">
        <v>727</v>
      </c>
      <c r="G317" s="272" t="s">
        <v>7191</v>
      </c>
      <c r="H317" s="272">
        <v>2</v>
      </c>
      <c r="I317" s="272" t="s">
        <v>1054</v>
      </c>
      <c r="J317" s="272" t="s">
        <v>6997</v>
      </c>
      <c r="K317" s="272">
        <v>2</v>
      </c>
      <c r="L317" s="272"/>
      <c r="M317" s="272"/>
      <c r="N317" s="272" t="s">
        <v>452</v>
      </c>
      <c r="O317" s="272" t="s">
        <v>10727</v>
      </c>
      <c r="P317" s="272"/>
      <c r="Q317" s="272" t="s">
        <v>24</v>
      </c>
      <c r="R317" s="274"/>
      <c r="S317" s="272"/>
      <c r="T317" s="272"/>
      <c r="U317" s="272"/>
      <c r="V317" s="272"/>
      <c r="W317" s="272"/>
      <c r="X317" s="224"/>
      <c r="Y317" s="224"/>
      <c r="Z317" s="224"/>
    </row>
    <row r="318" spans="1:26" ht="15.75" customHeight="1">
      <c r="A318" s="267">
        <v>44784</v>
      </c>
      <c r="B318" s="268" t="s">
        <v>6955</v>
      </c>
      <c r="C318" s="269">
        <v>2</v>
      </c>
      <c r="D318" s="268" t="s">
        <v>6958</v>
      </c>
      <c r="E318" s="270" t="s">
        <v>4</v>
      </c>
      <c r="F318" s="268" t="s">
        <v>727</v>
      </c>
      <c r="G318" s="268" t="s">
        <v>10728</v>
      </c>
      <c r="H318" s="268">
        <v>2</v>
      </c>
      <c r="I318" s="268" t="s">
        <v>1054</v>
      </c>
      <c r="J318" s="268" t="s">
        <v>6960</v>
      </c>
      <c r="K318" s="268">
        <v>2</v>
      </c>
      <c r="L318" s="268"/>
      <c r="M318" s="268"/>
      <c r="N318" s="268" t="s">
        <v>454</v>
      </c>
      <c r="O318" s="268" t="s">
        <v>6961</v>
      </c>
      <c r="P318" s="268"/>
      <c r="Q318" s="268" t="s">
        <v>24</v>
      </c>
      <c r="R318" s="271"/>
      <c r="S318" s="268"/>
      <c r="T318" s="268"/>
      <c r="U318" s="268"/>
      <c r="V318" s="268"/>
      <c r="W318" s="268"/>
      <c r="X318" s="219"/>
      <c r="Y318" s="219"/>
      <c r="Z318" s="219"/>
    </row>
    <row r="319" spans="1:26" ht="15.75" customHeight="1">
      <c r="A319" s="267">
        <v>44784</v>
      </c>
      <c r="B319" s="272" t="s">
        <v>7170</v>
      </c>
      <c r="C319" s="269">
        <v>2</v>
      </c>
      <c r="D319" s="272" t="s">
        <v>7173</v>
      </c>
      <c r="E319" s="270" t="s">
        <v>4</v>
      </c>
      <c r="F319" s="272" t="s">
        <v>727</v>
      </c>
      <c r="G319" s="272" t="s">
        <v>7174</v>
      </c>
      <c r="H319" s="272">
        <v>2</v>
      </c>
      <c r="I319" s="272" t="s">
        <v>1054</v>
      </c>
      <c r="J319" s="272" t="s">
        <v>7175</v>
      </c>
      <c r="K319" s="272">
        <v>2</v>
      </c>
      <c r="L319" s="272" t="s">
        <v>923</v>
      </c>
      <c r="M319" s="273">
        <v>2500000</v>
      </c>
      <c r="N319" s="272" t="s">
        <v>452</v>
      </c>
      <c r="O319" s="273" t="s">
        <v>452</v>
      </c>
      <c r="P319" s="272"/>
      <c r="Q319" s="272" t="s">
        <v>24</v>
      </c>
      <c r="R319" s="274"/>
      <c r="S319" s="272"/>
      <c r="T319" s="272"/>
      <c r="U319" s="272"/>
      <c r="V319" s="272"/>
      <c r="W319" s="272"/>
      <c r="X319" s="224"/>
      <c r="Y319" s="224"/>
      <c r="Z319" s="224"/>
    </row>
    <row r="320" spans="1:26" ht="15.75" customHeight="1">
      <c r="A320" s="267">
        <v>44784</v>
      </c>
      <c r="B320" s="268" t="s">
        <v>7582</v>
      </c>
      <c r="C320" s="269">
        <v>2</v>
      </c>
      <c r="D320" s="268" t="s">
        <v>7585</v>
      </c>
      <c r="E320" s="270" t="s">
        <v>4</v>
      </c>
      <c r="F320" s="268" t="s">
        <v>727</v>
      </c>
      <c r="G320" s="268" t="s">
        <v>10734</v>
      </c>
      <c r="H320" s="268">
        <v>2</v>
      </c>
      <c r="I320" s="268" t="s">
        <v>1054</v>
      </c>
      <c r="J320" s="268" t="s">
        <v>7587</v>
      </c>
      <c r="K320" s="268">
        <v>2</v>
      </c>
      <c r="L320" s="268"/>
      <c r="M320" s="268"/>
      <c r="N320" s="268" t="s">
        <v>465</v>
      </c>
      <c r="O320" s="268" t="s">
        <v>7588</v>
      </c>
      <c r="P320" s="268"/>
      <c r="Q320" s="268" t="s">
        <v>24</v>
      </c>
      <c r="R320" s="271"/>
      <c r="S320" s="268"/>
      <c r="T320" s="268"/>
      <c r="U320" s="268"/>
      <c r="V320" s="268"/>
      <c r="W320" s="268"/>
      <c r="X320" s="219"/>
      <c r="Y320" s="219"/>
      <c r="Z320" s="219"/>
    </row>
    <row r="321" spans="1:26" ht="15.75" customHeight="1">
      <c r="A321" s="267">
        <v>44784</v>
      </c>
      <c r="B321" s="272" t="s">
        <v>7406</v>
      </c>
      <c r="C321" s="269">
        <v>2</v>
      </c>
      <c r="D321" s="272" t="s">
        <v>7409</v>
      </c>
      <c r="E321" s="270" t="s">
        <v>4</v>
      </c>
      <c r="F321" s="272" t="s">
        <v>602</v>
      </c>
      <c r="G321" s="272" t="s">
        <v>7410</v>
      </c>
      <c r="H321" s="272">
        <v>2</v>
      </c>
      <c r="I321" s="272" t="s">
        <v>1054</v>
      </c>
      <c r="J321" s="272" t="s">
        <v>7411</v>
      </c>
      <c r="K321" s="272">
        <v>2</v>
      </c>
      <c r="L321" s="272" t="s">
        <v>451</v>
      </c>
      <c r="M321" s="273">
        <v>500000</v>
      </c>
      <c r="N321" s="272" t="s">
        <v>452</v>
      </c>
      <c r="O321" s="273" t="s">
        <v>7412</v>
      </c>
      <c r="P321" s="272"/>
      <c r="Q321" s="272" t="s">
        <v>24</v>
      </c>
      <c r="R321" s="274"/>
      <c r="S321" s="272"/>
      <c r="T321" s="272"/>
      <c r="U321" s="272"/>
      <c r="V321" s="272"/>
      <c r="W321" s="272"/>
      <c r="X321" s="224"/>
      <c r="Y321" s="224"/>
      <c r="Z321" s="224"/>
    </row>
    <row r="322" spans="1:26" ht="15.75" customHeight="1">
      <c r="A322" s="267">
        <v>44784</v>
      </c>
      <c r="B322" s="268" t="s">
        <v>7284</v>
      </c>
      <c r="C322" s="269">
        <v>2</v>
      </c>
      <c r="D322" s="268" t="s">
        <v>7287</v>
      </c>
      <c r="E322" s="270" t="s">
        <v>4</v>
      </c>
      <c r="F322" s="268" t="s">
        <v>602</v>
      </c>
      <c r="G322" s="268" t="s">
        <v>7288</v>
      </c>
      <c r="H322" s="268">
        <v>2.5</v>
      </c>
      <c r="I322" s="268" t="s">
        <v>476</v>
      </c>
      <c r="J322" s="268" t="s">
        <v>11600</v>
      </c>
      <c r="K322" s="268">
        <v>1.5</v>
      </c>
      <c r="L322" s="268"/>
      <c r="M322" s="268"/>
      <c r="N322" s="268" t="s">
        <v>452</v>
      </c>
      <c r="O322" s="268" t="s">
        <v>452</v>
      </c>
      <c r="P322" s="268"/>
      <c r="Q322" s="268" t="s">
        <v>24</v>
      </c>
      <c r="R322" s="271"/>
      <c r="S322" s="268"/>
      <c r="T322" s="268"/>
      <c r="U322" s="268"/>
      <c r="V322" s="268"/>
      <c r="W322" s="268"/>
      <c r="X322" s="219"/>
      <c r="Y322" s="219"/>
      <c r="Z322" s="219"/>
    </row>
    <row r="323" spans="1:26" ht="15.75" customHeight="1">
      <c r="A323" s="267">
        <v>44784</v>
      </c>
      <c r="B323" s="272" t="s">
        <v>8680</v>
      </c>
      <c r="C323" s="269">
        <v>2</v>
      </c>
      <c r="D323" s="272" t="s">
        <v>11136</v>
      </c>
      <c r="E323" s="270" t="s">
        <v>3</v>
      </c>
      <c r="F323" s="272" t="s">
        <v>488</v>
      </c>
      <c r="G323" s="272" t="s">
        <v>11137</v>
      </c>
      <c r="H323" s="272">
        <v>2</v>
      </c>
      <c r="I323" s="272" t="s">
        <v>941</v>
      </c>
      <c r="J323" s="272"/>
      <c r="K323" s="272">
        <v>2</v>
      </c>
      <c r="L323" s="272"/>
      <c r="M323" s="272"/>
      <c r="N323" s="272" t="s">
        <v>454</v>
      </c>
      <c r="O323" s="272" t="s">
        <v>8685</v>
      </c>
      <c r="P323" s="272"/>
      <c r="Q323" s="272" t="s">
        <v>24</v>
      </c>
      <c r="R323" s="274"/>
      <c r="S323" s="272"/>
      <c r="T323" s="272"/>
      <c r="U323" s="272"/>
      <c r="V323" s="272"/>
      <c r="W323" s="272"/>
      <c r="X323" s="224"/>
      <c r="Y323" s="224"/>
      <c r="Z323" s="224"/>
    </row>
    <row r="324" spans="1:26" ht="15.75" customHeight="1">
      <c r="A324" s="267">
        <v>44784</v>
      </c>
      <c r="B324" s="268" t="s">
        <v>7060</v>
      </c>
      <c r="C324" s="269">
        <v>2</v>
      </c>
      <c r="D324" s="268" t="s">
        <v>7063</v>
      </c>
      <c r="E324" s="270" t="s">
        <v>4</v>
      </c>
      <c r="F324" s="268" t="s">
        <v>602</v>
      </c>
      <c r="G324" s="268" t="s">
        <v>7064</v>
      </c>
      <c r="H324" s="268">
        <v>2</v>
      </c>
      <c r="I324" s="268" t="s">
        <v>1054</v>
      </c>
      <c r="J324" s="268" t="s">
        <v>7065</v>
      </c>
      <c r="K324" s="268">
        <v>2</v>
      </c>
      <c r="L324" s="268" t="s">
        <v>784</v>
      </c>
      <c r="M324" s="275">
        <v>1000000</v>
      </c>
      <c r="N324" s="268" t="s">
        <v>452</v>
      </c>
      <c r="O324" s="275" t="s">
        <v>452</v>
      </c>
      <c r="P324" s="268" t="s">
        <v>7066</v>
      </c>
      <c r="Q324" s="268" t="s">
        <v>24</v>
      </c>
      <c r="R324" s="271"/>
      <c r="S324" s="268"/>
      <c r="T324" s="268"/>
      <c r="U324" s="268"/>
      <c r="V324" s="268"/>
      <c r="W324" s="268"/>
      <c r="X324" s="219"/>
      <c r="Y324" s="219"/>
      <c r="Z324" s="219"/>
    </row>
    <row r="325" spans="1:26" ht="15.75" customHeight="1">
      <c r="A325" s="267">
        <v>44784</v>
      </c>
      <c r="B325" s="272" t="s">
        <v>9079</v>
      </c>
      <c r="C325" s="269">
        <v>2</v>
      </c>
      <c r="D325" s="272" t="s">
        <v>9082</v>
      </c>
      <c r="E325" s="270" t="s">
        <v>3</v>
      </c>
      <c r="F325" s="272" t="s">
        <v>460</v>
      </c>
      <c r="G325" s="272" t="s">
        <v>9083</v>
      </c>
      <c r="H325" s="272">
        <v>2</v>
      </c>
      <c r="I325" s="272" t="s">
        <v>941</v>
      </c>
      <c r="J325" s="272" t="s">
        <v>9084</v>
      </c>
      <c r="K325" s="272">
        <v>2</v>
      </c>
      <c r="L325" s="272"/>
      <c r="M325" s="272"/>
      <c r="N325" s="272" t="s">
        <v>452</v>
      </c>
      <c r="O325" s="272" t="s">
        <v>9085</v>
      </c>
      <c r="P325" s="272"/>
      <c r="Q325" s="272" t="s">
        <v>24</v>
      </c>
      <c r="R325" s="274"/>
      <c r="S325" s="272"/>
      <c r="T325" s="272"/>
      <c r="U325" s="272"/>
      <c r="V325" s="272"/>
      <c r="W325" s="272"/>
      <c r="X325" s="224"/>
      <c r="Y325" s="224"/>
      <c r="Z325" s="224"/>
    </row>
    <row r="326" spans="1:26" ht="15.75" customHeight="1">
      <c r="A326" s="267">
        <v>44784</v>
      </c>
      <c r="B326" s="268" t="s">
        <v>7373</v>
      </c>
      <c r="C326" s="269">
        <v>2</v>
      </c>
      <c r="D326" s="268" t="s">
        <v>11483</v>
      </c>
      <c r="E326" s="270" t="s">
        <v>4</v>
      </c>
      <c r="F326" s="268" t="s">
        <v>602</v>
      </c>
      <c r="G326" s="268" t="s">
        <v>11484</v>
      </c>
      <c r="H326" s="268">
        <v>2</v>
      </c>
      <c r="I326" s="268" t="s">
        <v>1054</v>
      </c>
      <c r="J326" s="268" t="s">
        <v>7377</v>
      </c>
      <c r="K326" s="268">
        <v>2</v>
      </c>
      <c r="L326" s="268" t="s">
        <v>6371</v>
      </c>
      <c r="M326" s="285">
        <v>3500000</v>
      </c>
      <c r="N326" s="268" t="s">
        <v>454</v>
      </c>
      <c r="O326" s="285" t="s">
        <v>452</v>
      </c>
      <c r="P326" s="268"/>
      <c r="Q326" s="268" t="s">
        <v>24</v>
      </c>
      <c r="R326" s="271"/>
      <c r="S326" s="268"/>
      <c r="T326" s="268"/>
      <c r="U326" s="268"/>
      <c r="V326" s="268"/>
      <c r="W326" s="268"/>
      <c r="X326" s="219"/>
      <c r="Y326" s="219"/>
      <c r="Z326" s="219"/>
    </row>
    <row r="327" spans="1:26" ht="15.75" customHeight="1">
      <c r="A327" s="267">
        <v>44784</v>
      </c>
      <c r="B327" s="272" t="s">
        <v>8823</v>
      </c>
      <c r="C327" s="269">
        <v>2</v>
      </c>
      <c r="D327" s="272" t="s">
        <v>8826</v>
      </c>
      <c r="E327" s="270" t="s">
        <v>3</v>
      </c>
      <c r="F327" s="272" t="s">
        <v>460</v>
      </c>
      <c r="G327" s="272" t="s">
        <v>8827</v>
      </c>
      <c r="H327" s="272">
        <v>1</v>
      </c>
      <c r="I327" s="272" t="s">
        <v>941</v>
      </c>
      <c r="J327" s="272" t="s">
        <v>8828</v>
      </c>
      <c r="K327" s="272">
        <v>3</v>
      </c>
      <c r="L327" s="272" t="s">
        <v>784</v>
      </c>
      <c r="M327" s="272">
        <v>1000000</v>
      </c>
      <c r="N327" s="272" t="s">
        <v>452</v>
      </c>
      <c r="O327" s="272" t="s">
        <v>452</v>
      </c>
      <c r="P327" s="272"/>
      <c r="Q327" s="272" t="s">
        <v>24</v>
      </c>
      <c r="R327" s="274"/>
      <c r="S327" s="272"/>
      <c r="T327" s="272"/>
      <c r="U327" s="272"/>
      <c r="V327" s="272"/>
      <c r="W327" s="272"/>
      <c r="X327" s="224"/>
      <c r="Y327" s="224"/>
      <c r="Z327" s="224"/>
    </row>
    <row r="328" spans="1:26" ht="15.75" customHeight="1">
      <c r="A328" s="280">
        <v>44784</v>
      </c>
      <c r="B328" s="281" t="s">
        <v>8518</v>
      </c>
      <c r="C328" s="282">
        <v>2</v>
      </c>
      <c r="D328" s="281" t="s">
        <v>8521</v>
      </c>
      <c r="E328" s="281" t="s">
        <v>3</v>
      </c>
      <c r="F328" s="281" t="s">
        <v>488</v>
      </c>
      <c r="G328" s="281"/>
      <c r="H328" s="281">
        <v>2</v>
      </c>
      <c r="I328" s="281" t="s">
        <v>462</v>
      </c>
      <c r="J328" s="281" t="s">
        <v>8522</v>
      </c>
      <c r="K328" s="281">
        <v>2</v>
      </c>
      <c r="L328" s="281"/>
      <c r="M328" s="281"/>
      <c r="N328" s="281" t="s">
        <v>465</v>
      </c>
      <c r="O328" s="281" t="s">
        <v>452</v>
      </c>
      <c r="P328" s="281"/>
      <c r="Q328" s="281" t="s">
        <v>24</v>
      </c>
      <c r="R328" s="283" t="s">
        <v>8523</v>
      </c>
      <c r="S328" s="281"/>
      <c r="T328" s="281"/>
      <c r="U328" s="281"/>
      <c r="V328" s="281"/>
      <c r="W328" s="281"/>
      <c r="X328" s="258"/>
      <c r="Y328" s="258"/>
      <c r="Z328" s="258"/>
    </row>
    <row r="329" spans="1:26" ht="15.75" customHeight="1">
      <c r="A329" s="267">
        <v>44784</v>
      </c>
      <c r="B329" s="272" t="s">
        <v>11447</v>
      </c>
      <c r="C329" s="269">
        <v>2</v>
      </c>
      <c r="D329" s="272" t="s">
        <v>8626</v>
      </c>
      <c r="E329" s="270" t="s">
        <v>3</v>
      </c>
      <c r="F329" s="272" t="s">
        <v>460</v>
      </c>
      <c r="G329" s="272" t="s">
        <v>8627</v>
      </c>
      <c r="H329" s="272">
        <v>2</v>
      </c>
      <c r="I329" s="272" t="s">
        <v>941</v>
      </c>
      <c r="J329" s="272" t="s">
        <v>8628</v>
      </c>
      <c r="K329" s="272">
        <v>2</v>
      </c>
      <c r="L329" s="272" t="s">
        <v>8096</v>
      </c>
      <c r="M329" s="272">
        <v>3000000</v>
      </c>
      <c r="N329" s="272" t="s">
        <v>452</v>
      </c>
      <c r="O329" s="272" t="s">
        <v>3420</v>
      </c>
      <c r="P329" s="272"/>
      <c r="Q329" s="272" t="s">
        <v>24</v>
      </c>
      <c r="R329" s="274"/>
      <c r="S329" s="272"/>
      <c r="T329" s="272"/>
      <c r="U329" s="272"/>
      <c r="V329" s="272"/>
      <c r="W329" s="272"/>
      <c r="X329" s="224"/>
      <c r="Y329" s="224"/>
      <c r="Z329" s="224"/>
    </row>
    <row r="330" spans="1:26" ht="15.75" customHeight="1">
      <c r="A330" s="267">
        <v>44784</v>
      </c>
      <c r="B330" s="268" t="s">
        <v>7683</v>
      </c>
      <c r="C330" s="269">
        <v>1.75</v>
      </c>
      <c r="D330" s="268" t="s">
        <v>7686</v>
      </c>
      <c r="E330" s="270" t="s">
        <v>4</v>
      </c>
      <c r="F330" s="268" t="s">
        <v>602</v>
      </c>
      <c r="G330" s="268" t="s">
        <v>7687</v>
      </c>
      <c r="H330" s="268">
        <v>2</v>
      </c>
      <c r="I330" s="268" t="s">
        <v>476</v>
      </c>
      <c r="J330" s="268" t="s">
        <v>7688</v>
      </c>
      <c r="K330" s="268">
        <v>1.5</v>
      </c>
      <c r="L330" s="268"/>
      <c r="M330" s="268"/>
      <c r="N330" s="268" t="s">
        <v>452</v>
      </c>
      <c r="O330" s="268" t="s">
        <v>1119</v>
      </c>
      <c r="P330" s="268"/>
      <c r="Q330" s="268" t="s">
        <v>24</v>
      </c>
      <c r="R330" s="271"/>
      <c r="S330" s="268"/>
      <c r="T330" s="268"/>
      <c r="U330" s="268"/>
      <c r="V330" s="268"/>
      <c r="W330" s="268"/>
      <c r="X330" s="219"/>
      <c r="Y330" s="219"/>
      <c r="Z330" s="219"/>
    </row>
    <row r="331" spans="1:26" ht="15.75" customHeight="1">
      <c r="A331" s="267">
        <v>44784</v>
      </c>
      <c r="B331" s="272" t="s">
        <v>8672</v>
      </c>
      <c r="C331" s="269">
        <v>1.5</v>
      </c>
      <c r="D331" s="272" t="s">
        <v>8675</v>
      </c>
      <c r="E331" s="270" t="s">
        <v>3</v>
      </c>
      <c r="F331" s="272" t="s">
        <v>460</v>
      </c>
      <c r="G331" s="272" t="s">
        <v>10470</v>
      </c>
      <c r="H331" s="272">
        <v>2</v>
      </c>
      <c r="I331" s="272" t="s">
        <v>488</v>
      </c>
      <c r="J331" s="272" t="s">
        <v>8677</v>
      </c>
      <c r="K331" s="272">
        <v>1</v>
      </c>
      <c r="L331" s="272" t="s">
        <v>451</v>
      </c>
      <c r="M331" s="273">
        <v>500000</v>
      </c>
      <c r="N331" s="272" t="s">
        <v>465</v>
      </c>
      <c r="O331" s="273" t="s">
        <v>575</v>
      </c>
      <c r="P331" s="272"/>
      <c r="Q331" s="272" t="s">
        <v>24</v>
      </c>
      <c r="R331" s="274"/>
      <c r="S331" s="272"/>
      <c r="T331" s="272"/>
      <c r="U331" s="272"/>
      <c r="V331" s="272"/>
      <c r="W331" s="272"/>
      <c r="X331" s="224"/>
      <c r="Y331" s="224"/>
      <c r="Z331" s="224"/>
    </row>
    <row r="332" spans="1:26" ht="15.75" customHeight="1">
      <c r="A332" s="267">
        <v>44784</v>
      </c>
      <c r="B332" s="268" t="s">
        <v>7868</v>
      </c>
      <c r="C332" s="269">
        <v>1.5</v>
      </c>
      <c r="D332" s="268" t="s">
        <v>7871</v>
      </c>
      <c r="E332" s="270" t="s">
        <v>4</v>
      </c>
      <c r="F332" s="268" t="s">
        <v>727</v>
      </c>
      <c r="G332" s="268" t="s">
        <v>10740</v>
      </c>
      <c r="H332" s="268">
        <v>2</v>
      </c>
      <c r="I332" s="268" t="s">
        <v>476</v>
      </c>
      <c r="J332" s="268" t="s">
        <v>7873</v>
      </c>
      <c r="K332" s="268">
        <v>1</v>
      </c>
      <c r="L332" s="268"/>
      <c r="M332" s="268"/>
      <c r="N332" s="268" t="s">
        <v>454</v>
      </c>
      <c r="O332" s="268" t="s">
        <v>7874</v>
      </c>
      <c r="P332" s="268"/>
      <c r="Q332" s="268" t="s">
        <v>24</v>
      </c>
      <c r="R332" s="271"/>
      <c r="S332" s="268"/>
      <c r="T332" s="268"/>
      <c r="U332" s="268"/>
      <c r="V332" s="268"/>
      <c r="W332" s="268"/>
      <c r="X332" s="219"/>
      <c r="Y332" s="219"/>
      <c r="Z332" s="219"/>
    </row>
    <row r="333" spans="1:26" ht="15.75" customHeight="1">
      <c r="A333" s="267">
        <v>44784</v>
      </c>
      <c r="B333" s="272" t="s">
        <v>7940</v>
      </c>
      <c r="C333" s="269">
        <v>1.5</v>
      </c>
      <c r="D333" s="272" t="s">
        <v>7943</v>
      </c>
      <c r="E333" s="270" t="s">
        <v>4</v>
      </c>
      <c r="F333" s="272" t="s">
        <v>602</v>
      </c>
      <c r="G333" s="272"/>
      <c r="H333" s="272">
        <v>2</v>
      </c>
      <c r="I333" s="272" t="s">
        <v>476</v>
      </c>
      <c r="J333" s="272"/>
      <c r="K333" s="272">
        <v>1</v>
      </c>
      <c r="L333" s="272" t="s">
        <v>451</v>
      </c>
      <c r="M333" s="272">
        <v>1500000</v>
      </c>
      <c r="N333" s="272" t="s">
        <v>452</v>
      </c>
      <c r="O333" s="272" t="s">
        <v>11601</v>
      </c>
      <c r="P333" s="272"/>
      <c r="Q333" s="272" t="s">
        <v>24</v>
      </c>
      <c r="R333" s="274"/>
      <c r="S333" s="272"/>
      <c r="T333" s="272"/>
      <c r="U333" s="272"/>
      <c r="V333" s="272"/>
      <c r="W333" s="272"/>
      <c r="X333" s="224"/>
      <c r="Y333" s="224"/>
      <c r="Z333" s="224"/>
    </row>
    <row r="334" spans="1:26" ht="15.75" customHeight="1">
      <c r="A334" s="267">
        <v>44784</v>
      </c>
      <c r="B334" s="268" t="s">
        <v>7988</v>
      </c>
      <c r="C334" s="269">
        <v>1.5</v>
      </c>
      <c r="D334" s="268" t="s">
        <v>7991</v>
      </c>
      <c r="E334" s="270" t="s">
        <v>4</v>
      </c>
      <c r="F334" s="268" t="s">
        <v>727</v>
      </c>
      <c r="G334" s="268" t="s">
        <v>11129</v>
      </c>
      <c r="H334" s="268">
        <v>2</v>
      </c>
      <c r="I334" s="268" t="s">
        <v>476</v>
      </c>
      <c r="J334" s="268" t="s">
        <v>11602</v>
      </c>
      <c r="K334" s="268">
        <v>1</v>
      </c>
      <c r="L334" s="268"/>
      <c r="M334" s="268"/>
      <c r="N334" s="268" t="s">
        <v>465</v>
      </c>
      <c r="O334" s="268" t="s">
        <v>7994</v>
      </c>
      <c r="P334" s="268"/>
      <c r="Q334" s="268" t="s">
        <v>24</v>
      </c>
      <c r="R334" s="271"/>
      <c r="S334" s="268"/>
      <c r="T334" s="268"/>
      <c r="U334" s="268"/>
      <c r="V334" s="268"/>
      <c r="W334" s="268"/>
      <c r="X334" s="219"/>
      <c r="Y334" s="219"/>
      <c r="Z334" s="219"/>
    </row>
    <row r="335" spans="1:26" ht="15.75" customHeight="1">
      <c r="A335" s="267">
        <v>44784</v>
      </c>
      <c r="B335" s="272" t="s">
        <v>8041</v>
      </c>
      <c r="C335" s="269">
        <v>1.5</v>
      </c>
      <c r="D335" s="272" t="s">
        <v>8044</v>
      </c>
      <c r="E335" s="270" t="s">
        <v>4</v>
      </c>
      <c r="F335" s="272" t="s">
        <v>602</v>
      </c>
      <c r="G335" s="272" t="s">
        <v>8045</v>
      </c>
      <c r="H335" s="272">
        <v>1</v>
      </c>
      <c r="I335" s="272" t="s">
        <v>476</v>
      </c>
      <c r="J335" s="272" t="s">
        <v>11455</v>
      </c>
      <c r="K335" s="272">
        <v>2</v>
      </c>
      <c r="L335" s="272" t="s">
        <v>478</v>
      </c>
      <c r="M335" s="272">
        <v>3000</v>
      </c>
      <c r="N335" s="272" t="s">
        <v>452</v>
      </c>
      <c r="O335" s="272" t="s">
        <v>8047</v>
      </c>
      <c r="P335" s="272"/>
      <c r="Q335" s="272" t="s">
        <v>24</v>
      </c>
      <c r="R335" s="274"/>
      <c r="S335" s="272"/>
      <c r="T335" s="272"/>
      <c r="U335" s="272"/>
      <c r="V335" s="272"/>
      <c r="W335" s="272"/>
      <c r="X335" s="224"/>
      <c r="Y335" s="224"/>
      <c r="Z335" s="224"/>
    </row>
    <row r="336" spans="1:26" ht="15.75" customHeight="1">
      <c r="A336" s="267">
        <v>44784</v>
      </c>
      <c r="B336" s="268" t="s">
        <v>9258</v>
      </c>
      <c r="C336" s="269">
        <v>1.5</v>
      </c>
      <c r="D336" s="268" t="s">
        <v>11603</v>
      </c>
      <c r="E336" s="270" t="s">
        <v>3</v>
      </c>
      <c r="F336" s="268" t="s">
        <v>460</v>
      </c>
      <c r="G336" s="268" t="s">
        <v>9262</v>
      </c>
      <c r="H336" s="268">
        <v>2</v>
      </c>
      <c r="I336" s="268" t="s">
        <v>488</v>
      </c>
      <c r="J336" s="268" t="s">
        <v>11604</v>
      </c>
      <c r="K336" s="268">
        <v>1</v>
      </c>
      <c r="L336" s="268"/>
      <c r="M336" s="268"/>
      <c r="N336" s="268" t="s">
        <v>465</v>
      </c>
      <c r="O336" s="268" t="s">
        <v>452</v>
      </c>
      <c r="P336" s="268"/>
      <c r="Q336" s="268" t="s">
        <v>24</v>
      </c>
      <c r="R336" s="271"/>
      <c r="S336" s="268"/>
      <c r="T336" s="268"/>
      <c r="U336" s="268"/>
      <c r="V336" s="268"/>
      <c r="W336" s="268"/>
      <c r="X336" s="219"/>
      <c r="Y336" s="219"/>
      <c r="Z336" s="219"/>
    </row>
    <row r="337" spans="1:26" ht="15.75" customHeight="1">
      <c r="A337" s="267">
        <v>44784</v>
      </c>
      <c r="B337" s="272" t="s">
        <v>8466</v>
      </c>
      <c r="C337" s="269">
        <v>1.5</v>
      </c>
      <c r="D337" s="272" t="s">
        <v>8469</v>
      </c>
      <c r="E337" s="270" t="s">
        <v>3</v>
      </c>
      <c r="F337" s="272" t="s">
        <v>460</v>
      </c>
      <c r="G337" s="272" t="s">
        <v>8470</v>
      </c>
      <c r="H337" s="272">
        <v>1</v>
      </c>
      <c r="I337" s="272" t="s">
        <v>488</v>
      </c>
      <c r="J337" s="272"/>
      <c r="K337" s="272">
        <v>2</v>
      </c>
      <c r="L337" s="272"/>
      <c r="M337" s="272"/>
      <c r="N337" s="272" t="s">
        <v>452</v>
      </c>
      <c r="O337" s="272" t="s">
        <v>575</v>
      </c>
      <c r="P337" s="272" t="s">
        <v>8471</v>
      </c>
      <c r="Q337" s="272" t="s">
        <v>24</v>
      </c>
      <c r="R337" s="274"/>
      <c r="S337" s="272"/>
      <c r="T337" s="272"/>
      <c r="U337" s="272"/>
      <c r="V337" s="272"/>
      <c r="W337" s="272"/>
      <c r="X337" s="224"/>
      <c r="Y337" s="224"/>
      <c r="Z337" s="224"/>
    </row>
    <row r="338" spans="1:26" ht="15.75" customHeight="1">
      <c r="A338" s="267">
        <v>44784</v>
      </c>
      <c r="B338" s="268" t="s">
        <v>8082</v>
      </c>
      <c r="C338" s="269">
        <v>1.25</v>
      </c>
      <c r="D338" s="268" t="s">
        <v>8085</v>
      </c>
      <c r="E338" s="270" t="s">
        <v>4</v>
      </c>
      <c r="F338" s="268" t="s">
        <v>602</v>
      </c>
      <c r="G338" s="268" t="s">
        <v>8086</v>
      </c>
      <c r="H338" s="268">
        <v>1</v>
      </c>
      <c r="I338" s="268" t="s">
        <v>476</v>
      </c>
      <c r="J338" s="268" t="s">
        <v>11605</v>
      </c>
      <c r="K338" s="268">
        <v>1.5</v>
      </c>
      <c r="L338" s="268" t="s">
        <v>451</v>
      </c>
      <c r="M338" s="268">
        <v>2000000</v>
      </c>
      <c r="N338" s="268" t="s">
        <v>454</v>
      </c>
      <c r="O338" s="268" t="s">
        <v>8088</v>
      </c>
      <c r="P338" s="268"/>
      <c r="Q338" s="268" t="s">
        <v>24</v>
      </c>
      <c r="R338" s="271"/>
      <c r="S338" s="268"/>
      <c r="T338" s="268"/>
      <c r="U338" s="268"/>
      <c r="V338" s="268"/>
      <c r="W338" s="268"/>
      <c r="X338" s="219"/>
      <c r="Y338" s="219"/>
      <c r="Z338" s="219"/>
    </row>
    <row r="339" spans="1:26" ht="15.75" customHeight="1">
      <c r="A339" s="267">
        <v>44784</v>
      </c>
      <c r="B339" s="272" t="s">
        <v>9318</v>
      </c>
      <c r="C339" s="269">
        <v>1.25</v>
      </c>
      <c r="D339" s="272" t="s">
        <v>9321</v>
      </c>
      <c r="E339" s="270" t="s">
        <v>5</v>
      </c>
      <c r="F339" s="272" t="s">
        <v>447</v>
      </c>
      <c r="G339" s="272"/>
      <c r="H339" s="272">
        <v>1</v>
      </c>
      <c r="I339" s="272" t="s">
        <v>543</v>
      </c>
      <c r="J339" s="272" t="s">
        <v>10586</v>
      </c>
      <c r="K339" s="272">
        <v>1.5</v>
      </c>
      <c r="L339" s="272"/>
      <c r="M339" s="272"/>
      <c r="N339" s="272" t="s">
        <v>452</v>
      </c>
      <c r="O339" s="272" t="s">
        <v>974</v>
      </c>
      <c r="P339" s="272"/>
      <c r="Q339" s="272" t="s">
        <v>25</v>
      </c>
      <c r="R339" s="274" t="s">
        <v>9323</v>
      </c>
      <c r="S339" s="272"/>
      <c r="T339" s="272"/>
      <c r="U339" s="272"/>
      <c r="V339" s="272"/>
      <c r="W339" s="272"/>
      <c r="X339" s="224"/>
      <c r="Y339" s="224"/>
      <c r="Z339" s="224"/>
    </row>
    <row r="340" spans="1:26" ht="15.75" customHeight="1">
      <c r="A340" s="267">
        <v>44784</v>
      </c>
      <c r="B340" s="268" t="s">
        <v>10501</v>
      </c>
      <c r="C340" s="269">
        <v>1</v>
      </c>
      <c r="D340" s="268" t="s">
        <v>8735</v>
      </c>
      <c r="E340" s="270" t="s">
        <v>3</v>
      </c>
      <c r="F340" s="268" t="s">
        <v>460</v>
      </c>
      <c r="G340" s="290" t="s">
        <v>8736</v>
      </c>
      <c r="H340" s="268">
        <v>1</v>
      </c>
      <c r="I340" s="268" t="s">
        <v>488</v>
      </c>
      <c r="J340" s="268" t="s">
        <v>8737</v>
      </c>
      <c r="K340" s="268">
        <v>1</v>
      </c>
      <c r="L340" s="268"/>
      <c r="M340" s="268"/>
      <c r="N340" s="268" t="s">
        <v>452</v>
      </c>
      <c r="O340" s="268" t="s">
        <v>452</v>
      </c>
      <c r="P340" s="268"/>
      <c r="Q340" s="268" t="s">
        <v>24</v>
      </c>
      <c r="R340" s="271"/>
      <c r="S340" s="268"/>
      <c r="T340" s="268"/>
      <c r="U340" s="268"/>
      <c r="V340" s="268"/>
      <c r="W340" s="268"/>
      <c r="X340" s="219"/>
      <c r="Y340" s="219"/>
      <c r="Z340" s="219"/>
    </row>
    <row r="341" spans="1:26" ht="15.75" customHeight="1">
      <c r="A341" s="267">
        <v>44784</v>
      </c>
      <c r="B341" s="272" t="s">
        <v>8919</v>
      </c>
      <c r="C341" s="269">
        <v>1</v>
      </c>
      <c r="D341" s="272" t="s">
        <v>8922</v>
      </c>
      <c r="E341" s="270" t="s">
        <v>3</v>
      </c>
      <c r="F341" s="272" t="s">
        <v>488</v>
      </c>
      <c r="G341" s="272" t="s">
        <v>8923</v>
      </c>
      <c r="H341" s="272">
        <v>1</v>
      </c>
      <c r="I341" s="272" t="s">
        <v>941</v>
      </c>
      <c r="J341" s="272" t="s">
        <v>8924</v>
      </c>
      <c r="K341" s="272">
        <v>1</v>
      </c>
      <c r="L341" s="272"/>
      <c r="M341" s="272"/>
      <c r="N341" s="272" t="s">
        <v>454</v>
      </c>
      <c r="O341" s="272" t="s">
        <v>575</v>
      </c>
      <c r="P341" s="272"/>
      <c r="Q341" s="272" t="s">
        <v>24</v>
      </c>
      <c r="R341" s="274"/>
      <c r="S341" s="272"/>
      <c r="T341" s="272"/>
      <c r="U341" s="272"/>
      <c r="V341" s="272"/>
      <c r="W341" s="272"/>
      <c r="X341" s="224"/>
      <c r="Y341" s="224"/>
      <c r="Z341" s="224"/>
    </row>
    <row r="342" spans="1:26" ht="15.75" customHeight="1">
      <c r="A342" s="267">
        <v>44784</v>
      </c>
      <c r="B342" s="268" t="s">
        <v>8090</v>
      </c>
      <c r="C342" s="269">
        <v>1</v>
      </c>
      <c r="D342" s="268" t="s">
        <v>11606</v>
      </c>
      <c r="E342" s="270" t="s">
        <v>4</v>
      </c>
      <c r="F342" s="268" t="s">
        <v>602</v>
      </c>
      <c r="G342" s="268" t="s">
        <v>8094</v>
      </c>
      <c r="H342" s="268">
        <v>1</v>
      </c>
      <c r="I342" s="268" t="s">
        <v>1054</v>
      </c>
      <c r="J342" s="268" t="s">
        <v>8095</v>
      </c>
      <c r="K342" s="268">
        <v>1</v>
      </c>
      <c r="L342" s="268" t="s">
        <v>8096</v>
      </c>
      <c r="M342" s="268" t="s">
        <v>8097</v>
      </c>
      <c r="N342" s="268" t="s">
        <v>454</v>
      </c>
      <c r="O342" s="268" t="s">
        <v>452</v>
      </c>
      <c r="P342" s="268"/>
      <c r="Q342" s="268" t="s">
        <v>24</v>
      </c>
      <c r="R342" s="271"/>
      <c r="S342" s="268"/>
      <c r="T342" s="268"/>
      <c r="U342" s="268"/>
      <c r="V342" s="268"/>
      <c r="W342" s="268"/>
      <c r="X342" s="219"/>
      <c r="Y342" s="219"/>
      <c r="Z342" s="219"/>
    </row>
    <row r="343" spans="1:26" ht="15.75" customHeight="1">
      <c r="A343" s="267">
        <v>44784</v>
      </c>
      <c r="B343" s="272" t="s">
        <v>8617</v>
      </c>
      <c r="C343" s="269">
        <v>1</v>
      </c>
      <c r="D343" s="272" t="s">
        <v>8620</v>
      </c>
      <c r="E343" s="270" t="s">
        <v>3</v>
      </c>
      <c r="F343" s="272" t="s">
        <v>460</v>
      </c>
      <c r="G343" s="272" t="s">
        <v>8621</v>
      </c>
      <c r="H343" s="272">
        <v>1</v>
      </c>
      <c r="I343" s="272" t="s">
        <v>488</v>
      </c>
      <c r="J343" s="272"/>
      <c r="K343" s="272">
        <v>1</v>
      </c>
      <c r="L343" s="272" t="s">
        <v>451</v>
      </c>
      <c r="M343" s="273">
        <v>10000</v>
      </c>
      <c r="N343" s="272" t="s">
        <v>454</v>
      </c>
      <c r="O343" s="273" t="s">
        <v>1119</v>
      </c>
      <c r="P343" s="272"/>
      <c r="Q343" s="272" t="s">
        <v>24</v>
      </c>
      <c r="R343" s="274"/>
      <c r="S343" s="272"/>
      <c r="T343" s="272"/>
      <c r="U343" s="272"/>
      <c r="V343" s="272"/>
      <c r="W343" s="272"/>
      <c r="X343" s="224"/>
      <c r="Y343" s="224"/>
      <c r="Z343" s="224"/>
    </row>
    <row r="344" spans="1:26" ht="15.75" customHeight="1">
      <c r="A344" s="267">
        <v>44784</v>
      </c>
      <c r="B344" s="268" t="s">
        <v>8183</v>
      </c>
      <c r="C344" s="269">
        <v>1</v>
      </c>
      <c r="D344" s="268" t="s">
        <v>8186</v>
      </c>
      <c r="E344" s="270" t="s">
        <v>4</v>
      </c>
      <c r="F344" s="268" t="s">
        <v>602</v>
      </c>
      <c r="G344" s="268" t="s">
        <v>8187</v>
      </c>
      <c r="H344" s="268">
        <v>1</v>
      </c>
      <c r="I344" s="268" t="s">
        <v>476</v>
      </c>
      <c r="J344" s="268" t="s">
        <v>11465</v>
      </c>
      <c r="K344" s="268">
        <v>1</v>
      </c>
      <c r="L344" s="268" t="s">
        <v>451</v>
      </c>
      <c r="M344" s="268" t="s">
        <v>8189</v>
      </c>
      <c r="N344" s="268" t="s">
        <v>452</v>
      </c>
      <c r="O344" s="268" t="s">
        <v>8190</v>
      </c>
      <c r="P344" s="268"/>
      <c r="Q344" s="268" t="s">
        <v>24</v>
      </c>
      <c r="R344" s="271"/>
      <c r="S344" s="268"/>
      <c r="T344" s="268"/>
      <c r="U344" s="268"/>
      <c r="V344" s="268"/>
      <c r="W344" s="268"/>
      <c r="X344" s="219"/>
      <c r="Y344" s="219"/>
      <c r="Z344" s="219"/>
    </row>
    <row r="345" spans="1:26" ht="15.75" customHeight="1">
      <c r="A345" s="267">
        <v>44784</v>
      </c>
      <c r="B345" s="272" t="s">
        <v>8254</v>
      </c>
      <c r="C345" s="269">
        <v>1</v>
      </c>
      <c r="D345" s="272" t="s">
        <v>8257</v>
      </c>
      <c r="E345" s="270" t="s">
        <v>4</v>
      </c>
      <c r="F345" s="272" t="s">
        <v>602</v>
      </c>
      <c r="G345" s="272" t="s">
        <v>8258</v>
      </c>
      <c r="H345" s="272">
        <v>1</v>
      </c>
      <c r="I345" s="272" t="s">
        <v>1054</v>
      </c>
      <c r="J345" s="272" t="s">
        <v>8259</v>
      </c>
      <c r="K345" s="272">
        <v>1</v>
      </c>
      <c r="L345" s="272"/>
      <c r="M345" s="272"/>
      <c r="N345" s="272" t="s">
        <v>452</v>
      </c>
      <c r="O345" s="272" t="s">
        <v>8260</v>
      </c>
      <c r="P345" s="272"/>
      <c r="Q345" s="272" t="s">
        <v>24</v>
      </c>
      <c r="R345" s="274"/>
      <c r="S345" s="272"/>
      <c r="T345" s="272"/>
      <c r="U345" s="272"/>
      <c r="V345" s="272"/>
      <c r="W345" s="272"/>
      <c r="X345" s="224"/>
      <c r="Y345" s="224"/>
      <c r="Z345" s="224"/>
    </row>
    <row r="346" spans="1:26" ht="15.75" customHeight="1">
      <c r="A346" s="267">
        <v>44784</v>
      </c>
      <c r="B346" s="268" t="s">
        <v>8598</v>
      </c>
      <c r="C346" s="269">
        <v>0.5</v>
      </c>
      <c r="D346" s="268" t="s">
        <v>8601</v>
      </c>
      <c r="E346" s="270" t="s">
        <v>3</v>
      </c>
      <c r="F346" s="268" t="s">
        <v>460</v>
      </c>
      <c r="G346" s="268" t="s">
        <v>8602</v>
      </c>
      <c r="H346" s="268">
        <v>0</v>
      </c>
      <c r="I346" s="268" t="s">
        <v>462</v>
      </c>
      <c r="J346" s="268" t="s">
        <v>8603</v>
      </c>
      <c r="K346" s="268">
        <v>1</v>
      </c>
      <c r="L346" s="268"/>
      <c r="M346" s="268"/>
      <c r="N346" s="268" t="s">
        <v>452</v>
      </c>
      <c r="O346" s="268" t="s">
        <v>452</v>
      </c>
      <c r="P346" s="268" t="s">
        <v>8604</v>
      </c>
      <c r="Q346" s="268" t="s">
        <v>24</v>
      </c>
      <c r="R346" s="271"/>
      <c r="S346" s="268"/>
      <c r="T346" s="268"/>
      <c r="U346" s="268"/>
      <c r="V346" s="268"/>
      <c r="W346" s="268"/>
      <c r="X346" s="219"/>
      <c r="Y346" s="219"/>
      <c r="Z346" s="219"/>
    </row>
    <row r="347" spans="1:26" ht="15.75" customHeight="1">
      <c r="A347" s="267">
        <v>44784</v>
      </c>
      <c r="B347" s="272" t="s">
        <v>8950</v>
      </c>
      <c r="C347" s="269">
        <v>0</v>
      </c>
      <c r="D347" s="272" t="s">
        <v>8953</v>
      </c>
      <c r="E347" s="270" t="s">
        <v>3</v>
      </c>
      <c r="F347" s="272" t="s">
        <v>460</v>
      </c>
      <c r="G347" s="272" t="s">
        <v>8954</v>
      </c>
      <c r="H347" s="272">
        <v>0</v>
      </c>
      <c r="I347" s="272" t="s">
        <v>447</v>
      </c>
      <c r="J347" s="272"/>
      <c r="K347" s="272">
        <v>0</v>
      </c>
      <c r="L347" s="272" t="s">
        <v>451</v>
      </c>
      <c r="M347" s="272" t="s">
        <v>8955</v>
      </c>
      <c r="N347" s="272" t="s">
        <v>452</v>
      </c>
      <c r="O347" s="272" t="s">
        <v>575</v>
      </c>
      <c r="P347" s="272"/>
      <c r="Q347" s="272" t="s">
        <v>24</v>
      </c>
      <c r="R347" s="274"/>
      <c r="S347" s="272"/>
      <c r="T347" s="272"/>
      <c r="U347" s="272"/>
      <c r="V347" s="272"/>
      <c r="W347" s="272"/>
      <c r="X347" s="224"/>
      <c r="Y347" s="224"/>
      <c r="Z347" s="224"/>
    </row>
    <row r="348" spans="1:26" ht="15.75" customHeight="1">
      <c r="A348" s="301">
        <v>44789</v>
      </c>
      <c r="B348" s="302" t="s">
        <v>11607</v>
      </c>
      <c r="C348" s="269">
        <v>2.75</v>
      </c>
      <c r="D348" s="303" t="s">
        <v>11098</v>
      </c>
      <c r="E348" s="270" t="s">
        <v>3</v>
      </c>
      <c r="F348" s="303" t="s">
        <v>488</v>
      </c>
      <c r="G348" s="303"/>
      <c r="H348" s="303"/>
      <c r="I348" s="303" t="s">
        <v>941</v>
      </c>
      <c r="J348" s="303" t="s">
        <v>8728</v>
      </c>
      <c r="K348" s="303">
        <v>3</v>
      </c>
      <c r="L348" s="303" t="s">
        <v>451</v>
      </c>
      <c r="M348" s="304">
        <v>450000</v>
      </c>
      <c r="N348" s="303" t="s">
        <v>465</v>
      </c>
      <c r="O348" s="304" t="s">
        <v>8729</v>
      </c>
      <c r="P348" s="303"/>
      <c r="Q348" s="303" t="s">
        <v>24</v>
      </c>
      <c r="R348" s="305"/>
      <c r="S348" s="303"/>
      <c r="T348" s="303"/>
      <c r="U348" s="303"/>
      <c r="V348" s="303"/>
      <c r="W348" s="303"/>
      <c r="X348" s="306"/>
      <c r="Y348" s="306"/>
      <c r="Z348" s="306"/>
    </row>
    <row r="349" spans="1:26" ht="15.75" customHeight="1">
      <c r="A349" s="253">
        <v>44789</v>
      </c>
      <c r="B349" s="224" t="s">
        <v>331</v>
      </c>
      <c r="C349" s="249">
        <v>5</v>
      </c>
      <c r="D349" s="224" t="s">
        <v>1849</v>
      </c>
      <c r="E349" s="250" t="s">
        <v>3</v>
      </c>
      <c r="F349" s="224" t="s">
        <v>460</v>
      </c>
      <c r="G349" s="224" t="s">
        <v>10216</v>
      </c>
      <c r="H349" s="224">
        <v>5</v>
      </c>
      <c r="I349" s="224" t="s">
        <v>462</v>
      </c>
      <c r="J349" s="224" t="s">
        <v>1851</v>
      </c>
      <c r="K349" s="224">
        <v>5</v>
      </c>
      <c r="L349" s="224" t="s">
        <v>478</v>
      </c>
      <c r="M349" s="307" t="s">
        <v>1852</v>
      </c>
      <c r="N349" s="224" t="s">
        <v>454</v>
      </c>
      <c r="O349" s="224" t="s">
        <v>1853</v>
      </c>
      <c r="P349" s="224" t="s">
        <v>460</v>
      </c>
      <c r="Q349" s="224" t="s">
        <v>18</v>
      </c>
      <c r="R349" s="254"/>
      <c r="S349" s="252"/>
      <c r="T349" s="252"/>
      <c r="U349" s="252"/>
      <c r="V349" s="224"/>
      <c r="W349" s="224"/>
      <c r="X349" s="224"/>
      <c r="Y349" s="224"/>
      <c r="Z349" s="224"/>
    </row>
    <row r="350" spans="1:26" ht="15.75" customHeight="1">
      <c r="A350" s="255">
        <v>44789</v>
      </c>
      <c r="B350" s="239" t="s">
        <v>256</v>
      </c>
      <c r="C350" s="262">
        <v>5</v>
      </c>
      <c r="D350" s="239" t="s">
        <v>1471</v>
      </c>
      <c r="E350" s="239" t="s">
        <v>4</v>
      </c>
      <c r="F350" s="239" t="s">
        <v>447</v>
      </c>
      <c r="G350" s="239" t="s">
        <v>10820</v>
      </c>
      <c r="H350" s="239">
        <v>5</v>
      </c>
      <c r="I350" s="239" t="s">
        <v>449</v>
      </c>
      <c r="J350" s="239" t="s">
        <v>13400</v>
      </c>
      <c r="K350" s="239">
        <v>5</v>
      </c>
      <c r="L350" s="239" t="s">
        <v>478</v>
      </c>
      <c r="M350" s="239" t="s">
        <v>1474</v>
      </c>
      <c r="N350" s="239" t="s">
        <v>452</v>
      </c>
      <c r="O350" s="239" t="s">
        <v>1475</v>
      </c>
      <c r="P350" s="239" t="s">
        <v>1476</v>
      </c>
      <c r="Q350" s="239" t="s">
        <v>18</v>
      </c>
      <c r="R350" s="256" t="s">
        <v>11608</v>
      </c>
      <c r="S350" s="239"/>
      <c r="T350" s="239"/>
      <c r="U350" s="239"/>
      <c r="V350" s="239"/>
      <c r="W350" s="239"/>
      <c r="X350" s="239"/>
      <c r="Y350" s="239"/>
      <c r="Z350" s="239"/>
    </row>
    <row r="351" spans="1:26" ht="15.75" customHeight="1">
      <c r="A351" s="255">
        <v>44789</v>
      </c>
      <c r="B351" s="239" t="s">
        <v>64</v>
      </c>
      <c r="C351" s="262">
        <v>5</v>
      </c>
      <c r="D351" s="239" t="s">
        <v>459</v>
      </c>
      <c r="E351" s="239" t="s">
        <v>5</v>
      </c>
      <c r="F351" s="239" t="s">
        <v>460</v>
      </c>
      <c r="G351" s="239" t="s">
        <v>11609</v>
      </c>
      <c r="H351" s="239">
        <v>5</v>
      </c>
      <c r="I351" s="239" t="s">
        <v>462</v>
      </c>
      <c r="J351" s="239" t="s">
        <v>463</v>
      </c>
      <c r="K351" s="239">
        <v>5</v>
      </c>
      <c r="L351" s="239" t="s">
        <v>451</v>
      </c>
      <c r="M351" s="308" t="s">
        <v>464</v>
      </c>
      <c r="N351" s="239" t="s">
        <v>465</v>
      </c>
      <c r="O351" s="239" t="s">
        <v>466</v>
      </c>
      <c r="P351" s="239" t="s">
        <v>467</v>
      </c>
      <c r="Q351" s="239" t="s">
        <v>18</v>
      </c>
      <c r="R351" s="256" t="s">
        <v>11610</v>
      </c>
      <c r="S351" s="239"/>
      <c r="T351" s="239"/>
      <c r="U351" s="239"/>
      <c r="V351" s="239"/>
      <c r="W351" s="239"/>
      <c r="X351" s="239"/>
      <c r="Y351" s="239"/>
      <c r="Z351" s="239"/>
    </row>
    <row r="352" spans="1:26" ht="15.75" customHeight="1">
      <c r="A352" s="248">
        <v>44789</v>
      </c>
      <c r="B352" s="219" t="s">
        <v>338</v>
      </c>
      <c r="C352" s="249">
        <v>5</v>
      </c>
      <c r="D352" s="219" t="s">
        <v>1917</v>
      </c>
      <c r="E352" s="250" t="s">
        <v>3</v>
      </c>
      <c r="F352" s="219" t="s">
        <v>460</v>
      </c>
      <c r="G352" s="219" t="s">
        <v>1918</v>
      </c>
      <c r="H352" s="219">
        <v>5</v>
      </c>
      <c r="I352" s="219" t="s">
        <v>941</v>
      </c>
      <c r="J352" s="219" t="s">
        <v>1919</v>
      </c>
      <c r="K352" s="219">
        <v>5</v>
      </c>
      <c r="L352" s="219" t="s">
        <v>1920</v>
      </c>
      <c r="M352" s="219" t="s">
        <v>1921</v>
      </c>
      <c r="N352" s="219" t="s">
        <v>452</v>
      </c>
      <c r="O352" s="219" t="s">
        <v>10980</v>
      </c>
      <c r="P352" s="219" t="s">
        <v>1924</v>
      </c>
      <c r="Q352" s="219" t="s">
        <v>18</v>
      </c>
      <c r="R352" s="251"/>
      <c r="S352" s="252"/>
      <c r="T352" s="252"/>
      <c r="U352" s="252"/>
      <c r="V352" s="219"/>
      <c r="W352" s="219"/>
      <c r="X352" s="219"/>
      <c r="Y352" s="219"/>
      <c r="Z352" s="219"/>
    </row>
    <row r="353" spans="1:26" ht="15.75" customHeight="1">
      <c r="A353" s="257">
        <v>44789</v>
      </c>
      <c r="B353" s="258" t="s">
        <v>165</v>
      </c>
      <c r="C353" s="263">
        <v>4.75</v>
      </c>
      <c r="D353" s="258" t="s">
        <v>3642</v>
      </c>
      <c r="E353" s="258" t="s">
        <v>4</v>
      </c>
      <c r="F353" s="258" t="s">
        <v>727</v>
      </c>
      <c r="G353" s="258" t="s">
        <v>10249</v>
      </c>
      <c r="H353" s="258">
        <v>4.5</v>
      </c>
      <c r="I353" s="258" t="s">
        <v>1045</v>
      </c>
      <c r="J353" s="258" t="s">
        <v>3644</v>
      </c>
      <c r="K353" s="258">
        <v>5</v>
      </c>
      <c r="L353" s="258" t="s">
        <v>451</v>
      </c>
      <c r="M353" s="309">
        <v>4000000</v>
      </c>
      <c r="N353" s="258" t="s">
        <v>452</v>
      </c>
      <c r="O353" s="258" t="s">
        <v>452</v>
      </c>
      <c r="P353" s="258"/>
      <c r="Q353" s="258" t="s">
        <v>18</v>
      </c>
      <c r="R353" s="259" t="s">
        <v>11611</v>
      </c>
      <c r="S353" s="258"/>
      <c r="T353" s="258"/>
      <c r="U353" s="258"/>
      <c r="V353" s="258"/>
      <c r="W353" s="258"/>
      <c r="X353" s="258"/>
      <c r="Y353" s="258"/>
      <c r="Z353" s="258"/>
    </row>
    <row r="354" spans="1:26" ht="15.75" customHeight="1">
      <c r="A354" s="248">
        <v>44789</v>
      </c>
      <c r="B354" s="219" t="s">
        <v>277</v>
      </c>
      <c r="C354" s="249">
        <v>4.75</v>
      </c>
      <c r="D354" s="219" t="s">
        <v>10859</v>
      </c>
      <c r="E354" s="250" t="s">
        <v>3</v>
      </c>
      <c r="F354" s="219" t="s">
        <v>460</v>
      </c>
      <c r="G354" s="219" t="s">
        <v>10860</v>
      </c>
      <c r="H354" s="219">
        <v>4.5</v>
      </c>
      <c r="I354" s="219" t="s">
        <v>462</v>
      </c>
      <c r="J354" s="219" t="s">
        <v>1603</v>
      </c>
      <c r="K354" s="219">
        <v>5</v>
      </c>
      <c r="L354" s="219"/>
      <c r="M354" s="219"/>
      <c r="N354" s="219" t="s">
        <v>452</v>
      </c>
      <c r="O354" s="219" t="s">
        <v>1604</v>
      </c>
      <c r="P354" s="219"/>
      <c r="Q354" s="219" t="s">
        <v>18</v>
      </c>
      <c r="R354" s="251"/>
      <c r="S354" s="252"/>
      <c r="T354" s="252"/>
      <c r="U354" s="252"/>
      <c r="V354" s="219"/>
      <c r="W354" s="219"/>
      <c r="X354" s="219"/>
      <c r="Y354" s="219"/>
      <c r="Z354" s="219"/>
    </row>
    <row r="355" spans="1:26" ht="15.75" customHeight="1">
      <c r="A355" s="257">
        <v>44789</v>
      </c>
      <c r="B355" s="258" t="s">
        <v>309</v>
      </c>
      <c r="C355" s="263">
        <v>4.75</v>
      </c>
      <c r="D355" s="258" t="s">
        <v>1593</v>
      </c>
      <c r="E355" s="258" t="s">
        <v>4</v>
      </c>
      <c r="F355" s="258" t="s">
        <v>727</v>
      </c>
      <c r="G355" s="258" t="s">
        <v>11460</v>
      </c>
      <c r="H355" s="258">
        <v>5</v>
      </c>
      <c r="I355" s="258" t="s">
        <v>1045</v>
      </c>
      <c r="J355" s="258" t="s">
        <v>1595</v>
      </c>
      <c r="K355" s="258">
        <v>4.5</v>
      </c>
      <c r="L355" s="258" t="s">
        <v>451</v>
      </c>
      <c r="M355" s="258">
        <v>1500000</v>
      </c>
      <c r="N355" s="258" t="s">
        <v>452</v>
      </c>
      <c r="O355" s="258" t="s">
        <v>1119</v>
      </c>
      <c r="P355" s="258"/>
      <c r="Q355" s="258" t="s">
        <v>18</v>
      </c>
      <c r="R355" s="259" t="s">
        <v>1596</v>
      </c>
      <c r="S355" s="258"/>
      <c r="T355" s="258"/>
      <c r="U355" s="258"/>
      <c r="V355" s="258"/>
      <c r="W355" s="258"/>
      <c r="X355" s="258"/>
      <c r="Y355" s="258"/>
      <c r="Z355" s="258"/>
    </row>
    <row r="356" spans="1:26" ht="15.75" customHeight="1">
      <c r="A356" s="257">
        <v>44789</v>
      </c>
      <c r="B356" s="258" t="s">
        <v>321</v>
      </c>
      <c r="C356" s="263">
        <v>4.63</v>
      </c>
      <c r="D356" s="258" t="s">
        <v>1776</v>
      </c>
      <c r="E356" s="258" t="s">
        <v>3</v>
      </c>
      <c r="F356" s="258" t="s">
        <v>488</v>
      </c>
      <c r="G356" s="258"/>
      <c r="H356" s="258">
        <v>4.5</v>
      </c>
      <c r="I356" s="258" t="s">
        <v>941</v>
      </c>
      <c r="J356" s="258"/>
      <c r="K356" s="258">
        <v>4.75</v>
      </c>
      <c r="L356" s="258" t="s">
        <v>451</v>
      </c>
      <c r="M356" s="309">
        <v>10000000</v>
      </c>
      <c r="N356" s="258" t="s">
        <v>452</v>
      </c>
      <c r="O356" s="258" t="s">
        <v>575</v>
      </c>
      <c r="P356" s="258" t="s">
        <v>1777</v>
      </c>
      <c r="Q356" s="258" t="s">
        <v>18</v>
      </c>
      <c r="R356" s="259" t="s">
        <v>1778</v>
      </c>
      <c r="S356" s="258"/>
      <c r="T356" s="258"/>
      <c r="U356" s="258"/>
      <c r="V356" s="258"/>
      <c r="W356" s="258"/>
      <c r="X356" s="258"/>
      <c r="Y356" s="258"/>
      <c r="Z356" s="258"/>
    </row>
    <row r="357" spans="1:26" ht="15.75" customHeight="1">
      <c r="A357" s="257">
        <v>44789</v>
      </c>
      <c r="B357" s="258" t="s">
        <v>329</v>
      </c>
      <c r="C357" s="263">
        <v>4.5</v>
      </c>
      <c r="D357" s="258" t="s">
        <v>1840</v>
      </c>
      <c r="E357" s="258" t="s">
        <v>3</v>
      </c>
      <c r="F357" s="258" t="s">
        <v>488</v>
      </c>
      <c r="G357" s="258" t="s">
        <v>10624</v>
      </c>
      <c r="H357" s="258">
        <v>4.5</v>
      </c>
      <c r="I357" s="258" t="s">
        <v>941</v>
      </c>
      <c r="J357" s="258" t="s">
        <v>1842</v>
      </c>
      <c r="K357" s="258">
        <v>4.5</v>
      </c>
      <c r="L357" s="258"/>
      <c r="M357" s="258"/>
      <c r="N357" s="258" t="s">
        <v>465</v>
      </c>
      <c r="O357" s="258" t="s">
        <v>1843</v>
      </c>
      <c r="P357" s="258"/>
      <c r="Q357" s="258" t="s">
        <v>18</v>
      </c>
      <c r="R357" s="259" t="s">
        <v>11612</v>
      </c>
      <c r="S357" s="258"/>
      <c r="T357" s="258"/>
      <c r="U357" s="258"/>
      <c r="V357" s="258"/>
      <c r="W357" s="258"/>
      <c r="X357" s="258"/>
      <c r="Y357" s="258"/>
      <c r="Z357" s="258"/>
    </row>
    <row r="358" spans="1:26" ht="15.75" customHeight="1">
      <c r="A358" s="257">
        <v>44789</v>
      </c>
      <c r="B358" s="258" t="s">
        <v>115</v>
      </c>
      <c r="C358" s="263">
        <v>4.5</v>
      </c>
      <c r="D358" s="258" t="s">
        <v>829</v>
      </c>
      <c r="E358" s="258" t="s">
        <v>5</v>
      </c>
      <c r="F358" s="258" t="s">
        <v>447</v>
      </c>
      <c r="G358" s="258" t="s">
        <v>10769</v>
      </c>
      <c r="H358" s="258">
        <v>4</v>
      </c>
      <c r="I358" s="258" t="s">
        <v>449</v>
      </c>
      <c r="J358" s="258" t="e">
        <f>+Credible and passionate Team
+Compiling vision and roadmap
+Novel and propriety Tech
+MVP and trials with hospital
+Large potential market</f>
        <v>#NAME?</v>
      </c>
      <c r="K358" s="258">
        <v>5</v>
      </c>
      <c r="L358" s="258" t="s">
        <v>451</v>
      </c>
      <c r="M358" s="258">
        <v>2000000</v>
      </c>
      <c r="N358" s="258" t="s">
        <v>452</v>
      </c>
      <c r="O358" s="258" t="s">
        <v>832</v>
      </c>
      <c r="P358" s="258"/>
      <c r="Q358" s="258" t="s">
        <v>18</v>
      </c>
      <c r="R358" s="259" t="s">
        <v>11613</v>
      </c>
      <c r="S358" s="258"/>
      <c r="T358" s="258"/>
      <c r="U358" s="258"/>
      <c r="V358" s="258"/>
      <c r="W358" s="258"/>
      <c r="X358" s="258"/>
      <c r="Y358" s="258"/>
      <c r="Z358" s="258"/>
    </row>
    <row r="359" spans="1:26" ht="15.75" customHeight="1">
      <c r="A359" s="253">
        <v>44789</v>
      </c>
      <c r="B359" s="224" t="s">
        <v>193</v>
      </c>
      <c r="C359" s="249">
        <v>4.5</v>
      </c>
      <c r="D359" s="224" t="s">
        <v>1202</v>
      </c>
      <c r="E359" s="250" t="s">
        <v>4</v>
      </c>
      <c r="F359" s="224" t="s">
        <v>602</v>
      </c>
      <c r="G359" s="224" t="s">
        <v>1203</v>
      </c>
      <c r="H359" s="224">
        <v>4.5</v>
      </c>
      <c r="I359" s="224" t="s">
        <v>1054</v>
      </c>
      <c r="J359" s="224" t="s">
        <v>1204</v>
      </c>
      <c r="K359" s="224">
        <v>4.5</v>
      </c>
      <c r="L359" s="224"/>
      <c r="M359" s="224"/>
      <c r="N359" s="224" t="s">
        <v>452</v>
      </c>
      <c r="O359" s="224" t="s">
        <v>1205</v>
      </c>
      <c r="P359" s="224"/>
      <c r="Q359" s="224" t="s">
        <v>18</v>
      </c>
      <c r="R359" s="254"/>
      <c r="S359" s="252"/>
      <c r="T359" s="252"/>
      <c r="U359" s="252"/>
      <c r="V359" s="224"/>
      <c r="W359" s="224"/>
      <c r="X359" s="224"/>
      <c r="Y359" s="224"/>
      <c r="Z359" s="224"/>
    </row>
    <row r="360" spans="1:26" ht="15.75" customHeight="1">
      <c r="A360" s="248">
        <v>44789</v>
      </c>
      <c r="B360" s="219" t="s">
        <v>286</v>
      </c>
      <c r="C360" s="249">
        <v>4.5</v>
      </c>
      <c r="D360" s="219" t="s">
        <v>1632</v>
      </c>
      <c r="E360" s="250" t="s">
        <v>3</v>
      </c>
      <c r="F360" s="219" t="s">
        <v>460</v>
      </c>
      <c r="G360" s="219" t="s">
        <v>1633</v>
      </c>
      <c r="H360" s="219">
        <v>4.5</v>
      </c>
      <c r="I360" s="219" t="s">
        <v>462</v>
      </c>
      <c r="J360" s="219" t="s">
        <v>1634</v>
      </c>
      <c r="K360" s="219">
        <v>4.5</v>
      </c>
      <c r="L360" s="219" t="s">
        <v>478</v>
      </c>
      <c r="M360" s="310">
        <v>6000000</v>
      </c>
      <c r="N360" s="219" t="s">
        <v>452</v>
      </c>
      <c r="O360" s="219" t="s">
        <v>11081</v>
      </c>
      <c r="P360" s="219"/>
      <c r="Q360" s="219" t="s">
        <v>18</v>
      </c>
      <c r="R360" s="251"/>
      <c r="S360" s="252"/>
      <c r="T360" s="252"/>
      <c r="U360" s="252"/>
      <c r="V360" s="219"/>
      <c r="W360" s="219"/>
      <c r="X360" s="219"/>
      <c r="Y360" s="219"/>
      <c r="Z360" s="219"/>
    </row>
    <row r="361" spans="1:26" ht="15.75" customHeight="1">
      <c r="A361" s="253">
        <v>44789</v>
      </c>
      <c r="B361" s="224" t="s">
        <v>310</v>
      </c>
      <c r="C361" s="249">
        <v>4.5</v>
      </c>
      <c r="D361" s="224" t="s">
        <v>1701</v>
      </c>
      <c r="E361" s="250" t="s">
        <v>3</v>
      </c>
      <c r="F361" s="224" t="s">
        <v>460</v>
      </c>
      <c r="G361" s="224" t="s">
        <v>1702</v>
      </c>
      <c r="H361" s="224">
        <v>4.5</v>
      </c>
      <c r="I361" s="224" t="s">
        <v>462</v>
      </c>
      <c r="J361" s="224" t="s">
        <v>1703</v>
      </c>
      <c r="K361" s="224">
        <v>4.5</v>
      </c>
      <c r="L361" s="224" t="s">
        <v>451</v>
      </c>
      <c r="M361" s="311">
        <v>4000000</v>
      </c>
      <c r="N361" s="224" t="s">
        <v>452</v>
      </c>
      <c r="O361" s="224" t="s">
        <v>11169</v>
      </c>
      <c r="P361" s="224"/>
      <c r="Q361" s="224" t="s">
        <v>18</v>
      </c>
      <c r="R361" s="254"/>
      <c r="S361" s="252"/>
      <c r="T361" s="252"/>
      <c r="U361" s="252"/>
      <c r="V361" s="224"/>
      <c r="W361" s="224"/>
      <c r="X361" s="224"/>
      <c r="Y361" s="224"/>
      <c r="Z361" s="224"/>
    </row>
    <row r="362" spans="1:26" ht="15.75" customHeight="1">
      <c r="A362" s="257">
        <v>44789</v>
      </c>
      <c r="B362" s="258" t="s">
        <v>202</v>
      </c>
      <c r="C362" s="263">
        <v>4.5</v>
      </c>
      <c r="D362" s="258" t="s">
        <v>1269</v>
      </c>
      <c r="E362" s="258" t="s">
        <v>4</v>
      </c>
      <c r="F362" s="258" t="s">
        <v>602</v>
      </c>
      <c r="G362" s="258" t="s">
        <v>1270</v>
      </c>
      <c r="H362" s="258">
        <v>4.5</v>
      </c>
      <c r="I362" s="258" t="s">
        <v>476</v>
      </c>
      <c r="J362" s="258" t="s">
        <v>13400</v>
      </c>
      <c r="K362" s="258">
        <v>4.5</v>
      </c>
      <c r="L362" s="258"/>
      <c r="M362" s="258"/>
      <c r="N362" s="258" t="s">
        <v>454</v>
      </c>
      <c r="O362" s="258" t="s">
        <v>11050</v>
      </c>
      <c r="P362" s="258" t="s">
        <v>1273</v>
      </c>
      <c r="Q362" s="258" t="s">
        <v>18</v>
      </c>
      <c r="R362" s="259" t="s">
        <v>1274</v>
      </c>
      <c r="S362" s="258"/>
      <c r="T362" s="258"/>
      <c r="U362" s="258"/>
      <c r="V362" s="258"/>
      <c r="W362" s="258"/>
      <c r="X362" s="258"/>
      <c r="Y362" s="258"/>
      <c r="Z362" s="258"/>
    </row>
    <row r="363" spans="1:26" ht="15.75" customHeight="1">
      <c r="A363" s="253">
        <v>44789</v>
      </c>
      <c r="B363" s="224" t="s">
        <v>62</v>
      </c>
      <c r="C363" s="249">
        <v>4.25</v>
      </c>
      <c r="D363" s="224" t="s">
        <v>446</v>
      </c>
      <c r="E363" s="250" t="s">
        <v>5</v>
      </c>
      <c r="F363" s="224" t="s">
        <v>447</v>
      </c>
      <c r="G363" s="224" t="s">
        <v>10311</v>
      </c>
      <c r="H363" s="224">
        <v>4.5</v>
      </c>
      <c r="I363" s="224" t="s">
        <v>449</v>
      </c>
      <c r="J363" s="224" t="s">
        <v>13400</v>
      </c>
      <c r="K363" s="224">
        <v>4</v>
      </c>
      <c r="L363" s="224" t="s">
        <v>451</v>
      </c>
      <c r="M363" s="307">
        <v>3000000</v>
      </c>
      <c r="N363" s="224" t="s">
        <v>452</v>
      </c>
      <c r="O363" s="224" t="s">
        <v>453</v>
      </c>
      <c r="P363" s="224"/>
      <c r="Q363" s="224" t="s">
        <v>18</v>
      </c>
      <c r="R363" s="254"/>
      <c r="S363" s="252"/>
      <c r="T363" s="252"/>
      <c r="U363" s="252"/>
      <c r="V363" s="224"/>
      <c r="W363" s="224"/>
      <c r="X363" s="224"/>
      <c r="Y363" s="224"/>
      <c r="Z363" s="224"/>
    </row>
    <row r="364" spans="1:26" ht="15.75" customHeight="1">
      <c r="A364" s="257">
        <v>44789</v>
      </c>
      <c r="B364" s="258" t="s">
        <v>358</v>
      </c>
      <c r="C364" s="263">
        <v>4.25</v>
      </c>
      <c r="D364" s="258" t="s">
        <v>10548</v>
      </c>
      <c r="E364" s="258" t="s">
        <v>3</v>
      </c>
      <c r="F364" s="258" t="s">
        <v>725</v>
      </c>
      <c r="G364" s="258" t="s">
        <v>10549</v>
      </c>
      <c r="H364" s="258">
        <v>4.5</v>
      </c>
      <c r="I364" s="258" t="s">
        <v>941</v>
      </c>
      <c r="J364" s="258" t="s">
        <v>2025</v>
      </c>
      <c r="K364" s="258">
        <v>4</v>
      </c>
      <c r="L364" s="258" t="s">
        <v>478</v>
      </c>
      <c r="M364" s="258" t="s">
        <v>2026</v>
      </c>
      <c r="N364" s="258" t="s">
        <v>452</v>
      </c>
      <c r="O364" s="258" t="s">
        <v>452</v>
      </c>
      <c r="P364" s="258"/>
      <c r="Q364" s="258" t="s">
        <v>18</v>
      </c>
      <c r="R364" s="259" t="s">
        <v>2027</v>
      </c>
      <c r="S364" s="258"/>
      <c r="T364" s="258"/>
      <c r="U364" s="258"/>
      <c r="V364" s="258"/>
      <c r="W364" s="258"/>
      <c r="X364" s="258"/>
      <c r="Y364" s="258"/>
      <c r="Z364" s="258"/>
    </row>
    <row r="365" spans="1:26" ht="15.75" customHeight="1">
      <c r="A365" s="253">
        <v>44789</v>
      </c>
      <c r="B365" s="224" t="s">
        <v>233</v>
      </c>
      <c r="C365" s="249">
        <v>4.25</v>
      </c>
      <c r="D365" s="224" t="s">
        <v>1381</v>
      </c>
      <c r="E365" s="250" t="s">
        <v>4</v>
      </c>
      <c r="F365" s="224" t="s">
        <v>727</v>
      </c>
      <c r="G365" s="224" t="s">
        <v>10749</v>
      </c>
      <c r="H365" s="224">
        <v>4.5</v>
      </c>
      <c r="I365" s="224" t="s">
        <v>1045</v>
      </c>
      <c r="J365" s="224" t="s">
        <v>1383</v>
      </c>
      <c r="K365" s="224">
        <v>4</v>
      </c>
      <c r="L365" s="224" t="s">
        <v>451</v>
      </c>
      <c r="M365" s="224" t="s">
        <v>1384</v>
      </c>
      <c r="N365" s="224" t="s">
        <v>452</v>
      </c>
      <c r="O365" s="224" t="s">
        <v>1385</v>
      </c>
      <c r="P365" s="224" t="s">
        <v>725</v>
      </c>
      <c r="Q365" s="224" t="s">
        <v>18</v>
      </c>
      <c r="R365" s="254"/>
      <c r="S365" s="252"/>
      <c r="T365" s="252"/>
      <c r="U365" s="252"/>
      <c r="V365" s="224"/>
      <c r="W365" s="224"/>
      <c r="X365" s="224"/>
      <c r="Y365" s="224"/>
      <c r="Z365" s="224"/>
    </row>
    <row r="366" spans="1:26" ht="15.75" customHeight="1">
      <c r="A366" s="257">
        <v>44789</v>
      </c>
      <c r="B366" s="258" t="s">
        <v>122</v>
      </c>
      <c r="C366" s="263">
        <v>4.25</v>
      </c>
      <c r="D366" s="258" t="s">
        <v>872</v>
      </c>
      <c r="E366" s="258" t="s">
        <v>5</v>
      </c>
      <c r="F366" s="258" t="s">
        <v>447</v>
      </c>
      <c r="G366" s="258" t="s">
        <v>11614</v>
      </c>
      <c r="H366" s="258">
        <v>4</v>
      </c>
      <c r="I366" s="258" t="s">
        <v>543</v>
      </c>
      <c r="J366" s="258" t="e">
        <f>+design, geometry and self-ballasted nature of the Solar Station
+Creating Solar Station, a modular, portable EV and Micro mobility charger ready for any location
+Team looks good and the founder has Startup experience
- need scale fast</f>
        <v>#NAME?</v>
      </c>
      <c r="K366" s="258">
        <v>4.5</v>
      </c>
      <c r="L366" s="258" t="s">
        <v>451</v>
      </c>
      <c r="M366" s="258" t="s">
        <v>874</v>
      </c>
      <c r="N366" s="258" t="s">
        <v>452</v>
      </c>
      <c r="O366" s="258" t="s">
        <v>875</v>
      </c>
      <c r="P366" s="258" t="s">
        <v>876</v>
      </c>
      <c r="Q366" s="258" t="s">
        <v>18</v>
      </c>
      <c r="R366" s="259" t="s">
        <v>877</v>
      </c>
      <c r="S366" s="258"/>
      <c r="T366" s="258"/>
      <c r="U366" s="258"/>
      <c r="V366" s="258"/>
      <c r="W366" s="258"/>
      <c r="X366" s="258"/>
      <c r="Y366" s="258"/>
      <c r="Z366" s="258"/>
    </row>
    <row r="367" spans="1:26" ht="15.75" customHeight="1">
      <c r="A367" s="253">
        <v>44789</v>
      </c>
      <c r="B367" s="224" t="s">
        <v>339</v>
      </c>
      <c r="C367" s="249">
        <v>4.25</v>
      </c>
      <c r="D367" s="224" t="s">
        <v>1929</v>
      </c>
      <c r="E367" s="250" t="s">
        <v>3</v>
      </c>
      <c r="F367" s="224" t="s">
        <v>460</v>
      </c>
      <c r="G367" s="224" t="s">
        <v>1930</v>
      </c>
      <c r="H367" s="224">
        <v>4.5</v>
      </c>
      <c r="I367" s="224" t="s">
        <v>941</v>
      </c>
      <c r="J367" s="224" t="s">
        <v>11018</v>
      </c>
      <c r="K367" s="224">
        <v>4</v>
      </c>
      <c r="L367" s="224" t="s">
        <v>451</v>
      </c>
      <c r="M367" s="307">
        <v>8000000</v>
      </c>
      <c r="N367" s="224" t="s">
        <v>465</v>
      </c>
      <c r="O367" s="224" t="s">
        <v>1932</v>
      </c>
      <c r="P367" s="224"/>
      <c r="Q367" s="224" t="s">
        <v>18</v>
      </c>
      <c r="R367" s="254"/>
      <c r="S367" s="252"/>
      <c r="T367" s="252"/>
      <c r="U367" s="252"/>
      <c r="V367" s="224"/>
      <c r="W367" s="224"/>
      <c r="X367" s="224"/>
      <c r="Y367" s="224"/>
      <c r="Z367" s="224"/>
    </row>
    <row r="368" spans="1:26" ht="15.75" customHeight="1">
      <c r="A368" s="248">
        <v>44789</v>
      </c>
      <c r="B368" s="219" t="s">
        <v>89</v>
      </c>
      <c r="C368" s="249">
        <v>4.25</v>
      </c>
      <c r="D368" s="219" t="s">
        <v>629</v>
      </c>
      <c r="E368" s="250" t="s">
        <v>5</v>
      </c>
      <c r="F368" s="219" t="s">
        <v>447</v>
      </c>
      <c r="G368" s="219" t="s">
        <v>11488</v>
      </c>
      <c r="H368" s="219">
        <v>4</v>
      </c>
      <c r="I368" s="219" t="s">
        <v>543</v>
      </c>
      <c r="J368" s="219" t="s">
        <v>13400</v>
      </c>
      <c r="K368" s="219">
        <v>4.5</v>
      </c>
      <c r="L368" s="219" t="s">
        <v>478</v>
      </c>
      <c r="M368" s="312">
        <v>15000000</v>
      </c>
      <c r="N368" s="219" t="s">
        <v>452</v>
      </c>
      <c r="O368" s="219" t="s">
        <v>632</v>
      </c>
      <c r="P368" s="219"/>
      <c r="Q368" s="219" t="s">
        <v>18</v>
      </c>
      <c r="R368" s="251"/>
      <c r="S368" s="252"/>
      <c r="T368" s="252"/>
      <c r="U368" s="252"/>
      <c r="V368" s="219"/>
      <c r="W368" s="219"/>
      <c r="X368" s="219"/>
      <c r="Y368" s="219"/>
      <c r="Z368" s="219"/>
    </row>
    <row r="369" spans="1:26" ht="15.75" customHeight="1">
      <c r="A369" s="253">
        <v>44789</v>
      </c>
      <c r="B369" s="224" t="s">
        <v>317</v>
      </c>
      <c r="C369" s="249">
        <v>4.25</v>
      </c>
      <c r="D369" s="224" t="s">
        <v>1752</v>
      </c>
      <c r="E369" s="250" t="s">
        <v>3</v>
      </c>
      <c r="F369" s="224" t="s">
        <v>460</v>
      </c>
      <c r="G369" s="224" t="s">
        <v>1753</v>
      </c>
      <c r="H369" s="224">
        <v>4.5</v>
      </c>
      <c r="I369" s="224" t="s">
        <v>462</v>
      </c>
      <c r="J369" s="224" t="s">
        <v>1754</v>
      </c>
      <c r="K369" s="224">
        <v>4</v>
      </c>
      <c r="L369" s="224" t="s">
        <v>451</v>
      </c>
      <c r="M369" s="307">
        <v>4000000</v>
      </c>
      <c r="N369" s="224" t="s">
        <v>452</v>
      </c>
      <c r="O369" s="224" t="s">
        <v>1755</v>
      </c>
      <c r="P369" s="224" t="s">
        <v>1756</v>
      </c>
      <c r="Q369" s="224" t="s">
        <v>18</v>
      </c>
      <c r="R369" s="254"/>
      <c r="S369" s="252"/>
      <c r="T369" s="252"/>
      <c r="U369" s="252"/>
      <c r="V369" s="224"/>
      <c r="W369" s="224"/>
      <c r="X369" s="224"/>
      <c r="Y369" s="224"/>
      <c r="Z369" s="224"/>
    </row>
    <row r="370" spans="1:26" ht="15.75" customHeight="1">
      <c r="A370" s="248">
        <v>44789</v>
      </c>
      <c r="B370" s="219" t="s">
        <v>178</v>
      </c>
      <c r="C370" s="249">
        <v>4</v>
      </c>
      <c r="D370" s="219" t="s">
        <v>3710</v>
      </c>
      <c r="E370" s="250" t="s">
        <v>4</v>
      </c>
      <c r="F370" s="219" t="s">
        <v>727</v>
      </c>
      <c r="G370" s="219" t="s">
        <v>10228</v>
      </c>
      <c r="H370" s="219">
        <v>4</v>
      </c>
      <c r="I370" s="219" t="s">
        <v>1045</v>
      </c>
      <c r="J370" s="219" t="s">
        <v>3712</v>
      </c>
      <c r="K370" s="219">
        <v>4</v>
      </c>
      <c r="L370" s="219" t="s">
        <v>784</v>
      </c>
      <c r="M370" s="219" t="s">
        <v>3713</v>
      </c>
      <c r="N370" s="219" t="s">
        <v>452</v>
      </c>
      <c r="O370" s="219" t="s">
        <v>3714</v>
      </c>
      <c r="P370" s="219" t="s">
        <v>3715</v>
      </c>
      <c r="Q370" s="219" t="s">
        <v>18</v>
      </c>
      <c r="R370" s="251"/>
      <c r="S370" s="252"/>
      <c r="T370" s="252"/>
      <c r="U370" s="252"/>
      <c r="V370" s="219"/>
      <c r="W370" s="219"/>
      <c r="X370" s="219"/>
      <c r="Y370" s="219"/>
      <c r="Z370" s="219"/>
    </row>
    <row r="371" spans="1:26" ht="15.75" customHeight="1">
      <c r="A371" s="253">
        <v>44789</v>
      </c>
      <c r="B371" s="224" t="s">
        <v>326</v>
      </c>
      <c r="C371" s="249">
        <v>4</v>
      </c>
      <c r="D371" s="224" t="s">
        <v>1817</v>
      </c>
      <c r="E371" s="250" t="s">
        <v>3</v>
      </c>
      <c r="F371" s="224" t="s">
        <v>460</v>
      </c>
      <c r="G371" s="224" t="s">
        <v>1818</v>
      </c>
      <c r="H371" s="224">
        <v>4</v>
      </c>
      <c r="I371" s="224" t="s">
        <v>941</v>
      </c>
      <c r="J371" s="224" t="s">
        <v>1819</v>
      </c>
      <c r="K371" s="224">
        <v>4</v>
      </c>
      <c r="L371" s="224" t="s">
        <v>478</v>
      </c>
      <c r="M371" s="307">
        <v>25000000</v>
      </c>
      <c r="N371" s="224" t="s">
        <v>452</v>
      </c>
      <c r="O371" s="224" t="s">
        <v>10232</v>
      </c>
      <c r="P371" s="224"/>
      <c r="Q371" s="224" t="s">
        <v>18</v>
      </c>
      <c r="R371" s="254"/>
      <c r="S371" s="252"/>
      <c r="T371" s="252"/>
      <c r="U371" s="252"/>
      <c r="V371" s="224"/>
      <c r="W371" s="224"/>
      <c r="X371" s="224"/>
      <c r="Y371" s="224"/>
      <c r="Z371" s="224"/>
    </row>
    <row r="372" spans="1:26" ht="15.75" customHeight="1">
      <c r="A372" s="248">
        <v>44789</v>
      </c>
      <c r="B372" s="219" t="s">
        <v>154</v>
      </c>
      <c r="C372" s="249">
        <v>4</v>
      </c>
      <c r="D372" s="219" t="s">
        <v>1043</v>
      </c>
      <c r="E372" s="250" t="s">
        <v>4</v>
      </c>
      <c r="F372" s="219" t="s">
        <v>727</v>
      </c>
      <c r="G372" s="219" t="s">
        <v>10248</v>
      </c>
      <c r="H372" s="219">
        <v>4</v>
      </c>
      <c r="I372" s="219" t="s">
        <v>1045</v>
      </c>
      <c r="J372" s="219" t="s">
        <v>1046</v>
      </c>
      <c r="K372" s="219">
        <v>4</v>
      </c>
      <c r="L372" s="219"/>
      <c r="M372" s="219"/>
      <c r="N372" s="219" t="s">
        <v>454</v>
      </c>
      <c r="O372" s="219" t="s">
        <v>1047</v>
      </c>
      <c r="P372" s="219" t="s">
        <v>725</v>
      </c>
      <c r="Q372" s="219" t="s">
        <v>18</v>
      </c>
      <c r="R372" s="251"/>
      <c r="S372" s="252"/>
      <c r="T372" s="252"/>
      <c r="U372" s="252"/>
      <c r="V372" s="219"/>
      <c r="W372" s="219"/>
      <c r="X372" s="219"/>
      <c r="Y372" s="219"/>
      <c r="Z372" s="219"/>
    </row>
    <row r="373" spans="1:26" ht="15.75" customHeight="1">
      <c r="A373" s="253">
        <v>44789</v>
      </c>
      <c r="B373" s="224" t="s">
        <v>350</v>
      </c>
      <c r="C373" s="249">
        <v>4</v>
      </c>
      <c r="D373" s="224" t="s">
        <v>9723</v>
      </c>
      <c r="E373" s="250" t="s">
        <v>3</v>
      </c>
      <c r="F373" s="224" t="s">
        <v>460</v>
      </c>
      <c r="G373" s="224" t="s">
        <v>9724</v>
      </c>
      <c r="H373" s="224">
        <v>4</v>
      </c>
      <c r="I373" s="224" t="s">
        <v>462</v>
      </c>
      <c r="J373" s="224" t="s">
        <v>9725</v>
      </c>
      <c r="K373" s="224">
        <v>4</v>
      </c>
      <c r="L373" s="224" t="s">
        <v>478</v>
      </c>
      <c r="M373" s="307">
        <v>10000000</v>
      </c>
      <c r="N373" s="224" t="s">
        <v>452</v>
      </c>
      <c r="O373" s="224" t="s">
        <v>9726</v>
      </c>
      <c r="P373" s="224"/>
      <c r="Q373" s="224" t="s">
        <v>18</v>
      </c>
      <c r="R373" s="254"/>
      <c r="S373" s="252"/>
      <c r="T373" s="252"/>
      <c r="U373" s="252"/>
      <c r="V373" s="224"/>
      <c r="W373" s="224"/>
      <c r="X373" s="224"/>
      <c r="Y373" s="224"/>
      <c r="Z373" s="224"/>
    </row>
    <row r="374" spans="1:26" ht="15.75" customHeight="1">
      <c r="A374" s="248">
        <v>44789</v>
      </c>
      <c r="B374" s="219" t="s">
        <v>207</v>
      </c>
      <c r="C374" s="249">
        <v>4</v>
      </c>
      <c r="D374" s="219" t="s">
        <v>3836</v>
      </c>
      <c r="E374" s="250" t="s">
        <v>4</v>
      </c>
      <c r="F374" s="219" t="s">
        <v>727</v>
      </c>
      <c r="G374" s="219" t="s">
        <v>10665</v>
      </c>
      <c r="H374" s="219">
        <v>4</v>
      </c>
      <c r="I374" s="219" t="s">
        <v>1045</v>
      </c>
      <c r="J374" s="219"/>
      <c r="K374" s="219">
        <v>4</v>
      </c>
      <c r="L374" s="219"/>
      <c r="M374" s="312"/>
      <c r="N374" s="219" t="s">
        <v>452</v>
      </c>
      <c r="O374" s="219" t="s">
        <v>10666</v>
      </c>
      <c r="P374" s="219"/>
      <c r="Q374" s="219" t="s">
        <v>18</v>
      </c>
      <c r="R374" s="251"/>
      <c r="S374" s="252"/>
      <c r="T374" s="252"/>
      <c r="U374" s="252"/>
      <c r="V374" s="219"/>
      <c r="W374" s="219"/>
      <c r="X374" s="219"/>
      <c r="Y374" s="219"/>
      <c r="Z374" s="219"/>
    </row>
    <row r="375" spans="1:26" ht="15.75" customHeight="1">
      <c r="A375" s="253">
        <v>44789</v>
      </c>
      <c r="B375" s="224" t="s">
        <v>238</v>
      </c>
      <c r="C375" s="249">
        <v>4</v>
      </c>
      <c r="D375" s="224" t="s">
        <v>10668</v>
      </c>
      <c r="E375" s="250" t="s">
        <v>4</v>
      </c>
      <c r="F375" s="224" t="s">
        <v>727</v>
      </c>
      <c r="G375" s="224" t="s">
        <v>11615</v>
      </c>
      <c r="H375" s="224">
        <v>4</v>
      </c>
      <c r="I375" s="224" t="s">
        <v>1045</v>
      </c>
      <c r="J375" s="224" t="s">
        <v>4004</v>
      </c>
      <c r="K375" s="224">
        <v>4</v>
      </c>
      <c r="L375" s="224" t="s">
        <v>451</v>
      </c>
      <c r="M375" s="224" t="s">
        <v>4005</v>
      </c>
      <c r="N375" s="224" t="s">
        <v>454</v>
      </c>
      <c r="O375" s="224" t="s">
        <v>4006</v>
      </c>
      <c r="P375" s="224"/>
      <c r="Q375" s="224" t="s">
        <v>18</v>
      </c>
      <c r="R375" s="254"/>
      <c r="S375" s="252"/>
      <c r="T375" s="252"/>
      <c r="U375" s="252"/>
      <c r="V375" s="224"/>
      <c r="W375" s="224"/>
      <c r="X375" s="224"/>
      <c r="Y375" s="224"/>
      <c r="Z375" s="224"/>
    </row>
    <row r="376" spans="1:26" ht="15.75" customHeight="1">
      <c r="A376" s="248">
        <v>44789</v>
      </c>
      <c r="B376" s="219" t="s">
        <v>201</v>
      </c>
      <c r="C376" s="249">
        <v>4</v>
      </c>
      <c r="D376" s="219" t="s">
        <v>3803</v>
      </c>
      <c r="E376" s="250" t="s">
        <v>4</v>
      </c>
      <c r="F376" s="219" t="s">
        <v>727</v>
      </c>
      <c r="G376" s="219" t="s">
        <v>10671</v>
      </c>
      <c r="H376" s="219">
        <v>4</v>
      </c>
      <c r="I376" s="219" t="s">
        <v>1045</v>
      </c>
      <c r="J376" s="219" t="s">
        <v>3805</v>
      </c>
      <c r="K376" s="219">
        <v>4</v>
      </c>
      <c r="L376" s="219"/>
      <c r="M376" s="219"/>
      <c r="N376" s="219" t="s">
        <v>452</v>
      </c>
      <c r="O376" s="219" t="s">
        <v>10672</v>
      </c>
      <c r="P376" s="219"/>
      <c r="Q376" s="219" t="s">
        <v>18</v>
      </c>
      <c r="R376" s="251"/>
      <c r="S376" s="252"/>
      <c r="T376" s="252"/>
      <c r="U376" s="252"/>
      <c r="V376" s="219"/>
      <c r="W376" s="219"/>
      <c r="X376" s="219"/>
      <c r="Y376" s="219"/>
      <c r="Z376" s="219"/>
    </row>
    <row r="377" spans="1:26" ht="15.75" customHeight="1">
      <c r="A377" s="253">
        <v>44789</v>
      </c>
      <c r="B377" s="224" t="s">
        <v>235</v>
      </c>
      <c r="C377" s="249">
        <v>4</v>
      </c>
      <c r="D377" s="224" t="s">
        <v>3987</v>
      </c>
      <c r="E377" s="250" t="s">
        <v>4</v>
      </c>
      <c r="F377" s="224" t="s">
        <v>727</v>
      </c>
      <c r="G377" s="224" t="s">
        <v>10676</v>
      </c>
      <c r="H377" s="224">
        <v>4</v>
      </c>
      <c r="I377" s="224" t="s">
        <v>1045</v>
      </c>
      <c r="J377" s="224" t="s">
        <v>3989</v>
      </c>
      <c r="K377" s="224">
        <v>4</v>
      </c>
      <c r="L377" s="224"/>
      <c r="M377" s="224"/>
      <c r="N377" s="224" t="s">
        <v>452</v>
      </c>
      <c r="O377" s="224" t="s">
        <v>3990</v>
      </c>
      <c r="P377" s="224"/>
      <c r="Q377" s="224" t="s">
        <v>18</v>
      </c>
      <c r="R377" s="254"/>
      <c r="S377" s="252"/>
      <c r="T377" s="252"/>
      <c r="U377" s="252"/>
      <c r="V377" s="224"/>
      <c r="W377" s="224"/>
      <c r="X377" s="224"/>
      <c r="Y377" s="224"/>
      <c r="Z377" s="224"/>
    </row>
    <row r="378" spans="1:26" ht="15.75" customHeight="1">
      <c r="A378" s="248">
        <v>44789</v>
      </c>
      <c r="B378" s="219" t="s">
        <v>249</v>
      </c>
      <c r="C378" s="249">
        <v>4</v>
      </c>
      <c r="D378" s="219" t="s">
        <v>4063</v>
      </c>
      <c r="E378" s="250" t="s">
        <v>4</v>
      </c>
      <c r="F378" s="219" t="s">
        <v>727</v>
      </c>
      <c r="G378" s="219" t="s">
        <v>10719</v>
      </c>
      <c r="H378" s="219">
        <v>4</v>
      </c>
      <c r="I378" s="219" t="s">
        <v>1045</v>
      </c>
      <c r="J378" s="219" t="s">
        <v>4065</v>
      </c>
      <c r="K378" s="219">
        <v>4</v>
      </c>
      <c r="L378" s="219" t="s">
        <v>451</v>
      </c>
      <c r="M378" s="219" t="s">
        <v>4066</v>
      </c>
      <c r="N378" s="219" t="s">
        <v>452</v>
      </c>
      <c r="O378" s="219" t="s">
        <v>4067</v>
      </c>
      <c r="P378" s="219"/>
      <c r="Q378" s="219" t="s">
        <v>18</v>
      </c>
      <c r="R378" s="251"/>
      <c r="S378" s="252"/>
      <c r="T378" s="252"/>
      <c r="U378" s="252"/>
      <c r="V378" s="219"/>
      <c r="W378" s="219"/>
      <c r="X378" s="219"/>
      <c r="Y378" s="219"/>
      <c r="Z378" s="219"/>
    </row>
    <row r="379" spans="1:26" ht="15.75" customHeight="1">
      <c r="A379" s="257">
        <v>44789</v>
      </c>
      <c r="B379" s="258" t="s">
        <v>77</v>
      </c>
      <c r="C379" s="263">
        <v>4</v>
      </c>
      <c r="D379" s="258" t="s">
        <v>10781</v>
      </c>
      <c r="E379" s="258" t="s">
        <v>5</v>
      </c>
      <c r="F379" s="258" t="s">
        <v>447</v>
      </c>
      <c r="G379" s="258" t="s">
        <v>10782</v>
      </c>
      <c r="H379" s="258">
        <v>4</v>
      </c>
      <c r="I379" s="258" t="s">
        <v>543</v>
      </c>
      <c r="J379" s="258" t="s">
        <v>11616</v>
      </c>
      <c r="K379" s="258">
        <v>4</v>
      </c>
      <c r="L379" s="258" t="s">
        <v>451</v>
      </c>
      <c r="M379" s="309">
        <v>11000000</v>
      </c>
      <c r="N379" s="258" t="s">
        <v>454</v>
      </c>
      <c r="O379" s="258" t="s">
        <v>555</v>
      </c>
      <c r="P379" s="258"/>
      <c r="Q379" s="258" t="s">
        <v>18</v>
      </c>
      <c r="R379" s="259" t="s">
        <v>556</v>
      </c>
      <c r="S379" s="258"/>
      <c r="T379" s="258"/>
      <c r="U379" s="258"/>
      <c r="V379" s="258"/>
      <c r="W379" s="258"/>
      <c r="X379" s="258"/>
      <c r="Y379" s="258"/>
      <c r="Z379" s="258"/>
    </row>
    <row r="380" spans="1:26" ht="15.75" customHeight="1">
      <c r="A380" s="257">
        <v>44789</v>
      </c>
      <c r="B380" s="258" t="s">
        <v>162</v>
      </c>
      <c r="C380" s="263">
        <v>4</v>
      </c>
      <c r="D380" s="258" t="s">
        <v>9596</v>
      </c>
      <c r="E380" s="258" t="s">
        <v>5</v>
      </c>
      <c r="F380" s="258" t="s">
        <v>447</v>
      </c>
      <c r="G380" s="258" t="s">
        <v>10803</v>
      </c>
      <c r="H380" s="258">
        <v>3</v>
      </c>
      <c r="I380" s="258" t="s">
        <v>449</v>
      </c>
      <c r="J380" s="258" t="s">
        <v>11617</v>
      </c>
      <c r="K380" s="258">
        <v>5</v>
      </c>
      <c r="L380" s="258" t="s">
        <v>9599</v>
      </c>
      <c r="M380" s="258">
        <v>909783</v>
      </c>
      <c r="N380" s="258" t="s">
        <v>452</v>
      </c>
      <c r="O380" s="258" t="s">
        <v>9600</v>
      </c>
      <c r="P380" s="258"/>
      <c r="Q380" s="258" t="s">
        <v>18</v>
      </c>
      <c r="R380" s="259" t="s">
        <v>9601</v>
      </c>
      <c r="S380" s="258"/>
      <c r="T380" s="258"/>
      <c r="U380" s="258"/>
      <c r="V380" s="258"/>
      <c r="W380" s="258"/>
      <c r="X380" s="258"/>
      <c r="Y380" s="258"/>
      <c r="Z380" s="258"/>
    </row>
    <row r="381" spans="1:26" ht="15.75" customHeight="1">
      <c r="A381" s="257">
        <v>44789</v>
      </c>
      <c r="B381" s="258" t="s">
        <v>264</v>
      </c>
      <c r="C381" s="263">
        <v>4</v>
      </c>
      <c r="D381" s="258" t="s">
        <v>4116</v>
      </c>
      <c r="E381" s="258" t="s">
        <v>4</v>
      </c>
      <c r="F381" s="258" t="s">
        <v>602</v>
      </c>
      <c r="G381" s="258" t="s">
        <v>4117</v>
      </c>
      <c r="H381" s="258">
        <v>4</v>
      </c>
      <c r="I381" s="258" t="s">
        <v>476</v>
      </c>
      <c r="J381" s="258" t="s">
        <v>11618</v>
      </c>
      <c r="K381" s="258">
        <v>4</v>
      </c>
      <c r="L381" s="258" t="s">
        <v>451</v>
      </c>
      <c r="M381" s="258">
        <v>700000</v>
      </c>
      <c r="N381" s="258" t="s">
        <v>452</v>
      </c>
      <c r="O381" s="258" t="s">
        <v>4119</v>
      </c>
      <c r="P381" s="258" t="s">
        <v>4120</v>
      </c>
      <c r="Q381" s="258" t="s">
        <v>18</v>
      </c>
      <c r="R381" s="259" t="s">
        <v>4121</v>
      </c>
      <c r="S381" s="258"/>
      <c r="T381" s="258"/>
      <c r="U381" s="258"/>
      <c r="V381" s="258"/>
      <c r="W381" s="258"/>
      <c r="X381" s="258"/>
      <c r="Y381" s="258"/>
      <c r="Z381" s="258"/>
    </row>
    <row r="382" spans="1:26" ht="15.75" customHeight="1">
      <c r="A382" s="248">
        <v>44789</v>
      </c>
      <c r="B382" s="219" t="s">
        <v>157</v>
      </c>
      <c r="C382" s="249">
        <v>4</v>
      </c>
      <c r="D382" s="219" t="s">
        <v>1060</v>
      </c>
      <c r="E382" s="250" t="s">
        <v>4</v>
      </c>
      <c r="F382" s="219" t="s">
        <v>602</v>
      </c>
      <c r="G382" s="219" t="s">
        <v>1061</v>
      </c>
      <c r="H382" s="219">
        <v>4</v>
      </c>
      <c r="I382" s="219" t="s">
        <v>1054</v>
      </c>
      <c r="J382" s="219" t="s">
        <v>10906</v>
      </c>
      <c r="K382" s="219">
        <v>4</v>
      </c>
      <c r="L382" s="219" t="s">
        <v>1063</v>
      </c>
      <c r="M382" s="219" t="s">
        <v>1064</v>
      </c>
      <c r="N382" s="219" t="s">
        <v>452</v>
      </c>
      <c r="O382" s="219" t="s">
        <v>10907</v>
      </c>
      <c r="P382" s="219" t="s">
        <v>1066</v>
      </c>
      <c r="Q382" s="219" t="s">
        <v>18</v>
      </c>
      <c r="R382" s="251"/>
      <c r="S382" s="252"/>
      <c r="T382" s="252"/>
      <c r="U382" s="252"/>
      <c r="V382" s="219"/>
      <c r="W382" s="219"/>
      <c r="X382" s="219"/>
      <c r="Y382" s="219"/>
      <c r="Z382" s="219"/>
    </row>
    <row r="383" spans="1:26" ht="15.75" customHeight="1">
      <c r="A383" s="253">
        <v>44789</v>
      </c>
      <c r="B383" s="224" t="s">
        <v>319</v>
      </c>
      <c r="C383" s="249">
        <v>4</v>
      </c>
      <c r="D383" s="224" t="s">
        <v>11015</v>
      </c>
      <c r="E383" s="250" t="s">
        <v>3</v>
      </c>
      <c r="F383" s="224" t="s">
        <v>460</v>
      </c>
      <c r="G383" s="224" t="s">
        <v>1761</v>
      </c>
      <c r="H383" s="224">
        <v>4</v>
      </c>
      <c r="I383" s="224" t="s">
        <v>941</v>
      </c>
      <c r="J383" s="224" t="s">
        <v>1762</v>
      </c>
      <c r="K383" s="224">
        <v>4</v>
      </c>
      <c r="L383" s="224" t="s">
        <v>478</v>
      </c>
      <c r="M383" s="224" t="s">
        <v>1763</v>
      </c>
      <c r="N383" s="224" t="s">
        <v>452</v>
      </c>
      <c r="O383" s="224" t="s">
        <v>452</v>
      </c>
      <c r="P383" s="224"/>
      <c r="Q383" s="224" t="s">
        <v>18</v>
      </c>
      <c r="R383" s="254"/>
      <c r="S383" s="252"/>
      <c r="T383" s="252"/>
      <c r="U383" s="252"/>
      <c r="V383" s="224"/>
      <c r="W383" s="224"/>
      <c r="X383" s="224"/>
      <c r="Y383" s="224"/>
      <c r="Z383" s="224"/>
    </row>
    <row r="384" spans="1:26" ht="15.75" customHeight="1">
      <c r="A384" s="255">
        <v>44789</v>
      </c>
      <c r="B384" s="239" t="s">
        <v>86</v>
      </c>
      <c r="C384" s="262">
        <v>4</v>
      </c>
      <c r="D384" s="239" t="s">
        <v>611</v>
      </c>
      <c r="E384" s="239" t="s">
        <v>5</v>
      </c>
      <c r="F384" s="239" t="s">
        <v>460</v>
      </c>
      <c r="G384" s="239" t="s">
        <v>612</v>
      </c>
      <c r="H384" s="239">
        <v>4</v>
      </c>
      <c r="I384" s="239" t="s">
        <v>462</v>
      </c>
      <c r="J384" s="239" t="s">
        <v>613</v>
      </c>
      <c r="K384" s="239">
        <v>4</v>
      </c>
      <c r="L384" s="239" t="s">
        <v>478</v>
      </c>
      <c r="M384" s="239" t="s">
        <v>614</v>
      </c>
      <c r="N384" s="239" t="s">
        <v>452</v>
      </c>
      <c r="O384" s="239" t="s">
        <v>452</v>
      </c>
      <c r="P384" s="239"/>
      <c r="Q384" s="239" t="s">
        <v>20</v>
      </c>
      <c r="R384" s="256" t="s">
        <v>11619</v>
      </c>
      <c r="S384" s="239"/>
      <c r="T384" s="239"/>
      <c r="U384" s="239"/>
      <c r="V384" s="239"/>
      <c r="W384" s="239"/>
      <c r="X384" s="239"/>
      <c r="Y384" s="239"/>
      <c r="Z384" s="239"/>
    </row>
    <row r="385" spans="1:26" ht="15.75" customHeight="1">
      <c r="A385" s="253">
        <v>44789</v>
      </c>
      <c r="B385" s="224" t="s">
        <v>220</v>
      </c>
      <c r="C385" s="249">
        <v>4</v>
      </c>
      <c r="D385" s="224" t="s">
        <v>11445</v>
      </c>
      <c r="E385" s="250" t="s">
        <v>4</v>
      </c>
      <c r="F385" s="224" t="s">
        <v>727</v>
      </c>
      <c r="G385" s="224" t="s">
        <v>11446</v>
      </c>
      <c r="H385" s="224">
        <v>4</v>
      </c>
      <c r="I385" s="224" t="s">
        <v>1045</v>
      </c>
      <c r="J385" s="224" t="s">
        <v>1322</v>
      </c>
      <c r="K385" s="224">
        <v>4</v>
      </c>
      <c r="L385" s="224" t="s">
        <v>451</v>
      </c>
      <c r="M385" s="307" t="s">
        <v>1323</v>
      </c>
      <c r="N385" s="224" t="s">
        <v>454</v>
      </c>
      <c r="O385" s="224" t="s">
        <v>452</v>
      </c>
      <c r="P385" s="224" t="s">
        <v>1324</v>
      </c>
      <c r="Q385" s="224" t="s">
        <v>18</v>
      </c>
      <c r="R385" s="254"/>
      <c r="S385" s="252"/>
      <c r="T385" s="252"/>
      <c r="U385" s="252"/>
      <c r="V385" s="224"/>
      <c r="W385" s="224"/>
      <c r="X385" s="224"/>
      <c r="Y385" s="224"/>
      <c r="Z385" s="224"/>
    </row>
    <row r="386" spans="1:26" ht="15.75" customHeight="1">
      <c r="A386" s="248">
        <v>44789</v>
      </c>
      <c r="B386" s="219" t="s">
        <v>183</v>
      </c>
      <c r="C386" s="249">
        <v>4</v>
      </c>
      <c r="D386" s="219" t="s">
        <v>1159</v>
      </c>
      <c r="E386" s="250" t="s">
        <v>4</v>
      </c>
      <c r="F386" s="219" t="s">
        <v>727</v>
      </c>
      <c r="G386" s="219" t="s">
        <v>11464</v>
      </c>
      <c r="H386" s="219">
        <v>4</v>
      </c>
      <c r="I386" s="219" t="s">
        <v>1045</v>
      </c>
      <c r="J386" s="219" t="s">
        <v>1161</v>
      </c>
      <c r="K386" s="219">
        <v>4</v>
      </c>
      <c r="L386" s="219"/>
      <c r="M386" s="219"/>
      <c r="N386" s="219"/>
      <c r="O386" s="219" t="s">
        <v>1162</v>
      </c>
      <c r="P386" s="219"/>
      <c r="Q386" s="219" t="s">
        <v>18</v>
      </c>
      <c r="R386" s="251"/>
      <c r="S386" s="252"/>
      <c r="T386" s="252"/>
      <c r="U386" s="252"/>
      <c r="V386" s="219"/>
      <c r="W386" s="219"/>
      <c r="X386" s="219"/>
      <c r="Y386" s="219"/>
      <c r="Z386" s="219"/>
    </row>
    <row r="387" spans="1:26" ht="15.75" customHeight="1">
      <c r="A387" s="253">
        <v>44789</v>
      </c>
      <c r="B387" s="224" t="s">
        <v>693</v>
      </c>
      <c r="C387" s="249">
        <v>4</v>
      </c>
      <c r="D387" s="224" t="s">
        <v>696</v>
      </c>
      <c r="E387" s="250" t="s">
        <v>5</v>
      </c>
      <c r="F387" s="224" t="s">
        <v>447</v>
      </c>
      <c r="G387" s="224" t="s">
        <v>10301</v>
      </c>
      <c r="H387" s="224">
        <v>4</v>
      </c>
      <c r="I387" s="224" t="s">
        <v>543</v>
      </c>
      <c r="J387" s="224" t="s">
        <v>11620</v>
      </c>
      <c r="K387" s="224">
        <v>4</v>
      </c>
      <c r="L387" s="224" t="s">
        <v>451</v>
      </c>
      <c r="M387" s="224">
        <v>3000000</v>
      </c>
      <c r="N387" s="224" t="s">
        <v>452</v>
      </c>
      <c r="O387" s="224" t="s">
        <v>699</v>
      </c>
      <c r="P387" s="224" t="s">
        <v>700</v>
      </c>
      <c r="Q387" s="224" t="s">
        <v>18</v>
      </c>
      <c r="R387" s="254"/>
      <c r="S387" s="252"/>
      <c r="T387" s="252"/>
      <c r="U387" s="252"/>
      <c r="V387" s="224"/>
      <c r="W387" s="224"/>
      <c r="X387" s="224"/>
      <c r="Y387" s="224"/>
      <c r="Z387" s="224"/>
    </row>
    <row r="388" spans="1:26" ht="15.75" customHeight="1">
      <c r="A388" s="248">
        <v>44789</v>
      </c>
      <c r="B388" s="219" t="s">
        <v>315</v>
      </c>
      <c r="C388" s="249">
        <v>4</v>
      </c>
      <c r="D388" s="219" t="s">
        <v>1735</v>
      </c>
      <c r="E388" s="250" t="s">
        <v>3</v>
      </c>
      <c r="F388" s="219" t="s">
        <v>460</v>
      </c>
      <c r="G388" s="219" t="s">
        <v>1736</v>
      </c>
      <c r="H388" s="219">
        <v>4</v>
      </c>
      <c r="I388" s="219" t="s">
        <v>462</v>
      </c>
      <c r="J388" s="219" t="s">
        <v>1737</v>
      </c>
      <c r="K388" s="219">
        <v>4</v>
      </c>
      <c r="L388" s="219"/>
      <c r="M388" s="219"/>
      <c r="N388" s="219" t="s">
        <v>452</v>
      </c>
      <c r="O388" s="219" t="s">
        <v>1738</v>
      </c>
      <c r="P388" s="219" t="s">
        <v>1739</v>
      </c>
      <c r="Q388" s="219" t="s">
        <v>18</v>
      </c>
      <c r="R388" s="251"/>
      <c r="S388" s="252"/>
      <c r="T388" s="252"/>
      <c r="U388" s="252"/>
      <c r="V388" s="219"/>
      <c r="W388" s="219"/>
      <c r="X388" s="219"/>
      <c r="Y388" s="219"/>
      <c r="Z388" s="219"/>
    </row>
    <row r="389" spans="1:26" ht="15.75" customHeight="1">
      <c r="A389" s="253">
        <v>44789</v>
      </c>
      <c r="B389" s="224" t="s">
        <v>255</v>
      </c>
      <c r="C389" s="249">
        <v>4</v>
      </c>
      <c r="D389" s="224" t="s">
        <v>10861</v>
      </c>
      <c r="E389" s="250" t="s">
        <v>4</v>
      </c>
      <c r="F389" s="224" t="s">
        <v>602</v>
      </c>
      <c r="G389" s="224"/>
      <c r="H389" s="224">
        <v>4</v>
      </c>
      <c r="I389" s="224" t="s">
        <v>1054</v>
      </c>
      <c r="J389" s="224" t="s">
        <v>10862</v>
      </c>
      <c r="K389" s="224">
        <v>4</v>
      </c>
      <c r="L389" s="224"/>
      <c r="M389" s="224"/>
      <c r="N389" s="224" t="s">
        <v>465</v>
      </c>
      <c r="O389" s="224" t="s">
        <v>4102</v>
      </c>
      <c r="P389" s="224"/>
      <c r="Q389" s="224" t="s">
        <v>18</v>
      </c>
      <c r="R389" s="254"/>
      <c r="S389" s="252"/>
      <c r="T389" s="252"/>
      <c r="U389" s="252"/>
      <c r="V389" s="224"/>
      <c r="W389" s="224"/>
      <c r="X389" s="224"/>
      <c r="Y389" s="224"/>
      <c r="Z389" s="224"/>
    </row>
    <row r="390" spans="1:26" ht="15.75" customHeight="1">
      <c r="A390" s="248">
        <v>44789</v>
      </c>
      <c r="B390" s="219" t="s">
        <v>105</v>
      </c>
      <c r="C390" s="249">
        <v>4</v>
      </c>
      <c r="D390" s="219" t="s">
        <v>773</v>
      </c>
      <c r="E390" s="250" t="s">
        <v>5</v>
      </c>
      <c r="F390" s="219" t="s">
        <v>447</v>
      </c>
      <c r="G390" s="219" t="s">
        <v>10997</v>
      </c>
      <c r="H390" s="219">
        <v>4</v>
      </c>
      <c r="I390" s="219" t="s">
        <v>449</v>
      </c>
      <c r="J390" s="219" t="e">
        <f>+Credible Team
+Novel technology
+lots if investment
+Working prototype
+Large potential market</f>
        <v>#NAME?</v>
      </c>
      <c r="K390" s="219">
        <v>4</v>
      </c>
      <c r="L390" s="219" t="s">
        <v>478</v>
      </c>
      <c r="M390" s="310">
        <v>20000000</v>
      </c>
      <c r="N390" s="219" t="s">
        <v>452</v>
      </c>
      <c r="O390" s="219" t="s">
        <v>776</v>
      </c>
      <c r="P390" s="219"/>
      <c r="Q390" s="219" t="s">
        <v>18</v>
      </c>
      <c r="R390" s="251"/>
      <c r="S390" s="252"/>
      <c r="T390" s="252"/>
      <c r="U390" s="252"/>
      <c r="V390" s="219"/>
      <c r="W390" s="219"/>
      <c r="X390" s="219"/>
      <c r="Y390" s="219"/>
      <c r="Z390" s="219"/>
    </row>
    <row r="391" spans="1:26" ht="15.75" customHeight="1">
      <c r="A391" s="253">
        <v>44789</v>
      </c>
      <c r="B391" s="224" t="s">
        <v>399</v>
      </c>
      <c r="C391" s="249">
        <v>4</v>
      </c>
      <c r="D391" s="224" t="s">
        <v>11189</v>
      </c>
      <c r="E391" s="250" t="s">
        <v>3</v>
      </c>
      <c r="F391" s="224" t="s">
        <v>460</v>
      </c>
      <c r="G391" s="224" t="s">
        <v>10108</v>
      </c>
      <c r="H391" s="224">
        <v>4</v>
      </c>
      <c r="I391" s="224" t="s">
        <v>462</v>
      </c>
      <c r="J391" s="224" t="s">
        <v>10109</v>
      </c>
      <c r="K391" s="224">
        <v>4</v>
      </c>
      <c r="L391" s="224" t="s">
        <v>478</v>
      </c>
      <c r="M391" s="307">
        <v>25000000</v>
      </c>
      <c r="N391" s="224" t="s">
        <v>452</v>
      </c>
      <c r="O391" s="224" t="s">
        <v>11190</v>
      </c>
      <c r="P391" s="224"/>
      <c r="Q391" s="224" t="s">
        <v>18</v>
      </c>
      <c r="R391" s="254"/>
      <c r="S391" s="252"/>
      <c r="T391" s="252"/>
      <c r="U391" s="252"/>
      <c r="V391" s="224"/>
      <c r="W391" s="224"/>
      <c r="X391" s="224"/>
      <c r="Y391" s="224"/>
      <c r="Z391" s="224"/>
    </row>
    <row r="392" spans="1:26" ht="15.75" customHeight="1">
      <c r="A392" s="248">
        <v>44789</v>
      </c>
      <c r="B392" s="219" t="s">
        <v>343</v>
      </c>
      <c r="C392" s="249">
        <v>4</v>
      </c>
      <c r="D392" s="219" t="s">
        <v>11338</v>
      </c>
      <c r="E392" s="250" t="s">
        <v>3</v>
      </c>
      <c r="F392" s="219" t="s">
        <v>488</v>
      </c>
      <c r="G392" s="219" t="s">
        <v>11339</v>
      </c>
      <c r="H392" s="219">
        <v>4</v>
      </c>
      <c r="I392" s="219" t="s">
        <v>941</v>
      </c>
      <c r="J392" s="219" t="s">
        <v>1957</v>
      </c>
      <c r="K392" s="219">
        <v>4</v>
      </c>
      <c r="L392" s="219" t="s">
        <v>923</v>
      </c>
      <c r="M392" s="219" t="s">
        <v>1958</v>
      </c>
      <c r="N392" s="219" t="s">
        <v>452</v>
      </c>
      <c r="O392" s="219" t="s">
        <v>575</v>
      </c>
      <c r="P392" s="219" t="s">
        <v>1959</v>
      </c>
      <c r="Q392" s="219" t="s">
        <v>18</v>
      </c>
      <c r="R392" s="251"/>
      <c r="S392" s="252"/>
      <c r="T392" s="252"/>
      <c r="U392" s="252"/>
      <c r="V392" s="219"/>
      <c r="W392" s="219"/>
      <c r="X392" s="219"/>
      <c r="Y392" s="219"/>
      <c r="Z392" s="219"/>
    </row>
    <row r="393" spans="1:26" ht="15.75" customHeight="1">
      <c r="A393" s="257">
        <v>44789</v>
      </c>
      <c r="B393" s="258" t="s">
        <v>195</v>
      </c>
      <c r="C393" s="263">
        <v>3.88</v>
      </c>
      <c r="D393" s="258" t="s">
        <v>1227</v>
      </c>
      <c r="E393" s="258" t="s">
        <v>4</v>
      </c>
      <c r="F393" s="258" t="s">
        <v>727</v>
      </c>
      <c r="G393" s="258" t="s">
        <v>10652</v>
      </c>
      <c r="H393" s="258">
        <v>4.5</v>
      </c>
      <c r="I393" s="258" t="s">
        <v>1045</v>
      </c>
      <c r="J393" s="258" t="s">
        <v>1229</v>
      </c>
      <c r="K393" s="258">
        <v>3.25</v>
      </c>
      <c r="L393" s="258" t="s">
        <v>784</v>
      </c>
      <c r="M393" s="309">
        <v>1500000</v>
      </c>
      <c r="N393" s="258" t="s">
        <v>452</v>
      </c>
      <c r="O393" s="258" t="s">
        <v>452</v>
      </c>
      <c r="P393" s="258"/>
      <c r="Q393" s="258" t="s">
        <v>18</v>
      </c>
      <c r="R393" s="259" t="s">
        <v>1230</v>
      </c>
      <c r="S393" s="258"/>
      <c r="T393" s="258"/>
      <c r="U393" s="258"/>
      <c r="V393" s="258"/>
      <c r="W393" s="258"/>
      <c r="X393" s="258"/>
      <c r="Y393" s="258"/>
      <c r="Z393" s="258"/>
    </row>
    <row r="394" spans="1:26" ht="15.75" customHeight="1">
      <c r="A394" s="248">
        <v>44789</v>
      </c>
      <c r="B394" s="219" t="s">
        <v>4151</v>
      </c>
      <c r="C394" s="249">
        <v>3.88</v>
      </c>
      <c r="D394" s="219" t="s">
        <v>4154</v>
      </c>
      <c r="E394" s="250" t="s">
        <v>4</v>
      </c>
      <c r="F394" s="219" t="s">
        <v>727</v>
      </c>
      <c r="G394" s="219" t="s">
        <v>10675</v>
      </c>
      <c r="H394" s="219">
        <v>4</v>
      </c>
      <c r="I394" s="219" t="s">
        <v>1045</v>
      </c>
      <c r="J394" s="219" t="s">
        <v>4156</v>
      </c>
      <c r="K394" s="219">
        <v>3.75</v>
      </c>
      <c r="L394" s="219" t="s">
        <v>451</v>
      </c>
      <c r="M394" s="312" t="s">
        <v>4157</v>
      </c>
      <c r="N394" s="219" t="s">
        <v>452</v>
      </c>
      <c r="O394" s="219" t="s">
        <v>4158</v>
      </c>
      <c r="P394" s="219"/>
      <c r="Q394" s="219" t="s">
        <v>24</v>
      </c>
      <c r="R394" s="251" t="s">
        <v>4159</v>
      </c>
      <c r="S394" s="252"/>
      <c r="T394" s="252"/>
      <c r="U394" s="252"/>
      <c r="V394" s="219"/>
      <c r="W394" s="219"/>
      <c r="X394" s="219"/>
      <c r="Y394" s="219"/>
      <c r="Z394" s="219"/>
    </row>
    <row r="395" spans="1:26" ht="15.75" customHeight="1">
      <c r="A395" s="257">
        <v>44789</v>
      </c>
      <c r="B395" s="258" t="s">
        <v>271</v>
      </c>
      <c r="C395" s="263">
        <v>3.88</v>
      </c>
      <c r="D395" s="258" t="s">
        <v>4144</v>
      </c>
      <c r="E395" s="258" t="s">
        <v>4</v>
      </c>
      <c r="F395" s="258" t="s">
        <v>602</v>
      </c>
      <c r="G395" s="258" t="s">
        <v>4145</v>
      </c>
      <c r="H395" s="258">
        <v>4</v>
      </c>
      <c r="I395" s="258" t="s">
        <v>1045</v>
      </c>
      <c r="J395" s="258" t="s">
        <v>4146</v>
      </c>
      <c r="K395" s="258">
        <v>3.75</v>
      </c>
      <c r="L395" s="258"/>
      <c r="M395" s="258"/>
      <c r="N395" s="258" t="s">
        <v>452</v>
      </c>
      <c r="O395" s="258" t="s">
        <v>11019</v>
      </c>
      <c r="P395" s="258"/>
      <c r="Q395" s="258" t="s">
        <v>18</v>
      </c>
      <c r="R395" s="259" t="s">
        <v>4148</v>
      </c>
      <c r="S395" s="252"/>
      <c r="T395" s="252"/>
      <c r="U395" s="252"/>
      <c r="V395" s="224"/>
      <c r="W395" s="224"/>
      <c r="X395" s="224"/>
      <c r="Y395" s="224"/>
      <c r="Z395" s="224"/>
    </row>
    <row r="396" spans="1:26" ht="15.75" customHeight="1">
      <c r="A396" s="257">
        <v>44789</v>
      </c>
      <c r="B396" s="258" t="s">
        <v>107</v>
      </c>
      <c r="C396" s="263">
        <v>3.75</v>
      </c>
      <c r="D396" s="258" t="s">
        <v>10253</v>
      </c>
      <c r="E396" s="258" t="s">
        <v>5</v>
      </c>
      <c r="F396" s="258" t="s">
        <v>447</v>
      </c>
      <c r="G396" s="258" t="s">
        <v>10254</v>
      </c>
      <c r="H396" s="258">
        <v>3.5</v>
      </c>
      <c r="I396" s="258" t="s">
        <v>543</v>
      </c>
      <c r="J396" s="258" t="s">
        <v>13400</v>
      </c>
      <c r="K396" s="258">
        <v>4</v>
      </c>
      <c r="L396" s="258"/>
      <c r="M396" s="258"/>
      <c r="N396" s="258" t="s">
        <v>452</v>
      </c>
      <c r="O396" s="258" t="s">
        <v>452</v>
      </c>
      <c r="P396" s="258"/>
      <c r="Q396" s="258" t="s">
        <v>20</v>
      </c>
      <c r="R396" s="259" t="s">
        <v>2865</v>
      </c>
      <c r="S396" s="258"/>
      <c r="T396" s="258"/>
      <c r="U396" s="258"/>
      <c r="V396" s="258"/>
      <c r="W396" s="258"/>
      <c r="X396" s="258"/>
      <c r="Y396" s="258"/>
      <c r="Z396" s="258"/>
    </row>
    <row r="397" spans="1:26" ht="15.75" customHeight="1">
      <c r="A397" s="257">
        <v>44789</v>
      </c>
      <c r="B397" s="258" t="s">
        <v>405</v>
      </c>
      <c r="C397" s="263">
        <v>3.75</v>
      </c>
      <c r="D397" s="258" t="s">
        <v>10132</v>
      </c>
      <c r="E397" s="258" t="s">
        <v>3</v>
      </c>
      <c r="F397" s="258" t="s">
        <v>460</v>
      </c>
      <c r="G397" s="258" t="s">
        <v>10133</v>
      </c>
      <c r="H397" s="258">
        <v>4</v>
      </c>
      <c r="I397" s="258" t="s">
        <v>488</v>
      </c>
      <c r="J397" s="258" t="s">
        <v>10491</v>
      </c>
      <c r="K397" s="258">
        <v>3.5</v>
      </c>
      <c r="L397" s="258" t="s">
        <v>784</v>
      </c>
      <c r="M397" s="258">
        <v>2000000</v>
      </c>
      <c r="N397" s="258" t="s">
        <v>452</v>
      </c>
      <c r="O397" s="258" t="s">
        <v>10135</v>
      </c>
      <c r="P397" s="258" t="s">
        <v>460</v>
      </c>
      <c r="Q397" s="258" t="s">
        <v>20</v>
      </c>
      <c r="R397" s="259" t="s">
        <v>10136</v>
      </c>
      <c r="S397" s="258"/>
      <c r="T397" s="258"/>
      <c r="U397" s="258"/>
      <c r="V397" s="258"/>
      <c r="W397" s="258"/>
      <c r="X397" s="258"/>
      <c r="Y397" s="258"/>
      <c r="Z397" s="258"/>
    </row>
    <row r="398" spans="1:26" ht="15.75" customHeight="1">
      <c r="A398" s="257">
        <v>44789</v>
      </c>
      <c r="B398" s="258" t="s">
        <v>364</v>
      </c>
      <c r="C398" s="263">
        <v>3.75</v>
      </c>
      <c r="D398" s="258" t="s">
        <v>9794</v>
      </c>
      <c r="E398" s="258" t="s">
        <v>3</v>
      </c>
      <c r="F398" s="258" t="s">
        <v>460</v>
      </c>
      <c r="G398" s="258" t="s">
        <v>9795</v>
      </c>
      <c r="H398" s="258">
        <v>3.5</v>
      </c>
      <c r="I398" s="258" t="s">
        <v>941</v>
      </c>
      <c r="J398" s="258"/>
      <c r="K398" s="258">
        <v>4</v>
      </c>
      <c r="L398" s="258"/>
      <c r="M398" s="258"/>
      <c r="N398" s="258" t="s">
        <v>452</v>
      </c>
      <c r="O398" s="258" t="s">
        <v>452</v>
      </c>
      <c r="P398" s="258" t="s">
        <v>9796</v>
      </c>
      <c r="Q398" s="258" t="s">
        <v>20</v>
      </c>
      <c r="R398" s="259" t="s">
        <v>9797</v>
      </c>
      <c r="S398" s="258"/>
      <c r="T398" s="258"/>
      <c r="U398" s="258"/>
      <c r="V398" s="258"/>
      <c r="W398" s="258"/>
      <c r="X398" s="258"/>
      <c r="Y398" s="258"/>
      <c r="Z398" s="258"/>
    </row>
    <row r="399" spans="1:26" ht="15.75" customHeight="1">
      <c r="A399" s="257">
        <v>44789</v>
      </c>
      <c r="B399" s="258" t="s">
        <v>4189</v>
      </c>
      <c r="C399" s="263">
        <v>3.75</v>
      </c>
      <c r="D399" s="258" t="s">
        <v>4192</v>
      </c>
      <c r="E399" s="258" t="s">
        <v>4</v>
      </c>
      <c r="F399" s="258" t="s">
        <v>602</v>
      </c>
      <c r="G399" s="258" t="s">
        <v>4193</v>
      </c>
      <c r="H399" s="258">
        <v>4</v>
      </c>
      <c r="I399" s="258" t="s">
        <v>1054</v>
      </c>
      <c r="J399" s="258" t="s">
        <v>4194</v>
      </c>
      <c r="K399" s="258">
        <v>3.5</v>
      </c>
      <c r="L399" s="258" t="s">
        <v>478</v>
      </c>
      <c r="M399" s="258" t="s">
        <v>3870</v>
      </c>
      <c r="N399" s="258" t="s">
        <v>452</v>
      </c>
      <c r="O399" s="258" t="s">
        <v>4195</v>
      </c>
      <c r="P399" s="258"/>
      <c r="Q399" s="258" t="s">
        <v>24</v>
      </c>
      <c r="R399" s="259" t="s">
        <v>11621</v>
      </c>
      <c r="S399" s="252"/>
      <c r="T399" s="252"/>
      <c r="U399" s="252"/>
      <c r="V399" s="224"/>
      <c r="W399" s="224"/>
      <c r="X399" s="224"/>
      <c r="Y399" s="224"/>
      <c r="Z399" s="224"/>
    </row>
    <row r="400" spans="1:26" ht="15.75" customHeight="1">
      <c r="A400" s="257">
        <v>44789</v>
      </c>
      <c r="B400" s="258" t="s">
        <v>199</v>
      </c>
      <c r="C400" s="263">
        <v>3.75</v>
      </c>
      <c r="D400" s="258" t="s">
        <v>1253</v>
      </c>
      <c r="E400" s="258" t="s">
        <v>4</v>
      </c>
      <c r="F400" s="258" t="s">
        <v>602</v>
      </c>
      <c r="G400" s="258" t="s">
        <v>1254</v>
      </c>
      <c r="H400" s="258">
        <v>4</v>
      </c>
      <c r="I400" s="258" t="s">
        <v>1054</v>
      </c>
      <c r="J400" s="258" t="s">
        <v>11622</v>
      </c>
      <c r="K400" s="258">
        <v>3.5</v>
      </c>
      <c r="L400" s="258" t="s">
        <v>451</v>
      </c>
      <c r="M400" s="309">
        <v>2000000</v>
      </c>
      <c r="N400" s="258" t="s">
        <v>465</v>
      </c>
      <c r="O400" s="258" t="s">
        <v>1256</v>
      </c>
      <c r="P400" s="258"/>
      <c r="Q400" s="258" t="s">
        <v>18</v>
      </c>
      <c r="R400" s="259" t="s">
        <v>11623</v>
      </c>
      <c r="S400" s="258"/>
      <c r="T400" s="258"/>
      <c r="U400" s="258"/>
      <c r="V400" s="258"/>
      <c r="W400" s="258"/>
      <c r="X400" s="258"/>
      <c r="Y400" s="258"/>
      <c r="Z400" s="258"/>
    </row>
    <row r="401" spans="1:26" ht="15.75" customHeight="1">
      <c r="A401" s="257">
        <v>44789</v>
      </c>
      <c r="B401" s="258" t="s">
        <v>4331</v>
      </c>
      <c r="C401" s="263">
        <v>3.75</v>
      </c>
      <c r="D401" s="258" t="s">
        <v>4334</v>
      </c>
      <c r="E401" s="258" t="s">
        <v>4</v>
      </c>
      <c r="F401" s="258" t="s">
        <v>602</v>
      </c>
      <c r="G401" s="258" t="s">
        <v>4335</v>
      </c>
      <c r="H401" s="258">
        <v>3.5</v>
      </c>
      <c r="I401" s="258" t="s">
        <v>476</v>
      </c>
      <c r="J401" s="258" t="s">
        <v>13400</v>
      </c>
      <c r="K401" s="258">
        <v>4</v>
      </c>
      <c r="L401" s="258" t="s">
        <v>451</v>
      </c>
      <c r="M401" s="258">
        <v>500</v>
      </c>
      <c r="N401" s="258" t="s">
        <v>452</v>
      </c>
      <c r="O401" s="258" t="s">
        <v>4337</v>
      </c>
      <c r="P401" s="258"/>
      <c r="Q401" s="258" t="s">
        <v>24</v>
      </c>
      <c r="R401" s="259" t="s">
        <v>4338</v>
      </c>
      <c r="S401" s="258"/>
      <c r="T401" s="258"/>
      <c r="U401" s="258"/>
      <c r="V401" s="258"/>
      <c r="W401" s="258"/>
      <c r="X401" s="258"/>
      <c r="Y401" s="258"/>
      <c r="Z401" s="258"/>
    </row>
    <row r="402" spans="1:26" ht="15.75" customHeight="1">
      <c r="A402" s="257">
        <v>44789</v>
      </c>
      <c r="B402" s="258" t="s">
        <v>322</v>
      </c>
      <c r="C402" s="263">
        <v>3.75</v>
      </c>
      <c r="D402" s="258" t="s">
        <v>1782</v>
      </c>
      <c r="E402" s="258" t="s">
        <v>3</v>
      </c>
      <c r="F402" s="258" t="s">
        <v>460</v>
      </c>
      <c r="G402" s="258" t="s">
        <v>1783</v>
      </c>
      <c r="H402" s="258">
        <v>4</v>
      </c>
      <c r="I402" s="258" t="s">
        <v>462</v>
      </c>
      <c r="J402" s="258" t="s">
        <v>1784</v>
      </c>
      <c r="K402" s="258">
        <v>3.5</v>
      </c>
      <c r="L402" s="258" t="s">
        <v>451</v>
      </c>
      <c r="M402" s="309">
        <v>3000000</v>
      </c>
      <c r="N402" s="258" t="s">
        <v>452</v>
      </c>
      <c r="O402" s="258" t="s">
        <v>1785</v>
      </c>
      <c r="P402" s="258"/>
      <c r="Q402" s="258" t="s">
        <v>20</v>
      </c>
      <c r="R402" s="259" t="s">
        <v>1786</v>
      </c>
      <c r="S402" s="258"/>
      <c r="T402" s="258"/>
      <c r="U402" s="258"/>
      <c r="V402" s="258"/>
      <c r="W402" s="258"/>
      <c r="X402" s="258"/>
      <c r="Y402" s="258"/>
      <c r="Z402" s="258"/>
    </row>
    <row r="403" spans="1:26" ht="15.75" customHeight="1">
      <c r="A403" s="253">
        <v>44789</v>
      </c>
      <c r="B403" s="224" t="s">
        <v>4394</v>
      </c>
      <c r="C403" s="249">
        <v>3.75</v>
      </c>
      <c r="D403" s="224" t="s">
        <v>4397</v>
      </c>
      <c r="E403" s="250" t="s">
        <v>4</v>
      </c>
      <c r="F403" s="224" t="s">
        <v>602</v>
      </c>
      <c r="G403" s="224" t="s">
        <v>11073</v>
      </c>
      <c r="H403" s="224">
        <v>4</v>
      </c>
      <c r="I403" s="224" t="s">
        <v>1054</v>
      </c>
      <c r="J403" s="224" t="s">
        <v>4399</v>
      </c>
      <c r="K403" s="224">
        <v>3.5</v>
      </c>
      <c r="L403" s="224" t="s">
        <v>451</v>
      </c>
      <c r="M403" s="307">
        <v>2000000</v>
      </c>
      <c r="N403" s="224" t="s">
        <v>452</v>
      </c>
      <c r="O403" s="313" t="s">
        <v>4400</v>
      </c>
      <c r="P403" s="224" t="s">
        <v>585</v>
      </c>
      <c r="Q403" s="224" t="s">
        <v>24</v>
      </c>
      <c r="R403" s="254"/>
      <c r="S403" s="252"/>
      <c r="T403" s="252"/>
      <c r="U403" s="252"/>
      <c r="V403" s="224"/>
      <c r="W403" s="224"/>
      <c r="X403" s="224"/>
      <c r="Y403" s="224"/>
      <c r="Z403" s="224"/>
    </row>
    <row r="404" spans="1:26" ht="15.75" customHeight="1">
      <c r="A404" s="257">
        <v>44789</v>
      </c>
      <c r="B404" s="258" t="s">
        <v>267</v>
      </c>
      <c r="C404" s="263">
        <v>3.75</v>
      </c>
      <c r="D404" s="258" t="s">
        <v>1542</v>
      </c>
      <c r="E404" s="258" t="s">
        <v>4</v>
      </c>
      <c r="F404" s="258" t="s">
        <v>602</v>
      </c>
      <c r="G404" s="258" t="s">
        <v>1543</v>
      </c>
      <c r="H404" s="258">
        <v>3.5</v>
      </c>
      <c r="I404" s="258" t="s">
        <v>727</v>
      </c>
      <c r="J404" s="258" t="s">
        <v>10742</v>
      </c>
      <c r="K404" s="258">
        <v>4</v>
      </c>
      <c r="L404" s="258" t="s">
        <v>784</v>
      </c>
      <c r="M404" s="309">
        <v>550000</v>
      </c>
      <c r="N404" s="258" t="s">
        <v>454</v>
      </c>
      <c r="O404" s="258" t="s">
        <v>452</v>
      </c>
      <c r="P404" s="258" t="s">
        <v>447</v>
      </c>
      <c r="Q404" s="258" t="s">
        <v>18</v>
      </c>
      <c r="R404" s="259" t="s">
        <v>1545</v>
      </c>
      <c r="S404" s="258"/>
      <c r="T404" s="258"/>
      <c r="U404" s="258"/>
      <c r="V404" s="258"/>
      <c r="W404" s="258"/>
      <c r="X404" s="258"/>
      <c r="Y404" s="258"/>
      <c r="Z404" s="258"/>
    </row>
    <row r="405" spans="1:26" ht="15.75" customHeight="1">
      <c r="A405" s="257">
        <v>44789</v>
      </c>
      <c r="B405" s="258" t="s">
        <v>8474</v>
      </c>
      <c r="C405" s="263">
        <v>3.75</v>
      </c>
      <c r="D405" s="258" t="s">
        <v>8477</v>
      </c>
      <c r="E405" s="258" t="s">
        <v>3</v>
      </c>
      <c r="F405" s="258" t="s">
        <v>488</v>
      </c>
      <c r="G405" s="258" t="s">
        <v>8478</v>
      </c>
      <c r="H405" s="258">
        <v>3.5</v>
      </c>
      <c r="I405" s="258" t="s">
        <v>462</v>
      </c>
      <c r="J405" s="258" t="s">
        <v>8479</v>
      </c>
      <c r="K405" s="258">
        <v>4</v>
      </c>
      <c r="L405" s="258" t="s">
        <v>478</v>
      </c>
      <c r="M405" s="258" t="s">
        <v>8480</v>
      </c>
      <c r="N405" s="258" t="s">
        <v>452</v>
      </c>
      <c r="O405" s="258" t="s">
        <v>8481</v>
      </c>
      <c r="P405" s="258"/>
      <c r="Q405" s="258" t="s">
        <v>24</v>
      </c>
      <c r="R405" s="259" t="s">
        <v>8482</v>
      </c>
      <c r="S405" s="258"/>
      <c r="T405" s="258"/>
      <c r="U405" s="258"/>
      <c r="V405" s="258"/>
      <c r="W405" s="258"/>
      <c r="X405" s="258"/>
      <c r="Y405" s="258"/>
      <c r="Z405" s="258"/>
    </row>
    <row r="406" spans="1:26" ht="15.75" customHeight="1">
      <c r="A406" s="257">
        <v>44789</v>
      </c>
      <c r="B406" s="258" t="s">
        <v>410</v>
      </c>
      <c r="C406" s="263">
        <v>3.75</v>
      </c>
      <c r="D406" s="258" t="s">
        <v>9977</v>
      </c>
      <c r="E406" s="258" t="s">
        <v>3</v>
      </c>
      <c r="F406" s="258" t="s">
        <v>460</v>
      </c>
      <c r="G406" s="258" t="s">
        <v>9978</v>
      </c>
      <c r="H406" s="258">
        <v>4</v>
      </c>
      <c r="I406" s="258" t="s">
        <v>462</v>
      </c>
      <c r="J406" s="258" t="s">
        <v>9979</v>
      </c>
      <c r="K406" s="258">
        <v>3.5</v>
      </c>
      <c r="L406" s="258" t="s">
        <v>784</v>
      </c>
      <c r="M406" s="309">
        <v>500000</v>
      </c>
      <c r="N406" s="258" t="s">
        <v>452</v>
      </c>
      <c r="O406" s="258" t="s">
        <v>452</v>
      </c>
      <c r="P406" s="258" t="s">
        <v>9980</v>
      </c>
      <c r="Q406" s="258" t="s">
        <v>20</v>
      </c>
      <c r="R406" s="259" t="s">
        <v>9981</v>
      </c>
      <c r="S406" s="258"/>
      <c r="T406" s="258"/>
      <c r="U406" s="258"/>
      <c r="V406" s="258"/>
      <c r="W406" s="258"/>
      <c r="X406" s="258"/>
      <c r="Y406" s="258"/>
      <c r="Z406" s="258"/>
    </row>
    <row r="407" spans="1:26" ht="15.75" customHeight="1">
      <c r="A407" s="257">
        <v>44789</v>
      </c>
      <c r="B407" s="258" t="s">
        <v>4447</v>
      </c>
      <c r="C407" s="263">
        <v>3.63</v>
      </c>
      <c r="D407" s="258" t="s">
        <v>4450</v>
      </c>
      <c r="E407" s="258" t="s">
        <v>4</v>
      </c>
      <c r="F407" s="258" t="s">
        <v>727</v>
      </c>
      <c r="G407" s="258" t="s">
        <v>10252</v>
      </c>
      <c r="H407" s="258">
        <v>3.75</v>
      </c>
      <c r="I407" s="258" t="s">
        <v>1045</v>
      </c>
      <c r="J407" s="258" t="s">
        <v>4452</v>
      </c>
      <c r="K407" s="258">
        <v>3.5</v>
      </c>
      <c r="L407" s="258"/>
      <c r="M407" s="258"/>
      <c r="N407" s="258" t="s">
        <v>454</v>
      </c>
      <c r="O407" s="258" t="s">
        <v>452</v>
      </c>
      <c r="P407" s="258" t="s">
        <v>4453</v>
      </c>
      <c r="Q407" s="258" t="s">
        <v>24</v>
      </c>
      <c r="R407" s="259" t="s">
        <v>4454</v>
      </c>
      <c r="S407" s="258"/>
      <c r="T407" s="258"/>
      <c r="U407" s="258"/>
      <c r="V407" s="258"/>
      <c r="W407" s="258"/>
      <c r="X407" s="258"/>
      <c r="Y407" s="258"/>
      <c r="Z407" s="258"/>
    </row>
    <row r="408" spans="1:26" ht="15.75" customHeight="1">
      <c r="A408" s="248">
        <v>44789</v>
      </c>
      <c r="B408" s="219" t="s">
        <v>4466</v>
      </c>
      <c r="C408" s="249">
        <v>3.63</v>
      </c>
      <c r="D408" s="219" t="s">
        <v>4469</v>
      </c>
      <c r="E408" s="250" t="s">
        <v>4</v>
      </c>
      <c r="F408" s="219" t="s">
        <v>727</v>
      </c>
      <c r="G408" s="219" t="s">
        <v>10258</v>
      </c>
      <c r="H408" s="219">
        <v>3.75</v>
      </c>
      <c r="I408" s="219" t="s">
        <v>1045</v>
      </c>
      <c r="J408" s="219" t="s">
        <v>4471</v>
      </c>
      <c r="K408" s="219">
        <v>3.5</v>
      </c>
      <c r="L408" s="219"/>
      <c r="M408" s="312"/>
      <c r="N408" s="219" t="s">
        <v>452</v>
      </c>
      <c r="O408" s="219" t="s">
        <v>4472</v>
      </c>
      <c r="P408" s="219"/>
      <c r="Q408" s="219" t="s">
        <v>24</v>
      </c>
      <c r="R408" s="251" t="s">
        <v>4473</v>
      </c>
      <c r="S408" s="252"/>
      <c r="T408" s="252"/>
      <c r="U408" s="252"/>
      <c r="V408" s="219"/>
      <c r="W408" s="219"/>
      <c r="X408" s="219"/>
      <c r="Y408" s="219"/>
      <c r="Z408" s="219"/>
    </row>
    <row r="409" spans="1:26" ht="15.75" customHeight="1">
      <c r="A409" s="257">
        <v>44789</v>
      </c>
      <c r="B409" s="258" t="s">
        <v>293</v>
      </c>
      <c r="C409" s="263">
        <v>3.63</v>
      </c>
      <c r="D409" s="258" t="s">
        <v>4495</v>
      </c>
      <c r="E409" s="258" t="s">
        <v>4</v>
      </c>
      <c r="F409" s="258" t="s">
        <v>727</v>
      </c>
      <c r="G409" s="258" t="s">
        <v>10704</v>
      </c>
      <c r="H409" s="258">
        <v>3.75</v>
      </c>
      <c r="I409" s="258" t="s">
        <v>1045</v>
      </c>
      <c r="J409" s="258" t="s">
        <v>4497</v>
      </c>
      <c r="K409" s="258">
        <v>3.5</v>
      </c>
      <c r="L409" s="258"/>
      <c r="M409" s="309"/>
      <c r="N409" s="258" t="s">
        <v>452</v>
      </c>
      <c r="O409" s="258" t="s">
        <v>452</v>
      </c>
      <c r="P409" s="258"/>
      <c r="Q409" s="258" t="s">
        <v>18</v>
      </c>
      <c r="R409" s="259" t="s">
        <v>11624</v>
      </c>
      <c r="S409" s="258"/>
      <c r="T409" s="258"/>
      <c r="U409" s="258"/>
      <c r="V409" s="258"/>
      <c r="W409" s="258"/>
      <c r="X409" s="258"/>
      <c r="Y409" s="258"/>
      <c r="Z409" s="258"/>
    </row>
    <row r="410" spans="1:26" ht="15.75" customHeight="1">
      <c r="A410" s="248">
        <v>44789</v>
      </c>
      <c r="B410" s="219" t="s">
        <v>4475</v>
      </c>
      <c r="C410" s="249">
        <v>3.63</v>
      </c>
      <c r="D410" s="219" t="s">
        <v>4478</v>
      </c>
      <c r="E410" s="250" t="s">
        <v>4</v>
      </c>
      <c r="F410" s="219" t="s">
        <v>727</v>
      </c>
      <c r="G410" s="219" t="s">
        <v>10707</v>
      </c>
      <c r="H410" s="219">
        <v>3.75</v>
      </c>
      <c r="I410" s="219" t="s">
        <v>1045</v>
      </c>
      <c r="J410" s="219" t="s">
        <v>4480</v>
      </c>
      <c r="K410" s="219">
        <v>3.5</v>
      </c>
      <c r="L410" s="219" t="s">
        <v>784</v>
      </c>
      <c r="M410" s="310">
        <v>500000</v>
      </c>
      <c r="N410" s="219" t="s">
        <v>452</v>
      </c>
      <c r="O410" s="219" t="s">
        <v>4481</v>
      </c>
      <c r="P410" s="219"/>
      <c r="Q410" s="219" t="s">
        <v>24</v>
      </c>
      <c r="R410" s="251"/>
      <c r="S410" s="252"/>
      <c r="T410" s="252"/>
      <c r="U410" s="252"/>
      <c r="V410" s="219"/>
      <c r="W410" s="219"/>
      <c r="X410" s="219"/>
      <c r="Y410" s="219"/>
      <c r="Z410" s="219"/>
    </row>
    <row r="411" spans="1:26" ht="15.75" customHeight="1">
      <c r="A411" s="257">
        <v>44789</v>
      </c>
      <c r="B411" s="258" t="s">
        <v>295</v>
      </c>
      <c r="C411" s="263">
        <v>3.63</v>
      </c>
      <c r="D411" s="258" t="s">
        <v>4502</v>
      </c>
      <c r="E411" s="258" t="s">
        <v>4</v>
      </c>
      <c r="F411" s="258" t="s">
        <v>727</v>
      </c>
      <c r="G411" s="258" t="s">
        <v>10896</v>
      </c>
      <c r="H411" s="258">
        <v>3.75</v>
      </c>
      <c r="I411" s="258" t="s">
        <v>476</v>
      </c>
      <c r="J411" s="258" t="s">
        <v>11625</v>
      </c>
      <c r="K411" s="258">
        <v>3.5</v>
      </c>
      <c r="L411" s="258"/>
      <c r="M411" s="258"/>
      <c r="N411" s="258" t="s">
        <v>452</v>
      </c>
      <c r="O411" s="258" t="s">
        <v>10898</v>
      </c>
      <c r="P411" s="258"/>
      <c r="Q411" s="258" t="s">
        <v>18</v>
      </c>
      <c r="R411" s="259" t="s">
        <v>4506</v>
      </c>
      <c r="S411" s="258"/>
      <c r="T411" s="258"/>
      <c r="U411" s="258"/>
      <c r="V411" s="258"/>
      <c r="W411" s="258"/>
      <c r="X411" s="258"/>
      <c r="Y411" s="258"/>
      <c r="Z411" s="258"/>
    </row>
    <row r="412" spans="1:26" ht="15.75" customHeight="1">
      <c r="A412" s="255">
        <v>44789</v>
      </c>
      <c r="B412" s="239" t="s">
        <v>111</v>
      </c>
      <c r="C412" s="262">
        <v>3.5</v>
      </c>
      <c r="D412" s="239" t="s">
        <v>9355</v>
      </c>
      <c r="E412" s="239" t="s">
        <v>5</v>
      </c>
      <c r="F412" s="239" t="s">
        <v>447</v>
      </c>
      <c r="G412" s="239" t="s">
        <v>11626</v>
      </c>
      <c r="H412" s="239">
        <v>3.5</v>
      </c>
      <c r="I412" s="239" t="s">
        <v>543</v>
      </c>
      <c r="J412" s="239" t="s">
        <v>11627</v>
      </c>
      <c r="K412" s="239">
        <v>3.5</v>
      </c>
      <c r="L412" s="239"/>
      <c r="M412" s="239"/>
      <c r="N412" s="239" t="s">
        <v>452</v>
      </c>
      <c r="O412" s="239" t="s">
        <v>10361</v>
      </c>
      <c r="P412" s="239"/>
      <c r="Q412" s="239" t="s">
        <v>19</v>
      </c>
      <c r="R412" s="256" t="s">
        <v>1477</v>
      </c>
      <c r="S412" s="239"/>
      <c r="T412" s="239"/>
      <c r="U412" s="239"/>
      <c r="V412" s="239"/>
      <c r="W412" s="239"/>
      <c r="X412" s="239"/>
      <c r="Y412" s="239"/>
      <c r="Z412" s="239"/>
    </row>
    <row r="413" spans="1:26" ht="15.75" customHeight="1">
      <c r="A413" s="255">
        <v>44789</v>
      </c>
      <c r="B413" s="239" t="s">
        <v>140</v>
      </c>
      <c r="C413" s="262">
        <v>3.5</v>
      </c>
      <c r="D413" s="239" t="s">
        <v>9376</v>
      </c>
      <c r="E413" s="239" t="s">
        <v>5</v>
      </c>
      <c r="F413" s="239" t="s">
        <v>447</v>
      </c>
      <c r="G413" s="239" t="s">
        <v>10616</v>
      </c>
      <c r="H413" s="239">
        <v>3.5</v>
      </c>
      <c r="I413" s="239" t="s">
        <v>543</v>
      </c>
      <c r="J413" s="239" t="s">
        <v>11628</v>
      </c>
      <c r="K413" s="239">
        <v>3.5</v>
      </c>
      <c r="L413" s="239" t="s">
        <v>923</v>
      </c>
      <c r="M413" s="314">
        <v>5000000</v>
      </c>
      <c r="N413" s="239" t="s">
        <v>465</v>
      </c>
      <c r="O413" s="239" t="s">
        <v>9379</v>
      </c>
      <c r="P413" s="239" t="s">
        <v>725</v>
      </c>
      <c r="Q413" s="239" t="s">
        <v>19</v>
      </c>
      <c r="R413" s="256" t="s">
        <v>1477</v>
      </c>
      <c r="S413" s="239"/>
      <c r="T413" s="239"/>
      <c r="U413" s="239"/>
      <c r="V413" s="239"/>
      <c r="W413" s="239"/>
      <c r="X413" s="239"/>
      <c r="Y413" s="239"/>
      <c r="Z413" s="239"/>
    </row>
    <row r="414" spans="1:26" ht="15.75" customHeight="1">
      <c r="A414" s="248">
        <v>44789</v>
      </c>
      <c r="B414" s="219" t="s">
        <v>4576</v>
      </c>
      <c r="C414" s="249">
        <v>3.5</v>
      </c>
      <c r="D414" s="219" t="s">
        <v>10683</v>
      </c>
      <c r="E414" s="250" t="s">
        <v>4</v>
      </c>
      <c r="F414" s="219" t="s">
        <v>727</v>
      </c>
      <c r="G414" s="219" t="s">
        <v>10684</v>
      </c>
      <c r="H414" s="219">
        <v>4</v>
      </c>
      <c r="I414" s="219" t="s">
        <v>476</v>
      </c>
      <c r="J414" s="219" t="s">
        <v>10685</v>
      </c>
      <c r="K414" s="219">
        <v>3</v>
      </c>
      <c r="L414" s="219" t="s">
        <v>451</v>
      </c>
      <c r="M414" s="312">
        <v>3000000</v>
      </c>
      <c r="N414" s="219" t="s">
        <v>452</v>
      </c>
      <c r="O414" s="219" t="s">
        <v>10686</v>
      </c>
      <c r="P414" s="219"/>
      <c r="Q414" s="219" t="s">
        <v>24</v>
      </c>
      <c r="R414" s="251"/>
      <c r="S414" s="252"/>
      <c r="T414" s="252"/>
      <c r="U414" s="252"/>
      <c r="V414" s="219"/>
      <c r="W414" s="219"/>
      <c r="X414" s="219"/>
      <c r="Y414" s="219"/>
      <c r="Z414" s="219"/>
    </row>
    <row r="415" spans="1:26" ht="15.75" customHeight="1">
      <c r="A415" s="253">
        <v>44789</v>
      </c>
      <c r="B415" s="224" t="s">
        <v>4751</v>
      </c>
      <c r="C415" s="249">
        <v>3.5</v>
      </c>
      <c r="D415" s="224" t="s">
        <v>10712</v>
      </c>
      <c r="E415" s="250" t="s">
        <v>4</v>
      </c>
      <c r="F415" s="224" t="s">
        <v>727</v>
      </c>
      <c r="G415" s="224" t="s">
        <v>10713</v>
      </c>
      <c r="H415" s="224">
        <v>3</v>
      </c>
      <c r="I415" s="224" t="s">
        <v>476</v>
      </c>
      <c r="J415" s="224" t="s">
        <v>13400</v>
      </c>
      <c r="K415" s="224">
        <v>4</v>
      </c>
      <c r="L415" s="224" t="s">
        <v>451</v>
      </c>
      <c r="M415" s="311">
        <v>1000000</v>
      </c>
      <c r="N415" s="224" t="s">
        <v>452</v>
      </c>
      <c r="O415" s="224" t="s">
        <v>4757</v>
      </c>
      <c r="P415" s="224"/>
      <c r="Q415" s="224" t="s">
        <v>24</v>
      </c>
      <c r="R415" s="254"/>
      <c r="S415" s="252"/>
      <c r="T415" s="252"/>
      <c r="U415" s="252"/>
      <c r="V415" s="224"/>
      <c r="W415" s="224"/>
      <c r="X415" s="224"/>
      <c r="Y415" s="224"/>
      <c r="Z415" s="224"/>
    </row>
    <row r="416" spans="1:26" ht="15.75" customHeight="1">
      <c r="A416" s="255">
        <v>44789</v>
      </c>
      <c r="B416" s="239" t="s">
        <v>3268</v>
      </c>
      <c r="C416" s="262">
        <v>3.5</v>
      </c>
      <c r="D416" s="239" t="s">
        <v>10808</v>
      </c>
      <c r="E416" s="239" t="s">
        <v>5</v>
      </c>
      <c r="F416" s="239" t="s">
        <v>447</v>
      </c>
      <c r="G416" s="239" t="s">
        <v>10809</v>
      </c>
      <c r="H416" s="239">
        <v>3.5</v>
      </c>
      <c r="I416" s="239" t="s">
        <v>543</v>
      </c>
      <c r="J416" s="239" t="e">
        <f>+combining Lab-on-Chip technology with AI for real-time,
multi-parametric, automated condition monitoring.
- company need more funds and customers as it has full scale ready to use</f>
        <v>#NAME?</v>
      </c>
      <c r="K416" s="239">
        <v>3.5</v>
      </c>
      <c r="L416" s="239" t="s">
        <v>451</v>
      </c>
      <c r="M416" s="314">
        <v>1600000</v>
      </c>
      <c r="N416" s="239" t="s">
        <v>452</v>
      </c>
      <c r="O416" s="239" t="s">
        <v>3274</v>
      </c>
      <c r="P416" s="239"/>
      <c r="Q416" s="239" t="s">
        <v>24</v>
      </c>
      <c r="R416" s="256" t="s">
        <v>1477</v>
      </c>
      <c r="S416" s="239"/>
      <c r="T416" s="239"/>
      <c r="U416" s="239"/>
      <c r="V416" s="239"/>
      <c r="W416" s="239"/>
      <c r="X416" s="239"/>
      <c r="Y416" s="239"/>
      <c r="Z416" s="239"/>
    </row>
    <row r="417" spans="1:26" ht="15.75" customHeight="1">
      <c r="A417" s="255">
        <v>44789</v>
      </c>
      <c r="B417" s="239" t="s">
        <v>63</v>
      </c>
      <c r="C417" s="262">
        <v>3.5</v>
      </c>
      <c r="D417" s="239" t="s">
        <v>2101</v>
      </c>
      <c r="E417" s="239" t="s">
        <v>5</v>
      </c>
      <c r="F417" s="239" t="s">
        <v>447</v>
      </c>
      <c r="G417" s="239" t="s">
        <v>10818</v>
      </c>
      <c r="H417" s="239">
        <v>3.5</v>
      </c>
      <c r="I417" s="239" t="s">
        <v>543</v>
      </c>
      <c r="J417" s="239" t="s">
        <v>10819</v>
      </c>
      <c r="K417" s="239">
        <v>3.5</v>
      </c>
      <c r="L417" s="239"/>
      <c r="M417" s="308"/>
      <c r="N417" s="239" t="s">
        <v>452</v>
      </c>
      <c r="O417" s="239" t="s">
        <v>2104</v>
      </c>
      <c r="P417" s="239"/>
      <c r="Q417" s="239" t="s">
        <v>20</v>
      </c>
      <c r="R417" s="256" t="s">
        <v>2105</v>
      </c>
      <c r="S417" s="239"/>
      <c r="T417" s="239"/>
      <c r="U417" s="239"/>
      <c r="V417" s="239"/>
      <c r="W417" s="239"/>
      <c r="X417" s="239"/>
      <c r="Y417" s="239"/>
      <c r="Z417" s="239"/>
    </row>
    <row r="418" spans="1:26" ht="15.75" customHeight="1">
      <c r="A418" s="248">
        <v>44789</v>
      </c>
      <c r="B418" s="219" t="s">
        <v>4839</v>
      </c>
      <c r="C418" s="249">
        <v>3.5</v>
      </c>
      <c r="D418" s="219" t="s">
        <v>4842</v>
      </c>
      <c r="E418" s="250" t="s">
        <v>4</v>
      </c>
      <c r="F418" s="219" t="s">
        <v>602</v>
      </c>
      <c r="G418" s="219" t="s">
        <v>4843</v>
      </c>
      <c r="H418" s="219">
        <v>4</v>
      </c>
      <c r="I418" s="219" t="s">
        <v>476</v>
      </c>
      <c r="J418" s="219" t="s">
        <v>13400</v>
      </c>
      <c r="K418" s="219">
        <v>3</v>
      </c>
      <c r="L418" s="219" t="s">
        <v>478</v>
      </c>
      <c r="M418" s="310">
        <v>5000000</v>
      </c>
      <c r="N418" s="219" t="s">
        <v>452</v>
      </c>
      <c r="O418" s="219" t="s">
        <v>4845</v>
      </c>
      <c r="P418" s="219"/>
      <c r="Q418" s="219" t="s">
        <v>24</v>
      </c>
      <c r="R418" s="251"/>
      <c r="S418" s="252"/>
      <c r="T418" s="252"/>
      <c r="U418" s="252"/>
      <c r="V418" s="219"/>
      <c r="W418" s="219"/>
      <c r="X418" s="219"/>
      <c r="Y418" s="219"/>
      <c r="Z418" s="219"/>
    </row>
    <row r="419" spans="1:26" ht="15.75" customHeight="1">
      <c r="A419" s="253">
        <v>44789</v>
      </c>
      <c r="B419" s="224" t="s">
        <v>9070</v>
      </c>
      <c r="C419" s="249">
        <v>3.5</v>
      </c>
      <c r="D419" s="224" t="s">
        <v>9073</v>
      </c>
      <c r="E419" s="250" t="s">
        <v>3</v>
      </c>
      <c r="F419" s="224" t="s">
        <v>460</v>
      </c>
      <c r="G419" s="224" t="s">
        <v>9074</v>
      </c>
      <c r="H419" s="224">
        <v>3</v>
      </c>
      <c r="I419" s="224" t="s">
        <v>941</v>
      </c>
      <c r="J419" s="224" t="s">
        <v>9075</v>
      </c>
      <c r="K419" s="224">
        <v>4</v>
      </c>
      <c r="L419" s="224"/>
      <c r="M419" s="224"/>
      <c r="N419" s="224" t="s">
        <v>452</v>
      </c>
      <c r="O419" s="224" t="s">
        <v>11046</v>
      </c>
      <c r="P419" s="224"/>
      <c r="Q419" s="224" t="s">
        <v>24</v>
      </c>
      <c r="R419" s="254"/>
      <c r="S419" s="252"/>
      <c r="T419" s="252"/>
      <c r="U419" s="252"/>
      <c r="V419" s="224"/>
      <c r="W419" s="224"/>
      <c r="X419" s="224"/>
      <c r="Y419" s="224"/>
      <c r="Z419" s="224"/>
    </row>
    <row r="420" spans="1:26" ht="15.75" customHeight="1">
      <c r="A420" s="248">
        <v>44789</v>
      </c>
      <c r="B420" s="219" t="s">
        <v>4637</v>
      </c>
      <c r="C420" s="249">
        <v>3.5</v>
      </c>
      <c r="D420" s="219" t="s">
        <v>4640</v>
      </c>
      <c r="E420" s="250" t="s">
        <v>4</v>
      </c>
      <c r="F420" s="219" t="s">
        <v>602</v>
      </c>
      <c r="G420" s="219" t="s">
        <v>4641</v>
      </c>
      <c r="H420" s="219">
        <v>4</v>
      </c>
      <c r="I420" s="219" t="s">
        <v>476</v>
      </c>
      <c r="J420" s="219" t="s">
        <v>13400</v>
      </c>
      <c r="K420" s="219">
        <v>3</v>
      </c>
      <c r="L420" s="219"/>
      <c r="M420" s="310"/>
      <c r="N420" s="219" t="s">
        <v>465</v>
      </c>
      <c r="O420" s="219" t="s">
        <v>4643</v>
      </c>
      <c r="P420" s="219"/>
      <c r="Q420" s="219" t="s">
        <v>24</v>
      </c>
      <c r="R420" s="251"/>
      <c r="S420" s="252"/>
      <c r="T420" s="252"/>
      <c r="U420" s="252"/>
      <c r="V420" s="219"/>
      <c r="W420" s="219"/>
      <c r="X420" s="219"/>
      <c r="Y420" s="219"/>
      <c r="Z420" s="219"/>
    </row>
    <row r="421" spans="1:26" ht="15.75" customHeight="1">
      <c r="A421" s="257">
        <v>44789</v>
      </c>
      <c r="B421" s="258" t="s">
        <v>2463</v>
      </c>
      <c r="C421" s="263">
        <v>3.5</v>
      </c>
      <c r="D421" s="258" t="s">
        <v>2466</v>
      </c>
      <c r="E421" s="258" t="s">
        <v>5</v>
      </c>
      <c r="F421" s="258" t="s">
        <v>447</v>
      </c>
      <c r="G421" s="258" t="s">
        <v>11248</v>
      </c>
      <c r="H421" s="258">
        <v>3</v>
      </c>
      <c r="I421" s="258" t="s">
        <v>449</v>
      </c>
      <c r="J421" s="258" t="e">
        <f>+good idea
+Large potential market
+Provisional patent
+Founders seem Credible
+developed product</f>
        <v>#NAME?</v>
      </c>
      <c r="K421" s="258">
        <v>4</v>
      </c>
      <c r="L421" s="258" t="s">
        <v>451</v>
      </c>
      <c r="M421" s="261">
        <v>1250000</v>
      </c>
      <c r="N421" s="258" t="s">
        <v>452</v>
      </c>
      <c r="O421" s="258" t="s">
        <v>2469</v>
      </c>
      <c r="P421" s="258"/>
      <c r="Q421" s="258" t="s">
        <v>24</v>
      </c>
      <c r="R421" s="259" t="s">
        <v>2470</v>
      </c>
      <c r="S421" s="258"/>
      <c r="T421" s="258"/>
      <c r="U421" s="258"/>
      <c r="V421" s="258"/>
      <c r="W421" s="258"/>
      <c r="X421" s="258"/>
      <c r="Y421" s="258"/>
      <c r="Z421" s="258"/>
    </row>
    <row r="422" spans="1:26" ht="15.75" customHeight="1">
      <c r="A422" s="248">
        <v>44789</v>
      </c>
      <c r="B422" s="219" t="s">
        <v>4848</v>
      </c>
      <c r="C422" s="249">
        <v>3.5</v>
      </c>
      <c r="D422" s="219" t="s">
        <v>4851</v>
      </c>
      <c r="E422" s="250" t="s">
        <v>4</v>
      </c>
      <c r="F422" s="219" t="s">
        <v>727</v>
      </c>
      <c r="G422" s="219" t="s">
        <v>11387</v>
      </c>
      <c r="H422" s="219">
        <v>3.5</v>
      </c>
      <c r="I422" s="219" t="s">
        <v>1045</v>
      </c>
      <c r="J422" s="219" t="s">
        <v>4853</v>
      </c>
      <c r="K422" s="219">
        <v>3.5</v>
      </c>
      <c r="L422" s="219"/>
      <c r="M422" s="219"/>
      <c r="N422" s="219" t="s">
        <v>452</v>
      </c>
      <c r="O422" s="219" t="s">
        <v>575</v>
      </c>
      <c r="P422" s="219"/>
      <c r="Q422" s="219" t="s">
        <v>24</v>
      </c>
      <c r="R422" s="251"/>
      <c r="S422" s="252"/>
      <c r="T422" s="252"/>
      <c r="U422" s="252"/>
      <c r="V422" s="219"/>
      <c r="W422" s="219"/>
      <c r="X422" s="219"/>
      <c r="Y422" s="219"/>
      <c r="Z422" s="219"/>
    </row>
    <row r="423" spans="1:26" ht="15.75" customHeight="1">
      <c r="A423" s="253">
        <v>44789</v>
      </c>
      <c r="B423" s="224" t="s">
        <v>2108</v>
      </c>
      <c r="C423" s="249">
        <v>3.5</v>
      </c>
      <c r="D423" s="224" t="s">
        <v>2111</v>
      </c>
      <c r="E423" s="250" t="s">
        <v>5</v>
      </c>
      <c r="F423" s="224" t="s">
        <v>447</v>
      </c>
      <c r="G423" s="224" t="s">
        <v>2112</v>
      </c>
      <c r="H423" s="224">
        <v>3.5</v>
      </c>
      <c r="I423" s="224" t="s">
        <v>543</v>
      </c>
      <c r="J423" s="224" t="s">
        <v>13400</v>
      </c>
      <c r="K423" s="224">
        <v>3.5</v>
      </c>
      <c r="L423" s="224" t="s">
        <v>478</v>
      </c>
      <c r="M423" s="224" t="s">
        <v>2114</v>
      </c>
      <c r="N423" s="224" t="s">
        <v>465</v>
      </c>
      <c r="O423" s="224" t="s">
        <v>2115</v>
      </c>
      <c r="P423" s="224"/>
      <c r="Q423" s="224" t="s">
        <v>24</v>
      </c>
      <c r="R423" s="254"/>
      <c r="S423" s="252"/>
      <c r="T423" s="252"/>
      <c r="U423" s="252"/>
      <c r="V423" s="224"/>
      <c r="W423" s="224"/>
      <c r="X423" s="224"/>
      <c r="Y423" s="224"/>
      <c r="Z423" s="224"/>
    </row>
    <row r="424" spans="1:26" ht="15.75" customHeight="1">
      <c r="A424" s="257">
        <v>44789</v>
      </c>
      <c r="B424" s="258" t="s">
        <v>2760</v>
      </c>
      <c r="C424" s="263">
        <v>3.5</v>
      </c>
      <c r="D424" s="258" t="s">
        <v>2763</v>
      </c>
      <c r="E424" s="258" t="s">
        <v>5</v>
      </c>
      <c r="F424" s="258" t="s">
        <v>447</v>
      </c>
      <c r="G424" s="258" t="s">
        <v>2764</v>
      </c>
      <c r="H424" s="258">
        <v>3.5</v>
      </c>
      <c r="I424" s="258" t="s">
        <v>622</v>
      </c>
      <c r="J424" s="258" t="s">
        <v>13400</v>
      </c>
      <c r="K424" s="258">
        <v>3.5</v>
      </c>
      <c r="L424" s="258"/>
      <c r="M424" s="258"/>
      <c r="N424" s="258" t="s">
        <v>452</v>
      </c>
      <c r="O424" s="258" t="s">
        <v>10812</v>
      </c>
      <c r="P424" s="258"/>
      <c r="Q424" s="258" t="s">
        <v>24</v>
      </c>
      <c r="R424" s="259"/>
      <c r="S424" s="258"/>
      <c r="T424" s="258"/>
      <c r="U424" s="258"/>
      <c r="V424" s="258"/>
      <c r="W424" s="258"/>
      <c r="X424" s="258"/>
      <c r="Y424" s="258"/>
      <c r="Z424" s="258"/>
    </row>
    <row r="425" spans="1:26" ht="15.75" customHeight="1">
      <c r="A425" s="253">
        <v>44789</v>
      </c>
      <c r="B425" s="224" t="s">
        <v>9251</v>
      </c>
      <c r="C425" s="249">
        <v>3.5</v>
      </c>
      <c r="D425" s="224" t="s">
        <v>9254</v>
      </c>
      <c r="E425" s="250" t="s">
        <v>3</v>
      </c>
      <c r="F425" s="224" t="s">
        <v>460</v>
      </c>
      <c r="G425" s="224" t="s">
        <v>9255</v>
      </c>
      <c r="H425" s="224">
        <v>3.5</v>
      </c>
      <c r="I425" s="224" t="s">
        <v>462</v>
      </c>
      <c r="J425" s="224" t="s">
        <v>9256</v>
      </c>
      <c r="K425" s="224">
        <v>3.5</v>
      </c>
      <c r="L425" s="224" t="s">
        <v>451</v>
      </c>
      <c r="M425" s="307">
        <v>3000000</v>
      </c>
      <c r="N425" s="224" t="s">
        <v>452</v>
      </c>
      <c r="O425" s="224" t="s">
        <v>1028</v>
      </c>
      <c r="P425" s="224"/>
      <c r="Q425" s="224" t="s">
        <v>24</v>
      </c>
      <c r="R425" s="254"/>
      <c r="S425" s="252"/>
      <c r="T425" s="252"/>
      <c r="U425" s="252"/>
      <c r="V425" s="224"/>
      <c r="W425" s="224"/>
      <c r="X425" s="224"/>
      <c r="Y425" s="224"/>
      <c r="Z425" s="224"/>
    </row>
    <row r="426" spans="1:26" ht="15.75" customHeight="1">
      <c r="A426" s="255">
        <v>44789</v>
      </c>
      <c r="B426" s="239" t="s">
        <v>304</v>
      </c>
      <c r="C426" s="262">
        <v>3.5</v>
      </c>
      <c r="D426" s="239" t="s">
        <v>9526</v>
      </c>
      <c r="E426" s="239" t="s">
        <v>4</v>
      </c>
      <c r="F426" s="239" t="s">
        <v>460</v>
      </c>
      <c r="G426" s="239" t="s">
        <v>11462</v>
      </c>
      <c r="H426" s="239">
        <v>3</v>
      </c>
      <c r="I426" s="239" t="s">
        <v>488</v>
      </c>
      <c r="J426" s="239" t="s">
        <v>9528</v>
      </c>
      <c r="K426" s="239">
        <v>4</v>
      </c>
      <c r="L426" s="239"/>
      <c r="M426" s="239"/>
      <c r="N426" s="239" t="s">
        <v>452</v>
      </c>
      <c r="O426" s="239" t="s">
        <v>9529</v>
      </c>
      <c r="P426" s="239"/>
      <c r="Q426" s="239" t="s">
        <v>20</v>
      </c>
      <c r="R426" s="256" t="s">
        <v>9530</v>
      </c>
      <c r="S426" s="239"/>
      <c r="T426" s="239"/>
      <c r="U426" s="239"/>
      <c r="V426" s="239"/>
      <c r="W426" s="239"/>
      <c r="X426" s="239"/>
      <c r="Y426" s="239"/>
      <c r="Z426" s="239"/>
    </row>
    <row r="427" spans="1:26" ht="15.75" customHeight="1">
      <c r="A427" s="255">
        <v>44789</v>
      </c>
      <c r="B427" s="239" t="s">
        <v>9584</v>
      </c>
      <c r="C427" s="262">
        <v>3.25</v>
      </c>
      <c r="D427" s="239" t="s">
        <v>9587</v>
      </c>
      <c r="E427" s="239" t="s">
        <v>5</v>
      </c>
      <c r="F427" s="239" t="s">
        <v>460</v>
      </c>
      <c r="G427" s="239" t="s">
        <v>9588</v>
      </c>
      <c r="H427" s="239">
        <v>3.5</v>
      </c>
      <c r="I427" s="239" t="s">
        <v>488</v>
      </c>
      <c r="J427" s="239" t="s">
        <v>10204</v>
      </c>
      <c r="K427" s="239">
        <v>3</v>
      </c>
      <c r="L427" s="239"/>
      <c r="M427" s="239"/>
      <c r="N427" s="239" t="s">
        <v>454</v>
      </c>
      <c r="O427" s="239" t="s">
        <v>9590</v>
      </c>
      <c r="P427" s="239"/>
      <c r="Q427" s="239" t="s">
        <v>23</v>
      </c>
      <c r="R427" s="256" t="s">
        <v>9591</v>
      </c>
      <c r="S427" s="239"/>
      <c r="T427" s="239"/>
      <c r="U427" s="239"/>
      <c r="V427" s="239"/>
      <c r="W427" s="239"/>
      <c r="X427" s="239"/>
      <c r="Y427" s="239"/>
      <c r="Z427" s="239"/>
    </row>
    <row r="428" spans="1:26" ht="15.75" customHeight="1">
      <c r="A428" s="248">
        <v>44789</v>
      </c>
      <c r="B428" s="219" t="s">
        <v>2273</v>
      </c>
      <c r="C428" s="249">
        <v>3.25</v>
      </c>
      <c r="D428" s="219" t="s">
        <v>2276</v>
      </c>
      <c r="E428" s="250" t="s">
        <v>5</v>
      </c>
      <c r="F428" s="219" t="s">
        <v>447</v>
      </c>
      <c r="G428" s="219" t="s">
        <v>10237</v>
      </c>
      <c r="H428" s="219">
        <v>3</v>
      </c>
      <c r="I428" s="219" t="s">
        <v>543</v>
      </c>
      <c r="J428" s="219" t="s">
        <v>13400</v>
      </c>
      <c r="K428" s="219">
        <v>3.5</v>
      </c>
      <c r="L428" s="219" t="s">
        <v>784</v>
      </c>
      <c r="M428" s="219">
        <v>400000</v>
      </c>
      <c r="N428" s="219" t="s">
        <v>452</v>
      </c>
      <c r="O428" s="219" t="s">
        <v>10239</v>
      </c>
      <c r="P428" s="219" t="s">
        <v>1066</v>
      </c>
      <c r="Q428" s="219" t="s">
        <v>24</v>
      </c>
      <c r="R428" s="251"/>
      <c r="S428" s="252"/>
      <c r="T428" s="252"/>
      <c r="U428" s="252"/>
      <c r="V428" s="219"/>
      <c r="W428" s="219"/>
      <c r="X428" s="219"/>
      <c r="Y428" s="219"/>
      <c r="Z428" s="219"/>
    </row>
    <row r="429" spans="1:26" ht="15.75" customHeight="1">
      <c r="A429" s="257">
        <v>44789</v>
      </c>
      <c r="B429" s="258" t="s">
        <v>3087</v>
      </c>
      <c r="C429" s="263">
        <v>3.25</v>
      </c>
      <c r="D429" s="258" t="s">
        <v>3090</v>
      </c>
      <c r="E429" s="258" t="s">
        <v>5</v>
      </c>
      <c r="F429" s="258" t="s">
        <v>622</v>
      </c>
      <c r="G429" s="258" t="s">
        <v>10283</v>
      </c>
      <c r="H429" s="258">
        <v>3</v>
      </c>
      <c r="I429" s="258" t="s">
        <v>449</v>
      </c>
      <c r="J429" s="258" t="s">
        <v>13400</v>
      </c>
      <c r="K429" s="258">
        <v>3.5</v>
      </c>
      <c r="L429" s="258" t="s">
        <v>451</v>
      </c>
      <c r="M429" s="309">
        <v>6000000</v>
      </c>
      <c r="N429" s="258" t="s">
        <v>465</v>
      </c>
      <c r="O429" s="258" t="s">
        <v>3093</v>
      </c>
      <c r="P429" s="258"/>
      <c r="Q429" s="258" t="s">
        <v>24</v>
      </c>
      <c r="R429" s="259" t="s">
        <v>3094</v>
      </c>
      <c r="S429" s="258"/>
      <c r="T429" s="258"/>
      <c r="U429" s="258"/>
      <c r="V429" s="258"/>
      <c r="W429" s="258"/>
      <c r="X429" s="258"/>
      <c r="Y429" s="258"/>
      <c r="Z429" s="258"/>
    </row>
    <row r="430" spans="1:26" ht="15.75" customHeight="1">
      <c r="A430" s="248">
        <v>44789</v>
      </c>
      <c r="B430" s="219" t="s">
        <v>5005</v>
      </c>
      <c r="C430" s="249">
        <v>3.25</v>
      </c>
      <c r="D430" s="219" t="s">
        <v>10508</v>
      </c>
      <c r="E430" s="250" t="s">
        <v>4</v>
      </c>
      <c r="F430" s="219" t="s">
        <v>727</v>
      </c>
      <c r="G430" s="219" t="s">
        <v>5009</v>
      </c>
      <c r="H430" s="219">
        <v>3</v>
      </c>
      <c r="I430" s="219" t="s">
        <v>622</v>
      </c>
      <c r="J430" s="219"/>
      <c r="K430" s="219">
        <v>3.5</v>
      </c>
      <c r="L430" s="219"/>
      <c r="M430" s="219"/>
      <c r="N430" s="219" t="s">
        <v>452</v>
      </c>
      <c r="O430" s="219" t="s">
        <v>452</v>
      </c>
      <c r="P430" s="219"/>
      <c r="Q430" s="219" t="s">
        <v>24</v>
      </c>
      <c r="R430" s="251"/>
      <c r="S430" s="252"/>
      <c r="T430" s="252"/>
      <c r="U430" s="252"/>
      <c r="V430" s="219"/>
      <c r="W430" s="219"/>
      <c r="X430" s="219"/>
      <c r="Y430" s="219"/>
      <c r="Z430" s="219"/>
    </row>
    <row r="431" spans="1:26" ht="15.75" customHeight="1">
      <c r="A431" s="253">
        <v>44789</v>
      </c>
      <c r="B431" s="224" t="s">
        <v>10694</v>
      </c>
      <c r="C431" s="249">
        <v>3.25</v>
      </c>
      <c r="D431" s="224" t="s">
        <v>5058</v>
      </c>
      <c r="E431" s="250" t="s">
        <v>4</v>
      </c>
      <c r="F431" s="224" t="s">
        <v>727</v>
      </c>
      <c r="G431" s="224" t="s">
        <v>10695</v>
      </c>
      <c r="H431" s="224">
        <v>3.5</v>
      </c>
      <c r="I431" s="224" t="s">
        <v>1045</v>
      </c>
      <c r="J431" s="224" t="s">
        <v>5060</v>
      </c>
      <c r="K431" s="224">
        <v>3</v>
      </c>
      <c r="L431" s="224"/>
      <c r="M431" s="224"/>
      <c r="N431" s="224" t="s">
        <v>452</v>
      </c>
      <c r="O431" s="224" t="s">
        <v>10696</v>
      </c>
      <c r="P431" s="224" t="s">
        <v>725</v>
      </c>
      <c r="Q431" s="224" t="s">
        <v>24</v>
      </c>
      <c r="R431" s="254"/>
      <c r="S431" s="252"/>
      <c r="T431" s="252"/>
      <c r="U431" s="252"/>
      <c r="V431" s="224"/>
      <c r="W431" s="224"/>
      <c r="X431" s="224"/>
      <c r="Y431" s="224"/>
      <c r="Z431" s="224"/>
    </row>
    <row r="432" spans="1:26" ht="15.75" customHeight="1">
      <c r="A432" s="248">
        <v>44789</v>
      </c>
      <c r="B432" s="219" t="s">
        <v>3215</v>
      </c>
      <c r="C432" s="249">
        <v>3.25</v>
      </c>
      <c r="D432" s="219" t="s">
        <v>10744</v>
      </c>
      <c r="E432" s="250" t="s">
        <v>5</v>
      </c>
      <c r="F432" s="219" t="s">
        <v>447</v>
      </c>
      <c r="G432" s="219" t="s">
        <v>10745</v>
      </c>
      <c r="H432" s="219">
        <v>3</v>
      </c>
      <c r="I432" s="219" t="s">
        <v>543</v>
      </c>
      <c r="J432" s="219" t="e">
        <f>+ Creates inspection robots for inaccessible places.
+small scale prototype in place
- Pilot is not in place and MVP should be started
- lot of work is already being done in terms of autonomous monitoring or remote monitoring of gas pipelines in arteria service-based company
+a robot that can switch between rolling on the ground or flying</f>
        <v>#NAME?</v>
      </c>
      <c r="K432" s="219">
        <v>3.5</v>
      </c>
      <c r="L432" s="219"/>
      <c r="M432" s="219"/>
      <c r="N432" s="219" t="s">
        <v>452</v>
      </c>
      <c r="O432" s="219" t="s">
        <v>3221</v>
      </c>
      <c r="P432" s="219"/>
      <c r="Q432" s="219" t="s">
        <v>24</v>
      </c>
      <c r="R432" s="251"/>
      <c r="S432" s="252"/>
      <c r="T432" s="252"/>
      <c r="U432" s="252"/>
      <c r="V432" s="219"/>
      <c r="W432" s="219"/>
      <c r="X432" s="219"/>
      <c r="Y432" s="219"/>
      <c r="Z432" s="219"/>
    </row>
    <row r="433" spans="1:26" ht="15.75" customHeight="1">
      <c r="A433" s="253">
        <v>44789</v>
      </c>
      <c r="B433" s="224" t="s">
        <v>2990</v>
      </c>
      <c r="C433" s="249">
        <v>3.25</v>
      </c>
      <c r="D433" s="224" t="s">
        <v>2993</v>
      </c>
      <c r="E433" s="250" t="s">
        <v>5</v>
      </c>
      <c r="F433" s="224" t="s">
        <v>447</v>
      </c>
      <c r="G433" s="224" t="s">
        <v>10795</v>
      </c>
      <c r="H433" s="224">
        <v>3</v>
      </c>
      <c r="I433" s="224" t="s">
        <v>449</v>
      </c>
      <c r="J433" s="224" t="e">
        <f>+Large well developed Team
+developed product
+already selling some gloves
-potential market not very Large</f>
        <v>#NAME?</v>
      </c>
      <c r="K433" s="224">
        <v>3.5</v>
      </c>
      <c r="L433" s="224" t="s">
        <v>2996</v>
      </c>
      <c r="M433" s="224" t="s">
        <v>2997</v>
      </c>
      <c r="N433" s="224" t="s">
        <v>452</v>
      </c>
      <c r="O433" s="224" t="s">
        <v>2998</v>
      </c>
      <c r="P433" s="224"/>
      <c r="Q433" s="224" t="s">
        <v>24</v>
      </c>
      <c r="R433" s="254"/>
      <c r="S433" s="252"/>
      <c r="T433" s="252"/>
      <c r="U433" s="252"/>
      <c r="V433" s="224"/>
      <c r="W433" s="224"/>
      <c r="X433" s="224"/>
      <c r="Y433" s="224"/>
      <c r="Z433" s="224"/>
    </row>
    <row r="434" spans="1:26" ht="15.75" customHeight="1">
      <c r="A434" s="255">
        <v>44789</v>
      </c>
      <c r="B434" s="239" t="s">
        <v>3466</v>
      </c>
      <c r="C434" s="262">
        <v>3.25</v>
      </c>
      <c r="D434" s="239" t="s">
        <v>11629</v>
      </c>
      <c r="E434" s="239" t="s">
        <v>5</v>
      </c>
      <c r="F434" s="239" t="s">
        <v>447</v>
      </c>
      <c r="G434" s="239" t="s">
        <v>11630</v>
      </c>
      <c r="H434" s="239">
        <v>3.5</v>
      </c>
      <c r="I434" s="239" t="s">
        <v>449</v>
      </c>
      <c r="J434" s="239" t="s">
        <v>11631</v>
      </c>
      <c r="K434" s="239">
        <v>3</v>
      </c>
      <c r="L434" s="239"/>
      <c r="M434" s="239"/>
      <c r="N434" s="239"/>
      <c r="O434" s="239"/>
      <c r="P434" s="239"/>
      <c r="Q434" s="239" t="s">
        <v>24</v>
      </c>
      <c r="R434" s="256" t="s">
        <v>3475</v>
      </c>
      <c r="S434" s="239"/>
      <c r="T434" s="239"/>
      <c r="U434" s="239"/>
      <c r="V434" s="239"/>
      <c r="W434" s="239"/>
      <c r="X434" s="239"/>
      <c r="Y434" s="239"/>
      <c r="Z434" s="239"/>
    </row>
    <row r="435" spans="1:26" ht="15.75" customHeight="1">
      <c r="A435" s="253">
        <v>44789</v>
      </c>
      <c r="B435" s="224" t="s">
        <v>2660</v>
      </c>
      <c r="C435" s="249">
        <v>3.25</v>
      </c>
      <c r="D435" s="224" t="s">
        <v>10849</v>
      </c>
      <c r="E435" s="250" t="s">
        <v>5</v>
      </c>
      <c r="F435" s="224" t="s">
        <v>447</v>
      </c>
      <c r="G435" s="224" t="s">
        <v>10850</v>
      </c>
      <c r="H435" s="224">
        <v>3</v>
      </c>
      <c r="I435" s="224" t="s">
        <v>543</v>
      </c>
      <c r="J435" s="224" t="s">
        <v>13400</v>
      </c>
      <c r="K435" s="224">
        <v>3.5</v>
      </c>
      <c r="L435" s="224" t="s">
        <v>451</v>
      </c>
      <c r="M435" s="311">
        <v>1500000</v>
      </c>
      <c r="N435" s="224" t="s">
        <v>465</v>
      </c>
      <c r="O435" s="224" t="s">
        <v>10852</v>
      </c>
      <c r="P435" s="224"/>
      <c r="Q435" s="224" t="s">
        <v>24</v>
      </c>
      <c r="R435" s="254"/>
      <c r="S435" s="252"/>
      <c r="T435" s="252"/>
      <c r="U435" s="252"/>
      <c r="V435" s="224"/>
      <c r="W435" s="224"/>
      <c r="X435" s="224"/>
      <c r="Y435" s="224"/>
      <c r="Z435" s="224"/>
    </row>
    <row r="436" spans="1:26" ht="15.75" customHeight="1">
      <c r="A436" s="255">
        <v>44789</v>
      </c>
      <c r="B436" s="239" t="s">
        <v>2651</v>
      </c>
      <c r="C436" s="262">
        <v>3.25</v>
      </c>
      <c r="D436" s="239" t="s">
        <v>2654</v>
      </c>
      <c r="E436" s="239" t="s">
        <v>5</v>
      </c>
      <c r="F436" s="239" t="s">
        <v>447</v>
      </c>
      <c r="G436" s="239" t="s">
        <v>10874</v>
      </c>
      <c r="H436" s="239">
        <v>3</v>
      </c>
      <c r="I436" s="239" t="s">
        <v>543</v>
      </c>
      <c r="J436" s="239" t="e">
        <f>+ Enhance hyperaccumulator plants that Have the ability to _xlnm.extract metals at low concentrations then harvest the biomass and transform it into metal
+Develop plants that Have the ability to absorb metals in soils
+Recover the metal from the biomass.</f>
        <v>#NAME?</v>
      </c>
      <c r="K436" s="239">
        <v>3.5</v>
      </c>
      <c r="L436" s="239"/>
      <c r="M436" s="239"/>
      <c r="N436" s="239" t="s">
        <v>452</v>
      </c>
      <c r="O436" s="239" t="s">
        <v>2657</v>
      </c>
      <c r="P436" s="239"/>
      <c r="Q436" s="239" t="s">
        <v>24</v>
      </c>
      <c r="R436" s="256"/>
      <c r="S436" s="239"/>
      <c r="T436" s="239"/>
      <c r="U436" s="239"/>
      <c r="V436" s="239"/>
      <c r="W436" s="239"/>
      <c r="X436" s="239"/>
      <c r="Y436" s="239"/>
      <c r="Z436" s="239"/>
    </row>
    <row r="437" spans="1:26" ht="15.75" customHeight="1">
      <c r="A437" s="253">
        <v>44789</v>
      </c>
      <c r="B437" s="224" t="s">
        <v>2948</v>
      </c>
      <c r="C437" s="249">
        <v>3.25</v>
      </c>
      <c r="D437" s="224" t="s">
        <v>2951</v>
      </c>
      <c r="E437" s="250" t="s">
        <v>5</v>
      </c>
      <c r="F437" s="224" t="s">
        <v>447</v>
      </c>
      <c r="G437" s="224" t="s">
        <v>10884</v>
      </c>
      <c r="H437" s="224">
        <v>3.5</v>
      </c>
      <c r="I437" s="224" t="s">
        <v>543</v>
      </c>
      <c r="J437" s="224" t="e">
        <f>+Develops zero-residue and edible coatings to protect fruits and
                                                                                                                                                                                                                                                                vegetables
- No customers yet
+ use very low doses of antimicrobials</f>
        <v>#NAME?</v>
      </c>
      <c r="K437" s="224">
        <v>3</v>
      </c>
      <c r="L437" s="224"/>
      <c r="M437" s="224"/>
      <c r="N437" s="224" t="s">
        <v>452</v>
      </c>
      <c r="O437" s="224" t="s">
        <v>2954</v>
      </c>
      <c r="P437" s="224"/>
      <c r="Q437" s="224" t="s">
        <v>24</v>
      </c>
      <c r="R437" s="254"/>
      <c r="S437" s="252"/>
      <c r="T437" s="252"/>
      <c r="U437" s="252"/>
      <c r="V437" s="224"/>
      <c r="W437" s="224"/>
      <c r="X437" s="224"/>
      <c r="Y437" s="224"/>
      <c r="Z437" s="224"/>
    </row>
    <row r="438" spans="1:26" ht="15.75" customHeight="1">
      <c r="A438" s="248">
        <v>44789</v>
      </c>
      <c r="B438" s="219" t="s">
        <v>5037</v>
      </c>
      <c r="C438" s="249">
        <v>3.25</v>
      </c>
      <c r="D438" s="219" t="s">
        <v>5040</v>
      </c>
      <c r="E438" s="250" t="s">
        <v>4</v>
      </c>
      <c r="F438" s="219" t="s">
        <v>602</v>
      </c>
      <c r="G438" s="219" t="s">
        <v>5041</v>
      </c>
      <c r="H438" s="219">
        <v>2.5</v>
      </c>
      <c r="I438" s="219" t="s">
        <v>1054</v>
      </c>
      <c r="J438" s="219" t="s">
        <v>10929</v>
      </c>
      <c r="K438" s="219">
        <v>4</v>
      </c>
      <c r="L438" s="219" t="s">
        <v>451</v>
      </c>
      <c r="M438" s="312">
        <v>2500000</v>
      </c>
      <c r="N438" s="219" t="s">
        <v>452</v>
      </c>
      <c r="O438" s="219" t="s">
        <v>5043</v>
      </c>
      <c r="P438" s="219"/>
      <c r="Q438" s="219" t="s">
        <v>24</v>
      </c>
      <c r="R438" s="251"/>
      <c r="S438" s="252"/>
      <c r="T438" s="252"/>
      <c r="U438" s="252"/>
      <c r="V438" s="219"/>
      <c r="W438" s="219"/>
      <c r="X438" s="219"/>
      <c r="Y438" s="219"/>
      <c r="Z438" s="219"/>
    </row>
    <row r="439" spans="1:26" ht="15.75" customHeight="1">
      <c r="A439" s="253">
        <v>44789</v>
      </c>
      <c r="B439" s="224" t="s">
        <v>5027</v>
      </c>
      <c r="C439" s="249">
        <v>3.25</v>
      </c>
      <c r="D439" s="224" t="s">
        <v>5030</v>
      </c>
      <c r="E439" s="250" t="s">
        <v>4</v>
      </c>
      <c r="F439" s="224" t="s">
        <v>602</v>
      </c>
      <c r="G439" s="224" t="s">
        <v>5031</v>
      </c>
      <c r="H439" s="224">
        <v>3</v>
      </c>
      <c r="I439" s="224" t="s">
        <v>1054</v>
      </c>
      <c r="J439" s="224" t="s">
        <v>5032</v>
      </c>
      <c r="K439" s="224">
        <v>3.5</v>
      </c>
      <c r="L439" s="224" t="s">
        <v>451</v>
      </c>
      <c r="M439" s="307">
        <v>2000000</v>
      </c>
      <c r="N439" s="224" t="s">
        <v>452</v>
      </c>
      <c r="O439" s="224" t="s">
        <v>10930</v>
      </c>
      <c r="P439" s="224" t="s">
        <v>5034</v>
      </c>
      <c r="Q439" s="224" t="s">
        <v>24</v>
      </c>
      <c r="R439" s="254"/>
      <c r="S439" s="252"/>
      <c r="T439" s="252"/>
      <c r="U439" s="252"/>
      <c r="V439" s="224"/>
      <c r="W439" s="224"/>
      <c r="X439" s="224"/>
      <c r="Y439" s="224"/>
      <c r="Z439" s="224"/>
    </row>
    <row r="440" spans="1:26" ht="15.75" customHeight="1">
      <c r="A440" s="248">
        <v>44789</v>
      </c>
      <c r="B440" s="219" t="s">
        <v>5184</v>
      </c>
      <c r="C440" s="249">
        <v>3.25</v>
      </c>
      <c r="D440" s="219" t="s">
        <v>5187</v>
      </c>
      <c r="E440" s="250" t="s">
        <v>4</v>
      </c>
      <c r="F440" s="219" t="s">
        <v>602</v>
      </c>
      <c r="G440" s="219" t="s">
        <v>5188</v>
      </c>
      <c r="H440" s="219">
        <v>3</v>
      </c>
      <c r="I440" s="219" t="s">
        <v>476</v>
      </c>
      <c r="J440" s="219" t="s">
        <v>13400</v>
      </c>
      <c r="K440" s="219">
        <v>3.5</v>
      </c>
      <c r="L440" s="219" t="s">
        <v>451</v>
      </c>
      <c r="M440" s="310">
        <v>500000</v>
      </c>
      <c r="N440" s="219" t="s">
        <v>452</v>
      </c>
      <c r="O440" s="219" t="s">
        <v>5190</v>
      </c>
      <c r="P440" s="219"/>
      <c r="Q440" s="219" t="s">
        <v>24</v>
      </c>
      <c r="R440" s="251"/>
      <c r="S440" s="252"/>
      <c r="T440" s="252"/>
      <c r="U440" s="252"/>
      <c r="V440" s="219"/>
      <c r="W440" s="219"/>
      <c r="X440" s="219"/>
      <c r="Y440" s="219"/>
      <c r="Z440" s="219"/>
    </row>
    <row r="441" spans="1:26" ht="15.75" customHeight="1">
      <c r="A441" s="257">
        <v>44789</v>
      </c>
      <c r="B441" s="258" t="s">
        <v>9294</v>
      </c>
      <c r="C441" s="263">
        <v>3.25</v>
      </c>
      <c r="D441" s="258" t="s">
        <v>11632</v>
      </c>
      <c r="E441" s="258" t="s">
        <v>3</v>
      </c>
      <c r="F441" s="258" t="s">
        <v>460</v>
      </c>
      <c r="G441" s="258" t="s">
        <v>9298</v>
      </c>
      <c r="H441" s="258">
        <v>3</v>
      </c>
      <c r="I441" s="258" t="s">
        <v>462</v>
      </c>
      <c r="J441" s="258" t="s">
        <v>9299</v>
      </c>
      <c r="K441" s="258">
        <v>3.5</v>
      </c>
      <c r="L441" s="258" t="s">
        <v>9300</v>
      </c>
      <c r="M441" s="258" t="s">
        <v>9301</v>
      </c>
      <c r="N441" s="258" t="s">
        <v>465</v>
      </c>
      <c r="O441" s="258" t="s">
        <v>452</v>
      </c>
      <c r="P441" s="258"/>
      <c r="Q441" s="258" t="s">
        <v>24</v>
      </c>
      <c r="R441" s="259" t="s">
        <v>9302</v>
      </c>
      <c r="S441" s="258"/>
      <c r="T441" s="258"/>
      <c r="U441" s="258"/>
      <c r="V441" s="258"/>
      <c r="W441" s="258"/>
      <c r="X441" s="258"/>
      <c r="Y441" s="258"/>
      <c r="Z441" s="258"/>
    </row>
    <row r="442" spans="1:26" ht="15.75" customHeight="1">
      <c r="A442" s="248">
        <v>44789</v>
      </c>
      <c r="B442" s="219" t="s">
        <v>4969</v>
      </c>
      <c r="C442" s="249">
        <v>3.25</v>
      </c>
      <c r="D442" s="219" t="s">
        <v>4972</v>
      </c>
      <c r="E442" s="250" t="s">
        <v>4</v>
      </c>
      <c r="F442" s="219" t="s">
        <v>602</v>
      </c>
      <c r="G442" s="219" t="s">
        <v>4973</v>
      </c>
      <c r="H442" s="219">
        <v>3</v>
      </c>
      <c r="I442" s="219" t="s">
        <v>476</v>
      </c>
      <c r="J442" s="219" t="s">
        <v>13400</v>
      </c>
      <c r="K442" s="219">
        <v>3.5</v>
      </c>
      <c r="L442" s="219" t="s">
        <v>451</v>
      </c>
      <c r="M442" s="312">
        <v>3000000</v>
      </c>
      <c r="N442" s="219" t="s">
        <v>452</v>
      </c>
      <c r="O442" s="219" t="s">
        <v>4975</v>
      </c>
      <c r="P442" s="219"/>
      <c r="Q442" s="219" t="s">
        <v>24</v>
      </c>
      <c r="R442" s="251"/>
      <c r="S442" s="252"/>
      <c r="T442" s="252"/>
      <c r="U442" s="252"/>
      <c r="V442" s="219"/>
      <c r="W442" s="219"/>
      <c r="X442" s="219"/>
      <c r="Y442" s="219"/>
      <c r="Z442" s="219"/>
    </row>
    <row r="443" spans="1:26" ht="15.75" customHeight="1">
      <c r="A443" s="255">
        <v>44789</v>
      </c>
      <c r="B443" s="239" t="s">
        <v>2436</v>
      </c>
      <c r="C443" s="262">
        <v>3.25</v>
      </c>
      <c r="D443" s="239" t="s">
        <v>11185</v>
      </c>
      <c r="E443" s="239" t="s">
        <v>5</v>
      </c>
      <c r="F443" s="239" t="s">
        <v>447</v>
      </c>
      <c r="G443" s="239" t="s">
        <v>11186</v>
      </c>
      <c r="H443" s="239">
        <v>3.5</v>
      </c>
      <c r="I443" s="239" t="s">
        <v>449</v>
      </c>
      <c r="J443" s="239" t="e">
        <f>+Working MVP
+Team Have had exits from successful startups
-No customers
-Too early for EFL</f>
        <v>#NAME?</v>
      </c>
      <c r="K443" s="239">
        <v>3</v>
      </c>
      <c r="L443" s="239" t="s">
        <v>478</v>
      </c>
      <c r="M443" s="314">
        <v>8000000</v>
      </c>
      <c r="N443" s="239" t="s">
        <v>465</v>
      </c>
      <c r="O443" s="239" t="s">
        <v>2442</v>
      </c>
      <c r="P443" s="239"/>
      <c r="Q443" s="239" t="s">
        <v>24</v>
      </c>
      <c r="R443" s="256"/>
      <c r="S443" s="239"/>
      <c r="T443" s="239"/>
      <c r="U443" s="239"/>
      <c r="V443" s="239"/>
      <c r="W443" s="239"/>
      <c r="X443" s="239"/>
      <c r="Y443" s="239"/>
      <c r="Z443" s="239"/>
    </row>
    <row r="444" spans="1:26" ht="15.75" customHeight="1">
      <c r="A444" s="248">
        <v>44789</v>
      </c>
      <c r="B444" s="219" t="s">
        <v>5210</v>
      </c>
      <c r="C444" s="249">
        <v>3.25</v>
      </c>
      <c r="D444" s="219" t="s">
        <v>5213</v>
      </c>
      <c r="E444" s="250" t="s">
        <v>4</v>
      </c>
      <c r="F444" s="219" t="s">
        <v>727</v>
      </c>
      <c r="G444" s="219" t="s">
        <v>11449</v>
      </c>
      <c r="H444" s="219">
        <v>3.5</v>
      </c>
      <c r="I444" s="219" t="s">
        <v>1045</v>
      </c>
      <c r="J444" s="219" t="s">
        <v>5215</v>
      </c>
      <c r="K444" s="219">
        <v>3</v>
      </c>
      <c r="L444" s="219" t="s">
        <v>451</v>
      </c>
      <c r="M444" s="219">
        <v>3600000</v>
      </c>
      <c r="N444" s="219" t="s">
        <v>465</v>
      </c>
      <c r="O444" s="219" t="s">
        <v>452</v>
      </c>
      <c r="P444" s="219"/>
      <c r="Q444" s="219" t="s">
        <v>24</v>
      </c>
      <c r="R444" s="251"/>
      <c r="S444" s="252"/>
      <c r="T444" s="252"/>
      <c r="U444" s="252"/>
      <c r="V444" s="219"/>
      <c r="W444" s="219"/>
      <c r="X444" s="219"/>
      <c r="Y444" s="219"/>
      <c r="Z444" s="219"/>
    </row>
    <row r="445" spans="1:26" ht="15.75" customHeight="1">
      <c r="A445" s="253">
        <v>44789</v>
      </c>
      <c r="B445" s="224" t="s">
        <v>2587</v>
      </c>
      <c r="C445" s="249">
        <v>3.25</v>
      </c>
      <c r="D445" s="224" t="s">
        <v>2590</v>
      </c>
      <c r="E445" s="250" t="s">
        <v>5</v>
      </c>
      <c r="F445" s="224" t="s">
        <v>447</v>
      </c>
      <c r="G445" s="224" t="s">
        <v>10834</v>
      </c>
      <c r="H445" s="224">
        <v>3.5</v>
      </c>
      <c r="I445" s="224" t="s">
        <v>449</v>
      </c>
      <c r="J445" s="224" t="e">
        <f>+Credible Team
+Novel technology
-Might be to early for EFL</f>
        <v>#NAME?</v>
      </c>
      <c r="K445" s="224">
        <v>3</v>
      </c>
      <c r="L445" s="224" t="s">
        <v>2152</v>
      </c>
      <c r="M445" s="224" t="s">
        <v>2593</v>
      </c>
      <c r="N445" s="224" t="s">
        <v>452</v>
      </c>
      <c r="O445" s="224" t="s">
        <v>2594</v>
      </c>
      <c r="P445" s="224"/>
      <c r="Q445" s="224" t="s">
        <v>24</v>
      </c>
      <c r="R445" s="254"/>
      <c r="S445" s="252"/>
      <c r="T445" s="252"/>
      <c r="U445" s="252"/>
      <c r="V445" s="224"/>
      <c r="W445" s="224"/>
      <c r="X445" s="224"/>
      <c r="Y445" s="224"/>
      <c r="Z445" s="224"/>
    </row>
    <row r="446" spans="1:26" ht="15.75" customHeight="1">
      <c r="A446" s="248">
        <v>44789</v>
      </c>
      <c r="B446" s="219" t="s">
        <v>5218</v>
      </c>
      <c r="C446" s="249">
        <v>3.25</v>
      </c>
      <c r="D446" s="219" t="s">
        <v>5221</v>
      </c>
      <c r="E446" s="250" t="s">
        <v>4</v>
      </c>
      <c r="F446" s="219" t="s">
        <v>602</v>
      </c>
      <c r="G446" s="219" t="s">
        <v>5222</v>
      </c>
      <c r="H446" s="219">
        <v>3</v>
      </c>
      <c r="I446" s="219" t="s">
        <v>1054</v>
      </c>
      <c r="J446" s="219" t="s">
        <v>5223</v>
      </c>
      <c r="K446" s="219">
        <v>3.5</v>
      </c>
      <c r="L446" s="219"/>
      <c r="M446" s="219"/>
      <c r="N446" s="219" t="s">
        <v>454</v>
      </c>
      <c r="O446" s="219" t="s">
        <v>5224</v>
      </c>
      <c r="P446" s="219"/>
      <c r="Q446" s="219" t="s">
        <v>24</v>
      </c>
      <c r="R446" s="251"/>
      <c r="S446" s="252"/>
      <c r="T446" s="252"/>
      <c r="U446" s="252"/>
      <c r="V446" s="219"/>
      <c r="W446" s="219"/>
      <c r="X446" s="219"/>
      <c r="Y446" s="219"/>
      <c r="Z446" s="219"/>
    </row>
    <row r="447" spans="1:26" ht="15.75" customHeight="1">
      <c r="A447" s="253">
        <v>44789</v>
      </c>
      <c r="B447" s="224" t="s">
        <v>5318</v>
      </c>
      <c r="C447" s="249">
        <v>3.13</v>
      </c>
      <c r="D447" s="224" t="s">
        <v>5321</v>
      </c>
      <c r="E447" s="250" t="s">
        <v>4</v>
      </c>
      <c r="F447" s="224" t="s">
        <v>727</v>
      </c>
      <c r="G447" s="224"/>
      <c r="H447" s="224">
        <v>3.5</v>
      </c>
      <c r="I447" s="224" t="s">
        <v>1045</v>
      </c>
      <c r="J447" s="224" t="s">
        <v>5322</v>
      </c>
      <c r="K447" s="224">
        <v>2.75</v>
      </c>
      <c r="L447" s="224" t="s">
        <v>451</v>
      </c>
      <c r="M447" s="311">
        <v>2</v>
      </c>
      <c r="N447" s="224" t="s">
        <v>465</v>
      </c>
      <c r="O447" s="224" t="s">
        <v>5323</v>
      </c>
      <c r="P447" s="224"/>
      <c r="Q447" s="224" t="s">
        <v>24</v>
      </c>
      <c r="R447" s="254"/>
      <c r="S447" s="252"/>
      <c r="T447" s="252"/>
      <c r="U447" s="252"/>
      <c r="V447" s="224"/>
      <c r="W447" s="224"/>
      <c r="X447" s="224"/>
      <c r="Y447" s="224"/>
      <c r="Z447" s="224"/>
    </row>
    <row r="448" spans="1:26" ht="15.75" customHeight="1">
      <c r="A448" s="255">
        <v>44789</v>
      </c>
      <c r="B448" s="239" t="s">
        <v>373</v>
      </c>
      <c r="C448" s="262">
        <v>3</v>
      </c>
      <c r="D448" s="239" t="s">
        <v>10341</v>
      </c>
      <c r="E448" s="239" t="s">
        <v>5</v>
      </c>
      <c r="F448" s="239" t="s">
        <v>460</v>
      </c>
      <c r="G448" s="239" t="s">
        <v>10342</v>
      </c>
      <c r="H448" s="239">
        <v>3</v>
      </c>
      <c r="I448" s="239" t="s">
        <v>488</v>
      </c>
      <c r="J448" s="239" t="s">
        <v>10343</v>
      </c>
      <c r="K448" s="239">
        <v>3</v>
      </c>
      <c r="L448" s="239"/>
      <c r="M448" s="239"/>
      <c r="N448" s="239" t="s">
        <v>452</v>
      </c>
      <c r="O448" s="239" t="s">
        <v>10007</v>
      </c>
      <c r="P448" s="239" t="s">
        <v>460</v>
      </c>
      <c r="Q448" s="239" t="s">
        <v>18</v>
      </c>
      <c r="R448" s="256" t="s">
        <v>10008</v>
      </c>
      <c r="S448" s="239"/>
      <c r="T448" s="239"/>
      <c r="U448" s="239"/>
      <c r="V448" s="239"/>
      <c r="W448" s="239"/>
      <c r="X448" s="239"/>
      <c r="Y448" s="239"/>
      <c r="Z448" s="239"/>
    </row>
    <row r="449" spans="1:26" ht="15.75" customHeight="1">
      <c r="A449" s="253">
        <v>44789</v>
      </c>
      <c r="B449" s="224" t="s">
        <v>3478</v>
      </c>
      <c r="C449" s="249">
        <v>3</v>
      </c>
      <c r="D449" s="224" t="s">
        <v>3481</v>
      </c>
      <c r="E449" s="250" t="s">
        <v>5</v>
      </c>
      <c r="F449" s="224" t="s">
        <v>447</v>
      </c>
      <c r="G449" s="224" t="s">
        <v>10346</v>
      </c>
      <c r="H449" s="224">
        <v>3</v>
      </c>
      <c r="I449" s="224" t="s">
        <v>622</v>
      </c>
      <c r="J449" s="224" t="s">
        <v>3483</v>
      </c>
      <c r="K449" s="224">
        <v>3</v>
      </c>
      <c r="L449" s="224" t="s">
        <v>451</v>
      </c>
      <c r="M449" s="307">
        <v>650000</v>
      </c>
      <c r="N449" s="224" t="s">
        <v>452</v>
      </c>
      <c r="O449" s="224" t="s">
        <v>3484</v>
      </c>
      <c r="P449" s="224"/>
      <c r="Q449" s="224" t="s">
        <v>24</v>
      </c>
      <c r="R449" s="254"/>
      <c r="S449" s="252"/>
      <c r="T449" s="252"/>
      <c r="U449" s="252"/>
      <c r="V449" s="224"/>
      <c r="W449" s="224"/>
      <c r="X449" s="224"/>
      <c r="Y449" s="224"/>
      <c r="Z449" s="224"/>
    </row>
    <row r="450" spans="1:26" ht="15.75" customHeight="1">
      <c r="A450" s="248">
        <v>44789</v>
      </c>
      <c r="B450" s="219" t="s">
        <v>2165</v>
      </c>
      <c r="C450" s="249">
        <v>3</v>
      </c>
      <c r="D450" s="219" t="s">
        <v>10625</v>
      </c>
      <c r="E450" s="250" t="s">
        <v>5</v>
      </c>
      <c r="F450" s="219" t="s">
        <v>447</v>
      </c>
      <c r="G450" s="219" t="s">
        <v>10626</v>
      </c>
      <c r="H450" s="219">
        <v>2.5</v>
      </c>
      <c r="I450" s="219" t="s">
        <v>476</v>
      </c>
      <c r="J450" s="219" t="s">
        <v>13400</v>
      </c>
      <c r="K450" s="219">
        <v>3.5</v>
      </c>
      <c r="L450" s="219" t="s">
        <v>451</v>
      </c>
      <c r="M450" s="219" t="s">
        <v>2171</v>
      </c>
      <c r="N450" s="219" t="s">
        <v>452</v>
      </c>
      <c r="O450" s="219" t="s">
        <v>452</v>
      </c>
      <c r="P450" s="219"/>
      <c r="Q450" s="219" t="s">
        <v>24</v>
      </c>
      <c r="R450" s="251"/>
      <c r="S450" s="252"/>
      <c r="T450" s="252"/>
      <c r="U450" s="252"/>
      <c r="V450" s="219"/>
      <c r="W450" s="219"/>
      <c r="X450" s="219"/>
      <c r="Y450" s="219"/>
      <c r="Z450" s="219"/>
    </row>
    <row r="451" spans="1:26" ht="15.75" customHeight="1">
      <c r="A451" s="253">
        <v>44789</v>
      </c>
      <c r="B451" s="224" t="s">
        <v>5685</v>
      </c>
      <c r="C451" s="249">
        <v>3</v>
      </c>
      <c r="D451" s="224" t="s">
        <v>5688</v>
      </c>
      <c r="E451" s="250" t="s">
        <v>4</v>
      </c>
      <c r="F451" s="224" t="s">
        <v>727</v>
      </c>
      <c r="G451" s="224"/>
      <c r="H451" s="224">
        <v>3</v>
      </c>
      <c r="I451" s="224" t="s">
        <v>476</v>
      </c>
      <c r="J451" s="224" t="s">
        <v>13400</v>
      </c>
      <c r="K451" s="224">
        <v>3</v>
      </c>
      <c r="L451" s="224" t="s">
        <v>478</v>
      </c>
      <c r="M451" s="224">
        <v>1000000</v>
      </c>
      <c r="N451" s="224" t="s">
        <v>452</v>
      </c>
      <c r="O451" s="224" t="s">
        <v>452</v>
      </c>
      <c r="P451" s="224"/>
      <c r="Q451" s="224" t="s">
        <v>24</v>
      </c>
      <c r="R451" s="254"/>
      <c r="S451" s="252"/>
      <c r="T451" s="252"/>
      <c r="U451" s="252"/>
      <c r="V451" s="224"/>
      <c r="W451" s="224"/>
      <c r="X451" s="224"/>
      <c r="Y451" s="224"/>
      <c r="Z451" s="224"/>
    </row>
    <row r="452" spans="1:26" ht="15.75" customHeight="1">
      <c r="A452" s="248">
        <v>44789</v>
      </c>
      <c r="B452" s="219" t="s">
        <v>2824</v>
      </c>
      <c r="C452" s="249">
        <v>3</v>
      </c>
      <c r="D452" s="219" t="s">
        <v>2827</v>
      </c>
      <c r="E452" s="250" t="s">
        <v>5</v>
      </c>
      <c r="F452" s="219" t="s">
        <v>447</v>
      </c>
      <c r="G452" s="219" t="s">
        <v>10848</v>
      </c>
      <c r="H452" s="219">
        <v>3</v>
      </c>
      <c r="I452" s="219" t="s">
        <v>622</v>
      </c>
      <c r="J452" s="219" t="e">
        <f>+Tries to solve the issue of getting drinking water.</f>
        <v>#NAME?</v>
      </c>
      <c r="K452" s="219">
        <v>3</v>
      </c>
      <c r="L452" s="219"/>
      <c r="M452" s="312"/>
      <c r="N452" s="219" t="s">
        <v>452</v>
      </c>
      <c r="O452" s="219" t="s">
        <v>2830</v>
      </c>
      <c r="P452" s="219"/>
      <c r="Q452" s="219" t="s">
        <v>24</v>
      </c>
      <c r="R452" s="251"/>
      <c r="S452" s="252"/>
      <c r="T452" s="252"/>
      <c r="U452" s="252"/>
      <c r="V452" s="219"/>
      <c r="W452" s="219"/>
      <c r="X452" s="219"/>
      <c r="Y452" s="219"/>
      <c r="Z452" s="219"/>
    </row>
    <row r="453" spans="1:26" ht="15.75" customHeight="1">
      <c r="A453" s="253">
        <v>44789</v>
      </c>
      <c r="B453" s="224" t="s">
        <v>3387</v>
      </c>
      <c r="C453" s="249">
        <v>3</v>
      </c>
      <c r="D453" s="224" t="s">
        <v>3390</v>
      </c>
      <c r="E453" s="250" t="s">
        <v>5</v>
      </c>
      <c r="F453" s="224" t="s">
        <v>447</v>
      </c>
      <c r="G453" s="224"/>
      <c r="H453" s="224">
        <v>3</v>
      </c>
      <c r="I453" s="224" t="s">
        <v>543</v>
      </c>
      <c r="J453" s="224" t="s">
        <v>10899</v>
      </c>
      <c r="K453" s="224">
        <v>3</v>
      </c>
      <c r="L453" s="224"/>
      <c r="M453" s="224"/>
      <c r="N453" s="224" t="s">
        <v>452</v>
      </c>
      <c r="O453" s="224" t="s">
        <v>10900</v>
      </c>
      <c r="P453" s="224"/>
      <c r="Q453" s="224" t="s">
        <v>24</v>
      </c>
      <c r="R453" s="254"/>
      <c r="S453" s="252"/>
      <c r="T453" s="252"/>
      <c r="U453" s="252"/>
      <c r="V453" s="224"/>
      <c r="W453" s="224"/>
      <c r="X453" s="224"/>
      <c r="Y453" s="224"/>
      <c r="Z453" s="224"/>
    </row>
    <row r="454" spans="1:26" ht="15.75" customHeight="1">
      <c r="A454" s="248">
        <v>44789</v>
      </c>
      <c r="B454" s="219" t="s">
        <v>9311</v>
      </c>
      <c r="C454" s="249">
        <v>3</v>
      </c>
      <c r="D454" s="219" t="s">
        <v>9314</v>
      </c>
      <c r="E454" s="250" t="s">
        <v>3</v>
      </c>
      <c r="F454" s="219" t="s">
        <v>460</v>
      </c>
      <c r="G454" s="219" t="s">
        <v>9315</v>
      </c>
      <c r="H454" s="219">
        <v>3</v>
      </c>
      <c r="I454" s="219" t="s">
        <v>462</v>
      </c>
      <c r="J454" s="219" t="s">
        <v>9316</v>
      </c>
      <c r="K454" s="219">
        <v>3</v>
      </c>
      <c r="L454" s="219" t="s">
        <v>451</v>
      </c>
      <c r="M454" s="312">
        <v>500000</v>
      </c>
      <c r="N454" s="219" t="s">
        <v>452</v>
      </c>
      <c r="O454" s="219" t="s">
        <v>452</v>
      </c>
      <c r="P454" s="219"/>
      <c r="Q454" s="219" t="s">
        <v>24</v>
      </c>
      <c r="R454" s="251"/>
      <c r="S454" s="252"/>
      <c r="T454" s="252"/>
      <c r="U454" s="252"/>
      <c r="V454" s="219"/>
      <c r="W454" s="219"/>
      <c r="X454" s="219"/>
      <c r="Y454" s="219"/>
      <c r="Z454" s="219"/>
    </row>
    <row r="455" spans="1:26" ht="15.75" customHeight="1">
      <c r="A455" s="255">
        <v>44789</v>
      </c>
      <c r="B455" s="239" t="s">
        <v>10931</v>
      </c>
      <c r="C455" s="262">
        <v>3</v>
      </c>
      <c r="D455" s="239" t="s">
        <v>2256</v>
      </c>
      <c r="E455" s="239" t="s">
        <v>5</v>
      </c>
      <c r="F455" s="239" t="s">
        <v>447</v>
      </c>
      <c r="G455" s="239" t="s">
        <v>10932</v>
      </c>
      <c r="H455" s="239">
        <v>3</v>
      </c>
      <c r="I455" s="239" t="s">
        <v>622</v>
      </c>
      <c r="J455" s="239" t="s">
        <v>13400</v>
      </c>
      <c r="K455" s="239">
        <v>3</v>
      </c>
      <c r="L455" s="239" t="s">
        <v>451</v>
      </c>
      <c r="M455" s="239">
        <v>1000000</v>
      </c>
      <c r="N455" s="239" t="s">
        <v>452</v>
      </c>
      <c r="O455" s="239" t="s">
        <v>2259</v>
      </c>
      <c r="P455" s="239"/>
      <c r="Q455" s="239" t="s">
        <v>24</v>
      </c>
      <c r="R455" s="256" t="s">
        <v>2260</v>
      </c>
      <c r="S455" s="239"/>
      <c r="T455" s="239"/>
      <c r="U455" s="239"/>
      <c r="V455" s="239"/>
      <c r="W455" s="239"/>
      <c r="X455" s="239"/>
      <c r="Y455" s="239"/>
      <c r="Z455" s="239"/>
    </row>
    <row r="456" spans="1:26" ht="15.75" customHeight="1">
      <c r="A456" s="248">
        <v>44789</v>
      </c>
      <c r="B456" s="219" t="s">
        <v>3320</v>
      </c>
      <c r="C456" s="249">
        <v>3</v>
      </c>
      <c r="D456" s="219" t="s">
        <v>3323</v>
      </c>
      <c r="E456" s="250" t="s">
        <v>5</v>
      </c>
      <c r="F456" s="219" t="s">
        <v>447</v>
      </c>
      <c r="G456" s="219" t="s">
        <v>10985</v>
      </c>
      <c r="H456" s="219">
        <v>3</v>
      </c>
      <c r="I456" s="219" t="s">
        <v>543</v>
      </c>
      <c r="J456" s="219" t="e">
        <f>+ Methane to methanol conversion at the oil wellhead ending flaring with carbon emissions
+ Direct partial oxidation which combines natural gas with oxygen at elevated temperature and pressure to produce methanol
                                                                                                                                                                                                                                                                it- still in the prototype phase and need to quickly come up with actual model and acquire customers</f>
        <v>#NAME?</v>
      </c>
      <c r="K456" s="219">
        <v>3</v>
      </c>
      <c r="L456" s="219" t="s">
        <v>451</v>
      </c>
      <c r="M456" s="312">
        <v>1200000</v>
      </c>
      <c r="N456" s="219" t="s">
        <v>452</v>
      </c>
      <c r="O456" s="219" t="s">
        <v>3326</v>
      </c>
      <c r="P456" s="219" t="s">
        <v>3327</v>
      </c>
      <c r="Q456" s="219" t="s">
        <v>24</v>
      </c>
      <c r="R456" s="251"/>
      <c r="S456" s="252"/>
      <c r="T456" s="252"/>
      <c r="U456" s="252"/>
      <c r="V456" s="219"/>
      <c r="W456" s="219"/>
      <c r="X456" s="219"/>
      <c r="Y456" s="219"/>
      <c r="Z456" s="219"/>
    </row>
    <row r="457" spans="1:26" ht="15.75" customHeight="1">
      <c r="A457" s="253">
        <v>44789</v>
      </c>
      <c r="B457" s="224" t="s">
        <v>5573</v>
      </c>
      <c r="C457" s="249">
        <v>3</v>
      </c>
      <c r="D457" s="224" t="s">
        <v>5576</v>
      </c>
      <c r="E457" s="250" t="s">
        <v>4</v>
      </c>
      <c r="F457" s="224" t="s">
        <v>602</v>
      </c>
      <c r="G457" s="224" t="s">
        <v>5577</v>
      </c>
      <c r="H457" s="224">
        <v>3</v>
      </c>
      <c r="I457" s="224" t="s">
        <v>476</v>
      </c>
      <c r="J457" s="224" t="s">
        <v>13400</v>
      </c>
      <c r="K457" s="224">
        <v>3</v>
      </c>
      <c r="L457" s="224" t="s">
        <v>784</v>
      </c>
      <c r="M457" s="224">
        <v>512000</v>
      </c>
      <c r="N457" s="224" t="s">
        <v>452</v>
      </c>
      <c r="O457" s="224" t="s">
        <v>5579</v>
      </c>
      <c r="P457" s="224"/>
      <c r="Q457" s="224" t="s">
        <v>24</v>
      </c>
      <c r="R457" s="254"/>
      <c r="S457" s="252"/>
      <c r="T457" s="252"/>
      <c r="U457" s="252"/>
      <c r="V457" s="224"/>
      <c r="W457" s="224"/>
      <c r="X457" s="224"/>
      <c r="Y457" s="224"/>
      <c r="Z457" s="224"/>
    </row>
    <row r="458" spans="1:26" ht="15.75" customHeight="1">
      <c r="A458" s="248">
        <v>44789</v>
      </c>
      <c r="B458" s="219" t="s">
        <v>2326</v>
      </c>
      <c r="C458" s="249">
        <v>3</v>
      </c>
      <c r="D458" s="219" t="s">
        <v>2329</v>
      </c>
      <c r="E458" s="250" t="s">
        <v>5</v>
      </c>
      <c r="F458" s="219" t="s">
        <v>447</v>
      </c>
      <c r="G458" s="219" t="s">
        <v>11027</v>
      </c>
      <c r="H458" s="219">
        <v>3</v>
      </c>
      <c r="I458" s="219" t="s">
        <v>622</v>
      </c>
      <c r="J458" s="219" t="e">
        <f>+Capital Intensive venture.
-No cash inflow at the current stage.
+Littlle early for EFL
-not a good fit for this year.</f>
        <v>#NAME?</v>
      </c>
      <c r="K458" s="219">
        <v>3</v>
      </c>
      <c r="L458" s="219"/>
      <c r="M458" s="310"/>
      <c r="N458" s="219" t="s">
        <v>452</v>
      </c>
      <c r="O458" s="219" t="s">
        <v>2332</v>
      </c>
      <c r="P458" s="219"/>
      <c r="Q458" s="219" t="s">
        <v>24</v>
      </c>
      <c r="R458" s="251"/>
      <c r="S458" s="252"/>
      <c r="T458" s="252"/>
      <c r="U458" s="252"/>
      <c r="V458" s="219"/>
      <c r="W458" s="219"/>
      <c r="X458" s="219"/>
      <c r="Y458" s="219"/>
      <c r="Z458" s="219"/>
    </row>
    <row r="459" spans="1:26" ht="15.75" customHeight="1">
      <c r="A459" s="255">
        <v>44789</v>
      </c>
      <c r="B459" s="239" t="s">
        <v>5677</v>
      </c>
      <c r="C459" s="262">
        <v>3</v>
      </c>
      <c r="D459" s="239" t="s">
        <v>5680</v>
      </c>
      <c r="E459" s="239" t="s">
        <v>4</v>
      </c>
      <c r="F459" s="239" t="s">
        <v>460</v>
      </c>
      <c r="G459" s="239" t="s">
        <v>5681</v>
      </c>
      <c r="H459" s="239">
        <v>3</v>
      </c>
      <c r="I459" s="239" t="s">
        <v>462</v>
      </c>
      <c r="J459" s="239" t="s">
        <v>5682</v>
      </c>
      <c r="K459" s="239">
        <v>3</v>
      </c>
      <c r="L459" s="239" t="s">
        <v>478</v>
      </c>
      <c r="M459" s="308">
        <v>1000000</v>
      </c>
      <c r="N459" s="239" t="s">
        <v>452</v>
      </c>
      <c r="O459" s="239" t="s">
        <v>452</v>
      </c>
      <c r="P459" s="239"/>
      <c r="Q459" s="239" t="s">
        <v>24</v>
      </c>
      <c r="R459" s="256" t="s">
        <v>11633</v>
      </c>
      <c r="S459" s="239"/>
      <c r="T459" s="239"/>
      <c r="U459" s="239"/>
      <c r="V459" s="239"/>
      <c r="W459" s="239"/>
      <c r="X459" s="239"/>
      <c r="Y459" s="239"/>
      <c r="Z459" s="239"/>
    </row>
    <row r="460" spans="1:26" ht="15.75" customHeight="1">
      <c r="A460" s="248">
        <v>44789</v>
      </c>
      <c r="B460" s="219" t="s">
        <v>8807</v>
      </c>
      <c r="C460" s="249">
        <v>3</v>
      </c>
      <c r="D460" s="219" t="s">
        <v>8810</v>
      </c>
      <c r="E460" s="250" t="s">
        <v>3</v>
      </c>
      <c r="F460" s="219" t="s">
        <v>460</v>
      </c>
      <c r="G460" s="219" t="s">
        <v>8811</v>
      </c>
      <c r="H460" s="219">
        <v>3</v>
      </c>
      <c r="I460" s="219" t="s">
        <v>462</v>
      </c>
      <c r="J460" s="219" t="s">
        <v>8812</v>
      </c>
      <c r="K460" s="219">
        <v>3</v>
      </c>
      <c r="L460" s="219"/>
      <c r="M460" s="312"/>
      <c r="N460" s="219" t="s">
        <v>452</v>
      </c>
      <c r="O460" s="219" t="s">
        <v>452</v>
      </c>
      <c r="P460" s="219"/>
      <c r="Q460" s="219" t="s">
        <v>24</v>
      </c>
      <c r="R460" s="251"/>
      <c r="S460" s="252"/>
      <c r="T460" s="252"/>
      <c r="U460" s="252"/>
      <c r="V460" s="219"/>
      <c r="W460" s="219"/>
      <c r="X460" s="219"/>
      <c r="Y460" s="219"/>
      <c r="Z460" s="219"/>
    </row>
    <row r="461" spans="1:26" ht="15.75" customHeight="1">
      <c r="A461" s="253">
        <v>44789</v>
      </c>
      <c r="B461" s="224" t="s">
        <v>5336</v>
      </c>
      <c r="C461" s="249">
        <v>3</v>
      </c>
      <c r="D461" s="224" t="s">
        <v>5339</v>
      </c>
      <c r="E461" s="250" t="s">
        <v>4</v>
      </c>
      <c r="F461" s="224" t="s">
        <v>602</v>
      </c>
      <c r="G461" s="224" t="s">
        <v>5340</v>
      </c>
      <c r="H461" s="224">
        <v>3</v>
      </c>
      <c r="I461" s="224" t="s">
        <v>476</v>
      </c>
      <c r="J461" s="224" t="s">
        <v>13400</v>
      </c>
      <c r="K461" s="224">
        <v>3</v>
      </c>
      <c r="L461" s="224" t="s">
        <v>451</v>
      </c>
      <c r="M461" s="307">
        <v>2000000</v>
      </c>
      <c r="N461" s="224" t="s">
        <v>452</v>
      </c>
      <c r="O461" s="224" t="s">
        <v>5342</v>
      </c>
      <c r="P461" s="224" t="s">
        <v>5343</v>
      </c>
      <c r="Q461" s="224" t="s">
        <v>24</v>
      </c>
      <c r="R461" s="254"/>
      <c r="S461" s="252"/>
      <c r="T461" s="252"/>
      <c r="U461" s="252"/>
      <c r="V461" s="224"/>
      <c r="W461" s="224"/>
      <c r="X461" s="224"/>
      <c r="Y461" s="224"/>
      <c r="Z461" s="224"/>
    </row>
    <row r="462" spans="1:26" ht="15.75" customHeight="1">
      <c r="A462" s="248">
        <v>44789</v>
      </c>
      <c r="B462" s="219" t="s">
        <v>3001</v>
      </c>
      <c r="C462" s="249">
        <v>3</v>
      </c>
      <c r="D462" s="219" t="s">
        <v>3004</v>
      </c>
      <c r="E462" s="250" t="s">
        <v>5</v>
      </c>
      <c r="F462" s="219" t="s">
        <v>447</v>
      </c>
      <c r="G462" s="219" t="s">
        <v>11210</v>
      </c>
      <c r="H462" s="219">
        <v>3</v>
      </c>
      <c r="I462" s="219" t="s">
        <v>543</v>
      </c>
      <c r="J462" s="219" t="s">
        <v>13400</v>
      </c>
      <c r="K462" s="219">
        <v>3</v>
      </c>
      <c r="L462" s="219" t="s">
        <v>784</v>
      </c>
      <c r="M462" s="312">
        <v>2000000</v>
      </c>
      <c r="N462" s="219" t="s">
        <v>452</v>
      </c>
      <c r="O462" s="219" t="s">
        <v>3007</v>
      </c>
      <c r="P462" s="219" t="s">
        <v>3008</v>
      </c>
      <c r="Q462" s="219" t="s">
        <v>24</v>
      </c>
      <c r="R462" s="251"/>
      <c r="S462" s="252"/>
      <c r="T462" s="252"/>
      <c r="U462" s="252"/>
      <c r="V462" s="219"/>
      <c r="W462" s="219"/>
      <c r="X462" s="219"/>
      <c r="Y462" s="219"/>
      <c r="Z462" s="219"/>
    </row>
    <row r="463" spans="1:26" ht="15.75" customHeight="1">
      <c r="A463" s="253">
        <v>44789</v>
      </c>
      <c r="B463" s="224" t="s">
        <v>3224</v>
      </c>
      <c r="C463" s="249">
        <v>3</v>
      </c>
      <c r="D463" s="224" t="s">
        <v>3227</v>
      </c>
      <c r="E463" s="250" t="s">
        <v>5</v>
      </c>
      <c r="F463" s="224" t="s">
        <v>447</v>
      </c>
      <c r="G463" s="224" t="s">
        <v>11496</v>
      </c>
      <c r="H463" s="224">
        <v>3</v>
      </c>
      <c r="I463" s="224" t="s">
        <v>449</v>
      </c>
      <c r="J463" s="224" t="e">
        <f>+Credible founder
+Novel technology
-Might be to early for EFL</f>
        <v>#NAME?</v>
      </c>
      <c r="K463" s="224">
        <v>3</v>
      </c>
      <c r="L463" s="224"/>
      <c r="M463" s="224"/>
      <c r="N463" s="224" t="s">
        <v>452</v>
      </c>
      <c r="O463" s="224" t="s">
        <v>3230</v>
      </c>
      <c r="P463" s="224" t="s">
        <v>3231</v>
      </c>
      <c r="Q463" s="224" t="s">
        <v>24</v>
      </c>
      <c r="R463" s="254"/>
      <c r="S463" s="252"/>
      <c r="T463" s="252"/>
      <c r="U463" s="252"/>
      <c r="V463" s="224"/>
      <c r="W463" s="224"/>
      <c r="X463" s="224"/>
      <c r="Y463" s="224"/>
      <c r="Z463" s="224"/>
    </row>
    <row r="464" spans="1:26" ht="15.75" customHeight="1">
      <c r="A464" s="248">
        <v>44789</v>
      </c>
      <c r="B464" s="219" t="s">
        <v>9160</v>
      </c>
      <c r="C464" s="249">
        <v>3</v>
      </c>
      <c r="D464" s="219" t="s">
        <v>9163</v>
      </c>
      <c r="E464" s="250" t="s">
        <v>3</v>
      </c>
      <c r="F464" s="219" t="s">
        <v>460</v>
      </c>
      <c r="G464" s="219" t="s">
        <v>9164</v>
      </c>
      <c r="H464" s="219">
        <v>3</v>
      </c>
      <c r="I464" s="219" t="s">
        <v>462</v>
      </c>
      <c r="J464" s="219" t="s">
        <v>9165</v>
      </c>
      <c r="K464" s="219">
        <v>3</v>
      </c>
      <c r="L464" s="219"/>
      <c r="M464" s="219"/>
      <c r="N464" s="219" t="s">
        <v>454</v>
      </c>
      <c r="O464" s="219" t="s">
        <v>10945</v>
      </c>
      <c r="P464" s="219"/>
      <c r="Q464" s="219" t="s">
        <v>24</v>
      </c>
      <c r="R464" s="251"/>
      <c r="S464" s="252"/>
      <c r="T464" s="252"/>
      <c r="U464" s="252"/>
      <c r="V464" s="219"/>
      <c r="W464" s="219"/>
      <c r="X464" s="219"/>
      <c r="Y464" s="219"/>
      <c r="Z464" s="219"/>
    </row>
    <row r="465" spans="1:26" ht="15.75" customHeight="1">
      <c r="A465" s="253">
        <v>44789</v>
      </c>
      <c r="B465" s="224" t="s">
        <v>5668</v>
      </c>
      <c r="C465" s="249">
        <v>3</v>
      </c>
      <c r="D465" s="224" t="s">
        <v>5671</v>
      </c>
      <c r="E465" s="250" t="s">
        <v>4</v>
      </c>
      <c r="F465" s="224" t="s">
        <v>727</v>
      </c>
      <c r="G465" s="224" t="s">
        <v>11444</v>
      </c>
      <c r="H465" s="224">
        <v>3</v>
      </c>
      <c r="I465" s="224" t="s">
        <v>1045</v>
      </c>
      <c r="J465" s="224" t="s">
        <v>5673</v>
      </c>
      <c r="K465" s="224">
        <v>3</v>
      </c>
      <c r="L465" s="224" t="s">
        <v>451</v>
      </c>
      <c r="M465" s="307">
        <v>750000</v>
      </c>
      <c r="N465" s="224" t="s">
        <v>452</v>
      </c>
      <c r="O465" s="224" t="s">
        <v>5674</v>
      </c>
      <c r="P465" s="224"/>
      <c r="Q465" s="224" t="s">
        <v>24</v>
      </c>
      <c r="R465" s="254"/>
      <c r="S465" s="252"/>
      <c r="T465" s="252"/>
      <c r="U465" s="252"/>
      <c r="V465" s="224"/>
      <c r="W465" s="224"/>
      <c r="X465" s="224"/>
      <c r="Y465" s="224"/>
      <c r="Z465" s="224"/>
    </row>
    <row r="466" spans="1:26" ht="15.75" customHeight="1">
      <c r="A466" s="248">
        <v>44789</v>
      </c>
      <c r="B466" s="219" t="s">
        <v>5825</v>
      </c>
      <c r="C466" s="249">
        <v>2.88</v>
      </c>
      <c r="D466" s="219" t="s">
        <v>5828</v>
      </c>
      <c r="E466" s="250" t="s">
        <v>4</v>
      </c>
      <c r="F466" s="219" t="s">
        <v>727</v>
      </c>
      <c r="G466" s="219" t="s">
        <v>10347</v>
      </c>
      <c r="H466" s="219">
        <v>3.75</v>
      </c>
      <c r="I466" s="219" t="s">
        <v>1045</v>
      </c>
      <c r="J466" s="219" t="s">
        <v>5830</v>
      </c>
      <c r="K466" s="219">
        <v>2</v>
      </c>
      <c r="L466" s="219" t="s">
        <v>784</v>
      </c>
      <c r="M466" s="310">
        <v>350000</v>
      </c>
      <c r="N466" s="219" t="s">
        <v>452</v>
      </c>
      <c r="O466" s="219" t="s">
        <v>5831</v>
      </c>
      <c r="P466" s="219"/>
      <c r="Q466" s="219" t="s">
        <v>24</v>
      </c>
      <c r="R466" s="251"/>
      <c r="S466" s="252"/>
      <c r="T466" s="252"/>
      <c r="U466" s="252"/>
      <c r="V466" s="219"/>
      <c r="W466" s="219"/>
      <c r="X466" s="219"/>
      <c r="Y466" s="219"/>
      <c r="Z466" s="219"/>
    </row>
    <row r="467" spans="1:26" ht="15.75" customHeight="1">
      <c r="A467" s="253">
        <v>44789</v>
      </c>
      <c r="B467" s="224" t="s">
        <v>10205</v>
      </c>
      <c r="C467" s="249">
        <v>2.75</v>
      </c>
      <c r="D467" s="224" t="s">
        <v>6650</v>
      </c>
      <c r="E467" s="250" t="s">
        <v>4</v>
      </c>
      <c r="F467" s="224" t="s">
        <v>727</v>
      </c>
      <c r="G467" s="224" t="s">
        <v>11634</v>
      </c>
      <c r="H467" s="224">
        <v>3</v>
      </c>
      <c r="I467" s="224" t="s">
        <v>1045</v>
      </c>
      <c r="J467" s="224" t="s">
        <v>11635</v>
      </c>
      <c r="K467" s="224">
        <v>2.5</v>
      </c>
      <c r="L467" s="224" t="s">
        <v>451</v>
      </c>
      <c r="M467" s="311">
        <v>1500000</v>
      </c>
      <c r="N467" s="224" t="s">
        <v>452</v>
      </c>
      <c r="O467" s="224" t="s">
        <v>6653</v>
      </c>
      <c r="P467" s="224"/>
      <c r="Q467" s="224" t="s">
        <v>24</v>
      </c>
      <c r="R467" s="254"/>
      <c r="S467" s="252"/>
      <c r="T467" s="252"/>
      <c r="U467" s="252"/>
      <c r="V467" s="224"/>
      <c r="W467" s="224"/>
      <c r="X467" s="224"/>
      <c r="Y467" s="224"/>
      <c r="Z467" s="224"/>
    </row>
    <row r="468" spans="1:26" ht="15.75" customHeight="1">
      <c r="A468" s="248">
        <v>44789</v>
      </c>
      <c r="B468" s="219" t="s">
        <v>5848</v>
      </c>
      <c r="C468" s="249">
        <v>2.75</v>
      </c>
      <c r="D468" s="219" t="s">
        <v>5851</v>
      </c>
      <c r="E468" s="250" t="s">
        <v>4</v>
      </c>
      <c r="F468" s="219" t="s">
        <v>727</v>
      </c>
      <c r="G468" s="219" t="s">
        <v>10236</v>
      </c>
      <c r="H468" s="219">
        <v>3</v>
      </c>
      <c r="I468" s="219" t="s">
        <v>1045</v>
      </c>
      <c r="J468" s="219" t="s">
        <v>5853</v>
      </c>
      <c r="K468" s="219">
        <v>2.5</v>
      </c>
      <c r="L468" s="219"/>
      <c r="M468" s="312"/>
      <c r="N468" s="219" t="s">
        <v>452</v>
      </c>
      <c r="O468" s="219" t="s">
        <v>5854</v>
      </c>
      <c r="P468" s="219" t="s">
        <v>727</v>
      </c>
      <c r="Q468" s="219" t="s">
        <v>24</v>
      </c>
      <c r="R468" s="251"/>
      <c r="S468" s="252"/>
      <c r="T468" s="252"/>
      <c r="U468" s="252"/>
      <c r="V468" s="219"/>
      <c r="W468" s="219"/>
      <c r="X468" s="219"/>
      <c r="Y468" s="219"/>
      <c r="Z468" s="219"/>
    </row>
    <row r="469" spans="1:26" ht="15.75" customHeight="1">
      <c r="A469" s="253">
        <v>44789</v>
      </c>
      <c r="B469" s="224" t="s">
        <v>8422</v>
      </c>
      <c r="C469" s="249">
        <v>2.75</v>
      </c>
      <c r="D469" s="224" t="s">
        <v>8425</v>
      </c>
      <c r="E469" s="250" t="s">
        <v>3</v>
      </c>
      <c r="F469" s="224" t="s">
        <v>460</v>
      </c>
      <c r="G469" s="224" t="s">
        <v>8426</v>
      </c>
      <c r="H469" s="224">
        <v>2.5</v>
      </c>
      <c r="I469" s="224" t="s">
        <v>488</v>
      </c>
      <c r="J469" s="224"/>
      <c r="K469" s="224">
        <v>3</v>
      </c>
      <c r="L469" s="224" t="s">
        <v>451</v>
      </c>
      <c r="M469" s="307">
        <v>700000</v>
      </c>
      <c r="N469" s="224" t="s">
        <v>452</v>
      </c>
      <c r="O469" s="224" t="s">
        <v>8427</v>
      </c>
      <c r="P469" s="224" t="s">
        <v>8428</v>
      </c>
      <c r="Q469" s="224" t="s">
        <v>24</v>
      </c>
      <c r="R469" s="254"/>
      <c r="S469" s="252"/>
      <c r="T469" s="252"/>
      <c r="U469" s="252"/>
      <c r="V469" s="224"/>
      <c r="W469" s="224"/>
      <c r="X469" s="224"/>
      <c r="Y469" s="224"/>
      <c r="Z469" s="224"/>
    </row>
    <row r="470" spans="1:26" ht="15.75" customHeight="1">
      <c r="A470" s="248">
        <v>44789</v>
      </c>
      <c r="B470" s="219" t="s">
        <v>3516</v>
      </c>
      <c r="C470" s="315">
        <v>2.75</v>
      </c>
      <c r="D470" s="219" t="s">
        <v>3519</v>
      </c>
      <c r="E470" s="219" t="s">
        <v>5</v>
      </c>
      <c r="F470" s="219" t="s">
        <v>447</v>
      </c>
      <c r="G470" s="219" t="s">
        <v>10350</v>
      </c>
      <c r="H470" s="219">
        <v>2.5</v>
      </c>
      <c r="I470" s="219" t="s">
        <v>622</v>
      </c>
      <c r="J470" s="219"/>
      <c r="K470" s="219">
        <v>3</v>
      </c>
      <c r="L470" s="219" t="s">
        <v>451</v>
      </c>
      <c r="M470" s="312">
        <v>500000</v>
      </c>
      <c r="N470" s="219" t="s">
        <v>452</v>
      </c>
      <c r="O470" s="219" t="s">
        <v>3521</v>
      </c>
      <c r="P470" s="219"/>
      <c r="Q470" s="219" t="s">
        <v>24</v>
      </c>
      <c r="R470" s="251"/>
      <c r="S470" s="219"/>
      <c r="T470" s="219"/>
      <c r="U470" s="219"/>
      <c r="V470" s="219"/>
      <c r="W470" s="219"/>
      <c r="X470" s="219"/>
      <c r="Y470" s="219"/>
      <c r="Z470" s="219"/>
    </row>
    <row r="471" spans="1:26" ht="15.75" customHeight="1">
      <c r="A471" s="253">
        <v>44789</v>
      </c>
      <c r="B471" s="224" t="s">
        <v>10631</v>
      </c>
      <c r="C471" s="249">
        <v>2.75</v>
      </c>
      <c r="D471" s="224" t="s">
        <v>10632</v>
      </c>
      <c r="E471" s="250" t="s">
        <v>5</v>
      </c>
      <c r="F471" s="224" t="s">
        <v>447</v>
      </c>
      <c r="G471" s="224" t="s">
        <v>10633</v>
      </c>
      <c r="H471" s="224">
        <v>3</v>
      </c>
      <c r="I471" s="224" t="s">
        <v>622</v>
      </c>
      <c r="J471" s="224" t="s">
        <v>10634</v>
      </c>
      <c r="K471" s="224">
        <v>2.5</v>
      </c>
      <c r="L471" s="224"/>
      <c r="M471" s="224"/>
      <c r="N471" s="224" t="s">
        <v>452</v>
      </c>
      <c r="O471" s="224" t="s">
        <v>1119</v>
      </c>
      <c r="P471" s="224" t="s">
        <v>3463</v>
      </c>
      <c r="Q471" s="224" t="s">
        <v>24</v>
      </c>
      <c r="R471" s="254"/>
      <c r="S471" s="252"/>
      <c r="T471" s="252"/>
      <c r="U471" s="252"/>
      <c r="V471" s="224"/>
      <c r="W471" s="224"/>
      <c r="X471" s="224"/>
      <c r="Y471" s="224"/>
      <c r="Z471" s="224"/>
    </row>
    <row r="472" spans="1:26" ht="15.75" customHeight="1">
      <c r="A472" s="248">
        <v>44789</v>
      </c>
      <c r="B472" s="219" t="s">
        <v>2868</v>
      </c>
      <c r="C472" s="249">
        <v>2.75</v>
      </c>
      <c r="D472" s="219" t="s">
        <v>2871</v>
      </c>
      <c r="E472" s="250" t="s">
        <v>5</v>
      </c>
      <c r="F472" s="219" t="s">
        <v>447</v>
      </c>
      <c r="G472" s="219" t="s">
        <v>10777</v>
      </c>
      <c r="H472" s="219">
        <v>2</v>
      </c>
      <c r="I472" s="219" t="s">
        <v>449</v>
      </c>
      <c r="J472" s="219" t="s">
        <v>13400</v>
      </c>
      <c r="K472" s="219">
        <v>3.5</v>
      </c>
      <c r="L472" s="219" t="s">
        <v>451</v>
      </c>
      <c r="M472" s="219">
        <v>1500000</v>
      </c>
      <c r="N472" s="219" t="s">
        <v>452</v>
      </c>
      <c r="O472" s="219" t="s">
        <v>452</v>
      </c>
      <c r="P472" s="219"/>
      <c r="Q472" s="219" t="s">
        <v>24</v>
      </c>
      <c r="R472" s="251"/>
      <c r="S472" s="252"/>
      <c r="T472" s="252"/>
      <c r="U472" s="252"/>
      <c r="V472" s="219"/>
      <c r="W472" s="219"/>
      <c r="X472" s="219"/>
      <c r="Y472" s="219"/>
      <c r="Z472" s="219"/>
    </row>
    <row r="473" spans="1:26" ht="15.75" customHeight="1">
      <c r="A473" s="253">
        <v>44789</v>
      </c>
      <c r="B473" s="224" t="s">
        <v>2482</v>
      </c>
      <c r="C473" s="249">
        <v>2.75</v>
      </c>
      <c r="D473" s="224" t="s">
        <v>2485</v>
      </c>
      <c r="E473" s="250" t="s">
        <v>5</v>
      </c>
      <c r="F473" s="224" t="s">
        <v>622</v>
      </c>
      <c r="G473" s="224" t="s">
        <v>2486</v>
      </c>
      <c r="H473" s="224">
        <v>2.5</v>
      </c>
      <c r="I473" s="224" t="s">
        <v>449</v>
      </c>
      <c r="J473" s="224" t="s">
        <v>13400</v>
      </c>
      <c r="K473" s="224">
        <v>3</v>
      </c>
      <c r="L473" s="224" t="s">
        <v>2190</v>
      </c>
      <c r="M473" s="224">
        <v>250000</v>
      </c>
      <c r="N473" s="224" t="s">
        <v>452</v>
      </c>
      <c r="O473" s="224" t="s">
        <v>452</v>
      </c>
      <c r="P473" s="224"/>
      <c r="Q473" s="224" t="s">
        <v>24</v>
      </c>
      <c r="R473" s="254"/>
      <c r="S473" s="252"/>
      <c r="T473" s="252"/>
      <c r="U473" s="252"/>
      <c r="V473" s="224"/>
      <c r="W473" s="224"/>
      <c r="X473" s="224"/>
      <c r="Y473" s="224"/>
      <c r="Z473" s="224"/>
    </row>
    <row r="474" spans="1:26" ht="15.75" customHeight="1">
      <c r="A474" s="248">
        <v>44789</v>
      </c>
      <c r="B474" s="219" t="s">
        <v>5934</v>
      </c>
      <c r="C474" s="249">
        <v>2.75</v>
      </c>
      <c r="D474" s="219" t="s">
        <v>5937</v>
      </c>
      <c r="E474" s="250" t="s">
        <v>4</v>
      </c>
      <c r="F474" s="219" t="s">
        <v>602</v>
      </c>
      <c r="G474" s="219" t="s">
        <v>5938</v>
      </c>
      <c r="H474" s="219">
        <v>2.5</v>
      </c>
      <c r="I474" s="219" t="s">
        <v>1054</v>
      </c>
      <c r="J474" s="219" t="s">
        <v>5939</v>
      </c>
      <c r="K474" s="219">
        <v>3</v>
      </c>
      <c r="L474" s="219" t="s">
        <v>923</v>
      </c>
      <c r="M474" s="219" t="s">
        <v>5940</v>
      </c>
      <c r="N474" s="219" t="s">
        <v>452</v>
      </c>
      <c r="O474" s="219" t="s">
        <v>5941</v>
      </c>
      <c r="P474" s="219"/>
      <c r="Q474" s="219" t="s">
        <v>24</v>
      </c>
      <c r="R474" s="251"/>
      <c r="S474" s="252"/>
      <c r="T474" s="252"/>
      <c r="U474" s="252"/>
      <c r="V474" s="219"/>
      <c r="W474" s="219"/>
      <c r="X474" s="219"/>
      <c r="Y474" s="219"/>
      <c r="Z474" s="219"/>
    </row>
    <row r="475" spans="1:26" ht="15.75" customHeight="1">
      <c r="A475" s="253">
        <v>44789</v>
      </c>
      <c r="B475" s="224" t="s">
        <v>2940</v>
      </c>
      <c r="C475" s="249">
        <v>2.75</v>
      </c>
      <c r="D475" s="224" t="s">
        <v>2943</v>
      </c>
      <c r="E475" s="250" t="s">
        <v>5</v>
      </c>
      <c r="F475" s="224" t="s">
        <v>447</v>
      </c>
      <c r="G475" s="224" t="s">
        <v>11025</v>
      </c>
      <c r="H475" s="224">
        <v>2.5</v>
      </c>
      <c r="I475" s="224" t="s">
        <v>449</v>
      </c>
      <c r="J475" s="224" t="e">
        <f>+Credible founder
+Large potential market
-Tech does not appear to be Novel</f>
        <v>#NAME?</v>
      </c>
      <c r="K475" s="224">
        <v>3</v>
      </c>
      <c r="L475" s="224"/>
      <c r="M475" s="307"/>
      <c r="N475" s="224" t="s">
        <v>452</v>
      </c>
      <c r="O475" s="224" t="s">
        <v>452</v>
      </c>
      <c r="P475" s="224"/>
      <c r="Q475" s="224" t="s">
        <v>24</v>
      </c>
      <c r="R475" s="254"/>
      <c r="S475" s="252"/>
      <c r="T475" s="252"/>
      <c r="U475" s="252"/>
      <c r="V475" s="224"/>
      <c r="W475" s="224"/>
      <c r="X475" s="224"/>
      <c r="Y475" s="224"/>
      <c r="Z475" s="224"/>
    </row>
    <row r="476" spans="1:26" ht="15.75" customHeight="1">
      <c r="A476" s="248">
        <v>44789</v>
      </c>
      <c r="B476" s="219" t="s">
        <v>6097</v>
      </c>
      <c r="C476" s="249">
        <v>2.75</v>
      </c>
      <c r="D476" s="219" t="s">
        <v>6100</v>
      </c>
      <c r="E476" s="250" t="s">
        <v>4</v>
      </c>
      <c r="F476" s="219" t="s">
        <v>602</v>
      </c>
      <c r="G476" s="219" t="s">
        <v>6101</v>
      </c>
      <c r="H476" s="219">
        <v>3</v>
      </c>
      <c r="I476" s="219" t="s">
        <v>1045</v>
      </c>
      <c r="J476" s="219" t="s">
        <v>6102</v>
      </c>
      <c r="K476" s="219">
        <v>2.5</v>
      </c>
      <c r="L476" s="219" t="s">
        <v>784</v>
      </c>
      <c r="M476" s="312">
        <v>500000</v>
      </c>
      <c r="N476" s="219" t="s">
        <v>452</v>
      </c>
      <c r="O476" s="219" t="s">
        <v>6103</v>
      </c>
      <c r="P476" s="219"/>
      <c r="Q476" s="219" t="s">
        <v>24</v>
      </c>
      <c r="R476" s="251"/>
      <c r="S476" s="252"/>
      <c r="T476" s="252"/>
      <c r="U476" s="252"/>
      <c r="V476" s="219"/>
      <c r="W476" s="219"/>
      <c r="X476" s="219"/>
      <c r="Y476" s="219"/>
      <c r="Z476" s="219"/>
    </row>
    <row r="477" spans="1:26" ht="15.75" customHeight="1">
      <c r="A477" s="253">
        <v>44789</v>
      </c>
      <c r="B477" s="224" t="s">
        <v>2597</v>
      </c>
      <c r="C477" s="249">
        <v>2.75</v>
      </c>
      <c r="D477" s="224" t="s">
        <v>2600</v>
      </c>
      <c r="E477" s="250" t="s">
        <v>5</v>
      </c>
      <c r="F477" s="224" t="s">
        <v>447</v>
      </c>
      <c r="G477" s="224" t="s">
        <v>11167</v>
      </c>
      <c r="H477" s="224">
        <v>3</v>
      </c>
      <c r="I477" s="224" t="s">
        <v>543</v>
      </c>
      <c r="J477" s="224" t="s">
        <v>13400</v>
      </c>
      <c r="K477" s="224">
        <v>2.5</v>
      </c>
      <c r="L477" s="224" t="s">
        <v>2603</v>
      </c>
      <c r="M477" s="224" t="s">
        <v>2604</v>
      </c>
      <c r="N477" s="224" t="s">
        <v>452</v>
      </c>
      <c r="O477" s="224" t="s">
        <v>1119</v>
      </c>
      <c r="P477" s="224"/>
      <c r="Q477" s="224" t="s">
        <v>24</v>
      </c>
      <c r="R477" s="254"/>
      <c r="S477" s="252"/>
      <c r="T477" s="252"/>
      <c r="U477" s="252"/>
      <c r="V477" s="224"/>
      <c r="W477" s="224"/>
      <c r="X477" s="224"/>
      <c r="Y477" s="224"/>
      <c r="Z477" s="224"/>
    </row>
    <row r="478" spans="1:26" ht="15.75" customHeight="1">
      <c r="A478" s="248">
        <v>44789</v>
      </c>
      <c r="B478" s="219" t="s">
        <v>5960</v>
      </c>
      <c r="C478" s="249">
        <v>2.75</v>
      </c>
      <c r="D478" s="219" t="s">
        <v>5963</v>
      </c>
      <c r="E478" s="250" t="s">
        <v>4</v>
      </c>
      <c r="F478" s="219" t="s">
        <v>602</v>
      </c>
      <c r="G478" s="219" t="s">
        <v>5964</v>
      </c>
      <c r="H478" s="219">
        <v>2</v>
      </c>
      <c r="I478" s="219" t="s">
        <v>1054</v>
      </c>
      <c r="J478" s="219" t="s">
        <v>11188</v>
      </c>
      <c r="K478" s="219">
        <v>3.5</v>
      </c>
      <c r="L478" s="219" t="s">
        <v>451</v>
      </c>
      <c r="M478" s="219">
        <v>3000000</v>
      </c>
      <c r="N478" s="219" t="s">
        <v>452</v>
      </c>
      <c r="O478" s="219" t="s">
        <v>5966</v>
      </c>
      <c r="P478" s="219"/>
      <c r="Q478" s="219" t="s">
        <v>24</v>
      </c>
      <c r="R478" s="251"/>
      <c r="S478" s="252"/>
      <c r="T478" s="252"/>
      <c r="U478" s="252"/>
      <c r="V478" s="219"/>
      <c r="W478" s="219"/>
      <c r="X478" s="219"/>
      <c r="Y478" s="219"/>
      <c r="Z478" s="219"/>
    </row>
    <row r="479" spans="1:26" ht="15.75" customHeight="1">
      <c r="A479" s="253">
        <v>44789</v>
      </c>
      <c r="B479" s="224" t="s">
        <v>3614</v>
      </c>
      <c r="C479" s="249">
        <v>2.75</v>
      </c>
      <c r="D479" s="224" t="s">
        <v>3617</v>
      </c>
      <c r="E479" s="250" t="s">
        <v>5</v>
      </c>
      <c r="F479" s="224" t="s">
        <v>447</v>
      </c>
      <c r="G479" s="224" t="s">
        <v>10716</v>
      </c>
      <c r="H479" s="224">
        <v>3</v>
      </c>
      <c r="I479" s="224" t="s">
        <v>622</v>
      </c>
      <c r="J479" s="224" t="s">
        <v>10717</v>
      </c>
      <c r="K479" s="224">
        <v>2.5</v>
      </c>
      <c r="L479" s="224"/>
      <c r="M479" s="224"/>
      <c r="N479" s="224" t="s">
        <v>465</v>
      </c>
      <c r="O479" s="224" t="s">
        <v>10718</v>
      </c>
      <c r="P479" s="224"/>
      <c r="Q479" s="224" t="s">
        <v>24</v>
      </c>
      <c r="R479" s="254"/>
      <c r="S479" s="252"/>
      <c r="T479" s="252"/>
      <c r="U479" s="252"/>
      <c r="V479" s="224"/>
      <c r="W479" s="224"/>
      <c r="X479" s="224"/>
      <c r="Y479" s="224"/>
      <c r="Z479" s="224"/>
    </row>
    <row r="480" spans="1:26" ht="15.75" customHeight="1">
      <c r="A480" s="248">
        <v>44789</v>
      </c>
      <c r="B480" s="219" t="s">
        <v>6123</v>
      </c>
      <c r="C480" s="249">
        <v>2.63</v>
      </c>
      <c r="D480" s="219" t="s">
        <v>6126</v>
      </c>
      <c r="E480" s="250" t="s">
        <v>4</v>
      </c>
      <c r="F480" s="219" t="s">
        <v>727</v>
      </c>
      <c r="G480" s="219" t="s">
        <v>10681</v>
      </c>
      <c r="H480" s="219">
        <v>3.75</v>
      </c>
      <c r="I480" s="219" t="s">
        <v>476</v>
      </c>
      <c r="J480" s="219" t="s">
        <v>13400</v>
      </c>
      <c r="K480" s="219">
        <v>1.5</v>
      </c>
      <c r="L480" s="219"/>
      <c r="M480" s="312"/>
      <c r="N480" s="219" t="s">
        <v>452</v>
      </c>
      <c r="O480" s="219" t="s">
        <v>3420</v>
      </c>
      <c r="P480" s="219"/>
      <c r="Q480" s="219" t="s">
        <v>24</v>
      </c>
      <c r="R480" s="251"/>
      <c r="S480" s="252"/>
      <c r="T480" s="252"/>
      <c r="U480" s="252"/>
      <c r="V480" s="219"/>
      <c r="W480" s="219"/>
      <c r="X480" s="219"/>
      <c r="Y480" s="219"/>
      <c r="Z480" s="219"/>
    </row>
    <row r="481" spans="1:26" ht="15.75" customHeight="1">
      <c r="A481" s="253">
        <v>44789</v>
      </c>
      <c r="B481" s="224" t="s">
        <v>2137</v>
      </c>
      <c r="C481" s="249">
        <v>2.63</v>
      </c>
      <c r="D481" s="224" t="s">
        <v>2140</v>
      </c>
      <c r="E481" s="250" t="s">
        <v>5</v>
      </c>
      <c r="F481" s="224" t="s">
        <v>447</v>
      </c>
      <c r="G481" s="224" t="s">
        <v>10853</v>
      </c>
      <c r="H481" s="224">
        <v>2.5</v>
      </c>
      <c r="I481" s="224" t="s">
        <v>449</v>
      </c>
      <c r="J481" s="224" t="e">
        <f>+Tech seems Novel
+Team seems passionate
-do not appear to Have business plan
-Might be to early for EFL</f>
        <v>#NAME?</v>
      </c>
      <c r="K481" s="224">
        <v>2.75</v>
      </c>
      <c r="L481" s="224" t="s">
        <v>451</v>
      </c>
      <c r="M481" s="224">
        <v>500000</v>
      </c>
      <c r="N481" s="224" t="s">
        <v>452</v>
      </c>
      <c r="O481" s="224" t="s">
        <v>10855</v>
      </c>
      <c r="P481" s="224" t="s">
        <v>2144</v>
      </c>
      <c r="Q481" s="224" t="s">
        <v>24</v>
      </c>
      <c r="R481" s="254"/>
      <c r="S481" s="252"/>
      <c r="T481" s="252"/>
      <c r="U481" s="252"/>
      <c r="V481" s="224"/>
      <c r="W481" s="224"/>
      <c r="X481" s="224"/>
      <c r="Y481" s="224"/>
      <c r="Z481" s="224"/>
    </row>
    <row r="482" spans="1:26" ht="15.75" customHeight="1">
      <c r="A482" s="248">
        <v>44789</v>
      </c>
      <c r="B482" s="219" t="s">
        <v>10435</v>
      </c>
      <c r="C482" s="249">
        <v>2.5</v>
      </c>
      <c r="D482" s="219" t="s">
        <v>8371</v>
      </c>
      <c r="E482" s="250" t="s">
        <v>3</v>
      </c>
      <c r="F482" s="219" t="s">
        <v>460</v>
      </c>
      <c r="G482" s="219" t="s">
        <v>8372</v>
      </c>
      <c r="H482" s="219">
        <v>2</v>
      </c>
      <c r="I482" s="219" t="s">
        <v>488</v>
      </c>
      <c r="J482" s="219" t="s">
        <v>10436</v>
      </c>
      <c r="K482" s="219">
        <v>3</v>
      </c>
      <c r="L482" s="219" t="s">
        <v>451</v>
      </c>
      <c r="M482" s="219" t="s">
        <v>8374</v>
      </c>
      <c r="N482" s="219" t="s">
        <v>452</v>
      </c>
      <c r="O482" s="219" t="s">
        <v>575</v>
      </c>
      <c r="P482" s="219"/>
      <c r="Q482" s="219" t="s">
        <v>24</v>
      </c>
      <c r="R482" s="251"/>
      <c r="S482" s="252"/>
      <c r="T482" s="252"/>
      <c r="U482" s="252"/>
      <c r="V482" s="219"/>
      <c r="W482" s="219"/>
      <c r="X482" s="219"/>
      <c r="Y482" s="219"/>
      <c r="Z482" s="219"/>
    </row>
    <row r="483" spans="1:26" ht="15.75" customHeight="1">
      <c r="A483" s="253">
        <v>44789</v>
      </c>
      <c r="B483" s="224" t="s">
        <v>3330</v>
      </c>
      <c r="C483" s="249">
        <v>2.5</v>
      </c>
      <c r="D483" s="224" t="s">
        <v>3333</v>
      </c>
      <c r="E483" s="250" t="s">
        <v>5</v>
      </c>
      <c r="F483" s="224" t="s">
        <v>447</v>
      </c>
      <c r="G483" s="224" t="s">
        <v>10870</v>
      </c>
      <c r="H483" s="224">
        <v>3</v>
      </c>
      <c r="I483" s="224" t="s">
        <v>449</v>
      </c>
      <c r="J483" s="224" t="s">
        <v>13400</v>
      </c>
      <c r="K483" s="224">
        <v>2</v>
      </c>
      <c r="L483" s="224" t="s">
        <v>784</v>
      </c>
      <c r="M483" s="224" t="s">
        <v>3336</v>
      </c>
      <c r="N483" s="224" t="s">
        <v>454</v>
      </c>
      <c r="O483" s="224" t="s">
        <v>10872</v>
      </c>
      <c r="P483" s="224"/>
      <c r="Q483" s="224" t="s">
        <v>24</v>
      </c>
      <c r="R483" s="254"/>
      <c r="S483" s="252"/>
      <c r="T483" s="252"/>
      <c r="U483" s="252"/>
      <c r="V483" s="224"/>
      <c r="W483" s="224"/>
      <c r="X483" s="224"/>
      <c r="Y483" s="224"/>
      <c r="Z483" s="224"/>
    </row>
    <row r="484" spans="1:26" ht="15.75" customHeight="1">
      <c r="A484" s="248">
        <v>44789</v>
      </c>
      <c r="B484" s="219" t="s">
        <v>6263</v>
      </c>
      <c r="C484" s="249">
        <v>2.5</v>
      </c>
      <c r="D484" s="219" t="s">
        <v>10917</v>
      </c>
      <c r="E484" s="250" t="s">
        <v>4</v>
      </c>
      <c r="F484" s="219" t="s">
        <v>1045</v>
      </c>
      <c r="G484" s="219" t="s">
        <v>6267</v>
      </c>
      <c r="H484" s="219">
        <v>2</v>
      </c>
      <c r="I484" s="219" t="s">
        <v>1054</v>
      </c>
      <c r="J484" s="219" t="s">
        <v>10918</v>
      </c>
      <c r="K484" s="219">
        <v>3</v>
      </c>
      <c r="L484" s="219" t="s">
        <v>451</v>
      </c>
      <c r="M484" s="310" t="s">
        <v>729</v>
      </c>
      <c r="N484" s="219" t="s">
        <v>452</v>
      </c>
      <c r="O484" s="219" t="s">
        <v>452</v>
      </c>
      <c r="P484" s="219"/>
      <c r="Q484" s="219" t="s">
        <v>24</v>
      </c>
      <c r="R484" s="251"/>
      <c r="S484" s="252"/>
      <c r="T484" s="252"/>
      <c r="U484" s="252"/>
      <c r="V484" s="219"/>
      <c r="W484" s="219"/>
      <c r="X484" s="219"/>
      <c r="Y484" s="219"/>
      <c r="Z484" s="219"/>
    </row>
    <row r="485" spans="1:26" ht="15.75" customHeight="1">
      <c r="A485" s="253">
        <v>44789</v>
      </c>
      <c r="B485" s="224" t="s">
        <v>8798</v>
      </c>
      <c r="C485" s="249">
        <v>2.5</v>
      </c>
      <c r="D485" s="224" t="s">
        <v>8801</v>
      </c>
      <c r="E485" s="250" t="s">
        <v>3</v>
      </c>
      <c r="F485" s="224" t="s">
        <v>460</v>
      </c>
      <c r="G485" s="224" t="s">
        <v>8802</v>
      </c>
      <c r="H485" s="224">
        <v>3</v>
      </c>
      <c r="I485" s="224" t="s">
        <v>941</v>
      </c>
      <c r="J485" s="224" t="s">
        <v>8803</v>
      </c>
      <c r="K485" s="224">
        <v>2</v>
      </c>
      <c r="L485" s="224"/>
      <c r="M485" s="224"/>
      <c r="N485" s="224" t="s">
        <v>465</v>
      </c>
      <c r="O485" s="224" t="s">
        <v>10919</v>
      </c>
      <c r="P485" s="224"/>
      <c r="Q485" s="224" t="s">
        <v>24</v>
      </c>
      <c r="R485" s="254"/>
      <c r="S485" s="252"/>
      <c r="T485" s="252"/>
      <c r="U485" s="252"/>
      <c r="V485" s="224"/>
      <c r="W485" s="224"/>
      <c r="X485" s="224"/>
      <c r="Y485" s="224"/>
      <c r="Z485" s="224"/>
    </row>
    <row r="486" spans="1:26" ht="15.75" customHeight="1">
      <c r="A486" s="248">
        <v>44789</v>
      </c>
      <c r="B486" s="219" t="s">
        <v>6339</v>
      </c>
      <c r="C486" s="249">
        <v>2.5</v>
      </c>
      <c r="D486" s="219" t="s">
        <v>6342</v>
      </c>
      <c r="E486" s="250" t="s">
        <v>4</v>
      </c>
      <c r="F486" s="219" t="s">
        <v>602</v>
      </c>
      <c r="G486" s="219" t="s">
        <v>6343</v>
      </c>
      <c r="H486" s="219">
        <v>3</v>
      </c>
      <c r="I486" s="219" t="s">
        <v>1054</v>
      </c>
      <c r="J486" s="219" t="s">
        <v>6344</v>
      </c>
      <c r="K486" s="219">
        <v>2</v>
      </c>
      <c r="L486" s="219" t="s">
        <v>451</v>
      </c>
      <c r="M486" s="219" t="s">
        <v>6345</v>
      </c>
      <c r="N486" s="219" t="s">
        <v>452</v>
      </c>
      <c r="O486" s="219" t="s">
        <v>452</v>
      </c>
      <c r="P486" s="219"/>
      <c r="Q486" s="219" t="s">
        <v>24</v>
      </c>
      <c r="R486" s="251"/>
      <c r="S486" s="252"/>
      <c r="T486" s="252"/>
      <c r="U486" s="252"/>
      <c r="V486" s="219"/>
      <c r="W486" s="219"/>
      <c r="X486" s="219"/>
      <c r="Y486" s="219"/>
      <c r="Z486" s="219"/>
    </row>
    <row r="487" spans="1:26" ht="15.75" customHeight="1">
      <c r="A487" s="253">
        <v>44789</v>
      </c>
      <c r="B487" s="224" t="s">
        <v>9114</v>
      </c>
      <c r="C487" s="249">
        <v>2.5</v>
      </c>
      <c r="D487" s="224"/>
      <c r="E487" s="250" t="s">
        <v>3</v>
      </c>
      <c r="F487" s="224" t="s">
        <v>488</v>
      </c>
      <c r="G487" s="224" t="s">
        <v>11319</v>
      </c>
      <c r="H487" s="224">
        <v>3</v>
      </c>
      <c r="I487" s="224" t="s">
        <v>941</v>
      </c>
      <c r="J487" s="224" t="s">
        <v>9118</v>
      </c>
      <c r="K487" s="224">
        <v>2</v>
      </c>
      <c r="L487" s="224" t="s">
        <v>2190</v>
      </c>
      <c r="M487" s="224" t="s">
        <v>9119</v>
      </c>
      <c r="N487" s="224" t="s">
        <v>452</v>
      </c>
      <c r="O487" s="224" t="s">
        <v>9120</v>
      </c>
      <c r="P487" s="224" t="s">
        <v>9121</v>
      </c>
      <c r="Q487" s="224" t="s">
        <v>24</v>
      </c>
      <c r="R487" s="254"/>
      <c r="S487" s="252"/>
      <c r="T487" s="252"/>
      <c r="U487" s="252"/>
      <c r="V487" s="224"/>
      <c r="W487" s="224"/>
      <c r="X487" s="224"/>
      <c r="Y487" s="224"/>
      <c r="Z487" s="224"/>
    </row>
    <row r="488" spans="1:26" ht="15.75" customHeight="1">
      <c r="A488" s="248">
        <v>44789</v>
      </c>
      <c r="B488" s="219" t="s">
        <v>6451</v>
      </c>
      <c r="C488" s="249">
        <v>2.5</v>
      </c>
      <c r="D488" s="219" t="s">
        <v>6454</v>
      </c>
      <c r="E488" s="250" t="s">
        <v>4</v>
      </c>
      <c r="F488" s="219" t="s">
        <v>727</v>
      </c>
      <c r="G488" s="219" t="s">
        <v>6455</v>
      </c>
      <c r="H488" s="219">
        <v>2.5</v>
      </c>
      <c r="I488" s="219" t="s">
        <v>1045</v>
      </c>
      <c r="J488" s="219" t="s">
        <v>6456</v>
      </c>
      <c r="K488" s="219">
        <v>2.5</v>
      </c>
      <c r="L488" s="219" t="s">
        <v>784</v>
      </c>
      <c r="M488" s="312">
        <v>1200000</v>
      </c>
      <c r="N488" s="219" t="s">
        <v>452</v>
      </c>
      <c r="O488" s="219" t="s">
        <v>1119</v>
      </c>
      <c r="P488" s="219"/>
      <c r="Q488" s="219" t="s">
        <v>24</v>
      </c>
      <c r="R488" s="251"/>
      <c r="S488" s="252"/>
      <c r="T488" s="252"/>
      <c r="U488" s="252"/>
      <c r="V488" s="219"/>
      <c r="W488" s="219"/>
      <c r="X488" s="219"/>
      <c r="Y488" s="219"/>
      <c r="Z488" s="219"/>
    </row>
    <row r="489" spans="1:26" ht="15.75" customHeight="1">
      <c r="A489" s="253">
        <v>44789</v>
      </c>
      <c r="B489" s="224" t="s">
        <v>6208</v>
      </c>
      <c r="C489" s="249">
        <v>2.5</v>
      </c>
      <c r="D489" s="224" t="s">
        <v>6211</v>
      </c>
      <c r="E489" s="250" t="s">
        <v>4</v>
      </c>
      <c r="F489" s="224" t="s">
        <v>727</v>
      </c>
      <c r="G489" s="224" t="s">
        <v>10225</v>
      </c>
      <c r="H489" s="224">
        <v>3</v>
      </c>
      <c r="I489" s="224" t="s">
        <v>1045</v>
      </c>
      <c r="J489" s="224" t="s">
        <v>6213</v>
      </c>
      <c r="K489" s="224">
        <v>2</v>
      </c>
      <c r="L489" s="224" t="s">
        <v>451</v>
      </c>
      <c r="M489" s="224">
        <v>1000000</v>
      </c>
      <c r="N489" s="224" t="s">
        <v>465</v>
      </c>
      <c r="O489" s="224" t="s">
        <v>6214</v>
      </c>
      <c r="P489" s="224" t="s">
        <v>6215</v>
      </c>
      <c r="Q489" s="224" t="s">
        <v>24</v>
      </c>
      <c r="R489" s="254"/>
      <c r="S489" s="252"/>
      <c r="T489" s="252"/>
      <c r="U489" s="252"/>
      <c r="V489" s="224"/>
      <c r="W489" s="224"/>
      <c r="X489" s="224"/>
      <c r="Y489" s="224"/>
      <c r="Z489" s="224"/>
    </row>
    <row r="490" spans="1:26" ht="15.75" customHeight="1">
      <c r="A490" s="248">
        <v>44789</v>
      </c>
      <c r="B490" s="219" t="s">
        <v>6581</v>
      </c>
      <c r="C490" s="249">
        <v>2.5</v>
      </c>
      <c r="D490" s="219" t="s">
        <v>6584</v>
      </c>
      <c r="E490" s="250" t="s">
        <v>4</v>
      </c>
      <c r="F490" s="219" t="s">
        <v>602</v>
      </c>
      <c r="G490" s="219" t="s">
        <v>6585</v>
      </c>
      <c r="H490" s="219">
        <v>2.5</v>
      </c>
      <c r="I490" s="219" t="s">
        <v>1045</v>
      </c>
      <c r="J490" s="219" t="s">
        <v>6586</v>
      </c>
      <c r="K490" s="219">
        <v>2.5</v>
      </c>
      <c r="L490" s="219"/>
      <c r="M490" s="219"/>
      <c r="N490" s="219" t="s">
        <v>452</v>
      </c>
      <c r="O490" s="219" t="s">
        <v>10904</v>
      </c>
      <c r="P490" s="219"/>
      <c r="Q490" s="219" t="s">
        <v>24</v>
      </c>
      <c r="R490" s="251"/>
      <c r="S490" s="252"/>
      <c r="T490" s="252"/>
      <c r="U490" s="252"/>
      <c r="V490" s="219"/>
      <c r="W490" s="219"/>
      <c r="X490" s="219"/>
      <c r="Y490" s="219"/>
      <c r="Z490" s="219"/>
    </row>
    <row r="491" spans="1:26" ht="15.75" customHeight="1">
      <c r="A491" s="253">
        <v>44789</v>
      </c>
      <c r="B491" s="224" t="s">
        <v>10205</v>
      </c>
      <c r="C491" s="249">
        <v>2.25</v>
      </c>
      <c r="D491" s="224" t="s">
        <v>6650</v>
      </c>
      <c r="E491" s="250" t="s">
        <v>4</v>
      </c>
      <c r="F491" s="224" t="s">
        <v>602</v>
      </c>
      <c r="G491" s="224" t="s">
        <v>6651</v>
      </c>
      <c r="H491" s="224">
        <v>2</v>
      </c>
      <c r="I491" s="224" t="s">
        <v>727</v>
      </c>
      <c r="J491" s="224" t="s">
        <v>11636</v>
      </c>
      <c r="K491" s="224">
        <v>2.5</v>
      </c>
      <c r="L491" s="224" t="s">
        <v>451</v>
      </c>
      <c r="M491" s="311">
        <v>1500000</v>
      </c>
      <c r="N491" s="224" t="s">
        <v>452</v>
      </c>
      <c r="O491" s="224" t="s">
        <v>6653</v>
      </c>
      <c r="P491" s="224"/>
      <c r="Q491" s="224" t="s">
        <v>24</v>
      </c>
      <c r="R491" s="254"/>
      <c r="S491" s="252"/>
      <c r="T491" s="252"/>
      <c r="U491" s="252"/>
      <c r="V491" s="224"/>
      <c r="W491" s="224"/>
      <c r="X491" s="224"/>
      <c r="Y491" s="224"/>
      <c r="Z491" s="224"/>
    </row>
    <row r="492" spans="1:26" ht="15.75" customHeight="1">
      <c r="A492" s="248">
        <v>44789</v>
      </c>
      <c r="B492" s="219" t="s">
        <v>6746</v>
      </c>
      <c r="C492" s="249">
        <v>2.25</v>
      </c>
      <c r="D492" s="219" t="s">
        <v>6749</v>
      </c>
      <c r="E492" s="250" t="s">
        <v>4</v>
      </c>
      <c r="F492" s="219" t="s">
        <v>727</v>
      </c>
      <c r="G492" s="219" t="s">
        <v>6750</v>
      </c>
      <c r="H492" s="219">
        <v>2.5</v>
      </c>
      <c r="I492" s="219" t="s">
        <v>1045</v>
      </c>
      <c r="J492" s="219" t="s">
        <v>6751</v>
      </c>
      <c r="K492" s="219">
        <v>2</v>
      </c>
      <c r="L492" s="219"/>
      <c r="M492" s="219"/>
      <c r="N492" s="219" t="s">
        <v>452</v>
      </c>
      <c r="O492" s="219" t="s">
        <v>6289</v>
      </c>
      <c r="P492" s="219"/>
      <c r="Q492" s="219" t="s">
        <v>24</v>
      </c>
      <c r="R492" s="251"/>
      <c r="S492" s="252"/>
      <c r="T492" s="252"/>
      <c r="U492" s="252"/>
      <c r="V492" s="219"/>
      <c r="W492" s="219"/>
      <c r="X492" s="219"/>
      <c r="Y492" s="219"/>
      <c r="Z492" s="219"/>
    </row>
    <row r="493" spans="1:26" ht="15.75" customHeight="1">
      <c r="A493" s="253">
        <v>44789</v>
      </c>
      <c r="B493" s="224" t="s">
        <v>6763</v>
      </c>
      <c r="C493" s="249">
        <v>2.25</v>
      </c>
      <c r="D493" s="224" t="s">
        <v>6766</v>
      </c>
      <c r="E493" s="250" t="s">
        <v>4</v>
      </c>
      <c r="F493" s="224" t="s">
        <v>727</v>
      </c>
      <c r="G493" s="224" t="s">
        <v>10280</v>
      </c>
      <c r="H493" s="224">
        <v>2.5</v>
      </c>
      <c r="I493" s="224" t="s">
        <v>1045</v>
      </c>
      <c r="J493" s="224" t="s">
        <v>6768</v>
      </c>
      <c r="K493" s="224">
        <v>2</v>
      </c>
      <c r="L493" s="224" t="s">
        <v>478</v>
      </c>
      <c r="M493" s="307">
        <v>5000000</v>
      </c>
      <c r="N493" s="224" t="s">
        <v>465</v>
      </c>
      <c r="O493" s="224" t="s">
        <v>6769</v>
      </c>
      <c r="P493" s="224"/>
      <c r="Q493" s="224" t="s">
        <v>24</v>
      </c>
      <c r="R493" s="254"/>
      <c r="S493" s="252"/>
      <c r="T493" s="252"/>
      <c r="U493" s="252"/>
      <c r="V493" s="224"/>
      <c r="W493" s="224"/>
      <c r="X493" s="224"/>
      <c r="Y493" s="224"/>
      <c r="Z493" s="224"/>
    </row>
    <row r="494" spans="1:26" ht="15.75" customHeight="1">
      <c r="A494" s="248">
        <v>44789</v>
      </c>
      <c r="B494" s="219" t="s">
        <v>2361</v>
      </c>
      <c r="C494" s="249">
        <v>2.25</v>
      </c>
      <c r="D494" s="219" t="s">
        <v>10658</v>
      </c>
      <c r="E494" s="250" t="s">
        <v>5</v>
      </c>
      <c r="F494" s="219" t="s">
        <v>447</v>
      </c>
      <c r="G494" s="219" t="s">
        <v>10659</v>
      </c>
      <c r="H494" s="219">
        <v>2.5</v>
      </c>
      <c r="I494" s="219" t="s">
        <v>622</v>
      </c>
      <c r="J494" s="219" t="s">
        <v>2366</v>
      </c>
      <c r="K494" s="219">
        <v>2</v>
      </c>
      <c r="L494" s="219"/>
      <c r="M494" s="219"/>
      <c r="N494" s="219" t="s">
        <v>452</v>
      </c>
      <c r="O494" s="219" t="s">
        <v>2367</v>
      </c>
      <c r="P494" s="219" t="s">
        <v>2368</v>
      </c>
      <c r="Q494" s="219" t="s">
        <v>24</v>
      </c>
      <c r="R494" s="251"/>
      <c r="S494" s="252"/>
      <c r="T494" s="252"/>
      <c r="U494" s="252"/>
      <c r="V494" s="219"/>
      <c r="W494" s="219"/>
      <c r="X494" s="219"/>
      <c r="Y494" s="219"/>
      <c r="Z494" s="219"/>
    </row>
    <row r="495" spans="1:26" ht="15.75" customHeight="1">
      <c r="A495" s="253">
        <v>44789</v>
      </c>
      <c r="B495" s="224" t="s">
        <v>6900</v>
      </c>
      <c r="C495" s="249">
        <v>2.25</v>
      </c>
      <c r="D495" s="224" t="s">
        <v>6903</v>
      </c>
      <c r="E495" s="250" t="s">
        <v>4</v>
      </c>
      <c r="F495" s="224" t="s">
        <v>727</v>
      </c>
      <c r="G495" s="224" t="s">
        <v>6904</v>
      </c>
      <c r="H495" s="224">
        <v>2.5</v>
      </c>
      <c r="I495" s="224" t="s">
        <v>1045</v>
      </c>
      <c r="J495" s="224" t="s">
        <v>6905</v>
      </c>
      <c r="K495" s="224">
        <v>2</v>
      </c>
      <c r="L495" s="224"/>
      <c r="M495" s="311"/>
      <c r="N495" s="224" t="s">
        <v>452</v>
      </c>
      <c r="O495" s="224" t="s">
        <v>1119</v>
      </c>
      <c r="P495" s="224" t="s">
        <v>6906</v>
      </c>
      <c r="Q495" s="224" t="s">
        <v>24</v>
      </c>
      <c r="R495" s="254"/>
      <c r="S495" s="252"/>
      <c r="T495" s="252"/>
      <c r="U495" s="252"/>
      <c r="V495" s="224"/>
      <c r="W495" s="224"/>
      <c r="X495" s="224"/>
      <c r="Y495" s="224"/>
      <c r="Z495" s="224"/>
    </row>
    <row r="496" spans="1:26" ht="15.75" customHeight="1">
      <c r="A496" s="248">
        <v>44789</v>
      </c>
      <c r="B496" s="219" t="s">
        <v>2389</v>
      </c>
      <c r="C496" s="249">
        <v>2.25</v>
      </c>
      <c r="D496" s="219" t="s">
        <v>2392</v>
      </c>
      <c r="E496" s="250" t="s">
        <v>5</v>
      </c>
      <c r="F496" s="219" t="s">
        <v>447</v>
      </c>
      <c r="G496" s="219" t="s">
        <v>11637</v>
      </c>
      <c r="H496" s="219">
        <v>2</v>
      </c>
      <c r="I496" s="219" t="s">
        <v>449</v>
      </c>
      <c r="J496" s="219" t="e">
        <f>+passionate Team
+Large potential market
+developed product
-Tech does not appear Novel</f>
        <v>#NAME?</v>
      </c>
      <c r="K496" s="219">
        <v>2.5</v>
      </c>
      <c r="L496" s="219" t="s">
        <v>768</v>
      </c>
      <c r="M496" s="219">
        <v>400000</v>
      </c>
      <c r="N496" s="219" t="s">
        <v>452</v>
      </c>
      <c r="O496" s="219" t="s">
        <v>2396</v>
      </c>
      <c r="P496" s="219"/>
      <c r="Q496" s="219" t="s">
        <v>24</v>
      </c>
      <c r="R496" s="251"/>
      <c r="S496" s="252"/>
      <c r="T496" s="252"/>
      <c r="U496" s="252"/>
      <c r="V496" s="219"/>
      <c r="W496" s="219"/>
      <c r="X496" s="219"/>
      <c r="Y496" s="219"/>
      <c r="Z496" s="219"/>
    </row>
    <row r="497" spans="1:26" ht="15.75" customHeight="1">
      <c r="A497" s="253">
        <v>44789</v>
      </c>
      <c r="B497" s="224" t="s">
        <v>6908</v>
      </c>
      <c r="C497" s="249">
        <v>2.25</v>
      </c>
      <c r="D497" s="224" t="s">
        <v>10915</v>
      </c>
      <c r="E497" s="250" t="s">
        <v>4</v>
      </c>
      <c r="F497" s="224" t="s">
        <v>602</v>
      </c>
      <c r="G497" s="224" t="s">
        <v>6912</v>
      </c>
      <c r="H497" s="224">
        <v>2</v>
      </c>
      <c r="I497" s="224" t="s">
        <v>1054</v>
      </c>
      <c r="J497" s="224" t="s">
        <v>6913</v>
      </c>
      <c r="K497" s="224">
        <v>2.5</v>
      </c>
      <c r="L497" s="224"/>
      <c r="M497" s="311"/>
      <c r="N497" s="224" t="s">
        <v>452</v>
      </c>
      <c r="O497" s="224" t="s">
        <v>10916</v>
      </c>
      <c r="P497" s="224"/>
      <c r="Q497" s="224" t="s">
        <v>24</v>
      </c>
      <c r="R497" s="254"/>
      <c r="S497" s="252"/>
      <c r="T497" s="252"/>
      <c r="U497" s="252"/>
      <c r="V497" s="224"/>
      <c r="W497" s="224"/>
      <c r="X497" s="224"/>
      <c r="Y497" s="224"/>
      <c r="Z497" s="224"/>
    </row>
    <row r="498" spans="1:26" ht="15.75" customHeight="1">
      <c r="A498" s="248">
        <v>44789</v>
      </c>
      <c r="B498" s="219" t="s">
        <v>6754</v>
      </c>
      <c r="C498" s="249">
        <v>2.25</v>
      </c>
      <c r="D498" s="219" t="s">
        <v>6757</v>
      </c>
      <c r="E498" s="250" t="s">
        <v>4</v>
      </c>
      <c r="F498" s="219" t="s">
        <v>602</v>
      </c>
      <c r="G498" s="219" t="s">
        <v>6758</v>
      </c>
      <c r="H498" s="219">
        <v>2.5</v>
      </c>
      <c r="I498" s="219" t="s">
        <v>1054</v>
      </c>
      <c r="J498" s="219" t="s">
        <v>10958</v>
      </c>
      <c r="K498" s="219">
        <v>2</v>
      </c>
      <c r="L498" s="219"/>
      <c r="M498" s="219"/>
      <c r="N498" s="219" t="s">
        <v>452</v>
      </c>
      <c r="O498" s="219" t="s">
        <v>6760</v>
      </c>
      <c r="P498" s="219"/>
      <c r="Q498" s="219" t="s">
        <v>24</v>
      </c>
      <c r="R498" s="251"/>
      <c r="S498" s="252"/>
      <c r="T498" s="252"/>
      <c r="U498" s="252"/>
      <c r="V498" s="219"/>
      <c r="W498" s="219"/>
      <c r="X498" s="219"/>
      <c r="Y498" s="219"/>
      <c r="Z498" s="219"/>
    </row>
    <row r="499" spans="1:26" ht="15.75" customHeight="1">
      <c r="A499" s="253">
        <v>44789</v>
      </c>
      <c r="B499" s="224" t="s">
        <v>6714</v>
      </c>
      <c r="C499" s="249">
        <v>2.25</v>
      </c>
      <c r="D499" s="224" t="s">
        <v>6717</v>
      </c>
      <c r="E499" s="250" t="s">
        <v>4</v>
      </c>
      <c r="F499" s="224" t="s">
        <v>602</v>
      </c>
      <c r="G499" s="224" t="s">
        <v>6718</v>
      </c>
      <c r="H499" s="224">
        <v>3.5</v>
      </c>
      <c r="I499" s="224" t="s">
        <v>476</v>
      </c>
      <c r="J499" s="224" t="s">
        <v>11000</v>
      </c>
      <c r="K499" s="224">
        <v>1</v>
      </c>
      <c r="L499" s="224"/>
      <c r="M499" s="224"/>
      <c r="N499" s="224" t="s">
        <v>452</v>
      </c>
      <c r="O499" s="224" t="s">
        <v>452</v>
      </c>
      <c r="P499" s="224"/>
      <c r="Q499" s="224" t="s">
        <v>24</v>
      </c>
      <c r="R499" s="254"/>
      <c r="S499" s="252"/>
      <c r="T499" s="252"/>
      <c r="U499" s="252"/>
      <c r="V499" s="224"/>
      <c r="W499" s="224"/>
      <c r="X499" s="224"/>
      <c r="Y499" s="224"/>
      <c r="Z499" s="224"/>
    </row>
    <row r="500" spans="1:26" ht="15.75" customHeight="1">
      <c r="A500" s="248">
        <v>44789</v>
      </c>
      <c r="B500" s="219" t="s">
        <v>2669</v>
      </c>
      <c r="C500" s="249">
        <v>2.25</v>
      </c>
      <c r="D500" s="219" t="s">
        <v>2672</v>
      </c>
      <c r="E500" s="250" t="s">
        <v>5</v>
      </c>
      <c r="F500" s="219" t="s">
        <v>447</v>
      </c>
      <c r="G500" s="219" t="s">
        <v>11004</v>
      </c>
      <c r="H500" s="219">
        <v>2.5</v>
      </c>
      <c r="I500" s="219" t="s">
        <v>622</v>
      </c>
      <c r="J500" s="219" t="s">
        <v>2674</v>
      </c>
      <c r="K500" s="219">
        <v>2</v>
      </c>
      <c r="L500" s="219" t="s">
        <v>451</v>
      </c>
      <c r="M500" s="312">
        <v>500000</v>
      </c>
      <c r="N500" s="219" t="s">
        <v>452</v>
      </c>
      <c r="O500" s="219" t="s">
        <v>2675</v>
      </c>
      <c r="P500" s="219"/>
      <c r="Q500" s="219" t="s">
        <v>24</v>
      </c>
      <c r="R500" s="251"/>
      <c r="S500" s="252"/>
      <c r="T500" s="252"/>
      <c r="U500" s="252"/>
      <c r="V500" s="219"/>
      <c r="W500" s="219"/>
      <c r="X500" s="219"/>
      <c r="Y500" s="219"/>
      <c r="Z500" s="219"/>
    </row>
    <row r="501" spans="1:26" ht="15.75" customHeight="1">
      <c r="A501" s="253">
        <v>44789</v>
      </c>
      <c r="B501" s="224" t="s">
        <v>9177</v>
      </c>
      <c r="C501" s="249">
        <v>2.25</v>
      </c>
      <c r="D501" s="224" t="s">
        <v>9180</v>
      </c>
      <c r="E501" s="250" t="s">
        <v>3</v>
      </c>
      <c r="F501" s="224" t="s">
        <v>488</v>
      </c>
      <c r="G501" s="224" t="s">
        <v>9181</v>
      </c>
      <c r="H501" s="224">
        <v>2.5</v>
      </c>
      <c r="I501" s="224" t="s">
        <v>941</v>
      </c>
      <c r="J501" s="224"/>
      <c r="K501" s="224">
        <v>2</v>
      </c>
      <c r="L501" s="224" t="s">
        <v>923</v>
      </c>
      <c r="M501" s="307">
        <v>1000000</v>
      </c>
      <c r="N501" s="224" t="s">
        <v>452</v>
      </c>
      <c r="O501" s="224" t="s">
        <v>9182</v>
      </c>
      <c r="P501" s="224" t="s">
        <v>9183</v>
      </c>
      <c r="Q501" s="224" t="s">
        <v>24</v>
      </c>
      <c r="R501" s="254"/>
      <c r="S501" s="252"/>
      <c r="T501" s="252"/>
      <c r="U501" s="252"/>
      <c r="V501" s="224"/>
      <c r="W501" s="224"/>
      <c r="X501" s="224"/>
      <c r="Y501" s="224"/>
      <c r="Z501" s="224"/>
    </row>
    <row r="502" spans="1:26" ht="15.75" customHeight="1">
      <c r="A502" s="248">
        <v>44789</v>
      </c>
      <c r="B502" s="219" t="s">
        <v>6673</v>
      </c>
      <c r="C502" s="249">
        <v>2.25</v>
      </c>
      <c r="D502" s="219" t="s">
        <v>6676</v>
      </c>
      <c r="E502" s="250" t="s">
        <v>4</v>
      </c>
      <c r="F502" s="219" t="s">
        <v>727</v>
      </c>
      <c r="G502" s="219" t="s">
        <v>6677</v>
      </c>
      <c r="H502" s="219">
        <v>2.5</v>
      </c>
      <c r="I502" s="219" t="s">
        <v>1045</v>
      </c>
      <c r="J502" s="219" t="s">
        <v>6678</v>
      </c>
      <c r="K502" s="219">
        <v>2</v>
      </c>
      <c r="L502" s="219" t="s">
        <v>451</v>
      </c>
      <c r="M502" s="219">
        <v>2800000</v>
      </c>
      <c r="N502" s="219" t="s">
        <v>452</v>
      </c>
      <c r="O502" s="219" t="s">
        <v>6679</v>
      </c>
      <c r="P502" s="219"/>
      <c r="Q502" s="219" t="s">
        <v>24</v>
      </c>
      <c r="R502" s="251"/>
      <c r="S502" s="252"/>
      <c r="T502" s="252"/>
      <c r="U502" s="252"/>
      <c r="V502" s="219"/>
      <c r="W502" s="219"/>
      <c r="X502" s="219"/>
      <c r="Y502" s="219"/>
      <c r="Z502" s="219"/>
    </row>
    <row r="503" spans="1:26" ht="15.75" customHeight="1">
      <c r="A503" s="253">
        <v>44789</v>
      </c>
      <c r="B503" s="224" t="s">
        <v>2885</v>
      </c>
      <c r="C503" s="249">
        <v>2.25</v>
      </c>
      <c r="D503" s="224" t="s">
        <v>2888</v>
      </c>
      <c r="E503" s="250" t="s">
        <v>5</v>
      </c>
      <c r="F503" s="224" t="s">
        <v>447</v>
      </c>
      <c r="G503" s="224" t="s">
        <v>10763</v>
      </c>
      <c r="H503" s="224">
        <v>2</v>
      </c>
      <c r="I503" s="224" t="s">
        <v>622</v>
      </c>
      <c r="J503" s="224" t="s">
        <v>2890</v>
      </c>
      <c r="K503" s="224">
        <v>2.5</v>
      </c>
      <c r="L503" s="224"/>
      <c r="M503" s="224"/>
      <c r="N503" s="224" t="s">
        <v>452</v>
      </c>
      <c r="O503" s="224" t="s">
        <v>2891</v>
      </c>
      <c r="P503" s="224" t="s">
        <v>2892</v>
      </c>
      <c r="Q503" s="224" t="s">
        <v>24</v>
      </c>
      <c r="R503" s="254"/>
      <c r="S503" s="252"/>
      <c r="T503" s="252"/>
      <c r="U503" s="252"/>
      <c r="V503" s="224"/>
      <c r="W503" s="224"/>
      <c r="X503" s="224"/>
      <c r="Y503" s="224"/>
      <c r="Z503" s="224"/>
    </row>
    <row r="504" spans="1:26" ht="15.75" customHeight="1">
      <c r="A504" s="248">
        <v>44789</v>
      </c>
      <c r="B504" s="219" t="s">
        <v>6788</v>
      </c>
      <c r="C504" s="249">
        <v>2.25</v>
      </c>
      <c r="D504" s="219" t="s">
        <v>6791</v>
      </c>
      <c r="E504" s="250" t="s">
        <v>4</v>
      </c>
      <c r="F504" s="219" t="s">
        <v>602</v>
      </c>
      <c r="G504" s="219" t="s">
        <v>6792</v>
      </c>
      <c r="H504" s="219">
        <v>2</v>
      </c>
      <c r="I504" s="219" t="s">
        <v>476</v>
      </c>
      <c r="J504" s="219" t="s">
        <v>13400</v>
      </c>
      <c r="K504" s="219">
        <v>2.5</v>
      </c>
      <c r="L504" s="219" t="s">
        <v>784</v>
      </c>
      <c r="M504" s="312">
        <v>306000</v>
      </c>
      <c r="N504" s="219" t="s">
        <v>452</v>
      </c>
      <c r="O504" s="219" t="s">
        <v>6794</v>
      </c>
      <c r="P504" s="219"/>
      <c r="Q504" s="219" t="s">
        <v>24</v>
      </c>
      <c r="R504" s="251"/>
      <c r="S504" s="252"/>
      <c r="T504" s="252"/>
      <c r="U504" s="252"/>
      <c r="V504" s="219"/>
      <c r="W504" s="219"/>
      <c r="X504" s="219"/>
      <c r="Y504" s="219"/>
      <c r="Z504" s="219"/>
    </row>
    <row r="505" spans="1:26" ht="15.75" customHeight="1">
      <c r="A505" s="253">
        <v>44789</v>
      </c>
      <c r="B505" s="224" t="s">
        <v>7591</v>
      </c>
      <c r="C505" s="249">
        <v>2</v>
      </c>
      <c r="D505" s="224" t="s">
        <v>7594</v>
      </c>
      <c r="E505" s="250" t="s">
        <v>4</v>
      </c>
      <c r="F505" s="224" t="s">
        <v>727</v>
      </c>
      <c r="G505" s="224"/>
      <c r="H505" s="224">
        <v>2</v>
      </c>
      <c r="I505" s="224" t="s">
        <v>1045</v>
      </c>
      <c r="J505" s="224" t="s">
        <v>7595</v>
      </c>
      <c r="K505" s="224">
        <v>2</v>
      </c>
      <c r="L505" s="224" t="s">
        <v>784</v>
      </c>
      <c r="M505" s="311">
        <v>4000000</v>
      </c>
      <c r="N505" s="224" t="s">
        <v>452</v>
      </c>
      <c r="O505" s="224" t="s">
        <v>7596</v>
      </c>
      <c r="P505" s="224"/>
      <c r="Q505" s="224" t="s">
        <v>24</v>
      </c>
      <c r="R505" s="254"/>
      <c r="S505" s="252"/>
      <c r="T505" s="252"/>
      <c r="U505" s="252"/>
      <c r="V505" s="224"/>
      <c r="W505" s="224"/>
      <c r="X505" s="224"/>
      <c r="Y505" s="224"/>
      <c r="Z505" s="224"/>
    </row>
    <row r="506" spans="1:26" ht="15.75" customHeight="1">
      <c r="A506" s="248">
        <v>44789</v>
      </c>
      <c r="B506" s="219" t="s">
        <v>7162</v>
      </c>
      <c r="C506" s="249">
        <v>2</v>
      </c>
      <c r="D506" s="219" t="s">
        <v>7165</v>
      </c>
      <c r="E506" s="250" t="s">
        <v>4</v>
      </c>
      <c r="F506" s="219" t="s">
        <v>727</v>
      </c>
      <c r="G506" s="219"/>
      <c r="H506" s="219">
        <v>2</v>
      </c>
      <c r="I506" s="219" t="s">
        <v>1045</v>
      </c>
      <c r="J506" s="219" t="s">
        <v>7166</v>
      </c>
      <c r="K506" s="219">
        <v>2</v>
      </c>
      <c r="L506" s="219" t="s">
        <v>784</v>
      </c>
      <c r="M506" s="312">
        <v>5000000</v>
      </c>
      <c r="N506" s="219" t="s">
        <v>452</v>
      </c>
      <c r="O506" s="219" t="s">
        <v>7167</v>
      </c>
      <c r="P506" s="219"/>
      <c r="Q506" s="219" t="s">
        <v>24</v>
      </c>
      <c r="R506" s="251"/>
      <c r="S506" s="252"/>
      <c r="T506" s="252"/>
      <c r="U506" s="252"/>
      <c r="V506" s="219"/>
      <c r="W506" s="219"/>
      <c r="X506" s="219"/>
      <c r="Y506" s="219"/>
      <c r="Z506" s="219"/>
    </row>
    <row r="507" spans="1:26" ht="15.75" customHeight="1">
      <c r="A507" s="253">
        <v>44789</v>
      </c>
      <c r="B507" s="224" t="s">
        <v>7954</v>
      </c>
      <c r="C507" s="249">
        <v>2</v>
      </c>
      <c r="D507" s="224" t="s">
        <v>7957</v>
      </c>
      <c r="E507" s="250" t="s">
        <v>4</v>
      </c>
      <c r="F507" s="224" t="s">
        <v>602</v>
      </c>
      <c r="G507" s="224" t="s">
        <v>11638</v>
      </c>
      <c r="H507" s="224">
        <v>2</v>
      </c>
      <c r="I507" s="224" t="s">
        <v>1054</v>
      </c>
      <c r="J507" s="224" t="s">
        <v>11639</v>
      </c>
      <c r="K507" s="224">
        <v>2</v>
      </c>
      <c r="L507" s="224" t="s">
        <v>784</v>
      </c>
      <c r="M507" s="307">
        <v>275000</v>
      </c>
      <c r="N507" s="224" t="s">
        <v>452</v>
      </c>
      <c r="O507" s="224" t="s">
        <v>452</v>
      </c>
      <c r="P507" s="224" t="s">
        <v>7960</v>
      </c>
      <c r="Q507" s="224" t="s">
        <v>24</v>
      </c>
      <c r="R507" s="254"/>
      <c r="S507" s="252"/>
      <c r="T507" s="252"/>
      <c r="U507" s="252"/>
      <c r="V507" s="224"/>
      <c r="W507" s="224"/>
      <c r="X507" s="224"/>
      <c r="Y507" s="224"/>
      <c r="Z507" s="224"/>
    </row>
    <row r="508" spans="1:26" ht="15.75" customHeight="1">
      <c r="A508" s="248">
        <v>44789</v>
      </c>
      <c r="B508" s="219" t="s">
        <v>8431</v>
      </c>
      <c r="C508" s="249">
        <v>2</v>
      </c>
      <c r="D508" s="219" t="s">
        <v>8434</v>
      </c>
      <c r="E508" s="250" t="s">
        <v>3</v>
      </c>
      <c r="F508" s="219" t="s">
        <v>460</v>
      </c>
      <c r="G508" s="219" t="s">
        <v>8435</v>
      </c>
      <c r="H508" s="219">
        <v>2</v>
      </c>
      <c r="I508" s="219" t="s">
        <v>941</v>
      </c>
      <c r="J508" s="219"/>
      <c r="K508" s="219">
        <v>2</v>
      </c>
      <c r="L508" s="219" t="s">
        <v>478</v>
      </c>
      <c r="M508" s="219" t="s">
        <v>8436</v>
      </c>
      <c r="N508" s="219" t="s">
        <v>452</v>
      </c>
      <c r="O508" s="219" t="s">
        <v>452</v>
      </c>
      <c r="P508" s="219"/>
      <c r="Q508" s="219" t="s">
        <v>24</v>
      </c>
      <c r="R508" s="251"/>
      <c r="S508" s="252"/>
      <c r="T508" s="252"/>
      <c r="U508" s="252"/>
      <c r="V508" s="219"/>
      <c r="W508" s="219"/>
      <c r="X508" s="219"/>
      <c r="Y508" s="219"/>
      <c r="Z508" s="219"/>
    </row>
    <row r="509" spans="1:26" ht="15.75" customHeight="1">
      <c r="A509" s="253">
        <v>44789</v>
      </c>
      <c r="B509" s="224" t="s">
        <v>2644</v>
      </c>
      <c r="C509" s="249">
        <v>2</v>
      </c>
      <c r="D509" s="224" t="s">
        <v>2647</v>
      </c>
      <c r="E509" s="250" t="s">
        <v>5</v>
      </c>
      <c r="F509" s="224" t="s">
        <v>447</v>
      </c>
      <c r="G509" s="224" t="s">
        <v>10354</v>
      </c>
      <c r="H509" s="224">
        <v>2</v>
      </c>
      <c r="I509" s="224" t="s">
        <v>449</v>
      </c>
      <c r="J509" s="224" t="e">
        <f>+passionate Team
-Might be Too early for EFL</f>
        <v>#NAME?</v>
      </c>
      <c r="K509" s="224">
        <v>2</v>
      </c>
      <c r="L509" s="224"/>
      <c r="M509" s="224"/>
      <c r="N509" s="224" t="s">
        <v>452</v>
      </c>
      <c r="O509" s="224" t="s">
        <v>452</v>
      </c>
      <c r="P509" s="224"/>
      <c r="Q509" s="224" t="s">
        <v>24</v>
      </c>
      <c r="R509" s="254"/>
      <c r="S509" s="252"/>
      <c r="T509" s="252"/>
      <c r="U509" s="252"/>
      <c r="V509" s="224"/>
      <c r="W509" s="224"/>
      <c r="X509" s="224"/>
      <c r="Y509" s="224"/>
      <c r="Z509" s="224"/>
    </row>
    <row r="510" spans="1:26" ht="15.75" customHeight="1">
      <c r="A510" s="248">
        <v>44789</v>
      </c>
      <c r="B510" s="219" t="s">
        <v>7300</v>
      </c>
      <c r="C510" s="249">
        <v>2</v>
      </c>
      <c r="D510" s="219" t="s">
        <v>7303</v>
      </c>
      <c r="E510" s="250" t="s">
        <v>4</v>
      </c>
      <c r="F510" s="219" t="s">
        <v>727</v>
      </c>
      <c r="G510" s="219" t="s">
        <v>10637</v>
      </c>
      <c r="H510" s="219">
        <v>2</v>
      </c>
      <c r="I510" s="219" t="s">
        <v>1045</v>
      </c>
      <c r="J510" s="219" t="s">
        <v>7305</v>
      </c>
      <c r="K510" s="219">
        <v>2</v>
      </c>
      <c r="L510" s="219" t="s">
        <v>451</v>
      </c>
      <c r="M510" s="312">
        <v>200000</v>
      </c>
      <c r="N510" s="219" t="s">
        <v>452</v>
      </c>
      <c r="O510" s="219" t="s">
        <v>7306</v>
      </c>
      <c r="P510" s="219"/>
      <c r="Q510" s="219" t="s">
        <v>24</v>
      </c>
      <c r="R510" s="251"/>
      <c r="S510" s="252"/>
      <c r="T510" s="252"/>
      <c r="U510" s="252"/>
      <c r="V510" s="219"/>
      <c r="W510" s="219"/>
      <c r="X510" s="219"/>
      <c r="Y510" s="219"/>
      <c r="Z510" s="219"/>
    </row>
    <row r="511" spans="1:26" ht="15.75" customHeight="1">
      <c r="A511" s="253">
        <v>44789</v>
      </c>
      <c r="B511" s="224" t="s">
        <v>7077</v>
      </c>
      <c r="C511" s="249">
        <v>2</v>
      </c>
      <c r="D511" s="224" t="s">
        <v>7080</v>
      </c>
      <c r="E511" s="250" t="s">
        <v>4</v>
      </c>
      <c r="F511" s="224" t="s">
        <v>727</v>
      </c>
      <c r="G511" s="224" t="s">
        <v>10660</v>
      </c>
      <c r="H511" s="224">
        <v>2</v>
      </c>
      <c r="I511" s="224" t="s">
        <v>1045</v>
      </c>
      <c r="J511" s="224" t="s">
        <v>7082</v>
      </c>
      <c r="K511" s="224">
        <v>2</v>
      </c>
      <c r="L511" s="224" t="s">
        <v>451</v>
      </c>
      <c r="M511" s="307">
        <v>800000</v>
      </c>
      <c r="N511" s="224" t="s">
        <v>452</v>
      </c>
      <c r="O511" s="224" t="s">
        <v>452</v>
      </c>
      <c r="P511" s="224"/>
      <c r="Q511" s="224" t="s">
        <v>24</v>
      </c>
      <c r="R511" s="254"/>
      <c r="S511" s="252"/>
      <c r="T511" s="252"/>
      <c r="U511" s="252"/>
      <c r="V511" s="224"/>
      <c r="W511" s="224"/>
      <c r="X511" s="224"/>
      <c r="Y511" s="224"/>
      <c r="Z511" s="224"/>
    </row>
    <row r="512" spans="1:26" ht="15.75" customHeight="1">
      <c r="A512" s="248">
        <v>44789</v>
      </c>
      <c r="B512" s="219" t="s">
        <v>7244</v>
      </c>
      <c r="C512" s="249">
        <v>2</v>
      </c>
      <c r="D512" s="219" t="s">
        <v>7247</v>
      </c>
      <c r="E512" s="250" t="s">
        <v>4</v>
      </c>
      <c r="F512" s="219" t="s">
        <v>727</v>
      </c>
      <c r="G512" s="219" t="s">
        <v>10669</v>
      </c>
      <c r="H512" s="219">
        <v>2</v>
      </c>
      <c r="I512" s="219" t="s">
        <v>1045</v>
      </c>
      <c r="J512" s="219" t="s">
        <v>7249</v>
      </c>
      <c r="K512" s="219">
        <v>2</v>
      </c>
      <c r="L512" s="219"/>
      <c r="M512" s="312"/>
      <c r="N512" s="219" t="s">
        <v>452</v>
      </c>
      <c r="O512" s="219" t="s">
        <v>7250</v>
      </c>
      <c r="P512" s="219"/>
      <c r="Q512" s="219" t="s">
        <v>24</v>
      </c>
      <c r="R512" s="251"/>
      <c r="S512" s="252"/>
      <c r="T512" s="252"/>
      <c r="U512" s="252"/>
      <c r="V512" s="219"/>
      <c r="W512" s="219"/>
      <c r="X512" s="219"/>
      <c r="Y512" s="219"/>
      <c r="Z512" s="219"/>
    </row>
    <row r="513" spans="1:26" ht="15.75" customHeight="1">
      <c r="A513" s="253">
        <v>44789</v>
      </c>
      <c r="B513" s="224" t="s">
        <v>10723</v>
      </c>
      <c r="C513" s="249">
        <v>2</v>
      </c>
      <c r="D513" s="224" t="s">
        <v>2619</v>
      </c>
      <c r="E513" s="250" t="s">
        <v>5</v>
      </c>
      <c r="F513" s="224" t="s">
        <v>447</v>
      </c>
      <c r="G513" s="224" t="s">
        <v>10724</v>
      </c>
      <c r="H513" s="224">
        <v>2</v>
      </c>
      <c r="I513" s="224" t="s">
        <v>449</v>
      </c>
      <c r="J513" s="224" t="e">
        <f>+passionate Team
-Tech not very Novel
-Might be Too early</f>
        <v>#NAME?</v>
      </c>
      <c r="K513" s="224">
        <v>2</v>
      </c>
      <c r="L513" s="224"/>
      <c r="M513" s="311"/>
      <c r="N513" s="224" t="s">
        <v>452</v>
      </c>
      <c r="O513" s="224" t="s">
        <v>10726</v>
      </c>
      <c r="P513" s="224" t="s">
        <v>2623</v>
      </c>
      <c r="Q513" s="224" t="s">
        <v>24</v>
      </c>
      <c r="R513" s="254"/>
      <c r="S513" s="252"/>
      <c r="T513" s="252"/>
      <c r="U513" s="252"/>
      <c r="V513" s="224"/>
      <c r="W513" s="224"/>
      <c r="X513" s="224"/>
      <c r="Y513" s="224"/>
      <c r="Z513" s="224"/>
    </row>
    <row r="514" spans="1:26" ht="15.75" customHeight="1">
      <c r="A514" s="248">
        <v>44789</v>
      </c>
      <c r="B514" s="219" t="s">
        <v>7434</v>
      </c>
      <c r="C514" s="249">
        <v>2</v>
      </c>
      <c r="D514" s="219" t="s">
        <v>7437</v>
      </c>
      <c r="E514" s="250" t="s">
        <v>4</v>
      </c>
      <c r="F514" s="219" t="s">
        <v>602</v>
      </c>
      <c r="G514" s="219" t="s">
        <v>7438</v>
      </c>
      <c r="H514" s="219">
        <v>2</v>
      </c>
      <c r="I514" s="219" t="s">
        <v>476</v>
      </c>
      <c r="J514" s="219" t="s">
        <v>13400</v>
      </c>
      <c r="K514" s="219">
        <v>2</v>
      </c>
      <c r="L514" s="219"/>
      <c r="M514" s="219"/>
      <c r="N514" s="219" t="s">
        <v>452</v>
      </c>
      <c r="O514" s="219" t="s">
        <v>7440</v>
      </c>
      <c r="P514" s="219"/>
      <c r="Q514" s="219" t="s">
        <v>24</v>
      </c>
      <c r="R514" s="251"/>
      <c r="S514" s="252"/>
      <c r="T514" s="252"/>
      <c r="U514" s="252"/>
      <c r="V514" s="219"/>
      <c r="W514" s="219"/>
      <c r="X514" s="219"/>
      <c r="Y514" s="219"/>
      <c r="Z514" s="219"/>
    </row>
    <row r="515" spans="1:26" ht="15.75" customHeight="1">
      <c r="A515" s="257">
        <v>44789</v>
      </c>
      <c r="B515" s="258" t="s">
        <v>8831</v>
      </c>
      <c r="C515" s="263">
        <v>2</v>
      </c>
      <c r="D515" s="258" t="s">
        <v>8834</v>
      </c>
      <c r="E515" s="258" t="s">
        <v>3</v>
      </c>
      <c r="F515" s="258" t="s">
        <v>460</v>
      </c>
      <c r="G515" s="258" t="s">
        <v>8835</v>
      </c>
      <c r="H515" s="258">
        <v>2</v>
      </c>
      <c r="I515" s="258" t="s">
        <v>941</v>
      </c>
      <c r="J515" s="258" t="s">
        <v>8836</v>
      </c>
      <c r="K515" s="258">
        <v>2</v>
      </c>
      <c r="L515" s="258" t="s">
        <v>451</v>
      </c>
      <c r="M515" s="309">
        <v>3000000</v>
      </c>
      <c r="N515" s="258" t="s">
        <v>452</v>
      </c>
      <c r="O515" s="258" t="s">
        <v>8837</v>
      </c>
      <c r="P515" s="258" t="s">
        <v>8838</v>
      </c>
      <c r="Q515" s="258" t="s">
        <v>24</v>
      </c>
      <c r="R515" s="259" t="s">
        <v>8839</v>
      </c>
      <c r="S515" s="258"/>
      <c r="T515" s="258"/>
      <c r="U515" s="258"/>
      <c r="V515" s="258"/>
      <c r="W515" s="258"/>
      <c r="X515" s="258"/>
      <c r="Y515" s="258"/>
      <c r="Z515" s="258"/>
    </row>
    <row r="516" spans="1:26" ht="15.75" customHeight="1">
      <c r="A516" s="248">
        <v>44789</v>
      </c>
      <c r="B516" s="219" t="s">
        <v>7469</v>
      </c>
      <c r="C516" s="249">
        <v>2</v>
      </c>
      <c r="D516" s="219" t="s">
        <v>7472</v>
      </c>
      <c r="E516" s="250" t="s">
        <v>4</v>
      </c>
      <c r="F516" s="219" t="s">
        <v>602</v>
      </c>
      <c r="G516" s="219" t="s">
        <v>7473</v>
      </c>
      <c r="H516" s="219">
        <v>2</v>
      </c>
      <c r="I516" s="219" t="s">
        <v>1054</v>
      </c>
      <c r="J516" s="219" t="s">
        <v>7474</v>
      </c>
      <c r="K516" s="219">
        <v>2</v>
      </c>
      <c r="L516" s="219" t="s">
        <v>451</v>
      </c>
      <c r="M516" s="312">
        <v>2500000</v>
      </c>
      <c r="N516" s="219" t="s">
        <v>452</v>
      </c>
      <c r="O516" s="219" t="s">
        <v>7475</v>
      </c>
      <c r="P516" s="219"/>
      <c r="Q516" s="219" t="s">
        <v>24</v>
      </c>
      <c r="R516" s="251"/>
      <c r="S516" s="252"/>
      <c r="T516" s="252"/>
      <c r="U516" s="252"/>
      <c r="V516" s="219"/>
      <c r="W516" s="219"/>
      <c r="X516" s="219"/>
      <c r="Y516" s="219"/>
      <c r="Z516" s="219"/>
    </row>
    <row r="517" spans="1:26" ht="15.75" customHeight="1">
      <c r="A517" s="253">
        <v>44789</v>
      </c>
      <c r="B517" s="224" t="s">
        <v>7252</v>
      </c>
      <c r="C517" s="249">
        <v>2</v>
      </c>
      <c r="D517" s="224" t="s">
        <v>7255</v>
      </c>
      <c r="E517" s="250" t="s">
        <v>4</v>
      </c>
      <c r="F517" s="224" t="s">
        <v>602</v>
      </c>
      <c r="G517" s="224" t="s">
        <v>6912</v>
      </c>
      <c r="H517" s="224">
        <v>2</v>
      </c>
      <c r="I517" s="224" t="s">
        <v>1045</v>
      </c>
      <c r="J517" s="224" t="s">
        <v>7256</v>
      </c>
      <c r="K517" s="224">
        <v>2</v>
      </c>
      <c r="L517" s="224" t="s">
        <v>451</v>
      </c>
      <c r="M517" s="307">
        <v>500000</v>
      </c>
      <c r="N517" s="224" t="s">
        <v>452</v>
      </c>
      <c r="O517" s="224" t="s">
        <v>1028</v>
      </c>
      <c r="P517" s="224"/>
      <c r="Q517" s="224" t="s">
        <v>24</v>
      </c>
      <c r="R517" s="254"/>
      <c r="S517" s="252"/>
      <c r="T517" s="252"/>
      <c r="U517" s="252"/>
      <c r="V517" s="224"/>
      <c r="W517" s="224"/>
      <c r="X517" s="224"/>
      <c r="Y517" s="224"/>
      <c r="Z517" s="224"/>
    </row>
    <row r="518" spans="1:26" ht="15.75" customHeight="1">
      <c r="A518" s="248">
        <v>44789</v>
      </c>
      <c r="B518" s="219" t="s">
        <v>7259</v>
      </c>
      <c r="C518" s="249">
        <v>2</v>
      </c>
      <c r="D518" s="219" t="s">
        <v>7262</v>
      </c>
      <c r="E518" s="250" t="s">
        <v>4</v>
      </c>
      <c r="F518" s="219" t="s">
        <v>602</v>
      </c>
      <c r="G518" s="219" t="s">
        <v>7263</v>
      </c>
      <c r="H518" s="219">
        <v>2</v>
      </c>
      <c r="I518" s="219" t="s">
        <v>1054</v>
      </c>
      <c r="J518" s="219" t="s">
        <v>7264</v>
      </c>
      <c r="K518" s="219">
        <v>2</v>
      </c>
      <c r="L518" s="219"/>
      <c r="M518" s="219"/>
      <c r="N518" s="219" t="s">
        <v>452</v>
      </c>
      <c r="O518" s="219" t="s">
        <v>7265</v>
      </c>
      <c r="P518" s="219"/>
      <c r="Q518" s="219" t="s">
        <v>24</v>
      </c>
      <c r="R518" s="251"/>
      <c r="S518" s="252"/>
      <c r="T518" s="252"/>
      <c r="U518" s="252"/>
      <c r="V518" s="219"/>
      <c r="W518" s="219"/>
      <c r="X518" s="219"/>
      <c r="Y518" s="219"/>
      <c r="Z518" s="219"/>
    </row>
    <row r="519" spans="1:26" ht="15.75" customHeight="1">
      <c r="A519" s="253">
        <v>44789</v>
      </c>
      <c r="B519" s="224" t="s">
        <v>7085</v>
      </c>
      <c r="C519" s="249">
        <v>2</v>
      </c>
      <c r="D519" s="224" t="s">
        <v>7088</v>
      </c>
      <c r="E519" s="250" t="s">
        <v>4</v>
      </c>
      <c r="F519" s="224" t="s">
        <v>602</v>
      </c>
      <c r="G519" s="224" t="s">
        <v>7089</v>
      </c>
      <c r="H519" s="224">
        <v>2</v>
      </c>
      <c r="I519" s="224" t="s">
        <v>476</v>
      </c>
      <c r="J519" s="224" t="s">
        <v>10961</v>
      </c>
      <c r="K519" s="224">
        <v>2</v>
      </c>
      <c r="L519" s="224"/>
      <c r="M519" s="224"/>
      <c r="N519" s="224" t="s">
        <v>454</v>
      </c>
      <c r="O519" s="224" t="s">
        <v>452</v>
      </c>
      <c r="P519" s="224"/>
      <c r="Q519" s="224" t="s">
        <v>24</v>
      </c>
      <c r="R519" s="254"/>
      <c r="S519" s="252"/>
      <c r="T519" s="252"/>
      <c r="U519" s="252"/>
      <c r="V519" s="224"/>
      <c r="W519" s="224"/>
      <c r="X519" s="224"/>
      <c r="Y519" s="224"/>
      <c r="Z519" s="224"/>
    </row>
    <row r="520" spans="1:26" ht="15.75" customHeight="1">
      <c r="A520" s="248">
        <v>44789</v>
      </c>
      <c r="B520" s="219" t="s">
        <v>7365</v>
      </c>
      <c r="C520" s="249">
        <v>2</v>
      </c>
      <c r="D520" s="219" t="s">
        <v>7368</v>
      </c>
      <c r="E520" s="250" t="s">
        <v>4</v>
      </c>
      <c r="F520" s="219" t="s">
        <v>602</v>
      </c>
      <c r="G520" s="219" t="s">
        <v>7369</v>
      </c>
      <c r="H520" s="219">
        <v>2</v>
      </c>
      <c r="I520" s="219" t="s">
        <v>1045</v>
      </c>
      <c r="J520" s="219" t="s">
        <v>7370</v>
      </c>
      <c r="K520" s="219">
        <v>2</v>
      </c>
      <c r="L520" s="219" t="s">
        <v>3138</v>
      </c>
      <c r="M520" s="219" t="s">
        <v>2240</v>
      </c>
      <c r="N520" s="219" t="s">
        <v>452</v>
      </c>
      <c r="O520" s="219" t="s">
        <v>7371</v>
      </c>
      <c r="P520" s="219"/>
      <c r="Q520" s="219" t="s">
        <v>24</v>
      </c>
      <c r="R520" s="251"/>
      <c r="S520" s="252"/>
      <c r="T520" s="252"/>
      <c r="U520" s="252"/>
      <c r="V520" s="219"/>
      <c r="W520" s="219"/>
      <c r="X520" s="219"/>
      <c r="Y520" s="219"/>
      <c r="Z520" s="219"/>
    </row>
    <row r="521" spans="1:26" ht="15.75" customHeight="1">
      <c r="A521" s="253">
        <v>44789</v>
      </c>
      <c r="B521" s="224" t="s">
        <v>2282</v>
      </c>
      <c r="C521" s="249">
        <v>2</v>
      </c>
      <c r="D521" s="224" t="s">
        <v>2285</v>
      </c>
      <c r="E521" s="250" t="s">
        <v>5</v>
      </c>
      <c r="F521" s="224" t="s">
        <v>447</v>
      </c>
      <c r="G521" s="224" t="s">
        <v>11032</v>
      </c>
      <c r="H521" s="224">
        <v>2</v>
      </c>
      <c r="I521" s="224" t="s">
        <v>543</v>
      </c>
      <c r="J521" s="224" t="s">
        <v>11033</v>
      </c>
      <c r="K521" s="224">
        <v>2</v>
      </c>
      <c r="L521" s="224" t="s">
        <v>784</v>
      </c>
      <c r="M521" s="224">
        <v>2000000</v>
      </c>
      <c r="N521" s="224" t="s">
        <v>452</v>
      </c>
      <c r="O521" s="224" t="s">
        <v>2288</v>
      </c>
      <c r="P521" s="224"/>
      <c r="Q521" s="224" t="s">
        <v>24</v>
      </c>
      <c r="R521" s="254"/>
      <c r="S521" s="252"/>
      <c r="T521" s="252"/>
      <c r="U521" s="252"/>
      <c r="V521" s="224"/>
      <c r="W521" s="224"/>
      <c r="X521" s="224"/>
      <c r="Y521" s="224"/>
      <c r="Z521" s="224"/>
    </row>
    <row r="522" spans="1:26" ht="15.75" customHeight="1">
      <c r="A522" s="248">
        <v>44789</v>
      </c>
      <c r="B522" s="219" t="s">
        <v>9235</v>
      </c>
      <c r="C522" s="249">
        <v>2</v>
      </c>
      <c r="D522" s="219" t="s">
        <v>9238</v>
      </c>
      <c r="E522" s="250" t="s">
        <v>3</v>
      </c>
      <c r="F522" s="219" t="s">
        <v>460</v>
      </c>
      <c r="G522" s="219" t="s">
        <v>9239</v>
      </c>
      <c r="H522" s="219">
        <v>2</v>
      </c>
      <c r="I522" s="219" t="s">
        <v>941</v>
      </c>
      <c r="J522" s="219" t="s">
        <v>9240</v>
      </c>
      <c r="K522" s="219">
        <v>2</v>
      </c>
      <c r="L522" s="219" t="s">
        <v>451</v>
      </c>
      <c r="M522" s="219">
        <v>800000</v>
      </c>
      <c r="N522" s="219" t="s">
        <v>452</v>
      </c>
      <c r="O522" s="219" t="s">
        <v>452</v>
      </c>
      <c r="P522" s="219"/>
      <c r="Q522" s="219" t="s">
        <v>24</v>
      </c>
      <c r="R522" s="251"/>
      <c r="S522" s="252"/>
      <c r="T522" s="252"/>
      <c r="U522" s="252"/>
      <c r="V522" s="219"/>
      <c r="W522" s="219"/>
      <c r="X522" s="219"/>
      <c r="Y522" s="219"/>
      <c r="Z522" s="219"/>
    </row>
    <row r="523" spans="1:26" ht="15.75" customHeight="1">
      <c r="A523" s="253">
        <v>44789</v>
      </c>
      <c r="B523" s="224" t="s">
        <v>8631</v>
      </c>
      <c r="C523" s="249">
        <v>2</v>
      </c>
      <c r="D523" s="224" t="s">
        <v>8634</v>
      </c>
      <c r="E523" s="250" t="s">
        <v>3</v>
      </c>
      <c r="F523" s="224" t="s">
        <v>460</v>
      </c>
      <c r="G523" s="224" t="s">
        <v>8635</v>
      </c>
      <c r="H523" s="224">
        <v>2</v>
      </c>
      <c r="I523" s="224" t="s">
        <v>462</v>
      </c>
      <c r="J523" s="224" t="s">
        <v>11088</v>
      </c>
      <c r="K523" s="224">
        <v>2</v>
      </c>
      <c r="L523" s="224" t="s">
        <v>451</v>
      </c>
      <c r="M523" s="224">
        <v>500000</v>
      </c>
      <c r="N523" s="224" t="s">
        <v>452</v>
      </c>
      <c r="O523" s="224" t="s">
        <v>11089</v>
      </c>
      <c r="P523" s="224"/>
      <c r="Q523" s="224" t="s">
        <v>24</v>
      </c>
      <c r="R523" s="254"/>
      <c r="S523" s="252"/>
      <c r="T523" s="252"/>
      <c r="U523" s="252"/>
      <c r="V523" s="224"/>
      <c r="W523" s="224"/>
      <c r="X523" s="224"/>
      <c r="Y523" s="224"/>
      <c r="Z523" s="224"/>
    </row>
    <row r="524" spans="1:26" ht="15.75" customHeight="1">
      <c r="A524" s="248">
        <v>44789</v>
      </c>
      <c r="B524" s="219" t="s">
        <v>7195</v>
      </c>
      <c r="C524" s="249">
        <v>2</v>
      </c>
      <c r="D524" s="219" t="s">
        <v>7198</v>
      </c>
      <c r="E524" s="250" t="s">
        <v>4</v>
      </c>
      <c r="F524" s="219" t="s">
        <v>602</v>
      </c>
      <c r="G524" s="219"/>
      <c r="H524" s="219">
        <v>2</v>
      </c>
      <c r="I524" s="219" t="s">
        <v>1054</v>
      </c>
      <c r="J524" s="219" t="s">
        <v>7199</v>
      </c>
      <c r="K524" s="219">
        <v>2</v>
      </c>
      <c r="L524" s="219" t="s">
        <v>451</v>
      </c>
      <c r="M524" s="312">
        <v>250000</v>
      </c>
      <c r="N524" s="219" t="s">
        <v>452</v>
      </c>
      <c r="O524" s="219" t="s">
        <v>7200</v>
      </c>
      <c r="P524" s="219"/>
      <c r="Q524" s="219" t="s">
        <v>24</v>
      </c>
      <c r="R524" s="251"/>
      <c r="S524" s="252"/>
      <c r="T524" s="252"/>
      <c r="U524" s="252"/>
      <c r="V524" s="219"/>
      <c r="W524" s="219"/>
      <c r="X524" s="219"/>
      <c r="Y524" s="219"/>
      <c r="Z524" s="219"/>
    </row>
    <row r="525" spans="1:26" ht="15.75" customHeight="1">
      <c r="A525" s="253">
        <v>44789</v>
      </c>
      <c r="B525" s="224" t="s">
        <v>8561</v>
      </c>
      <c r="C525" s="249">
        <v>2</v>
      </c>
      <c r="D525" s="224" t="s">
        <v>8564</v>
      </c>
      <c r="E525" s="250" t="s">
        <v>3</v>
      </c>
      <c r="F525" s="224" t="s">
        <v>460</v>
      </c>
      <c r="G525" s="224" t="s">
        <v>8565</v>
      </c>
      <c r="H525" s="224">
        <v>2</v>
      </c>
      <c r="I525" s="224" t="s">
        <v>941</v>
      </c>
      <c r="J525" s="224" t="s">
        <v>8566</v>
      </c>
      <c r="K525" s="224">
        <v>2</v>
      </c>
      <c r="L525" s="224" t="s">
        <v>973</v>
      </c>
      <c r="M525" s="224">
        <v>5</v>
      </c>
      <c r="N525" s="224" t="s">
        <v>452</v>
      </c>
      <c r="O525" s="224" t="s">
        <v>8567</v>
      </c>
      <c r="P525" s="224"/>
      <c r="Q525" s="224" t="s">
        <v>24</v>
      </c>
      <c r="R525" s="254"/>
      <c r="S525" s="252"/>
      <c r="T525" s="252"/>
      <c r="U525" s="252"/>
      <c r="V525" s="224"/>
      <c r="W525" s="224"/>
      <c r="X525" s="224"/>
      <c r="Y525" s="224"/>
      <c r="Z525" s="224"/>
    </row>
    <row r="526" spans="1:26" ht="15.75" customHeight="1">
      <c r="A526" s="248">
        <v>44789</v>
      </c>
      <c r="B526" s="219" t="s">
        <v>7699</v>
      </c>
      <c r="C526" s="249">
        <v>1.75</v>
      </c>
      <c r="D526" s="219" t="s">
        <v>7702</v>
      </c>
      <c r="E526" s="250" t="s">
        <v>4</v>
      </c>
      <c r="F526" s="219" t="s">
        <v>727</v>
      </c>
      <c r="G526" s="219" t="s">
        <v>10680</v>
      </c>
      <c r="H526" s="219">
        <v>2.5</v>
      </c>
      <c r="I526" s="219" t="s">
        <v>476</v>
      </c>
      <c r="J526" s="219" t="s">
        <v>7704</v>
      </c>
      <c r="K526" s="219">
        <v>1</v>
      </c>
      <c r="L526" s="219" t="s">
        <v>784</v>
      </c>
      <c r="M526" s="219">
        <v>750000</v>
      </c>
      <c r="N526" s="219" t="s">
        <v>452</v>
      </c>
      <c r="O526" s="219" t="s">
        <v>7705</v>
      </c>
      <c r="P526" s="219"/>
      <c r="Q526" s="219" t="s">
        <v>24</v>
      </c>
      <c r="R526" s="251"/>
      <c r="S526" s="252"/>
      <c r="T526" s="252"/>
      <c r="U526" s="252"/>
      <c r="V526" s="219"/>
      <c r="W526" s="219"/>
      <c r="X526" s="219"/>
      <c r="Y526" s="219"/>
      <c r="Z526" s="219"/>
    </row>
    <row r="527" spans="1:26" ht="15.75" customHeight="1">
      <c r="A527" s="253">
        <v>44789</v>
      </c>
      <c r="B527" s="224" t="s">
        <v>7734</v>
      </c>
      <c r="C527" s="249">
        <v>1.75</v>
      </c>
      <c r="D527" s="224" t="s">
        <v>7737</v>
      </c>
      <c r="E527" s="250" t="s">
        <v>4</v>
      </c>
      <c r="F527" s="224" t="s">
        <v>602</v>
      </c>
      <c r="G527" s="224" t="s">
        <v>7738</v>
      </c>
      <c r="H527" s="224">
        <v>2.5</v>
      </c>
      <c r="I527" s="224" t="s">
        <v>476</v>
      </c>
      <c r="J527" s="224" t="s">
        <v>10895</v>
      </c>
      <c r="K527" s="224">
        <v>1</v>
      </c>
      <c r="L527" s="224" t="s">
        <v>451</v>
      </c>
      <c r="M527" s="307">
        <v>2000000</v>
      </c>
      <c r="N527" s="224" t="s">
        <v>452</v>
      </c>
      <c r="O527" s="224" t="s">
        <v>7739</v>
      </c>
      <c r="P527" s="224"/>
      <c r="Q527" s="224" t="s">
        <v>24</v>
      </c>
      <c r="R527" s="254"/>
      <c r="S527" s="252"/>
      <c r="T527" s="252"/>
      <c r="U527" s="252"/>
      <c r="V527" s="224"/>
      <c r="W527" s="224"/>
      <c r="X527" s="224"/>
      <c r="Y527" s="224"/>
      <c r="Z527" s="224"/>
    </row>
    <row r="528" spans="1:26" ht="15.75" customHeight="1">
      <c r="A528" s="248">
        <v>44789</v>
      </c>
      <c r="B528" s="219" t="s">
        <v>7659</v>
      </c>
      <c r="C528" s="249">
        <v>1.75</v>
      </c>
      <c r="D528" s="219" t="s">
        <v>7662</v>
      </c>
      <c r="E528" s="250" t="s">
        <v>4</v>
      </c>
      <c r="F528" s="219" t="s">
        <v>602</v>
      </c>
      <c r="G528" s="219" t="s">
        <v>7663</v>
      </c>
      <c r="H528" s="219">
        <v>2</v>
      </c>
      <c r="I528" s="219" t="s">
        <v>476</v>
      </c>
      <c r="J528" s="219" t="s">
        <v>11109</v>
      </c>
      <c r="K528" s="219">
        <v>1.5</v>
      </c>
      <c r="L528" s="219" t="s">
        <v>451</v>
      </c>
      <c r="M528" s="310">
        <v>500000</v>
      </c>
      <c r="N528" s="219" t="s">
        <v>452</v>
      </c>
      <c r="O528" s="219" t="s">
        <v>452</v>
      </c>
      <c r="P528" s="219"/>
      <c r="Q528" s="219" t="s">
        <v>24</v>
      </c>
      <c r="R528" s="251"/>
      <c r="S528" s="252"/>
      <c r="T528" s="252"/>
      <c r="U528" s="252"/>
      <c r="V528" s="219"/>
      <c r="W528" s="219"/>
      <c r="X528" s="219"/>
      <c r="Y528" s="219"/>
      <c r="Z528" s="219"/>
    </row>
    <row r="529" spans="1:26" ht="15.75" customHeight="1">
      <c r="A529" s="253">
        <v>44789</v>
      </c>
      <c r="B529" s="224" t="s">
        <v>7675</v>
      </c>
      <c r="C529" s="249">
        <v>1.75</v>
      </c>
      <c r="D529" s="224" t="s">
        <v>7678</v>
      </c>
      <c r="E529" s="250" t="s">
        <v>4</v>
      </c>
      <c r="F529" s="224" t="s">
        <v>727</v>
      </c>
      <c r="G529" s="224" t="s">
        <v>10219</v>
      </c>
      <c r="H529" s="224">
        <v>2</v>
      </c>
      <c r="I529" s="224" t="s">
        <v>1045</v>
      </c>
      <c r="J529" s="224" t="s">
        <v>7680</v>
      </c>
      <c r="K529" s="224">
        <v>1.5</v>
      </c>
      <c r="L529" s="224"/>
      <c r="M529" s="307"/>
      <c r="N529" s="224" t="s">
        <v>454</v>
      </c>
      <c r="O529" s="224" t="s">
        <v>452</v>
      </c>
      <c r="P529" s="224" t="s">
        <v>7681</v>
      </c>
      <c r="Q529" s="224" t="s">
        <v>24</v>
      </c>
      <c r="R529" s="254"/>
      <c r="S529" s="252"/>
      <c r="T529" s="252"/>
      <c r="U529" s="252"/>
      <c r="V529" s="224"/>
      <c r="W529" s="224"/>
      <c r="X529" s="224"/>
      <c r="Y529" s="224"/>
      <c r="Z529" s="224"/>
    </row>
    <row r="530" spans="1:26" ht="15.75" customHeight="1">
      <c r="A530" s="248">
        <v>44789</v>
      </c>
      <c r="B530" s="219" t="s">
        <v>7667</v>
      </c>
      <c r="C530" s="249">
        <v>1.75</v>
      </c>
      <c r="D530" s="219" t="s">
        <v>7670</v>
      </c>
      <c r="E530" s="250" t="s">
        <v>4</v>
      </c>
      <c r="F530" s="219" t="s">
        <v>602</v>
      </c>
      <c r="G530" s="219" t="s">
        <v>7671</v>
      </c>
      <c r="H530" s="219">
        <v>2</v>
      </c>
      <c r="I530" s="219" t="s">
        <v>476</v>
      </c>
      <c r="J530" s="219" t="s">
        <v>10895</v>
      </c>
      <c r="K530" s="219">
        <v>1.5</v>
      </c>
      <c r="L530" s="219" t="s">
        <v>451</v>
      </c>
      <c r="M530" s="312">
        <v>1500000</v>
      </c>
      <c r="N530" s="219" t="s">
        <v>452</v>
      </c>
      <c r="O530" s="219" t="s">
        <v>11077</v>
      </c>
      <c r="P530" s="219"/>
      <c r="Q530" s="219" t="s">
        <v>24</v>
      </c>
      <c r="R530" s="251"/>
      <c r="S530" s="252"/>
      <c r="T530" s="252"/>
      <c r="U530" s="252"/>
      <c r="V530" s="219"/>
      <c r="W530" s="219"/>
      <c r="X530" s="219"/>
      <c r="Y530" s="219"/>
      <c r="Z530" s="219"/>
    </row>
    <row r="531" spans="1:26" ht="15.75" customHeight="1">
      <c r="A531" s="253">
        <v>44789</v>
      </c>
      <c r="B531" s="224" t="s">
        <v>7766</v>
      </c>
      <c r="C531" s="249">
        <v>1.5</v>
      </c>
      <c r="D531" s="224" t="s">
        <v>7769</v>
      </c>
      <c r="E531" s="250" t="s">
        <v>4</v>
      </c>
      <c r="F531" s="224" t="s">
        <v>727</v>
      </c>
      <c r="G531" s="224" t="s">
        <v>7770</v>
      </c>
      <c r="H531" s="224">
        <v>2</v>
      </c>
      <c r="I531" s="224" t="s">
        <v>1045</v>
      </c>
      <c r="J531" s="224" t="s">
        <v>7771</v>
      </c>
      <c r="K531" s="224">
        <v>1</v>
      </c>
      <c r="L531" s="224" t="s">
        <v>784</v>
      </c>
      <c r="M531" s="311">
        <v>500000</v>
      </c>
      <c r="N531" s="224" t="s">
        <v>452</v>
      </c>
      <c r="O531" s="224" t="s">
        <v>575</v>
      </c>
      <c r="P531" s="224" t="s">
        <v>447</v>
      </c>
      <c r="Q531" s="224" t="s">
        <v>24</v>
      </c>
      <c r="R531" s="254"/>
      <c r="S531" s="252"/>
      <c r="T531" s="252"/>
      <c r="U531" s="252"/>
      <c r="V531" s="224"/>
      <c r="W531" s="224"/>
      <c r="X531" s="224"/>
      <c r="Y531" s="224"/>
      <c r="Z531" s="224"/>
    </row>
    <row r="532" spans="1:26" ht="15.75" customHeight="1">
      <c r="A532" s="248">
        <v>44789</v>
      </c>
      <c r="B532" s="219" t="s">
        <v>8503</v>
      </c>
      <c r="C532" s="249">
        <v>1.5</v>
      </c>
      <c r="D532" s="219" t="s">
        <v>8506</v>
      </c>
      <c r="E532" s="250" t="s">
        <v>3</v>
      </c>
      <c r="F532" s="219" t="s">
        <v>488</v>
      </c>
      <c r="G532" s="219"/>
      <c r="H532" s="219">
        <v>2</v>
      </c>
      <c r="I532" s="219" t="s">
        <v>941</v>
      </c>
      <c r="J532" s="219" t="s">
        <v>8507</v>
      </c>
      <c r="K532" s="219">
        <v>1</v>
      </c>
      <c r="L532" s="219"/>
      <c r="M532" s="312"/>
      <c r="N532" s="219" t="s">
        <v>452</v>
      </c>
      <c r="O532" s="219" t="s">
        <v>452</v>
      </c>
      <c r="P532" s="219"/>
      <c r="Q532" s="219" t="s">
        <v>24</v>
      </c>
      <c r="R532" s="251"/>
      <c r="S532" s="252"/>
      <c r="T532" s="252"/>
      <c r="U532" s="252"/>
      <c r="V532" s="219"/>
      <c r="W532" s="219"/>
      <c r="X532" s="219"/>
      <c r="Y532" s="219"/>
      <c r="Z532" s="219"/>
    </row>
    <row r="533" spans="1:26" ht="15.75" customHeight="1">
      <c r="A533" s="253">
        <v>44789</v>
      </c>
      <c r="B533" s="224" t="s">
        <v>8006</v>
      </c>
      <c r="C533" s="249">
        <v>1.5</v>
      </c>
      <c r="D533" s="224" t="s">
        <v>8009</v>
      </c>
      <c r="E533" s="250" t="s">
        <v>4</v>
      </c>
      <c r="F533" s="224" t="s">
        <v>727</v>
      </c>
      <c r="G533" s="224" t="s">
        <v>10661</v>
      </c>
      <c r="H533" s="224">
        <v>1.5</v>
      </c>
      <c r="I533" s="224" t="s">
        <v>1045</v>
      </c>
      <c r="J533" s="224" t="s">
        <v>8011</v>
      </c>
      <c r="K533" s="224">
        <v>1.5</v>
      </c>
      <c r="L533" s="224"/>
      <c r="M533" s="224"/>
      <c r="N533" s="224" t="s">
        <v>454</v>
      </c>
      <c r="O533" s="224" t="s">
        <v>452</v>
      </c>
      <c r="P533" s="224"/>
      <c r="Q533" s="224" t="s">
        <v>24</v>
      </c>
      <c r="R533" s="254"/>
      <c r="S533" s="252"/>
      <c r="T533" s="252"/>
      <c r="U533" s="252"/>
      <c r="V533" s="224"/>
      <c r="W533" s="224"/>
      <c r="X533" s="224"/>
      <c r="Y533" s="224"/>
      <c r="Z533" s="224"/>
    </row>
    <row r="534" spans="1:26" ht="15.75" customHeight="1">
      <c r="A534" s="248">
        <v>44789</v>
      </c>
      <c r="B534" s="219" t="s">
        <v>3077</v>
      </c>
      <c r="C534" s="249">
        <v>1.5</v>
      </c>
      <c r="D534" s="219" t="s">
        <v>3080</v>
      </c>
      <c r="E534" s="250" t="s">
        <v>5</v>
      </c>
      <c r="F534" s="219" t="s">
        <v>447</v>
      </c>
      <c r="G534" s="219" t="s">
        <v>10826</v>
      </c>
      <c r="H534" s="219">
        <v>1</v>
      </c>
      <c r="I534" s="219" t="s">
        <v>543</v>
      </c>
      <c r="J534" s="219" t="s">
        <v>10827</v>
      </c>
      <c r="K534" s="219">
        <v>2</v>
      </c>
      <c r="L534" s="219" t="s">
        <v>3083</v>
      </c>
      <c r="M534" s="219" t="s">
        <v>3084</v>
      </c>
      <c r="N534" s="219" t="s">
        <v>452</v>
      </c>
      <c r="O534" s="219" t="s">
        <v>452</v>
      </c>
      <c r="P534" s="219"/>
      <c r="Q534" s="219" t="s">
        <v>24</v>
      </c>
      <c r="R534" s="251"/>
      <c r="S534" s="252"/>
      <c r="T534" s="252"/>
      <c r="U534" s="252"/>
      <c r="V534" s="219"/>
      <c r="W534" s="219"/>
      <c r="X534" s="219"/>
      <c r="Y534" s="219"/>
      <c r="Z534" s="219"/>
    </row>
    <row r="535" spans="1:26" ht="15.75" customHeight="1">
      <c r="A535" s="253">
        <v>44789</v>
      </c>
      <c r="B535" s="224" t="s">
        <v>7819</v>
      </c>
      <c r="C535" s="249">
        <v>1.5</v>
      </c>
      <c r="D535" s="224" t="s">
        <v>10873</v>
      </c>
      <c r="E535" s="250" t="s">
        <v>4</v>
      </c>
      <c r="F535" s="224" t="s">
        <v>602</v>
      </c>
      <c r="G535" s="224" t="s">
        <v>7823</v>
      </c>
      <c r="H535" s="224">
        <v>1</v>
      </c>
      <c r="I535" s="224" t="s">
        <v>1054</v>
      </c>
      <c r="J535" s="224" t="s">
        <v>7824</v>
      </c>
      <c r="K535" s="224">
        <v>2</v>
      </c>
      <c r="L535" s="224"/>
      <c r="M535" s="307"/>
      <c r="N535" s="224" t="s">
        <v>454</v>
      </c>
      <c r="O535" s="224" t="s">
        <v>452</v>
      </c>
      <c r="P535" s="224"/>
      <c r="Q535" s="224" t="s">
        <v>24</v>
      </c>
      <c r="R535" s="254"/>
      <c r="S535" s="252"/>
      <c r="T535" s="252"/>
      <c r="U535" s="252"/>
      <c r="V535" s="224"/>
      <c r="W535" s="224"/>
      <c r="X535" s="224"/>
      <c r="Y535" s="224"/>
      <c r="Z535" s="224"/>
    </row>
    <row r="536" spans="1:26" ht="15.75" customHeight="1">
      <c r="A536" s="248">
        <v>44789</v>
      </c>
      <c r="B536" s="219" t="s">
        <v>10894</v>
      </c>
      <c r="C536" s="249">
        <v>1.5</v>
      </c>
      <c r="D536" s="219" t="s">
        <v>8053</v>
      </c>
      <c r="E536" s="250" t="s">
        <v>4</v>
      </c>
      <c r="F536" s="219" t="s">
        <v>602</v>
      </c>
      <c r="G536" s="219" t="s">
        <v>8054</v>
      </c>
      <c r="H536" s="219">
        <v>2</v>
      </c>
      <c r="I536" s="219" t="s">
        <v>476</v>
      </c>
      <c r="J536" s="219" t="s">
        <v>10895</v>
      </c>
      <c r="K536" s="219">
        <v>1</v>
      </c>
      <c r="L536" s="219"/>
      <c r="M536" s="310"/>
      <c r="N536" s="219" t="s">
        <v>454</v>
      </c>
      <c r="O536" s="219" t="s">
        <v>452</v>
      </c>
      <c r="P536" s="219"/>
      <c r="Q536" s="219" t="s">
        <v>24</v>
      </c>
      <c r="R536" s="251"/>
      <c r="S536" s="252"/>
      <c r="T536" s="252"/>
      <c r="U536" s="252"/>
      <c r="V536" s="219"/>
      <c r="W536" s="219"/>
      <c r="X536" s="219"/>
      <c r="Y536" s="219"/>
      <c r="Z536" s="219"/>
    </row>
    <row r="537" spans="1:26" ht="15.75" customHeight="1">
      <c r="A537" s="253">
        <v>44789</v>
      </c>
      <c r="B537" s="224" t="s">
        <v>8495</v>
      </c>
      <c r="C537" s="249">
        <v>1.5</v>
      </c>
      <c r="D537" s="224" t="s">
        <v>8498</v>
      </c>
      <c r="E537" s="250" t="s">
        <v>3</v>
      </c>
      <c r="F537" s="224" t="s">
        <v>460</v>
      </c>
      <c r="G537" s="224" t="s">
        <v>8499</v>
      </c>
      <c r="H537" s="224">
        <v>2</v>
      </c>
      <c r="I537" s="224" t="s">
        <v>941</v>
      </c>
      <c r="J537" s="224" t="s">
        <v>8500</v>
      </c>
      <c r="K537" s="224">
        <v>1</v>
      </c>
      <c r="L537" s="224"/>
      <c r="M537" s="224"/>
      <c r="N537" s="224" t="s">
        <v>465</v>
      </c>
      <c r="O537" s="224" t="s">
        <v>452</v>
      </c>
      <c r="P537" s="224"/>
      <c r="Q537" s="224" t="s">
        <v>24</v>
      </c>
      <c r="R537" s="254"/>
      <c r="S537" s="252"/>
      <c r="T537" s="252"/>
      <c r="U537" s="252"/>
      <c r="V537" s="224"/>
      <c r="W537" s="224"/>
      <c r="X537" s="224"/>
      <c r="Y537" s="224"/>
      <c r="Z537" s="224"/>
    </row>
    <row r="538" spans="1:26" ht="15.75" customHeight="1">
      <c r="A538" s="248">
        <v>44789</v>
      </c>
      <c r="B538" s="219" t="s">
        <v>7947</v>
      </c>
      <c r="C538" s="249">
        <v>1.5</v>
      </c>
      <c r="D538" s="219" t="s">
        <v>11029</v>
      </c>
      <c r="E538" s="250" t="s">
        <v>4</v>
      </c>
      <c r="F538" s="219" t="s">
        <v>602</v>
      </c>
      <c r="G538" s="219"/>
      <c r="H538" s="219">
        <v>2</v>
      </c>
      <c r="I538" s="219" t="s">
        <v>1054</v>
      </c>
      <c r="J538" s="219" t="s">
        <v>7951</v>
      </c>
      <c r="K538" s="219">
        <v>1</v>
      </c>
      <c r="L538" s="219"/>
      <c r="M538" s="219"/>
      <c r="N538" s="219" t="s">
        <v>452</v>
      </c>
      <c r="O538" s="219" t="s">
        <v>575</v>
      </c>
      <c r="P538" s="219"/>
      <c r="Q538" s="219" t="s">
        <v>24</v>
      </c>
      <c r="R538" s="251"/>
      <c r="S538" s="252"/>
      <c r="T538" s="252"/>
      <c r="U538" s="252"/>
      <c r="V538" s="219"/>
      <c r="W538" s="219"/>
      <c r="X538" s="219"/>
      <c r="Y538" s="219"/>
      <c r="Z538" s="219"/>
    </row>
    <row r="539" spans="1:26" ht="15.75" customHeight="1">
      <c r="A539" s="253">
        <v>44789</v>
      </c>
      <c r="B539" s="224" t="s">
        <v>8022</v>
      </c>
      <c r="C539" s="249">
        <v>1.5</v>
      </c>
      <c r="D539" s="224" t="s">
        <v>8025</v>
      </c>
      <c r="E539" s="250" t="s">
        <v>4</v>
      </c>
      <c r="F539" s="224" t="s">
        <v>602</v>
      </c>
      <c r="G539" s="224" t="s">
        <v>8026</v>
      </c>
      <c r="H539" s="224">
        <v>2</v>
      </c>
      <c r="I539" s="224" t="s">
        <v>476</v>
      </c>
      <c r="J539" s="224" t="s">
        <v>11101</v>
      </c>
      <c r="K539" s="224">
        <v>1</v>
      </c>
      <c r="L539" s="224" t="s">
        <v>8028</v>
      </c>
      <c r="M539" s="224" t="s">
        <v>8029</v>
      </c>
      <c r="N539" s="224" t="s">
        <v>452</v>
      </c>
      <c r="O539" s="224" t="s">
        <v>11102</v>
      </c>
      <c r="P539" s="224"/>
      <c r="Q539" s="224" t="s">
        <v>24</v>
      </c>
      <c r="R539" s="254"/>
      <c r="S539" s="252"/>
      <c r="T539" s="252"/>
      <c r="U539" s="252"/>
      <c r="V539" s="224"/>
      <c r="W539" s="224"/>
      <c r="X539" s="224"/>
      <c r="Y539" s="224"/>
      <c r="Z539" s="224"/>
    </row>
    <row r="540" spans="1:26" ht="15.75" customHeight="1">
      <c r="A540" s="248">
        <v>44789</v>
      </c>
      <c r="B540" s="219" t="s">
        <v>7910</v>
      </c>
      <c r="C540" s="249">
        <v>1.5</v>
      </c>
      <c r="D540" s="219" t="s">
        <v>7913</v>
      </c>
      <c r="E540" s="250" t="s">
        <v>4</v>
      </c>
      <c r="F540" s="219" t="s">
        <v>602</v>
      </c>
      <c r="G540" s="219"/>
      <c r="H540" s="219">
        <v>2</v>
      </c>
      <c r="I540" s="219" t="s">
        <v>476</v>
      </c>
      <c r="J540" s="219" t="s">
        <v>10902</v>
      </c>
      <c r="K540" s="219">
        <v>1</v>
      </c>
      <c r="L540" s="219"/>
      <c r="M540" s="219"/>
      <c r="N540" s="219" t="s">
        <v>452</v>
      </c>
      <c r="O540" s="219" t="s">
        <v>10903</v>
      </c>
      <c r="P540" s="219"/>
      <c r="Q540" s="219" t="s">
        <v>24</v>
      </c>
      <c r="R540" s="251"/>
      <c r="S540" s="252"/>
      <c r="T540" s="252"/>
      <c r="U540" s="252"/>
      <c r="V540" s="219"/>
      <c r="W540" s="219"/>
      <c r="X540" s="219"/>
      <c r="Y540" s="219"/>
      <c r="Z540" s="219"/>
    </row>
    <row r="541" spans="1:26" ht="15.75" customHeight="1">
      <c r="A541" s="253">
        <v>44789</v>
      </c>
      <c r="B541" s="224" t="s">
        <v>8781</v>
      </c>
      <c r="C541" s="249">
        <v>1.5</v>
      </c>
      <c r="D541" s="224" t="s">
        <v>8784</v>
      </c>
      <c r="E541" s="250" t="s">
        <v>3</v>
      </c>
      <c r="F541" s="224" t="s">
        <v>460</v>
      </c>
      <c r="G541" s="224" t="s">
        <v>8785</v>
      </c>
      <c r="H541" s="224">
        <v>1</v>
      </c>
      <c r="I541" s="224" t="s">
        <v>462</v>
      </c>
      <c r="J541" s="224" t="s">
        <v>8786</v>
      </c>
      <c r="K541" s="224">
        <v>2</v>
      </c>
      <c r="L541" s="224"/>
      <c r="M541" s="307"/>
      <c r="N541" s="224" t="s">
        <v>454</v>
      </c>
      <c r="O541" s="224" t="s">
        <v>452</v>
      </c>
      <c r="P541" s="224"/>
      <c r="Q541" s="224" t="s">
        <v>24</v>
      </c>
      <c r="R541" s="254"/>
      <c r="S541" s="252"/>
      <c r="T541" s="252"/>
      <c r="U541" s="252"/>
      <c r="V541" s="224"/>
      <c r="W541" s="224"/>
      <c r="X541" s="224"/>
      <c r="Y541" s="224"/>
      <c r="Z541" s="224"/>
    </row>
    <row r="542" spans="1:26" ht="15.75" customHeight="1">
      <c r="A542" s="248">
        <v>44789</v>
      </c>
      <c r="B542" s="219" t="s">
        <v>8903</v>
      </c>
      <c r="C542" s="249">
        <v>1</v>
      </c>
      <c r="D542" s="219" t="s">
        <v>10612</v>
      </c>
      <c r="E542" s="250" t="s">
        <v>3</v>
      </c>
      <c r="F542" s="219" t="s">
        <v>460</v>
      </c>
      <c r="G542" s="219" t="s">
        <v>10613</v>
      </c>
      <c r="H542" s="219">
        <v>1</v>
      </c>
      <c r="I542" s="219" t="s">
        <v>941</v>
      </c>
      <c r="J542" s="219"/>
      <c r="K542" s="219">
        <v>1</v>
      </c>
      <c r="L542" s="219" t="s">
        <v>478</v>
      </c>
      <c r="M542" s="310">
        <v>2000000</v>
      </c>
      <c r="N542" s="219" t="s">
        <v>452</v>
      </c>
      <c r="O542" s="219" t="s">
        <v>8907</v>
      </c>
      <c r="P542" s="219"/>
      <c r="Q542" s="219" t="s">
        <v>24</v>
      </c>
      <c r="R542" s="251"/>
      <c r="S542" s="252"/>
      <c r="T542" s="252"/>
      <c r="U542" s="252"/>
      <c r="V542" s="219"/>
      <c r="W542" s="219"/>
      <c r="X542" s="219"/>
      <c r="Y542" s="219"/>
      <c r="Z542" s="219"/>
    </row>
    <row r="543" spans="1:26" ht="15.75" customHeight="1">
      <c r="A543" s="253">
        <v>44789</v>
      </c>
      <c r="B543" s="224" t="s">
        <v>9219</v>
      </c>
      <c r="C543" s="249">
        <v>1</v>
      </c>
      <c r="D543" s="224" t="s">
        <v>9222</v>
      </c>
      <c r="E543" s="250" t="s">
        <v>3</v>
      </c>
      <c r="F543" s="224" t="s">
        <v>488</v>
      </c>
      <c r="G543" s="224"/>
      <c r="H543" s="224">
        <v>1</v>
      </c>
      <c r="I543" s="224" t="s">
        <v>462</v>
      </c>
      <c r="J543" s="224" t="s">
        <v>9223</v>
      </c>
      <c r="K543" s="224">
        <v>1</v>
      </c>
      <c r="L543" s="224"/>
      <c r="M543" s="311"/>
      <c r="N543" s="224" t="s">
        <v>454</v>
      </c>
      <c r="O543" s="224" t="s">
        <v>575</v>
      </c>
      <c r="P543" s="224"/>
      <c r="Q543" s="224" t="s">
        <v>24</v>
      </c>
      <c r="R543" s="254"/>
      <c r="S543" s="252"/>
      <c r="T543" s="252"/>
      <c r="U543" s="252"/>
      <c r="V543" s="224"/>
      <c r="W543" s="224"/>
      <c r="X543" s="224"/>
      <c r="Y543" s="224"/>
      <c r="Z543" s="224"/>
    </row>
    <row r="544" spans="1:26" ht="15.75" customHeight="1">
      <c r="A544" s="257">
        <v>44791</v>
      </c>
      <c r="B544" s="258" t="s">
        <v>314</v>
      </c>
      <c r="C544" s="263">
        <v>5</v>
      </c>
      <c r="D544" s="258" t="s">
        <v>1726</v>
      </c>
      <c r="E544" s="258" t="s">
        <v>3</v>
      </c>
      <c r="F544" s="258" t="s">
        <v>725</v>
      </c>
      <c r="G544" s="258" t="s">
        <v>10523</v>
      </c>
      <c r="H544" s="258">
        <v>5</v>
      </c>
      <c r="I544" s="258" t="s">
        <v>462</v>
      </c>
      <c r="J544" s="258" t="s">
        <v>1728</v>
      </c>
      <c r="K544" s="258">
        <v>5</v>
      </c>
      <c r="L544" s="258" t="s">
        <v>478</v>
      </c>
      <c r="M544" s="309">
        <v>15000000</v>
      </c>
      <c r="N544" s="258" t="s">
        <v>465</v>
      </c>
      <c r="O544" s="258" t="s">
        <v>1729</v>
      </c>
      <c r="P544" s="258"/>
      <c r="Q544" s="258" t="s">
        <v>18</v>
      </c>
      <c r="R544" s="259" t="s">
        <v>11640</v>
      </c>
      <c r="S544" s="258"/>
      <c r="T544" s="258"/>
      <c r="U544" s="258"/>
      <c r="V544" s="258"/>
      <c r="W544" s="258"/>
      <c r="X544" s="258"/>
      <c r="Y544" s="258"/>
      <c r="Z544" s="258"/>
    </row>
    <row r="545" spans="1:26" ht="15.75" customHeight="1">
      <c r="A545" s="253">
        <v>44791</v>
      </c>
      <c r="B545" s="224" t="s">
        <v>231</v>
      </c>
      <c r="C545" s="316">
        <v>5</v>
      </c>
      <c r="D545" s="224" t="s">
        <v>1369</v>
      </c>
      <c r="E545" s="224" t="s">
        <v>4</v>
      </c>
      <c r="F545" s="224" t="s">
        <v>727</v>
      </c>
      <c r="G545" s="224" t="s">
        <v>10502</v>
      </c>
      <c r="H545" s="224">
        <v>5</v>
      </c>
      <c r="I545" s="224" t="s">
        <v>1371</v>
      </c>
      <c r="J545" s="224" t="s">
        <v>1372</v>
      </c>
      <c r="K545" s="224">
        <v>5</v>
      </c>
      <c r="L545" s="224" t="s">
        <v>478</v>
      </c>
      <c r="M545" s="224" t="s">
        <v>1373</v>
      </c>
      <c r="N545" s="224" t="s">
        <v>465</v>
      </c>
      <c r="O545" s="224" t="s">
        <v>1374</v>
      </c>
      <c r="P545" s="224" t="s">
        <v>1375</v>
      </c>
      <c r="Q545" s="224" t="s">
        <v>18</v>
      </c>
      <c r="R545" s="254" t="s">
        <v>1376</v>
      </c>
      <c r="S545" s="224"/>
      <c r="T545" s="224"/>
      <c r="U545" s="224"/>
      <c r="V545" s="224"/>
      <c r="W545" s="224"/>
      <c r="X545" s="224"/>
      <c r="Y545" s="224"/>
      <c r="Z545" s="224"/>
    </row>
    <row r="546" spans="1:26" ht="15.75" customHeight="1">
      <c r="A546" s="248">
        <v>44791</v>
      </c>
      <c r="B546" s="219" t="s">
        <v>345</v>
      </c>
      <c r="C546" s="315">
        <v>4.75</v>
      </c>
      <c r="D546" s="219" t="s">
        <v>1972</v>
      </c>
      <c r="E546" s="219" t="s">
        <v>3</v>
      </c>
      <c r="F546" s="219" t="s">
        <v>460</v>
      </c>
      <c r="G546" s="219" t="s">
        <v>1973</v>
      </c>
      <c r="H546" s="219">
        <v>4.5</v>
      </c>
      <c r="I546" s="219" t="s">
        <v>462</v>
      </c>
      <c r="J546" s="219" t="s">
        <v>1974</v>
      </c>
      <c r="K546" s="219">
        <v>5</v>
      </c>
      <c r="L546" s="219" t="s">
        <v>478</v>
      </c>
      <c r="M546" s="219" t="s">
        <v>1975</v>
      </c>
      <c r="N546" s="219" t="s">
        <v>452</v>
      </c>
      <c r="O546" s="219" t="s">
        <v>1976</v>
      </c>
      <c r="P546" s="219" t="s">
        <v>725</v>
      </c>
      <c r="Q546" s="219" t="s">
        <v>18</v>
      </c>
      <c r="R546" s="251" t="s">
        <v>1977</v>
      </c>
      <c r="S546" s="219"/>
      <c r="T546" s="219"/>
      <c r="U546" s="219"/>
      <c r="V546" s="219"/>
      <c r="W546" s="219"/>
      <c r="X546" s="219"/>
      <c r="Y546" s="219"/>
      <c r="Z546" s="219"/>
    </row>
    <row r="547" spans="1:26" ht="15.75" customHeight="1">
      <c r="A547" s="255">
        <v>44791</v>
      </c>
      <c r="B547" s="239" t="s">
        <v>133</v>
      </c>
      <c r="C547" s="262">
        <v>4.75</v>
      </c>
      <c r="D547" s="239" t="s">
        <v>11036</v>
      </c>
      <c r="E547" s="239" t="s">
        <v>5</v>
      </c>
      <c r="F547" s="239" t="s">
        <v>460</v>
      </c>
      <c r="G547" s="239" t="s">
        <v>11641</v>
      </c>
      <c r="H547" s="239">
        <v>4.5</v>
      </c>
      <c r="I547" s="239" t="s">
        <v>941</v>
      </c>
      <c r="J547" s="239" t="s">
        <v>11037</v>
      </c>
      <c r="K547" s="239">
        <v>5</v>
      </c>
      <c r="L547" s="239" t="s">
        <v>923</v>
      </c>
      <c r="M547" s="239" t="s">
        <v>943</v>
      </c>
      <c r="N547" s="239" t="s">
        <v>454</v>
      </c>
      <c r="O547" s="239" t="s">
        <v>11038</v>
      </c>
      <c r="P547" s="239" t="s">
        <v>945</v>
      </c>
      <c r="Q547" s="239" t="s">
        <v>18</v>
      </c>
      <c r="R547" s="256" t="s">
        <v>946</v>
      </c>
      <c r="S547" s="239"/>
      <c r="T547" s="239"/>
      <c r="U547" s="239"/>
      <c r="V547" s="239"/>
      <c r="W547" s="239"/>
      <c r="X547" s="239"/>
      <c r="Y547" s="239"/>
      <c r="Z547" s="239"/>
    </row>
    <row r="548" spans="1:26" ht="15.75" customHeight="1">
      <c r="A548" s="257">
        <v>44791</v>
      </c>
      <c r="B548" s="258" t="s">
        <v>145</v>
      </c>
      <c r="C548" s="263">
        <v>4.75</v>
      </c>
      <c r="D548" s="258" t="s">
        <v>988</v>
      </c>
      <c r="E548" s="258" t="s">
        <v>4</v>
      </c>
      <c r="F548" s="258" t="s">
        <v>602</v>
      </c>
      <c r="G548" s="258" t="s">
        <v>989</v>
      </c>
      <c r="H548" s="258">
        <v>4.5</v>
      </c>
      <c r="I548" s="258" t="s">
        <v>990</v>
      </c>
      <c r="J548" s="258" t="s">
        <v>991</v>
      </c>
      <c r="K548" s="258">
        <v>5</v>
      </c>
      <c r="L548" s="258"/>
      <c r="M548" s="309"/>
      <c r="N548" s="258" t="s">
        <v>452</v>
      </c>
      <c r="O548" s="258" t="s">
        <v>452</v>
      </c>
      <c r="P548" s="258"/>
      <c r="Q548" s="258" t="s">
        <v>18</v>
      </c>
      <c r="R548" s="259" t="s">
        <v>992</v>
      </c>
      <c r="S548" s="258"/>
      <c r="T548" s="258"/>
      <c r="U548" s="258"/>
      <c r="V548" s="258"/>
      <c r="W548" s="258"/>
      <c r="X548" s="258"/>
      <c r="Y548" s="258"/>
      <c r="Z548" s="258"/>
    </row>
    <row r="549" spans="1:26" ht="15.75" customHeight="1">
      <c r="A549" s="253">
        <v>44791</v>
      </c>
      <c r="B549" s="224" t="s">
        <v>328</v>
      </c>
      <c r="C549" s="316">
        <v>4.5</v>
      </c>
      <c r="D549" s="224" t="s">
        <v>1832</v>
      </c>
      <c r="E549" s="224" t="s">
        <v>3</v>
      </c>
      <c r="F549" s="224" t="s">
        <v>460</v>
      </c>
      <c r="G549" s="224" t="s">
        <v>1833</v>
      </c>
      <c r="H549" s="224">
        <v>4.5</v>
      </c>
      <c r="I549" s="224" t="s">
        <v>462</v>
      </c>
      <c r="J549" s="224" t="s">
        <v>10638</v>
      </c>
      <c r="K549" s="224">
        <v>4.5</v>
      </c>
      <c r="L549" s="224" t="s">
        <v>478</v>
      </c>
      <c r="M549" s="224" t="s">
        <v>1835</v>
      </c>
      <c r="N549" s="224" t="s">
        <v>452</v>
      </c>
      <c r="O549" s="224" t="s">
        <v>452</v>
      </c>
      <c r="P549" s="224"/>
      <c r="Q549" s="224" t="s">
        <v>18</v>
      </c>
      <c r="R549" s="254"/>
      <c r="S549" s="224"/>
      <c r="T549" s="224"/>
      <c r="U549" s="224"/>
      <c r="V549" s="224"/>
      <c r="W549" s="224"/>
      <c r="X549" s="224"/>
      <c r="Y549" s="224"/>
      <c r="Z549" s="224"/>
    </row>
    <row r="550" spans="1:26" ht="15.75" customHeight="1">
      <c r="A550" s="248">
        <v>44791</v>
      </c>
      <c r="B550" s="219" t="s">
        <v>325</v>
      </c>
      <c r="C550" s="315">
        <v>4.5</v>
      </c>
      <c r="D550" s="219" t="s">
        <v>1809</v>
      </c>
      <c r="E550" s="219" t="s">
        <v>3</v>
      </c>
      <c r="F550" s="219" t="s">
        <v>460</v>
      </c>
      <c r="G550" s="219" t="s">
        <v>1810</v>
      </c>
      <c r="H550" s="219">
        <v>4.5</v>
      </c>
      <c r="I550" s="219" t="s">
        <v>941</v>
      </c>
      <c r="J550" s="219"/>
      <c r="K550" s="219">
        <v>4.5</v>
      </c>
      <c r="L550" s="219" t="s">
        <v>478</v>
      </c>
      <c r="M550" s="219" t="s">
        <v>1811</v>
      </c>
      <c r="N550" s="219" t="s">
        <v>452</v>
      </c>
      <c r="O550" s="219" t="s">
        <v>1812</v>
      </c>
      <c r="P550" s="219"/>
      <c r="Q550" s="219" t="s">
        <v>18</v>
      </c>
      <c r="R550" s="251"/>
      <c r="S550" s="219"/>
      <c r="T550" s="219"/>
      <c r="U550" s="219"/>
      <c r="V550" s="219"/>
      <c r="W550" s="219"/>
      <c r="X550" s="219"/>
      <c r="Y550" s="219"/>
      <c r="Z550" s="219"/>
    </row>
    <row r="551" spans="1:26" ht="15.75" customHeight="1">
      <c r="A551" s="257">
        <v>44791</v>
      </c>
      <c r="B551" s="258" t="s">
        <v>94</v>
      </c>
      <c r="C551" s="263">
        <v>4.5</v>
      </c>
      <c r="D551" s="258" t="s">
        <v>685</v>
      </c>
      <c r="E551" s="258" t="s">
        <v>5</v>
      </c>
      <c r="F551" s="258" t="s">
        <v>447</v>
      </c>
      <c r="G551" s="258" t="s">
        <v>11642</v>
      </c>
      <c r="H551" s="258">
        <v>5</v>
      </c>
      <c r="I551" s="258" t="s">
        <v>449</v>
      </c>
      <c r="J551" s="258" t="s">
        <v>11643</v>
      </c>
      <c r="K551" s="258">
        <v>4</v>
      </c>
      <c r="L551" s="258" t="s">
        <v>478</v>
      </c>
      <c r="M551" s="309">
        <v>12000000</v>
      </c>
      <c r="N551" s="258" t="s">
        <v>452</v>
      </c>
      <c r="O551" s="258" t="s">
        <v>688</v>
      </c>
      <c r="P551" s="258" t="s">
        <v>689</v>
      </c>
      <c r="Q551" s="258" t="s">
        <v>18</v>
      </c>
      <c r="R551" s="259" t="s">
        <v>11644</v>
      </c>
      <c r="S551" s="258"/>
      <c r="T551" s="258"/>
      <c r="U551" s="258"/>
      <c r="V551" s="258"/>
      <c r="W551" s="258"/>
      <c r="X551" s="258"/>
      <c r="Y551" s="258"/>
      <c r="Z551" s="258"/>
    </row>
    <row r="552" spans="1:26" ht="15.75" customHeight="1">
      <c r="A552" s="248">
        <v>44791</v>
      </c>
      <c r="B552" s="219" t="s">
        <v>213</v>
      </c>
      <c r="C552" s="315">
        <v>4.5</v>
      </c>
      <c r="D552" s="219" t="s">
        <v>1296</v>
      </c>
      <c r="E552" s="219" t="s">
        <v>4</v>
      </c>
      <c r="F552" s="219" t="s">
        <v>727</v>
      </c>
      <c r="G552" s="219" t="s">
        <v>11466</v>
      </c>
      <c r="H552" s="219">
        <v>5</v>
      </c>
      <c r="I552" s="219" t="s">
        <v>1298</v>
      </c>
      <c r="J552" s="219" t="s">
        <v>11467</v>
      </c>
      <c r="K552" s="219">
        <v>4</v>
      </c>
      <c r="L552" s="219" t="s">
        <v>973</v>
      </c>
      <c r="M552" s="312">
        <v>40000000</v>
      </c>
      <c r="N552" s="219" t="s">
        <v>465</v>
      </c>
      <c r="O552" s="219" t="s">
        <v>452</v>
      </c>
      <c r="P552" s="219"/>
      <c r="Q552" s="219" t="s">
        <v>18</v>
      </c>
      <c r="R552" s="251"/>
      <c r="S552" s="219"/>
      <c r="T552" s="219"/>
      <c r="U552" s="219"/>
      <c r="V552" s="219"/>
      <c r="W552" s="219"/>
      <c r="X552" s="219"/>
      <c r="Y552" s="219"/>
      <c r="Z552" s="219"/>
    </row>
    <row r="553" spans="1:26" ht="15.75" customHeight="1">
      <c r="A553" s="253">
        <v>44791</v>
      </c>
      <c r="B553" s="224" t="s">
        <v>344</v>
      </c>
      <c r="C553" s="316">
        <v>4.5</v>
      </c>
      <c r="D553" s="224" t="s">
        <v>1964</v>
      </c>
      <c r="E553" s="224" t="s">
        <v>3</v>
      </c>
      <c r="F553" s="224" t="s">
        <v>725</v>
      </c>
      <c r="G553" s="224" t="s">
        <v>10607</v>
      </c>
      <c r="H553" s="224">
        <v>4.5</v>
      </c>
      <c r="I553" s="224" t="s">
        <v>462</v>
      </c>
      <c r="J553" s="224" t="s">
        <v>1966</v>
      </c>
      <c r="K553" s="224">
        <v>4.5</v>
      </c>
      <c r="L553" s="224" t="s">
        <v>478</v>
      </c>
      <c r="M553" s="311">
        <v>10000000</v>
      </c>
      <c r="N553" s="224" t="s">
        <v>452</v>
      </c>
      <c r="O553" s="224" t="s">
        <v>10608</v>
      </c>
      <c r="P553" s="224"/>
      <c r="Q553" s="224" t="s">
        <v>18</v>
      </c>
      <c r="R553" s="254"/>
      <c r="S553" s="224"/>
      <c r="T553" s="224"/>
      <c r="U553" s="224"/>
      <c r="V553" s="224"/>
      <c r="W553" s="224"/>
      <c r="X553" s="224"/>
      <c r="Y553" s="224"/>
      <c r="Z553" s="224"/>
    </row>
    <row r="554" spans="1:26" ht="15.75" customHeight="1">
      <c r="A554" s="255">
        <v>44791</v>
      </c>
      <c r="B554" s="239" t="s">
        <v>84</v>
      </c>
      <c r="C554" s="262">
        <v>4.5</v>
      </c>
      <c r="D554" s="239" t="s">
        <v>11103</v>
      </c>
      <c r="E554" s="239" t="s">
        <v>5</v>
      </c>
      <c r="F554" s="239" t="s">
        <v>602</v>
      </c>
      <c r="G554" s="239" t="s">
        <v>603</v>
      </c>
      <c r="H554" s="239">
        <v>4</v>
      </c>
      <c r="I554" s="239" t="s">
        <v>604</v>
      </c>
      <c r="J554" s="239" t="s">
        <v>11104</v>
      </c>
      <c r="K554" s="239">
        <v>5</v>
      </c>
      <c r="L554" s="239"/>
      <c r="M554" s="239"/>
      <c r="N554" s="239" t="s">
        <v>465</v>
      </c>
      <c r="O554" s="239" t="s">
        <v>452</v>
      </c>
      <c r="P554" s="239"/>
      <c r="Q554" s="239" t="s">
        <v>18</v>
      </c>
      <c r="R554" s="256" t="s">
        <v>11645</v>
      </c>
      <c r="S554" s="239"/>
      <c r="T554" s="239"/>
      <c r="U554" s="239"/>
      <c r="V554" s="239"/>
      <c r="W554" s="239"/>
      <c r="X554" s="239"/>
      <c r="Y554" s="239"/>
      <c r="Z554" s="239"/>
    </row>
    <row r="555" spans="1:26" ht="15.75" customHeight="1">
      <c r="A555" s="253">
        <v>44791</v>
      </c>
      <c r="B555" s="224" t="s">
        <v>101</v>
      </c>
      <c r="C555" s="316">
        <v>4.25</v>
      </c>
      <c r="D555" s="224" t="s">
        <v>747</v>
      </c>
      <c r="E555" s="224" t="s">
        <v>5</v>
      </c>
      <c r="F555" s="224" t="s">
        <v>447</v>
      </c>
      <c r="G555" s="224" t="s">
        <v>10286</v>
      </c>
      <c r="H555" s="224">
        <v>4.5</v>
      </c>
      <c r="I555" s="224" t="s">
        <v>622</v>
      </c>
      <c r="J555" s="224" t="s">
        <v>749</v>
      </c>
      <c r="K555" s="224">
        <v>4</v>
      </c>
      <c r="L555" s="224"/>
      <c r="M555" s="224"/>
      <c r="N555" s="224" t="s">
        <v>452</v>
      </c>
      <c r="O555" s="224" t="s">
        <v>10287</v>
      </c>
      <c r="P555" s="224" t="s">
        <v>751</v>
      </c>
      <c r="Q555" s="224" t="s">
        <v>18</v>
      </c>
      <c r="R555" s="254"/>
      <c r="S555" s="224"/>
      <c r="T555" s="224"/>
      <c r="U555" s="224"/>
      <c r="V555" s="224"/>
      <c r="W555" s="224"/>
      <c r="X555" s="224"/>
      <c r="Y555" s="224"/>
      <c r="Z555" s="224"/>
    </row>
    <row r="556" spans="1:26" ht="15.75" customHeight="1">
      <c r="A556" s="248">
        <v>44791</v>
      </c>
      <c r="B556" s="219" t="s">
        <v>354</v>
      </c>
      <c r="C556" s="315">
        <v>4.25</v>
      </c>
      <c r="D556" s="219" t="s">
        <v>10546</v>
      </c>
      <c r="E556" s="219" t="s">
        <v>3</v>
      </c>
      <c r="F556" s="219" t="s">
        <v>725</v>
      </c>
      <c r="G556" s="219" t="s">
        <v>10547</v>
      </c>
      <c r="H556" s="219">
        <v>4</v>
      </c>
      <c r="I556" s="219" t="s">
        <v>941</v>
      </c>
      <c r="J556" s="219"/>
      <c r="K556" s="219">
        <v>4.5</v>
      </c>
      <c r="L556" s="219"/>
      <c r="M556" s="312"/>
      <c r="N556" s="219" t="s">
        <v>452</v>
      </c>
      <c r="O556" s="219" t="s">
        <v>452</v>
      </c>
      <c r="P556" s="219"/>
      <c r="Q556" s="219" t="s">
        <v>18</v>
      </c>
      <c r="R556" s="251"/>
      <c r="S556" s="219"/>
      <c r="T556" s="219"/>
      <c r="U556" s="219"/>
      <c r="V556" s="219"/>
      <c r="W556" s="219"/>
      <c r="X556" s="219"/>
      <c r="Y556" s="219"/>
      <c r="Z556" s="219"/>
    </row>
    <row r="557" spans="1:26" ht="15.75" customHeight="1">
      <c r="A557" s="257">
        <v>44791</v>
      </c>
      <c r="B557" s="258" t="s">
        <v>337</v>
      </c>
      <c r="C557" s="263">
        <v>4.25</v>
      </c>
      <c r="D557" s="258" t="s">
        <v>1906</v>
      </c>
      <c r="E557" s="258" t="s">
        <v>3</v>
      </c>
      <c r="F557" s="258" t="s">
        <v>460</v>
      </c>
      <c r="G557" s="258" t="s">
        <v>10938</v>
      </c>
      <c r="H557" s="258">
        <v>4</v>
      </c>
      <c r="I557" s="258" t="s">
        <v>462</v>
      </c>
      <c r="J557" s="258" t="s">
        <v>10939</v>
      </c>
      <c r="K557" s="258">
        <v>4.5</v>
      </c>
      <c r="L557" s="258" t="s">
        <v>451</v>
      </c>
      <c r="M557" s="309" t="s">
        <v>1909</v>
      </c>
      <c r="N557" s="258" t="s">
        <v>452</v>
      </c>
      <c r="O557" s="258" t="s">
        <v>10940</v>
      </c>
      <c r="P557" s="258" t="s">
        <v>1911</v>
      </c>
      <c r="Q557" s="258" t="s">
        <v>18</v>
      </c>
      <c r="R557" s="259" t="s">
        <v>11646</v>
      </c>
      <c r="S557" s="258"/>
      <c r="T557" s="258"/>
      <c r="U557" s="258"/>
      <c r="V557" s="258"/>
      <c r="W557" s="258"/>
      <c r="X557" s="258"/>
      <c r="Y557" s="258"/>
      <c r="Z557" s="258"/>
    </row>
    <row r="558" spans="1:26" ht="15.75" customHeight="1">
      <c r="A558" s="264">
        <v>44791</v>
      </c>
      <c r="B558" s="265" t="s">
        <v>159</v>
      </c>
      <c r="C558" s="317">
        <v>4.25</v>
      </c>
      <c r="D558" s="265" t="s">
        <v>3552</v>
      </c>
      <c r="E558" s="265" t="s">
        <v>5</v>
      </c>
      <c r="F558" s="265" t="s">
        <v>460</v>
      </c>
      <c r="G558" s="265" t="s">
        <v>3553</v>
      </c>
      <c r="H558" s="265">
        <v>4</v>
      </c>
      <c r="I558" s="265" t="s">
        <v>462</v>
      </c>
      <c r="J558" s="265" t="s">
        <v>10948</v>
      </c>
      <c r="K558" s="265">
        <v>4.5</v>
      </c>
      <c r="L558" s="265" t="s">
        <v>923</v>
      </c>
      <c r="M558" s="318" t="s">
        <v>3555</v>
      </c>
      <c r="N558" s="265" t="s">
        <v>454</v>
      </c>
      <c r="O558" s="265" t="s">
        <v>10949</v>
      </c>
      <c r="P558" s="265"/>
      <c r="Q558" s="265" t="s">
        <v>19</v>
      </c>
      <c r="R558" s="266" t="s">
        <v>3557</v>
      </c>
      <c r="S558" s="265"/>
      <c r="T558" s="265"/>
      <c r="U558" s="265"/>
      <c r="V558" s="265"/>
      <c r="W558" s="265"/>
      <c r="X558" s="265"/>
      <c r="Y558" s="265"/>
      <c r="Z558" s="265"/>
    </row>
    <row r="559" spans="1:26" ht="15.75" customHeight="1">
      <c r="A559" s="257">
        <v>44791</v>
      </c>
      <c r="B559" s="258" t="s">
        <v>282</v>
      </c>
      <c r="C559" s="263">
        <v>4.25</v>
      </c>
      <c r="D559" s="258" t="s">
        <v>1609</v>
      </c>
      <c r="E559" s="258" t="s">
        <v>3</v>
      </c>
      <c r="F559" s="258" t="s">
        <v>460</v>
      </c>
      <c r="G559" s="258" t="s">
        <v>1610</v>
      </c>
      <c r="H559" s="258">
        <v>4</v>
      </c>
      <c r="I559" s="258" t="s">
        <v>462</v>
      </c>
      <c r="J559" s="258" t="s">
        <v>10989</v>
      </c>
      <c r="K559" s="258">
        <v>4.5</v>
      </c>
      <c r="L559" s="258" t="s">
        <v>451</v>
      </c>
      <c r="M559" s="309">
        <v>2500000</v>
      </c>
      <c r="N559" s="258" t="s">
        <v>452</v>
      </c>
      <c r="O559" s="258" t="s">
        <v>452</v>
      </c>
      <c r="P559" s="258" t="s">
        <v>1612</v>
      </c>
      <c r="Q559" s="258" t="s">
        <v>18</v>
      </c>
      <c r="R559" s="259" t="s">
        <v>11647</v>
      </c>
      <c r="S559" s="258"/>
      <c r="T559" s="258"/>
      <c r="U559" s="258"/>
      <c r="V559" s="258"/>
      <c r="W559" s="258"/>
      <c r="X559" s="258"/>
      <c r="Y559" s="258"/>
      <c r="Z559" s="258"/>
    </row>
    <row r="560" spans="1:26" ht="15.75" customHeight="1">
      <c r="A560" s="255">
        <v>44791</v>
      </c>
      <c r="B560" s="239" t="s">
        <v>152</v>
      </c>
      <c r="C560" s="262">
        <v>4.25</v>
      </c>
      <c r="D560" s="239" t="s">
        <v>1024</v>
      </c>
      <c r="E560" s="239" t="s">
        <v>4</v>
      </c>
      <c r="F560" s="239" t="s">
        <v>447</v>
      </c>
      <c r="G560" s="239" t="s">
        <v>11648</v>
      </c>
      <c r="H560" s="239">
        <v>4.5</v>
      </c>
      <c r="I560" s="239" t="s">
        <v>543</v>
      </c>
      <c r="J560" s="239" t="s">
        <v>11649</v>
      </c>
      <c r="K560" s="239">
        <v>4</v>
      </c>
      <c r="L560" s="239" t="s">
        <v>478</v>
      </c>
      <c r="M560" s="239" t="s">
        <v>1027</v>
      </c>
      <c r="N560" s="239" t="s">
        <v>452</v>
      </c>
      <c r="O560" s="239" t="s">
        <v>1028</v>
      </c>
      <c r="P560" s="239"/>
      <c r="Q560" s="239" t="s">
        <v>18</v>
      </c>
      <c r="R560" s="256" t="s">
        <v>1029</v>
      </c>
      <c r="S560" s="239"/>
      <c r="T560" s="239"/>
      <c r="U560" s="239"/>
      <c r="V560" s="239"/>
      <c r="W560" s="239"/>
      <c r="X560" s="239"/>
      <c r="Y560" s="239"/>
      <c r="Z560" s="239"/>
    </row>
    <row r="561" spans="1:26" ht="15.75" customHeight="1">
      <c r="A561" s="253">
        <v>44791</v>
      </c>
      <c r="B561" s="224" t="s">
        <v>324</v>
      </c>
      <c r="C561" s="316">
        <v>4.25</v>
      </c>
      <c r="D561" s="224" t="s">
        <v>1800</v>
      </c>
      <c r="E561" s="224" t="s">
        <v>3</v>
      </c>
      <c r="F561" s="224" t="s">
        <v>460</v>
      </c>
      <c r="G561" s="224" t="s">
        <v>1801</v>
      </c>
      <c r="H561" s="224">
        <v>4.5</v>
      </c>
      <c r="I561" s="224" t="s">
        <v>941</v>
      </c>
      <c r="J561" s="224" t="s">
        <v>1802</v>
      </c>
      <c r="K561" s="224">
        <v>4</v>
      </c>
      <c r="L561" s="224"/>
      <c r="M561" s="307"/>
      <c r="N561" s="224" t="s">
        <v>452</v>
      </c>
      <c r="O561" s="224" t="s">
        <v>1803</v>
      </c>
      <c r="P561" s="224" t="s">
        <v>1804</v>
      </c>
      <c r="Q561" s="224" t="s">
        <v>18</v>
      </c>
      <c r="R561" s="254"/>
      <c r="S561" s="224"/>
      <c r="T561" s="224"/>
      <c r="U561" s="224"/>
      <c r="V561" s="224"/>
      <c r="W561" s="224"/>
      <c r="X561" s="224"/>
      <c r="Y561" s="224"/>
      <c r="Z561" s="224"/>
    </row>
    <row r="562" spans="1:26" ht="15.75" customHeight="1">
      <c r="A562" s="248">
        <v>44791</v>
      </c>
      <c r="B562" s="219" t="s">
        <v>371</v>
      </c>
      <c r="C562" s="315">
        <v>4.25</v>
      </c>
      <c r="D562" s="219" t="s">
        <v>9985</v>
      </c>
      <c r="E562" s="219" t="s">
        <v>5</v>
      </c>
      <c r="F562" s="219" t="s">
        <v>447</v>
      </c>
      <c r="G562" s="219" t="s">
        <v>11246</v>
      </c>
      <c r="H562" s="219">
        <v>4</v>
      </c>
      <c r="I562" s="219" t="s">
        <v>543</v>
      </c>
      <c r="J562" s="219" t="s">
        <v>11650</v>
      </c>
      <c r="K562" s="219">
        <v>4.5</v>
      </c>
      <c r="L562" s="219" t="s">
        <v>451</v>
      </c>
      <c r="M562" s="310">
        <v>2000000</v>
      </c>
      <c r="N562" s="219" t="s">
        <v>452</v>
      </c>
      <c r="O562" s="219" t="s">
        <v>9988</v>
      </c>
      <c r="P562" s="219" t="s">
        <v>9989</v>
      </c>
      <c r="Q562" s="219" t="s">
        <v>18</v>
      </c>
      <c r="R562" s="251"/>
      <c r="S562" s="219"/>
      <c r="T562" s="219"/>
      <c r="U562" s="219"/>
      <c r="V562" s="219"/>
      <c r="W562" s="219"/>
      <c r="X562" s="219"/>
      <c r="Y562" s="219"/>
      <c r="Z562" s="219"/>
    </row>
    <row r="563" spans="1:26" ht="15.75" customHeight="1">
      <c r="A563" s="255">
        <v>44791</v>
      </c>
      <c r="B563" s="239" t="s">
        <v>110</v>
      </c>
      <c r="C563" s="262">
        <v>4.25</v>
      </c>
      <c r="D563" s="239" t="s">
        <v>1859</v>
      </c>
      <c r="E563" s="239" t="s">
        <v>3</v>
      </c>
      <c r="F563" s="239" t="s">
        <v>447</v>
      </c>
      <c r="G563" s="239" t="s">
        <v>11368</v>
      </c>
      <c r="H563" s="239">
        <v>4.5</v>
      </c>
      <c r="I563" s="239" t="s">
        <v>543</v>
      </c>
      <c r="J563" s="239" t="s">
        <v>11651</v>
      </c>
      <c r="K563" s="239">
        <v>4</v>
      </c>
      <c r="L563" s="239" t="s">
        <v>973</v>
      </c>
      <c r="M563" s="239" t="s">
        <v>1862</v>
      </c>
      <c r="N563" s="239" t="s">
        <v>452</v>
      </c>
      <c r="O563" s="239" t="s">
        <v>1119</v>
      </c>
      <c r="P563" s="239"/>
      <c r="Q563" s="239" t="s">
        <v>18</v>
      </c>
      <c r="R563" s="256"/>
      <c r="S563" s="239"/>
      <c r="T563" s="239"/>
      <c r="U563" s="239"/>
      <c r="V563" s="239"/>
      <c r="W563" s="239"/>
      <c r="X563" s="239"/>
      <c r="Y563" s="239"/>
      <c r="Z563" s="239"/>
    </row>
    <row r="564" spans="1:26" ht="15.75" customHeight="1">
      <c r="A564" s="248">
        <v>44791</v>
      </c>
      <c r="B564" s="219" t="s">
        <v>197</v>
      </c>
      <c r="C564" s="315">
        <v>4.13</v>
      </c>
      <c r="D564" s="219" t="s">
        <v>1245</v>
      </c>
      <c r="E564" s="219" t="s">
        <v>4</v>
      </c>
      <c r="F564" s="219" t="s">
        <v>602</v>
      </c>
      <c r="G564" s="219" t="s">
        <v>1246</v>
      </c>
      <c r="H564" s="219">
        <v>4.25</v>
      </c>
      <c r="I564" s="219" t="s">
        <v>1045</v>
      </c>
      <c r="J564" s="219" t="s">
        <v>1247</v>
      </c>
      <c r="K564" s="219">
        <v>4</v>
      </c>
      <c r="L564" s="219" t="s">
        <v>478</v>
      </c>
      <c r="M564" s="310">
        <v>3500000</v>
      </c>
      <c r="N564" s="219" t="s">
        <v>452</v>
      </c>
      <c r="O564" s="219" t="s">
        <v>452</v>
      </c>
      <c r="P564" s="219" t="s">
        <v>460</v>
      </c>
      <c r="Q564" s="219" t="s">
        <v>18</v>
      </c>
      <c r="R564" s="251"/>
      <c r="S564" s="219"/>
      <c r="T564" s="219"/>
      <c r="U564" s="219"/>
      <c r="V564" s="219"/>
      <c r="W564" s="219"/>
      <c r="X564" s="219"/>
      <c r="Y564" s="219"/>
      <c r="Z564" s="219"/>
    </row>
    <row r="565" spans="1:26" ht="15.75" customHeight="1">
      <c r="A565" s="257">
        <v>44791</v>
      </c>
      <c r="B565" s="258" t="s">
        <v>377</v>
      </c>
      <c r="C565" s="263">
        <v>4</v>
      </c>
      <c r="D565" s="258" t="s">
        <v>9855</v>
      </c>
      <c r="E565" s="258" t="s">
        <v>3</v>
      </c>
      <c r="F565" s="258" t="s">
        <v>488</v>
      </c>
      <c r="G565" s="258" t="s">
        <v>10265</v>
      </c>
      <c r="H565" s="258">
        <v>4</v>
      </c>
      <c r="I565" s="258" t="s">
        <v>941</v>
      </c>
      <c r="J565" s="258" t="s">
        <v>9857</v>
      </c>
      <c r="K565" s="258">
        <v>4</v>
      </c>
      <c r="L565" s="258" t="s">
        <v>478</v>
      </c>
      <c r="M565" s="309">
        <v>9400000</v>
      </c>
      <c r="N565" s="258" t="s">
        <v>452</v>
      </c>
      <c r="O565" s="258" t="s">
        <v>1119</v>
      </c>
      <c r="P565" s="258" t="s">
        <v>9858</v>
      </c>
      <c r="Q565" s="258" t="s">
        <v>19</v>
      </c>
      <c r="R565" s="259" t="s">
        <v>9859</v>
      </c>
      <c r="S565" s="258"/>
      <c r="T565" s="258"/>
      <c r="U565" s="258"/>
      <c r="V565" s="258"/>
      <c r="W565" s="258"/>
      <c r="X565" s="258"/>
      <c r="Y565" s="258"/>
      <c r="Z565" s="258"/>
    </row>
    <row r="566" spans="1:26" ht="15.75" customHeight="1">
      <c r="A566" s="248">
        <v>44791</v>
      </c>
      <c r="B566" s="219" t="s">
        <v>212</v>
      </c>
      <c r="C566" s="315">
        <v>4</v>
      </c>
      <c r="D566" s="219" t="s">
        <v>1288</v>
      </c>
      <c r="E566" s="219" t="s">
        <v>4</v>
      </c>
      <c r="F566" s="219" t="s">
        <v>725</v>
      </c>
      <c r="G566" s="219" t="s">
        <v>1289</v>
      </c>
      <c r="H566" s="219">
        <v>4</v>
      </c>
      <c r="I566" s="219" t="s">
        <v>1045</v>
      </c>
      <c r="J566" s="219" t="s">
        <v>1290</v>
      </c>
      <c r="K566" s="219">
        <v>4</v>
      </c>
      <c r="L566" s="219" t="s">
        <v>923</v>
      </c>
      <c r="M566" s="219" t="s">
        <v>1291</v>
      </c>
      <c r="N566" s="219" t="s">
        <v>452</v>
      </c>
      <c r="O566" s="219" t="s">
        <v>1292</v>
      </c>
      <c r="P566" s="219"/>
      <c r="Q566" s="219" t="s">
        <v>18</v>
      </c>
      <c r="R566" s="251"/>
      <c r="S566" s="219"/>
      <c r="T566" s="219"/>
      <c r="U566" s="219"/>
      <c r="V566" s="219"/>
      <c r="W566" s="219"/>
      <c r="X566" s="219"/>
      <c r="Y566" s="219"/>
      <c r="Z566" s="219"/>
    </row>
    <row r="567" spans="1:26" ht="15.75" customHeight="1">
      <c r="A567" s="257">
        <v>44791</v>
      </c>
      <c r="B567" s="258" t="s">
        <v>242</v>
      </c>
      <c r="C567" s="263">
        <v>4</v>
      </c>
      <c r="D567" s="258" t="s">
        <v>4020</v>
      </c>
      <c r="E567" s="258" t="s">
        <v>4</v>
      </c>
      <c r="F567" s="258" t="s">
        <v>725</v>
      </c>
      <c r="G567" s="258" t="s">
        <v>10352</v>
      </c>
      <c r="H567" s="258">
        <v>4</v>
      </c>
      <c r="I567" s="258" t="s">
        <v>1045</v>
      </c>
      <c r="J567" s="258" t="s">
        <v>4022</v>
      </c>
      <c r="K567" s="258">
        <v>4</v>
      </c>
      <c r="L567" s="258"/>
      <c r="M567" s="258"/>
      <c r="N567" s="258" t="s">
        <v>465</v>
      </c>
      <c r="O567" s="258" t="s">
        <v>452</v>
      </c>
      <c r="P567" s="258"/>
      <c r="Q567" s="258" t="s">
        <v>20</v>
      </c>
      <c r="R567" s="259" t="s">
        <v>10353</v>
      </c>
      <c r="S567" s="258"/>
      <c r="T567" s="258"/>
      <c r="U567" s="258"/>
      <c r="V567" s="258"/>
      <c r="W567" s="258"/>
      <c r="X567" s="258"/>
      <c r="Y567" s="258"/>
      <c r="Z567" s="258"/>
    </row>
    <row r="568" spans="1:26" ht="15.75" customHeight="1">
      <c r="A568" s="248">
        <v>44791</v>
      </c>
      <c r="B568" s="219" t="s">
        <v>332</v>
      </c>
      <c r="C568" s="315">
        <v>4</v>
      </c>
      <c r="D568" s="219" t="s">
        <v>9695</v>
      </c>
      <c r="E568" s="219" t="s">
        <v>3</v>
      </c>
      <c r="F568" s="219" t="s">
        <v>725</v>
      </c>
      <c r="G568" s="219" t="s">
        <v>10528</v>
      </c>
      <c r="H568" s="219">
        <v>4</v>
      </c>
      <c r="I568" s="219" t="s">
        <v>488</v>
      </c>
      <c r="J568" s="219"/>
      <c r="K568" s="219">
        <v>4</v>
      </c>
      <c r="L568" s="219"/>
      <c r="M568" s="219"/>
      <c r="N568" s="219" t="s">
        <v>452</v>
      </c>
      <c r="O568" s="219" t="s">
        <v>9697</v>
      </c>
      <c r="P568" s="219" t="s">
        <v>9698</v>
      </c>
      <c r="Q568" s="219" t="s">
        <v>18</v>
      </c>
      <c r="R568" s="251"/>
      <c r="S568" s="219"/>
      <c r="T568" s="219"/>
      <c r="U568" s="219"/>
      <c r="V568" s="219"/>
      <c r="W568" s="219"/>
      <c r="X568" s="219"/>
      <c r="Y568" s="219"/>
      <c r="Z568" s="219"/>
    </row>
    <row r="569" spans="1:26" ht="15.75" customHeight="1">
      <c r="A569" s="253">
        <v>44791</v>
      </c>
      <c r="B569" s="224" t="s">
        <v>387</v>
      </c>
      <c r="C569" s="316">
        <v>4</v>
      </c>
      <c r="D569" s="224" t="s">
        <v>10073</v>
      </c>
      <c r="E569" s="224" t="s">
        <v>5</v>
      </c>
      <c r="F569" s="224" t="s">
        <v>447</v>
      </c>
      <c r="G569" s="224" t="s">
        <v>10877</v>
      </c>
      <c r="H569" s="224">
        <v>4</v>
      </c>
      <c r="I569" s="224" t="s">
        <v>449</v>
      </c>
      <c r="J569" s="224" t="s">
        <v>11652</v>
      </c>
      <c r="K569" s="224">
        <v>4</v>
      </c>
      <c r="L569" s="224" t="s">
        <v>10076</v>
      </c>
      <c r="M569" s="307">
        <v>8000000</v>
      </c>
      <c r="N569" s="224" t="s">
        <v>452</v>
      </c>
      <c r="O569" s="224" t="s">
        <v>10077</v>
      </c>
      <c r="P569" s="224"/>
      <c r="Q569" s="224" t="s">
        <v>18</v>
      </c>
      <c r="R569" s="254"/>
      <c r="S569" s="224"/>
      <c r="T569" s="224"/>
      <c r="U569" s="224"/>
      <c r="V569" s="224"/>
      <c r="W569" s="224"/>
      <c r="X569" s="224"/>
      <c r="Y569" s="224"/>
      <c r="Z569" s="224"/>
    </row>
    <row r="570" spans="1:26" ht="15.75" customHeight="1">
      <c r="A570" s="255">
        <v>44791</v>
      </c>
      <c r="B570" s="239" t="s">
        <v>87</v>
      </c>
      <c r="C570" s="262">
        <v>4</v>
      </c>
      <c r="D570" s="239" t="s">
        <v>2578</v>
      </c>
      <c r="E570" s="239" t="s">
        <v>5</v>
      </c>
      <c r="F570" s="239" t="s">
        <v>460</v>
      </c>
      <c r="G570" s="239" t="s">
        <v>2579</v>
      </c>
      <c r="H570" s="239">
        <v>4</v>
      </c>
      <c r="I570" s="239" t="s">
        <v>462</v>
      </c>
      <c r="J570" s="239" t="s">
        <v>2580</v>
      </c>
      <c r="K570" s="239">
        <v>4</v>
      </c>
      <c r="L570" s="239" t="s">
        <v>2581</v>
      </c>
      <c r="M570" s="308">
        <v>2500000</v>
      </c>
      <c r="N570" s="239" t="s">
        <v>452</v>
      </c>
      <c r="O570" s="239" t="s">
        <v>2582</v>
      </c>
      <c r="P570" s="239" t="s">
        <v>2583</v>
      </c>
      <c r="Q570" s="239" t="s">
        <v>20</v>
      </c>
      <c r="R570" s="256" t="s">
        <v>11653</v>
      </c>
      <c r="S570" s="239"/>
      <c r="T570" s="239"/>
      <c r="U570" s="239"/>
      <c r="V570" s="239"/>
      <c r="W570" s="239"/>
      <c r="X570" s="239"/>
      <c r="Y570" s="239"/>
      <c r="Z570" s="239"/>
    </row>
    <row r="571" spans="1:26" ht="15.75" customHeight="1">
      <c r="A571" s="253">
        <v>44791</v>
      </c>
      <c r="B571" s="224" t="s">
        <v>408</v>
      </c>
      <c r="C571" s="316">
        <v>4</v>
      </c>
      <c r="D571" s="224" t="s">
        <v>1881</v>
      </c>
      <c r="E571" s="224" t="s">
        <v>3</v>
      </c>
      <c r="F571" s="224" t="s">
        <v>460</v>
      </c>
      <c r="G571" s="224" t="s">
        <v>1882</v>
      </c>
      <c r="H571" s="224">
        <v>4</v>
      </c>
      <c r="I571" s="224" t="s">
        <v>462</v>
      </c>
      <c r="J571" s="224" t="s">
        <v>1883</v>
      </c>
      <c r="K571" s="224">
        <v>4</v>
      </c>
      <c r="L571" s="224"/>
      <c r="M571" s="224"/>
      <c r="N571" s="224" t="s">
        <v>452</v>
      </c>
      <c r="O571" s="224" t="s">
        <v>1884</v>
      </c>
      <c r="P571" s="224" t="s">
        <v>1885</v>
      </c>
      <c r="Q571" s="224" t="s">
        <v>18</v>
      </c>
      <c r="R571" s="254"/>
      <c r="S571" s="224"/>
      <c r="T571" s="224"/>
      <c r="U571" s="224"/>
      <c r="V571" s="224"/>
      <c r="W571" s="224"/>
      <c r="X571" s="224"/>
      <c r="Y571" s="224"/>
      <c r="Z571" s="224"/>
    </row>
    <row r="572" spans="1:26" ht="15.75" customHeight="1">
      <c r="A572" s="248">
        <v>44791</v>
      </c>
      <c r="B572" s="219" t="s">
        <v>176</v>
      </c>
      <c r="C572" s="315">
        <v>4</v>
      </c>
      <c r="D572" s="219" t="s">
        <v>1135</v>
      </c>
      <c r="E572" s="219" t="s">
        <v>4</v>
      </c>
      <c r="F572" s="219" t="s">
        <v>602</v>
      </c>
      <c r="G572" s="219" t="s">
        <v>1136</v>
      </c>
      <c r="H572" s="219">
        <v>4</v>
      </c>
      <c r="I572" s="219" t="s">
        <v>604</v>
      </c>
      <c r="J572" s="219" t="s">
        <v>11040</v>
      </c>
      <c r="K572" s="219">
        <v>4</v>
      </c>
      <c r="L572" s="219" t="s">
        <v>451</v>
      </c>
      <c r="M572" s="310">
        <v>1500000</v>
      </c>
      <c r="N572" s="219" t="s">
        <v>452</v>
      </c>
      <c r="O572" s="219" t="s">
        <v>11041</v>
      </c>
      <c r="P572" s="219"/>
      <c r="Q572" s="219" t="s">
        <v>18</v>
      </c>
      <c r="R572" s="251"/>
      <c r="S572" s="219"/>
      <c r="T572" s="219"/>
      <c r="U572" s="219"/>
      <c r="V572" s="219"/>
      <c r="W572" s="219"/>
      <c r="X572" s="219"/>
      <c r="Y572" s="219"/>
      <c r="Z572" s="219"/>
    </row>
    <row r="573" spans="1:26" ht="15.75" customHeight="1">
      <c r="A573" s="255">
        <v>44791</v>
      </c>
      <c r="B573" s="239" t="s">
        <v>245</v>
      </c>
      <c r="C573" s="262">
        <v>4</v>
      </c>
      <c r="D573" s="239" t="s">
        <v>1428</v>
      </c>
      <c r="E573" s="239" t="s">
        <v>4</v>
      </c>
      <c r="F573" s="239" t="s">
        <v>447</v>
      </c>
      <c r="G573" s="319" t="s">
        <v>11654</v>
      </c>
      <c r="H573" s="239">
        <v>4</v>
      </c>
      <c r="I573" s="239" t="s">
        <v>449</v>
      </c>
      <c r="J573" s="239" t="s">
        <v>11655</v>
      </c>
      <c r="K573" s="239">
        <v>4</v>
      </c>
      <c r="L573" s="239"/>
      <c r="M573" s="239"/>
      <c r="N573" s="239" t="s">
        <v>465</v>
      </c>
      <c r="O573" s="239" t="s">
        <v>1431</v>
      </c>
      <c r="P573" s="239"/>
      <c r="Q573" s="239" t="s">
        <v>19</v>
      </c>
      <c r="R573" s="256" t="s">
        <v>11656</v>
      </c>
      <c r="S573" s="239"/>
      <c r="T573" s="239"/>
      <c r="U573" s="239"/>
      <c r="V573" s="239"/>
      <c r="W573" s="239"/>
      <c r="X573" s="239"/>
      <c r="Y573" s="239"/>
      <c r="Z573" s="239"/>
    </row>
    <row r="574" spans="1:26" ht="15.75" customHeight="1">
      <c r="A574" s="248">
        <v>44791</v>
      </c>
      <c r="B574" s="219" t="s">
        <v>142</v>
      </c>
      <c r="C574" s="315">
        <v>4</v>
      </c>
      <c r="D574" s="219" t="s">
        <v>970</v>
      </c>
      <c r="E574" s="219" t="s">
        <v>5</v>
      </c>
      <c r="F574" s="219" t="s">
        <v>447</v>
      </c>
      <c r="G574" s="219" t="s">
        <v>11346</v>
      </c>
      <c r="H574" s="219">
        <v>4</v>
      </c>
      <c r="I574" s="219" t="s">
        <v>449</v>
      </c>
      <c r="J574" s="219" t="s">
        <v>11657</v>
      </c>
      <c r="K574" s="219">
        <v>4</v>
      </c>
      <c r="L574" s="219" t="s">
        <v>973</v>
      </c>
      <c r="M574" s="312" t="s">
        <v>708</v>
      </c>
      <c r="N574" s="219" t="s">
        <v>452</v>
      </c>
      <c r="O574" s="219" t="s">
        <v>974</v>
      </c>
      <c r="P574" s="219"/>
      <c r="Q574" s="219" t="s">
        <v>18</v>
      </c>
      <c r="R574" s="251"/>
      <c r="S574" s="219"/>
      <c r="T574" s="219"/>
      <c r="U574" s="219"/>
      <c r="V574" s="219"/>
      <c r="W574" s="219"/>
      <c r="X574" s="219"/>
      <c r="Y574" s="219"/>
      <c r="Z574" s="219"/>
    </row>
    <row r="575" spans="1:26" ht="15.75" customHeight="1">
      <c r="A575" s="253">
        <v>44791</v>
      </c>
      <c r="B575" s="224" t="s">
        <v>222</v>
      </c>
      <c r="C575" s="316">
        <v>4</v>
      </c>
      <c r="D575" s="224" t="s">
        <v>3922</v>
      </c>
      <c r="E575" s="224" t="s">
        <v>4</v>
      </c>
      <c r="F575" s="224" t="s">
        <v>727</v>
      </c>
      <c r="G575" s="224" t="s">
        <v>11397</v>
      </c>
      <c r="H575" s="224">
        <v>4</v>
      </c>
      <c r="I575" s="224" t="s">
        <v>1237</v>
      </c>
      <c r="J575" s="224"/>
      <c r="K575" s="224">
        <v>4</v>
      </c>
      <c r="L575" s="224" t="s">
        <v>451</v>
      </c>
      <c r="M575" s="224">
        <v>1500000</v>
      </c>
      <c r="N575" s="224" t="s">
        <v>452</v>
      </c>
      <c r="O575" s="224" t="s">
        <v>3924</v>
      </c>
      <c r="P575" s="224"/>
      <c r="Q575" s="224" t="s">
        <v>18</v>
      </c>
      <c r="R575" s="254"/>
      <c r="S575" s="224"/>
      <c r="T575" s="224"/>
      <c r="U575" s="224"/>
      <c r="V575" s="224"/>
      <c r="W575" s="224"/>
      <c r="X575" s="224"/>
      <c r="Y575" s="224"/>
      <c r="Z575" s="224"/>
    </row>
    <row r="576" spans="1:26" ht="15.75" customHeight="1">
      <c r="A576" s="257">
        <v>44791</v>
      </c>
      <c r="B576" s="258" t="s">
        <v>196</v>
      </c>
      <c r="C576" s="263">
        <v>4</v>
      </c>
      <c r="D576" s="258" t="s">
        <v>3786</v>
      </c>
      <c r="E576" s="258" t="s">
        <v>4</v>
      </c>
      <c r="F576" s="258" t="s">
        <v>727</v>
      </c>
      <c r="G576" s="258" t="s">
        <v>10497</v>
      </c>
      <c r="H576" s="258">
        <v>4</v>
      </c>
      <c r="I576" s="258" t="s">
        <v>1073</v>
      </c>
      <c r="J576" s="258"/>
      <c r="K576" s="258">
        <v>4</v>
      </c>
      <c r="L576" s="258"/>
      <c r="M576" s="258"/>
      <c r="N576" s="258" t="s">
        <v>465</v>
      </c>
      <c r="O576" s="258" t="s">
        <v>10498</v>
      </c>
      <c r="P576" s="258"/>
      <c r="Q576" s="258" t="s">
        <v>20</v>
      </c>
      <c r="R576" s="259" t="s">
        <v>3789</v>
      </c>
      <c r="S576" s="258"/>
      <c r="T576" s="258"/>
      <c r="U576" s="258"/>
      <c r="V576" s="258"/>
      <c r="W576" s="258"/>
      <c r="X576" s="258"/>
      <c r="Y576" s="258"/>
      <c r="Z576" s="258"/>
    </row>
    <row r="577" spans="1:26" ht="15.75" customHeight="1">
      <c r="A577" s="253">
        <v>44791</v>
      </c>
      <c r="B577" s="224" t="s">
        <v>116</v>
      </c>
      <c r="C577" s="316">
        <v>4</v>
      </c>
      <c r="D577" s="224" t="s">
        <v>1399</v>
      </c>
      <c r="E577" s="224" t="s">
        <v>5</v>
      </c>
      <c r="F577" s="224" t="s">
        <v>447</v>
      </c>
      <c r="G577" s="224" t="s">
        <v>10881</v>
      </c>
      <c r="H577" s="224">
        <v>4</v>
      </c>
      <c r="I577" s="224" t="s">
        <v>449</v>
      </c>
      <c r="J577" s="224" t="s">
        <v>11658</v>
      </c>
      <c r="K577" s="224">
        <v>4</v>
      </c>
      <c r="L577" s="224" t="s">
        <v>451</v>
      </c>
      <c r="M577" s="311">
        <v>5000000</v>
      </c>
      <c r="N577" s="224" t="s">
        <v>452</v>
      </c>
      <c r="O577" s="224" t="s">
        <v>1402</v>
      </c>
      <c r="P577" s="224"/>
      <c r="Q577" s="224" t="s">
        <v>18</v>
      </c>
      <c r="R577" s="254"/>
      <c r="S577" s="224"/>
      <c r="T577" s="224"/>
      <c r="U577" s="224"/>
      <c r="V577" s="224"/>
      <c r="W577" s="224"/>
      <c r="X577" s="224"/>
      <c r="Y577" s="224"/>
      <c r="Z577" s="224"/>
    </row>
    <row r="578" spans="1:26" ht="15.75" customHeight="1">
      <c r="A578" s="257">
        <v>44791</v>
      </c>
      <c r="B578" s="258" t="s">
        <v>401</v>
      </c>
      <c r="C578" s="263">
        <v>4</v>
      </c>
      <c r="D578" s="258" t="s">
        <v>10115</v>
      </c>
      <c r="E578" s="258" t="s">
        <v>3</v>
      </c>
      <c r="F578" s="258" t="s">
        <v>488</v>
      </c>
      <c r="G578" s="258" t="s">
        <v>10116</v>
      </c>
      <c r="H578" s="258">
        <v>4</v>
      </c>
      <c r="I578" s="258" t="s">
        <v>462</v>
      </c>
      <c r="J578" s="258" t="s">
        <v>10994</v>
      </c>
      <c r="K578" s="258">
        <v>4</v>
      </c>
      <c r="L578" s="258" t="s">
        <v>451</v>
      </c>
      <c r="M578" s="309">
        <v>3000000</v>
      </c>
      <c r="N578" s="258" t="s">
        <v>465</v>
      </c>
      <c r="O578" s="258" t="s">
        <v>10118</v>
      </c>
      <c r="P578" s="258"/>
      <c r="Q578" s="258" t="s">
        <v>20</v>
      </c>
      <c r="R578" s="259" t="s">
        <v>10119</v>
      </c>
      <c r="S578" s="258"/>
      <c r="T578" s="258"/>
      <c r="U578" s="258"/>
      <c r="V578" s="258"/>
      <c r="W578" s="258"/>
      <c r="X578" s="258"/>
      <c r="Y578" s="258"/>
      <c r="Z578" s="258"/>
    </row>
    <row r="579" spans="1:26" ht="15.75" customHeight="1">
      <c r="A579" s="255">
        <v>44791</v>
      </c>
      <c r="B579" s="239" t="s">
        <v>246</v>
      </c>
      <c r="C579" s="262">
        <v>4</v>
      </c>
      <c r="D579" s="239" t="s">
        <v>1437</v>
      </c>
      <c r="E579" s="239" t="s">
        <v>4</v>
      </c>
      <c r="F579" s="239" t="s">
        <v>460</v>
      </c>
      <c r="G579" s="239" t="s">
        <v>1438</v>
      </c>
      <c r="H579" s="239">
        <v>4</v>
      </c>
      <c r="I579" s="239" t="s">
        <v>462</v>
      </c>
      <c r="J579" s="239" t="s">
        <v>1439</v>
      </c>
      <c r="K579" s="239">
        <v>4</v>
      </c>
      <c r="L579" s="239" t="s">
        <v>451</v>
      </c>
      <c r="M579" s="239">
        <v>2000000</v>
      </c>
      <c r="N579" s="239" t="s">
        <v>452</v>
      </c>
      <c r="O579" s="239" t="s">
        <v>1440</v>
      </c>
      <c r="P579" s="239"/>
      <c r="Q579" s="239" t="s">
        <v>18</v>
      </c>
      <c r="R579" s="256" t="s">
        <v>11659</v>
      </c>
      <c r="S579" s="239"/>
      <c r="T579" s="239"/>
      <c r="U579" s="239"/>
      <c r="V579" s="239"/>
      <c r="W579" s="239"/>
      <c r="X579" s="239"/>
      <c r="Y579" s="239"/>
      <c r="Z579" s="239"/>
    </row>
    <row r="580" spans="1:26" ht="15.75" customHeight="1">
      <c r="A580" s="248">
        <v>44791</v>
      </c>
      <c r="B580" s="219" t="s">
        <v>243</v>
      </c>
      <c r="C580" s="315">
        <v>4</v>
      </c>
      <c r="D580" s="219" t="s">
        <v>4028</v>
      </c>
      <c r="E580" s="219" t="s">
        <v>4</v>
      </c>
      <c r="F580" s="219" t="s">
        <v>602</v>
      </c>
      <c r="G580" s="219" t="s">
        <v>4029</v>
      </c>
      <c r="H580" s="219">
        <v>4</v>
      </c>
      <c r="I580" s="219" t="s">
        <v>476</v>
      </c>
      <c r="J580" s="219" t="s">
        <v>11660</v>
      </c>
      <c r="K580" s="219">
        <v>4</v>
      </c>
      <c r="L580" s="219"/>
      <c r="M580" s="312"/>
      <c r="N580" s="219" t="s">
        <v>452</v>
      </c>
      <c r="O580" s="219" t="s">
        <v>4031</v>
      </c>
      <c r="P580" s="219"/>
      <c r="Q580" s="219" t="s">
        <v>18</v>
      </c>
      <c r="R580" s="251"/>
      <c r="S580" s="219"/>
      <c r="T580" s="219"/>
      <c r="U580" s="219"/>
      <c r="V580" s="219"/>
      <c r="W580" s="219"/>
      <c r="X580" s="219"/>
      <c r="Y580" s="219"/>
      <c r="Z580" s="219"/>
    </row>
    <row r="581" spans="1:26" ht="15.75" customHeight="1">
      <c r="A581" s="253">
        <v>44791</v>
      </c>
      <c r="B581" s="224" t="s">
        <v>109</v>
      </c>
      <c r="C581" s="316">
        <v>4</v>
      </c>
      <c r="D581" s="224" t="s">
        <v>799</v>
      </c>
      <c r="E581" s="224" t="s">
        <v>5</v>
      </c>
      <c r="F581" s="224" t="s">
        <v>447</v>
      </c>
      <c r="G581" s="224" t="s">
        <v>11152</v>
      </c>
      <c r="H581" s="224">
        <v>4</v>
      </c>
      <c r="I581" s="224" t="s">
        <v>449</v>
      </c>
      <c r="J581" s="224" t="s">
        <v>11661</v>
      </c>
      <c r="K581" s="224">
        <v>4</v>
      </c>
      <c r="L581" s="224" t="s">
        <v>478</v>
      </c>
      <c r="M581" s="307">
        <v>12000000</v>
      </c>
      <c r="N581" s="224" t="s">
        <v>452</v>
      </c>
      <c r="O581" s="224" t="s">
        <v>452</v>
      </c>
      <c r="P581" s="224"/>
      <c r="Q581" s="224" t="s">
        <v>18</v>
      </c>
      <c r="R581" s="254"/>
      <c r="S581" s="224"/>
      <c r="T581" s="224"/>
      <c r="U581" s="224"/>
      <c r="V581" s="224"/>
      <c r="W581" s="224"/>
      <c r="X581" s="224"/>
      <c r="Y581" s="224"/>
      <c r="Z581" s="224"/>
    </row>
    <row r="582" spans="1:26" ht="15.75" customHeight="1">
      <c r="A582" s="257">
        <v>44791</v>
      </c>
      <c r="B582" s="258" t="s">
        <v>93</v>
      </c>
      <c r="C582" s="263">
        <v>4</v>
      </c>
      <c r="D582" s="258" t="s">
        <v>674</v>
      </c>
      <c r="E582" s="258" t="s">
        <v>5</v>
      </c>
      <c r="F582" s="258" t="s">
        <v>447</v>
      </c>
      <c r="G582" s="258" t="s">
        <v>11280</v>
      </c>
      <c r="H582" s="258">
        <v>4</v>
      </c>
      <c r="I582" s="258" t="s">
        <v>449</v>
      </c>
      <c r="J582" s="258" t="s">
        <v>11662</v>
      </c>
      <c r="K582" s="258">
        <v>4</v>
      </c>
      <c r="L582" s="258" t="s">
        <v>677</v>
      </c>
      <c r="M582" s="258" t="s">
        <v>678</v>
      </c>
      <c r="N582" s="258" t="s">
        <v>452</v>
      </c>
      <c r="O582" s="258" t="s">
        <v>679</v>
      </c>
      <c r="P582" s="258"/>
      <c r="Q582" s="258" t="s">
        <v>18</v>
      </c>
      <c r="R582" s="259" t="s">
        <v>11663</v>
      </c>
      <c r="S582" s="258"/>
      <c r="T582" s="258"/>
      <c r="U582" s="258"/>
      <c r="V582" s="258"/>
      <c r="W582" s="258"/>
      <c r="X582" s="258"/>
      <c r="Y582" s="258"/>
      <c r="Z582" s="258"/>
    </row>
    <row r="583" spans="1:26" ht="15.75" customHeight="1">
      <c r="A583" s="257">
        <v>44791</v>
      </c>
      <c r="B583" s="258" t="s">
        <v>9141</v>
      </c>
      <c r="C583" s="263">
        <v>3.88</v>
      </c>
      <c r="D583" s="258" t="s">
        <v>9144</v>
      </c>
      <c r="E583" s="258" t="s">
        <v>3</v>
      </c>
      <c r="F583" s="258" t="s">
        <v>488</v>
      </c>
      <c r="G583" s="258" t="s">
        <v>11664</v>
      </c>
      <c r="H583" s="258">
        <v>3.75</v>
      </c>
      <c r="I583" s="258" t="s">
        <v>941</v>
      </c>
      <c r="J583" s="258" t="s">
        <v>9146</v>
      </c>
      <c r="K583" s="258">
        <v>4</v>
      </c>
      <c r="L583" s="258"/>
      <c r="M583" s="258"/>
      <c r="N583" s="258"/>
      <c r="O583" s="258"/>
      <c r="P583" s="258"/>
      <c r="Q583" s="258" t="s">
        <v>24</v>
      </c>
      <c r="R583" s="259" t="s">
        <v>9148</v>
      </c>
      <c r="S583" s="258"/>
      <c r="T583" s="258"/>
      <c r="U583" s="258"/>
      <c r="V583" s="258"/>
      <c r="W583" s="258"/>
      <c r="X583" s="258"/>
      <c r="Y583" s="258"/>
      <c r="Z583" s="258"/>
    </row>
    <row r="584" spans="1:26" ht="15.75" customHeight="1">
      <c r="A584" s="257">
        <v>44791</v>
      </c>
      <c r="B584" s="258" t="s">
        <v>312</v>
      </c>
      <c r="C584" s="263">
        <v>3.75</v>
      </c>
      <c r="D584" s="258" t="s">
        <v>9661</v>
      </c>
      <c r="E584" s="258" t="s">
        <v>3</v>
      </c>
      <c r="F584" s="258" t="s">
        <v>460</v>
      </c>
      <c r="G584" s="258" t="s">
        <v>9662</v>
      </c>
      <c r="H584" s="258">
        <v>3.5</v>
      </c>
      <c r="I584" s="258" t="s">
        <v>462</v>
      </c>
      <c r="J584" s="258" t="s">
        <v>9663</v>
      </c>
      <c r="K584" s="258">
        <v>4</v>
      </c>
      <c r="L584" s="258" t="s">
        <v>451</v>
      </c>
      <c r="M584" s="261">
        <v>3000000</v>
      </c>
      <c r="N584" s="258" t="s">
        <v>452</v>
      </c>
      <c r="O584" s="258" t="s">
        <v>575</v>
      </c>
      <c r="P584" s="258" t="s">
        <v>460</v>
      </c>
      <c r="Q584" s="258" t="s">
        <v>18</v>
      </c>
      <c r="R584" s="259" t="s">
        <v>9664</v>
      </c>
      <c r="S584" s="258"/>
      <c r="T584" s="258"/>
      <c r="U584" s="258"/>
      <c r="V584" s="258"/>
      <c r="W584" s="258"/>
      <c r="X584" s="258"/>
      <c r="Y584" s="258"/>
      <c r="Z584" s="258"/>
    </row>
    <row r="585" spans="1:26" ht="15.75" customHeight="1">
      <c r="A585" s="257">
        <v>44791</v>
      </c>
      <c r="B585" s="258" t="s">
        <v>9769</v>
      </c>
      <c r="C585" s="263">
        <v>3.75</v>
      </c>
      <c r="D585" s="258" t="s">
        <v>9772</v>
      </c>
      <c r="E585" s="258" t="s">
        <v>3</v>
      </c>
      <c r="F585" s="258" t="s">
        <v>460</v>
      </c>
      <c r="G585" s="258" t="s">
        <v>11665</v>
      </c>
      <c r="H585" s="258">
        <v>3.5</v>
      </c>
      <c r="I585" s="258" t="s">
        <v>941</v>
      </c>
      <c r="J585" s="258" t="s">
        <v>9773</v>
      </c>
      <c r="K585" s="258">
        <v>4</v>
      </c>
      <c r="L585" s="258" t="s">
        <v>784</v>
      </c>
      <c r="M585" s="309">
        <v>300000</v>
      </c>
      <c r="N585" s="258" t="s">
        <v>452</v>
      </c>
      <c r="O585" s="258" t="s">
        <v>452</v>
      </c>
      <c r="P585" s="258"/>
      <c r="Q585" s="258" t="s">
        <v>23</v>
      </c>
      <c r="R585" s="259" t="s">
        <v>9774</v>
      </c>
      <c r="S585" s="258"/>
      <c r="T585" s="258"/>
      <c r="U585" s="258"/>
      <c r="V585" s="258"/>
      <c r="W585" s="258"/>
      <c r="X585" s="258"/>
      <c r="Y585" s="258"/>
      <c r="Z585" s="258"/>
    </row>
    <row r="586" spans="1:26" ht="15.75" customHeight="1">
      <c r="A586" s="248">
        <v>44791</v>
      </c>
      <c r="B586" s="219" t="s">
        <v>4296</v>
      </c>
      <c r="C586" s="315">
        <v>3.75</v>
      </c>
      <c r="D586" s="219" t="s">
        <v>4299</v>
      </c>
      <c r="E586" s="219" t="s">
        <v>4</v>
      </c>
      <c r="F586" s="219" t="s">
        <v>727</v>
      </c>
      <c r="G586" s="219" t="s">
        <v>10496</v>
      </c>
      <c r="H586" s="219">
        <v>3.5</v>
      </c>
      <c r="I586" s="219" t="s">
        <v>1281</v>
      </c>
      <c r="J586" s="219" t="s">
        <v>4301</v>
      </c>
      <c r="K586" s="219">
        <v>4</v>
      </c>
      <c r="L586" s="219"/>
      <c r="M586" s="312"/>
      <c r="N586" s="219" t="s">
        <v>452</v>
      </c>
      <c r="O586" s="219" t="s">
        <v>4302</v>
      </c>
      <c r="P586" s="219"/>
      <c r="Q586" s="219" t="s">
        <v>24</v>
      </c>
      <c r="R586" s="251"/>
      <c r="S586" s="219"/>
      <c r="T586" s="219"/>
      <c r="U586" s="219"/>
      <c r="V586" s="219"/>
      <c r="W586" s="219"/>
      <c r="X586" s="219"/>
      <c r="Y586" s="219"/>
      <c r="Z586" s="219"/>
    </row>
    <row r="587" spans="1:26" ht="15.75" customHeight="1">
      <c r="A587" s="253">
        <v>44791</v>
      </c>
      <c r="B587" s="224" t="s">
        <v>4236</v>
      </c>
      <c r="C587" s="316">
        <v>3.75</v>
      </c>
      <c r="D587" s="224" t="s">
        <v>4239</v>
      </c>
      <c r="E587" s="224" t="s">
        <v>4</v>
      </c>
      <c r="F587" s="224" t="s">
        <v>727</v>
      </c>
      <c r="G587" s="224" t="s">
        <v>10505</v>
      </c>
      <c r="H587" s="224">
        <v>3.5</v>
      </c>
      <c r="I587" s="224" t="s">
        <v>1187</v>
      </c>
      <c r="J587" s="224" t="s">
        <v>4241</v>
      </c>
      <c r="K587" s="224">
        <v>4</v>
      </c>
      <c r="L587" s="224" t="s">
        <v>451</v>
      </c>
      <c r="M587" s="224" t="s">
        <v>4242</v>
      </c>
      <c r="N587" s="224" t="s">
        <v>452</v>
      </c>
      <c r="O587" s="224" t="s">
        <v>452</v>
      </c>
      <c r="P587" s="224"/>
      <c r="Q587" s="224" t="s">
        <v>24</v>
      </c>
      <c r="R587" s="254"/>
      <c r="S587" s="224"/>
      <c r="T587" s="224"/>
      <c r="U587" s="224"/>
      <c r="V587" s="224"/>
      <c r="W587" s="224"/>
      <c r="X587" s="224"/>
      <c r="Y587" s="224"/>
      <c r="Z587" s="224"/>
    </row>
    <row r="588" spans="1:26" ht="15.75" customHeight="1">
      <c r="A588" s="248">
        <v>44791</v>
      </c>
      <c r="B588" s="219" t="s">
        <v>4322</v>
      </c>
      <c r="C588" s="315">
        <v>3.75</v>
      </c>
      <c r="D588" s="219" t="s">
        <v>10571</v>
      </c>
      <c r="E588" s="219" t="s">
        <v>4</v>
      </c>
      <c r="F588" s="219" t="s">
        <v>727</v>
      </c>
      <c r="G588" s="219" t="s">
        <v>10572</v>
      </c>
      <c r="H588" s="219">
        <v>3.5</v>
      </c>
      <c r="I588" s="219" t="s">
        <v>1298</v>
      </c>
      <c r="J588" s="219" t="s">
        <v>4327</v>
      </c>
      <c r="K588" s="219">
        <v>4</v>
      </c>
      <c r="L588" s="219" t="s">
        <v>451</v>
      </c>
      <c r="M588" s="219" t="s">
        <v>943</v>
      </c>
      <c r="N588" s="219" t="s">
        <v>452</v>
      </c>
      <c r="O588" s="219" t="s">
        <v>4328</v>
      </c>
      <c r="P588" s="219"/>
      <c r="Q588" s="219" t="s">
        <v>24</v>
      </c>
      <c r="R588" s="251"/>
      <c r="S588" s="219"/>
      <c r="T588" s="219"/>
      <c r="U588" s="219"/>
      <c r="V588" s="219"/>
      <c r="W588" s="219"/>
      <c r="X588" s="219"/>
      <c r="Y588" s="219"/>
      <c r="Z588" s="219"/>
    </row>
    <row r="589" spans="1:26" ht="15.75" customHeight="1">
      <c r="A589" s="253">
        <v>44791</v>
      </c>
      <c r="B589" s="224" t="s">
        <v>8850</v>
      </c>
      <c r="C589" s="316">
        <v>3.75</v>
      </c>
      <c r="D589" s="224" t="s">
        <v>8853</v>
      </c>
      <c r="E589" s="224" t="s">
        <v>3</v>
      </c>
      <c r="F589" s="224" t="s">
        <v>725</v>
      </c>
      <c r="G589" s="224" t="s">
        <v>10579</v>
      </c>
      <c r="H589" s="224">
        <v>3.5</v>
      </c>
      <c r="I589" s="224" t="s">
        <v>462</v>
      </c>
      <c r="J589" s="224" t="s">
        <v>8855</v>
      </c>
      <c r="K589" s="224">
        <v>4</v>
      </c>
      <c r="L589" s="224" t="s">
        <v>478</v>
      </c>
      <c r="M589" s="224">
        <v>20000000</v>
      </c>
      <c r="N589" s="224" t="s">
        <v>452</v>
      </c>
      <c r="O589" s="224" t="s">
        <v>8856</v>
      </c>
      <c r="P589" s="224"/>
      <c r="Q589" s="224" t="s">
        <v>24</v>
      </c>
      <c r="R589" s="254"/>
      <c r="S589" s="224"/>
      <c r="T589" s="224"/>
      <c r="U589" s="224"/>
      <c r="V589" s="224"/>
      <c r="W589" s="224"/>
      <c r="X589" s="224"/>
      <c r="Y589" s="224"/>
      <c r="Z589" s="224"/>
    </row>
    <row r="590" spans="1:26" ht="15.75" customHeight="1">
      <c r="A590" s="255">
        <v>44791</v>
      </c>
      <c r="B590" s="239" t="s">
        <v>2750</v>
      </c>
      <c r="C590" s="262">
        <v>3.75</v>
      </c>
      <c r="D590" s="239" t="s">
        <v>2753</v>
      </c>
      <c r="E590" s="239" t="s">
        <v>5</v>
      </c>
      <c r="F590" s="239" t="s">
        <v>488</v>
      </c>
      <c r="G590" s="239" t="s">
        <v>11666</v>
      </c>
      <c r="H590" s="239">
        <v>3.5</v>
      </c>
      <c r="I590" s="239" t="s">
        <v>941</v>
      </c>
      <c r="J590" s="239"/>
      <c r="K590" s="239">
        <v>4</v>
      </c>
      <c r="L590" s="239" t="s">
        <v>451</v>
      </c>
      <c r="M590" s="239" t="s">
        <v>2755</v>
      </c>
      <c r="N590" s="239" t="s">
        <v>452</v>
      </c>
      <c r="O590" s="239" t="s">
        <v>2756</v>
      </c>
      <c r="P590" s="239"/>
      <c r="Q590" s="239" t="s">
        <v>24</v>
      </c>
      <c r="R590" s="256" t="s">
        <v>11667</v>
      </c>
      <c r="S590" s="239"/>
      <c r="T590" s="239"/>
      <c r="U590" s="239"/>
      <c r="V590" s="239"/>
      <c r="W590" s="239"/>
      <c r="X590" s="239"/>
      <c r="Y590" s="239"/>
      <c r="Z590" s="239"/>
    </row>
    <row r="591" spans="1:26" ht="15.75" customHeight="1">
      <c r="A591" s="257">
        <v>44791</v>
      </c>
      <c r="B591" s="258" t="s">
        <v>276</v>
      </c>
      <c r="C591" s="263">
        <v>3.75</v>
      </c>
      <c r="D591" s="258" t="s">
        <v>4173</v>
      </c>
      <c r="E591" s="258" t="s">
        <v>4</v>
      </c>
      <c r="F591" s="258" t="s">
        <v>602</v>
      </c>
      <c r="G591" s="258" t="s">
        <v>4174</v>
      </c>
      <c r="H591" s="258">
        <v>4</v>
      </c>
      <c r="I591" s="258" t="s">
        <v>1045</v>
      </c>
      <c r="J591" s="258" t="s">
        <v>4175</v>
      </c>
      <c r="K591" s="258">
        <v>3.5</v>
      </c>
      <c r="L591" s="258" t="s">
        <v>923</v>
      </c>
      <c r="M591" s="309">
        <v>500000</v>
      </c>
      <c r="N591" s="258" t="s">
        <v>452</v>
      </c>
      <c r="O591" s="258" t="s">
        <v>4176</v>
      </c>
      <c r="P591" s="258" t="s">
        <v>4177</v>
      </c>
      <c r="Q591" s="258" t="s">
        <v>20</v>
      </c>
      <c r="R591" s="259" t="s">
        <v>11668</v>
      </c>
      <c r="S591" s="258"/>
      <c r="T591" s="258"/>
      <c r="U591" s="258"/>
      <c r="V591" s="258"/>
      <c r="W591" s="258"/>
      <c r="X591" s="258"/>
      <c r="Y591" s="258"/>
      <c r="Z591" s="258"/>
    </row>
    <row r="592" spans="1:26" ht="15.75" customHeight="1">
      <c r="A592" s="264">
        <v>44791</v>
      </c>
      <c r="B592" s="265" t="s">
        <v>2490</v>
      </c>
      <c r="C592" s="317">
        <v>3.75</v>
      </c>
      <c r="D592" s="265" t="s">
        <v>2493</v>
      </c>
      <c r="E592" s="265" t="s">
        <v>5</v>
      </c>
      <c r="F592" s="265" t="s">
        <v>460</v>
      </c>
      <c r="G592" s="265" t="s">
        <v>2494</v>
      </c>
      <c r="H592" s="265">
        <v>3</v>
      </c>
      <c r="I592" s="265" t="s">
        <v>462</v>
      </c>
      <c r="J592" s="265" t="s">
        <v>2495</v>
      </c>
      <c r="K592" s="265">
        <v>4.5</v>
      </c>
      <c r="L592" s="265" t="s">
        <v>478</v>
      </c>
      <c r="M592" s="320">
        <v>4000000</v>
      </c>
      <c r="N592" s="265" t="s">
        <v>452</v>
      </c>
      <c r="O592" s="265" t="s">
        <v>2496</v>
      </c>
      <c r="P592" s="265"/>
      <c r="Q592" s="265" t="s">
        <v>24</v>
      </c>
      <c r="R592" s="266" t="s">
        <v>2242</v>
      </c>
      <c r="S592" s="265"/>
      <c r="T592" s="265"/>
      <c r="U592" s="265"/>
      <c r="V592" s="265"/>
      <c r="W592" s="265"/>
      <c r="X592" s="265"/>
      <c r="Y592" s="265"/>
      <c r="Z592" s="265"/>
    </row>
    <row r="593" spans="1:26" ht="15.75" customHeight="1">
      <c r="A593" s="255">
        <v>44791</v>
      </c>
      <c r="B593" s="239" t="s">
        <v>278</v>
      </c>
      <c r="C593" s="262">
        <v>3.75</v>
      </c>
      <c r="D593" s="239" t="s">
        <v>9416</v>
      </c>
      <c r="E593" s="239" t="s">
        <v>4</v>
      </c>
      <c r="F593" s="239" t="s">
        <v>447</v>
      </c>
      <c r="G593" s="239" t="s">
        <v>11669</v>
      </c>
      <c r="H593" s="239">
        <v>3.5</v>
      </c>
      <c r="I593" s="239" t="s">
        <v>622</v>
      </c>
      <c r="J593" s="239" t="s">
        <v>11670</v>
      </c>
      <c r="K593" s="239">
        <v>4</v>
      </c>
      <c r="L593" s="239" t="s">
        <v>478</v>
      </c>
      <c r="M593" s="308">
        <v>6000000</v>
      </c>
      <c r="N593" s="239" t="s">
        <v>465</v>
      </c>
      <c r="O593" s="239" t="s">
        <v>452</v>
      </c>
      <c r="P593" s="239"/>
      <c r="Q593" s="239" t="s">
        <v>19</v>
      </c>
      <c r="R593" s="256" t="s">
        <v>9419</v>
      </c>
      <c r="S593" s="239"/>
      <c r="T593" s="239"/>
      <c r="U593" s="239"/>
      <c r="V593" s="239"/>
      <c r="W593" s="239"/>
      <c r="X593" s="239"/>
      <c r="Y593" s="239"/>
      <c r="Z593" s="239"/>
    </row>
    <row r="594" spans="1:26" ht="15.75" customHeight="1">
      <c r="A594" s="257">
        <v>44791</v>
      </c>
      <c r="B594" s="258" t="s">
        <v>4374</v>
      </c>
      <c r="C594" s="263">
        <v>3.75</v>
      </c>
      <c r="D594" s="258" t="s">
        <v>4377</v>
      </c>
      <c r="E594" s="258" t="s">
        <v>4</v>
      </c>
      <c r="F594" s="258" t="s">
        <v>602</v>
      </c>
      <c r="G594" s="258" t="s">
        <v>4378</v>
      </c>
      <c r="H594" s="258">
        <v>4</v>
      </c>
      <c r="I594" s="258" t="s">
        <v>1045</v>
      </c>
      <c r="J594" s="258" t="s">
        <v>4379</v>
      </c>
      <c r="K594" s="258">
        <v>3.5</v>
      </c>
      <c r="L594" s="258" t="s">
        <v>784</v>
      </c>
      <c r="M594" s="309">
        <v>500000</v>
      </c>
      <c r="N594" s="258" t="s">
        <v>465</v>
      </c>
      <c r="O594" s="258" t="s">
        <v>4380</v>
      </c>
      <c r="P594" s="258" t="s">
        <v>4381</v>
      </c>
      <c r="Q594" s="258" t="s">
        <v>24</v>
      </c>
      <c r="R594" s="259" t="s">
        <v>10856</v>
      </c>
      <c r="S594" s="219"/>
      <c r="T594" s="219"/>
      <c r="U594" s="219"/>
      <c r="V594" s="219"/>
      <c r="W594" s="219"/>
      <c r="X594" s="219"/>
      <c r="Y594" s="219"/>
      <c r="Z594" s="219"/>
    </row>
    <row r="595" spans="1:26" ht="15.75" customHeight="1">
      <c r="A595" s="257">
        <v>44791</v>
      </c>
      <c r="B595" s="258" t="s">
        <v>4484</v>
      </c>
      <c r="C595" s="263">
        <v>3.63</v>
      </c>
      <c r="D595" s="258" t="s">
        <v>10369</v>
      </c>
      <c r="E595" s="258" t="s">
        <v>4</v>
      </c>
      <c r="F595" s="258" t="s">
        <v>725</v>
      </c>
      <c r="G595" s="258" t="s">
        <v>10370</v>
      </c>
      <c r="H595" s="258">
        <v>3.5</v>
      </c>
      <c r="I595" s="258" t="s">
        <v>727</v>
      </c>
      <c r="J595" s="258" t="s">
        <v>10371</v>
      </c>
      <c r="K595" s="258">
        <v>3.75</v>
      </c>
      <c r="L595" s="258" t="s">
        <v>784</v>
      </c>
      <c r="M595" s="261">
        <v>300000</v>
      </c>
      <c r="N595" s="258" t="s">
        <v>465</v>
      </c>
      <c r="O595" s="258" t="s">
        <v>452</v>
      </c>
      <c r="P595" s="258"/>
      <c r="Q595" s="258" t="s">
        <v>24</v>
      </c>
      <c r="R595" s="259" t="s">
        <v>11671</v>
      </c>
      <c r="S595" s="258"/>
      <c r="T595" s="258"/>
      <c r="U595" s="258"/>
      <c r="V595" s="258"/>
      <c r="W595" s="258"/>
      <c r="X595" s="258"/>
      <c r="Y595" s="258"/>
      <c r="Z595" s="258"/>
    </row>
    <row r="596" spans="1:26" ht="15.75" customHeight="1">
      <c r="A596" s="321">
        <v>44791</v>
      </c>
      <c r="B596" s="322" t="s">
        <v>4890</v>
      </c>
      <c r="C596" s="323">
        <v>3.5</v>
      </c>
      <c r="D596" s="322" t="s">
        <v>4893</v>
      </c>
      <c r="E596" s="322" t="s">
        <v>4</v>
      </c>
      <c r="F596" s="322" t="s">
        <v>727</v>
      </c>
      <c r="G596" s="322" t="s">
        <v>10288</v>
      </c>
      <c r="H596" s="322">
        <v>3</v>
      </c>
      <c r="I596" s="322" t="s">
        <v>1457</v>
      </c>
      <c r="J596" s="322" t="s">
        <v>4895</v>
      </c>
      <c r="K596" s="322">
        <v>4</v>
      </c>
      <c r="L596" s="322" t="s">
        <v>451</v>
      </c>
      <c r="M596" s="324">
        <v>2400000</v>
      </c>
      <c r="N596" s="322" t="s">
        <v>452</v>
      </c>
      <c r="O596" s="322" t="s">
        <v>4896</v>
      </c>
      <c r="P596" s="322"/>
      <c r="Q596" s="322" t="s">
        <v>24</v>
      </c>
      <c r="R596" s="325"/>
      <c r="S596" s="322"/>
      <c r="T596" s="322"/>
      <c r="U596" s="322"/>
      <c r="V596" s="322"/>
      <c r="W596" s="322"/>
      <c r="X596" s="322"/>
      <c r="Y596" s="322"/>
      <c r="Z596" s="322"/>
    </row>
    <row r="597" spans="1:26" ht="15.75" customHeight="1">
      <c r="A597" s="253">
        <v>44791</v>
      </c>
      <c r="B597" s="224" t="s">
        <v>4767</v>
      </c>
      <c r="C597" s="316">
        <v>3.5</v>
      </c>
      <c r="D597" s="224" t="s">
        <v>10291</v>
      </c>
      <c r="E597" s="224" t="s">
        <v>4</v>
      </c>
      <c r="F597" s="224" t="s">
        <v>727</v>
      </c>
      <c r="G597" s="224" t="s">
        <v>10292</v>
      </c>
      <c r="H597" s="224">
        <v>4</v>
      </c>
      <c r="I597" s="224" t="s">
        <v>1298</v>
      </c>
      <c r="J597" s="224" t="s">
        <v>4772</v>
      </c>
      <c r="K597" s="224">
        <v>3</v>
      </c>
      <c r="L597" s="224"/>
      <c r="M597" s="307"/>
      <c r="N597" s="224" t="s">
        <v>465</v>
      </c>
      <c r="O597" s="224" t="s">
        <v>4773</v>
      </c>
      <c r="P597" s="224"/>
      <c r="Q597" s="322" t="s">
        <v>24</v>
      </c>
      <c r="R597" s="254"/>
      <c r="S597" s="224"/>
      <c r="T597" s="224"/>
      <c r="U597" s="224"/>
      <c r="V597" s="224"/>
      <c r="W597" s="224"/>
      <c r="X597" s="224"/>
      <c r="Y597" s="224"/>
      <c r="Z597" s="224"/>
    </row>
    <row r="598" spans="1:26" ht="15.75" customHeight="1">
      <c r="A598" s="248">
        <v>44791</v>
      </c>
      <c r="B598" s="219" t="s">
        <v>4727</v>
      </c>
      <c r="C598" s="315">
        <v>3.5</v>
      </c>
      <c r="D598" s="219" t="s">
        <v>10533</v>
      </c>
      <c r="E598" s="219" t="s">
        <v>4</v>
      </c>
      <c r="F598" s="219" t="s">
        <v>727</v>
      </c>
      <c r="G598" s="219" t="s">
        <v>10534</v>
      </c>
      <c r="H598" s="219">
        <v>3</v>
      </c>
      <c r="I598" s="219" t="s">
        <v>1281</v>
      </c>
      <c r="J598" s="219" t="s">
        <v>4732</v>
      </c>
      <c r="K598" s="219">
        <v>4</v>
      </c>
      <c r="L598" s="219" t="s">
        <v>451</v>
      </c>
      <c r="M598" s="312">
        <v>3000000</v>
      </c>
      <c r="N598" s="219" t="s">
        <v>452</v>
      </c>
      <c r="O598" s="219" t="s">
        <v>1119</v>
      </c>
      <c r="P598" s="219"/>
      <c r="Q598" s="322" t="s">
        <v>24</v>
      </c>
      <c r="R598" s="251"/>
      <c r="S598" s="219"/>
      <c r="T598" s="219"/>
      <c r="U598" s="219"/>
      <c r="V598" s="219"/>
      <c r="W598" s="219"/>
      <c r="X598" s="219"/>
      <c r="Y598" s="219"/>
      <c r="Z598" s="219"/>
    </row>
    <row r="599" spans="1:26" ht="15.75" customHeight="1">
      <c r="A599" s="253">
        <v>44791</v>
      </c>
      <c r="B599" s="224" t="s">
        <v>4865</v>
      </c>
      <c r="C599" s="316">
        <v>3.5</v>
      </c>
      <c r="D599" s="224" t="s">
        <v>4868</v>
      </c>
      <c r="E599" s="224" t="s">
        <v>4</v>
      </c>
      <c r="F599" s="224" t="s">
        <v>727</v>
      </c>
      <c r="G599" s="224" t="s">
        <v>10645</v>
      </c>
      <c r="H599" s="224">
        <v>3</v>
      </c>
      <c r="I599" s="224" t="s">
        <v>1457</v>
      </c>
      <c r="J599" s="224" t="s">
        <v>4870</v>
      </c>
      <c r="K599" s="224">
        <v>4</v>
      </c>
      <c r="L599" s="224"/>
      <c r="M599" s="224"/>
      <c r="N599" s="224" t="s">
        <v>452</v>
      </c>
      <c r="O599" s="224" t="s">
        <v>452</v>
      </c>
      <c r="P599" s="224"/>
      <c r="Q599" s="322" t="s">
        <v>24</v>
      </c>
      <c r="R599" s="254"/>
      <c r="S599" s="224"/>
      <c r="T599" s="224"/>
      <c r="U599" s="224"/>
      <c r="V599" s="224"/>
      <c r="W599" s="224"/>
      <c r="X599" s="224"/>
      <c r="Y599" s="224"/>
      <c r="Z599" s="224"/>
    </row>
    <row r="600" spans="1:26" ht="15.75" customHeight="1">
      <c r="A600" s="248">
        <v>44791</v>
      </c>
      <c r="B600" s="219" t="s">
        <v>4518</v>
      </c>
      <c r="C600" s="315">
        <v>3.5</v>
      </c>
      <c r="D600" s="219" t="s">
        <v>4521</v>
      </c>
      <c r="E600" s="219" t="s">
        <v>4</v>
      </c>
      <c r="F600" s="219" t="s">
        <v>727</v>
      </c>
      <c r="G600" s="219" t="s">
        <v>11672</v>
      </c>
      <c r="H600" s="219"/>
      <c r="I600" s="219"/>
      <c r="J600" s="219"/>
      <c r="K600" s="219"/>
      <c r="L600" s="219"/>
      <c r="M600" s="219"/>
      <c r="N600" s="219"/>
      <c r="O600" s="219"/>
      <c r="P600" s="219"/>
      <c r="Q600" s="322" t="s">
        <v>24</v>
      </c>
      <c r="R600" s="251"/>
      <c r="S600" s="219"/>
      <c r="T600" s="219"/>
      <c r="U600" s="219"/>
      <c r="V600" s="219"/>
      <c r="W600" s="219"/>
      <c r="X600" s="219"/>
      <c r="Y600" s="219"/>
      <c r="Z600" s="219"/>
    </row>
    <row r="601" spans="1:26" ht="15.75" customHeight="1">
      <c r="A601" s="253">
        <v>44791</v>
      </c>
      <c r="B601" s="224" t="s">
        <v>4689</v>
      </c>
      <c r="C601" s="316">
        <v>3.5</v>
      </c>
      <c r="D601" s="224" t="s">
        <v>4692</v>
      </c>
      <c r="E601" s="224" t="s">
        <v>4</v>
      </c>
      <c r="F601" s="224" t="s">
        <v>727</v>
      </c>
      <c r="G601" s="224" t="s">
        <v>10693</v>
      </c>
      <c r="H601" s="224">
        <v>4</v>
      </c>
      <c r="I601" s="224" t="s">
        <v>1237</v>
      </c>
      <c r="J601" s="224"/>
      <c r="K601" s="224">
        <v>3</v>
      </c>
      <c r="L601" s="224" t="s">
        <v>4694</v>
      </c>
      <c r="M601" s="224" t="s">
        <v>4695</v>
      </c>
      <c r="N601" s="224" t="s">
        <v>452</v>
      </c>
      <c r="O601" s="224" t="s">
        <v>974</v>
      </c>
      <c r="P601" s="224" t="s">
        <v>725</v>
      </c>
      <c r="Q601" s="322" t="s">
        <v>24</v>
      </c>
      <c r="R601" s="254"/>
      <c r="S601" s="224"/>
      <c r="T601" s="224"/>
      <c r="U601" s="224"/>
      <c r="V601" s="224"/>
      <c r="W601" s="224"/>
      <c r="X601" s="224"/>
      <c r="Y601" s="224"/>
      <c r="Z601" s="224"/>
    </row>
    <row r="602" spans="1:26" ht="15.75" customHeight="1">
      <c r="A602" s="248">
        <v>44791</v>
      </c>
      <c r="B602" s="219" t="s">
        <v>2678</v>
      </c>
      <c r="C602" s="315">
        <v>3.5</v>
      </c>
      <c r="D602" s="219" t="s">
        <v>2681</v>
      </c>
      <c r="E602" s="219" t="s">
        <v>5</v>
      </c>
      <c r="F602" s="219" t="s">
        <v>447</v>
      </c>
      <c r="G602" s="219" t="s">
        <v>11030</v>
      </c>
      <c r="H602" s="219">
        <v>3.5</v>
      </c>
      <c r="I602" s="219" t="s">
        <v>449</v>
      </c>
      <c r="J602" s="219" t="s">
        <v>11673</v>
      </c>
      <c r="K602" s="219">
        <v>3.5</v>
      </c>
      <c r="L602" s="219"/>
      <c r="M602" s="219"/>
      <c r="N602" s="219" t="s">
        <v>454</v>
      </c>
      <c r="O602" s="219" t="s">
        <v>2684</v>
      </c>
      <c r="P602" s="219" t="s">
        <v>2685</v>
      </c>
      <c r="Q602" s="322" t="s">
        <v>24</v>
      </c>
      <c r="R602" s="251"/>
      <c r="S602" s="219"/>
      <c r="T602" s="219"/>
      <c r="U602" s="219"/>
      <c r="V602" s="219"/>
      <c r="W602" s="219"/>
      <c r="X602" s="219"/>
      <c r="Y602" s="219"/>
      <c r="Z602" s="219"/>
    </row>
    <row r="603" spans="1:26" ht="15.75" customHeight="1">
      <c r="A603" s="253">
        <v>44791</v>
      </c>
      <c r="B603" s="224" t="s">
        <v>4671</v>
      </c>
      <c r="C603" s="316">
        <v>3.5</v>
      </c>
      <c r="D603" s="224" t="s">
        <v>11039</v>
      </c>
      <c r="E603" s="224" t="s">
        <v>4</v>
      </c>
      <c r="F603" s="224" t="s">
        <v>602</v>
      </c>
      <c r="G603" s="224" t="s">
        <v>4675</v>
      </c>
      <c r="H603" s="224">
        <v>3</v>
      </c>
      <c r="I603" s="224" t="s">
        <v>1187</v>
      </c>
      <c r="J603" s="224" t="s">
        <v>4676</v>
      </c>
      <c r="K603" s="224">
        <v>4</v>
      </c>
      <c r="L603" s="224" t="s">
        <v>451</v>
      </c>
      <c r="M603" s="224" t="s">
        <v>1384</v>
      </c>
      <c r="N603" s="224" t="s">
        <v>465</v>
      </c>
      <c r="O603" s="224" t="s">
        <v>4677</v>
      </c>
      <c r="P603" s="224"/>
      <c r="Q603" s="322" t="s">
        <v>24</v>
      </c>
      <c r="R603" s="254"/>
      <c r="S603" s="224"/>
      <c r="T603" s="224"/>
      <c r="U603" s="224"/>
      <c r="V603" s="224"/>
      <c r="W603" s="224"/>
      <c r="X603" s="224"/>
      <c r="Y603" s="224"/>
      <c r="Z603" s="224"/>
    </row>
    <row r="604" spans="1:26" ht="15.75" customHeight="1">
      <c r="A604" s="248">
        <v>44791</v>
      </c>
      <c r="B604" s="219" t="s">
        <v>4872</v>
      </c>
      <c r="C604" s="315">
        <v>3.5</v>
      </c>
      <c r="D604" s="219" t="s">
        <v>11057</v>
      </c>
      <c r="E604" s="219" t="s">
        <v>4</v>
      </c>
      <c r="F604" s="219" t="s">
        <v>602</v>
      </c>
      <c r="G604" s="219" t="s">
        <v>4876</v>
      </c>
      <c r="H604" s="219">
        <v>3.5</v>
      </c>
      <c r="I604" s="219" t="s">
        <v>1045</v>
      </c>
      <c r="J604" s="219" t="s">
        <v>4877</v>
      </c>
      <c r="K604" s="219">
        <v>3.5</v>
      </c>
      <c r="L604" s="219" t="s">
        <v>478</v>
      </c>
      <c r="M604" s="312">
        <v>3000000</v>
      </c>
      <c r="N604" s="219" t="s">
        <v>452</v>
      </c>
      <c r="O604" s="219" t="s">
        <v>4878</v>
      </c>
      <c r="P604" s="219"/>
      <c r="Q604" s="322" t="s">
        <v>24</v>
      </c>
      <c r="R604" s="251"/>
      <c r="S604" s="219"/>
      <c r="T604" s="219"/>
      <c r="U604" s="219"/>
      <c r="V604" s="219"/>
      <c r="W604" s="219"/>
      <c r="X604" s="219"/>
      <c r="Y604" s="219"/>
      <c r="Z604" s="219"/>
    </row>
    <row r="605" spans="1:26" ht="15.75" customHeight="1">
      <c r="A605" s="255">
        <v>44791</v>
      </c>
      <c r="B605" s="239" t="s">
        <v>393</v>
      </c>
      <c r="C605" s="262">
        <v>3.5</v>
      </c>
      <c r="D605" s="239" t="s">
        <v>11070</v>
      </c>
      <c r="E605" s="239" t="s">
        <v>5</v>
      </c>
      <c r="F605" s="239" t="s">
        <v>488</v>
      </c>
      <c r="G605" s="239" t="s">
        <v>11071</v>
      </c>
      <c r="H605" s="239">
        <v>3</v>
      </c>
      <c r="I605" s="239" t="s">
        <v>462</v>
      </c>
      <c r="J605" s="239" t="s">
        <v>3626</v>
      </c>
      <c r="K605" s="239">
        <v>4</v>
      </c>
      <c r="L605" s="239"/>
      <c r="M605" s="239"/>
      <c r="N605" s="239" t="s">
        <v>452</v>
      </c>
      <c r="O605" s="239" t="s">
        <v>11072</v>
      </c>
      <c r="P605" s="239"/>
      <c r="Q605" s="239" t="s">
        <v>20</v>
      </c>
      <c r="R605" s="256" t="s">
        <v>11674</v>
      </c>
      <c r="S605" s="239"/>
      <c r="T605" s="239"/>
      <c r="U605" s="239"/>
      <c r="V605" s="239"/>
      <c r="W605" s="239"/>
      <c r="X605" s="239"/>
      <c r="Y605" s="239"/>
      <c r="Z605" s="239"/>
    </row>
    <row r="606" spans="1:26" ht="15.75" customHeight="1">
      <c r="A606" s="257">
        <v>44791</v>
      </c>
      <c r="B606" s="258" t="s">
        <v>9843</v>
      </c>
      <c r="C606" s="263">
        <v>3.5</v>
      </c>
      <c r="D606" s="258" t="s">
        <v>9846</v>
      </c>
      <c r="E606" s="258" t="s">
        <v>3</v>
      </c>
      <c r="F606" s="258" t="s">
        <v>460</v>
      </c>
      <c r="G606" s="258" t="s">
        <v>9847</v>
      </c>
      <c r="H606" s="258">
        <v>3.5</v>
      </c>
      <c r="I606" s="258" t="s">
        <v>462</v>
      </c>
      <c r="J606" s="258" t="s">
        <v>9848</v>
      </c>
      <c r="K606" s="258">
        <v>3.5</v>
      </c>
      <c r="L606" s="258" t="s">
        <v>784</v>
      </c>
      <c r="M606" s="309">
        <v>2000000</v>
      </c>
      <c r="N606" s="258" t="s">
        <v>452</v>
      </c>
      <c r="O606" s="258" t="s">
        <v>9849</v>
      </c>
      <c r="P606" s="258"/>
      <c r="Q606" s="258" t="s">
        <v>23</v>
      </c>
      <c r="R606" s="259" t="s">
        <v>9850</v>
      </c>
      <c r="S606" s="258"/>
      <c r="T606" s="258"/>
      <c r="U606" s="258"/>
      <c r="V606" s="258"/>
      <c r="W606" s="258"/>
      <c r="X606" s="258"/>
      <c r="Y606" s="258"/>
      <c r="Z606" s="258"/>
    </row>
    <row r="607" spans="1:26" ht="15.75" customHeight="1">
      <c r="A607" s="257">
        <v>44791</v>
      </c>
      <c r="B607" s="258" t="s">
        <v>9226</v>
      </c>
      <c r="C607" s="263">
        <v>3.5</v>
      </c>
      <c r="D607" s="258" t="s">
        <v>9229</v>
      </c>
      <c r="E607" s="258" t="s">
        <v>3</v>
      </c>
      <c r="F607" s="258" t="s">
        <v>488</v>
      </c>
      <c r="G607" s="258" t="s">
        <v>11228</v>
      </c>
      <c r="H607" s="258">
        <v>3</v>
      </c>
      <c r="I607" s="258" t="s">
        <v>941</v>
      </c>
      <c r="J607" s="258" t="s">
        <v>9231</v>
      </c>
      <c r="K607" s="258">
        <v>4</v>
      </c>
      <c r="L607" s="258" t="s">
        <v>2190</v>
      </c>
      <c r="M607" s="309">
        <v>0</v>
      </c>
      <c r="N607" s="258" t="s">
        <v>452</v>
      </c>
      <c r="O607" s="258" t="s">
        <v>575</v>
      </c>
      <c r="P607" s="258"/>
      <c r="Q607" s="258" t="s">
        <v>24</v>
      </c>
      <c r="R607" s="259" t="s">
        <v>9232</v>
      </c>
      <c r="S607" s="258"/>
      <c r="T607" s="258"/>
      <c r="U607" s="258"/>
      <c r="V607" s="258"/>
      <c r="W607" s="258"/>
      <c r="X607" s="258"/>
      <c r="Y607" s="258"/>
      <c r="Z607" s="258"/>
    </row>
    <row r="608" spans="1:26" ht="15.75" customHeight="1">
      <c r="A608" s="248">
        <v>44791</v>
      </c>
      <c r="B608" s="219" t="s">
        <v>2833</v>
      </c>
      <c r="C608" s="315">
        <v>3.5</v>
      </c>
      <c r="D608" s="219" t="s">
        <v>11269</v>
      </c>
      <c r="E608" s="219" t="s">
        <v>5</v>
      </c>
      <c r="F608" s="219" t="s">
        <v>447</v>
      </c>
      <c r="G608" s="219" t="s">
        <v>11270</v>
      </c>
      <c r="H608" s="219">
        <v>3.5</v>
      </c>
      <c r="I608" s="219" t="s">
        <v>543</v>
      </c>
      <c r="J608" s="219" t="s">
        <v>11675</v>
      </c>
      <c r="K608" s="219">
        <v>3.5</v>
      </c>
      <c r="L608" s="219"/>
      <c r="M608" s="219"/>
      <c r="N608" s="219" t="s">
        <v>452</v>
      </c>
      <c r="O608" s="219" t="s">
        <v>11272</v>
      </c>
      <c r="P608" s="219"/>
      <c r="Q608" s="322" t="s">
        <v>24</v>
      </c>
      <c r="R608" s="251"/>
      <c r="S608" s="219"/>
      <c r="T608" s="219"/>
      <c r="U608" s="219"/>
      <c r="V608" s="219"/>
      <c r="W608" s="219"/>
      <c r="X608" s="219"/>
      <c r="Y608" s="219"/>
      <c r="Z608" s="219"/>
    </row>
    <row r="609" spans="1:26" ht="15.75" customHeight="1">
      <c r="A609" s="257">
        <v>44791</v>
      </c>
      <c r="B609" s="258" t="s">
        <v>8358</v>
      </c>
      <c r="C609" s="263">
        <v>3.5</v>
      </c>
      <c r="D609" s="258" t="s">
        <v>8361</v>
      </c>
      <c r="E609" s="258" t="s">
        <v>3</v>
      </c>
      <c r="F609" s="258" t="s">
        <v>460</v>
      </c>
      <c r="G609" s="258" t="s">
        <v>11676</v>
      </c>
      <c r="H609" s="258">
        <v>3</v>
      </c>
      <c r="I609" s="258" t="s">
        <v>462</v>
      </c>
      <c r="J609" s="258" t="s">
        <v>8363</v>
      </c>
      <c r="K609" s="258">
        <v>4</v>
      </c>
      <c r="L609" s="258" t="s">
        <v>8364</v>
      </c>
      <c r="M609" s="309">
        <v>5000000</v>
      </c>
      <c r="N609" s="258" t="s">
        <v>452</v>
      </c>
      <c r="O609" s="258" t="s">
        <v>452</v>
      </c>
      <c r="P609" s="258"/>
      <c r="Q609" s="258" t="s">
        <v>24</v>
      </c>
      <c r="R609" s="259" t="s">
        <v>8365</v>
      </c>
      <c r="S609" s="258"/>
      <c r="T609" s="258"/>
      <c r="U609" s="258"/>
      <c r="V609" s="258"/>
      <c r="W609" s="258"/>
      <c r="X609" s="258"/>
      <c r="Y609" s="258"/>
      <c r="Z609" s="258"/>
    </row>
    <row r="610" spans="1:26" ht="15.75" customHeight="1">
      <c r="A610" s="248">
        <v>44791</v>
      </c>
      <c r="B610" s="219" t="s">
        <v>4707</v>
      </c>
      <c r="C610" s="315">
        <v>3.5</v>
      </c>
      <c r="D610" s="219" t="s">
        <v>4710</v>
      </c>
      <c r="E610" s="219" t="s">
        <v>4</v>
      </c>
      <c r="F610" s="219" t="s">
        <v>602</v>
      </c>
      <c r="G610" s="219" t="s">
        <v>4711</v>
      </c>
      <c r="H610" s="219">
        <v>3.5</v>
      </c>
      <c r="I610" s="219" t="s">
        <v>476</v>
      </c>
      <c r="J610" s="219" t="s">
        <v>11677</v>
      </c>
      <c r="K610" s="219">
        <v>3.5</v>
      </c>
      <c r="L610" s="219"/>
      <c r="M610" s="219"/>
      <c r="N610" s="219" t="s">
        <v>452</v>
      </c>
      <c r="O610" s="219" t="s">
        <v>11075</v>
      </c>
      <c r="P610" s="219"/>
      <c r="Q610" s="322" t="s">
        <v>24</v>
      </c>
      <c r="R610" s="251"/>
      <c r="S610" s="219"/>
      <c r="T610" s="219"/>
      <c r="U610" s="219"/>
      <c r="V610" s="219"/>
      <c r="W610" s="219"/>
      <c r="X610" s="219"/>
      <c r="Y610" s="219"/>
      <c r="Z610" s="219"/>
    </row>
    <row r="611" spans="1:26" ht="15.75" customHeight="1">
      <c r="A611" s="257">
        <v>44791</v>
      </c>
      <c r="B611" s="258" t="s">
        <v>4960</v>
      </c>
      <c r="C611" s="263">
        <v>3.25</v>
      </c>
      <c r="D611" s="258" t="s">
        <v>4963</v>
      </c>
      <c r="E611" s="258" t="s">
        <v>4</v>
      </c>
      <c r="F611" s="258" t="s">
        <v>727</v>
      </c>
      <c r="G611" s="258" t="s">
        <v>10293</v>
      </c>
      <c r="H611" s="258">
        <v>2.5</v>
      </c>
      <c r="I611" s="258" t="s">
        <v>990</v>
      </c>
      <c r="J611" s="258" t="s">
        <v>4965</v>
      </c>
      <c r="K611" s="258">
        <v>4</v>
      </c>
      <c r="L611" s="258" t="s">
        <v>451</v>
      </c>
      <c r="M611" s="258" t="s">
        <v>4966</v>
      </c>
      <c r="N611" s="258" t="s">
        <v>452</v>
      </c>
      <c r="O611" s="258" t="s">
        <v>452</v>
      </c>
      <c r="P611" s="258"/>
      <c r="Q611" s="258" t="s">
        <v>24</v>
      </c>
      <c r="R611" s="259" t="s">
        <v>4967</v>
      </c>
      <c r="S611" s="258"/>
      <c r="T611" s="258"/>
      <c r="U611" s="258"/>
      <c r="V611" s="258"/>
      <c r="W611" s="258"/>
      <c r="X611" s="258"/>
      <c r="Y611" s="258"/>
      <c r="Z611" s="258"/>
    </row>
    <row r="612" spans="1:26" ht="15.75" customHeight="1">
      <c r="A612" s="248">
        <v>44791</v>
      </c>
      <c r="B612" s="219" t="s">
        <v>8341</v>
      </c>
      <c r="C612" s="315">
        <v>3.25</v>
      </c>
      <c r="D612" s="219" t="s">
        <v>8344</v>
      </c>
      <c r="E612" s="219" t="s">
        <v>3</v>
      </c>
      <c r="F612" s="219" t="s">
        <v>725</v>
      </c>
      <c r="G612" s="219" t="s">
        <v>10577</v>
      </c>
      <c r="H612" s="219">
        <v>3.5</v>
      </c>
      <c r="I612" s="219" t="s">
        <v>488</v>
      </c>
      <c r="J612" s="219" t="s">
        <v>8346</v>
      </c>
      <c r="K612" s="219">
        <v>3</v>
      </c>
      <c r="L612" s="219"/>
      <c r="M612" s="219"/>
      <c r="N612" s="219" t="s">
        <v>452</v>
      </c>
      <c r="O612" s="219" t="s">
        <v>10578</v>
      </c>
      <c r="P612" s="219"/>
      <c r="Q612" s="322" t="s">
        <v>24</v>
      </c>
      <c r="R612" s="251"/>
      <c r="S612" s="219"/>
      <c r="T612" s="219"/>
      <c r="U612" s="219"/>
      <c r="V612" s="219"/>
      <c r="W612" s="219"/>
      <c r="X612" s="219"/>
      <c r="Y612" s="219"/>
      <c r="Z612" s="219"/>
    </row>
    <row r="613" spans="1:26" ht="15.75" customHeight="1">
      <c r="A613" s="253">
        <v>44791</v>
      </c>
      <c r="B613" s="224" t="s">
        <v>5088</v>
      </c>
      <c r="C613" s="316">
        <v>3.25</v>
      </c>
      <c r="D613" s="224" t="s">
        <v>5091</v>
      </c>
      <c r="E613" s="224" t="s">
        <v>4</v>
      </c>
      <c r="F613" s="224" t="s">
        <v>727</v>
      </c>
      <c r="G613" s="224" t="s">
        <v>10583</v>
      </c>
      <c r="H613" s="224">
        <v>3.5</v>
      </c>
      <c r="I613" s="224" t="s">
        <v>1187</v>
      </c>
      <c r="J613" s="224" t="s">
        <v>5093</v>
      </c>
      <c r="K613" s="224">
        <v>3</v>
      </c>
      <c r="L613" s="224"/>
      <c r="M613" s="307"/>
      <c r="N613" s="224" t="s">
        <v>452</v>
      </c>
      <c r="O613" s="224" t="s">
        <v>10584</v>
      </c>
      <c r="P613" s="224"/>
      <c r="Q613" s="322" t="s">
        <v>24</v>
      </c>
      <c r="R613" s="254"/>
      <c r="S613" s="224"/>
      <c r="T613" s="224"/>
      <c r="U613" s="224"/>
      <c r="V613" s="224"/>
      <c r="W613" s="224"/>
      <c r="X613" s="224"/>
      <c r="Y613" s="224"/>
      <c r="Z613" s="224"/>
    </row>
    <row r="614" spans="1:26" ht="15.75" customHeight="1">
      <c r="A614" s="248">
        <v>44791</v>
      </c>
      <c r="B614" s="219" t="s">
        <v>8869</v>
      </c>
      <c r="C614" s="315">
        <v>3.25</v>
      </c>
      <c r="D614" s="219" t="s">
        <v>8872</v>
      </c>
      <c r="E614" s="219" t="s">
        <v>3</v>
      </c>
      <c r="F614" s="219" t="s">
        <v>460</v>
      </c>
      <c r="G614" s="219" t="s">
        <v>8873</v>
      </c>
      <c r="H614" s="219">
        <v>3</v>
      </c>
      <c r="I614" s="219" t="s">
        <v>488</v>
      </c>
      <c r="J614" s="219"/>
      <c r="K614" s="219">
        <v>3.5</v>
      </c>
      <c r="L614" s="219" t="s">
        <v>8874</v>
      </c>
      <c r="M614" s="312">
        <v>5000000</v>
      </c>
      <c r="N614" s="219" t="s">
        <v>452</v>
      </c>
      <c r="O614" s="219" t="s">
        <v>452</v>
      </c>
      <c r="P614" s="219"/>
      <c r="Q614" s="322" t="s">
        <v>24</v>
      </c>
      <c r="R614" s="251"/>
      <c r="S614" s="219"/>
      <c r="T614" s="219"/>
      <c r="U614" s="219"/>
      <c r="V614" s="219"/>
      <c r="W614" s="219"/>
      <c r="X614" s="219"/>
      <c r="Y614" s="219"/>
      <c r="Z614" s="219"/>
    </row>
    <row r="615" spans="1:26" ht="15.75" customHeight="1">
      <c r="A615" s="253">
        <v>44791</v>
      </c>
      <c r="B615" s="224" t="s">
        <v>8589</v>
      </c>
      <c r="C615" s="316">
        <v>3.25</v>
      </c>
      <c r="D615" s="224" t="s">
        <v>10604</v>
      </c>
      <c r="E615" s="224" t="s">
        <v>3</v>
      </c>
      <c r="F615" s="224" t="s">
        <v>725</v>
      </c>
      <c r="G615" s="224" t="s">
        <v>10605</v>
      </c>
      <c r="H615" s="224">
        <v>3.5</v>
      </c>
      <c r="I615" s="224" t="s">
        <v>488</v>
      </c>
      <c r="J615" s="224" t="s">
        <v>8594</v>
      </c>
      <c r="K615" s="224">
        <v>3</v>
      </c>
      <c r="L615" s="224" t="s">
        <v>451</v>
      </c>
      <c r="M615" s="224" t="s">
        <v>4828</v>
      </c>
      <c r="N615" s="224" t="s">
        <v>452</v>
      </c>
      <c r="O615" s="224" t="s">
        <v>11678</v>
      </c>
      <c r="P615" s="224"/>
      <c r="Q615" s="322" t="s">
        <v>24</v>
      </c>
      <c r="R615" s="254"/>
      <c r="S615" s="224"/>
      <c r="T615" s="224"/>
      <c r="U615" s="224"/>
      <c r="V615" s="224"/>
      <c r="W615" s="224"/>
      <c r="X615" s="224"/>
      <c r="Y615" s="224"/>
      <c r="Z615" s="224"/>
    </row>
    <row r="616" spans="1:26" ht="15.75" customHeight="1">
      <c r="A616" s="248">
        <v>44791</v>
      </c>
      <c r="B616" s="219" t="s">
        <v>8972</v>
      </c>
      <c r="C616" s="315">
        <v>3.25</v>
      </c>
      <c r="D616" s="219" t="s">
        <v>8975</v>
      </c>
      <c r="E616" s="219" t="s">
        <v>3</v>
      </c>
      <c r="F616" s="219" t="s">
        <v>460</v>
      </c>
      <c r="G616" s="219" t="s">
        <v>8976</v>
      </c>
      <c r="H616" s="219">
        <v>3</v>
      </c>
      <c r="I616" s="219" t="s">
        <v>488</v>
      </c>
      <c r="J616" s="219" t="s">
        <v>8977</v>
      </c>
      <c r="K616" s="219">
        <v>3.5</v>
      </c>
      <c r="L616" s="219" t="s">
        <v>451</v>
      </c>
      <c r="M616" s="219">
        <v>5000000</v>
      </c>
      <c r="N616" s="219" t="s">
        <v>452</v>
      </c>
      <c r="O616" s="219" t="s">
        <v>8978</v>
      </c>
      <c r="P616" s="219"/>
      <c r="Q616" s="322" t="s">
        <v>24</v>
      </c>
      <c r="R616" s="251"/>
      <c r="S616" s="219"/>
      <c r="T616" s="219"/>
      <c r="U616" s="219"/>
      <c r="V616" s="219"/>
      <c r="W616" s="219"/>
      <c r="X616" s="219"/>
      <c r="Y616" s="219"/>
      <c r="Z616" s="219"/>
    </row>
    <row r="617" spans="1:26" ht="15.75" customHeight="1">
      <c r="A617" s="253">
        <v>44791</v>
      </c>
      <c r="B617" s="224" t="s">
        <v>5130</v>
      </c>
      <c r="C617" s="316">
        <v>3.25</v>
      </c>
      <c r="D617" s="224" t="s">
        <v>5133</v>
      </c>
      <c r="E617" s="224" t="s">
        <v>4</v>
      </c>
      <c r="F617" s="224" t="s">
        <v>725</v>
      </c>
      <c r="G617" s="224" t="s">
        <v>10867</v>
      </c>
      <c r="H617" s="224">
        <v>3.5</v>
      </c>
      <c r="I617" s="224" t="s">
        <v>1045</v>
      </c>
      <c r="J617" s="224" t="s">
        <v>5135</v>
      </c>
      <c r="K617" s="224">
        <v>3</v>
      </c>
      <c r="L617" s="224" t="s">
        <v>451</v>
      </c>
      <c r="M617" s="224">
        <v>3000000</v>
      </c>
      <c r="N617" s="224" t="s">
        <v>454</v>
      </c>
      <c r="O617" s="224" t="s">
        <v>10868</v>
      </c>
      <c r="P617" s="224" t="s">
        <v>5137</v>
      </c>
      <c r="Q617" s="322" t="s">
        <v>24</v>
      </c>
      <c r="R617" s="254"/>
      <c r="S617" s="224"/>
      <c r="T617" s="224"/>
      <c r="U617" s="224"/>
      <c r="V617" s="224"/>
      <c r="W617" s="224"/>
      <c r="X617" s="224"/>
      <c r="Y617" s="224"/>
      <c r="Z617" s="224"/>
    </row>
    <row r="618" spans="1:26" ht="15.75" customHeight="1">
      <c r="A618" s="257">
        <v>44791</v>
      </c>
      <c r="B618" s="258" t="s">
        <v>5262</v>
      </c>
      <c r="C618" s="263">
        <v>3.25</v>
      </c>
      <c r="D618" s="258" t="s">
        <v>5265</v>
      </c>
      <c r="E618" s="258" t="s">
        <v>4</v>
      </c>
      <c r="F618" s="258" t="s">
        <v>602</v>
      </c>
      <c r="G618" s="258" t="s">
        <v>5266</v>
      </c>
      <c r="H618" s="258">
        <v>4</v>
      </c>
      <c r="I618" s="258" t="s">
        <v>476</v>
      </c>
      <c r="J618" s="258" t="s">
        <v>11679</v>
      </c>
      <c r="K618" s="258">
        <v>2.5</v>
      </c>
      <c r="L618" s="258" t="s">
        <v>973</v>
      </c>
      <c r="M618" s="309">
        <v>50000000</v>
      </c>
      <c r="N618" s="258" t="s">
        <v>452</v>
      </c>
      <c r="O618" s="258" t="s">
        <v>452</v>
      </c>
      <c r="P618" s="258"/>
      <c r="Q618" s="258" t="s">
        <v>24</v>
      </c>
      <c r="R618" s="259" t="s">
        <v>5268</v>
      </c>
      <c r="S618" s="258"/>
      <c r="T618" s="258"/>
      <c r="U618" s="258"/>
      <c r="V618" s="258"/>
      <c r="W618" s="258"/>
      <c r="X618" s="258"/>
      <c r="Y618" s="258"/>
      <c r="Z618" s="258"/>
    </row>
    <row r="619" spans="1:26" ht="15.75" customHeight="1">
      <c r="A619" s="253">
        <v>44791</v>
      </c>
      <c r="B619" s="224" t="s">
        <v>2895</v>
      </c>
      <c r="C619" s="316">
        <v>3.25</v>
      </c>
      <c r="D619" s="224" t="s">
        <v>10908</v>
      </c>
      <c r="E619" s="224" t="s">
        <v>5</v>
      </c>
      <c r="F619" s="224" t="s">
        <v>447</v>
      </c>
      <c r="G619" s="224" t="s">
        <v>10909</v>
      </c>
      <c r="H619" s="224">
        <v>3</v>
      </c>
      <c r="I619" s="224" t="s">
        <v>543</v>
      </c>
      <c r="J619" s="224" t="s">
        <v>11680</v>
      </c>
      <c r="K619" s="224">
        <v>3.5</v>
      </c>
      <c r="L619" s="224" t="s">
        <v>451</v>
      </c>
      <c r="M619" s="307">
        <v>7000000</v>
      </c>
      <c r="N619" s="224" t="s">
        <v>452</v>
      </c>
      <c r="O619" s="224" t="s">
        <v>2901</v>
      </c>
      <c r="P619" s="224"/>
      <c r="Q619" s="322" t="s">
        <v>24</v>
      </c>
      <c r="R619" s="254"/>
      <c r="S619" s="224"/>
      <c r="T619" s="224"/>
      <c r="U619" s="224"/>
      <c r="V619" s="224"/>
      <c r="W619" s="224"/>
      <c r="X619" s="224"/>
      <c r="Y619" s="224"/>
      <c r="Z619" s="224"/>
    </row>
    <row r="620" spans="1:26" ht="15.75" customHeight="1">
      <c r="A620" s="248">
        <v>44791</v>
      </c>
      <c r="B620" s="219" t="s">
        <v>5193</v>
      </c>
      <c r="C620" s="315">
        <v>3.25</v>
      </c>
      <c r="D620" s="219" t="s">
        <v>5196</v>
      </c>
      <c r="E620" s="219" t="s">
        <v>4</v>
      </c>
      <c r="F620" s="219" t="s">
        <v>725</v>
      </c>
      <c r="G620" s="219" t="s">
        <v>10926</v>
      </c>
      <c r="H620" s="219">
        <v>3.5</v>
      </c>
      <c r="I620" s="219" t="s">
        <v>1045</v>
      </c>
      <c r="J620" s="219" t="s">
        <v>10927</v>
      </c>
      <c r="K620" s="219">
        <v>3</v>
      </c>
      <c r="L620" s="219"/>
      <c r="M620" s="219"/>
      <c r="N620" s="219" t="s">
        <v>454</v>
      </c>
      <c r="O620" s="219" t="s">
        <v>452</v>
      </c>
      <c r="P620" s="219"/>
      <c r="Q620" s="322" t="s">
        <v>24</v>
      </c>
      <c r="R620" s="251"/>
      <c r="S620" s="219"/>
      <c r="T620" s="219"/>
      <c r="U620" s="219"/>
      <c r="V620" s="219"/>
      <c r="W620" s="219"/>
      <c r="X620" s="219"/>
      <c r="Y620" s="219"/>
      <c r="Z620" s="219"/>
    </row>
    <row r="621" spans="1:26" ht="15.75" customHeight="1">
      <c r="A621" s="253">
        <v>44791</v>
      </c>
      <c r="B621" s="224" t="s">
        <v>2344</v>
      </c>
      <c r="C621" s="316">
        <v>3.25</v>
      </c>
      <c r="D621" s="224" t="s">
        <v>2347</v>
      </c>
      <c r="E621" s="224" t="s">
        <v>5</v>
      </c>
      <c r="F621" s="224" t="s">
        <v>447</v>
      </c>
      <c r="G621" s="224" t="s">
        <v>10934</v>
      </c>
      <c r="H621" s="224">
        <v>3.5</v>
      </c>
      <c r="I621" s="224" t="s">
        <v>449</v>
      </c>
      <c r="J621" s="224" t="s">
        <v>11681</v>
      </c>
      <c r="K621" s="224">
        <v>3</v>
      </c>
      <c r="L621" s="224" t="s">
        <v>451</v>
      </c>
      <c r="M621" s="224">
        <v>1500000</v>
      </c>
      <c r="N621" s="224" t="s">
        <v>452</v>
      </c>
      <c r="O621" s="224" t="s">
        <v>2350</v>
      </c>
      <c r="P621" s="224"/>
      <c r="Q621" s="322" t="s">
        <v>24</v>
      </c>
      <c r="R621" s="254"/>
      <c r="S621" s="224"/>
      <c r="T621" s="224"/>
      <c r="U621" s="224"/>
      <c r="V621" s="224"/>
      <c r="W621" s="224"/>
      <c r="X621" s="224"/>
      <c r="Y621" s="224"/>
      <c r="Z621" s="224"/>
    </row>
    <row r="622" spans="1:26" ht="15.75" customHeight="1">
      <c r="A622" s="255">
        <v>44791</v>
      </c>
      <c r="B622" s="239" t="s">
        <v>10951</v>
      </c>
      <c r="C622" s="262">
        <v>3.25</v>
      </c>
      <c r="D622" s="239" t="s">
        <v>2374</v>
      </c>
      <c r="E622" s="239" t="s">
        <v>5</v>
      </c>
      <c r="F622" s="239" t="s">
        <v>447</v>
      </c>
      <c r="G622" s="239" t="s">
        <v>10952</v>
      </c>
      <c r="H622" s="239">
        <v>3</v>
      </c>
      <c r="I622" s="239" t="s">
        <v>449</v>
      </c>
      <c r="J622" s="239" t="s">
        <v>11682</v>
      </c>
      <c r="K622" s="239">
        <v>3.5</v>
      </c>
      <c r="L622" s="239"/>
      <c r="M622" s="239"/>
      <c r="N622" s="239" t="s">
        <v>452</v>
      </c>
      <c r="O622" s="239" t="s">
        <v>10954</v>
      </c>
      <c r="P622" s="239"/>
      <c r="Q622" s="239" t="s">
        <v>24</v>
      </c>
      <c r="R622" s="256"/>
      <c r="S622" s="239"/>
      <c r="T622" s="239"/>
      <c r="U622" s="239"/>
      <c r="V622" s="239"/>
      <c r="W622" s="239"/>
      <c r="X622" s="239"/>
      <c r="Y622" s="239"/>
      <c r="Z622" s="239"/>
    </row>
    <row r="623" spans="1:26" ht="15.75" customHeight="1">
      <c r="A623" s="255">
        <v>44791</v>
      </c>
      <c r="B623" s="239" t="s">
        <v>2156</v>
      </c>
      <c r="C623" s="262">
        <v>3.25</v>
      </c>
      <c r="D623" s="239" t="s">
        <v>2159</v>
      </c>
      <c r="E623" s="239" t="s">
        <v>5</v>
      </c>
      <c r="F623" s="239" t="s">
        <v>447</v>
      </c>
      <c r="G623" s="239" t="s">
        <v>10981</v>
      </c>
      <c r="H623" s="239">
        <v>3.5</v>
      </c>
      <c r="I623" s="239" t="s">
        <v>543</v>
      </c>
      <c r="J623" s="239" t="s">
        <v>11683</v>
      </c>
      <c r="K623" s="239">
        <v>3</v>
      </c>
      <c r="L623" s="239" t="s">
        <v>478</v>
      </c>
      <c r="M623" s="314">
        <v>6000000</v>
      </c>
      <c r="N623" s="239" t="s">
        <v>452</v>
      </c>
      <c r="O623" s="239" t="s">
        <v>2162</v>
      </c>
      <c r="P623" s="239"/>
      <c r="Q623" s="239" t="s">
        <v>24</v>
      </c>
      <c r="R623" s="256"/>
      <c r="S623" s="239"/>
      <c r="T623" s="239"/>
      <c r="U623" s="239"/>
      <c r="V623" s="239"/>
      <c r="W623" s="239"/>
      <c r="X623" s="239"/>
      <c r="Y623" s="239"/>
      <c r="Z623" s="239"/>
    </row>
    <row r="624" spans="1:26" ht="15.75" customHeight="1">
      <c r="A624" s="248">
        <v>44791</v>
      </c>
      <c r="B624" s="219" t="s">
        <v>5253</v>
      </c>
      <c r="C624" s="315">
        <v>3.25</v>
      </c>
      <c r="D624" s="219" t="s">
        <v>5256</v>
      </c>
      <c r="E624" s="219" t="s">
        <v>4</v>
      </c>
      <c r="F624" s="219" t="s">
        <v>602</v>
      </c>
      <c r="G624" s="219" t="s">
        <v>5257</v>
      </c>
      <c r="H624" s="219">
        <v>3</v>
      </c>
      <c r="I624" s="219" t="s">
        <v>1054</v>
      </c>
      <c r="J624" s="219" t="s">
        <v>5258</v>
      </c>
      <c r="K624" s="219">
        <v>3.5</v>
      </c>
      <c r="L624" s="219"/>
      <c r="M624" s="312"/>
      <c r="N624" s="219" t="s">
        <v>452</v>
      </c>
      <c r="O624" s="219" t="s">
        <v>5259</v>
      </c>
      <c r="P624" s="219"/>
      <c r="Q624" s="322" t="s">
        <v>24</v>
      </c>
      <c r="R624" s="251"/>
      <c r="S624" s="219"/>
      <c r="T624" s="219"/>
      <c r="U624" s="219"/>
      <c r="V624" s="219"/>
      <c r="W624" s="219"/>
      <c r="X624" s="219"/>
      <c r="Y624" s="219"/>
      <c r="Z624" s="219"/>
    </row>
    <row r="625" spans="1:26" ht="15.75" customHeight="1">
      <c r="A625" s="253">
        <v>44791</v>
      </c>
      <c r="B625" s="224" t="s">
        <v>8814</v>
      </c>
      <c r="C625" s="316">
        <v>3.25</v>
      </c>
      <c r="D625" s="224" t="s">
        <v>8817</v>
      </c>
      <c r="E625" s="224" t="s">
        <v>3</v>
      </c>
      <c r="F625" s="224" t="s">
        <v>460</v>
      </c>
      <c r="G625" s="224" t="s">
        <v>8818</v>
      </c>
      <c r="H625" s="224">
        <v>3</v>
      </c>
      <c r="I625" s="224" t="s">
        <v>462</v>
      </c>
      <c r="J625" s="224" t="s">
        <v>8819</v>
      </c>
      <c r="K625" s="224">
        <v>3.5</v>
      </c>
      <c r="L625" s="224" t="s">
        <v>478</v>
      </c>
      <c r="M625" s="224" t="s">
        <v>8820</v>
      </c>
      <c r="N625" s="224" t="s">
        <v>452</v>
      </c>
      <c r="O625" s="224" t="s">
        <v>452</v>
      </c>
      <c r="P625" s="224"/>
      <c r="Q625" s="322" t="s">
        <v>24</v>
      </c>
      <c r="R625" s="254"/>
      <c r="S625" s="224"/>
      <c r="T625" s="224"/>
      <c r="U625" s="224"/>
      <c r="V625" s="224"/>
      <c r="W625" s="224"/>
      <c r="X625" s="224"/>
      <c r="Y625" s="224"/>
      <c r="Z625" s="224"/>
    </row>
    <row r="626" spans="1:26" ht="15.75" customHeight="1">
      <c r="A626" s="257">
        <v>44791</v>
      </c>
      <c r="B626" s="258" t="s">
        <v>4996</v>
      </c>
      <c r="C626" s="263">
        <v>3.25</v>
      </c>
      <c r="D626" s="258" t="s">
        <v>4999</v>
      </c>
      <c r="E626" s="258" t="s">
        <v>4</v>
      </c>
      <c r="F626" s="258" t="s">
        <v>602</v>
      </c>
      <c r="G626" s="258" t="s">
        <v>5000</v>
      </c>
      <c r="H626" s="258">
        <v>2.5</v>
      </c>
      <c r="I626" s="258" t="s">
        <v>990</v>
      </c>
      <c r="J626" s="258" t="s">
        <v>5001</v>
      </c>
      <c r="K626" s="258">
        <v>4</v>
      </c>
      <c r="L626" s="258" t="s">
        <v>451</v>
      </c>
      <c r="M626" s="261">
        <v>500000</v>
      </c>
      <c r="N626" s="258" t="s">
        <v>452</v>
      </c>
      <c r="O626" s="258" t="s">
        <v>5002</v>
      </c>
      <c r="P626" s="258"/>
      <c r="Q626" s="258" t="s">
        <v>24</v>
      </c>
      <c r="R626" s="259"/>
      <c r="S626" s="258"/>
      <c r="T626" s="258"/>
      <c r="U626" s="258"/>
      <c r="V626" s="258"/>
      <c r="W626" s="258"/>
      <c r="X626" s="258"/>
      <c r="Y626" s="258"/>
      <c r="Z626" s="258"/>
    </row>
    <row r="627" spans="1:26" ht="15.75" customHeight="1">
      <c r="A627" s="253">
        <v>44791</v>
      </c>
      <c r="B627" s="224" t="s">
        <v>5019</v>
      </c>
      <c r="C627" s="316">
        <v>3.25</v>
      </c>
      <c r="D627" s="224" t="s">
        <v>5022</v>
      </c>
      <c r="E627" s="224" t="s">
        <v>4</v>
      </c>
      <c r="F627" s="224" t="s">
        <v>602</v>
      </c>
      <c r="G627" s="224" t="s">
        <v>5023</v>
      </c>
      <c r="H627" s="224">
        <v>3.5</v>
      </c>
      <c r="I627" s="224" t="s">
        <v>1073</v>
      </c>
      <c r="J627" s="224"/>
      <c r="K627" s="224">
        <v>3</v>
      </c>
      <c r="L627" s="224" t="s">
        <v>451</v>
      </c>
      <c r="M627" s="307">
        <v>4000000</v>
      </c>
      <c r="N627" s="224" t="s">
        <v>452</v>
      </c>
      <c r="O627" s="224" t="s">
        <v>11005</v>
      </c>
      <c r="P627" s="224"/>
      <c r="Q627" s="322" t="s">
        <v>24</v>
      </c>
      <c r="R627" s="254"/>
      <c r="S627" s="224"/>
      <c r="T627" s="224"/>
      <c r="U627" s="224"/>
      <c r="V627" s="224"/>
      <c r="W627" s="224"/>
      <c r="X627" s="224"/>
      <c r="Y627" s="224"/>
      <c r="Z627" s="224"/>
    </row>
    <row r="628" spans="1:26" ht="15.75" customHeight="1">
      <c r="A628" s="248">
        <v>44791</v>
      </c>
      <c r="B628" s="219" t="s">
        <v>3133</v>
      </c>
      <c r="C628" s="315">
        <v>3.25</v>
      </c>
      <c r="D628" s="219" t="s">
        <v>3136</v>
      </c>
      <c r="E628" s="219" t="s">
        <v>5</v>
      </c>
      <c r="F628" s="219" t="s">
        <v>447</v>
      </c>
      <c r="G628" s="219" t="s">
        <v>11014</v>
      </c>
      <c r="H628" s="219">
        <v>3</v>
      </c>
      <c r="I628" s="219" t="s">
        <v>622</v>
      </c>
      <c r="J628" s="219"/>
      <c r="K628" s="219">
        <v>3.5</v>
      </c>
      <c r="L628" s="219" t="s">
        <v>3138</v>
      </c>
      <c r="M628" s="312">
        <v>2</v>
      </c>
      <c r="N628" s="219" t="s">
        <v>452</v>
      </c>
      <c r="O628" s="219" t="s">
        <v>452</v>
      </c>
      <c r="P628" s="219"/>
      <c r="Q628" s="322" t="s">
        <v>24</v>
      </c>
      <c r="R628" s="251"/>
      <c r="S628" s="219"/>
      <c r="T628" s="219"/>
      <c r="U628" s="219"/>
      <c r="V628" s="219"/>
      <c r="W628" s="219"/>
      <c r="X628" s="219"/>
      <c r="Y628" s="219"/>
      <c r="Z628" s="219"/>
    </row>
    <row r="629" spans="1:26" ht="15.75" customHeight="1">
      <c r="A629" s="253">
        <v>44791</v>
      </c>
      <c r="B629" s="224" t="s">
        <v>9041</v>
      </c>
      <c r="C629" s="316">
        <v>3.25</v>
      </c>
      <c r="D629" s="224" t="s">
        <v>9044</v>
      </c>
      <c r="E629" s="224" t="s">
        <v>3</v>
      </c>
      <c r="F629" s="224" t="s">
        <v>460</v>
      </c>
      <c r="G629" s="224" t="s">
        <v>9045</v>
      </c>
      <c r="H629" s="224">
        <v>3.5</v>
      </c>
      <c r="I629" s="224" t="s">
        <v>941</v>
      </c>
      <c r="J629" s="224" t="s">
        <v>9046</v>
      </c>
      <c r="K629" s="224">
        <v>3</v>
      </c>
      <c r="L629" s="224" t="s">
        <v>973</v>
      </c>
      <c r="M629" s="224" t="s">
        <v>9047</v>
      </c>
      <c r="N629" s="224" t="s">
        <v>452</v>
      </c>
      <c r="O629" s="224" t="s">
        <v>9048</v>
      </c>
      <c r="P629" s="224"/>
      <c r="Q629" s="322" t="s">
        <v>24</v>
      </c>
      <c r="R629" s="254"/>
      <c r="S629" s="224"/>
      <c r="T629" s="224"/>
      <c r="U629" s="224"/>
      <c r="V629" s="224"/>
      <c r="W629" s="224"/>
      <c r="X629" s="224"/>
      <c r="Y629" s="224"/>
      <c r="Z629" s="224"/>
    </row>
    <row r="630" spans="1:26" ht="15.75" customHeight="1">
      <c r="A630" s="248">
        <v>44791</v>
      </c>
      <c r="B630" s="219" t="s">
        <v>5308</v>
      </c>
      <c r="C630" s="315">
        <v>3.25</v>
      </c>
      <c r="D630" s="219" t="s">
        <v>11062</v>
      </c>
      <c r="E630" s="219" t="s">
        <v>4</v>
      </c>
      <c r="F630" s="219" t="s">
        <v>725</v>
      </c>
      <c r="G630" s="219" t="s">
        <v>11063</v>
      </c>
      <c r="H630" s="219">
        <v>3</v>
      </c>
      <c r="I630" s="219" t="s">
        <v>1054</v>
      </c>
      <c r="J630" s="219" t="s">
        <v>11064</v>
      </c>
      <c r="K630" s="219">
        <v>3.5</v>
      </c>
      <c r="L630" s="219" t="s">
        <v>784</v>
      </c>
      <c r="M630" s="219">
        <v>1800000</v>
      </c>
      <c r="N630" s="219" t="s">
        <v>454</v>
      </c>
      <c r="O630" s="219" t="s">
        <v>11065</v>
      </c>
      <c r="P630" s="219" t="s">
        <v>5315</v>
      </c>
      <c r="Q630" s="322" t="s">
        <v>24</v>
      </c>
      <c r="R630" s="251"/>
      <c r="S630" s="219"/>
      <c r="T630" s="219"/>
      <c r="U630" s="219"/>
      <c r="V630" s="219"/>
      <c r="W630" s="219"/>
      <c r="X630" s="219"/>
      <c r="Y630" s="219"/>
      <c r="Z630" s="219"/>
    </row>
    <row r="631" spans="1:26" ht="15.75" customHeight="1">
      <c r="A631" s="257">
        <v>44791</v>
      </c>
      <c r="B631" s="258" t="s">
        <v>383</v>
      </c>
      <c r="C631" s="263">
        <v>3.25</v>
      </c>
      <c r="D631" s="258" t="s">
        <v>9911</v>
      </c>
      <c r="E631" s="258" t="s">
        <v>3</v>
      </c>
      <c r="F631" s="258" t="s">
        <v>488</v>
      </c>
      <c r="G631" s="258" t="s">
        <v>11138</v>
      </c>
      <c r="H631" s="258">
        <v>3.5</v>
      </c>
      <c r="I631" s="258" t="s">
        <v>941</v>
      </c>
      <c r="J631" s="258" t="s">
        <v>9913</v>
      </c>
      <c r="K631" s="258">
        <v>3</v>
      </c>
      <c r="L631" s="258"/>
      <c r="M631" s="258"/>
      <c r="N631" s="258" t="s">
        <v>465</v>
      </c>
      <c r="O631" s="258" t="s">
        <v>9914</v>
      </c>
      <c r="P631" s="258"/>
      <c r="Q631" s="258" t="s">
        <v>19</v>
      </c>
      <c r="R631" s="259"/>
      <c r="S631" s="258"/>
      <c r="T631" s="258"/>
      <c r="U631" s="258"/>
      <c r="V631" s="258"/>
      <c r="W631" s="258"/>
      <c r="X631" s="258"/>
      <c r="Y631" s="258"/>
      <c r="Z631" s="258"/>
    </row>
    <row r="632" spans="1:26" ht="15.75" customHeight="1">
      <c r="A632" s="255">
        <v>44791</v>
      </c>
      <c r="B632" s="239" t="s">
        <v>307</v>
      </c>
      <c r="C632" s="262">
        <v>3.25</v>
      </c>
      <c r="D632" s="239" t="s">
        <v>9424</v>
      </c>
      <c r="E632" s="239" t="s">
        <v>4</v>
      </c>
      <c r="F632" s="239" t="s">
        <v>447</v>
      </c>
      <c r="G632" s="239" t="s">
        <v>11290</v>
      </c>
      <c r="H632" s="239">
        <v>3.5</v>
      </c>
      <c r="I632" s="239" t="s">
        <v>543</v>
      </c>
      <c r="J632" s="239" t="s">
        <v>11684</v>
      </c>
      <c r="K632" s="239">
        <v>3</v>
      </c>
      <c r="L632" s="239"/>
      <c r="M632" s="308"/>
      <c r="N632" s="239" t="s">
        <v>452</v>
      </c>
      <c r="O632" s="239" t="s">
        <v>452</v>
      </c>
      <c r="P632" s="239"/>
      <c r="Q632" s="239" t="s">
        <v>19</v>
      </c>
      <c r="R632" s="256" t="s">
        <v>9427</v>
      </c>
      <c r="S632" s="239"/>
      <c r="T632" s="239"/>
      <c r="U632" s="239"/>
      <c r="V632" s="239"/>
      <c r="W632" s="239"/>
      <c r="X632" s="239"/>
      <c r="Y632" s="239"/>
      <c r="Z632" s="239"/>
    </row>
    <row r="633" spans="1:26" ht="15.75" customHeight="1">
      <c r="A633" s="255">
        <v>44791</v>
      </c>
      <c r="B633" s="239" t="s">
        <v>2174</v>
      </c>
      <c r="C633" s="262">
        <v>3.25</v>
      </c>
      <c r="D633" s="239" t="s">
        <v>11685</v>
      </c>
      <c r="E633" s="239" t="s">
        <v>5</v>
      </c>
      <c r="F633" s="239" t="s">
        <v>5</v>
      </c>
      <c r="G633" s="239" t="s">
        <v>2177</v>
      </c>
      <c r="H633" s="239">
        <v>3.5</v>
      </c>
      <c r="I633" s="239" t="s">
        <v>941</v>
      </c>
      <c r="J633" s="239" t="s">
        <v>2178</v>
      </c>
      <c r="K633" s="239">
        <v>3</v>
      </c>
      <c r="L633" s="239" t="s">
        <v>2152</v>
      </c>
      <c r="M633" s="239" t="s">
        <v>2179</v>
      </c>
      <c r="N633" s="239" t="s">
        <v>452</v>
      </c>
      <c r="O633" s="239" t="s">
        <v>1119</v>
      </c>
      <c r="P633" s="239" t="s">
        <v>2180</v>
      </c>
      <c r="Q633" s="239" t="s">
        <v>24</v>
      </c>
      <c r="R633" s="256" t="s">
        <v>11686</v>
      </c>
      <c r="S633" s="239"/>
      <c r="T633" s="239"/>
      <c r="U633" s="239"/>
      <c r="V633" s="239"/>
      <c r="W633" s="239"/>
      <c r="X633" s="239"/>
      <c r="Y633" s="239"/>
      <c r="Z633" s="239"/>
    </row>
    <row r="634" spans="1:26" ht="15.75" customHeight="1">
      <c r="A634" s="257">
        <v>44791</v>
      </c>
      <c r="B634" s="258" t="s">
        <v>9934</v>
      </c>
      <c r="C634" s="263">
        <v>3.25</v>
      </c>
      <c r="D634" s="258" t="s">
        <v>9937</v>
      </c>
      <c r="E634" s="258" t="s">
        <v>3</v>
      </c>
      <c r="F634" s="258" t="s">
        <v>460</v>
      </c>
      <c r="G634" s="258" t="s">
        <v>9938</v>
      </c>
      <c r="H634" s="258">
        <v>3</v>
      </c>
      <c r="I634" s="258" t="s">
        <v>941</v>
      </c>
      <c r="J634" s="258" t="s">
        <v>9939</v>
      </c>
      <c r="K634" s="258">
        <v>3.5</v>
      </c>
      <c r="L634" s="258"/>
      <c r="M634" s="258"/>
      <c r="N634" s="258" t="s">
        <v>454</v>
      </c>
      <c r="O634" s="258" t="s">
        <v>10891</v>
      </c>
      <c r="P634" s="258"/>
      <c r="Q634" s="258" t="s">
        <v>23</v>
      </c>
      <c r="R634" s="259" t="s">
        <v>9941</v>
      </c>
      <c r="S634" s="258"/>
      <c r="T634" s="258"/>
      <c r="U634" s="258"/>
      <c r="V634" s="258"/>
      <c r="W634" s="258"/>
      <c r="X634" s="258"/>
      <c r="Y634" s="258"/>
      <c r="Z634" s="258"/>
    </row>
    <row r="635" spans="1:26" ht="15.75" customHeight="1">
      <c r="A635" s="253">
        <v>44791</v>
      </c>
      <c r="B635" s="224" t="s">
        <v>8714</v>
      </c>
      <c r="C635" s="316">
        <v>3</v>
      </c>
      <c r="D635" s="224" t="s">
        <v>8717</v>
      </c>
      <c r="E635" s="224" t="s">
        <v>3</v>
      </c>
      <c r="F635" s="224" t="s">
        <v>460</v>
      </c>
      <c r="G635" s="224" t="s">
        <v>8718</v>
      </c>
      <c r="H635" s="224">
        <v>2.5</v>
      </c>
      <c r="I635" s="224" t="s">
        <v>462</v>
      </c>
      <c r="J635" s="224" t="s">
        <v>8719</v>
      </c>
      <c r="K635" s="224">
        <v>3.5</v>
      </c>
      <c r="L635" s="224"/>
      <c r="M635" s="224"/>
      <c r="N635" s="224" t="s">
        <v>452</v>
      </c>
      <c r="O635" s="224" t="s">
        <v>11687</v>
      </c>
      <c r="P635" s="224"/>
      <c r="Q635" s="322" t="s">
        <v>24</v>
      </c>
      <c r="R635" s="254"/>
      <c r="S635" s="224"/>
      <c r="T635" s="224"/>
      <c r="U635" s="224"/>
      <c r="V635" s="224"/>
      <c r="W635" s="224"/>
      <c r="X635" s="224"/>
      <c r="Y635" s="224"/>
      <c r="Z635" s="224"/>
    </row>
    <row r="636" spans="1:26" ht="15.75" customHeight="1">
      <c r="A636" s="248">
        <v>44791</v>
      </c>
      <c r="B636" s="219" t="s">
        <v>5468</v>
      </c>
      <c r="C636" s="315">
        <v>3</v>
      </c>
      <c r="D636" s="219" t="s">
        <v>5471</v>
      </c>
      <c r="E636" s="219" t="s">
        <v>4</v>
      </c>
      <c r="F636" s="219" t="s">
        <v>725</v>
      </c>
      <c r="G636" s="219"/>
      <c r="H636" s="219">
        <v>3</v>
      </c>
      <c r="I636" s="219" t="s">
        <v>1045</v>
      </c>
      <c r="J636" s="219" t="s">
        <v>5472</v>
      </c>
      <c r="K636" s="219">
        <v>3</v>
      </c>
      <c r="L636" s="219" t="s">
        <v>784</v>
      </c>
      <c r="M636" s="219">
        <v>300000</v>
      </c>
      <c r="N636" s="219" t="s">
        <v>452</v>
      </c>
      <c r="O636" s="219" t="s">
        <v>5473</v>
      </c>
      <c r="P636" s="219"/>
      <c r="Q636" s="322" t="s">
        <v>24</v>
      </c>
      <c r="R636" s="251"/>
      <c r="S636" s="219"/>
      <c r="T636" s="219"/>
      <c r="U636" s="219"/>
      <c r="V636" s="219"/>
      <c r="W636" s="219"/>
      <c r="X636" s="219"/>
      <c r="Y636" s="219"/>
      <c r="Z636" s="219"/>
    </row>
    <row r="637" spans="1:26" ht="15.75" customHeight="1">
      <c r="A637" s="253">
        <v>44791</v>
      </c>
      <c r="B637" s="224" t="s">
        <v>5748</v>
      </c>
      <c r="C637" s="316">
        <v>3</v>
      </c>
      <c r="D637" s="224" t="s">
        <v>10506</v>
      </c>
      <c r="E637" s="224" t="s">
        <v>4</v>
      </c>
      <c r="F637" s="224" t="s">
        <v>727</v>
      </c>
      <c r="G637" s="224" t="s">
        <v>10507</v>
      </c>
      <c r="H637" s="224">
        <v>3</v>
      </c>
      <c r="I637" s="224" t="s">
        <v>1457</v>
      </c>
      <c r="J637" s="224" t="s">
        <v>5753</v>
      </c>
      <c r="K637" s="224">
        <v>3</v>
      </c>
      <c r="L637" s="224" t="s">
        <v>784</v>
      </c>
      <c r="M637" s="311">
        <v>1500000</v>
      </c>
      <c r="N637" s="224" t="s">
        <v>465</v>
      </c>
      <c r="O637" s="224" t="s">
        <v>5754</v>
      </c>
      <c r="P637" s="224" t="s">
        <v>725</v>
      </c>
      <c r="Q637" s="322" t="s">
        <v>24</v>
      </c>
      <c r="R637" s="254"/>
      <c r="S637" s="224"/>
      <c r="T637" s="224"/>
      <c r="U637" s="224"/>
      <c r="V637" s="224"/>
      <c r="W637" s="224"/>
      <c r="X637" s="224"/>
      <c r="Y637" s="224"/>
      <c r="Z637" s="224"/>
    </row>
    <row r="638" spans="1:26" ht="15.75" customHeight="1">
      <c r="A638" s="248">
        <v>44791</v>
      </c>
      <c r="B638" s="219" t="s">
        <v>5512</v>
      </c>
      <c r="C638" s="315">
        <v>3</v>
      </c>
      <c r="D638" s="219" t="s">
        <v>5515</v>
      </c>
      <c r="E638" s="219" t="s">
        <v>4</v>
      </c>
      <c r="F638" s="219" t="s">
        <v>727</v>
      </c>
      <c r="G638" s="219" t="s">
        <v>10510</v>
      </c>
      <c r="H638" s="219">
        <v>3</v>
      </c>
      <c r="I638" s="219" t="s">
        <v>604</v>
      </c>
      <c r="J638" s="219" t="s">
        <v>10511</v>
      </c>
      <c r="K638" s="219">
        <v>3</v>
      </c>
      <c r="L638" s="219" t="s">
        <v>451</v>
      </c>
      <c r="M638" s="312">
        <v>3500000</v>
      </c>
      <c r="N638" s="219" t="s">
        <v>452</v>
      </c>
      <c r="O638" s="219" t="s">
        <v>5518</v>
      </c>
      <c r="P638" s="219"/>
      <c r="Q638" s="322" t="s">
        <v>24</v>
      </c>
      <c r="R638" s="251"/>
      <c r="S638" s="219"/>
      <c r="T638" s="219"/>
      <c r="U638" s="219"/>
      <c r="V638" s="219"/>
      <c r="W638" s="219"/>
      <c r="X638" s="219"/>
      <c r="Y638" s="219"/>
      <c r="Z638" s="219"/>
    </row>
    <row r="639" spans="1:26" ht="15.75" customHeight="1">
      <c r="A639" s="253">
        <v>44791</v>
      </c>
      <c r="B639" s="224" t="s">
        <v>10524</v>
      </c>
      <c r="C639" s="316">
        <v>3</v>
      </c>
      <c r="D639" s="224" t="s">
        <v>9279</v>
      </c>
      <c r="E639" s="224" t="s">
        <v>3</v>
      </c>
      <c r="F639" s="224" t="s">
        <v>725</v>
      </c>
      <c r="G639" s="224" t="s">
        <v>10525</v>
      </c>
      <c r="H639" s="224">
        <v>3</v>
      </c>
      <c r="I639" s="224" t="s">
        <v>488</v>
      </c>
      <c r="J639" s="224" t="s">
        <v>10526</v>
      </c>
      <c r="K639" s="224">
        <v>3</v>
      </c>
      <c r="L639" s="224" t="s">
        <v>784</v>
      </c>
      <c r="M639" s="307">
        <v>500000</v>
      </c>
      <c r="N639" s="224" t="s">
        <v>452</v>
      </c>
      <c r="O639" s="224" t="s">
        <v>10527</v>
      </c>
      <c r="P639" s="224"/>
      <c r="Q639" s="322" t="s">
        <v>24</v>
      </c>
      <c r="R639" s="254"/>
      <c r="S639" s="224"/>
      <c r="T639" s="224"/>
      <c r="U639" s="224"/>
      <c r="V639" s="224"/>
      <c r="W639" s="224"/>
      <c r="X639" s="224"/>
      <c r="Y639" s="224"/>
      <c r="Z639" s="224"/>
    </row>
    <row r="640" spans="1:26" ht="15.75" customHeight="1">
      <c r="A640" s="248">
        <v>44791</v>
      </c>
      <c r="B640" s="219" t="s">
        <v>5476</v>
      </c>
      <c r="C640" s="315">
        <v>3</v>
      </c>
      <c r="D640" s="219" t="s">
        <v>5479</v>
      </c>
      <c r="E640" s="219" t="s">
        <v>4</v>
      </c>
      <c r="F640" s="219" t="s">
        <v>727</v>
      </c>
      <c r="G640" s="219" t="s">
        <v>10592</v>
      </c>
      <c r="H640" s="219">
        <v>3</v>
      </c>
      <c r="I640" s="219" t="s">
        <v>604</v>
      </c>
      <c r="J640" s="219" t="s">
        <v>5481</v>
      </c>
      <c r="K640" s="219">
        <v>3</v>
      </c>
      <c r="L640" s="219"/>
      <c r="M640" s="219"/>
      <c r="N640" s="219" t="s">
        <v>452</v>
      </c>
      <c r="O640" s="219" t="s">
        <v>5482</v>
      </c>
      <c r="P640" s="219" t="s">
        <v>5483</v>
      </c>
      <c r="Q640" s="322" t="s">
        <v>24</v>
      </c>
      <c r="R640" s="251"/>
      <c r="S640" s="219"/>
      <c r="T640" s="219"/>
      <c r="U640" s="219"/>
      <c r="V640" s="219"/>
      <c r="W640" s="219"/>
      <c r="X640" s="219"/>
      <c r="Y640" s="219"/>
      <c r="Z640" s="219"/>
    </row>
    <row r="641" spans="1:26" ht="15.75" customHeight="1">
      <c r="A641" s="253">
        <v>44791</v>
      </c>
      <c r="B641" s="224" t="s">
        <v>9623</v>
      </c>
      <c r="C641" s="316">
        <v>3</v>
      </c>
      <c r="D641" s="224" t="s">
        <v>9626</v>
      </c>
      <c r="E641" s="224" t="s">
        <v>4</v>
      </c>
      <c r="F641" s="224" t="s">
        <v>725</v>
      </c>
      <c r="G641" s="224" t="s">
        <v>10755</v>
      </c>
      <c r="H641" s="224">
        <v>3</v>
      </c>
      <c r="I641" s="224" t="s">
        <v>1045</v>
      </c>
      <c r="J641" s="224" t="s">
        <v>9628</v>
      </c>
      <c r="K641" s="224">
        <v>3</v>
      </c>
      <c r="L641" s="224" t="s">
        <v>784</v>
      </c>
      <c r="M641" s="311">
        <v>1500000</v>
      </c>
      <c r="N641" s="224" t="s">
        <v>454</v>
      </c>
      <c r="O641" s="224" t="s">
        <v>452</v>
      </c>
      <c r="P641" s="224"/>
      <c r="Q641" s="224" t="s">
        <v>23</v>
      </c>
      <c r="R641" s="254"/>
      <c r="S641" s="224"/>
      <c r="T641" s="224"/>
      <c r="U641" s="224"/>
      <c r="V641" s="224"/>
      <c r="W641" s="224"/>
      <c r="X641" s="224"/>
      <c r="Y641" s="224"/>
      <c r="Z641" s="224"/>
    </row>
    <row r="642" spans="1:26" ht="15.75" customHeight="1">
      <c r="A642" s="248">
        <v>44791</v>
      </c>
      <c r="B642" s="219" t="s">
        <v>3277</v>
      </c>
      <c r="C642" s="315">
        <v>3</v>
      </c>
      <c r="D642" s="219" t="s">
        <v>3280</v>
      </c>
      <c r="E642" s="219" t="s">
        <v>5</v>
      </c>
      <c r="F642" s="219" t="s">
        <v>447</v>
      </c>
      <c r="G642" s="219" t="s">
        <v>10879</v>
      </c>
      <c r="H642" s="219">
        <v>3</v>
      </c>
      <c r="I642" s="219" t="s">
        <v>543</v>
      </c>
      <c r="J642" s="219" t="s">
        <v>11688</v>
      </c>
      <c r="K642" s="219">
        <v>3</v>
      </c>
      <c r="L642" s="219"/>
      <c r="M642" s="219"/>
      <c r="N642" s="219" t="s">
        <v>452</v>
      </c>
      <c r="O642" s="219" t="s">
        <v>452</v>
      </c>
      <c r="P642" s="219"/>
      <c r="Q642" s="322" t="s">
        <v>24</v>
      </c>
      <c r="R642" s="251"/>
      <c r="S642" s="219"/>
      <c r="T642" s="219"/>
      <c r="U642" s="219"/>
      <c r="V642" s="219"/>
      <c r="W642" s="219"/>
      <c r="X642" s="219"/>
      <c r="Y642" s="219"/>
      <c r="Z642" s="219"/>
    </row>
    <row r="643" spans="1:26" ht="15.75" customHeight="1">
      <c r="A643" s="253">
        <v>44791</v>
      </c>
      <c r="B643" s="224" t="s">
        <v>5495</v>
      </c>
      <c r="C643" s="316">
        <v>3</v>
      </c>
      <c r="D643" s="224" t="s">
        <v>5498</v>
      </c>
      <c r="E643" s="224" t="s">
        <v>4</v>
      </c>
      <c r="F643" s="224" t="s">
        <v>602</v>
      </c>
      <c r="G643" s="224" t="s">
        <v>5499</v>
      </c>
      <c r="H643" s="224">
        <v>3</v>
      </c>
      <c r="I643" s="224" t="s">
        <v>604</v>
      </c>
      <c r="J643" s="224" t="s">
        <v>10889</v>
      </c>
      <c r="K643" s="224">
        <v>3</v>
      </c>
      <c r="L643" s="224"/>
      <c r="M643" s="307"/>
      <c r="N643" s="224" t="s">
        <v>452</v>
      </c>
      <c r="O643" s="224" t="s">
        <v>575</v>
      </c>
      <c r="P643" s="224"/>
      <c r="Q643" s="322" t="s">
        <v>24</v>
      </c>
      <c r="R643" s="254"/>
      <c r="S643" s="224"/>
      <c r="T643" s="224"/>
      <c r="U643" s="224"/>
      <c r="V643" s="224"/>
      <c r="W643" s="224"/>
      <c r="X643" s="224"/>
      <c r="Y643" s="224"/>
      <c r="Z643" s="224"/>
    </row>
    <row r="644" spans="1:26" ht="15.75" customHeight="1">
      <c r="A644" s="248">
        <v>44791</v>
      </c>
      <c r="B644" s="219" t="s">
        <v>8942</v>
      </c>
      <c r="C644" s="315">
        <v>3</v>
      </c>
      <c r="D644" s="219" t="s">
        <v>10913</v>
      </c>
      <c r="E644" s="219" t="s">
        <v>3</v>
      </c>
      <c r="F644" s="219" t="s">
        <v>460</v>
      </c>
      <c r="G644" s="219" t="s">
        <v>8946</v>
      </c>
      <c r="H644" s="219">
        <v>3</v>
      </c>
      <c r="I644" s="219" t="s">
        <v>462</v>
      </c>
      <c r="J644" s="219" t="s">
        <v>8947</v>
      </c>
      <c r="K644" s="219">
        <v>3</v>
      </c>
      <c r="L644" s="219"/>
      <c r="M644" s="219"/>
      <c r="N644" s="219" t="s">
        <v>454</v>
      </c>
      <c r="O644" s="219" t="s">
        <v>575</v>
      </c>
      <c r="P644" s="219" t="s">
        <v>8948</v>
      </c>
      <c r="Q644" s="322" t="s">
        <v>24</v>
      </c>
      <c r="R644" s="251"/>
      <c r="S644" s="219"/>
      <c r="T644" s="219"/>
      <c r="U644" s="219"/>
      <c r="V644" s="219"/>
      <c r="W644" s="219"/>
      <c r="X644" s="219"/>
      <c r="Y644" s="219"/>
      <c r="Z644" s="219"/>
    </row>
    <row r="645" spans="1:26" ht="15.75" customHeight="1">
      <c r="A645" s="253">
        <v>44791</v>
      </c>
      <c r="B645" s="224" t="s">
        <v>3587</v>
      </c>
      <c r="C645" s="316">
        <v>3</v>
      </c>
      <c r="D645" s="224" t="s">
        <v>3590</v>
      </c>
      <c r="E645" s="224" t="s">
        <v>5</v>
      </c>
      <c r="F645" s="224" t="s">
        <v>447</v>
      </c>
      <c r="G645" s="224" t="s">
        <v>10957</v>
      </c>
      <c r="H645" s="224">
        <v>3</v>
      </c>
      <c r="I645" s="224" t="s">
        <v>622</v>
      </c>
      <c r="J645" s="224"/>
      <c r="K645" s="224">
        <v>3</v>
      </c>
      <c r="L645" s="224" t="s">
        <v>478</v>
      </c>
      <c r="M645" s="224" t="s">
        <v>3592</v>
      </c>
      <c r="N645" s="224" t="s">
        <v>465</v>
      </c>
      <c r="O645" s="224" t="s">
        <v>3593</v>
      </c>
      <c r="P645" s="224"/>
      <c r="Q645" s="322" t="s">
        <v>24</v>
      </c>
      <c r="R645" s="254"/>
      <c r="S645" s="224"/>
      <c r="T645" s="224"/>
      <c r="U645" s="224"/>
      <c r="V645" s="224"/>
      <c r="W645" s="224"/>
      <c r="X645" s="224"/>
      <c r="Y645" s="224"/>
      <c r="Z645" s="224"/>
    </row>
    <row r="646" spans="1:26" ht="15.75" customHeight="1">
      <c r="A646" s="248">
        <v>44791</v>
      </c>
      <c r="B646" s="219" t="s">
        <v>2291</v>
      </c>
      <c r="C646" s="315">
        <v>3</v>
      </c>
      <c r="D646" s="219" t="s">
        <v>2294</v>
      </c>
      <c r="E646" s="219" t="s">
        <v>5</v>
      </c>
      <c r="F646" s="219" t="s">
        <v>447</v>
      </c>
      <c r="G646" s="219" t="s">
        <v>10983</v>
      </c>
      <c r="H646" s="219">
        <v>2.5</v>
      </c>
      <c r="I646" s="219" t="s">
        <v>449</v>
      </c>
      <c r="J646" s="219" t="s">
        <v>11689</v>
      </c>
      <c r="K646" s="219">
        <v>3.5</v>
      </c>
      <c r="L646" s="219" t="s">
        <v>784</v>
      </c>
      <c r="M646" s="312">
        <v>75000</v>
      </c>
      <c r="N646" s="219" t="s">
        <v>465</v>
      </c>
      <c r="O646" s="219" t="s">
        <v>2297</v>
      </c>
      <c r="P646" s="219" t="s">
        <v>2298</v>
      </c>
      <c r="Q646" s="322" t="s">
        <v>24</v>
      </c>
      <c r="R646" s="251"/>
      <c r="S646" s="219"/>
      <c r="T646" s="219"/>
      <c r="U646" s="219"/>
      <c r="V646" s="219"/>
      <c r="W646" s="219"/>
      <c r="X646" s="219"/>
      <c r="Y646" s="219"/>
      <c r="Z646" s="219"/>
    </row>
    <row r="647" spans="1:26" ht="15.75" customHeight="1">
      <c r="A647" s="253">
        <v>44791</v>
      </c>
      <c r="B647" s="224" t="s">
        <v>3312</v>
      </c>
      <c r="C647" s="316">
        <v>3</v>
      </c>
      <c r="D647" s="224" t="s">
        <v>11011</v>
      </c>
      <c r="E647" s="224" t="s">
        <v>5</v>
      </c>
      <c r="F647" s="224" t="s">
        <v>447</v>
      </c>
      <c r="G647" s="224" t="s">
        <v>11012</v>
      </c>
      <c r="H647" s="224">
        <v>3</v>
      </c>
      <c r="I647" s="224" t="s">
        <v>449</v>
      </c>
      <c r="J647" s="224" t="s">
        <v>11690</v>
      </c>
      <c r="K647" s="224">
        <v>3</v>
      </c>
      <c r="L647" s="224"/>
      <c r="M647" s="224"/>
      <c r="N647" s="224" t="s">
        <v>465</v>
      </c>
      <c r="O647" s="224" t="s">
        <v>575</v>
      </c>
      <c r="P647" s="224"/>
      <c r="Q647" s="322" t="s">
        <v>24</v>
      </c>
      <c r="R647" s="254"/>
      <c r="S647" s="224"/>
      <c r="T647" s="224"/>
      <c r="U647" s="224"/>
      <c r="V647" s="224"/>
      <c r="W647" s="224"/>
      <c r="X647" s="224"/>
      <c r="Y647" s="224"/>
      <c r="Z647" s="224"/>
    </row>
    <row r="648" spans="1:26" ht="15.75" customHeight="1">
      <c r="A648" s="248">
        <v>44791</v>
      </c>
      <c r="B648" s="219" t="s">
        <v>5717</v>
      </c>
      <c r="C648" s="315">
        <v>3</v>
      </c>
      <c r="D648" s="219" t="s">
        <v>5720</v>
      </c>
      <c r="E648" s="219" t="s">
        <v>4</v>
      </c>
      <c r="F648" s="219" t="s">
        <v>602</v>
      </c>
      <c r="G648" s="219" t="s">
        <v>5721</v>
      </c>
      <c r="H648" s="219">
        <v>3</v>
      </c>
      <c r="I648" s="219" t="s">
        <v>1371</v>
      </c>
      <c r="J648" s="219" t="s">
        <v>5722</v>
      </c>
      <c r="K648" s="219">
        <v>3</v>
      </c>
      <c r="L648" s="219"/>
      <c r="M648" s="219"/>
      <c r="N648" s="219" t="s">
        <v>452</v>
      </c>
      <c r="O648" s="219" t="s">
        <v>11035</v>
      </c>
      <c r="P648" s="219"/>
      <c r="Q648" s="322" t="s">
        <v>24</v>
      </c>
      <c r="R648" s="251"/>
      <c r="S648" s="219"/>
      <c r="T648" s="219"/>
      <c r="U648" s="219"/>
      <c r="V648" s="219"/>
      <c r="W648" s="219"/>
      <c r="X648" s="219"/>
      <c r="Y648" s="219"/>
      <c r="Z648" s="219"/>
    </row>
    <row r="649" spans="1:26" ht="15.75" customHeight="1">
      <c r="A649" s="253">
        <v>44791</v>
      </c>
      <c r="B649" s="224" t="s">
        <v>5369</v>
      </c>
      <c r="C649" s="316">
        <v>3</v>
      </c>
      <c r="D649" s="224" t="s">
        <v>5372</v>
      </c>
      <c r="E649" s="224" t="s">
        <v>4</v>
      </c>
      <c r="F649" s="224" t="s">
        <v>602</v>
      </c>
      <c r="G649" s="224" t="s">
        <v>5373</v>
      </c>
      <c r="H649" s="224">
        <v>3.5</v>
      </c>
      <c r="I649" s="224" t="s">
        <v>476</v>
      </c>
      <c r="J649" s="224" t="s">
        <v>11691</v>
      </c>
      <c r="K649" s="224">
        <v>2.5</v>
      </c>
      <c r="L649" s="224" t="s">
        <v>451</v>
      </c>
      <c r="M649" s="311">
        <v>3000000</v>
      </c>
      <c r="N649" s="224" t="s">
        <v>452</v>
      </c>
      <c r="O649" s="224" t="s">
        <v>5375</v>
      </c>
      <c r="P649" s="224"/>
      <c r="Q649" s="322" t="s">
        <v>24</v>
      </c>
      <c r="R649" s="254"/>
      <c r="S649" s="224"/>
      <c r="T649" s="224"/>
      <c r="U649" s="224"/>
      <c r="V649" s="224"/>
      <c r="W649" s="224"/>
      <c r="X649" s="224"/>
      <c r="Y649" s="224"/>
      <c r="Z649" s="224"/>
    </row>
    <row r="650" spans="1:26" ht="15.75" customHeight="1">
      <c r="A650" s="248">
        <v>44791</v>
      </c>
      <c r="B650" s="219" t="s">
        <v>2530</v>
      </c>
      <c r="C650" s="315">
        <v>3</v>
      </c>
      <c r="D650" s="219" t="s">
        <v>2533</v>
      </c>
      <c r="E650" s="219" t="s">
        <v>5</v>
      </c>
      <c r="F650" s="219" t="s">
        <v>447</v>
      </c>
      <c r="G650" s="219" t="s">
        <v>11106</v>
      </c>
      <c r="H650" s="219">
        <v>3</v>
      </c>
      <c r="I650" s="219" t="s">
        <v>449</v>
      </c>
      <c r="J650" s="219" t="s">
        <v>11692</v>
      </c>
      <c r="K650" s="219">
        <v>3</v>
      </c>
      <c r="L650" s="219"/>
      <c r="M650" s="312"/>
      <c r="N650" s="219" t="s">
        <v>454</v>
      </c>
      <c r="O650" s="219" t="s">
        <v>2536</v>
      </c>
      <c r="P650" s="219" t="s">
        <v>2537</v>
      </c>
      <c r="Q650" s="322" t="s">
        <v>24</v>
      </c>
      <c r="R650" s="251"/>
      <c r="S650" s="219"/>
      <c r="T650" s="219"/>
      <c r="U650" s="219"/>
      <c r="V650" s="219"/>
      <c r="W650" s="219"/>
      <c r="X650" s="219"/>
      <c r="Y650" s="219"/>
      <c r="Z650" s="219"/>
    </row>
    <row r="651" spans="1:26" ht="15.75" customHeight="1">
      <c r="A651" s="253">
        <v>44791</v>
      </c>
      <c r="B651" s="224" t="s">
        <v>3303</v>
      </c>
      <c r="C651" s="316">
        <v>3</v>
      </c>
      <c r="D651" s="224" t="s">
        <v>3306</v>
      </c>
      <c r="E651" s="224" t="s">
        <v>5</v>
      </c>
      <c r="F651" s="224" t="s">
        <v>447</v>
      </c>
      <c r="G651" s="224" t="s">
        <v>11283</v>
      </c>
      <c r="H651" s="224">
        <v>3</v>
      </c>
      <c r="I651" s="224" t="s">
        <v>543</v>
      </c>
      <c r="J651" s="224" t="s">
        <v>11693</v>
      </c>
      <c r="K651" s="224">
        <v>3</v>
      </c>
      <c r="L651" s="224" t="s">
        <v>2961</v>
      </c>
      <c r="M651" s="224">
        <v>1500000</v>
      </c>
      <c r="N651" s="224" t="s">
        <v>454</v>
      </c>
      <c r="O651" s="224" t="s">
        <v>3309</v>
      </c>
      <c r="P651" s="224"/>
      <c r="Q651" s="322" t="s">
        <v>24</v>
      </c>
      <c r="R651" s="254"/>
      <c r="S651" s="224"/>
      <c r="T651" s="224"/>
      <c r="U651" s="224"/>
      <c r="V651" s="224"/>
      <c r="W651" s="224"/>
      <c r="X651" s="224"/>
      <c r="Y651" s="224"/>
      <c r="Z651" s="224"/>
    </row>
    <row r="652" spans="1:26" ht="15.75" customHeight="1">
      <c r="A652" s="248">
        <v>44791</v>
      </c>
      <c r="B652" s="219" t="s">
        <v>3541</v>
      </c>
      <c r="C652" s="315">
        <v>3</v>
      </c>
      <c r="D652" s="219" t="s">
        <v>3544</v>
      </c>
      <c r="E652" s="219" t="s">
        <v>5</v>
      </c>
      <c r="F652" s="219" t="s">
        <v>447</v>
      </c>
      <c r="G652" s="219" t="s">
        <v>11362</v>
      </c>
      <c r="H652" s="219">
        <v>3</v>
      </c>
      <c r="I652" s="219" t="s">
        <v>622</v>
      </c>
      <c r="J652" s="219" t="s">
        <v>3546</v>
      </c>
      <c r="K652" s="219">
        <v>3</v>
      </c>
      <c r="L652" s="219" t="s">
        <v>451</v>
      </c>
      <c r="M652" s="310" t="s">
        <v>3547</v>
      </c>
      <c r="N652" s="219" t="s">
        <v>454</v>
      </c>
      <c r="O652" s="219" t="s">
        <v>11363</v>
      </c>
      <c r="P652" s="219"/>
      <c r="Q652" s="322" t="s">
        <v>24</v>
      </c>
      <c r="R652" s="251"/>
      <c r="S652" s="219"/>
      <c r="T652" s="219"/>
      <c r="U652" s="219"/>
      <c r="V652" s="219"/>
      <c r="W652" s="219"/>
      <c r="X652" s="219"/>
      <c r="Y652" s="219"/>
      <c r="Z652" s="219"/>
    </row>
    <row r="653" spans="1:26" ht="15.75" customHeight="1">
      <c r="A653" s="255">
        <v>44791</v>
      </c>
      <c r="B653" s="239" t="s">
        <v>3367</v>
      </c>
      <c r="C653" s="262">
        <v>3</v>
      </c>
      <c r="D653" s="239" t="s">
        <v>10912</v>
      </c>
      <c r="E653" s="239" t="s">
        <v>5</v>
      </c>
      <c r="F653" s="239" t="s">
        <v>460</v>
      </c>
      <c r="G653" s="239" t="s">
        <v>3371</v>
      </c>
      <c r="H653" s="239">
        <v>3</v>
      </c>
      <c r="I653" s="239" t="s">
        <v>462</v>
      </c>
      <c r="J653" s="239" t="s">
        <v>3372</v>
      </c>
      <c r="K653" s="239">
        <v>3</v>
      </c>
      <c r="L653" s="239"/>
      <c r="M653" s="239"/>
      <c r="N653" s="239" t="s">
        <v>452</v>
      </c>
      <c r="O653" s="239" t="s">
        <v>3373</v>
      </c>
      <c r="P653" s="239" t="s">
        <v>460</v>
      </c>
      <c r="Q653" s="239" t="s">
        <v>24</v>
      </c>
      <c r="R653" s="256" t="s">
        <v>3374</v>
      </c>
      <c r="S653" s="239"/>
      <c r="T653" s="239"/>
      <c r="U653" s="239"/>
      <c r="V653" s="239"/>
      <c r="W653" s="239"/>
      <c r="X653" s="239"/>
      <c r="Y653" s="239"/>
      <c r="Z653" s="239"/>
    </row>
    <row r="654" spans="1:26" ht="15.75" customHeight="1">
      <c r="A654" s="248">
        <v>44791</v>
      </c>
      <c r="B654" s="219" t="s">
        <v>5539</v>
      </c>
      <c r="C654" s="315">
        <v>3</v>
      </c>
      <c r="D654" s="219" t="s">
        <v>11044</v>
      </c>
      <c r="E654" s="219" t="s">
        <v>4</v>
      </c>
      <c r="F654" s="219" t="s">
        <v>602</v>
      </c>
      <c r="G654" s="219" t="s">
        <v>5543</v>
      </c>
      <c r="H654" s="219">
        <v>3</v>
      </c>
      <c r="I654" s="219" t="s">
        <v>476</v>
      </c>
      <c r="J654" s="219" t="s">
        <v>11694</v>
      </c>
      <c r="K654" s="219">
        <v>3</v>
      </c>
      <c r="L654" s="219" t="s">
        <v>784</v>
      </c>
      <c r="M654" s="219">
        <v>500000</v>
      </c>
      <c r="N654" s="219" t="s">
        <v>452</v>
      </c>
      <c r="O654" s="219" t="s">
        <v>5545</v>
      </c>
      <c r="P654" s="219"/>
      <c r="Q654" s="322" t="s">
        <v>24</v>
      </c>
      <c r="R654" s="251"/>
      <c r="S654" s="219"/>
      <c r="T654" s="219"/>
      <c r="U654" s="219"/>
      <c r="V654" s="219"/>
      <c r="W654" s="219"/>
      <c r="X654" s="219"/>
      <c r="Y654" s="219"/>
      <c r="Z654" s="219"/>
    </row>
    <row r="655" spans="1:26" ht="15.75" customHeight="1">
      <c r="A655" s="253">
        <v>44791</v>
      </c>
      <c r="B655" s="224" t="s">
        <v>2769</v>
      </c>
      <c r="C655" s="316">
        <v>3</v>
      </c>
      <c r="D655" s="224" t="s">
        <v>2772</v>
      </c>
      <c r="E655" s="224" t="s">
        <v>5</v>
      </c>
      <c r="F655" s="224" t="s">
        <v>447</v>
      </c>
      <c r="G655" s="224" t="s">
        <v>11191</v>
      </c>
      <c r="H655" s="224">
        <v>3</v>
      </c>
      <c r="I655" s="224" t="s">
        <v>449</v>
      </c>
      <c r="J655" s="224" t="s">
        <v>11192</v>
      </c>
      <c r="K655" s="224">
        <v>3</v>
      </c>
      <c r="L655" s="224"/>
      <c r="M655" s="224"/>
      <c r="N655" s="224" t="s">
        <v>452</v>
      </c>
      <c r="O655" s="224" t="s">
        <v>2775</v>
      </c>
      <c r="P655" s="224"/>
      <c r="Q655" s="322" t="s">
        <v>24</v>
      </c>
      <c r="R655" s="254"/>
      <c r="S655" s="224"/>
      <c r="T655" s="224"/>
      <c r="U655" s="224"/>
      <c r="V655" s="224"/>
      <c r="W655" s="224"/>
      <c r="X655" s="224"/>
      <c r="Y655" s="224"/>
      <c r="Z655" s="224"/>
    </row>
    <row r="656" spans="1:26" ht="15.75" customHeight="1">
      <c r="A656" s="248">
        <v>44791</v>
      </c>
      <c r="B656" s="219" t="s">
        <v>3349</v>
      </c>
      <c r="C656" s="315">
        <v>3</v>
      </c>
      <c r="D656" s="219" t="s">
        <v>11258</v>
      </c>
      <c r="E656" s="219" t="s">
        <v>5</v>
      </c>
      <c r="F656" s="219" t="s">
        <v>447</v>
      </c>
      <c r="G656" s="219" t="s">
        <v>11259</v>
      </c>
      <c r="H656" s="219">
        <v>3</v>
      </c>
      <c r="I656" s="219" t="s">
        <v>622</v>
      </c>
      <c r="J656" s="219" t="s">
        <v>3354</v>
      </c>
      <c r="K656" s="219">
        <v>3</v>
      </c>
      <c r="L656" s="219" t="s">
        <v>784</v>
      </c>
      <c r="M656" s="312">
        <v>500000</v>
      </c>
      <c r="N656" s="219" t="s">
        <v>452</v>
      </c>
      <c r="O656" s="219" t="s">
        <v>11260</v>
      </c>
      <c r="P656" s="219"/>
      <c r="Q656" s="322" t="s">
        <v>24</v>
      </c>
      <c r="R656" s="251"/>
      <c r="S656" s="219"/>
      <c r="T656" s="219"/>
      <c r="U656" s="219"/>
      <c r="V656" s="219"/>
      <c r="W656" s="219"/>
      <c r="X656" s="219"/>
      <c r="Y656" s="219"/>
      <c r="Z656" s="219"/>
    </row>
    <row r="657" spans="1:26" ht="15.75" customHeight="1">
      <c r="A657" s="257">
        <v>44791</v>
      </c>
      <c r="B657" s="258" t="s">
        <v>390</v>
      </c>
      <c r="C657" s="263">
        <v>2.88</v>
      </c>
      <c r="D657" s="258" t="s">
        <v>9534</v>
      </c>
      <c r="E657" s="258" t="s">
        <v>4</v>
      </c>
      <c r="F657" s="258" t="s">
        <v>727</v>
      </c>
      <c r="G657" s="258" t="s">
        <v>10585</v>
      </c>
      <c r="H657" s="258">
        <v>3.75</v>
      </c>
      <c r="I657" s="258" t="s">
        <v>1298</v>
      </c>
      <c r="J657" s="258"/>
      <c r="K657" s="258">
        <v>2</v>
      </c>
      <c r="L657" s="258" t="s">
        <v>451</v>
      </c>
      <c r="M657" s="258" t="s">
        <v>4828</v>
      </c>
      <c r="N657" s="258" t="s">
        <v>465</v>
      </c>
      <c r="O657" s="258" t="s">
        <v>9536</v>
      </c>
      <c r="P657" s="258"/>
      <c r="Q657" s="258" t="s">
        <v>20</v>
      </c>
      <c r="R657" s="259" t="s">
        <v>11695</v>
      </c>
      <c r="S657" s="258"/>
      <c r="T657" s="258"/>
      <c r="U657" s="258"/>
      <c r="V657" s="258"/>
      <c r="W657" s="258"/>
      <c r="X657" s="258"/>
      <c r="Y657" s="258"/>
      <c r="Z657" s="258"/>
    </row>
    <row r="658" spans="1:26" ht="15.75" customHeight="1">
      <c r="A658" s="248">
        <v>44791</v>
      </c>
      <c r="B658" s="219" t="s">
        <v>6061</v>
      </c>
      <c r="C658" s="315">
        <v>2.75</v>
      </c>
      <c r="D658" s="219" t="s">
        <v>6064</v>
      </c>
      <c r="E658" s="219" t="s">
        <v>4</v>
      </c>
      <c r="F658" s="219" t="s">
        <v>725</v>
      </c>
      <c r="G658" s="219" t="s">
        <v>10332</v>
      </c>
      <c r="H658" s="219">
        <v>3</v>
      </c>
      <c r="I658" s="219" t="s">
        <v>1054</v>
      </c>
      <c r="J658" s="219" t="s">
        <v>6066</v>
      </c>
      <c r="K658" s="219">
        <v>2.5</v>
      </c>
      <c r="L658" s="219"/>
      <c r="M658" s="219"/>
      <c r="N658" s="219" t="s">
        <v>452</v>
      </c>
      <c r="O658" s="219" t="s">
        <v>6067</v>
      </c>
      <c r="P658" s="219"/>
      <c r="Q658" s="322" t="s">
        <v>24</v>
      </c>
      <c r="R658" s="251"/>
      <c r="S658" s="219"/>
      <c r="T658" s="219"/>
      <c r="U658" s="219"/>
      <c r="V658" s="219"/>
      <c r="W658" s="219"/>
      <c r="X658" s="219"/>
      <c r="Y658" s="219"/>
      <c r="Z658" s="219"/>
    </row>
    <row r="659" spans="1:26" ht="15.75" customHeight="1">
      <c r="A659" s="253">
        <v>44791</v>
      </c>
      <c r="B659" s="224" t="s">
        <v>5903</v>
      </c>
      <c r="C659" s="316">
        <v>2.75</v>
      </c>
      <c r="D659" s="224" t="s">
        <v>10530</v>
      </c>
      <c r="E659" s="224" t="s">
        <v>4</v>
      </c>
      <c r="F659" s="224" t="s">
        <v>727</v>
      </c>
      <c r="G659" s="224" t="s">
        <v>10531</v>
      </c>
      <c r="H659" s="224">
        <v>2.5</v>
      </c>
      <c r="I659" s="224" t="s">
        <v>604</v>
      </c>
      <c r="J659" s="224" t="s">
        <v>10532</v>
      </c>
      <c r="K659" s="224">
        <v>3</v>
      </c>
      <c r="L659" s="224" t="s">
        <v>784</v>
      </c>
      <c r="M659" s="307">
        <v>1000000</v>
      </c>
      <c r="N659" s="224" t="s">
        <v>452</v>
      </c>
      <c r="O659" s="224" t="s">
        <v>452</v>
      </c>
      <c r="P659" s="224" t="s">
        <v>2180</v>
      </c>
      <c r="Q659" s="322" t="s">
        <v>24</v>
      </c>
      <c r="R659" s="254"/>
      <c r="S659" s="224"/>
      <c r="T659" s="224"/>
      <c r="U659" s="224"/>
      <c r="V659" s="224"/>
      <c r="W659" s="224"/>
      <c r="X659" s="224"/>
      <c r="Y659" s="224"/>
      <c r="Z659" s="224"/>
    </row>
    <row r="660" spans="1:26" ht="15.75" customHeight="1">
      <c r="A660" s="248">
        <v>44791</v>
      </c>
      <c r="B660" s="219" t="s">
        <v>5867</v>
      </c>
      <c r="C660" s="315">
        <v>2.75</v>
      </c>
      <c r="D660" s="219" t="s">
        <v>5870</v>
      </c>
      <c r="E660" s="219" t="s">
        <v>4</v>
      </c>
      <c r="F660" s="219" t="s">
        <v>727</v>
      </c>
      <c r="G660" s="219" t="s">
        <v>10535</v>
      </c>
      <c r="H660" s="219">
        <v>3.5</v>
      </c>
      <c r="I660" s="219" t="s">
        <v>1036</v>
      </c>
      <c r="J660" s="219" t="s">
        <v>5872</v>
      </c>
      <c r="K660" s="219">
        <v>2</v>
      </c>
      <c r="L660" s="219"/>
      <c r="M660" s="310"/>
      <c r="N660" s="219" t="s">
        <v>452</v>
      </c>
      <c r="O660" s="219" t="s">
        <v>10536</v>
      </c>
      <c r="P660" s="219"/>
      <c r="Q660" s="322" t="s">
        <v>24</v>
      </c>
      <c r="R660" s="251"/>
      <c r="S660" s="219"/>
      <c r="T660" s="219"/>
      <c r="U660" s="219"/>
      <c r="V660" s="219"/>
      <c r="W660" s="219"/>
      <c r="X660" s="219"/>
      <c r="Y660" s="219"/>
      <c r="Z660" s="219"/>
    </row>
    <row r="661" spans="1:26" ht="15.75" customHeight="1">
      <c r="A661" s="253">
        <v>44791</v>
      </c>
      <c r="B661" s="224" t="s">
        <v>5834</v>
      </c>
      <c r="C661" s="316">
        <v>2.75</v>
      </c>
      <c r="D661" s="224" t="s">
        <v>5837</v>
      </c>
      <c r="E661" s="224" t="s">
        <v>4</v>
      </c>
      <c r="F661" s="224" t="s">
        <v>727</v>
      </c>
      <c r="G661" s="224" t="s">
        <v>10566</v>
      </c>
      <c r="H661" s="224">
        <v>2.5</v>
      </c>
      <c r="I661" s="224" t="s">
        <v>990</v>
      </c>
      <c r="J661" s="224" t="s">
        <v>5839</v>
      </c>
      <c r="K661" s="224">
        <v>3</v>
      </c>
      <c r="L661" s="224" t="s">
        <v>478</v>
      </c>
      <c r="M661" s="307">
        <v>5000000</v>
      </c>
      <c r="N661" s="224" t="s">
        <v>452</v>
      </c>
      <c r="O661" s="224" t="s">
        <v>452</v>
      </c>
      <c r="P661" s="224"/>
      <c r="Q661" s="322" t="s">
        <v>24</v>
      </c>
      <c r="R661" s="254"/>
      <c r="S661" s="224"/>
      <c r="T661" s="224"/>
      <c r="U661" s="224"/>
      <c r="V661" s="224"/>
      <c r="W661" s="224"/>
      <c r="X661" s="224"/>
      <c r="Y661" s="224"/>
      <c r="Z661" s="224"/>
    </row>
    <row r="662" spans="1:26" ht="15.75" customHeight="1">
      <c r="A662" s="248">
        <v>44791</v>
      </c>
      <c r="B662" s="219" t="s">
        <v>5911</v>
      </c>
      <c r="C662" s="315">
        <v>2.75</v>
      </c>
      <c r="D662" s="219" t="s">
        <v>5914</v>
      </c>
      <c r="E662" s="219" t="s">
        <v>4</v>
      </c>
      <c r="F662" s="219" t="s">
        <v>602</v>
      </c>
      <c r="G662" s="219" t="s">
        <v>5915</v>
      </c>
      <c r="H662" s="219">
        <v>2.5</v>
      </c>
      <c r="I662" s="219" t="s">
        <v>1045</v>
      </c>
      <c r="J662" s="219" t="s">
        <v>5916</v>
      </c>
      <c r="K662" s="219">
        <v>3</v>
      </c>
      <c r="L662" s="219"/>
      <c r="M662" s="219"/>
      <c r="N662" s="219" t="s">
        <v>452</v>
      </c>
      <c r="O662" s="219" t="s">
        <v>452</v>
      </c>
      <c r="P662" s="219"/>
      <c r="Q662" s="322" t="s">
        <v>24</v>
      </c>
      <c r="R662" s="251"/>
      <c r="S662" s="219"/>
      <c r="T662" s="219"/>
      <c r="U662" s="219"/>
      <c r="V662" s="219"/>
      <c r="W662" s="219"/>
      <c r="X662" s="219"/>
      <c r="Y662" s="219"/>
      <c r="Z662" s="219"/>
    </row>
    <row r="663" spans="1:26" ht="15.75" customHeight="1">
      <c r="A663" s="253">
        <v>44791</v>
      </c>
      <c r="B663" s="224" t="s">
        <v>2127</v>
      </c>
      <c r="C663" s="316">
        <v>2.75</v>
      </c>
      <c r="D663" s="224" t="s">
        <v>2130</v>
      </c>
      <c r="E663" s="224" t="s">
        <v>5</v>
      </c>
      <c r="F663" s="224" t="s">
        <v>447</v>
      </c>
      <c r="G663" s="224" t="s">
        <v>10955</v>
      </c>
      <c r="H663" s="224">
        <v>2.5</v>
      </c>
      <c r="I663" s="224" t="s">
        <v>543</v>
      </c>
      <c r="J663" s="224" t="s">
        <v>11696</v>
      </c>
      <c r="K663" s="224">
        <v>3</v>
      </c>
      <c r="L663" s="224" t="s">
        <v>2133</v>
      </c>
      <c r="M663" s="307">
        <v>10000000</v>
      </c>
      <c r="N663" s="224" t="s">
        <v>452</v>
      </c>
      <c r="O663" s="224" t="s">
        <v>2134</v>
      </c>
      <c r="P663" s="224"/>
      <c r="Q663" s="322" t="s">
        <v>24</v>
      </c>
      <c r="R663" s="254"/>
      <c r="S663" s="224"/>
      <c r="T663" s="224"/>
      <c r="U663" s="224"/>
      <c r="V663" s="224"/>
      <c r="W663" s="224"/>
      <c r="X663" s="224"/>
      <c r="Y663" s="224"/>
      <c r="Z663" s="224"/>
    </row>
    <row r="664" spans="1:26" ht="15.75" customHeight="1">
      <c r="A664" s="248">
        <v>44791</v>
      </c>
      <c r="B664" s="219" t="s">
        <v>5841</v>
      </c>
      <c r="C664" s="315">
        <v>2.75</v>
      </c>
      <c r="D664" s="219" t="s">
        <v>5844</v>
      </c>
      <c r="E664" s="219" t="s">
        <v>4</v>
      </c>
      <c r="F664" s="219" t="s">
        <v>602</v>
      </c>
      <c r="G664" s="219" t="s">
        <v>5845</v>
      </c>
      <c r="H664" s="219">
        <v>2.5</v>
      </c>
      <c r="I664" s="219" t="s">
        <v>990</v>
      </c>
      <c r="J664" s="219"/>
      <c r="K664" s="219">
        <v>3</v>
      </c>
      <c r="L664" s="219"/>
      <c r="M664" s="326"/>
      <c r="N664" s="219" t="s">
        <v>452</v>
      </c>
      <c r="O664" s="219" t="s">
        <v>5846</v>
      </c>
      <c r="P664" s="219"/>
      <c r="Q664" s="322" t="s">
        <v>24</v>
      </c>
      <c r="R664" s="251"/>
      <c r="S664" s="219"/>
      <c r="T664" s="219"/>
      <c r="U664" s="219"/>
      <c r="V664" s="219"/>
      <c r="W664" s="219"/>
      <c r="X664" s="219"/>
      <c r="Y664" s="219"/>
      <c r="Z664" s="219"/>
    </row>
    <row r="665" spans="1:26" ht="15.75" customHeight="1">
      <c r="A665" s="253">
        <v>44791</v>
      </c>
      <c r="B665" s="224" t="s">
        <v>6010</v>
      </c>
      <c r="C665" s="316">
        <v>2.75</v>
      </c>
      <c r="D665" s="224" t="s">
        <v>6013</v>
      </c>
      <c r="E665" s="224" t="s">
        <v>4</v>
      </c>
      <c r="F665" s="224" t="s">
        <v>602</v>
      </c>
      <c r="G665" s="224" t="s">
        <v>6014</v>
      </c>
      <c r="H665" s="224">
        <v>2.5</v>
      </c>
      <c r="I665" s="224" t="s">
        <v>1045</v>
      </c>
      <c r="J665" s="224" t="s">
        <v>6015</v>
      </c>
      <c r="K665" s="224">
        <v>3</v>
      </c>
      <c r="L665" s="224" t="s">
        <v>478</v>
      </c>
      <c r="M665" s="307">
        <v>7000000</v>
      </c>
      <c r="N665" s="224" t="s">
        <v>452</v>
      </c>
      <c r="O665" s="224" t="s">
        <v>452</v>
      </c>
      <c r="P665" s="224"/>
      <c r="Q665" s="322" t="s">
        <v>24</v>
      </c>
      <c r="R665" s="254"/>
      <c r="S665" s="224"/>
      <c r="T665" s="224"/>
      <c r="U665" s="224"/>
      <c r="V665" s="224"/>
      <c r="W665" s="224"/>
      <c r="X665" s="224"/>
      <c r="Y665" s="224"/>
      <c r="Z665" s="224"/>
    </row>
    <row r="666" spans="1:26" ht="15.75" customHeight="1">
      <c r="A666" s="248">
        <v>44791</v>
      </c>
      <c r="B666" s="219" t="s">
        <v>11051</v>
      </c>
      <c r="C666" s="315">
        <v>2.75</v>
      </c>
      <c r="D666" s="219" t="s">
        <v>11052</v>
      </c>
      <c r="E666" s="219" t="s">
        <v>4</v>
      </c>
      <c r="F666" s="219" t="s">
        <v>602</v>
      </c>
      <c r="G666" s="219" t="s">
        <v>6038</v>
      </c>
      <c r="H666" s="219">
        <v>2.5</v>
      </c>
      <c r="I666" s="219" t="s">
        <v>1457</v>
      </c>
      <c r="J666" s="219" t="s">
        <v>6039</v>
      </c>
      <c r="K666" s="219">
        <v>3</v>
      </c>
      <c r="L666" s="219" t="s">
        <v>451</v>
      </c>
      <c r="M666" s="219" t="s">
        <v>6040</v>
      </c>
      <c r="N666" s="219" t="s">
        <v>452</v>
      </c>
      <c r="O666" s="219" t="s">
        <v>6041</v>
      </c>
      <c r="P666" s="219"/>
      <c r="Q666" s="322" t="s">
        <v>24</v>
      </c>
      <c r="R666" s="251"/>
      <c r="S666" s="219"/>
      <c r="T666" s="219"/>
      <c r="U666" s="219"/>
      <c r="V666" s="219"/>
      <c r="W666" s="219"/>
      <c r="X666" s="219"/>
      <c r="Y666" s="219"/>
      <c r="Z666" s="219"/>
    </row>
    <row r="667" spans="1:26" ht="15.75" customHeight="1">
      <c r="A667" s="253">
        <v>44791</v>
      </c>
      <c r="B667" s="224" t="s">
        <v>5985</v>
      </c>
      <c r="C667" s="316">
        <v>2.75</v>
      </c>
      <c r="D667" s="224" t="s">
        <v>11078</v>
      </c>
      <c r="E667" s="224" t="s">
        <v>4</v>
      </c>
      <c r="F667" s="224" t="s">
        <v>602</v>
      </c>
      <c r="G667" s="224" t="s">
        <v>5989</v>
      </c>
      <c r="H667" s="224">
        <v>2.5</v>
      </c>
      <c r="I667" s="224" t="s">
        <v>1298</v>
      </c>
      <c r="J667" s="224" t="s">
        <v>5990</v>
      </c>
      <c r="K667" s="224">
        <v>3</v>
      </c>
      <c r="L667" s="224" t="s">
        <v>451</v>
      </c>
      <c r="M667" s="224" t="s">
        <v>5991</v>
      </c>
      <c r="N667" s="224" t="s">
        <v>452</v>
      </c>
      <c r="O667" s="224" t="s">
        <v>1119</v>
      </c>
      <c r="P667" s="224"/>
      <c r="Q667" s="322" t="s">
        <v>24</v>
      </c>
      <c r="R667" s="254"/>
      <c r="S667" s="224"/>
      <c r="T667" s="224"/>
      <c r="U667" s="224"/>
      <c r="V667" s="224"/>
      <c r="W667" s="224"/>
      <c r="X667" s="224"/>
      <c r="Y667" s="224"/>
      <c r="Z667" s="224"/>
    </row>
    <row r="668" spans="1:26" ht="15.75" customHeight="1">
      <c r="A668" s="248">
        <v>44791</v>
      </c>
      <c r="B668" s="219" t="s">
        <v>3568</v>
      </c>
      <c r="C668" s="315">
        <v>2.75</v>
      </c>
      <c r="D668" s="219" t="s">
        <v>3571</v>
      </c>
      <c r="E668" s="219" t="s">
        <v>5</v>
      </c>
      <c r="F668" s="219" t="s">
        <v>447</v>
      </c>
      <c r="G668" s="219" t="s">
        <v>11335</v>
      </c>
      <c r="H668" s="219">
        <v>3</v>
      </c>
      <c r="I668" s="219" t="s">
        <v>622</v>
      </c>
      <c r="J668" s="219" t="s">
        <v>11336</v>
      </c>
      <c r="K668" s="219">
        <v>2.5</v>
      </c>
      <c r="L668" s="219" t="s">
        <v>784</v>
      </c>
      <c r="M668" s="219" t="s">
        <v>3574</v>
      </c>
      <c r="N668" s="219" t="s">
        <v>465</v>
      </c>
      <c r="O668" s="219" t="s">
        <v>11337</v>
      </c>
      <c r="P668" s="219"/>
      <c r="Q668" s="322" t="s">
        <v>24</v>
      </c>
      <c r="R668" s="251"/>
      <c r="S668" s="219"/>
      <c r="T668" s="219"/>
      <c r="U668" s="219"/>
      <c r="V668" s="219"/>
      <c r="W668" s="219"/>
      <c r="X668" s="219"/>
      <c r="Y668" s="219"/>
      <c r="Z668" s="219"/>
    </row>
    <row r="669" spans="1:26" ht="15.75" customHeight="1">
      <c r="A669" s="253">
        <v>44791</v>
      </c>
      <c r="B669" s="224" t="s">
        <v>2922</v>
      </c>
      <c r="C669" s="316">
        <v>2.75</v>
      </c>
      <c r="D669" s="224" t="s">
        <v>2925</v>
      </c>
      <c r="E669" s="224" t="s">
        <v>5</v>
      </c>
      <c r="F669" s="224" t="s">
        <v>447</v>
      </c>
      <c r="G669" s="224" t="s">
        <v>11366</v>
      </c>
      <c r="H669" s="224">
        <v>3</v>
      </c>
      <c r="I669" s="224" t="s">
        <v>622</v>
      </c>
      <c r="J669" s="224" t="s">
        <v>2927</v>
      </c>
      <c r="K669" s="224">
        <v>2.5</v>
      </c>
      <c r="L669" s="224" t="s">
        <v>784</v>
      </c>
      <c r="M669" s="307">
        <v>500000</v>
      </c>
      <c r="N669" s="224" t="s">
        <v>452</v>
      </c>
      <c r="O669" s="224" t="s">
        <v>2928</v>
      </c>
      <c r="P669" s="224"/>
      <c r="Q669" s="322" t="s">
        <v>24</v>
      </c>
      <c r="R669" s="254"/>
      <c r="S669" s="224"/>
      <c r="T669" s="224"/>
      <c r="U669" s="224"/>
      <c r="V669" s="224"/>
      <c r="W669" s="224"/>
      <c r="X669" s="224"/>
      <c r="Y669" s="224"/>
      <c r="Z669" s="224"/>
    </row>
    <row r="670" spans="1:26" ht="15.75" customHeight="1">
      <c r="A670" s="248">
        <v>44791</v>
      </c>
      <c r="B670" s="219" t="s">
        <v>3358</v>
      </c>
      <c r="C670" s="315">
        <v>2.75</v>
      </c>
      <c r="D670" s="219" t="s">
        <v>11375</v>
      </c>
      <c r="E670" s="219" t="s">
        <v>5</v>
      </c>
      <c r="F670" s="219" t="s">
        <v>447</v>
      </c>
      <c r="G670" s="219" t="s">
        <v>11376</v>
      </c>
      <c r="H670" s="219">
        <v>2</v>
      </c>
      <c r="I670" s="219" t="s">
        <v>449</v>
      </c>
      <c r="J670" s="219" t="s">
        <v>11697</v>
      </c>
      <c r="K670" s="219">
        <v>3.5</v>
      </c>
      <c r="L670" s="219"/>
      <c r="M670" s="219"/>
      <c r="N670" s="219" t="s">
        <v>452</v>
      </c>
      <c r="O670" s="219" t="s">
        <v>3364</v>
      </c>
      <c r="P670" s="219"/>
      <c r="Q670" s="322" t="s">
        <v>24</v>
      </c>
      <c r="R670" s="251"/>
      <c r="S670" s="219"/>
      <c r="T670" s="219"/>
      <c r="U670" s="219"/>
      <c r="V670" s="219"/>
      <c r="W670" s="219"/>
      <c r="X670" s="219"/>
      <c r="Y670" s="219"/>
      <c r="Z670" s="219"/>
    </row>
    <row r="671" spans="1:26" ht="15.75" customHeight="1">
      <c r="A671" s="253">
        <v>44791</v>
      </c>
      <c r="B671" s="224" t="s">
        <v>6131</v>
      </c>
      <c r="C671" s="316">
        <v>2.63</v>
      </c>
      <c r="D671" s="224" t="s">
        <v>6134</v>
      </c>
      <c r="E671" s="224" t="s">
        <v>4</v>
      </c>
      <c r="F671" s="224" t="s">
        <v>1045</v>
      </c>
      <c r="G671" s="224" t="s">
        <v>6135</v>
      </c>
      <c r="H671" s="224">
        <v>2.75</v>
      </c>
      <c r="I671" s="224" t="s">
        <v>543</v>
      </c>
      <c r="J671" s="224" t="s">
        <v>6136</v>
      </c>
      <c r="K671" s="224">
        <v>2.5</v>
      </c>
      <c r="L671" s="224"/>
      <c r="M671" s="224"/>
      <c r="N671" s="224" t="s">
        <v>465</v>
      </c>
      <c r="O671" s="224" t="s">
        <v>6137</v>
      </c>
      <c r="P671" s="224"/>
      <c r="Q671" s="322" t="s">
        <v>24</v>
      </c>
      <c r="R671" s="254"/>
      <c r="S671" s="224"/>
      <c r="T671" s="224"/>
      <c r="U671" s="224"/>
      <c r="V671" s="224"/>
      <c r="W671" s="224"/>
      <c r="X671" s="224"/>
      <c r="Y671" s="224"/>
      <c r="Z671" s="224"/>
    </row>
    <row r="672" spans="1:26" ht="15.75" customHeight="1">
      <c r="A672" s="248">
        <v>44791</v>
      </c>
      <c r="B672" s="219" t="s">
        <v>8747</v>
      </c>
      <c r="C672" s="315">
        <v>2.5</v>
      </c>
      <c r="D672" s="219" t="s">
        <v>8750</v>
      </c>
      <c r="E672" s="219" t="s">
        <v>3</v>
      </c>
      <c r="F672" s="219" t="s">
        <v>460</v>
      </c>
      <c r="G672" s="219" t="s">
        <v>8751</v>
      </c>
      <c r="H672" s="219">
        <v>2</v>
      </c>
      <c r="I672" s="219" t="s">
        <v>941</v>
      </c>
      <c r="J672" s="219" t="s">
        <v>8752</v>
      </c>
      <c r="K672" s="219">
        <v>3</v>
      </c>
      <c r="L672" s="219" t="s">
        <v>451</v>
      </c>
      <c r="M672" s="312">
        <v>2000000</v>
      </c>
      <c r="N672" s="219" t="s">
        <v>452</v>
      </c>
      <c r="O672" s="219" t="s">
        <v>10245</v>
      </c>
      <c r="P672" s="219"/>
      <c r="Q672" s="322" t="s">
        <v>24</v>
      </c>
      <c r="R672" s="251"/>
      <c r="S672" s="219"/>
      <c r="T672" s="219"/>
      <c r="U672" s="219"/>
      <c r="V672" s="219"/>
      <c r="W672" s="219"/>
      <c r="X672" s="219"/>
      <c r="Y672" s="219"/>
      <c r="Z672" s="219"/>
    </row>
    <row r="673" spans="1:26" ht="15.75" customHeight="1">
      <c r="A673" s="253">
        <v>44791</v>
      </c>
      <c r="B673" s="224" t="s">
        <v>8526</v>
      </c>
      <c r="C673" s="316">
        <v>2.5</v>
      </c>
      <c r="D673" s="224" t="s">
        <v>8529</v>
      </c>
      <c r="E673" s="224" t="s">
        <v>3</v>
      </c>
      <c r="F673" s="224" t="s">
        <v>725</v>
      </c>
      <c r="G673" s="224" t="s">
        <v>10550</v>
      </c>
      <c r="H673" s="224">
        <v>3</v>
      </c>
      <c r="I673" s="224" t="s">
        <v>941</v>
      </c>
      <c r="J673" s="224"/>
      <c r="K673" s="224">
        <v>2</v>
      </c>
      <c r="L673" s="224"/>
      <c r="M673" s="311"/>
      <c r="N673" s="224" t="s">
        <v>452</v>
      </c>
      <c r="O673" s="224" t="s">
        <v>452</v>
      </c>
      <c r="P673" s="224"/>
      <c r="Q673" s="322" t="s">
        <v>24</v>
      </c>
      <c r="R673" s="254"/>
      <c r="S673" s="224"/>
      <c r="T673" s="224"/>
      <c r="U673" s="224"/>
      <c r="V673" s="224"/>
      <c r="W673" s="224"/>
      <c r="X673" s="224"/>
      <c r="Y673" s="224"/>
      <c r="Z673" s="224"/>
    </row>
    <row r="674" spans="1:26" ht="15.75" customHeight="1">
      <c r="A674" s="248">
        <v>44791</v>
      </c>
      <c r="B674" s="219" t="s">
        <v>9604</v>
      </c>
      <c r="C674" s="315">
        <v>2.5</v>
      </c>
      <c r="D674" s="219" t="s">
        <v>9607</v>
      </c>
      <c r="E674" s="219" t="s">
        <v>4</v>
      </c>
      <c r="F674" s="219" t="s">
        <v>727</v>
      </c>
      <c r="G674" s="219" t="s">
        <v>10560</v>
      </c>
      <c r="H674" s="219">
        <v>3</v>
      </c>
      <c r="I674" s="219" t="s">
        <v>1298</v>
      </c>
      <c r="J674" s="219" t="s">
        <v>9609</v>
      </c>
      <c r="K674" s="219">
        <v>2</v>
      </c>
      <c r="L674" s="219"/>
      <c r="M674" s="219"/>
      <c r="N674" s="219" t="s">
        <v>452</v>
      </c>
      <c r="O674" s="219" t="s">
        <v>575</v>
      </c>
      <c r="P674" s="219" t="s">
        <v>727</v>
      </c>
      <c r="Q674" s="219" t="s">
        <v>23</v>
      </c>
      <c r="R674" s="251"/>
      <c r="S674" s="219"/>
      <c r="T674" s="219"/>
      <c r="U674" s="219"/>
      <c r="V674" s="219"/>
      <c r="W674" s="219"/>
      <c r="X674" s="219"/>
      <c r="Y674" s="219"/>
      <c r="Z674" s="219"/>
    </row>
    <row r="675" spans="1:26" ht="15.75" customHeight="1">
      <c r="A675" s="253">
        <v>44791</v>
      </c>
      <c r="B675" s="224" t="s">
        <v>6330</v>
      </c>
      <c r="C675" s="316">
        <v>2.5</v>
      </c>
      <c r="D675" s="224" t="s">
        <v>6333</v>
      </c>
      <c r="E675" s="224" t="s">
        <v>4</v>
      </c>
      <c r="F675" s="224" t="s">
        <v>727</v>
      </c>
      <c r="G675" s="224" t="s">
        <v>10687</v>
      </c>
      <c r="H675" s="224">
        <v>2</v>
      </c>
      <c r="I675" s="224" t="s">
        <v>1281</v>
      </c>
      <c r="J675" s="224" t="s">
        <v>6335</v>
      </c>
      <c r="K675" s="224">
        <v>3</v>
      </c>
      <c r="L675" s="224"/>
      <c r="M675" s="224"/>
      <c r="N675" s="224" t="s">
        <v>452</v>
      </c>
      <c r="O675" s="224" t="s">
        <v>6336</v>
      </c>
      <c r="P675" s="224"/>
      <c r="Q675" s="322" t="s">
        <v>24</v>
      </c>
      <c r="R675" s="254"/>
      <c r="S675" s="224"/>
      <c r="T675" s="224"/>
      <c r="U675" s="224"/>
      <c r="V675" s="224"/>
      <c r="W675" s="224"/>
      <c r="X675" s="224"/>
      <c r="Y675" s="224"/>
      <c r="Z675" s="224"/>
    </row>
    <row r="676" spans="1:26" ht="15.75" customHeight="1">
      <c r="A676" s="248">
        <v>44791</v>
      </c>
      <c r="B676" s="219" t="s">
        <v>6245</v>
      </c>
      <c r="C676" s="315">
        <v>2.5</v>
      </c>
      <c r="D676" s="219" t="s">
        <v>6248</v>
      </c>
      <c r="E676" s="219" t="s">
        <v>4</v>
      </c>
      <c r="F676" s="219" t="s">
        <v>602</v>
      </c>
      <c r="G676" s="219" t="s">
        <v>6249</v>
      </c>
      <c r="H676" s="219">
        <v>3.5</v>
      </c>
      <c r="I676" s="219" t="s">
        <v>476</v>
      </c>
      <c r="J676" s="219" t="s">
        <v>11020</v>
      </c>
      <c r="K676" s="219">
        <v>1.5</v>
      </c>
      <c r="L676" s="219" t="s">
        <v>451</v>
      </c>
      <c r="M676" s="219" t="s">
        <v>3555</v>
      </c>
      <c r="N676" s="219" t="s">
        <v>452</v>
      </c>
      <c r="O676" s="219" t="s">
        <v>452</v>
      </c>
      <c r="P676" s="219"/>
      <c r="Q676" s="322" t="s">
        <v>24</v>
      </c>
      <c r="R676" s="251"/>
      <c r="S676" s="219"/>
      <c r="T676" s="219"/>
      <c r="U676" s="219"/>
      <c r="V676" s="219"/>
      <c r="W676" s="219"/>
      <c r="X676" s="219"/>
      <c r="Y676" s="219"/>
      <c r="Z676" s="219"/>
    </row>
    <row r="677" spans="1:26" ht="15.75" customHeight="1">
      <c r="A677" s="253">
        <v>44791</v>
      </c>
      <c r="B677" s="224" t="s">
        <v>6235</v>
      </c>
      <c r="C677" s="316">
        <v>2.5</v>
      </c>
      <c r="D677" s="224" t="s">
        <v>6238</v>
      </c>
      <c r="E677" s="224" t="s">
        <v>4</v>
      </c>
      <c r="F677" s="224" t="s">
        <v>725</v>
      </c>
      <c r="G677" s="224" t="s">
        <v>11142</v>
      </c>
      <c r="H677" s="224">
        <v>3</v>
      </c>
      <c r="I677" s="224" t="s">
        <v>476</v>
      </c>
      <c r="J677" s="224" t="s">
        <v>11143</v>
      </c>
      <c r="K677" s="224">
        <v>2</v>
      </c>
      <c r="L677" s="224" t="s">
        <v>451</v>
      </c>
      <c r="M677" s="224" t="s">
        <v>6241</v>
      </c>
      <c r="N677" s="224" t="s">
        <v>452</v>
      </c>
      <c r="O677" s="224" t="s">
        <v>6242</v>
      </c>
      <c r="P677" s="224"/>
      <c r="Q677" s="322" t="s">
        <v>24</v>
      </c>
      <c r="R677" s="254"/>
      <c r="S677" s="224"/>
      <c r="T677" s="224"/>
      <c r="U677" s="224"/>
      <c r="V677" s="224"/>
      <c r="W677" s="224"/>
      <c r="X677" s="224"/>
      <c r="Y677" s="224"/>
      <c r="Z677" s="224"/>
    </row>
    <row r="678" spans="1:26" ht="15.75" customHeight="1">
      <c r="A678" s="248">
        <v>44791</v>
      </c>
      <c r="B678" s="219" t="s">
        <v>2194</v>
      </c>
      <c r="C678" s="315">
        <v>2.5</v>
      </c>
      <c r="D678" s="219" t="s">
        <v>11328</v>
      </c>
      <c r="E678" s="219" t="s">
        <v>5</v>
      </c>
      <c r="F678" s="219" t="s">
        <v>447</v>
      </c>
      <c r="G678" s="219" t="s">
        <v>11329</v>
      </c>
      <c r="H678" s="219">
        <v>2</v>
      </c>
      <c r="I678" s="219" t="s">
        <v>622</v>
      </c>
      <c r="J678" s="219" t="s">
        <v>2199</v>
      </c>
      <c r="K678" s="219">
        <v>3</v>
      </c>
      <c r="L678" s="219" t="s">
        <v>451</v>
      </c>
      <c r="M678" s="310">
        <v>250000</v>
      </c>
      <c r="N678" s="219" t="s">
        <v>452</v>
      </c>
      <c r="O678" s="219" t="s">
        <v>11330</v>
      </c>
      <c r="P678" s="219"/>
      <c r="Q678" s="322" t="s">
        <v>24</v>
      </c>
      <c r="R678" s="251"/>
      <c r="S678" s="219"/>
      <c r="T678" s="219"/>
      <c r="U678" s="219"/>
      <c r="V678" s="219"/>
      <c r="W678" s="219"/>
      <c r="X678" s="219"/>
      <c r="Y678" s="219"/>
      <c r="Z678" s="219"/>
    </row>
    <row r="679" spans="1:26" ht="15.75" customHeight="1">
      <c r="A679" s="253">
        <v>44791</v>
      </c>
      <c r="B679" s="224" t="s">
        <v>6181</v>
      </c>
      <c r="C679" s="316">
        <v>2.5</v>
      </c>
      <c r="D679" s="224" t="s">
        <v>6184</v>
      </c>
      <c r="E679" s="224" t="s">
        <v>4</v>
      </c>
      <c r="F679" s="224" t="s">
        <v>727</v>
      </c>
      <c r="G679" s="224" t="s">
        <v>10690</v>
      </c>
      <c r="H679" s="224">
        <v>3</v>
      </c>
      <c r="I679" s="224" t="s">
        <v>1036</v>
      </c>
      <c r="J679" s="224" t="s">
        <v>6186</v>
      </c>
      <c r="K679" s="224">
        <v>2</v>
      </c>
      <c r="L679" s="224" t="s">
        <v>784</v>
      </c>
      <c r="M679" s="307">
        <v>608750</v>
      </c>
      <c r="N679" s="224" t="s">
        <v>452</v>
      </c>
      <c r="O679" s="224" t="s">
        <v>6187</v>
      </c>
      <c r="P679" s="224"/>
      <c r="Q679" s="322" t="s">
        <v>24</v>
      </c>
      <c r="R679" s="254"/>
      <c r="S679" s="224"/>
      <c r="T679" s="224"/>
      <c r="U679" s="224"/>
      <c r="V679" s="224"/>
      <c r="W679" s="224"/>
      <c r="X679" s="224"/>
      <c r="Y679" s="224"/>
      <c r="Z679" s="224"/>
    </row>
    <row r="680" spans="1:26" ht="15.75" customHeight="1">
      <c r="A680" s="248">
        <v>44791</v>
      </c>
      <c r="B680" s="219" t="s">
        <v>6598</v>
      </c>
      <c r="C680" s="315">
        <v>2.5</v>
      </c>
      <c r="D680" s="219" t="s">
        <v>6601</v>
      </c>
      <c r="E680" s="219" t="s">
        <v>4</v>
      </c>
      <c r="F680" s="219" t="s">
        <v>602</v>
      </c>
      <c r="G680" s="219" t="s">
        <v>6602</v>
      </c>
      <c r="H680" s="219">
        <v>2.5</v>
      </c>
      <c r="I680" s="219" t="s">
        <v>1045</v>
      </c>
      <c r="J680" s="219" t="s">
        <v>6603</v>
      </c>
      <c r="K680" s="219">
        <v>2.5</v>
      </c>
      <c r="L680" s="219"/>
      <c r="M680" s="219"/>
      <c r="N680" s="219" t="s">
        <v>452</v>
      </c>
      <c r="O680" s="219" t="s">
        <v>6604</v>
      </c>
      <c r="P680" s="219"/>
      <c r="Q680" s="322" t="s">
        <v>24</v>
      </c>
      <c r="R680" s="251"/>
      <c r="S680" s="219"/>
      <c r="T680" s="219"/>
      <c r="U680" s="219"/>
      <c r="V680" s="219"/>
      <c r="W680" s="219"/>
      <c r="X680" s="219"/>
      <c r="Y680" s="219"/>
      <c r="Z680" s="219"/>
    </row>
    <row r="681" spans="1:26" ht="15.75" customHeight="1">
      <c r="A681" s="253">
        <v>44791</v>
      </c>
      <c r="B681" s="224" t="s">
        <v>11160</v>
      </c>
      <c r="C681" s="316">
        <v>2.5</v>
      </c>
      <c r="D681" s="224" t="s">
        <v>11161</v>
      </c>
      <c r="E681" s="224" t="s">
        <v>5</v>
      </c>
      <c r="F681" s="224" t="s">
        <v>447</v>
      </c>
      <c r="G681" s="224" t="s">
        <v>11162</v>
      </c>
      <c r="H681" s="224">
        <v>2</v>
      </c>
      <c r="I681" s="224" t="s">
        <v>449</v>
      </c>
      <c r="J681" s="224" t="s">
        <v>11698</v>
      </c>
      <c r="K681" s="224">
        <v>3</v>
      </c>
      <c r="L681" s="224" t="s">
        <v>451</v>
      </c>
      <c r="M681" s="307">
        <v>4000000</v>
      </c>
      <c r="N681" s="224" t="s">
        <v>452</v>
      </c>
      <c r="O681" s="224" t="s">
        <v>2694</v>
      </c>
      <c r="P681" s="224"/>
      <c r="Q681" s="322" t="s">
        <v>24</v>
      </c>
      <c r="R681" s="254"/>
      <c r="S681" s="224"/>
      <c r="T681" s="224"/>
      <c r="U681" s="224"/>
      <c r="V681" s="224"/>
      <c r="W681" s="224"/>
      <c r="X681" s="224"/>
      <c r="Y681" s="224"/>
      <c r="Z681" s="224"/>
    </row>
    <row r="682" spans="1:26" ht="15.75" customHeight="1">
      <c r="A682" s="248">
        <v>44791</v>
      </c>
      <c r="B682" s="219" t="s">
        <v>6825</v>
      </c>
      <c r="C682" s="315">
        <v>2.25</v>
      </c>
      <c r="D682" s="219" t="s">
        <v>6828</v>
      </c>
      <c r="E682" s="219" t="s">
        <v>4</v>
      </c>
      <c r="F682" s="219" t="s">
        <v>725</v>
      </c>
      <c r="G682" s="219" t="s">
        <v>10345</v>
      </c>
      <c r="H682" s="219">
        <v>2.5</v>
      </c>
      <c r="I682" s="219" t="s">
        <v>1045</v>
      </c>
      <c r="J682" s="219" t="s">
        <v>6830</v>
      </c>
      <c r="K682" s="219">
        <v>2</v>
      </c>
      <c r="L682" s="219" t="s">
        <v>451</v>
      </c>
      <c r="M682" s="219">
        <v>2000000</v>
      </c>
      <c r="N682" s="219" t="s">
        <v>452</v>
      </c>
      <c r="O682" s="219" t="s">
        <v>6831</v>
      </c>
      <c r="P682" s="219"/>
      <c r="Q682" s="322" t="s">
        <v>24</v>
      </c>
      <c r="R682" s="251"/>
      <c r="S682" s="219"/>
      <c r="T682" s="219"/>
      <c r="U682" s="219"/>
      <c r="V682" s="219"/>
      <c r="W682" s="219"/>
      <c r="X682" s="219"/>
      <c r="Y682" s="219"/>
      <c r="Z682" s="219"/>
    </row>
    <row r="683" spans="1:26" ht="15.75" customHeight="1">
      <c r="A683" s="253">
        <v>44791</v>
      </c>
      <c r="B683" s="224" t="s">
        <v>6815</v>
      </c>
      <c r="C683" s="316">
        <v>2.25</v>
      </c>
      <c r="D683" s="224" t="s">
        <v>10757</v>
      </c>
      <c r="E683" s="224" t="s">
        <v>4</v>
      </c>
      <c r="F683" s="224" t="s">
        <v>727</v>
      </c>
      <c r="G683" s="224" t="s">
        <v>10758</v>
      </c>
      <c r="H683" s="224">
        <v>2</v>
      </c>
      <c r="I683" s="224" t="s">
        <v>1045</v>
      </c>
      <c r="J683" s="224" t="s">
        <v>10759</v>
      </c>
      <c r="K683" s="224">
        <v>2.5</v>
      </c>
      <c r="L683" s="224"/>
      <c r="M683" s="307"/>
      <c r="N683" s="224" t="s">
        <v>454</v>
      </c>
      <c r="O683" s="224" t="s">
        <v>6821</v>
      </c>
      <c r="P683" s="224" t="s">
        <v>6822</v>
      </c>
      <c r="Q683" s="322" t="s">
        <v>24</v>
      </c>
      <c r="R683" s="254"/>
      <c r="S683" s="224"/>
      <c r="T683" s="224"/>
      <c r="U683" s="224"/>
      <c r="V683" s="224"/>
      <c r="W683" s="224"/>
      <c r="X683" s="224"/>
      <c r="Y683" s="224"/>
      <c r="Z683" s="224"/>
    </row>
    <row r="684" spans="1:26" ht="15.75" customHeight="1">
      <c r="A684" s="248">
        <v>44791</v>
      </c>
      <c r="B684" s="219" t="s">
        <v>6664</v>
      </c>
      <c r="C684" s="315">
        <v>2.25</v>
      </c>
      <c r="D684" s="219" t="s">
        <v>6667</v>
      </c>
      <c r="E684" s="219" t="s">
        <v>4</v>
      </c>
      <c r="F684" s="219" t="s">
        <v>602</v>
      </c>
      <c r="G684" s="219" t="s">
        <v>6668</v>
      </c>
      <c r="H684" s="219">
        <v>2.5</v>
      </c>
      <c r="I684" s="219" t="s">
        <v>1036</v>
      </c>
      <c r="J684" s="219" t="s">
        <v>6669</v>
      </c>
      <c r="K684" s="219">
        <v>2</v>
      </c>
      <c r="L684" s="219" t="s">
        <v>451</v>
      </c>
      <c r="M684" s="219">
        <v>2000000</v>
      </c>
      <c r="N684" s="219" t="s">
        <v>465</v>
      </c>
      <c r="O684" s="219" t="s">
        <v>6670</v>
      </c>
      <c r="P684" s="219"/>
      <c r="Q684" s="322" t="s">
        <v>24</v>
      </c>
      <c r="R684" s="251"/>
      <c r="S684" s="219"/>
      <c r="T684" s="219"/>
      <c r="U684" s="219"/>
      <c r="V684" s="219"/>
      <c r="W684" s="219"/>
      <c r="X684" s="219"/>
      <c r="Y684" s="219"/>
      <c r="Z684" s="219"/>
    </row>
    <row r="685" spans="1:26" ht="15.75" customHeight="1">
      <c r="A685" s="253">
        <v>44791</v>
      </c>
      <c r="B685" s="224" t="s">
        <v>6697</v>
      </c>
      <c r="C685" s="316">
        <v>2.25</v>
      </c>
      <c r="D685" s="224" t="s">
        <v>6700</v>
      </c>
      <c r="E685" s="224" t="s">
        <v>4</v>
      </c>
      <c r="F685" s="224" t="s">
        <v>602</v>
      </c>
      <c r="G685" s="224" t="s">
        <v>6701</v>
      </c>
      <c r="H685" s="224">
        <v>2.5</v>
      </c>
      <c r="I685" s="224" t="s">
        <v>1073</v>
      </c>
      <c r="J685" s="224" t="s">
        <v>6702</v>
      </c>
      <c r="K685" s="224">
        <v>2</v>
      </c>
      <c r="L685" s="224"/>
      <c r="M685" s="224"/>
      <c r="N685" s="224" t="s">
        <v>454</v>
      </c>
      <c r="O685" s="224" t="s">
        <v>6703</v>
      </c>
      <c r="P685" s="224"/>
      <c r="Q685" s="322" t="s">
        <v>24</v>
      </c>
      <c r="R685" s="254"/>
      <c r="S685" s="224"/>
      <c r="T685" s="224"/>
      <c r="U685" s="224"/>
      <c r="V685" s="224"/>
      <c r="W685" s="224"/>
      <c r="X685" s="224"/>
      <c r="Y685" s="224"/>
      <c r="Z685" s="224"/>
    </row>
    <row r="686" spans="1:26" ht="15.75" customHeight="1">
      <c r="A686" s="248">
        <v>44791</v>
      </c>
      <c r="B686" s="219" t="s">
        <v>6631</v>
      </c>
      <c r="C686" s="315">
        <v>2.25</v>
      </c>
      <c r="D686" s="219" t="s">
        <v>6634</v>
      </c>
      <c r="E686" s="219" t="s">
        <v>4</v>
      </c>
      <c r="F686" s="219" t="s">
        <v>602</v>
      </c>
      <c r="G686" s="219" t="s">
        <v>6635</v>
      </c>
      <c r="H686" s="219">
        <v>2</v>
      </c>
      <c r="I686" s="219" t="s">
        <v>476</v>
      </c>
      <c r="J686" s="219" t="s">
        <v>11699</v>
      </c>
      <c r="K686" s="219">
        <v>2.5</v>
      </c>
      <c r="L686" s="219"/>
      <c r="M686" s="312"/>
      <c r="N686" s="219" t="s">
        <v>452</v>
      </c>
      <c r="O686" s="219" t="s">
        <v>575</v>
      </c>
      <c r="P686" s="219"/>
      <c r="Q686" s="322" t="s">
        <v>24</v>
      </c>
      <c r="R686" s="251"/>
      <c r="S686" s="219"/>
      <c r="T686" s="219"/>
      <c r="U686" s="219"/>
      <c r="V686" s="219"/>
      <c r="W686" s="219"/>
      <c r="X686" s="219"/>
      <c r="Y686" s="219"/>
      <c r="Z686" s="219"/>
    </row>
    <row r="687" spans="1:26" ht="15.75" customHeight="1">
      <c r="A687" s="253">
        <v>44791</v>
      </c>
      <c r="B687" s="224" t="s">
        <v>6689</v>
      </c>
      <c r="C687" s="316">
        <v>2.25</v>
      </c>
      <c r="D687" s="224" t="s">
        <v>6692</v>
      </c>
      <c r="E687" s="224" t="s">
        <v>4</v>
      </c>
      <c r="F687" s="224" t="s">
        <v>602</v>
      </c>
      <c r="G687" s="224" t="s">
        <v>6693</v>
      </c>
      <c r="H687" s="224">
        <v>3</v>
      </c>
      <c r="I687" s="224" t="s">
        <v>476</v>
      </c>
      <c r="J687" s="224" t="s">
        <v>11000</v>
      </c>
      <c r="K687" s="224">
        <v>1.5</v>
      </c>
      <c r="L687" s="224"/>
      <c r="M687" s="224"/>
      <c r="N687" s="224" t="s">
        <v>452</v>
      </c>
      <c r="O687" s="224" t="s">
        <v>974</v>
      </c>
      <c r="P687" s="224" t="s">
        <v>6695</v>
      </c>
      <c r="Q687" s="322" t="s">
        <v>24</v>
      </c>
      <c r="R687" s="254"/>
      <c r="S687" s="224"/>
      <c r="T687" s="224"/>
      <c r="U687" s="224"/>
      <c r="V687" s="224"/>
      <c r="W687" s="224"/>
      <c r="X687" s="224"/>
      <c r="Y687" s="224"/>
      <c r="Z687" s="224"/>
    </row>
    <row r="688" spans="1:26" ht="15.75" customHeight="1">
      <c r="A688" s="248">
        <v>44791</v>
      </c>
      <c r="B688" s="219" t="s">
        <v>3449</v>
      </c>
      <c r="C688" s="315">
        <v>2.25</v>
      </c>
      <c r="D688" s="219" t="s">
        <v>3452</v>
      </c>
      <c r="E688" s="219" t="s">
        <v>5</v>
      </c>
      <c r="F688" s="219" t="s">
        <v>447</v>
      </c>
      <c r="G688" s="219" t="s">
        <v>11277</v>
      </c>
      <c r="H688" s="219">
        <v>2.5</v>
      </c>
      <c r="I688" s="219" t="s">
        <v>543</v>
      </c>
      <c r="J688" s="219" t="s">
        <v>11278</v>
      </c>
      <c r="K688" s="219">
        <v>2</v>
      </c>
      <c r="L688" s="219"/>
      <c r="M688" s="310"/>
      <c r="N688" s="219" t="s">
        <v>454</v>
      </c>
      <c r="O688" s="219" t="s">
        <v>452</v>
      </c>
      <c r="P688" s="219"/>
      <c r="Q688" s="322" t="s">
        <v>24</v>
      </c>
      <c r="R688" s="251"/>
      <c r="S688" s="219"/>
      <c r="T688" s="219"/>
      <c r="U688" s="219"/>
      <c r="V688" s="219"/>
      <c r="W688" s="219"/>
      <c r="X688" s="219"/>
      <c r="Y688" s="219"/>
      <c r="Z688" s="219"/>
    </row>
    <row r="689" spans="1:26" ht="15.75" customHeight="1">
      <c r="A689" s="253">
        <v>44791</v>
      </c>
      <c r="B689" s="224" t="s">
        <v>9576</v>
      </c>
      <c r="C689" s="316">
        <v>2.25</v>
      </c>
      <c r="D689" s="224" t="s">
        <v>9579</v>
      </c>
      <c r="E689" s="224" t="s">
        <v>5</v>
      </c>
      <c r="F689" s="224" t="s">
        <v>447</v>
      </c>
      <c r="G689" s="224" t="s">
        <v>11149</v>
      </c>
      <c r="H689" s="224">
        <v>2</v>
      </c>
      <c r="I689" s="224" t="s">
        <v>543</v>
      </c>
      <c r="J689" s="224"/>
      <c r="K689" s="224">
        <v>2.5</v>
      </c>
      <c r="L689" s="224" t="s">
        <v>451</v>
      </c>
      <c r="M689" s="307">
        <v>3620880</v>
      </c>
      <c r="N689" s="224" t="s">
        <v>452</v>
      </c>
      <c r="O689" s="224" t="s">
        <v>9581</v>
      </c>
      <c r="P689" s="224"/>
      <c r="Q689" s="224" t="s">
        <v>23</v>
      </c>
      <c r="R689" s="254"/>
      <c r="S689" s="224"/>
      <c r="T689" s="224"/>
      <c r="U689" s="224"/>
      <c r="V689" s="224"/>
      <c r="W689" s="224"/>
      <c r="X689" s="224"/>
      <c r="Y689" s="224"/>
      <c r="Z689" s="224"/>
    </row>
    <row r="690" spans="1:26" ht="15.75" customHeight="1">
      <c r="A690" s="248">
        <v>44791</v>
      </c>
      <c r="B690" s="219" t="s">
        <v>2147</v>
      </c>
      <c r="C690" s="315">
        <v>2.25</v>
      </c>
      <c r="D690" s="219"/>
      <c r="E690" s="219" t="s">
        <v>5</v>
      </c>
      <c r="F690" s="219" t="s">
        <v>447</v>
      </c>
      <c r="G690" s="219" t="s">
        <v>11358</v>
      </c>
      <c r="H690" s="219">
        <v>2.5</v>
      </c>
      <c r="I690" s="219" t="s">
        <v>622</v>
      </c>
      <c r="J690" s="219" t="s">
        <v>2151</v>
      </c>
      <c r="K690" s="219">
        <v>2</v>
      </c>
      <c r="L690" s="219" t="s">
        <v>2152</v>
      </c>
      <c r="M690" s="219">
        <v>500000</v>
      </c>
      <c r="N690" s="219" t="s">
        <v>452</v>
      </c>
      <c r="O690" s="219" t="s">
        <v>2153</v>
      </c>
      <c r="P690" s="219"/>
      <c r="Q690" s="322" t="s">
        <v>24</v>
      </c>
      <c r="R690" s="251"/>
      <c r="S690" s="219"/>
      <c r="T690" s="219"/>
      <c r="U690" s="219"/>
      <c r="V690" s="219"/>
      <c r="W690" s="219"/>
      <c r="X690" s="219"/>
      <c r="Y690" s="219"/>
      <c r="Z690" s="219"/>
    </row>
    <row r="691" spans="1:26" ht="15.75" customHeight="1">
      <c r="A691" s="253">
        <v>44791</v>
      </c>
      <c r="B691" s="224" t="s">
        <v>7508</v>
      </c>
      <c r="C691" s="316">
        <v>2</v>
      </c>
      <c r="D691" s="224" t="s">
        <v>7511</v>
      </c>
      <c r="E691" s="224" t="s">
        <v>4</v>
      </c>
      <c r="F691" s="224" t="s">
        <v>727</v>
      </c>
      <c r="G691" s="224" t="s">
        <v>6733</v>
      </c>
      <c r="H691" s="224">
        <v>2</v>
      </c>
      <c r="I691" s="224" t="s">
        <v>1457</v>
      </c>
      <c r="J691" s="224" t="s">
        <v>7512</v>
      </c>
      <c r="K691" s="224">
        <v>2</v>
      </c>
      <c r="L691" s="224" t="s">
        <v>784</v>
      </c>
      <c r="M691" s="307">
        <v>750000</v>
      </c>
      <c r="N691" s="224" t="s">
        <v>465</v>
      </c>
      <c r="O691" s="224" t="s">
        <v>7513</v>
      </c>
      <c r="P691" s="224"/>
      <c r="Q691" s="322" t="s">
        <v>24</v>
      </c>
      <c r="R691" s="254"/>
      <c r="S691" s="224"/>
      <c r="T691" s="224"/>
      <c r="U691" s="224"/>
      <c r="V691" s="224"/>
      <c r="W691" s="224"/>
      <c r="X691" s="224"/>
      <c r="Y691" s="224"/>
      <c r="Z691" s="224"/>
    </row>
    <row r="692" spans="1:26" ht="15.75" customHeight="1">
      <c r="A692" s="248">
        <v>44791</v>
      </c>
      <c r="B692" s="219" t="s">
        <v>9096</v>
      </c>
      <c r="C692" s="315">
        <v>2</v>
      </c>
      <c r="D692" s="219" t="s">
        <v>9099</v>
      </c>
      <c r="E692" s="219" t="s">
        <v>3</v>
      </c>
      <c r="F692" s="219" t="s">
        <v>460</v>
      </c>
      <c r="G692" s="219" t="s">
        <v>9100</v>
      </c>
      <c r="H692" s="219">
        <v>2</v>
      </c>
      <c r="I692" s="219" t="s">
        <v>462</v>
      </c>
      <c r="J692" s="219" t="s">
        <v>9101</v>
      </c>
      <c r="K692" s="219">
        <v>2</v>
      </c>
      <c r="L692" s="219" t="s">
        <v>451</v>
      </c>
      <c r="M692" s="219">
        <v>5000000</v>
      </c>
      <c r="N692" s="219" t="s">
        <v>454</v>
      </c>
      <c r="O692" s="219" t="s">
        <v>452</v>
      </c>
      <c r="P692" s="219" t="s">
        <v>9102</v>
      </c>
      <c r="Q692" s="322" t="s">
        <v>24</v>
      </c>
      <c r="R692" s="251"/>
      <c r="S692" s="219"/>
      <c r="T692" s="219"/>
      <c r="U692" s="219"/>
      <c r="V692" s="219"/>
      <c r="W692" s="219"/>
      <c r="X692" s="219"/>
      <c r="Y692" s="219"/>
      <c r="Z692" s="219"/>
    </row>
    <row r="693" spans="1:26" ht="15.75" customHeight="1">
      <c r="A693" s="253">
        <v>44791</v>
      </c>
      <c r="B693" s="224" t="s">
        <v>7625</v>
      </c>
      <c r="C693" s="316">
        <v>2</v>
      </c>
      <c r="D693" s="224" t="s">
        <v>7628</v>
      </c>
      <c r="E693" s="224" t="s">
        <v>4</v>
      </c>
      <c r="F693" s="224" t="s">
        <v>602</v>
      </c>
      <c r="G693" s="224" t="s">
        <v>7629</v>
      </c>
      <c r="H693" s="224">
        <v>2</v>
      </c>
      <c r="I693" s="224" t="s">
        <v>1045</v>
      </c>
      <c r="J693" s="224" t="s">
        <v>7630</v>
      </c>
      <c r="K693" s="224">
        <v>2</v>
      </c>
      <c r="L693" s="224" t="s">
        <v>451</v>
      </c>
      <c r="M693" s="307">
        <v>1500000</v>
      </c>
      <c r="N693" s="224" t="s">
        <v>452</v>
      </c>
      <c r="O693" s="224" t="s">
        <v>7631</v>
      </c>
      <c r="P693" s="224" t="s">
        <v>7632</v>
      </c>
      <c r="Q693" s="322" t="s">
        <v>24</v>
      </c>
      <c r="R693" s="254"/>
      <c r="S693" s="224"/>
      <c r="T693" s="224"/>
      <c r="U693" s="224"/>
      <c r="V693" s="224"/>
      <c r="W693" s="224"/>
      <c r="X693" s="224"/>
      <c r="Y693" s="224"/>
      <c r="Z693" s="224"/>
    </row>
    <row r="694" spans="1:26" ht="15.75" customHeight="1">
      <c r="A694" s="248">
        <v>44791</v>
      </c>
      <c r="B694" s="219" t="s">
        <v>6948</v>
      </c>
      <c r="C694" s="315">
        <v>2</v>
      </c>
      <c r="D694" s="219" t="s">
        <v>6951</v>
      </c>
      <c r="E694" s="219" t="s">
        <v>4</v>
      </c>
      <c r="F694" s="219" t="s">
        <v>725</v>
      </c>
      <c r="G694" s="219" t="s">
        <v>10348</v>
      </c>
      <c r="H694" s="219">
        <v>2</v>
      </c>
      <c r="I694" s="219" t="s">
        <v>1045</v>
      </c>
      <c r="J694" s="219" t="s">
        <v>6953</v>
      </c>
      <c r="K694" s="219">
        <v>2</v>
      </c>
      <c r="L694" s="219" t="s">
        <v>478</v>
      </c>
      <c r="M694" s="310">
        <v>500000</v>
      </c>
      <c r="N694" s="219" t="s">
        <v>465</v>
      </c>
      <c r="O694" s="219" t="s">
        <v>452</v>
      </c>
      <c r="P694" s="219"/>
      <c r="Q694" s="322" t="s">
        <v>24</v>
      </c>
      <c r="R694" s="251"/>
      <c r="S694" s="219"/>
      <c r="T694" s="219"/>
      <c r="U694" s="219"/>
      <c r="V694" s="219"/>
      <c r="W694" s="219"/>
      <c r="X694" s="219"/>
      <c r="Y694" s="219"/>
      <c r="Z694" s="219"/>
    </row>
    <row r="695" spans="1:26" ht="15.75" customHeight="1">
      <c r="A695" s="253">
        <v>44791</v>
      </c>
      <c r="B695" s="224" t="s">
        <v>7415</v>
      </c>
      <c r="C695" s="316">
        <v>2</v>
      </c>
      <c r="D695" s="224" t="s">
        <v>7418</v>
      </c>
      <c r="E695" s="224" t="s">
        <v>4</v>
      </c>
      <c r="F695" s="224" t="s">
        <v>725</v>
      </c>
      <c r="G695" s="224" t="s">
        <v>7419</v>
      </c>
      <c r="H695" s="224">
        <v>2</v>
      </c>
      <c r="I695" s="224" t="s">
        <v>1045</v>
      </c>
      <c r="J695" s="224" t="s">
        <v>7420</v>
      </c>
      <c r="K695" s="224">
        <v>2</v>
      </c>
      <c r="L695" s="224" t="s">
        <v>478</v>
      </c>
      <c r="M695" s="307">
        <v>10000000</v>
      </c>
      <c r="N695" s="224" t="s">
        <v>452</v>
      </c>
      <c r="O695" s="224" t="s">
        <v>10351</v>
      </c>
      <c r="P695" s="224" t="s">
        <v>7422</v>
      </c>
      <c r="Q695" s="322" t="s">
        <v>24</v>
      </c>
      <c r="R695" s="254"/>
      <c r="S695" s="224"/>
      <c r="T695" s="224"/>
      <c r="U695" s="224"/>
      <c r="V695" s="224"/>
      <c r="W695" s="224"/>
      <c r="X695" s="224"/>
      <c r="Y695" s="224"/>
      <c r="Z695" s="224"/>
    </row>
    <row r="696" spans="1:26" ht="15.75" customHeight="1">
      <c r="A696" s="248">
        <v>44791</v>
      </c>
      <c r="B696" s="219" t="s">
        <v>7515</v>
      </c>
      <c r="C696" s="315">
        <v>2</v>
      </c>
      <c r="D696" s="219" t="s">
        <v>7518</v>
      </c>
      <c r="E696" s="219" t="s">
        <v>4</v>
      </c>
      <c r="F696" s="219" t="s">
        <v>725</v>
      </c>
      <c r="G696" s="219" t="s">
        <v>10362</v>
      </c>
      <c r="H696" s="219">
        <v>2</v>
      </c>
      <c r="I696" s="219" t="s">
        <v>1045</v>
      </c>
      <c r="J696" s="219" t="s">
        <v>7520</v>
      </c>
      <c r="K696" s="219">
        <v>2</v>
      </c>
      <c r="L696" s="219"/>
      <c r="M696" s="219"/>
      <c r="N696" s="219" t="s">
        <v>465</v>
      </c>
      <c r="O696" s="219" t="s">
        <v>452</v>
      </c>
      <c r="P696" s="219"/>
      <c r="Q696" s="322" t="s">
        <v>24</v>
      </c>
      <c r="R696" s="251"/>
      <c r="S696" s="219"/>
      <c r="T696" s="219"/>
      <c r="U696" s="219"/>
      <c r="V696" s="219"/>
      <c r="W696" s="219"/>
      <c r="X696" s="219"/>
      <c r="Y696" s="219"/>
      <c r="Z696" s="219"/>
    </row>
    <row r="697" spans="1:26" ht="15.75" customHeight="1">
      <c r="A697" s="253">
        <v>44791</v>
      </c>
      <c r="B697" s="224" t="s">
        <v>10646</v>
      </c>
      <c r="C697" s="316">
        <v>2</v>
      </c>
      <c r="D697" s="224" t="s">
        <v>7158</v>
      </c>
      <c r="E697" s="224" t="s">
        <v>4</v>
      </c>
      <c r="F697" s="224" t="s">
        <v>727</v>
      </c>
      <c r="G697" s="224" t="s">
        <v>6733</v>
      </c>
      <c r="H697" s="224">
        <v>2</v>
      </c>
      <c r="I697" s="224" t="s">
        <v>604</v>
      </c>
      <c r="J697" s="224" t="s">
        <v>10647</v>
      </c>
      <c r="K697" s="224">
        <v>2</v>
      </c>
      <c r="L697" s="224" t="s">
        <v>451</v>
      </c>
      <c r="M697" s="224">
        <v>500000</v>
      </c>
      <c r="N697" s="224" t="s">
        <v>454</v>
      </c>
      <c r="O697" s="224" t="s">
        <v>452</v>
      </c>
      <c r="P697" s="224"/>
      <c r="Q697" s="322" t="s">
        <v>24</v>
      </c>
      <c r="R697" s="254"/>
      <c r="S697" s="224"/>
      <c r="T697" s="224"/>
      <c r="U697" s="224"/>
      <c r="V697" s="224"/>
      <c r="W697" s="224"/>
      <c r="X697" s="224"/>
      <c r="Y697" s="224"/>
      <c r="Z697" s="224"/>
    </row>
    <row r="698" spans="1:26" ht="15.75" customHeight="1">
      <c r="A698" s="248">
        <v>44791</v>
      </c>
      <c r="B698" s="219" t="s">
        <v>7137</v>
      </c>
      <c r="C698" s="315">
        <v>2</v>
      </c>
      <c r="D698" s="219" t="s">
        <v>10677</v>
      </c>
      <c r="E698" s="219" t="s">
        <v>4</v>
      </c>
      <c r="F698" s="219" t="s">
        <v>727</v>
      </c>
      <c r="G698" s="219" t="s">
        <v>10678</v>
      </c>
      <c r="H698" s="219">
        <v>2</v>
      </c>
      <c r="I698" s="219" t="s">
        <v>1045</v>
      </c>
      <c r="J698" s="219" t="s">
        <v>7142</v>
      </c>
      <c r="K698" s="219">
        <v>2</v>
      </c>
      <c r="L698" s="219" t="s">
        <v>451</v>
      </c>
      <c r="M698" s="312">
        <v>1500000</v>
      </c>
      <c r="N698" s="219" t="s">
        <v>452</v>
      </c>
      <c r="O698" s="219" t="s">
        <v>7143</v>
      </c>
      <c r="P698" s="219"/>
      <c r="Q698" s="322" t="s">
        <v>24</v>
      </c>
      <c r="R698" s="251"/>
      <c r="S698" s="219"/>
      <c r="T698" s="219"/>
      <c r="U698" s="219"/>
      <c r="V698" s="219"/>
      <c r="W698" s="219"/>
      <c r="X698" s="219"/>
      <c r="Y698" s="219"/>
      <c r="Z698" s="219"/>
    </row>
    <row r="699" spans="1:26" ht="15.75" customHeight="1">
      <c r="A699" s="253">
        <v>44791</v>
      </c>
      <c r="B699" s="224" t="s">
        <v>7540</v>
      </c>
      <c r="C699" s="316">
        <v>2</v>
      </c>
      <c r="D699" s="224" t="s">
        <v>7543</v>
      </c>
      <c r="E699" s="224" t="s">
        <v>4</v>
      </c>
      <c r="F699" s="224" t="s">
        <v>725</v>
      </c>
      <c r="G699" s="224" t="s">
        <v>10756</v>
      </c>
      <c r="H699" s="224">
        <v>2</v>
      </c>
      <c r="I699" s="224" t="s">
        <v>1045</v>
      </c>
      <c r="J699" s="224" t="s">
        <v>7545</v>
      </c>
      <c r="K699" s="224">
        <v>2</v>
      </c>
      <c r="L699" s="224" t="s">
        <v>784</v>
      </c>
      <c r="M699" s="307">
        <v>1200000</v>
      </c>
      <c r="N699" s="224" t="s">
        <v>452</v>
      </c>
      <c r="O699" s="224" t="s">
        <v>7546</v>
      </c>
      <c r="P699" s="224" t="s">
        <v>7547</v>
      </c>
      <c r="Q699" s="322" t="s">
        <v>24</v>
      </c>
      <c r="R699" s="254"/>
      <c r="S699" s="224"/>
      <c r="T699" s="224"/>
      <c r="U699" s="224"/>
      <c r="V699" s="224"/>
      <c r="W699" s="224"/>
      <c r="X699" s="224"/>
      <c r="Y699" s="224"/>
      <c r="Z699" s="224"/>
    </row>
    <row r="700" spans="1:26" ht="15.75" customHeight="1">
      <c r="A700" s="248">
        <v>44791</v>
      </c>
      <c r="B700" s="219" t="s">
        <v>7599</v>
      </c>
      <c r="C700" s="315">
        <v>2</v>
      </c>
      <c r="D700" s="219" t="s">
        <v>7602</v>
      </c>
      <c r="E700" s="219" t="s">
        <v>4</v>
      </c>
      <c r="F700" s="219" t="s">
        <v>725</v>
      </c>
      <c r="G700" s="219"/>
      <c r="H700" s="219">
        <v>2</v>
      </c>
      <c r="I700" s="219" t="s">
        <v>1045</v>
      </c>
      <c r="J700" s="219" t="s">
        <v>7603</v>
      </c>
      <c r="K700" s="219">
        <v>2</v>
      </c>
      <c r="L700" s="219" t="s">
        <v>451</v>
      </c>
      <c r="M700" s="312">
        <v>3500000</v>
      </c>
      <c r="N700" s="219" t="s">
        <v>465</v>
      </c>
      <c r="O700" s="219" t="s">
        <v>7604</v>
      </c>
      <c r="P700" s="219"/>
      <c r="Q700" s="322" t="s">
        <v>24</v>
      </c>
      <c r="R700" s="251"/>
      <c r="S700" s="219"/>
      <c r="T700" s="219"/>
      <c r="U700" s="219"/>
      <c r="V700" s="219"/>
      <c r="W700" s="219"/>
      <c r="X700" s="219"/>
      <c r="Y700" s="219"/>
      <c r="Z700" s="219"/>
    </row>
    <row r="701" spans="1:26" ht="15.75" customHeight="1">
      <c r="A701" s="257">
        <v>44791</v>
      </c>
      <c r="B701" s="258" t="s">
        <v>9745</v>
      </c>
      <c r="C701" s="263">
        <v>2</v>
      </c>
      <c r="D701" s="258" t="s">
        <v>9748</v>
      </c>
      <c r="E701" s="258" t="s">
        <v>3</v>
      </c>
      <c r="F701" s="258" t="s">
        <v>460</v>
      </c>
      <c r="G701" s="258" t="s">
        <v>9749</v>
      </c>
      <c r="H701" s="258">
        <v>2</v>
      </c>
      <c r="I701" s="258" t="s">
        <v>941</v>
      </c>
      <c r="J701" s="258" t="s">
        <v>9750</v>
      </c>
      <c r="K701" s="258">
        <v>2</v>
      </c>
      <c r="L701" s="258"/>
      <c r="M701" s="258"/>
      <c r="N701" s="258" t="s">
        <v>452</v>
      </c>
      <c r="O701" s="258" t="s">
        <v>9751</v>
      </c>
      <c r="P701" s="258" t="s">
        <v>9752</v>
      </c>
      <c r="Q701" s="258" t="s">
        <v>23</v>
      </c>
      <c r="R701" s="259" t="s">
        <v>9753</v>
      </c>
      <c r="S701" s="258"/>
      <c r="T701" s="258"/>
      <c r="U701" s="258"/>
      <c r="V701" s="258"/>
      <c r="W701" s="258"/>
      <c r="X701" s="258"/>
      <c r="Y701" s="258"/>
      <c r="Z701" s="258"/>
    </row>
    <row r="702" spans="1:26" ht="15.75" customHeight="1">
      <c r="A702" s="248">
        <v>44791</v>
      </c>
      <c r="B702" s="219" t="s">
        <v>7051</v>
      </c>
      <c r="C702" s="315">
        <v>2</v>
      </c>
      <c r="D702" s="219" t="s">
        <v>7054</v>
      </c>
      <c r="E702" s="219" t="s">
        <v>4</v>
      </c>
      <c r="F702" s="219" t="s">
        <v>602</v>
      </c>
      <c r="G702" s="219" t="s">
        <v>7055</v>
      </c>
      <c r="H702" s="219">
        <v>2</v>
      </c>
      <c r="I702" s="219" t="s">
        <v>1045</v>
      </c>
      <c r="J702" s="219" t="s">
        <v>7056</v>
      </c>
      <c r="K702" s="219">
        <v>2</v>
      </c>
      <c r="L702" s="219" t="s">
        <v>784</v>
      </c>
      <c r="M702" s="219">
        <v>200000</v>
      </c>
      <c r="N702" s="219" t="s">
        <v>452</v>
      </c>
      <c r="O702" s="219" t="s">
        <v>7057</v>
      </c>
      <c r="P702" s="219"/>
      <c r="Q702" s="322" t="s">
        <v>24</v>
      </c>
      <c r="R702" s="251"/>
      <c r="S702" s="219"/>
      <c r="T702" s="219"/>
      <c r="U702" s="219"/>
      <c r="V702" s="219"/>
      <c r="W702" s="219"/>
      <c r="X702" s="219"/>
      <c r="Y702" s="219"/>
      <c r="Z702" s="219"/>
    </row>
    <row r="703" spans="1:26" ht="15.75" customHeight="1">
      <c r="A703" s="253">
        <v>44791</v>
      </c>
      <c r="B703" s="224" t="s">
        <v>8405</v>
      </c>
      <c r="C703" s="316">
        <v>2</v>
      </c>
      <c r="D703" s="224" t="s">
        <v>8408</v>
      </c>
      <c r="E703" s="224" t="s">
        <v>3</v>
      </c>
      <c r="F703" s="224" t="s">
        <v>460</v>
      </c>
      <c r="G703" s="224" t="s">
        <v>8409</v>
      </c>
      <c r="H703" s="224">
        <v>2</v>
      </c>
      <c r="I703" s="224" t="s">
        <v>462</v>
      </c>
      <c r="J703" s="224" t="s">
        <v>8410</v>
      </c>
      <c r="K703" s="224">
        <v>2</v>
      </c>
      <c r="L703" s="224"/>
      <c r="M703" s="224"/>
      <c r="N703" s="224" t="s">
        <v>452</v>
      </c>
      <c r="O703" s="224" t="s">
        <v>8411</v>
      </c>
      <c r="P703" s="224"/>
      <c r="Q703" s="322" t="s">
        <v>24</v>
      </c>
      <c r="R703" s="254"/>
      <c r="S703" s="224"/>
      <c r="T703" s="224"/>
      <c r="U703" s="224"/>
      <c r="V703" s="224"/>
      <c r="W703" s="224"/>
      <c r="X703" s="224"/>
      <c r="Y703" s="224"/>
      <c r="Z703" s="224"/>
    </row>
    <row r="704" spans="1:26" ht="15.75" customHeight="1">
      <c r="A704" s="248">
        <v>44791</v>
      </c>
      <c r="B704" s="219" t="s">
        <v>8377</v>
      </c>
      <c r="C704" s="315">
        <v>2</v>
      </c>
      <c r="D704" s="219" t="s">
        <v>8380</v>
      </c>
      <c r="E704" s="219" t="s">
        <v>3</v>
      </c>
      <c r="F704" s="219" t="s">
        <v>460</v>
      </c>
      <c r="G704" s="219" t="s">
        <v>8381</v>
      </c>
      <c r="H704" s="219">
        <v>2</v>
      </c>
      <c r="I704" s="219" t="s">
        <v>941</v>
      </c>
      <c r="J704" s="219" t="s">
        <v>8382</v>
      </c>
      <c r="K704" s="219">
        <v>2</v>
      </c>
      <c r="L704" s="219" t="s">
        <v>451</v>
      </c>
      <c r="M704" s="312">
        <v>1200000</v>
      </c>
      <c r="N704" s="219" t="s">
        <v>452</v>
      </c>
      <c r="O704" s="219" t="s">
        <v>8383</v>
      </c>
      <c r="P704" s="219"/>
      <c r="Q704" s="322" t="s">
        <v>24</v>
      </c>
      <c r="R704" s="251"/>
      <c r="S704" s="219"/>
      <c r="T704" s="219"/>
      <c r="U704" s="219"/>
      <c r="V704" s="219"/>
      <c r="W704" s="219"/>
      <c r="X704" s="219"/>
      <c r="Y704" s="219"/>
      <c r="Z704" s="219"/>
    </row>
    <row r="705" spans="1:26" ht="15.75" customHeight="1">
      <c r="A705" s="253">
        <v>44791</v>
      </c>
      <c r="B705" s="224" t="s">
        <v>7380</v>
      </c>
      <c r="C705" s="316">
        <v>2</v>
      </c>
      <c r="D705" s="224" t="s">
        <v>7383</v>
      </c>
      <c r="E705" s="224" t="s">
        <v>4</v>
      </c>
      <c r="F705" s="224" t="s">
        <v>602</v>
      </c>
      <c r="G705" s="224" t="s">
        <v>7384</v>
      </c>
      <c r="H705" s="224">
        <v>2</v>
      </c>
      <c r="I705" s="224" t="s">
        <v>1298</v>
      </c>
      <c r="J705" s="224" t="s">
        <v>7385</v>
      </c>
      <c r="K705" s="224">
        <v>2</v>
      </c>
      <c r="L705" s="224" t="s">
        <v>784</v>
      </c>
      <c r="M705" s="311">
        <v>1000000</v>
      </c>
      <c r="N705" s="224" t="s">
        <v>452</v>
      </c>
      <c r="O705" s="224" t="s">
        <v>7386</v>
      </c>
      <c r="P705" s="224"/>
      <c r="Q705" s="322" t="s">
        <v>24</v>
      </c>
      <c r="R705" s="254"/>
      <c r="S705" s="224"/>
      <c r="T705" s="224"/>
      <c r="U705" s="224"/>
      <c r="V705" s="224"/>
      <c r="W705" s="224"/>
      <c r="X705" s="224"/>
      <c r="Y705" s="224"/>
      <c r="Z705" s="224"/>
    </row>
    <row r="706" spans="1:26" ht="15.75" customHeight="1">
      <c r="A706" s="248">
        <v>44791</v>
      </c>
      <c r="B706" s="219" t="s">
        <v>2399</v>
      </c>
      <c r="C706" s="315">
        <v>2</v>
      </c>
      <c r="D706" s="219" t="s">
        <v>2402</v>
      </c>
      <c r="E706" s="219" t="s">
        <v>5</v>
      </c>
      <c r="F706" s="219" t="s">
        <v>447</v>
      </c>
      <c r="G706" s="219" t="s">
        <v>11054</v>
      </c>
      <c r="H706" s="219">
        <v>2</v>
      </c>
      <c r="I706" s="219" t="s">
        <v>449</v>
      </c>
      <c r="J706" s="219" t="s">
        <v>11700</v>
      </c>
      <c r="K706" s="219">
        <v>2</v>
      </c>
      <c r="L706" s="219" t="s">
        <v>784</v>
      </c>
      <c r="M706" s="312" t="s">
        <v>2405</v>
      </c>
      <c r="N706" s="219" t="s">
        <v>452</v>
      </c>
      <c r="O706" s="219" t="s">
        <v>452</v>
      </c>
      <c r="P706" s="219"/>
      <c r="Q706" s="322" t="s">
        <v>24</v>
      </c>
      <c r="R706" s="251"/>
      <c r="S706" s="219"/>
      <c r="T706" s="219"/>
      <c r="U706" s="219"/>
      <c r="V706" s="219"/>
      <c r="W706" s="219"/>
      <c r="X706" s="219"/>
      <c r="Y706" s="219"/>
      <c r="Z706" s="219"/>
    </row>
    <row r="707" spans="1:26" ht="15.75" customHeight="1">
      <c r="A707" s="253">
        <v>44791</v>
      </c>
      <c r="B707" s="224" t="s">
        <v>7356</v>
      </c>
      <c r="C707" s="316">
        <v>2</v>
      </c>
      <c r="D707" s="224" t="s">
        <v>11059</v>
      </c>
      <c r="E707" s="224" t="s">
        <v>4</v>
      </c>
      <c r="F707" s="224" t="s">
        <v>602</v>
      </c>
      <c r="G707" s="224" t="s">
        <v>7360</v>
      </c>
      <c r="H707" s="224">
        <v>2</v>
      </c>
      <c r="I707" s="224" t="s">
        <v>476</v>
      </c>
      <c r="J707" s="224" t="s">
        <v>11701</v>
      </c>
      <c r="K707" s="224">
        <v>2</v>
      </c>
      <c r="L707" s="224" t="s">
        <v>973</v>
      </c>
      <c r="M707" s="327">
        <v>3000000</v>
      </c>
      <c r="N707" s="224" t="s">
        <v>454</v>
      </c>
      <c r="O707" s="224" t="s">
        <v>7362</v>
      </c>
      <c r="P707" s="224"/>
      <c r="Q707" s="322" t="s">
        <v>24</v>
      </c>
      <c r="R707" s="254"/>
      <c r="S707" s="224"/>
      <c r="T707" s="224"/>
      <c r="U707" s="224"/>
      <c r="V707" s="224"/>
      <c r="W707" s="224"/>
      <c r="X707" s="224"/>
      <c r="Y707" s="224"/>
      <c r="Z707" s="224"/>
    </row>
    <row r="708" spans="1:26" ht="15.75" customHeight="1">
      <c r="A708" s="248">
        <v>44791</v>
      </c>
      <c r="B708" s="219" t="s">
        <v>9266</v>
      </c>
      <c r="C708" s="315">
        <v>2</v>
      </c>
      <c r="D708" s="219" t="s">
        <v>11067</v>
      </c>
      <c r="E708" s="219" t="s">
        <v>3</v>
      </c>
      <c r="F708" s="219" t="s">
        <v>460</v>
      </c>
      <c r="G708" s="219" t="s">
        <v>9270</v>
      </c>
      <c r="H708" s="219">
        <v>2</v>
      </c>
      <c r="I708" s="219" t="s">
        <v>941</v>
      </c>
      <c r="J708" s="219" t="s">
        <v>9271</v>
      </c>
      <c r="K708" s="219">
        <v>2</v>
      </c>
      <c r="L708" s="219" t="s">
        <v>451</v>
      </c>
      <c r="M708" s="312">
        <v>5000000</v>
      </c>
      <c r="N708" s="219" t="s">
        <v>452</v>
      </c>
      <c r="O708" s="219" t="s">
        <v>9272</v>
      </c>
      <c r="P708" s="219" t="s">
        <v>9273</v>
      </c>
      <c r="Q708" s="322" t="s">
        <v>24</v>
      </c>
      <c r="R708" s="251"/>
      <c r="S708" s="219"/>
      <c r="T708" s="219"/>
      <c r="U708" s="219"/>
      <c r="V708" s="219"/>
      <c r="W708" s="219"/>
      <c r="X708" s="219"/>
      <c r="Y708" s="219"/>
      <c r="Z708" s="219"/>
    </row>
    <row r="709" spans="1:26" ht="15.75" customHeight="1">
      <c r="A709" s="253">
        <v>44791</v>
      </c>
      <c r="B709" s="224" t="s">
        <v>8414</v>
      </c>
      <c r="C709" s="316">
        <v>2</v>
      </c>
      <c r="D709" s="224" t="s">
        <v>8417</v>
      </c>
      <c r="E709" s="224" t="s">
        <v>3</v>
      </c>
      <c r="F709" s="224" t="s">
        <v>460</v>
      </c>
      <c r="G709" s="224" t="s">
        <v>8418</v>
      </c>
      <c r="H709" s="224">
        <v>2</v>
      </c>
      <c r="I709" s="224" t="s">
        <v>941</v>
      </c>
      <c r="J709" s="224"/>
      <c r="K709" s="224">
        <v>2</v>
      </c>
      <c r="L709" s="224"/>
      <c r="M709" s="224"/>
      <c r="N709" s="224" t="s">
        <v>452</v>
      </c>
      <c r="O709" s="224" t="s">
        <v>8419</v>
      </c>
      <c r="P709" s="224"/>
      <c r="Q709" s="322" t="s">
        <v>24</v>
      </c>
      <c r="R709" s="254"/>
      <c r="S709" s="224"/>
      <c r="T709" s="224"/>
      <c r="U709" s="224"/>
      <c r="V709" s="224"/>
      <c r="W709" s="224"/>
      <c r="X709" s="224"/>
      <c r="Y709" s="224"/>
      <c r="Z709" s="224"/>
    </row>
    <row r="710" spans="1:26" ht="15.75" customHeight="1">
      <c r="A710" s="248">
        <v>44791</v>
      </c>
      <c r="B710" s="219" t="s">
        <v>7219</v>
      </c>
      <c r="C710" s="315">
        <v>2</v>
      </c>
      <c r="D710" s="219" t="s">
        <v>7222</v>
      </c>
      <c r="E710" s="219" t="s">
        <v>4</v>
      </c>
      <c r="F710" s="219" t="s">
        <v>725</v>
      </c>
      <c r="G710" s="219" t="s">
        <v>10344</v>
      </c>
      <c r="H710" s="219">
        <v>2</v>
      </c>
      <c r="I710" s="219" t="s">
        <v>1045</v>
      </c>
      <c r="J710" s="219" t="s">
        <v>7224</v>
      </c>
      <c r="K710" s="219">
        <v>2</v>
      </c>
      <c r="L710" s="219" t="s">
        <v>451</v>
      </c>
      <c r="M710" s="312">
        <v>1000000</v>
      </c>
      <c r="N710" s="219" t="s">
        <v>454</v>
      </c>
      <c r="O710" s="219" t="s">
        <v>7225</v>
      </c>
      <c r="P710" s="219"/>
      <c r="Q710" s="322" t="s">
        <v>24</v>
      </c>
      <c r="R710" s="251"/>
      <c r="S710" s="219"/>
      <c r="T710" s="219"/>
      <c r="U710" s="219"/>
      <c r="V710" s="219"/>
      <c r="W710" s="219"/>
      <c r="X710" s="219"/>
      <c r="Y710" s="219"/>
      <c r="Z710" s="219"/>
    </row>
    <row r="711" spans="1:26" ht="15.75" customHeight="1">
      <c r="A711" s="253">
        <v>44791</v>
      </c>
      <c r="B711" s="224" t="s">
        <v>7032</v>
      </c>
      <c r="C711" s="316">
        <v>2</v>
      </c>
      <c r="D711" s="224" t="s">
        <v>7035</v>
      </c>
      <c r="E711" s="224" t="s">
        <v>4</v>
      </c>
      <c r="F711" s="224" t="s">
        <v>602</v>
      </c>
      <c r="G711" s="224" t="s">
        <v>7036</v>
      </c>
      <c r="H711" s="224">
        <v>2</v>
      </c>
      <c r="I711" s="224" t="s">
        <v>476</v>
      </c>
      <c r="J711" s="224" t="s">
        <v>11702</v>
      </c>
      <c r="K711" s="224">
        <v>2</v>
      </c>
      <c r="L711" s="224"/>
      <c r="M711" s="224"/>
      <c r="N711" s="224" t="s">
        <v>454</v>
      </c>
      <c r="O711" s="224" t="s">
        <v>11080</v>
      </c>
      <c r="P711" s="224"/>
      <c r="Q711" s="322" t="s">
        <v>24</v>
      </c>
      <c r="R711" s="254"/>
      <c r="S711" s="224"/>
      <c r="T711" s="224"/>
      <c r="U711" s="224"/>
      <c r="V711" s="224"/>
      <c r="W711" s="224"/>
      <c r="X711" s="224"/>
      <c r="Y711" s="224"/>
      <c r="Z711" s="224"/>
    </row>
    <row r="712" spans="1:26" ht="15.75" customHeight="1">
      <c r="A712" s="248">
        <v>44791</v>
      </c>
      <c r="B712" s="219" t="s">
        <v>7642</v>
      </c>
      <c r="C712" s="315">
        <v>1.75</v>
      </c>
      <c r="D712" s="219" t="s">
        <v>7645</v>
      </c>
      <c r="E712" s="219" t="s">
        <v>4</v>
      </c>
      <c r="F712" s="219" t="s">
        <v>602</v>
      </c>
      <c r="G712" s="219" t="s">
        <v>7646</v>
      </c>
      <c r="H712" s="219">
        <v>2.5</v>
      </c>
      <c r="I712" s="219" t="s">
        <v>1036</v>
      </c>
      <c r="J712" s="219" t="s">
        <v>7647</v>
      </c>
      <c r="K712" s="219">
        <v>1</v>
      </c>
      <c r="L712" s="219"/>
      <c r="M712" s="219"/>
      <c r="N712" s="219" t="s">
        <v>452</v>
      </c>
      <c r="O712" s="219" t="s">
        <v>1119</v>
      </c>
      <c r="P712" s="219"/>
      <c r="Q712" s="322" t="s">
        <v>24</v>
      </c>
      <c r="R712" s="251"/>
      <c r="S712" s="219"/>
      <c r="T712" s="219"/>
      <c r="U712" s="219"/>
      <c r="V712" s="219"/>
      <c r="W712" s="219"/>
      <c r="X712" s="219"/>
      <c r="Y712" s="219"/>
      <c r="Z712" s="219"/>
    </row>
    <row r="713" spans="1:26" ht="15.75" customHeight="1">
      <c r="A713" s="253">
        <v>44791</v>
      </c>
      <c r="B713" s="224" t="s">
        <v>9132</v>
      </c>
      <c r="C713" s="316">
        <v>1.5</v>
      </c>
      <c r="D713" s="224" t="s">
        <v>9135</v>
      </c>
      <c r="E713" s="224" t="s">
        <v>3</v>
      </c>
      <c r="F713" s="224" t="s">
        <v>460</v>
      </c>
      <c r="G713" s="224" t="s">
        <v>9136</v>
      </c>
      <c r="H713" s="224">
        <v>1</v>
      </c>
      <c r="I713" s="224" t="s">
        <v>462</v>
      </c>
      <c r="J713" s="224" t="s">
        <v>9137</v>
      </c>
      <c r="K713" s="224">
        <v>2</v>
      </c>
      <c r="L713" s="224"/>
      <c r="M713" s="224"/>
      <c r="N713" s="224" t="s">
        <v>454</v>
      </c>
      <c r="O713" s="224" t="s">
        <v>452</v>
      </c>
      <c r="P713" s="224" t="s">
        <v>9138</v>
      </c>
      <c r="Q713" s="322" t="s">
        <v>24</v>
      </c>
      <c r="R713" s="254"/>
      <c r="S713" s="224"/>
      <c r="T713" s="224"/>
      <c r="U713" s="224"/>
      <c r="V713" s="224"/>
      <c r="W713" s="224"/>
      <c r="X713" s="224"/>
      <c r="Y713" s="224"/>
      <c r="Z713" s="224"/>
    </row>
    <row r="714" spans="1:26" ht="15.75" customHeight="1">
      <c r="A714" s="248">
        <v>44791</v>
      </c>
      <c r="B714" s="219" t="s">
        <v>10747</v>
      </c>
      <c r="C714" s="315">
        <v>1.5</v>
      </c>
      <c r="D714" s="219" t="s">
        <v>7904</v>
      </c>
      <c r="E714" s="219" t="s">
        <v>4</v>
      </c>
      <c r="F714" s="219" t="s">
        <v>725</v>
      </c>
      <c r="G714" s="219" t="s">
        <v>10748</v>
      </c>
      <c r="H714" s="219">
        <v>1</v>
      </c>
      <c r="I714" s="219" t="s">
        <v>1298</v>
      </c>
      <c r="J714" s="219" t="s">
        <v>7906</v>
      </c>
      <c r="K714" s="219">
        <v>2</v>
      </c>
      <c r="L714" s="219"/>
      <c r="M714" s="310"/>
      <c r="N714" s="219" t="s">
        <v>465</v>
      </c>
      <c r="O714" s="219" t="s">
        <v>7907</v>
      </c>
      <c r="P714" s="219"/>
      <c r="Q714" s="322" t="s">
        <v>24</v>
      </c>
      <c r="R714" s="251"/>
      <c r="S714" s="219"/>
      <c r="T714" s="219"/>
      <c r="U714" s="219"/>
      <c r="V714" s="219"/>
      <c r="W714" s="219"/>
      <c r="X714" s="219"/>
      <c r="Y714" s="219"/>
      <c r="Z714" s="219"/>
    </row>
    <row r="715" spans="1:26" ht="15.75" customHeight="1">
      <c r="A715" s="253">
        <v>44791</v>
      </c>
      <c r="B715" s="224" t="s">
        <v>10890</v>
      </c>
      <c r="C715" s="316">
        <v>1.5</v>
      </c>
      <c r="D715" s="224" t="s">
        <v>7806</v>
      </c>
      <c r="E715" s="224" t="s">
        <v>4</v>
      </c>
      <c r="F715" s="224" t="s">
        <v>602</v>
      </c>
      <c r="G715" s="224" t="s">
        <v>7807</v>
      </c>
      <c r="H715" s="224">
        <v>1</v>
      </c>
      <c r="I715" s="224" t="s">
        <v>1073</v>
      </c>
      <c r="J715" s="224"/>
      <c r="K715" s="224">
        <v>2</v>
      </c>
      <c r="L715" s="224" t="s">
        <v>451</v>
      </c>
      <c r="M715" s="311" t="s">
        <v>7808</v>
      </c>
      <c r="N715" s="224" t="s">
        <v>452</v>
      </c>
      <c r="O715" s="224" t="s">
        <v>452</v>
      </c>
      <c r="P715" s="224"/>
      <c r="Q715" s="322" t="s">
        <v>24</v>
      </c>
      <c r="R715" s="254"/>
      <c r="S715" s="224"/>
      <c r="T715" s="224"/>
      <c r="U715" s="224"/>
      <c r="V715" s="224"/>
      <c r="W715" s="224"/>
      <c r="X715" s="224"/>
      <c r="Y715" s="224"/>
      <c r="Z715" s="224"/>
    </row>
    <row r="716" spans="1:26" ht="15.75" customHeight="1">
      <c r="A716" s="248">
        <v>44791</v>
      </c>
      <c r="B716" s="219" t="s">
        <v>7851</v>
      </c>
      <c r="C716" s="315">
        <v>1.5</v>
      </c>
      <c r="D716" s="219" t="s">
        <v>7854</v>
      </c>
      <c r="E716" s="219" t="s">
        <v>4</v>
      </c>
      <c r="F716" s="219" t="s">
        <v>602</v>
      </c>
      <c r="G716" s="219" t="s">
        <v>7855</v>
      </c>
      <c r="H716" s="219">
        <v>2</v>
      </c>
      <c r="I716" s="219" t="s">
        <v>1237</v>
      </c>
      <c r="J716" s="219"/>
      <c r="K716" s="219">
        <v>1</v>
      </c>
      <c r="L716" s="219" t="s">
        <v>451</v>
      </c>
      <c r="M716" s="219" t="s">
        <v>7856</v>
      </c>
      <c r="N716" s="219" t="s">
        <v>452</v>
      </c>
      <c r="O716" s="219" t="s">
        <v>3420</v>
      </c>
      <c r="P716" s="219" t="s">
        <v>7857</v>
      </c>
      <c r="Q716" s="322" t="s">
        <v>24</v>
      </c>
      <c r="R716" s="251"/>
      <c r="S716" s="219"/>
      <c r="T716" s="219"/>
      <c r="U716" s="219"/>
      <c r="V716" s="219"/>
      <c r="W716" s="219"/>
      <c r="X716" s="219"/>
      <c r="Y716" s="219"/>
      <c r="Z716" s="219"/>
    </row>
    <row r="717" spans="1:26" ht="15.75" customHeight="1">
      <c r="A717" s="253">
        <v>44791</v>
      </c>
      <c r="B717" s="224" t="s">
        <v>7978</v>
      </c>
      <c r="C717" s="316">
        <v>1.5</v>
      </c>
      <c r="D717" s="224" t="s">
        <v>7981</v>
      </c>
      <c r="E717" s="224" t="s">
        <v>4</v>
      </c>
      <c r="F717" s="224" t="s">
        <v>725</v>
      </c>
      <c r="G717" s="224" t="s">
        <v>11118</v>
      </c>
      <c r="H717" s="224">
        <v>2</v>
      </c>
      <c r="I717" s="224" t="s">
        <v>476</v>
      </c>
      <c r="J717" s="224" t="s">
        <v>7983</v>
      </c>
      <c r="K717" s="224">
        <v>1</v>
      </c>
      <c r="L717" s="224" t="s">
        <v>451</v>
      </c>
      <c r="M717" s="224" t="s">
        <v>7984</v>
      </c>
      <c r="N717" s="224" t="s">
        <v>452</v>
      </c>
      <c r="O717" s="224" t="s">
        <v>7985</v>
      </c>
      <c r="P717" s="224"/>
      <c r="Q717" s="322" t="s">
        <v>24</v>
      </c>
      <c r="R717" s="254"/>
      <c r="S717" s="224"/>
      <c r="T717" s="224"/>
      <c r="U717" s="224"/>
      <c r="V717" s="224"/>
      <c r="W717" s="224"/>
      <c r="X717" s="224"/>
      <c r="Y717" s="224"/>
      <c r="Z717" s="224"/>
    </row>
    <row r="718" spans="1:26" ht="15.75" customHeight="1">
      <c r="A718" s="248">
        <v>44791</v>
      </c>
      <c r="B718" s="219" t="s">
        <v>8227</v>
      </c>
      <c r="C718" s="315">
        <v>1</v>
      </c>
      <c r="D718" s="219" t="s">
        <v>8230</v>
      </c>
      <c r="E718" s="219" t="s">
        <v>4</v>
      </c>
      <c r="F718" s="219" t="s">
        <v>725</v>
      </c>
      <c r="G718" s="219" t="s">
        <v>10356</v>
      </c>
      <c r="H718" s="219">
        <v>1</v>
      </c>
      <c r="I718" s="219" t="s">
        <v>1045</v>
      </c>
      <c r="J718" s="219" t="s">
        <v>8232</v>
      </c>
      <c r="K718" s="219">
        <v>1</v>
      </c>
      <c r="L718" s="219" t="s">
        <v>784</v>
      </c>
      <c r="M718" s="312">
        <v>200000</v>
      </c>
      <c r="N718" s="219" t="s">
        <v>465</v>
      </c>
      <c r="O718" s="219" t="s">
        <v>8233</v>
      </c>
      <c r="P718" s="219"/>
      <c r="Q718" s="322" t="s">
        <v>24</v>
      </c>
      <c r="R718" s="251"/>
      <c r="S718" s="219"/>
      <c r="T718" s="219"/>
      <c r="U718" s="219"/>
      <c r="V718" s="219"/>
      <c r="W718" s="219"/>
      <c r="X718" s="219"/>
      <c r="Y718" s="219"/>
      <c r="Z718" s="219"/>
    </row>
    <row r="719" spans="1:26" ht="15.75" customHeight="1">
      <c r="A719" s="253">
        <v>44791</v>
      </c>
      <c r="B719" s="224" t="s">
        <v>8236</v>
      </c>
      <c r="C719" s="316">
        <v>1</v>
      </c>
      <c r="D719" s="224" t="s">
        <v>8239</v>
      </c>
      <c r="E719" s="224" t="s">
        <v>4</v>
      </c>
      <c r="F719" s="224" t="s">
        <v>727</v>
      </c>
      <c r="G719" s="224"/>
      <c r="H719" s="224">
        <v>1</v>
      </c>
      <c r="I719" s="224" t="s">
        <v>1298</v>
      </c>
      <c r="J719" s="224" t="s">
        <v>8240</v>
      </c>
      <c r="K719" s="224">
        <v>1</v>
      </c>
      <c r="L719" s="224"/>
      <c r="M719" s="224"/>
      <c r="N719" s="224" t="s">
        <v>465</v>
      </c>
      <c r="O719" s="224" t="s">
        <v>8241</v>
      </c>
      <c r="P719" s="224" t="s">
        <v>8242</v>
      </c>
      <c r="Q719" s="322" t="s">
        <v>24</v>
      </c>
      <c r="R719" s="254"/>
      <c r="S719" s="224"/>
      <c r="T719" s="224"/>
      <c r="U719" s="224"/>
      <c r="V719" s="224"/>
      <c r="W719" s="224"/>
      <c r="X719" s="224"/>
      <c r="Y719" s="224"/>
      <c r="Z719" s="224"/>
    </row>
    <row r="720" spans="1:26" ht="15.75" customHeight="1">
      <c r="A720" s="248">
        <v>44791</v>
      </c>
      <c r="B720" s="219" t="s">
        <v>10741</v>
      </c>
      <c r="C720" s="315">
        <v>1</v>
      </c>
      <c r="D720" s="219" t="s">
        <v>8196</v>
      </c>
      <c r="E720" s="219" t="s">
        <v>4</v>
      </c>
      <c r="F720" s="219" t="s">
        <v>725</v>
      </c>
      <c r="G720" s="219"/>
      <c r="H720" s="219">
        <v>1</v>
      </c>
      <c r="I720" s="219" t="s">
        <v>476</v>
      </c>
      <c r="J720" s="219" t="s">
        <v>8061</v>
      </c>
      <c r="K720" s="219">
        <v>1</v>
      </c>
      <c r="L720" s="219" t="s">
        <v>784</v>
      </c>
      <c r="M720" s="312">
        <v>400000</v>
      </c>
      <c r="N720" s="219" t="s">
        <v>452</v>
      </c>
      <c r="O720" s="219" t="s">
        <v>575</v>
      </c>
      <c r="P720" s="219" t="s">
        <v>8197</v>
      </c>
      <c r="Q720" s="322" t="s">
        <v>24</v>
      </c>
      <c r="R720" s="251"/>
      <c r="S720" s="219"/>
      <c r="T720" s="219"/>
      <c r="U720" s="219"/>
      <c r="V720" s="219"/>
      <c r="W720" s="219"/>
      <c r="X720" s="219"/>
      <c r="Y720" s="219"/>
      <c r="Z720" s="219"/>
    </row>
    <row r="721" spans="1:26" ht="15.75" customHeight="1">
      <c r="A721" s="253">
        <v>44791</v>
      </c>
      <c r="B721" s="224" t="s">
        <v>8133</v>
      </c>
      <c r="C721" s="316">
        <v>1</v>
      </c>
      <c r="D721" s="224" t="s">
        <v>10883</v>
      </c>
      <c r="E721" s="224" t="s">
        <v>4</v>
      </c>
      <c r="F721" s="224" t="s">
        <v>602</v>
      </c>
      <c r="G721" s="224" t="s">
        <v>8137</v>
      </c>
      <c r="H721" s="224">
        <v>1</v>
      </c>
      <c r="I721" s="224" t="s">
        <v>1045</v>
      </c>
      <c r="J721" s="224" t="s">
        <v>8138</v>
      </c>
      <c r="K721" s="224">
        <v>1</v>
      </c>
      <c r="L721" s="224"/>
      <c r="M721" s="224"/>
      <c r="N721" s="224" t="s">
        <v>452</v>
      </c>
      <c r="O721" s="224" t="s">
        <v>452</v>
      </c>
      <c r="P721" s="224" t="s">
        <v>8139</v>
      </c>
      <c r="Q721" s="322" t="s">
        <v>24</v>
      </c>
      <c r="R721" s="254"/>
      <c r="S721" s="224"/>
      <c r="T721" s="224"/>
      <c r="U721" s="224"/>
      <c r="V721" s="224"/>
      <c r="W721" s="224"/>
      <c r="X721" s="224"/>
      <c r="Y721" s="224"/>
      <c r="Z721" s="224"/>
    </row>
    <row r="722" spans="1:26" ht="15.75" customHeight="1">
      <c r="A722" s="248">
        <v>44791</v>
      </c>
      <c r="B722" s="219" t="s">
        <v>8100</v>
      </c>
      <c r="C722" s="315">
        <v>1</v>
      </c>
      <c r="D722" s="219" t="s">
        <v>8103</v>
      </c>
      <c r="E722" s="219" t="s">
        <v>4</v>
      </c>
      <c r="F722" s="219" t="s">
        <v>602</v>
      </c>
      <c r="G722" s="219" t="s">
        <v>7807</v>
      </c>
      <c r="H722" s="219">
        <v>1</v>
      </c>
      <c r="I722" s="219" t="s">
        <v>1045</v>
      </c>
      <c r="J722" s="219" t="s">
        <v>8104</v>
      </c>
      <c r="K722" s="219">
        <v>1</v>
      </c>
      <c r="L722" s="219"/>
      <c r="M722" s="219"/>
      <c r="N722" s="219" t="s">
        <v>465</v>
      </c>
      <c r="O722" s="219" t="s">
        <v>575</v>
      </c>
      <c r="P722" s="219"/>
      <c r="Q722" s="322" t="s">
        <v>24</v>
      </c>
      <c r="R722" s="251"/>
      <c r="S722" s="219"/>
      <c r="T722" s="219"/>
      <c r="U722" s="219"/>
      <c r="V722" s="219"/>
      <c r="W722" s="219"/>
      <c r="X722" s="219"/>
      <c r="Y722" s="219"/>
      <c r="Z722" s="219"/>
    </row>
    <row r="723" spans="1:26" ht="15.75" customHeight="1">
      <c r="A723" s="253">
        <v>44791</v>
      </c>
      <c r="B723" s="224" t="s">
        <v>8981</v>
      </c>
      <c r="C723" s="316">
        <v>1</v>
      </c>
      <c r="D723" s="224" t="s">
        <v>8984</v>
      </c>
      <c r="E723" s="224" t="s">
        <v>3</v>
      </c>
      <c r="F723" s="224" t="s">
        <v>488</v>
      </c>
      <c r="G723" s="224"/>
      <c r="H723" s="224">
        <v>1</v>
      </c>
      <c r="I723" s="224" t="s">
        <v>941</v>
      </c>
      <c r="J723" s="224" t="s">
        <v>8985</v>
      </c>
      <c r="K723" s="224">
        <v>1</v>
      </c>
      <c r="L723" s="224" t="s">
        <v>451</v>
      </c>
      <c r="M723" s="307">
        <v>500</v>
      </c>
      <c r="N723" s="224" t="s">
        <v>452</v>
      </c>
      <c r="O723" s="224" t="s">
        <v>3420</v>
      </c>
      <c r="P723" s="224"/>
      <c r="Q723" s="322" t="s">
        <v>24</v>
      </c>
      <c r="R723" s="254"/>
      <c r="S723" s="224"/>
      <c r="T723" s="224"/>
      <c r="U723" s="224"/>
      <c r="V723" s="224"/>
      <c r="W723" s="224"/>
      <c r="X723" s="224"/>
      <c r="Y723" s="224"/>
      <c r="Z723" s="224"/>
    </row>
    <row r="724" spans="1:26" ht="15.75" customHeight="1">
      <c r="A724" s="248">
        <v>44791</v>
      </c>
      <c r="B724" s="219" t="s">
        <v>9201</v>
      </c>
      <c r="C724" s="315">
        <v>1</v>
      </c>
      <c r="D724" s="219" t="s">
        <v>9204</v>
      </c>
      <c r="E724" s="219" t="s">
        <v>3</v>
      </c>
      <c r="F724" s="219" t="s">
        <v>460</v>
      </c>
      <c r="G724" s="219" t="s">
        <v>9205</v>
      </c>
      <c r="H724" s="219">
        <v>1</v>
      </c>
      <c r="I724" s="219" t="s">
        <v>462</v>
      </c>
      <c r="J724" s="219" t="s">
        <v>9206</v>
      </c>
      <c r="K724" s="219">
        <v>1</v>
      </c>
      <c r="L724" s="219"/>
      <c r="M724" s="219"/>
      <c r="N724" s="219" t="s">
        <v>452</v>
      </c>
      <c r="O724" s="219" t="s">
        <v>9207</v>
      </c>
      <c r="P724" s="219"/>
      <c r="Q724" s="322" t="s">
        <v>24</v>
      </c>
      <c r="R724" s="251"/>
      <c r="S724" s="219"/>
      <c r="T724" s="219"/>
      <c r="U724" s="219"/>
      <c r="V724" s="219"/>
      <c r="W724" s="219"/>
      <c r="X724" s="219"/>
      <c r="Y724" s="219"/>
      <c r="Z724" s="219"/>
    </row>
    <row r="725" spans="1:26" ht="15.75" customHeight="1">
      <c r="A725" s="257">
        <v>44796</v>
      </c>
      <c r="B725" s="258" t="s">
        <v>300</v>
      </c>
      <c r="C725" s="263">
        <v>4.75</v>
      </c>
      <c r="D725" s="258" t="s">
        <v>1675</v>
      </c>
      <c r="E725" s="258" t="s">
        <v>3</v>
      </c>
      <c r="F725" s="258" t="s">
        <v>460</v>
      </c>
      <c r="G725" s="258" t="s">
        <v>1676</v>
      </c>
      <c r="H725" s="258">
        <v>4.5</v>
      </c>
      <c r="I725" s="258" t="s">
        <v>462</v>
      </c>
      <c r="J725" s="258" t="s">
        <v>1677</v>
      </c>
      <c r="K725" s="258">
        <v>5</v>
      </c>
      <c r="L725" s="258" t="s">
        <v>451</v>
      </c>
      <c r="M725" s="258">
        <v>10000000</v>
      </c>
      <c r="N725" s="258" t="s">
        <v>452</v>
      </c>
      <c r="O725" s="258" t="s">
        <v>1678</v>
      </c>
      <c r="P725" s="258"/>
      <c r="Q725" s="258" t="s">
        <v>18</v>
      </c>
      <c r="R725" s="259" t="s">
        <v>1679</v>
      </c>
      <c r="S725" s="258"/>
      <c r="T725" s="258"/>
      <c r="U725" s="258"/>
      <c r="V725" s="258"/>
      <c r="W725" s="258"/>
      <c r="X725" s="258"/>
      <c r="Y725" s="258"/>
      <c r="Z725" s="258"/>
    </row>
    <row r="726" spans="1:26" ht="15.75" customHeight="1">
      <c r="A726" s="257">
        <v>44796</v>
      </c>
      <c r="B726" s="258" t="s">
        <v>237</v>
      </c>
      <c r="C726" s="263">
        <v>4.75</v>
      </c>
      <c r="D726" s="258" t="s">
        <v>1390</v>
      </c>
      <c r="E726" s="258" t="s">
        <v>4</v>
      </c>
      <c r="F726" s="258" t="s">
        <v>727</v>
      </c>
      <c r="G726" s="258" t="s">
        <v>10575</v>
      </c>
      <c r="H726" s="258">
        <v>4.5</v>
      </c>
      <c r="I726" s="258" t="s">
        <v>1371</v>
      </c>
      <c r="J726" s="258" t="s">
        <v>1392</v>
      </c>
      <c r="K726" s="258">
        <v>5</v>
      </c>
      <c r="L726" s="258" t="s">
        <v>478</v>
      </c>
      <c r="M726" s="258">
        <v>8000000</v>
      </c>
      <c r="N726" s="258" t="s">
        <v>452</v>
      </c>
      <c r="O726" s="258" t="s">
        <v>10576</v>
      </c>
      <c r="P726" s="258"/>
      <c r="Q726" s="258" t="s">
        <v>18</v>
      </c>
      <c r="R726" s="259" t="s">
        <v>1394</v>
      </c>
      <c r="S726" s="258"/>
      <c r="T726" s="258"/>
      <c r="U726" s="258"/>
      <c r="V726" s="258"/>
      <c r="W726" s="258"/>
      <c r="X726" s="258"/>
      <c r="Y726" s="258"/>
      <c r="Z726" s="258"/>
    </row>
    <row r="727" spans="1:26" ht="15.75" customHeight="1">
      <c r="A727" s="257">
        <v>44796</v>
      </c>
      <c r="B727" s="258" t="s">
        <v>148</v>
      </c>
      <c r="C727" s="263">
        <v>4.75</v>
      </c>
      <c r="D727" s="258" t="s">
        <v>997</v>
      </c>
      <c r="E727" s="258" t="s">
        <v>4</v>
      </c>
      <c r="F727" s="258" t="s">
        <v>725</v>
      </c>
      <c r="G727" s="258" t="s">
        <v>10764</v>
      </c>
      <c r="H727" s="258">
        <v>4.5</v>
      </c>
      <c r="I727" s="258" t="s">
        <v>990</v>
      </c>
      <c r="J727" s="258" t="s">
        <v>999</v>
      </c>
      <c r="K727" s="258">
        <v>5</v>
      </c>
      <c r="L727" s="258" t="s">
        <v>451</v>
      </c>
      <c r="M727" s="328">
        <v>5000000</v>
      </c>
      <c r="N727" s="258" t="s">
        <v>452</v>
      </c>
      <c r="O727" s="258" t="s">
        <v>1000</v>
      </c>
      <c r="P727" s="258"/>
      <c r="Q727" s="258" t="s">
        <v>18</v>
      </c>
      <c r="R727" s="259" t="s">
        <v>1001</v>
      </c>
      <c r="S727" s="258"/>
      <c r="T727" s="258"/>
      <c r="U727" s="258"/>
      <c r="V727" s="258"/>
      <c r="W727" s="258"/>
      <c r="X727" s="258"/>
      <c r="Y727" s="258"/>
      <c r="Z727" s="258"/>
    </row>
    <row r="728" spans="1:26" ht="15.75" customHeight="1">
      <c r="A728" s="257">
        <v>44796</v>
      </c>
      <c r="B728" s="258" t="s">
        <v>361</v>
      </c>
      <c r="C728" s="263">
        <v>4.75</v>
      </c>
      <c r="D728" s="258" t="s">
        <v>10832</v>
      </c>
      <c r="E728" s="258" t="s">
        <v>3</v>
      </c>
      <c r="F728" s="258" t="s">
        <v>725</v>
      </c>
      <c r="G728" s="258" t="s">
        <v>2041</v>
      </c>
      <c r="H728" s="258">
        <v>5</v>
      </c>
      <c r="I728" s="258" t="s">
        <v>941</v>
      </c>
      <c r="J728" s="258" t="s">
        <v>2042</v>
      </c>
      <c r="K728" s="258">
        <v>4.5</v>
      </c>
      <c r="L728" s="258" t="s">
        <v>451</v>
      </c>
      <c r="M728" s="328">
        <v>15000000</v>
      </c>
      <c r="N728" s="258" t="s">
        <v>452</v>
      </c>
      <c r="O728" s="258" t="s">
        <v>452</v>
      </c>
      <c r="P728" s="258" t="s">
        <v>2043</v>
      </c>
      <c r="Q728" s="258" t="s">
        <v>18</v>
      </c>
      <c r="R728" s="259" t="s">
        <v>2044</v>
      </c>
      <c r="S728" s="258"/>
      <c r="T728" s="258"/>
      <c r="U728" s="258"/>
      <c r="V728" s="258"/>
      <c r="W728" s="258"/>
      <c r="X728" s="258"/>
      <c r="Y728" s="258"/>
      <c r="Z728" s="258"/>
    </row>
    <row r="729" spans="1:26" ht="15.75" customHeight="1">
      <c r="A729" s="257">
        <v>44796</v>
      </c>
      <c r="B729" s="258" t="s">
        <v>78</v>
      </c>
      <c r="C729" s="263">
        <v>4.75</v>
      </c>
      <c r="D729" s="258" t="s">
        <v>562</v>
      </c>
      <c r="E729" s="258" t="s">
        <v>5</v>
      </c>
      <c r="F729" s="258" t="s">
        <v>447</v>
      </c>
      <c r="G729" s="258" t="s">
        <v>10857</v>
      </c>
      <c r="H729" s="258">
        <v>5</v>
      </c>
      <c r="I729" s="258" t="s">
        <v>543</v>
      </c>
      <c r="J729" s="258" t="s">
        <v>11703</v>
      </c>
      <c r="K729" s="258">
        <v>4.5</v>
      </c>
      <c r="L729" s="258" t="s">
        <v>478</v>
      </c>
      <c r="M729" s="258" t="s">
        <v>565</v>
      </c>
      <c r="N729" s="258" t="s">
        <v>452</v>
      </c>
      <c r="O729" s="258" t="s">
        <v>566</v>
      </c>
      <c r="P729" s="258"/>
      <c r="Q729" s="258" t="s">
        <v>18</v>
      </c>
      <c r="R729" s="259" t="s">
        <v>567</v>
      </c>
      <c r="S729" s="258"/>
      <c r="T729" s="258"/>
      <c r="U729" s="258"/>
      <c r="V729" s="258"/>
      <c r="W729" s="258"/>
      <c r="X729" s="258"/>
      <c r="Y729" s="258"/>
      <c r="Z729" s="258"/>
    </row>
    <row r="730" spans="1:26" ht="15.75" customHeight="1">
      <c r="A730" s="257">
        <v>44796</v>
      </c>
      <c r="B730" s="258" t="s">
        <v>369</v>
      </c>
      <c r="C730" s="263">
        <v>4.75</v>
      </c>
      <c r="D730" s="258" t="s">
        <v>2074</v>
      </c>
      <c r="E730" s="258" t="s">
        <v>3</v>
      </c>
      <c r="F730" s="258" t="s">
        <v>488</v>
      </c>
      <c r="G730" s="258" t="s">
        <v>2075</v>
      </c>
      <c r="H730" s="258">
        <v>5</v>
      </c>
      <c r="I730" s="258" t="s">
        <v>462</v>
      </c>
      <c r="J730" s="258" t="s">
        <v>2076</v>
      </c>
      <c r="K730" s="258">
        <v>4.5</v>
      </c>
      <c r="L730" s="258" t="s">
        <v>478</v>
      </c>
      <c r="M730" s="258" t="s">
        <v>2077</v>
      </c>
      <c r="N730" s="258" t="s">
        <v>452</v>
      </c>
      <c r="O730" s="258" t="s">
        <v>2078</v>
      </c>
      <c r="P730" s="258"/>
      <c r="Q730" s="258" t="s">
        <v>18</v>
      </c>
      <c r="R730" s="259" t="s">
        <v>2079</v>
      </c>
      <c r="S730" s="258"/>
      <c r="T730" s="258"/>
      <c r="U730" s="258"/>
      <c r="V730" s="258"/>
      <c r="W730" s="258"/>
      <c r="X730" s="258"/>
      <c r="Y730" s="258"/>
      <c r="Z730" s="258"/>
    </row>
    <row r="731" spans="1:26" ht="15.75" customHeight="1">
      <c r="A731" s="253">
        <v>44796</v>
      </c>
      <c r="B731" s="224" t="s">
        <v>179</v>
      </c>
      <c r="C731" s="316">
        <v>4.75</v>
      </c>
      <c r="D731" s="224" t="s">
        <v>1143</v>
      </c>
      <c r="E731" s="224" t="s">
        <v>4</v>
      </c>
      <c r="F731" s="224" t="s">
        <v>725</v>
      </c>
      <c r="G731" s="224"/>
      <c r="H731" s="224">
        <v>4.5</v>
      </c>
      <c r="I731" s="224" t="s">
        <v>604</v>
      </c>
      <c r="J731" s="224" t="s">
        <v>10995</v>
      </c>
      <c r="K731" s="224">
        <v>5</v>
      </c>
      <c r="L731" s="224"/>
      <c r="M731" s="224"/>
      <c r="N731" s="224" t="s">
        <v>454</v>
      </c>
      <c r="O731" s="224" t="s">
        <v>10996</v>
      </c>
      <c r="P731" s="224"/>
      <c r="Q731" s="224" t="s">
        <v>18</v>
      </c>
      <c r="R731" s="254"/>
      <c r="S731" s="224"/>
      <c r="T731" s="224"/>
      <c r="U731" s="224"/>
      <c r="V731" s="224"/>
      <c r="W731" s="224"/>
      <c r="X731" s="224"/>
      <c r="Y731" s="224"/>
      <c r="Z731" s="224"/>
    </row>
    <row r="732" spans="1:26" ht="15.75" customHeight="1">
      <c r="A732" s="248">
        <v>44796</v>
      </c>
      <c r="B732" s="219" t="s">
        <v>163</v>
      </c>
      <c r="C732" s="315">
        <v>4.63</v>
      </c>
      <c r="D732" s="219" t="s">
        <v>1085</v>
      </c>
      <c r="E732" s="219" t="s">
        <v>4</v>
      </c>
      <c r="F732" s="219" t="s">
        <v>725</v>
      </c>
      <c r="G732" s="219" t="s">
        <v>1086</v>
      </c>
      <c r="H732" s="219">
        <v>4.25</v>
      </c>
      <c r="I732" s="219" t="s">
        <v>1073</v>
      </c>
      <c r="J732" s="219" t="s">
        <v>1087</v>
      </c>
      <c r="K732" s="219">
        <v>5</v>
      </c>
      <c r="L732" s="219" t="s">
        <v>784</v>
      </c>
      <c r="M732" s="219">
        <v>500000</v>
      </c>
      <c r="N732" s="219" t="s">
        <v>452</v>
      </c>
      <c r="O732" s="219" t="s">
        <v>1088</v>
      </c>
      <c r="P732" s="219"/>
      <c r="Q732" s="219" t="s">
        <v>18</v>
      </c>
      <c r="R732" s="251"/>
      <c r="S732" s="219"/>
      <c r="T732" s="219"/>
      <c r="U732" s="219"/>
      <c r="V732" s="219"/>
      <c r="W732" s="219"/>
      <c r="X732" s="219"/>
      <c r="Y732" s="219"/>
      <c r="Z732" s="219"/>
    </row>
    <row r="733" spans="1:26" ht="15.75" customHeight="1">
      <c r="A733" s="255">
        <v>44796</v>
      </c>
      <c r="B733" s="239" t="s">
        <v>82</v>
      </c>
      <c r="C733" s="262">
        <v>4.5</v>
      </c>
      <c r="D733" s="239" t="s">
        <v>591</v>
      </c>
      <c r="E733" s="239" t="s">
        <v>5</v>
      </c>
      <c r="F733" s="239" t="s">
        <v>460</v>
      </c>
      <c r="G733" s="239" t="s">
        <v>592</v>
      </c>
      <c r="H733" s="239">
        <v>4.5</v>
      </c>
      <c r="I733" s="239" t="s">
        <v>462</v>
      </c>
      <c r="J733" s="239" t="s">
        <v>593</v>
      </c>
      <c r="K733" s="239">
        <v>4.5</v>
      </c>
      <c r="L733" s="239" t="s">
        <v>451</v>
      </c>
      <c r="M733" s="329">
        <v>3000000</v>
      </c>
      <c r="N733" s="239" t="s">
        <v>452</v>
      </c>
      <c r="O733" s="239" t="s">
        <v>10644</v>
      </c>
      <c r="P733" s="239"/>
      <c r="Q733" s="239" t="s">
        <v>18</v>
      </c>
      <c r="R733" s="256" t="s">
        <v>595</v>
      </c>
      <c r="S733" s="239"/>
      <c r="T733" s="239"/>
      <c r="U733" s="239"/>
      <c r="V733" s="239"/>
      <c r="W733" s="239"/>
      <c r="X733" s="239"/>
      <c r="Y733" s="239"/>
      <c r="Z733" s="239"/>
    </row>
    <row r="734" spans="1:26" ht="15.75" customHeight="1">
      <c r="A734" s="248">
        <v>44796</v>
      </c>
      <c r="B734" s="219" t="s">
        <v>219</v>
      </c>
      <c r="C734" s="315">
        <v>4.5</v>
      </c>
      <c r="D734" s="219" t="s">
        <v>1313</v>
      </c>
      <c r="E734" s="219" t="s">
        <v>4</v>
      </c>
      <c r="F734" s="219" t="s">
        <v>727</v>
      </c>
      <c r="G734" s="219" t="s">
        <v>11056</v>
      </c>
      <c r="H734" s="219">
        <v>4.5</v>
      </c>
      <c r="I734" s="219" t="s">
        <v>1045</v>
      </c>
      <c r="J734" s="219" t="s">
        <v>1315</v>
      </c>
      <c r="K734" s="219">
        <v>4.5</v>
      </c>
      <c r="L734" s="219" t="s">
        <v>478</v>
      </c>
      <c r="M734" s="219">
        <v>8000000</v>
      </c>
      <c r="N734" s="219" t="s">
        <v>452</v>
      </c>
      <c r="O734" s="219" t="s">
        <v>452</v>
      </c>
      <c r="P734" s="219"/>
      <c r="Q734" s="219" t="s">
        <v>18</v>
      </c>
      <c r="R734" s="251"/>
      <c r="S734" s="219"/>
      <c r="T734" s="219"/>
      <c r="U734" s="219"/>
      <c r="V734" s="219"/>
      <c r="W734" s="219"/>
      <c r="X734" s="219"/>
      <c r="Y734" s="219"/>
      <c r="Z734" s="219"/>
    </row>
    <row r="735" spans="1:26" ht="15.75" customHeight="1">
      <c r="A735" s="253">
        <v>44796</v>
      </c>
      <c r="B735" s="224" t="s">
        <v>294</v>
      </c>
      <c r="C735" s="316">
        <v>4.5</v>
      </c>
      <c r="D735" s="224"/>
      <c r="E735" s="224" t="s">
        <v>3</v>
      </c>
      <c r="F735" s="224" t="s">
        <v>460</v>
      </c>
      <c r="G735" s="224" t="s">
        <v>1654</v>
      </c>
      <c r="H735" s="224">
        <v>4.5</v>
      </c>
      <c r="I735" s="224" t="s">
        <v>941</v>
      </c>
      <c r="J735" s="224" t="s">
        <v>1655</v>
      </c>
      <c r="K735" s="224">
        <v>4.5</v>
      </c>
      <c r="L735" s="224" t="s">
        <v>1656</v>
      </c>
      <c r="M735" s="330">
        <v>10000000</v>
      </c>
      <c r="N735" s="224" t="s">
        <v>454</v>
      </c>
      <c r="O735" s="224" t="s">
        <v>1657</v>
      </c>
      <c r="P735" s="224"/>
      <c r="Q735" s="224" t="s">
        <v>18</v>
      </c>
      <c r="R735" s="254"/>
      <c r="S735" s="224"/>
      <c r="T735" s="224"/>
      <c r="U735" s="224"/>
      <c r="V735" s="224"/>
      <c r="W735" s="224"/>
      <c r="X735" s="224"/>
      <c r="Y735" s="224"/>
      <c r="Z735" s="224"/>
    </row>
    <row r="736" spans="1:26" ht="15.75" customHeight="1">
      <c r="A736" s="255">
        <v>44796</v>
      </c>
      <c r="B736" s="239" t="s">
        <v>138</v>
      </c>
      <c r="C736" s="262">
        <v>4.5</v>
      </c>
      <c r="D736" s="239" t="s">
        <v>961</v>
      </c>
      <c r="E736" s="239" t="s">
        <v>5</v>
      </c>
      <c r="F736" s="239" t="s">
        <v>725</v>
      </c>
      <c r="G736" s="239" t="s">
        <v>11491</v>
      </c>
      <c r="H736" s="239">
        <v>4.5</v>
      </c>
      <c r="I736" s="239" t="s">
        <v>462</v>
      </c>
      <c r="J736" s="239" t="s">
        <v>963</v>
      </c>
      <c r="K736" s="239">
        <v>4.5</v>
      </c>
      <c r="L736" s="239"/>
      <c r="M736" s="239"/>
      <c r="N736" s="239" t="s">
        <v>452</v>
      </c>
      <c r="O736" s="239" t="s">
        <v>964</v>
      </c>
      <c r="P736" s="239"/>
      <c r="Q736" s="239" t="s">
        <v>18</v>
      </c>
      <c r="R736" s="256" t="s">
        <v>965</v>
      </c>
      <c r="S736" s="239"/>
      <c r="T736" s="239"/>
      <c r="U736" s="239"/>
      <c r="V736" s="239"/>
      <c r="W736" s="239"/>
      <c r="X736" s="239"/>
      <c r="Y736" s="239"/>
      <c r="Z736" s="239"/>
    </row>
    <row r="737" spans="1:26" ht="15.75" customHeight="1">
      <c r="A737" s="257">
        <v>44796</v>
      </c>
      <c r="B737" s="258" t="s">
        <v>104</v>
      </c>
      <c r="C737" s="263">
        <v>4.5</v>
      </c>
      <c r="D737" s="258"/>
      <c r="E737" s="258" t="s">
        <v>5</v>
      </c>
      <c r="F737" s="258" t="s">
        <v>447</v>
      </c>
      <c r="G737" s="258" t="s">
        <v>11297</v>
      </c>
      <c r="H737" s="258">
        <v>4.5</v>
      </c>
      <c r="I737" s="258" t="s">
        <v>449</v>
      </c>
      <c r="J737" s="258" t="s">
        <v>11298</v>
      </c>
      <c r="K737" s="258">
        <v>4.5</v>
      </c>
      <c r="L737" s="258" t="s">
        <v>768</v>
      </c>
      <c r="M737" s="328">
        <v>48500000</v>
      </c>
      <c r="N737" s="258" t="s">
        <v>452</v>
      </c>
      <c r="O737" s="258" t="s">
        <v>452</v>
      </c>
      <c r="P737" s="258"/>
      <c r="Q737" s="258" t="s">
        <v>18</v>
      </c>
      <c r="R737" s="259"/>
      <c r="S737" s="258"/>
      <c r="T737" s="258"/>
      <c r="U737" s="258"/>
      <c r="V737" s="258"/>
      <c r="W737" s="258"/>
      <c r="X737" s="258"/>
      <c r="Y737" s="258"/>
      <c r="Z737" s="258"/>
    </row>
    <row r="738" spans="1:26" ht="15.75" customHeight="1">
      <c r="A738" s="248">
        <v>44796</v>
      </c>
      <c r="B738" s="219" t="s">
        <v>323</v>
      </c>
      <c r="C738" s="315">
        <v>4.38</v>
      </c>
      <c r="D738" s="219" t="s">
        <v>10268</v>
      </c>
      <c r="E738" s="219" t="s">
        <v>3</v>
      </c>
      <c r="F738" s="219" t="s">
        <v>488</v>
      </c>
      <c r="G738" s="219" t="s">
        <v>1792</v>
      </c>
      <c r="H738" s="219">
        <v>4</v>
      </c>
      <c r="I738" s="219" t="s">
        <v>941</v>
      </c>
      <c r="J738" s="219" t="s">
        <v>1793</v>
      </c>
      <c r="K738" s="219">
        <v>4.75</v>
      </c>
      <c r="L738" s="219" t="s">
        <v>451</v>
      </c>
      <c r="M738" s="331">
        <v>500000</v>
      </c>
      <c r="N738" s="219" t="s">
        <v>452</v>
      </c>
      <c r="O738" s="219" t="s">
        <v>10269</v>
      </c>
      <c r="P738" s="219" t="s">
        <v>1795</v>
      </c>
      <c r="Q738" s="219" t="s">
        <v>18</v>
      </c>
      <c r="R738" s="251"/>
      <c r="S738" s="219"/>
      <c r="T738" s="219"/>
      <c r="U738" s="219"/>
      <c r="V738" s="219"/>
      <c r="W738" s="219"/>
      <c r="X738" s="219"/>
      <c r="Y738" s="219"/>
      <c r="Z738" s="219"/>
    </row>
    <row r="739" spans="1:26" ht="15.75" customHeight="1">
      <c r="A739" s="255">
        <v>44796</v>
      </c>
      <c r="B739" s="239" t="s">
        <v>268</v>
      </c>
      <c r="C739" s="262">
        <v>4.25</v>
      </c>
      <c r="D739" s="239" t="s">
        <v>1550</v>
      </c>
      <c r="E739" s="239" t="s">
        <v>4</v>
      </c>
      <c r="F739" s="239" t="s">
        <v>460</v>
      </c>
      <c r="G739" s="239" t="s">
        <v>10357</v>
      </c>
      <c r="H739" s="239">
        <v>4</v>
      </c>
      <c r="I739" s="239" t="s">
        <v>462</v>
      </c>
      <c r="J739" s="239" t="s">
        <v>1552</v>
      </c>
      <c r="K739" s="239">
        <v>4.5</v>
      </c>
      <c r="L739" s="239" t="s">
        <v>478</v>
      </c>
      <c r="M739" s="329">
        <v>6000000</v>
      </c>
      <c r="N739" s="239" t="s">
        <v>452</v>
      </c>
      <c r="O739" s="239" t="s">
        <v>10358</v>
      </c>
      <c r="P739" s="239"/>
      <c r="Q739" s="239" t="s">
        <v>20</v>
      </c>
      <c r="R739" s="256" t="s">
        <v>1554</v>
      </c>
      <c r="S739" s="239"/>
      <c r="T739" s="239"/>
      <c r="U739" s="239"/>
      <c r="V739" s="239"/>
      <c r="W739" s="239"/>
      <c r="X739" s="239"/>
      <c r="Y739" s="239"/>
      <c r="Z739" s="239"/>
    </row>
    <row r="740" spans="1:26" ht="15.75" customHeight="1">
      <c r="A740" s="248">
        <v>44796</v>
      </c>
      <c r="B740" s="219" t="s">
        <v>169</v>
      </c>
      <c r="C740" s="315">
        <v>4.25</v>
      </c>
      <c r="D740" s="219" t="s">
        <v>3669</v>
      </c>
      <c r="E740" s="219" t="s">
        <v>4</v>
      </c>
      <c r="F740" s="219" t="s">
        <v>725</v>
      </c>
      <c r="G740" s="219" t="s">
        <v>10620</v>
      </c>
      <c r="H740" s="219">
        <v>4.5</v>
      </c>
      <c r="I740" s="219" t="s">
        <v>604</v>
      </c>
      <c r="J740" s="219" t="s">
        <v>10621</v>
      </c>
      <c r="K740" s="219">
        <v>4</v>
      </c>
      <c r="L740" s="219" t="s">
        <v>784</v>
      </c>
      <c r="M740" s="331">
        <v>2500000</v>
      </c>
      <c r="N740" s="219" t="s">
        <v>452</v>
      </c>
      <c r="O740" s="219" t="s">
        <v>452</v>
      </c>
      <c r="P740" s="219"/>
      <c r="Q740" s="219" t="s">
        <v>18</v>
      </c>
      <c r="R740" s="251"/>
      <c r="S740" s="219"/>
      <c r="T740" s="219"/>
      <c r="U740" s="219"/>
      <c r="V740" s="219"/>
      <c r="W740" s="219"/>
      <c r="X740" s="219"/>
      <c r="Y740" s="219"/>
      <c r="Z740" s="219"/>
    </row>
    <row r="741" spans="1:26" ht="15.75" customHeight="1">
      <c r="A741" s="253">
        <v>44796</v>
      </c>
      <c r="B741" s="224" t="s">
        <v>356</v>
      </c>
      <c r="C741" s="316">
        <v>4.25</v>
      </c>
      <c r="D741" s="224" t="s">
        <v>10667</v>
      </c>
      <c r="E741" s="224" t="s">
        <v>3</v>
      </c>
      <c r="F741" s="224" t="s">
        <v>460</v>
      </c>
      <c r="G741" s="224" t="s">
        <v>2016</v>
      </c>
      <c r="H741" s="224">
        <v>4.5</v>
      </c>
      <c r="I741" s="224" t="s">
        <v>462</v>
      </c>
      <c r="J741" s="224" t="s">
        <v>2017</v>
      </c>
      <c r="K741" s="224">
        <v>4</v>
      </c>
      <c r="L741" s="224" t="s">
        <v>451</v>
      </c>
      <c r="M741" s="224" t="s">
        <v>2018</v>
      </c>
      <c r="N741" s="224" t="s">
        <v>452</v>
      </c>
      <c r="O741" s="224" t="s">
        <v>575</v>
      </c>
      <c r="P741" s="224" t="s">
        <v>1187</v>
      </c>
      <c r="Q741" s="224" t="s">
        <v>18</v>
      </c>
      <c r="R741" s="254"/>
      <c r="S741" s="224"/>
      <c r="T741" s="224"/>
      <c r="U741" s="224"/>
      <c r="V741" s="224"/>
      <c r="W741" s="224"/>
      <c r="X741" s="224"/>
      <c r="Y741" s="224"/>
      <c r="Z741" s="224"/>
    </row>
    <row r="742" spans="1:26" ht="15.75" customHeight="1">
      <c r="A742" s="257">
        <v>44796</v>
      </c>
      <c r="B742" s="258" t="s">
        <v>174</v>
      </c>
      <c r="C742" s="263">
        <v>4.25</v>
      </c>
      <c r="D742" s="258" t="s">
        <v>3686</v>
      </c>
      <c r="E742" s="258" t="s">
        <v>4</v>
      </c>
      <c r="F742" s="258" t="s">
        <v>1045</v>
      </c>
      <c r="G742" s="258" t="s">
        <v>3687</v>
      </c>
      <c r="H742" s="258">
        <v>4.5</v>
      </c>
      <c r="I742" s="258" t="s">
        <v>1298</v>
      </c>
      <c r="J742" s="258" t="s">
        <v>3688</v>
      </c>
      <c r="K742" s="258">
        <v>4</v>
      </c>
      <c r="L742" s="258" t="s">
        <v>784</v>
      </c>
      <c r="M742" s="309">
        <v>1000000</v>
      </c>
      <c r="N742" s="258" t="s">
        <v>452</v>
      </c>
      <c r="O742" s="258" t="s">
        <v>3689</v>
      </c>
      <c r="P742" s="258"/>
      <c r="Q742" s="258" t="s">
        <v>18</v>
      </c>
      <c r="R742" s="259" t="s">
        <v>3690</v>
      </c>
      <c r="S742" s="258"/>
      <c r="T742" s="258"/>
      <c r="U742" s="258"/>
      <c r="V742" s="258"/>
      <c r="W742" s="258"/>
      <c r="X742" s="258"/>
      <c r="Y742" s="258"/>
      <c r="Z742" s="258"/>
    </row>
    <row r="743" spans="1:26" ht="15.75" customHeight="1">
      <c r="A743" s="257">
        <v>44796</v>
      </c>
      <c r="B743" s="258" t="s">
        <v>135</v>
      </c>
      <c r="C743" s="263">
        <v>4.25</v>
      </c>
      <c r="D743" s="258" t="s">
        <v>952</v>
      </c>
      <c r="E743" s="258" t="s">
        <v>5</v>
      </c>
      <c r="F743" s="258" t="s">
        <v>447</v>
      </c>
      <c r="G743" s="258" t="s">
        <v>11704</v>
      </c>
      <c r="H743" s="258">
        <v>4.5</v>
      </c>
      <c r="I743" s="258" t="s">
        <v>622</v>
      </c>
      <c r="J743" s="258" t="s">
        <v>11705</v>
      </c>
      <c r="K743" s="258">
        <v>4</v>
      </c>
      <c r="L743" s="258"/>
      <c r="M743" s="258"/>
      <c r="N743" s="258" t="s">
        <v>452</v>
      </c>
      <c r="O743" s="258" t="s">
        <v>955</v>
      </c>
      <c r="P743" s="258"/>
      <c r="Q743" s="258" t="s">
        <v>18</v>
      </c>
      <c r="R743" s="259" t="s">
        <v>11706</v>
      </c>
      <c r="S743" s="258"/>
      <c r="T743" s="258"/>
      <c r="U743" s="258"/>
      <c r="V743" s="258"/>
      <c r="W743" s="258"/>
      <c r="X743" s="258"/>
      <c r="Y743" s="258"/>
      <c r="Z743" s="258"/>
    </row>
    <row r="744" spans="1:26" ht="15.75" customHeight="1">
      <c r="A744" s="248">
        <v>44796</v>
      </c>
      <c r="B744" s="219" t="s">
        <v>206</v>
      </c>
      <c r="C744" s="315">
        <v>4.25</v>
      </c>
      <c r="D744" s="219" t="s">
        <v>1279</v>
      </c>
      <c r="E744" s="219" t="s">
        <v>4</v>
      </c>
      <c r="F744" s="219" t="s">
        <v>725</v>
      </c>
      <c r="G744" s="219" t="s">
        <v>11707</v>
      </c>
      <c r="H744" s="219">
        <v>4.5</v>
      </c>
      <c r="I744" s="219" t="s">
        <v>1281</v>
      </c>
      <c r="J744" s="219" t="s">
        <v>1282</v>
      </c>
      <c r="K744" s="219">
        <v>4</v>
      </c>
      <c r="L744" s="219" t="s">
        <v>451</v>
      </c>
      <c r="M744" s="310">
        <v>350000</v>
      </c>
      <c r="N744" s="219" t="s">
        <v>452</v>
      </c>
      <c r="O744" s="219" t="s">
        <v>1283</v>
      </c>
      <c r="P744" s="219"/>
      <c r="Q744" s="219" t="s">
        <v>18</v>
      </c>
      <c r="R744" s="251"/>
      <c r="S744" s="219"/>
      <c r="T744" s="219"/>
      <c r="U744" s="219"/>
      <c r="V744" s="219"/>
      <c r="W744" s="219"/>
      <c r="X744" s="219"/>
      <c r="Y744" s="219"/>
      <c r="Z744" s="219"/>
    </row>
    <row r="745" spans="1:26" ht="15.75" customHeight="1">
      <c r="A745" s="257">
        <v>44796</v>
      </c>
      <c r="B745" s="258" t="s">
        <v>184</v>
      </c>
      <c r="C745" s="263">
        <v>4.25</v>
      </c>
      <c r="D745" s="258" t="s">
        <v>11708</v>
      </c>
      <c r="E745" s="258" t="s">
        <v>4</v>
      </c>
      <c r="F745" s="258" t="s">
        <v>725</v>
      </c>
      <c r="G745" s="258" t="s">
        <v>11243</v>
      </c>
      <c r="H745" s="258">
        <v>4.5</v>
      </c>
      <c r="I745" s="258" t="s">
        <v>604</v>
      </c>
      <c r="J745" s="258" t="s">
        <v>1169</v>
      </c>
      <c r="K745" s="258">
        <v>4</v>
      </c>
      <c r="L745" s="258" t="s">
        <v>451</v>
      </c>
      <c r="M745" s="258">
        <v>3000000</v>
      </c>
      <c r="N745" s="258" t="s">
        <v>452</v>
      </c>
      <c r="O745" s="258" t="s">
        <v>1170</v>
      </c>
      <c r="P745" s="258"/>
      <c r="Q745" s="258" t="s">
        <v>18</v>
      </c>
      <c r="R745" s="259" t="s">
        <v>1171</v>
      </c>
      <c r="S745" s="258"/>
      <c r="T745" s="258"/>
      <c r="U745" s="258"/>
      <c r="V745" s="258"/>
      <c r="W745" s="258"/>
      <c r="X745" s="258"/>
      <c r="Y745" s="258"/>
      <c r="Z745" s="258"/>
    </row>
    <row r="746" spans="1:26" ht="15.75" customHeight="1">
      <c r="A746" s="248">
        <v>44796</v>
      </c>
      <c r="B746" s="219" t="s">
        <v>160</v>
      </c>
      <c r="C746" s="315">
        <v>4.25</v>
      </c>
      <c r="D746" s="219" t="s">
        <v>1071</v>
      </c>
      <c r="E746" s="219" t="s">
        <v>4</v>
      </c>
      <c r="F746" s="219" t="s">
        <v>725</v>
      </c>
      <c r="G746" s="219" t="s">
        <v>11255</v>
      </c>
      <c r="H746" s="219">
        <v>4.5</v>
      </c>
      <c r="I746" s="219" t="s">
        <v>1073</v>
      </c>
      <c r="J746" s="219"/>
      <c r="K746" s="219">
        <v>4</v>
      </c>
      <c r="L746" s="219" t="s">
        <v>1074</v>
      </c>
      <c r="M746" s="331">
        <v>20000000</v>
      </c>
      <c r="N746" s="219" t="s">
        <v>452</v>
      </c>
      <c r="O746" s="219" t="s">
        <v>452</v>
      </c>
      <c r="P746" s="219"/>
      <c r="Q746" s="219" t="s">
        <v>18</v>
      </c>
      <c r="R746" s="251"/>
      <c r="S746" s="219"/>
      <c r="T746" s="219"/>
      <c r="U746" s="219"/>
      <c r="V746" s="219"/>
      <c r="W746" s="219"/>
      <c r="X746" s="219"/>
      <c r="Y746" s="219"/>
      <c r="Z746" s="219"/>
    </row>
    <row r="747" spans="1:26" ht="15.75" customHeight="1">
      <c r="A747" s="253">
        <v>44796</v>
      </c>
      <c r="B747" s="224" t="s">
        <v>187</v>
      </c>
      <c r="C747" s="316">
        <v>4.25</v>
      </c>
      <c r="D747" s="224" t="s">
        <v>1185</v>
      </c>
      <c r="E747" s="224" t="s">
        <v>4</v>
      </c>
      <c r="F747" s="224" t="s">
        <v>725</v>
      </c>
      <c r="G747" s="224" t="s">
        <v>11273</v>
      </c>
      <c r="H747" s="224">
        <v>4.5</v>
      </c>
      <c r="I747" s="224" t="s">
        <v>1187</v>
      </c>
      <c r="J747" s="224" t="s">
        <v>1188</v>
      </c>
      <c r="K747" s="224">
        <v>4</v>
      </c>
      <c r="L747" s="224" t="s">
        <v>451</v>
      </c>
      <c r="M747" s="224">
        <v>4000000</v>
      </c>
      <c r="N747" s="224" t="s">
        <v>452</v>
      </c>
      <c r="O747" s="224" t="s">
        <v>452</v>
      </c>
      <c r="P747" s="224" t="s">
        <v>1189</v>
      </c>
      <c r="Q747" s="224" t="s">
        <v>18</v>
      </c>
      <c r="R747" s="254"/>
      <c r="S747" s="224"/>
      <c r="T747" s="224"/>
      <c r="U747" s="224"/>
      <c r="V747" s="224"/>
      <c r="W747" s="224"/>
      <c r="X747" s="224"/>
      <c r="Y747" s="224"/>
      <c r="Z747" s="224"/>
    </row>
    <row r="748" spans="1:26" ht="15.75" customHeight="1">
      <c r="A748" s="248">
        <v>44796</v>
      </c>
      <c r="B748" s="219" t="s">
        <v>168</v>
      </c>
      <c r="C748" s="315">
        <v>4.25</v>
      </c>
      <c r="D748" s="219" t="s">
        <v>3659</v>
      </c>
      <c r="E748" s="219" t="s">
        <v>4</v>
      </c>
      <c r="F748" s="219" t="s">
        <v>725</v>
      </c>
      <c r="G748" s="219" t="s">
        <v>11275</v>
      </c>
      <c r="H748" s="219">
        <v>3.5</v>
      </c>
      <c r="I748" s="219" t="s">
        <v>990</v>
      </c>
      <c r="J748" s="219" t="s">
        <v>3661</v>
      </c>
      <c r="K748" s="219">
        <v>5</v>
      </c>
      <c r="L748" s="219" t="s">
        <v>451</v>
      </c>
      <c r="M748" s="219" t="s">
        <v>11276</v>
      </c>
      <c r="N748" s="219" t="s">
        <v>452</v>
      </c>
      <c r="O748" s="219" t="s">
        <v>3663</v>
      </c>
      <c r="P748" s="219"/>
      <c r="Q748" s="219" t="s">
        <v>20</v>
      </c>
      <c r="R748" s="251" t="s">
        <v>3664</v>
      </c>
      <c r="S748" s="219"/>
      <c r="T748" s="219"/>
      <c r="U748" s="219"/>
      <c r="V748" s="219"/>
      <c r="W748" s="219"/>
      <c r="X748" s="219"/>
      <c r="Y748" s="219"/>
      <c r="Z748" s="219"/>
    </row>
    <row r="749" spans="1:26" ht="15.75" customHeight="1">
      <c r="A749" s="253">
        <v>44796</v>
      </c>
      <c r="B749" s="224" t="s">
        <v>303</v>
      </c>
      <c r="C749" s="316">
        <v>4.25</v>
      </c>
      <c r="D749" s="224" t="s">
        <v>1693</v>
      </c>
      <c r="E749" s="224" t="s">
        <v>3</v>
      </c>
      <c r="F749" s="224" t="s">
        <v>460</v>
      </c>
      <c r="G749" s="224" t="s">
        <v>10705</v>
      </c>
      <c r="H749" s="224">
        <v>4.5</v>
      </c>
      <c r="I749" s="224" t="s">
        <v>462</v>
      </c>
      <c r="J749" s="224" t="s">
        <v>10706</v>
      </c>
      <c r="K749" s="224">
        <v>4</v>
      </c>
      <c r="L749" s="224" t="s">
        <v>451</v>
      </c>
      <c r="M749" s="224" t="s">
        <v>1696</v>
      </c>
      <c r="N749" s="224" t="s">
        <v>452</v>
      </c>
      <c r="O749" s="224" t="s">
        <v>452</v>
      </c>
      <c r="P749" s="224"/>
      <c r="Q749" s="224" t="s">
        <v>18</v>
      </c>
      <c r="R749" s="254"/>
      <c r="S749" s="224"/>
      <c r="T749" s="224"/>
      <c r="U749" s="224"/>
      <c r="V749" s="224"/>
      <c r="W749" s="224"/>
      <c r="X749" s="224"/>
      <c r="Y749" s="224"/>
      <c r="Z749" s="224"/>
    </row>
    <row r="750" spans="1:26" ht="15.75" customHeight="1">
      <c r="A750" s="248">
        <v>44796</v>
      </c>
      <c r="B750" s="219" t="s">
        <v>205</v>
      </c>
      <c r="C750" s="315">
        <v>4</v>
      </c>
      <c r="D750" s="219" t="s">
        <v>3828</v>
      </c>
      <c r="E750" s="219" t="s">
        <v>4</v>
      </c>
      <c r="F750" s="219" t="s">
        <v>1045</v>
      </c>
      <c r="G750" s="219" t="s">
        <v>3829</v>
      </c>
      <c r="H750" s="219">
        <v>4</v>
      </c>
      <c r="I750" s="219" t="s">
        <v>604</v>
      </c>
      <c r="J750" s="219" t="s">
        <v>10180</v>
      </c>
      <c r="K750" s="219">
        <v>4</v>
      </c>
      <c r="L750" s="219"/>
      <c r="M750" s="219"/>
      <c r="N750" s="219" t="s">
        <v>452</v>
      </c>
      <c r="O750" s="219" t="s">
        <v>10181</v>
      </c>
      <c r="P750" s="219" t="s">
        <v>3832</v>
      </c>
      <c r="Q750" s="219" t="s">
        <v>18</v>
      </c>
      <c r="R750" s="251"/>
      <c r="S750" s="219"/>
      <c r="T750" s="219"/>
      <c r="U750" s="219"/>
      <c r="V750" s="219"/>
      <c r="W750" s="219"/>
      <c r="X750" s="219"/>
      <c r="Y750" s="219"/>
      <c r="Z750" s="219"/>
    </row>
    <row r="751" spans="1:26" ht="15.75" customHeight="1">
      <c r="A751" s="253">
        <v>44796</v>
      </c>
      <c r="B751" s="224" t="s">
        <v>252</v>
      </c>
      <c r="C751" s="316">
        <v>4</v>
      </c>
      <c r="D751" s="224" t="s">
        <v>1464</v>
      </c>
      <c r="E751" s="224" t="s">
        <v>4</v>
      </c>
      <c r="F751" s="224" t="s">
        <v>1045</v>
      </c>
      <c r="G751" s="224" t="s">
        <v>1465</v>
      </c>
      <c r="H751" s="224">
        <v>4</v>
      </c>
      <c r="I751" s="224" t="s">
        <v>1457</v>
      </c>
      <c r="J751" s="224" t="s">
        <v>1466</v>
      </c>
      <c r="K751" s="224">
        <v>4</v>
      </c>
      <c r="L751" s="224"/>
      <c r="M751" s="224"/>
      <c r="N751" s="224" t="s">
        <v>454</v>
      </c>
      <c r="O751" s="224" t="s">
        <v>1119</v>
      </c>
      <c r="P751" s="224"/>
      <c r="Q751" s="224" t="s">
        <v>18</v>
      </c>
      <c r="R751" s="254"/>
      <c r="S751" s="224"/>
      <c r="T751" s="224"/>
      <c r="U751" s="224"/>
      <c r="V751" s="224"/>
      <c r="W751" s="224"/>
      <c r="X751" s="224"/>
      <c r="Y751" s="224"/>
      <c r="Z751" s="224"/>
    </row>
    <row r="752" spans="1:26" ht="15.75" customHeight="1">
      <c r="A752" s="248">
        <v>44796</v>
      </c>
      <c r="B752" s="219" t="s">
        <v>265</v>
      </c>
      <c r="C752" s="315">
        <v>4</v>
      </c>
      <c r="D752" s="219" t="s">
        <v>4125</v>
      </c>
      <c r="E752" s="219" t="s">
        <v>4</v>
      </c>
      <c r="F752" s="219" t="s">
        <v>725</v>
      </c>
      <c r="G752" s="219" t="s">
        <v>10266</v>
      </c>
      <c r="H752" s="219">
        <v>4</v>
      </c>
      <c r="I752" s="219" t="s">
        <v>1045</v>
      </c>
      <c r="J752" s="219" t="s">
        <v>4127</v>
      </c>
      <c r="K752" s="219">
        <v>4</v>
      </c>
      <c r="L752" s="219" t="s">
        <v>451</v>
      </c>
      <c r="M752" s="219" t="s">
        <v>4128</v>
      </c>
      <c r="N752" s="219" t="s">
        <v>454</v>
      </c>
      <c r="O752" s="219" t="s">
        <v>4129</v>
      </c>
      <c r="P752" s="219" t="s">
        <v>727</v>
      </c>
      <c r="Q752" s="219" t="s">
        <v>18</v>
      </c>
      <c r="R752" s="251"/>
      <c r="S752" s="219"/>
      <c r="T752" s="219"/>
      <c r="U752" s="219"/>
      <c r="V752" s="219"/>
      <c r="W752" s="219"/>
      <c r="X752" s="219"/>
      <c r="Y752" s="219"/>
      <c r="Z752" s="219"/>
    </row>
    <row r="753" spans="1:26" ht="15.75" customHeight="1">
      <c r="A753" s="253">
        <v>44796</v>
      </c>
      <c r="B753" s="224" t="s">
        <v>229</v>
      </c>
      <c r="C753" s="316">
        <v>4</v>
      </c>
      <c r="D753" s="224" t="s">
        <v>10405</v>
      </c>
      <c r="E753" s="224" t="s">
        <v>4</v>
      </c>
      <c r="F753" s="224" t="s">
        <v>1045</v>
      </c>
      <c r="G753" s="224" t="s">
        <v>3955</v>
      </c>
      <c r="H753" s="224">
        <v>4</v>
      </c>
      <c r="I753" s="224" t="s">
        <v>1298</v>
      </c>
      <c r="J753" s="224" t="s">
        <v>3956</v>
      </c>
      <c r="K753" s="224">
        <v>4</v>
      </c>
      <c r="L753" s="224" t="s">
        <v>451</v>
      </c>
      <c r="M753" s="330">
        <v>2000000</v>
      </c>
      <c r="N753" s="224" t="s">
        <v>454</v>
      </c>
      <c r="O753" s="224" t="s">
        <v>452</v>
      </c>
      <c r="P753" s="224" t="s">
        <v>3957</v>
      </c>
      <c r="Q753" s="224" t="s">
        <v>18</v>
      </c>
      <c r="R753" s="254"/>
      <c r="S753" s="224"/>
      <c r="T753" s="224"/>
      <c r="U753" s="224"/>
      <c r="V753" s="224"/>
      <c r="W753" s="224"/>
      <c r="X753" s="224"/>
      <c r="Y753" s="224"/>
      <c r="Z753" s="224"/>
    </row>
    <row r="754" spans="1:26" ht="15.75" customHeight="1">
      <c r="A754" s="248">
        <v>44796</v>
      </c>
      <c r="B754" s="219" t="s">
        <v>225</v>
      </c>
      <c r="C754" s="315">
        <v>4</v>
      </c>
      <c r="D754" s="219" t="s">
        <v>3929</v>
      </c>
      <c r="E754" s="219" t="s">
        <v>4</v>
      </c>
      <c r="F754" s="219" t="s">
        <v>1045</v>
      </c>
      <c r="G754" s="219" t="s">
        <v>3930</v>
      </c>
      <c r="H754" s="219">
        <v>4</v>
      </c>
      <c r="I754" s="219" t="s">
        <v>1281</v>
      </c>
      <c r="J754" s="219" t="s">
        <v>3931</v>
      </c>
      <c r="K754" s="219">
        <v>4</v>
      </c>
      <c r="L754" s="219" t="s">
        <v>478</v>
      </c>
      <c r="M754" s="310">
        <v>11000000</v>
      </c>
      <c r="N754" s="219" t="s">
        <v>465</v>
      </c>
      <c r="O754" s="219" t="s">
        <v>10477</v>
      </c>
      <c r="P754" s="219"/>
      <c r="Q754" s="219" t="s">
        <v>18</v>
      </c>
      <c r="R754" s="251"/>
      <c r="S754" s="219"/>
      <c r="T754" s="219"/>
      <c r="U754" s="219"/>
      <c r="V754" s="219"/>
      <c r="W754" s="219"/>
      <c r="X754" s="219"/>
      <c r="Y754" s="219"/>
      <c r="Z754" s="219"/>
    </row>
    <row r="755" spans="1:26" ht="15.75" customHeight="1">
      <c r="A755" s="253">
        <v>44796</v>
      </c>
      <c r="B755" s="224" t="s">
        <v>177</v>
      </c>
      <c r="C755" s="316">
        <v>4</v>
      </c>
      <c r="D755" s="224" t="s">
        <v>3701</v>
      </c>
      <c r="E755" s="224" t="s">
        <v>4</v>
      </c>
      <c r="F755" s="224" t="s">
        <v>727</v>
      </c>
      <c r="G755" s="224" t="s">
        <v>10488</v>
      </c>
      <c r="H755" s="224">
        <v>4</v>
      </c>
      <c r="I755" s="224" t="s">
        <v>990</v>
      </c>
      <c r="J755" s="224" t="s">
        <v>3703</v>
      </c>
      <c r="K755" s="224">
        <v>4</v>
      </c>
      <c r="L755" s="224" t="s">
        <v>451</v>
      </c>
      <c r="M755" s="224" t="s">
        <v>3704</v>
      </c>
      <c r="N755" s="224" t="s">
        <v>452</v>
      </c>
      <c r="O755" s="224" t="s">
        <v>3705</v>
      </c>
      <c r="P755" s="224"/>
      <c r="Q755" s="224" t="s">
        <v>18</v>
      </c>
      <c r="R755" s="254"/>
      <c r="S755" s="224"/>
      <c r="T755" s="224"/>
      <c r="U755" s="224"/>
      <c r="V755" s="224"/>
      <c r="W755" s="224"/>
      <c r="X755" s="224"/>
      <c r="Y755" s="224"/>
      <c r="Z755" s="224"/>
    </row>
    <row r="756" spans="1:26" ht="15.75" customHeight="1">
      <c r="A756" s="248">
        <v>44796</v>
      </c>
      <c r="B756" s="219" t="s">
        <v>214</v>
      </c>
      <c r="C756" s="315">
        <v>4</v>
      </c>
      <c r="D756" s="219" t="s">
        <v>3875</v>
      </c>
      <c r="E756" s="219" t="s">
        <v>4</v>
      </c>
      <c r="F756" s="219" t="s">
        <v>727</v>
      </c>
      <c r="G756" s="219" t="s">
        <v>10517</v>
      </c>
      <c r="H756" s="219">
        <v>4</v>
      </c>
      <c r="I756" s="219" t="s">
        <v>1187</v>
      </c>
      <c r="J756" s="219" t="s">
        <v>3877</v>
      </c>
      <c r="K756" s="219">
        <v>4</v>
      </c>
      <c r="L756" s="219" t="s">
        <v>923</v>
      </c>
      <c r="M756" s="219" t="s">
        <v>729</v>
      </c>
      <c r="N756" s="219" t="s">
        <v>452</v>
      </c>
      <c r="O756" s="219" t="s">
        <v>452</v>
      </c>
      <c r="P756" s="219"/>
      <c r="Q756" s="219" t="s">
        <v>18</v>
      </c>
      <c r="R756" s="251"/>
      <c r="S756" s="219"/>
      <c r="T756" s="219"/>
      <c r="U756" s="219"/>
      <c r="V756" s="219"/>
      <c r="W756" s="219"/>
      <c r="X756" s="219"/>
      <c r="Y756" s="219"/>
      <c r="Z756" s="219"/>
    </row>
    <row r="757" spans="1:26" ht="15.75" customHeight="1">
      <c r="A757" s="253">
        <v>44796</v>
      </c>
      <c r="B757" s="224" t="s">
        <v>236</v>
      </c>
      <c r="C757" s="316">
        <v>4</v>
      </c>
      <c r="D757" s="224" t="s">
        <v>10539</v>
      </c>
      <c r="E757" s="224" t="s">
        <v>4</v>
      </c>
      <c r="F757" s="224" t="s">
        <v>727</v>
      </c>
      <c r="G757" s="224" t="s">
        <v>10540</v>
      </c>
      <c r="H757" s="224">
        <v>4</v>
      </c>
      <c r="I757" s="224" t="s">
        <v>1371</v>
      </c>
      <c r="J757" s="224" t="s">
        <v>3997</v>
      </c>
      <c r="K757" s="224">
        <v>4</v>
      </c>
      <c r="L757" s="224"/>
      <c r="M757" s="224"/>
      <c r="N757" s="224" t="s">
        <v>452</v>
      </c>
      <c r="O757" s="224" t="s">
        <v>3998</v>
      </c>
      <c r="P757" s="224"/>
      <c r="Q757" s="224" t="s">
        <v>18</v>
      </c>
      <c r="R757" s="254"/>
      <c r="S757" s="224"/>
      <c r="T757" s="224"/>
      <c r="U757" s="224"/>
      <c r="V757" s="224"/>
      <c r="W757" s="224"/>
      <c r="X757" s="224"/>
      <c r="Y757" s="224"/>
      <c r="Z757" s="224"/>
    </row>
    <row r="758" spans="1:26" ht="15.75" customHeight="1">
      <c r="A758" s="248">
        <v>44796</v>
      </c>
      <c r="B758" s="219" t="s">
        <v>398</v>
      </c>
      <c r="C758" s="315">
        <v>4</v>
      </c>
      <c r="D758" s="219" t="s">
        <v>9963</v>
      </c>
      <c r="E758" s="219" t="s">
        <v>3</v>
      </c>
      <c r="F758" s="219" t="s">
        <v>460</v>
      </c>
      <c r="G758" s="219" t="s">
        <v>9964</v>
      </c>
      <c r="H758" s="219">
        <v>4</v>
      </c>
      <c r="I758" s="219" t="s">
        <v>462</v>
      </c>
      <c r="J758" s="219" t="s">
        <v>10556</v>
      </c>
      <c r="K758" s="219">
        <v>4</v>
      </c>
      <c r="L758" s="219" t="s">
        <v>451</v>
      </c>
      <c r="M758" s="219">
        <v>2000000</v>
      </c>
      <c r="N758" s="219" t="s">
        <v>452</v>
      </c>
      <c r="O758" s="219" t="s">
        <v>9966</v>
      </c>
      <c r="P758" s="219"/>
      <c r="Q758" s="219" t="s">
        <v>18</v>
      </c>
      <c r="R758" s="251"/>
      <c r="S758" s="219"/>
      <c r="T758" s="219"/>
      <c r="U758" s="219"/>
      <c r="V758" s="219"/>
      <c r="W758" s="219"/>
      <c r="X758" s="219"/>
      <c r="Y758" s="219"/>
      <c r="Z758" s="219"/>
    </row>
    <row r="759" spans="1:26" ht="15.75" customHeight="1">
      <c r="A759" s="253">
        <v>44796</v>
      </c>
      <c r="B759" s="224" t="s">
        <v>351</v>
      </c>
      <c r="C759" s="316">
        <v>4</v>
      </c>
      <c r="D759" s="224" t="s">
        <v>10567</v>
      </c>
      <c r="E759" s="224" t="s">
        <v>3</v>
      </c>
      <c r="F759" s="224" t="s">
        <v>460</v>
      </c>
      <c r="G759" s="224" t="s">
        <v>9732</v>
      </c>
      <c r="H759" s="224">
        <v>4</v>
      </c>
      <c r="I759" s="224" t="s">
        <v>462</v>
      </c>
      <c r="J759" s="224" t="s">
        <v>9733</v>
      </c>
      <c r="K759" s="224">
        <v>4</v>
      </c>
      <c r="L759" s="224"/>
      <c r="M759" s="224"/>
      <c r="N759" s="224" t="s">
        <v>465</v>
      </c>
      <c r="O759" s="224" t="s">
        <v>9734</v>
      </c>
      <c r="P759" s="224"/>
      <c r="Q759" s="224" t="s">
        <v>18</v>
      </c>
      <c r="R759" s="254"/>
      <c r="S759" s="224"/>
      <c r="T759" s="224"/>
      <c r="U759" s="224"/>
      <c r="V759" s="224"/>
      <c r="W759" s="224"/>
      <c r="X759" s="224"/>
      <c r="Y759" s="224"/>
      <c r="Z759" s="224"/>
    </row>
    <row r="760" spans="1:26" ht="15.75" customHeight="1">
      <c r="A760" s="255">
        <v>44796</v>
      </c>
      <c r="B760" s="239" t="s">
        <v>352</v>
      </c>
      <c r="C760" s="262">
        <v>4</v>
      </c>
      <c r="D760" s="239" t="s">
        <v>3608</v>
      </c>
      <c r="E760" s="239" t="s">
        <v>5</v>
      </c>
      <c r="F760" s="239" t="s">
        <v>460</v>
      </c>
      <c r="G760" s="239" t="s">
        <v>10570</v>
      </c>
      <c r="H760" s="239">
        <v>4</v>
      </c>
      <c r="I760" s="239" t="s">
        <v>462</v>
      </c>
      <c r="J760" s="239" t="s">
        <v>3610</v>
      </c>
      <c r="K760" s="239">
        <v>4</v>
      </c>
      <c r="L760" s="239"/>
      <c r="M760" s="239"/>
      <c r="N760" s="239" t="s">
        <v>452</v>
      </c>
      <c r="O760" s="239" t="s">
        <v>3611</v>
      </c>
      <c r="P760" s="239"/>
      <c r="Q760" s="239" t="s">
        <v>20</v>
      </c>
      <c r="R760" s="256" t="s">
        <v>11709</v>
      </c>
      <c r="S760" s="239"/>
      <c r="T760" s="239"/>
      <c r="U760" s="239"/>
      <c r="V760" s="239"/>
      <c r="W760" s="239"/>
      <c r="X760" s="239"/>
      <c r="Y760" s="239"/>
      <c r="Z760" s="239"/>
    </row>
    <row r="761" spans="1:26" ht="15.75" customHeight="1">
      <c r="A761" s="253">
        <v>44796</v>
      </c>
      <c r="B761" s="224" t="s">
        <v>365</v>
      </c>
      <c r="C761" s="316">
        <v>4</v>
      </c>
      <c r="D761" s="224" t="s">
        <v>9802</v>
      </c>
      <c r="E761" s="224" t="s">
        <v>3</v>
      </c>
      <c r="F761" s="224" t="s">
        <v>488</v>
      </c>
      <c r="G761" s="224" t="s">
        <v>9803</v>
      </c>
      <c r="H761" s="224">
        <v>4</v>
      </c>
      <c r="I761" s="224" t="s">
        <v>941</v>
      </c>
      <c r="J761" s="224" t="s">
        <v>9804</v>
      </c>
      <c r="K761" s="224">
        <v>4</v>
      </c>
      <c r="L761" s="224" t="s">
        <v>478</v>
      </c>
      <c r="M761" s="224">
        <v>12000000</v>
      </c>
      <c r="N761" s="224" t="s">
        <v>454</v>
      </c>
      <c r="O761" s="224" t="s">
        <v>575</v>
      </c>
      <c r="P761" s="224"/>
      <c r="Q761" s="224" t="s">
        <v>18</v>
      </c>
      <c r="R761" s="254"/>
      <c r="S761" s="224"/>
      <c r="T761" s="224"/>
      <c r="U761" s="224"/>
      <c r="V761" s="224"/>
      <c r="W761" s="224"/>
      <c r="X761" s="224"/>
      <c r="Y761" s="224"/>
      <c r="Z761" s="224"/>
    </row>
    <row r="762" spans="1:26" ht="15.75" customHeight="1">
      <c r="A762" s="248">
        <v>44796</v>
      </c>
      <c r="B762" s="219" t="s">
        <v>204</v>
      </c>
      <c r="C762" s="315">
        <v>4</v>
      </c>
      <c r="D762" s="219" t="s">
        <v>3819</v>
      </c>
      <c r="E762" s="219" t="s">
        <v>4</v>
      </c>
      <c r="F762" s="219" t="s">
        <v>725</v>
      </c>
      <c r="G762" s="219" t="s">
        <v>3820</v>
      </c>
      <c r="H762" s="219">
        <v>4</v>
      </c>
      <c r="I762" s="219" t="s">
        <v>604</v>
      </c>
      <c r="J762" s="219" t="s">
        <v>10768</v>
      </c>
      <c r="K762" s="219">
        <v>4</v>
      </c>
      <c r="L762" s="219" t="s">
        <v>3822</v>
      </c>
      <c r="M762" s="219">
        <v>1800000</v>
      </c>
      <c r="N762" s="219" t="s">
        <v>452</v>
      </c>
      <c r="O762" s="219" t="s">
        <v>3823</v>
      </c>
      <c r="P762" s="219"/>
      <c r="Q762" s="219" t="s">
        <v>18</v>
      </c>
      <c r="R762" s="251"/>
      <c r="S762" s="219"/>
      <c r="T762" s="219"/>
      <c r="U762" s="219"/>
      <c r="V762" s="219"/>
      <c r="W762" s="219"/>
      <c r="X762" s="219"/>
      <c r="Y762" s="219"/>
      <c r="Z762" s="219"/>
    </row>
    <row r="763" spans="1:26" ht="15.75" customHeight="1">
      <c r="A763" s="253">
        <v>44796</v>
      </c>
      <c r="B763" s="224" t="s">
        <v>380</v>
      </c>
      <c r="C763" s="316">
        <v>4</v>
      </c>
      <c r="D763" s="224" t="s">
        <v>9894</v>
      </c>
      <c r="E763" s="224" t="s">
        <v>3</v>
      </c>
      <c r="F763" s="224" t="s">
        <v>725</v>
      </c>
      <c r="G763" s="224" t="s">
        <v>10784</v>
      </c>
      <c r="H763" s="224">
        <v>4</v>
      </c>
      <c r="I763" s="224" t="s">
        <v>941</v>
      </c>
      <c r="J763" s="224" t="s">
        <v>9896</v>
      </c>
      <c r="K763" s="224">
        <v>4</v>
      </c>
      <c r="L763" s="224" t="s">
        <v>451</v>
      </c>
      <c r="M763" s="330">
        <v>1500000</v>
      </c>
      <c r="N763" s="224" t="s">
        <v>452</v>
      </c>
      <c r="O763" s="224" t="s">
        <v>452</v>
      </c>
      <c r="P763" s="224"/>
      <c r="Q763" s="224" t="s">
        <v>18</v>
      </c>
      <c r="R763" s="254"/>
      <c r="S763" s="224"/>
      <c r="T763" s="224"/>
      <c r="U763" s="224"/>
      <c r="V763" s="224"/>
      <c r="W763" s="224"/>
      <c r="X763" s="224"/>
      <c r="Y763" s="224"/>
      <c r="Z763" s="224"/>
    </row>
    <row r="764" spans="1:26" ht="15.75" customHeight="1">
      <c r="A764" s="248">
        <v>44796</v>
      </c>
      <c r="B764" s="219" t="s">
        <v>412</v>
      </c>
      <c r="C764" s="315">
        <v>4</v>
      </c>
      <c r="D764" s="219" t="s">
        <v>10149</v>
      </c>
      <c r="E764" s="219" t="s">
        <v>3</v>
      </c>
      <c r="F764" s="219" t="s">
        <v>725</v>
      </c>
      <c r="G764" s="219" t="s">
        <v>10798</v>
      </c>
      <c r="H764" s="219">
        <v>4</v>
      </c>
      <c r="I764" s="219" t="s">
        <v>941</v>
      </c>
      <c r="J764" s="219" t="s">
        <v>10151</v>
      </c>
      <c r="K764" s="219">
        <v>4</v>
      </c>
      <c r="L764" s="219" t="s">
        <v>478</v>
      </c>
      <c r="M764" s="219" t="s">
        <v>10152</v>
      </c>
      <c r="N764" s="219" t="s">
        <v>452</v>
      </c>
      <c r="O764" s="219" t="s">
        <v>10153</v>
      </c>
      <c r="P764" s="219" t="s">
        <v>10154</v>
      </c>
      <c r="Q764" s="219" t="s">
        <v>18</v>
      </c>
      <c r="R764" s="251"/>
      <c r="S764" s="219"/>
      <c r="T764" s="219"/>
      <c r="U764" s="219"/>
      <c r="V764" s="219"/>
      <c r="W764" s="219"/>
      <c r="X764" s="219"/>
      <c r="Y764" s="219"/>
      <c r="Z764" s="219"/>
    </row>
    <row r="765" spans="1:26" ht="15.75" customHeight="1">
      <c r="A765" s="253">
        <v>44796</v>
      </c>
      <c r="B765" s="224" t="s">
        <v>210</v>
      </c>
      <c r="C765" s="316">
        <v>4</v>
      </c>
      <c r="D765" s="224" t="s">
        <v>3860</v>
      </c>
      <c r="E765" s="224" t="s">
        <v>4</v>
      </c>
      <c r="F765" s="224" t="s">
        <v>725</v>
      </c>
      <c r="G765" s="224" t="s">
        <v>11490</v>
      </c>
      <c r="H765" s="224">
        <v>4</v>
      </c>
      <c r="I765" s="224" t="s">
        <v>1187</v>
      </c>
      <c r="J765" s="224" t="s">
        <v>3862</v>
      </c>
      <c r="K765" s="224">
        <v>4</v>
      </c>
      <c r="L765" s="224"/>
      <c r="M765" s="224"/>
      <c r="N765" s="224" t="s">
        <v>452</v>
      </c>
      <c r="O765" s="224" t="s">
        <v>3863</v>
      </c>
      <c r="P765" s="224"/>
      <c r="Q765" s="224" t="s">
        <v>18</v>
      </c>
      <c r="R765" s="254"/>
      <c r="S765" s="224"/>
      <c r="T765" s="224"/>
      <c r="U765" s="224"/>
      <c r="V765" s="224"/>
      <c r="W765" s="224"/>
      <c r="X765" s="224"/>
      <c r="Y765" s="224"/>
      <c r="Z765" s="224"/>
    </row>
    <row r="766" spans="1:26" ht="15.75" customHeight="1">
      <c r="A766" s="257">
        <v>44796</v>
      </c>
      <c r="B766" s="258" t="s">
        <v>9701</v>
      </c>
      <c r="C766" s="263">
        <v>4</v>
      </c>
      <c r="D766" s="258" t="s">
        <v>9704</v>
      </c>
      <c r="E766" s="258" t="s">
        <v>3</v>
      </c>
      <c r="F766" s="258" t="s">
        <v>725</v>
      </c>
      <c r="G766" s="258" t="s">
        <v>10837</v>
      </c>
      <c r="H766" s="258">
        <v>4.5</v>
      </c>
      <c r="I766" s="258" t="s">
        <v>462</v>
      </c>
      <c r="J766" s="258" t="s">
        <v>9706</v>
      </c>
      <c r="K766" s="258">
        <v>3.5</v>
      </c>
      <c r="L766" s="258" t="s">
        <v>451</v>
      </c>
      <c r="M766" s="328">
        <v>3000000</v>
      </c>
      <c r="N766" s="258" t="s">
        <v>454</v>
      </c>
      <c r="O766" s="258" t="s">
        <v>9707</v>
      </c>
      <c r="P766" s="258" t="s">
        <v>9708</v>
      </c>
      <c r="Q766" s="258" t="s">
        <v>23</v>
      </c>
      <c r="R766" s="259" t="s">
        <v>10838</v>
      </c>
      <c r="S766" s="258"/>
      <c r="T766" s="258"/>
      <c r="U766" s="258"/>
      <c r="V766" s="258"/>
      <c r="W766" s="258"/>
      <c r="X766" s="258"/>
      <c r="Y766" s="258"/>
      <c r="Z766" s="258"/>
    </row>
    <row r="767" spans="1:26" ht="15.75" customHeight="1">
      <c r="A767" s="257">
        <v>44796</v>
      </c>
      <c r="B767" s="258" t="s">
        <v>3880</v>
      </c>
      <c r="C767" s="263">
        <v>4</v>
      </c>
      <c r="D767" s="258" t="s">
        <v>10841</v>
      </c>
      <c r="E767" s="258" t="s">
        <v>4</v>
      </c>
      <c r="F767" s="258" t="s">
        <v>725</v>
      </c>
      <c r="G767" s="258" t="s">
        <v>3884</v>
      </c>
      <c r="H767" s="258">
        <v>3</v>
      </c>
      <c r="I767" s="258" t="s">
        <v>1187</v>
      </c>
      <c r="J767" s="258" t="s">
        <v>3885</v>
      </c>
      <c r="K767" s="258">
        <v>5</v>
      </c>
      <c r="L767" s="258" t="s">
        <v>478</v>
      </c>
      <c r="M767" s="258">
        <v>700000</v>
      </c>
      <c r="N767" s="258" t="s">
        <v>452</v>
      </c>
      <c r="O767" s="258" t="s">
        <v>452</v>
      </c>
      <c r="P767" s="258"/>
      <c r="Q767" s="258" t="s">
        <v>24</v>
      </c>
      <c r="R767" s="259" t="s">
        <v>11710</v>
      </c>
      <c r="S767" s="258"/>
      <c r="T767" s="258"/>
      <c r="U767" s="258"/>
      <c r="V767" s="258"/>
      <c r="W767" s="258"/>
      <c r="X767" s="258"/>
      <c r="Y767" s="258"/>
      <c r="Z767" s="258"/>
    </row>
    <row r="768" spans="1:26" ht="15.75" customHeight="1">
      <c r="A768" s="248">
        <v>44796</v>
      </c>
      <c r="B768" s="219" t="s">
        <v>218</v>
      </c>
      <c r="C768" s="315">
        <v>4</v>
      </c>
      <c r="D768" s="219" t="s">
        <v>1303</v>
      </c>
      <c r="E768" s="219" t="s">
        <v>4</v>
      </c>
      <c r="F768" s="219" t="s">
        <v>725</v>
      </c>
      <c r="G768" s="219" t="e">
        <f>+ Various government grants and ecosystem partners
+ Credible Team
+ Could Enhance authenticity of convenient home-based tests and help better pandemic management
- crowded space
- tamper proof?
- who pays for test hardware and cartridges
                                                                                                                                                                                                                                                                Interview to find out more?  Could be for Deep Tech.</f>
        <v>#NAME?</v>
      </c>
      <c r="H768" s="219">
        <v>4.5</v>
      </c>
      <c r="I768" s="219" t="s">
        <v>1045</v>
      </c>
      <c r="J768" s="219" t="s">
        <v>1305</v>
      </c>
      <c r="K768" s="219">
        <v>3.5</v>
      </c>
      <c r="L768" s="219" t="s">
        <v>451</v>
      </c>
      <c r="M768" s="219" t="s">
        <v>1306</v>
      </c>
      <c r="N768" s="219" t="s">
        <v>452</v>
      </c>
      <c r="O768" s="219" t="s">
        <v>1307</v>
      </c>
      <c r="P768" s="219" t="s">
        <v>1308</v>
      </c>
      <c r="Q768" s="219" t="s">
        <v>18</v>
      </c>
      <c r="R768" s="251"/>
      <c r="S768" s="219"/>
      <c r="T768" s="219"/>
      <c r="U768" s="219"/>
      <c r="V768" s="219"/>
      <c r="W768" s="219"/>
      <c r="X768" s="219"/>
      <c r="Y768" s="219"/>
      <c r="Z768" s="219"/>
    </row>
    <row r="769" spans="1:26" ht="15.75" customHeight="1">
      <c r="A769" s="255">
        <v>44796</v>
      </c>
      <c r="B769" s="239" t="s">
        <v>379</v>
      </c>
      <c r="C769" s="262">
        <v>4</v>
      </c>
      <c r="D769" s="239" t="s">
        <v>10028</v>
      </c>
      <c r="E769" s="239" t="s">
        <v>5</v>
      </c>
      <c r="F769" s="239" t="s">
        <v>460</v>
      </c>
      <c r="G769" s="239" t="s">
        <v>10029</v>
      </c>
      <c r="H769" s="239">
        <v>4</v>
      </c>
      <c r="I769" s="239" t="s">
        <v>462</v>
      </c>
      <c r="J769" s="239" t="s">
        <v>10030</v>
      </c>
      <c r="K769" s="239">
        <v>4</v>
      </c>
      <c r="L769" s="239" t="s">
        <v>973</v>
      </c>
      <c r="M769" s="239" t="s">
        <v>10031</v>
      </c>
      <c r="N769" s="239" t="s">
        <v>452</v>
      </c>
      <c r="O769" s="239" t="s">
        <v>10869</v>
      </c>
      <c r="P769" s="239"/>
      <c r="Q769" s="239" t="s">
        <v>20</v>
      </c>
      <c r="R769" s="256" t="s">
        <v>11711</v>
      </c>
      <c r="S769" s="239"/>
      <c r="T769" s="239"/>
      <c r="U769" s="239"/>
      <c r="V769" s="239"/>
      <c r="W769" s="239"/>
      <c r="X769" s="239"/>
      <c r="Y769" s="239"/>
      <c r="Z769" s="239"/>
    </row>
    <row r="770" spans="1:26" ht="15.75" customHeight="1">
      <c r="A770" s="248">
        <v>44796</v>
      </c>
      <c r="B770" s="219" t="s">
        <v>114</v>
      </c>
      <c r="C770" s="315">
        <v>4</v>
      </c>
      <c r="D770" s="219" t="s">
        <v>822</v>
      </c>
      <c r="E770" s="219" t="s">
        <v>5</v>
      </c>
      <c r="F770" s="219" t="s">
        <v>447</v>
      </c>
      <c r="G770" s="219" t="s">
        <v>11492</v>
      </c>
      <c r="H770" s="219">
        <v>4.5</v>
      </c>
      <c r="I770" s="219" t="s">
        <v>622</v>
      </c>
      <c r="J770" s="219" t="s">
        <v>11712</v>
      </c>
      <c r="K770" s="219">
        <v>3.5</v>
      </c>
      <c r="L770" s="219" t="s">
        <v>478</v>
      </c>
      <c r="M770" s="331">
        <v>15000000</v>
      </c>
      <c r="N770" s="219" t="s">
        <v>452</v>
      </c>
      <c r="O770" s="219" t="s">
        <v>825</v>
      </c>
      <c r="P770" s="219"/>
      <c r="Q770" s="219" t="s">
        <v>18</v>
      </c>
      <c r="R770" s="251"/>
      <c r="S770" s="219"/>
      <c r="T770" s="219"/>
      <c r="U770" s="219"/>
      <c r="V770" s="219"/>
      <c r="W770" s="219"/>
      <c r="X770" s="219"/>
      <c r="Y770" s="219"/>
      <c r="Z770" s="219"/>
    </row>
    <row r="771" spans="1:26" ht="15.75" customHeight="1">
      <c r="A771" s="253">
        <v>44796</v>
      </c>
      <c r="B771" s="224" t="s">
        <v>228</v>
      </c>
      <c r="C771" s="316">
        <v>4</v>
      </c>
      <c r="D771" s="224" t="s">
        <v>3945</v>
      </c>
      <c r="E771" s="224" t="s">
        <v>4</v>
      </c>
      <c r="F771" s="224" t="s">
        <v>725</v>
      </c>
      <c r="G771" s="224" t="s">
        <v>10923</v>
      </c>
      <c r="H771" s="224">
        <v>4</v>
      </c>
      <c r="I771" s="224" t="s">
        <v>1281</v>
      </c>
      <c r="J771" s="224" t="s">
        <v>3947</v>
      </c>
      <c r="K771" s="224">
        <v>4</v>
      </c>
      <c r="L771" s="224" t="s">
        <v>3948</v>
      </c>
      <c r="M771" s="224" t="s">
        <v>3949</v>
      </c>
      <c r="N771" s="224" t="s">
        <v>452</v>
      </c>
      <c r="O771" s="224" t="s">
        <v>452</v>
      </c>
      <c r="P771" s="224"/>
      <c r="Q771" s="224" t="s">
        <v>18</v>
      </c>
      <c r="R771" s="254"/>
      <c r="S771" s="224"/>
      <c r="T771" s="224"/>
      <c r="U771" s="224"/>
      <c r="V771" s="224"/>
      <c r="W771" s="224"/>
      <c r="X771" s="224"/>
      <c r="Y771" s="224"/>
      <c r="Z771" s="224"/>
    </row>
    <row r="772" spans="1:26" ht="15.75" customHeight="1">
      <c r="A772" s="255">
        <v>44796</v>
      </c>
      <c r="B772" s="239" t="s">
        <v>246</v>
      </c>
      <c r="C772" s="262">
        <v>4</v>
      </c>
      <c r="D772" s="239" t="s">
        <v>1437</v>
      </c>
      <c r="E772" s="239" t="s">
        <v>4</v>
      </c>
      <c r="F772" s="239" t="s">
        <v>460</v>
      </c>
      <c r="G772" s="239" t="s">
        <v>1438</v>
      </c>
      <c r="H772" s="239">
        <v>4</v>
      </c>
      <c r="I772" s="239" t="s">
        <v>462</v>
      </c>
      <c r="J772" s="239" t="s">
        <v>1439</v>
      </c>
      <c r="K772" s="239">
        <v>4</v>
      </c>
      <c r="L772" s="239" t="s">
        <v>451</v>
      </c>
      <c r="M772" s="239">
        <v>2000000</v>
      </c>
      <c r="N772" s="239" t="s">
        <v>452</v>
      </c>
      <c r="O772" s="239" t="s">
        <v>1440</v>
      </c>
      <c r="P772" s="239"/>
      <c r="Q772" s="239" t="s">
        <v>19</v>
      </c>
      <c r="R772" s="256" t="s">
        <v>1441</v>
      </c>
      <c r="S772" s="239"/>
      <c r="T772" s="239"/>
      <c r="U772" s="239"/>
      <c r="V772" s="239"/>
      <c r="W772" s="239"/>
      <c r="X772" s="239"/>
      <c r="Y772" s="239"/>
      <c r="Z772" s="239"/>
    </row>
    <row r="773" spans="1:26" ht="15.75" customHeight="1">
      <c r="A773" s="253">
        <v>44796</v>
      </c>
      <c r="B773" s="224" t="s">
        <v>263</v>
      </c>
      <c r="C773" s="316">
        <v>4</v>
      </c>
      <c r="D773" s="224" t="s">
        <v>4106</v>
      </c>
      <c r="E773" s="224" t="s">
        <v>4</v>
      </c>
      <c r="F773" s="224" t="s">
        <v>725</v>
      </c>
      <c r="G773" s="224" t="s">
        <v>11090</v>
      </c>
      <c r="H773" s="224">
        <v>4</v>
      </c>
      <c r="I773" s="224" t="s">
        <v>1045</v>
      </c>
      <c r="J773" s="224" t="s">
        <v>4108</v>
      </c>
      <c r="K773" s="224">
        <v>4</v>
      </c>
      <c r="L773" s="224" t="s">
        <v>478</v>
      </c>
      <c r="M773" s="224" t="s">
        <v>4109</v>
      </c>
      <c r="N773" s="224" t="s">
        <v>452</v>
      </c>
      <c r="O773" s="224" t="s">
        <v>11091</v>
      </c>
      <c r="P773" s="224" t="s">
        <v>4111</v>
      </c>
      <c r="Q773" s="224" t="s">
        <v>18</v>
      </c>
      <c r="R773" s="254"/>
      <c r="S773" s="224"/>
      <c r="T773" s="224"/>
      <c r="U773" s="224"/>
      <c r="V773" s="224"/>
      <c r="W773" s="224"/>
      <c r="X773" s="224"/>
      <c r="Y773" s="224"/>
      <c r="Z773" s="224"/>
    </row>
    <row r="774" spans="1:26" ht="15.75" customHeight="1">
      <c r="A774" s="248">
        <v>44796</v>
      </c>
      <c r="B774" s="219" t="s">
        <v>192</v>
      </c>
      <c r="C774" s="315">
        <v>4</v>
      </c>
      <c r="D774" s="219" t="s">
        <v>3778</v>
      </c>
      <c r="E774" s="219" t="s">
        <v>4</v>
      </c>
      <c r="F774" s="219" t="s">
        <v>725</v>
      </c>
      <c r="G774" s="219" t="s">
        <v>11099</v>
      </c>
      <c r="H774" s="219">
        <v>4.5</v>
      </c>
      <c r="I774" s="219" t="s">
        <v>476</v>
      </c>
      <c r="J774" s="219" t="s">
        <v>13400</v>
      </c>
      <c r="K774" s="219">
        <v>3.5</v>
      </c>
      <c r="L774" s="219" t="s">
        <v>451</v>
      </c>
      <c r="M774" s="331">
        <v>2500000</v>
      </c>
      <c r="N774" s="219" t="s">
        <v>452</v>
      </c>
      <c r="O774" s="219" t="s">
        <v>3781</v>
      </c>
      <c r="P774" s="219"/>
      <c r="Q774" s="219" t="s">
        <v>18</v>
      </c>
      <c r="R774" s="251"/>
      <c r="S774" s="219"/>
      <c r="T774" s="219"/>
      <c r="U774" s="219"/>
      <c r="V774" s="219"/>
      <c r="W774" s="219"/>
      <c r="X774" s="219"/>
      <c r="Y774" s="219"/>
      <c r="Z774" s="219"/>
    </row>
    <row r="775" spans="1:26" ht="15.75" customHeight="1">
      <c r="A775" s="253">
        <v>44796</v>
      </c>
      <c r="B775" s="224" t="s">
        <v>248</v>
      </c>
      <c r="C775" s="316">
        <v>4</v>
      </c>
      <c r="D775" s="224" t="s">
        <v>4052</v>
      </c>
      <c r="E775" s="224" t="s">
        <v>4</v>
      </c>
      <c r="F775" s="224" t="s">
        <v>725</v>
      </c>
      <c r="G775" s="224" t="s">
        <v>11713</v>
      </c>
      <c r="H775" s="224">
        <v>4</v>
      </c>
      <c r="I775" s="224" t="s">
        <v>4054</v>
      </c>
      <c r="J775" s="224" t="s">
        <v>4055</v>
      </c>
      <c r="K775" s="224">
        <v>4</v>
      </c>
      <c r="L775" s="224" t="s">
        <v>4056</v>
      </c>
      <c r="M775" s="224" t="s">
        <v>4057</v>
      </c>
      <c r="N775" s="224" t="s">
        <v>465</v>
      </c>
      <c r="O775" s="224" t="s">
        <v>4058</v>
      </c>
      <c r="P775" s="224"/>
      <c r="Q775" s="224" t="s">
        <v>18</v>
      </c>
      <c r="R775" s="254"/>
      <c r="S775" s="224"/>
      <c r="T775" s="224"/>
      <c r="U775" s="224"/>
      <c r="V775" s="224"/>
      <c r="W775" s="224"/>
      <c r="X775" s="224"/>
      <c r="Y775" s="224"/>
      <c r="Z775" s="224"/>
    </row>
    <row r="776" spans="1:26" ht="15.75" customHeight="1">
      <c r="A776" s="248">
        <v>44796</v>
      </c>
      <c r="B776" s="219" t="s">
        <v>209</v>
      </c>
      <c r="C776" s="315">
        <v>4</v>
      </c>
      <c r="D776" s="219" t="s">
        <v>3852</v>
      </c>
      <c r="E776" s="219" t="s">
        <v>4</v>
      </c>
      <c r="F776" s="219" t="s">
        <v>447</v>
      </c>
      <c r="G776" s="219" t="s">
        <v>11241</v>
      </c>
      <c r="H776" s="219">
        <v>4</v>
      </c>
      <c r="I776" s="219" t="s">
        <v>1187</v>
      </c>
      <c r="J776" s="219" t="s">
        <v>3854</v>
      </c>
      <c r="K776" s="219">
        <v>4</v>
      </c>
      <c r="L776" s="219" t="s">
        <v>784</v>
      </c>
      <c r="M776" s="331">
        <v>500000</v>
      </c>
      <c r="N776" s="219" t="s">
        <v>452</v>
      </c>
      <c r="O776" s="219" t="s">
        <v>3855</v>
      </c>
      <c r="P776" s="219"/>
      <c r="Q776" s="219" t="s">
        <v>18</v>
      </c>
      <c r="R776" s="251"/>
      <c r="S776" s="219"/>
      <c r="T776" s="219"/>
      <c r="U776" s="219"/>
      <c r="V776" s="219"/>
      <c r="W776" s="219"/>
      <c r="X776" s="219"/>
      <c r="Y776" s="219"/>
      <c r="Z776" s="219"/>
    </row>
    <row r="777" spans="1:26" ht="15.75" customHeight="1">
      <c r="A777" s="257">
        <v>44796</v>
      </c>
      <c r="B777" s="258" t="s">
        <v>296</v>
      </c>
      <c r="C777" s="263">
        <v>4</v>
      </c>
      <c r="D777" s="258" t="s">
        <v>1662</v>
      </c>
      <c r="E777" s="258" t="s">
        <v>3</v>
      </c>
      <c r="F777" s="258" t="s">
        <v>488</v>
      </c>
      <c r="G777" s="258" t="s">
        <v>11250</v>
      </c>
      <c r="H777" s="258">
        <v>3.99</v>
      </c>
      <c r="I777" s="258" t="s">
        <v>941</v>
      </c>
      <c r="J777" s="258" t="s">
        <v>1664</v>
      </c>
      <c r="K777" s="258">
        <v>4</v>
      </c>
      <c r="L777" s="258"/>
      <c r="M777" s="258"/>
      <c r="N777" s="258" t="s">
        <v>452</v>
      </c>
      <c r="O777" s="258" t="s">
        <v>452</v>
      </c>
      <c r="P777" s="258" t="s">
        <v>1665</v>
      </c>
      <c r="Q777" s="258" t="s">
        <v>20</v>
      </c>
      <c r="R777" s="259" t="s">
        <v>11714</v>
      </c>
      <c r="S777" s="258"/>
      <c r="T777" s="258"/>
      <c r="U777" s="258"/>
      <c r="V777" s="258"/>
      <c r="W777" s="258"/>
      <c r="X777" s="258"/>
      <c r="Y777" s="258"/>
      <c r="Z777" s="258"/>
    </row>
    <row r="778" spans="1:26" ht="15.75" customHeight="1">
      <c r="A778" s="248">
        <v>44796</v>
      </c>
      <c r="B778" s="219" t="s">
        <v>407</v>
      </c>
      <c r="C778" s="315">
        <v>4</v>
      </c>
      <c r="D778" s="219" t="s">
        <v>9970</v>
      </c>
      <c r="E778" s="219" t="s">
        <v>3</v>
      </c>
      <c r="F778" s="219" t="s">
        <v>725</v>
      </c>
      <c r="G778" s="219" t="s">
        <v>9971</v>
      </c>
      <c r="H778" s="219">
        <v>4</v>
      </c>
      <c r="I778" s="219" t="s">
        <v>941</v>
      </c>
      <c r="J778" s="219" t="s">
        <v>9972</v>
      </c>
      <c r="K778" s="219">
        <v>4</v>
      </c>
      <c r="L778" s="219" t="s">
        <v>478</v>
      </c>
      <c r="M778" s="326">
        <v>20000000</v>
      </c>
      <c r="N778" s="219" t="s">
        <v>465</v>
      </c>
      <c r="O778" s="219" t="s">
        <v>6922</v>
      </c>
      <c r="P778" s="219"/>
      <c r="Q778" s="219" t="s">
        <v>18</v>
      </c>
      <c r="R778" s="251"/>
      <c r="S778" s="219"/>
      <c r="T778" s="219"/>
      <c r="U778" s="219"/>
      <c r="V778" s="219"/>
      <c r="W778" s="219"/>
      <c r="X778" s="219"/>
      <c r="Y778" s="219"/>
      <c r="Z778" s="219"/>
    </row>
    <row r="779" spans="1:26" ht="15.75" customHeight="1">
      <c r="A779" s="257">
        <v>44796</v>
      </c>
      <c r="B779" s="258" t="s">
        <v>188</v>
      </c>
      <c r="C779" s="263">
        <v>4</v>
      </c>
      <c r="D779" s="258" t="s">
        <v>3753</v>
      </c>
      <c r="E779" s="258" t="s">
        <v>4</v>
      </c>
      <c r="F779" s="258" t="s">
        <v>727</v>
      </c>
      <c r="G779" s="258" t="s">
        <v>11499</v>
      </c>
      <c r="H779" s="258">
        <v>4</v>
      </c>
      <c r="I779" s="258" t="s">
        <v>1036</v>
      </c>
      <c r="J779" s="258" t="s">
        <v>3755</v>
      </c>
      <c r="K779" s="258">
        <v>4</v>
      </c>
      <c r="L779" s="258"/>
      <c r="M779" s="258"/>
      <c r="N779" s="258" t="s">
        <v>454</v>
      </c>
      <c r="O779" s="258" t="s">
        <v>3756</v>
      </c>
      <c r="P779" s="258" t="s">
        <v>3757</v>
      </c>
      <c r="Q779" s="258" t="s">
        <v>20</v>
      </c>
      <c r="R779" s="259" t="s">
        <v>3758</v>
      </c>
      <c r="S779" s="258"/>
      <c r="T779" s="258"/>
      <c r="U779" s="258"/>
      <c r="V779" s="258"/>
      <c r="W779" s="258"/>
      <c r="X779" s="258"/>
      <c r="Y779" s="258"/>
      <c r="Z779" s="258"/>
    </row>
    <row r="780" spans="1:26" ht="15.75" customHeight="1">
      <c r="A780" s="248">
        <v>44796</v>
      </c>
      <c r="B780" s="219" t="s">
        <v>180</v>
      </c>
      <c r="C780" s="315">
        <v>4</v>
      </c>
      <c r="D780" s="219"/>
      <c r="E780" s="219" t="s">
        <v>4</v>
      </c>
      <c r="F780" s="219" t="s">
        <v>725</v>
      </c>
      <c r="G780" s="219" t="s">
        <v>11342</v>
      </c>
      <c r="H780" s="219">
        <v>4</v>
      </c>
      <c r="I780" s="219" t="s">
        <v>990</v>
      </c>
      <c r="J780" s="219" t="s">
        <v>3721</v>
      </c>
      <c r="K780" s="219">
        <v>4</v>
      </c>
      <c r="L780" s="219" t="s">
        <v>913</v>
      </c>
      <c r="M780" s="219">
        <v>1500000</v>
      </c>
      <c r="N780" s="219" t="s">
        <v>465</v>
      </c>
      <c r="O780" s="219" t="s">
        <v>452</v>
      </c>
      <c r="P780" s="219"/>
      <c r="Q780" s="219" t="s">
        <v>18</v>
      </c>
      <c r="R780" s="251"/>
      <c r="S780" s="219"/>
      <c r="T780" s="219"/>
      <c r="U780" s="219"/>
      <c r="V780" s="219"/>
      <c r="W780" s="219"/>
      <c r="X780" s="219"/>
      <c r="Y780" s="219"/>
      <c r="Z780" s="219"/>
    </row>
    <row r="781" spans="1:26" ht="15.75" customHeight="1">
      <c r="A781" s="253">
        <v>44796</v>
      </c>
      <c r="B781" s="224" t="s">
        <v>217</v>
      </c>
      <c r="C781" s="316">
        <v>4</v>
      </c>
      <c r="D781" s="224" t="s">
        <v>3907</v>
      </c>
      <c r="E781" s="224" t="s">
        <v>4</v>
      </c>
      <c r="F781" s="224" t="s">
        <v>447</v>
      </c>
      <c r="G781" s="224" t="s">
        <v>11343</v>
      </c>
      <c r="H781" s="224">
        <v>4</v>
      </c>
      <c r="I781" s="224" t="s">
        <v>1237</v>
      </c>
      <c r="J781" s="224"/>
      <c r="K781" s="224">
        <v>4</v>
      </c>
      <c r="L781" s="224" t="s">
        <v>451</v>
      </c>
      <c r="M781" s="311">
        <v>4000000</v>
      </c>
      <c r="N781" s="224" t="s">
        <v>452</v>
      </c>
      <c r="O781" s="224" t="s">
        <v>11344</v>
      </c>
      <c r="P781" s="224"/>
      <c r="Q781" s="224" t="s">
        <v>18</v>
      </c>
      <c r="R781" s="254"/>
      <c r="S781" s="224"/>
      <c r="T781" s="224"/>
      <c r="U781" s="224"/>
      <c r="V781" s="224"/>
      <c r="W781" s="224"/>
      <c r="X781" s="224"/>
      <c r="Y781" s="224"/>
      <c r="Z781" s="224"/>
    </row>
    <row r="782" spans="1:26" ht="15.75" customHeight="1">
      <c r="A782" s="255">
        <v>44796</v>
      </c>
      <c r="B782" s="239" t="s">
        <v>123</v>
      </c>
      <c r="C782" s="262">
        <v>4</v>
      </c>
      <c r="D782" s="239" t="s">
        <v>9473</v>
      </c>
      <c r="E782" s="239" t="s">
        <v>5</v>
      </c>
      <c r="F782" s="239" t="s">
        <v>488</v>
      </c>
      <c r="G782" s="239" t="s">
        <v>9474</v>
      </c>
      <c r="H782" s="239">
        <v>4</v>
      </c>
      <c r="I782" s="239" t="s">
        <v>941</v>
      </c>
      <c r="J782" s="239" t="s">
        <v>9475</v>
      </c>
      <c r="K782" s="239">
        <v>4</v>
      </c>
      <c r="L782" s="239"/>
      <c r="M782" s="239"/>
      <c r="N782" s="239" t="s">
        <v>452</v>
      </c>
      <c r="O782" s="239" t="s">
        <v>9476</v>
      </c>
      <c r="P782" s="239"/>
      <c r="Q782" s="239" t="s">
        <v>20</v>
      </c>
      <c r="R782" s="256" t="s">
        <v>9477</v>
      </c>
      <c r="S782" s="239"/>
      <c r="T782" s="239"/>
      <c r="U782" s="239"/>
      <c r="V782" s="239"/>
      <c r="W782" s="239"/>
      <c r="X782" s="239"/>
      <c r="Y782" s="239"/>
      <c r="Z782" s="239"/>
    </row>
    <row r="783" spans="1:26" ht="15.75" customHeight="1">
      <c r="A783" s="253">
        <v>44796</v>
      </c>
      <c r="B783" s="224" t="s">
        <v>318</v>
      </c>
      <c r="C783" s="316">
        <v>4</v>
      </c>
      <c r="D783" s="224" t="s">
        <v>11378</v>
      </c>
      <c r="E783" s="224" t="s">
        <v>3</v>
      </c>
      <c r="F783" s="224" t="s">
        <v>725</v>
      </c>
      <c r="G783" s="224" t="s">
        <v>11379</v>
      </c>
      <c r="H783" s="224">
        <v>4</v>
      </c>
      <c r="I783" s="224" t="s">
        <v>941</v>
      </c>
      <c r="J783" s="224" t="s">
        <v>9681</v>
      </c>
      <c r="K783" s="224">
        <v>4</v>
      </c>
      <c r="L783" s="224" t="s">
        <v>451</v>
      </c>
      <c r="M783" s="307">
        <v>6000000</v>
      </c>
      <c r="N783" s="224" t="s">
        <v>452</v>
      </c>
      <c r="O783" s="224" t="s">
        <v>9682</v>
      </c>
      <c r="P783" s="224"/>
      <c r="Q783" s="224" t="s">
        <v>18</v>
      </c>
      <c r="R783" s="254"/>
      <c r="S783" s="224"/>
      <c r="T783" s="224"/>
      <c r="U783" s="224"/>
      <c r="V783" s="224"/>
      <c r="W783" s="224"/>
      <c r="X783" s="224"/>
      <c r="Y783" s="224"/>
      <c r="Z783" s="224"/>
    </row>
    <row r="784" spans="1:26" ht="15.75" customHeight="1">
      <c r="A784" s="257">
        <v>44796</v>
      </c>
      <c r="B784" s="258" t="s">
        <v>4132</v>
      </c>
      <c r="C784" s="263">
        <v>3.88</v>
      </c>
      <c r="D784" s="258" t="s">
        <v>4135</v>
      </c>
      <c r="E784" s="258" t="s">
        <v>4</v>
      </c>
      <c r="F784" s="258" t="s">
        <v>725</v>
      </c>
      <c r="G784" s="258" t="s">
        <v>11181</v>
      </c>
      <c r="H784" s="258">
        <v>3.75</v>
      </c>
      <c r="I784" s="258" t="s">
        <v>476</v>
      </c>
      <c r="J784" s="258" t="s">
        <v>11715</v>
      </c>
      <c r="K784" s="258">
        <v>4</v>
      </c>
      <c r="L784" s="258"/>
      <c r="M784" s="258"/>
      <c r="N784" s="258" t="s">
        <v>452</v>
      </c>
      <c r="O784" s="258" t="s">
        <v>4138</v>
      </c>
      <c r="P784" s="258"/>
      <c r="Q784" s="258" t="s">
        <v>24</v>
      </c>
      <c r="R784" s="259" t="s">
        <v>4139</v>
      </c>
      <c r="S784" s="258"/>
      <c r="T784" s="258"/>
      <c r="U784" s="258"/>
      <c r="V784" s="258"/>
      <c r="W784" s="258"/>
      <c r="X784" s="258"/>
      <c r="Y784" s="258"/>
      <c r="Z784" s="258"/>
    </row>
    <row r="785" spans="1:26" ht="15.75" customHeight="1">
      <c r="A785" s="257">
        <v>44796</v>
      </c>
      <c r="B785" s="258" t="s">
        <v>9087</v>
      </c>
      <c r="C785" s="263">
        <v>3.75</v>
      </c>
      <c r="D785" s="258" t="s">
        <v>9090</v>
      </c>
      <c r="E785" s="258" t="s">
        <v>3</v>
      </c>
      <c r="F785" s="258" t="s">
        <v>460</v>
      </c>
      <c r="G785" s="258" t="s">
        <v>9091</v>
      </c>
      <c r="H785" s="258">
        <v>3.5</v>
      </c>
      <c r="I785" s="258" t="s">
        <v>462</v>
      </c>
      <c r="J785" s="258" t="s">
        <v>9092</v>
      </c>
      <c r="K785" s="258">
        <v>4</v>
      </c>
      <c r="L785" s="258" t="s">
        <v>478</v>
      </c>
      <c r="M785" s="328">
        <v>10000000</v>
      </c>
      <c r="N785" s="258" t="s">
        <v>452</v>
      </c>
      <c r="O785" s="258" t="s">
        <v>1119</v>
      </c>
      <c r="P785" s="258"/>
      <c r="Q785" s="258" t="s">
        <v>24</v>
      </c>
      <c r="R785" s="259" t="s">
        <v>11716</v>
      </c>
      <c r="S785" s="258"/>
      <c r="T785" s="258"/>
      <c r="U785" s="258"/>
      <c r="V785" s="258"/>
      <c r="W785" s="258"/>
      <c r="X785" s="258"/>
      <c r="Y785" s="258"/>
      <c r="Z785" s="258"/>
    </row>
    <row r="786" spans="1:26" ht="15.75" customHeight="1">
      <c r="A786" s="257">
        <v>44796</v>
      </c>
      <c r="B786" s="258" t="s">
        <v>4208</v>
      </c>
      <c r="C786" s="263">
        <v>3.75</v>
      </c>
      <c r="D786" s="258" t="s">
        <v>4211</v>
      </c>
      <c r="E786" s="258" t="s">
        <v>4</v>
      </c>
      <c r="F786" s="258" t="s">
        <v>727</v>
      </c>
      <c r="G786" s="258" t="s">
        <v>10474</v>
      </c>
      <c r="H786" s="258">
        <v>3.5</v>
      </c>
      <c r="I786" s="258" t="s">
        <v>1073</v>
      </c>
      <c r="J786" s="258" t="s">
        <v>4213</v>
      </c>
      <c r="K786" s="258">
        <v>4</v>
      </c>
      <c r="L786" s="258" t="s">
        <v>478</v>
      </c>
      <c r="M786" s="258" t="s">
        <v>4214</v>
      </c>
      <c r="N786" s="258" t="s">
        <v>465</v>
      </c>
      <c r="O786" s="258" t="s">
        <v>452</v>
      </c>
      <c r="P786" s="258"/>
      <c r="Q786" s="258" t="s">
        <v>24</v>
      </c>
      <c r="R786" s="259" t="s">
        <v>4215</v>
      </c>
      <c r="S786" s="258"/>
      <c r="T786" s="258"/>
      <c r="U786" s="258"/>
      <c r="V786" s="258"/>
      <c r="W786" s="258"/>
      <c r="X786" s="258"/>
      <c r="Y786" s="258"/>
      <c r="Z786" s="258"/>
    </row>
    <row r="787" spans="1:26" ht="15.75" customHeight="1">
      <c r="A787" s="253">
        <v>44796</v>
      </c>
      <c r="B787" s="224" t="s">
        <v>4348</v>
      </c>
      <c r="C787" s="316">
        <v>3.75</v>
      </c>
      <c r="D787" s="224" t="s">
        <v>4351</v>
      </c>
      <c r="E787" s="224" t="s">
        <v>4</v>
      </c>
      <c r="F787" s="224" t="s">
        <v>727</v>
      </c>
      <c r="G787" s="224" t="s">
        <v>10499</v>
      </c>
      <c r="H787" s="224">
        <v>3.5</v>
      </c>
      <c r="I787" s="224" t="s">
        <v>1350</v>
      </c>
      <c r="J787" s="224" t="s">
        <v>4353</v>
      </c>
      <c r="K787" s="224">
        <v>4</v>
      </c>
      <c r="L787" s="224"/>
      <c r="M787" s="224"/>
      <c r="N787" s="224" t="s">
        <v>452</v>
      </c>
      <c r="O787" s="224" t="s">
        <v>10500</v>
      </c>
      <c r="P787" s="224"/>
      <c r="Q787" s="224" t="s">
        <v>24</v>
      </c>
      <c r="R787" s="254"/>
      <c r="S787" s="224"/>
      <c r="T787" s="224"/>
      <c r="U787" s="224"/>
      <c r="V787" s="224"/>
      <c r="W787" s="224"/>
      <c r="X787" s="224"/>
      <c r="Y787" s="224"/>
      <c r="Z787" s="224"/>
    </row>
    <row r="788" spans="1:26" ht="15.75" customHeight="1">
      <c r="A788" s="255">
        <v>44796</v>
      </c>
      <c r="B788" s="239" t="s">
        <v>79</v>
      </c>
      <c r="C788" s="262">
        <v>3.75</v>
      </c>
      <c r="D788" s="239" t="s">
        <v>2382</v>
      </c>
      <c r="E788" s="239" t="s">
        <v>5</v>
      </c>
      <c r="F788" s="239" t="s">
        <v>460</v>
      </c>
      <c r="G788" s="239" t="s">
        <v>2383</v>
      </c>
      <c r="H788" s="239">
        <v>4</v>
      </c>
      <c r="I788" s="239" t="s">
        <v>462</v>
      </c>
      <c r="J788" s="239" t="s">
        <v>2384</v>
      </c>
      <c r="K788" s="239">
        <v>3.5</v>
      </c>
      <c r="L788" s="239" t="s">
        <v>451</v>
      </c>
      <c r="M788" s="239" t="s">
        <v>2385</v>
      </c>
      <c r="N788" s="239" t="s">
        <v>452</v>
      </c>
      <c r="O788" s="239" t="s">
        <v>10561</v>
      </c>
      <c r="P788" s="239"/>
      <c r="Q788" s="239" t="s">
        <v>20</v>
      </c>
      <c r="R788" s="256" t="s">
        <v>2387</v>
      </c>
      <c r="S788" s="239"/>
      <c r="T788" s="239"/>
      <c r="U788" s="239"/>
      <c r="V788" s="239"/>
      <c r="W788" s="239"/>
      <c r="X788" s="239"/>
      <c r="Y788" s="239"/>
      <c r="Z788" s="239"/>
    </row>
    <row r="789" spans="1:26" ht="15.75" customHeight="1">
      <c r="A789" s="253">
        <v>44796</v>
      </c>
      <c r="B789" s="224" t="s">
        <v>4364</v>
      </c>
      <c r="C789" s="316">
        <v>3.75</v>
      </c>
      <c r="D789" s="224" t="s">
        <v>4367</v>
      </c>
      <c r="E789" s="224" t="s">
        <v>4</v>
      </c>
      <c r="F789" s="224" t="s">
        <v>727</v>
      </c>
      <c r="G789" s="224" t="s">
        <v>10590</v>
      </c>
      <c r="H789" s="224">
        <v>3.5</v>
      </c>
      <c r="I789" s="224" t="s">
        <v>1350</v>
      </c>
      <c r="J789" s="224" t="s">
        <v>4369</v>
      </c>
      <c r="K789" s="224">
        <v>4</v>
      </c>
      <c r="L789" s="224" t="s">
        <v>451</v>
      </c>
      <c r="M789" s="224" t="s">
        <v>4370</v>
      </c>
      <c r="N789" s="224" t="s">
        <v>452</v>
      </c>
      <c r="O789" s="224" t="s">
        <v>10591</v>
      </c>
      <c r="P789" s="224"/>
      <c r="Q789" s="224" t="s">
        <v>24</v>
      </c>
      <c r="R789" s="254"/>
      <c r="S789" s="224"/>
      <c r="T789" s="224"/>
      <c r="U789" s="224"/>
      <c r="V789" s="224"/>
      <c r="W789" s="224"/>
      <c r="X789" s="224"/>
      <c r="Y789" s="224"/>
      <c r="Z789" s="224"/>
    </row>
    <row r="790" spans="1:26" ht="15.75" customHeight="1">
      <c r="A790" s="248">
        <v>44796</v>
      </c>
      <c r="B790" s="219" t="s">
        <v>4161</v>
      </c>
      <c r="C790" s="315">
        <v>3.75</v>
      </c>
      <c r="D790" s="219" t="s">
        <v>4164</v>
      </c>
      <c r="E790" s="219" t="s">
        <v>4</v>
      </c>
      <c r="F790" s="219" t="s">
        <v>725</v>
      </c>
      <c r="G790" s="219" t="s">
        <v>10618</v>
      </c>
      <c r="H790" s="219">
        <v>3.5</v>
      </c>
      <c r="I790" s="219" t="s">
        <v>990</v>
      </c>
      <c r="J790" s="219" t="s">
        <v>4166</v>
      </c>
      <c r="K790" s="219">
        <v>4</v>
      </c>
      <c r="L790" s="219" t="s">
        <v>451</v>
      </c>
      <c r="M790" s="219" t="s">
        <v>4167</v>
      </c>
      <c r="N790" s="219" t="s">
        <v>452</v>
      </c>
      <c r="O790" s="219" t="s">
        <v>4168</v>
      </c>
      <c r="P790" s="219"/>
      <c r="Q790" s="219" t="s">
        <v>24</v>
      </c>
      <c r="R790" s="251"/>
      <c r="S790" s="219"/>
      <c r="T790" s="219"/>
      <c r="U790" s="219"/>
      <c r="V790" s="219"/>
      <c r="W790" s="219"/>
      <c r="X790" s="219"/>
      <c r="Y790" s="219"/>
      <c r="Z790" s="219"/>
    </row>
    <row r="791" spans="1:26" ht="15.75" customHeight="1">
      <c r="A791" s="253">
        <v>44796</v>
      </c>
      <c r="B791" s="224" t="s">
        <v>4430</v>
      </c>
      <c r="C791" s="316">
        <v>3.75</v>
      </c>
      <c r="D791" s="224" t="s">
        <v>4433</v>
      </c>
      <c r="E791" s="224" t="s">
        <v>4</v>
      </c>
      <c r="F791" s="224" t="s">
        <v>727</v>
      </c>
      <c r="G791" s="224" t="s">
        <v>10654</v>
      </c>
      <c r="H791" s="224">
        <v>3.5</v>
      </c>
      <c r="I791" s="224" t="s">
        <v>1045</v>
      </c>
      <c r="J791" s="224" t="s">
        <v>4435</v>
      </c>
      <c r="K791" s="224">
        <v>4</v>
      </c>
      <c r="L791" s="224" t="s">
        <v>784</v>
      </c>
      <c r="M791" s="224">
        <v>1000000</v>
      </c>
      <c r="N791" s="224" t="s">
        <v>465</v>
      </c>
      <c r="O791" s="224" t="s">
        <v>575</v>
      </c>
      <c r="P791" s="224"/>
      <c r="Q791" s="224" t="s">
        <v>24</v>
      </c>
      <c r="R791" s="254"/>
      <c r="S791" s="224"/>
      <c r="T791" s="224"/>
      <c r="U791" s="224"/>
      <c r="V791" s="224"/>
      <c r="W791" s="224"/>
      <c r="X791" s="224"/>
      <c r="Y791" s="224"/>
      <c r="Z791" s="224"/>
    </row>
    <row r="792" spans="1:26" ht="15.75" customHeight="1">
      <c r="A792" s="248">
        <v>44796</v>
      </c>
      <c r="B792" s="219" t="s">
        <v>4227</v>
      </c>
      <c r="C792" s="315">
        <v>3.75</v>
      </c>
      <c r="D792" s="219" t="s">
        <v>4230</v>
      </c>
      <c r="E792" s="219" t="s">
        <v>4</v>
      </c>
      <c r="F792" s="219" t="s">
        <v>725</v>
      </c>
      <c r="G792" s="219"/>
      <c r="H792" s="219">
        <v>3.5</v>
      </c>
      <c r="I792" s="219" t="s">
        <v>1187</v>
      </c>
      <c r="J792" s="219" t="s">
        <v>4231</v>
      </c>
      <c r="K792" s="219">
        <v>4</v>
      </c>
      <c r="L792" s="219" t="s">
        <v>451</v>
      </c>
      <c r="M792" s="219" t="s">
        <v>4232</v>
      </c>
      <c r="N792" s="219" t="s">
        <v>452</v>
      </c>
      <c r="O792" s="219" t="s">
        <v>4233</v>
      </c>
      <c r="P792" s="219"/>
      <c r="Q792" s="219" t="s">
        <v>24</v>
      </c>
      <c r="R792" s="251"/>
      <c r="S792" s="219"/>
      <c r="T792" s="219"/>
      <c r="U792" s="219"/>
      <c r="V792" s="219"/>
      <c r="W792" s="219"/>
      <c r="X792" s="219"/>
      <c r="Y792" s="219"/>
      <c r="Z792" s="219"/>
    </row>
    <row r="793" spans="1:26" ht="15.75" customHeight="1">
      <c r="A793" s="253">
        <v>44796</v>
      </c>
      <c r="B793" s="224" t="s">
        <v>4263</v>
      </c>
      <c r="C793" s="316">
        <v>3.75</v>
      </c>
      <c r="D793" s="224" t="s">
        <v>4266</v>
      </c>
      <c r="E793" s="224" t="s">
        <v>4</v>
      </c>
      <c r="F793" s="224" t="s">
        <v>725</v>
      </c>
      <c r="G793" s="224" t="s">
        <v>10979</v>
      </c>
      <c r="H793" s="224">
        <v>3.5</v>
      </c>
      <c r="I793" s="224" t="s">
        <v>1237</v>
      </c>
      <c r="J793" s="224"/>
      <c r="K793" s="224">
        <v>4</v>
      </c>
      <c r="L793" s="224"/>
      <c r="M793" s="224"/>
      <c r="N793" s="224" t="s">
        <v>452</v>
      </c>
      <c r="O793" s="224" t="s">
        <v>452</v>
      </c>
      <c r="P793" s="224"/>
      <c r="Q793" s="224" t="s">
        <v>24</v>
      </c>
      <c r="R793" s="254"/>
      <c r="S793" s="224"/>
      <c r="T793" s="224"/>
      <c r="U793" s="224"/>
      <c r="V793" s="224"/>
      <c r="W793" s="224"/>
      <c r="X793" s="224"/>
      <c r="Y793" s="224"/>
      <c r="Z793" s="224"/>
    </row>
    <row r="794" spans="1:26" ht="15.75" customHeight="1">
      <c r="A794" s="248">
        <v>44796</v>
      </c>
      <c r="B794" s="219" t="s">
        <v>4356</v>
      </c>
      <c r="C794" s="315">
        <v>3.75</v>
      </c>
      <c r="D794" s="219" t="s">
        <v>4359</v>
      </c>
      <c r="E794" s="219" t="s">
        <v>4</v>
      </c>
      <c r="F794" s="219" t="s">
        <v>725</v>
      </c>
      <c r="G794" s="219" t="s">
        <v>4360</v>
      </c>
      <c r="H794" s="219">
        <v>3.5</v>
      </c>
      <c r="I794" s="219" t="s">
        <v>1350</v>
      </c>
      <c r="J794" s="219" t="s">
        <v>4361</v>
      </c>
      <c r="K794" s="219">
        <v>4</v>
      </c>
      <c r="L794" s="219" t="s">
        <v>478</v>
      </c>
      <c r="M794" s="331">
        <v>10000000</v>
      </c>
      <c r="N794" s="219" t="s">
        <v>454</v>
      </c>
      <c r="O794" s="219" t="s">
        <v>1119</v>
      </c>
      <c r="P794" s="219"/>
      <c r="Q794" s="219" t="s">
        <v>24</v>
      </c>
      <c r="R794" s="251"/>
      <c r="S794" s="219"/>
      <c r="T794" s="219"/>
      <c r="U794" s="219"/>
      <c r="V794" s="219"/>
      <c r="W794" s="219"/>
      <c r="X794" s="219"/>
      <c r="Y794" s="219"/>
      <c r="Z794" s="219"/>
    </row>
    <row r="795" spans="1:26" ht="15.75" customHeight="1">
      <c r="A795" s="253">
        <v>44796</v>
      </c>
      <c r="B795" s="224" t="s">
        <v>2515</v>
      </c>
      <c r="C795" s="316">
        <v>3.75</v>
      </c>
      <c r="D795" s="224" t="s">
        <v>2518</v>
      </c>
      <c r="E795" s="224" t="s">
        <v>5</v>
      </c>
      <c r="F795" s="224" t="s">
        <v>447</v>
      </c>
      <c r="G795" s="224" t="s">
        <v>11068</v>
      </c>
      <c r="H795" s="224">
        <v>3.5</v>
      </c>
      <c r="I795" s="224" t="s">
        <v>622</v>
      </c>
      <c r="J795" s="224" t="s">
        <v>2520</v>
      </c>
      <c r="K795" s="224">
        <v>4</v>
      </c>
      <c r="L795" s="224" t="s">
        <v>451</v>
      </c>
      <c r="M795" s="311">
        <v>1000000</v>
      </c>
      <c r="N795" s="224" t="s">
        <v>454</v>
      </c>
      <c r="O795" s="224" t="s">
        <v>2521</v>
      </c>
      <c r="P795" s="224"/>
      <c r="Q795" s="224" t="s">
        <v>24</v>
      </c>
      <c r="R795" s="254"/>
      <c r="S795" s="224"/>
      <c r="T795" s="224"/>
      <c r="U795" s="224"/>
      <c r="V795" s="224"/>
      <c r="W795" s="224"/>
      <c r="X795" s="224"/>
      <c r="Y795" s="224"/>
      <c r="Z795" s="224"/>
    </row>
    <row r="796" spans="1:26" ht="15.75" customHeight="1">
      <c r="A796" s="248">
        <v>44796</v>
      </c>
      <c r="B796" s="219" t="s">
        <v>4438</v>
      </c>
      <c r="C796" s="315">
        <v>3.75</v>
      </c>
      <c r="D796" s="219" t="s">
        <v>11123</v>
      </c>
      <c r="E796" s="219" t="s">
        <v>4</v>
      </c>
      <c r="F796" s="219" t="s">
        <v>725</v>
      </c>
      <c r="G796" s="219" t="s">
        <v>11124</v>
      </c>
      <c r="H796" s="219">
        <v>4</v>
      </c>
      <c r="I796" s="219" t="s">
        <v>1045</v>
      </c>
      <c r="J796" s="219" t="s">
        <v>4443</v>
      </c>
      <c r="K796" s="219">
        <v>3.5</v>
      </c>
      <c r="L796" s="219" t="s">
        <v>451</v>
      </c>
      <c r="M796" s="219" t="s">
        <v>4444</v>
      </c>
      <c r="N796" s="219" t="s">
        <v>452</v>
      </c>
      <c r="O796" s="219" t="s">
        <v>4445</v>
      </c>
      <c r="P796" s="219"/>
      <c r="Q796" s="219" t="s">
        <v>24</v>
      </c>
      <c r="R796" s="251"/>
      <c r="S796" s="219"/>
      <c r="T796" s="219"/>
      <c r="U796" s="219"/>
      <c r="V796" s="219"/>
      <c r="W796" s="219"/>
      <c r="X796" s="219"/>
      <c r="Y796" s="219"/>
      <c r="Z796" s="219"/>
    </row>
    <row r="797" spans="1:26" ht="15.75" customHeight="1">
      <c r="A797" s="257">
        <v>44796</v>
      </c>
      <c r="B797" s="258" t="s">
        <v>185</v>
      </c>
      <c r="C797" s="263">
        <v>3.75</v>
      </c>
      <c r="D797" s="258" t="s">
        <v>1176</v>
      </c>
      <c r="E797" s="258" t="s">
        <v>4</v>
      </c>
      <c r="F797" s="258" t="s">
        <v>725</v>
      </c>
      <c r="G797" s="258" t="s">
        <v>11717</v>
      </c>
      <c r="H797" s="258">
        <v>4</v>
      </c>
      <c r="I797" s="258" t="s">
        <v>1045</v>
      </c>
      <c r="J797" s="258" t="s">
        <v>1178</v>
      </c>
      <c r="K797" s="258">
        <v>3.5</v>
      </c>
      <c r="L797" s="258"/>
      <c r="M797" s="258"/>
      <c r="N797" s="258" t="s">
        <v>452</v>
      </c>
      <c r="O797" s="258" t="s">
        <v>11133</v>
      </c>
      <c r="P797" s="258"/>
      <c r="Q797" s="258" t="s">
        <v>18</v>
      </c>
      <c r="R797" s="259" t="s">
        <v>11718</v>
      </c>
      <c r="S797" s="258"/>
      <c r="T797" s="258"/>
      <c r="U797" s="258"/>
      <c r="V797" s="258"/>
      <c r="W797" s="258"/>
      <c r="X797" s="258"/>
      <c r="Y797" s="258"/>
      <c r="Z797" s="258"/>
    </row>
    <row r="798" spans="1:26" ht="15.75" customHeight="1">
      <c r="A798" s="248">
        <v>44796</v>
      </c>
      <c r="B798" s="219" t="s">
        <v>4289</v>
      </c>
      <c r="C798" s="315">
        <v>3.75</v>
      </c>
      <c r="D798" s="219" t="s">
        <v>4292</v>
      </c>
      <c r="E798" s="219" t="s">
        <v>4</v>
      </c>
      <c r="F798" s="219" t="s">
        <v>725</v>
      </c>
      <c r="G798" s="219" t="s">
        <v>11204</v>
      </c>
      <c r="H798" s="219">
        <v>3.5</v>
      </c>
      <c r="I798" s="219" t="s">
        <v>1237</v>
      </c>
      <c r="J798" s="219"/>
      <c r="K798" s="219">
        <v>4</v>
      </c>
      <c r="L798" s="219"/>
      <c r="M798" s="219"/>
      <c r="N798" s="219" t="s">
        <v>452</v>
      </c>
      <c r="O798" s="219" t="s">
        <v>454</v>
      </c>
      <c r="P798" s="219"/>
      <c r="Q798" s="219" t="s">
        <v>24</v>
      </c>
      <c r="R798" s="251"/>
      <c r="S798" s="219"/>
      <c r="T798" s="219"/>
      <c r="U798" s="219"/>
      <c r="V798" s="219"/>
      <c r="W798" s="219"/>
      <c r="X798" s="219"/>
      <c r="Y798" s="219"/>
      <c r="Z798" s="219"/>
    </row>
    <row r="799" spans="1:26" ht="15.75" customHeight="1">
      <c r="A799" s="257">
        <v>44796</v>
      </c>
      <c r="B799" s="258" t="s">
        <v>4403</v>
      </c>
      <c r="C799" s="263">
        <v>3.75</v>
      </c>
      <c r="D799" s="258" t="s">
        <v>4406</v>
      </c>
      <c r="E799" s="258" t="s">
        <v>4</v>
      </c>
      <c r="F799" s="258" t="s">
        <v>447</v>
      </c>
      <c r="G799" s="258" t="s">
        <v>11224</v>
      </c>
      <c r="H799" s="258">
        <v>2.5</v>
      </c>
      <c r="I799" s="258" t="s">
        <v>4054</v>
      </c>
      <c r="J799" s="258"/>
      <c r="K799" s="258">
        <v>5</v>
      </c>
      <c r="L799" s="258" t="s">
        <v>923</v>
      </c>
      <c r="M799" s="258" t="s">
        <v>4408</v>
      </c>
      <c r="N799" s="258" t="s">
        <v>452</v>
      </c>
      <c r="O799" s="258" t="s">
        <v>452</v>
      </c>
      <c r="P799" s="258"/>
      <c r="Q799" s="258" t="s">
        <v>24</v>
      </c>
      <c r="R799" s="259"/>
      <c r="S799" s="258"/>
      <c r="T799" s="258"/>
      <c r="U799" s="258"/>
      <c r="V799" s="258"/>
      <c r="W799" s="258"/>
      <c r="X799" s="258"/>
      <c r="Y799" s="258"/>
      <c r="Z799" s="258"/>
    </row>
    <row r="800" spans="1:26" ht="15.75" customHeight="1">
      <c r="A800" s="257">
        <v>44796</v>
      </c>
      <c r="B800" s="258" t="s">
        <v>661</v>
      </c>
      <c r="C800" s="263">
        <v>3.75</v>
      </c>
      <c r="D800" s="258" t="s">
        <v>664</v>
      </c>
      <c r="E800" s="258" t="s">
        <v>5</v>
      </c>
      <c r="F800" s="258" t="s">
        <v>447</v>
      </c>
      <c r="G800" s="258" t="s">
        <v>11301</v>
      </c>
      <c r="H800" s="258">
        <v>3.5</v>
      </c>
      <c r="I800" s="258" t="s">
        <v>543</v>
      </c>
      <c r="J800" s="258" t="s">
        <v>11719</v>
      </c>
      <c r="K800" s="258">
        <v>4</v>
      </c>
      <c r="L800" s="258" t="s">
        <v>451</v>
      </c>
      <c r="M800" s="261">
        <v>2500000</v>
      </c>
      <c r="N800" s="258" t="s">
        <v>452</v>
      </c>
      <c r="O800" s="258" t="s">
        <v>667</v>
      </c>
      <c r="P800" s="258" t="s">
        <v>668</v>
      </c>
      <c r="Q800" s="258" t="s">
        <v>24</v>
      </c>
      <c r="R800" s="259" t="s">
        <v>669</v>
      </c>
      <c r="S800" s="258"/>
      <c r="T800" s="258"/>
      <c r="U800" s="258"/>
      <c r="V800" s="258"/>
      <c r="W800" s="258"/>
      <c r="X800" s="258"/>
      <c r="Y800" s="258"/>
      <c r="Z800" s="258"/>
    </row>
    <row r="801" spans="1:26" ht="15.75" customHeight="1">
      <c r="A801" s="257">
        <v>44796</v>
      </c>
      <c r="B801" s="258" t="s">
        <v>4270</v>
      </c>
      <c r="C801" s="263">
        <v>3.75</v>
      </c>
      <c r="D801" s="258" t="s">
        <v>4273</v>
      </c>
      <c r="E801" s="258" t="s">
        <v>4</v>
      </c>
      <c r="F801" s="258" t="s">
        <v>447</v>
      </c>
      <c r="G801" s="258" t="s">
        <v>11310</v>
      </c>
      <c r="H801" s="258">
        <v>2.5</v>
      </c>
      <c r="I801" s="258" t="s">
        <v>1237</v>
      </c>
      <c r="J801" s="258"/>
      <c r="K801" s="258">
        <v>5</v>
      </c>
      <c r="L801" s="258" t="s">
        <v>451</v>
      </c>
      <c r="M801" s="258" t="s">
        <v>4275</v>
      </c>
      <c r="N801" s="258" t="s">
        <v>452</v>
      </c>
      <c r="O801" s="258" t="s">
        <v>4276</v>
      </c>
      <c r="P801" s="258" t="s">
        <v>4277</v>
      </c>
      <c r="Q801" s="258" t="s">
        <v>24</v>
      </c>
      <c r="R801" s="259" t="s">
        <v>11720</v>
      </c>
      <c r="S801" s="258"/>
      <c r="T801" s="258"/>
      <c r="U801" s="258"/>
      <c r="V801" s="258"/>
      <c r="W801" s="258"/>
      <c r="X801" s="258"/>
      <c r="Y801" s="258"/>
      <c r="Z801" s="258"/>
    </row>
    <row r="802" spans="1:26" ht="15.75" customHeight="1">
      <c r="A802" s="257">
        <v>44796</v>
      </c>
      <c r="B802" s="258" t="s">
        <v>8386</v>
      </c>
      <c r="C802" s="263">
        <v>3.75</v>
      </c>
      <c r="D802" s="258" t="s">
        <v>8389</v>
      </c>
      <c r="E802" s="258" t="s">
        <v>3</v>
      </c>
      <c r="F802" s="258" t="s">
        <v>488</v>
      </c>
      <c r="G802" s="258" t="s">
        <v>11322</v>
      </c>
      <c r="H802" s="258">
        <v>3.5</v>
      </c>
      <c r="I802" s="258" t="s">
        <v>941</v>
      </c>
      <c r="J802" s="258" t="s">
        <v>8391</v>
      </c>
      <c r="K802" s="258">
        <v>4</v>
      </c>
      <c r="L802" s="258" t="s">
        <v>451</v>
      </c>
      <c r="M802" s="261">
        <v>1500000</v>
      </c>
      <c r="N802" s="258" t="s">
        <v>452</v>
      </c>
      <c r="O802" s="258" t="s">
        <v>8392</v>
      </c>
      <c r="P802" s="258"/>
      <c r="Q802" s="258" t="s">
        <v>24</v>
      </c>
      <c r="R802" s="259" t="s">
        <v>11721</v>
      </c>
      <c r="S802" s="258"/>
      <c r="T802" s="258"/>
      <c r="U802" s="258"/>
      <c r="V802" s="258"/>
      <c r="W802" s="258"/>
      <c r="X802" s="258"/>
      <c r="Y802" s="258"/>
      <c r="Z802" s="258"/>
    </row>
    <row r="803" spans="1:26" ht="15.75" customHeight="1">
      <c r="A803" s="257">
        <v>44796</v>
      </c>
      <c r="B803" s="258" t="s">
        <v>279</v>
      </c>
      <c r="C803" s="263">
        <v>3.75</v>
      </c>
      <c r="D803" s="258" t="s">
        <v>11722</v>
      </c>
      <c r="E803" s="258" t="s">
        <v>4</v>
      </c>
      <c r="F803" s="258" t="s">
        <v>460</v>
      </c>
      <c r="G803" s="258" t="s">
        <v>1236</v>
      </c>
      <c r="H803" s="258">
        <v>4.5</v>
      </c>
      <c r="I803" s="258" t="s">
        <v>1237</v>
      </c>
      <c r="J803" s="258"/>
      <c r="K803" s="258">
        <v>3</v>
      </c>
      <c r="L803" s="258"/>
      <c r="M803" s="258"/>
      <c r="N803" s="258" t="s">
        <v>465</v>
      </c>
      <c r="O803" s="258" t="s">
        <v>11326</v>
      </c>
      <c r="P803" s="258" t="s">
        <v>1239</v>
      </c>
      <c r="Q803" s="258" t="s">
        <v>18</v>
      </c>
      <c r="R803" s="259" t="s">
        <v>1240</v>
      </c>
      <c r="S803" s="258"/>
      <c r="T803" s="258"/>
      <c r="U803" s="258"/>
      <c r="V803" s="258"/>
      <c r="W803" s="258"/>
      <c r="X803" s="258"/>
      <c r="Y803" s="258"/>
      <c r="Z803" s="258"/>
    </row>
    <row r="804" spans="1:26" ht="15.75" customHeight="1">
      <c r="A804" s="257">
        <v>44796</v>
      </c>
      <c r="B804" s="258" t="s">
        <v>8662</v>
      </c>
      <c r="C804" s="263">
        <v>3.75</v>
      </c>
      <c r="D804" s="258" t="s">
        <v>8665</v>
      </c>
      <c r="E804" s="258" t="s">
        <v>3</v>
      </c>
      <c r="F804" s="258" t="s">
        <v>488</v>
      </c>
      <c r="G804" s="258" t="s">
        <v>11345</v>
      </c>
      <c r="H804" s="258">
        <v>3.5</v>
      </c>
      <c r="I804" s="258" t="s">
        <v>941</v>
      </c>
      <c r="J804" s="258" t="s">
        <v>8667</v>
      </c>
      <c r="K804" s="258">
        <v>4</v>
      </c>
      <c r="L804" s="258" t="s">
        <v>478</v>
      </c>
      <c r="M804" s="309">
        <v>3000000</v>
      </c>
      <c r="N804" s="258" t="s">
        <v>452</v>
      </c>
      <c r="O804" s="258" t="s">
        <v>8668</v>
      </c>
      <c r="P804" s="258"/>
      <c r="Q804" s="258" t="s">
        <v>24</v>
      </c>
      <c r="R804" s="259" t="s">
        <v>8669</v>
      </c>
      <c r="S804" s="258"/>
      <c r="T804" s="258"/>
      <c r="U804" s="258"/>
      <c r="V804" s="258"/>
      <c r="W804" s="258"/>
      <c r="X804" s="258"/>
      <c r="Y804" s="258"/>
      <c r="Z804" s="258"/>
    </row>
    <row r="805" spans="1:26" ht="15.75" customHeight="1">
      <c r="A805" s="253">
        <v>44796</v>
      </c>
      <c r="B805" s="224" t="s">
        <v>4199</v>
      </c>
      <c r="C805" s="316">
        <v>3.75</v>
      </c>
      <c r="D805" s="224" t="s">
        <v>4202</v>
      </c>
      <c r="E805" s="224" t="s">
        <v>4</v>
      </c>
      <c r="F805" s="224" t="s">
        <v>725</v>
      </c>
      <c r="G805" s="224"/>
      <c r="H805" s="224">
        <v>3.5</v>
      </c>
      <c r="I805" s="224" t="s">
        <v>1036</v>
      </c>
      <c r="J805" s="224" t="s">
        <v>4203</v>
      </c>
      <c r="K805" s="224">
        <v>4</v>
      </c>
      <c r="L805" s="224" t="s">
        <v>784</v>
      </c>
      <c r="M805" s="224" t="s">
        <v>4204</v>
      </c>
      <c r="N805" s="224" t="s">
        <v>465</v>
      </c>
      <c r="O805" s="224" t="s">
        <v>4205</v>
      </c>
      <c r="P805" s="224" t="s">
        <v>4206</v>
      </c>
      <c r="Q805" s="224" t="s">
        <v>24</v>
      </c>
      <c r="R805" s="254"/>
      <c r="S805" s="224"/>
      <c r="T805" s="224"/>
      <c r="U805" s="224"/>
      <c r="V805" s="224"/>
      <c r="W805" s="224"/>
      <c r="X805" s="224"/>
      <c r="Y805" s="224"/>
      <c r="Z805" s="224"/>
    </row>
    <row r="806" spans="1:26" ht="15.75" customHeight="1">
      <c r="A806" s="257">
        <v>44796</v>
      </c>
      <c r="B806" s="258" t="s">
        <v>9899</v>
      </c>
      <c r="C806" s="263">
        <v>3.75</v>
      </c>
      <c r="D806" s="258" t="s">
        <v>9902</v>
      </c>
      <c r="E806" s="258" t="s">
        <v>3</v>
      </c>
      <c r="F806" s="258" t="s">
        <v>460</v>
      </c>
      <c r="G806" s="258" t="s">
        <v>9903</v>
      </c>
      <c r="H806" s="258">
        <v>3.5</v>
      </c>
      <c r="I806" s="258" t="s">
        <v>462</v>
      </c>
      <c r="J806" s="258" t="s">
        <v>9904</v>
      </c>
      <c r="K806" s="258">
        <v>4</v>
      </c>
      <c r="L806" s="258" t="s">
        <v>478</v>
      </c>
      <c r="M806" s="258" t="s">
        <v>4966</v>
      </c>
      <c r="N806" s="258" t="s">
        <v>465</v>
      </c>
      <c r="O806" s="258" t="s">
        <v>9905</v>
      </c>
      <c r="P806" s="258" t="s">
        <v>9906</v>
      </c>
      <c r="Q806" s="258" t="s">
        <v>23</v>
      </c>
      <c r="R806" s="259" t="s">
        <v>9907</v>
      </c>
      <c r="S806" s="258"/>
      <c r="T806" s="258"/>
      <c r="U806" s="258"/>
      <c r="V806" s="258"/>
      <c r="W806" s="258"/>
      <c r="X806" s="258"/>
      <c r="Y806" s="258"/>
      <c r="Z806" s="258"/>
    </row>
    <row r="807" spans="1:26" ht="15.75" customHeight="1">
      <c r="A807" s="257">
        <v>44796</v>
      </c>
      <c r="B807" s="258" t="s">
        <v>9186</v>
      </c>
      <c r="C807" s="263">
        <v>3.75</v>
      </c>
      <c r="D807" s="258" t="s">
        <v>9189</v>
      </c>
      <c r="E807" s="258" t="s">
        <v>3</v>
      </c>
      <c r="F807" s="258" t="s">
        <v>725</v>
      </c>
      <c r="G807" s="258" t="s">
        <v>9190</v>
      </c>
      <c r="H807" s="258">
        <v>3.5</v>
      </c>
      <c r="I807" s="258" t="s">
        <v>462</v>
      </c>
      <c r="J807" s="258" t="s">
        <v>10822</v>
      </c>
      <c r="K807" s="258">
        <v>4</v>
      </c>
      <c r="L807" s="258"/>
      <c r="M807" s="258"/>
      <c r="N807" s="258" t="s">
        <v>452</v>
      </c>
      <c r="O807" s="258" t="s">
        <v>1119</v>
      </c>
      <c r="P807" s="258"/>
      <c r="Q807" s="258" t="s">
        <v>24</v>
      </c>
      <c r="R807" s="259" t="s">
        <v>11723</v>
      </c>
      <c r="S807" s="258"/>
      <c r="T807" s="258"/>
      <c r="U807" s="258"/>
      <c r="V807" s="258"/>
      <c r="W807" s="258"/>
      <c r="X807" s="258"/>
      <c r="Y807" s="258"/>
      <c r="Z807" s="258"/>
    </row>
    <row r="808" spans="1:26" ht="15.75" customHeight="1">
      <c r="A808" s="255">
        <v>44796</v>
      </c>
      <c r="B808" s="239" t="s">
        <v>290</v>
      </c>
      <c r="C808" s="262">
        <v>3.75</v>
      </c>
      <c r="D808" s="239" t="s">
        <v>9441</v>
      </c>
      <c r="E808" s="239" t="s">
        <v>4</v>
      </c>
      <c r="F808" s="239" t="s">
        <v>447</v>
      </c>
      <c r="G808" s="239" t="s">
        <v>11494</v>
      </c>
      <c r="H808" s="239">
        <v>4</v>
      </c>
      <c r="I808" s="239" t="s">
        <v>622</v>
      </c>
      <c r="J808" s="239" t="s">
        <v>9443</v>
      </c>
      <c r="K808" s="239">
        <v>3.5</v>
      </c>
      <c r="L808" s="239" t="s">
        <v>478</v>
      </c>
      <c r="M808" s="314">
        <v>10000000</v>
      </c>
      <c r="N808" s="239" t="s">
        <v>452</v>
      </c>
      <c r="O808" s="239" t="s">
        <v>9444</v>
      </c>
      <c r="P808" s="239"/>
      <c r="Q808" s="239" t="s">
        <v>19</v>
      </c>
      <c r="R808" s="256" t="s">
        <v>9445</v>
      </c>
      <c r="S808" s="239"/>
      <c r="T808" s="239"/>
      <c r="U808" s="239"/>
      <c r="V808" s="239"/>
      <c r="W808" s="239"/>
      <c r="X808" s="239"/>
      <c r="Y808" s="239"/>
      <c r="Z808" s="239"/>
    </row>
    <row r="809" spans="1:26" ht="15.75" customHeight="1">
      <c r="A809" s="253">
        <v>44796</v>
      </c>
      <c r="B809" s="224" t="s">
        <v>4181</v>
      </c>
      <c r="C809" s="316">
        <v>3.75</v>
      </c>
      <c r="D809" s="224" t="s">
        <v>4184</v>
      </c>
      <c r="E809" s="224" t="s">
        <v>4</v>
      </c>
      <c r="F809" s="224" t="s">
        <v>725</v>
      </c>
      <c r="G809" s="224" t="s">
        <v>11127</v>
      </c>
      <c r="H809" s="224">
        <v>4</v>
      </c>
      <c r="I809" s="224" t="s">
        <v>1045</v>
      </c>
      <c r="J809" s="224" t="s">
        <v>4186</v>
      </c>
      <c r="K809" s="224">
        <v>3.5</v>
      </c>
      <c r="L809" s="224" t="s">
        <v>451</v>
      </c>
      <c r="M809" s="330">
        <v>1600000</v>
      </c>
      <c r="N809" s="224" t="s">
        <v>452</v>
      </c>
      <c r="O809" s="224" t="s">
        <v>1119</v>
      </c>
      <c r="P809" s="224"/>
      <c r="Q809" s="224" t="s">
        <v>24</v>
      </c>
      <c r="R809" s="254"/>
      <c r="S809" s="224"/>
      <c r="T809" s="224"/>
      <c r="U809" s="224"/>
      <c r="V809" s="224"/>
      <c r="W809" s="224"/>
      <c r="X809" s="224"/>
      <c r="Y809" s="224"/>
      <c r="Z809" s="224"/>
    </row>
    <row r="810" spans="1:26" ht="15.75" customHeight="1">
      <c r="A810" s="257">
        <v>44796</v>
      </c>
      <c r="B810" s="258" t="s">
        <v>8910</v>
      </c>
      <c r="C810" s="263">
        <v>3.75</v>
      </c>
      <c r="D810" s="258" t="s">
        <v>11724</v>
      </c>
      <c r="E810" s="258" t="s">
        <v>3</v>
      </c>
      <c r="F810" s="258" t="s">
        <v>488</v>
      </c>
      <c r="G810" s="258"/>
      <c r="H810" s="258">
        <v>3.5</v>
      </c>
      <c r="I810" s="258" t="s">
        <v>462</v>
      </c>
      <c r="J810" s="258" t="s">
        <v>8913</v>
      </c>
      <c r="K810" s="258">
        <v>4</v>
      </c>
      <c r="L810" s="258" t="s">
        <v>8914</v>
      </c>
      <c r="M810" s="258">
        <v>5000000</v>
      </c>
      <c r="N810" s="258" t="s">
        <v>452</v>
      </c>
      <c r="O810" s="258" t="s">
        <v>8915</v>
      </c>
      <c r="P810" s="258"/>
      <c r="Q810" s="258" t="s">
        <v>24</v>
      </c>
      <c r="R810" s="259" t="s">
        <v>8916</v>
      </c>
      <c r="S810" s="258"/>
      <c r="T810" s="258"/>
      <c r="U810" s="258"/>
      <c r="V810" s="258"/>
      <c r="W810" s="258"/>
      <c r="X810" s="258"/>
      <c r="Y810" s="258"/>
      <c r="Z810" s="258"/>
    </row>
    <row r="811" spans="1:26" ht="15.75" customHeight="1">
      <c r="A811" s="257">
        <v>44796</v>
      </c>
      <c r="B811" s="258" t="s">
        <v>153</v>
      </c>
      <c r="C811" s="263">
        <v>3.63</v>
      </c>
      <c r="D811" s="258" t="s">
        <v>1034</v>
      </c>
      <c r="E811" s="258" t="s">
        <v>4</v>
      </c>
      <c r="F811" s="258" t="s">
        <v>727</v>
      </c>
      <c r="G811" s="258" t="s">
        <v>10452</v>
      </c>
      <c r="H811" s="258">
        <v>4.25</v>
      </c>
      <c r="I811" s="258" t="s">
        <v>1036</v>
      </c>
      <c r="J811" s="258" t="s">
        <v>1037</v>
      </c>
      <c r="K811" s="258">
        <v>3</v>
      </c>
      <c r="L811" s="258" t="s">
        <v>451</v>
      </c>
      <c r="M811" s="258">
        <v>1000000</v>
      </c>
      <c r="N811" s="258" t="s">
        <v>452</v>
      </c>
      <c r="O811" s="258" t="s">
        <v>452</v>
      </c>
      <c r="P811" s="258"/>
      <c r="Q811" s="258" t="s">
        <v>18</v>
      </c>
      <c r="R811" s="259" t="s">
        <v>11725</v>
      </c>
      <c r="S811" s="258"/>
      <c r="T811" s="258"/>
      <c r="U811" s="258"/>
      <c r="V811" s="258"/>
      <c r="W811" s="258"/>
      <c r="X811" s="258"/>
      <c r="Y811" s="258"/>
      <c r="Z811" s="258"/>
    </row>
    <row r="812" spans="1:26" ht="15.75" customHeight="1">
      <c r="A812" s="248">
        <v>44796</v>
      </c>
      <c r="B812" s="219" t="s">
        <v>4908</v>
      </c>
      <c r="C812" s="315">
        <v>3.5</v>
      </c>
      <c r="D812" s="219" t="s">
        <v>4911</v>
      </c>
      <c r="E812" s="219" t="s">
        <v>4</v>
      </c>
      <c r="F812" s="219" t="s">
        <v>1457</v>
      </c>
      <c r="G812" s="219" t="s">
        <v>4912</v>
      </c>
      <c r="H812" s="219">
        <v>4</v>
      </c>
      <c r="I812" s="219" t="s">
        <v>1045</v>
      </c>
      <c r="J812" s="219" t="s">
        <v>4913</v>
      </c>
      <c r="K812" s="219">
        <v>3</v>
      </c>
      <c r="L812" s="219" t="s">
        <v>451</v>
      </c>
      <c r="M812" s="331">
        <v>500000</v>
      </c>
      <c r="N812" s="219" t="s">
        <v>452</v>
      </c>
      <c r="O812" s="219" t="s">
        <v>4914</v>
      </c>
      <c r="P812" s="219"/>
      <c r="Q812" s="219" t="s">
        <v>24</v>
      </c>
      <c r="R812" s="251"/>
      <c r="S812" s="219"/>
      <c r="T812" s="219"/>
      <c r="U812" s="219"/>
      <c r="V812" s="219"/>
      <c r="W812" s="219"/>
      <c r="X812" s="219"/>
      <c r="Y812" s="219"/>
      <c r="Z812" s="219"/>
    </row>
    <row r="813" spans="1:26" ht="15.75" customHeight="1">
      <c r="A813" s="253">
        <v>44796</v>
      </c>
      <c r="B813" s="224" t="s">
        <v>4601</v>
      </c>
      <c r="C813" s="316">
        <v>3.5</v>
      </c>
      <c r="D813" s="224" t="s">
        <v>4604</v>
      </c>
      <c r="E813" s="224" t="s">
        <v>4</v>
      </c>
      <c r="F813" s="224" t="s">
        <v>727</v>
      </c>
      <c r="G813" s="224" t="s">
        <v>10493</v>
      </c>
      <c r="H813" s="224">
        <v>4</v>
      </c>
      <c r="I813" s="224" t="s">
        <v>604</v>
      </c>
      <c r="J813" s="224" t="s">
        <v>10494</v>
      </c>
      <c r="K813" s="224">
        <v>3</v>
      </c>
      <c r="L813" s="224" t="s">
        <v>923</v>
      </c>
      <c r="M813" s="224">
        <v>1500000</v>
      </c>
      <c r="N813" s="224" t="s">
        <v>452</v>
      </c>
      <c r="O813" s="224" t="s">
        <v>10495</v>
      </c>
      <c r="P813" s="224"/>
      <c r="Q813" s="224" t="s">
        <v>24</v>
      </c>
      <c r="R813" s="254"/>
      <c r="S813" s="224"/>
      <c r="T813" s="224"/>
      <c r="U813" s="224"/>
      <c r="V813" s="224"/>
      <c r="W813" s="224"/>
      <c r="X813" s="224"/>
      <c r="Y813" s="224"/>
      <c r="Z813" s="224"/>
    </row>
    <row r="814" spans="1:26" ht="15.75" customHeight="1">
      <c r="A814" s="257">
        <v>44796</v>
      </c>
      <c r="B814" s="258" t="s">
        <v>4793</v>
      </c>
      <c r="C814" s="263">
        <v>3.5</v>
      </c>
      <c r="D814" s="258" t="s">
        <v>4796</v>
      </c>
      <c r="E814" s="258" t="s">
        <v>4</v>
      </c>
      <c r="F814" s="258" t="s">
        <v>727</v>
      </c>
      <c r="G814" s="258" t="s">
        <v>10516</v>
      </c>
      <c r="H814" s="258">
        <v>4</v>
      </c>
      <c r="I814" s="258" t="s">
        <v>1350</v>
      </c>
      <c r="J814" s="259" t="s">
        <v>11726</v>
      </c>
      <c r="K814" s="258">
        <v>3</v>
      </c>
      <c r="L814" s="258"/>
      <c r="M814" s="258"/>
      <c r="N814" s="258" t="s">
        <v>452</v>
      </c>
      <c r="O814" s="258" t="s">
        <v>4799</v>
      </c>
      <c r="P814" s="258" t="s">
        <v>4800</v>
      </c>
      <c r="Q814" s="258" t="s">
        <v>24</v>
      </c>
      <c r="R814" s="259" t="s">
        <v>11727</v>
      </c>
      <c r="S814" s="258"/>
      <c r="T814" s="258"/>
      <c r="U814" s="258"/>
      <c r="V814" s="258"/>
      <c r="W814" s="258"/>
      <c r="X814" s="258"/>
      <c r="Y814" s="258"/>
      <c r="Z814" s="258"/>
    </row>
    <row r="815" spans="1:26" ht="15.75" customHeight="1">
      <c r="A815" s="253">
        <v>44796</v>
      </c>
      <c r="B815" s="224" t="s">
        <v>4654</v>
      </c>
      <c r="C815" s="316">
        <v>3.5</v>
      </c>
      <c r="D815" s="224" t="s">
        <v>4657</v>
      </c>
      <c r="E815" s="224" t="s">
        <v>4</v>
      </c>
      <c r="F815" s="224" t="s">
        <v>727</v>
      </c>
      <c r="G815" s="224" t="s">
        <v>4658</v>
      </c>
      <c r="H815" s="224">
        <v>3</v>
      </c>
      <c r="I815" s="224" t="s">
        <v>1187</v>
      </c>
      <c r="J815" s="224" t="s">
        <v>4659</v>
      </c>
      <c r="K815" s="224">
        <v>4</v>
      </c>
      <c r="L815" s="224"/>
      <c r="M815" s="224"/>
      <c r="N815" s="224" t="s">
        <v>452</v>
      </c>
      <c r="O815" s="224" t="s">
        <v>4660</v>
      </c>
      <c r="P815" s="224"/>
      <c r="Q815" s="224" t="s">
        <v>24</v>
      </c>
      <c r="R815" s="254"/>
      <c r="S815" s="224"/>
      <c r="T815" s="224"/>
      <c r="U815" s="224"/>
      <c r="V815" s="224"/>
      <c r="W815" s="224"/>
      <c r="X815" s="224"/>
      <c r="Y815" s="224"/>
      <c r="Z815" s="224"/>
    </row>
    <row r="816" spans="1:26" ht="15.75" customHeight="1">
      <c r="A816" s="248">
        <v>44796</v>
      </c>
      <c r="B816" s="219" t="s">
        <v>8927</v>
      </c>
      <c r="C816" s="315">
        <v>3.5</v>
      </c>
      <c r="D816" s="219" t="s">
        <v>8930</v>
      </c>
      <c r="E816" s="219" t="s">
        <v>3</v>
      </c>
      <c r="F816" s="219" t="s">
        <v>460</v>
      </c>
      <c r="G816" s="219" t="s">
        <v>8931</v>
      </c>
      <c r="H816" s="219">
        <v>3.5</v>
      </c>
      <c r="I816" s="219" t="s">
        <v>462</v>
      </c>
      <c r="J816" s="219" t="s">
        <v>8932</v>
      </c>
      <c r="K816" s="219">
        <v>3.5</v>
      </c>
      <c r="L816" s="219" t="s">
        <v>478</v>
      </c>
      <c r="M816" s="312">
        <v>30000000</v>
      </c>
      <c r="N816" s="219" t="s">
        <v>452</v>
      </c>
      <c r="O816" s="219" t="s">
        <v>452</v>
      </c>
      <c r="P816" s="219"/>
      <c r="Q816" s="219" t="s">
        <v>24</v>
      </c>
      <c r="R816" s="251"/>
      <c r="S816" s="219"/>
      <c r="T816" s="219"/>
      <c r="U816" s="219"/>
      <c r="V816" s="219"/>
      <c r="W816" s="219"/>
      <c r="X816" s="219"/>
      <c r="Y816" s="219"/>
      <c r="Z816" s="219"/>
    </row>
    <row r="817" spans="1:26" ht="15.75" customHeight="1">
      <c r="A817" s="253">
        <v>44796</v>
      </c>
      <c r="B817" s="224" t="s">
        <v>4776</v>
      </c>
      <c r="C817" s="316">
        <v>3.5</v>
      </c>
      <c r="D817" s="224" t="s">
        <v>4779</v>
      </c>
      <c r="E817" s="224" t="s">
        <v>4</v>
      </c>
      <c r="F817" s="224" t="s">
        <v>727</v>
      </c>
      <c r="G817" s="224" t="s">
        <v>10562</v>
      </c>
      <c r="H817" s="224">
        <v>4</v>
      </c>
      <c r="I817" s="224" t="s">
        <v>1045</v>
      </c>
      <c r="J817" s="224" t="s">
        <v>4781</v>
      </c>
      <c r="K817" s="224">
        <v>3</v>
      </c>
      <c r="L817" s="224"/>
      <c r="M817" s="224"/>
      <c r="N817" s="224" t="s">
        <v>452</v>
      </c>
      <c r="O817" s="224" t="s">
        <v>452</v>
      </c>
      <c r="P817" s="224"/>
      <c r="Q817" s="224" t="s">
        <v>24</v>
      </c>
      <c r="R817" s="254"/>
      <c r="S817" s="224"/>
      <c r="T817" s="224"/>
      <c r="U817" s="224"/>
      <c r="V817" s="224"/>
      <c r="W817" s="224"/>
      <c r="X817" s="224"/>
      <c r="Y817" s="224"/>
      <c r="Z817" s="224"/>
    </row>
    <row r="818" spans="1:26" ht="15.75" customHeight="1">
      <c r="A818" s="248">
        <v>44796</v>
      </c>
      <c r="B818" s="219" t="s">
        <v>4553</v>
      </c>
      <c r="C818" s="315">
        <v>3.5</v>
      </c>
      <c r="D818" s="219" t="s">
        <v>4556</v>
      </c>
      <c r="E818" s="219" t="s">
        <v>4</v>
      </c>
      <c r="F818" s="219" t="s">
        <v>727</v>
      </c>
      <c r="G818" s="219" t="s">
        <v>10609</v>
      </c>
      <c r="H818" s="219">
        <v>3</v>
      </c>
      <c r="I818" s="219" t="s">
        <v>990</v>
      </c>
      <c r="J818" s="219" t="s">
        <v>4558</v>
      </c>
      <c r="K818" s="219">
        <v>4</v>
      </c>
      <c r="L818" s="219"/>
      <c r="M818" s="219"/>
      <c r="N818" s="219" t="s">
        <v>452</v>
      </c>
      <c r="O818" s="219" t="s">
        <v>4559</v>
      </c>
      <c r="P818" s="219" t="s">
        <v>2180</v>
      </c>
      <c r="Q818" s="219" t="s">
        <v>24</v>
      </c>
      <c r="R818" s="251"/>
      <c r="S818" s="219"/>
      <c r="T818" s="219"/>
      <c r="U818" s="219"/>
      <c r="V818" s="219"/>
      <c r="W818" s="219"/>
      <c r="X818" s="219"/>
      <c r="Y818" s="219"/>
      <c r="Z818" s="219"/>
    </row>
    <row r="819" spans="1:26" ht="15.75" customHeight="1">
      <c r="A819" s="253">
        <v>44796</v>
      </c>
      <c r="B819" s="224" t="s">
        <v>4814</v>
      </c>
      <c r="C819" s="316">
        <v>3.5</v>
      </c>
      <c r="D819" s="224" t="s">
        <v>4817</v>
      </c>
      <c r="E819" s="224" t="s">
        <v>4</v>
      </c>
      <c r="F819" s="224" t="s">
        <v>727</v>
      </c>
      <c r="G819" s="224" t="s">
        <v>10656</v>
      </c>
      <c r="H819" s="224">
        <v>3.5</v>
      </c>
      <c r="I819" s="224" t="s">
        <v>1350</v>
      </c>
      <c r="J819" s="224" t="s">
        <v>4819</v>
      </c>
      <c r="K819" s="224">
        <v>3.5</v>
      </c>
      <c r="L819" s="224" t="s">
        <v>451</v>
      </c>
      <c r="M819" s="224">
        <v>5000000</v>
      </c>
      <c r="N819" s="224" t="s">
        <v>452</v>
      </c>
      <c r="O819" s="224" t="s">
        <v>10657</v>
      </c>
      <c r="P819" s="224"/>
      <c r="Q819" s="224" t="s">
        <v>24</v>
      </c>
      <c r="R819" s="254"/>
      <c r="S819" s="224"/>
      <c r="T819" s="224"/>
      <c r="U819" s="224"/>
      <c r="V819" s="224"/>
      <c r="W819" s="224"/>
      <c r="X819" s="224"/>
      <c r="Y819" s="224"/>
      <c r="Z819" s="224"/>
    </row>
    <row r="820" spans="1:26" ht="15.75" customHeight="1">
      <c r="A820" s="248">
        <v>44796</v>
      </c>
      <c r="B820" s="219" t="s">
        <v>4784</v>
      </c>
      <c r="C820" s="315">
        <v>3.5</v>
      </c>
      <c r="D820" s="219" t="s">
        <v>10762</v>
      </c>
      <c r="E820" s="219" t="s">
        <v>4</v>
      </c>
      <c r="F820" s="219" t="s">
        <v>725</v>
      </c>
      <c r="G820" s="219" t="s">
        <v>4788</v>
      </c>
      <c r="H820" s="219">
        <v>4</v>
      </c>
      <c r="I820" s="219" t="s">
        <v>1298</v>
      </c>
      <c r="J820" s="219" t="s">
        <v>4789</v>
      </c>
      <c r="K820" s="219">
        <v>3</v>
      </c>
      <c r="L820" s="219" t="s">
        <v>478</v>
      </c>
      <c r="M820" s="219" t="s">
        <v>4790</v>
      </c>
      <c r="N820" s="219" t="s">
        <v>452</v>
      </c>
      <c r="O820" s="219" t="s">
        <v>575</v>
      </c>
      <c r="P820" s="219"/>
      <c r="Q820" s="219" t="s">
        <v>24</v>
      </c>
      <c r="R820" s="251"/>
      <c r="S820" s="219"/>
      <c r="T820" s="219"/>
      <c r="U820" s="219"/>
      <c r="V820" s="219"/>
      <c r="W820" s="219"/>
      <c r="X820" s="219"/>
      <c r="Y820" s="219"/>
      <c r="Z820" s="219"/>
    </row>
    <row r="821" spans="1:26" ht="15.75" customHeight="1">
      <c r="A821" s="257">
        <v>44796</v>
      </c>
      <c r="B821" s="258" t="s">
        <v>9882</v>
      </c>
      <c r="C821" s="263">
        <v>3.5</v>
      </c>
      <c r="D821" s="258" t="s">
        <v>9885</v>
      </c>
      <c r="E821" s="258" t="s">
        <v>3</v>
      </c>
      <c r="F821" s="258" t="s">
        <v>488</v>
      </c>
      <c r="G821" s="258" t="s">
        <v>11728</v>
      </c>
      <c r="H821" s="258">
        <v>3.5</v>
      </c>
      <c r="I821" s="258" t="s">
        <v>462</v>
      </c>
      <c r="J821" s="258" t="s">
        <v>9887</v>
      </c>
      <c r="K821" s="258">
        <v>3.5</v>
      </c>
      <c r="L821" s="258" t="s">
        <v>451</v>
      </c>
      <c r="M821" s="261">
        <v>6000000</v>
      </c>
      <c r="N821" s="258" t="s">
        <v>465</v>
      </c>
      <c r="O821" s="258" t="s">
        <v>9888</v>
      </c>
      <c r="P821" s="258"/>
      <c r="Q821" s="258" t="s">
        <v>23</v>
      </c>
      <c r="R821" s="259" t="s">
        <v>9889</v>
      </c>
      <c r="S821" s="258"/>
      <c r="T821" s="258"/>
      <c r="U821" s="258"/>
      <c r="V821" s="258"/>
      <c r="W821" s="258"/>
      <c r="X821" s="258"/>
      <c r="Y821" s="258"/>
      <c r="Z821" s="258"/>
    </row>
    <row r="822" spans="1:26" ht="15.75" customHeight="1">
      <c r="A822" s="248">
        <v>44796</v>
      </c>
      <c r="B822" s="219" t="s">
        <v>4619</v>
      </c>
      <c r="C822" s="315">
        <v>3.5</v>
      </c>
      <c r="D822" s="219" t="s">
        <v>4622</v>
      </c>
      <c r="E822" s="219" t="s">
        <v>4</v>
      </c>
      <c r="F822" s="219" t="s">
        <v>1457</v>
      </c>
      <c r="G822" s="219" t="s">
        <v>10785</v>
      </c>
      <c r="H822" s="219">
        <v>3</v>
      </c>
      <c r="I822" s="219" t="s">
        <v>604</v>
      </c>
      <c r="J822" s="219" t="s">
        <v>10786</v>
      </c>
      <c r="K822" s="219">
        <v>4</v>
      </c>
      <c r="L822" s="219" t="s">
        <v>478</v>
      </c>
      <c r="M822" s="219">
        <v>5000000</v>
      </c>
      <c r="N822" s="219" t="s">
        <v>465</v>
      </c>
      <c r="O822" s="219" t="s">
        <v>4625</v>
      </c>
      <c r="P822" s="219"/>
      <c r="Q822" s="219" t="s">
        <v>24</v>
      </c>
      <c r="R822" s="251"/>
      <c r="S822" s="219"/>
      <c r="T822" s="219"/>
      <c r="U822" s="219"/>
      <c r="V822" s="219"/>
      <c r="W822" s="219"/>
      <c r="X822" s="219"/>
      <c r="Y822" s="219"/>
      <c r="Z822" s="219"/>
    </row>
    <row r="823" spans="1:26" ht="15.75" customHeight="1">
      <c r="A823" s="253">
        <v>44796</v>
      </c>
      <c r="B823" s="224" t="s">
        <v>4535</v>
      </c>
      <c r="C823" s="316">
        <v>3.5</v>
      </c>
      <c r="D823" s="224" t="s">
        <v>4538</v>
      </c>
      <c r="E823" s="224" t="s">
        <v>4</v>
      </c>
      <c r="F823" s="224" t="s">
        <v>1457</v>
      </c>
      <c r="G823" s="224" t="s">
        <v>4539</v>
      </c>
      <c r="H823" s="224">
        <v>3</v>
      </c>
      <c r="I823" s="224" t="s">
        <v>990</v>
      </c>
      <c r="J823" s="224" t="s">
        <v>4540</v>
      </c>
      <c r="K823" s="224">
        <v>4</v>
      </c>
      <c r="L823" s="224" t="s">
        <v>784</v>
      </c>
      <c r="M823" s="311">
        <v>750000</v>
      </c>
      <c r="N823" s="224" t="s">
        <v>452</v>
      </c>
      <c r="O823" s="224" t="s">
        <v>4541</v>
      </c>
      <c r="P823" s="224"/>
      <c r="Q823" s="224" t="s">
        <v>24</v>
      </c>
      <c r="R823" s="254"/>
      <c r="S823" s="224"/>
      <c r="T823" s="224"/>
      <c r="U823" s="224"/>
      <c r="V823" s="224"/>
      <c r="W823" s="224"/>
      <c r="X823" s="224"/>
      <c r="Y823" s="224"/>
      <c r="Z823" s="224"/>
    </row>
    <row r="824" spans="1:26" ht="15.75" customHeight="1">
      <c r="A824" s="248">
        <v>44796</v>
      </c>
      <c r="B824" s="219" t="s">
        <v>4680</v>
      </c>
      <c r="C824" s="315">
        <v>3.5</v>
      </c>
      <c r="D824" s="219" t="s">
        <v>4683</v>
      </c>
      <c r="E824" s="219" t="s">
        <v>4</v>
      </c>
      <c r="F824" s="219" t="s">
        <v>725</v>
      </c>
      <c r="G824" s="219" t="s">
        <v>10990</v>
      </c>
      <c r="H824" s="219">
        <v>3</v>
      </c>
      <c r="I824" s="219" t="s">
        <v>1187</v>
      </c>
      <c r="J824" s="219" t="s">
        <v>4685</v>
      </c>
      <c r="K824" s="219">
        <v>4</v>
      </c>
      <c r="L824" s="219" t="s">
        <v>451</v>
      </c>
      <c r="M824" s="331">
        <v>500000</v>
      </c>
      <c r="N824" s="219" t="s">
        <v>452</v>
      </c>
      <c r="O824" s="219" t="s">
        <v>10991</v>
      </c>
      <c r="P824" s="219" t="s">
        <v>10992</v>
      </c>
      <c r="Q824" s="219" t="s">
        <v>24</v>
      </c>
      <c r="R824" s="251"/>
      <c r="S824" s="219"/>
      <c r="T824" s="219"/>
      <c r="U824" s="219"/>
      <c r="V824" s="219"/>
      <c r="W824" s="219"/>
      <c r="X824" s="219"/>
      <c r="Y824" s="219"/>
      <c r="Z824" s="219"/>
    </row>
    <row r="825" spans="1:26" ht="15.75" customHeight="1">
      <c r="A825" s="253">
        <v>44796</v>
      </c>
      <c r="B825" s="224" t="s">
        <v>3115</v>
      </c>
      <c r="C825" s="316">
        <v>3.5</v>
      </c>
      <c r="D825" s="224" t="s">
        <v>3118</v>
      </c>
      <c r="E825" s="224" t="s">
        <v>5</v>
      </c>
      <c r="F825" s="224" t="s">
        <v>447</v>
      </c>
      <c r="G825" s="224" t="s">
        <v>3119</v>
      </c>
      <c r="H825" s="224">
        <v>3.5</v>
      </c>
      <c r="I825" s="224" t="s">
        <v>543</v>
      </c>
      <c r="J825" s="224" t="s">
        <v>11729</v>
      </c>
      <c r="K825" s="224">
        <v>3.5</v>
      </c>
      <c r="L825" s="224"/>
      <c r="M825" s="224"/>
      <c r="N825" s="224" t="s">
        <v>465</v>
      </c>
      <c r="O825" s="224" t="s">
        <v>3121</v>
      </c>
      <c r="P825" s="224" t="s">
        <v>725</v>
      </c>
      <c r="Q825" s="224" t="s">
        <v>24</v>
      </c>
      <c r="R825" s="254"/>
      <c r="S825" s="224"/>
      <c r="T825" s="224"/>
      <c r="U825" s="224"/>
      <c r="V825" s="224"/>
      <c r="W825" s="224"/>
      <c r="X825" s="224"/>
      <c r="Y825" s="224"/>
      <c r="Z825" s="224"/>
    </row>
    <row r="826" spans="1:26" ht="15.75" customHeight="1">
      <c r="A826" s="248">
        <v>44796</v>
      </c>
      <c r="B826" s="219" t="s">
        <v>3149</v>
      </c>
      <c r="C826" s="315">
        <v>3.5</v>
      </c>
      <c r="D826" s="219" t="s">
        <v>3152</v>
      </c>
      <c r="E826" s="219" t="s">
        <v>5</v>
      </c>
      <c r="F826" s="219" t="s">
        <v>447</v>
      </c>
      <c r="G826" s="219" t="s">
        <v>11083</v>
      </c>
      <c r="H826" s="219">
        <v>3</v>
      </c>
      <c r="I826" s="219" t="s">
        <v>622</v>
      </c>
      <c r="J826" s="219" t="s">
        <v>11730</v>
      </c>
      <c r="K826" s="219">
        <v>4</v>
      </c>
      <c r="L826" s="219"/>
      <c r="M826" s="219"/>
      <c r="N826" s="219" t="s">
        <v>452</v>
      </c>
      <c r="O826" s="219" t="s">
        <v>452</v>
      </c>
      <c r="P826" s="219"/>
      <c r="Q826" s="219" t="s">
        <v>24</v>
      </c>
      <c r="R826" s="251"/>
      <c r="S826" s="219"/>
      <c r="T826" s="219"/>
      <c r="U826" s="219"/>
      <c r="V826" s="219"/>
      <c r="W826" s="219"/>
      <c r="X826" s="219"/>
      <c r="Y826" s="219"/>
      <c r="Z826" s="219"/>
    </row>
    <row r="827" spans="1:26" ht="15.75" customHeight="1">
      <c r="A827" s="257">
        <v>44796</v>
      </c>
      <c r="B827" s="258" t="s">
        <v>4526</v>
      </c>
      <c r="C827" s="263">
        <v>3.5</v>
      </c>
      <c r="D827" s="258" t="s">
        <v>4529</v>
      </c>
      <c r="E827" s="258" t="s">
        <v>4</v>
      </c>
      <c r="F827" s="258" t="s">
        <v>725</v>
      </c>
      <c r="G827" s="258" t="s">
        <v>11096</v>
      </c>
      <c r="H827" s="258">
        <v>2</v>
      </c>
      <c r="I827" s="258" t="s">
        <v>990</v>
      </c>
      <c r="J827" s="258" t="s">
        <v>4531</v>
      </c>
      <c r="K827" s="258">
        <v>5</v>
      </c>
      <c r="L827" s="258" t="s">
        <v>451</v>
      </c>
      <c r="M827" s="258">
        <v>1000000</v>
      </c>
      <c r="N827" s="258" t="s">
        <v>452</v>
      </c>
      <c r="O827" s="258" t="s">
        <v>4532</v>
      </c>
      <c r="P827" s="258"/>
      <c r="Q827" s="258" t="s">
        <v>24</v>
      </c>
      <c r="R827" s="259" t="s">
        <v>4533</v>
      </c>
      <c r="S827" s="258"/>
      <c r="T827" s="258"/>
      <c r="U827" s="258"/>
      <c r="V827" s="258"/>
      <c r="W827" s="258"/>
      <c r="X827" s="258"/>
      <c r="Y827" s="258"/>
      <c r="Z827" s="258"/>
    </row>
    <row r="828" spans="1:26" ht="15.75" customHeight="1">
      <c r="A828" s="257">
        <v>44796</v>
      </c>
      <c r="B828" s="258" t="s">
        <v>76</v>
      </c>
      <c r="C828" s="263">
        <v>3.5</v>
      </c>
      <c r="D828" s="258" t="s">
        <v>532</v>
      </c>
      <c r="E828" s="258" t="s">
        <v>5</v>
      </c>
      <c r="F828" s="258" t="s">
        <v>447</v>
      </c>
      <c r="G828" s="258" t="s">
        <v>11134</v>
      </c>
      <c r="H828" s="258">
        <v>3</v>
      </c>
      <c r="I828" s="258" t="s">
        <v>449</v>
      </c>
      <c r="J828" s="258" t="s">
        <v>11731</v>
      </c>
      <c r="K828" s="258">
        <v>4</v>
      </c>
      <c r="L828" s="258" t="s">
        <v>451</v>
      </c>
      <c r="M828" s="328">
        <v>6500000</v>
      </c>
      <c r="N828" s="258" t="s">
        <v>452</v>
      </c>
      <c r="O828" s="258" t="s">
        <v>535</v>
      </c>
      <c r="P828" s="258"/>
      <c r="Q828" s="258" t="s">
        <v>24</v>
      </c>
      <c r="R828" s="259" t="s">
        <v>536</v>
      </c>
      <c r="S828" s="258"/>
      <c r="T828" s="258"/>
      <c r="U828" s="258"/>
      <c r="V828" s="258"/>
      <c r="W828" s="258"/>
      <c r="X828" s="258"/>
      <c r="Y828" s="258"/>
      <c r="Z828" s="258"/>
    </row>
    <row r="829" spans="1:26" ht="15.75" customHeight="1">
      <c r="A829" s="253">
        <v>44796</v>
      </c>
      <c r="B829" s="224" t="s">
        <v>4759</v>
      </c>
      <c r="C829" s="316">
        <v>3.5</v>
      </c>
      <c r="D829" s="224" t="s">
        <v>4762</v>
      </c>
      <c r="E829" s="224" t="s">
        <v>4</v>
      </c>
      <c r="F829" s="224" t="s">
        <v>602</v>
      </c>
      <c r="G829" s="224" t="s">
        <v>4763</v>
      </c>
      <c r="H829" s="224">
        <v>3</v>
      </c>
      <c r="I829" s="224" t="s">
        <v>476</v>
      </c>
      <c r="J829" s="224" t="s">
        <v>11732</v>
      </c>
      <c r="K829" s="224">
        <v>4</v>
      </c>
      <c r="L829" s="224" t="s">
        <v>478</v>
      </c>
      <c r="M829" s="332">
        <v>1800000</v>
      </c>
      <c r="N829" s="224" t="s">
        <v>452</v>
      </c>
      <c r="O829" s="224" t="s">
        <v>454</v>
      </c>
      <c r="P829" s="224"/>
      <c r="Q829" s="224" t="s">
        <v>24</v>
      </c>
      <c r="R829" s="254"/>
      <c r="S829" s="224"/>
      <c r="T829" s="224"/>
      <c r="U829" s="224"/>
      <c r="V829" s="224"/>
      <c r="W829" s="224"/>
      <c r="X829" s="224"/>
      <c r="Y829" s="224"/>
      <c r="Z829" s="224"/>
    </row>
    <row r="830" spans="1:26" ht="15.75" customHeight="1">
      <c r="A830" s="248">
        <v>44796</v>
      </c>
      <c r="B830" s="219" t="s">
        <v>4544</v>
      </c>
      <c r="C830" s="315">
        <v>3.5</v>
      </c>
      <c r="D830" s="219" t="s">
        <v>4547</v>
      </c>
      <c r="E830" s="219" t="s">
        <v>4</v>
      </c>
      <c r="F830" s="219" t="s">
        <v>447</v>
      </c>
      <c r="G830" s="219" t="s">
        <v>11196</v>
      </c>
      <c r="H830" s="219">
        <v>3</v>
      </c>
      <c r="I830" s="219" t="s">
        <v>990</v>
      </c>
      <c r="J830" s="219" t="s">
        <v>4549</v>
      </c>
      <c r="K830" s="219">
        <v>4</v>
      </c>
      <c r="L830" s="219"/>
      <c r="M830" s="219"/>
      <c r="N830" s="219" t="s">
        <v>452</v>
      </c>
      <c r="O830" s="219" t="s">
        <v>4550</v>
      </c>
      <c r="P830" s="219"/>
      <c r="Q830" s="219" t="s">
        <v>24</v>
      </c>
      <c r="R830" s="251"/>
      <c r="S830" s="219"/>
      <c r="T830" s="219"/>
      <c r="U830" s="219"/>
      <c r="V830" s="219"/>
      <c r="W830" s="219"/>
      <c r="X830" s="219"/>
      <c r="Y830" s="219"/>
      <c r="Z830" s="219"/>
    </row>
    <row r="831" spans="1:26" ht="15.75" customHeight="1">
      <c r="A831" s="253">
        <v>44796</v>
      </c>
      <c r="B831" s="224" t="s">
        <v>4698</v>
      </c>
      <c r="C831" s="316">
        <v>3.5</v>
      </c>
      <c r="D831" s="224"/>
      <c r="E831" s="224" t="s">
        <v>4</v>
      </c>
      <c r="F831" s="224" t="s">
        <v>725</v>
      </c>
      <c r="G831" s="224" t="s">
        <v>4701</v>
      </c>
      <c r="H831" s="224">
        <v>3</v>
      </c>
      <c r="I831" s="224" t="s">
        <v>1237</v>
      </c>
      <c r="J831" s="224"/>
      <c r="K831" s="224">
        <v>4</v>
      </c>
      <c r="L831" s="224" t="s">
        <v>2190</v>
      </c>
      <c r="M831" s="224" t="s">
        <v>4702</v>
      </c>
      <c r="N831" s="224" t="s">
        <v>454</v>
      </c>
      <c r="O831" s="224" t="s">
        <v>4703</v>
      </c>
      <c r="P831" s="224" t="s">
        <v>4704</v>
      </c>
      <c r="Q831" s="224" t="s">
        <v>24</v>
      </c>
      <c r="R831" s="254"/>
      <c r="S831" s="224"/>
      <c r="T831" s="224"/>
      <c r="U831" s="224"/>
      <c r="V831" s="224"/>
      <c r="W831" s="224"/>
      <c r="X831" s="224"/>
      <c r="Y831" s="224"/>
      <c r="Z831" s="224"/>
    </row>
    <row r="832" spans="1:26" ht="15.75" customHeight="1">
      <c r="A832" s="248">
        <v>44796</v>
      </c>
      <c r="B832" s="219" t="s">
        <v>4925</v>
      </c>
      <c r="C832" s="315">
        <v>3.38</v>
      </c>
      <c r="D832" s="219" t="s">
        <v>4928</v>
      </c>
      <c r="E832" s="219" t="s">
        <v>4</v>
      </c>
      <c r="F832" s="219" t="s">
        <v>727</v>
      </c>
      <c r="G832" s="219" t="s">
        <v>10573</v>
      </c>
      <c r="H832" s="219">
        <v>3.75</v>
      </c>
      <c r="I832" s="219" t="s">
        <v>1073</v>
      </c>
      <c r="J832" s="219"/>
      <c r="K832" s="219">
        <v>3</v>
      </c>
      <c r="L832" s="219"/>
      <c r="M832" s="219"/>
      <c r="N832" s="219" t="s">
        <v>452</v>
      </c>
      <c r="O832" s="219" t="s">
        <v>10574</v>
      </c>
      <c r="P832" s="219"/>
      <c r="Q832" s="219" t="s">
        <v>24</v>
      </c>
      <c r="R832" s="251"/>
      <c r="S832" s="219"/>
      <c r="T832" s="219"/>
      <c r="U832" s="219"/>
      <c r="V832" s="219"/>
      <c r="W832" s="219"/>
      <c r="X832" s="219"/>
      <c r="Y832" s="219"/>
      <c r="Z832" s="219"/>
    </row>
    <row r="833" spans="1:26" ht="15.75" customHeight="1">
      <c r="A833" s="253">
        <v>44796</v>
      </c>
      <c r="B833" s="224" t="s">
        <v>4950</v>
      </c>
      <c r="C833" s="316">
        <v>3.38</v>
      </c>
      <c r="D833" s="224" t="s">
        <v>4953</v>
      </c>
      <c r="E833" s="224" t="s">
        <v>4</v>
      </c>
      <c r="F833" s="224" t="s">
        <v>727</v>
      </c>
      <c r="G833" s="224" t="s">
        <v>10639</v>
      </c>
      <c r="H833" s="224">
        <v>3.75</v>
      </c>
      <c r="I833" s="224" t="s">
        <v>1045</v>
      </c>
      <c r="J833" s="224" t="s">
        <v>4955</v>
      </c>
      <c r="K833" s="224">
        <v>3</v>
      </c>
      <c r="L833" s="224" t="s">
        <v>478</v>
      </c>
      <c r="M833" s="224" t="s">
        <v>4956</v>
      </c>
      <c r="N833" s="224" t="s">
        <v>452</v>
      </c>
      <c r="O833" s="224" t="s">
        <v>4957</v>
      </c>
      <c r="P833" s="224"/>
      <c r="Q833" s="224" t="s">
        <v>24</v>
      </c>
      <c r="R833" s="254"/>
      <c r="S833" s="224"/>
      <c r="T833" s="224"/>
      <c r="U833" s="224"/>
      <c r="V833" s="224"/>
      <c r="W833" s="224"/>
      <c r="X833" s="224"/>
      <c r="Y833" s="224"/>
      <c r="Z833" s="224"/>
    </row>
    <row r="834" spans="1:26" ht="15.75" customHeight="1">
      <c r="A834" s="248">
        <v>44796</v>
      </c>
      <c r="B834" s="219" t="s">
        <v>5289</v>
      </c>
      <c r="C834" s="315">
        <v>3.25</v>
      </c>
      <c r="D834" s="219" t="s">
        <v>5292</v>
      </c>
      <c r="E834" s="219" t="s">
        <v>4</v>
      </c>
      <c r="F834" s="219" t="s">
        <v>727</v>
      </c>
      <c r="G834" s="219" t="s">
        <v>10294</v>
      </c>
      <c r="H834" s="219">
        <v>3.5</v>
      </c>
      <c r="I834" s="219" t="s">
        <v>1045</v>
      </c>
      <c r="J834" s="219" t="s">
        <v>5294</v>
      </c>
      <c r="K834" s="219">
        <v>3</v>
      </c>
      <c r="L834" s="219" t="s">
        <v>5295</v>
      </c>
      <c r="M834" s="219" t="s">
        <v>5296</v>
      </c>
      <c r="N834" s="219" t="s">
        <v>452</v>
      </c>
      <c r="O834" s="219" t="s">
        <v>452</v>
      </c>
      <c r="P834" s="219" t="s">
        <v>460</v>
      </c>
      <c r="Q834" s="219" t="s">
        <v>24</v>
      </c>
      <c r="R834" s="251"/>
      <c r="S834" s="219"/>
      <c r="T834" s="219"/>
      <c r="U834" s="219"/>
      <c r="V834" s="219"/>
      <c r="W834" s="219"/>
      <c r="X834" s="219"/>
      <c r="Y834" s="219"/>
      <c r="Z834" s="219"/>
    </row>
    <row r="835" spans="1:26" ht="15.75" customHeight="1">
      <c r="A835" s="255">
        <v>44796</v>
      </c>
      <c r="B835" s="239" t="s">
        <v>2235</v>
      </c>
      <c r="C835" s="262">
        <v>3.25</v>
      </c>
      <c r="D835" s="239" t="s">
        <v>2238</v>
      </c>
      <c r="E835" s="239" t="s">
        <v>5</v>
      </c>
      <c r="F835" s="239" t="s">
        <v>488</v>
      </c>
      <c r="G835" s="239"/>
      <c r="H835" s="239">
        <v>3</v>
      </c>
      <c r="I835" s="239" t="s">
        <v>941</v>
      </c>
      <c r="J835" s="239" t="s">
        <v>2239</v>
      </c>
      <c r="K835" s="239">
        <v>3.5</v>
      </c>
      <c r="L835" s="239" t="s">
        <v>451</v>
      </c>
      <c r="M835" s="239" t="s">
        <v>2240</v>
      </c>
      <c r="N835" s="239" t="s">
        <v>454</v>
      </c>
      <c r="O835" s="239" t="s">
        <v>10484</v>
      </c>
      <c r="P835" s="239"/>
      <c r="Q835" s="239" t="s">
        <v>24</v>
      </c>
      <c r="R835" s="256" t="s">
        <v>2242</v>
      </c>
      <c r="S835" s="239"/>
      <c r="T835" s="239"/>
      <c r="U835" s="239"/>
      <c r="V835" s="239"/>
      <c r="W835" s="239"/>
      <c r="X835" s="239"/>
      <c r="Y835" s="239"/>
      <c r="Z835" s="239"/>
    </row>
    <row r="836" spans="1:26" ht="15.75" customHeight="1">
      <c r="A836" s="248">
        <v>44796</v>
      </c>
      <c r="B836" s="219" t="s">
        <v>8543</v>
      </c>
      <c r="C836" s="315">
        <v>3.25</v>
      </c>
      <c r="D836" s="219" t="s">
        <v>8546</v>
      </c>
      <c r="E836" s="219" t="s">
        <v>3</v>
      </c>
      <c r="F836" s="219" t="s">
        <v>488</v>
      </c>
      <c r="G836" s="219"/>
      <c r="H836" s="219">
        <v>3</v>
      </c>
      <c r="I836" s="219" t="s">
        <v>941</v>
      </c>
      <c r="J836" s="219" t="s">
        <v>8547</v>
      </c>
      <c r="K836" s="219">
        <v>3.5</v>
      </c>
      <c r="L836" s="219" t="s">
        <v>973</v>
      </c>
      <c r="M836" s="219">
        <v>8000000</v>
      </c>
      <c r="N836" s="219" t="s">
        <v>452</v>
      </c>
      <c r="O836" s="219" t="s">
        <v>8548</v>
      </c>
      <c r="P836" s="219"/>
      <c r="Q836" s="219" t="s">
        <v>24</v>
      </c>
      <c r="R836" s="251"/>
      <c r="S836" s="219"/>
      <c r="T836" s="219"/>
      <c r="U836" s="219"/>
      <c r="V836" s="219"/>
      <c r="W836" s="219"/>
      <c r="X836" s="219"/>
      <c r="Y836" s="219"/>
      <c r="Z836" s="219"/>
    </row>
    <row r="837" spans="1:26" ht="15.75" customHeight="1">
      <c r="A837" s="255">
        <v>44796</v>
      </c>
      <c r="B837" s="239" t="s">
        <v>9612</v>
      </c>
      <c r="C837" s="262">
        <v>3.25</v>
      </c>
      <c r="D837" s="239" t="s">
        <v>9615</v>
      </c>
      <c r="E837" s="239" t="s">
        <v>4</v>
      </c>
      <c r="F837" s="239" t="s">
        <v>460</v>
      </c>
      <c r="G837" s="239" t="s">
        <v>9616</v>
      </c>
      <c r="H837" s="239">
        <v>3</v>
      </c>
      <c r="I837" s="239" t="s">
        <v>462</v>
      </c>
      <c r="J837" s="239" t="s">
        <v>9617</v>
      </c>
      <c r="K837" s="239">
        <v>3.5</v>
      </c>
      <c r="L837" s="239"/>
      <c r="M837" s="239"/>
      <c r="N837" s="239" t="s">
        <v>454</v>
      </c>
      <c r="O837" s="239" t="s">
        <v>10602</v>
      </c>
      <c r="P837" s="239" t="s">
        <v>9619</v>
      </c>
      <c r="Q837" s="239" t="s">
        <v>23</v>
      </c>
      <c r="R837" s="256" t="s">
        <v>9620</v>
      </c>
      <c r="S837" s="239"/>
      <c r="T837" s="239"/>
      <c r="U837" s="239"/>
      <c r="V837" s="239"/>
      <c r="W837" s="239"/>
      <c r="X837" s="239"/>
      <c r="Y837" s="239"/>
      <c r="Z837" s="239"/>
    </row>
    <row r="838" spans="1:26" ht="15.75" customHeight="1">
      <c r="A838" s="248">
        <v>44796</v>
      </c>
      <c r="B838" s="219" t="s">
        <v>5147</v>
      </c>
      <c r="C838" s="315">
        <v>3.25</v>
      </c>
      <c r="D838" s="219" t="s">
        <v>5150</v>
      </c>
      <c r="E838" s="219" t="s">
        <v>4</v>
      </c>
      <c r="F838" s="219" t="s">
        <v>727</v>
      </c>
      <c r="G838" s="219" t="s">
        <v>10691</v>
      </c>
      <c r="H838" s="219">
        <v>3</v>
      </c>
      <c r="I838" s="219" t="s">
        <v>1350</v>
      </c>
      <c r="J838" s="219" t="s">
        <v>5152</v>
      </c>
      <c r="K838" s="219">
        <v>3.5</v>
      </c>
      <c r="L838" s="219"/>
      <c r="M838" s="219"/>
      <c r="N838" s="219" t="s">
        <v>452</v>
      </c>
      <c r="O838" s="219" t="s">
        <v>5153</v>
      </c>
      <c r="P838" s="219"/>
      <c r="Q838" s="219" t="s">
        <v>24</v>
      </c>
      <c r="R838" s="251"/>
      <c r="S838" s="219"/>
      <c r="T838" s="219"/>
      <c r="U838" s="219"/>
      <c r="V838" s="219"/>
      <c r="W838" s="219"/>
      <c r="X838" s="219"/>
      <c r="Y838" s="219"/>
      <c r="Z838" s="219"/>
    </row>
    <row r="839" spans="1:26" ht="15.75" customHeight="1">
      <c r="A839" s="257">
        <v>44796</v>
      </c>
      <c r="B839" s="258" t="s">
        <v>9825</v>
      </c>
      <c r="C839" s="263">
        <v>3.25</v>
      </c>
      <c r="D839" s="258" t="s">
        <v>9828</v>
      </c>
      <c r="E839" s="258" t="s">
        <v>3</v>
      </c>
      <c r="F839" s="258" t="s">
        <v>488</v>
      </c>
      <c r="G839" s="258" t="s">
        <v>9829</v>
      </c>
      <c r="H839" s="258">
        <v>3.5</v>
      </c>
      <c r="I839" s="258" t="s">
        <v>462</v>
      </c>
      <c r="J839" s="258" t="s">
        <v>10761</v>
      </c>
      <c r="K839" s="258">
        <v>3</v>
      </c>
      <c r="L839" s="258" t="s">
        <v>451</v>
      </c>
      <c r="M839" s="328">
        <v>6000000</v>
      </c>
      <c r="N839" s="258" t="s">
        <v>452</v>
      </c>
      <c r="O839" s="258" t="s">
        <v>452</v>
      </c>
      <c r="P839" s="258" t="s">
        <v>9831</v>
      </c>
      <c r="Q839" s="258" t="s">
        <v>23</v>
      </c>
      <c r="R839" s="259" t="s">
        <v>9832</v>
      </c>
      <c r="S839" s="258"/>
      <c r="T839" s="258"/>
      <c r="U839" s="258"/>
      <c r="V839" s="258"/>
      <c r="W839" s="258"/>
      <c r="X839" s="258"/>
      <c r="Y839" s="258"/>
      <c r="Z839" s="258"/>
    </row>
    <row r="840" spans="1:26" ht="15.75" customHeight="1">
      <c r="A840" s="248">
        <v>44796</v>
      </c>
      <c r="B840" s="219" t="s">
        <v>5244</v>
      </c>
      <c r="C840" s="315">
        <v>3.25</v>
      </c>
      <c r="D840" s="219" t="s">
        <v>5247</v>
      </c>
      <c r="E840" s="219" t="s">
        <v>4</v>
      </c>
      <c r="F840" s="219" t="s">
        <v>725</v>
      </c>
      <c r="G840" s="219" t="s">
        <v>10766</v>
      </c>
      <c r="H840" s="219">
        <v>3.5</v>
      </c>
      <c r="I840" s="219" t="s">
        <v>1457</v>
      </c>
      <c r="J840" s="219" t="s">
        <v>5249</v>
      </c>
      <c r="K840" s="219">
        <v>3</v>
      </c>
      <c r="L840" s="219"/>
      <c r="M840" s="219"/>
      <c r="N840" s="219" t="s">
        <v>452</v>
      </c>
      <c r="O840" s="219" t="s">
        <v>452</v>
      </c>
      <c r="P840" s="219" t="s">
        <v>5250</v>
      </c>
      <c r="Q840" s="219" t="s">
        <v>24</v>
      </c>
      <c r="R840" s="251"/>
      <c r="S840" s="219"/>
      <c r="T840" s="219"/>
      <c r="U840" s="219"/>
      <c r="V840" s="219"/>
      <c r="W840" s="219"/>
      <c r="X840" s="219"/>
      <c r="Y840" s="219"/>
      <c r="Z840" s="219"/>
    </row>
    <row r="841" spans="1:26" ht="15.75" customHeight="1">
      <c r="A841" s="253">
        <v>44796</v>
      </c>
      <c r="B841" s="224" t="s">
        <v>2408</v>
      </c>
      <c r="C841" s="316">
        <v>3.25</v>
      </c>
      <c r="D841" s="224" t="s">
        <v>2411</v>
      </c>
      <c r="E841" s="224" t="s">
        <v>5</v>
      </c>
      <c r="F841" s="224" t="s">
        <v>447</v>
      </c>
      <c r="G841" s="224" t="s">
        <v>10963</v>
      </c>
      <c r="H841" s="224">
        <v>3</v>
      </c>
      <c r="I841" s="224" t="s">
        <v>543</v>
      </c>
      <c r="J841" s="224" t="s">
        <v>11733</v>
      </c>
      <c r="K841" s="224">
        <v>3.5</v>
      </c>
      <c r="L841" s="224" t="s">
        <v>478</v>
      </c>
      <c r="M841" s="224" t="s">
        <v>2414</v>
      </c>
      <c r="N841" s="224" t="s">
        <v>452</v>
      </c>
      <c r="O841" s="224" t="s">
        <v>10965</v>
      </c>
      <c r="P841" s="224"/>
      <c r="Q841" s="224" t="s">
        <v>24</v>
      </c>
      <c r="R841" s="254"/>
      <c r="S841" s="224"/>
      <c r="T841" s="224"/>
      <c r="U841" s="224"/>
      <c r="V841" s="224"/>
      <c r="W841" s="224"/>
      <c r="X841" s="224"/>
      <c r="Y841" s="224"/>
      <c r="Z841" s="224"/>
    </row>
    <row r="842" spans="1:26" ht="15.75" customHeight="1">
      <c r="A842" s="248">
        <v>44796</v>
      </c>
      <c r="B842" s="219" t="s">
        <v>5164</v>
      </c>
      <c r="C842" s="315">
        <v>3.25</v>
      </c>
      <c r="D842" s="219" t="s">
        <v>5167</v>
      </c>
      <c r="E842" s="219" t="s">
        <v>4</v>
      </c>
      <c r="F842" s="219" t="s">
        <v>727</v>
      </c>
      <c r="G842" s="219" t="s">
        <v>11001</v>
      </c>
      <c r="H842" s="219">
        <v>3</v>
      </c>
      <c r="I842" s="219" t="s">
        <v>1054</v>
      </c>
      <c r="J842" s="219" t="s">
        <v>11002</v>
      </c>
      <c r="K842" s="219">
        <v>3.5</v>
      </c>
      <c r="L842" s="219" t="s">
        <v>5170</v>
      </c>
      <c r="M842" s="219" t="s">
        <v>5171</v>
      </c>
      <c r="N842" s="219" t="s">
        <v>454</v>
      </c>
      <c r="O842" s="219" t="s">
        <v>11003</v>
      </c>
      <c r="P842" s="219"/>
      <c r="Q842" s="219" t="s">
        <v>24</v>
      </c>
      <c r="R842" s="251"/>
      <c r="S842" s="219"/>
      <c r="T842" s="219"/>
      <c r="U842" s="219"/>
      <c r="V842" s="219"/>
      <c r="W842" s="219"/>
      <c r="X842" s="219"/>
      <c r="Y842" s="219"/>
      <c r="Z842" s="219"/>
    </row>
    <row r="843" spans="1:26" ht="15.75" customHeight="1">
      <c r="A843" s="253">
        <v>44796</v>
      </c>
      <c r="B843" s="224" t="s">
        <v>2454</v>
      </c>
      <c r="C843" s="316">
        <v>3.25</v>
      </c>
      <c r="D843" s="224" t="s">
        <v>2457</v>
      </c>
      <c r="E843" s="224" t="s">
        <v>5</v>
      </c>
      <c r="F843" s="224" t="s">
        <v>447</v>
      </c>
      <c r="G843" s="224" t="s">
        <v>11042</v>
      </c>
      <c r="H843" s="224">
        <v>3</v>
      </c>
      <c r="I843" s="224" t="s">
        <v>622</v>
      </c>
      <c r="J843" s="224" t="s">
        <v>11043</v>
      </c>
      <c r="K843" s="224">
        <v>3.5</v>
      </c>
      <c r="L843" s="224" t="s">
        <v>451</v>
      </c>
      <c r="M843" s="224">
        <v>1500000</v>
      </c>
      <c r="N843" s="224" t="s">
        <v>452</v>
      </c>
      <c r="O843" s="224" t="s">
        <v>2460</v>
      </c>
      <c r="P843" s="224"/>
      <c r="Q843" s="224" t="s">
        <v>24</v>
      </c>
      <c r="R843" s="254"/>
      <c r="S843" s="224"/>
      <c r="T843" s="224"/>
      <c r="U843" s="224"/>
      <c r="V843" s="224"/>
      <c r="W843" s="224"/>
      <c r="X843" s="224"/>
      <c r="Y843" s="224"/>
      <c r="Z843" s="224"/>
    </row>
    <row r="844" spans="1:26" ht="15.75" customHeight="1">
      <c r="A844" s="248">
        <v>44796</v>
      </c>
      <c r="B844" s="219" t="s">
        <v>5156</v>
      </c>
      <c r="C844" s="315">
        <v>3.25</v>
      </c>
      <c r="D844" s="219" t="s">
        <v>11087</v>
      </c>
      <c r="E844" s="219" t="s">
        <v>4</v>
      </c>
      <c r="F844" s="219" t="s">
        <v>602</v>
      </c>
      <c r="G844" s="219" t="s">
        <v>5160</v>
      </c>
      <c r="H844" s="219">
        <v>3</v>
      </c>
      <c r="I844" s="219" t="s">
        <v>1350</v>
      </c>
      <c r="J844" s="219" t="s">
        <v>5161</v>
      </c>
      <c r="K844" s="219">
        <v>3.5</v>
      </c>
      <c r="L844" s="219"/>
      <c r="M844" s="219"/>
      <c r="N844" s="219" t="s">
        <v>452</v>
      </c>
      <c r="O844" s="219" t="s">
        <v>5162</v>
      </c>
      <c r="P844" s="219"/>
      <c r="Q844" s="219" t="s">
        <v>24</v>
      </c>
      <c r="R844" s="251"/>
      <c r="S844" s="219"/>
      <c r="T844" s="219"/>
      <c r="U844" s="219"/>
      <c r="V844" s="219"/>
      <c r="W844" s="219"/>
      <c r="X844" s="219"/>
      <c r="Y844" s="219"/>
      <c r="Z844" s="219"/>
    </row>
    <row r="845" spans="1:26" ht="15.75" customHeight="1">
      <c r="A845" s="253">
        <v>44796</v>
      </c>
      <c r="B845" s="224" t="s">
        <v>117</v>
      </c>
      <c r="C845" s="316">
        <v>3.25</v>
      </c>
      <c r="D845" s="224" t="s">
        <v>838</v>
      </c>
      <c r="E845" s="224" t="s">
        <v>5</v>
      </c>
      <c r="F845" s="224" t="s">
        <v>447</v>
      </c>
      <c r="G845" s="224" t="s">
        <v>11116</v>
      </c>
      <c r="H845" s="224">
        <v>3</v>
      </c>
      <c r="I845" s="224" t="s">
        <v>449</v>
      </c>
      <c r="J845" s="224" t="e">
        <f>+Credible passionate Team
+Industry experience
+successful parent company
-Qlimate itself does not seem to be a Startup</f>
        <v>#NAME?</v>
      </c>
      <c r="K845" s="224">
        <v>3.5</v>
      </c>
      <c r="L845" s="224"/>
      <c r="M845" s="224"/>
      <c r="N845" s="224" t="s">
        <v>452</v>
      </c>
      <c r="O845" s="224" t="s">
        <v>452</v>
      </c>
      <c r="P845" s="224" t="s">
        <v>725</v>
      </c>
      <c r="Q845" s="224" t="s">
        <v>24</v>
      </c>
      <c r="R845" s="254" t="s">
        <v>841</v>
      </c>
      <c r="S845" s="224"/>
      <c r="T845" s="224"/>
      <c r="U845" s="224"/>
      <c r="V845" s="224"/>
      <c r="W845" s="224"/>
      <c r="X845" s="224"/>
      <c r="Y845" s="224"/>
      <c r="Z845" s="224"/>
    </row>
    <row r="846" spans="1:26" ht="15.75" customHeight="1">
      <c r="A846" s="255">
        <v>44796</v>
      </c>
      <c r="B846" s="239" t="s">
        <v>9666</v>
      </c>
      <c r="C846" s="262">
        <v>3.25</v>
      </c>
      <c r="D846" s="239" t="s">
        <v>9669</v>
      </c>
      <c r="E846" s="239" t="s">
        <v>3</v>
      </c>
      <c r="F846" s="239" t="s">
        <v>460</v>
      </c>
      <c r="G846" s="239" t="s">
        <v>9670</v>
      </c>
      <c r="H846" s="239">
        <v>3.5</v>
      </c>
      <c r="I846" s="239" t="s">
        <v>462</v>
      </c>
      <c r="J846" s="239" t="s">
        <v>9671</v>
      </c>
      <c r="K846" s="239">
        <v>3</v>
      </c>
      <c r="L846" s="239"/>
      <c r="M846" s="239"/>
      <c r="N846" s="239" t="s">
        <v>452</v>
      </c>
      <c r="O846" s="239" t="s">
        <v>9672</v>
      </c>
      <c r="P846" s="239" t="s">
        <v>9673</v>
      </c>
      <c r="Q846" s="239" t="s">
        <v>23</v>
      </c>
      <c r="R846" s="256"/>
      <c r="S846" s="239"/>
      <c r="T846" s="239"/>
      <c r="U846" s="239"/>
      <c r="V846" s="239"/>
      <c r="W846" s="239"/>
      <c r="X846" s="239"/>
      <c r="Y846" s="239"/>
      <c r="Z846" s="239"/>
    </row>
    <row r="847" spans="1:26" ht="15.75" customHeight="1">
      <c r="A847" s="253">
        <v>44796</v>
      </c>
      <c r="B847" s="224" t="s">
        <v>2557</v>
      </c>
      <c r="C847" s="316">
        <v>3.25</v>
      </c>
      <c r="D847" s="224" t="s">
        <v>2560</v>
      </c>
      <c r="E847" s="224" t="s">
        <v>5</v>
      </c>
      <c r="F847" s="224" t="s">
        <v>447</v>
      </c>
      <c r="G847" s="224" t="s">
        <v>11147</v>
      </c>
      <c r="H847" s="224">
        <v>3.5</v>
      </c>
      <c r="I847" s="224" t="s">
        <v>622</v>
      </c>
      <c r="J847" s="224" t="e">
        <f>+ Would like to see the Working product first.</f>
        <v>#NAME?</v>
      </c>
      <c r="K847" s="224">
        <v>3</v>
      </c>
      <c r="L847" s="224" t="s">
        <v>451</v>
      </c>
      <c r="M847" s="311">
        <v>3000000</v>
      </c>
      <c r="N847" s="224" t="s">
        <v>452</v>
      </c>
      <c r="O847" s="224" t="s">
        <v>2563</v>
      </c>
      <c r="P847" s="224"/>
      <c r="Q847" s="224" t="s">
        <v>24</v>
      </c>
      <c r="R847" s="254"/>
      <c r="S847" s="224"/>
      <c r="T847" s="224"/>
      <c r="U847" s="224"/>
      <c r="V847" s="224"/>
      <c r="W847" s="224"/>
      <c r="X847" s="224"/>
      <c r="Y847" s="224"/>
      <c r="Z847" s="224"/>
    </row>
    <row r="848" spans="1:26" ht="15.75" customHeight="1">
      <c r="A848" s="248">
        <v>44796</v>
      </c>
      <c r="B848" s="219" t="s">
        <v>11157</v>
      </c>
      <c r="C848" s="315">
        <v>3.25</v>
      </c>
      <c r="D848" s="219" t="s">
        <v>3144</v>
      </c>
      <c r="E848" s="219" t="s">
        <v>5</v>
      </c>
      <c r="F848" s="219" t="s">
        <v>447</v>
      </c>
      <c r="G848" s="219" t="s">
        <v>11158</v>
      </c>
      <c r="H848" s="219">
        <v>3</v>
      </c>
      <c r="I848" s="219" t="s">
        <v>543</v>
      </c>
      <c r="J848" s="219" t="s">
        <v>13400</v>
      </c>
      <c r="K848" s="219">
        <v>3.5</v>
      </c>
      <c r="L848" s="219" t="s">
        <v>451</v>
      </c>
      <c r="M848" s="331">
        <v>2250000</v>
      </c>
      <c r="N848" s="219" t="s">
        <v>452</v>
      </c>
      <c r="O848" s="219" t="s">
        <v>452</v>
      </c>
      <c r="P848" s="219" t="s">
        <v>585</v>
      </c>
      <c r="Q848" s="219" t="s">
        <v>24</v>
      </c>
      <c r="R848" s="251"/>
      <c r="S848" s="219"/>
      <c r="T848" s="219"/>
      <c r="U848" s="219"/>
      <c r="V848" s="219"/>
      <c r="W848" s="219"/>
      <c r="X848" s="219"/>
      <c r="Y848" s="219"/>
      <c r="Z848" s="219"/>
    </row>
    <row r="849" spans="1:26" ht="15.75" customHeight="1">
      <c r="A849" s="253">
        <v>44796</v>
      </c>
      <c r="B849" s="224" t="s">
        <v>4987</v>
      </c>
      <c r="C849" s="316">
        <v>3.25</v>
      </c>
      <c r="D849" s="224" t="s">
        <v>4990</v>
      </c>
      <c r="E849" s="224" t="s">
        <v>4</v>
      </c>
      <c r="F849" s="224" t="s">
        <v>725</v>
      </c>
      <c r="G849" s="224" t="e">
        <f>+ good validation and Revenue growth
- Competitive space and niche market</f>
        <v>#NAME?</v>
      </c>
      <c r="H849" s="224">
        <v>3.5</v>
      </c>
      <c r="I849" s="224" t="s">
        <v>476</v>
      </c>
      <c r="J849" s="224" t="s">
        <v>13400</v>
      </c>
      <c r="K849" s="224">
        <v>3</v>
      </c>
      <c r="L849" s="224" t="s">
        <v>4993</v>
      </c>
      <c r="M849" s="224" t="s">
        <v>4370</v>
      </c>
      <c r="N849" s="224" t="s">
        <v>452</v>
      </c>
      <c r="O849" s="224" t="s">
        <v>452</v>
      </c>
      <c r="P849" s="224"/>
      <c r="Q849" s="224" t="s">
        <v>24</v>
      </c>
      <c r="R849" s="254"/>
      <c r="S849" s="224"/>
      <c r="T849" s="224"/>
      <c r="U849" s="224"/>
      <c r="V849" s="224"/>
      <c r="W849" s="224"/>
      <c r="X849" s="224"/>
      <c r="Y849" s="224"/>
      <c r="Z849" s="224"/>
    </row>
    <row r="850" spans="1:26" ht="15.75" customHeight="1">
      <c r="A850" s="248">
        <v>44796</v>
      </c>
      <c r="B850" s="219" t="s">
        <v>5121</v>
      </c>
      <c r="C850" s="315">
        <v>3.25</v>
      </c>
      <c r="D850" s="219"/>
      <c r="E850" s="219" t="s">
        <v>4</v>
      </c>
      <c r="F850" s="219" t="s">
        <v>725</v>
      </c>
      <c r="G850" s="219" t="s">
        <v>5124</v>
      </c>
      <c r="H850" s="219">
        <v>3.5</v>
      </c>
      <c r="I850" s="219" t="s">
        <v>1298</v>
      </c>
      <c r="J850" s="219" t="s">
        <v>5125</v>
      </c>
      <c r="K850" s="219">
        <v>3</v>
      </c>
      <c r="L850" s="219" t="s">
        <v>1656</v>
      </c>
      <c r="M850" s="219">
        <v>2000000</v>
      </c>
      <c r="N850" s="219" t="s">
        <v>452</v>
      </c>
      <c r="O850" s="219" t="s">
        <v>5126</v>
      </c>
      <c r="P850" s="219" t="s">
        <v>5127</v>
      </c>
      <c r="Q850" s="219" t="s">
        <v>24</v>
      </c>
      <c r="R850" s="251"/>
      <c r="S850" s="219"/>
      <c r="T850" s="219"/>
      <c r="U850" s="219"/>
      <c r="V850" s="219"/>
      <c r="W850" s="219"/>
      <c r="X850" s="219"/>
      <c r="Y850" s="219"/>
      <c r="Z850" s="219"/>
    </row>
    <row r="851" spans="1:26" ht="15.75" customHeight="1">
      <c r="A851" s="253">
        <v>44796</v>
      </c>
      <c r="B851" s="224" t="s">
        <v>3487</v>
      </c>
      <c r="C851" s="316">
        <v>3.25</v>
      </c>
      <c r="D851" s="224" t="s">
        <v>11229</v>
      </c>
      <c r="E851" s="224" t="s">
        <v>5</v>
      </c>
      <c r="F851" s="224" t="s">
        <v>447</v>
      </c>
      <c r="G851" s="224" t="s">
        <v>11230</v>
      </c>
      <c r="H851" s="224">
        <v>3</v>
      </c>
      <c r="I851" s="224" t="s">
        <v>543</v>
      </c>
      <c r="J851" s="224" t="s">
        <v>13400</v>
      </c>
      <c r="K851" s="224">
        <v>3.5</v>
      </c>
      <c r="L851" s="224" t="s">
        <v>3493</v>
      </c>
      <c r="M851" s="224" t="s">
        <v>3494</v>
      </c>
      <c r="N851" s="224" t="s">
        <v>452</v>
      </c>
      <c r="O851" s="224" t="s">
        <v>1119</v>
      </c>
      <c r="P851" s="224"/>
      <c r="Q851" s="224" t="s">
        <v>24</v>
      </c>
      <c r="R851" s="254"/>
      <c r="S851" s="224"/>
      <c r="T851" s="224"/>
      <c r="U851" s="224"/>
      <c r="V851" s="224"/>
      <c r="W851" s="224"/>
      <c r="X851" s="224"/>
      <c r="Y851" s="224"/>
      <c r="Z851" s="224"/>
    </row>
    <row r="852" spans="1:26" ht="15.75" customHeight="1">
      <c r="A852" s="255">
        <v>44796</v>
      </c>
      <c r="B852" s="239" t="s">
        <v>3560</v>
      </c>
      <c r="C852" s="262">
        <v>3.25</v>
      </c>
      <c r="D852" s="239" t="s">
        <v>3563</v>
      </c>
      <c r="E852" s="239" t="s">
        <v>5</v>
      </c>
      <c r="F852" s="239" t="s">
        <v>488</v>
      </c>
      <c r="G852" s="239"/>
      <c r="H852" s="239">
        <v>3</v>
      </c>
      <c r="I852" s="239" t="s">
        <v>941</v>
      </c>
      <c r="J852" s="239" t="s">
        <v>3564</v>
      </c>
      <c r="K852" s="239">
        <v>3.5</v>
      </c>
      <c r="L852" s="239" t="s">
        <v>451</v>
      </c>
      <c r="M852" s="239">
        <v>22000000</v>
      </c>
      <c r="N852" s="239" t="s">
        <v>452</v>
      </c>
      <c r="O852" s="239" t="s">
        <v>3565</v>
      </c>
      <c r="P852" s="239"/>
      <c r="Q852" s="239" t="s">
        <v>24</v>
      </c>
      <c r="R852" s="256" t="s">
        <v>2341</v>
      </c>
      <c r="S852" s="239"/>
      <c r="T852" s="239"/>
      <c r="U852" s="239"/>
      <c r="V852" s="239"/>
      <c r="W852" s="239"/>
      <c r="X852" s="239"/>
      <c r="Y852" s="239"/>
      <c r="Z852" s="239"/>
    </row>
    <row r="853" spans="1:26" ht="15.75" customHeight="1">
      <c r="A853" s="253">
        <v>44796</v>
      </c>
      <c r="B853" s="224" t="s">
        <v>2224</v>
      </c>
      <c r="C853" s="316">
        <v>3.25</v>
      </c>
      <c r="D853" s="224"/>
      <c r="E853" s="224" t="s">
        <v>5</v>
      </c>
      <c r="F853" s="224" t="s">
        <v>447</v>
      </c>
      <c r="G853" s="224" t="s">
        <v>11264</v>
      </c>
      <c r="H853" s="224">
        <v>3</v>
      </c>
      <c r="I853" s="224" t="s">
        <v>449</v>
      </c>
      <c r="J853" s="224" t="s">
        <v>11265</v>
      </c>
      <c r="K853" s="224">
        <v>3.5</v>
      </c>
      <c r="L853" s="224" t="s">
        <v>2229</v>
      </c>
      <c r="M853" s="224" t="s">
        <v>2230</v>
      </c>
      <c r="N853" s="224" t="s">
        <v>465</v>
      </c>
      <c r="O853" s="224" t="s">
        <v>2231</v>
      </c>
      <c r="P853" s="224" t="s">
        <v>2232</v>
      </c>
      <c r="Q853" s="224" t="s">
        <v>24</v>
      </c>
      <c r="R853" s="254"/>
      <c r="S853" s="224"/>
      <c r="T853" s="224"/>
      <c r="U853" s="224"/>
      <c r="V853" s="224"/>
      <c r="W853" s="224"/>
      <c r="X853" s="224"/>
      <c r="Y853" s="224"/>
      <c r="Z853" s="224"/>
    </row>
    <row r="854" spans="1:26" ht="15.75" customHeight="1">
      <c r="A854" s="321">
        <v>44796</v>
      </c>
      <c r="B854" s="322" t="s">
        <v>9007</v>
      </c>
      <c r="C854" s="323">
        <v>3.25</v>
      </c>
      <c r="D854" s="322"/>
      <c r="E854" s="322" t="s">
        <v>3</v>
      </c>
      <c r="F854" s="322" t="s">
        <v>488</v>
      </c>
      <c r="G854" s="322"/>
      <c r="H854" s="322">
        <v>3</v>
      </c>
      <c r="I854" s="322" t="s">
        <v>462</v>
      </c>
      <c r="J854" s="322" t="s">
        <v>9010</v>
      </c>
      <c r="K854" s="322">
        <v>3.5</v>
      </c>
      <c r="L854" s="322" t="s">
        <v>2152</v>
      </c>
      <c r="M854" s="322" t="s">
        <v>9011</v>
      </c>
      <c r="N854" s="322" t="s">
        <v>452</v>
      </c>
      <c r="O854" s="322" t="s">
        <v>9012</v>
      </c>
      <c r="P854" s="322"/>
      <c r="Q854" s="219" t="s">
        <v>24</v>
      </c>
      <c r="R854" s="325"/>
      <c r="S854" s="322"/>
      <c r="T854" s="322"/>
      <c r="U854" s="322"/>
      <c r="V854" s="322"/>
      <c r="W854" s="322"/>
      <c r="X854" s="322"/>
      <c r="Y854" s="322"/>
      <c r="Z854" s="322"/>
    </row>
    <row r="855" spans="1:26" ht="15.75" customHeight="1">
      <c r="A855" s="253">
        <v>44796</v>
      </c>
      <c r="B855" s="224" t="s">
        <v>5227</v>
      </c>
      <c r="C855" s="316">
        <v>3.25</v>
      </c>
      <c r="D855" s="224"/>
      <c r="E855" s="224" t="s">
        <v>4</v>
      </c>
      <c r="F855" s="224" t="s">
        <v>725</v>
      </c>
      <c r="G855" s="224" t="s">
        <v>5230</v>
      </c>
      <c r="H855" s="224">
        <v>3.5</v>
      </c>
      <c r="I855" s="224" t="s">
        <v>1457</v>
      </c>
      <c r="J855" s="224" t="s">
        <v>5231</v>
      </c>
      <c r="K855" s="224">
        <v>3</v>
      </c>
      <c r="L855" s="224" t="s">
        <v>2190</v>
      </c>
      <c r="M855" s="224">
        <v>2000000</v>
      </c>
      <c r="N855" s="224" t="s">
        <v>465</v>
      </c>
      <c r="O855" s="224" t="s">
        <v>5232</v>
      </c>
      <c r="P855" s="224"/>
      <c r="Q855" s="224" t="s">
        <v>24</v>
      </c>
      <c r="R855" s="254"/>
      <c r="S855" s="224"/>
      <c r="T855" s="224"/>
      <c r="U855" s="224"/>
      <c r="V855" s="224"/>
      <c r="W855" s="224"/>
      <c r="X855" s="224"/>
      <c r="Y855" s="224"/>
      <c r="Z855" s="224"/>
    </row>
    <row r="856" spans="1:26" ht="15.75" customHeight="1">
      <c r="A856" s="248">
        <v>44796</v>
      </c>
      <c r="B856" s="219" t="s">
        <v>5104</v>
      </c>
      <c r="C856" s="315">
        <v>3.25</v>
      </c>
      <c r="D856" s="219" t="s">
        <v>5107</v>
      </c>
      <c r="E856" s="219" t="s">
        <v>4</v>
      </c>
      <c r="F856" s="219" t="s">
        <v>1045</v>
      </c>
      <c r="G856" s="219" t="s">
        <v>5108</v>
      </c>
      <c r="H856" s="219">
        <v>2.5</v>
      </c>
      <c r="I856" s="219" t="s">
        <v>1281</v>
      </c>
      <c r="J856" s="219" t="s">
        <v>5109</v>
      </c>
      <c r="K856" s="219">
        <v>4</v>
      </c>
      <c r="L856" s="219" t="s">
        <v>784</v>
      </c>
      <c r="M856" s="310">
        <v>150000</v>
      </c>
      <c r="N856" s="219" t="s">
        <v>452</v>
      </c>
      <c r="O856" s="219" t="s">
        <v>5110</v>
      </c>
      <c r="P856" s="219"/>
      <c r="Q856" s="219" t="s">
        <v>24</v>
      </c>
      <c r="R856" s="251"/>
      <c r="S856" s="219"/>
      <c r="T856" s="219"/>
      <c r="U856" s="219"/>
      <c r="V856" s="219"/>
      <c r="W856" s="219"/>
      <c r="X856" s="219"/>
      <c r="Y856" s="219"/>
      <c r="Z856" s="219"/>
    </row>
    <row r="857" spans="1:26" ht="15.75" customHeight="1">
      <c r="A857" s="255">
        <v>44796</v>
      </c>
      <c r="B857" s="239" t="s">
        <v>2203</v>
      </c>
      <c r="C857" s="262">
        <v>3.25</v>
      </c>
      <c r="D857" s="239" t="s">
        <v>10337</v>
      </c>
      <c r="E857" s="239" t="s">
        <v>5</v>
      </c>
      <c r="F857" s="239" t="s">
        <v>460</v>
      </c>
      <c r="G857" s="239" t="s">
        <v>2207</v>
      </c>
      <c r="H857" s="239">
        <v>3.5</v>
      </c>
      <c r="I857" s="239" t="s">
        <v>941</v>
      </c>
      <c r="J857" s="239" t="s">
        <v>2208</v>
      </c>
      <c r="K857" s="239">
        <v>3</v>
      </c>
      <c r="L857" s="239" t="s">
        <v>2209</v>
      </c>
      <c r="M857" s="239">
        <v>10000000</v>
      </c>
      <c r="N857" s="239" t="s">
        <v>452</v>
      </c>
      <c r="O857" s="239" t="s">
        <v>10338</v>
      </c>
      <c r="P857" s="239"/>
      <c r="Q857" s="239" t="s">
        <v>24</v>
      </c>
      <c r="R857" s="256" t="s">
        <v>11734</v>
      </c>
      <c r="S857" s="239"/>
      <c r="T857" s="239"/>
      <c r="U857" s="239"/>
      <c r="V857" s="239"/>
      <c r="W857" s="239"/>
      <c r="X857" s="239"/>
      <c r="Y857" s="239"/>
      <c r="Z857" s="239"/>
    </row>
    <row r="858" spans="1:26" ht="15.75" customHeight="1">
      <c r="A858" s="248">
        <v>44796</v>
      </c>
      <c r="B858" s="219" t="s">
        <v>3011</v>
      </c>
      <c r="C858" s="315">
        <v>3.25</v>
      </c>
      <c r="D858" s="219" t="s">
        <v>3014</v>
      </c>
      <c r="E858" s="219" t="s">
        <v>5</v>
      </c>
      <c r="F858" s="219" t="s">
        <v>447</v>
      </c>
      <c r="G858" s="219" t="s">
        <v>11105</v>
      </c>
      <c r="H858" s="219">
        <v>3</v>
      </c>
      <c r="I858" s="219" t="s">
        <v>622</v>
      </c>
      <c r="J858" s="219" t="e">
        <f>+ apply next time, Could be a good fit</f>
        <v>#NAME?</v>
      </c>
      <c r="K858" s="219">
        <v>3.5</v>
      </c>
      <c r="L858" s="219"/>
      <c r="M858" s="219"/>
      <c r="N858" s="219" t="s">
        <v>452</v>
      </c>
      <c r="O858" s="219" t="s">
        <v>452</v>
      </c>
      <c r="P858" s="219"/>
      <c r="Q858" s="219" t="s">
        <v>24</v>
      </c>
      <c r="R858" s="251"/>
      <c r="S858" s="219"/>
      <c r="T858" s="219"/>
      <c r="U858" s="219"/>
      <c r="V858" s="219"/>
      <c r="W858" s="219"/>
      <c r="X858" s="219"/>
      <c r="Y858" s="219"/>
      <c r="Z858" s="219"/>
    </row>
    <row r="859" spans="1:26" ht="15.75" customHeight="1">
      <c r="A859" s="253">
        <v>44796</v>
      </c>
      <c r="B859" s="224" t="s">
        <v>5442</v>
      </c>
      <c r="C859" s="316">
        <v>3</v>
      </c>
      <c r="D859" s="224" t="s">
        <v>5445</v>
      </c>
      <c r="E859" s="224" t="s">
        <v>4</v>
      </c>
      <c r="F859" s="224" t="s">
        <v>1045</v>
      </c>
      <c r="G859" s="224" t="s">
        <v>5446</v>
      </c>
      <c r="H859" s="224">
        <v>3</v>
      </c>
      <c r="I859" s="224" t="s">
        <v>604</v>
      </c>
      <c r="J859" s="224" t="s">
        <v>10192</v>
      </c>
      <c r="K859" s="224">
        <v>3</v>
      </c>
      <c r="L859" s="224"/>
      <c r="M859" s="224">
        <v>700000</v>
      </c>
      <c r="N859" s="224" t="s">
        <v>452</v>
      </c>
      <c r="O859" s="224" t="s">
        <v>5448</v>
      </c>
      <c r="P859" s="224"/>
      <c r="Q859" s="224" t="s">
        <v>24</v>
      </c>
      <c r="R859" s="254"/>
      <c r="S859" s="224"/>
      <c r="T859" s="224"/>
      <c r="U859" s="224"/>
      <c r="V859" s="224"/>
      <c r="W859" s="224"/>
      <c r="X859" s="224"/>
      <c r="Y859" s="224"/>
      <c r="Z859" s="224"/>
    </row>
    <row r="860" spans="1:26" ht="15.75" customHeight="1">
      <c r="A860" s="248">
        <v>44796</v>
      </c>
      <c r="B860" s="219" t="s">
        <v>5458</v>
      </c>
      <c r="C860" s="315">
        <v>3</v>
      </c>
      <c r="D860" s="219" t="s">
        <v>5461</v>
      </c>
      <c r="E860" s="219" t="s">
        <v>4</v>
      </c>
      <c r="F860" s="219" t="s">
        <v>1045</v>
      </c>
      <c r="G860" s="219" t="s">
        <v>5462</v>
      </c>
      <c r="H860" s="219">
        <v>3</v>
      </c>
      <c r="I860" s="219" t="s">
        <v>604</v>
      </c>
      <c r="J860" s="219" t="s">
        <v>10198</v>
      </c>
      <c r="K860" s="219">
        <v>3</v>
      </c>
      <c r="L860" s="219" t="s">
        <v>784</v>
      </c>
      <c r="M860" s="310">
        <v>2000000</v>
      </c>
      <c r="N860" s="219" t="s">
        <v>452</v>
      </c>
      <c r="O860" s="219" t="s">
        <v>5464</v>
      </c>
      <c r="P860" s="219" t="s">
        <v>5465</v>
      </c>
      <c r="Q860" s="219" t="s">
        <v>24</v>
      </c>
      <c r="R860" s="251"/>
      <c r="S860" s="219"/>
      <c r="T860" s="219"/>
      <c r="U860" s="219"/>
      <c r="V860" s="219"/>
      <c r="W860" s="219"/>
      <c r="X860" s="219"/>
      <c r="Y860" s="219"/>
      <c r="Z860" s="219"/>
    </row>
    <row r="861" spans="1:26" ht="15.75" customHeight="1">
      <c r="A861" s="253">
        <v>44796</v>
      </c>
      <c r="B861" s="224" t="s">
        <v>10240</v>
      </c>
      <c r="C861" s="316">
        <v>3</v>
      </c>
      <c r="D861" s="224" t="s">
        <v>5405</v>
      </c>
      <c r="E861" s="224" t="s">
        <v>4</v>
      </c>
      <c r="F861" s="224" t="s">
        <v>1457</v>
      </c>
      <c r="G861" s="224" t="s">
        <v>10241</v>
      </c>
      <c r="H861" s="224">
        <v>4</v>
      </c>
      <c r="I861" s="224" t="s">
        <v>1054</v>
      </c>
      <c r="J861" s="224" t="s">
        <v>5407</v>
      </c>
      <c r="K861" s="224">
        <v>2</v>
      </c>
      <c r="L861" s="224" t="s">
        <v>478</v>
      </c>
      <c r="M861" s="224" t="s">
        <v>5408</v>
      </c>
      <c r="N861" s="224" t="s">
        <v>452</v>
      </c>
      <c r="O861" s="224" t="s">
        <v>10242</v>
      </c>
      <c r="P861" s="224" t="s">
        <v>602</v>
      </c>
      <c r="Q861" s="224" t="s">
        <v>24</v>
      </c>
      <c r="R861" s="254"/>
      <c r="S861" s="224"/>
      <c r="T861" s="224"/>
      <c r="U861" s="224"/>
      <c r="V861" s="224"/>
      <c r="W861" s="224"/>
      <c r="X861" s="224"/>
      <c r="Y861" s="224"/>
      <c r="Z861" s="224"/>
    </row>
    <row r="862" spans="1:26" ht="15.75" customHeight="1">
      <c r="A862" s="255">
        <v>44796</v>
      </c>
      <c r="B862" s="239" t="s">
        <v>3497</v>
      </c>
      <c r="C862" s="262">
        <v>3</v>
      </c>
      <c r="D862" s="239" t="s">
        <v>3500</v>
      </c>
      <c r="E862" s="239" t="s">
        <v>5</v>
      </c>
      <c r="F862" s="239" t="s">
        <v>488</v>
      </c>
      <c r="G862" s="239" t="s">
        <v>3501</v>
      </c>
      <c r="H862" s="239">
        <v>3</v>
      </c>
      <c r="I862" s="239" t="s">
        <v>941</v>
      </c>
      <c r="J862" s="239" t="s">
        <v>3502</v>
      </c>
      <c r="K862" s="239">
        <v>3</v>
      </c>
      <c r="L862" s="239"/>
      <c r="M862" s="239"/>
      <c r="N862" s="239" t="s">
        <v>452</v>
      </c>
      <c r="O862" s="239" t="s">
        <v>3503</v>
      </c>
      <c r="P862" s="239" t="s">
        <v>3504</v>
      </c>
      <c r="Q862" s="239" t="s">
        <v>24</v>
      </c>
      <c r="R862" s="256"/>
      <c r="S862" s="239"/>
      <c r="T862" s="239"/>
      <c r="U862" s="239"/>
      <c r="V862" s="239"/>
      <c r="W862" s="239"/>
      <c r="X862" s="239"/>
      <c r="Y862" s="239"/>
      <c r="Z862" s="239"/>
    </row>
    <row r="863" spans="1:26" ht="15.75" customHeight="1">
      <c r="A863" s="257">
        <v>44796</v>
      </c>
      <c r="B863" s="258" t="s">
        <v>8695</v>
      </c>
      <c r="C863" s="263">
        <v>3</v>
      </c>
      <c r="D863" s="258" t="s">
        <v>10373</v>
      </c>
      <c r="E863" s="258" t="s">
        <v>3</v>
      </c>
      <c r="F863" s="258" t="s">
        <v>488</v>
      </c>
      <c r="G863" s="258" t="s">
        <v>8699</v>
      </c>
      <c r="H863" s="258">
        <v>3</v>
      </c>
      <c r="I863" s="258" t="s">
        <v>941</v>
      </c>
      <c r="J863" s="258"/>
      <c r="K863" s="258">
        <v>3</v>
      </c>
      <c r="L863" s="258" t="s">
        <v>8700</v>
      </c>
      <c r="M863" s="258" t="s">
        <v>8701</v>
      </c>
      <c r="N863" s="258" t="s">
        <v>452</v>
      </c>
      <c r="O863" s="258" t="s">
        <v>452</v>
      </c>
      <c r="P863" s="258"/>
      <c r="Q863" s="258" t="s">
        <v>24</v>
      </c>
      <c r="R863" s="259" t="s">
        <v>11735</v>
      </c>
      <c r="S863" s="258"/>
      <c r="T863" s="258"/>
      <c r="U863" s="258"/>
      <c r="V863" s="258"/>
      <c r="W863" s="258"/>
      <c r="X863" s="258"/>
      <c r="Y863" s="258"/>
      <c r="Z863" s="258"/>
    </row>
    <row r="864" spans="1:26" ht="15.75" customHeight="1">
      <c r="A864" s="248">
        <v>44796</v>
      </c>
      <c r="B864" s="219" t="s">
        <v>5420</v>
      </c>
      <c r="C864" s="315">
        <v>3</v>
      </c>
      <c r="D864" s="219" t="s">
        <v>10374</v>
      </c>
      <c r="E864" s="219" t="s">
        <v>4</v>
      </c>
      <c r="F864" s="219" t="s">
        <v>725</v>
      </c>
      <c r="G864" s="219" t="s">
        <v>5424</v>
      </c>
      <c r="H864" s="219">
        <v>3</v>
      </c>
      <c r="I864" s="219" t="s">
        <v>1073</v>
      </c>
      <c r="J864" s="219"/>
      <c r="K864" s="219">
        <v>3</v>
      </c>
      <c r="L864" s="219" t="s">
        <v>451</v>
      </c>
      <c r="M864" s="219">
        <v>1000000</v>
      </c>
      <c r="N864" s="219" t="s">
        <v>452</v>
      </c>
      <c r="O864" s="219" t="s">
        <v>10375</v>
      </c>
      <c r="P864" s="219"/>
      <c r="Q864" s="219" t="s">
        <v>24</v>
      </c>
      <c r="R864" s="251"/>
      <c r="S864" s="219"/>
      <c r="T864" s="219"/>
      <c r="U864" s="219"/>
      <c r="V864" s="219"/>
      <c r="W864" s="219"/>
      <c r="X864" s="219"/>
      <c r="Y864" s="219"/>
      <c r="Z864" s="219"/>
    </row>
    <row r="865" spans="1:26" ht="15.75" customHeight="1">
      <c r="A865" s="253">
        <v>44796</v>
      </c>
      <c r="B865" s="224" t="s">
        <v>5378</v>
      </c>
      <c r="C865" s="316">
        <v>3</v>
      </c>
      <c r="D865" s="224" t="s">
        <v>5381</v>
      </c>
      <c r="E865" s="224" t="s">
        <v>4</v>
      </c>
      <c r="F865" s="224" t="s">
        <v>727</v>
      </c>
      <c r="G865" s="224" t="s">
        <v>10409</v>
      </c>
      <c r="H865" s="224">
        <v>3</v>
      </c>
      <c r="I865" s="224" t="s">
        <v>1036</v>
      </c>
      <c r="J865" s="224"/>
      <c r="K865" s="224">
        <v>3</v>
      </c>
      <c r="L865" s="224" t="s">
        <v>451</v>
      </c>
      <c r="M865" s="224">
        <v>4000000</v>
      </c>
      <c r="N865" s="224" t="s">
        <v>465</v>
      </c>
      <c r="O865" s="224" t="s">
        <v>3420</v>
      </c>
      <c r="P865" s="224"/>
      <c r="Q865" s="224" t="s">
        <v>24</v>
      </c>
      <c r="R865" s="254"/>
      <c r="S865" s="224"/>
      <c r="T865" s="224"/>
      <c r="U865" s="224"/>
      <c r="V865" s="224"/>
      <c r="W865" s="224"/>
      <c r="X865" s="224"/>
      <c r="Y865" s="224"/>
      <c r="Z865" s="224"/>
    </row>
    <row r="866" spans="1:26" ht="15.75" customHeight="1">
      <c r="A866" s="248">
        <v>44796</v>
      </c>
      <c r="B866" s="219" t="s">
        <v>5791</v>
      </c>
      <c r="C866" s="315">
        <v>3</v>
      </c>
      <c r="D866" s="219" t="s">
        <v>5794</v>
      </c>
      <c r="E866" s="219" t="s">
        <v>4</v>
      </c>
      <c r="F866" s="219" t="s">
        <v>1457</v>
      </c>
      <c r="G866" s="219" t="s">
        <v>5795</v>
      </c>
      <c r="H866" s="219">
        <v>3</v>
      </c>
      <c r="I866" s="219" t="s">
        <v>1045</v>
      </c>
      <c r="J866" s="219" t="s">
        <v>5796</v>
      </c>
      <c r="K866" s="219">
        <v>3</v>
      </c>
      <c r="L866" s="219" t="s">
        <v>451</v>
      </c>
      <c r="M866" s="310">
        <v>4000000</v>
      </c>
      <c r="N866" s="219" t="s">
        <v>452</v>
      </c>
      <c r="O866" s="219" t="s">
        <v>5797</v>
      </c>
      <c r="P866" s="219"/>
      <c r="Q866" s="219" t="s">
        <v>24</v>
      </c>
      <c r="R866" s="251"/>
      <c r="S866" s="219"/>
      <c r="T866" s="219"/>
      <c r="U866" s="219"/>
      <c r="V866" s="219"/>
      <c r="W866" s="219"/>
      <c r="X866" s="219"/>
      <c r="Y866" s="219"/>
      <c r="Z866" s="219"/>
    </row>
    <row r="867" spans="1:26" ht="15.75" customHeight="1">
      <c r="A867" s="253">
        <v>44796</v>
      </c>
      <c r="B867" s="224" t="s">
        <v>5412</v>
      </c>
      <c r="C867" s="316">
        <v>3</v>
      </c>
      <c r="D867" s="224" t="s">
        <v>5415</v>
      </c>
      <c r="E867" s="224" t="s">
        <v>4</v>
      </c>
      <c r="F867" s="224" t="s">
        <v>727</v>
      </c>
      <c r="G867" s="224" t="s">
        <v>10423</v>
      </c>
      <c r="H867" s="224">
        <v>3</v>
      </c>
      <c r="I867" s="224" t="s">
        <v>1073</v>
      </c>
      <c r="J867" s="224"/>
      <c r="K867" s="224">
        <v>3</v>
      </c>
      <c r="L867" s="224" t="s">
        <v>451</v>
      </c>
      <c r="M867" s="224" t="s">
        <v>3473</v>
      </c>
      <c r="N867" s="224" t="s">
        <v>465</v>
      </c>
      <c r="O867" s="224" t="s">
        <v>10424</v>
      </c>
      <c r="P867" s="224"/>
      <c r="Q867" s="224" t="s">
        <v>24</v>
      </c>
      <c r="R867" s="254"/>
      <c r="S867" s="224"/>
      <c r="T867" s="224"/>
      <c r="U867" s="224"/>
      <c r="V867" s="224"/>
      <c r="W867" s="224"/>
      <c r="X867" s="224"/>
      <c r="Y867" s="224"/>
      <c r="Z867" s="224"/>
    </row>
    <row r="868" spans="1:26" ht="15.75" customHeight="1">
      <c r="A868" s="248">
        <v>44796</v>
      </c>
      <c r="B868" s="219" t="s">
        <v>5652</v>
      </c>
      <c r="C868" s="315">
        <v>3</v>
      </c>
      <c r="D868" s="219" t="s">
        <v>5655</v>
      </c>
      <c r="E868" s="219" t="s">
        <v>4</v>
      </c>
      <c r="F868" s="219" t="s">
        <v>1045</v>
      </c>
      <c r="G868" s="219" t="s">
        <v>5656</v>
      </c>
      <c r="H868" s="219">
        <v>3</v>
      </c>
      <c r="I868" s="219" t="s">
        <v>1281</v>
      </c>
      <c r="J868" s="219" t="s">
        <v>5657</v>
      </c>
      <c r="K868" s="219">
        <v>3</v>
      </c>
      <c r="L868" s="219" t="s">
        <v>923</v>
      </c>
      <c r="M868" s="219" t="s">
        <v>5658</v>
      </c>
      <c r="N868" s="219" t="s">
        <v>465</v>
      </c>
      <c r="O868" s="219" t="s">
        <v>452</v>
      </c>
      <c r="P868" s="219"/>
      <c r="Q868" s="219" t="s">
        <v>24</v>
      </c>
      <c r="R868" s="251"/>
      <c r="S868" s="219"/>
      <c r="T868" s="219"/>
      <c r="U868" s="219"/>
      <c r="V868" s="219"/>
      <c r="W868" s="219"/>
      <c r="X868" s="219"/>
      <c r="Y868" s="219"/>
      <c r="Z868" s="219"/>
    </row>
    <row r="869" spans="1:26" ht="15.75" customHeight="1">
      <c r="A869" s="253">
        <v>44796</v>
      </c>
      <c r="B869" s="224" t="s">
        <v>5326</v>
      </c>
      <c r="C869" s="316">
        <v>3</v>
      </c>
      <c r="D869" s="224" t="s">
        <v>5329</v>
      </c>
      <c r="E869" s="224" t="s">
        <v>4</v>
      </c>
      <c r="F869" s="224" t="s">
        <v>725</v>
      </c>
      <c r="G869" s="224" t="s">
        <v>5330</v>
      </c>
      <c r="H869" s="224">
        <v>2</v>
      </c>
      <c r="I869" s="224" t="s">
        <v>990</v>
      </c>
      <c r="J869" s="224" t="s">
        <v>5331</v>
      </c>
      <c r="K869" s="224">
        <v>4</v>
      </c>
      <c r="L869" s="224" t="s">
        <v>973</v>
      </c>
      <c r="M869" s="224" t="s">
        <v>5332</v>
      </c>
      <c r="N869" s="224" t="s">
        <v>452</v>
      </c>
      <c r="O869" s="224" t="s">
        <v>5333</v>
      </c>
      <c r="P869" s="224"/>
      <c r="Q869" s="224" t="s">
        <v>24</v>
      </c>
      <c r="R869" s="254"/>
      <c r="S869" s="224"/>
      <c r="T869" s="224"/>
      <c r="U869" s="224"/>
      <c r="V869" s="224"/>
      <c r="W869" s="224"/>
      <c r="X869" s="224"/>
      <c r="Y869" s="224"/>
      <c r="Z869" s="224"/>
    </row>
    <row r="870" spans="1:26" ht="15.75" customHeight="1">
      <c r="A870" s="248">
        <v>44796</v>
      </c>
      <c r="B870" s="219" t="s">
        <v>5590</v>
      </c>
      <c r="C870" s="315">
        <v>3</v>
      </c>
      <c r="D870" s="219" t="s">
        <v>5593</v>
      </c>
      <c r="E870" s="219" t="s">
        <v>4</v>
      </c>
      <c r="F870" s="219" t="s">
        <v>725</v>
      </c>
      <c r="G870" s="219" t="s">
        <v>5594</v>
      </c>
      <c r="H870" s="219">
        <v>2</v>
      </c>
      <c r="I870" s="219" t="s">
        <v>1281</v>
      </c>
      <c r="J870" s="219" t="s">
        <v>5595</v>
      </c>
      <c r="K870" s="219">
        <v>4</v>
      </c>
      <c r="L870" s="219" t="s">
        <v>5596</v>
      </c>
      <c r="M870" s="219" t="s">
        <v>5597</v>
      </c>
      <c r="N870" s="219" t="s">
        <v>452</v>
      </c>
      <c r="O870" s="219" t="s">
        <v>452</v>
      </c>
      <c r="P870" s="219" t="s">
        <v>725</v>
      </c>
      <c r="Q870" s="219" t="s">
        <v>24</v>
      </c>
      <c r="R870" s="251"/>
      <c r="S870" s="219"/>
      <c r="T870" s="219"/>
      <c r="U870" s="219"/>
      <c r="V870" s="219"/>
      <c r="W870" s="219"/>
      <c r="X870" s="219"/>
      <c r="Y870" s="219"/>
      <c r="Z870" s="219"/>
    </row>
    <row r="871" spans="1:26" ht="15.75" customHeight="1">
      <c r="A871" s="253">
        <v>44796</v>
      </c>
      <c r="B871" s="224" t="s">
        <v>5783</v>
      </c>
      <c r="C871" s="316">
        <v>3</v>
      </c>
      <c r="D871" s="224" t="s">
        <v>5786</v>
      </c>
      <c r="E871" s="224" t="s">
        <v>4</v>
      </c>
      <c r="F871" s="224" t="s">
        <v>727</v>
      </c>
      <c r="G871" s="224"/>
      <c r="H871" s="224">
        <v>3</v>
      </c>
      <c r="I871" s="224" t="s">
        <v>1045</v>
      </c>
      <c r="J871" s="224" t="s">
        <v>5787</v>
      </c>
      <c r="K871" s="224">
        <v>3</v>
      </c>
      <c r="L871" s="224" t="s">
        <v>784</v>
      </c>
      <c r="M871" s="311">
        <v>205000</v>
      </c>
      <c r="N871" s="224" t="s">
        <v>465</v>
      </c>
      <c r="O871" s="224" t="s">
        <v>10545</v>
      </c>
      <c r="P871" s="224"/>
      <c r="Q871" s="224" t="s">
        <v>24</v>
      </c>
      <c r="R871" s="254"/>
      <c r="S871" s="224"/>
      <c r="T871" s="224"/>
      <c r="U871" s="224"/>
      <c r="V871" s="224"/>
      <c r="W871" s="224"/>
      <c r="X871" s="224"/>
      <c r="Y871" s="224"/>
      <c r="Z871" s="224"/>
    </row>
    <row r="872" spans="1:26" ht="15.75" customHeight="1">
      <c r="A872" s="255">
        <v>44796</v>
      </c>
      <c r="B872" s="239" t="s">
        <v>9051</v>
      </c>
      <c r="C872" s="262">
        <v>3</v>
      </c>
      <c r="D872" s="239" t="s">
        <v>9054</v>
      </c>
      <c r="E872" s="239" t="s">
        <v>3</v>
      </c>
      <c r="F872" s="239" t="s">
        <v>460</v>
      </c>
      <c r="G872" s="239" t="s">
        <v>10743</v>
      </c>
      <c r="H872" s="239">
        <v>3</v>
      </c>
      <c r="I872" s="239" t="s">
        <v>462</v>
      </c>
      <c r="J872" s="239" t="s">
        <v>9056</v>
      </c>
      <c r="K872" s="239">
        <v>3</v>
      </c>
      <c r="L872" s="239" t="s">
        <v>451</v>
      </c>
      <c r="M872" s="239">
        <v>1000000</v>
      </c>
      <c r="N872" s="239" t="s">
        <v>452</v>
      </c>
      <c r="O872" s="239" t="s">
        <v>9057</v>
      </c>
      <c r="P872" s="239"/>
      <c r="Q872" s="239" t="s">
        <v>24</v>
      </c>
      <c r="R872" s="256" t="s">
        <v>1477</v>
      </c>
      <c r="S872" s="239"/>
      <c r="T872" s="239"/>
      <c r="U872" s="239"/>
      <c r="V872" s="239"/>
      <c r="W872" s="239"/>
      <c r="X872" s="239"/>
      <c r="Y872" s="239"/>
      <c r="Z872" s="239"/>
    </row>
    <row r="873" spans="1:26" ht="15.75" customHeight="1">
      <c r="A873" s="253">
        <v>44796</v>
      </c>
      <c r="B873" s="224" t="s">
        <v>8580</v>
      </c>
      <c r="C873" s="316">
        <v>3</v>
      </c>
      <c r="D873" s="224" t="s">
        <v>8583</v>
      </c>
      <c r="E873" s="224" t="s">
        <v>3</v>
      </c>
      <c r="F873" s="224" t="s">
        <v>488</v>
      </c>
      <c r="G873" s="224" t="s">
        <v>10824</v>
      </c>
      <c r="H873" s="224">
        <v>3</v>
      </c>
      <c r="I873" s="224" t="s">
        <v>462</v>
      </c>
      <c r="J873" s="224" t="s">
        <v>8585</v>
      </c>
      <c r="K873" s="224">
        <v>3</v>
      </c>
      <c r="L873" s="224" t="s">
        <v>1578</v>
      </c>
      <c r="M873" s="224" t="s">
        <v>6241</v>
      </c>
      <c r="N873" s="224" t="s">
        <v>452</v>
      </c>
      <c r="O873" s="224" t="s">
        <v>10825</v>
      </c>
      <c r="P873" s="224"/>
      <c r="Q873" s="224" t="s">
        <v>24</v>
      </c>
      <c r="R873" s="254"/>
      <c r="S873" s="224"/>
      <c r="T873" s="224"/>
      <c r="U873" s="224"/>
      <c r="V873" s="224"/>
      <c r="W873" s="224"/>
      <c r="X873" s="224"/>
      <c r="Y873" s="224"/>
      <c r="Z873" s="224"/>
    </row>
    <row r="874" spans="1:26" ht="15.75" customHeight="1">
      <c r="A874" s="248">
        <v>44796</v>
      </c>
      <c r="B874" s="219" t="s">
        <v>5393</v>
      </c>
      <c r="C874" s="315">
        <v>3</v>
      </c>
      <c r="D874" s="219" t="s">
        <v>10828</v>
      </c>
      <c r="E874" s="219" t="s">
        <v>4</v>
      </c>
      <c r="F874" s="219" t="s">
        <v>725</v>
      </c>
      <c r="G874" s="219" t="s">
        <v>5397</v>
      </c>
      <c r="H874" s="219">
        <v>3</v>
      </c>
      <c r="I874" s="219" t="s">
        <v>1073</v>
      </c>
      <c r="J874" s="219" t="s">
        <v>5398</v>
      </c>
      <c r="K874" s="219">
        <v>3</v>
      </c>
      <c r="L874" s="219" t="s">
        <v>478</v>
      </c>
      <c r="M874" s="310">
        <v>10000000</v>
      </c>
      <c r="N874" s="219" t="s">
        <v>452</v>
      </c>
      <c r="O874" s="219" t="s">
        <v>5399</v>
      </c>
      <c r="P874" s="219"/>
      <c r="Q874" s="219" t="s">
        <v>24</v>
      </c>
      <c r="R874" s="251"/>
      <c r="S874" s="219"/>
      <c r="T874" s="219"/>
      <c r="U874" s="219"/>
      <c r="V874" s="219"/>
      <c r="W874" s="219"/>
      <c r="X874" s="219"/>
      <c r="Y874" s="219"/>
      <c r="Z874" s="219"/>
    </row>
    <row r="875" spans="1:26" ht="15.75" customHeight="1">
      <c r="A875" s="253">
        <v>44796</v>
      </c>
      <c r="B875" s="224" t="s">
        <v>5625</v>
      </c>
      <c r="C875" s="316">
        <v>3</v>
      </c>
      <c r="D875" s="224" t="s">
        <v>5628</v>
      </c>
      <c r="E875" s="224" t="s">
        <v>4</v>
      </c>
      <c r="F875" s="224" t="s">
        <v>602</v>
      </c>
      <c r="G875" s="224" t="s">
        <v>5629</v>
      </c>
      <c r="H875" s="224">
        <v>2</v>
      </c>
      <c r="I875" s="224" t="s">
        <v>1281</v>
      </c>
      <c r="J875" s="224" t="s">
        <v>5630</v>
      </c>
      <c r="K875" s="224">
        <v>4</v>
      </c>
      <c r="L875" s="224" t="s">
        <v>784</v>
      </c>
      <c r="M875" s="224" t="s">
        <v>5631</v>
      </c>
      <c r="N875" s="224" t="s">
        <v>452</v>
      </c>
      <c r="O875" s="224" t="s">
        <v>5632</v>
      </c>
      <c r="P875" s="224"/>
      <c r="Q875" s="224" t="s">
        <v>24</v>
      </c>
      <c r="R875" s="254"/>
      <c r="S875" s="224"/>
      <c r="T875" s="224"/>
      <c r="U875" s="224"/>
      <c r="V875" s="224"/>
      <c r="W875" s="224"/>
      <c r="X875" s="224"/>
      <c r="Y875" s="224"/>
      <c r="Z875" s="224"/>
    </row>
    <row r="876" spans="1:26" ht="15.75" customHeight="1">
      <c r="A876" s="248">
        <v>44796</v>
      </c>
      <c r="B876" s="219" t="s">
        <v>5733</v>
      </c>
      <c r="C876" s="315">
        <v>3</v>
      </c>
      <c r="D876" s="219" t="s">
        <v>5736</v>
      </c>
      <c r="E876" s="219" t="s">
        <v>4</v>
      </c>
      <c r="F876" s="219" t="s">
        <v>725</v>
      </c>
      <c r="G876" s="219" t="s">
        <v>10922</v>
      </c>
      <c r="H876" s="219">
        <v>4</v>
      </c>
      <c r="I876" s="219" t="s">
        <v>1457</v>
      </c>
      <c r="J876" s="219" t="s">
        <v>5738</v>
      </c>
      <c r="K876" s="219">
        <v>2</v>
      </c>
      <c r="L876" s="219"/>
      <c r="M876" s="219"/>
      <c r="N876" s="219" t="s">
        <v>454</v>
      </c>
      <c r="O876" s="219" t="s">
        <v>452</v>
      </c>
      <c r="P876" s="219"/>
      <c r="Q876" s="219" t="s">
        <v>24</v>
      </c>
      <c r="R876" s="251"/>
      <c r="S876" s="219"/>
      <c r="T876" s="219"/>
      <c r="U876" s="219"/>
      <c r="V876" s="219"/>
      <c r="W876" s="219"/>
      <c r="X876" s="219"/>
      <c r="Y876" s="219"/>
      <c r="Z876" s="219"/>
    </row>
    <row r="877" spans="1:26" ht="15.75" customHeight="1">
      <c r="A877" s="253">
        <v>44796</v>
      </c>
      <c r="B877" s="224" t="s">
        <v>5346</v>
      </c>
      <c r="C877" s="316">
        <v>3</v>
      </c>
      <c r="D877" s="224" t="s">
        <v>5349</v>
      </c>
      <c r="E877" s="224" t="s">
        <v>4</v>
      </c>
      <c r="F877" s="224" t="s">
        <v>725</v>
      </c>
      <c r="G877" s="224" t="s">
        <v>10946</v>
      </c>
      <c r="H877" s="224">
        <v>2</v>
      </c>
      <c r="I877" s="224" t="s">
        <v>990</v>
      </c>
      <c r="J877" s="224"/>
      <c r="K877" s="224">
        <v>4</v>
      </c>
      <c r="L877" s="224" t="s">
        <v>784</v>
      </c>
      <c r="M877" s="224">
        <v>250000</v>
      </c>
      <c r="N877" s="224" t="s">
        <v>452</v>
      </c>
      <c r="O877" s="224" t="s">
        <v>10947</v>
      </c>
      <c r="P877" s="224"/>
      <c r="Q877" s="224" t="s">
        <v>24</v>
      </c>
      <c r="R877" s="254"/>
      <c r="S877" s="224"/>
      <c r="T877" s="224"/>
      <c r="U877" s="224"/>
      <c r="V877" s="224"/>
      <c r="W877" s="224"/>
      <c r="X877" s="224"/>
      <c r="Y877" s="224"/>
      <c r="Z877" s="224"/>
    </row>
    <row r="878" spans="1:26" ht="15.75" customHeight="1">
      <c r="A878" s="248">
        <v>44796</v>
      </c>
      <c r="B878" s="219" t="s">
        <v>2607</v>
      </c>
      <c r="C878" s="315">
        <v>3</v>
      </c>
      <c r="D878" s="219" t="s">
        <v>2610</v>
      </c>
      <c r="E878" s="219" t="s">
        <v>5</v>
      </c>
      <c r="F878" s="219" t="s">
        <v>447</v>
      </c>
      <c r="G878" s="219" t="s">
        <v>10971</v>
      </c>
      <c r="H878" s="219">
        <v>3</v>
      </c>
      <c r="I878" s="219" t="s">
        <v>449</v>
      </c>
      <c r="J878" s="219" t="s">
        <v>10972</v>
      </c>
      <c r="K878" s="219">
        <v>3</v>
      </c>
      <c r="L878" s="219" t="s">
        <v>451</v>
      </c>
      <c r="M878" s="219">
        <v>1500000</v>
      </c>
      <c r="N878" s="219" t="s">
        <v>452</v>
      </c>
      <c r="O878" s="219" t="s">
        <v>10973</v>
      </c>
      <c r="P878" s="219"/>
      <c r="Q878" s="219" t="s">
        <v>24</v>
      </c>
      <c r="R878" s="251"/>
      <c r="S878" s="219"/>
      <c r="T878" s="219"/>
      <c r="U878" s="219"/>
      <c r="V878" s="219"/>
      <c r="W878" s="219"/>
      <c r="X878" s="219"/>
      <c r="Y878" s="219"/>
      <c r="Z878" s="219"/>
    </row>
    <row r="879" spans="1:26" ht="15.75" customHeight="1">
      <c r="A879" s="253">
        <v>44796</v>
      </c>
      <c r="B879" s="224" t="s">
        <v>5582</v>
      </c>
      <c r="C879" s="316">
        <v>3</v>
      </c>
      <c r="D879" s="224" t="s">
        <v>5585</v>
      </c>
      <c r="E879" s="224" t="s">
        <v>4</v>
      </c>
      <c r="F879" s="224" t="s">
        <v>725</v>
      </c>
      <c r="G879" s="224" t="s">
        <v>11022</v>
      </c>
      <c r="H879" s="224">
        <v>4</v>
      </c>
      <c r="I879" s="224" t="s">
        <v>1237</v>
      </c>
      <c r="J879" s="224"/>
      <c r="K879" s="224">
        <v>2</v>
      </c>
      <c r="L879" s="224" t="s">
        <v>451</v>
      </c>
      <c r="M879" s="224">
        <v>3000000</v>
      </c>
      <c r="N879" s="224" t="s">
        <v>452</v>
      </c>
      <c r="O879" s="224" t="s">
        <v>5587</v>
      </c>
      <c r="P879" s="224"/>
      <c r="Q879" s="224" t="s">
        <v>24</v>
      </c>
      <c r="R879" s="254"/>
      <c r="S879" s="224"/>
      <c r="T879" s="224"/>
      <c r="U879" s="224"/>
      <c r="V879" s="224"/>
      <c r="W879" s="224"/>
      <c r="X879" s="224"/>
      <c r="Y879" s="224"/>
      <c r="Z879" s="224"/>
    </row>
    <row r="880" spans="1:26" ht="15.75" customHeight="1">
      <c r="A880" s="248">
        <v>44796</v>
      </c>
      <c r="B880" s="219" t="s">
        <v>5725</v>
      </c>
      <c r="C880" s="315">
        <v>3</v>
      </c>
      <c r="D880" s="219" t="s">
        <v>5728</v>
      </c>
      <c r="E880" s="219" t="s">
        <v>4</v>
      </c>
      <c r="F880" s="219" t="s">
        <v>725</v>
      </c>
      <c r="G880" s="219"/>
      <c r="H880" s="219">
        <v>3</v>
      </c>
      <c r="I880" s="219" t="s">
        <v>1371</v>
      </c>
      <c r="J880" s="219" t="s">
        <v>5729</v>
      </c>
      <c r="K880" s="219">
        <v>3</v>
      </c>
      <c r="L880" s="219" t="s">
        <v>451</v>
      </c>
      <c r="M880" s="310">
        <v>500000</v>
      </c>
      <c r="N880" s="219" t="s">
        <v>452</v>
      </c>
      <c r="O880" s="219" t="s">
        <v>5730</v>
      </c>
      <c r="P880" s="219"/>
      <c r="Q880" s="219" t="s">
        <v>24</v>
      </c>
      <c r="R880" s="251"/>
      <c r="S880" s="219"/>
      <c r="T880" s="219"/>
      <c r="U880" s="219"/>
      <c r="V880" s="219"/>
      <c r="W880" s="219"/>
      <c r="X880" s="219"/>
      <c r="Y880" s="219"/>
      <c r="Z880" s="219"/>
    </row>
    <row r="881" spans="1:26" ht="15.75" customHeight="1">
      <c r="A881" s="253">
        <v>44796</v>
      </c>
      <c r="B881" s="224" t="s">
        <v>5521</v>
      </c>
      <c r="C881" s="316">
        <v>3</v>
      </c>
      <c r="D881" s="224" t="s">
        <v>5524</v>
      </c>
      <c r="E881" s="224" t="s">
        <v>4</v>
      </c>
      <c r="F881" s="224" t="s">
        <v>725</v>
      </c>
      <c r="G881" s="224" t="s">
        <v>5525</v>
      </c>
      <c r="H881" s="224">
        <v>3</v>
      </c>
      <c r="I881" s="224" t="s">
        <v>1187</v>
      </c>
      <c r="J881" s="224" t="s">
        <v>5526</v>
      </c>
      <c r="K881" s="224">
        <v>3</v>
      </c>
      <c r="L881" s="224" t="s">
        <v>784</v>
      </c>
      <c r="M881" s="224">
        <v>500000</v>
      </c>
      <c r="N881" s="224" t="s">
        <v>452</v>
      </c>
      <c r="O881" s="224" t="s">
        <v>452</v>
      </c>
      <c r="P881" s="224"/>
      <c r="Q881" s="224" t="s">
        <v>24</v>
      </c>
      <c r="R881" s="254"/>
      <c r="S881" s="224"/>
      <c r="T881" s="224"/>
      <c r="U881" s="224"/>
      <c r="V881" s="224"/>
      <c r="W881" s="224"/>
      <c r="X881" s="224"/>
      <c r="Y881" s="224"/>
      <c r="Z881" s="224"/>
    </row>
    <row r="882" spans="1:26" ht="15.75" customHeight="1">
      <c r="A882" s="248">
        <v>44796</v>
      </c>
      <c r="B882" s="219" t="s">
        <v>5451</v>
      </c>
      <c r="C882" s="315">
        <v>3</v>
      </c>
      <c r="D882" s="219" t="s">
        <v>5454</v>
      </c>
      <c r="E882" s="219" t="s">
        <v>4</v>
      </c>
      <c r="F882" s="219" t="s">
        <v>602</v>
      </c>
      <c r="G882" s="219" t="s">
        <v>5455</v>
      </c>
      <c r="H882" s="219">
        <v>2</v>
      </c>
      <c r="I882" s="219" t="s">
        <v>604</v>
      </c>
      <c r="J882" s="219" t="s">
        <v>11066</v>
      </c>
      <c r="K882" s="219">
        <v>4</v>
      </c>
      <c r="L882" s="219" t="s">
        <v>478</v>
      </c>
      <c r="M882" s="331">
        <v>5000000</v>
      </c>
      <c r="N882" s="219" t="s">
        <v>452</v>
      </c>
      <c r="O882" s="219" t="s">
        <v>452</v>
      </c>
      <c r="P882" s="219"/>
      <c r="Q882" s="219" t="s">
        <v>24</v>
      </c>
      <c r="R882" s="251"/>
      <c r="S882" s="219"/>
      <c r="T882" s="219"/>
      <c r="U882" s="219"/>
      <c r="V882" s="219"/>
      <c r="W882" s="219"/>
      <c r="X882" s="219"/>
      <c r="Y882" s="219"/>
      <c r="Z882" s="219"/>
    </row>
    <row r="883" spans="1:26" ht="15.75" customHeight="1">
      <c r="A883" s="253">
        <v>44796</v>
      </c>
      <c r="B883" s="224" t="s">
        <v>2724</v>
      </c>
      <c r="C883" s="316">
        <v>3</v>
      </c>
      <c r="D883" s="224" t="s">
        <v>2727</v>
      </c>
      <c r="E883" s="224" t="s">
        <v>5</v>
      </c>
      <c r="F883" s="224" t="s">
        <v>447</v>
      </c>
      <c r="G883" s="224" t="s">
        <v>11119</v>
      </c>
      <c r="H883" s="224">
        <v>3</v>
      </c>
      <c r="I883" s="224" t="s">
        <v>622</v>
      </c>
      <c r="J883" s="224" t="s">
        <v>11120</v>
      </c>
      <c r="K883" s="224">
        <v>3</v>
      </c>
      <c r="L883" s="224" t="s">
        <v>451</v>
      </c>
      <c r="M883" s="311">
        <v>3000000</v>
      </c>
      <c r="N883" s="224" t="s">
        <v>452</v>
      </c>
      <c r="O883" s="224" t="s">
        <v>11121</v>
      </c>
      <c r="P883" s="224"/>
      <c r="Q883" s="224" t="s">
        <v>24</v>
      </c>
      <c r="R883" s="254"/>
      <c r="S883" s="224"/>
      <c r="T883" s="224"/>
      <c r="U883" s="224"/>
      <c r="V883" s="224"/>
      <c r="W883" s="224"/>
      <c r="X883" s="224"/>
      <c r="Y883" s="224"/>
      <c r="Z883" s="224"/>
    </row>
    <row r="884" spans="1:26" ht="15.75" customHeight="1">
      <c r="A884" s="248">
        <v>44796</v>
      </c>
      <c r="B884" s="219" t="s">
        <v>5427</v>
      </c>
      <c r="C884" s="315">
        <v>3</v>
      </c>
      <c r="D884" s="219" t="s">
        <v>5430</v>
      </c>
      <c r="E884" s="219" t="s">
        <v>4</v>
      </c>
      <c r="F884" s="219" t="s">
        <v>725</v>
      </c>
      <c r="G884" s="219" t="s">
        <v>13400</v>
      </c>
      <c r="H884" s="219">
        <v>4</v>
      </c>
      <c r="I884" s="219" t="s">
        <v>1045</v>
      </c>
      <c r="J884" s="219" t="s">
        <v>5432</v>
      </c>
      <c r="K884" s="219">
        <v>2</v>
      </c>
      <c r="L884" s="219" t="s">
        <v>451</v>
      </c>
      <c r="M884" s="310">
        <v>2500000</v>
      </c>
      <c r="N884" s="219" t="s">
        <v>465</v>
      </c>
      <c r="O884" s="219" t="s">
        <v>11126</v>
      </c>
      <c r="P884" s="219"/>
      <c r="Q884" s="219" t="s">
        <v>24</v>
      </c>
      <c r="R884" s="251"/>
      <c r="S884" s="219"/>
      <c r="T884" s="219"/>
      <c r="U884" s="219"/>
      <c r="V884" s="219"/>
      <c r="W884" s="219"/>
      <c r="X884" s="219"/>
      <c r="Y884" s="219"/>
      <c r="Z884" s="219"/>
    </row>
    <row r="885" spans="1:26" ht="15.75" customHeight="1">
      <c r="A885" s="253">
        <v>44796</v>
      </c>
      <c r="B885" s="224" t="s">
        <v>2184</v>
      </c>
      <c r="C885" s="316">
        <v>3</v>
      </c>
      <c r="D885" s="224" t="s">
        <v>2187</v>
      </c>
      <c r="E885" s="224" t="s">
        <v>5</v>
      </c>
      <c r="F885" s="224" t="s">
        <v>447</v>
      </c>
      <c r="G885" s="224" t="s">
        <v>11262</v>
      </c>
      <c r="H885" s="224">
        <v>3</v>
      </c>
      <c r="I885" s="224" t="s">
        <v>543</v>
      </c>
      <c r="J885" s="224" t="e">
        <f>+ Aiming to revolutionize the housing construction Industry with their new material High-density Gypsum. Gypsum is a polycrystal
                                                                                                                                                                                                                                                                in which there are two kinds of bonds - non-strength and
                                                                                                                                                                                                                                                                crystallization-strength which is cheap to produce hardens rapidly and is highly eco-friendly.
- need customers</f>
        <v>#NAME?</v>
      </c>
      <c r="K885" s="224">
        <v>3</v>
      </c>
      <c r="L885" s="224" t="s">
        <v>2190</v>
      </c>
      <c r="M885" s="224">
        <v>1500000</v>
      </c>
      <c r="N885" s="224" t="s">
        <v>452</v>
      </c>
      <c r="O885" s="224" t="s">
        <v>2191</v>
      </c>
      <c r="P885" s="224"/>
      <c r="Q885" s="224" t="s">
        <v>24</v>
      </c>
      <c r="R885" s="254"/>
      <c r="S885" s="224"/>
      <c r="T885" s="224"/>
      <c r="U885" s="224"/>
      <c r="V885" s="224"/>
      <c r="W885" s="224"/>
      <c r="X885" s="224"/>
      <c r="Y885" s="224"/>
      <c r="Z885" s="224"/>
    </row>
    <row r="886" spans="1:26" ht="15.75" customHeight="1">
      <c r="A886" s="248">
        <v>44796</v>
      </c>
      <c r="B886" s="219" t="s">
        <v>5361</v>
      </c>
      <c r="C886" s="315">
        <v>3</v>
      </c>
      <c r="D886" s="219" t="s">
        <v>5364</v>
      </c>
      <c r="E886" s="219" t="s">
        <v>4</v>
      </c>
      <c r="F886" s="219" t="s">
        <v>447</v>
      </c>
      <c r="G886" s="219" t="s">
        <v>11279</v>
      </c>
      <c r="H886" s="219">
        <v>3</v>
      </c>
      <c r="I886" s="219" t="s">
        <v>1036</v>
      </c>
      <c r="J886" s="219" t="s">
        <v>5366</v>
      </c>
      <c r="K886" s="219">
        <v>3</v>
      </c>
      <c r="L886" s="219"/>
      <c r="M886" s="219"/>
      <c r="N886" s="219" t="s">
        <v>452</v>
      </c>
      <c r="O886" s="219" t="s">
        <v>5367</v>
      </c>
      <c r="P886" s="219"/>
      <c r="Q886" s="219" t="s">
        <v>24</v>
      </c>
      <c r="R886" s="251"/>
      <c r="S886" s="219"/>
      <c r="T886" s="219"/>
      <c r="U886" s="219"/>
      <c r="V886" s="219"/>
      <c r="W886" s="219"/>
      <c r="X886" s="219"/>
      <c r="Y886" s="219"/>
      <c r="Z886" s="219"/>
    </row>
    <row r="887" spans="1:26" ht="15.75" customHeight="1">
      <c r="A887" s="253">
        <v>44796</v>
      </c>
      <c r="B887" s="224" t="s">
        <v>8740</v>
      </c>
      <c r="C887" s="316">
        <v>3</v>
      </c>
      <c r="D887" s="224" t="s">
        <v>8743</v>
      </c>
      <c r="E887" s="224" t="s">
        <v>3</v>
      </c>
      <c r="F887" s="224" t="s">
        <v>488</v>
      </c>
      <c r="G887" s="224"/>
      <c r="H887" s="224">
        <v>3</v>
      </c>
      <c r="I887" s="224" t="s">
        <v>941</v>
      </c>
      <c r="J887" s="224" t="s">
        <v>8744</v>
      </c>
      <c r="K887" s="224">
        <v>3</v>
      </c>
      <c r="L887" s="224" t="s">
        <v>478</v>
      </c>
      <c r="M887" s="224">
        <v>500000</v>
      </c>
      <c r="N887" s="224" t="s">
        <v>452</v>
      </c>
      <c r="O887" s="224" t="s">
        <v>452</v>
      </c>
      <c r="P887" s="224"/>
      <c r="Q887" s="224" t="s">
        <v>24</v>
      </c>
      <c r="R887" s="254"/>
      <c r="S887" s="224"/>
      <c r="T887" s="224"/>
      <c r="U887" s="224"/>
      <c r="V887" s="224"/>
      <c r="W887" s="224"/>
      <c r="X887" s="224"/>
      <c r="Y887" s="224"/>
      <c r="Z887" s="224"/>
    </row>
    <row r="888" spans="1:26" ht="15.75" customHeight="1">
      <c r="A888" s="257">
        <v>44796</v>
      </c>
      <c r="B888" s="258" t="s">
        <v>2778</v>
      </c>
      <c r="C888" s="263">
        <v>3</v>
      </c>
      <c r="D888" s="258" t="s">
        <v>2781</v>
      </c>
      <c r="E888" s="258" t="s">
        <v>5</v>
      </c>
      <c r="F888" s="258" t="s">
        <v>447</v>
      </c>
      <c r="G888" s="258" t="s">
        <v>11311</v>
      </c>
      <c r="H888" s="258">
        <v>2</v>
      </c>
      <c r="I888" s="258" t="s">
        <v>449</v>
      </c>
      <c r="J888" s="258" t="s">
        <v>11312</v>
      </c>
      <c r="K888" s="258">
        <v>4</v>
      </c>
      <c r="L888" s="258" t="s">
        <v>2784</v>
      </c>
      <c r="M888" s="261">
        <v>1000000</v>
      </c>
      <c r="N888" s="258" t="s">
        <v>452</v>
      </c>
      <c r="O888" s="258" t="s">
        <v>2785</v>
      </c>
      <c r="P888" s="258"/>
      <c r="Q888" s="258" t="s">
        <v>24</v>
      </c>
      <c r="R888" s="259"/>
      <c r="S888" s="258"/>
      <c r="T888" s="258"/>
      <c r="U888" s="258"/>
      <c r="V888" s="258"/>
      <c r="W888" s="258"/>
      <c r="X888" s="258"/>
      <c r="Y888" s="258"/>
      <c r="Z888" s="258"/>
    </row>
    <row r="889" spans="1:26" ht="15.75" customHeight="1">
      <c r="A889" s="253">
        <v>44796</v>
      </c>
      <c r="B889" s="224" t="s">
        <v>3157</v>
      </c>
      <c r="C889" s="316">
        <v>3</v>
      </c>
      <c r="D889" s="224" t="s">
        <v>3160</v>
      </c>
      <c r="E889" s="224" t="s">
        <v>5</v>
      </c>
      <c r="F889" s="224" t="s">
        <v>447</v>
      </c>
      <c r="G889" s="224" t="s">
        <v>11323</v>
      </c>
      <c r="H889" s="224">
        <v>3</v>
      </c>
      <c r="I889" s="224" t="s">
        <v>449</v>
      </c>
      <c r="J889" s="224" t="s">
        <v>11324</v>
      </c>
      <c r="K889" s="224">
        <v>3</v>
      </c>
      <c r="L889" s="224" t="s">
        <v>3163</v>
      </c>
      <c r="M889" s="224">
        <v>2000000</v>
      </c>
      <c r="N889" s="224" t="s">
        <v>452</v>
      </c>
      <c r="O889" s="224" t="s">
        <v>3164</v>
      </c>
      <c r="P889" s="224"/>
      <c r="Q889" s="224" t="s">
        <v>24</v>
      </c>
      <c r="R889" s="254"/>
      <c r="S889" s="224"/>
      <c r="T889" s="224"/>
      <c r="U889" s="224"/>
      <c r="V889" s="224"/>
      <c r="W889" s="224"/>
      <c r="X889" s="224"/>
      <c r="Y889" s="224"/>
      <c r="Z889" s="224"/>
    </row>
    <row r="890" spans="1:26" ht="15.75" customHeight="1">
      <c r="A890" s="248">
        <v>44796</v>
      </c>
      <c r="B890" s="219" t="s">
        <v>8334</v>
      </c>
      <c r="C890" s="315">
        <v>3</v>
      </c>
      <c r="D890" s="219"/>
      <c r="E890" s="219" t="s">
        <v>3</v>
      </c>
      <c r="F890" s="219" t="s">
        <v>488</v>
      </c>
      <c r="G890" s="219" t="s">
        <v>11359</v>
      </c>
      <c r="H890" s="219">
        <v>3</v>
      </c>
      <c r="I890" s="219" t="s">
        <v>941</v>
      </c>
      <c r="J890" s="219"/>
      <c r="K890" s="219">
        <v>3</v>
      </c>
      <c r="L890" s="219" t="s">
        <v>451</v>
      </c>
      <c r="M890" s="219">
        <v>2000000</v>
      </c>
      <c r="N890" s="219" t="s">
        <v>452</v>
      </c>
      <c r="O890" s="219" t="s">
        <v>8338</v>
      </c>
      <c r="P890" s="219"/>
      <c r="Q890" s="219" t="s">
        <v>24</v>
      </c>
      <c r="R890" s="251"/>
      <c r="S890" s="219"/>
      <c r="T890" s="219"/>
      <c r="U890" s="219"/>
      <c r="V890" s="219"/>
      <c r="W890" s="219"/>
      <c r="X890" s="219"/>
      <c r="Y890" s="219"/>
      <c r="Z890" s="219"/>
    </row>
    <row r="891" spans="1:26" ht="15.75" customHeight="1">
      <c r="A891" s="253">
        <v>44796</v>
      </c>
      <c r="B891" s="224" t="s">
        <v>3578</v>
      </c>
      <c r="C891" s="316">
        <v>3</v>
      </c>
      <c r="D891" s="224" t="s">
        <v>3581</v>
      </c>
      <c r="E891" s="224" t="s">
        <v>5</v>
      </c>
      <c r="F891" s="224" t="s">
        <v>447</v>
      </c>
      <c r="G891" s="224" t="s">
        <v>11360</v>
      </c>
      <c r="H891" s="224">
        <v>3</v>
      </c>
      <c r="I891" s="224" t="s">
        <v>449</v>
      </c>
      <c r="J891" s="224" t="s">
        <v>11361</v>
      </c>
      <c r="K891" s="224">
        <v>3</v>
      </c>
      <c r="L891" s="224" t="s">
        <v>784</v>
      </c>
      <c r="M891" s="330">
        <v>300000</v>
      </c>
      <c r="N891" s="224" t="s">
        <v>454</v>
      </c>
      <c r="O891" s="224" t="s">
        <v>452</v>
      </c>
      <c r="P891" s="224" t="s">
        <v>3584</v>
      </c>
      <c r="Q891" s="224" t="s">
        <v>24</v>
      </c>
      <c r="R891" s="254"/>
      <c r="S891" s="224"/>
      <c r="T891" s="224"/>
      <c r="U891" s="224"/>
      <c r="V891" s="224"/>
      <c r="W891" s="224"/>
      <c r="X891" s="224"/>
      <c r="Y891" s="224"/>
      <c r="Z891" s="224"/>
    </row>
    <row r="892" spans="1:26" ht="15.75" customHeight="1">
      <c r="A892" s="248">
        <v>44796</v>
      </c>
      <c r="B892" s="219" t="s">
        <v>5435</v>
      </c>
      <c r="C892" s="315">
        <v>3</v>
      </c>
      <c r="D892" s="219" t="s">
        <v>5438</v>
      </c>
      <c r="E892" s="219" t="s">
        <v>4</v>
      </c>
      <c r="F892" s="219" t="s">
        <v>1045</v>
      </c>
      <c r="G892" s="219" t="s">
        <v>5439</v>
      </c>
      <c r="H892" s="219">
        <v>3</v>
      </c>
      <c r="I892" s="219" t="s">
        <v>1073</v>
      </c>
      <c r="J892" s="219"/>
      <c r="K892" s="219">
        <v>3</v>
      </c>
      <c r="L892" s="219"/>
      <c r="M892" s="219"/>
      <c r="N892" s="219" t="s">
        <v>452</v>
      </c>
      <c r="O892" s="219" t="s">
        <v>452</v>
      </c>
      <c r="P892" s="219"/>
      <c r="Q892" s="219" t="s">
        <v>24</v>
      </c>
      <c r="R892" s="251"/>
      <c r="S892" s="219"/>
      <c r="T892" s="219"/>
      <c r="U892" s="219"/>
      <c r="V892" s="219"/>
      <c r="W892" s="219"/>
      <c r="X892" s="219"/>
      <c r="Y892" s="219"/>
      <c r="Z892" s="219"/>
    </row>
    <row r="893" spans="1:26" ht="15.75" customHeight="1">
      <c r="A893" s="253">
        <v>44796</v>
      </c>
      <c r="B893" s="224" t="s">
        <v>5385</v>
      </c>
      <c r="C893" s="316">
        <v>3</v>
      </c>
      <c r="D893" s="224" t="s">
        <v>10840</v>
      </c>
      <c r="E893" s="224" t="s">
        <v>4</v>
      </c>
      <c r="F893" s="224" t="s">
        <v>1457</v>
      </c>
      <c r="G893" s="224" t="s">
        <v>5389</v>
      </c>
      <c r="H893" s="224">
        <v>4</v>
      </c>
      <c r="I893" s="224" t="s">
        <v>1036</v>
      </c>
      <c r="J893" s="224" t="s">
        <v>5390</v>
      </c>
      <c r="K893" s="224">
        <v>2</v>
      </c>
      <c r="L893" s="224"/>
      <c r="M893" s="224"/>
      <c r="N893" s="224" t="s">
        <v>452</v>
      </c>
      <c r="O893" s="224" t="s">
        <v>452</v>
      </c>
      <c r="P893" s="224"/>
      <c r="Q893" s="224" t="s">
        <v>24</v>
      </c>
      <c r="R893" s="254"/>
      <c r="S893" s="224"/>
      <c r="T893" s="224"/>
      <c r="U893" s="224"/>
      <c r="V893" s="224"/>
      <c r="W893" s="224"/>
      <c r="X893" s="224"/>
      <c r="Y893" s="224"/>
      <c r="Z893" s="224"/>
    </row>
    <row r="894" spans="1:26" ht="15.75" customHeight="1">
      <c r="A894" s="248">
        <v>44796</v>
      </c>
      <c r="B894" s="219" t="s">
        <v>3105</v>
      </c>
      <c r="C894" s="315">
        <v>3</v>
      </c>
      <c r="D894" s="219" t="s">
        <v>3108</v>
      </c>
      <c r="E894" s="219" t="s">
        <v>5</v>
      </c>
      <c r="F894" s="219" t="s">
        <v>447</v>
      </c>
      <c r="G894" s="219" t="s">
        <v>11306</v>
      </c>
      <c r="H894" s="219">
        <v>3</v>
      </c>
      <c r="I894" s="219" t="s">
        <v>543</v>
      </c>
      <c r="J894" s="219" t="s">
        <v>13400</v>
      </c>
      <c r="K894" s="219">
        <v>3</v>
      </c>
      <c r="L894" s="219" t="s">
        <v>3111</v>
      </c>
      <c r="M894" s="219" t="s">
        <v>3112</v>
      </c>
      <c r="N894" s="219" t="s">
        <v>452</v>
      </c>
      <c r="O894" s="219"/>
      <c r="P894" s="219"/>
      <c r="Q894" s="219" t="s">
        <v>24</v>
      </c>
      <c r="R894" s="251"/>
      <c r="S894" s="219"/>
      <c r="T894" s="219"/>
      <c r="U894" s="219"/>
      <c r="V894" s="219"/>
      <c r="W894" s="219"/>
      <c r="X894" s="219"/>
      <c r="Y894" s="219"/>
      <c r="Z894" s="219"/>
    </row>
    <row r="895" spans="1:26" ht="15.75" customHeight="1">
      <c r="A895" s="253">
        <v>44796</v>
      </c>
      <c r="B895" s="224" t="s">
        <v>6087</v>
      </c>
      <c r="C895" s="316">
        <v>2.75</v>
      </c>
      <c r="D895" s="224" t="s">
        <v>6090</v>
      </c>
      <c r="E895" s="224" t="s">
        <v>4</v>
      </c>
      <c r="F895" s="224" t="s">
        <v>727</v>
      </c>
      <c r="G895" s="224" t="s">
        <v>10243</v>
      </c>
      <c r="H895" s="224">
        <v>3</v>
      </c>
      <c r="I895" s="224" t="s">
        <v>1045</v>
      </c>
      <c r="J895" s="224" t="s">
        <v>6092</v>
      </c>
      <c r="K895" s="224">
        <v>2.5</v>
      </c>
      <c r="L895" s="224" t="s">
        <v>451</v>
      </c>
      <c r="M895" s="224" t="s">
        <v>6093</v>
      </c>
      <c r="N895" s="224" t="s">
        <v>452</v>
      </c>
      <c r="O895" s="224" t="s">
        <v>10244</v>
      </c>
      <c r="P895" s="224"/>
      <c r="Q895" s="224" t="s">
        <v>24</v>
      </c>
      <c r="R895" s="254"/>
      <c r="S895" s="224"/>
      <c r="T895" s="224"/>
      <c r="U895" s="224"/>
      <c r="V895" s="224"/>
      <c r="W895" s="224"/>
      <c r="X895" s="224"/>
      <c r="Y895" s="224"/>
      <c r="Z895" s="224"/>
    </row>
    <row r="896" spans="1:26" ht="15.75" customHeight="1">
      <c r="A896" s="248">
        <v>44796</v>
      </c>
      <c r="B896" s="219" t="s">
        <v>5951</v>
      </c>
      <c r="C896" s="315">
        <v>2.75</v>
      </c>
      <c r="D896" s="219" t="s">
        <v>5954</v>
      </c>
      <c r="E896" s="219" t="s">
        <v>4</v>
      </c>
      <c r="F896" s="219" t="s">
        <v>725</v>
      </c>
      <c r="G896" s="219" t="s">
        <v>10267</v>
      </c>
      <c r="H896" s="219">
        <v>2.5</v>
      </c>
      <c r="I896" s="219" t="s">
        <v>1281</v>
      </c>
      <c r="J896" s="219" t="s">
        <v>5956</v>
      </c>
      <c r="K896" s="219">
        <v>3</v>
      </c>
      <c r="L896" s="219"/>
      <c r="M896" s="219"/>
      <c r="N896" s="219" t="s">
        <v>452</v>
      </c>
      <c r="O896" s="219" t="s">
        <v>5957</v>
      </c>
      <c r="P896" s="219"/>
      <c r="Q896" s="219" t="s">
        <v>24</v>
      </c>
      <c r="R896" s="251"/>
      <c r="S896" s="219"/>
      <c r="T896" s="219"/>
      <c r="U896" s="219"/>
      <c r="V896" s="219"/>
      <c r="W896" s="219"/>
      <c r="X896" s="219"/>
      <c r="Y896" s="219"/>
      <c r="Z896" s="219"/>
    </row>
    <row r="897" spans="1:26" ht="15.75" customHeight="1">
      <c r="A897" s="253">
        <v>44796</v>
      </c>
      <c r="B897" s="224" t="s">
        <v>5944</v>
      </c>
      <c r="C897" s="316">
        <v>2.75</v>
      </c>
      <c r="D897" s="224" t="s">
        <v>5947</v>
      </c>
      <c r="E897" s="224" t="s">
        <v>4</v>
      </c>
      <c r="F897" s="224" t="s">
        <v>1045</v>
      </c>
      <c r="G897" s="224" t="s">
        <v>5948</v>
      </c>
      <c r="H897" s="224">
        <v>2.5</v>
      </c>
      <c r="I897" s="224" t="s">
        <v>1281</v>
      </c>
      <c r="J897" s="224" t="s">
        <v>5949</v>
      </c>
      <c r="K897" s="224">
        <v>3</v>
      </c>
      <c r="L897" s="224" t="s">
        <v>478</v>
      </c>
      <c r="M897" s="224">
        <v>7000000</v>
      </c>
      <c r="N897" s="224" t="s">
        <v>452</v>
      </c>
      <c r="O897" s="224" t="s">
        <v>452</v>
      </c>
      <c r="P897" s="224"/>
      <c r="Q897" s="224" t="s">
        <v>24</v>
      </c>
      <c r="R897" s="254"/>
      <c r="S897" s="224"/>
      <c r="T897" s="224"/>
      <c r="U897" s="224"/>
      <c r="V897" s="224"/>
      <c r="W897" s="224"/>
      <c r="X897" s="224"/>
      <c r="Y897" s="224"/>
      <c r="Z897" s="224"/>
    </row>
    <row r="898" spans="1:26" ht="15.75" customHeight="1">
      <c r="A898" s="248">
        <v>44796</v>
      </c>
      <c r="B898" s="219" t="s">
        <v>5978</v>
      </c>
      <c r="C898" s="315">
        <v>2.75</v>
      </c>
      <c r="D898" s="219" t="s">
        <v>5981</v>
      </c>
      <c r="E898" s="219" t="s">
        <v>4</v>
      </c>
      <c r="F898" s="219" t="s">
        <v>727</v>
      </c>
      <c r="G898" s="219" t="s">
        <v>10492</v>
      </c>
      <c r="H898" s="219">
        <v>3.5</v>
      </c>
      <c r="I898" s="219" t="s">
        <v>1298</v>
      </c>
      <c r="J898" s="219" t="s">
        <v>5983</v>
      </c>
      <c r="K898" s="219">
        <v>2</v>
      </c>
      <c r="L898" s="219" t="s">
        <v>923</v>
      </c>
      <c r="M898" s="331">
        <v>3000000</v>
      </c>
      <c r="N898" s="219" t="s">
        <v>452</v>
      </c>
      <c r="O898" s="219" t="s">
        <v>452</v>
      </c>
      <c r="P898" s="219" t="s">
        <v>447</v>
      </c>
      <c r="Q898" s="219" t="s">
        <v>24</v>
      </c>
      <c r="R898" s="251"/>
      <c r="S898" s="219"/>
      <c r="T898" s="219"/>
      <c r="U898" s="219"/>
      <c r="V898" s="219"/>
      <c r="W898" s="219"/>
      <c r="X898" s="219"/>
      <c r="Y898" s="219"/>
      <c r="Z898" s="219"/>
    </row>
    <row r="899" spans="1:26" ht="15.75" customHeight="1">
      <c r="A899" s="253">
        <v>44796</v>
      </c>
      <c r="B899" s="224" t="s">
        <v>5876</v>
      </c>
      <c r="C899" s="316">
        <v>2.75</v>
      </c>
      <c r="D899" s="224" t="s">
        <v>5879</v>
      </c>
      <c r="E899" s="224" t="s">
        <v>4</v>
      </c>
      <c r="F899" s="224" t="s">
        <v>727</v>
      </c>
      <c r="G899" s="224"/>
      <c r="H899" s="224">
        <v>2.5</v>
      </c>
      <c r="I899" s="224" t="s">
        <v>1073</v>
      </c>
      <c r="J899" s="224" t="s">
        <v>5880</v>
      </c>
      <c r="K899" s="224">
        <v>3</v>
      </c>
      <c r="L899" s="224"/>
      <c r="M899" s="224"/>
      <c r="N899" s="224" t="s">
        <v>452</v>
      </c>
      <c r="O899" s="224" t="s">
        <v>452</v>
      </c>
      <c r="P899" s="224"/>
      <c r="Q899" s="224" t="s">
        <v>24</v>
      </c>
      <c r="R899" s="254"/>
      <c r="S899" s="224"/>
      <c r="T899" s="224"/>
      <c r="U899" s="224"/>
      <c r="V899" s="224"/>
      <c r="W899" s="224"/>
      <c r="X899" s="224"/>
      <c r="Y899" s="224"/>
      <c r="Z899" s="224"/>
    </row>
    <row r="900" spans="1:26" ht="15.75" customHeight="1">
      <c r="A900" s="248">
        <v>44796</v>
      </c>
      <c r="B900" s="219" t="s">
        <v>5927</v>
      </c>
      <c r="C900" s="315">
        <v>2.75</v>
      </c>
      <c r="D900" s="219" t="s">
        <v>5930</v>
      </c>
      <c r="E900" s="219" t="s">
        <v>4</v>
      </c>
      <c r="F900" s="219" t="s">
        <v>727</v>
      </c>
      <c r="G900" s="219" t="s">
        <v>10529</v>
      </c>
      <c r="H900" s="219">
        <v>3.5</v>
      </c>
      <c r="I900" s="219" t="s">
        <v>1237</v>
      </c>
      <c r="J900" s="219"/>
      <c r="K900" s="219">
        <v>2</v>
      </c>
      <c r="L900" s="219"/>
      <c r="M900" s="219"/>
      <c r="N900" s="219" t="s">
        <v>452</v>
      </c>
      <c r="O900" s="219" t="s">
        <v>5932</v>
      </c>
      <c r="P900" s="219"/>
      <c r="Q900" s="219" t="s">
        <v>24</v>
      </c>
      <c r="R900" s="251"/>
      <c r="S900" s="219"/>
      <c r="T900" s="219"/>
      <c r="U900" s="219"/>
      <c r="V900" s="219"/>
      <c r="W900" s="219"/>
      <c r="X900" s="219"/>
      <c r="Y900" s="219"/>
      <c r="Z900" s="219"/>
    </row>
    <row r="901" spans="1:26" ht="15.75" customHeight="1">
      <c r="A901" s="253">
        <v>44796</v>
      </c>
      <c r="B901" s="224" t="s">
        <v>6044</v>
      </c>
      <c r="C901" s="316">
        <v>2.75</v>
      </c>
      <c r="D901" s="224" t="s">
        <v>10603</v>
      </c>
      <c r="E901" s="224" t="s">
        <v>4</v>
      </c>
      <c r="F901" s="224" t="s">
        <v>727</v>
      </c>
      <c r="G901" s="224"/>
      <c r="H901" s="224">
        <v>2.5</v>
      </c>
      <c r="I901" s="224" t="s">
        <v>1457</v>
      </c>
      <c r="J901" s="224" t="s">
        <v>6048</v>
      </c>
      <c r="K901" s="224">
        <v>3</v>
      </c>
      <c r="L901" s="224" t="s">
        <v>784</v>
      </c>
      <c r="M901" s="330">
        <v>167000</v>
      </c>
      <c r="N901" s="224" t="s">
        <v>452</v>
      </c>
      <c r="O901" s="224" t="s">
        <v>6049</v>
      </c>
      <c r="P901" s="224"/>
      <c r="Q901" s="224" t="s">
        <v>24</v>
      </c>
      <c r="R901" s="254"/>
      <c r="S901" s="224"/>
      <c r="T901" s="224"/>
      <c r="U901" s="224"/>
      <c r="V901" s="224"/>
      <c r="W901" s="224"/>
      <c r="X901" s="224"/>
      <c r="Y901" s="224"/>
      <c r="Z901" s="224"/>
    </row>
    <row r="902" spans="1:26" ht="15.75" customHeight="1">
      <c r="A902" s="257">
        <v>44796</v>
      </c>
      <c r="B902" s="258" t="s">
        <v>8789</v>
      </c>
      <c r="C902" s="263">
        <v>2.75</v>
      </c>
      <c r="D902" s="258" t="s">
        <v>10844</v>
      </c>
      <c r="E902" s="258" t="s">
        <v>3</v>
      </c>
      <c r="F902" s="258" t="s">
        <v>460</v>
      </c>
      <c r="G902" s="258" t="s">
        <v>8793</v>
      </c>
      <c r="H902" s="258">
        <v>3</v>
      </c>
      <c r="I902" s="258" t="s">
        <v>941</v>
      </c>
      <c r="J902" s="258" t="s">
        <v>8794</v>
      </c>
      <c r="K902" s="258">
        <v>2.5</v>
      </c>
      <c r="L902" s="258" t="s">
        <v>451</v>
      </c>
      <c r="M902" s="258">
        <v>11000000</v>
      </c>
      <c r="N902" s="258" t="s">
        <v>452</v>
      </c>
      <c r="O902" s="258" t="s">
        <v>10845</v>
      </c>
      <c r="P902" s="258" t="s">
        <v>725</v>
      </c>
      <c r="Q902" s="258" t="s">
        <v>24</v>
      </c>
      <c r="R902" s="259"/>
      <c r="S902" s="258"/>
      <c r="T902" s="258"/>
      <c r="U902" s="258"/>
      <c r="V902" s="258"/>
      <c r="W902" s="258"/>
      <c r="X902" s="258"/>
      <c r="Y902" s="258"/>
      <c r="Z902" s="258"/>
    </row>
    <row r="903" spans="1:26" ht="15.75" customHeight="1">
      <c r="A903" s="253">
        <v>44796</v>
      </c>
      <c r="B903" s="224" t="s">
        <v>6018</v>
      </c>
      <c r="C903" s="316">
        <v>2.75</v>
      </c>
      <c r="D903" s="224" t="s">
        <v>6021</v>
      </c>
      <c r="E903" s="224" t="s">
        <v>4</v>
      </c>
      <c r="F903" s="224" t="s">
        <v>725</v>
      </c>
      <c r="G903" s="224" t="s">
        <v>6022</v>
      </c>
      <c r="H903" s="224">
        <v>2.5</v>
      </c>
      <c r="I903" s="224" t="s">
        <v>1371</v>
      </c>
      <c r="J903" s="224" t="s">
        <v>6023</v>
      </c>
      <c r="K903" s="224">
        <v>3</v>
      </c>
      <c r="L903" s="224"/>
      <c r="M903" s="224"/>
      <c r="N903" s="224" t="s">
        <v>452</v>
      </c>
      <c r="O903" s="224" t="s">
        <v>6024</v>
      </c>
      <c r="P903" s="224"/>
      <c r="Q903" s="224" t="s">
        <v>24</v>
      </c>
      <c r="R903" s="254"/>
      <c r="S903" s="224"/>
      <c r="T903" s="224"/>
      <c r="U903" s="224"/>
      <c r="V903" s="224"/>
      <c r="W903" s="224"/>
      <c r="X903" s="224"/>
      <c r="Y903" s="224"/>
      <c r="Z903" s="224"/>
    </row>
    <row r="904" spans="1:26" ht="15.75" customHeight="1">
      <c r="A904" s="248">
        <v>44796</v>
      </c>
      <c r="B904" s="219" t="s">
        <v>6106</v>
      </c>
      <c r="C904" s="315">
        <v>2.75</v>
      </c>
      <c r="D904" s="219" t="s">
        <v>10976</v>
      </c>
      <c r="E904" s="219" t="s">
        <v>4</v>
      </c>
      <c r="F904" s="219" t="s">
        <v>725</v>
      </c>
      <c r="G904" s="219" t="s">
        <v>10977</v>
      </c>
      <c r="H904" s="219">
        <v>3</v>
      </c>
      <c r="I904" s="219" t="s">
        <v>1045</v>
      </c>
      <c r="J904" s="219" t="s">
        <v>11736</v>
      </c>
      <c r="K904" s="219">
        <v>2.5</v>
      </c>
      <c r="L904" s="219" t="s">
        <v>451</v>
      </c>
      <c r="M904" s="219">
        <v>1500000</v>
      </c>
      <c r="N904" s="219" t="s">
        <v>452</v>
      </c>
      <c r="O904" s="219" t="s">
        <v>10978</v>
      </c>
      <c r="P904" s="219"/>
      <c r="Q904" s="219" t="s">
        <v>24</v>
      </c>
      <c r="R904" s="251"/>
      <c r="S904" s="219"/>
      <c r="T904" s="219"/>
      <c r="U904" s="219"/>
      <c r="V904" s="219"/>
      <c r="W904" s="219"/>
      <c r="X904" s="219"/>
      <c r="Y904" s="219"/>
      <c r="Z904" s="219"/>
    </row>
    <row r="905" spans="1:26" ht="15.75" customHeight="1">
      <c r="A905" s="253">
        <v>44796</v>
      </c>
      <c r="B905" s="224" t="s">
        <v>2626</v>
      </c>
      <c r="C905" s="316">
        <v>2.75</v>
      </c>
      <c r="D905" s="224" t="s">
        <v>2629</v>
      </c>
      <c r="E905" s="224" t="s">
        <v>5</v>
      </c>
      <c r="F905" s="224" t="s">
        <v>447</v>
      </c>
      <c r="G905" s="224" t="s">
        <v>11016</v>
      </c>
      <c r="H905" s="224">
        <v>3</v>
      </c>
      <c r="I905" s="224" t="s">
        <v>622</v>
      </c>
      <c r="J905" s="224" t="s">
        <v>11017</v>
      </c>
      <c r="K905" s="224">
        <v>2.5</v>
      </c>
      <c r="L905" s="224" t="s">
        <v>784</v>
      </c>
      <c r="M905" s="311">
        <v>600000</v>
      </c>
      <c r="N905" s="224" t="s">
        <v>452</v>
      </c>
      <c r="O905" s="224" t="s">
        <v>2632</v>
      </c>
      <c r="P905" s="224"/>
      <c r="Q905" s="224" t="s">
        <v>24</v>
      </c>
      <c r="R905" s="254"/>
      <c r="S905" s="224"/>
      <c r="T905" s="224"/>
      <c r="U905" s="224"/>
      <c r="V905" s="224"/>
      <c r="W905" s="224"/>
      <c r="X905" s="224"/>
      <c r="Y905" s="224"/>
      <c r="Z905" s="224"/>
    </row>
    <row r="906" spans="1:26" ht="15.75" customHeight="1">
      <c r="A906" s="248">
        <v>44796</v>
      </c>
      <c r="B906" s="219" t="s">
        <v>5883</v>
      </c>
      <c r="C906" s="315">
        <v>2.75</v>
      </c>
      <c r="D906" s="219" t="s">
        <v>5886</v>
      </c>
      <c r="E906" s="219" t="s">
        <v>4</v>
      </c>
      <c r="F906" s="219" t="s">
        <v>725</v>
      </c>
      <c r="G906" s="219" t="s">
        <v>11122</v>
      </c>
      <c r="H906" s="219">
        <v>3</v>
      </c>
      <c r="I906" s="219" t="s">
        <v>1045</v>
      </c>
      <c r="J906" s="219" t="s">
        <v>5888</v>
      </c>
      <c r="K906" s="219">
        <v>2.5</v>
      </c>
      <c r="L906" s="219" t="s">
        <v>451</v>
      </c>
      <c r="M906" s="219" t="s">
        <v>5889</v>
      </c>
      <c r="N906" s="219" t="s">
        <v>452</v>
      </c>
      <c r="O906" s="219" t="s">
        <v>5890</v>
      </c>
      <c r="P906" s="219" t="s">
        <v>5891</v>
      </c>
      <c r="Q906" s="219" t="s">
        <v>24</v>
      </c>
      <c r="R906" s="251"/>
      <c r="S906" s="219"/>
      <c r="T906" s="219"/>
      <c r="U906" s="219"/>
      <c r="V906" s="219"/>
      <c r="W906" s="219"/>
      <c r="X906" s="219"/>
      <c r="Y906" s="219"/>
      <c r="Z906" s="219"/>
    </row>
    <row r="907" spans="1:26" ht="15.75" customHeight="1">
      <c r="A907" s="253">
        <v>44796</v>
      </c>
      <c r="B907" s="224" t="s">
        <v>2540</v>
      </c>
      <c r="C907" s="316">
        <v>2.75</v>
      </c>
      <c r="D907" s="224" t="s">
        <v>2543</v>
      </c>
      <c r="E907" s="224" t="s">
        <v>5</v>
      </c>
      <c r="F907" s="224" t="s">
        <v>447</v>
      </c>
      <c r="G907" s="224" t="s">
        <v>11244</v>
      </c>
      <c r="H907" s="224">
        <v>2.5</v>
      </c>
      <c r="I907" s="224" t="s">
        <v>543</v>
      </c>
      <c r="J907" s="224" t="s">
        <v>11245</v>
      </c>
      <c r="K907" s="224">
        <v>3</v>
      </c>
      <c r="L907" s="224" t="s">
        <v>451</v>
      </c>
      <c r="M907" s="330">
        <v>2000000</v>
      </c>
      <c r="N907" s="224" t="s">
        <v>465</v>
      </c>
      <c r="O907" s="224" t="s">
        <v>2546</v>
      </c>
      <c r="P907" s="224"/>
      <c r="Q907" s="224" t="s">
        <v>24</v>
      </c>
      <c r="R907" s="254"/>
      <c r="S907" s="224"/>
      <c r="T907" s="224"/>
      <c r="U907" s="224"/>
      <c r="V907" s="224"/>
      <c r="W907" s="224"/>
      <c r="X907" s="224"/>
      <c r="Y907" s="224"/>
      <c r="Z907" s="224"/>
    </row>
    <row r="908" spans="1:26" ht="15.75" customHeight="1">
      <c r="A908" s="248">
        <v>44796</v>
      </c>
      <c r="B908" s="219" t="s">
        <v>8313</v>
      </c>
      <c r="C908" s="315">
        <v>2.75</v>
      </c>
      <c r="D908" s="219"/>
      <c r="E908" s="219" t="s">
        <v>3</v>
      </c>
      <c r="F908" s="219" t="s">
        <v>488</v>
      </c>
      <c r="G908" s="219" t="s">
        <v>11295</v>
      </c>
      <c r="H908" s="219">
        <v>3</v>
      </c>
      <c r="I908" s="219" t="s">
        <v>941</v>
      </c>
      <c r="J908" s="219" t="s">
        <v>8317</v>
      </c>
      <c r="K908" s="219">
        <v>2.5</v>
      </c>
      <c r="L908" s="219" t="s">
        <v>8318</v>
      </c>
      <c r="M908" s="219">
        <v>50000</v>
      </c>
      <c r="N908" s="219" t="s">
        <v>452</v>
      </c>
      <c r="O908" s="219" t="s">
        <v>8319</v>
      </c>
      <c r="P908" s="219" t="s">
        <v>8320</v>
      </c>
      <c r="Q908" s="219" t="s">
        <v>24</v>
      </c>
      <c r="R908" s="251"/>
      <c r="S908" s="219"/>
      <c r="T908" s="219"/>
      <c r="U908" s="219"/>
      <c r="V908" s="219"/>
      <c r="W908" s="219"/>
      <c r="X908" s="219"/>
      <c r="Y908" s="219"/>
      <c r="Z908" s="219"/>
    </row>
    <row r="909" spans="1:26" ht="15.75" customHeight="1">
      <c r="A909" s="253">
        <v>44796</v>
      </c>
      <c r="B909" s="224" t="s">
        <v>8396</v>
      </c>
      <c r="C909" s="316">
        <v>2.75</v>
      </c>
      <c r="D909" s="224"/>
      <c r="E909" s="224" t="s">
        <v>3</v>
      </c>
      <c r="F909" s="224" t="s">
        <v>488</v>
      </c>
      <c r="G909" s="224" t="s">
        <v>8399</v>
      </c>
      <c r="H909" s="224">
        <v>2.5</v>
      </c>
      <c r="I909" s="224" t="s">
        <v>941</v>
      </c>
      <c r="J909" s="224" t="s">
        <v>8400</v>
      </c>
      <c r="K909" s="224">
        <v>3</v>
      </c>
      <c r="L909" s="224" t="s">
        <v>2152</v>
      </c>
      <c r="M909" s="224" t="s">
        <v>8401</v>
      </c>
      <c r="N909" s="224" t="s">
        <v>452</v>
      </c>
      <c r="O909" s="224" t="s">
        <v>8402</v>
      </c>
      <c r="P909" s="224"/>
      <c r="Q909" s="224" t="s">
        <v>24</v>
      </c>
      <c r="R909" s="254"/>
      <c r="S909" s="224"/>
      <c r="T909" s="224"/>
      <c r="U909" s="224"/>
      <c r="V909" s="224"/>
      <c r="W909" s="224"/>
      <c r="X909" s="224"/>
      <c r="Y909" s="224"/>
      <c r="Z909" s="224"/>
    </row>
    <row r="910" spans="1:26" ht="15.75" customHeight="1">
      <c r="A910" s="248">
        <v>44796</v>
      </c>
      <c r="B910" s="219" t="s">
        <v>6292</v>
      </c>
      <c r="C910" s="315">
        <v>2.5</v>
      </c>
      <c r="D910" s="219" t="s">
        <v>6295</v>
      </c>
      <c r="E910" s="219" t="s">
        <v>4</v>
      </c>
      <c r="F910" s="219" t="s">
        <v>602</v>
      </c>
      <c r="G910" s="219" t="s">
        <v>6296</v>
      </c>
      <c r="H910" s="219">
        <v>2</v>
      </c>
      <c r="I910" s="219" t="s">
        <v>476</v>
      </c>
      <c r="J910" s="219" t="s">
        <v>13400</v>
      </c>
      <c r="K910" s="219">
        <v>3</v>
      </c>
      <c r="L910" s="219" t="s">
        <v>451</v>
      </c>
      <c r="M910" s="219">
        <v>3000000</v>
      </c>
      <c r="N910" s="219" t="s">
        <v>452</v>
      </c>
      <c r="O910" s="219" t="s">
        <v>6298</v>
      </c>
      <c r="P910" s="219"/>
      <c r="Q910" s="219" t="s">
        <v>24</v>
      </c>
      <c r="R910" s="251"/>
      <c r="S910" s="219"/>
      <c r="T910" s="219"/>
      <c r="U910" s="219"/>
      <c r="V910" s="219"/>
      <c r="W910" s="219"/>
      <c r="X910" s="219"/>
      <c r="Y910" s="219"/>
      <c r="Z910" s="219"/>
    </row>
    <row r="911" spans="1:26" ht="15.75" customHeight="1">
      <c r="A911" s="253">
        <v>44796</v>
      </c>
      <c r="B911" s="224" t="s">
        <v>6375</v>
      </c>
      <c r="C911" s="316">
        <v>2.5</v>
      </c>
      <c r="D911" s="224" t="s">
        <v>6378</v>
      </c>
      <c r="E911" s="224" t="s">
        <v>4</v>
      </c>
      <c r="F911" s="224" t="s">
        <v>602</v>
      </c>
      <c r="G911" s="224" t="s">
        <v>6379</v>
      </c>
      <c r="H911" s="224">
        <v>2</v>
      </c>
      <c r="I911" s="224" t="s">
        <v>1054</v>
      </c>
      <c r="J911" s="224" t="s">
        <v>6380</v>
      </c>
      <c r="K911" s="224">
        <v>3</v>
      </c>
      <c r="L911" s="224" t="s">
        <v>451</v>
      </c>
      <c r="M911" s="332">
        <v>2500000</v>
      </c>
      <c r="N911" s="224" t="s">
        <v>452</v>
      </c>
      <c r="O911" s="224" t="s">
        <v>6381</v>
      </c>
      <c r="P911" s="224"/>
      <c r="Q911" s="224" t="s">
        <v>24</v>
      </c>
      <c r="R911" s="254"/>
      <c r="S911" s="224"/>
      <c r="T911" s="224"/>
      <c r="U911" s="224"/>
      <c r="V911" s="224"/>
      <c r="W911" s="224"/>
      <c r="X911" s="224"/>
      <c r="Y911" s="224"/>
      <c r="Z911" s="224"/>
    </row>
    <row r="912" spans="1:26" ht="15.75" customHeight="1">
      <c r="A912" s="248">
        <v>44796</v>
      </c>
      <c r="B912" s="219" t="s">
        <v>6466</v>
      </c>
      <c r="C912" s="315">
        <v>2.5</v>
      </c>
      <c r="D912" s="219" t="s">
        <v>6469</v>
      </c>
      <c r="E912" s="219" t="s">
        <v>4</v>
      </c>
      <c r="F912" s="219" t="s">
        <v>727</v>
      </c>
      <c r="G912" s="219" t="s">
        <v>11485</v>
      </c>
      <c r="H912" s="219">
        <v>3</v>
      </c>
      <c r="I912" s="219" t="s">
        <v>1371</v>
      </c>
      <c r="J912" s="219" t="s">
        <v>6471</v>
      </c>
      <c r="K912" s="219">
        <v>2</v>
      </c>
      <c r="L912" s="219" t="s">
        <v>451</v>
      </c>
      <c r="M912" s="219">
        <v>500</v>
      </c>
      <c r="N912" s="219" t="s">
        <v>452</v>
      </c>
      <c r="O912" s="219" t="s">
        <v>6472</v>
      </c>
      <c r="P912" s="219"/>
      <c r="Q912" s="219" t="s">
        <v>24</v>
      </c>
      <c r="R912" s="251"/>
      <c r="S912" s="219"/>
      <c r="T912" s="219"/>
      <c r="U912" s="219"/>
      <c r="V912" s="219"/>
      <c r="W912" s="219"/>
      <c r="X912" s="219"/>
      <c r="Y912" s="219"/>
      <c r="Z912" s="219"/>
    </row>
    <row r="913" spans="1:26" ht="15.75" customHeight="1">
      <c r="A913" s="253">
        <v>44796</v>
      </c>
      <c r="B913" s="224" t="s">
        <v>6320</v>
      </c>
      <c r="C913" s="316">
        <v>2.5</v>
      </c>
      <c r="D913" s="224" t="s">
        <v>10443</v>
      </c>
      <c r="E913" s="224" t="s">
        <v>4</v>
      </c>
      <c r="F913" s="224" t="s">
        <v>727</v>
      </c>
      <c r="G913" s="224" t="s">
        <v>10444</v>
      </c>
      <c r="H913" s="224">
        <v>1</v>
      </c>
      <c r="I913" s="224" t="s">
        <v>1281</v>
      </c>
      <c r="J913" s="224" t="s">
        <v>6325</v>
      </c>
      <c r="K913" s="224">
        <v>4</v>
      </c>
      <c r="L913" s="224" t="s">
        <v>451</v>
      </c>
      <c r="M913" s="224" t="s">
        <v>6326</v>
      </c>
      <c r="N913" s="224" t="s">
        <v>465</v>
      </c>
      <c r="O913" s="224" t="s">
        <v>6327</v>
      </c>
      <c r="P913" s="224"/>
      <c r="Q913" s="224" t="s">
        <v>24</v>
      </c>
      <c r="R913" s="254"/>
      <c r="S913" s="224"/>
      <c r="T913" s="224"/>
      <c r="U913" s="224"/>
      <c r="V913" s="224"/>
      <c r="W913" s="224"/>
      <c r="X913" s="224"/>
      <c r="Y913" s="224"/>
      <c r="Z913" s="224"/>
    </row>
    <row r="914" spans="1:26" ht="15.75" customHeight="1">
      <c r="A914" s="248">
        <v>44796</v>
      </c>
      <c r="B914" s="219" t="s">
        <v>6277</v>
      </c>
      <c r="C914" s="315">
        <v>2.5</v>
      </c>
      <c r="D914" s="219" t="s">
        <v>6280</v>
      </c>
      <c r="E914" s="219" t="s">
        <v>4</v>
      </c>
      <c r="F914" s="219" t="s">
        <v>725</v>
      </c>
      <c r="G914" s="219" t="s">
        <v>6281</v>
      </c>
      <c r="H914" s="219">
        <v>2</v>
      </c>
      <c r="I914" s="219" t="s">
        <v>1237</v>
      </c>
      <c r="J914" s="219"/>
      <c r="K914" s="219">
        <v>3</v>
      </c>
      <c r="L914" s="219" t="s">
        <v>451</v>
      </c>
      <c r="M914" s="219">
        <v>1800000</v>
      </c>
      <c r="N914" s="219" t="s">
        <v>452</v>
      </c>
      <c r="O914" s="219" t="s">
        <v>6282</v>
      </c>
      <c r="P914" s="219"/>
      <c r="Q914" s="219" t="s">
        <v>24</v>
      </c>
      <c r="R914" s="251"/>
      <c r="S914" s="219"/>
      <c r="T914" s="219"/>
      <c r="U914" s="219"/>
      <c r="V914" s="219"/>
      <c r="W914" s="219"/>
      <c r="X914" s="219"/>
      <c r="Y914" s="219"/>
      <c r="Z914" s="219"/>
    </row>
    <row r="915" spans="1:26" ht="15.75" customHeight="1">
      <c r="A915" s="253">
        <v>44796</v>
      </c>
      <c r="B915" s="224" t="s">
        <v>6512</v>
      </c>
      <c r="C915" s="316">
        <v>2.5</v>
      </c>
      <c r="D915" s="224" t="s">
        <v>6515</v>
      </c>
      <c r="E915" s="224" t="s">
        <v>4</v>
      </c>
      <c r="F915" s="224" t="s">
        <v>725</v>
      </c>
      <c r="G915" s="224" t="s">
        <v>10485</v>
      </c>
      <c r="H915" s="224">
        <v>2</v>
      </c>
      <c r="I915" s="224" t="s">
        <v>1457</v>
      </c>
      <c r="J915" s="224" t="s">
        <v>6517</v>
      </c>
      <c r="K915" s="224">
        <v>3</v>
      </c>
      <c r="L915" s="224" t="s">
        <v>784</v>
      </c>
      <c r="M915" s="311">
        <v>1200000</v>
      </c>
      <c r="N915" s="224" t="s">
        <v>454</v>
      </c>
      <c r="O915" s="224" t="s">
        <v>6518</v>
      </c>
      <c r="P915" s="224"/>
      <c r="Q915" s="224" t="s">
        <v>24</v>
      </c>
      <c r="R915" s="254"/>
      <c r="S915" s="224"/>
      <c r="T915" s="224"/>
      <c r="U915" s="224"/>
      <c r="V915" s="224"/>
      <c r="W915" s="224"/>
      <c r="X915" s="224"/>
      <c r="Y915" s="224"/>
      <c r="Z915" s="224"/>
    </row>
    <row r="916" spans="1:26" ht="15.75" customHeight="1">
      <c r="A916" s="248">
        <v>44796</v>
      </c>
      <c r="B916" s="219" t="s">
        <v>6589</v>
      </c>
      <c r="C916" s="315">
        <v>2.5</v>
      </c>
      <c r="D916" s="219" t="s">
        <v>6592</v>
      </c>
      <c r="E916" s="219" t="s">
        <v>4</v>
      </c>
      <c r="F916" s="219" t="s">
        <v>1457</v>
      </c>
      <c r="G916" s="219" t="s">
        <v>6593</v>
      </c>
      <c r="H916" s="219">
        <v>3</v>
      </c>
      <c r="I916" s="219" t="s">
        <v>1045</v>
      </c>
      <c r="J916" s="219" t="s">
        <v>6594</v>
      </c>
      <c r="K916" s="219">
        <v>2</v>
      </c>
      <c r="L916" s="219" t="s">
        <v>478</v>
      </c>
      <c r="M916" s="219">
        <v>6000</v>
      </c>
      <c r="N916" s="219" t="s">
        <v>452</v>
      </c>
      <c r="O916" s="219" t="s">
        <v>6595</v>
      </c>
      <c r="P916" s="219"/>
      <c r="Q916" s="219" t="s">
        <v>24</v>
      </c>
      <c r="R916" s="251"/>
      <c r="S916" s="219"/>
      <c r="T916" s="219"/>
      <c r="U916" s="219"/>
      <c r="V916" s="219"/>
      <c r="W916" s="219"/>
      <c r="X916" s="219"/>
      <c r="Y916" s="219"/>
      <c r="Z916" s="219"/>
    </row>
    <row r="917" spans="1:26" ht="15.75" customHeight="1">
      <c r="A917" s="253">
        <v>44796</v>
      </c>
      <c r="B917" s="224" t="s">
        <v>6311</v>
      </c>
      <c r="C917" s="316">
        <v>2.5</v>
      </c>
      <c r="D917" s="224" t="s">
        <v>6314</v>
      </c>
      <c r="E917" s="224" t="s">
        <v>4</v>
      </c>
      <c r="F917" s="224" t="s">
        <v>725</v>
      </c>
      <c r="G917" s="224" t="s">
        <v>10619</v>
      </c>
      <c r="H917" s="224">
        <v>2</v>
      </c>
      <c r="I917" s="224" t="s">
        <v>1281</v>
      </c>
      <c r="J917" s="224" t="s">
        <v>6316</v>
      </c>
      <c r="K917" s="224">
        <v>3</v>
      </c>
      <c r="L917" s="224"/>
      <c r="M917" s="224"/>
      <c r="N917" s="224" t="s">
        <v>452</v>
      </c>
      <c r="O917" s="224" t="s">
        <v>6317</v>
      </c>
      <c r="P917" s="224"/>
      <c r="Q917" s="224" t="s">
        <v>24</v>
      </c>
      <c r="R917" s="254"/>
      <c r="S917" s="224"/>
      <c r="T917" s="224"/>
      <c r="U917" s="224"/>
      <c r="V917" s="224"/>
      <c r="W917" s="224"/>
      <c r="X917" s="224"/>
      <c r="Y917" s="224"/>
      <c r="Z917" s="224"/>
    </row>
    <row r="918" spans="1:26" ht="15.75" customHeight="1">
      <c r="A918" s="248">
        <v>44796</v>
      </c>
      <c r="B918" s="219" t="s">
        <v>9060</v>
      </c>
      <c r="C918" s="315">
        <v>2.5</v>
      </c>
      <c r="D918" s="219" t="s">
        <v>10673</v>
      </c>
      <c r="E918" s="219" t="s">
        <v>3</v>
      </c>
      <c r="F918" s="219" t="s">
        <v>460</v>
      </c>
      <c r="G918" s="219" t="s">
        <v>9064</v>
      </c>
      <c r="H918" s="219">
        <v>3</v>
      </c>
      <c r="I918" s="219" t="s">
        <v>462</v>
      </c>
      <c r="J918" s="219" t="s">
        <v>9065</v>
      </c>
      <c r="K918" s="219">
        <v>2</v>
      </c>
      <c r="L918" s="219" t="s">
        <v>3138</v>
      </c>
      <c r="M918" s="219" t="s">
        <v>9066</v>
      </c>
      <c r="N918" s="219" t="s">
        <v>452</v>
      </c>
      <c r="O918" s="219" t="s">
        <v>10674</v>
      </c>
      <c r="P918" s="219"/>
      <c r="Q918" s="219" t="s">
        <v>24</v>
      </c>
      <c r="R918" s="251"/>
      <c r="S918" s="219"/>
      <c r="T918" s="219"/>
      <c r="U918" s="219"/>
      <c r="V918" s="219"/>
      <c r="W918" s="219"/>
      <c r="X918" s="219"/>
      <c r="Y918" s="219"/>
      <c r="Z918" s="219"/>
    </row>
    <row r="919" spans="1:26" ht="15.75" customHeight="1">
      <c r="A919" s="253">
        <v>44796</v>
      </c>
      <c r="B919" s="224" t="s">
        <v>6228</v>
      </c>
      <c r="C919" s="316">
        <v>2.5</v>
      </c>
      <c r="D919" s="224" t="s">
        <v>6231</v>
      </c>
      <c r="E919" s="224" t="s">
        <v>4</v>
      </c>
      <c r="F919" s="224" t="s">
        <v>725</v>
      </c>
      <c r="G919" s="224" t="s">
        <v>6232</v>
      </c>
      <c r="H919" s="224">
        <v>2</v>
      </c>
      <c r="I919" s="224" t="s">
        <v>1073</v>
      </c>
      <c r="J919" s="224"/>
      <c r="K919" s="224">
        <v>3</v>
      </c>
      <c r="L919" s="224"/>
      <c r="M919" s="224"/>
      <c r="N919" s="224" t="s">
        <v>452</v>
      </c>
      <c r="O919" s="224" t="s">
        <v>452</v>
      </c>
      <c r="P919" s="224"/>
      <c r="Q919" s="224" t="s">
        <v>24</v>
      </c>
      <c r="R919" s="254"/>
      <c r="S919" s="224"/>
      <c r="T919" s="224"/>
      <c r="U919" s="224"/>
      <c r="V919" s="224"/>
      <c r="W919" s="224"/>
      <c r="X919" s="224"/>
      <c r="Y919" s="224"/>
      <c r="Z919" s="224"/>
    </row>
    <row r="920" spans="1:26" ht="15.75" customHeight="1">
      <c r="A920" s="248">
        <v>44796</v>
      </c>
      <c r="B920" s="219" t="s">
        <v>6572</v>
      </c>
      <c r="C920" s="315">
        <v>2.5</v>
      </c>
      <c r="D920" s="219" t="s">
        <v>6575</v>
      </c>
      <c r="E920" s="219" t="s">
        <v>4</v>
      </c>
      <c r="F920" s="219" t="s">
        <v>725</v>
      </c>
      <c r="G920" s="219" t="s">
        <v>6576</v>
      </c>
      <c r="H920" s="219">
        <v>2.5</v>
      </c>
      <c r="I920" s="219" t="s">
        <v>1045</v>
      </c>
      <c r="J920" s="219" t="s">
        <v>6577</v>
      </c>
      <c r="K920" s="219">
        <v>2.5</v>
      </c>
      <c r="L920" s="219" t="s">
        <v>478</v>
      </c>
      <c r="M920" s="219" t="s">
        <v>6578</v>
      </c>
      <c r="N920" s="219" t="s">
        <v>452</v>
      </c>
      <c r="O920" s="219" t="s">
        <v>6578</v>
      </c>
      <c r="P920" s="219"/>
      <c r="Q920" s="219" t="s">
        <v>24</v>
      </c>
      <c r="R920" s="251"/>
      <c r="S920" s="219"/>
      <c r="T920" s="219"/>
      <c r="U920" s="219"/>
      <c r="V920" s="219"/>
      <c r="W920" s="219"/>
      <c r="X920" s="219"/>
      <c r="Y920" s="219"/>
      <c r="Z920" s="219"/>
    </row>
    <row r="921" spans="1:26" ht="15.75" customHeight="1">
      <c r="A921" s="253">
        <v>44796</v>
      </c>
      <c r="B921" s="224" t="s">
        <v>6540</v>
      </c>
      <c r="C921" s="316">
        <v>2.5</v>
      </c>
      <c r="D921" s="224" t="s">
        <v>6543</v>
      </c>
      <c r="E921" s="224" t="s">
        <v>4</v>
      </c>
      <c r="F921" s="224" t="s">
        <v>725</v>
      </c>
      <c r="G921" s="224" t="s">
        <v>10806</v>
      </c>
      <c r="H921" s="224">
        <v>3</v>
      </c>
      <c r="I921" s="224" t="s">
        <v>4054</v>
      </c>
      <c r="J921" s="224"/>
      <c r="K921" s="224">
        <v>2</v>
      </c>
      <c r="L921" s="224" t="s">
        <v>451</v>
      </c>
      <c r="M921" s="330">
        <v>1000000</v>
      </c>
      <c r="N921" s="224" t="s">
        <v>452</v>
      </c>
      <c r="O921" s="224" t="s">
        <v>10807</v>
      </c>
      <c r="P921" s="224" t="s">
        <v>6546</v>
      </c>
      <c r="Q921" s="224" t="s">
        <v>24</v>
      </c>
      <c r="R921" s="254"/>
      <c r="S921" s="224"/>
      <c r="T921" s="224"/>
      <c r="U921" s="224"/>
      <c r="V921" s="224"/>
      <c r="W921" s="224"/>
      <c r="X921" s="224"/>
      <c r="Y921" s="224"/>
      <c r="Z921" s="224"/>
    </row>
    <row r="922" spans="1:26" ht="15.75" customHeight="1">
      <c r="A922" s="248">
        <v>44796</v>
      </c>
      <c r="B922" s="219" t="s">
        <v>6441</v>
      </c>
      <c r="C922" s="315">
        <v>2.5</v>
      </c>
      <c r="D922" s="219" t="s">
        <v>6444</v>
      </c>
      <c r="E922" s="219" t="s">
        <v>4</v>
      </c>
      <c r="F922" s="219" t="s">
        <v>602</v>
      </c>
      <c r="G922" s="219" t="s">
        <v>6445</v>
      </c>
      <c r="H922" s="219">
        <v>2</v>
      </c>
      <c r="I922" s="219" t="s">
        <v>1371</v>
      </c>
      <c r="J922" s="219" t="s">
        <v>6446</v>
      </c>
      <c r="K922" s="219">
        <v>3</v>
      </c>
      <c r="L922" s="219"/>
      <c r="M922" s="219"/>
      <c r="N922" s="219" t="s">
        <v>465</v>
      </c>
      <c r="O922" s="219" t="s">
        <v>1119</v>
      </c>
      <c r="P922" s="219" t="s">
        <v>6447</v>
      </c>
      <c r="Q922" s="219" t="s">
        <v>24</v>
      </c>
      <c r="R922" s="251"/>
      <c r="S922" s="219"/>
      <c r="T922" s="219"/>
      <c r="U922" s="219"/>
      <c r="V922" s="219"/>
      <c r="W922" s="219"/>
      <c r="X922" s="219"/>
      <c r="Y922" s="219"/>
      <c r="Z922" s="219"/>
    </row>
    <row r="923" spans="1:26" ht="15.75" customHeight="1">
      <c r="A923" s="253">
        <v>44796</v>
      </c>
      <c r="B923" s="224" t="s">
        <v>6200</v>
      </c>
      <c r="C923" s="316">
        <v>2.5</v>
      </c>
      <c r="D923" s="224" t="s">
        <v>6203</v>
      </c>
      <c r="E923" s="224" t="s">
        <v>4</v>
      </c>
      <c r="F923" s="224" t="s">
        <v>602</v>
      </c>
      <c r="G923" s="224" t="s">
        <v>6204</v>
      </c>
      <c r="H923" s="224">
        <v>2</v>
      </c>
      <c r="I923" s="224" t="s">
        <v>1073</v>
      </c>
      <c r="J923" s="224"/>
      <c r="K923" s="224">
        <v>3</v>
      </c>
      <c r="L923" s="224" t="s">
        <v>451</v>
      </c>
      <c r="M923" s="224">
        <v>550000</v>
      </c>
      <c r="N923" s="224" t="s">
        <v>465</v>
      </c>
      <c r="O923" s="224" t="s">
        <v>6205</v>
      </c>
      <c r="P923" s="224"/>
      <c r="Q923" s="224" t="s">
        <v>24</v>
      </c>
      <c r="R923" s="254"/>
      <c r="S923" s="224"/>
      <c r="T923" s="224"/>
      <c r="U923" s="224"/>
      <c r="V923" s="224"/>
      <c r="W923" s="224"/>
      <c r="X923" s="224"/>
      <c r="Y923" s="224"/>
      <c r="Z923" s="224"/>
    </row>
    <row r="924" spans="1:26" ht="15.75" customHeight="1">
      <c r="A924" s="248">
        <v>44796</v>
      </c>
      <c r="B924" s="219" t="s">
        <v>6521</v>
      </c>
      <c r="C924" s="315">
        <v>2.5</v>
      </c>
      <c r="D924" s="219" t="s">
        <v>6524</v>
      </c>
      <c r="E924" s="219" t="s">
        <v>4</v>
      </c>
      <c r="F924" s="219" t="s">
        <v>725</v>
      </c>
      <c r="G924" s="219" t="s">
        <v>10942</v>
      </c>
      <c r="H924" s="219">
        <v>3</v>
      </c>
      <c r="I924" s="219" t="s">
        <v>1457</v>
      </c>
      <c r="J924" s="219" t="s">
        <v>6526</v>
      </c>
      <c r="K924" s="219">
        <v>2</v>
      </c>
      <c r="L924" s="219" t="s">
        <v>451</v>
      </c>
      <c r="M924" s="331">
        <v>1000000</v>
      </c>
      <c r="N924" s="219" t="s">
        <v>454</v>
      </c>
      <c r="O924" s="219" t="s">
        <v>6527</v>
      </c>
      <c r="P924" s="219" t="s">
        <v>6528</v>
      </c>
      <c r="Q924" s="219" t="s">
        <v>24</v>
      </c>
      <c r="R924" s="251"/>
      <c r="S924" s="219"/>
      <c r="T924" s="219"/>
      <c r="U924" s="219"/>
      <c r="V924" s="219"/>
      <c r="W924" s="219"/>
      <c r="X924" s="219"/>
      <c r="Y924" s="219"/>
      <c r="Z924" s="219"/>
    </row>
    <row r="925" spans="1:26" ht="15.75" customHeight="1">
      <c r="A925" s="253">
        <v>44796</v>
      </c>
      <c r="B925" s="224" t="s">
        <v>6190</v>
      </c>
      <c r="C925" s="316">
        <v>2.5</v>
      </c>
      <c r="D925" s="224" t="s">
        <v>6193</v>
      </c>
      <c r="E925" s="224" t="s">
        <v>4</v>
      </c>
      <c r="F925" s="224" t="s">
        <v>725</v>
      </c>
      <c r="G925" s="224" t="s">
        <v>10943</v>
      </c>
      <c r="H925" s="224">
        <v>2</v>
      </c>
      <c r="I925" s="224" t="s">
        <v>1036</v>
      </c>
      <c r="J925" s="224" t="s">
        <v>6195</v>
      </c>
      <c r="K925" s="224">
        <v>3</v>
      </c>
      <c r="L925" s="224" t="s">
        <v>478</v>
      </c>
      <c r="M925" s="330">
        <v>10500000</v>
      </c>
      <c r="N925" s="224" t="s">
        <v>452</v>
      </c>
      <c r="O925" s="224" t="s">
        <v>10944</v>
      </c>
      <c r="P925" s="224" t="s">
        <v>6197</v>
      </c>
      <c r="Q925" s="224" t="s">
        <v>24</v>
      </c>
      <c r="R925" s="254"/>
      <c r="S925" s="224"/>
      <c r="T925" s="224"/>
      <c r="U925" s="224"/>
      <c r="V925" s="224"/>
      <c r="W925" s="224"/>
      <c r="X925" s="224"/>
      <c r="Y925" s="224"/>
      <c r="Z925" s="224"/>
    </row>
    <row r="926" spans="1:26" ht="15.75" customHeight="1">
      <c r="A926" s="248">
        <v>44796</v>
      </c>
      <c r="B926" s="219" t="s">
        <v>6399</v>
      </c>
      <c r="C926" s="315">
        <v>2.5</v>
      </c>
      <c r="D926" s="219" t="s">
        <v>6402</v>
      </c>
      <c r="E926" s="219" t="s">
        <v>4</v>
      </c>
      <c r="F926" s="219" t="s">
        <v>725</v>
      </c>
      <c r="G926" s="219" t="s">
        <v>10970</v>
      </c>
      <c r="H926" s="219">
        <v>2</v>
      </c>
      <c r="I926" s="219" t="s">
        <v>1350</v>
      </c>
      <c r="J926" s="219" t="s">
        <v>6404</v>
      </c>
      <c r="K926" s="219">
        <v>3</v>
      </c>
      <c r="L926" s="219" t="s">
        <v>451</v>
      </c>
      <c r="M926" s="331">
        <v>5000000</v>
      </c>
      <c r="N926" s="219" t="s">
        <v>452</v>
      </c>
      <c r="O926" s="219" t="s">
        <v>1119</v>
      </c>
      <c r="P926" s="219"/>
      <c r="Q926" s="219" t="s">
        <v>24</v>
      </c>
      <c r="R926" s="251"/>
      <c r="S926" s="219"/>
      <c r="T926" s="219"/>
      <c r="U926" s="219"/>
      <c r="V926" s="219"/>
      <c r="W926" s="219"/>
      <c r="X926" s="219"/>
      <c r="Y926" s="219"/>
      <c r="Z926" s="219"/>
    </row>
    <row r="927" spans="1:26" ht="15.75" customHeight="1">
      <c r="A927" s="253">
        <v>44796</v>
      </c>
      <c r="B927" s="224" t="s">
        <v>6164</v>
      </c>
      <c r="C927" s="316">
        <v>2.5</v>
      </c>
      <c r="D927" s="224" t="s">
        <v>10987</v>
      </c>
      <c r="E927" s="224" t="s">
        <v>4</v>
      </c>
      <c r="F927" s="224" t="s">
        <v>602</v>
      </c>
      <c r="G927" s="224" t="s">
        <v>6168</v>
      </c>
      <c r="H927" s="224">
        <v>2</v>
      </c>
      <c r="I927" s="224" t="s">
        <v>990</v>
      </c>
      <c r="J927" s="224"/>
      <c r="K927" s="224">
        <v>3</v>
      </c>
      <c r="L927" s="224"/>
      <c r="M927" s="224"/>
      <c r="N927" s="224" t="s">
        <v>452</v>
      </c>
      <c r="O927" s="224" t="s">
        <v>10988</v>
      </c>
      <c r="P927" s="224" t="s">
        <v>6170</v>
      </c>
      <c r="Q927" s="224" t="s">
        <v>24</v>
      </c>
      <c r="R927" s="254"/>
      <c r="S927" s="224"/>
      <c r="T927" s="224"/>
      <c r="U927" s="224"/>
      <c r="V927" s="224"/>
      <c r="W927" s="224"/>
      <c r="X927" s="224"/>
      <c r="Y927" s="224"/>
      <c r="Z927" s="224"/>
    </row>
    <row r="928" spans="1:26" ht="15.75" customHeight="1">
      <c r="A928" s="248">
        <v>44796</v>
      </c>
      <c r="B928" s="219" t="s">
        <v>6356</v>
      </c>
      <c r="C928" s="315">
        <v>2.5</v>
      </c>
      <c r="D928" s="219" t="s">
        <v>6359</v>
      </c>
      <c r="E928" s="219" t="s">
        <v>4</v>
      </c>
      <c r="F928" s="219" t="s">
        <v>602</v>
      </c>
      <c r="G928" s="219" t="s">
        <v>6360</v>
      </c>
      <c r="H928" s="219">
        <v>2</v>
      </c>
      <c r="I928" s="219" t="s">
        <v>1298</v>
      </c>
      <c r="J928" s="219" t="s">
        <v>6361</v>
      </c>
      <c r="K928" s="219">
        <v>3</v>
      </c>
      <c r="L928" s="219" t="s">
        <v>784</v>
      </c>
      <c r="M928" s="312">
        <v>750000</v>
      </c>
      <c r="N928" s="219" t="s">
        <v>452</v>
      </c>
      <c r="O928" s="219" t="s">
        <v>11082</v>
      </c>
      <c r="P928" s="219"/>
      <c r="Q928" s="219" t="s">
        <v>24</v>
      </c>
      <c r="R928" s="251"/>
      <c r="S928" s="219"/>
      <c r="T928" s="219"/>
      <c r="U928" s="219"/>
      <c r="V928" s="219"/>
      <c r="W928" s="219"/>
      <c r="X928" s="219"/>
      <c r="Y928" s="219"/>
      <c r="Z928" s="219"/>
    </row>
    <row r="929" spans="1:26" ht="15.75" customHeight="1">
      <c r="A929" s="253">
        <v>44796</v>
      </c>
      <c r="B929" s="224" t="s">
        <v>11092</v>
      </c>
      <c r="C929" s="316">
        <v>2.5</v>
      </c>
      <c r="D929" s="224" t="s">
        <v>11093</v>
      </c>
      <c r="E929" s="224" t="s">
        <v>5</v>
      </c>
      <c r="F929" s="224" t="s">
        <v>447</v>
      </c>
      <c r="G929" s="224" t="s">
        <v>11094</v>
      </c>
      <c r="H929" s="224">
        <v>2.5</v>
      </c>
      <c r="I929" s="224" t="s">
        <v>449</v>
      </c>
      <c r="J929" s="224" t="s">
        <v>11095</v>
      </c>
      <c r="K929" s="224">
        <v>2.5</v>
      </c>
      <c r="L929" s="224"/>
      <c r="M929" s="224"/>
      <c r="N929" s="224" t="s">
        <v>454</v>
      </c>
      <c r="O929" s="224" t="s">
        <v>1119</v>
      </c>
      <c r="P929" s="224" t="s">
        <v>3538</v>
      </c>
      <c r="Q929" s="224" t="s">
        <v>24</v>
      </c>
      <c r="R929" s="254"/>
      <c r="S929" s="224"/>
      <c r="T929" s="224"/>
      <c r="U929" s="224"/>
      <c r="V929" s="224"/>
      <c r="W929" s="224"/>
      <c r="X929" s="224"/>
      <c r="Y929" s="224"/>
      <c r="Z929" s="224"/>
    </row>
    <row r="930" spans="1:26" ht="15.75" customHeight="1">
      <c r="A930" s="248">
        <v>44796</v>
      </c>
      <c r="B930" s="219" t="s">
        <v>6156</v>
      </c>
      <c r="C930" s="315">
        <v>2.5</v>
      </c>
      <c r="D930" s="219" t="s">
        <v>6159</v>
      </c>
      <c r="E930" s="219" t="s">
        <v>4</v>
      </c>
      <c r="F930" s="219" t="s">
        <v>725</v>
      </c>
      <c r="G930" s="219" t="s">
        <v>11195</v>
      </c>
      <c r="H930" s="219">
        <v>2</v>
      </c>
      <c r="I930" s="219" t="s">
        <v>990</v>
      </c>
      <c r="J930" s="219"/>
      <c r="K930" s="219">
        <v>3</v>
      </c>
      <c r="L930" s="219" t="s">
        <v>451</v>
      </c>
      <c r="M930" s="310">
        <v>900000</v>
      </c>
      <c r="N930" s="219" t="s">
        <v>452</v>
      </c>
      <c r="O930" s="219" t="s">
        <v>6161</v>
      </c>
      <c r="P930" s="219"/>
      <c r="Q930" s="219" t="s">
        <v>24</v>
      </c>
      <c r="R930" s="251"/>
      <c r="S930" s="219"/>
      <c r="T930" s="219"/>
      <c r="U930" s="219"/>
      <c r="V930" s="219"/>
      <c r="W930" s="219"/>
      <c r="X930" s="219"/>
      <c r="Y930" s="219"/>
      <c r="Z930" s="219"/>
    </row>
    <row r="931" spans="1:26" ht="15.75" customHeight="1">
      <c r="A931" s="253">
        <v>44796</v>
      </c>
      <c r="B931" s="224" t="s">
        <v>6484</v>
      </c>
      <c r="C931" s="316">
        <v>2.5</v>
      </c>
      <c r="D931" s="224" t="s">
        <v>6487</v>
      </c>
      <c r="E931" s="224" t="s">
        <v>4</v>
      </c>
      <c r="F931" s="224" t="s">
        <v>447</v>
      </c>
      <c r="G931" s="224" t="s">
        <v>11198</v>
      </c>
      <c r="H931" s="224">
        <v>2</v>
      </c>
      <c r="I931" s="224" t="s">
        <v>1371</v>
      </c>
      <c r="J931" s="224" t="s">
        <v>6489</v>
      </c>
      <c r="K931" s="224">
        <v>3</v>
      </c>
      <c r="L931" s="224"/>
      <c r="M931" s="224"/>
      <c r="N931" s="224" t="s">
        <v>452</v>
      </c>
      <c r="O931" s="224" t="s">
        <v>11199</v>
      </c>
      <c r="P931" s="224"/>
      <c r="Q931" s="224" t="s">
        <v>24</v>
      </c>
      <c r="R931" s="254"/>
      <c r="S931" s="224"/>
      <c r="T931" s="224"/>
      <c r="U931" s="224"/>
      <c r="V931" s="224"/>
      <c r="W931" s="224"/>
      <c r="X931" s="224"/>
      <c r="Y931" s="224"/>
      <c r="Z931" s="224"/>
    </row>
    <row r="932" spans="1:26" ht="15.75" customHeight="1">
      <c r="A932" s="248">
        <v>44796</v>
      </c>
      <c r="B932" s="219" t="s">
        <v>6348</v>
      </c>
      <c r="C932" s="315">
        <v>2.5</v>
      </c>
      <c r="D932" s="219" t="s">
        <v>6351</v>
      </c>
      <c r="E932" s="219" t="s">
        <v>4</v>
      </c>
      <c r="F932" s="219" t="s">
        <v>727</v>
      </c>
      <c r="G932" s="219"/>
      <c r="H932" s="219">
        <v>2</v>
      </c>
      <c r="I932" s="219" t="s">
        <v>1045</v>
      </c>
      <c r="J932" s="219" t="s">
        <v>6352</v>
      </c>
      <c r="K932" s="219">
        <v>3</v>
      </c>
      <c r="L932" s="219" t="s">
        <v>451</v>
      </c>
      <c r="M932" s="219">
        <v>5000000</v>
      </c>
      <c r="N932" s="219" t="s">
        <v>452</v>
      </c>
      <c r="O932" s="219" t="s">
        <v>11232</v>
      </c>
      <c r="P932" s="219"/>
      <c r="Q932" s="219" t="s">
        <v>24</v>
      </c>
      <c r="R932" s="251"/>
      <c r="S932" s="219"/>
      <c r="T932" s="219"/>
      <c r="U932" s="219"/>
      <c r="V932" s="219"/>
      <c r="W932" s="219"/>
      <c r="X932" s="219"/>
      <c r="Y932" s="219"/>
      <c r="Z932" s="219"/>
    </row>
    <row r="933" spans="1:26" ht="15.75" customHeight="1">
      <c r="A933" s="253">
        <v>44796</v>
      </c>
      <c r="B933" s="224" t="s">
        <v>6556</v>
      </c>
      <c r="C933" s="316">
        <v>2.5</v>
      </c>
      <c r="D933" s="224" t="s">
        <v>6559</v>
      </c>
      <c r="E933" s="224" t="s">
        <v>4</v>
      </c>
      <c r="F933" s="224" t="s">
        <v>725</v>
      </c>
      <c r="G933" s="224" t="s">
        <v>6560</v>
      </c>
      <c r="H933" s="224">
        <v>2</v>
      </c>
      <c r="I933" s="224" t="s">
        <v>4054</v>
      </c>
      <c r="J933" s="224"/>
      <c r="K933" s="224">
        <v>3</v>
      </c>
      <c r="L933" s="224" t="s">
        <v>784</v>
      </c>
      <c r="M933" s="224" t="s">
        <v>6561</v>
      </c>
      <c r="N933" s="224" t="s">
        <v>465</v>
      </c>
      <c r="O933" s="224" t="s">
        <v>452</v>
      </c>
      <c r="P933" s="224"/>
      <c r="Q933" s="224" t="s">
        <v>24</v>
      </c>
      <c r="R933" s="254"/>
      <c r="S933" s="224"/>
      <c r="T933" s="224"/>
      <c r="U933" s="224"/>
      <c r="V933" s="224"/>
      <c r="W933" s="224"/>
      <c r="X933" s="224"/>
      <c r="Y933" s="224"/>
      <c r="Z933" s="224"/>
    </row>
    <row r="934" spans="1:26" ht="15.75" customHeight="1">
      <c r="A934" s="248">
        <v>44796</v>
      </c>
      <c r="B934" s="219" t="s">
        <v>8607</v>
      </c>
      <c r="C934" s="315">
        <v>2.5</v>
      </c>
      <c r="D934" s="219" t="s">
        <v>8610</v>
      </c>
      <c r="E934" s="219" t="s">
        <v>3</v>
      </c>
      <c r="F934" s="219" t="s">
        <v>725</v>
      </c>
      <c r="G934" s="219" t="s">
        <v>11331</v>
      </c>
      <c r="H934" s="219">
        <v>3</v>
      </c>
      <c r="I934" s="219" t="s">
        <v>941</v>
      </c>
      <c r="J934" s="219" t="s">
        <v>8612</v>
      </c>
      <c r="K934" s="219">
        <v>2</v>
      </c>
      <c r="L934" s="219"/>
      <c r="M934" s="219"/>
      <c r="N934" s="219" t="s">
        <v>452</v>
      </c>
      <c r="O934" s="219" t="s">
        <v>8613</v>
      </c>
      <c r="P934" s="219" t="s">
        <v>8614</v>
      </c>
      <c r="Q934" s="219" t="s">
        <v>24</v>
      </c>
      <c r="R934" s="251"/>
      <c r="S934" s="219"/>
      <c r="T934" s="219"/>
      <c r="U934" s="219"/>
      <c r="V934" s="219"/>
      <c r="W934" s="219"/>
      <c r="X934" s="219"/>
      <c r="Y934" s="219"/>
      <c r="Z934" s="219"/>
    </row>
    <row r="935" spans="1:26" ht="15.75" customHeight="1">
      <c r="A935" s="253">
        <v>44796</v>
      </c>
      <c r="B935" s="224" t="s">
        <v>6218</v>
      </c>
      <c r="C935" s="316">
        <v>2.5</v>
      </c>
      <c r="D935" s="224" t="s">
        <v>11349</v>
      </c>
      <c r="E935" s="224" t="s">
        <v>4</v>
      </c>
      <c r="F935" s="224" t="s">
        <v>447</v>
      </c>
      <c r="G935" s="224" t="s">
        <v>11350</v>
      </c>
      <c r="H935" s="224">
        <v>2</v>
      </c>
      <c r="I935" s="224" t="s">
        <v>1073</v>
      </c>
      <c r="J935" s="224" t="s">
        <v>6223</v>
      </c>
      <c r="K935" s="224">
        <v>3</v>
      </c>
      <c r="L935" s="224"/>
      <c r="M935" s="224"/>
      <c r="N935" s="224" t="s">
        <v>452</v>
      </c>
      <c r="O935" s="224" t="s">
        <v>6224</v>
      </c>
      <c r="P935" s="224" t="s">
        <v>6225</v>
      </c>
      <c r="Q935" s="224" t="s">
        <v>24</v>
      </c>
      <c r="R935" s="254"/>
      <c r="S935" s="224"/>
      <c r="T935" s="224"/>
      <c r="U935" s="224"/>
      <c r="V935" s="224"/>
      <c r="W935" s="224"/>
      <c r="X935" s="224"/>
      <c r="Y935" s="224"/>
      <c r="Z935" s="224"/>
    </row>
    <row r="936" spans="1:26" ht="15.75" customHeight="1">
      <c r="A936" s="248">
        <v>44796</v>
      </c>
      <c r="B936" s="219" t="s">
        <v>6548</v>
      </c>
      <c r="C936" s="315">
        <v>2.5</v>
      </c>
      <c r="D936" s="219"/>
      <c r="E936" s="219" t="s">
        <v>4</v>
      </c>
      <c r="F936" s="219" t="s">
        <v>602</v>
      </c>
      <c r="G936" s="219"/>
      <c r="H936" s="219">
        <v>2</v>
      </c>
      <c r="I936" s="219" t="s">
        <v>476</v>
      </c>
      <c r="J936" s="219" t="s">
        <v>13400</v>
      </c>
      <c r="K936" s="219">
        <v>3</v>
      </c>
      <c r="L936" s="219" t="s">
        <v>2190</v>
      </c>
      <c r="M936" s="219" t="s">
        <v>6552</v>
      </c>
      <c r="N936" s="219" t="s">
        <v>465</v>
      </c>
      <c r="O936" s="219" t="s">
        <v>6553</v>
      </c>
      <c r="P936" s="219"/>
      <c r="Q936" s="219" t="s">
        <v>24</v>
      </c>
      <c r="R936" s="251"/>
      <c r="S936" s="219"/>
      <c r="T936" s="219"/>
      <c r="U936" s="219"/>
      <c r="V936" s="219"/>
      <c r="W936" s="219"/>
      <c r="X936" s="219"/>
      <c r="Y936" s="219"/>
      <c r="Z936" s="219"/>
    </row>
    <row r="937" spans="1:26" ht="15.75" customHeight="1">
      <c r="A937" s="253">
        <v>44796</v>
      </c>
      <c r="B937" s="224" t="s">
        <v>3340</v>
      </c>
      <c r="C937" s="316">
        <v>2.5</v>
      </c>
      <c r="D937" s="224"/>
      <c r="E937" s="224" t="s">
        <v>5</v>
      </c>
      <c r="F937" s="224" t="s">
        <v>447</v>
      </c>
      <c r="G937" s="224" t="s">
        <v>11371</v>
      </c>
      <c r="H937" s="224">
        <v>2</v>
      </c>
      <c r="I937" s="224" t="s">
        <v>449</v>
      </c>
      <c r="J937" s="224" t="s">
        <v>11372</v>
      </c>
      <c r="K937" s="224">
        <v>3</v>
      </c>
      <c r="L937" s="224" t="s">
        <v>913</v>
      </c>
      <c r="M937" s="224" t="s">
        <v>3345</v>
      </c>
      <c r="N937" s="224" t="s">
        <v>452</v>
      </c>
      <c r="O937" s="224" t="s">
        <v>3346</v>
      </c>
      <c r="P937" s="224"/>
      <c r="Q937" s="224" t="s">
        <v>24</v>
      </c>
      <c r="R937" s="254"/>
      <c r="S937" s="224"/>
      <c r="T937" s="224"/>
      <c r="U937" s="224"/>
      <c r="V937" s="224"/>
      <c r="W937" s="224"/>
      <c r="X937" s="224"/>
      <c r="Y937" s="224"/>
      <c r="Z937" s="224"/>
    </row>
    <row r="938" spans="1:26" ht="15.75" customHeight="1">
      <c r="A938" s="248">
        <v>44796</v>
      </c>
      <c r="B938" s="219" t="s">
        <v>6270</v>
      </c>
      <c r="C938" s="315">
        <v>2.5</v>
      </c>
      <c r="D938" s="219" t="s">
        <v>6273</v>
      </c>
      <c r="E938" s="219" t="s">
        <v>4</v>
      </c>
      <c r="F938" s="219" t="s">
        <v>725</v>
      </c>
      <c r="G938" s="219" t="s">
        <v>6274</v>
      </c>
      <c r="H938" s="219">
        <v>2</v>
      </c>
      <c r="I938" s="219" t="s">
        <v>1237</v>
      </c>
      <c r="J938" s="219"/>
      <c r="K938" s="219">
        <v>3</v>
      </c>
      <c r="L938" s="219" t="s">
        <v>784</v>
      </c>
      <c r="M938" s="310">
        <v>1000000</v>
      </c>
      <c r="N938" s="219" t="s">
        <v>452</v>
      </c>
      <c r="O938" s="219" t="s">
        <v>6275</v>
      </c>
      <c r="P938" s="219"/>
      <c r="Q938" s="219" t="s">
        <v>24</v>
      </c>
      <c r="R938" s="251"/>
      <c r="S938" s="219"/>
      <c r="T938" s="219"/>
      <c r="U938" s="219"/>
      <c r="V938" s="219"/>
      <c r="W938" s="219"/>
      <c r="X938" s="219"/>
      <c r="Y938" s="219"/>
      <c r="Z938" s="219"/>
    </row>
    <row r="939" spans="1:26" ht="15.75" customHeight="1">
      <c r="A939" s="253">
        <v>44796</v>
      </c>
      <c r="B939" s="224" t="s">
        <v>6493</v>
      </c>
      <c r="C939" s="316">
        <v>2.5</v>
      </c>
      <c r="D939" s="224" t="s">
        <v>6496</v>
      </c>
      <c r="E939" s="224" t="s">
        <v>4</v>
      </c>
      <c r="F939" s="224" t="s">
        <v>727</v>
      </c>
      <c r="G939" s="224" t="s">
        <v>11240</v>
      </c>
      <c r="H939" s="224">
        <v>2.5</v>
      </c>
      <c r="I939" s="224" t="s">
        <v>1045</v>
      </c>
      <c r="J939" s="224" t="s">
        <v>6498</v>
      </c>
      <c r="K939" s="224">
        <v>2.5</v>
      </c>
      <c r="L939" s="224" t="s">
        <v>784</v>
      </c>
      <c r="M939" s="330">
        <v>500000</v>
      </c>
      <c r="N939" s="224" t="s">
        <v>452</v>
      </c>
      <c r="O939" s="224" t="s">
        <v>6499</v>
      </c>
      <c r="P939" s="224"/>
      <c r="Q939" s="224" t="s">
        <v>24</v>
      </c>
      <c r="R939" s="254"/>
      <c r="S939" s="224"/>
      <c r="T939" s="224"/>
      <c r="U939" s="224"/>
      <c r="V939" s="224"/>
      <c r="W939" s="224"/>
      <c r="X939" s="224"/>
      <c r="Y939" s="224"/>
      <c r="Z939" s="224"/>
    </row>
    <row r="940" spans="1:26" ht="15.75" customHeight="1">
      <c r="A940" s="248">
        <v>44796</v>
      </c>
      <c r="B940" s="219" t="s">
        <v>6300</v>
      </c>
      <c r="C940" s="315">
        <v>2.5</v>
      </c>
      <c r="D940" s="219"/>
      <c r="E940" s="219" t="s">
        <v>4</v>
      </c>
      <c r="F940" s="219" t="s">
        <v>725</v>
      </c>
      <c r="G940" s="219" t="s">
        <v>11495</v>
      </c>
      <c r="H940" s="219">
        <v>2</v>
      </c>
      <c r="I940" s="219" t="s">
        <v>1281</v>
      </c>
      <c r="J940" s="219" t="s">
        <v>6304</v>
      </c>
      <c r="K940" s="219">
        <v>3</v>
      </c>
      <c r="L940" s="219" t="s">
        <v>6305</v>
      </c>
      <c r="M940" s="219" t="s">
        <v>6306</v>
      </c>
      <c r="N940" s="219" t="s">
        <v>452</v>
      </c>
      <c r="O940" s="219" t="s">
        <v>6307</v>
      </c>
      <c r="P940" s="219" t="s">
        <v>6308</v>
      </c>
      <c r="Q940" s="219" t="s">
        <v>24</v>
      </c>
      <c r="R940" s="251"/>
      <c r="S940" s="219"/>
      <c r="T940" s="219"/>
      <c r="U940" s="219"/>
      <c r="V940" s="219"/>
      <c r="W940" s="219"/>
      <c r="X940" s="219"/>
      <c r="Y940" s="219"/>
      <c r="Z940" s="219"/>
    </row>
    <row r="941" spans="1:26" ht="15.75" customHeight="1">
      <c r="A941" s="253">
        <v>44796</v>
      </c>
      <c r="B941" s="224" t="s">
        <v>6925</v>
      </c>
      <c r="C941" s="316">
        <v>2.25</v>
      </c>
      <c r="D941" s="224" t="s">
        <v>6928</v>
      </c>
      <c r="E941" s="224" t="s">
        <v>4</v>
      </c>
      <c r="F941" s="224" t="s">
        <v>727</v>
      </c>
      <c r="G941" s="224"/>
      <c r="H941" s="224">
        <v>2.5</v>
      </c>
      <c r="I941" s="224" t="s">
        <v>1045</v>
      </c>
      <c r="J941" s="224" t="s">
        <v>6929</v>
      </c>
      <c r="K941" s="224">
        <v>2</v>
      </c>
      <c r="L941" s="224"/>
      <c r="M941" s="224"/>
      <c r="N941" s="224" t="s">
        <v>452</v>
      </c>
      <c r="O941" s="224" t="s">
        <v>6930</v>
      </c>
      <c r="P941" s="224"/>
      <c r="Q941" s="224" t="s">
        <v>24</v>
      </c>
      <c r="R941" s="254"/>
      <c r="S941" s="224"/>
      <c r="T941" s="224"/>
      <c r="U941" s="224"/>
      <c r="V941" s="224"/>
      <c r="W941" s="224"/>
      <c r="X941" s="224"/>
      <c r="Y941" s="224"/>
      <c r="Z941" s="224"/>
    </row>
    <row r="942" spans="1:26" ht="15.75" customHeight="1">
      <c r="A942" s="248">
        <v>44796</v>
      </c>
      <c r="B942" s="219" t="s">
        <v>9022</v>
      </c>
      <c r="C942" s="315">
        <v>2.25</v>
      </c>
      <c r="D942" s="219" t="s">
        <v>10670</v>
      </c>
      <c r="E942" s="219" t="s">
        <v>3</v>
      </c>
      <c r="F942" s="219" t="s">
        <v>460</v>
      </c>
      <c r="G942" s="219" t="s">
        <v>9026</v>
      </c>
      <c r="H942" s="219">
        <v>2</v>
      </c>
      <c r="I942" s="219" t="s">
        <v>462</v>
      </c>
      <c r="J942" s="219" t="s">
        <v>9027</v>
      </c>
      <c r="K942" s="219">
        <v>2.5</v>
      </c>
      <c r="L942" s="219" t="s">
        <v>784</v>
      </c>
      <c r="M942" s="219" t="s">
        <v>9028</v>
      </c>
      <c r="N942" s="219" t="s">
        <v>452</v>
      </c>
      <c r="O942" s="219" t="s">
        <v>9029</v>
      </c>
      <c r="P942" s="219"/>
      <c r="Q942" s="219" t="s">
        <v>24</v>
      </c>
      <c r="R942" s="251"/>
      <c r="S942" s="219"/>
      <c r="T942" s="219"/>
      <c r="U942" s="219"/>
      <c r="V942" s="219"/>
      <c r="W942" s="219"/>
      <c r="X942" s="219"/>
      <c r="Y942" s="219"/>
      <c r="Z942" s="219"/>
    </row>
    <row r="943" spans="1:26" ht="15.75" customHeight="1">
      <c r="A943" s="253">
        <v>44796</v>
      </c>
      <c r="B943" s="224" t="s">
        <v>6622</v>
      </c>
      <c r="C943" s="316">
        <v>2.25</v>
      </c>
      <c r="D943" s="224" t="s">
        <v>6625</v>
      </c>
      <c r="E943" s="224" t="s">
        <v>4</v>
      </c>
      <c r="F943" s="224" t="s">
        <v>725</v>
      </c>
      <c r="G943" s="224" t="s">
        <v>6626</v>
      </c>
      <c r="H943" s="224">
        <v>2</v>
      </c>
      <c r="I943" s="224" t="s">
        <v>462</v>
      </c>
      <c r="J943" s="224" t="s">
        <v>6627</v>
      </c>
      <c r="K943" s="224">
        <v>2.5</v>
      </c>
      <c r="L943" s="224"/>
      <c r="M943" s="224"/>
      <c r="N943" s="224" t="s">
        <v>465</v>
      </c>
      <c r="O943" s="224" t="s">
        <v>10805</v>
      </c>
      <c r="P943" s="224"/>
      <c r="Q943" s="224" t="s">
        <v>24</v>
      </c>
      <c r="R943" s="254"/>
      <c r="S943" s="224"/>
      <c r="T943" s="224"/>
      <c r="U943" s="224"/>
      <c r="V943" s="224"/>
      <c r="W943" s="224"/>
      <c r="X943" s="224"/>
      <c r="Y943" s="224"/>
      <c r="Z943" s="224"/>
    </row>
    <row r="944" spans="1:26" ht="15.75" customHeight="1">
      <c r="A944" s="248">
        <v>44796</v>
      </c>
      <c r="B944" s="219" t="s">
        <v>6771</v>
      </c>
      <c r="C944" s="315">
        <v>2.25</v>
      </c>
      <c r="D944" s="219" t="s">
        <v>6774</v>
      </c>
      <c r="E944" s="219" t="s">
        <v>4</v>
      </c>
      <c r="F944" s="219" t="s">
        <v>447</v>
      </c>
      <c r="G944" s="219" t="s">
        <v>11021</v>
      </c>
      <c r="H944" s="219">
        <v>2.5</v>
      </c>
      <c r="I944" s="219" t="s">
        <v>1298</v>
      </c>
      <c r="J944" s="219" t="s">
        <v>6776</v>
      </c>
      <c r="K944" s="219">
        <v>2</v>
      </c>
      <c r="L944" s="219" t="s">
        <v>451</v>
      </c>
      <c r="M944" s="219">
        <v>2.5</v>
      </c>
      <c r="N944" s="219" t="s">
        <v>465</v>
      </c>
      <c r="O944" s="219" t="s">
        <v>575</v>
      </c>
      <c r="P944" s="219" t="s">
        <v>6777</v>
      </c>
      <c r="Q944" s="219" t="s">
        <v>24</v>
      </c>
      <c r="R944" s="251"/>
      <c r="S944" s="219"/>
      <c r="T944" s="219"/>
      <c r="U944" s="219"/>
      <c r="V944" s="219"/>
      <c r="W944" s="219"/>
      <c r="X944" s="219"/>
      <c r="Y944" s="219"/>
      <c r="Z944" s="219"/>
    </row>
    <row r="945" spans="1:26" ht="15.75" customHeight="1">
      <c r="A945" s="253">
        <v>44796</v>
      </c>
      <c r="B945" s="224" t="s">
        <v>6858</v>
      </c>
      <c r="C945" s="316">
        <v>2.25</v>
      </c>
      <c r="D945" s="224" t="s">
        <v>6861</v>
      </c>
      <c r="E945" s="224" t="s">
        <v>4</v>
      </c>
      <c r="F945" s="224" t="s">
        <v>725</v>
      </c>
      <c r="G945" s="224" t="s">
        <v>11208</v>
      </c>
      <c r="H945" s="224">
        <v>2.5</v>
      </c>
      <c r="I945" s="224" t="s">
        <v>4054</v>
      </c>
      <c r="J945" s="224"/>
      <c r="K945" s="224">
        <v>2</v>
      </c>
      <c r="L945" s="224"/>
      <c r="M945" s="224"/>
      <c r="N945" s="224" t="s">
        <v>452</v>
      </c>
      <c r="O945" s="224" t="s">
        <v>452</v>
      </c>
      <c r="P945" s="224"/>
      <c r="Q945" s="224" t="s">
        <v>24</v>
      </c>
      <c r="R945" s="254"/>
      <c r="S945" s="224"/>
      <c r="T945" s="224"/>
      <c r="U945" s="224"/>
      <c r="V945" s="224"/>
      <c r="W945" s="224"/>
      <c r="X945" s="224"/>
      <c r="Y945" s="224"/>
      <c r="Z945" s="224"/>
    </row>
    <row r="946" spans="1:26" ht="15.75" customHeight="1">
      <c r="A946" s="248">
        <v>44796</v>
      </c>
      <c r="B946" s="219" t="s">
        <v>3027</v>
      </c>
      <c r="C946" s="315">
        <v>2.25</v>
      </c>
      <c r="D946" s="219" t="s">
        <v>11236</v>
      </c>
      <c r="E946" s="219" t="s">
        <v>5</v>
      </c>
      <c r="F946" s="219" t="s">
        <v>447</v>
      </c>
      <c r="G946" s="219" t="s">
        <v>11237</v>
      </c>
      <c r="H946" s="219">
        <v>2</v>
      </c>
      <c r="I946" s="219" t="s">
        <v>543</v>
      </c>
      <c r="J946" s="219" t="e">
        <f>+Intelligent Virtual Assistant
 - not a big market as many people from small to big Tech companies Working on the same issue
 - early to EFL also I think it is not suited for DT
 - need more customers, Maybe Too early for EFL?</f>
        <v>#NAME?</v>
      </c>
      <c r="K946" s="219">
        <v>2.5</v>
      </c>
      <c r="L946" s="219" t="s">
        <v>2190</v>
      </c>
      <c r="M946" s="331">
        <v>363000</v>
      </c>
      <c r="N946" s="219" t="s">
        <v>465</v>
      </c>
      <c r="O946" s="219"/>
      <c r="P946" s="219"/>
      <c r="Q946" s="219" t="s">
        <v>24</v>
      </c>
      <c r="R946" s="251"/>
      <c r="S946" s="219"/>
      <c r="T946" s="219"/>
      <c r="U946" s="219"/>
      <c r="V946" s="219"/>
      <c r="W946" s="219"/>
      <c r="X946" s="219"/>
      <c r="Y946" s="219"/>
      <c r="Z946" s="219"/>
    </row>
    <row r="947" spans="1:26" ht="15.75" customHeight="1">
      <c r="A947" s="253">
        <v>44796</v>
      </c>
      <c r="B947" s="224" t="s">
        <v>8988</v>
      </c>
      <c r="C947" s="316">
        <v>2.25</v>
      </c>
      <c r="D947" s="224"/>
      <c r="E947" s="224" t="s">
        <v>3</v>
      </c>
      <c r="F947" s="224" t="s">
        <v>488</v>
      </c>
      <c r="G947" s="224" t="s">
        <v>8991</v>
      </c>
      <c r="H947" s="224">
        <v>2.5</v>
      </c>
      <c r="I947" s="224" t="s">
        <v>941</v>
      </c>
      <c r="J947" s="224" t="s">
        <v>8992</v>
      </c>
      <c r="K947" s="224">
        <v>2</v>
      </c>
      <c r="L947" s="224" t="s">
        <v>8993</v>
      </c>
      <c r="M947" s="224">
        <v>150000</v>
      </c>
      <c r="N947" s="224" t="s">
        <v>452</v>
      </c>
      <c r="O947" s="224" t="s">
        <v>8994</v>
      </c>
      <c r="P947" s="224"/>
      <c r="Q947" s="224" t="s">
        <v>24</v>
      </c>
      <c r="R947" s="254"/>
      <c r="S947" s="224"/>
      <c r="T947" s="224"/>
      <c r="U947" s="224"/>
      <c r="V947" s="224"/>
      <c r="W947" s="224"/>
      <c r="X947" s="224"/>
      <c r="Y947" s="224"/>
      <c r="Z947" s="224"/>
    </row>
    <row r="948" spans="1:26" ht="15.75" customHeight="1">
      <c r="A948" s="248">
        <v>44796</v>
      </c>
      <c r="B948" s="219" t="s">
        <v>2499</v>
      </c>
      <c r="C948" s="315">
        <v>2.25</v>
      </c>
      <c r="D948" s="219" t="s">
        <v>2502</v>
      </c>
      <c r="E948" s="219" t="s">
        <v>5</v>
      </c>
      <c r="F948" s="219" t="s">
        <v>447</v>
      </c>
      <c r="G948" s="219" t="s">
        <v>11373</v>
      </c>
      <c r="H948" s="219">
        <v>2.5</v>
      </c>
      <c r="I948" s="219" t="s">
        <v>543</v>
      </c>
      <c r="J948" s="219" t="e">
        <f>+Bridge the AEC Industry gap between the design of prefabricated exteriors and the final exterior-wall construction
 - What is the exact Tech in this? Its already using the existing data and plugins to channelise output
 &gt; Secured good seed fund</f>
        <v>#NAME?</v>
      </c>
      <c r="K948" s="219">
        <v>2</v>
      </c>
      <c r="L948" s="219"/>
      <c r="M948" s="219"/>
      <c r="N948" s="219" t="s">
        <v>465</v>
      </c>
      <c r="O948" s="219" t="s">
        <v>575</v>
      </c>
      <c r="P948" s="219" t="s">
        <v>725</v>
      </c>
      <c r="Q948" s="219" t="s">
        <v>24</v>
      </c>
      <c r="R948" s="251"/>
      <c r="S948" s="219"/>
      <c r="T948" s="219"/>
      <c r="U948" s="219"/>
      <c r="V948" s="219"/>
      <c r="W948" s="219"/>
      <c r="X948" s="219"/>
      <c r="Y948" s="219"/>
      <c r="Z948" s="219"/>
    </row>
    <row r="949" spans="1:26" ht="15.75" customHeight="1">
      <c r="A949" s="253">
        <v>44796</v>
      </c>
      <c r="B949" s="224" t="s">
        <v>7041</v>
      </c>
      <c r="C949" s="316">
        <v>2</v>
      </c>
      <c r="D949" s="224" t="s">
        <v>7044</v>
      </c>
      <c r="E949" s="224" t="s">
        <v>4</v>
      </c>
      <c r="F949" s="224" t="s">
        <v>725</v>
      </c>
      <c r="G949" s="224" t="s">
        <v>7045</v>
      </c>
      <c r="H949" s="224">
        <v>2</v>
      </c>
      <c r="I949" s="224" t="s">
        <v>1036</v>
      </c>
      <c r="J949" s="224" t="s">
        <v>7046</v>
      </c>
      <c r="K949" s="224">
        <v>2</v>
      </c>
      <c r="L949" s="224" t="s">
        <v>784</v>
      </c>
      <c r="M949" s="224" t="s">
        <v>7047</v>
      </c>
      <c r="N949" s="224" t="s">
        <v>465</v>
      </c>
      <c r="O949" s="224" t="s">
        <v>7048</v>
      </c>
      <c r="P949" s="224"/>
      <c r="Q949" s="224" t="s">
        <v>24</v>
      </c>
      <c r="R949" s="254"/>
      <c r="S949" s="224"/>
      <c r="T949" s="224"/>
      <c r="U949" s="224"/>
      <c r="V949" s="224"/>
      <c r="W949" s="224"/>
      <c r="X949" s="224"/>
      <c r="Y949" s="224"/>
      <c r="Z949" s="224"/>
    </row>
    <row r="950" spans="1:26" ht="15.75" customHeight="1">
      <c r="A950" s="248">
        <v>44796</v>
      </c>
      <c r="B950" s="219" t="s">
        <v>7318</v>
      </c>
      <c r="C950" s="315">
        <v>2</v>
      </c>
      <c r="D950" s="219" t="s">
        <v>7321</v>
      </c>
      <c r="E950" s="219" t="s">
        <v>4</v>
      </c>
      <c r="F950" s="219" t="s">
        <v>725</v>
      </c>
      <c r="G950" s="219" t="s">
        <v>7322</v>
      </c>
      <c r="H950" s="219">
        <v>2</v>
      </c>
      <c r="I950" s="219" t="s">
        <v>1237</v>
      </c>
      <c r="J950" s="219"/>
      <c r="K950" s="219">
        <v>2</v>
      </c>
      <c r="L950" s="219" t="s">
        <v>451</v>
      </c>
      <c r="M950" s="310">
        <v>1100000</v>
      </c>
      <c r="N950" s="219" t="s">
        <v>452</v>
      </c>
      <c r="O950" s="219" t="s">
        <v>6472</v>
      </c>
      <c r="P950" s="219" t="s">
        <v>585</v>
      </c>
      <c r="Q950" s="219" t="s">
        <v>24</v>
      </c>
      <c r="R950" s="251"/>
      <c r="S950" s="219"/>
      <c r="T950" s="219"/>
      <c r="U950" s="219"/>
      <c r="V950" s="219"/>
      <c r="W950" s="219"/>
      <c r="X950" s="219"/>
      <c r="Y950" s="219"/>
      <c r="Z950" s="219"/>
    </row>
    <row r="951" spans="1:26" ht="15.75" customHeight="1">
      <c r="A951" s="253">
        <v>44796</v>
      </c>
      <c r="B951" s="224" t="s">
        <v>7127</v>
      </c>
      <c r="C951" s="316">
        <v>2</v>
      </c>
      <c r="D951" s="224" t="s">
        <v>7130</v>
      </c>
      <c r="E951" s="224" t="s">
        <v>4</v>
      </c>
      <c r="F951" s="224" t="s">
        <v>727</v>
      </c>
      <c r="G951" s="224" t="s">
        <v>10307</v>
      </c>
      <c r="H951" s="224">
        <v>2</v>
      </c>
      <c r="I951" s="224" t="s">
        <v>1073</v>
      </c>
      <c r="J951" s="224"/>
      <c r="K951" s="224">
        <v>2</v>
      </c>
      <c r="L951" s="224" t="s">
        <v>451</v>
      </c>
      <c r="M951" s="224" t="s">
        <v>7132</v>
      </c>
      <c r="N951" s="224" t="s">
        <v>454</v>
      </c>
      <c r="O951" s="224" t="s">
        <v>7133</v>
      </c>
      <c r="P951" s="224" t="s">
        <v>7134</v>
      </c>
      <c r="Q951" s="224" t="s">
        <v>24</v>
      </c>
      <c r="R951" s="254"/>
      <c r="S951" s="224"/>
      <c r="T951" s="224"/>
      <c r="U951" s="224"/>
      <c r="V951" s="224"/>
      <c r="W951" s="224"/>
      <c r="X951" s="224"/>
      <c r="Y951" s="224"/>
      <c r="Z951" s="224"/>
    </row>
    <row r="952" spans="1:26" ht="15.75" customHeight="1">
      <c r="A952" s="248">
        <v>44796</v>
      </c>
      <c r="B952" s="219" t="s">
        <v>7309</v>
      </c>
      <c r="C952" s="315">
        <v>2</v>
      </c>
      <c r="D952" s="219" t="s">
        <v>7312</v>
      </c>
      <c r="E952" s="219" t="s">
        <v>4</v>
      </c>
      <c r="F952" s="219" t="s">
        <v>727</v>
      </c>
      <c r="G952" s="219" t="s">
        <v>10376</v>
      </c>
      <c r="H952" s="219">
        <v>2</v>
      </c>
      <c r="I952" s="219" t="s">
        <v>1237</v>
      </c>
      <c r="J952" s="219"/>
      <c r="K952" s="219">
        <v>2</v>
      </c>
      <c r="L952" s="219" t="s">
        <v>784</v>
      </c>
      <c r="M952" s="219" t="s">
        <v>7314</v>
      </c>
      <c r="N952" s="219" t="s">
        <v>452</v>
      </c>
      <c r="O952" s="219" t="s">
        <v>7315</v>
      </c>
      <c r="P952" s="219"/>
      <c r="Q952" s="219" t="s">
        <v>24</v>
      </c>
      <c r="R952" s="251"/>
      <c r="S952" s="219"/>
      <c r="T952" s="219"/>
      <c r="U952" s="219"/>
      <c r="V952" s="219"/>
      <c r="W952" s="219"/>
      <c r="X952" s="219"/>
      <c r="Y952" s="219"/>
      <c r="Z952" s="219"/>
    </row>
    <row r="953" spans="1:26" ht="15.75" customHeight="1">
      <c r="A953" s="253">
        <v>44796</v>
      </c>
      <c r="B953" s="224" t="s">
        <v>7389</v>
      </c>
      <c r="C953" s="316">
        <v>2</v>
      </c>
      <c r="D953" s="224" t="s">
        <v>7392</v>
      </c>
      <c r="E953" s="224" t="s">
        <v>4</v>
      </c>
      <c r="F953" s="224" t="s">
        <v>1045</v>
      </c>
      <c r="G953" s="224" t="s">
        <v>7393</v>
      </c>
      <c r="H953" s="224">
        <v>2</v>
      </c>
      <c r="I953" s="224" t="s">
        <v>1298</v>
      </c>
      <c r="J953" s="224" t="s">
        <v>7394</v>
      </c>
      <c r="K953" s="224">
        <v>2</v>
      </c>
      <c r="L953" s="224" t="s">
        <v>784</v>
      </c>
      <c r="M953" s="330">
        <v>250000</v>
      </c>
      <c r="N953" s="224" t="s">
        <v>465</v>
      </c>
      <c r="O953" s="224" t="s">
        <v>452</v>
      </c>
      <c r="P953" s="224"/>
      <c r="Q953" s="224" t="s">
        <v>24</v>
      </c>
      <c r="R953" s="254"/>
      <c r="S953" s="224"/>
      <c r="T953" s="224"/>
      <c r="U953" s="224"/>
      <c r="V953" s="224"/>
      <c r="W953" s="224"/>
      <c r="X953" s="224"/>
      <c r="Y953" s="224"/>
      <c r="Z953" s="224"/>
    </row>
    <row r="954" spans="1:26" ht="15.75" customHeight="1">
      <c r="A954" s="248">
        <v>44796</v>
      </c>
      <c r="B954" s="219" t="s">
        <v>7443</v>
      </c>
      <c r="C954" s="315">
        <v>2</v>
      </c>
      <c r="D954" s="219" t="s">
        <v>7446</v>
      </c>
      <c r="E954" s="219" t="s">
        <v>4</v>
      </c>
      <c r="F954" s="219" t="s">
        <v>727</v>
      </c>
      <c r="G954" s="219" t="s">
        <v>10565</v>
      </c>
      <c r="H954" s="219">
        <v>2</v>
      </c>
      <c r="I954" s="219" t="s">
        <v>1045</v>
      </c>
      <c r="J954" s="219" t="s">
        <v>7448</v>
      </c>
      <c r="K954" s="219">
        <v>2</v>
      </c>
      <c r="L954" s="219" t="s">
        <v>451</v>
      </c>
      <c r="M954" s="219">
        <v>2000000</v>
      </c>
      <c r="N954" s="219" t="s">
        <v>452</v>
      </c>
      <c r="O954" s="219" t="s">
        <v>7449</v>
      </c>
      <c r="P954" s="219"/>
      <c r="Q954" s="219" t="s">
        <v>24</v>
      </c>
      <c r="R954" s="251"/>
      <c r="S954" s="219"/>
      <c r="T954" s="219"/>
      <c r="U954" s="219"/>
      <c r="V954" s="219"/>
      <c r="W954" s="219"/>
      <c r="X954" s="219"/>
      <c r="Y954" s="219"/>
      <c r="Z954" s="219"/>
    </row>
    <row r="955" spans="1:26" ht="15.75" customHeight="1">
      <c r="A955" s="253">
        <v>44796</v>
      </c>
      <c r="B955" s="224" t="s">
        <v>8533</v>
      </c>
      <c r="C955" s="316">
        <v>2</v>
      </c>
      <c r="D955" s="224" t="s">
        <v>8536</v>
      </c>
      <c r="E955" s="224" t="s">
        <v>3</v>
      </c>
      <c r="F955" s="224" t="s">
        <v>460</v>
      </c>
      <c r="G955" s="224" t="s">
        <v>8537</v>
      </c>
      <c r="H955" s="224">
        <v>1</v>
      </c>
      <c r="I955" s="224" t="s">
        <v>462</v>
      </c>
      <c r="J955" s="224" t="s">
        <v>8538</v>
      </c>
      <c r="K955" s="224">
        <v>3</v>
      </c>
      <c r="L955" s="224" t="s">
        <v>451</v>
      </c>
      <c r="M955" s="224" t="s">
        <v>8539</v>
      </c>
      <c r="N955" s="224" t="s">
        <v>452</v>
      </c>
      <c r="O955" s="224" t="s">
        <v>8540</v>
      </c>
      <c r="P955" s="224"/>
      <c r="Q955" s="224" t="s">
        <v>24</v>
      </c>
      <c r="R955" s="254"/>
      <c r="S955" s="224"/>
      <c r="T955" s="224"/>
      <c r="U955" s="224"/>
      <c r="V955" s="224"/>
      <c r="W955" s="224"/>
      <c r="X955" s="224"/>
      <c r="Y955" s="224"/>
      <c r="Z955" s="224"/>
    </row>
    <row r="956" spans="1:26" ht="15.75" customHeight="1">
      <c r="A956" s="248">
        <v>44796</v>
      </c>
      <c r="B956" s="219" t="s">
        <v>7068</v>
      </c>
      <c r="C956" s="315">
        <v>2</v>
      </c>
      <c r="D956" s="219" t="s">
        <v>7071</v>
      </c>
      <c r="E956" s="219" t="s">
        <v>4</v>
      </c>
      <c r="F956" s="219" t="s">
        <v>725</v>
      </c>
      <c r="G956" s="219" t="s">
        <v>7072</v>
      </c>
      <c r="H956" s="219">
        <v>2</v>
      </c>
      <c r="I956" s="219" t="s">
        <v>1036</v>
      </c>
      <c r="J956" s="219" t="s">
        <v>7073</v>
      </c>
      <c r="K956" s="219">
        <v>2</v>
      </c>
      <c r="L956" s="219"/>
      <c r="M956" s="219"/>
      <c r="N956" s="219" t="s">
        <v>452</v>
      </c>
      <c r="O956" s="219" t="s">
        <v>452</v>
      </c>
      <c r="P956" s="219" t="s">
        <v>7074</v>
      </c>
      <c r="Q956" s="219" t="s">
        <v>24</v>
      </c>
      <c r="R956" s="251"/>
      <c r="S956" s="219"/>
      <c r="T956" s="219"/>
      <c r="U956" s="219"/>
      <c r="V956" s="219"/>
      <c r="W956" s="219"/>
      <c r="X956" s="219"/>
      <c r="Y956" s="219"/>
      <c r="Z956" s="219"/>
    </row>
    <row r="957" spans="1:26" ht="15.75" customHeight="1">
      <c r="A957" s="253">
        <v>44796</v>
      </c>
      <c r="B957" s="224" t="s">
        <v>7451</v>
      </c>
      <c r="C957" s="316">
        <v>2</v>
      </c>
      <c r="D957" s="224" t="s">
        <v>10772</v>
      </c>
      <c r="E957" s="224" t="s">
        <v>4</v>
      </c>
      <c r="F957" s="224" t="s">
        <v>725</v>
      </c>
      <c r="G957" s="224" t="s">
        <v>10773</v>
      </c>
      <c r="H957" s="224">
        <v>2</v>
      </c>
      <c r="I957" s="224" t="s">
        <v>1371</v>
      </c>
      <c r="J957" s="224" t="s">
        <v>7456</v>
      </c>
      <c r="K957" s="224">
        <v>2</v>
      </c>
      <c r="L957" s="224" t="s">
        <v>478</v>
      </c>
      <c r="M957" s="224">
        <v>3000000</v>
      </c>
      <c r="N957" s="224" t="s">
        <v>452</v>
      </c>
      <c r="O957" s="224" t="s">
        <v>452</v>
      </c>
      <c r="P957" s="224"/>
      <c r="Q957" s="224" t="s">
        <v>24</v>
      </c>
      <c r="R957" s="254"/>
      <c r="S957" s="224"/>
      <c r="T957" s="224"/>
      <c r="U957" s="224"/>
      <c r="V957" s="224"/>
      <c r="W957" s="224"/>
      <c r="X957" s="224"/>
      <c r="Y957" s="224"/>
      <c r="Z957" s="224"/>
    </row>
    <row r="958" spans="1:26" ht="15.75" customHeight="1">
      <c r="A958" s="248">
        <v>44796</v>
      </c>
      <c r="B958" s="219" t="s">
        <v>7459</v>
      </c>
      <c r="C958" s="315">
        <v>2</v>
      </c>
      <c r="D958" s="219" t="s">
        <v>7462</v>
      </c>
      <c r="E958" s="219" t="s">
        <v>4</v>
      </c>
      <c r="F958" s="219" t="s">
        <v>725</v>
      </c>
      <c r="G958" s="219" t="s">
        <v>10799</v>
      </c>
      <c r="H958" s="219">
        <v>3</v>
      </c>
      <c r="I958" s="219" t="s">
        <v>1371</v>
      </c>
      <c r="J958" s="219" t="s">
        <v>7464</v>
      </c>
      <c r="K958" s="219">
        <v>1</v>
      </c>
      <c r="L958" s="219"/>
      <c r="M958" s="219"/>
      <c r="N958" s="219" t="s">
        <v>454</v>
      </c>
      <c r="O958" s="219" t="s">
        <v>7465</v>
      </c>
      <c r="P958" s="219" t="s">
        <v>7466</v>
      </c>
      <c r="Q958" s="219" t="s">
        <v>24</v>
      </c>
      <c r="R958" s="251"/>
      <c r="S958" s="219"/>
      <c r="T958" s="219"/>
      <c r="U958" s="219"/>
      <c r="V958" s="219"/>
      <c r="W958" s="219"/>
      <c r="X958" s="219"/>
      <c r="Y958" s="219"/>
      <c r="Z958" s="219"/>
    </row>
    <row r="959" spans="1:26" ht="15.75" customHeight="1">
      <c r="A959" s="253">
        <v>44796</v>
      </c>
      <c r="B959" s="224" t="s">
        <v>8842</v>
      </c>
      <c r="C959" s="316">
        <v>2</v>
      </c>
      <c r="D959" s="224" t="s">
        <v>8845</v>
      </c>
      <c r="E959" s="224" t="s">
        <v>3</v>
      </c>
      <c r="F959" s="224" t="s">
        <v>725</v>
      </c>
      <c r="G959" s="224" t="s">
        <v>10843</v>
      </c>
      <c r="H959" s="224">
        <v>2</v>
      </c>
      <c r="I959" s="224" t="s">
        <v>941</v>
      </c>
      <c r="J959" s="224"/>
      <c r="K959" s="224">
        <v>2</v>
      </c>
      <c r="L959" s="224" t="s">
        <v>784</v>
      </c>
      <c r="M959" s="224">
        <v>200000</v>
      </c>
      <c r="N959" s="224" t="s">
        <v>452</v>
      </c>
      <c r="O959" s="224" t="s">
        <v>8847</v>
      </c>
      <c r="P959" s="224"/>
      <c r="Q959" s="224" t="s">
        <v>24</v>
      </c>
      <c r="R959" s="254"/>
      <c r="S959" s="224"/>
      <c r="T959" s="224"/>
      <c r="U959" s="224"/>
      <c r="V959" s="224"/>
      <c r="W959" s="224"/>
      <c r="X959" s="224"/>
      <c r="Y959" s="224"/>
      <c r="Z959" s="224"/>
    </row>
    <row r="960" spans="1:26" ht="15.75" customHeight="1">
      <c r="A960" s="248">
        <v>44796</v>
      </c>
      <c r="B960" s="219" t="s">
        <v>7324</v>
      </c>
      <c r="C960" s="315">
        <v>2</v>
      </c>
      <c r="D960" s="219" t="s">
        <v>10941</v>
      </c>
      <c r="E960" s="219" t="s">
        <v>4</v>
      </c>
      <c r="F960" s="219" t="s">
        <v>725</v>
      </c>
      <c r="G960" s="219"/>
      <c r="H960" s="219">
        <v>2</v>
      </c>
      <c r="I960" s="219" t="s">
        <v>1237</v>
      </c>
      <c r="J960" s="219"/>
      <c r="K960" s="219">
        <v>2</v>
      </c>
      <c r="L960" s="219" t="s">
        <v>451</v>
      </c>
      <c r="M960" s="219" t="s">
        <v>7328</v>
      </c>
      <c r="N960" s="219" t="s">
        <v>454</v>
      </c>
      <c r="O960" s="219" t="s">
        <v>7329</v>
      </c>
      <c r="P960" s="219"/>
      <c r="Q960" s="219" t="s">
        <v>24</v>
      </c>
      <c r="R960" s="251"/>
      <c r="S960" s="219"/>
      <c r="T960" s="219"/>
      <c r="U960" s="219"/>
      <c r="V960" s="219"/>
      <c r="W960" s="219"/>
      <c r="X960" s="219"/>
      <c r="Y960" s="219"/>
      <c r="Z960" s="219"/>
    </row>
    <row r="961" spans="1:26" ht="15.75" customHeight="1">
      <c r="A961" s="253">
        <v>44796</v>
      </c>
      <c r="B961" s="224" t="s">
        <v>7607</v>
      </c>
      <c r="C961" s="316">
        <v>2</v>
      </c>
      <c r="D961" s="224" t="s">
        <v>7610</v>
      </c>
      <c r="E961" s="224" t="s">
        <v>4</v>
      </c>
      <c r="F961" s="224" t="s">
        <v>602</v>
      </c>
      <c r="G961" s="224" t="s">
        <v>7611</v>
      </c>
      <c r="H961" s="224">
        <v>2</v>
      </c>
      <c r="I961" s="224" t="s">
        <v>1045</v>
      </c>
      <c r="J961" s="224" t="s">
        <v>7612</v>
      </c>
      <c r="K961" s="224">
        <v>2</v>
      </c>
      <c r="L961" s="224"/>
      <c r="M961" s="224"/>
      <c r="N961" s="224" t="s">
        <v>452</v>
      </c>
      <c r="O961" s="224" t="s">
        <v>3420</v>
      </c>
      <c r="P961" s="224" t="s">
        <v>725</v>
      </c>
      <c r="Q961" s="224" t="s">
        <v>24</v>
      </c>
      <c r="R961" s="254"/>
      <c r="S961" s="224"/>
      <c r="T961" s="224"/>
      <c r="U961" s="224"/>
      <c r="V961" s="224"/>
      <c r="W961" s="224"/>
      <c r="X961" s="224"/>
      <c r="Y961" s="224"/>
      <c r="Z961" s="224"/>
    </row>
    <row r="962" spans="1:26" ht="15.75" customHeight="1">
      <c r="A962" s="248">
        <v>44796</v>
      </c>
      <c r="B962" s="219" t="s">
        <v>7500</v>
      </c>
      <c r="C962" s="315">
        <v>2</v>
      </c>
      <c r="D962" s="219" t="s">
        <v>7503</v>
      </c>
      <c r="E962" s="219" t="s">
        <v>4</v>
      </c>
      <c r="F962" s="219" t="s">
        <v>602</v>
      </c>
      <c r="G962" s="219" t="s">
        <v>7504</v>
      </c>
      <c r="H962" s="219">
        <v>2</v>
      </c>
      <c r="I962" s="219" t="s">
        <v>1457</v>
      </c>
      <c r="J962" s="219" t="s">
        <v>7505</v>
      </c>
      <c r="K962" s="219">
        <v>2</v>
      </c>
      <c r="L962" s="219" t="s">
        <v>784</v>
      </c>
      <c r="M962" s="310">
        <v>500000</v>
      </c>
      <c r="N962" s="219" t="s">
        <v>452</v>
      </c>
      <c r="O962" s="219" t="s">
        <v>452</v>
      </c>
      <c r="P962" s="219"/>
      <c r="Q962" s="219" t="s">
        <v>24</v>
      </c>
      <c r="R962" s="251"/>
      <c r="S962" s="219"/>
      <c r="T962" s="219"/>
      <c r="U962" s="219"/>
      <c r="V962" s="219"/>
      <c r="W962" s="219"/>
      <c r="X962" s="219"/>
      <c r="Y962" s="219"/>
      <c r="Z962" s="219"/>
    </row>
    <row r="963" spans="1:26" ht="15.75" customHeight="1">
      <c r="A963" s="253">
        <v>44796</v>
      </c>
      <c r="B963" s="224" t="s">
        <v>6940</v>
      </c>
      <c r="C963" s="316">
        <v>2</v>
      </c>
      <c r="D963" s="224" t="s">
        <v>6943</v>
      </c>
      <c r="E963" s="224" t="s">
        <v>4</v>
      </c>
      <c r="F963" s="224" t="s">
        <v>725</v>
      </c>
      <c r="G963" s="224" t="s">
        <v>11128</v>
      </c>
      <c r="H963" s="224">
        <v>2</v>
      </c>
      <c r="I963" s="224" t="s">
        <v>1045</v>
      </c>
      <c r="J963" s="224" t="s">
        <v>6945</v>
      </c>
      <c r="K963" s="224">
        <v>2</v>
      </c>
      <c r="L963" s="224"/>
      <c r="M963" s="224"/>
      <c r="N963" s="224" t="s">
        <v>454</v>
      </c>
      <c r="O963" s="224" t="s">
        <v>452</v>
      </c>
      <c r="P963" s="224"/>
      <c r="Q963" s="224" t="s">
        <v>24</v>
      </c>
      <c r="R963" s="254"/>
      <c r="S963" s="224"/>
      <c r="T963" s="224"/>
      <c r="U963" s="224"/>
      <c r="V963" s="224"/>
      <c r="W963" s="224"/>
      <c r="X963" s="224"/>
      <c r="Y963" s="224"/>
      <c r="Z963" s="224"/>
    </row>
    <row r="964" spans="1:26" ht="15.75" customHeight="1">
      <c r="A964" s="248">
        <v>44796</v>
      </c>
      <c r="B964" s="219" t="s">
        <v>7025</v>
      </c>
      <c r="C964" s="315">
        <v>2</v>
      </c>
      <c r="D964" s="219" t="s">
        <v>7028</v>
      </c>
      <c r="E964" s="219" t="s">
        <v>4</v>
      </c>
      <c r="F964" s="219" t="s">
        <v>725</v>
      </c>
      <c r="G964" s="219" t="s">
        <v>11139</v>
      </c>
      <c r="H964" s="219">
        <v>2</v>
      </c>
      <c r="I964" s="219" t="s">
        <v>1045</v>
      </c>
      <c r="J964" s="219" t="s">
        <v>7030</v>
      </c>
      <c r="K964" s="219">
        <v>2</v>
      </c>
      <c r="L964" s="219"/>
      <c r="M964" s="219"/>
      <c r="N964" s="219" t="s">
        <v>454</v>
      </c>
      <c r="O964" s="219" t="s">
        <v>452</v>
      </c>
      <c r="P964" s="219"/>
      <c r="Q964" s="219" t="s">
        <v>24</v>
      </c>
      <c r="R964" s="251"/>
      <c r="S964" s="219"/>
      <c r="T964" s="219"/>
      <c r="U964" s="219"/>
      <c r="V964" s="219"/>
      <c r="W964" s="219"/>
      <c r="X964" s="219"/>
      <c r="Y964" s="219"/>
      <c r="Z964" s="219"/>
    </row>
    <row r="965" spans="1:26" ht="15.75" customHeight="1">
      <c r="A965" s="253">
        <v>44796</v>
      </c>
      <c r="B965" s="224" t="s">
        <v>7339</v>
      </c>
      <c r="C965" s="316">
        <v>2</v>
      </c>
      <c r="D965" s="224" t="s">
        <v>7342</v>
      </c>
      <c r="E965" s="224" t="s">
        <v>4</v>
      </c>
      <c r="F965" s="224" t="s">
        <v>602</v>
      </c>
      <c r="G965" s="224" t="s">
        <v>7343</v>
      </c>
      <c r="H965" s="224">
        <v>2</v>
      </c>
      <c r="I965" s="224" t="s">
        <v>1281</v>
      </c>
      <c r="J965" s="224" t="s">
        <v>7344</v>
      </c>
      <c r="K965" s="224">
        <v>2</v>
      </c>
      <c r="L965" s="224" t="s">
        <v>451</v>
      </c>
      <c r="M965" s="330">
        <v>8000000</v>
      </c>
      <c r="N965" s="224" t="s">
        <v>465</v>
      </c>
      <c r="O965" s="224" t="s">
        <v>11146</v>
      </c>
      <c r="P965" s="224"/>
      <c r="Q965" s="224" t="s">
        <v>24</v>
      </c>
      <c r="R965" s="254"/>
      <c r="S965" s="224"/>
      <c r="T965" s="224"/>
      <c r="U965" s="224"/>
      <c r="V965" s="224"/>
      <c r="W965" s="224"/>
      <c r="X965" s="224"/>
      <c r="Y965" s="224"/>
      <c r="Z965" s="224"/>
    </row>
    <row r="966" spans="1:26" ht="15.75" customHeight="1">
      <c r="A966" s="248">
        <v>44796</v>
      </c>
      <c r="B966" s="219" t="s">
        <v>7178</v>
      </c>
      <c r="C966" s="315">
        <v>2</v>
      </c>
      <c r="D966" s="219" t="s">
        <v>11176</v>
      </c>
      <c r="E966" s="219" t="s">
        <v>4</v>
      </c>
      <c r="F966" s="219" t="s">
        <v>725</v>
      </c>
      <c r="G966" s="219" t="s">
        <v>7182</v>
      </c>
      <c r="H966" s="219">
        <v>2</v>
      </c>
      <c r="I966" s="219" t="s">
        <v>476</v>
      </c>
      <c r="J966" s="219" t="s">
        <v>13400</v>
      </c>
      <c r="K966" s="219">
        <v>2</v>
      </c>
      <c r="L966" s="219"/>
      <c r="M966" s="219"/>
      <c r="N966" s="219" t="s">
        <v>452</v>
      </c>
      <c r="O966" s="219" t="s">
        <v>11178</v>
      </c>
      <c r="P966" s="219"/>
      <c r="Q966" s="219" t="s">
        <v>24</v>
      </c>
      <c r="R966" s="251"/>
      <c r="S966" s="219"/>
      <c r="T966" s="219"/>
      <c r="U966" s="219"/>
      <c r="V966" s="219"/>
      <c r="W966" s="219"/>
      <c r="X966" s="219"/>
      <c r="Y966" s="219"/>
      <c r="Z966" s="219"/>
    </row>
    <row r="967" spans="1:26" ht="15.75" customHeight="1">
      <c r="A967" s="253">
        <v>44796</v>
      </c>
      <c r="B967" s="224" t="s">
        <v>8687</v>
      </c>
      <c r="C967" s="316">
        <v>2</v>
      </c>
      <c r="D967" s="224" t="s">
        <v>11239</v>
      </c>
      <c r="E967" s="224" t="s">
        <v>3</v>
      </c>
      <c r="F967" s="224" t="s">
        <v>488</v>
      </c>
      <c r="G967" s="224" t="s">
        <v>8691</v>
      </c>
      <c r="H967" s="224">
        <v>2</v>
      </c>
      <c r="I967" s="224" t="s">
        <v>941</v>
      </c>
      <c r="J967" s="224" t="s">
        <v>8692</v>
      </c>
      <c r="K967" s="224">
        <v>2</v>
      </c>
      <c r="L967" s="224"/>
      <c r="M967" s="224"/>
      <c r="N967" s="224" t="s">
        <v>454</v>
      </c>
      <c r="O967" s="224" t="s">
        <v>1119</v>
      </c>
      <c r="P967" s="224"/>
      <c r="Q967" s="224" t="s">
        <v>24</v>
      </c>
      <c r="R967" s="254"/>
      <c r="S967" s="224"/>
      <c r="T967" s="224"/>
      <c r="U967" s="224"/>
      <c r="V967" s="224"/>
      <c r="W967" s="224"/>
      <c r="X967" s="224"/>
      <c r="Y967" s="224"/>
      <c r="Z967" s="224"/>
    </row>
    <row r="968" spans="1:26" ht="15.75" customHeight="1">
      <c r="A968" s="248">
        <v>44796</v>
      </c>
      <c r="B968" s="219" t="s">
        <v>8935</v>
      </c>
      <c r="C968" s="315">
        <v>2</v>
      </c>
      <c r="D968" s="219"/>
      <c r="E968" s="219" t="s">
        <v>3</v>
      </c>
      <c r="F968" s="219" t="s">
        <v>488</v>
      </c>
      <c r="G968" s="219" t="s">
        <v>8938</v>
      </c>
      <c r="H968" s="219">
        <v>2</v>
      </c>
      <c r="I968" s="219" t="s">
        <v>941</v>
      </c>
      <c r="J968" s="219"/>
      <c r="K968" s="219">
        <v>2</v>
      </c>
      <c r="L968" s="219" t="s">
        <v>8939</v>
      </c>
      <c r="M968" s="219">
        <v>500000</v>
      </c>
      <c r="N968" s="219" t="s">
        <v>454</v>
      </c>
      <c r="O968" s="219" t="s">
        <v>8938</v>
      </c>
      <c r="P968" s="219"/>
      <c r="Q968" s="219" t="s">
        <v>24</v>
      </c>
      <c r="R968" s="251"/>
      <c r="S968" s="219"/>
      <c r="T968" s="219"/>
      <c r="U968" s="219"/>
      <c r="V968" s="219"/>
      <c r="W968" s="219"/>
      <c r="X968" s="219"/>
      <c r="Y968" s="219"/>
      <c r="Z968" s="219"/>
    </row>
    <row r="969" spans="1:26" ht="15.75" customHeight="1">
      <c r="A969" s="253">
        <v>44796</v>
      </c>
      <c r="B969" s="224" t="s">
        <v>6983</v>
      </c>
      <c r="C969" s="316">
        <v>2</v>
      </c>
      <c r="D969" s="224" t="s">
        <v>6986</v>
      </c>
      <c r="E969" s="224" t="s">
        <v>4</v>
      </c>
      <c r="F969" s="224" t="s">
        <v>725</v>
      </c>
      <c r="G969" s="224" t="s">
        <v>11256</v>
      </c>
      <c r="H969" s="224">
        <v>2</v>
      </c>
      <c r="I969" s="224" t="s">
        <v>462</v>
      </c>
      <c r="J969" s="224" t="s">
        <v>6988</v>
      </c>
      <c r="K969" s="224">
        <v>2</v>
      </c>
      <c r="L969" s="224" t="s">
        <v>451</v>
      </c>
      <c r="M969" s="311">
        <v>10000000</v>
      </c>
      <c r="N969" s="224" t="s">
        <v>452</v>
      </c>
      <c r="O969" s="224" t="s">
        <v>6989</v>
      </c>
      <c r="P969" s="224"/>
      <c r="Q969" s="224" t="s">
        <v>24</v>
      </c>
      <c r="R969" s="254"/>
      <c r="S969" s="224"/>
      <c r="T969" s="224"/>
      <c r="U969" s="224"/>
      <c r="V969" s="224"/>
      <c r="W969" s="224"/>
      <c r="X969" s="224"/>
      <c r="Y969" s="224"/>
      <c r="Z969" s="224"/>
    </row>
    <row r="970" spans="1:26" ht="15.75" customHeight="1">
      <c r="A970" s="248">
        <v>44796</v>
      </c>
      <c r="B970" s="219" t="s">
        <v>7210</v>
      </c>
      <c r="C970" s="315">
        <v>2</v>
      </c>
      <c r="D970" s="219"/>
      <c r="E970" s="219" t="s">
        <v>4</v>
      </c>
      <c r="F970" s="219" t="s">
        <v>725</v>
      </c>
      <c r="G970" s="219" t="s">
        <v>7213</v>
      </c>
      <c r="H970" s="219">
        <v>2</v>
      </c>
      <c r="I970" s="219" t="s">
        <v>1187</v>
      </c>
      <c r="J970" s="219" t="s">
        <v>7214</v>
      </c>
      <c r="K970" s="219">
        <v>2</v>
      </c>
      <c r="L970" s="219" t="s">
        <v>2190</v>
      </c>
      <c r="M970" s="219" t="s">
        <v>4828</v>
      </c>
      <c r="N970" s="219" t="s">
        <v>465</v>
      </c>
      <c r="O970" s="219" t="s">
        <v>7215</v>
      </c>
      <c r="P970" s="219" t="s">
        <v>7216</v>
      </c>
      <c r="Q970" s="219" t="s">
        <v>24</v>
      </c>
      <c r="R970" s="251"/>
      <c r="S970" s="219"/>
      <c r="T970" s="219"/>
      <c r="U970" s="219"/>
      <c r="V970" s="219"/>
      <c r="W970" s="219"/>
      <c r="X970" s="219"/>
      <c r="Y970" s="219"/>
      <c r="Z970" s="219"/>
    </row>
    <row r="971" spans="1:26" ht="15.75" customHeight="1">
      <c r="A971" s="253">
        <v>44796</v>
      </c>
      <c r="B971" s="224" t="s">
        <v>7397</v>
      </c>
      <c r="C971" s="316">
        <v>2</v>
      </c>
      <c r="D971" s="224" t="s">
        <v>7400</v>
      </c>
      <c r="E971" s="224" t="s">
        <v>4</v>
      </c>
      <c r="F971" s="224" t="s">
        <v>727</v>
      </c>
      <c r="G971" s="224" t="s">
        <v>11300</v>
      </c>
      <c r="H971" s="224">
        <v>2</v>
      </c>
      <c r="I971" s="224" t="s">
        <v>1054</v>
      </c>
      <c r="J971" s="224" t="s">
        <v>7402</v>
      </c>
      <c r="K971" s="224">
        <v>2</v>
      </c>
      <c r="L971" s="224" t="s">
        <v>451</v>
      </c>
      <c r="M971" s="311">
        <v>200000</v>
      </c>
      <c r="N971" s="224" t="s">
        <v>452</v>
      </c>
      <c r="O971" s="224" t="s">
        <v>7403</v>
      </c>
      <c r="P971" s="224"/>
      <c r="Q971" s="224" t="s">
        <v>24</v>
      </c>
      <c r="R971" s="254"/>
      <c r="S971" s="224"/>
      <c r="T971" s="224"/>
      <c r="U971" s="224"/>
      <c r="V971" s="224"/>
      <c r="W971" s="224"/>
      <c r="X971" s="224"/>
      <c r="Y971" s="224"/>
      <c r="Z971" s="224"/>
    </row>
    <row r="972" spans="1:26" ht="15.75" customHeight="1">
      <c r="A972" s="248">
        <v>44796</v>
      </c>
      <c r="B972" s="219" t="s">
        <v>8652</v>
      </c>
      <c r="C972" s="315">
        <v>2</v>
      </c>
      <c r="D972" s="219"/>
      <c r="E972" s="219" t="s">
        <v>3</v>
      </c>
      <c r="F972" s="219" t="s">
        <v>488</v>
      </c>
      <c r="G972" s="219" t="s">
        <v>11348</v>
      </c>
      <c r="H972" s="219">
        <v>2</v>
      </c>
      <c r="I972" s="219" t="s">
        <v>462</v>
      </c>
      <c r="J972" s="219" t="s">
        <v>8656</v>
      </c>
      <c r="K972" s="219">
        <v>2</v>
      </c>
      <c r="L972" s="219" t="s">
        <v>2190</v>
      </c>
      <c r="M972" s="219" t="s">
        <v>8657</v>
      </c>
      <c r="N972" s="219" t="s">
        <v>452</v>
      </c>
      <c r="O972" s="219" t="s">
        <v>8658</v>
      </c>
      <c r="P972" s="219" t="s">
        <v>8659</v>
      </c>
      <c r="Q972" s="219" t="s">
        <v>24</v>
      </c>
      <c r="R972" s="251"/>
      <c r="S972" s="219"/>
      <c r="T972" s="219"/>
      <c r="U972" s="219"/>
      <c r="V972" s="219"/>
      <c r="W972" s="219"/>
      <c r="X972" s="219"/>
      <c r="Y972" s="219"/>
      <c r="Z972" s="219"/>
    </row>
    <row r="973" spans="1:26" ht="15.75" customHeight="1">
      <c r="A973" s="253">
        <v>44796</v>
      </c>
      <c r="B973" s="224" t="s">
        <v>7018</v>
      </c>
      <c r="C973" s="316">
        <v>2</v>
      </c>
      <c r="D973" s="224"/>
      <c r="E973" s="224" t="s">
        <v>4</v>
      </c>
      <c r="F973" s="224" t="s">
        <v>725</v>
      </c>
      <c r="G973" s="224" t="s">
        <v>7021</v>
      </c>
      <c r="H973" s="224">
        <v>2</v>
      </c>
      <c r="I973" s="224" t="s">
        <v>462</v>
      </c>
      <c r="J973" s="224" t="s">
        <v>7022</v>
      </c>
      <c r="K973" s="224">
        <v>2</v>
      </c>
      <c r="L973" s="224" t="s">
        <v>2190</v>
      </c>
      <c r="M973" s="330">
        <v>1500000</v>
      </c>
      <c r="N973" s="224" t="s">
        <v>452</v>
      </c>
      <c r="O973" s="224" t="s">
        <v>452</v>
      </c>
      <c r="P973" s="224"/>
      <c r="Q973" s="224" t="s">
        <v>24</v>
      </c>
      <c r="R973" s="254"/>
      <c r="S973" s="224"/>
      <c r="T973" s="224"/>
      <c r="U973" s="224"/>
      <c r="V973" s="224"/>
      <c r="W973" s="224"/>
      <c r="X973" s="224"/>
      <c r="Y973" s="224"/>
      <c r="Z973" s="224"/>
    </row>
    <row r="974" spans="1:26" ht="15.75" customHeight="1">
      <c r="A974" s="248">
        <v>44796</v>
      </c>
      <c r="B974" s="219" t="s">
        <v>7574</v>
      </c>
      <c r="C974" s="315">
        <v>2</v>
      </c>
      <c r="D974" s="219"/>
      <c r="E974" s="219" t="s">
        <v>4</v>
      </c>
      <c r="F974" s="219" t="s">
        <v>725</v>
      </c>
      <c r="G974" s="219"/>
      <c r="H974" s="219">
        <v>2</v>
      </c>
      <c r="I974" s="219" t="s">
        <v>1045</v>
      </c>
      <c r="J974" s="219" t="s">
        <v>7577</v>
      </c>
      <c r="K974" s="219">
        <v>2</v>
      </c>
      <c r="L974" s="219" t="s">
        <v>2190</v>
      </c>
      <c r="M974" s="219">
        <v>1000000</v>
      </c>
      <c r="N974" s="219" t="s">
        <v>452</v>
      </c>
      <c r="O974" s="219" t="s">
        <v>7578</v>
      </c>
      <c r="P974" s="219" t="s">
        <v>7579</v>
      </c>
      <c r="Q974" s="219" t="s">
        <v>24</v>
      </c>
      <c r="R974" s="251"/>
      <c r="S974" s="219"/>
      <c r="T974" s="219"/>
      <c r="U974" s="219"/>
      <c r="V974" s="219"/>
      <c r="W974" s="219"/>
      <c r="X974" s="219"/>
      <c r="Y974" s="219"/>
      <c r="Z974" s="219"/>
    </row>
    <row r="975" spans="1:26" ht="15.75" customHeight="1">
      <c r="A975" s="253">
        <v>44796</v>
      </c>
      <c r="B975" s="224" t="s">
        <v>7228</v>
      </c>
      <c r="C975" s="316">
        <v>2</v>
      </c>
      <c r="D975" s="224" t="s">
        <v>7231</v>
      </c>
      <c r="E975" s="224" t="s">
        <v>4</v>
      </c>
      <c r="F975" s="224" t="s">
        <v>602</v>
      </c>
      <c r="G975" s="224" t="s">
        <v>7232</v>
      </c>
      <c r="H975" s="224">
        <v>2</v>
      </c>
      <c r="I975" s="224" t="s">
        <v>1187</v>
      </c>
      <c r="J975" s="224" t="s">
        <v>7233</v>
      </c>
      <c r="K975" s="224">
        <v>2</v>
      </c>
      <c r="L975" s="224"/>
      <c r="M975" s="224"/>
      <c r="N975" s="224" t="s">
        <v>452</v>
      </c>
      <c r="O975" s="224" t="s">
        <v>452</v>
      </c>
      <c r="P975" s="224"/>
      <c r="Q975" s="224" t="s">
        <v>24</v>
      </c>
      <c r="R975" s="254"/>
      <c r="S975" s="224"/>
      <c r="T975" s="224"/>
      <c r="U975" s="224"/>
      <c r="V975" s="224"/>
      <c r="W975" s="224"/>
      <c r="X975" s="224"/>
      <c r="Y975" s="224"/>
      <c r="Z975" s="224"/>
    </row>
    <row r="976" spans="1:26" ht="15.75" customHeight="1">
      <c r="A976" s="248">
        <v>44796</v>
      </c>
      <c r="B976" s="219" t="s">
        <v>10598</v>
      </c>
      <c r="C976" s="315">
        <v>1.75</v>
      </c>
      <c r="D976" s="219" t="s">
        <v>7693</v>
      </c>
      <c r="E976" s="219" t="s">
        <v>4</v>
      </c>
      <c r="F976" s="219" t="s">
        <v>727</v>
      </c>
      <c r="G976" s="219" t="s">
        <v>10599</v>
      </c>
      <c r="H976" s="219">
        <v>2.5</v>
      </c>
      <c r="I976" s="219" t="s">
        <v>1371</v>
      </c>
      <c r="J976" s="219" t="s">
        <v>7695</v>
      </c>
      <c r="K976" s="219">
        <v>1</v>
      </c>
      <c r="L976" s="219" t="s">
        <v>451</v>
      </c>
      <c r="M976" s="310">
        <v>2000000</v>
      </c>
      <c r="N976" s="219" t="s">
        <v>452</v>
      </c>
      <c r="O976" s="219" t="s">
        <v>7696</v>
      </c>
      <c r="P976" s="219"/>
      <c r="Q976" s="219" t="s">
        <v>24</v>
      </c>
      <c r="R976" s="251"/>
      <c r="S976" s="219"/>
      <c r="T976" s="219"/>
      <c r="U976" s="219"/>
      <c r="V976" s="219"/>
      <c r="W976" s="219"/>
      <c r="X976" s="219"/>
      <c r="Y976" s="219"/>
      <c r="Z976" s="219"/>
    </row>
    <row r="977" spans="1:26" ht="15.75" customHeight="1">
      <c r="A977" s="253">
        <v>44796</v>
      </c>
      <c r="B977" s="224" t="s">
        <v>7650</v>
      </c>
      <c r="C977" s="316">
        <v>1.75</v>
      </c>
      <c r="D977" s="224" t="s">
        <v>10789</v>
      </c>
      <c r="E977" s="224" t="s">
        <v>4</v>
      </c>
      <c r="F977" s="224" t="s">
        <v>725</v>
      </c>
      <c r="G977" s="224" t="s">
        <v>10790</v>
      </c>
      <c r="H977" s="224">
        <v>2.5</v>
      </c>
      <c r="I977" s="224" t="s">
        <v>1036</v>
      </c>
      <c r="J977" s="224" t="s">
        <v>7655</v>
      </c>
      <c r="K977" s="224">
        <v>1</v>
      </c>
      <c r="L977" s="224"/>
      <c r="M977" s="224"/>
      <c r="N977" s="224" t="s">
        <v>454</v>
      </c>
      <c r="O977" s="224" t="s">
        <v>7656</v>
      </c>
      <c r="P977" s="224"/>
      <c r="Q977" s="224" t="s">
        <v>24</v>
      </c>
      <c r="R977" s="254"/>
      <c r="S977" s="224"/>
      <c r="T977" s="224"/>
      <c r="U977" s="224"/>
      <c r="V977" s="224"/>
      <c r="W977" s="224"/>
      <c r="X977" s="224"/>
      <c r="Y977" s="224"/>
      <c r="Z977" s="224"/>
    </row>
    <row r="978" spans="1:26" ht="15.75" customHeight="1">
      <c r="A978" s="248">
        <v>44796</v>
      </c>
      <c r="B978" s="219" t="s">
        <v>7708</v>
      </c>
      <c r="C978" s="315">
        <v>1.75</v>
      </c>
      <c r="D978" s="219" t="s">
        <v>7711</v>
      </c>
      <c r="E978" s="219" t="s">
        <v>4</v>
      </c>
      <c r="F978" s="219" t="s">
        <v>725</v>
      </c>
      <c r="G978" s="219" t="s">
        <v>7712</v>
      </c>
      <c r="H978" s="219">
        <v>2</v>
      </c>
      <c r="I978" s="219" t="s">
        <v>476</v>
      </c>
      <c r="J978" s="219" t="s">
        <v>11097</v>
      </c>
      <c r="K978" s="219">
        <v>1.5</v>
      </c>
      <c r="L978" s="219" t="s">
        <v>4416</v>
      </c>
      <c r="M978" s="331">
        <v>1500000</v>
      </c>
      <c r="N978" s="219" t="s">
        <v>452</v>
      </c>
      <c r="O978" s="219" t="s">
        <v>7714</v>
      </c>
      <c r="P978" s="219"/>
      <c r="Q978" s="219" t="s">
        <v>24</v>
      </c>
      <c r="R978" s="251"/>
      <c r="S978" s="219"/>
      <c r="T978" s="219"/>
      <c r="U978" s="219"/>
      <c r="V978" s="219"/>
      <c r="W978" s="219"/>
      <c r="X978" s="219"/>
      <c r="Y978" s="219"/>
      <c r="Z978" s="219"/>
    </row>
    <row r="979" spans="1:26" ht="15.75" customHeight="1">
      <c r="A979" s="253">
        <v>44796</v>
      </c>
      <c r="B979" s="224" t="s">
        <v>11155</v>
      </c>
      <c r="C979" s="316">
        <v>1.75</v>
      </c>
      <c r="D979" s="224" t="s">
        <v>7745</v>
      </c>
      <c r="E979" s="224" t="s">
        <v>4</v>
      </c>
      <c r="F979" s="224" t="s">
        <v>602</v>
      </c>
      <c r="G979" s="224" t="s">
        <v>7746</v>
      </c>
      <c r="H979" s="224">
        <v>2</v>
      </c>
      <c r="I979" s="224" t="s">
        <v>1045</v>
      </c>
      <c r="J979" s="224" t="s">
        <v>7747</v>
      </c>
      <c r="K979" s="224">
        <v>1.5</v>
      </c>
      <c r="L979" s="224"/>
      <c r="M979" s="224"/>
      <c r="N979" s="224" t="s">
        <v>454</v>
      </c>
      <c r="O979" s="224" t="s">
        <v>7748</v>
      </c>
      <c r="P979" s="224"/>
      <c r="Q979" s="224" t="s">
        <v>24</v>
      </c>
      <c r="R979" s="254"/>
      <c r="S979" s="224"/>
      <c r="T979" s="224"/>
      <c r="U979" s="224"/>
      <c r="V979" s="224"/>
      <c r="W979" s="224"/>
      <c r="X979" s="224"/>
      <c r="Y979" s="224"/>
      <c r="Z979" s="224"/>
    </row>
    <row r="980" spans="1:26" ht="15.75" customHeight="1">
      <c r="A980" s="248">
        <v>44796</v>
      </c>
      <c r="B980" s="219" t="s">
        <v>10214</v>
      </c>
      <c r="C980" s="315">
        <v>1.5</v>
      </c>
      <c r="D980" s="219" t="s">
        <v>8059</v>
      </c>
      <c r="E980" s="219" t="s">
        <v>4</v>
      </c>
      <c r="F980" s="219" t="s">
        <v>727</v>
      </c>
      <c r="G980" s="219" t="s">
        <v>10215</v>
      </c>
      <c r="H980" s="219">
        <v>2</v>
      </c>
      <c r="I980" s="219" t="s">
        <v>476</v>
      </c>
      <c r="J980" s="219" t="s">
        <v>8061</v>
      </c>
      <c r="K980" s="219">
        <v>1</v>
      </c>
      <c r="L980" s="219" t="s">
        <v>451</v>
      </c>
      <c r="M980" s="331">
        <v>900000</v>
      </c>
      <c r="N980" s="219" t="s">
        <v>452</v>
      </c>
      <c r="O980" s="219" t="s">
        <v>8062</v>
      </c>
      <c r="P980" s="219" t="s">
        <v>8063</v>
      </c>
      <c r="Q980" s="219" t="s">
        <v>24</v>
      </c>
      <c r="R980" s="251"/>
      <c r="S980" s="219"/>
      <c r="T980" s="219"/>
      <c r="U980" s="219"/>
      <c r="V980" s="219"/>
      <c r="W980" s="219"/>
      <c r="X980" s="219"/>
      <c r="Y980" s="219"/>
      <c r="Z980" s="219"/>
    </row>
    <row r="981" spans="1:26" ht="15.75" customHeight="1">
      <c r="A981" s="253">
        <v>44796</v>
      </c>
      <c r="B981" s="224" t="s">
        <v>7792</v>
      </c>
      <c r="C981" s="316">
        <v>1.5</v>
      </c>
      <c r="D981" s="224" t="s">
        <v>7795</v>
      </c>
      <c r="E981" s="224" t="s">
        <v>4</v>
      </c>
      <c r="F981" s="224" t="s">
        <v>727</v>
      </c>
      <c r="G981" s="224" t="s">
        <v>10416</v>
      </c>
      <c r="H981" s="224">
        <v>2</v>
      </c>
      <c r="I981" s="224" t="s">
        <v>1036</v>
      </c>
      <c r="J981" s="224" t="s">
        <v>7797</v>
      </c>
      <c r="K981" s="224">
        <v>1</v>
      </c>
      <c r="L981" s="224" t="s">
        <v>7798</v>
      </c>
      <c r="M981" s="224" t="s">
        <v>7799</v>
      </c>
      <c r="N981" s="224" t="s">
        <v>452</v>
      </c>
      <c r="O981" s="224" t="s">
        <v>7800</v>
      </c>
      <c r="P981" s="224"/>
      <c r="Q981" s="224" t="s">
        <v>24</v>
      </c>
      <c r="R981" s="254"/>
      <c r="S981" s="224"/>
      <c r="T981" s="224"/>
      <c r="U981" s="224"/>
      <c r="V981" s="224"/>
      <c r="W981" s="224"/>
      <c r="X981" s="224"/>
      <c r="Y981" s="224"/>
      <c r="Z981" s="224"/>
    </row>
    <row r="982" spans="1:26" ht="15.75" customHeight="1">
      <c r="A982" s="248">
        <v>44796</v>
      </c>
      <c r="B982" s="219" t="s">
        <v>7860</v>
      </c>
      <c r="C982" s="315">
        <v>1.5</v>
      </c>
      <c r="D982" s="219" t="s">
        <v>7863</v>
      </c>
      <c r="E982" s="219" t="s">
        <v>4</v>
      </c>
      <c r="F982" s="219" t="s">
        <v>727</v>
      </c>
      <c r="G982" s="219" t="s">
        <v>10563</v>
      </c>
      <c r="H982" s="219">
        <v>2</v>
      </c>
      <c r="I982" s="219" t="s">
        <v>1045</v>
      </c>
      <c r="J982" s="219" t="s">
        <v>7865</v>
      </c>
      <c r="K982" s="219">
        <v>1</v>
      </c>
      <c r="L982" s="219"/>
      <c r="M982" s="219"/>
      <c r="N982" s="219" t="s">
        <v>465</v>
      </c>
      <c r="O982" s="219" t="s">
        <v>10564</v>
      </c>
      <c r="P982" s="219"/>
      <c r="Q982" s="219" t="s">
        <v>24</v>
      </c>
      <c r="R982" s="251"/>
      <c r="S982" s="219"/>
      <c r="T982" s="219"/>
      <c r="U982" s="219"/>
      <c r="V982" s="219"/>
      <c r="W982" s="219"/>
      <c r="X982" s="219"/>
      <c r="Y982" s="219"/>
      <c r="Z982" s="219"/>
    </row>
    <row r="983" spans="1:26" ht="15.75" customHeight="1">
      <c r="A983" s="253">
        <v>44796</v>
      </c>
      <c r="B983" s="224" t="s">
        <v>7933</v>
      </c>
      <c r="C983" s="316">
        <v>1.5</v>
      </c>
      <c r="D983" s="224" t="s">
        <v>7936</v>
      </c>
      <c r="E983" s="224" t="s">
        <v>4</v>
      </c>
      <c r="F983" s="224" t="s">
        <v>727</v>
      </c>
      <c r="G983" s="224" t="s">
        <v>10587</v>
      </c>
      <c r="H983" s="224">
        <v>2</v>
      </c>
      <c r="I983" s="224" t="s">
        <v>1371</v>
      </c>
      <c r="J983" s="224" t="s">
        <v>7938</v>
      </c>
      <c r="K983" s="224">
        <v>1</v>
      </c>
      <c r="L983" s="224"/>
      <c r="M983" s="224"/>
      <c r="N983" s="224" t="s">
        <v>454</v>
      </c>
      <c r="O983" s="224" t="s">
        <v>452</v>
      </c>
      <c r="P983" s="224"/>
      <c r="Q983" s="224" t="s">
        <v>24</v>
      </c>
      <c r="R983" s="254"/>
      <c r="S983" s="224"/>
      <c r="T983" s="224"/>
      <c r="U983" s="224"/>
      <c r="V983" s="224"/>
      <c r="W983" s="224"/>
      <c r="X983" s="224"/>
      <c r="Y983" s="224"/>
      <c r="Z983" s="224"/>
    </row>
    <row r="984" spans="1:26" ht="15.75" customHeight="1">
      <c r="A984" s="248">
        <v>44796</v>
      </c>
      <c r="B984" s="219" t="s">
        <v>9243</v>
      </c>
      <c r="C984" s="315">
        <v>1.5</v>
      </c>
      <c r="D984" s="219" t="s">
        <v>9246</v>
      </c>
      <c r="E984" s="219" t="s">
        <v>3</v>
      </c>
      <c r="F984" s="219" t="s">
        <v>460</v>
      </c>
      <c r="G984" s="219" t="s">
        <v>9247</v>
      </c>
      <c r="H984" s="219">
        <v>1</v>
      </c>
      <c r="I984" s="219" t="s">
        <v>462</v>
      </c>
      <c r="J984" s="219" t="s">
        <v>9248</v>
      </c>
      <c r="K984" s="219">
        <v>2</v>
      </c>
      <c r="L984" s="219"/>
      <c r="M984" s="219"/>
      <c r="N984" s="219" t="s">
        <v>454</v>
      </c>
      <c r="O984" s="219" t="s">
        <v>452</v>
      </c>
      <c r="P984" s="219" t="s">
        <v>725</v>
      </c>
      <c r="Q984" s="219" t="s">
        <v>24</v>
      </c>
      <c r="R984" s="251"/>
      <c r="S984" s="219"/>
      <c r="T984" s="219"/>
      <c r="U984" s="219"/>
      <c r="V984" s="219"/>
      <c r="W984" s="219"/>
      <c r="X984" s="219"/>
      <c r="Y984" s="219"/>
      <c r="Z984" s="219"/>
    </row>
    <row r="985" spans="1:26" ht="15.75" customHeight="1">
      <c r="A985" s="253">
        <v>44796</v>
      </c>
      <c r="B985" s="224" t="s">
        <v>7758</v>
      </c>
      <c r="C985" s="316">
        <v>1.5</v>
      </c>
      <c r="D985" s="224" t="s">
        <v>7761</v>
      </c>
      <c r="E985" s="224" t="s">
        <v>4</v>
      </c>
      <c r="F985" s="224" t="s">
        <v>725</v>
      </c>
      <c r="G985" s="224"/>
      <c r="H985" s="224">
        <v>1</v>
      </c>
      <c r="I985" s="224" t="s">
        <v>1036</v>
      </c>
      <c r="J985" s="224" t="s">
        <v>7762</v>
      </c>
      <c r="K985" s="224">
        <v>2</v>
      </c>
      <c r="L985" s="224"/>
      <c r="M985" s="224"/>
      <c r="N985" s="224" t="s">
        <v>465</v>
      </c>
      <c r="O985" s="224" t="s">
        <v>10771</v>
      </c>
      <c r="P985" s="224"/>
      <c r="Q985" s="224" t="s">
        <v>24</v>
      </c>
      <c r="R985" s="254"/>
      <c r="S985" s="224"/>
      <c r="T985" s="224"/>
      <c r="U985" s="224"/>
      <c r="V985" s="224"/>
      <c r="W985" s="224"/>
      <c r="X985" s="224"/>
      <c r="Y985" s="224"/>
      <c r="Z985" s="224"/>
    </row>
    <row r="986" spans="1:26" ht="15.75" customHeight="1">
      <c r="A986" s="248">
        <v>44796</v>
      </c>
      <c r="B986" s="219" t="s">
        <v>7843</v>
      </c>
      <c r="C986" s="315">
        <v>1.5</v>
      </c>
      <c r="D986" s="219" t="s">
        <v>10800</v>
      </c>
      <c r="E986" s="219" t="s">
        <v>4</v>
      </c>
      <c r="F986" s="219" t="s">
        <v>725</v>
      </c>
      <c r="G986" s="219" t="s">
        <v>10801</v>
      </c>
      <c r="H986" s="219">
        <v>1</v>
      </c>
      <c r="I986" s="219" t="s">
        <v>1237</v>
      </c>
      <c r="J986" s="219"/>
      <c r="K986" s="219">
        <v>2</v>
      </c>
      <c r="L986" s="219"/>
      <c r="M986" s="219"/>
      <c r="N986" s="219" t="s">
        <v>454</v>
      </c>
      <c r="O986" s="219" t="s">
        <v>10802</v>
      </c>
      <c r="P986" s="219"/>
      <c r="Q986" s="219" t="s">
        <v>24</v>
      </c>
      <c r="R986" s="251"/>
      <c r="S986" s="219"/>
      <c r="T986" s="219"/>
      <c r="U986" s="219"/>
      <c r="V986" s="219"/>
      <c r="W986" s="219"/>
      <c r="X986" s="219"/>
      <c r="Y986" s="219"/>
      <c r="Z986" s="219"/>
    </row>
    <row r="987" spans="1:26" ht="15.75" customHeight="1">
      <c r="A987" s="253">
        <v>44796</v>
      </c>
      <c r="B987" s="224" t="s">
        <v>7997</v>
      </c>
      <c r="C987" s="316">
        <v>1.5</v>
      </c>
      <c r="D987" s="224" t="s">
        <v>8000</v>
      </c>
      <c r="E987" s="224" t="s">
        <v>4</v>
      </c>
      <c r="F987" s="224" t="s">
        <v>602</v>
      </c>
      <c r="G987" s="224" t="s">
        <v>8001</v>
      </c>
      <c r="H987" s="224">
        <v>2</v>
      </c>
      <c r="I987" s="224" t="s">
        <v>1371</v>
      </c>
      <c r="J987" s="224" t="s">
        <v>8002</v>
      </c>
      <c r="K987" s="224">
        <v>1</v>
      </c>
      <c r="L987" s="224" t="s">
        <v>451</v>
      </c>
      <c r="M987" s="330">
        <v>500000</v>
      </c>
      <c r="N987" s="224" t="s">
        <v>452</v>
      </c>
      <c r="O987" s="224" t="s">
        <v>8003</v>
      </c>
      <c r="P987" s="224"/>
      <c r="Q987" s="224" t="s">
        <v>24</v>
      </c>
      <c r="R987" s="254"/>
      <c r="S987" s="224"/>
      <c r="T987" s="224"/>
      <c r="U987" s="224"/>
      <c r="V987" s="224"/>
      <c r="W987" s="224"/>
      <c r="X987" s="224"/>
      <c r="Y987" s="224"/>
      <c r="Z987" s="224"/>
    </row>
    <row r="988" spans="1:26" ht="15.75" customHeight="1">
      <c r="A988" s="248">
        <v>44796</v>
      </c>
      <c r="B988" s="219" t="s">
        <v>7783</v>
      </c>
      <c r="C988" s="315">
        <v>1.5</v>
      </c>
      <c r="D988" s="219" t="s">
        <v>7786</v>
      </c>
      <c r="E988" s="219" t="s">
        <v>4</v>
      </c>
      <c r="F988" s="219" t="s">
        <v>447</v>
      </c>
      <c r="G988" s="219" t="s">
        <v>10920</v>
      </c>
      <c r="H988" s="219">
        <v>2</v>
      </c>
      <c r="I988" s="219" t="s">
        <v>1036</v>
      </c>
      <c r="J988" s="219" t="s">
        <v>7788</v>
      </c>
      <c r="K988" s="219">
        <v>1</v>
      </c>
      <c r="L988" s="219" t="s">
        <v>451</v>
      </c>
      <c r="M988" s="219">
        <v>1000000</v>
      </c>
      <c r="N988" s="219" t="s">
        <v>452</v>
      </c>
      <c r="O988" s="219" t="s">
        <v>10921</v>
      </c>
      <c r="P988" s="219"/>
      <c r="Q988" s="219" t="s">
        <v>24</v>
      </c>
      <c r="R988" s="251"/>
      <c r="S988" s="219"/>
      <c r="T988" s="219"/>
      <c r="U988" s="219"/>
      <c r="V988" s="219"/>
      <c r="W988" s="219"/>
      <c r="X988" s="219"/>
      <c r="Y988" s="219"/>
      <c r="Z988" s="219"/>
    </row>
    <row r="989" spans="1:26" ht="15.75" customHeight="1">
      <c r="A989" s="253">
        <v>44796</v>
      </c>
      <c r="B989" s="224" t="s">
        <v>8033</v>
      </c>
      <c r="C989" s="316">
        <v>1.5</v>
      </c>
      <c r="D989" s="224" t="s">
        <v>8036</v>
      </c>
      <c r="E989" s="224" t="s">
        <v>4</v>
      </c>
      <c r="F989" s="224" t="s">
        <v>725</v>
      </c>
      <c r="G989" s="224" t="s">
        <v>8037</v>
      </c>
      <c r="H989" s="224">
        <v>2</v>
      </c>
      <c r="I989" s="224" t="s">
        <v>4054</v>
      </c>
      <c r="J989" s="224"/>
      <c r="K989" s="224">
        <v>1</v>
      </c>
      <c r="L989" s="224"/>
      <c r="M989" s="224"/>
      <c r="N989" s="224" t="s">
        <v>465</v>
      </c>
      <c r="O989" s="224" t="s">
        <v>8038</v>
      </c>
      <c r="P989" s="224"/>
      <c r="Q989" s="224" t="s">
        <v>24</v>
      </c>
      <c r="R989" s="254"/>
      <c r="S989" s="224"/>
      <c r="T989" s="224"/>
      <c r="U989" s="224"/>
      <c r="V989" s="224"/>
      <c r="W989" s="224"/>
      <c r="X989" s="224"/>
      <c r="Y989" s="224"/>
      <c r="Z989" s="224"/>
    </row>
    <row r="990" spans="1:26" ht="15.75" customHeight="1">
      <c r="A990" s="248">
        <v>44796</v>
      </c>
      <c r="B990" s="219" t="s">
        <v>7970</v>
      </c>
      <c r="C990" s="315">
        <v>1.5</v>
      </c>
      <c r="D990" s="219" t="s">
        <v>11111</v>
      </c>
      <c r="E990" s="219" t="s">
        <v>4</v>
      </c>
      <c r="F990" s="219" t="s">
        <v>447</v>
      </c>
      <c r="G990" s="219" t="s">
        <v>11112</v>
      </c>
      <c r="H990" s="219">
        <v>1</v>
      </c>
      <c r="I990" s="219" t="s">
        <v>1371</v>
      </c>
      <c r="J990" s="219" t="s">
        <v>7975</v>
      </c>
      <c r="K990" s="219">
        <v>2</v>
      </c>
      <c r="L990" s="219"/>
      <c r="M990" s="219"/>
      <c r="N990" s="219" t="s">
        <v>454</v>
      </c>
      <c r="O990" s="219" t="s">
        <v>1028</v>
      </c>
      <c r="P990" s="219"/>
      <c r="Q990" s="219" t="s">
        <v>24</v>
      </c>
      <c r="R990" s="251"/>
      <c r="S990" s="219"/>
      <c r="T990" s="219"/>
      <c r="U990" s="219"/>
      <c r="V990" s="219"/>
      <c r="W990" s="219"/>
      <c r="X990" s="219"/>
      <c r="Y990" s="219"/>
      <c r="Z990" s="219"/>
    </row>
    <row r="991" spans="1:26" ht="15.75" customHeight="1">
      <c r="A991" s="253">
        <v>44796</v>
      </c>
      <c r="B991" s="224" t="s">
        <v>2318</v>
      </c>
      <c r="C991" s="316">
        <v>1.5</v>
      </c>
      <c r="D991" s="224"/>
      <c r="E991" s="224" t="s">
        <v>5</v>
      </c>
      <c r="F991" s="224" t="s">
        <v>447</v>
      </c>
      <c r="G991" s="224" t="s">
        <v>11234</v>
      </c>
      <c r="H991" s="224">
        <v>1</v>
      </c>
      <c r="I991" s="224" t="s">
        <v>449</v>
      </c>
      <c r="J991" s="224" t="s">
        <v>11235</v>
      </c>
      <c r="K991" s="224">
        <v>2</v>
      </c>
      <c r="L991" s="224" t="s">
        <v>2190</v>
      </c>
      <c r="M991" s="330">
        <v>2000000</v>
      </c>
      <c r="N991" s="224" t="s">
        <v>452</v>
      </c>
      <c r="O991" s="224" t="s">
        <v>2323</v>
      </c>
      <c r="P991" s="224"/>
      <c r="Q991" s="224" t="s">
        <v>24</v>
      </c>
      <c r="R991" s="254"/>
      <c r="S991" s="224"/>
      <c r="T991" s="224"/>
      <c r="U991" s="224"/>
      <c r="V991" s="224"/>
      <c r="W991" s="224"/>
      <c r="X991" s="224"/>
      <c r="Y991" s="224"/>
      <c r="Z991" s="224"/>
    </row>
    <row r="992" spans="1:26" ht="15.75" customHeight="1">
      <c r="A992" s="248">
        <v>44796</v>
      </c>
      <c r="B992" s="219" t="s">
        <v>2353</v>
      </c>
      <c r="C992" s="315">
        <v>1.5</v>
      </c>
      <c r="D992" s="219" t="s">
        <v>2356</v>
      </c>
      <c r="E992" s="219" t="s">
        <v>5</v>
      </c>
      <c r="F992" s="219" t="s">
        <v>447</v>
      </c>
      <c r="G992" s="219" t="s">
        <v>11251</v>
      </c>
      <c r="H992" s="219">
        <v>2</v>
      </c>
      <c r="I992" s="219" t="s">
        <v>622</v>
      </c>
      <c r="J992" s="219" t="s">
        <v>2358</v>
      </c>
      <c r="K992" s="219">
        <v>1</v>
      </c>
      <c r="L992" s="219" t="s">
        <v>451</v>
      </c>
      <c r="M992" s="219">
        <v>3000000</v>
      </c>
      <c r="N992" s="219" t="s">
        <v>452</v>
      </c>
      <c r="O992" s="219" t="s">
        <v>2359</v>
      </c>
      <c r="P992" s="219"/>
      <c r="Q992" s="219" t="s">
        <v>24</v>
      </c>
      <c r="R992" s="251"/>
      <c r="S992" s="219"/>
      <c r="T992" s="219"/>
      <c r="U992" s="219"/>
      <c r="V992" s="219"/>
      <c r="W992" s="219"/>
      <c r="X992" s="219"/>
      <c r="Y992" s="219"/>
      <c r="Z992" s="219"/>
    </row>
    <row r="993" spans="1:26" ht="15.75" customHeight="1">
      <c r="A993" s="253">
        <v>44796</v>
      </c>
      <c r="B993" s="224" t="s">
        <v>7886</v>
      </c>
      <c r="C993" s="316">
        <v>1.5</v>
      </c>
      <c r="D993" s="224"/>
      <c r="E993" s="224" t="s">
        <v>4</v>
      </c>
      <c r="F993" s="224" t="s">
        <v>725</v>
      </c>
      <c r="G993" s="224"/>
      <c r="H993" s="224">
        <v>1</v>
      </c>
      <c r="I993" s="224" t="s">
        <v>1298</v>
      </c>
      <c r="J993" s="224" t="s">
        <v>7889</v>
      </c>
      <c r="K993" s="224">
        <v>2</v>
      </c>
      <c r="L993" s="224" t="s">
        <v>2190</v>
      </c>
      <c r="M993" s="224">
        <v>2000000</v>
      </c>
      <c r="N993" s="224" t="s">
        <v>452</v>
      </c>
      <c r="O993" s="224" t="s">
        <v>7890</v>
      </c>
      <c r="P993" s="224"/>
      <c r="Q993" s="224" t="s">
        <v>24</v>
      </c>
      <c r="R993" s="254"/>
      <c r="S993" s="224"/>
      <c r="T993" s="224"/>
      <c r="U993" s="224"/>
      <c r="V993" s="224"/>
      <c r="W993" s="224"/>
      <c r="X993" s="224"/>
      <c r="Y993" s="224"/>
      <c r="Z993" s="224"/>
    </row>
    <row r="994" spans="1:26" ht="15.75" customHeight="1">
      <c r="A994" s="248">
        <v>44796</v>
      </c>
      <c r="B994" s="219" t="s">
        <v>7835</v>
      </c>
      <c r="C994" s="315">
        <v>1.5</v>
      </c>
      <c r="D994" s="219" t="s">
        <v>11316</v>
      </c>
      <c r="E994" s="219" t="s">
        <v>4</v>
      </c>
      <c r="F994" s="219" t="s">
        <v>725</v>
      </c>
      <c r="G994" s="219" t="s">
        <v>11317</v>
      </c>
      <c r="H994" s="219">
        <v>1</v>
      </c>
      <c r="I994" s="219" t="s">
        <v>1187</v>
      </c>
      <c r="J994" s="219" t="s">
        <v>7840</v>
      </c>
      <c r="K994" s="219">
        <v>2</v>
      </c>
      <c r="L994" s="219"/>
      <c r="M994" s="219"/>
      <c r="N994" s="219" t="s">
        <v>452</v>
      </c>
      <c r="O994" s="219" t="s">
        <v>11318</v>
      </c>
      <c r="P994" s="219"/>
      <c r="Q994" s="219" t="s">
        <v>24</v>
      </c>
      <c r="R994" s="251"/>
      <c r="S994" s="219"/>
      <c r="T994" s="219"/>
      <c r="U994" s="219"/>
      <c r="V994" s="219"/>
      <c r="W994" s="219"/>
      <c r="X994" s="219"/>
      <c r="Y994" s="219"/>
      <c r="Z994" s="219"/>
    </row>
    <row r="995" spans="1:26" ht="15.75" customHeight="1">
      <c r="A995" s="253">
        <v>44796</v>
      </c>
      <c r="B995" s="224" t="s">
        <v>7893</v>
      </c>
      <c r="C995" s="316">
        <v>1.5</v>
      </c>
      <c r="D995" s="224"/>
      <c r="E995" s="224" t="s">
        <v>4</v>
      </c>
      <c r="F995" s="224" t="s">
        <v>725</v>
      </c>
      <c r="G995" s="224" t="s">
        <v>7896</v>
      </c>
      <c r="H995" s="224">
        <v>2</v>
      </c>
      <c r="I995" s="224" t="s">
        <v>1298</v>
      </c>
      <c r="J995" s="224" t="s">
        <v>7897</v>
      </c>
      <c r="K995" s="224">
        <v>1</v>
      </c>
      <c r="L995" s="224" t="s">
        <v>2190</v>
      </c>
      <c r="M995" s="224">
        <v>1250000</v>
      </c>
      <c r="N995" s="224" t="s">
        <v>452</v>
      </c>
      <c r="O995" s="224" t="s">
        <v>7898</v>
      </c>
      <c r="P995" s="224"/>
      <c r="Q995" s="224" t="s">
        <v>24</v>
      </c>
      <c r="R995" s="254"/>
      <c r="S995" s="224"/>
      <c r="T995" s="224"/>
      <c r="U995" s="224"/>
      <c r="V995" s="224"/>
      <c r="W995" s="224"/>
      <c r="X995" s="224"/>
      <c r="Y995" s="224"/>
      <c r="Z995" s="224"/>
    </row>
    <row r="996" spans="1:26" ht="15.75" customHeight="1">
      <c r="A996" s="248">
        <v>44796</v>
      </c>
      <c r="B996" s="219" t="s">
        <v>9305</v>
      </c>
      <c r="C996" s="315">
        <v>1.5</v>
      </c>
      <c r="D996" s="219" t="s">
        <v>11370</v>
      </c>
      <c r="E996" s="219" t="s">
        <v>3</v>
      </c>
      <c r="F996" s="219" t="s">
        <v>488</v>
      </c>
      <c r="G996" s="219"/>
      <c r="H996" s="219">
        <v>2</v>
      </c>
      <c r="I996" s="219" t="s">
        <v>941</v>
      </c>
      <c r="J996" s="219"/>
      <c r="K996" s="219">
        <v>1</v>
      </c>
      <c r="L996" s="219" t="s">
        <v>451</v>
      </c>
      <c r="M996" s="219">
        <v>2000000</v>
      </c>
      <c r="N996" s="219" t="s">
        <v>452</v>
      </c>
      <c r="O996" s="219" t="s">
        <v>452</v>
      </c>
      <c r="P996" s="219" t="s">
        <v>2180</v>
      </c>
      <c r="Q996" s="219" t="s">
        <v>24</v>
      </c>
      <c r="R996" s="251"/>
      <c r="S996" s="219"/>
      <c r="T996" s="219"/>
      <c r="U996" s="219"/>
      <c r="V996" s="219"/>
      <c r="W996" s="219"/>
      <c r="X996" s="219"/>
      <c r="Y996" s="219"/>
      <c r="Z996" s="219"/>
    </row>
    <row r="997" spans="1:26" ht="15.75" customHeight="1">
      <c r="A997" s="253">
        <v>44796</v>
      </c>
      <c r="B997" s="224" t="s">
        <v>7811</v>
      </c>
      <c r="C997" s="316">
        <v>1.5</v>
      </c>
      <c r="D997" s="224" t="s">
        <v>7814</v>
      </c>
      <c r="E997" s="224" t="s">
        <v>4</v>
      </c>
      <c r="F997" s="224" t="s">
        <v>1045</v>
      </c>
      <c r="G997" s="224" t="s">
        <v>7815</v>
      </c>
      <c r="H997" s="224">
        <v>1</v>
      </c>
      <c r="I997" s="224" t="s">
        <v>1073</v>
      </c>
      <c r="J997" s="224" t="s">
        <v>7816</v>
      </c>
      <c r="K997" s="224">
        <v>2</v>
      </c>
      <c r="L997" s="224"/>
      <c r="M997" s="224"/>
      <c r="N997" s="224" t="s">
        <v>454</v>
      </c>
      <c r="O997" s="224" t="s">
        <v>452</v>
      </c>
      <c r="P997" s="224"/>
      <c r="Q997" s="224" t="s">
        <v>24</v>
      </c>
      <c r="R997" s="254"/>
      <c r="S997" s="224"/>
      <c r="T997" s="224"/>
      <c r="U997" s="224"/>
      <c r="V997" s="224"/>
      <c r="W997" s="224"/>
      <c r="X997" s="224"/>
      <c r="Y997" s="224"/>
      <c r="Z997" s="224"/>
    </row>
    <row r="998" spans="1:26" ht="15.75" customHeight="1">
      <c r="A998" s="248">
        <v>44796</v>
      </c>
      <c r="B998" s="219" t="s">
        <v>8073</v>
      </c>
      <c r="C998" s="315">
        <v>1.25</v>
      </c>
      <c r="D998" s="219" t="s">
        <v>8076</v>
      </c>
      <c r="E998" s="219" t="s">
        <v>4</v>
      </c>
      <c r="F998" s="219" t="s">
        <v>727</v>
      </c>
      <c r="G998" s="219" t="s">
        <v>10568</v>
      </c>
      <c r="H998" s="219">
        <v>1</v>
      </c>
      <c r="I998" s="219" t="s">
        <v>1045</v>
      </c>
      <c r="J998" s="219" t="s">
        <v>8078</v>
      </c>
      <c r="K998" s="219">
        <v>1.5</v>
      </c>
      <c r="L998" s="219" t="s">
        <v>451</v>
      </c>
      <c r="M998" s="219" t="s">
        <v>8079</v>
      </c>
      <c r="N998" s="219" t="s">
        <v>454</v>
      </c>
      <c r="O998" s="219" t="s">
        <v>3420</v>
      </c>
      <c r="P998" s="219"/>
      <c r="Q998" s="219" t="s">
        <v>24</v>
      </c>
      <c r="R998" s="251"/>
      <c r="S998" s="219"/>
      <c r="T998" s="219"/>
      <c r="U998" s="219"/>
      <c r="V998" s="219"/>
      <c r="W998" s="219"/>
      <c r="X998" s="219"/>
      <c r="Y998" s="219"/>
      <c r="Z998" s="219"/>
    </row>
    <row r="999" spans="1:26" ht="15.75" customHeight="1">
      <c r="A999" s="253">
        <v>44796</v>
      </c>
      <c r="B999" s="224" t="s">
        <v>8997</v>
      </c>
      <c r="C999" s="316">
        <v>1.25</v>
      </c>
      <c r="D999" s="224" t="s">
        <v>9000</v>
      </c>
      <c r="E999" s="224" t="s">
        <v>3</v>
      </c>
      <c r="F999" s="224" t="s">
        <v>460</v>
      </c>
      <c r="G999" s="224" t="s">
        <v>9001</v>
      </c>
      <c r="H999" s="224">
        <v>1.5</v>
      </c>
      <c r="I999" s="224" t="s">
        <v>462</v>
      </c>
      <c r="J999" s="224" t="s">
        <v>9002</v>
      </c>
      <c r="K999" s="224">
        <v>1</v>
      </c>
      <c r="L999" s="224"/>
      <c r="M999" s="224"/>
      <c r="N999" s="224" t="s">
        <v>452</v>
      </c>
      <c r="O999" s="224" t="s">
        <v>9003</v>
      </c>
      <c r="P999" s="224" t="s">
        <v>9004</v>
      </c>
      <c r="Q999" s="224" t="s">
        <v>24</v>
      </c>
      <c r="R999" s="254"/>
      <c r="S999" s="224"/>
      <c r="T999" s="224"/>
      <c r="U999" s="224"/>
      <c r="V999" s="224"/>
      <c r="W999" s="224"/>
      <c r="X999" s="224"/>
      <c r="Y999" s="224"/>
      <c r="Z999" s="224"/>
    </row>
    <row r="1000" spans="1:26" ht="15.75" customHeight="1">
      <c r="A1000" s="248">
        <v>44796</v>
      </c>
      <c r="B1000" s="219" t="s">
        <v>8065</v>
      </c>
      <c r="C1000" s="315">
        <v>1.25</v>
      </c>
      <c r="D1000" s="219" t="s">
        <v>8068</v>
      </c>
      <c r="E1000" s="219" t="s">
        <v>4</v>
      </c>
      <c r="F1000" s="219" t="s">
        <v>725</v>
      </c>
      <c r="G1000" s="219"/>
      <c r="H1000" s="219">
        <v>1</v>
      </c>
      <c r="I1000" s="219" t="s">
        <v>1045</v>
      </c>
      <c r="J1000" s="219" t="s">
        <v>8069</v>
      </c>
      <c r="K1000" s="219">
        <v>1.5</v>
      </c>
      <c r="L1000" s="219" t="s">
        <v>784</v>
      </c>
      <c r="M1000" s="331">
        <v>100000</v>
      </c>
      <c r="N1000" s="219" t="s">
        <v>465</v>
      </c>
      <c r="O1000" s="219" t="s">
        <v>8070</v>
      </c>
      <c r="P1000" s="219"/>
      <c r="Q1000" s="219" t="s">
        <v>24</v>
      </c>
      <c r="R1000" s="251"/>
      <c r="S1000" s="219"/>
      <c r="T1000" s="219"/>
      <c r="U1000" s="219"/>
      <c r="V1000" s="219"/>
      <c r="W1000" s="219"/>
      <c r="X1000" s="219"/>
      <c r="Y1000" s="219"/>
      <c r="Z1000" s="219"/>
    </row>
    <row r="1001" spans="1:26" ht="15.75" customHeight="1">
      <c r="A1001" s="253">
        <v>44796</v>
      </c>
      <c r="B1001" s="224" t="s">
        <v>8116</v>
      </c>
      <c r="C1001" s="316">
        <v>1</v>
      </c>
      <c r="D1001" s="224" t="s">
        <v>8119</v>
      </c>
      <c r="E1001" s="224" t="s">
        <v>4</v>
      </c>
      <c r="F1001" s="224" t="s">
        <v>725</v>
      </c>
      <c r="G1001" s="224" t="s">
        <v>10264</v>
      </c>
      <c r="H1001" s="224">
        <v>1</v>
      </c>
      <c r="I1001" s="224" t="s">
        <v>1036</v>
      </c>
      <c r="J1001" s="224" t="s">
        <v>8121</v>
      </c>
      <c r="K1001" s="224">
        <v>1</v>
      </c>
      <c r="L1001" s="224"/>
      <c r="M1001" s="224"/>
      <c r="N1001" s="224" t="s">
        <v>454</v>
      </c>
      <c r="O1001" s="224" t="s">
        <v>1119</v>
      </c>
      <c r="P1001" s="224"/>
      <c r="Q1001" s="224" t="s">
        <v>24</v>
      </c>
      <c r="R1001" s="254"/>
      <c r="S1001" s="224"/>
      <c r="T1001" s="224"/>
      <c r="U1001" s="224"/>
      <c r="V1001" s="224"/>
      <c r="W1001" s="224"/>
      <c r="X1001" s="224"/>
      <c r="Y1001" s="224"/>
      <c r="Z1001" s="224"/>
    </row>
    <row r="1002" spans="1:26" ht="15.75" customHeight="1">
      <c r="A1002" s="248">
        <v>44796</v>
      </c>
      <c r="B1002" s="219" t="s">
        <v>8263</v>
      </c>
      <c r="C1002" s="315">
        <v>1</v>
      </c>
      <c r="D1002" s="219" t="s">
        <v>10304</v>
      </c>
      <c r="E1002" s="219" t="s">
        <v>4</v>
      </c>
      <c r="F1002" s="219" t="s">
        <v>727</v>
      </c>
      <c r="G1002" s="219" t="s">
        <v>10305</v>
      </c>
      <c r="H1002" s="219">
        <v>1</v>
      </c>
      <c r="I1002" s="219" t="s">
        <v>1371</v>
      </c>
      <c r="J1002" s="219" t="s">
        <v>8268</v>
      </c>
      <c r="K1002" s="219">
        <v>1</v>
      </c>
      <c r="L1002" s="219" t="s">
        <v>784</v>
      </c>
      <c r="M1002" s="219">
        <v>500000</v>
      </c>
      <c r="N1002" s="219" t="s">
        <v>452</v>
      </c>
      <c r="O1002" s="219" t="s">
        <v>10306</v>
      </c>
      <c r="P1002" s="219"/>
      <c r="Q1002" s="219" t="s">
        <v>24</v>
      </c>
      <c r="R1002" s="251"/>
      <c r="S1002" s="219"/>
      <c r="T1002" s="219"/>
      <c r="U1002" s="219"/>
      <c r="V1002" s="219"/>
      <c r="W1002" s="219"/>
      <c r="X1002" s="219"/>
      <c r="Y1002" s="219"/>
      <c r="Z1002" s="219"/>
    </row>
    <row r="1003" spans="1:26" ht="15.75" customHeight="1">
      <c r="A1003" s="253">
        <v>44796</v>
      </c>
      <c r="B1003" s="224" t="s">
        <v>10349</v>
      </c>
      <c r="C1003" s="316">
        <v>1</v>
      </c>
      <c r="D1003" s="224" t="s">
        <v>8461</v>
      </c>
      <c r="E1003" s="224" t="s">
        <v>3</v>
      </c>
      <c r="F1003" s="224" t="s">
        <v>460</v>
      </c>
      <c r="G1003" s="224" t="s">
        <v>8462</v>
      </c>
      <c r="H1003" s="224">
        <v>1</v>
      </c>
      <c r="I1003" s="224" t="s">
        <v>462</v>
      </c>
      <c r="J1003" s="224" t="s">
        <v>8463</v>
      </c>
      <c r="K1003" s="224">
        <v>1</v>
      </c>
      <c r="L1003" s="224"/>
      <c r="M1003" s="224"/>
      <c r="N1003" s="224" t="s">
        <v>452</v>
      </c>
      <c r="O1003" s="224" t="s">
        <v>452</v>
      </c>
      <c r="P1003" s="224"/>
      <c r="Q1003" s="224" t="s">
        <v>24</v>
      </c>
      <c r="R1003" s="254"/>
      <c r="S1003" s="224"/>
      <c r="T1003" s="224"/>
      <c r="U1003" s="224"/>
      <c r="V1003" s="224"/>
      <c r="W1003" s="224"/>
      <c r="X1003" s="224"/>
      <c r="Y1003" s="224"/>
      <c r="Z1003" s="224"/>
    </row>
    <row r="1004" spans="1:26" ht="15.75" customHeight="1">
      <c r="A1004" s="248">
        <v>44796</v>
      </c>
      <c r="B1004" s="219" t="s">
        <v>8158</v>
      </c>
      <c r="C1004" s="315">
        <v>1</v>
      </c>
      <c r="D1004" s="219" t="s">
        <v>8161</v>
      </c>
      <c r="E1004" s="219" t="s">
        <v>4</v>
      </c>
      <c r="F1004" s="219" t="s">
        <v>727</v>
      </c>
      <c r="G1004" s="219" t="s">
        <v>10398</v>
      </c>
      <c r="H1004" s="219">
        <v>1</v>
      </c>
      <c r="I1004" s="219" t="s">
        <v>1187</v>
      </c>
      <c r="J1004" s="219" t="s">
        <v>8163</v>
      </c>
      <c r="K1004" s="219">
        <v>1</v>
      </c>
      <c r="L1004" s="219"/>
      <c r="M1004" s="219"/>
      <c r="N1004" s="219" t="s">
        <v>452</v>
      </c>
      <c r="O1004" s="219" t="s">
        <v>8164</v>
      </c>
      <c r="P1004" s="219"/>
      <c r="Q1004" s="219" t="s">
        <v>24</v>
      </c>
      <c r="R1004" s="251"/>
      <c r="S1004" s="219"/>
      <c r="T1004" s="219"/>
      <c r="U1004" s="219"/>
      <c r="V1004" s="219"/>
      <c r="W1004" s="219"/>
      <c r="X1004" s="219"/>
      <c r="Y1004" s="219"/>
      <c r="Z1004" s="219"/>
    </row>
    <row r="1005" spans="1:26" ht="15.75" customHeight="1">
      <c r="A1005" s="253">
        <v>44796</v>
      </c>
      <c r="B1005" s="224" t="s">
        <v>8210</v>
      </c>
      <c r="C1005" s="316">
        <v>1</v>
      </c>
      <c r="D1005" s="224" t="s">
        <v>8213</v>
      </c>
      <c r="E1005" s="224" t="s">
        <v>4</v>
      </c>
      <c r="F1005" s="224" t="s">
        <v>1045</v>
      </c>
      <c r="G1005" s="224" t="s">
        <v>8214</v>
      </c>
      <c r="H1005" s="224">
        <v>1</v>
      </c>
      <c r="I1005" s="224" t="s">
        <v>1298</v>
      </c>
      <c r="J1005" s="224" t="s">
        <v>8215</v>
      </c>
      <c r="K1005" s="224">
        <v>1</v>
      </c>
      <c r="L1005" s="224" t="s">
        <v>784</v>
      </c>
      <c r="M1005" s="311">
        <v>2500000</v>
      </c>
      <c r="N1005" s="224" t="s">
        <v>452</v>
      </c>
      <c r="O1005" s="224" t="s">
        <v>8216</v>
      </c>
      <c r="P1005" s="224" t="s">
        <v>725</v>
      </c>
      <c r="Q1005" s="224" t="s">
        <v>24</v>
      </c>
      <c r="R1005" s="254"/>
      <c r="S1005" s="224"/>
      <c r="T1005" s="224"/>
      <c r="U1005" s="224"/>
      <c r="V1005" s="224"/>
      <c r="W1005" s="224"/>
      <c r="X1005" s="224"/>
      <c r="Y1005" s="224"/>
      <c r="Z1005" s="224"/>
    </row>
    <row r="1006" spans="1:26" ht="15.75" customHeight="1">
      <c r="A1006" s="248">
        <v>44796</v>
      </c>
      <c r="B1006" s="219" t="s">
        <v>8218</v>
      </c>
      <c r="C1006" s="315">
        <v>1</v>
      </c>
      <c r="D1006" s="219" t="s">
        <v>8221</v>
      </c>
      <c r="E1006" s="219" t="s">
        <v>4</v>
      </c>
      <c r="F1006" s="219" t="s">
        <v>727</v>
      </c>
      <c r="G1006" s="219" t="s">
        <v>10514</v>
      </c>
      <c r="H1006" s="219">
        <v>1</v>
      </c>
      <c r="I1006" s="219" t="s">
        <v>1298</v>
      </c>
      <c r="J1006" s="219" t="s">
        <v>8223</v>
      </c>
      <c r="K1006" s="219">
        <v>1</v>
      </c>
      <c r="L1006" s="219"/>
      <c r="M1006" s="219"/>
      <c r="N1006" s="219" t="s">
        <v>454</v>
      </c>
      <c r="O1006" s="219" t="s">
        <v>8224</v>
      </c>
      <c r="P1006" s="219"/>
      <c r="Q1006" s="219" t="s">
        <v>24</v>
      </c>
      <c r="R1006" s="251"/>
      <c r="S1006" s="219"/>
      <c r="T1006" s="219"/>
      <c r="U1006" s="219"/>
      <c r="V1006" s="219"/>
      <c r="W1006" s="219"/>
      <c r="X1006" s="219"/>
      <c r="Y1006" s="219"/>
      <c r="Z1006" s="219"/>
    </row>
    <row r="1007" spans="1:26" ht="15.75" customHeight="1">
      <c r="A1007" s="253">
        <v>44796</v>
      </c>
      <c r="B1007" s="224" t="s">
        <v>10622</v>
      </c>
      <c r="C1007" s="316">
        <v>1</v>
      </c>
      <c r="D1007" s="224" t="s">
        <v>8178</v>
      </c>
      <c r="E1007" s="224" t="s">
        <v>4</v>
      </c>
      <c r="F1007" s="224" t="s">
        <v>725</v>
      </c>
      <c r="G1007" s="224" t="s">
        <v>10623</v>
      </c>
      <c r="H1007" s="224">
        <v>1</v>
      </c>
      <c r="I1007" s="224" t="s">
        <v>1237</v>
      </c>
      <c r="J1007" s="224"/>
      <c r="K1007" s="224">
        <v>1</v>
      </c>
      <c r="L1007" s="224"/>
      <c r="M1007" s="224"/>
      <c r="N1007" s="224" t="s">
        <v>452</v>
      </c>
      <c r="O1007" s="224" t="s">
        <v>8180</v>
      </c>
      <c r="P1007" s="224"/>
      <c r="Q1007" s="224" t="s">
        <v>24</v>
      </c>
      <c r="R1007" s="254"/>
      <c r="S1007" s="224"/>
      <c r="T1007" s="224"/>
      <c r="U1007" s="224"/>
      <c r="V1007" s="224"/>
      <c r="W1007" s="224"/>
      <c r="X1007" s="224"/>
      <c r="Y1007" s="224"/>
      <c r="Z1007" s="224"/>
    </row>
    <row r="1008" spans="1:26" ht="15.75" customHeight="1">
      <c r="A1008" s="248">
        <v>44796</v>
      </c>
      <c r="B1008" s="219" t="s">
        <v>8570</v>
      </c>
      <c r="C1008" s="315">
        <v>1</v>
      </c>
      <c r="D1008" s="219" t="s">
        <v>8573</v>
      </c>
      <c r="E1008" s="219" t="s">
        <v>3</v>
      </c>
      <c r="F1008" s="219" t="s">
        <v>460</v>
      </c>
      <c r="G1008" s="219" t="s">
        <v>8574</v>
      </c>
      <c r="H1008" s="219">
        <v>1</v>
      </c>
      <c r="I1008" s="219" t="s">
        <v>462</v>
      </c>
      <c r="J1008" s="219" t="s">
        <v>8575</v>
      </c>
      <c r="K1008" s="219">
        <v>1</v>
      </c>
      <c r="L1008" s="219"/>
      <c r="M1008" s="219"/>
      <c r="N1008" s="219" t="s">
        <v>452</v>
      </c>
      <c r="O1008" s="219" t="s">
        <v>8576</v>
      </c>
      <c r="P1008" s="219" t="s">
        <v>8577</v>
      </c>
      <c r="Q1008" s="219" t="s">
        <v>24</v>
      </c>
      <c r="R1008" s="251"/>
      <c r="S1008" s="219"/>
      <c r="T1008" s="219"/>
      <c r="U1008" s="219"/>
      <c r="V1008" s="219"/>
      <c r="W1008" s="219"/>
      <c r="X1008" s="219"/>
      <c r="Y1008" s="219"/>
      <c r="Z1008" s="219"/>
    </row>
    <row r="1009" spans="1:26" ht="15.75" customHeight="1">
      <c r="A1009" s="253">
        <v>44796</v>
      </c>
      <c r="B1009" s="224" t="s">
        <v>8958</v>
      </c>
      <c r="C1009" s="316">
        <v>1</v>
      </c>
      <c r="D1009" s="224" t="s">
        <v>10754</v>
      </c>
      <c r="E1009" s="224" t="s">
        <v>3</v>
      </c>
      <c r="F1009" s="224" t="s">
        <v>460</v>
      </c>
      <c r="G1009" s="224" t="s">
        <v>8962</v>
      </c>
      <c r="H1009" s="224">
        <v>1</v>
      </c>
      <c r="I1009" s="224" t="s">
        <v>462</v>
      </c>
      <c r="J1009" s="224" t="s">
        <v>8963</v>
      </c>
      <c r="K1009" s="224">
        <v>1</v>
      </c>
      <c r="L1009" s="224"/>
      <c r="M1009" s="224"/>
      <c r="N1009" s="224" t="s">
        <v>454</v>
      </c>
      <c r="O1009" s="224" t="s">
        <v>8964</v>
      </c>
      <c r="P1009" s="224"/>
      <c r="Q1009" s="224" t="s">
        <v>24</v>
      </c>
      <c r="R1009" s="254"/>
      <c r="S1009" s="224"/>
      <c r="T1009" s="224"/>
      <c r="U1009" s="224"/>
      <c r="V1009" s="224"/>
      <c r="W1009" s="224"/>
      <c r="X1009" s="224"/>
      <c r="Y1009" s="224"/>
      <c r="Z1009" s="224"/>
    </row>
    <row r="1010" spans="1:26" ht="15.75" customHeight="1">
      <c r="A1010" s="248">
        <v>44796</v>
      </c>
      <c r="B1010" s="219" t="s">
        <v>8296</v>
      </c>
      <c r="C1010" s="315">
        <v>1</v>
      </c>
      <c r="D1010" s="219" t="s">
        <v>8299</v>
      </c>
      <c r="E1010" s="219" t="s">
        <v>4</v>
      </c>
      <c r="F1010" s="219" t="s">
        <v>725</v>
      </c>
      <c r="G1010" s="219" t="s">
        <v>8300</v>
      </c>
      <c r="H1010" s="219">
        <v>1</v>
      </c>
      <c r="I1010" s="219" t="s">
        <v>1045</v>
      </c>
      <c r="J1010" s="219" t="s">
        <v>8301</v>
      </c>
      <c r="K1010" s="219">
        <v>1</v>
      </c>
      <c r="L1010" s="219"/>
      <c r="M1010" s="219"/>
      <c r="N1010" s="219" t="s">
        <v>465</v>
      </c>
      <c r="O1010" s="219" t="s">
        <v>10767</v>
      </c>
      <c r="P1010" s="219"/>
      <c r="Q1010" s="219" t="s">
        <v>24</v>
      </c>
      <c r="R1010" s="251"/>
      <c r="S1010" s="219"/>
      <c r="T1010" s="219"/>
      <c r="U1010" s="219"/>
      <c r="V1010" s="219"/>
      <c r="W1010" s="219"/>
      <c r="X1010" s="219"/>
      <c r="Y1010" s="219"/>
      <c r="Z1010" s="219"/>
    </row>
    <row r="1011" spans="1:26" ht="15.75" customHeight="1">
      <c r="A1011" s="253">
        <v>44796</v>
      </c>
      <c r="B1011" s="224" t="s">
        <v>8639</v>
      </c>
      <c r="C1011" s="316">
        <v>1</v>
      </c>
      <c r="D1011" s="224" t="s">
        <v>8642</v>
      </c>
      <c r="E1011" s="224" t="s">
        <v>3</v>
      </c>
      <c r="F1011" s="224" t="s">
        <v>488</v>
      </c>
      <c r="G1011" s="224"/>
      <c r="H1011" s="224">
        <v>1</v>
      </c>
      <c r="I1011" s="224" t="s">
        <v>462</v>
      </c>
      <c r="J1011" s="224" t="s">
        <v>8643</v>
      </c>
      <c r="K1011" s="224">
        <v>1</v>
      </c>
      <c r="L1011" s="224"/>
      <c r="M1011" s="224"/>
      <c r="N1011" s="224" t="s">
        <v>454</v>
      </c>
      <c r="O1011" s="224" t="s">
        <v>575</v>
      </c>
      <c r="P1011" s="224"/>
      <c r="Q1011" s="224" t="s">
        <v>24</v>
      </c>
      <c r="R1011" s="254"/>
      <c r="S1011" s="224"/>
      <c r="T1011" s="224"/>
      <c r="U1011" s="224"/>
      <c r="V1011" s="224"/>
      <c r="W1011" s="224"/>
      <c r="X1011" s="224"/>
      <c r="Y1011" s="224"/>
      <c r="Z1011" s="224"/>
    </row>
    <row r="1012" spans="1:26" ht="15.75" customHeight="1">
      <c r="A1012" s="248">
        <v>44796</v>
      </c>
      <c r="B1012" s="219" t="s">
        <v>8280</v>
      </c>
      <c r="C1012" s="315">
        <v>1</v>
      </c>
      <c r="D1012" s="219" t="s">
        <v>8283</v>
      </c>
      <c r="E1012" s="219" t="s">
        <v>4</v>
      </c>
      <c r="F1012" s="219" t="s">
        <v>725</v>
      </c>
      <c r="G1012" s="219" t="s">
        <v>7191</v>
      </c>
      <c r="H1012" s="219">
        <v>1</v>
      </c>
      <c r="I1012" s="219" t="s">
        <v>1371</v>
      </c>
      <c r="J1012" s="219" t="s">
        <v>8284</v>
      </c>
      <c r="K1012" s="219">
        <v>1</v>
      </c>
      <c r="L1012" s="219"/>
      <c r="M1012" s="219"/>
      <c r="N1012" s="219" t="s">
        <v>452</v>
      </c>
      <c r="O1012" s="219" t="s">
        <v>8285</v>
      </c>
      <c r="P1012" s="219"/>
      <c r="Q1012" s="219" t="s">
        <v>24</v>
      </c>
      <c r="R1012" s="251"/>
      <c r="S1012" s="219"/>
      <c r="T1012" s="219"/>
      <c r="U1012" s="219"/>
      <c r="V1012" s="219"/>
      <c r="W1012" s="219"/>
      <c r="X1012" s="219"/>
      <c r="Y1012" s="219"/>
      <c r="Z1012" s="219"/>
    </row>
    <row r="1013" spans="1:26" ht="15.75" customHeight="1">
      <c r="A1013" s="253">
        <v>44796</v>
      </c>
      <c r="B1013" s="224" t="s">
        <v>8107</v>
      </c>
      <c r="C1013" s="316">
        <v>1</v>
      </c>
      <c r="D1013" s="224" t="s">
        <v>8110</v>
      </c>
      <c r="E1013" s="224" t="s">
        <v>4</v>
      </c>
      <c r="F1013" s="224" t="s">
        <v>725</v>
      </c>
      <c r="G1013" s="224" t="s">
        <v>8111</v>
      </c>
      <c r="H1013" s="224">
        <v>1</v>
      </c>
      <c r="I1013" s="224" t="s">
        <v>476</v>
      </c>
      <c r="J1013" s="224" t="s">
        <v>8112</v>
      </c>
      <c r="K1013" s="224">
        <v>1</v>
      </c>
      <c r="L1013" s="224"/>
      <c r="M1013" s="224"/>
      <c r="N1013" s="224" t="s">
        <v>452</v>
      </c>
      <c r="O1013" s="224" t="s">
        <v>11233</v>
      </c>
      <c r="P1013" s="224"/>
      <c r="Q1013" s="224" t="s">
        <v>24</v>
      </c>
      <c r="R1013" s="254"/>
      <c r="S1013" s="224"/>
      <c r="T1013" s="224"/>
      <c r="U1013" s="224"/>
      <c r="V1013" s="224"/>
      <c r="W1013" s="224"/>
      <c r="X1013" s="224"/>
      <c r="Y1013" s="224"/>
      <c r="Z1013" s="224"/>
    </row>
    <row r="1014" spans="1:26" ht="15.75" customHeight="1">
      <c r="A1014" s="248">
        <v>44796</v>
      </c>
      <c r="B1014" s="219" t="s">
        <v>8142</v>
      </c>
      <c r="C1014" s="315">
        <v>1</v>
      </c>
      <c r="D1014" s="219"/>
      <c r="E1014" s="219" t="s">
        <v>4</v>
      </c>
      <c r="F1014" s="219" t="s">
        <v>725</v>
      </c>
      <c r="G1014" s="219" t="s">
        <v>8145</v>
      </c>
      <c r="H1014" s="219">
        <v>1</v>
      </c>
      <c r="I1014" s="219" t="s">
        <v>1036</v>
      </c>
      <c r="J1014" s="219" t="s">
        <v>8146</v>
      </c>
      <c r="K1014" s="219">
        <v>1</v>
      </c>
      <c r="L1014" s="219" t="s">
        <v>2152</v>
      </c>
      <c r="M1014" s="219">
        <v>2100000</v>
      </c>
      <c r="N1014" s="219" t="s">
        <v>454</v>
      </c>
      <c r="O1014" s="219" t="s">
        <v>8147</v>
      </c>
      <c r="P1014" s="219"/>
      <c r="Q1014" s="219" t="s">
        <v>24</v>
      </c>
      <c r="R1014" s="251"/>
      <c r="S1014" s="219"/>
      <c r="T1014" s="219"/>
      <c r="U1014" s="219"/>
      <c r="V1014" s="219"/>
      <c r="W1014" s="219"/>
      <c r="X1014" s="219"/>
      <c r="Y1014" s="219"/>
      <c r="Z1014" s="219"/>
    </row>
    <row r="1015" spans="1:26" ht="15.75" customHeight="1">
      <c r="A1015" s="253">
        <v>44796</v>
      </c>
      <c r="B1015" s="224" t="s">
        <v>8305</v>
      </c>
      <c r="C1015" s="316">
        <v>1</v>
      </c>
      <c r="D1015" s="224"/>
      <c r="E1015" s="224" t="s">
        <v>4</v>
      </c>
      <c r="F1015" s="224" t="s">
        <v>725</v>
      </c>
      <c r="G1015" s="224" t="s">
        <v>11292</v>
      </c>
      <c r="H1015" s="224">
        <v>1</v>
      </c>
      <c r="I1015" s="224" t="s">
        <v>1045</v>
      </c>
      <c r="J1015" s="224" t="s">
        <v>8309</v>
      </c>
      <c r="K1015" s="224">
        <v>1</v>
      </c>
      <c r="L1015" s="224" t="s">
        <v>2190</v>
      </c>
      <c r="M1015" s="224">
        <v>500000</v>
      </c>
      <c r="N1015" s="224" t="s">
        <v>452</v>
      </c>
      <c r="O1015" s="224" t="s">
        <v>8310</v>
      </c>
      <c r="P1015" s="224"/>
      <c r="Q1015" s="224" t="s">
        <v>24</v>
      </c>
      <c r="R1015" s="254"/>
      <c r="S1015" s="224"/>
      <c r="T1015" s="224"/>
      <c r="U1015" s="224"/>
      <c r="V1015" s="224"/>
      <c r="W1015" s="224"/>
      <c r="X1015" s="224"/>
      <c r="Y1015" s="224"/>
      <c r="Z1015" s="224"/>
    </row>
    <row r="1016" spans="1:26" ht="15.75" customHeight="1">
      <c r="A1016" s="248">
        <v>44796</v>
      </c>
      <c r="B1016" s="219" t="s">
        <v>8200</v>
      </c>
      <c r="C1016" s="315">
        <v>1</v>
      </c>
      <c r="D1016" s="219" t="s">
        <v>8203</v>
      </c>
      <c r="E1016" s="219" t="s">
        <v>4</v>
      </c>
      <c r="F1016" s="219" t="s">
        <v>725</v>
      </c>
      <c r="G1016" s="219" t="s">
        <v>8204</v>
      </c>
      <c r="H1016" s="219">
        <v>1</v>
      </c>
      <c r="I1016" s="219" t="s">
        <v>1298</v>
      </c>
      <c r="J1016" s="219" t="s">
        <v>8205</v>
      </c>
      <c r="K1016" s="219">
        <v>1</v>
      </c>
      <c r="L1016" s="219" t="s">
        <v>451</v>
      </c>
      <c r="M1016" s="219" t="s">
        <v>8206</v>
      </c>
      <c r="N1016" s="219" t="s">
        <v>452</v>
      </c>
      <c r="O1016" s="219" t="s">
        <v>8207</v>
      </c>
      <c r="P1016" s="219" t="s">
        <v>8208</v>
      </c>
      <c r="Q1016" s="219" t="s">
        <v>24</v>
      </c>
      <c r="R1016" s="251"/>
      <c r="S1016" s="219"/>
      <c r="T1016" s="219"/>
      <c r="U1016" s="219"/>
      <c r="V1016" s="219"/>
      <c r="W1016" s="219"/>
      <c r="X1016" s="219"/>
      <c r="Y1016" s="219"/>
      <c r="Z1016" s="219"/>
    </row>
    <row r="1017" spans="1:26" ht="15.75" customHeight="1">
      <c r="A1017" s="253">
        <v>44796</v>
      </c>
      <c r="B1017" s="224" t="s">
        <v>8167</v>
      </c>
      <c r="C1017" s="316">
        <v>1</v>
      </c>
      <c r="D1017" s="224"/>
      <c r="E1017" s="224" t="s">
        <v>4</v>
      </c>
      <c r="F1017" s="224" t="s">
        <v>725</v>
      </c>
      <c r="G1017" s="224" t="s">
        <v>8170</v>
      </c>
      <c r="H1017" s="224">
        <v>1</v>
      </c>
      <c r="I1017" s="224" t="s">
        <v>1237</v>
      </c>
      <c r="J1017" s="224"/>
      <c r="K1017" s="224">
        <v>1</v>
      </c>
      <c r="L1017" s="224" t="s">
        <v>8171</v>
      </c>
      <c r="M1017" s="224">
        <v>2000000</v>
      </c>
      <c r="N1017" s="224" t="s">
        <v>465</v>
      </c>
      <c r="O1017" s="224" t="s">
        <v>8172</v>
      </c>
      <c r="P1017" s="224"/>
      <c r="Q1017" s="224" t="s">
        <v>24</v>
      </c>
      <c r="R1017" s="254"/>
      <c r="S1017" s="224"/>
      <c r="T1017" s="224"/>
      <c r="U1017" s="224"/>
      <c r="V1017" s="224"/>
      <c r="W1017" s="224"/>
      <c r="X1017" s="224"/>
      <c r="Y1017" s="224"/>
      <c r="Z1017" s="224"/>
    </row>
    <row r="1018" spans="1:26" ht="15.75" customHeight="1">
      <c r="A1018" s="248">
        <v>44796</v>
      </c>
      <c r="B1018" s="219" t="s">
        <v>8271</v>
      </c>
      <c r="C1018" s="315">
        <v>1</v>
      </c>
      <c r="D1018" s="219" t="s">
        <v>8274</v>
      </c>
      <c r="E1018" s="219" t="s">
        <v>4</v>
      </c>
      <c r="F1018" s="219" t="s">
        <v>447</v>
      </c>
      <c r="G1018" s="219" t="s">
        <v>11325</v>
      </c>
      <c r="H1018" s="219">
        <v>1</v>
      </c>
      <c r="I1018" s="219" t="s">
        <v>1371</v>
      </c>
      <c r="J1018" s="219" t="s">
        <v>8276</v>
      </c>
      <c r="K1018" s="219">
        <v>1</v>
      </c>
      <c r="L1018" s="219"/>
      <c r="M1018" s="219"/>
      <c r="N1018" s="219" t="s">
        <v>454</v>
      </c>
      <c r="O1018" s="219" t="s">
        <v>452</v>
      </c>
      <c r="P1018" s="219" t="s">
        <v>8277</v>
      </c>
      <c r="Q1018" s="219" t="s">
        <v>24</v>
      </c>
      <c r="R1018" s="251"/>
      <c r="S1018" s="219"/>
      <c r="T1018" s="219"/>
      <c r="U1018" s="219"/>
      <c r="V1018" s="219"/>
      <c r="W1018" s="219"/>
      <c r="X1018" s="219"/>
      <c r="Y1018" s="219"/>
      <c r="Z1018" s="219"/>
    </row>
    <row r="1019" spans="1:26" ht="15.75" customHeight="1">
      <c r="A1019" s="253">
        <v>44796</v>
      </c>
      <c r="B1019" s="224" t="s">
        <v>8124</v>
      </c>
      <c r="C1019" s="316">
        <v>1</v>
      </c>
      <c r="D1019" s="224" t="s">
        <v>8127</v>
      </c>
      <c r="E1019" s="224" t="s">
        <v>4</v>
      </c>
      <c r="F1019" s="224" t="s">
        <v>1045</v>
      </c>
      <c r="G1019" s="224" t="s">
        <v>8128</v>
      </c>
      <c r="H1019" s="224">
        <v>1</v>
      </c>
      <c r="I1019" s="224" t="s">
        <v>1036</v>
      </c>
      <c r="J1019" s="224" t="s">
        <v>8129</v>
      </c>
      <c r="K1019" s="224">
        <v>1</v>
      </c>
      <c r="L1019" s="224" t="s">
        <v>784</v>
      </c>
      <c r="M1019" s="330">
        <v>800000</v>
      </c>
      <c r="N1019" s="224" t="s">
        <v>454</v>
      </c>
      <c r="O1019" s="224" t="s">
        <v>8130</v>
      </c>
      <c r="P1019" s="224" t="s">
        <v>8131</v>
      </c>
      <c r="Q1019" s="224" t="s">
        <v>24</v>
      </c>
      <c r="R1019" s="254"/>
      <c r="S1019" s="224"/>
      <c r="T1019" s="224"/>
      <c r="U1019" s="224"/>
      <c r="V1019" s="224"/>
      <c r="W1019" s="224"/>
      <c r="X1019" s="224"/>
      <c r="Y1019" s="224"/>
      <c r="Z1019" s="224"/>
    </row>
    <row r="1020" spans="1:26" ht="15.75" customHeight="1">
      <c r="A1020" s="333">
        <v>44797</v>
      </c>
      <c r="B1020" s="334" t="s">
        <v>11352</v>
      </c>
      <c r="C1020" s="335">
        <v>3.25</v>
      </c>
      <c r="D1020" s="334" t="s">
        <v>5301</v>
      </c>
      <c r="E1020" s="334" t="s">
        <v>4</v>
      </c>
      <c r="F1020" s="334" t="s">
        <v>602</v>
      </c>
      <c r="G1020" s="334"/>
      <c r="H1020" s="334"/>
      <c r="I1020" s="334" t="s">
        <v>1350</v>
      </c>
      <c r="J1020" s="334"/>
      <c r="K1020" s="334"/>
      <c r="L1020" s="334" t="s">
        <v>451</v>
      </c>
      <c r="M1020" s="336">
        <v>3000000</v>
      </c>
      <c r="N1020" s="334" t="s">
        <v>452</v>
      </c>
      <c r="O1020" s="334" t="s">
        <v>11353</v>
      </c>
      <c r="P1020" s="334"/>
      <c r="Q1020" s="334" t="s">
        <v>24</v>
      </c>
      <c r="R1020" s="337"/>
      <c r="S1020" s="334"/>
      <c r="T1020" s="334"/>
      <c r="U1020" s="334"/>
      <c r="V1020" s="334"/>
      <c r="W1020" s="334"/>
      <c r="X1020" s="334"/>
      <c r="Y1020" s="334"/>
      <c r="Z1020" s="334"/>
    </row>
    <row r="1021" spans="1:26" ht="15.75" customHeight="1">
      <c r="A1021" s="257">
        <v>44797</v>
      </c>
      <c r="B1021" s="258" t="s">
        <v>348</v>
      </c>
      <c r="C1021" s="263">
        <v>4.75</v>
      </c>
      <c r="D1021" s="258" t="s">
        <v>1998</v>
      </c>
      <c r="E1021" s="258" t="s">
        <v>3</v>
      </c>
      <c r="F1021" s="258" t="s">
        <v>460</v>
      </c>
      <c r="G1021" s="258" t="s">
        <v>1999</v>
      </c>
      <c r="H1021" s="258">
        <v>4.5</v>
      </c>
      <c r="I1021" s="258" t="s">
        <v>941</v>
      </c>
      <c r="J1021" s="258" t="s">
        <v>2000</v>
      </c>
      <c r="K1021" s="258">
        <v>5</v>
      </c>
      <c r="L1021" s="258" t="s">
        <v>478</v>
      </c>
      <c r="M1021" s="258" t="s">
        <v>2001</v>
      </c>
      <c r="N1021" s="258" t="s">
        <v>452</v>
      </c>
      <c r="O1021" s="258" t="s">
        <v>452</v>
      </c>
      <c r="P1021" s="258" t="s">
        <v>2002</v>
      </c>
      <c r="Q1021" s="258" t="s">
        <v>18</v>
      </c>
      <c r="R1021" s="259" t="s">
        <v>2003</v>
      </c>
      <c r="S1021" s="258"/>
      <c r="T1021" s="258"/>
      <c r="U1021" s="258"/>
      <c r="V1021" s="258"/>
      <c r="W1021" s="258"/>
      <c r="X1021" s="258"/>
      <c r="Y1021" s="258"/>
      <c r="Z1021" s="258"/>
    </row>
    <row r="1022" spans="1:26" ht="15.75" customHeight="1">
      <c r="A1022" s="257">
        <v>44797</v>
      </c>
      <c r="B1022" s="258" t="s">
        <v>224</v>
      </c>
      <c r="C1022" s="263">
        <v>4.5</v>
      </c>
      <c r="D1022" s="258" t="s">
        <v>1348</v>
      </c>
      <c r="E1022" s="258" t="s">
        <v>4</v>
      </c>
      <c r="F1022" s="258" t="s">
        <v>727</v>
      </c>
      <c r="G1022" s="258" t="s">
        <v>10340</v>
      </c>
      <c r="H1022" s="258">
        <v>4.5</v>
      </c>
      <c r="I1022" s="258" t="s">
        <v>1350</v>
      </c>
      <c r="J1022" s="258" t="s">
        <v>1351</v>
      </c>
      <c r="K1022" s="258">
        <v>4.5</v>
      </c>
      <c r="L1022" s="258"/>
      <c r="M1022" s="258"/>
      <c r="N1022" s="258" t="s">
        <v>465</v>
      </c>
      <c r="O1022" s="258" t="s">
        <v>1352</v>
      </c>
      <c r="P1022" s="258"/>
      <c r="Q1022" s="258" t="s">
        <v>18</v>
      </c>
      <c r="R1022" s="259" t="s">
        <v>1353</v>
      </c>
      <c r="S1022" s="258"/>
      <c r="T1022" s="258"/>
      <c r="U1022" s="258"/>
      <c r="V1022" s="258"/>
      <c r="W1022" s="258"/>
      <c r="X1022" s="258"/>
      <c r="Y1022" s="258"/>
      <c r="Z1022" s="258"/>
    </row>
    <row r="1023" spans="1:26" ht="15.75" customHeight="1">
      <c r="A1023" s="257">
        <v>44797</v>
      </c>
      <c r="B1023" s="258" t="s">
        <v>335</v>
      </c>
      <c r="C1023" s="263">
        <v>4.5</v>
      </c>
      <c r="D1023" s="258" t="s">
        <v>1890</v>
      </c>
      <c r="E1023" s="258" t="s">
        <v>3</v>
      </c>
      <c r="F1023" s="258" t="s">
        <v>488</v>
      </c>
      <c r="G1023" s="258" t="s">
        <v>11226</v>
      </c>
      <c r="H1023" s="258">
        <v>4.5</v>
      </c>
      <c r="I1023" s="258" t="s">
        <v>941</v>
      </c>
      <c r="J1023" s="258"/>
      <c r="K1023" s="258">
        <v>4.5</v>
      </c>
      <c r="L1023" s="258" t="s">
        <v>1892</v>
      </c>
      <c r="M1023" s="258" t="s">
        <v>1893</v>
      </c>
      <c r="N1023" s="258" t="s">
        <v>452</v>
      </c>
      <c r="O1023" s="258" t="s">
        <v>452</v>
      </c>
      <c r="P1023" s="258"/>
      <c r="Q1023" s="258" t="s">
        <v>18</v>
      </c>
      <c r="R1023" s="259" t="s">
        <v>1894</v>
      </c>
      <c r="S1023" s="258"/>
      <c r="T1023" s="258"/>
      <c r="U1023" s="258"/>
      <c r="V1023" s="258"/>
      <c r="W1023" s="258"/>
      <c r="X1023" s="258"/>
      <c r="Y1023" s="258"/>
      <c r="Z1023" s="258"/>
    </row>
    <row r="1024" spans="1:26" ht="15.75" customHeight="1">
      <c r="A1024" s="248">
        <v>44797</v>
      </c>
      <c r="B1024" s="219" t="s">
        <v>342</v>
      </c>
      <c r="C1024" s="315">
        <v>4.5</v>
      </c>
      <c r="D1024" s="219" t="s">
        <v>1946</v>
      </c>
      <c r="E1024" s="219" t="s">
        <v>3</v>
      </c>
      <c r="F1024" s="219" t="s">
        <v>488</v>
      </c>
      <c r="G1024" s="219" t="s">
        <v>1947</v>
      </c>
      <c r="H1024" s="219">
        <v>4</v>
      </c>
      <c r="I1024" s="219" t="s">
        <v>462</v>
      </c>
      <c r="J1024" s="219" t="s">
        <v>1948</v>
      </c>
      <c r="K1024" s="219">
        <v>5</v>
      </c>
      <c r="L1024" s="219" t="s">
        <v>1949</v>
      </c>
      <c r="M1024" s="219" t="s">
        <v>1950</v>
      </c>
      <c r="N1024" s="219" t="s">
        <v>452</v>
      </c>
      <c r="O1024" s="219" t="s">
        <v>452</v>
      </c>
      <c r="P1024" s="219"/>
      <c r="Q1024" s="219" t="s">
        <v>18</v>
      </c>
      <c r="R1024" s="251"/>
      <c r="S1024" s="219"/>
      <c r="T1024" s="219"/>
      <c r="U1024" s="219"/>
      <c r="V1024" s="219"/>
      <c r="W1024" s="219"/>
      <c r="X1024" s="219"/>
      <c r="Y1024" s="219"/>
      <c r="Z1024" s="219"/>
    </row>
    <row r="1025" spans="1:26" ht="15.75" customHeight="1">
      <c r="A1025" s="255">
        <v>44797</v>
      </c>
      <c r="B1025" s="239" t="s">
        <v>166</v>
      </c>
      <c r="C1025" s="262">
        <v>4.5</v>
      </c>
      <c r="D1025" s="239" t="s">
        <v>3650</v>
      </c>
      <c r="E1025" s="239" t="s">
        <v>4</v>
      </c>
      <c r="F1025" s="239" t="s">
        <v>447</v>
      </c>
      <c r="G1025" s="239" t="s">
        <v>11327</v>
      </c>
      <c r="H1025" s="239">
        <v>4</v>
      </c>
      <c r="I1025" s="239" t="s">
        <v>1187</v>
      </c>
      <c r="J1025" s="239" t="s">
        <v>3652</v>
      </c>
      <c r="K1025" s="239">
        <v>5</v>
      </c>
      <c r="L1025" s="239" t="s">
        <v>451</v>
      </c>
      <c r="M1025" s="239">
        <v>2320000</v>
      </c>
      <c r="N1025" s="239" t="s">
        <v>452</v>
      </c>
      <c r="O1025" s="239" t="s">
        <v>3653</v>
      </c>
      <c r="P1025" s="239"/>
      <c r="Q1025" s="239" t="s">
        <v>18</v>
      </c>
      <c r="R1025" s="256" t="s">
        <v>3654</v>
      </c>
      <c r="S1025" s="239"/>
      <c r="T1025" s="239"/>
      <c r="U1025" s="239"/>
      <c r="V1025" s="239"/>
      <c r="W1025" s="239"/>
      <c r="X1025" s="239"/>
      <c r="Y1025" s="239"/>
      <c r="Z1025" s="239"/>
    </row>
    <row r="1026" spans="1:26" ht="15.75" customHeight="1">
      <c r="A1026" s="248">
        <v>44797</v>
      </c>
      <c r="B1026" s="219" t="s">
        <v>257</v>
      </c>
      <c r="C1026" s="315">
        <v>4.25</v>
      </c>
      <c r="D1026" s="219" t="s">
        <v>1482</v>
      </c>
      <c r="E1026" s="219" t="s">
        <v>4</v>
      </c>
      <c r="F1026" s="219" t="s">
        <v>602</v>
      </c>
      <c r="G1026" s="219" t="s">
        <v>1483</v>
      </c>
      <c r="H1026" s="219">
        <v>4</v>
      </c>
      <c r="I1026" s="219" t="s">
        <v>1350</v>
      </c>
      <c r="J1026" s="219" t="s">
        <v>10206</v>
      </c>
      <c r="K1026" s="219">
        <v>4.5</v>
      </c>
      <c r="L1026" s="219" t="s">
        <v>784</v>
      </c>
      <c r="M1026" s="219">
        <v>682000</v>
      </c>
      <c r="N1026" s="219" t="s">
        <v>465</v>
      </c>
      <c r="O1026" s="219" t="s">
        <v>1485</v>
      </c>
      <c r="P1026" s="219" t="s">
        <v>1486</v>
      </c>
      <c r="Q1026" s="219" t="s">
        <v>18</v>
      </c>
      <c r="R1026" s="251" t="s">
        <v>1487</v>
      </c>
      <c r="S1026" s="219"/>
      <c r="T1026" s="219"/>
      <c r="U1026" s="219"/>
      <c r="V1026" s="219"/>
      <c r="W1026" s="219"/>
      <c r="X1026" s="219"/>
      <c r="Y1026" s="219"/>
      <c r="Z1026" s="219"/>
    </row>
    <row r="1027" spans="1:26" ht="15.75" customHeight="1">
      <c r="A1027" s="257">
        <v>44797</v>
      </c>
      <c r="B1027" s="258" t="s">
        <v>269</v>
      </c>
      <c r="C1027" s="263">
        <v>4.25</v>
      </c>
      <c r="D1027" s="258" t="s">
        <v>11737</v>
      </c>
      <c r="E1027" s="258" t="s">
        <v>4</v>
      </c>
      <c r="F1027" s="258" t="s">
        <v>727</v>
      </c>
      <c r="G1027" s="258" t="s">
        <v>10512</v>
      </c>
      <c r="H1027" s="258">
        <v>4.5</v>
      </c>
      <c r="I1027" s="258" t="s">
        <v>449</v>
      </c>
      <c r="J1027" s="258" t="s">
        <v>10513</v>
      </c>
      <c r="K1027" s="258">
        <v>4</v>
      </c>
      <c r="L1027" s="258" t="s">
        <v>451</v>
      </c>
      <c r="M1027" s="258">
        <v>6000000</v>
      </c>
      <c r="N1027" s="258" t="s">
        <v>452</v>
      </c>
      <c r="O1027" s="258" t="s">
        <v>452</v>
      </c>
      <c r="P1027" s="258" t="s">
        <v>1562</v>
      </c>
      <c r="Q1027" s="258" t="s">
        <v>18</v>
      </c>
      <c r="R1027" s="259" t="s">
        <v>1563</v>
      </c>
      <c r="S1027" s="258"/>
      <c r="T1027" s="258"/>
      <c r="U1027" s="258"/>
      <c r="V1027" s="258"/>
      <c r="W1027" s="258"/>
      <c r="X1027" s="258"/>
      <c r="Y1027" s="258"/>
      <c r="Z1027" s="258"/>
    </row>
    <row r="1028" spans="1:26" ht="15.75" customHeight="1">
      <c r="A1028" s="248">
        <v>44797</v>
      </c>
      <c r="B1028" s="219" t="s">
        <v>175</v>
      </c>
      <c r="C1028" s="315">
        <v>4.25</v>
      </c>
      <c r="D1028" s="219" t="s">
        <v>10557</v>
      </c>
      <c r="E1028" s="219" t="s">
        <v>4</v>
      </c>
      <c r="F1028" s="219" t="s">
        <v>727</v>
      </c>
      <c r="G1028" s="219" t="s">
        <v>10558</v>
      </c>
      <c r="H1028" s="219">
        <v>4.5</v>
      </c>
      <c r="I1028" s="219" t="s">
        <v>449</v>
      </c>
      <c r="J1028" s="219" t="s">
        <v>10559</v>
      </c>
      <c r="K1028" s="219">
        <v>4</v>
      </c>
      <c r="L1028" s="219" t="s">
        <v>923</v>
      </c>
      <c r="M1028" s="331">
        <v>3000000</v>
      </c>
      <c r="N1028" s="219" t="s">
        <v>452</v>
      </c>
      <c r="O1028" s="219" t="s">
        <v>452</v>
      </c>
      <c r="P1028" s="219"/>
      <c r="Q1028" s="219" t="s">
        <v>18</v>
      </c>
      <c r="R1028" s="251"/>
      <c r="S1028" s="219"/>
      <c r="T1028" s="219"/>
      <c r="U1028" s="219"/>
      <c r="V1028" s="219"/>
      <c r="W1028" s="219"/>
      <c r="X1028" s="219"/>
      <c r="Y1028" s="219"/>
      <c r="Z1028" s="219"/>
    </row>
    <row r="1029" spans="1:26" ht="15.75" customHeight="1">
      <c r="A1029" s="253">
        <v>44797</v>
      </c>
      <c r="B1029" s="224" t="s">
        <v>261</v>
      </c>
      <c r="C1029" s="316">
        <v>4.25</v>
      </c>
      <c r="D1029" s="224" t="s">
        <v>1517</v>
      </c>
      <c r="E1029" s="224" t="s">
        <v>4</v>
      </c>
      <c r="F1029" s="224" t="s">
        <v>727</v>
      </c>
      <c r="G1029" s="224" t="s">
        <v>1518</v>
      </c>
      <c r="H1029" s="224">
        <v>4.5</v>
      </c>
      <c r="I1029" s="224" t="s">
        <v>543</v>
      </c>
      <c r="J1029" s="224" t="s">
        <v>11738</v>
      </c>
      <c r="K1029" s="224">
        <v>4</v>
      </c>
      <c r="L1029" s="224"/>
      <c r="M1029" s="224"/>
      <c r="N1029" s="224" t="s">
        <v>452</v>
      </c>
      <c r="O1029" s="224" t="s">
        <v>10649</v>
      </c>
      <c r="P1029" s="224"/>
      <c r="Q1029" s="224" t="s">
        <v>18</v>
      </c>
      <c r="R1029" s="254"/>
      <c r="S1029" s="224"/>
      <c r="T1029" s="224"/>
      <c r="U1029" s="224"/>
      <c r="V1029" s="224"/>
      <c r="W1029" s="224"/>
      <c r="X1029" s="224"/>
      <c r="Y1029" s="224"/>
      <c r="Z1029" s="224"/>
    </row>
    <row r="1030" spans="1:26" ht="15.75" customHeight="1">
      <c r="A1030" s="257">
        <v>44797</v>
      </c>
      <c r="B1030" s="258" t="s">
        <v>346</v>
      </c>
      <c r="C1030" s="263">
        <v>4.25</v>
      </c>
      <c r="D1030" s="258" t="s">
        <v>1982</v>
      </c>
      <c r="E1030" s="258" t="s">
        <v>3</v>
      </c>
      <c r="F1030" s="258" t="s">
        <v>460</v>
      </c>
      <c r="G1030" s="258" t="s">
        <v>1983</v>
      </c>
      <c r="H1030" s="258">
        <v>4.5</v>
      </c>
      <c r="I1030" s="258" t="s">
        <v>941</v>
      </c>
      <c r="J1030" s="258" t="s">
        <v>1984</v>
      </c>
      <c r="K1030" s="258">
        <v>4</v>
      </c>
      <c r="L1030" s="258" t="s">
        <v>478</v>
      </c>
      <c r="M1030" s="258">
        <v>6000000</v>
      </c>
      <c r="N1030" s="258" t="s">
        <v>454</v>
      </c>
      <c r="O1030" s="258" t="s">
        <v>452</v>
      </c>
      <c r="P1030" s="258"/>
      <c r="Q1030" s="258" t="s">
        <v>18</v>
      </c>
      <c r="R1030" s="259" t="s">
        <v>11739</v>
      </c>
      <c r="S1030" s="258"/>
      <c r="T1030" s="258"/>
      <c r="U1030" s="258"/>
      <c r="V1030" s="258"/>
      <c r="W1030" s="258"/>
      <c r="X1030" s="258"/>
      <c r="Y1030" s="258"/>
      <c r="Z1030" s="258"/>
    </row>
    <row r="1031" spans="1:26" ht="15.75" customHeight="1">
      <c r="A1031" s="253">
        <v>44797</v>
      </c>
      <c r="B1031" s="224" t="s">
        <v>161</v>
      </c>
      <c r="C1031" s="316">
        <v>4.25</v>
      </c>
      <c r="D1031" s="224" t="s">
        <v>1079</v>
      </c>
      <c r="E1031" s="224" t="s">
        <v>4</v>
      </c>
      <c r="F1031" s="224" t="s">
        <v>725</v>
      </c>
      <c r="G1031" s="224"/>
      <c r="H1031" s="224">
        <v>4.5</v>
      </c>
      <c r="I1031" s="224" t="s">
        <v>462</v>
      </c>
      <c r="J1031" s="224" t="s">
        <v>1080</v>
      </c>
      <c r="K1031" s="224">
        <v>4</v>
      </c>
      <c r="L1031" s="224" t="s">
        <v>451</v>
      </c>
      <c r="M1031" s="224">
        <v>10000000</v>
      </c>
      <c r="N1031" s="224" t="s">
        <v>452</v>
      </c>
      <c r="O1031" s="224" t="s">
        <v>974</v>
      </c>
      <c r="P1031" s="224"/>
      <c r="Q1031" s="224" t="s">
        <v>18</v>
      </c>
      <c r="R1031" s="254"/>
      <c r="S1031" s="224"/>
      <c r="T1031" s="224"/>
      <c r="U1031" s="224"/>
      <c r="V1031" s="224"/>
      <c r="W1031" s="224"/>
      <c r="X1031" s="224"/>
      <c r="Y1031" s="224"/>
      <c r="Z1031" s="224"/>
    </row>
    <row r="1032" spans="1:26" ht="15.75" customHeight="1">
      <c r="A1032" s="248">
        <v>44797</v>
      </c>
      <c r="B1032" s="219" t="s">
        <v>170</v>
      </c>
      <c r="C1032" s="315">
        <v>4.25</v>
      </c>
      <c r="D1032" s="219" t="s">
        <v>1101</v>
      </c>
      <c r="E1032" s="219" t="s">
        <v>4</v>
      </c>
      <c r="F1032" s="219" t="s">
        <v>725</v>
      </c>
      <c r="G1032" s="219"/>
      <c r="H1032" s="219">
        <v>4.5</v>
      </c>
      <c r="I1032" s="219" t="s">
        <v>462</v>
      </c>
      <c r="J1032" s="219" t="s">
        <v>1102</v>
      </c>
      <c r="K1032" s="219">
        <v>4</v>
      </c>
      <c r="L1032" s="219" t="s">
        <v>1103</v>
      </c>
      <c r="M1032" s="331">
        <v>8000000</v>
      </c>
      <c r="N1032" s="219" t="s">
        <v>452</v>
      </c>
      <c r="O1032" s="219" t="s">
        <v>575</v>
      </c>
      <c r="P1032" s="219"/>
      <c r="Q1032" s="219" t="s">
        <v>18</v>
      </c>
      <c r="R1032" s="251"/>
      <c r="S1032" s="219"/>
      <c r="T1032" s="219"/>
      <c r="U1032" s="219"/>
      <c r="V1032" s="219"/>
      <c r="W1032" s="219"/>
      <c r="X1032" s="219"/>
      <c r="Y1032" s="219"/>
      <c r="Z1032" s="219"/>
    </row>
    <row r="1033" spans="1:26" ht="15.75" customHeight="1">
      <c r="A1033" s="257">
        <v>44797</v>
      </c>
      <c r="B1033" s="258" t="s">
        <v>240</v>
      </c>
      <c r="C1033" s="263">
        <v>4</v>
      </c>
      <c r="D1033" s="258" t="s">
        <v>10823</v>
      </c>
      <c r="E1033" s="258" t="s">
        <v>4</v>
      </c>
      <c r="F1033" s="258" t="s">
        <v>1045</v>
      </c>
      <c r="G1033" s="258" t="s">
        <v>1407</v>
      </c>
      <c r="H1033" s="258">
        <v>4</v>
      </c>
      <c r="I1033" s="258" t="s">
        <v>462</v>
      </c>
      <c r="J1033" s="258" t="s">
        <v>1408</v>
      </c>
      <c r="K1033" s="258">
        <v>4</v>
      </c>
      <c r="L1033" s="258"/>
      <c r="M1033" s="258"/>
      <c r="N1033" s="258" t="s">
        <v>454</v>
      </c>
      <c r="O1033" s="258" t="s">
        <v>1409</v>
      </c>
      <c r="P1033" s="258"/>
      <c r="Q1033" s="258" t="s">
        <v>18</v>
      </c>
      <c r="R1033" s="259" t="s">
        <v>1410</v>
      </c>
      <c r="S1033" s="258"/>
      <c r="T1033" s="258"/>
      <c r="U1033" s="258"/>
      <c r="V1033" s="258"/>
      <c r="W1033" s="258"/>
      <c r="X1033" s="258"/>
      <c r="Y1033" s="258"/>
      <c r="Z1033" s="258"/>
    </row>
    <row r="1034" spans="1:26" ht="15.75" customHeight="1">
      <c r="A1034" s="248">
        <v>44797</v>
      </c>
      <c r="B1034" s="219" t="s">
        <v>247</v>
      </c>
      <c r="C1034" s="315">
        <v>4</v>
      </c>
      <c r="D1034" s="219" t="s">
        <v>4043</v>
      </c>
      <c r="E1034" s="219" t="s">
        <v>4</v>
      </c>
      <c r="F1034" s="219" t="s">
        <v>725</v>
      </c>
      <c r="G1034" s="219" t="s">
        <v>10213</v>
      </c>
      <c r="H1034" s="219">
        <v>4</v>
      </c>
      <c r="I1034" s="219" t="s">
        <v>1457</v>
      </c>
      <c r="J1034" s="219" t="s">
        <v>4045</v>
      </c>
      <c r="K1034" s="219">
        <v>4</v>
      </c>
      <c r="L1034" s="219" t="s">
        <v>451</v>
      </c>
      <c r="M1034" s="310">
        <v>1500000</v>
      </c>
      <c r="N1034" s="219" t="s">
        <v>452</v>
      </c>
      <c r="O1034" s="219" t="s">
        <v>4046</v>
      </c>
      <c r="P1034" s="219" t="s">
        <v>4047</v>
      </c>
      <c r="Q1034" s="219" t="s">
        <v>18</v>
      </c>
      <c r="R1034" s="251"/>
      <c r="S1034" s="219"/>
      <c r="T1034" s="219"/>
      <c r="U1034" s="219"/>
      <c r="V1034" s="219"/>
      <c r="W1034" s="219"/>
      <c r="X1034" s="219"/>
      <c r="Y1034" s="219"/>
      <c r="Z1034" s="219"/>
    </row>
    <row r="1035" spans="1:26" ht="15.75" customHeight="1">
      <c r="A1035" s="253">
        <v>44797</v>
      </c>
      <c r="B1035" s="224" t="s">
        <v>253</v>
      </c>
      <c r="C1035" s="316">
        <v>4</v>
      </c>
      <c r="D1035" s="224" t="s">
        <v>10413</v>
      </c>
      <c r="E1035" s="224" t="s">
        <v>4</v>
      </c>
      <c r="F1035" s="224" t="s">
        <v>727</v>
      </c>
      <c r="G1035" s="224" t="s">
        <v>10414</v>
      </c>
      <c r="H1035" s="224">
        <v>4</v>
      </c>
      <c r="I1035" s="224" t="s">
        <v>449</v>
      </c>
      <c r="J1035" s="224" t="s">
        <v>10415</v>
      </c>
      <c r="K1035" s="224">
        <v>4</v>
      </c>
      <c r="L1035" s="224" t="s">
        <v>478</v>
      </c>
      <c r="M1035" s="224" t="s">
        <v>4076</v>
      </c>
      <c r="N1035" s="224" t="s">
        <v>452</v>
      </c>
      <c r="O1035" s="224" t="s">
        <v>4077</v>
      </c>
      <c r="P1035" s="224"/>
      <c r="Q1035" s="224" t="s">
        <v>18</v>
      </c>
      <c r="R1035" s="254"/>
      <c r="S1035" s="224"/>
      <c r="T1035" s="224"/>
      <c r="U1035" s="224"/>
      <c r="V1035" s="224"/>
      <c r="W1035" s="224"/>
      <c r="X1035" s="224"/>
      <c r="Y1035" s="224"/>
      <c r="Z1035" s="224"/>
    </row>
    <row r="1036" spans="1:26" ht="15.75" customHeight="1">
      <c r="A1036" s="257">
        <v>44797</v>
      </c>
      <c r="B1036" s="258" t="s">
        <v>4086</v>
      </c>
      <c r="C1036" s="263">
        <v>4</v>
      </c>
      <c r="D1036" s="258" t="s">
        <v>4089</v>
      </c>
      <c r="E1036" s="258" t="s">
        <v>4</v>
      </c>
      <c r="F1036" s="258" t="s">
        <v>1045</v>
      </c>
      <c r="G1036" s="258" t="s">
        <v>4090</v>
      </c>
      <c r="H1036" s="258">
        <v>4</v>
      </c>
      <c r="I1036" s="258" t="s">
        <v>1350</v>
      </c>
      <c r="J1036" s="258" t="s">
        <v>4091</v>
      </c>
      <c r="K1036" s="258">
        <v>4</v>
      </c>
      <c r="L1036" s="258" t="s">
        <v>784</v>
      </c>
      <c r="M1036" s="258" t="s">
        <v>4092</v>
      </c>
      <c r="N1036" s="258" t="s">
        <v>452</v>
      </c>
      <c r="O1036" s="258" t="s">
        <v>4093</v>
      </c>
      <c r="P1036" s="258"/>
      <c r="Q1036" s="258" t="s">
        <v>24</v>
      </c>
      <c r="R1036" s="259" t="s">
        <v>11740</v>
      </c>
      <c r="S1036" s="258"/>
      <c r="T1036" s="258"/>
      <c r="U1036" s="258"/>
      <c r="V1036" s="258"/>
      <c r="W1036" s="258"/>
      <c r="X1036" s="258"/>
      <c r="Y1036" s="258"/>
      <c r="Z1036" s="258"/>
    </row>
    <row r="1037" spans="1:26" ht="15.75" customHeight="1">
      <c r="A1037" s="253">
        <v>44797</v>
      </c>
      <c r="B1037" s="224" t="s">
        <v>226</v>
      </c>
      <c r="C1037" s="316">
        <v>4</v>
      </c>
      <c r="D1037" s="224" t="s">
        <v>3937</v>
      </c>
      <c r="E1037" s="224" t="s">
        <v>4</v>
      </c>
      <c r="F1037" s="224" t="s">
        <v>1045</v>
      </c>
      <c r="G1037" s="224" t="s">
        <v>3938</v>
      </c>
      <c r="H1037" s="224">
        <v>3.5</v>
      </c>
      <c r="I1037" s="224" t="s">
        <v>1350</v>
      </c>
      <c r="J1037" s="224" t="s">
        <v>3939</v>
      </c>
      <c r="K1037" s="224">
        <v>4.5</v>
      </c>
      <c r="L1037" s="224"/>
      <c r="M1037" s="224"/>
      <c r="N1037" s="224" t="s">
        <v>452</v>
      </c>
      <c r="O1037" s="224" t="s">
        <v>3940</v>
      </c>
      <c r="P1037" s="224"/>
      <c r="Q1037" s="224" t="s">
        <v>18</v>
      </c>
      <c r="R1037" s="254"/>
      <c r="S1037" s="224"/>
      <c r="T1037" s="224"/>
      <c r="U1037" s="224"/>
      <c r="V1037" s="224"/>
      <c r="W1037" s="224"/>
      <c r="X1037" s="224"/>
      <c r="Y1037" s="224"/>
      <c r="Z1037" s="224"/>
    </row>
    <row r="1038" spans="1:26" ht="15.75" customHeight="1">
      <c r="A1038" s="248">
        <v>44797</v>
      </c>
      <c r="B1038" s="219" t="s">
        <v>330</v>
      </c>
      <c r="C1038" s="315">
        <v>4</v>
      </c>
      <c r="D1038" s="219" t="s">
        <v>9687</v>
      </c>
      <c r="E1038" s="219" t="s">
        <v>3</v>
      </c>
      <c r="F1038" s="219" t="s">
        <v>488</v>
      </c>
      <c r="G1038" s="219" t="s">
        <v>10816</v>
      </c>
      <c r="H1038" s="219">
        <v>4</v>
      </c>
      <c r="I1038" s="219" t="s">
        <v>941</v>
      </c>
      <c r="J1038" s="219" t="s">
        <v>9689</v>
      </c>
      <c r="K1038" s="219">
        <v>4</v>
      </c>
      <c r="L1038" s="219" t="s">
        <v>451</v>
      </c>
      <c r="M1038" s="331">
        <v>2000000</v>
      </c>
      <c r="N1038" s="219" t="s">
        <v>452</v>
      </c>
      <c r="O1038" s="219" t="s">
        <v>9690</v>
      </c>
      <c r="P1038" s="219"/>
      <c r="Q1038" s="219" t="s">
        <v>18</v>
      </c>
      <c r="R1038" s="251"/>
      <c r="S1038" s="219"/>
      <c r="T1038" s="219"/>
      <c r="U1038" s="219"/>
      <c r="V1038" s="219"/>
      <c r="W1038" s="219"/>
      <c r="X1038" s="219"/>
      <c r="Y1038" s="219"/>
      <c r="Z1038" s="219"/>
    </row>
    <row r="1039" spans="1:26" ht="15.75" customHeight="1">
      <c r="A1039" s="253">
        <v>44797</v>
      </c>
      <c r="B1039" s="224" t="s">
        <v>191</v>
      </c>
      <c r="C1039" s="316">
        <v>4</v>
      </c>
      <c r="D1039" s="224" t="s">
        <v>1194</v>
      </c>
      <c r="E1039" s="224" t="s">
        <v>4</v>
      </c>
      <c r="F1039" s="224" t="s">
        <v>602</v>
      </c>
      <c r="G1039" s="224" t="s">
        <v>1195</v>
      </c>
      <c r="H1039" s="224">
        <v>4</v>
      </c>
      <c r="I1039" s="224" t="s">
        <v>1187</v>
      </c>
      <c r="J1039" s="224" t="s">
        <v>1196</v>
      </c>
      <c r="K1039" s="224">
        <v>4</v>
      </c>
      <c r="L1039" s="224" t="s">
        <v>451</v>
      </c>
      <c r="M1039" s="224">
        <v>3000000</v>
      </c>
      <c r="N1039" s="224" t="s">
        <v>465</v>
      </c>
      <c r="O1039" s="224" t="s">
        <v>1197</v>
      </c>
      <c r="P1039" s="224"/>
      <c r="Q1039" s="224" t="s">
        <v>18</v>
      </c>
      <c r="R1039" s="254"/>
      <c r="S1039" s="224"/>
      <c r="T1039" s="224"/>
      <c r="U1039" s="224"/>
      <c r="V1039" s="224"/>
      <c r="W1039" s="224"/>
      <c r="X1039" s="224"/>
      <c r="Y1039" s="224"/>
      <c r="Z1039" s="224"/>
    </row>
    <row r="1040" spans="1:26" ht="15.75" customHeight="1">
      <c r="A1040" s="248">
        <v>44797</v>
      </c>
      <c r="B1040" s="219" t="s">
        <v>270</v>
      </c>
      <c r="C1040" s="315">
        <v>4</v>
      </c>
      <c r="D1040" s="219" t="s">
        <v>11150</v>
      </c>
      <c r="E1040" s="219" t="s">
        <v>4</v>
      </c>
      <c r="F1040" s="219" t="s">
        <v>1045</v>
      </c>
      <c r="G1040" s="219" t="s">
        <v>1568</v>
      </c>
      <c r="H1040" s="219">
        <v>4</v>
      </c>
      <c r="I1040" s="219" t="s">
        <v>543</v>
      </c>
      <c r="J1040" s="219" t="e">
        <f>+ technology that enables any Wi-Fi Chip to be an asset tag
 &gt; can be game-changing in the field provide it attracts more customers quickly as their many companies trying to do the same thing example Apple tag or Samsung tag
 &gt; Interested to see how can it be scaled to larger market size</f>
        <v>#NAME?</v>
      </c>
      <c r="K1040" s="219">
        <v>4</v>
      </c>
      <c r="L1040" s="219" t="s">
        <v>923</v>
      </c>
      <c r="M1040" s="219">
        <v>5000000</v>
      </c>
      <c r="N1040" s="219" t="s">
        <v>452</v>
      </c>
      <c r="O1040" s="219" t="s">
        <v>1570</v>
      </c>
      <c r="P1040" s="219"/>
      <c r="Q1040" s="219" t="s">
        <v>18</v>
      </c>
      <c r="R1040" s="251"/>
      <c r="S1040" s="219"/>
      <c r="T1040" s="219"/>
      <c r="U1040" s="219"/>
      <c r="V1040" s="219"/>
      <c r="W1040" s="219"/>
      <c r="X1040" s="219"/>
      <c r="Y1040" s="219"/>
      <c r="Z1040" s="219"/>
    </row>
    <row r="1041" spans="1:26" ht="15.75" customHeight="1">
      <c r="A1041" s="253">
        <v>44797</v>
      </c>
      <c r="B1041" s="224" t="s">
        <v>244</v>
      </c>
      <c r="C1041" s="316">
        <v>4</v>
      </c>
      <c r="D1041" s="224" t="s">
        <v>4036</v>
      </c>
      <c r="E1041" s="224" t="s">
        <v>4</v>
      </c>
      <c r="F1041" s="224" t="s">
        <v>727</v>
      </c>
      <c r="G1041" s="224" t="s">
        <v>11253</v>
      </c>
      <c r="H1041" s="224">
        <v>4</v>
      </c>
      <c r="I1041" s="224" t="s">
        <v>1457</v>
      </c>
      <c r="J1041" s="224" t="s">
        <v>4038</v>
      </c>
      <c r="K1041" s="224">
        <v>4</v>
      </c>
      <c r="L1041" s="224"/>
      <c r="M1041" s="224"/>
      <c r="N1041" s="224" t="s">
        <v>454</v>
      </c>
      <c r="O1041" s="224" t="s">
        <v>452</v>
      </c>
      <c r="P1041" s="224"/>
      <c r="Q1041" s="224" t="s">
        <v>18</v>
      </c>
      <c r="R1041" s="254"/>
      <c r="S1041" s="224"/>
      <c r="T1041" s="224"/>
      <c r="U1041" s="224"/>
      <c r="V1041" s="224"/>
      <c r="W1041" s="224"/>
      <c r="X1041" s="224"/>
      <c r="Y1041" s="224"/>
      <c r="Z1041" s="224"/>
    </row>
    <row r="1042" spans="1:26" ht="15.75" customHeight="1">
      <c r="A1042" s="248">
        <v>44797</v>
      </c>
      <c r="B1042" s="219" t="s">
        <v>340</v>
      </c>
      <c r="C1042" s="315">
        <v>4</v>
      </c>
      <c r="D1042" s="219" t="s">
        <v>1937</v>
      </c>
      <c r="E1042" s="219" t="s">
        <v>3</v>
      </c>
      <c r="F1042" s="219" t="s">
        <v>460</v>
      </c>
      <c r="G1042" s="219" t="s">
        <v>11261</v>
      </c>
      <c r="H1042" s="219">
        <v>4</v>
      </c>
      <c r="I1042" s="219" t="s">
        <v>941</v>
      </c>
      <c r="J1042" s="219" t="s">
        <v>1939</v>
      </c>
      <c r="K1042" s="219">
        <v>4</v>
      </c>
      <c r="L1042" s="219"/>
      <c r="M1042" s="219"/>
      <c r="N1042" s="219" t="s">
        <v>452</v>
      </c>
      <c r="O1042" s="219" t="s">
        <v>1940</v>
      </c>
      <c r="P1042" s="219" t="s">
        <v>1941</v>
      </c>
      <c r="Q1042" s="219" t="s">
        <v>18</v>
      </c>
      <c r="R1042" s="251"/>
      <c r="S1042" s="219"/>
      <c r="T1042" s="219"/>
      <c r="U1042" s="219"/>
      <c r="V1042" s="219"/>
      <c r="W1042" s="219"/>
      <c r="X1042" s="219"/>
      <c r="Y1042" s="219"/>
      <c r="Z1042" s="219"/>
    </row>
    <row r="1043" spans="1:26" ht="15.75" customHeight="1">
      <c r="A1043" s="253">
        <v>44797</v>
      </c>
      <c r="B1043" s="224" t="s">
        <v>189</v>
      </c>
      <c r="C1043" s="316">
        <v>4</v>
      </c>
      <c r="D1043" s="224"/>
      <c r="E1043" s="224" t="s">
        <v>4</v>
      </c>
      <c r="F1043" s="224" t="s">
        <v>725</v>
      </c>
      <c r="G1043" s="224" t="s">
        <v>11274</v>
      </c>
      <c r="H1043" s="224">
        <v>4</v>
      </c>
      <c r="I1043" s="224" t="s">
        <v>462</v>
      </c>
      <c r="J1043" s="224" t="s">
        <v>3764</v>
      </c>
      <c r="K1043" s="224">
        <v>4</v>
      </c>
      <c r="L1043" s="224" t="s">
        <v>1656</v>
      </c>
      <c r="M1043" s="330">
        <v>20000000</v>
      </c>
      <c r="N1043" s="224" t="s">
        <v>452</v>
      </c>
      <c r="O1043" s="224" t="s">
        <v>575</v>
      </c>
      <c r="P1043" s="224"/>
      <c r="Q1043" s="224" t="s">
        <v>18</v>
      </c>
      <c r="R1043" s="254"/>
      <c r="S1043" s="224"/>
      <c r="T1043" s="224"/>
      <c r="U1043" s="224"/>
      <c r="V1043" s="224"/>
      <c r="W1043" s="224"/>
      <c r="X1043" s="224"/>
      <c r="Y1043" s="224"/>
      <c r="Z1043" s="224"/>
    </row>
    <row r="1044" spans="1:26" ht="15.75" customHeight="1">
      <c r="A1044" s="248">
        <v>44797</v>
      </c>
      <c r="B1044" s="219" t="s">
        <v>347</v>
      </c>
      <c r="C1044" s="315">
        <v>4</v>
      </c>
      <c r="D1044" s="219" t="s">
        <v>1990</v>
      </c>
      <c r="E1044" s="219" t="s">
        <v>3</v>
      </c>
      <c r="F1044" s="219" t="s">
        <v>488</v>
      </c>
      <c r="G1044" s="219" t="s">
        <v>1991</v>
      </c>
      <c r="H1044" s="219">
        <v>4</v>
      </c>
      <c r="I1044" s="219" t="s">
        <v>941</v>
      </c>
      <c r="J1044" s="219" t="s">
        <v>1992</v>
      </c>
      <c r="K1044" s="219">
        <v>4</v>
      </c>
      <c r="L1044" s="219"/>
      <c r="M1044" s="219"/>
      <c r="N1044" s="219" t="s">
        <v>452</v>
      </c>
      <c r="O1044" s="219" t="s">
        <v>575</v>
      </c>
      <c r="P1044" s="219" t="s">
        <v>1993</v>
      </c>
      <c r="Q1044" s="219" t="s">
        <v>18</v>
      </c>
      <c r="R1044" s="251"/>
      <c r="S1044" s="219"/>
      <c r="T1044" s="219"/>
      <c r="U1044" s="219"/>
      <c r="V1044" s="219"/>
      <c r="W1044" s="219"/>
      <c r="X1044" s="219"/>
      <c r="Y1044" s="219"/>
      <c r="Z1044" s="219"/>
    </row>
    <row r="1045" spans="1:26" ht="15.75" customHeight="1">
      <c r="A1045" s="253">
        <v>44797</v>
      </c>
      <c r="B1045" s="224" t="s">
        <v>362</v>
      </c>
      <c r="C1045" s="316">
        <v>4</v>
      </c>
      <c r="D1045" s="224" t="s">
        <v>2049</v>
      </c>
      <c r="E1045" s="224" t="s">
        <v>3</v>
      </c>
      <c r="F1045" s="224" t="s">
        <v>460</v>
      </c>
      <c r="G1045" s="224" t="s">
        <v>2050</v>
      </c>
      <c r="H1045" s="224">
        <v>4</v>
      </c>
      <c r="I1045" s="224" t="s">
        <v>941</v>
      </c>
      <c r="J1045" s="224" t="s">
        <v>2051</v>
      </c>
      <c r="K1045" s="224">
        <v>4</v>
      </c>
      <c r="L1045" s="224" t="s">
        <v>478</v>
      </c>
      <c r="M1045" s="330">
        <v>5920000</v>
      </c>
      <c r="N1045" s="224" t="s">
        <v>452</v>
      </c>
      <c r="O1045" s="224" t="s">
        <v>452</v>
      </c>
      <c r="P1045" s="224"/>
      <c r="Q1045" s="224" t="s">
        <v>18</v>
      </c>
      <c r="R1045" s="254"/>
      <c r="S1045" s="224"/>
      <c r="T1045" s="224"/>
      <c r="U1045" s="224"/>
      <c r="V1045" s="224"/>
      <c r="W1045" s="224"/>
      <c r="X1045" s="224"/>
      <c r="Y1045" s="224"/>
      <c r="Z1045" s="224"/>
    </row>
    <row r="1046" spans="1:26" ht="15.75" customHeight="1">
      <c r="A1046" s="248">
        <v>44797</v>
      </c>
      <c r="B1046" s="219" t="s">
        <v>254</v>
      </c>
      <c r="C1046" s="315">
        <v>4</v>
      </c>
      <c r="D1046" s="219" t="s">
        <v>11293</v>
      </c>
      <c r="E1046" s="219" t="s">
        <v>4</v>
      </c>
      <c r="F1046" s="219" t="s">
        <v>725</v>
      </c>
      <c r="G1046" s="219" t="s">
        <v>4083</v>
      </c>
      <c r="H1046" s="219">
        <v>4</v>
      </c>
      <c r="I1046" s="219" t="s">
        <v>4054</v>
      </c>
      <c r="J1046" s="219"/>
      <c r="K1046" s="219">
        <v>4</v>
      </c>
      <c r="L1046" s="219" t="s">
        <v>451</v>
      </c>
      <c r="M1046" s="219">
        <v>500000</v>
      </c>
      <c r="N1046" s="219" t="s">
        <v>452</v>
      </c>
      <c r="O1046" s="219" t="s">
        <v>4084</v>
      </c>
      <c r="P1046" s="219"/>
      <c r="Q1046" s="219" t="s">
        <v>18</v>
      </c>
      <c r="R1046" s="251"/>
      <c r="S1046" s="219"/>
      <c r="T1046" s="219"/>
      <c r="U1046" s="219"/>
      <c r="V1046" s="219"/>
      <c r="W1046" s="219"/>
      <c r="X1046" s="219"/>
      <c r="Y1046" s="219"/>
      <c r="Z1046" s="219"/>
    </row>
    <row r="1047" spans="1:26" ht="15.75" customHeight="1">
      <c r="A1047" s="253">
        <v>44797</v>
      </c>
      <c r="B1047" s="224" t="s">
        <v>234</v>
      </c>
      <c r="C1047" s="316">
        <v>4</v>
      </c>
      <c r="D1047" s="224" t="s">
        <v>3980</v>
      </c>
      <c r="E1047" s="224" t="s">
        <v>4</v>
      </c>
      <c r="F1047" s="224" t="s">
        <v>447</v>
      </c>
      <c r="G1047" s="224" t="s">
        <v>11294</v>
      </c>
      <c r="H1047" s="224">
        <v>3</v>
      </c>
      <c r="I1047" s="224" t="s">
        <v>1371</v>
      </c>
      <c r="J1047" s="224" t="s">
        <v>3982</v>
      </c>
      <c r="K1047" s="224">
        <v>5</v>
      </c>
      <c r="L1047" s="224"/>
      <c r="M1047" s="224"/>
      <c r="N1047" s="224" t="s">
        <v>452</v>
      </c>
      <c r="O1047" s="224" t="s">
        <v>3983</v>
      </c>
      <c r="P1047" s="224"/>
      <c r="Q1047" s="224" t="s">
        <v>18</v>
      </c>
      <c r="R1047" s="254"/>
      <c r="S1047" s="224"/>
      <c r="T1047" s="224"/>
      <c r="U1047" s="224"/>
      <c r="V1047" s="224"/>
      <c r="W1047" s="224"/>
      <c r="X1047" s="224"/>
      <c r="Y1047" s="224"/>
      <c r="Z1047" s="224"/>
    </row>
    <row r="1048" spans="1:26" ht="15.75" customHeight="1">
      <c r="A1048" s="248">
        <v>44797</v>
      </c>
      <c r="B1048" s="219" t="s">
        <v>211</v>
      </c>
      <c r="C1048" s="315">
        <v>4</v>
      </c>
      <c r="D1048" s="219" t="s">
        <v>3867</v>
      </c>
      <c r="E1048" s="219" t="s">
        <v>4</v>
      </c>
      <c r="F1048" s="219" t="s">
        <v>725</v>
      </c>
      <c r="G1048" s="219" t="s">
        <v>11299</v>
      </c>
      <c r="H1048" s="219">
        <v>4</v>
      </c>
      <c r="I1048" s="219" t="s">
        <v>1187</v>
      </c>
      <c r="J1048" s="219" t="s">
        <v>3869</v>
      </c>
      <c r="K1048" s="219">
        <v>4</v>
      </c>
      <c r="L1048" s="219" t="s">
        <v>451</v>
      </c>
      <c r="M1048" s="219" t="s">
        <v>3870</v>
      </c>
      <c r="N1048" s="219" t="s">
        <v>452</v>
      </c>
      <c r="O1048" s="219" t="s">
        <v>454</v>
      </c>
      <c r="P1048" s="219"/>
      <c r="Q1048" s="219" t="s">
        <v>18</v>
      </c>
      <c r="R1048" s="251"/>
      <c r="S1048" s="219"/>
      <c r="T1048" s="219"/>
      <c r="U1048" s="219"/>
      <c r="V1048" s="219"/>
      <c r="W1048" s="219"/>
      <c r="X1048" s="219"/>
      <c r="Y1048" s="219"/>
      <c r="Z1048" s="219"/>
    </row>
    <row r="1049" spans="1:26" ht="15.75" customHeight="1">
      <c r="A1049" s="257">
        <v>44797</v>
      </c>
      <c r="B1049" s="258" t="s">
        <v>11314</v>
      </c>
      <c r="C1049" s="263">
        <v>4</v>
      </c>
      <c r="D1049" s="258" t="s">
        <v>3727</v>
      </c>
      <c r="E1049" s="258" t="s">
        <v>4</v>
      </c>
      <c r="F1049" s="258" t="s">
        <v>602</v>
      </c>
      <c r="G1049" s="258" t="s">
        <v>3728</v>
      </c>
      <c r="H1049" s="258">
        <v>3</v>
      </c>
      <c r="I1049" s="258" t="s">
        <v>990</v>
      </c>
      <c r="J1049" s="258" t="s">
        <v>3729</v>
      </c>
      <c r="K1049" s="258">
        <v>5</v>
      </c>
      <c r="L1049" s="258"/>
      <c r="M1049" s="258"/>
      <c r="N1049" s="258" t="s">
        <v>452</v>
      </c>
      <c r="O1049" s="258" t="s">
        <v>11315</v>
      </c>
      <c r="P1049" s="258"/>
      <c r="Q1049" s="258" t="s">
        <v>24</v>
      </c>
      <c r="R1049" s="259" t="s">
        <v>3731</v>
      </c>
      <c r="S1049" s="224"/>
      <c r="T1049" s="224"/>
      <c r="U1049" s="224"/>
      <c r="V1049" s="224"/>
      <c r="W1049" s="224"/>
      <c r="X1049" s="224"/>
      <c r="Y1049" s="224"/>
      <c r="Z1049" s="224"/>
    </row>
    <row r="1050" spans="1:26" ht="15.75" customHeight="1">
      <c r="A1050" s="257">
        <v>44797</v>
      </c>
      <c r="B1050" s="258" t="s">
        <v>366</v>
      </c>
      <c r="C1050" s="263">
        <v>4</v>
      </c>
      <c r="D1050" s="258" t="s">
        <v>11741</v>
      </c>
      <c r="E1050" s="258" t="s">
        <v>3</v>
      </c>
      <c r="F1050" s="258" t="s">
        <v>488</v>
      </c>
      <c r="G1050" s="258" t="s">
        <v>9809</v>
      </c>
      <c r="H1050" s="258">
        <v>4</v>
      </c>
      <c r="I1050" s="258" t="s">
        <v>941</v>
      </c>
      <c r="J1050" s="258" t="s">
        <v>9810</v>
      </c>
      <c r="K1050" s="258">
        <v>4</v>
      </c>
      <c r="L1050" s="258" t="s">
        <v>9811</v>
      </c>
      <c r="M1050" s="258">
        <v>1000000</v>
      </c>
      <c r="N1050" s="258" t="s">
        <v>452</v>
      </c>
      <c r="O1050" s="258" t="s">
        <v>9812</v>
      </c>
      <c r="P1050" s="258"/>
      <c r="Q1050" s="258" t="s">
        <v>20</v>
      </c>
      <c r="R1050" s="259" t="s">
        <v>9813</v>
      </c>
      <c r="S1050" s="258"/>
      <c r="T1050" s="258"/>
      <c r="U1050" s="258"/>
      <c r="V1050" s="258"/>
      <c r="W1050" s="258"/>
      <c r="X1050" s="258"/>
      <c r="Y1050" s="258"/>
      <c r="Z1050" s="258"/>
    </row>
    <row r="1051" spans="1:26" ht="15.75" customHeight="1">
      <c r="A1051" s="253">
        <v>44797</v>
      </c>
      <c r="B1051" s="224" t="s">
        <v>251</v>
      </c>
      <c r="C1051" s="316">
        <v>4</v>
      </c>
      <c r="D1051" s="224" t="s">
        <v>1455</v>
      </c>
      <c r="E1051" s="224" t="s">
        <v>4</v>
      </c>
      <c r="F1051" s="224" t="s">
        <v>727</v>
      </c>
      <c r="G1051" s="224" t="s">
        <v>11380</v>
      </c>
      <c r="H1051" s="224">
        <v>4</v>
      </c>
      <c r="I1051" s="224" t="s">
        <v>1457</v>
      </c>
      <c r="J1051" s="224" t="s">
        <v>1458</v>
      </c>
      <c r="K1051" s="224">
        <v>4</v>
      </c>
      <c r="L1051" s="224" t="s">
        <v>784</v>
      </c>
      <c r="M1051" s="224">
        <v>750000</v>
      </c>
      <c r="N1051" s="224" t="s">
        <v>452</v>
      </c>
      <c r="O1051" s="224" t="s">
        <v>11381</v>
      </c>
      <c r="P1051" s="224"/>
      <c r="Q1051" s="224" t="s">
        <v>18</v>
      </c>
      <c r="R1051" s="254"/>
      <c r="S1051" s="224"/>
      <c r="T1051" s="224"/>
      <c r="U1051" s="224"/>
      <c r="V1051" s="224"/>
      <c r="W1051" s="224"/>
      <c r="X1051" s="224"/>
      <c r="Y1051" s="224"/>
      <c r="Z1051" s="224"/>
    </row>
    <row r="1052" spans="1:26" ht="15.75" customHeight="1">
      <c r="A1052" s="248">
        <v>44797</v>
      </c>
      <c r="B1052" s="219" t="s">
        <v>272</v>
      </c>
      <c r="C1052" s="315">
        <v>4</v>
      </c>
      <c r="D1052" s="219" t="s">
        <v>10791</v>
      </c>
      <c r="E1052" s="219" t="s">
        <v>4</v>
      </c>
      <c r="F1052" s="219" t="s">
        <v>727</v>
      </c>
      <c r="G1052" s="219" t="s">
        <v>10792</v>
      </c>
      <c r="H1052" s="219">
        <v>4</v>
      </c>
      <c r="I1052" s="219" t="s">
        <v>447</v>
      </c>
      <c r="J1052" s="219" t="s">
        <v>10793</v>
      </c>
      <c r="K1052" s="219">
        <v>4</v>
      </c>
      <c r="L1052" s="219" t="s">
        <v>1578</v>
      </c>
      <c r="M1052" s="219" t="s">
        <v>1579</v>
      </c>
      <c r="N1052" s="219" t="s">
        <v>452</v>
      </c>
      <c r="O1052" s="219" t="s">
        <v>1580</v>
      </c>
      <c r="P1052" s="219"/>
      <c r="Q1052" s="219" t="s">
        <v>18</v>
      </c>
      <c r="R1052" s="251"/>
      <c r="S1052" s="219"/>
      <c r="T1052" s="219"/>
      <c r="U1052" s="219"/>
      <c r="V1052" s="219"/>
      <c r="W1052" s="219"/>
      <c r="X1052" s="219"/>
      <c r="Y1052" s="219"/>
      <c r="Z1052" s="219"/>
    </row>
    <row r="1053" spans="1:26" ht="15.75" customHeight="1">
      <c r="A1053" s="255">
        <v>44797</v>
      </c>
      <c r="B1053" s="239" t="s">
        <v>61</v>
      </c>
      <c r="C1053" s="262">
        <v>4</v>
      </c>
      <c r="D1053" s="239" t="s">
        <v>11742</v>
      </c>
      <c r="E1053" s="239" t="s">
        <v>5</v>
      </c>
      <c r="F1053" s="239" t="s">
        <v>725</v>
      </c>
      <c r="G1053" s="239" t="s">
        <v>11308</v>
      </c>
      <c r="H1053" s="239">
        <v>4</v>
      </c>
      <c r="I1053" s="239" t="s">
        <v>447</v>
      </c>
      <c r="J1053" s="239" t="s">
        <v>11309</v>
      </c>
      <c r="K1053" s="239">
        <v>4</v>
      </c>
      <c r="L1053" s="239" t="s">
        <v>913</v>
      </c>
      <c r="M1053" s="239">
        <v>850000</v>
      </c>
      <c r="N1053" s="239" t="s">
        <v>452</v>
      </c>
      <c r="O1053" s="239" t="s">
        <v>914</v>
      </c>
      <c r="P1053" s="239"/>
      <c r="Q1053" s="239" t="s">
        <v>18</v>
      </c>
      <c r="R1053" s="256" t="s">
        <v>915</v>
      </c>
      <c r="S1053" s="239"/>
      <c r="T1053" s="239"/>
      <c r="U1053" s="239"/>
      <c r="V1053" s="239"/>
      <c r="W1053" s="239"/>
      <c r="X1053" s="239"/>
      <c r="Y1053" s="239"/>
      <c r="Z1053" s="239"/>
    </row>
    <row r="1054" spans="1:26" ht="15.75" customHeight="1">
      <c r="A1054" s="248">
        <v>44797</v>
      </c>
      <c r="B1054" s="219" t="s">
        <v>4245</v>
      </c>
      <c r="C1054" s="315">
        <v>3.75</v>
      </c>
      <c r="D1054" s="219" t="s">
        <v>4248</v>
      </c>
      <c r="E1054" s="219" t="s">
        <v>4</v>
      </c>
      <c r="F1054" s="219" t="s">
        <v>1045</v>
      </c>
      <c r="G1054" s="219" t="s">
        <v>4249</v>
      </c>
      <c r="H1054" s="219">
        <v>3.5</v>
      </c>
      <c r="I1054" s="219" t="s">
        <v>1187</v>
      </c>
      <c r="J1054" s="219" t="s">
        <v>4250</v>
      </c>
      <c r="K1054" s="219">
        <v>4</v>
      </c>
      <c r="L1054" s="219" t="s">
        <v>784</v>
      </c>
      <c r="M1054" s="331">
        <v>500000</v>
      </c>
      <c r="N1054" s="219" t="s">
        <v>454</v>
      </c>
      <c r="O1054" s="219" t="s">
        <v>10911</v>
      </c>
      <c r="P1054" s="219" t="s">
        <v>4252</v>
      </c>
      <c r="Q1054" s="219" t="s">
        <v>24</v>
      </c>
      <c r="R1054" s="251"/>
      <c r="S1054" s="219"/>
      <c r="T1054" s="219"/>
      <c r="U1054" s="219"/>
      <c r="V1054" s="219"/>
      <c r="W1054" s="219"/>
      <c r="X1054" s="219"/>
      <c r="Y1054" s="219"/>
      <c r="Z1054" s="219"/>
    </row>
    <row r="1055" spans="1:26" ht="15.75" customHeight="1">
      <c r="A1055" s="257">
        <v>44797</v>
      </c>
      <c r="B1055" s="258" t="s">
        <v>4421</v>
      </c>
      <c r="C1055" s="263">
        <v>3.75</v>
      </c>
      <c r="D1055" s="258" t="s">
        <v>4424</v>
      </c>
      <c r="E1055" s="258" t="s">
        <v>4</v>
      </c>
      <c r="F1055" s="258" t="s">
        <v>602</v>
      </c>
      <c r="G1055" s="258" t="s">
        <v>4425</v>
      </c>
      <c r="H1055" s="258">
        <v>4</v>
      </c>
      <c r="I1055" s="258" t="s">
        <v>543</v>
      </c>
      <c r="J1055" s="258" t="s">
        <v>11743</v>
      </c>
      <c r="K1055" s="258">
        <v>3.5</v>
      </c>
      <c r="L1055" s="258" t="s">
        <v>784</v>
      </c>
      <c r="M1055" s="261">
        <v>2000000</v>
      </c>
      <c r="N1055" s="258" t="s">
        <v>452</v>
      </c>
      <c r="O1055" s="258" t="s">
        <v>4427</v>
      </c>
      <c r="P1055" s="258"/>
      <c r="Q1055" s="258" t="s">
        <v>24</v>
      </c>
      <c r="R1055" s="259" t="s">
        <v>11744</v>
      </c>
      <c r="S1055" s="224"/>
      <c r="T1055" s="224"/>
      <c r="U1055" s="224"/>
      <c r="V1055" s="224"/>
      <c r="W1055" s="224"/>
      <c r="X1055" s="224"/>
      <c r="Y1055" s="224"/>
      <c r="Z1055" s="224"/>
    </row>
    <row r="1056" spans="1:26" ht="15.75" customHeight="1">
      <c r="A1056" s="255">
        <v>44797</v>
      </c>
      <c r="B1056" s="239" t="s">
        <v>283</v>
      </c>
      <c r="C1056" s="262">
        <v>3.75</v>
      </c>
      <c r="D1056" s="239" t="s">
        <v>9171</v>
      </c>
      <c r="E1056" s="239" t="s">
        <v>4</v>
      </c>
      <c r="F1056" s="239" t="s">
        <v>488</v>
      </c>
      <c r="G1056" s="239" t="s">
        <v>11745</v>
      </c>
      <c r="H1056" s="239">
        <v>3.5</v>
      </c>
      <c r="I1056" s="239" t="s">
        <v>941</v>
      </c>
      <c r="J1056" s="239" t="s">
        <v>9173</v>
      </c>
      <c r="K1056" s="239">
        <v>4</v>
      </c>
      <c r="L1056" s="239" t="s">
        <v>451</v>
      </c>
      <c r="M1056" s="239" t="s">
        <v>2604</v>
      </c>
      <c r="N1056" s="239" t="s">
        <v>452</v>
      </c>
      <c r="O1056" s="239" t="s">
        <v>9174</v>
      </c>
      <c r="P1056" s="239" t="s">
        <v>604</v>
      </c>
      <c r="Q1056" s="239" t="s">
        <v>19</v>
      </c>
      <c r="R1056" s="256" t="s">
        <v>11746</v>
      </c>
      <c r="S1056" s="239"/>
      <c r="T1056" s="239"/>
      <c r="U1056" s="239"/>
      <c r="V1056" s="239"/>
      <c r="W1056" s="239"/>
      <c r="X1056" s="239"/>
      <c r="Y1056" s="239"/>
      <c r="Z1056" s="239"/>
    </row>
    <row r="1057" spans="1:26" ht="15.75" customHeight="1">
      <c r="A1057" s="257">
        <v>44797</v>
      </c>
      <c r="B1057" s="258" t="s">
        <v>378</v>
      </c>
      <c r="C1057" s="263">
        <v>3.75</v>
      </c>
      <c r="D1057" s="258" t="s">
        <v>9864</v>
      </c>
      <c r="E1057" s="258" t="s">
        <v>3</v>
      </c>
      <c r="F1057" s="258" t="s">
        <v>488</v>
      </c>
      <c r="G1057" s="258" t="s">
        <v>9865</v>
      </c>
      <c r="H1057" s="258">
        <v>3.5</v>
      </c>
      <c r="I1057" s="258" t="s">
        <v>941</v>
      </c>
      <c r="J1057" s="258" t="s">
        <v>9866</v>
      </c>
      <c r="K1057" s="258">
        <v>4</v>
      </c>
      <c r="L1057" s="258" t="s">
        <v>451</v>
      </c>
      <c r="M1057" s="258" t="s">
        <v>9867</v>
      </c>
      <c r="N1057" s="258" t="s">
        <v>452</v>
      </c>
      <c r="O1057" s="258" t="s">
        <v>452</v>
      </c>
      <c r="P1057" s="258" t="s">
        <v>9868</v>
      </c>
      <c r="Q1057" s="258" t="s">
        <v>20</v>
      </c>
      <c r="R1057" s="259" t="s">
        <v>9869</v>
      </c>
      <c r="S1057" s="258"/>
      <c r="T1057" s="258"/>
      <c r="U1057" s="258"/>
      <c r="V1057" s="258"/>
      <c r="W1057" s="258"/>
      <c r="X1057" s="258"/>
      <c r="Y1057" s="258"/>
      <c r="Z1057" s="258"/>
    </row>
    <row r="1058" spans="1:26" ht="15.75" customHeight="1">
      <c r="A1058" s="257">
        <v>44797</v>
      </c>
      <c r="B1058" s="258" t="s">
        <v>4509</v>
      </c>
      <c r="C1058" s="263">
        <v>3.63</v>
      </c>
      <c r="D1058" s="258" t="s">
        <v>4512</v>
      </c>
      <c r="E1058" s="258" t="s">
        <v>4</v>
      </c>
      <c r="F1058" s="258" t="s">
        <v>727</v>
      </c>
      <c r="G1058" s="258" t="s">
        <v>4513</v>
      </c>
      <c r="H1058" s="258">
        <v>3.75</v>
      </c>
      <c r="I1058" s="258" t="s">
        <v>543</v>
      </c>
      <c r="J1058" s="258" t="s">
        <v>11747</v>
      </c>
      <c r="K1058" s="258">
        <v>3.5</v>
      </c>
      <c r="L1058" s="258"/>
      <c r="M1058" s="258"/>
      <c r="N1058" s="258" t="s">
        <v>452</v>
      </c>
      <c r="O1058" s="258" t="s">
        <v>4515</v>
      </c>
      <c r="P1058" s="258"/>
      <c r="Q1058" s="258" t="s">
        <v>24</v>
      </c>
      <c r="R1058" s="259"/>
      <c r="S1058" s="258"/>
      <c r="T1058" s="258"/>
      <c r="U1058" s="258"/>
      <c r="V1058" s="258"/>
      <c r="W1058" s="258"/>
      <c r="X1058" s="258"/>
      <c r="Y1058" s="258"/>
      <c r="Z1058" s="258"/>
    </row>
    <row r="1059" spans="1:26" ht="15.75" customHeight="1">
      <c r="A1059" s="253">
        <v>44797</v>
      </c>
      <c r="B1059" s="224" t="s">
        <v>4831</v>
      </c>
      <c r="C1059" s="316">
        <v>3.5</v>
      </c>
      <c r="D1059" s="224" t="s">
        <v>4834</v>
      </c>
      <c r="E1059" s="224" t="s">
        <v>4</v>
      </c>
      <c r="F1059" s="224" t="s">
        <v>725</v>
      </c>
      <c r="G1059" s="224" t="s">
        <v>10779</v>
      </c>
      <c r="H1059" s="224">
        <v>3.5</v>
      </c>
      <c r="I1059" s="224" t="s">
        <v>462</v>
      </c>
      <c r="J1059" s="224" t="s">
        <v>4836</v>
      </c>
      <c r="K1059" s="224">
        <v>3.5</v>
      </c>
      <c r="L1059" s="224" t="s">
        <v>451</v>
      </c>
      <c r="M1059" s="330">
        <v>2000000</v>
      </c>
      <c r="N1059" s="224" t="s">
        <v>452</v>
      </c>
      <c r="O1059" s="224" t="s">
        <v>452</v>
      </c>
      <c r="P1059" s="224"/>
      <c r="Q1059" s="224" t="s">
        <v>24</v>
      </c>
      <c r="R1059" s="254"/>
      <c r="S1059" s="224"/>
      <c r="T1059" s="224"/>
      <c r="U1059" s="224"/>
      <c r="V1059" s="224"/>
      <c r="W1059" s="224"/>
      <c r="X1059" s="224"/>
      <c r="Y1059" s="224"/>
      <c r="Z1059" s="224"/>
    </row>
    <row r="1060" spans="1:26" ht="15.75" customHeight="1">
      <c r="A1060" s="248">
        <v>44797</v>
      </c>
      <c r="B1060" s="219" t="s">
        <v>4804</v>
      </c>
      <c r="C1060" s="315">
        <v>3.5</v>
      </c>
      <c r="D1060" s="219" t="s">
        <v>4807</v>
      </c>
      <c r="E1060" s="219" t="s">
        <v>4</v>
      </c>
      <c r="F1060" s="219" t="s">
        <v>1457</v>
      </c>
      <c r="G1060" s="219" t="s">
        <v>4808</v>
      </c>
      <c r="H1060" s="219">
        <v>3</v>
      </c>
      <c r="I1060" s="219" t="s">
        <v>462</v>
      </c>
      <c r="J1060" s="219" t="s">
        <v>10817</v>
      </c>
      <c r="K1060" s="219">
        <v>4</v>
      </c>
      <c r="L1060" s="219" t="s">
        <v>784</v>
      </c>
      <c r="M1060" s="219" t="s">
        <v>4810</v>
      </c>
      <c r="N1060" s="219" t="s">
        <v>452</v>
      </c>
      <c r="O1060" s="219" t="s">
        <v>4811</v>
      </c>
      <c r="P1060" s="219"/>
      <c r="Q1060" s="219" t="s">
        <v>24</v>
      </c>
      <c r="R1060" s="251"/>
      <c r="S1060" s="219"/>
      <c r="T1060" s="219"/>
      <c r="U1060" s="219"/>
      <c r="V1060" s="219"/>
      <c r="W1060" s="219"/>
      <c r="X1060" s="219"/>
      <c r="Y1060" s="219"/>
      <c r="Z1060" s="219"/>
    </row>
    <row r="1061" spans="1:26" ht="15.75" customHeight="1">
      <c r="A1061" s="253">
        <v>44797</v>
      </c>
      <c r="B1061" s="224" t="s">
        <v>4593</v>
      </c>
      <c r="C1061" s="316">
        <v>3.5</v>
      </c>
      <c r="D1061" s="224" t="s">
        <v>4596</v>
      </c>
      <c r="E1061" s="224" t="s">
        <v>4</v>
      </c>
      <c r="F1061" s="224" t="s">
        <v>447</v>
      </c>
      <c r="G1061" s="224" t="s">
        <v>11748</v>
      </c>
      <c r="H1061" s="224">
        <v>3</v>
      </c>
      <c r="I1061" s="224" t="s">
        <v>1073</v>
      </c>
      <c r="J1061" s="224" t="s">
        <v>4598</v>
      </c>
      <c r="K1061" s="224">
        <v>4</v>
      </c>
      <c r="L1061" s="224"/>
      <c r="M1061" s="224"/>
      <c r="N1061" s="224" t="s">
        <v>452</v>
      </c>
      <c r="O1061" s="224" t="s">
        <v>1119</v>
      </c>
      <c r="P1061" s="224"/>
      <c r="Q1061" s="224" t="s">
        <v>24</v>
      </c>
      <c r="R1061" s="254"/>
      <c r="S1061" s="224"/>
      <c r="T1061" s="224"/>
      <c r="U1061" s="224"/>
      <c r="V1061" s="224"/>
      <c r="W1061" s="224"/>
      <c r="X1061" s="224"/>
      <c r="Y1061" s="224"/>
      <c r="Z1061" s="224"/>
    </row>
    <row r="1062" spans="1:26" ht="15.75" customHeight="1">
      <c r="A1062" s="248">
        <v>44797</v>
      </c>
      <c r="B1062" s="219" t="s">
        <v>4856</v>
      </c>
      <c r="C1062" s="315">
        <v>3.5</v>
      </c>
      <c r="D1062" s="219" t="s">
        <v>4859</v>
      </c>
      <c r="E1062" s="219" t="s">
        <v>4</v>
      </c>
      <c r="F1062" s="219" t="s">
        <v>1045</v>
      </c>
      <c r="G1062" s="219" t="s">
        <v>4860</v>
      </c>
      <c r="H1062" s="219">
        <v>3</v>
      </c>
      <c r="I1062" s="219" t="s">
        <v>1457</v>
      </c>
      <c r="J1062" s="219" t="s">
        <v>4861</v>
      </c>
      <c r="K1062" s="219">
        <v>4</v>
      </c>
      <c r="L1062" s="219"/>
      <c r="M1062" s="219"/>
      <c r="N1062" s="219" t="s">
        <v>465</v>
      </c>
      <c r="O1062" s="219" t="s">
        <v>4862</v>
      </c>
      <c r="P1062" s="219"/>
      <c r="Q1062" s="219" t="s">
        <v>24</v>
      </c>
      <c r="R1062" s="251"/>
      <c r="S1062" s="219"/>
      <c r="T1062" s="219"/>
      <c r="U1062" s="219"/>
      <c r="V1062" s="219"/>
      <c r="W1062" s="219"/>
      <c r="X1062" s="219"/>
      <c r="Y1062" s="219"/>
      <c r="Z1062" s="219"/>
    </row>
    <row r="1063" spans="1:26" ht="15.75" customHeight="1">
      <c r="A1063" s="253">
        <v>44797</v>
      </c>
      <c r="B1063" s="224" t="s">
        <v>4610</v>
      </c>
      <c r="C1063" s="316">
        <v>3.5</v>
      </c>
      <c r="D1063" s="224" t="s">
        <v>4613</v>
      </c>
      <c r="E1063" s="224" t="s">
        <v>4</v>
      </c>
      <c r="F1063" s="224" t="s">
        <v>1045</v>
      </c>
      <c r="G1063" s="224" t="s">
        <v>4614</v>
      </c>
      <c r="H1063" s="224">
        <v>3</v>
      </c>
      <c r="I1063" s="224" t="s">
        <v>604</v>
      </c>
      <c r="J1063" s="224" t="s">
        <v>11154</v>
      </c>
      <c r="K1063" s="224">
        <v>4</v>
      </c>
      <c r="L1063" s="224" t="s">
        <v>784</v>
      </c>
      <c r="M1063" s="311">
        <v>750000</v>
      </c>
      <c r="N1063" s="224" t="s">
        <v>454</v>
      </c>
      <c r="O1063" s="224" t="s">
        <v>4616</v>
      </c>
      <c r="P1063" s="224"/>
      <c r="Q1063" s="224" t="s">
        <v>24</v>
      </c>
      <c r="R1063" s="254"/>
      <c r="S1063" s="224"/>
      <c r="T1063" s="224"/>
      <c r="U1063" s="224"/>
      <c r="V1063" s="224"/>
      <c r="W1063" s="224"/>
      <c r="X1063" s="224"/>
      <c r="Y1063" s="224"/>
      <c r="Z1063" s="224"/>
    </row>
    <row r="1064" spans="1:26" ht="15.75" customHeight="1">
      <c r="A1064" s="248">
        <v>44797</v>
      </c>
      <c r="B1064" s="219" t="s">
        <v>4628</v>
      </c>
      <c r="C1064" s="315">
        <v>3.5</v>
      </c>
      <c r="D1064" s="219" t="s">
        <v>4631</v>
      </c>
      <c r="E1064" s="219" t="s">
        <v>4</v>
      </c>
      <c r="F1064" s="219" t="s">
        <v>447</v>
      </c>
      <c r="G1064" s="219" t="s">
        <v>11257</v>
      </c>
      <c r="H1064" s="219">
        <v>4</v>
      </c>
      <c r="I1064" s="219" t="s">
        <v>604</v>
      </c>
      <c r="J1064" s="219" t="s">
        <v>4633</v>
      </c>
      <c r="K1064" s="219">
        <v>3</v>
      </c>
      <c r="L1064" s="219" t="s">
        <v>2190</v>
      </c>
      <c r="M1064" s="219">
        <v>1000000</v>
      </c>
      <c r="N1064" s="219" t="s">
        <v>465</v>
      </c>
      <c r="O1064" s="219"/>
      <c r="P1064" s="219" t="s">
        <v>4634</v>
      </c>
      <c r="Q1064" s="219" t="s">
        <v>24</v>
      </c>
      <c r="R1064" s="251"/>
      <c r="S1064" s="219"/>
      <c r="T1064" s="219"/>
      <c r="U1064" s="219"/>
      <c r="V1064" s="219"/>
      <c r="W1064" s="219"/>
      <c r="X1064" s="219"/>
      <c r="Y1064" s="219"/>
      <c r="Z1064" s="219"/>
    </row>
    <row r="1065" spans="1:26" ht="15.75" customHeight="1">
      <c r="A1065" s="257">
        <v>44797</v>
      </c>
      <c r="B1065" s="258" t="s">
        <v>302</v>
      </c>
      <c r="C1065" s="263">
        <v>3.5</v>
      </c>
      <c r="D1065" s="258" t="s">
        <v>11285</v>
      </c>
      <c r="E1065" s="258" t="s">
        <v>4</v>
      </c>
      <c r="F1065" s="258" t="s">
        <v>460</v>
      </c>
      <c r="G1065" s="258" t="s">
        <v>9433</v>
      </c>
      <c r="H1065" s="258">
        <v>3</v>
      </c>
      <c r="I1065" s="258" t="s">
        <v>1281</v>
      </c>
      <c r="J1065" s="258" t="s">
        <v>9434</v>
      </c>
      <c r="K1065" s="258">
        <v>4</v>
      </c>
      <c r="L1065" s="258" t="s">
        <v>451</v>
      </c>
      <c r="M1065" s="258" t="s">
        <v>9435</v>
      </c>
      <c r="N1065" s="258" t="s">
        <v>452</v>
      </c>
      <c r="O1065" s="258" t="s">
        <v>575</v>
      </c>
      <c r="P1065" s="258"/>
      <c r="Q1065" s="258" t="s">
        <v>19</v>
      </c>
      <c r="R1065" s="259" t="s">
        <v>11749</v>
      </c>
      <c r="S1065" s="258"/>
      <c r="T1065" s="258"/>
      <c r="U1065" s="258"/>
      <c r="V1065" s="258"/>
      <c r="W1065" s="258"/>
      <c r="X1065" s="258"/>
      <c r="Y1065" s="258"/>
      <c r="Z1065" s="258"/>
    </row>
    <row r="1066" spans="1:26" ht="15.75" customHeight="1">
      <c r="A1066" s="248">
        <v>44797</v>
      </c>
      <c r="B1066" s="219" t="s">
        <v>4645</v>
      </c>
      <c r="C1066" s="315">
        <v>3.5</v>
      </c>
      <c r="D1066" s="219" t="s">
        <v>4648</v>
      </c>
      <c r="E1066" s="219" t="s">
        <v>4</v>
      </c>
      <c r="F1066" s="219" t="s">
        <v>447</v>
      </c>
      <c r="G1066" s="219" t="s">
        <v>11303</v>
      </c>
      <c r="H1066" s="219">
        <v>3</v>
      </c>
      <c r="I1066" s="219" t="s">
        <v>604</v>
      </c>
      <c r="J1066" s="219" t="s">
        <v>11304</v>
      </c>
      <c r="K1066" s="219">
        <v>4</v>
      </c>
      <c r="L1066" s="219" t="s">
        <v>1656</v>
      </c>
      <c r="M1066" s="219">
        <v>3000000</v>
      </c>
      <c r="N1066" s="219" t="s">
        <v>452</v>
      </c>
      <c r="O1066" s="219" t="s">
        <v>4651</v>
      </c>
      <c r="P1066" s="219"/>
      <c r="Q1066" s="219" t="s">
        <v>24</v>
      </c>
      <c r="R1066" s="251"/>
      <c r="S1066" s="219"/>
      <c r="T1066" s="219"/>
      <c r="U1066" s="219"/>
      <c r="V1066" s="219"/>
      <c r="W1066" s="219"/>
      <c r="X1066" s="219"/>
      <c r="Y1066" s="219"/>
      <c r="Z1066" s="219"/>
    </row>
    <row r="1067" spans="1:26" ht="15.75" customHeight="1">
      <c r="A1067" s="253">
        <v>44797</v>
      </c>
      <c r="B1067" s="224" t="s">
        <v>4585</v>
      </c>
      <c r="C1067" s="316">
        <v>3.5</v>
      </c>
      <c r="D1067" s="224" t="s">
        <v>4588</v>
      </c>
      <c r="E1067" s="224" t="s">
        <v>4</v>
      </c>
      <c r="F1067" s="224" t="s">
        <v>602</v>
      </c>
      <c r="G1067" s="224" t="s">
        <v>4589</v>
      </c>
      <c r="H1067" s="224">
        <v>2</v>
      </c>
      <c r="I1067" s="224" t="s">
        <v>1073</v>
      </c>
      <c r="J1067" s="224" t="s">
        <v>4590</v>
      </c>
      <c r="K1067" s="224">
        <v>5</v>
      </c>
      <c r="L1067" s="224" t="s">
        <v>784</v>
      </c>
      <c r="M1067" s="224">
        <v>500000</v>
      </c>
      <c r="N1067" s="224" t="s">
        <v>452</v>
      </c>
      <c r="O1067" s="224" t="s">
        <v>4591</v>
      </c>
      <c r="P1067" s="224"/>
      <c r="Q1067" s="224" t="s">
        <v>24</v>
      </c>
      <c r="R1067" s="254"/>
      <c r="S1067" s="224"/>
      <c r="T1067" s="224"/>
      <c r="U1067" s="224"/>
      <c r="V1067" s="224"/>
      <c r="W1067" s="224"/>
      <c r="X1067" s="224"/>
      <c r="Y1067" s="224"/>
      <c r="Z1067" s="224"/>
    </row>
    <row r="1068" spans="1:26" ht="15.75" customHeight="1">
      <c r="A1068" s="248">
        <v>44797</v>
      </c>
      <c r="B1068" s="219" t="s">
        <v>5175</v>
      </c>
      <c r="C1068" s="315">
        <v>3.25</v>
      </c>
      <c r="D1068" s="219" t="s">
        <v>5178</v>
      </c>
      <c r="E1068" s="219" t="s">
        <v>4</v>
      </c>
      <c r="F1068" s="219" t="s">
        <v>1045</v>
      </c>
      <c r="G1068" s="219" t="s">
        <v>5179</v>
      </c>
      <c r="H1068" s="219">
        <v>3.5</v>
      </c>
      <c r="I1068" s="219" t="s">
        <v>462</v>
      </c>
      <c r="J1068" s="219" t="s">
        <v>11164</v>
      </c>
      <c r="K1068" s="219">
        <v>3</v>
      </c>
      <c r="L1068" s="219" t="s">
        <v>451</v>
      </c>
      <c r="M1068" s="219">
        <v>2000000</v>
      </c>
      <c r="N1068" s="219" t="s">
        <v>452</v>
      </c>
      <c r="O1068" s="219" t="s">
        <v>11165</v>
      </c>
      <c r="P1068" s="219"/>
      <c r="Q1068" s="219" t="s">
        <v>24</v>
      </c>
      <c r="R1068" s="251"/>
      <c r="S1068" s="219"/>
      <c r="T1068" s="219"/>
      <c r="U1068" s="219"/>
      <c r="V1068" s="219"/>
      <c r="W1068" s="219"/>
      <c r="X1068" s="219"/>
      <c r="Y1068" s="219"/>
      <c r="Z1068" s="219"/>
    </row>
    <row r="1069" spans="1:26" ht="15.75" customHeight="1">
      <c r="A1069" s="253">
        <v>44797</v>
      </c>
      <c r="B1069" s="224" t="s">
        <v>5113</v>
      </c>
      <c r="C1069" s="316">
        <v>3.25</v>
      </c>
      <c r="D1069" s="224" t="s">
        <v>5116</v>
      </c>
      <c r="E1069" s="224" t="s">
        <v>4</v>
      </c>
      <c r="F1069" s="224" t="s">
        <v>602</v>
      </c>
      <c r="G1069" s="224" t="s">
        <v>5117</v>
      </c>
      <c r="H1069" s="224">
        <v>3</v>
      </c>
      <c r="I1069" s="224" t="s">
        <v>462</v>
      </c>
      <c r="J1069" s="224" t="s">
        <v>5118</v>
      </c>
      <c r="K1069" s="224">
        <v>3.5</v>
      </c>
      <c r="L1069" s="224"/>
      <c r="M1069" s="224"/>
      <c r="N1069" s="224" t="s">
        <v>452</v>
      </c>
      <c r="O1069" s="224" t="s">
        <v>10833</v>
      </c>
      <c r="P1069" s="224"/>
      <c r="Q1069" s="224" t="s">
        <v>24</v>
      </c>
      <c r="R1069" s="254"/>
      <c r="S1069" s="224"/>
      <c r="T1069" s="224"/>
      <c r="U1069" s="224"/>
      <c r="V1069" s="224"/>
      <c r="W1069" s="224"/>
      <c r="X1069" s="224"/>
      <c r="Y1069" s="224"/>
      <c r="Z1069" s="224"/>
    </row>
    <row r="1070" spans="1:26" ht="15.75" customHeight="1">
      <c r="A1070" s="257">
        <v>44797</v>
      </c>
      <c r="B1070" s="258" t="s">
        <v>10473</v>
      </c>
      <c r="C1070" s="263">
        <v>3.25</v>
      </c>
      <c r="D1070" s="258" t="s">
        <v>9642</v>
      </c>
      <c r="E1070" s="258" t="s">
        <v>4</v>
      </c>
      <c r="F1070" s="258" t="s">
        <v>460</v>
      </c>
      <c r="G1070" s="258" t="s">
        <v>9643</v>
      </c>
      <c r="H1070" s="258">
        <v>3</v>
      </c>
      <c r="I1070" s="258" t="s">
        <v>1045</v>
      </c>
      <c r="J1070" s="258" t="s">
        <v>9644</v>
      </c>
      <c r="K1070" s="258">
        <v>3.5</v>
      </c>
      <c r="L1070" s="258"/>
      <c r="M1070" s="258"/>
      <c r="N1070" s="258" t="s">
        <v>465</v>
      </c>
      <c r="O1070" s="258" t="s">
        <v>9645</v>
      </c>
      <c r="P1070" s="258" t="s">
        <v>9646</v>
      </c>
      <c r="Q1070" s="258" t="s">
        <v>23</v>
      </c>
      <c r="R1070" s="259" t="s">
        <v>9647</v>
      </c>
      <c r="S1070" s="258"/>
      <c r="T1070" s="258"/>
      <c r="U1070" s="258"/>
      <c r="V1070" s="258"/>
      <c r="W1070" s="258"/>
      <c r="X1070" s="258"/>
      <c r="Y1070" s="258"/>
      <c r="Z1070" s="258"/>
    </row>
    <row r="1071" spans="1:26" ht="15.75" customHeight="1">
      <c r="A1071" s="253">
        <v>44797</v>
      </c>
      <c r="B1071" s="224" t="s">
        <v>10541</v>
      </c>
      <c r="C1071" s="316">
        <v>3.25</v>
      </c>
      <c r="D1071" s="224" t="s">
        <v>10542</v>
      </c>
      <c r="E1071" s="224" t="s">
        <v>4</v>
      </c>
      <c r="F1071" s="224" t="s">
        <v>727</v>
      </c>
      <c r="G1071" s="224" t="s">
        <v>10543</v>
      </c>
      <c r="H1071" s="224">
        <v>3.5</v>
      </c>
      <c r="I1071" s="224" t="s">
        <v>449</v>
      </c>
      <c r="J1071" s="224" t="s">
        <v>10544</v>
      </c>
      <c r="K1071" s="224">
        <v>3</v>
      </c>
      <c r="L1071" s="224" t="s">
        <v>478</v>
      </c>
      <c r="M1071" s="224" t="s">
        <v>5052</v>
      </c>
      <c r="N1071" s="224" t="s">
        <v>452</v>
      </c>
      <c r="O1071" s="224" t="s">
        <v>452</v>
      </c>
      <c r="P1071" s="224"/>
      <c r="Q1071" s="224" t="s">
        <v>24</v>
      </c>
      <c r="R1071" s="254"/>
      <c r="S1071" s="224"/>
      <c r="T1071" s="224"/>
      <c r="U1071" s="224"/>
      <c r="V1071" s="224"/>
      <c r="W1071" s="224"/>
      <c r="X1071" s="224"/>
      <c r="Y1071" s="224"/>
      <c r="Z1071" s="224"/>
    </row>
    <row r="1072" spans="1:26" ht="15.75" customHeight="1">
      <c r="A1072" s="248">
        <v>44797</v>
      </c>
      <c r="B1072" s="219" t="s">
        <v>357</v>
      </c>
      <c r="C1072" s="315">
        <v>3.25</v>
      </c>
      <c r="D1072" s="219"/>
      <c r="E1072" s="219" t="s">
        <v>3</v>
      </c>
      <c r="F1072" s="219" t="s">
        <v>488</v>
      </c>
      <c r="G1072" s="219" t="s">
        <v>11242</v>
      </c>
      <c r="H1072" s="219">
        <v>3.5</v>
      </c>
      <c r="I1072" s="219" t="s">
        <v>941</v>
      </c>
      <c r="J1072" s="219" t="s">
        <v>9788</v>
      </c>
      <c r="K1072" s="219">
        <v>3</v>
      </c>
      <c r="L1072" s="219" t="s">
        <v>8914</v>
      </c>
      <c r="M1072" s="219">
        <v>3500000</v>
      </c>
      <c r="N1072" s="219" t="s">
        <v>452</v>
      </c>
      <c r="O1072" s="219" t="s">
        <v>452</v>
      </c>
      <c r="P1072" s="219"/>
      <c r="Q1072" s="219" t="s">
        <v>20</v>
      </c>
      <c r="R1072" s="251" t="s">
        <v>9789</v>
      </c>
      <c r="S1072" s="219"/>
      <c r="T1072" s="219"/>
      <c r="U1072" s="219"/>
      <c r="V1072" s="219"/>
      <c r="W1072" s="219"/>
      <c r="X1072" s="219"/>
      <c r="Y1072" s="219"/>
      <c r="Z1072" s="219"/>
    </row>
    <row r="1073" spans="1:26" ht="15.75" customHeight="1">
      <c r="A1073" s="257">
        <v>44797</v>
      </c>
      <c r="B1073" s="258" t="s">
        <v>5298</v>
      </c>
      <c r="C1073" s="263">
        <v>3.25</v>
      </c>
      <c r="D1073" s="258" t="s">
        <v>5301</v>
      </c>
      <c r="E1073" s="258" t="s">
        <v>4</v>
      </c>
      <c r="F1073" s="258" t="s">
        <v>602</v>
      </c>
      <c r="G1073" s="258" t="s">
        <v>5302</v>
      </c>
      <c r="H1073" s="258">
        <v>2.5</v>
      </c>
      <c r="I1073" s="258" t="s">
        <v>447</v>
      </c>
      <c r="J1073" s="258" t="s">
        <v>5303</v>
      </c>
      <c r="K1073" s="258">
        <v>4</v>
      </c>
      <c r="L1073" s="258" t="s">
        <v>451</v>
      </c>
      <c r="M1073" s="261">
        <v>3000000</v>
      </c>
      <c r="N1073" s="258" t="s">
        <v>452</v>
      </c>
      <c r="O1073" s="258" t="s">
        <v>11353</v>
      </c>
      <c r="P1073" s="258"/>
      <c r="Q1073" s="258" t="s">
        <v>24</v>
      </c>
      <c r="R1073" s="259" t="s">
        <v>5305</v>
      </c>
      <c r="S1073" s="224"/>
      <c r="T1073" s="224"/>
      <c r="U1073" s="224"/>
      <c r="V1073" s="224"/>
      <c r="W1073" s="224"/>
      <c r="X1073" s="224"/>
      <c r="Y1073" s="224"/>
      <c r="Z1073" s="224"/>
    </row>
    <row r="1074" spans="1:26" ht="15.75" customHeight="1">
      <c r="A1074" s="248">
        <v>44797</v>
      </c>
      <c r="B1074" s="219" t="s">
        <v>10829</v>
      </c>
      <c r="C1074" s="315">
        <v>3.25</v>
      </c>
      <c r="D1074" s="219" t="s">
        <v>5204</v>
      </c>
      <c r="E1074" s="219" t="s">
        <v>4</v>
      </c>
      <c r="F1074" s="219" t="s">
        <v>725</v>
      </c>
      <c r="G1074" s="219" t="s">
        <v>10830</v>
      </c>
      <c r="H1074" s="219">
        <v>3.5</v>
      </c>
      <c r="I1074" s="219" t="s">
        <v>447</v>
      </c>
      <c r="J1074" s="219" t="s">
        <v>10831</v>
      </c>
      <c r="K1074" s="219">
        <v>3</v>
      </c>
      <c r="L1074" s="219" t="s">
        <v>451</v>
      </c>
      <c r="M1074" s="219" t="s">
        <v>5207</v>
      </c>
      <c r="N1074" s="219" t="s">
        <v>452</v>
      </c>
      <c r="O1074" s="219" t="s">
        <v>452</v>
      </c>
      <c r="P1074" s="219"/>
      <c r="Q1074" s="219" t="s">
        <v>24</v>
      </c>
      <c r="R1074" s="251"/>
      <c r="S1074" s="219"/>
      <c r="T1074" s="219"/>
      <c r="U1074" s="219"/>
      <c r="V1074" s="219"/>
      <c r="W1074" s="219"/>
      <c r="X1074" s="219"/>
      <c r="Y1074" s="219"/>
      <c r="Z1074" s="219"/>
    </row>
    <row r="1075" spans="1:26" ht="15.75" customHeight="1">
      <c r="A1075" s="253">
        <v>44797</v>
      </c>
      <c r="B1075" s="224" t="s">
        <v>5271</v>
      </c>
      <c r="C1075" s="316">
        <v>3.25</v>
      </c>
      <c r="D1075" s="224" t="s">
        <v>5274</v>
      </c>
      <c r="E1075" s="224" t="s">
        <v>4</v>
      </c>
      <c r="F1075" s="224" t="s">
        <v>1045</v>
      </c>
      <c r="G1075" s="224" t="s">
        <v>5275</v>
      </c>
      <c r="H1075" s="224">
        <v>3</v>
      </c>
      <c r="I1075" s="224" t="s">
        <v>1350</v>
      </c>
      <c r="J1075" s="224" t="s">
        <v>5276</v>
      </c>
      <c r="K1075" s="224">
        <v>3.5</v>
      </c>
      <c r="L1075" s="224"/>
      <c r="M1075" s="224"/>
      <c r="N1075" s="224" t="s">
        <v>452</v>
      </c>
      <c r="O1075" s="224" t="s">
        <v>5277</v>
      </c>
      <c r="P1075" s="224"/>
      <c r="Q1075" s="224" t="s">
        <v>24</v>
      </c>
      <c r="R1075" s="254"/>
      <c r="S1075" s="224"/>
      <c r="T1075" s="224"/>
      <c r="U1075" s="224"/>
      <c r="V1075" s="224"/>
      <c r="W1075" s="224"/>
      <c r="X1075" s="224"/>
      <c r="Y1075" s="224"/>
      <c r="Z1075" s="224"/>
    </row>
    <row r="1076" spans="1:26" ht="15.75" customHeight="1">
      <c r="A1076" s="248">
        <v>44797</v>
      </c>
      <c r="B1076" s="219" t="s">
        <v>5818</v>
      </c>
      <c r="C1076" s="315">
        <v>3</v>
      </c>
      <c r="D1076" s="219" t="s">
        <v>5821</v>
      </c>
      <c r="E1076" s="219" t="s">
        <v>4</v>
      </c>
      <c r="F1076" s="219" t="s">
        <v>1045</v>
      </c>
      <c r="G1076" s="219" t="s">
        <v>5822</v>
      </c>
      <c r="H1076" s="219">
        <v>3.5</v>
      </c>
      <c r="I1076" s="219" t="s">
        <v>462</v>
      </c>
      <c r="J1076" s="219" t="s">
        <v>5823</v>
      </c>
      <c r="K1076" s="219">
        <v>2.5</v>
      </c>
      <c r="L1076" s="219" t="s">
        <v>451</v>
      </c>
      <c r="M1076" s="219">
        <v>2000000</v>
      </c>
      <c r="N1076" s="219" t="s">
        <v>452</v>
      </c>
      <c r="O1076" s="219" t="s">
        <v>452</v>
      </c>
      <c r="P1076" s="219"/>
      <c r="Q1076" s="219" t="s">
        <v>24</v>
      </c>
      <c r="R1076" s="251"/>
      <c r="S1076" s="219"/>
      <c r="T1076" s="219"/>
      <c r="U1076" s="219"/>
      <c r="V1076" s="219"/>
      <c r="W1076" s="219"/>
      <c r="X1076" s="219"/>
      <c r="Y1076" s="219"/>
      <c r="Z1076" s="219"/>
    </row>
    <row r="1077" spans="1:26" ht="15.75" customHeight="1">
      <c r="A1077" s="253">
        <v>44797</v>
      </c>
      <c r="B1077" s="224" t="s">
        <v>5692</v>
      </c>
      <c r="C1077" s="316">
        <v>3</v>
      </c>
      <c r="D1077" s="224" t="s">
        <v>5695</v>
      </c>
      <c r="E1077" s="224" t="s">
        <v>4</v>
      </c>
      <c r="F1077" s="224" t="s">
        <v>447</v>
      </c>
      <c r="G1077" s="224" t="s">
        <v>11113</v>
      </c>
      <c r="H1077" s="224">
        <v>3.5</v>
      </c>
      <c r="I1077" s="224" t="s">
        <v>622</v>
      </c>
      <c r="J1077" s="224" t="s">
        <v>11750</v>
      </c>
      <c r="K1077" s="224">
        <v>2.5</v>
      </c>
      <c r="L1077" s="224"/>
      <c r="M1077" s="224"/>
      <c r="N1077" s="224" t="s">
        <v>452</v>
      </c>
      <c r="O1077" s="224" t="s">
        <v>11115</v>
      </c>
      <c r="P1077" s="224"/>
      <c r="Q1077" s="224" t="s">
        <v>24</v>
      </c>
      <c r="R1077" s="254"/>
      <c r="S1077" s="224"/>
      <c r="T1077" s="224"/>
      <c r="U1077" s="224"/>
      <c r="V1077" s="224"/>
      <c r="W1077" s="224"/>
      <c r="X1077" s="224"/>
      <c r="Y1077" s="224"/>
      <c r="Z1077" s="224"/>
    </row>
    <row r="1078" spans="1:26" ht="15.75" customHeight="1">
      <c r="A1078" s="248">
        <v>44797</v>
      </c>
      <c r="B1078" s="219" t="s">
        <v>5774</v>
      </c>
      <c r="C1078" s="315">
        <v>3</v>
      </c>
      <c r="D1078" s="219" t="s">
        <v>5777</v>
      </c>
      <c r="E1078" s="219" t="s">
        <v>4</v>
      </c>
      <c r="F1078" s="219" t="s">
        <v>725</v>
      </c>
      <c r="G1078" s="219" t="s">
        <v>10261</v>
      </c>
      <c r="H1078" s="219">
        <v>3</v>
      </c>
      <c r="I1078" s="219" t="s">
        <v>447</v>
      </c>
      <c r="J1078" s="219" t="s">
        <v>10262</v>
      </c>
      <c r="K1078" s="219">
        <v>3</v>
      </c>
      <c r="L1078" s="219" t="s">
        <v>451</v>
      </c>
      <c r="M1078" s="219">
        <v>2200000</v>
      </c>
      <c r="N1078" s="219" t="s">
        <v>452</v>
      </c>
      <c r="O1078" s="219" t="s">
        <v>10263</v>
      </c>
      <c r="P1078" s="219"/>
      <c r="Q1078" s="219" t="s">
        <v>24</v>
      </c>
      <c r="R1078" s="251"/>
      <c r="S1078" s="219"/>
      <c r="T1078" s="219"/>
      <c r="U1078" s="219"/>
      <c r="V1078" s="219"/>
      <c r="W1078" s="219"/>
      <c r="X1078" s="219"/>
      <c r="Y1078" s="219"/>
      <c r="Z1078" s="219"/>
    </row>
    <row r="1079" spans="1:26" ht="15.75" customHeight="1">
      <c r="A1079" s="253">
        <v>44797</v>
      </c>
      <c r="B1079" s="224" t="s">
        <v>5486</v>
      </c>
      <c r="C1079" s="316">
        <v>3</v>
      </c>
      <c r="D1079" s="224" t="s">
        <v>10787</v>
      </c>
      <c r="E1079" s="224" t="s">
        <v>4</v>
      </c>
      <c r="F1079" s="224" t="s">
        <v>602</v>
      </c>
      <c r="G1079" s="224" t="s">
        <v>5490</v>
      </c>
      <c r="H1079" s="224">
        <v>3</v>
      </c>
      <c r="I1079" s="224" t="s">
        <v>604</v>
      </c>
      <c r="J1079" s="224" t="s">
        <v>10788</v>
      </c>
      <c r="K1079" s="224">
        <v>3</v>
      </c>
      <c r="L1079" s="224" t="s">
        <v>451</v>
      </c>
      <c r="M1079" s="330">
        <v>500000</v>
      </c>
      <c r="N1079" s="224" t="s">
        <v>454</v>
      </c>
      <c r="O1079" s="224" t="s">
        <v>5492</v>
      </c>
      <c r="P1079" s="224" t="s">
        <v>727</v>
      </c>
      <c r="Q1079" s="224" t="s">
        <v>24</v>
      </c>
      <c r="R1079" s="254"/>
      <c r="S1079" s="224"/>
      <c r="T1079" s="224"/>
      <c r="U1079" s="224"/>
      <c r="V1079" s="224"/>
      <c r="W1079" s="224"/>
      <c r="X1079" s="224"/>
      <c r="Y1079" s="224"/>
      <c r="Z1079" s="224"/>
    </row>
    <row r="1080" spans="1:26" ht="15.75" customHeight="1">
      <c r="A1080" s="248">
        <v>44797</v>
      </c>
      <c r="B1080" s="219" t="s">
        <v>5700</v>
      </c>
      <c r="C1080" s="315">
        <v>3</v>
      </c>
      <c r="D1080" s="219" t="s">
        <v>5703</v>
      </c>
      <c r="E1080" s="219" t="s">
        <v>4</v>
      </c>
      <c r="F1080" s="219" t="s">
        <v>447</v>
      </c>
      <c r="G1080" s="219" t="s">
        <v>10936</v>
      </c>
      <c r="H1080" s="219">
        <v>2.5</v>
      </c>
      <c r="I1080" s="219" t="s">
        <v>1350</v>
      </c>
      <c r="J1080" s="219" t="s">
        <v>5705</v>
      </c>
      <c r="K1080" s="219">
        <v>3.5</v>
      </c>
      <c r="L1080" s="219"/>
      <c r="M1080" s="219"/>
      <c r="N1080" s="219" t="s">
        <v>452</v>
      </c>
      <c r="O1080" s="219" t="s">
        <v>10937</v>
      </c>
      <c r="P1080" s="219"/>
      <c r="Q1080" s="219" t="s">
        <v>24</v>
      </c>
      <c r="R1080" s="251"/>
      <c r="S1080" s="219"/>
      <c r="T1080" s="219"/>
      <c r="U1080" s="219"/>
      <c r="V1080" s="219"/>
      <c r="W1080" s="219"/>
      <c r="X1080" s="219"/>
      <c r="Y1080" s="219"/>
      <c r="Z1080" s="219"/>
    </row>
    <row r="1081" spans="1:26" ht="15.75" customHeight="1">
      <c r="A1081" s="253">
        <v>44797</v>
      </c>
      <c r="B1081" s="224" t="s">
        <v>5600</v>
      </c>
      <c r="C1081" s="316">
        <v>3</v>
      </c>
      <c r="D1081" s="224" t="s">
        <v>5603</v>
      </c>
      <c r="E1081" s="224" t="s">
        <v>4</v>
      </c>
      <c r="F1081" s="224" t="s">
        <v>1045</v>
      </c>
      <c r="G1081" s="224" t="s">
        <v>5604</v>
      </c>
      <c r="H1081" s="224">
        <v>3</v>
      </c>
      <c r="I1081" s="224" t="s">
        <v>1281</v>
      </c>
      <c r="J1081" s="224" t="s">
        <v>11170</v>
      </c>
      <c r="K1081" s="224">
        <v>3</v>
      </c>
      <c r="L1081" s="224"/>
      <c r="M1081" s="224"/>
      <c r="N1081" s="224" t="s">
        <v>454</v>
      </c>
      <c r="O1081" s="224" t="s">
        <v>1119</v>
      </c>
      <c r="P1081" s="224"/>
      <c r="Q1081" s="224" t="s">
        <v>24</v>
      </c>
      <c r="R1081" s="254"/>
      <c r="S1081" s="224"/>
      <c r="T1081" s="224"/>
      <c r="U1081" s="224"/>
      <c r="V1081" s="224"/>
      <c r="W1081" s="224"/>
      <c r="X1081" s="224"/>
      <c r="Y1081" s="224"/>
      <c r="Z1081" s="224"/>
    </row>
    <row r="1082" spans="1:26" ht="15.75" customHeight="1">
      <c r="A1082" s="248">
        <v>44797</v>
      </c>
      <c r="B1082" s="219" t="s">
        <v>5740</v>
      </c>
      <c r="C1082" s="315">
        <v>3</v>
      </c>
      <c r="D1082" s="219" t="s">
        <v>11193</v>
      </c>
      <c r="E1082" s="219" t="s">
        <v>4</v>
      </c>
      <c r="F1082" s="219" t="s">
        <v>1045</v>
      </c>
      <c r="G1082" s="219" t="s">
        <v>5744</v>
      </c>
      <c r="H1082" s="219">
        <v>3</v>
      </c>
      <c r="I1082" s="219" t="s">
        <v>1457</v>
      </c>
      <c r="J1082" s="219" t="s">
        <v>5745</v>
      </c>
      <c r="K1082" s="219">
        <v>3</v>
      </c>
      <c r="L1082" s="219" t="s">
        <v>451</v>
      </c>
      <c r="M1082" s="219">
        <v>500000</v>
      </c>
      <c r="N1082" s="219" t="s">
        <v>452</v>
      </c>
      <c r="O1082" s="219" t="s">
        <v>11194</v>
      </c>
      <c r="P1082" s="219"/>
      <c r="Q1082" s="219" t="s">
        <v>24</v>
      </c>
      <c r="R1082" s="251"/>
      <c r="S1082" s="219"/>
      <c r="T1082" s="219"/>
      <c r="U1082" s="219"/>
      <c r="V1082" s="219"/>
      <c r="W1082" s="219"/>
      <c r="X1082" s="219"/>
      <c r="Y1082" s="219"/>
      <c r="Z1082" s="219"/>
    </row>
    <row r="1083" spans="1:26" ht="15.75" customHeight="1">
      <c r="A1083" s="253">
        <v>44797</v>
      </c>
      <c r="B1083" s="224" t="s">
        <v>5354</v>
      </c>
      <c r="C1083" s="316">
        <v>3</v>
      </c>
      <c r="D1083" s="224" t="s">
        <v>5357</v>
      </c>
      <c r="E1083" s="224" t="s">
        <v>4</v>
      </c>
      <c r="F1083" s="224" t="s">
        <v>725</v>
      </c>
      <c r="G1083" s="224" t="s">
        <v>5358</v>
      </c>
      <c r="H1083" s="224">
        <v>2</v>
      </c>
      <c r="I1083" s="224" t="s">
        <v>990</v>
      </c>
      <c r="J1083" s="224" t="s">
        <v>5359</v>
      </c>
      <c r="K1083" s="224">
        <v>4</v>
      </c>
      <c r="L1083" s="224" t="s">
        <v>451</v>
      </c>
      <c r="M1083" s="330">
        <v>1000000</v>
      </c>
      <c r="N1083" s="224" t="s">
        <v>452</v>
      </c>
      <c r="O1083" s="224" t="s">
        <v>452</v>
      </c>
      <c r="P1083" s="224"/>
      <c r="Q1083" s="224" t="s">
        <v>24</v>
      </c>
      <c r="R1083" s="254"/>
      <c r="S1083" s="224"/>
      <c r="T1083" s="224"/>
      <c r="U1083" s="224"/>
      <c r="V1083" s="224"/>
      <c r="W1083" s="224"/>
      <c r="X1083" s="224"/>
      <c r="Y1083" s="224"/>
      <c r="Z1083" s="224"/>
    </row>
    <row r="1084" spans="1:26" ht="15.75" customHeight="1">
      <c r="A1084" s="248">
        <v>44797</v>
      </c>
      <c r="B1084" s="219" t="s">
        <v>5635</v>
      </c>
      <c r="C1084" s="315">
        <v>3</v>
      </c>
      <c r="D1084" s="219" t="s">
        <v>5638</v>
      </c>
      <c r="E1084" s="219" t="s">
        <v>4</v>
      </c>
      <c r="F1084" s="219" t="s">
        <v>727</v>
      </c>
      <c r="G1084" s="219" t="s">
        <v>11287</v>
      </c>
      <c r="H1084" s="219">
        <v>3</v>
      </c>
      <c r="I1084" s="219" t="s">
        <v>1281</v>
      </c>
      <c r="J1084" s="219" t="s">
        <v>5640</v>
      </c>
      <c r="K1084" s="219">
        <v>3</v>
      </c>
      <c r="L1084" s="219"/>
      <c r="M1084" s="219"/>
      <c r="N1084" s="219" t="s">
        <v>452</v>
      </c>
      <c r="O1084" s="219" t="s">
        <v>452</v>
      </c>
      <c r="P1084" s="219" t="s">
        <v>725</v>
      </c>
      <c r="Q1084" s="219" t="s">
        <v>24</v>
      </c>
      <c r="R1084" s="251"/>
      <c r="S1084" s="219"/>
      <c r="T1084" s="219"/>
      <c r="U1084" s="219"/>
      <c r="V1084" s="219"/>
      <c r="W1084" s="219"/>
      <c r="X1084" s="219"/>
      <c r="Y1084" s="219"/>
      <c r="Z1084" s="219"/>
    </row>
    <row r="1085" spans="1:26" ht="15.75" customHeight="1">
      <c r="A1085" s="253">
        <v>44797</v>
      </c>
      <c r="B1085" s="224" t="s">
        <v>9105</v>
      </c>
      <c r="C1085" s="316">
        <v>3</v>
      </c>
      <c r="D1085" s="224" t="s">
        <v>11354</v>
      </c>
      <c r="E1085" s="224" t="s">
        <v>3</v>
      </c>
      <c r="F1085" s="224" t="s">
        <v>488</v>
      </c>
      <c r="G1085" s="224" t="s">
        <v>9109</v>
      </c>
      <c r="H1085" s="224">
        <v>3</v>
      </c>
      <c r="I1085" s="224" t="s">
        <v>941</v>
      </c>
      <c r="J1085" s="224" t="s">
        <v>9110</v>
      </c>
      <c r="K1085" s="224">
        <v>3</v>
      </c>
      <c r="L1085" s="224" t="s">
        <v>478</v>
      </c>
      <c r="M1085" s="224" t="s">
        <v>3555</v>
      </c>
      <c r="N1085" s="224" t="s">
        <v>452</v>
      </c>
      <c r="O1085" s="224" t="s">
        <v>11355</v>
      </c>
      <c r="P1085" s="224"/>
      <c r="Q1085" s="224" t="s">
        <v>24</v>
      </c>
      <c r="R1085" s="254"/>
      <c r="S1085" s="224"/>
      <c r="T1085" s="224"/>
      <c r="U1085" s="224"/>
      <c r="V1085" s="224"/>
      <c r="W1085" s="224"/>
      <c r="X1085" s="224"/>
      <c r="Y1085" s="224"/>
      <c r="Z1085" s="224"/>
    </row>
    <row r="1086" spans="1:26" ht="15.75" customHeight="1">
      <c r="A1086" s="257">
        <v>44797</v>
      </c>
      <c r="B1086" s="258" t="s">
        <v>5529</v>
      </c>
      <c r="C1086" s="263">
        <v>3</v>
      </c>
      <c r="D1086" s="258" t="s">
        <v>5532</v>
      </c>
      <c r="E1086" s="258" t="s">
        <v>4</v>
      </c>
      <c r="F1086" s="258" t="s">
        <v>725</v>
      </c>
      <c r="G1086" s="258" t="s">
        <v>11367</v>
      </c>
      <c r="H1086" s="258">
        <v>2</v>
      </c>
      <c r="I1086" s="258" t="s">
        <v>1187</v>
      </c>
      <c r="J1086" s="258" t="s">
        <v>5534</v>
      </c>
      <c r="K1086" s="258">
        <v>4</v>
      </c>
      <c r="L1086" s="258"/>
      <c r="M1086" s="258"/>
      <c r="N1086" s="258" t="s">
        <v>452</v>
      </c>
      <c r="O1086" s="258" t="s">
        <v>5535</v>
      </c>
      <c r="P1086" s="258"/>
      <c r="Q1086" s="258" t="s">
        <v>24</v>
      </c>
      <c r="R1086" s="259" t="s">
        <v>5536</v>
      </c>
      <c r="S1086" s="258"/>
      <c r="T1086" s="258"/>
      <c r="U1086" s="258"/>
      <c r="V1086" s="258"/>
      <c r="W1086" s="258"/>
      <c r="X1086" s="258"/>
      <c r="Y1086" s="258"/>
      <c r="Z1086" s="258"/>
    </row>
    <row r="1087" spans="1:26" ht="15.75" customHeight="1">
      <c r="A1087" s="253">
        <v>44797</v>
      </c>
      <c r="B1087" s="224" t="s">
        <v>5709</v>
      </c>
      <c r="C1087" s="316">
        <v>3</v>
      </c>
      <c r="D1087" s="224" t="s">
        <v>11751</v>
      </c>
      <c r="E1087" s="224" t="s">
        <v>4</v>
      </c>
      <c r="F1087" s="224" t="s">
        <v>1045</v>
      </c>
      <c r="G1087" s="224" t="s">
        <v>5713</v>
      </c>
      <c r="H1087" s="224">
        <v>2.5</v>
      </c>
      <c r="I1087" s="224" t="s">
        <v>1350</v>
      </c>
      <c r="J1087" s="224" t="s">
        <v>5714</v>
      </c>
      <c r="K1087" s="224">
        <v>3.5</v>
      </c>
      <c r="L1087" s="224" t="s">
        <v>451</v>
      </c>
      <c r="M1087" s="330">
        <v>615000</v>
      </c>
      <c r="N1087" s="224" t="s">
        <v>454</v>
      </c>
      <c r="O1087" s="224" t="s">
        <v>11443</v>
      </c>
      <c r="P1087" s="224"/>
      <c r="Q1087" s="224" t="s">
        <v>24</v>
      </c>
      <c r="R1087" s="254"/>
      <c r="S1087" s="224"/>
      <c r="T1087" s="224"/>
      <c r="U1087" s="224"/>
      <c r="V1087" s="224"/>
      <c r="W1087" s="224"/>
      <c r="X1087" s="224"/>
      <c r="Y1087" s="224"/>
      <c r="Z1087" s="224"/>
    </row>
    <row r="1088" spans="1:26" ht="15.75" customHeight="1">
      <c r="A1088" s="248">
        <v>44797</v>
      </c>
      <c r="B1088" s="219" t="s">
        <v>5643</v>
      </c>
      <c r="C1088" s="315">
        <v>3</v>
      </c>
      <c r="D1088" s="219" t="s">
        <v>5646</v>
      </c>
      <c r="E1088" s="219" t="s">
        <v>4</v>
      </c>
      <c r="F1088" s="219" t="s">
        <v>447</v>
      </c>
      <c r="G1088" s="219" t="s">
        <v>10297</v>
      </c>
      <c r="H1088" s="219">
        <v>3</v>
      </c>
      <c r="I1088" s="219" t="s">
        <v>1281</v>
      </c>
      <c r="J1088" s="219" t="s">
        <v>5648</v>
      </c>
      <c r="K1088" s="219">
        <v>3</v>
      </c>
      <c r="L1088" s="219"/>
      <c r="M1088" s="219"/>
      <c r="N1088" s="219" t="s">
        <v>452</v>
      </c>
      <c r="O1088" s="219" t="s">
        <v>5649</v>
      </c>
      <c r="P1088" s="219"/>
      <c r="Q1088" s="219" t="s">
        <v>24</v>
      </c>
      <c r="R1088" s="251"/>
      <c r="S1088" s="219"/>
      <c r="T1088" s="219"/>
      <c r="U1088" s="219"/>
      <c r="V1088" s="219"/>
      <c r="W1088" s="219"/>
      <c r="X1088" s="219"/>
      <c r="Y1088" s="219"/>
      <c r="Z1088" s="219"/>
    </row>
    <row r="1089" spans="1:26" ht="15.75" customHeight="1">
      <c r="A1089" s="253">
        <v>44797</v>
      </c>
      <c r="B1089" s="224" t="s">
        <v>6002</v>
      </c>
      <c r="C1089" s="316">
        <v>2.75</v>
      </c>
      <c r="D1089" s="224" t="s">
        <v>6005</v>
      </c>
      <c r="E1089" s="224" t="s">
        <v>4</v>
      </c>
      <c r="F1089" s="224" t="s">
        <v>447</v>
      </c>
      <c r="G1089" s="224" t="s">
        <v>11085</v>
      </c>
      <c r="H1089" s="224">
        <v>2.5</v>
      </c>
      <c r="I1089" s="224" t="s">
        <v>622</v>
      </c>
      <c r="J1089" s="224" t="s">
        <v>11086</v>
      </c>
      <c r="K1089" s="224">
        <v>3</v>
      </c>
      <c r="L1089" s="224" t="s">
        <v>451</v>
      </c>
      <c r="M1089" s="224">
        <v>5000000</v>
      </c>
      <c r="N1089" s="224" t="s">
        <v>465</v>
      </c>
      <c r="O1089" s="224" t="s">
        <v>6008</v>
      </c>
      <c r="P1089" s="224"/>
      <c r="Q1089" s="224" t="s">
        <v>24</v>
      </c>
      <c r="R1089" s="254"/>
      <c r="S1089" s="224"/>
      <c r="T1089" s="224"/>
      <c r="U1089" s="224"/>
      <c r="V1089" s="224"/>
      <c r="W1089" s="224"/>
      <c r="X1089" s="224"/>
      <c r="Y1089" s="224"/>
      <c r="Z1089" s="224"/>
    </row>
    <row r="1090" spans="1:26" ht="15.75" customHeight="1">
      <c r="A1090" s="248">
        <v>44797</v>
      </c>
      <c r="B1090" s="219" t="s">
        <v>6052</v>
      </c>
      <c r="C1090" s="315">
        <v>2.75</v>
      </c>
      <c r="D1090" s="219" t="s">
        <v>6055</v>
      </c>
      <c r="E1090" s="219" t="s">
        <v>4</v>
      </c>
      <c r="F1090" s="219" t="s">
        <v>727</v>
      </c>
      <c r="G1090" s="219" t="s">
        <v>10489</v>
      </c>
      <c r="H1090" s="219">
        <v>2.5</v>
      </c>
      <c r="I1090" s="219" t="s">
        <v>449</v>
      </c>
      <c r="J1090" s="219" t="s">
        <v>10490</v>
      </c>
      <c r="K1090" s="219">
        <v>3</v>
      </c>
      <c r="L1090" s="219" t="s">
        <v>973</v>
      </c>
      <c r="M1090" s="219">
        <v>10000000</v>
      </c>
      <c r="N1090" s="219" t="s">
        <v>465</v>
      </c>
      <c r="O1090" s="219" t="s">
        <v>6058</v>
      </c>
      <c r="P1090" s="219"/>
      <c r="Q1090" s="219" t="s">
        <v>24</v>
      </c>
      <c r="R1090" s="251"/>
      <c r="S1090" s="219"/>
      <c r="T1090" s="219"/>
      <c r="U1090" s="219"/>
      <c r="V1090" s="219"/>
      <c r="W1090" s="219"/>
      <c r="X1090" s="219"/>
      <c r="Y1090" s="219"/>
      <c r="Z1090" s="219"/>
    </row>
    <row r="1091" spans="1:26" ht="15.75" customHeight="1">
      <c r="A1091" s="253">
        <v>44797</v>
      </c>
      <c r="B1091" s="224" t="s">
        <v>5994</v>
      </c>
      <c r="C1091" s="316">
        <v>2.75</v>
      </c>
      <c r="D1091" s="224"/>
      <c r="E1091" s="224" t="s">
        <v>4</v>
      </c>
      <c r="F1091" s="224" t="s">
        <v>725</v>
      </c>
      <c r="G1091" s="224" t="s">
        <v>11254</v>
      </c>
      <c r="H1091" s="224">
        <v>2</v>
      </c>
      <c r="I1091" s="224" t="s">
        <v>1350</v>
      </c>
      <c r="J1091" s="224" t="s">
        <v>5998</v>
      </c>
      <c r="K1091" s="224">
        <v>3.5</v>
      </c>
      <c r="L1091" s="224" t="s">
        <v>1656</v>
      </c>
      <c r="M1091" s="224">
        <v>20000000</v>
      </c>
      <c r="N1091" s="224" t="s">
        <v>452</v>
      </c>
      <c r="O1091" s="224" t="s">
        <v>5999</v>
      </c>
      <c r="P1091" s="224"/>
      <c r="Q1091" s="224" t="s">
        <v>24</v>
      </c>
      <c r="R1091" s="254"/>
      <c r="S1091" s="224"/>
      <c r="T1091" s="224"/>
      <c r="U1091" s="224"/>
      <c r="V1091" s="224"/>
      <c r="W1091" s="224"/>
      <c r="X1091" s="224"/>
      <c r="Y1091" s="224"/>
      <c r="Z1091" s="224"/>
    </row>
    <row r="1092" spans="1:26" ht="15.75" customHeight="1">
      <c r="A1092" s="248">
        <v>44797</v>
      </c>
      <c r="B1092" s="219" t="s">
        <v>6564</v>
      </c>
      <c r="C1092" s="315">
        <v>2.5</v>
      </c>
      <c r="D1092" s="219" t="s">
        <v>6567</v>
      </c>
      <c r="E1092" s="219" t="s">
        <v>4</v>
      </c>
      <c r="F1092" s="219" t="s">
        <v>727</v>
      </c>
      <c r="G1092" s="219" t="s">
        <v>10839</v>
      </c>
      <c r="H1092" s="219">
        <v>3</v>
      </c>
      <c r="I1092" s="219" t="s">
        <v>4054</v>
      </c>
      <c r="J1092" s="219"/>
      <c r="K1092" s="219">
        <v>2</v>
      </c>
      <c r="L1092" s="219" t="s">
        <v>451</v>
      </c>
      <c r="M1092" s="331">
        <v>5000000</v>
      </c>
      <c r="N1092" s="219" t="s">
        <v>452</v>
      </c>
      <c r="O1092" s="219" t="s">
        <v>6569</v>
      </c>
      <c r="P1092" s="219"/>
      <c r="Q1092" s="219" t="s">
        <v>24</v>
      </c>
      <c r="R1092" s="251"/>
      <c r="S1092" s="219"/>
      <c r="T1092" s="219"/>
      <c r="U1092" s="219"/>
      <c r="V1092" s="219"/>
      <c r="W1092" s="219"/>
      <c r="X1092" s="219"/>
      <c r="Y1092" s="219"/>
      <c r="Z1092" s="219"/>
    </row>
    <row r="1093" spans="1:26" ht="15.75" customHeight="1">
      <c r="A1093" s="253">
        <v>44797</v>
      </c>
      <c r="B1093" s="224" t="s">
        <v>6407</v>
      </c>
      <c r="C1093" s="316">
        <v>2.5</v>
      </c>
      <c r="D1093" s="224" t="s">
        <v>6410</v>
      </c>
      <c r="E1093" s="224" t="s">
        <v>4</v>
      </c>
      <c r="F1093" s="224" t="s">
        <v>725</v>
      </c>
      <c r="G1093" s="224" t="s">
        <v>6411</v>
      </c>
      <c r="H1093" s="224">
        <v>2</v>
      </c>
      <c r="I1093" s="224" t="s">
        <v>1350</v>
      </c>
      <c r="J1093" s="224" t="s">
        <v>6412</v>
      </c>
      <c r="K1093" s="224">
        <v>3</v>
      </c>
      <c r="L1093" s="224" t="s">
        <v>11227</v>
      </c>
      <c r="M1093" s="224">
        <v>2000000</v>
      </c>
      <c r="N1093" s="224" t="s">
        <v>452</v>
      </c>
      <c r="O1093" s="224" t="s">
        <v>6414</v>
      </c>
      <c r="P1093" s="224"/>
      <c r="Q1093" s="224" t="s">
        <v>24</v>
      </c>
      <c r="R1093" s="254"/>
      <c r="S1093" s="224"/>
      <c r="T1093" s="224"/>
      <c r="U1093" s="224"/>
      <c r="V1093" s="224"/>
      <c r="W1093" s="224"/>
      <c r="X1093" s="224"/>
      <c r="Y1093" s="224"/>
      <c r="Z1093" s="224"/>
    </row>
    <row r="1094" spans="1:26" ht="15.75" customHeight="1">
      <c r="A1094" s="248">
        <v>44797</v>
      </c>
      <c r="B1094" s="219" t="s">
        <v>6531</v>
      </c>
      <c r="C1094" s="315">
        <v>2.5</v>
      </c>
      <c r="D1094" s="219" t="s">
        <v>6534</v>
      </c>
      <c r="E1094" s="219" t="s">
        <v>4</v>
      </c>
      <c r="F1094" s="219" t="s">
        <v>447</v>
      </c>
      <c r="G1094" s="219" t="s">
        <v>11282</v>
      </c>
      <c r="H1094" s="219">
        <v>3</v>
      </c>
      <c r="I1094" s="219" t="s">
        <v>1457</v>
      </c>
      <c r="J1094" s="219" t="s">
        <v>6536</v>
      </c>
      <c r="K1094" s="219">
        <v>2</v>
      </c>
      <c r="L1094" s="219" t="s">
        <v>478</v>
      </c>
      <c r="M1094" s="219" t="s">
        <v>6537</v>
      </c>
      <c r="N1094" s="219" t="s">
        <v>452</v>
      </c>
      <c r="O1094" s="219" t="s">
        <v>575</v>
      </c>
      <c r="P1094" s="219"/>
      <c r="Q1094" s="219" t="s">
        <v>24</v>
      </c>
      <c r="R1094" s="251"/>
      <c r="S1094" s="219"/>
      <c r="T1094" s="219"/>
      <c r="U1094" s="219"/>
      <c r="V1094" s="219"/>
      <c r="W1094" s="219"/>
      <c r="X1094" s="219"/>
      <c r="Y1094" s="219"/>
      <c r="Z1094" s="219"/>
    </row>
    <row r="1095" spans="1:26" ht="15.75" customHeight="1">
      <c r="A1095" s="253">
        <v>44797</v>
      </c>
      <c r="B1095" s="224" t="s">
        <v>6475</v>
      </c>
      <c r="C1095" s="316">
        <v>2.5</v>
      </c>
      <c r="D1095" s="224" t="s">
        <v>11288</v>
      </c>
      <c r="E1095" s="224" t="s">
        <v>4</v>
      </c>
      <c r="F1095" s="224" t="s">
        <v>460</v>
      </c>
      <c r="G1095" s="224" t="s">
        <v>11752</v>
      </c>
      <c r="H1095" s="224">
        <v>2</v>
      </c>
      <c r="I1095" s="224" t="s">
        <v>1371</v>
      </c>
      <c r="J1095" s="224" t="s">
        <v>6480</v>
      </c>
      <c r="K1095" s="224">
        <v>3</v>
      </c>
      <c r="L1095" s="224" t="s">
        <v>451</v>
      </c>
      <c r="M1095" s="224">
        <v>1000000</v>
      </c>
      <c r="N1095" s="224" t="s">
        <v>452</v>
      </c>
      <c r="O1095" s="224" t="s">
        <v>11289</v>
      </c>
      <c r="P1095" s="224"/>
      <c r="Q1095" s="224" t="s">
        <v>24</v>
      </c>
      <c r="R1095" s="254"/>
      <c r="S1095" s="224"/>
      <c r="T1095" s="224"/>
      <c r="U1095" s="224"/>
      <c r="V1095" s="224"/>
      <c r="W1095" s="224"/>
      <c r="X1095" s="224"/>
      <c r="Y1095" s="224"/>
      <c r="Z1095" s="224"/>
    </row>
    <row r="1096" spans="1:26" ht="15.75" customHeight="1">
      <c r="A1096" s="248">
        <v>44797</v>
      </c>
      <c r="B1096" s="219" t="s">
        <v>8510</v>
      </c>
      <c r="C1096" s="315">
        <v>2.5</v>
      </c>
      <c r="D1096" s="219" t="s">
        <v>8513</v>
      </c>
      <c r="E1096" s="219" t="s">
        <v>3</v>
      </c>
      <c r="F1096" s="219" t="s">
        <v>725</v>
      </c>
      <c r="G1096" s="219" t="s">
        <v>8514</v>
      </c>
      <c r="H1096" s="219">
        <v>2</v>
      </c>
      <c r="I1096" s="219" t="s">
        <v>941</v>
      </c>
      <c r="J1096" s="219" t="s">
        <v>8515</v>
      </c>
      <c r="K1096" s="219">
        <v>3</v>
      </c>
      <c r="L1096" s="219"/>
      <c r="M1096" s="219"/>
      <c r="N1096" s="219" t="s">
        <v>452</v>
      </c>
      <c r="O1096" s="219" t="s">
        <v>8516</v>
      </c>
      <c r="P1096" s="219"/>
      <c r="Q1096" s="219" t="s">
        <v>24</v>
      </c>
      <c r="R1096" s="251"/>
      <c r="S1096" s="219"/>
      <c r="T1096" s="219"/>
      <c r="U1096" s="219"/>
      <c r="V1096" s="219"/>
      <c r="W1096" s="219"/>
      <c r="X1096" s="219"/>
      <c r="Y1096" s="219"/>
      <c r="Z1096" s="219"/>
    </row>
    <row r="1097" spans="1:26" ht="15.75" customHeight="1">
      <c r="A1097" s="253">
        <v>44797</v>
      </c>
      <c r="B1097" s="224" t="s">
        <v>6285</v>
      </c>
      <c r="C1097" s="316">
        <v>2.5</v>
      </c>
      <c r="D1097" s="224" t="s">
        <v>11296</v>
      </c>
      <c r="E1097" s="224" t="s">
        <v>4</v>
      </c>
      <c r="F1097" s="224" t="s">
        <v>602</v>
      </c>
      <c r="G1097" s="224"/>
      <c r="H1097" s="224">
        <v>3</v>
      </c>
      <c r="I1097" s="224" t="s">
        <v>1237</v>
      </c>
      <c r="J1097" s="224"/>
      <c r="K1097" s="224">
        <v>2</v>
      </c>
      <c r="L1097" s="224"/>
      <c r="M1097" s="224"/>
      <c r="N1097" s="224" t="s">
        <v>454</v>
      </c>
      <c r="O1097" s="224" t="s">
        <v>6289</v>
      </c>
      <c r="P1097" s="224"/>
      <c r="Q1097" s="224" t="s">
        <v>24</v>
      </c>
      <c r="R1097" s="254"/>
      <c r="S1097" s="224"/>
      <c r="T1097" s="224"/>
      <c r="U1097" s="224"/>
      <c r="V1097" s="224"/>
      <c r="W1097" s="224"/>
      <c r="X1097" s="224"/>
      <c r="Y1097" s="224"/>
      <c r="Z1097" s="224"/>
    </row>
    <row r="1098" spans="1:26" ht="15.75" customHeight="1">
      <c r="A1098" s="248">
        <v>44797</v>
      </c>
      <c r="B1098" s="219" t="s">
        <v>6425</v>
      </c>
      <c r="C1098" s="315">
        <v>2.5</v>
      </c>
      <c r="D1098" s="219" t="s">
        <v>6428</v>
      </c>
      <c r="E1098" s="219" t="s">
        <v>4</v>
      </c>
      <c r="F1098" s="219" t="s">
        <v>602</v>
      </c>
      <c r="G1098" s="219" t="s">
        <v>6429</v>
      </c>
      <c r="H1098" s="219">
        <v>2</v>
      </c>
      <c r="I1098" s="219" t="s">
        <v>1350</v>
      </c>
      <c r="J1098" s="219" t="s">
        <v>6430</v>
      </c>
      <c r="K1098" s="219">
        <v>3</v>
      </c>
      <c r="L1098" s="219" t="s">
        <v>784</v>
      </c>
      <c r="M1098" s="331">
        <v>125000</v>
      </c>
      <c r="N1098" s="219" t="s">
        <v>465</v>
      </c>
      <c r="O1098" s="219" t="s">
        <v>6431</v>
      </c>
      <c r="P1098" s="219"/>
      <c r="Q1098" s="219" t="s">
        <v>24</v>
      </c>
      <c r="R1098" s="251"/>
      <c r="S1098" s="219"/>
      <c r="T1098" s="219"/>
      <c r="U1098" s="219"/>
      <c r="V1098" s="219"/>
      <c r="W1098" s="219"/>
      <c r="X1098" s="219"/>
      <c r="Y1098" s="219"/>
      <c r="Z1098" s="219"/>
    </row>
    <row r="1099" spans="1:26" ht="15.75" customHeight="1">
      <c r="A1099" s="253">
        <v>44797</v>
      </c>
      <c r="B1099" s="224" t="s">
        <v>6173</v>
      </c>
      <c r="C1099" s="316">
        <v>2.5</v>
      </c>
      <c r="D1099" s="224" t="s">
        <v>11357</v>
      </c>
      <c r="E1099" s="224" t="s">
        <v>4</v>
      </c>
      <c r="F1099" s="224" t="s">
        <v>725</v>
      </c>
      <c r="G1099" s="224" t="s">
        <v>6177</v>
      </c>
      <c r="H1099" s="224">
        <v>1</v>
      </c>
      <c r="I1099" s="224" t="s">
        <v>990</v>
      </c>
      <c r="J1099" s="224" t="s">
        <v>6178</v>
      </c>
      <c r="K1099" s="224">
        <v>4</v>
      </c>
      <c r="L1099" s="224"/>
      <c r="M1099" s="224"/>
      <c r="N1099" s="224" t="s">
        <v>452</v>
      </c>
      <c r="O1099" s="224" t="s">
        <v>6179</v>
      </c>
      <c r="P1099" s="224"/>
      <c r="Q1099" s="224" t="s">
        <v>24</v>
      </c>
      <c r="R1099" s="254"/>
      <c r="S1099" s="224"/>
      <c r="T1099" s="224"/>
      <c r="U1099" s="224"/>
      <c r="V1099" s="224"/>
      <c r="W1099" s="224"/>
      <c r="X1099" s="224"/>
      <c r="Y1099" s="224"/>
      <c r="Z1099" s="224"/>
    </row>
    <row r="1100" spans="1:26" ht="15.75" customHeight="1">
      <c r="A1100" s="248">
        <v>44797</v>
      </c>
      <c r="B1100" s="219" t="s">
        <v>6865</v>
      </c>
      <c r="C1100" s="315">
        <v>2.25</v>
      </c>
      <c r="D1100" s="219" t="s">
        <v>6868</v>
      </c>
      <c r="E1100" s="219" t="s">
        <v>4</v>
      </c>
      <c r="F1100" s="219" t="s">
        <v>1045</v>
      </c>
      <c r="G1100" s="219" t="s">
        <v>6869</v>
      </c>
      <c r="H1100" s="219">
        <v>2</v>
      </c>
      <c r="I1100" s="219" t="s">
        <v>462</v>
      </c>
      <c r="J1100" s="219" t="s">
        <v>6870</v>
      </c>
      <c r="K1100" s="219">
        <v>2.5</v>
      </c>
      <c r="L1100" s="219" t="s">
        <v>784</v>
      </c>
      <c r="M1100" s="219">
        <v>180000</v>
      </c>
      <c r="N1100" s="219" t="s">
        <v>452</v>
      </c>
      <c r="O1100" s="219" t="s">
        <v>6871</v>
      </c>
      <c r="P1100" s="219"/>
      <c r="Q1100" s="219" t="s">
        <v>24</v>
      </c>
      <c r="R1100" s="251"/>
      <c r="S1100" s="219"/>
      <c r="T1100" s="219"/>
      <c r="U1100" s="219"/>
      <c r="V1100" s="219"/>
      <c r="W1100" s="219"/>
      <c r="X1100" s="219"/>
      <c r="Y1100" s="219"/>
      <c r="Z1100" s="219"/>
    </row>
    <row r="1101" spans="1:26" ht="15.75" customHeight="1">
      <c r="A1101" s="253">
        <v>44797</v>
      </c>
      <c r="B1101" s="224" t="s">
        <v>6806</v>
      </c>
      <c r="C1101" s="316">
        <v>2.25</v>
      </c>
      <c r="D1101" s="224" t="s">
        <v>11156</v>
      </c>
      <c r="E1101" s="224" t="s">
        <v>4</v>
      </c>
      <c r="F1101" s="224" t="s">
        <v>1045</v>
      </c>
      <c r="G1101" s="224" t="s">
        <v>6810</v>
      </c>
      <c r="H1101" s="224">
        <v>2</v>
      </c>
      <c r="I1101" s="224" t="s">
        <v>622</v>
      </c>
      <c r="J1101" s="224" t="s">
        <v>6811</v>
      </c>
      <c r="K1101" s="224">
        <v>2.5</v>
      </c>
      <c r="L1101" s="224"/>
      <c r="M1101" s="224"/>
      <c r="N1101" s="224" t="s">
        <v>452</v>
      </c>
      <c r="O1101" s="224" t="s">
        <v>6812</v>
      </c>
      <c r="P1101" s="224" t="s">
        <v>6813</v>
      </c>
      <c r="Q1101" s="224" t="s">
        <v>24</v>
      </c>
      <c r="R1101" s="254"/>
      <c r="S1101" s="224"/>
      <c r="T1101" s="224"/>
      <c r="U1101" s="224"/>
      <c r="V1101" s="224"/>
      <c r="W1101" s="224"/>
      <c r="X1101" s="224"/>
      <c r="Y1101" s="224"/>
      <c r="Z1101" s="224"/>
    </row>
    <row r="1102" spans="1:26" ht="15.75" customHeight="1">
      <c r="A1102" s="248">
        <v>44797</v>
      </c>
      <c r="B1102" s="219" t="s">
        <v>6873</v>
      </c>
      <c r="C1102" s="315">
        <v>2.25</v>
      </c>
      <c r="D1102" s="219" t="s">
        <v>6876</v>
      </c>
      <c r="E1102" s="219" t="s">
        <v>4</v>
      </c>
      <c r="F1102" s="219" t="s">
        <v>727</v>
      </c>
      <c r="G1102" s="219" t="s">
        <v>10688</v>
      </c>
      <c r="H1102" s="219">
        <v>2.5</v>
      </c>
      <c r="I1102" s="219" t="s">
        <v>543</v>
      </c>
      <c r="J1102" s="219" t="s">
        <v>13400</v>
      </c>
      <c r="K1102" s="219">
        <v>2</v>
      </c>
      <c r="L1102" s="219" t="s">
        <v>784</v>
      </c>
      <c r="M1102" s="219">
        <v>720000</v>
      </c>
      <c r="N1102" s="219" t="s">
        <v>452</v>
      </c>
      <c r="O1102" s="219" t="s">
        <v>6879</v>
      </c>
      <c r="P1102" s="219"/>
      <c r="Q1102" s="219" t="s">
        <v>24</v>
      </c>
      <c r="R1102" s="251"/>
      <c r="S1102" s="219"/>
      <c r="T1102" s="219"/>
      <c r="U1102" s="219"/>
      <c r="V1102" s="219"/>
      <c r="W1102" s="219"/>
      <c r="X1102" s="219"/>
      <c r="Y1102" s="219"/>
      <c r="Z1102" s="219"/>
    </row>
    <row r="1103" spans="1:26" ht="15.75" customHeight="1">
      <c r="A1103" s="253">
        <v>44797</v>
      </c>
      <c r="B1103" s="224" t="s">
        <v>6882</v>
      </c>
      <c r="C1103" s="316">
        <v>2.25</v>
      </c>
      <c r="D1103" s="224" t="s">
        <v>6885</v>
      </c>
      <c r="E1103" s="224" t="s">
        <v>4</v>
      </c>
      <c r="F1103" s="224" t="s">
        <v>602</v>
      </c>
      <c r="G1103" s="224" t="s">
        <v>6886</v>
      </c>
      <c r="H1103" s="224">
        <v>2.5</v>
      </c>
      <c r="I1103" s="224" t="s">
        <v>543</v>
      </c>
      <c r="J1103" s="224" t="s">
        <v>11197</v>
      </c>
      <c r="K1103" s="224">
        <v>2</v>
      </c>
      <c r="L1103" s="224" t="s">
        <v>6888</v>
      </c>
      <c r="M1103" s="224" t="s">
        <v>6889</v>
      </c>
      <c r="N1103" s="224" t="s">
        <v>452</v>
      </c>
      <c r="O1103" s="224" t="s">
        <v>452</v>
      </c>
      <c r="P1103" s="224" t="s">
        <v>585</v>
      </c>
      <c r="Q1103" s="224" t="s">
        <v>24</v>
      </c>
      <c r="R1103" s="254"/>
      <c r="S1103" s="224"/>
      <c r="T1103" s="224"/>
      <c r="U1103" s="224"/>
      <c r="V1103" s="224"/>
      <c r="W1103" s="224"/>
      <c r="X1103" s="224"/>
      <c r="Y1103" s="224"/>
      <c r="Z1103" s="224"/>
    </row>
    <row r="1104" spans="1:26" ht="15.75" customHeight="1">
      <c r="A1104" s="257">
        <v>44797</v>
      </c>
      <c r="B1104" s="258" t="s">
        <v>6849</v>
      </c>
      <c r="C1104" s="263">
        <v>2.25</v>
      </c>
      <c r="D1104" s="258" t="s">
        <v>6852</v>
      </c>
      <c r="E1104" s="258" t="s">
        <v>4</v>
      </c>
      <c r="F1104" s="258" t="s">
        <v>602</v>
      </c>
      <c r="G1104" s="258" t="s">
        <v>6853</v>
      </c>
      <c r="H1104" s="258">
        <v>3.5</v>
      </c>
      <c r="I1104" s="258" t="s">
        <v>1457</v>
      </c>
      <c r="J1104" s="258" t="s">
        <v>6854</v>
      </c>
      <c r="K1104" s="258">
        <v>1</v>
      </c>
      <c r="L1104" s="258"/>
      <c r="M1104" s="258"/>
      <c r="N1104" s="258" t="s">
        <v>452</v>
      </c>
      <c r="O1104" s="258" t="s">
        <v>452</v>
      </c>
      <c r="P1104" s="258" t="s">
        <v>725</v>
      </c>
      <c r="Q1104" s="258" t="s">
        <v>24</v>
      </c>
      <c r="R1104" s="259" t="s">
        <v>6855</v>
      </c>
      <c r="S1104" s="258"/>
      <c r="T1104" s="258"/>
      <c r="U1104" s="258"/>
      <c r="V1104" s="258"/>
      <c r="W1104" s="258"/>
      <c r="X1104" s="258"/>
      <c r="Y1104" s="258"/>
      <c r="Z1104" s="258"/>
    </row>
    <row r="1105" spans="1:26" ht="15.75" customHeight="1">
      <c r="A1105" s="253">
        <v>44797</v>
      </c>
      <c r="B1105" s="224" t="s">
        <v>11023</v>
      </c>
      <c r="C1105" s="316">
        <v>2</v>
      </c>
      <c r="D1105" s="224" t="s">
        <v>7428</v>
      </c>
      <c r="E1105" s="224" t="s">
        <v>4</v>
      </c>
      <c r="F1105" s="224" t="s">
        <v>725</v>
      </c>
      <c r="G1105" s="224" t="s">
        <v>7429</v>
      </c>
      <c r="H1105" s="224">
        <v>2</v>
      </c>
      <c r="I1105" s="224" t="s">
        <v>462</v>
      </c>
      <c r="J1105" s="224" t="s">
        <v>7430</v>
      </c>
      <c r="K1105" s="224">
        <v>2</v>
      </c>
      <c r="L1105" s="224"/>
      <c r="M1105" s="224"/>
      <c r="N1105" s="224" t="s">
        <v>452</v>
      </c>
      <c r="O1105" s="224" t="s">
        <v>11024</v>
      </c>
      <c r="P1105" s="224" t="s">
        <v>447</v>
      </c>
      <c r="Q1105" s="224" t="s">
        <v>24</v>
      </c>
      <c r="R1105" s="254"/>
      <c r="S1105" s="224"/>
      <c r="T1105" s="224"/>
      <c r="U1105" s="224"/>
      <c r="V1105" s="224"/>
      <c r="W1105" s="224"/>
      <c r="X1105" s="224"/>
      <c r="Y1105" s="224"/>
      <c r="Z1105" s="224"/>
    </row>
    <row r="1106" spans="1:26" ht="15.75" customHeight="1">
      <c r="A1106" s="248">
        <v>44797</v>
      </c>
      <c r="B1106" s="219" t="s">
        <v>7347</v>
      </c>
      <c r="C1106" s="315">
        <v>2</v>
      </c>
      <c r="D1106" s="219" t="s">
        <v>10211</v>
      </c>
      <c r="E1106" s="219" t="s">
        <v>4</v>
      </c>
      <c r="F1106" s="219" t="s">
        <v>725</v>
      </c>
      <c r="G1106" s="219" t="s">
        <v>10212</v>
      </c>
      <c r="H1106" s="219">
        <v>1</v>
      </c>
      <c r="I1106" s="219" t="s">
        <v>1281</v>
      </c>
      <c r="J1106" s="219" t="s">
        <v>7352</v>
      </c>
      <c r="K1106" s="219">
        <v>3</v>
      </c>
      <c r="L1106" s="219" t="s">
        <v>451</v>
      </c>
      <c r="M1106" s="331">
        <v>3000000</v>
      </c>
      <c r="N1106" s="219" t="s">
        <v>465</v>
      </c>
      <c r="O1106" s="219" t="s">
        <v>7353</v>
      </c>
      <c r="P1106" s="219"/>
      <c r="Q1106" s="219" t="s">
        <v>24</v>
      </c>
      <c r="R1106" s="251"/>
      <c r="S1106" s="219"/>
      <c r="T1106" s="219"/>
      <c r="U1106" s="219"/>
      <c r="V1106" s="219"/>
      <c r="W1106" s="219"/>
      <c r="X1106" s="219"/>
      <c r="Y1106" s="219"/>
      <c r="Z1106" s="219"/>
    </row>
    <row r="1107" spans="1:26" ht="15.75" customHeight="1">
      <c r="A1107" s="253">
        <v>44797</v>
      </c>
      <c r="B1107" s="224" t="s">
        <v>7558</v>
      </c>
      <c r="C1107" s="316">
        <v>2</v>
      </c>
      <c r="D1107" s="224" t="s">
        <v>10377</v>
      </c>
      <c r="E1107" s="224" t="s">
        <v>4</v>
      </c>
      <c r="F1107" s="224" t="s">
        <v>460</v>
      </c>
      <c r="G1107" s="224" t="s">
        <v>7562</v>
      </c>
      <c r="H1107" s="224">
        <v>2</v>
      </c>
      <c r="I1107" s="224" t="s">
        <v>1045</v>
      </c>
      <c r="J1107" s="224" t="s">
        <v>7563</v>
      </c>
      <c r="K1107" s="224">
        <v>2</v>
      </c>
      <c r="L1107" s="224" t="s">
        <v>451</v>
      </c>
      <c r="M1107" s="224">
        <v>4000000</v>
      </c>
      <c r="N1107" s="224" t="s">
        <v>465</v>
      </c>
      <c r="O1107" s="224" t="s">
        <v>452</v>
      </c>
      <c r="P1107" s="224"/>
      <c r="Q1107" s="224" t="s">
        <v>24</v>
      </c>
      <c r="R1107" s="254"/>
      <c r="S1107" s="224"/>
      <c r="T1107" s="224"/>
      <c r="U1107" s="224"/>
      <c r="V1107" s="224"/>
      <c r="W1107" s="224"/>
      <c r="X1107" s="224"/>
      <c r="Y1107" s="224"/>
      <c r="Z1107" s="224"/>
    </row>
    <row r="1108" spans="1:26" ht="15.75" customHeight="1">
      <c r="A1108" s="248">
        <v>44797</v>
      </c>
      <c r="B1108" s="219" t="s">
        <v>10385</v>
      </c>
      <c r="C1108" s="315">
        <v>2</v>
      </c>
      <c r="D1108" s="219" t="s">
        <v>10386</v>
      </c>
      <c r="E1108" s="219" t="s">
        <v>4</v>
      </c>
      <c r="F1108" s="219" t="s">
        <v>1045</v>
      </c>
      <c r="G1108" s="219" t="s">
        <v>7535</v>
      </c>
      <c r="H1108" s="219">
        <v>2</v>
      </c>
      <c r="I1108" s="219" t="s">
        <v>449</v>
      </c>
      <c r="J1108" s="219" t="s">
        <v>10387</v>
      </c>
      <c r="K1108" s="219">
        <v>2</v>
      </c>
      <c r="L1108" s="219" t="s">
        <v>451</v>
      </c>
      <c r="M1108" s="219">
        <v>1200000</v>
      </c>
      <c r="N1108" s="219" t="s">
        <v>452</v>
      </c>
      <c r="O1108" s="219" t="s">
        <v>10388</v>
      </c>
      <c r="P1108" s="219"/>
      <c r="Q1108" s="219" t="s">
        <v>24</v>
      </c>
      <c r="R1108" s="251"/>
      <c r="S1108" s="219"/>
      <c r="T1108" s="219"/>
      <c r="U1108" s="219"/>
      <c r="V1108" s="219"/>
      <c r="W1108" s="219"/>
      <c r="X1108" s="219"/>
      <c r="Y1108" s="219"/>
      <c r="Z1108" s="219"/>
    </row>
    <row r="1109" spans="1:26" ht="15.75" customHeight="1">
      <c r="A1109" s="253">
        <v>44797</v>
      </c>
      <c r="B1109" s="224" t="s">
        <v>7236</v>
      </c>
      <c r="C1109" s="316">
        <v>2</v>
      </c>
      <c r="D1109" s="224" t="s">
        <v>7239</v>
      </c>
      <c r="E1109" s="224" t="s">
        <v>4</v>
      </c>
      <c r="F1109" s="224" t="s">
        <v>447</v>
      </c>
      <c r="G1109" s="224" t="s">
        <v>10842</v>
      </c>
      <c r="H1109" s="224">
        <v>1</v>
      </c>
      <c r="I1109" s="224" t="s">
        <v>1187</v>
      </c>
      <c r="J1109" s="224" t="s">
        <v>7241</v>
      </c>
      <c r="K1109" s="224">
        <v>3</v>
      </c>
      <c r="L1109" s="224" t="s">
        <v>451</v>
      </c>
      <c r="M1109" s="311">
        <v>2000000</v>
      </c>
      <c r="N1109" s="224" t="s">
        <v>465</v>
      </c>
      <c r="O1109" s="224" t="s">
        <v>452</v>
      </c>
      <c r="P1109" s="224"/>
      <c r="Q1109" s="224" t="s">
        <v>24</v>
      </c>
      <c r="R1109" s="254"/>
      <c r="S1109" s="224"/>
      <c r="T1109" s="224"/>
      <c r="U1109" s="224"/>
      <c r="V1109" s="224"/>
      <c r="W1109" s="224"/>
      <c r="X1109" s="224"/>
      <c r="Y1109" s="224"/>
      <c r="Z1109" s="224"/>
    </row>
    <row r="1110" spans="1:26" ht="15.75" customHeight="1">
      <c r="A1110" s="248">
        <v>44797</v>
      </c>
      <c r="B1110" s="219" t="s">
        <v>7276</v>
      </c>
      <c r="C1110" s="315">
        <v>2</v>
      </c>
      <c r="D1110" s="219" t="s">
        <v>7279</v>
      </c>
      <c r="E1110" s="219" t="s">
        <v>4</v>
      </c>
      <c r="F1110" s="219" t="s">
        <v>1045</v>
      </c>
      <c r="G1110" s="219" t="s">
        <v>7280</v>
      </c>
      <c r="H1110" s="219">
        <v>2</v>
      </c>
      <c r="I1110" s="219" t="s">
        <v>1237</v>
      </c>
      <c r="J1110" s="219"/>
      <c r="K1110" s="219">
        <v>2</v>
      </c>
      <c r="L1110" s="219"/>
      <c r="M1110" s="219"/>
      <c r="N1110" s="219" t="s">
        <v>452</v>
      </c>
      <c r="O1110" s="219" t="s">
        <v>7281</v>
      </c>
      <c r="P1110" s="219"/>
      <c r="Q1110" s="219" t="s">
        <v>24</v>
      </c>
      <c r="R1110" s="251"/>
      <c r="S1110" s="219"/>
      <c r="T1110" s="219"/>
      <c r="U1110" s="219"/>
      <c r="V1110" s="219"/>
      <c r="W1110" s="219"/>
      <c r="X1110" s="219"/>
      <c r="Y1110" s="219"/>
      <c r="Z1110" s="219"/>
    </row>
    <row r="1111" spans="1:26" ht="15.75" customHeight="1">
      <c r="A1111" s="253">
        <v>44797</v>
      </c>
      <c r="B1111" s="224" t="s">
        <v>7119</v>
      </c>
      <c r="C1111" s="316">
        <v>2</v>
      </c>
      <c r="D1111" s="224" t="s">
        <v>7122</v>
      </c>
      <c r="E1111" s="224" t="s">
        <v>4</v>
      </c>
      <c r="F1111" s="224" t="s">
        <v>727</v>
      </c>
      <c r="G1111" s="224" t="s">
        <v>7123</v>
      </c>
      <c r="H1111" s="224">
        <v>2</v>
      </c>
      <c r="I1111" s="224" t="s">
        <v>1073</v>
      </c>
      <c r="J1111" s="224"/>
      <c r="K1111" s="224">
        <v>2</v>
      </c>
      <c r="L1111" s="224"/>
      <c r="M1111" s="224"/>
      <c r="N1111" s="224" t="s">
        <v>452</v>
      </c>
      <c r="O1111" s="224" t="s">
        <v>11225</v>
      </c>
      <c r="P1111" s="224"/>
      <c r="Q1111" s="224" t="s">
        <v>24</v>
      </c>
      <c r="R1111" s="254"/>
      <c r="S1111" s="224"/>
      <c r="T1111" s="224"/>
      <c r="U1111" s="224"/>
      <c r="V1111" s="224"/>
      <c r="W1111" s="224"/>
      <c r="X1111" s="224"/>
      <c r="Y1111" s="224"/>
      <c r="Z1111" s="224"/>
    </row>
    <row r="1112" spans="1:26" ht="15.75" customHeight="1">
      <c r="A1112" s="248">
        <v>44797</v>
      </c>
      <c r="B1112" s="219" t="s">
        <v>7615</v>
      </c>
      <c r="C1112" s="315">
        <v>2</v>
      </c>
      <c r="D1112" s="219" t="s">
        <v>7618</v>
      </c>
      <c r="E1112" s="219" t="s">
        <v>4</v>
      </c>
      <c r="F1112" s="219" t="s">
        <v>602</v>
      </c>
      <c r="G1112" s="219" t="s">
        <v>7619</v>
      </c>
      <c r="H1112" s="219">
        <v>2</v>
      </c>
      <c r="I1112" s="219" t="s">
        <v>1350</v>
      </c>
      <c r="J1112" s="219" t="s">
        <v>7620</v>
      </c>
      <c r="K1112" s="219">
        <v>2</v>
      </c>
      <c r="L1112" s="219"/>
      <c r="M1112" s="219"/>
      <c r="N1112" s="219" t="s">
        <v>454</v>
      </c>
      <c r="O1112" s="219" t="s">
        <v>7621</v>
      </c>
      <c r="P1112" s="219" t="s">
        <v>7622</v>
      </c>
      <c r="Q1112" s="219" t="s">
        <v>24</v>
      </c>
      <c r="R1112" s="251"/>
      <c r="S1112" s="219"/>
      <c r="T1112" s="219"/>
      <c r="U1112" s="219"/>
      <c r="V1112" s="219"/>
      <c r="W1112" s="219"/>
      <c r="X1112" s="219"/>
      <c r="Y1112" s="219"/>
      <c r="Z1112" s="219"/>
    </row>
    <row r="1113" spans="1:26" ht="15.75" customHeight="1">
      <c r="A1113" s="253">
        <v>44797</v>
      </c>
      <c r="B1113" s="224" t="s">
        <v>7102</v>
      </c>
      <c r="C1113" s="316">
        <v>2</v>
      </c>
      <c r="D1113" s="224" t="s">
        <v>7105</v>
      </c>
      <c r="E1113" s="224" t="s">
        <v>4</v>
      </c>
      <c r="F1113" s="224" t="s">
        <v>727</v>
      </c>
      <c r="G1113" s="224" t="s">
        <v>11286</v>
      </c>
      <c r="H1113" s="224">
        <v>2</v>
      </c>
      <c r="I1113" s="224" t="s">
        <v>1073</v>
      </c>
      <c r="J1113" s="224" t="s">
        <v>7107</v>
      </c>
      <c r="K1113" s="224">
        <v>2</v>
      </c>
      <c r="L1113" s="224"/>
      <c r="M1113" s="224"/>
      <c r="N1113" s="224" t="s">
        <v>452</v>
      </c>
      <c r="O1113" s="224" t="s">
        <v>1028</v>
      </c>
      <c r="P1113" s="224" t="s">
        <v>7108</v>
      </c>
      <c r="Q1113" s="224" t="s">
        <v>24</v>
      </c>
      <c r="R1113" s="254"/>
      <c r="S1113" s="224"/>
      <c r="T1113" s="224"/>
      <c r="U1113" s="224"/>
      <c r="V1113" s="224"/>
      <c r="W1113" s="224"/>
      <c r="X1113" s="224"/>
      <c r="Y1113" s="224"/>
      <c r="Z1113" s="224"/>
    </row>
    <row r="1114" spans="1:26" ht="15.75" customHeight="1">
      <c r="A1114" s="248">
        <v>44797</v>
      </c>
      <c r="B1114" s="219" t="s">
        <v>7268</v>
      </c>
      <c r="C1114" s="315">
        <v>2</v>
      </c>
      <c r="D1114" s="219" t="s">
        <v>7271</v>
      </c>
      <c r="E1114" s="219" t="s">
        <v>4</v>
      </c>
      <c r="F1114" s="219" t="s">
        <v>460</v>
      </c>
      <c r="G1114" s="219" t="s">
        <v>7272</v>
      </c>
      <c r="H1114" s="219">
        <v>2</v>
      </c>
      <c r="I1114" s="219" t="s">
        <v>1237</v>
      </c>
      <c r="J1114" s="219"/>
      <c r="K1114" s="219">
        <v>2</v>
      </c>
      <c r="L1114" s="219" t="s">
        <v>451</v>
      </c>
      <c r="M1114" s="219">
        <v>3000000</v>
      </c>
      <c r="N1114" s="219" t="s">
        <v>452</v>
      </c>
      <c r="O1114" s="219" t="s">
        <v>7273</v>
      </c>
      <c r="P1114" s="219"/>
      <c r="Q1114" s="219" t="s">
        <v>24</v>
      </c>
      <c r="R1114" s="251"/>
      <c r="S1114" s="219"/>
      <c r="T1114" s="219"/>
      <c r="U1114" s="219"/>
      <c r="V1114" s="219"/>
      <c r="W1114" s="219"/>
      <c r="X1114" s="219"/>
      <c r="Y1114" s="219"/>
      <c r="Z1114" s="219"/>
    </row>
    <row r="1115" spans="1:26" ht="15.75" customHeight="1">
      <c r="A1115" s="253">
        <v>44797</v>
      </c>
      <c r="B1115" s="224" t="s">
        <v>9124</v>
      </c>
      <c r="C1115" s="316">
        <v>2</v>
      </c>
      <c r="D1115" s="224"/>
      <c r="E1115" s="224" t="s">
        <v>3</v>
      </c>
      <c r="F1115" s="224" t="s">
        <v>488</v>
      </c>
      <c r="G1115" s="224" t="s">
        <v>9127</v>
      </c>
      <c r="H1115" s="224">
        <v>2</v>
      </c>
      <c r="I1115" s="224" t="s">
        <v>941</v>
      </c>
      <c r="J1115" s="224" t="s">
        <v>9128</v>
      </c>
      <c r="K1115" s="224">
        <v>2</v>
      </c>
      <c r="L1115" s="224" t="s">
        <v>2190</v>
      </c>
      <c r="M1115" s="224">
        <v>3000000</v>
      </c>
      <c r="N1115" s="224" t="s">
        <v>452</v>
      </c>
      <c r="O1115" s="224" t="s">
        <v>9129</v>
      </c>
      <c r="P1115" s="224"/>
      <c r="Q1115" s="224" t="s">
        <v>24</v>
      </c>
      <c r="R1115" s="254"/>
      <c r="S1115" s="224"/>
      <c r="T1115" s="224"/>
      <c r="U1115" s="224"/>
      <c r="V1115" s="224"/>
      <c r="W1115" s="224"/>
      <c r="X1115" s="224"/>
      <c r="Y1115" s="224"/>
      <c r="Z1115" s="224"/>
    </row>
    <row r="1116" spans="1:26" ht="15.75" customHeight="1">
      <c r="A1116" s="248">
        <v>44797</v>
      </c>
      <c r="B1116" s="219" t="s">
        <v>7492</v>
      </c>
      <c r="C1116" s="315">
        <v>2</v>
      </c>
      <c r="D1116" s="219" t="s">
        <v>7495</v>
      </c>
      <c r="E1116" s="219" t="s">
        <v>4</v>
      </c>
      <c r="F1116" s="219" t="s">
        <v>602</v>
      </c>
      <c r="G1116" s="219" t="s">
        <v>7496</v>
      </c>
      <c r="H1116" s="219">
        <v>2</v>
      </c>
      <c r="I1116" s="219" t="s">
        <v>1457</v>
      </c>
      <c r="J1116" s="219" t="s">
        <v>7497</v>
      </c>
      <c r="K1116" s="219">
        <v>2</v>
      </c>
      <c r="L1116" s="219" t="s">
        <v>784</v>
      </c>
      <c r="M1116" s="310">
        <v>1000000</v>
      </c>
      <c r="N1116" s="219" t="s">
        <v>452</v>
      </c>
      <c r="O1116" s="219" t="s">
        <v>7498</v>
      </c>
      <c r="P1116" s="219"/>
      <c r="Q1116" s="219" t="s">
        <v>24</v>
      </c>
      <c r="R1116" s="251"/>
      <c r="S1116" s="219"/>
      <c r="T1116" s="219"/>
      <c r="U1116" s="219"/>
      <c r="V1116" s="219"/>
      <c r="W1116" s="219"/>
      <c r="X1116" s="219"/>
      <c r="Y1116" s="219"/>
      <c r="Z1116" s="219"/>
    </row>
    <row r="1117" spans="1:26" ht="15.75" customHeight="1">
      <c r="A1117" s="253">
        <v>44797</v>
      </c>
      <c r="B1117" s="224" t="s">
        <v>7146</v>
      </c>
      <c r="C1117" s="316">
        <v>2</v>
      </c>
      <c r="D1117" s="224" t="s">
        <v>7149</v>
      </c>
      <c r="E1117" s="224" t="s">
        <v>4</v>
      </c>
      <c r="F1117" s="224" t="s">
        <v>727</v>
      </c>
      <c r="G1117" s="224" t="s">
        <v>11486</v>
      </c>
      <c r="H1117" s="224">
        <v>2</v>
      </c>
      <c r="I1117" s="224" t="s">
        <v>462</v>
      </c>
      <c r="J1117" s="224" t="s">
        <v>7151</v>
      </c>
      <c r="K1117" s="224">
        <v>2</v>
      </c>
      <c r="L1117" s="224" t="s">
        <v>2152</v>
      </c>
      <c r="M1117" s="224">
        <v>15000</v>
      </c>
      <c r="N1117" s="224" t="s">
        <v>452</v>
      </c>
      <c r="O1117" s="224" t="s">
        <v>11487</v>
      </c>
      <c r="P1117" s="224"/>
      <c r="Q1117" s="224" t="s">
        <v>24</v>
      </c>
      <c r="R1117" s="254"/>
      <c r="S1117" s="224"/>
      <c r="T1117" s="224"/>
      <c r="U1117" s="224"/>
      <c r="V1117" s="224"/>
      <c r="W1117" s="224"/>
      <c r="X1117" s="224"/>
      <c r="Y1117" s="224"/>
      <c r="Z1117" s="224"/>
    </row>
    <row r="1118" spans="1:26" ht="15.75" customHeight="1">
      <c r="A1118" s="248">
        <v>44797</v>
      </c>
      <c r="B1118" s="219" t="s">
        <v>7725</v>
      </c>
      <c r="C1118" s="315">
        <v>1.75</v>
      </c>
      <c r="D1118" s="219" t="s">
        <v>7728</v>
      </c>
      <c r="E1118" s="219" t="s">
        <v>4</v>
      </c>
      <c r="F1118" s="219" t="s">
        <v>1045</v>
      </c>
      <c r="G1118" s="219" t="s">
        <v>7729</v>
      </c>
      <c r="H1118" s="219">
        <v>1.5</v>
      </c>
      <c r="I1118" s="219" t="s">
        <v>1350</v>
      </c>
      <c r="J1118" s="219" t="s">
        <v>7730</v>
      </c>
      <c r="K1118" s="219">
        <v>2</v>
      </c>
      <c r="L1118" s="219"/>
      <c r="M1118" s="219"/>
      <c r="N1118" s="219" t="s">
        <v>452</v>
      </c>
      <c r="O1118" s="219" t="s">
        <v>7731</v>
      </c>
      <c r="P1118" s="219"/>
      <c r="Q1118" s="219" t="s">
        <v>24</v>
      </c>
      <c r="R1118" s="251"/>
      <c r="S1118" s="219"/>
      <c r="T1118" s="219"/>
      <c r="U1118" s="219"/>
      <c r="V1118" s="219"/>
      <c r="W1118" s="219"/>
      <c r="X1118" s="219"/>
      <c r="Y1118" s="219"/>
      <c r="Z1118" s="219"/>
    </row>
    <row r="1119" spans="1:26" ht="15.75" customHeight="1">
      <c r="A1119" s="253">
        <v>44797</v>
      </c>
      <c r="B1119" s="224" t="s">
        <v>7962</v>
      </c>
      <c r="C1119" s="316">
        <v>1.5</v>
      </c>
      <c r="D1119" s="224" t="s">
        <v>7965</v>
      </c>
      <c r="E1119" s="224" t="s">
        <v>4</v>
      </c>
      <c r="F1119" s="224" t="s">
        <v>1045</v>
      </c>
      <c r="G1119" s="224" t="s">
        <v>7966</v>
      </c>
      <c r="H1119" s="224">
        <v>2</v>
      </c>
      <c r="I1119" s="224" t="s">
        <v>1371</v>
      </c>
      <c r="J1119" s="224" t="s">
        <v>7967</v>
      </c>
      <c r="K1119" s="224">
        <v>1</v>
      </c>
      <c r="L1119" s="224" t="s">
        <v>451</v>
      </c>
      <c r="M1119" s="330">
        <v>1000000</v>
      </c>
      <c r="N1119" s="224" t="s">
        <v>454</v>
      </c>
      <c r="O1119" s="224" t="s">
        <v>452</v>
      </c>
      <c r="P1119" s="224"/>
      <c r="Q1119" s="224" t="s">
        <v>24</v>
      </c>
      <c r="R1119" s="254"/>
      <c r="S1119" s="224"/>
      <c r="T1119" s="224"/>
      <c r="U1119" s="224"/>
      <c r="V1119" s="224"/>
      <c r="W1119" s="224"/>
      <c r="X1119" s="224"/>
      <c r="Y1119" s="224"/>
      <c r="Z1119" s="224"/>
    </row>
    <row r="1120" spans="1:26" ht="15.75" customHeight="1">
      <c r="A1120" s="248">
        <v>44797</v>
      </c>
      <c r="B1120" s="219" t="s">
        <v>7925</v>
      </c>
      <c r="C1120" s="315">
        <v>1.5</v>
      </c>
      <c r="D1120" s="219"/>
      <c r="E1120" s="219" t="s">
        <v>4</v>
      </c>
      <c r="F1120" s="219" t="s">
        <v>725</v>
      </c>
      <c r="G1120" s="219" t="s">
        <v>11498</v>
      </c>
      <c r="H1120" s="219">
        <v>1</v>
      </c>
      <c r="I1120" s="219" t="s">
        <v>1350</v>
      </c>
      <c r="J1120" s="219" t="s">
        <v>7929</v>
      </c>
      <c r="K1120" s="219">
        <v>2</v>
      </c>
      <c r="L1120" s="219" t="s">
        <v>2190</v>
      </c>
      <c r="M1120" s="219">
        <v>1000000</v>
      </c>
      <c r="N1120" s="219" t="s">
        <v>452</v>
      </c>
      <c r="O1120" s="219" t="s">
        <v>7930</v>
      </c>
      <c r="P1120" s="219" t="s">
        <v>1343</v>
      </c>
      <c r="Q1120" s="219" t="s">
        <v>24</v>
      </c>
      <c r="R1120" s="251"/>
      <c r="S1120" s="219"/>
      <c r="T1120" s="219"/>
      <c r="U1120" s="219"/>
      <c r="V1120" s="219"/>
      <c r="W1120" s="219"/>
      <c r="X1120" s="219"/>
      <c r="Y1120" s="219"/>
      <c r="Z1120" s="219"/>
    </row>
    <row r="1121" spans="1:26" ht="15.75" customHeight="1">
      <c r="A1121" s="253">
        <v>44797</v>
      </c>
      <c r="B1121" s="224" t="s">
        <v>8773</v>
      </c>
      <c r="C1121" s="316">
        <v>1.5</v>
      </c>
      <c r="D1121" s="224"/>
      <c r="E1121" s="224" t="s">
        <v>3</v>
      </c>
      <c r="F1121" s="224" t="s">
        <v>488</v>
      </c>
      <c r="G1121" s="224" t="s">
        <v>11305</v>
      </c>
      <c r="H1121" s="224">
        <v>2</v>
      </c>
      <c r="I1121" s="224" t="s">
        <v>941</v>
      </c>
      <c r="J1121" s="224" t="s">
        <v>8777</v>
      </c>
      <c r="K1121" s="224">
        <v>1</v>
      </c>
      <c r="L1121" s="224" t="s">
        <v>2152</v>
      </c>
      <c r="M1121" s="224" t="s">
        <v>8778</v>
      </c>
      <c r="N1121" s="224" t="s">
        <v>454</v>
      </c>
      <c r="O1121" s="224" t="s">
        <v>452</v>
      </c>
      <c r="P1121" s="224"/>
      <c r="Q1121" s="224" t="s">
        <v>24</v>
      </c>
      <c r="R1121" s="254"/>
      <c r="S1121" s="224"/>
      <c r="T1121" s="224"/>
      <c r="U1121" s="224"/>
      <c r="V1121" s="224"/>
      <c r="W1121" s="224"/>
      <c r="X1121" s="224"/>
      <c r="Y1121" s="224"/>
      <c r="Z1121" s="224"/>
    </row>
    <row r="1122" spans="1:26" ht="15.75" customHeight="1">
      <c r="A1122" s="248">
        <v>44797</v>
      </c>
      <c r="B1122" s="219" t="s">
        <v>7774</v>
      </c>
      <c r="C1122" s="315">
        <v>1.5</v>
      </c>
      <c r="D1122" s="219" t="s">
        <v>11340</v>
      </c>
      <c r="E1122" s="219" t="s">
        <v>4</v>
      </c>
      <c r="F1122" s="219" t="s">
        <v>602</v>
      </c>
      <c r="G1122" s="219" t="s">
        <v>7778</v>
      </c>
      <c r="H1122" s="219">
        <v>2</v>
      </c>
      <c r="I1122" s="219" t="s">
        <v>1036</v>
      </c>
      <c r="J1122" s="219" t="s">
        <v>7779</v>
      </c>
      <c r="K1122" s="219">
        <v>1</v>
      </c>
      <c r="L1122" s="219"/>
      <c r="M1122" s="219"/>
      <c r="N1122" s="219" t="s">
        <v>452</v>
      </c>
      <c r="O1122" s="219" t="s">
        <v>11341</v>
      </c>
      <c r="P1122" s="219"/>
      <c r="Q1122" s="219" t="s">
        <v>24</v>
      </c>
      <c r="R1122" s="251"/>
      <c r="S1122" s="219"/>
      <c r="T1122" s="219"/>
      <c r="U1122" s="219"/>
      <c r="V1122" s="219"/>
      <c r="W1122" s="219"/>
      <c r="X1122" s="219"/>
      <c r="Y1122" s="219"/>
      <c r="Z1122" s="219"/>
    </row>
    <row r="1123" spans="1:26" ht="15.75" customHeight="1">
      <c r="A1123" s="253">
        <v>44797</v>
      </c>
      <c r="B1123" s="224" t="s">
        <v>7877</v>
      </c>
      <c r="C1123" s="316">
        <v>1.5</v>
      </c>
      <c r="D1123" s="224" t="s">
        <v>11351</v>
      </c>
      <c r="E1123" s="224" t="s">
        <v>4</v>
      </c>
      <c r="F1123" s="224" t="s">
        <v>725</v>
      </c>
      <c r="G1123" s="224" t="s">
        <v>7881</v>
      </c>
      <c r="H1123" s="224">
        <v>1</v>
      </c>
      <c r="I1123" s="224" t="s">
        <v>1281</v>
      </c>
      <c r="J1123" s="224" t="s">
        <v>7882</v>
      </c>
      <c r="K1123" s="224">
        <v>2</v>
      </c>
      <c r="L1123" s="224" t="s">
        <v>451</v>
      </c>
      <c r="M1123" s="224">
        <v>1000000</v>
      </c>
      <c r="N1123" s="224" t="s">
        <v>465</v>
      </c>
      <c r="O1123" s="224" t="s">
        <v>7883</v>
      </c>
      <c r="P1123" s="224" t="s">
        <v>7884</v>
      </c>
      <c r="Q1123" s="224" t="s">
        <v>24</v>
      </c>
      <c r="R1123" s="254"/>
      <c r="S1123" s="224"/>
      <c r="T1123" s="224"/>
      <c r="U1123" s="224"/>
      <c r="V1123" s="224"/>
      <c r="W1123" s="224"/>
      <c r="X1123" s="224"/>
      <c r="Y1123" s="224"/>
      <c r="Z1123" s="224"/>
    </row>
    <row r="1124" spans="1:26" ht="15.75" customHeight="1">
      <c r="A1124" s="248">
        <v>44797</v>
      </c>
      <c r="B1124" s="219" t="s">
        <v>8245</v>
      </c>
      <c r="C1124" s="315">
        <v>1</v>
      </c>
      <c r="D1124" s="219" t="s">
        <v>8248</v>
      </c>
      <c r="E1124" s="219" t="s">
        <v>4</v>
      </c>
      <c r="F1124" s="219" t="s">
        <v>447</v>
      </c>
      <c r="G1124" s="219" t="s">
        <v>10295</v>
      </c>
      <c r="H1124" s="219">
        <v>1</v>
      </c>
      <c r="I1124" s="219" t="s">
        <v>1371</v>
      </c>
      <c r="J1124" s="219" t="s">
        <v>8250</v>
      </c>
      <c r="K1124" s="219">
        <v>1</v>
      </c>
      <c r="L1124" s="219" t="s">
        <v>451</v>
      </c>
      <c r="M1124" s="219" t="s">
        <v>8189</v>
      </c>
      <c r="N1124" s="219" t="s">
        <v>452</v>
      </c>
      <c r="O1124" s="219" t="s">
        <v>10296</v>
      </c>
      <c r="P1124" s="219"/>
      <c r="Q1124" s="219" t="s">
        <v>24</v>
      </c>
      <c r="R1124" s="251"/>
      <c r="S1124" s="219"/>
      <c r="T1124" s="219"/>
      <c r="U1124" s="219"/>
      <c r="V1124" s="219"/>
      <c r="W1124" s="219"/>
      <c r="X1124" s="219"/>
      <c r="Y1124" s="219"/>
      <c r="Z1124" s="219"/>
    </row>
    <row r="1125" spans="1:26" ht="15.75" customHeight="1">
      <c r="A1125" s="253">
        <v>44797</v>
      </c>
      <c r="B1125" s="224" t="s">
        <v>8288</v>
      </c>
      <c r="C1125" s="316">
        <v>1</v>
      </c>
      <c r="D1125" s="224" t="s">
        <v>11753</v>
      </c>
      <c r="E1125" s="224" t="s">
        <v>4</v>
      </c>
      <c r="F1125" s="224"/>
      <c r="G1125" s="224"/>
      <c r="H1125" s="224"/>
      <c r="I1125" s="224"/>
      <c r="J1125" s="224"/>
      <c r="K1125" s="224"/>
      <c r="L1125" s="224"/>
      <c r="M1125" s="224"/>
      <c r="N1125" s="224"/>
      <c r="O1125" s="224"/>
      <c r="P1125" s="224"/>
      <c r="Q1125" s="224" t="s">
        <v>24</v>
      </c>
      <c r="R1125" s="254"/>
      <c r="S1125" s="224"/>
      <c r="T1125" s="224"/>
      <c r="U1125" s="224"/>
      <c r="V1125" s="224"/>
      <c r="W1125" s="224"/>
      <c r="X1125" s="224"/>
      <c r="Y1125" s="224"/>
      <c r="Z1125" s="224"/>
    </row>
    <row r="1126" spans="1:26" ht="15.75" customHeight="1">
      <c r="A1126" s="248">
        <v>44797</v>
      </c>
      <c r="B1126" s="219" t="s">
        <v>9325</v>
      </c>
      <c r="C1126" s="315">
        <v>2</v>
      </c>
      <c r="D1126" s="219" t="s">
        <v>11754</v>
      </c>
      <c r="E1126" s="219" t="s">
        <v>5</v>
      </c>
      <c r="F1126" s="219"/>
      <c r="G1126" s="219"/>
      <c r="H1126" s="219"/>
      <c r="I1126" s="219"/>
      <c r="J1126" s="219"/>
      <c r="K1126" s="219"/>
      <c r="L1126" s="219"/>
      <c r="M1126" s="219"/>
      <c r="N1126" s="219"/>
      <c r="O1126" s="219"/>
      <c r="P1126" s="219"/>
      <c r="Q1126" s="219" t="s">
        <v>25</v>
      </c>
      <c r="R1126" s="251"/>
      <c r="S1126" s="219"/>
      <c r="T1126" s="219"/>
      <c r="U1126" s="219"/>
      <c r="V1126" s="219"/>
      <c r="W1126" s="219"/>
      <c r="X1126" s="219"/>
      <c r="Y1126" s="219"/>
      <c r="Z1126" s="219"/>
    </row>
  </sheetData>
  <autoFilter ref="A1:Z1126" xr:uid="{00000000-0009-0000-0000-000008000000}"/>
  <conditionalFormatting sqref="A1:A1126">
    <cfRule type="expression" dxfId="38" priority="5">
      <formula>AND(ISTEXT(A1), COUNTIF(A:A, A1)&gt;1)</formula>
    </cfRule>
  </conditionalFormatting>
  <conditionalFormatting sqref="Q2:R2">
    <cfRule type="notContainsBlanks" dxfId="37" priority="1">
      <formula>LEN(TRIM(Q2))&gt;0</formula>
    </cfRule>
  </conditionalFormatting>
  <conditionalFormatting sqref="R2:R75">
    <cfRule type="expression" dxfId="36" priority="2">
      <formula>AND(#REF!=TRUE,$E3="Digital Tech")</formula>
    </cfRule>
    <cfRule type="expression" dxfId="35" priority="3">
      <formula>AND(#REF!=TRUE,$E3="Deep Tech")</formula>
    </cfRule>
    <cfRule type="expression" dxfId="34" priority="4">
      <formula>AND(#REF!=TRUE,$E3="Life Sciences")</formula>
    </cfRule>
  </conditionalFormatting>
  <dataValidations count="2">
    <dataValidation type="list" allowBlank="1" sqref="Q2:Q1126" xr:uid="{00000000-0002-0000-0800-000000000000}">
      <formula1>"Invite,Reject,Revisit,Special Reject,Invite Next Year,Revisit/ Cluster,"</formula1>
    </dataValidation>
    <dataValidation type="list" allowBlank="1" sqref="E725:E1126" xr:uid="{00000000-0002-0000-0800-000001000000}">
      <formula1>"Life Sciences,Digital Tech,Deep Tech"</formula1>
    </dataValidation>
  </dataValidations>
  <hyperlinks>
    <hyperlink ref="B32" r:id="rId1" xr:uid="{00000000-0004-0000-0800-000000000000}"/>
    <hyperlink ref="B38" r:id="rId2" xr:uid="{00000000-0004-0000-0800-000001000000}"/>
    <hyperlink ref="O112" r:id="rId3" xr:uid="{00000000-0004-0000-0800-000002000000}"/>
    <hyperlink ref="G211" r:id="rId4" xr:uid="{00000000-0004-0000-0800-000003000000}"/>
    <hyperlink ref="B220" r:id="rId5" xr:uid="{00000000-0004-0000-0800-000004000000}"/>
    <hyperlink ref="O228" r:id="rId6" xr:uid="{00000000-0004-0000-0800-000005000000}"/>
    <hyperlink ref="O235" r:id="rId7" xr:uid="{00000000-0004-0000-0800-000006000000}"/>
    <hyperlink ref="D273" r:id="rId8" xr:uid="{00000000-0004-0000-0800-000007000000}"/>
    <hyperlink ref="O293" r:id="rId9" xr:uid="{00000000-0004-0000-0800-000008000000}"/>
    <hyperlink ref="O296" r:id="rId10" xr:uid="{00000000-0004-0000-0800-000009000000}"/>
    <hyperlink ref="D297" r:id="rId11" xr:uid="{00000000-0004-0000-0800-00000A000000}"/>
    <hyperlink ref="G340" r:id="rId12" xr:uid="{00000000-0004-0000-0800-00000B000000}"/>
    <hyperlink ref="B348" r:id="rId13" xr:uid="{00000000-0004-0000-0800-00000C000000}"/>
    <hyperlink ref="O403" r:id="rId14" xr:uid="{00000000-0004-0000-0800-00000D000000}"/>
    <hyperlink ref="G573" r:id="rId15" location="xj4y7vzkg" xr:uid="{00000000-0004-0000-0800-00000E000000}"/>
  </hyperlinks>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J28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5" defaultRowHeight="15" customHeight="1"/>
  <cols>
    <col min="1" max="1" width="38.6640625" customWidth="1"/>
    <col min="2" max="2" width="66.6640625" customWidth="1"/>
    <col min="3" max="5" width="31.1640625" hidden="1" customWidth="1"/>
    <col min="6" max="10" width="11.5" hidden="1" customWidth="1"/>
  </cols>
  <sheetData>
    <row r="1" spans="1:10">
      <c r="A1" s="205" t="s">
        <v>11507</v>
      </c>
      <c r="B1" s="207" t="s">
        <v>11755</v>
      </c>
      <c r="C1" s="210" t="s">
        <v>10170</v>
      </c>
      <c r="D1" s="210" t="s">
        <v>10171</v>
      </c>
      <c r="E1" s="210" t="s">
        <v>10172</v>
      </c>
      <c r="F1" s="211"/>
      <c r="G1" s="211"/>
      <c r="H1" s="211"/>
      <c r="I1" s="211"/>
      <c r="J1" s="211"/>
    </row>
    <row r="2" spans="1:10">
      <c r="A2" s="213" t="s">
        <v>287</v>
      </c>
      <c r="B2" s="217" t="s">
        <v>1641</v>
      </c>
      <c r="C2" s="218"/>
      <c r="D2" s="218"/>
      <c r="E2" s="218"/>
      <c r="F2" s="219"/>
      <c r="G2" s="219"/>
      <c r="H2" s="219"/>
      <c r="I2" s="219"/>
      <c r="J2" s="219"/>
    </row>
    <row r="3" spans="1:10" ht="30">
      <c r="A3" s="221" t="s">
        <v>69</v>
      </c>
      <c r="B3" s="223" t="str">
        <f t="array" ref="B3">INDEX(Notes!C:C,MATCH($A3,Notes!$A:$A,0))</f>
        <v>Missed similar company previously; good mission and partnerships in UK with affordable housing; strong room to grow</v>
      </c>
      <c r="C3" s="218"/>
      <c r="D3" s="218"/>
      <c r="E3" s="218"/>
      <c r="F3" s="224"/>
      <c r="G3" s="224"/>
      <c r="H3" s="224"/>
      <c r="I3" s="224"/>
      <c r="J3" s="224"/>
    </row>
    <row r="4" spans="1:10">
      <c r="A4" s="213" t="s">
        <v>172</v>
      </c>
      <c r="B4" s="226" t="s">
        <v>1111</v>
      </c>
      <c r="C4" s="218"/>
      <c r="D4" s="218"/>
      <c r="E4" s="218"/>
      <c r="F4" s="219"/>
      <c r="G4" s="219"/>
      <c r="H4" s="219"/>
      <c r="I4" s="219"/>
      <c r="J4" s="219"/>
    </row>
    <row r="5" spans="1:10">
      <c r="A5" s="228" t="s">
        <v>83</v>
      </c>
      <c r="B5" s="231" t="str">
        <f t="array" ref="B5">INDEX(Notes!C:C,MATCH($A5,Notes!$A:$A,0))</f>
        <v xml:space="preserve">Potential change to Digital tech; </v>
      </c>
      <c r="C5" s="228"/>
      <c r="D5" s="228"/>
      <c r="E5" s="228"/>
      <c r="F5" s="224"/>
      <c r="G5" s="224"/>
      <c r="H5" s="224"/>
      <c r="I5" s="224"/>
      <c r="J5" s="224"/>
    </row>
    <row r="6" spans="1:10">
      <c r="A6" s="228" t="s">
        <v>372</v>
      </c>
      <c r="B6" s="231" t="str">
        <f t="array" ref="B6">INDEX(Notes!C:C,MATCH($A6,Notes!$A:$A,0))</f>
        <v>Potentially remove from interview list; very comparable to other companies</v>
      </c>
      <c r="C6" s="228"/>
      <c r="D6" s="228"/>
      <c r="E6" s="228"/>
      <c r="F6" s="219"/>
      <c r="G6" s="219"/>
      <c r="H6" s="219"/>
      <c r="I6" s="219"/>
      <c r="J6" s="219"/>
    </row>
    <row r="7" spans="1:10" ht="15.75" customHeight="1">
      <c r="A7" s="228" t="s">
        <v>385</v>
      </c>
      <c r="B7" s="231" t="str">
        <f t="array" ref="B7">INDEX(Notes!C:C,MATCH($A7,Notes!$A:$A,0))</f>
        <v>Fully integrated lab data system; nyu and Columbia have similar systems that dominate market, but this company is still pulling in 15k/month despite this. Track change to digital tech</v>
      </c>
      <c r="C7" s="228"/>
      <c r="D7" s="228"/>
      <c r="E7" s="228"/>
      <c r="F7" s="224"/>
      <c r="G7" s="224"/>
      <c r="H7" s="224"/>
      <c r="I7" s="224"/>
      <c r="J7" s="224"/>
    </row>
    <row r="8" spans="1:10" ht="15.75" customHeight="1">
      <c r="A8" s="234" t="s">
        <v>389</v>
      </c>
      <c r="B8" s="238" t="s">
        <v>10084</v>
      </c>
      <c r="C8" s="234"/>
      <c r="D8" s="234"/>
      <c r="E8" s="234"/>
      <c r="F8" s="239"/>
      <c r="G8" s="239"/>
      <c r="H8" s="239"/>
      <c r="I8" s="239"/>
      <c r="J8" s="239"/>
    </row>
    <row r="9" spans="1:10" ht="15.75" customHeight="1">
      <c r="A9" s="228" t="s">
        <v>262</v>
      </c>
      <c r="B9" s="231" t="s">
        <v>1528</v>
      </c>
      <c r="C9" s="228"/>
      <c r="D9" s="228"/>
      <c r="E9" s="228"/>
      <c r="F9" s="224"/>
      <c r="G9" s="224"/>
      <c r="H9" s="224"/>
      <c r="I9" s="224"/>
      <c r="J9" s="224"/>
    </row>
    <row r="10" spans="1:10" ht="15.75" customHeight="1">
      <c r="A10" s="228" t="s">
        <v>73</v>
      </c>
      <c r="B10" s="231" t="s">
        <v>9468</v>
      </c>
      <c r="C10" s="228"/>
      <c r="D10" s="228"/>
      <c r="E10" s="228"/>
      <c r="F10" s="219"/>
      <c r="G10" s="219"/>
      <c r="H10" s="219"/>
      <c r="I10" s="219"/>
      <c r="J10" s="219"/>
    </row>
    <row r="11" spans="1:10" ht="15.75" customHeight="1">
      <c r="A11" s="228" t="s">
        <v>376</v>
      </c>
      <c r="B11" s="231" t="str">
        <f t="array" ref="B11">INDEX(Notes!C:C,MATCH($A11,Notes!$A:$A,0))</f>
        <v>Move to dit khoa will f/u with ads</v>
      </c>
      <c r="C11" s="228"/>
      <c r="D11" s="228"/>
      <c r="E11" s="228"/>
      <c r="F11" s="224"/>
      <c r="G11" s="224"/>
      <c r="H11" s="224"/>
      <c r="I11" s="224"/>
      <c r="J11" s="224"/>
    </row>
    <row r="12" spans="1:10" ht="15.75" customHeight="1">
      <c r="A12" s="234" t="s">
        <v>190</v>
      </c>
      <c r="B12" s="238" t="s">
        <v>3774</v>
      </c>
      <c r="C12" s="234"/>
      <c r="D12" s="234"/>
      <c r="E12" s="234"/>
      <c r="F12" s="239"/>
      <c r="G12" s="239"/>
      <c r="H12" s="239"/>
      <c r="I12" s="239"/>
      <c r="J12" s="239"/>
    </row>
    <row r="13" spans="1:10" ht="15.75" customHeight="1">
      <c r="A13" s="228" t="s">
        <v>355</v>
      </c>
      <c r="B13" s="231" t="s">
        <v>11393</v>
      </c>
      <c r="C13" s="228"/>
      <c r="D13" s="228"/>
      <c r="E13" s="228"/>
      <c r="F13" s="224"/>
      <c r="G13" s="224"/>
      <c r="H13" s="224"/>
      <c r="I13" s="224"/>
      <c r="J13" s="224"/>
    </row>
    <row r="14" spans="1:10" ht="15.75" customHeight="1">
      <c r="A14" s="234" t="s">
        <v>288</v>
      </c>
      <c r="B14" s="238" t="s">
        <v>9555</v>
      </c>
      <c r="C14" s="234"/>
      <c r="D14" s="234"/>
      <c r="E14" s="234"/>
      <c r="F14" s="239"/>
      <c r="G14" s="239"/>
      <c r="H14" s="239"/>
      <c r="I14" s="239"/>
      <c r="J14" s="239"/>
    </row>
    <row r="15" spans="1:10" ht="15.75" customHeight="1">
      <c r="A15" s="234" t="s">
        <v>259</v>
      </c>
      <c r="B15" s="238" t="s">
        <v>1506</v>
      </c>
      <c r="C15" s="234"/>
      <c r="D15" s="234"/>
      <c r="E15" s="234"/>
      <c r="F15" s="239"/>
      <c r="G15" s="239"/>
      <c r="H15" s="239"/>
      <c r="I15" s="239"/>
      <c r="J15" s="239"/>
    </row>
    <row r="16" spans="1:10" ht="15.75" customHeight="1">
      <c r="A16" s="228" t="s">
        <v>297</v>
      </c>
      <c r="B16" s="231" t="s">
        <v>4574</v>
      </c>
      <c r="C16" s="228"/>
      <c r="D16" s="228"/>
      <c r="E16" s="228"/>
      <c r="F16" s="219"/>
      <c r="G16" s="219"/>
      <c r="H16" s="219"/>
      <c r="I16" s="219"/>
      <c r="J16" s="219"/>
    </row>
    <row r="17" spans="1:10" ht="15.75" customHeight="1">
      <c r="A17" s="221" t="s">
        <v>137</v>
      </c>
      <c r="B17" s="223" t="s">
        <v>2747</v>
      </c>
      <c r="C17" s="218"/>
      <c r="D17" s="218"/>
      <c r="E17" s="218"/>
      <c r="F17" s="224"/>
      <c r="G17" s="224"/>
      <c r="H17" s="224"/>
      <c r="I17" s="224"/>
      <c r="J17" s="224"/>
    </row>
    <row r="18" spans="1:10" ht="15.75" customHeight="1">
      <c r="A18" s="228" t="s">
        <v>95</v>
      </c>
      <c r="B18" s="231" t="s">
        <v>2747</v>
      </c>
      <c r="C18" s="228"/>
      <c r="D18" s="228"/>
      <c r="E18" s="228"/>
      <c r="F18" s="219"/>
      <c r="G18" s="219"/>
      <c r="H18" s="219"/>
      <c r="I18" s="219"/>
      <c r="J18" s="219"/>
    </row>
    <row r="19" spans="1:10" ht="15.75" customHeight="1">
      <c r="A19" s="245" t="s">
        <v>11756</v>
      </c>
      <c r="B19" s="238" t="s">
        <v>9564</v>
      </c>
      <c r="C19" s="234"/>
      <c r="D19" s="234"/>
      <c r="E19" s="234"/>
      <c r="F19" s="239"/>
      <c r="G19" s="239"/>
      <c r="H19" s="239"/>
      <c r="I19" s="239"/>
      <c r="J19" s="239"/>
    </row>
    <row r="20" spans="1:10" ht="15.75" customHeight="1">
      <c r="A20" s="228" t="s">
        <v>91</v>
      </c>
      <c r="B20" s="231" t="s">
        <v>650</v>
      </c>
      <c r="C20" s="228"/>
      <c r="D20" s="228"/>
      <c r="E20" s="228"/>
      <c r="F20" s="219"/>
      <c r="G20" s="219"/>
      <c r="H20" s="219"/>
      <c r="I20" s="219"/>
      <c r="J20" s="219"/>
    </row>
    <row r="21" spans="1:10" ht="15.75" customHeight="1">
      <c r="A21" s="221" t="s">
        <v>136</v>
      </c>
      <c r="B21" s="223" t="s">
        <v>3239</v>
      </c>
      <c r="C21" s="218"/>
      <c r="D21" s="218"/>
      <c r="E21" s="218"/>
      <c r="F21" s="224"/>
      <c r="G21" s="224"/>
      <c r="H21" s="224"/>
      <c r="I21" s="224"/>
      <c r="J21" s="224"/>
    </row>
    <row r="22" spans="1:10" ht="15.75" customHeight="1">
      <c r="A22" s="234" t="s">
        <v>306</v>
      </c>
      <c r="B22" s="238" t="s">
        <v>9504</v>
      </c>
      <c r="C22" s="234"/>
      <c r="D22" s="234"/>
      <c r="E22" s="234"/>
      <c r="F22" s="239"/>
      <c r="G22" s="239"/>
      <c r="H22" s="239"/>
      <c r="I22" s="239"/>
      <c r="J22" s="239"/>
    </row>
    <row r="23" spans="1:10" ht="15.75" customHeight="1">
      <c r="A23" s="234" t="s">
        <v>2842</v>
      </c>
      <c r="B23" s="238" t="s">
        <v>2849</v>
      </c>
      <c r="C23" s="234"/>
      <c r="D23" s="234"/>
      <c r="E23" s="234"/>
      <c r="F23" s="239"/>
      <c r="G23" s="239"/>
      <c r="H23" s="239"/>
      <c r="I23" s="239"/>
      <c r="J23" s="239"/>
    </row>
    <row r="24" spans="1:10" ht="15.75" customHeight="1">
      <c r="A24" s="246" t="s">
        <v>11757</v>
      </c>
      <c r="B24" s="231" t="s">
        <v>15</v>
      </c>
      <c r="C24" s="228"/>
      <c r="D24" s="228"/>
      <c r="E24" s="228"/>
      <c r="F24" s="219"/>
      <c r="G24" s="219"/>
      <c r="H24" s="219"/>
      <c r="I24" s="219"/>
      <c r="J24" s="219"/>
    </row>
    <row r="25" spans="1:10" ht="15.75" customHeight="1">
      <c r="A25" s="228" t="s">
        <v>158</v>
      </c>
      <c r="B25" s="231" t="s">
        <v>3513</v>
      </c>
      <c r="C25" s="228"/>
      <c r="D25" s="228"/>
      <c r="E25" s="228"/>
      <c r="F25" s="224"/>
      <c r="G25" s="224"/>
      <c r="H25" s="224"/>
      <c r="I25" s="224"/>
      <c r="J25" s="224"/>
    </row>
    <row r="26" spans="1:10" ht="15.75" customHeight="1">
      <c r="A26" s="228" t="s">
        <v>3124</v>
      </c>
      <c r="B26" s="231" t="s">
        <v>3131</v>
      </c>
      <c r="C26" s="228"/>
      <c r="D26" s="228"/>
      <c r="E26" s="228"/>
      <c r="F26" s="219"/>
      <c r="G26" s="219"/>
      <c r="H26" s="219"/>
      <c r="I26" s="219"/>
      <c r="J26" s="219"/>
    </row>
    <row r="27" spans="1:10" ht="15.75" customHeight="1">
      <c r="A27" s="221" t="s">
        <v>2957</v>
      </c>
      <c r="B27" s="223" t="e">
        <f t="array" ref="B27">INDEX(Notes!C:C,MATCH($A27,Notes!$A:$A,0))</f>
        <v>#N/A</v>
      </c>
      <c r="C27" s="218"/>
      <c r="D27" s="218"/>
      <c r="E27" s="218"/>
      <c r="F27" s="224"/>
      <c r="G27" s="224"/>
      <c r="H27" s="224"/>
      <c r="I27" s="224"/>
      <c r="J27" s="224"/>
    </row>
    <row r="28" spans="1:10" ht="15.75" customHeight="1">
      <c r="A28" s="228" t="s">
        <v>2696</v>
      </c>
      <c r="B28" s="231" t="s">
        <v>2703</v>
      </c>
      <c r="C28" s="228"/>
      <c r="D28" s="228"/>
      <c r="E28" s="228"/>
      <c r="F28" s="219"/>
      <c r="G28" s="219"/>
      <c r="H28" s="219"/>
      <c r="I28" s="219"/>
      <c r="J28" s="219"/>
    </row>
    <row r="29" spans="1:10" ht="15.75" customHeight="1">
      <c r="A29" s="221" t="s">
        <v>5857</v>
      </c>
      <c r="B29" s="223" t="s">
        <v>5864</v>
      </c>
      <c r="C29" s="218"/>
      <c r="D29" s="218"/>
      <c r="E29" s="218"/>
      <c r="F29" s="224"/>
      <c r="G29" s="224"/>
      <c r="H29" s="224"/>
      <c r="I29" s="224"/>
      <c r="J29" s="224"/>
    </row>
    <row r="30" spans="1:10" ht="15.75" customHeight="1">
      <c r="A30" s="228" t="s">
        <v>9334</v>
      </c>
      <c r="B30" s="231" t="s">
        <v>9339</v>
      </c>
      <c r="C30" s="228"/>
      <c r="D30" s="228"/>
      <c r="E30" s="228"/>
      <c r="F30" s="219"/>
      <c r="G30" s="219"/>
      <c r="H30" s="219"/>
      <c r="I30" s="219"/>
      <c r="J30" s="219"/>
    </row>
    <row r="31" spans="1:10" ht="15.75" customHeight="1">
      <c r="A31" s="234" t="s">
        <v>2814</v>
      </c>
      <c r="B31" s="238" t="s">
        <v>2821</v>
      </c>
      <c r="C31" s="234"/>
      <c r="D31" s="234"/>
      <c r="E31" s="234"/>
      <c r="F31" s="239"/>
      <c r="G31" s="239"/>
      <c r="H31" s="239"/>
      <c r="I31" s="239"/>
      <c r="J31" s="239"/>
    </row>
    <row r="32" spans="1:10" ht="15.75" customHeight="1">
      <c r="A32" s="213" t="s">
        <v>6737</v>
      </c>
      <c r="B32" s="226" t="str">
        <f t="array" ref="B32">INDEX(Notes!C:C,MATCH($A32,Notes!$A:$A,0))</f>
        <v>Lenny Saizan</v>
      </c>
      <c r="C32" s="218"/>
      <c r="D32" s="218"/>
      <c r="E32" s="218"/>
      <c r="F32" s="219"/>
      <c r="G32" s="219"/>
      <c r="H32" s="219"/>
      <c r="I32" s="219"/>
      <c r="J32" s="219"/>
    </row>
    <row r="33" spans="1:10" ht="15.75" customHeight="1">
      <c r="A33" s="221" t="s">
        <v>8887</v>
      </c>
      <c r="B33" s="223" t="str">
        <f t="array" ref="B33">INDEX(Notes!C:C,MATCH($A33,Notes!$A:$A,0))</f>
        <v>Tarek Ali</v>
      </c>
      <c r="C33" s="218"/>
      <c r="D33" s="218"/>
      <c r="E33" s="218"/>
      <c r="F33" s="224"/>
      <c r="G33" s="224"/>
      <c r="H33" s="224"/>
      <c r="I33" s="224"/>
      <c r="J33" s="224"/>
    </row>
    <row r="34" spans="1:10" ht="15.75" customHeight="1">
      <c r="A34" s="228" t="s">
        <v>3413</v>
      </c>
      <c r="B34" s="231" t="s">
        <v>3421</v>
      </c>
      <c r="C34" s="228"/>
      <c r="D34" s="228"/>
      <c r="E34" s="228"/>
      <c r="F34" s="219"/>
      <c r="G34" s="219"/>
      <c r="H34" s="219"/>
      <c r="I34" s="219"/>
      <c r="J34" s="219"/>
    </row>
    <row r="35" spans="1:10" ht="15.75" customHeight="1">
      <c r="A35" s="239" t="s">
        <v>92</v>
      </c>
      <c r="B35" s="256" t="s">
        <v>658</v>
      </c>
      <c r="C35" s="239"/>
      <c r="D35" s="239"/>
      <c r="E35" s="239"/>
      <c r="F35" s="239"/>
      <c r="G35" s="239"/>
      <c r="H35" s="239"/>
      <c r="I35" s="239"/>
      <c r="J35" s="239"/>
    </row>
    <row r="36" spans="1:10" ht="15.75" customHeight="1">
      <c r="A36" s="219" t="s">
        <v>98</v>
      </c>
      <c r="B36" s="251" t="s">
        <v>11523</v>
      </c>
      <c r="C36" s="252"/>
      <c r="D36" s="252"/>
      <c r="E36" s="252"/>
      <c r="F36" s="219"/>
      <c r="G36" s="219"/>
      <c r="H36" s="219"/>
      <c r="I36" s="219"/>
      <c r="J36" s="219"/>
    </row>
    <row r="37" spans="1:10" ht="15.75" customHeight="1">
      <c r="A37" s="224" t="s">
        <v>149</v>
      </c>
      <c r="B37" s="254" t="s">
        <v>1010</v>
      </c>
      <c r="C37" s="252"/>
      <c r="D37" s="252"/>
      <c r="E37" s="252"/>
      <c r="F37" s="224"/>
      <c r="G37" s="224"/>
      <c r="H37" s="224"/>
      <c r="I37" s="224"/>
      <c r="J37" s="224"/>
    </row>
    <row r="38" spans="1:10" ht="15.75" customHeight="1">
      <c r="A38" s="258" t="s">
        <v>416</v>
      </c>
      <c r="B38" s="259" t="s">
        <v>1222</v>
      </c>
      <c r="C38" s="258"/>
      <c r="D38" s="258"/>
      <c r="E38" s="258"/>
      <c r="F38" s="258"/>
      <c r="G38" s="258"/>
      <c r="H38" s="258"/>
      <c r="I38" s="258"/>
      <c r="J38" s="258"/>
    </row>
    <row r="39" spans="1:10" ht="15.75" customHeight="1">
      <c r="A39" s="224" t="s">
        <v>125</v>
      </c>
      <c r="B39" s="254" t="s">
        <v>896</v>
      </c>
      <c r="C39" s="252"/>
      <c r="D39" s="252"/>
      <c r="E39" s="252"/>
      <c r="F39" s="224"/>
      <c r="G39" s="224"/>
      <c r="H39" s="224"/>
      <c r="I39" s="224"/>
      <c r="J39" s="224"/>
    </row>
    <row r="40" spans="1:10" ht="15.75" customHeight="1">
      <c r="A40" s="239" t="s">
        <v>173</v>
      </c>
      <c r="B40" s="256" t="s">
        <v>1130</v>
      </c>
      <c r="C40" s="239"/>
      <c r="D40" s="239"/>
      <c r="E40" s="239"/>
      <c r="F40" s="239"/>
      <c r="G40" s="239"/>
      <c r="H40" s="239"/>
      <c r="I40" s="239"/>
      <c r="J40" s="239"/>
    </row>
    <row r="41" spans="1:10" ht="15.75" customHeight="1">
      <c r="A41" s="224" t="s">
        <v>151</v>
      </c>
      <c r="B41" s="254" t="s">
        <v>1019</v>
      </c>
      <c r="C41" s="252"/>
      <c r="D41" s="252"/>
      <c r="E41" s="252"/>
      <c r="F41" s="224"/>
      <c r="G41" s="224"/>
      <c r="H41" s="224"/>
      <c r="I41" s="224"/>
      <c r="J41" s="224"/>
    </row>
    <row r="42" spans="1:10" ht="15.75" customHeight="1">
      <c r="A42" s="258" t="s">
        <v>70</v>
      </c>
      <c r="B42" s="259" t="s">
        <v>2250</v>
      </c>
      <c r="C42" s="258"/>
      <c r="D42" s="258"/>
      <c r="E42" s="258"/>
      <c r="F42" s="258"/>
      <c r="G42" s="258"/>
      <c r="H42" s="258"/>
      <c r="I42" s="258"/>
      <c r="J42" s="258"/>
    </row>
    <row r="43" spans="1:10" ht="15.75" customHeight="1">
      <c r="A43" s="224" t="s">
        <v>113</v>
      </c>
      <c r="B43" s="254" t="s">
        <v>817</v>
      </c>
      <c r="C43" s="252"/>
      <c r="D43" s="252"/>
      <c r="E43" s="252"/>
      <c r="F43" s="224"/>
      <c r="G43" s="224"/>
      <c r="H43" s="224"/>
      <c r="I43" s="224"/>
      <c r="J43" s="224"/>
    </row>
    <row r="44" spans="1:10" ht="15.75" customHeight="1">
      <c r="A44" s="219" t="s">
        <v>88</v>
      </c>
      <c r="B44" s="251" t="s">
        <v>624</v>
      </c>
      <c r="C44" s="252"/>
      <c r="D44" s="252"/>
      <c r="E44" s="252"/>
      <c r="F44" s="219"/>
      <c r="G44" s="219"/>
      <c r="H44" s="219"/>
      <c r="I44" s="219"/>
      <c r="J44" s="219"/>
    </row>
    <row r="45" spans="1:10" ht="15.75" customHeight="1">
      <c r="A45" s="258" t="s">
        <v>391</v>
      </c>
      <c r="B45" s="259" t="s">
        <v>10093</v>
      </c>
      <c r="C45" s="258"/>
      <c r="D45" s="258"/>
      <c r="E45" s="258"/>
      <c r="F45" s="258"/>
      <c r="G45" s="258"/>
      <c r="H45" s="258"/>
      <c r="I45" s="258"/>
      <c r="J45" s="258"/>
    </row>
    <row r="46" spans="1:10" ht="15.75" customHeight="1">
      <c r="A46" s="258" t="s">
        <v>208</v>
      </c>
      <c r="B46" s="259" t="s">
        <v>3847</v>
      </c>
      <c r="C46" s="258"/>
      <c r="D46" s="258"/>
      <c r="E46" s="258"/>
      <c r="F46" s="258"/>
      <c r="G46" s="258"/>
      <c r="H46" s="258"/>
      <c r="I46" s="258"/>
      <c r="J46" s="258"/>
    </row>
    <row r="47" spans="1:10" ht="15.75" customHeight="1">
      <c r="A47" s="258" t="s">
        <v>194</v>
      </c>
      <c r="B47" s="259" t="s">
        <v>1214</v>
      </c>
      <c r="C47" s="252"/>
      <c r="D47" s="252"/>
      <c r="E47" s="252"/>
      <c r="F47" s="224"/>
      <c r="G47" s="224"/>
      <c r="H47" s="224"/>
      <c r="I47" s="224"/>
      <c r="J47" s="224"/>
    </row>
    <row r="48" spans="1:10" ht="15.75" customHeight="1">
      <c r="A48" s="258" t="s">
        <v>273</v>
      </c>
      <c r="B48" s="259" t="s">
        <v>9511</v>
      </c>
      <c r="C48" s="258"/>
      <c r="D48" s="258"/>
      <c r="E48" s="258"/>
      <c r="F48" s="258"/>
      <c r="G48" s="258"/>
      <c r="H48" s="258"/>
      <c r="I48" s="258"/>
      <c r="J48" s="258"/>
    </row>
    <row r="49" spans="1:10" ht="15.75" customHeight="1">
      <c r="A49" s="258" t="s">
        <v>2473</v>
      </c>
      <c r="B49" s="259" t="s">
        <v>2479</v>
      </c>
      <c r="C49" s="258"/>
      <c r="D49" s="258"/>
      <c r="E49" s="258"/>
      <c r="F49" s="258"/>
      <c r="G49" s="258"/>
      <c r="H49" s="258"/>
      <c r="I49" s="258"/>
      <c r="J49" s="258"/>
    </row>
    <row r="50" spans="1:10" ht="53.25" customHeight="1">
      <c r="A50" s="258" t="s">
        <v>81</v>
      </c>
      <c r="B50" s="259" t="s">
        <v>11530</v>
      </c>
      <c r="C50" s="258"/>
      <c r="D50" s="258"/>
      <c r="E50" s="258"/>
      <c r="F50" s="258"/>
      <c r="G50" s="258"/>
      <c r="H50" s="258"/>
      <c r="I50" s="258"/>
      <c r="J50" s="258"/>
    </row>
    <row r="51" spans="1:10" ht="15.75" customHeight="1">
      <c r="A51" s="258" t="s">
        <v>134</v>
      </c>
      <c r="B51" s="259" t="s">
        <v>9372</v>
      </c>
      <c r="C51" s="258"/>
      <c r="D51" s="258"/>
      <c r="E51" s="258"/>
      <c r="F51" s="258"/>
      <c r="G51" s="258"/>
      <c r="H51" s="258"/>
      <c r="I51" s="258"/>
      <c r="J51" s="258"/>
    </row>
    <row r="52" spans="1:10" ht="15.75" customHeight="1">
      <c r="A52" s="219" t="s">
        <v>384</v>
      </c>
      <c r="B52" s="251" t="s">
        <v>10058</v>
      </c>
      <c r="C52" s="252"/>
      <c r="D52" s="252"/>
      <c r="E52" s="252"/>
      <c r="F52" s="219"/>
      <c r="G52" s="219"/>
      <c r="H52" s="219"/>
      <c r="I52" s="219"/>
      <c r="J52" s="219"/>
    </row>
    <row r="53" spans="1:10" ht="15.75" customHeight="1">
      <c r="A53" s="239" t="s">
        <v>131</v>
      </c>
      <c r="B53" s="256" t="s">
        <v>1334</v>
      </c>
      <c r="C53" s="239"/>
      <c r="D53" s="239"/>
      <c r="E53" s="239"/>
      <c r="F53" s="239"/>
      <c r="G53" s="239"/>
      <c r="H53" s="239"/>
      <c r="I53" s="239"/>
      <c r="J53" s="239"/>
    </row>
    <row r="54" spans="1:10" ht="15.75" customHeight="1">
      <c r="A54" s="258" t="s">
        <v>120</v>
      </c>
      <c r="B54" s="259" t="s">
        <v>867</v>
      </c>
      <c r="C54" s="258"/>
      <c r="D54" s="258"/>
      <c r="E54" s="258"/>
      <c r="F54" s="258"/>
      <c r="G54" s="258"/>
      <c r="H54" s="258"/>
      <c r="I54" s="258"/>
      <c r="J54" s="258"/>
    </row>
    <row r="55" spans="1:10" ht="15.75" customHeight="1">
      <c r="A55" s="239" t="s">
        <v>146</v>
      </c>
      <c r="B55" s="256" t="s">
        <v>1334</v>
      </c>
      <c r="C55" s="239"/>
      <c r="D55" s="239"/>
      <c r="E55" s="239"/>
      <c r="F55" s="239"/>
      <c r="G55" s="239"/>
      <c r="H55" s="239"/>
      <c r="I55" s="239"/>
      <c r="J55" s="239"/>
    </row>
    <row r="56" spans="1:10" ht="15.75" customHeight="1">
      <c r="A56" s="258" t="s">
        <v>132</v>
      </c>
      <c r="B56" s="259" t="s">
        <v>3193</v>
      </c>
      <c r="C56" s="258"/>
      <c r="D56" s="258"/>
      <c r="E56" s="258"/>
      <c r="F56" s="258"/>
      <c r="G56" s="258"/>
      <c r="H56" s="258"/>
      <c r="I56" s="258"/>
      <c r="J56" s="258"/>
    </row>
    <row r="57" spans="1:10" ht="15.75" customHeight="1">
      <c r="A57" s="258" t="s">
        <v>9872</v>
      </c>
      <c r="B57" s="259" t="s">
        <v>9879</v>
      </c>
      <c r="C57" s="258"/>
      <c r="D57" s="258"/>
      <c r="E57" s="258"/>
      <c r="F57" s="258"/>
      <c r="G57" s="258"/>
      <c r="H57" s="258"/>
      <c r="I57" s="258"/>
      <c r="J57" s="258"/>
    </row>
    <row r="58" spans="1:10" ht="15.75" customHeight="1">
      <c r="A58" s="258" t="s">
        <v>280</v>
      </c>
      <c r="B58" s="259" t="s">
        <v>11531</v>
      </c>
      <c r="C58" s="258"/>
      <c r="D58" s="258"/>
      <c r="E58" s="258"/>
      <c r="F58" s="258"/>
      <c r="G58" s="258"/>
      <c r="H58" s="258"/>
      <c r="I58" s="258"/>
      <c r="J58" s="258"/>
    </row>
    <row r="59" spans="1:10" ht="15.75" customHeight="1">
      <c r="A59" s="258" t="s">
        <v>292</v>
      </c>
      <c r="B59" s="259" t="s">
        <v>4463</v>
      </c>
      <c r="C59" s="258"/>
      <c r="D59" s="258"/>
      <c r="E59" s="258"/>
      <c r="F59" s="258"/>
      <c r="G59" s="258"/>
      <c r="H59" s="258"/>
      <c r="I59" s="258"/>
      <c r="J59" s="258"/>
    </row>
    <row r="60" spans="1:10" ht="15.75" customHeight="1">
      <c r="A60" s="239" t="s">
        <v>1327</v>
      </c>
      <c r="B60" s="256" t="s">
        <v>1334</v>
      </c>
      <c r="C60" s="239"/>
      <c r="D60" s="239"/>
      <c r="E60" s="239"/>
      <c r="F60" s="239"/>
      <c r="G60" s="239"/>
      <c r="H60" s="239"/>
      <c r="I60" s="239"/>
      <c r="J60" s="239"/>
    </row>
    <row r="61" spans="1:10" ht="15.75" customHeight="1">
      <c r="A61" s="258" t="s">
        <v>227</v>
      </c>
      <c r="B61" s="259" t="s">
        <v>1364</v>
      </c>
      <c r="C61" s="252"/>
      <c r="D61" s="252"/>
      <c r="E61" s="252"/>
      <c r="F61" s="224"/>
      <c r="G61" s="224"/>
      <c r="H61" s="224"/>
      <c r="I61" s="224"/>
      <c r="J61" s="224"/>
    </row>
    <row r="62" spans="1:10" ht="15.75" customHeight="1">
      <c r="A62" s="239" t="s">
        <v>250</v>
      </c>
      <c r="B62" s="256" t="s">
        <v>1450</v>
      </c>
      <c r="C62" s="239"/>
      <c r="D62" s="239"/>
      <c r="E62" s="239"/>
      <c r="F62" s="239"/>
      <c r="G62" s="239"/>
      <c r="H62" s="239"/>
      <c r="I62" s="239"/>
      <c r="J62" s="239"/>
    </row>
    <row r="63" spans="1:10" ht="15.75" customHeight="1">
      <c r="A63" s="239" t="s">
        <v>141</v>
      </c>
      <c r="B63" s="256" t="s">
        <v>9486</v>
      </c>
      <c r="C63" s="239"/>
      <c r="D63" s="239"/>
      <c r="E63" s="239"/>
      <c r="F63" s="239"/>
      <c r="G63" s="239"/>
      <c r="H63" s="239"/>
      <c r="I63" s="239"/>
      <c r="J63" s="239"/>
    </row>
    <row r="64" spans="1:10" ht="15.75" customHeight="1">
      <c r="A64" s="239" t="s">
        <v>299</v>
      </c>
      <c r="B64" s="256" t="s">
        <v>4668</v>
      </c>
      <c r="C64" s="239"/>
      <c r="D64" s="239"/>
      <c r="E64" s="239"/>
      <c r="F64" s="239"/>
      <c r="G64" s="239"/>
      <c r="H64" s="239"/>
      <c r="I64" s="239"/>
      <c r="J64" s="239"/>
    </row>
    <row r="65" spans="1:10" ht="15.75" customHeight="1">
      <c r="A65" s="258" t="s">
        <v>2965</v>
      </c>
      <c r="B65" s="259" t="s">
        <v>11173</v>
      </c>
      <c r="C65" s="258"/>
      <c r="D65" s="258"/>
      <c r="E65" s="258"/>
      <c r="F65" s="258"/>
      <c r="G65" s="258"/>
      <c r="H65" s="258"/>
      <c r="I65" s="258"/>
      <c r="J65" s="258"/>
    </row>
    <row r="66" spans="1:10" ht="15.75" customHeight="1">
      <c r="A66" s="258" t="s">
        <v>8859</v>
      </c>
      <c r="B66" s="259" t="s">
        <v>8866</v>
      </c>
      <c r="C66" s="258"/>
      <c r="D66" s="258"/>
      <c r="E66" s="258"/>
      <c r="F66" s="258"/>
      <c r="G66" s="258"/>
      <c r="H66" s="258"/>
      <c r="I66" s="258"/>
      <c r="J66" s="258"/>
    </row>
    <row r="67" spans="1:10" ht="15.75" customHeight="1">
      <c r="A67" s="258" t="s">
        <v>66</v>
      </c>
      <c r="B67" s="259" t="s">
        <v>11535</v>
      </c>
      <c r="C67" s="258"/>
      <c r="D67" s="258"/>
      <c r="E67" s="258"/>
      <c r="F67" s="258"/>
      <c r="G67" s="258"/>
      <c r="H67" s="258"/>
      <c r="I67" s="258"/>
      <c r="J67" s="258"/>
    </row>
    <row r="68" spans="1:10" ht="15.75" customHeight="1">
      <c r="A68" s="239" t="s">
        <v>74</v>
      </c>
      <c r="B68" s="256" t="s">
        <v>9573</v>
      </c>
      <c r="C68" s="239"/>
      <c r="D68" s="239"/>
      <c r="E68" s="239"/>
      <c r="F68" s="239"/>
      <c r="G68" s="239"/>
      <c r="H68" s="239"/>
      <c r="I68" s="239"/>
      <c r="J68" s="239"/>
    </row>
    <row r="69" spans="1:10" ht="15.75" customHeight="1">
      <c r="A69" s="239" t="s">
        <v>102</v>
      </c>
      <c r="B69" s="256" t="s">
        <v>9453</v>
      </c>
      <c r="C69" s="239"/>
      <c r="D69" s="239"/>
      <c r="E69" s="239"/>
      <c r="F69" s="239"/>
      <c r="G69" s="239"/>
      <c r="H69" s="239"/>
      <c r="I69" s="239"/>
      <c r="J69" s="239"/>
    </row>
    <row r="70" spans="1:10" ht="15.75" customHeight="1">
      <c r="A70" s="239" t="s">
        <v>155</v>
      </c>
      <c r="B70" s="256" t="s">
        <v>2260</v>
      </c>
      <c r="C70" s="239"/>
      <c r="D70" s="239"/>
      <c r="E70" s="239"/>
      <c r="F70" s="239"/>
      <c r="G70" s="239"/>
      <c r="H70" s="239"/>
      <c r="I70" s="239"/>
      <c r="J70" s="239"/>
    </row>
    <row r="71" spans="1:10" ht="15.75" customHeight="1">
      <c r="A71" s="239" t="s">
        <v>147</v>
      </c>
      <c r="B71" s="256" t="s">
        <v>9395</v>
      </c>
      <c r="C71" s="239"/>
      <c r="D71" s="239"/>
      <c r="E71" s="239"/>
      <c r="F71" s="239"/>
      <c r="G71" s="239"/>
      <c r="H71" s="239"/>
      <c r="I71" s="239"/>
      <c r="J71" s="239"/>
    </row>
    <row r="72" spans="1:10" ht="15.75" customHeight="1">
      <c r="A72" s="258" t="s">
        <v>3167</v>
      </c>
      <c r="B72" s="259" t="s">
        <v>3174</v>
      </c>
      <c r="C72" s="258"/>
      <c r="D72" s="258"/>
      <c r="E72" s="258"/>
      <c r="F72" s="258"/>
      <c r="G72" s="258"/>
      <c r="H72" s="258"/>
      <c r="I72" s="258"/>
      <c r="J72" s="258"/>
    </row>
    <row r="73" spans="1:10" ht="15.75" customHeight="1">
      <c r="A73" s="239" t="s">
        <v>2904</v>
      </c>
      <c r="B73" s="256" t="s">
        <v>2911</v>
      </c>
      <c r="C73" s="239"/>
      <c r="D73" s="239"/>
      <c r="E73" s="239"/>
      <c r="F73" s="239"/>
      <c r="G73" s="239"/>
      <c r="H73" s="239"/>
      <c r="I73" s="239"/>
      <c r="J73" s="239"/>
    </row>
    <row r="74" spans="1:10" ht="15.75" customHeight="1">
      <c r="A74" s="239" t="s">
        <v>2263</v>
      </c>
      <c r="B74" s="256" t="s">
        <v>2270</v>
      </c>
      <c r="C74" s="239"/>
      <c r="D74" s="239"/>
      <c r="E74" s="239"/>
      <c r="F74" s="239"/>
      <c r="G74" s="239"/>
      <c r="H74" s="239"/>
      <c r="I74" s="239"/>
      <c r="J74" s="239"/>
    </row>
    <row r="75" spans="1:10" ht="15.75" customHeight="1">
      <c r="A75" s="258" t="s">
        <v>9630</v>
      </c>
      <c r="B75" s="259" t="s">
        <v>9637</v>
      </c>
      <c r="C75" s="258"/>
      <c r="D75" s="258"/>
      <c r="E75" s="258"/>
      <c r="F75" s="258"/>
      <c r="G75" s="258"/>
      <c r="H75" s="258"/>
      <c r="I75" s="258"/>
      <c r="J75" s="258"/>
    </row>
    <row r="76" spans="1:10" ht="15.75" customHeight="1">
      <c r="A76" s="258" t="s">
        <v>9031</v>
      </c>
      <c r="B76" s="259" t="s">
        <v>11220</v>
      </c>
      <c r="C76" s="258"/>
      <c r="D76" s="258"/>
      <c r="E76" s="258"/>
      <c r="F76" s="258"/>
      <c r="G76" s="258"/>
      <c r="H76" s="258"/>
      <c r="I76" s="258"/>
      <c r="J76" s="258"/>
    </row>
    <row r="77" spans="1:10" ht="15.75" customHeight="1">
      <c r="A77" s="258" t="s">
        <v>308</v>
      </c>
      <c r="B77" s="259" t="s">
        <v>9656</v>
      </c>
      <c r="C77" s="258"/>
      <c r="D77" s="258"/>
      <c r="E77" s="258"/>
      <c r="F77" s="258"/>
      <c r="G77" s="258"/>
      <c r="H77" s="258"/>
      <c r="I77" s="258"/>
      <c r="J77" s="258"/>
    </row>
    <row r="78" spans="1:10" ht="15.75" customHeight="1">
      <c r="A78" s="258" t="s">
        <v>374</v>
      </c>
      <c r="B78" s="259" t="s">
        <v>9841</v>
      </c>
      <c r="C78" s="258"/>
      <c r="D78" s="258"/>
      <c r="E78" s="258"/>
      <c r="F78" s="258"/>
      <c r="G78" s="258"/>
      <c r="H78" s="258"/>
      <c r="I78" s="258"/>
      <c r="J78" s="258"/>
    </row>
    <row r="79" spans="1:10" ht="15.75" customHeight="1">
      <c r="A79" s="258" t="s">
        <v>9776</v>
      </c>
      <c r="B79" s="259" t="s">
        <v>9783</v>
      </c>
      <c r="C79" s="258"/>
      <c r="D79" s="258"/>
      <c r="E79" s="258"/>
      <c r="F79" s="258"/>
      <c r="G79" s="258"/>
      <c r="H79" s="258"/>
      <c r="I79" s="258"/>
      <c r="J79" s="258"/>
    </row>
    <row r="80" spans="1:10" ht="15.75" customHeight="1">
      <c r="A80" s="265" t="s">
        <v>8485</v>
      </c>
      <c r="B80" s="266" t="s">
        <v>11539</v>
      </c>
      <c r="C80" s="265"/>
      <c r="D80" s="265"/>
      <c r="E80" s="265"/>
      <c r="F80" s="265"/>
      <c r="G80" s="265"/>
      <c r="H80" s="265"/>
      <c r="I80" s="265"/>
      <c r="J80" s="265"/>
    </row>
    <row r="81" spans="1:10" ht="15.75" customHeight="1">
      <c r="A81" s="258" t="s">
        <v>3196</v>
      </c>
      <c r="B81" s="259" t="s">
        <v>3203</v>
      </c>
      <c r="C81" s="258"/>
      <c r="D81" s="258"/>
      <c r="E81" s="258"/>
      <c r="F81" s="258"/>
      <c r="G81" s="258"/>
      <c r="H81" s="258"/>
      <c r="I81" s="258"/>
      <c r="J81" s="258"/>
    </row>
    <row r="82" spans="1:10" ht="15.75" customHeight="1">
      <c r="A82" s="239" t="s">
        <v>164</v>
      </c>
      <c r="B82" s="256" t="s">
        <v>9495</v>
      </c>
      <c r="C82" s="239"/>
      <c r="D82" s="239"/>
      <c r="E82" s="239"/>
      <c r="F82" s="239"/>
      <c r="G82" s="239"/>
      <c r="H82" s="239"/>
      <c r="I82" s="239"/>
      <c r="J82" s="239"/>
    </row>
    <row r="83" spans="1:10" ht="15.75" customHeight="1">
      <c r="A83" s="258" t="s">
        <v>9285</v>
      </c>
      <c r="B83" s="259" t="s">
        <v>9292</v>
      </c>
      <c r="C83" s="258"/>
      <c r="D83" s="258"/>
      <c r="E83" s="258"/>
      <c r="F83" s="258"/>
      <c r="G83" s="258"/>
      <c r="H83" s="258"/>
      <c r="I83" s="258"/>
      <c r="J83" s="258"/>
    </row>
    <row r="84" spans="1:10" ht="15.75" customHeight="1">
      <c r="A84" s="258" t="s">
        <v>9151</v>
      </c>
      <c r="B84" s="259" t="s">
        <v>9157</v>
      </c>
      <c r="C84" s="258"/>
      <c r="D84" s="258"/>
      <c r="E84" s="258"/>
      <c r="F84" s="258"/>
      <c r="G84" s="258"/>
      <c r="H84" s="258"/>
      <c r="I84" s="258"/>
      <c r="J84" s="258"/>
    </row>
    <row r="85" spans="1:10" ht="15.75" customHeight="1">
      <c r="A85" s="221" t="s">
        <v>8551</v>
      </c>
      <c r="B85" s="259" t="s">
        <v>8559</v>
      </c>
      <c r="C85" s="258"/>
      <c r="D85" s="258"/>
      <c r="E85" s="258"/>
      <c r="F85" s="258"/>
      <c r="G85" s="258"/>
      <c r="H85" s="258"/>
      <c r="I85" s="258"/>
      <c r="J85" s="258"/>
    </row>
    <row r="86" spans="1:10" ht="15.75" customHeight="1">
      <c r="A86" s="268" t="s">
        <v>368</v>
      </c>
      <c r="B86" s="271" t="s">
        <v>2069</v>
      </c>
      <c r="C86" s="268"/>
      <c r="D86" s="268"/>
      <c r="E86" s="268"/>
      <c r="F86" s="268"/>
      <c r="G86" s="268"/>
      <c r="H86" s="219"/>
      <c r="I86" s="219"/>
      <c r="J86" s="219"/>
    </row>
    <row r="87" spans="1:10" ht="15.75" customHeight="1">
      <c r="A87" s="272" t="s">
        <v>128</v>
      </c>
      <c r="B87" s="274" t="s">
        <v>925</v>
      </c>
      <c r="C87" s="272"/>
      <c r="D87" s="272"/>
      <c r="E87" s="272"/>
      <c r="F87" s="272"/>
      <c r="G87" s="272"/>
      <c r="H87" s="224"/>
      <c r="I87" s="224"/>
      <c r="J87" s="224"/>
    </row>
    <row r="88" spans="1:10" ht="15.75" customHeight="1">
      <c r="A88" s="268" t="s">
        <v>360</v>
      </c>
      <c r="B88" s="271" t="s">
        <v>2035</v>
      </c>
      <c r="C88" s="268"/>
      <c r="D88" s="268"/>
      <c r="E88" s="268"/>
      <c r="F88" s="268"/>
      <c r="G88" s="268"/>
      <c r="H88" s="219"/>
      <c r="I88" s="219"/>
      <c r="J88" s="219"/>
    </row>
    <row r="89" spans="1:10" ht="15.75" customHeight="1">
      <c r="A89" s="272" t="s">
        <v>301</v>
      </c>
      <c r="B89" s="274" t="s">
        <v>1688</v>
      </c>
      <c r="C89" s="272"/>
      <c r="D89" s="272"/>
      <c r="E89" s="272"/>
      <c r="F89" s="272"/>
      <c r="G89" s="272"/>
      <c r="H89" s="224"/>
      <c r="I89" s="224"/>
      <c r="J89" s="224"/>
    </row>
    <row r="90" spans="1:10" ht="15.75" customHeight="1">
      <c r="A90" s="268" t="s">
        <v>80</v>
      </c>
      <c r="B90" s="271" t="s">
        <v>576</v>
      </c>
      <c r="C90" s="268"/>
      <c r="D90" s="268"/>
      <c r="E90" s="268"/>
      <c r="F90" s="268"/>
      <c r="G90" s="268"/>
      <c r="H90" s="219"/>
      <c r="I90" s="219"/>
      <c r="J90" s="219"/>
    </row>
    <row r="91" spans="1:10" ht="15.75" customHeight="1">
      <c r="A91" s="272" t="s">
        <v>72</v>
      </c>
      <c r="B91" s="274" t="s">
        <v>526</v>
      </c>
      <c r="C91" s="272"/>
      <c r="D91" s="272"/>
      <c r="E91" s="272"/>
      <c r="F91" s="272"/>
      <c r="G91" s="272"/>
      <c r="H91" s="224"/>
      <c r="I91" s="224"/>
      <c r="J91" s="224"/>
    </row>
    <row r="92" spans="1:10" ht="15.75" customHeight="1">
      <c r="A92" s="277" t="s">
        <v>150</v>
      </c>
      <c r="B92" s="279" t="s">
        <v>3410</v>
      </c>
      <c r="C92" s="277"/>
      <c r="D92" s="277"/>
      <c r="E92" s="277"/>
      <c r="F92" s="277"/>
      <c r="G92" s="277"/>
      <c r="H92" s="239"/>
      <c r="I92" s="239"/>
      <c r="J92" s="239"/>
    </row>
    <row r="93" spans="1:10" ht="15.75" customHeight="1">
      <c r="A93" s="277" t="s">
        <v>99</v>
      </c>
      <c r="B93" s="279" t="s">
        <v>731</v>
      </c>
      <c r="C93" s="277"/>
      <c r="D93" s="277"/>
      <c r="E93" s="277"/>
      <c r="F93" s="277"/>
      <c r="G93" s="277"/>
      <c r="H93" s="239"/>
      <c r="I93" s="239"/>
      <c r="J93" s="239"/>
    </row>
    <row r="94" spans="1:10" ht="15.75" customHeight="1">
      <c r="A94" s="281" t="s">
        <v>97</v>
      </c>
      <c r="B94" s="283" t="s">
        <v>711</v>
      </c>
      <c r="C94" s="281"/>
      <c r="D94" s="281"/>
      <c r="E94" s="281"/>
      <c r="F94" s="281"/>
      <c r="G94" s="281"/>
      <c r="H94" s="258"/>
      <c r="I94" s="258"/>
      <c r="J94" s="258"/>
    </row>
    <row r="95" spans="1:10" ht="15.75" customHeight="1">
      <c r="A95" s="277" t="s">
        <v>258</v>
      </c>
      <c r="B95" s="279" t="s">
        <v>1496</v>
      </c>
      <c r="C95" s="277"/>
      <c r="D95" s="277"/>
      <c r="E95" s="277"/>
      <c r="F95" s="277"/>
      <c r="G95" s="277"/>
      <c r="H95" s="239"/>
      <c r="I95" s="239"/>
      <c r="J95" s="239"/>
    </row>
    <row r="96" spans="1:10" ht="15.75" customHeight="1">
      <c r="A96" s="268" t="s">
        <v>266</v>
      </c>
      <c r="B96" s="271" t="s">
        <v>1537</v>
      </c>
      <c r="C96" s="268"/>
      <c r="D96" s="268"/>
      <c r="E96" s="268"/>
      <c r="F96" s="268"/>
      <c r="G96" s="268"/>
      <c r="H96" s="219"/>
      <c r="I96" s="219"/>
      <c r="J96" s="219"/>
    </row>
    <row r="97" spans="1:10" ht="15.75" customHeight="1">
      <c r="A97" s="277" t="s">
        <v>171</v>
      </c>
      <c r="B97" s="279" t="s">
        <v>11551</v>
      </c>
      <c r="C97" s="277"/>
      <c r="D97" s="277"/>
      <c r="E97" s="277"/>
      <c r="F97" s="277"/>
      <c r="G97" s="277"/>
      <c r="H97" s="239"/>
      <c r="I97" s="239"/>
      <c r="J97" s="239"/>
    </row>
    <row r="98" spans="1:10" ht="15.75" customHeight="1">
      <c r="A98" s="268" t="s">
        <v>241</v>
      </c>
      <c r="B98" s="271" t="s">
        <v>1423</v>
      </c>
      <c r="C98" s="268"/>
      <c r="D98" s="268"/>
      <c r="E98" s="268"/>
      <c r="F98" s="268"/>
      <c r="G98" s="268"/>
      <c r="H98" s="219"/>
      <c r="I98" s="219"/>
      <c r="J98" s="219"/>
    </row>
    <row r="99" spans="1:10" ht="15.75" customHeight="1">
      <c r="A99" s="277" t="s">
        <v>181</v>
      </c>
      <c r="B99" s="279" t="s">
        <v>1154</v>
      </c>
      <c r="C99" s="277"/>
      <c r="D99" s="277"/>
      <c r="E99" s="277"/>
      <c r="F99" s="277"/>
      <c r="G99" s="277"/>
      <c r="H99" s="239"/>
      <c r="I99" s="239"/>
      <c r="J99" s="239"/>
    </row>
    <row r="100" spans="1:10" ht="15.75" customHeight="1">
      <c r="A100" s="277" t="s">
        <v>232</v>
      </c>
      <c r="B100" s="279" t="s">
        <v>3975</v>
      </c>
      <c r="C100" s="277"/>
      <c r="D100" s="277"/>
      <c r="E100" s="277"/>
      <c r="F100" s="277"/>
      <c r="G100" s="277"/>
      <c r="H100" s="239"/>
      <c r="I100" s="239"/>
      <c r="J100" s="239"/>
    </row>
    <row r="101" spans="1:10" ht="15.75" customHeight="1">
      <c r="A101" s="277" t="s">
        <v>216</v>
      </c>
      <c r="B101" s="279" t="s">
        <v>11559</v>
      </c>
      <c r="C101" s="277"/>
      <c r="D101" s="277"/>
      <c r="E101" s="277"/>
      <c r="F101" s="277"/>
      <c r="G101" s="277"/>
      <c r="H101" s="239"/>
      <c r="I101" s="239"/>
      <c r="J101" s="239"/>
    </row>
    <row r="102" spans="1:10" ht="15.75" customHeight="1">
      <c r="A102" s="277" t="s">
        <v>67</v>
      </c>
      <c r="B102" s="279" t="s">
        <v>492</v>
      </c>
      <c r="C102" s="277"/>
      <c r="D102" s="277"/>
      <c r="E102" s="277"/>
      <c r="F102" s="277"/>
      <c r="G102" s="277"/>
      <c r="H102" s="239"/>
      <c r="I102" s="239"/>
      <c r="J102" s="239"/>
    </row>
    <row r="103" spans="1:10" ht="15.75" customHeight="1">
      <c r="A103" s="272" t="s">
        <v>112</v>
      </c>
      <c r="B103" s="274" t="s">
        <v>810</v>
      </c>
      <c r="C103" s="272"/>
      <c r="D103" s="272"/>
      <c r="E103" s="272"/>
      <c r="F103" s="272"/>
      <c r="G103" s="272"/>
      <c r="H103" s="224"/>
      <c r="I103" s="224"/>
      <c r="J103" s="224"/>
    </row>
    <row r="104" spans="1:10" ht="15.75" customHeight="1">
      <c r="A104" s="281" t="s">
        <v>353</v>
      </c>
      <c r="B104" s="283" t="s">
        <v>9742</v>
      </c>
      <c r="C104" s="281"/>
      <c r="D104" s="281"/>
      <c r="E104" s="281"/>
      <c r="F104" s="281"/>
      <c r="G104" s="281"/>
      <c r="H104" s="258"/>
      <c r="I104" s="258"/>
      <c r="J104" s="258"/>
    </row>
    <row r="105" spans="1:10" ht="15.75" customHeight="1">
      <c r="A105" s="277" t="s">
        <v>118</v>
      </c>
      <c r="B105" s="279" t="s">
        <v>850</v>
      </c>
      <c r="C105" s="277"/>
      <c r="D105" s="277"/>
      <c r="E105" s="277"/>
      <c r="F105" s="277"/>
      <c r="G105" s="277"/>
      <c r="H105" s="239"/>
      <c r="I105" s="239"/>
      <c r="J105" s="239"/>
    </row>
    <row r="106" spans="1:10" ht="15.75" customHeight="1">
      <c r="A106" s="281" t="s">
        <v>4313</v>
      </c>
      <c r="B106" s="283" t="s">
        <v>4320</v>
      </c>
      <c r="C106" s="281"/>
      <c r="D106" s="281"/>
      <c r="E106" s="281"/>
      <c r="F106" s="281"/>
      <c r="G106" s="281"/>
      <c r="H106" s="258"/>
      <c r="I106" s="258"/>
      <c r="J106" s="258"/>
    </row>
    <row r="107" spans="1:10" ht="15.75" customHeight="1">
      <c r="A107" s="277" t="s">
        <v>139</v>
      </c>
      <c r="B107" s="279" t="s">
        <v>3265</v>
      </c>
      <c r="C107" s="277"/>
      <c r="D107" s="277"/>
      <c r="E107" s="277"/>
      <c r="F107" s="277"/>
      <c r="G107" s="277"/>
      <c r="H107" s="239"/>
      <c r="I107" s="239"/>
      <c r="J107" s="239"/>
    </row>
    <row r="108" spans="1:10" ht="15.75" customHeight="1">
      <c r="A108" s="281" t="s">
        <v>281</v>
      </c>
      <c r="B108" s="283" t="s">
        <v>4310</v>
      </c>
      <c r="C108" s="281"/>
      <c r="D108" s="281"/>
      <c r="E108" s="281"/>
      <c r="F108" s="281"/>
      <c r="G108" s="281"/>
      <c r="H108" s="258"/>
      <c r="I108" s="258"/>
      <c r="J108" s="258"/>
    </row>
    <row r="109" spans="1:10" ht="15.75" customHeight="1">
      <c r="A109" s="281" t="s">
        <v>403</v>
      </c>
      <c r="B109" s="283" t="s">
        <v>10127</v>
      </c>
      <c r="C109" s="281"/>
      <c r="D109" s="281"/>
      <c r="E109" s="281"/>
      <c r="F109" s="281"/>
      <c r="G109" s="281"/>
      <c r="H109" s="258"/>
      <c r="I109" s="258"/>
      <c r="J109" s="258"/>
    </row>
    <row r="110" spans="1:10" ht="15.75" customHeight="1">
      <c r="A110" s="281" t="s">
        <v>386</v>
      </c>
      <c r="B110" s="283" t="s">
        <v>10068</v>
      </c>
      <c r="C110" s="281"/>
      <c r="D110" s="281"/>
      <c r="E110" s="281"/>
      <c r="F110" s="281"/>
      <c r="G110" s="281"/>
      <c r="H110" s="258"/>
      <c r="I110" s="258"/>
      <c r="J110" s="258"/>
    </row>
    <row r="111" spans="1:10" ht="15.75" customHeight="1">
      <c r="A111" s="281" t="s">
        <v>144</v>
      </c>
      <c r="B111" s="283" t="s">
        <v>3291</v>
      </c>
      <c r="C111" s="281"/>
      <c r="D111" s="281"/>
      <c r="E111" s="281"/>
      <c r="F111" s="281"/>
      <c r="G111" s="281"/>
      <c r="H111" s="258"/>
      <c r="I111" s="258"/>
      <c r="J111" s="258"/>
    </row>
    <row r="112" spans="1:10" ht="15.75" customHeight="1">
      <c r="A112" s="281" t="s">
        <v>90</v>
      </c>
      <c r="B112" s="283" t="s">
        <v>641</v>
      </c>
      <c r="C112" s="281"/>
      <c r="D112" s="281"/>
      <c r="E112" s="281"/>
      <c r="F112" s="281"/>
      <c r="G112" s="281"/>
      <c r="H112" s="258"/>
      <c r="I112" s="258"/>
      <c r="J112" s="258"/>
    </row>
    <row r="113" spans="1:10" ht="15.75" customHeight="1">
      <c r="A113" s="294" t="s">
        <v>274</v>
      </c>
      <c r="B113" s="297" t="s">
        <v>9412</v>
      </c>
      <c r="C113" s="294"/>
      <c r="D113" s="294"/>
      <c r="E113" s="294"/>
      <c r="F113" s="294"/>
      <c r="G113" s="294"/>
      <c r="H113" s="265"/>
      <c r="I113" s="265"/>
      <c r="J113" s="265"/>
    </row>
    <row r="114" spans="1:10" ht="15.75" customHeight="1">
      <c r="A114" s="281" t="s">
        <v>381</v>
      </c>
      <c r="B114" s="283" t="s">
        <v>10042</v>
      </c>
      <c r="C114" s="281"/>
      <c r="D114" s="281"/>
      <c r="E114" s="281"/>
      <c r="F114" s="281"/>
      <c r="G114" s="281"/>
      <c r="H114" s="258"/>
      <c r="I114" s="258"/>
      <c r="J114" s="258"/>
    </row>
    <row r="115" spans="1:10" ht="15.75" customHeight="1">
      <c r="A115" s="281" t="s">
        <v>289</v>
      </c>
      <c r="B115" s="283" t="s">
        <v>4418</v>
      </c>
      <c r="C115" s="281"/>
      <c r="D115" s="281"/>
      <c r="E115" s="281"/>
      <c r="F115" s="281"/>
      <c r="G115" s="281"/>
      <c r="H115" s="258"/>
      <c r="I115" s="258"/>
      <c r="J115" s="258"/>
    </row>
    <row r="116" spans="1:10" ht="15.75" customHeight="1">
      <c r="A116" s="281" t="s">
        <v>103</v>
      </c>
      <c r="B116" s="283" t="s">
        <v>760</v>
      </c>
      <c r="C116" s="281"/>
      <c r="D116" s="281"/>
      <c r="E116" s="281"/>
      <c r="F116" s="281"/>
      <c r="G116" s="281"/>
      <c r="H116" s="258"/>
      <c r="I116" s="258"/>
      <c r="J116" s="258"/>
    </row>
    <row r="117" spans="1:10" ht="15.75" customHeight="1">
      <c r="A117" s="281" t="s">
        <v>370</v>
      </c>
      <c r="B117" s="283" t="s">
        <v>2087</v>
      </c>
      <c r="C117" s="281"/>
      <c r="D117" s="281"/>
      <c r="E117" s="281"/>
      <c r="F117" s="281"/>
      <c r="G117" s="281"/>
      <c r="H117" s="258"/>
      <c r="I117" s="258"/>
      <c r="J117" s="258"/>
    </row>
    <row r="118" spans="1:10" ht="15.75" customHeight="1">
      <c r="A118" s="281" t="s">
        <v>4716</v>
      </c>
      <c r="B118" s="283" t="s">
        <v>4724</v>
      </c>
      <c r="C118" s="281"/>
      <c r="D118" s="281"/>
      <c r="E118" s="281"/>
      <c r="F118" s="281"/>
      <c r="G118" s="281"/>
      <c r="H118" s="258"/>
      <c r="I118" s="258"/>
      <c r="J118" s="258"/>
    </row>
    <row r="119" spans="1:10" ht="15.75" customHeight="1">
      <c r="A119" s="281" t="s">
        <v>100</v>
      </c>
      <c r="B119" s="283" t="s">
        <v>741</v>
      </c>
      <c r="C119" s="281"/>
      <c r="D119" s="281"/>
      <c r="E119" s="281"/>
      <c r="F119" s="281"/>
      <c r="G119" s="281"/>
      <c r="H119" s="258"/>
      <c r="I119" s="258"/>
      <c r="J119" s="258"/>
    </row>
    <row r="120" spans="1:10" ht="15.75" customHeight="1">
      <c r="A120" s="281" t="s">
        <v>388</v>
      </c>
      <c r="B120" s="283" t="s">
        <v>9931</v>
      </c>
      <c r="C120" s="281"/>
      <c r="D120" s="281"/>
      <c r="E120" s="281"/>
      <c r="F120" s="281"/>
      <c r="G120" s="281"/>
      <c r="H120" s="258"/>
      <c r="I120" s="258"/>
      <c r="J120" s="258"/>
    </row>
    <row r="121" spans="1:10" ht="15.75" customHeight="1">
      <c r="A121" s="281" t="s">
        <v>85</v>
      </c>
      <c r="B121" s="283" t="s">
        <v>9350</v>
      </c>
      <c r="C121" s="281"/>
      <c r="D121" s="281"/>
      <c r="E121" s="281"/>
      <c r="F121" s="281"/>
      <c r="G121" s="281"/>
      <c r="H121" s="258"/>
      <c r="I121" s="258"/>
      <c r="J121" s="258"/>
    </row>
    <row r="122" spans="1:10" ht="15.75" customHeight="1">
      <c r="A122" s="281" t="s">
        <v>3043</v>
      </c>
      <c r="B122" s="283" t="s">
        <v>3049</v>
      </c>
      <c r="C122" s="281"/>
      <c r="D122" s="281"/>
      <c r="E122" s="281"/>
      <c r="F122" s="281"/>
      <c r="G122" s="281"/>
      <c r="H122" s="258"/>
      <c r="I122" s="258"/>
      <c r="J122" s="258"/>
    </row>
    <row r="123" spans="1:10" ht="15.75" customHeight="1">
      <c r="A123" s="281" t="s">
        <v>106</v>
      </c>
      <c r="B123" s="283" t="s">
        <v>11579</v>
      </c>
      <c r="C123" s="281"/>
      <c r="D123" s="281"/>
      <c r="E123" s="281"/>
      <c r="F123" s="281"/>
      <c r="G123" s="281"/>
      <c r="H123" s="258"/>
      <c r="I123" s="258"/>
      <c r="J123" s="258"/>
    </row>
    <row r="124" spans="1:10" ht="15.75" customHeight="1">
      <c r="A124" s="281" t="s">
        <v>3432</v>
      </c>
      <c r="B124" s="283" t="s">
        <v>3438</v>
      </c>
      <c r="C124" s="281"/>
      <c r="D124" s="281"/>
      <c r="E124" s="281"/>
      <c r="F124" s="281"/>
      <c r="G124" s="281"/>
      <c r="H124" s="258"/>
      <c r="I124" s="258"/>
      <c r="J124" s="258"/>
    </row>
    <row r="125" spans="1:10" ht="15.75" customHeight="1">
      <c r="A125" s="281" t="s">
        <v>3395</v>
      </c>
      <c r="B125" s="283" t="s">
        <v>2260</v>
      </c>
      <c r="C125" s="281"/>
      <c r="D125" s="281"/>
      <c r="E125" s="281"/>
      <c r="F125" s="281"/>
      <c r="G125" s="281"/>
      <c r="H125" s="258"/>
      <c r="I125" s="258"/>
      <c r="J125" s="258"/>
    </row>
    <row r="126" spans="1:10" ht="15.75" customHeight="1">
      <c r="A126" s="281" t="s">
        <v>2426</v>
      </c>
      <c r="B126" s="283" t="s">
        <v>2433</v>
      </c>
      <c r="C126" s="281"/>
      <c r="D126" s="281"/>
      <c r="E126" s="281"/>
      <c r="F126" s="281"/>
      <c r="G126" s="281"/>
      <c r="H126" s="258"/>
      <c r="I126" s="258"/>
      <c r="J126" s="258"/>
    </row>
    <row r="127" spans="1:10" ht="15.75" customHeight="1">
      <c r="A127" s="277" t="s">
        <v>130</v>
      </c>
      <c r="B127" s="279" t="s">
        <v>3183</v>
      </c>
      <c r="C127" s="277"/>
      <c r="D127" s="277"/>
      <c r="E127" s="277"/>
      <c r="F127" s="277"/>
      <c r="G127" s="277"/>
      <c r="H127" s="239"/>
      <c r="I127" s="239"/>
      <c r="J127" s="239"/>
    </row>
    <row r="128" spans="1:10" ht="15.75" customHeight="1">
      <c r="A128" s="281" t="s">
        <v>9816</v>
      </c>
      <c r="B128" s="283" t="s">
        <v>9822</v>
      </c>
      <c r="C128" s="281"/>
      <c r="D128" s="281"/>
      <c r="E128" s="281"/>
      <c r="F128" s="281"/>
      <c r="G128" s="281"/>
      <c r="H128" s="258"/>
      <c r="I128" s="258"/>
      <c r="J128" s="258"/>
    </row>
    <row r="129" spans="1:10" ht="15.75" customHeight="1">
      <c r="A129" s="281" t="s">
        <v>2566</v>
      </c>
      <c r="B129" s="283" t="s">
        <v>11595</v>
      </c>
      <c r="C129" s="281"/>
      <c r="D129" s="281"/>
      <c r="E129" s="281"/>
      <c r="F129" s="281"/>
      <c r="G129" s="281"/>
      <c r="H129" s="258"/>
      <c r="I129" s="258"/>
      <c r="J129" s="258"/>
    </row>
    <row r="130" spans="1:10" ht="15.75" customHeight="1">
      <c r="A130" s="281" t="s">
        <v>8877</v>
      </c>
      <c r="B130" s="283" t="s">
        <v>8884</v>
      </c>
      <c r="C130" s="281"/>
      <c r="D130" s="281"/>
      <c r="E130" s="281"/>
      <c r="F130" s="281"/>
      <c r="G130" s="281"/>
      <c r="H130" s="258"/>
      <c r="I130" s="258"/>
      <c r="J130" s="258"/>
    </row>
    <row r="131" spans="1:10" ht="15.75" customHeight="1">
      <c r="A131" s="281" t="s">
        <v>8439</v>
      </c>
      <c r="B131" s="283" t="s">
        <v>8446</v>
      </c>
      <c r="C131" s="281"/>
      <c r="D131" s="281"/>
      <c r="E131" s="281"/>
      <c r="F131" s="281"/>
      <c r="G131" s="281"/>
      <c r="H131" s="258"/>
      <c r="I131" s="258"/>
      <c r="J131" s="258"/>
    </row>
    <row r="132" spans="1:10" ht="15.75" customHeight="1">
      <c r="A132" s="277" t="s">
        <v>121</v>
      </c>
      <c r="B132" s="279" t="s">
        <v>3102</v>
      </c>
      <c r="C132" s="277"/>
      <c r="D132" s="277"/>
      <c r="E132" s="277"/>
      <c r="F132" s="277"/>
      <c r="G132" s="277"/>
      <c r="H132" s="239"/>
      <c r="I132" s="239"/>
      <c r="J132" s="239"/>
    </row>
    <row r="133" spans="1:10" ht="15.75" customHeight="1">
      <c r="A133" s="277" t="s">
        <v>2335</v>
      </c>
      <c r="B133" s="279" t="s">
        <v>2341</v>
      </c>
      <c r="C133" s="277"/>
      <c r="D133" s="277"/>
      <c r="E133" s="277"/>
      <c r="F133" s="277"/>
      <c r="G133" s="277"/>
      <c r="H133" s="239"/>
      <c r="I133" s="239"/>
      <c r="J133" s="239"/>
    </row>
    <row r="134" spans="1:10" ht="15.75" customHeight="1">
      <c r="A134" s="281" t="s">
        <v>8518</v>
      </c>
      <c r="B134" s="283" t="s">
        <v>8523</v>
      </c>
      <c r="C134" s="281"/>
      <c r="D134" s="281"/>
      <c r="E134" s="281"/>
      <c r="F134" s="281"/>
      <c r="G134" s="281"/>
      <c r="H134" s="258"/>
      <c r="I134" s="258"/>
      <c r="J134" s="258"/>
    </row>
    <row r="135" spans="1:10" ht="15.75" customHeight="1">
      <c r="A135" s="272" t="s">
        <v>9318</v>
      </c>
      <c r="B135" s="274" t="s">
        <v>9323</v>
      </c>
      <c r="C135" s="272"/>
      <c r="D135" s="272"/>
      <c r="E135" s="272"/>
      <c r="F135" s="272"/>
      <c r="G135" s="272"/>
      <c r="H135" s="224"/>
      <c r="I135" s="224"/>
      <c r="J135" s="224"/>
    </row>
    <row r="136" spans="1:10" ht="15.75" customHeight="1">
      <c r="A136" s="239" t="s">
        <v>256</v>
      </c>
      <c r="B136" s="256" t="s">
        <v>11608</v>
      </c>
      <c r="C136" s="239"/>
      <c r="D136" s="239"/>
      <c r="E136" s="239"/>
      <c r="F136" s="239"/>
      <c r="G136" s="239"/>
      <c r="H136" s="239"/>
      <c r="I136" s="239"/>
      <c r="J136" s="239"/>
    </row>
    <row r="137" spans="1:10" ht="15.75" customHeight="1">
      <c r="A137" s="239" t="s">
        <v>64</v>
      </c>
      <c r="B137" s="256" t="s">
        <v>11758</v>
      </c>
      <c r="C137" s="239"/>
      <c r="D137" s="239"/>
      <c r="E137" s="239"/>
      <c r="F137" s="239"/>
      <c r="G137" s="239"/>
      <c r="H137" s="239"/>
      <c r="I137" s="239"/>
      <c r="J137" s="239"/>
    </row>
    <row r="138" spans="1:10" ht="15.75" customHeight="1">
      <c r="A138" s="258" t="s">
        <v>165</v>
      </c>
      <c r="B138" s="259" t="s">
        <v>11611</v>
      </c>
      <c r="C138" s="258"/>
      <c r="D138" s="258"/>
      <c r="E138" s="258"/>
      <c r="F138" s="258"/>
      <c r="G138" s="258"/>
      <c r="H138" s="258"/>
      <c r="I138" s="258"/>
      <c r="J138" s="258"/>
    </row>
    <row r="139" spans="1:10" ht="15.75" customHeight="1">
      <c r="A139" s="258" t="s">
        <v>309</v>
      </c>
      <c r="B139" s="259" t="s">
        <v>1596</v>
      </c>
      <c r="C139" s="258"/>
      <c r="D139" s="258"/>
      <c r="E139" s="258"/>
      <c r="F139" s="258"/>
      <c r="G139" s="258"/>
      <c r="H139" s="258"/>
      <c r="I139" s="258"/>
      <c r="J139" s="258"/>
    </row>
    <row r="140" spans="1:10" ht="15.75" customHeight="1">
      <c r="A140" s="258" t="s">
        <v>321</v>
      </c>
      <c r="B140" s="259" t="s">
        <v>1778</v>
      </c>
      <c r="C140" s="258"/>
      <c r="D140" s="258"/>
      <c r="E140" s="258"/>
      <c r="F140" s="258"/>
      <c r="G140" s="258"/>
      <c r="H140" s="258"/>
      <c r="I140" s="258"/>
      <c r="J140" s="258"/>
    </row>
    <row r="141" spans="1:10" ht="15.75" customHeight="1">
      <c r="A141" s="258" t="s">
        <v>329</v>
      </c>
      <c r="B141" s="259" t="s">
        <v>11759</v>
      </c>
      <c r="C141" s="258"/>
      <c r="D141" s="258"/>
      <c r="E141" s="258"/>
      <c r="F141" s="258"/>
      <c r="G141" s="258"/>
      <c r="H141" s="258"/>
      <c r="I141" s="258"/>
      <c r="J141" s="258"/>
    </row>
    <row r="142" spans="1:10" ht="15.75" customHeight="1">
      <c r="A142" s="258" t="s">
        <v>115</v>
      </c>
      <c r="B142" s="259" t="s">
        <v>11613</v>
      </c>
      <c r="C142" s="258"/>
      <c r="D142" s="258"/>
      <c r="E142" s="258"/>
      <c r="F142" s="258"/>
      <c r="G142" s="258"/>
      <c r="H142" s="258"/>
      <c r="I142" s="258"/>
      <c r="J142" s="258"/>
    </row>
    <row r="143" spans="1:10" ht="15.75" customHeight="1">
      <c r="A143" s="258" t="s">
        <v>202</v>
      </c>
      <c r="B143" s="259" t="s">
        <v>1274</v>
      </c>
      <c r="C143" s="258"/>
      <c r="D143" s="258"/>
      <c r="E143" s="258"/>
      <c r="F143" s="258"/>
      <c r="G143" s="258"/>
      <c r="H143" s="258"/>
      <c r="I143" s="258"/>
      <c r="J143" s="258"/>
    </row>
    <row r="144" spans="1:10" ht="15.75" customHeight="1">
      <c r="A144" s="258" t="s">
        <v>358</v>
      </c>
      <c r="B144" s="259" t="s">
        <v>2027</v>
      </c>
      <c r="C144" s="258"/>
      <c r="D144" s="258"/>
      <c r="E144" s="258"/>
      <c r="F144" s="258"/>
      <c r="G144" s="258"/>
      <c r="H144" s="258"/>
      <c r="I144" s="258"/>
      <c r="J144" s="258"/>
    </row>
    <row r="145" spans="1:10" ht="15.75" customHeight="1">
      <c r="A145" s="258" t="s">
        <v>122</v>
      </c>
      <c r="B145" s="259" t="s">
        <v>877</v>
      </c>
      <c r="C145" s="258"/>
      <c r="D145" s="258"/>
      <c r="E145" s="258"/>
      <c r="F145" s="258"/>
      <c r="G145" s="258"/>
      <c r="H145" s="258"/>
      <c r="I145" s="258"/>
      <c r="J145" s="258"/>
    </row>
    <row r="146" spans="1:10" ht="15.75" customHeight="1">
      <c r="A146" s="258" t="s">
        <v>77</v>
      </c>
      <c r="B146" s="259" t="s">
        <v>556</v>
      </c>
      <c r="C146" s="258"/>
      <c r="D146" s="258"/>
      <c r="E146" s="258"/>
      <c r="F146" s="258"/>
      <c r="G146" s="258"/>
      <c r="H146" s="258"/>
      <c r="I146" s="258"/>
      <c r="J146" s="258"/>
    </row>
    <row r="147" spans="1:10" ht="15.75" customHeight="1">
      <c r="A147" s="258" t="s">
        <v>162</v>
      </c>
      <c r="B147" s="259" t="s">
        <v>9601</v>
      </c>
      <c r="C147" s="258"/>
      <c r="D147" s="258"/>
      <c r="E147" s="258"/>
      <c r="F147" s="258"/>
      <c r="G147" s="258"/>
      <c r="H147" s="258"/>
      <c r="I147" s="258"/>
      <c r="J147" s="258"/>
    </row>
    <row r="148" spans="1:10" ht="15.75" customHeight="1">
      <c r="A148" s="258" t="s">
        <v>264</v>
      </c>
      <c r="B148" s="259" t="s">
        <v>4121</v>
      </c>
      <c r="C148" s="258"/>
      <c r="D148" s="258"/>
      <c r="E148" s="258"/>
      <c r="F148" s="258"/>
      <c r="G148" s="258"/>
      <c r="H148" s="258"/>
      <c r="I148" s="258"/>
      <c r="J148" s="258"/>
    </row>
    <row r="149" spans="1:10" ht="15.75" customHeight="1">
      <c r="A149" s="239" t="s">
        <v>86</v>
      </c>
      <c r="B149" s="256" t="s">
        <v>11619</v>
      </c>
      <c r="C149" s="239"/>
      <c r="D149" s="239"/>
      <c r="E149" s="239"/>
      <c r="F149" s="239"/>
      <c r="G149" s="239"/>
      <c r="H149" s="239"/>
      <c r="I149" s="239"/>
      <c r="J149" s="239"/>
    </row>
    <row r="150" spans="1:10" ht="15.75" customHeight="1">
      <c r="A150" s="258" t="s">
        <v>195</v>
      </c>
      <c r="B150" s="259" t="s">
        <v>1230</v>
      </c>
      <c r="C150" s="258"/>
      <c r="D150" s="258"/>
      <c r="E150" s="258"/>
      <c r="F150" s="258"/>
      <c r="G150" s="258"/>
      <c r="H150" s="258"/>
      <c r="I150" s="258"/>
      <c r="J150" s="258"/>
    </row>
    <row r="151" spans="1:10" ht="15.75" customHeight="1">
      <c r="A151" s="224" t="s">
        <v>4151</v>
      </c>
      <c r="B151" s="254" t="s">
        <v>4159</v>
      </c>
      <c r="C151" s="252"/>
      <c r="D151" s="252"/>
      <c r="E151" s="252"/>
      <c r="F151" s="224"/>
      <c r="G151" s="224"/>
      <c r="H151" s="224"/>
      <c r="I151" s="224"/>
      <c r="J151" s="224"/>
    </row>
    <row r="152" spans="1:10" ht="15.75" customHeight="1">
      <c r="A152" s="258" t="s">
        <v>271</v>
      </c>
      <c r="B152" s="259" t="s">
        <v>4148</v>
      </c>
      <c r="C152" s="252"/>
      <c r="D152" s="252"/>
      <c r="E152" s="252"/>
      <c r="F152" s="219"/>
      <c r="G152" s="219"/>
      <c r="H152" s="219"/>
      <c r="I152" s="219"/>
      <c r="J152" s="219"/>
    </row>
    <row r="153" spans="1:10" ht="15.75" customHeight="1">
      <c r="A153" s="258" t="s">
        <v>107</v>
      </c>
      <c r="B153" s="259" t="s">
        <v>2865</v>
      </c>
      <c r="C153" s="258"/>
      <c r="D153" s="258"/>
      <c r="E153" s="258"/>
      <c r="F153" s="258"/>
      <c r="G153" s="258"/>
      <c r="H153" s="258"/>
      <c r="I153" s="258"/>
      <c r="J153" s="258"/>
    </row>
    <row r="154" spans="1:10" ht="15.75" customHeight="1">
      <c r="A154" s="258" t="s">
        <v>405</v>
      </c>
      <c r="B154" s="259" t="s">
        <v>10136</v>
      </c>
      <c r="C154" s="258"/>
      <c r="D154" s="258"/>
      <c r="E154" s="258"/>
      <c r="F154" s="258"/>
      <c r="G154" s="258"/>
      <c r="H154" s="258"/>
      <c r="I154" s="258"/>
      <c r="J154" s="258"/>
    </row>
    <row r="155" spans="1:10" ht="15.75" customHeight="1">
      <c r="A155" s="258" t="s">
        <v>364</v>
      </c>
      <c r="B155" s="259" t="s">
        <v>9797</v>
      </c>
      <c r="C155" s="258"/>
      <c r="D155" s="258"/>
      <c r="E155" s="258"/>
      <c r="F155" s="258"/>
      <c r="G155" s="258"/>
      <c r="H155" s="258"/>
      <c r="I155" s="258"/>
      <c r="J155" s="258"/>
    </row>
    <row r="156" spans="1:10" ht="15.75" customHeight="1">
      <c r="A156" s="258" t="s">
        <v>4189</v>
      </c>
      <c r="B156" s="259" t="s">
        <v>11621</v>
      </c>
      <c r="C156" s="252"/>
      <c r="D156" s="252"/>
      <c r="E156" s="252"/>
      <c r="F156" s="219"/>
      <c r="G156" s="219"/>
      <c r="H156" s="219"/>
      <c r="I156" s="219"/>
      <c r="J156" s="219"/>
    </row>
    <row r="157" spans="1:10" ht="15.75" customHeight="1">
      <c r="A157" s="258" t="s">
        <v>199</v>
      </c>
      <c r="B157" s="259" t="s">
        <v>11623</v>
      </c>
      <c r="C157" s="258"/>
      <c r="D157" s="258"/>
      <c r="E157" s="258"/>
      <c r="F157" s="258"/>
      <c r="G157" s="258"/>
      <c r="H157" s="258"/>
      <c r="I157" s="258"/>
      <c r="J157" s="258"/>
    </row>
    <row r="158" spans="1:10" ht="15.75" customHeight="1">
      <c r="A158" s="258" t="s">
        <v>4331</v>
      </c>
      <c r="B158" s="259" t="s">
        <v>4338</v>
      </c>
      <c r="C158" s="258"/>
      <c r="D158" s="258"/>
      <c r="E158" s="258"/>
      <c r="F158" s="258"/>
      <c r="G158" s="258"/>
      <c r="H158" s="258"/>
      <c r="I158" s="258"/>
      <c r="J158" s="258"/>
    </row>
    <row r="159" spans="1:10" ht="15.75" customHeight="1">
      <c r="A159" s="258" t="s">
        <v>322</v>
      </c>
      <c r="B159" s="259" t="s">
        <v>1786</v>
      </c>
      <c r="C159" s="258"/>
      <c r="D159" s="258"/>
      <c r="E159" s="258"/>
      <c r="F159" s="258"/>
      <c r="G159" s="258"/>
      <c r="H159" s="258"/>
      <c r="I159" s="258"/>
      <c r="J159" s="258"/>
    </row>
    <row r="160" spans="1:10" ht="15.75" customHeight="1">
      <c r="A160" s="258" t="s">
        <v>267</v>
      </c>
      <c r="B160" s="259" t="s">
        <v>1545</v>
      </c>
      <c r="C160" s="258"/>
      <c r="D160" s="258"/>
      <c r="E160" s="258"/>
      <c r="F160" s="258"/>
      <c r="G160" s="258"/>
      <c r="H160" s="258"/>
      <c r="I160" s="258"/>
      <c r="J160" s="258"/>
    </row>
    <row r="161" spans="1:10" ht="15.75" customHeight="1">
      <c r="A161" s="258" t="s">
        <v>8474</v>
      </c>
      <c r="B161" s="259" t="s">
        <v>8482</v>
      </c>
      <c r="C161" s="258"/>
      <c r="D161" s="258"/>
      <c r="E161" s="258"/>
      <c r="F161" s="258"/>
      <c r="G161" s="258"/>
      <c r="H161" s="258"/>
      <c r="I161" s="258"/>
      <c r="J161" s="258"/>
    </row>
    <row r="162" spans="1:10" ht="15.75" customHeight="1">
      <c r="A162" s="258" t="s">
        <v>410</v>
      </c>
      <c r="B162" s="259" t="s">
        <v>9981</v>
      </c>
      <c r="C162" s="258"/>
      <c r="D162" s="258"/>
      <c r="E162" s="258"/>
      <c r="F162" s="258"/>
      <c r="G162" s="258"/>
      <c r="H162" s="258"/>
      <c r="I162" s="258"/>
      <c r="J162" s="258"/>
    </row>
    <row r="163" spans="1:10" ht="15.75" customHeight="1">
      <c r="A163" s="258" t="s">
        <v>4447</v>
      </c>
      <c r="B163" s="259" t="s">
        <v>4454</v>
      </c>
      <c r="C163" s="258"/>
      <c r="D163" s="258"/>
      <c r="E163" s="258"/>
      <c r="F163" s="258"/>
      <c r="G163" s="258"/>
      <c r="H163" s="258"/>
      <c r="I163" s="258"/>
      <c r="J163" s="258"/>
    </row>
    <row r="164" spans="1:10" ht="15.75" customHeight="1">
      <c r="A164" s="219" t="s">
        <v>4466</v>
      </c>
      <c r="B164" s="251" t="s">
        <v>4473</v>
      </c>
      <c r="C164" s="252"/>
      <c r="D164" s="252"/>
      <c r="E164" s="252"/>
      <c r="F164" s="219"/>
      <c r="G164" s="219"/>
      <c r="H164" s="219"/>
      <c r="I164" s="219"/>
      <c r="J164" s="219"/>
    </row>
    <row r="165" spans="1:10" ht="15.75" customHeight="1">
      <c r="A165" s="258" t="s">
        <v>293</v>
      </c>
      <c r="B165" s="259" t="s">
        <v>11760</v>
      </c>
      <c r="C165" s="258"/>
      <c r="D165" s="258"/>
      <c r="E165" s="258"/>
      <c r="F165" s="258"/>
      <c r="G165" s="258"/>
      <c r="H165" s="258"/>
      <c r="I165" s="258"/>
      <c r="J165" s="258"/>
    </row>
    <row r="166" spans="1:10" ht="15.75" customHeight="1">
      <c r="A166" s="258" t="s">
        <v>295</v>
      </c>
      <c r="B166" s="259" t="s">
        <v>4506</v>
      </c>
      <c r="C166" s="258"/>
      <c r="D166" s="258"/>
      <c r="E166" s="258"/>
      <c r="F166" s="258"/>
      <c r="G166" s="258"/>
      <c r="H166" s="258"/>
      <c r="I166" s="258"/>
      <c r="J166" s="258"/>
    </row>
    <row r="167" spans="1:10" ht="15.75" customHeight="1">
      <c r="A167" s="239" t="s">
        <v>111</v>
      </c>
      <c r="B167" s="256" t="s">
        <v>1477</v>
      </c>
      <c r="C167" s="239"/>
      <c r="D167" s="239"/>
      <c r="E167" s="239"/>
      <c r="F167" s="239"/>
      <c r="G167" s="239"/>
      <c r="H167" s="239"/>
      <c r="I167" s="239"/>
      <c r="J167" s="239"/>
    </row>
    <row r="168" spans="1:10" ht="15.75" customHeight="1">
      <c r="A168" s="239" t="s">
        <v>140</v>
      </c>
      <c r="B168" s="256" t="s">
        <v>1477</v>
      </c>
      <c r="C168" s="239"/>
      <c r="D168" s="239"/>
      <c r="E168" s="239"/>
      <c r="F168" s="239"/>
      <c r="G168" s="239"/>
      <c r="H168" s="239"/>
      <c r="I168" s="239"/>
      <c r="J168" s="239"/>
    </row>
    <row r="169" spans="1:10" ht="15.75" customHeight="1">
      <c r="A169" s="239" t="s">
        <v>3268</v>
      </c>
      <c r="B169" s="256" t="s">
        <v>1477</v>
      </c>
      <c r="C169" s="239"/>
      <c r="D169" s="239"/>
      <c r="E169" s="239"/>
      <c r="F169" s="239"/>
      <c r="G169" s="239"/>
      <c r="H169" s="239"/>
      <c r="I169" s="239"/>
      <c r="J169" s="239"/>
    </row>
    <row r="170" spans="1:10" ht="15.75" customHeight="1">
      <c r="A170" s="239" t="s">
        <v>63</v>
      </c>
      <c r="B170" s="256" t="s">
        <v>2105</v>
      </c>
      <c r="C170" s="239"/>
      <c r="D170" s="239"/>
      <c r="E170" s="239"/>
      <c r="F170" s="239"/>
      <c r="G170" s="239"/>
      <c r="H170" s="239"/>
      <c r="I170" s="239"/>
      <c r="J170" s="239"/>
    </row>
    <row r="171" spans="1:10" ht="15.75" customHeight="1">
      <c r="A171" s="258" t="s">
        <v>2463</v>
      </c>
      <c r="B171" s="259" t="s">
        <v>2470</v>
      </c>
      <c r="C171" s="258"/>
      <c r="D171" s="258"/>
      <c r="E171" s="258"/>
      <c r="F171" s="258"/>
      <c r="G171" s="258"/>
      <c r="H171" s="258"/>
      <c r="I171" s="258"/>
      <c r="J171" s="258"/>
    </row>
    <row r="172" spans="1:10" ht="15.75" customHeight="1">
      <c r="A172" s="239" t="s">
        <v>304</v>
      </c>
      <c r="B172" s="256" t="s">
        <v>9530</v>
      </c>
      <c r="C172" s="239"/>
      <c r="D172" s="239"/>
      <c r="E172" s="239"/>
      <c r="F172" s="239"/>
      <c r="G172" s="239"/>
      <c r="H172" s="239"/>
      <c r="I172" s="239"/>
      <c r="J172" s="239"/>
    </row>
    <row r="173" spans="1:10" ht="15.75" customHeight="1">
      <c r="A173" s="239" t="s">
        <v>9584</v>
      </c>
      <c r="B173" s="256" t="s">
        <v>9591</v>
      </c>
      <c r="C173" s="239"/>
      <c r="D173" s="239"/>
      <c r="E173" s="239"/>
      <c r="F173" s="239"/>
      <c r="G173" s="239"/>
      <c r="H173" s="239"/>
      <c r="I173" s="239"/>
      <c r="J173" s="239"/>
    </row>
    <row r="174" spans="1:10" ht="15.75" customHeight="1">
      <c r="A174" s="258" t="s">
        <v>3087</v>
      </c>
      <c r="B174" s="259" t="s">
        <v>3094</v>
      </c>
      <c r="C174" s="258"/>
      <c r="D174" s="258"/>
      <c r="E174" s="258"/>
      <c r="F174" s="258"/>
      <c r="G174" s="258"/>
      <c r="H174" s="258"/>
      <c r="I174" s="258"/>
      <c r="J174" s="258"/>
    </row>
    <row r="175" spans="1:10" ht="15.75" customHeight="1">
      <c r="A175" s="239" t="s">
        <v>3466</v>
      </c>
      <c r="B175" s="256" t="s">
        <v>3475</v>
      </c>
      <c r="C175" s="239"/>
      <c r="D175" s="239"/>
      <c r="E175" s="239"/>
      <c r="F175" s="239"/>
      <c r="G175" s="239"/>
      <c r="H175" s="239"/>
      <c r="I175" s="239"/>
      <c r="J175" s="239"/>
    </row>
    <row r="176" spans="1:10" ht="15.75" customHeight="1">
      <c r="A176" s="258" t="s">
        <v>9294</v>
      </c>
      <c r="B176" s="259" t="s">
        <v>9302</v>
      </c>
      <c r="C176" s="258"/>
      <c r="D176" s="258"/>
      <c r="E176" s="258"/>
      <c r="F176" s="258"/>
      <c r="G176" s="258"/>
      <c r="H176" s="258"/>
      <c r="I176" s="258"/>
      <c r="J176" s="258"/>
    </row>
    <row r="177" spans="1:10" ht="15.75" customHeight="1">
      <c r="A177" s="239" t="s">
        <v>373</v>
      </c>
      <c r="B177" s="256" t="s">
        <v>10008</v>
      </c>
      <c r="C177" s="239"/>
      <c r="D177" s="239"/>
      <c r="E177" s="239"/>
      <c r="F177" s="239"/>
      <c r="G177" s="239"/>
      <c r="H177" s="239"/>
      <c r="I177" s="239"/>
      <c r="J177" s="239"/>
    </row>
    <row r="178" spans="1:10" ht="15.75" customHeight="1">
      <c r="A178" s="239" t="s">
        <v>10931</v>
      </c>
      <c r="B178" s="256" t="s">
        <v>2260</v>
      </c>
      <c r="C178" s="239"/>
      <c r="D178" s="239"/>
      <c r="E178" s="239"/>
      <c r="F178" s="239"/>
      <c r="G178" s="239"/>
      <c r="H178" s="239"/>
      <c r="I178" s="239"/>
      <c r="J178" s="239"/>
    </row>
    <row r="179" spans="1:10" ht="15.75" customHeight="1">
      <c r="A179" s="239" t="s">
        <v>5677</v>
      </c>
      <c r="B179" s="256" t="s">
        <v>11633</v>
      </c>
      <c r="C179" s="239"/>
      <c r="D179" s="239"/>
      <c r="E179" s="239"/>
      <c r="F179" s="239"/>
      <c r="G179" s="239"/>
      <c r="H179" s="239"/>
      <c r="I179" s="239"/>
      <c r="J179" s="239"/>
    </row>
    <row r="180" spans="1:10" ht="15.75" customHeight="1">
      <c r="A180" s="258" t="s">
        <v>8831</v>
      </c>
      <c r="B180" s="259" t="s">
        <v>8839</v>
      </c>
      <c r="C180" s="258"/>
      <c r="D180" s="258"/>
      <c r="E180" s="258"/>
      <c r="F180" s="258"/>
      <c r="G180" s="258"/>
      <c r="H180" s="258"/>
      <c r="I180" s="258"/>
      <c r="J180" s="258"/>
    </row>
    <row r="181" spans="1:10" ht="15.75" customHeight="1">
      <c r="A181" s="258" t="s">
        <v>314</v>
      </c>
      <c r="B181" s="259" t="s">
        <v>11640</v>
      </c>
      <c r="C181" s="258"/>
      <c r="D181" s="258"/>
      <c r="E181" s="258"/>
      <c r="F181" s="258"/>
      <c r="G181" s="258"/>
      <c r="H181" s="258"/>
      <c r="I181" s="258"/>
      <c r="J181" s="258"/>
    </row>
    <row r="182" spans="1:10" ht="15.75" customHeight="1">
      <c r="A182" s="219" t="s">
        <v>231</v>
      </c>
      <c r="B182" s="251" t="s">
        <v>1376</v>
      </c>
      <c r="C182" s="219"/>
      <c r="D182" s="219"/>
      <c r="E182" s="219"/>
      <c r="F182" s="219"/>
      <c r="G182" s="219"/>
      <c r="H182" s="219"/>
      <c r="I182" s="219"/>
      <c r="J182" s="219"/>
    </row>
    <row r="183" spans="1:10" ht="15.75" customHeight="1">
      <c r="A183" s="224" t="s">
        <v>345</v>
      </c>
      <c r="B183" s="254" t="s">
        <v>1977</v>
      </c>
      <c r="C183" s="224"/>
      <c r="D183" s="224"/>
      <c r="E183" s="224"/>
      <c r="F183" s="224"/>
      <c r="G183" s="224"/>
      <c r="H183" s="224"/>
      <c r="I183" s="224"/>
      <c r="J183" s="224"/>
    </row>
    <row r="184" spans="1:10" ht="15.75" customHeight="1">
      <c r="A184" s="239" t="s">
        <v>133</v>
      </c>
      <c r="B184" s="256" t="s">
        <v>946</v>
      </c>
      <c r="C184" s="239"/>
      <c r="D184" s="239"/>
      <c r="E184" s="239"/>
      <c r="F184" s="239"/>
      <c r="G184" s="239"/>
      <c r="H184" s="239"/>
      <c r="I184" s="239"/>
      <c r="J184" s="239"/>
    </row>
    <row r="185" spans="1:10" ht="15.75" customHeight="1">
      <c r="A185" s="258" t="s">
        <v>145</v>
      </c>
      <c r="B185" s="259" t="s">
        <v>992</v>
      </c>
      <c r="C185" s="258"/>
      <c r="D185" s="258"/>
      <c r="E185" s="258"/>
      <c r="F185" s="258"/>
      <c r="G185" s="258"/>
      <c r="H185" s="258"/>
      <c r="I185" s="258"/>
      <c r="J185" s="258"/>
    </row>
    <row r="186" spans="1:10" ht="15.75" customHeight="1">
      <c r="A186" s="258" t="s">
        <v>94</v>
      </c>
      <c r="B186" s="259" t="s">
        <v>11644</v>
      </c>
      <c r="C186" s="258"/>
      <c r="D186" s="258"/>
      <c r="E186" s="258"/>
      <c r="F186" s="258"/>
      <c r="G186" s="258"/>
      <c r="H186" s="258"/>
      <c r="I186" s="258"/>
      <c r="J186" s="258"/>
    </row>
    <row r="187" spans="1:10" ht="15.75" customHeight="1">
      <c r="A187" s="239" t="s">
        <v>84</v>
      </c>
      <c r="B187" s="256" t="s">
        <v>11645</v>
      </c>
      <c r="C187" s="239"/>
      <c r="D187" s="239"/>
      <c r="E187" s="239"/>
      <c r="F187" s="239"/>
      <c r="G187" s="239"/>
      <c r="H187" s="239"/>
      <c r="I187" s="239"/>
      <c r="J187" s="239"/>
    </row>
    <row r="188" spans="1:10" ht="15.75" customHeight="1">
      <c r="A188" s="258" t="s">
        <v>337</v>
      </c>
      <c r="B188" s="259" t="s">
        <v>11646</v>
      </c>
      <c r="C188" s="258"/>
      <c r="D188" s="258"/>
      <c r="E188" s="258"/>
      <c r="F188" s="258"/>
      <c r="G188" s="258"/>
      <c r="H188" s="258"/>
      <c r="I188" s="258"/>
      <c r="J188" s="258"/>
    </row>
    <row r="189" spans="1:10" ht="15.75" customHeight="1">
      <c r="A189" s="265" t="s">
        <v>159</v>
      </c>
      <c r="B189" s="266" t="s">
        <v>3557</v>
      </c>
      <c r="C189" s="265"/>
      <c r="D189" s="265"/>
      <c r="E189" s="265"/>
      <c r="F189" s="265"/>
      <c r="G189" s="265"/>
      <c r="H189" s="265"/>
      <c r="I189" s="265"/>
      <c r="J189" s="265"/>
    </row>
    <row r="190" spans="1:10" ht="15.75" customHeight="1">
      <c r="A190" s="258" t="s">
        <v>282</v>
      </c>
      <c r="B190" s="259" t="s">
        <v>11647</v>
      </c>
      <c r="C190" s="258"/>
      <c r="D190" s="258"/>
      <c r="E190" s="258"/>
      <c r="F190" s="258"/>
      <c r="G190" s="258"/>
      <c r="H190" s="258"/>
      <c r="I190" s="258"/>
      <c r="J190" s="258"/>
    </row>
    <row r="191" spans="1:10" ht="15.75" customHeight="1">
      <c r="A191" s="239" t="s">
        <v>152</v>
      </c>
      <c r="B191" s="256" t="s">
        <v>1029</v>
      </c>
      <c r="C191" s="239"/>
      <c r="D191" s="239"/>
      <c r="E191" s="239"/>
      <c r="F191" s="239"/>
      <c r="G191" s="239"/>
      <c r="H191" s="239"/>
      <c r="I191" s="239"/>
      <c r="J191" s="239"/>
    </row>
    <row r="192" spans="1:10" ht="15.75" customHeight="1">
      <c r="A192" s="258" t="s">
        <v>377</v>
      </c>
      <c r="B192" s="259" t="s">
        <v>9859</v>
      </c>
      <c r="C192" s="258"/>
      <c r="D192" s="258"/>
      <c r="E192" s="258"/>
      <c r="F192" s="258"/>
      <c r="G192" s="258"/>
      <c r="H192" s="258"/>
      <c r="I192" s="258"/>
      <c r="J192" s="258"/>
    </row>
    <row r="193" spans="1:10" ht="15.75" customHeight="1">
      <c r="A193" s="258" t="s">
        <v>242</v>
      </c>
      <c r="B193" s="259" t="s">
        <v>10353</v>
      </c>
      <c r="C193" s="258"/>
      <c r="D193" s="258"/>
      <c r="E193" s="258"/>
      <c r="F193" s="258"/>
      <c r="G193" s="258"/>
      <c r="H193" s="258"/>
      <c r="I193" s="258"/>
      <c r="J193" s="258"/>
    </row>
    <row r="194" spans="1:10" ht="15.75" customHeight="1">
      <c r="A194" s="239" t="s">
        <v>87</v>
      </c>
      <c r="B194" s="256" t="s">
        <v>11653</v>
      </c>
      <c r="C194" s="239"/>
      <c r="D194" s="239"/>
      <c r="E194" s="239"/>
      <c r="F194" s="239"/>
      <c r="G194" s="239"/>
      <c r="H194" s="239"/>
      <c r="I194" s="239"/>
      <c r="J194" s="239"/>
    </row>
    <row r="195" spans="1:10" ht="15.75" customHeight="1">
      <c r="A195" s="239" t="s">
        <v>245</v>
      </c>
      <c r="B195" s="256" t="s">
        <v>11656</v>
      </c>
      <c r="C195" s="239"/>
      <c r="D195" s="239"/>
      <c r="E195" s="239"/>
      <c r="F195" s="239"/>
      <c r="G195" s="239"/>
      <c r="H195" s="239"/>
      <c r="I195" s="239"/>
      <c r="J195" s="239"/>
    </row>
    <row r="196" spans="1:10" ht="15.75" customHeight="1">
      <c r="A196" s="258" t="s">
        <v>196</v>
      </c>
      <c r="B196" s="259" t="s">
        <v>3789</v>
      </c>
      <c r="C196" s="258"/>
      <c r="D196" s="258"/>
      <c r="E196" s="258"/>
      <c r="F196" s="258"/>
      <c r="G196" s="258"/>
      <c r="H196" s="258"/>
      <c r="I196" s="258"/>
      <c r="J196" s="258"/>
    </row>
    <row r="197" spans="1:10" ht="15.75" customHeight="1">
      <c r="A197" s="258" t="s">
        <v>401</v>
      </c>
      <c r="B197" s="259" t="s">
        <v>10119</v>
      </c>
      <c r="C197" s="258"/>
      <c r="D197" s="258"/>
      <c r="E197" s="258"/>
      <c r="F197" s="258"/>
      <c r="G197" s="258"/>
      <c r="H197" s="258"/>
      <c r="I197" s="258"/>
      <c r="J197" s="258"/>
    </row>
    <row r="198" spans="1:10" ht="15.75" customHeight="1">
      <c r="A198" s="239" t="s">
        <v>246</v>
      </c>
      <c r="B198" s="256" t="s">
        <v>11659</v>
      </c>
      <c r="C198" s="239"/>
      <c r="D198" s="239"/>
      <c r="E198" s="239"/>
      <c r="F198" s="239"/>
      <c r="G198" s="239"/>
      <c r="H198" s="239"/>
      <c r="I198" s="239"/>
      <c r="J198" s="239"/>
    </row>
    <row r="199" spans="1:10" ht="15.75" customHeight="1">
      <c r="A199" s="258" t="s">
        <v>93</v>
      </c>
      <c r="B199" s="259" t="s">
        <v>11663</v>
      </c>
      <c r="C199" s="258"/>
      <c r="D199" s="258"/>
      <c r="E199" s="258"/>
      <c r="F199" s="258"/>
      <c r="G199" s="258"/>
      <c r="H199" s="258"/>
      <c r="I199" s="258"/>
      <c r="J199" s="258"/>
    </row>
    <row r="200" spans="1:10" ht="15.75" customHeight="1">
      <c r="A200" s="258" t="s">
        <v>9141</v>
      </c>
      <c r="B200" s="259" t="s">
        <v>9148</v>
      </c>
      <c r="C200" s="258"/>
      <c r="D200" s="258"/>
      <c r="E200" s="258"/>
      <c r="F200" s="258"/>
      <c r="G200" s="258"/>
      <c r="H200" s="258"/>
      <c r="I200" s="258"/>
      <c r="J200" s="258"/>
    </row>
    <row r="201" spans="1:10" ht="15.75" customHeight="1">
      <c r="A201" s="258" t="s">
        <v>312</v>
      </c>
      <c r="B201" s="259" t="s">
        <v>9664</v>
      </c>
      <c r="C201" s="258"/>
      <c r="D201" s="258"/>
      <c r="E201" s="258"/>
      <c r="F201" s="258"/>
      <c r="G201" s="258"/>
      <c r="H201" s="258"/>
      <c r="I201" s="258"/>
      <c r="J201" s="258"/>
    </row>
    <row r="202" spans="1:10" ht="15.75" customHeight="1">
      <c r="A202" s="258" t="s">
        <v>9769</v>
      </c>
      <c r="B202" s="259" t="s">
        <v>9774</v>
      </c>
      <c r="C202" s="258"/>
      <c r="D202" s="258"/>
      <c r="E202" s="258"/>
      <c r="F202" s="258"/>
      <c r="G202" s="258"/>
      <c r="H202" s="258"/>
      <c r="I202" s="258"/>
      <c r="J202" s="258"/>
    </row>
    <row r="203" spans="1:10" ht="15.75" customHeight="1">
      <c r="A203" s="239" t="s">
        <v>2750</v>
      </c>
      <c r="B203" s="256" t="s">
        <v>11667</v>
      </c>
      <c r="C203" s="239"/>
      <c r="D203" s="239"/>
      <c r="E203" s="239"/>
      <c r="F203" s="239"/>
      <c r="G203" s="239"/>
      <c r="H203" s="239"/>
      <c r="I203" s="239"/>
      <c r="J203" s="239"/>
    </row>
    <row r="204" spans="1:10" ht="15.75" customHeight="1">
      <c r="A204" s="258" t="s">
        <v>276</v>
      </c>
      <c r="B204" s="259" t="s">
        <v>11668</v>
      </c>
      <c r="C204" s="258"/>
      <c r="D204" s="258"/>
      <c r="E204" s="258"/>
      <c r="F204" s="258"/>
      <c r="G204" s="258"/>
      <c r="H204" s="258"/>
      <c r="I204" s="258"/>
      <c r="J204" s="258"/>
    </row>
    <row r="205" spans="1:10" ht="15.75" customHeight="1">
      <c r="A205" s="265" t="s">
        <v>2490</v>
      </c>
      <c r="B205" s="266" t="s">
        <v>2242</v>
      </c>
      <c r="C205" s="265"/>
      <c r="D205" s="265"/>
      <c r="E205" s="265"/>
      <c r="F205" s="265"/>
      <c r="G205" s="265"/>
      <c r="H205" s="265"/>
      <c r="I205" s="265"/>
      <c r="J205" s="265"/>
    </row>
    <row r="206" spans="1:10" ht="15.75" customHeight="1">
      <c r="A206" s="239" t="s">
        <v>278</v>
      </c>
      <c r="B206" s="256" t="s">
        <v>9419</v>
      </c>
      <c r="C206" s="239"/>
      <c r="D206" s="239"/>
      <c r="E206" s="239"/>
      <c r="F206" s="239"/>
      <c r="G206" s="239"/>
      <c r="H206" s="239"/>
      <c r="I206" s="239"/>
      <c r="J206" s="239"/>
    </row>
    <row r="207" spans="1:10" ht="15.75" customHeight="1">
      <c r="A207" s="258" t="s">
        <v>4374</v>
      </c>
      <c r="B207" s="259" t="s">
        <v>10856</v>
      </c>
      <c r="C207" s="224"/>
      <c r="D207" s="224"/>
      <c r="E207" s="224"/>
      <c r="F207" s="224"/>
      <c r="G207" s="224"/>
      <c r="H207" s="224"/>
      <c r="I207" s="224"/>
      <c r="J207" s="224"/>
    </row>
    <row r="208" spans="1:10" ht="15.75" customHeight="1">
      <c r="A208" s="258" t="s">
        <v>4484</v>
      </c>
      <c r="B208" s="259" t="s">
        <v>11671</v>
      </c>
      <c r="C208" s="258"/>
      <c r="D208" s="258"/>
      <c r="E208" s="258"/>
      <c r="F208" s="258"/>
      <c r="G208" s="258"/>
      <c r="H208" s="258"/>
      <c r="I208" s="258"/>
      <c r="J208" s="258"/>
    </row>
    <row r="209" spans="1:10" ht="15.75" customHeight="1">
      <c r="A209" s="239" t="s">
        <v>393</v>
      </c>
      <c r="B209" s="256" t="s">
        <v>11674</v>
      </c>
      <c r="C209" s="239"/>
      <c r="D209" s="239"/>
      <c r="E209" s="239"/>
      <c r="F209" s="239"/>
      <c r="G209" s="239"/>
      <c r="H209" s="239"/>
      <c r="I209" s="239"/>
      <c r="J209" s="239"/>
    </row>
    <row r="210" spans="1:10" ht="15.75" customHeight="1">
      <c r="A210" s="258" t="s">
        <v>9843</v>
      </c>
      <c r="B210" s="259" t="s">
        <v>9850</v>
      </c>
      <c r="C210" s="258"/>
      <c r="D210" s="258"/>
      <c r="E210" s="258"/>
      <c r="F210" s="258"/>
      <c r="G210" s="258"/>
      <c r="H210" s="258"/>
      <c r="I210" s="258"/>
      <c r="J210" s="258"/>
    </row>
    <row r="211" spans="1:10" ht="15.75" customHeight="1">
      <c r="A211" s="258" t="s">
        <v>9226</v>
      </c>
      <c r="B211" s="259" t="s">
        <v>9232</v>
      </c>
      <c r="C211" s="258"/>
      <c r="D211" s="258"/>
      <c r="E211" s="258"/>
      <c r="F211" s="258"/>
      <c r="G211" s="258"/>
      <c r="H211" s="258"/>
      <c r="I211" s="258"/>
      <c r="J211" s="258"/>
    </row>
    <row r="212" spans="1:10" ht="15.75" customHeight="1">
      <c r="A212" s="258" t="s">
        <v>8358</v>
      </c>
      <c r="B212" s="259" t="s">
        <v>8365</v>
      </c>
      <c r="C212" s="258"/>
      <c r="D212" s="258"/>
      <c r="E212" s="258"/>
      <c r="F212" s="258"/>
      <c r="G212" s="258"/>
      <c r="H212" s="258"/>
      <c r="I212" s="258"/>
      <c r="J212" s="258"/>
    </row>
    <row r="213" spans="1:10" ht="15.75" customHeight="1">
      <c r="A213" s="258" t="s">
        <v>4960</v>
      </c>
      <c r="B213" s="259" t="s">
        <v>4967</v>
      </c>
      <c r="C213" s="258"/>
      <c r="D213" s="258"/>
      <c r="E213" s="258"/>
      <c r="F213" s="258"/>
      <c r="G213" s="258"/>
      <c r="H213" s="258"/>
      <c r="I213" s="258"/>
      <c r="J213" s="258"/>
    </row>
    <row r="214" spans="1:10" ht="15.75" customHeight="1">
      <c r="A214" s="258" t="s">
        <v>5262</v>
      </c>
      <c r="B214" s="259" t="s">
        <v>5268</v>
      </c>
      <c r="C214" s="258"/>
      <c r="D214" s="258"/>
      <c r="E214" s="258"/>
      <c r="F214" s="258"/>
      <c r="G214" s="258"/>
      <c r="H214" s="258"/>
      <c r="I214" s="258"/>
      <c r="J214" s="258"/>
    </row>
    <row r="215" spans="1:10" ht="15.75" customHeight="1">
      <c r="A215" s="239" t="s">
        <v>307</v>
      </c>
      <c r="B215" s="256" t="s">
        <v>9427</v>
      </c>
      <c r="C215" s="239"/>
      <c r="D215" s="239"/>
      <c r="E215" s="239"/>
      <c r="F215" s="239"/>
      <c r="G215" s="239"/>
      <c r="H215" s="239"/>
      <c r="I215" s="239"/>
      <c r="J215" s="239"/>
    </row>
    <row r="216" spans="1:10" ht="15.75" customHeight="1">
      <c r="A216" s="239" t="s">
        <v>2174</v>
      </c>
      <c r="B216" s="256" t="s">
        <v>11686</v>
      </c>
      <c r="C216" s="239"/>
      <c r="D216" s="239"/>
      <c r="E216" s="239"/>
      <c r="F216" s="239"/>
      <c r="G216" s="239"/>
      <c r="H216" s="239"/>
      <c r="I216" s="239"/>
      <c r="J216" s="239"/>
    </row>
    <row r="217" spans="1:10" ht="15.75" customHeight="1">
      <c r="A217" s="258" t="s">
        <v>9934</v>
      </c>
      <c r="B217" s="259" t="s">
        <v>9941</v>
      </c>
      <c r="C217" s="258"/>
      <c r="D217" s="258"/>
      <c r="E217" s="258"/>
      <c r="F217" s="258"/>
      <c r="G217" s="258"/>
      <c r="H217" s="258"/>
      <c r="I217" s="258"/>
      <c r="J217" s="258"/>
    </row>
    <row r="218" spans="1:10" ht="15.75" customHeight="1">
      <c r="A218" s="239" t="s">
        <v>3367</v>
      </c>
      <c r="B218" s="256" t="s">
        <v>3374</v>
      </c>
      <c r="C218" s="239"/>
      <c r="D218" s="239"/>
      <c r="E218" s="239"/>
      <c r="F218" s="239"/>
      <c r="G218" s="239"/>
      <c r="H218" s="239"/>
      <c r="I218" s="239"/>
      <c r="J218" s="239"/>
    </row>
    <row r="219" spans="1:10" ht="15.75" customHeight="1">
      <c r="A219" s="258" t="s">
        <v>390</v>
      </c>
      <c r="B219" s="259" t="s">
        <v>11695</v>
      </c>
      <c r="C219" s="258"/>
      <c r="D219" s="258"/>
      <c r="E219" s="258"/>
      <c r="F219" s="258"/>
      <c r="G219" s="258"/>
      <c r="H219" s="258"/>
      <c r="I219" s="258"/>
      <c r="J219" s="258"/>
    </row>
    <row r="220" spans="1:10" ht="15.75" customHeight="1">
      <c r="A220" s="258" t="s">
        <v>9745</v>
      </c>
      <c r="B220" s="259" t="s">
        <v>9753</v>
      </c>
      <c r="C220" s="258"/>
      <c r="D220" s="258"/>
      <c r="E220" s="258"/>
      <c r="F220" s="258"/>
      <c r="G220" s="258"/>
      <c r="H220" s="258"/>
      <c r="I220" s="258"/>
      <c r="J220" s="258"/>
    </row>
    <row r="221" spans="1:10" ht="15.75" customHeight="1">
      <c r="A221" s="258" t="s">
        <v>300</v>
      </c>
      <c r="B221" s="259" t="s">
        <v>1679</v>
      </c>
      <c r="C221" s="258"/>
      <c r="D221" s="258"/>
      <c r="E221" s="258"/>
      <c r="F221" s="258"/>
      <c r="G221" s="258"/>
      <c r="H221" s="258"/>
      <c r="I221" s="258"/>
      <c r="J221" s="258"/>
    </row>
    <row r="222" spans="1:10" ht="15.75" customHeight="1">
      <c r="A222" s="258" t="s">
        <v>237</v>
      </c>
      <c r="B222" s="259" t="s">
        <v>1394</v>
      </c>
      <c r="C222" s="258"/>
      <c r="D222" s="258"/>
      <c r="E222" s="258"/>
      <c r="F222" s="258"/>
      <c r="G222" s="258"/>
      <c r="H222" s="258"/>
      <c r="I222" s="258"/>
      <c r="J222" s="258"/>
    </row>
    <row r="223" spans="1:10" ht="15.75" customHeight="1">
      <c r="A223" s="258" t="s">
        <v>148</v>
      </c>
      <c r="B223" s="259" t="s">
        <v>1001</v>
      </c>
      <c r="C223" s="258"/>
      <c r="D223" s="258"/>
      <c r="E223" s="258"/>
      <c r="F223" s="258"/>
      <c r="G223" s="258"/>
      <c r="H223" s="258"/>
      <c r="I223" s="258"/>
      <c r="J223" s="258"/>
    </row>
    <row r="224" spans="1:10" ht="15.75" customHeight="1">
      <c r="A224" s="258" t="s">
        <v>361</v>
      </c>
      <c r="B224" s="259" t="s">
        <v>2044</v>
      </c>
      <c r="C224" s="258"/>
      <c r="D224" s="258"/>
      <c r="E224" s="258"/>
      <c r="F224" s="258"/>
      <c r="G224" s="258"/>
      <c r="H224" s="258"/>
      <c r="I224" s="258"/>
      <c r="J224" s="258"/>
    </row>
    <row r="225" spans="1:10" ht="15.75" customHeight="1">
      <c r="A225" s="258" t="s">
        <v>78</v>
      </c>
      <c r="B225" s="259" t="s">
        <v>567</v>
      </c>
      <c r="C225" s="258"/>
      <c r="D225" s="258"/>
      <c r="E225" s="258"/>
      <c r="F225" s="258"/>
      <c r="G225" s="258"/>
      <c r="H225" s="258"/>
      <c r="I225" s="258"/>
      <c r="J225" s="258"/>
    </row>
    <row r="226" spans="1:10" ht="15.75" customHeight="1">
      <c r="A226" s="258" t="s">
        <v>369</v>
      </c>
      <c r="B226" s="259" t="s">
        <v>2079</v>
      </c>
      <c r="C226" s="258"/>
      <c r="D226" s="258"/>
      <c r="E226" s="258"/>
      <c r="F226" s="258"/>
      <c r="G226" s="258"/>
      <c r="H226" s="258"/>
      <c r="I226" s="258"/>
      <c r="J226" s="258"/>
    </row>
    <row r="227" spans="1:10" ht="15.75" customHeight="1">
      <c r="A227" s="239" t="s">
        <v>82</v>
      </c>
      <c r="B227" s="256" t="s">
        <v>595</v>
      </c>
      <c r="C227" s="239"/>
      <c r="D227" s="239"/>
      <c r="E227" s="239"/>
      <c r="F227" s="239"/>
      <c r="G227" s="239"/>
      <c r="H227" s="239"/>
      <c r="I227" s="239"/>
      <c r="J227" s="239"/>
    </row>
    <row r="228" spans="1:10" ht="15.75" customHeight="1">
      <c r="A228" s="239" t="s">
        <v>138</v>
      </c>
      <c r="B228" s="256" t="s">
        <v>965</v>
      </c>
      <c r="C228" s="239"/>
      <c r="D228" s="239"/>
      <c r="E228" s="239"/>
      <c r="F228" s="239"/>
      <c r="G228" s="239"/>
      <c r="H228" s="239"/>
      <c r="I228" s="239"/>
      <c r="J228" s="239"/>
    </row>
    <row r="229" spans="1:10" ht="15.75" customHeight="1">
      <c r="A229" s="239" t="s">
        <v>268</v>
      </c>
      <c r="B229" s="256" t="s">
        <v>1554</v>
      </c>
      <c r="C229" s="239"/>
      <c r="D229" s="239"/>
      <c r="E229" s="239"/>
      <c r="F229" s="239"/>
      <c r="G229" s="239"/>
      <c r="H229" s="239"/>
      <c r="I229" s="239"/>
      <c r="J229" s="239"/>
    </row>
    <row r="230" spans="1:10" ht="15.75" customHeight="1">
      <c r="A230" s="258" t="s">
        <v>174</v>
      </c>
      <c r="B230" s="259" t="s">
        <v>3690</v>
      </c>
      <c r="C230" s="258"/>
      <c r="D230" s="258"/>
      <c r="E230" s="258"/>
      <c r="F230" s="258"/>
      <c r="G230" s="258"/>
      <c r="H230" s="258"/>
      <c r="I230" s="258"/>
      <c r="J230" s="258"/>
    </row>
    <row r="231" spans="1:10" ht="15.75" customHeight="1">
      <c r="A231" s="258" t="s">
        <v>135</v>
      </c>
      <c r="B231" s="259" t="s">
        <v>11706</v>
      </c>
      <c r="C231" s="258"/>
      <c r="D231" s="258"/>
      <c r="E231" s="258"/>
      <c r="F231" s="258"/>
      <c r="G231" s="258"/>
      <c r="H231" s="258"/>
      <c r="I231" s="258"/>
      <c r="J231" s="258"/>
    </row>
    <row r="232" spans="1:10" ht="15.75" customHeight="1">
      <c r="A232" s="258" t="s">
        <v>184</v>
      </c>
      <c r="B232" s="259" t="s">
        <v>1171</v>
      </c>
      <c r="C232" s="258"/>
      <c r="D232" s="258"/>
      <c r="E232" s="258"/>
      <c r="F232" s="258"/>
      <c r="G232" s="258"/>
      <c r="H232" s="258"/>
      <c r="I232" s="258"/>
      <c r="J232" s="258"/>
    </row>
    <row r="233" spans="1:10" ht="15.75" customHeight="1">
      <c r="A233" s="224" t="s">
        <v>168</v>
      </c>
      <c r="B233" s="254" t="s">
        <v>3664</v>
      </c>
      <c r="C233" s="224"/>
      <c r="D233" s="224"/>
      <c r="E233" s="224"/>
      <c r="F233" s="224"/>
      <c r="G233" s="224"/>
      <c r="H233" s="224"/>
      <c r="I233" s="224"/>
      <c r="J233" s="224"/>
    </row>
    <row r="234" spans="1:10" ht="15.75" customHeight="1">
      <c r="A234" s="239" t="s">
        <v>352</v>
      </c>
      <c r="B234" s="256" t="s">
        <v>11709</v>
      </c>
      <c r="C234" s="239"/>
      <c r="D234" s="239"/>
      <c r="E234" s="239"/>
      <c r="F234" s="239"/>
      <c r="G234" s="239"/>
      <c r="H234" s="239"/>
      <c r="I234" s="239"/>
      <c r="J234" s="239"/>
    </row>
    <row r="235" spans="1:10" ht="15.75" customHeight="1">
      <c r="A235" s="258" t="s">
        <v>9701</v>
      </c>
      <c r="B235" s="259" t="s">
        <v>10838</v>
      </c>
      <c r="C235" s="258"/>
      <c r="D235" s="258"/>
      <c r="E235" s="258"/>
      <c r="F235" s="258"/>
      <c r="G235" s="258"/>
      <c r="H235" s="258"/>
      <c r="I235" s="258"/>
      <c r="J235" s="258"/>
    </row>
    <row r="236" spans="1:10" ht="15.75" customHeight="1">
      <c r="A236" s="258" t="s">
        <v>3880</v>
      </c>
      <c r="B236" s="259" t="s">
        <v>11710</v>
      </c>
      <c r="C236" s="258"/>
      <c r="D236" s="258"/>
      <c r="E236" s="258"/>
      <c r="F236" s="258"/>
      <c r="G236" s="258"/>
      <c r="H236" s="258"/>
      <c r="I236" s="258"/>
      <c r="J236" s="258"/>
    </row>
    <row r="237" spans="1:10" ht="15.75" customHeight="1">
      <c r="A237" s="239" t="s">
        <v>379</v>
      </c>
      <c r="B237" s="256" t="s">
        <v>11711</v>
      </c>
      <c r="C237" s="239"/>
      <c r="D237" s="239"/>
      <c r="E237" s="239"/>
      <c r="F237" s="239"/>
      <c r="G237" s="239"/>
      <c r="H237" s="239"/>
      <c r="I237" s="239"/>
      <c r="J237" s="239"/>
    </row>
    <row r="238" spans="1:10" ht="15.75" customHeight="1">
      <c r="A238" s="239" t="s">
        <v>246</v>
      </c>
      <c r="B238" s="256" t="s">
        <v>1441</v>
      </c>
      <c r="C238" s="239"/>
      <c r="D238" s="239"/>
      <c r="E238" s="239"/>
      <c r="F238" s="239"/>
      <c r="G238" s="239"/>
      <c r="H238" s="239"/>
      <c r="I238" s="239"/>
      <c r="J238" s="239"/>
    </row>
    <row r="239" spans="1:10" ht="15.75" customHeight="1">
      <c r="A239" s="258" t="s">
        <v>296</v>
      </c>
      <c r="B239" s="259" t="s">
        <v>11714</v>
      </c>
      <c r="C239" s="258"/>
      <c r="D239" s="258"/>
      <c r="E239" s="258"/>
      <c r="F239" s="258"/>
      <c r="G239" s="258"/>
      <c r="H239" s="258"/>
      <c r="I239" s="258"/>
      <c r="J239" s="258"/>
    </row>
    <row r="240" spans="1:10" ht="15.75" customHeight="1">
      <c r="A240" s="258" t="s">
        <v>188</v>
      </c>
      <c r="B240" s="259" t="s">
        <v>3758</v>
      </c>
      <c r="C240" s="258"/>
      <c r="D240" s="258"/>
      <c r="E240" s="258"/>
      <c r="F240" s="258"/>
      <c r="G240" s="258"/>
      <c r="H240" s="258"/>
      <c r="I240" s="258"/>
      <c r="J240" s="258"/>
    </row>
    <row r="241" spans="1:10" ht="15.75" customHeight="1">
      <c r="A241" s="239" t="s">
        <v>123</v>
      </c>
      <c r="B241" s="256" t="s">
        <v>9477</v>
      </c>
      <c r="C241" s="239"/>
      <c r="D241" s="239"/>
      <c r="E241" s="239"/>
      <c r="F241" s="239"/>
      <c r="G241" s="239"/>
      <c r="H241" s="239"/>
      <c r="I241" s="239"/>
      <c r="J241" s="239"/>
    </row>
    <row r="242" spans="1:10" ht="15.75" customHeight="1">
      <c r="A242" s="258" t="s">
        <v>4132</v>
      </c>
      <c r="B242" s="259" t="s">
        <v>4139</v>
      </c>
      <c r="C242" s="258"/>
      <c r="D242" s="258"/>
      <c r="E242" s="258"/>
      <c r="F242" s="258"/>
      <c r="G242" s="258"/>
      <c r="H242" s="258"/>
      <c r="I242" s="258"/>
      <c r="J242" s="258"/>
    </row>
    <row r="243" spans="1:10" ht="15.75" customHeight="1">
      <c r="A243" s="258" t="s">
        <v>9087</v>
      </c>
      <c r="B243" s="259" t="s">
        <v>11716</v>
      </c>
      <c r="C243" s="258"/>
      <c r="D243" s="258"/>
      <c r="E243" s="258"/>
      <c r="F243" s="258"/>
      <c r="G243" s="258"/>
      <c r="H243" s="258"/>
      <c r="I243" s="258"/>
      <c r="J243" s="258"/>
    </row>
    <row r="244" spans="1:10" ht="15.75" customHeight="1">
      <c r="A244" s="258" t="s">
        <v>4208</v>
      </c>
      <c r="B244" s="259" t="s">
        <v>4215</v>
      </c>
      <c r="C244" s="258"/>
      <c r="D244" s="258"/>
      <c r="E244" s="258"/>
      <c r="F244" s="258"/>
      <c r="G244" s="258"/>
      <c r="H244" s="258"/>
      <c r="I244" s="258"/>
      <c r="J244" s="258"/>
    </row>
    <row r="245" spans="1:10" ht="15.75" customHeight="1">
      <c r="A245" s="239" t="s">
        <v>79</v>
      </c>
      <c r="B245" s="256" t="s">
        <v>2387</v>
      </c>
      <c r="C245" s="239"/>
      <c r="D245" s="239"/>
      <c r="E245" s="239"/>
      <c r="F245" s="239"/>
      <c r="G245" s="239"/>
      <c r="H245" s="239"/>
      <c r="I245" s="239"/>
      <c r="J245" s="239"/>
    </row>
    <row r="246" spans="1:10" ht="15.75" customHeight="1">
      <c r="A246" s="258" t="s">
        <v>185</v>
      </c>
      <c r="B246" s="259" t="s">
        <v>11718</v>
      </c>
      <c r="C246" s="258"/>
      <c r="D246" s="258"/>
      <c r="E246" s="258"/>
      <c r="F246" s="258"/>
      <c r="G246" s="258"/>
      <c r="H246" s="258"/>
      <c r="I246" s="258"/>
      <c r="J246" s="258"/>
    </row>
    <row r="247" spans="1:10" ht="15.75" customHeight="1">
      <c r="A247" s="258" t="s">
        <v>661</v>
      </c>
      <c r="B247" s="259" t="s">
        <v>669</v>
      </c>
      <c r="C247" s="258"/>
      <c r="D247" s="258"/>
      <c r="E247" s="258"/>
      <c r="F247" s="258"/>
      <c r="G247" s="258"/>
      <c r="H247" s="258"/>
      <c r="I247" s="258"/>
      <c r="J247" s="258"/>
    </row>
    <row r="248" spans="1:10" ht="15.75" customHeight="1">
      <c r="A248" s="258" t="s">
        <v>4270</v>
      </c>
      <c r="B248" s="259" t="s">
        <v>11720</v>
      </c>
      <c r="C248" s="258"/>
      <c r="D248" s="258"/>
      <c r="E248" s="258"/>
      <c r="F248" s="258"/>
      <c r="G248" s="258"/>
      <c r="H248" s="258"/>
      <c r="I248" s="258"/>
      <c r="J248" s="258"/>
    </row>
    <row r="249" spans="1:10" ht="15.75" customHeight="1">
      <c r="A249" s="258" t="s">
        <v>8386</v>
      </c>
      <c r="B249" s="259" t="s">
        <v>11721</v>
      </c>
      <c r="C249" s="258"/>
      <c r="D249" s="258"/>
      <c r="E249" s="258"/>
      <c r="F249" s="258"/>
      <c r="G249" s="258"/>
      <c r="H249" s="258"/>
      <c r="I249" s="258"/>
      <c r="J249" s="258"/>
    </row>
    <row r="250" spans="1:10" ht="15.75" customHeight="1">
      <c r="A250" s="258" t="s">
        <v>279</v>
      </c>
      <c r="B250" s="259" t="s">
        <v>1240</v>
      </c>
      <c r="C250" s="258"/>
      <c r="D250" s="258"/>
      <c r="E250" s="258"/>
      <c r="F250" s="258"/>
      <c r="G250" s="258"/>
      <c r="H250" s="258"/>
      <c r="I250" s="258"/>
      <c r="J250" s="258"/>
    </row>
    <row r="251" spans="1:10" ht="15.75" customHeight="1">
      <c r="A251" s="258" t="s">
        <v>8662</v>
      </c>
      <c r="B251" s="259" t="s">
        <v>8669</v>
      </c>
      <c r="C251" s="258"/>
      <c r="D251" s="258"/>
      <c r="E251" s="258"/>
      <c r="F251" s="258"/>
      <c r="G251" s="258"/>
      <c r="H251" s="258"/>
      <c r="I251" s="258"/>
      <c r="J251" s="258"/>
    </row>
    <row r="252" spans="1:10" ht="15.75" customHeight="1">
      <c r="A252" s="258" t="s">
        <v>9899</v>
      </c>
      <c r="B252" s="259" t="s">
        <v>9907</v>
      </c>
      <c r="C252" s="258"/>
      <c r="D252" s="258"/>
      <c r="E252" s="258"/>
      <c r="F252" s="258"/>
      <c r="G252" s="258"/>
      <c r="H252" s="258"/>
      <c r="I252" s="258"/>
      <c r="J252" s="258"/>
    </row>
    <row r="253" spans="1:10" ht="15.75" customHeight="1">
      <c r="A253" s="258" t="s">
        <v>9186</v>
      </c>
      <c r="B253" s="259" t="s">
        <v>11723</v>
      </c>
      <c r="C253" s="258"/>
      <c r="D253" s="258"/>
      <c r="E253" s="258"/>
      <c r="F253" s="258"/>
      <c r="G253" s="258"/>
      <c r="H253" s="258"/>
      <c r="I253" s="258"/>
      <c r="J253" s="258"/>
    </row>
    <row r="254" spans="1:10" ht="15.75" customHeight="1">
      <c r="A254" s="239" t="s">
        <v>290</v>
      </c>
      <c r="B254" s="256" t="s">
        <v>9445</v>
      </c>
      <c r="C254" s="239"/>
      <c r="D254" s="239"/>
      <c r="E254" s="239"/>
      <c r="F254" s="239"/>
      <c r="G254" s="239"/>
      <c r="H254" s="239"/>
      <c r="I254" s="239"/>
      <c r="J254" s="239"/>
    </row>
    <row r="255" spans="1:10" ht="15.75" customHeight="1">
      <c r="A255" s="258" t="s">
        <v>8910</v>
      </c>
      <c r="B255" s="259" t="s">
        <v>8916</v>
      </c>
      <c r="C255" s="258"/>
      <c r="D255" s="258"/>
      <c r="E255" s="258"/>
      <c r="F255" s="258"/>
      <c r="G255" s="258"/>
      <c r="H255" s="258"/>
      <c r="I255" s="258"/>
      <c r="J255" s="258"/>
    </row>
    <row r="256" spans="1:10" ht="15.75" customHeight="1">
      <c r="A256" s="258" t="s">
        <v>153</v>
      </c>
      <c r="B256" s="259" t="s">
        <v>11725</v>
      </c>
      <c r="C256" s="258"/>
      <c r="D256" s="258"/>
      <c r="E256" s="258"/>
      <c r="F256" s="258"/>
      <c r="G256" s="258"/>
      <c r="H256" s="258"/>
      <c r="I256" s="258"/>
      <c r="J256" s="258"/>
    </row>
    <row r="257" spans="1:10" ht="15.75" customHeight="1">
      <c r="A257" s="258" t="s">
        <v>4793</v>
      </c>
      <c r="B257" s="259" t="s">
        <v>11727</v>
      </c>
      <c r="C257" s="258"/>
      <c r="D257" s="258"/>
      <c r="E257" s="258"/>
      <c r="F257" s="258"/>
      <c r="G257" s="258"/>
      <c r="H257" s="258"/>
      <c r="I257" s="258"/>
      <c r="J257" s="258"/>
    </row>
    <row r="258" spans="1:10" ht="15.75" customHeight="1">
      <c r="A258" s="258" t="s">
        <v>9882</v>
      </c>
      <c r="B258" s="259" t="s">
        <v>9889</v>
      </c>
      <c r="C258" s="258"/>
      <c r="D258" s="258"/>
      <c r="E258" s="258"/>
      <c r="F258" s="258"/>
      <c r="G258" s="258"/>
      <c r="H258" s="258"/>
      <c r="I258" s="258"/>
      <c r="J258" s="258"/>
    </row>
    <row r="259" spans="1:10" ht="15.75" customHeight="1">
      <c r="A259" s="258" t="s">
        <v>4526</v>
      </c>
      <c r="B259" s="259" t="s">
        <v>4533</v>
      </c>
      <c r="C259" s="258"/>
      <c r="D259" s="258"/>
      <c r="E259" s="258"/>
      <c r="F259" s="258"/>
      <c r="G259" s="258"/>
      <c r="H259" s="258"/>
      <c r="I259" s="258"/>
      <c r="J259" s="258"/>
    </row>
    <row r="260" spans="1:10" ht="15.75" customHeight="1">
      <c r="A260" s="258" t="s">
        <v>76</v>
      </c>
      <c r="B260" s="259" t="s">
        <v>536</v>
      </c>
      <c r="C260" s="258"/>
      <c r="D260" s="258"/>
      <c r="E260" s="258"/>
      <c r="F260" s="258"/>
      <c r="G260" s="258"/>
      <c r="H260" s="258"/>
      <c r="I260" s="258"/>
      <c r="J260" s="258"/>
    </row>
    <row r="261" spans="1:10" ht="15.75" customHeight="1">
      <c r="A261" s="239" t="s">
        <v>2235</v>
      </c>
      <c r="B261" s="256" t="s">
        <v>2242</v>
      </c>
      <c r="C261" s="239"/>
      <c r="D261" s="239"/>
      <c r="E261" s="239"/>
      <c r="F261" s="239"/>
      <c r="G261" s="239"/>
      <c r="H261" s="239"/>
      <c r="I261" s="239"/>
      <c r="J261" s="239"/>
    </row>
    <row r="262" spans="1:10" ht="15.75" customHeight="1">
      <c r="A262" s="239" t="s">
        <v>9612</v>
      </c>
      <c r="B262" s="256" t="s">
        <v>9620</v>
      </c>
      <c r="C262" s="239"/>
      <c r="D262" s="239"/>
      <c r="E262" s="239"/>
      <c r="F262" s="239"/>
      <c r="G262" s="239"/>
      <c r="H262" s="239"/>
      <c r="I262" s="239"/>
      <c r="J262" s="239"/>
    </row>
    <row r="263" spans="1:10" ht="15.75" customHeight="1">
      <c r="A263" s="258" t="s">
        <v>9825</v>
      </c>
      <c r="B263" s="259" t="s">
        <v>9832</v>
      </c>
      <c r="C263" s="258"/>
      <c r="D263" s="258"/>
      <c r="E263" s="258"/>
      <c r="F263" s="258"/>
      <c r="G263" s="258"/>
      <c r="H263" s="258"/>
      <c r="I263" s="258"/>
      <c r="J263" s="258"/>
    </row>
    <row r="264" spans="1:10" ht="15.75" customHeight="1">
      <c r="A264" s="219" t="s">
        <v>117</v>
      </c>
      <c r="B264" s="251" t="s">
        <v>841</v>
      </c>
      <c r="C264" s="219"/>
      <c r="D264" s="219"/>
      <c r="E264" s="219"/>
      <c r="F264" s="219"/>
      <c r="G264" s="219"/>
      <c r="H264" s="219"/>
      <c r="I264" s="219"/>
      <c r="J264" s="219"/>
    </row>
    <row r="265" spans="1:10" ht="15.75" customHeight="1">
      <c r="A265" s="239" t="s">
        <v>3560</v>
      </c>
      <c r="B265" s="256" t="s">
        <v>2341</v>
      </c>
      <c r="C265" s="239"/>
      <c r="D265" s="239"/>
      <c r="E265" s="239"/>
      <c r="F265" s="239"/>
      <c r="G265" s="239"/>
      <c r="H265" s="239"/>
      <c r="I265" s="239"/>
      <c r="J265" s="239"/>
    </row>
    <row r="266" spans="1:10" ht="15.75" customHeight="1">
      <c r="A266" s="239" t="s">
        <v>2203</v>
      </c>
      <c r="B266" s="256" t="s">
        <v>11734</v>
      </c>
      <c r="C266" s="239"/>
      <c r="D266" s="239"/>
      <c r="E266" s="239"/>
      <c r="F266" s="239"/>
      <c r="G266" s="239"/>
      <c r="H266" s="239"/>
      <c r="I266" s="239"/>
      <c r="J266" s="239"/>
    </row>
    <row r="267" spans="1:10" ht="15.75" customHeight="1">
      <c r="A267" s="258" t="s">
        <v>8695</v>
      </c>
      <c r="B267" s="259" t="s">
        <v>11735</v>
      </c>
      <c r="C267" s="258"/>
      <c r="D267" s="258"/>
      <c r="E267" s="258"/>
      <c r="F267" s="258"/>
      <c r="G267" s="258"/>
      <c r="H267" s="258"/>
      <c r="I267" s="258"/>
      <c r="J267" s="258"/>
    </row>
    <row r="268" spans="1:10" ht="15.75" customHeight="1">
      <c r="A268" s="239" t="s">
        <v>9051</v>
      </c>
      <c r="B268" s="256" t="s">
        <v>1477</v>
      </c>
      <c r="C268" s="239"/>
      <c r="D268" s="239"/>
      <c r="E268" s="239"/>
      <c r="F268" s="239"/>
      <c r="G268" s="239"/>
      <c r="H268" s="239"/>
      <c r="I268" s="239"/>
      <c r="J268" s="239"/>
    </row>
    <row r="269" spans="1:10" ht="15.75" customHeight="1">
      <c r="A269" s="258" t="s">
        <v>348</v>
      </c>
      <c r="B269" s="259" t="s">
        <v>2003</v>
      </c>
      <c r="C269" s="258"/>
      <c r="D269" s="258"/>
      <c r="E269" s="258"/>
      <c r="F269" s="258"/>
      <c r="G269" s="258"/>
      <c r="H269" s="258"/>
      <c r="I269" s="258"/>
      <c r="J269" s="258"/>
    </row>
    <row r="270" spans="1:10" ht="15.75" customHeight="1">
      <c r="A270" s="258" t="s">
        <v>224</v>
      </c>
      <c r="B270" s="259" t="s">
        <v>1353</v>
      </c>
      <c r="C270" s="258"/>
      <c r="D270" s="258"/>
      <c r="E270" s="258"/>
      <c r="F270" s="258"/>
      <c r="G270" s="258"/>
      <c r="H270" s="258"/>
      <c r="I270" s="258"/>
      <c r="J270" s="258"/>
    </row>
    <row r="271" spans="1:10" ht="15.75" customHeight="1">
      <c r="A271" s="258" t="s">
        <v>335</v>
      </c>
      <c r="B271" s="259" t="s">
        <v>1894</v>
      </c>
      <c r="C271" s="258"/>
      <c r="D271" s="258"/>
      <c r="E271" s="258"/>
      <c r="F271" s="258"/>
      <c r="G271" s="258"/>
      <c r="H271" s="258"/>
      <c r="I271" s="258"/>
      <c r="J271" s="258"/>
    </row>
    <row r="272" spans="1:10" ht="15.75" customHeight="1">
      <c r="A272" s="239" t="s">
        <v>166</v>
      </c>
      <c r="B272" s="256" t="s">
        <v>3654</v>
      </c>
      <c r="C272" s="239"/>
      <c r="D272" s="239"/>
      <c r="E272" s="239"/>
      <c r="F272" s="239"/>
      <c r="G272" s="239"/>
      <c r="H272" s="239"/>
      <c r="I272" s="239"/>
      <c r="J272" s="239"/>
    </row>
    <row r="273" spans="1:10" ht="15.75" customHeight="1">
      <c r="A273" s="224" t="s">
        <v>257</v>
      </c>
      <c r="B273" s="254" t="s">
        <v>1487</v>
      </c>
      <c r="C273" s="224"/>
      <c r="D273" s="224"/>
      <c r="E273" s="224"/>
      <c r="F273" s="224"/>
      <c r="G273" s="224"/>
      <c r="H273" s="224"/>
      <c r="I273" s="224"/>
      <c r="J273" s="224"/>
    </row>
    <row r="274" spans="1:10" ht="15.75" customHeight="1">
      <c r="A274" s="258" t="s">
        <v>269</v>
      </c>
      <c r="B274" s="259" t="s">
        <v>1563</v>
      </c>
      <c r="C274" s="258"/>
      <c r="D274" s="258"/>
      <c r="E274" s="258"/>
      <c r="F274" s="258"/>
      <c r="G274" s="258"/>
      <c r="H274" s="258"/>
      <c r="I274" s="258"/>
      <c r="J274" s="258"/>
    </row>
    <row r="275" spans="1:10" ht="15.75" customHeight="1">
      <c r="A275" s="258" t="s">
        <v>346</v>
      </c>
      <c r="B275" s="259" t="s">
        <v>11739</v>
      </c>
      <c r="C275" s="258"/>
      <c r="D275" s="258"/>
      <c r="E275" s="258"/>
      <c r="F275" s="258"/>
      <c r="G275" s="258"/>
      <c r="H275" s="258"/>
      <c r="I275" s="258"/>
      <c r="J275" s="258"/>
    </row>
    <row r="276" spans="1:10" ht="15.75" customHeight="1">
      <c r="A276" s="258" t="s">
        <v>240</v>
      </c>
      <c r="B276" s="259" t="s">
        <v>1410</v>
      </c>
      <c r="C276" s="258"/>
      <c r="D276" s="258"/>
      <c r="E276" s="258"/>
      <c r="F276" s="258"/>
      <c r="G276" s="258"/>
      <c r="H276" s="258"/>
      <c r="I276" s="258"/>
      <c r="J276" s="258"/>
    </row>
    <row r="277" spans="1:10" ht="15.75" customHeight="1">
      <c r="A277" s="258" t="s">
        <v>4086</v>
      </c>
      <c r="B277" s="259" t="s">
        <v>11740</v>
      </c>
      <c r="C277" s="258"/>
      <c r="D277" s="258"/>
      <c r="E277" s="258"/>
      <c r="F277" s="258"/>
      <c r="G277" s="258"/>
      <c r="H277" s="258"/>
      <c r="I277" s="258"/>
      <c r="J277" s="258"/>
    </row>
    <row r="278" spans="1:10" ht="15.75" customHeight="1">
      <c r="A278" s="258" t="s">
        <v>11314</v>
      </c>
      <c r="B278" s="259" t="s">
        <v>3731</v>
      </c>
      <c r="C278" s="219"/>
      <c r="D278" s="219"/>
      <c r="E278" s="219"/>
      <c r="F278" s="219"/>
      <c r="G278" s="219"/>
      <c r="H278" s="219"/>
      <c r="I278" s="219"/>
      <c r="J278" s="219"/>
    </row>
    <row r="279" spans="1:10" ht="15.75" customHeight="1">
      <c r="A279" s="258" t="s">
        <v>366</v>
      </c>
      <c r="B279" s="259" t="s">
        <v>9813</v>
      </c>
      <c r="C279" s="258"/>
      <c r="D279" s="258"/>
      <c r="E279" s="258"/>
      <c r="F279" s="258"/>
      <c r="G279" s="258"/>
      <c r="H279" s="258"/>
      <c r="I279" s="258"/>
      <c r="J279" s="258"/>
    </row>
    <row r="280" spans="1:10" ht="15.75" customHeight="1">
      <c r="A280" s="239" t="s">
        <v>61</v>
      </c>
      <c r="B280" s="256" t="s">
        <v>915</v>
      </c>
      <c r="C280" s="239"/>
      <c r="D280" s="239"/>
      <c r="E280" s="239"/>
      <c r="F280" s="239"/>
      <c r="G280" s="239"/>
      <c r="H280" s="239"/>
      <c r="I280" s="239"/>
      <c r="J280" s="239"/>
    </row>
    <row r="281" spans="1:10" ht="15.75" customHeight="1">
      <c r="A281" s="258" t="s">
        <v>4421</v>
      </c>
      <c r="B281" s="259" t="s">
        <v>11744</v>
      </c>
      <c r="C281" s="224"/>
      <c r="D281" s="224"/>
      <c r="E281" s="224"/>
      <c r="F281" s="224"/>
      <c r="G281" s="224"/>
      <c r="H281" s="224"/>
      <c r="I281" s="224"/>
      <c r="J281" s="224"/>
    </row>
    <row r="282" spans="1:10" ht="15.75" customHeight="1">
      <c r="A282" s="239" t="s">
        <v>283</v>
      </c>
      <c r="B282" s="256" t="s">
        <v>11746</v>
      </c>
      <c r="C282" s="239"/>
      <c r="D282" s="239"/>
      <c r="E282" s="239"/>
      <c r="F282" s="239"/>
      <c r="G282" s="239"/>
      <c r="H282" s="239"/>
      <c r="I282" s="239"/>
      <c r="J282" s="239"/>
    </row>
    <row r="283" spans="1:10" ht="15.75" customHeight="1">
      <c r="A283" s="258" t="s">
        <v>378</v>
      </c>
      <c r="B283" s="259" t="s">
        <v>9869</v>
      </c>
      <c r="C283" s="258"/>
      <c r="D283" s="258"/>
      <c r="E283" s="258"/>
      <c r="F283" s="258"/>
      <c r="G283" s="258"/>
      <c r="H283" s="258"/>
      <c r="I283" s="258"/>
      <c r="J283" s="258"/>
    </row>
    <row r="284" spans="1:10" ht="15.75" customHeight="1">
      <c r="A284" s="258" t="s">
        <v>302</v>
      </c>
      <c r="B284" s="259" t="s">
        <v>11749</v>
      </c>
      <c r="C284" s="258"/>
      <c r="D284" s="258"/>
      <c r="E284" s="258"/>
      <c r="F284" s="258"/>
      <c r="G284" s="258"/>
      <c r="H284" s="258"/>
      <c r="I284" s="258"/>
      <c r="J284" s="258"/>
    </row>
    <row r="285" spans="1:10" ht="15.75" customHeight="1">
      <c r="A285" s="258" t="s">
        <v>10473</v>
      </c>
      <c r="B285" s="259" t="s">
        <v>9647</v>
      </c>
      <c r="C285" s="258"/>
      <c r="D285" s="258"/>
      <c r="E285" s="258"/>
      <c r="F285" s="258"/>
      <c r="G285" s="258"/>
      <c r="H285" s="258"/>
      <c r="I285" s="258"/>
      <c r="J285" s="258"/>
    </row>
    <row r="286" spans="1:10" ht="15.75" customHeight="1">
      <c r="A286" s="219" t="s">
        <v>357</v>
      </c>
      <c r="B286" s="251" t="s">
        <v>9789</v>
      </c>
      <c r="C286" s="219"/>
      <c r="D286" s="219"/>
      <c r="E286" s="219"/>
      <c r="F286" s="219"/>
      <c r="G286" s="219"/>
      <c r="H286" s="219"/>
      <c r="I286" s="219"/>
      <c r="J286" s="219"/>
    </row>
    <row r="287" spans="1:10" ht="15.75" customHeight="1">
      <c r="A287" s="258" t="s">
        <v>5298</v>
      </c>
      <c r="B287" s="259" t="s">
        <v>5305</v>
      </c>
      <c r="C287" s="224"/>
      <c r="D287" s="224"/>
      <c r="E287" s="224"/>
      <c r="F287" s="224"/>
      <c r="G287" s="224"/>
      <c r="H287" s="224"/>
      <c r="I287" s="224"/>
      <c r="J287" s="224"/>
    </row>
    <row r="288" spans="1:10" ht="15.75" customHeight="1">
      <c r="A288" s="258" t="s">
        <v>5529</v>
      </c>
      <c r="B288" s="259" t="s">
        <v>5536</v>
      </c>
      <c r="C288" s="258"/>
      <c r="D288" s="258"/>
      <c r="E288" s="258"/>
      <c r="F288" s="258"/>
      <c r="G288" s="258"/>
      <c r="H288" s="258"/>
      <c r="I288" s="258"/>
      <c r="J288" s="258"/>
    </row>
    <row r="289" spans="1:10" ht="15.75" customHeight="1">
      <c r="A289" s="258" t="s">
        <v>6849</v>
      </c>
      <c r="B289" s="259" t="s">
        <v>6855</v>
      </c>
      <c r="C289" s="258"/>
      <c r="D289" s="258"/>
      <c r="E289" s="258"/>
      <c r="F289" s="258"/>
      <c r="G289" s="258"/>
      <c r="H289" s="258"/>
      <c r="I289" s="258"/>
      <c r="J289" s="258"/>
    </row>
  </sheetData>
  <autoFilter ref="A1:J289" xr:uid="{00000000-0009-0000-0000-000009000000}"/>
  <conditionalFormatting sqref="B2">
    <cfRule type="notContainsBlanks" dxfId="33" priority="1">
      <formula>LEN(TRIM(B2))&gt;0</formula>
    </cfRule>
  </conditionalFormatting>
  <conditionalFormatting sqref="B2:B34">
    <cfRule type="expression" dxfId="32" priority="2">
      <formula>AND(#REF!=TRUE,#REF!="Digital Tech")</formula>
    </cfRule>
    <cfRule type="expression" dxfId="31" priority="3">
      <formula>AND(#REF!=TRUE,#REF!="Deep Tech")</formula>
    </cfRule>
    <cfRule type="expression" dxfId="30" priority="4">
      <formula>AND(#REF!=TRUE,#REF!="Life Sciences")</formula>
    </cfRule>
  </conditionalFormatting>
  <hyperlinks>
    <hyperlink ref="A19" r:id="rId1" xr:uid="{00000000-0004-0000-0900-000000000000}"/>
    <hyperlink ref="A24" r:id="rId2" xr:uid="{00000000-0004-0000-0900-000001000000}"/>
  </hyperlink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V9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5" defaultRowHeight="15" customHeight="1"/>
  <cols>
    <col min="1" max="1" width="29.5" customWidth="1"/>
    <col min="2" max="5" width="23.33203125" customWidth="1"/>
    <col min="6" max="6" width="21" customWidth="1"/>
    <col min="7" max="7" width="25.5" customWidth="1"/>
    <col min="10" max="10" width="46.6640625" customWidth="1"/>
    <col min="13" max="13" width="27.5" customWidth="1"/>
    <col min="16" max="16" width="26.33203125" customWidth="1"/>
    <col min="18" max="18" width="21.33203125" customWidth="1"/>
    <col min="19" max="19" width="19.5" customWidth="1"/>
    <col min="20" max="20" width="19.33203125" customWidth="1"/>
    <col min="21" max="22" width="27.6640625" customWidth="1"/>
  </cols>
  <sheetData>
    <row r="1" spans="1:22" ht="30">
      <c r="A1" s="205" t="s">
        <v>420</v>
      </c>
      <c r="B1" s="338" t="s">
        <v>11761</v>
      </c>
      <c r="C1" s="207" t="s">
        <v>424</v>
      </c>
      <c r="D1" s="339" t="s">
        <v>11762</v>
      </c>
      <c r="E1" s="339" t="s">
        <v>11763</v>
      </c>
      <c r="F1" s="340" t="s">
        <v>425</v>
      </c>
      <c r="G1" s="205" t="s">
        <v>423</v>
      </c>
      <c r="H1" s="341" t="s">
        <v>39</v>
      </c>
      <c r="I1" s="205" t="s">
        <v>42</v>
      </c>
      <c r="J1" s="205" t="s">
        <v>426</v>
      </c>
      <c r="K1" s="205" t="s">
        <v>427</v>
      </c>
      <c r="L1" s="205" t="s">
        <v>43</v>
      </c>
      <c r="M1" s="205" t="s">
        <v>428</v>
      </c>
      <c r="N1" s="205" t="s">
        <v>429</v>
      </c>
      <c r="O1" s="205" t="s">
        <v>430</v>
      </c>
      <c r="P1" s="205" t="s">
        <v>431</v>
      </c>
      <c r="Q1" s="205" t="s">
        <v>432</v>
      </c>
      <c r="R1" s="205" t="s">
        <v>433</v>
      </c>
      <c r="S1" s="342" t="s">
        <v>434</v>
      </c>
      <c r="T1" s="205" t="s">
        <v>435</v>
      </c>
      <c r="U1" s="205" t="s">
        <v>11764</v>
      </c>
      <c r="V1" s="205" t="s">
        <v>436</v>
      </c>
    </row>
    <row r="2" spans="1:22">
      <c r="A2" s="343" t="s">
        <v>62</v>
      </c>
      <c r="B2" s="344">
        <f t="shared" ref="B2:B58" si="0">AVERAGE(C2,E2)</f>
        <v>2.625</v>
      </c>
      <c r="C2" s="344">
        <v>4.25</v>
      </c>
      <c r="D2" s="343" t="s">
        <v>11765</v>
      </c>
      <c r="E2" s="343">
        <v>1</v>
      </c>
      <c r="F2" s="343" t="s">
        <v>18</v>
      </c>
      <c r="G2" s="343" t="s">
        <v>446</v>
      </c>
      <c r="H2" s="343" t="s">
        <v>5</v>
      </c>
      <c r="I2" s="343" t="s">
        <v>447</v>
      </c>
      <c r="J2" s="343" t="s">
        <v>10311</v>
      </c>
      <c r="K2" s="343">
        <v>4.5</v>
      </c>
      <c r="L2" s="343" t="s">
        <v>449</v>
      </c>
      <c r="M2" s="343" t="s">
        <v>11766</v>
      </c>
      <c r="N2" s="343">
        <v>4</v>
      </c>
      <c r="O2" s="343" t="s">
        <v>451</v>
      </c>
      <c r="P2" s="345">
        <v>3000000</v>
      </c>
      <c r="Q2" s="343" t="s">
        <v>452</v>
      </c>
      <c r="R2" s="343" t="s">
        <v>453</v>
      </c>
      <c r="S2" s="343"/>
      <c r="T2" s="343"/>
      <c r="U2" s="343" t="s">
        <v>11767</v>
      </c>
      <c r="V2" s="346" t="s">
        <v>454</v>
      </c>
    </row>
    <row r="3" spans="1:22">
      <c r="A3" s="343" t="s">
        <v>64</v>
      </c>
      <c r="B3" s="344">
        <f t="shared" si="0"/>
        <v>5</v>
      </c>
      <c r="C3" s="344">
        <v>5</v>
      </c>
      <c r="D3" s="343"/>
      <c r="E3" s="343"/>
      <c r="F3" s="343" t="s">
        <v>18</v>
      </c>
      <c r="G3" s="343" t="s">
        <v>459</v>
      </c>
      <c r="H3" s="343" t="s">
        <v>5</v>
      </c>
      <c r="I3" s="343" t="s">
        <v>460</v>
      </c>
      <c r="J3" s="343" t="s">
        <v>11609</v>
      </c>
      <c r="K3" s="343">
        <v>5</v>
      </c>
      <c r="L3" s="343" t="s">
        <v>462</v>
      </c>
      <c r="M3" s="343" t="s">
        <v>463</v>
      </c>
      <c r="N3" s="343">
        <v>5</v>
      </c>
      <c r="O3" s="343" t="s">
        <v>451</v>
      </c>
      <c r="P3" s="347" t="s">
        <v>464</v>
      </c>
      <c r="Q3" s="343" t="s">
        <v>465</v>
      </c>
      <c r="R3" s="343" t="s">
        <v>466</v>
      </c>
      <c r="S3" s="343" t="s">
        <v>467</v>
      </c>
      <c r="T3" s="343" t="s">
        <v>11768</v>
      </c>
      <c r="U3" s="343" t="s">
        <v>11769</v>
      </c>
      <c r="V3" s="346" t="s">
        <v>454</v>
      </c>
    </row>
    <row r="4" spans="1:22">
      <c r="A4" s="343" t="s">
        <v>65</v>
      </c>
      <c r="B4" s="344">
        <f t="shared" si="0"/>
        <v>4.625</v>
      </c>
      <c r="C4" s="344">
        <v>4.25</v>
      </c>
      <c r="D4" s="343" t="s">
        <v>11765</v>
      </c>
      <c r="E4" s="343">
        <v>5</v>
      </c>
      <c r="F4" s="343" t="s">
        <v>18</v>
      </c>
      <c r="G4" s="343" t="s">
        <v>474</v>
      </c>
      <c r="H4" s="343" t="s">
        <v>5</v>
      </c>
      <c r="I4" s="343" t="s">
        <v>447</v>
      </c>
      <c r="J4" s="343" t="s">
        <v>10420</v>
      </c>
      <c r="K4" s="343">
        <v>4.5</v>
      </c>
      <c r="L4" s="343" t="s">
        <v>476</v>
      </c>
      <c r="M4" s="343" t="s">
        <v>13400</v>
      </c>
      <c r="N4" s="343">
        <v>4</v>
      </c>
      <c r="O4" s="343" t="s">
        <v>478</v>
      </c>
      <c r="P4" s="343" t="s">
        <v>479</v>
      </c>
      <c r="Q4" s="343" t="s">
        <v>452</v>
      </c>
      <c r="R4" s="343" t="s">
        <v>480</v>
      </c>
      <c r="S4" s="343"/>
      <c r="T4" s="343"/>
      <c r="U4" s="343" t="s">
        <v>11770</v>
      </c>
      <c r="V4" s="346" t="s">
        <v>481</v>
      </c>
    </row>
    <row r="5" spans="1:22">
      <c r="A5" s="348" t="s">
        <v>67</v>
      </c>
      <c r="B5" s="344">
        <f t="shared" si="0"/>
        <v>4.5</v>
      </c>
      <c r="C5" s="344">
        <v>4</v>
      </c>
      <c r="D5" s="343" t="s">
        <v>11771</v>
      </c>
      <c r="E5" s="343">
        <v>5</v>
      </c>
      <c r="F5" s="343" t="s">
        <v>18</v>
      </c>
      <c r="G5" s="348" t="s">
        <v>487</v>
      </c>
      <c r="H5" s="348" t="s">
        <v>5</v>
      </c>
      <c r="I5" s="348" t="s">
        <v>488</v>
      </c>
      <c r="J5" s="348" t="s">
        <v>489</v>
      </c>
      <c r="K5" s="348">
        <v>4</v>
      </c>
      <c r="L5" s="348" t="s">
        <v>462</v>
      </c>
      <c r="M5" s="348" t="s">
        <v>490</v>
      </c>
      <c r="N5" s="348">
        <v>4</v>
      </c>
      <c r="O5" s="348"/>
      <c r="P5" s="348"/>
      <c r="Q5" s="348" t="s">
        <v>452</v>
      </c>
      <c r="R5" s="348" t="s">
        <v>10993</v>
      </c>
      <c r="S5" s="348"/>
      <c r="T5" s="348" t="s">
        <v>492</v>
      </c>
      <c r="U5" s="348" t="s">
        <v>11772</v>
      </c>
      <c r="V5" s="346" t="s">
        <v>454</v>
      </c>
    </row>
    <row r="6" spans="1:22">
      <c r="A6" s="343" t="s">
        <v>68</v>
      </c>
      <c r="B6" s="344">
        <f t="shared" si="0"/>
        <v>4</v>
      </c>
      <c r="C6" s="344">
        <v>4</v>
      </c>
      <c r="D6" s="343" t="s">
        <v>11765</v>
      </c>
      <c r="E6" s="343">
        <v>4</v>
      </c>
      <c r="F6" s="343" t="s">
        <v>18</v>
      </c>
      <c r="G6" s="343" t="s">
        <v>497</v>
      </c>
      <c r="H6" s="343" t="s">
        <v>5</v>
      </c>
      <c r="I6" s="343" t="s">
        <v>447</v>
      </c>
      <c r="J6" s="343" t="s">
        <v>10503</v>
      </c>
      <c r="K6" s="343">
        <v>4.5</v>
      </c>
      <c r="L6" s="343" t="s">
        <v>449</v>
      </c>
      <c r="M6" s="343" t="s">
        <v>13400</v>
      </c>
      <c r="N6" s="343">
        <v>3.5</v>
      </c>
      <c r="O6" s="343" t="s">
        <v>451</v>
      </c>
      <c r="P6" s="343">
        <v>2000000</v>
      </c>
      <c r="Q6" s="343" t="s">
        <v>452</v>
      </c>
      <c r="R6" s="343" t="s">
        <v>500</v>
      </c>
      <c r="S6" s="343"/>
      <c r="T6" s="343"/>
      <c r="U6" s="343" t="s">
        <v>11773</v>
      </c>
      <c r="V6" s="346" t="s">
        <v>454</v>
      </c>
    </row>
    <row r="7" spans="1:22">
      <c r="A7" s="348" t="s">
        <v>69</v>
      </c>
      <c r="B7" s="344">
        <f t="shared" si="0"/>
        <v>5</v>
      </c>
      <c r="C7" s="344">
        <v>5</v>
      </c>
      <c r="D7" s="343"/>
      <c r="E7" s="343"/>
      <c r="F7" s="343" t="str">
        <f t="array" ref="F7">INDEX(Notes!B:B,MATCH($A7,Notes!$A:$A,0))</f>
        <v>Invite</v>
      </c>
      <c r="G7" s="348" t="s">
        <v>506</v>
      </c>
      <c r="H7" s="348" t="s">
        <v>5</v>
      </c>
      <c r="I7" s="348" t="s">
        <v>447</v>
      </c>
      <c r="J7" s="348"/>
      <c r="K7" s="348">
        <v>5</v>
      </c>
      <c r="L7" s="348" t="s">
        <v>449</v>
      </c>
      <c r="M7" s="348" t="s">
        <v>11774</v>
      </c>
      <c r="N7" s="348">
        <v>5</v>
      </c>
      <c r="O7" s="348" t="s">
        <v>451</v>
      </c>
      <c r="P7" s="349">
        <v>3000000</v>
      </c>
      <c r="Q7" s="348" t="s">
        <v>452</v>
      </c>
      <c r="R7" s="348" t="s">
        <v>508</v>
      </c>
      <c r="S7" s="348"/>
      <c r="T7" s="348" t="str">
        <f t="array" ref="T7">INDEX(Notes!C:C,MATCH($A7,Notes!$A:$A,0))</f>
        <v>Missed similar company previously; good mission and partnerships in UK with affordable housing; strong room to grow</v>
      </c>
      <c r="U7" s="348" t="s">
        <v>11775</v>
      </c>
      <c r="V7" s="346" t="s">
        <v>454</v>
      </c>
    </row>
    <row r="8" spans="1:22">
      <c r="A8" s="343" t="s">
        <v>96</v>
      </c>
      <c r="B8" s="344">
        <f t="shared" si="0"/>
        <v>4</v>
      </c>
      <c r="C8" s="344">
        <v>4</v>
      </c>
      <c r="D8" s="343" t="s">
        <v>11771</v>
      </c>
      <c r="E8" s="343">
        <v>4</v>
      </c>
      <c r="F8" s="343" t="s">
        <v>18</v>
      </c>
      <c r="G8" s="343" t="s">
        <v>696</v>
      </c>
      <c r="H8" s="343" t="s">
        <v>5</v>
      </c>
      <c r="I8" s="343" t="s">
        <v>447</v>
      </c>
      <c r="J8" s="343" t="s">
        <v>10301</v>
      </c>
      <c r="K8" s="343">
        <v>4</v>
      </c>
      <c r="L8" s="343" t="s">
        <v>543</v>
      </c>
      <c r="M8" s="343" t="s">
        <v>11620</v>
      </c>
      <c r="N8" s="343">
        <v>4</v>
      </c>
      <c r="O8" s="343" t="s">
        <v>451</v>
      </c>
      <c r="P8" s="343">
        <v>3000000</v>
      </c>
      <c r="Q8" s="343" t="s">
        <v>452</v>
      </c>
      <c r="R8" s="343" t="s">
        <v>699</v>
      </c>
      <c r="S8" s="343" t="s">
        <v>700</v>
      </c>
      <c r="T8" s="343"/>
      <c r="U8" s="343" t="s">
        <v>11776</v>
      </c>
      <c r="V8" s="346"/>
    </row>
    <row r="9" spans="1:22">
      <c r="A9" s="348" t="s">
        <v>71</v>
      </c>
      <c r="B9" s="344">
        <f t="shared" si="0"/>
        <v>4</v>
      </c>
      <c r="C9" s="344">
        <v>4</v>
      </c>
      <c r="D9" s="343"/>
      <c r="E9" s="343"/>
      <c r="F9" s="343" t="s">
        <v>18</v>
      </c>
      <c r="G9" s="348" t="s">
        <v>514</v>
      </c>
      <c r="H9" s="348" t="s">
        <v>5</v>
      </c>
      <c r="I9" s="348" t="s">
        <v>447</v>
      </c>
      <c r="J9" s="348" t="s">
        <v>515</v>
      </c>
      <c r="K9" s="348">
        <v>4</v>
      </c>
      <c r="L9" s="348" t="s">
        <v>476</v>
      </c>
      <c r="M9" s="348" t="s">
        <v>11451</v>
      </c>
      <c r="N9" s="348">
        <v>4</v>
      </c>
      <c r="O9" s="348"/>
      <c r="P9" s="348"/>
      <c r="Q9" s="348" t="s">
        <v>452</v>
      </c>
      <c r="R9" s="348" t="s">
        <v>452</v>
      </c>
      <c r="S9" s="348"/>
      <c r="T9" s="348">
        <f t="array" ref="T9">INDEX(Notes!C:C,MATCH($A9,Notes!$A:$A,0))</f>
        <v>0</v>
      </c>
      <c r="U9" s="348" t="s">
        <v>11777</v>
      </c>
      <c r="V9" s="346" t="s">
        <v>481</v>
      </c>
    </row>
    <row r="10" spans="1:22">
      <c r="A10" s="348" t="s">
        <v>72</v>
      </c>
      <c r="B10" s="344">
        <f t="shared" si="0"/>
        <v>4.75</v>
      </c>
      <c r="C10" s="344">
        <v>4.75</v>
      </c>
      <c r="D10" s="343"/>
      <c r="E10" s="343"/>
      <c r="F10" s="343" t="s">
        <v>18</v>
      </c>
      <c r="G10" s="348" t="s">
        <v>521</v>
      </c>
      <c r="H10" s="348" t="s">
        <v>5</v>
      </c>
      <c r="I10" s="348" t="s">
        <v>447</v>
      </c>
      <c r="J10" s="348" t="s">
        <v>11266</v>
      </c>
      <c r="K10" s="348">
        <v>4.5</v>
      </c>
      <c r="L10" s="348" t="s">
        <v>449</v>
      </c>
      <c r="M10" s="348" t="s">
        <v>11547</v>
      </c>
      <c r="N10" s="348">
        <v>5</v>
      </c>
      <c r="O10" s="348" t="s">
        <v>478</v>
      </c>
      <c r="P10" s="350">
        <v>16000000</v>
      </c>
      <c r="Q10" s="348" t="s">
        <v>452</v>
      </c>
      <c r="R10" s="350" t="s">
        <v>11268</v>
      </c>
      <c r="S10" s="348" t="s">
        <v>525</v>
      </c>
      <c r="T10" s="348" t="s">
        <v>526</v>
      </c>
      <c r="U10" s="348" t="s">
        <v>11778</v>
      </c>
      <c r="V10" s="346" t="s">
        <v>481</v>
      </c>
    </row>
    <row r="11" spans="1:22">
      <c r="A11" s="343" t="s">
        <v>76</v>
      </c>
      <c r="B11" s="344">
        <f t="shared" si="0"/>
        <v>3.5</v>
      </c>
      <c r="C11" s="344">
        <v>3.5</v>
      </c>
      <c r="D11" s="343"/>
      <c r="E11" s="343"/>
      <c r="F11" s="343" t="s">
        <v>18</v>
      </c>
      <c r="G11" s="343" t="s">
        <v>532</v>
      </c>
      <c r="H11" s="343" t="s">
        <v>5</v>
      </c>
      <c r="I11" s="343" t="s">
        <v>447</v>
      </c>
      <c r="J11" s="343" t="s">
        <v>11134</v>
      </c>
      <c r="K11" s="343">
        <v>3</v>
      </c>
      <c r="L11" s="343" t="s">
        <v>449</v>
      </c>
      <c r="M11" s="343" t="s">
        <v>11731</v>
      </c>
      <c r="N11" s="343">
        <v>4</v>
      </c>
      <c r="O11" s="343" t="s">
        <v>451</v>
      </c>
      <c r="P11" s="351">
        <v>6500000</v>
      </c>
      <c r="Q11" s="343" t="s">
        <v>452</v>
      </c>
      <c r="R11" s="343" t="s">
        <v>535</v>
      </c>
      <c r="S11" s="343"/>
      <c r="T11" s="343" t="s">
        <v>536</v>
      </c>
      <c r="U11" s="343" t="s">
        <v>11779</v>
      </c>
      <c r="V11" s="346"/>
    </row>
    <row r="12" spans="1:22" ht="15.75" customHeight="1">
      <c r="A12" s="348" t="s">
        <v>75</v>
      </c>
      <c r="B12" s="344">
        <f t="shared" si="0"/>
        <v>4</v>
      </c>
      <c r="C12" s="344">
        <v>4</v>
      </c>
      <c r="D12" s="343"/>
      <c r="E12" s="343"/>
      <c r="F12" s="343" t="s">
        <v>18</v>
      </c>
      <c r="G12" s="348" t="s">
        <v>541</v>
      </c>
      <c r="H12" s="348" t="s">
        <v>5</v>
      </c>
      <c r="I12" s="348" t="s">
        <v>447</v>
      </c>
      <c r="J12" s="348" t="s">
        <v>542</v>
      </c>
      <c r="K12" s="348">
        <v>4.5</v>
      </c>
      <c r="L12" s="348" t="s">
        <v>543</v>
      </c>
      <c r="M12" s="348" t="s">
        <v>11780</v>
      </c>
      <c r="N12" s="348">
        <v>3.5</v>
      </c>
      <c r="O12" s="348" t="s">
        <v>545</v>
      </c>
      <c r="P12" s="348" t="s">
        <v>546</v>
      </c>
      <c r="Q12" s="348" t="s">
        <v>452</v>
      </c>
      <c r="R12" s="348" t="s">
        <v>11433</v>
      </c>
      <c r="S12" s="348"/>
      <c r="T12" s="348">
        <f t="array" ref="T12">INDEX(Notes!C:C,MATCH($A12,Notes!$A:$A,0))</f>
        <v>0</v>
      </c>
      <c r="U12" s="348" t="s">
        <v>11781</v>
      </c>
      <c r="V12" s="346" t="s">
        <v>454</v>
      </c>
    </row>
    <row r="13" spans="1:22" ht="15.75" customHeight="1">
      <c r="A13" s="348" t="s">
        <v>77</v>
      </c>
      <c r="B13" s="344">
        <f t="shared" si="0"/>
        <v>4</v>
      </c>
      <c r="C13" s="344">
        <v>4</v>
      </c>
      <c r="D13" s="343"/>
      <c r="E13" s="343"/>
      <c r="F13" s="343" t="s">
        <v>18</v>
      </c>
      <c r="G13" s="348" t="s">
        <v>552</v>
      </c>
      <c r="H13" s="348" t="s">
        <v>5</v>
      </c>
      <c r="I13" s="348" t="s">
        <v>447</v>
      </c>
      <c r="J13" s="348" t="s">
        <v>10782</v>
      </c>
      <c r="K13" s="348">
        <v>4</v>
      </c>
      <c r="L13" s="348" t="s">
        <v>543</v>
      </c>
      <c r="M13" s="348" t="s">
        <v>11616</v>
      </c>
      <c r="N13" s="348">
        <v>4</v>
      </c>
      <c r="O13" s="348" t="s">
        <v>451</v>
      </c>
      <c r="P13" s="348">
        <v>11000000</v>
      </c>
      <c r="Q13" s="348" t="s">
        <v>454</v>
      </c>
      <c r="R13" s="348" t="s">
        <v>555</v>
      </c>
      <c r="S13" s="348"/>
      <c r="T13" s="348" t="s">
        <v>556</v>
      </c>
      <c r="U13" s="348" t="s">
        <v>11782</v>
      </c>
      <c r="V13" s="346" t="s">
        <v>454</v>
      </c>
    </row>
    <row r="14" spans="1:22" ht="15.75" customHeight="1">
      <c r="A14" s="343" t="s">
        <v>78</v>
      </c>
      <c r="B14" s="344">
        <f t="shared" si="0"/>
        <v>4.75</v>
      </c>
      <c r="C14" s="344">
        <v>4.75</v>
      </c>
      <c r="D14" s="343"/>
      <c r="E14" s="343"/>
      <c r="F14" s="343" t="s">
        <v>18</v>
      </c>
      <c r="G14" s="343" t="s">
        <v>562</v>
      </c>
      <c r="H14" s="343" t="s">
        <v>5</v>
      </c>
      <c r="I14" s="343" t="s">
        <v>447</v>
      </c>
      <c r="J14" s="343" t="s">
        <v>10857</v>
      </c>
      <c r="K14" s="343">
        <v>5</v>
      </c>
      <c r="L14" s="343" t="s">
        <v>543</v>
      </c>
      <c r="M14" s="343" t="s">
        <v>11703</v>
      </c>
      <c r="N14" s="343">
        <v>4.5</v>
      </c>
      <c r="O14" s="343" t="s">
        <v>478</v>
      </c>
      <c r="P14" s="343" t="s">
        <v>565</v>
      </c>
      <c r="Q14" s="343" t="s">
        <v>452</v>
      </c>
      <c r="R14" s="343" t="s">
        <v>566</v>
      </c>
      <c r="S14" s="343"/>
      <c r="T14" s="343" t="s">
        <v>567</v>
      </c>
      <c r="U14" s="343" t="s">
        <v>11783</v>
      </c>
      <c r="V14" s="346" t="s">
        <v>454</v>
      </c>
    </row>
    <row r="15" spans="1:22" ht="15.75" customHeight="1">
      <c r="A15" s="348" t="s">
        <v>80</v>
      </c>
      <c r="B15" s="344">
        <f t="shared" si="0"/>
        <v>4.75</v>
      </c>
      <c r="C15" s="344">
        <v>4.75</v>
      </c>
      <c r="D15" s="343"/>
      <c r="E15" s="343"/>
      <c r="F15" s="343" t="s">
        <v>18</v>
      </c>
      <c r="G15" s="348" t="s">
        <v>572</v>
      </c>
      <c r="H15" s="348" t="s">
        <v>5</v>
      </c>
      <c r="I15" s="348" t="s">
        <v>447</v>
      </c>
      <c r="J15" s="348" t="s">
        <v>10410</v>
      </c>
      <c r="K15" s="348">
        <v>4.5</v>
      </c>
      <c r="L15" s="348" t="s">
        <v>449</v>
      </c>
      <c r="M15" s="348" t="s">
        <v>11546</v>
      </c>
      <c r="N15" s="348">
        <v>5</v>
      </c>
      <c r="O15" s="348" t="s">
        <v>451</v>
      </c>
      <c r="P15" s="349">
        <v>5000000</v>
      </c>
      <c r="Q15" s="348" t="s">
        <v>465</v>
      </c>
      <c r="R15" s="349" t="s">
        <v>575</v>
      </c>
      <c r="S15" s="348"/>
      <c r="T15" s="348" t="s">
        <v>576</v>
      </c>
      <c r="U15" s="348" t="s">
        <v>11783</v>
      </c>
      <c r="V15" s="346" t="s">
        <v>481</v>
      </c>
    </row>
    <row r="16" spans="1:22" ht="15.75" customHeight="1">
      <c r="A16" s="352" t="s">
        <v>11784</v>
      </c>
      <c r="B16" s="344">
        <f t="shared" si="0"/>
        <v>3.375</v>
      </c>
      <c r="C16" s="344">
        <v>3.75</v>
      </c>
      <c r="D16" s="343" t="s">
        <v>11771</v>
      </c>
      <c r="E16" s="343">
        <v>3</v>
      </c>
      <c r="F16" s="343" t="s">
        <v>18</v>
      </c>
      <c r="G16" s="352" t="s">
        <v>11785</v>
      </c>
      <c r="H16" s="343" t="s">
        <v>5</v>
      </c>
      <c r="I16" s="343" t="s">
        <v>447</v>
      </c>
      <c r="J16" s="343" t="s">
        <v>582</v>
      </c>
      <c r="K16" s="343">
        <v>3.5</v>
      </c>
      <c r="L16" s="343" t="s">
        <v>543</v>
      </c>
      <c r="M16" s="343" t="s">
        <v>13400</v>
      </c>
      <c r="N16" s="343">
        <v>4</v>
      </c>
      <c r="O16" s="343" t="s">
        <v>478</v>
      </c>
      <c r="P16" s="345">
        <v>8500000</v>
      </c>
      <c r="Q16" s="343" t="s">
        <v>452</v>
      </c>
      <c r="R16" s="352" t="s">
        <v>11786</v>
      </c>
      <c r="S16" s="343" t="s">
        <v>585</v>
      </c>
      <c r="T16" s="343" t="s">
        <v>11530</v>
      </c>
      <c r="U16" s="343" t="s">
        <v>11787</v>
      </c>
      <c r="V16" s="346" t="s">
        <v>481</v>
      </c>
    </row>
    <row r="17" spans="1:22" ht="15.75" customHeight="1">
      <c r="A17" s="343" t="s">
        <v>82</v>
      </c>
      <c r="B17" s="344">
        <f t="shared" si="0"/>
        <v>4.5</v>
      </c>
      <c r="C17" s="344">
        <v>4.5</v>
      </c>
      <c r="D17" s="343"/>
      <c r="E17" s="343"/>
      <c r="F17" s="343" t="s">
        <v>18</v>
      </c>
      <c r="G17" s="343" t="s">
        <v>591</v>
      </c>
      <c r="H17" s="343" t="s">
        <v>5</v>
      </c>
      <c r="I17" s="343" t="s">
        <v>460</v>
      </c>
      <c r="J17" s="343" t="s">
        <v>592</v>
      </c>
      <c r="K17" s="343">
        <v>4.5</v>
      </c>
      <c r="L17" s="343" t="s">
        <v>462</v>
      </c>
      <c r="M17" s="343" t="s">
        <v>593</v>
      </c>
      <c r="N17" s="343">
        <v>4.5</v>
      </c>
      <c r="O17" s="343" t="s">
        <v>451</v>
      </c>
      <c r="P17" s="351">
        <v>3000000</v>
      </c>
      <c r="Q17" s="343" t="s">
        <v>452</v>
      </c>
      <c r="R17" s="343" t="s">
        <v>10644</v>
      </c>
      <c r="S17" s="343"/>
      <c r="T17" s="343" t="s">
        <v>595</v>
      </c>
      <c r="U17" s="343" t="s">
        <v>11788</v>
      </c>
      <c r="V17" s="346" t="s">
        <v>454</v>
      </c>
    </row>
    <row r="18" spans="1:22" ht="15.75" customHeight="1">
      <c r="A18" s="343" t="s">
        <v>84</v>
      </c>
      <c r="B18" s="344">
        <f t="shared" si="0"/>
        <v>4.25</v>
      </c>
      <c r="C18" s="344">
        <v>4.5</v>
      </c>
      <c r="D18" s="343" t="s">
        <v>11789</v>
      </c>
      <c r="E18" s="343">
        <v>4</v>
      </c>
      <c r="F18" s="343" t="s">
        <v>18</v>
      </c>
      <c r="G18" s="343" t="s">
        <v>11790</v>
      </c>
      <c r="H18" s="343" t="s">
        <v>5</v>
      </c>
      <c r="I18" s="343" t="s">
        <v>602</v>
      </c>
      <c r="J18" s="343" t="s">
        <v>603</v>
      </c>
      <c r="K18" s="343">
        <v>4</v>
      </c>
      <c r="L18" s="343" t="s">
        <v>604</v>
      </c>
      <c r="M18" s="343" t="s">
        <v>11104</v>
      </c>
      <c r="N18" s="343">
        <v>5</v>
      </c>
      <c r="O18" s="343"/>
      <c r="P18" s="343"/>
      <c r="Q18" s="343" t="s">
        <v>465</v>
      </c>
      <c r="R18" s="343" t="s">
        <v>452</v>
      </c>
      <c r="S18" s="343"/>
      <c r="T18" s="343" t="s">
        <v>11645</v>
      </c>
      <c r="U18" s="343" t="s">
        <v>11783</v>
      </c>
      <c r="V18" s="346" t="s">
        <v>481</v>
      </c>
    </row>
    <row r="19" spans="1:22" ht="15.75" customHeight="1">
      <c r="A19" s="343" t="s">
        <v>86</v>
      </c>
      <c r="B19" s="344">
        <f t="shared" si="0"/>
        <v>4</v>
      </c>
      <c r="C19" s="344">
        <v>4</v>
      </c>
      <c r="D19" s="343" t="s">
        <v>11771</v>
      </c>
      <c r="E19" s="343">
        <v>4</v>
      </c>
      <c r="F19" s="343" t="s">
        <v>18</v>
      </c>
      <c r="G19" s="343" t="s">
        <v>611</v>
      </c>
      <c r="H19" s="343" t="s">
        <v>5</v>
      </c>
      <c r="I19" s="343" t="s">
        <v>460</v>
      </c>
      <c r="J19" s="343" t="s">
        <v>612</v>
      </c>
      <c r="K19" s="343">
        <v>4</v>
      </c>
      <c r="L19" s="343" t="s">
        <v>462</v>
      </c>
      <c r="M19" s="343" t="s">
        <v>613</v>
      </c>
      <c r="N19" s="343">
        <v>4</v>
      </c>
      <c r="O19" s="343" t="s">
        <v>478</v>
      </c>
      <c r="P19" s="343" t="s">
        <v>614</v>
      </c>
      <c r="Q19" s="343" t="s">
        <v>452</v>
      </c>
      <c r="R19" s="343" t="s">
        <v>452</v>
      </c>
      <c r="S19" s="343"/>
      <c r="T19" s="343" t="s">
        <v>11619</v>
      </c>
      <c r="U19" s="343" t="s">
        <v>11791</v>
      </c>
      <c r="V19" s="346" t="s">
        <v>454</v>
      </c>
    </row>
    <row r="20" spans="1:22" ht="15.75" customHeight="1">
      <c r="A20" s="343" t="s">
        <v>88</v>
      </c>
      <c r="B20" s="344">
        <f t="shared" si="0"/>
        <v>3</v>
      </c>
      <c r="C20" s="344">
        <v>4</v>
      </c>
      <c r="D20" s="343" t="s">
        <v>11789</v>
      </c>
      <c r="E20" s="343">
        <v>2</v>
      </c>
      <c r="F20" s="343" t="s">
        <v>18</v>
      </c>
      <c r="G20" s="343" t="s">
        <v>620</v>
      </c>
      <c r="H20" s="343" t="s">
        <v>5</v>
      </c>
      <c r="I20" s="343" t="s">
        <v>447</v>
      </c>
      <c r="J20" s="343" t="s">
        <v>10697</v>
      </c>
      <c r="K20" s="343">
        <v>4</v>
      </c>
      <c r="L20" s="343" t="s">
        <v>622</v>
      </c>
      <c r="M20" s="343" t="s">
        <v>13400</v>
      </c>
      <c r="N20" s="343">
        <v>4</v>
      </c>
      <c r="O20" s="343" t="s">
        <v>478</v>
      </c>
      <c r="P20" s="343">
        <v>3000000</v>
      </c>
      <c r="Q20" s="343" t="s">
        <v>452</v>
      </c>
      <c r="R20" s="343" t="s">
        <v>452</v>
      </c>
      <c r="S20" s="343"/>
      <c r="T20" s="343" t="s">
        <v>624</v>
      </c>
      <c r="U20" s="343" t="s">
        <v>11792</v>
      </c>
      <c r="V20" s="346" t="s">
        <v>481</v>
      </c>
    </row>
    <row r="21" spans="1:22" ht="15.75" customHeight="1">
      <c r="A21" s="343" t="s">
        <v>89</v>
      </c>
      <c r="B21" s="344">
        <f t="shared" si="0"/>
        <v>4.125</v>
      </c>
      <c r="C21" s="344">
        <v>4.25</v>
      </c>
      <c r="D21" s="343" t="s">
        <v>11789</v>
      </c>
      <c r="E21" s="343">
        <v>4</v>
      </c>
      <c r="F21" s="343" t="s">
        <v>18</v>
      </c>
      <c r="G21" s="343" t="s">
        <v>629</v>
      </c>
      <c r="H21" s="343" t="s">
        <v>5</v>
      </c>
      <c r="I21" s="343" t="s">
        <v>447</v>
      </c>
      <c r="J21" s="343" t="s">
        <v>11488</v>
      </c>
      <c r="K21" s="343">
        <v>4</v>
      </c>
      <c r="L21" s="343" t="s">
        <v>543</v>
      </c>
      <c r="M21" s="343" t="s">
        <v>13400</v>
      </c>
      <c r="N21" s="343">
        <v>4.5</v>
      </c>
      <c r="O21" s="343" t="s">
        <v>478</v>
      </c>
      <c r="P21" s="347">
        <v>15000000</v>
      </c>
      <c r="Q21" s="343" t="s">
        <v>452</v>
      </c>
      <c r="R21" s="343" t="s">
        <v>632</v>
      </c>
      <c r="S21" s="343"/>
      <c r="T21" s="343"/>
      <c r="U21" s="343" t="s">
        <v>11777</v>
      </c>
      <c r="V21" s="346" t="s">
        <v>481</v>
      </c>
    </row>
    <row r="22" spans="1:22" ht="15.75" customHeight="1">
      <c r="A22" s="348" t="s">
        <v>90</v>
      </c>
      <c r="B22" s="344">
        <f t="shared" si="0"/>
        <v>3.75</v>
      </c>
      <c r="C22" s="344">
        <v>3.75</v>
      </c>
      <c r="D22" s="343"/>
      <c r="E22" s="343"/>
      <c r="F22" s="343" t="s">
        <v>18</v>
      </c>
      <c r="G22" s="348" t="s">
        <v>638</v>
      </c>
      <c r="H22" s="348" t="s">
        <v>5</v>
      </c>
      <c r="I22" s="348" t="s">
        <v>447</v>
      </c>
      <c r="J22" s="348" t="s">
        <v>10569</v>
      </c>
      <c r="K22" s="348">
        <v>3.5</v>
      </c>
      <c r="L22" s="348" t="s">
        <v>622</v>
      </c>
      <c r="M22" s="348"/>
      <c r="N22" s="348">
        <v>4</v>
      </c>
      <c r="O22" s="348"/>
      <c r="P22" s="348"/>
      <c r="Q22" s="348" t="s">
        <v>452</v>
      </c>
      <c r="R22" s="348" t="s">
        <v>575</v>
      </c>
      <c r="S22" s="348" t="s">
        <v>640</v>
      </c>
      <c r="T22" s="348" t="s">
        <v>641</v>
      </c>
      <c r="U22" s="348" t="s">
        <v>11793</v>
      </c>
      <c r="V22" s="346" t="s">
        <v>481</v>
      </c>
    </row>
    <row r="23" spans="1:22" ht="15.75" customHeight="1">
      <c r="A23" s="348" t="s">
        <v>91</v>
      </c>
      <c r="B23" s="344">
        <f t="shared" si="0"/>
        <v>3.5</v>
      </c>
      <c r="C23" s="344">
        <v>3.5</v>
      </c>
      <c r="D23" s="343"/>
      <c r="E23" s="343"/>
      <c r="F23" s="343" t="s">
        <v>18</v>
      </c>
      <c r="G23" s="348" t="s">
        <v>646</v>
      </c>
      <c r="H23" s="348" t="s">
        <v>5</v>
      </c>
      <c r="I23" s="348" t="s">
        <v>447</v>
      </c>
      <c r="J23" s="348" t="s">
        <v>647</v>
      </c>
      <c r="K23" s="348">
        <v>4</v>
      </c>
      <c r="L23" s="348" t="s">
        <v>543</v>
      </c>
      <c r="M23" s="348" t="s">
        <v>11479</v>
      </c>
      <c r="N23" s="348">
        <v>3</v>
      </c>
      <c r="O23" s="348" t="s">
        <v>451</v>
      </c>
      <c r="P23" s="348">
        <v>4000000</v>
      </c>
      <c r="Q23" s="348" t="s">
        <v>465</v>
      </c>
      <c r="R23" s="348" t="s">
        <v>649</v>
      </c>
      <c r="S23" s="348"/>
      <c r="T23" s="348" t="s">
        <v>650</v>
      </c>
      <c r="U23" s="348" t="s">
        <v>11794</v>
      </c>
      <c r="V23" s="346" t="s">
        <v>481</v>
      </c>
    </row>
    <row r="24" spans="1:22" ht="15.75" customHeight="1">
      <c r="A24" s="343" t="s">
        <v>92</v>
      </c>
      <c r="B24" s="344">
        <f t="shared" si="0"/>
        <v>5</v>
      </c>
      <c r="C24" s="344">
        <v>5</v>
      </c>
      <c r="D24" s="343" t="s">
        <v>11789</v>
      </c>
      <c r="E24" s="343">
        <v>5</v>
      </c>
      <c r="F24" s="343" t="s">
        <v>18</v>
      </c>
      <c r="G24" s="343" t="s">
        <v>655</v>
      </c>
      <c r="H24" s="343" t="s">
        <v>5</v>
      </c>
      <c r="I24" s="343" t="s">
        <v>460</v>
      </c>
      <c r="J24" s="343" t="s">
        <v>656</v>
      </c>
      <c r="K24" s="343">
        <v>5</v>
      </c>
      <c r="L24" s="343" t="s">
        <v>462</v>
      </c>
      <c r="M24" s="343"/>
      <c r="N24" s="343">
        <v>5</v>
      </c>
      <c r="O24" s="343" t="s">
        <v>451</v>
      </c>
      <c r="P24" s="343">
        <v>3000000</v>
      </c>
      <c r="Q24" s="343" t="s">
        <v>452</v>
      </c>
      <c r="R24" s="343" t="s">
        <v>10395</v>
      </c>
      <c r="S24" s="343"/>
      <c r="T24" s="343" t="s">
        <v>658</v>
      </c>
      <c r="U24" s="343" t="s">
        <v>11788</v>
      </c>
      <c r="V24" s="346" t="s">
        <v>454</v>
      </c>
    </row>
    <row r="25" spans="1:22" ht="15.75" customHeight="1">
      <c r="A25" s="343" t="s">
        <v>93</v>
      </c>
      <c r="B25" s="344">
        <f t="shared" si="0"/>
        <v>4</v>
      </c>
      <c r="C25" s="344">
        <v>4</v>
      </c>
      <c r="D25" s="343"/>
      <c r="E25" s="343"/>
      <c r="F25" s="343" t="s">
        <v>18</v>
      </c>
      <c r="G25" s="343" t="s">
        <v>674</v>
      </c>
      <c r="H25" s="343" t="s">
        <v>5</v>
      </c>
      <c r="I25" s="343" t="s">
        <v>447</v>
      </c>
      <c r="J25" s="343" t="s">
        <v>11280</v>
      </c>
      <c r="K25" s="343">
        <v>4</v>
      </c>
      <c r="L25" s="343" t="s">
        <v>449</v>
      </c>
      <c r="M25" s="343" t="s">
        <v>11662</v>
      </c>
      <c r="N25" s="343">
        <v>4</v>
      </c>
      <c r="O25" s="343" t="s">
        <v>677</v>
      </c>
      <c r="P25" s="343" t="s">
        <v>678</v>
      </c>
      <c r="Q25" s="343" t="s">
        <v>452</v>
      </c>
      <c r="R25" s="343" t="s">
        <v>679</v>
      </c>
      <c r="S25" s="343"/>
      <c r="T25" s="343" t="s">
        <v>11663</v>
      </c>
      <c r="U25" s="343" t="s">
        <v>11781</v>
      </c>
      <c r="V25" s="346" t="s">
        <v>454</v>
      </c>
    </row>
    <row r="26" spans="1:22" ht="15.75" customHeight="1">
      <c r="A26" s="343" t="s">
        <v>94</v>
      </c>
      <c r="B26" s="344">
        <f t="shared" si="0"/>
        <v>4.75</v>
      </c>
      <c r="C26" s="344">
        <v>4.5</v>
      </c>
      <c r="D26" s="343" t="s">
        <v>11765</v>
      </c>
      <c r="E26" s="343">
        <v>5</v>
      </c>
      <c r="F26" s="343" t="s">
        <v>18</v>
      </c>
      <c r="G26" s="343" t="s">
        <v>685</v>
      </c>
      <c r="H26" s="343" t="s">
        <v>5</v>
      </c>
      <c r="I26" s="343" t="s">
        <v>447</v>
      </c>
      <c r="J26" s="343" t="s">
        <v>11795</v>
      </c>
      <c r="K26" s="343">
        <v>5</v>
      </c>
      <c r="L26" s="343" t="s">
        <v>449</v>
      </c>
      <c r="M26" s="343" t="s">
        <v>11643</v>
      </c>
      <c r="N26" s="343">
        <v>4</v>
      </c>
      <c r="O26" s="343" t="s">
        <v>478</v>
      </c>
      <c r="P26" s="347">
        <v>12000000</v>
      </c>
      <c r="Q26" s="343" t="s">
        <v>452</v>
      </c>
      <c r="R26" s="343" t="s">
        <v>688</v>
      </c>
      <c r="S26" s="343" t="s">
        <v>689</v>
      </c>
      <c r="T26" s="343" t="s">
        <v>11644</v>
      </c>
      <c r="U26" s="343" t="s">
        <v>11788</v>
      </c>
      <c r="V26" s="346" t="s">
        <v>481</v>
      </c>
    </row>
    <row r="27" spans="1:22" ht="15.75" customHeight="1">
      <c r="A27" s="348" t="s">
        <v>97</v>
      </c>
      <c r="B27" s="344">
        <f t="shared" si="0"/>
        <v>4.25</v>
      </c>
      <c r="C27" s="344">
        <v>4.5</v>
      </c>
      <c r="D27" s="343" t="s">
        <v>11789</v>
      </c>
      <c r="E27" s="343">
        <v>4</v>
      </c>
      <c r="F27" s="343" t="s">
        <v>18</v>
      </c>
      <c r="G27" s="348" t="s">
        <v>705</v>
      </c>
      <c r="H27" s="348" t="s">
        <v>5</v>
      </c>
      <c r="I27" s="348" t="s">
        <v>447</v>
      </c>
      <c r="J27" s="348" t="s">
        <v>10446</v>
      </c>
      <c r="K27" s="348">
        <v>5</v>
      </c>
      <c r="L27" s="348" t="s">
        <v>622</v>
      </c>
      <c r="M27" s="348" t="s">
        <v>707</v>
      </c>
      <c r="N27" s="348">
        <v>4</v>
      </c>
      <c r="O27" s="348" t="s">
        <v>451</v>
      </c>
      <c r="P27" s="348" t="s">
        <v>708</v>
      </c>
      <c r="Q27" s="348" t="s">
        <v>452</v>
      </c>
      <c r="R27" s="348" t="s">
        <v>709</v>
      </c>
      <c r="S27" s="348" t="s">
        <v>710</v>
      </c>
      <c r="T27" s="348" t="s">
        <v>711</v>
      </c>
      <c r="U27" s="348" t="s">
        <v>11787</v>
      </c>
      <c r="V27" s="346" t="s">
        <v>481</v>
      </c>
    </row>
    <row r="28" spans="1:22" ht="15.75" customHeight="1">
      <c r="A28" s="343" t="s">
        <v>98</v>
      </c>
      <c r="B28" s="344">
        <f t="shared" si="0"/>
        <v>4.75</v>
      </c>
      <c r="C28" s="344">
        <v>4.75</v>
      </c>
      <c r="D28" s="343"/>
      <c r="E28" s="343"/>
      <c r="F28" s="343" t="s">
        <v>18</v>
      </c>
      <c r="G28" s="343" t="s">
        <v>11796</v>
      </c>
      <c r="H28" s="343" t="s">
        <v>5</v>
      </c>
      <c r="I28" s="343" t="s">
        <v>447</v>
      </c>
      <c r="J28" s="343" t="s">
        <v>717</v>
      </c>
      <c r="K28" s="343">
        <v>4.5</v>
      </c>
      <c r="L28" s="343" t="s">
        <v>449</v>
      </c>
      <c r="M28" s="343" t="s">
        <v>13400</v>
      </c>
      <c r="N28" s="343">
        <v>5</v>
      </c>
      <c r="O28" s="343" t="s">
        <v>451</v>
      </c>
      <c r="P28" s="343">
        <v>6000000</v>
      </c>
      <c r="Q28" s="343" t="s">
        <v>454</v>
      </c>
      <c r="R28" s="343" t="s">
        <v>452</v>
      </c>
      <c r="S28" s="343"/>
      <c r="T28" s="343" t="s">
        <v>11523</v>
      </c>
      <c r="U28" s="343" t="s">
        <v>11797</v>
      </c>
      <c r="V28" s="346" t="s">
        <v>481</v>
      </c>
    </row>
    <row r="29" spans="1:22" ht="15.75" customHeight="1">
      <c r="A29" s="343" t="s">
        <v>99</v>
      </c>
      <c r="B29" s="344">
        <f t="shared" si="0"/>
        <v>3.25</v>
      </c>
      <c r="C29" s="344">
        <v>4.5</v>
      </c>
      <c r="D29" s="343" t="s">
        <v>11771</v>
      </c>
      <c r="E29" s="343">
        <v>2</v>
      </c>
      <c r="F29" s="343" t="s">
        <v>18</v>
      </c>
      <c r="G29" s="343" t="s">
        <v>724</v>
      </c>
      <c r="H29" s="343" t="s">
        <v>5</v>
      </c>
      <c r="I29" s="343" t="s">
        <v>725</v>
      </c>
      <c r="J29" s="343" t="s">
        <v>10323</v>
      </c>
      <c r="K29" s="343">
        <v>5</v>
      </c>
      <c r="L29" s="343" t="s">
        <v>727</v>
      </c>
      <c r="M29" s="343" t="s">
        <v>10324</v>
      </c>
      <c r="N29" s="343">
        <v>4</v>
      </c>
      <c r="O29" s="343" t="s">
        <v>451</v>
      </c>
      <c r="P29" s="343" t="s">
        <v>729</v>
      </c>
      <c r="Q29" s="343" t="s">
        <v>452</v>
      </c>
      <c r="R29" s="343" t="s">
        <v>730</v>
      </c>
      <c r="S29" s="343"/>
      <c r="T29" s="343" t="s">
        <v>731</v>
      </c>
      <c r="U29" s="343" t="s">
        <v>11798</v>
      </c>
      <c r="V29" s="346" t="s">
        <v>454</v>
      </c>
    </row>
    <row r="30" spans="1:22" ht="15.75" customHeight="1">
      <c r="A30" s="348" t="s">
        <v>100</v>
      </c>
      <c r="B30" s="344">
        <f t="shared" si="0"/>
        <v>3.75</v>
      </c>
      <c r="C30" s="344">
        <v>3.5</v>
      </c>
      <c r="D30" s="343" t="s">
        <v>11765</v>
      </c>
      <c r="E30" s="343">
        <v>4</v>
      </c>
      <c r="F30" s="343" t="s">
        <v>18</v>
      </c>
      <c r="G30" s="348" t="s">
        <v>736</v>
      </c>
      <c r="H30" s="348" t="s">
        <v>5</v>
      </c>
      <c r="I30" s="348" t="s">
        <v>447</v>
      </c>
      <c r="J30" s="348" t="s">
        <v>10551</v>
      </c>
      <c r="K30" s="348">
        <v>3</v>
      </c>
      <c r="L30" s="348" t="s">
        <v>449</v>
      </c>
      <c r="M30" s="348" t="s">
        <v>11574</v>
      </c>
      <c r="N30" s="348">
        <v>4</v>
      </c>
      <c r="O30" s="348" t="s">
        <v>451</v>
      </c>
      <c r="P30" s="350">
        <v>5750000</v>
      </c>
      <c r="Q30" s="348" t="s">
        <v>454</v>
      </c>
      <c r="R30" s="350" t="s">
        <v>739</v>
      </c>
      <c r="S30" s="348" t="s">
        <v>740</v>
      </c>
      <c r="T30" s="348" t="s">
        <v>741</v>
      </c>
      <c r="U30" s="348" t="s">
        <v>11799</v>
      </c>
      <c r="V30" s="346" t="s">
        <v>481</v>
      </c>
    </row>
    <row r="31" spans="1:22" ht="15.75" customHeight="1">
      <c r="A31" s="343" t="s">
        <v>101</v>
      </c>
      <c r="B31" s="344">
        <f t="shared" si="0"/>
        <v>4.125</v>
      </c>
      <c r="C31" s="344">
        <v>4.25</v>
      </c>
      <c r="D31" s="343" t="s">
        <v>11789</v>
      </c>
      <c r="E31" s="343">
        <v>4</v>
      </c>
      <c r="F31" s="343" t="s">
        <v>18</v>
      </c>
      <c r="G31" s="343" t="s">
        <v>747</v>
      </c>
      <c r="H31" s="343" t="s">
        <v>5</v>
      </c>
      <c r="I31" s="343" t="s">
        <v>447</v>
      </c>
      <c r="J31" s="343" t="s">
        <v>10286</v>
      </c>
      <c r="K31" s="343">
        <v>4.5</v>
      </c>
      <c r="L31" s="343" t="s">
        <v>622</v>
      </c>
      <c r="M31" s="343" t="s">
        <v>749</v>
      </c>
      <c r="N31" s="343">
        <v>4</v>
      </c>
      <c r="O31" s="343"/>
      <c r="P31" s="343"/>
      <c r="Q31" s="343" t="s">
        <v>452</v>
      </c>
      <c r="R31" s="343" t="s">
        <v>10287</v>
      </c>
      <c r="S31" s="343" t="s">
        <v>751</v>
      </c>
      <c r="T31" s="343"/>
      <c r="U31" s="343" t="s">
        <v>11800</v>
      </c>
      <c r="V31" s="346" t="s">
        <v>454</v>
      </c>
    </row>
    <row r="32" spans="1:22" ht="15.75" customHeight="1">
      <c r="A32" s="348" t="s">
        <v>103</v>
      </c>
      <c r="B32" s="344">
        <f t="shared" si="0"/>
        <v>3.875</v>
      </c>
      <c r="C32" s="344">
        <v>3.75</v>
      </c>
      <c r="D32" s="343" t="s">
        <v>11771</v>
      </c>
      <c r="E32" s="343">
        <v>4</v>
      </c>
      <c r="F32" s="343" t="s">
        <v>18</v>
      </c>
      <c r="G32" s="348" t="s">
        <v>756</v>
      </c>
      <c r="H32" s="348" t="s">
        <v>5</v>
      </c>
      <c r="I32" s="348" t="s">
        <v>447</v>
      </c>
      <c r="J32" s="348" t="s">
        <v>10750</v>
      </c>
      <c r="K32" s="348">
        <v>4</v>
      </c>
      <c r="L32" s="348" t="s">
        <v>543</v>
      </c>
      <c r="M32" s="348" t="s">
        <v>11569</v>
      </c>
      <c r="N32" s="348">
        <v>3.5</v>
      </c>
      <c r="O32" s="348"/>
      <c r="P32" s="348"/>
      <c r="Q32" s="348" t="s">
        <v>452</v>
      </c>
      <c r="R32" s="348" t="s">
        <v>759</v>
      </c>
      <c r="S32" s="348"/>
      <c r="T32" s="348" t="s">
        <v>760</v>
      </c>
      <c r="U32" s="348" t="s">
        <v>11801</v>
      </c>
      <c r="V32" s="346" t="s">
        <v>481</v>
      </c>
    </row>
    <row r="33" spans="1:22" ht="15.75" customHeight="1">
      <c r="A33" s="343" t="s">
        <v>104</v>
      </c>
      <c r="B33" s="344">
        <f t="shared" si="0"/>
        <v>3.25</v>
      </c>
      <c r="C33" s="344">
        <v>4.5</v>
      </c>
      <c r="D33" s="343" t="s">
        <v>11802</v>
      </c>
      <c r="E33" s="343">
        <v>2</v>
      </c>
      <c r="F33" s="343" t="s">
        <v>18</v>
      </c>
      <c r="G33" s="343" t="s">
        <v>11803</v>
      </c>
      <c r="H33" s="343" t="s">
        <v>5</v>
      </c>
      <c r="I33" s="343" t="s">
        <v>447</v>
      </c>
      <c r="J33" s="343" t="s">
        <v>11297</v>
      </c>
      <c r="K33" s="343">
        <v>4.5</v>
      </c>
      <c r="L33" s="343" t="s">
        <v>449</v>
      </c>
      <c r="M33" s="343" t="s">
        <v>11298</v>
      </c>
      <c r="N33" s="343">
        <v>4.5</v>
      </c>
      <c r="O33" s="343" t="s">
        <v>768</v>
      </c>
      <c r="P33" s="351">
        <v>48500000</v>
      </c>
      <c r="Q33" s="343" t="s">
        <v>452</v>
      </c>
      <c r="R33" s="343" t="s">
        <v>452</v>
      </c>
      <c r="S33" s="343"/>
      <c r="T33" s="343"/>
      <c r="U33" s="343" t="s">
        <v>11804</v>
      </c>
      <c r="V33" s="346" t="s">
        <v>454</v>
      </c>
    </row>
    <row r="34" spans="1:22" ht="15.75" customHeight="1">
      <c r="A34" s="343" t="s">
        <v>105</v>
      </c>
      <c r="B34" s="344">
        <f t="shared" si="0"/>
        <v>4</v>
      </c>
      <c r="C34" s="344">
        <v>4</v>
      </c>
      <c r="D34" s="343" t="s">
        <v>11802</v>
      </c>
      <c r="E34" s="343">
        <v>4</v>
      </c>
      <c r="F34" s="343" t="s">
        <v>18</v>
      </c>
      <c r="G34" s="343" t="s">
        <v>773</v>
      </c>
      <c r="H34" s="343" t="s">
        <v>5</v>
      </c>
      <c r="I34" s="343" t="s">
        <v>447</v>
      </c>
      <c r="J34" s="343" t="s">
        <v>10997</v>
      </c>
      <c r="K34" s="343">
        <v>4</v>
      </c>
      <c r="L34" s="343" t="s">
        <v>449</v>
      </c>
      <c r="M34" s="343" t="s">
        <v>11805</v>
      </c>
      <c r="N34" s="343">
        <v>4</v>
      </c>
      <c r="O34" s="343" t="s">
        <v>478</v>
      </c>
      <c r="P34" s="345">
        <v>20000000</v>
      </c>
      <c r="Q34" s="343" t="s">
        <v>452</v>
      </c>
      <c r="R34" s="343" t="s">
        <v>776</v>
      </c>
      <c r="S34" s="343"/>
      <c r="T34" s="343"/>
      <c r="U34" s="343" t="s">
        <v>11806</v>
      </c>
      <c r="V34" s="346" t="s">
        <v>481</v>
      </c>
    </row>
    <row r="35" spans="1:22" ht="15.75" customHeight="1">
      <c r="A35" s="348" t="s">
        <v>106</v>
      </c>
      <c r="B35" s="344">
        <f t="shared" si="0"/>
        <v>4.125</v>
      </c>
      <c r="C35" s="344">
        <v>3.25</v>
      </c>
      <c r="D35" s="343" t="s">
        <v>11802</v>
      </c>
      <c r="E35" s="343">
        <v>5</v>
      </c>
      <c r="F35" s="343" t="s">
        <v>18</v>
      </c>
      <c r="G35" s="348" t="s">
        <v>781</v>
      </c>
      <c r="H35" s="348" t="s">
        <v>5</v>
      </c>
      <c r="I35" s="348" t="s">
        <v>447</v>
      </c>
      <c r="J35" s="348" t="s">
        <v>10610</v>
      </c>
      <c r="K35" s="348">
        <v>3.5</v>
      </c>
      <c r="L35" s="348" t="s">
        <v>543</v>
      </c>
      <c r="M35" s="348" t="s">
        <v>11578</v>
      </c>
      <c r="N35" s="348">
        <v>3</v>
      </c>
      <c r="O35" s="348" t="s">
        <v>784</v>
      </c>
      <c r="P35" s="349">
        <v>4000000</v>
      </c>
      <c r="Q35" s="348" t="s">
        <v>465</v>
      </c>
      <c r="R35" s="348" t="s">
        <v>785</v>
      </c>
      <c r="S35" s="348"/>
      <c r="T35" s="348" t="s">
        <v>11579</v>
      </c>
      <c r="U35" s="348" t="s">
        <v>11807</v>
      </c>
      <c r="V35" s="346" t="s">
        <v>454</v>
      </c>
    </row>
    <row r="36" spans="1:22" ht="15.75" customHeight="1">
      <c r="A36" s="348" t="s">
        <v>108</v>
      </c>
      <c r="B36" s="344">
        <f t="shared" si="0"/>
        <v>5</v>
      </c>
      <c r="C36" s="344">
        <v>5</v>
      </c>
      <c r="D36" s="343"/>
      <c r="E36" s="343"/>
      <c r="F36" s="343" t="str">
        <f t="array" ref="F36">INDEX(Notes!B:B,MATCH($A36,Notes!$A:$A,0))</f>
        <v>Invite</v>
      </c>
      <c r="G36" s="348" t="s">
        <v>791</v>
      </c>
      <c r="H36" s="348" t="s">
        <v>5</v>
      </c>
      <c r="I36" s="348" t="s">
        <v>447</v>
      </c>
      <c r="J36" s="348" t="s">
        <v>792</v>
      </c>
      <c r="K36" s="348">
        <v>5</v>
      </c>
      <c r="L36" s="348" t="s">
        <v>543</v>
      </c>
      <c r="M36" s="348" t="s">
        <v>11399</v>
      </c>
      <c r="N36" s="348">
        <v>5</v>
      </c>
      <c r="O36" s="348" t="s">
        <v>478</v>
      </c>
      <c r="P36" s="349">
        <v>30000000</v>
      </c>
      <c r="Q36" s="348" t="s">
        <v>452</v>
      </c>
      <c r="R36" s="348" t="s">
        <v>794</v>
      </c>
      <c r="S36" s="348"/>
      <c r="T36" s="348">
        <f t="array" ref="T36">INDEX(Notes!C:C,MATCH($A36,Notes!$A:$A,0))</f>
        <v>0</v>
      </c>
      <c r="U36" s="348" t="s">
        <v>11808</v>
      </c>
      <c r="V36" s="346" t="s">
        <v>454</v>
      </c>
    </row>
    <row r="37" spans="1:22" ht="15.75" customHeight="1">
      <c r="A37" s="343" t="s">
        <v>109</v>
      </c>
      <c r="B37" s="344">
        <f t="shared" si="0"/>
        <v>4.5</v>
      </c>
      <c r="C37" s="344">
        <v>4</v>
      </c>
      <c r="D37" s="343" t="s">
        <v>11802</v>
      </c>
      <c r="E37" s="343">
        <v>5</v>
      </c>
      <c r="F37" s="343" t="s">
        <v>18</v>
      </c>
      <c r="G37" s="343" t="s">
        <v>799</v>
      </c>
      <c r="H37" s="343" t="s">
        <v>5</v>
      </c>
      <c r="I37" s="343" t="s">
        <v>447</v>
      </c>
      <c r="J37" s="343" t="s">
        <v>11152</v>
      </c>
      <c r="K37" s="343">
        <v>4</v>
      </c>
      <c r="L37" s="343" t="s">
        <v>449</v>
      </c>
      <c r="M37" s="343" t="s">
        <v>11661</v>
      </c>
      <c r="N37" s="343">
        <v>4</v>
      </c>
      <c r="O37" s="343" t="s">
        <v>478</v>
      </c>
      <c r="P37" s="347">
        <v>12000000</v>
      </c>
      <c r="Q37" s="343" t="s">
        <v>452</v>
      </c>
      <c r="R37" s="343" t="s">
        <v>452</v>
      </c>
      <c r="S37" s="343"/>
      <c r="T37" s="343"/>
      <c r="U37" s="343" t="s">
        <v>11809</v>
      </c>
      <c r="V37" s="346" t="s">
        <v>481</v>
      </c>
    </row>
    <row r="38" spans="1:22" ht="15.75" customHeight="1">
      <c r="A38" s="343" t="s">
        <v>112</v>
      </c>
      <c r="B38" s="344">
        <f t="shared" si="0"/>
        <v>4.5</v>
      </c>
      <c r="C38" s="344">
        <v>4</v>
      </c>
      <c r="D38" s="343" t="s">
        <v>11802</v>
      </c>
      <c r="E38" s="343">
        <v>5</v>
      </c>
      <c r="F38" s="353" t="s">
        <v>18</v>
      </c>
      <c r="G38" s="343" t="s">
        <v>806</v>
      </c>
      <c r="H38" s="343" t="s">
        <v>5</v>
      </c>
      <c r="I38" s="343" t="s">
        <v>602</v>
      </c>
      <c r="J38" s="343" t="s">
        <v>807</v>
      </c>
      <c r="K38" s="343">
        <v>4.5</v>
      </c>
      <c r="L38" s="343" t="s">
        <v>449</v>
      </c>
      <c r="M38" s="343" t="s">
        <v>11561</v>
      </c>
      <c r="N38" s="343">
        <v>3.5</v>
      </c>
      <c r="O38" s="343"/>
      <c r="P38" s="347"/>
      <c r="Q38" s="343" t="s">
        <v>452</v>
      </c>
      <c r="R38" s="343" t="s">
        <v>809</v>
      </c>
      <c r="S38" s="343" t="s">
        <v>602</v>
      </c>
      <c r="T38" s="343" t="s">
        <v>810</v>
      </c>
      <c r="U38" s="343" t="s">
        <v>11791</v>
      </c>
      <c r="V38" s="346" t="s">
        <v>454</v>
      </c>
    </row>
    <row r="39" spans="1:22" ht="15.75" customHeight="1">
      <c r="A39" s="343" t="s">
        <v>113</v>
      </c>
      <c r="B39" s="344">
        <f t="shared" si="0"/>
        <v>4.5</v>
      </c>
      <c r="C39" s="344">
        <v>4</v>
      </c>
      <c r="D39" s="343" t="s">
        <v>11802</v>
      </c>
      <c r="E39" s="343">
        <v>5</v>
      </c>
      <c r="F39" s="343" t="s">
        <v>18</v>
      </c>
      <c r="G39" s="343" t="s">
        <v>814</v>
      </c>
      <c r="H39" s="343" t="s">
        <v>5</v>
      </c>
      <c r="I39" s="343" t="s">
        <v>447</v>
      </c>
      <c r="J39" s="343" t="s">
        <v>10521</v>
      </c>
      <c r="K39" s="343">
        <v>4</v>
      </c>
      <c r="L39" s="343" t="s">
        <v>449</v>
      </c>
      <c r="M39" s="343" t="s">
        <v>13400</v>
      </c>
      <c r="N39" s="343">
        <v>4</v>
      </c>
      <c r="O39" s="343" t="s">
        <v>451</v>
      </c>
      <c r="P39" s="343">
        <v>2000000</v>
      </c>
      <c r="Q39" s="343" t="s">
        <v>454</v>
      </c>
      <c r="R39" s="343" t="s">
        <v>452</v>
      </c>
      <c r="S39" s="343"/>
      <c r="T39" s="343" t="s">
        <v>817</v>
      </c>
      <c r="U39" s="343" t="s">
        <v>11810</v>
      </c>
      <c r="V39" s="346" t="s">
        <v>481</v>
      </c>
    </row>
    <row r="40" spans="1:22" ht="15.75" customHeight="1">
      <c r="A40" s="343" t="s">
        <v>114</v>
      </c>
      <c r="B40" s="344">
        <f t="shared" si="0"/>
        <v>4.5</v>
      </c>
      <c r="C40" s="344">
        <v>4</v>
      </c>
      <c r="D40" s="343" t="s">
        <v>11802</v>
      </c>
      <c r="E40" s="343">
        <v>5</v>
      </c>
      <c r="F40" s="343" t="s">
        <v>18</v>
      </c>
      <c r="G40" s="343" t="s">
        <v>822</v>
      </c>
      <c r="H40" s="343" t="s">
        <v>5</v>
      </c>
      <c r="I40" s="343" t="s">
        <v>447</v>
      </c>
      <c r="J40" s="343" t="s">
        <v>11492</v>
      </c>
      <c r="K40" s="343">
        <v>4.5</v>
      </c>
      <c r="L40" s="343" t="s">
        <v>622</v>
      </c>
      <c r="M40" s="343" t="s">
        <v>11712</v>
      </c>
      <c r="N40" s="343">
        <v>3.5</v>
      </c>
      <c r="O40" s="343" t="s">
        <v>478</v>
      </c>
      <c r="P40" s="351">
        <v>15000000</v>
      </c>
      <c r="Q40" s="343" t="s">
        <v>452</v>
      </c>
      <c r="R40" s="343" t="s">
        <v>825</v>
      </c>
      <c r="S40" s="343"/>
      <c r="T40" s="343"/>
      <c r="U40" s="343" t="s">
        <v>11811</v>
      </c>
      <c r="V40" s="346" t="s">
        <v>481</v>
      </c>
    </row>
    <row r="41" spans="1:22" ht="15.75" customHeight="1">
      <c r="A41" s="343" t="s">
        <v>115</v>
      </c>
      <c r="B41" s="344">
        <f t="shared" si="0"/>
        <v>4.75</v>
      </c>
      <c r="C41" s="344">
        <v>4.5</v>
      </c>
      <c r="D41" s="343" t="s">
        <v>11802</v>
      </c>
      <c r="E41" s="343">
        <v>5</v>
      </c>
      <c r="F41" s="343" t="s">
        <v>18</v>
      </c>
      <c r="G41" s="343" t="s">
        <v>829</v>
      </c>
      <c r="H41" s="343" t="s">
        <v>5</v>
      </c>
      <c r="I41" s="343" t="s">
        <v>447</v>
      </c>
      <c r="J41" s="343" t="s">
        <v>10769</v>
      </c>
      <c r="K41" s="343">
        <v>4</v>
      </c>
      <c r="L41" s="343" t="s">
        <v>449</v>
      </c>
      <c r="M41" s="343" t="e">
        <f>+Credible and passionate Team
+Compiling vision and roadmap
+Novel and propriety Tech
+MVP and trials with hospital
+Large potential market</f>
        <v>#NAME?</v>
      </c>
      <c r="N41" s="343">
        <v>5</v>
      </c>
      <c r="O41" s="343" t="s">
        <v>451</v>
      </c>
      <c r="P41" s="343">
        <v>2000000</v>
      </c>
      <c r="Q41" s="343" t="s">
        <v>452</v>
      </c>
      <c r="R41" s="343" t="s">
        <v>832</v>
      </c>
      <c r="S41" s="343"/>
      <c r="T41" s="343" t="s">
        <v>11613</v>
      </c>
      <c r="U41" s="343" t="s">
        <v>11788</v>
      </c>
      <c r="V41" s="346" t="s">
        <v>481</v>
      </c>
    </row>
    <row r="42" spans="1:22" ht="15.75" customHeight="1">
      <c r="A42" s="343" t="s">
        <v>116</v>
      </c>
      <c r="B42" s="344">
        <f t="shared" si="0"/>
        <v>3</v>
      </c>
      <c r="C42" s="344">
        <v>4</v>
      </c>
      <c r="D42" s="343" t="s">
        <v>11812</v>
      </c>
      <c r="E42" s="343">
        <v>2</v>
      </c>
      <c r="F42" s="353" t="s">
        <v>18</v>
      </c>
      <c r="G42" s="343" t="s">
        <v>1399</v>
      </c>
      <c r="H42" s="343" t="s">
        <v>4</v>
      </c>
      <c r="I42" s="343" t="s">
        <v>447</v>
      </c>
      <c r="J42" s="343" t="s">
        <v>10881</v>
      </c>
      <c r="K42" s="343">
        <v>4</v>
      </c>
      <c r="L42" s="343" t="s">
        <v>449</v>
      </c>
      <c r="M42" s="343" t="s">
        <v>11658</v>
      </c>
      <c r="N42" s="343">
        <v>4</v>
      </c>
      <c r="O42" s="343" t="s">
        <v>451</v>
      </c>
      <c r="P42" s="345">
        <v>5000000</v>
      </c>
      <c r="Q42" s="343" t="s">
        <v>452</v>
      </c>
      <c r="R42" s="343" t="s">
        <v>1402</v>
      </c>
      <c r="S42" s="343"/>
      <c r="T42" s="343"/>
      <c r="U42" s="343" t="s">
        <v>11813</v>
      </c>
      <c r="V42" s="346" t="s">
        <v>454</v>
      </c>
    </row>
    <row r="43" spans="1:22" ht="15.75" customHeight="1">
      <c r="A43" s="343" t="s">
        <v>117</v>
      </c>
      <c r="B43" s="344">
        <f t="shared" si="0"/>
        <v>3.625</v>
      </c>
      <c r="C43" s="344">
        <v>3.25</v>
      </c>
      <c r="D43" s="343" t="s">
        <v>11812</v>
      </c>
      <c r="E43" s="343">
        <v>4</v>
      </c>
      <c r="F43" s="343" t="s">
        <v>18</v>
      </c>
      <c r="G43" s="343" t="s">
        <v>838</v>
      </c>
      <c r="H43" s="343" t="s">
        <v>5</v>
      </c>
      <c r="I43" s="343" t="s">
        <v>447</v>
      </c>
      <c r="J43" s="343" t="s">
        <v>11116</v>
      </c>
      <c r="K43" s="343">
        <v>3</v>
      </c>
      <c r="L43" s="343" t="s">
        <v>449</v>
      </c>
      <c r="M43" s="343" t="s">
        <v>11814</v>
      </c>
      <c r="N43" s="343">
        <v>3.5</v>
      </c>
      <c r="O43" s="343"/>
      <c r="P43" s="343"/>
      <c r="Q43" s="343" t="s">
        <v>452</v>
      </c>
      <c r="R43" s="343" t="s">
        <v>452</v>
      </c>
      <c r="S43" s="343" t="s">
        <v>725</v>
      </c>
      <c r="T43" s="343" t="s">
        <v>841</v>
      </c>
      <c r="U43" s="343" t="s">
        <v>11815</v>
      </c>
      <c r="V43" s="346" t="s">
        <v>454</v>
      </c>
    </row>
    <row r="44" spans="1:22" ht="15.75" customHeight="1">
      <c r="A44" s="343" t="s">
        <v>118</v>
      </c>
      <c r="B44" s="344">
        <f t="shared" si="0"/>
        <v>4.375</v>
      </c>
      <c r="C44" s="344">
        <v>3.75</v>
      </c>
      <c r="D44" s="343" t="s">
        <v>11812</v>
      </c>
      <c r="E44" s="343">
        <v>5</v>
      </c>
      <c r="F44" s="343" t="s">
        <v>18</v>
      </c>
      <c r="G44" s="343" t="s">
        <v>846</v>
      </c>
      <c r="H44" s="343" t="s">
        <v>5</v>
      </c>
      <c r="I44" s="343" t="s">
        <v>460</v>
      </c>
      <c r="J44" s="343" t="s">
        <v>847</v>
      </c>
      <c r="K44" s="343">
        <v>4</v>
      </c>
      <c r="L44" s="343" t="s">
        <v>488</v>
      </c>
      <c r="M44" s="343" t="s">
        <v>848</v>
      </c>
      <c r="N44" s="343">
        <v>3.5</v>
      </c>
      <c r="O44" s="343" t="s">
        <v>451</v>
      </c>
      <c r="P44" s="343">
        <v>3000000</v>
      </c>
      <c r="Q44" s="343" t="s">
        <v>452</v>
      </c>
      <c r="R44" s="343" t="s">
        <v>11816</v>
      </c>
      <c r="S44" s="343"/>
      <c r="T44" s="343" t="s">
        <v>850</v>
      </c>
      <c r="U44" s="343" t="s">
        <v>11817</v>
      </c>
      <c r="V44" s="346" t="s">
        <v>481</v>
      </c>
    </row>
    <row r="45" spans="1:22" ht="15.75" customHeight="1">
      <c r="A45" s="343" t="s">
        <v>119</v>
      </c>
      <c r="B45" s="344">
        <f t="shared" si="0"/>
        <v>4.125</v>
      </c>
      <c r="C45" s="344">
        <v>4.25</v>
      </c>
      <c r="D45" s="343" t="s">
        <v>11812</v>
      </c>
      <c r="E45" s="343">
        <v>4</v>
      </c>
      <c r="F45" s="343" t="s">
        <v>18</v>
      </c>
      <c r="G45" s="343" t="s">
        <v>855</v>
      </c>
      <c r="H45" s="343" t="s">
        <v>5</v>
      </c>
      <c r="I45" s="343" t="s">
        <v>447</v>
      </c>
      <c r="J45" s="343" t="s">
        <v>10635</v>
      </c>
      <c r="K45" s="343">
        <v>4.5</v>
      </c>
      <c r="L45" s="343" t="s">
        <v>543</v>
      </c>
      <c r="M45" s="343" t="s">
        <v>13400</v>
      </c>
      <c r="N45" s="343">
        <v>4</v>
      </c>
      <c r="O45" s="343" t="s">
        <v>451</v>
      </c>
      <c r="P45" s="343">
        <v>2000000</v>
      </c>
      <c r="Q45" s="343" t="s">
        <v>452</v>
      </c>
      <c r="R45" s="343" t="s">
        <v>858</v>
      </c>
      <c r="S45" s="343" t="s">
        <v>859</v>
      </c>
      <c r="T45" s="343"/>
      <c r="U45" s="343" t="s">
        <v>11769</v>
      </c>
      <c r="V45" s="346" t="s">
        <v>454</v>
      </c>
    </row>
    <row r="46" spans="1:22" ht="15.75" customHeight="1">
      <c r="A46" s="343" t="s">
        <v>120</v>
      </c>
      <c r="B46" s="344">
        <f t="shared" si="0"/>
        <v>3.75</v>
      </c>
      <c r="C46" s="344">
        <v>3.75</v>
      </c>
      <c r="D46" s="343"/>
      <c r="E46" s="343"/>
      <c r="F46" s="343" t="s">
        <v>18</v>
      </c>
      <c r="G46" s="343" t="s">
        <v>864</v>
      </c>
      <c r="H46" s="343" t="s">
        <v>5</v>
      </c>
      <c r="I46" s="343" t="s">
        <v>447</v>
      </c>
      <c r="J46" s="343" t="s">
        <v>10457</v>
      </c>
      <c r="K46" s="343">
        <v>3.5</v>
      </c>
      <c r="L46" s="343" t="s">
        <v>543</v>
      </c>
      <c r="M46" s="343" t="s">
        <v>866</v>
      </c>
      <c r="N46" s="343">
        <v>4</v>
      </c>
      <c r="O46" s="343"/>
      <c r="P46" s="343"/>
      <c r="Q46" s="343" t="s">
        <v>452</v>
      </c>
      <c r="R46" s="343" t="s">
        <v>452</v>
      </c>
      <c r="S46" s="343"/>
      <c r="T46" s="343" t="s">
        <v>867</v>
      </c>
      <c r="U46" s="343" t="s">
        <v>11818</v>
      </c>
      <c r="V46" s="346" t="s">
        <v>481</v>
      </c>
    </row>
    <row r="47" spans="1:22" ht="15.75" customHeight="1">
      <c r="A47" s="343" t="s">
        <v>122</v>
      </c>
      <c r="B47" s="344">
        <f t="shared" si="0"/>
        <v>4.25</v>
      </c>
      <c r="C47" s="344">
        <v>4.25</v>
      </c>
      <c r="D47" s="343"/>
      <c r="E47" s="343"/>
      <c r="F47" s="343" t="s">
        <v>18</v>
      </c>
      <c r="G47" s="343" t="s">
        <v>872</v>
      </c>
      <c r="H47" s="343" t="s">
        <v>5</v>
      </c>
      <c r="I47" s="343" t="s">
        <v>447</v>
      </c>
      <c r="J47" s="343" t="s">
        <v>11614</v>
      </c>
      <c r="K47" s="343">
        <v>4</v>
      </c>
      <c r="L47" s="343" t="s">
        <v>543</v>
      </c>
      <c r="M47" s="343" t="s">
        <v>11819</v>
      </c>
      <c r="N47" s="343">
        <v>4.5</v>
      </c>
      <c r="O47" s="343" t="s">
        <v>451</v>
      </c>
      <c r="P47" s="343" t="s">
        <v>874</v>
      </c>
      <c r="Q47" s="343" t="s">
        <v>452</v>
      </c>
      <c r="R47" s="343" t="s">
        <v>875</v>
      </c>
      <c r="S47" s="343" t="s">
        <v>876</v>
      </c>
      <c r="T47" s="343" t="s">
        <v>877</v>
      </c>
      <c r="U47" s="343" t="s">
        <v>11777</v>
      </c>
      <c r="V47" s="346" t="s">
        <v>481</v>
      </c>
    </row>
    <row r="48" spans="1:22" ht="15.75" customHeight="1">
      <c r="A48" s="348" t="s">
        <v>124</v>
      </c>
      <c r="B48" s="344">
        <f t="shared" si="0"/>
        <v>3.5</v>
      </c>
      <c r="C48" s="344">
        <v>4</v>
      </c>
      <c r="D48" s="343" t="s">
        <v>11789</v>
      </c>
      <c r="E48" s="343">
        <v>3</v>
      </c>
      <c r="F48" s="343" t="s">
        <v>18</v>
      </c>
      <c r="G48" s="348" t="s">
        <v>882</v>
      </c>
      <c r="H48" s="348" t="s">
        <v>5</v>
      </c>
      <c r="I48" s="348" t="s">
        <v>447</v>
      </c>
      <c r="J48" s="348" t="s">
        <v>10553</v>
      </c>
      <c r="K48" s="348">
        <v>4</v>
      </c>
      <c r="L48" s="348" t="s">
        <v>449</v>
      </c>
      <c r="M48" s="348" t="s">
        <v>11554</v>
      </c>
      <c r="N48" s="348">
        <v>4</v>
      </c>
      <c r="O48" s="348" t="s">
        <v>885</v>
      </c>
      <c r="P48" s="348" t="s">
        <v>886</v>
      </c>
      <c r="Q48" s="348" t="s">
        <v>452</v>
      </c>
      <c r="R48" s="348" t="s">
        <v>10555</v>
      </c>
      <c r="S48" s="348"/>
      <c r="T48" s="348"/>
      <c r="U48" s="348" t="s">
        <v>11820</v>
      </c>
      <c r="V48" s="346" t="s">
        <v>454</v>
      </c>
    </row>
    <row r="49" spans="1:22" ht="15.75" customHeight="1">
      <c r="A49" s="343" t="s">
        <v>125</v>
      </c>
      <c r="B49" s="344">
        <f t="shared" si="0"/>
        <v>3.125</v>
      </c>
      <c r="C49" s="344">
        <v>4.25</v>
      </c>
      <c r="D49" s="343" t="s">
        <v>11821</v>
      </c>
      <c r="E49" s="343">
        <v>2</v>
      </c>
      <c r="F49" s="343" t="s">
        <v>18</v>
      </c>
      <c r="G49" s="343" t="s">
        <v>892</v>
      </c>
      <c r="H49" s="343" t="s">
        <v>5</v>
      </c>
      <c r="I49" s="343" t="s">
        <v>447</v>
      </c>
      <c r="J49" s="343" t="s">
        <v>10251</v>
      </c>
      <c r="K49" s="343">
        <v>4</v>
      </c>
      <c r="L49" s="343" t="s">
        <v>543</v>
      </c>
      <c r="M49" s="343" t="s">
        <v>894</v>
      </c>
      <c r="N49" s="343">
        <v>4.5</v>
      </c>
      <c r="O49" s="343" t="s">
        <v>478</v>
      </c>
      <c r="P49" s="345">
        <v>3000000</v>
      </c>
      <c r="Q49" s="343" t="s">
        <v>452</v>
      </c>
      <c r="R49" s="343" t="s">
        <v>895</v>
      </c>
      <c r="S49" s="343"/>
      <c r="T49" s="343" t="s">
        <v>896</v>
      </c>
      <c r="U49" s="343" t="s">
        <v>11822</v>
      </c>
      <c r="V49" s="346" t="s">
        <v>481</v>
      </c>
    </row>
    <row r="50" spans="1:22" ht="15.75" customHeight="1">
      <c r="A50" s="348" t="s">
        <v>127</v>
      </c>
      <c r="B50" s="344">
        <f t="shared" si="0"/>
        <v>4</v>
      </c>
      <c r="C50" s="344">
        <v>4</v>
      </c>
      <c r="D50" s="343" t="s">
        <v>11821</v>
      </c>
      <c r="E50" s="343">
        <v>4</v>
      </c>
      <c r="F50" s="343" t="s">
        <v>18</v>
      </c>
      <c r="G50" s="348" t="s">
        <v>901</v>
      </c>
      <c r="H50" s="348" t="s">
        <v>5</v>
      </c>
      <c r="I50" s="348" t="s">
        <v>447</v>
      </c>
      <c r="J50" s="348" t="s">
        <v>10588</v>
      </c>
      <c r="K50" s="348">
        <v>4</v>
      </c>
      <c r="L50" s="348" t="s">
        <v>449</v>
      </c>
      <c r="M50" s="348" t="s">
        <v>11556</v>
      </c>
      <c r="N50" s="348">
        <v>4</v>
      </c>
      <c r="O50" s="348" t="s">
        <v>451</v>
      </c>
      <c r="P50" s="350">
        <v>4000000</v>
      </c>
      <c r="Q50" s="348" t="s">
        <v>452</v>
      </c>
      <c r="R50" s="350" t="s">
        <v>904</v>
      </c>
      <c r="S50" s="348"/>
      <c r="T50" s="348"/>
      <c r="U50" s="348" t="s">
        <v>11823</v>
      </c>
      <c r="V50" s="346" t="s">
        <v>481</v>
      </c>
    </row>
    <row r="51" spans="1:22" ht="15.75" customHeight="1">
      <c r="A51" s="348" t="s">
        <v>128</v>
      </c>
      <c r="B51" s="344">
        <f t="shared" si="0"/>
        <v>5</v>
      </c>
      <c r="C51" s="344">
        <v>5</v>
      </c>
      <c r="D51" s="343"/>
      <c r="E51" s="343"/>
      <c r="F51" s="343" t="s">
        <v>18</v>
      </c>
      <c r="G51" s="348" t="s">
        <v>920</v>
      </c>
      <c r="H51" s="348" t="s">
        <v>5</v>
      </c>
      <c r="I51" s="348" t="s">
        <v>447</v>
      </c>
      <c r="J51" s="348" t="s">
        <v>10430</v>
      </c>
      <c r="K51" s="348">
        <v>5</v>
      </c>
      <c r="L51" s="348" t="s">
        <v>543</v>
      </c>
      <c r="M51" s="348" t="s">
        <v>11545</v>
      </c>
      <c r="N51" s="348">
        <v>5</v>
      </c>
      <c r="O51" s="348" t="s">
        <v>923</v>
      </c>
      <c r="P51" s="350">
        <v>3000000</v>
      </c>
      <c r="Q51" s="348" t="s">
        <v>452</v>
      </c>
      <c r="R51" s="350" t="s">
        <v>924</v>
      </c>
      <c r="S51" s="348"/>
      <c r="T51" s="348" t="s">
        <v>925</v>
      </c>
      <c r="U51" s="348" t="s">
        <v>11824</v>
      </c>
      <c r="V51" s="346" t="s">
        <v>481</v>
      </c>
    </row>
    <row r="52" spans="1:22" ht="15.75" customHeight="1">
      <c r="A52" s="343" t="s">
        <v>129</v>
      </c>
      <c r="B52" s="344">
        <f t="shared" si="0"/>
        <v>3.5</v>
      </c>
      <c r="C52" s="344">
        <v>4</v>
      </c>
      <c r="D52" s="343" t="s">
        <v>11821</v>
      </c>
      <c r="E52" s="343">
        <v>3</v>
      </c>
      <c r="F52" s="343" t="s">
        <v>18</v>
      </c>
      <c r="G52" s="343" t="s">
        <v>10363</v>
      </c>
      <c r="H52" s="343" t="s">
        <v>5</v>
      </c>
      <c r="I52" s="343" t="s">
        <v>447</v>
      </c>
      <c r="J52" s="352" t="s">
        <v>11825</v>
      </c>
      <c r="K52" s="343">
        <v>4</v>
      </c>
      <c r="L52" s="343" t="s">
        <v>449</v>
      </c>
      <c r="M52" s="343" t="s">
        <v>13400</v>
      </c>
      <c r="N52" s="343">
        <v>4</v>
      </c>
      <c r="O52" s="343" t="s">
        <v>478</v>
      </c>
      <c r="P52" s="345">
        <v>5000000</v>
      </c>
      <c r="Q52" s="343" t="s">
        <v>452</v>
      </c>
      <c r="R52" s="343" t="s">
        <v>933</v>
      </c>
      <c r="S52" s="343" t="s">
        <v>934</v>
      </c>
      <c r="T52" s="343"/>
      <c r="U52" s="343" t="s">
        <v>11826</v>
      </c>
      <c r="V52" s="346" t="s">
        <v>481</v>
      </c>
    </row>
    <row r="53" spans="1:22" ht="15.75" customHeight="1">
      <c r="A53" s="343" t="s">
        <v>133</v>
      </c>
      <c r="B53" s="344">
        <f t="shared" si="0"/>
        <v>4.75</v>
      </c>
      <c r="C53" s="344">
        <v>4.75</v>
      </c>
      <c r="D53" s="343"/>
      <c r="E53" s="343"/>
      <c r="F53" s="343" t="s">
        <v>18</v>
      </c>
      <c r="G53" s="343" t="s">
        <v>939</v>
      </c>
      <c r="H53" s="343" t="s">
        <v>5</v>
      </c>
      <c r="I53" s="343" t="s">
        <v>460</v>
      </c>
      <c r="J53" s="343" t="s">
        <v>11641</v>
      </c>
      <c r="K53" s="343">
        <v>4.5</v>
      </c>
      <c r="L53" s="343" t="s">
        <v>941</v>
      </c>
      <c r="M53" s="343" t="s">
        <v>11827</v>
      </c>
      <c r="N53" s="343">
        <v>5</v>
      </c>
      <c r="O53" s="343" t="s">
        <v>923</v>
      </c>
      <c r="P53" s="343" t="s">
        <v>943</v>
      </c>
      <c r="Q53" s="343" t="s">
        <v>454</v>
      </c>
      <c r="R53" s="343" t="s">
        <v>11038</v>
      </c>
      <c r="S53" s="343" t="s">
        <v>945</v>
      </c>
      <c r="T53" s="343" t="s">
        <v>946</v>
      </c>
      <c r="U53" s="343" t="s">
        <v>11788</v>
      </c>
      <c r="V53" s="346" t="s">
        <v>481</v>
      </c>
    </row>
    <row r="54" spans="1:22" ht="15.75" customHeight="1">
      <c r="A54" s="343" t="s">
        <v>135</v>
      </c>
      <c r="B54" s="344">
        <f t="shared" si="0"/>
        <v>4.25</v>
      </c>
      <c r="C54" s="344">
        <v>4.25</v>
      </c>
      <c r="D54" s="343"/>
      <c r="E54" s="343"/>
      <c r="F54" s="343" t="s">
        <v>18</v>
      </c>
      <c r="G54" s="343" t="s">
        <v>952</v>
      </c>
      <c r="H54" s="343" t="s">
        <v>5</v>
      </c>
      <c r="I54" s="343" t="s">
        <v>447</v>
      </c>
      <c r="J54" s="343" t="s">
        <v>11704</v>
      </c>
      <c r="K54" s="343">
        <v>4.5</v>
      </c>
      <c r="L54" s="343" t="s">
        <v>622</v>
      </c>
      <c r="M54" s="343" t="s">
        <v>11705</v>
      </c>
      <c r="N54" s="343">
        <v>4</v>
      </c>
      <c r="O54" s="343"/>
      <c r="P54" s="343"/>
      <c r="Q54" s="343" t="s">
        <v>452</v>
      </c>
      <c r="R54" s="343" t="s">
        <v>955</v>
      </c>
      <c r="S54" s="343"/>
      <c r="T54" s="343" t="s">
        <v>11706</v>
      </c>
      <c r="U54" s="343" t="s">
        <v>11770</v>
      </c>
      <c r="V54" s="346" t="s">
        <v>481</v>
      </c>
    </row>
    <row r="55" spans="1:22" ht="15.75" customHeight="1">
      <c r="A55" s="343" t="s">
        <v>138</v>
      </c>
      <c r="B55" s="344">
        <f t="shared" si="0"/>
        <v>4.5</v>
      </c>
      <c r="C55" s="344">
        <v>4.5</v>
      </c>
      <c r="D55" s="343"/>
      <c r="E55" s="343"/>
      <c r="F55" s="343" t="s">
        <v>18</v>
      </c>
      <c r="G55" s="343" t="s">
        <v>961</v>
      </c>
      <c r="H55" s="343" t="s">
        <v>5</v>
      </c>
      <c r="I55" s="343" t="s">
        <v>725</v>
      </c>
      <c r="J55" s="343" t="s">
        <v>11491</v>
      </c>
      <c r="K55" s="343">
        <v>4.5</v>
      </c>
      <c r="L55" s="343" t="s">
        <v>462</v>
      </c>
      <c r="M55" s="343" t="s">
        <v>963</v>
      </c>
      <c r="N55" s="343">
        <v>4.5</v>
      </c>
      <c r="O55" s="343"/>
      <c r="P55" s="343"/>
      <c r="Q55" s="343" t="s">
        <v>452</v>
      </c>
      <c r="R55" s="343" t="s">
        <v>964</v>
      </c>
      <c r="S55" s="343"/>
      <c r="T55" s="343" t="s">
        <v>965</v>
      </c>
      <c r="U55" s="343" t="s">
        <v>11800</v>
      </c>
      <c r="V55" s="346" t="s">
        <v>454</v>
      </c>
    </row>
    <row r="56" spans="1:22" ht="15.75" customHeight="1">
      <c r="A56" s="343" t="s">
        <v>142</v>
      </c>
      <c r="B56" s="344">
        <f t="shared" si="0"/>
        <v>4</v>
      </c>
      <c r="C56" s="344">
        <v>4</v>
      </c>
      <c r="D56" s="343"/>
      <c r="E56" s="343"/>
      <c r="F56" s="343" t="s">
        <v>18</v>
      </c>
      <c r="G56" s="343" t="s">
        <v>970</v>
      </c>
      <c r="H56" s="343" t="s">
        <v>5</v>
      </c>
      <c r="I56" s="343" t="s">
        <v>447</v>
      </c>
      <c r="J56" s="343" t="s">
        <v>11346</v>
      </c>
      <c r="K56" s="343">
        <v>4</v>
      </c>
      <c r="L56" s="343" t="s">
        <v>449</v>
      </c>
      <c r="M56" s="343" t="s">
        <v>11657</v>
      </c>
      <c r="N56" s="343">
        <v>4</v>
      </c>
      <c r="O56" s="343" t="s">
        <v>973</v>
      </c>
      <c r="P56" s="347" t="s">
        <v>11828</v>
      </c>
      <c r="Q56" s="343" t="s">
        <v>452</v>
      </c>
      <c r="R56" s="343" t="s">
        <v>974</v>
      </c>
      <c r="S56" s="343"/>
      <c r="T56" s="343"/>
      <c r="U56" s="343" t="s">
        <v>11829</v>
      </c>
      <c r="V56" s="346" t="s">
        <v>481</v>
      </c>
    </row>
    <row r="57" spans="1:22" ht="15.75" customHeight="1">
      <c r="A57" s="348" t="s">
        <v>143</v>
      </c>
      <c r="B57" s="344">
        <f t="shared" si="0"/>
        <v>4</v>
      </c>
      <c r="C57" s="344">
        <v>4</v>
      </c>
      <c r="D57" s="343"/>
      <c r="E57" s="343"/>
      <c r="F57" s="343" t="s">
        <v>18</v>
      </c>
      <c r="G57" s="348" t="s">
        <v>979</v>
      </c>
      <c r="H57" s="348" t="s">
        <v>5</v>
      </c>
      <c r="I57" s="348" t="s">
        <v>447</v>
      </c>
      <c r="J57" s="348" t="s">
        <v>11830</v>
      </c>
      <c r="K57" s="348">
        <v>4</v>
      </c>
      <c r="L57" s="348" t="s">
        <v>476</v>
      </c>
      <c r="M57" s="348" t="s">
        <v>11831</v>
      </c>
      <c r="N57" s="348">
        <v>4</v>
      </c>
      <c r="O57" s="348" t="s">
        <v>451</v>
      </c>
      <c r="P57" s="348" t="s">
        <v>982</v>
      </c>
      <c r="Q57" s="348" t="s">
        <v>452</v>
      </c>
      <c r="R57" s="348" t="s">
        <v>983</v>
      </c>
      <c r="S57" s="348"/>
      <c r="T57" s="348">
        <f t="array" ref="T57">INDEX(Notes!C:C,MATCH($A57,Notes!$A:$A,0))</f>
        <v>0</v>
      </c>
      <c r="U57" s="348" t="s">
        <v>11832</v>
      </c>
      <c r="V57" s="346" t="s">
        <v>481</v>
      </c>
    </row>
    <row r="58" spans="1:22" ht="15.75" customHeight="1">
      <c r="A58" s="343" t="s">
        <v>352</v>
      </c>
      <c r="B58" s="344">
        <f t="shared" si="0"/>
        <v>4</v>
      </c>
      <c r="C58" s="344">
        <v>4</v>
      </c>
      <c r="D58" s="343"/>
      <c r="E58" s="343"/>
      <c r="F58" s="343" t="s">
        <v>18</v>
      </c>
      <c r="G58" s="343" t="s">
        <v>3608</v>
      </c>
      <c r="H58" s="343" t="s">
        <v>5</v>
      </c>
      <c r="I58" s="343" t="s">
        <v>460</v>
      </c>
      <c r="J58" s="343" t="s">
        <v>10570</v>
      </c>
      <c r="K58" s="343">
        <v>4</v>
      </c>
      <c r="L58" s="343" t="s">
        <v>462</v>
      </c>
      <c r="M58" s="343" t="s">
        <v>3610</v>
      </c>
      <c r="N58" s="343">
        <v>4</v>
      </c>
      <c r="O58" s="343"/>
      <c r="P58" s="343"/>
      <c r="Q58" s="343" t="s">
        <v>452</v>
      </c>
      <c r="R58" s="343" t="s">
        <v>3611</v>
      </c>
      <c r="S58" s="343"/>
      <c r="T58" s="343" t="s">
        <v>11709</v>
      </c>
      <c r="U58" s="343" t="s">
        <v>11833</v>
      </c>
      <c r="V58" s="346" t="s">
        <v>481</v>
      </c>
    </row>
    <row r="59" spans="1:22" ht="15.75" customHeight="1">
      <c r="A59" s="354" t="s">
        <v>61</v>
      </c>
      <c r="B59" s="355"/>
      <c r="C59" s="355"/>
      <c r="D59" s="354"/>
      <c r="E59" s="354"/>
      <c r="F59" s="343" t="s">
        <v>18</v>
      </c>
      <c r="G59" s="354"/>
      <c r="H59" s="354"/>
      <c r="I59" s="354"/>
      <c r="J59" s="354"/>
      <c r="K59" s="354"/>
      <c r="L59" s="354"/>
      <c r="M59" s="354"/>
      <c r="N59" s="354"/>
      <c r="O59" s="354"/>
      <c r="P59" s="356"/>
      <c r="Q59" s="354"/>
      <c r="R59" s="354"/>
      <c r="S59" s="354"/>
      <c r="T59" s="354"/>
      <c r="U59" s="354"/>
      <c r="V59" s="306"/>
    </row>
    <row r="60" spans="1:22" ht="15.75" customHeight="1">
      <c r="A60" s="354" t="s">
        <v>63</v>
      </c>
      <c r="B60" s="355">
        <f t="shared" ref="B60:B91" si="1">AVERAGE(C60,E60)</f>
        <v>3.25</v>
      </c>
      <c r="C60" s="355">
        <v>3.5</v>
      </c>
      <c r="D60" s="354" t="s">
        <v>11771</v>
      </c>
      <c r="E60" s="354">
        <v>3</v>
      </c>
      <c r="F60" s="354" t="s">
        <v>24</v>
      </c>
      <c r="G60" s="354" t="s">
        <v>2101</v>
      </c>
      <c r="H60" s="354" t="s">
        <v>5</v>
      </c>
      <c r="I60" s="354" t="s">
        <v>447</v>
      </c>
      <c r="J60" s="354" t="s">
        <v>10818</v>
      </c>
      <c r="K60" s="354">
        <v>3.5</v>
      </c>
      <c r="L60" s="354" t="s">
        <v>543</v>
      </c>
      <c r="M60" s="354" t="s">
        <v>10819</v>
      </c>
      <c r="N60" s="354">
        <v>3.5</v>
      </c>
      <c r="O60" s="354"/>
      <c r="P60" s="356"/>
      <c r="Q60" s="354" t="s">
        <v>452</v>
      </c>
      <c r="R60" s="354" t="s">
        <v>2104</v>
      </c>
      <c r="S60" s="354"/>
      <c r="T60" s="354" t="s">
        <v>2105</v>
      </c>
      <c r="U60" s="354" t="s">
        <v>11834</v>
      </c>
      <c r="V60" s="306" t="s">
        <v>454</v>
      </c>
    </row>
    <row r="61" spans="1:22" ht="15.75" customHeight="1">
      <c r="A61" s="354" t="s">
        <v>70</v>
      </c>
      <c r="B61" s="355">
        <f t="shared" si="1"/>
        <v>4</v>
      </c>
      <c r="C61" s="355">
        <v>4</v>
      </c>
      <c r="D61" s="354" t="s">
        <v>11765</v>
      </c>
      <c r="E61" s="354">
        <v>4</v>
      </c>
      <c r="F61" s="357" t="s">
        <v>24</v>
      </c>
      <c r="G61" s="354" t="s">
        <v>2247</v>
      </c>
      <c r="H61" s="354" t="s">
        <v>5</v>
      </c>
      <c r="I61" s="354" t="s">
        <v>460</v>
      </c>
      <c r="J61" s="354" t="s">
        <v>2248</v>
      </c>
      <c r="K61" s="354">
        <v>4</v>
      </c>
      <c r="L61" s="354" t="s">
        <v>941</v>
      </c>
      <c r="M61" s="354"/>
      <c r="N61" s="354">
        <v>4</v>
      </c>
      <c r="O61" s="354"/>
      <c r="P61" s="354"/>
      <c r="Q61" s="354" t="s">
        <v>452</v>
      </c>
      <c r="R61" s="354" t="s">
        <v>2249</v>
      </c>
      <c r="S61" s="354"/>
      <c r="T61" s="354" t="s">
        <v>2250</v>
      </c>
      <c r="U61" s="354" t="s">
        <v>11772</v>
      </c>
      <c r="V61" s="306" t="s">
        <v>481</v>
      </c>
    </row>
    <row r="62" spans="1:22" ht="15.75" customHeight="1">
      <c r="A62" s="354" t="s">
        <v>79</v>
      </c>
      <c r="B62" s="355">
        <f t="shared" si="1"/>
        <v>3.75</v>
      </c>
      <c r="C62" s="355">
        <v>3.75</v>
      </c>
      <c r="D62" s="354"/>
      <c r="E62" s="354"/>
      <c r="F62" s="357" t="s">
        <v>24</v>
      </c>
      <c r="G62" s="354" t="s">
        <v>2382</v>
      </c>
      <c r="H62" s="354" t="s">
        <v>5</v>
      </c>
      <c r="I62" s="354" t="s">
        <v>460</v>
      </c>
      <c r="J62" s="354" t="s">
        <v>2383</v>
      </c>
      <c r="K62" s="354">
        <v>4</v>
      </c>
      <c r="L62" s="354" t="s">
        <v>462</v>
      </c>
      <c r="M62" s="354" t="s">
        <v>2384</v>
      </c>
      <c r="N62" s="354">
        <v>3.5</v>
      </c>
      <c r="O62" s="354" t="s">
        <v>451</v>
      </c>
      <c r="P62" s="354" t="s">
        <v>2385</v>
      </c>
      <c r="Q62" s="354" t="s">
        <v>452</v>
      </c>
      <c r="R62" s="354" t="s">
        <v>10561</v>
      </c>
      <c r="S62" s="354"/>
      <c r="T62" s="354" t="s">
        <v>2387</v>
      </c>
      <c r="U62" s="354" t="s">
        <v>11835</v>
      </c>
      <c r="V62" s="306" t="s">
        <v>481</v>
      </c>
    </row>
    <row r="63" spans="1:22" ht="15.75" customHeight="1">
      <c r="A63" s="358" t="s">
        <v>9342</v>
      </c>
      <c r="B63" s="355">
        <f t="shared" si="1"/>
        <v>3.25</v>
      </c>
      <c r="C63" s="355">
        <v>3.25</v>
      </c>
      <c r="D63" s="354"/>
      <c r="E63" s="354"/>
      <c r="F63" s="354" t="s">
        <v>24</v>
      </c>
      <c r="G63" s="358" t="s">
        <v>9345</v>
      </c>
      <c r="H63" s="358" t="s">
        <v>5</v>
      </c>
      <c r="I63" s="358" t="s">
        <v>447</v>
      </c>
      <c r="J63" s="358" t="s">
        <v>10406</v>
      </c>
      <c r="K63" s="358">
        <v>3.5</v>
      </c>
      <c r="L63" s="358" t="s">
        <v>622</v>
      </c>
      <c r="M63" s="358" t="s">
        <v>10407</v>
      </c>
      <c r="N63" s="358">
        <v>3</v>
      </c>
      <c r="O63" s="358" t="s">
        <v>478</v>
      </c>
      <c r="P63" s="359">
        <v>6000000</v>
      </c>
      <c r="Q63" s="358" t="s">
        <v>452</v>
      </c>
      <c r="R63" s="358" t="s">
        <v>11576</v>
      </c>
      <c r="S63" s="358" t="s">
        <v>1862</v>
      </c>
      <c r="T63" s="358" t="s">
        <v>9350</v>
      </c>
      <c r="U63" s="358" t="s">
        <v>11836</v>
      </c>
      <c r="V63" s="306"/>
    </row>
    <row r="64" spans="1:22" ht="15.75" customHeight="1">
      <c r="A64" s="354" t="s">
        <v>87</v>
      </c>
      <c r="B64" s="355">
        <f t="shared" si="1"/>
        <v>4</v>
      </c>
      <c r="C64" s="355">
        <v>4</v>
      </c>
      <c r="D64" s="354" t="s">
        <v>11789</v>
      </c>
      <c r="E64" s="354">
        <v>4</v>
      </c>
      <c r="F64" s="357" t="s">
        <v>24</v>
      </c>
      <c r="G64" s="354" t="s">
        <v>2578</v>
      </c>
      <c r="H64" s="354" t="s">
        <v>5</v>
      </c>
      <c r="I64" s="354" t="s">
        <v>460</v>
      </c>
      <c r="J64" s="354" t="s">
        <v>2579</v>
      </c>
      <c r="K64" s="354">
        <v>4</v>
      </c>
      <c r="L64" s="354" t="s">
        <v>462</v>
      </c>
      <c r="M64" s="354" t="s">
        <v>2580</v>
      </c>
      <c r="N64" s="354">
        <v>4</v>
      </c>
      <c r="O64" s="354" t="s">
        <v>2581</v>
      </c>
      <c r="P64" s="356">
        <v>2500000</v>
      </c>
      <c r="Q64" s="354" t="s">
        <v>452</v>
      </c>
      <c r="R64" s="354" t="s">
        <v>2582</v>
      </c>
      <c r="S64" s="354" t="s">
        <v>2583</v>
      </c>
      <c r="T64" s="354" t="s">
        <v>11653</v>
      </c>
      <c r="U64" s="354" t="s">
        <v>11837</v>
      </c>
      <c r="V64" s="306" t="s">
        <v>481</v>
      </c>
    </row>
    <row r="65" spans="1:22" ht="15.75" customHeight="1">
      <c r="A65" s="360" t="s">
        <v>11838</v>
      </c>
      <c r="B65" s="355">
        <f t="shared" si="1"/>
        <v>3.25</v>
      </c>
      <c r="C65" s="355">
        <v>3.5</v>
      </c>
      <c r="D65" s="354" t="s">
        <v>11771</v>
      </c>
      <c r="E65" s="354">
        <v>3</v>
      </c>
      <c r="F65" s="354" t="s">
        <v>24</v>
      </c>
      <c r="G65" s="358" t="s">
        <v>2744</v>
      </c>
      <c r="H65" s="358" t="s">
        <v>5</v>
      </c>
      <c r="I65" s="358" t="s">
        <v>447</v>
      </c>
      <c r="J65" s="358" t="s">
        <v>2745</v>
      </c>
      <c r="K65" s="358">
        <v>3.5</v>
      </c>
      <c r="L65" s="358" t="s">
        <v>622</v>
      </c>
      <c r="M65" s="358" t="s">
        <v>2746</v>
      </c>
      <c r="N65" s="358">
        <v>3.5</v>
      </c>
      <c r="O65" s="358" t="s">
        <v>451</v>
      </c>
      <c r="P65" s="361">
        <v>3000000</v>
      </c>
      <c r="Q65" s="358" t="s">
        <v>452</v>
      </c>
      <c r="R65" s="358" t="s">
        <v>452</v>
      </c>
      <c r="S65" s="358"/>
      <c r="T65" s="358" t="s">
        <v>2747</v>
      </c>
      <c r="U65" s="358" t="s">
        <v>11839</v>
      </c>
      <c r="V65" s="306" t="s">
        <v>481</v>
      </c>
    </row>
    <row r="66" spans="1:22" ht="15.75" customHeight="1">
      <c r="A66" s="354" t="s">
        <v>107</v>
      </c>
      <c r="B66" s="355">
        <f t="shared" si="1"/>
        <v>3.375</v>
      </c>
      <c r="C66" s="355">
        <v>3.75</v>
      </c>
      <c r="D66" s="354" t="s">
        <v>11765</v>
      </c>
      <c r="E66" s="354">
        <v>3</v>
      </c>
      <c r="F66" s="354" t="s">
        <v>24</v>
      </c>
      <c r="G66" s="354" t="s">
        <v>10253</v>
      </c>
      <c r="H66" s="354" t="s">
        <v>5</v>
      </c>
      <c r="I66" s="354" t="s">
        <v>447</v>
      </c>
      <c r="J66" s="354" t="s">
        <v>10254</v>
      </c>
      <c r="K66" s="354">
        <v>3.5</v>
      </c>
      <c r="L66" s="354" t="s">
        <v>543</v>
      </c>
      <c r="M66" s="354" t="s">
        <v>11840</v>
      </c>
      <c r="N66" s="354">
        <v>4</v>
      </c>
      <c r="O66" s="354"/>
      <c r="P66" s="354"/>
      <c r="Q66" s="354" t="s">
        <v>452</v>
      </c>
      <c r="R66" s="354" t="s">
        <v>452</v>
      </c>
      <c r="S66" s="354"/>
      <c r="T66" s="354" t="s">
        <v>2865</v>
      </c>
      <c r="U66" s="354" t="s">
        <v>11841</v>
      </c>
      <c r="V66" s="306" t="s">
        <v>481</v>
      </c>
    </row>
    <row r="67" spans="1:22" ht="15.75" customHeight="1">
      <c r="A67" s="358" t="s">
        <v>121</v>
      </c>
      <c r="B67" s="355">
        <f t="shared" si="1"/>
        <v>3.75</v>
      </c>
      <c r="C67" s="355">
        <v>2.5</v>
      </c>
      <c r="D67" s="354" t="s">
        <v>11802</v>
      </c>
      <c r="E67" s="354">
        <v>5</v>
      </c>
      <c r="F67" s="354" t="s">
        <v>24</v>
      </c>
      <c r="G67" s="358" t="s">
        <v>3099</v>
      </c>
      <c r="H67" s="358" t="s">
        <v>5</v>
      </c>
      <c r="I67" s="358" t="s">
        <v>460</v>
      </c>
      <c r="J67" s="358" t="s">
        <v>3100</v>
      </c>
      <c r="K67" s="358">
        <v>2</v>
      </c>
      <c r="L67" s="358" t="s">
        <v>941</v>
      </c>
      <c r="M67" s="358" t="s">
        <v>3101</v>
      </c>
      <c r="N67" s="358">
        <v>3</v>
      </c>
      <c r="O67" s="358" t="s">
        <v>973</v>
      </c>
      <c r="P67" s="362">
        <v>3000000</v>
      </c>
      <c r="Q67" s="358" t="s">
        <v>452</v>
      </c>
      <c r="R67" s="362" t="s">
        <v>575</v>
      </c>
      <c r="S67" s="358"/>
      <c r="T67" s="358" t="s">
        <v>3102</v>
      </c>
      <c r="U67" s="358" t="s">
        <v>11842</v>
      </c>
      <c r="V67" s="306" t="s">
        <v>454</v>
      </c>
    </row>
    <row r="68" spans="1:22" ht="15.75" customHeight="1">
      <c r="A68" s="358" t="s">
        <v>130</v>
      </c>
      <c r="B68" s="355">
        <f t="shared" si="1"/>
        <v>3.375</v>
      </c>
      <c r="C68" s="355">
        <v>2.75</v>
      </c>
      <c r="D68" s="354" t="s">
        <v>11812</v>
      </c>
      <c r="E68" s="354">
        <v>4</v>
      </c>
      <c r="F68" s="357" t="s">
        <v>24</v>
      </c>
      <c r="G68" s="358" t="s">
        <v>3179</v>
      </c>
      <c r="H68" s="358" t="s">
        <v>5</v>
      </c>
      <c r="I68" s="358" t="s">
        <v>460</v>
      </c>
      <c r="J68" s="358" t="s">
        <v>3180</v>
      </c>
      <c r="K68" s="358">
        <v>3</v>
      </c>
      <c r="L68" s="358" t="s">
        <v>488</v>
      </c>
      <c r="M68" s="358" t="s">
        <v>11590</v>
      </c>
      <c r="N68" s="358">
        <v>2.5</v>
      </c>
      <c r="O68" s="358" t="s">
        <v>784</v>
      </c>
      <c r="P68" s="359">
        <v>3000000</v>
      </c>
      <c r="Q68" s="358" t="s">
        <v>452</v>
      </c>
      <c r="R68" s="358" t="s">
        <v>3182</v>
      </c>
      <c r="S68" s="358"/>
      <c r="T68" s="358" t="s">
        <v>3183</v>
      </c>
      <c r="U68" s="358" t="s">
        <v>11843</v>
      </c>
      <c r="V68" s="306" t="s">
        <v>481</v>
      </c>
    </row>
    <row r="69" spans="1:22" ht="15.75" customHeight="1">
      <c r="A69" s="354" t="s">
        <v>132</v>
      </c>
      <c r="B69" s="355">
        <f t="shared" si="1"/>
        <v>3.75</v>
      </c>
      <c r="C69" s="355">
        <v>3.75</v>
      </c>
      <c r="D69" s="354"/>
      <c r="E69" s="354"/>
      <c r="F69" s="357" t="s">
        <v>24</v>
      </c>
      <c r="G69" s="354" t="s">
        <v>3188</v>
      </c>
      <c r="H69" s="354" t="s">
        <v>5</v>
      </c>
      <c r="I69" s="354" t="s">
        <v>447</v>
      </c>
      <c r="J69" s="354" t="s">
        <v>10519</v>
      </c>
      <c r="K69" s="354">
        <v>3.5</v>
      </c>
      <c r="L69" s="354" t="s">
        <v>543</v>
      </c>
      <c r="M69" s="354" t="s">
        <v>13400</v>
      </c>
      <c r="N69" s="354">
        <v>4</v>
      </c>
      <c r="O69" s="354" t="s">
        <v>478</v>
      </c>
      <c r="P69" s="354" t="s">
        <v>3191</v>
      </c>
      <c r="Q69" s="354" t="s">
        <v>452</v>
      </c>
      <c r="R69" s="354" t="s">
        <v>3192</v>
      </c>
      <c r="S69" s="354"/>
      <c r="T69" s="354" t="s">
        <v>3193</v>
      </c>
      <c r="U69" s="354" t="s">
        <v>11844</v>
      </c>
      <c r="V69" s="306" t="s">
        <v>481</v>
      </c>
    </row>
    <row r="70" spans="1:22" ht="15.75" customHeight="1">
      <c r="A70" s="358" t="s">
        <v>136</v>
      </c>
      <c r="B70" s="355">
        <f t="shared" si="1"/>
        <v>2.75</v>
      </c>
      <c r="C70" s="355">
        <v>3.5</v>
      </c>
      <c r="D70" s="354" t="s">
        <v>11812</v>
      </c>
      <c r="E70" s="354">
        <v>2</v>
      </c>
      <c r="F70" s="354" t="s">
        <v>24</v>
      </c>
      <c r="G70" s="358" t="s">
        <v>3235</v>
      </c>
      <c r="H70" s="358" t="s">
        <v>5</v>
      </c>
      <c r="I70" s="358" t="s">
        <v>447</v>
      </c>
      <c r="J70" s="358" t="s">
        <v>11845</v>
      </c>
      <c r="K70" s="358">
        <v>3</v>
      </c>
      <c r="L70" s="358" t="s">
        <v>476</v>
      </c>
      <c r="M70" s="358" t="s">
        <v>11481</v>
      </c>
      <c r="N70" s="358">
        <v>4</v>
      </c>
      <c r="O70" s="358" t="s">
        <v>451</v>
      </c>
      <c r="P70" s="359">
        <v>500000</v>
      </c>
      <c r="Q70" s="358" t="s">
        <v>452</v>
      </c>
      <c r="R70" s="358" t="s">
        <v>11482</v>
      </c>
      <c r="S70" s="358"/>
      <c r="T70" s="358" t="s">
        <v>3239</v>
      </c>
      <c r="U70" s="358" t="s">
        <v>11770</v>
      </c>
      <c r="V70" s="306" t="s">
        <v>481</v>
      </c>
    </row>
    <row r="71" spans="1:22" ht="15.75" customHeight="1">
      <c r="A71" s="358" t="s">
        <v>137</v>
      </c>
      <c r="B71" s="355">
        <f t="shared" si="1"/>
        <v>3.25</v>
      </c>
      <c r="C71" s="355">
        <v>3.5</v>
      </c>
      <c r="D71" s="354" t="s">
        <v>11812</v>
      </c>
      <c r="E71" s="354">
        <v>3</v>
      </c>
      <c r="F71" s="354" t="s">
        <v>24</v>
      </c>
      <c r="G71" s="358" t="s">
        <v>11846</v>
      </c>
      <c r="H71" s="358" t="s">
        <v>5</v>
      </c>
      <c r="I71" s="358" t="s">
        <v>622</v>
      </c>
      <c r="J71" s="358" t="s">
        <v>11847</v>
      </c>
      <c r="K71" s="358">
        <v>3</v>
      </c>
      <c r="L71" s="358" t="s">
        <v>449</v>
      </c>
      <c r="M71" s="358" t="s">
        <v>11848</v>
      </c>
      <c r="N71" s="358">
        <v>4</v>
      </c>
      <c r="O71" s="358" t="s">
        <v>478</v>
      </c>
      <c r="P71" s="361">
        <v>2000000</v>
      </c>
      <c r="Q71" s="358" t="s">
        <v>465</v>
      </c>
      <c r="R71" s="358" t="s">
        <v>3247</v>
      </c>
      <c r="S71" s="358"/>
      <c r="T71" s="358" t="s">
        <v>2747</v>
      </c>
      <c r="U71" s="358" t="s">
        <v>11849</v>
      </c>
      <c r="V71" s="306" t="s">
        <v>481</v>
      </c>
    </row>
    <row r="72" spans="1:22" ht="15.75" customHeight="1">
      <c r="A72" s="358" t="s">
        <v>139</v>
      </c>
      <c r="B72" s="355">
        <f t="shared" si="1"/>
        <v>2.875</v>
      </c>
      <c r="C72" s="355">
        <v>3.75</v>
      </c>
      <c r="D72" s="354" t="s">
        <v>11812</v>
      </c>
      <c r="E72" s="354">
        <v>2</v>
      </c>
      <c r="F72" s="354" t="s">
        <v>24</v>
      </c>
      <c r="G72" s="358" t="s">
        <v>10333</v>
      </c>
      <c r="H72" s="358" t="s">
        <v>5</v>
      </c>
      <c r="I72" s="358" t="s">
        <v>727</v>
      </c>
      <c r="J72" s="358" t="s">
        <v>10334</v>
      </c>
      <c r="K72" s="358">
        <v>3.5</v>
      </c>
      <c r="L72" s="358" t="s">
        <v>1054</v>
      </c>
      <c r="M72" s="358" t="s">
        <v>3263</v>
      </c>
      <c r="N72" s="358">
        <v>4</v>
      </c>
      <c r="O72" s="358" t="s">
        <v>451</v>
      </c>
      <c r="P72" s="358" t="s">
        <v>3264</v>
      </c>
      <c r="Q72" s="358" t="s">
        <v>452</v>
      </c>
      <c r="R72" s="358" t="s">
        <v>452</v>
      </c>
      <c r="S72" s="358" t="s">
        <v>460</v>
      </c>
      <c r="T72" s="358" t="s">
        <v>3265</v>
      </c>
      <c r="U72" s="358" t="s">
        <v>11850</v>
      </c>
      <c r="V72" s="306" t="s">
        <v>481</v>
      </c>
    </row>
    <row r="73" spans="1:22" ht="15.75" customHeight="1">
      <c r="A73" s="358" t="s">
        <v>144</v>
      </c>
      <c r="B73" s="355">
        <f t="shared" si="1"/>
        <v>3.75</v>
      </c>
      <c r="C73" s="355">
        <v>3.75</v>
      </c>
      <c r="D73" s="354"/>
      <c r="E73" s="354"/>
      <c r="F73" s="357" t="s">
        <v>24</v>
      </c>
      <c r="G73" s="358" t="s">
        <v>3287</v>
      </c>
      <c r="H73" s="358" t="s">
        <v>5</v>
      </c>
      <c r="I73" s="358" t="s">
        <v>447</v>
      </c>
      <c r="J73" s="358" t="s">
        <v>10433</v>
      </c>
      <c r="K73" s="358">
        <v>3.5</v>
      </c>
      <c r="L73" s="358" t="s">
        <v>449</v>
      </c>
      <c r="M73" s="358" t="s">
        <v>11565</v>
      </c>
      <c r="N73" s="358">
        <v>4</v>
      </c>
      <c r="O73" s="358"/>
      <c r="P73" s="358"/>
      <c r="Q73" s="358" t="s">
        <v>452</v>
      </c>
      <c r="R73" s="358" t="s">
        <v>3290</v>
      </c>
      <c r="S73" s="358"/>
      <c r="T73" s="358" t="s">
        <v>3291</v>
      </c>
      <c r="U73" s="354" t="s">
        <v>11851</v>
      </c>
      <c r="V73" s="306" t="s">
        <v>481</v>
      </c>
    </row>
    <row r="74" spans="1:22" ht="15.75" customHeight="1">
      <c r="A74" s="358" t="s">
        <v>150</v>
      </c>
      <c r="B74" s="355">
        <f t="shared" si="1"/>
        <v>3.25</v>
      </c>
      <c r="C74" s="355">
        <v>4.5</v>
      </c>
      <c r="D74" s="354" t="s">
        <v>11821</v>
      </c>
      <c r="E74" s="354">
        <v>2</v>
      </c>
      <c r="F74" s="357" t="s">
        <v>24</v>
      </c>
      <c r="G74" s="358" t="s">
        <v>3406</v>
      </c>
      <c r="H74" s="358" t="s">
        <v>5</v>
      </c>
      <c r="I74" s="358" t="s">
        <v>460</v>
      </c>
      <c r="J74" s="358" t="s">
        <v>10278</v>
      </c>
      <c r="K74" s="358">
        <v>4.5</v>
      </c>
      <c r="L74" s="358" t="s">
        <v>462</v>
      </c>
      <c r="M74" s="358" t="s">
        <v>3408</v>
      </c>
      <c r="N74" s="358">
        <v>4.5</v>
      </c>
      <c r="O74" s="358"/>
      <c r="P74" s="358"/>
      <c r="Q74" s="358" t="s">
        <v>452</v>
      </c>
      <c r="R74" s="358" t="s">
        <v>10279</v>
      </c>
      <c r="S74" s="358"/>
      <c r="T74" s="358" t="s">
        <v>3410</v>
      </c>
      <c r="U74" s="358" t="s">
        <v>11852</v>
      </c>
      <c r="V74" s="306" t="s">
        <v>454</v>
      </c>
    </row>
    <row r="75" spans="1:22" ht="15.75" customHeight="1">
      <c r="A75" s="358" t="s">
        <v>158</v>
      </c>
      <c r="B75" s="355">
        <f t="shared" si="1"/>
        <v>2.5</v>
      </c>
      <c r="C75" s="355">
        <v>3</v>
      </c>
      <c r="D75" s="354" t="s">
        <v>11821</v>
      </c>
      <c r="E75" s="354">
        <v>2</v>
      </c>
      <c r="F75" s="354" t="s">
        <v>24</v>
      </c>
      <c r="G75" s="358" t="s">
        <v>3509</v>
      </c>
      <c r="H75" s="358" t="s">
        <v>5</v>
      </c>
      <c r="I75" s="358" t="s">
        <v>447</v>
      </c>
      <c r="J75" s="358" t="s">
        <v>11853</v>
      </c>
      <c r="K75" s="358">
        <v>3.5</v>
      </c>
      <c r="L75" s="358" t="s">
        <v>476</v>
      </c>
      <c r="M75" s="358" t="s">
        <v>11854</v>
      </c>
      <c r="N75" s="358">
        <v>2.5</v>
      </c>
      <c r="O75" s="358"/>
      <c r="P75" s="358"/>
      <c r="Q75" s="358" t="s">
        <v>452</v>
      </c>
      <c r="R75" s="358" t="s">
        <v>3512</v>
      </c>
      <c r="S75" s="358"/>
      <c r="T75" s="358" t="s">
        <v>3513</v>
      </c>
      <c r="U75" s="358" t="s">
        <v>11824</v>
      </c>
      <c r="V75" s="306" t="s">
        <v>481</v>
      </c>
    </row>
    <row r="76" spans="1:22" ht="15.75" customHeight="1">
      <c r="A76" s="354" t="s">
        <v>159</v>
      </c>
      <c r="B76" s="355">
        <f t="shared" si="1"/>
        <v>3.625</v>
      </c>
      <c r="C76" s="355">
        <v>4.25</v>
      </c>
      <c r="D76" s="354" t="s">
        <v>11821</v>
      </c>
      <c r="E76" s="354">
        <v>3</v>
      </c>
      <c r="F76" s="354" t="s">
        <v>24</v>
      </c>
      <c r="G76" s="354" t="s">
        <v>3552</v>
      </c>
      <c r="H76" s="354" t="s">
        <v>5</v>
      </c>
      <c r="I76" s="354" t="s">
        <v>460</v>
      </c>
      <c r="J76" s="354" t="s">
        <v>3553</v>
      </c>
      <c r="K76" s="354">
        <v>4</v>
      </c>
      <c r="L76" s="354" t="s">
        <v>462</v>
      </c>
      <c r="M76" s="354" t="s">
        <v>10948</v>
      </c>
      <c r="N76" s="354">
        <v>4.5</v>
      </c>
      <c r="O76" s="354" t="s">
        <v>923</v>
      </c>
      <c r="P76" s="354" t="s">
        <v>3555</v>
      </c>
      <c r="Q76" s="354" t="s">
        <v>454</v>
      </c>
      <c r="R76" s="354" t="s">
        <v>10949</v>
      </c>
      <c r="S76" s="354"/>
      <c r="T76" s="354" t="s">
        <v>3557</v>
      </c>
      <c r="U76" s="354" t="s">
        <v>11855</v>
      </c>
      <c r="V76" s="306" t="s">
        <v>454</v>
      </c>
    </row>
    <row r="77" spans="1:22" ht="15.75" customHeight="1">
      <c r="A77" s="354" t="s">
        <v>393</v>
      </c>
      <c r="B77" s="355">
        <f t="shared" si="1"/>
        <v>2.75</v>
      </c>
      <c r="C77" s="355">
        <v>3.5</v>
      </c>
      <c r="D77" s="354" t="s">
        <v>11821</v>
      </c>
      <c r="E77" s="354">
        <v>2</v>
      </c>
      <c r="F77" s="354" t="s">
        <v>24</v>
      </c>
      <c r="G77" s="354" t="s">
        <v>11070</v>
      </c>
      <c r="H77" s="354" t="s">
        <v>5</v>
      </c>
      <c r="I77" s="354" t="s">
        <v>488</v>
      </c>
      <c r="J77" s="354" t="s">
        <v>11856</v>
      </c>
      <c r="K77" s="354">
        <v>3</v>
      </c>
      <c r="L77" s="354" t="s">
        <v>462</v>
      </c>
      <c r="M77" s="354" t="s">
        <v>3626</v>
      </c>
      <c r="N77" s="354">
        <v>4</v>
      </c>
      <c r="O77" s="354"/>
      <c r="P77" s="354"/>
      <c r="Q77" s="354" t="s">
        <v>452</v>
      </c>
      <c r="R77" s="354" t="s">
        <v>11072</v>
      </c>
      <c r="S77" s="354"/>
      <c r="T77" s="354" t="s">
        <v>11674</v>
      </c>
      <c r="U77" s="354" t="s">
        <v>11857</v>
      </c>
      <c r="V77" s="306" t="s">
        <v>481</v>
      </c>
    </row>
    <row r="78" spans="1:22" ht="15.75" customHeight="1">
      <c r="A78" s="354" t="s">
        <v>123</v>
      </c>
      <c r="B78" s="355">
        <f t="shared" si="1"/>
        <v>4</v>
      </c>
      <c r="C78" s="355">
        <v>4</v>
      </c>
      <c r="D78" s="354"/>
      <c r="E78" s="354"/>
      <c r="F78" s="354" t="s">
        <v>20</v>
      </c>
      <c r="G78" s="354" t="s">
        <v>9473</v>
      </c>
      <c r="H78" s="354" t="s">
        <v>5</v>
      </c>
      <c r="I78" s="354" t="s">
        <v>488</v>
      </c>
      <c r="J78" s="354" t="s">
        <v>9474</v>
      </c>
      <c r="K78" s="354">
        <v>4</v>
      </c>
      <c r="L78" s="354" t="s">
        <v>941</v>
      </c>
      <c r="M78" s="354" t="s">
        <v>9475</v>
      </c>
      <c r="N78" s="354">
        <v>4</v>
      </c>
      <c r="O78" s="354"/>
      <c r="P78" s="354"/>
      <c r="Q78" s="354" t="s">
        <v>452</v>
      </c>
      <c r="R78" s="354" t="s">
        <v>9476</v>
      </c>
      <c r="S78" s="354"/>
      <c r="T78" s="354" t="s">
        <v>9477</v>
      </c>
      <c r="U78" s="354" t="s">
        <v>11793</v>
      </c>
      <c r="V78" s="306" t="s">
        <v>481</v>
      </c>
    </row>
    <row r="79" spans="1:22" ht="15.75" customHeight="1">
      <c r="A79" s="354" t="s">
        <v>162</v>
      </c>
      <c r="B79" s="355">
        <f t="shared" si="1"/>
        <v>3.5</v>
      </c>
      <c r="C79" s="355">
        <v>4</v>
      </c>
      <c r="D79" s="354" t="s">
        <v>11821</v>
      </c>
      <c r="E79" s="354">
        <v>3</v>
      </c>
      <c r="F79" s="354" t="s">
        <v>23</v>
      </c>
      <c r="G79" s="354" t="s">
        <v>9596</v>
      </c>
      <c r="H79" s="354" t="s">
        <v>5</v>
      </c>
      <c r="I79" s="354" t="s">
        <v>447</v>
      </c>
      <c r="J79" s="354" t="s">
        <v>10803</v>
      </c>
      <c r="K79" s="354">
        <v>3</v>
      </c>
      <c r="L79" s="354" t="s">
        <v>449</v>
      </c>
      <c r="M79" s="354" t="s">
        <v>11617</v>
      </c>
      <c r="N79" s="354">
        <v>5</v>
      </c>
      <c r="O79" s="354" t="s">
        <v>9599</v>
      </c>
      <c r="P79" s="354">
        <v>909783</v>
      </c>
      <c r="Q79" s="354" t="s">
        <v>452</v>
      </c>
      <c r="R79" s="354" t="s">
        <v>9600</v>
      </c>
      <c r="S79" s="354"/>
      <c r="T79" s="354" t="s">
        <v>9601</v>
      </c>
      <c r="U79" s="354" t="s">
        <v>11858</v>
      </c>
      <c r="V79" s="306" t="s">
        <v>481</v>
      </c>
    </row>
    <row r="80" spans="1:22" ht="15.75" customHeight="1">
      <c r="A80" s="363" t="s">
        <v>371</v>
      </c>
      <c r="B80" s="364">
        <f t="shared" si="1"/>
        <v>4.25</v>
      </c>
      <c r="C80" s="364">
        <v>4.25</v>
      </c>
      <c r="D80" s="363"/>
      <c r="E80" s="363"/>
      <c r="F80" s="363" t="s">
        <v>35</v>
      </c>
      <c r="G80" s="363" t="s">
        <v>9985</v>
      </c>
      <c r="H80" s="363" t="s">
        <v>5</v>
      </c>
      <c r="I80" s="363" t="s">
        <v>447</v>
      </c>
      <c r="J80" s="363" t="s">
        <v>11859</v>
      </c>
      <c r="K80" s="363">
        <v>4</v>
      </c>
      <c r="L80" s="363" t="s">
        <v>543</v>
      </c>
      <c r="M80" s="363" t="s">
        <v>11650</v>
      </c>
      <c r="N80" s="363">
        <v>4.5</v>
      </c>
      <c r="O80" s="363" t="s">
        <v>451</v>
      </c>
      <c r="P80" s="365">
        <v>2000000</v>
      </c>
      <c r="Q80" s="363" t="s">
        <v>452</v>
      </c>
      <c r="R80" s="363" t="s">
        <v>9988</v>
      </c>
      <c r="S80" s="363" t="s">
        <v>9989</v>
      </c>
      <c r="T80" s="363"/>
      <c r="U80" s="363" t="s">
        <v>11788</v>
      </c>
      <c r="V80" s="366" t="s">
        <v>454</v>
      </c>
    </row>
    <row r="81" spans="1:22" ht="15.75" customHeight="1">
      <c r="A81" s="363" t="s">
        <v>372</v>
      </c>
      <c r="B81" s="364">
        <f t="shared" si="1"/>
        <v>2.5</v>
      </c>
      <c r="C81" s="364">
        <v>4</v>
      </c>
      <c r="D81" s="363" t="s">
        <v>11765</v>
      </c>
      <c r="E81" s="363">
        <v>1</v>
      </c>
      <c r="F81" s="363" t="s">
        <v>35</v>
      </c>
      <c r="G81" s="363" t="s">
        <v>11860</v>
      </c>
      <c r="H81" s="363" t="s">
        <v>5</v>
      </c>
      <c r="I81" s="363" t="s">
        <v>447</v>
      </c>
      <c r="J81" s="363" t="s">
        <v>9995</v>
      </c>
      <c r="K81" s="363">
        <v>4</v>
      </c>
      <c r="L81" s="363" t="s">
        <v>622</v>
      </c>
      <c r="M81" s="363" t="s">
        <v>9996</v>
      </c>
      <c r="N81" s="363">
        <v>4</v>
      </c>
      <c r="O81" s="363"/>
      <c r="P81" s="365" t="s">
        <v>9997</v>
      </c>
      <c r="Q81" s="363" t="s">
        <v>452</v>
      </c>
      <c r="R81" s="363" t="s">
        <v>10179</v>
      </c>
      <c r="S81" s="363"/>
      <c r="T81" s="363" t="str">
        <f t="array" ref="T81">INDEX(Notes!C:C,MATCH($A81,Notes!$A:$A,0))</f>
        <v>Potentially remove from interview list; very comparable to other companies</v>
      </c>
      <c r="U81" s="363" t="s">
        <v>11861</v>
      </c>
      <c r="V81" s="366" t="s">
        <v>481</v>
      </c>
    </row>
    <row r="82" spans="1:22" ht="15.75" customHeight="1">
      <c r="A82" s="363" t="s">
        <v>373</v>
      </c>
      <c r="B82" s="364">
        <f t="shared" si="1"/>
        <v>3.5</v>
      </c>
      <c r="C82" s="364">
        <v>3</v>
      </c>
      <c r="D82" s="363" t="s">
        <v>11765</v>
      </c>
      <c r="E82" s="363">
        <v>4</v>
      </c>
      <c r="F82" s="363" t="s">
        <v>35</v>
      </c>
      <c r="G82" s="363" t="s">
        <v>10341</v>
      </c>
      <c r="H82" s="363" t="s">
        <v>5</v>
      </c>
      <c r="I82" s="363" t="s">
        <v>460</v>
      </c>
      <c r="J82" s="363" t="s">
        <v>10342</v>
      </c>
      <c r="K82" s="363">
        <v>3</v>
      </c>
      <c r="L82" s="363" t="s">
        <v>488</v>
      </c>
      <c r="M82" s="363" t="s">
        <v>10343</v>
      </c>
      <c r="N82" s="363">
        <v>3</v>
      </c>
      <c r="O82" s="363"/>
      <c r="P82" s="365"/>
      <c r="Q82" s="363" t="s">
        <v>452</v>
      </c>
      <c r="R82" s="363" t="s">
        <v>10007</v>
      </c>
      <c r="S82" s="363" t="s">
        <v>460</v>
      </c>
      <c r="T82" s="363" t="s">
        <v>10008</v>
      </c>
      <c r="U82" s="363" t="s">
        <v>11862</v>
      </c>
      <c r="V82" s="366" t="s">
        <v>454</v>
      </c>
    </row>
    <row r="83" spans="1:22" ht="15.75" customHeight="1">
      <c r="A83" s="367" t="s">
        <v>375</v>
      </c>
      <c r="B83" s="364">
        <f t="shared" si="1"/>
        <v>2.75</v>
      </c>
      <c r="C83" s="364">
        <v>3.5</v>
      </c>
      <c r="D83" s="363" t="s">
        <v>11789</v>
      </c>
      <c r="E83" s="363">
        <v>2</v>
      </c>
      <c r="F83" s="363" t="s">
        <v>35</v>
      </c>
      <c r="G83" s="367" t="s">
        <v>10012</v>
      </c>
      <c r="H83" s="367" t="s">
        <v>5</v>
      </c>
      <c r="I83" s="367" t="s">
        <v>447</v>
      </c>
      <c r="J83" s="367" t="s">
        <v>11201</v>
      </c>
      <c r="K83" s="367">
        <v>4</v>
      </c>
      <c r="L83" s="367" t="s">
        <v>449</v>
      </c>
      <c r="M83" s="367" t="s">
        <v>13400</v>
      </c>
      <c r="N83" s="367">
        <v>3</v>
      </c>
      <c r="O83" s="367" t="s">
        <v>451</v>
      </c>
      <c r="P83" s="368">
        <v>5000000</v>
      </c>
      <c r="Q83" s="367" t="s">
        <v>452</v>
      </c>
      <c r="R83" s="367" t="s">
        <v>452</v>
      </c>
      <c r="S83" s="367" t="s">
        <v>447</v>
      </c>
      <c r="T83" s="367"/>
      <c r="U83" s="367" t="s">
        <v>11863</v>
      </c>
      <c r="V83" s="366" t="s">
        <v>481</v>
      </c>
    </row>
    <row r="84" spans="1:22" ht="15.75" customHeight="1">
      <c r="A84" s="367" t="s">
        <v>376</v>
      </c>
      <c r="B84" s="364">
        <f t="shared" si="1"/>
        <v>3</v>
      </c>
      <c r="C84" s="364">
        <v>4</v>
      </c>
      <c r="D84" s="363" t="s">
        <v>11765</v>
      </c>
      <c r="E84" s="363">
        <v>2</v>
      </c>
      <c r="F84" s="363" t="s">
        <v>35</v>
      </c>
      <c r="G84" s="367" t="s">
        <v>10019</v>
      </c>
      <c r="H84" s="367" t="s">
        <v>5</v>
      </c>
      <c r="I84" s="367" t="s">
        <v>447</v>
      </c>
      <c r="J84" s="367" t="s">
        <v>10020</v>
      </c>
      <c r="K84" s="367">
        <v>4</v>
      </c>
      <c r="L84" s="367" t="s">
        <v>543</v>
      </c>
      <c r="M84" s="367" t="s">
        <v>11864</v>
      </c>
      <c r="N84" s="367">
        <v>4</v>
      </c>
      <c r="O84" s="367" t="s">
        <v>784</v>
      </c>
      <c r="P84" s="367">
        <v>500000</v>
      </c>
      <c r="Q84" s="367" t="s">
        <v>452</v>
      </c>
      <c r="R84" s="367" t="s">
        <v>452</v>
      </c>
      <c r="S84" s="367" t="s">
        <v>10022</v>
      </c>
      <c r="T84" s="367" t="str">
        <f t="array" ref="T84">INDEX(Notes!C:C,MATCH($A84,Notes!$A:$A,0))</f>
        <v>Move to dit khoa will f/u with ads</v>
      </c>
      <c r="U84" s="367" t="s">
        <v>11865</v>
      </c>
      <c r="V84" s="366" t="s">
        <v>454</v>
      </c>
    </row>
    <row r="85" spans="1:22" ht="15.75" customHeight="1">
      <c r="A85" s="363" t="s">
        <v>379</v>
      </c>
      <c r="B85" s="364">
        <f t="shared" si="1"/>
        <v>4</v>
      </c>
      <c r="C85" s="364">
        <v>4</v>
      </c>
      <c r="D85" s="363"/>
      <c r="E85" s="363"/>
      <c r="F85" s="363" t="s">
        <v>35</v>
      </c>
      <c r="G85" s="363" t="s">
        <v>10028</v>
      </c>
      <c r="H85" s="363" t="s">
        <v>5</v>
      </c>
      <c r="I85" s="363" t="s">
        <v>460</v>
      </c>
      <c r="J85" s="363" t="s">
        <v>10029</v>
      </c>
      <c r="K85" s="363">
        <v>4</v>
      </c>
      <c r="L85" s="363" t="s">
        <v>462</v>
      </c>
      <c r="M85" s="363" t="s">
        <v>10030</v>
      </c>
      <c r="N85" s="363">
        <v>4</v>
      </c>
      <c r="O85" s="363" t="s">
        <v>973</v>
      </c>
      <c r="P85" s="365" t="s">
        <v>10031</v>
      </c>
      <c r="Q85" s="363" t="s">
        <v>452</v>
      </c>
      <c r="R85" s="363" t="s">
        <v>10869</v>
      </c>
      <c r="S85" s="363"/>
      <c r="T85" s="363" t="s">
        <v>11711</v>
      </c>
      <c r="U85" s="363" t="s">
        <v>11800</v>
      </c>
      <c r="V85" s="366" t="s">
        <v>481</v>
      </c>
    </row>
    <row r="86" spans="1:22" ht="15.75" customHeight="1">
      <c r="A86" s="367" t="s">
        <v>381</v>
      </c>
      <c r="B86" s="364">
        <f t="shared" si="1"/>
        <v>3.75</v>
      </c>
      <c r="C86" s="364">
        <v>3.75</v>
      </c>
      <c r="D86" s="363"/>
      <c r="E86" s="363"/>
      <c r="F86" s="363" t="s">
        <v>35</v>
      </c>
      <c r="G86" s="367" t="s">
        <v>10038</v>
      </c>
      <c r="H86" s="367" t="s">
        <v>5</v>
      </c>
      <c r="I86" s="367" t="s">
        <v>447</v>
      </c>
      <c r="J86" s="367" t="s">
        <v>10699</v>
      </c>
      <c r="K86" s="367">
        <v>3.5</v>
      </c>
      <c r="L86" s="367" t="s">
        <v>449</v>
      </c>
      <c r="M86" s="367" t="s">
        <v>11567</v>
      </c>
      <c r="N86" s="367">
        <v>4</v>
      </c>
      <c r="O86" s="367" t="s">
        <v>451</v>
      </c>
      <c r="P86" s="369">
        <v>800</v>
      </c>
      <c r="Q86" s="367" t="s">
        <v>465</v>
      </c>
      <c r="R86" s="369" t="s">
        <v>10701</v>
      </c>
      <c r="S86" s="367"/>
      <c r="T86" s="367" t="s">
        <v>10042</v>
      </c>
      <c r="U86" s="367" t="s">
        <v>11866</v>
      </c>
      <c r="V86" s="366" t="s">
        <v>454</v>
      </c>
    </row>
    <row r="87" spans="1:22" ht="15.75" customHeight="1">
      <c r="A87" s="363" t="s">
        <v>382</v>
      </c>
      <c r="B87" s="364">
        <f t="shared" si="1"/>
        <v>4</v>
      </c>
      <c r="C87" s="364">
        <v>4</v>
      </c>
      <c r="D87" s="363" t="s">
        <v>11802</v>
      </c>
      <c r="E87" s="363">
        <v>4</v>
      </c>
      <c r="F87" s="363" t="s">
        <v>35</v>
      </c>
      <c r="G87" s="363" t="s">
        <v>10047</v>
      </c>
      <c r="H87" s="363" t="s">
        <v>5</v>
      </c>
      <c r="I87" s="363" t="s">
        <v>447</v>
      </c>
      <c r="J87" s="363" t="s">
        <v>10509</v>
      </c>
      <c r="K87" s="363">
        <v>4</v>
      </c>
      <c r="L87" s="363" t="s">
        <v>543</v>
      </c>
      <c r="M87" s="363"/>
      <c r="N87" s="363">
        <v>4</v>
      </c>
      <c r="O87" s="363" t="s">
        <v>784</v>
      </c>
      <c r="P87" s="365">
        <v>1200000</v>
      </c>
      <c r="Q87" s="363" t="s">
        <v>452</v>
      </c>
      <c r="R87" s="363" t="s">
        <v>10049</v>
      </c>
      <c r="S87" s="363" t="s">
        <v>10050</v>
      </c>
      <c r="T87" s="363"/>
      <c r="U87" s="363" t="s">
        <v>11867</v>
      </c>
      <c r="V87" s="366" t="s">
        <v>481</v>
      </c>
    </row>
    <row r="88" spans="1:22" ht="15.75" customHeight="1">
      <c r="A88" s="363" t="s">
        <v>384</v>
      </c>
      <c r="B88" s="364">
        <f t="shared" si="1"/>
        <v>3.875</v>
      </c>
      <c r="C88" s="364">
        <v>3.75</v>
      </c>
      <c r="D88" s="363" t="s">
        <v>11802</v>
      </c>
      <c r="E88" s="363">
        <v>4</v>
      </c>
      <c r="F88" s="363" t="s">
        <v>35</v>
      </c>
      <c r="G88" s="363" t="s">
        <v>10054</v>
      </c>
      <c r="H88" s="363" t="s">
        <v>5</v>
      </c>
      <c r="I88" s="363" t="s">
        <v>447</v>
      </c>
      <c r="J88" s="363" t="s">
        <v>10055</v>
      </c>
      <c r="K88" s="363">
        <v>3.5</v>
      </c>
      <c r="L88" s="363" t="s">
        <v>622</v>
      </c>
      <c r="M88" s="363" t="s">
        <v>10056</v>
      </c>
      <c r="N88" s="363">
        <v>4</v>
      </c>
      <c r="O88" s="363" t="s">
        <v>451</v>
      </c>
      <c r="P88" s="365">
        <v>5000000</v>
      </c>
      <c r="Q88" s="363" t="s">
        <v>452</v>
      </c>
      <c r="R88" s="363" t="s">
        <v>10057</v>
      </c>
      <c r="S88" s="363" t="s">
        <v>725</v>
      </c>
      <c r="T88" s="363" t="s">
        <v>10058</v>
      </c>
      <c r="U88" s="363" t="s">
        <v>11868</v>
      </c>
      <c r="V88" s="366" t="s">
        <v>481</v>
      </c>
    </row>
    <row r="89" spans="1:22" ht="15.75" customHeight="1">
      <c r="A89" s="367" t="s">
        <v>386</v>
      </c>
      <c r="B89" s="364">
        <f t="shared" si="1"/>
        <v>4.375</v>
      </c>
      <c r="C89" s="364">
        <v>3.75</v>
      </c>
      <c r="D89" s="363" t="s">
        <v>11812</v>
      </c>
      <c r="E89" s="363">
        <v>5</v>
      </c>
      <c r="F89" s="363" t="s">
        <v>35</v>
      </c>
      <c r="G89" s="367" t="s">
        <v>10063</v>
      </c>
      <c r="H89" s="367" t="s">
        <v>5</v>
      </c>
      <c r="I89" s="367" t="s">
        <v>447</v>
      </c>
      <c r="J89" s="367" t="s">
        <v>10380</v>
      </c>
      <c r="K89" s="367">
        <v>3.5</v>
      </c>
      <c r="L89" s="367" t="s">
        <v>622</v>
      </c>
      <c r="M89" s="367" t="s">
        <v>10065</v>
      </c>
      <c r="N89" s="367">
        <v>4</v>
      </c>
      <c r="O89" s="367" t="s">
        <v>478</v>
      </c>
      <c r="P89" s="368" t="s">
        <v>10066</v>
      </c>
      <c r="Q89" s="367" t="s">
        <v>452</v>
      </c>
      <c r="R89" s="367" t="s">
        <v>10381</v>
      </c>
      <c r="S89" s="367"/>
      <c r="T89" s="367" t="s">
        <v>10068</v>
      </c>
      <c r="U89" s="367" t="s">
        <v>11869</v>
      </c>
      <c r="V89" s="366" t="s">
        <v>481</v>
      </c>
    </row>
    <row r="90" spans="1:22" ht="15.75" customHeight="1">
      <c r="A90" s="363" t="s">
        <v>387</v>
      </c>
      <c r="B90" s="364">
        <f t="shared" si="1"/>
        <v>3.5</v>
      </c>
      <c r="C90" s="364">
        <v>4</v>
      </c>
      <c r="D90" s="363" t="s">
        <v>11821</v>
      </c>
      <c r="E90" s="363">
        <v>3</v>
      </c>
      <c r="F90" s="363" t="s">
        <v>35</v>
      </c>
      <c r="G90" s="363" t="s">
        <v>10073</v>
      </c>
      <c r="H90" s="363" t="s">
        <v>5</v>
      </c>
      <c r="I90" s="363" t="s">
        <v>447</v>
      </c>
      <c r="J90" s="363" t="s">
        <v>10877</v>
      </c>
      <c r="K90" s="363">
        <v>4</v>
      </c>
      <c r="L90" s="363" t="s">
        <v>449</v>
      </c>
      <c r="M90" s="363" t="s">
        <v>11652</v>
      </c>
      <c r="N90" s="363">
        <v>4</v>
      </c>
      <c r="O90" s="363" t="s">
        <v>10076</v>
      </c>
      <c r="P90" s="365">
        <v>8000000</v>
      </c>
      <c r="Q90" s="363" t="s">
        <v>452</v>
      </c>
      <c r="R90" s="363" t="s">
        <v>10077</v>
      </c>
      <c r="S90" s="363"/>
      <c r="T90" s="363"/>
      <c r="U90" s="363" t="s">
        <v>11851</v>
      </c>
      <c r="V90" s="366" t="s">
        <v>481</v>
      </c>
    </row>
    <row r="91" spans="1:22" ht="15.75" customHeight="1">
      <c r="A91" s="367" t="s">
        <v>389</v>
      </c>
      <c r="B91" s="364">
        <f t="shared" si="1"/>
        <v>4</v>
      </c>
      <c r="C91" s="364">
        <v>4</v>
      </c>
      <c r="D91" s="363"/>
      <c r="E91" s="363"/>
      <c r="F91" s="363" t="s">
        <v>35</v>
      </c>
      <c r="G91" s="367" t="s">
        <v>10082</v>
      </c>
      <c r="H91" s="367" t="s">
        <v>5</v>
      </c>
      <c r="I91" s="367" t="s">
        <v>460</v>
      </c>
      <c r="J91" s="367"/>
      <c r="K91" s="367">
        <v>4</v>
      </c>
      <c r="L91" s="367" t="s">
        <v>488</v>
      </c>
      <c r="M91" s="367" t="s">
        <v>10083</v>
      </c>
      <c r="N91" s="367">
        <v>4</v>
      </c>
      <c r="O91" s="367" t="s">
        <v>923</v>
      </c>
      <c r="P91" s="368">
        <v>1000000</v>
      </c>
      <c r="Q91" s="367" t="s">
        <v>452</v>
      </c>
      <c r="R91" s="367" t="s">
        <v>1119</v>
      </c>
      <c r="S91" s="367"/>
      <c r="T91" s="367" t="s">
        <v>10084</v>
      </c>
      <c r="U91" s="367" t="s">
        <v>11870</v>
      </c>
      <c r="V91" s="366" t="s">
        <v>481</v>
      </c>
    </row>
  </sheetData>
  <autoFilter ref="A1:V91" xr:uid="{00000000-0009-0000-0000-00000A000000}"/>
  <conditionalFormatting sqref="F1:F91">
    <cfRule type="cellIs" dxfId="29" priority="46" operator="equal">
      <formula>"Invite"</formula>
    </cfRule>
    <cfRule type="cellIs" dxfId="28" priority="47" operator="equal">
      <formula>"Waitlist"</formula>
    </cfRule>
  </conditionalFormatting>
  <conditionalFormatting sqref="T2:U21">
    <cfRule type="expression" dxfId="27" priority="6">
      <formula>AND(#REF!=TRUE,$H3="Life Sciences")</formula>
    </cfRule>
    <cfRule type="expression" dxfId="26" priority="4">
      <formula>AND(#REF!=TRUE,$H3="Digital Tech")</formula>
    </cfRule>
    <cfRule type="expression" dxfId="25" priority="5">
      <formula>AND(#REF!=TRUE,$H3="Deep Tech")</formula>
    </cfRule>
  </conditionalFormatting>
  <conditionalFormatting sqref="T22:U22">
    <cfRule type="expression" dxfId="24" priority="1">
      <formula>AND(#REF!=TRUE,$H23="Digital Tech")</formula>
    </cfRule>
    <cfRule type="expression" dxfId="23" priority="3">
      <formula>AND(#REF!=TRUE,$H23="Life Sciences")</formula>
    </cfRule>
    <cfRule type="expression" dxfId="22" priority="2">
      <formula>AND(#REF!=TRUE,$H23="Deep Tech")</formula>
    </cfRule>
  </conditionalFormatting>
  <dataValidations count="2">
    <dataValidation type="list" allowBlank="1" sqref="F2:F79 F81 F83 F85:F87 F90" xr:uid="{00000000-0002-0000-0A00-000000000000}">
      <formula1>"Invite,Reject,Revisit,Special Reject,Invite Next Year,Revisit/ Cluster,"</formula1>
    </dataValidation>
    <dataValidation type="list" allowBlank="1" sqref="H11 H14 H17 H33 H40 H54:H55 H58 H62 H78 H85" xr:uid="{00000000-0002-0000-0A00-000001000000}">
      <formula1>"Life Sciences,Digital Tech,Deep Tech"</formula1>
    </dataValidation>
  </dataValidations>
  <hyperlinks>
    <hyperlink ref="A16" r:id="rId1" xr:uid="{00000000-0004-0000-0A00-000000000000}"/>
    <hyperlink ref="G16" r:id="rId2" xr:uid="{00000000-0004-0000-0A00-000001000000}"/>
    <hyperlink ref="R16" r:id="rId3" xr:uid="{00000000-0004-0000-0A00-000002000000}"/>
    <hyperlink ref="J52" r:id="rId4" xr:uid="{00000000-0004-0000-0A00-000003000000}"/>
    <hyperlink ref="A65" r:id="rId5" xr:uid="{00000000-0004-0000-0A00-000004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filterMode="1"/>
  <dimension ref="A1:AD225"/>
  <sheetViews>
    <sheetView workbookViewId="0">
      <pane xSplit="3" ySplit="1" topLeftCell="D2" activePane="bottomRight" state="frozen"/>
      <selection pane="topRight" activeCell="D1" sqref="D1"/>
      <selection pane="bottomLeft" activeCell="A2" sqref="A2"/>
      <selection pane="bottomRight" activeCell="D2" sqref="D2"/>
    </sheetView>
  </sheetViews>
  <sheetFormatPr baseColWidth="10" defaultColWidth="14.5" defaultRowHeight="15" customHeight="1" outlineLevelCol="1"/>
  <cols>
    <col min="1" max="1" width="14.1640625" hidden="1" customWidth="1"/>
    <col min="2" max="2" width="38.6640625" customWidth="1"/>
    <col min="3" max="3" width="20.6640625" customWidth="1"/>
    <col min="4" max="4" width="64.1640625" customWidth="1"/>
    <col min="5" max="5" width="16.1640625" hidden="1" customWidth="1"/>
    <col min="6" max="6" width="14.5" hidden="1" customWidth="1"/>
    <col min="7" max="7" width="36" hidden="1" customWidth="1" outlineLevel="1"/>
    <col min="8" max="8" width="15" hidden="1" customWidth="1"/>
    <col min="9" max="9" width="31.1640625" hidden="1" customWidth="1"/>
    <col min="10" max="10" width="30.33203125" hidden="1" customWidth="1" outlineLevel="1"/>
    <col min="11" max="11" width="20.1640625" hidden="1" customWidth="1"/>
    <col min="12" max="12" width="21.6640625" hidden="1" customWidth="1"/>
    <col min="13" max="13" width="22.1640625" hidden="1" customWidth="1"/>
    <col min="14" max="14" width="22.5" hidden="1" customWidth="1"/>
    <col min="15" max="15" width="33.6640625" hidden="1" customWidth="1"/>
    <col min="16" max="16" width="11.83203125" hidden="1" customWidth="1"/>
    <col min="17" max="17" width="31.1640625" hidden="1" customWidth="1"/>
    <col min="18" max="18" width="66.6640625" hidden="1" customWidth="1"/>
    <col min="19" max="19" width="31.83203125" hidden="1" customWidth="1"/>
    <col min="20" max="20" width="22.1640625" customWidth="1"/>
    <col min="21" max="21" width="39.33203125" customWidth="1"/>
    <col min="22" max="22" width="18.5" customWidth="1"/>
    <col min="23" max="25" width="31.1640625" hidden="1" customWidth="1"/>
    <col min="26" max="30" width="11.5" hidden="1" customWidth="1"/>
  </cols>
  <sheetData>
    <row r="1" spans="1:30" ht="30">
      <c r="A1" s="205" t="s">
        <v>419</v>
      </c>
      <c r="B1" s="205" t="s">
        <v>420</v>
      </c>
      <c r="C1" s="206" t="s">
        <v>424</v>
      </c>
      <c r="D1" s="205" t="s">
        <v>423</v>
      </c>
      <c r="E1" s="207" t="s">
        <v>39</v>
      </c>
      <c r="F1" s="205" t="s">
        <v>42</v>
      </c>
      <c r="G1" s="205" t="s">
        <v>426</v>
      </c>
      <c r="H1" s="205" t="s">
        <v>427</v>
      </c>
      <c r="I1" s="205" t="s">
        <v>43</v>
      </c>
      <c r="J1" s="205" t="s">
        <v>428</v>
      </c>
      <c r="K1" s="205" t="s">
        <v>429</v>
      </c>
      <c r="L1" s="205" t="s">
        <v>430</v>
      </c>
      <c r="M1" s="205" t="s">
        <v>431</v>
      </c>
      <c r="N1" s="205" t="s">
        <v>432</v>
      </c>
      <c r="O1" s="208" t="s">
        <v>433</v>
      </c>
      <c r="P1" s="209" t="s">
        <v>434</v>
      </c>
      <c r="Q1" s="207" t="s">
        <v>425</v>
      </c>
      <c r="R1" s="207" t="s">
        <v>435</v>
      </c>
      <c r="S1" s="207" t="s">
        <v>11871</v>
      </c>
      <c r="T1" s="207" t="s">
        <v>11872</v>
      </c>
      <c r="U1" s="207" t="s">
        <v>11873</v>
      </c>
      <c r="V1" s="207" t="s">
        <v>11874</v>
      </c>
      <c r="W1" s="210" t="s">
        <v>10170</v>
      </c>
      <c r="X1" s="210" t="s">
        <v>10171</v>
      </c>
      <c r="Y1" s="210" t="s">
        <v>10172</v>
      </c>
      <c r="Z1" s="211"/>
      <c r="AA1" s="211"/>
      <c r="AB1" s="211"/>
      <c r="AC1" s="211"/>
      <c r="AD1" s="211"/>
    </row>
    <row r="2" spans="1:30" ht="15.75" customHeight="1">
      <c r="A2" s="248">
        <v>44782</v>
      </c>
      <c r="B2" s="219" t="s">
        <v>285</v>
      </c>
      <c r="C2" s="249">
        <v>5</v>
      </c>
      <c r="D2" s="219" t="s">
        <v>1626</v>
      </c>
      <c r="E2" s="219" t="s">
        <v>3</v>
      </c>
      <c r="F2" s="219" t="s">
        <v>460</v>
      </c>
      <c r="G2" s="219" t="s">
        <v>10208</v>
      </c>
      <c r="H2" s="219">
        <v>5</v>
      </c>
      <c r="I2" s="219" t="s">
        <v>488</v>
      </c>
      <c r="J2" s="219"/>
      <c r="K2" s="219">
        <v>5</v>
      </c>
      <c r="L2" s="219"/>
      <c r="M2" s="219">
        <v>15000000</v>
      </c>
      <c r="N2" s="219" t="s">
        <v>452</v>
      </c>
      <c r="O2" s="219" t="s">
        <v>575</v>
      </c>
      <c r="P2" s="219"/>
      <c r="Q2" s="213" t="s">
        <v>18</v>
      </c>
      <c r="R2" s="251"/>
      <c r="S2" s="370" t="str">
        <f ca="1">VLOOKUP($B2,'2022-2023 Third Reviews'!C:L, 9)</f>
        <v>Jason Yu
5</v>
      </c>
      <c r="T2" s="251" t="s">
        <v>11875</v>
      </c>
      <c r="U2" s="251" t="s">
        <v>18</v>
      </c>
      <c r="V2" s="325" t="s">
        <v>481</v>
      </c>
      <c r="W2" s="219"/>
      <c r="X2" s="219"/>
      <c r="Y2" s="219"/>
      <c r="Z2" s="219"/>
      <c r="AA2" s="219"/>
      <c r="AB2" s="219"/>
      <c r="AC2" s="219"/>
      <c r="AD2" s="219"/>
    </row>
    <row r="3" spans="1:30" ht="15.75" customHeight="1">
      <c r="A3" s="220">
        <v>44776</v>
      </c>
      <c r="B3" s="221" t="s">
        <v>287</v>
      </c>
      <c r="C3" s="214">
        <v>5</v>
      </c>
      <c r="D3" s="221" t="s">
        <v>1640</v>
      </c>
      <c r="E3" s="221" t="s">
        <v>3</v>
      </c>
      <c r="F3" s="221" t="s">
        <v>460</v>
      </c>
      <c r="G3" s="221"/>
      <c r="H3" s="221">
        <v>5</v>
      </c>
      <c r="I3" s="221" t="s">
        <v>488</v>
      </c>
      <c r="J3" s="221"/>
      <c r="K3" s="221">
        <v>5</v>
      </c>
      <c r="L3" s="221" t="s">
        <v>478</v>
      </c>
      <c r="M3" s="222">
        <v>16000000</v>
      </c>
      <c r="N3" s="221" t="s">
        <v>452</v>
      </c>
      <c r="O3" s="221" t="s">
        <v>575</v>
      </c>
      <c r="P3" s="145"/>
      <c r="Q3" s="221" t="str">
        <f t="array" ref="Q3">INDEX(Notes!B:B,MATCH($B3,Notes!$A:$A,0))</f>
        <v>Invite</v>
      </c>
      <c r="R3" s="223" t="s">
        <v>1641</v>
      </c>
      <c r="S3" s="370" t="str">
        <f ca="1">VLOOKUP($B3,'2022-2023 Third Reviews'!C:L, 9)</f>
        <v>Jason Yu
5</v>
      </c>
      <c r="T3" s="223" t="s">
        <v>11876</v>
      </c>
      <c r="U3" s="254" t="s">
        <v>18</v>
      </c>
      <c r="V3" s="325" t="s">
        <v>481</v>
      </c>
      <c r="W3" s="221"/>
      <c r="X3" s="221"/>
      <c r="Y3" s="221"/>
      <c r="Z3" s="224"/>
      <c r="AA3" s="224"/>
      <c r="AB3" s="224"/>
      <c r="AC3" s="224"/>
      <c r="AD3" s="224"/>
    </row>
    <row r="4" spans="1:30" ht="15.75" customHeight="1">
      <c r="A4" s="248">
        <v>44782</v>
      </c>
      <c r="B4" s="219" t="s">
        <v>298</v>
      </c>
      <c r="C4" s="249">
        <v>5</v>
      </c>
      <c r="D4" s="219" t="s">
        <v>1670</v>
      </c>
      <c r="E4" s="219" t="s">
        <v>3</v>
      </c>
      <c r="F4" s="219" t="s">
        <v>460</v>
      </c>
      <c r="G4" s="219" t="s">
        <v>10453</v>
      </c>
      <c r="H4" s="219">
        <v>5</v>
      </c>
      <c r="I4" s="219" t="s">
        <v>462</v>
      </c>
      <c r="J4" s="219"/>
      <c r="K4" s="219">
        <v>5</v>
      </c>
      <c r="L4" s="219" t="s">
        <v>451</v>
      </c>
      <c r="M4" s="251"/>
      <c r="N4" s="219" t="s">
        <v>452</v>
      </c>
      <c r="O4" s="219" t="s">
        <v>452</v>
      </c>
      <c r="P4" s="219"/>
      <c r="Q4" s="219" t="s">
        <v>18</v>
      </c>
      <c r="R4" s="251"/>
      <c r="S4" s="370" t="str">
        <f ca="1">VLOOKUP($B4,'2022-2023 Third Reviews'!C:L, 9)</f>
        <v>Jason Yu
3</v>
      </c>
      <c r="T4" s="251" t="s">
        <v>11877</v>
      </c>
      <c r="U4" s="251" t="s">
        <v>18</v>
      </c>
      <c r="V4" s="325" t="s">
        <v>481</v>
      </c>
      <c r="W4" s="219"/>
      <c r="X4" s="219"/>
      <c r="Y4" s="219"/>
      <c r="Z4" s="219"/>
      <c r="AA4" s="219"/>
      <c r="AB4" s="219"/>
      <c r="AC4" s="219"/>
      <c r="AD4" s="219"/>
    </row>
    <row r="5" spans="1:30" ht="15.75" customHeight="1">
      <c r="A5" s="371">
        <v>44784</v>
      </c>
      <c r="B5" s="272" t="s">
        <v>301</v>
      </c>
      <c r="C5" s="269">
        <v>5</v>
      </c>
      <c r="D5" s="272" t="s">
        <v>1684</v>
      </c>
      <c r="E5" s="272" t="s">
        <v>3</v>
      </c>
      <c r="F5" s="272" t="s">
        <v>460</v>
      </c>
      <c r="G5" s="272" t="s">
        <v>1685</v>
      </c>
      <c r="H5" s="272">
        <v>5</v>
      </c>
      <c r="I5" s="272" t="s">
        <v>941</v>
      </c>
      <c r="J5" s="272" t="s">
        <v>1686</v>
      </c>
      <c r="K5" s="272">
        <v>5</v>
      </c>
      <c r="L5" s="272"/>
      <c r="M5" s="272"/>
      <c r="N5" s="272" t="s">
        <v>452</v>
      </c>
      <c r="O5" s="272" t="s">
        <v>1687</v>
      </c>
      <c r="P5" s="272" t="s">
        <v>725</v>
      </c>
      <c r="Q5" s="272" t="s">
        <v>18</v>
      </c>
      <c r="R5" s="274" t="s">
        <v>1688</v>
      </c>
      <c r="S5" s="370" t="str">
        <f ca="1">VLOOKUP($B5,'2022-2023 Third Reviews'!C:L, 9)</f>
        <v>Nick Schmandt
4</v>
      </c>
      <c r="T5" s="274" t="s">
        <v>11878</v>
      </c>
      <c r="U5" s="254" t="s">
        <v>18</v>
      </c>
      <c r="V5" s="325" t="s">
        <v>454</v>
      </c>
      <c r="W5" s="272"/>
      <c r="X5" s="272"/>
      <c r="Y5" s="272"/>
      <c r="Z5" s="272"/>
      <c r="AA5" s="272"/>
      <c r="AB5" s="224"/>
      <c r="AC5" s="224"/>
      <c r="AD5" s="224"/>
    </row>
    <row r="6" spans="1:30" ht="15.75" customHeight="1">
      <c r="A6" s="248">
        <v>44782</v>
      </c>
      <c r="B6" s="219" t="s">
        <v>311</v>
      </c>
      <c r="C6" s="249">
        <v>5</v>
      </c>
      <c r="D6" s="219" t="s">
        <v>1709</v>
      </c>
      <c r="E6" s="219" t="s">
        <v>3</v>
      </c>
      <c r="F6" s="219" t="s">
        <v>460</v>
      </c>
      <c r="G6" s="219" t="s">
        <v>1710</v>
      </c>
      <c r="H6" s="219">
        <v>5</v>
      </c>
      <c r="I6" s="219" t="s">
        <v>488</v>
      </c>
      <c r="J6" s="219" t="s">
        <v>11413</v>
      </c>
      <c r="K6" s="219">
        <v>5</v>
      </c>
      <c r="L6" s="219" t="s">
        <v>478</v>
      </c>
      <c r="M6" s="219">
        <v>30000000</v>
      </c>
      <c r="N6" s="219" t="s">
        <v>465</v>
      </c>
      <c r="O6" s="219" t="s">
        <v>452</v>
      </c>
      <c r="P6" s="219" t="s">
        <v>1713</v>
      </c>
      <c r="Q6" s="219" t="s">
        <v>18</v>
      </c>
      <c r="R6" s="251"/>
      <c r="S6" s="370" t="str">
        <f ca="1">VLOOKUP($B6,'2022-2023 Third Reviews'!C:L, 9)</f>
        <v>Jason Yu
4</v>
      </c>
      <c r="T6" s="251" t="s">
        <v>11879</v>
      </c>
      <c r="U6" s="251" t="s">
        <v>18</v>
      </c>
      <c r="V6" s="325" t="s">
        <v>481</v>
      </c>
      <c r="W6" s="219"/>
      <c r="X6" s="219"/>
      <c r="Y6" s="219"/>
      <c r="Z6" s="219"/>
      <c r="AA6" s="219"/>
      <c r="AB6" s="219"/>
      <c r="AC6" s="219"/>
      <c r="AD6" s="219"/>
    </row>
    <row r="7" spans="1:30" ht="15.75" customHeight="1">
      <c r="A7" s="253">
        <v>44791</v>
      </c>
      <c r="B7" s="224" t="s">
        <v>314</v>
      </c>
      <c r="C7" s="249">
        <v>5</v>
      </c>
      <c r="D7" s="224" t="s">
        <v>1726</v>
      </c>
      <c r="E7" s="224" t="s">
        <v>3</v>
      </c>
      <c r="F7" s="224" t="s">
        <v>725</v>
      </c>
      <c r="G7" s="224" t="s">
        <v>10523</v>
      </c>
      <c r="H7" s="224">
        <v>5</v>
      </c>
      <c r="I7" s="224" t="s">
        <v>462</v>
      </c>
      <c r="J7" s="224" t="s">
        <v>1728</v>
      </c>
      <c r="K7" s="224">
        <v>5</v>
      </c>
      <c r="L7" s="224" t="s">
        <v>478</v>
      </c>
      <c r="M7" s="307">
        <v>15000000</v>
      </c>
      <c r="N7" s="224" t="s">
        <v>465</v>
      </c>
      <c r="O7" s="224" t="s">
        <v>1729</v>
      </c>
      <c r="P7" s="224"/>
      <c r="Q7" s="224" t="s">
        <v>18</v>
      </c>
      <c r="R7" s="254" t="s">
        <v>11640</v>
      </c>
      <c r="S7" s="370" t="str">
        <f ca="1">VLOOKUP($B7,'2022-2023 Third Reviews'!C:L, 9)</f>
        <v>Jason Yu
4</v>
      </c>
      <c r="T7" s="254" t="s">
        <v>11877</v>
      </c>
      <c r="U7" s="254" t="s">
        <v>18</v>
      </c>
      <c r="V7" s="325" t="s">
        <v>481</v>
      </c>
      <c r="W7" s="224"/>
      <c r="X7" s="224"/>
      <c r="Y7" s="224"/>
      <c r="Z7" s="224"/>
      <c r="AA7" s="224"/>
      <c r="AB7" s="224"/>
      <c r="AC7" s="224"/>
      <c r="AD7" s="224"/>
    </row>
    <row r="8" spans="1:30" ht="15.75" customHeight="1">
      <c r="A8" s="248">
        <v>44782</v>
      </c>
      <c r="B8" s="219" t="s">
        <v>327</v>
      </c>
      <c r="C8" s="249">
        <v>5</v>
      </c>
      <c r="D8" s="219" t="s">
        <v>1825</v>
      </c>
      <c r="E8" s="219" t="s">
        <v>3</v>
      </c>
      <c r="F8" s="219" t="s">
        <v>460</v>
      </c>
      <c r="G8" s="219" t="s">
        <v>1826</v>
      </c>
      <c r="H8" s="219">
        <v>5</v>
      </c>
      <c r="I8" s="219" t="s">
        <v>941</v>
      </c>
      <c r="J8" s="219"/>
      <c r="K8" s="219">
        <v>5</v>
      </c>
      <c r="L8" s="219" t="s">
        <v>478</v>
      </c>
      <c r="M8" s="219">
        <v>20000000</v>
      </c>
      <c r="N8" s="219" t="s">
        <v>465</v>
      </c>
      <c r="O8" s="219" t="s">
        <v>1827</v>
      </c>
      <c r="P8" s="219"/>
      <c r="Q8" s="219" t="s">
        <v>18</v>
      </c>
      <c r="R8" s="251"/>
      <c r="S8" s="370" t="str">
        <f ca="1">VLOOKUP($B8,'2022-2023 Third Reviews'!C:L, 9)</f>
        <v>Nick Schmandt
4</v>
      </c>
      <c r="T8" s="251" t="s">
        <v>11880</v>
      </c>
      <c r="U8" s="251" t="s">
        <v>18</v>
      </c>
      <c r="V8" s="325" t="s">
        <v>481</v>
      </c>
      <c r="W8" s="219"/>
      <c r="X8" s="219"/>
      <c r="Y8" s="219"/>
      <c r="Z8" s="219"/>
      <c r="AA8" s="219"/>
      <c r="AB8" s="219"/>
      <c r="AC8" s="219"/>
      <c r="AD8" s="219"/>
    </row>
    <row r="9" spans="1:30" ht="15.75" customHeight="1">
      <c r="A9" s="253">
        <v>44789</v>
      </c>
      <c r="B9" s="224" t="s">
        <v>331</v>
      </c>
      <c r="C9" s="249">
        <v>5</v>
      </c>
      <c r="D9" s="224" t="s">
        <v>1849</v>
      </c>
      <c r="E9" s="224" t="s">
        <v>3</v>
      </c>
      <c r="F9" s="224" t="s">
        <v>460</v>
      </c>
      <c r="G9" s="224" t="s">
        <v>10216</v>
      </c>
      <c r="H9" s="224">
        <v>5</v>
      </c>
      <c r="I9" s="224" t="s">
        <v>462</v>
      </c>
      <c r="J9" s="224" t="s">
        <v>1851</v>
      </c>
      <c r="K9" s="224">
        <v>5</v>
      </c>
      <c r="L9" s="224" t="s">
        <v>478</v>
      </c>
      <c r="M9" s="307" t="s">
        <v>1852</v>
      </c>
      <c r="N9" s="224" t="s">
        <v>454</v>
      </c>
      <c r="O9" s="224" t="s">
        <v>1853</v>
      </c>
      <c r="P9" s="224" t="s">
        <v>460</v>
      </c>
      <c r="Q9" s="224" t="s">
        <v>18</v>
      </c>
      <c r="R9" s="254"/>
      <c r="S9" s="370" t="str">
        <f ca="1">VLOOKUP($B9,'2022-2023 Third Reviews'!C:L, 9)</f>
        <v>Jason Yu
2</v>
      </c>
      <c r="T9" s="254" t="s">
        <v>11881</v>
      </c>
      <c r="U9" s="254" t="s">
        <v>18</v>
      </c>
      <c r="V9" s="325" t="s">
        <v>454</v>
      </c>
      <c r="W9" s="224"/>
      <c r="X9" s="224"/>
      <c r="Y9" s="224"/>
      <c r="Z9" s="224"/>
      <c r="AA9" s="224"/>
      <c r="AB9" s="224"/>
      <c r="AC9" s="224"/>
      <c r="AD9" s="224"/>
    </row>
    <row r="10" spans="1:30" ht="15.75" customHeight="1">
      <c r="A10" s="212">
        <v>44776</v>
      </c>
      <c r="B10" s="213" t="s">
        <v>334</v>
      </c>
      <c r="C10" s="214">
        <v>5</v>
      </c>
      <c r="D10" s="213" t="s">
        <v>1874</v>
      </c>
      <c r="E10" s="213" t="s">
        <v>3</v>
      </c>
      <c r="F10" s="213" t="s">
        <v>460</v>
      </c>
      <c r="G10" s="213" t="s">
        <v>1875</v>
      </c>
      <c r="H10" s="213">
        <v>5</v>
      </c>
      <c r="I10" s="213" t="s">
        <v>941</v>
      </c>
      <c r="J10" s="213"/>
      <c r="K10" s="213">
        <v>5</v>
      </c>
      <c r="L10" s="213" t="s">
        <v>451</v>
      </c>
      <c r="M10" s="225">
        <v>2000000</v>
      </c>
      <c r="N10" s="213" t="s">
        <v>452</v>
      </c>
      <c r="O10" s="213" t="s">
        <v>1876</v>
      </c>
      <c r="P10" s="143"/>
      <c r="Q10" s="213" t="str">
        <f t="array" ref="Q10">INDEX(Notes!B:B,MATCH($B10,Notes!$A:$A,0))</f>
        <v>Invite</v>
      </c>
      <c r="R10" s="226">
        <f t="array" ref="R10">INDEX(Notes!C:C,MATCH($B10,Notes!$A:$A,0))</f>
        <v>0</v>
      </c>
      <c r="S10" s="370" t="str">
        <f ca="1">VLOOKUP($B10,'2022-2023 Third Reviews'!C:L, 9)</f>
        <v>John McDonald
2</v>
      </c>
      <c r="T10" s="226" t="s">
        <v>11882</v>
      </c>
      <c r="U10" s="251" t="s">
        <v>18</v>
      </c>
      <c r="V10" s="325" t="s">
        <v>454</v>
      </c>
      <c r="W10" s="213"/>
      <c r="X10" s="213"/>
      <c r="Y10" s="213"/>
      <c r="Z10" s="219"/>
      <c r="AA10" s="219"/>
      <c r="AB10" s="219"/>
      <c r="AC10" s="219"/>
      <c r="AD10" s="219"/>
    </row>
    <row r="11" spans="1:30" ht="15.75" customHeight="1">
      <c r="A11" s="253">
        <v>44789</v>
      </c>
      <c r="B11" s="224" t="s">
        <v>338</v>
      </c>
      <c r="C11" s="249">
        <v>5</v>
      </c>
      <c r="D11" s="224" t="s">
        <v>1917</v>
      </c>
      <c r="E11" s="224" t="s">
        <v>3</v>
      </c>
      <c r="F11" s="224" t="s">
        <v>460</v>
      </c>
      <c r="G11" s="224" t="s">
        <v>1918</v>
      </c>
      <c r="H11" s="224">
        <v>5</v>
      </c>
      <c r="I11" s="224" t="s">
        <v>941</v>
      </c>
      <c r="J11" s="224" t="s">
        <v>1919</v>
      </c>
      <c r="K11" s="224">
        <v>5</v>
      </c>
      <c r="L11" s="224" t="s">
        <v>1920</v>
      </c>
      <c r="M11" s="224" t="s">
        <v>1921</v>
      </c>
      <c r="N11" s="224" t="s">
        <v>452</v>
      </c>
      <c r="O11" s="224" t="s">
        <v>10980</v>
      </c>
      <c r="P11" s="224" t="s">
        <v>1924</v>
      </c>
      <c r="Q11" s="224" t="s">
        <v>18</v>
      </c>
      <c r="R11" s="254"/>
      <c r="S11" s="370" t="str">
        <f ca="1">VLOOKUP($B11,'2022-2023 Third Reviews'!C:L, 9)</f>
        <v>Ahmed Bahgat
5</v>
      </c>
      <c r="T11" s="254" t="s">
        <v>11883</v>
      </c>
      <c r="U11" s="254" t="s">
        <v>18</v>
      </c>
      <c r="V11" s="325" t="s">
        <v>481</v>
      </c>
      <c r="W11" s="224"/>
      <c r="X11" s="224"/>
      <c r="Y11" s="224"/>
      <c r="Z11" s="224"/>
      <c r="AA11" s="224"/>
      <c r="AB11" s="224"/>
      <c r="AC11" s="224"/>
      <c r="AD11" s="224"/>
    </row>
    <row r="12" spans="1:30" ht="15.75" customHeight="1">
      <c r="A12" s="372">
        <v>44784</v>
      </c>
      <c r="B12" s="268" t="s">
        <v>360</v>
      </c>
      <c r="C12" s="269">
        <v>5</v>
      </c>
      <c r="D12" s="268" t="s">
        <v>2032</v>
      </c>
      <c r="E12" s="268" t="s">
        <v>3</v>
      </c>
      <c r="F12" s="268" t="s">
        <v>460</v>
      </c>
      <c r="G12" s="268" t="s">
        <v>2033</v>
      </c>
      <c r="H12" s="268">
        <v>5</v>
      </c>
      <c r="I12" s="268" t="s">
        <v>462</v>
      </c>
      <c r="J12" s="268" t="s">
        <v>2034</v>
      </c>
      <c r="K12" s="268">
        <v>5</v>
      </c>
      <c r="L12" s="268" t="s">
        <v>478</v>
      </c>
      <c r="M12" s="275">
        <v>3000000</v>
      </c>
      <c r="N12" s="268" t="s">
        <v>465</v>
      </c>
      <c r="O12" s="275" t="s">
        <v>452</v>
      </c>
      <c r="P12" s="268"/>
      <c r="Q12" s="268" t="s">
        <v>18</v>
      </c>
      <c r="R12" s="271" t="s">
        <v>2035</v>
      </c>
      <c r="S12" s="370" t="str">
        <f ca="1">VLOOKUP($B12,'2022-2023 Third Reviews'!C:L, 9)</f>
        <v>Chris Millisits
3</v>
      </c>
      <c r="T12" s="271" t="s">
        <v>11881</v>
      </c>
      <c r="U12" s="251" t="s">
        <v>18</v>
      </c>
      <c r="V12" s="325" t="s">
        <v>481</v>
      </c>
      <c r="W12" s="268"/>
      <c r="X12" s="268"/>
      <c r="Y12" s="268"/>
      <c r="Z12" s="268"/>
      <c r="AA12" s="268"/>
      <c r="AB12" s="219"/>
      <c r="AC12" s="219"/>
      <c r="AD12" s="219"/>
    </row>
    <row r="13" spans="1:30" ht="15.75" customHeight="1">
      <c r="A13" s="371">
        <v>44784</v>
      </c>
      <c r="B13" s="272" t="s">
        <v>368</v>
      </c>
      <c r="C13" s="269">
        <v>5</v>
      </c>
      <c r="D13" s="272" t="s">
        <v>2064</v>
      </c>
      <c r="E13" s="272" t="s">
        <v>3</v>
      </c>
      <c r="F13" s="272" t="s">
        <v>460</v>
      </c>
      <c r="G13" s="272" t="s">
        <v>2065</v>
      </c>
      <c r="H13" s="272">
        <v>5</v>
      </c>
      <c r="I13" s="272" t="s">
        <v>488</v>
      </c>
      <c r="J13" s="272" t="s">
        <v>2066</v>
      </c>
      <c r="K13" s="272">
        <v>5</v>
      </c>
      <c r="L13" s="272" t="s">
        <v>973</v>
      </c>
      <c r="M13" s="272" t="s">
        <v>2067</v>
      </c>
      <c r="N13" s="272" t="s">
        <v>465</v>
      </c>
      <c r="O13" s="272" t="s">
        <v>2068</v>
      </c>
      <c r="P13" s="272"/>
      <c r="Q13" s="272" t="s">
        <v>18</v>
      </c>
      <c r="R13" s="274" t="s">
        <v>2069</v>
      </c>
      <c r="S13" s="370" t="e">
        <f>VLOOKUP(#REF!,'2022-2023 Third Reviews'!C:L, 9)</f>
        <v>#REF!</v>
      </c>
      <c r="T13" s="274" t="s">
        <v>11878</v>
      </c>
      <c r="U13" s="254" t="s">
        <v>18</v>
      </c>
      <c r="V13" s="325" t="s">
        <v>481</v>
      </c>
      <c r="W13" s="272"/>
      <c r="X13" s="272"/>
      <c r="Y13" s="272"/>
      <c r="Z13" s="272"/>
      <c r="AA13" s="272"/>
      <c r="AB13" s="224"/>
      <c r="AC13" s="224"/>
      <c r="AD13" s="224"/>
    </row>
    <row r="14" spans="1:30" ht="15.75" customHeight="1">
      <c r="A14" s="248">
        <v>44789</v>
      </c>
      <c r="B14" s="219" t="s">
        <v>277</v>
      </c>
      <c r="C14" s="249">
        <v>4.75</v>
      </c>
      <c r="D14" s="219" t="s">
        <v>10859</v>
      </c>
      <c r="E14" s="219" t="s">
        <v>3</v>
      </c>
      <c r="F14" s="219" t="s">
        <v>460</v>
      </c>
      <c r="G14" s="219" t="s">
        <v>10860</v>
      </c>
      <c r="H14" s="219">
        <v>4.5</v>
      </c>
      <c r="I14" s="219" t="s">
        <v>462</v>
      </c>
      <c r="J14" s="219" t="s">
        <v>1603</v>
      </c>
      <c r="K14" s="219">
        <v>5</v>
      </c>
      <c r="L14" s="219"/>
      <c r="M14" s="219"/>
      <c r="N14" s="219" t="s">
        <v>452</v>
      </c>
      <c r="O14" s="219" t="s">
        <v>1604</v>
      </c>
      <c r="P14" s="219"/>
      <c r="Q14" s="219" t="s">
        <v>18</v>
      </c>
      <c r="R14" s="251"/>
      <c r="S14" s="370" t="str">
        <f ca="1">VLOOKUP($B14,'2022-2023 Third Reviews'!C:L, 9)</f>
        <v>Jason Yu
3</v>
      </c>
      <c r="T14" s="251" t="s">
        <v>11881</v>
      </c>
      <c r="U14" s="251" t="s">
        <v>18</v>
      </c>
      <c r="V14" s="325" t="s">
        <v>481</v>
      </c>
      <c r="W14" s="219"/>
      <c r="X14" s="219"/>
      <c r="Y14" s="219"/>
      <c r="Z14" s="219"/>
      <c r="AA14" s="219"/>
      <c r="AB14" s="219"/>
      <c r="AC14" s="219"/>
      <c r="AD14" s="219"/>
    </row>
    <row r="15" spans="1:30" ht="15.75" customHeight="1">
      <c r="A15" s="253">
        <v>44796</v>
      </c>
      <c r="B15" s="224" t="s">
        <v>300</v>
      </c>
      <c r="C15" s="249">
        <v>4.75</v>
      </c>
      <c r="D15" s="224" t="s">
        <v>1675</v>
      </c>
      <c r="E15" s="224" t="s">
        <v>3</v>
      </c>
      <c r="F15" s="224" t="s">
        <v>460</v>
      </c>
      <c r="G15" s="224" t="s">
        <v>1676</v>
      </c>
      <c r="H15" s="224">
        <v>4.5</v>
      </c>
      <c r="I15" s="224" t="s">
        <v>462</v>
      </c>
      <c r="J15" s="224" t="s">
        <v>1677</v>
      </c>
      <c r="K15" s="224">
        <v>5</v>
      </c>
      <c r="L15" s="224" t="s">
        <v>451</v>
      </c>
      <c r="M15" s="224">
        <v>10000000</v>
      </c>
      <c r="N15" s="224" t="s">
        <v>452</v>
      </c>
      <c r="O15" s="224" t="s">
        <v>1678</v>
      </c>
      <c r="P15" s="224"/>
      <c r="Q15" s="224" t="s">
        <v>18</v>
      </c>
      <c r="R15" s="254" t="s">
        <v>1679</v>
      </c>
      <c r="S15" s="370" t="str">
        <f ca="1">VLOOKUP($B15,'2022-2023 Third Reviews'!C:L, 9)</f>
        <v>Nick Schmandt
4</v>
      </c>
      <c r="T15" s="254" t="s">
        <v>11884</v>
      </c>
      <c r="U15" s="254" t="s">
        <v>18</v>
      </c>
      <c r="V15" s="325" t="s">
        <v>481</v>
      </c>
      <c r="W15" s="224"/>
      <c r="X15" s="224"/>
      <c r="Y15" s="224"/>
      <c r="Z15" s="224"/>
      <c r="AA15" s="224"/>
      <c r="AB15" s="224"/>
      <c r="AC15" s="224"/>
      <c r="AD15" s="224"/>
    </row>
    <row r="16" spans="1:30" ht="15.75" customHeight="1">
      <c r="A16" s="248">
        <v>44782</v>
      </c>
      <c r="B16" s="219" t="s">
        <v>313</v>
      </c>
      <c r="C16" s="249">
        <v>4.75</v>
      </c>
      <c r="D16" s="219" t="s">
        <v>1718</v>
      </c>
      <c r="E16" s="219" t="s">
        <v>3</v>
      </c>
      <c r="F16" s="219" t="s">
        <v>460</v>
      </c>
      <c r="G16" s="219" t="s">
        <v>1719</v>
      </c>
      <c r="H16" s="219">
        <v>5</v>
      </c>
      <c r="I16" s="219" t="s">
        <v>462</v>
      </c>
      <c r="J16" s="219" t="s">
        <v>1720</v>
      </c>
      <c r="K16" s="219">
        <v>4.5</v>
      </c>
      <c r="L16" s="219" t="s">
        <v>478</v>
      </c>
      <c r="M16" s="219">
        <v>6000000</v>
      </c>
      <c r="N16" s="219" t="s">
        <v>452</v>
      </c>
      <c r="O16" s="219" t="s">
        <v>1721</v>
      </c>
      <c r="P16" s="219"/>
      <c r="Q16" s="213" t="s">
        <v>18</v>
      </c>
      <c r="R16" s="251"/>
      <c r="S16" s="370" t="str">
        <f ca="1">VLOOKUP($B16,'2022-2023 Third Reviews'!C:L, 9)</f>
        <v>Jason Yu
4</v>
      </c>
      <c r="T16" s="251" t="s">
        <v>11885</v>
      </c>
      <c r="U16" s="251" t="s">
        <v>18</v>
      </c>
      <c r="V16" s="325" t="s">
        <v>481</v>
      </c>
      <c r="W16" s="219"/>
      <c r="X16" s="219"/>
      <c r="Y16" s="219"/>
      <c r="Z16" s="219"/>
      <c r="AA16" s="219"/>
      <c r="AB16" s="219"/>
      <c r="AC16" s="219"/>
      <c r="AD16" s="219"/>
    </row>
    <row r="17" spans="1:30" ht="15.75" customHeight="1">
      <c r="A17" s="253">
        <v>44791</v>
      </c>
      <c r="B17" s="224" t="s">
        <v>345</v>
      </c>
      <c r="C17" s="249">
        <v>4.75</v>
      </c>
      <c r="D17" s="224" t="s">
        <v>1972</v>
      </c>
      <c r="E17" s="224" t="s">
        <v>3</v>
      </c>
      <c r="F17" s="224" t="s">
        <v>460</v>
      </c>
      <c r="G17" s="224" t="s">
        <v>1973</v>
      </c>
      <c r="H17" s="224">
        <v>4.5</v>
      </c>
      <c r="I17" s="224" t="s">
        <v>462</v>
      </c>
      <c r="J17" s="224" t="s">
        <v>1974</v>
      </c>
      <c r="K17" s="224">
        <v>5</v>
      </c>
      <c r="L17" s="224" t="s">
        <v>478</v>
      </c>
      <c r="M17" s="224" t="s">
        <v>1975</v>
      </c>
      <c r="N17" s="224" t="s">
        <v>452</v>
      </c>
      <c r="O17" s="224" t="s">
        <v>1976</v>
      </c>
      <c r="P17" s="224" t="s">
        <v>725</v>
      </c>
      <c r="Q17" s="224" t="s">
        <v>18</v>
      </c>
      <c r="R17" s="254" t="s">
        <v>1977</v>
      </c>
      <c r="S17" s="370" t="str">
        <f ca="1">VLOOKUP($B17,'2022-2023 Third Reviews'!C:L, 9)</f>
        <v>Joshua Rubnitz
3</v>
      </c>
      <c r="T17" s="254" t="s">
        <v>11881</v>
      </c>
      <c r="U17" s="254" t="s">
        <v>18</v>
      </c>
      <c r="V17" s="325" t="s">
        <v>454</v>
      </c>
      <c r="W17" s="224"/>
      <c r="X17" s="224"/>
      <c r="Y17" s="224"/>
      <c r="Z17" s="224"/>
      <c r="AA17" s="224"/>
      <c r="AB17" s="224"/>
      <c r="AC17" s="224"/>
      <c r="AD17" s="224"/>
    </row>
    <row r="18" spans="1:30" ht="15.75" customHeight="1">
      <c r="A18" s="248">
        <v>44797</v>
      </c>
      <c r="B18" s="219" t="s">
        <v>348</v>
      </c>
      <c r="C18" s="249">
        <v>4.75</v>
      </c>
      <c r="D18" s="219" t="s">
        <v>1998</v>
      </c>
      <c r="E18" s="219" t="s">
        <v>3</v>
      </c>
      <c r="F18" s="219" t="s">
        <v>460</v>
      </c>
      <c r="G18" s="219" t="s">
        <v>1999</v>
      </c>
      <c r="H18" s="219">
        <v>4.5</v>
      </c>
      <c r="I18" s="219" t="s">
        <v>941</v>
      </c>
      <c r="J18" s="219" t="s">
        <v>2000</v>
      </c>
      <c r="K18" s="219">
        <v>5</v>
      </c>
      <c r="L18" s="219" t="s">
        <v>478</v>
      </c>
      <c r="M18" s="219" t="s">
        <v>2001</v>
      </c>
      <c r="N18" s="219" t="s">
        <v>452</v>
      </c>
      <c r="O18" s="219" t="s">
        <v>452</v>
      </c>
      <c r="P18" s="219" t="s">
        <v>2002</v>
      </c>
      <c r="Q18" s="219" t="s">
        <v>18</v>
      </c>
      <c r="R18" s="251" t="s">
        <v>2003</v>
      </c>
      <c r="S18" s="370" t="str">
        <f ca="1">VLOOKUP($B18,'2022-2023 Third Reviews'!C:L, 9)</f>
        <v>Joshua Rubnitz
3</v>
      </c>
      <c r="T18" s="251" t="s">
        <v>11876</v>
      </c>
      <c r="U18" s="251" t="s">
        <v>18</v>
      </c>
      <c r="V18" s="325" t="s">
        <v>454</v>
      </c>
      <c r="W18" s="219"/>
      <c r="X18" s="219"/>
      <c r="Y18" s="219"/>
      <c r="Z18" s="219"/>
      <c r="AA18" s="219"/>
      <c r="AB18" s="219"/>
      <c r="AC18" s="219"/>
      <c r="AD18" s="219"/>
    </row>
    <row r="19" spans="1:30" ht="15.75" customHeight="1">
      <c r="A19" s="253">
        <v>44796</v>
      </c>
      <c r="B19" s="224" t="s">
        <v>361</v>
      </c>
      <c r="C19" s="249">
        <v>4.75</v>
      </c>
      <c r="D19" s="224" t="s">
        <v>10832</v>
      </c>
      <c r="E19" s="224" t="s">
        <v>3</v>
      </c>
      <c r="F19" s="224" t="s">
        <v>725</v>
      </c>
      <c r="G19" s="224" t="s">
        <v>2041</v>
      </c>
      <c r="H19" s="224">
        <v>5</v>
      </c>
      <c r="I19" s="224" t="s">
        <v>941</v>
      </c>
      <c r="J19" s="224" t="s">
        <v>2042</v>
      </c>
      <c r="K19" s="224">
        <v>4.5</v>
      </c>
      <c r="L19" s="224" t="s">
        <v>451</v>
      </c>
      <c r="M19" s="330">
        <v>15000000</v>
      </c>
      <c r="N19" s="224" t="s">
        <v>452</v>
      </c>
      <c r="O19" s="224" t="s">
        <v>452</v>
      </c>
      <c r="P19" s="224" t="s">
        <v>2043</v>
      </c>
      <c r="Q19" s="224" t="s">
        <v>18</v>
      </c>
      <c r="R19" s="254" t="s">
        <v>2044</v>
      </c>
      <c r="S19" s="370" t="str">
        <f ca="1">VLOOKUP($B19,'2022-2023 Third Reviews'!C:L, 9)</f>
        <v>Chris Millisits
3</v>
      </c>
      <c r="T19" s="254" t="s">
        <v>11877</v>
      </c>
      <c r="U19" s="254" t="s">
        <v>18</v>
      </c>
      <c r="V19" s="325" t="s">
        <v>481</v>
      </c>
      <c r="W19" s="224"/>
      <c r="X19" s="224"/>
      <c r="Y19" s="224"/>
      <c r="Z19" s="224"/>
      <c r="AA19" s="224"/>
      <c r="AB19" s="224"/>
      <c r="AC19" s="224"/>
      <c r="AD19" s="224"/>
    </row>
    <row r="20" spans="1:30" ht="15.75" customHeight="1">
      <c r="A20" s="248">
        <v>44796</v>
      </c>
      <c r="B20" s="219" t="s">
        <v>369</v>
      </c>
      <c r="C20" s="249">
        <v>4.75</v>
      </c>
      <c r="D20" s="219" t="s">
        <v>2074</v>
      </c>
      <c r="E20" s="219" t="s">
        <v>3</v>
      </c>
      <c r="F20" s="219" t="s">
        <v>488</v>
      </c>
      <c r="G20" s="219" t="s">
        <v>2075</v>
      </c>
      <c r="H20" s="219">
        <v>5</v>
      </c>
      <c r="I20" s="219" t="s">
        <v>462</v>
      </c>
      <c r="J20" s="219" t="s">
        <v>2076</v>
      </c>
      <c r="K20" s="219">
        <v>4.5</v>
      </c>
      <c r="L20" s="219" t="s">
        <v>478</v>
      </c>
      <c r="M20" s="219" t="s">
        <v>2077</v>
      </c>
      <c r="N20" s="219" t="s">
        <v>452</v>
      </c>
      <c r="O20" s="219" t="s">
        <v>2078</v>
      </c>
      <c r="P20" s="219"/>
      <c r="Q20" s="219" t="s">
        <v>18</v>
      </c>
      <c r="R20" s="251" t="s">
        <v>2079</v>
      </c>
      <c r="S20" s="370" t="str">
        <f ca="1">VLOOKUP($B20,'2022-2023 Third Reviews'!C:L, 9)</f>
        <v>Chris Millisits
3</v>
      </c>
      <c r="T20" s="251" t="s">
        <v>11886</v>
      </c>
      <c r="U20" s="251" t="s">
        <v>18</v>
      </c>
      <c r="V20" s="325" t="s">
        <v>481</v>
      </c>
      <c r="W20" s="219"/>
      <c r="X20" s="219"/>
      <c r="Y20" s="219"/>
      <c r="Z20" s="219"/>
      <c r="AA20" s="219"/>
      <c r="AB20" s="219"/>
      <c r="AC20" s="219"/>
      <c r="AD20" s="219"/>
    </row>
    <row r="21" spans="1:30" ht="15.75" customHeight="1">
      <c r="A21" s="253">
        <v>44789</v>
      </c>
      <c r="B21" s="224" t="s">
        <v>321</v>
      </c>
      <c r="C21" s="249">
        <v>4.63</v>
      </c>
      <c r="D21" s="224" t="s">
        <v>1776</v>
      </c>
      <c r="E21" s="224" t="s">
        <v>3</v>
      </c>
      <c r="F21" s="224" t="s">
        <v>488</v>
      </c>
      <c r="G21" s="224"/>
      <c r="H21" s="224">
        <v>4.5</v>
      </c>
      <c r="I21" s="224" t="s">
        <v>941</v>
      </c>
      <c r="J21" s="224"/>
      <c r="K21" s="224">
        <v>4.75</v>
      </c>
      <c r="L21" s="224" t="s">
        <v>451</v>
      </c>
      <c r="M21" s="307">
        <v>10000000</v>
      </c>
      <c r="N21" s="224" t="s">
        <v>452</v>
      </c>
      <c r="O21" s="224" t="s">
        <v>575</v>
      </c>
      <c r="P21" s="224" t="s">
        <v>1777</v>
      </c>
      <c r="Q21" s="224" t="s">
        <v>18</v>
      </c>
      <c r="R21" s="254" t="s">
        <v>1778</v>
      </c>
      <c r="S21" s="370" t="str">
        <f ca="1">VLOOKUP($B21,'2022-2023 Third Reviews'!C:L, 9)</f>
        <v>John McDonald
4</v>
      </c>
      <c r="T21" s="254" t="s">
        <v>11882</v>
      </c>
      <c r="U21" s="254" t="s">
        <v>18</v>
      </c>
      <c r="V21" s="325" t="s">
        <v>481</v>
      </c>
      <c r="W21" s="224"/>
      <c r="X21" s="224"/>
      <c r="Y21" s="224"/>
      <c r="Z21" s="224"/>
      <c r="AA21" s="224"/>
      <c r="AB21" s="224"/>
      <c r="AC21" s="224"/>
      <c r="AD21" s="224"/>
    </row>
    <row r="22" spans="1:30" ht="15.75" customHeight="1">
      <c r="A22" s="248">
        <v>44789</v>
      </c>
      <c r="B22" s="219" t="s">
        <v>286</v>
      </c>
      <c r="C22" s="249">
        <v>4.5</v>
      </c>
      <c r="D22" s="219" t="s">
        <v>1632</v>
      </c>
      <c r="E22" s="219" t="s">
        <v>3</v>
      </c>
      <c r="F22" s="219" t="s">
        <v>460</v>
      </c>
      <c r="G22" s="219" t="s">
        <v>1633</v>
      </c>
      <c r="H22" s="219">
        <v>4.5</v>
      </c>
      <c r="I22" s="219" t="s">
        <v>462</v>
      </c>
      <c r="J22" s="219" t="s">
        <v>1634</v>
      </c>
      <c r="K22" s="219">
        <v>4.5</v>
      </c>
      <c r="L22" s="219" t="s">
        <v>478</v>
      </c>
      <c r="M22" s="310">
        <v>6000000</v>
      </c>
      <c r="N22" s="219" t="s">
        <v>452</v>
      </c>
      <c r="O22" s="219" t="s">
        <v>11081</v>
      </c>
      <c r="P22" s="219"/>
      <c r="Q22" s="219" t="s">
        <v>18</v>
      </c>
      <c r="R22" s="251"/>
      <c r="S22" s="370" t="str">
        <f ca="1">VLOOKUP($B22,'2022-2023 Third Reviews'!C:L, 9)</f>
        <v>Jason Yu
5</v>
      </c>
      <c r="T22" s="251" t="s">
        <v>11887</v>
      </c>
      <c r="U22" s="251" t="s">
        <v>18</v>
      </c>
      <c r="V22" s="325" t="s">
        <v>454</v>
      </c>
      <c r="W22" s="219"/>
      <c r="X22" s="219"/>
      <c r="Y22" s="219"/>
      <c r="Z22" s="219"/>
      <c r="AA22" s="219"/>
      <c r="AB22" s="219"/>
      <c r="AC22" s="219"/>
      <c r="AD22" s="219"/>
    </row>
    <row r="23" spans="1:30" ht="15.75" customHeight="1">
      <c r="A23" s="253">
        <v>44796</v>
      </c>
      <c r="B23" s="224" t="s">
        <v>294</v>
      </c>
      <c r="C23" s="249">
        <v>4.5</v>
      </c>
      <c r="D23" s="224"/>
      <c r="E23" s="224" t="s">
        <v>3</v>
      </c>
      <c r="F23" s="224" t="s">
        <v>460</v>
      </c>
      <c r="G23" s="224" t="s">
        <v>1654</v>
      </c>
      <c r="H23" s="224">
        <v>4.5</v>
      </c>
      <c r="I23" s="224" t="s">
        <v>941</v>
      </c>
      <c r="J23" s="224" t="s">
        <v>1655</v>
      </c>
      <c r="K23" s="224">
        <v>4.5</v>
      </c>
      <c r="L23" s="224" t="s">
        <v>1656</v>
      </c>
      <c r="M23" s="330">
        <v>10000000</v>
      </c>
      <c r="N23" s="224" t="s">
        <v>454</v>
      </c>
      <c r="O23" s="224" t="s">
        <v>1657</v>
      </c>
      <c r="P23" s="224"/>
      <c r="Q23" s="224" t="s">
        <v>18</v>
      </c>
      <c r="R23" s="254" t="s">
        <v>11888</v>
      </c>
      <c r="S23" s="370" t="str">
        <f ca="1">VLOOKUP($B23,'2022-2023 Third Reviews'!C:L, 9)</f>
        <v>Nick Schmandt
4</v>
      </c>
      <c r="T23" s="254" t="s">
        <v>11877</v>
      </c>
      <c r="U23" s="254" t="s">
        <v>18</v>
      </c>
      <c r="V23" s="325" t="s">
        <v>481</v>
      </c>
      <c r="W23" s="224"/>
      <c r="X23" s="224"/>
      <c r="Y23" s="224"/>
      <c r="Z23" s="224"/>
      <c r="AA23" s="224"/>
      <c r="AB23" s="224"/>
      <c r="AC23" s="224"/>
      <c r="AD23" s="224"/>
    </row>
    <row r="24" spans="1:30" ht="15.75" customHeight="1">
      <c r="A24" s="248">
        <v>44789</v>
      </c>
      <c r="B24" s="219" t="s">
        <v>310</v>
      </c>
      <c r="C24" s="249">
        <v>4.5</v>
      </c>
      <c r="D24" s="219" t="s">
        <v>1701</v>
      </c>
      <c r="E24" s="219" t="s">
        <v>3</v>
      </c>
      <c r="F24" s="219" t="s">
        <v>460</v>
      </c>
      <c r="G24" s="219" t="s">
        <v>1702</v>
      </c>
      <c r="H24" s="219">
        <v>4.5</v>
      </c>
      <c r="I24" s="219" t="s">
        <v>462</v>
      </c>
      <c r="J24" s="219" t="s">
        <v>1703</v>
      </c>
      <c r="K24" s="219">
        <v>4.5</v>
      </c>
      <c r="L24" s="219" t="s">
        <v>451</v>
      </c>
      <c r="M24" s="310">
        <v>4000000</v>
      </c>
      <c r="N24" s="219" t="s">
        <v>452</v>
      </c>
      <c r="O24" s="219" t="s">
        <v>11169</v>
      </c>
      <c r="P24" s="219"/>
      <c r="Q24" s="219" t="s">
        <v>18</v>
      </c>
      <c r="R24" s="251"/>
      <c r="S24" s="370" t="str">
        <f ca="1">VLOOKUP($B24,'2022-2023 Third Reviews'!C:L, 9)</f>
        <v>John McDonald
5</v>
      </c>
      <c r="T24" s="251" t="s">
        <v>11889</v>
      </c>
      <c r="U24" s="251" t="s">
        <v>18</v>
      </c>
      <c r="V24" s="325" t="s">
        <v>454</v>
      </c>
      <c r="W24" s="219"/>
      <c r="X24" s="219"/>
      <c r="Y24" s="219"/>
      <c r="Z24" s="219"/>
      <c r="AA24" s="219"/>
      <c r="AB24" s="219"/>
      <c r="AC24" s="219"/>
      <c r="AD24" s="219"/>
    </row>
    <row r="25" spans="1:30" ht="15.75" customHeight="1">
      <c r="A25" s="253">
        <v>44782</v>
      </c>
      <c r="B25" s="224" t="s">
        <v>316</v>
      </c>
      <c r="C25" s="249">
        <v>4.5</v>
      </c>
      <c r="D25" s="224" t="s">
        <v>1744</v>
      </c>
      <c r="E25" s="224" t="s">
        <v>3</v>
      </c>
      <c r="F25" s="224" t="s">
        <v>460</v>
      </c>
      <c r="G25" s="224" t="s">
        <v>11524</v>
      </c>
      <c r="H25" s="224">
        <v>4.5</v>
      </c>
      <c r="I25" s="224" t="s">
        <v>462</v>
      </c>
      <c r="J25" s="224" t="s">
        <v>1746</v>
      </c>
      <c r="K25" s="224">
        <v>4.5</v>
      </c>
      <c r="L25" s="224" t="s">
        <v>478</v>
      </c>
      <c r="M25" s="224">
        <v>20000000</v>
      </c>
      <c r="N25" s="224" t="s">
        <v>454</v>
      </c>
      <c r="O25" s="224" t="s">
        <v>1747</v>
      </c>
      <c r="P25" s="224"/>
      <c r="Q25" s="224" t="s">
        <v>18</v>
      </c>
      <c r="R25" s="254"/>
      <c r="S25" s="370" t="str">
        <f ca="1">VLOOKUP($B25,'2022-2023 Third Reviews'!C:L, 9)</f>
        <v>John McDonald
4</v>
      </c>
      <c r="T25" s="254" t="s">
        <v>11876</v>
      </c>
      <c r="U25" s="254" t="s">
        <v>18</v>
      </c>
      <c r="V25" s="325" t="s">
        <v>454</v>
      </c>
      <c r="W25" s="224"/>
      <c r="X25" s="224"/>
      <c r="Y25" s="224"/>
      <c r="Z25" s="224"/>
      <c r="AA25" s="224"/>
      <c r="AB25" s="224"/>
      <c r="AC25" s="224"/>
      <c r="AD25" s="224"/>
    </row>
    <row r="26" spans="1:30" ht="15.75" customHeight="1">
      <c r="A26" s="248">
        <v>44791</v>
      </c>
      <c r="B26" s="219" t="s">
        <v>325</v>
      </c>
      <c r="C26" s="249">
        <v>4.5</v>
      </c>
      <c r="D26" s="219" t="s">
        <v>1809</v>
      </c>
      <c r="E26" s="219" t="s">
        <v>3</v>
      </c>
      <c r="F26" s="219" t="s">
        <v>460</v>
      </c>
      <c r="G26" s="219" t="s">
        <v>1810</v>
      </c>
      <c r="H26" s="219">
        <v>4.5</v>
      </c>
      <c r="I26" s="219" t="s">
        <v>941</v>
      </c>
      <c r="J26" s="219"/>
      <c r="K26" s="219">
        <v>4.5</v>
      </c>
      <c r="L26" s="219" t="s">
        <v>478</v>
      </c>
      <c r="M26" s="219" t="s">
        <v>1811</v>
      </c>
      <c r="N26" s="219" t="s">
        <v>452</v>
      </c>
      <c r="O26" s="219" t="s">
        <v>1812</v>
      </c>
      <c r="P26" s="219"/>
      <c r="Q26" s="219" t="s">
        <v>18</v>
      </c>
      <c r="R26" s="251" t="s">
        <v>11890</v>
      </c>
      <c r="S26" s="370" t="str">
        <f ca="1">VLOOKUP($B26,'2022-2023 Third Reviews'!C:L, 9)</f>
        <v>John McDonald
4</v>
      </c>
      <c r="T26" s="251" t="s">
        <v>11889</v>
      </c>
      <c r="U26" s="251" t="s">
        <v>18</v>
      </c>
      <c r="V26" s="325" t="s">
        <v>454</v>
      </c>
      <c r="W26" s="219"/>
      <c r="X26" s="219"/>
      <c r="Y26" s="219"/>
      <c r="Z26" s="219"/>
      <c r="AA26" s="219"/>
      <c r="AB26" s="219"/>
      <c r="AC26" s="219"/>
      <c r="AD26" s="219"/>
    </row>
    <row r="27" spans="1:30" ht="15.75" customHeight="1">
      <c r="A27" s="253">
        <v>44791</v>
      </c>
      <c r="B27" s="224" t="s">
        <v>328</v>
      </c>
      <c r="C27" s="249">
        <v>4.5</v>
      </c>
      <c r="D27" s="224" t="s">
        <v>1832</v>
      </c>
      <c r="E27" s="224" t="s">
        <v>3</v>
      </c>
      <c r="F27" s="224" t="s">
        <v>460</v>
      </c>
      <c r="G27" s="224" t="s">
        <v>1833</v>
      </c>
      <c r="H27" s="224">
        <v>4.5</v>
      </c>
      <c r="I27" s="224" t="s">
        <v>462</v>
      </c>
      <c r="J27" s="224" t="s">
        <v>10638</v>
      </c>
      <c r="K27" s="224">
        <v>4.5</v>
      </c>
      <c r="L27" s="224" t="s">
        <v>478</v>
      </c>
      <c r="M27" s="224" t="s">
        <v>1835</v>
      </c>
      <c r="N27" s="224" t="s">
        <v>452</v>
      </c>
      <c r="O27" s="224" t="s">
        <v>452</v>
      </c>
      <c r="P27" s="224"/>
      <c r="Q27" s="224" t="s">
        <v>18</v>
      </c>
      <c r="R27" s="254"/>
      <c r="S27" s="370" t="str">
        <f ca="1">VLOOKUP($B27,'2022-2023 Third Reviews'!C:L, 9)</f>
        <v>John McDonald
4</v>
      </c>
      <c r="T27" s="254" t="s">
        <v>11891</v>
      </c>
      <c r="U27" s="254" t="s">
        <v>18</v>
      </c>
      <c r="V27" s="325" t="s">
        <v>454</v>
      </c>
      <c r="W27" s="224"/>
      <c r="X27" s="224"/>
      <c r="Y27" s="224"/>
      <c r="Z27" s="224"/>
      <c r="AA27" s="224"/>
      <c r="AB27" s="224"/>
      <c r="AC27" s="224"/>
      <c r="AD27" s="224"/>
    </row>
    <row r="28" spans="1:30" ht="15.75" customHeight="1">
      <c r="A28" s="248">
        <v>44789</v>
      </c>
      <c r="B28" s="219" t="s">
        <v>329</v>
      </c>
      <c r="C28" s="249">
        <v>4.5</v>
      </c>
      <c r="D28" s="219" t="s">
        <v>1840</v>
      </c>
      <c r="E28" s="219" t="s">
        <v>3</v>
      </c>
      <c r="F28" s="219" t="s">
        <v>488</v>
      </c>
      <c r="G28" s="219" t="s">
        <v>10624</v>
      </c>
      <c r="H28" s="219">
        <v>4.5</v>
      </c>
      <c r="I28" s="219" t="s">
        <v>941</v>
      </c>
      <c r="J28" s="219" t="s">
        <v>1842</v>
      </c>
      <c r="K28" s="219">
        <v>4.5</v>
      </c>
      <c r="L28" s="219"/>
      <c r="M28" s="219"/>
      <c r="N28" s="219" t="s">
        <v>465</v>
      </c>
      <c r="O28" s="219" t="s">
        <v>1843</v>
      </c>
      <c r="P28" s="219"/>
      <c r="Q28" s="219" t="s">
        <v>18</v>
      </c>
      <c r="R28" s="251" t="s">
        <v>11892</v>
      </c>
      <c r="S28" s="370" t="str">
        <f ca="1">VLOOKUP($B28,'2022-2023 Third Reviews'!C:L, 9)</f>
        <v>Jason Yu
5</v>
      </c>
      <c r="T28" s="251" t="s">
        <v>11876</v>
      </c>
      <c r="U28" s="251" t="s">
        <v>18</v>
      </c>
      <c r="V28" s="251" t="s">
        <v>454</v>
      </c>
      <c r="W28" s="219"/>
      <c r="X28" s="219"/>
      <c r="Y28" s="219"/>
      <c r="Z28" s="219"/>
      <c r="AA28" s="219"/>
      <c r="AB28" s="219"/>
      <c r="AC28" s="219"/>
      <c r="AD28" s="219"/>
    </row>
    <row r="29" spans="1:30" ht="15.75" customHeight="1">
      <c r="A29" s="253">
        <v>44782</v>
      </c>
      <c r="B29" s="224" t="s">
        <v>333</v>
      </c>
      <c r="C29" s="249">
        <v>4.5</v>
      </c>
      <c r="D29" s="224" t="s">
        <v>1867</v>
      </c>
      <c r="E29" s="224" t="s">
        <v>3</v>
      </c>
      <c r="F29" s="224" t="s">
        <v>460</v>
      </c>
      <c r="G29" s="224" t="s">
        <v>1868</v>
      </c>
      <c r="H29" s="224">
        <v>4.5</v>
      </c>
      <c r="I29" s="224" t="s">
        <v>462</v>
      </c>
      <c r="J29" s="224" t="s">
        <v>1869</v>
      </c>
      <c r="K29" s="224">
        <v>4.5</v>
      </c>
      <c r="L29" s="224"/>
      <c r="M29" s="224"/>
      <c r="N29" s="224" t="s">
        <v>452</v>
      </c>
      <c r="O29" s="224" t="s">
        <v>452</v>
      </c>
      <c r="P29" s="224"/>
      <c r="Q29" s="224" t="s">
        <v>18</v>
      </c>
      <c r="R29" s="254"/>
      <c r="S29" s="370" t="str">
        <f ca="1">VLOOKUP($B29,'2022-2023 Third Reviews'!C:L, 9)</f>
        <v>John McDonald
2</v>
      </c>
      <c r="T29" s="254" t="s">
        <v>11887</v>
      </c>
      <c r="U29" s="254" t="s">
        <v>18</v>
      </c>
      <c r="V29" s="325" t="s">
        <v>454</v>
      </c>
      <c r="W29" s="224"/>
      <c r="X29" s="224"/>
      <c r="Y29" s="224"/>
      <c r="Z29" s="224"/>
      <c r="AA29" s="224"/>
      <c r="AB29" s="224"/>
      <c r="AC29" s="224"/>
      <c r="AD29" s="224"/>
    </row>
    <row r="30" spans="1:30" ht="15.75" customHeight="1">
      <c r="A30" s="248">
        <v>44797</v>
      </c>
      <c r="B30" s="219" t="s">
        <v>335</v>
      </c>
      <c r="C30" s="249">
        <v>4.5</v>
      </c>
      <c r="D30" s="219" t="s">
        <v>1890</v>
      </c>
      <c r="E30" s="219" t="s">
        <v>3</v>
      </c>
      <c r="F30" s="219" t="s">
        <v>488</v>
      </c>
      <c r="G30" s="219" t="s">
        <v>11226</v>
      </c>
      <c r="H30" s="219">
        <v>4.5</v>
      </c>
      <c r="I30" s="219" t="s">
        <v>941</v>
      </c>
      <c r="J30" s="219"/>
      <c r="K30" s="219">
        <v>4.5</v>
      </c>
      <c r="L30" s="219" t="s">
        <v>1892</v>
      </c>
      <c r="M30" s="219" t="s">
        <v>1893</v>
      </c>
      <c r="N30" s="219" t="s">
        <v>452</v>
      </c>
      <c r="O30" s="219" t="s">
        <v>452</v>
      </c>
      <c r="P30" s="219"/>
      <c r="Q30" s="219" t="s">
        <v>18</v>
      </c>
      <c r="R30" s="251" t="s">
        <v>1894</v>
      </c>
      <c r="S30" s="370" t="str">
        <f ca="1">VLOOKUP($B30,'2022-2023 Third Reviews'!C:L, 9)</f>
        <v>Nick Schmandt
5</v>
      </c>
      <c r="T30" s="251" t="s">
        <v>11877</v>
      </c>
      <c r="U30" s="251" t="s">
        <v>18</v>
      </c>
      <c r="V30" s="251" t="s">
        <v>481</v>
      </c>
      <c r="W30" s="219"/>
      <c r="X30" s="219"/>
      <c r="Y30" s="219"/>
      <c r="Z30" s="219"/>
      <c r="AA30" s="219"/>
      <c r="AB30" s="219"/>
      <c r="AC30" s="219"/>
      <c r="AD30" s="219"/>
    </row>
    <row r="31" spans="1:30" ht="15.75" customHeight="1">
      <c r="A31" s="253">
        <v>44797</v>
      </c>
      <c r="B31" s="224" t="s">
        <v>342</v>
      </c>
      <c r="C31" s="249">
        <v>4.5</v>
      </c>
      <c r="D31" s="224" t="s">
        <v>1946</v>
      </c>
      <c r="E31" s="224" t="s">
        <v>3</v>
      </c>
      <c r="F31" s="224" t="s">
        <v>488</v>
      </c>
      <c r="G31" s="224" t="s">
        <v>1947</v>
      </c>
      <c r="H31" s="224">
        <v>4</v>
      </c>
      <c r="I31" s="224" t="s">
        <v>462</v>
      </c>
      <c r="J31" s="224" t="s">
        <v>1948</v>
      </c>
      <c r="K31" s="224">
        <v>5</v>
      </c>
      <c r="L31" s="224" t="s">
        <v>1949</v>
      </c>
      <c r="M31" s="224" t="s">
        <v>1950</v>
      </c>
      <c r="N31" s="224" t="s">
        <v>452</v>
      </c>
      <c r="O31" s="224" t="s">
        <v>452</v>
      </c>
      <c r="P31" s="224"/>
      <c r="Q31" s="224" t="s">
        <v>18</v>
      </c>
      <c r="R31" s="254"/>
      <c r="S31" s="370" t="str">
        <f ca="1">VLOOKUP($B31,'2022-2023 Third Reviews'!C:L, 9)</f>
        <v>Nick Schmandt
4</v>
      </c>
      <c r="T31" s="254" t="s">
        <v>11893</v>
      </c>
      <c r="U31" s="254" t="s">
        <v>18</v>
      </c>
      <c r="V31" s="325" t="s">
        <v>481</v>
      </c>
      <c r="W31" s="224"/>
      <c r="X31" s="224"/>
      <c r="Y31" s="224"/>
      <c r="Z31" s="224"/>
      <c r="AA31" s="224"/>
      <c r="AB31" s="224"/>
      <c r="AC31" s="224"/>
      <c r="AD31" s="224"/>
    </row>
    <row r="32" spans="1:30" ht="15.75" customHeight="1">
      <c r="A32" s="248">
        <v>44791</v>
      </c>
      <c r="B32" s="219" t="s">
        <v>344</v>
      </c>
      <c r="C32" s="249">
        <v>4.5</v>
      </c>
      <c r="D32" s="219" t="s">
        <v>1964</v>
      </c>
      <c r="E32" s="219" t="s">
        <v>3</v>
      </c>
      <c r="F32" s="219" t="s">
        <v>725</v>
      </c>
      <c r="G32" s="219" t="s">
        <v>10607</v>
      </c>
      <c r="H32" s="219">
        <v>4.5</v>
      </c>
      <c r="I32" s="219" t="s">
        <v>462</v>
      </c>
      <c r="J32" s="219" t="s">
        <v>1966</v>
      </c>
      <c r="K32" s="219">
        <v>4.5</v>
      </c>
      <c r="L32" s="219" t="s">
        <v>478</v>
      </c>
      <c r="M32" s="310">
        <v>10000000</v>
      </c>
      <c r="N32" s="219" t="s">
        <v>452</v>
      </c>
      <c r="O32" s="219" t="s">
        <v>10608</v>
      </c>
      <c r="P32" s="219"/>
      <c r="Q32" s="219" t="s">
        <v>18</v>
      </c>
      <c r="R32" s="251"/>
      <c r="S32" s="370" t="str">
        <f ca="1">VLOOKUP($B32,'2022-2023 Third Reviews'!C:L, 9)</f>
        <v>Joshua Rubnitz
5</v>
      </c>
      <c r="T32" s="251" t="s">
        <v>11882</v>
      </c>
      <c r="U32" s="251" t="s">
        <v>18</v>
      </c>
      <c r="V32" s="325" t="s">
        <v>454</v>
      </c>
      <c r="W32" s="219"/>
      <c r="X32" s="219"/>
      <c r="Y32" s="219"/>
      <c r="Z32" s="219"/>
      <c r="AA32" s="219"/>
      <c r="AB32" s="219"/>
      <c r="AC32" s="219"/>
      <c r="AD32" s="219"/>
    </row>
    <row r="33" spans="1:30" ht="15.75" customHeight="1">
      <c r="A33" s="220">
        <v>44776</v>
      </c>
      <c r="B33" s="221" t="s">
        <v>363</v>
      </c>
      <c r="C33" s="214">
        <v>4.5</v>
      </c>
      <c r="D33" s="221" t="s">
        <v>2056</v>
      </c>
      <c r="E33" s="221" t="s">
        <v>3</v>
      </c>
      <c r="F33" s="221" t="s">
        <v>460</v>
      </c>
      <c r="G33" s="221" t="s">
        <v>2057</v>
      </c>
      <c r="H33" s="221">
        <v>4</v>
      </c>
      <c r="I33" s="221" t="s">
        <v>941</v>
      </c>
      <c r="J33" s="221"/>
      <c r="K33" s="221">
        <v>5</v>
      </c>
      <c r="L33" s="221" t="s">
        <v>784</v>
      </c>
      <c r="M33" s="221" t="s">
        <v>11510</v>
      </c>
      <c r="N33" s="221" t="s">
        <v>452</v>
      </c>
      <c r="O33" s="221" t="s">
        <v>452</v>
      </c>
      <c r="P33" s="145" t="s">
        <v>2059</v>
      </c>
      <c r="Q33" s="221" t="str">
        <f t="array" ref="Q33">INDEX(Notes!B:B,MATCH($B33,Notes!$A:$A,0))</f>
        <v>Invite</v>
      </c>
      <c r="R33" s="223">
        <f t="array" ref="R33">INDEX(Notes!C:C,MATCH($B33,Notes!$A:$A,0))</f>
        <v>0</v>
      </c>
      <c r="S33" s="370" t="str">
        <f ca="1">VLOOKUP($B33,'2022-2023 Third Reviews'!C:L, 9)</f>
        <v>Chris Millisits
3</v>
      </c>
      <c r="T33" s="223" t="s">
        <v>11894</v>
      </c>
      <c r="U33" s="254" t="s">
        <v>18</v>
      </c>
      <c r="V33" s="325" t="s">
        <v>481</v>
      </c>
      <c r="W33" s="221"/>
      <c r="X33" s="221"/>
      <c r="Y33" s="221"/>
      <c r="Z33" s="224"/>
      <c r="AA33" s="224"/>
      <c r="AB33" s="224"/>
      <c r="AC33" s="224"/>
      <c r="AD33" s="224"/>
    </row>
    <row r="34" spans="1:30" ht="15.75" customHeight="1">
      <c r="A34" s="248">
        <v>44796</v>
      </c>
      <c r="B34" s="219" t="s">
        <v>323</v>
      </c>
      <c r="C34" s="249">
        <v>4.38</v>
      </c>
      <c r="D34" s="219" t="s">
        <v>10268</v>
      </c>
      <c r="E34" s="219" t="s">
        <v>3</v>
      </c>
      <c r="F34" s="219" t="s">
        <v>488</v>
      </c>
      <c r="G34" s="219" t="s">
        <v>1792</v>
      </c>
      <c r="H34" s="219">
        <v>4</v>
      </c>
      <c r="I34" s="219" t="s">
        <v>941</v>
      </c>
      <c r="J34" s="219" t="s">
        <v>1793</v>
      </c>
      <c r="K34" s="219">
        <v>4.75</v>
      </c>
      <c r="L34" s="219" t="s">
        <v>451</v>
      </c>
      <c r="M34" s="331">
        <v>500000</v>
      </c>
      <c r="N34" s="219" t="s">
        <v>452</v>
      </c>
      <c r="O34" s="219" t="s">
        <v>10269</v>
      </c>
      <c r="P34" s="219" t="s">
        <v>1795</v>
      </c>
      <c r="Q34" s="219" t="s">
        <v>18</v>
      </c>
      <c r="R34" s="251" t="s">
        <v>11895</v>
      </c>
      <c r="S34" s="370" t="str">
        <f ca="1">VLOOKUP($B34,'2022-2023 Third Reviews'!C:L, 9)</f>
        <v>John McDonald
2</v>
      </c>
      <c r="T34" s="251" t="s">
        <v>11896</v>
      </c>
      <c r="U34" s="251" t="s">
        <v>18</v>
      </c>
      <c r="V34" s="325" t="s">
        <v>481</v>
      </c>
      <c r="W34" s="219"/>
      <c r="X34" s="219"/>
      <c r="Y34" s="219"/>
      <c r="Z34" s="219"/>
      <c r="AA34" s="219"/>
      <c r="AB34" s="219"/>
      <c r="AC34" s="219"/>
      <c r="AD34" s="219"/>
    </row>
    <row r="35" spans="1:30" ht="15.75" customHeight="1">
      <c r="A35" s="257">
        <v>44791</v>
      </c>
      <c r="B35" s="258" t="s">
        <v>282</v>
      </c>
      <c r="C35" s="263">
        <v>4.25</v>
      </c>
      <c r="D35" s="258" t="s">
        <v>1609</v>
      </c>
      <c r="E35" s="258" t="s">
        <v>3</v>
      </c>
      <c r="F35" s="258" t="s">
        <v>460</v>
      </c>
      <c r="G35" s="258" t="s">
        <v>1610</v>
      </c>
      <c r="H35" s="258">
        <v>4</v>
      </c>
      <c r="I35" s="258" t="s">
        <v>462</v>
      </c>
      <c r="J35" s="258" t="s">
        <v>10989</v>
      </c>
      <c r="K35" s="258">
        <v>4.5</v>
      </c>
      <c r="L35" s="258" t="s">
        <v>451</v>
      </c>
      <c r="M35" s="309">
        <v>2500000</v>
      </c>
      <c r="N35" s="258" t="s">
        <v>452</v>
      </c>
      <c r="O35" s="258" t="s">
        <v>452</v>
      </c>
      <c r="P35" s="258" t="s">
        <v>1612</v>
      </c>
      <c r="Q35" s="258" t="s">
        <v>18</v>
      </c>
      <c r="R35" s="259" t="s">
        <v>11647</v>
      </c>
      <c r="S35" s="230" t="str">
        <f ca="1">VLOOKUP($B35,'2022-2023 Third Reviews'!C:L, 9)</f>
        <v>Nick Schmandt
1</v>
      </c>
      <c r="T35" s="259" t="s">
        <v>11885</v>
      </c>
      <c r="U35" s="259" t="s">
        <v>18</v>
      </c>
      <c r="V35" s="259" t="s">
        <v>481</v>
      </c>
      <c r="W35" s="258"/>
      <c r="X35" s="258"/>
      <c r="Y35" s="258"/>
      <c r="Z35" s="258"/>
      <c r="AA35" s="258"/>
      <c r="AB35" s="258"/>
      <c r="AC35" s="258"/>
      <c r="AD35" s="258"/>
    </row>
    <row r="36" spans="1:30" ht="15.75" customHeight="1">
      <c r="A36" s="248">
        <v>44782</v>
      </c>
      <c r="B36" s="219" t="s">
        <v>291</v>
      </c>
      <c r="C36" s="249">
        <v>4.25</v>
      </c>
      <c r="D36" s="219" t="s">
        <v>10303</v>
      </c>
      <c r="E36" s="219" t="s">
        <v>3</v>
      </c>
      <c r="F36" s="219" t="s">
        <v>460</v>
      </c>
      <c r="G36" s="219" t="s">
        <v>1648</v>
      </c>
      <c r="H36" s="219">
        <v>4.5</v>
      </c>
      <c r="I36" s="219" t="s">
        <v>941</v>
      </c>
      <c r="J36" s="219"/>
      <c r="K36" s="219">
        <v>4</v>
      </c>
      <c r="L36" s="219"/>
      <c r="M36" s="219"/>
      <c r="N36" s="219" t="s">
        <v>452</v>
      </c>
      <c r="O36" s="219" t="s">
        <v>1119</v>
      </c>
      <c r="P36" s="219" t="s">
        <v>1649</v>
      </c>
      <c r="Q36" s="219" t="s">
        <v>18</v>
      </c>
      <c r="R36" s="251" t="s">
        <v>11897</v>
      </c>
      <c r="S36" s="370" t="str">
        <f ca="1">VLOOKUP($B36,'2022-2023 Third Reviews'!C:L, 9)</f>
        <v>Jason Yu
5</v>
      </c>
      <c r="T36" s="251" t="s">
        <v>11877</v>
      </c>
      <c r="U36" s="251" t="s">
        <v>18</v>
      </c>
      <c r="V36" s="325" t="s">
        <v>481</v>
      </c>
      <c r="W36" s="219"/>
      <c r="X36" s="219"/>
      <c r="Y36" s="219"/>
      <c r="Z36" s="219"/>
      <c r="AA36" s="219"/>
      <c r="AB36" s="219"/>
      <c r="AC36" s="219"/>
      <c r="AD36" s="219"/>
    </row>
    <row r="37" spans="1:30" ht="15.75" customHeight="1">
      <c r="A37" s="253">
        <v>44796</v>
      </c>
      <c r="B37" s="224" t="s">
        <v>303</v>
      </c>
      <c r="C37" s="249">
        <v>4.25</v>
      </c>
      <c r="D37" s="224" t="s">
        <v>1693</v>
      </c>
      <c r="E37" s="224" t="s">
        <v>3</v>
      </c>
      <c r="F37" s="224" t="s">
        <v>460</v>
      </c>
      <c r="G37" s="224" t="s">
        <v>10705</v>
      </c>
      <c r="H37" s="224">
        <v>4.5</v>
      </c>
      <c r="I37" s="224" t="s">
        <v>462</v>
      </c>
      <c r="J37" s="224" t="s">
        <v>10706</v>
      </c>
      <c r="K37" s="224">
        <v>4</v>
      </c>
      <c r="L37" s="224" t="s">
        <v>451</v>
      </c>
      <c r="M37" s="224" t="s">
        <v>1696</v>
      </c>
      <c r="N37" s="224" t="s">
        <v>452</v>
      </c>
      <c r="O37" s="224" t="s">
        <v>452</v>
      </c>
      <c r="P37" s="224"/>
      <c r="Q37" s="224" t="s">
        <v>18</v>
      </c>
      <c r="R37" s="254"/>
      <c r="S37" s="370" t="str">
        <f ca="1">VLOOKUP($B37,'2022-2023 Third Reviews'!C:L, 9)</f>
        <v>Jason Yu
3</v>
      </c>
      <c r="T37" s="254" t="s">
        <v>11898</v>
      </c>
      <c r="U37" s="254" t="s">
        <v>18</v>
      </c>
      <c r="V37" s="325" t="s">
        <v>481</v>
      </c>
      <c r="W37" s="224"/>
      <c r="X37" s="224"/>
      <c r="Y37" s="224"/>
      <c r="Z37" s="224"/>
      <c r="AA37" s="224"/>
      <c r="AB37" s="224"/>
      <c r="AC37" s="224"/>
      <c r="AD37" s="224"/>
    </row>
    <row r="38" spans="1:30" ht="15.75" customHeight="1">
      <c r="A38" s="248">
        <v>44789</v>
      </c>
      <c r="B38" s="219" t="s">
        <v>317</v>
      </c>
      <c r="C38" s="249">
        <v>4.25</v>
      </c>
      <c r="D38" s="219" t="s">
        <v>1752</v>
      </c>
      <c r="E38" s="219" t="s">
        <v>3</v>
      </c>
      <c r="F38" s="219" t="s">
        <v>460</v>
      </c>
      <c r="G38" s="219" t="s">
        <v>1753</v>
      </c>
      <c r="H38" s="219">
        <v>4.5</v>
      </c>
      <c r="I38" s="219" t="s">
        <v>462</v>
      </c>
      <c r="J38" s="219" t="s">
        <v>1754</v>
      </c>
      <c r="K38" s="219">
        <v>4</v>
      </c>
      <c r="L38" s="219" t="s">
        <v>451</v>
      </c>
      <c r="M38" s="312">
        <v>4000000</v>
      </c>
      <c r="N38" s="219" t="s">
        <v>452</v>
      </c>
      <c r="O38" s="219" t="s">
        <v>1755</v>
      </c>
      <c r="P38" s="219" t="s">
        <v>1756</v>
      </c>
      <c r="Q38" s="219" t="s">
        <v>18</v>
      </c>
      <c r="R38" s="251"/>
      <c r="S38" s="370" t="str">
        <f ca="1">VLOOKUP($B38,'2022-2023 Third Reviews'!C:L, 9)</f>
        <v>John McDonald
4</v>
      </c>
      <c r="T38" s="251" t="s">
        <v>11899</v>
      </c>
      <c r="U38" s="251" t="s">
        <v>18</v>
      </c>
      <c r="V38" s="325" t="s">
        <v>481</v>
      </c>
      <c r="W38" s="219"/>
      <c r="X38" s="219"/>
      <c r="Y38" s="219"/>
      <c r="Z38" s="219"/>
      <c r="AA38" s="219"/>
      <c r="AB38" s="219"/>
      <c r="AC38" s="219"/>
      <c r="AD38" s="219"/>
    </row>
    <row r="39" spans="1:30" ht="15.75" customHeight="1">
      <c r="A39" s="253">
        <v>44782</v>
      </c>
      <c r="B39" s="224" t="s">
        <v>320</v>
      </c>
      <c r="C39" s="249">
        <v>4.25</v>
      </c>
      <c r="D39" s="224" t="s">
        <v>1768</v>
      </c>
      <c r="E39" s="224" t="s">
        <v>3</v>
      </c>
      <c r="F39" s="224" t="s">
        <v>460</v>
      </c>
      <c r="G39" s="224" t="s">
        <v>1769</v>
      </c>
      <c r="H39" s="224">
        <v>4</v>
      </c>
      <c r="I39" s="224" t="s">
        <v>462</v>
      </c>
      <c r="J39" s="224" t="s">
        <v>1770</v>
      </c>
      <c r="K39" s="224">
        <v>4.5</v>
      </c>
      <c r="L39" s="224" t="s">
        <v>451</v>
      </c>
      <c r="M39" s="224">
        <v>2000000</v>
      </c>
      <c r="N39" s="224" t="s">
        <v>465</v>
      </c>
      <c r="O39" s="224" t="s">
        <v>1771</v>
      </c>
      <c r="P39" s="224"/>
      <c r="Q39" s="224" t="s">
        <v>18</v>
      </c>
      <c r="R39" s="254"/>
      <c r="S39" s="370" t="str">
        <f ca="1">VLOOKUP($B39,'2022-2023 Third Reviews'!C:L, 9)</f>
        <v>Nick Schmandt
2</v>
      </c>
      <c r="T39" s="254" t="s">
        <v>11877</v>
      </c>
      <c r="U39" s="254" t="s">
        <v>18</v>
      </c>
      <c r="V39" s="325" t="s">
        <v>454</v>
      </c>
      <c r="W39" s="224"/>
      <c r="X39" s="224"/>
      <c r="Y39" s="224"/>
      <c r="Z39" s="224"/>
      <c r="AA39" s="224"/>
      <c r="AB39" s="224"/>
      <c r="AC39" s="224"/>
      <c r="AD39" s="224"/>
    </row>
    <row r="40" spans="1:30" ht="15.75" customHeight="1">
      <c r="A40" s="248">
        <v>44791</v>
      </c>
      <c r="B40" s="219" t="s">
        <v>324</v>
      </c>
      <c r="C40" s="249">
        <v>4.25</v>
      </c>
      <c r="D40" s="219" t="s">
        <v>1800</v>
      </c>
      <c r="E40" s="219" t="s">
        <v>3</v>
      </c>
      <c r="F40" s="219" t="s">
        <v>460</v>
      </c>
      <c r="G40" s="219" t="s">
        <v>1801</v>
      </c>
      <c r="H40" s="219">
        <v>4.5</v>
      </c>
      <c r="I40" s="219" t="s">
        <v>941</v>
      </c>
      <c r="J40" s="219" t="s">
        <v>1802</v>
      </c>
      <c r="K40" s="219">
        <v>4</v>
      </c>
      <c r="L40" s="219"/>
      <c r="M40" s="312"/>
      <c r="N40" s="219" t="s">
        <v>452</v>
      </c>
      <c r="O40" s="219" t="s">
        <v>1803</v>
      </c>
      <c r="P40" s="219" t="s">
        <v>1804</v>
      </c>
      <c r="Q40" s="219" t="s">
        <v>18</v>
      </c>
      <c r="R40" s="251"/>
      <c r="S40" s="370" t="str">
        <f ca="1">VLOOKUP($B40,'2022-2023 Third Reviews'!C:L, 9)</f>
        <v>John McDonald
4</v>
      </c>
      <c r="T40" s="251" t="s">
        <v>11899</v>
      </c>
      <c r="U40" s="251" t="s">
        <v>18</v>
      </c>
      <c r="V40" s="325" t="s">
        <v>481</v>
      </c>
      <c r="W40" s="219"/>
      <c r="X40" s="219"/>
      <c r="Y40" s="219"/>
      <c r="Z40" s="219"/>
      <c r="AA40" s="219"/>
      <c r="AB40" s="219"/>
      <c r="AC40" s="219"/>
      <c r="AD40" s="219"/>
    </row>
    <row r="41" spans="1:30" ht="15.75" customHeight="1">
      <c r="A41" s="253">
        <v>44791</v>
      </c>
      <c r="B41" s="224" t="s">
        <v>110</v>
      </c>
      <c r="C41" s="249">
        <v>4.25</v>
      </c>
      <c r="D41" s="224" t="s">
        <v>1859</v>
      </c>
      <c r="E41" s="224" t="s">
        <v>3</v>
      </c>
      <c r="F41" s="224" t="s">
        <v>447</v>
      </c>
      <c r="G41" s="224" t="s">
        <v>11368</v>
      </c>
      <c r="H41" s="224">
        <v>4.5</v>
      </c>
      <c r="I41" s="224" t="s">
        <v>543</v>
      </c>
      <c r="J41" s="224" t="s">
        <v>11651</v>
      </c>
      <c r="K41" s="224">
        <v>4</v>
      </c>
      <c r="L41" s="224" t="s">
        <v>973</v>
      </c>
      <c r="M41" s="224" t="s">
        <v>1862</v>
      </c>
      <c r="N41" s="224" t="s">
        <v>452</v>
      </c>
      <c r="O41" s="224" t="s">
        <v>1119</v>
      </c>
      <c r="P41" s="224"/>
      <c r="Q41" s="224" t="s">
        <v>18</v>
      </c>
      <c r="R41" s="254"/>
      <c r="S41" s="370" t="str">
        <f ca="1">VLOOKUP($B41,'2022-2023 Third Reviews'!C:L, 9)</f>
        <v>John McDonald
4</v>
      </c>
      <c r="T41" s="224"/>
      <c r="U41" s="254" t="s">
        <v>18</v>
      </c>
      <c r="V41" s="254" t="s">
        <v>481</v>
      </c>
      <c r="W41" s="224"/>
      <c r="X41" s="224"/>
      <c r="Y41" s="224"/>
      <c r="Z41" s="224"/>
      <c r="AA41" s="224"/>
      <c r="AB41" s="224"/>
      <c r="AC41" s="224"/>
      <c r="AD41" s="224"/>
    </row>
    <row r="42" spans="1:30" ht="15.75" customHeight="1">
      <c r="A42" s="248">
        <v>44782</v>
      </c>
      <c r="B42" s="219" t="s">
        <v>336</v>
      </c>
      <c r="C42" s="249">
        <v>4.25</v>
      </c>
      <c r="D42" s="219" t="s">
        <v>1899</v>
      </c>
      <c r="E42" s="219" t="s">
        <v>3</v>
      </c>
      <c r="F42" s="219" t="s">
        <v>460</v>
      </c>
      <c r="G42" s="219" t="s">
        <v>1900</v>
      </c>
      <c r="H42" s="219">
        <v>4.5</v>
      </c>
      <c r="I42" s="219" t="s">
        <v>941</v>
      </c>
      <c r="J42" s="219"/>
      <c r="K42" s="219">
        <v>4</v>
      </c>
      <c r="L42" s="219" t="s">
        <v>451</v>
      </c>
      <c r="M42" s="219" t="s">
        <v>1901</v>
      </c>
      <c r="N42" s="219" t="s">
        <v>452</v>
      </c>
      <c r="O42" s="219" t="s">
        <v>452</v>
      </c>
      <c r="P42" s="219"/>
      <c r="Q42" s="219" t="s">
        <v>18</v>
      </c>
      <c r="R42" s="251"/>
      <c r="S42" s="370" t="str">
        <f ca="1">VLOOKUP($B42,'2022-2023 Third Reviews'!C:L, 9)</f>
        <v>Nick Schmandt
4</v>
      </c>
      <c r="T42" s="251" t="s">
        <v>11877</v>
      </c>
      <c r="U42" s="251" t="s">
        <v>18</v>
      </c>
      <c r="V42" s="325" t="s">
        <v>454</v>
      </c>
      <c r="W42" s="219"/>
      <c r="X42" s="219"/>
      <c r="Y42" s="219"/>
      <c r="Z42" s="219"/>
      <c r="AA42" s="219"/>
      <c r="AB42" s="219"/>
      <c r="AC42" s="219"/>
      <c r="AD42" s="219"/>
    </row>
    <row r="43" spans="1:30" ht="15.75" customHeight="1">
      <c r="A43" s="253">
        <v>44791</v>
      </c>
      <c r="B43" s="224" t="s">
        <v>337</v>
      </c>
      <c r="C43" s="249">
        <v>4.25</v>
      </c>
      <c r="D43" s="224" t="s">
        <v>1906</v>
      </c>
      <c r="E43" s="224" t="s">
        <v>3</v>
      </c>
      <c r="F43" s="224" t="s">
        <v>460</v>
      </c>
      <c r="G43" s="224" t="s">
        <v>10938</v>
      </c>
      <c r="H43" s="224">
        <v>4</v>
      </c>
      <c r="I43" s="224" t="s">
        <v>462</v>
      </c>
      <c r="J43" s="224" t="s">
        <v>10939</v>
      </c>
      <c r="K43" s="224">
        <v>4.5</v>
      </c>
      <c r="L43" s="224" t="s">
        <v>451</v>
      </c>
      <c r="M43" s="307" t="s">
        <v>1909</v>
      </c>
      <c r="N43" s="224" t="s">
        <v>452</v>
      </c>
      <c r="O43" s="224" t="s">
        <v>10940</v>
      </c>
      <c r="P43" s="224" t="s">
        <v>1911</v>
      </c>
      <c r="Q43" s="224" t="s">
        <v>18</v>
      </c>
      <c r="R43" s="254" t="s">
        <v>11646</v>
      </c>
      <c r="S43" s="370" t="str">
        <f ca="1">VLOOKUP($B43,'2022-2023 Third Reviews'!C:L, 9)</f>
        <v>Ahmed Bahgat
5</v>
      </c>
      <c r="T43" s="254" t="s">
        <v>11887</v>
      </c>
      <c r="U43" s="254" t="s">
        <v>18</v>
      </c>
      <c r="V43" s="325" t="s">
        <v>454</v>
      </c>
      <c r="W43" s="224"/>
      <c r="X43" s="224"/>
      <c r="Y43" s="224"/>
      <c r="Z43" s="224"/>
      <c r="AA43" s="224"/>
      <c r="AB43" s="224"/>
      <c r="AC43" s="224"/>
      <c r="AD43" s="224"/>
    </row>
    <row r="44" spans="1:30" ht="15.75" customHeight="1">
      <c r="A44" s="248">
        <v>44789</v>
      </c>
      <c r="B44" s="219" t="s">
        <v>339</v>
      </c>
      <c r="C44" s="249">
        <v>4.25</v>
      </c>
      <c r="D44" s="219" t="s">
        <v>1929</v>
      </c>
      <c r="E44" s="219" t="s">
        <v>3</v>
      </c>
      <c r="F44" s="219" t="s">
        <v>460</v>
      </c>
      <c r="G44" s="219" t="s">
        <v>1930</v>
      </c>
      <c r="H44" s="219">
        <v>4.5</v>
      </c>
      <c r="I44" s="219" t="s">
        <v>941</v>
      </c>
      <c r="J44" s="219" t="s">
        <v>11018</v>
      </c>
      <c r="K44" s="219">
        <v>4</v>
      </c>
      <c r="L44" s="219" t="s">
        <v>451</v>
      </c>
      <c r="M44" s="312">
        <v>8000000</v>
      </c>
      <c r="N44" s="219" t="s">
        <v>465</v>
      </c>
      <c r="O44" s="219" t="s">
        <v>1932</v>
      </c>
      <c r="P44" s="219"/>
      <c r="Q44" s="219" t="s">
        <v>18</v>
      </c>
      <c r="R44" s="251" t="s">
        <v>11900</v>
      </c>
      <c r="S44" s="370" t="str">
        <f ca="1">VLOOKUP($B44,'2022-2023 Third Reviews'!C:L, 9)</f>
        <v>Ahmed Bahgat
5</v>
      </c>
      <c r="T44" s="251" t="s">
        <v>11891</v>
      </c>
      <c r="U44" s="251" t="s">
        <v>18</v>
      </c>
      <c r="V44" s="251" t="s">
        <v>481</v>
      </c>
      <c r="W44" s="219"/>
      <c r="X44" s="219"/>
      <c r="Y44" s="219"/>
      <c r="Z44" s="219"/>
      <c r="AA44" s="219"/>
      <c r="AB44" s="219"/>
      <c r="AC44" s="219"/>
      <c r="AD44" s="219"/>
    </row>
    <row r="45" spans="1:30" ht="15.75" customHeight="1">
      <c r="A45" s="253">
        <v>44797</v>
      </c>
      <c r="B45" s="224" t="s">
        <v>346</v>
      </c>
      <c r="C45" s="249">
        <v>4.25</v>
      </c>
      <c r="D45" s="224" t="s">
        <v>1982</v>
      </c>
      <c r="E45" s="224" t="s">
        <v>3</v>
      </c>
      <c r="F45" s="224" t="s">
        <v>460</v>
      </c>
      <c r="G45" s="224" t="s">
        <v>1983</v>
      </c>
      <c r="H45" s="224">
        <v>4.5</v>
      </c>
      <c r="I45" s="224" t="s">
        <v>941</v>
      </c>
      <c r="J45" s="224" t="s">
        <v>1984</v>
      </c>
      <c r="K45" s="224">
        <v>4</v>
      </c>
      <c r="L45" s="224" t="s">
        <v>478</v>
      </c>
      <c r="M45" s="224">
        <v>6000000</v>
      </c>
      <c r="N45" s="224" t="s">
        <v>454</v>
      </c>
      <c r="O45" s="224" t="s">
        <v>452</v>
      </c>
      <c r="P45" s="224"/>
      <c r="Q45" s="224" t="s">
        <v>18</v>
      </c>
      <c r="R45" s="254" t="s">
        <v>11739</v>
      </c>
      <c r="S45" s="370" t="str">
        <f ca="1">VLOOKUP($B45,'2022-2023 Third Reviews'!C:L, 9)</f>
        <v>Joshua Rubnitz
5</v>
      </c>
      <c r="T45" s="254" t="s">
        <v>11889</v>
      </c>
      <c r="U45" s="254" t="s">
        <v>18</v>
      </c>
      <c r="V45" s="325" t="s">
        <v>454</v>
      </c>
      <c r="W45" s="224"/>
      <c r="X45" s="224"/>
      <c r="Y45" s="224"/>
      <c r="Z45" s="224"/>
      <c r="AA45" s="224"/>
      <c r="AB45" s="224"/>
      <c r="AC45" s="224"/>
      <c r="AD45" s="224"/>
    </row>
    <row r="46" spans="1:30" ht="15.75" customHeight="1">
      <c r="A46" s="248">
        <v>44782</v>
      </c>
      <c r="B46" s="219" t="s">
        <v>349</v>
      </c>
      <c r="C46" s="249">
        <v>4.25</v>
      </c>
      <c r="D46" s="219" t="s">
        <v>2008</v>
      </c>
      <c r="E46" s="219" t="s">
        <v>3</v>
      </c>
      <c r="F46" s="219" t="s">
        <v>460</v>
      </c>
      <c r="G46" s="219" t="s">
        <v>2009</v>
      </c>
      <c r="H46" s="219">
        <v>4.5</v>
      </c>
      <c r="I46" s="219" t="s">
        <v>941</v>
      </c>
      <c r="J46" s="219"/>
      <c r="K46" s="219">
        <v>4</v>
      </c>
      <c r="L46" s="219" t="s">
        <v>451</v>
      </c>
      <c r="M46" s="219" t="s">
        <v>2010</v>
      </c>
      <c r="N46" s="219" t="s">
        <v>452</v>
      </c>
      <c r="O46" s="219" t="s">
        <v>452</v>
      </c>
      <c r="P46" s="219"/>
      <c r="Q46" s="219" t="s">
        <v>18</v>
      </c>
      <c r="R46" s="251"/>
      <c r="S46" s="370" t="str">
        <f ca="1">VLOOKUP($B46,'2022-2023 Third Reviews'!C:L, 9)</f>
        <v>Joshua Rubnitz
3</v>
      </c>
      <c r="T46" s="251" t="s">
        <v>11877</v>
      </c>
      <c r="U46" s="251" t="s">
        <v>18</v>
      </c>
      <c r="V46" s="325" t="s">
        <v>481</v>
      </c>
      <c r="W46" s="219"/>
      <c r="X46" s="219"/>
      <c r="Y46" s="219"/>
      <c r="Z46" s="219"/>
      <c r="AA46" s="219"/>
      <c r="AB46" s="219"/>
      <c r="AC46" s="219"/>
      <c r="AD46" s="219"/>
    </row>
    <row r="47" spans="1:30" ht="15.75" customHeight="1">
      <c r="A47" s="253">
        <v>44796</v>
      </c>
      <c r="B47" s="224" t="s">
        <v>356</v>
      </c>
      <c r="C47" s="249">
        <v>4.25</v>
      </c>
      <c r="D47" s="224" t="s">
        <v>10667</v>
      </c>
      <c r="E47" s="224" t="s">
        <v>3</v>
      </c>
      <c r="F47" s="224" t="s">
        <v>460</v>
      </c>
      <c r="G47" s="224" t="s">
        <v>2016</v>
      </c>
      <c r="H47" s="224">
        <v>4.5</v>
      </c>
      <c r="I47" s="224" t="s">
        <v>462</v>
      </c>
      <c r="J47" s="224" t="s">
        <v>2017</v>
      </c>
      <c r="K47" s="224">
        <v>4</v>
      </c>
      <c r="L47" s="224" t="s">
        <v>451</v>
      </c>
      <c r="M47" s="224" t="s">
        <v>2018</v>
      </c>
      <c r="N47" s="224" t="s">
        <v>452</v>
      </c>
      <c r="O47" s="224" t="s">
        <v>575</v>
      </c>
      <c r="P47" s="224" t="s">
        <v>1187</v>
      </c>
      <c r="Q47" s="224" t="s">
        <v>18</v>
      </c>
      <c r="R47" s="254"/>
      <c r="S47" s="370" t="str">
        <f ca="1">VLOOKUP($B47,'2022-2023 Third Reviews'!C:L, 9)</f>
        <v>Jason Yu
3</v>
      </c>
      <c r="T47" s="254" t="s">
        <v>11901</v>
      </c>
      <c r="U47" s="254" t="s">
        <v>18</v>
      </c>
      <c r="V47" s="325" t="s">
        <v>454</v>
      </c>
      <c r="W47" s="224"/>
      <c r="X47" s="224"/>
      <c r="Y47" s="224"/>
      <c r="Z47" s="224"/>
      <c r="AA47" s="224"/>
      <c r="AB47" s="224"/>
      <c r="AC47" s="224"/>
      <c r="AD47" s="224"/>
    </row>
    <row r="48" spans="1:30" ht="15.75" customHeight="1">
      <c r="A48" s="212">
        <v>44776</v>
      </c>
      <c r="B48" s="213" t="s">
        <v>284</v>
      </c>
      <c r="C48" s="214">
        <v>4</v>
      </c>
      <c r="D48" s="213" t="s">
        <v>1618</v>
      </c>
      <c r="E48" s="213" t="s">
        <v>3</v>
      </c>
      <c r="F48" s="213" t="s">
        <v>460</v>
      </c>
      <c r="G48" s="213" t="s">
        <v>1619</v>
      </c>
      <c r="H48" s="213">
        <v>4</v>
      </c>
      <c r="I48" s="213" t="s">
        <v>941</v>
      </c>
      <c r="J48" s="213" t="s">
        <v>1620</v>
      </c>
      <c r="K48" s="213">
        <v>4</v>
      </c>
      <c r="L48" s="213"/>
      <c r="M48" s="213"/>
      <c r="N48" s="213" t="s">
        <v>452</v>
      </c>
      <c r="O48" s="213" t="s">
        <v>1621</v>
      </c>
      <c r="P48" s="143"/>
      <c r="Q48" s="213" t="s">
        <v>18</v>
      </c>
      <c r="R48" s="226" t="s">
        <v>11902</v>
      </c>
      <c r="S48" s="370" t="str">
        <f ca="1">VLOOKUP($B48,'2022-2023 Third Reviews'!C:L, 9)</f>
        <v>Nick Schmandt
4</v>
      </c>
      <c r="T48" s="226" t="s">
        <v>11896</v>
      </c>
      <c r="U48" s="251" t="s">
        <v>18</v>
      </c>
      <c r="V48" s="325" t="s">
        <v>481</v>
      </c>
      <c r="W48" s="213"/>
      <c r="X48" s="213"/>
      <c r="Y48" s="213"/>
      <c r="Z48" s="219"/>
      <c r="AA48" s="219"/>
      <c r="AB48" s="219"/>
      <c r="AC48" s="219"/>
      <c r="AD48" s="219"/>
    </row>
    <row r="49" spans="1:30" ht="15.75" customHeight="1">
      <c r="A49" s="253">
        <v>44796</v>
      </c>
      <c r="B49" s="224" t="s">
        <v>296</v>
      </c>
      <c r="C49" s="249">
        <v>4</v>
      </c>
      <c r="D49" s="224" t="s">
        <v>1662</v>
      </c>
      <c r="E49" s="224" t="s">
        <v>3</v>
      </c>
      <c r="F49" s="224" t="s">
        <v>488</v>
      </c>
      <c r="G49" s="224" t="s">
        <v>11250</v>
      </c>
      <c r="H49" s="224">
        <v>3.99</v>
      </c>
      <c r="I49" s="224" t="s">
        <v>941</v>
      </c>
      <c r="J49" s="224" t="s">
        <v>1664</v>
      </c>
      <c r="K49" s="224">
        <v>4</v>
      </c>
      <c r="L49" s="224"/>
      <c r="M49" s="224"/>
      <c r="N49" s="224" t="s">
        <v>452</v>
      </c>
      <c r="O49" s="224" t="s">
        <v>452</v>
      </c>
      <c r="P49" s="224" t="s">
        <v>1665</v>
      </c>
      <c r="Q49" s="224" t="s">
        <v>20</v>
      </c>
      <c r="R49" s="254" t="s">
        <v>11714</v>
      </c>
      <c r="S49" s="370" t="str">
        <f ca="1">VLOOKUP($B49,'2022-2023 Third Reviews'!C:L, 9)</f>
        <v>Nick Schmandt
5</v>
      </c>
      <c r="T49" s="254" t="s">
        <v>11899</v>
      </c>
      <c r="U49" s="254" t="s">
        <v>18</v>
      </c>
      <c r="V49" s="325" t="s">
        <v>454</v>
      </c>
      <c r="W49" s="224"/>
      <c r="X49" s="224"/>
      <c r="Y49" s="224"/>
      <c r="Z49" s="224"/>
      <c r="AA49" s="224"/>
      <c r="AB49" s="224"/>
      <c r="AC49" s="224"/>
      <c r="AD49" s="224"/>
    </row>
    <row r="50" spans="1:30" ht="15.75" customHeight="1">
      <c r="A50" s="257">
        <v>44789</v>
      </c>
      <c r="B50" s="258" t="s">
        <v>315</v>
      </c>
      <c r="C50" s="263">
        <v>4</v>
      </c>
      <c r="D50" s="258" t="s">
        <v>1735</v>
      </c>
      <c r="E50" s="258" t="s">
        <v>3</v>
      </c>
      <c r="F50" s="258" t="s">
        <v>460</v>
      </c>
      <c r="G50" s="258" t="s">
        <v>1736</v>
      </c>
      <c r="H50" s="258">
        <v>4</v>
      </c>
      <c r="I50" s="258" t="s">
        <v>462</v>
      </c>
      <c r="J50" s="258" t="s">
        <v>1737</v>
      </c>
      <c r="K50" s="258">
        <v>4</v>
      </c>
      <c r="L50" s="258"/>
      <c r="M50" s="258"/>
      <c r="N50" s="258" t="s">
        <v>452</v>
      </c>
      <c r="O50" s="258" t="s">
        <v>1738</v>
      </c>
      <c r="P50" s="258" t="s">
        <v>1739</v>
      </c>
      <c r="Q50" s="258" t="s">
        <v>18</v>
      </c>
      <c r="R50" s="259"/>
      <c r="S50" s="230" t="str">
        <f ca="1">VLOOKUP($B50,'2022-2023 Third Reviews'!C:L, 9)</f>
        <v>Nick Schmandt
2</v>
      </c>
      <c r="T50" s="259" t="s">
        <v>11903</v>
      </c>
      <c r="U50" s="259" t="s">
        <v>18</v>
      </c>
      <c r="V50" s="259" t="s">
        <v>454</v>
      </c>
      <c r="W50" s="258"/>
      <c r="X50" s="258"/>
      <c r="Y50" s="258"/>
      <c r="Z50" s="258"/>
      <c r="AA50" s="258"/>
      <c r="AB50" s="258"/>
      <c r="AC50" s="258"/>
      <c r="AD50" s="258"/>
    </row>
    <row r="51" spans="1:30" ht="15.75" customHeight="1">
      <c r="A51" s="253">
        <v>44789</v>
      </c>
      <c r="B51" s="224" t="s">
        <v>319</v>
      </c>
      <c r="C51" s="249">
        <v>4</v>
      </c>
      <c r="D51" s="224" t="s">
        <v>11015</v>
      </c>
      <c r="E51" s="224" t="s">
        <v>3</v>
      </c>
      <c r="F51" s="224" t="s">
        <v>460</v>
      </c>
      <c r="G51" s="224" t="s">
        <v>1761</v>
      </c>
      <c r="H51" s="224">
        <v>4</v>
      </c>
      <c r="I51" s="224" t="s">
        <v>941</v>
      </c>
      <c r="J51" s="224" t="s">
        <v>1762</v>
      </c>
      <c r="K51" s="224">
        <v>4</v>
      </c>
      <c r="L51" s="224" t="s">
        <v>478</v>
      </c>
      <c r="M51" s="224" t="s">
        <v>1763</v>
      </c>
      <c r="N51" s="224" t="s">
        <v>452</v>
      </c>
      <c r="O51" s="224" t="s">
        <v>452</v>
      </c>
      <c r="P51" s="224"/>
      <c r="Q51" s="224" t="s">
        <v>18</v>
      </c>
      <c r="R51" s="254" t="s">
        <v>11904</v>
      </c>
      <c r="S51" s="370" t="str">
        <f ca="1">VLOOKUP($B51,'2022-2023 Third Reviews'!C:L, 9)</f>
        <v>John McDonald
5</v>
      </c>
      <c r="T51" s="254" t="s">
        <v>11887</v>
      </c>
      <c r="U51" s="254" t="s">
        <v>18</v>
      </c>
      <c r="V51" s="254" t="s">
        <v>481</v>
      </c>
      <c r="W51" s="224"/>
      <c r="X51" s="224"/>
      <c r="Y51" s="224"/>
      <c r="Z51" s="224"/>
      <c r="AA51" s="224"/>
      <c r="AB51" s="224"/>
      <c r="AC51" s="224"/>
      <c r="AD51" s="224"/>
    </row>
    <row r="52" spans="1:30" ht="15.75" customHeight="1">
      <c r="A52" s="248">
        <v>44789</v>
      </c>
      <c r="B52" s="219" t="s">
        <v>326</v>
      </c>
      <c r="C52" s="249">
        <v>4</v>
      </c>
      <c r="D52" s="219" t="s">
        <v>1817</v>
      </c>
      <c r="E52" s="219" t="s">
        <v>3</v>
      </c>
      <c r="F52" s="219" t="s">
        <v>460</v>
      </c>
      <c r="G52" s="219" t="s">
        <v>1818</v>
      </c>
      <c r="H52" s="219">
        <v>4</v>
      </c>
      <c r="I52" s="219" t="s">
        <v>941</v>
      </c>
      <c r="J52" s="219" t="s">
        <v>1819</v>
      </c>
      <c r="K52" s="219">
        <v>4</v>
      </c>
      <c r="L52" s="219" t="s">
        <v>478</v>
      </c>
      <c r="M52" s="312">
        <v>25000000</v>
      </c>
      <c r="N52" s="219" t="s">
        <v>452</v>
      </c>
      <c r="O52" s="219" t="s">
        <v>10232</v>
      </c>
      <c r="P52" s="219"/>
      <c r="Q52" s="219" t="s">
        <v>18</v>
      </c>
      <c r="R52" s="251"/>
      <c r="S52" s="370" t="str">
        <f ca="1">VLOOKUP($B52,'2022-2023 Third Reviews'!C:L, 9)</f>
        <v>Nick Schmandt
4</v>
      </c>
      <c r="T52" s="251" t="s">
        <v>11899</v>
      </c>
      <c r="U52" s="251" t="s">
        <v>18</v>
      </c>
      <c r="V52" s="325" t="s">
        <v>481</v>
      </c>
      <c r="W52" s="219"/>
      <c r="X52" s="219"/>
      <c r="Y52" s="219"/>
      <c r="Z52" s="219"/>
      <c r="AA52" s="219"/>
      <c r="AB52" s="219"/>
      <c r="AC52" s="219"/>
      <c r="AD52" s="219"/>
    </row>
    <row r="53" spans="1:30" ht="15.75" customHeight="1">
      <c r="A53" s="253">
        <v>44797</v>
      </c>
      <c r="B53" s="224" t="s">
        <v>340</v>
      </c>
      <c r="C53" s="249">
        <v>4</v>
      </c>
      <c r="D53" s="224" t="s">
        <v>1937</v>
      </c>
      <c r="E53" s="224" t="s">
        <v>3</v>
      </c>
      <c r="F53" s="224" t="s">
        <v>460</v>
      </c>
      <c r="G53" s="224" t="s">
        <v>11261</v>
      </c>
      <c r="H53" s="224">
        <v>4</v>
      </c>
      <c r="I53" s="224" t="s">
        <v>941</v>
      </c>
      <c r="J53" s="224" t="s">
        <v>1939</v>
      </c>
      <c r="K53" s="224">
        <v>4</v>
      </c>
      <c r="L53" s="224"/>
      <c r="M53" s="224"/>
      <c r="N53" s="224" t="s">
        <v>452</v>
      </c>
      <c r="O53" s="224" t="s">
        <v>1940</v>
      </c>
      <c r="P53" s="224" t="s">
        <v>1941</v>
      </c>
      <c r="Q53" s="224" t="s">
        <v>18</v>
      </c>
      <c r="R53" s="254"/>
      <c r="S53" s="370" t="str">
        <f ca="1">VLOOKUP($B53,'2022-2023 Third Reviews'!C:L, 9)</f>
        <v>Ahmed Bahgat
5</v>
      </c>
      <c r="T53" s="254" t="s">
        <v>11877</v>
      </c>
      <c r="U53" s="254" t="s">
        <v>18</v>
      </c>
      <c r="V53" s="254" t="s">
        <v>454</v>
      </c>
      <c r="W53" s="224"/>
      <c r="X53" s="224"/>
      <c r="Y53" s="224"/>
      <c r="Z53" s="224"/>
      <c r="AA53" s="224"/>
      <c r="AB53" s="224"/>
      <c r="AC53" s="224"/>
      <c r="AD53" s="224"/>
    </row>
    <row r="54" spans="1:30" ht="15.75" customHeight="1">
      <c r="A54" s="248">
        <v>44789</v>
      </c>
      <c r="B54" s="219" t="s">
        <v>343</v>
      </c>
      <c r="C54" s="249">
        <v>4</v>
      </c>
      <c r="D54" s="219" t="s">
        <v>11338</v>
      </c>
      <c r="E54" s="219" t="s">
        <v>3</v>
      </c>
      <c r="F54" s="219" t="s">
        <v>488</v>
      </c>
      <c r="G54" s="219" t="s">
        <v>11339</v>
      </c>
      <c r="H54" s="219">
        <v>4</v>
      </c>
      <c r="I54" s="219" t="s">
        <v>941</v>
      </c>
      <c r="J54" s="219" t="s">
        <v>1957</v>
      </c>
      <c r="K54" s="219">
        <v>4</v>
      </c>
      <c r="L54" s="219" t="s">
        <v>923</v>
      </c>
      <c r="M54" s="219" t="s">
        <v>1958</v>
      </c>
      <c r="N54" s="219" t="s">
        <v>452</v>
      </c>
      <c r="O54" s="219" t="s">
        <v>575</v>
      </c>
      <c r="P54" s="219" t="s">
        <v>1959</v>
      </c>
      <c r="Q54" s="219" t="s">
        <v>18</v>
      </c>
      <c r="R54" s="251"/>
      <c r="S54" s="370" t="str">
        <f ca="1">VLOOKUP($B54,'2022-2023 Third Reviews'!C:L, 9)</f>
        <v>Nick Schmandt
4</v>
      </c>
      <c r="T54" s="251" t="s">
        <v>11899</v>
      </c>
      <c r="U54" s="251" t="s">
        <v>18</v>
      </c>
      <c r="V54" s="325" t="s">
        <v>481</v>
      </c>
      <c r="W54" s="219"/>
      <c r="X54" s="219"/>
      <c r="Y54" s="219"/>
      <c r="Z54" s="219"/>
      <c r="AA54" s="219"/>
      <c r="AB54" s="219"/>
      <c r="AC54" s="219"/>
      <c r="AD54" s="219"/>
    </row>
    <row r="55" spans="1:30" ht="15.75" customHeight="1">
      <c r="A55" s="253">
        <v>44797</v>
      </c>
      <c r="B55" s="224" t="s">
        <v>347</v>
      </c>
      <c r="C55" s="249">
        <v>4</v>
      </c>
      <c r="D55" s="224" t="s">
        <v>1990</v>
      </c>
      <c r="E55" s="224" t="s">
        <v>3</v>
      </c>
      <c r="F55" s="224" t="s">
        <v>488</v>
      </c>
      <c r="G55" s="224" t="s">
        <v>1991</v>
      </c>
      <c r="H55" s="224">
        <v>4</v>
      </c>
      <c r="I55" s="224" t="s">
        <v>941</v>
      </c>
      <c r="J55" s="224" t="s">
        <v>1992</v>
      </c>
      <c r="K55" s="224">
        <v>4</v>
      </c>
      <c r="L55" s="224"/>
      <c r="M55" s="224"/>
      <c r="N55" s="224" t="s">
        <v>452</v>
      </c>
      <c r="O55" s="224" t="s">
        <v>575</v>
      </c>
      <c r="P55" s="224" t="s">
        <v>1993</v>
      </c>
      <c r="Q55" s="224" t="s">
        <v>18</v>
      </c>
      <c r="R55" s="254"/>
      <c r="S55" s="370" t="str">
        <f ca="1">VLOOKUP($B55,'2022-2023 Third Reviews'!C:L, 9)</f>
        <v>Joshua Rubnitz
4</v>
      </c>
      <c r="T55" s="254" t="s">
        <v>11899</v>
      </c>
      <c r="U55" s="254" t="s">
        <v>18</v>
      </c>
      <c r="V55" s="325" t="s">
        <v>481</v>
      </c>
      <c r="W55" s="224"/>
      <c r="X55" s="224"/>
      <c r="Y55" s="224"/>
      <c r="Z55" s="224"/>
      <c r="AA55" s="224"/>
      <c r="AB55" s="224"/>
      <c r="AC55" s="224"/>
      <c r="AD55" s="224"/>
    </row>
    <row r="56" spans="1:30" ht="15.75" customHeight="1">
      <c r="A56" s="248">
        <v>44797</v>
      </c>
      <c r="B56" s="219" t="s">
        <v>362</v>
      </c>
      <c r="C56" s="249">
        <v>4</v>
      </c>
      <c r="D56" s="219" t="s">
        <v>2049</v>
      </c>
      <c r="E56" s="219" t="s">
        <v>3</v>
      </c>
      <c r="F56" s="219" t="s">
        <v>460</v>
      </c>
      <c r="G56" s="219" t="s">
        <v>2050</v>
      </c>
      <c r="H56" s="219">
        <v>4</v>
      </c>
      <c r="I56" s="219" t="s">
        <v>941</v>
      </c>
      <c r="J56" s="219" t="s">
        <v>2051</v>
      </c>
      <c r="K56" s="219">
        <v>4</v>
      </c>
      <c r="L56" s="219" t="s">
        <v>478</v>
      </c>
      <c r="M56" s="331">
        <v>5920000</v>
      </c>
      <c r="N56" s="219" t="s">
        <v>452</v>
      </c>
      <c r="O56" s="219" t="s">
        <v>452</v>
      </c>
      <c r="P56" s="219"/>
      <c r="Q56" s="219" t="s">
        <v>18</v>
      </c>
      <c r="R56" s="251"/>
      <c r="S56" s="370" t="str">
        <f ca="1">VLOOKUP($B56,'2022-2023 Third Reviews'!C:L, 9)</f>
        <v>Chris Millisits
2</v>
      </c>
      <c r="T56" s="251" t="s">
        <v>11905</v>
      </c>
      <c r="U56" s="251" t="s">
        <v>18</v>
      </c>
      <c r="V56" s="325" t="s">
        <v>454</v>
      </c>
      <c r="W56" s="219"/>
      <c r="X56" s="219"/>
      <c r="Y56" s="219"/>
      <c r="Z56" s="219"/>
      <c r="AA56" s="219"/>
      <c r="AB56" s="219"/>
      <c r="AC56" s="219"/>
      <c r="AD56" s="219"/>
    </row>
    <row r="57" spans="1:30" ht="15.75" customHeight="1">
      <c r="A57" s="257">
        <v>44789</v>
      </c>
      <c r="B57" s="258" t="s">
        <v>358</v>
      </c>
      <c r="C57" s="263">
        <v>4.25</v>
      </c>
      <c r="D57" s="258" t="s">
        <v>10548</v>
      </c>
      <c r="E57" s="258" t="s">
        <v>3</v>
      </c>
      <c r="F57" s="258" t="s">
        <v>725</v>
      </c>
      <c r="G57" s="258" t="s">
        <v>10549</v>
      </c>
      <c r="H57" s="258">
        <v>4.5</v>
      </c>
      <c r="I57" s="258" t="s">
        <v>941</v>
      </c>
      <c r="J57" s="258" t="s">
        <v>2025</v>
      </c>
      <c r="K57" s="258">
        <v>4</v>
      </c>
      <c r="L57" s="258" t="s">
        <v>478</v>
      </c>
      <c r="M57" s="258" t="s">
        <v>2026</v>
      </c>
      <c r="N57" s="258" t="s">
        <v>452</v>
      </c>
      <c r="O57" s="258" t="s">
        <v>452</v>
      </c>
      <c r="P57" s="258"/>
      <c r="Q57" s="258" t="s">
        <v>18</v>
      </c>
      <c r="R57" s="259" t="s">
        <v>11906</v>
      </c>
      <c r="S57" s="230" t="str">
        <f ca="1">VLOOKUP($B57,'2022-2023 Third Reviews'!C:L, 9)</f>
        <v>Chris Millisits
3</v>
      </c>
      <c r="T57" s="259" t="s">
        <v>11877</v>
      </c>
      <c r="U57" s="259" t="s">
        <v>18</v>
      </c>
      <c r="V57" s="259" t="s">
        <v>454</v>
      </c>
      <c r="W57" s="258"/>
      <c r="X57" s="258"/>
      <c r="Y57" s="258"/>
      <c r="Z57" s="258"/>
      <c r="AA57" s="258"/>
      <c r="AB57" s="258"/>
      <c r="AC57" s="258"/>
      <c r="AD57" s="258"/>
    </row>
    <row r="58" spans="1:30" ht="15.75" customHeight="1">
      <c r="A58" s="257">
        <v>44789</v>
      </c>
      <c r="B58" s="258" t="s">
        <v>322</v>
      </c>
      <c r="C58" s="263">
        <v>3.75</v>
      </c>
      <c r="D58" s="258" t="s">
        <v>1782</v>
      </c>
      <c r="E58" s="258" t="s">
        <v>3</v>
      </c>
      <c r="F58" s="258" t="s">
        <v>460</v>
      </c>
      <c r="G58" s="258" t="s">
        <v>1783</v>
      </c>
      <c r="H58" s="258">
        <v>4</v>
      </c>
      <c r="I58" s="258" t="s">
        <v>462</v>
      </c>
      <c r="J58" s="258" t="s">
        <v>1784</v>
      </c>
      <c r="K58" s="258">
        <v>3.5</v>
      </c>
      <c r="L58" s="258" t="s">
        <v>451</v>
      </c>
      <c r="M58" s="309">
        <v>3000000</v>
      </c>
      <c r="N58" s="258" t="s">
        <v>452</v>
      </c>
      <c r="O58" s="258" t="s">
        <v>1785</v>
      </c>
      <c r="P58" s="258"/>
      <c r="Q58" s="258" t="s">
        <v>20</v>
      </c>
      <c r="R58" s="259" t="s">
        <v>1786</v>
      </c>
      <c r="S58" s="230" t="str">
        <f ca="1">VLOOKUP($B58,'2022-2023 Third Reviews'!C:L, 9)</f>
        <v>Jason Yu
3</v>
      </c>
      <c r="T58" s="259" t="s">
        <v>11899</v>
      </c>
      <c r="U58" s="259" t="s">
        <v>18</v>
      </c>
      <c r="V58" s="259" t="s">
        <v>481</v>
      </c>
      <c r="W58" s="258"/>
      <c r="X58" s="258"/>
      <c r="Y58" s="258"/>
      <c r="Z58" s="258"/>
      <c r="AA58" s="258"/>
      <c r="AB58" s="258"/>
      <c r="AC58" s="258"/>
      <c r="AD58" s="258"/>
    </row>
    <row r="59" spans="1:30" ht="15.75" customHeight="1">
      <c r="A59" s="280">
        <v>44784</v>
      </c>
      <c r="B59" s="281" t="s">
        <v>370</v>
      </c>
      <c r="C59" s="282">
        <v>3.75</v>
      </c>
      <c r="D59" s="281" t="s">
        <v>2084</v>
      </c>
      <c r="E59" s="281" t="s">
        <v>3</v>
      </c>
      <c r="F59" s="281" t="s">
        <v>460</v>
      </c>
      <c r="G59" s="281" t="s">
        <v>2085</v>
      </c>
      <c r="H59" s="281">
        <v>4</v>
      </c>
      <c r="I59" s="281" t="s">
        <v>941</v>
      </c>
      <c r="J59" s="281" t="s">
        <v>2086</v>
      </c>
      <c r="K59" s="281">
        <v>3.5</v>
      </c>
      <c r="L59" s="281" t="s">
        <v>451</v>
      </c>
      <c r="M59" s="288">
        <v>7500000</v>
      </c>
      <c r="N59" s="281" t="s">
        <v>465</v>
      </c>
      <c r="O59" s="288" t="s">
        <v>452</v>
      </c>
      <c r="P59" s="281"/>
      <c r="Q59" s="281" t="s">
        <v>20</v>
      </c>
      <c r="R59" s="283" t="s">
        <v>2087</v>
      </c>
      <c r="S59" s="230" t="str">
        <f ca="1">VLOOKUP($B59,'2022-2023 Third Reviews'!C:L, 9)</f>
        <v>Chris Millisits
2</v>
      </c>
      <c r="T59" s="283" t="s">
        <v>11876</v>
      </c>
      <c r="U59" s="274" t="s">
        <v>18</v>
      </c>
      <c r="V59" s="259" t="s">
        <v>481</v>
      </c>
      <c r="W59" s="281"/>
      <c r="X59" s="281"/>
      <c r="Y59" s="281"/>
      <c r="Z59" s="281"/>
      <c r="AA59" s="281"/>
      <c r="AB59" s="258"/>
      <c r="AC59" s="258"/>
      <c r="AD59" s="258"/>
    </row>
    <row r="60" spans="1:30" ht="15.75" customHeight="1">
      <c r="A60" s="248">
        <v>44791</v>
      </c>
      <c r="B60" s="219" t="s">
        <v>408</v>
      </c>
      <c r="C60" s="249">
        <v>4</v>
      </c>
      <c r="D60" s="219" t="s">
        <v>1881</v>
      </c>
      <c r="E60" s="219" t="s">
        <v>3</v>
      </c>
      <c r="F60" s="219" t="s">
        <v>460</v>
      </c>
      <c r="G60" s="219" t="s">
        <v>1882</v>
      </c>
      <c r="H60" s="219">
        <v>4</v>
      </c>
      <c r="I60" s="219" t="s">
        <v>462</v>
      </c>
      <c r="J60" s="219" t="s">
        <v>1883</v>
      </c>
      <c r="K60" s="219">
        <v>4</v>
      </c>
      <c r="L60" s="219"/>
      <c r="M60" s="219"/>
      <c r="N60" s="219" t="s">
        <v>452</v>
      </c>
      <c r="O60" s="219" t="s">
        <v>1884</v>
      </c>
      <c r="P60" s="219" t="s">
        <v>1885</v>
      </c>
      <c r="Q60" s="219" t="s">
        <v>18</v>
      </c>
      <c r="R60" s="251"/>
      <c r="S60" s="370" t="str">
        <f ca="1">VLOOKUP($B60,'2022-2023 Third Reviews'!C:L, 9)</f>
        <v>Nick Schmandt
5</v>
      </c>
      <c r="T60" s="251" t="s">
        <v>11876</v>
      </c>
      <c r="U60" s="271" t="s">
        <v>18</v>
      </c>
      <c r="V60" s="325" t="s">
        <v>454</v>
      </c>
      <c r="W60" s="219"/>
      <c r="X60" s="219"/>
      <c r="Y60" s="219"/>
      <c r="Z60" s="219"/>
      <c r="AA60" s="219"/>
      <c r="AB60" s="219"/>
      <c r="AC60" s="219"/>
      <c r="AD60" s="219"/>
    </row>
    <row r="61" spans="1:30" ht="15.75" hidden="1" customHeight="1">
      <c r="A61" s="257">
        <v>44791</v>
      </c>
      <c r="B61" s="258" t="s">
        <v>9141</v>
      </c>
      <c r="C61" s="263">
        <v>3.88</v>
      </c>
      <c r="D61" s="258" t="s">
        <v>9144</v>
      </c>
      <c r="E61" s="258" t="s">
        <v>3</v>
      </c>
      <c r="F61" s="258" t="s">
        <v>488</v>
      </c>
      <c r="G61" s="258" t="s">
        <v>11664</v>
      </c>
      <c r="H61" s="258">
        <v>3.75</v>
      </c>
      <c r="I61" s="258" t="s">
        <v>941</v>
      </c>
      <c r="J61" s="258" t="s">
        <v>9146</v>
      </c>
      <c r="K61" s="258">
        <v>4</v>
      </c>
      <c r="L61" s="258"/>
      <c r="M61" s="258"/>
      <c r="N61" s="258"/>
      <c r="O61" s="258"/>
      <c r="P61" s="258"/>
      <c r="Q61" s="258" t="s">
        <v>24</v>
      </c>
      <c r="R61" s="259" t="s">
        <v>9148</v>
      </c>
      <c r="S61" s="259"/>
      <c r="T61" s="259"/>
      <c r="U61" s="259" t="str">
        <f t="shared" ref="U61:U70" si="0">Q61</f>
        <v>Invite Next Year</v>
      </c>
      <c r="V61" s="259"/>
      <c r="W61" s="258"/>
      <c r="X61" s="258"/>
      <c r="Y61" s="258"/>
      <c r="Z61" s="258"/>
      <c r="AA61" s="258"/>
      <c r="AB61" s="258"/>
      <c r="AC61" s="258"/>
      <c r="AD61" s="258"/>
    </row>
    <row r="62" spans="1:30" ht="15.75" hidden="1" customHeight="1">
      <c r="A62" s="257">
        <v>44789</v>
      </c>
      <c r="B62" s="258" t="s">
        <v>8474</v>
      </c>
      <c r="C62" s="263">
        <v>3.75</v>
      </c>
      <c r="D62" s="258" t="s">
        <v>8477</v>
      </c>
      <c r="E62" s="258" t="s">
        <v>3</v>
      </c>
      <c r="F62" s="258" t="s">
        <v>488</v>
      </c>
      <c r="G62" s="258" t="s">
        <v>8478</v>
      </c>
      <c r="H62" s="258">
        <v>3.5</v>
      </c>
      <c r="I62" s="258" t="s">
        <v>462</v>
      </c>
      <c r="J62" s="258" t="s">
        <v>8479</v>
      </c>
      <c r="K62" s="258">
        <v>4</v>
      </c>
      <c r="L62" s="258" t="s">
        <v>478</v>
      </c>
      <c r="M62" s="258" t="s">
        <v>8480</v>
      </c>
      <c r="N62" s="258" t="s">
        <v>452</v>
      </c>
      <c r="O62" s="258" t="s">
        <v>8481</v>
      </c>
      <c r="P62" s="258"/>
      <c r="Q62" s="258" t="s">
        <v>24</v>
      </c>
      <c r="R62" s="259" t="s">
        <v>8482</v>
      </c>
      <c r="S62" s="259"/>
      <c r="T62" s="259"/>
      <c r="U62" s="259" t="str">
        <f t="shared" si="0"/>
        <v>Invite Next Year</v>
      </c>
      <c r="V62" s="259"/>
      <c r="W62" s="258"/>
      <c r="X62" s="258"/>
      <c r="Y62" s="258"/>
      <c r="Z62" s="258"/>
      <c r="AA62" s="258"/>
      <c r="AB62" s="258"/>
      <c r="AC62" s="258"/>
      <c r="AD62" s="258"/>
    </row>
    <row r="63" spans="1:30" ht="15.75" hidden="1" customHeight="1">
      <c r="A63" s="253">
        <v>44791</v>
      </c>
      <c r="B63" s="224" t="s">
        <v>8850</v>
      </c>
      <c r="C63" s="316">
        <v>3.75</v>
      </c>
      <c r="D63" s="224" t="s">
        <v>8853</v>
      </c>
      <c r="E63" s="224" t="s">
        <v>3</v>
      </c>
      <c r="F63" s="224" t="s">
        <v>725</v>
      </c>
      <c r="G63" s="224" t="s">
        <v>10579</v>
      </c>
      <c r="H63" s="224">
        <v>3.5</v>
      </c>
      <c r="I63" s="224" t="s">
        <v>462</v>
      </c>
      <c r="J63" s="224" t="s">
        <v>8855</v>
      </c>
      <c r="K63" s="224">
        <v>4</v>
      </c>
      <c r="L63" s="224" t="s">
        <v>478</v>
      </c>
      <c r="M63" s="224">
        <v>20000000</v>
      </c>
      <c r="N63" s="224" t="s">
        <v>452</v>
      </c>
      <c r="O63" s="224" t="s">
        <v>8856</v>
      </c>
      <c r="P63" s="224"/>
      <c r="Q63" s="224" t="s">
        <v>24</v>
      </c>
      <c r="R63" s="254"/>
      <c r="S63" s="254"/>
      <c r="T63" s="254"/>
      <c r="U63" s="259" t="str">
        <f t="shared" si="0"/>
        <v>Invite Next Year</v>
      </c>
      <c r="V63" s="254"/>
      <c r="W63" s="224"/>
      <c r="X63" s="224"/>
      <c r="Y63" s="224"/>
      <c r="Z63" s="224"/>
      <c r="AA63" s="224"/>
      <c r="AB63" s="224"/>
      <c r="AC63" s="224"/>
      <c r="AD63" s="224"/>
    </row>
    <row r="64" spans="1:30" ht="15.75" hidden="1" customHeight="1">
      <c r="A64" s="257">
        <v>44796</v>
      </c>
      <c r="B64" s="258" t="s">
        <v>9087</v>
      </c>
      <c r="C64" s="263">
        <v>3.75</v>
      </c>
      <c r="D64" s="258" t="s">
        <v>9090</v>
      </c>
      <c r="E64" s="258" t="s">
        <v>3</v>
      </c>
      <c r="F64" s="258" t="s">
        <v>460</v>
      </c>
      <c r="G64" s="258" t="s">
        <v>9091</v>
      </c>
      <c r="H64" s="258">
        <v>3.5</v>
      </c>
      <c r="I64" s="258" t="s">
        <v>462</v>
      </c>
      <c r="J64" s="258" t="s">
        <v>9092</v>
      </c>
      <c r="K64" s="258">
        <v>4</v>
      </c>
      <c r="L64" s="258" t="s">
        <v>478</v>
      </c>
      <c r="M64" s="328">
        <v>10000000</v>
      </c>
      <c r="N64" s="258" t="s">
        <v>452</v>
      </c>
      <c r="O64" s="258" t="s">
        <v>1119</v>
      </c>
      <c r="P64" s="258"/>
      <c r="Q64" s="258" t="s">
        <v>24</v>
      </c>
      <c r="R64" s="259" t="s">
        <v>11716</v>
      </c>
      <c r="S64" s="259"/>
      <c r="T64" s="259"/>
      <c r="U64" s="259" t="str">
        <f t="shared" si="0"/>
        <v>Invite Next Year</v>
      </c>
      <c r="V64" s="259"/>
      <c r="W64" s="258"/>
      <c r="X64" s="258"/>
      <c r="Y64" s="258"/>
      <c r="Z64" s="258"/>
      <c r="AA64" s="258"/>
      <c r="AB64" s="258"/>
      <c r="AC64" s="258"/>
      <c r="AD64" s="258"/>
    </row>
    <row r="65" spans="1:30" ht="15.75" hidden="1" customHeight="1">
      <c r="A65" s="257">
        <v>44796</v>
      </c>
      <c r="B65" s="258" t="s">
        <v>8386</v>
      </c>
      <c r="C65" s="263">
        <v>3.75</v>
      </c>
      <c r="D65" s="258" t="s">
        <v>8389</v>
      </c>
      <c r="E65" s="258" t="s">
        <v>3</v>
      </c>
      <c r="F65" s="258" t="s">
        <v>488</v>
      </c>
      <c r="G65" s="258" t="s">
        <v>11322</v>
      </c>
      <c r="H65" s="258">
        <v>3.5</v>
      </c>
      <c r="I65" s="258" t="s">
        <v>941</v>
      </c>
      <c r="J65" s="258" t="s">
        <v>8391</v>
      </c>
      <c r="K65" s="258">
        <v>4</v>
      </c>
      <c r="L65" s="258" t="s">
        <v>451</v>
      </c>
      <c r="M65" s="261">
        <v>1500000</v>
      </c>
      <c r="N65" s="258" t="s">
        <v>452</v>
      </c>
      <c r="O65" s="258" t="s">
        <v>8392</v>
      </c>
      <c r="P65" s="258"/>
      <c r="Q65" s="258" t="s">
        <v>24</v>
      </c>
      <c r="R65" s="259" t="s">
        <v>11721</v>
      </c>
      <c r="S65" s="259"/>
      <c r="T65" s="259"/>
      <c r="U65" s="259" t="str">
        <f t="shared" si="0"/>
        <v>Invite Next Year</v>
      </c>
      <c r="V65" s="259"/>
      <c r="W65" s="258"/>
      <c r="X65" s="258"/>
      <c r="Y65" s="258"/>
      <c r="Z65" s="258"/>
      <c r="AA65" s="258"/>
      <c r="AB65" s="258"/>
      <c r="AC65" s="258"/>
      <c r="AD65" s="258"/>
    </row>
    <row r="66" spans="1:30" ht="15.75" hidden="1" customHeight="1">
      <c r="A66" s="257">
        <v>44796</v>
      </c>
      <c r="B66" s="258" t="s">
        <v>8662</v>
      </c>
      <c r="C66" s="263">
        <v>3.75</v>
      </c>
      <c r="D66" s="258" t="s">
        <v>8665</v>
      </c>
      <c r="E66" s="258" t="s">
        <v>3</v>
      </c>
      <c r="F66" s="258" t="s">
        <v>488</v>
      </c>
      <c r="G66" s="258" t="s">
        <v>11345</v>
      </c>
      <c r="H66" s="258">
        <v>3.5</v>
      </c>
      <c r="I66" s="258" t="s">
        <v>941</v>
      </c>
      <c r="J66" s="258" t="s">
        <v>8667</v>
      </c>
      <c r="K66" s="258">
        <v>4</v>
      </c>
      <c r="L66" s="258" t="s">
        <v>478</v>
      </c>
      <c r="M66" s="309">
        <v>3000000</v>
      </c>
      <c r="N66" s="258" t="s">
        <v>452</v>
      </c>
      <c r="O66" s="258" t="s">
        <v>8668</v>
      </c>
      <c r="P66" s="258"/>
      <c r="Q66" s="258" t="s">
        <v>24</v>
      </c>
      <c r="R66" s="259" t="s">
        <v>8669</v>
      </c>
      <c r="S66" s="259"/>
      <c r="T66" s="259"/>
      <c r="U66" s="259" t="str">
        <f t="shared" si="0"/>
        <v>Invite Next Year</v>
      </c>
      <c r="V66" s="259"/>
      <c r="W66" s="258"/>
      <c r="X66" s="258"/>
      <c r="Y66" s="258"/>
      <c r="Z66" s="258"/>
      <c r="AA66" s="258"/>
      <c r="AB66" s="258"/>
      <c r="AC66" s="258"/>
      <c r="AD66" s="258"/>
    </row>
    <row r="67" spans="1:30" ht="15.75" hidden="1" customHeight="1">
      <c r="A67" s="257">
        <v>44796</v>
      </c>
      <c r="B67" s="258" t="s">
        <v>9186</v>
      </c>
      <c r="C67" s="263">
        <v>3.75</v>
      </c>
      <c r="D67" s="258" t="s">
        <v>9189</v>
      </c>
      <c r="E67" s="258" t="s">
        <v>3</v>
      </c>
      <c r="F67" s="258" t="s">
        <v>725</v>
      </c>
      <c r="G67" s="258" t="s">
        <v>9190</v>
      </c>
      <c r="H67" s="258">
        <v>3.5</v>
      </c>
      <c r="I67" s="258" t="s">
        <v>462</v>
      </c>
      <c r="J67" s="258" t="s">
        <v>10822</v>
      </c>
      <c r="K67" s="258">
        <v>4</v>
      </c>
      <c r="L67" s="258"/>
      <c r="M67" s="258"/>
      <c r="N67" s="258" t="s">
        <v>452</v>
      </c>
      <c r="O67" s="258" t="s">
        <v>1119</v>
      </c>
      <c r="P67" s="258"/>
      <c r="Q67" s="258" t="s">
        <v>24</v>
      </c>
      <c r="R67" s="259" t="s">
        <v>11723</v>
      </c>
      <c r="S67" s="259"/>
      <c r="T67" s="259"/>
      <c r="U67" s="259" t="str">
        <f t="shared" si="0"/>
        <v>Invite Next Year</v>
      </c>
      <c r="V67" s="259"/>
      <c r="W67" s="258"/>
      <c r="X67" s="258"/>
      <c r="Y67" s="258"/>
      <c r="Z67" s="258"/>
      <c r="AA67" s="258"/>
      <c r="AB67" s="258"/>
      <c r="AC67" s="258"/>
      <c r="AD67" s="258"/>
    </row>
    <row r="68" spans="1:30" ht="15.75" hidden="1" customHeight="1">
      <c r="A68" s="257">
        <v>44796</v>
      </c>
      <c r="B68" s="258" t="s">
        <v>8910</v>
      </c>
      <c r="C68" s="263">
        <v>3.75</v>
      </c>
      <c r="D68" s="258" t="s">
        <v>11724</v>
      </c>
      <c r="E68" s="258" t="s">
        <v>3</v>
      </c>
      <c r="F68" s="258" t="s">
        <v>488</v>
      </c>
      <c r="G68" s="258"/>
      <c r="H68" s="258">
        <v>3.5</v>
      </c>
      <c r="I68" s="258" t="s">
        <v>462</v>
      </c>
      <c r="J68" s="258" t="s">
        <v>8913</v>
      </c>
      <c r="K68" s="258">
        <v>4</v>
      </c>
      <c r="L68" s="258" t="s">
        <v>8914</v>
      </c>
      <c r="M68" s="258">
        <v>5000000</v>
      </c>
      <c r="N68" s="258" t="s">
        <v>452</v>
      </c>
      <c r="O68" s="258" t="s">
        <v>8915</v>
      </c>
      <c r="P68" s="258"/>
      <c r="Q68" s="258" t="s">
        <v>24</v>
      </c>
      <c r="R68" s="259" t="s">
        <v>8916</v>
      </c>
      <c r="S68" s="259"/>
      <c r="T68" s="259"/>
      <c r="U68" s="259" t="str">
        <f t="shared" si="0"/>
        <v>Invite Next Year</v>
      </c>
      <c r="V68" s="259"/>
      <c r="W68" s="258"/>
      <c r="X68" s="258"/>
      <c r="Y68" s="258"/>
      <c r="Z68" s="258"/>
      <c r="AA68" s="258"/>
      <c r="AB68" s="258"/>
      <c r="AC68" s="258"/>
      <c r="AD68" s="258"/>
    </row>
    <row r="69" spans="1:30" ht="15.75" hidden="1" customHeight="1">
      <c r="A69" s="257">
        <v>44782</v>
      </c>
      <c r="B69" s="258" t="s">
        <v>8859</v>
      </c>
      <c r="C69" s="249">
        <v>3.5</v>
      </c>
      <c r="D69" s="258" t="s">
        <v>11221</v>
      </c>
      <c r="E69" s="250" t="s">
        <v>3</v>
      </c>
      <c r="F69" s="258" t="s">
        <v>460</v>
      </c>
      <c r="G69" s="258" t="s">
        <v>8863</v>
      </c>
      <c r="H69" s="258">
        <v>3</v>
      </c>
      <c r="I69" s="258" t="s">
        <v>462</v>
      </c>
      <c r="J69" s="258" t="s">
        <v>11222</v>
      </c>
      <c r="K69" s="258">
        <v>4</v>
      </c>
      <c r="L69" s="258" t="s">
        <v>451</v>
      </c>
      <c r="M69" s="258">
        <v>1000000</v>
      </c>
      <c r="N69" s="258" t="s">
        <v>454</v>
      </c>
      <c r="O69" s="258" t="s">
        <v>8865</v>
      </c>
      <c r="P69" s="258"/>
      <c r="Q69" s="258" t="s">
        <v>24</v>
      </c>
      <c r="R69" s="259" t="s">
        <v>8866</v>
      </c>
      <c r="S69" s="259"/>
      <c r="T69" s="259"/>
      <c r="U69" s="259" t="str">
        <f t="shared" si="0"/>
        <v>Invite Next Year</v>
      </c>
      <c r="V69" s="259"/>
      <c r="W69" s="258"/>
      <c r="X69" s="258"/>
      <c r="Y69" s="258"/>
      <c r="Z69" s="258"/>
      <c r="AA69" s="258"/>
      <c r="AB69" s="258"/>
      <c r="AC69" s="258"/>
      <c r="AD69" s="258"/>
    </row>
    <row r="70" spans="1:30" ht="15.75" hidden="1" customHeight="1">
      <c r="A70" s="248">
        <v>44789</v>
      </c>
      <c r="B70" s="219" t="s">
        <v>9070</v>
      </c>
      <c r="C70" s="249">
        <v>3.5</v>
      </c>
      <c r="D70" s="219" t="s">
        <v>9073</v>
      </c>
      <c r="E70" s="250" t="s">
        <v>3</v>
      </c>
      <c r="F70" s="219" t="s">
        <v>460</v>
      </c>
      <c r="G70" s="219" t="s">
        <v>9074</v>
      </c>
      <c r="H70" s="219">
        <v>3</v>
      </c>
      <c r="I70" s="219" t="s">
        <v>941</v>
      </c>
      <c r="J70" s="219" t="s">
        <v>9075</v>
      </c>
      <c r="K70" s="219">
        <v>4</v>
      </c>
      <c r="L70" s="219"/>
      <c r="M70" s="219"/>
      <c r="N70" s="219" t="s">
        <v>452</v>
      </c>
      <c r="O70" s="219" t="s">
        <v>11046</v>
      </c>
      <c r="P70" s="219"/>
      <c r="Q70" s="219" t="s">
        <v>24</v>
      </c>
      <c r="R70" s="251"/>
      <c r="S70" s="251"/>
      <c r="T70" s="251"/>
      <c r="U70" s="259" t="str">
        <f t="shared" si="0"/>
        <v>Invite Next Year</v>
      </c>
      <c r="V70" s="251"/>
      <c r="W70" s="252"/>
      <c r="X70" s="252"/>
      <c r="Y70" s="252"/>
      <c r="Z70" s="219"/>
      <c r="AA70" s="219"/>
      <c r="AB70" s="219"/>
      <c r="AC70" s="219"/>
      <c r="AD70" s="219"/>
    </row>
    <row r="71" spans="1:30" ht="15.75" hidden="1" customHeight="1">
      <c r="A71" s="253">
        <v>44789</v>
      </c>
      <c r="B71" s="224" t="s">
        <v>9251</v>
      </c>
      <c r="C71" s="249">
        <v>3.5</v>
      </c>
      <c r="D71" s="224" t="s">
        <v>9254</v>
      </c>
      <c r="E71" s="250" t="s">
        <v>3</v>
      </c>
      <c r="F71" s="224" t="s">
        <v>460</v>
      </c>
      <c r="G71" s="224" t="s">
        <v>9255</v>
      </c>
      <c r="H71" s="224">
        <v>3.5</v>
      </c>
      <c r="I71" s="224" t="s">
        <v>462</v>
      </c>
      <c r="J71" s="224" t="s">
        <v>9256</v>
      </c>
      <c r="K71" s="224">
        <v>3.5</v>
      </c>
      <c r="L71" s="224" t="s">
        <v>451</v>
      </c>
      <c r="M71" s="307">
        <v>3000000</v>
      </c>
      <c r="N71" s="224" t="s">
        <v>452</v>
      </c>
      <c r="O71" s="224" t="s">
        <v>1028</v>
      </c>
      <c r="P71" s="224"/>
      <c r="Q71" s="224"/>
      <c r="R71" s="254"/>
      <c r="S71" s="254"/>
      <c r="T71" s="254"/>
      <c r="U71" s="259" t="s">
        <v>24</v>
      </c>
      <c r="V71" s="254"/>
      <c r="W71" s="252"/>
      <c r="X71" s="252"/>
      <c r="Y71" s="252"/>
      <c r="Z71" s="224"/>
      <c r="AA71" s="224"/>
      <c r="AB71" s="224"/>
      <c r="AC71" s="224"/>
      <c r="AD71" s="224"/>
    </row>
    <row r="72" spans="1:30" ht="15.75" hidden="1" customHeight="1">
      <c r="A72" s="257">
        <v>44791</v>
      </c>
      <c r="B72" s="258" t="s">
        <v>9226</v>
      </c>
      <c r="C72" s="263">
        <v>3.5</v>
      </c>
      <c r="D72" s="258" t="s">
        <v>9229</v>
      </c>
      <c r="E72" s="258" t="s">
        <v>3</v>
      </c>
      <c r="F72" s="258" t="s">
        <v>488</v>
      </c>
      <c r="G72" s="258" t="s">
        <v>11228</v>
      </c>
      <c r="H72" s="258">
        <v>3</v>
      </c>
      <c r="I72" s="258" t="s">
        <v>941</v>
      </c>
      <c r="J72" s="258" t="s">
        <v>9231</v>
      </c>
      <c r="K72" s="258">
        <v>4</v>
      </c>
      <c r="L72" s="258" t="s">
        <v>2190</v>
      </c>
      <c r="M72" s="309">
        <v>0</v>
      </c>
      <c r="N72" s="258" t="s">
        <v>452</v>
      </c>
      <c r="O72" s="258" t="s">
        <v>575</v>
      </c>
      <c r="P72" s="258"/>
      <c r="Q72" s="258" t="s">
        <v>24</v>
      </c>
      <c r="R72" s="259" t="s">
        <v>9232</v>
      </c>
      <c r="S72" s="259"/>
      <c r="T72" s="259"/>
      <c r="U72" s="259" t="str">
        <f t="shared" ref="U72:U74" si="1">Q72</f>
        <v>Invite Next Year</v>
      </c>
      <c r="V72" s="259"/>
      <c r="W72" s="258"/>
      <c r="X72" s="258"/>
      <c r="Y72" s="258"/>
      <c r="Z72" s="258"/>
      <c r="AA72" s="258"/>
      <c r="AB72" s="258"/>
      <c r="AC72" s="258"/>
      <c r="AD72" s="258"/>
    </row>
    <row r="73" spans="1:30" ht="15.75" hidden="1" customHeight="1">
      <c r="A73" s="257">
        <v>44791</v>
      </c>
      <c r="B73" s="258" t="s">
        <v>8358</v>
      </c>
      <c r="C73" s="263">
        <v>3.5</v>
      </c>
      <c r="D73" s="258" t="s">
        <v>8361</v>
      </c>
      <c r="E73" s="258" t="s">
        <v>3</v>
      </c>
      <c r="F73" s="258" t="s">
        <v>460</v>
      </c>
      <c r="G73" s="258" t="s">
        <v>11676</v>
      </c>
      <c r="H73" s="258">
        <v>3</v>
      </c>
      <c r="I73" s="258" t="s">
        <v>462</v>
      </c>
      <c r="J73" s="258" t="s">
        <v>8363</v>
      </c>
      <c r="K73" s="258">
        <v>4</v>
      </c>
      <c r="L73" s="258" t="s">
        <v>8364</v>
      </c>
      <c r="M73" s="309">
        <v>5000000</v>
      </c>
      <c r="N73" s="258" t="s">
        <v>452</v>
      </c>
      <c r="O73" s="258" t="s">
        <v>452</v>
      </c>
      <c r="P73" s="258"/>
      <c r="Q73" s="258" t="s">
        <v>24</v>
      </c>
      <c r="R73" s="259" t="s">
        <v>8365</v>
      </c>
      <c r="S73" s="259"/>
      <c r="T73" s="259"/>
      <c r="U73" s="259" t="str">
        <f t="shared" si="1"/>
        <v>Invite Next Year</v>
      </c>
      <c r="V73" s="259"/>
      <c r="W73" s="258"/>
      <c r="X73" s="258"/>
      <c r="Y73" s="258"/>
      <c r="Z73" s="258"/>
      <c r="AA73" s="258"/>
      <c r="AB73" s="258"/>
      <c r="AC73" s="258"/>
      <c r="AD73" s="258"/>
    </row>
    <row r="74" spans="1:30" ht="15.75" hidden="1" customHeight="1">
      <c r="A74" s="248">
        <v>44796</v>
      </c>
      <c r="B74" s="219" t="s">
        <v>8927</v>
      </c>
      <c r="C74" s="315">
        <v>3.5</v>
      </c>
      <c r="D74" s="219" t="s">
        <v>8930</v>
      </c>
      <c r="E74" s="219" t="s">
        <v>3</v>
      </c>
      <c r="F74" s="219" t="s">
        <v>460</v>
      </c>
      <c r="G74" s="219" t="s">
        <v>8931</v>
      </c>
      <c r="H74" s="219">
        <v>3.5</v>
      </c>
      <c r="I74" s="219" t="s">
        <v>462</v>
      </c>
      <c r="J74" s="219" t="s">
        <v>8932</v>
      </c>
      <c r="K74" s="219">
        <v>3.5</v>
      </c>
      <c r="L74" s="219" t="s">
        <v>478</v>
      </c>
      <c r="M74" s="312">
        <v>30000000</v>
      </c>
      <c r="N74" s="219" t="s">
        <v>452</v>
      </c>
      <c r="O74" s="219" t="s">
        <v>452</v>
      </c>
      <c r="P74" s="219"/>
      <c r="Q74" s="219" t="s">
        <v>24</v>
      </c>
      <c r="R74" s="251"/>
      <c r="S74" s="251"/>
      <c r="T74" s="251"/>
      <c r="U74" s="259" t="str">
        <f t="shared" si="1"/>
        <v>Invite Next Year</v>
      </c>
      <c r="V74" s="251"/>
      <c r="W74" s="219"/>
      <c r="X74" s="219"/>
      <c r="Y74" s="219"/>
      <c r="Z74" s="219"/>
      <c r="AA74" s="219"/>
      <c r="AB74" s="219"/>
      <c r="AC74" s="219"/>
      <c r="AD74" s="219"/>
    </row>
    <row r="75" spans="1:30" ht="15.75" hidden="1" customHeight="1">
      <c r="A75" s="257">
        <v>44797</v>
      </c>
      <c r="B75" s="258" t="s">
        <v>283</v>
      </c>
      <c r="C75" s="263">
        <v>3.5</v>
      </c>
      <c r="D75" s="258" t="s">
        <v>9171</v>
      </c>
      <c r="E75" s="258" t="s">
        <v>3</v>
      </c>
      <c r="F75" s="258" t="s">
        <v>488</v>
      </c>
      <c r="G75" s="258" t="s">
        <v>11907</v>
      </c>
      <c r="H75" s="258">
        <v>3</v>
      </c>
      <c r="I75" s="258" t="s">
        <v>941</v>
      </c>
      <c r="J75" s="258" t="s">
        <v>9173</v>
      </c>
      <c r="K75" s="258">
        <v>4</v>
      </c>
      <c r="L75" s="258" t="s">
        <v>451</v>
      </c>
      <c r="M75" s="258" t="s">
        <v>2604</v>
      </c>
      <c r="N75" s="258" t="s">
        <v>452</v>
      </c>
      <c r="O75" s="258" t="s">
        <v>9174</v>
      </c>
      <c r="P75" s="258" t="s">
        <v>604</v>
      </c>
      <c r="Q75" s="258"/>
      <c r="R75" s="259"/>
      <c r="S75" s="259"/>
      <c r="T75" s="259"/>
      <c r="U75" s="259" t="s">
        <v>24</v>
      </c>
      <c r="V75" s="259"/>
      <c r="W75" s="258"/>
      <c r="X75" s="258"/>
      <c r="Y75" s="258"/>
      <c r="Z75" s="258"/>
      <c r="AA75" s="258"/>
      <c r="AB75" s="258"/>
      <c r="AC75" s="258"/>
      <c r="AD75" s="258"/>
    </row>
    <row r="76" spans="1:30" ht="15.75" hidden="1" customHeight="1">
      <c r="A76" s="248">
        <v>44782</v>
      </c>
      <c r="B76" s="219" t="s">
        <v>9210</v>
      </c>
      <c r="C76" s="249">
        <v>3.25</v>
      </c>
      <c r="D76" s="219" t="s">
        <v>9213</v>
      </c>
      <c r="E76" s="250" t="s">
        <v>3</v>
      </c>
      <c r="F76" s="219" t="s">
        <v>727</v>
      </c>
      <c r="G76" s="219" t="s">
        <v>10271</v>
      </c>
      <c r="H76" s="219">
        <v>3</v>
      </c>
      <c r="I76" s="219" t="s">
        <v>1054</v>
      </c>
      <c r="J76" s="219"/>
      <c r="K76" s="219">
        <v>3.5</v>
      </c>
      <c r="L76" s="219" t="s">
        <v>478</v>
      </c>
      <c r="M76" s="219" t="s">
        <v>9215</v>
      </c>
      <c r="N76" s="219" t="s">
        <v>452</v>
      </c>
      <c r="O76" s="219" t="s">
        <v>9216</v>
      </c>
      <c r="P76" s="219"/>
      <c r="Q76" s="219" t="s">
        <v>24</v>
      </c>
      <c r="R76" s="251"/>
      <c r="S76" s="251"/>
      <c r="T76" s="251"/>
      <c r="U76" s="259" t="str">
        <f t="shared" ref="U76:U177" si="2">Q76</f>
        <v>Invite Next Year</v>
      </c>
      <c r="V76" s="251"/>
      <c r="W76" s="252"/>
      <c r="X76" s="252"/>
      <c r="Y76" s="252"/>
      <c r="Z76" s="219"/>
      <c r="AA76" s="219"/>
      <c r="AB76" s="219"/>
      <c r="AC76" s="219"/>
      <c r="AD76" s="219"/>
    </row>
    <row r="77" spans="1:30" ht="15.75" hidden="1" customHeight="1">
      <c r="A77" s="257">
        <v>44789</v>
      </c>
      <c r="B77" s="258" t="s">
        <v>9294</v>
      </c>
      <c r="C77" s="263">
        <v>3.25</v>
      </c>
      <c r="D77" s="258" t="s">
        <v>11632</v>
      </c>
      <c r="E77" s="258" t="s">
        <v>3</v>
      </c>
      <c r="F77" s="258" t="s">
        <v>460</v>
      </c>
      <c r="G77" s="258" t="s">
        <v>9298</v>
      </c>
      <c r="H77" s="258">
        <v>3</v>
      </c>
      <c r="I77" s="258" t="s">
        <v>462</v>
      </c>
      <c r="J77" s="258" t="s">
        <v>9299</v>
      </c>
      <c r="K77" s="258">
        <v>3.5</v>
      </c>
      <c r="L77" s="258" t="s">
        <v>9300</v>
      </c>
      <c r="M77" s="258" t="s">
        <v>9301</v>
      </c>
      <c r="N77" s="258" t="s">
        <v>465</v>
      </c>
      <c r="O77" s="258" t="s">
        <v>452</v>
      </c>
      <c r="P77" s="258"/>
      <c r="Q77" s="258" t="s">
        <v>24</v>
      </c>
      <c r="R77" s="259" t="s">
        <v>9302</v>
      </c>
      <c r="S77" s="259"/>
      <c r="T77" s="259"/>
      <c r="U77" s="259" t="str">
        <f t="shared" si="2"/>
        <v>Invite Next Year</v>
      </c>
      <c r="V77" s="259"/>
      <c r="W77" s="258"/>
      <c r="X77" s="258"/>
      <c r="Y77" s="258"/>
      <c r="Z77" s="258"/>
      <c r="AA77" s="258"/>
      <c r="AB77" s="258"/>
      <c r="AC77" s="258"/>
      <c r="AD77" s="258"/>
    </row>
    <row r="78" spans="1:30" ht="15.75" hidden="1" customHeight="1">
      <c r="A78" s="248">
        <v>44791</v>
      </c>
      <c r="B78" s="219" t="s">
        <v>8341</v>
      </c>
      <c r="C78" s="315">
        <v>3.25</v>
      </c>
      <c r="D78" s="219" t="s">
        <v>8344</v>
      </c>
      <c r="E78" s="219" t="s">
        <v>3</v>
      </c>
      <c r="F78" s="219" t="s">
        <v>725</v>
      </c>
      <c r="G78" s="219" t="s">
        <v>10577</v>
      </c>
      <c r="H78" s="219">
        <v>3.5</v>
      </c>
      <c r="I78" s="219" t="s">
        <v>488</v>
      </c>
      <c r="J78" s="219" t="s">
        <v>8346</v>
      </c>
      <c r="K78" s="219">
        <v>3</v>
      </c>
      <c r="L78" s="219"/>
      <c r="M78" s="219"/>
      <c r="N78" s="219" t="s">
        <v>452</v>
      </c>
      <c r="O78" s="219" t="s">
        <v>10578</v>
      </c>
      <c r="P78" s="219"/>
      <c r="Q78" s="322" t="s">
        <v>24</v>
      </c>
      <c r="R78" s="251"/>
      <c r="S78" s="251"/>
      <c r="T78" s="251"/>
      <c r="U78" s="259" t="str">
        <f t="shared" si="2"/>
        <v>Invite Next Year</v>
      </c>
      <c r="V78" s="251"/>
      <c r="W78" s="219"/>
      <c r="X78" s="219"/>
      <c r="Y78" s="219"/>
      <c r="Z78" s="219"/>
      <c r="AA78" s="219"/>
      <c r="AB78" s="219"/>
      <c r="AC78" s="219"/>
      <c r="AD78" s="219"/>
    </row>
    <row r="79" spans="1:30" ht="15.75" hidden="1" customHeight="1">
      <c r="A79" s="253">
        <v>44791</v>
      </c>
      <c r="B79" s="224" t="s">
        <v>8869</v>
      </c>
      <c r="C79" s="316">
        <v>3.25</v>
      </c>
      <c r="D79" s="224" t="s">
        <v>8872</v>
      </c>
      <c r="E79" s="224" t="s">
        <v>3</v>
      </c>
      <c r="F79" s="224" t="s">
        <v>460</v>
      </c>
      <c r="G79" s="224" t="s">
        <v>8873</v>
      </c>
      <c r="H79" s="224">
        <v>3</v>
      </c>
      <c r="I79" s="224" t="s">
        <v>488</v>
      </c>
      <c r="J79" s="224"/>
      <c r="K79" s="224">
        <v>3.5</v>
      </c>
      <c r="L79" s="224" t="s">
        <v>8874</v>
      </c>
      <c r="M79" s="307">
        <v>5000000</v>
      </c>
      <c r="N79" s="224" t="s">
        <v>452</v>
      </c>
      <c r="O79" s="224" t="s">
        <v>452</v>
      </c>
      <c r="P79" s="224"/>
      <c r="Q79" s="322" t="s">
        <v>24</v>
      </c>
      <c r="R79" s="254"/>
      <c r="S79" s="254"/>
      <c r="T79" s="254"/>
      <c r="U79" s="259" t="str">
        <f t="shared" si="2"/>
        <v>Invite Next Year</v>
      </c>
      <c r="V79" s="254"/>
      <c r="W79" s="224"/>
      <c r="X79" s="224"/>
      <c r="Y79" s="224"/>
      <c r="Z79" s="224"/>
      <c r="AA79" s="224"/>
      <c r="AB79" s="224"/>
      <c r="AC79" s="224"/>
      <c r="AD79" s="224"/>
    </row>
    <row r="80" spans="1:30" ht="15.75" hidden="1" customHeight="1">
      <c r="A80" s="248">
        <v>44791</v>
      </c>
      <c r="B80" s="219" t="s">
        <v>8589</v>
      </c>
      <c r="C80" s="315">
        <v>3.25</v>
      </c>
      <c r="D80" s="219" t="s">
        <v>10604</v>
      </c>
      <c r="E80" s="219" t="s">
        <v>3</v>
      </c>
      <c r="F80" s="219" t="s">
        <v>725</v>
      </c>
      <c r="G80" s="219" t="s">
        <v>10605</v>
      </c>
      <c r="H80" s="219">
        <v>3.5</v>
      </c>
      <c r="I80" s="219" t="s">
        <v>488</v>
      </c>
      <c r="J80" s="219" t="s">
        <v>8594</v>
      </c>
      <c r="K80" s="219">
        <v>3</v>
      </c>
      <c r="L80" s="219" t="s">
        <v>451</v>
      </c>
      <c r="M80" s="219" t="s">
        <v>4828</v>
      </c>
      <c r="N80" s="219" t="s">
        <v>452</v>
      </c>
      <c r="O80" s="219" t="s">
        <v>11678</v>
      </c>
      <c r="P80" s="219"/>
      <c r="Q80" s="322" t="s">
        <v>24</v>
      </c>
      <c r="R80" s="251"/>
      <c r="S80" s="251"/>
      <c r="T80" s="251"/>
      <c r="U80" s="259" t="str">
        <f t="shared" si="2"/>
        <v>Invite Next Year</v>
      </c>
      <c r="V80" s="251"/>
      <c r="W80" s="219"/>
      <c r="X80" s="219"/>
      <c r="Y80" s="219"/>
      <c r="Z80" s="219"/>
      <c r="AA80" s="219"/>
      <c r="AB80" s="219"/>
      <c r="AC80" s="219"/>
      <c r="AD80" s="219"/>
    </row>
    <row r="81" spans="1:30" ht="15.75" hidden="1" customHeight="1">
      <c r="A81" s="253">
        <v>44791</v>
      </c>
      <c r="B81" s="224" t="s">
        <v>8972</v>
      </c>
      <c r="C81" s="316">
        <v>3.25</v>
      </c>
      <c r="D81" s="224" t="s">
        <v>8975</v>
      </c>
      <c r="E81" s="224" t="s">
        <v>3</v>
      </c>
      <c r="F81" s="224" t="s">
        <v>460</v>
      </c>
      <c r="G81" s="224" t="s">
        <v>8976</v>
      </c>
      <c r="H81" s="224">
        <v>3</v>
      </c>
      <c r="I81" s="224" t="s">
        <v>488</v>
      </c>
      <c r="J81" s="224" t="s">
        <v>8977</v>
      </c>
      <c r="K81" s="224">
        <v>3.5</v>
      </c>
      <c r="L81" s="224" t="s">
        <v>451</v>
      </c>
      <c r="M81" s="224">
        <v>5000000</v>
      </c>
      <c r="N81" s="224" t="s">
        <v>452</v>
      </c>
      <c r="O81" s="224" t="s">
        <v>8978</v>
      </c>
      <c r="P81" s="224"/>
      <c r="Q81" s="322" t="s">
        <v>24</v>
      </c>
      <c r="R81" s="254"/>
      <c r="S81" s="254"/>
      <c r="T81" s="254"/>
      <c r="U81" s="259" t="str">
        <f t="shared" si="2"/>
        <v>Invite Next Year</v>
      </c>
      <c r="V81" s="254"/>
      <c r="W81" s="224"/>
      <c r="X81" s="224"/>
      <c r="Y81" s="224"/>
      <c r="Z81" s="224"/>
      <c r="AA81" s="224"/>
      <c r="AB81" s="224"/>
      <c r="AC81" s="224"/>
      <c r="AD81" s="224"/>
    </row>
    <row r="82" spans="1:30" ht="15.75" hidden="1" customHeight="1">
      <c r="A82" s="248">
        <v>44791</v>
      </c>
      <c r="B82" s="219" t="s">
        <v>8814</v>
      </c>
      <c r="C82" s="315">
        <v>3.25</v>
      </c>
      <c r="D82" s="219" t="s">
        <v>8817</v>
      </c>
      <c r="E82" s="219" t="s">
        <v>3</v>
      </c>
      <c r="F82" s="219" t="s">
        <v>460</v>
      </c>
      <c r="G82" s="219" t="s">
        <v>8818</v>
      </c>
      <c r="H82" s="219">
        <v>3</v>
      </c>
      <c r="I82" s="219" t="s">
        <v>462</v>
      </c>
      <c r="J82" s="219" t="s">
        <v>8819</v>
      </c>
      <c r="K82" s="219">
        <v>3.5</v>
      </c>
      <c r="L82" s="219" t="s">
        <v>478</v>
      </c>
      <c r="M82" s="219" t="s">
        <v>8820</v>
      </c>
      <c r="N82" s="219" t="s">
        <v>452</v>
      </c>
      <c r="O82" s="219" t="s">
        <v>452</v>
      </c>
      <c r="P82" s="219"/>
      <c r="Q82" s="322" t="s">
        <v>24</v>
      </c>
      <c r="R82" s="251"/>
      <c r="S82" s="251"/>
      <c r="T82" s="251"/>
      <c r="U82" s="259" t="str">
        <f t="shared" si="2"/>
        <v>Invite Next Year</v>
      </c>
      <c r="V82" s="251"/>
      <c r="W82" s="219"/>
      <c r="X82" s="219"/>
      <c r="Y82" s="219"/>
      <c r="Z82" s="219"/>
      <c r="AA82" s="219"/>
      <c r="AB82" s="219"/>
      <c r="AC82" s="219"/>
      <c r="AD82" s="219"/>
    </row>
    <row r="83" spans="1:30" ht="15.75" hidden="1" customHeight="1">
      <c r="A83" s="253">
        <v>44791</v>
      </c>
      <c r="B83" s="224" t="s">
        <v>9041</v>
      </c>
      <c r="C83" s="316">
        <v>3.25</v>
      </c>
      <c r="D83" s="224" t="s">
        <v>9044</v>
      </c>
      <c r="E83" s="224" t="s">
        <v>3</v>
      </c>
      <c r="F83" s="224" t="s">
        <v>460</v>
      </c>
      <c r="G83" s="224" t="s">
        <v>9045</v>
      </c>
      <c r="H83" s="224">
        <v>3.5</v>
      </c>
      <c r="I83" s="224" t="s">
        <v>941</v>
      </c>
      <c r="J83" s="224" t="s">
        <v>9046</v>
      </c>
      <c r="K83" s="224">
        <v>3</v>
      </c>
      <c r="L83" s="224" t="s">
        <v>973</v>
      </c>
      <c r="M83" s="224" t="s">
        <v>9047</v>
      </c>
      <c r="N83" s="224" t="s">
        <v>452</v>
      </c>
      <c r="O83" s="224" t="s">
        <v>9048</v>
      </c>
      <c r="P83" s="224"/>
      <c r="Q83" s="322" t="s">
        <v>24</v>
      </c>
      <c r="R83" s="254"/>
      <c r="S83" s="254"/>
      <c r="T83" s="254"/>
      <c r="U83" s="259" t="str">
        <f t="shared" si="2"/>
        <v>Invite Next Year</v>
      </c>
      <c r="V83" s="254"/>
      <c r="W83" s="224"/>
      <c r="X83" s="224"/>
      <c r="Y83" s="224"/>
      <c r="Z83" s="224"/>
      <c r="AA83" s="224"/>
      <c r="AB83" s="224"/>
      <c r="AC83" s="224"/>
      <c r="AD83" s="224"/>
    </row>
    <row r="84" spans="1:30" ht="15.75" hidden="1" customHeight="1">
      <c r="A84" s="248">
        <v>44796</v>
      </c>
      <c r="B84" s="219" t="s">
        <v>8543</v>
      </c>
      <c r="C84" s="315">
        <v>3.25</v>
      </c>
      <c r="D84" s="219" t="s">
        <v>8546</v>
      </c>
      <c r="E84" s="219" t="s">
        <v>3</v>
      </c>
      <c r="F84" s="219" t="s">
        <v>488</v>
      </c>
      <c r="G84" s="219"/>
      <c r="H84" s="219">
        <v>3</v>
      </c>
      <c r="I84" s="219" t="s">
        <v>941</v>
      </c>
      <c r="J84" s="219" t="s">
        <v>8547</v>
      </c>
      <c r="K84" s="219">
        <v>3.5</v>
      </c>
      <c r="L84" s="219" t="s">
        <v>973</v>
      </c>
      <c r="M84" s="219">
        <v>8000000</v>
      </c>
      <c r="N84" s="219" t="s">
        <v>452</v>
      </c>
      <c r="O84" s="219" t="s">
        <v>8548</v>
      </c>
      <c r="P84" s="219"/>
      <c r="Q84" s="219" t="s">
        <v>24</v>
      </c>
      <c r="R84" s="251"/>
      <c r="S84" s="251"/>
      <c r="T84" s="251"/>
      <c r="U84" s="259" t="str">
        <f t="shared" si="2"/>
        <v>Invite Next Year</v>
      </c>
      <c r="V84" s="251"/>
      <c r="W84" s="219"/>
      <c r="X84" s="219"/>
      <c r="Y84" s="219"/>
      <c r="Z84" s="219"/>
      <c r="AA84" s="219"/>
      <c r="AB84" s="219"/>
      <c r="AC84" s="219"/>
      <c r="AD84" s="219"/>
    </row>
    <row r="85" spans="1:30" ht="15.75" hidden="1" customHeight="1">
      <c r="A85" s="321">
        <v>44796</v>
      </c>
      <c r="B85" s="322" t="s">
        <v>9007</v>
      </c>
      <c r="C85" s="323">
        <v>3.25</v>
      </c>
      <c r="D85" s="322"/>
      <c r="E85" s="322" t="s">
        <v>3</v>
      </c>
      <c r="F85" s="322" t="s">
        <v>488</v>
      </c>
      <c r="G85" s="322"/>
      <c r="H85" s="322">
        <v>3</v>
      </c>
      <c r="I85" s="322" t="s">
        <v>462</v>
      </c>
      <c r="J85" s="322" t="s">
        <v>9010</v>
      </c>
      <c r="K85" s="322">
        <v>3.5</v>
      </c>
      <c r="L85" s="322" t="s">
        <v>2152</v>
      </c>
      <c r="M85" s="322" t="s">
        <v>9011</v>
      </c>
      <c r="N85" s="322" t="s">
        <v>452</v>
      </c>
      <c r="O85" s="322" t="s">
        <v>9012</v>
      </c>
      <c r="P85" s="322"/>
      <c r="Q85" s="224" t="s">
        <v>24</v>
      </c>
      <c r="R85" s="325"/>
      <c r="S85" s="325"/>
      <c r="T85" s="325"/>
      <c r="U85" s="259" t="str">
        <f t="shared" si="2"/>
        <v>Invite Next Year</v>
      </c>
      <c r="V85" s="325"/>
      <c r="W85" s="322"/>
      <c r="X85" s="322"/>
      <c r="Y85" s="322"/>
      <c r="Z85" s="322"/>
      <c r="AA85" s="322"/>
      <c r="AB85" s="322"/>
      <c r="AC85" s="322"/>
      <c r="AD85" s="322"/>
    </row>
    <row r="86" spans="1:30" ht="15.75" hidden="1" customHeight="1">
      <c r="A86" s="257">
        <v>44782</v>
      </c>
      <c r="B86" s="258" t="s">
        <v>9031</v>
      </c>
      <c r="C86" s="249">
        <v>3</v>
      </c>
      <c r="D86" s="258" t="s">
        <v>9034</v>
      </c>
      <c r="E86" s="250" t="s">
        <v>3</v>
      </c>
      <c r="F86" s="258" t="s">
        <v>460</v>
      </c>
      <c r="G86" s="258" t="s">
        <v>9035</v>
      </c>
      <c r="H86" s="258">
        <v>3</v>
      </c>
      <c r="I86" s="258" t="s">
        <v>488</v>
      </c>
      <c r="J86" s="258"/>
      <c r="K86" s="258">
        <v>3</v>
      </c>
      <c r="L86" s="258" t="s">
        <v>784</v>
      </c>
      <c r="M86" s="258" t="s">
        <v>4444</v>
      </c>
      <c r="N86" s="258" t="s">
        <v>452</v>
      </c>
      <c r="O86" s="258" t="s">
        <v>11219</v>
      </c>
      <c r="P86" s="258" t="s">
        <v>9037</v>
      </c>
      <c r="Q86" s="258" t="s">
        <v>24</v>
      </c>
      <c r="R86" s="259" t="s">
        <v>11220</v>
      </c>
      <c r="S86" s="259"/>
      <c r="T86" s="259"/>
      <c r="U86" s="259" t="str">
        <f t="shared" si="2"/>
        <v>Invite Next Year</v>
      </c>
      <c r="V86" s="259"/>
      <c r="W86" s="258"/>
      <c r="X86" s="258"/>
      <c r="Y86" s="258"/>
      <c r="Z86" s="258"/>
      <c r="AA86" s="258"/>
      <c r="AB86" s="258"/>
      <c r="AC86" s="258"/>
      <c r="AD86" s="258"/>
    </row>
    <row r="87" spans="1:30" ht="15.75" hidden="1" customHeight="1">
      <c r="A87" s="253">
        <v>44789</v>
      </c>
      <c r="B87" s="224" t="s">
        <v>9311</v>
      </c>
      <c r="C87" s="249">
        <v>3</v>
      </c>
      <c r="D87" s="224" t="s">
        <v>9314</v>
      </c>
      <c r="E87" s="250" t="s">
        <v>3</v>
      </c>
      <c r="F87" s="224" t="s">
        <v>460</v>
      </c>
      <c r="G87" s="224" t="s">
        <v>9315</v>
      </c>
      <c r="H87" s="224">
        <v>3</v>
      </c>
      <c r="I87" s="224" t="s">
        <v>462</v>
      </c>
      <c r="J87" s="224" t="s">
        <v>9316</v>
      </c>
      <c r="K87" s="224">
        <v>3</v>
      </c>
      <c r="L87" s="224" t="s">
        <v>451</v>
      </c>
      <c r="M87" s="307">
        <v>500000</v>
      </c>
      <c r="N87" s="224" t="s">
        <v>452</v>
      </c>
      <c r="O87" s="224" t="s">
        <v>452</v>
      </c>
      <c r="P87" s="224"/>
      <c r="Q87" s="224" t="s">
        <v>24</v>
      </c>
      <c r="R87" s="254"/>
      <c r="S87" s="254"/>
      <c r="T87" s="254"/>
      <c r="U87" s="259" t="str">
        <f t="shared" si="2"/>
        <v>Invite Next Year</v>
      </c>
      <c r="V87" s="254"/>
      <c r="W87" s="252"/>
      <c r="X87" s="252"/>
      <c r="Y87" s="252"/>
      <c r="Z87" s="224"/>
      <c r="AA87" s="224"/>
      <c r="AB87" s="224"/>
      <c r="AC87" s="224"/>
      <c r="AD87" s="224"/>
    </row>
    <row r="88" spans="1:30" ht="15.75" hidden="1" customHeight="1">
      <c r="A88" s="248">
        <v>44789</v>
      </c>
      <c r="B88" s="219" t="s">
        <v>8807</v>
      </c>
      <c r="C88" s="249">
        <v>3</v>
      </c>
      <c r="D88" s="219" t="s">
        <v>8810</v>
      </c>
      <c r="E88" s="250" t="s">
        <v>3</v>
      </c>
      <c r="F88" s="219" t="s">
        <v>460</v>
      </c>
      <c r="G88" s="219" t="s">
        <v>8811</v>
      </c>
      <c r="H88" s="219">
        <v>3</v>
      </c>
      <c r="I88" s="219" t="s">
        <v>462</v>
      </c>
      <c r="J88" s="219" t="s">
        <v>8812</v>
      </c>
      <c r="K88" s="219">
        <v>3</v>
      </c>
      <c r="L88" s="219"/>
      <c r="M88" s="312"/>
      <c r="N88" s="219" t="s">
        <v>452</v>
      </c>
      <c r="O88" s="219" t="s">
        <v>452</v>
      </c>
      <c r="P88" s="219"/>
      <c r="Q88" s="219" t="s">
        <v>24</v>
      </c>
      <c r="R88" s="251"/>
      <c r="S88" s="251"/>
      <c r="T88" s="251"/>
      <c r="U88" s="259" t="str">
        <f t="shared" si="2"/>
        <v>Invite Next Year</v>
      </c>
      <c r="V88" s="251"/>
      <c r="W88" s="252"/>
      <c r="X88" s="252"/>
      <c r="Y88" s="252"/>
      <c r="Z88" s="219"/>
      <c r="AA88" s="219"/>
      <c r="AB88" s="219"/>
      <c r="AC88" s="219"/>
      <c r="AD88" s="219"/>
    </row>
    <row r="89" spans="1:30" ht="15.75" hidden="1" customHeight="1">
      <c r="A89" s="253">
        <v>44789</v>
      </c>
      <c r="B89" s="224" t="s">
        <v>9160</v>
      </c>
      <c r="C89" s="249">
        <v>3</v>
      </c>
      <c r="D89" s="224" t="s">
        <v>9163</v>
      </c>
      <c r="E89" s="250" t="s">
        <v>3</v>
      </c>
      <c r="F89" s="224" t="s">
        <v>460</v>
      </c>
      <c r="G89" s="224" t="s">
        <v>9164</v>
      </c>
      <c r="H89" s="224">
        <v>3</v>
      </c>
      <c r="I89" s="224" t="s">
        <v>462</v>
      </c>
      <c r="J89" s="224" t="s">
        <v>9165</v>
      </c>
      <c r="K89" s="224">
        <v>3</v>
      </c>
      <c r="L89" s="224"/>
      <c r="M89" s="224"/>
      <c r="N89" s="224" t="s">
        <v>454</v>
      </c>
      <c r="O89" s="224" t="s">
        <v>10945</v>
      </c>
      <c r="P89" s="224"/>
      <c r="Q89" s="224" t="s">
        <v>24</v>
      </c>
      <c r="R89" s="254"/>
      <c r="S89" s="254"/>
      <c r="T89" s="254"/>
      <c r="U89" s="259" t="str">
        <f t="shared" si="2"/>
        <v>Invite Next Year</v>
      </c>
      <c r="V89" s="254"/>
      <c r="W89" s="252"/>
      <c r="X89" s="252"/>
      <c r="Y89" s="252"/>
      <c r="Z89" s="224"/>
      <c r="AA89" s="224"/>
      <c r="AB89" s="224"/>
      <c r="AC89" s="224"/>
      <c r="AD89" s="224"/>
    </row>
    <row r="90" spans="1:30" ht="15.75" hidden="1" customHeight="1">
      <c r="A90" s="248">
        <v>44791</v>
      </c>
      <c r="B90" s="219" t="s">
        <v>8714</v>
      </c>
      <c r="C90" s="315">
        <v>3</v>
      </c>
      <c r="D90" s="219" t="s">
        <v>8717</v>
      </c>
      <c r="E90" s="219" t="s">
        <v>3</v>
      </c>
      <c r="F90" s="219" t="s">
        <v>460</v>
      </c>
      <c r="G90" s="219" t="s">
        <v>8718</v>
      </c>
      <c r="H90" s="219">
        <v>2.5</v>
      </c>
      <c r="I90" s="219" t="s">
        <v>462</v>
      </c>
      <c r="J90" s="219" t="s">
        <v>8719</v>
      </c>
      <c r="K90" s="219">
        <v>3.5</v>
      </c>
      <c r="L90" s="219"/>
      <c r="M90" s="219"/>
      <c r="N90" s="219" t="s">
        <v>452</v>
      </c>
      <c r="O90" s="219" t="s">
        <v>11687</v>
      </c>
      <c r="P90" s="219"/>
      <c r="Q90" s="322" t="s">
        <v>24</v>
      </c>
      <c r="R90" s="251"/>
      <c r="S90" s="251"/>
      <c r="T90" s="251"/>
      <c r="U90" s="259" t="str">
        <f t="shared" si="2"/>
        <v>Invite Next Year</v>
      </c>
      <c r="V90" s="251"/>
      <c r="W90" s="219"/>
      <c r="X90" s="219"/>
      <c r="Y90" s="219"/>
      <c r="Z90" s="219"/>
      <c r="AA90" s="219"/>
      <c r="AB90" s="219"/>
      <c r="AC90" s="219"/>
      <c r="AD90" s="219"/>
    </row>
    <row r="91" spans="1:30" ht="15.75" hidden="1" customHeight="1">
      <c r="A91" s="253">
        <v>44791</v>
      </c>
      <c r="B91" s="224" t="s">
        <v>10524</v>
      </c>
      <c r="C91" s="316">
        <v>3</v>
      </c>
      <c r="D91" s="224" t="s">
        <v>9279</v>
      </c>
      <c r="E91" s="224" t="s">
        <v>3</v>
      </c>
      <c r="F91" s="224" t="s">
        <v>725</v>
      </c>
      <c r="G91" s="224" t="s">
        <v>10525</v>
      </c>
      <c r="H91" s="224">
        <v>3</v>
      </c>
      <c r="I91" s="224" t="s">
        <v>488</v>
      </c>
      <c r="J91" s="224" t="s">
        <v>10526</v>
      </c>
      <c r="K91" s="224">
        <v>3</v>
      </c>
      <c r="L91" s="224" t="s">
        <v>784</v>
      </c>
      <c r="M91" s="307">
        <v>500000</v>
      </c>
      <c r="N91" s="224" t="s">
        <v>452</v>
      </c>
      <c r="O91" s="224" t="s">
        <v>10527</v>
      </c>
      <c r="P91" s="224"/>
      <c r="Q91" s="322" t="s">
        <v>24</v>
      </c>
      <c r="R91" s="254"/>
      <c r="S91" s="254"/>
      <c r="T91" s="254"/>
      <c r="U91" s="259" t="str">
        <f t="shared" si="2"/>
        <v>Invite Next Year</v>
      </c>
      <c r="V91" s="254"/>
      <c r="W91" s="224"/>
      <c r="X91" s="224"/>
      <c r="Y91" s="224"/>
      <c r="Z91" s="224"/>
      <c r="AA91" s="224"/>
      <c r="AB91" s="224"/>
      <c r="AC91" s="224"/>
      <c r="AD91" s="224"/>
    </row>
    <row r="92" spans="1:30" ht="15.75" hidden="1" customHeight="1">
      <c r="A92" s="248">
        <v>44791</v>
      </c>
      <c r="B92" s="219" t="s">
        <v>8942</v>
      </c>
      <c r="C92" s="315">
        <v>3</v>
      </c>
      <c r="D92" s="219" t="s">
        <v>10913</v>
      </c>
      <c r="E92" s="219" t="s">
        <v>3</v>
      </c>
      <c r="F92" s="219" t="s">
        <v>460</v>
      </c>
      <c r="G92" s="219" t="s">
        <v>8946</v>
      </c>
      <c r="H92" s="219">
        <v>3</v>
      </c>
      <c r="I92" s="219" t="s">
        <v>462</v>
      </c>
      <c r="J92" s="219" t="s">
        <v>8947</v>
      </c>
      <c r="K92" s="219">
        <v>3</v>
      </c>
      <c r="L92" s="219"/>
      <c r="M92" s="219"/>
      <c r="N92" s="219" t="s">
        <v>454</v>
      </c>
      <c r="O92" s="219" t="s">
        <v>575</v>
      </c>
      <c r="P92" s="219" t="s">
        <v>8948</v>
      </c>
      <c r="Q92" s="322" t="s">
        <v>24</v>
      </c>
      <c r="R92" s="251"/>
      <c r="S92" s="251"/>
      <c r="T92" s="251"/>
      <c r="U92" s="259" t="str">
        <f t="shared" si="2"/>
        <v>Invite Next Year</v>
      </c>
      <c r="V92" s="251"/>
      <c r="W92" s="219"/>
      <c r="X92" s="219"/>
      <c r="Y92" s="219"/>
      <c r="Z92" s="219"/>
      <c r="AA92" s="219"/>
      <c r="AB92" s="219"/>
      <c r="AC92" s="219"/>
      <c r="AD92" s="219"/>
    </row>
    <row r="93" spans="1:30" ht="15.75" hidden="1" customHeight="1">
      <c r="A93" s="257">
        <v>44796</v>
      </c>
      <c r="B93" s="258" t="s">
        <v>8695</v>
      </c>
      <c r="C93" s="263">
        <v>3</v>
      </c>
      <c r="D93" s="258" t="s">
        <v>10373</v>
      </c>
      <c r="E93" s="258" t="s">
        <v>3</v>
      </c>
      <c r="F93" s="258" t="s">
        <v>488</v>
      </c>
      <c r="G93" s="258" t="s">
        <v>8699</v>
      </c>
      <c r="H93" s="258">
        <v>3</v>
      </c>
      <c r="I93" s="258" t="s">
        <v>941</v>
      </c>
      <c r="J93" s="258"/>
      <c r="K93" s="258">
        <v>3</v>
      </c>
      <c r="L93" s="258" t="s">
        <v>8700</v>
      </c>
      <c r="M93" s="258" t="s">
        <v>8701</v>
      </c>
      <c r="N93" s="258" t="s">
        <v>452</v>
      </c>
      <c r="O93" s="258" t="s">
        <v>452</v>
      </c>
      <c r="P93" s="258"/>
      <c r="Q93" s="258" t="s">
        <v>24</v>
      </c>
      <c r="R93" s="259" t="s">
        <v>11735</v>
      </c>
      <c r="S93" s="259"/>
      <c r="T93" s="259"/>
      <c r="U93" s="259" t="str">
        <f t="shared" si="2"/>
        <v>Invite Next Year</v>
      </c>
      <c r="V93" s="259"/>
      <c r="W93" s="258"/>
      <c r="X93" s="258"/>
      <c r="Y93" s="258"/>
      <c r="Z93" s="258"/>
      <c r="AA93" s="258"/>
      <c r="AB93" s="258"/>
      <c r="AC93" s="258"/>
      <c r="AD93" s="258"/>
    </row>
    <row r="94" spans="1:30" ht="15.75" hidden="1" customHeight="1">
      <c r="A94" s="255">
        <v>44796</v>
      </c>
      <c r="B94" s="239" t="s">
        <v>9051</v>
      </c>
      <c r="C94" s="262">
        <v>3</v>
      </c>
      <c r="D94" s="239" t="s">
        <v>9054</v>
      </c>
      <c r="E94" s="239" t="s">
        <v>3</v>
      </c>
      <c r="F94" s="239" t="s">
        <v>460</v>
      </c>
      <c r="G94" s="239" t="s">
        <v>10743</v>
      </c>
      <c r="H94" s="239">
        <v>3</v>
      </c>
      <c r="I94" s="239" t="s">
        <v>462</v>
      </c>
      <c r="J94" s="239" t="s">
        <v>9056</v>
      </c>
      <c r="K94" s="239">
        <v>3</v>
      </c>
      <c r="L94" s="239" t="s">
        <v>451</v>
      </c>
      <c r="M94" s="239">
        <v>1000000</v>
      </c>
      <c r="N94" s="239" t="s">
        <v>452</v>
      </c>
      <c r="O94" s="239" t="s">
        <v>9057</v>
      </c>
      <c r="P94" s="239"/>
      <c r="Q94" s="239" t="s">
        <v>24</v>
      </c>
      <c r="R94" s="256" t="s">
        <v>1477</v>
      </c>
      <c r="S94" s="256"/>
      <c r="T94" s="256"/>
      <c r="U94" s="259" t="str">
        <f t="shared" si="2"/>
        <v>Invite Next Year</v>
      </c>
      <c r="V94" s="256"/>
      <c r="W94" s="239"/>
      <c r="X94" s="239"/>
      <c r="Y94" s="239"/>
      <c r="Z94" s="239"/>
      <c r="AA94" s="239"/>
      <c r="AB94" s="239"/>
      <c r="AC94" s="239"/>
      <c r="AD94" s="239"/>
    </row>
    <row r="95" spans="1:30" ht="15.75" hidden="1" customHeight="1">
      <c r="A95" s="253">
        <v>44796</v>
      </c>
      <c r="B95" s="224" t="s">
        <v>8580</v>
      </c>
      <c r="C95" s="316">
        <v>3</v>
      </c>
      <c r="D95" s="224" t="s">
        <v>8583</v>
      </c>
      <c r="E95" s="224" t="s">
        <v>3</v>
      </c>
      <c r="F95" s="224" t="s">
        <v>488</v>
      </c>
      <c r="G95" s="224" t="s">
        <v>10824</v>
      </c>
      <c r="H95" s="224">
        <v>3</v>
      </c>
      <c r="I95" s="224" t="s">
        <v>462</v>
      </c>
      <c r="J95" s="224" t="s">
        <v>8585</v>
      </c>
      <c r="K95" s="224">
        <v>3</v>
      </c>
      <c r="L95" s="224" t="s">
        <v>1578</v>
      </c>
      <c r="M95" s="224" t="s">
        <v>6241</v>
      </c>
      <c r="N95" s="224" t="s">
        <v>452</v>
      </c>
      <c r="O95" s="224" t="s">
        <v>10825</v>
      </c>
      <c r="P95" s="224"/>
      <c r="Q95" s="224" t="s">
        <v>24</v>
      </c>
      <c r="R95" s="254"/>
      <c r="S95" s="254"/>
      <c r="T95" s="254"/>
      <c r="U95" s="259" t="str">
        <f t="shared" si="2"/>
        <v>Invite Next Year</v>
      </c>
      <c r="V95" s="254"/>
      <c r="W95" s="224"/>
      <c r="X95" s="224"/>
      <c r="Y95" s="224"/>
      <c r="Z95" s="224"/>
      <c r="AA95" s="224"/>
      <c r="AB95" s="224"/>
      <c r="AC95" s="224"/>
      <c r="AD95" s="224"/>
    </row>
    <row r="96" spans="1:30" ht="15.75" hidden="1" customHeight="1">
      <c r="A96" s="248">
        <v>44796</v>
      </c>
      <c r="B96" s="219" t="s">
        <v>8740</v>
      </c>
      <c r="C96" s="315">
        <v>3</v>
      </c>
      <c r="D96" s="219" t="s">
        <v>8743</v>
      </c>
      <c r="E96" s="219" t="s">
        <v>3</v>
      </c>
      <c r="F96" s="219" t="s">
        <v>488</v>
      </c>
      <c r="G96" s="219"/>
      <c r="H96" s="219">
        <v>3</v>
      </c>
      <c r="I96" s="219" t="s">
        <v>941</v>
      </c>
      <c r="J96" s="219" t="s">
        <v>8744</v>
      </c>
      <c r="K96" s="219">
        <v>3</v>
      </c>
      <c r="L96" s="219" t="s">
        <v>478</v>
      </c>
      <c r="M96" s="219">
        <v>500000</v>
      </c>
      <c r="N96" s="219" t="s">
        <v>452</v>
      </c>
      <c r="O96" s="219" t="s">
        <v>452</v>
      </c>
      <c r="P96" s="219"/>
      <c r="Q96" s="219" t="s">
        <v>24</v>
      </c>
      <c r="R96" s="251"/>
      <c r="S96" s="251"/>
      <c r="T96" s="251"/>
      <c r="U96" s="259" t="str">
        <f t="shared" si="2"/>
        <v>Invite Next Year</v>
      </c>
      <c r="V96" s="251"/>
      <c r="W96" s="219"/>
      <c r="X96" s="219"/>
      <c r="Y96" s="219"/>
      <c r="Z96" s="219"/>
      <c r="AA96" s="219"/>
      <c r="AB96" s="219"/>
      <c r="AC96" s="219"/>
      <c r="AD96" s="219"/>
    </row>
    <row r="97" spans="1:30" ht="15.75" hidden="1" customHeight="1">
      <c r="A97" s="253">
        <v>44796</v>
      </c>
      <c r="B97" s="224" t="s">
        <v>8334</v>
      </c>
      <c r="C97" s="316">
        <v>3</v>
      </c>
      <c r="D97" s="224"/>
      <c r="E97" s="224" t="s">
        <v>3</v>
      </c>
      <c r="F97" s="224" t="s">
        <v>488</v>
      </c>
      <c r="G97" s="224" t="s">
        <v>11359</v>
      </c>
      <c r="H97" s="224">
        <v>3</v>
      </c>
      <c r="I97" s="224" t="s">
        <v>941</v>
      </c>
      <c r="J97" s="224"/>
      <c r="K97" s="224">
        <v>3</v>
      </c>
      <c r="L97" s="224" t="s">
        <v>451</v>
      </c>
      <c r="M97" s="224">
        <v>2000000</v>
      </c>
      <c r="N97" s="224" t="s">
        <v>452</v>
      </c>
      <c r="O97" s="224" t="s">
        <v>8338</v>
      </c>
      <c r="P97" s="224"/>
      <c r="Q97" s="224" t="s">
        <v>24</v>
      </c>
      <c r="R97" s="254"/>
      <c r="S97" s="254"/>
      <c r="T97" s="254"/>
      <c r="U97" s="259" t="str">
        <f t="shared" si="2"/>
        <v>Invite Next Year</v>
      </c>
      <c r="V97" s="254"/>
      <c r="W97" s="224"/>
      <c r="X97" s="224"/>
      <c r="Y97" s="224"/>
      <c r="Z97" s="224"/>
      <c r="AA97" s="224"/>
      <c r="AB97" s="224"/>
      <c r="AC97" s="224"/>
      <c r="AD97" s="224"/>
    </row>
    <row r="98" spans="1:30" ht="15.75" hidden="1" customHeight="1">
      <c r="A98" s="248">
        <v>44797</v>
      </c>
      <c r="B98" s="219" t="s">
        <v>9105</v>
      </c>
      <c r="C98" s="315">
        <v>3</v>
      </c>
      <c r="D98" s="219" t="s">
        <v>11354</v>
      </c>
      <c r="E98" s="219" t="s">
        <v>3</v>
      </c>
      <c r="F98" s="219" t="s">
        <v>488</v>
      </c>
      <c r="G98" s="219" t="s">
        <v>9109</v>
      </c>
      <c r="H98" s="219">
        <v>3</v>
      </c>
      <c r="I98" s="219" t="s">
        <v>941</v>
      </c>
      <c r="J98" s="219" t="s">
        <v>9110</v>
      </c>
      <c r="K98" s="219">
        <v>3</v>
      </c>
      <c r="L98" s="219" t="s">
        <v>478</v>
      </c>
      <c r="M98" s="219" t="s">
        <v>3555</v>
      </c>
      <c r="N98" s="219" t="s">
        <v>452</v>
      </c>
      <c r="O98" s="219" t="s">
        <v>11355</v>
      </c>
      <c r="P98" s="219"/>
      <c r="Q98" s="219" t="s">
        <v>24</v>
      </c>
      <c r="R98" s="251"/>
      <c r="S98" s="251"/>
      <c r="T98" s="251"/>
      <c r="U98" s="259" t="str">
        <f t="shared" si="2"/>
        <v>Invite Next Year</v>
      </c>
      <c r="V98" s="251"/>
      <c r="W98" s="219"/>
      <c r="X98" s="219"/>
      <c r="Y98" s="219"/>
      <c r="Z98" s="219"/>
      <c r="AA98" s="219"/>
      <c r="AB98" s="219"/>
      <c r="AC98" s="219"/>
      <c r="AD98" s="219"/>
    </row>
    <row r="99" spans="1:30" ht="15.75" hidden="1" customHeight="1">
      <c r="A99" s="264">
        <v>44782</v>
      </c>
      <c r="B99" s="265" t="s">
        <v>8485</v>
      </c>
      <c r="C99" s="249">
        <v>2.75</v>
      </c>
      <c r="D99" s="265" t="s">
        <v>8488</v>
      </c>
      <c r="E99" s="250" t="s">
        <v>3</v>
      </c>
      <c r="F99" s="265" t="s">
        <v>460</v>
      </c>
      <c r="G99" s="265" t="s">
        <v>8489</v>
      </c>
      <c r="H99" s="265">
        <v>2.5</v>
      </c>
      <c r="I99" s="265" t="s">
        <v>462</v>
      </c>
      <c r="J99" s="265" t="s">
        <v>8490</v>
      </c>
      <c r="K99" s="265">
        <v>3</v>
      </c>
      <c r="L99" s="265" t="s">
        <v>451</v>
      </c>
      <c r="M99" s="265">
        <v>2500000</v>
      </c>
      <c r="N99" s="265" t="s">
        <v>452</v>
      </c>
      <c r="O99" s="265" t="s">
        <v>8491</v>
      </c>
      <c r="P99" s="265"/>
      <c r="Q99" s="265" t="s">
        <v>24</v>
      </c>
      <c r="R99" s="266" t="s">
        <v>11539</v>
      </c>
      <c r="S99" s="266"/>
      <c r="T99" s="266"/>
      <c r="U99" s="259" t="str">
        <f t="shared" si="2"/>
        <v>Invite Next Year</v>
      </c>
      <c r="V99" s="266"/>
      <c r="W99" s="265"/>
      <c r="X99" s="265"/>
      <c r="Y99" s="265"/>
      <c r="Z99" s="265"/>
      <c r="AA99" s="265"/>
      <c r="AB99" s="265"/>
      <c r="AC99" s="265"/>
      <c r="AD99" s="265"/>
    </row>
    <row r="100" spans="1:30" ht="15.75" hidden="1" customHeight="1">
      <c r="A100" s="248">
        <v>44789</v>
      </c>
      <c r="B100" s="219" t="s">
        <v>8422</v>
      </c>
      <c r="C100" s="249">
        <v>2.75</v>
      </c>
      <c r="D100" s="219" t="s">
        <v>8425</v>
      </c>
      <c r="E100" s="250" t="s">
        <v>3</v>
      </c>
      <c r="F100" s="219" t="s">
        <v>460</v>
      </c>
      <c r="G100" s="219" t="s">
        <v>8426</v>
      </c>
      <c r="H100" s="219">
        <v>2.5</v>
      </c>
      <c r="I100" s="219" t="s">
        <v>488</v>
      </c>
      <c r="J100" s="219"/>
      <c r="K100" s="219">
        <v>3</v>
      </c>
      <c r="L100" s="219" t="s">
        <v>451</v>
      </c>
      <c r="M100" s="312">
        <v>700000</v>
      </c>
      <c r="N100" s="219" t="s">
        <v>452</v>
      </c>
      <c r="O100" s="219" t="s">
        <v>8427</v>
      </c>
      <c r="P100" s="219" t="s">
        <v>8428</v>
      </c>
      <c r="Q100" s="219" t="s">
        <v>24</v>
      </c>
      <c r="R100" s="251"/>
      <c r="S100" s="251"/>
      <c r="T100" s="251"/>
      <c r="U100" s="259" t="str">
        <f t="shared" si="2"/>
        <v>Invite Next Year</v>
      </c>
      <c r="V100" s="251"/>
      <c r="W100" s="252"/>
      <c r="X100" s="252"/>
      <c r="Y100" s="252"/>
      <c r="Z100" s="219"/>
      <c r="AA100" s="219"/>
      <c r="AB100" s="219"/>
      <c r="AC100" s="219"/>
      <c r="AD100" s="219"/>
    </row>
    <row r="101" spans="1:30" ht="15.75" hidden="1" customHeight="1">
      <c r="A101" s="257">
        <v>44796</v>
      </c>
      <c r="B101" s="258" t="s">
        <v>8789</v>
      </c>
      <c r="C101" s="263">
        <v>2.75</v>
      </c>
      <c r="D101" s="258" t="s">
        <v>10844</v>
      </c>
      <c r="E101" s="258" t="s">
        <v>3</v>
      </c>
      <c r="F101" s="258" t="s">
        <v>460</v>
      </c>
      <c r="G101" s="258" t="s">
        <v>8793</v>
      </c>
      <c r="H101" s="258">
        <v>3</v>
      </c>
      <c r="I101" s="258" t="s">
        <v>941</v>
      </c>
      <c r="J101" s="258" t="s">
        <v>8794</v>
      </c>
      <c r="K101" s="258">
        <v>2.5</v>
      </c>
      <c r="L101" s="258" t="s">
        <v>451</v>
      </c>
      <c r="M101" s="258">
        <v>11000000</v>
      </c>
      <c r="N101" s="258" t="s">
        <v>452</v>
      </c>
      <c r="O101" s="258" t="s">
        <v>10845</v>
      </c>
      <c r="P101" s="258" t="s">
        <v>725</v>
      </c>
      <c r="Q101" s="258" t="s">
        <v>24</v>
      </c>
      <c r="R101" s="259"/>
      <c r="S101" s="259"/>
      <c r="T101" s="259"/>
      <c r="U101" s="259" t="str">
        <f t="shared" si="2"/>
        <v>Invite Next Year</v>
      </c>
      <c r="V101" s="259"/>
      <c r="W101" s="258"/>
      <c r="X101" s="258"/>
      <c r="Y101" s="258"/>
      <c r="Z101" s="258"/>
      <c r="AA101" s="258"/>
      <c r="AB101" s="258"/>
      <c r="AC101" s="258"/>
      <c r="AD101" s="258"/>
    </row>
    <row r="102" spans="1:30" ht="15.75" hidden="1" customHeight="1">
      <c r="A102" s="248">
        <v>44796</v>
      </c>
      <c r="B102" s="219" t="s">
        <v>8313</v>
      </c>
      <c r="C102" s="315">
        <v>2.75</v>
      </c>
      <c r="D102" s="219"/>
      <c r="E102" s="219" t="s">
        <v>3</v>
      </c>
      <c r="F102" s="219" t="s">
        <v>488</v>
      </c>
      <c r="G102" s="219" t="s">
        <v>11295</v>
      </c>
      <c r="H102" s="219">
        <v>3</v>
      </c>
      <c r="I102" s="219" t="s">
        <v>941</v>
      </c>
      <c r="J102" s="219" t="s">
        <v>8317</v>
      </c>
      <c r="K102" s="219">
        <v>2.5</v>
      </c>
      <c r="L102" s="219" t="s">
        <v>8318</v>
      </c>
      <c r="M102" s="219">
        <v>50000</v>
      </c>
      <c r="N102" s="219" t="s">
        <v>452</v>
      </c>
      <c r="O102" s="219" t="s">
        <v>8319</v>
      </c>
      <c r="P102" s="219" t="s">
        <v>8320</v>
      </c>
      <c r="Q102" s="219" t="s">
        <v>24</v>
      </c>
      <c r="R102" s="251"/>
      <c r="S102" s="251"/>
      <c r="T102" s="251"/>
      <c r="U102" s="259" t="str">
        <f t="shared" si="2"/>
        <v>Invite Next Year</v>
      </c>
      <c r="V102" s="251"/>
      <c r="W102" s="219"/>
      <c r="X102" s="219"/>
      <c r="Y102" s="219"/>
      <c r="Z102" s="219"/>
      <c r="AA102" s="219"/>
      <c r="AB102" s="219"/>
      <c r="AC102" s="219"/>
      <c r="AD102" s="219"/>
    </row>
    <row r="103" spans="1:30" ht="15.75" hidden="1" customHeight="1">
      <c r="A103" s="253">
        <v>44796</v>
      </c>
      <c r="B103" s="224" t="s">
        <v>8396</v>
      </c>
      <c r="C103" s="316">
        <v>2.75</v>
      </c>
      <c r="D103" s="224"/>
      <c r="E103" s="224" t="s">
        <v>3</v>
      </c>
      <c r="F103" s="224" t="s">
        <v>488</v>
      </c>
      <c r="G103" s="224" t="s">
        <v>8399</v>
      </c>
      <c r="H103" s="224">
        <v>2.5</v>
      </c>
      <c r="I103" s="224" t="s">
        <v>941</v>
      </c>
      <c r="J103" s="224" t="s">
        <v>8400</v>
      </c>
      <c r="K103" s="224">
        <v>3</v>
      </c>
      <c r="L103" s="224" t="s">
        <v>2152</v>
      </c>
      <c r="M103" s="224" t="s">
        <v>8401</v>
      </c>
      <c r="N103" s="224" t="s">
        <v>452</v>
      </c>
      <c r="O103" s="224" t="s">
        <v>8402</v>
      </c>
      <c r="P103" s="224"/>
      <c r="Q103" s="224" t="s">
        <v>24</v>
      </c>
      <c r="R103" s="254"/>
      <c r="S103" s="254"/>
      <c r="T103" s="254"/>
      <c r="U103" s="259" t="str">
        <f t="shared" si="2"/>
        <v>Invite Next Year</v>
      </c>
      <c r="V103" s="254"/>
      <c r="W103" s="224"/>
      <c r="X103" s="224"/>
      <c r="Y103" s="224"/>
      <c r="Z103" s="224"/>
      <c r="AA103" s="224"/>
      <c r="AB103" s="224"/>
      <c r="AC103" s="224"/>
      <c r="AD103" s="224"/>
    </row>
    <row r="104" spans="1:30" ht="15.75" hidden="1" customHeight="1">
      <c r="A104" s="257">
        <v>44782</v>
      </c>
      <c r="B104" s="258" t="s">
        <v>9285</v>
      </c>
      <c r="C104" s="249">
        <v>2.5</v>
      </c>
      <c r="D104" s="258" t="s">
        <v>9288</v>
      </c>
      <c r="E104" s="250" t="s">
        <v>3</v>
      </c>
      <c r="F104" s="258" t="s">
        <v>460</v>
      </c>
      <c r="G104" s="258" t="s">
        <v>9289</v>
      </c>
      <c r="H104" s="258">
        <v>2</v>
      </c>
      <c r="I104" s="258" t="s">
        <v>941</v>
      </c>
      <c r="J104" s="258"/>
      <c r="K104" s="258">
        <v>3</v>
      </c>
      <c r="L104" s="258" t="s">
        <v>784</v>
      </c>
      <c r="M104" s="258">
        <v>1600000</v>
      </c>
      <c r="N104" s="258" t="s">
        <v>452</v>
      </c>
      <c r="O104" s="258" t="s">
        <v>11414</v>
      </c>
      <c r="P104" s="258" t="s">
        <v>9291</v>
      </c>
      <c r="Q104" s="258" t="s">
        <v>24</v>
      </c>
      <c r="R104" s="259" t="s">
        <v>9292</v>
      </c>
      <c r="S104" s="259"/>
      <c r="T104" s="259"/>
      <c r="U104" s="259" t="str">
        <f t="shared" si="2"/>
        <v>Invite Next Year</v>
      </c>
      <c r="V104" s="259"/>
      <c r="W104" s="258"/>
      <c r="X104" s="258"/>
      <c r="Y104" s="258"/>
      <c r="Z104" s="258"/>
      <c r="AA104" s="258"/>
      <c r="AB104" s="258"/>
      <c r="AC104" s="258"/>
      <c r="AD104" s="258"/>
    </row>
    <row r="105" spans="1:30" ht="15.75" hidden="1" customHeight="1">
      <c r="A105" s="257">
        <v>44782</v>
      </c>
      <c r="B105" s="258" t="s">
        <v>9151</v>
      </c>
      <c r="C105" s="249">
        <v>2.5</v>
      </c>
      <c r="D105" s="258" t="s">
        <v>9154</v>
      </c>
      <c r="E105" s="250" t="s">
        <v>3</v>
      </c>
      <c r="F105" s="258" t="s">
        <v>460</v>
      </c>
      <c r="G105" s="258" t="s">
        <v>9155</v>
      </c>
      <c r="H105" s="258">
        <v>2</v>
      </c>
      <c r="I105" s="258" t="s">
        <v>488</v>
      </c>
      <c r="J105" s="258" t="s">
        <v>11428</v>
      </c>
      <c r="K105" s="258">
        <v>3</v>
      </c>
      <c r="L105" s="258" t="s">
        <v>973</v>
      </c>
      <c r="M105" s="258">
        <v>7500000</v>
      </c>
      <c r="N105" s="258" t="s">
        <v>452</v>
      </c>
      <c r="O105" s="258" t="s">
        <v>1119</v>
      </c>
      <c r="P105" s="258"/>
      <c r="Q105" s="258" t="s">
        <v>24</v>
      </c>
      <c r="R105" s="259" t="s">
        <v>9157</v>
      </c>
      <c r="S105" s="259"/>
      <c r="T105" s="259"/>
      <c r="U105" s="259" t="str">
        <f t="shared" si="2"/>
        <v>Invite Next Year</v>
      </c>
      <c r="V105" s="259"/>
      <c r="W105" s="258"/>
      <c r="X105" s="258"/>
      <c r="Y105" s="258"/>
      <c r="Z105" s="258"/>
      <c r="AA105" s="258"/>
      <c r="AB105" s="258"/>
      <c r="AC105" s="258"/>
      <c r="AD105" s="258"/>
    </row>
    <row r="106" spans="1:30" ht="15.75" hidden="1" customHeight="1">
      <c r="A106" s="280">
        <v>44784</v>
      </c>
      <c r="B106" s="281" t="s">
        <v>8877</v>
      </c>
      <c r="C106" s="282">
        <v>2.5</v>
      </c>
      <c r="D106" s="281" t="s">
        <v>10449</v>
      </c>
      <c r="E106" s="281" t="s">
        <v>3</v>
      </c>
      <c r="F106" s="281" t="s">
        <v>460</v>
      </c>
      <c r="G106" s="281" t="s">
        <v>8881</v>
      </c>
      <c r="H106" s="281">
        <v>3</v>
      </c>
      <c r="I106" s="281" t="s">
        <v>488</v>
      </c>
      <c r="J106" s="281" t="s">
        <v>8882</v>
      </c>
      <c r="K106" s="281">
        <v>2</v>
      </c>
      <c r="L106" s="281"/>
      <c r="M106" s="281"/>
      <c r="N106" s="281" t="s">
        <v>465</v>
      </c>
      <c r="O106" s="281" t="s">
        <v>8883</v>
      </c>
      <c r="P106" s="281"/>
      <c r="Q106" s="281" t="s">
        <v>24</v>
      </c>
      <c r="R106" s="283" t="s">
        <v>8884</v>
      </c>
      <c r="S106" s="283"/>
      <c r="T106" s="283"/>
      <c r="U106" s="259" t="str">
        <f t="shared" si="2"/>
        <v>Invite Next Year</v>
      </c>
      <c r="V106" s="283"/>
      <c r="W106" s="281"/>
      <c r="X106" s="281"/>
      <c r="Y106" s="281"/>
      <c r="Z106" s="281"/>
      <c r="AA106" s="281"/>
      <c r="AB106" s="258"/>
      <c r="AC106" s="258"/>
      <c r="AD106" s="258"/>
    </row>
    <row r="107" spans="1:30" ht="15.75" hidden="1" customHeight="1">
      <c r="A107" s="280">
        <v>44784</v>
      </c>
      <c r="B107" s="281" t="s">
        <v>8439</v>
      </c>
      <c r="C107" s="282">
        <v>2.5</v>
      </c>
      <c r="D107" s="281" t="s">
        <v>8442</v>
      </c>
      <c r="E107" s="281" t="s">
        <v>3</v>
      </c>
      <c r="F107" s="281" t="s">
        <v>460</v>
      </c>
      <c r="G107" s="281" t="s">
        <v>8443</v>
      </c>
      <c r="H107" s="281">
        <v>2</v>
      </c>
      <c r="I107" s="281" t="s">
        <v>462</v>
      </c>
      <c r="J107" s="281" t="s">
        <v>8444</v>
      </c>
      <c r="K107" s="281">
        <v>3</v>
      </c>
      <c r="L107" s="281" t="s">
        <v>923</v>
      </c>
      <c r="M107" s="288">
        <v>5000000</v>
      </c>
      <c r="N107" s="281" t="s">
        <v>454</v>
      </c>
      <c r="O107" s="288" t="s">
        <v>8445</v>
      </c>
      <c r="P107" s="281"/>
      <c r="Q107" s="281" t="s">
        <v>24</v>
      </c>
      <c r="R107" s="283" t="s">
        <v>8446</v>
      </c>
      <c r="S107" s="283"/>
      <c r="T107" s="283"/>
      <c r="U107" s="259" t="str">
        <f t="shared" si="2"/>
        <v>Invite Next Year</v>
      </c>
      <c r="V107" s="283"/>
      <c r="W107" s="281"/>
      <c r="X107" s="281"/>
      <c r="Y107" s="281"/>
      <c r="Z107" s="281"/>
      <c r="AA107" s="281"/>
      <c r="AB107" s="258"/>
      <c r="AC107" s="258"/>
      <c r="AD107" s="258"/>
    </row>
    <row r="108" spans="1:30" ht="15.75" hidden="1" customHeight="1">
      <c r="A108" s="267">
        <v>44784</v>
      </c>
      <c r="B108" s="268" t="s">
        <v>8323</v>
      </c>
      <c r="C108" s="269">
        <v>2.5</v>
      </c>
      <c r="D108" s="268" t="s">
        <v>8326</v>
      </c>
      <c r="E108" s="270" t="s">
        <v>3</v>
      </c>
      <c r="F108" s="268" t="s">
        <v>460</v>
      </c>
      <c r="G108" s="268" t="s">
        <v>8327</v>
      </c>
      <c r="H108" s="268">
        <v>2</v>
      </c>
      <c r="I108" s="268" t="s">
        <v>488</v>
      </c>
      <c r="J108" s="268" t="s">
        <v>8328</v>
      </c>
      <c r="K108" s="268">
        <v>3</v>
      </c>
      <c r="L108" s="268" t="s">
        <v>784</v>
      </c>
      <c r="M108" s="268" t="s">
        <v>8329</v>
      </c>
      <c r="N108" s="268" t="s">
        <v>452</v>
      </c>
      <c r="O108" s="268" t="s">
        <v>8330</v>
      </c>
      <c r="P108" s="268" t="s">
        <v>8331</v>
      </c>
      <c r="Q108" s="268" t="s">
        <v>24</v>
      </c>
      <c r="R108" s="271"/>
      <c r="S108" s="271"/>
      <c r="T108" s="271"/>
      <c r="U108" s="259" t="str">
        <f t="shared" si="2"/>
        <v>Invite Next Year</v>
      </c>
      <c r="V108" s="271"/>
      <c r="W108" s="268"/>
      <c r="X108" s="268"/>
      <c r="Y108" s="268"/>
      <c r="Z108" s="268"/>
      <c r="AA108" s="268"/>
      <c r="AB108" s="219"/>
      <c r="AC108" s="219"/>
      <c r="AD108" s="219"/>
    </row>
    <row r="109" spans="1:30" ht="15.75" hidden="1" customHeight="1">
      <c r="A109" s="253">
        <v>44789</v>
      </c>
      <c r="B109" s="224" t="s">
        <v>10435</v>
      </c>
      <c r="C109" s="249">
        <v>2.5</v>
      </c>
      <c r="D109" s="224" t="s">
        <v>8371</v>
      </c>
      <c r="E109" s="250" t="s">
        <v>3</v>
      </c>
      <c r="F109" s="224" t="s">
        <v>460</v>
      </c>
      <c r="G109" s="224" t="s">
        <v>8372</v>
      </c>
      <c r="H109" s="224">
        <v>2</v>
      </c>
      <c r="I109" s="224" t="s">
        <v>488</v>
      </c>
      <c r="J109" s="224" t="s">
        <v>10436</v>
      </c>
      <c r="K109" s="224">
        <v>3</v>
      </c>
      <c r="L109" s="224" t="s">
        <v>451</v>
      </c>
      <c r="M109" s="224" t="s">
        <v>8374</v>
      </c>
      <c r="N109" s="224" t="s">
        <v>452</v>
      </c>
      <c r="O109" s="224" t="s">
        <v>575</v>
      </c>
      <c r="P109" s="224"/>
      <c r="Q109" s="224" t="s">
        <v>24</v>
      </c>
      <c r="R109" s="254"/>
      <c r="S109" s="254"/>
      <c r="T109" s="254"/>
      <c r="U109" s="259" t="str">
        <f t="shared" si="2"/>
        <v>Invite Next Year</v>
      </c>
      <c r="V109" s="254"/>
      <c r="W109" s="252"/>
      <c r="X109" s="252"/>
      <c r="Y109" s="252"/>
      <c r="Z109" s="224"/>
      <c r="AA109" s="224"/>
      <c r="AB109" s="224"/>
      <c r="AC109" s="224"/>
      <c r="AD109" s="224"/>
    </row>
    <row r="110" spans="1:30" ht="15.75" hidden="1" customHeight="1">
      <c r="A110" s="248">
        <v>44789</v>
      </c>
      <c r="B110" s="219" t="s">
        <v>8798</v>
      </c>
      <c r="C110" s="249">
        <v>2.5</v>
      </c>
      <c r="D110" s="219" t="s">
        <v>8801</v>
      </c>
      <c r="E110" s="250" t="s">
        <v>3</v>
      </c>
      <c r="F110" s="219" t="s">
        <v>460</v>
      </c>
      <c r="G110" s="219" t="s">
        <v>8802</v>
      </c>
      <c r="H110" s="219">
        <v>3</v>
      </c>
      <c r="I110" s="219" t="s">
        <v>941</v>
      </c>
      <c r="J110" s="219" t="s">
        <v>8803</v>
      </c>
      <c r="K110" s="219">
        <v>2</v>
      </c>
      <c r="L110" s="219"/>
      <c r="M110" s="219"/>
      <c r="N110" s="219" t="s">
        <v>465</v>
      </c>
      <c r="O110" s="219" t="s">
        <v>10919</v>
      </c>
      <c r="P110" s="219"/>
      <c r="Q110" s="219" t="s">
        <v>24</v>
      </c>
      <c r="R110" s="251"/>
      <c r="S110" s="251"/>
      <c r="T110" s="251"/>
      <c r="U110" s="259" t="str">
        <f t="shared" si="2"/>
        <v>Invite Next Year</v>
      </c>
      <c r="V110" s="251"/>
      <c r="W110" s="252"/>
      <c r="X110" s="252"/>
      <c r="Y110" s="252"/>
      <c r="Z110" s="219"/>
      <c r="AA110" s="219"/>
      <c r="AB110" s="219"/>
      <c r="AC110" s="219"/>
      <c r="AD110" s="219"/>
    </row>
    <row r="111" spans="1:30" ht="15.75" hidden="1" customHeight="1">
      <c r="A111" s="253">
        <v>44789</v>
      </c>
      <c r="B111" s="224" t="s">
        <v>9114</v>
      </c>
      <c r="C111" s="249">
        <v>2.5</v>
      </c>
      <c r="D111" s="224"/>
      <c r="E111" s="250" t="s">
        <v>3</v>
      </c>
      <c r="F111" s="224" t="s">
        <v>488</v>
      </c>
      <c r="G111" s="224" t="s">
        <v>11319</v>
      </c>
      <c r="H111" s="224">
        <v>3</v>
      </c>
      <c r="I111" s="224" t="s">
        <v>941</v>
      </c>
      <c r="J111" s="224" t="s">
        <v>9118</v>
      </c>
      <c r="K111" s="224">
        <v>2</v>
      </c>
      <c r="L111" s="224" t="s">
        <v>2190</v>
      </c>
      <c r="M111" s="224" t="s">
        <v>9119</v>
      </c>
      <c r="N111" s="224" t="s">
        <v>452</v>
      </c>
      <c r="O111" s="224" t="s">
        <v>9120</v>
      </c>
      <c r="P111" s="224" t="s">
        <v>9121</v>
      </c>
      <c r="Q111" s="224" t="s">
        <v>24</v>
      </c>
      <c r="R111" s="254"/>
      <c r="S111" s="254"/>
      <c r="T111" s="254"/>
      <c r="U111" s="259" t="str">
        <f t="shared" si="2"/>
        <v>Invite Next Year</v>
      </c>
      <c r="V111" s="254"/>
      <c r="W111" s="252"/>
      <c r="X111" s="252"/>
      <c r="Y111" s="252"/>
      <c r="Z111" s="224"/>
      <c r="AA111" s="224"/>
      <c r="AB111" s="224"/>
      <c r="AC111" s="224"/>
      <c r="AD111" s="224"/>
    </row>
    <row r="112" spans="1:30" ht="15.75" hidden="1" customHeight="1">
      <c r="A112" s="248">
        <v>44791</v>
      </c>
      <c r="B112" s="219" t="s">
        <v>8747</v>
      </c>
      <c r="C112" s="315">
        <v>2.5</v>
      </c>
      <c r="D112" s="219" t="s">
        <v>8750</v>
      </c>
      <c r="E112" s="219" t="s">
        <v>3</v>
      </c>
      <c r="F112" s="219" t="s">
        <v>460</v>
      </c>
      <c r="G112" s="219" t="s">
        <v>8751</v>
      </c>
      <c r="H112" s="219">
        <v>2</v>
      </c>
      <c r="I112" s="219" t="s">
        <v>941</v>
      </c>
      <c r="J112" s="219" t="s">
        <v>8752</v>
      </c>
      <c r="K112" s="219">
        <v>3</v>
      </c>
      <c r="L112" s="219" t="s">
        <v>451</v>
      </c>
      <c r="M112" s="312">
        <v>2000000</v>
      </c>
      <c r="N112" s="219" t="s">
        <v>452</v>
      </c>
      <c r="O112" s="219" t="s">
        <v>10245</v>
      </c>
      <c r="P112" s="219"/>
      <c r="Q112" s="322" t="s">
        <v>24</v>
      </c>
      <c r="R112" s="251"/>
      <c r="S112" s="251"/>
      <c r="T112" s="251"/>
      <c r="U112" s="259" t="str">
        <f t="shared" si="2"/>
        <v>Invite Next Year</v>
      </c>
      <c r="V112" s="251"/>
      <c r="W112" s="219"/>
      <c r="X112" s="219"/>
      <c r="Y112" s="219"/>
      <c r="Z112" s="219"/>
      <c r="AA112" s="219"/>
      <c r="AB112" s="219"/>
      <c r="AC112" s="219"/>
      <c r="AD112" s="219"/>
    </row>
    <row r="113" spans="1:30" ht="15.75" hidden="1" customHeight="1">
      <c r="A113" s="253">
        <v>44791</v>
      </c>
      <c r="B113" s="224" t="s">
        <v>8526</v>
      </c>
      <c r="C113" s="316">
        <v>2.5</v>
      </c>
      <c r="D113" s="224" t="s">
        <v>8529</v>
      </c>
      <c r="E113" s="224" t="s">
        <v>3</v>
      </c>
      <c r="F113" s="224" t="s">
        <v>725</v>
      </c>
      <c r="G113" s="224" t="s">
        <v>10550</v>
      </c>
      <c r="H113" s="224">
        <v>3</v>
      </c>
      <c r="I113" s="224" t="s">
        <v>941</v>
      </c>
      <c r="J113" s="224"/>
      <c r="K113" s="224">
        <v>2</v>
      </c>
      <c r="L113" s="224"/>
      <c r="M113" s="311"/>
      <c r="N113" s="224" t="s">
        <v>452</v>
      </c>
      <c r="O113" s="224" t="s">
        <v>452</v>
      </c>
      <c r="P113" s="224"/>
      <c r="Q113" s="322" t="s">
        <v>24</v>
      </c>
      <c r="R113" s="254"/>
      <c r="S113" s="254"/>
      <c r="T113" s="254"/>
      <c r="U113" s="259" t="str">
        <f t="shared" si="2"/>
        <v>Invite Next Year</v>
      </c>
      <c r="V113" s="254"/>
      <c r="W113" s="224"/>
      <c r="X113" s="224"/>
      <c r="Y113" s="224"/>
      <c r="Z113" s="224"/>
      <c r="AA113" s="224"/>
      <c r="AB113" s="224"/>
      <c r="AC113" s="224"/>
      <c r="AD113" s="224"/>
    </row>
    <row r="114" spans="1:30" ht="15.75" hidden="1" customHeight="1">
      <c r="A114" s="248">
        <v>44796</v>
      </c>
      <c r="B114" s="219" t="s">
        <v>9060</v>
      </c>
      <c r="C114" s="315">
        <v>2.5</v>
      </c>
      <c r="D114" s="219" t="s">
        <v>10673</v>
      </c>
      <c r="E114" s="219" t="s">
        <v>3</v>
      </c>
      <c r="F114" s="219" t="s">
        <v>460</v>
      </c>
      <c r="G114" s="219" t="s">
        <v>9064</v>
      </c>
      <c r="H114" s="219">
        <v>3</v>
      </c>
      <c r="I114" s="219" t="s">
        <v>462</v>
      </c>
      <c r="J114" s="219" t="s">
        <v>9065</v>
      </c>
      <c r="K114" s="219">
        <v>2</v>
      </c>
      <c r="L114" s="219" t="s">
        <v>3138</v>
      </c>
      <c r="M114" s="219" t="s">
        <v>9066</v>
      </c>
      <c r="N114" s="219" t="s">
        <v>452</v>
      </c>
      <c r="O114" s="219" t="s">
        <v>10674</v>
      </c>
      <c r="P114" s="219"/>
      <c r="Q114" s="219" t="s">
        <v>24</v>
      </c>
      <c r="R114" s="251"/>
      <c r="S114" s="251"/>
      <c r="T114" s="251"/>
      <c r="U114" s="259" t="str">
        <f t="shared" si="2"/>
        <v>Invite Next Year</v>
      </c>
      <c r="V114" s="251"/>
      <c r="W114" s="219"/>
      <c r="X114" s="219"/>
      <c r="Y114" s="219"/>
      <c r="Z114" s="219"/>
      <c r="AA114" s="219"/>
      <c r="AB114" s="219"/>
      <c r="AC114" s="219"/>
      <c r="AD114" s="219"/>
    </row>
    <row r="115" spans="1:30" ht="15.75" hidden="1" customHeight="1">
      <c r="A115" s="253">
        <v>44796</v>
      </c>
      <c r="B115" s="224" t="s">
        <v>8607</v>
      </c>
      <c r="C115" s="316">
        <v>2.5</v>
      </c>
      <c r="D115" s="224" t="s">
        <v>8610</v>
      </c>
      <c r="E115" s="224" t="s">
        <v>3</v>
      </c>
      <c r="F115" s="224" t="s">
        <v>725</v>
      </c>
      <c r="G115" s="224" t="s">
        <v>11331</v>
      </c>
      <c r="H115" s="224">
        <v>3</v>
      </c>
      <c r="I115" s="224" t="s">
        <v>941</v>
      </c>
      <c r="J115" s="224" t="s">
        <v>8612</v>
      </c>
      <c r="K115" s="224">
        <v>2</v>
      </c>
      <c r="L115" s="224"/>
      <c r="M115" s="224"/>
      <c r="N115" s="224" t="s">
        <v>452</v>
      </c>
      <c r="O115" s="224" t="s">
        <v>8613</v>
      </c>
      <c r="P115" s="224" t="s">
        <v>8614</v>
      </c>
      <c r="Q115" s="224" t="s">
        <v>24</v>
      </c>
      <c r="R115" s="254"/>
      <c r="S115" s="254"/>
      <c r="T115" s="254"/>
      <c r="U115" s="259" t="str">
        <f t="shared" si="2"/>
        <v>Invite Next Year</v>
      </c>
      <c r="V115" s="254"/>
      <c r="W115" s="224"/>
      <c r="X115" s="224"/>
      <c r="Y115" s="224"/>
      <c r="Z115" s="224"/>
      <c r="AA115" s="224"/>
      <c r="AB115" s="224"/>
      <c r="AC115" s="224"/>
      <c r="AD115" s="224"/>
    </row>
    <row r="116" spans="1:30" ht="15.75" hidden="1" customHeight="1">
      <c r="A116" s="248">
        <v>44797</v>
      </c>
      <c r="B116" s="219" t="s">
        <v>8510</v>
      </c>
      <c r="C116" s="315">
        <v>2.5</v>
      </c>
      <c r="D116" s="219" t="s">
        <v>8513</v>
      </c>
      <c r="E116" s="219" t="s">
        <v>3</v>
      </c>
      <c r="F116" s="219" t="s">
        <v>725</v>
      </c>
      <c r="G116" s="219" t="s">
        <v>8514</v>
      </c>
      <c r="H116" s="219">
        <v>2</v>
      </c>
      <c r="I116" s="219" t="s">
        <v>941</v>
      </c>
      <c r="J116" s="219" t="s">
        <v>8515</v>
      </c>
      <c r="K116" s="219">
        <v>3</v>
      </c>
      <c r="L116" s="219"/>
      <c r="M116" s="219"/>
      <c r="N116" s="219" t="s">
        <v>452</v>
      </c>
      <c r="O116" s="219" t="s">
        <v>8516</v>
      </c>
      <c r="P116" s="219"/>
      <c r="Q116" s="219" t="s">
        <v>24</v>
      </c>
      <c r="R116" s="251"/>
      <c r="S116" s="251"/>
      <c r="T116" s="251"/>
      <c r="U116" s="259" t="str">
        <f t="shared" si="2"/>
        <v>Invite Next Year</v>
      </c>
      <c r="V116" s="251"/>
      <c r="W116" s="219"/>
      <c r="X116" s="219"/>
      <c r="Y116" s="219"/>
      <c r="Z116" s="219"/>
      <c r="AA116" s="219"/>
      <c r="AB116" s="219"/>
      <c r="AC116" s="219"/>
      <c r="AD116" s="219"/>
    </row>
    <row r="117" spans="1:30" ht="15.75" hidden="1" customHeight="1">
      <c r="A117" s="267">
        <v>44784</v>
      </c>
      <c r="B117" s="272" t="s">
        <v>8705</v>
      </c>
      <c r="C117" s="269">
        <v>2.25</v>
      </c>
      <c r="D117" s="272" t="s">
        <v>8708</v>
      </c>
      <c r="E117" s="270" t="s">
        <v>3</v>
      </c>
      <c r="F117" s="272" t="s">
        <v>460</v>
      </c>
      <c r="G117" s="272" t="s">
        <v>8709</v>
      </c>
      <c r="H117" s="272">
        <v>2.5</v>
      </c>
      <c r="I117" s="272" t="s">
        <v>488</v>
      </c>
      <c r="J117" s="272" t="s">
        <v>8710</v>
      </c>
      <c r="K117" s="272">
        <v>2</v>
      </c>
      <c r="L117" s="272" t="s">
        <v>451</v>
      </c>
      <c r="M117" s="284">
        <v>1800000</v>
      </c>
      <c r="N117" s="272" t="s">
        <v>452</v>
      </c>
      <c r="O117" s="284" t="s">
        <v>8711</v>
      </c>
      <c r="P117" s="272"/>
      <c r="Q117" s="272" t="s">
        <v>24</v>
      </c>
      <c r="R117" s="274"/>
      <c r="S117" s="274"/>
      <c r="T117" s="274"/>
      <c r="U117" s="259" t="str">
        <f t="shared" si="2"/>
        <v>Invite Next Year</v>
      </c>
      <c r="V117" s="274"/>
      <c r="W117" s="272"/>
      <c r="X117" s="272"/>
      <c r="Y117" s="272"/>
      <c r="Z117" s="272"/>
      <c r="AA117" s="272"/>
      <c r="AB117" s="224"/>
      <c r="AC117" s="224"/>
      <c r="AD117" s="224"/>
    </row>
    <row r="118" spans="1:30" ht="15.75" hidden="1" customHeight="1">
      <c r="A118" s="248">
        <v>44789</v>
      </c>
      <c r="B118" s="219" t="s">
        <v>9177</v>
      </c>
      <c r="C118" s="249">
        <v>2.25</v>
      </c>
      <c r="D118" s="219" t="s">
        <v>9180</v>
      </c>
      <c r="E118" s="250" t="s">
        <v>3</v>
      </c>
      <c r="F118" s="219" t="s">
        <v>488</v>
      </c>
      <c r="G118" s="219" t="s">
        <v>9181</v>
      </c>
      <c r="H118" s="219">
        <v>2.5</v>
      </c>
      <c r="I118" s="219" t="s">
        <v>941</v>
      </c>
      <c r="J118" s="219"/>
      <c r="K118" s="219">
        <v>2</v>
      </c>
      <c r="L118" s="219" t="s">
        <v>923</v>
      </c>
      <c r="M118" s="312">
        <v>1000000</v>
      </c>
      <c r="N118" s="219" t="s">
        <v>452</v>
      </c>
      <c r="O118" s="219" t="s">
        <v>9182</v>
      </c>
      <c r="P118" s="219" t="s">
        <v>9183</v>
      </c>
      <c r="Q118" s="219" t="s">
        <v>24</v>
      </c>
      <c r="R118" s="251"/>
      <c r="S118" s="251"/>
      <c r="T118" s="251"/>
      <c r="U118" s="259" t="str">
        <f t="shared" si="2"/>
        <v>Invite Next Year</v>
      </c>
      <c r="V118" s="251"/>
      <c r="W118" s="252"/>
      <c r="X118" s="252"/>
      <c r="Y118" s="252"/>
      <c r="Z118" s="219"/>
      <c r="AA118" s="219"/>
      <c r="AB118" s="219"/>
      <c r="AC118" s="219"/>
      <c r="AD118" s="219"/>
    </row>
    <row r="119" spans="1:30" ht="15.75" hidden="1" customHeight="1">
      <c r="A119" s="253">
        <v>44796</v>
      </c>
      <c r="B119" s="224" t="s">
        <v>9022</v>
      </c>
      <c r="C119" s="316">
        <v>2.25</v>
      </c>
      <c r="D119" s="224" t="s">
        <v>10670</v>
      </c>
      <c r="E119" s="224" t="s">
        <v>3</v>
      </c>
      <c r="F119" s="224" t="s">
        <v>460</v>
      </c>
      <c r="G119" s="224" t="s">
        <v>9026</v>
      </c>
      <c r="H119" s="224">
        <v>2</v>
      </c>
      <c r="I119" s="224" t="s">
        <v>462</v>
      </c>
      <c r="J119" s="224" t="s">
        <v>9027</v>
      </c>
      <c r="K119" s="224">
        <v>2.5</v>
      </c>
      <c r="L119" s="224" t="s">
        <v>784</v>
      </c>
      <c r="M119" s="224" t="s">
        <v>9028</v>
      </c>
      <c r="N119" s="224" t="s">
        <v>452</v>
      </c>
      <c r="O119" s="224" t="s">
        <v>9029</v>
      </c>
      <c r="P119" s="224"/>
      <c r="Q119" s="224" t="s">
        <v>24</v>
      </c>
      <c r="R119" s="254"/>
      <c r="S119" s="254"/>
      <c r="T119" s="254"/>
      <c r="U119" s="259" t="str">
        <f t="shared" si="2"/>
        <v>Invite Next Year</v>
      </c>
      <c r="V119" s="254"/>
      <c r="W119" s="224"/>
      <c r="X119" s="224"/>
      <c r="Y119" s="224"/>
      <c r="Z119" s="224"/>
      <c r="AA119" s="224"/>
      <c r="AB119" s="224"/>
      <c r="AC119" s="224"/>
      <c r="AD119" s="224"/>
    </row>
    <row r="120" spans="1:30" ht="15.75" hidden="1" customHeight="1">
      <c r="A120" s="248">
        <v>44796</v>
      </c>
      <c r="B120" s="219" t="s">
        <v>8988</v>
      </c>
      <c r="C120" s="315">
        <v>2.25</v>
      </c>
      <c r="D120" s="219"/>
      <c r="E120" s="219" t="s">
        <v>3</v>
      </c>
      <c r="F120" s="219" t="s">
        <v>488</v>
      </c>
      <c r="G120" s="219" t="s">
        <v>8991</v>
      </c>
      <c r="H120" s="219">
        <v>2.5</v>
      </c>
      <c r="I120" s="219" t="s">
        <v>941</v>
      </c>
      <c r="J120" s="219" t="s">
        <v>8992</v>
      </c>
      <c r="K120" s="219">
        <v>2</v>
      </c>
      <c r="L120" s="219" t="s">
        <v>8993</v>
      </c>
      <c r="M120" s="219">
        <v>150000</v>
      </c>
      <c r="N120" s="219" t="s">
        <v>452</v>
      </c>
      <c r="O120" s="219" t="s">
        <v>8994</v>
      </c>
      <c r="P120" s="219"/>
      <c r="Q120" s="219" t="s">
        <v>24</v>
      </c>
      <c r="R120" s="251"/>
      <c r="S120" s="251"/>
      <c r="T120" s="251"/>
      <c r="U120" s="259" t="str">
        <f t="shared" si="2"/>
        <v>Invite Next Year</v>
      </c>
      <c r="V120" s="251"/>
      <c r="W120" s="219"/>
      <c r="X120" s="219"/>
      <c r="Y120" s="219"/>
      <c r="Z120" s="219"/>
      <c r="AA120" s="219"/>
      <c r="AB120" s="219"/>
      <c r="AC120" s="219"/>
      <c r="AD120" s="219"/>
    </row>
    <row r="121" spans="1:30" ht="15.75" hidden="1" customHeight="1">
      <c r="A121" s="220">
        <v>44776</v>
      </c>
      <c r="B121" s="221" t="s">
        <v>8887</v>
      </c>
      <c r="C121" s="214">
        <v>2</v>
      </c>
      <c r="D121" s="221" t="s">
        <v>10629</v>
      </c>
      <c r="E121" s="215" t="s">
        <v>3</v>
      </c>
      <c r="F121" s="221" t="s">
        <v>460</v>
      </c>
      <c r="G121" s="221" t="s">
        <v>8891</v>
      </c>
      <c r="H121" s="221">
        <v>2</v>
      </c>
      <c r="I121" s="221" t="s">
        <v>488</v>
      </c>
      <c r="J121" s="221"/>
      <c r="K121" s="221">
        <v>2</v>
      </c>
      <c r="L121" s="221" t="s">
        <v>451</v>
      </c>
      <c r="M121" s="221">
        <v>2500000</v>
      </c>
      <c r="N121" s="221" t="s">
        <v>452</v>
      </c>
      <c r="O121" s="221" t="s">
        <v>10630</v>
      </c>
      <c r="P121" s="145"/>
      <c r="Q121" s="221" t="s">
        <v>24</v>
      </c>
      <c r="R121" s="223" t="str">
        <f t="array" ref="R121">INDEX(Notes!C:C,MATCH($B121,Notes!$A:$A,0))</f>
        <v>Tarek Ali</v>
      </c>
      <c r="S121" s="223"/>
      <c r="T121" s="223"/>
      <c r="U121" s="259" t="str">
        <f t="shared" si="2"/>
        <v>Invite Next Year</v>
      </c>
      <c r="V121" s="223"/>
      <c r="W121" s="218"/>
      <c r="X121" s="218"/>
      <c r="Y121" s="218"/>
      <c r="Z121" s="224"/>
      <c r="AA121" s="224"/>
      <c r="AB121" s="224"/>
      <c r="AC121" s="224"/>
      <c r="AD121" s="224"/>
    </row>
    <row r="122" spans="1:30" ht="15.75" hidden="1" customHeight="1">
      <c r="A122" s="257">
        <v>44782</v>
      </c>
      <c r="B122" s="213" t="s">
        <v>8551</v>
      </c>
      <c r="C122" s="249">
        <v>2</v>
      </c>
      <c r="D122" s="258" t="s">
        <v>8554</v>
      </c>
      <c r="E122" s="250" t="s">
        <v>3</v>
      </c>
      <c r="F122" s="258" t="s">
        <v>460</v>
      </c>
      <c r="G122" s="258" t="s">
        <v>8555</v>
      </c>
      <c r="H122" s="258">
        <v>2</v>
      </c>
      <c r="I122" s="258" t="s">
        <v>462</v>
      </c>
      <c r="J122" s="258" t="s">
        <v>8556</v>
      </c>
      <c r="K122" s="258">
        <v>2</v>
      </c>
      <c r="L122" s="258"/>
      <c r="M122" s="258"/>
      <c r="N122" s="258" t="s">
        <v>452</v>
      </c>
      <c r="O122" s="258" t="s">
        <v>8557</v>
      </c>
      <c r="P122" s="258" t="s">
        <v>8558</v>
      </c>
      <c r="Q122" s="228" t="s">
        <v>24</v>
      </c>
      <c r="R122" s="259" t="s">
        <v>8559</v>
      </c>
      <c r="S122" s="259"/>
      <c r="T122" s="259"/>
      <c r="U122" s="259" t="str">
        <f t="shared" si="2"/>
        <v>Invite Next Year</v>
      </c>
      <c r="V122" s="259"/>
      <c r="W122" s="258"/>
      <c r="X122" s="258"/>
      <c r="Y122" s="258"/>
      <c r="Z122" s="258"/>
      <c r="AA122" s="258"/>
      <c r="AB122" s="258"/>
      <c r="AC122" s="258"/>
      <c r="AD122" s="258"/>
    </row>
    <row r="123" spans="1:30" ht="15.75" hidden="1" customHeight="1">
      <c r="A123" s="267">
        <v>44784</v>
      </c>
      <c r="B123" s="272" t="s">
        <v>8680</v>
      </c>
      <c r="C123" s="269">
        <v>2</v>
      </c>
      <c r="D123" s="272" t="s">
        <v>11136</v>
      </c>
      <c r="E123" s="270" t="s">
        <v>3</v>
      </c>
      <c r="F123" s="272" t="s">
        <v>488</v>
      </c>
      <c r="G123" s="272" t="s">
        <v>11137</v>
      </c>
      <c r="H123" s="272">
        <v>2</v>
      </c>
      <c r="I123" s="272" t="s">
        <v>941</v>
      </c>
      <c r="J123" s="272"/>
      <c r="K123" s="272">
        <v>2</v>
      </c>
      <c r="L123" s="272"/>
      <c r="M123" s="272"/>
      <c r="N123" s="272" t="s">
        <v>454</v>
      </c>
      <c r="O123" s="272" t="s">
        <v>8685</v>
      </c>
      <c r="P123" s="272"/>
      <c r="Q123" s="272" t="s">
        <v>24</v>
      </c>
      <c r="R123" s="274"/>
      <c r="S123" s="274"/>
      <c r="T123" s="274"/>
      <c r="U123" s="259" t="str">
        <f t="shared" si="2"/>
        <v>Invite Next Year</v>
      </c>
      <c r="V123" s="274"/>
      <c r="W123" s="272"/>
      <c r="X123" s="272"/>
      <c r="Y123" s="272"/>
      <c r="Z123" s="272"/>
      <c r="AA123" s="272"/>
      <c r="AB123" s="224"/>
      <c r="AC123" s="224"/>
      <c r="AD123" s="224"/>
    </row>
    <row r="124" spans="1:30" ht="15.75" hidden="1" customHeight="1">
      <c r="A124" s="267">
        <v>44784</v>
      </c>
      <c r="B124" s="268" t="s">
        <v>9079</v>
      </c>
      <c r="C124" s="269">
        <v>2</v>
      </c>
      <c r="D124" s="268" t="s">
        <v>9082</v>
      </c>
      <c r="E124" s="270" t="s">
        <v>3</v>
      </c>
      <c r="F124" s="268" t="s">
        <v>460</v>
      </c>
      <c r="G124" s="268" t="s">
        <v>9083</v>
      </c>
      <c r="H124" s="268">
        <v>2</v>
      </c>
      <c r="I124" s="268" t="s">
        <v>941</v>
      </c>
      <c r="J124" s="268" t="s">
        <v>9084</v>
      </c>
      <c r="K124" s="268">
        <v>2</v>
      </c>
      <c r="L124" s="268"/>
      <c r="M124" s="268"/>
      <c r="N124" s="268" t="s">
        <v>452</v>
      </c>
      <c r="O124" s="268" t="s">
        <v>9085</v>
      </c>
      <c r="P124" s="268"/>
      <c r="Q124" s="268" t="s">
        <v>24</v>
      </c>
      <c r="R124" s="271"/>
      <c r="S124" s="271"/>
      <c r="T124" s="271"/>
      <c r="U124" s="259" t="str">
        <f t="shared" si="2"/>
        <v>Invite Next Year</v>
      </c>
      <c r="V124" s="271"/>
      <c r="W124" s="268"/>
      <c r="X124" s="268"/>
      <c r="Y124" s="268"/>
      <c r="Z124" s="268"/>
      <c r="AA124" s="268"/>
      <c r="AB124" s="219"/>
      <c r="AC124" s="219"/>
      <c r="AD124" s="219"/>
    </row>
    <row r="125" spans="1:30" ht="15.75" hidden="1" customHeight="1">
      <c r="A125" s="267">
        <v>44784</v>
      </c>
      <c r="B125" s="272" t="s">
        <v>8823</v>
      </c>
      <c r="C125" s="269">
        <v>2</v>
      </c>
      <c r="D125" s="272" t="s">
        <v>8826</v>
      </c>
      <c r="E125" s="270" t="s">
        <v>3</v>
      </c>
      <c r="F125" s="272" t="s">
        <v>460</v>
      </c>
      <c r="G125" s="272" t="s">
        <v>8827</v>
      </c>
      <c r="H125" s="272">
        <v>1</v>
      </c>
      <c r="I125" s="272" t="s">
        <v>941</v>
      </c>
      <c r="J125" s="272" t="s">
        <v>8828</v>
      </c>
      <c r="K125" s="272">
        <v>3</v>
      </c>
      <c r="L125" s="272" t="s">
        <v>784</v>
      </c>
      <c r="M125" s="272">
        <v>1000000</v>
      </c>
      <c r="N125" s="272" t="s">
        <v>452</v>
      </c>
      <c r="O125" s="272" t="s">
        <v>452</v>
      </c>
      <c r="P125" s="272"/>
      <c r="Q125" s="272" t="s">
        <v>24</v>
      </c>
      <c r="R125" s="274"/>
      <c r="S125" s="274"/>
      <c r="T125" s="274"/>
      <c r="U125" s="259" t="str">
        <f t="shared" si="2"/>
        <v>Invite Next Year</v>
      </c>
      <c r="V125" s="274"/>
      <c r="W125" s="272"/>
      <c r="X125" s="272"/>
      <c r="Y125" s="272"/>
      <c r="Z125" s="272"/>
      <c r="AA125" s="272"/>
      <c r="AB125" s="224"/>
      <c r="AC125" s="224"/>
      <c r="AD125" s="224"/>
    </row>
    <row r="126" spans="1:30" ht="15.75" hidden="1" customHeight="1">
      <c r="A126" s="280">
        <v>44784</v>
      </c>
      <c r="B126" s="281" t="s">
        <v>8518</v>
      </c>
      <c r="C126" s="282">
        <v>2</v>
      </c>
      <c r="D126" s="281" t="s">
        <v>8521</v>
      </c>
      <c r="E126" s="281" t="s">
        <v>3</v>
      </c>
      <c r="F126" s="281" t="s">
        <v>488</v>
      </c>
      <c r="G126" s="281"/>
      <c r="H126" s="281">
        <v>2</v>
      </c>
      <c r="I126" s="281" t="s">
        <v>462</v>
      </c>
      <c r="J126" s="281" t="s">
        <v>8522</v>
      </c>
      <c r="K126" s="281">
        <v>2</v>
      </c>
      <c r="L126" s="281"/>
      <c r="M126" s="281"/>
      <c r="N126" s="281" t="s">
        <v>465</v>
      </c>
      <c r="O126" s="281" t="s">
        <v>452</v>
      </c>
      <c r="P126" s="281"/>
      <c r="Q126" s="281" t="s">
        <v>24</v>
      </c>
      <c r="R126" s="283" t="s">
        <v>8523</v>
      </c>
      <c r="S126" s="283"/>
      <c r="T126" s="283"/>
      <c r="U126" s="259" t="str">
        <f t="shared" si="2"/>
        <v>Invite Next Year</v>
      </c>
      <c r="V126" s="283"/>
      <c r="W126" s="281"/>
      <c r="X126" s="281"/>
      <c r="Y126" s="281"/>
      <c r="Z126" s="281"/>
      <c r="AA126" s="281"/>
      <c r="AB126" s="258"/>
      <c r="AC126" s="258"/>
      <c r="AD126" s="258"/>
    </row>
    <row r="127" spans="1:30" ht="15.75" hidden="1" customHeight="1">
      <c r="A127" s="267">
        <v>44784</v>
      </c>
      <c r="B127" s="272" t="s">
        <v>11447</v>
      </c>
      <c r="C127" s="269">
        <v>2</v>
      </c>
      <c r="D127" s="272" t="s">
        <v>8626</v>
      </c>
      <c r="E127" s="270" t="s">
        <v>3</v>
      </c>
      <c r="F127" s="272" t="s">
        <v>460</v>
      </c>
      <c r="G127" s="272" t="s">
        <v>8627</v>
      </c>
      <c r="H127" s="272">
        <v>2</v>
      </c>
      <c r="I127" s="272" t="s">
        <v>941</v>
      </c>
      <c r="J127" s="272" t="s">
        <v>8628</v>
      </c>
      <c r="K127" s="272">
        <v>2</v>
      </c>
      <c r="L127" s="272" t="s">
        <v>8096</v>
      </c>
      <c r="M127" s="272">
        <v>3000000</v>
      </c>
      <c r="N127" s="272" t="s">
        <v>452</v>
      </c>
      <c r="O127" s="272" t="s">
        <v>3420</v>
      </c>
      <c r="P127" s="272"/>
      <c r="Q127" s="272" t="s">
        <v>24</v>
      </c>
      <c r="R127" s="274"/>
      <c r="S127" s="274"/>
      <c r="T127" s="274"/>
      <c r="U127" s="259" t="str">
        <f t="shared" si="2"/>
        <v>Invite Next Year</v>
      </c>
      <c r="V127" s="274"/>
      <c r="W127" s="272"/>
      <c r="X127" s="272"/>
      <c r="Y127" s="272"/>
      <c r="Z127" s="272"/>
      <c r="AA127" s="272"/>
      <c r="AB127" s="224"/>
      <c r="AC127" s="224"/>
      <c r="AD127" s="224"/>
    </row>
    <row r="128" spans="1:30" ht="15.75" hidden="1" customHeight="1">
      <c r="A128" s="248">
        <v>44789</v>
      </c>
      <c r="B128" s="219" t="s">
        <v>8431</v>
      </c>
      <c r="C128" s="249">
        <v>2</v>
      </c>
      <c r="D128" s="219" t="s">
        <v>8434</v>
      </c>
      <c r="E128" s="250" t="s">
        <v>3</v>
      </c>
      <c r="F128" s="219" t="s">
        <v>460</v>
      </c>
      <c r="G128" s="219" t="s">
        <v>8435</v>
      </c>
      <c r="H128" s="219">
        <v>2</v>
      </c>
      <c r="I128" s="219" t="s">
        <v>941</v>
      </c>
      <c r="J128" s="219"/>
      <c r="K128" s="219">
        <v>2</v>
      </c>
      <c r="L128" s="219" t="s">
        <v>478</v>
      </c>
      <c r="M128" s="219" t="s">
        <v>8436</v>
      </c>
      <c r="N128" s="219" t="s">
        <v>452</v>
      </c>
      <c r="O128" s="219" t="s">
        <v>452</v>
      </c>
      <c r="P128" s="219"/>
      <c r="Q128" s="219" t="s">
        <v>24</v>
      </c>
      <c r="R128" s="251"/>
      <c r="S128" s="251"/>
      <c r="T128" s="251"/>
      <c r="U128" s="259" t="str">
        <f t="shared" si="2"/>
        <v>Invite Next Year</v>
      </c>
      <c r="V128" s="251"/>
      <c r="W128" s="252"/>
      <c r="X128" s="252"/>
      <c r="Y128" s="252"/>
      <c r="Z128" s="219"/>
      <c r="AA128" s="219"/>
      <c r="AB128" s="219"/>
      <c r="AC128" s="219"/>
      <c r="AD128" s="219"/>
    </row>
    <row r="129" spans="1:30" ht="15.75" hidden="1" customHeight="1">
      <c r="A129" s="257">
        <v>44789</v>
      </c>
      <c r="B129" s="258" t="s">
        <v>8831</v>
      </c>
      <c r="C129" s="263">
        <v>2</v>
      </c>
      <c r="D129" s="258" t="s">
        <v>8834</v>
      </c>
      <c r="E129" s="258" t="s">
        <v>3</v>
      </c>
      <c r="F129" s="258" t="s">
        <v>460</v>
      </c>
      <c r="G129" s="258" t="s">
        <v>8835</v>
      </c>
      <c r="H129" s="258">
        <v>2</v>
      </c>
      <c r="I129" s="258" t="s">
        <v>941</v>
      </c>
      <c r="J129" s="258" t="s">
        <v>8836</v>
      </c>
      <c r="K129" s="258">
        <v>2</v>
      </c>
      <c r="L129" s="258" t="s">
        <v>451</v>
      </c>
      <c r="M129" s="309">
        <v>3000000</v>
      </c>
      <c r="N129" s="258" t="s">
        <v>452</v>
      </c>
      <c r="O129" s="258" t="s">
        <v>8837</v>
      </c>
      <c r="P129" s="258" t="s">
        <v>8838</v>
      </c>
      <c r="Q129" s="258" t="s">
        <v>24</v>
      </c>
      <c r="R129" s="259" t="s">
        <v>8839</v>
      </c>
      <c r="S129" s="259"/>
      <c r="T129" s="259"/>
      <c r="U129" s="259" t="str">
        <f t="shared" si="2"/>
        <v>Invite Next Year</v>
      </c>
      <c r="V129" s="259"/>
      <c r="W129" s="258"/>
      <c r="X129" s="258"/>
      <c r="Y129" s="258"/>
      <c r="Z129" s="258"/>
      <c r="AA129" s="258"/>
      <c r="AB129" s="258"/>
      <c r="AC129" s="258"/>
      <c r="AD129" s="258"/>
    </row>
    <row r="130" spans="1:30" ht="15.75" hidden="1" customHeight="1">
      <c r="A130" s="248">
        <v>44789</v>
      </c>
      <c r="B130" s="219" t="s">
        <v>9235</v>
      </c>
      <c r="C130" s="249">
        <v>2</v>
      </c>
      <c r="D130" s="219" t="s">
        <v>9238</v>
      </c>
      <c r="E130" s="250" t="s">
        <v>3</v>
      </c>
      <c r="F130" s="219" t="s">
        <v>460</v>
      </c>
      <c r="G130" s="219" t="s">
        <v>9239</v>
      </c>
      <c r="H130" s="219">
        <v>2</v>
      </c>
      <c r="I130" s="219" t="s">
        <v>941</v>
      </c>
      <c r="J130" s="219" t="s">
        <v>9240</v>
      </c>
      <c r="K130" s="219">
        <v>2</v>
      </c>
      <c r="L130" s="219" t="s">
        <v>451</v>
      </c>
      <c r="M130" s="219">
        <v>800000</v>
      </c>
      <c r="N130" s="219" t="s">
        <v>452</v>
      </c>
      <c r="O130" s="219" t="s">
        <v>452</v>
      </c>
      <c r="P130" s="219"/>
      <c r="Q130" s="219" t="s">
        <v>24</v>
      </c>
      <c r="R130" s="251"/>
      <c r="S130" s="251"/>
      <c r="T130" s="251"/>
      <c r="U130" s="259" t="str">
        <f t="shared" si="2"/>
        <v>Invite Next Year</v>
      </c>
      <c r="V130" s="251"/>
      <c r="W130" s="252"/>
      <c r="X130" s="252"/>
      <c r="Y130" s="252"/>
      <c r="Z130" s="219"/>
      <c r="AA130" s="219"/>
      <c r="AB130" s="219"/>
      <c r="AC130" s="219"/>
      <c r="AD130" s="219"/>
    </row>
    <row r="131" spans="1:30" ht="15.75" hidden="1" customHeight="1">
      <c r="A131" s="253">
        <v>44789</v>
      </c>
      <c r="B131" s="224" t="s">
        <v>8631</v>
      </c>
      <c r="C131" s="249">
        <v>2</v>
      </c>
      <c r="D131" s="224" t="s">
        <v>8634</v>
      </c>
      <c r="E131" s="250" t="s">
        <v>3</v>
      </c>
      <c r="F131" s="224" t="s">
        <v>460</v>
      </c>
      <c r="G131" s="224" t="s">
        <v>8635</v>
      </c>
      <c r="H131" s="224">
        <v>2</v>
      </c>
      <c r="I131" s="224" t="s">
        <v>462</v>
      </c>
      <c r="J131" s="224" t="s">
        <v>11088</v>
      </c>
      <c r="K131" s="224">
        <v>2</v>
      </c>
      <c r="L131" s="224" t="s">
        <v>451</v>
      </c>
      <c r="M131" s="224">
        <v>500000</v>
      </c>
      <c r="N131" s="224" t="s">
        <v>452</v>
      </c>
      <c r="O131" s="224" t="s">
        <v>11089</v>
      </c>
      <c r="P131" s="224"/>
      <c r="Q131" s="224" t="s">
        <v>24</v>
      </c>
      <c r="R131" s="254"/>
      <c r="S131" s="254"/>
      <c r="T131" s="254"/>
      <c r="U131" s="259" t="str">
        <f t="shared" si="2"/>
        <v>Invite Next Year</v>
      </c>
      <c r="V131" s="254"/>
      <c r="W131" s="252"/>
      <c r="X131" s="252"/>
      <c r="Y131" s="252"/>
      <c r="Z131" s="224"/>
      <c r="AA131" s="224"/>
      <c r="AB131" s="224"/>
      <c r="AC131" s="224"/>
      <c r="AD131" s="224"/>
    </row>
    <row r="132" spans="1:30" ht="15.75" hidden="1" customHeight="1">
      <c r="A132" s="248">
        <v>44789</v>
      </c>
      <c r="B132" s="219" t="s">
        <v>8561</v>
      </c>
      <c r="C132" s="249">
        <v>2</v>
      </c>
      <c r="D132" s="219" t="s">
        <v>8564</v>
      </c>
      <c r="E132" s="250" t="s">
        <v>3</v>
      </c>
      <c r="F132" s="219" t="s">
        <v>460</v>
      </c>
      <c r="G132" s="219" t="s">
        <v>8565</v>
      </c>
      <c r="H132" s="219">
        <v>2</v>
      </c>
      <c r="I132" s="219" t="s">
        <v>941</v>
      </c>
      <c r="J132" s="219" t="s">
        <v>8566</v>
      </c>
      <c r="K132" s="219">
        <v>2</v>
      </c>
      <c r="L132" s="219" t="s">
        <v>973</v>
      </c>
      <c r="M132" s="219">
        <v>5</v>
      </c>
      <c r="N132" s="219" t="s">
        <v>452</v>
      </c>
      <c r="O132" s="219" t="s">
        <v>8567</v>
      </c>
      <c r="P132" s="219"/>
      <c r="Q132" s="219" t="s">
        <v>24</v>
      </c>
      <c r="R132" s="251"/>
      <c r="S132" s="251"/>
      <c r="T132" s="251"/>
      <c r="U132" s="259" t="str">
        <f t="shared" si="2"/>
        <v>Invite Next Year</v>
      </c>
      <c r="V132" s="251"/>
      <c r="W132" s="252"/>
      <c r="X132" s="252"/>
      <c r="Y132" s="252"/>
      <c r="Z132" s="219"/>
      <c r="AA132" s="219"/>
      <c r="AB132" s="219"/>
      <c r="AC132" s="219"/>
      <c r="AD132" s="219"/>
    </row>
    <row r="133" spans="1:30" ht="15.75" hidden="1" customHeight="1">
      <c r="A133" s="253">
        <v>44791</v>
      </c>
      <c r="B133" s="224" t="s">
        <v>9096</v>
      </c>
      <c r="C133" s="316">
        <v>2</v>
      </c>
      <c r="D133" s="224" t="s">
        <v>9099</v>
      </c>
      <c r="E133" s="224" t="s">
        <v>3</v>
      </c>
      <c r="F133" s="224" t="s">
        <v>460</v>
      </c>
      <c r="G133" s="224" t="s">
        <v>9100</v>
      </c>
      <c r="H133" s="224">
        <v>2</v>
      </c>
      <c r="I133" s="224" t="s">
        <v>462</v>
      </c>
      <c r="J133" s="224" t="s">
        <v>9101</v>
      </c>
      <c r="K133" s="224">
        <v>2</v>
      </c>
      <c r="L133" s="224" t="s">
        <v>451</v>
      </c>
      <c r="M133" s="224">
        <v>5000000</v>
      </c>
      <c r="N133" s="224" t="s">
        <v>454</v>
      </c>
      <c r="O133" s="224" t="s">
        <v>452</v>
      </c>
      <c r="P133" s="224" t="s">
        <v>9102</v>
      </c>
      <c r="Q133" s="322" t="s">
        <v>24</v>
      </c>
      <c r="R133" s="254"/>
      <c r="S133" s="254"/>
      <c r="T133" s="254"/>
      <c r="U133" s="259" t="str">
        <f t="shared" si="2"/>
        <v>Invite Next Year</v>
      </c>
      <c r="V133" s="254"/>
      <c r="W133" s="224"/>
      <c r="X133" s="224"/>
      <c r="Y133" s="224"/>
      <c r="Z133" s="224"/>
      <c r="AA133" s="224"/>
      <c r="AB133" s="224"/>
      <c r="AC133" s="224"/>
      <c r="AD133" s="224"/>
    </row>
    <row r="134" spans="1:30" ht="15.75" hidden="1" customHeight="1">
      <c r="A134" s="248">
        <v>44791</v>
      </c>
      <c r="B134" s="219" t="s">
        <v>8405</v>
      </c>
      <c r="C134" s="315">
        <v>2</v>
      </c>
      <c r="D134" s="219" t="s">
        <v>8408</v>
      </c>
      <c r="E134" s="219" t="s">
        <v>3</v>
      </c>
      <c r="F134" s="219" t="s">
        <v>460</v>
      </c>
      <c r="G134" s="219" t="s">
        <v>8409</v>
      </c>
      <c r="H134" s="219">
        <v>2</v>
      </c>
      <c r="I134" s="219" t="s">
        <v>462</v>
      </c>
      <c r="J134" s="219" t="s">
        <v>8410</v>
      </c>
      <c r="K134" s="219">
        <v>2</v>
      </c>
      <c r="L134" s="219"/>
      <c r="M134" s="219"/>
      <c r="N134" s="219" t="s">
        <v>452</v>
      </c>
      <c r="O134" s="219" t="s">
        <v>8411</v>
      </c>
      <c r="P134" s="219"/>
      <c r="Q134" s="322" t="s">
        <v>24</v>
      </c>
      <c r="R134" s="251"/>
      <c r="S134" s="251"/>
      <c r="T134" s="251"/>
      <c r="U134" s="259" t="str">
        <f t="shared" si="2"/>
        <v>Invite Next Year</v>
      </c>
      <c r="V134" s="251"/>
      <c r="W134" s="219"/>
      <c r="X134" s="219"/>
      <c r="Y134" s="219"/>
      <c r="Z134" s="219"/>
      <c r="AA134" s="219"/>
      <c r="AB134" s="219"/>
      <c r="AC134" s="219"/>
      <c r="AD134" s="219"/>
    </row>
    <row r="135" spans="1:30" ht="15.75" hidden="1" customHeight="1">
      <c r="A135" s="253">
        <v>44791</v>
      </c>
      <c r="B135" s="224" t="s">
        <v>8377</v>
      </c>
      <c r="C135" s="316">
        <v>2</v>
      </c>
      <c r="D135" s="224" t="s">
        <v>8380</v>
      </c>
      <c r="E135" s="224" t="s">
        <v>3</v>
      </c>
      <c r="F135" s="224" t="s">
        <v>460</v>
      </c>
      <c r="G135" s="224" t="s">
        <v>8381</v>
      </c>
      <c r="H135" s="224">
        <v>2</v>
      </c>
      <c r="I135" s="224" t="s">
        <v>941</v>
      </c>
      <c r="J135" s="224" t="s">
        <v>8382</v>
      </c>
      <c r="K135" s="224">
        <v>2</v>
      </c>
      <c r="L135" s="224" t="s">
        <v>451</v>
      </c>
      <c r="M135" s="307">
        <v>1200000</v>
      </c>
      <c r="N135" s="224" t="s">
        <v>452</v>
      </c>
      <c r="O135" s="224" t="s">
        <v>8383</v>
      </c>
      <c r="P135" s="224"/>
      <c r="Q135" s="322" t="s">
        <v>24</v>
      </c>
      <c r="R135" s="254"/>
      <c r="S135" s="254"/>
      <c r="T135" s="254"/>
      <c r="U135" s="259" t="str">
        <f t="shared" si="2"/>
        <v>Invite Next Year</v>
      </c>
      <c r="V135" s="254"/>
      <c r="W135" s="224"/>
      <c r="X135" s="224"/>
      <c r="Y135" s="224"/>
      <c r="Z135" s="224"/>
      <c r="AA135" s="224"/>
      <c r="AB135" s="224"/>
      <c r="AC135" s="224"/>
      <c r="AD135" s="224"/>
    </row>
    <row r="136" spans="1:30" ht="15.75" hidden="1" customHeight="1">
      <c r="A136" s="248">
        <v>44791</v>
      </c>
      <c r="B136" s="219" t="s">
        <v>9266</v>
      </c>
      <c r="C136" s="315">
        <v>2</v>
      </c>
      <c r="D136" s="219" t="s">
        <v>11067</v>
      </c>
      <c r="E136" s="219" t="s">
        <v>3</v>
      </c>
      <c r="F136" s="219" t="s">
        <v>460</v>
      </c>
      <c r="G136" s="219" t="s">
        <v>9270</v>
      </c>
      <c r="H136" s="219">
        <v>2</v>
      </c>
      <c r="I136" s="219" t="s">
        <v>941</v>
      </c>
      <c r="J136" s="219" t="s">
        <v>9271</v>
      </c>
      <c r="K136" s="219">
        <v>2</v>
      </c>
      <c r="L136" s="219" t="s">
        <v>451</v>
      </c>
      <c r="M136" s="312">
        <v>5000000</v>
      </c>
      <c r="N136" s="219" t="s">
        <v>452</v>
      </c>
      <c r="O136" s="219" t="s">
        <v>9272</v>
      </c>
      <c r="P136" s="219" t="s">
        <v>9273</v>
      </c>
      <c r="Q136" s="322" t="s">
        <v>24</v>
      </c>
      <c r="R136" s="251"/>
      <c r="S136" s="251"/>
      <c r="T136" s="251"/>
      <c r="U136" s="259" t="str">
        <f t="shared" si="2"/>
        <v>Invite Next Year</v>
      </c>
      <c r="V136" s="251"/>
      <c r="W136" s="219"/>
      <c r="X136" s="219"/>
      <c r="Y136" s="219"/>
      <c r="Z136" s="219"/>
      <c r="AA136" s="219"/>
      <c r="AB136" s="219"/>
      <c r="AC136" s="219"/>
      <c r="AD136" s="219"/>
    </row>
    <row r="137" spans="1:30" ht="15.75" hidden="1" customHeight="1">
      <c r="A137" s="253">
        <v>44791</v>
      </c>
      <c r="B137" s="224" t="s">
        <v>8414</v>
      </c>
      <c r="C137" s="316">
        <v>2</v>
      </c>
      <c r="D137" s="224" t="s">
        <v>8417</v>
      </c>
      <c r="E137" s="224" t="s">
        <v>3</v>
      </c>
      <c r="F137" s="224" t="s">
        <v>460</v>
      </c>
      <c r="G137" s="224" t="s">
        <v>8418</v>
      </c>
      <c r="H137" s="224">
        <v>2</v>
      </c>
      <c r="I137" s="224" t="s">
        <v>941</v>
      </c>
      <c r="J137" s="224"/>
      <c r="K137" s="224">
        <v>2</v>
      </c>
      <c r="L137" s="224"/>
      <c r="M137" s="224"/>
      <c r="N137" s="224" t="s">
        <v>452</v>
      </c>
      <c r="O137" s="224" t="s">
        <v>8419</v>
      </c>
      <c r="P137" s="224"/>
      <c r="Q137" s="322" t="s">
        <v>24</v>
      </c>
      <c r="R137" s="254"/>
      <c r="S137" s="254"/>
      <c r="T137" s="254"/>
      <c r="U137" s="259" t="str">
        <f t="shared" si="2"/>
        <v>Invite Next Year</v>
      </c>
      <c r="V137" s="254"/>
      <c r="W137" s="224"/>
      <c r="X137" s="224"/>
      <c r="Y137" s="224"/>
      <c r="Z137" s="224"/>
      <c r="AA137" s="224"/>
      <c r="AB137" s="224"/>
      <c r="AC137" s="224"/>
      <c r="AD137" s="224"/>
    </row>
    <row r="138" spans="1:30" ht="15.75" hidden="1" customHeight="1">
      <c r="A138" s="248">
        <v>44796</v>
      </c>
      <c r="B138" s="219" t="s">
        <v>8533</v>
      </c>
      <c r="C138" s="315">
        <v>2</v>
      </c>
      <c r="D138" s="219" t="s">
        <v>8536</v>
      </c>
      <c r="E138" s="219" t="s">
        <v>3</v>
      </c>
      <c r="F138" s="219" t="s">
        <v>460</v>
      </c>
      <c r="G138" s="219" t="s">
        <v>8537</v>
      </c>
      <c r="H138" s="219">
        <v>1</v>
      </c>
      <c r="I138" s="219" t="s">
        <v>462</v>
      </c>
      <c r="J138" s="219" t="s">
        <v>8538</v>
      </c>
      <c r="K138" s="219">
        <v>3</v>
      </c>
      <c r="L138" s="219" t="s">
        <v>451</v>
      </c>
      <c r="M138" s="219" t="s">
        <v>8539</v>
      </c>
      <c r="N138" s="219" t="s">
        <v>452</v>
      </c>
      <c r="O138" s="219" t="s">
        <v>8540</v>
      </c>
      <c r="P138" s="219"/>
      <c r="Q138" s="219" t="s">
        <v>24</v>
      </c>
      <c r="R138" s="251"/>
      <c r="S138" s="251"/>
      <c r="T138" s="251"/>
      <c r="U138" s="259" t="str">
        <f t="shared" si="2"/>
        <v>Invite Next Year</v>
      </c>
      <c r="V138" s="251"/>
      <c r="W138" s="219"/>
      <c r="X138" s="219"/>
      <c r="Y138" s="219"/>
      <c r="Z138" s="219"/>
      <c r="AA138" s="219"/>
      <c r="AB138" s="219"/>
      <c r="AC138" s="219"/>
      <c r="AD138" s="219"/>
    </row>
    <row r="139" spans="1:30" ht="15.75" hidden="1" customHeight="1">
      <c r="A139" s="253">
        <v>44796</v>
      </c>
      <c r="B139" s="224" t="s">
        <v>8842</v>
      </c>
      <c r="C139" s="316">
        <v>2</v>
      </c>
      <c r="D139" s="224" t="s">
        <v>8845</v>
      </c>
      <c r="E139" s="224" t="s">
        <v>3</v>
      </c>
      <c r="F139" s="224" t="s">
        <v>725</v>
      </c>
      <c r="G139" s="224" t="s">
        <v>10843</v>
      </c>
      <c r="H139" s="224">
        <v>2</v>
      </c>
      <c r="I139" s="224" t="s">
        <v>941</v>
      </c>
      <c r="J139" s="224"/>
      <c r="K139" s="224">
        <v>2</v>
      </c>
      <c r="L139" s="224" t="s">
        <v>784</v>
      </c>
      <c r="M139" s="224">
        <v>200000</v>
      </c>
      <c r="N139" s="224" t="s">
        <v>452</v>
      </c>
      <c r="O139" s="224" t="s">
        <v>8847</v>
      </c>
      <c r="P139" s="224"/>
      <c r="Q139" s="224" t="s">
        <v>24</v>
      </c>
      <c r="R139" s="254"/>
      <c r="S139" s="254"/>
      <c r="T139" s="254"/>
      <c r="U139" s="259" t="str">
        <f t="shared" si="2"/>
        <v>Invite Next Year</v>
      </c>
      <c r="V139" s="254"/>
      <c r="W139" s="224"/>
      <c r="X139" s="224"/>
      <c r="Y139" s="224"/>
      <c r="Z139" s="224"/>
      <c r="AA139" s="224"/>
      <c r="AB139" s="224"/>
      <c r="AC139" s="224"/>
      <c r="AD139" s="224"/>
    </row>
    <row r="140" spans="1:30" ht="15.75" hidden="1" customHeight="1">
      <c r="A140" s="248">
        <v>44796</v>
      </c>
      <c r="B140" s="219" t="s">
        <v>8687</v>
      </c>
      <c r="C140" s="315">
        <v>2</v>
      </c>
      <c r="D140" s="219" t="s">
        <v>11239</v>
      </c>
      <c r="E140" s="219" t="s">
        <v>3</v>
      </c>
      <c r="F140" s="219" t="s">
        <v>488</v>
      </c>
      <c r="G140" s="219" t="s">
        <v>8691</v>
      </c>
      <c r="H140" s="219">
        <v>2</v>
      </c>
      <c r="I140" s="219" t="s">
        <v>941</v>
      </c>
      <c r="J140" s="219" t="s">
        <v>8692</v>
      </c>
      <c r="K140" s="219">
        <v>2</v>
      </c>
      <c r="L140" s="219"/>
      <c r="M140" s="219"/>
      <c r="N140" s="219" t="s">
        <v>454</v>
      </c>
      <c r="O140" s="219" t="s">
        <v>1119</v>
      </c>
      <c r="P140" s="219"/>
      <c r="Q140" s="219" t="s">
        <v>24</v>
      </c>
      <c r="R140" s="251"/>
      <c r="S140" s="251"/>
      <c r="T140" s="251"/>
      <c r="U140" s="259" t="str">
        <f t="shared" si="2"/>
        <v>Invite Next Year</v>
      </c>
      <c r="V140" s="251"/>
      <c r="W140" s="219"/>
      <c r="X140" s="219"/>
      <c r="Y140" s="219"/>
      <c r="Z140" s="219"/>
      <c r="AA140" s="219"/>
      <c r="AB140" s="219"/>
      <c r="AC140" s="219"/>
      <c r="AD140" s="219"/>
    </row>
    <row r="141" spans="1:30" ht="15.75" hidden="1" customHeight="1">
      <c r="A141" s="253">
        <v>44796</v>
      </c>
      <c r="B141" s="224" t="s">
        <v>8935</v>
      </c>
      <c r="C141" s="316">
        <v>2</v>
      </c>
      <c r="D141" s="224"/>
      <c r="E141" s="224" t="s">
        <v>3</v>
      </c>
      <c r="F141" s="224" t="s">
        <v>488</v>
      </c>
      <c r="G141" s="224" t="s">
        <v>8938</v>
      </c>
      <c r="H141" s="224">
        <v>2</v>
      </c>
      <c r="I141" s="224" t="s">
        <v>941</v>
      </c>
      <c r="J141" s="224"/>
      <c r="K141" s="224">
        <v>2</v>
      </c>
      <c r="L141" s="224" t="s">
        <v>8939</v>
      </c>
      <c r="M141" s="224">
        <v>500000</v>
      </c>
      <c r="N141" s="224" t="s">
        <v>454</v>
      </c>
      <c r="O141" s="224" t="s">
        <v>8938</v>
      </c>
      <c r="P141" s="224"/>
      <c r="Q141" s="224" t="s">
        <v>24</v>
      </c>
      <c r="R141" s="254"/>
      <c r="S141" s="254"/>
      <c r="T141" s="254"/>
      <c r="U141" s="259" t="str">
        <f t="shared" si="2"/>
        <v>Invite Next Year</v>
      </c>
      <c r="V141" s="254"/>
      <c r="W141" s="224"/>
      <c r="X141" s="224"/>
      <c r="Y141" s="224"/>
      <c r="Z141" s="224"/>
      <c r="AA141" s="224"/>
      <c r="AB141" s="224"/>
      <c r="AC141" s="224"/>
      <c r="AD141" s="224"/>
    </row>
    <row r="142" spans="1:30" ht="15.75" hidden="1" customHeight="1">
      <c r="A142" s="248">
        <v>44796</v>
      </c>
      <c r="B142" s="219" t="s">
        <v>8652</v>
      </c>
      <c r="C142" s="315">
        <v>2</v>
      </c>
      <c r="D142" s="219"/>
      <c r="E142" s="219" t="s">
        <v>3</v>
      </c>
      <c r="F142" s="219" t="s">
        <v>488</v>
      </c>
      <c r="G142" s="219" t="s">
        <v>11348</v>
      </c>
      <c r="H142" s="219">
        <v>2</v>
      </c>
      <c r="I142" s="219" t="s">
        <v>462</v>
      </c>
      <c r="J142" s="219" t="s">
        <v>8656</v>
      </c>
      <c r="K142" s="219">
        <v>2</v>
      </c>
      <c r="L142" s="219" t="s">
        <v>2190</v>
      </c>
      <c r="M142" s="219" t="s">
        <v>8657</v>
      </c>
      <c r="N142" s="219" t="s">
        <v>452</v>
      </c>
      <c r="O142" s="219" t="s">
        <v>8658</v>
      </c>
      <c r="P142" s="219" t="s">
        <v>8659</v>
      </c>
      <c r="Q142" s="219" t="s">
        <v>24</v>
      </c>
      <c r="R142" s="251"/>
      <c r="S142" s="251"/>
      <c r="T142" s="251"/>
      <c r="U142" s="259" t="str">
        <f t="shared" si="2"/>
        <v>Invite Next Year</v>
      </c>
      <c r="V142" s="251"/>
      <c r="W142" s="219"/>
      <c r="X142" s="219"/>
      <c r="Y142" s="219"/>
      <c r="Z142" s="219"/>
      <c r="AA142" s="219"/>
      <c r="AB142" s="219"/>
      <c r="AC142" s="219"/>
      <c r="AD142" s="219"/>
    </row>
    <row r="143" spans="1:30" ht="15.75" hidden="1" customHeight="1">
      <c r="A143" s="253">
        <v>44797</v>
      </c>
      <c r="B143" s="224" t="s">
        <v>9124</v>
      </c>
      <c r="C143" s="316">
        <v>2</v>
      </c>
      <c r="D143" s="224"/>
      <c r="E143" s="224" t="s">
        <v>3</v>
      </c>
      <c r="F143" s="224" t="s">
        <v>488</v>
      </c>
      <c r="G143" s="224" t="s">
        <v>9127</v>
      </c>
      <c r="H143" s="224">
        <v>2</v>
      </c>
      <c r="I143" s="224" t="s">
        <v>941</v>
      </c>
      <c r="J143" s="224" t="s">
        <v>9128</v>
      </c>
      <c r="K143" s="224">
        <v>2</v>
      </c>
      <c r="L143" s="224" t="s">
        <v>2190</v>
      </c>
      <c r="M143" s="224">
        <v>3000000</v>
      </c>
      <c r="N143" s="224" t="s">
        <v>452</v>
      </c>
      <c r="O143" s="224" t="s">
        <v>9129</v>
      </c>
      <c r="P143" s="224"/>
      <c r="Q143" s="224" t="s">
        <v>24</v>
      </c>
      <c r="R143" s="254"/>
      <c r="S143" s="254"/>
      <c r="T143" s="254"/>
      <c r="U143" s="259" t="str">
        <f t="shared" si="2"/>
        <v>Invite Next Year</v>
      </c>
      <c r="V143" s="254"/>
      <c r="W143" s="224"/>
      <c r="X143" s="224"/>
      <c r="Y143" s="224"/>
      <c r="Z143" s="224"/>
      <c r="AA143" s="224"/>
      <c r="AB143" s="224"/>
      <c r="AC143" s="224"/>
      <c r="AD143" s="224"/>
    </row>
    <row r="144" spans="1:30" ht="15.75" hidden="1" customHeight="1">
      <c r="A144" s="212">
        <v>44776</v>
      </c>
      <c r="B144" s="213" t="s">
        <v>8766</v>
      </c>
      <c r="C144" s="214">
        <v>1.5</v>
      </c>
      <c r="D144" s="213" t="s">
        <v>10187</v>
      </c>
      <c r="E144" s="215" t="s">
        <v>3</v>
      </c>
      <c r="F144" s="213" t="s">
        <v>460</v>
      </c>
      <c r="G144" s="213"/>
      <c r="H144" s="213">
        <v>1</v>
      </c>
      <c r="I144" s="213" t="s">
        <v>941</v>
      </c>
      <c r="J144" s="213"/>
      <c r="K144" s="213">
        <v>2</v>
      </c>
      <c r="L144" s="213" t="s">
        <v>784</v>
      </c>
      <c r="M144" s="225">
        <v>0</v>
      </c>
      <c r="N144" s="213" t="s">
        <v>465</v>
      </c>
      <c r="O144" s="213" t="s">
        <v>8770</v>
      </c>
      <c r="P144" s="143"/>
      <c r="Q144" s="213" t="s">
        <v>24</v>
      </c>
      <c r="R144" s="226">
        <f t="array" ref="R144">INDEX(Notes!C:C,MATCH($B144,Notes!$A:$A,0))</f>
        <v>0</v>
      </c>
      <c r="S144" s="226"/>
      <c r="T144" s="226"/>
      <c r="U144" s="259" t="str">
        <f t="shared" si="2"/>
        <v>Invite Next Year</v>
      </c>
      <c r="V144" s="226"/>
      <c r="W144" s="218"/>
      <c r="X144" s="218"/>
      <c r="Y144" s="218"/>
      <c r="Z144" s="219"/>
      <c r="AA144" s="219"/>
      <c r="AB144" s="219"/>
      <c r="AC144" s="219"/>
      <c r="AD144" s="219"/>
    </row>
    <row r="145" spans="1:30" ht="15.75" hidden="1" customHeight="1">
      <c r="A145" s="220">
        <v>44776</v>
      </c>
      <c r="B145" s="221" t="s">
        <v>8646</v>
      </c>
      <c r="C145" s="214">
        <v>1.5</v>
      </c>
      <c r="D145" s="221" t="s">
        <v>8649</v>
      </c>
      <c r="E145" s="215" t="s">
        <v>3</v>
      </c>
      <c r="F145" s="221" t="s">
        <v>460</v>
      </c>
      <c r="G145" s="221"/>
      <c r="H145" s="221">
        <v>1</v>
      </c>
      <c r="I145" s="221" t="s">
        <v>462</v>
      </c>
      <c r="J145" s="221"/>
      <c r="K145" s="221">
        <v>2</v>
      </c>
      <c r="L145" s="221" t="s">
        <v>478</v>
      </c>
      <c r="M145" s="222">
        <v>1500000</v>
      </c>
      <c r="N145" s="221" t="s">
        <v>452</v>
      </c>
      <c r="O145" s="221" t="s">
        <v>11436</v>
      </c>
      <c r="P145" s="145"/>
      <c r="Q145" s="221" t="s">
        <v>24</v>
      </c>
      <c r="R145" s="223">
        <f t="array" ref="R145">INDEX(Notes!C:C,MATCH($B145,Notes!$A:$A,0))</f>
        <v>0</v>
      </c>
      <c r="S145" s="223"/>
      <c r="T145" s="223"/>
      <c r="U145" s="259" t="str">
        <f t="shared" si="2"/>
        <v>Invite Next Year</v>
      </c>
      <c r="V145" s="223"/>
      <c r="W145" s="218"/>
      <c r="X145" s="218"/>
      <c r="Y145" s="218"/>
      <c r="Z145" s="224"/>
      <c r="AA145" s="224"/>
      <c r="AB145" s="224"/>
      <c r="AC145" s="224"/>
      <c r="AD145" s="224"/>
    </row>
    <row r="146" spans="1:30" ht="15.75" hidden="1" customHeight="1">
      <c r="A146" s="212">
        <v>44776</v>
      </c>
      <c r="B146" s="213" t="s">
        <v>8350</v>
      </c>
      <c r="C146" s="214">
        <v>1.5</v>
      </c>
      <c r="D146" s="213" t="s">
        <v>8353</v>
      </c>
      <c r="E146" s="215" t="s">
        <v>3</v>
      </c>
      <c r="F146" s="213" t="s">
        <v>460</v>
      </c>
      <c r="G146" s="213"/>
      <c r="H146" s="213">
        <v>1</v>
      </c>
      <c r="I146" s="213" t="s">
        <v>462</v>
      </c>
      <c r="J146" s="213" t="s">
        <v>8354</v>
      </c>
      <c r="K146" s="213">
        <v>2</v>
      </c>
      <c r="L146" s="213" t="s">
        <v>451</v>
      </c>
      <c r="M146" s="225">
        <v>750000</v>
      </c>
      <c r="N146" s="213" t="s">
        <v>452</v>
      </c>
      <c r="O146" s="213" t="s">
        <v>8355</v>
      </c>
      <c r="P146" s="143"/>
      <c r="Q146" s="213" t="s">
        <v>24</v>
      </c>
      <c r="R146" s="226">
        <f t="array" ref="R146">INDEX(Notes!C:C,MATCH($B146,Notes!$A:$A,0))</f>
        <v>0</v>
      </c>
      <c r="S146" s="226"/>
      <c r="T146" s="226"/>
      <c r="U146" s="259" t="str">
        <f t="shared" si="2"/>
        <v>Invite Next Year</v>
      </c>
      <c r="V146" s="226"/>
      <c r="W146" s="218"/>
      <c r="X146" s="218"/>
      <c r="Y146" s="218"/>
      <c r="Z146" s="219"/>
      <c r="AA146" s="219"/>
      <c r="AB146" s="219"/>
      <c r="AC146" s="219"/>
      <c r="AD146" s="219"/>
    </row>
    <row r="147" spans="1:30" ht="15.75" hidden="1" customHeight="1">
      <c r="A147" s="267">
        <v>44784</v>
      </c>
      <c r="B147" s="272" t="s">
        <v>8672</v>
      </c>
      <c r="C147" s="269">
        <v>1.5</v>
      </c>
      <c r="D147" s="272" t="s">
        <v>8675</v>
      </c>
      <c r="E147" s="270" t="s">
        <v>3</v>
      </c>
      <c r="F147" s="272" t="s">
        <v>460</v>
      </c>
      <c r="G147" s="272" t="s">
        <v>10470</v>
      </c>
      <c r="H147" s="272">
        <v>2</v>
      </c>
      <c r="I147" s="272" t="s">
        <v>488</v>
      </c>
      <c r="J147" s="272" t="s">
        <v>8677</v>
      </c>
      <c r="K147" s="272">
        <v>1</v>
      </c>
      <c r="L147" s="272" t="s">
        <v>451</v>
      </c>
      <c r="M147" s="273">
        <v>500000</v>
      </c>
      <c r="N147" s="272" t="s">
        <v>465</v>
      </c>
      <c r="O147" s="273" t="s">
        <v>575</v>
      </c>
      <c r="P147" s="272"/>
      <c r="Q147" s="272" t="s">
        <v>24</v>
      </c>
      <c r="R147" s="274"/>
      <c r="S147" s="274"/>
      <c r="T147" s="274"/>
      <c r="U147" s="259" t="str">
        <f t="shared" si="2"/>
        <v>Invite Next Year</v>
      </c>
      <c r="V147" s="274"/>
      <c r="W147" s="272"/>
      <c r="X147" s="272"/>
      <c r="Y147" s="272"/>
      <c r="Z147" s="272"/>
      <c r="AA147" s="272"/>
      <c r="AB147" s="224"/>
      <c r="AC147" s="224"/>
      <c r="AD147" s="224"/>
    </row>
    <row r="148" spans="1:30" ht="15.75" hidden="1" customHeight="1">
      <c r="A148" s="267">
        <v>44784</v>
      </c>
      <c r="B148" s="268" t="s">
        <v>9258</v>
      </c>
      <c r="C148" s="269">
        <v>1.5</v>
      </c>
      <c r="D148" s="268" t="s">
        <v>11603</v>
      </c>
      <c r="E148" s="270" t="s">
        <v>3</v>
      </c>
      <c r="F148" s="268" t="s">
        <v>460</v>
      </c>
      <c r="G148" s="268" t="s">
        <v>9262</v>
      </c>
      <c r="H148" s="268">
        <v>2</v>
      </c>
      <c r="I148" s="268" t="s">
        <v>488</v>
      </c>
      <c r="J148" s="268" t="s">
        <v>11604</v>
      </c>
      <c r="K148" s="268">
        <v>1</v>
      </c>
      <c r="L148" s="268"/>
      <c r="M148" s="268"/>
      <c r="N148" s="268" t="s">
        <v>465</v>
      </c>
      <c r="O148" s="268" t="s">
        <v>452</v>
      </c>
      <c r="P148" s="268"/>
      <c r="Q148" s="268" t="s">
        <v>24</v>
      </c>
      <c r="R148" s="271"/>
      <c r="S148" s="271"/>
      <c r="T148" s="271"/>
      <c r="U148" s="259" t="str">
        <f t="shared" si="2"/>
        <v>Invite Next Year</v>
      </c>
      <c r="V148" s="271"/>
      <c r="W148" s="268"/>
      <c r="X148" s="268"/>
      <c r="Y148" s="268"/>
      <c r="Z148" s="268"/>
      <c r="AA148" s="268"/>
      <c r="AB148" s="219"/>
      <c r="AC148" s="219"/>
      <c r="AD148" s="219"/>
    </row>
    <row r="149" spans="1:30" ht="15.75" hidden="1" customHeight="1">
      <c r="A149" s="267">
        <v>44784</v>
      </c>
      <c r="B149" s="272" t="s">
        <v>8466</v>
      </c>
      <c r="C149" s="269">
        <v>1.5</v>
      </c>
      <c r="D149" s="272" t="s">
        <v>8469</v>
      </c>
      <c r="E149" s="270" t="s">
        <v>3</v>
      </c>
      <c r="F149" s="272" t="s">
        <v>460</v>
      </c>
      <c r="G149" s="272" t="s">
        <v>8470</v>
      </c>
      <c r="H149" s="272">
        <v>1</v>
      </c>
      <c r="I149" s="272" t="s">
        <v>488</v>
      </c>
      <c r="J149" s="272"/>
      <c r="K149" s="272">
        <v>2</v>
      </c>
      <c r="L149" s="272"/>
      <c r="M149" s="272"/>
      <c r="N149" s="272" t="s">
        <v>452</v>
      </c>
      <c r="O149" s="272" t="s">
        <v>575</v>
      </c>
      <c r="P149" s="272" t="s">
        <v>8471</v>
      </c>
      <c r="Q149" s="272" t="s">
        <v>24</v>
      </c>
      <c r="R149" s="274"/>
      <c r="S149" s="274"/>
      <c r="T149" s="274"/>
      <c r="U149" s="259" t="str">
        <f t="shared" si="2"/>
        <v>Invite Next Year</v>
      </c>
      <c r="V149" s="274"/>
      <c r="W149" s="272"/>
      <c r="X149" s="272"/>
      <c r="Y149" s="272"/>
      <c r="Z149" s="272"/>
      <c r="AA149" s="272"/>
      <c r="AB149" s="224"/>
      <c r="AC149" s="224"/>
      <c r="AD149" s="224"/>
    </row>
    <row r="150" spans="1:30" ht="15.75" hidden="1" customHeight="1">
      <c r="A150" s="248">
        <v>44789</v>
      </c>
      <c r="B150" s="219" t="s">
        <v>8503</v>
      </c>
      <c r="C150" s="249">
        <v>1.5</v>
      </c>
      <c r="D150" s="219" t="s">
        <v>8506</v>
      </c>
      <c r="E150" s="250" t="s">
        <v>3</v>
      </c>
      <c r="F150" s="219" t="s">
        <v>488</v>
      </c>
      <c r="G150" s="219"/>
      <c r="H150" s="219">
        <v>2</v>
      </c>
      <c r="I150" s="219" t="s">
        <v>941</v>
      </c>
      <c r="J150" s="219" t="s">
        <v>8507</v>
      </c>
      <c r="K150" s="219">
        <v>1</v>
      </c>
      <c r="L150" s="219"/>
      <c r="M150" s="312"/>
      <c r="N150" s="219" t="s">
        <v>452</v>
      </c>
      <c r="O150" s="219" t="s">
        <v>452</v>
      </c>
      <c r="P150" s="219"/>
      <c r="Q150" s="219" t="s">
        <v>24</v>
      </c>
      <c r="R150" s="251"/>
      <c r="S150" s="251"/>
      <c r="T150" s="251"/>
      <c r="U150" s="259" t="str">
        <f t="shared" si="2"/>
        <v>Invite Next Year</v>
      </c>
      <c r="V150" s="251"/>
      <c r="W150" s="252"/>
      <c r="X150" s="252"/>
      <c r="Y150" s="252"/>
      <c r="Z150" s="219"/>
      <c r="AA150" s="219"/>
      <c r="AB150" s="219"/>
      <c r="AC150" s="219"/>
      <c r="AD150" s="219"/>
    </row>
    <row r="151" spans="1:30" ht="15.75" hidden="1" customHeight="1">
      <c r="A151" s="253">
        <v>44789</v>
      </c>
      <c r="B151" s="224" t="s">
        <v>8495</v>
      </c>
      <c r="C151" s="249">
        <v>1.5</v>
      </c>
      <c r="D151" s="224" t="s">
        <v>8498</v>
      </c>
      <c r="E151" s="250" t="s">
        <v>3</v>
      </c>
      <c r="F151" s="224" t="s">
        <v>460</v>
      </c>
      <c r="G151" s="224" t="s">
        <v>8499</v>
      </c>
      <c r="H151" s="224">
        <v>2</v>
      </c>
      <c r="I151" s="224" t="s">
        <v>941</v>
      </c>
      <c r="J151" s="224" t="s">
        <v>8500</v>
      </c>
      <c r="K151" s="224">
        <v>1</v>
      </c>
      <c r="L151" s="224"/>
      <c r="M151" s="224"/>
      <c r="N151" s="224" t="s">
        <v>465</v>
      </c>
      <c r="O151" s="224" t="s">
        <v>452</v>
      </c>
      <c r="P151" s="224"/>
      <c r="Q151" s="224" t="s">
        <v>24</v>
      </c>
      <c r="R151" s="254"/>
      <c r="S151" s="254"/>
      <c r="T151" s="254"/>
      <c r="U151" s="259" t="str">
        <f t="shared" si="2"/>
        <v>Invite Next Year</v>
      </c>
      <c r="V151" s="254"/>
      <c r="W151" s="252"/>
      <c r="X151" s="252"/>
      <c r="Y151" s="252"/>
      <c r="Z151" s="224"/>
      <c r="AA151" s="224"/>
      <c r="AB151" s="224"/>
      <c r="AC151" s="224"/>
      <c r="AD151" s="224"/>
    </row>
    <row r="152" spans="1:30" ht="15.75" hidden="1" customHeight="1">
      <c r="A152" s="248">
        <v>44789</v>
      </c>
      <c r="B152" s="219" t="s">
        <v>8781</v>
      </c>
      <c r="C152" s="249">
        <v>1.5</v>
      </c>
      <c r="D152" s="219" t="s">
        <v>8784</v>
      </c>
      <c r="E152" s="250" t="s">
        <v>3</v>
      </c>
      <c r="F152" s="219" t="s">
        <v>460</v>
      </c>
      <c r="G152" s="219" t="s">
        <v>8785</v>
      </c>
      <c r="H152" s="219">
        <v>1</v>
      </c>
      <c r="I152" s="219" t="s">
        <v>462</v>
      </c>
      <c r="J152" s="219" t="s">
        <v>8786</v>
      </c>
      <c r="K152" s="219">
        <v>2</v>
      </c>
      <c r="L152" s="219"/>
      <c r="M152" s="312"/>
      <c r="N152" s="219" t="s">
        <v>454</v>
      </c>
      <c r="O152" s="219" t="s">
        <v>452</v>
      </c>
      <c r="P152" s="219"/>
      <c r="Q152" s="219" t="s">
        <v>24</v>
      </c>
      <c r="R152" s="251"/>
      <c r="S152" s="251"/>
      <c r="T152" s="251"/>
      <c r="U152" s="259" t="str">
        <f t="shared" si="2"/>
        <v>Invite Next Year</v>
      </c>
      <c r="V152" s="251"/>
      <c r="W152" s="252"/>
      <c r="X152" s="252"/>
      <c r="Y152" s="252"/>
      <c r="Z152" s="219"/>
      <c r="AA152" s="219"/>
      <c r="AB152" s="219"/>
      <c r="AC152" s="219"/>
      <c r="AD152" s="219"/>
    </row>
    <row r="153" spans="1:30" ht="15.75" hidden="1" customHeight="1">
      <c r="A153" s="253">
        <v>44791</v>
      </c>
      <c r="B153" s="224" t="s">
        <v>9132</v>
      </c>
      <c r="C153" s="316">
        <v>1.5</v>
      </c>
      <c r="D153" s="224" t="s">
        <v>9135</v>
      </c>
      <c r="E153" s="224" t="s">
        <v>3</v>
      </c>
      <c r="F153" s="224" t="s">
        <v>460</v>
      </c>
      <c r="G153" s="224" t="s">
        <v>9136</v>
      </c>
      <c r="H153" s="224">
        <v>1</v>
      </c>
      <c r="I153" s="224" t="s">
        <v>462</v>
      </c>
      <c r="J153" s="224" t="s">
        <v>9137</v>
      </c>
      <c r="K153" s="224">
        <v>2</v>
      </c>
      <c r="L153" s="224"/>
      <c r="M153" s="224"/>
      <c r="N153" s="224" t="s">
        <v>454</v>
      </c>
      <c r="O153" s="224" t="s">
        <v>452</v>
      </c>
      <c r="P153" s="224" t="s">
        <v>9138</v>
      </c>
      <c r="Q153" s="322" t="s">
        <v>24</v>
      </c>
      <c r="R153" s="254"/>
      <c r="S153" s="254"/>
      <c r="T153" s="254"/>
      <c r="U153" s="259" t="str">
        <f t="shared" si="2"/>
        <v>Invite Next Year</v>
      </c>
      <c r="V153" s="254"/>
      <c r="W153" s="224"/>
      <c r="X153" s="224"/>
      <c r="Y153" s="224"/>
      <c r="Z153" s="224"/>
      <c r="AA153" s="224"/>
      <c r="AB153" s="224"/>
      <c r="AC153" s="224"/>
      <c r="AD153" s="224"/>
    </row>
    <row r="154" spans="1:30" ht="15.75" hidden="1" customHeight="1">
      <c r="A154" s="248">
        <v>44796</v>
      </c>
      <c r="B154" s="219" t="s">
        <v>9243</v>
      </c>
      <c r="C154" s="315">
        <v>1.5</v>
      </c>
      <c r="D154" s="219" t="s">
        <v>9246</v>
      </c>
      <c r="E154" s="219" t="s">
        <v>3</v>
      </c>
      <c r="F154" s="219" t="s">
        <v>460</v>
      </c>
      <c r="G154" s="219" t="s">
        <v>9247</v>
      </c>
      <c r="H154" s="219">
        <v>1</v>
      </c>
      <c r="I154" s="219" t="s">
        <v>462</v>
      </c>
      <c r="J154" s="219" t="s">
        <v>9248</v>
      </c>
      <c r="K154" s="219">
        <v>2</v>
      </c>
      <c r="L154" s="219"/>
      <c r="M154" s="219"/>
      <c r="N154" s="219" t="s">
        <v>454</v>
      </c>
      <c r="O154" s="219" t="s">
        <v>452</v>
      </c>
      <c r="P154" s="219" t="s">
        <v>725</v>
      </c>
      <c r="Q154" s="219" t="s">
        <v>24</v>
      </c>
      <c r="R154" s="251"/>
      <c r="S154" s="251"/>
      <c r="T154" s="251"/>
      <c r="U154" s="259" t="str">
        <f t="shared" si="2"/>
        <v>Invite Next Year</v>
      </c>
      <c r="V154" s="251"/>
      <c r="W154" s="219"/>
      <c r="X154" s="219"/>
      <c r="Y154" s="219"/>
      <c r="Z154" s="219"/>
      <c r="AA154" s="219"/>
      <c r="AB154" s="219"/>
      <c r="AC154" s="219"/>
      <c r="AD154" s="219"/>
    </row>
    <row r="155" spans="1:30" ht="15.75" hidden="1" customHeight="1">
      <c r="A155" s="253">
        <v>44796</v>
      </c>
      <c r="B155" s="224" t="s">
        <v>9305</v>
      </c>
      <c r="C155" s="316">
        <v>1.5</v>
      </c>
      <c r="D155" s="224" t="s">
        <v>11370</v>
      </c>
      <c r="E155" s="224" t="s">
        <v>3</v>
      </c>
      <c r="F155" s="224" t="s">
        <v>488</v>
      </c>
      <c r="G155" s="224"/>
      <c r="H155" s="224">
        <v>2</v>
      </c>
      <c r="I155" s="224" t="s">
        <v>941</v>
      </c>
      <c r="J155" s="224"/>
      <c r="K155" s="224">
        <v>1</v>
      </c>
      <c r="L155" s="224" t="s">
        <v>451</v>
      </c>
      <c r="M155" s="224">
        <v>2000000</v>
      </c>
      <c r="N155" s="224" t="s">
        <v>452</v>
      </c>
      <c r="O155" s="224" t="s">
        <v>452</v>
      </c>
      <c r="P155" s="224" t="s">
        <v>2180</v>
      </c>
      <c r="Q155" s="224" t="s">
        <v>24</v>
      </c>
      <c r="R155" s="254"/>
      <c r="S155" s="254"/>
      <c r="T155" s="254"/>
      <c r="U155" s="259" t="str">
        <f t="shared" si="2"/>
        <v>Invite Next Year</v>
      </c>
      <c r="V155" s="254"/>
      <c r="W155" s="224"/>
      <c r="X155" s="224"/>
      <c r="Y155" s="224"/>
      <c r="Z155" s="224"/>
      <c r="AA155" s="224"/>
      <c r="AB155" s="224"/>
      <c r="AC155" s="224"/>
      <c r="AD155" s="224"/>
    </row>
    <row r="156" spans="1:30" ht="15.75" hidden="1" customHeight="1">
      <c r="A156" s="248">
        <v>44797</v>
      </c>
      <c r="B156" s="219" t="s">
        <v>8773</v>
      </c>
      <c r="C156" s="315">
        <v>1.5</v>
      </c>
      <c r="D156" s="219"/>
      <c r="E156" s="219" t="s">
        <v>3</v>
      </c>
      <c r="F156" s="219" t="s">
        <v>488</v>
      </c>
      <c r="G156" s="219" t="s">
        <v>11305</v>
      </c>
      <c r="H156" s="219">
        <v>2</v>
      </c>
      <c r="I156" s="219" t="s">
        <v>941</v>
      </c>
      <c r="J156" s="219" t="s">
        <v>8777</v>
      </c>
      <c r="K156" s="219">
        <v>1</v>
      </c>
      <c r="L156" s="219" t="s">
        <v>2152</v>
      </c>
      <c r="M156" s="219" t="s">
        <v>8778</v>
      </c>
      <c r="N156" s="219" t="s">
        <v>454</v>
      </c>
      <c r="O156" s="219" t="s">
        <v>452</v>
      </c>
      <c r="P156" s="219"/>
      <c r="Q156" s="219" t="s">
        <v>24</v>
      </c>
      <c r="R156" s="251"/>
      <c r="S156" s="251"/>
      <c r="T156" s="251"/>
      <c r="U156" s="259" t="str">
        <f t="shared" si="2"/>
        <v>Invite Next Year</v>
      </c>
      <c r="V156" s="251"/>
      <c r="W156" s="219"/>
      <c r="X156" s="219"/>
      <c r="Y156" s="219"/>
      <c r="Z156" s="219"/>
      <c r="AA156" s="219"/>
      <c r="AB156" s="219"/>
      <c r="AC156" s="219"/>
      <c r="AD156" s="219"/>
    </row>
    <row r="157" spans="1:30" ht="15.75" hidden="1" customHeight="1">
      <c r="A157" s="253">
        <v>44796</v>
      </c>
      <c r="B157" s="224" t="s">
        <v>8997</v>
      </c>
      <c r="C157" s="316">
        <v>1.25</v>
      </c>
      <c r="D157" s="224" t="s">
        <v>9000</v>
      </c>
      <c r="E157" s="224" t="s">
        <v>3</v>
      </c>
      <c r="F157" s="224" t="s">
        <v>460</v>
      </c>
      <c r="G157" s="224" t="s">
        <v>9001</v>
      </c>
      <c r="H157" s="224">
        <v>1.5</v>
      </c>
      <c r="I157" s="224" t="s">
        <v>462</v>
      </c>
      <c r="J157" s="224" t="s">
        <v>9002</v>
      </c>
      <c r="K157" s="224">
        <v>1</v>
      </c>
      <c r="L157" s="224"/>
      <c r="M157" s="224"/>
      <c r="N157" s="224" t="s">
        <v>452</v>
      </c>
      <c r="O157" s="224" t="s">
        <v>9003</v>
      </c>
      <c r="P157" s="224" t="s">
        <v>9004</v>
      </c>
      <c r="Q157" s="224" t="s">
        <v>24</v>
      </c>
      <c r="R157" s="254"/>
      <c r="S157" s="254"/>
      <c r="T157" s="254"/>
      <c r="U157" s="259" t="str">
        <f t="shared" si="2"/>
        <v>Invite Next Year</v>
      </c>
      <c r="V157" s="254"/>
      <c r="W157" s="224"/>
      <c r="X157" s="224"/>
      <c r="Y157" s="224"/>
      <c r="Z157" s="224"/>
      <c r="AA157" s="224"/>
      <c r="AB157" s="224"/>
      <c r="AC157" s="224"/>
      <c r="AD157" s="224"/>
    </row>
    <row r="158" spans="1:30" ht="15.75" hidden="1" customHeight="1">
      <c r="A158" s="212">
        <v>44776</v>
      </c>
      <c r="B158" s="213" t="s">
        <v>9195</v>
      </c>
      <c r="C158" s="214">
        <v>1</v>
      </c>
      <c r="D158" s="213" t="s">
        <v>10183</v>
      </c>
      <c r="E158" s="215" t="s">
        <v>3</v>
      </c>
      <c r="F158" s="213" t="s">
        <v>460</v>
      </c>
      <c r="G158" s="213"/>
      <c r="H158" s="213">
        <v>1</v>
      </c>
      <c r="I158" s="213" t="s">
        <v>462</v>
      </c>
      <c r="J158" s="213"/>
      <c r="K158" s="213">
        <v>1</v>
      </c>
      <c r="L158" s="213" t="s">
        <v>451</v>
      </c>
      <c r="M158" s="225">
        <v>150000</v>
      </c>
      <c r="N158" s="213" t="s">
        <v>452</v>
      </c>
      <c r="O158" s="213" t="s">
        <v>452</v>
      </c>
      <c r="P158" s="143"/>
      <c r="Q158" s="213" t="s">
        <v>24</v>
      </c>
      <c r="R158" s="226">
        <f t="array" ref="R158">INDEX(Notes!C:C,MATCH($B158,Notes!$A:$A,0))</f>
        <v>0</v>
      </c>
      <c r="S158" s="226"/>
      <c r="T158" s="226"/>
      <c r="U158" s="259" t="str">
        <f t="shared" si="2"/>
        <v>Invite Next Year</v>
      </c>
      <c r="V158" s="226"/>
      <c r="W158" s="218"/>
      <c r="X158" s="218"/>
      <c r="Y158" s="218"/>
      <c r="Z158" s="219"/>
      <c r="AA158" s="219"/>
      <c r="AB158" s="219"/>
      <c r="AC158" s="219"/>
      <c r="AD158" s="219"/>
    </row>
    <row r="159" spans="1:30" ht="15.75" hidden="1" customHeight="1">
      <c r="A159" s="220">
        <v>44776</v>
      </c>
      <c r="B159" s="221" t="s">
        <v>8756</v>
      </c>
      <c r="C159" s="214">
        <v>1</v>
      </c>
      <c r="D159" s="221" t="s">
        <v>8759</v>
      </c>
      <c r="E159" s="215" t="s">
        <v>3</v>
      </c>
      <c r="F159" s="221" t="s">
        <v>460</v>
      </c>
      <c r="G159" s="221" t="s">
        <v>8760</v>
      </c>
      <c r="H159" s="221">
        <v>1</v>
      </c>
      <c r="I159" s="221" t="s">
        <v>941</v>
      </c>
      <c r="J159" s="221" t="s">
        <v>8761</v>
      </c>
      <c r="K159" s="221">
        <v>1</v>
      </c>
      <c r="L159" s="221"/>
      <c r="M159" s="221"/>
      <c r="N159" s="221" t="s">
        <v>452</v>
      </c>
      <c r="O159" s="221" t="s">
        <v>10308</v>
      </c>
      <c r="P159" s="145"/>
      <c r="Q159" s="221" t="s">
        <v>24</v>
      </c>
      <c r="R159" s="223">
        <f t="array" ref="R159">INDEX(Notes!C:C,MATCH($B159,Notes!$A:$A,0))</f>
        <v>0</v>
      </c>
      <c r="S159" s="223"/>
      <c r="T159" s="223"/>
      <c r="U159" s="259" t="str">
        <f t="shared" si="2"/>
        <v>Invite Next Year</v>
      </c>
      <c r="V159" s="223"/>
      <c r="W159" s="218"/>
      <c r="X159" s="218"/>
      <c r="Y159" s="218"/>
      <c r="Z159" s="224"/>
      <c r="AA159" s="224"/>
      <c r="AB159" s="224"/>
      <c r="AC159" s="224"/>
      <c r="AD159" s="224"/>
    </row>
    <row r="160" spans="1:30" ht="15.75" hidden="1" customHeight="1">
      <c r="A160" s="212">
        <v>44776</v>
      </c>
      <c r="B160" s="213" t="s">
        <v>11409</v>
      </c>
      <c r="C160" s="214">
        <v>1</v>
      </c>
      <c r="D160" s="213" t="s">
        <v>11410</v>
      </c>
      <c r="E160" s="215" t="s">
        <v>3</v>
      </c>
      <c r="F160" s="213" t="s">
        <v>460</v>
      </c>
      <c r="G160" s="213"/>
      <c r="H160" s="213">
        <v>1</v>
      </c>
      <c r="I160" s="213" t="s">
        <v>462</v>
      </c>
      <c r="J160" s="213" t="s">
        <v>8900</v>
      </c>
      <c r="K160" s="213">
        <v>1</v>
      </c>
      <c r="L160" s="213" t="s">
        <v>451</v>
      </c>
      <c r="M160" s="225">
        <v>3250000</v>
      </c>
      <c r="N160" s="213" t="s">
        <v>465</v>
      </c>
      <c r="O160" s="213" t="s">
        <v>452</v>
      </c>
      <c r="P160" s="143"/>
      <c r="Q160" s="213" t="s">
        <v>24</v>
      </c>
      <c r="R160" s="226">
        <f t="array" ref="R160">INDEX(Notes!C:C,MATCH($B160,Notes!$A:$A,0))</f>
        <v>0</v>
      </c>
      <c r="S160" s="226"/>
      <c r="T160" s="226"/>
      <c r="U160" s="259" t="str">
        <f t="shared" si="2"/>
        <v>Invite Next Year</v>
      </c>
      <c r="V160" s="226"/>
      <c r="W160" s="218"/>
      <c r="X160" s="218"/>
      <c r="Y160" s="218"/>
      <c r="Z160" s="219"/>
      <c r="AA160" s="219"/>
      <c r="AB160" s="219"/>
      <c r="AC160" s="219"/>
      <c r="AD160" s="219"/>
    </row>
    <row r="161" spans="1:30" ht="15.75" hidden="1" customHeight="1">
      <c r="A161" s="253">
        <v>44782</v>
      </c>
      <c r="B161" s="224" t="s">
        <v>8966</v>
      </c>
      <c r="C161" s="249">
        <v>1</v>
      </c>
      <c r="D161" s="224" t="s">
        <v>8969</v>
      </c>
      <c r="E161" s="250" t="s">
        <v>3</v>
      </c>
      <c r="F161" s="224" t="s">
        <v>460</v>
      </c>
      <c r="G161" s="224"/>
      <c r="H161" s="224">
        <v>1</v>
      </c>
      <c r="I161" s="224" t="s">
        <v>941</v>
      </c>
      <c r="J161" s="224"/>
      <c r="K161" s="224">
        <v>1</v>
      </c>
      <c r="L161" s="224"/>
      <c r="M161" s="224"/>
      <c r="N161" s="224" t="s">
        <v>452</v>
      </c>
      <c r="O161" s="224" t="s">
        <v>452</v>
      </c>
      <c r="P161" s="224"/>
      <c r="Q161" s="224" t="s">
        <v>24</v>
      </c>
      <c r="R161" s="254"/>
      <c r="S161" s="254"/>
      <c r="T161" s="254"/>
      <c r="U161" s="259" t="str">
        <f t="shared" si="2"/>
        <v>Invite Next Year</v>
      </c>
      <c r="V161" s="254"/>
      <c r="W161" s="252"/>
      <c r="X161" s="252"/>
      <c r="Y161" s="252"/>
      <c r="Z161" s="224"/>
      <c r="AA161" s="224"/>
      <c r="AB161" s="224"/>
      <c r="AC161" s="224"/>
      <c r="AD161" s="224"/>
    </row>
    <row r="162" spans="1:30" ht="15.75" hidden="1" customHeight="1">
      <c r="A162" s="248">
        <v>44782</v>
      </c>
      <c r="B162" s="219" t="s">
        <v>9015</v>
      </c>
      <c r="C162" s="249">
        <v>1</v>
      </c>
      <c r="D162" s="219" t="s">
        <v>9018</v>
      </c>
      <c r="E162" s="250" t="s">
        <v>3</v>
      </c>
      <c r="F162" s="219" t="s">
        <v>460</v>
      </c>
      <c r="G162" s="219" t="s">
        <v>9019</v>
      </c>
      <c r="H162" s="219">
        <v>1</v>
      </c>
      <c r="I162" s="219" t="s">
        <v>941</v>
      </c>
      <c r="J162" s="219"/>
      <c r="K162" s="219">
        <v>1</v>
      </c>
      <c r="L162" s="219"/>
      <c r="M162" s="219"/>
      <c r="N162" s="219" t="s">
        <v>452</v>
      </c>
      <c r="O162" s="219" t="s">
        <v>452</v>
      </c>
      <c r="P162" s="219"/>
      <c r="Q162" s="219" t="s">
        <v>24</v>
      </c>
      <c r="R162" s="251"/>
      <c r="S162" s="251"/>
      <c r="T162" s="251"/>
      <c r="U162" s="259" t="str">
        <f t="shared" si="2"/>
        <v>Invite Next Year</v>
      </c>
      <c r="V162" s="251"/>
      <c r="W162" s="252"/>
      <c r="X162" s="252"/>
      <c r="Y162" s="252"/>
      <c r="Z162" s="219"/>
      <c r="AA162" s="219"/>
      <c r="AB162" s="219"/>
      <c r="AC162" s="219"/>
      <c r="AD162" s="219"/>
    </row>
    <row r="163" spans="1:30" ht="15.75" hidden="1" customHeight="1">
      <c r="A163" s="253">
        <v>44782</v>
      </c>
      <c r="B163" s="224" t="s">
        <v>8448</v>
      </c>
      <c r="C163" s="249">
        <v>1</v>
      </c>
      <c r="D163" s="224" t="s">
        <v>8451</v>
      </c>
      <c r="E163" s="250" t="s">
        <v>3</v>
      </c>
      <c r="F163" s="224" t="s">
        <v>460</v>
      </c>
      <c r="G163" s="224" t="s">
        <v>8452</v>
      </c>
      <c r="H163" s="224">
        <v>1</v>
      </c>
      <c r="I163" s="224" t="s">
        <v>488</v>
      </c>
      <c r="J163" s="224"/>
      <c r="K163" s="224">
        <v>1</v>
      </c>
      <c r="L163" s="224" t="s">
        <v>8453</v>
      </c>
      <c r="M163" s="224" t="s">
        <v>8454</v>
      </c>
      <c r="N163" s="224" t="s">
        <v>465</v>
      </c>
      <c r="O163" s="224" t="s">
        <v>8455</v>
      </c>
      <c r="P163" s="224"/>
      <c r="Q163" s="224" t="s">
        <v>24</v>
      </c>
      <c r="R163" s="254"/>
      <c r="S163" s="254"/>
      <c r="T163" s="254"/>
      <c r="U163" s="259" t="str">
        <f t="shared" si="2"/>
        <v>Invite Next Year</v>
      </c>
      <c r="V163" s="254"/>
      <c r="W163" s="252"/>
      <c r="X163" s="252"/>
      <c r="Y163" s="252"/>
      <c r="Z163" s="224"/>
      <c r="AA163" s="224"/>
      <c r="AB163" s="224"/>
      <c r="AC163" s="224"/>
      <c r="AD163" s="224"/>
    </row>
    <row r="164" spans="1:30" ht="15.75" hidden="1" customHeight="1">
      <c r="A164" s="267">
        <v>44784</v>
      </c>
      <c r="B164" s="268" t="s">
        <v>10501</v>
      </c>
      <c r="C164" s="269">
        <v>1</v>
      </c>
      <c r="D164" s="268" t="s">
        <v>8735</v>
      </c>
      <c r="E164" s="270" t="s">
        <v>3</v>
      </c>
      <c r="F164" s="268" t="s">
        <v>460</v>
      </c>
      <c r="G164" s="290" t="s">
        <v>8736</v>
      </c>
      <c r="H164" s="268">
        <v>1</v>
      </c>
      <c r="I164" s="268" t="s">
        <v>488</v>
      </c>
      <c r="J164" s="268" t="s">
        <v>8737</v>
      </c>
      <c r="K164" s="268">
        <v>1</v>
      </c>
      <c r="L164" s="268"/>
      <c r="M164" s="268"/>
      <c r="N164" s="268" t="s">
        <v>452</v>
      </c>
      <c r="O164" s="268" t="s">
        <v>452</v>
      </c>
      <c r="P164" s="268"/>
      <c r="Q164" s="268" t="s">
        <v>24</v>
      </c>
      <c r="R164" s="271"/>
      <c r="S164" s="271"/>
      <c r="T164" s="271"/>
      <c r="U164" s="259" t="str">
        <f t="shared" si="2"/>
        <v>Invite Next Year</v>
      </c>
      <c r="V164" s="271"/>
      <c r="W164" s="268"/>
      <c r="X164" s="268"/>
      <c r="Y164" s="268"/>
      <c r="Z164" s="268"/>
      <c r="AA164" s="268"/>
      <c r="AB164" s="219"/>
      <c r="AC164" s="219"/>
      <c r="AD164" s="219"/>
    </row>
    <row r="165" spans="1:30" ht="15.75" hidden="1" customHeight="1">
      <c r="A165" s="267">
        <v>44784</v>
      </c>
      <c r="B165" s="272" t="s">
        <v>8919</v>
      </c>
      <c r="C165" s="269">
        <v>1</v>
      </c>
      <c r="D165" s="272" t="s">
        <v>8922</v>
      </c>
      <c r="E165" s="270" t="s">
        <v>3</v>
      </c>
      <c r="F165" s="272" t="s">
        <v>488</v>
      </c>
      <c r="G165" s="272" t="s">
        <v>8923</v>
      </c>
      <c r="H165" s="272">
        <v>1</v>
      </c>
      <c r="I165" s="272" t="s">
        <v>941</v>
      </c>
      <c r="J165" s="272" t="s">
        <v>8924</v>
      </c>
      <c r="K165" s="272">
        <v>1</v>
      </c>
      <c r="L165" s="272"/>
      <c r="M165" s="272"/>
      <c r="N165" s="272" t="s">
        <v>454</v>
      </c>
      <c r="O165" s="272" t="s">
        <v>575</v>
      </c>
      <c r="P165" s="272"/>
      <c r="Q165" s="272" t="s">
        <v>24</v>
      </c>
      <c r="R165" s="274"/>
      <c r="S165" s="274"/>
      <c r="T165" s="274"/>
      <c r="U165" s="259" t="str">
        <f t="shared" si="2"/>
        <v>Invite Next Year</v>
      </c>
      <c r="V165" s="274"/>
      <c r="W165" s="272"/>
      <c r="X165" s="272"/>
      <c r="Y165" s="272"/>
      <c r="Z165" s="272"/>
      <c r="AA165" s="272"/>
      <c r="AB165" s="224"/>
      <c r="AC165" s="224"/>
      <c r="AD165" s="224"/>
    </row>
    <row r="166" spans="1:30" ht="15.75" hidden="1" customHeight="1">
      <c r="A166" s="267">
        <v>44784</v>
      </c>
      <c r="B166" s="268" t="s">
        <v>8617</v>
      </c>
      <c r="C166" s="269">
        <v>1</v>
      </c>
      <c r="D166" s="268" t="s">
        <v>8620</v>
      </c>
      <c r="E166" s="270" t="s">
        <v>3</v>
      </c>
      <c r="F166" s="268" t="s">
        <v>460</v>
      </c>
      <c r="G166" s="268" t="s">
        <v>8621</v>
      </c>
      <c r="H166" s="268">
        <v>1</v>
      </c>
      <c r="I166" s="268" t="s">
        <v>488</v>
      </c>
      <c r="J166" s="268"/>
      <c r="K166" s="268">
        <v>1</v>
      </c>
      <c r="L166" s="268" t="s">
        <v>451</v>
      </c>
      <c r="M166" s="285">
        <v>10000</v>
      </c>
      <c r="N166" s="268" t="s">
        <v>454</v>
      </c>
      <c r="O166" s="285" t="s">
        <v>1119</v>
      </c>
      <c r="P166" s="268"/>
      <c r="Q166" s="268" t="s">
        <v>24</v>
      </c>
      <c r="R166" s="271"/>
      <c r="S166" s="271"/>
      <c r="T166" s="271"/>
      <c r="U166" s="259" t="str">
        <f t="shared" si="2"/>
        <v>Invite Next Year</v>
      </c>
      <c r="V166" s="271"/>
      <c r="W166" s="268"/>
      <c r="X166" s="268"/>
      <c r="Y166" s="268"/>
      <c r="Z166" s="268"/>
      <c r="AA166" s="268"/>
      <c r="AB166" s="219"/>
      <c r="AC166" s="219"/>
      <c r="AD166" s="219"/>
    </row>
    <row r="167" spans="1:30" ht="15.75" hidden="1" customHeight="1">
      <c r="A167" s="253">
        <v>44789</v>
      </c>
      <c r="B167" s="224" t="s">
        <v>8903</v>
      </c>
      <c r="C167" s="249">
        <v>1</v>
      </c>
      <c r="D167" s="224" t="s">
        <v>10612</v>
      </c>
      <c r="E167" s="250" t="s">
        <v>3</v>
      </c>
      <c r="F167" s="224" t="s">
        <v>460</v>
      </c>
      <c r="G167" s="224" t="s">
        <v>10613</v>
      </c>
      <c r="H167" s="224">
        <v>1</v>
      </c>
      <c r="I167" s="224" t="s">
        <v>941</v>
      </c>
      <c r="J167" s="224"/>
      <c r="K167" s="224">
        <v>1</v>
      </c>
      <c r="L167" s="224" t="s">
        <v>478</v>
      </c>
      <c r="M167" s="311">
        <v>2000000</v>
      </c>
      <c r="N167" s="224" t="s">
        <v>452</v>
      </c>
      <c r="O167" s="224" t="s">
        <v>8907</v>
      </c>
      <c r="P167" s="224"/>
      <c r="Q167" s="224" t="s">
        <v>24</v>
      </c>
      <c r="R167" s="254"/>
      <c r="S167" s="254"/>
      <c r="T167" s="254"/>
      <c r="U167" s="259" t="str">
        <f t="shared" si="2"/>
        <v>Invite Next Year</v>
      </c>
      <c r="V167" s="254"/>
      <c r="W167" s="252"/>
      <c r="X167" s="252"/>
      <c r="Y167" s="252"/>
      <c r="Z167" s="224"/>
      <c r="AA167" s="224"/>
      <c r="AB167" s="224"/>
      <c r="AC167" s="224"/>
      <c r="AD167" s="224"/>
    </row>
    <row r="168" spans="1:30" ht="15.75" hidden="1" customHeight="1">
      <c r="A168" s="248">
        <v>44789</v>
      </c>
      <c r="B168" s="219" t="s">
        <v>9219</v>
      </c>
      <c r="C168" s="249">
        <v>1</v>
      </c>
      <c r="D168" s="219" t="s">
        <v>9222</v>
      </c>
      <c r="E168" s="250" t="s">
        <v>3</v>
      </c>
      <c r="F168" s="219" t="s">
        <v>488</v>
      </c>
      <c r="G168" s="219"/>
      <c r="H168" s="219">
        <v>1</v>
      </c>
      <c r="I168" s="219" t="s">
        <v>462</v>
      </c>
      <c r="J168" s="219" t="s">
        <v>9223</v>
      </c>
      <c r="K168" s="219">
        <v>1</v>
      </c>
      <c r="L168" s="219"/>
      <c r="M168" s="310"/>
      <c r="N168" s="219" t="s">
        <v>454</v>
      </c>
      <c r="O168" s="219" t="s">
        <v>575</v>
      </c>
      <c r="P168" s="219"/>
      <c r="Q168" s="219" t="s">
        <v>24</v>
      </c>
      <c r="R168" s="251"/>
      <c r="S168" s="251"/>
      <c r="T168" s="251"/>
      <c r="U168" s="259" t="str">
        <f t="shared" si="2"/>
        <v>Invite Next Year</v>
      </c>
      <c r="V168" s="251"/>
      <c r="W168" s="252"/>
      <c r="X168" s="252"/>
      <c r="Y168" s="252"/>
      <c r="Z168" s="219"/>
      <c r="AA168" s="219"/>
      <c r="AB168" s="219"/>
      <c r="AC168" s="219"/>
      <c r="AD168" s="219"/>
    </row>
    <row r="169" spans="1:30" ht="15.75" hidden="1" customHeight="1">
      <c r="A169" s="253">
        <v>44791</v>
      </c>
      <c r="B169" s="224" t="s">
        <v>8981</v>
      </c>
      <c r="C169" s="316">
        <v>1</v>
      </c>
      <c r="D169" s="224" t="s">
        <v>8984</v>
      </c>
      <c r="E169" s="224" t="s">
        <v>3</v>
      </c>
      <c r="F169" s="224" t="s">
        <v>488</v>
      </c>
      <c r="G169" s="224"/>
      <c r="H169" s="224">
        <v>1</v>
      </c>
      <c r="I169" s="224" t="s">
        <v>941</v>
      </c>
      <c r="J169" s="224" t="s">
        <v>8985</v>
      </c>
      <c r="K169" s="224">
        <v>1</v>
      </c>
      <c r="L169" s="224" t="s">
        <v>451</v>
      </c>
      <c r="M169" s="307">
        <v>500</v>
      </c>
      <c r="N169" s="224" t="s">
        <v>452</v>
      </c>
      <c r="O169" s="224" t="s">
        <v>3420</v>
      </c>
      <c r="P169" s="224"/>
      <c r="Q169" s="322" t="s">
        <v>24</v>
      </c>
      <c r="R169" s="254"/>
      <c r="S169" s="254"/>
      <c r="T169" s="254"/>
      <c r="U169" s="259" t="str">
        <f t="shared" si="2"/>
        <v>Invite Next Year</v>
      </c>
      <c r="V169" s="254"/>
      <c r="W169" s="224"/>
      <c r="X169" s="224"/>
      <c r="Y169" s="224"/>
      <c r="Z169" s="224"/>
      <c r="AA169" s="224"/>
      <c r="AB169" s="224"/>
      <c r="AC169" s="224"/>
      <c r="AD169" s="224"/>
    </row>
    <row r="170" spans="1:30" ht="15.75" hidden="1" customHeight="1">
      <c r="A170" s="248">
        <v>44791</v>
      </c>
      <c r="B170" s="219" t="s">
        <v>9201</v>
      </c>
      <c r="C170" s="315">
        <v>1</v>
      </c>
      <c r="D170" s="219" t="s">
        <v>9204</v>
      </c>
      <c r="E170" s="219" t="s">
        <v>3</v>
      </c>
      <c r="F170" s="219" t="s">
        <v>460</v>
      </c>
      <c r="G170" s="219" t="s">
        <v>9205</v>
      </c>
      <c r="H170" s="219">
        <v>1</v>
      </c>
      <c r="I170" s="219" t="s">
        <v>462</v>
      </c>
      <c r="J170" s="219" t="s">
        <v>9206</v>
      </c>
      <c r="K170" s="219">
        <v>1</v>
      </c>
      <c r="L170" s="219"/>
      <c r="M170" s="219"/>
      <c r="N170" s="219" t="s">
        <v>452</v>
      </c>
      <c r="O170" s="219" t="s">
        <v>9207</v>
      </c>
      <c r="P170" s="219"/>
      <c r="Q170" s="322" t="s">
        <v>24</v>
      </c>
      <c r="R170" s="251"/>
      <c r="S170" s="251"/>
      <c r="T170" s="251"/>
      <c r="U170" s="259" t="str">
        <f t="shared" si="2"/>
        <v>Invite Next Year</v>
      </c>
      <c r="V170" s="251"/>
      <c r="W170" s="219"/>
      <c r="X170" s="219"/>
      <c r="Y170" s="219"/>
      <c r="Z170" s="219"/>
      <c r="AA170" s="219"/>
      <c r="AB170" s="219"/>
      <c r="AC170" s="219"/>
      <c r="AD170" s="219"/>
    </row>
    <row r="171" spans="1:30" ht="15.75" hidden="1" customHeight="1">
      <c r="A171" s="253">
        <v>44796</v>
      </c>
      <c r="B171" s="224" t="s">
        <v>10349</v>
      </c>
      <c r="C171" s="316">
        <v>1</v>
      </c>
      <c r="D171" s="224" t="s">
        <v>8461</v>
      </c>
      <c r="E171" s="224" t="s">
        <v>3</v>
      </c>
      <c r="F171" s="224" t="s">
        <v>460</v>
      </c>
      <c r="G171" s="224" t="s">
        <v>8462</v>
      </c>
      <c r="H171" s="224">
        <v>1</v>
      </c>
      <c r="I171" s="224" t="s">
        <v>462</v>
      </c>
      <c r="J171" s="224" t="s">
        <v>8463</v>
      </c>
      <c r="K171" s="224">
        <v>1</v>
      </c>
      <c r="L171" s="224"/>
      <c r="M171" s="224"/>
      <c r="N171" s="224" t="s">
        <v>452</v>
      </c>
      <c r="O171" s="224" t="s">
        <v>452</v>
      </c>
      <c r="P171" s="224"/>
      <c r="Q171" s="224" t="s">
        <v>24</v>
      </c>
      <c r="R171" s="254"/>
      <c r="S171" s="254"/>
      <c r="T171" s="254"/>
      <c r="U171" s="259" t="str">
        <f t="shared" si="2"/>
        <v>Invite Next Year</v>
      </c>
      <c r="V171" s="254"/>
      <c r="W171" s="224"/>
      <c r="X171" s="224"/>
      <c r="Y171" s="224"/>
      <c r="Z171" s="224"/>
      <c r="AA171" s="224"/>
      <c r="AB171" s="224"/>
      <c r="AC171" s="224"/>
      <c r="AD171" s="224"/>
    </row>
    <row r="172" spans="1:30" ht="15.75" hidden="1" customHeight="1">
      <c r="A172" s="248">
        <v>44796</v>
      </c>
      <c r="B172" s="219" t="s">
        <v>8570</v>
      </c>
      <c r="C172" s="315">
        <v>1</v>
      </c>
      <c r="D172" s="219" t="s">
        <v>8573</v>
      </c>
      <c r="E172" s="219" t="s">
        <v>3</v>
      </c>
      <c r="F172" s="219" t="s">
        <v>460</v>
      </c>
      <c r="G172" s="219" t="s">
        <v>8574</v>
      </c>
      <c r="H172" s="219">
        <v>1</v>
      </c>
      <c r="I172" s="219" t="s">
        <v>462</v>
      </c>
      <c r="J172" s="219" t="s">
        <v>8575</v>
      </c>
      <c r="K172" s="219">
        <v>1</v>
      </c>
      <c r="L172" s="219"/>
      <c r="M172" s="219"/>
      <c r="N172" s="219" t="s">
        <v>452</v>
      </c>
      <c r="O172" s="219" t="s">
        <v>8576</v>
      </c>
      <c r="P172" s="219" t="s">
        <v>8577</v>
      </c>
      <c r="Q172" s="219" t="s">
        <v>24</v>
      </c>
      <c r="R172" s="251"/>
      <c r="S172" s="251"/>
      <c r="T172" s="251"/>
      <c r="U172" s="259" t="str">
        <f t="shared" si="2"/>
        <v>Invite Next Year</v>
      </c>
      <c r="V172" s="251"/>
      <c r="W172" s="219"/>
      <c r="X172" s="219"/>
      <c r="Y172" s="219"/>
      <c r="Z172" s="219"/>
      <c r="AA172" s="219"/>
      <c r="AB172" s="219"/>
      <c r="AC172" s="219"/>
      <c r="AD172" s="219"/>
    </row>
    <row r="173" spans="1:30" ht="15.75" hidden="1" customHeight="1">
      <c r="A173" s="253">
        <v>44796</v>
      </c>
      <c r="B173" s="224" t="s">
        <v>8958</v>
      </c>
      <c r="C173" s="316">
        <v>1</v>
      </c>
      <c r="D173" s="224" t="s">
        <v>10754</v>
      </c>
      <c r="E173" s="224" t="s">
        <v>3</v>
      </c>
      <c r="F173" s="224" t="s">
        <v>460</v>
      </c>
      <c r="G173" s="224" t="s">
        <v>8962</v>
      </c>
      <c r="H173" s="224">
        <v>1</v>
      </c>
      <c r="I173" s="224" t="s">
        <v>462</v>
      </c>
      <c r="J173" s="224" t="s">
        <v>8963</v>
      </c>
      <c r="K173" s="224">
        <v>1</v>
      </c>
      <c r="L173" s="224"/>
      <c r="M173" s="224"/>
      <c r="N173" s="224" t="s">
        <v>454</v>
      </c>
      <c r="O173" s="224" t="s">
        <v>8964</v>
      </c>
      <c r="P173" s="224"/>
      <c r="Q173" s="224" t="s">
        <v>24</v>
      </c>
      <c r="R173" s="254"/>
      <c r="S173" s="254"/>
      <c r="T173" s="254"/>
      <c r="U173" s="259" t="str">
        <f t="shared" si="2"/>
        <v>Invite Next Year</v>
      </c>
      <c r="V173" s="254"/>
      <c r="W173" s="224"/>
      <c r="X173" s="224"/>
      <c r="Y173" s="224"/>
      <c r="Z173" s="224"/>
      <c r="AA173" s="224"/>
      <c r="AB173" s="224"/>
      <c r="AC173" s="224"/>
      <c r="AD173" s="224"/>
    </row>
    <row r="174" spans="1:30" ht="15.75" hidden="1" customHeight="1">
      <c r="A174" s="248">
        <v>44796</v>
      </c>
      <c r="B174" s="219" t="s">
        <v>8639</v>
      </c>
      <c r="C174" s="315">
        <v>1</v>
      </c>
      <c r="D174" s="219" t="s">
        <v>8642</v>
      </c>
      <c r="E174" s="219" t="s">
        <v>3</v>
      </c>
      <c r="F174" s="219" t="s">
        <v>488</v>
      </c>
      <c r="G174" s="219"/>
      <c r="H174" s="219">
        <v>1</v>
      </c>
      <c r="I174" s="219" t="s">
        <v>462</v>
      </c>
      <c r="J174" s="219" t="s">
        <v>8643</v>
      </c>
      <c r="K174" s="219">
        <v>1</v>
      </c>
      <c r="L174" s="219"/>
      <c r="M174" s="219"/>
      <c r="N174" s="219" t="s">
        <v>454</v>
      </c>
      <c r="O174" s="219" t="s">
        <v>575</v>
      </c>
      <c r="P174" s="219"/>
      <c r="Q174" s="219" t="s">
        <v>24</v>
      </c>
      <c r="R174" s="251"/>
      <c r="S174" s="251"/>
      <c r="T174" s="251"/>
      <c r="U174" s="259" t="str">
        <f t="shared" si="2"/>
        <v>Invite Next Year</v>
      </c>
      <c r="V174" s="251"/>
      <c r="W174" s="219"/>
      <c r="X174" s="219"/>
      <c r="Y174" s="219"/>
      <c r="Z174" s="219"/>
      <c r="AA174" s="219"/>
      <c r="AB174" s="219"/>
      <c r="AC174" s="219"/>
      <c r="AD174" s="219"/>
    </row>
    <row r="175" spans="1:30" ht="15.75" hidden="1" customHeight="1">
      <c r="A175" s="267">
        <v>44784</v>
      </c>
      <c r="B175" s="272" t="s">
        <v>8598</v>
      </c>
      <c r="C175" s="269">
        <v>0.5</v>
      </c>
      <c r="D175" s="272" t="s">
        <v>8601</v>
      </c>
      <c r="E175" s="270" t="s">
        <v>3</v>
      </c>
      <c r="F175" s="272" t="s">
        <v>460</v>
      </c>
      <c r="G175" s="272" t="s">
        <v>8602</v>
      </c>
      <c r="H175" s="272">
        <v>0</v>
      </c>
      <c r="I175" s="272" t="s">
        <v>462</v>
      </c>
      <c r="J175" s="272" t="s">
        <v>8603</v>
      </c>
      <c r="K175" s="272">
        <v>1</v>
      </c>
      <c r="L175" s="272"/>
      <c r="M175" s="272"/>
      <c r="N175" s="272" t="s">
        <v>452</v>
      </c>
      <c r="O175" s="272" t="s">
        <v>452</v>
      </c>
      <c r="P175" s="272" t="s">
        <v>8604</v>
      </c>
      <c r="Q175" s="272" t="s">
        <v>24</v>
      </c>
      <c r="R175" s="274"/>
      <c r="S175" s="274"/>
      <c r="T175" s="274"/>
      <c r="U175" s="259" t="str">
        <f t="shared" si="2"/>
        <v>Invite Next Year</v>
      </c>
      <c r="V175" s="274"/>
      <c r="W175" s="272"/>
      <c r="X175" s="272"/>
      <c r="Y175" s="272"/>
      <c r="Z175" s="272"/>
      <c r="AA175" s="272"/>
      <c r="AB175" s="224"/>
      <c r="AC175" s="224"/>
      <c r="AD175" s="224"/>
    </row>
    <row r="176" spans="1:30" ht="15.75" hidden="1" customHeight="1">
      <c r="A176" s="267">
        <v>44784</v>
      </c>
      <c r="B176" s="268" t="s">
        <v>8950</v>
      </c>
      <c r="C176" s="269">
        <v>0</v>
      </c>
      <c r="D176" s="268" t="s">
        <v>8953</v>
      </c>
      <c r="E176" s="270" t="s">
        <v>3</v>
      </c>
      <c r="F176" s="268" t="s">
        <v>460</v>
      </c>
      <c r="G176" s="268" t="s">
        <v>8954</v>
      </c>
      <c r="H176" s="268">
        <v>0</v>
      </c>
      <c r="I176" s="268" t="s">
        <v>447</v>
      </c>
      <c r="J176" s="268"/>
      <c r="K176" s="268">
        <v>0</v>
      </c>
      <c r="L176" s="268" t="s">
        <v>451</v>
      </c>
      <c r="M176" s="268" t="s">
        <v>8955</v>
      </c>
      <c r="N176" s="268" t="s">
        <v>452</v>
      </c>
      <c r="O176" s="268" t="s">
        <v>575</v>
      </c>
      <c r="P176" s="268"/>
      <c r="Q176" s="268" t="s">
        <v>24</v>
      </c>
      <c r="R176" s="271"/>
      <c r="S176" s="271"/>
      <c r="T176" s="271"/>
      <c r="U176" s="259" t="str">
        <f t="shared" si="2"/>
        <v>Invite Next Year</v>
      </c>
      <c r="V176" s="271"/>
      <c r="W176" s="268"/>
      <c r="X176" s="268"/>
      <c r="Y176" s="268"/>
      <c r="Z176" s="268"/>
      <c r="AA176" s="268"/>
      <c r="AB176" s="219"/>
      <c r="AC176" s="219"/>
      <c r="AD176" s="219"/>
    </row>
    <row r="177" spans="1:30" ht="15.75" hidden="1" customHeight="1">
      <c r="A177" s="227">
        <v>44776</v>
      </c>
      <c r="B177" s="228" t="s">
        <v>9334</v>
      </c>
      <c r="C177" s="214">
        <v>2.5</v>
      </c>
      <c r="D177" s="228" t="s">
        <v>9337</v>
      </c>
      <c r="E177" s="215" t="s">
        <v>3</v>
      </c>
      <c r="F177" s="228" t="s">
        <v>460</v>
      </c>
      <c r="G177" s="228"/>
      <c r="H177" s="228">
        <v>1</v>
      </c>
      <c r="I177" s="228" t="s">
        <v>462</v>
      </c>
      <c r="J177" s="228" t="s">
        <v>9338</v>
      </c>
      <c r="K177" s="228">
        <v>4</v>
      </c>
      <c r="L177" s="228"/>
      <c r="M177" s="232">
        <v>250000</v>
      </c>
      <c r="N177" s="228" t="s">
        <v>452</v>
      </c>
      <c r="O177" s="228" t="s">
        <v>452</v>
      </c>
      <c r="P177" s="230"/>
      <c r="Q177" s="228" t="s">
        <v>25</v>
      </c>
      <c r="R177" s="231" t="s">
        <v>9339</v>
      </c>
      <c r="S177" s="231"/>
      <c r="T177" s="231"/>
      <c r="U177" s="259" t="str">
        <f t="shared" si="2"/>
        <v>Reject</v>
      </c>
      <c r="V177" s="231"/>
      <c r="W177" s="228"/>
      <c r="X177" s="228"/>
      <c r="Y177" s="228"/>
      <c r="Z177" s="224"/>
      <c r="AA177" s="224"/>
      <c r="AB177" s="224"/>
      <c r="AC177" s="224"/>
      <c r="AD177" s="224"/>
    </row>
    <row r="178" spans="1:30" ht="15.75" hidden="1" customHeight="1">
      <c r="A178" s="248">
        <v>44791</v>
      </c>
      <c r="B178" s="219" t="s">
        <v>354</v>
      </c>
      <c r="C178" s="249">
        <v>4.25</v>
      </c>
      <c r="D178" s="219" t="s">
        <v>10546</v>
      </c>
      <c r="E178" s="219" t="s">
        <v>3</v>
      </c>
      <c r="F178" s="219" t="s">
        <v>725</v>
      </c>
      <c r="G178" s="219" t="s">
        <v>10547</v>
      </c>
      <c r="H178" s="219">
        <v>4</v>
      </c>
      <c r="I178" s="219" t="s">
        <v>941</v>
      </c>
      <c r="J178" s="219"/>
      <c r="K178" s="219">
        <v>4.5</v>
      </c>
      <c r="L178" s="219"/>
      <c r="M178" s="312"/>
      <c r="N178" s="219" t="s">
        <v>452</v>
      </c>
      <c r="O178" s="219" t="s">
        <v>452</v>
      </c>
      <c r="P178" s="219"/>
      <c r="Q178" s="219" t="s">
        <v>18</v>
      </c>
      <c r="R178" s="251"/>
      <c r="S178" s="370" t="str">
        <f ca="1">VLOOKUP($B178,'2022-2023 Third Reviews'!C:L, 9)</f>
        <v>Jason Yu
3</v>
      </c>
      <c r="T178" s="251" t="s">
        <v>11887</v>
      </c>
      <c r="U178" s="251" t="s">
        <v>23</v>
      </c>
      <c r="V178" s="325" t="s">
        <v>454</v>
      </c>
      <c r="W178" s="219"/>
      <c r="X178" s="219"/>
      <c r="Y178" s="219"/>
      <c r="Z178" s="219"/>
      <c r="AA178" s="219"/>
      <c r="AB178" s="219"/>
      <c r="AC178" s="219"/>
      <c r="AD178" s="219"/>
    </row>
    <row r="179" spans="1:30" ht="15.75" hidden="1" customHeight="1">
      <c r="A179" s="373">
        <v>44796</v>
      </c>
      <c r="B179" s="374" t="s">
        <v>318</v>
      </c>
      <c r="C179" s="249">
        <v>4</v>
      </c>
      <c r="D179" s="374" t="s">
        <v>11378</v>
      </c>
      <c r="E179" s="374" t="s">
        <v>3</v>
      </c>
      <c r="F179" s="374" t="s">
        <v>725</v>
      </c>
      <c r="G179" s="374" t="s">
        <v>11379</v>
      </c>
      <c r="H179" s="374">
        <v>4</v>
      </c>
      <c r="I179" s="374" t="s">
        <v>941</v>
      </c>
      <c r="J179" s="374" t="s">
        <v>9681</v>
      </c>
      <c r="K179" s="374">
        <v>4</v>
      </c>
      <c r="L179" s="374" t="s">
        <v>451</v>
      </c>
      <c r="M179" s="375">
        <v>6000000</v>
      </c>
      <c r="N179" s="374" t="s">
        <v>452</v>
      </c>
      <c r="O179" s="374" t="s">
        <v>9682</v>
      </c>
      <c r="P179" s="374"/>
      <c r="Q179" s="374" t="s">
        <v>18</v>
      </c>
      <c r="R179" s="376" t="s">
        <v>11908</v>
      </c>
      <c r="S179" s="370" t="str">
        <f ca="1">VLOOKUP($B179,'2022-2023 Third Reviews'!C:L, 9)</f>
        <v>Jason Yu
5</v>
      </c>
      <c r="T179" s="376" t="s">
        <v>11877</v>
      </c>
      <c r="U179" s="376" t="s">
        <v>23</v>
      </c>
      <c r="V179" s="325" t="s">
        <v>454</v>
      </c>
      <c r="W179" s="374"/>
      <c r="X179" s="374"/>
      <c r="Y179" s="374"/>
      <c r="Z179" s="374"/>
      <c r="AA179" s="374"/>
      <c r="AB179" s="374"/>
      <c r="AC179" s="374"/>
      <c r="AD179" s="374"/>
    </row>
    <row r="180" spans="1:30" ht="15.75" hidden="1" customHeight="1">
      <c r="A180" s="248">
        <v>44797</v>
      </c>
      <c r="B180" s="219" t="s">
        <v>330</v>
      </c>
      <c r="C180" s="249">
        <v>4</v>
      </c>
      <c r="D180" s="219" t="s">
        <v>9687</v>
      </c>
      <c r="E180" s="219" t="s">
        <v>3</v>
      </c>
      <c r="F180" s="219" t="s">
        <v>488</v>
      </c>
      <c r="G180" s="219" t="s">
        <v>10816</v>
      </c>
      <c r="H180" s="219">
        <v>4</v>
      </c>
      <c r="I180" s="219" t="s">
        <v>941</v>
      </c>
      <c r="J180" s="219" t="s">
        <v>9689</v>
      </c>
      <c r="K180" s="219">
        <v>4</v>
      </c>
      <c r="L180" s="219" t="s">
        <v>451</v>
      </c>
      <c r="M180" s="331">
        <v>2000000</v>
      </c>
      <c r="N180" s="219" t="s">
        <v>452</v>
      </c>
      <c r="O180" s="219" t="s">
        <v>9690</v>
      </c>
      <c r="P180" s="219"/>
      <c r="Q180" s="219" t="s">
        <v>18</v>
      </c>
      <c r="R180" s="251" t="s">
        <v>11909</v>
      </c>
      <c r="S180" s="370" t="str">
        <f ca="1">VLOOKUP($B180,'2022-2023 Third Reviews'!C:L, 9)</f>
        <v>Nick Schmandt
4</v>
      </c>
      <c r="T180" s="251" t="s">
        <v>11891</v>
      </c>
      <c r="U180" s="251" t="s">
        <v>23</v>
      </c>
      <c r="V180" s="325" t="s">
        <v>481</v>
      </c>
      <c r="W180" s="219"/>
      <c r="X180" s="219"/>
      <c r="Y180" s="219"/>
      <c r="Z180" s="219"/>
      <c r="AA180" s="219"/>
      <c r="AB180" s="219"/>
      <c r="AC180" s="219"/>
      <c r="AD180" s="219"/>
    </row>
    <row r="181" spans="1:30" ht="15.75" hidden="1" customHeight="1">
      <c r="A181" s="253">
        <v>44791</v>
      </c>
      <c r="B181" s="224" t="s">
        <v>332</v>
      </c>
      <c r="C181" s="249">
        <v>4</v>
      </c>
      <c r="D181" s="224" t="s">
        <v>9695</v>
      </c>
      <c r="E181" s="224" t="s">
        <v>3</v>
      </c>
      <c r="F181" s="224" t="s">
        <v>725</v>
      </c>
      <c r="G181" s="224" t="s">
        <v>10528</v>
      </c>
      <c r="H181" s="224">
        <v>4</v>
      </c>
      <c r="I181" s="224" t="s">
        <v>488</v>
      </c>
      <c r="J181" s="224"/>
      <c r="K181" s="224">
        <v>4</v>
      </c>
      <c r="L181" s="224"/>
      <c r="M181" s="224"/>
      <c r="N181" s="224" t="s">
        <v>452</v>
      </c>
      <c r="O181" s="224" t="s">
        <v>9697</v>
      </c>
      <c r="P181" s="224" t="s">
        <v>9698</v>
      </c>
      <c r="Q181" s="224" t="s">
        <v>18</v>
      </c>
      <c r="R181" s="254"/>
      <c r="S181" s="370" t="str">
        <f ca="1">VLOOKUP($B181,'2022-2023 Third Reviews'!C:L, 9)</f>
        <v>Nick Schmandt
2</v>
      </c>
      <c r="T181" s="254" t="s">
        <v>11878</v>
      </c>
      <c r="U181" s="223" t="s">
        <v>23</v>
      </c>
      <c r="V181" s="325" t="s">
        <v>481</v>
      </c>
      <c r="W181" s="224"/>
      <c r="X181" s="224"/>
      <c r="Y181" s="224"/>
      <c r="Z181" s="224"/>
      <c r="AA181" s="224"/>
      <c r="AB181" s="224"/>
      <c r="AC181" s="224"/>
      <c r="AD181" s="224"/>
    </row>
    <row r="182" spans="1:30" ht="15.75" hidden="1" customHeight="1">
      <c r="A182" s="212">
        <v>44776</v>
      </c>
      <c r="B182" s="213" t="s">
        <v>341</v>
      </c>
      <c r="C182" s="214">
        <v>4</v>
      </c>
      <c r="D182" s="213" t="s">
        <v>9714</v>
      </c>
      <c r="E182" s="213" t="s">
        <v>3</v>
      </c>
      <c r="F182" s="213" t="s">
        <v>460</v>
      </c>
      <c r="G182" s="213" t="s">
        <v>9715</v>
      </c>
      <c r="H182" s="213">
        <v>4</v>
      </c>
      <c r="I182" s="213" t="s">
        <v>488</v>
      </c>
      <c r="J182" s="213" t="s">
        <v>9716</v>
      </c>
      <c r="K182" s="213">
        <v>4</v>
      </c>
      <c r="L182" s="213" t="s">
        <v>451</v>
      </c>
      <c r="M182" s="225">
        <v>5000000</v>
      </c>
      <c r="N182" s="213" t="s">
        <v>452</v>
      </c>
      <c r="O182" s="213" t="s">
        <v>11392</v>
      </c>
      <c r="P182" s="143" t="s">
        <v>9718</v>
      </c>
      <c r="Q182" s="213" t="s">
        <v>18</v>
      </c>
      <c r="R182" s="226">
        <f t="array" ref="R182">INDEX(Notes!C:C,MATCH($B182,Notes!$A:$A,0))</f>
        <v>0</v>
      </c>
      <c r="S182" s="370" t="str">
        <f ca="1">VLOOKUP($B182,'2022-2023 Third Reviews'!C:L, 9)</f>
        <v>John McDonald
4</v>
      </c>
      <c r="T182" s="226" t="s">
        <v>11878</v>
      </c>
      <c r="U182" s="226" t="s">
        <v>23</v>
      </c>
      <c r="V182" s="325" t="s">
        <v>454</v>
      </c>
      <c r="W182" s="213"/>
      <c r="X182" s="213"/>
      <c r="Y182" s="213"/>
      <c r="Z182" s="219"/>
      <c r="AA182" s="219"/>
      <c r="AB182" s="219"/>
      <c r="AC182" s="219"/>
      <c r="AD182" s="219"/>
    </row>
    <row r="183" spans="1:30" ht="15.75" hidden="1" customHeight="1">
      <c r="A183" s="253">
        <v>44789</v>
      </c>
      <c r="B183" s="224" t="s">
        <v>350</v>
      </c>
      <c r="C183" s="249">
        <v>4</v>
      </c>
      <c r="D183" s="224" t="s">
        <v>9723</v>
      </c>
      <c r="E183" s="224" t="s">
        <v>3</v>
      </c>
      <c r="F183" s="224" t="s">
        <v>460</v>
      </c>
      <c r="G183" s="224" t="s">
        <v>9724</v>
      </c>
      <c r="H183" s="224">
        <v>4</v>
      </c>
      <c r="I183" s="224" t="s">
        <v>462</v>
      </c>
      <c r="J183" s="224" t="s">
        <v>9725</v>
      </c>
      <c r="K183" s="224">
        <v>4</v>
      </c>
      <c r="L183" s="224" t="s">
        <v>478</v>
      </c>
      <c r="M183" s="307">
        <v>10000000</v>
      </c>
      <c r="N183" s="224" t="s">
        <v>452</v>
      </c>
      <c r="O183" s="224" t="s">
        <v>9726</v>
      </c>
      <c r="P183" s="224"/>
      <c r="Q183" s="224" t="s">
        <v>18</v>
      </c>
      <c r="R183" s="254"/>
      <c r="S183" s="370" t="str">
        <f ca="1">VLOOKUP($B183,'2022-2023 Third Reviews'!C:L, 9)</f>
        <v>John McDonald
4</v>
      </c>
      <c r="T183" s="254" t="s">
        <v>11887</v>
      </c>
      <c r="U183" s="254" t="s">
        <v>23</v>
      </c>
      <c r="V183" s="325" t="s">
        <v>454</v>
      </c>
      <c r="W183" s="224"/>
      <c r="X183" s="224"/>
      <c r="Y183" s="224"/>
      <c r="Z183" s="224"/>
      <c r="AA183" s="224"/>
      <c r="AB183" s="224"/>
      <c r="AC183" s="224"/>
      <c r="AD183" s="224"/>
    </row>
    <row r="184" spans="1:30" ht="15.75" hidden="1" customHeight="1">
      <c r="A184" s="248">
        <v>44796</v>
      </c>
      <c r="B184" s="219" t="s">
        <v>351</v>
      </c>
      <c r="C184" s="249">
        <v>4</v>
      </c>
      <c r="D184" s="219" t="s">
        <v>10567</v>
      </c>
      <c r="E184" s="219" t="s">
        <v>3</v>
      </c>
      <c r="F184" s="219" t="s">
        <v>460</v>
      </c>
      <c r="G184" s="219" t="s">
        <v>9732</v>
      </c>
      <c r="H184" s="219">
        <v>4</v>
      </c>
      <c r="I184" s="219" t="s">
        <v>462</v>
      </c>
      <c r="J184" s="219" t="s">
        <v>9733</v>
      </c>
      <c r="K184" s="219">
        <v>4</v>
      </c>
      <c r="L184" s="219"/>
      <c r="M184" s="219"/>
      <c r="N184" s="219" t="s">
        <v>465</v>
      </c>
      <c r="O184" s="219" t="s">
        <v>9734</v>
      </c>
      <c r="P184" s="219"/>
      <c r="Q184" s="219" t="s">
        <v>18</v>
      </c>
      <c r="R184" s="251"/>
      <c r="S184" s="370" t="str">
        <f ca="1">VLOOKUP($B184,'2022-2023 Third Reviews'!C:L, 9)</f>
        <v>John McDonald
4</v>
      </c>
      <c r="T184" s="251" t="s">
        <v>11877</v>
      </c>
      <c r="U184" s="251" t="s">
        <v>23</v>
      </c>
      <c r="V184" s="325" t="s">
        <v>454</v>
      </c>
      <c r="W184" s="219"/>
      <c r="X184" s="219"/>
      <c r="Y184" s="219"/>
      <c r="Z184" s="219"/>
      <c r="AA184" s="219"/>
      <c r="AB184" s="219"/>
      <c r="AC184" s="219"/>
      <c r="AD184" s="219"/>
    </row>
    <row r="185" spans="1:30" ht="15.75" hidden="1" customHeight="1">
      <c r="A185" s="377">
        <v>44784</v>
      </c>
      <c r="B185" s="378" t="s">
        <v>353</v>
      </c>
      <c r="C185" s="269">
        <v>4</v>
      </c>
      <c r="D185" s="378" t="s">
        <v>9739</v>
      </c>
      <c r="E185" s="378" t="s">
        <v>3</v>
      </c>
      <c r="F185" s="378" t="s">
        <v>460</v>
      </c>
      <c r="G185" s="378" t="s">
        <v>9740</v>
      </c>
      <c r="H185" s="378">
        <v>4</v>
      </c>
      <c r="I185" s="378" t="s">
        <v>462</v>
      </c>
      <c r="J185" s="378" t="s">
        <v>9741</v>
      </c>
      <c r="K185" s="378">
        <v>4</v>
      </c>
      <c r="L185" s="378" t="s">
        <v>478</v>
      </c>
      <c r="M185" s="379">
        <v>10000000</v>
      </c>
      <c r="N185" s="378" t="s">
        <v>465</v>
      </c>
      <c r="O185" s="379" t="s">
        <v>452</v>
      </c>
      <c r="P185" s="378"/>
      <c r="Q185" s="378" t="s">
        <v>20</v>
      </c>
      <c r="R185" s="380" t="s">
        <v>9742</v>
      </c>
      <c r="S185" s="370" t="str">
        <f ca="1">VLOOKUP($B185,'2022-2023 Third Reviews'!C:L, 9)</f>
        <v>John McDonald
5</v>
      </c>
      <c r="T185" s="380" t="s">
        <v>11878</v>
      </c>
      <c r="U185" s="380" t="s">
        <v>23</v>
      </c>
      <c r="V185" s="325" t="s">
        <v>481</v>
      </c>
      <c r="W185" s="378"/>
      <c r="X185" s="378"/>
      <c r="Y185" s="378"/>
      <c r="Z185" s="378"/>
      <c r="AA185" s="378"/>
      <c r="AB185" s="374"/>
      <c r="AC185" s="374"/>
      <c r="AD185" s="374"/>
    </row>
    <row r="186" spans="1:30" ht="15.75" hidden="1" customHeight="1">
      <c r="A186" s="212">
        <v>44776</v>
      </c>
      <c r="B186" s="213" t="s">
        <v>355</v>
      </c>
      <c r="C186" s="214">
        <v>4</v>
      </c>
      <c r="D186" s="213" t="s">
        <v>9764</v>
      </c>
      <c r="E186" s="213" t="s">
        <v>3</v>
      </c>
      <c r="F186" s="213" t="s">
        <v>460</v>
      </c>
      <c r="G186" s="213" t="s">
        <v>9765</v>
      </c>
      <c r="H186" s="213">
        <v>4</v>
      </c>
      <c r="I186" s="213" t="s">
        <v>462</v>
      </c>
      <c r="J186" s="213" t="s">
        <v>9766</v>
      </c>
      <c r="K186" s="213">
        <v>4</v>
      </c>
      <c r="L186" s="213" t="s">
        <v>784</v>
      </c>
      <c r="M186" s="213">
        <v>3000000</v>
      </c>
      <c r="N186" s="213" t="s">
        <v>452</v>
      </c>
      <c r="O186" s="213" t="s">
        <v>555</v>
      </c>
      <c r="P186" s="143" t="s">
        <v>1281</v>
      </c>
      <c r="Q186" s="213" t="str">
        <f t="array" ref="Q186">INDEX(Notes!B:B,MATCH($B186,Notes!$A:$A,0))</f>
        <v>Invite</v>
      </c>
      <c r="R186" s="226" t="s">
        <v>11393</v>
      </c>
      <c r="S186" s="370" t="str">
        <f ca="1">VLOOKUP($B186,'2022-2023 Third Reviews'!C:L, 9)</f>
        <v>John McDonald
2</v>
      </c>
      <c r="T186" s="226" t="s">
        <v>11896</v>
      </c>
      <c r="U186" s="226" t="s">
        <v>23</v>
      </c>
      <c r="V186" s="325" t="s">
        <v>481</v>
      </c>
      <c r="W186" s="213"/>
      <c r="X186" s="213"/>
      <c r="Y186" s="213"/>
      <c r="Z186" s="219"/>
      <c r="AA186" s="219"/>
      <c r="AB186" s="219"/>
      <c r="AC186" s="219"/>
      <c r="AD186" s="219"/>
    </row>
    <row r="187" spans="1:30" ht="15.75" hidden="1" customHeight="1">
      <c r="A187" s="253">
        <v>44796</v>
      </c>
      <c r="B187" s="224" t="s">
        <v>365</v>
      </c>
      <c r="C187" s="249">
        <v>4</v>
      </c>
      <c r="D187" s="224" t="s">
        <v>9802</v>
      </c>
      <c r="E187" s="224" t="s">
        <v>3</v>
      </c>
      <c r="F187" s="224" t="s">
        <v>488</v>
      </c>
      <c r="G187" s="224" t="s">
        <v>9803</v>
      </c>
      <c r="H187" s="224">
        <v>4</v>
      </c>
      <c r="I187" s="224" t="s">
        <v>941</v>
      </c>
      <c r="J187" s="224" t="s">
        <v>9804</v>
      </c>
      <c r="K187" s="224">
        <v>4</v>
      </c>
      <c r="L187" s="224" t="s">
        <v>478</v>
      </c>
      <c r="M187" s="224">
        <v>12000000</v>
      </c>
      <c r="N187" s="224" t="s">
        <v>454</v>
      </c>
      <c r="O187" s="224" t="s">
        <v>575</v>
      </c>
      <c r="P187" s="224"/>
      <c r="Q187" s="224" t="s">
        <v>18</v>
      </c>
      <c r="R187" s="254"/>
      <c r="S187" s="370" t="str">
        <f ca="1">VLOOKUP($B187,'2022-2023 Third Reviews'!C:L, 9)</f>
        <v>Ahmed Bahgat
2</v>
      </c>
      <c r="T187" s="254" t="s">
        <v>11894</v>
      </c>
      <c r="U187" s="254" t="s">
        <v>23</v>
      </c>
      <c r="V187" s="325" t="s">
        <v>481</v>
      </c>
      <c r="W187" s="224"/>
      <c r="X187" s="224"/>
      <c r="Y187" s="224"/>
      <c r="Z187" s="224"/>
      <c r="AA187" s="224"/>
      <c r="AB187" s="224"/>
      <c r="AC187" s="224"/>
      <c r="AD187" s="224"/>
    </row>
    <row r="188" spans="1:30" ht="15.75" hidden="1" customHeight="1">
      <c r="A188" s="373">
        <v>44797</v>
      </c>
      <c r="B188" s="374" t="s">
        <v>366</v>
      </c>
      <c r="C188" s="249">
        <v>4</v>
      </c>
      <c r="D188" s="374" t="s">
        <v>11741</v>
      </c>
      <c r="E188" s="374" t="s">
        <v>3</v>
      </c>
      <c r="F188" s="374" t="s">
        <v>488</v>
      </c>
      <c r="G188" s="374" t="s">
        <v>9809</v>
      </c>
      <c r="H188" s="374">
        <v>4</v>
      </c>
      <c r="I188" s="374" t="s">
        <v>941</v>
      </c>
      <c r="J188" s="374" t="s">
        <v>9810</v>
      </c>
      <c r="K188" s="374">
        <v>4</v>
      </c>
      <c r="L188" s="374" t="s">
        <v>9811</v>
      </c>
      <c r="M188" s="374">
        <v>1000000</v>
      </c>
      <c r="N188" s="374" t="s">
        <v>452</v>
      </c>
      <c r="O188" s="374" t="s">
        <v>9812</v>
      </c>
      <c r="P188" s="374"/>
      <c r="Q188" s="374" t="s">
        <v>20</v>
      </c>
      <c r="R188" s="376" t="s">
        <v>9813</v>
      </c>
      <c r="S188" s="370" t="str">
        <f ca="1">VLOOKUP($B188,'2022-2023 Third Reviews'!C:L, 9)</f>
        <v>Ahmed Bahgat
5</v>
      </c>
      <c r="T188" s="376" t="s">
        <v>11899</v>
      </c>
      <c r="U188" s="376" t="s">
        <v>23</v>
      </c>
      <c r="V188" s="325" t="s">
        <v>454</v>
      </c>
      <c r="W188" s="374"/>
      <c r="X188" s="374"/>
      <c r="Y188" s="374"/>
      <c r="Z188" s="374"/>
      <c r="AA188" s="374"/>
      <c r="AB188" s="374"/>
      <c r="AC188" s="374"/>
      <c r="AD188" s="374"/>
    </row>
    <row r="189" spans="1:30" ht="15.75" hidden="1" customHeight="1">
      <c r="A189" s="253">
        <v>44791</v>
      </c>
      <c r="B189" s="224" t="s">
        <v>377</v>
      </c>
      <c r="C189" s="249">
        <v>4</v>
      </c>
      <c r="D189" s="224" t="s">
        <v>9855</v>
      </c>
      <c r="E189" s="224" t="s">
        <v>3</v>
      </c>
      <c r="F189" s="224" t="s">
        <v>488</v>
      </c>
      <c r="G189" s="224" t="s">
        <v>10265</v>
      </c>
      <c r="H189" s="224">
        <v>4</v>
      </c>
      <c r="I189" s="224" t="s">
        <v>941</v>
      </c>
      <c r="J189" s="224" t="s">
        <v>9857</v>
      </c>
      <c r="K189" s="224">
        <v>4</v>
      </c>
      <c r="L189" s="224" t="s">
        <v>478</v>
      </c>
      <c r="M189" s="307">
        <v>9400000</v>
      </c>
      <c r="N189" s="224" t="s">
        <v>452</v>
      </c>
      <c r="O189" s="224" t="s">
        <v>1119</v>
      </c>
      <c r="P189" s="224" t="s">
        <v>9858</v>
      </c>
      <c r="Q189" s="224" t="s">
        <v>19</v>
      </c>
      <c r="R189" s="254" t="s">
        <v>9859</v>
      </c>
      <c r="S189" s="370" t="str">
        <f ca="1">VLOOKUP($B189,'2022-2023 Third Reviews'!C:L, 9)</f>
        <v>Joshua Rubnitz
4</v>
      </c>
      <c r="T189" s="254" t="s">
        <v>11905</v>
      </c>
      <c r="U189" s="254" t="s">
        <v>23</v>
      </c>
      <c r="V189" s="325" t="s">
        <v>481</v>
      </c>
      <c r="W189" s="224"/>
      <c r="X189" s="224"/>
      <c r="Y189" s="224"/>
      <c r="Z189" s="224"/>
      <c r="AA189" s="224"/>
      <c r="AB189" s="224"/>
      <c r="AC189" s="224"/>
      <c r="AD189" s="224"/>
    </row>
    <row r="190" spans="1:30" ht="15.75" hidden="1" customHeight="1">
      <c r="A190" s="248">
        <v>44796</v>
      </c>
      <c r="B190" s="219" t="s">
        <v>380</v>
      </c>
      <c r="C190" s="249">
        <v>4</v>
      </c>
      <c r="D190" s="219" t="s">
        <v>9894</v>
      </c>
      <c r="E190" s="219" t="s">
        <v>3</v>
      </c>
      <c r="F190" s="219" t="s">
        <v>725</v>
      </c>
      <c r="G190" s="219" t="s">
        <v>10784</v>
      </c>
      <c r="H190" s="219">
        <v>4</v>
      </c>
      <c r="I190" s="219" t="s">
        <v>941</v>
      </c>
      <c r="J190" s="219" t="s">
        <v>9896</v>
      </c>
      <c r="K190" s="219">
        <v>4</v>
      </c>
      <c r="L190" s="219" t="s">
        <v>451</v>
      </c>
      <c r="M190" s="331">
        <v>1500000</v>
      </c>
      <c r="N190" s="219" t="s">
        <v>452</v>
      </c>
      <c r="O190" s="219" t="s">
        <v>452</v>
      </c>
      <c r="P190" s="219"/>
      <c r="Q190" s="219" t="s">
        <v>18</v>
      </c>
      <c r="R190" s="251" t="s">
        <v>11910</v>
      </c>
      <c r="S190" s="370" t="str">
        <f ca="1">VLOOKUP($B190,'2022-2023 Third Reviews'!C:L, 9)</f>
        <v>Joshua Rubnitz
2</v>
      </c>
      <c r="T190" s="251" t="s">
        <v>11911</v>
      </c>
      <c r="U190" s="226" t="s">
        <v>23</v>
      </c>
      <c r="V190" s="325" t="s">
        <v>481</v>
      </c>
      <c r="W190" s="219"/>
      <c r="X190" s="219"/>
      <c r="Y190" s="219"/>
      <c r="Z190" s="219"/>
      <c r="AA190" s="219"/>
      <c r="AB190" s="219"/>
      <c r="AC190" s="219"/>
      <c r="AD190" s="219"/>
    </row>
    <row r="191" spans="1:30" ht="15.75" hidden="1" customHeight="1">
      <c r="A191" s="220">
        <v>44776</v>
      </c>
      <c r="B191" s="221" t="s">
        <v>385</v>
      </c>
      <c r="C191" s="214">
        <v>4</v>
      </c>
      <c r="D191" s="221" t="s">
        <v>9919</v>
      </c>
      <c r="E191" s="221" t="s">
        <v>3</v>
      </c>
      <c r="F191" s="221" t="s">
        <v>460</v>
      </c>
      <c r="G191" s="221" t="s">
        <v>9920</v>
      </c>
      <c r="H191" s="221">
        <v>4</v>
      </c>
      <c r="I191" s="221" t="s">
        <v>941</v>
      </c>
      <c r="J191" s="221" t="s">
        <v>9921</v>
      </c>
      <c r="K191" s="221">
        <v>4</v>
      </c>
      <c r="L191" s="221" t="s">
        <v>784</v>
      </c>
      <c r="M191" s="247">
        <v>2000000</v>
      </c>
      <c r="N191" s="221" t="s">
        <v>452</v>
      </c>
      <c r="O191" s="221" t="s">
        <v>9922</v>
      </c>
      <c r="P191" s="145"/>
      <c r="Q191" s="221" t="s">
        <v>18</v>
      </c>
      <c r="R191" s="223" t="str">
        <f t="array" ref="R191">INDEX(Notes!C:C,MATCH($B191,Notes!$A:$A,0))</f>
        <v>Fully integrated lab data system; nyu and Columbia have similar systems that dominate market, but this company is still pulling in 15k/month despite this. Track change to digital tech</v>
      </c>
      <c r="S191" s="370" t="str">
        <f ca="1">VLOOKUP($B191,'2022-2023 Third Reviews'!C:L, 9)</f>
        <v>Joshua Rubnitz
2</v>
      </c>
      <c r="T191" s="223" t="s">
        <v>11912</v>
      </c>
      <c r="U191" s="223" t="s">
        <v>23</v>
      </c>
      <c r="V191" s="325" t="s">
        <v>481</v>
      </c>
      <c r="W191" s="221"/>
      <c r="X191" s="221"/>
      <c r="Y191" s="221"/>
      <c r="Z191" s="224"/>
      <c r="AA191" s="224"/>
      <c r="AB191" s="224"/>
      <c r="AC191" s="224"/>
      <c r="AD191" s="224"/>
    </row>
    <row r="192" spans="1:30" ht="15.75" hidden="1" customHeight="1">
      <c r="A192" s="257">
        <v>44796</v>
      </c>
      <c r="B192" s="258" t="s">
        <v>9701</v>
      </c>
      <c r="C192" s="263">
        <v>4</v>
      </c>
      <c r="D192" s="258" t="s">
        <v>9704</v>
      </c>
      <c r="E192" s="258" t="s">
        <v>3</v>
      </c>
      <c r="F192" s="258" t="s">
        <v>725</v>
      </c>
      <c r="G192" s="258" t="s">
        <v>10837</v>
      </c>
      <c r="H192" s="258">
        <v>4.5</v>
      </c>
      <c r="I192" s="258" t="s">
        <v>462</v>
      </c>
      <c r="J192" s="258" t="s">
        <v>9706</v>
      </c>
      <c r="K192" s="258">
        <v>3.5</v>
      </c>
      <c r="L192" s="258" t="s">
        <v>451</v>
      </c>
      <c r="M192" s="328">
        <v>3000000</v>
      </c>
      <c r="N192" s="258" t="s">
        <v>454</v>
      </c>
      <c r="O192" s="258" t="s">
        <v>9707</v>
      </c>
      <c r="P192" s="258" t="s">
        <v>9708</v>
      </c>
      <c r="Q192" s="258" t="s">
        <v>23</v>
      </c>
      <c r="R192" s="259" t="s">
        <v>10838</v>
      </c>
      <c r="S192" s="259"/>
      <c r="T192" s="259"/>
      <c r="U192" s="259" t="str">
        <f>Q192</f>
        <v>Special Reject</v>
      </c>
      <c r="V192" s="259"/>
      <c r="W192" s="258"/>
      <c r="X192" s="258"/>
      <c r="Y192" s="258"/>
      <c r="Z192" s="258"/>
      <c r="AA192" s="258"/>
      <c r="AB192" s="258"/>
      <c r="AC192" s="258"/>
      <c r="AD192" s="258"/>
    </row>
    <row r="193" spans="1:30" ht="15.75" hidden="1" customHeight="1">
      <c r="A193" s="220">
        <v>44776</v>
      </c>
      <c r="B193" s="221" t="s">
        <v>394</v>
      </c>
      <c r="C193" s="214">
        <v>4</v>
      </c>
      <c r="D193" s="221" t="s">
        <v>9947</v>
      </c>
      <c r="E193" s="221" t="s">
        <v>3</v>
      </c>
      <c r="F193" s="221" t="s">
        <v>460</v>
      </c>
      <c r="G193" s="221" t="s">
        <v>9948</v>
      </c>
      <c r="H193" s="221">
        <v>4</v>
      </c>
      <c r="I193" s="221" t="s">
        <v>941</v>
      </c>
      <c r="J193" s="221"/>
      <c r="K193" s="221">
        <v>4</v>
      </c>
      <c r="L193" s="221" t="s">
        <v>478</v>
      </c>
      <c r="M193" s="221" t="s">
        <v>9949</v>
      </c>
      <c r="N193" s="221" t="s">
        <v>454</v>
      </c>
      <c r="O193" s="221" t="s">
        <v>9950</v>
      </c>
      <c r="P193" s="145"/>
      <c r="Q193" s="221" t="s">
        <v>18</v>
      </c>
      <c r="R193" s="223" t="s">
        <v>11913</v>
      </c>
      <c r="S193" s="370" t="str">
        <f ca="1">VLOOKUP($B193,'2022-2023 Third Reviews'!C:L, 9)</f>
        <v>Nick Schmandt
2</v>
      </c>
      <c r="T193" s="223" t="s">
        <v>11877</v>
      </c>
      <c r="U193" s="254" t="s">
        <v>23</v>
      </c>
      <c r="V193" s="325" t="s">
        <v>481</v>
      </c>
      <c r="W193" s="221"/>
      <c r="X193" s="221"/>
      <c r="Y193" s="221"/>
      <c r="Z193" s="224"/>
      <c r="AA193" s="224"/>
      <c r="AB193" s="224"/>
      <c r="AC193" s="224"/>
      <c r="AD193" s="224"/>
    </row>
    <row r="194" spans="1:30" ht="15.75" hidden="1" customHeight="1">
      <c r="A194" s="248">
        <v>44782</v>
      </c>
      <c r="B194" s="219" t="s">
        <v>397</v>
      </c>
      <c r="C194" s="249">
        <v>4</v>
      </c>
      <c r="D194" s="219" t="s">
        <v>9955</v>
      </c>
      <c r="E194" s="219" t="s">
        <v>3</v>
      </c>
      <c r="F194" s="219" t="s">
        <v>460</v>
      </c>
      <c r="G194" s="219" t="s">
        <v>9956</v>
      </c>
      <c r="H194" s="219">
        <v>4</v>
      </c>
      <c r="I194" s="219" t="s">
        <v>462</v>
      </c>
      <c r="J194" s="219" t="s">
        <v>9957</v>
      </c>
      <c r="K194" s="219">
        <v>4</v>
      </c>
      <c r="L194" s="219" t="s">
        <v>451</v>
      </c>
      <c r="M194" s="219">
        <v>10000000</v>
      </c>
      <c r="N194" s="219" t="s">
        <v>452</v>
      </c>
      <c r="O194" s="219" t="s">
        <v>10210</v>
      </c>
      <c r="P194" s="219"/>
      <c r="Q194" s="213" t="s">
        <v>18</v>
      </c>
      <c r="R194" s="251"/>
      <c r="S194" s="370" t="str">
        <f ca="1">VLOOKUP($B194,'2022-2023 Third Reviews'!C:L, 9)</f>
        <v>Chris Millisits
4</v>
      </c>
      <c r="T194" s="251" t="s">
        <v>11887</v>
      </c>
      <c r="U194" s="251" t="s">
        <v>23</v>
      </c>
      <c r="V194" s="325" t="s">
        <v>481</v>
      </c>
      <c r="W194" s="219"/>
      <c r="X194" s="219"/>
      <c r="Y194" s="219"/>
      <c r="Z194" s="219"/>
      <c r="AA194" s="219"/>
      <c r="AB194" s="219"/>
      <c r="AC194" s="219"/>
      <c r="AD194" s="219"/>
    </row>
    <row r="195" spans="1:30" ht="15.75" hidden="1" customHeight="1">
      <c r="A195" s="253">
        <v>44796</v>
      </c>
      <c r="B195" s="224" t="s">
        <v>398</v>
      </c>
      <c r="C195" s="249">
        <v>4</v>
      </c>
      <c r="D195" s="224" t="s">
        <v>9963</v>
      </c>
      <c r="E195" s="224" t="s">
        <v>3</v>
      </c>
      <c r="F195" s="224" t="s">
        <v>460</v>
      </c>
      <c r="G195" s="224" t="s">
        <v>9964</v>
      </c>
      <c r="H195" s="224">
        <v>4</v>
      </c>
      <c r="I195" s="224" t="s">
        <v>462</v>
      </c>
      <c r="J195" s="224" t="s">
        <v>10556</v>
      </c>
      <c r="K195" s="224">
        <v>4</v>
      </c>
      <c r="L195" s="224" t="s">
        <v>451</v>
      </c>
      <c r="M195" s="224">
        <v>2000000</v>
      </c>
      <c r="N195" s="224" t="s">
        <v>452</v>
      </c>
      <c r="O195" s="224" t="s">
        <v>9966</v>
      </c>
      <c r="P195" s="224"/>
      <c r="Q195" s="224" t="s">
        <v>18</v>
      </c>
      <c r="R195" s="254"/>
      <c r="S195" s="370" t="str">
        <f ca="1">VLOOKUP($B195,'2022-2023 Third Reviews'!C:L, 9)</f>
        <v>Chris Millisits
2</v>
      </c>
      <c r="T195" s="254" t="s">
        <v>11894</v>
      </c>
      <c r="U195" s="254" t="s">
        <v>23</v>
      </c>
      <c r="V195" s="325" t="s">
        <v>454</v>
      </c>
      <c r="W195" s="224"/>
      <c r="X195" s="224"/>
      <c r="Y195" s="224"/>
      <c r="Z195" s="224"/>
      <c r="AA195" s="224"/>
      <c r="AB195" s="224"/>
      <c r="AC195" s="224"/>
      <c r="AD195" s="224"/>
    </row>
    <row r="196" spans="1:30" ht="15.75" hidden="1" customHeight="1">
      <c r="A196" s="248">
        <v>44796</v>
      </c>
      <c r="B196" s="219" t="s">
        <v>407</v>
      </c>
      <c r="C196" s="249">
        <v>4</v>
      </c>
      <c r="D196" s="219" t="s">
        <v>9970</v>
      </c>
      <c r="E196" s="219" t="s">
        <v>3</v>
      </c>
      <c r="F196" s="219" t="s">
        <v>725</v>
      </c>
      <c r="G196" s="219" t="s">
        <v>9971</v>
      </c>
      <c r="H196" s="219">
        <v>4</v>
      </c>
      <c r="I196" s="219" t="s">
        <v>941</v>
      </c>
      <c r="J196" s="219" t="s">
        <v>9972</v>
      </c>
      <c r="K196" s="219">
        <v>4</v>
      </c>
      <c r="L196" s="219" t="s">
        <v>478</v>
      </c>
      <c r="M196" s="326">
        <v>20000000</v>
      </c>
      <c r="N196" s="219" t="s">
        <v>465</v>
      </c>
      <c r="O196" s="219" t="s">
        <v>6922</v>
      </c>
      <c r="P196" s="219"/>
      <c r="Q196" s="219" t="s">
        <v>18</v>
      </c>
      <c r="R196" s="251" t="s">
        <v>11914</v>
      </c>
      <c r="S196" s="370" t="str">
        <f ca="1">VLOOKUP($B196,'2022-2023 Third Reviews'!C:L, 9)</f>
        <v>Chris Millisits
2</v>
      </c>
      <c r="T196" s="251" t="s">
        <v>11896</v>
      </c>
      <c r="U196" s="226" t="s">
        <v>23</v>
      </c>
      <c r="V196" s="325" t="s">
        <v>481</v>
      </c>
      <c r="W196" s="219"/>
      <c r="X196" s="219"/>
      <c r="Y196" s="219"/>
      <c r="Z196" s="219"/>
      <c r="AA196" s="219"/>
      <c r="AB196" s="219"/>
      <c r="AC196" s="219"/>
      <c r="AD196" s="219"/>
    </row>
    <row r="197" spans="1:30" ht="15.75" hidden="1" customHeight="1">
      <c r="A197" s="373">
        <v>44791</v>
      </c>
      <c r="B197" s="374" t="s">
        <v>312</v>
      </c>
      <c r="C197" s="249">
        <v>3.75</v>
      </c>
      <c r="D197" s="374" t="s">
        <v>9661</v>
      </c>
      <c r="E197" s="374" t="s">
        <v>3</v>
      </c>
      <c r="F197" s="374" t="s">
        <v>460</v>
      </c>
      <c r="G197" s="374" t="s">
        <v>9662</v>
      </c>
      <c r="H197" s="374">
        <v>3.5</v>
      </c>
      <c r="I197" s="374" t="s">
        <v>462</v>
      </c>
      <c r="J197" s="374" t="s">
        <v>9663</v>
      </c>
      <c r="K197" s="374">
        <v>4</v>
      </c>
      <c r="L197" s="374" t="s">
        <v>451</v>
      </c>
      <c r="M197" s="381">
        <v>3000000</v>
      </c>
      <c r="N197" s="374" t="s">
        <v>452</v>
      </c>
      <c r="O197" s="374" t="s">
        <v>575</v>
      </c>
      <c r="P197" s="374" t="s">
        <v>460</v>
      </c>
      <c r="Q197" s="374" t="s">
        <v>18</v>
      </c>
      <c r="R197" s="376" t="s">
        <v>9664</v>
      </c>
      <c r="S197" s="370" t="str">
        <f ca="1">VLOOKUP($B197,'2022-2023 Third Reviews'!C:L, 9)</f>
        <v>Nick Schmandt
5</v>
      </c>
      <c r="T197" s="376" t="s">
        <v>11894</v>
      </c>
      <c r="U197" s="376" t="s">
        <v>23</v>
      </c>
      <c r="V197" s="325" t="s">
        <v>454</v>
      </c>
      <c r="W197" s="374"/>
      <c r="X197" s="374"/>
      <c r="Y197" s="374"/>
      <c r="Z197" s="374"/>
      <c r="AA197" s="374"/>
      <c r="AB197" s="374"/>
      <c r="AC197" s="374"/>
      <c r="AD197" s="374"/>
    </row>
    <row r="198" spans="1:30" ht="15.75" hidden="1" customHeight="1">
      <c r="A198" s="248">
        <v>44789</v>
      </c>
      <c r="B198" s="219" t="s">
        <v>364</v>
      </c>
      <c r="C198" s="249">
        <v>3.75</v>
      </c>
      <c r="D198" s="219" t="s">
        <v>9794</v>
      </c>
      <c r="E198" s="219" t="s">
        <v>3</v>
      </c>
      <c r="F198" s="219" t="s">
        <v>460</v>
      </c>
      <c r="G198" s="219" t="s">
        <v>9795</v>
      </c>
      <c r="H198" s="219">
        <v>3.5</v>
      </c>
      <c r="I198" s="219" t="s">
        <v>941</v>
      </c>
      <c r="J198" s="219"/>
      <c r="K198" s="219">
        <v>4</v>
      </c>
      <c r="L198" s="219"/>
      <c r="M198" s="219"/>
      <c r="N198" s="219" t="s">
        <v>452</v>
      </c>
      <c r="O198" s="219" t="s">
        <v>452</v>
      </c>
      <c r="P198" s="219" t="s">
        <v>9796</v>
      </c>
      <c r="Q198" s="219" t="s">
        <v>20</v>
      </c>
      <c r="R198" s="251" t="s">
        <v>9797</v>
      </c>
      <c r="S198" s="370" t="str">
        <f ca="1">VLOOKUP($B198,'2022-2023 Third Reviews'!C:L, 9)</f>
        <v>Jason Yu
3</v>
      </c>
      <c r="T198" s="251" t="s">
        <v>11877</v>
      </c>
      <c r="U198" s="251" t="s">
        <v>23</v>
      </c>
      <c r="V198" s="325" t="s">
        <v>481</v>
      </c>
      <c r="W198" s="219"/>
      <c r="X198" s="219"/>
      <c r="Y198" s="219"/>
      <c r="Z198" s="219"/>
      <c r="AA198" s="219"/>
      <c r="AB198" s="219"/>
      <c r="AC198" s="219"/>
      <c r="AD198" s="219"/>
    </row>
    <row r="199" spans="1:30" ht="15.75" hidden="1" customHeight="1">
      <c r="A199" s="253">
        <v>44797</v>
      </c>
      <c r="B199" s="224" t="s">
        <v>378</v>
      </c>
      <c r="C199" s="249">
        <v>3.75</v>
      </c>
      <c r="D199" s="224" t="s">
        <v>9864</v>
      </c>
      <c r="E199" s="224" t="s">
        <v>3</v>
      </c>
      <c r="F199" s="224" t="s">
        <v>488</v>
      </c>
      <c r="G199" s="224" t="s">
        <v>9865</v>
      </c>
      <c r="H199" s="224">
        <v>3.5</v>
      </c>
      <c r="I199" s="224" t="s">
        <v>941</v>
      </c>
      <c r="J199" s="224" t="s">
        <v>9866</v>
      </c>
      <c r="K199" s="224">
        <v>4</v>
      </c>
      <c r="L199" s="224" t="s">
        <v>451</v>
      </c>
      <c r="M199" s="224" t="s">
        <v>9867</v>
      </c>
      <c r="N199" s="224" t="s">
        <v>452</v>
      </c>
      <c r="O199" s="224" t="s">
        <v>452</v>
      </c>
      <c r="P199" s="224" t="s">
        <v>9868</v>
      </c>
      <c r="Q199" s="224" t="s">
        <v>20</v>
      </c>
      <c r="R199" s="254" t="s">
        <v>9869</v>
      </c>
      <c r="S199" s="370" t="str">
        <f ca="1">VLOOKUP($B199,'2022-2023 Third Reviews'!C:L, 9)</f>
        <v>Joshua Rubnitz
4</v>
      </c>
      <c r="T199" s="254" t="s">
        <v>11889</v>
      </c>
      <c r="U199" s="254" t="s">
        <v>23</v>
      </c>
      <c r="V199" s="325" t="s">
        <v>481</v>
      </c>
      <c r="W199" s="224"/>
      <c r="X199" s="224"/>
      <c r="Y199" s="224"/>
      <c r="Z199" s="224"/>
      <c r="AA199" s="224"/>
      <c r="AB199" s="224"/>
      <c r="AC199" s="224"/>
      <c r="AD199" s="224"/>
    </row>
    <row r="200" spans="1:30" ht="15.75" hidden="1" customHeight="1">
      <c r="A200" s="257">
        <v>44782</v>
      </c>
      <c r="B200" s="258" t="s">
        <v>9872</v>
      </c>
      <c r="C200" s="249">
        <v>3.75</v>
      </c>
      <c r="D200" s="258" t="s">
        <v>9875</v>
      </c>
      <c r="E200" s="250" t="s">
        <v>3</v>
      </c>
      <c r="F200" s="258" t="s">
        <v>460</v>
      </c>
      <c r="G200" s="258" t="s">
        <v>9876</v>
      </c>
      <c r="H200" s="258">
        <v>3.5</v>
      </c>
      <c r="I200" s="258" t="s">
        <v>488</v>
      </c>
      <c r="J200" s="258" t="s">
        <v>9877</v>
      </c>
      <c r="K200" s="258">
        <v>4</v>
      </c>
      <c r="L200" s="258" t="s">
        <v>451</v>
      </c>
      <c r="M200" s="258">
        <v>1000000</v>
      </c>
      <c r="N200" s="258" t="s">
        <v>452</v>
      </c>
      <c r="O200" s="258" t="s">
        <v>452</v>
      </c>
      <c r="P200" s="258" t="s">
        <v>11386</v>
      </c>
      <c r="Q200" s="258" t="s">
        <v>23</v>
      </c>
      <c r="R200" s="259" t="s">
        <v>9879</v>
      </c>
      <c r="S200" s="259"/>
      <c r="T200" s="259"/>
      <c r="U200" s="259" t="str">
        <f>Q200</f>
        <v>Special Reject</v>
      </c>
      <c r="V200" s="259"/>
      <c r="W200" s="258"/>
      <c r="X200" s="258"/>
      <c r="Y200" s="258"/>
      <c r="Z200" s="258"/>
      <c r="AA200" s="258"/>
      <c r="AB200" s="258"/>
      <c r="AC200" s="258"/>
      <c r="AD200" s="258"/>
    </row>
    <row r="201" spans="1:30" ht="15.75" hidden="1" customHeight="1">
      <c r="A201" s="253">
        <v>44789</v>
      </c>
      <c r="B201" s="224" t="s">
        <v>410</v>
      </c>
      <c r="C201" s="249">
        <v>3.75</v>
      </c>
      <c r="D201" s="224" t="s">
        <v>9977</v>
      </c>
      <c r="E201" s="224" t="s">
        <v>3</v>
      </c>
      <c r="F201" s="224" t="s">
        <v>460</v>
      </c>
      <c r="G201" s="224" t="s">
        <v>9978</v>
      </c>
      <c r="H201" s="224">
        <v>4</v>
      </c>
      <c r="I201" s="224" t="s">
        <v>462</v>
      </c>
      <c r="J201" s="224" t="s">
        <v>9979</v>
      </c>
      <c r="K201" s="224">
        <v>3.5</v>
      </c>
      <c r="L201" s="224" t="s">
        <v>784</v>
      </c>
      <c r="M201" s="307">
        <v>500000</v>
      </c>
      <c r="N201" s="224" t="s">
        <v>452</v>
      </c>
      <c r="O201" s="224" t="s">
        <v>452</v>
      </c>
      <c r="P201" s="224" t="s">
        <v>9980</v>
      </c>
      <c r="Q201" s="224" t="s">
        <v>20</v>
      </c>
      <c r="R201" s="254" t="s">
        <v>9981</v>
      </c>
      <c r="S201" s="370" t="str">
        <f ca="1">VLOOKUP($B201,'2022-2023 Third Reviews'!C:L, 9)</f>
        <v>Chris Millisits
2</v>
      </c>
      <c r="T201" s="254" t="s">
        <v>11877</v>
      </c>
      <c r="U201" s="254" t="s">
        <v>23</v>
      </c>
      <c r="V201" s="325" t="s">
        <v>454</v>
      </c>
      <c r="W201" s="224"/>
      <c r="X201" s="224"/>
      <c r="Y201" s="224"/>
      <c r="Z201" s="224"/>
      <c r="AA201" s="224"/>
      <c r="AB201" s="224"/>
      <c r="AC201" s="224"/>
      <c r="AD201" s="224"/>
    </row>
    <row r="202" spans="1:30" ht="15.75" hidden="1" customHeight="1">
      <c r="A202" s="372">
        <v>44784</v>
      </c>
      <c r="B202" s="268" t="s">
        <v>388</v>
      </c>
      <c r="C202" s="269">
        <v>3.5</v>
      </c>
      <c r="D202" s="268" t="s">
        <v>9927</v>
      </c>
      <c r="E202" s="268" t="s">
        <v>3</v>
      </c>
      <c r="F202" s="268" t="s">
        <v>460</v>
      </c>
      <c r="G202" s="268" t="s">
        <v>9928</v>
      </c>
      <c r="H202" s="268">
        <v>3</v>
      </c>
      <c r="I202" s="268" t="s">
        <v>462</v>
      </c>
      <c r="J202" s="268" t="s">
        <v>9929</v>
      </c>
      <c r="K202" s="268">
        <v>4</v>
      </c>
      <c r="L202" s="268" t="s">
        <v>923</v>
      </c>
      <c r="M202" s="285">
        <v>4000000</v>
      </c>
      <c r="N202" s="268" t="s">
        <v>452</v>
      </c>
      <c r="O202" s="285" t="s">
        <v>9930</v>
      </c>
      <c r="P202" s="268" t="s">
        <v>460</v>
      </c>
      <c r="Q202" s="268" t="s">
        <v>20</v>
      </c>
      <c r="R202" s="271" t="s">
        <v>9931</v>
      </c>
      <c r="S202" s="370" t="str">
        <f ca="1">VLOOKUP($B202,'2022-2023 Third Reviews'!C:L, 9)</f>
        <v>Joshua Rubnitz
3</v>
      </c>
      <c r="T202" s="271" t="s">
        <v>11894</v>
      </c>
      <c r="U202" s="271" t="s">
        <v>23</v>
      </c>
      <c r="V202" s="325" t="s">
        <v>481</v>
      </c>
      <c r="W202" s="268"/>
      <c r="X202" s="268"/>
      <c r="Y202" s="268"/>
      <c r="Z202" s="268"/>
      <c r="AA202" s="268"/>
      <c r="AB202" s="219"/>
      <c r="AC202" s="219"/>
      <c r="AD202" s="219"/>
    </row>
    <row r="203" spans="1:30" ht="15.75" hidden="1" customHeight="1">
      <c r="A203" s="253">
        <v>44797</v>
      </c>
      <c r="B203" s="224" t="s">
        <v>357</v>
      </c>
      <c r="C203" s="249">
        <v>3.25</v>
      </c>
      <c r="D203" s="224"/>
      <c r="E203" s="224" t="s">
        <v>3</v>
      </c>
      <c r="F203" s="224" t="s">
        <v>488</v>
      </c>
      <c r="G203" s="224" t="s">
        <v>11242</v>
      </c>
      <c r="H203" s="224">
        <v>3.5</v>
      </c>
      <c r="I203" s="224" t="s">
        <v>941</v>
      </c>
      <c r="J203" s="224" t="s">
        <v>9788</v>
      </c>
      <c r="K203" s="224">
        <v>3</v>
      </c>
      <c r="L203" s="224" t="s">
        <v>8914</v>
      </c>
      <c r="M203" s="224">
        <v>3500000</v>
      </c>
      <c r="N203" s="224" t="s">
        <v>452</v>
      </c>
      <c r="O203" s="224" t="s">
        <v>452</v>
      </c>
      <c r="P203" s="224"/>
      <c r="Q203" s="224" t="s">
        <v>20</v>
      </c>
      <c r="R203" s="254" t="s">
        <v>9789</v>
      </c>
      <c r="S203" s="370" t="str">
        <f ca="1">VLOOKUP($B203,'2022-2023 Third Reviews'!C:L, 9)</f>
        <v>Jason Yu
2</v>
      </c>
      <c r="T203" s="254" t="s">
        <v>11887</v>
      </c>
      <c r="U203" s="254" t="s">
        <v>23</v>
      </c>
      <c r="V203" s="325" t="s">
        <v>481</v>
      </c>
      <c r="W203" s="224"/>
      <c r="X203" s="224"/>
      <c r="Y203" s="224"/>
      <c r="Z203" s="224"/>
      <c r="AA203" s="224"/>
      <c r="AB203" s="224"/>
      <c r="AC203" s="224"/>
      <c r="AD203" s="224"/>
    </row>
    <row r="204" spans="1:30" ht="15.75" hidden="1" customHeight="1">
      <c r="A204" s="248">
        <v>44791</v>
      </c>
      <c r="B204" s="219" t="s">
        <v>383</v>
      </c>
      <c r="C204" s="249">
        <v>3.25</v>
      </c>
      <c r="D204" s="219" t="s">
        <v>9911</v>
      </c>
      <c r="E204" s="219" t="s">
        <v>3</v>
      </c>
      <c r="F204" s="219" t="s">
        <v>488</v>
      </c>
      <c r="G204" s="219" t="s">
        <v>11138</v>
      </c>
      <c r="H204" s="219">
        <v>3.5</v>
      </c>
      <c r="I204" s="219" t="s">
        <v>941</v>
      </c>
      <c r="J204" s="219" t="s">
        <v>9913</v>
      </c>
      <c r="K204" s="219">
        <v>3</v>
      </c>
      <c r="L204" s="219"/>
      <c r="M204" s="219"/>
      <c r="N204" s="219" t="s">
        <v>465</v>
      </c>
      <c r="O204" s="219" t="s">
        <v>9914</v>
      </c>
      <c r="P204" s="219"/>
      <c r="Q204" s="219" t="s">
        <v>19</v>
      </c>
      <c r="R204" s="251" t="s">
        <v>11915</v>
      </c>
      <c r="S204" s="370" t="str">
        <f ca="1">VLOOKUP($B204,'2022-2023 Third Reviews'!C:L, 9)</f>
        <v>Joshua Rubnitz
1</v>
      </c>
      <c r="T204" s="251" t="s">
        <v>11905</v>
      </c>
      <c r="U204" s="251" t="s">
        <v>23</v>
      </c>
      <c r="V204" s="325" t="s">
        <v>481</v>
      </c>
      <c r="W204" s="219"/>
      <c r="X204" s="219"/>
      <c r="Y204" s="219"/>
      <c r="Z204" s="219"/>
      <c r="AA204" s="219"/>
      <c r="AB204" s="219"/>
      <c r="AC204" s="219"/>
      <c r="AD204" s="219"/>
    </row>
    <row r="205" spans="1:30" ht="15.75" hidden="1" customHeight="1">
      <c r="A205" s="253">
        <v>44782</v>
      </c>
      <c r="B205" s="224" t="s">
        <v>308</v>
      </c>
      <c r="C205" s="249">
        <v>3</v>
      </c>
      <c r="D205" s="224" t="s">
        <v>11405</v>
      </c>
      <c r="E205" s="224" t="s">
        <v>3</v>
      </c>
      <c r="F205" s="224" t="s">
        <v>460</v>
      </c>
      <c r="G205" s="224" t="s">
        <v>9653</v>
      </c>
      <c r="H205" s="224">
        <v>3</v>
      </c>
      <c r="I205" s="224" t="s">
        <v>462</v>
      </c>
      <c r="J205" s="224" t="s">
        <v>9654</v>
      </c>
      <c r="K205" s="224">
        <v>3</v>
      </c>
      <c r="L205" s="224"/>
      <c r="M205" s="224">
        <v>1000000</v>
      </c>
      <c r="N205" s="224" t="s">
        <v>452</v>
      </c>
      <c r="O205" s="224" t="s">
        <v>452</v>
      </c>
      <c r="P205" s="224" t="s">
        <v>9655</v>
      </c>
      <c r="Q205" s="224" t="s">
        <v>20</v>
      </c>
      <c r="R205" s="254" t="s">
        <v>9656</v>
      </c>
      <c r="S205" s="370" t="str">
        <f ca="1">VLOOKUP($B205,'2022-2023 Third Reviews'!C:L, 9)</f>
        <v>Jason Yu
3</v>
      </c>
      <c r="T205" s="254" t="s">
        <v>11896</v>
      </c>
      <c r="U205" s="254" t="s">
        <v>23</v>
      </c>
      <c r="V205" s="325" t="s">
        <v>481</v>
      </c>
      <c r="W205" s="224"/>
      <c r="X205" s="224"/>
      <c r="Y205" s="224"/>
      <c r="Z205" s="224"/>
      <c r="AA205" s="224"/>
      <c r="AB205" s="224"/>
      <c r="AC205" s="224"/>
      <c r="AD205" s="224"/>
    </row>
    <row r="206" spans="1:30" ht="15.75" hidden="1" customHeight="1">
      <c r="A206" s="248">
        <v>44782</v>
      </c>
      <c r="B206" s="219" t="s">
        <v>374</v>
      </c>
      <c r="C206" s="249">
        <v>3</v>
      </c>
      <c r="D206" s="219" t="s">
        <v>9837</v>
      </c>
      <c r="E206" s="219" t="s">
        <v>3</v>
      </c>
      <c r="F206" s="219" t="s">
        <v>460</v>
      </c>
      <c r="G206" s="219" t="s">
        <v>9838</v>
      </c>
      <c r="H206" s="219">
        <v>2</v>
      </c>
      <c r="I206" s="219" t="s">
        <v>462</v>
      </c>
      <c r="J206" s="219" t="s">
        <v>11422</v>
      </c>
      <c r="K206" s="219">
        <v>4</v>
      </c>
      <c r="L206" s="219"/>
      <c r="M206" s="219">
        <v>5000000</v>
      </c>
      <c r="N206" s="219" t="s">
        <v>452</v>
      </c>
      <c r="O206" s="219" t="s">
        <v>11423</v>
      </c>
      <c r="P206" s="219"/>
      <c r="Q206" s="219" t="s">
        <v>19</v>
      </c>
      <c r="R206" s="251" t="s">
        <v>9841</v>
      </c>
      <c r="S206" s="370" t="str">
        <f ca="1">VLOOKUP($B206,'2022-2023 Third Reviews'!C:L, 9)</f>
        <v>Nick Schmandt
4</v>
      </c>
      <c r="T206" s="251" t="s">
        <v>11876</v>
      </c>
      <c r="U206" s="251" t="s">
        <v>23</v>
      </c>
      <c r="V206" s="325" t="s">
        <v>481</v>
      </c>
      <c r="W206" s="219"/>
      <c r="X206" s="219"/>
      <c r="Y206" s="219"/>
      <c r="Z206" s="219"/>
      <c r="AA206" s="219"/>
      <c r="AB206" s="219"/>
      <c r="AC206" s="219"/>
      <c r="AD206" s="219"/>
    </row>
    <row r="207" spans="1:30" ht="15.75" hidden="1" customHeight="1">
      <c r="A207" s="257">
        <v>44791</v>
      </c>
      <c r="B207" s="258" t="s">
        <v>9769</v>
      </c>
      <c r="C207" s="263">
        <v>3.75</v>
      </c>
      <c r="D207" s="258" t="s">
        <v>9772</v>
      </c>
      <c r="E207" s="258" t="s">
        <v>3</v>
      </c>
      <c r="F207" s="258" t="s">
        <v>460</v>
      </c>
      <c r="G207" s="258" t="s">
        <v>11665</v>
      </c>
      <c r="H207" s="258">
        <v>3.5</v>
      </c>
      <c r="I207" s="258" t="s">
        <v>941</v>
      </c>
      <c r="J207" s="258" t="s">
        <v>9773</v>
      </c>
      <c r="K207" s="258">
        <v>4</v>
      </c>
      <c r="L207" s="258" t="s">
        <v>784</v>
      </c>
      <c r="M207" s="309">
        <v>300000</v>
      </c>
      <c r="N207" s="258" t="s">
        <v>452</v>
      </c>
      <c r="O207" s="258" t="s">
        <v>452</v>
      </c>
      <c r="P207" s="258"/>
      <c r="Q207" s="258" t="s">
        <v>23</v>
      </c>
      <c r="R207" s="259" t="s">
        <v>9774</v>
      </c>
      <c r="S207" s="259"/>
      <c r="T207" s="259"/>
      <c r="U207" s="259" t="str">
        <f t="shared" ref="U207:U216" si="3">Q207</f>
        <v>Special Reject</v>
      </c>
      <c r="V207" s="259"/>
      <c r="W207" s="258"/>
      <c r="X207" s="258"/>
      <c r="Y207" s="258"/>
      <c r="Z207" s="258"/>
      <c r="AA207" s="258"/>
      <c r="AB207" s="258"/>
      <c r="AC207" s="258"/>
      <c r="AD207" s="258"/>
    </row>
    <row r="208" spans="1:30" ht="15.75" hidden="1" customHeight="1">
      <c r="A208" s="257">
        <v>44796</v>
      </c>
      <c r="B208" s="258" t="s">
        <v>9899</v>
      </c>
      <c r="C208" s="263">
        <v>3.75</v>
      </c>
      <c r="D208" s="258" t="s">
        <v>9902</v>
      </c>
      <c r="E208" s="258" t="s">
        <v>3</v>
      </c>
      <c r="F208" s="258" t="s">
        <v>460</v>
      </c>
      <c r="G208" s="258" t="s">
        <v>9903</v>
      </c>
      <c r="H208" s="258">
        <v>3.5</v>
      </c>
      <c r="I208" s="258" t="s">
        <v>462</v>
      </c>
      <c r="J208" s="258" t="s">
        <v>9904</v>
      </c>
      <c r="K208" s="258">
        <v>4</v>
      </c>
      <c r="L208" s="258" t="s">
        <v>478</v>
      </c>
      <c r="M208" s="258" t="s">
        <v>4966</v>
      </c>
      <c r="N208" s="258" t="s">
        <v>465</v>
      </c>
      <c r="O208" s="258" t="s">
        <v>9905</v>
      </c>
      <c r="P208" s="258" t="s">
        <v>9906</v>
      </c>
      <c r="Q208" s="258" t="s">
        <v>23</v>
      </c>
      <c r="R208" s="259" t="s">
        <v>9907</v>
      </c>
      <c r="S208" s="259"/>
      <c r="T208" s="259"/>
      <c r="U208" s="259" t="str">
        <f t="shared" si="3"/>
        <v>Special Reject</v>
      </c>
      <c r="V208" s="259"/>
      <c r="W208" s="258"/>
      <c r="X208" s="258"/>
      <c r="Y208" s="258"/>
      <c r="Z208" s="258"/>
      <c r="AA208" s="258"/>
      <c r="AB208" s="258"/>
      <c r="AC208" s="258"/>
      <c r="AD208" s="258"/>
    </row>
    <row r="209" spans="1:30" ht="15.75" hidden="1" customHeight="1">
      <c r="A209" s="257">
        <v>44791</v>
      </c>
      <c r="B209" s="258" t="s">
        <v>9843</v>
      </c>
      <c r="C209" s="263">
        <v>3.5</v>
      </c>
      <c r="D209" s="258" t="s">
        <v>9846</v>
      </c>
      <c r="E209" s="258" t="s">
        <v>3</v>
      </c>
      <c r="F209" s="258" t="s">
        <v>460</v>
      </c>
      <c r="G209" s="258" t="s">
        <v>9847</v>
      </c>
      <c r="H209" s="258">
        <v>3.5</v>
      </c>
      <c r="I209" s="258" t="s">
        <v>462</v>
      </c>
      <c r="J209" s="258" t="s">
        <v>9848</v>
      </c>
      <c r="K209" s="258">
        <v>3.5</v>
      </c>
      <c r="L209" s="258" t="s">
        <v>784</v>
      </c>
      <c r="M209" s="309">
        <v>2000000</v>
      </c>
      <c r="N209" s="258" t="s">
        <v>452</v>
      </c>
      <c r="O209" s="258" t="s">
        <v>9849</v>
      </c>
      <c r="P209" s="258"/>
      <c r="Q209" s="258" t="s">
        <v>23</v>
      </c>
      <c r="R209" s="259" t="s">
        <v>9850</v>
      </c>
      <c r="S209" s="259"/>
      <c r="T209" s="259"/>
      <c r="U209" s="259" t="str">
        <f t="shared" si="3"/>
        <v>Special Reject</v>
      </c>
      <c r="V209" s="259"/>
      <c r="W209" s="258"/>
      <c r="X209" s="258"/>
      <c r="Y209" s="258"/>
      <c r="Z209" s="258"/>
      <c r="AA209" s="258"/>
      <c r="AB209" s="258"/>
      <c r="AC209" s="258"/>
      <c r="AD209" s="258"/>
    </row>
    <row r="210" spans="1:30" ht="15.75" hidden="1" customHeight="1">
      <c r="A210" s="257">
        <v>44796</v>
      </c>
      <c r="B210" s="258" t="s">
        <v>9882</v>
      </c>
      <c r="C210" s="263">
        <v>3.5</v>
      </c>
      <c r="D210" s="258" t="s">
        <v>9885</v>
      </c>
      <c r="E210" s="258" t="s">
        <v>3</v>
      </c>
      <c r="F210" s="258" t="s">
        <v>488</v>
      </c>
      <c r="G210" s="258" t="s">
        <v>11728</v>
      </c>
      <c r="H210" s="258">
        <v>3.5</v>
      </c>
      <c r="I210" s="258" t="s">
        <v>462</v>
      </c>
      <c r="J210" s="258" t="s">
        <v>9887</v>
      </c>
      <c r="K210" s="258">
        <v>3.5</v>
      </c>
      <c r="L210" s="258" t="s">
        <v>451</v>
      </c>
      <c r="M210" s="261">
        <v>6000000</v>
      </c>
      <c r="N210" s="258" t="s">
        <v>465</v>
      </c>
      <c r="O210" s="258" t="s">
        <v>9888</v>
      </c>
      <c r="P210" s="258"/>
      <c r="Q210" s="258" t="s">
        <v>23</v>
      </c>
      <c r="R210" s="259" t="s">
        <v>9889</v>
      </c>
      <c r="S210" s="259"/>
      <c r="T210" s="259"/>
      <c r="U210" s="259" t="str">
        <f t="shared" si="3"/>
        <v>Special Reject</v>
      </c>
      <c r="V210" s="259"/>
      <c r="W210" s="258"/>
      <c r="X210" s="258"/>
      <c r="Y210" s="258"/>
      <c r="Z210" s="258"/>
      <c r="AA210" s="258"/>
      <c r="AB210" s="258"/>
      <c r="AC210" s="258"/>
      <c r="AD210" s="258"/>
    </row>
    <row r="211" spans="1:30" ht="15.75" hidden="1" customHeight="1">
      <c r="A211" s="257">
        <v>44791</v>
      </c>
      <c r="B211" s="258" t="s">
        <v>9934</v>
      </c>
      <c r="C211" s="263">
        <v>3.25</v>
      </c>
      <c r="D211" s="258" t="s">
        <v>9937</v>
      </c>
      <c r="E211" s="258" t="s">
        <v>3</v>
      </c>
      <c r="F211" s="258" t="s">
        <v>460</v>
      </c>
      <c r="G211" s="258" t="s">
        <v>9938</v>
      </c>
      <c r="H211" s="258">
        <v>3</v>
      </c>
      <c r="I211" s="258" t="s">
        <v>941</v>
      </c>
      <c r="J211" s="258" t="s">
        <v>9939</v>
      </c>
      <c r="K211" s="258">
        <v>3.5</v>
      </c>
      <c r="L211" s="258"/>
      <c r="M211" s="258"/>
      <c r="N211" s="258" t="s">
        <v>454</v>
      </c>
      <c r="O211" s="258" t="s">
        <v>10891</v>
      </c>
      <c r="P211" s="258"/>
      <c r="Q211" s="258" t="s">
        <v>23</v>
      </c>
      <c r="R211" s="259" t="s">
        <v>9941</v>
      </c>
      <c r="S211" s="259"/>
      <c r="T211" s="259"/>
      <c r="U211" s="259" t="str">
        <f t="shared" si="3"/>
        <v>Special Reject</v>
      </c>
      <c r="V211" s="259"/>
      <c r="W211" s="258"/>
      <c r="X211" s="258"/>
      <c r="Y211" s="258"/>
      <c r="Z211" s="258"/>
      <c r="AA211" s="258"/>
      <c r="AB211" s="258"/>
      <c r="AC211" s="258"/>
      <c r="AD211" s="258"/>
    </row>
    <row r="212" spans="1:30" ht="15.75" hidden="1" customHeight="1">
      <c r="A212" s="257">
        <v>44796</v>
      </c>
      <c r="B212" s="258" t="s">
        <v>9825</v>
      </c>
      <c r="C212" s="263">
        <v>3.25</v>
      </c>
      <c r="D212" s="258" t="s">
        <v>9828</v>
      </c>
      <c r="E212" s="258" t="s">
        <v>3</v>
      </c>
      <c r="F212" s="258" t="s">
        <v>488</v>
      </c>
      <c r="G212" s="258" t="s">
        <v>9829</v>
      </c>
      <c r="H212" s="258">
        <v>3.5</v>
      </c>
      <c r="I212" s="258" t="s">
        <v>462</v>
      </c>
      <c r="J212" s="258" t="s">
        <v>10761</v>
      </c>
      <c r="K212" s="258">
        <v>3</v>
      </c>
      <c r="L212" s="258" t="s">
        <v>451</v>
      </c>
      <c r="M212" s="328">
        <v>6000000</v>
      </c>
      <c r="N212" s="258" t="s">
        <v>452</v>
      </c>
      <c r="O212" s="258" t="s">
        <v>452</v>
      </c>
      <c r="P212" s="258" t="s">
        <v>9831</v>
      </c>
      <c r="Q212" s="258" t="s">
        <v>23</v>
      </c>
      <c r="R212" s="259" t="s">
        <v>9832</v>
      </c>
      <c r="S212" s="259"/>
      <c r="T212" s="259"/>
      <c r="U212" s="259" t="str">
        <f t="shared" si="3"/>
        <v>Special Reject</v>
      </c>
      <c r="V212" s="259"/>
      <c r="W212" s="258"/>
      <c r="X212" s="258"/>
      <c r="Y212" s="258"/>
      <c r="Z212" s="258"/>
      <c r="AA212" s="258"/>
      <c r="AB212" s="258"/>
      <c r="AC212" s="258"/>
      <c r="AD212" s="258"/>
    </row>
    <row r="213" spans="1:30" ht="15.75" hidden="1" customHeight="1">
      <c r="A213" s="255">
        <v>44796</v>
      </c>
      <c r="B213" s="239" t="s">
        <v>9666</v>
      </c>
      <c r="C213" s="262">
        <v>3.25</v>
      </c>
      <c r="D213" s="239" t="s">
        <v>9669</v>
      </c>
      <c r="E213" s="239" t="s">
        <v>3</v>
      </c>
      <c r="F213" s="239" t="s">
        <v>460</v>
      </c>
      <c r="G213" s="239" t="s">
        <v>9670</v>
      </c>
      <c r="H213" s="239">
        <v>3.5</v>
      </c>
      <c r="I213" s="239" t="s">
        <v>462</v>
      </c>
      <c r="J213" s="239" t="s">
        <v>9671</v>
      </c>
      <c r="K213" s="239">
        <v>3</v>
      </c>
      <c r="L213" s="239"/>
      <c r="M213" s="239"/>
      <c r="N213" s="239" t="s">
        <v>452</v>
      </c>
      <c r="O213" s="239" t="s">
        <v>9672</v>
      </c>
      <c r="P213" s="239" t="s">
        <v>9673</v>
      </c>
      <c r="Q213" s="239" t="s">
        <v>23</v>
      </c>
      <c r="R213" s="256"/>
      <c r="S213" s="256"/>
      <c r="T213" s="256"/>
      <c r="U213" s="259" t="str">
        <f t="shared" si="3"/>
        <v>Special Reject</v>
      </c>
      <c r="V213" s="256"/>
      <c r="W213" s="239"/>
      <c r="X213" s="239"/>
      <c r="Y213" s="239"/>
      <c r="Z213" s="239"/>
      <c r="AA213" s="239"/>
      <c r="AB213" s="239"/>
      <c r="AC213" s="239"/>
      <c r="AD213" s="239"/>
    </row>
    <row r="214" spans="1:30" ht="15.75" hidden="1" customHeight="1">
      <c r="A214" s="257">
        <v>44782</v>
      </c>
      <c r="B214" s="258" t="s">
        <v>9776</v>
      </c>
      <c r="C214" s="249">
        <v>3</v>
      </c>
      <c r="D214" s="258" t="s">
        <v>9779</v>
      </c>
      <c r="E214" s="250" t="s">
        <v>3</v>
      </c>
      <c r="F214" s="258" t="s">
        <v>460</v>
      </c>
      <c r="G214" s="258" t="s">
        <v>11426</v>
      </c>
      <c r="H214" s="258">
        <v>3</v>
      </c>
      <c r="I214" s="258" t="s">
        <v>462</v>
      </c>
      <c r="J214" s="258" t="s">
        <v>11427</v>
      </c>
      <c r="K214" s="258">
        <v>3</v>
      </c>
      <c r="L214" s="258" t="s">
        <v>451</v>
      </c>
      <c r="M214" s="258">
        <v>10000000</v>
      </c>
      <c r="N214" s="258" t="s">
        <v>452</v>
      </c>
      <c r="O214" s="258" t="s">
        <v>452</v>
      </c>
      <c r="P214" s="258" t="s">
        <v>9782</v>
      </c>
      <c r="Q214" s="258" t="s">
        <v>23</v>
      </c>
      <c r="R214" s="259" t="s">
        <v>9783</v>
      </c>
      <c r="S214" s="259"/>
      <c r="T214" s="259"/>
      <c r="U214" s="259" t="str">
        <f t="shared" si="3"/>
        <v>Special Reject</v>
      </c>
      <c r="V214" s="259"/>
      <c r="W214" s="258"/>
      <c r="X214" s="258"/>
      <c r="Y214" s="258"/>
      <c r="Z214" s="258"/>
      <c r="AA214" s="258"/>
      <c r="AB214" s="258"/>
      <c r="AC214" s="258"/>
      <c r="AD214" s="258"/>
    </row>
    <row r="215" spans="1:30" ht="15.75" hidden="1" customHeight="1">
      <c r="A215" s="280">
        <v>44784</v>
      </c>
      <c r="B215" s="281" t="s">
        <v>9816</v>
      </c>
      <c r="C215" s="282">
        <v>2.5</v>
      </c>
      <c r="D215" s="281" t="s">
        <v>9819</v>
      </c>
      <c r="E215" s="281" t="s">
        <v>3</v>
      </c>
      <c r="F215" s="281" t="s">
        <v>460</v>
      </c>
      <c r="G215" s="281" t="s">
        <v>9820</v>
      </c>
      <c r="H215" s="281">
        <v>3</v>
      </c>
      <c r="I215" s="281" t="s">
        <v>488</v>
      </c>
      <c r="J215" s="281" t="s">
        <v>11593</v>
      </c>
      <c r="K215" s="281">
        <v>2</v>
      </c>
      <c r="L215" s="281"/>
      <c r="M215" s="281"/>
      <c r="N215" s="281" t="s">
        <v>454</v>
      </c>
      <c r="O215" s="281" t="s">
        <v>452</v>
      </c>
      <c r="P215" s="281"/>
      <c r="Q215" s="281" t="s">
        <v>23</v>
      </c>
      <c r="R215" s="283" t="s">
        <v>9822</v>
      </c>
      <c r="S215" s="283"/>
      <c r="T215" s="283"/>
      <c r="U215" s="259" t="str">
        <f t="shared" si="3"/>
        <v>Special Reject</v>
      </c>
      <c r="V215" s="283"/>
      <c r="W215" s="281"/>
      <c r="X215" s="281"/>
      <c r="Y215" s="281"/>
      <c r="Z215" s="281"/>
      <c r="AA215" s="281"/>
      <c r="AB215" s="258"/>
      <c r="AC215" s="258"/>
      <c r="AD215" s="258"/>
    </row>
    <row r="216" spans="1:30" ht="15.75" hidden="1" customHeight="1">
      <c r="A216" s="257">
        <v>44791</v>
      </c>
      <c r="B216" s="258" t="s">
        <v>9745</v>
      </c>
      <c r="C216" s="263">
        <v>2</v>
      </c>
      <c r="D216" s="258" t="s">
        <v>9748</v>
      </c>
      <c r="E216" s="258" t="s">
        <v>3</v>
      </c>
      <c r="F216" s="258" t="s">
        <v>460</v>
      </c>
      <c r="G216" s="258" t="s">
        <v>9749</v>
      </c>
      <c r="H216" s="258">
        <v>2</v>
      </c>
      <c r="I216" s="258" t="s">
        <v>941</v>
      </c>
      <c r="J216" s="258" t="s">
        <v>9750</v>
      </c>
      <c r="K216" s="258">
        <v>2</v>
      </c>
      <c r="L216" s="258"/>
      <c r="M216" s="258"/>
      <c r="N216" s="258" t="s">
        <v>452</v>
      </c>
      <c r="O216" s="258" t="s">
        <v>9751</v>
      </c>
      <c r="P216" s="258" t="s">
        <v>9752</v>
      </c>
      <c r="Q216" s="258" t="s">
        <v>23</v>
      </c>
      <c r="R216" s="259" t="s">
        <v>9753</v>
      </c>
      <c r="S216" s="259"/>
      <c r="T216" s="259"/>
      <c r="U216" s="259" t="str">
        <f t="shared" si="3"/>
        <v>Special Reject</v>
      </c>
      <c r="V216" s="259"/>
      <c r="W216" s="258"/>
      <c r="X216" s="258"/>
      <c r="Y216" s="258"/>
      <c r="Z216" s="258"/>
      <c r="AA216" s="258"/>
      <c r="AB216" s="258"/>
      <c r="AC216" s="258"/>
      <c r="AD216" s="258"/>
    </row>
    <row r="217" spans="1:30" ht="15.75" customHeight="1">
      <c r="A217" s="253">
        <v>44782</v>
      </c>
      <c r="B217" s="224" t="s">
        <v>414</v>
      </c>
      <c r="C217" s="249">
        <v>4.25</v>
      </c>
      <c r="D217" s="224" t="s">
        <v>10440</v>
      </c>
      <c r="E217" s="224" t="s">
        <v>3</v>
      </c>
      <c r="F217" s="224" t="s">
        <v>460</v>
      </c>
      <c r="G217" s="224" t="s">
        <v>10441</v>
      </c>
      <c r="H217" s="224">
        <v>4.5</v>
      </c>
      <c r="I217" s="224" t="s">
        <v>941</v>
      </c>
      <c r="J217" s="224"/>
      <c r="K217" s="224">
        <v>4</v>
      </c>
      <c r="L217" s="224" t="s">
        <v>478</v>
      </c>
      <c r="M217" s="224">
        <v>10000000</v>
      </c>
      <c r="N217" s="224" t="s">
        <v>452</v>
      </c>
      <c r="O217" s="224" t="s">
        <v>452</v>
      </c>
      <c r="P217" s="224"/>
      <c r="Q217" s="224" t="s">
        <v>18</v>
      </c>
      <c r="R217" s="254"/>
      <c r="S217" s="370" t="str">
        <f ca="1">VLOOKUP($B217,'2022-2023 Third Reviews'!C:L, 9)</f>
        <v>Joshua Rubnitz
3</v>
      </c>
      <c r="T217" s="254" t="s">
        <v>11887</v>
      </c>
      <c r="U217" s="254" t="s">
        <v>35</v>
      </c>
      <c r="V217" s="325" t="s">
        <v>454</v>
      </c>
      <c r="W217" s="224"/>
      <c r="X217" s="224"/>
      <c r="Y217" s="224"/>
      <c r="Z217" s="224"/>
      <c r="AA217" s="224"/>
      <c r="AB217" s="224"/>
      <c r="AC217" s="224"/>
      <c r="AD217" s="224"/>
    </row>
    <row r="218" spans="1:30" ht="15.75" customHeight="1">
      <c r="A218" s="373">
        <v>44782</v>
      </c>
      <c r="B218" s="374" t="s">
        <v>391</v>
      </c>
      <c r="C218" s="249">
        <v>4</v>
      </c>
      <c r="D218" s="374" t="s">
        <v>10090</v>
      </c>
      <c r="E218" s="374" t="s">
        <v>3</v>
      </c>
      <c r="F218" s="374" t="s">
        <v>460</v>
      </c>
      <c r="G218" s="374" t="s">
        <v>11385</v>
      </c>
      <c r="H218" s="374">
        <v>4</v>
      </c>
      <c r="I218" s="374" t="s">
        <v>941</v>
      </c>
      <c r="J218" s="374"/>
      <c r="K218" s="374">
        <v>4</v>
      </c>
      <c r="L218" s="374" t="s">
        <v>478</v>
      </c>
      <c r="M218" s="374" t="s">
        <v>4966</v>
      </c>
      <c r="N218" s="374" t="s">
        <v>452</v>
      </c>
      <c r="O218" s="374" t="s">
        <v>10092</v>
      </c>
      <c r="P218" s="374"/>
      <c r="Q218" s="374" t="s">
        <v>19</v>
      </c>
      <c r="R218" s="376" t="s">
        <v>10093</v>
      </c>
      <c r="S218" s="370" t="str">
        <f ca="1">VLOOKUP($B218,'2022-2023 Third Reviews'!C:L, 9)</f>
        <v>Jason Yu
5</v>
      </c>
      <c r="T218" s="376" t="s">
        <v>11905</v>
      </c>
      <c r="U218" s="376" t="s">
        <v>35</v>
      </c>
      <c r="V218" s="325" t="s">
        <v>481</v>
      </c>
      <c r="W218" s="374"/>
      <c r="X218" s="374"/>
      <c r="Y218" s="374"/>
      <c r="Z218" s="374"/>
      <c r="AA218" s="374"/>
      <c r="AB218" s="374"/>
      <c r="AC218" s="374"/>
      <c r="AD218" s="374"/>
    </row>
    <row r="219" spans="1:30" ht="15.75" customHeight="1">
      <c r="A219" s="220">
        <v>44776</v>
      </c>
      <c r="B219" s="221" t="s">
        <v>395</v>
      </c>
      <c r="C219" s="214">
        <v>4</v>
      </c>
      <c r="D219" s="221" t="s">
        <v>10098</v>
      </c>
      <c r="E219" s="221" t="s">
        <v>3</v>
      </c>
      <c r="F219" s="221" t="s">
        <v>460</v>
      </c>
      <c r="G219" s="221" t="s">
        <v>10099</v>
      </c>
      <c r="H219" s="221">
        <v>4</v>
      </c>
      <c r="I219" s="221" t="s">
        <v>488</v>
      </c>
      <c r="J219" s="221" t="s">
        <v>11411</v>
      </c>
      <c r="K219" s="221">
        <v>4</v>
      </c>
      <c r="L219" s="221" t="s">
        <v>451</v>
      </c>
      <c r="M219" s="221" t="s">
        <v>10101</v>
      </c>
      <c r="N219" s="221" t="s">
        <v>452</v>
      </c>
      <c r="O219" s="221" t="s">
        <v>11412</v>
      </c>
      <c r="P219" s="145" t="s">
        <v>10103</v>
      </c>
      <c r="Q219" s="221" t="str">
        <f t="array" ref="Q219">INDEX(Notes!B:B,MATCH($B219,Notes!$A:$A,0))</f>
        <v>Invite</v>
      </c>
      <c r="R219" s="223">
        <f t="array" ref="R219">INDEX(Notes!C:C,MATCH($B219,Notes!$A:$A,0))</f>
        <v>0</v>
      </c>
      <c r="S219" s="370" t="str">
        <f ca="1">VLOOKUP($B219,'2022-2023 Third Reviews'!C:L, 9)</f>
        <v>Nick Schmandt
4</v>
      </c>
      <c r="T219" s="223" t="s">
        <v>11889</v>
      </c>
      <c r="U219" s="254" t="s">
        <v>35</v>
      </c>
      <c r="V219" s="325" t="s">
        <v>481</v>
      </c>
      <c r="W219" s="221"/>
      <c r="X219" s="221"/>
      <c r="Y219" s="221"/>
      <c r="Z219" s="224"/>
      <c r="AA219" s="224"/>
      <c r="AB219" s="224"/>
      <c r="AC219" s="224"/>
      <c r="AD219" s="224"/>
    </row>
    <row r="220" spans="1:30" ht="15.75" customHeight="1">
      <c r="A220" s="248">
        <v>44789</v>
      </c>
      <c r="B220" s="219" t="s">
        <v>399</v>
      </c>
      <c r="C220" s="249">
        <v>4</v>
      </c>
      <c r="D220" s="219" t="s">
        <v>11189</v>
      </c>
      <c r="E220" s="219" t="s">
        <v>3</v>
      </c>
      <c r="F220" s="219" t="s">
        <v>460</v>
      </c>
      <c r="G220" s="219" t="s">
        <v>10108</v>
      </c>
      <c r="H220" s="219">
        <v>4</v>
      </c>
      <c r="I220" s="219" t="s">
        <v>462</v>
      </c>
      <c r="J220" s="219" t="s">
        <v>10109</v>
      </c>
      <c r="K220" s="219">
        <v>4</v>
      </c>
      <c r="L220" s="219" t="s">
        <v>478</v>
      </c>
      <c r="M220" s="312">
        <v>25000000</v>
      </c>
      <c r="N220" s="219" t="s">
        <v>452</v>
      </c>
      <c r="O220" s="219" t="s">
        <v>11190</v>
      </c>
      <c r="P220" s="219"/>
      <c r="Q220" s="219" t="s">
        <v>18</v>
      </c>
      <c r="R220" s="251"/>
      <c r="S220" s="370" t="str">
        <f ca="1">VLOOKUP($B220,'2022-2023 Third Reviews'!C:L, 9)</f>
        <v>Nick Schmandt
4</v>
      </c>
      <c r="T220" s="251" t="s">
        <v>11877</v>
      </c>
      <c r="U220" s="251" t="s">
        <v>35</v>
      </c>
      <c r="V220" s="325" t="s">
        <v>481</v>
      </c>
      <c r="W220" s="219"/>
      <c r="X220" s="219"/>
      <c r="Y220" s="219"/>
      <c r="Z220" s="219"/>
      <c r="AA220" s="219"/>
      <c r="AB220" s="219"/>
      <c r="AC220" s="219"/>
      <c r="AD220" s="219"/>
    </row>
    <row r="221" spans="1:30" ht="15.75" customHeight="1">
      <c r="A221" s="253">
        <v>44791</v>
      </c>
      <c r="B221" s="224" t="s">
        <v>401</v>
      </c>
      <c r="C221" s="249">
        <v>4</v>
      </c>
      <c r="D221" s="224" t="s">
        <v>10115</v>
      </c>
      <c r="E221" s="224" t="s">
        <v>3</v>
      </c>
      <c r="F221" s="224" t="s">
        <v>488</v>
      </c>
      <c r="G221" s="224" t="s">
        <v>10116</v>
      </c>
      <c r="H221" s="224">
        <v>4</v>
      </c>
      <c r="I221" s="224" t="s">
        <v>462</v>
      </c>
      <c r="J221" s="224" t="s">
        <v>10994</v>
      </c>
      <c r="K221" s="224">
        <v>4</v>
      </c>
      <c r="L221" s="224" t="s">
        <v>451</v>
      </c>
      <c r="M221" s="307">
        <v>3000000</v>
      </c>
      <c r="N221" s="224" t="s">
        <v>465</v>
      </c>
      <c r="O221" s="224" t="s">
        <v>10118</v>
      </c>
      <c r="P221" s="224"/>
      <c r="Q221" s="224" t="s">
        <v>20</v>
      </c>
      <c r="R221" s="254" t="s">
        <v>10119</v>
      </c>
      <c r="S221" s="370" t="str">
        <f ca="1">VLOOKUP($B221,'2022-2023 Third Reviews'!C:L, 9)</f>
        <v>Nick Schmandt
4</v>
      </c>
      <c r="T221" s="254" t="s">
        <v>11905</v>
      </c>
      <c r="U221" s="254" t="s">
        <v>35</v>
      </c>
      <c r="V221" s="325" t="s">
        <v>481</v>
      </c>
      <c r="W221" s="224"/>
      <c r="X221" s="224"/>
      <c r="Y221" s="224"/>
      <c r="Z221" s="224"/>
      <c r="AA221" s="224"/>
      <c r="AB221" s="224"/>
      <c r="AC221" s="224"/>
      <c r="AD221" s="224"/>
    </row>
    <row r="222" spans="1:30" ht="15.75" customHeight="1">
      <c r="A222" s="372">
        <v>44784</v>
      </c>
      <c r="B222" s="268" t="s">
        <v>411</v>
      </c>
      <c r="C222" s="269">
        <v>4</v>
      </c>
      <c r="D222" s="268" t="s">
        <v>10140</v>
      </c>
      <c r="E222" s="268" t="s">
        <v>3</v>
      </c>
      <c r="F222" s="268" t="s">
        <v>460</v>
      </c>
      <c r="G222" s="268" t="s">
        <v>10141</v>
      </c>
      <c r="H222" s="268">
        <v>4</v>
      </c>
      <c r="I222" s="268" t="s">
        <v>488</v>
      </c>
      <c r="J222" s="268" t="s">
        <v>10142</v>
      </c>
      <c r="K222" s="268">
        <v>4</v>
      </c>
      <c r="L222" s="268" t="s">
        <v>478</v>
      </c>
      <c r="M222" s="285">
        <v>8000000</v>
      </c>
      <c r="N222" s="268" t="s">
        <v>452</v>
      </c>
      <c r="O222" s="285" t="s">
        <v>10143</v>
      </c>
      <c r="P222" s="268"/>
      <c r="Q222" s="268" t="s">
        <v>18</v>
      </c>
      <c r="R222" s="271"/>
      <c r="S222" s="370" t="str">
        <f ca="1">VLOOKUP($B222,'2022-2023 Third Reviews'!C:L, 9)</f>
        <v>Nick Schmandt
4</v>
      </c>
      <c r="T222" s="271" t="s">
        <v>11878</v>
      </c>
      <c r="U222" s="271" t="s">
        <v>35</v>
      </c>
      <c r="V222" s="325" t="s">
        <v>454</v>
      </c>
      <c r="W222" s="268"/>
      <c r="X222" s="268"/>
      <c r="Y222" s="268"/>
      <c r="Z222" s="268"/>
      <c r="AA222" s="268"/>
      <c r="AB222" s="219"/>
      <c r="AC222" s="219"/>
      <c r="AD222" s="219"/>
    </row>
    <row r="223" spans="1:30" ht="15.75" customHeight="1">
      <c r="A223" s="253">
        <v>44796</v>
      </c>
      <c r="B223" s="224" t="s">
        <v>412</v>
      </c>
      <c r="C223" s="249">
        <v>4</v>
      </c>
      <c r="D223" s="224" t="s">
        <v>10149</v>
      </c>
      <c r="E223" s="224" t="s">
        <v>3</v>
      </c>
      <c r="F223" s="224" t="s">
        <v>725</v>
      </c>
      <c r="G223" s="224" t="s">
        <v>10798</v>
      </c>
      <c r="H223" s="224">
        <v>4</v>
      </c>
      <c r="I223" s="224" t="s">
        <v>941</v>
      </c>
      <c r="J223" s="224" t="s">
        <v>10151</v>
      </c>
      <c r="K223" s="224">
        <v>4</v>
      </c>
      <c r="L223" s="224" t="s">
        <v>478</v>
      </c>
      <c r="M223" s="224" t="s">
        <v>10152</v>
      </c>
      <c r="N223" s="224" t="s">
        <v>452</v>
      </c>
      <c r="O223" s="224" t="s">
        <v>10153</v>
      </c>
      <c r="P223" s="224" t="s">
        <v>10154</v>
      </c>
      <c r="Q223" s="224" t="s">
        <v>18</v>
      </c>
      <c r="R223" s="254" t="s">
        <v>11916</v>
      </c>
      <c r="S223" s="370" t="str">
        <f ca="1">VLOOKUP($B223,'2022-2023 Third Reviews'!C:L, 9)</f>
        <v>Joshua Rubnitz
4</v>
      </c>
      <c r="T223" s="254" t="s">
        <v>11877</v>
      </c>
      <c r="U223" s="254" t="s">
        <v>35</v>
      </c>
      <c r="V223" s="325" t="s">
        <v>481</v>
      </c>
      <c r="W223" s="224"/>
      <c r="X223" s="224"/>
      <c r="Y223" s="224"/>
      <c r="Z223" s="224"/>
      <c r="AA223" s="224"/>
      <c r="AB223" s="224"/>
      <c r="AC223" s="224"/>
      <c r="AD223" s="224"/>
    </row>
    <row r="224" spans="1:30" ht="15.75" customHeight="1">
      <c r="A224" s="372">
        <v>44784</v>
      </c>
      <c r="B224" s="268" t="s">
        <v>403</v>
      </c>
      <c r="C224" s="269">
        <v>3.75</v>
      </c>
      <c r="D224" s="268" t="s">
        <v>10123</v>
      </c>
      <c r="E224" s="268" t="s">
        <v>3</v>
      </c>
      <c r="F224" s="268" t="s">
        <v>460</v>
      </c>
      <c r="G224" s="268" t="s">
        <v>10124</v>
      </c>
      <c r="H224" s="268">
        <v>4</v>
      </c>
      <c r="I224" s="268" t="s">
        <v>488</v>
      </c>
      <c r="J224" s="268" t="s">
        <v>10367</v>
      </c>
      <c r="K224" s="268">
        <v>3.5</v>
      </c>
      <c r="L224" s="268" t="s">
        <v>451</v>
      </c>
      <c r="M224" s="268" t="s">
        <v>2604</v>
      </c>
      <c r="N224" s="268" t="s">
        <v>454</v>
      </c>
      <c r="O224" s="268" t="s">
        <v>10126</v>
      </c>
      <c r="P224" s="268" t="s">
        <v>460</v>
      </c>
      <c r="Q224" s="268" t="s">
        <v>20</v>
      </c>
      <c r="R224" s="271" t="s">
        <v>10127</v>
      </c>
      <c r="S224" s="370" t="str">
        <f ca="1">VLOOKUP($B224,'2022-2023 Third Reviews'!C:L, 9)</f>
        <v>Jason Yu
4</v>
      </c>
      <c r="T224" s="271" t="s">
        <v>11876</v>
      </c>
      <c r="U224" s="271" t="s">
        <v>35</v>
      </c>
      <c r="V224" s="325" t="s">
        <v>481</v>
      </c>
      <c r="W224" s="268"/>
      <c r="X224" s="268"/>
      <c r="Y224" s="268"/>
      <c r="Z224" s="268"/>
      <c r="AA224" s="268"/>
      <c r="AB224" s="219"/>
      <c r="AC224" s="219"/>
      <c r="AD224" s="219"/>
    </row>
    <row r="225" spans="1:30" ht="15.75" customHeight="1">
      <c r="A225" s="253">
        <v>44789</v>
      </c>
      <c r="B225" s="224" t="s">
        <v>405</v>
      </c>
      <c r="C225" s="249">
        <v>3.75</v>
      </c>
      <c r="D225" s="224" t="s">
        <v>10132</v>
      </c>
      <c r="E225" s="224" t="s">
        <v>3</v>
      </c>
      <c r="F225" s="224" t="s">
        <v>460</v>
      </c>
      <c r="G225" s="224" t="s">
        <v>10133</v>
      </c>
      <c r="H225" s="224">
        <v>4</v>
      </c>
      <c r="I225" s="224" t="s">
        <v>488</v>
      </c>
      <c r="J225" s="224" t="s">
        <v>10491</v>
      </c>
      <c r="K225" s="224">
        <v>3.5</v>
      </c>
      <c r="L225" s="224" t="s">
        <v>784</v>
      </c>
      <c r="M225" s="224">
        <v>2000000</v>
      </c>
      <c r="N225" s="224" t="s">
        <v>452</v>
      </c>
      <c r="O225" s="224" t="s">
        <v>10135</v>
      </c>
      <c r="P225" s="224" t="s">
        <v>460</v>
      </c>
      <c r="Q225" s="224" t="s">
        <v>20</v>
      </c>
      <c r="R225" s="254" t="s">
        <v>10136</v>
      </c>
      <c r="S225" s="370" t="str">
        <f ca="1">VLOOKUP($B225,'2022-2023 Third Reviews'!C:L, 9)</f>
        <v>Jason Yu
4</v>
      </c>
      <c r="T225" s="254" t="s">
        <v>11876</v>
      </c>
      <c r="U225" s="274" t="s">
        <v>35</v>
      </c>
      <c r="V225" s="325" t="s">
        <v>454</v>
      </c>
      <c r="W225" s="224"/>
      <c r="X225" s="224"/>
      <c r="Y225" s="224"/>
      <c r="Z225" s="224"/>
      <c r="AA225" s="224"/>
      <c r="AB225" s="224"/>
      <c r="AC225" s="224"/>
      <c r="AD225" s="224"/>
    </row>
  </sheetData>
  <autoFilter ref="A1:AD225" xr:uid="{00000000-0009-0000-0000-00000B000000}">
    <filterColumn colId="20">
      <filters>
        <filter val="Waitlist"/>
        <filter val="Invite"/>
      </filters>
    </filterColumn>
  </autoFilter>
  <conditionalFormatting sqref="A1:A225">
    <cfRule type="expression" dxfId="21" priority="5">
      <formula>AND(ISTEXT(A1), COUNTIF(A:A, A1)&gt;1)</formula>
    </cfRule>
  </conditionalFormatting>
  <conditionalFormatting sqref="M2 R2:R14 S2:S131 V2:V131 U2:U225 T3:T8 T10:T14 T27">
    <cfRule type="expression" dxfId="20" priority="3">
      <formula>AND(#REF!=TRUE,#REF!="Deep Tech")</formula>
    </cfRule>
    <cfRule type="expression" dxfId="19" priority="4">
      <formula>AND(#REF!=TRUE,#REF!="Life Sciences")</formula>
    </cfRule>
  </conditionalFormatting>
  <conditionalFormatting sqref="Q1:Q225">
    <cfRule type="cellIs" dxfId="18" priority="6" operator="equal">
      <formula>"Special Reject"</formula>
    </cfRule>
  </conditionalFormatting>
  <conditionalFormatting sqref="V2:V131 M2 R2:R14 S2:S131 U2:U225 T3:T8 T10:T14 T27">
    <cfRule type="expression" dxfId="17" priority="2">
      <formula>AND(#REF!=TRUE,#REF!="Digital Tech")</formula>
    </cfRule>
  </conditionalFormatting>
  <conditionalFormatting sqref="V2:V131">
    <cfRule type="notContainsBlanks" dxfId="16" priority="1">
      <formula>LEN(TRIM(V2))&gt;0</formula>
    </cfRule>
  </conditionalFormatting>
  <dataValidations count="2">
    <dataValidation type="list" allowBlank="1" sqref="Q2:Q225" xr:uid="{00000000-0002-0000-0B00-000000000000}">
      <formula1>"Invite,Reject,Revisit,Special Reject,Invite Next Year,Revisit/ Cluster,"</formula1>
    </dataValidation>
    <dataValidation type="list" allowBlank="1" sqref="E15 E18:E20 E23 E30:E31 E34 E37 E45 E47 E49 E53 E55:E56 E64:E68 E74:E75 E84:E85 E93:E98 E101:E103 E114:E116 E119:E120 E138:E143 E154:E157 E171:E174 E179:E180 E184 E187:E188 E190 E192 E195:E196 E199 E203 E208 E210 E212:E213 E223" xr:uid="{00000000-0002-0000-0B00-000001000000}">
      <formula1>"Life Sciences,Digital Tech,Deep Tech"</formula1>
    </dataValidation>
  </dataValidations>
  <hyperlinks>
    <hyperlink ref="G164" r:id="rId1" xr:uid="{00000000-0004-0000-0B00-000000000000}"/>
  </hyperlinks>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J2350"/>
  <sheetViews>
    <sheetView workbookViewId="0">
      <pane ySplit="1" topLeftCell="A2" activePane="bottomLeft" state="frozen"/>
      <selection pane="bottomLeft" activeCell="B3" sqref="B3"/>
    </sheetView>
  </sheetViews>
  <sheetFormatPr baseColWidth="10" defaultColWidth="14.5" defaultRowHeight="15" customHeight="1"/>
  <cols>
    <col min="1" max="1" width="28" customWidth="1"/>
    <col min="2" max="2" width="56.5" customWidth="1"/>
    <col min="5" max="5" width="27.83203125" customWidth="1"/>
    <col min="6" max="6" width="23.33203125" customWidth="1"/>
    <col min="7" max="7" width="21.6640625" customWidth="1"/>
    <col min="8" max="8" width="17.83203125" customWidth="1"/>
    <col min="9" max="9" width="17.33203125" customWidth="1"/>
    <col min="10" max="10" width="77.33203125" customWidth="1"/>
  </cols>
  <sheetData>
    <row r="1" spans="1:10">
      <c r="A1" s="382" t="s">
        <v>11917</v>
      </c>
      <c r="B1" s="382" t="s">
        <v>11507</v>
      </c>
      <c r="C1" s="382" t="s">
        <v>11508</v>
      </c>
      <c r="D1" s="382" t="s">
        <v>11509</v>
      </c>
      <c r="E1" s="382" t="s">
        <v>11755</v>
      </c>
      <c r="F1" s="382" t="s">
        <v>11918</v>
      </c>
      <c r="G1" s="382" t="s">
        <v>11919</v>
      </c>
      <c r="H1" s="382" t="s">
        <v>11920</v>
      </c>
      <c r="I1" s="382" t="s">
        <v>11921</v>
      </c>
      <c r="J1" s="382" t="s">
        <v>11922</v>
      </c>
    </row>
    <row r="2" spans="1:10">
      <c r="A2" s="383" t="str">
        <f>CONCATENATE("Reviewed on"," ",(TEXT('2022-2023 Applications Review'!$A2, "mm/dd/yyyy")))</f>
        <v>Reviewed on 08/03/2022</v>
      </c>
      <c r="B2" s="383" t="str">
        <f>'2022-2023 Applications Review'!B2</f>
        <v>Amplo Biotechnology _2022</v>
      </c>
      <c r="C2" s="383" t="str">
        <f>'2022-2023 Applications Review'!E2</f>
        <v>Life Sciences</v>
      </c>
      <c r="D2" s="384" t="str">
        <f>'2022-2023 Applications Review'!Q2</f>
        <v>Invite</v>
      </c>
      <c r="E2" s="383"/>
      <c r="F2" s="383"/>
      <c r="G2" s="383"/>
      <c r="H2" s="383"/>
      <c r="I2" s="385" t="b">
        <v>1</v>
      </c>
      <c r="J2" s="386" t="s">
        <v>11923</v>
      </c>
    </row>
    <row r="3" spans="1:10">
      <c r="A3" s="383" t="str">
        <f>CONCATENATE("Reviewed on"," ",(TEXT('2022-2023 Applications Review'!$A3, "mm/dd/yyyy")))</f>
        <v>Reviewed on 08/03/2022</v>
      </c>
      <c r="B3" s="383" t="str">
        <f>'2022-2023 Applications Review'!B3</f>
        <v>Panhwar Jet _2022</v>
      </c>
      <c r="C3" s="383" t="str">
        <f>'2022-2023 Applications Review'!E3</f>
        <v>Deep Tech</v>
      </c>
      <c r="D3" s="384" t="str">
        <f>'2022-2023 Applications Review'!Q3</f>
        <v>Invite</v>
      </c>
      <c r="E3" s="383"/>
      <c r="F3" s="383"/>
      <c r="G3" s="383"/>
      <c r="H3" s="383"/>
      <c r="I3" s="385" t="b">
        <v>1</v>
      </c>
      <c r="J3" s="386" t="s">
        <v>11924</v>
      </c>
    </row>
    <row r="4" spans="1:10">
      <c r="A4" s="383" t="str">
        <f>CONCATENATE("Reviewed on"," ",(TEXT('2022-2023 Applications Review'!$A4, "mm/dd/yyyy")))</f>
        <v>Reviewed on 08/03/2022</v>
      </c>
      <c r="B4" s="383" t="str">
        <f>'2022-2023 Applications Review'!B4</f>
        <v>Nano PharmaSolutions, Inc. _2022</v>
      </c>
      <c r="C4" s="383" t="str">
        <f>'2022-2023 Applications Review'!E4</f>
        <v>Life Sciences</v>
      </c>
      <c r="D4" s="384" t="str">
        <f>'2022-2023 Applications Review'!Q4</f>
        <v>Invite</v>
      </c>
      <c r="E4" s="383"/>
      <c r="F4" s="383"/>
      <c r="G4" s="383"/>
      <c r="H4" s="383"/>
      <c r="I4" s="385" t="b">
        <v>1</v>
      </c>
      <c r="J4" s="386" t="s">
        <v>11925</v>
      </c>
    </row>
    <row r="5" spans="1:10">
      <c r="A5" s="383" t="str">
        <f>CONCATENATE("Reviewed on"," ",(TEXT('2022-2023 Applications Review'!$A5, "mm/dd/yyyy")))</f>
        <v>Reviewed on 08/03/2022</v>
      </c>
      <c r="B5" s="383" t="str">
        <f>'2022-2023 Applications Review'!B5</f>
        <v>Automated Architecture Ltd _2022</v>
      </c>
      <c r="C5" s="383" t="str">
        <f>'2022-2023 Applications Review'!E5</f>
        <v>Deep Tech</v>
      </c>
      <c r="D5" s="384" t="str">
        <f>'2022-2023 Applications Review'!Q5</f>
        <v>Invite</v>
      </c>
      <c r="E5" s="383"/>
      <c r="F5" s="383"/>
      <c r="G5" s="383"/>
      <c r="H5" s="383"/>
      <c r="I5" s="385" t="b">
        <v>1</v>
      </c>
      <c r="J5" s="386" t="s">
        <v>11926</v>
      </c>
    </row>
    <row r="6" spans="1:10">
      <c r="A6" s="383" t="str">
        <f>CONCATENATE("Reviewed on"," ",(TEXT('2022-2023 Applications Review'!$A6, "mm/dd/yyyy")))</f>
        <v>Reviewed on 08/03/2022</v>
      </c>
      <c r="B6" s="383" t="str">
        <f>'2022-2023 Applications Review'!B6</f>
        <v>Culina Health _2022</v>
      </c>
      <c r="C6" s="383" t="str">
        <f>'2022-2023 Applications Review'!E6</f>
        <v>Digital Tech</v>
      </c>
      <c r="D6" s="384" t="str">
        <f>'2022-2023 Applications Review'!Q6</f>
        <v>Invite</v>
      </c>
      <c r="E6" s="383"/>
      <c r="F6" s="383"/>
      <c r="G6" s="383"/>
      <c r="H6" s="383"/>
      <c r="I6" s="385" t="b">
        <v>1</v>
      </c>
      <c r="J6" s="386" t="s">
        <v>11927</v>
      </c>
    </row>
    <row r="7" spans="1:10">
      <c r="A7" s="383" t="str">
        <f>CONCATENATE("Reviewed on"," ",(TEXT('2022-2023 Applications Review'!$A7, "mm/dd/yyyy")))</f>
        <v>Reviewed on 08/03/2022</v>
      </c>
      <c r="B7" s="383" t="str">
        <f>'2022-2023 Applications Review'!B7</f>
        <v>VLP Plus LLC _2022</v>
      </c>
      <c r="C7" s="383" t="str">
        <f>'2022-2023 Applications Review'!E7</f>
        <v>Life Sciences</v>
      </c>
      <c r="D7" s="384" t="str">
        <f>'2022-2023 Applications Review'!Q7</f>
        <v>Invite</v>
      </c>
      <c r="E7" s="383"/>
      <c r="F7" s="383"/>
      <c r="G7" s="383"/>
      <c r="H7" s="383"/>
      <c r="I7" s="385" t="b">
        <v>1</v>
      </c>
      <c r="J7" s="386" t="s">
        <v>11928</v>
      </c>
    </row>
    <row r="8" spans="1:10">
      <c r="A8" s="383" t="str">
        <f>CONCATENATE("Reviewed on"," ",(TEXT('2022-2023 Applications Review'!$A8, "mm/dd/yyyy")))</f>
        <v>Reviewed on 08/03/2022</v>
      </c>
      <c r="B8" s="383" t="str">
        <f>'2022-2023 Applications Review'!B8</f>
        <v>Steg.AI _2022</v>
      </c>
      <c r="C8" s="383" t="str">
        <f>'2022-2023 Applications Review'!E8</f>
        <v>Digital Tech</v>
      </c>
      <c r="D8" s="384" t="str">
        <f>'2022-2023 Applications Review'!Q8</f>
        <v>Invite</v>
      </c>
      <c r="E8" s="383"/>
      <c r="F8" s="383"/>
      <c r="G8" s="383"/>
      <c r="H8" s="383"/>
      <c r="I8" s="385" t="b">
        <v>1</v>
      </c>
      <c r="J8" s="386" t="s">
        <v>11929</v>
      </c>
    </row>
    <row r="9" spans="1:10">
      <c r="A9" s="383" t="str">
        <f>CONCATENATE("Reviewed on"," ",(TEXT('2022-2023 Applications Review'!$A9, "mm/dd/yyyy")))</f>
        <v>Reviewed on 08/03/2022</v>
      </c>
      <c r="B9" s="383" t="str">
        <f>'2022-2023 Applications Review'!B9</f>
        <v>BreachQuest _2022</v>
      </c>
      <c r="C9" s="383" t="str">
        <f>'2022-2023 Applications Review'!E9</f>
        <v>Digital Tech</v>
      </c>
      <c r="D9" s="384" t="str">
        <f>'2022-2023 Applications Review'!Q9</f>
        <v>Invite</v>
      </c>
      <c r="E9" s="383"/>
      <c r="F9" s="383"/>
      <c r="G9" s="383"/>
      <c r="H9" s="383"/>
      <c r="I9" s="385" t="b">
        <v>1</v>
      </c>
      <c r="J9" s="386" t="s">
        <v>11930</v>
      </c>
    </row>
    <row r="10" spans="1:10">
      <c r="A10" s="383" t="str">
        <f>CONCATENATE("Reviewed on"," ",(TEXT('2022-2023 Applications Review'!$A10, "mm/dd/yyyy")))</f>
        <v>Reviewed on 08/03/2022</v>
      </c>
      <c r="B10" s="383" t="str">
        <f>'2022-2023 Applications Review'!B10</f>
        <v>Datanchor Inc. _2022</v>
      </c>
      <c r="C10" s="383" t="str">
        <f>'2022-2023 Applications Review'!E10</f>
        <v>Digital Tech</v>
      </c>
      <c r="D10" s="384" t="str">
        <f>'2022-2023 Applications Review'!Q10</f>
        <v>Invite</v>
      </c>
      <c r="E10" s="383"/>
      <c r="F10" s="383"/>
      <c r="G10" s="383"/>
      <c r="H10" s="383"/>
      <c r="I10" s="385" t="b">
        <v>1</v>
      </c>
      <c r="J10" s="386" t="s">
        <v>11931</v>
      </c>
    </row>
    <row r="11" spans="1:10">
      <c r="A11" s="383" t="str">
        <f>CONCATENATE("Reviewed on"," ",(TEXT('2022-2023 Applications Review'!$A11, "mm/dd/yyyy")))</f>
        <v>Reviewed on 08/03/2022</v>
      </c>
      <c r="B11" s="383" t="str">
        <f>'2022-2023 Applications Review'!B11</f>
        <v>Coflow Jet, LLC _2022</v>
      </c>
      <c r="C11" s="383" t="str">
        <f>'2022-2023 Applications Review'!E11</f>
        <v>Deep Tech</v>
      </c>
      <c r="D11" s="384" t="str">
        <f>'2022-2023 Applications Review'!Q11</f>
        <v>Invite</v>
      </c>
      <c r="E11" s="383"/>
      <c r="F11" s="383"/>
      <c r="G11" s="383"/>
      <c r="H11" s="383"/>
      <c r="I11" s="385" t="b">
        <v>1</v>
      </c>
      <c r="J11" s="386" t="s">
        <v>11932</v>
      </c>
    </row>
    <row r="12" spans="1:10">
      <c r="A12" s="383" t="str">
        <f>CONCATENATE("Reviewed on"," ",(TEXT('2022-2023 Applications Review'!$A12, "mm/dd/yyyy")))</f>
        <v>Reviewed on 08/03/2022</v>
      </c>
      <c r="B12" s="383" t="str">
        <f>'2022-2023 Applications Review'!B12</f>
        <v>Scispot.io, Inc.  _2022</v>
      </c>
      <c r="C12" s="383" t="str">
        <f>'2022-2023 Applications Review'!E12</f>
        <v>Life Sciences</v>
      </c>
      <c r="D12" s="384" t="str">
        <f>'2022-2023 Applications Review'!Q12</f>
        <v>Invite</v>
      </c>
      <c r="E12" s="383"/>
      <c r="F12" s="383"/>
      <c r="G12" s="383"/>
      <c r="H12" s="383"/>
      <c r="I12" s="385" t="b">
        <v>1</v>
      </c>
      <c r="J12" s="386" t="s">
        <v>11933</v>
      </c>
    </row>
    <row r="13" spans="1:10">
      <c r="A13" s="383" t="str">
        <f>CONCATENATE("Reviewed on"," ",(TEXT('2022-2023 Applications Review'!$A13, "mm/dd/yyyy")))</f>
        <v>Reviewed on 08/03/2022</v>
      </c>
      <c r="B13" s="383" t="str">
        <f>'2022-2023 Applications Review'!B13</f>
        <v>SPG Therapeutics, Inc.  _2022</v>
      </c>
      <c r="C13" s="383" t="str">
        <f>'2022-2023 Applications Review'!E13</f>
        <v>Life Sciences</v>
      </c>
      <c r="D13" s="384" t="str">
        <f>'2022-2023 Applications Review'!Q13</f>
        <v>Invite</v>
      </c>
      <c r="E13" s="383"/>
      <c r="F13" s="383"/>
      <c r="G13" s="383"/>
      <c r="H13" s="383"/>
      <c r="I13" s="385" t="b">
        <v>1</v>
      </c>
      <c r="J13" s="386" t="s">
        <v>11934</v>
      </c>
    </row>
    <row r="14" spans="1:10">
      <c r="A14" s="383" t="str">
        <f>CONCATENATE("Reviewed on"," ",(TEXT('2022-2023 Applications Review'!$A14, "mm/dd/yyyy")))</f>
        <v>Reviewed on 08/03/2022</v>
      </c>
      <c r="B14" s="383" t="str">
        <f>'2022-2023 Applications Review'!B14</f>
        <v>Watershed Therapeutics _2022</v>
      </c>
      <c r="C14" s="383" t="str">
        <f>'2022-2023 Applications Review'!E14</f>
        <v>Deep Tech</v>
      </c>
      <c r="D14" s="384" t="str">
        <f>'2022-2023 Applications Review'!Q14</f>
        <v>Invite</v>
      </c>
      <c r="E14" s="383"/>
      <c r="F14" s="383"/>
      <c r="G14" s="383"/>
      <c r="H14" s="383"/>
      <c r="I14" s="385" t="b">
        <v>1</v>
      </c>
      <c r="J14" s="386" t="s">
        <v>11935</v>
      </c>
    </row>
    <row r="15" spans="1:10">
      <c r="A15" s="383" t="str">
        <f>CONCATENATE("Reviewed on"," ",(TEXT('2022-2023 Applications Review'!$A15, "mm/dd/yyyy")))</f>
        <v>Reviewed on 08/03/2022</v>
      </c>
      <c r="B15" s="383" t="str">
        <f>'2022-2023 Applications Review'!B15</f>
        <v>Aclid, Inc. _2022</v>
      </c>
      <c r="C15" s="383" t="str">
        <f>'2022-2023 Applications Review'!E15</f>
        <v>Life Sciences</v>
      </c>
      <c r="D15" s="384" t="str">
        <f>'2022-2023 Applications Review'!Q15</f>
        <v>Invite</v>
      </c>
      <c r="E15" s="383"/>
      <c r="F15" s="383"/>
      <c r="G15" s="383"/>
      <c r="H15" s="383"/>
      <c r="I15" s="385" t="b">
        <v>1</v>
      </c>
      <c r="J15" s="386" t="s">
        <v>11936</v>
      </c>
    </row>
    <row r="16" spans="1:10">
      <c r="A16" s="383" t="str">
        <f>CONCATENATE("Reviewed on"," ",(TEXT('2022-2023 Applications Review'!$A16, "mm/dd/yyyy")))</f>
        <v>Reviewed on 08/03/2022</v>
      </c>
      <c r="B16" s="383" t="str">
        <f>'2022-2023 Applications Review'!B16</f>
        <v>Structure Financial _2022</v>
      </c>
      <c r="C16" s="383" t="str">
        <f>'2022-2023 Applications Review'!E16</f>
        <v>Digital Tech</v>
      </c>
      <c r="D16" s="384" t="str">
        <f>'2022-2023 Applications Review'!Q16</f>
        <v>Invite</v>
      </c>
      <c r="E16" s="383"/>
      <c r="F16" s="383"/>
      <c r="G16" s="383"/>
      <c r="H16" s="383"/>
      <c r="I16" s="385" t="b">
        <v>1</v>
      </c>
      <c r="J16" s="386" t="s">
        <v>11937</v>
      </c>
    </row>
    <row r="17" spans="1:10">
      <c r="A17" s="383" t="str">
        <f>CONCATENATE("Reviewed on"," ",(TEXT('2022-2023 Applications Review'!$A17, "mm/dd/yyyy")))</f>
        <v>Reviewed on 08/03/2022</v>
      </c>
      <c r="B17" s="383" t="str">
        <f>'2022-2023 Applications Review'!B17</f>
        <v>Beegol Corp _2022</v>
      </c>
      <c r="C17" s="383" t="str">
        <f>'2022-2023 Applications Review'!E17</f>
        <v>Deep Tech</v>
      </c>
      <c r="D17" s="384" t="str">
        <f>'2022-2023 Applications Review'!Q17</f>
        <v>Revisit/ Cluster</v>
      </c>
      <c r="E17" s="383"/>
      <c r="F17" s="383"/>
      <c r="G17" s="383"/>
      <c r="H17" s="383"/>
      <c r="I17" s="385" t="b">
        <v>1</v>
      </c>
      <c r="J17" s="386" t="s">
        <v>11938</v>
      </c>
    </row>
    <row r="18" spans="1:10">
      <c r="A18" s="383" t="str">
        <f>CONCATENATE("Reviewed on"," ",(TEXT('2022-2023 Applications Review'!$A18, "mm/dd/yyyy")))</f>
        <v>Reviewed on 08/03/2022</v>
      </c>
      <c r="B18" s="383" t="str">
        <f>'2022-2023 Applications Review'!B18</f>
        <v>Ingenii Inc _2022</v>
      </c>
      <c r="C18" s="383" t="str">
        <f>'2022-2023 Applications Review'!E18</f>
        <v>Deep Tech</v>
      </c>
      <c r="D18" s="384" t="str">
        <f>'2022-2023 Applications Review'!Q18</f>
        <v>Invite</v>
      </c>
      <c r="E18" s="383"/>
      <c r="F18" s="383"/>
      <c r="G18" s="383"/>
      <c r="H18" s="383"/>
      <c r="I18" s="385" t="b">
        <v>1</v>
      </c>
      <c r="J18" s="386" t="s">
        <v>11939</v>
      </c>
    </row>
    <row r="19" spans="1:10">
      <c r="A19" s="383" t="str">
        <f>CONCATENATE("Reviewed on"," ",(TEXT('2022-2023 Applications Review'!$A19, "mm/dd/yyyy")))</f>
        <v>Reviewed on 08/03/2022</v>
      </c>
      <c r="B19" s="383" t="str">
        <f>'2022-2023 Applications Review'!B19</f>
        <v>Xinterra _2022</v>
      </c>
      <c r="C19" s="383" t="str">
        <f>'2022-2023 Applications Review'!E19</f>
        <v>Deep Tech</v>
      </c>
      <c r="D19" s="384" t="str">
        <f>'2022-2023 Applications Review'!Q19</f>
        <v>Invite</v>
      </c>
      <c r="E19" s="383"/>
      <c r="F19" s="383"/>
      <c r="G19" s="383"/>
      <c r="H19" s="383"/>
      <c r="I19" s="385" t="b">
        <v>1</v>
      </c>
      <c r="J19" s="386" t="s">
        <v>11940</v>
      </c>
    </row>
    <row r="20" spans="1:10">
      <c r="A20" s="383" t="str">
        <f>CONCATENATE("Reviewed on"," ",(TEXT('2022-2023 Applications Review'!$A20, "mm/dd/yyyy")))</f>
        <v>Reviewed on 08/03/2022</v>
      </c>
      <c r="B20" s="383" t="str">
        <f>'2022-2023 Applications Review'!B20</f>
        <v>Hubly Surgical _2022</v>
      </c>
      <c r="C20" s="383" t="str">
        <f>'2022-2023 Applications Review'!E20</f>
        <v>Life Sciences</v>
      </c>
      <c r="D20" s="384" t="str">
        <f>'2022-2023 Applications Review'!Q20</f>
        <v>Invite</v>
      </c>
      <c r="E20" s="383"/>
      <c r="F20" s="383"/>
      <c r="G20" s="383"/>
      <c r="H20" s="383"/>
      <c r="I20" s="385" t="b">
        <v>1</v>
      </c>
      <c r="J20" s="386" t="s">
        <v>11941</v>
      </c>
    </row>
    <row r="21" spans="1:10">
      <c r="A21" s="383" t="str">
        <f>CONCATENATE("Reviewed on"," ",(TEXT('2022-2023 Applications Review'!$A21, "mm/dd/yyyy")))</f>
        <v>Reviewed on 08/03/2022</v>
      </c>
      <c r="B21" s="383" t="str">
        <f>'2022-2023 Applications Review'!B21</f>
        <v>Chiefy _2022</v>
      </c>
      <c r="C21" s="383" t="str">
        <f>'2022-2023 Applications Review'!E21</f>
        <v>Digital Tech</v>
      </c>
      <c r="D21" s="384" t="str">
        <f>'2022-2023 Applications Review'!Q21</f>
        <v>Revisit/ Cluster</v>
      </c>
      <c r="E21" s="383"/>
      <c r="F21" s="383"/>
      <c r="G21" s="383"/>
      <c r="H21" s="383"/>
      <c r="I21" s="385" t="b">
        <v>1</v>
      </c>
      <c r="J21" s="386" t="s">
        <v>11942</v>
      </c>
    </row>
    <row r="22" spans="1:10">
      <c r="A22" s="383" t="str">
        <f>CONCATENATE("Reviewed on"," ",(TEXT('2022-2023 Applications Review'!$A22, "mm/dd/yyyy")))</f>
        <v>Reviewed on 08/03/2022</v>
      </c>
      <c r="B22" s="383" t="str">
        <f>'2022-2023 Applications Review'!B22</f>
        <v>Bosque Foods _2022</v>
      </c>
      <c r="C22" s="383" t="str">
        <f>'2022-2023 Applications Review'!E22</f>
        <v>Deep Tech</v>
      </c>
      <c r="D22" s="384" t="str">
        <f>'2022-2023 Applications Review'!Q22</f>
        <v>Invite</v>
      </c>
      <c r="E22" s="383"/>
      <c r="F22" s="383"/>
      <c r="G22" s="383"/>
      <c r="H22" s="383"/>
      <c r="I22" s="385" t="b">
        <v>1</v>
      </c>
      <c r="J22" s="386" t="s">
        <v>11943</v>
      </c>
    </row>
    <row r="23" spans="1:10">
      <c r="A23" s="383" t="str">
        <f>CONCATENATE("Reviewed on"," ",(TEXT('2022-2023 Applications Review'!$A23, "mm/dd/yyyy")))</f>
        <v>Reviewed on 08/03/2022</v>
      </c>
      <c r="B23" s="383" t="str">
        <f>'2022-2023 Applications Review'!B23</f>
        <v>Basquevolt SA _2022</v>
      </c>
      <c r="C23" s="383" t="str">
        <f>'2022-2023 Applications Review'!E23</f>
        <v>Deep Tech</v>
      </c>
      <c r="D23" s="384" t="str">
        <f>'2022-2023 Applications Review'!Q23</f>
        <v>Invite</v>
      </c>
      <c r="E23" s="383"/>
      <c r="F23" s="383"/>
      <c r="G23" s="383"/>
      <c r="H23" s="383"/>
      <c r="I23" s="385" t="b">
        <v>1</v>
      </c>
      <c r="J23" s="386" t="s">
        <v>11944</v>
      </c>
    </row>
    <row r="24" spans="1:10">
      <c r="A24" s="383" t="str">
        <f>CONCATENATE("Reviewed on"," ",(TEXT('2022-2023 Applications Review'!$A24, "mm/dd/yyyy")))</f>
        <v>Reviewed on 08/03/2022</v>
      </c>
      <c r="B24" s="383" t="str">
        <f>'2022-2023 Applications Review'!B24</f>
        <v>LizarBio Therapeutics _2022</v>
      </c>
      <c r="C24" s="383" t="str">
        <f>'2022-2023 Applications Review'!E24</f>
        <v>Life Sciences</v>
      </c>
      <c r="D24" s="384" t="str">
        <f>'2022-2023 Applications Review'!Q24</f>
        <v>Invite</v>
      </c>
      <c r="E24" s="383"/>
      <c r="F24" s="383"/>
      <c r="G24" s="383"/>
      <c r="H24" s="383"/>
      <c r="I24" s="385" t="b">
        <v>1</v>
      </c>
      <c r="J24" s="386" t="s">
        <v>11945</v>
      </c>
    </row>
    <row r="25" spans="1:10">
      <c r="A25" s="383" t="str">
        <f>CONCATENATE("Reviewed on"," ",(TEXT('2022-2023 Applications Review'!$A25, "mm/dd/yyyy")))</f>
        <v>Reviewed on 08/03/2022</v>
      </c>
      <c r="B25" s="383" t="str">
        <f>'2022-2023 Applications Review'!B25</f>
        <v>Arvetas Biosciences, Inc. _2022</v>
      </c>
      <c r="C25" s="383" t="str">
        <f>'2022-2023 Applications Review'!E25</f>
        <v>Life Sciences</v>
      </c>
      <c r="D25" s="384" t="str">
        <f>'2022-2023 Applications Review'!Q25</f>
        <v>Invite</v>
      </c>
      <c r="E25" s="383"/>
      <c r="F25" s="383"/>
      <c r="G25" s="383"/>
      <c r="H25" s="383"/>
      <c r="I25" s="385" t="b">
        <v>1</v>
      </c>
      <c r="J25" s="386" t="s">
        <v>11946</v>
      </c>
    </row>
    <row r="26" spans="1:10">
      <c r="A26" s="383" t="str">
        <f>CONCATENATE("Reviewed on"," ",(TEXT('2022-2023 Applications Review'!$A26, "mm/dd/yyyy")))</f>
        <v>Reviewed on 08/03/2022</v>
      </c>
      <c r="B26" s="383" t="str">
        <f>'2022-2023 Applications Review'!B26</f>
        <v>Spiky.ai _2022</v>
      </c>
      <c r="C26" s="383" t="str">
        <f>'2022-2023 Applications Review'!E26</f>
        <v>Digital Tech</v>
      </c>
      <c r="D26" s="384" t="str">
        <f>'2022-2023 Applications Review'!Q26</f>
        <v>Revisit/ Cluster</v>
      </c>
      <c r="E26" s="383"/>
      <c r="F26" s="383"/>
      <c r="G26" s="383"/>
      <c r="H26" s="383"/>
      <c r="I26" s="385" t="b">
        <v>1</v>
      </c>
      <c r="J26" s="386" t="s">
        <v>11947</v>
      </c>
    </row>
    <row r="27" spans="1:10">
      <c r="A27" s="383" t="str">
        <f>CONCATENATE("Reviewed on"," ",(TEXT('2022-2023 Applications Review'!$A27, "mm/dd/yyyy")))</f>
        <v>Reviewed on 08/03/2022</v>
      </c>
      <c r="B27" s="383" t="str">
        <f>'2022-2023 Applications Review'!B27</f>
        <v>staex GmbH _2022</v>
      </c>
      <c r="C27" s="383" t="str">
        <f>'2022-2023 Applications Review'!E27</f>
        <v>Digital Tech</v>
      </c>
      <c r="D27" s="384" t="str">
        <f>'2022-2023 Applications Review'!Q27</f>
        <v>Revisit</v>
      </c>
      <c r="E27" s="383"/>
      <c r="F27" s="383"/>
      <c r="G27" s="383"/>
      <c r="H27" s="383"/>
      <c r="I27" s="385" t="b">
        <v>1</v>
      </c>
      <c r="J27" s="386" t="s">
        <v>11948</v>
      </c>
    </row>
    <row r="28" spans="1:10">
      <c r="A28" s="383" t="str">
        <f>CONCATENATE("Reviewed on"," ",(TEXT('2022-2023 Applications Review'!$A28, "mm/dd/yyyy")))</f>
        <v>Reviewed on 08/03/2022</v>
      </c>
      <c r="B28" s="383" t="str">
        <f>'2022-2023 Applications Review'!B28</f>
        <v>Immergo Labs, Inc. _2022</v>
      </c>
      <c r="C28" s="383" t="str">
        <f>'2022-2023 Applications Review'!E28</f>
        <v>Digital Tech</v>
      </c>
      <c r="D28" s="384" t="str">
        <f>'2022-2023 Applications Review'!Q28</f>
        <v>Invite Next Year</v>
      </c>
      <c r="E28" s="383"/>
      <c r="F28" s="383"/>
      <c r="G28" s="383"/>
      <c r="H28" s="383"/>
      <c r="I28" s="385" t="b">
        <v>1</v>
      </c>
      <c r="J28" s="386" t="s">
        <v>11949</v>
      </c>
    </row>
    <row r="29" spans="1:10">
      <c r="A29" s="383" t="str">
        <f>CONCATENATE("Reviewed on"," ",(TEXT('2022-2023 Applications Review'!$A29, "mm/dd/yyyy")))</f>
        <v>Reviewed on 08/03/2022</v>
      </c>
      <c r="B29" s="383" t="str">
        <f>'2022-2023 Applications Review'!B29</f>
        <v>Bidmii _2022</v>
      </c>
      <c r="C29" s="383" t="str">
        <f>'2022-2023 Applications Review'!E29</f>
        <v>Digital Tech</v>
      </c>
      <c r="D29" s="384" t="str">
        <f>'2022-2023 Applications Review'!Q29</f>
        <v>Revisit</v>
      </c>
      <c r="E29" s="383"/>
      <c r="F29" s="383"/>
      <c r="G29" s="383"/>
      <c r="H29" s="383"/>
      <c r="I29" s="385" t="b">
        <v>1</v>
      </c>
      <c r="J29" s="386" t="s">
        <v>11950</v>
      </c>
    </row>
    <row r="30" spans="1:10">
      <c r="A30" s="383" t="str">
        <f>CONCATENATE("Reviewed on"," ",(TEXT('2022-2023 Applications Review'!$A30, "mm/dd/yyyy")))</f>
        <v>Reviewed on 08/03/2022</v>
      </c>
      <c r="B30" s="383" t="str">
        <f>'2022-2023 Applications Review'!B30</f>
        <v>Rocket Propulsion Systems LLC _2022</v>
      </c>
      <c r="C30" s="383" t="str">
        <f>'2022-2023 Applications Review'!E30</f>
        <v>Deep Tech</v>
      </c>
      <c r="D30" s="384" t="str">
        <f>'2022-2023 Applications Review'!Q30</f>
        <v>Revisit</v>
      </c>
      <c r="E30" s="383"/>
      <c r="F30" s="383"/>
      <c r="G30" s="383"/>
      <c r="H30" s="383"/>
      <c r="I30" s="385" t="b">
        <v>1</v>
      </c>
      <c r="J30" s="386" t="s">
        <v>11951</v>
      </c>
    </row>
    <row r="31" spans="1:10">
      <c r="A31" s="383" t="str">
        <f>CONCATENATE("Reviewed on"," ",(TEXT('2022-2023 Applications Review'!$A31, "mm/dd/yyyy")))</f>
        <v>Reviewed on 08/03/2022</v>
      </c>
      <c r="B31" s="383" t="str">
        <f>'2022-2023 Applications Review'!B31</f>
        <v>iCardio.ai _2022</v>
      </c>
      <c r="C31" s="383" t="str">
        <f>'2022-2023 Applications Review'!E31</f>
        <v>Deep Tech</v>
      </c>
      <c r="D31" s="384" t="str">
        <f>'2022-2023 Applications Review'!Q31</f>
        <v>Revisit/ Cluster</v>
      </c>
      <c r="E31" s="383"/>
      <c r="F31" s="383"/>
      <c r="G31" s="383"/>
      <c r="H31" s="383"/>
      <c r="I31" s="385" t="b">
        <v>1</v>
      </c>
      <c r="J31" s="386" t="s">
        <v>11952</v>
      </c>
    </row>
    <row r="32" spans="1:10">
      <c r="A32" s="383" t="str">
        <f>CONCATENATE("Reviewed on"," ",(TEXT('2022-2023 Applications Review'!$A32, "mm/dd/yyyy")))</f>
        <v>Reviewed on 08/03/2022</v>
      </c>
      <c r="B32" s="383" t="str">
        <f>'2022-2023 Applications Review'!B32</f>
        <v>Taiyo.AI _2022</v>
      </c>
      <c r="C32" s="383" t="str">
        <f>'2022-2023 Applications Review'!E32</f>
        <v>Digital Tech</v>
      </c>
      <c r="D32" s="384" t="str">
        <f>'2022-2023 Applications Review'!Q32</f>
        <v>Revisit/ Cluster</v>
      </c>
      <c r="E32" s="383"/>
      <c r="F32" s="383"/>
      <c r="G32" s="383"/>
      <c r="H32" s="383"/>
      <c r="I32" s="385" t="b">
        <v>1</v>
      </c>
      <c r="J32" s="386" t="s">
        <v>11953</v>
      </c>
    </row>
    <row r="33" spans="1:10">
      <c r="A33" s="383" t="str">
        <f>CONCATENATE("Reviewed on"," ",(TEXT('2022-2023 Applications Review'!$A33, "mm/dd/yyyy")))</f>
        <v>Reviewed on 08/03/2022</v>
      </c>
      <c r="B33" s="383" t="str">
        <f>'2022-2023 Applications Review'!B33</f>
        <v>Innatrix Inc. _2022</v>
      </c>
      <c r="C33" s="383" t="str">
        <f>'2022-2023 Applications Review'!E33</f>
        <v>Deep Tech</v>
      </c>
      <c r="D33" s="384" t="str">
        <f>'2022-2023 Applications Review'!Q33</f>
        <v>Invite</v>
      </c>
      <c r="E33" s="383"/>
      <c r="F33" s="383"/>
      <c r="G33" s="383"/>
      <c r="H33" s="383"/>
      <c r="I33" s="385" t="b">
        <v>1</v>
      </c>
      <c r="J33" s="386" t="s">
        <v>11954</v>
      </c>
    </row>
    <row r="34" spans="1:10">
      <c r="A34" s="383" t="str">
        <f>CONCATENATE("Reviewed on"," ",(TEXT('2022-2023 Applications Review'!$A34, "mm/dd/yyyy")))</f>
        <v>Reviewed on 08/03/2022</v>
      </c>
      <c r="B34" s="383" t="str">
        <f>'2022-2023 Applications Review'!B34</f>
        <v>Rightbot Technologies, Inc. _2022</v>
      </c>
      <c r="C34" s="383" t="str">
        <f>'2022-2023 Applications Review'!E34</f>
        <v>Deep Tech</v>
      </c>
      <c r="D34" s="384" t="str">
        <f>'2022-2023 Applications Review'!Q34</f>
        <v>Revisit</v>
      </c>
      <c r="E34" s="383"/>
      <c r="F34" s="383"/>
      <c r="G34" s="383"/>
      <c r="H34" s="383"/>
      <c r="I34" s="385" t="b">
        <v>1</v>
      </c>
      <c r="J34" s="386" t="s">
        <v>11955</v>
      </c>
    </row>
    <row r="35" spans="1:10">
      <c r="A35" s="383" t="str">
        <f>CONCATENATE("Reviewed on"," ",(TEXT('2022-2023 Applications Review'!$A35, "mm/dd/yyyy")))</f>
        <v>Reviewed on 08/03/2022</v>
      </c>
      <c r="B35" s="383" t="str">
        <f>'2022-2023 Applications Review'!B35</f>
        <v>noktos _2022</v>
      </c>
      <c r="C35" s="383" t="str">
        <f>'2022-2023 Applications Review'!E35</f>
        <v>Digital Tech</v>
      </c>
      <c r="D35" s="384" t="str">
        <f>'2022-2023 Applications Review'!Q35</f>
        <v>Invite Next Year</v>
      </c>
      <c r="E35" s="383"/>
      <c r="F35" s="383"/>
      <c r="G35" s="383"/>
      <c r="H35" s="383"/>
      <c r="I35" s="385" t="b">
        <v>1</v>
      </c>
      <c r="J35" s="386" t="s">
        <v>11956</v>
      </c>
    </row>
    <row r="36" spans="1:10">
      <c r="A36" s="383" t="str">
        <f>CONCATENATE("Reviewed on"," ",(TEXT('2022-2023 Applications Review'!$A36, "mm/dd/yyyy")))</f>
        <v>Reviewed on 08/03/2022</v>
      </c>
      <c r="B36" s="383" t="str">
        <f>'2022-2023 Applications Review'!B36</f>
        <v>AIWaysion, Inc. _2022</v>
      </c>
      <c r="C36" s="383" t="str">
        <f>'2022-2023 Applications Review'!E36</f>
        <v>Digital Tech</v>
      </c>
      <c r="D36" s="384" t="str">
        <f>'2022-2023 Applications Review'!Q36</f>
        <v>Revisit/ Cluster</v>
      </c>
      <c r="E36" s="383"/>
      <c r="F36" s="383"/>
      <c r="G36" s="383"/>
      <c r="H36" s="383"/>
      <c r="I36" s="385" t="b">
        <v>1</v>
      </c>
      <c r="J36" s="386" t="s">
        <v>11957</v>
      </c>
    </row>
    <row r="37" spans="1:10">
      <c r="A37" s="383" t="str">
        <f>CONCATENATE("Reviewed on"," ",(TEXT('2022-2023 Applications Review'!$A37, "mm/dd/yyyy")))</f>
        <v>Reviewed on 08/03/2022</v>
      </c>
      <c r="B37" s="383" t="str">
        <f>'2022-2023 Applications Review'!B37</f>
        <v>Linshom Medical, Inc. _2022</v>
      </c>
      <c r="C37" s="383" t="str">
        <f>'2022-2023 Applications Review'!E37</f>
        <v>Deep Tech</v>
      </c>
      <c r="D37" s="384" t="str">
        <f>'2022-2023 Applications Review'!Q37</f>
        <v>Invite Next Year</v>
      </c>
      <c r="E37" s="383"/>
      <c r="F37" s="383"/>
      <c r="G37" s="383"/>
      <c r="H37" s="383"/>
      <c r="I37" s="385" t="b">
        <v>1</v>
      </c>
      <c r="J37" s="386" t="s">
        <v>11958</v>
      </c>
    </row>
    <row r="38" spans="1:10">
      <c r="A38" s="383" t="str">
        <f>CONCATENATE("Reviewed on"," ",(TEXT('2022-2023 Applications Review'!$A38, "mm/dd/yyyy")))</f>
        <v>Reviewed on 08/03/2022</v>
      </c>
      <c r="B38" s="383" t="str">
        <f>'2022-2023 Applications Review'!B38</f>
        <v>PredictNow.ai _2022</v>
      </c>
      <c r="C38" s="383" t="str">
        <f>'2022-2023 Applications Review'!E38</f>
        <v>Digital Tech</v>
      </c>
      <c r="D38" s="384" t="str">
        <f>'2022-2023 Applications Review'!Q38</f>
        <v>Revisit/ Cluster</v>
      </c>
      <c r="E38" s="383"/>
      <c r="F38" s="383"/>
      <c r="G38" s="383"/>
      <c r="H38" s="383"/>
      <c r="I38" s="385" t="b">
        <v>1</v>
      </c>
      <c r="J38" s="386" t="s">
        <v>11959</v>
      </c>
    </row>
    <row r="39" spans="1:10">
      <c r="A39" s="383" t="str">
        <f>CONCATENATE("Reviewed on"," ",(TEXT('2022-2023 Applications Review'!$A39, "mm/dd/yyyy")))</f>
        <v>Reviewed on 08/03/2022</v>
      </c>
      <c r="B39" s="383" t="str">
        <f>'2022-2023 Applications Review'!B39</f>
        <v>Maalexi _2022</v>
      </c>
      <c r="C39" s="383" t="str">
        <f>'2022-2023 Applications Review'!E39</f>
        <v>Digital Tech</v>
      </c>
      <c r="D39" s="384" t="str">
        <f>'2022-2023 Applications Review'!Q39</f>
        <v>Invite Next Year</v>
      </c>
      <c r="E39" s="383"/>
      <c r="F39" s="383"/>
      <c r="G39" s="383"/>
      <c r="H39" s="383"/>
      <c r="I39" s="385" t="b">
        <v>1</v>
      </c>
      <c r="J39" s="386" t="s">
        <v>11960</v>
      </c>
    </row>
    <row r="40" spans="1:10">
      <c r="A40" s="383" t="str">
        <f>CONCATENATE("Reviewed on"," ",(TEXT('2022-2023 Applications Review'!$A40, "mm/dd/yyyy")))</f>
        <v>Reviewed on 08/03/2022</v>
      </c>
      <c r="B40" s="383" t="str">
        <f>'2022-2023 Applications Review'!B40</f>
        <v>iCover _2022</v>
      </c>
      <c r="C40" s="383" t="str">
        <f>'2022-2023 Applications Review'!E40</f>
        <v>Digital Tech</v>
      </c>
      <c r="D40" s="384" t="str">
        <f>'2022-2023 Applications Review'!Q40</f>
        <v>Invite Next Year</v>
      </c>
      <c r="E40" s="383"/>
      <c r="F40" s="383"/>
      <c r="G40" s="383"/>
      <c r="H40" s="383"/>
      <c r="I40" s="385" t="b">
        <v>1</v>
      </c>
      <c r="J40" s="386" t="s">
        <v>11961</v>
      </c>
    </row>
    <row r="41" spans="1:10">
      <c r="A41" s="383" t="str">
        <f>CONCATENATE("Reviewed on"," ",(TEXT('2022-2023 Applications Review'!$A41, "mm/dd/yyyy")))</f>
        <v>Reviewed on 08/03/2022</v>
      </c>
      <c r="B41" s="383" t="str">
        <f>'2022-2023 Applications Review'!B41</f>
        <v>Viridian Space Corporation _2022</v>
      </c>
      <c r="C41" s="383" t="str">
        <f>'2022-2023 Applications Review'!E41</f>
        <v>Deep Tech</v>
      </c>
      <c r="D41" s="384" t="str">
        <f>'2022-2023 Applications Review'!Q41</f>
        <v>Revisit/ Cluster</v>
      </c>
      <c r="E41" s="383"/>
      <c r="F41" s="383"/>
      <c r="G41" s="383"/>
      <c r="H41" s="383"/>
      <c r="I41" s="385" t="b">
        <v>1</v>
      </c>
      <c r="J41" s="386" t="s">
        <v>11962</v>
      </c>
    </row>
    <row r="42" spans="1:10">
      <c r="A42" s="383" t="str">
        <f>CONCATENATE("Reviewed on"," ",(TEXT('2022-2023 Applications Review'!$A42, "mm/dd/yyyy")))</f>
        <v>Reviewed on 08/03/2022</v>
      </c>
      <c r="B42" s="383" t="str">
        <f>'2022-2023 Applications Review'!B42</f>
        <v>Kambio _2022</v>
      </c>
      <c r="C42" s="383" t="str">
        <f>'2022-2023 Applications Review'!E42</f>
        <v>Digital Tech</v>
      </c>
      <c r="D42" s="384" t="str">
        <f>'2022-2023 Applications Review'!Q42</f>
        <v>Invite Next Year</v>
      </c>
      <c r="E42" s="383"/>
      <c r="F42" s="383"/>
      <c r="G42" s="383"/>
      <c r="H42" s="383"/>
      <c r="I42" s="385" t="b">
        <v>1</v>
      </c>
      <c r="J42" s="386" t="s">
        <v>11963</v>
      </c>
    </row>
    <row r="43" spans="1:10">
      <c r="A43" s="383" t="str">
        <f>CONCATENATE("Reviewed on"," ",(TEXT('2022-2023 Applications Review'!$A43, "mm/dd/yyyy")))</f>
        <v>Reviewed on 08/03/2022</v>
      </c>
      <c r="B43" s="383" t="str">
        <f>'2022-2023 Applications Review'!B43</f>
        <v>Proactive Life Inc (SleepSpace) _2022</v>
      </c>
      <c r="C43" s="383" t="str">
        <f>'2022-2023 Applications Review'!E43</f>
        <v>Deep Tech</v>
      </c>
      <c r="D43" s="384" t="str">
        <f>'2022-2023 Applications Review'!Q43</f>
        <v>Invite Next Year</v>
      </c>
      <c r="E43" s="383"/>
      <c r="F43" s="383"/>
      <c r="G43" s="383"/>
      <c r="H43" s="383"/>
      <c r="I43" s="385" t="b">
        <v>1</v>
      </c>
      <c r="J43" s="386" t="s">
        <v>11964</v>
      </c>
    </row>
    <row r="44" spans="1:10">
      <c r="A44" s="383" t="str">
        <f>CONCATENATE("Reviewed on"," ",(TEXT('2022-2023 Applications Review'!$A44, "mm/dd/yyyy")))</f>
        <v>Reviewed on 08/03/2022</v>
      </c>
      <c r="B44" s="383" t="str">
        <f>'2022-2023 Applications Review'!B44</f>
        <v>ARDA Biomaterials _2022</v>
      </c>
      <c r="C44" s="383" t="str">
        <f>'2022-2023 Applications Review'!E44</f>
        <v>Deep Tech</v>
      </c>
      <c r="D44" s="384" t="str">
        <f>'2022-2023 Applications Review'!Q44</f>
        <v>Invite Next Year</v>
      </c>
      <c r="E44" s="383"/>
      <c r="F44" s="383"/>
      <c r="G44" s="383"/>
      <c r="H44" s="383"/>
      <c r="I44" s="385" t="b">
        <v>1</v>
      </c>
      <c r="J44" s="386" t="s">
        <v>11965</v>
      </c>
    </row>
    <row r="45" spans="1:10">
      <c r="A45" s="383" t="str">
        <f>CONCATENATE("Reviewed on"," ",(TEXT('2022-2023 Applications Review'!$A45, "mm/dd/yyyy")))</f>
        <v>Reviewed on 08/03/2022</v>
      </c>
      <c r="B45" s="383" t="str">
        <f>'2022-2023 Applications Review'!B45</f>
        <v>Nettoyer Automotives PVT LTD _2022</v>
      </c>
      <c r="C45" s="383" t="str">
        <f>'2022-2023 Applications Review'!E45</f>
        <v>Deep Tech</v>
      </c>
      <c r="D45" s="384" t="str">
        <f>'2022-2023 Applications Review'!Q45</f>
        <v>Invite Next Year</v>
      </c>
      <c r="E45" s="383"/>
      <c r="F45" s="383"/>
      <c r="G45" s="383"/>
      <c r="H45" s="383"/>
      <c r="I45" s="385" t="b">
        <v>1</v>
      </c>
      <c r="J45" s="386" t="s">
        <v>11966</v>
      </c>
    </row>
    <row r="46" spans="1:10">
      <c r="A46" s="383" t="str">
        <f>CONCATENATE("Reviewed on"," ",(TEXT('2022-2023 Applications Review'!$A46, "mm/dd/yyyy")))</f>
        <v>Reviewed on 08/03/2022</v>
      </c>
      <c r="B46" s="383" t="str">
        <f>'2022-2023 Applications Review'!B46</f>
        <v>Exovolar Industries Corp. _2022</v>
      </c>
      <c r="C46" s="383" t="str">
        <f>'2022-2023 Applications Review'!E46</f>
        <v>Deep Tech</v>
      </c>
      <c r="D46" s="384" t="str">
        <f>'2022-2023 Applications Review'!Q46</f>
        <v>Invite Next Year</v>
      </c>
      <c r="E46" s="383"/>
      <c r="F46" s="383"/>
      <c r="G46" s="383"/>
      <c r="H46" s="383"/>
      <c r="I46" s="385" t="b">
        <v>1</v>
      </c>
      <c r="J46" s="386" t="s">
        <v>11967</v>
      </c>
    </row>
    <row r="47" spans="1:10">
      <c r="A47" s="383" t="str">
        <f>CONCATENATE("Reviewed on"," ",(TEXT('2022-2023 Applications Review'!$A47, "mm/dd/yyyy")))</f>
        <v>Reviewed on 08/03/2022</v>
      </c>
      <c r="B47" s="383" t="str">
        <f>'2022-2023 Applications Review'!B47</f>
        <v>Heartland _2022</v>
      </c>
      <c r="C47" s="383" t="str">
        <f>'2022-2023 Applications Review'!E47</f>
        <v>Deep Tech</v>
      </c>
      <c r="D47" s="384" t="str">
        <f>'2022-2023 Applications Review'!Q47</f>
        <v>Invite Next Year</v>
      </c>
      <c r="E47" s="383"/>
      <c r="F47" s="383"/>
      <c r="G47" s="383"/>
      <c r="H47" s="383"/>
      <c r="I47" s="385" t="b">
        <v>1</v>
      </c>
      <c r="J47" s="386" t="s">
        <v>11968</v>
      </c>
    </row>
    <row r="48" spans="1:10">
      <c r="A48" s="383" t="str">
        <f>CONCATENATE("Reviewed on"," ",(TEXT('2022-2023 Applications Review'!$A48, "mm/dd/yyyy")))</f>
        <v>Reviewed on 08/03/2022</v>
      </c>
      <c r="B48" s="383" t="str">
        <f>'2022-2023 Applications Review'!B48</f>
        <v>Be A Maker Club _2022</v>
      </c>
      <c r="C48" s="383" t="str">
        <f>'2022-2023 Applications Review'!E48</f>
        <v>Digital Tech</v>
      </c>
      <c r="D48" s="384" t="str">
        <f>'2022-2023 Applications Review'!Q48</f>
        <v>Invite Next Year</v>
      </c>
      <c r="E48" s="383"/>
      <c r="F48" s="383"/>
      <c r="G48" s="383"/>
      <c r="H48" s="383"/>
      <c r="I48" s="385" t="b">
        <v>1</v>
      </c>
      <c r="J48" s="386" t="s">
        <v>11969</v>
      </c>
    </row>
    <row r="49" spans="1:10">
      <c r="A49" s="383" t="str">
        <f>CONCATENATE("Reviewed on"," ",(TEXT('2022-2023 Applications Review'!$A49, "mm/dd/yyyy")))</f>
        <v>Reviewed on 08/03/2022</v>
      </c>
      <c r="B49" s="383" t="str">
        <f>'2022-2023 Applications Review'!B49</f>
        <v>Blind Tiger, LLC D/B/A Blind Tiger Spirit-Free Cocktails _2022</v>
      </c>
      <c r="C49" s="383" t="str">
        <f>'2022-2023 Applications Review'!E49</f>
        <v>Life Sciences</v>
      </c>
      <c r="D49" s="384" t="str">
        <f>'2022-2023 Applications Review'!Q49</f>
        <v>Reject</v>
      </c>
      <c r="E49" s="383"/>
      <c r="F49" s="383"/>
      <c r="G49" s="383"/>
      <c r="H49" s="383"/>
      <c r="I49" s="385" t="b">
        <v>1</v>
      </c>
      <c r="J49" s="386" t="s">
        <v>11970</v>
      </c>
    </row>
    <row r="50" spans="1:10">
      <c r="A50" s="383" t="str">
        <f>CONCATENATE("Reviewed on"," ",(TEXT('2022-2023 Applications Review'!$A50, "mm/dd/yyyy")))</f>
        <v>Reviewed on 08/03/2022</v>
      </c>
      <c r="B50" s="383" t="str">
        <f>'2022-2023 Applications Review'!B50</f>
        <v>Pressto _2022</v>
      </c>
      <c r="C50" s="383" t="str">
        <f>'2022-2023 Applications Review'!E50</f>
        <v>Digital Tech</v>
      </c>
      <c r="D50" s="384" t="str">
        <f>'2022-2023 Applications Review'!Q50</f>
        <v>Invite Next Year</v>
      </c>
      <c r="E50" s="383"/>
      <c r="F50" s="383"/>
      <c r="G50" s="383"/>
      <c r="H50" s="383"/>
      <c r="I50" s="385" t="b">
        <v>1</v>
      </c>
      <c r="J50" s="386" t="s">
        <v>11971</v>
      </c>
    </row>
    <row r="51" spans="1:10">
      <c r="A51" s="383" t="str">
        <f>CONCATENATE("Reviewed on"," ",(TEXT('2022-2023 Applications Review'!$A51, "mm/dd/yyyy")))</f>
        <v>Reviewed on 08/03/2022</v>
      </c>
      <c r="B51" s="383" t="str">
        <f>'2022-2023 Applications Review'!B51</f>
        <v>Tomorrow Biostasis _2022</v>
      </c>
      <c r="C51" s="383" t="str">
        <f>'2022-2023 Applications Review'!E51</f>
        <v>Deep Tech</v>
      </c>
      <c r="D51" s="384" t="str">
        <f>'2022-2023 Applications Review'!Q51</f>
        <v>Invite Next Year</v>
      </c>
      <c r="E51" s="383"/>
      <c r="F51" s="383"/>
      <c r="G51" s="383"/>
      <c r="H51" s="383"/>
      <c r="I51" s="385" t="b">
        <v>1</v>
      </c>
      <c r="J51" s="386" t="s">
        <v>11972</v>
      </c>
    </row>
    <row r="52" spans="1:10">
      <c r="A52" s="383" t="str">
        <f>CONCATENATE("Reviewed on"," ",(TEXT('2022-2023 Applications Review'!$A52, "mm/dd/yyyy")))</f>
        <v>Reviewed on 08/03/2022</v>
      </c>
      <c r="B52" s="383" t="str">
        <f>'2022-2023 Applications Review'!B52</f>
        <v>Active Energy Systems _2022</v>
      </c>
      <c r="C52" s="383" t="str">
        <f>'2022-2023 Applications Review'!E52</f>
        <v>Deep Tech</v>
      </c>
      <c r="D52" s="384" t="str">
        <f>'2022-2023 Applications Review'!Q52</f>
        <v>Invite Next Year</v>
      </c>
      <c r="E52" s="383"/>
      <c r="F52" s="383"/>
      <c r="G52" s="383"/>
      <c r="H52" s="383"/>
      <c r="I52" s="385" t="b">
        <v>1</v>
      </c>
      <c r="J52" s="386" t="s">
        <v>11973</v>
      </c>
    </row>
    <row r="53" spans="1:10">
      <c r="A53" s="383" t="str">
        <f>CONCATENATE("Reviewed on"," ",(TEXT('2022-2023 Applications Review'!$A53, "mm/dd/yyyy")))</f>
        <v>Reviewed on 08/03/2022</v>
      </c>
      <c r="B53" s="383" t="str">
        <f>'2022-2023 Applications Review'!B53</f>
        <v>Rushnu _2022</v>
      </c>
      <c r="C53" s="383" t="str">
        <f>'2022-2023 Applications Review'!E53</f>
        <v>Deep Tech</v>
      </c>
      <c r="D53" s="384" t="str">
        <f>'2022-2023 Applications Review'!Q53</f>
        <v>Invite Next Year</v>
      </c>
      <c r="E53" s="383"/>
      <c r="F53" s="383"/>
      <c r="G53" s="383"/>
      <c r="H53" s="383"/>
      <c r="I53" s="385" t="b">
        <v>1</v>
      </c>
      <c r="J53" s="386" t="s">
        <v>11974</v>
      </c>
    </row>
    <row r="54" spans="1:10">
      <c r="A54" s="383" t="str">
        <f>CONCATENATE("Reviewed on"," ",(TEXT('2022-2023 Applications Review'!$A54, "mm/dd/yyyy")))</f>
        <v>Reviewed on 08/03/2022</v>
      </c>
      <c r="B54" s="383" t="str">
        <f>'2022-2023 Applications Review'!B54</f>
        <v>KnoNap _2022</v>
      </c>
      <c r="C54" s="383" t="str">
        <f>'2022-2023 Applications Review'!E54</f>
        <v>Deep Tech</v>
      </c>
      <c r="D54" s="384" t="str">
        <f>'2022-2023 Applications Review'!Q54</f>
        <v>Invite Next Year</v>
      </c>
      <c r="E54" s="383"/>
      <c r="F54" s="383"/>
      <c r="G54" s="383"/>
      <c r="H54" s="383"/>
      <c r="I54" s="385" t="b">
        <v>1</v>
      </c>
      <c r="J54" s="386" t="s">
        <v>11975</v>
      </c>
    </row>
    <row r="55" spans="1:10">
      <c r="A55" s="383" t="str">
        <f>CONCATENATE("Reviewed on"," ",(TEXT('2022-2023 Applications Review'!$A55, "mm/dd/yyyy")))</f>
        <v>Reviewed on 08/03/2022</v>
      </c>
      <c r="B55" s="383" t="str">
        <f>'2022-2023 Applications Review'!B55</f>
        <v>Mirror World _2022</v>
      </c>
      <c r="C55" s="383" t="str">
        <f>'2022-2023 Applications Review'!E55</f>
        <v>Digital Tech</v>
      </c>
      <c r="D55" s="384" t="str">
        <f>'2022-2023 Applications Review'!Q55</f>
        <v>Invite Next Year</v>
      </c>
      <c r="E55" s="383"/>
      <c r="F55" s="383"/>
      <c r="G55" s="383"/>
      <c r="H55" s="383"/>
      <c r="I55" s="385" t="b">
        <v>1</v>
      </c>
      <c r="J55" s="386" t="s">
        <v>11976</v>
      </c>
    </row>
    <row r="56" spans="1:10">
      <c r="A56" s="383" t="str">
        <f>CONCATENATE("Reviewed on"," ",(TEXT('2022-2023 Applications Review'!$A56, "mm/dd/yyyy")))</f>
        <v>Reviewed on 08/03/2022</v>
      </c>
      <c r="B56" s="383" t="str">
        <f>'2022-2023 Applications Review'!B56</f>
        <v>OpenPie.com _2022</v>
      </c>
      <c r="C56" s="383" t="str">
        <f>'2022-2023 Applications Review'!E56</f>
        <v>Deep Tech</v>
      </c>
      <c r="D56" s="384" t="str">
        <f>'2022-2023 Applications Review'!Q56</f>
        <v>Invite Next Year</v>
      </c>
      <c r="E56" s="383"/>
      <c r="F56" s="383"/>
      <c r="G56" s="383"/>
      <c r="H56" s="383"/>
      <c r="I56" s="385" t="b">
        <v>1</v>
      </c>
      <c r="J56" s="386" t="s">
        <v>11977</v>
      </c>
    </row>
    <row r="57" spans="1:10">
      <c r="A57" s="383" t="str">
        <f>CONCATENATE("Reviewed on"," ",(TEXT('2022-2023 Applications Review'!$A57, "mm/dd/yyyy")))</f>
        <v>Reviewed on 08/03/2022</v>
      </c>
      <c r="B57" s="383" t="str">
        <f>'2022-2023 Applications Review'!B57</f>
        <v>GigOut _2022</v>
      </c>
      <c r="C57" s="383" t="str">
        <f>'2022-2023 Applications Review'!E57</f>
        <v>Digital Tech</v>
      </c>
      <c r="D57" s="384" t="str">
        <f>'2022-2023 Applications Review'!Q57</f>
        <v>Invite Next Year</v>
      </c>
      <c r="E57" s="383"/>
      <c r="F57" s="383"/>
      <c r="G57" s="383"/>
      <c r="H57" s="383"/>
      <c r="I57" s="385" t="b">
        <v>1</v>
      </c>
      <c r="J57" s="386" t="s">
        <v>11978</v>
      </c>
    </row>
    <row r="58" spans="1:10">
      <c r="A58" s="383" t="str">
        <f>CONCATENATE("Reviewed on"," ",(TEXT('2022-2023 Applications Review'!$A58, "mm/dd/yyyy")))</f>
        <v>Reviewed on 08/03/2022</v>
      </c>
      <c r="B58" s="383" t="str">
        <f>'2022-2023 Applications Review'!B58</f>
        <v>ChargeHorizons _2022</v>
      </c>
      <c r="C58" s="383" t="str">
        <f>'2022-2023 Applications Review'!E58</f>
        <v>Deep Tech</v>
      </c>
      <c r="D58" s="384" t="str">
        <f>'2022-2023 Applications Review'!Q58</f>
        <v>Invite Next Year</v>
      </c>
      <c r="E58" s="383"/>
      <c r="F58" s="383"/>
      <c r="G58" s="383"/>
      <c r="H58" s="383"/>
      <c r="I58" s="385" t="b">
        <v>1</v>
      </c>
      <c r="J58" s="386" t="s">
        <v>11979</v>
      </c>
    </row>
    <row r="59" spans="1:10">
      <c r="A59" s="383" t="str">
        <f>CONCATENATE("Reviewed on"," ",(TEXT('2022-2023 Applications Review'!$A59, "mm/dd/yyyy")))</f>
        <v>Reviewed on 08/03/2022</v>
      </c>
      <c r="B59" s="383" t="str">
        <f>'2022-2023 Applications Review'!B59</f>
        <v>Nanotransfer _2022</v>
      </c>
      <c r="C59" s="383" t="str">
        <f>'2022-2023 Applications Review'!E59</f>
        <v>Life Sciences</v>
      </c>
      <c r="D59" s="384" t="str">
        <f>'2022-2023 Applications Review'!Q59</f>
        <v>Invite Next Year</v>
      </c>
      <c r="E59" s="383"/>
      <c r="F59" s="383"/>
      <c r="G59" s="383"/>
      <c r="H59" s="383"/>
      <c r="I59" s="385" t="b">
        <v>1</v>
      </c>
      <c r="J59" s="386" t="s">
        <v>11980</v>
      </c>
    </row>
    <row r="60" spans="1:10">
      <c r="A60" s="383" t="str">
        <f>CONCATENATE("Reviewed on"," ",(TEXT('2022-2023 Applications Review'!$A60, "mm/dd/yyyy")))</f>
        <v>Reviewed on 08/03/2022</v>
      </c>
      <c r="B60" s="383" t="str">
        <f>'2022-2023 Applications Review'!B60</f>
        <v>Connecthedocks _2022</v>
      </c>
      <c r="C60" s="383" t="str">
        <f>'2022-2023 Applications Review'!E60</f>
        <v>Digital Tech</v>
      </c>
      <c r="D60" s="384" t="str">
        <f>'2022-2023 Applications Review'!Q60</f>
        <v>Invite Next Year</v>
      </c>
      <c r="E60" s="383"/>
      <c r="F60" s="383"/>
      <c r="G60" s="383"/>
      <c r="H60" s="383"/>
      <c r="I60" s="385" t="b">
        <v>1</v>
      </c>
      <c r="J60" s="386" t="s">
        <v>11981</v>
      </c>
    </row>
    <row r="61" spans="1:10">
      <c r="A61" s="383" t="str">
        <f>CONCATENATE("Reviewed on"," ",(TEXT('2022-2023 Applications Review'!$A61, "mm/dd/yyyy")))</f>
        <v>Reviewed on 08/03/2022</v>
      </c>
      <c r="B61" s="383" t="str">
        <f>'2022-2023 Applications Review'!B61</f>
        <v>Wordcab _2022</v>
      </c>
      <c r="C61" s="383" t="str">
        <f>'2022-2023 Applications Review'!E61</f>
        <v>Deep Tech</v>
      </c>
      <c r="D61" s="384" t="str">
        <f>'2022-2023 Applications Review'!Q61</f>
        <v>Invite Next Year</v>
      </c>
      <c r="E61" s="383"/>
      <c r="F61" s="383"/>
      <c r="G61" s="383"/>
      <c r="H61" s="383"/>
      <c r="I61" s="385" t="b">
        <v>1</v>
      </c>
      <c r="J61" s="386" t="s">
        <v>11982</v>
      </c>
    </row>
    <row r="62" spans="1:10">
      <c r="A62" s="383" t="str">
        <f>CONCATENATE("Reviewed on"," ",(TEXT('2022-2023 Applications Review'!$A62, "mm/dd/yyyy")))</f>
        <v>Reviewed on 08/03/2022</v>
      </c>
      <c r="B62" s="383" t="str">
        <f>'2022-2023 Applications Review'!B62</f>
        <v>Venn Paltform _2022</v>
      </c>
      <c r="C62" s="383" t="str">
        <f>'2022-2023 Applications Review'!E62</f>
        <v>Digital Tech</v>
      </c>
      <c r="D62" s="384" t="str">
        <f>'2022-2023 Applications Review'!Q62</f>
        <v>Invite Next Year</v>
      </c>
      <c r="E62" s="383"/>
      <c r="F62" s="383"/>
      <c r="G62" s="383"/>
      <c r="H62" s="383"/>
      <c r="I62" s="385" t="b">
        <v>1</v>
      </c>
      <c r="J62" s="386" t="s">
        <v>11983</v>
      </c>
    </row>
    <row r="63" spans="1:10">
      <c r="A63" s="383" t="str">
        <f>CONCATENATE("Reviewed on"," ",(TEXT('2022-2023 Applications Review'!$A63, "mm/dd/yyyy")))</f>
        <v>Reviewed on 08/03/2022</v>
      </c>
      <c r="B63" s="383" t="str">
        <f>'2022-2023 Applications Review'!B63</f>
        <v>Anant Financial Corp. _2022</v>
      </c>
      <c r="C63" s="383" t="str">
        <f>'2022-2023 Applications Review'!E63</f>
        <v>Digital Tech</v>
      </c>
      <c r="D63" s="384" t="str">
        <f>'2022-2023 Applications Review'!Q63</f>
        <v>Invite Next Year</v>
      </c>
      <c r="E63" s="383"/>
      <c r="F63" s="383"/>
      <c r="G63" s="383"/>
      <c r="H63" s="383"/>
      <c r="I63" s="385" t="b">
        <v>1</v>
      </c>
      <c r="J63" s="386" t="s">
        <v>11984</v>
      </c>
    </row>
    <row r="64" spans="1:10">
      <c r="A64" s="383" t="str">
        <f>CONCATENATE("Reviewed on"," ",(TEXT('2022-2023 Applications Review'!$A64, "mm/dd/yyyy")))</f>
        <v>Reviewed on 08/03/2022</v>
      </c>
      <c r="B64" s="383" t="str">
        <f>'2022-2023 Applications Review'!B64</f>
        <v>ION Medical Safety _2022</v>
      </c>
      <c r="C64" s="383" t="str">
        <f>'2022-2023 Applications Review'!E64</f>
        <v>Life Sciences</v>
      </c>
      <c r="D64" s="384" t="str">
        <f>'2022-2023 Applications Review'!Q64</f>
        <v>Invite Next Year</v>
      </c>
      <c r="E64" s="383"/>
      <c r="F64" s="383"/>
      <c r="G64" s="383"/>
      <c r="H64" s="383"/>
      <c r="I64" s="385" t="b">
        <v>1</v>
      </c>
      <c r="J64" s="386" t="s">
        <v>11985</v>
      </c>
    </row>
    <row r="65" spans="1:10">
      <c r="A65" s="383" t="str">
        <f>CONCATENATE("Reviewed on"," ",(TEXT('2022-2023 Applications Review'!$A65, "mm/dd/yyyy")))</f>
        <v>Reviewed on 08/03/2022</v>
      </c>
      <c r="B65" s="383" t="str">
        <f>'2022-2023 Applications Review'!B65</f>
        <v>Tokenizer Banx _2022</v>
      </c>
      <c r="C65" s="383" t="str">
        <f>'2022-2023 Applications Review'!E65</f>
        <v>Deep Tech</v>
      </c>
      <c r="D65" s="384" t="str">
        <f>'2022-2023 Applications Review'!Q65</f>
        <v>Invite Next Year</v>
      </c>
      <c r="E65" s="383"/>
      <c r="F65" s="383"/>
      <c r="G65" s="383"/>
      <c r="H65" s="383"/>
      <c r="I65" s="385" t="b">
        <v>1</v>
      </c>
      <c r="J65" s="386" t="s">
        <v>11986</v>
      </c>
    </row>
    <row r="66" spans="1:10">
      <c r="A66" s="383" t="str">
        <f>CONCATENATE("Reviewed on"," ",(TEXT('2022-2023 Applications Review'!$A66, "mm/dd/yyyy")))</f>
        <v>Reviewed on 08/03/2022</v>
      </c>
      <c r="B66" s="383" t="str">
        <f>'2022-2023 Applications Review'!B66</f>
        <v>Supporteo _2022</v>
      </c>
      <c r="C66" s="383" t="str">
        <f>'2022-2023 Applications Review'!E66</f>
        <v>Digital Tech</v>
      </c>
      <c r="D66" s="384" t="str">
        <f>'2022-2023 Applications Review'!Q66</f>
        <v>Invite Next Year</v>
      </c>
      <c r="E66" s="383"/>
      <c r="F66" s="383"/>
      <c r="G66" s="383"/>
      <c r="H66" s="383"/>
      <c r="I66" s="385" t="b">
        <v>1</v>
      </c>
      <c r="J66" s="386" t="s">
        <v>11987</v>
      </c>
    </row>
    <row r="67" spans="1:10">
      <c r="A67" s="383" t="str">
        <f>CONCATENATE("Reviewed on"," ",(TEXT('2022-2023 Applications Review'!$A67, "mm/dd/yyyy")))</f>
        <v>Reviewed on 08/03/2022</v>
      </c>
      <c r="B67" s="383" t="str">
        <f>'2022-2023 Applications Review'!B67</f>
        <v>equitest _2022</v>
      </c>
      <c r="C67" s="383" t="str">
        <f>'2022-2023 Applications Review'!E67</f>
        <v>Digital Tech</v>
      </c>
      <c r="D67" s="384" t="str">
        <f>'2022-2023 Applications Review'!Q67</f>
        <v>Invite Next Year</v>
      </c>
      <c r="E67" s="383"/>
      <c r="F67" s="383"/>
      <c r="G67" s="383"/>
      <c r="H67" s="383"/>
      <c r="I67" s="385" t="b">
        <v>1</v>
      </c>
      <c r="J67" s="386" t="s">
        <v>11988</v>
      </c>
    </row>
    <row r="68" spans="1:10">
      <c r="A68" s="383" t="str">
        <f>CONCATENATE("Reviewed on"," ",(TEXT('2022-2023 Applications Review'!$A68, "mm/dd/yyyy")))</f>
        <v>Reviewed on 08/03/2022</v>
      </c>
      <c r="B68" s="383" t="str">
        <f>'2022-2023 Applications Review'!B68</f>
        <v>Electra Beverages &amp; Nutritionals, LLC _2022</v>
      </c>
      <c r="C68" s="383" t="str">
        <f>'2022-2023 Applications Review'!E68</f>
        <v>Life Sciences</v>
      </c>
      <c r="D68" s="384" t="str">
        <f>'2022-2023 Applications Review'!Q68</f>
        <v>Invite Next Year</v>
      </c>
      <c r="E68" s="383"/>
      <c r="F68" s="383"/>
      <c r="G68" s="383"/>
      <c r="H68" s="383"/>
      <c r="I68" s="385" t="b">
        <v>1</v>
      </c>
      <c r="J68" s="386" t="s">
        <v>11989</v>
      </c>
    </row>
    <row r="69" spans="1:10">
      <c r="A69" s="383" t="str">
        <f>CONCATENATE("Reviewed on"," ",(TEXT('2022-2023 Applications Review'!$A69, "mm/dd/yyyy")))</f>
        <v>Reviewed on 08/03/2022</v>
      </c>
      <c r="B69" s="383" t="str">
        <f>'2022-2023 Applications Review'!B69</f>
        <v>AiroSolve _2022</v>
      </c>
      <c r="C69" s="383" t="str">
        <f>'2022-2023 Applications Review'!E69</f>
        <v>Life Sciences</v>
      </c>
      <c r="D69" s="384" t="str">
        <f>'2022-2023 Applications Review'!Q69</f>
        <v>Invite Next Year</v>
      </c>
      <c r="E69" s="383"/>
      <c r="F69" s="383"/>
      <c r="G69" s="383"/>
      <c r="H69" s="383"/>
      <c r="I69" s="385" t="b">
        <v>1</v>
      </c>
      <c r="J69" s="386" t="s">
        <v>11990</v>
      </c>
    </row>
    <row r="70" spans="1:10">
      <c r="A70" s="383" t="str">
        <f>CONCATENATE("Reviewed on"," ",(TEXT('2022-2023 Applications Review'!$A70, "mm/dd/yyyy")))</f>
        <v>Reviewed on 08/03/2022</v>
      </c>
      <c r="B70" s="383" t="str">
        <f>'2022-2023 Applications Review'!B70</f>
        <v>Methic Engineering Ltd _2022</v>
      </c>
      <c r="C70" s="383" t="str">
        <f>'2022-2023 Applications Review'!E70</f>
        <v>Deep Tech</v>
      </c>
      <c r="D70" s="384" t="str">
        <f>'2022-2023 Applications Review'!Q70</f>
        <v>Invite Next Year</v>
      </c>
      <c r="E70" s="383"/>
      <c r="F70" s="383"/>
      <c r="G70" s="383"/>
      <c r="H70" s="383"/>
      <c r="I70" s="385" t="b">
        <v>1</v>
      </c>
      <c r="J70" s="386" t="s">
        <v>11991</v>
      </c>
    </row>
    <row r="71" spans="1:10">
      <c r="A71" s="383" t="str">
        <f>CONCATENATE("Reviewed on"," ",(TEXT('2022-2023 Applications Review'!$A71, "mm/dd/yyyy")))</f>
        <v>Reviewed on 08/03/2022</v>
      </c>
      <c r="B71" s="383" t="str">
        <f>'2022-2023 Applications Review'!B71</f>
        <v>Nourish _2022</v>
      </c>
      <c r="C71" s="383" t="str">
        <f>'2022-2023 Applications Review'!E71</f>
        <v>Deep Tech</v>
      </c>
      <c r="D71" s="384" t="str">
        <f>'2022-2023 Applications Review'!Q71</f>
        <v>Invite Next Year</v>
      </c>
      <c r="E71" s="383"/>
      <c r="F71" s="383"/>
      <c r="G71" s="383"/>
      <c r="H71" s="383"/>
      <c r="I71" s="385" t="b">
        <v>1</v>
      </c>
      <c r="J71" s="386" t="s">
        <v>11992</v>
      </c>
    </row>
    <row r="72" spans="1:10">
      <c r="A72" s="383" t="str">
        <f>CONCATENATE("Reviewed on"," ",(TEXT('2022-2023 Applications Review'!$A72, "mm/dd/yyyy")))</f>
        <v>Reviewed on 08/03/2022</v>
      </c>
      <c r="B72" s="383" t="str">
        <f>'2022-2023 Applications Review'!B72</f>
        <v>Southern Dairy Products _2022</v>
      </c>
      <c r="C72" s="383" t="str">
        <f>'2022-2023 Applications Review'!E72</f>
        <v>Life Sciences</v>
      </c>
      <c r="D72" s="384" t="str">
        <f>'2022-2023 Applications Review'!Q72</f>
        <v>Invite Next Year</v>
      </c>
      <c r="E72" s="383"/>
      <c r="F72" s="383"/>
      <c r="G72" s="383"/>
      <c r="H72" s="383"/>
      <c r="I72" s="385" t="b">
        <v>1</v>
      </c>
      <c r="J72" s="386" t="s">
        <v>11993</v>
      </c>
    </row>
    <row r="73" spans="1:10">
      <c r="A73" s="383" t="str">
        <f>CONCATENATE("Reviewed on"," ",(TEXT('2022-2023 Applications Review'!$A73, "mm/dd/yyyy")))</f>
        <v>Reviewed on 08/03/2022</v>
      </c>
      <c r="B73" s="383" t="str">
        <f>'2022-2023 Applications Review'!B73</f>
        <v>ZRC - AI-powered HVAC solutions _2022</v>
      </c>
      <c r="C73" s="383" t="str">
        <f>'2022-2023 Applications Review'!E73</f>
        <v>Deep Tech</v>
      </c>
      <c r="D73" s="384" t="str">
        <f>'2022-2023 Applications Review'!Q73</f>
        <v>Invite Next Year</v>
      </c>
      <c r="E73" s="383"/>
      <c r="F73" s="383"/>
      <c r="G73" s="383"/>
      <c r="H73" s="383"/>
      <c r="I73" s="385" t="b">
        <v>1</v>
      </c>
      <c r="J73" s="386" t="s">
        <v>11994</v>
      </c>
    </row>
    <row r="74" spans="1:10">
      <c r="A74" s="383" t="str">
        <f>CONCATENATE("Reviewed on"," ",(TEXT('2022-2023 Applications Review'!$A74, "mm/dd/yyyy")))</f>
        <v>Reviewed on 08/03/2022</v>
      </c>
      <c r="B74" s="383" t="str">
        <f>'2022-2023 Applications Review'!B74</f>
        <v>Iocure, Inc. _2022</v>
      </c>
      <c r="C74" s="383" t="str">
        <f>'2022-2023 Applications Review'!E74</f>
        <v>Life Sciences</v>
      </c>
      <c r="D74" s="384" t="str">
        <f>'2022-2023 Applications Review'!Q74</f>
        <v>Invite Next Year</v>
      </c>
      <c r="E74" s="383"/>
      <c r="F74" s="383"/>
      <c r="G74" s="383"/>
      <c r="H74" s="383"/>
      <c r="I74" s="385" t="b">
        <v>1</v>
      </c>
      <c r="J74" s="386" t="s">
        <v>11995</v>
      </c>
    </row>
    <row r="75" spans="1:10">
      <c r="A75" s="383" t="str">
        <f>CONCATENATE("Reviewed on"," ",(TEXT('2022-2023 Applications Review'!$A75, "mm/dd/yyyy")))</f>
        <v>Reviewed on 08/03/2022</v>
      </c>
      <c r="B75" s="383" t="str">
        <f>'2022-2023 Applications Review'!B75</f>
        <v>Ndal Mfg Inc, Dba Ndal Biofilm Medical Group,  _2022</v>
      </c>
      <c r="C75" s="383" t="str">
        <f>'2022-2023 Applications Review'!E75</f>
        <v>Life Sciences</v>
      </c>
      <c r="D75" s="384" t="str">
        <f>'2022-2023 Applications Review'!Q75</f>
        <v>Invite Next Year</v>
      </c>
      <c r="E75" s="383"/>
      <c r="F75" s="383"/>
      <c r="G75" s="383"/>
      <c r="H75" s="383"/>
      <c r="I75" s="385" t="b">
        <v>1</v>
      </c>
      <c r="J75" s="386" t="s">
        <v>11996</v>
      </c>
    </row>
    <row r="76" spans="1:10">
      <c r="A76" s="383" t="str">
        <f>CONCATENATE("Reviewed on"," ",(TEXT('2022-2023 Applications Review'!$A76, "mm/dd/yyyy")))</f>
        <v>Reviewed on 08/09/2022</v>
      </c>
      <c r="B76" s="383" t="str">
        <f>'2022-2023 Applications Review'!B76</f>
        <v>Amberstone Biosciences Inc _2022</v>
      </c>
      <c r="C76" s="383" t="str">
        <f>'2022-2023 Applications Review'!E76</f>
        <v>Life Sciences</v>
      </c>
      <c r="D76" s="384" t="str">
        <f>'2022-2023 Applications Review'!Q76</f>
        <v>Invite</v>
      </c>
      <c r="E76" s="383"/>
      <c r="F76" s="383"/>
      <c r="G76" s="383"/>
      <c r="H76" s="383"/>
      <c r="I76" s="385" t="b">
        <v>1</v>
      </c>
      <c r="J76" s="386" t="s">
        <v>11997</v>
      </c>
    </row>
    <row r="77" spans="1:10">
      <c r="A77" s="383" t="str">
        <f>CONCATENATE("Reviewed on"," ",(TEXT('2022-2023 Applications Review'!$A77, "mm/dd/yyyy")))</f>
        <v>Reviewed on 08/09/2022</v>
      </c>
      <c r="B77" s="383" t="str">
        <f>'2022-2023 Applications Review'!B77</f>
        <v>IPS HEART _2022</v>
      </c>
      <c r="C77" s="383" t="str">
        <f>'2022-2023 Applications Review'!E77</f>
        <v>Life Sciences</v>
      </c>
      <c r="D77" s="384" t="str">
        <f>'2022-2023 Applications Review'!Q77</f>
        <v>Invite</v>
      </c>
      <c r="E77" s="383"/>
      <c r="F77" s="383"/>
      <c r="G77" s="383"/>
      <c r="H77" s="383"/>
      <c r="I77" s="385" t="b">
        <v>1</v>
      </c>
      <c r="J77" s="386" t="s">
        <v>11998</v>
      </c>
    </row>
    <row r="78" spans="1:10">
      <c r="A78" s="383" t="str">
        <f>CONCATENATE("Reviewed on"," ",(TEXT('2022-2023 Applications Review'!$A78, "mm/dd/yyyy")))</f>
        <v>Reviewed on 08/09/2022</v>
      </c>
      <c r="B78" s="383" t="str">
        <f>'2022-2023 Applications Review'!B78</f>
        <v>JelikaLite Corp _2022</v>
      </c>
      <c r="C78" s="383" t="str">
        <f>'2022-2023 Applications Review'!E78</f>
        <v>Deep Tech</v>
      </c>
      <c r="D78" s="384" t="str">
        <f>'2022-2023 Applications Review'!Q78</f>
        <v>Invite</v>
      </c>
      <c r="E78" s="383"/>
      <c r="F78" s="383"/>
      <c r="G78" s="383"/>
      <c r="H78" s="383"/>
      <c r="I78" s="385" t="b">
        <v>1</v>
      </c>
      <c r="J78" s="386" t="s">
        <v>11999</v>
      </c>
    </row>
    <row r="79" spans="1:10">
      <c r="A79" s="383" t="str">
        <f>CONCATENATE("Reviewed on"," ",(TEXT('2022-2023 Applications Review'!$A79, "mm/dd/yyyy")))</f>
        <v>Reviewed on 08/09/2022</v>
      </c>
      <c r="B79" s="383" t="str">
        <f>'2022-2023 Applications Review'!B79</f>
        <v>Bilayer Therapeutics _2022</v>
      </c>
      <c r="C79" s="383" t="str">
        <f>'2022-2023 Applications Review'!E79</f>
        <v>Life Sciences</v>
      </c>
      <c r="D79" s="384" t="str">
        <f>'2022-2023 Applications Review'!Q79</f>
        <v>Invite</v>
      </c>
      <c r="E79" s="383"/>
      <c r="F79" s="383"/>
      <c r="G79" s="383"/>
      <c r="H79" s="383"/>
      <c r="I79" s="385" t="b">
        <v>1</v>
      </c>
      <c r="J79" s="386" t="s">
        <v>12000</v>
      </c>
    </row>
    <row r="80" spans="1:10">
      <c r="A80" s="383" t="str">
        <f>CONCATENATE("Reviewed on"," ",(TEXT('2022-2023 Applications Review'!$A80, "mm/dd/yyyy")))</f>
        <v>Reviewed on 08/09/2022</v>
      </c>
      <c r="B80" s="383" t="str">
        <f>'2022-2023 Applications Review'!B80</f>
        <v>Exavir Therapeutics _2022</v>
      </c>
      <c r="C80" s="383" t="str">
        <f>'2022-2023 Applications Review'!E80</f>
        <v>Life Sciences</v>
      </c>
      <c r="D80" s="384" t="str">
        <f>'2022-2023 Applications Review'!Q80</f>
        <v>Invite</v>
      </c>
      <c r="E80" s="383"/>
      <c r="F80" s="383"/>
      <c r="G80" s="383"/>
      <c r="H80" s="383"/>
      <c r="I80" s="385" t="b">
        <v>1</v>
      </c>
      <c r="J80" s="386" t="s">
        <v>12001</v>
      </c>
    </row>
    <row r="81" spans="1:10">
      <c r="A81" s="383" t="str">
        <f>CONCATENATE("Reviewed on"," ",(TEXT('2022-2023 Applications Review'!$A81, "mm/dd/yyyy")))</f>
        <v>Reviewed on 08/09/2022</v>
      </c>
      <c r="B81" s="383" t="str">
        <f>'2022-2023 Applications Review'!B81</f>
        <v>Exero Medical _2022</v>
      </c>
      <c r="C81" s="383" t="str">
        <f>'2022-2023 Applications Review'!E81</f>
        <v>Life Sciences</v>
      </c>
      <c r="D81" s="384" t="str">
        <f>'2022-2023 Applications Review'!Q81</f>
        <v>Invite</v>
      </c>
      <c r="E81" s="383"/>
      <c r="F81" s="383"/>
      <c r="G81" s="383"/>
      <c r="H81" s="383"/>
      <c r="I81" s="385" t="b">
        <v>1</v>
      </c>
      <c r="J81" s="386" t="s">
        <v>12002</v>
      </c>
    </row>
    <row r="82" spans="1:10">
      <c r="A82" s="383" t="str">
        <f>CONCATENATE("Reviewed on"," ",(TEXT('2022-2023 Applications Review'!$A82, "mm/dd/yyyy")))</f>
        <v>Reviewed on 08/09/2022</v>
      </c>
      <c r="B82" s="383" t="str">
        <f>'2022-2023 Applications Review'!B82</f>
        <v>Lumirithmic Limited _2022</v>
      </c>
      <c r="C82" s="383" t="str">
        <f>'2022-2023 Applications Review'!E82</f>
        <v>Deep Tech</v>
      </c>
      <c r="D82" s="384" t="str">
        <f>'2022-2023 Applications Review'!Q82</f>
        <v>Invite</v>
      </c>
      <c r="E82" s="383"/>
      <c r="F82" s="383"/>
      <c r="G82" s="383"/>
      <c r="H82" s="383"/>
      <c r="I82" s="385" t="b">
        <v>1</v>
      </c>
      <c r="J82" s="386" t="s">
        <v>12003</v>
      </c>
    </row>
    <row r="83" spans="1:10">
      <c r="A83" s="383" t="str">
        <f>CONCATENATE("Reviewed on"," ",(TEXT('2022-2023 Applications Review'!$A83, "mm/dd/yyyy")))</f>
        <v>Reviewed on 08/09/2022</v>
      </c>
      <c r="B83" s="383" t="str">
        <f>'2022-2023 Applications Review'!B83</f>
        <v>Azarc.io Inc _2022</v>
      </c>
      <c r="C83" s="383" t="str">
        <f>'2022-2023 Applications Review'!E83</f>
        <v>Digital Tech</v>
      </c>
      <c r="D83" s="384" t="str">
        <f>'2022-2023 Applications Review'!Q83</f>
        <v>Invite</v>
      </c>
      <c r="E83" s="383"/>
      <c r="F83" s="383"/>
      <c r="G83" s="383"/>
      <c r="H83" s="383"/>
      <c r="I83" s="385" t="b">
        <v>1</v>
      </c>
      <c r="J83" s="386" t="s">
        <v>12004</v>
      </c>
    </row>
    <row r="84" spans="1:10">
      <c r="A84" s="383" t="str">
        <f>CONCATENATE("Reviewed on"," ",(TEXT('2022-2023 Applications Review'!$A84, "mm/dd/yyyy")))</f>
        <v>Reviewed on 08/09/2022</v>
      </c>
      <c r="B84" s="383" t="str">
        <f>'2022-2023 Applications Review'!B84</f>
        <v>Genomic Expression Inc _2022</v>
      </c>
      <c r="C84" s="383" t="str">
        <f>'2022-2023 Applications Review'!E84</f>
        <v>Life Sciences</v>
      </c>
      <c r="D84" s="384" t="str">
        <f>'2022-2023 Applications Review'!Q84</f>
        <v>Invite</v>
      </c>
      <c r="E84" s="383"/>
      <c r="F84" s="383"/>
      <c r="G84" s="383"/>
      <c r="H84" s="383"/>
      <c r="I84" s="385" t="b">
        <v>1</v>
      </c>
      <c r="J84" s="386" t="s">
        <v>12005</v>
      </c>
    </row>
    <row r="85" spans="1:10">
      <c r="A85" s="383" t="str">
        <f>CONCATENATE("Reviewed on"," ",(TEXT('2022-2023 Applications Review'!$A85, "mm/dd/yyyy")))</f>
        <v>Reviewed on 08/09/2022</v>
      </c>
      <c r="B85" s="383" t="str">
        <f>'2022-2023 Applications Review'!B85</f>
        <v>Namida Lab Inc. _2022</v>
      </c>
      <c r="C85" s="383" t="str">
        <f>'2022-2023 Applications Review'!E85</f>
        <v>Life Sciences</v>
      </c>
      <c r="D85" s="384" t="str">
        <f>'2022-2023 Applications Review'!Q85</f>
        <v>Invite</v>
      </c>
      <c r="E85" s="383"/>
      <c r="F85" s="383"/>
      <c r="G85" s="383"/>
      <c r="H85" s="383"/>
      <c r="I85" s="385" t="b">
        <v>1</v>
      </c>
      <c r="J85" s="386" t="s">
        <v>12006</v>
      </c>
    </row>
    <row r="86" spans="1:10">
      <c r="A86" s="383" t="str">
        <f>CONCATENATE("Reviewed on"," ",(TEXT('2022-2023 Applications Review'!$A86, "mm/dd/yyyy")))</f>
        <v>Reviewed on 08/09/2022</v>
      </c>
      <c r="B86" s="383" t="str">
        <f>'2022-2023 Applications Review'!B86</f>
        <v>HPC-AI Technology Inc. _2022</v>
      </c>
      <c r="C86" s="383" t="str">
        <f>'2022-2023 Applications Review'!E86</f>
        <v>Digital Tech</v>
      </c>
      <c r="D86" s="384" t="str">
        <f>'2022-2023 Applications Review'!Q86</f>
        <v>Invite</v>
      </c>
      <c r="E86" s="383"/>
      <c r="F86" s="383"/>
      <c r="G86" s="383"/>
      <c r="H86" s="383"/>
      <c r="I86" s="385" t="b">
        <v>1</v>
      </c>
      <c r="J86" s="386" t="s">
        <v>12007</v>
      </c>
    </row>
    <row r="87" spans="1:10">
      <c r="A87" s="383" t="str">
        <f>CONCATENATE("Reviewed on"," ",(TEXT('2022-2023 Applications Review'!$A87, "mm/dd/yyyy")))</f>
        <v>Reviewed on 08/09/2022</v>
      </c>
      <c r="B87" s="383" t="str">
        <f>'2022-2023 Applications Review'!B87</f>
        <v>syGlass, Inc _2022</v>
      </c>
      <c r="C87" s="383" t="str">
        <f>'2022-2023 Applications Review'!E87</f>
        <v>Deep Tech</v>
      </c>
      <c r="D87" s="384" t="str">
        <f>'2022-2023 Applications Review'!Q87</f>
        <v>Invite</v>
      </c>
      <c r="E87" s="383"/>
      <c r="F87" s="383"/>
      <c r="G87" s="383"/>
      <c r="H87" s="383"/>
      <c r="I87" s="385" t="b">
        <v>1</v>
      </c>
      <c r="J87" s="386" t="s">
        <v>12008</v>
      </c>
    </row>
    <row r="88" spans="1:10">
      <c r="A88" s="383" t="str">
        <f>CONCATENATE("Reviewed on"," ",(TEXT('2022-2023 Applications Review'!$A88, "mm/dd/yyyy")))</f>
        <v>Reviewed on 08/09/2022</v>
      </c>
      <c r="B88" s="383" t="str">
        <f>'2022-2023 Applications Review'!B88</f>
        <v>Antlia Bioscience, Inc.   _2022</v>
      </c>
      <c r="C88" s="383" t="str">
        <f>'2022-2023 Applications Review'!E88</f>
        <v>Life Sciences</v>
      </c>
      <c r="D88" s="384" t="str">
        <f>'2022-2023 Applications Review'!Q88</f>
        <v>Invite</v>
      </c>
      <c r="E88" s="383"/>
      <c r="F88" s="383"/>
      <c r="G88" s="383"/>
      <c r="H88" s="383"/>
      <c r="I88" s="385" t="b">
        <v>1</v>
      </c>
      <c r="J88" s="386" t="s">
        <v>12009</v>
      </c>
    </row>
    <row r="89" spans="1:10">
      <c r="A89" s="383" t="str">
        <f>CONCATENATE("Reviewed on"," ",(TEXT('2022-2023 Applications Review'!$A89, "mm/dd/yyyy")))</f>
        <v>Reviewed on 08/09/2022</v>
      </c>
      <c r="B89" s="383" t="str">
        <f>'2022-2023 Applications Review'!B89</f>
        <v>Aerones Inc _2022</v>
      </c>
      <c r="C89" s="383" t="str">
        <f>'2022-2023 Applications Review'!E89</f>
        <v>Deep Tech</v>
      </c>
      <c r="D89" s="384" t="str">
        <f>'2022-2023 Applications Review'!Q89</f>
        <v>Invite</v>
      </c>
      <c r="E89" s="383"/>
      <c r="F89" s="383"/>
      <c r="G89" s="383"/>
      <c r="H89" s="383"/>
      <c r="I89" s="385" t="b">
        <v>1</v>
      </c>
      <c r="J89" s="386" t="s">
        <v>12010</v>
      </c>
    </row>
    <row r="90" spans="1:10">
      <c r="A90" s="383" t="str">
        <f>CONCATENATE("Reviewed on"," ",(TEXT('2022-2023 Applications Review'!$A90, "mm/dd/yyyy")))</f>
        <v>Reviewed on 08/09/2022</v>
      </c>
      <c r="B90" s="383" t="str">
        <f>'2022-2023 Applications Review'!B90</f>
        <v>SignPost Cancer Dx Inc. _2022</v>
      </c>
      <c r="C90" s="383" t="str">
        <f>'2022-2023 Applications Review'!E90</f>
        <v>Life Sciences</v>
      </c>
      <c r="D90" s="384" t="str">
        <f>'2022-2023 Applications Review'!Q90</f>
        <v>Invite</v>
      </c>
      <c r="E90" s="383"/>
      <c r="F90" s="383"/>
      <c r="G90" s="383"/>
      <c r="H90" s="383"/>
      <c r="I90" s="385" t="b">
        <v>1</v>
      </c>
      <c r="J90" s="386" t="s">
        <v>12011</v>
      </c>
    </row>
    <row r="91" spans="1:10">
      <c r="A91" s="383" t="str">
        <f>CONCATENATE("Reviewed on"," ",(TEXT('2022-2023 Applications Review'!$A91, "mm/dd/yyyy")))</f>
        <v>Reviewed on 08/09/2022</v>
      </c>
      <c r="B91" s="383" t="str">
        <f>'2022-2023 Applications Review'!B91</f>
        <v>RevivBio Inc _2022</v>
      </c>
      <c r="C91" s="383" t="str">
        <f>'2022-2023 Applications Review'!E91</f>
        <v>Deep Tech</v>
      </c>
      <c r="D91" s="384" t="str">
        <f>'2022-2023 Applications Review'!Q91</f>
        <v>Invite</v>
      </c>
      <c r="E91" s="383"/>
      <c r="F91" s="383"/>
      <c r="G91" s="383"/>
      <c r="H91" s="383"/>
      <c r="I91" s="385" t="b">
        <v>1</v>
      </c>
      <c r="J91" s="386" t="s">
        <v>12012</v>
      </c>
    </row>
    <row r="92" spans="1:10">
      <c r="A92" s="383" t="str">
        <f>CONCATENATE("Reviewed on"," ",(TEXT('2022-2023 Applications Review'!$A92, "mm/dd/yyyy")))</f>
        <v>Reviewed on 08/09/2022</v>
      </c>
      <c r="B92" s="383" t="str">
        <f>'2022-2023 Applications Review'!B92</f>
        <v>Sisu Pharma, Inc. _2022</v>
      </c>
      <c r="C92" s="383" t="str">
        <f>'2022-2023 Applications Review'!E92</f>
        <v>Life Sciences</v>
      </c>
      <c r="D92" s="384" t="str">
        <f>'2022-2023 Applications Review'!Q92</f>
        <v>Invite</v>
      </c>
      <c r="E92" s="383"/>
      <c r="F92" s="383"/>
      <c r="G92" s="383"/>
      <c r="H92" s="383"/>
      <c r="I92" s="385" t="b">
        <v>1</v>
      </c>
      <c r="J92" s="386" t="s">
        <v>12013</v>
      </c>
    </row>
    <row r="93" spans="1:10">
      <c r="A93" s="383" t="str">
        <f>CONCATENATE("Reviewed on"," ",(TEXT('2022-2023 Applications Review'!$A93, "mm/dd/yyyy")))</f>
        <v>Reviewed on 08/09/2022</v>
      </c>
      <c r="B93" s="383" t="str">
        <f>'2022-2023 Applications Review'!B93</f>
        <v>OVIBIO _2022</v>
      </c>
      <c r="C93" s="383" t="str">
        <f>'2022-2023 Applications Review'!E93</f>
        <v>Life Sciences</v>
      </c>
      <c r="D93" s="384" t="str">
        <f>'2022-2023 Applications Review'!Q93</f>
        <v>Invite</v>
      </c>
      <c r="E93" s="383"/>
      <c r="F93" s="383"/>
      <c r="G93" s="383"/>
      <c r="H93" s="383"/>
      <c r="I93" s="385" t="b">
        <v>1</v>
      </c>
      <c r="J93" s="386" t="s">
        <v>12014</v>
      </c>
    </row>
    <row r="94" spans="1:10">
      <c r="A94" s="383" t="str">
        <f>CONCATENATE("Reviewed on"," ",(TEXT('2022-2023 Applications Review'!$A94, "mm/dd/yyyy")))</f>
        <v>Reviewed on 08/09/2022</v>
      </c>
      <c r="B94" s="383" t="str">
        <f>'2022-2023 Applications Review'!B94</f>
        <v>DataPrime _2022</v>
      </c>
      <c r="C94" s="383" t="str">
        <f>'2022-2023 Applications Review'!E94</f>
        <v>Digital Tech</v>
      </c>
      <c r="D94" s="384" t="str">
        <f>'2022-2023 Applications Review'!Q94</f>
        <v>Invite</v>
      </c>
      <c r="E94" s="383"/>
      <c r="F94" s="383"/>
      <c r="G94" s="383"/>
      <c r="H94" s="383"/>
      <c r="I94" s="385" t="b">
        <v>1</v>
      </c>
      <c r="J94" s="386" t="s">
        <v>12015</v>
      </c>
    </row>
    <row r="95" spans="1:10">
      <c r="A95" s="383" t="str">
        <f>CONCATENATE("Reviewed on"," ",(TEXT('2022-2023 Applications Review'!$A95, "mm/dd/yyyy")))</f>
        <v>Reviewed on 08/09/2022</v>
      </c>
      <c r="B95" s="383" t="str">
        <f>'2022-2023 Applications Review'!B95</f>
        <v>HDAX Therapeutics _2022</v>
      </c>
      <c r="C95" s="383" t="str">
        <f>'2022-2023 Applications Review'!E95</f>
        <v>Life Sciences</v>
      </c>
      <c r="D95" s="384" t="str">
        <f>'2022-2023 Applications Review'!Q95</f>
        <v>Invite</v>
      </c>
      <c r="E95" s="383"/>
      <c r="F95" s="383"/>
      <c r="G95" s="383"/>
      <c r="H95" s="383"/>
      <c r="I95" s="385" t="b">
        <v>1</v>
      </c>
      <c r="J95" s="386" t="s">
        <v>12016</v>
      </c>
    </row>
    <row r="96" spans="1:10">
      <c r="A96" s="383" t="str">
        <f>CONCATENATE("Reviewed on"," ",(TEXT('2022-2023 Applications Review'!$A96, "mm/dd/yyyy")))</f>
        <v>Reviewed on 08/09/2022</v>
      </c>
      <c r="B96" s="383" t="str">
        <f>'2022-2023 Applications Review'!B96</f>
        <v>Bankuish _2022</v>
      </c>
      <c r="C96" s="383" t="str">
        <f>'2022-2023 Applications Review'!E96</f>
        <v>Digital Tech</v>
      </c>
      <c r="D96" s="384" t="str">
        <f>'2022-2023 Applications Review'!Q96</f>
        <v>Invite</v>
      </c>
      <c r="E96" s="383"/>
      <c r="F96" s="383"/>
      <c r="G96" s="383"/>
      <c r="H96" s="383"/>
      <c r="I96" s="385" t="b">
        <v>1</v>
      </c>
      <c r="J96" s="386" t="s">
        <v>12017</v>
      </c>
    </row>
    <row r="97" spans="1:10">
      <c r="A97" s="383" t="str">
        <f>CONCATENATE("Reviewed on"," ",(TEXT('2022-2023 Applications Review'!$A97, "mm/dd/yyyy")))</f>
        <v>Reviewed on 08/09/2022</v>
      </c>
      <c r="B97" s="383" t="str">
        <f>'2022-2023 Applications Review'!B97</f>
        <v>Summit Biomedical Imaging _2022</v>
      </c>
      <c r="C97" s="383" t="str">
        <f>'2022-2023 Applications Review'!E97</f>
        <v>Life Sciences</v>
      </c>
      <c r="D97" s="384" t="str">
        <f>'2022-2023 Applications Review'!Q97</f>
        <v>Invite</v>
      </c>
      <c r="E97" s="383"/>
      <c r="F97" s="383"/>
      <c r="G97" s="383"/>
      <c r="H97" s="383"/>
      <c r="I97" s="385" t="b">
        <v>1</v>
      </c>
      <c r="J97" s="386" t="s">
        <v>12018</v>
      </c>
    </row>
    <row r="98" spans="1:10">
      <c r="A98" s="383" t="str">
        <f>CONCATENATE("Reviewed on"," ",(TEXT('2022-2023 Applications Review'!$A98, "mm/dd/yyyy")))</f>
        <v>Reviewed on 08/09/2022</v>
      </c>
      <c r="B98" s="383" t="str">
        <f>'2022-2023 Applications Review'!B98</f>
        <v>Undesert Corporation _2022</v>
      </c>
      <c r="C98" s="383" t="str">
        <f>'2022-2023 Applications Review'!E98</f>
        <v>Deep Tech</v>
      </c>
      <c r="D98" s="384" t="str">
        <f>'2022-2023 Applications Review'!Q98</f>
        <v>Invite</v>
      </c>
      <c r="E98" s="383"/>
      <c r="F98" s="383"/>
      <c r="G98" s="383"/>
      <c r="H98" s="383"/>
      <c r="I98" s="385" t="b">
        <v>1</v>
      </c>
      <c r="J98" s="386" t="s">
        <v>12019</v>
      </c>
    </row>
    <row r="99" spans="1:10">
      <c r="A99" s="383" t="str">
        <f>CONCATENATE("Reviewed on"," ",(TEXT('2022-2023 Applications Review'!$A99, "mm/dd/yyyy")))</f>
        <v>Reviewed on 08/09/2022</v>
      </c>
      <c r="B99" s="383" t="str">
        <f>'2022-2023 Applications Review'!B99</f>
        <v>Astek Diagnostics Inc. _2022</v>
      </c>
      <c r="C99" s="383" t="str">
        <f>'2022-2023 Applications Review'!E99</f>
        <v>Deep Tech</v>
      </c>
      <c r="D99" s="384" t="str">
        <f>'2022-2023 Applications Review'!Q99</f>
        <v>Invite</v>
      </c>
      <c r="E99" s="383"/>
      <c r="F99" s="383"/>
      <c r="G99" s="383"/>
      <c r="H99" s="383"/>
      <c r="I99" s="385" t="b">
        <v>1</v>
      </c>
      <c r="J99" s="386" t="s">
        <v>12020</v>
      </c>
    </row>
    <row r="100" spans="1:10">
      <c r="A100" s="383" t="str">
        <f>CONCATENATE("Reviewed on"," ",(TEXT('2022-2023 Applications Review'!$A100, "mm/dd/yyyy")))</f>
        <v>Reviewed on 08/09/2022</v>
      </c>
      <c r="B100" s="383" t="str">
        <f>'2022-2023 Applications Review'!B100</f>
        <v>OmicsChart _2022</v>
      </c>
      <c r="C100" s="383" t="str">
        <f>'2022-2023 Applications Review'!E100</f>
        <v>Digital Tech</v>
      </c>
      <c r="D100" s="384" t="str">
        <f>'2022-2023 Applications Review'!Q100</f>
        <v>Invite</v>
      </c>
      <c r="E100" s="383"/>
      <c r="F100" s="383"/>
      <c r="G100" s="383"/>
      <c r="H100" s="383"/>
      <c r="I100" s="385" t="b">
        <v>1</v>
      </c>
      <c r="J100" s="386" t="s">
        <v>12021</v>
      </c>
    </row>
    <row r="101" spans="1:10">
      <c r="A101" s="383" t="str">
        <f>CONCATENATE("Reviewed on"," ",(TEXT('2022-2023 Applications Review'!$A101, "mm/dd/yyyy")))</f>
        <v>Reviewed on 08/09/2022</v>
      </c>
      <c r="B101" s="383" t="str">
        <f>'2022-2023 Applications Review'!B101</f>
        <v>ArgenTAG _2022</v>
      </c>
      <c r="C101" s="383" t="str">
        <f>'2022-2023 Applications Review'!E101</f>
        <v>Deep Tech</v>
      </c>
      <c r="D101" s="384" t="str">
        <f>'2022-2023 Applications Review'!Q101</f>
        <v>Invite</v>
      </c>
      <c r="E101" s="383"/>
      <c r="F101" s="383"/>
      <c r="G101" s="383"/>
      <c r="H101" s="383"/>
      <c r="I101" s="385" t="b">
        <v>1</v>
      </c>
      <c r="J101" s="386" t="s">
        <v>12022</v>
      </c>
    </row>
    <row r="102" spans="1:10">
      <c r="A102" s="383" t="str">
        <f>CONCATENATE("Reviewed on"," ",(TEXT('2022-2023 Applications Review'!$A102, "mm/dd/yyyy")))</f>
        <v>Reviewed on 08/09/2022</v>
      </c>
      <c r="B102" s="383" t="str">
        <f>'2022-2023 Applications Review'!B102</f>
        <v>PentaBind Ltd _2022</v>
      </c>
      <c r="C102" s="383" t="str">
        <f>'2022-2023 Applications Review'!E102</f>
        <v>Deep Tech</v>
      </c>
      <c r="D102" s="384" t="str">
        <f>'2022-2023 Applications Review'!Q102</f>
        <v>Invite</v>
      </c>
      <c r="E102" s="383"/>
      <c r="F102" s="383"/>
      <c r="G102" s="383"/>
      <c r="H102" s="383"/>
      <c r="I102" s="385" t="b">
        <v>1</v>
      </c>
      <c r="J102" s="386" t="s">
        <v>12023</v>
      </c>
    </row>
    <row r="103" spans="1:10">
      <c r="A103" s="383" t="str">
        <f>CONCATENATE("Reviewed on"," ",(TEXT('2022-2023 Applications Review'!$A103, "mm/dd/yyyy")))</f>
        <v>Reviewed on 08/09/2022</v>
      </c>
      <c r="B103" s="383" t="str">
        <f>'2022-2023 Applications Review'!B103</f>
        <v>Photon Vault _2022</v>
      </c>
      <c r="C103" s="383" t="str">
        <f>'2022-2023 Applications Review'!E103</f>
        <v>Deep Tech</v>
      </c>
      <c r="D103" s="384" t="str">
        <f>'2022-2023 Applications Review'!Q103</f>
        <v>Invite</v>
      </c>
      <c r="E103" s="383"/>
      <c r="F103" s="383"/>
      <c r="G103" s="383"/>
      <c r="H103" s="383"/>
      <c r="I103" s="385" t="b">
        <v>1</v>
      </c>
      <c r="J103" s="386" t="s">
        <v>12024</v>
      </c>
    </row>
    <row r="104" spans="1:10">
      <c r="A104" s="383" t="str">
        <f>CONCATENATE("Reviewed on"," ",(TEXT('2022-2023 Applications Review'!$A104, "mm/dd/yyyy")))</f>
        <v>Reviewed on 08/09/2022</v>
      </c>
      <c r="B104" s="383" t="str">
        <f>'2022-2023 Applications Review'!B104</f>
        <v>Flying Ship Technologies, Corp. _2022</v>
      </c>
      <c r="C104" s="383" t="str">
        <f>'2022-2023 Applications Review'!E104</f>
        <v>Deep Tech</v>
      </c>
      <c r="D104" s="384" t="str">
        <f>'2022-2023 Applications Review'!Q104</f>
        <v>Invite</v>
      </c>
      <c r="E104" s="383"/>
      <c r="F104" s="383"/>
      <c r="G104" s="383"/>
      <c r="H104" s="383"/>
      <c r="I104" s="385" t="b">
        <v>1</v>
      </c>
      <c r="J104" s="386" t="s">
        <v>12025</v>
      </c>
    </row>
    <row r="105" spans="1:10">
      <c r="A105" s="383" t="str">
        <f>CONCATENATE("Reviewed on"," ",(TEXT('2022-2023 Applications Review'!$A105, "mm/dd/yyyy")))</f>
        <v>Reviewed on 08/09/2022</v>
      </c>
      <c r="B105" s="383" t="str">
        <f>'2022-2023 Applications Review'!B105</f>
        <v>Ambulero, Inc.  _2022</v>
      </c>
      <c r="C105" s="383" t="str">
        <f>'2022-2023 Applications Review'!E105</f>
        <v>Life Sciences</v>
      </c>
      <c r="D105" s="384" t="str">
        <f>'2022-2023 Applications Review'!Q105</f>
        <v>Revisit</v>
      </c>
      <c r="E105" s="383"/>
      <c r="F105" s="383"/>
      <c r="G105" s="383"/>
      <c r="H105" s="383"/>
      <c r="I105" s="385" t="b">
        <v>1</v>
      </c>
      <c r="J105" s="386" t="s">
        <v>12026</v>
      </c>
    </row>
    <row r="106" spans="1:10">
      <c r="A106" s="383" t="str">
        <f>CONCATENATE("Reviewed on"," ",(TEXT('2022-2023 Applications Review'!$A106, "mm/dd/yyyy")))</f>
        <v>Reviewed on 08/09/2022</v>
      </c>
      <c r="B106" s="383" t="str">
        <f>'2022-2023 Applications Review'!B106</f>
        <v>FANLUV _2022</v>
      </c>
      <c r="C106" s="383" t="str">
        <f>'2022-2023 Applications Review'!E106</f>
        <v>Digital Tech</v>
      </c>
      <c r="D106" s="384" t="str">
        <f>'2022-2023 Applications Review'!Q106</f>
        <v>Invite</v>
      </c>
      <c r="E106" s="383"/>
      <c r="F106" s="383"/>
      <c r="G106" s="383"/>
      <c r="H106" s="383"/>
      <c r="I106" s="385" t="b">
        <v>1</v>
      </c>
      <c r="J106" s="386" t="s">
        <v>12027</v>
      </c>
    </row>
    <row r="107" spans="1:10">
      <c r="A107" s="383" t="str">
        <f>CONCATENATE("Reviewed on"," ",(TEXT('2022-2023 Applications Review'!$A107, "mm/dd/yyyy")))</f>
        <v>Reviewed on 08/09/2022</v>
      </c>
      <c r="B107" s="383" t="str">
        <f>'2022-2023 Applications Review'!B107</f>
        <v>CYTRIO, Inc. _2022</v>
      </c>
      <c r="C107" s="383" t="str">
        <f>'2022-2023 Applications Review'!E107</f>
        <v>Digital Tech</v>
      </c>
      <c r="D107" s="384" t="str">
        <f>'2022-2023 Applications Review'!Q107</f>
        <v>Invite</v>
      </c>
      <c r="E107" s="383"/>
      <c r="F107" s="383"/>
      <c r="G107" s="383"/>
      <c r="H107" s="383"/>
      <c r="I107" s="385" t="b">
        <v>1</v>
      </c>
      <c r="J107" s="386" t="s">
        <v>12028</v>
      </c>
    </row>
    <row r="108" spans="1:10">
      <c r="A108" s="383" t="str">
        <f>CONCATENATE("Reviewed on"," ",(TEXT('2022-2023 Applications Review'!$A108, "mm/dd/yyyy")))</f>
        <v>Reviewed on 08/09/2022</v>
      </c>
      <c r="B108" s="383" t="str">
        <f>'2022-2023 Applications Review'!B108</f>
        <v>Infinity Gaming Media _2022</v>
      </c>
      <c r="C108" s="383" t="str">
        <f>'2022-2023 Applications Review'!E108</f>
        <v>Digital Tech</v>
      </c>
      <c r="D108" s="384" t="str">
        <f>'2022-2023 Applications Review'!Q108</f>
        <v>Invite</v>
      </c>
      <c r="E108" s="383"/>
      <c r="F108" s="383"/>
      <c r="G108" s="383"/>
      <c r="H108" s="383"/>
      <c r="I108" s="385" t="b">
        <v>1</v>
      </c>
      <c r="J108" s="386" t="s">
        <v>12029</v>
      </c>
    </row>
    <row r="109" spans="1:10">
      <c r="A109" s="383" t="str">
        <f>CONCATENATE("Reviewed on"," ",(TEXT('2022-2023 Applications Review'!$A109, "mm/dd/yyyy")))</f>
        <v>Reviewed on 08/09/2022</v>
      </c>
      <c r="B109" s="383" t="str">
        <f>'2022-2023 Applications Review'!B109</f>
        <v>Health Cost IQ _2022</v>
      </c>
      <c r="C109" s="383" t="str">
        <f>'2022-2023 Applications Review'!E109</f>
        <v>Digital Tech</v>
      </c>
      <c r="D109" s="384" t="str">
        <f>'2022-2023 Applications Review'!Q109</f>
        <v>Invite</v>
      </c>
      <c r="E109" s="383"/>
      <c r="F109" s="383"/>
      <c r="G109" s="383"/>
      <c r="H109" s="383"/>
      <c r="I109" s="385" t="b">
        <v>1</v>
      </c>
      <c r="J109" s="386" t="s">
        <v>12030</v>
      </c>
    </row>
    <row r="110" spans="1:10">
      <c r="A110" s="383" t="str">
        <f>CONCATENATE("Reviewed on"," ",(TEXT('2022-2023 Applications Review'!$A110, "mm/dd/yyyy")))</f>
        <v>Reviewed on 08/09/2022</v>
      </c>
      <c r="B110" s="383" t="str">
        <f>'2022-2023 Applications Review'!B110</f>
        <v>Engage Labs _2022</v>
      </c>
      <c r="C110" s="383" t="str">
        <f>'2022-2023 Applications Review'!E110</f>
        <v>Digital Tech</v>
      </c>
      <c r="D110" s="384" t="str">
        <f>'2022-2023 Applications Review'!Q110</f>
        <v>Revisit/ Cluster</v>
      </c>
      <c r="E110" s="383"/>
      <c r="F110" s="383"/>
      <c r="G110" s="383"/>
      <c r="H110" s="383"/>
      <c r="I110" s="385" t="b">
        <v>1</v>
      </c>
      <c r="J110" s="386" t="s">
        <v>12031</v>
      </c>
    </row>
    <row r="111" spans="1:10">
      <c r="A111" s="383" t="str">
        <f>CONCATENATE("Reviewed on"," ",(TEXT('2022-2023 Applications Review'!$A111, "mm/dd/yyyy")))</f>
        <v>Reviewed on 08/09/2022</v>
      </c>
      <c r="B111" s="383" t="str">
        <f>'2022-2023 Applications Review'!B111</f>
        <v>Counter-Intuitive Cooking Inc. _2022</v>
      </c>
      <c r="C111" s="383" t="str">
        <f>'2022-2023 Applications Review'!E111</f>
        <v>Deep Tech</v>
      </c>
      <c r="D111" s="384" t="str">
        <f>'2022-2023 Applications Review'!Q111</f>
        <v>Invite Next Year</v>
      </c>
      <c r="E111" s="383"/>
      <c r="F111" s="383"/>
      <c r="G111" s="383"/>
      <c r="H111" s="383"/>
      <c r="I111" s="385" t="b">
        <v>1</v>
      </c>
      <c r="J111" s="386" t="s">
        <v>12032</v>
      </c>
    </row>
    <row r="112" spans="1:10">
      <c r="A112" s="383" t="str">
        <f>CONCATENATE("Reviewed on"," ",(TEXT('2022-2023 Applications Review'!$A112, "mm/dd/yyyy")))</f>
        <v>Reviewed on 08/09/2022</v>
      </c>
      <c r="B112" s="383" t="str">
        <f>'2022-2023 Applications Review'!B112</f>
        <v>DELIVERS.AI _2022</v>
      </c>
      <c r="C112" s="383" t="str">
        <f>'2022-2023 Applications Review'!E112</f>
        <v>Deep Tech</v>
      </c>
      <c r="D112" s="384" t="str">
        <f>'2022-2023 Applications Review'!Q112</f>
        <v>Revisit/ Cluster</v>
      </c>
      <c r="E112" s="383"/>
      <c r="F112" s="383"/>
      <c r="G112" s="383"/>
      <c r="H112" s="383"/>
      <c r="I112" s="385" t="b">
        <v>1</v>
      </c>
      <c r="J112" s="386" t="s">
        <v>12033</v>
      </c>
    </row>
    <row r="113" spans="1:10">
      <c r="A113" s="383" t="str">
        <f>CONCATENATE("Reviewed on"," ",(TEXT('2022-2023 Applications Review'!$A113, "mm/dd/yyyy")))</f>
        <v>Reviewed on 08/09/2022</v>
      </c>
      <c r="B113" s="383" t="str">
        <f>'2022-2023 Applications Review'!B113</f>
        <v>Renew Risk _2022</v>
      </c>
      <c r="C113" s="383" t="str">
        <f>'2022-2023 Applications Review'!E113</f>
        <v>Deep Tech</v>
      </c>
      <c r="D113" s="384" t="str">
        <f>'2022-2023 Applications Review'!Q113</f>
        <v>Revisit</v>
      </c>
      <c r="E113" s="383"/>
      <c r="F113" s="383"/>
      <c r="G113" s="383"/>
      <c r="H113" s="383"/>
      <c r="I113" s="385" t="b">
        <v>1</v>
      </c>
      <c r="J113" s="386" t="s">
        <v>12034</v>
      </c>
    </row>
    <row r="114" spans="1:10">
      <c r="A114" s="383" t="str">
        <f>CONCATENATE("Reviewed on"," ",(TEXT('2022-2023 Applications Review'!$A114, "mm/dd/yyyy")))</f>
        <v>Reviewed on 08/09/2022</v>
      </c>
      <c r="B114" s="383" t="str">
        <f>'2022-2023 Applications Review'!B114</f>
        <v>Promin Aerospace _2022</v>
      </c>
      <c r="C114" s="383" t="str">
        <f>'2022-2023 Applications Review'!E114</f>
        <v>Deep Tech</v>
      </c>
      <c r="D114" s="384" t="str">
        <f>'2022-2023 Applications Review'!Q114</f>
        <v>Revisit/ Cluster</v>
      </c>
      <c r="E114" s="383"/>
      <c r="F114" s="383"/>
      <c r="G114" s="383"/>
      <c r="H114" s="383"/>
      <c r="I114" s="385" t="b">
        <v>1</v>
      </c>
      <c r="J114" s="386" t="s">
        <v>12035</v>
      </c>
    </row>
    <row r="115" spans="1:10">
      <c r="A115" s="383" t="str">
        <f>CONCATENATE("Reviewed on"," ",(TEXT('2022-2023 Applications Review'!$A115, "mm/dd/yyyy")))</f>
        <v>Reviewed on 08/09/2022</v>
      </c>
      <c r="B115" s="383" t="str">
        <f>'2022-2023 Applications Review'!B115</f>
        <v>RaSpect _2022</v>
      </c>
      <c r="C115" s="383" t="str">
        <f>'2022-2023 Applications Review'!E115</f>
        <v>Deep Tech</v>
      </c>
      <c r="D115" s="384" t="str">
        <f>'2022-2023 Applications Review'!Q115</f>
        <v>Revisit</v>
      </c>
      <c r="E115" s="383"/>
      <c r="F115" s="383"/>
      <c r="G115" s="383"/>
      <c r="H115" s="383"/>
      <c r="I115" s="385" t="b">
        <v>1</v>
      </c>
      <c r="J115" s="386" t="s">
        <v>12036</v>
      </c>
    </row>
    <row r="116" spans="1:10">
      <c r="A116" s="383" t="str">
        <f>CONCATENATE("Reviewed on"," ",(TEXT('2022-2023 Applications Review'!$A116, "mm/dd/yyyy")))</f>
        <v>Reviewed on 08/09/2022</v>
      </c>
      <c r="B116" s="383" t="str">
        <f>'2022-2023 Applications Review'!B116</f>
        <v>Silicon Technologies, Inc. _2022</v>
      </c>
      <c r="C116" s="383" t="str">
        <f>'2022-2023 Applications Review'!E116</f>
        <v>Deep Tech</v>
      </c>
      <c r="D116" s="384" t="str">
        <f>'2022-2023 Applications Review'!Q116</f>
        <v>Invite</v>
      </c>
      <c r="E116" s="383"/>
      <c r="F116" s="383"/>
      <c r="G116" s="383"/>
      <c r="H116" s="383"/>
      <c r="I116" s="385" t="b">
        <v>1</v>
      </c>
      <c r="J116" s="386" t="s">
        <v>12037</v>
      </c>
    </row>
    <row r="117" spans="1:10">
      <c r="A117" s="383" t="str">
        <f>CONCATENATE("Reviewed on"," ",(TEXT('2022-2023 Applications Review'!$A117, "mm/dd/yyyy")))</f>
        <v>Reviewed on 08/09/2022</v>
      </c>
      <c r="B117" s="383" t="str">
        <f>'2022-2023 Applications Review'!B117</f>
        <v>Straylight Systems _2022</v>
      </c>
      <c r="C117" s="383" t="str">
        <f>'2022-2023 Applications Review'!E117</f>
        <v>Deep Tech</v>
      </c>
      <c r="D117" s="384" t="str">
        <f>'2022-2023 Applications Review'!Q117</f>
        <v>Revisit</v>
      </c>
      <c r="E117" s="383"/>
      <c r="F117" s="383"/>
      <c r="G117" s="383"/>
      <c r="H117" s="383"/>
      <c r="I117" s="385" t="b">
        <v>1</v>
      </c>
      <c r="J117" s="386" t="s">
        <v>12038</v>
      </c>
    </row>
    <row r="118" spans="1:10">
      <c r="A118" s="383" t="str">
        <f>CONCATENATE("Reviewed on"," ",(TEXT('2022-2023 Applications Review'!$A118, "mm/dd/yyyy")))</f>
        <v>Reviewed on 08/09/2022</v>
      </c>
      <c r="B118" s="383" t="str">
        <f>'2022-2023 Applications Review'!B118</f>
        <v>Rebound Technologies, Inc.  _2022</v>
      </c>
      <c r="C118" s="383" t="str">
        <f>'2022-2023 Applications Review'!E118</f>
        <v>Deep Tech</v>
      </c>
      <c r="D118" s="384" t="str">
        <f>'2022-2023 Applications Review'!Q118</f>
        <v>Revisit/ Cluster</v>
      </c>
      <c r="E118" s="383"/>
      <c r="F118" s="383"/>
      <c r="G118" s="383"/>
      <c r="H118" s="383"/>
      <c r="I118" s="385" t="b">
        <v>1</v>
      </c>
      <c r="J118" s="386" t="s">
        <v>12039</v>
      </c>
    </row>
    <row r="119" spans="1:10">
      <c r="A119" s="383" t="str">
        <f>CONCATENATE("Reviewed on"," ",(TEXT('2022-2023 Applications Review'!$A119, "mm/dd/yyyy")))</f>
        <v>Reviewed on 08/09/2022</v>
      </c>
      <c r="B119" s="383" t="str">
        <f>'2022-2023 Applications Review'!B119</f>
        <v>RAADYSAN BIOTECH, INC. _2022</v>
      </c>
      <c r="C119" s="383" t="str">
        <f>'2022-2023 Applications Review'!E119</f>
        <v>Life Sciences</v>
      </c>
      <c r="D119" s="384" t="str">
        <f>'2022-2023 Applications Review'!Q119</f>
        <v>Special Reject</v>
      </c>
      <c r="E119" s="383"/>
      <c r="F119" s="383"/>
      <c r="G119" s="383"/>
      <c r="H119" s="383"/>
      <c r="I119" s="385" t="b">
        <v>1</v>
      </c>
      <c r="J119" s="386" t="s">
        <v>12040</v>
      </c>
    </row>
    <row r="120" spans="1:10">
      <c r="A120" s="383" t="str">
        <f>CONCATENATE("Reviewed on"," ",(TEXT('2022-2023 Applications Review'!$A120, "mm/dd/yyyy")))</f>
        <v>Reviewed on 08/09/2022</v>
      </c>
      <c r="B120" s="383" t="str">
        <f>'2022-2023 Applications Review'!B120</f>
        <v>Iryss, Inc _2022</v>
      </c>
      <c r="C120" s="383" t="str">
        <f>'2022-2023 Applications Review'!E120</f>
        <v>Digital Tech</v>
      </c>
      <c r="D120" s="384" t="str">
        <f>'2022-2023 Applications Review'!Q120</f>
        <v>Revisit/ Cluster</v>
      </c>
      <c r="E120" s="383"/>
      <c r="F120" s="383"/>
      <c r="G120" s="383"/>
      <c r="H120" s="383"/>
      <c r="I120" s="385" t="b">
        <v>1</v>
      </c>
      <c r="J120" s="386" t="s">
        <v>12041</v>
      </c>
    </row>
    <row r="121" spans="1:10">
      <c r="A121" s="383" t="str">
        <f>CONCATENATE("Reviewed on"," ",(TEXT('2022-2023 Applications Review'!$A121, "mm/dd/yyyy")))</f>
        <v>Reviewed on 08/09/2022</v>
      </c>
      <c r="B121" s="383" t="str">
        <f>'2022-2023 Applications Review'!B121</f>
        <v>Eureka FinTech Limited _2022</v>
      </c>
      <c r="C121" s="383" t="str">
        <f>'2022-2023 Applications Review'!E121</f>
        <v>Digital Tech</v>
      </c>
      <c r="D121" s="384" t="str">
        <f>'2022-2023 Applications Review'!Q121</f>
        <v>Invite</v>
      </c>
      <c r="E121" s="383"/>
      <c r="F121" s="383"/>
      <c r="G121" s="383"/>
      <c r="H121" s="383"/>
      <c r="I121" s="385" t="b">
        <v>1</v>
      </c>
      <c r="J121" s="386" t="s">
        <v>12042</v>
      </c>
    </row>
    <row r="122" spans="1:10">
      <c r="A122" s="383" t="str">
        <f>CONCATENATE("Reviewed on"," ",(TEXT('2022-2023 Applications Review'!$A122, "mm/dd/yyyy")))</f>
        <v>Reviewed on 08/09/2022</v>
      </c>
      <c r="B122" s="383" t="str">
        <f>'2022-2023 Applications Review'!B122</f>
        <v>Nixtla _2022</v>
      </c>
      <c r="C122" s="383" t="str">
        <f>'2022-2023 Applications Review'!E122</f>
        <v>Digital Tech</v>
      </c>
      <c r="D122" s="384" t="str">
        <f>'2022-2023 Applications Review'!Q122</f>
        <v>Revisit</v>
      </c>
      <c r="E122" s="383"/>
      <c r="F122" s="383"/>
      <c r="G122" s="383"/>
      <c r="H122" s="383"/>
      <c r="I122" s="385" t="b">
        <v>1</v>
      </c>
      <c r="J122" s="386" t="s">
        <v>12043</v>
      </c>
    </row>
    <row r="123" spans="1:10">
      <c r="A123" s="383" t="str">
        <f>CONCATENATE("Reviewed on"," ",(TEXT('2022-2023 Applications Review'!$A123, "mm/dd/yyyy")))</f>
        <v>Reviewed on 08/09/2022</v>
      </c>
      <c r="B123" s="383" t="str">
        <f>'2022-2023 Applications Review'!B123</f>
        <v>Plant an App _2022</v>
      </c>
      <c r="C123" s="383" t="str">
        <f>'2022-2023 Applications Review'!E123</f>
        <v>Digital Tech</v>
      </c>
      <c r="D123" s="384" t="str">
        <f>'2022-2023 Applications Review'!Q123</f>
        <v>Invite</v>
      </c>
      <c r="E123" s="383"/>
      <c r="F123" s="383"/>
      <c r="G123" s="383"/>
      <c r="H123" s="383"/>
      <c r="I123" s="385" t="b">
        <v>1</v>
      </c>
      <c r="J123" s="386" t="s">
        <v>12044</v>
      </c>
    </row>
    <row r="124" spans="1:10">
      <c r="A124" s="383" t="str">
        <f>CONCATENATE("Reviewed on"," ",(TEXT('2022-2023 Applications Review'!$A124, "mm/dd/yyyy")))</f>
        <v>Reviewed on 08/09/2022</v>
      </c>
      <c r="B124" s="383" t="str">
        <f>'2022-2023 Applications Review'!B124</f>
        <v>ROCSOLE _2022</v>
      </c>
      <c r="C124" s="383" t="str">
        <f>'2022-2023 Applications Review'!E124</f>
        <v>Digital Tech</v>
      </c>
      <c r="D124" s="384" t="str">
        <f>'2022-2023 Applications Review'!Q124</f>
        <v>Invite</v>
      </c>
      <c r="E124" s="383"/>
      <c r="F124" s="383"/>
      <c r="G124" s="383"/>
      <c r="H124" s="383"/>
      <c r="I124" s="385" t="b">
        <v>1</v>
      </c>
      <c r="J124" s="386" t="s">
        <v>12045</v>
      </c>
    </row>
    <row r="125" spans="1:10">
      <c r="A125" s="383" t="str">
        <f>CONCATENATE("Reviewed on"," ",(TEXT('2022-2023 Applications Review'!$A125, "mm/dd/yyyy")))</f>
        <v>Reviewed on 08/09/2022</v>
      </c>
      <c r="B125" s="383" t="str">
        <f>'2022-2023 Applications Review'!B125</f>
        <v>SAYA Life _2022</v>
      </c>
      <c r="C125" s="383" t="str">
        <f>'2022-2023 Applications Review'!E125</f>
        <v>Deep Tech</v>
      </c>
      <c r="D125" s="384" t="str">
        <f>'2022-2023 Applications Review'!Q125</f>
        <v>Revisit/ Cluster</v>
      </c>
      <c r="E125" s="383"/>
      <c r="F125" s="383"/>
      <c r="G125" s="383"/>
      <c r="H125" s="383"/>
      <c r="I125" s="385" t="b">
        <v>1</v>
      </c>
      <c r="J125" s="386" t="s">
        <v>12046</v>
      </c>
    </row>
    <row r="126" spans="1:10">
      <c r="A126" s="383" t="str">
        <f>CONCATENATE("Reviewed on"," ",(TEXT('2022-2023 Applications Review'!$A126, "mm/dd/yyyy")))</f>
        <v>Reviewed on 08/09/2022</v>
      </c>
      <c r="B126" s="383" t="str">
        <f>'2022-2023 Applications Review'!B126</f>
        <v>Keyper _2022</v>
      </c>
      <c r="C126" s="383" t="str">
        <f>'2022-2023 Applications Review'!E126</f>
        <v>Digital Tech</v>
      </c>
      <c r="D126" s="384" t="str">
        <f>'2022-2023 Applications Review'!Q126</f>
        <v>Invite Next Year</v>
      </c>
      <c r="E126" s="383"/>
      <c r="F126" s="383"/>
      <c r="G126" s="383"/>
      <c r="H126" s="383"/>
      <c r="I126" s="385" t="b">
        <v>1</v>
      </c>
      <c r="J126" s="386" t="s">
        <v>12047</v>
      </c>
    </row>
    <row r="127" spans="1:10">
      <c r="A127" s="383" t="str">
        <f>CONCATENATE("Reviewed on"," ",(TEXT('2022-2023 Applications Review'!$A127, "mm/dd/yyyy")))</f>
        <v>Reviewed on 08/09/2022</v>
      </c>
      <c r="B127" s="383" t="str">
        <f>'2022-2023 Applications Review'!B127</f>
        <v>Gardian Technologies Pty Ltd _2022</v>
      </c>
      <c r="C127" s="383" t="str">
        <f>'2022-2023 Applications Review'!E127</f>
        <v>Digital Tech</v>
      </c>
      <c r="D127" s="384" t="str">
        <f>'2022-2023 Applications Review'!Q127</f>
        <v>Revisit/ Cluster</v>
      </c>
      <c r="E127" s="383"/>
      <c r="F127" s="383"/>
      <c r="G127" s="383"/>
      <c r="H127" s="383"/>
      <c r="I127" s="385" t="b">
        <v>1</v>
      </c>
      <c r="J127" s="386" t="s">
        <v>12048</v>
      </c>
    </row>
    <row r="128" spans="1:10">
      <c r="A128" s="383" t="str">
        <f>CONCATENATE("Reviewed on"," ",(TEXT('2022-2023 Applications Review'!$A128, "mm/dd/yyyy")))</f>
        <v>Reviewed on 08/09/2022</v>
      </c>
      <c r="B128" s="383" t="str">
        <f>'2022-2023 Applications Review'!B128</f>
        <v>Nomi Materials _2022</v>
      </c>
      <c r="C128" s="383" t="str">
        <f>'2022-2023 Applications Review'!E128</f>
        <v>Deep Tech</v>
      </c>
      <c r="D128" s="384" t="str">
        <f>'2022-2023 Applications Review'!Q128</f>
        <v>Invite Next Year</v>
      </c>
      <c r="E128" s="383"/>
      <c r="F128" s="383"/>
      <c r="G128" s="383"/>
      <c r="H128" s="383"/>
      <c r="I128" s="385" t="b">
        <v>1</v>
      </c>
      <c r="J128" s="386" t="s">
        <v>12049</v>
      </c>
    </row>
    <row r="129" spans="1:10">
      <c r="A129" s="383" t="str">
        <f>CONCATENATE("Reviewed on"," ",(TEXT('2022-2023 Applications Review'!$A129, "mm/dd/yyyy")))</f>
        <v>Reviewed on 08/09/2022</v>
      </c>
      <c r="B129" s="383" t="str">
        <f>'2022-2023 Applications Review'!B129</f>
        <v>FlyX Technologies Inc _2022</v>
      </c>
      <c r="C129" s="383" t="str">
        <f>'2022-2023 Applications Review'!E129</f>
        <v>Deep Tech</v>
      </c>
      <c r="D129" s="384" t="str">
        <f>'2022-2023 Applications Review'!Q129</f>
        <v>Invite</v>
      </c>
      <c r="E129" s="383"/>
      <c r="F129" s="383"/>
      <c r="G129" s="383"/>
      <c r="H129" s="383"/>
      <c r="I129" s="385" t="b">
        <v>1</v>
      </c>
      <c r="J129" s="386" t="s">
        <v>12050</v>
      </c>
    </row>
    <row r="130" spans="1:10">
      <c r="A130" s="383" t="str">
        <f>CONCATENATE("Reviewed on"," ",(TEXT('2022-2023 Applications Review'!$A130, "mm/dd/yyyy")))</f>
        <v>Reviewed on 08/09/2022</v>
      </c>
      <c r="B130" s="383" t="str">
        <f>'2022-2023 Applications Review'!B130</f>
        <v>Metfora _2022</v>
      </c>
      <c r="C130" s="383" t="str">
        <f>'2022-2023 Applications Review'!E130</f>
        <v>Life Sciences</v>
      </c>
      <c r="D130" s="384" t="str">
        <f>'2022-2023 Applications Review'!Q130</f>
        <v>Invite Next Year</v>
      </c>
      <c r="E130" s="383"/>
      <c r="F130" s="383"/>
      <c r="G130" s="383"/>
      <c r="H130" s="383"/>
      <c r="I130" s="385" t="b">
        <v>1</v>
      </c>
      <c r="J130" s="386" t="s">
        <v>12051</v>
      </c>
    </row>
    <row r="131" spans="1:10">
      <c r="A131" s="383" t="str">
        <f>CONCATENATE("Reviewed on"," ",(TEXT('2022-2023 Applications Review'!$A131, "mm/dd/yyyy")))</f>
        <v>Reviewed on 08/09/2022</v>
      </c>
      <c r="B131" s="383" t="str">
        <f>'2022-2023 Applications Review'!B131</f>
        <v>Oiler Equation _2022</v>
      </c>
      <c r="C131" s="383" t="str">
        <f>'2022-2023 Applications Review'!E131</f>
        <v>Digital Tech</v>
      </c>
      <c r="D131" s="384" t="str">
        <f>'2022-2023 Applications Review'!Q131</f>
        <v>Invite Next Year</v>
      </c>
      <c r="E131" s="383"/>
      <c r="F131" s="383"/>
      <c r="G131" s="383"/>
      <c r="H131" s="383"/>
      <c r="I131" s="385" t="b">
        <v>1</v>
      </c>
      <c r="J131" s="386" t="s">
        <v>12052</v>
      </c>
    </row>
    <row r="132" spans="1:10">
      <c r="A132" s="383" t="str">
        <f>CONCATENATE("Reviewed on"," ",(TEXT('2022-2023 Applications Review'!$A132, "mm/dd/yyyy")))</f>
        <v>Reviewed on 08/09/2022</v>
      </c>
      <c r="B132" s="383" t="str">
        <f>'2022-2023 Applications Review'!B132</f>
        <v>AIXSCAN _2022</v>
      </c>
      <c r="C132" s="383" t="str">
        <f>'2022-2023 Applications Review'!E132</f>
        <v>Deep Tech</v>
      </c>
      <c r="D132" s="384" t="str">
        <f>'2022-2023 Applications Review'!Q132</f>
        <v>Revisit/ Cluster</v>
      </c>
      <c r="E132" s="383"/>
      <c r="F132" s="383"/>
      <c r="G132" s="383"/>
      <c r="H132" s="383"/>
      <c r="I132" s="385" t="b">
        <v>1</v>
      </c>
      <c r="J132" s="386" t="s">
        <v>12053</v>
      </c>
    </row>
    <row r="133" spans="1:10">
      <c r="A133" s="383" t="str">
        <f>CONCATENATE("Reviewed on"," ",(TEXT('2022-2023 Applications Review'!$A133, "mm/dd/yyyy")))</f>
        <v>Reviewed on 08/09/2022</v>
      </c>
      <c r="B133" s="383" t="str">
        <f>'2022-2023 Applications Review'!B133</f>
        <v>Millibeam _2022</v>
      </c>
      <c r="C133" s="383" t="str">
        <f>'2022-2023 Applications Review'!E133</f>
        <v>Deep Tech</v>
      </c>
      <c r="D133" s="384" t="str">
        <f>'2022-2023 Applications Review'!Q133</f>
        <v>Invite Next Year</v>
      </c>
      <c r="E133" s="383"/>
      <c r="F133" s="383"/>
      <c r="G133" s="383"/>
      <c r="H133" s="383"/>
      <c r="I133" s="385" t="b">
        <v>1</v>
      </c>
      <c r="J133" s="386" t="s">
        <v>12054</v>
      </c>
    </row>
    <row r="134" spans="1:10">
      <c r="A134" s="383" t="str">
        <f>CONCATENATE("Reviewed on"," ",(TEXT('2022-2023 Applications Review'!$A134, "mm/dd/yyyy")))</f>
        <v>Reviewed on 08/09/2022</v>
      </c>
      <c r="B134" s="383" t="str">
        <f>'2022-2023 Applications Review'!B134</f>
        <v>Reyets: Social Justice Network _2022</v>
      </c>
      <c r="C134" s="383" t="str">
        <f>'2022-2023 Applications Review'!E134</f>
        <v>Digital Tech</v>
      </c>
      <c r="D134" s="384" t="str">
        <f>'2022-2023 Applications Review'!Q134</f>
        <v>Invite Next Year</v>
      </c>
      <c r="E134" s="383"/>
      <c r="F134" s="383"/>
      <c r="G134" s="383"/>
      <c r="H134" s="383"/>
      <c r="I134" s="385" t="b">
        <v>1</v>
      </c>
      <c r="J134" s="386" t="s">
        <v>12055</v>
      </c>
    </row>
    <row r="135" spans="1:10">
      <c r="A135" s="383" t="str">
        <f>CONCATENATE("Reviewed on"," ",(TEXT('2022-2023 Applications Review'!$A135, "mm/dd/yyyy")))</f>
        <v>Reviewed on 08/09/2022</v>
      </c>
      <c r="B135" s="383" t="str">
        <f>'2022-2023 Applications Review'!B135</f>
        <v>Seccuri _2022</v>
      </c>
      <c r="C135" s="383" t="str">
        <f>'2022-2023 Applications Review'!E135</f>
        <v>Digital Tech</v>
      </c>
      <c r="D135" s="384" t="str">
        <f>'2022-2023 Applications Review'!Q135</f>
        <v>Invite Next Year</v>
      </c>
      <c r="E135" s="383"/>
      <c r="F135" s="383"/>
      <c r="G135" s="383"/>
      <c r="H135" s="383"/>
      <c r="I135" s="385" t="b">
        <v>1</v>
      </c>
      <c r="J135" s="386" t="s">
        <v>12056</v>
      </c>
    </row>
    <row r="136" spans="1:10">
      <c r="A136" s="383" t="str">
        <f>CONCATENATE("Reviewed on"," ",(TEXT('2022-2023 Applications Review'!$A136, "mm/dd/yyyy")))</f>
        <v>Reviewed on 08/09/2022</v>
      </c>
      <c r="B136" s="383" t="str">
        <f>'2022-2023 Applications Review'!B136</f>
        <v>Suquino, Inc _2022</v>
      </c>
      <c r="C136" s="383" t="str">
        <f>'2022-2023 Applications Review'!E136</f>
        <v>Life Sciences</v>
      </c>
      <c r="D136" s="384" t="str">
        <f>'2022-2023 Applications Review'!Q136</f>
        <v>Invite Next Year</v>
      </c>
      <c r="E136" s="383"/>
      <c r="F136" s="383"/>
      <c r="G136" s="383"/>
      <c r="H136" s="383"/>
      <c r="I136" s="385" t="b">
        <v>1</v>
      </c>
      <c r="J136" s="386" t="s">
        <v>12057</v>
      </c>
    </row>
    <row r="137" spans="1:10">
      <c r="A137" s="383" t="str">
        <f>CONCATENATE("Reviewed on"," ",(TEXT('2022-2023 Applications Review'!$A137, "mm/dd/yyyy")))</f>
        <v>Reviewed on 08/09/2022</v>
      </c>
      <c r="B137" s="383" t="str">
        <f>'2022-2023 Applications Review'!B137</f>
        <v>Biodesign Innovation Labs _2022</v>
      </c>
      <c r="C137" s="383" t="str">
        <f>'2022-2023 Applications Review'!E137</f>
        <v>Life Sciences</v>
      </c>
      <c r="D137" s="384" t="str">
        <f>'2022-2023 Applications Review'!Q137</f>
        <v>Revisit/ Cluster</v>
      </c>
      <c r="E137" s="383"/>
      <c r="F137" s="383"/>
      <c r="G137" s="383"/>
      <c r="H137" s="383"/>
      <c r="I137" s="385" t="b">
        <v>1</v>
      </c>
      <c r="J137" s="386" t="s">
        <v>12058</v>
      </c>
    </row>
    <row r="138" spans="1:10">
      <c r="A138" s="383" t="str">
        <f>CONCATENATE("Reviewed on"," ",(TEXT('2022-2023 Applications Review'!$A138, "mm/dd/yyyy")))</f>
        <v>Reviewed on 08/09/2022</v>
      </c>
      <c r="B138" s="383" t="str">
        <f>'2022-2023 Applications Review'!B138</f>
        <v>Terra Carbon Development, Inc. _2022</v>
      </c>
      <c r="C138" s="383" t="str">
        <f>'2022-2023 Applications Review'!E138</f>
        <v>Deep Tech</v>
      </c>
      <c r="D138" s="384" t="str">
        <f>'2022-2023 Applications Review'!Q138</f>
        <v>Invite Next Year</v>
      </c>
      <c r="E138" s="383"/>
      <c r="F138" s="383"/>
      <c r="G138" s="383"/>
      <c r="H138" s="383"/>
      <c r="I138" s="385" t="b">
        <v>1</v>
      </c>
      <c r="J138" s="386" t="s">
        <v>12059</v>
      </c>
    </row>
    <row r="139" spans="1:10">
      <c r="A139" s="383" t="str">
        <f>CONCATENATE("Reviewed on"," ",(TEXT('2022-2023 Applications Review'!$A139, "mm/dd/yyyy")))</f>
        <v>Reviewed on 08/09/2022</v>
      </c>
      <c r="B139" s="383" t="str">
        <f>'2022-2023 Applications Review'!B139</f>
        <v>ABBY by GOGOTECH _2022</v>
      </c>
      <c r="C139" s="383" t="str">
        <f>'2022-2023 Applications Review'!E139</f>
        <v>Deep Tech</v>
      </c>
      <c r="D139" s="384" t="str">
        <f>'2022-2023 Applications Review'!Q139</f>
        <v>Invite Next Year</v>
      </c>
      <c r="E139" s="383"/>
      <c r="F139" s="383"/>
      <c r="G139" s="383"/>
      <c r="H139" s="383"/>
      <c r="I139" s="385" t="b">
        <v>1</v>
      </c>
      <c r="J139" s="386" t="s">
        <v>12060</v>
      </c>
    </row>
    <row r="140" spans="1:10">
      <c r="A140" s="383" t="str">
        <f>CONCATENATE("Reviewed on"," ",(TEXT('2022-2023 Applications Review'!$A140, "mm/dd/yyyy")))</f>
        <v>Reviewed on 08/09/2022</v>
      </c>
      <c r="B140" s="383" t="str">
        <f>'2022-2023 Applications Review'!B140</f>
        <v>Lifeline Robotics _2022</v>
      </c>
      <c r="C140" s="383" t="str">
        <f>'2022-2023 Applications Review'!E140</f>
        <v>Life Sciences</v>
      </c>
      <c r="D140" s="384" t="str">
        <f>'2022-2023 Applications Review'!Q140</f>
        <v>Revisit</v>
      </c>
      <c r="E140" s="383"/>
      <c r="F140" s="383"/>
      <c r="G140" s="383"/>
      <c r="H140" s="383"/>
      <c r="I140" s="385" t="b">
        <v>1</v>
      </c>
      <c r="J140" s="386" t="s">
        <v>12061</v>
      </c>
    </row>
    <row r="141" spans="1:10">
      <c r="A141" s="383" t="str">
        <f>CONCATENATE("Reviewed on"," ",(TEXT('2022-2023 Applications Review'!$A141, "mm/dd/yyyy")))</f>
        <v>Reviewed on 08/09/2022</v>
      </c>
      <c r="B141" s="383" t="str">
        <f>'2022-2023 Applications Review'!B141</f>
        <v>Veyond Metaverse, Inc _2022</v>
      </c>
      <c r="C141" s="383" t="str">
        <f>'2022-2023 Applications Review'!E141</f>
        <v>Deep Tech</v>
      </c>
      <c r="D141" s="384" t="str">
        <f>'2022-2023 Applications Review'!Q141</f>
        <v>Revisit</v>
      </c>
      <c r="E141" s="383"/>
      <c r="F141" s="383"/>
      <c r="G141" s="383"/>
      <c r="H141" s="383"/>
      <c r="I141" s="385" t="b">
        <v>1</v>
      </c>
      <c r="J141" s="386" t="s">
        <v>12062</v>
      </c>
    </row>
    <row r="142" spans="1:10">
      <c r="A142" s="383" t="str">
        <f>CONCATENATE("Reviewed on"," ",(TEXT('2022-2023 Applications Review'!$A142, "mm/dd/yyyy")))</f>
        <v>Reviewed on 08/09/2022</v>
      </c>
      <c r="B142" s="383" t="str">
        <f>'2022-2023 Applications Review'!B142</f>
        <v>Beacon Street Innovations _2022</v>
      </c>
      <c r="C142" s="383" t="str">
        <f>'2022-2023 Applications Review'!E142</f>
        <v>Deep Tech</v>
      </c>
      <c r="D142" s="384" t="str">
        <f>'2022-2023 Applications Review'!Q142</f>
        <v>Invite Next Year</v>
      </c>
      <c r="E142" s="383"/>
      <c r="F142" s="383"/>
      <c r="G142" s="383"/>
      <c r="H142" s="383"/>
      <c r="I142" s="385" t="b">
        <v>1</v>
      </c>
      <c r="J142" s="386" t="s">
        <v>12063</v>
      </c>
    </row>
    <row r="143" spans="1:10">
      <c r="A143" s="383" t="str">
        <f>CONCATENATE("Reviewed on"," ",(TEXT('2022-2023 Applications Review'!$A143, "mm/dd/yyyy")))</f>
        <v>Reviewed on 08/09/2022</v>
      </c>
      <c r="B143" s="383" t="str">
        <f>'2022-2023 Applications Review'!B143</f>
        <v>Coala Pay _2022</v>
      </c>
      <c r="C143" s="383" t="str">
        <f>'2022-2023 Applications Review'!E143</f>
        <v>Digital Tech</v>
      </c>
      <c r="D143" s="384" t="str">
        <f>'2022-2023 Applications Review'!Q143</f>
        <v>Invite Next Year</v>
      </c>
      <c r="E143" s="383"/>
      <c r="F143" s="383"/>
      <c r="G143" s="383"/>
      <c r="H143" s="383"/>
      <c r="I143" s="385" t="b">
        <v>1</v>
      </c>
      <c r="J143" s="386" t="s">
        <v>12064</v>
      </c>
    </row>
    <row r="144" spans="1:10">
      <c r="A144" s="383" t="str">
        <f>CONCATENATE("Reviewed on"," ",(TEXT('2022-2023 Applications Review'!$A144, "mm/dd/yyyy")))</f>
        <v>Reviewed on 08/09/2022</v>
      </c>
      <c r="B144" s="383" t="str">
        <f>'2022-2023 Applications Review'!B144</f>
        <v>Strayos _2022</v>
      </c>
      <c r="C144" s="383" t="str">
        <f>'2022-2023 Applications Review'!E144</f>
        <v>Deep Tech</v>
      </c>
      <c r="D144" s="384" t="str">
        <f>'2022-2023 Applications Review'!Q144</f>
        <v>Revisit</v>
      </c>
      <c r="E144" s="383"/>
      <c r="F144" s="383"/>
      <c r="G144" s="383"/>
      <c r="H144" s="383"/>
      <c r="I144" s="385" t="b">
        <v>1</v>
      </c>
      <c r="J144" s="386" t="s">
        <v>12065</v>
      </c>
    </row>
    <row r="145" spans="1:10">
      <c r="A145" s="383" t="str">
        <f>CONCATENATE("Reviewed on"," ",(TEXT('2022-2023 Applications Review'!$A145, "mm/dd/yyyy")))</f>
        <v>Reviewed on 08/09/2022</v>
      </c>
      <c r="B145" s="383" t="str">
        <f>'2022-2023 Applications Review'!B145</f>
        <v>QuantumCat Co., Ltd. _2022</v>
      </c>
      <c r="C145" s="383" t="str">
        <f>'2022-2023 Applications Review'!E145</f>
        <v>Deep Tech</v>
      </c>
      <c r="D145" s="384" t="str">
        <f>'2022-2023 Applications Review'!Q145</f>
        <v>Invite Next Year</v>
      </c>
      <c r="E145" s="383"/>
      <c r="F145" s="383"/>
      <c r="G145" s="383"/>
      <c r="H145" s="383"/>
      <c r="I145" s="385" t="b">
        <v>1</v>
      </c>
      <c r="J145" s="386" t="s">
        <v>12066</v>
      </c>
    </row>
    <row r="146" spans="1:10">
      <c r="A146" s="383" t="str">
        <f>CONCATENATE("Reviewed on"," ",(TEXT('2022-2023 Applications Review'!$A146, "mm/dd/yyyy")))</f>
        <v>Reviewed on 08/09/2022</v>
      </c>
      <c r="B146" s="383" t="str">
        <f>'2022-2023 Applications Review'!B146</f>
        <v>AGICortex _2022</v>
      </c>
      <c r="C146" s="383" t="str">
        <f>'2022-2023 Applications Review'!E146</f>
        <v>Digital Tech</v>
      </c>
      <c r="D146" s="384" t="str">
        <f>'2022-2023 Applications Review'!Q146</f>
        <v>Invite Next Year</v>
      </c>
      <c r="E146" s="383"/>
      <c r="F146" s="383"/>
      <c r="G146" s="383"/>
      <c r="H146" s="383"/>
      <c r="I146" s="385" t="b">
        <v>1</v>
      </c>
      <c r="J146" s="386" t="s">
        <v>12067</v>
      </c>
    </row>
    <row r="147" spans="1:10">
      <c r="A147" s="383" t="str">
        <f>CONCATENATE("Reviewed on"," ",(TEXT('2022-2023 Applications Review'!$A147, "mm/dd/yyyy")))</f>
        <v>Reviewed on 08/09/2022</v>
      </c>
      <c r="B147" s="383" t="str">
        <f>'2022-2023 Applications Review'!B147</f>
        <v>Kaveat _2022</v>
      </c>
      <c r="C147" s="383" t="str">
        <f>'2022-2023 Applications Review'!E147</f>
        <v>Digital Tech</v>
      </c>
      <c r="D147" s="384" t="str">
        <f>'2022-2023 Applications Review'!Q147</f>
        <v>Invite Next Year</v>
      </c>
      <c r="E147" s="383"/>
      <c r="F147" s="383"/>
      <c r="G147" s="383"/>
      <c r="H147" s="383"/>
      <c r="I147" s="385" t="b">
        <v>1</v>
      </c>
      <c r="J147" s="386" t="s">
        <v>12068</v>
      </c>
    </row>
    <row r="148" spans="1:10">
      <c r="A148" s="383" t="str">
        <f>CONCATENATE("Reviewed on"," ",(TEXT('2022-2023 Applications Review'!$A148, "mm/dd/yyyy")))</f>
        <v>Reviewed on 08/09/2022</v>
      </c>
      <c r="B148" s="383" t="str">
        <f>'2022-2023 Applications Review'!B148</f>
        <v>Meili Technologies _2022</v>
      </c>
      <c r="C148" s="383" t="str">
        <f>'2022-2023 Applications Review'!E148</f>
        <v>Deep Tech</v>
      </c>
      <c r="D148" s="384" t="str">
        <f>'2022-2023 Applications Review'!Q148</f>
        <v>Invite Next Year</v>
      </c>
      <c r="E148" s="383"/>
      <c r="F148" s="383"/>
      <c r="G148" s="383"/>
      <c r="H148" s="383"/>
      <c r="I148" s="385" t="b">
        <v>1</v>
      </c>
      <c r="J148" s="386" t="s">
        <v>12069</v>
      </c>
    </row>
    <row r="149" spans="1:10">
      <c r="A149" s="383" t="str">
        <f>CONCATENATE("Reviewed on"," ",(TEXT('2022-2023 Applications Review'!$A149, "mm/dd/yyyy")))</f>
        <v>Reviewed on 08/09/2022</v>
      </c>
      <c r="B149" s="383" t="str">
        <f>'2022-2023 Applications Review'!B149</f>
        <v>Augment Health, Inc. _2022</v>
      </c>
      <c r="C149" s="383" t="str">
        <f>'2022-2023 Applications Review'!E149</f>
        <v>Deep Tech</v>
      </c>
      <c r="D149" s="384" t="str">
        <f>'2022-2023 Applications Review'!Q149</f>
        <v>Invite Next Year</v>
      </c>
      <c r="E149" s="383"/>
      <c r="F149" s="383"/>
      <c r="G149" s="383"/>
      <c r="H149" s="383"/>
      <c r="I149" s="385" t="b">
        <v>1</v>
      </c>
      <c r="J149" s="386" t="s">
        <v>12070</v>
      </c>
    </row>
    <row r="150" spans="1:10">
      <c r="A150" s="383" t="str">
        <f>CONCATENATE("Reviewed on"," ",(TEXT('2022-2023 Applications Review'!$A150, "mm/dd/yyyy")))</f>
        <v>Reviewed on 08/09/2022</v>
      </c>
      <c r="B150" s="383" t="str">
        <f>'2022-2023 Applications Review'!B150</f>
        <v>Diversican Corporation _2022</v>
      </c>
      <c r="C150" s="383" t="str">
        <f>'2022-2023 Applications Review'!E150</f>
        <v>Deep Tech</v>
      </c>
      <c r="D150" s="384" t="str">
        <f>'2022-2023 Applications Review'!Q150</f>
        <v>Invite Next Year</v>
      </c>
      <c r="E150" s="383"/>
      <c r="F150" s="383"/>
      <c r="G150" s="383"/>
      <c r="H150" s="383"/>
      <c r="I150" s="385" t="b">
        <v>1</v>
      </c>
      <c r="J150" s="386" t="s">
        <v>12071</v>
      </c>
    </row>
    <row r="151" spans="1:10">
      <c r="A151" s="383" t="str">
        <f>CONCATENATE("Reviewed on"," ",(TEXT('2022-2023 Applications Review'!$A151, "mm/dd/yyyy")))</f>
        <v>Reviewed on 08/09/2022</v>
      </c>
      <c r="B151" s="383" t="str">
        <f>'2022-2023 Applications Review'!B151</f>
        <v>Sahara Cloud _2022</v>
      </c>
      <c r="C151" s="383" t="str">
        <f>'2022-2023 Applications Review'!E151</f>
        <v>Digital Tech</v>
      </c>
      <c r="D151" s="384" t="str">
        <f>'2022-2023 Applications Review'!Q151</f>
        <v>Special Reject</v>
      </c>
      <c r="E151" s="383"/>
      <c r="F151" s="383"/>
      <c r="G151" s="383"/>
      <c r="H151" s="383"/>
      <c r="I151" s="385" t="b">
        <v>1</v>
      </c>
      <c r="J151" s="386" t="s">
        <v>12072</v>
      </c>
    </row>
    <row r="152" spans="1:10">
      <c r="A152" s="383" t="str">
        <f>CONCATENATE("Reviewed on"," ",(TEXT('2022-2023 Applications Review'!$A152, "mm/dd/yyyy")))</f>
        <v>Reviewed on 08/09/2022</v>
      </c>
      <c r="B152" s="383" t="str">
        <f>'2022-2023 Applications Review'!B152</f>
        <v>Soli _2022</v>
      </c>
      <c r="C152" s="383" t="str">
        <f>'2022-2023 Applications Review'!E152</f>
        <v>Digital Tech</v>
      </c>
      <c r="D152" s="384" t="str">
        <f>'2022-2023 Applications Review'!Q152</f>
        <v>Invite Next Year</v>
      </c>
      <c r="E152" s="383"/>
      <c r="F152" s="383"/>
      <c r="G152" s="383"/>
      <c r="H152" s="383"/>
      <c r="I152" s="385" t="b">
        <v>1</v>
      </c>
      <c r="J152" s="386" t="s">
        <v>12073</v>
      </c>
    </row>
    <row r="153" spans="1:10">
      <c r="A153" s="383" t="str">
        <f>CONCATENATE("Reviewed on"," ",(TEXT('2022-2023 Applications Review'!$A153, "mm/dd/yyyy")))</f>
        <v>Reviewed on 08/09/2022</v>
      </c>
      <c r="B153" s="383" t="str">
        <f>'2022-2023 Applications Review'!B153</f>
        <v>PACE Inc. _2022</v>
      </c>
      <c r="C153" s="383" t="str">
        <f>'2022-2023 Applications Review'!E153</f>
        <v>Deep Tech</v>
      </c>
      <c r="D153" s="384" t="str">
        <f>'2022-2023 Applications Review'!Q153</f>
        <v>Invite Next Year</v>
      </c>
      <c r="E153" s="383"/>
      <c r="F153" s="383"/>
      <c r="G153" s="383"/>
      <c r="H153" s="383"/>
      <c r="I153" s="385" t="b">
        <v>1</v>
      </c>
      <c r="J153" s="386" t="s">
        <v>12074</v>
      </c>
    </row>
    <row r="154" spans="1:10">
      <c r="A154" s="383" t="str">
        <f>CONCATENATE("Reviewed on"," ",(TEXT('2022-2023 Applications Review'!$A154, "mm/dd/yyyy")))</f>
        <v>Reviewed on 08/09/2022</v>
      </c>
      <c r="B154" s="383" t="str">
        <f>'2022-2023 Applications Review'!B154</f>
        <v>Parrots Inc. _2022</v>
      </c>
      <c r="C154" s="383" t="str">
        <f>'2022-2023 Applications Review'!E154</f>
        <v>Life Sciences</v>
      </c>
      <c r="D154" s="384" t="str">
        <f>'2022-2023 Applications Review'!Q154</f>
        <v>Invite Next Year</v>
      </c>
      <c r="E154" s="383"/>
      <c r="F154" s="383"/>
      <c r="G154" s="383"/>
      <c r="H154" s="383"/>
      <c r="I154" s="385" t="b">
        <v>1</v>
      </c>
      <c r="J154" s="386" t="s">
        <v>12075</v>
      </c>
    </row>
    <row r="155" spans="1:10">
      <c r="A155" s="383" t="str">
        <f>CONCATENATE("Reviewed on"," ",(TEXT('2022-2023 Applications Review'!$A155, "mm/dd/yyyy")))</f>
        <v>Reviewed on 08/09/2022</v>
      </c>
      <c r="B155" s="383" t="str">
        <f>'2022-2023 Applications Review'!B155</f>
        <v>3 Ridge Technologies _2022</v>
      </c>
      <c r="C155" s="383" t="str">
        <f>'2022-2023 Applications Review'!E155</f>
        <v>Life Sciences</v>
      </c>
      <c r="D155" s="384" t="str">
        <f>'2022-2023 Applications Review'!Q155</f>
        <v>Revisit/ Cluster</v>
      </c>
      <c r="E155" s="383"/>
      <c r="F155" s="383"/>
      <c r="G155" s="383"/>
      <c r="H155" s="383"/>
      <c r="I155" s="385" t="b">
        <v>1</v>
      </c>
      <c r="J155" s="386" t="s">
        <v>12076</v>
      </c>
    </row>
    <row r="156" spans="1:10">
      <c r="A156" s="383" t="str">
        <f>CONCATENATE("Reviewed on"," ",(TEXT('2022-2023 Applications Review'!$A156, "mm/dd/yyyy")))</f>
        <v>Reviewed on 08/09/2022</v>
      </c>
      <c r="B156" s="383" t="str">
        <f>'2022-2023 Applications Review'!B156</f>
        <v>Propelle Therapeutics, Inc. _2022</v>
      </c>
      <c r="C156" s="383" t="str">
        <f>'2022-2023 Applications Review'!E156</f>
        <v>Life Sciences</v>
      </c>
      <c r="D156" s="384" t="str">
        <f>'2022-2023 Applications Review'!Q156</f>
        <v>Revisit</v>
      </c>
      <c r="E156" s="383"/>
      <c r="F156" s="383"/>
      <c r="G156" s="383"/>
      <c r="H156" s="383"/>
      <c r="I156" s="385" t="b">
        <v>1</v>
      </c>
      <c r="J156" s="386" t="s">
        <v>12077</v>
      </c>
    </row>
    <row r="157" spans="1:10">
      <c r="A157" s="383" t="str">
        <f>CONCATENATE("Reviewed on"," ",(TEXT('2022-2023 Applications Review'!$A157, "mm/dd/yyyy")))</f>
        <v>Reviewed on 08/09/2022</v>
      </c>
      <c r="B157" s="383" t="str">
        <f>'2022-2023 Applications Review'!B157</f>
        <v>Mana.bio _2022</v>
      </c>
      <c r="C157" s="383" t="str">
        <f>'2022-2023 Applications Review'!E157</f>
        <v>Life Sciences</v>
      </c>
      <c r="D157" s="384" t="str">
        <f>'2022-2023 Applications Review'!Q157</f>
        <v>Special Reject</v>
      </c>
      <c r="E157" s="383"/>
      <c r="F157" s="383"/>
      <c r="G157" s="383"/>
      <c r="H157" s="383"/>
      <c r="I157" s="385" t="b">
        <v>1</v>
      </c>
      <c r="J157" s="386" t="s">
        <v>12078</v>
      </c>
    </row>
    <row r="158" spans="1:10">
      <c r="A158" s="383" t="str">
        <f>CONCATENATE("Reviewed on"," ",(TEXT('2022-2023 Applications Review'!$A158, "mm/dd/yyyy")))</f>
        <v>Reviewed on 08/09/2022</v>
      </c>
      <c r="B158" s="383" t="str">
        <f>'2022-2023 Applications Review'!B158</f>
        <v>IOTE2E INC _2022</v>
      </c>
      <c r="C158" s="383" t="str">
        <f>'2022-2023 Applications Review'!E158</f>
        <v>Deep Tech</v>
      </c>
      <c r="D158" s="384" t="str">
        <f>'2022-2023 Applications Review'!Q158</f>
        <v>Invite Next Year</v>
      </c>
      <c r="E158" s="383"/>
      <c r="F158" s="383"/>
      <c r="G158" s="383"/>
      <c r="H158" s="383"/>
      <c r="I158" s="385" t="b">
        <v>1</v>
      </c>
      <c r="J158" s="386" t="s">
        <v>12079</v>
      </c>
    </row>
    <row r="159" spans="1:10">
      <c r="A159" s="383" t="str">
        <f>CONCATENATE("Reviewed on"," ",(TEXT('2022-2023 Applications Review'!$A159, "mm/dd/yyyy")))</f>
        <v>Reviewed on 08/09/2022</v>
      </c>
      <c r="B159" s="383" t="str">
        <f>'2022-2023 Applications Review'!B159</f>
        <v>Meta Carbon Inc _2022</v>
      </c>
      <c r="C159" s="383" t="str">
        <f>'2022-2023 Applications Review'!E159</f>
        <v>Digital Tech</v>
      </c>
      <c r="D159" s="384" t="str">
        <f>'2022-2023 Applications Review'!Q159</f>
        <v>Invite Next Year</v>
      </c>
      <c r="E159" s="383"/>
      <c r="F159" s="383"/>
      <c r="G159" s="383"/>
      <c r="H159" s="383"/>
      <c r="I159" s="385" t="b">
        <v>1</v>
      </c>
      <c r="J159" s="386" t="s">
        <v>12080</v>
      </c>
    </row>
    <row r="160" spans="1:10">
      <c r="A160" s="383" t="str">
        <f>CONCATENATE("Reviewed on"," ",(TEXT('2022-2023 Applications Review'!$A160, "mm/dd/yyyy")))</f>
        <v>Reviewed on 08/09/2022</v>
      </c>
      <c r="B160" s="383" t="str">
        <f>'2022-2023 Applications Review'!B160</f>
        <v>Fiomet Ventures, Inc. _2022</v>
      </c>
      <c r="C160" s="383" t="str">
        <f>'2022-2023 Applications Review'!E160</f>
        <v>Digital Tech</v>
      </c>
      <c r="D160" s="384" t="str">
        <f>'2022-2023 Applications Review'!Q160</f>
        <v>Invite Next Year</v>
      </c>
      <c r="E160" s="383"/>
      <c r="F160" s="383"/>
      <c r="G160" s="383"/>
      <c r="H160" s="383"/>
      <c r="I160" s="385" t="b">
        <v>1</v>
      </c>
      <c r="J160" s="386" t="s">
        <v>12081</v>
      </c>
    </row>
    <row r="161" spans="1:10">
      <c r="A161" s="383" t="str">
        <f>CONCATENATE("Reviewed on"," ",(TEXT('2022-2023 Applications Review'!$A161, "mm/dd/yyyy")))</f>
        <v>Reviewed on 08/09/2022</v>
      </c>
      <c r="B161" s="383" t="str">
        <f>'2022-2023 Applications Review'!B161</f>
        <v>Helical Fusion Co., Ltd. _2022</v>
      </c>
      <c r="C161" s="383" t="str">
        <f>'2022-2023 Applications Review'!E161</f>
        <v>Deep Tech</v>
      </c>
      <c r="D161" s="384" t="str">
        <f>'2022-2023 Applications Review'!Q161</f>
        <v>Invite Next Year</v>
      </c>
      <c r="E161" s="383"/>
      <c r="F161" s="383"/>
      <c r="G161" s="383"/>
      <c r="H161" s="383"/>
      <c r="I161" s="385" t="b">
        <v>1</v>
      </c>
      <c r="J161" s="386" t="s">
        <v>12082</v>
      </c>
    </row>
    <row r="162" spans="1:10">
      <c r="A162" s="383" t="str">
        <f>CONCATENATE("Reviewed on"," ",(TEXT('2022-2023 Applications Review'!$A162, "mm/dd/yyyy")))</f>
        <v>Reviewed on 08/09/2022</v>
      </c>
      <c r="B162" s="383" t="str">
        <f>'2022-2023 Applications Review'!B162</f>
        <v>Hudson Space Systems _2022</v>
      </c>
      <c r="C162" s="383" t="str">
        <f>'2022-2023 Applications Review'!E162</f>
        <v>Deep Tech</v>
      </c>
      <c r="D162" s="384" t="str">
        <f>'2022-2023 Applications Review'!Q162</f>
        <v>Invite Next Year</v>
      </c>
      <c r="E162" s="383"/>
      <c r="F162" s="383"/>
      <c r="G162" s="383"/>
      <c r="H162" s="383"/>
      <c r="I162" s="385" t="b">
        <v>1</v>
      </c>
      <c r="J162" s="386" t="s">
        <v>12083</v>
      </c>
    </row>
    <row r="163" spans="1:10">
      <c r="A163" s="383" t="str">
        <f>CONCATENATE("Reviewed on"," ",(TEXT('2022-2023 Applications Review'!$A163, "mm/dd/yyyy")))</f>
        <v>Reviewed on 08/09/2022</v>
      </c>
      <c r="B163" s="383" t="str">
        <f>'2022-2023 Applications Review'!B163</f>
        <v>Sleep Easy Technology Inc. _2022</v>
      </c>
      <c r="C163" s="383" t="str">
        <f>'2022-2023 Applications Review'!E163</f>
        <v>Deep Tech</v>
      </c>
      <c r="D163" s="384" t="str">
        <f>'2022-2023 Applications Review'!Q163</f>
        <v>Invite Next Year</v>
      </c>
      <c r="E163" s="383"/>
      <c r="F163" s="383"/>
      <c r="G163" s="383"/>
      <c r="H163" s="383"/>
      <c r="I163" s="385" t="b">
        <v>1</v>
      </c>
      <c r="J163" s="386" t="s">
        <v>12084</v>
      </c>
    </row>
    <row r="164" spans="1:10">
      <c r="A164" s="383" t="str">
        <f>CONCATENATE("Reviewed on"," ",(TEXT('2022-2023 Applications Review'!$A164, "mm/dd/yyyy")))</f>
        <v>Reviewed on 08/09/2022</v>
      </c>
      <c r="B164" s="383" t="str">
        <f>'2022-2023 Applications Review'!B164</f>
        <v>CF Foods Group _2022</v>
      </c>
      <c r="C164" s="383" t="str">
        <f>'2022-2023 Applications Review'!E164</f>
        <v>Life Sciences</v>
      </c>
      <c r="D164" s="384" t="str">
        <f>'2022-2023 Applications Review'!Q164</f>
        <v>Invite Next Year</v>
      </c>
      <c r="E164" s="383"/>
      <c r="F164" s="383"/>
      <c r="G164" s="383"/>
      <c r="H164" s="383"/>
      <c r="I164" s="385" t="b">
        <v>1</v>
      </c>
      <c r="J164" s="386" t="s">
        <v>12085</v>
      </c>
    </row>
    <row r="165" spans="1:10">
      <c r="A165" s="383" t="str">
        <f>CONCATENATE("Reviewed on"," ",(TEXT('2022-2023 Applications Review'!$A165, "mm/dd/yyyy")))</f>
        <v>Reviewed on 08/09/2022</v>
      </c>
      <c r="B165" s="383" t="str">
        <f>'2022-2023 Applications Review'!B165</f>
        <v>Visuo _2022</v>
      </c>
      <c r="C165" s="383" t="str">
        <f>'2022-2023 Applications Review'!E165</f>
        <v>Digital Tech</v>
      </c>
      <c r="D165" s="384" t="str">
        <f>'2022-2023 Applications Review'!Q165</f>
        <v>Invite Next Year</v>
      </c>
      <c r="E165" s="383"/>
      <c r="F165" s="383"/>
      <c r="G165" s="383"/>
      <c r="H165" s="383"/>
      <c r="I165" s="385" t="b">
        <v>1</v>
      </c>
      <c r="J165" s="386" t="s">
        <v>12086</v>
      </c>
    </row>
    <row r="166" spans="1:10">
      <c r="A166" s="383" t="str">
        <f>CONCATENATE("Reviewed on"," ",(TEXT('2022-2023 Applications Review'!$A166, "mm/dd/yyyy")))</f>
        <v>Reviewed on 08/09/2022</v>
      </c>
      <c r="B166" s="383" t="str">
        <f>'2022-2023 Applications Review'!B166</f>
        <v>Rensselaer Polytechnic Institute _2022</v>
      </c>
      <c r="C166" s="383" t="str">
        <f>'2022-2023 Applications Review'!E166</f>
        <v>Deep Tech</v>
      </c>
      <c r="D166" s="384" t="str">
        <f>'2022-2023 Applications Review'!Q166</f>
        <v>Invite Next Year</v>
      </c>
      <c r="E166" s="383"/>
      <c r="F166" s="383"/>
      <c r="G166" s="383"/>
      <c r="H166" s="383"/>
      <c r="I166" s="385" t="b">
        <v>1</v>
      </c>
      <c r="J166" s="386" t="s">
        <v>12087</v>
      </c>
    </row>
    <row r="167" spans="1:10">
      <c r="A167" s="383" t="str">
        <f>CONCATENATE("Reviewed on"," ",(TEXT('2022-2023 Applications Review'!$A167, "mm/dd/yyyy")))</f>
        <v>Reviewed on 08/09/2022</v>
      </c>
      <c r="B167" s="383" t="str">
        <f>'2022-2023 Applications Review'!B167</f>
        <v>nmodes _2022</v>
      </c>
      <c r="C167" s="383" t="str">
        <f>'2022-2023 Applications Review'!E167</f>
        <v>Digital Tech</v>
      </c>
      <c r="D167" s="384" t="str">
        <f>'2022-2023 Applications Review'!Q167</f>
        <v>Invite Next Year</v>
      </c>
      <c r="E167" s="383"/>
      <c r="F167" s="383"/>
      <c r="G167" s="383"/>
      <c r="H167" s="383"/>
      <c r="I167" s="385" t="b">
        <v>1</v>
      </c>
      <c r="J167" s="386" t="s">
        <v>12088</v>
      </c>
    </row>
    <row r="168" spans="1:10">
      <c r="A168" s="383" t="str">
        <f>CONCATENATE("Reviewed on"," ",(TEXT('2022-2023 Applications Review'!$A168, "mm/dd/yyyy")))</f>
        <v>Reviewed on 08/09/2022</v>
      </c>
      <c r="B168" s="383" t="str">
        <f>'2022-2023 Applications Review'!B168</f>
        <v>Yodacart _2022</v>
      </c>
      <c r="C168" s="383" t="str">
        <f>'2022-2023 Applications Review'!E168</f>
        <v>Digital Tech</v>
      </c>
      <c r="D168" s="384" t="str">
        <f>'2022-2023 Applications Review'!Q168</f>
        <v>Invite Next Year</v>
      </c>
      <c r="E168" s="383"/>
      <c r="F168" s="383"/>
      <c r="G168" s="383"/>
      <c r="H168" s="383"/>
      <c r="I168" s="385" t="b">
        <v>1</v>
      </c>
      <c r="J168" s="386" t="s">
        <v>12089</v>
      </c>
    </row>
    <row r="169" spans="1:10">
      <c r="A169" s="383" t="str">
        <f>CONCATENATE("Reviewed on"," ",(TEXT('2022-2023 Applications Review'!$A169, "mm/dd/yyyy")))</f>
        <v>Reviewed on 08/09/2022</v>
      </c>
      <c r="B169" s="383" t="str">
        <f>'2022-2023 Applications Review'!B169</f>
        <v>Xtellix, Inc _2022</v>
      </c>
      <c r="C169" s="383" t="str">
        <f>'2022-2023 Applications Review'!E169</f>
        <v>Deep Tech</v>
      </c>
      <c r="D169" s="384" t="str">
        <f>'2022-2023 Applications Review'!Q169</f>
        <v>Revisit/ Cluster</v>
      </c>
      <c r="E169" s="383"/>
      <c r="F169" s="383"/>
      <c r="G169" s="383"/>
      <c r="H169" s="383"/>
      <c r="I169" s="385" t="b">
        <v>1</v>
      </c>
      <c r="J169" s="386" t="s">
        <v>12090</v>
      </c>
    </row>
    <row r="170" spans="1:10">
      <c r="A170" s="383" t="str">
        <f>CONCATENATE("Reviewed on"," ",(TEXT('2022-2023 Applications Review'!$A170, "mm/dd/yyyy")))</f>
        <v>Reviewed on 08/09/2022</v>
      </c>
      <c r="B170" s="383" t="str">
        <f>'2022-2023 Applications Review'!B170</f>
        <v>ViBo Health _2022</v>
      </c>
      <c r="C170" s="383" t="str">
        <f>'2022-2023 Applications Review'!E170</f>
        <v>Life Sciences</v>
      </c>
      <c r="D170" s="384" t="str">
        <f>'2022-2023 Applications Review'!Q170</f>
        <v>Invite Next Year</v>
      </c>
      <c r="E170" s="383"/>
      <c r="F170" s="383"/>
      <c r="G170" s="383"/>
      <c r="H170" s="383"/>
      <c r="I170" s="385" t="b">
        <v>1</v>
      </c>
      <c r="J170" s="386" t="s">
        <v>12091</v>
      </c>
    </row>
    <row r="171" spans="1:10">
      <c r="A171" s="383" t="str">
        <f>CONCATENATE("Reviewed on"," ",(TEXT('2022-2023 Applications Review'!$A171, "mm/dd/yyyy")))</f>
        <v>Reviewed on 08/09/2022</v>
      </c>
      <c r="B171" s="383" t="str">
        <f>'2022-2023 Applications Review'!B171</f>
        <v>Sensifree _2022</v>
      </c>
      <c r="C171" s="383" t="str">
        <f>'2022-2023 Applications Review'!E171</f>
        <v>Life Sciences</v>
      </c>
      <c r="D171" s="384" t="str">
        <f>'2022-2023 Applications Review'!Q171</f>
        <v>Invite Next Year</v>
      </c>
      <c r="E171" s="383"/>
      <c r="F171" s="383"/>
      <c r="G171" s="383"/>
      <c r="H171" s="383"/>
      <c r="I171" s="385" t="b">
        <v>1</v>
      </c>
      <c r="J171" s="386" t="s">
        <v>12092</v>
      </c>
    </row>
    <row r="172" spans="1:10">
      <c r="A172" s="383" t="str">
        <f>CONCATENATE("Reviewed on"," ",(TEXT('2022-2023 Applications Review'!$A172, "mm/dd/yyyy")))</f>
        <v>Reviewed on 08/09/2022</v>
      </c>
      <c r="B172" s="383" t="str">
        <f>'2022-2023 Applications Review'!B172</f>
        <v>Saathealth _2022</v>
      </c>
      <c r="C172" s="383" t="str">
        <f>'2022-2023 Applications Review'!E172</f>
        <v>Digital Tech</v>
      </c>
      <c r="D172" s="384" t="str">
        <f>'2022-2023 Applications Review'!Q172</f>
        <v>Invite Next Year</v>
      </c>
      <c r="E172" s="383"/>
      <c r="F172" s="383"/>
      <c r="G172" s="383"/>
      <c r="H172" s="383"/>
      <c r="I172" s="385" t="b">
        <v>1</v>
      </c>
      <c r="J172" s="386" t="s">
        <v>12093</v>
      </c>
    </row>
    <row r="173" spans="1:10">
      <c r="A173" s="383" t="str">
        <f>CONCATENATE("Reviewed on"," ",(TEXT('2022-2023 Applications Review'!$A173, "mm/dd/yyyy")))</f>
        <v>Reviewed on 08/09/2022</v>
      </c>
      <c r="B173" s="383" t="str">
        <f>'2022-2023 Applications Review'!B173</f>
        <v>Fig Finance _2022</v>
      </c>
      <c r="C173" s="383" t="str">
        <f>'2022-2023 Applications Review'!E173</f>
        <v>Digital Tech</v>
      </c>
      <c r="D173" s="384" t="str">
        <f>'2022-2023 Applications Review'!Q173</f>
        <v>Invite Next Year</v>
      </c>
      <c r="E173" s="383"/>
      <c r="F173" s="383"/>
      <c r="G173" s="383"/>
      <c r="H173" s="383"/>
      <c r="I173" s="385" t="b">
        <v>1</v>
      </c>
      <c r="J173" s="386" t="s">
        <v>12094</v>
      </c>
    </row>
    <row r="174" spans="1:10">
      <c r="A174" s="383" t="str">
        <f>CONCATENATE("Reviewed on"," ",(TEXT('2022-2023 Applications Review'!$A174, "mm/dd/yyyy")))</f>
        <v>Reviewed on 08/09/2022</v>
      </c>
      <c r="B174" s="383" t="str">
        <f>'2022-2023 Applications Review'!B174</f>
        <v>Palapa _2022</v>
      </c>
      <c r="C174" s="383" t="str">
        <f>'2022-2023 Applications Review'!E174</f>
        <v>Deep Tech</v>
      </c>
      <c r="D174" s="384" t="str">
        <f>'2022-2023 Applications Review'!Q174</f>
        <v>Invite Next Year</v>
      </c>
      <c r="E174" s="383"/>
      <c r="F174" s="383"/>
      <c r="G174" s="383"/>
      <c r="H174" s="383"/>
      <c r="I174" s="385" t="b">
        <v>1</v>
      </c>
      <c r="J174" s="386" t="s">
        <v>12095</v>
      </c>
    </row>
    <row r="175" spans="1:10">
      <c r="A175" s="383" t="str">
        <f>CONCATENATE("Reviewed on"," ",(TEXT('2022-2023 Applications Review'!$A175, "mm/dd/yyyy")))</f>
        <v>Reviewed on 08/09/2022</v>
      </c>
      <c r="B175" s="383" t="str">
        <f>'2022-2023 Applications Review'!B175</f>
        <v>Cochair Corp. _2022</v>
      </c>
      <c r="C175" s="383" t="str">
        <f>'2022-2023 Applications Review'!E175</f>
        <v>Digital Tech</v>
      </c>
      <c r="D175" s="384" t="str">
        <f>'2022-2023 Applications Review'!Q175</f>
        <v>Invite Next Year</v>
      </c>
      <c r="E175" s="383"/>
      <c r="F175" s="383"/>
      <c r="G175" s="383"/>
      <c r="H175" s="383"/>
      <c r="I175" s="385" t="b">
        <v>1</v>
      </c>
      <c r="J175" s="386" t="s">
        <v>12096</v>
      </c>
    </row>
    <row r="176" spans="1:10">
      <c r="A176" s="383" t="str">
        <f>CONCATENATE("Reviewed on"," ",(TEXT('2022-2023 Applications Review'!$A176, "mm/dd/yyyy")))</f>
        <v>Reviewed on 08/09/2022</v>
      </c>
      <c r="B176" s="383" t="str">
        <f>'2022-2023 Applications Review'!B176</f>
        <v>TourMega _2022</v>
      </c>
      <c r="C176" s="383" t="str">
        <f>'2022-2023 Applications Review'!E176</f>
        <v>Deep Tech</v>
      </c>
      <c r="D176" s="384" t="str">
        <f>'2022-2023 Applications Review'!Q176</f>
        <v>Invite Next Year</v>
      </c>
      <c r="E176" s="383"/>
      <c r="F176" s="383"/>
      <c r="G176" s="383"/>
      <c r="H176" s="383"/>
      <c r="I176" s="385" t="b">
        <v>1</v>
      </c>
      <c r="J176" s="386" t="s">
        <v>12097</v>
      </c>
    </row>
    <row r="177" spans="1:10">
      <c r="A177" s="383" t="str">
        <f>CONCATENATE("Reviewed on"," ",(TEXT('2022-2023 Applications Review'!$A177, "mm/dd/yyyy")))</f>
        <v>Reviewed on 08/09/2022</v>
      </c>
      <c r="B177" s="383" t="str">
        <f>'2022-2023 Applications Review'!B177</f>
        <v>Sendit.Money Ltd _2022</v>
      </c>
      <c r="C177" s="383" t="str">
        <f>'2022-2023 Applications Review'!E177</f>
        <v>Digital Tech</v>
      </c>
      <c r="D177" s="384" t="str">
        <f>'2022-2023 Applications Review'!Q177</f>
        <v>Invite Next Year</v>
      </c>
      <c r="E177" s="383"/>
      <c r="F177" s="383"/>
      <c r="G177" s="383"/>
      <c r="H177" s="383"/>
      <c r="I177" s="385" t="b">
        <v>1</v>
      </c>
      <c r="J177" s="386" t="s">
        <v>12098</v>
      </c>
    </row>
    <row r="178" spans="1:10">
      <c r="A178" s="383" t="str">
        <f>CONCATENATE("Reviewed on"," ",(TEXT('2022-2023 Applications Review'!$A178, "mm/dd/yyyy")))</f>
        <v>Reviewed on 08/09/2022</v>
      </c>
      <c r="B178" s="383" t="str">
        <f>'2022-2023 Applications Review'!B178</f>
        <v>Eget Liber, Inc. _2022</v>
      </c>
      <c r="C178" s="383" t="str">
        <f>'2022-2023 Applications Review'!E178</f>
        <v>Deep Tech</v>
      </c>
      <c r="D178" s="384" t="str">
        <f>'2022-2023 Applications Review'!Q178</f>
        <v>Invite Next Year</v>
      </c>
      <c r="E178" s="383"/>
      <c r="F178" s="383"/>
      <c r="G178" s="383"/>
      <c r="H178" s="383"/>
      <c r="I178" s="385" t="b">
        <v>1</v>
      </c>
      <c r="J178" s="386" t="s">
        <v>12099</v>
      </c>
    </row>
    <row r="179" spans="1:10">
      <c r="A179" s="383" t="str">
        <f>CONCATENATE("Reviewed on"," ",(TEXT('2022-2023 Applications Review'!$A179, "mm/dd/yyyy")))</f>
        <v>Reviewed on 08/09/2022</v>
      </c>
      <c r="B179" s="383" t="str">
        <f>'2022-2023 Applications Review'!B179</f>
        <v>Hello Space Co. _2022</v>
      </c>
      <c r="C179" s="383" t="str">
        <f>'2022-2023 Applications Review'!E179</f>
        <v>Deep Tech</v>
      </c>
      <c r="D179" s="384" t="str">
        <f>'2022-2023 Applications Review'!Q179</f>
        <v>Invite Next Year</v>
      </c>
      <c r="E179" s="383"/>
      <c r="F179" s="383"/>
      <c r="G179" s="383"/>
      <c r="H179" s="383"/>
      <c r="I179" s="385" t="b">
        <v>1</v>
      </c>
      <c r="J179" s="386" t="s">
        <v>12100</v>
      </c>
    </row>
    <row r="180" spans="1:10">
      <c r="A180" s="383" t="str">
        <f>CONCATENATE("Reviewed on"," ",(TEXT('2022-2023 Applications Review'!$A180, "mm/dd/yyyy")))</f>
        <v>Reviewed on 08/09/2022</v>
      </c>
      <c r="B180" s="383" t="str">
        <f>'2022-2023 Applications Review'!B180</f>
        <v>Bloom Impact Investing _2022</v>
      </c>
      <c r="C180" s="383" t="str">
        <f>'2022-2023 Applications Review'!E180</f>
        <v>Digital Tech</v>
      </c>
      <c r="D180" s="384" t="str">
        <f>'2022-2023 Applications Review'!Q180</f>
        <v>Invite Next Year</v>
      </c>
      <c r="E180" s="383"/>
      <c r="F180" s="383"/>
      <c r="G180" s="383"/>
      <c r="H180" s="383"/>
      <c r="I180" s="385" t="b">
        <v>1</v>
      </c>
      <c r="J180" s="386" t="s">
        <v>12101</v>
      </c>
    </row>
    <row r="181" spans="1:10">
      <c r="A181" s="383" t="str">
        <f>CONCATENATE("Reviewed on"," ",(TEXT('2022-2023 Applications Review'!$A181, "mm/dd/yyyy")))</f>
        <v>Reviewed on 08/09/2022</v>
      </c>
      <c r="B181" s="383" t="str">
        <f>'2022-2023 Applications Review'!B181</f>
        <v>Scholarship Advisors _2022</v>
      </c>
      <c r="C181" s="383" t="str">
        <f>'2022-2023 Applications Review'!E181</f>
        <v>Digital Tech</v>
      </c>
      <c r="D181" s="384" t="str">
        <f>'2022-2023 Applications Review'!Q181</f>
        <v>Invite Next Year</v>
      </c>
      <c r="E181" s="383"/>
      <c r="F181" s="383"/>
      <c r="G181" s="383"/>
      <c r="H181" s="383"/>
      <c r="I181" s="385" t="b">
        <v>1</v>
      </c>
      <c r="J181" s="386" t="s">
        <v>12102</v>
      </c>
    </row>
    <row r="182" spans="1:10">
      <c r="A182" s="383" t="str">
        <f>CONCATENATE("Reviewed on"," ",(TEXT('2022-2023 Applications Review'!$A182, "mm/dd/yyyy")))</f>
        <v>Reviewed on 08/09/2022</v>
      </c>
      <c r="B182" s="383" t="str">
        <f>'2022-2023 Applications Review'!B182</f>
        <v>Realtimate Labs Private Limited _2022</v>
      </c>
      <c r="C182" s="383" t="str">
        <f>'2022-2023 Applications Review'!E182</f>
        <v>Digital Tech</v>
      </c>
      <c r="D182" s="384" t="str">
        <f>'2022-2023 Applications Review'!Q182</f>
        <v>Invite Next Year</v>
      </c>
      <c r="E182" s="383"/>
      <c r="F182" s="383"/>
      <c r="G182" s="383"/>
      <c r="H182" s="383"/>
      <c r="I182" s="385" t="b">
        <v>1</v>
      </c>
      <c r="J182" s="386" t="s">
        <v>12103</v>
      </c>
    </row>
    <row r="183" spans="1:10">
      <c r="A183" s="383" t="str">
        <f>CONCATENATE("Reviewed on"," ",(TEXT('2022-2023 Applications Review'!$A183, "mm/dd/yyyy")))</f>
        <v>Reviewed on 08/09/2022</v>
      </c>
      <c r="B183" s="383" t="str">
        <f>'2022-2023 Applications Review'!B183</f>
        <v>Cogniant _2022</v>
      </c>
      <c r="C183" s="383" t="str">
        <f>'2022-2023 Applications Review'!E183</f>
        <v>Life Sciences</v>
      </c>
      <c r="D183" s="384" t="str">
        <f>'2022-2023 Applications Review'!Q183</f>
        <v>Invite Next Year</v>
      </c>
      <c r="E183" s="383"/>
      <c r="F183" s="383"/>
      <c r="G183" s="383"/>
      <c r="H183" s="383"/>
      <c r="I183" s="385" t="b">
        <v>1</v>
      </c>
      <c r="J183" s="386" t="s">
        <v>12104</v>
      </c>
    </row>
    <row r="184" spans="1:10">
      <c r="A184" s="383" t="str">
        <f>CONCATENATE("Reviewed on"," ",(TEXT('2022-2023 Applications Review'!$A184, "mm/dd/yyyy")))</f>
        <v>Reviewed on 08/09/2022</v>
      </c>
      <c r="B184" s="383" t="str">
        <f>'2022-2023 Applications Review'!B184</f>
        <v>Cara7 _2022</v>
      </c>
      <c r="C184" s="383" t="str">
        <f>'2022-2023 Applications Review'!E184</f>
        <v>Digital Tech</v>
      </c>
      <c r="D184" s="384" t="str">
        <f>'2022-2023 Applications Review'!Q184</f>
        <v>Invite Next Year</v>
      </c>
      <c r="E184" s="383"/>
      <c r="F184" s="383"/>
      <c r="G184" s="383"/>
      <c r="H184" s="383"/>
      <c r="I184" s="385" t="b">
        <v>1</v>
      </c>
      <c r="J184" s="386" t="s">
        <v>12105</v>
      </c>
    </row>
    <row r="185" spans="1:10">
      <c r="A185" s="383" t="str">
        <f>CONCATENATE("Reviewed on"," ",(TEXT('2022-2023 Applications Review'!$A185, "mm/dd/yyyy")))</f>
        <v>Reviewed on 08/09/2022</v>
      </c>
      <c r="B185" s="383" t="str">
        <f>'2022-2023 Applications Review'!B185</f>
        <v>Zr3i _2022</v>
      </c>
      <c r="C185" s="383" t="str">
        <f>'2022-2023 Applications Review'!E185</f>
        <v>Digital Tech</v>
      </c>
      <c r="D185" s="384" t="str">
        <f>'2022-2023 Applications Review'!Q185</f>
        <v>Invite Next Year</v>
      </c>
      <c r="E185" s="383"/>
      <c r="F185" s="383"/>
      <c r="G185" s="383"/>
      <c r="H185" s="383"/>
      <c r="I185" s="385" t="b">
        <v>1</v>
      </c>
      <c r="J185" s="386" t="s">
        <v>12106</v>
      </c>
    </row>
    <row r="186" spans="1:10">
      <c r="A186" s="383" t="str">
        <f>CONCATENATE("Reviewed on"," ",(TEXT('2022-2023 Applications Review'!$A186, "mm/dd/yyyy")))</f>
        <v>Reviewed on 08/09/2022</v>
      </c>
      <c r="B186" s="383" t="str">
        <f>'2022-2023 Applications Review'!B186</f>
        <v>SymbEx  _2022</v>
      </c>
      <c r="C186" s="383" t="str">
        <f>'2022-2023 Applications Review'!E186</f>
        <v>Digital Tech</v>
      </c>
      <c r="D186" s="384" t="str">
        <f>'2022-2023 Applications Review'!Q186</f>
        <v>Invite Next Year</v>
      </c>
      <c r="E186" s="383"/>
      <c r="F186" s="383"/>
      <c r="G186" s="383"/>
      <c r="H186" s="383"/>
      <c r="I186" s="385" t="b">
        <v>1</v>
      </c>
      <c r="J186" s="386" t="s">
        <v>12107</v>
      </c>
    </row>
    <row r="187" spans="1:10">
      <c r="A187" s="383" t="str">
        <f>CONCATENATE("Reviewed on"," ",(TEXT('2022-2023 Applications Review'!$A187, "mm/dd/yyyy")))</f>
        <v>Reviewed on 08/09/2022</v>
      </c>
      <c r="B187" s="383" t="str">
        <f>'2022-2023 Applications Review'!B187</f>
        <v>Abacube AB _2022</v>
      </c>
      <c r="C187" s="383" t="str">
        <f>'2022-2023 Applications Review'!E187</f>
        <v>Digital Tech</v>
      </c>
      <c r="D187" s="384" t="str">
        <f>'2022-2023 Applications Review'!Q187</f>
        <v>Invite Next Year</v>
      </c>
      <c r="E187" s="383"/>
      <c r="F187" s="383"/>
      <c r="G187" s="383"/>
      <c r="H187" s="383"/>
      <c r="I187" s="385" t="b">
        <v>1</v>
      </c>
      <c r="J187" s="386" t="s">
        <v>12108</v>
      </c>
    </row>
    <row r="188" spans="1:10">
      <c r="A188" s="383" t="str">
        <f>CONCATENATE("Reviewed on"," ",(TEXT('2022-2023 Applications Review'!$A188, "mm/dd/yyyy")))</f>
        <v>Reviewed on 08/09/2022</v>
      </c>
      <c r="B188" s="383" t="str">
        <f>'2022-2023 Applications Review'!B188</f>
        <v>SynerAI Inc _2022</v>
      </c>
      <c r="C188" s="383" t="str">
        <f>'2022-2023 Applications Review'!E188</f>
        <v>Digital Tech</v>
      </c>
      <c r="D188" s="384" t="str">
        <f>'2022-2023 Applications Review'!Q188</f>
        <v>Invite Next Year</v>
      </c>
      <c r="E188" s="383"/>
      <c r="F188" s="383"/>
      <c r="G188" s="383"/>
      <c r="H188" s="383"/>
      <c r="I188" s="385" t="b">
        <v>1</v>
      </c>
      <c r="J188" s="386" t="s">
        <v>12109</v>
      </c>
    </row>
    <row r="189" spans="1:10">
      <c r="A189" s="383" t="str">
        <f>CONCATENATE("Reviewed on"," ",(TEXT('2022-2023 Applications Review'!$A189, "mm/dd/yyyy")))</f>
        <v>Reviewed on 08/09/2022</v>
      </c>
      <c r="B189" s="383" t="str">
        <f>'2022-2023 Applications Review'!B189</f>
        <v>Beast Mobile _2022</v>
      </c>
      <c r="C189" s="383" t="str">
        <f>'2022-2023 Applications Review'!E189</f>
        <v>Deep Tech</v>
      </c>
      <c r="D189" s="384" t="str">
        <f>'2022-2023 Applications Review'!Q189</f>
        <v>Invite Next Year</v>
      </c>
      <c r="E189" s="383"/>
      <c r="F189" s="383"/>
      <c r="G189" s="383"/>
      <c r="H189" s="383"/>
      <c r="I189" s="385" t="b">
        <v>1</v>
      </c>
      <c r="J189" s="386" t="s">
        <v>12110</v>
      </c>
    </row>
    <row r="190" spans="1:10">
      <c r="A190" s="383" t="str">
        <f>CONCATENATE("Reviewed on"," ",(TEXT('2022-2023 Applications Review'!$A190, "mm/dd/yyyy")))</f>
        <v>Reviewed on 08/09/2022</v>
      </c>
      <c r="B190" s="383" t="str">
        <f>'2022-2023 Applications Review'!B190</f>
        <v>10Adventures _2022</v>
      </c>
      <c r="C190" s="383" t="str">
        <f>'2022-2023 Applications Review'!E190</f>
        <v>Digital Tech</v>
      </c>
      <c r="D190" s="384" t="str">
        <f>'2022-2023 Applications Review'!Q190</f>
        <v>Invite Next Year</v>
      </c>
      <c r="E190" s="383"/>
      <c r="F190" s="383"/>
      <c r="G190" s="383"/>
      <c r="H190" s="383"/>
      <c r="I190" s="385" t="b">
        <v>1</v>
      </c>
      <c r="J190" s="386" t="s">
        <v>12111</v>
      </c>
    </row>
    <row r="191" spans="1:10">
      <c r="A191" s="383" t="str">
        <f>CONCATENATE("Reviewed on"," ",(TEXT('2022-2023 Applications Review'!$A191, "mm/dd/yyyy")))</f>
        <v>Reviewed on 08/09/2022</v>
      </c>
      <c r="B191" s="383" t="str">
        <f>'2022-2023 Applications Review'!B191</f>
        <v>Neon Wild, Inc. _2022</v>
      </c>
      <c r="C191" s="383" t="str">
        <f>'2022-2023 Applications Review'!E191</f>
        <v>Digital Tech</v>
      </c>
      <c r="D191" s="384" t="str">
        <f>'2022-2023 Applications Review'!Q191</f>
        <v>Invite Next Year</v>
      </c>
      <c r="E191" s="383"/>
      <c r="F191" s="383"/>
      <c r="G191" s="383"/>
      <c r="H191" s="383"/>
      <c r="I191" s="385" t="b">
        <v>1</v>
      </c>
      <c r="J191" s="386" t="s">
        <v>12112</v>
      </c>
    </row>
    <row r="192" spans="1:10">
      <c r="A192" s="383" t="str">
        <f>CONCATENATE("Reviewed on"," ",(TEXT('2022-2023 Applications Review'!$A192, "mm/dd/yyyy")))</f>
        <v>Reviewed on 08/09/2022</v>
      </c>
      <c r="B192" s="383" t="str">
        <f>'2022-2023 Applications Review'!B192</f>
        <v>Novamp Pharma Pack _2022</v>
      </c>
      <c r="C192" s="383" t="str">
        <f>'2022-2023 Applications Review'!E192</f>
        <v>Life Sciences</v>
      </c>
      <c r="D192" s="384" t="str">
        <f>'2022-2023 Applications Review'!Q192</f>
        <v>Invite Next Year</v>
      </c>
      <c r="E192" s="383"/>
      <c r="F192" s="383"/>
      <c r="G192" s="383"/>
      <c r="H192" s="383"/>
      <c r="I192" s="385" t="b">
        <v>1</v>
      </c>
      <c r="J192" s="386" t="s">
        <v>12113</v>
      </c>
    </row>
    <row r="193" spans="1:10">
      <c r="A193" s="383" t="str">
        <f>CONCATENATE("Reviewed on"," ",(TEXT('2022-2023 Applications Review'!$A193, "mm/dd/yyyy")))</f>
        <v>Reviewed on 08/09/2022</v>
      </c>
      <c r="B193" s="383" t="str">
        <f>'2022-2023 Applications Review'!B193</f>
        <v>Foundhowt _2022</v>
      </c>
      <c r="C193" s="383" t="str">
        <f>'2022-2023 Applications Review'!E193</f>
        <v>Digital Tech</v>
      </c>
      <c r="D193" s="384" t="str">
        <f>'2022-2023 Applications Review'!Q193</f>
        <v>Invite Next Year</v>
      </c>
      <c r="E193" s="383"/>
      <c r="F193" s="383"/>
      <c r="G193" s="383"/>
      <c r="H193" s="383"/>
      <c r="I193" s="385" t="b">
        <v>1</v>
      </c>
      <c r="J193" s="386" t="s">
        <v>12114</v>
      </c>
    </row>
    <row r="194" spans="1:10">
      <c r="A194" s="383" t="str">
        <f>CONCATENATE("Reviewed on"," ",(TEXT('2022-2023 Applications Review'!$A194, "mm/dd/yyyy")))</f>
        <v>Reviewed on 08/09/2022</v>
      </c>
      <c r="B194" s="383" t="str">
        <f>'2022-2023 Applications Review'!B194</f>
        <v>Oral FLuid Testing Labs LLC _2022</v>
      </c>
      <c r="C194" s="383" t="str">
        <f>'2022-2023 Applications Review'!E194</f>
        <v>Life Sciences</v>
      </c>
      <c r="D194" s="384" t="str">
        <f>'2022-2023 Applications Review'!Q194</f>
        <v>Invite Next Year</v>
      </c>
      <c r="E194" s="383"/>
      <c r="F194" s="383"/>
      <c r="G194" s="383"/>
      <c r="H194" s="383"/>
      <c r="I194" s="385" t="b">
        <v>1</v>
      </c>
      <c r="J194" s="386" t="s">
        <v>12115</v>
      </c>
    </row>
    <row r="195" spans="1:10">
      <c r="A195" s="383" t="str">
        <f>CONCATENATE("Reviewed on"," ",(TEXT('2022-2023 Applications Review'!$A195, "mm/dd/yyyy")))</f>
        <v>Reviewed on 08/09/2022</v>
      </c>
      <c r="B195" s="383" t="str">
        <f>'2022-2023 Applications Review'!B195</f>
        <v>Brigade Automation Corporation LLC _2022</v>
      </c>
      <c r="C195" s="383" t="str">
        <f>'2022-2023 Applications Review'!E195</f>
        <v>Life Sciences</v>
      </c>
      <c r="D195" s="384" t="str">
        <f>'2022-2023 Applications Review'!Q195</f>
        <v>Invite Next Year</v>
      </c>
      <c r="E195" s="383"/>
      <c r="F195" s="383"/>
      <c r="G195" s="383"/>
      <c r="H195" s="383"/>
      <c r="I195" s="385" t="b">
        <v>1</v>
      </c>
      <c r="J195" s="386" t="s">
        <v>12116</v>
      </c>
    </row>
    <row r="196" spans="1:10">
      <c r="A196" s="383" t="str">
        <f>CONCATENATE("Reviewed on"," ",(TEXT('2022-2023 Applications Review'!$A196, "mm/dd/yyyy")))</f>
        <v>Reviewed on 08/11/2022</v>
      </c>
      <c r="B196" s="383" t="str">
        <f>'2022-2023 Applications Review'!B196</f>
        <v>Woven Orthopedic Technologies, LLC _2022</v>
      </c>
      <c r="C196" s="383" t="str">
        <f>'2022-2023 Applications Review'!E196</f>
        <v>Life Sciences</v>
      </c>
      <c r="D196" s="384" t="str">
        <f>'2022-2023 Applications Review'!Q196</f>
        <v>Invite</v>
      </c>
      <c r="E196" s="383"/>
      <c r="F196" s="383"/>
      <c r="G196" s="383"/>
      <c r="H196" s="383"/>
      <c r="I196" s="385" t="b">
        <v>1</v>
      </c>
      <c r="J196" s="386" t="s">
        <v>12117</v>
      </c>
    </row>
    <row r="197" spans="1:10">
      <c r="A197" s="383" t="str">
        <f>CONCATENATE("Reviewed on"," ",(TEXT('2022-2023 Applications Review'!$A197, "mm/dd/yyyy")))</f>
        <v>Reviewed on 08/11/2022</v>
      </c>
      <c r="B197" s="383" t="str">
        <f>'2022-2023 Applications Review'!B197</f>
        <v>Turion Space _2022</v>
      </c>
      <c r="C197" s="383" t="str">
        <f>'2022-2023 Applications Review'!E197</f>
        <v>Deep Tech</v>
      </c>
      <c r="D197" s="384" t="str">
        <f>'2022-2023 Applications Review'!Q197</f>
        <v>Invite</v>
      </c>
      <c r="E197" s="383"/>
      <c r="F197" s="383"/>
      <c r="G197" s="383"/>
      <c r="H197" s="383"/>
      <c r="I197" s="385" t="b">
        <v>1</v>
      </c>
      <c r="J197" s="386" t="s">
        <v>12118</v>
      </c>
    </row>
    <row r="198" spans="1:10">
      <c r="A198" s="383" t="str">
        <f>CONCATENATE("Reviewed on"," ",(TEXT('2022-2023 Applications Review'!$A198, "mm/dd/yyyy")))</f>
        <v>Reviewed on 08/11/2022</v>
      </c>
      <c r="B198" s="383" t="str">
        <f>'2022-2023 Applications Review'!B198</f>
        <v>Terra Bioworks Corp _2022</v>
      </c>
      <c r="C198" s="383" t="str">
        <f>'2022-2023 Applications Review'!E198</f>
        <v>Life Sciences</v>
      </c>
      <c r="D198" s="384" t="str">
        <f>'2022-2023 Applications Review'!Q198</f>
        <v>Invite</v>
      </c>
      <c r="E198" s="383"/>
      <c r="F198" s="383"/>
      <c r="G198" s="383"/>
      <c r="H198" s="383"/>
      <c r="I198" s="385" t="b">
        <v>1</v>
      </c>
      <c r="J198" s="386" t="s">
        <v>12119</v>
      </c>
    </row>
    <row r="199" spans="1:10">
      <c r="A199" s="383" t="str">
        <f>CONCATENATE("Reviewed on"," ",(TEXT('2022-2023 Applications Review'!$A199, "mm/dd/yyyy")))</f>
        <v>Reviewed on 08/11/2022</v>
      </c>
      <c r="B199" s="383" t="str">
        <f>'2022-2023 Applications Review'!B199</f>
        <v>Charco Neurotech _2022</v>
      </c>
      <c r="C199" s="383" t="str">
        <f>'2022-2023 Applications Review'!E199</f>
        <v>Life Sciences</v>
      </c>
      <c r="D199" s="384" t="str">
        <f>'2022-2023 Applications Review'!Q199</f>
        <v>Invite</v>
      </c>
      <c r="E199" s="383"/>
      <c r="F199" s="383"/>
      <c r="G199" s="383"/>
      <c r="H199" s="383"/>
      <c r="I199" s="385" t="b">
        <v>1</v>
      </c>
      <c r="J199" s="386" t="s">
        <v>12120</v>
      </c>
    </row>
    <row r="200" spans="1:10">
      <c r="A200" s="383" t="str">
        <f>CONCATENATE("Reviewed on"," ",(TEXT('2022-2023 Applications Review'!$A200, "mm/dd/yyyy")))</f>
        <v>Reviewed on 08/11/2022</v>
      </c>
      <c r="B200" s="383" t="str">
        <f>'2022-2023 Applications Review'!B200</f>
        <v>Chargewheel Co. _2022</v>
      </c>
      <c r="C200" s="383" t="str">
        <f>'2022-2023 Applications Review'!E200</f>
        <v>Deep Tech</v>
      </c>
      <c r="D200" s="384" t="str">
        <f>'2022-2023 Applications Review'!Q200</f>
        <v>Invite</v>
      </c>
      <c r="E200" s="383"/>
      <c r="F200" s="383"/>
      <c r="G200" s="383"/>
      <c r="H200" s="383"/>
      <c r="I200" s="385" t="b">
        <v>1</v>
      </c>
      <c r="J200" s="386" t="s">
        <v>12121</v>
      </c>
    </row>
    <row r="201" spans="1:10">
      <c r="A201" s="383" t="str">
        <f>CONCATENATE("Reviewed on"," ",(TEXT('2022-2023 Applications Review'!$A201, "mm/dd/yyyy")))</f>
        <v>Reviewed on 08/11/2022</v>
      </c>
      <c r="B201" s="383" t="str">
        <f>'2022-2023 Applications Review'!B201</f>
        <v>Bleximo Corp. _2022</v>
      </c>
      <c r="C201" s="383" t="str">
        <f>'2022-2023 Applications Review'!E201</f>
        <v>Deep Tech</v>
      </c>
      <c r="D201" s="384" t="str">
        <f>'2022-2023 Applications Review'!Q201</f>
        <v>Invite</v>
      </c>
      <c r="E201" s="383"/>
      <c r="F201" s="383"/>
      <c r="G201" s="383"/>
      <c r="H201" s="383"/>
      <c r="I201" s="385" t="b">
        <v>1</v>
      </c>
      <c r="J201" s="386" t="s">
        <v>12122</v>
      </c>
    </row>
    <row r="202" spans="1:10">
      <c r="A202" s="383" t="str">
        <f>CONCATENATE("Reviewed on"," ",(TEXT('2022-2023 Applications Review'!$A202, "mm/dd/yyyy")))</f>
        <v>Reviewed on 08/11/2022</v>
      </c>
      <c r="B202" s="383" t="str">
        <f>'2022-2023 Applications Review'!B202</f>
        <v>TimberFish Technologies _2022</v>
      </c>
      <c r="C202" s="383" t="str">
        <f>'2022-2023 Applications Review'!E202</f>
        <v>Deep Tech</v>
      </c>
      <c r="D202" s="384" t="str">
        <f>'2022-2023 Applications Review'!Q202</f>
        <v>Invite</v>
      </c>
      <c r="E202" s="383"/>
      <c r="F202" s="383"/>
      <c r="G202" s="383"/>
      <c r="H202" s="383"/>
      <c r="I202" s="385" t="b">
        <v>1</v>
      </c>
      <c r="J202" s="386" t="s">
        <v>12123</v>
      </c>
    </row>
    <row r="203" spans="1:10">
      <c r="A203" s="383" t="str">
        <f>CONCATENATE("Reviewed on"," ",(TEXT('2022-2023 Applications Review'!$A203, "mm/dd/yyyy")))</f>
        <v>Reviewed on 08/11/2022</v>
      </c>
      <c r="B203" s="383" t="str">
        <f>'2022-2023 Applications Review'!B203</f>
        <v>LumosTech, Inc. _2022</v>
      </c>
      <c r="C203" s="383" t="str">
        <f>'2022-2023 Applications Review'!E203</f>
        <v>Deep Tech</v>
      </c>
      <c r="D203" s="384" t="str">
        <f>'2022-2023 Applications Review'!Q203</f>
        <v>Invite</v>
      </c>
      <c r="E203" s="383"/>
      <c r="F203" s="383"/>
      <c r="G203" s="383"/>
      <c r="H203" s="383"/>
      <c r="I203" s="385" t="b">
        <v>1</v>
      </c>
      <c r="J203" s="386" t="s">
        <v>12124</v>
      </c>
    </row>
    <row r="204" spans="1:10">
      <c r="A204" s="383" t="str">
        <f>CONCATENATE("Reviewed on"," ",(TEXT('2022-2023 Applications Review'!$A204, "mm/dd/yyyy")))</f>
        <v>Reviewed on 08/11/2022</v>
      </c>
      <c r="B204" s="383" t="str">
        <f>'2022-2023 Applications Review'!B204</f>
        <v>LuftCar LLC _2022</v>
      </c>
      <c r="C204" s="383" t="str">
        <f>'2022-2023 Applications Review'!E204</f>
        <v>Deep Tech</v>
      </c>
      <c r="D204" s="384" t="str">
        <f>'2022-2023 Applications Review'!Q204</f>
        <v>Invite</v>
      </c>
      <c r="E204" s="383"/>
      <c r="F204" s="383"/>
      <c r="G204" s="383"/>
      <c r="H204" s="383"/>
      <c r="I204" s="385" t="b">
        <v>1</v>
      </c>
      <c r="J204" s="386" t="s">
        <v>12125</v>
      </c>
    </row>
    <row r="205" spans="1:10">
      <c r="A205" s="383" t="str">
        <f>CONCATENATE("Reviewed on"," ",(TEXT('2022-2023 Applications Review'!$A205, "mm/dd/yyyy")))</f>
        <v>Reviewed on 08/11/2022</v>
      </c>
      <c r="B205" s="383" t="str">
        <f>'2022-2023 Applications Review'!B205</f>
        <v>Cortina Health _2022</v>
      </c>
      <c r="C205" s="383" t="str">
        <f>'2022-2023 Applications Review'!E205</f>
        <v>Digital Tech</v>
      </c>
      <c r="D205" s="384" t="str">
        <f>'2022-2023 Applications Review'!Q205</f>
        <v>Invite</v>
      </c>
      <c r="E205" s="383"/>
      <c r="F205" s="383"/>
      <c r="G205" s="383"/>
      <c r="H205" s="383"/>
      <c r="I205" s="385" t="b">
        <v>1</v>
      </c>
      <c r="J205" s="386" t="s">
        <v>12126</v>
      </c>
    </row>
    <row r="206" spans="1:10">
      <c r="A206" s="383" t="str">
        <f>CONCATENATE("Reviewed on"," ",(TEXT('2022-2023 Applications Review'!$A206, "mm/dd/yyyy")))</f>
        <v>Reviewed on 08/11/2022</v>
      </c>
      <c r="B206" s="383" t="str">
        <f>'2022-2023 Applications Review'!B206</f>
        <v>SparkAI _2022</v>
      </c>
      <c r="C206" s="383" t="str">
        <f>'2022-2023 Applications Review'!E206</f>
        <v>Digital Tech</v>
      </c>
      <c r="D206" s="384" t="str">
        <f>'2022-2023 Applications Review'!Q206</f>
        <v>Invite</v>
      </c>
      <c r="E206" s="383"/>
      <c r="F206" s="383"/>
      <c r="G206" s="383"/>
      <c r="H206" s="383"/>
      <c r="I206" s="385" t="b">
        <v>1</v>
      </c>
      <c r="J206" s="386" t="s">
        <v>12127</v>
      </c>
    </row>
    <row r="207" spans="1:10">
      <c r="A207" s="383" t="str">
        <f>CONCATENATE("Reviewed on"," ",(TEXT('2022-2023 Applications Review'!$A207, "mm/dd/yyyy")))</f>
        <v>Reviewed on 08/11/2022</v>
      </c>
      <c r="B207" s="383" t="str">
        <f>'2022-2023 Applications Review'!B207</f>
        <v>OPTT Health _2022</v>
      </c>
      <c r="C207" s="383" t="str">
        <f>'2022-2023 Applications Review'!E207</f>
        <v>Digital Tech</v>
      </c>
      <c r="D207" s="384" t="str">
        <f>'2022-2023 Applications Review'!Q207</f>
        <v>Invite</v>
      </c>
      <c r="E207" s="383"/>
      <c r="F207" s="383"/>
      <c r="G207" s="383"/>
      <c r="H207" s="383"/>
      <c r="I207" s="385" t="b">
        <v>1</v>
      </c>
      <c r="J207" s="386" t="s">
        <v>12128</v>
      </c>
    </row>
    <row r="208" spans="1:10">
      <c r="A208" s="383" t="str">
        <f>CONCATENATE("Reviewed on"," ",(TEXT('2022-2023 Applications Review'!$A208, "mm/dd/yyyy")))</f>
        <v>Reviewed on 08/11/2022</v>
      </c>
      <c r="B208" s="383" t="str">
        <f>'2022-2023 Applications Review'!B208</f>
        <v>Sustain Group Holdings LLC _2022</v>
      </c>
      <c r="C208" s="383" t="str">
        <f>'2022-2023 Applications Review'!E208</f>
        <v>Digital Tech</v>
      </c>
      <c r="D208" s="384" t="str">
        <f>'2022-2023 Applications Review'!Q208</f>
        <v>Invite</v>
      </c>
      <c r="E208" s="383"/>
      <c r="F208" s="383"/>
      <c r="G208" s="383"/>
      <c r="H208" s="383"/>
      <c r="I208" s="385" t="b">
        <v>1</v>
      </c>
      <c r="J208" s="386" t="s">
        <v>12129</v>
      </c>
    </row>
    <row r="209" spans="1:10">
      <c r="A209" s="383" t="str">
        <f>CONCATENATE("Reviewed on"," ",(TEXT('2022-2023 Applications Review'!$A209, "mm/dd/yyyy")))</f>
        <v>Reviewed on 08/11/2022</v>
      </c>
      <c r="B209" s="383" t="str">
        <f>'2022-2023 Applications Review'!B209</f>
        <v>Eachday, INC. _2022</v>
      </c>
      <c r="C209" s="383" t="str">
        <f>'2022-2023 Applications Review'!E209</f>
        <v>Digital Tech</v>
      </c>
      <c r="D209" s="384" t="str">
        <f>'2022-2023 Applications Review'!Q209</f>
        <v>Invite</v>
      </c>
      <c r="E209" s="383"/>
      <c r="F209" s="383"/>
      <c r="G209" s="383"/>
      <c r="H209" s="383"/>
      <c r="I209" s="385" t="b">
        <v>1</v>
      </c>
      <c r="J209" s="386" t="s">
        <v>12130</v>
      </c>
    </row>
    <row r="210" spans="1:10">
      <c r="A210" s="383" t="str">
        <f>CONCATENATE("Reviewed on"," ",(TEXT('2022-2023 Applications Review'!$A210, "mm/dd/yyyy")))</f>
        <v>Reviewed on 08/11/2022</v>
      </c>
      <c r="B210" s="383" t="str">
        <f>'2022-2023 Applications Review'!B210</f>
        <v>vadimUS _2022</v>
      </c>
      <c r="C210" s="383" t="str">
        <f>'2022-2023 Applications Review'!E210</f>
        <v>Digital Tech</v>
      </c>
      <c r="D210" s="384" t="str">
        <f>'2022-2023 Applications Review'!Q210</f>
        <v>Invite</v>
      </c>
      <c r="E210" s="383"/>
      <c r="F210" s="383"/>
      <c r="G210" s="383"/>
      <c r="H210" s="383"/>
      <c r="I210" s="385" t="b">
        <v>1</v>
      </c>
      <c r="J210" s="386" t="s">
        <v>12131</v>
      </c>
    </row>
    <row r="211" spans="1:10">
      <c r="A211" s="383" t="str">
        <f>CONCATENATE("Reviewed on"," ",(TEXT('2022-2023 Applications Review'!$A211, "mm/dd/yyyy")))</f>
        <v>Reviewed on 08/11/2022</v>
      </c>
      <c r="B211" s="383" t="str">
        <f>'2022-2023 Applications Review'!B211</f>
        <v>IX Swap _2022</v>
      </c>
      <c r="C211" s="383" t="str">
        <f>'2022-2023 Applications Review'!E211</f>
        <v>Digital Tech</v>
      </c>
      <c r="D211" s="384" t="str">
        <f>'2022-2023 Applications Review'!Q211</f>
        <v>Invite</v>
      </c>
      <c r="E211" s="383"/>
      <c r="F211" s="383"/>
      <c r="G211" s="383"/>
      <c r="H211" s="383"/>
      <c r="I211" s="385" t="b">
        <v>1</v>
      </c>
      <c r="J211" s="386" t="s">
        <v>12132</v>
      </c>
    </row>
    <row r="212" spans="1:10">
      <c r="A212" s="383" t="str">
        <f>CONCATENATE("Reviewed on"," ",(TEXT('2022-2023 Applications Review'!$A212, "mm/dd/yyyy")))</f>
        <v>Reviewed on 08/11/2022</v>
      </c>
      <c r="B212" s="383" t="str">
        <f>'2022-2023 Applications Review'!B212</f>
        <v>RIFFIT  _2022</v>
      </c>
      <c r="C212" s="383" t="str">
        <f>'2022-2023 Applications Review'!E212</f>
        <v>Digital Tech</v>
      </c>
      <c r="D212" s="384" t="str">
        <f>'2022-2023 Applications Review'!Q212</f>
        <v>Invite</v>
      </c>
      <c r="E212" s="383"/>
      <c r="F212" s="383"/>
      <c r="G212" s="383"/>
      <c r="H212" s="383"/>
      <c r="I212" s="385" t="b">
        <v>1</v>
      </c>
      <c r="J212" s="386" t="s">
        <v>12133</v>
      </c>
    </row>
    <row r="213" spans="1:10">
      <c r="A213" s="383" t="str">
        <f>CONCATENATE("Reviewed on"," ",(TEXT('2022-2023 Applications Review'!$A213, "mm/dd/yyyy")))</f>
        <v>Reviewed on 08/11/2022</v>
      </c>
      <c r="B213" s="383" t="str">
        <f>'2022-2023 Applications Review'!B213</f>
        <v>Hummingbirds AI _2022</v>
      </c>
      <c r="C213" s="383" t="str">
        <f>'2022-2023 Applications Review'!E213</f>
        <v>Digital Tech</v>
      </c>
      <c r="D213" s="384" t="str">
        <f>'2022-2023 Applications Review'!Q213</f>
        <v>Invite</v>
      </c>
      <c r="E213" s="383"/>
      <c r="F213" s="383"/>
      <c r="G213" s="383"/>
      <c r="H213" s="383"/>
      <c r="I213" s="385" t="b">
        <v>1</v>
      </c>
      <c r="J213" s="386" t="s">
        <v>12134</v>
      </c>
    </row>
    <row r="214" spans="1:10">
      <c r="A214" s="383" t="str">
        <f>CONCATENATE("Reviewed on"," ",(TEXT('2022-2023 Applications Review'!$A214, "mm/dd/yyyy")))</f>
        <v>Reviewed on 08/11/2022</v>
      </c>
      <c r="B214" s="383" t="str">
        <f>'2022-2023 Applications Review'!B214</f>
        <v>Dryad Networks GmbH _2022</v>
      </c>
      <c r="C214" s="383" t="str">
        <f>'2022-2023 Applications Review'!E214</f>
        <v>Digital Tech</v>
      </c>
      <c r="D214" s="384" t="str">
        <f>'2022-2023 Applications Review'!Q214</f>
        <v>Invite</v>
      </c>
      <c r="E214" s="383"/>
      <c r="F214" s="383"/>
      <c r="G214" s="383"/>
      <c r="H214" s="383"/>
      <c r="I214" s="385" t="b">
        <v>1</v>
      </c>
      <c r="J214" s="386" t="s">
        <v>12135</v>
      </c>
    </row>
    <row r="215" spans="1:10">
      <c r="A215" s="383" t="str">
        <f>CONCATENATE("Reviewed on"," ",(TEXT('2022-2023 Applications Review'!$A215, "mm/dd/yyyy")))</f>
        <v>Reviewed on 08/11/2022</v>
      </c>
      <c r="B215" s="383" t="str">
        <f>'2022-2023 Applications Review'!B215</f>
        <v>Ossiform _2022</v>
      </c>
      <c r="C215" s="383" t="str">
        <f>'2022-2023 Applications Review'!E215</f>
        <v>Life Sciences</v>
      </c>
      <c r="D215" s="384" t="str">
        <f>'2022-2023 Applications Review'!Q215</f>
        <v>Invite</v>
      </c>
      <c r="E215" s="383"/>
      <c r="F215" s="383"/>
      <c r="G215" s="383"/>
      <c r="H215" s="383"/>
      <c r="I215" s="385" t="b">
        <v>1</v>
      </c>
      <c r="J215" s="386" t="s">
        <v>12136</v>
      </c>
    </row>
    <row r="216" spans="1:10">
      <c r="A216" s="383" t="str">
        <f>CONCATENATE("Reviewed on"," ",(TEXT('2022-2023 Applications Review'!$A216, "mm/dd/yyyy")))</f>
        <v>Reviewed on 08/11/2022</v>
      </c>
      <c r="B216" s="383" t="str">
        <f>'2022-2023 Applications Review'!B216</f>
        <v>Solaires Entreprises Inc _2022</v>
      </c>
      <c r="C216" s="383" t="str">
        <f>'2022-2023 Applications Review'!E216</f>
        <v>Deep Tech</v>
      </c>
      <c r="D216" s="384" t="str">
        <f>'2022-2023 Applications Review'!Q216</f>
        <v>Invite</v>
      </c>
      <c r="E216" s="383"/>
      <c r="F216" s="383"/>
      <c r="G216" s="383"/>
      <c r="H216" s="383"/>
      <c r="I216" s="385" t="b">
        <v>1</v>
      </c>
      <c r="J216" s="386" t="s">
        <v>12137</v>
      </c>
    </row>
    <row r="217" spans="1:10">
      <c r="A217" s="383" t="str">
        <f>CONCATENATE("Reviewed on"," ",(TEXT('2022-2023 Applications Review'!$A217, "mm/dd/yyyy")))</f>
        <v>Reviewed on 08/11/2022</v>
      </c>
      <c r="B217" s="383" t="str">
        <f>'2022-2023 Applications Review'!B217</f>
        <v>ONEKEY GmbH _2022</v>
      </c>
      <c r="C217" s="383" t="str">
        <f>'2022-2023 Applications Review'!E217</f>
        <v>Digital Tech</v>
      </c>
      <c r="D217" s="384" t="str">
        <f>'2022-2023 Applications Review'!Q217</f>
        <v>Invite</v>
      </c>
      <c r="E217" s="383"/>
      <c r="F217" s="383"/>
      <c r="G217" s="383"/>
      <c r="H217" s="383"/>
      <c r="I217" s="385" t="b">
        <v>1</v>
      </c>
      <c r="J217" s="386" t="s">
        <v>12138</v>
      </c>
    </row>
    <row r="218" spans="1:10">
      <c r="A218" s="383" t="str">
        <f>CONCATENATE("Reviewed on"," ",(TEXT('2022-2023 Applications Review'!$A218, "mm/dd/yyyy")))</f>
        <v>Reviewed on 08/11/2022</v>
      </c>
      <c r="B218" s="383" t="str">
        <f>'2022-2023 Applications Review'!B218</f>
        <v>Terecircuits Corporation _2022</v>
      </c>
      <c r="C218" s="383" t="str">
        <f>'2022-2023 Applications Review'!E218</f>
        <v>Deep Tech</v>
      </c>
      <c r="D218" s="384" t="str">
        <f>'2022-2023 Applications Review'!Q218</f>
        <v>Invite</v>
      </c>
      <c r="E218" s="383"/>
      <c r="F218" s="383"/>
      <c r="G218" s="383"/>
      <c r="H218" s="383"/>
      <c r="I218" s="385" t="b">
        <v>1</v>
      </c>
      <c r="J218" s="386" t="s">
        <v>12139</v>
      </c>
    </row>
    <row r="219" spans="1:10">
      <c r="A219" s="383" t="str">
        <f>CONCATENATE("Reviewed on"," ",(TEXT('2022-2023 Applications Review'!$A219, "mm/dd/yyyy")))</f>
        <v>Reviewed on 08/11/2022</v>
      </c>
      <c r="B219" s="383" t="str">
        <f>'2022-2023 Applications Review'!B219</f>
        <v>Immersive Fox Ltd _2022</v>
      </c>
      <c r="C219" s="383" t="str">
        <f>'2022-2023 Applications Review'!E219</f>
        <v>Digital Tech</v>
      </c>
      <c r="D219" s="384" t="str">
        <f>'2022-2023 Applications Review'!Q219</f>
        <v>Invite</v>
      </c>
      <c r="E219" s="383"/>
      <c r="F219" s="383"/>
      <c r="G219" s="383"/>
      <c r="H219" s="383"/>
      <c r="I219" s="385" t="b">
        <v>1</v>
      </c>
      <c r="J219" s="386" t="s">
        <v>12140</v>
      </c>
    </row>
    <row r="220" spans="1:10">
      <c r="A220" s="383" t="str">
        <f>CONCATENATE("Reviewed on"," ",(TEXT('2022-2023 Applications Review'!$A220, "mm/dd/yyyy")))</f>
        <v>Reviewed on 08/11/2022</v>
      </c>
      <c r="B220" s="387" t="str">
        <f>'2022-2023 Applications Review'!B220</f>
        <v>Blings.io _2022</v>
      </c>
      <c r="C220" s="383" t="str">
        <f>'2022-2023 Applications Review'!E220</f>
        <v>Digital Tech</v>
      </c>
      <c r="D220" s="384" t="str">
        <f>'2022-2023 Applications Review'!Q220</f>
        <v>Invite</v>
      </c>
      <c r="E220" s="383"/>
      <c r="F220" s="383"/>
      <c r="G220" s="383"/>
      <c r="H220" s="383"/>
      <c r="I220" s="385" t="b">
        <v>1</v>
      </c>
      <c r="J220" s="386" t="s">
        <v>12141</v>
      </c>
    </row>
    <row r="221" spans="1:10">
      <c r="A221" s="383" t="str">
        <f>CONCATENATE("Reviewed on"," ",(TEXT('2022-2023 Applications Review'!$A221, "mm/dd/yyyy")))</f>
        <v>Reviewed on 08/11/2022</v>
      </c>
      <c r="B221" s="383" t="str">
        <f>'2022-2023 Applications Review'!B221</f>
        <v>Selia _2022</v>
      </c>
      <c r="C221" s="383" t="str">
        <f>'2022-2023 Applications Review'!E221</f>
        <v>Digital Tech</v>
      </c>
      <c r="D221" s="384" t="str">
        <f>'2022-2023 Applications Review'!Q221</f>
        <v>Invite</v>
      </c>
      <c r="E221" s="383"/>
      <c r="F221" s="383"/>
      <c r="G221" s="383"/>
      <c r="H221" s="383"/>
      <c r="I221" s="385" t="b">
        <v>1</v>
      </c>
      <c r="J221" s="386" t="s">
        <v>12142</v>
      </c>
    </row>
    <row r="222" spans="1:10">
      <c r="A222" s="383" t="str">
        <f>CONCATENATE("Reviewed on"," ",(TEXT('2022-2023 Applications Review'!$A222, "mm/dd/yyyy")))</f>
        <v>Reviewed on 08/11/2022</v>
      </c>
      <c r="B222" s="383" t="str">
        <f>'2022-2023 Applications Review'!B222</f>
        <v>Alva Health, Inc. _2022</v>
      </c>
      <c r="C222" s="383" t="str">
        <f>'2022-2023 Applications Review'!E222</f>
        <v>Deep Tech</v>
      </c>
      <c r="D222" s="384" t="str">
        <f>'2022-2023 Applications Review'!Q222</f>
        <v>Revisit/ Cluster</v>
      </c>
      <c r="E222" s="383"/>
      <c r="F222" s="383"/>
      <c r="G222" s="383"/>
      <c r="H222" s="383"/>
      <c r="I222" s="385" t="b">
        <v>1</v>
      </c>
      <c r="J222" s="386" t="s">
        <v>12143</v>
      </c>
    </row>
    <row r="223" spans="1:10">
      <c r="A223" s="383" t="str">
        <f>CONCATENATE("Reviewed on"," ",(TEXT('2022-2023 Applications Review'!$A223, "mm/dd/yyyy")))</f>
        <v>Reviewed on 08/11/2022</v>
      </c>
      <c r="B223" s="383" t="str">
        <f>'2022-2023 Applications Review'!B223</f>
        <v>BetterData _2022</v>
      </c>
      <c r="C223" s="383" t="str">
        <f>'2022-2023 Applications Review'!E223</f>
        <v>Digital Tech</v>
      </c>
      <c r="D223" s="384" t="str">
        <f>'2022-2023 Applications Review'!Q223</f>
        <v>Invite</v>
      </c>
      <c r="E223" s="383"/>
      <c r="F223" s="383"/>
      <c r="G223" s="383"/>
      <c r="H223" s="383"/>
      <c r="I223" s="385" t="b">
        <v>1</v>
      </c>
      <c r="J223" s="386" t="s">
        <v>12144</v>
      </c>
    </row>
    <row r="224" spans="1:10">
      <c r="A224" s="383" t="str">
        <f>CONCATENATE("Reviewed on"," ",(TEXT('2022-2023 Applications Review'!$A224, "mm/dd/yyyy")))</f>
        <v>Reviewed on 08/11/2022</v>
      </c>
      <c r="B224" s="383" t="str">
        <f>'2022-2023 Applications Review'!B224</f>
        <v>Pharmor _2022</v>
      </c>
      <c r="C224" s="383" t="str">
        <f>'2022-2023 Applications Review'!E224</f>
        <v>Deep Tech</v>
      </c>
      <c r="D224" s="384" t="str">
        <f>'2022-2023 Applications Review'!Q224</f>
        <v>Revisit</v>
      </c>
      <c r="E224" s="383"/>
      <c r="F224" s="383"/>
      <c r="G224" s="383"/>
      <c r="H224" s="383"/>
      <c r="I224" s="385" t="b">
        <v>1</v>
      </c>
      <c r="J224" s="386" t="s">
        <v>12145</v>
      </c>
    </row>
    <row r="225" spans="1:10">
      <c r="A225" s="383" t="str">
        <f>CONCATENATE("Reviewed on"," ",(TEXT('2022-2023 Applications Review'!$A225, "mm/dd/yyyy")))</f>
        <v>Reviewed on 08/11/2022</v>
      </c>
      <c r="B225" s="383" t="str">
        <f>'2022-2023 Applications Review'!B225</f>
        <v>eBombo _2022</v>
      </c>
      <c r="C225" s="383" t="str">
        <f>'2022-2023 Applications Review'!E225</f>
        <v>Digital Tech</v>
      </c>
      <c r="D225" s="384" t="str">
        <f>'2022-2023 Applications Review'!Q225</f>
        <v>Invite</v>
      </c>
      <c r="E225" s="383"/>
      <c r="F225" s="383"/>
      <c r="G225" s="383"/>
      <c r="H225" s="383"/>
      <c r="I225" s="385" t="b">
        <v>1</v>
      </c>
      <c r="J225" s="386" t="s">
        <v>12146</v>
      </c>
    </row>
    <row r="226" spans="1:10">
      <c r="A226" s="383" t="str">
        <f>CONCATENATE("Reviewed on"," ",(TEXT('2022-2023 Applications Review'!$A226, "mm/dd/yyyy")))</f>
        <v>Reviewed on 08/11/2022</v>
      </c>
      <c r="B226" s="383" t="str">
        <f>'2022-2023 Applications Review'!B226</f>
        <v>Kleiner Device Labs _2022</v>
      </c>
      <c r="C226" s="383" t="str">
        <f>'2022-2023 Applications Review'!E226</f>
        <v>Life Sciences</v>
      </c>
      <c r="D226" s="384" t="str">
        <f>'2022-2023 Applications Review'!Q226</f>
        <v>Revisit/ Cluster</v>
      </c>
      <c r="E226" s="383"/>
      <c r="F226" s="383"/>
      <c r="G226" s="383"/>
      <c r="H226" s="383"/>
      <c r="I226" s="385" t="b">
        <v>1</v>
      </c>
      <c r="J226" s="386" t="s">
        <v>12147</v>
      </c>
    </row>
    <row r="227" spans="1:10">
      <c r="A227" s="383" t="str">
        <f>CONCATENATE("Reviewed on"," ",(TEXT('2022-2023 Applications Review'!$A227, "mm/dd/yyyy")))</f>
        <v>Reviewed on 08/11/2022</v>
      </c>
      <c r="B227" s="383" t="str">
        <f>'2022-2023 Applications Review'!B227</f>
        <v>REEV _2022</v>
      </c>
      <c r="C227" s="383" t="str">
        <f>'2022-2023 Applications Review'!E227</f>
        <v>Deep Tech</v>
      </c>
      <c r="D227" s="384" t="str">
        <f>'2022-2023 Applications Review'!Q227</f>
        <v>Revisit/ Cluster</v>
      </c>
      <c r="E227" s="383"/>
      <c r="F227" s="383"/>
      <c r="G227" s="383"/>
      <c r="H227" s="383"/>
      <c r="I227" s="385" t="b">
        <v>1</v>
      </c>
      <c r="J227" s="386" t="s">
        <v>12148</v>
      </c>
    </row>
    <row r="228" spans="1:10">
      <c r="A228" s="383" t="str">
        <f>CONCATENATE("Reviewed on"," ",(TEXT('2022-2023 Applications Review'!$A228, "mm/dd/yyyy")))</f>
        <v>Reviewed on 08/11/2022</v>
      </c>
      <c r="B228" s="383" t="str">
        <f>'2022-2023 Applications Review'!B228</f>
        <v>Logie _2022</v>
      </c>
      <c r="C228" s="383" t="str">
        <f>'2022-2023 Applications Review'!E228</f>
        <v>Digital Tech</v>
      </c>
      <c r="D228" s="384" t="str">
        <f>'2022-2023 Applications Review'!Q228</f>
        <v>Invite Next Year</v>
      </c>
      <c r="E228" s="383"/>
      <c r="F228" s="383"/>
      <c r="G228" s="383"/>
      <c r="H228" s="383"/>
      <c r="I228" s="385" t="b">
        <v>1</v>
      </c>
      <c r="J228" s="386" t="s">
        <v>12149</v>
      </c>
    </row>
    <row r="229" spans="1:10">
      <c r="A229" s="383" t="str">
        <f>CONCATENATE("Reviewed on"," ",(TEXT('2022-2023 Applications Review'!$A229, "mm/dd/yyyy")))</f>
        <v>Reviewed on 08/11/2022</v>
      </c>
      <c r="B229" s="383" t="str">
        <f>'2022-2023 Applications Review'!B229</f>
        <v>Safety Arms Systems _2022</v>
      </c>
      <c r="C229" s="383" t="str">
        <f>'2022-2023 Applications Review'!E229</f>
        <v>Deep Tech</v>
      </c>
      <c r="D229" s="384" t="str">
        <f>'2022-2023 Applications Review'!Q229</f>
        <v>Revisit</v>
      </c>
      <c r="E229" s="383"/>
      <c r="F229" s="383"/>
      <c r="G229" s="383"/>
      <c r="H229" s="383"/>
      <c r="I229" s="385" t="b">
        <v>1</v>
      </c>
      <c r="J229" s="386" t="s">
        <v>12150</v>
      </c>
    </row>
    <row r="230" spans="1:10">
      <c r="A230" s="383" t="str">
        <f>CONCATENATE("Reviewed on"," ",(TEXT('2022-2023 Applications Review'!$A230, "mm/dd/yyyy")))</f>
        <v>Reviewed on 08/11/2022</v>
      </c>
      <c r="B230" s="383" t="str">
        <f>'2022-2023 Applications Review'!B230</f>
        <v>LevelFields _2022</v>
      </c>
      <c r="C230" s="383" t="str">
        <f>'2022-2023 Applications Review'!E230</f>
        <v>Digital Tech</v>
      </c>
      <c r="D230" s="384" t="str">
        <f>'2022-2023 Applications Review'!Q230</f>
        <v>Invite</v>
      </c>
      <c r="E230" s="383"/>
      <c r="F230" s="383"/>
      <c r="G230" s="383"/>
      <c r="H230" s="383"/>
      <c r="I230" s="385" t="b">
        <v>1</v>
      </c>
      <c r="J230" s="386" t="s">
        <v>12151</v>
      </c>
    </row>
    <row r="231" spans="1:10">
      <c r="A231" s="383" t="str">
        <f>CONCATENATE("Reviewed on"," ",(TEXT('2022-2023 Applications Review'!$A231, "mm/dd/yyyy")))</f>
        <v>Reviewed on 08/11/2022</v>
      </c>
      <c r="B231" s="383" t="str">
        <f>'2022-2023 Applications Review'!B231</f>
        <v>CRISP-HR Therapeutics _2022</v>
      </c>
      <c r="C231" s="383" t="str">
        <f>'2022-2023 Applications Review'!E231</f>
        <v>Life Sciences</v>
      </c>
      <c r="D231" s="384" t="str">
        <f>'2022-2023 Applications Review'!Q231</f>
        <v>Revisit/ Cluster</v>
      </c>
      <c r="E231" s="383"/>
      <c r="F231" s="383"/>
      <c r="G231" s="383"/>
      <c r="H231" s="383"/>
      <c r="I231" s="385" t="b">
        <v>1</v>
      </c>
      <c r="J231" s="386" t="s">
        <v>12152</v>
      </c>
    </row>
    <row r="232" spans="1:10">
      <c r="A232" s="383" t="str">
        <f>CONCATENATE("Reviewed on"," ",(TEXT('2022-2023 Applications Review'!$A232, "mm/dd/yyyy")))</f>
        <v>Reviewed on 08/11/2022</v>
      </c>
      <c r="B232" s="383" t="str">
        <f>'2022-2023 Applications Review'!B232</f>
        <v>Rockland Technimed limited _2022</v>
      </c>
      <c r="C232" s="383" t="str">
        <f>'2022-2023 Applications Review'!E232</f>
        <v>Deep Tech</v>
      </c>
      <c r="D232" s="384" t="str">
        <f>'2022-2023 Applications Review'!Q232</f>
        <v>Revisit/ Cluster</v>
      </c>
      <c r="E232" s="383"/>
      <c r="F232" s="383"/>
      <c r="G232" s="383"/>
      <c r="H232" s="383"/>
      <c r="I232" s="385" t="b">
        <v>1</v>
      </c>
      <c r="J232" s="386" t="s">
        <v>12153</v>
      </c>
    </row>
    <row r="233" spans="1:10">
      <c r="A233" s="383" t="str">
        <f>CONCATENATE("Reviewed on"," ",(TEXT('2022-2023 Applications Review'!$A233, "mm/dd/yyyy")))</f>
        <v>Reviewed on 08/11/2022</v>
      </c>
      <c r="B233" s="383" t="str">
        <f>'2022-2023 Applications Review'!B233</f>
        <v>Skyline Nav AI Inc. _2022</v>
      </c>
      <c r="C233" s="383" t="str">
        <f>'2022-2023 Applications Review'!E233</f>
        <v>Deep Tech</v>
      </c>
      <c r="D233" s="384" t="str">
        <f>'2022-2023 Applications Review'!Q233</f>
        <v>Revisit/ Cluster</v>
      </c>
      <c r="E233" s="383"/>
      <c r="F233" s="383"/>
      <c r="G233" s="383"/>
      <c r="H233" s="383"/>
      <c r="I233" s="385" t="b">
        <v>1</v>
      </c>
      <c r="J233" s="386" t="s">
        <v>12154</v>
      </c>
    </row>
    <row r="234" spans="1:10">
      <c r="A234" s="383" t="str">
        <f>CONCATENATE("Reviewed on"," ",(TEXT('2022-2023 Applications Review'!$A234, "mm/dd/yyyy")))</f>
        <v>Reviewed on 08/11/2022</v>
      </c>
      <c r="B234" s="383" t="str">
        <f>'2022-2023 Applications Review'!B234</f>
        <v>Helico Bio  _2022</v>
      </c>
      <c r="C234" s="383" t="str">
        <f>'2022-2023 Applications Review'!E234</f>
        <v>Deep Tech</v>
      </c>
      <c r="D234" s="384" t="str">
        <f>'2022-2023 Applications Review'!Q234</f>
        <v>Revisit/ Cluster</v>
      </c>
      <c r="E234" s="383"/>
      <c r="F234" s="383"/>
      <c r="G234" s="383"/>
      <c r="H234" s="383"/>
      <c r="I234" s="385" t="b">
        <v>1</v>
      </c>
      <c r="J234" s="386" t="s">
        <v>12155</v>
      </c>
    </row>
    <row r="235" spans="1:10">
      <c r="A235" s="383" t="str">
        <f>CONCATENATE("Reviewed on"," ",(TEXT('2022-2023 Applications Review'!$A235, "mm/dd/yyyy")))</f>
        <v>Reviewed on 08/11/2022</v>
      </c>
      <c r="B235" s="383" t="str">
        <f>'2022-2023 Applications Review'!B235</f>
        <v>Behamics _2022</v>
      </c>
      <c r="C235" s="383" t="str">
        <f>'2022-2023 Applications Review'!E235</f>
        <v>Digital Tech</v>
      </c>
      <c r="D235" s="384" t="str">
        <f>'2022-2023 Applications Review'!Q235</f>
        <v>Revisit</v>
      </c>
      <c r="E235" s="383"/>
      <c r="F235" s="383"/>
      <c r="G235" s="383"/>
      <c r="H235" s="383"/>
      <c r="I235" s="385" t="b">
        <v>1</v>
      </c>
      <c r="J235" s="386" t="s">
        <v>12156</v>
      </c>
    </row>
    <row r="236" spans="1:10">
      <c r="A236" s="383" t="str">
        <f>CONCATENATE("Reviewed on"," ",(TEXT('2022-2023 Applications Review'!$A236, "mm/dd/yyyy")))</f>
        <v>Reviewed on 08/11/2022</v>
      </c>
      <c r="B236" s="383" t="str">
        <f>'2022-2023 Applications Review'!B236</f>
        <v>Oscillum Biotechnology SL _2022</v>
      </c>
      <c r="C236" s="383" t="str">
        <f>'2022-2023 Applications Review'!E236</f>
        <v>Deep Tech</v>
      </c>
      <c r="D236" s="384" t="str">
        <f>'2022-2023 Applications Review'!Q236</f>
        <v>Invite</v>
      </c>
      <c r="E236" s="383"/>
      <c r="F236" s="383"/>
      <c r="G236" s="383"/>
      <c r="H236" s="383"/>
      <c r="I236" s="385" t="b">
        <v>1</v>
      </c>
      <c r="J236" s="386" t="s">
        <v>12157</v>
      </c>
    </row>
    <row r="237" spans="1:10">
      <c r="A237" s="383" t="str">
        <f>CONCATENATE("Reviewed on"," ",(TEXT('2022-2023 Applications Review'!$A237, "mm/dd/yyyy")))</f>
        <v>Reviewed on 08/11/2022</v>
      </c>
      <c r="B237" s="383" t="str">
        <f>'2022-2023 Applications Review'!B237</f>
        <v>TOMi.digital _2022</v>
      </c>
      <c r="C237" s="383" t="str">
        <f>'2022-2023 Applications Review'!E237</f>
        <v>Digital Tech</v>
      </c>
      <c r="D237" s="384" t="str">
        <f>'2022-2023 Applications Review'!Q237</f>
        <v>Invite</v>
      </c>
      <c r="E237" s="383"/>
      <c r="F237" s="383"/>
      <c r="G237" s="383"/>
      <c r="H237" s="383"/>
      <c r="I237" s="385" t="b">
        <v>1</v>
      </c>
      <c r="J237" s="386" t="s">
        <v>12158</v>
      </c>
    </row>
    <row r="238" spans="1:10">
      <c r="A238" s="383" t="str">
        <f>CONCATENATE("Reviewed on"," ",(TEXT('2022-2023 Applications Review'!$A238, "mm/dd/yyyy")))</f>
        <v>Reviewed on 08/11/2022</v>
      </c>
      <c r="B238" s="383" t="str">
        <f>'2022-2023 Applications Review'!B238</f>
        <v>Novac _2022</v>
      </c>
      <c r="C238" s="383" t="str">
        <f>'2022-2023 Applications Review'!E238</f>
        <v>Deep Tech</v>
      </c>
      <c r="D238" s="384" t="str">
        <f>'2022-2023 Applications Review'!Q238</f>
        <v>Invite</v>
      </c>
      <c r="E238" s="383"/>
      <c r="F238" s="383"/>
      <c r="G238" s="383"/>
      <c r="H238" s="383"/>
      <c r="I238" s="385" t="b">
        <v>1</v>
      </c>
      <c r="J238" s="386" t="s">
        <v>12159</v>
      </c>
    </row>
    <row r="239" spans="1:10">
      <c r="A239" s="383" t="str">
        <f>CONCATENATE("Reviewed on"," ",(TEXT('2022-2023 Applications Review'!$A239, "mm/dd/yyyy")))</f>
        <v>Reviewed on 08/11/2022</v>
      </c>
      <c r="B239" s="383" t="str">
        <f>'2022-2023 Applications Review'!B239</f>
        <v>DFiant _2022</v>
      </c>
      <c r="C239" s="383" t="str">
        <f>'2022-2023 Applications Review'!E239</f>
        <v>Digital Tech</v>
      </c>
      <c r="D239" s="384" t="str">
        <f>'2022-2023 Applications Review'!Q239</f>
        <v>Invite Next Year</v>
      </c>
      <c r="E239" s="383"/>
      <c r="F239" s="383"/>
      <c r="G239" s="383"/>
      <c r="H239" s="383"/>
      <c r="I239" s="385" t="b">
        <v>1</v>
      </c>
      <c r="J239" s="386" t="s">
        <v>12160</v>
      </c>
    </row>
    <row r="240" spans="1:10">
      <c r="A240" s="383" t="str">
        <f>CONCATENATE("Reviewed on"," ",(TEXT('2022-2023 Applications Review'!$A240, "mm/dd/yyyy")))</f>
        <v>Reviewed on 08/11/2022</v>
      </c>
      <c r="B240" s="383" t="str">
        <f>'2022-2023 Applications Review'!B240</f>
        <v>Grow Computer _2022</v>
      </c>
      <c r="C240" s="383" t="str">
        <f>'2022-2023 Applications Review'!E240</f>
        <v>Digital Tech</v>
      </c>
      <c r="D240" s="384" t="str">
        <f>'2022-2023 Applications Review'!Q240</f>
        <v>Invite Next Year</v>
      </c>
      <c r="E240" s="383"/>
      <c r="F240" s="383"/>
      <c r="G240" s="383"/>
      <c r="H240" s="383"/>
      <c r="I240" s="385" t="b">
        <v>1</v>
      </c>
      <c r="J240" s="386" t="s">
        <v>12161</v>
      </c>
    </row>
    <row r="241" spans="1:10">
      <c r="A241" s="383" t="str">
        <f>CONCATENATE("Reviewed on"," ",(TEXT('2022-2023 Applications Review'!$A241, "mm/dd/yyyy")))</f>
        <v>Reviewed on 08/11/2022</v>
      </c>
      <c r="B241" s="383" t="str">
        <f>'2022-2023 Applications Review'!B241</f>
        <v>Smplrspace _2022</v>
      </c>
      <c r="C241" s="383" t="str">
        <f>'2022-2023 Applications Review'!E241</f>
        <v>Digital Tech</v>
      </c>
      <c r="D241" s="384" t="str">
        <f>'2022-2023 Applications Review'!Q241</f>
        <v>Invite Next Year</v>
      </c>
      <c r="E241" s="383"/>
      <c r="F241" s="383"/>
      <c r="G241" s="383"/>
      <c r="H241" s="383"/>
      <c r="I241" s="385" t="b">
        <v>1</v>
      </c>
      <c r="J241" s="386" t="s">
        <v>12162</v>
      </c>
    </row>
    <row r="242" spans="1:10">
      <c r="A242" s="383" t="str">
        <f>CONCATENATE("Reviewed on"," ",(TEXT('2022-2023 Applications Review'!$A242, "mm/dd/yyyy")))</f>
        <v>Reviewed on 08/11/2022</v>
      </c>
      <c r="B242" s="383" t="str">
        <f>'2022-2023 Applications Review'!B242</f>
        <v>YouthBio Therapeutics Inc. _2022</v>
      </c>
      <c r="C242" s="383" t="str">
        <f>'2022-2023 Applications Review'!E242</f>
        <v>Life Sciences</v>
      </c>
      <c r="D242" s="384" t="str">
        <f>'2022-2023 Applications Review'!Q242</f>
        <v>Revisit/ Cluster</v>
      </c>
      <c r="E242" s="383"/>
      <c r="F242" s="383"/>
      <c r="G242" s="383"/>
      <c r="H242" s="383"/>
      <c r="I242" s="385" t="b">
        <v>1</v>
      </c>
      <c r="J242" s="386" t="s">
        <v>12163</v>
      </c>
    </row>
    <row r="243" spans="1:10">
      <c r="A243" s="383" t="str">
        <f>CONCATENATE("Reviewed on"," ",(TEXT('2022-2023 Applications Review'!$A243, "mm/dd/yyyy")))</f>
        <v>Reviewed on 08/11/2022</v>
      </c>
      <c r="B243" s="383" t="str">
        <f>'2022-2023 Applications Review'!B243</f>
        <v>Nerbio _2022</v>
      </c>
      <c r="C243" s="383" t="str">
        <f>'2022-2023 Applications Review'!E243</f>
        <v>Digital Tech</v>
      </c>
      <c r="D243" s="384" t="str">
        <f>'2022-2023 Applications Review'!Q243</f>
        <v>Invite Next Year</v>
      </c>
      <c r="E243" s="383"/>
      <c r="F243" s="383"/>
      <c r="G243" s="383"/>
      <c r="H243" s="383"/>
      <c r="I243" s="385" t="b">
        <v>1</v>
      </c>
      <c r="J243" s="386" t="s">
        <v>12164</v>
      </c>
    </row>
    <row r="244" spans="1:10">
      <c r="A244" s="383" t="str">
        <f>CONCATENATE("Reviewed on"," ",(TEXT('2022-2023 Applications Review'!$A244, "mm/dd/yyyy")))</f>
        <v>Reviewed on 08/11/2022</v>
      </c>
      <c r="B244" s="383" t="str">
        <f>'2022-2023 Applications Review'!B244</f>
        <v>KabCash Inc. _2022</v>
      </c>
      <c r="C244" s="383" t="str">
        <f>'2022-2023 Applications Review'!E244</f>
        <v>Digital Tech</v>
      </c>
      <c r="D244" s="384" t="str">
        <f>'2022-2023 Applications Review'!Q244</f>
        <v>Invite Next Year</v>
      </c>
      <c r="E244" s="383"/>
      <c r="F244" s="383"/>
      <c r="G244" s="383"/>
      <c r="H244" s="383"/>
      <c r="I244" s="385" t="b">
        <v>1</v>
      </c>
      <c r="J244" s="386" t="s">
        <v>12165</v>
      </c>
    </row>
    <row r="245" spans="1:10">
      <c r="A245" s="383" t="str">
        <f>CONCATENATE("Reviewed on"," ",(TEXT('2022-2023 Applications Review'!$A245, "mm/dd/yyyy")))</f>
        <v>Reviewed on 08/11/2022</v>
      </c>
      <c r="B245" s="383" t="str">
        <f>'2022-2023 Applications Review'!B245</f>
        <v>Tazah Technologies _2022</v>
      </c>
      <c r="C245" s="383" t="str">
        <f>'2022-2023 Applications Review'!E245</f>
        <v>Digital Tech</v>
      </c>
      <c r="D245" s="384" t="str">
        <f>'2022-2023 Applications Review'!Q245</f>
        <v>Invite Next Year</v>
      </c>
      <c r="E245" s="383"/>
      <c r="F245" s="383"/>
      <c r="G245" s="383"/>
      <c r="H245" s="383"/>
      <c r="I245" s="385" t="b">
        <v>1</v>
      </c>
      <c r="J245" s="386" t="s">
        <v>12166</v>
      </c>
    </row>
    <row r="246" spans="1:10">
      <c r="A246" s="383" t="str">
        <f>CONCATENATE("Reviewed on"," ",(TEXT('2022-2023 Applications Review'!$A246, "mm/dd/yyyy")))</f>
        <v>Reviewed on 08/11/2022</v>
      </c>
      <c r="B246" s="383" t="str">
        <f>'2022-2023 Applications Review'!B246</f>
        <v>Vocal Image _2022</v>
      </c>
      <c r="C246" s="383" t="str">
        <f>'2022-2023 Applications Review'!E246</f>
        <v>Digital Tech</v>
      </c>
      <c r="D246" s="384" t="str">
        <f>'2022-2023 Applications Review'!Q246</f>
        <v>Invite Next Year</v>
      </c>
      <c r="E246" s="383"/>
      <c r="F246" s="383"/>
      <c r="G246" s="383"/>
      <c r="H246" s="383"/>
      <c r="I246" s="385" t="b">
        <v>1</v>
      </c>
      <c r="J246" s="386" t="s">
        <v>12167</v>
      </c>
    </row>
    <row r="247" spans="1:10">
      <c r="A247" s="383" t="str">
        <f>CONCATENATE("Reviewed on"," ",(TEXT('2022-2023 Applications Review'!$A247, "mm/dd/yyyy")))</f>
        <v>Reviewed on 08/11/2022</v>
      </c>
      <c r="B247" s="383" t="str">
        <f>'2022-2023 Applications Review'!B247</f>
        <v>MarsCharge, Inc. _2022</v>
      </c>
      <c r="C247" s="383" t="str">
        <f>'2022-2023 Applications Review'!E247</f>
        <v>Deep Tech</v>
      </c>
      <c r="D247" s="384" t="str">
        <f>'2022-2023 Applications Review'!Q247</f>
        <v>Invite</v>
      </c>
      <c r="E247" s="383"/>
      <c r="F247" s="383"/>
      <c r="G247" s="383"/>
      <c r="H247" s="383"/>
      <c r="I247" s="385" t="b">
        <v>1</v>
      </c>
      <c r="J247" s="386" t="s">
        <v>12168</v>
      </c>
    </row>
    <row r="248" spans="1:10">
      <c r="A248" s="383" t="str">
        <f>CONCATENATE("Reviewed on"," ",(TEXT('2022-2023 Applications Review'!$A248, "mm/dd/yyyy")))</f>
        <v>Reviewed on 08/11/2022</v>
      </c>
      <c r="B248" s="383" t="str">
        <f>'2022-2023 Applications Review'!B248</f>
        <v>Snacka! _2022</v>
      </c>
      <c r="C248" s="383" t="str">
        <f>'2022-2023 Applications Review'!E248</f>
        <v>Digital Tech</v>
      </c>
      <c r="D248" s="384" t="str">
        <f>'2022-2023 Applications Review'!Q248</f>
        <v>Invite Next Year</v>
      </c>
      <c r="E248" s="383"/>
      <c r="F248" s="383"/>
      <c r="G248" s="383"/>
      <c r="H248" s="383"/>
      <c r="I248" s="385" t="b">
        <v>1</v>
      </c>
      <c r="J248" s="386" t="s">
        <v>12169</v>
      </c>
    </row>
    <row r="249" spans="1:10">
      <c r="A249" s="383" t="str">
        <f>CONCATENATE("Reviewed on"," ",(TEXT('2022-2023 Applications Review'!$A249, "mm/dd/yyyy")))</f>
        <v>Reviewed on 08/11/2022</v>
      </c>
      <c r="B249" s="383" t="str">
        <f>'2022-2023 Applications Review'!B249</f>
        <v>Livin Farms AgriFood GmBh _2022</v>
      </c>
      <c r="C249" s="383" t="str">
        <f>'2022-2023 Applications Review'!E249</f>
        <v>Digital Tech</v>
      </c>
      <c r="D249" s="384" t="str">
        <f>'2022-2023 Applications Review'!Q249</f>
        <v>Invite Next Year</v>
      </c>
      <c r="E249" s="383"/>
      <c r="F249" s="383"/>
      <c r="G249" s="383"/>
      <c r="H249" s="383"/>
      <c r="I249" s="385" t="b">
        <v>1</v>
      </c>
      <c r="J249" s="386" t="s">
        <v>12170</v>
      </c>
    </row>
    <row r="250" spans="1:10">
      <c r="A250" s="383" t="str">
        <f>CONCATENATE("Reviewed on"," ",(TEXT('2022-2023 Applications Review'!$A250, "mm/dd/yyyy")))</f>
        <v>Reviewed on 08/11/2022</v>
      </c>
      <c r="B250" s="383" t="str">
        <f>'2022-2023 Applications Review'!B250</f>
        <v>Singh Biotechnology, LLC _2022</v>
      </c>
      <c r="C250" s="383" t="str">
        <f>'2022-2023 Applications Review'!E250</f>
        <v>Life Sciences</v>
      </c>
      <c r="D250" s="384" t="str">
        <f>'2022-2023 Applications Review'!Q250</f>
        <v>Revisit/ Cluster</v>
      </c>
      <c r="E250" s="383"/>
      <c r="F250" s="383"/>
      <c r="G250" s="383"/>
      <c r="H250" s="383"/>
      <c r="I250" s="385" t="b">
        <v>1</v>
      </c>
      <c r="J250" s="386" t="s">
        <v>12171</v>
      </c>
    </row>
    <row r="251" spans="1:10">
      <c r="A251" s="383" t="str">
        <f>CONCATENATE("Reviewed on"," ",(TEXT('2022-2023 Applications Review'!$A251, "mm/dd/yyyy")))</f>
        <v>Reviewed on 08/11/2022</v>
      </c>
      <c r="B251" s="383" t="str">
        <f>'2022-2023 Applications Review'!B251</f>
        <v>Apollo iGDS, Inc. _2022</v>
      </c>
      <c r="C251" s="383" t="str">
        <f>'2022-2023 Applications Review'!E251</f>
        <v>Digital Tech</v>
      </c>
      <c r="D251" s="384" t="str">
        <f>'2022-2023 Applications Review'!Q251</f>
        <v>Invite Next Year</v>
      </c>
      <c r="E251" s="383"/>
      <c r="F251" s="383"/>
      <c r="G251" s="383"/>
      <c r="H251" s="383"/>
      <c r="I251" s="385" t="b">
        <v>1</v>
      </c>
      <c r="J251" s="386" t="s">
        <v>12172</v>
      </c>
    </row>
    <row r="252" spans="1:10">
      <c r="A252" s="383" t="str">
        <f>CONCATENATE("Reviewed on"," ",(TEXT('2022-2023 Applications Review'!$A252, "mm/dd/yyyy")))</f>
        <v>Reviewed on 08/11/2022</v>
      </c>
      <c r="B252" s="383" t="str">
        <f>'2022-2023 Applications Review'!B252</f>
        <v>Heyhack _2022</v>
      </c>
      <c r="C252" s="383" t="str">
        <f>'2022-2023 Applications Review'!E252</f>
        <v>Digital Tech</v>
      </c>
      <c r="D252" s="384" t="str">
        <f>'2022-2023 Applications Review'!Q252</f>
        <v>Invite Next Year</v>
      </c>
      <c r="E252" s="383"/>
      <c r="F252" s="383"/>
      <c r="G252" s="383"/>
      <c r="H252" s="383"/>
      <c r="I252" s="385" t="b">
        <v>1</v>
      </c>
      <c r="J252" s="386" t="s">
        <v>12173</v>
      </c>
    </row>
    <row r="253" spans="1:10">
      <c r="A253" s="383" t="str">
        <f>CONCATENATE("Reviewed on"," ",(TEXT('2022-2023 Applications Review'!$A253, "mm/dd/yyyy")))</f>
        <v>Reviewed on 08/11/2022</v>
      </c>
      <c r="B253" s="383" t="str">
        <f>'2022-2023 Applications Review'!B253</f>
        <v>GetChkd Inc. _2022</v>
      </c>
      <c r="C253" s="383" t="str">
        <f>'2022-2023 Applications Review'!E253</f>
        <v>Digital Tech</v>
      </c>
      <c r="D253" s="384" t="str">
        <f>'2022-2023 Applications Review'!Q253</f>
        <v>Invite Next Year</v>
      </c>
      <c r="E253" s="383"/>
      <c r="F253" s="383"/>
      <c r="G253" s="383"/>
      <c r="H253" s="383"/>
      <c r="I253" s="385" t="b">
        <v>1</v>
      </c>
      <c r="J253" s="386" t="s">
        <v>12174</v>
      </c>
    </row>
    <row r="254" spans="1:10">
      <c r="A254" s="383" t="str">
        <f>CONCATENATE("Reviewed on"," ",(TEXT('2022-2023 Applications Review'!$A254, "mm/dd/yyyy")))</f>
        <v>Reviewed on 08/11/2022</v>
      </c>
      <c r="B254" s="383" t="str">
        <f>'2022-2023 Applications Review'!B254</f>
        <v>Foundry Spatial _2022</v>
      </c>
      <c r="C254" s="383" t="str">
        <f>'2022-2023 Applications Review'!E254</f>
        <v>Digital Tech</v>
      </c>
      <c r="D254" s="384" t="str">
        <f>'2022-2023 Applications Review'!Q254</f>
        <v>Invite Next Year</v>
      </c>
      <c r="E254" s="383"/>
      <c r="F254" s="383"/>
      <c r="G254" s="383"/>
      <c r="H254" s="383"/>
      <c r="I254" s="385" t="b">
        <v>1</v>
      </c>
      <c r="J254" s="386" t="s">
        <v>12175</v>
      </c>
    </row>
    <row r="255" spans="1:10">
      <c r="A255" s="383" t="str">
        <f>CONCATENATE("Reviewed on"," ",(TEXT('2022-2023 Applications Review'!$A255, "mm/dd/yyyy")))</f>
        <v>Reviewed on 08/11/2022</v>
      </c>
      <c r="B255" s="383" t="str">
        <f>'2022-2023 Applications Review'!B255</f>
        <v>DrainBot  _2022</v>
      </c>
      <c r="C255" s="383" t="str">
        <f>'2022-2023 Applications Review'!E255</f>
        <v>Deep Tech</v>
      </c>
      <c r="D255" s="384" t="str">
        <f>'2022-2023 Applications Review'!Q255</f>
        <v>Revisit</v>
      </c>
      <c r="E255" s="383"/>
      <c r="F255" s="383"/>
      <c r="G255" s="383"/>
      <c r="H255" s="383"/>
      <c r="I255" s="385" t="b">
        <v>1</v>
      </c>
      <c r="J255" s="386" t="s">
        <v>12176</v>
      </c>
    </row>
    <row r="256" spans="1:10">
      <c r="A256" s="383" t="str">
        <f>CONCATENATE("Reviewed on"," ",(TEXT('2022-2023 Applications Review'!$A256, "mm/dd/yyyy")))</f>
        <v>Reviewed on 08/11/2022</v>
      </c>
      <c r="B256" s="383" t="str">
        <f>'2022-2023 Applications Review'!B256</f>
        <v>Orbify, Inc. _2022</v>
      </c>
      <c r="C256" s="383" t="str">
        <f>'2022-2023 Applications Review'!E256</f>
        <v>Deep Tech</v>
      </c>
      <c r="D256" s="384" t="str">
        <f>'2022-2023 Applications Review'!Q256</f>
        <v>Invite Next Year</v>
      </c>
      <c r="E256" s="383"/>
      <c r="F256" s="383"/>
      <c r="G256" s="383"/>
      <c r="H256" s="383"/>
      <c r="I256" s="385" t="b">
        <v>1</v>
      </c>
      <c r="J256" s="386" t="s">
        <v>12177</v>
      </c>
    </row>
    <row r="257" spans="1:10">
      <c r="A257" s="383" t="str">
        <f>CONCATENATE("Reviewed on"," ",(TEXT('2022-2023 Applications Review'!$A257, "mm/dd/yyyy")))</f>
        <v>Reviewed on 08/11/2022</v>
      </c>
      <c r="B257" s="383" t="str">
        <f>'2022-2023 Applications Review'!B257</f>
        <v>Olympian Motors _2022</v>
      </c>
      <c r="C257" s="383" t="str">
        <f>'2022-2023 Applications Review'!E257</f>
        <v>Deep Tech</v>
      </c>
      <c r="D257" s="384" t="str">
        <f>'2022-2023 Applications Review'!Q257</f>
        <v>Invite</v>
      </c>
      <c r="E257" s="383"/>
      <c r="F257" s="383"/>
      <c r="G257" s="383"/>
      <c r="H257" s="383"/>
      <c r="I257" s="385" t="b">
        <v>1</v>
      </c>
      <c r="J257" s="386" t="s">
        <v>12178</v>
      </c>
    </row>
    <row r="258" spans="1:10">
      <c r="A258" s="383" t="str">
        <f>CONCATENATE("Reviewed on"," ",(TEXT('2022-2023 Applications Review'!$A258, "mm/dd/yyyy")))</f>
        <v>Reviewed on 08/11/2022</v>
      </c>
      <c r="B258" s="383" t="str">
        <f>'2022-2023 Applications Review'!B258</f>
        <v>Nordetect _2022</v>
      </c>
      <c r="C258" s="383" t="str">
        <f>'2022-2023 Applications Review'!E258</f>
        <v>Deep Tech</v>
      </c>
      <c r="D258" s="384" t="str">
        <f>'2022-2023 Applications Review'!Q258</f>
        <v>Invite Next Year</v>
      </c>
      <c r="E258" s="383"/>
      <c r="F258" s="383"/>
      <c r="G258" s="383"/>
      <c r="H258" s="383"/>
      <c r="I258" s="385" t="b">
        <v>1</v>
      </c>
      <c r="J258" s="386" t="s">
        <v>12179</v>
      </c>
    </row>
    <row r="259" spans="1:10">
      <c r="A259" s="383" t="str">
        <f>CONCATENATE("Reviewed on"," ",(TEXT('2022-2023 Applications Review'!$A259, "mm/dd/yyyy")))</f>
        <v>Reviewed on 08/11/2022</v>
      </c>
      <c r="B259" s="383" t="str">
        <f>'2022-2023 Applications Review'!B259</f>
        <v>CO2 Lock Corp.  _2022</v>
      </c>
      <c r="C259" s="383" t="str">
        <f>'2022-2023 Applications Review'!E259</f>
        <v>Deep Tech</v>
      </c>
      <c r="D259" s="384" t="str">
        <f>'2022-2023 Applications Review'!Q259</f>
        <v>Invite Next Year</v>
      </c>
      <c r="E259" s="383"/>
      <c r="F259" s="383"/>
      <c r="G259" s="383"/>
      <c r="H259" s="383"/>
      <c r="I259" s="385" t="b">
        <v>1</v>
      </c>
      <c r="J259" s="386" t="s">
        <v>12180</v>
      </c>
    </row>
    <row r="260" spans="1:10">
      <c r="A260" s="383" t="str">
        <f>CONCATENATE("Reviewed on"," ",(TEXT('2022-2023 Applications Review'!$A260, "mm/dd/yyyy")))</f>
        <v>Reviewed on 08/11/2022</v>
      </c>
      <c r="B260" s="383" t="str">
        <f>'2022-2023 Applications Review'!B260</f>
        <v>L-Infinity Labs, Inc. _2022</v>
      </c>
      <c r="C260" s="383" t="str">
        <f>'2022-2023 Applications Review'!E260</f>
        <v>Digital Tech</v>
      </c>
      <c r="D260" s="384" t="str">
        <f>'2022-2023 Applications Review'!Q260</f>
        <v>Invite Next Year</v>
      </c>
      <c r="E260" s="383"/>
      <c r="F260" s="383"/>
      <c r="G260" s="383"/>
      <c r="H260" s="383"/>
      <c r="I260" s="385" t="b">
        <v>1</v>
      </c>
      <c r="J260" s="386" t="s">
        <v>12181</v>
      </c>
    </row>
    <row r="261" spans="1:10">
      <c r="A261" s="383" t="str">
        <f>CONCATENATE("Reviewed on"," ",(TEXT('2022-2023 Applications Review'!$A261, "mm/dd/yyyy")))</f>
        <v>Reviewed on 08/11/2022</v>
      </c>
      <c r="B261" s="383" t="str">
        <f>'2022-2023 Applications Review'!B261</f>
        <v>Vinco _2022</v>
      </c>
      <c r="C261" s="383" t="str">
        <f>'2022-2023 Applications Review'!E261</f>
        <v>Digital Tech</v>
      </c>
      <c r="D261" s="384" t="str">
        <f>'2022-2023 Applications Review'!Q261</f>
        <v>Invite Next Year</v>
      </c>
      <c r="E261" s="383"/>
      <c r="F261" s="383"/>
      <c r="G261" s="383"/>
      <c r="H261" s="383"/>
      <c r="I261" s="385" t="b">
        <v>1</v>
      </c>
      <c r="J261" s="386" t="s">
        <v>12182</v>
      </c>
    </row>
    <row r="262" spans="1:10">
      <c r="A262" s="383" t="str">
        <f>CONCATENATE("Reviewed on"," ",(TEXT('2022-2023 Applications Review'!$A262, "mm/dd/yyyy")))</f>
        <v>Reviewed on 08/11/2022</v>
      </c>
      <c r="B262" s="383" t="str">
        <f>'2022-2023 Applications Review'!B262</f>
        <v>Folks Finance _2022</v>
      </c>
      <c r="C262" s="383" t="str">
        <f>'2022-2023 Applications Review'!E262</f>
        <v>Digital Tech</v>
      </c>
      <c r="D262" s="384" t="str">
        <f>'2022-2023 Applications Review'!Q262</f>
        <v>Invite Next Year</v>
      </c>
      <c r="E262" s="383"/>
      <c r="F262" s="383"/>
      <c r="G262" s="383"/>
      <c r="H262" s="383"/>
      <c r="I262" s="385" t="b">
        <v>1</v>
      </c>
      <c r="J262" s="386" t="s">
        <v>12183</v>
      </c>
    </row>
    <row r="263" spans="1:10">
      <c r="A263" s="383" t="str">
        <f>CONCATENATE("Reviewed on"," ",(TEXT('2022-2023 Applications Review'!$A263, "mm/dd/yyyy")))</f>
        <v>Reviewed on 08/11/2022</v>
      </c>
      <c r="B263" s="383" t="str">
        <f>'2022-2023 Applications Review'!B263</f>
        <v>Tooliqa Inc. _2022</v>
      </c>
      <c r="C263" s="383" t="str">
        <f>'2022-2023 Applications Review'!E263</f>
        <v>Deep Tech</v>
      </c>
      <c r="D263" s="384" t="str">
        <f>'2022-2023 Applications Review'!Q263</f>
        <v>Invite Next Year</v>
      </c>
      <c r="E263" s="383"/>
      <c r="F263" s="383"/>
      <c r="G263" s="383"/>
      <c r="H263" s="383"/>
      <c r="I263" s="385" t="b">
        <v>1</v>
      </c>
      <c r="J263" s="386" t="s">
        <v>12184</v>
      </c>
    </row>
    <row r="264" spans="1:10">
      <c r="A264" s="383" t="str">
        <f>CONCATENATE("Reviewed on"," ",(TEXT('2022-2023 Applications Review'!$A264, "mm/dd/yyyy")))</f>
        <v>Reviewed on 08/11/2022</v>
      </c>
      <c r="B264" s="383" t="str">
        <f>'2022-2023 Applications Review'!B264</f>
        <v>Factinsect _2022</v>
      </c>
      <c r="C264" s="383" t="str">
        <f>'2022-2023 Applications Review'!E264</f>
        <v>Digital Tech</v>
      </c>
      <c r="D264" s="384" t="str">
        <f>'2022-2023 Applications Review'!Q264</f>
        <v>Invite Next Year</v>
      </c>
      <c r="E264" s="383"/>
      <c r="F264" s="383"/>
      <c r="G264" s="383"/>
      <c r="H264" s="383"/>
      <c r="I264" s="385" t="b">
        <v>1</v>
      </c>
      <c r="J264" s="386" t="s">
        <v>12185</v>
      </c>
    </row>
    <row r="265" spans="1:10">
      <c r="A265" s="383" t="str">
        <f>CONCATENATE("Reviewed on"," ",(TEXT('2022-2023 Applications Review'!$A265, "mm/dd/yyyy")))</f>
        <v>Reviewed on 08/11/2022</v>
      </c>
      <c r="B265" s="383" t="str">
        <f>'2022-2023 Applications Review'!B265</f>
        <v>Olokun Minerals _2022</v>
      </c>
      <c r="C265" s="383" t="str">
        <f>'2022-2023 Applications Review'!E265</f>
        <v>Deep Tech</v>
      </c>
      <c r="D265" s="384" t="str">
        <f>'2022-2023 Applications Review'!Q265</f>
        <v>Invite Next Year</v>
      </c>
      <c r="E265" s="383"/>
      <c r="F265" s="383"/>
      <c r="G265" s="383"/>
      <c r="H265" s="383"/>
      <c r="I265" s="385" t="b">
        <v>1</v>
      </c>
      <c r="J265" s="386" t="s">
        <v>12186</v>
      </c>
    </row>
    <row r="266" spans="1:10">
      <c r="A266" s="383" t="str">
        <f>CONCATENATE("Reviewed on"," ",(TEXT('2022-2023 Applications Review'!$A266, "mm/dd/yyyy")))</f>
        <v>Reviewed on 08/11/2022</v>
      </c>
      <c r="B266" s="383" t="str">
        <f>'2022-2023 Applications Review'!B266</f>
        <v>Magic Valley _2022</v>
      </c>
      <c r="C266" s="383" t="str">
        <f>'2022-2023 Applications Review'!E266</f>
        <v>Deep Tech</v>
      </c>
      <c r="D266" s="384" t="str">
        <f>'2022-2023 Applications Review'!Q266</f>
        <v>Invite Next Year</v>
      </c>
      <c r="E266" s="383"/>
      <c r="F266" s="383"/>
      <c r="G266" s="383"/>
      <c r="H266" s="383"/>
      <c r="I266" s="385" t="b">
        <v>1</v>
      </c>
      <c r="J266" s="386" t="s">
        <v>12187</v>
      </c>
    </row>
    <row r="267" spans="1:10">
      <c r="A267" s="383" t="str">
        <f>CONCATENATE("Reviewed on"," ",(TEXT('2022-2023 Applications Review'!$A267, "mm/dd/yyyy")))</f>
        <v>Reviewed on 08/11/2022</v>
      </c>
      <c r="B267" s="383" t="str">
        <f>'2022-2023 Applications Review'!B267</f>
        <v>Peep _2022</v>
      </c>
      <c r="C267" s="383" t="str">
        <f>'2022-2023 Applications Review'!E267</f>
        <v>Deep Tech</v>
      </c>
      <c r="D267" s="384" t="str">
        <f>'2022-2023 Applications Review'!Q267</f>
        <v>Invite Next Year</v>
      </c>
      <c r="E267" s="383"/>
      <c r="F267" s="383"/>
      <c r="G267" s="383"/>
      <c r="H267" s="383"/>
      <c r="I267" s="385" t="b">
        <v>1</v>
      </c>
      <c r="J267" s="386" t="s">
        <v>12188</v>
      </c>
    </row>
    <row r="268" spans="1:10">
      <c r="A268" s="383" t="str">
        <f>CONCATENATE("Reviewed on"," ",(TEXT('2022-2023 Applications Review'!$A268, "mm/dd/yyyy")))</f>
        <v>Reviewed on 08/11/2022</v>
      </c>
      <c r="B268" s="383" t="str">
        <f>'2022-2023 Applications Review'!B268</f>
        <v>ThoughtData _2022</v>
      </c>
      <c r="C268" s="383" t="str">
        <f>'2022-2023 Applications Review'!E268</f>
        <v>Deep Tech</v>
      </c>
      <c r="D268" s="384" t="str">
        <f>'2022-2023 Applications Review'!Q268</f>
        <v>Invite Next Year</v>
      </c>
      <c r="E268" s="383"/>
      <c r="F268" s="383"/>
      <c r="G268" s="383"/>
      <c r="H268" s="383"/>
      <c r="I268" s="385" t="b">
        <v>1</v>
      </c>
      <c r="J268" s="386" t="s">
        <v>12189</v>
      </c>
    </row>
    <row r="269" spans="1:10">
      <c r="A269" s="383" t="str">
        <f>CONCATENATE("Reviewed on"," ",(TEXT('2022-2023 Applications Review'!$A269, "mm/dd/yyyy")))</f>
        <v>Reviewed on 08/11/2022</v>
      </c>
      <c r="B269" s="383" t="str">
        <f>'2022-2023 Applications Review'!B269</f>
        <v>Cleanlight _2022</v>
      </c>
      <c r="C269" s="383" t="str">
        <f>'2022-2023 Applications Review'!E269</f>
        <v>Deep Tech</v>
      </c>
      <c r="D269" s="384" t="str">
        <f>'2022-2023 Applications Review'!Q269</f>
        <v>Invite Next Year</v>
      </c>
      <c r="E269" s="383"/>
      <c r="F269" s="383"/>
      <c r="G269" s="383"/>
      <c r="H269" s="383"/>
      <c r="I269" s="385" t="b">
        <v>1</v>
      </c>
      <c r="J269" s="386" t="s">
        <v>12190</v>
      </c>
    </row>
    <row r="270" spans="1:10">
      <c r="A270" s="383" t="str">
        <f>CONCATENATE("Reviewed on"," ",(TEXT('2022-2023 Applications Review'!$A270, "mm/dd/yyyy")))</f>
        <v>Reviewed on 08/11/2022</v>
      </c>
      <c r="B270" s="383" t="str">
        <f>'2022-2023 Applications Review'!B270</f>
        <v>Gomboc.ai _2022</v>
      </c>
      <c r="C270" s="383" t="str">
        <f>'2022-2023 Applications Review'!E270</f>
        <v>Digital Tech</v>
      </c>
      <c r="D270" s="384" t="str">
        <f>'2022-2023 Applications Review'!Q270</f>
        <v>Invite Next Year</v>
      </c>
      <c r="E270" s="383"/>
      <c r="F270" s="383"/>
      <c r="G270" s="383"/>
      <c r="H270" s="383"/>
      <c r="I270" s="385" t="b">
        <v>1</v>
      </c>
      <c r="J270" s="386" t="s">
        <v>12191</v>
      </c>
    </row>
    <row r="271" spans="1:10">
      <c r="A271" s="383" t="str">
        <f>CONCATENATE("Reviewed on"," ",(TEXT('2022-2023 Applications Review'!$A271, "mm/dd/yyyy")))</f>
        <v>Reviewed on 08/11/2022</v>
      </c>
      <c r="B271" s="383" t="str">
        <f>'2022-2023 Applications Review'!B271</f>
        <v>WeVoice, SL _2022</v>
      </c>
      <c r="C271" s="383" t="str">
        <f>'2022-2023 Applications Review'!E271</f>
        <v>Digital Tech</v>
      </c>
      <c r="D271" s="384" t="str">
        <f>'2022-2023 Applications Review'!Q271</f>
        <v>Invite Next Year</v>
      </c>
      <c r="E271" s="383"/>
      <c r="F271" s="383"/>
      <c r="G271" s="383"/>
      <c r="H271" s="383"/>
      <c r="I271" s="385" t="b">
        <v>1</v>
      </c>
      <c r="J271" s="386" t="s">
        <v>12192</v>
      </c>
    </row>
    <row r="272" spans="1:10">
      <c r="A272" s="383" t="str">
        <f>CONCATENATE("Reviewed on"," ",(TEXT('2022-2023 Applications Review'!$A272, "mm/dd/yyyy")))</f>
        <v>Reviewed on 08/11/2022</v>
      </c>
      <c r="B272" s="383" t="str">
        <f>'2022-2023 Applications Review'!B272</f>
        <v>Summations _2022</v>
      </c>
      <c r="C272" s="383" t="str">
        <f>'2022-2023 Applications Review'!E272</f>
        <v>Digital Tech</v>
      </c>
      <c r="D272" s="384" t="str">
        <f>'2022-2023 Applications Review'!Q272</f>
        <v>Invite Next Year</v>
      </c>
      <c r="E272" s="383"/>
      <c r="F272" s="383"/>
      <c r="G272" s="383"/>
      <c r="H272" s="383"/>
      <c r="I272" s="385" t="b">
        <v>1</v>
      </c>
      <c r="J272" s="386" t="s">
        <v>12193</v>
      </c>
    </row>
    <row r="273" spans="1:10">
      <c r="A273" s="383" t="str">
        <f>CONCATENATE("Reviewed on"," ",(TEXT('2022-2023 Applications Review'!$A273, "mm/dd/yyyy")))</f>
        <v>Reviewed on 08/11/2022</v>
      </c>
      <c r="B273" s="383" t="str">
        <f>'2022-2023 Applications Review'!B273</f>
        <v>Wiingy _2022</v>
      </c>
      <c r="C273" s="383" t="str">
        <f>'2022-2023 Applications Review'!E273</f>
        <v>Digital Tech</v>
      </c>
      <c r="D273" s="384" t="str">
        <f>'2022-2023 Applications Review'!Q273</f>
        <v>Invite Next Year</v>
      </c>
      <c r="E273" s="383"/>
      <c r="F273" s="383"/>
      <c r="G273" s="383"/>
      <c r="H273" s="383"/>
      <c r="I273" s="385" t="b">
        <v>1</v>
      </c>
      <c r="J273" s="386" t="s">
        <v>12194</v>
      </c>
    </row>
    <row r="274" spans="1:10">
      <c r="A274" s="383" t="str">
        <f>CONCATENATE("Reviewed on"," ",(TEXT('2022-2023 Applications Review'!$A274, "mm/dd/yyyy")))</f>
        <v>Reviewed on 08/11/2022</v>
      </c>
      <c r="B274" s="383" t="str">
        <f>'2022-2023 Applications Review'!B274</f>
        <v>GoWit Technology _2022</v>
      </c>
      <c r="C274" s="383" t="str">
        <f>'2022-2023 Applications Review'!E274</f>
        <v>Digital Tech</v>
      </c>
      <c r="D274" s="384" t="str">
        <f>'2022-2023 Applications Review'!Q274</f>
        <v>Invite Next Year</v>
      </c>
      <c r="E274" s="383"/>
      <c r="F274" s="383"/>
      <c r="G274" s="383"/>
      <c r="H274" s="383"/>
      <c r="I274" s="385" t="b">
        <v>1</v>
      </c>
      <c r="J274" s="386" t="s">
        <v>12195</v>
      </c>
    </row>
    <row r="275" spans="1:10">
      <c r="A275" s="383" t="str">
        <f>CONCATENATE("Reviewed on"," ",(TEXT('2022-2023 Applications Review'!$A275, "mm/dd/yyyy")))</f>
        <v>Reviewed on 08/11/2022</v>
      </c>
      <c r="B275" s="383" t="str">
        <f>'2022-2023 Applications Review'!B275</f>
        <v>DEX Insight _2022</v>
      </c>
      <c r="C275" s="383" t="str">
        <f>'2022-2023 Applications Review'!E275</f>
        <v>Digital Tech</v>
      </c>
      <c r="D275" s="384" t="str">
        <f>'2022-2023 Applications Review'!Q275</f>
        <v>Invite Next Year</v>
      </c>
      <c r="E275" s="383"/>
      <c r="F275" s="383"/>
      <c r="G275" s="383"/>
      <c r="H275" s="383"/>
      <c r="I275" s="385" t="b">
        <v>1</v>
      </c>
      <c r="J275" s="386" t="s">
        <v>12196</v>
      </c>
    </row>
    <row r="276" spans="1:10">
      <c r="A276" s="383" t="str">
        <f>CONCATENATE("Reviewed on"," ",(TEXT('2022-2023 Applications Review'!$A276, "mm/dd/yyyy")))</f>
        <v>Reviewed on 08/11/2022</v>
      </c>
      <c r="B276" s="383" t="str">
        <f>'2022-2023 Applications Review'!B276</f>
        <v>Radiolife _2022</v>
      </c>
      <c r="C276" s="383" t="str">
        <f>'2022-2023 Applications Review'!E276</f>
        <v>Deep Tech</v>
      </c>
      <c r="D276" s="384" t="str">
        <f>'2022-2023 Applications Review'!Q276</f>
        <v>Revisit</v>
      </c>
      <c r="E276" s="383"/>
      <c r="F276" s="383"/>
      <c r="G276" s="383"/>
      <c r="H276" s="383"/>
      <c r="I276" s="385" t="b">
        <v>1</v>
      </c>
      <c r="J276" s="386" t="s">
        <v>12197</v>
      </c>
    </row>
    <row r="277" spans="1:10">
      <c r="A277" s="383" t="str">
        <f>CONCATENATE("Reviewed on"," ",(TEXT('2022-2023 Applications Review'!$A277, "mm/dd/yyyy")))</f>
        <v>Reviewed on 08/11/2022</v>
      </c>
      <c r="B277" s="383" t="str">
        <f>'2022-2023 Applications Review'!B277</f>
        <v>SAGEFirst, Inc. _2022</v>
      </c>
      <c r="C277" s="383" t="str">
        <f>'2022-2023 Applications Review'!E277</f>
        <v>Digital Tech</v>
      </c>
      <c r="D277" s="384" t="str">
        <f>'2022-2023 Applications Review'!Q277</f>
        <v>Invite Next Year</v>
      </c>
      <c r="E277" s="383"/>
      <c r="F277" s="383"/>
      <c r="G277" s="383"/>
      <c r="H277" s="383"/>
      <c r="I277" s="385" t="b">
        <v>1</v>
      </c>
      <c r="J277" s="386" t="s">
        <v>12198</v>
      </c>
    </row>
    <row r="278" spans="1:10">
      <c r="A278" s="383" t="str">
        <f>CONCATENATE("Reviewed on"," ",(TEXT('2022-2023 Applications Review'!$A278, "mm/dd/yyyy")))</f>
        <v>Reviewed on 08/11/2022</v>
      </c>
      <c r="B278" s="383" t="str">
        <f>'2022-2023 Applications Review'!B278</f>
        <v>Key2enable Assistive Technology _2022</v>
      </c>
      <c r="C278" s="383" t="str">
        <f>'2022-2023 Applications Review'!E278</f>
        <v>Deep Tech</v>
      </c>
      <c r="D278" s="384" t="str">
        <f>'2022-2023 Applications Review'!Q278</f>
        <v>Invite Next Year</v>
      </c>
      <c r="E278" s="383"/>
      <c r="F278" s="383"/>
      <c r="G278" s="383"/>
      <c r="H278" s="383"/>
      <c r="I278" s="385" t="b">
        <v>1</v>
      </c>
      <c r="J278" s="386" t="s">
        <v>12199</v>
      </c>
    </row>
    <row r="279" spans="1:10">
      <c r="A279" s="383" t="str">
        <f>CONCATENATE("Reviewed on"," ",(TEXT('2022-2023 Applications Review'!$A279, "mm/dd/yyyy")))</f>
        <v>Reviewed on 08/11/2022</v>
      </c>
      <c r="B279" s="383" t="str">
        <f>'2022-2023 Applications Review'!B279</f>
        <v>Voltiza Inc _2022</v>
      </c>
      <c r="C279" s="383" t="str">
        <f>'2022-2023 Applications Review'!E279</f>
        <v>Deep Tech</v>
      </c>
      <c r="D279" s="384" t="str">
        <f>'2022-2023 Applications Review'!Q279</f>
        <v>Invite Next Year</v>
      </c>
      <c r="E279" s="383"/>
      <c r="F279" s="383"/>
      <c r="G279" s="383"/>
      <c r="H279" s="383"/>
      <c r="I279" s="385" t="b">
        <v>1</v>
      </c>
      <c r="J279" s="386" t="s">
        <v>12200</v>
      </c>
    </row>
    <row r="280" spans="1:10">
      <c r="A280" s="383" t="str">
        <f>CONCATENATE("Reviewed on"," ",(TEXT('2022-2023 Applications Review'!$A280, "mm/dd/yyyy")))</f>
        <v>Reviewed on 08/11/2022</v>
      </c>
      <c r="B280" s="383" t="str">
        <f>'2022-2023 Applications Review'!B280</f>
        <v>Wyblo srl  _2022</v>
      </c>
      <c r="C280" s="383" t="str">
        <f>'2022-2023 Applications Review'!E280</f>
        <v>Digital Tech</v>
      </c>
      <c r="D280" s="384" t="str">
        <f>'2022-2023 Applications Review'!Q280</f>
        <v>Invite Next Year</v>
      </c>
      <c r="E280" s="383"/>
      <c r="F280" s="383"/>
      <c r="G280" s="383"/>
      <c r="H280" s="383"/>
      <c r="I280" s="385" t="b">
        <v>1</v>
      </c>
      <c r="J280" s="386" t="s">
        <v>12201</v>
      </c>
    </row>
    <row r="281" spans="1:10">
      <c r="A281" s="383" t="str">
        <f>CONCATENATE("Reviewed on"," ",(TEXT('2022-2023 Applications Review'!$A281, "mm/dd/yyyy")))</f>
        <v>Reviewed on 08/11/2022</v>
      </c>
      <c r="B281" s="383" t="str">
        <f>'2022-2023 Applications Review'!B281</f>
        <v>Zoios _2022</v>
      </c>
      <c r="C281" s="383" t="str">
        <f>'2022-2023 Applications Review'!E281</f>
        <v>Digital Tech</v>
      </c>
      <c r="D281" s="384" t="str">
        <f>'2022-2023 Applications Review'!Q281</f>
        <v>Invite Next Year</v>
      </c>
      <c r="E281" s="383"/>
      <c r="F281" s="383"/>
      <c r="G281" s="383"/>
      <c r="H281" s="383"/>
      <c r="I281" s="385" t="b">
        <v>1</v>
      </c>
      <c r="J281" s="386" t="s">
        <v>12202</v>
      </c>
    </row>
    <row r="282" spans="1:10">
      <c r="A282" s="383" t="str">
        <f>CONCATENATE("Reviewed on"," ",(TEXT('2022-2023 Applications Review'!$A282, "mm/dd/yyyy")))</f>
        <v>Reviewed on 08/11/2022</v>
      </c>
      <c r="B282" s="383" t="str">
        <f>'2022-2023 Applications Review'!B282</f>
        <v>AGR Health, LLC _2022</v>
      </c>
      <c r="C282" s="383" t="str">
        <f>'2022-2023 Applications Review'!E282</f>
        <v>Digital Tech</v>
      </c>
      <c r="D282" s="384" t="str">
        <f>'2022-2023 Applications Review'!Q282</f>
        <v>Invite Next Year</v>
      </c>
      <c r="E282" s="383"/>
      <c r="F282" s="383"/>
      <c r="G282" s="383"/>
      <c r="H282" s="383"/>
      <c r="I282" s="385" t="b">
        <v>1</v>
      </c>
      <c r="J282" s="386" t="s">
        <v>12203</v>
      </c>
    </row>
    <row r="283" spans="1:10">
      <c r="A283" s="383" t="str">
        <f>CONCATENATE("Reviewed on"," ",(TEXT('2022-2023 Applications Review'!$A283, "mm/dd/yyyy")))</f>
        <v>Reviewed on 08/11/2022</v>
      </c>
      <c r="B283" s="383" t="str">
        <f>'2022-2023 Applications Review'!B283</f>
        <v>Monocle _2022</v>
      </c>
      <c r="C283" s="383" t="str">
        <f>'2022-2023 Applications Review'!E283</f>
        <v>Digital Tech</v>
      </c>
      <c r="D283" s="384" t="str">
        <f>'2022-2023 Applications Review'!Q283</f>
        <v>Invite Next Year</v>
      </c>
      <c r="E283" s="383"/>
      <c r="F283" s="383"/>
      <c r="G283" s="383"/>
      <c r="H283" s="383"/>
      <c r="I283" s="385" t="b">
        <v>1</v>
      </c>
      <c r="J283" s="386" t="s">
        <v>12204</v>
      </c>
    </row>
    <row r="284" spans="1:10">
      <c r="A284" s="383" t="str">
        <f>CONCATENATE("Reviewed on"," ",(TEXT('2022-2023 Applications Review'!$A284, "mm/dd/yyyy")))</f>
        <v>Reviewed on 08/11/2022</v>
      </c>
      <c r="B284" s="383" t="str">
        <f>'2022-2023 Applications Review'!B284</f>
        <v>PlateRate _2022</v>
      </c>
      <c r="C284" s="383" t="str">
        <f>'2022-2023 Applications Review'!E284</f>
        <v>Digital Tech</v>
      </c>
      <c r="D284" s="384" t="str">
        <f>'2022-2023 Applications Review'!Q284</f>
        <v>Invite Next Year</v>
      </c>
      <c r="E284" s="383"/>
      <c r="F284" s="383"/>
      <c r="G284" s="383"/>
      <c r="H284" s="383"/>
      <c r="I284" s="385" t="b">
        <v>1</v>
      </c>
      <c r="J284" s="386" t="s">
        <v>12205</v>
      </c>
    </row>
    <row r="285" spans="1:10">
      <c r="A285" s="383" t="str">
        <f>CONCATENATE("Reviewed on"," ",(TEXT('2022-2023 Applications Review'!$A285, "mm/dd/yyyy")))</f>
        <v>Reviewed on 08/11/2022</v>
      </c>
      <c r="B285" s="383" t="str">
        <f>'2022-2023 Applications Review'!B285</f>
        <v>Periomics Care _2022</v>
      </c>
      <c r="C285" s="383" t="str">
        <f>'2022-2023 Applications Review'!E285</f>
        <v>Life Sciences</v>
      </c>
      <c r="D285" s="384" t="str">
        <f>'2022-2023 Applications Review'!Q285</f>
        <v>Special Reject</v>
      </c>
      <c r="E285" s="383"/>
      <c r="F285" s="383"/>
      <c r="G285" s="383"/>
      <c r="H285" s="383"/>
      <c r="I285" s="385" t="b">
        <v>1</v>
      </c>
      <c r="J285" s="386" t="s">
        <v>12206</v>
      </c>
    </row>
    <row r="286" spans="1:10">
      <c r="A286" s="383" t="str">
        <f>CONCATENATE("Reviewed on"," ",(TEXT('2022-2023 Applications Review'!$A286, "mm/dd/yyyy")))</f>
        <v>Reviewed on 08/11/2022</v>
      </c>
      <c r="B286" s="383" t="str">
        <f>'2022-2023 Applications Review'!B286</f>
        <v>Elementa Labs _2022</v>
      </c>
      <c r="C286" s="383" t="str">
        <f>'2022-2023 Applications Review'!E286</f>
        <v>Deep Tech</v>
      </c>
      <c r="D286" s="384" t="str">
        <f>'2022-2023 Applications Review'!Q286</f>
        <v>Invite Next Year</v>
      </c>
      <c r="E286" s="383"/>
      <c r="F286" s="383"/>
      <c r="G286" s="383"/>
      <c r="H286" s="383"/>
      <c r="I286" s="385" t="b">
        <v>1</v>
      </c>
      <c r="J286" s="386" t="s">
        <v>12207</v>
      </c>
    </row>
    <row r="287" spans="1:10">
      <c r="A287" s="383" t="str">
        <f>CONCATENATE("Reviewed on"," ",(TEXT('2022-2023 Applications Review'!$A287, "mm/dd/yyyy")))</f>
        <v>Reviewed on 08/11/2022</v>
      </c>
      <c r="B287" s="383" t="str">
        <f>'2022-2023 Applications Review'!B287</f>
        <v>My Greens 2021 SL _2022</v>
      </c>
      <c r="C287" s="383" t="str">
        <f>'2022-2023 Applications Review'!E287</f>
        <v>Life Sciences</v>
      </c>
      <c r="D287" s="384" t="str">
        <f>'2022-2023 Applications Review'!Q287</f>
        <v>Invite Next Year</v>
      </c>
      <c r="E287" s="383"/>
      <c r="F287" s="383"/>
      <c r="G287" s="383"/>
      <c r="H287" s="383"/>
      <c r="I287" s="385" t="b">
        <v>1</v>
      </c>
      <c r="J287" s="386" t="s">
        <v>12208</v>
      </c>
    </row>
    <row r="288" spans="1:10">
      <c r="A288" s="383" t="str">
        <f>CONCATENATE("Reviewed on"," ",(TEXT('2022-2023 Applications Review'!$A288, "mm/dd/yyyy")))</f>
        <v>Reviewed on 08/11/2022</v>
      </c>
      <c r="B288" s="383" t="str">
        <f>'2022-2023 Applications Review'!B288</f>
        <v>BLUEWAVE Technologies _2022</v>
      </c>
      <c r="C288" s="383" t="str">
        <f>'2022-2023 Applications Review'!E288</f>
        <v>Life Sciences</v>
      </c>
      <c r="D288" s="384" t="str">
        <f>'2022-2023 Applications Review'!Q288</f>
        <v>Invite Next Year</v>
      </c>
      <c r="E288" s="383"/>
      <c r="F288" s="383"/>
      <c r="G288" s="383"/>
      <c r="H288" s="383"/>
      <c r="I288" s="385" t="b">
        <v>1</v>
      </c>
      <c r="J288" s="386" t="s">
        <v>12209</v>
      </c>
    </row>
    <row r="289" spans="1:10">
      <c r="A289" s="383" t="str">
        <f>CONCATENATE("Reviewed on"," ",(TEXT('2022-2023 Applications Review'!$A289, "mm/dd/yyyy")))</f>
        <v>Reviewed on 08/11/2022</v>
      </c>
      <c r="B289" s="383" t="str">
        <f>'2022-2023 Applications Review'!B289</f>
        <v>Eco-Panels LLC _2022</v>
      </c>
      <c r="C289" s="383" t="str">
        <f>'2022-2023 Applications Review'!E289</f>
        <v>Deep Tech</v>
      </c>
      <c r="D289" s="384" t="str">
        <f>'2022-2023 Applications Review'!Q289</f>
        <v>Invite Next Year</v>
      </c>
      <c r="E289" s="383"/>
      <c r="F289" s="383"/>
      <c r="G289" s="383"/>
      <c r="H289" s="383"/>
      <c r="I289" s="385" t="b">
        <v>1</v>
      </c>
      <c r="J289" s="386" t="s">
        <v>12210</v>
      </c>
    </row>
    <row r="290" spans="1:10">
      <c r="A290" s="383" t="str">
        <f>CONCATENATE("Reviewed on"," ",(TEXT('2022-2023 Applications Review'!$A290, "mm/dd/yyyy")))</f>
        <v>Reviewed on 08/11/2022</v>
      </c>
      <c r="B290" s="383" t="str">
        <f>'2022-2023 Applications Review'!B290</f>
        <v>Revamp Moto Pvt. Ltd. _2022</v>
      </c>
      <c r="C290" s="383" t="str">
        <f>'2022-2023 Applications Review'!E290</f>
        <v>Deep Tech</v>
      </c>
      <c r="D290" s="384" t="str">
        <f>'2022-2023 Applications Review'!Q290</f>
        <v>Invite Next Year</v>
      </c>
      <c r="E290" s="383"/>
      <c r="F290" s="383"/>
      <c r="G290" s="383"/>
      <c r="H290" s="383"/>
      <c r="I290" s="385" t="b">
        <v>1</v>
      </c>
      <c r="J290" s="386" t="s">
        <v>12211</v>
      </c>
    </row>
    <row r="291" spans="1:10">
      <c r="A291" s="383" t="str">
        <f>CONCATENATE("Reviewed on"," ",(TEXT('2022-2023 Applications Review'!$A291, "mm/dd/yyyy")))</f>
        <v>Reviewed on 08/11/2022</v>
      </c>
      <c r="B291" s="383" t="str">
        <f>'2022-2023 Applications Review'!B291</f>
        <v>PhoneOptika Ltd. _2022</v>
      </c>
      <c r="C291" s="383" t="str">
        <f>'2022-2023 Applications Review'!E291</f>
        <v>Deep Tech</v>
      </c>
      <c r="D291" s="384" t="str">
        <f>'2022-2023 Applications Review'!Q291</f>
        <v>Revisit</v>
      </c>
      <c r="E291" s="383"/>
      <c r="F291" s="383"/>
      <c r="G291" s="383"/>
      <c r="H291" s="383"/>
      <c r="I291" s="385" t="b">
        <v>1</v>
      </c>
      <c r="J291" s="386" t="s">
        <v>12212</v>
      </c>
    </row>
    <row r="292" spans="1:10">
      <c r="A292" s="383" t="str">
        <f>CONCATENATE("Reviewed on"," ",(TEXT('2022-2023 Applications Review'!$A292, "mm/dd/yyyy")))</f>
        <v>Reviewed on 08/11/2022</v>
      </c>
      <c r="B292" s="383" t="str">
        <f>'2022-2023 Applications Review'!B292</f>
        <v>Pajama Cats Media _2022</v>
      </c>
      <c r="C292" s="383" t="str">
        <f>'2022-2023 Applications Review'!E292</f>
        <v>Digital Tech</v>
      </c>
      <c r="D292" s="384" t="str">
        <f>'2022-2023 Applications Review'!Q292</f>
        <v>Invite Next Year</v>
      </c>
      <c r="E292" s="383"/>
      <c r="F292" s="383"/>
      <c r="G292" s="383"/>
      <c r="H292" s="383"/>
      <c r="I292" s="385" t="b">
        <v>1</v>
      </c>
      <c r="J292" s="386" t="s">
        <v>12213</v>
      </c>
    </row>
    <row r="293" spans="1:10">
      <c r="A293" s="383" t="str">
        <f>CONCATENATE("Reviewed on"," ",(TEXT('2022-2023 Applications Review'!$A293, "mm/dd/yyyy")))</f>
        <v>Reviewed on 08/11/2022</v>
      </c>
      <c r="B293" s="383" t="str">
        <f>'2022-2023 Applications Review'!B293</f>
        <v>Deskfirst, Inc. _2022</v>
      </c>
      <c r="C293" s="383" t="str">
        <f>'2022-2023 Applications Review'!E293</f>
        <v>Digital Tech</v>
      </c>
      <c r="D293" s="384" t="str">
        <f>'2022-2023 Applications Review'!Q293</f>
        <v>Invite Next Year</v>
      </c>
      <c r="E293" s="383"/>
      <c r="F293" s="383"/>
      <c r="G293" s="383"/>
      <c r="H293" s="383"/>
      <c r="I293" s="385" t="b">
        <v>1</v>
      </c>
      <c r="J293" s="386" t="s">
        <v>12214</v>
      </c>
    </row>
    <row r="294" spans="1:10">
      <c r="A294" s="383" t="str">
        <f>CONCATENATE("Reviewed on"," ",(TEXT('2022-2023 Applications Review'!$A294, "mm/dd/yyyy")))</f>
        <v>Reviewed on 08/11/2022</v>
      </c>
      <c r="B294" s="383" t="str">
        <f>'2022-2023 Applications Review'!B294</f>
        <v>Aequaland Studio SA _2022</v>
      </c>
      <c r="C294" s="383" t="str">
        <f>'2022-2023 Applications Review'!E294</f>
        <v>Digital Tech</v>
      </c>
      <c r="D294" s="384" t="str">
        <f>'2022-2023 Applications Review'!Q294</f>
        <v>Invite Next Year</v>
      </c>
      <c r="E294" s="383"/>
      <c r="F294" s="383"/>
      <c r="G294" s="383"/>
      <c r="H294" s="383"/>
      <c r="I294" s="385" t="b">
        <v>1</v>
      </c>
      <c r="J294" s="386" t="s">
        <v>12215</v>
      </c>
    </row>
    <row r="295" spans="1:10">
      <c r="A295" s="383" t="str">
        <f>CONCATENATE("Reviewed on"," ",(TEXT('2022-2023 Applications Review'!$A295, "mm/dd/yyyy")))</f>
        <v>Reviewed on 08/11/2022</v>
      </c>
      <c r="B295" s="383" t="str">
        <f>'2022-2023 Applications Review'!B295</f>
        <v>3F Waste Recovery _2022</v>
      </c>
      <c r="C295" s="383" t="str">
        <f>'2022-2023 Applications Review'!E295</f>
        <v>Life Sciences</v>
      </c>
      <c r="D295" s="384" t="str">
        <f>'2022-2023 Applications Review'!Q295</f>
        <v>Invite Next Year</v>
      </c>
      <c r="E295" s="383"/>
      <c r="F295" s="383"/>
      <c r="G295" s="383"/>
      <c r="H295" s="383"/>
      <c r="I295" s="385" t="b">
        <v>1</v>
      </c>
      <c r="J295" s="386" t="s">
        <v>12216</v>
      </c>
    </row>
    <row r="296" spans="1:10">
      <c r="A296" s="383" t="str">
        <f>CONCATENATE("Reviewed on"," ",(TEXT('2022-2023 Applications Review'!$A296, "mm/dd/yyyy")))</f>
        <v>Reviewed on 08/11/2022</v>
      </c>
      <c r="B296" s="383" t="str">
        <f>'2022-2023 Applications Review'!B296</f>
        <v>Strich, Inc. _2022</v>
      </c>
      <c r="C296" s="383" t="str">
        <f>'2022-2023 Applications Review'!E296</f>
        <v>Digital Tech</v>
      </c>
      <c r="D296" s="384" t="str">
        <f>'2022-2023 Applications Review'!Q296</f>
        <v>Invite Next Year</v>
      </c>
      <c r="E296" s="383"/>
      <c r="F296" s="383"/>
      <c r="G296" s="383"/>
      <c r="H296" s="383"/>
      <c r="I296" s="385" t="b">
        <v>1</v>
      </c>
      <c r="J296" s="386" t="s">
        <v>12217</v>
      </c>
    </row>
    <row r="297" spans="1:10">
      <c r="A297" s="383" t="str">
        <f>CONCATENATE("Reviewed on"," ",(TEXT('2022-2023 Applications Review'!$A297, "mm/dd/yyyy")))</f>
        <v>Reviewed on 08/11/2022</v>
      </c>
      <c r="B297" s="383" t="str">
        <f>'2022-2023 Applications Review'!B297</f>
        <v>Mumerz for Ecommerce _2022</v>
      </c>
      <c r="C297" s="383" t="str">
        <f>'2022-2023 Applications Review'!E297</f>
        <v>Digital Tech</v>
      </c>
      <c r="D297" s="384" t="str">
        <f>'2022-2023 Applications Review'!Q297</f>
        <v>Invite Next Year</v>
      </c>
      <c r="E297" s="383"/>
      <c r="F297" s="383"/>
      <c r="G297" s="383"/>
      <c r="H297" s="383"/>
      <c r="I297" s="385" t="b">
        <v>1</v>
      </c>
      <c r="J297" s="386" t="s">
        <v>12218</v>
      </c>
    </row>
    <row r="298" spans="1:10">
      <c r="A298" s="383" t="str">
        <f>CONCATENATE("Reviewed on"," ",(TEXT('2022-2023 Applications Review'!$A298, "mm/dd/yyyy")))</f>
        <v>Reviewed on 08/11/2022</v>
      </c>
      <c r="B298" s="383" t="str">
        <f>'2022-2023 Applications Review'!B298</f>
        <v>the klubb _2022</v>
      </c>
      <c r="C298" s="383" t="str">
        <f>'2022-2023 Applications Review'!E298</f>
        <v>Digital Tech</v>
      </c>
      <c r="D298" s="384" t="str">
        <f>'2022-2023 Applications Review'!Q298</f>
        <v>Invite Next Year</v>
      </c>
      <c r="E298" s="383"/>
      <c r="F298" s="383"/>
      <c r="G298" s="383"/>
      <c r="H298" s="383"/>
      <c r="I298" s="385" t="b">
        <v>1</v>
      </c>
      <c r="J298" s="386" t="s">
        <v>12219</v>
      </c>
    </row>
    <row r="299" spans="1:10">
      <c r="A299" s="383" t="str">
        <f>CONCATENATE("Reviewed on"," ",(TEXT('2022-2023 Applications Review'!$A299, "mm/dd/yyyy")))</f>
        <v>Reviewed on 08/11/2022</v>
      </c>
      <c r="B299" s="383" t="str">
        <f>'2022-2023 Applications Review'!B299</f>
        <v>GenoFAB, Inc. _2022</v>
      </c>
      <c r="C299" s="383" t="str">
        <f>'2022-2023 Applications Review'!E299</f>
        <v>Life Sciences</v>
      </c>
      <c r="D299" s="384" t="str">
        <f>'2022-2023 Applications Review'!Q299</f>
        <v>Invite Next Year</v>
      </c>
      <c r="E299" s="383"/>
      <c r="F299" s="383"/>
      <c r="G299" s="383"/>
      <c r="H299" s="383"/>
      <c r="I299" s="385" t="b">
        <v>1</v>
      </c>
      <c r="J299" s="386" t="s">
        <v>12220</v>
      </c>
    </row>
    <row r="300" spans="1:10">
      <c r="A300" s="383" t="str">
        <f>CONCATENATE("Reviewed on"," ",(TEXT('2022-2023 Applications Review'!$A300, "mm/dd/yyyy")))</f>
        <v>Reviewed on 08/11/2022</v>
      </c>
      <c r="B300" s="383" t="str">
        <f>'2022-2023 Applications Review'!B300</f>
        <v>Nume _2022</v>
      </c>
      <c r="C300" s="383" t="str">
        <f>'2022-2023 Applications Review'!E300</f>
        <v>Digital Tech</v>
      </c>
      <c r="D300" s="384" t="str">
        <f>'2022-2023 Applications Review'!Q300</f>
        <v>Invite Next Year</v>
      </c>
      <c r="E300" s="383"/>
      <c r="F300" s="383"/>
      <c r="G300" s="383"/>
      <c r="H300" s="383"/>
      <c r="I300" s="385" t="b">
        <v>1</v>
      </c>
      <c r="J300" s="386" t="s">
        <v>12221</v>
      </c>
    </row>
    <row r="301" spans="1:10">
      <c r="A301" s="383" t="str">
        <f>CONCATENATE("Reviewed on"," ",(TEXT('2022-2023 Applications Review'!$A301, "mm/dd/yyyy")))</f>
        <v>Reviewed on 08/11/2022</v>
      </c>
      <c r="B301" s="383" t="str">
        <f>'2022-2023 Applications Review'!B301</f>
        <v>Axyz (Bundled, Inc.) _2022</v>
      </c>
      <c r="C301" s="383" t="str">
        <f>'2022-2023 Applications Review'!E301</f>
        <v>Digital Tech</v>
      </c>
      <c r="D301" s="384" t="str">
        <f>'2022-2023 Applications Review'!Q301</f>
        <v>Invite Next Year</v>
      </c>
      <c r="E301" s="383"/>
      <c r="F301" s="383"/>
      <c r="G301" s="383"/>
      <c r="H301" s="383"/>
      <c r="I301" s="385" t="b">
        <v>1</v>
      </c>
      <c r="J301" s="386" t="s">
        <v>12222</v>
      </c>
    </row>
    <row r="302" spans="1:10">
      <c r="A302" s="383" t="str">
        <f>CONCATENATE("Reviewed on"," ",(TEXT('2022-2023 Applications Review'!$A302, "mm/dd/yyyy")))</f>
        <v>Reviewed on 08/11/2022</v>
      </c>
      <c r="B302" s="383" t="str">
        <f>'2022-2023 Applications Review'!B302</f>
        <v>iVoice Africa Media _2022</v>
      </c>
      <c r="C302" s="383" t="str">
        <f>'2022-2023 Applications Review'!E302</f>
        <v>Deep Tech</v>
      </c>
      <c r="D302" s="384" t="str">
        <f>'2022-2023 Applications Review'!Q302</f>
        <v>Invite Next Year</v>
      </c>
      <c r="E302" s="383"/>
      <c r="F302" s="383"/>
      <c r="G302" s="383"/>
      <c r="H302" s="383"/>
      <c r="I302" s="385" t="b">
        <v>1</v>
      </c>
      <c r="J302" s="386" t="s">
        <v>12223</v>
      </c>
    </row>
    <row r="303" spans="1:10">
      <c r="A303" s="383" t="str">
        <f>CONCATENATE("Reviewed on"," ",(TEXT('2022-2023 Applications Review'!$A303, "mm/dd/yyyy")))</f>
        <v>Reviewed on 08/11/2022</v>
      </c>
      <c r="B303" s="383" t="str">
        <f>'2022-2023 Applications Review'!B303</f>
        <v>Dealbook, Inc. _2022</v>
      </c>
      <c r="C303" s="383" t="str">
        <f>'2022-2023 Applications Review'!E303</f>
        <v>Digital Tech</v>
      </c>
      <c r="D303" s="384" t="str">
        <f>'2022-2023 Applications Review'!Q303</f>
        <v>Invite Next Year</v>
      </c>
      <c r="E303" s="383"/>
      <c r="F303" s="383"/>
      <c r="G303" s="383"/>
      <c r="H303" s="383"/>
      <c r="I303" s="385" t="b">
        <v>1</v>
      </c>
      <c r="J303" s="386" t="s">
        <v>12224</v>
      </c>
    </row>
    <row r="304" spans="1:10">
      <c r="A304" s="383" t="str">
        <f>CONCATENATE("Reviewed on"," ",(TEXT('2022-2023 Applications Review'!$A304, "mm/dd/yyyy")))</f>
        <v>Reviewed on 08/11/2022</v>
      </c>
      <c r="B304" s="383" t="str">
        <f>'2022-2023 Applications Review'!B304</f>
        <v>Gembridge Pte Ltd _2022</v>
      </c>
      <c r="C304" s="383" t="str">
        <f>'2022-2023 Applications Review'!E304</f>
        <v>Digital Tech</v>
      </c>
      <c r="D304" s="384" t="str">
        <f>'2022-2023 Applications Review'!Q304</f>
        <v>Invite Next Year</v>
      </c>
      <c r="E304" s="383"/>
      <c r="F304" s="383"/>
      <c r="G304" s="383"/>
      <c r="H304" s="383"/>
      <c r="I304" s="385" t="b">
        <v>1</v>
      </c>
      <c r="J304" s="386" t="s">
        <v>12225</v>
      </c>
    </row>
    <row r="305" spans="1:10">
      <c r="A305" s="383" t="str">
        <f>CONCATENATE("Reviewed on"," ",(TEXT('2022-2023 Applications Review'!$A305, "mm/dd/yyyy")))</f>
        <v>Reviewed on 08/11/2022</v>
      </c>
      <c r="B305" s="383" t="str">
        <f>'2022-2023 Applications Review'!B305</f>
        <v>Primary Assembly _2022</v>
      </c>
      <c r="C305" s="383" t="str">
        <f>'2022-2023 Applications Review'!E305</f>
        <v>Digital Tech</v>
      </c>
      <c r="D305" s="384" t="str">
        <f>'2022-2023 Applications Review'!Q305</f>
        <v>Invite Next Year</v>
      </c>
      <c r="E305" s="383"/>
      <c r="F305" s="383"/>
      <c r="G305" s="383"/>
      <c r="H305" s="383"/>
      <c r="I305" s="385" t="b">
        <v>1</v>
      </c>
      <c r="J305" s="386" t="s">
        <v>12226</v>
      </c>
    </row>
    <row r="306" spans="1:10">
      <c r="A306" s="383" t="str">
        <f>CONCATENATE("Reviewed on"," ",(TEXT('2022-2023 Applications Review'!$A306, "mm/dd/yyyy")))</f>
        <v>Reviewed on 08/11/2022</v>
      </c>
      <c r="B306" s="383" t="str">
        <f>'2022-2023 Applications Review'!B306</f>
        <v>VioScore . My Life Kit _2022</v>
      </c>
      <c r="C306" s="383" t="str">
        <f>'2022-2023 Applications Review'!E306</f>
        <v>Digital Tech</v>
      </c>
      <c r="D306" s="384" t="str">
        <f>'2022-2023 Applications Review'!Q306</f>
        <v>Invite Next Year</v>
      </c>
      <c r="E306" s="383"/>
      <c r="F306" s="383"/>
      <c r="G306" s="383"/>
      <c r="H306" s="383"/>
      <c r="I306" s="385" t="b">
        <v>1</v>
      </c>
      <c r="J306" s="386" t="s">
        <v>12227</v>
      </c>
    </row>
    <row r="307" spans="1:10">
      <c r="A307" s="383" t="str">
        <f>CONCATENATE("Reviewed on"," ",(TEXT('2022-2023 Applications Review'!$A307, "mm/dd/yyyy")))</f>
        <v>Reviewed on 08/11/2022</v>
      </c>
      <c r="B307" s="383" t="str">
        <f>'2022-2023 Applications Review'!B307</f>
        <v>Exirio _2022</v>
      </c>
      <c r="C307" s="383" t="str">
        <f>'2022-2023 Applications Review'!E307</f>
        <v>Digital Tech</v>
      </c>
      <c r="D307" s="384" t="str">
        <f>'2022-2023 Applications Review'!Q307</f>
        <v>Invite Next Year</v>
      </c>
      <c r="E307" s="383"/>
      <c r="F307" s="383"/>
      <c r="G307" s="383"/>
      <c r="H307" s="383"/>
      <c r="I307" s="385" t="b">
        <v>1</v>
      </c>
      <c r="J307" s="386" t="s">
        <v>12228</v>
      </c>
    </row>
    <row r="308" spans="1:10">
      <c r="A308" s="383" t="str">
        <f>CONCATENATE("Reviewed on"," ",(TEXT('2022-2023 Applications Review'!$A308, "mm/dd/yyyy")))</f>
        <v>Reviewed on 08/11/2022</v>
      </c>
      <c r="B308" s="383" t="str">
        <f>'2022-2023 Applications Review'!B308</f>
        <v>Ujama Incorporated _2022</v>
      </c>
      <c r="C308" s="383" t="str">
        <f>'2022-2023 Applications Review'!E308</f>
        <v>Digital Tech</v>
      </c>
      <c r="D308" s="384" t="str">
        <f>'2022-2023 Applications Review'!Q308</f>
        <v>Invite Next Year</v>
      </c>
      <c r="E308" s="383"/>
      <c r="F308" s="383"/>
      <c r="G308" s="383"/>
      <c r="H308" s="383"/>
      <c r="I308" s="385" t="b">
        <v>1</v>
      </c>
      <c r="J308" s="386" t="s">
        <v>12229</v>
      </c>
    </row>
    <row r="309" spans="1:10">
      <c r="A309" s="383" t="str">
        <f>CONCATENATE("Reviewed on"," ",(TEXT('2022-2023 Applications Review'!$A309, "mm/dd/yyyy")))</f>
        <v>Reviewed on 08/11/2022</v>
      </c>
      <c r="B309" s="383" t="str">
        <f>'2022-2023 Applications Review'!B309</f>
        <v>Areto Labs _2022</v>
      </c>
      <c r="C309" s="383" t="str">
        <f>'2022-2023 Applications Review'!E309</f>
        <v>Digital Tech</v>
      </c>
      <c r="D309" s="384" t="str">
        <f>'2022-2023 Applications Review'!Q309</f>
        <v>Invite Next Year</v>
      </c>
      <c r="E309" s="383"/>
      <c r="F309" s="383"/>
      <c r="G309" s="383"/>
      <c r="H309" s="383"/>
      <c r="I309" s="385" t="b">
        <v>1</v>
      </c>
      <c r="J309" s="386" t="s">
        <v>12230</v>
      </c>
    </row>
    <row r="310" spans="1:10">
      <c r="A310" s="383" t="str">
        <f>CONCATENATE("Reviewed on"," ",(TEXT('2022-2023 Applications Review'!$A310, "mm/dd/yyyy")))</f>
        <v>Reviewed on 08/11/2022</v>
      </c>
      <c r="B310" s="383" t="str">
        <f>'2022-2023 Applications Review'!B310</f>
        <v>iThrive _2022</v>
      </c>
      <c r="C310" s="383" t="str">
        <f>'2022-2023 Applications Review'!E310</f>
        <v>Digital Tech</v>
      </c>
      <c r="D310" s="384" t="str">
        <f>'2022-2023 Applications Review'!Q310</f>
        <v>Invite Next Year</v>
      </c>
      <c r="E310" s="383"/>
      <c r="F310" s="383"/>
      <c r="G310" s="383"/>
      <c r="H310" s="383"/>
      <c r="I310" s="385" t="b">
        <v>1</v>
      </c>
      <c r="J310" s="386" t="s">
        <v>12231</v>
      </c>
    </row>
    <row r="311" spans="1:10">
      <c r="A311" s="383" t="str">
        <f>CONCATENATE("Reviewed on"," ",(TEXT('2022-2023 Applications Review'!$A311, "mm/dd/yyyy")))</f>
        <v>Reviewed on 08/11/2022</v>
      </c>
      <c r="B311" s="383" t="str">
        <f>'2022-2023 Applications Review'!B311</f>
        <v>ADRESS AS _2022</v>
      </c>
      <c r="C311" s="383" t="str">
        <f>'2022-2023 Applications Review'!E311</f>
        <v>Digital Tech</v>
      </c>
      <c r="D311" s="384" t="str">
        <f>'2022-2023 Applications Review'!Q311</f>
        <v>Invite Next Year</v>
      </c>
      <c r="E311" s="383"/>
      <c r="F311" s="383"/>
      <c r="G311" s="383"/>
      <c r="H311" s="383"/>
      <c r="I311" s="385" t="b">
        <v>1</v>
      </c>
      <c r="J311" s="386" t="s">
        <v>12232</v>
      </c>
    </row>
    <row r="312" spans="1:10">
      <c r="A312" s="383" t="str">
        <f>CONCATENATE("Reviewed on"," ",(TEXT('2022-2023 Applications Review'!$A312, "mm/dd/yyyy")))</f>
        <v>Reviewed on 08/11/2022</v>
      </c>
      <c r="B312" s="383" t="str">
        <f>'2022-2023 Applications Review'!B312</f>
        <v>Agrapp _2022</v>
      </c>
      <c r="C312" s="383" t="str">
        <f>'2022-2023 Applications Review'!E312</f>
        <v>Digital Tech</v>
      </c>
      <c r="D312" s="384" t="str">
        <f>'2022-2023 Applications Review'!Q312</f>
        <v>Invite Next Year</v>
      </c>
      <c r="E312" s="383"/>
      <c r="F312" s="383"/>
      <c r="G312" s="383"/>
      <c r="H312" s="383"/>
      <c r="I312" s="385" t="b">
        <v>1</v>
      </c>
      <c r="J312" s="386" t="s">
        <v>12233</v>
      </c>
    </row>
    <row r="313" spans="1:10">
      <c r="A313" s="383" t="str">
        <f>CONCATENATE("Reviewed on"," ",(TEXT('2022-2023 Applications Review'!$A313, "mm/dd/yyyy")))</f>
        <v>Reviewed on 08/11/2022</v>
      </c>
      <c r="B313" s="383" t="str">
        <f>'2022-2023 Applications Review'!B313</f>
        <v>Loop _2022</v>
      </c>
      <c r="C313" s="383" t="str">
        <f>'2022-2023 Applications Review'!E313</f>
        <v>Deep Tech</v>
      </c>
      <c r="D313" s="384" t="str">
        <f>'2022-2023 Applications Review'!Q313</f>
        <v>Invite Next Year</v>
      </c>
      <c r="E313" s="383"/>
      <c r="F313" s="383"/>
      <c r="G313" s="383"/>
      <c r="H313" s="383"/>
      <c r="I313" s="385" t="b">
        <v>1</v>
      </c>
      <c r="J313" s="386" t="s">
        <v>12234</v>
      </c>
    </row>
    <row r="314" spans="1:10">
      <c r="A314" s="383" t="str">
        <f>CONCATENATE("Reviewed on"," ",(TEXT('2022-2023 Applications Review'!$A314, "mm/dd/yyyy")))</f>
        <v>Reviewed on 08/11/2022</v>
      </c>
      <c r="B314" s="383" t="str">
        <f>'2022-2023 Applications Review'!B314</f>
        <v>BioXycle _2022</v>
      </c>
      <c r="C314" s="383" t="str">
        <f>'2022-2023 Applications Review'!E314</f>
        <v>Deep Tech</v>
      </c>
      <c r="D314" s="384" t="str">
        <f>'2022-2023 Applications Review'!Q314</f>
        <v>Invite Next Year</v>
      </c>
      <c r="E314" s="383"/>
      <c r="F314" s="383"/>
      <c r="G314" s="383"/>
      <c r="H314" s="383"/>
      <c r="I314" s="385" t="b">
        <v>1</v>
      </c>
      <c r="J314" s="386" t="s">
        <v>12235</v>
      </c>
    </row>
    <row r="315" spans="1:10">
      <c r="A315" s="383" t="str">
        <f>CONCATENATE("Reviewed on"," ",(TEXT('2022-2023 Applications Review'!$A315, "mm/dd/yyyy")))</f>
        <v>Reviewed on 08/11/2022</v>
      </c>
      <c r="B315" s="383" t="str">
        <f>'2022-2023 Applications Review'!B315</f>
        <v>Hyperhuman _2022</v>
      </c>
      <c r="C315" s="383" t="str">
        <f>'2022-2023 Applications Review'!E315</f>
        <v>Digital Tech</v>
      </c>
      <c r="D315" s="384" t="str">
        <f>'2022-2023 Applications Review'!Q315</f>
        <v>Invite Next Year</v>
      </c>
      <c r="E315" s="383"/>
      <c r="F315" s="383"/>
      <c r="G315" s="383"/>
      <c r="H315" s="383"/>
      <c r="I315" s="385" t="b">
        <v>1</v>
      </c>
      <c r="J315" s="386" t="s">
        <v>12236</v>
      </c>
    </row>
    <row r="316" spans="1:10">
      <c r="A316" s="383" t="str">
        <f>CONCATENATE("Reviewed on"," ",(TEXT('2022-2023 Applications Review'!$A316, "mm/dd/yyyy")))</f>
        <v>Reviewed on 08/11/2022</v>
      </c>
      <c r="B316" s="383" t="str">
        <f>'2022-2023 Applications Review'!B316</f>
        <v>ALTRA ERC LTD _2022</v>
      </c>
      <c r="C316" s="383" t="str">
        <f>'2022-2023 Applications Review'!E316</f>
        <v>Digital Tech</v>
      </c>
      <c r="D316" s="384" t="str">
        <f>'2022-2023 Applications Review'!Q316</f>
        <v>Invite Next Year</v>
      </c>
      <c r="E316" s="383"/>
      <c r="F316" s="383"/>
      <c r="G316" s="383"/>
      <c r="H316" s="383"/>
      <c r="I316" s="385" t="b">
        <v>1</v>
      </c>
      <c r="J316" s="386" t="s">
        <v>12237</v>
      </c>
    </row>
    <row r="317" spans="1:10">
      <c r="A317" s="383" t="str">
        <f>CONCATENATE("Reviewed on"," ",(TEXT('2022-2023 Applications Review'!$A317, "mm/dd/yyyy")))</f>
        <v>Reviewed on 08/11/2022</v>
      </c>
      <c r="B317" s="383" t="str">
        <f>'2022-2023 Applications Review'!B317</f>
        <v>EPDL LTD _2022</v>
      </c>
      <c r="C317" s="383" t="str">
        <f>'2022-2023 Applications Review'!E317</f>
        <v>Digital Tech</v>
      </c>
      <c r="D317" s="384" t="str">
        <f>'2022-2023 Applications Review'!Q317</f>
        <v>Invite Next Year</v>
      </c>
      <c r="E317" s="383"/>
      <c r="F317" s="383"/>
      <c r="G317" s="383"/>
      <c r="H317" s="383"/>
      <c r="I317" s="385" t="b">
        <v>1</v>
      </c>
      <c r="J317" s="386" t="s">
        <v>12238</v>
      </c>
    </row>
    <row r="318" spans="1:10">
      <c r="A318" s="383" t="str">
        <f>CONCATENATE("Reviewed on"," ",(TEXT('2022-2023 Applications Review'!$A318, "mm/dd/yyyy")))</f>
        <v>Reviewed on 08/11/2022</v>
      </c>
      <c r="B318" s="383" t="str">
        <f>'2022-2023 Applications Review'!B318</f>
        <v>AdHear Health _2022</v>
      </c>
      <c r="C318" s="383" t="str">
        <f>'2022-2023 Applications Review'!E318</f>
        <v>Digital Tech</v>
      </c>
      <c r="D318" s="384" t="str">
        <f>'2022-2023 Applications Review'!Q318</f>
        <v>Invite Next Year</v>
      </c>
      <c r="E318" s="383"/>
      <c r="F318" s="383"/>
      <c r="G318" s="383"/>
      <c r="H318" s="383"/>
      <c r="I318" s="385" t="b">
        <v>1</v>
      </c>
      <c r="J318" s="386" t="s">
        <v>12239</v>
      </c>
    </row>
    <row r="319" spans="1:10">
      <c r="A319" s="383" t="str">
        <f>CONCATENATE("Reviewed on"," ",(TEXT('2022-2023 Applications Review'!$A319, "mm/dd/yyyy")))</f>
        <v>Reviewed on 08/11/2022</v>
      </c>
      <c r="B319" s="383" t="str">
        <f>'2022-2023 Applications Review'!B319</f>
        <v>Doji _2022</v>
      </c>
      <c r="C319" s="383" t="str">
        <f>'2022-2023 Applications Review'!E319</f>
        <v>Digital Tech</v>
      </c>
      <c r="D319" s="384" t="str">
        <f>'2022-2023 Applications Review'!Q319</f>
        <v>Invite Next Year</v>
      </c>
      <c r="E319" s="383"/>
      <c r="F319" s="383"/>
      <c r="G319" s="383"/>
      <c r="H319" s="383"/>
      <c r="I319" s="385" t="b">
        <v>1</v>
      </c>
      <c r="J319" s="386" t="s">
        <v>12240</v>
      </c>
    </row>
    <row r="320" spans="1:10">
      <c r="A320" s="383" t="str">
        <f>CONCATENATE("Reviewed on"," ",(TEXT('2022-2023 Applications Review'!$A320, "mm/dd/yyyy")))</f>
        <v>Reviewed on 08/11/2022</v>
      </c>
      <c r="B320" s="383" t="str">
        <f>'2022-2023 Applications Review'!B320</f>
        <v>Vinum Collection _2022</v>
      </c>
      <c r="C320" s="383" t="str">
        <f>'2022-2023 Applications Review'!E320</f>
        <v>Digital Tech</v>
      </c>
      <c r="D320" s="384" t="str">
        <f>'2022-2023 Applications Review'!Q320</f>
        <v>Invite Next Year</v>
      </c>
      <c r="E320" s="383"/>
      <c r="F320" s="383"/>
      <c r="G320" s="383"/>
      <c r="H320" s="383"/>
      <c r="I320" s="385" t="b">
        <v>1</v>
      </c>
      <c r="J320" s="386" t="s">
        <v>12241</v>
      </c>
    </row>
    <row r="321" spans="1:10">
      <c r="A321" s="383" t="str">
        <f>CONCATENATE("Reviewed on"," ",(TEXT('2022-2023 Applications Review'!$A321, "mm/dd/yyyy")))</f>
        <v>Reviewed on 08/11/2022</v>
      </c>
      <c r="B321" s="383" t="str">
        <f>'2022-2023 Applications Review'!B321</f>
        <v>OnMyGrad _2022</v>
      </c>
      <c r="C321" s="383" t="str">
        <f>'2022-2023 Applications Review'!E321</f>
        <v>Digital Tech</v>
      </c>
      <c r="D321" s="384" t="str">
        <f>'2022-2023 Applications Review'!Q321</f>
        <v>Invite Next Year</v>
      </c>
      <c r="E321" s="383"/>
      <c r="F321" s="383"/>
      <c r="G321" s="383"/>
      <c r="H321" s="383"/>
      <c r="I321" s="385" t="b">
        <v>1</v>
      </c>
      <c r="J321" s="386" t="s">
        <v>12242</v>
      </c>
    </row>
    <row r="322" spans="1:10">
      <c r="A322" s="383" t="str">
        <f>CONCATENATE("Reviewed on"," ",(TEXT('2022-2023 Applications Review'!$A322, "mm/dd/yyyy")))</f>
        <v>Reviewed on 08/11/2022</v>
      </c>
      <c r="B322" s="383" t="str">
        <f>'2022-2023 Applications Review'!B322</f>
        <v>Hundred Technology MENA DMCC _2022</v>
      </c>
      <c r="C322" s="383" t="str">
        <f>'2022-2023 Applications Review'!E322</f>
        <v>Digital Tech</v>
      </c>
      <c r="D322" s="384" t="str">
        <f>'2022-2023 Applications Review'!Q322</f>
        <v>Invite Next Year</v>
      </c>
      <c r="E322" s="383"/>
      <c r="F322" s="383"/>
      <c r="G322" s="383"/>
      <c r="H322" s="383"/>
      <c r="I322" s="385" t="b">
        <v>1</v>
      </c>
      <c r="J322" s="386" t="s">
        <v>12243</v>
      </c>
    </row>
    <row r="323" spans="1:10">
      <c r="A323" s="383" t="str">
        <f>CONCATENATE("Reviewed on"," ",(TEXT('2022-2023 Applications Review'!$A323, "mm/dd/yyyy")))</f>
        <v>Reviewed on 08/11/2022</v>
      </c>
      <c r="B323" s="383" t="str">
        <f>'2022-2023 Applications Review'!B323</f>
        <v>Fun Guy Project _2022</v>
      </c>
      <c r="C323" s="383" t="str">
        <f>'2022-2023 Applications Review'!E323</f>
        <v>Life Sciences</v>
      </c>
      <c r="D323" s="384" t="str">
        <f>'2022-2023 Applications Review'!Q323</f>
        <v>Invite Next Year</v>
      </c>
      <c r="E323" s="383"/>
      <c r="F323" s="383"/>
      <c r="G323" s="383"/>
      <c r="H323" s="383"/>
      <c r="I323" s="385" t="b">
        <v>1</v>
      </c>
      <c r="J323" s="386" t="s">
        <v>12244</v>
      </c>
    </row>
    <row r="324" spans="1:10">
      <c r="A324" s="383" t="str">
        <f>CONCATENATE("Reviewed on"," ",(TEXT('2022-2023 Applications Review'!$A324, "mm/dd/yyyy")))</f>
        <v>Reviewed on 08/11/2022</v>
      </c>
      <c r="B324" s="383" t="str">
        <f>'2022-2023 Applications Review'!B324</f>
        <v>Better World _2022</v>
      </c>
      <c r="C324" s="383" t="str">
        <f>'2022-2023 Applications Review'!E324</f>
        <v>Digital Tech</v>
      </c>
      <c r="D324" s="384" t="str">
        <f>'2022-2023 Applications Review'!Q324</f>
        <v>Invite Next Year</v>
      </c>
      <c r="E324" s="383"/>
      <c r="F324" s="383"/>
      <c r="G324" s="383"/>
      <c r="H324" s="383"/>
      <c r="I324" s="385" t="b">
        <v>1</v>
      </c>
      <c r="J324" s="386" t="s">
        <v>12245</v>
      </c>
    </row>
    <row r="325" spans="1:10">
      <c r="A325" s="383" t="str">
        <f>CONCATENATE("Reviewed on"," ",(TEXT('2022-2023 Applications Review'!$A325, "mm/dd/yyyy")))</f>
        <v>Reviewed on 08/11/2022</v>
      </c>
      <c r="B325" s="383" t="str">
        <f>'2022-2023 Applications Review'!B325</f>
        <v>Proxygen _2022</v>
      </c>
      <c r="C325" s="383" t="str">
        <f>'2022-2023 Applications Review'!E325</f>
        <v>Life Sciences</v>
      </c>
      <c r="D325" s="384" t="str">
        <f>'2022-2023 Applications Review'!Q325</f>
        <v>Invite Next Year</v>
      </c>
      <c r="E325" s="383"/>
      <c r="F325" s="383"/>
      <c r="G325" s="383"/>
      <c r="H325" s="383"/>
      <c r="I325" s="385" t="b">
        <v>1</v>
      </c>
      <c r="J325" s="386" t="s">
        <v>12246</v>
      </c>
    </row>
    <row r="326" spans="1:10">
      <c r="A326" s="383" t="str">
        <f>CONCATENATE("Reviewed on"," ",(TEXT('2022-2023 Applications Review'!$A326, "mm/dd/yyyy")))</f>
        <v>Reviewed on 08/11/2022</v>
      </c>
      <c r="B326" s="383" t="str">
        <f>'2022-2023 Applications Review'!B326</f>
        <v>Mirror World Inc. _2022</v>
      </c>
      <c r="C326" s="383" t="str">
        <f>'2022-2023 Applications Review'!E326</f>
        <v>Digital Tech</v>
      </c>
      <c r="D326" s="384" t="str">
        <f>'2022-2023 Applications Review'!Q326</f>
        <v>Invite Next Year</v>
      </c>
      <c r="E326" s="383"/>
      <c r="F326" s="383"/>
      <c r="G326" s="383"/>
      <c r="H326" s="383"/>
      <c r="I326" s="385" t="b">
        <v>1</v>
      </c>
      <c r="J326" s="386" t="s">
        <v>12247</v>
      </c>
    </row>
    <row r="327" spans="1:10">
      <c r="A327" s="383" t="str">
        <f>CONCATENATE("Reviewed on"," ",(TEXT('2022-2023 Applications Review'!$A327, "mm/dd/yyyy")))</f>
        <v>Reviewed on 08/11/2022</v>
      </c>
      <c r="B327" s="383" t="str">
        <f>'2022-2023 Applications Review'!B327</f>
        <v>Mediloq, Inc. _2022</v>
      </c>
      <c r="C327" s="383" t="str">
        <f>'2022-2023 Applications Review'!E327</f>
        <v>Life Sciences</v>
      </c>
      <c r="D327" s="384" t="str">
        <f>'2022-2023 Applications Review'!Q327</f>
        <v>Invite Next Year</v>
      </c>
      <c r="E327" s="383"/>
      <c r="F327" s="383"/>
      <c r="G327" s="383"/>
      <c r="H327" s="383"/>
      <c r="I327" s="385" t="b">
        <v>1</v>
      </c>
      <c r="J327" s="386" t="s">
        <v>12248</v>
      </c>
    </row>
    <row r="328" spans="1:10">
      <c r="A328" s="383" t="str">
        <f>CONCATENATE("Reviewed on"," ",(TEXT('2022-2023 Applications Review'!$A328, "mm/dd/yyyy")))</f>
        <v>Reviewed on 08/11/2022</v>
      </c>
      <c r="B328" s="383" t="str">
        <f>'2022-2023 Applications Review'!B328</f>
        <v>Clean Bite, LLC _2022</v>
      </c>
      <c r="C328" s="383" t="str">
        <f>'2022-2023 Applications Review'!E328</f>
        <v>Life Sciences</v>
      </c>
      <c r="D328" s="384" t="str">
        <f>'2022-2023 Applications Review'!Q328</f>
        <v>Invite Next Year</v>
      </c>
      <c r="E328" s="383"/>
      <c r="F328" s="383"/>
      <c r="G328" s="383"/>
      <c r="H328" s="383"/>
      <c r="I328" s="385" t="b">
        <v>1</v>
      </c>
      <c r="J328" s="386" t="s">
        <v>12249</v>
      </c>
    </row>
    <row r="329" spans="1:10">
      <c r="A329" s="383" t="str">
        <f>CONCATENATE("Reviewed on"," ",(TEXT('2022-2023 Applications Review'!$A329, "mm/dd/yyyy")))</f>
        <v>Reviewed on 08/11/2022</v>
      </c>
      <c r="B329" s="383" t="str">
        <f>'2022-2023 Applications Review'!B329</f>
        <v>Earth To Go  _2022</v>
      </c>
      <c r="C329" s="383" t="str">
        <f>'2022-2023 Applications Review'!E329</f>
        <v>Life Sciences</v>
      </c>
      <c r="D329" s="384" t="str">
        <f>'2022-2023 Applications Review'!Q329</f>
        <v>Invite Next Year</v>
      </c>
      <c r="E329" s="383"/>
      <c r="F329" s="383"/>
      <c r="G329" s="383"/>
      <c r="H329" s="383"/>
      <c r="I329" s="385" t="b">
        <v>1</v>
      </c>
      <c r="J329" s="386" t="s">
        <v>12250</v>
      </c>
    </row>
    <row r="330" spans="1:10">
      <c r="A330" s="383" t="str">
        <f>CONCATENATE("Reviewed on"," ",(TEXT('2022-2023 Applications Review'!$A330, "mm/dd/yyyy")))</f>
        <v>Reviewed on 08/11/2022</v>
      </c>
      <c r="B330" s="383" t="str">
        <f>'2022-2023 Applications Review'!B330</f>
        <v>Map-Collective Inc _2022</v>
      </c>
      <c r="C330" s="383" t="str">
        <f>'2022-2023 Applications Review'!E330</f>
        <v>Digital Tech</v>
      </c>
      <c r="D330" s="384" t="str">
        <f>'2022-2023 Applications Review'!Q330</f>
        <v>Invite Next Year</v>
      </c>
      <c r="E330" s="383"/>
      <c r="F330" s="383"/>
      <c r="G330" s="383"/>
      <c r="H330" s="383"/>
      <c r="I330" s="385" t="b">
        <v>1</v>
      </c>
      <c r="J330" s="386" t="s">
        <v>12251</v>
      </c>
    </row>
    <row r="331" spans="1:10">
      <c r="A331" s="383" t="str">
        <f>CONCATENATE("Reviewed on"," ",(TEXT('2022-2023 Applications Review'!$A331, "mm/dd/yyyy")))</f>
        <v>Reviewed on 08/11/2022</v>
      </c>
      <c r="B331" s="383" t="str">
        <f>'2022-2023 Applications Review'!B331</f>
        <v>First Person Solutions _2022</v>
      </c>
      <c r="C331" s="383" t="str">
        <f>'2022-2023 Applications Review'!E331</f>
        <v>Life Sciences</v>
      </c>
      <c r="D331" s="384" t="str">
        <f>'2022-2023 Applications Review'!Q331</f>
        <v>Invite Next Year</v>
      </c>
      <c r="E331" s="383"/>
      <c r="F331" s="383"/>
      <c r="G331" s="383"/>
      <c r="H331" s="383"/>
      <c r="I331" s="385" t="b">
        <v>1</v>
      </c>
      <c r="J331" s="386" t="s">
        <v>12252</v>
      </c>
    </row>
    <row r="332" spans="1:10">
      <c r="A332" s="383" t="str">
        <f>CONCATENATE("Reviewed on"," ",(TEXT('2022-2023 Applications Review'!$A332, "mm/dd/yyyy")))</f>
        <v>Reviewed on 08/11/2022</v>
      </c>
      <c r="B332" s="383" t="str">
        <f>'2022-2023 Applications Review'!B332</f>
        <v>KARI _2022</v>
      </c>
      <c r="C332" s="383" t="str">
        <f>'2022-2023 Applications Review'!E332</f>
        <v>Digital Tech</v>
      </c>
      <c r="D332" s="384" t="str">
        <f>'2022-2023 Applications Review'!Q332</f>
        <v>Invite Next Year</v>
      </c>
      <c r="E332" s="383"/>
      <c r="F332" s="383"/>
      <c r="G332" s="383"/>
      <c r="H332" s="383"/>
      <c r="I332" s="385" t="b">
        <v>1</v>
      </c>
      <c r="J332" s="386" t="s">
        <v>12253</v>
      </c>
    </row>
    <row r="333" spans="1:10">
      <c r="A333" s="383" t="str">
        <f>CONCATENATE("Reviewed on"," ",(TEXT('2022-2023 Applications Review'!$A333, "mm/dd/yyyy")))</f>
        <v>Reviewed on 08/11/2022</v>
      </c>
      <c r="B333" s="383" t="str">
        <f>'2022-2023 Applications Review'!B333</f>
        <v>PLAYBOOK APPLICATION W.L.L _2022</v>
      </c>
      <c r="C333" s="383" t="str">
        <f>'2022-2023 Applications Review'!E333</f>
        <v>Digital Tech</v>
      </c>
      <c r="D333" s="384" t="str">
        <f>'2022-2023 Applications Review'!Q333</f>
        <v>Invite Next Year</v>
      </c>
      <c r="E333" s="383"/>
      <c r="F333" s="383"/>
      <c r="G333" s="383"/>
      <c r="H333" s="383"/>
      <c r="I333" s="385" t="b">
        <v>1</v>
      </c>
      <c r="J333" s="386" t="s">
        <v>12254</v>
      </c>
    </row>
    <row r="334" spans="1:10">
      <c r="A334" s="383" t="str">
        <f>CONCATENATE("Reviewed on"," ",(TEXT('2022-2023 Applications Review'!$A334, "mm/dd/yyyy")))</f>
        <v>Reviewed on 08/11/2022</v>
      </c>
      <c r="B334" s="383" t="str">
        <f>'2022-2023 Applications Review'!B334</f>
        <v>ReRent _2022</v>
      </c>
      <c r="C334" s="383" t="str">
        <f>'2022-2023 Applications Review'!E334</f>
        <v>Digital Tech</v>
      </c>
      <c r="D334" s="384" t="str">
        <f>'2022-2023 Applications Review'!Q334</f>
        <v>Invite Next Year</v>
      </c>
      <c r="E334" s="383"/>
      <c r="F334" s="383"/>
      <c r="G334" s="383"/>
      <c r="H334" s="383"/>
      <c r="I334" s="385" t="b">
        <v>1</v>
      </c>
      <c r="J334" s="386" t="s">
        <v>12255</v>
      </c>
    </row>
    <row r="335" spans="1:10">
      <c r="A335" s="383" t="str">
        <f>CONCATENATE("Reviewed on"," ",(TEXT('2022-2023 Applications Review'!$A335, "mm/dd/yyyy")))</f>
        <v>Reviewed on 08/11/2022</v>
      </c>
      <c r="B335" s="383" t="str">
        <f>'2022-2023 Applications Review'!B335</f>
        <v>The Cloud World _2022</v>
      </c>
      <c r="C335" s="383" t="str">
        <f>'2022-2023 Applications Review'!E335</f>
        <v>Digital Tech</v>
      </c>
      <c r="D335" s="384" t="str">
        <f>'2022-2023 Applications Review'!Q335</f>
        <v>Invite Next Year</v>
      </c>
      <c r="E335" s="383"/>
      <c r="F335" s="383"/>
      <c r="G335" s="383"/>
      <c r="H335" s="383"/>
      <c r="I335" s="385" t="b">
        <v>1</v>
      </c>
      <c r="J335" s="386" t="s">
        <v>12256</v>
      </c>
    </row>
    <row r="336" spans="1:10">
      <c r="A336" s="383" t="str">
        <f>CONCATENATE("Reviewed on"," ",(TEXT('2022-2023 Applications Review'!$A336, "mm/dd/yyyy")))</f>
        <v>Reviewed on 08/11/2022</v>
      </c>
      <c r="B336" s="383" t="str">
        <f>'2022-2023 Applications Review'!B336</f>
        <v>TrioWave Technologies _2022</v>
      </c>
      <c r="C336" s="383" t="str">
        <f>'2022-2023 Applications Review'!E336</f>
        <v>Life Sciences</v>
      </c>
      <c r="D336" s="384" t="str">
        <f>'2022-2023 Applications Review'!Q336</f>
        <v>Invite Next Year</v>
      </c>
      <c r="E336" s="383"/>
      <c r="F336" s="383"/>
      <c r="G336" s="383"/>
      <c r="H336" s="383"/>
      <c r="I336" s="385" t="b">
        <v>1</v>
      </c>
      <c r="J336" s="386" t="s">
        <v>12257</v>
      </c>
    </row>
    <row r="337" spans="1:10">
      <c r="A337" s="383" t="str">
        <f>CONCATENATE("Reviewed on"," ",(TEXT('2022-2023 Applications Review'!$A337, "mm/dd/yyyy")))</f>
        <v>Reviewed on 08/11/2022</v>
      </c>
      <c r="B337" s="383" t="str">
        <f>'2022-2023 Applications Review'!B337</f>
        <v>Cardiología Hiskin _2022</v>
      </c>
      <c r="C337" s="383" t="str">
        <f>'2022-2023 Applications Review'!E337</f>
        <v>Life Sciences</v>
      </c>
      <c r="D337" s="384" t="str">
        <f>'2022-2023 Applications Review'!Q337</f>
        <v>Invite Next Year</v>
      </c>
      <c r="E337" s="383"/>
      <c r="F337" s="383"/>
      <c r="G337" s="383"/>
      <c r="H337" s="383"/>
      <c r="I337" s="385" t="b">
        <v>1</v>
      </c>
      <c r="J337" s="386" t="s">
        <v>12258</v>
      </c>
    </row>
    <row r="338" spans="1:10">
      <c r="A338" s="383" t="str">
        <f>CONCATENATE("Reviewed on"," ",(TEXT('2022-2023 Applications Review'!$A338, "mm/dd/yyyy")))</f>
        <v>Reviewed on 08/11/2022</v>
      </c>
      <c r="B338" s="383" t="str">
        <f>'2022-2023 Applications Review'!B338</f>
        <v>TRAKID _2022</v>
      </c>
      <c r="C338" s="383" t="str">
        <f>'2022-2023 Applications Review'!E338</f>
        <v>Digital Tech</v>
      </c>
      <c r="D338" s="384" t="str">
        <f>'2022-2023 Applications Review'!Q338</f>
        <v>Invite Next Year</v>
      </c>
      <c r="E338" s="383"/>
      <c r="F338" s="383"/>
      <c r="G338" s="383"/>
      <c r="H338" s="383"/>
      <c r="I338" s="385" t="b">
        <v>1</v>
      </c>
      <c r="J338" s="386" t="s">
        <v>12259</v>
      </c>
    </row>
    <row r="339" spans="1:10">
      <c r="A339" s="383" t="str">
        <f>CONCATENATE("Reviewed on"," ",(TEXT('2022-2023 Applications Review'!$A339, "mm/dd/yyyy")))</f>
        <v>Reviewed on 08/11/2022</v>
      </c>
      <c r="B339" s="383" t="str">
        <f>'2022-2023 Applications Review'!B339</f>
        <v>Atlas _2022</v>
      </c>
      <c r="C339" s="383" t="str">
        <f>'2022-2023 Applications Review'!E339</f>
        <v>Deep Tech</v>
      </c>
      <c r="D339" s="384" t="str">
        <f>'2022-2023 Applications Review'!Q339</f>
        <v>Reject</v>
      </c>
      <c r="E339" s="383"/>
      <c r="F339" s="383"/>
      <c r="G339" s="383"/>
      <c r="H339" s="383"/>
      <c r="I339" s="385" t="b">
        <v>1</v>
      </c>
      <c r="J339" s="386" t="s">
        <v>12260</v>
      </c>
    </row>
    <row r="340" spans="1:10">
      <c r="A340" s="383" t="str">
        <f>CONCATENATE("Reviewed on"," ",(TEXT('2022-2023 Applications Review'!$A340, "mm/dd/yyyy")))</f>
        <v>Reviewed on 08/11/2022</v>
      </c>
      <c r="B340" s="383" t="str">
        <f>'2022-2023 Applications Review'!B340</f>
        <v>IceBeanie  _2022</v>
      </c>
      <c r="C340" s="383" t="str">
        <f>'2022-2023 Applications Review'!E340</f>
        <v>Life Sciences</v>
      </c>
      <c r="D340" s="384" t="str">
        <f>'2022-2023 Applications Review'!Q340</f>
        <v>Invite Next Year</v>
      </c>
      <c r="E340" s="383"/>
      <c r="F340" s="383"/>
      <c r="G340" s="383"/>
      <c r="H340" s="383"/>
      <c r="I340" s="385" t="b">
        <v>1</v>
      </c>
      <c r="J340" s="386" t="s">
        <v>12261</v>
      </c>
    </row>
    <row r="341" spans="1:10">
      <c r="A341" s="383" t="str">
        <f>CONCATENATE("Reviewed on"," ",(TEXT('2022-2023 Applications Review'!$A341, "mm/dd/yyyy")))</f>
        <v>Reviewed on 08/11/2022</v>
      </c>
      <c r="B341" s="383" t="str">
        <f>'2022-2023 Applications Review'!B341</f>
        <v>Neo Xenia Biotech _2022</v>
      </c>
      <c r="C341" s="383" t="str">
        <f>'2022-2023 Applications Review'!E341</f>
        <v>Life Sciences</v>
      </c>
      <c r="D341" s="384" t="str">
        <f>'2022-2023 Applications Review'!Q341</f>
        <v>Invite Next Year</v>
      </c>
      <c r="E341" s="383"/>
      <c r="F341" s="383"/>
      <c r="G341" s="383"/>
      <c r="H341" s="383"/>
      <c r="I341" s="385" t="b">
        <v>1</v>
      </c>
      <c r="J341" s="386" t="s">
        <v>12262</v>
      </c>
    </row>
    <row r="342" spans="1:10">
      <c r="A342" s="383" t="str">
        <f>CONCATENATE("Reviewed on"," ",(TEXT('2022-2023 Applications Review'!$A342, "mm/dd/yyyy")))</f>
        <v>Reviewed on 08/11/2022</v>
      </c>
      <c r="B342" s="383" t="str">
        <f>'2022-2023 Applications Review'!B342</f>
        <v>Al-Hadi International Trading (SMC-Private) Limited _2022</v>
      </c>
      <c r="C342" s="383" t="str">
        <f>'2022-2023 Applications Review'!E342</f>
        <v>Digital Tech</v>
      </c>
      <c r="D342" s="384" t="str">
        <f>'2022-2023 Applications Review'!Q342</f>
        <v>Invite Next Year</v>
      </c>
      <c r="E342" s="383"/>
      <c r="F342" s="383"/>
      <c r="G342" s="383"/>
      <c r="H342" s="383"/>
      <c r="I342" s="385" t="b">
        <v>1</v>
      </c>
      <c r="J342" s="386" t="s">
        <v>12263</v>
      </c>
    </row>
    <row r="343" spans="1:10">
      <c r="A343" s="383" t="str">
        <f>CONCATENATE("Reviewed on"," ",(TEXT('2022-2023 Applications Review'!$A343, "mm/dd/yyyy")))</f>
        <v>Reviewed on 08/11/2022</v>
      </c>
      <c r="B343" s="383" t="str">
        <f>'2022-2023 Applications Review'!B343</f>
        <v>Dream Tea NYC _2022</v>
      </c>
      <c r="C343" s="383" t="str">
        <f>'2022-2023 Applications Review'!E343</f>
        <v>Life Sciences</v>
      </c>
      <c r="D343" s="384" t="str">
        <f>'2022-2023 Applications Review'!Q343</f>
        <v>Invite Next Year</v>
      </c>
      <c r="E343" s="383"/>
      <c r="F343" s="383"/>
      <c r="G343" s="383"/>
      <c r="H343" s="383"/>
      <c r="I343" s="385" t="b">
        <v>1</v>
      </c>
      <c r="J343" s="386" t="s">
        <v>12264</v>
      </c>
    </row>
    <row r="344" spans="1:10">
      <c r="A344" s="383" t="str">
        <f>CONCATENATE("Reviewed on"," ",(TEXT('2022-2023 Applications Review'!$A344, "mm/dd/yyyy")))</f>
        <v>Reviewed on 08/11/2022</v>
      </c>
      <c r="B344" s="383" t="str">
        <f>'2022-2023 Applications Review'!B344</f>
        <v>LYK INC _2022</v>
      </c>
      <c r="C344" s="383" t="str">
        <f>'2022-2023 Applications Review'!E344</f>
        <v>Digital Tech</v>
      </c>
      <c r="D344" s="384" t="str">
        <f>'2022-2023 Applications Review'!Q344</f>
        <v>Invite Next Year</v>
      </c>
      <c r="E344" s="383"/>
      <c r="F344" s="383"/>
      <c r="G344" s="383"/>
      <c r="H344" s="383"/>
      <c r="I344" s="385" t="b">
        <v>1</v>
      </c>
      <c r="J344" s="386" t="s">
        <v>12265</v>
      </c>
    </row>
    <row r="345" spans="1:10">
      <c r="A345" s="383" t="str">
        <f>CONCATENATE("Reviewed on"," ",(TEXT('2022-2023 Applications Review'!$A345, "mm/dd/yyyy")))</f>
        <v>Reviewed on 08/11/2022</v>
      </c>
      <c r="B345" s="383" t="str">
        <f>'2022-2023 Applications Review'!B345</f>
        <v>Pool Party Co. _2022</v>
      </c>
      <c r="C345" s="383" t="str">
        <f>'2022-2023 Applications Review'!E345</f>
        <v>Digital Tech</v>
      </c>
      <c r="D345" s="384" t="str">
        <f>'2022-2023 Applications Review'!Q345</f>
        <v>Invite Next Year</v>
      </c>
      <c r="E345" s="383"/>
      <c r="F345" s="383"/>
      <c r="G345" s="383"/>
      <c r="H345" s="383"/>
      <c r="I345" s="385" t="b">
        <v>1</v>
      </c>
      <c r="J345" s="386" t="s">
        <v>12266</v>
      </c>
    </row>
    <row r="346" spans="1:10">
      <c r="A346" s="383" t="str">
        <f>CONCATENATE("Reviewed on"," ",(TEXT('2022-2023 Applications Review'!$A346, "mm/dd/yyyy")))</f>
        <v>Reviewed on 08/11/2022</v>
      </c>
      <c r="B346" s="383" t="str">
        <f>'2022-2023 Applications Review'!B346</f>
        <v>Dentco _2022</v>
      </c>
      <c r="C346" s="383" t="str">
        <f>'2022-2023 Applications Review'!E346</f>
        <v>Life Sciences</v>
      </c>
      <c r="D346" s="384" t="str">
        <f>'2022-2023 Applications Review'!Q346</f>
        <v>Invite Next Year</v>
      </c>
      <c r="E346" s="383"/>
      <c r="F346" s="383"/>
      <c r="G346" s="383"/>
      <c r="H346" s="383"/>
      <c r="I346" s="385" t="b">
        <v>1</v>
      </c>
      <c r="J346" s="386" t="s">
        <v>12267</v>
      </c>
    </row>
    <row r="347" spans="1:10">
      <c r="A347" s="383" t="str">
        <f>CONCATENATE("Reviewed on"," ",(TEXT('2022-2023 Applications Review'!$A347, "mm/dd/yyyy")))</f>
        <v>Reviewed on 08/11/2022</v>
      </c>
      <c r="B347" s="383" t="str">
        <f>'2022-2023 Applications Review'!B347</f>
        <v>New Age Hygienic Systems, Inc. _2022</v>
      </c>
      <c r="C347" s="383" t="str">
        <f>'2022-2023 Applications Review'!E347</f>
        <v>Life Sciences</v>
      </c>
      <c r="D347" s="384" t="str">
        <f>'2022-2023 Applications Review'!Q347</f>
        <v>Invite Next Year</v>
      </c>
      <c r="E347" s="383"/>
      <c r="F347" s="383"/>
      <c r="G347" s="383"/>
      <c r="H347" s="383"/>
      <c r="I347" s="385" t="b">
        <v>1</v>
      </c>
      <c r="J347" s="386" t="s">
        <v>12268</v>
      </c>
    </row>
    <row r="348" spans="1:10">
      <c r="A348" s="383" t="str">
        <f>CONCATENATE("Reviewed on"," ",(TEXT('2022-2023 Applications Review'!$A348, "mm/dd/yyyy")))</f>
        <v>Reviewed on 08/16/2022</v>
      </c>
      <c r="B348" s="383" t="str">
        <f>'2022-2023 Applications Review'!B348</f>
        <v>iAssay.net _2022</v>
      </c>
      <c r="C348" s="383" t="str">
        <f>'2022-2023 Applications Review'!E348</f>
        <v>Life Sciences</v>
      </c>
      <c r="D348" s="384" t="str">
        <f>'2022-2023 Applications Review'!Q348</f>
        <v>Invite Next Year</v>
      </c>
      <c r="E348" s="383"/>
      <c r="F348" s="383"/>
      <c r="G348" s="383"/>
      <c r="H348" s="383"/>
      <c r="I348" s="385" t="b">
        <v>1</v>
      </c>
      <c r="J348" s="386" t="s">
        <v>12269</v>
      </c>
    </row>
    <row r="349" spans="1:10">
      <c r="A349" s="383" t="str">
        <f>CONCATENATE("Reviewed on"," ",(TEXT('2022-2023 Applications Review'!$A349, "mm/dd/yyyy")))</f>
        <v>Reviewed on 08/16/2022</v>
      </c>
      <c r="B349" s="383" t="str">
        <f>'2022-2023 Applications Review'!B349</f>
        <v>Maxwell Biosciences _2022</v>
      </c>
      <c r="C349" s="383" t="str">
        <f>'2022-2023 Applications Review'!E349</f>
        <v>Life Sciences</v>
      </c>
      <c r="D349" s="384" t="str">
        <f>'2022-2023 Applications Review'!Q349</f>
        <v>Invite</v>
      </c>
      <c r="E349" s="383"/>
      <c r="F349" s="383"/>
      <c r="G349" s="383"/>
      <c r="H349" s="383"/>
      <c r="I349" s="385" t="b">
        <v>1</v>
      </c>
      <c r="J349" s="386" t="s">
        <v>12270</v>
      </c>
    </row>
    <row r="350" spans="1:10">
      <c r="A350" s="383" t="str">
        <f>CONCATENATE("Reviewed on"," ",(TEXT('2022-2023 Applications Review'!$A350, "mm/dd/yyyy")))</f>
        <v>Reviewed on 08/16/2022</v>
      </c>
      <c r="B350" s="383" t="str">
        <f>'2022-2023 Applications Review'!B350</f>
        <v>Senseidata, S.A. _2022</v>
      </c>
      <c r="C350" s="383" t="str">
        <f>'2022-2023 Applications Review'!E350</f>
        <v>Digital Tech</v>
      </c>
      <c r="D350" s="384" t="str">
        <f>'2022-2023 Applications Review'!Q350</f>
        <v>Invite</v>
      </c>
      <c r="E350" s="383"/>
      <c r="F350" s="383"/>
      <c r="G350" s="383"/>
      <c r="H350" s="383"/>
      <c r="I350" s="385" t="b">
        <v>1</v>
      </c>
      <c r="J350" s="386" t="s">
        <v>12271</v>
      </c>
    </row>
    <row r="351" spans="1:10">
      <c r="A351" s="383" t="str">
        <f>CONCATENATE("Reviewed on"," ",(TEXT('2022-2023 Applications Review'!$A351, "mm/dd/yyyy")))</f>
        <v>Reviewed on 08/16/2022</v>
      </c>
      <c r="B351" s="383" t="str">
        <f>'2022-2023 Applications Review'!B351</f>
        <v>Aequor Inc. _2022</v>
      </c>
      <c r="C351" s="383" t="str">
        <f>'2022-2023 Applications Review'!E351</f>
        <v>Deep Tech</v>
      </c>
      <c r="D351" s="384" t="str">
        <f>'2022-2023 Applications Review'!Q351</f>
        <v>Invite</v>
      </c>
      <c r="E351" s="383"/>
      <c r="F351" s="383"/>
      <c r="G351" s="383"/>
      <c r="H351" s="383"/>
      <c r="I351" s="385" t="b">
        <v>1</v>
      </c>
      <c r="J351" s="386" t="s">
        <v>12272</v>
      </c>
    </row>
    <row r="352" spans="1:10">
      <c r="A352" s="383" t="str">
        <f>CONCATENATE("Reviewed on"," ",(TEXT('2022-2023 Applications Review'!$A352, "mm/dd/yyyy")))</f>
        <v>Reviewed on 08/16/2022</v>
      </c>
      <c r="B352" s="383" t="str">
        <f>'2022-2023 Applications Review'!B352</f>
        <v>Pandorum International Inc. _2022</v>
      </c>
      <c r="C352" s="383" t="str">
        <f>'2022-2023 Applications Review'!E352</f>
        <v>Life Sciences</v>
      </c>
      <c r="D352" s="384" t="str">
        <f>'2022-2023 Applications Review'!Q352</f>
        <v>Invite</v>
      </c>
      <c r="E352" s="383"/>
      <c r="F352" s="383"/>
      <c r="G352" s="383"/>
      <c r="H352" s="383"/>
      <c r="I352" s="385" t="b">
        <v>1</v>
      </c>
      <c r="J352" s="386" t="s">
        <v>12273</v>
      </c>
    </row>
    <row r="353" spans="1:10">
      <c r="A353" s="383" t="str">
        <f>CONCATENATE("Reviewed on"," ",(TEXT('2022-2023 Applications Review'!$A353, "mm/dd/yyyy")))</f>
        <v>Reviewed on 08/16/2022</v>
      </c>
      <c r="B353" s="383" t="str">
        <f>'2022-2023 Applications Review'!B353</f>
        <v>Summer Robotics Inc _2022</v>
      </c>
      <c r="C353" s="383" t="str">
        <f>'2022-2023 Applications Review'!E353</f>
        <v>Digital Tech</v>
      </c>
      <c r="D353" s="384" t="str">
        <f>'2022-2023 Applications Review'!Q353</f>
        <v>Invite</v>
      </c>
      <c r="E353" s="383"/>
      <c r="F353" s="383"/>
      <c r="G353" s="383"/>
      <c r="H353" s="383"/>
      <c r="I353" s="385" t="b">
        <v>1</v>
      </c>
      <c r="J353" s="386" t="s">
        <v>12274</v>
      </c>
    </row>
    <row r="354" spans="1:10">
      <c r="A354" s="383" t="str">
        <f>CONCATENATE("Reviewed on"," ",(TEXT('2022-2023 Applications Review'!$A354, "mm/dd/yyyy")))</f>
        <v>Reviewed on 08/16/2022</v>
      </c>
      <c r="B354" s="383" t="str">
        <f>'2022-2023 Applications Review'!B354</f>
        <v>48 Hour Discovery Inc. _2022</v>
      </c>
      <c r="C354" s="383" t="str">
        <f>'2022-2023 Applications Review'!E354</f>
        <v>Life Sciences</v>
      </c>
      <c r="D354" s="384" t="str">
        <f>'2022-2023 Applications Review'!Q354</f>
        <v>Invite</v>
      </c>
      <c r="E354" s="383"/>
      <c r="F354" s="383"/>
      <c r="G354" s="383"/>
      <c r="H354" s="383"/>
      <c r="I354" s="385" t="b">
        <v>1</v>
      </c>
      <c r="J354" s="386" t="s">
        <v>12275</v>
      </c>
    </row>
    <row r="355" spans="1:10">
      <c r="A355" s="383" t="str">
        <f>CONCATENATE("Reviewed on"," ",(TEXT('2022-2023 Applications Review'!$A355, "mm/dd/yyyy")))</f>
        <v>Reviewed on 08/16/2022</v>
      </c>
      <c r="B355" s="383" t="str">
        <f>'2022-2023 Applications Review'!B355</f>
        <v>Zoundream _2022</v>
      </c>
      <c r="C355" s="383" t="str">
        <f>'2022-2023 Applications Review'!E355</f>
        <v>Digital Tech</v>
      </c>
      <c r="D355" s="384" t="str">
        <f>'2022-2023 Applications Review'!Q355</f>
        <v>Invite</v>
      </c>
      <c r="E355" s="383"/>
      <c r="F355" s="383"/>
      <c r="G355" s="383"/>
      <c r="H355" s="383"/>
      <c r="I355" s="385" t="b">
        <v>1</v>
      </c>
      <c r="J355" s="386" t="s">
        <v>12276</v>
      </c>
    </row>
    <row r="356" spans="1:10">
      <c r="A356" s="383" t="str">
        <f>CONCATENATE("Reviewed on"," ",(TEXT('2022-2023 Applications Review'!$A356, "mm/dd/yyyy")))</f>
        <v>Reviewed on 08/16/2022</v>
      </c>
      <c r="B356" s="383" t="str">
        <f>'2022-2023 Applications Review'!B356</f>
        <v>ImmunoGel LLC _2022</v>
      </c>
      <c r="C356" s="383" t="str">
        <f>'2022-2023 Applications Review'!E356</f>
        <v>Life Sciences</v>
      </c>
      <c r="D356" s="384" t="str">
        <f>'2022-2023 Applications Review'!Q356</f>
        <v>Invite</v>
      </c>
      <c r="E356" s="383"/>
      <c r="F356" s="383"/>
      <c r="G356" s="383"/>
      <c r="H356" s="383"/>
      <c r="I356" s="385" t="b">
        <v>1</v>
      </c>
      <c r="J356" s="386" t="s">
        <v>12277</v>
      </c>
    </row>
    <row r="357" spans="1:10">
      <c r="A357" s="383" t="str">
        <f>CONCATENATE("Reviewed on"," ",(TEXT('2022-2023 Applications Review'!$A357, "mm/dd/yyyy")))</f>
        <v>Reviewed on 08/16/2022</v>
      </c>
      <c r="B357" s="383" t="str">
        <f>'2022-2023 Applications Review'!B357</f>
        <v>Kano Therapeutics _2022</v>
      </c>
      <c r="C357" s="383" t="str">
        <f>'2022-2023 Applications Review'!E357</f>
        <v>Life Sciences</v>
      </c>
      <c r="D357" s="384" t="str">
        <f>'2022-2023 Applications Review'!Q357</f>
        <v>Invite</v>
      </c>
      <c r="E357" s="383"/>
      <c r="F357" s="383"/>
      <c r="G357" s="383"/>
      <c r="H357" s="383"/>
      <c r="I357" s="385" t="b">
        <v>1</v>
      </c>
      <c r="J357" s="386" t="s">
        <v>12278</v>
      </c>
    </row>
    <row r="358" spans="1:10">
      <c r="A358" s="383" t="str">
        <f>CONCATENATE("Reviewed on"," ",(TEXT('2022-2023 Applications Review'!$A358, "mm/dd/yyyy")))</f>
        <v>Reviewed on 08/16/2022</v>
      </c>
      <c r="B358" s="383" t="str">
        <f>'2022-2023 Applications Review'!B358</f>
        <v>PONS _2022</v>
      </c>
      <c r="C358" s="383" t="str">
        <f>'2022-2023 Applications Review'!E358</f>
        <v>Deep Tech</v>
      </c>
      <c r="D358" s="384" t="str">
        <f>'2022-2023 Applications Review'!Q358</f>
        <v>Invite</v>
      </c>
      <c r="E358" s="383"/>
      <c r="F358" s="383"/>
      <c r="G358" s="383"/>
      <c r="H358" s="383"/>
      <c r="I358" s="385" t="b">
        <v>1</v>
      </c>
      <c r="J358" s="386" t="s">
        <v>12279</v>
      </c>
    </row>
    <row r="359" spans="1:10">
      <c r="A359" s="383" t="str">
        <f>CONCATENATE("Reviewed on"," ",(TEXT('2022-2023 Applications Review'!$A359, "mm/dd/yyyy")))</f>
        <v>Reviewed on 08/16/2022</v>
      </c>
      <c r="B359" s="383" t="str">
        <f>'2022-2023 Applications Review'!B359</f>
        <v>GridMatrix _2022</v>
      </c>
      <c r="C359" s="383" t="str">
        <f>'2022-2023 Applications Review'!E359</f>
        <v>Digital Tech</v>
      </c>
      <c r="D359" s="384" t="str">
        <f>'2022-2023 Applications Review'!Q359</f>
        <v>Invite</v>
      </c>
      <c r="E359" s="383"/>
      <c r="F359" s="383"/>
      <c r="G359" s="383"/>
      <c r="H359" s="383"/>
      <c r="I359" s="385" t="b">
        <v>1</v>
      </c>
      <c r="J359" s="386" t="s">
        <v>12280</v>
      </c>
    </row>
    <row r="360" spans="1:10">
      <c r="A360" s="383" t="str">
        <f>CONCATENATE("Reviewed on"," ",(TEXT('2022-2023 Applications Review'!$A360, "mm/dd/yyyy")))</f>
        <v>Reviewed on 08/16/2022</v>
      </c>
      <c r="B360" s="383" t="str">
        <f>'2022-2023 Applications Review'!B360</f>
        <v>Amplified Sciences, Inc. _2022</v>
      </c>
      <c r="C360" s="383" t="str">
        <f>'2022-2023 Applications Review'!E360</f>
        <v>Life Sciences</v>
      </c>
      <c r="D360" s="384" t="str">
        <f>'2022-2023 Applications Review'!Q360</f>
        <v>Invite</v>
      </c>
      <c r="E360" s="383"/>
      <c r="F360" s="383"/>
      <c r="G360" s="383"/>
      <c r="H360" s="383"/>
      <c r="I360" s="385" t="b">
        <v>1</v>
      </c>
      <c r="J360" s="386" t="s">
        <v>12281</v>
      </c>
    </row>
    <row r="361" spans="1:10">
      <c r="A361" s="383" t="str">
        <f>CONCATENATE("Reviewed on"," ",(TEXT('2022-2023 Applications Review'!$A361, "mm/dd/yyyy")))</f>
        <v>Reviewed on 08/16/2022</v>
      </c>
      <c r="B361" s="383" t="str">
        <f>'2022-2023 Applications Review'!B361</f>
        <v>EMPIRI _2022</v>
      </c>
      <c r="C361" s="383" t="str">
        <f>'2022-2023 Applications Review'!E361</f>
        <v>Life Sciences</v>
      </c>
      <c r="D361" s="384" t="str">
        <f>'2022-2023 Applications Review'!Q361</f>
        <v>Invite</v>
      </c>
      <c r="E361" s="383"/>
      <c r="F361" s="383"/>
      <c r="G361" s="383"/>
      <c r="H361" s="383"/>
      <c r="I361" s="385" t="b">
        <v>1</v>
      </c>
      <c r="J361" s="386" t="s">
        <v>12282</v>
      </c>
    </row>
    <row r="362" spans="1:10">
      <c r="A362" s="383" t="str">
        <f>CONCATENATE("Reviewed on"," ",(TEXT('2022-2023 Applications Review'!$A362, "mm/dd/yyyy")))</f>
        <v>Reviewed on 08/16/2022</v>
      </c>
      <c r="B362" s="383" t="str">
        <f>'2022-2023 Applications Review'!B362</f>
        <v>Labfront _2022</v>
      </c>
      <c r="C362" s="383" t="str">
        <f>'2022-2023 Applications Review'!E362</f>
        <v>Digital Tech</v>
      </c>
      <c r="D362" s="384" t="str">
        <f>'2022-2023 Applications Review'!Q362</f>
        <v>Invite</v>
      </c>
      <c r="E362" s="383"/>
      <c r="F362" s="383"/>
      <c r="G362" s="383"/>
      <c r="H362" s="383"/>
      <c r="I362" s="385" t="b">
        <v>1</v>
      </c>
      <c r="J362" s="386" t="s">
        <v>12283</v>
      </c>
    </row>
    <row r="363" spans="1:10">
      <c r="A363" s="383" t="str">
        <f>CONCATENATE("Reviewed on"," ",(TEXT('2022-2023 Applications Review'!$A363, "mm/dd/yyyy")))</f>
        <v>Reviewed on 08/16/2022</v>
      </c>
      <c r="B363" s="383" t="str">
        <f>'2022-2023 Applications Review'!B363</f>
        <v>A&amp;K Robotics _2022</v>
      </c>
      <c r="C363" s="383" t="str">
        <f>'2022-2023 Applications Review'!E363</f>
        <v>Deep Tech</v>
      </c>
      <c r="D363" s="384" t="str">
        <f>'2022-2023 Applications Review'!Q363</f>
        <v>Invite</v>
      </c>
      <c r="E363" s="383"/>
      <c r="F363" s="383"/>
      <c r="G363" s="383"/>
      <c r="H363" s="383"/>
      <c r="I363" s="385" t="b">
        <v>1</v>
      </c>
      <c r="J363" s="386" t="s">
        <v>12284</v>
      </c>
    </row>
    <row r="364" spans="1:10">
      <c r="A364" s="383" t="str">
        <f>CONCATENATE("Reviewed on"," ",(TEXT('2022-2023 Applications Review'!$A364, "mm/dd/yyyy")))</f>
        <v>Reviewed on 08/16/2022</v>
      </c>
      <c r="B364" s="383" t="str">
        <f>'2022-2023 Applications Review'!B364</f>
        <v>Tactical Therapeutics, Inc _2022</v>
      </c>
      <c r="C364" s="383" t="str">
        <f>'2022-2023 Applications Review'!E364</f>
        <v>Life Sciences</v>
      </c>
      <c r="D364" s="384" t="str">
        <f>'2022-2023 Applications Review'!Q364</f>
        <v>Invite</v>
      </c>
      <c r="E364" s="383"/>
      <c r="F364" s="383"/>
      <c r="G364" s="383"/>
      <c r="H364" s="383"/>
      <c r="I364" s="385" t="b">
        <v>1</v>
      </c>
      <c r="J364" s="386" t="s">
        <v>12285</v>
      </c>
    </row>
    <row r="365" spans="1:10">
      <c r="A365" s="383" t="str">
        <f>CONCATENATE("Reviewed on"," ",(TEXT('2022-2023 Applications Review'!$A365, "mm/dd/yyyy")))</f>
        <v>Reviewed on 08/16/2022</v>
      </c>
      <c r="B365" s="383" t="str">
        <f>'2022-2023 Applications Review'!B365</f>
        <v>pragyaa.ai _2022</v>
      </c>
      <c r="C365" s="383" t="str">
        <f>'2022-2023 Applications Review'!E365</f>
        <v>Digital Tech</v>
      </c>
      <c r="D365" s="384" t="str">
        <f>'2022-2023 Applications Review'!Q365</f>
        <v>Invite</v>
      </c>
      <c r="E365" s="383"/>
      <c r="F365" s="383"/>
      <c r="G365" s="383"/>
      <c r="H365" s="383"/>
      <c r="I365" s="385" t="b">
        <v>1</v>
      </c>
      <c r="J365" s="386" t="s">
        <v>12286</v>
      </c>
    </row>
    <row r="366" spans="1:10">
      <c r="A366" s="383" t="str">
        <f>CONCATENATE("Reviewed on"," ",(TEXT('2022-2023 Applications Review'!$A366, "mm/dd/yyyy")))</f>
        <v>Reviewed on 08/16/2022</v>
      </c>
      <c r="B366" s="383" t="str">
        <f>'2022-2023 Applications Review'!B366</f>
        <v>Skyhook Solar Corp. _2022</v>
      </c>
      <c r="C366" s="383" t="str">
        <f>'2022-2023 Applications Review'!E366</f>
        <v>Deep Tech</v>
      </c>
      <c r="D366" s="384" t="str">
        <f>'2022-2023 Applications Review'!Q366</f>
        <v>Invite</v>
      </c>
      <c r="E366" s="383"/>
      <c r="F366" s="383"/>
      <c r="G366" s="383"/>
      <c r="H366" s="383"/>
      <c r="I366" s="385" t="b">
        <v>1</v>
      </c>
      <c r="J366" s="386" t="s">
        <v>12287</v>
      </c>
    </row>
    <row r="367" spans="1:10">
      <c r="A367" s="383" t="str">
        <f>CONCATENATE("Reviewed on"," ",(TEXT('2022-2023 Applications Review'!$A367, "mm/dd/yyyy")))</f>
        <v>Reviewed on 08/16/2022</v>
      </c>
      <c r="B367" s="383" t="str">
        <f>'2022-2023 Applications Review'!B367</f>
        <v>Pannex Therapeutics _2022</v>
      </c>
      <c r="C367" s="383" t="str">
        <f>'2022-2023 Applications Review'!E367</f>
        <v>Life Sciences</v>
      </c>
      <c r="D367" s="384" t="str">
        <f>'2022-2023 Applications Review'!Q367</f>
        <v>Invite</v>
      </c>
      <c r="E367" s="383"/>
      <c r="F367" s="383"/>
      <c r="G367" s="383"/>
      <c r="H367" s="383"/>
      <c r="I367" s="385" t="b">
        <v>1</v>
      </c>
      <c r="J367" s="386" t="s">
        <v>12288</v>
      </c>
    </row>
    <row r="368" spans="1:10">
      <c r="A368" s="383" t="str">
        <f>CONCATENATE("Reviewed on"," ",(TEXT('2022-2023 Applications Review'!$A368, "mm/dd/yyyy")))</f>
        <v>Reviewed on 08/16/2022</v>
      </c>
      <c r="B368" s="383" t="str">
        <f>'2022-2023 Applications Review'!B368</f>
        <v>H Quest Vanguard, Inc. _2022</v>
      </c>
      <c r="C368" s="383" t="str">
        <f>'2022-2023 Applications Review'!E368</f>
        <v>Deep Tech</v>
      </c>
      <c r="D368" s="384" t="str">
        <f>'2022-2023 Applications Review'!Q368</f>
        <v>Invite</v>
      </c>
      <c r="E368" s="383"/>
      <c r="F368" s="383"/>
      <c r="G368" s="383"/>
      <c r="H368" s="383"/>
      <c r="I368" s="385" t="b">
        <v>1</v>
      </c>
      <c r="J368" s="386" t="s">
        <v>12289</v>
      </c>
    </row>
    <row r="369" spans="1:10">
      <c r="A369" s="383" t="str">
        <f>CONCATENATE("Reviewed on"," ",(TEXT('2022-2023 Applications Review'!$A369, "mm/dd/yyyy")))</f>
        <v>Reviewed on 08/16/2022</v>
      </c>
      <c r="B369" s="383" t="str">
        <f>'2022-2023 Applications Review'!B369</f>
        <v>GenoTwin, Inc. _2022</v>
      </c>
      <c r="C369" s="383" t="str">
        <f>'2022-2023 Applications Review'!E369</f>
        <v>Life Sciences</v>
      </c>
      <c r="D369" s="384" t="str">
        <f>'2022-2023 Applications Review'!Q369</f>
        <v>Invite</v>
      </c>
      <c r="E369" s="383"/>
      <c r="F369" s="383"/>
      <c r="G369" s="383"/>
      <c r="H369" s="383"/>
      <c r="I369" s="385" t="b">
        <v>1</v>
      </c>
      <c r="J369" s="386" t="s">
        <v>12290</v>
      </c>
    </row>
    <row r="370" spans="1:10">
      <c r="A370" s="383" t="str">
        <f>CONCATENATE("Reviewed on"," ",(TEXT('2022-2023 Applications Review'!$A370, "mm/dd/yyyy")))</f>
        <v>Reviewed on 08/16/2022</v>
      </c>
      <c r="B370" s="383" t="str">
        <f>'2022-2023 Applications Review'!B370</f>
        <v>Abstractive Health  _2022</v>
      </c>
      <c r="C370" s="383" t="str">
        <f>'2022-2023 Applications Review'!E370</f>
        <v>Digital Tech</v>
      </c>
      <c r="D370" s="384" t="str">
        <f>'2022-2023 Applications Review'!Q370</f>
        <v>Invite</v>
      </c>
      <c r="E370" s="383"/>
      <c r="F370" s="383"/>
      <c r="G370" s="383"/>
      <c r="H370" s="383"/>
      <c r="I370" s="385" t="b">
        <v>1</v>
      </c>
      <c r="J370" s="386" t="s">
        <v>12291</v>
      </c>
    </row>
    <row r="371" spans="1:10">
      <c r="A371" s="383" t="str">
        <f>CONCATENATE("Reviewed on"," ",(TEXT('2022-2023 Applications Review'!$A371, "mm/dd/yyyy")))</f>
        <v>Reviewed on 08/16/2022</v>
      </c>
      <c r="B371" s="383" t="str">
        <f>'2022-2023 Applications Review'!B371</f>
        <v>InvVax _2022</v>
      </c>
      <c r="C371" s="383" t="str">
        <f>'2022-2023 Applications Review'!E371</f>
        <v>Life Sciences</v>
      </c>
      <c r="D371" s="384" t="str">
        <f>'2022-2023 Applications Review'!Q371</f>
        <v>Invite</v>
      </c>
      <c r="E371" s="383"/>
      <c r="F371" s="383"/>
      <c r="G371" s="383"/>
      <c r="H371" s="383"/>
      <c r="I371" s="385" t="b">
        <v>1</v>
      </c>
      <c r="J371" s="386" t="s">
        <v>12292</v>
      </c>
    </row>
    <row r="372" spans="1:10">
      <c r="A372" s="383" t="str">
        <f>CONCATENATE("Reviewed on"," ",(TEXT('2022-2023 Applications Review'!$A372, "mm/dd/yyyy")))</f>
        <v>Reviewed on 08/16/2022</v>
      </c>
      <c r="B372" s="383" t="str">
        <f>'2022-2023 Applications Review'!B372</f>
        <v>Blip Labs Technologies, Inc. _2022</v>
      </c>
      <c r="C372" s="383" t="str">
        <f>'2022-2023 Applications Review'!E372</f>
        <v>Digital Tech</v>
      </c>
      <c r="D372" s="384" t="str">
        <f>'2022-2023 Applications Review'!Q372</f>
        <v>Invite</v>
      </c>
      <c r="E372" s="383"/>
      <c r="F372" s="383"/>
      <c r="G372" s="383"/>
      <c r="H372" s="383"/>
      <c r="I372" s="385" t="b">
        <v>1</v>
      </c>
      <c r="J372" s="386" t="s">
        <v>12293</v>
      </c>
    </row>
    <row r="373" spans="1:10">
      <c r="A373" s="383" t="str">
        <f>CONCATENATE("Reviewed on"," ",(TEXT('2022-2023 Applications Review'!$A373, "mm/dd/yyyy")))</f>
        <v>Reviewed on 08/16/2022</v>
      </c>
      <c r="B373" s="383" t="str">
        <f>'2022-2023 Applications Review'!B373</f>
        <v>Ischemia Care _2022</v>
      </c>
      <c r="C373" s="383" t="str">
        <f>'2022-2023 Applications Review'!E373</f>
        <v>Life Sciences</v>
      </c>
      <c r="D373" s="384" t="str">
        <f>'2022-2023 Applications Review'!Q373</f>
        <v>Invite</v>
      </c>
      <c r="E373" s="383"/>
      <c r="F373" s="383"/>
      <c r="G373" s="383"/>
      <c r="H373" s="383"/>
      <c r="I373" s="385" t="b">
        <v>1</v>
      </c>
      <c r="J373" s="386" t="s">
        <v>12294</v>
      </c>
    </row>
    <row r="374" spans="1:10">
      <c r="A374" s="383" t="str">
        <f>CONCATENATE("Reviewed on"," ",(TEXT('2022-2023 Applications Review'!$A374, "mm/dd/yyyy")))</f>
        <v>Reviewed on 08/16/2022</v>
      </c>
      <c r="B374" s="383" t="str">
        <f>'2022-2023 Applications Review'!B374</f>
        <v>Emani trading as Collective Quotient Ltd _2022</v>
      </c>
      <c r="C374" s="383" t="str">
        <f>'2022-2023 Applications Review'!E374</f>
        <v>Digital Tech</v>
      </c>
      <c r="D374" s="384" t="str">
        <f>'2022-2023 Applications Review'!Q374</f>
        <v>Invite</v>
      </c>
      <c r="E374" s="383"/>
      <c r="F374" s="383"/>
      <c r="G374" s="383"/>
      <c r="H374" s="383"/>
      <c r="I374" s="385" t="b">
        <v>1</v>
      </c>
      <c r="J374" s="386" t="s">
        <v>12295</v>
      </c>
    </row>
    <row r="375" spans="1:10">
      <c r="A375" s="383" t="str">
        <f>CONCATENATE("Reviewed on"," ",(TEXT('2022-2023 Applications Review'!$A375, "mm/dd/yyyy")))</f>
        <v>Reviewed on 08/16/2022</v>
      </c>
      <c r="B375" s="383" t="str">
        <f>'2022-2023 Applications Review'!B375</f>
        <v>SecureCHEK AI, Inc. _2022</v>
      </c>
      <c r="C375" s="383" t="str">
        <f>'2022-2023 Applications Review'!E375</f>
        <v>Digital Tech</v>
      </c>
      <c r="D375" s="384" t="str">
        <f>'2022-2023 Applications Review'!Q375</f>
        <v>Invite</v>
      </c>
      <c r="E375" s="383"/>
      <c r="F375" s="383"/>
      <c r="G375" s="383"/>
      <c r="H375" s="383"/>
      <c r="I375" s="385" t="b">
        <v>1</v>
      </c>
      <c r="J375" s="386" t="s">
        <v>12296</v>
      </c>
    </row>
    <row r="376" spans="1:10">
      <c r="A376" s="383" t="str">
        <f>CONCATENATE("Reviewed on"," ",(TEXT('2022-2023 Applications Review'!$A376, "mm/dd/yyyy")))</f>
        <v>Reviewed on 08/16/2022</v>
      </c>
      <c r="B376" s="383" t="str">
        <f>'2022-2023 Applications Review'!B376</f>
        <v>Datirium, LLC _2022</v>
      </c>
      <c r="C376" s="383" t="str">
        <f>'2022-2023 Applications Review'!E376</f>
        <v>Digital Tech</v>
      </c>
      <c r="D376" s="384" t="str">
        <f>'2022-2023 Applications Review'!Q376</f>
        <v>Invite</v>
      </c>
      <c r="E376" s="383"/>
      <c r="F376" s="383"/>
      <c r="G376" s="383"/>
      <c r="H376" s="383"/>
      <c r="I376" s="385" t="b">
        <v>1</v>
      </c>
      <c r="J376" s="386" t="s">
        <v>12297</v>
      </c>
    </row>
    <row r="377" spans="1:10">
      <c r="A377" s="383" t="str">
        <f>CONCATENATE("Reviewed on"," ",(TEXT('2022-2023 Applications Review'!$A377, "mm/dd/yyyy")))</f>
        <v>Reviewed on 08/16/2022</v>
      </c>
      <c r="B377" s="383" t="str">
        <f>'2022-2023 Applications Review'!B377</f>
        <v>Regtick Ltd _2022</v>
      </c>
      <c r="C377" s="383" t="str">
        <f>'2022-2023 Applications Review'!E377</f>
        <v>Digital Tech</v>
      </c>
      <c r="D377" s="384" t="str">
        <f>'2022-2023 Applications Review'!Q377</f>
        <v>Invite</v>
      </c>
      <c r="E377" s="383"/>
      <c r="F377" s="383"/>
      <c r="G377" s="383"/>
      <c r="H377" s="383"/>
      <c r="I377" s="385" t="b">
        <v>1</v>
      </c>
      <c r="J377" s="386" t="s">
        <v>12298</v>
      </c>
    </row>
    <row r="378" spans="1:10">
      <c r="A378" s="383" t="str">
        <f>CONCATENATE("Reviewed on"," ",(TEXT('2022-2023 Applications Review'!$A378, "mm/dd/yyyy")))</f>
        <v>Reviewed on 08/16/2022</v>
      </c>
      <c r="B378" s="383" t="str">
        <f>'2022-2023 Applications Review'!B378</f>
        <v>Suru Together Ltd _2022</v>
      </c>
      <c r="C378" s="383" t="str">
        <f>'2022-2023 Applications Review'!E378</f>
        <v>Digital Tech</v>
      </c>
      <c r="D378" s="384" t="str">
        <f>'2022-2023 Applications Review'!Q378</f>
        <v>Invite</v>
      </c>
      <c r="E378" s="383"/>
      <c r="F378" s="383"/>
      <c r="G378" s="383"/>
      <c r="H378" s="383"/>
      <c r="I378" s="385" t="b">
        <v>1</v>
      </c>
      <c r="J378" s="386" t="s">
        <v>12299</v>
      </c>
    </row>
    <row r="379" spans="1:10">
      <c r="A379" s="383" t="str">
        <f>CONCATENATE("Reviewed on"," ",(TEXT('2022-2023 Applications Review'!$A379, "mm/dd/yyyy")))</f>
        <v>Reviewed on 08/16/2022</v>
      </c>
      <c r="B379" s="383" t="str">
        <f>'2022-2023 Applications Review'!B379</f>
        <v>California Cultured _2022</v>
      </c>
      <c r="C379" s="383" t="str">
        <f>'2022-2023 Applications Review'!E379</f>
        <v>Deep Tech</v>
      </c>
      <c r="D379" s="384" t="str">
        <f>'2022-2023 Applications Review'!Q379</f>
        <v>Invite</v>
      </c>
      <c r="E379" s="383"/>
      <c r="F379" s="383"/>
      <c r="G379" s="383"/>
      <c r="H379" s="383"/>
      <c r="I379" s="385" t="b">
        <v>1</v>
      </c>
      <c r="J379" s="386" t="s">
        <v>12300</v>
      </c>
    </row>
    <row r="380" spans="1:10">
      <c r="A380" s="383" t="str">
        <f>CONCATENATE("Reviewed on"," ",(TEXT('2022-2023 Applications Review'!$A380, "mm/dd/yyyy")))</f>
        <v>Reviewed on 08/16/2022</v>
      </c>
      <c r="B380" s="383" t="str">
        <f>'2022-2023 Applications Review'!B380</f>
        <v>Wootzano Limited _2022</v>
      </c>
      <c r="C380" s="383" t="str">
        <f>'2022-2023 Applications Review'!E380</f>
        <v>Deep Tech</v>
      </c>
      <c r="D380" s="384" t="str">
        <f>'2022-2023 Applications Review'!Q380</f>
        <v>Invite</v>
      </c>
      <c r="E380" s="383"/>
      <c r="F380" s="383"/>
      <c r="G380" s="383"/>
      <c r="H380" s="383"/>
      <c r="I380" s="385" t="b">
        <v>1</v>
      </c>
      <c r="J380" s="386" t="s">
        <v>12301</v>
      </c>
    </row>
    <row r="381" spans="1:10">
      <c r="A381" s="383" t="str">
        <f>CONCATENATE("Reviewed on"," ",(TEXT('2022-2023 Applications Review'!$A381, "mm/dd/yyyy")))</f>
        <v>Reviewed on 08/16/2022</v>
      </c>
      <c r="B381" s="383" t="str">
        <f>'2022-2023 Applications Review'!B381</f>
        <v>Voltela _2022</v>
      </c>
      <c r="C381" s="383" t="str">
        <f>'2022-2023 Applications Review'!E381</f>
        <v>Digital Tech</v>
      </c>
      <c r="D381" s="384" t="str">
        <f>'2022-2023 Applications Review'!Q381</f>
        <v>Invite</v>
      </c>
      <c r="E381" s="383"/>
      <c r="F381" s="383"/>
      <c r="G381" s="383"/>
      <c r="H381" s="383"/>
      <c r="I381" s="385" t="b">
        <v>1</v>
      </c>
      <c r="J381" s="386" t="s">
        <v>12302</v>
      </c>
    </row>
    <row r="382" spans="1:10">
      <c r="A382" s="383" t="str">
        <f>CONCATENATE("Reviewed on"," ",(TEXT('2022-2023 Applications Review'!$A382, "mm/dd/yyyy")))</f>
        <v>Reviewed on 08/16/2022</v>
      </c>
      <c r="B382" s="383" t="str">
        <f>'2022-2023 Applications Review'!B382</f>
        <v>breathe ilo GmbH _2022</v>
      </c>
      <c r="C382" s="383" t="str">
        <f>'2022-2023 Applications Review'!E382</f>
        <v>Digital Tech</v>
      </c>
      <c r="D382" s="384" t="str">
        <f>'2022-2023 Applications Review'!Q382</f>
        <v>Invite</v>
      </c>
      <c r="E382" s="383"/>
      <c r="F382" s="383"/>
      <c r="G382" s="383"/>
      <c r="H382" s="383"/>
      <c r="I382" s="385" t="b">
        <v>1</v>
      </c>
      <c r="J382" s="386" t="s">
        <v>12303</v>
      </c>
    </row>
    <row r="383" spans="1:10">
      <c r="A383" s="383" t="str">
        <f>CONCATENATE("Reviewed on"," ",(TEXT('2022-2023 Applications Review'!$A383, "mm/dd/yyyy")))</f>
        <v>Reviewed on 08/16/2022</v>
      </c>
      <c r="B383" s="383" t="str">
        <f>'2022-2023 Applications Review'!B383</f>
        <v>Haystack Oncology _2022</v>
      </c>
      <c r="C383" s="383" t="str">
        <f>'2022-2023 Applications Review'!E383</f>
        <v>Life Sciences</v>
      </c>
      <c r="D383" s="384" t="str">
        <f>'2022-2023 Applications Review'!Q383</f>
        <v>Invite</v>
      </c>
      <c r="E383" s="383"/>
      <c r="F383" s="383"/>
      <c r="G383" s="383"/>
      <c r="H383" s="383"/>
      <c r="I383" s="385" t="b">
        <v>1</v>
      </c>
      <c r="J383" s="386" t="s">
        <v>12304</v>
      </c>
    </row>
    <row r="384" spans="1:10">
      <c r="A384" s="383" t="str">
        <f>CONCATENATE("Reviewed on"," ",(TEXT('2022-2023 Applications Review'!$A384, "mm/dd/yyyy")))</f>
        <v>Reviewed on 08/16/2022</v>
      </c>
      <c r="B384" s="383" t="str">
        <f>'2022-2023 Applications Review'!B384</f>
        <v>Entoprotech Ltd _2022</v>
      </c>
      <c r="C384" s="383" t="str">
        <f>'2022-2023 Applications Review'!E384</f>
        <v>Deep Tech</v>
      </c>
      <c r="D384" s="384" t="str">
        <f>'2022-2023 Applications Review'!Q384</f>
        <v>Revisit/ Cluster</v>
      </c>
      <c r="E384" s="383"/>
      <c r="F384" s="383"/>
      <c r="G384" s="383"/>
      <c r="H384" s="383"/>
      <c r="I384" s="385" t="b">
        <v>1</v>
      </c>
      <c r="J384" s="386" t="s">
        <v>12305</v>
      </c>
    </row>
    <row r="385" spans="1:10">
      <c r="A385" s="383" t="str">
        <f>CONCATENATE("Reviewed on"," ",(TEXT('2022-2023 Applications Review'!$A385, "mm/dd/yyyy")))</f>
        <v>Reviewed on 08/16/2022</v>
      </c>
      <c r="B385" s="383" t="str">
        <f>'2022-2023 Applications Review'!B385</f>
        <v>Neu Bio, Inc. _2022</v>
      </c>
      <c r="C385" s="383" t="str">
        <f>'2022-2023 Applications Review'!E385</f>
        <v>Digital Tech</v>
      </c>
      <c r="D385" s="384" t="str">
        <f>'2022-2023 Applications Review'!Q385</f>
        <v>Invite</v>
      </c>
      <c r="E385" s="383"/>
      <c r="F385" s="383"/>
      <c r="G385" s="383"/>
      <c r="H385" s="383"/>
      <c r="I385" s="385" t="b">
        <v>1</v>
      </c>
      <c r="J385" s="386" t="s">
        <v>12306</v>
      </c>
    </row>
    <row r="386" spans="1:10">
      <c r="A386" s="383" t="str">
        <f>CONCATENATE("Reviewed on"," ",(TEXT('2022-2023 Applications Review'!$A386, "mm/dd/yyyy")))</f>
        <v>Reviewed on 08/16/2022</v>
      </c>
      <c r="B386" s="383" t="str">
        <f>'2022-2023 Applications Review'!B386</f>
        <v>ecolytiq GmbH _2022</v>
      </c>
      <c r="C386" s="383" t="str">
        <f>'2022-2023 Applications Review'!E386</f>
        <v>Digital Tech</v>
      </c>
      <c r="D386" s="384" t="str">
        <f>'2022-2023 Applications Review'!Q386</f>
        <v>Invite</v>
      </c>
      <c r="E386" s="383"/>
      <c r="F386" s="383"/>
      <c r="G386" s="383"/>
      <c r="H386" s="383"/>
      <c r="I386" s="385" t="b">
        <v>1</v>
      </c>
      <c r="J386" s="386" t="s">
        <v>12307</v>
      </c>
    </row>
    <row r="387" spans="1:10">
      <c r="A387" s="383" t="str">
        <f>CONCATENATE("Reviewed on"," ",(TEXT('2022-2023 Applications Review'!$A387, "mm/dd/yyyy")))</f>
        <v>Reviewed on 08/16/2022</v>
      </c>
      <c r="B387" s="383" t="str">
        <f>'2022-2023 Applications Review'!B387</f>
        <v>LightCode Photonics _2022</v>
      </c>
      <c r="C387" s="383" t="str">
        <f>'2022-2023 Applications Review'!E387</f>
        <v>Deep Tech</v>
      </c>
      <c r="D387" s="384" t="str">
        <f>'2022-2023 Applications Review'!Q387</f>
        <v>Invite</v>
      </c>
      <c r="E387" s="383"/>
      <c r="F387" s="383"/>
      <c r="G387" s="383"/>
      <c r="H387" s="383"/>
      <c r="I387" s="385" t="b">
        <v>1</v>
      </c>
      <c r="J387" s="386" t="s">
        <v>12308</v>
      </c>
    </row>
    <row r="388" spans="1:10">
      <c r="A388" s="383" t="str">
        <f>CONCATENATE("Reviewed on"," ",(TEXT('2022-2023 Applications Review'!$A388, "mm/dd/yyyy")))</f>
        <v>Reviewed on 08/16/2022</v>
      </c>
      <c r="B388" s="383" t="str">
        <f>'2022-2023 Applications Review'!B388</f>
        <v>GeneSkin _2022</v>
      </c>
      <c r="C388" s="383" t="str">
        <f>'2022-2023 Applications Review'!E388</f>
        <v>Life Sciences</v>
      </c>
      <c r="D388" s="384" t="str">
        <f>'2022-2023 Applications Review'!Q388</f>
        <v>Invite</v>
      </c>
      <c r="E388" s="383"/>
      <c r="F388" s="383"/>
      <c r="G388" s="383"/>
      <c r="H388" s="383"/>
      <c r="I388" s="385" t="b">
        <v>1</v>
      </c>
      <c r="J388" s="386" t="s">
        <v>12309</v>
      </c>
    </row>
    <row r="389" spans="1:10">
      <c r="A389" s="383" t="str">
        <f>CONCATENATE("Reviewed on"," ",(TEXT('2022-2023 Applications Review'!$A389, "mm/dd/yyyy")))</f>
        <v>Reviewed on 08/16/2022</v>
      </c>
      <c r="B389" s="383" t="str">
        <f>'2022-2023 Applications Review'!B389</f>
        <v>UpBeing Inc. _2022</v>
      </c>
      <c r="C389" s="383" t="str">
        <f>'2022-2023 Applications Review'!E389</f>
        <v>Digital Tech</v>
      </c>
      <c r="D389" s="384" t="str">
        <f>'2022-2023 Applications Review'!Q389</f>
        <v>Invite</v>
      </c>
      <c r="E389" s="383"/>
      <c r="F389" s="383"/>
      <c r="G389" s="383"/>
      <c r="H389" s="383"/>
      <c r="I389" s="385" t="b">
        <v>1</v>
      </c>
      <c r="J389" s="386" t="s">
        <v>12310</v>
      </c>
    </row>
    <row r="390" spans="1:10">
      <c r="A390" s="383" t="str">
        <f>CONCATENATE("Reviewed on"," ",(TEXT('2022-2023 Applications Review'!$A390, "mm/dd/yyyy")))</f>
        <v>Reviewed on 08/16/2022</v>
      </c>
      <c r="B390" s="383" t="str">
        <f>'2022-2023 Applications Review'!B390</f>
        <v>Odqa Renewable Energy Technologies Limited _2022</v>
      </c>
      <c r="C390" s="383" t="str">
        <f>'2022-2023 Applications Review'!E390</f>
        <v>Deep Tech</v>
      </c>
      <c r="D390" s="384" t="str">
        <f>'2022-2023 Applications Review'!Q390</f>
        <v>Invite</v>
      </c>
      <c r="E390" s="383"/>
      <c r="F390" s="383"/>
      <c r="G390" s="383"/>
      <c r="H390" s="383"/>
      <c r="I390" s="385" t="b">
        <v>1</v>
      </c>
      <c r="J390" s="386" t="s">
        <v>12311</v>
      </c>
    </row>
    <row r="391" spans="1:10">
      <c r="A391" s="383" t="str">
        <f>CONCATENATE("Reviewed on"," ",(TEXT('2022-2023 Applications Review'!$A391, "mm/dd/yyyy")))</f>
        <v>Reviewed on 08/16/2022</v>
      </c>
      <c r="B391" s="383" t="str">
        <f>'2022-2023 Applications Review'!B391</f>
        <v>Avior Bio Inc. _2022</v>
      </c>
      <c r="C391" s="383" t="str">
        <f>'2022-2023 Applications Review'!E391</f>
        <v>Life Sciences</v>
      </c>
      <c r="D391" s="384" t="str">
        <f>'2022-2023 Applications Review'!Q391</f>
        <v>Invite</v>
      </c>
      <c r="E391" s="383"/>
      <c r="F391" s="383"/>
      <c r="G391" s="383"/>
      <c r="H391" s="383"/>
      <c r="I391" s="385" t="b">
        <v>1</v>
      </c>
      <c r="J391" s="386" t="s">
        <v>12312</v>
      </c>
    </row>
    <row r="392" spans="1:10">
      <c r="A392" s="383" t="str">
        <f>CONCATENATE("Reviewed on"," ",(TEXT('2022-2023 Applications Review'!$A392, "mm/dd/yyyy")))</f>
        <v>Reviewed on 08/16/2022</v>
      </c>
      <c r="B392" s="383" t="str">
        <f>'2022-2023 Applications Review'!B392</f>
        <v>Protai _2022</v>
      </c>
      <c r="C392" s="383" t="str">
        <f>'2022-2023 Applications Review'!E392</f>
        <v>Life Sciences</v>
      </c>
      <c r="D392" s="384" t="str">
        <f>'2022-2023 Applications Review'!Q392</f>
        <v>Invite</v>
      </c>
      <c r="E392" s="383"/>
      <c r="F392" s="383"/>
      <c r="G392" s="383"/>
      <c r="H392" s="383"/>
      <c r="I392" s="385" t="b">
        <v>1</v>
      </c>
      <c r="J392" s="386" t="s">
        <v>12313</v>
      </c>
    </row>
    <row r="393" spans="1:10">
      <c r="A393" s="383" t="str">
        <f>CONCATENATE("Reviewed on"," ",(TEXT('2022-2023 Applications Review'!$A393, "mm/dd/yyyy")))</f>
        <v>Reviewed on 08/16/2022</v>
      </c>
      <c r="B393" s="383" t="str">
        <f>'2022-2023 Applications Review'!B393</f>
        <v>Impilo _2022</v>
      </c>
      <c r="C393" s="383" t="str">
        <f>'2022-2023 Applications Review'!E393</f>
        <v>Digital Tech</v>
      </c>
      <c r="D393" s="384" t="str">
        <f>'2022-2023 Applications Review'!Q393</f>
        <v>Invite</v>
      </c>
      <c r="E393" s="383"/>
      <c r="F393" s="383"/>
      <c r="G393" s="383"/>
      <c r="H393" s="383"/>
      <c r="I393" s="385" t="b">
        <v>1</v>
      </c>
      <c r="J393" s="386" t="s">
        <v>12314</v>
      </c>
    </row>
    <row r="394" spans="1:10">
      <c r="A394" s="383" t="str">
        <f>CONCATENATE("Reviewed on"," ",(TEXT('2022-2023 Applications Review'!$A394, "mm/dd/yyyy")))</f>
        <v>Reviewed on 08/16/2022</v>
      </c>
      <c r="B394" s="383" t="str">
        <f>'2022-2023 Applications Review'!B394</f>
        <v>Relyon.ai _2022</v>
      </c>
      <c r="C394" s="383" t="str">
        <f>'2022-2023 Applications Review'!E394</f>
        <v>Digital Tech</v>
      </c>
      <c r="D394" s="384" t="str">
        <f>'2022-2023 Applications Review'!Q394</f>
        <v>Invite Next Year</v>
      </c>
      <c r="E394" s="383"/>
      <c r="F394" s="383"/>
      <c r="G394" s="383"/>
      <c r="H394" s="383"/>
      <c r="I394" s="385" t="b">
        <v>1</v>
      </c>
      <c r="J394" s="386" t="s">
        <v>12315</v>
      </c>
    </row>
    <row r="395" spans="1:10">
      <c r="A395" s="383" t="str">
        <f>CONCATENATE("Reviewed on"," ",(TEXT('2022-2023 Applications Review'!$A395, "mm/dd/yyyy")))</f>
        <v>Reviewed on 08/16/2022</v>
      </c>
      <c r="B395" s="383" t="str">
        <f>'2022-2023 Applications Review'!B395</f>
        <v>ConConnect _2022</v>
      </c>
      <c r="C395" s="383" t="str">
        <f>'2022-2023 Applications Review'!E395</f>
        <v>Digital Tech</v>
      </c>
      <c r="D395" s="384" t="str">
        <f>'2022-2023 Applications Review'!Q395</f>
        <v>Invite</v>
      </c>
      <c r="E395" s="383"/>
      <c r="F395" s="383"/>
      <c r="G395" s="383"/>
      <c r="H395" s="383"/>
      <c r="I395" s="385" t="b">
        <v>1</v>
      </c>
      <c r="J395" s="386" t="s">
        <v>12316</v>
      </c>
    </row>
    <row r="396" spans="1:10">
      <c r="A396" s="383" t="str">
        <f>CONCATENATE("Reviewed on"," ",(TEXT('2022-2023 Applications Review'!$A396, "mm/dd/yyyy")))</f>
        <v>Reviewed on 08/16/2022</v>
      </c>
      <c r="B396" s="383" t="str">
        <f>'2022-2023 Applications Review'!B396</f>
        <v>Lux Wind Power Ltd. _2022</v>
      </c>
      <c r="C396" s="383" t="str">
        <f>'2022-2023 Applications Review'!E396</f>
        <v>Deep Tech</v>
      </c>
      <c r="D396" s="384" t="str">
        <f>'2022-2023 Applications Review'!Q396</f>
        <v>Revisit/ Cluster</v>
      </c>
      <c r="E396" s="383"/>
      <c r="F396" s="383"/>
      <c r="G396" s="383"/>
      <c r="H396" s="383"/>
      <c r="I396" s="385" t="b">
        <v>1</v>
      </c>
      <c r="J396" s="386" t="s">
        <v>12317</v>
      </c>
    </row>
    <row r="397" spans="1:10">
      <c r="A397" s="383" t="str">
        <f>CONCATENATE("Reviewed on"," ",(TEXT('2022-2023 Applications Review'!$A397, "mm/dd/yyyy")))</f>
        <v>Reviewed on 08/16/2022</v>
      </c>
      <c r="B397" s="383" t="str">
        <f>'2022-2023 Applications Review'!B397</f>
        <v>Helex _2022</v>
      </c>
      <c r="C397" s="383" t="str">
        <f>'2022-2023 Applications Review'!E397</f>
        <v>Life Sciences</v>
      </c>
      <c r="D397" s="384" t="str">
        <f>'2022-2023 Applications Review'!Q397</f>
        <v>Revisit/ Cluster</v>
      </c>
      <c r="E397" s="383"/>
      <c r="F397" s="383"/>
      <c r="G397" s="383"/>
      <c r="H397" s="383"/>
      <c r="I397" s="385" t="b">
        <v>1</v>
      </c>
      <c r="J397" s="386" t="s">
        <v>12318</v>
      </c>
    </row>
    <row r="398" spans="1:10">
      <c r="A398" s="383" t="str">
        <f>CONCATENATE("Reviewed on"," ",(TEXT('2022-2023 Applications Review'!$A398, "mm/dd/yyyy")))</f>
        <v>Reviewed on 08/16/2022</v>
      </c>
      <c r="B398" s="383" t="str">
        <f>'2022-2023 Applications Review'!B398</f>
        <v>NemaGen Discoveries, INC _2022</v>
      </c>
      <c r="C398" s="383" t="str">
        <f>'2022-2023 Applications Review'!E398</f>
        <v>Life Sciences</v>
      </c>
      <c r="D398" s="384" t="str">
        <f>'2022-2023 Applications Review'!Q398</f>
        <v>Revisit/ Cluster</v>
      </c>
      <c r="E398" s="383"/>
      <c r="F398" s="383"/>
      <c r="G398" s="383"/>
      <c r="H398" s="383"/>
      <c r="I398" s="385" t="b">
        <v>1</v>
      </c>
      <c r="J398" s="386" t="s">
        <v>12319</v>
      </c>
    </row>
    <row r="399" spans="1:10">
      <c r="A399" s="383" t="str">
        <f>CONCATENATE("Reviewed on"," ",(TEXT('2022-2023 Applications Review'!$A399, "mm/dd/yyyy")))</f>
        <v>Reviewed on 08/16/2022</v>
      </c>
      <c r="B399" s="383" t="str">
        <f>'2022-2023 Applications Review'!B399</f>
        <v>Bima, Inc. _2022</v>
      </c>
      <c r="C399" s="383" t="str">
        <f>'2022-2023 Applications Review'!E399</f>
        <v>Digital Tech</v>
      </c>
      <c r="D399" s="384" t="str">
        <f>'2022-2023 Applications Review'!Q399</f>
        <v>Invite Next Year</v>
      </c>
      <c r="E399" s="383"/>
      <c r="F399" s="383"/>
      <c r="G399" s="383"/>
      <c r="H399" s="383"/>
      <c r="I399" s="385" t="b">
        <v>1</v>
      </c>
      <c r="J399" s="386" t="s">
        <v>12320</v>
      </c>
    </row>
    <row r="400" spans="1:10">
      <c r="A400" s="383" t="str">
        <f>CONCATENATE("Reviewed on"," ",(TEXT('2022-2023 Applications Review'!$A400, "mm/dd/yyyy")))</f>
        <v>Reviewed on 08/16/2022</v>
      </c>
      <c r="B400" s="383" t="str">
        <f>'2022-2023 Applications Review'!B400</f>
        <v>Intelligent AI _2022</v>
      </c>
      <c r="C400" s="383" t="str">
        <f>'2022-2023 Applications Review'!E400</f>
        <v>Digital Tech</v>
      </c>
      <c r="D400" s="384" t="str">
        <f>'2022-2023 Applications Review'!Q400</f>
        <v>Invite</v>
      </c>
      <c r="E400" s="383"/>
      <c r="F400" s="383"/>
      <c r="G400" s="383"/>
      <c r="H400" s="383"/>
      <c r="I400" s="385" t="b">
        <v>1</v>
      </c>
      <c r="J400" s="386" t="s">
        <v>12321</v>
      </c>
    </row>
    <row r="401" spans="1:10">
      <c r="A401" s="383" t="str">
        <f>CONCATENATE("Reviewed on"," ",(TEXT('2022-2023 Applications Review'!$A401, "mm/dd/yyyy")))</f>
        <v>Reviewed on 08/16/2022</v>
      </c>
      <c r="B401" s="383" t="str">
        <f>'2022-2023 Applications Review'!B401</f>
        <v>MPzero _2022</v>
      </c>
      <c r="C401" s="383" t="str">
        <f>'2022-2023 Applications Review'!E401</f>
        <v>Digital Tech</v>
      </c>
      <c r="D401" s="384" t="str">
        <f>'2022-2023 Applications Review'!Q401</f>
        <v>Invite Next Year</v>
      </c>
      <c r="E401" s="383"/>
      <c r="F401" s="383"/>
      <c r="G401" s="383"/>
      <c r="H401" s="383"/>
      <c r="I401" s="385" t="b">
        <v>1</v>
      </c>
      <c r="J401" s="386" t="s">
        <v>12322</v>
      </c>
    </row>
    <row r="402" spans="1:10">
      <c r="A402" s="383" t="str">
        <f>CONCATENATE("Reviewed on"," ",(TEXT('2022-2023 Applications Review'!$A402, "mm/dd/yyyy")))</f>
        <v>Reviewed on 08/16/2022</v>
      </c>
      <c r="B402" s="383" t="str">
        <f>'2022-2023 Applications Review'!B402</f>
        <v>ImmunoMind _2022</v>
      </c>
      <c r="C402" s="383" t="str">
        <f>'2022-2023 Applications Review'!E402</f>
        <v>Life Sciences</v>
      </c>
      <c r="D402" s="384" t="str">
        <f>'2022-2023 Applications Review'!Q402</f>
        <v>Revisit/ Cluster</v>
      </c>
      <c r="E402" s="383"/>
      <c r="F402" s="383"/>
      <c r="G402" s="383"/>
      <c r="H402" s="383"/>
      <c r="I402" s="385" t="b">
        <v>1</v>
      </c>
      <c r="J402" s="386" t="s">
        <v>12323</v>
      </c>
    </row>
    <row r="403" spans="1:10">
      <c r="A403" s="383" t="str">
        <f>CONCATENATE("Reviewed on"," ",(TEXT('2022-2023 Applications Review'!$A403, "mm/dd/yyyy")))</f>
        <v>Reviewed on 08/16/2022</v>
      </c>
      <c r="B403" s="383" t="str">
        <f>'2022-2023 Applications Review'!B403</f>
        <v>Staxe _2022</v>
      </c>
      <c r="C403" s="383" t="str">
        <f>'2022-2023 Applications Review'!E403</f>
        <v>Digital Tech</v>
      </c>
      <c r="D403" s="384" t="str">
        <f>'2022-2023 Applications Review'!Q403</f>
        <v>Invite Next Year</v>
      </c>
      <c r="E403" s="383"/>
      <c r="F403" s="383"/>
      <c r="G403" s="383"/>
      <c r="H403" s="383"/>
      <c r="I403" s="385" t="b">
        <v>1</v>
      </c>
      <c r="J403" s="386" t="s">
        <v>12324</v>
      </c>
    </row>
    <row r="404" spans="1:10">
      <c r="A404" s="383" t="str">
        <f>CONCATENATE("Reviewed on"," ",(TEXT('2022-2023 Applications Review'!$A404, "mm/dd/yyyy")))</f>
        <v>Reviewed on 08/16/2022</v>
      </c>
      <c r="B404" s="383" t="str">
        <f>'2022-2023 Applications Review'!B404</f>
        <v>TakeOne _2022</v>
      </c>
      <c r="C404" s="383" t="str">
        <f>'2022-2023 Applications Review'!E404</f>
        <v>Digital Tech</v>
      </c>
      <c r="D404" s="384" t="str">
        <f>'2022-2023 Applications Review'!Q404</f>
        <v>Invite</v>
      </c>
      <c r="E404" s="383"/>
      <c r="F404" s="383"/>
      <c r="G404" s="383"/>
      <c r="H404" s="383"/>
      <c r="I404" s="385" t="b">
        <v>1</v>
      </c>
      <c r="J404" s="386" t="s">
        <v>12325</v>
      </c>
    </row>
    <row r="405" spans="1:10">
      <c r="A405" s="383" t="str">
        <f>CONCATENATE("Reviewed on"," ",(TEXT('2022-2023 Applications Review'!$A405, "mm/dd/yyyy")))</f>
        <v>Reviewed on 08/16/2022</v>
      </c>
      <c r="B405" s="383" t="str">
        <f>'2022-2023 Applications Review'!B405</f>
        <v>Certa Dose _2022</v>
      </c>
      <c r="C405" s="383" t="str">
        <f>'2022-2023 Applications Review'!E405</f>
        <v>Life Sciences</v>
      </c>
      <c r="D405" s="384" t="str">
        <f>'2022-2023 Applications Review'!Q405</f>
        <v>Invite Next Year</v>
      </c>
      <c r="E405" s="383"/>
      <c r="F405" s="383"/>
      <c r="G405" s="383"/>
      <c r="H405" s="383"/>
      <c r="I405" s="385" t="b">
        <v>1</v>
      </c>
      <c r="J405" s="386" t="s">
        <v>12326</v>
      </c>
    </row>
    <row r="406" spans="1:10">
      <c r="A406" s="383" t="str">
        <f>CONCATENATE("Reviewed on"," ",(TEXT('2022-2023 Applications Review'!$A406, "mm/dd/yyyy")))</f>
        <v>Reviewed on 08/16/2022</v>
      </c>
      <c r="B406" s="383" t="str">
        <f>'2022-2023 Applications Review'!B406</f>
        <v>White Rock Therapeutics _2022</v>
      </c>
      <c r="C406" s="383" t="str">
        <f>'2022-2023 Applications Review'!E406</f>
        <v>Life Sciences</v>
      </c>
      <c r="D406" s="384" t="str">
        <f>'2022-2023 Applications Review'!Q406</f>
        <v>Revisit/ Cluster</v>
      </c>
      <c r="E406" s="383"/>
      <c r="F406" s="383"/>
      <c r="G406" s="383"/>
      <c r="H406" s="383"/>
      <c r="I406" s="385" t="b">
        <v>1</v>
      </c>
      <c r="J406" s="386" t="s">
        <v>12327</v>
      </c>
    </row>
    <row r="407" spans="1:10">
      <c r="A407" s="383" t="str">
        <f>CONCATENATE("Reviewed on"," ",(TEXT('2022-2023 Applications Review'!$A407, "mm/dd/yyyy")))</f>
        <v>Reviewed on 08/16/2022</v>
      </c>
      <c r="B407" s="383" t="str">
        <f>'2022-2023 Applications Review'!B407</f>
        <v>Anonymous Agent Inc. _2022</v>
      </c>
      <c r="C407" s="383" t="str">
        <f>'2022-2023 Applications Review'!E407</f>
        <v>Digital Tech</v>
      </c>
      <c r="D407" s="384" t="str">
        <f>'2022-2023 Applications Review'!Q407</f>
        <v>Invite Next Year</v>
      </c>
      <c r="E407" s="383"/>
      <c r="F407" s="383"/>
      <c r="G407" s="383"/>
      <c r="H407" s="383"/>
      <c r="I407" s="385" t="b">
        <v>1</v>
      </c>
      <c r="J407" s="386" t="s">
        <v>12328</v>
      </c>
    </row>
    <row r="408" spans="1:10">
      <c r="A408" s="383" t="str">
        <f>CONCATENATE("Reviewed on"," ",(TEXT('2022-2023 Applications Review'!$A408, "mm/dd/yyyy")))</f>
        <v>Reviewed on 08/16/2022</v>
      </c>
      <c r="B408" s="383" t="str">
        <f>'2022-2023 Applications Review'!B408</f>
        <v>LangInnov _2022</v>
      </c>
      <c r="C408" s="383" t="str">
        <f>'2022-2023 Applications Review'!E408</f>
        <v>Digital Tech</v>
      </c>
      <c r="D408" s="384" t="str">
        <f>'2022-2023 Applications Review'!Q408</f>
        <v>Invite Next Year</v>
      </c>
      <c r="E408" s="383"/>
      <c r="F408" s="383"/>
      <c r="G408" s="383"/>
      <c r="H408" s="383"/>
      <c r="I408" s="385" t="b">
        <v>1</v>
      </c>
      <c r="J408" s="386" t="s">
        <v>12329</v>
      </c>
    </row>
    <row r="409" spans="1:10">
      <c r="A409" s="383" t="str">
        <f>CONCATENATE("Reviewed on"," ",(TEXT('2022-2023 Applications Review'!$A409, "mm/dd/yyyy")))</f>
        <v>Reviewed on 08/16/2022</v>
      </c>
      <c r="B409" s="383" t="str">
        <f>'2022-2023 Applications Review'!B409</f>
        <v>Noala _2022</v>
      </c>
      <c r="C409" s="383" t="str">
        <f>'2022-2023 Applications Review'!E409</f>
        <v>Digital Tech</v>
      </c>
      <c r="D409" s="384" t="str">
        <f>'2022-2023 Applications Review'!Q409</f>
        <v>Invite</v>
      </c>
      <c r="E409" s="383"/>
      <c r="F409" s="383"/>
      <c r="G409" s="383"/>
      <c r="H409" s="383"/>
      <c r="I409" s="385" t="b">
        <v>1</v>
      </c>
      <c r="J409" s="386" t="s">
        <v>12330</v>
      </c>
    </row>
    <row r="410" spans="1:10">
      <c r="A410" s="383" t="str">
        <f>CONCATENATE("Reviewed on"," ",(TEXT('2022-2023 Applications Review'!$A410, "mm/dd/yyyy")))</f>
        <v>Reviewed on 08/16/2022</v>
      </c>
      <c r="B410" s="383" t="str">
        <f>'2022-2023 Applications Review'!B410</f>
        <v>Lazy Trade _2022</v>
      </c>
      <c r="C410" s="383" t="str">
        <f>'2022-2023 Applications Review'!E410</f>
        <v>Digital Tech</v>
      </c>
      <c r="D410" s="384" t="str">
        <f>'2022-2023 Applications Review'!Q410</f>
        <v>Invite Next Year</v>
      </c>
      <c r="E410" s="383"/>
      <c r="F410" s="383"/>
      <c r="G410" s="383"/>
      <c r="H410" s="383"/>
      <c r="I410" s="385" t="b">
        <v>1</v>
      </c>
      <c r="J410" s="386" t="s">
        <v>12331</v>
      </c>
    </row>
    <row r="411" spans="1:10">
      <c r="A411" s="383" t="str">
        <f>CONCATENATE("Reviewed on"," ",(TEXT('2022-2023 Applications Review'!$A411, "mm/dd/yyyy")))</f>
        <v>Reviewed on 08/16/2022</v>
      </c>
      <c r="B411" s="383" t="str">
        <f>'2022-2023 Applications Review'!B411</f>
        <v>ShareID _2022</v>
      </c>
      <c r="C411" s="383" t="str">
        <f>'2022-2023 Applications Review'!E411</f>
        <v>Digital Tech</v>
      </c>
      <c r="D411" s="384" t="str">
        <f>'2022-2023 Applications Review'!Q411</f>
        <v>Invite</v>
      </c>
      <c r="E411" s="383"/>
      <c r="F411" s="383"/>
      <c r="G411" s="383"/>
      <c r="H411" s="383"/>
      <c r="I411" s="385" t="b">
        <v>1</v>
      </c>
      <c r="J411" s="386" t="s">
        <v>12332</v>
      </c>
    </row>
    <row r="412" spans="1:10">
      <c r="A412" s="383" t="str">
        <f>CONCATENATE("Reviewed on"," ",(TEXT('2022-2023 Applications Review'!$A412, "mm/dd/yyyy")))</f>
        <v>Reviewed on 08/16/2022</v>
      </c>
      <c r="B412" s="383" t="str">
        <f>'2022-2023 Applications Review'!B412</f>
        <v>Nomitri _2022</v>
      </c>
      <c r="C412" s="383" t="str">
        <f>'2022-2023 Applications Review'!E412</f>
        <v>Deep Tech</v>
      </c>
      <c r="D412" s="384" t="str">
        <f>'2022-2023 Applications Review'!Q412</f>
        <v>Revisit</v>
      </c>
      <c r="E412" s="383"/>
      <c r="F412" s="383"/>
      <c r="G412" s="383"/>
      <c r="H412" s="383"/>
      <c r="I412" s="385" t="b">
        <v>1</v>
      </c>
      <c r="J412" s="386" t="s">
        <v>12333</v>
      </c>
    </row>
    <row r="413" spans="1:10">
      <c r="A413" s="383" t="str">
        <f>CONCATENATE("Reviewed on"," ",(TEXT('2022-2023 Applications Review'!$A413, "mm/dd/yyyy")))</f>
        <v>Reviewed on 08/16/2022</v>
      </c>
      <c r="B413" s="383" t="str">
        <f>'2022-2023 Applications Review'!B413</f>
        <v>satis.ai ltd _2022</v>
      </c>
      <c r="C413" s="383" t="str">
        <f>'2022-2023 Applications Review'!E413</f>
        <v>Deep Tech</v>
      </c>
      <c r="D413" s="384" t="str">
        <f>'2022-2023 Applications Review'!Q413</f>
        <v>Revisit</v>
      </c>
      <c r="E413" s="383"/>
      <c r="F413" s="383"/>
      <c r="G413" s="383"/>
      <c r="H413" s="383"/>
      <c r="I413" s="385" t="b">
        <v>1</v>
      </c>
      <c r="J413" s="386" t="s">
        <v>12334</v>
      </c>
    </row>
    <row r="414" spans="1:10">
      <c r="A414" s="383" t="str">
        <f>CONCATENATE("Reviewed on"," ",(TEXT('2022-2023 Applications Review'!$A414, "mm/dd/yyyy")))</f>
        <v>Reviewed on 08/16/2022</v>
      </c>
      <c r="B414" s="383" t="str">
        <f>'2022-2023 Applications Review'!B414</f>
        <v>carecircle AG _2022</v>
      </c>
      <c r="C414" s="383" t="str">
        <f>'2022-2023 Applications Review'!E414</f>
        <v>Digital Tech</v>
      </c>
      <c r="D414" s="384" t="str">
        <f>'2022-2023 Applications Review'!Q414</f>
        <v>Invite Next Year</v>
      </c>
      <c r="E414" s="383"/>
      <c r="F414" s="383"/>
      <c r="G414" s="383"/>
      <c r="H414" s="383"/>
      <c r="I414" s="385" t="b">
        <v>1</v>
      </c>
      <c r="J414" s="386" t="s">
        <v>12335</v>
      </c>
    </row>
    <row r="415" spans="1:10">
      <c r="A415" s="383" t="str">
        <f>CONCATENATE("Reviewed on"," ",(TEXT('2022-2023 Applications Review'!$A415, "mm/dd/yyyy")))</f>
        <v>Reviewed on 08/16/2022</v>
      </c>
      <c r="B415" s="383" t="str">
        <f>'2022-2023 Applications Review'!B415</f>
        <v>Metavent _2022</v>
      </c>
      <c r="C415" s="383" t="str">
        <f>'2022-2023 Applications Review'!E415</f>
        <v>Digital Tech</v>
      </c>
      <c r="D415" s="384" t="str">
        <f>'2022-2023 Applications Review'!Q415</f>
        <v>Invite Next Year</v>
      </c>
      <c r="E415" s="383"/>
      <c r="F415" s="383"/>
      <c r="G415" s="383"/>
      <c r="H415" s="383"/>
      <c r="I415" s="385" t="b">
        <v>1</v>
      </c>
      <c r="J415" s="386" t="s">
        <v>12336</v>
      </c>
    </row>
    <row r="416" spans="1:10">
      <c r="A416" s="383" t="str">
        <f>CONCATENATE("Reviewed on"," ",(TEXT('2022-2023 Applications Review'!$A416, "mm/dd/yyyy")))</f>
        <v>Reviewed on 08/16/2022</v>
      </c>
      <c r="B416" s="383" t="str">
        <f>'2022-2023 Applications Review'!B416</f>
        <v>SanChip _2022</v>
      </c>
      <c r="C416" s="383" t="str">
        <f>'2022-2023 Applications Review'!E416</f>
        <v>Deep Tech</v>
      </c>
      <c r="D416" s="384" t="str">
        <f>'2022-2023 Applications Review'!Q416</f>
        <v>Invite Next Year</v>
      </c>
      <c r="E416" s="383"/>
      <c r="F416" s="383"/>
      <c r="G416" s="383"/>
      <c r="H416" s="383"/>
      <c r="I416" s="385" t="b">
        <v>1</v>
      </c>
      <c r="J416" s="386" t="s">
        <v>12337</v>
      </c>
    </row>
    <row r="417" spans="1:10">
      <c r="A417" s="383" t="str">
        <f>CONCATENATE("Reviewed on"," ",(TEXT('2022-2023 Applications Review'!$A417, "mm/dd/yyyy")))</f>
        <v>Reviewed on 08/16/2022</v>
      </c>
      <c r="B417" s="383" t="str">
        <f>'2022-2023 Applications Review'!B417</f>
        <v>Accelerate Wind _2022</v>
      </c>
      <c r="C417" s="383" t="str">
        <f>'2022-2023 Applications Review'!E417</f>
        <v>Deep Tech</v>
      </c>
      <c r="D417" s="384" t="str">
        <f>'2022-2023 Applications Review'!Q417</f>
        <v>Revisit/ Cluster</v>
      </c>
      <c r="E417" s="383"/>
      <c r="F417" s="383"/>
      <c r="G417" s="383"/>
      <c r="H417" s="383"/>
      <c r="I417" s="385" t="b">
        <v>1</v>
      </c>
      <c r="J417" s="386" t="s">
        <v>12338</v>
      </c>
    </row>
    <row r="418" spans="1:10">
      <c r="A418" s="383" t="str">
        <f>CONCATENATE("Reviewed on"," ",(TEXT('2022-2023 Applications Review'!$A418, "mm/dd/yyyy")))</f>
        <v>Reviewed on 08/16/2022</v>
      </c>
      <c r="B418" s="383" t="str">
        <f>'2022-2023 Applications Review'!B418</f>
        <v>Riverr Pte. Ltd. _2022</v>
      </c>
      <c r="C418" s="383" t="str">
        <f>'2022-2023 Applications Review'!E418</f>
        <v>Digital Tech</v>
      </c>
      <c r="D418" s="384" t="str">
        <f>'2022-2023 Applications Review'!Q418</f>
        <v>Invite Next Year</v>
      </c>
      <c r="E418" s="383"/>
      <c r="F418" s="383"/>
      <c r="G418" s="383"/>
      <c r="H418" s="383"/>
      <c r="I418" s="385" t="b">
        <v>1</v>
      </c>
      <c r="J418" s="386" t="s">
        <v>12339</v>
      </c>
    </row>
    <row r="419" spans="1:10">
      <c r="A419" s="383" t="str">
        <f>CONCATENATE("Reviewed on"," ",(TEXT('2022-2023 Applications Review'!$A419, "mm/dd/yyyy")))</f>
        <v>Reviewed on 08/16/2022</v>
      </c>
      <c r="B419" s="383" t="str">
        <f>'2022-2023 Applications Review'!B419</f>
        <v>PhagePro _2022</v>
      </c>
      <c r="C419" s="383" t="str">
        <f>'2022-2023 Applications Review'!E419</f>
        <v>Life Sciences</v>
      </c>
      <c r="D419" s="384" t="str">
        <f>'2022-2023 Applications Review'!Q419</f>
        <v>Invite Next Year</v>
      </c>
      <c r="E419" s="383"/>
      <c r="F419" s="383"/>
      <c r="G419" s="383"/>
      <c r="H419" s="383"/>
      <c r="I419" s="385" t="b">
        <v>1</v>
      </c>
      <c r="J419" s="386" t="s">
        <v>12340</v>
      </c>
    </row>
    <row r="420" spans="1:10">
      <c r="A420" s="383" t="str">
        <f>CONCATENATE("Reviewed on"," ",(TEXT('2022-2023 Applications Review'!$A420, "mm/dd/yyyy")))</f>
        <v>Reviewed on 08/16/2022</v>
      </c>
      <c r="B420" s="383" t="str">
        <f>'2022-2023 Applications Review'!B420</f>
        <v>Etiq AI _2022</v>
      </c>
      <c r="C420" s="383" t="str">
        <f>'2022-2023 Applications Review'!E420</f>
        <v>Digital Tech</v>
      </c>
      <c r="D420" s="384" t="str">
        <f>'2022-2023 Applications Review'!Q420</f>
        <v>Invite Next Year</v>
      </c>
      <c r="E420" s="383"/>
      <c r="F420" s="383"/>
      <c r="G420" s="383"/>
      <c r="H420" s="383"/>
      <c r="I420" s="385" t="b">
        <v>1</v>
      </c>
      <c r="J420" s="386" t="s">
        <v>12341</v>
      </c>
    </row>
    <row r="421" spans="1:10">
      <c r="A421" s="383" t="str">
        <f>CONCATENATE("Reviewed on"," ",(TEXT('2022-2023 Applications Review'!$A421, "mm/dd/yyyy")))</f>
        <v>Reviewed on 08/16/2022</v>
      </c>
      <c r="B421" s="383" t="str">
        <f>'2022-2023 Applications Review'!B421</f>
        <v>Corral Technologies _2022</v>
      </c>
      <c r="C421" s="383" t="str">
        <f>'2022-2023 Applications Review'!E421</f>
        <v>Deep Tech</v>
      </c>
      <c r="D421" s="384" t="str">
        <f>'2022-2023 Applications Review'!Q421</f>
        <v>Invite Next Year</v>
      </c>
      <c r="E421" s="383"/>
      <c r="F421" s="383"/>
      <c r="G421" s="383"/>
      <c r="H421" s="383"/>
      <c r="I421" s="385" t="b">
        <v>1</v>
      </c>
      <c r="J421" s="386" t="s">
        <v>12342</v>
      </c>
    </row>
    <row r="422" spans="1:10">
      <c r="A422" s="383" t="str">
        <f>CONCATENATE("Reviewed on"," ",(TEXT('2022-2023 Applications Review'!$A422, "mm/dd/yyyy")))</f>
        <v>Reviewed on 08/16/2022</v>
      </c>
      <c r="B422" s="383" t="str">
        <f>'2022-2023 Applications Review'!B422</f>
        <v>Roseon World _2022</v>
      </c>
      <c r="C422" s="383" t="str">
        <f>'2022-2023 Applications Review'!E422</f>
        <v>Digital Tech</v>
      </c>
      <c r="D422" s="384" t="str">
        <f>'2022-2023 Applications Review'!Q422</f>
        <v>Invite Next Year</v>
      </c>
      <c r="E422" s="383"/>
      <c r="F422" s="383"/>
      <c r="G422" s="383"/>
      <c r="H422" s="383"/>
      <c r="I422" s="385" t="b">
        <v>1</v>
      </c>
      <c r="J422" s="386" t="s">
        <v>12343</v>
      </c>
    </row>
    <row r="423" spans="1:10">
      <c r="A423" s="383" t="str">
        <f>CONCATENATE("Reviewed on"," ",(TEXT('2022-2023 Applications Review'!$A423, "mm/dd/yyyy")))</f>
        <v>Reviewed on 08/16/2022</v>
      </c>
      <c r="B423" s="383" t="str">
        <f>'2022-2023 Applications Review'!B423</f>
        <v>ACCELStars Inc. _2022</v>
      </c>
      <c r="C423" s="383" t="str">
        <f>'2022-2023 Applications Review'!E423</f>
        <v>Deep Tech</v>
      </c>
      <c r="D423" s="384" t="str">
        <f>'2022-2023 Applications Review'!Q423</f>
        <v>Invite Next Year</v>
      </c>
      <c r="E423" s="383"/>
      <c r="F423" s="383"/>
      <c r="G423" s="383"/>
      <c r="H423" s="383"/>
      <c r="I423" s="385" t="b">
        <v>1</v>
      </c>
      <c r="J423" s="386" t="s">
        <v>12344</v>
      </c>
    </row>
    <row r="424" spans="1:10">
      <c r="A424" s="383" t="str">
        <f>CONCATENATE("Reviewed on"," ",(TEXT('2022-2023 Applications Review'!$A424, "mm/dd/yyyy")))</f>
        <v>Reviewed on 08/16/2022</v>
      </c>
      <c r="B424" s="383" t="str">
        <f>'2022-2023 Applications Review'!B424</f>
        <v>Indrio Technologies Inc _2022</v>
      </c>
      <c r="C424" s="383" t="str">
        <f>'2022-2023 Applications Review'!E424</f>
        <v>Deep Tech</v>
      </c>
      <c r="D424" s="384" t="str">
        <f>'2022-2023 Applications Review'!Q424</f>
        <v>Invite Next Year</v>
      </c>
      <c r="E424" s="383"/>
      <c r="F424" s="383"/>
      <c r="G424" s="383"/>
      <c r="H424" s="383"/>
      <c r="I424" s="385" t="b">
        <v>1</v>
      </c>
      <c r="J424" s="386" t="s">
        <v>12345</v>
      </c>
    </row>
    <row r="425" spans="1:10">
      <c r="A425" s="383" t="str">
        <f>CONCATENATE("Reviewed on"," ",(TEXT('2022-2023 Applications Review'!$A425, "mm/dd/yyyy")))</f>
        <v>Reviewed on 08/16/2022</v>
      </c>
      <c r="B425" s="383" t="str">
        <f>'2022-2023 Applications Review'!B425</f>
        <v>TriAltus Bioscience _2022</v>
      </c>
      <c r="C425" s="383" t="str">
        <f>'2022-2023 Applications Review'!E425</f>
        <v>Life Sciences</v>
      </c>
      <c r="D425" s="384" t="str">
        <f>'2022-2023 Applications Review'!Q425</f>
        <v>Invite Next Year</v>
      </c>
      <c r="E425" s="383"/>
      <c r="F425" s="383"/>
      <c r="G425" s="383"/>
      <c r="H425" s="383"/>
      <c r="I425" s="385" t="b">
        <v>1</v>
      </c>
      <c r="J425" s="386" t="s">
        <v>12346</v>
      </c>
    </row>
    <row r="426" spans="1:10">
      <c r="A426" s="383" t="str">
        <f>CONCATENATE("Reviewed on"," ",(TEXT('2022-2023 Applications Review'!$A426, "mm/dd/yyyy")))</f>
        <v>Reviewed on 08/16/2022</v>
      </c>
      <c r="B426" s="383" t="str">
        <f>'2022-2023 Applications Review'!B426</f>
        <v>Lindus Health _2022</v>
      </c>
      <c r="C426" s="383" t="str">
        <f>'2022-2023 Applications Review'!E426</f>
        <v>Digital Tech</v>
      </c>
      <c r="D426" s="384" t="str">
        <f>'2022-2023 Applications Review'!Q426</f>
        <v>Revisit/ Cluster</v>
      </c>
      <c r="E426" s="383"/>
      <c r="F426" s="383"/>
      <c r="G426" s="383"/>
      <c r="H426" s="383"/>
      <c r="I426" s="385" t="b">
        <v>1</v>
      </c>
      <c r="J426" s="386" t="s">
        <v>12347</v>
      </c>
    </row>
    <row r="427" spans="1:10">
      <c r="A427" s="383" t="str">
        <f>CONCATENATE("Reviewed on"," ",(TEXT('2022-2023 Applications Review'!$A427, "mm/dd/yyyy")))</f>
        <v>Reviewed on 08/16/2022</v>
      </c>
      <c r="B427" s="383" t="str">
        <f>'2022-2023 Applications Review'!B427</f>
        <v>Niura _2022</v>
      </c>
      <c r="C427" s="383" t="str">
        <f>'2022-2023 Applications Review'!E427</f>
        <v>Deep Tech</v>
      </c>
      <c r="D427" s="384" t="str">
        <f>'2022-2023 Applications Review'!Q427</f>
        <v>Special Reject</v>
      </c>
      <c r="E427" s="383"/>
      <c r="F427" s="383"/>
      <c r="G427" s="383"/>
      <c r="H427" s="383"/>
      <c r="I427" s="385" t="b">
        <v>1</v>
      </c>
      <c r="J427" s="386" t="s">
        <v>12348</v>
      </c>
    </row>
    <row r="428" spans="1:10">
      <c r="A428" s="383" t="str">
        <f>CONCATENATE("Reviewed on"," ",(TEXT('2022-2023 Applications Review'!$A428, "mm/dd/yyyy")))</f>
        <v>Reviewed on 08/16/2022</v>
      </c>
      <c r="B428" s="383" t="str">
        <f>'2022-2023 Applications Review'!B428</f>
        <v>Autonopia Technologies Inc. _2022</v>
      </c>
      <c r="C428" s="383" t="str">
        <f>'2022-2023 Applications Review'!E428</f>
        <v>Deep Tech</v>
      </c>
      <c r="D428" s="384" t="str">
        <f>'2022-2023 Applications Review'!Q428</f>
        <v>Invite Next Year</v>
      </c>
      <c r="E428" s="383"/>
      <c r="F428" s="383"/>
      <c r="G428" s="383"/>
      <c r="H428" s="383"/>
      <c r="I428" s="385" t="b">
        <v>1</v>
      </c>
      <c r="J428" s="386" t="s">
        <v>12349</v>
      </c>
    </row>
    <row r="429" spans="1:10">
      <c r="A429" s="383" t="str">
        <f>CONCATENATE("Reviewed on"," ",(TEXT('2022-2023 Applications Review'!$A429, "mm/dd/yyyy")))</f>
        <v>Reviewed on 08/16/2022</v>
      </c>
      <c r="B429" s="383" t="str">
        <f>'2022-2023 Applications Review'!B429</f>
        <v>phelas GmbH _2022</v>
      </c>
      <c r="C429" s="383" t="str">
        <f>'2022-2023 Applications Review'!E429</f>
        <v>Deep Tech</v>
      </c>
      <c r="D429" s="384" t="str">
        <f>'2022-2023 Applications Review'!Q429</f>
        <v>Invite Next Year</v>
      </c>
      <c r="E429" s="383"/>
      <c r="F429" s="383"/>
      <c r="G429" s="383"/>
      <c r="H429" s="383"/>
      <c r="I429" s="385" t="b">
        <v>1</v>
      </c>
      <c r="J429" s="386" t="s">
        <v>12350</v>
      </c>
    </row>
    <row r="430" spans="1:10">
      <c r="A430" s="383" t="str">
        <f>CONCATENATE("Reviewed on"," ",(TEXT('2022-2023 Applications Review'!$A430, "mm/dd/yyyy")))</f>
        <v>Reviewed on 08/16/2022</v>
      </c>
      <c r="B430" s="383" t="str">
        <f>'2022-2023 Applications Review'!B430</f>
        <v>BoxyHQ _2022</v>
      </c>
      <c r="C430" s="383" t="str">
        <f>'2022-2023 Applications Review'!E430</f>
        <v>Digital Tech</v>
      </c>
      <c r="D430" s="384" t="str">
        <f>'2022-2023 Applications Review'!Q430</f>
        <v>Invite Next Year</v>
      </c>
      <c r="E430" s="383"/>
      <c r="F430" s="383"/>
      <c r="G430" s="383"/>
      <c r="H430" s="383"/>
      <c r="I430" s="385" t="b">
        <v>1</v>
      </c>
      <c r="J430" s="386" t="s">
        <v>12351</v>
      </c>
    </row>
    <row r="431" spans="1:10">
      <c r="A431" s="383" t="str">
        <f>CONCATENATE("Reviewed on"," ",(TEXT('2022-2023 Applications Review'!$A431, "mm/dd/yyyy")))</f>
        <v>Reviewed on 08/16/2022</v>
      </c>
      <c r="B431" s="383" t="str">
        <f>'2022-2023 Applications Review'!B431</f>
        <v>FirstWork LLC  _2022</v>
      </c>
      <c r="C431" s="383" t="str">
        <f>'2022-2023 Applications Review'!E431</f>
        <v>Digital Tech</v>
      </c>
      <c r="D431" s="384" t="str">
        <f>'2022-2023 Applications Review'!Q431</f>
        <v>Invite Next Year</v>
      </c>
      <c r="E431" s="383"/>
      <c r="F431" s="383"/>
      <c r="G431" s="383"/>
      <c r="H431" s="383"/>
      <c r="I431" s="385" t="b">
        <v>1</v>
      </c>
      <c r="J431" s="386" t="s">
        <v>12352</v>
      </c>
    </row>
    <row r="432" spans="1:10">
      <c r="A432" s="383" t="str">
        <f>CONCATENATE("Reviewed on"," ",(TEXT('2022-2023 Applications Review'!$A432, "mm/dd/yyyy")))</f>
        <v>Reviewed on 08/16/2022</v>
      </c>
      <c r="B432" s="383" t="str">
        <f>'2022-2023 Applications Review'!B432</f>
        <v>Revolute Robotics _2022</v>
      </c>
      <c r="C432" s="383" t="str">
        <f>'2022-2023 Applications Review'!E432</f>
        <v>Deep Tech</v>
      </c>
      <c r="D432" s="384" t="str">
        <f>'2022-2023 Applications Review'!Q432</f>
        <v>Invite Next Year</v>
      </c>
      <c r="E432" s="383"/>
      <c r="F432" s="383"/>
      <c r="G432" s="383"/>
      <c r="H432" s="383"/>
      <c r="I432" s="385" t="b">
        <v>1</v>
      </c>
      <c r="J432" s="386" t="s">
        <v>12353</v>
      </c>
    </row>
    <row r="433" spans="1:10">
      <c r="A433" s="383" t="str">
        <f>CONCATENATE("Reviewed on"," ",(TEXT('2022-2023 Applications Review'!$A433, "mm/dd/yyyy")))</f>
        <v>Reviewed on 08/16/2022</v>
      </c>
      <c r="B433" s="383" t="str">
        <f>'2022-2023 Applications Review'!B433</f>
        <v>NUADA _2022</v>
      </c>
      <c r="C433" s="383" t="str">
        <f>'2022-2023 Applications Review'!E433</f>
        <v>Deep Tech</v>
      </c>
      <c r="D433" s="384" t="str">
        <f>'2022-2023 Applications Review'!Q433</f>
        <v>Invite Next Year</v>
      </c>
      <c r="E433" s="383"/>
      <c r="F433" s="383"/>
      <c r="G433" s="383"/>
      <c r="H433" s="383"/>
      <c r="I433" s="385" t="b">
        <v>1</v>
      </c>
      <c r="J433" s="386" t="s">
        <v>12354</v>
      </c>
    </row>
    <row r="434" spans="1:10">
      <c r="A434" s="383" t="str">
        <f>CONCATENATE("Reviewed on"," ",(TEXT('2022-2023 Applications Review'!$A434, "mm/dd/yyyy")))</f>
        <v>Reviewed on 08/16/2022</v>
      </c>
      <c r="B434" s="383" t="str">
        <f>'2022-2023 Applications Review'!B434</f>
        <v>Upword _2022</v>
      </c>
      <c r="C434" s="383" t="str">
        <f>'2022-2023 Applications Review'!E434</f>
        <v>Deep Tech</v>
      </c>
      <c r="D434" s="384" t="str">
        <f>'2022-2023 Applications Review'!Q434</f>
        <v>Invite Next Year</v>
      </c>
      <c r="E434" s="383"/>
      <c r="F434" s="383"/>
      <c r="G434" s="383"/>
      <c r="H434" s="383"/>
      <c r="I434" s="385" t="b">
        <v>1</v>
      </c>
      <c r="J434" s="386" t="s">
        <v>12355</v>
      </c>
    </row>
    <row r="435" spans="1:10">
      <c r="A435" s="383" t="str">
        <f>CONCATENATE("Reviewed on"," ",(TEXT('2022-2023 Applications Review'!$A435, "mm/dd/yyyy")))</f>
        <v>Reviewed on 08/16/2022</v>
      </c>
      <c r="B435" s="383" t="str">
        <f>'2022-2023 Applications Review'!B435</f>
        <v>GlucoActive _2022</v>
      </c>
      <c r="C435" s="383" t="str">
        <f>'2022-2023 Applications Review'!E435</f>
        <v>Deep Tech</v>
      </c>
      <c r="D435" s="384" t="str">
        <f>'2022-2023 Applications Review'!Q435</f>
        <v>Invite Next Year</v>
      </c>
      <c r="E435" s="383"/>
      <c r="F435" s="383"/>
      <c r="G435" s="383"/>
      <c r="H435" s="383"/>
      <c r="I435" s="385" t="b">
        <v>1</v>
      </c>
      <c r="J435" s="386" t="s">
        <v>12356</v>
      </c>
    </row>
    <row r="436" spans="1:10">
      <c r="A436" s="383" t="str">
        <f>CONCATENATE("Reviewed on"," ",(TEXT('2022-2023 Applications Review'!$A436, "mm/dd/yyyy")))</f>
        <v>Reviewed on 08/16/2022</v>
      </c>
      <c r="B436" s="383" t="str">
        <f>'2022-2023 Applications Review'!B436</f>
        <v>Genomines _2022</v>
      </c>
      <c r="C436" s="383" t="str">
        <f>'2022-2023 Applications Review'!E436</f>
        <v>Deep Tech</v>
      </c>
      <c r="D436" s="384" t="str">
        <f>'2022-2023 Applications Review'!Q436</f>
        <v>Invite Next Year</v>
      </c>
      <c r="E436" s="383"/>
      <c r="F436" s="383"/>
      <c r="G436" s="383"/>
      <c r="H436" s="383"/>
      <c r="I436" s="385" t="b">
        <v>1</v>
      </c>
      <c r="J436" s="386" t="s">
        <v>12357</v>
      </c>
    </row>
    <row r="437" spans="1:10">
      <c r="A437" s="383" t="str">
        <f>CONCATENATE("Reviewed on"," ",(TEXT('2022-2023 Applications Review'!$A437, "mm/dd/yyyy")))</f>
        <v>Reviewed on 08/16/2022</v>
      </c>
      <c r="B437" s="383" t="str">
        <f>'2022-2023 Applications Review'!B437</f>
        <v>Nat4Bio _2022</v>
      </c>
      <c r="C437" s="383" t="str">
        <f>'2022-2023 Applications Review'!E437</f>
        <v>Deep Tech</v>
      </c>
      <c r="D437" s="384" t="str">
        <f>'2022-2023 Applications Review'!Q437</f>
        <v>Invite Next Year</v>
      </c>
      <c r="E437" s="383"/>
      <c r="F437" s="383"/>
      <c r="G437" s="383"/>
      <c r="H437" s="383"/>
      <c r="I437" s="385" t="b">
        <v>1</v>
      </c>
      <c r="J437" s="386" t="s">
        <v>12358</v>
      </c>
    </row>
    <row r="438" spans="1:10">
      <c r="A438" s="383" t="str">
        <f>CONCATENATE("Reviewed on"," ",(TEXT('2022-2023 Applications Review'!$A438, "mm/dd/yyyy")))</f>
        <v>Reviewed on 08/16/2022</v>
      </c>
      <c r="B438" s="383" t="str">
        <f>'2022-2023 Applications Review'!B438</f>
        <v>Educai.io _2022</v>
      </c>
      <c r="C438" s="383" t="str">
        <f>'2022-2023 Applications Review'!E438</f>
        <v>Digital Tech</v>
      </c>
      <c r="D438" s="384" t="str">
        <f>'2022-2023 Applications Review'!Q438</f>
        <v>Invite Next Year</v>
      </c>
      <c r="E438" s="383"/>
      <c r="F438" s="383"/>
      <c r="G438" s="383"/>
      <c r="H438" s="383"/>
      <c r="I438" s="385" t="b">
        <v>1</v>
      </c>
      <c r="J438" s="386" t="s">
        <v>12359</v>
      </c>
    </row>
    <row r="439" spans="1:10">
      <c r="A439" s="383" t="str">
        <f>CONCATENATE("Reviewed on"," ",(TEXT('2022-2023 Applications Review'!$A439, "mm/dd/yyyy")))</f>
        <v>Reviewed on 08/16/2022</v>
      </c>
      <c r="B439" s="383" t="str">
        <f>'2022-2023 Applications Review'!B439</f>
        <v>DLTEO GmbH _2022</v>
      </c>
      <c r="C439" s="383" t="str">
        <f>'2022-2023 Applications Review'!E439</f>
        <v>Digital Tech</v>
      </c>
      <c r="D439" s="384" t="str">
        <f>'2022-2023 Applications Review'!Q439</f>
        <v>Invite Next Year</v>
      </c>
      <c r="E439" s="383"/>
      <c r="F439" s="383"/>
      <c r="G439" s="383"/>
      <c r="H439" s="383"/>
      <c r="I439" s="385" t="b">
        <v>1</v>
      </c>
      <c r="J439" s="386" t="s">
        <v>12360</v>
      </c>
    </row>
    <row r="440" spans="1:10">
      <c r="A440" s="383" t="str">
        <f>CONCATENATE("Reviewed on"," ",(TEXT('2022-2023 Applications Review'!$A440, "mm/dd/yyyy")))</f>
        <v>Reviewed on 08/16/2022</v>
      </c>
      <c r="B440" s="383" t="str">
        <f>'2022-2023 Applications Review'!B440</f>
        <v>Parverio Inc,. _2022</v>
      </c>
      <c r="C440" s="383" t="str">
        <f>'2022-2023 Applications Review'!E440</f>
        <v>Digital Tech</v>
      </c>
      <c r="D440" s="384" t="str">
        <f>'2022-2023 Applications Review'!Q440</f>
        <v>Invite Next Year</v>
      </c>
      <c r="E440" s="383"/>
      <c r="F440" s="383"/>
      <c r="G440" s="383"/>
      <c r="H440" s="383"/>
      <c r="I440" s="385" t="b">
        <v>1</v>
      </c>
      <c r="J440" s="386" t="s">
        <v>12361</v>
      </c>
    </row>
    <row r="441" spans="1:10">
      <c r="A441" s="383" t="str">
        <f>CONCATENATE("Reviewed on"," ",(TEXT('2022-2023 Applications Review'!$A441, "mm/dd/yyyy")))</f>
        <v>Reviewed on 08/16/2022</v>
      </c>
      <c r="B441" s="383" t="str">
        <f>'2022-2023 Applications Review'!B441</f>
        <v>Wild Coast Biologics Inc _2022</v>
      </c>
      <c r="C441" s="383" t="str">
        <f>'2022-2023 Applications Review'!E441</f>
        <v>Life Sciences</v>
      </c>
      <c r="D441" s="384" t="str">
        <f>'2022-2023 Applications Review'!Q441</f>
        <v>Invite Next Year</v>
      </c>
      <c r="E441" s="383"/>
      <c r="F441" s="383"/>
      <c r="G441" s="383"/>
      <c r="H441" s="383"/>
      <c r="I441" s="385" t="b">
        <v>1</v>
      </c>
      <c r="J441" s="386" t="s">
        <v>12362</v>
      </c>
    </row>
    <row r="442" spans="1:10">
      <c r="A442" s="383" t="str">
        <f>CONCATENATE("Reviewed on"," ",(TEXT('2022-2023 Applications Review'!$A442, "mm/dd/yyyy")))</f>
        <v>Reviewed on 08/16/2022</v>
      </c>
      <c r="B442" s="383" t="str">
        <f>'2022-2023 Applications Review'!B442</f>
        <v>Aerobiosys Innovations Private Limited _2022</v>
      </c>
      <c r="C442" s="383" t="str">
        <f>'2022-2023 Applications Review'!E442</f>
        <v>Digital Tech</v>
      </c>
      <c r="D442" s="384" t="str">
        <f>'2022-2023 Applications Review'!Q442</f>
        <v>Invite Next Year</v>
      </c>
      <c r="E442" s="383"/>
      <c r="F442" s="383"/>
      <c r="G442" s="383"/>
      <c r="H442" s="383"/>
      <c r="I442" s="385" t="b">
        <v>1</v>
      </c>
      <c r="J442" s="386" t="s">
        <v>12363</v>
      </c>
    </row>
    <row r="443" spans="1:10">
      <c r="A443" s="383" t="str">
        <f>CONCATENATE("Reviewed on"," ",(TEXT('2022-2023 Applications Review'!$A443, "mm/dd/yyyy")))</f>
        <v>Reviewed on 08/16/2022</v>
      </c>
      <c r="B443" s="383" t="str">
        <f>'2022-2023 Applications Review'!B443</f>
        <v>Clearword _2022</v>
      </c>
      <c r="C443" s="383" t="str">
        <f>'2022-2023 Applications Review'!E443</f>
        <v>Deep Tech</v>
      </c>
      <c r="D443" s="384" t="str">
        <f>'2022-2023 Applications Review'!Q443</f>
        <v>Invite Next Year</v>
      </c>
      <c r="E443" s="383"/>
      <c r="F443" s="383"/>
      <c r="G443" s="383"/>
      <c r="H443" s="383"/>
      <c r="I443" s="385" t="b">
        <v>1</v>
      </c>
      <c r="J443" s="386" t="s">
        <v>12364</v>
      </c>
    </row>
    <row r="444" spans="1:10">
      <c r="A444" s="383" t="str">
        <f>CONCATENATE("Reviewed on"," ",(TEXT('2022-2023 Applications Review'!$A444, "mm/dd/yyyy")))</f>
        <v>Reviewed on 08/16/2022</v>
      </c>
      <c r="B444" s="383" t="str">
        <f>'2022-2023 Applications Review'!B444</f>
        <v>RABOT Charge _2022</v>
      </c>
      <c r="C444" s="383" t="str">
        <f>'2022-2023 Applications Review'!E444</f>
        <v>Digital Tech</v>
      </c>
      <c r="D444" s="384" t="str">
        <f>'2022-2023 Applications Review'!Q444</f>
        <v>Invite Next Year</v>
      </c>
      <c r="E444" s="383"/>
      <c r="F444" s="383"/>
      <c r="G444" s="383"/>
      <c r="H444" s="383"/>
      <c r="I444" s="385" t="b">
        <v>1</v>
      </c>
      <c r="J444" s="386" t="s">
        <v>12365</v>
      </c>
    </row>
    <row r="445" spans="1:10">
      <c r="A445" s="383" t="str">
        <f>CONCATENATE("Reviewed on"," ",(TEXT('2022-2023 Applications Review'!$A445, "mm/dd/yyyy")))</f>
        <v>Reviewed on 08/16/2022</v>
      </c>
      <c r="B445" s="383" t="str">
        <f>'2022-2023 Applications Review'!B445</f>
        <v>Energao, Inc. _2022</v>
      </c>
      <c r="C445" s="383" t="str">
        <f>'2022-2023 Applications Review'!E445</f>
        <v>Deep Tech</v>
      </c>
      <c r="D445" s="384" t="str">
        <f>'2022-2023 Applications Review'!Q445</f>
        <v>Invite Next Year</v>
      </c>
      <c r="E445" s="383"/>
      <c r="F445" s="383"/>
      <c r="G445" s="383"/>
      <c r="H445" s="383"/>
      <c r="I445" s="385" t="b">
        <v>1</v>
      </c>
      <c r="J445" s="386" t="s">
        <v>12366</v>
      </c>
    </row>
    <row r="446" spans="1:10">
      <c r="A446" s="383" t="str">
        <f>CONCATENATE("Reviewed on"," ",(TEXT('2022-2023 Applications Review'!$A446, "mm/dd/yyyy")))</f>
        <v>Reviewed on 08/16/2022</v>
      </c>
      <c r="B446" s="383" t="str">
        <f>'2022-2023 Applications Review'!B446</f>
        <v>Rollio _2022</v>
      </c>
      <c r="C446" s="383" t="str">
        <f>'2022-2023 Applications Review'!E446</f>
        <v>Digital Tech</v>
      </c>
      <c r="D446" s="384" t="str">
        <f>'2022-2023 Applications Review'!Q446</f>
        <v>Invite Next Year</v>
      </c>
      <c r="E446" s="383"/>
      <c r="F446" s="383"/>
      <c r="G446" s="383"/>
      <c r="H446" s="383"/>
      <c r="I446" s="385" t="b">
        <v>1</v>
      </c>
      <c r="J446" s="386" t="s">
        <v>12367</v>
      </c>
    </row>
    <row r="447" spans="1:10">
      <c r="A447" s="383" t="str">
        <f>CONCATENATE("Reviewed on"," ",(TEXT('2022-2023 Applications Review'!$A447, "mm/dd/yyyy")))</f>
        <v>Reviewed on 08/16/2022</v>
      </c>
      <c r="B447" s="383" t="str">
        <f>'2022-2023 Applications Review'!B447</f>
        <v>Friendlyforce, Inc. _2022</v>
      </c>
      <c r="C447" s="383" t="str">
        <f>'2022-2023 Applications Review'!E447</f>
        <v>Digital Tech</v>
      </c>
      <c r="D447" s="384" t="str">
        <f>'2022-2023 Applications Review'!Q447</f>
        <v>Invite Next Year</v>
      </c>
      <c r="E447" s="383"/>
      <c r="F447" s="383"/>
      <c r="G447" s="383"/>
      <c r="H447" s="383"/>
      <c r="I447" s="385" t="b">
        <v>1</v>
      </c>
      <c r="J447" s="386" t="s">
        <v>12368</v>
      </c>
    </row>
    <row r="448" spans="1:10">
      <c r="A448" s="383" t="str">
        <f>CONCATENATE("Reviewed on"," ",(TEXT('2022-2023 Applications Review'!$A448, "mm/dd/yyyy")))</f>
        <v>Reviewed on 08/16/2022</v>
      </c>
      <c r="B448" s="383" t="str">
        <f>'2022-2023 Applications Review'!B448</f>
        <v>EllieGrid _2022</v>
      </c>
      <c r="C448" s="383" t="str">
        <f>'2022-2023 Applications Review'!E448</f>
        <v>Deep Tech</v>
      </c>
      <c r="D448" s="384" t="str">
        <f>'2022-2023 Applications Review'!Q448</f>
        <v>Invite</v>
      </c>
      <c r="E448" s="383"/>
      <c r="F448" s="383"/>
      <c r="G448" s="383"/>
      <c r="H448" s="383"/>
      <c r="I448" s="385" t="b">
        <v>1</v>
      </c>
      <c r="J448" s="386" t="s">
        <v>12369</v>
      </c>
    </row>
    <row r="449" spans="1:10">
      <c r="A449" s="383" t="str">
        <f>CONCATENATE("Reviewed on"," ",(TEXT('2022-2023 Applications Review'!$A449, "mm/dd/yyyy")))</f>
        <v>Reviewed on 08/16/2022</v>
      </c>
      <c r="B449" s="383" t="str">
        <f>'2022-2023 Applications Review'!B449</f>
        <v>UZME _2022</v>
      </c>
      <c r="C449" s="383" t="str">
        <f>'2022-2023 Applications Review'!E449</f>
        <v>Deep Tech</v>
      </c>
      <c r="D449" s="384" t="str">
        <f>'2022-2023 Applications Review'!Q449</f>
        <v>Invite Next Year</v>
      </c>
      <c r="E449" s="383"/>
      <c r="F449" s="383"/>
      <c r="G449" s="383"/>
      <c r="H449" s="383"/>
      <c r="I449" s="385" t="b">
        <v>1</v>
      </c>
      <c r="J449" s="386" t="s">
        <v>12370</v>
      </c>
    </row>
    <row r="450" spans="1:10">
      <c r="A450" s="383" t="str">
        <f>CONCATENATE("Reviewed on"," ",(TEXT('2022-2023 Applications Review'!$A450, "mm/dd/yyyy")))</f>
        <v>Reviewed on 08/16/2022</v>
      </c>
      <c r="B450" s="383" t="str">
        <f>'2022-2023 Applications Review'!B450</f>
        <v>AIHunters _2022</v>
      </c>
      <c r="C450" s="383" t="str">
        <f>'2022-2023 Applications Review'!E450</f>
        <v>Deep Tech</v>
      </c>
      <c r="D450" s="384" t="str">
        <f>'2022-2023 Applications Review'!Q450</f>
        <v>Invite Next Year</v>
      </c>
      <c r="E450" s="383"/>
      <c r="F450" s="383"/>
      <c r="G450" s="383"/>
      <c r="H450" s="383"/>
      <c r="I450" s="385" t="b">
        <v>1</v>
      </c>
      <c r="J450" s="386" t="s">
        <v>12371</v>
      </c>
    </row>
    <row r="451" spans="1:10">
      <c r="A451" s="383" t="str">
        <f>CONCATENATE("Reviewed on"," ",(TEXT('2022-2023 Applications Review'!$A451, "mm/dd/yyyy")))</f>
        <v>Reviewed on 08/16/2022</v>
      </c>
      <c r="B451" s="383" t="str">
        <f>'2022-2023 Applications Review'!B451</f>
        <v>Niftron (Pvt) Ltd _2022</v>
      </c>
      <c r="C451" s="383" t="str">
        <f>'2022-2023 Applications Review'!E451</f>
        <v>Digital Tech</v>
      </c>
      <c r="D451" s="384" t="str">
        <f>'2022-2023 Applications Review'!Q451</f>
        <v>Invite Next Year</v>
      </c>
      <c r="E451" s="383"/>
      <c r="F451" s="383"/>
      <c r="G451" s="383"/>
      <c r="H451" s="383"/>
      <c r="I451" s="385" t="b">
        <v>1</v>
      </c>
      <c r="J451" s="386" t="s">
        <v>12372</v>
      </c>
    </row>
    <row r="452" spans="1:10">
      <c r="A452" s="383" t="str">
        <f>CONCATENATE("Reviewed on"," ",(TEXT('2022-2023 Applications Review'!$A452, "mm/dd/yyyy")))</f>
        <v>Reviewed on 08/16/2022</v>
      </c>
      <c r="B452" s="383" t="str">
        <f>'2022-2023 Applications Review'!B452</f>
        <v>Kumulus _2022</v>
      </c>
      <c r="C452" s="383" t="str">
        <f>'2022-2023 Applications Review'!E452</f>
        <v>Deep Tech</v>
      </c>
      <c r="D452" s="384" t="str">
        <f>'2022-2023 Applications Review'!Q452</f>
        <v>Invite Next Year</v>
      </c>
      <c r="E452" s="383"/>
      <c r="F452" s="383"/>
      <c r="G452" s="383"/>
      <c r="H452" s="383"/>
      <c r="I452" s="385" t="b">
        <v>1</v>
      </c>
      <c r="J452" s="386" t="s">
        <v>12373</v>
      </c>
    </row>
    <row r="453" spans="1:10">
      <c r="A453" s="383" t="str">
        <f>CONCATENATE("Reviewed on"," ",(TEXT('2022-2023 Applications Review'!$A453, "mm/dd/yyyy")))</f>
        <v>Reviewed on 08/16/2022</v>
      </c>
      <c r="B453" s="383" t="str">
        <f>'2022-2023 Applications Review'!B453</f>
        <v>Texelio AB _2022</v>
      </c>
      <c r="C453" s="383" t="str">
        <f>'2022-2023 Applications Review'!E453</f>
        <v>Deep Tech</v>
      </c>
      <c r="D453" s="384" t="str">
        <f>'2022-2023 Applications Review'!Q453</f>
        <v>Invite Next Year</v>
      </c>
      <c r="E453" s="383"/>
      <c r="F453" s="383"/>
      <c r="G453" s="383"/>
      <c r="H453" s="383"/>
      <c r="I453" s="385" t="b">
        <v>1</v>
      </c>
      <c r="J453" s="386" t="s">
        <v>12374</v>
      </c>
    </row>
    <row r="454" spans="1:10">
      <c r="A454" s="383" t="str">
        <f>CONCATENATE("Reviewed on"," ",(TEXT('2022-2023 Applications Review'!$A454, "mm/dd/yyyy")))</f>
        <v>Reviewed on 08/16/2022</v>
      </c>
      <c r="B454" s="383" t="str">
        <f>'2022-2023 Applications Review'!B454</f>
        <v>Zena Therapeutics INC. _2022</v>
      </c>
      <c r="C454" s="383" t="str">
        <f>'2022-2023 Applications Review'!E454</f>
        <v>Life Sciences</v>
      </c>
      <c r="D454" s="384" t="str">
        <f>'2022-2023 Applications Review'!Q454</f>
        <v>Invite Next Year</v>
      </c>
      <c r="E454" s="383"/>
      <c r="F454" s="383"/>
      <c r="G454" s="383"/>
      <c r="H454" s="383"/>
      <c r="I454" s="385" t="b">
        <v>1</v>
      </c>
      <c r="J454" s="386" t="s">
        <v>12375</v>
      </c>
    </row>
    <row r="455" spans="1:10">
      <c r="A455" s="383" t="str">
        <f>CONCATENATE("Reviewed on"," ",(TEXT('2022-2023 Applications Review'!$A455, "mm/dd/yyyy")))</f>
        <v>Reviewed on 08/16/2022</v>
      </c>
      <c r="B455" s="383" t="str">
        <f>'2022-2023 Applications Review'!B455</f>
        <v>AstraKode  _2022</v>
      </c>
      <c r="C455" s="383" t="str">
        <f>'2022-2023 Applications Review'!E455</f>
        <v>Deep Tech</v>
      </c>
      <c r="D455" s="384" t="str">
        <f>'2022-2023 Applications Review'!Q455</f>
        <v>Invite Next Year</v>
      </c>
      <c r="E455" s="383"/>
      <c r="F455" s="383"/>
      <c r="G455" s="383"/>
      <c r="H455" s="383"/>
      <c r="I455" s="385" t="b">
        <v>1</v>
      </c>
      <c r="J455" s="386" t="s">
        <v>12376</v>
      </c>
    </row>
    <row r="456" spans="1:10">
      <c r="A456" s="383" t="str">
        <f>CONCATENATE("Reviewed on"," ",(TEXT('2022-2023 Applications Review'!$A456, "mm/dd/yyyy")))</f>
        <v>Reviewed on 08/16/2022</v>
      </c>
      <c r="B456" s="383" t="str">
        <f>'2022-2023 Applications Review'!B456</f>
        <v>Stranded Solutions _2022</v>
      </c>
      <c r="C456" s="383" t="str">
        <f>'2022-2023 Applications Review'!E456</f>
        <v>Deep Tech</v>
      </c>
      <c r="D456" s="384" t="str">
        <f>'2022-2023 Applications Review'!Q456</f>
        <v>Invite Next Year</v>
      </c>
      <c r="E456" s="383"/>
      <c r="F456" s="383"/>
      <c r="G456" s="383"/>
      <c r="H456" s="383"/>
      <c r="I456" s="385" t="b">
        <v>1</v>
      </c>
      <c r="J456" s="386" t="s">
        <v>12377</v>
      </c>
    </row>
    <row r="457" spans="1:10">
      <c r="A457" s="383" t="str">
        <f>CONCATENATE("Reviewed on"," ",(TEXT('2022-2023 Applications Review'!$A457, "mm/dd/yyyy")))</f>
        <v>Reviewed on 08/16/2022</v>
      </c>
      <c r="B457" s="383" t="str">
        <f>'2022-2023 Applications Review'!B457</f>
        <v>Impactbytes _2022</v>
      </c>
      <c r="C457" s="383" t="str">
        <f>'2022-2023 Applications Review'!E457</f>
        <v>Digital Tech</v>
      </c>
      <c r="D457" s="384" t="str">
        <f>'2022-2023 Applications Review'!Q457</f>
        <v>Invite Next Year</v>
      </c>
      <c r="E457" s="383"/>
      <c r="F457" s="383"/>
      <c r="G457" s="383"/>
      <c r="H457" s="383"/>
      <c r="I457" s="385" t="b">
        <v>1</v>
      </c>
      <c r="J457" s="386" t="s">
        <v>12378</v>
      </c>
    </row>
    <row r="458" spans="1:10">
      <c r="A458" s="383" t="str">
        <f>CONCATENATE("Reviewed on"," ",(TEXT('2022-2023 Applications Review'!$A458, "mm/dd/yyyy")))</f>
        <v>Reviewed on 08/16/2022</v>
      </c>
      <c r="B458" s="383" t="str">
        <f>'2022-2023 Applications Review'!B458</f>
        <v>Biosimo _2022</v>
      </c>
      <c r="C458" s="383" t="str">
        <f>'2022-2023 Applications Review'!E458</f>
        <v>Deep Tech</v>
      </c>
      <c r="D458" s="384" t="str">
        <f>'2022-2023 Applications Review'!Q458</f>
        <v>Invite Next Year</v>
      </c>
      <c r="E458" s="383"/>
      <c r="F458" s="383"/>
      <c r="G458" s="383"/>
      <c r="H458" s="383"/>
      <c r="I458" s="385" t="b">
        <v>1</v>
      </c>
      <c r="J458" s="386" t="s">
        <v>12379</v>
      </c>
    </row>
    <row r="459" spans="1:10">
      <c r="A459" s="383" t="str">
        <f>CONCATENATE("Reviewed on"," ",(TEXT('2022-2023 Applications Review'!$A459, "mm/dd/yyyy")))</f>
        <v>Reviewed on 08/16/2022</v>
      </c>
      <c r="B459" s="383" t="str">
        <f>'2022-2023 Applications Review'!B459</f>
        <v>NEATCap Medical LLC _2022</v>
      </c>
      <c r="C459" s="383" t="str">
        <f>'2022-2023 Applications Review'!E459</f>
        <v>Digital Tech</v>
      </c>
      <c r="D459" s="384" t="str">
        <f>'2022-2023 Applications Review'!Q459</f>
        <v>Invite Next Year</v>
      </c>
      <c r="E459" s="383"/>
      <c r="F459" s="383"/>
      <c r="G459" s="383"/>
      <c r="H459" s="383"/>
      <c r="I459" s="385" t="b">
        <v>1</v>
      </c>
      <c r="J459" s="386" t="s">
        <v>12380</v>
      </c>
    </row>
    <row r="460" spans="1:10">
      <c r="A460" s="383" t="str">
        <f>CONCATENATE("Reviewed on"," ",(TEXT('2022-2023 Applications Review'!$A460, "mm/dd/yyyy")))</f>
        <v>Reviewed on 08/16/2022</v>
      </c>
      <c r="B460" s="383" t="str">
        <f>'2022-2023 Applications Review'!B460</f>
        <v>MatMaCorp _2022</v>
      </c>
      <c r="C460" s="383" t="str">
        <f>'2022-2023 Applications Review'!E460</f>
        <v>Life Sciences</v>
      </c>
      <c r="D460" s="384" t="str">
        <f>'2022-2023 Applications Review'!Q460</f>
        <v>Invite Next Year</v>
      </c>
      <c r="E460" s="383"/>
      <c r="F460" s="383"/>
      <c r="G460" s="383"/>
      <c r="H460" s="383"/>
      <c r="I460" s="385" t="b">
        <v>1</v>
      </c>
      <c r="J460" s="386" t="s">
        <v>12381</v>
      </c>
    </row>
    <row r="461" spans="1:10">
      <c r="A461" s="383" t="str">
        <f>CONCATENATE("Reviewed on"," ",(TEXT('2022-2023 Applications Review'!$A461, "mm/dd/yyyy")))</f>
        <v>Reviewed on 08/16/2022</v>
      </c>
      <c r="B461" s="383" t="str">
        <f>'2022-2023 Applications Review'!B461</f>
        <v>AiTera inc. _2022</v>
      </c>
      <c r="C461" s="383" t="str">
        <f>'2022-2023 Applications Review'!E461</f>
        <v>Digital Tech</v>
      </c>
      <c r="D461" s="384" t="str">
        <f>'2022-2023 Applications Review'!Q461</f>
        <v>Invite Next Year</v>
      </c>
      <c r="E461" s="383"/>
      <c r="F461" s="383"/>
      <c r="G461" s="383"/>
      <c r="H461" s="383"/>
      <c r="I461" s="385" t="b">
        <v>1</v>
      </c>
      <c r="J461" s="386" t="s">
        <v>12382</v>
      </c>
    </row>
    <row r="462" spans="1:10">
      <c r="A462" s="383" t="str">
        <f>CONCATENATE("Reviewed on"," ",(TEXT('2022-2023 Applications Review'!$A462, "mm/dd/yyyy")))</f>
        <v>Reviewed on 08/16/2022</v>
      </c>
      <c r="B462" s="383" t="str">
        <f>'2022-2023 Applications Review'!B462</f>
        <v>nucleusRx _2022</v>
      </c>
      <c r="C462" s="383" t="str">
        <f>'2022-2023 Applications Review'!E462</f>
        <v>Deep Tech</v>
      </c>
      <c r="D462" s="384" t="str">
        <f>'2022-2023 Applications Review'!Q462</f>
        <v>Invite Next Year</v>
      </c>
      <c r="E462" s="383"/>
      <c r="F462" s="383"/>
      <c r="G462" s="383"/>
      <c r="H462" s="383"/>
      <c r="I462" s="385" t="b">
        <v>1</v>
      </c>
      <c r="J462" s="386" t="s">
        <v>12383</v>
      </c>
    </row>
    <row r="463" spans="1:10">
      <c r="A463" s="383" t="str">
        <f>CONCATENATE("Reviewed on"," ",(TEXT('2022-2023 Applications Review'!$A463, "mm/dd/yyyy")))</f>
        <v>Reviewed on 08/16/2022</v>
      </c>
      <c r="B463" s="383" t="str">
        <f>'2022-2023 Applications Review'!B463</f>
        <v>ReynKo _2022</v>
      </c>
      <c r="C463" s="383" t="str">
        <f>'2022-2023 Applications Review'!E463</f>
        <v>Deep Tech</v>
      </c>
      <c r="D463" s="384" t="str">
        <f>'2022-2023 Applications Review'!Q463</f>
        <v>Invite Next Year</v>
      </c>
      <c r="E463" s="383"/>
      <c r="F463" s="383"/>
      <c r="G463" s="383"/>
      <c r="H463" s="383"/>
      <c r="I463" s="385" t="b">
        <v>1</v>
      </c>
      <c r="J463" s="386" t="s">
        <v>12384</v>
      </c>
    </row>
    <row r="464" spans="1:10">
      <c r="A464" s="383" t="str">
        <f>CONCATENATE("Reviewed on"," ",(TEXT('2022-2023 Applications Review'!$A464, "mm/dd/yyyy")))</f>
        <v>Reviewed on 08/16/2022</v>
      </c>
      <c r="B464" s="383" t="str">
        <f>'2022-2023 Applications Review'!B464</f>
        <v>SingletO2 Therapeutics LLC _2022</v>
      </c>
      <c r="C464" s="383" t="str">
        <f>'2022-2023 Applications Review'!E464</f>
        <v>Life Sciences</v>
      </c>
      <c r="D464" s="384" t="str">
        <f>'2022-2023 Applications Review'!Q464</f>
        <v>Invite Next Year</v>
      </c>
      <c r="E464" s="383"/>
      <c r="F464" s="383"/>
      <c r="G464" s="383"/>
      <c r="H464" s="383"/>
      <c r="I464" s="385" t="b">
        <v>1</v>
      </c>
      <c r="J464" s="386" t="s">
        <v>12385</v>
      </c>
    </row>
    <row r="465" spans="1:10">
      <c r="A465" s="383" t="str">
        <f>CONCATENATE("Reviewed on"," ",(TEXT('2022-2023 Applications Review'!$A465, "mm/dd/yyyy")))</f>
        <v>Reviewed on 08/16/2022</v>
      </c>
      <c r="B465" s="383" t="str">
        <f>'2022-2023 Applications Review'!B465</f>
        <v>myLaminin _2022</v>
      </c>
      <c r="C465" s="383" t="str">
        <f>'2022-2023 Applications Review'!E465</f>
        <v>Digital Tech</v>
      </c>
      <c r="D465" s="384" t="str">
        <f>'2022-2023 Applications Review'!Q465</f>
        <v>Invite Next Year</v>
      </c>
      <c r="E465" s="383"/>
      <c r="F465" s="383"/>
      <c r="G465" s="383"/>
      <c r="H465" s="383"/>
      <c r="I465" s="385" t="b">
        <v>1</v>
      </c>
      <c r="J465" s="386" t="s">
        <v>12386</v>
      </c>
    </row>
    <row r="466" spans="1:10">
      <c r="A466" s="383" t="str">
        <f>CONCATENATE("Reviewed on"," ",(TEXT('2022-2023 Applications Review'!$A466, "mm/dd/yyyy")))</f>
        <v>Reviewed on 08/16/2022</v>
      </c>
      <c r="B466" s="383" t="str">
        <f>'2022-2023 Applications Review'!B466</f>
        <v>Shipturtle Apps Pvt Ltd _2022</v>
      </c>
      <c r="C466" s="383" t="str">
        <f>'2022-2023 Applications Review'!E466</f>
        <v>Digital Tech</v>
      </c>
      <c r="D466" s="384" t="str">
        <f>'2022-2023 Applications Review'!Q466</f>
        <v>Invite Next Year</v>
      </c>
      <c r="E466" s="383"/>
      <c r="F466" s="383"/>
      <c r="G466" s="383"/>
      <c r="H466" s="383"/>
      <c r="I466" s="385" t="b">
        <v>1</v>
      </c>
      <c r="J466" s="386" t="s">
        <v>12387</v>
      </c>
    </row>
    <row r="467" spans="1:10">
      <c r="A467" s="383" t="str">
        <f>CONCATENATE("Reviewed on"," ",(TEXT('2022-2023 Applications Review'!$A467, "mm/dd/yyyy")))</f>
        <v>Reviewed on 08/16/2022</v>
      </c>
      <c r="B467" s="383" t="str">
        <f>'2022-2023 Applications Review'!B467</f>
        <v>Believyn  _2022</v>
      </c>
      <c r="C467" s="383" t="str">
        <f>'2022-2023 Applications Review'!E467</f>
        <v>Digital Tech</v>
      </c>
      <c r="D467" s="384" t="str">
        <f>'2022-2023 Applications Review'!Q467</f>
        <v>Invite Next Year</v>
      </c>
      <c r="E467" s="383"/>
      <c r="F467" s="383"/>
      <c r="G467" s="383"/>
      <c r="H467" s="383"/>
      <c r="I467" s="385" t="b">
        <v>1</v>
      </c>
      <c r="J467" s="386" t="s">
        <v>12388</v>
      </c>
    </row>
    <row r="468" spans="1:10">
      <c r="A468" s="383" t="str">
        <f>CONCATENATE("Reviewed on"," ",(TEXT('2022-2023 Applications Review'!$A468, "mm/dd/yyyy")))</f>
        <v>Reviewed on 08/16/2022</v>
      </c>
      <c r="B468" s="383" t="str">
        <f>'2022-2023 Applications Review'!B468</f>
        <v>Astrabeam LLC _2022</v>
      </c>
      <c r="C468" s="383" t="str">
        <f>'2022-2023 Applications Review'!E468</f>
        <v>Digital Tech</v>
      </c>
      <c r="D468" s="384" t="str">
        <f>'2022-2023 Applications Review'!Q468</f>
        <v>Invite Next Year</v>
      </c>
      <c r="E468" s="383"/>
      <c r="F468" s="383"/>
      <c r="G468" s="383"/>
      <c r="H468" s="383"/>
      <c r="I468" s="385" t="b">
        <v>1</v>
      </c>
      <c r="J468" s="386" t="s">
        <v>12389</v>
      </c>
    </row>
    <row r="469" spans="1:10">
      <c r="A469" s="383" t="str">
        <f>CONCATENATE("Reviewed on"," ",(TEXT('2022-2023 Applications Review'!$A469, "mm/dd/yyyy")))</f>
        <v>Reviewed on 08/16/2022</v>
      </c>
      <c r="B469" s="383" t="str">
        <f>'2022-2023 Applications Review'!B469</f>
        <v>Biodimension Technology Pvt Ltd _2022</v>
      </c>
      <c r="C469" s="383" t="str">
        <f>'2022-2023 Applications Review'!E469</f>
        <v>Life Sciences</v>
      </c>
      <c r="D469" s="384" t="str">
        <f>'2022-2023 Applications Review'!Q469</f>
        <v>Invite Next Year</v>
      </c>
      <c r="E469" s="383"/>
      <c r="F469" s="383"/>
      <c r="G469" s="383"/>
      <c r="H469" s="383"/>
      <c r="I469" s="385" t="b">
        <v>1</v>
      </c>
      <c r="J469" s="386" t="s">
        <v>12390</v>
      </c>
    </row>
    <row r="470" spans="1:10">
      <c r="A470" s="383" t="str">
        <f>CONCATENATE("Reviewed on"," ",(TEXT('2022-2023 Applications Review'!$A470, "mm/dd/yyyy")))</f>
        <v>Reviewed on 08/16/2022</v>
      </c>
      <c r="B470" s="383" t="str">
        <f>'2022-2023 Applications Review'!B470</f>
        <v>Volatile AI _2022</v>
      </c>
      <c r="C470" s="383" t="str">
        <f>'2022-2023 Applications Review'!E470</f>
        <v>Deep Tech</v>
      </c>
      <c r="D470" s="384" t="str">
        <f>'2022-2023 Applications Review'!Q470</f>
        <v>Invite Next Year</v>
      </c>
      <c r="E470" s="383"/>
      <c r="F470" s="383"/>
      <c r="G470" s="383"/>
      <c r="H470" s="383"/>
      <c r="I470" s="385" t="b">
        <v>1</v>
      </c>
      <c r="J470" s="386" t="s">
        <v>12391</v>
      </c>
    </row>
    <row r="471" spans="1:10">
      <c r="A471" s="383" t="str">
        <f>CONCATENATE("Reviewed on"," ",(TEXT('2022-2023 Applications Review'!$A471, "mm/dd/yyyy")))</f>
        <v>Reviewed on 08/16/2022</v>
      </c>
      <c r="B471" s="383" t="str">
        <f>'2022-2023 Applications Review'!B471</f>
        <v>Turn Plus Power LLC.  _2022</v>
      </c>
      <c r="C471" s="383" t="str">
        <f>'2022-2023 Applications Review'!E471</f>
        <v>Deep Tech</v>
      </c>
      <c r="D471" s="384" t="str">
        <f>'2022-2023 Applications Review'!Q471</f>
        <v>Invite Next Year</v>
      </c>
      <c r="E471" s="383"/>
      <c r="F471" s="383"/>
      <c r="G471" s="383"/>
      <c r="H471" s="383"/>
      <c r="I471" s="385" t="b">
        <v>1</v>
      </c>
      <c r="J471" s="386" t="s">
        <v>12392</v>
      </c>
    </row>
    <row r="472" spans="1:10">
      <c r="A472" s="383" t="str">
        <f>CONCATENATE("Reviewed on"," ",(TEXT('2022-2023 Applications Review'!$A472, "mm/dd/yyyy")))</f>
        <v>Reviewed on 08/16/2022</v>
      </c>
      <c r="B472" s="383" t="str">
        <f>'2022-2023 Applications Review'!B472</f>
        <v>Lychee Things Inc. _2022</v>
      </c>
      <c r="C472" s="383" t="str">
        <f>'2022-2023 Applications Review'!E472</f>
        <v>Deep Tech</v>
      </c>
      <c r="D472" s="384" t="str">
        <f>'2022-2023 Applications Review'!Q472</f>
        <v>Invite Next Year</v>
      </c>
      <c r="E472" s="383"/>
      <c r="F472" s="383"/>
      <c r="G472" s="383"/>
      <c r="H472" s="383"/>
      <c r="I472" s="385" t="b">
        <v>1</v>
      </c>
      <c r="J472" s="386" t="s">
        <v>12393</v>
      </c>
    </row>
    <row r="473" spans="1:10">
      <c r="A473" s="383" t="str">
        <f>CONCATENATE("Reviewed on"," ",(TEXT('2022-2023 Applications Review'!$A473, "mm/dd/yyyy")))</f>
        <v>Reviewed on 08/16/2022</v>
      </c>
      <c r="B473" s="383" t="str">
        <f>'2022-2023 Applications Review'!B473</f>
        <v>CRANENANO LLC _2022</v>
      </c>
      <c r="C473" s="383" t="str">
        <f>'2022-2023 Applications Review'!E473</f>
        <v>Deep Tech</v>
      </c>
      <c r="D473" s="384" t="str">
        <f>'2022-2023 Applications Review'!Q473</f>
        <v>Invite Next Year</v>
      </c>
      <c r="E473" s="383"/>
      <c r="F473" s="383"/>
      <c r="G473" s="383"/>
      <c r="H473" s="383"/>
      <c r="I473" s="385" t="b">
        <v>1</v>
      </c>
      <c r="J473" s="386" t="s">
        <v>12394</v>
      </c>
    </row>
    <row r="474" spans="1:10">
      <c r="A474" s="383" t="str">
        <f>CONCATENATE("Reviewed on"," ",(TEXT('2022-2023 Applications Review'!$A474, "mm/dd/yyyy")))</f>
        <v>Reviewed on 08/16/2022</v>
      </c>
      <c r="B474" s="383" t="str">
        <f>'2022-2023 Applications Review'!B474</f>
        <v>HealMed Solutions.Inc _2022</v>
      </c>
      <c r="C474" s="383" t="str">
        <f>'2022-2023 Applications Review'!E474</f>
        <v>Digital Tech</v>
      </c>
      <c r="D474" s="384" t="str">
        <f>'2022-2023 Applications Review'!Q474</f>
        <v>Invite Next Year</v>
      </c>
      <c r="E474" s="383"/>
      <c r="F474" s="383"/>
      <c r="G474" s="383"/>
      <c r="H474" s="383"/>
      <c r="I474" s="385" t="b">
        <v>1</v>
      </c>
      <c r="J474" s="386" t="s">
        <v>12395</v>
      </c>
    </row>
    <row r="475" spans="1:10">
      <c r="A475" s="383" t="str">
        <f>CONCATENATE("Reviewed on"," ",(TEXT('2022-2023 Applications Review'!$A475, "mm/dd/yyyy")))</f>
        <v>Reviewed on 08/16/2022</v>
      </c>
      <c r="B475" s="383" t="str">
        <f>'2022-2023 Applications Review'!B475</f>
        <v>My One Medical Source, LLC _2022</v>
      </c>
      <c r="C475" s="383" t="str">
        <f>'2022-2023 Applications Review'!E475</f>
        <v>Deep Tech</v>
      </c>
      <c r="D475" s="384" t="str">
        <f>'2022-2023 Applications Review'!Q475</f>
        <v>Invite Next Year</v>
      </c>
      <c r="E475" s="383"/>
      <c r="F475" s="383"/>
      <c r="G475" s="383"/>
      <c r="H475" s="383"/>
      <c r="I475" s="385" t="b">
        <v>1</v>
      </c>
      <c r="J475" s="386" t="s">
        <v>12396</v>
      </c>
    </row>
    <row r="476" spans="1:10">
      <c r="A476" s="383" t="str">
        <f>CONCATENATE("Reviewed on"," ",(TEXT('2022-2023 Applications Review'!$A476, "mm/dd/yyyy")))</f>
        <v>Reviewed on 08/16/2022</v>
      </c>
      <c r="B476" s="383" t="str">
        <f>'2022-2023 Applications Review'!B476</f>
        <v>Zario _2022</v>
      </c>
      <c r="C476" s="383" t="str">
        <f>'2022-2023 Applications Review'!E476</f>
        <v>Digital Tech</v>
      </c>
      <c r="D476" s="384" t="str">
        <f>'2022-2023 Applications Review'!Q476</f>
        <v>Invite Next Year</v>
      </c>
      <c r="E476" s="383"/>
      <c r="F476" s="383"/>
      <c r="G476" s="383"/>
      <c r="H476" s="383"/>
      <c r="I476" s="385" t="b">
        <v>1</v>
      </c>
      <c r="J476" s="386" t="s">
        <v>12397</v>
      </c>
    </row>
    <row r="477" spans="1:10">
      <c r="A477" s="383" t="str">
        <f>CONCATENATE("Reviewed on"," ",(TEXT('2022-2023 Applications Review'!$A477, "mm/dd/yyyy")))</f>
        <v>Reviewed on 08/16/2022</v>
      </c>
      <c r="B477" s="383" t="str">
        <f>'2022-2023 Applications Review'!B477</f>
        <v>Engine Systems Innovation, Inc. _2022</v>
      </c>
      <c r="C477" s="383" t="str">
        <f>'2022-2023 Applications Review'!E477</f>
        <v>Deep Tech</v>
      </c>
      <c r="D477" s="384" t="str">
        <f>'2022-2023 Applications Review'!Q477</f>
        <v>Invite Next Year</v>
      </c>
      <c r="E477" s="383"/>
      <c r="F477" s="383"/>
      <c r="G477" s="383"/>
      <c r="H477" s="383"/>
      <c r="I477" s="385" t="b">
        <v>1</v>
      </c>
      <c r="J477" s="386" t="s">
        <v>12398</v>
      </c>
    </row>
    <row r="478" spans="1:10">
      <c r="A478" s="383" t="str">
        <f>CONCATENATE("Reviewed on"," ",(TEXT('2022-2023 Applications Review'!$A478, "mm/dd/yyyy")))</f>
        <v>Reviewed on 08/16/2022</v>
      </c>
      <c r="B478" s="383" t="str">
        <f>'2022-2023 Applications Review'!B478</f>
        <v>Lynxai _2022</v>
      </c>
      <c r="C478" s="383" t="str">
        <f>'2022-2023 Applications Review'!E478</f>
        <v>Digital Tech</v>
      </c>
      <c r="D478" s="384" t="str">
        <f>'2022-2023 Applications Review'!Q478</f>
        <v>Invite Next Year</v>
      </c>
      <c r="E478" s="383"/>
      <c r="F478" s="383"/>
      <c r="G478" s="383"/>
      <c r="H478" s="383"/>
      <c r="I478" s="385" t="b">
        <v>1</v>
      </c>
      <c r="J478" s="386" t="s">
        <v>12399</v>
      </c>
    </row>
    <row r="479" spans="1:10">
      <c r="A479" s="383" t="str">
        <f>CONCATENATE("Reviewed on"," ",(TEXT('2022-2023 Applications Review'!$A479, "mm/dd/yyyy")))</f>
        <v>Reviewed on 08/16/2022</v>
      </c>
      <c r="B479" s="383" t="str">
        <f>'2022-2023 Applications Review'!B479</f>
        <v>Ziscuit, Inc. _2022</v>
      </c>
      <c r="C479" s="383" t="str">
        <f>'2022-2023 Applications Review'!E479</f>
        <v>Deep Tech</v>
      </c>
      <c r="D479" s="384" t="str">
        <f>'2022-2023 Applications Review'!Q479</f>
        <v>Invite Next Year</v>
      </c>
      <c r="E479" s="383"/>
      <c r="F479" s="383"/>
      <c r="G479" s="383"/>
      <c r="H479" s="383"/>
      <c r="I479" s="385" t="b">
        <v>1</v>
      </c>
      <c r="J479" s="386" t="s">
        <v>12400</v>
      </c>
    </row>
    <row r="480" spans="1:10">
      <c r="A480" s="383" t="str">
        <f>CONCATENATE("Reviewed on"," ",(TEXT('2022-2023 Applications Review'!$A480, "mm/dd/yyyy")))</f>
        <v>Reviewed on 08/16/2022</v>
      </c>
      <c r="B480" s="383" t="str">
        <f>'2022-2023 Applications Review'!B480</f>
        <v>FanAnywhere _2022</v>
      </c>
      <c r="C480" s="383" t="str">
        <f>'2022-2023 Applications Review'!E480</f>
        <v>Digital Tech</v>
      </c>
      <c r="D480" s="384" t="str">
        <f>'2022-2023 Applications Review'!Q480</f>
        <v>Invite Next Year</v>
      </c>
      <c r="E480" s="383"/>
      <c r="F480" s="383"/>
      <c r="G480" s="383"/>
      <c r="H480" s="383"/>
      <c r="I480" s="385" t="b">
        <v>1</v>
      </c>
      <c r="J480" s="386" t="s">
        <v>12401</v>
      </c>
    </row>
    <row r="481" spans="1:10">
      <c r="A481" s="383" t="str">
        <f>CONCATENATE("Reviewed on"," ",(TEXT('2022-2023 Applications Review'!$A481, "mm/dd/yyyy")))</f>
        <v>Reviewed on 08/16/2022</v>
      </c>
      <c r="B481" s="383" t="str">
        <f>'2022-2023 Applications Review'!B481</f>
        <v>Aerovoyance Inc _2022</v>
      </c>
      <c r="C481" s="383" t="str">
        <f>'2022-2023 Applications Review'!E481</f>
        <v>Deep Tech</v>
      </c>
      <c r="D481" s="384" t="str">
        <f>'2022-2023 Applications Review'!Q481</f>
        <v>Invite Next Year</v>
      </c>
      <c r="E481" s="383"/>
      <c r="F481" s="383"/>
      <c r="G481" s="383"/>
      <c r="H481" s="383"/>
      <c r="I481" s="385" t="b">
        <v>1</v>
      </c>
      <c r="J481" s="386" t="s">
        <v>12402</v>
      </c>
    </row>
    <row r="482" spans="1:10">
      <c r="A482" s="383" t="str">
        <f>CONCATENATE("Reviewed on"," ",(TEXT('2022-2023 Applications Review'!$A482, "mm/dd/yyyy")))</f>
        <v>Reviewed on 08/16/2022</v>
      </c>
      <c r="B482" s="383" t="str">
        <f>'2022-2023 Applications Review'!B482</f>
        <v>Alaria Biotech  _2022</v>
      </c>
      <c r="C482" s="383" t="str">
        <f>'2022-2023 Applications Review'!E482</f>
        <v>Life Sciences</v>
      </c>
      <c r="D482" s="384" t="str">
        <f>'2022-2023 Applications Review'!Q482</f>
        <v>Invite Next Year</v>
      </c>
      <c r="E482" s="383"/>
      <c r="F482" s="383"/>
      <c r="G482" s="383"/>
      <c r="H482" s="383"/>
      <c r="I482" s="385" t="b">
        <v>1</v>
      </c>
      <c r="J482" s="386" t="s">
        <v>12403</v>
      </c>
    </row>
    <row r="483" spans="1:10">
      <c r="A483" s="383" t="str">
        <f>CONCATENATE("Reviewed on"," ",(TEXT('2022-2023 Applications Review'!$A483, "mm/dd/yyyy")))</f>
        <v>Reviewed on 08/16/2022</v>
      </c>
      <c r="B483" s="383" t="str">
        <f>'2022-2023 Applications Review'!B483</f>
        <v>Street Farms _2022</v>
      </c>
      <c r="C483" s="383" t="str">
        <f>'2022-2023 Applications Review'!E483</f>
        <v>Deep Tech</v>
      </c>
      <c r="D483" s="384" t="str">
        <f>'2022-2023 Applications Review'!Q483</f>
        <v>Invite Next Year</v>
      </c>
      <c r="E483" s="383"/>
      <c r="F483" s="383"/>
      <c r="G483" s="383"/>
      <c r="H483" s="383"/>
      <c r="I483" s="385" t="b">
        <v>1</v>
      </c>
      <c r="J483" s="386" t="s">
        <v>12404</v>
      </c>
    </row>
    <row r="484" spans="1:10">
      <c r="A484" s="383" t="str">
        <f>CONCATENATE("Reviewed on"," ",(TEXT('2022-2023 Applications Review'!$A484, "mm/dd/yyyy")))</f>
        <v>Reviewed on 08/16/2022</v>
      </c>
      <c r="B484" s="383" t="str">
        <f>'2022-2023 Applications Review'!B484</f>
        <v>elovee, Inc. _2022</v>
      </c>
      <c r="C484" s="383" t="str">
        <f>'2022-2023 Applications Review'!E484</f>
        <v>Digital Tech</v>
      </c>
      <c r="D484" s="384" t="str">
        <f>'2022-2023 Applications Review'!Q484</f>
        <v>Invite Next Year</v>
      </c>
      <c r="E484" s="383"/>
      <c r="F484" s="383"/>
      <c r="G484" s="383"/>
      <c r="H484" s="383"/>
      <c r="I484" s="385" t="b">
        <v>1</v>
      </c>
      <c r="J484" s="386" t="s">
        <v>12405</v>
      </c>
    </row>
    <row r="485" spans="1:10">
      <c r="A485" s="383" t="str">
        <f>CONCATENATE("Reviewed on"," ",(TEXT('2022-2023 Applications Review'!$A485, "mm/dd/yyyy")))</f>
        <v>Reviewed on 08/16/2022</v>
      </c>
      <c r="B485" s="383" t="str">
        <f>'2022-2023 Applications Review'!B485</f>
        <v>kyron.bio _2022</v>
      </c>
      <c r="C485" s="383" t="str">
        <f>'2022-2023 Applications Review'!E485</f>
        <v>Life Sciences</v>
      </c>
      <c r="D485" s="384" t="str">
        <f>'2022-2023 Applications Review'!Q485</f>
        <v>Invite Next Year</v>
      </c>
      <c r="E485" s="383"/>
      <c r="F485" s="383"/>
      <c r="G485" s="383"/>
      <c r="H485" s="383"/>
      <c r="I485" s="385" t="b">
        <v>1</v>
      </c>
      <c r="J485" s="386" t="s">
        <v>12406</v>
      </c>
    </row>
    <row r="486" spans="1:10">
      <c r="A486" s="383" t="str">
        <f>CONCATENATE("Reviewed on"," ",(TEXT('2022-2023 Applications Review'!$A486, "mm/dd/yyyy")))</f>
        <v>Reviewed on 08/16/2022</v>
      </c>
      <c r="B486" s="383" t="str">
        <f>'2022-2023 Applications Review'!B486</f>
        <v>Mahila Money Pte Ltd _2022</v>
      </c>
      <c r="C486" s="383" t="str">
        <f>'2022-2023 Applications Review'!E486</f>
        <v>Digital Tech</v>
      </c>
      <c r="D486" s="384" t="str">
        <f>'2022-2023 Applications Review'!Q486</f>
        <v>Invite Next Year</v>
      </c>
      <c r="E486" s="383"/>
      <c r="F486" s="383"/>
      <c r="G486" s="383"/>
      <c r="H486" s="383"/>
      <c r="I486" s="385" t="b">
        <v>1</v>
      </c>
      <c r="J486" s="386" t="s">
        <v>12407</v>
      </c>
    </row>
    <row r="487" spans="1:10">
      <c r="A487" s="383" t="str">
        <f>CONCATENATE("Reviewed on"," ",(TEXT('2022-2023 Applications Review'!$A487, "mm/dd/yyyy")))</f>
        <v>Reviewed on 08/16/2022</v>
      </c>
      <c r="B487" s="383" t="str">
        <f>'2022-2023 Applications Review'!B487</f>
        <v>Re-Colonize _2022</v>
      </c>
      <c r="C487" s="383" t="str">
        <f>'2022-2023 Applications Review'!E487</f>
        <v>Life Sciences</v>
      </c>
      <c r="D487" s="384" t="str">
        <f>'2022-2023 Applications Review'!Q487</f>
        <v>Invite Next Year</v>
      </c>
      <c r="E487" s="383"/>
      <c r="F487" s="383"/>
      <c r="G487" s="383"/>
      <c r="H487" s="383"/>
      <c r="I487" s="385" t="b">
        <v>1</v>
      </c>
      <c r="J487" s="386" t="s">
        <v>12408</v>
      </c>
    </row>
    <row r="488" spans="1:10">
      <c r="A488" s="383" t="str">
        <f>CONCATENATE("Reviewed on"," ",(TEXT('2022-2023 Applications Review'!$A488, "mm/dd/yyyy")))</f>
        <v>Reviewed on 08/16/2022</v>
      </c>
      <c r="B488" s="383" t="str">
        <f>'2022-2023 Applications Review'!B488</f>
        <v>Portelo _2022</v>
      </c>
      <c r="C488" s="383" t="str">
        <f>'2022-2023 Applications Review'!E488</f>
        <v>Digital Tech</v>
      </c>
      <c r="D488" s="384" t="str">
        <f>'2022-2023 Applications Review'!Q488</f>
        <v>Invite Next Year</v>
      </c>
      <c r="E488" s="383"/>
      <c r="F488" s="383"/>
      <c r="G488" s="383"/>
      <c r="H488" s="383"/>
      <c r="I488" s="385" t="b">
        <v>1</v>
      </c>
      <c r="J488" s="386" t="s">
        <v>12409</v>
      </c>
    </row>
    <row r="489" spans="1:10">
      <c r="A489" s="383" t="str">
        <f>CONCATENATE("Reviewed on"," ",(TEXT('2022-2023 Applications Review'!$A489, "mm/dd/yyyy")))</f>
        <v>Reviewed on 08/16/2022</v>
      </c>
      <c r="B489" s="383" t="str">
        <f>'2022-2023 Applications Review'!B489</f>
        <v>Clever Forever Education AG _2022</v>
      </c>
      <c r="C489" s="383" t="str">
        <f>'2022-2023 Applications Review'!E489</f>
        <v>Digital Tech</v>
      </c>
      <c r="D489" s="384" t="str">
        <f>'2022-2023 Applications Review'!Q489</f>
        <v>Invite Next Year</v>
      </c>
      <c r="E489" s="383"/>
      <c r="F489" s="383"/>
      <c r="G489" s="383"/>
      <c r="H489" s="383"/>
      <c r="I489" s="385" t="b">
        <v>1</v>
      </c>
      <c r="J489" s="386" t="s">
        <v>12410</v>
      </c>
    </row>
    <row r="490" spans="1:10">
      <c r="A490" s="383" t="str">
        <f>CONCATENATE("Reviewed on"," ",(TEXT('2022-2023 Applications Review'!$A490, "mm/dd/yyyy")))</f>
        <v>Reviewed on 08/16/2022</v>
      </c>
      <c r="B490" s="383" t="str">
        <f>'2022-2023 Applications Review'!B490</f>
        <v>Vernocular Inc _2022</v>
      </c>
      <c r="C490" s="383" t="str">
        <f>'2022-2023 Applications Review'!E490</f>
        <v>Digital Tech</v>
      </c>
      <c r="D490" s="384" t="str">
        <f>'2022-2023 Applications Review'!Q490</f>
        <v>Invite Next Year</v>
      </c>
      <c r="E490" s="383"/>
      <c r="F490" s="383"/>
      <c r="G490" s="383"/>
      <c r="H490" s="383"/>
      <c r="I490" s="385" t="b">
        <v>1</v>
      </c>
      <c r="J490" s="386" t="s">
        <v>12411</v>
      </c>
    </row>
    <row r="491" spans="1:10">
      <c r="A491" s="383" t="str">
        <f>CONCATENATE("Reviewed on"," ",(TEXT('2022-2023 Applications Review'!$A491, "mm/dd/yyyy")))</f>
        <v>Reviewed on 08/16/2022</v>
      </c>
      <c r="B491" s="383" t="str">
        <f>'2022-2023 Applications Review'!B491</f>
        <v>Believyn  _2022</v>
      </c>
      <c r="C491" s="383" t="str">
        <f>'2022-2023 Applications Review'!E491</f>
        <v>Digital Tech</v>
      </c>
      <c r="D491" s="384" t="str">
        <f>'2022-2023 Applications Review'!Q491</f>
        <v>Invite Next Year</v>
      </c>
      <c r="E491" s="383"/>
      <c r="F491" s="383"/>
      <c r="G491" s="383"/>
      <c r="H491" s="383"/>
      <c r="I491" s="385" t="b">
        <v>1</v>
      </c>
      <c r="J491" s="386"/>
    </row>
    <row r="492" spans="1:10">
      <c r="A492" s="383" t="str">
        <f>CONCATENATE("Reviewed on"," ",(TEXT('2022-2023 Applications Review'!$A492, "mm/dd/yyyy")))</f>
        <v>Reviewed on 08/16/2022</v>
      </c>
      <c r="B492" s="383" t="str">
        <f>'2022-2023 Applications Review'!B492</f>
        <v>Healthtracka _2022</v>
      </c>
      <c r="C492" s="383" t="str">
        <f>'2022-2023 Applications Review'!E492</f>
        <v>Digital Tech</v>
      </c>
      <c r="D492" s="384" t="str">
        <f>'2022-2023 Applications Review'!Q492</f>
        <v>Invite Next Year</v>
      </c>
      <c r="E492" s="383"/>
      <c r="F492" s="383"/>
      <c r="G492" s="383"/>
      <c r="H492" s="383"/>
      <c r="I492" s="385" t="b">
        <v>1</v>
      </c>
      <c r="J492" s="386" t="s">
        <v>12412</v>
      </c>
    </row>
    <row r="493" spans="1:10">
      <c r="A493" s="383" t="str">
        <f>CONCATENATE("Reviewed on"," ",(TEXT('2022-2023 Applications Review'!$A493, "mm/dd/yyyy")))</f>
        <v>Reviewed on 08/16/2022</v>
      </c>
      <c r="B493" s="383" t="str">
        <f>'2022-2023 Applications Review'!B493</f>
        <v>Lagoon _2022</v>
      </c>
      <c r="C493" s="383" t="str">
        <f>'2022-2023 Applications Review'!E493</f>
        <v>Digital Tech</v>
      </c>
      <c r="D493" s="384" t="str">
        <f>'2022-2023 Applications Review'!Q493</f>
        <v>Invite Next Year</v>
      </c>
      <c r="E493" s="383"/>
      <c r="F493" s="383"/>
      <c r="G493" s="383"/>
      <c r="H493" s="383"/>
      <c r="I493" s="385" t="b">
        <v>1</v>
      </c>
      <c r="J493" s="386" t="s">
        <v>12413</v>
      </c>
    </row>
    <row r="494" spans="1:10">
      <c r="A494" s="383" t="str">
        <f>CONCATENATE("Reviewed on"," ",(TEXT('2022-2023 Applications Review'!$A494, "mm/dd/yyyy")))</f>
        <v>Reviewed on 08/16/2022</v>
      </c>
      <c r="B494" s="383" t="str">
        <f>'2022-2023 Applications Review'!B494</f>
        <v>BPANALITYCAL S.A. _2022</v>
      </c>
      <c r="C494" s="383" t="str">
        <f>'2022-2023 Applications Review'!E494</f>
        <v>Deep Tech</v>
      </c>
      <c r="D494" s="384" t="str">
        <f>'2022-2023 Applications Review'!Q494</f>
        <v>Invite Next Year</v>
      </c>
      <c r="E494" s="383"/>
      <c r="F494" s="383"/>
      <c r="G494" s="383"/>
      <c r="H494" s="383"/>
      <c r="I494" s="385" t="b">
        <v>1</v>
      </c>
      <c r="J494" s="386" t="s">
        <v>12414</v>
      </c>
    </row>
    <row r="495" spans="1:10">
      <c r="A495" s="383" t="str">
        <f>CONCATENATE("Reviewed on"," ",(TEXT('2022-2023 Applications Review'!$A495, "mm/dd/yyyy")))</f>
        <v>Reviewed on 08/16/2022</v>
      </c>
      <c r="B495" s="383" t="str">
        <f>'2022-2023 Applications Review'!B495</f>
        <v>The Results-Oriented Work School, LLC _2022</v>
      </c>
      <c r="C495" s="383" t="str">
        <f>'2022-2023 Applications Review'!E495</f>
        <v>Digital Tech</v>
      </c>
      <c r="D495" s="384" t="str">
        <f>'2022-2023 Applications Review'!Q495</f>
        <v>Invite Next Year</v>
      </c>
      <c r="E495" s="383"/>
      <c r="F495" s="383"/>
      <c r="G495" s="383"/>
      <c r="H495" s="383"/>
      <c r="I495" s="385" t="b">
        <v>1</v>
      </c>
      <c r="J495" s="386" t="s">
        <v>12415</v>
      </c>
    </row>
    <row r="496" spans="1:10">
      <c r="A496" s="383" t="str">
        <f>CONCATENATE("Reviewed on"," ",(TEXT('2022-2023 Applications Review'!$A496, "mm/dd/yyyy")))</f>
        <v>Reviewed on 08/16/2022</v>
      </c>
      <c r="B496" s="383" t="str">
        <f>'2022-2023 Applications Review'!B496</f>
        <v>Celise BioProducts _2022</v>
      </c>
      <c r="C496" s="383" t="str">
        <f>'2022-2023 Applications Review'!E496</f>
        <v>Deep Tech</v>
      </c>
      <c r="D496" s="384" t="str">
        <f>'2022-2023 Applications Review'!Q496</f>
        <v>Invite Next Year</v>
      </c>
      <c r="E496" s="383"/>
      <c r="F496" s="383"/>
      <c r="G496" s="383"/>
      <c r="H496" s="383"/>
      <c r="I496" s="385" t="b">
        <v>1</v>
      </c>
      <c r="J496" s="386" t="s">
        <v>12416</v>
      </c>
    </row>
    <row r="497" spans="1:10">
      <c r="A497" s="383" t="str">
        <f>CONCATENATE("Reviewed on"," ",(TEXT('2022-2023 Applications Review'!$A497, "mm/dd/yyyy")))</f>
        <v>Reviewed on 08/16/2022</v>
      </c>
      <c r="B497" s="383" t="str">
        <f>'2022-2023 Applications Review'!B497</f>
        <v>ThinkPods Education Services Pvt Ltd _2022</v>
      </c>
      <c r="C497" s="383" t="str">
        <f>'2022-2023 Applications Review'!E497</f>
        <v>Digital Tech</v>
      </c>
      <c r="D497" s="384" t="str">
        <f>'2022-2023 Applications Review'!Q497</f>
        <v>Invite Next Year</v>
      </c>
      <c r="E497" s="383"/>
      <c r="F497" s="383"/>
      <c r="G497" s="383"/>
      <c r="H497" s="383"/>
      <c r="I497" s="385" t="b">
        <v>1</v>
      </c>
      <c r="J497" s="386" t="s">
        <v>12417</v>
      </c>
    </row>
    <row r="498" spans="1:10">
      <c r="A498" s="383" t="str">
        <f>CONCATENATE("Reviewed on"," ",(TEXT('2022-2023 Applications Review'!$A498, "mm/dd/yyyy")))</f>
        <v>Reviewed on 08/16/2022</v>
      </c>
      <c r="B498" s="383" t="str">
        <f>'2022-2023 Applications Review'!B498</f>
        <v>Intended Future _2022</v>
      </c>
      <c r="C498" s="383" t="str">
        <f>'2022-2023 Applications Review'!E498</f>
        <v>Digital Tech</v>
      </c>
      <c r="D498" s="384" t="str">
        <f>'2022-2023 Applications Review'!Q498</f>
        <v>Invite Next Year</v>
      </c>
      <c r="E498" s="383"/>
      <c r="F498" s="383"/>
      <c r="G498" s="383"/>
      <c r="H498" s="383"/>
      <c r="I498" s="385" t="b">
        <v>1</v>
      </c>
      <c r="J498" s="386" t="s">
        <v>12418</v>
      </c>
    </row>
    <row r="499" spans="1:10">
      <c r="A499" s="383" t="str">
        <f>CONCATENATE("Reviewed on"," ",(TEXT('2022-2023 Applications Review'!$A499, "mm/dd/yyyy")))</f>
        <v>Reviewed on 08/16/2022</v>
      </c>
      <c r="B499" s="383" t="str">
        <f>'2022-2023 Applications Review'!B499</f>
        <v>Dresma Inc. _2022</v>
      </c>
      <c r="C499" s="383" t="str">
        <f>'2022-2023 Applications Review'!E499</f>
        <v>Digital Tech</v>
      </c>
      <c r="D499" s="384" t="str">
        <f>'2022-2023 Applications Review'!Q499</f>
        <v>Invite Next Year</v>
      </c>
      <c r="E499" s="383"/>
      <c r="F499" s="383"/>
      <c r="G499" s="383"/>
      <c r="H499" s="383"/>
      <c r="I499" s="385" t="b">
        <v>1</v>
      </c>
      <c r="J499" s="386" t="s">
        <v>12419</v>
      </c>
    </row>
    <row r="500" spans="1:10">
      <c r="A500" s="383" t="str">
        <f>CONCATENATE("Reviewed on"," ",(TEXT('2022-2023 Applications Review'!$A500, "mm/dd/yyyy")))</f>
        <v>Reviewed on 08/16/2022</v>
      </c>
      <c r="B500" s="383" t="str">
        <f>'2022-2023 Applications Review'!B500</f>
        <v>GridWorkX _2022</v>
      </c>
      <c r="C500" s="383" t="str">
        <f>'2022-2023 Applications Review'!E500</f>
        <v>Deep Tech</v>
      </c>
      <c r="D500" s="384" t="str">
        <f>'2022-2023 Applications Review'!Q500</f>
        <v>Invite Next Year</v>
      </c>
      <c r="E500" s="383"/>
      <c r="F500" s="383"/>
      <c r="G500" s="383"/>
      <c r="H500" s="383"/>
      <c r="I500" s="385" t="b">
        <v>1</v>
      </c>
      <c r="J500" s="386" t="s">
        <v>12420</v>
      </c>
    </row>
    <row r="501" spans="1:10">
      <c r="A501" s="383" t="str">
        <f>CONCATENATE("Reviewed on"," ",(TEXT('2022-2023 Applications Review'!$A501, "mm/dd/yyyy")))</f>
        <v>Reviewed on 08/16/2022</v>
      </c>
      <c r="B501" s="383" t="str">
        <f>'2022-2023 Applications Review'!B501</f>
        <v>Sona Labs _2022</v>
      </c>
      <c r="C501" s="383" t="str">
        <f>'2022-2023 Applications Review'!E501</f>
        <v>Life Sciences</v>
      </c>
      <c r="D501" s="384" t="str">
        <f>'2022-2023 Applications Review'!Q501</f>
        <v>Invite Next Year</v>
      </c>
      <c r="E501" s="383"/>
      <c r="F501" s="383"/>
      <c r="G501" s="383"/>
      <c r="H501" s="383"/>
      <c r="I501" s="385" t="b">
        <v>1</v>
      </c>
      <c r="J501" s="386" t="s">
        <v>12421</v>
      </c>
    </row>
    <row r="502" spans="1:10">
      <c r="A502" s="383" t="str">
        <f>CONCATENATE("Reviewed on"," ",(TEXT('2022-2023 Applications Review'!$A502, "mm/dd/yyyy")))</f>
        <v>Reviewed on 08/16/2022</v>
      </c>
      <c r="B502" s="383" t="str">
        <f>'2022-2023 Applications Review'!B502</f>
        <v>Clanq _2022</v>
      </c>
      <c r="C502" s="383" t="str">
        <f>'2022-2023 Applications Review'!E502</f>
        <v>Digital Tech</v>
      </c>
      <c r="D502" s="384" t="str">
        <f>'2022-2023 Applications Review'!Q502</f>
        <v>Invite Next Year</v>
      </c>
      <c r="E502" s="383"/>
      <c r="F502" s="383"/>
      <c r="G502" s="383"/>
      <c r="H502" s="383"/>
      <c r="I502" s="385" t="b">
        <v>1</v>
      </c>
      <c r="J502" s="386" t="s">
        <v>12422</v>
      </c>
    </row>
    <row r="503" spans="1:10">
      <c r="A503" s="383" t="str">
        <f>CONCATENATE("Reviewed on"," ",(TEXT('2022-2023 Applications Review'!$A503, "mm/dd/yyyy")))</f>
        <v>Reviewed on 08/16/2022</v>
      </c>
      <c r="B503" s="383" t="str">
        <f>'2022-2023 Applications Review'!B503</f>
        <v>Make It Black _2022</v>
      </c>
      <c r="C503" s="383" t="str">
        <f>'2022-2023 Applications Review'!E503</f>
        <v>Deep Tech</v>
      </c>
      <c r="D503" s="384" t="str">
        <f>'2022-2023 Applications Review'!Q503</f>
        <v>Invite Next Year</v>
      </c>
      <c r="E503" s="383"/>
      <c r="F503" s="383"/>
      <c r="G503" s="383"/>
      <c r="H503" s="383"/>
      <c r="I503" s="385" t="b">
        <v>1</v>
      </c>
      <c r="J503" s="386" t="s">
        <v>12423</v>
      </c>
    </row>
    <row r="504" spans="1:10">
      <c r="A504" s="383" t="str">
        <f>CONCATENATE("Reviewed on"," ",(TEXT('2022-2023 Applications Review'!$A504, "mm/dd/yyyy")))</f>
        <v>Reviewed on 08/16/2022</v>
      </c>
      <c r="B504" s="383" t="str">
        <f>'2022-2023 Applications Review'!B504</f>
        <v>Nebula Accounting _2022</v>
      </c>
      <c r="C504" s="383" t="str">
        <f>'2022-2023 Applications Review'!E504</f>
        <v>Digital Tech</v>
      </c>
      <c r="D504" s="384" t="str">
        <f>'2022-2023 Applications Review'!Q504</f>
        <v>Invite Next Year</v>
      </c>
      <c r="E504" s="383"/>
      <c r="F504" s="383"/>
      <c r="G504" s="383"/>
      <c r="H504" s="383"/>
      <c r="I504" s="385" t="b">
        <v>1</v>
      </c>
      <c r="J504" s="386" t="s">
        <v>12424</v>
      </c>
    </row>
    <row r="505" spans="1:10">
      <c r="A505" s="383" t="str">
        <f>CONCATENATE("Reviewed on"," ",(TEXT('2022-2023 Applications Review'!$A505, "mm/dd/yyyy")))</f>
        <v>Reviewed on 08/16/2022</v>
      </c>
      <c r="B505" s="383" t="str">
        <f>'2022-2023 Applications Review'!B505</f>
        <v>Vivanta _2022</v>
      </c>
      <c r="C505" s="383" t="str">
        <f>'2022-2023 Applications Review'!E505</f>
        <v>Digital Tech</v>
      </c>
      <c r="D505" s="384" t="str">
        <f>'2022-2023 Applications Review'!Q505</f>
        <v>Invite Next Year</v>
      </c>
      <c r="E505" s="383"/>
      <c r="F505" s="383"/>
      <c r="G505" s="383"/>
      <c r="H505" s="383"/>
      <c r="I505" s="385" t="b">
        <v>1</v>
      </c>
      <c r="J505" s="386" t="s">
        <v>12425</v>
      </c>
    </row>
    <row r="506" spans="1:10">
      <c r="A506" s="383" t="str">
        <f>CONCATENATE("Reviewed on"," ",(TEXT('2022-2023 Applications Review'!$A506, "mm/dd/yyyy")))</f>
        <v>Reviewed on 08/16/2022</v>
      </c>
      <c r="B506" s="383" t="str">
        <f>'2022-2023 Applications Review'!B506</f>
        <v>Diversity Cyber Council _2022</v>
      </c>
      <c r="C506" s="383" t="str">
        <f>'2022-2023 Applications Review'!E506</f>
        <v>Digital Tech</v>
      </c>
      <c r="D506" s="384" t="str">
        <f>'2022-2023 Applications Review'!Q506</f>
        <v>Invite Next Year</v>
      </c>
      <c r="E506" s="383"/>
      <c r="F506" s="383"/>
      <c r="G506" s="383"/>
      <c r="H506" s="383"/>
      <c r="I506" s="385" t="b">
        <v>1</v>
      </c>
      <c r="J506" s="386" t="s">
        <v>12426</v>
      </c>
    </row>
    <row r="507" spans="1:10">
      <c r="A507" s="383" t="str">
        <f>CONCATENATE("Reviewed on"," ",(TEXT('2022-2023 Applications Review'!$A507, "mm/dd/yyyy")))</f>
        <v>Reviewed on 08/16/2022</v>
      </c>
      <c r="B507" s="383" t="str">
        <f>'2022-2023 Applications Review'!B507</f>
        <v>Populemetry _2022</v>
      </c>
      <c r="C507" s="383" t="str">
        <f>'2022-2023 Applications Review'!E507</f>
        <v>Digital Tech</v>
      </c>
      <c r="D507" s="384" t="str">
        <f>'2022-2023 Applications Review'!Q507</f>
        <v>Invite Next Year</v>
      </c>
      <c r="E507" s="383"/>
      <c r="F507" s="383"/>
      <c r="G507" s="383"/>
      <c r="H507" s="383"/>
      <c r="I507" s="385" t="b">
        <v>1</v>
      </c>
      <c r="J507" s="386" t="s">
        <v>12427</v>
      </c>
    </row>
    <row r="508" spans="1:10">
      <c r="A508" s="383" t="str">
        <f>CONCATENATE("Reviewed on"," ",(TEXT('2022-2023 Applications Review'!$A508, "mm/dd/yyyy")))</f>
        <v>Reviewed on 08/16/2022</v>
      </c>
      <c r="B508" s="383" t="str">
        <f>'2022-2023 Applications Review'!B508</f>
        <v>Biomedix SA, Geneva, Switzerland _2022</v>
      </c>
      <c r="C508" s="383" t="str">
        <f>'2022-2023 Applications Review'!E508</f>
        <v>Life Sciences</v>
      </c>
      <c r="D508" s="384" t="str">
        <f>'2022-2023 Applications Review'!Q508</f>
        <v>Invite Next Year</v>
      </c>
      <c r="E508" s="383"/>
      <c r="F508" s="383"/>
      <c r="G508" s="383"/>
      <c r="H508" s="383"/>
      <c r="I508" s="385" t="b">
        <v>1</v>
      </c>
      <c r="J508" s="386" t="s">
        <v>12428</v>
      </c>
    </row>
    <row r="509" spans="1:10">
      <c r="A509" s="383" t="str">
        <f>CONCATENATE("Reviewed on"," ",(TEXT('2022-2023 Applications Review'!$A509, "mm/dd/yyyy")))</f>
        <v>Reviewed on 08/16/2022</v>
      </c>
      <c r="B509" s="383" t="str">
        <f>'2022-2023 Applications Review'!B509</f>
        <v>GameAir _2022</v>
      </c>
      <c r="C509" s="383" t="str">
        <f>'2022-2023 Applications Review'!E509</f>
        <v>Deep Tech</v>
      </c>
      <c r="D509" s="384" t="str">
        <f>'2022-2023 Applications Review'!Q509</f>
        <v>Invite Next Year</v>
      </c>
      <c r="E509" s="383"/>
      <c r="F509" s="383"/>
      <c r="G509" s="383"/>
      <c r="H509" s="383"/>
      <c r="I509" s="385" t="b">
        <v>1</v>
      </c>
      <c r="J509" s="386" t="s">
        <v>12429</v>
      </c>
    </row>
    <row r="510" spans="1:10">
      <c r="A510" s="383" t="str">
        <f>CONCATENATE("Reviewed on"," ",(TEXT('2022-2023 Applications Review'!$A510, "mm/dd/yyyy")))</f>
        <v>Reviewed on 08/16/2022</v>
      </c>
      <c r="B510" s="383" t="str">
        <f>'2022-2023 Applications Review'!B510</f>
        <v>Ignitus Networks _2022</v>
      </c>
      <c r="C510" s="383" t="str">
        <f>'2022-2023 Applications Review'!E510</f>
        <v>Digital Tech</v>
      </c>
      <c r="D510" s="384" t="str">
        <f>'2022-2023 Applications Review'!Q510</f>
        <v>Invite Next Year</v>
      </c>
      <c r="E510" s="383"/>
      <c r="F510" s="383"/>
      <c r="G510" s="383"/>
      <c r="H510" s="383"/>
      <c r="I510" s="385" t="b">
        <v>1</v>
      </c>
      <c r="J510" s="386" t="s">
        <v>12430</v>
      </c>
    </row>
    <row r="511" spans="1:10">
      <c r="A511" s="383" t="str">
        <f>CONCATENATE("Reviewed on"," ",(TEXT('2022-2023 Applications Review'!$A511, "mm/dd/yyyy")))</f>
        <v>Reviewed on 08/16/2022</v>
      </c>
      <c r="B511" s="383" t="str">
        <f>'2022-2023 Applications Review'!B511</f>
        <v>Bowr _2022</v>
      </c>
      <c r="C511" s="383" t="str">
        <f>'2022-2023 Applications Review'!E511</f>
        <v>Digital Tech</v>
      </c>
      <c r="D511" s="384" t="str">
        <f>'2022-2023 Applications Review'!Q511</f>
        <v>Invite Next Year</v>
      </c>
      <c r="E511" s="383"/>
      <c r="F511" s="383"/>
      <c r="G511" s="383"/>
      <c r="H511" s="383"/>
      <c r="I511" s="385" t="b">
        <v>1</v>
      </c>
      <c r="J511" s="386" t="s">
        <v>12431</v>
      </c>
    </row>
    <row r="512" spans="1:10">
      <c r="A512" s="383" t="str">
        <f>CONCATENATE("Reviewed on"," ",(TEXT('2022-2023 Applications Review'!$A512, "mm/dd/yyyy")))</f>
        <v>Reviewed on 08/16/2022</v>
      </c>
      <c r="B512" s="383" t="str">
        <f>'2022-2023 Applications Review'!B512</f>
        <v>GiftE _2022</v>
      </c>
      <c r="C512" s="383" t="str">
        <f>'2022-2023 Applications Review'!E512</f>
        <v>Digital Tech</v>
      </c>
      <c r="D512" s="384" t="str">
        <f>'2022-2023 Applications Review'!Q512</f>
        <v>Invite Next Year</v>
      </c>
      <c r="E512" s="383"/>
      <c r="F512" s="383"/>
      <c r="G512" s="383"/>
      <c r="H512" s="383"/>
      <c r="I512" s="385" t="b">
        <v>1</v>
      </c>
      <c r="J512" s="386" t="s">
        <v>12432</v>
      </c>
    </row>
    <row r="513" spans="1:10">
      <c r="A513" s="383" t="str">
        <f>CONCATENATE("Reviewed on"," ",(TEXT('2022-2023 Applications Review'!$A513, "mm/dd/yyyy")))</f>
        <v>Reviewed on 08/16/2022</v>
      </c>
      <c r="B513" s="383" t="str">
        <f>'2022-2023 Applications Review'!B513</f>
        <v>Etimo  _2022</v>
      </c>
      <c r="C513" s="383" t="str">
        <f>'2022-2023 Applications Review'!E513</f>
        <v>Deep Tech</v>
      </c>
      <c r="D513" s="384" t="str">
        <f>'2022-2023 Applications Review'!Q513</f>
        <v>Invite Next Year</v>
      </c>
      <c r="E513" s="383"/>
      <c r="F513" s="383"/>
      <c r="G513" s="383"/>
      <c r="H513" s="383"/>
      <c r="I513" s="385" t="b">
        <v>1</v>
      </c>
      <c r="J513" s="386" t="s">
        <v>12433</v>
      </c>
    </row>
    <row r="514" spans="1:10">
      <c r="A514" s="383" t="str">
        <f>CONCATENATE("Reviewed on"," ",(TEXT('2022-2023 Applications Review'!$A514, "mm/dd/yyyy")))</f>
        <v>Reviewed on 08/16/2022</v>
      </c>
      <c r="B514" s="383" t="str">
        <f>'2022-2023 Applications Review'!B514</f>
        <v>Pointz Mobility, Inc. _2022</v>
      </c>
      <c r="C514" s="383" t="str">
        <f>'2022-2023 Applications Review'!E514</f>
        <v>Digital Tech</v>
      </c>
      <c r="D514" s="384" t="str">
        <f>'2022-2023 Applications Review'!Q514</f>
        <v>Invite Next Year</v>
      </c>
      <c r="E514" s="383"/>
      <c r="F514" s="383"/>
      <c r="G514" s="383"/>
      <c r="H514" s="383"/>
      <c r="I514" s="385" t="b">
        <v>1</v>
      </c>
      <c r="J514" s="386" t="s">
        <v>12434</v>
      </c>
    </row>
    <row r="515" spans="1:10">
      <c r="A515" s="383" t="str">
        <f>CONCATENATE("Reviewed on"," ",(TEXT('2022-2023 Applications Review'!$A515, "mm/dd/yyyy")))</f>
        <v>Reviewed on 08/16/2022</v>
      </c>
      <c r="B515" s="383" t="str">
        <f>'2022-2023 Applications Review'!B515</f>
        <v>MeNow _2022</v>
      </c>
      <c r="C515" s="383" t="str">
        <f>'2022-2023 Applications Review'!E515</f>
        <v>Life Sciences</v>
      </c>
      <c r="D515" s="384" t="str">
        <f>'2022-2023 Applications Review'!Q515</f>
        <v>Invite Next Year</v>
      </c>
      <c r="E515" s="383"/>
      <c r="F515" s="383"/>
      <c r="G515" s="383"/>
      <c r="H515" s="383"/>
      <c r="I515" s="385" t="b">
        <v>1</v>
      </c>
      <c r="J515" s="386" t="s">
        <v>12435</v>
      </c>
    </row>
    <row r="516" spans="1:10">
      <c r="A516" s="383" t="str">
        <f>CONCATENATE("Reviewed on"," ",(TEXT('2022-2023 Applications Review'!$A516, "mm/dd/yyyy")))</f>
        <v>Reviewed on 08/16/2022</v>
      </c>
      <c r="B516" s="383" t="str">
        <f>'2022-2023 Applications Review'!B516</f>
        <v>PulsOps Inc _2022</v>
      </c>
      <c r="C516" s="383" t="str">
        <f>'2022-2023 Applications Review'!E516</f>
        <v>Digital Tech</v>
      </c>
      <c r="D516" s="384" t="str">
        <f>'2022-2023 Applications Review'!Q516</f>
        <v>Invite Next Year</v>
      </c>
      <c r="E516" s="383"/>
      <c r="F516" s="383"/>
      <c r="G516" s="383"/>
      <c r="H516" s="383"/>
      <c r="I516" s="385" t="b">
        <v>1</v>
      </c>
      <c r="J516" s="386" t="s">
        <v>12436</v>
      </c>
    </row>
    <row r="517" spans="1:10">
      <c r="A517" s="383" t="str">
        <f>CONCATENATE("Reviewed on"," ",(TEXT('2022-2023 Applications Review'!$A517, "mm/dd/yyyy")))</f>
        <v>Reviewed on 08/16/2022</v>
      </c>
      <c r="B517" s="383" t="str">
        <f>'2022-2023 Applications Review'!B517</f>
        <v>gogoBus _2022</v>
      </c>
      <c r="C517" s="383" t="str">
        <f>'2022-2023 Applications Review'!E517</f>
        <v>Digital Tech</v>
      </c>
      <c r="D517" s="384" t="str">
        <f>'2022-2023 Applications Review'!Q517</f>
        <v>Invite Next Year</v>
      </c>
      <c r="E517" s="383"/>
      <c r="F517" s="383"/>
      <c r="G517" s="383"/>
      <c r="H517" s="383"/>
      <c r="I517" s="385" t="b">
        <v>1</v>
      </c>
      <c r="J517" s="386" t="s">
        <v>12437</v>
      </c>
    </row>
    <row r="518" spans="1:10">
      <c r="A518" s="383" t="str">
        <f>CONCATENATE("Reviewed on"," ",(TEXT('2022-2023 Applications Review'!$A518, "mm/dd/yyyy")))</f>
        <v>Reviewed on 08/16/2022</v>
      </c>
      <c r="B518" s="383" t="str">
        <f>'2022-2023 Applications Review'!B518</f>
        <v>Haven Now, LLC _2022</v>
      </c>
      <c r="C518" s="383" t="str">
        <f>'2022-2023 Applications Review'!E518</f>
        <v>Digital Tech</v>
      </c>
      <c r="D518" s="384" t="str">
        <f>'2022-2023 Applications Review'!Q518</f>
        <v>Invite Next Year</v>
      </c>
      <c r="E518" s="383"/>
      <c r="F518" s="383"/>
      <c r="G518" s="383"/>
      <c r="H518" s="383"/>
      <c r="I518" s="385" t="b">
        <v>1</v>
      </c>
      <c r="J518" s="386" t="s">
        <v>12438</v>
      </c>
    </row>
    <row r="519" spans="1:10">
      <c r="A519" s="383" t="str">
        <f>CONCATENATE("Reviewed on"," ",(TEXT('2022-2023 Applications Review'!$A519, "mm/dd/yyyy")))</f>
        <v>Reviewed on 08/16/2022</v>
      </c>
      <c r="B519" s="383" t="str">
        <f>'2022-2023 Applications Review'!B519</f>
        <v>BuildIt _2022</v>
      </c>
      <c r="C519" s="383" t="str">
        <f>'2022-2023 Applications Review'!E519</f>
        <v>Digital Tech</v>
      </c>
      <c r="D519" s="384" t="str">
        <f>'2022-2023 Applications Review'!Q519</f>
        <v>Invite Next Year</v>
      </c>
      <c r="E519" s="383"/>
      <c r="F519" s="383"/>
      <c r="G519" s="383"/>
      <c r="H519" s="383"/>
      <c r="I519" s="385" t="b">
        <v>1</v>
      </c>
      <c r="J519" s="386" t="s">
        <v>12439</v>
      </c>
    </row>
    <row r="520" spans="1:10">
      <c r="A520" s="383" t="str">
        <f>CONCATENATE("Reviewed on"," ",(TEXT('2022-2023 Applications Review'!$A520, "mm/dd/yyyy")))</f>
        <v>Reviewed on 08/16/2022</v>
      </c>
      <c r="B520" s="383" t="str">
        <f>'2022-2023 Applications Review'!B520</f>
        <v>Mihuru _2022</v>
      </c>
      <c r="C520" s="383" t="str">
        <f>'2022-2023 Applications Review'!E520</f>
        <v>Digital Tech</v>
      </c>
      <c r="D520" s="384" t="str">
        <f>'2022-2023 Applications Review'!Q520</f>
        <v>Invite Next Year</v>
      </c>
      <c r="E520" s="383"/>
      <c r="F520" s="383"/>
      <c r="G520" s="383"/>
      <c r="H520" s="383"/>
      <c r="I520" s="385" t="b">
        <v>1</v>
      </c>
      <c r="J520" s="386" t="s">
        <v>12440</v>
      </c>
    </row>
    <row r="521" spans="1:10">
      <c r="A521" s="383" t="str">
        <f>CONCATENATE("Reviewed on"," ",(TEXT('2022-2023 Applications Review'!$A521, "mm/dd/yyyy")))</f>
        <v>Reviewed on 08/16/2022</v>
      </c>
      <c r="B521" s="383" t="str">
        <f>'2022-2023 Applications Review'!B521</f>
        <v>Badili Africa _2022</v>
      </c>
      <c r="C521" s="383" t="str">
        <f>'2022-2023 Applications Review'!E521</f>
        <v>Deep Tech</v>
      </c>
      <c r="D521" s="384" t="str">
        <f>'2022-2023 Applications Review'!Q521</f>
        <v>Invite Next Year</v>
      </c>
      <c r="E521" s="383"/>
      <c r="F521" s="383"/>
      <c r="G521" s="383"/>
      <c r="H521" s="383"/>
      <c r="I521" s="385" t="b">
        <v>1</v>
      </c>
      <c r="J521" s="386" t="s">
        <v>12441</v>
      </c>
    </row>
    <row r="522" spans="1:10">
      <c r="A522" s="383" t="str">
        <f>CONCATENATE("Reviewed on"," ",(TEXT('2022-2023 Applications Review'!$A522, "mm/dd/yyyy")))</f>
        <v>Reviewed on 08/16/2022</v>
      </c>
      <c r="B522" s="383" t="str">
        <f>'2022-2023 Applications Review'!B522</f>
        <v>Tawazon inc _2022</v>
      </c>
      <c r="C522" s="383" t="str">
        <f>'2022-2023 Applications Review'!E522</f>
        <v>Life Sciences</v>
      </c>
      <c r="D522" s="384" t="str">
        <f>'2022-2023 Applications Review'!Q522</f>
        <v>Invite Next Year</v>
      </c>
      <c r="E522" s="383"/>
      <c r="F522" s="383"/>
      <c r="G522" s="383"/>
      <c r="H522" s="383"/>
      <c r="I522" s="385" t="b">
        <v>1</v>
      </c>
      <c r="J522" s="386" t="s">
        <v>12442</v>
      </c>
    </row>
    <row r="523" spans="1:10">
      <c r="A523" s="383" t="str">
        <f>CONCATENATE("Reviewed on"," ",(TEXT('2022-2023 Applications Review'!$A523, "mm/dd/yyyy")))</f>
        <v>Reviewed on 08/16/2022</v>
      </c>
      <c r="B523" s="383" t="str">
        <f>'2022-2023 Applications Review'!B523</f>
        <v>echoscope _2022</v>
      </c>
      <c r="C523" s="383" t="str">
        <f>'2022-2023 Applications Review'!E523</f>
        <v>Life Sciences</v>
      </c>
      <c r="D523" s="384" t="str">
        <f>'2022-2023 Applications Review'!Q523</f>
        <v>Invite Next Year</v>
      </c>
      <c r="E523" s="383"/>
      <c r="F523" s="383"/>
      <c r="G523" s="383"/>
      <c r="H523" s="383"/>
      <c r="I523" s="385" t="b">
        <v>1</v>
      </c>
      <c r="J523" s="386" t="s">
        <v>12443</v>
      </c>
    </row>
    <row r="524" spans="1:10">
      <c r="A524" s="383" t="str">
        <f>CONCATENATE("Reviewed on"," ",(TEXT('2022-2023 Applications Review'!$A524, "mm/dd/yyyy")))</f>
        <v>Reviewed on 08/16/2022</v>
      </c>
      <c r="B524" s="383" t="str">
        <f>'2022-2023 Applications Review'!B524</f>
        <v>Everewear, LLC _2022</v>
      </c>
      <c r="C524" s="383" t="str">
        <f>'2022-2023 Applications Review'!E524</f>
        <v>Digital Tech</v>
      </c>
      <c r="D524" s="384" t="str">
        <f>'2022-2023 Applications Review'!Q524</f>
        <v>Invite Next Year</v>
      </c>
      <c r="E524" s="383"/>
      <c r="F524" s="383"/>
      <c r="G524" s="383"/>
      <c r="H524" s="383"/>
      <c r="I524" s="385" t="b">
        <v>1</v>
      </c>
      <c r="J524" s="386" t="s">
        <v>12444</v>
      </c>
    </row>
    <row r="525" spans="1:10">
      <c r="A525" s="383" t="str">
        <f>CONCATENATE("Reviewed on"," ",(TEXT('2022-2023 Applications Review'!$A525, "mm/dd/yyyy")))</f>
        <v>Reviewed on 08/16/2022</v>
      </c>
      <c r="B525" s="383" t="str">
        <f>'2022-2023 Applications Review'!B525</f>
        <v>Cognitive IVF s.r.o. _2022</v>
      </c>
      <c r="C525" s="383" t="str">
        <f>'2022-2023 Applications Review'!E525</f>
        <v>Life Sciences</v>
      </c>
      <c r="D525" s="384" t="str">
        <f>'2022-2023 Applications Review'!Q525</f>
        <v>Invite Next Year</v>
      </c>
      <c r="E525" s="383"/>
      <c r="F525" s="383"/>
      <c r="G525" s="383"/>
      <c r="H525" s="383"/>
      <c r="I525" s="385" t="b">
        <v>1</v>
      </c>
      <c r="J525" s="386" t="s">
        <v>12445</v>
      </c>
    </row>
    <row r="526" spans="1:10">
      <c r="A526" s="383" t="str">
        <f>CONCATENATE("Reviewed on"," ",(TEXT('2022-2023 Applications Review'!$A526, "mm/dd/yyyy")))</f>
        <v>Reviewed on 08/16/2022</v>
      </c>
      <c r="B526" s="383" t="str">
        <f>'2022-2023 Applications Review'!B526</f>
        <v>Sebb Inc _2022</v>
      </c>
      <c r="C526" s="383" t="str">
        <f>'2022-2023 Applications Review'!E526</f>
        <v>Digital Tech</v>
      </c>
      <c r="D526" s="384" t="str">
        <f>'2022-2023 Applications Review'!Q526</f>
        <v>Invite Next Year</v>
      </c>
      <c r="E526" s="383"/>
      <c r="F526" s="383"/>
      <c r="G526" s="383"/>
      <c r="H526" s="383"/>
      <c r="I526" s="385" t="b">
        <v>1</v>
      </c>
      <c r="J526" s="386" t="s">
        <v>12446</v>
      </c>
    </row>
    <row r="527" spans="1:10">
      <c r="A527" s="383" t="str">
        <f>CONCATENATE("Reviewed on"," ",(TEXT('2022-2023 Applications Review'!$A527, "mm/dd/yyyy")))</f>
        <v>Reviewed on 08/16/2022</v>
      </c>
      <c r="B527" s="383" t="str">
        <f>'2022-2023 Applications Review'!B527</f>
        <v>WEARFITS _2022</v>
      </c>
      <c r="C527" s="383" t="str">
        <f>'2022-2023 Applications Review'!E527</f>
        <v>Digital Tech</v>
      </c>
      <c r="D527" s="384" t="str">
        <f>'2022-2023 Applications Review'!Q527</f>
        <v>Invite Next Year</v>
      </c>
      <c r="E527" s="383"/>
      <c r="F527" s="383"/>
      <c r="G527" s="383"/>
      <c r="H527" s="383"/>
      <c r="I527" s="385" t="b">
        <v>1</v>
      </c>
      <c r="J527" s="386" t="s">
        <v>12447</v>
      </c>
    </row>
    <row r="528" spans="1:10">
      <c r="A528" s="383" t="str">
        <f>CONCATENATE("Reviewed on"," ",(TEXT('2022-2023 Applications Review'!$A528, "mm/dd/yyyy")))</f>
        <v>Reviewed on 08/16/2022</v>
      </c>
      <c r="B528" s="383" t="str">
        <f>'2022-2023 Applications Review'!B528</f>
        <v>Finuprise _2022</v>
      </c>
      <c r="C528" s="383" t="str">
        <f>'2022-2023 Applications Review'!E528</f>
        <v>Digital Tech</v>
      </c>
      <c r="D528" s="384" t="str">
        <f>'2022-2023 Applications Review'!Q528</f>
        <v>Invite Next Year</v>
      </c>
      <c r="E528" s="383"/>
      <c r="F528" s="383"/>
      <c r="G528" s="383"/>
      <c r="H528" s="383"/>
      <c r="I528" s="385" t="b">
        <v>1</v>
      </c>
      <c r="J528" s="386" t="s">
        <v>12448</v>
      </c>
    </row>
    <row r="529" spans="1:10">
      <c r="A529" s="383" t="str">
        <f>CONCATENATE("Reviewed on"," ",(TEXT('2022-2023 Applications Review'!$A529, "mm/dd/yyyy")))</f>
        <v>Reviewed on 08/16/2022</v>
      </c>
      <c r="B529" s="383" t="str">
        <f>'2022-2023 Applications Review'!B529</f>
        <v>IN-HOUSE _2022</v>
      </c>
      <c r="C529" s="383" t="str">
        <f>'2022-2023 Applications Review'!E529</f>
        <v>Digital Tech</v>
      </c>
      <c r="D529" s="384" t="str">
        <f>'2022-2023 Applications Review'!Q529</f>
        <v>Invite Next Year</v>
      </c>
      <c r="E529" s="383"/>
      <c r="F529" s="383"/>
      <c r="G529" s="383"/>
      <c r="H529" s="383"/>
      <c r="I529" s="385" t="b">
        <v>1</v>
      </c>
      <c r="J529" s="386" t="s">
        <v>12449</v>
      </c>
    </row>
    <row r="530" spans="1:10">
      <c r="A530" s="383" t="str">
        <f>CONCATENATE("Reviewed on"," ",(TEXT('2022-2023 Applications Review'!$A530, "mm/dd/yyyy")))</f>
        <v>Reviewed on 08/16/2022</v>
      </c>
      <c r="B530" s="383" t="str">
        <f>'2022-2023 Applications Review'!B530</f>
        <v>FynCom _2022</v>
      </c>
      <c r="C530" s="383" t="str">
        <f>'2022-2023 Applications Review'!E530</f>
        <v>Digital Tech</v>
      </c>
      <c r="D530" s="384" t="str">
        <f>'2022-2023 Applications Review'!Q530</f>
        <v>Invite Next Year</v>
      </c>
      <c r="E530" s="383"/>
      <c r="F530" s="383"/>
      <c r="G530" s="383"/>
      <c r="H530" s="383"/>
      <c r="I530" s="385" t="b">
        <v>1</v>
      </c>
      <c r="J530" s="386" t="s">
        <v>12450</v>
      </c>
    </row>
    <row r="531" spans="1:10">
      <c r="A531" s="383" t="str">
        <f>CONCATENATE("Reviewed on"," ",(TEXT('2022-2023 Applications Review'!$A531, "mm/dd/yyyy")))</f>
        <v>Reviewed on 08/16/2022</v>
      </c>
      <c r="B531" s="383" t="str">
        <f>'2022-2023 Applications Review'!B531</f>
        <v>Boxes.im Inc dba Boxes Email _2022</v>
      </c>
      <c r="C531" s="383" t="str">
        <f>'2022-2023 Applications Review'!E531</f>
        <v>Digital Tech</v>
      </c>
      <c r="D531" s="384" t="str">
        <f>'2022-2023 Applications Review'!Q531</f>
        <v>Invite Next Year</v>
      </c>
      <c r="E531" s="383"/>
      <c r="F531" s="383"/>
      <c r="G531" s="383"/>
      <c r="H531" s="383"/>
      <c r="I531" s="385" t="b">
        <v>1</v>
      </c>
      <c r="J531" s="386" t="s">
        <v>12451</v>
      </c>
    </row>
    <row r="532" spans="1:10">
      <c r="A532" s="383" t="str">
        <f>CONCATENATE("Reviewed on"," ",(TEXT('2022-2023 Applications Review'!$A532, "mm/dd/yyyy")))</f>
        <v>Reviewed on 08/16/2022</v>
      </c>
      <c r="B532" s="383" t="str">
        <f>'2022-2023 Applications Review'!B532</f>
        <v>ChoroPharma, LLC _2022</v>
      </c>
      <c r="C532" s="383" t="str">
        <f>'2022-2023 Applications Review'!E532</f>
        <v>Life Sciences</v>
      </c>
      <c r="D532" s="384" t="str">
        <f>'2022-2023 Applications Review'!Q532</f>
        <v>Invite Next Year</v>
      </c>
      <c r="E532" s="383"/>
      <c r="F532" s="383"/>
      <c r="G532" s="383"/>
      <c r="H532" s="383"/>
      <c r="I532" s="385" t="b">
        <v>1</v>
      </c>
      <c r="J532" s="386" t="s">
        <v>12452</v>
      </c>
    </row>
    <row r="533" spans="1:10">
      <c r="A533" s="383" t="str">
        <f>CONCATENATE("Reviewed on"," ",(TEXT('2022-2023 Applications Review'!$A533, "mm/dd/yyyy")))</f>
        <v>Reviewed on 08/16/2022</v>
      </c>
      <c r="B533" s="383" t="str">
        <f>'2022-2023 Applications Review'!B533</f>
        <v>Studentocity _2022</v>
      </c>
      <c r="C533" s="383" t="str">
        <f>'2022-2023 Applications Review'!E533</f>
        <v>Digital Tech</v>
      </c>
      <c r="D533" s="384" t="str">
        <f>'2022-2023 Applications Review'!Q533</f>
        <v>Invite Next Year</v>
      </c>
      <c r="E533" s="383"/>
      <c r="F533" s="383"/>
      <c r="G533" s="383"/>
      <c r="H533" s="383"/>
      <c r="I533" s="385" t="b">
        <v>1</v>
      </c>
      <c r="J533" s="386" t="s">
        <v>12453</v>
      </c>
    </row>
    <row r="534" spans="1:10">
      <c r="A534" s="383" t="str">
        <f>CONCATENATE("Reviewed on"," ",(TEXT('2022-2023 Applications Review'!$A534, "mm/dd/yyyy")))</f>
        <v>Reviewed on 08/16/2022</v>
      </c>
      <c r="B534" s="383" t="str">
        <f>'2022-2023 Applications Review'!B534</f>
        <v>Perfect Color Ventures LLC _2022</v>
      </c>
      <c r="C534" s="383" t="str">
        <f>'2022-2023 Applications Review'!E534</f>
        <v>Deep Tech</v>
      </c>
      <c r="D534" s="384" t="str">
        <f>'2022-2023 Applications Review'!Q534</f>
        <v>Invite Next Year</v>
      </c>
      <c r="E534" s="383"/>
      <c r="F534" s="383"/>
      <c r="G534" s="383"/>
      <c r="H534" s="383"/>
      <c r="I534" s="385" t="b">
        <v>1</v>
      </c>
      <c r="J534" s="386" t="s">
        <v>12454</v>
      </c>
    </row>
    <row r="535" spans="1:10">
      <c r="A535" s="383" t="str">
        <f>CONCATENATE("Reviewed on"," ",(TEXT('2022-2023 Applications Review'!$A535, "mm/dd/yyyy")))</f>
        <v>Reviewed on 08/16/2022</v>
      </c>
      <c r="B535" s="383" t="str">
        <f>'2022-2023 Applications Review'!B535</f>
        <v>Dista Inc. _2022</v>
      </c>
      <c r="C535" s="383" t="str">
        <f>'2022-2023 Applications Review'!E535</f>
        <v>Digital Tech</v>
      </c>
      <c r="D535" s="384" t="str">
        <f>'2022-2023 Applications Review'!Q535</f>
        <v>Invite Next Year</v>
      </c>
      <c r="E535" s="383"/>
      <c r="F535" s="383"/>
      <c r="G535" s="383"/>
      <c r="H535" s="383"/>
      <c r="I535" s="385" t="b">
        <v>1</v>
      </c>
      <c r="J535" s="386" t="s">
        <v>12455</v>
      </c>
    </row>
    <row r="536" spans="1:10">
      <c r="A536" s="383" t="str">
        <f>CONCATENATE("Reviewed on"," ",(TEXT('2022-2023 Applications Review'!$A536, "mm/dd/yyyy")))</f>
        <v>Reviewed on 08/16/2022</v>
      </c>
      <c r="B536" s="383" t="str">
        <f>'2022-2023 Applications Review'!B536</f>
        <v>To be determined (TBD)  _2022</v>
      </c>
      <c r="C536" s="383" t="str">
        <f>'2022-2023 Applications Review'!E536</f>
        <v>Digital Tech</v>
      </c>
      <c r="D536" s="384" t="str">
        <f>'2022-2023 Applications Review'!Q536</f>
        <v>Invite Next Year</v>
      </c>
      <c r="E536" s="383"/>
      <c r="F536" s="383"/>
      <c r="G536" s="383"/>
      <c r="H536" s="383"/>
      <c r="I536" s="385" t="b">
        <v>1</v>
      </c>
      <c r="J536" s="386" t="s">
        <v>12456</v>
      </c>
    </row>
    <row r="537" spans="1:10">
      <c r="A537" s="383" t="str">
        <f>CONCATENATE("Reviewed on"," ",(TEXT('2022-2023 Applications Review'!$A537, "mm/dd/yyyy")))</f>
        <v>Reviewed on 08/16/2022</v>
      </c>
      <c r="B537" s="383" t="str">
        <f>'2022-2023 Applications Review'!B537</f>
        <v>CFIT _2022</v>
      </c>
      <c r="C537" s="383" t="str">
        <f>'2022-2023 Applications Review'!E537</f>
        <v>Life Sciences</v>
      </c>
      <c r="D537" s="384" t="str">
        <f>'2022-2023 Applications Review'!Q537</f>
        <v>Invite Next Year</v>
      </c>
      <c r="E537" s="383"/>
      <c r="F537" s="383"/>
      <c r="G537" s="383"/>
      <c r="H537" s="383"/>
      <c r="I537" s="385" t="b">
        <v>1</v>
      </c>
      <c r="J537" s="386" t="s">
        <v>12457</v>
      </c>
    </row>
    <row r="538" spans="1:10">
      <c r="A538" s="383" t="str">
        <f>CONCATENATE("Reviewed on"," ",(TEXT('2022-2023 Applications Review'!$A538, "mm/dd/yyyy")))</f>
        <v>Reviewed on 08/16/2022</v>
      </c>
      <c r="B538" s="383" t="str">
        <f>'2022-2023 Applications Review'!B538</f>
        <v>POMdesk _2022</v>
      </c>
      <c r="C538" s="383" t="str">
        <f>'2022-2023 Applications Review'!E538</f>
        <v>Digital Tech</v>
      </c>
      <c r="D538" s="384" t="str">
        <f>'2022-2023 Applications Review'!Q538</f>
        <v>Invite Next Year</v>
      </c>
      <c r="E538" s="383"/>
      <c r="F538" s="383"/>
      <c r="G538" s="383"/>
      <c r="H538" s="383"/>
      <c r="I538" s="385" t="b">
        <v>1</v>
      </c>
      <c r="J538" s="386" t="s">
        <v>12458</v>
      </c>
    </row>
    <row r="539" spans="1:10">
      <c r="A539" s="383" t="str">
        <f>CONCATENATE("Reviewed on"," ",(TEXT('2022-2023 Applications Review'!$A539, "mm/dd/yyyy")))</f>
        <v>Reviewed on 08/16/2022</v>
      </c>
      <c r="B539" s="383" t="str">
        <f>'2022-2023 Applications Review'!B539</f>
        <v>Syntience Inc _2022</v>
      </c>
      <c r="C539" s="383" t="str">
        <f>'2022-2023 Applications Review'!E539</f>
        <v>Digital Tech</v>
      </c>
      <c r="D539" s="384" t="str">
        <f>'2022-2023 Applications Review'!Q539</f>
        <v>Invite Next Year</v>
      </c>
      <c r="E539" s="383"/>
      <c r="F539" s="383"/>
      <c r="G539" s="383"/>
      <c r="H539" s="383"/>
      <c r="I539" s="385" t="b">
        <v>1</v>
      </c>
      <c r="J539" s="386" t="s">
        <v>12459</v>
      </c>
    </row>
    <row r="540" spans="1:10">
      <c r="A540" s="383" t="str">
        <f>CONCATENATE("Reviewed on"," ",(TEXT('2022-2023 Applications Review'!$A540, "mm/dd/yyyy")))</f>
        <v>Reviewed on 08/16/2022</v>
      </c>
      <c r="B540" s="383" t="str">
        <f>'2022-2023 Applications Review'!B540</f>
        <v>Monetized _2022</v>
      </c>
      <c r="C540" s="383" t="str">
        <f>'2022-2023 Applications Review'!E540</f>
        <v>Digital Tech</v>
      </c>
      <c r="D540" s="384" t="str">
        <f>'2022-2023 Applications Review'!Q540</f>
        <v>Invite Next Year</v>
      </c>
      <c r="E540" s="383"/>
      <c r="F540" s="383"/>
      <c r="G540" s="383"/>
      <c r="H540" s="383"/>
      <c r="I540" s="385" t="b">
        <v>1</v>
      </c>
      <c r="J540" s="386" t="s">
        <v>12460</v>
      </c>
    </row>
    <row r="541" spans="1:10">
      <c r="A541" s="383" t="str">
        <f>CONCATENATE("Reviewed on"," ",(TEXT('2022-2023 Applications Review'!$A541, "mm/dd/yyyy")))</f>
        <v>Reviewed on 08/16/2022</v>
      </c>
      <c r="B541" s="383" t="str">
        <f>'2022-2023 Applications Review'!B541</f>
        <v>Kara _2022</v>
      </c>
      <c r="C541" s="383" t="str">
        <f>'2022-2023 Applications Review'!E541</f>
        <v>Life Sciences</v>
      </c>
      <c r="D541" s="384" t="str">
        <f>'2022-2023 Applications Review'!Q541</f>
        <v>Invite Next Year</v>
      </c>
      <c r="E541" s="383"/>
      <c r="F541" s="383"/>
      <c r="G541" s="383"/>
      <c r="H541" s="383"/>
      <c r="I541" s="385" t="b">
        <v>1</v>
      </c>
      <c r="J541" s="386" t="s">
        <v>12461</v>
      </c>
    </row>
    <row r="542" spans="1:10">
      <c r="A542" s="383" t="str">
        <f>CONCATENATE("Reviewed on"," ",(TEXT('2022-2023 Applications Review'!$A542, "mm/dd/yyyy")))</f>
        <v>Reviewed on 08/16/2022</v>
      </c>
      <c r="B542" s="383" t="str">
        <f>'2022-2023 Applications Review'!B542</f>
        <v>Ndal Mfg Inc., Biofilm Medical _2022</v>
      </c>
      <c r="C542" s="383" t="str">
        <f>'2022-2023 Applications Review'!E542</f>
        <v>Life Sciences</v>
      </c>
      <c r="D542" s="384" t="str">
        <f>'2022-2023 Applications Review'!Q542</f>
        <v>Invite Next Year</v>
      </c>
      <c r="E542" s="383"/>
      <c r="F542" s="383"/>
      <c r="G542" s="383"/>
      <c r="H542" s="383"/>
      <c r="I542" s="385" t="b">
        <v>1</v>
      </c>
      <c r="J542" s="386" t="s">
        <v>12462</v>
      </c>
    </row>
    <row r="543" spans="1:10">
      <c r="A543" s="383" t="str">
        <f>CONCATENATE("Reviewed on"," ",(TEXT('2022-2023 Applications Review'!$A543, "mm/dd/yyyy")))</f>
        <v>Reviewed on 08/16/2022</v>
      </c>
      <c r="B543" s="383" t="str">
        <f>'2022-2023 Applications Review'!B543</f>
        <v>sustaident _2022</v>
      </c>
      <c r="C543" s="383" t="str">
        <f>'2022-2023 Applications Review'!E543</f>
        <v>Life Sciences</v>
      </c>
      <c r="D543" s="384" t="str">
        <f>'2022-2023 Applications Review'!Q543</f>
        <v>Invite Next Year</v>
      </c>
      <c r="E543" s="383"/>
      <c r="F543" s="383"/>
      <c r="G543" s="383"/>
      <c r="H543" s="383"/>
      <c r="I543" s="385" t="b">
        <v>1</v>
      </c>
      <c r="J543" s="386" t="s">
        <v>12463</v>
      </c>
    </row>
    <row r="544" spans="1:10">
      <c r="A544" s="383" t="str">
        <f>CONCATENATE("Reviewed on"," ",(TEXT('2022-2023 Applications Review'!$A544, "mm/dd/yyyy")))</f>
        <v>Reviewed on 08/18/2022</v>
      </c>
      <c r="B544" s="383" t="str">
        <f>'2022-2023 Applications Review'!B544</f>
        <v>EydisBio, Inc. _2022</v>
      </c>
      <c r="C544" s="383" t="str">
        <f>'2022-2023 Applications Review'!E544</f>
        <v>Life Sciences</v>
      </c>
      <c r="D544" s="384" t="str">
        <f>'2022-2023 Applications Review'!Q544</f>
        <v>Invite</v>
      </c>
      <c r="E544" s="383"/>
      <c r="F544" s="383"/>
      <c r="G544" s="383"/>
      <c r="H544" s="383"/>
      <c r="I544" s="385" t="b">
        <v>1</v>
      </c>
      <c r="J544" s="386" t="s">
        <v>12464</v>
      </c>
    </row>
    <row r="545" spans="1:10">
      <c r="A545" s="383" t="str">
        <f>CONCATENATE("Reviewed on"," ",(TEXT('2022-2023 Applications Review'!$A545, "mm/dd/yyyy")))</f>
        <v>Reviewed on 08/18/2022</v>
      </c>
      <c r="B545" s="383" t="str">
        <f>'2022-2023 Applications Review'!B545</f>
        <v>Portcast _2022</v>
      </c>
      <c r="C545" s="383" t="str">
        <f>'2022-2023 Applications Review'!E545</f>
        <v>Digital Tech</v>
      </c>
      <c r="D545" s="384" t="str">
        <f>'2022-2023 Applications Review'!Q545</f>
        <v>Invite</v>
      </c>
      <c r="E545" s="383"/>
      <c r="F545" s="383"/>
      <c r="G545" s="383"/>
      <c r="H545" s="383"/>
      <c r="I545" s="385" t="b">
        <v>1</v>
      </c>
      <c r="J545" s="386" t="s">
        <v>12465</v>
      </c>
    </row>
    <row r="546" spans="1:10">
      <c r="A546" s="383" t="str">
        <f>CONCATENATE("Reviewed on"," ",(TEXT('2022-2023 Applications Review'!$A546, "mm/dd/yyyy")))</f>
        <v>Reviewed on 08/18/2022</v>
      </c>
      <c r="B546" s="383" t="str">
        <f>'2022-2023 Applications Review'!B546</f>
        <v>Sachi Bioworks Inc _2022</v>
      </c>
      <c r="C546" s="383" t="str">
        <f>'2022-2023 Applications Review'!E546</f>
        <v>Life Sciences</v>
      </c>
      <c r="D546" s="384" t="str">
        <f>'2022-2023 Applications Review'!Q546</f>
        <v>Invite</v>
      </c>
      <c r="E546" s="383"/>
      <c r="F546" s="383"/>
      <c r="G546" s="383"/>
      <c r="H546" s="383"/>
      <c r="I546" s="385" t="b">
        <v>1</v>
      </c>
      <c r="J546" s="386" t="s">
        <v>12466</v>
      </c>
    </row>
    <row r="547" spans="1:10">
      <c r="A547" s="383" t="str">
        <f>CONCATENATE("Reviewed on"," ",(TEXT('2022-2023 Applications Review'!$A547, "mm/dd/yyyy")))</f>
        <v>Reviewed on 08/18/2022</v>
      </c>
      <c r="B547" s="383" t="str">
        <f>'2022-2023 Applications Review'!B547</f>
        <v>VentriFlo, Inc. _2022</v>
      </c>
      <c r="C547" s="383" t="str">
        <f>'2022-2023 Applications Review'!E547</f>
        <v>Deep Tech</v>
      </c>
      <c r="D547" s="384" t="str">
        <f>'2022-2023 Applications Review'!Q547</f>
        <v>Invite</v>
      </c>
      <c r="E547" s="383"/>
      <c r="F547" s="383"/>
      <c r="G547" s="383"/>
      <c r="H547" s="383"/>
      <c r="I547" s="385" t="b">
        <v>1</v>
      </c>
      <c r="J547" s="386" t="s">
        <v>12467</v>
      </c>
    </row>
    <row r="548" spans="1:10">
      <c r="A548" s="383" t="str">
        <f>CONCATENATE("Reviewed on"," ",(TEXT('2022-2023 Applications Review'!$A548, "mm/dd/yyyy")))</f>
        <v>Reviewed on 08/18/2022</v>
      </c>
      <c r="B548" s="383" t="str">
        <f>'2022-2023 Applications Review'!B548</f>
        <v>AiRANACULUS _2022</v>
      </c>
      <c r="C548" s="383" t="str">
        <f>'2022-2023 Applications Review'!E548</f>
        <v>Digital Tech</v>
      </c>
      <c r="D548" s="384" t="str">
        <f>'2022-2023 Applications Review'!Q548</f>
        <v>Invite</v>
      </c>
      <c r="E548" s="383"/>
      <c r="F548" s="383"/>
      <c r="G548" s="383"/>
      <c r="H548" s="383"/>
      <c r="I548" s="385" t="b">
        <v>1</v>
      </c>
      <c r="J548" s="386" t="s">
        <v>12468</v>
      </c>
    </row>
    <row r="549" spans="1:10">
      <c r="A549" s="383" t="str">
        <f>CONCATENATE("Reviewed on"," ",(TEXT('2022-2023 Applications Review'!$A549, "mm/dd/yyyy")))</f>
        <v>Reviewed on 08/18/2022</v>
      </c>
      <c r="B549" s="383" t="str">
        <f>'2022-2023 Applications Review'!B549</f>
        <v>iQure Pharma Inc _2022</v>
      </c>
      <c r="C549" s="383" t="str">
        <f>'2022-2023 Applications Review'!E549</f>
        <v>Life Sciences</v>
      </c>
      <c r="D549" s="384" t="str">
        <f>'2022-2023 Applications Review'!Q549</f>
        <v>Invite</v>
      </c>
      <c r="E549" s="383"/>
      <c r="F549" s="383"/>
      <c r="G549" s="383"/>
      <c r="H549" s="383"/>
      <c r="I549" s="385" t="b">
        <v>1</v>
      </c>
      <c r="J549" s="386" t="s">
        <v>12469</v>
      </c>
    </row>
    <row r="550" spans="1:10">
      <c r="A550" s="383" t="str">
        <f>CONCATENATE("Reviewed on"," ",(TEXT('2022-2023 Applications Review'!$A550, "mm/dd/yyyy")))</f>
        <v>Reviewed on 08/18/2022</v>
      </c>
      <c r="B550" s="383" t="str">
        <f>'2022-2023 Applications Review'!B550</f>
        <v>InvivoSciences, Inc. _2022</v>
      </c>
      <c r="C550" s="383" t="str">
        <f>'2022-2023 Applications Review'!E550</f>
        <v>Life Sciences</v>
      </c>
      <c r="D550" s="384" t="str">
        <f>'2022-2023 Applications Review'!Q550</f>
        <v>Invite</v>
      </c>
      <c r="E550" s="383"/>
      <c r="F550" s="383"/>
      <c r="G550" s="383"/>
      <c r="H550" s="383"/>
      <c r="I550" s="385" t="b">
        <v>1</v>
      </c>
      <c r="J550" s="386" t="s">
        <v>12470</v>
      </c>
    </row>
    <row r="551" spans="1:10">
      <c r="A551" s="383" t="str">
        <f>CONCATENATE("Reviewed on"," ",(TEXT('2022-2023 Applications Review'!$A551, "mm/dd/yyyy")))</f>
        <v>Reviewed on 08/18/2022</v>
      </c>
      <c r="B551" s="383" t="str">
        <f>'2022-2023 Applications Review'!B551</f>
        <v>LEVEL 42 AI, INC _2022</v>
      </c>
      <c r="C551" s="383" t="str">
        <f>'2022-2023 Applications Review'!E551</f>
        <v>Deep Tech</v>
      </c>
      <c r="D551" s="384" t="str">
        <f>'2022-2023 Applications Review'!Q551</f>
        <v>Invite</v>
      </c>
      <c r="E551" s="383"/>
      <c r="F551" s="383"/>
      <c r="G551" s="383"/>
      <c r="H551" s="383"/>
      <c r="I551" s="385" t="b">
        <v>1</v>
      </c>
      <c r="J551" s="386" t="s">
        <v>12471</v>
      </c>
    </row>
    <row r="552" spans="1:10">
      <c r="A552" s="383" t="str">
        <f>CONCATENATE("Reviewed on"," ",(TEXT('2022-2023 Applications Review'!$A552, "mm/dd/yyyy")))</f>
        <v>Reviewed on 08/18/2022</v>
      </c>
      <c r="B552" s="383" t="str">
        <f>'2022-2023 Applications Review'!B552</f>
        <v>LiveCare _2022</v>
      </c>
      <c r="C552" s="383" t="str">
        <f>'2022-2023 Applications Review'!E552</f>
        <v>Digital Tech</v>
      </c>
      <c r="D552" s="384" t="str">
        <f>'2022-2023 Applications Review'!Q552</f>
        <v>Invite</v>
      </c>
      <c r="E552" s="383"/>
      <c r="F552" s="383"/>
      <c r="G552" s="383"/>
      <c r="H552" s="383"/>
      <c r="I552" s="385" t="b">
        <v>1</v>
      </c>
      <c r="J552" s="386" t="s">
        <v>12472</v>
      </c>
    </row>
    <row r="553" spans="1:10">
      <c r="A553" s="383" t="str">
        <f>CONCATENATE("Reviewed on"," ",(TEXT('2022-2023 Applications Review'!$A553, "mm/dd/yyyy")))</f>
        <v>Reviewed on 08/18/2022</v>
      </c>
      <c r="B553" s="383" t="str">
        <f>'2022-2023 Applications Review'!B553</f>
        <v>QurCan Therapeutics Inc. _2022</v>
      </c>
      <c r="C553" s="383" t="str">
        <f>'2022-2023 Applications Review'!E553</f>
        <v>Life Sciences</v>
      </c>
      <c r="D553" s="384" t="str">
        <f>'2022-2023 Applications Review'!Q553</f>
        <v>Invite</v>
      </c>
      <c r="E553" s="383"/>
      <c r="F553" s="383"/>
      <c r="G553" s="383"/>
      <c r="H553" s="383"/>
      <c r="I553" s="385" t="b">
        <v>1</v>
      </c>
      <c r="J553" s="386" t="s">
        <v>12473</v>
      </c>
    </row>
    <row r="554" spans="1:10">
      <c r="A554" s="383" t="str">
        <f>CONCATENATE("Reviewed on"," ",(TEXT('2022-2023 Applications Review'!$A554, "mm/dd/yyyy")))</f>
        <v>Reviewed on 08/18/2022</v>
      </c>
      <c r="B554" s="383" t="str">
        <f>'2022-2023 Applications Review'!B554</f>
        <v>Enteligent Inc. _2022</v>
      </c>
      <c r="C554" s="383" t="str">
        <f>'2022-2023 Applications Review'!E554</f>
        <v>Deep Tech</v>
      </c>
      <c r="D554" s="384" t="str">
        <f>'2022-2023 Applications Review'!Q554</f>
        <v>Invite</v>
      </c>
      <c r="E554" s="383"/>
      <c r="F554" s="383"/>
      <c r="G554" s="383"/>
      <c r="H554" s="383"/>
      <c r="I554" s="385" t="b">
        <v>1</v>
      </c>
      <c r="J554" s="386" t="s">
        <v>12474</v>
      </c>
    </row>
    <row r="555" spans="1:10">
      <c r="A555" s="383" t="str">
        <f>CONCATENATE("Reviewed on"," ",(TEXT('2022-2023 Applications Review'!$A555, "mm/dd/yyyy")))</f>
        <v>Reviewed on 08/18/2022</v>
      </c>
      <c r="B555" s="383" t="str">
        <f>'2022-2023 Applications Review'!B555</f>
        <v>Metalmark Innovations PBC _2022</v>
      </c>
      <c r="C555" s="383" t="str">
        <f>'2022-2023 Applications Review'!E555</f>
        <v>Deep Tech</v>
      </c>
      <c r="D555" s="384" t="str">
        <f>'2022-2023 Applications Review'!Q555</f>
        <v>Invite</v>
      </c>
      <c r="E555" s="383"/>
      <c r="F555" s="383"/>
      <c r="G555" s="383"/>
      <c r="H555" s="383"/>
      <c r="I555" s="385" t="b">
        <v>1</v>
      </c>
      <c r="J555" s="386" t="s">
        <v>12475</v>
      </c>
    </row>
    <row r="556" spans="1:10">
      <c r="A556" s="383" t="str">
        <f>CONCATENATE("Reviewed on"," ",(TEXT('2022-2023 Applications Review'!$A556, "mm/dd/yyyy")))</f>
        <v>Reviewed on 08/18/2022</v>
      </c>
      <c r="B556" s="383" t="str">
        <f>'2022-2023 Applications Review'!B556</f>
        <v>LEVI Diagnostics, Inc. _2022</v>
      </c>
      <c r="C556" s="383" t="str">
        <f>'2022-2023 Applications Review'!E556</f>
        <v>Life Sciences</v>
      </c>
      <c r="D556" s="384" t="str">
        <f>'2022-2023 Applications Review'!Q556</f>
        <v>Invite</v>
      </c>
      <c r="E556" s="383"/>
      <c r="F556" s="383"/>
      <c r="G556" s="383"/>
      <c r="H556" s="383"/>
      <c r="I556" s="385" t="b">
        <v>1</v>
      </c>
      <c r="J556" s="386" t="s">
        <v>12476</v>
      </c>
    </row>
    <row r="557" spans="1:10">
      <c r="A557" s="383" t="str">
        <f>CONCATENATE("Reviewed on"," ",(TEXT('2022-2023 Applications Review'!$A557, "mm/dd/yyyy")))</f>
        <v>Reviewed on 08/18/2022</v>
      </c>
      <c r="B557" s="383" t="str">
        <f>'2022-2023 Applications Review'!B557</f>
        <v>Panakeia Technolgies Ltd _2022</v>
      </c>
      <c r="C557" s="383" t="str">
        <f>'2022-2023 Applications Review'!E557</f>
        <v>Life Sciences</v>
      </c>
      <c r="D557" s="384" t="str">
        <f>'2022-2023 Applications Review'!Q557</f>
        <v>Invite</v>
      </c>
      <c r="E557" s="383"/>
      <c r="F557" s="383"/>
      <c r="G557" s="383"/>
      <c r="H557" s="383"/>
      <c r="I557" s="385" t="b">
        <v>1</v>
      </c>
      <c r="J557" s="386" t="s">
        <v>12477</v>
      </c>
    </row>
    <row r="558" spans="1:10">
      <c r="A558" s="383" t="str">
        <f>CONCATENATE("Reviewed on"," ",(TEXT('2022-2023 Applications Review'!$A558, "mm/dd/yyyy")))</f>
        <v>Reviewed on 08/18/2022</v>
      </c>
      <c r="B558" s="383" t="str">
        <f>'2022-2023 Applications Review'!B558</f>
        <v>Vyv _2022</v>
      </c>
      <c r="C558" s="383" t="str">
        <f>'2022-2023 Applications Review'!E558</f>
        <v>Deep Tech</v>
      </c>
      <c r="D558" s="384" t="str">
        <f>'2022-2023 Applications Review'!Q558</f>
        <v>Revisit</v>
      </c>
      <c r="E558" s="383"/>
      <c r="F558" s="383"/>
      <c r="G558" s="383"/>
      <c r="H558" s="383"/>
      <c r="I558" s="385" t="b">
        <v>1</v>
      </c>
      <c r="J558" s="386" t="s">
        <v>12478</v>
      </c>
    </row>
    <row r="559" spans="1:10">
      <c r="A559" s="383" t="str">
        <f>CONCATENATE("Reviewed on"," ",(TEXT('2022-2023 Applications Review'!$A559, "mm/dd/yyyy")))</f>
        <v>Reviewed on 08/18/2022</v>
      </c>
      <c r="B559" s="383" t="str">
        <f>'2022-2023 Applications Review'!B559</f>
        <v>Abram Scientific, Inc. _2022</v>
      </c>
      <c r="C559" s="383" t="str">
        <f>'2022-2023 Applications Review'!E559</f>
        <v>Life Sciences</v>
      </c>
      <c r="D559" s="384" t="str">
        <f>'2022-2023 Applications Review'!Q559</f>
        <v>Invite</v>
      </c>
      <c r="E559" s="383"/>
      <c r="F559" s="383"/>
      <c r="G559" s="383"/>
      <c r="H559" s="383"/>
      <c r="I559" s="385" t="b">
        <v>1</v>
      </c>
      <c r="J559" s="386" t="s">
        <v>12479</v>
      </c>
    </row>
    <row r="560" spans="1:10">
      <c r="A560" s="383" t="str">
        <f>CONCATENATE("Reviewed on"," ",(TEXT('2022-2023 Applications Review'!$A560, "mm/dd/yyyy")))</f>
        <v>Reviewed on 08/18/2022</v>
      </c>
      <c r="B560" s="383" t="str">
        <f>'2022-2023 Applications Review'!B560</f>
        <v>Beowulf Network Inc. _2022</v>
      </c>
      <c r="C560" s="383" t="str">
        <f>'2022-2023 Applications Review'!E560</f>
        <v>Digital Tech</v>
      </c>
      <c r="D560" s="384" t="str">
        <f>'2022-2023 Applications Review'!Q560</f>
        <v>Invite</v>
      </c>
      <c r="E560" s="383"/>
      <c r="F560" s="383"/>
      <c r="G560" s="383"/>
      <c r="H560" s="383"/>
      <c r="I560" s="385" t="b">
        <v>1</v>
      </c>
      <c r="J560" s="386" t="s">
        <v>12480</v>
      </c>
    </row>
    <row r="561" spans="1:10">
      <c r="A561" s="383" t="str">
        <f>CONCATENATE("Reviewed on"," ",(TEXT('2022-2023 Applications Review'!$A561, "mm/dd/yyyy")))</f>
        <v>Reviewed on 08/18/2022</v>
      </c>
      <c r="B561" s="383" t="str">
        <f>'2022-2023 Applications Review'!B561</f>
        <v>Inso Biosciences Inc. _2022</v>
      </c>
      <c r="C561" s="383" t="str">
        <f>'2022-2023 Applications Review'!E561</f>
        <v>Life Sciences</v>
      </c>
      <c r="D561" s="384" t="str">
        <f>'2022-2023 Applications Review'!Q561</f>
        <v>Invite</v>
      </c>
      <c r="E561" s="383"/>
      <c r="F561" s="383"/>
      <c r="G561" s="383"/>
      <c r="H561" s="383"/>
      <c r="I561" s="385" t="b">
        <v>1</v>
      </c>
      <c r="J561" s="386" t="s">
        <v>12481</v>
      </c>
    </row>
    <row r="562" spans="1:10">
      <c r="A562" s="383" t="str">
        <f>CONCATENATE("Reviewed on"," ",(TEXT('2022-2023 Applications Review'!$A562, "mm/dd/yyyy")))</f>
        <v>Reviewed on 08/18/2022</v>
      </c>
      <c r="B562" s="383" t="str">
        <f>'2022-2023 Applications Review'!B562</f>
        <v>Artificial Intelligence Imaging Sensors (AiimSense Inc.) _2022</v>
      </c>
      <c r="C562" s="383" t="str">
        <f>'2022-2023 Applications Review'!E562</f>
        <v>Deep Tech</v>
      </c>
      <c r="D562" s="384" t="str">
        <f>'2022-2023 Applications Review'!Q562</f>
        <v>Invite</v>
      </c>
      <c r="E562" s="383"/>
      <c r="F562" s="383"/>
      <c r="G562" s="383"/>
      <c r="H562" s="383"/>
      <c r="I562" s="385" t="b">
        <v>1</v>
      </c>
      <c r="J562" s="386" t="s">
        <v>12482</v>
      </c>
    </row>
    <row r="563" spans="1:10">
      <c r="A563" s="383" t="str">
        <f>CONCATENATE("Reviewed on"," ",(TEXT('2022-2023 Applications Review'!$A563, "mm/dd/yyyy")))</f>
        <v>Reviewed on 08/18/2022</v>
      </c>
      <c r="B563" s="383" t="str">
        <f>'2022-2023 Applications Review'!B563</f>
        <v>MindRank _2022</v>
      </c>
      <c r="C563" s="383" t="str">
        <f>'2022-2023 Applications Review'!E563</f>
        <v>Life Sciences</v>
      </c>
      <c r="D563" s="384" t="str">
        <f>'2022-2023 Applications Review'!Q563</f>
        <v>Invite</v>
      </c>
      <c r="E563" s="383"/>
      <c r="F563" s="383"/>
      <c r="G563" s="383"/>
      <c r="H563" s="383"/>
      <c r="I563" s="385" t="b">
        <v>1</v>
      </c>
      <c r="J563" s="386" t="s">
        <v>12483</v>
      </c>
    </row>
    <row r="564" spans="1:10">
      <c r="A564" s="383" t="str">
        <f>CONCATENATE("Reviewed on"," ",(TEXT('2022-2023 Applications Review'!$A564, "mm/dd/yyyy")))</f>
        <v>Reviewed on 08/18/2022</v>
      </c>
      <c r="B564" s="383" t="str">
        <f>'2022-2023 Applications Review'!B564</f>
        <v>inHEART _2022</v>
      </c>
      <c r="C564" s="383" t="str">
        <f>'2022-2023 Applications Review'!E564</f>
        <v>Digital Tech</v>
      </c>
      <c r="D564" s="384" t="str">
        <f>'2022-2023 Applications Review'!Q564</f>
        <v>Invite</v>
      </c>
      <c r="E564" s="383"/>
      <c r="F564" s="383"/>
      <c r="G564" s="383"/>
      <c r="H564" s="383"/>
      <c r="I564" s="385" t="b">
        <v>1</v>
      </c>
      <c r="J564" s="386" t="s">
        <v>12484</v>
      </c>
    </row>
    <row r="565" spans="1:10">
      <c r="A565" s="383" t="str">
        <f>CONCATENATE("Reviewed on"," ",(TEXT('2022-2023 Applications Review'!$A565, "mm/dd/yyyy")))</f>
        <v>Reviewed on 08/18/2022</v>
      </c>
      <c r="B565" s="383" t="str">
        <f>'2022-2023 Applications Review'!B565</f>
        <v>PRP Concepts, Inc. _2022</v>
      </c>
      <c r="C565" s="383" t="str">
        <f>'2022-2023 Applications Review'!E565</f>
        <v>Life Sciences</v>
      </c>
      <c r="D565" s="384" t="str">
        <f>'2022-2023 Applications Review'!Q565</f>
        <v>Revisit</v>
      </c>
      <c r="E565" s="383"/>
      <c r="F565" s="383"/>
      <c r="G565" s="383"/>
      <c r="H565" s="383"/>
      <c r="I565" s="385" t="b">
        <v>1</v>
      </c>
      <c r="J565" s="386" t="s">
        <v>12485</v>
      </c>
    </row>
    <row r="566" spans="1:10">
      <c r="A566" s="383" t="str">
        <f>CONCATENATE("Reviewed on"," ",(TEXT('2022-2023 Applications Review'!$A566, "mm/dd/yyyy")))</f>
        <v>Reviewed on 08/18/2022</v>
      </c>
      <c r="B566" s="383" t="str">
        <f>'2022-2023 Applications Review'!B566</f>
        <v>LISA Insurtech _2022</v>
      </c>
      <c r="C566" s="383" t="str">
        <f>'2022-2023 Applications Review'!E566</f>
        <v>Digital Tech</v>
      </c>
      <c r="D566" s="384" t="str">
        <f>'2022-2023 Applications Review'!Q566</f>
        <v>Invite</v>
      </c>
      <c r="E566" s="383"/>
      <c r="F566" s="383"/>
      <c r="G566" s="383"/>
      <c r="H566" s="383"/>
      <c r="I566" s="385" t="b">
        <v>1</v>
      </c>
      <c r="J566" s="386" t="s">
        <v>12486</v>
      </c>
    </row>
    <row r="567" spans="1:10">
      <c r="A567" s="383" t="str">
        <f>CONCATENATE("Reviewed on"," ",(TEXT('2022-2023 Applications Review'!$A567, "mm/dd/yyyy")))</f>
        <v>Reviewed on 08/18/2022</v>
      </c>
      <c r="B567" s="383" t="str">
        <f>'2022-2023 Applications Review'!B567</f>
        <v>Semeris _2022</v>
      </c>
      <c r="C567" s="383" t="str">
        <f>'2022-2023 Applications Review'!E567</f>
        <v>Digital Tech</v>
      </c>
      <c r="D567" s="384" t="str">
        <f>'2022-2023 Applications Review'!Q567</f>
        <v>Revisit/ Cluster</v>
      </c>
      <c r="E567" s="383"/>
      <c r="F567" s="383"/>
      <c r="G567" s="383"/>
      <c r="H567" s="383"/>
      <c r="I567" s="385" t="b">
        <v>1</v>
      </c>
      <c r="J567" s="386" t="s">
        <v>12487</v>
      </c>
    </row>
    <row r="568" spans="1:10">
      <c r="A568" s="383" t="str">
        <f>CONCATENATE("Reviewed on"," ",(TEXT('2022-2023 Applications Review'!$A568, "mm/dd/yyyy")))</f>
        <v>Reviewed on 08/18/2022</v>
      </c>
      <c r="B568" s="383" t="str">
        <f>'2022-2023 Applications Review'!B568</f>
        <v>EndObetes _2022</v>
      </c>
      <c r="C568" s="383" t="str">
        <f>'2022-2023 Applications Review'!E568</f>
        <v>Life Sciences</v>
      </c>
      <c r="D568" s="384" t="str">
        <f>'2022-2023 Applications Review'!Q568</f>
        <v>Invite</v>
      </c>
      <c r="E568" s="383"/>
      <c r="F568" s="383"/>
      <c r="G568" s="383"/>
      <c r="H568" s="383"/>
      <c r="I568" s="385" t="b">
        <v>1</v>
      </c>
      <c r="J568" s="386" t="s">
        <v>12488</v>
      </c>
    </row>
    <row r="569" spans="1:10">
      <c r="A569" s="383" t="str">
        <f>CONCATENATE("Reviewed on"," ",(TEXT('2022-2023 Applications Review'!$A569, "mm/dd/yyyy")))</f>
        <v>Reviewed on 08/18/2022</v>
      </c>
      <c r="B569" s="383" t="str">
        <f>'2022-2023 Applications Review'!B569</f>
        <v>TrustPoint, Inc. _2022</v>
      </c>
      <c r="C569" s="383" t="str">
        <f>'2022-2023 Applications Review'!E569</f>
        <v>Deep Tech</v>
      </c>
      <c r="D569" s="384" t="str">
        <f>'2022-2023 Applications Review'!Q569</f>
        <v>Invite</v>
      </c>
      <c r="E569" s="383"/>
      <c r="F569" s="383"/>
      <c r="G569" s="383"/>
      <c r="H569" s="383"/>
      <c r="I569" s="385" t="b">
        <v>1</v>
      </c>
      <c r="J569" s="386" t="s">
        <v>12489</v>
      </c>
    </row>
    <row r="570" spans="1:10">
      <c r="A570" s="383" t="str">
        <f>CONCATENATE("Reviewed on"," ",(TEXT('2022-2023 Applications Review'!$A570, "mm/dd/yyyy")))</f>
        <v>Reviewed on 08/18/2022</v>
      </c>
      <c r="B570" s="383" t="str">
        <f>'2022-2023 Applications Review'!B570</f>
        <v>Empo Health _2022</v>
      </c>
      <c r="C570" s="383" t="str">
        <f>'2022-2023 Applications Review'!E570</f>
        <v>Deep Tech</v>
      </c>
      <c r="D570" s="384" t="str">
        <f>'2022-2023 Applications Review'!Q570</f>
        <v>Revisit/ Cluster</v>
      </c>
      <c r="E570" s="383"/>
      <c r="F570" s="383"/>
      <c r="G570" s="383"/>
      <c r="H570" s="383"/>
      <c r="I570" s="385" t="b">
        <v>1</v>
      </c>
      <c r="J570" s="386" t="s">
        <v>12490</v>
      </c>
    </row>
    <row r="571" spans="1:10">
      <c r="A571" s="383" t="str">
        <f>CONCATENATE("Reviewed on"," ",(TEXT('2022-2023 Applications Review'!$A571, "mm/dd/yyyy")))</f>
        <v>Reviewed on 08/18/2022</v>
      </c>
      <c r="B571" s="383" t="str">
        <f>'2022-2023 Applications Review'!B571</f>
        <v>Nano RED _2022</v>
      </c>
      <c r="C571" s="383" t="str">
        <f>'2022-2023 Applications Review'!E571</f>
        <v>Life Sciences</v>
      </c>
      <c r="D571" s="384" t="str">
        <f>'2022-2023 Applications Review'!Q571</f>
        <v>Invite</v>
      </c>
      <c r="E571" s="383"/>
      <c r="F571" s="383"/>
      <c r="G571" s="383"/>
      <c r="H571" s="383"/>
      <c r="I571" s="385" t="b">
        <v>1</v>
      </c>
      <c r="J571" s="386" t="s">
        <v>12491</v>
      </c>
    </row>
    <row r="572" spans="1:10">
      <c r="A572" s="383" t="str">
        <f>CONCATENATE("Reviewed on"," ",(TEXT('2022-2023 Applications Review'!$A572, "mm/dd/yyyy")))</f>
        <v>Reviewed on 08/18/2022</v>
      </c>
      <c r="B572" s="383" t="str">
        <f>'2022-2023 Applications Review'!B572</f>
        <v>Deriskly Limited _2022</v>
      </c>
      <c r="C572" s="383" t="str">
        <f>'2022-2023 Applications Review'!E572</f>
        <v>Digital Tech</v>
      </c>
      <c r="D572" s="384" t="str">
        <f>'2022-2023 Applications Review'!Q572</f>
        <v>Invite</v>
      </c>
      <c r="E572" s="383"/>
      <c r="F572" s="383"/>
      <c r="G572" s="383"/>
      <c r="H572" s="383"/>
      <c r="I572" s="385" t="b">
        <v>1</v>
      </c>
      <c r="J572" s="386" t="s">
        <v>12492</v>
      </c>
    </row>
    <row r="573" spans="1:10">
      <c r="A573" s="383" t="str">
        <f>CONCATENATE("Reviewed on"," ",(TEXT('2022-2023 Applications Review'!$A573, "mm/dd/yyyy")))</f>
        <v>Reviewed on 08/18/2022</v>
      </c>
      <c r="B573" s="383" t="str">
        <f>'2022-2023 Applications Review'!B573</f>
        <v>Rimble _2022</v>
      </c>
      <c r="C573" s="383" t="str">
        <f>'2022-2023 Applications Review'!E573</f>
        <v>Digital Tech</v>
      </c>
      <c r="D573" s="384" t="str">
        <f>'2022-2023 Applications Review'!Q573</f>
        <v>Revisit</v>
      </c>
      <c r="E573" s="383"/>
      <c r="F573" s="383"/>
      <c r="G573" s="383"/>
      <c r="H573" s="383"/>
      <c r="I573" s="385" t="b">
        <v>1</v>
      </c>
      <c r="J573" s="386" t="s">
        <v>12493</v>
      </c>
    </row>
    <row r="574" spans="1:10">
      <c r="A574" s="383" t="str">
        <f>CONCATENATE("Reviewed on"," ",(TEXT('2022-2023 Applications Review'!$A574, "mm/dd/yyyy")))</f>
        <v>Reviewed on 08/18/2022</v>
      </c>
      <c r="B574" s="383" t="str">
        <f>'2022-2023 Applications Review'!B574</f>
        <v>WiPowerOne _2022</v>
      </c>
      <c r="C574" s="383" t="str">
        <f>'2022-2023 Applications Review'!E574</f>
        <v>Deep Tech</v>
      </c>
      <c r="D574" s="384" t="str">
        <f>'2022-2023 Applications Review'!Q574</f>
        <v>Invite</v>
      </c>
      <c r="E574" s="383"/>
      <c r="F574" s="383"/>
      <c r="G574" s="383"/>
      <c r="H574" s="383"/>
      <c r="I574" s="385" t="b">
        <v>1</v>
      </c>
      <c r="J574" s="386" t="s">
        <v>12494</v>
      </c>
    </row>
    <row r="575" spans="1:10">
      <c r="A575" s="383" t="str">
        <f>CONCATENATE("Reviewed on"," ",(TEXT('2022-2023 Applications Review'!$A575, "mm/dd/yyyy")))</f>
        <v>Reviewed on 08/18/2022</v>
      </c>
      <c r="B575" s="383" t="str">
        <f>'2022-2023 Applications Review'!B575</f>
        <v>INION LT _2022</v>
      </c>
      <c r="C575" s="383" t="str">
        <f>'2022-2023 Applications Review'!E575</f>
        <v>Digital Tech</v>
      </c>
      <c r="D575" s="384" t="str">
        <f>'2022-2023 Applications Review'!Q575</f>
        <v>Invite</v>
      </c>
      <c r="E575" s="383"/>
      <c r="F575" s="383"/>
      <c r="G575" s="383"/>
      <c r="H575" s="383"/>
      <c r="I575" s="385" t="b">
        <v>1</v>
      </c>
      <c r="J575" s="386" t="s">
        <v>12495</v>
      </c>
    </row>
    <row r="576" spans="1:10">
      <c r="A576" s="383" t="str">
        <f>CONCATENATE("Reviewed on"," ",(TEXT('2022-2023 Applications Review'!$A576, "mm/dd/yyyy")))</f>
        <v>Reviewed on 08/18/2022</v>
      </c>
      <c r="B576" s="383" t="str">
        <f>'2022-2023 Applications Review'!B576</f>
        <v>Coinrule _2022</v>
      </c>
      <c r="C576" s="383" t="str">
        <f>'2022-2023 Applications Review'!E576</f>
        <v>Digital Tech</v>
      </c>
      <c r="D576" s="384" t="str">
        <f>'2022-2023 Applications Review'!Q576</f>
        <v>Revisit/ Cluster</v>
      </c>
      <c r="E576" s="383"/>
      <c r="F576" s="383"/>
      <c r="G576" s="383"/>
      <c r="H576" s="383"/>
      <c r="I576" s="385" t="b">
        <v>1</v>
      </c>
      <c r="J576" s="386" t="s">
        <v>12496</v>
      </c>
    </row>
    <row r="577" spans="1:10">
      <c r="A577" s="383" t="str">
        <f>CONCATENATE("Reviewed on"," ",(TEXT('2022-2023 Applications Review'!$A577, "mm/dd/yyyy")))</f>
        <v>Reviewed on 08/18/2022</v>
      </c>
      <c r="B577" s="383" t="str">
        <f>'2022-2023 Applications Review'!B577</f>
        <v>Pulsenics _2022</v>
      </c>
      <c r="C577" s="383" t="str">
        <f>'2022-2023 Applications Review'!E577</f>
        <v>Deep Tech</v>
      </c>
      <c r="D577" s="384" t="str">
        <f>'2022-2023 Applications Review'!Q577</f>
        <v>Invite</v>
      </c>
      <c r="E577" s="383"/>
      <c r="F577" s="383"/>
      <c r="G577" s="383"/>
      <c r="H577" s="383"/>
      <c r="I577" s="385" t="b">
        <v>1</v>
      </c>
      <c r="J577" s="386" t="s">
        <v>12497</v>
      </c>
    </row>
    <row r="578" spans="1:10">
      <c r="A578" s="383" t="str">
        <f>CONCATENATE("Reviewed on"," ",(TEXT('2022-2023 Applications Review'!$A578, "mm/dd/yyyy")))</f>
        <v>Reviewed on 08/18/2022</v>
      </c>
      <c r="B578" s="383" t="str">
        <f>'2022-2023 Applications Review'!B578</f>
        <v>Cell Harbor _2022</v>
      </c>
      <c r="C578" s="383" t="str">
        <f>'2022-2023 Applications Review'!E578</f>
        <v>Life Sciences</v>
      </c>
      <c r="D578" s="384" t="str">
        <f>'2022-2023 Applications Review'!Q578</f>
        <v>Revisit/ Cluster</v>
      </c>
      <c r="E578" s="383"/>
      <c r="F578" s="383"/>
      <c r="G578" s="383"/>
      <c r="H578" s="383"/>
      <c r="I578" s="385" t="b">
        <v>1</v>
      </c>
      <c r="J578" s="386" t="s">
        <v>12498</v>
      </c>
    </row>
    <row r="579" spans="1:10">
      <c r="A579" s="383" t="str">
        <f>CONCATENATE("Reviewed on"," ",(TEXT('2022-2023 Applications Review'!$A579, "mm/dd/yyyy")))</f>
        <v>Reviewed on 08/18/2022</v>
      </c>
      <c r="B579" s="383" t="str">
        <f>'2022-2023 Applications Review'!B579</f>
        <v>Rocket VR Health _2022</v>
      </c>
      <c r="C579" s="383" t="str">
        <f>'2022-2023 Applications Review'!E579</f>
        <v>Digital Tech</v>
      </c>
      <c r="D579" s="384" t="str">
        <f>'2022-2023 Applications Review'!Q579</f>
        <v>Invite</v>
      </c>
      <c r="E579" s="383"/>
      <c r="F579" s="383"/>
      <c r="G579" s="383"/>
      <c r="H579" s="383"/>
      <c r="I579" s="385" t="b">
        <v>1</v>
      </c>
      <c r="J579" s="386" t="s">
        <v>12499</v>
      </c>
    </row>
    <row r="580" spans="1:10">
      <c r="A580" s="383" t="str">
        <f>CONCATENATE("Reviewed on"," ",(TEXT('2022-2023 Applications Review'!$A580, "mm/dd/yyyy")))</f>
        <v>Reviewed on 08/18/2022</v>
      </c>
      <c r="B580" s="383" t="str">
        <f>'2022-2023 Applications Review'!B580</f>
        <v>Sentinel Occupational Safety (Sentinel) _2022</v>
      </c>
      <c r="C580" s="383" t="str">
        <f>'2022-2023 Applications Review'!E580</f>
        <v>Digital Tech</v>
      </c>
      <c r="D580" s="384" t="str">
        <f>'2022-2023 Applications Review'!Q580</f>
        <v>Invite</v>
      </c>
      <c r="E580" s="383"/>
      <c r="F580" s="383"/>
      <c r="G580" s="383"/>
      <c r="H580" s="383"/>
      <c r="I580" s="385" t="b">
        <v>1</v>
      </c>
      <c r="J580" s="386" t="s">
        <v>12500</v>
      </c>
    </row>
    <row r="581" spans="1:10">
      <c r="A581" s="383" t="str">
        <f>CONCATENATE("Reviewed on"," ",(TEXT('2022-2023 Applications Review'!$A581, "mm/dd/yyyy")))</f>
        <v>Reviewed on 08/18/2022</v>
      </c>
      <c r="B581" s="383" t="str">
        <f>'2022-2023 Applications Review'!B581</f>
        <v>PeroLED _2022</v>
      </c>
      <c r="C581" s="383" t="str">
        <f>'2022-2023 Applications Review'!E581</f>
        <v>Deep Tech</v>
      </c>
      <c r="D581" s="384" t="str">
        <f>'2022-2023 Applications Review'!Q581</f>
        <v>Invite</v>
      </c>
      <c r="E581" s="383"/>
      <c r="F581" s="383"/>
      <c r="G581" s="383"/>
      <c r="H581" s="383"/>
      <c r="I581" s="385" t="b">
        <v>1</v>
      </c>
      <c r="J581" s="386" t="s">
        <v>12501</v>
      </c>
    </row>
    <row r="582" spans="1:10">
      <c r="A582" s="383" t="str">
        <f>CONCATENATE("Reviewed on"," ",(TEXT('2022-2023 Applications Review'!$A582, "mm/dd/yyyy")))</f>
        <v>Reviewed on 08/18/2022</v>
      </c>
      <c r="B582" s="383" t="str">
        <f>'2022-2023 Applications Review'!B582</f>
        <v>Kyomei _2022</v>
      </c>
      <c r="C582" s="383" t="str">
        <f>'2022-2023 Applications Review'!E582</f>
        <v>Deep Tech</v>
      </c>
      <c r="D582" s="384" t="str">
        <f>'2022-2023 Applications Review'!Q582</f>
        <v>Invite</v>
      </c>
      <c r="E582" s="383"/>
      <c r="F582" s="383"/>
      <c r="G582" s="383"/>
      <c r="H582" s="383"/>
      <c r="I582" s="385" t="b">
        <v>1</v>
      </c>
      <c r="J582" s="386" t="s">
        <v>12502</v>
      </c>
    </row>
    <row r="583" spans="1:10">
      <c r="A583" s="383" t="str">
        <f>CONCATENATE("Reviewed on"," ",(TEXT('2022-2023 Applications Review'!$A583, "mm/dd/yyyy")))</f>
        <v>Reviewed on 08/18/2022</v>
      </c>
      <c r="B583" s="383" t="str">
        <f>'2022-2023 Applications Review'!B583</f>
        <v>Sensible Biotechnologies _2022</v>
      </c>
      <c r="C583" s="383" t="str">
        <f>'2022-2023 Applications Review'!E583</f>
        <v>Life Sciences</v>
      </c>
      <c r="D583" s="384" t="str">
        <f>'2022-2023 Applications Review'!Q583</f>
        <v>Invite Next Year</v>
      </c>
      <c r="E583" s="383"/>
      <c r="F583" s="383"/>
      <c r="G583" s="383"/>
      <c r="H583" s="383"/>
      <c r="I583" s="385" t="b">
        <v>1</v>
      </c>
      <c r="J583" s="386" t="s">
        <v>12503</v>
      </c>
    </row>
    <row r="584" spans="1:10">
      <c r="A584" s="383" t="str">
        <f>CONCATENATE("Reviewed on"," ",(TEXT('2022-2023 Applications Review'!$A584, "mm/dd/yyyy")))</f>
        <v>Reviewed on 08/18/2022</v>
      </c>
      <c r="B584" s="383" t="str">
        <f>'2022-2023 Applications Review'!B584</f>
        <v>Allergy Butler _2022</v>
      </c>
      <c r="C584" s="383" t="str">
        <f>'2022-2023 Applications Review'!E584</f>
        <v>Life Sciences</v>
      </c>
      <c r="D584" s="384" t="str">
        <f>'2022-2023 Applications Review'!Q584</f>
        <v>Invite</v>
      </c>
      <c r="E584" s="383"/>
      <c r="F584" s="383"/>
      <c r="G584" s="383"/>
      <c r="H584" s="383"/>
      <c r="I584" s="385" t="b">
        <v>1</v>
      </c>
      <c r="J584" s="386" t="s">
        <v>12504</v>
      </c>
    </row>
    <row r="585" spans="1:10">
      <c r="A585" s="383" t="str">
        <f>CONCATENATE("Reviewed on"," ",(TEXT('2022-2023 Applications Review'!$A585, "mm/dd/yyyy")))</f>
        <v>Reviewed on 08/18/2022</v>
      </c>
      <c r="B585" s="383" t="str">
        <f>'2022-2023 Applications Review'!B585</f>
        <v>Lodos Theranostics _2022</v>
      </c>
      <c r="C585" s="383" t="str">
        <f>'2022-2023 Applications Review'!E585</f>
        <v>Life Sciences</v>
      </c>
      <c r="D585" s="384" t="str">
        <f>'2022-2023 Applications Review'!Q585</f>
        <v>Special Reject</v>
      </c>
      <c r="E585" s="383"/>
      <c r="F585" s="383"/>
      <c r="G585" s="383"/>
      <c r="H585" s="383"/>
      <c r="I585" s="385" t="b">
        <v>1</v>
      </c>
      <c r="J585" s="386" t="s">
        <v>12505</v>
      </c>
    </row>
    <row r="586" spans="1:10">
      <c r="A586" s="383" t="str">
        <f>CONCATENATE("Reviewed on"," ",(TEXT('2022-2023 Applications Review'!$A586, "mm/dd/yyyy")))</f>
        <v>Reviewed on 08/18/2022</v>
      </c>
      <c r="B586" s="383" t="str">
        <f>'2022-2023 Applications Review'!B586</f>
        <v>Kitchenita _2022</v>
      </c>
      <c r="C586" s="383" t="str">
        <f>'2022-2023 Applications Review'!E586</f>
        <v>Digital Tech</v>
      </c>
      <c r="D586" s="384" t="str">
        <f>'2022-2023 Applications Review'!Q586</f>
        <v>Invite Next Year</v>
      </c>
      <c r="E586" s="383"/>
      <c r="F586" s="383"/>
      <c r="G586" s="383"/>
      <c r="H586" s="383"/>
      <c r="I586" s="385" t="b">
        <v>1</v>
      </c>
      <c r="J586" s="386" t="s">
        <v>12506</v>
      </c>
    </row>
    <row r="587" spans="1:10">
      <c r="A587" s="383" t="str">
        <f>CONCATENATE("Reviewed on"," ",(TEXT('2022-2023 Applications Review'!$A587, "mm/dd/yyyy")))</f>
        <v>Reviewed on 08/18/2022</v>
      </c>
      <c r="B587" s="383" t="str">
        <f>'2022-2023 Applications Review'!B587</f>
        <v>Fortu Wealth _2022</v>
      </c>
      <c r="C587" s="383" t="str">
        <f>'2022-2023 Applications Review'!E587</f>
        <v>Digital Tech</v>
      </c>
      <c r="D587" s="384" t="str">
        <f>'2022-2023 Applications Review'!Q587</f>
        <v>Invite Next Year</v>
      </c>
      <c r="E587" s="383"/>
      <c r="F587" s="383"/>
      <c r="G587" s="383"/>
      <c r="H587" s="383"/>
      <c r="I587" s="385" t="b">
        <v>1</v>
      </c>
      <c r="J587" s="386" t="s">
        <v>12507</v>
      </c>
    </row>
    <row r="588" spans="1:10">
      <c r="A588" s="383" t="str">
        <f>CONCATENATE("Reviewed on"," ",(TEXT('2022-2023 Applications Review'!$A588, "mm/dd/yyyy")))</f>
        <v>Reviewed on 08/18/2022</v>
      </c>
      <c r="B588" s="383" t="str">
        <f>'2022-2023 Applications Review'!B588</f>
        <v>Mindeye Solutions Pvt Ltd _2022</v>
      </c>
      <c r="C588" s="383" t="str">
        <f>'2022-2023 Applications Review'!E588</f>
        <v>Digital Tech</v>
      </c>
      <c r="D588" s="384" t="str">
        <f>'2022-2023 Applications Review'!Q588</f>
        <v>Invite Next Year</v>
      </c>
      <c r="E588" s="383"/>
      <c r="F588" s="383"/>
      <c r="G588" s="383"/>
      <c r="H588" s="383"/>
      <c r="I588" s="385" t="b">
        <v>1</v>
      </c>
      <c r="J588" s="386" t="s">
        <v>12508</v>
      </c>
    </row>
    <row r="589" spans="1:10">
      <c r="A589" s="383" t="str">
        <f>CONCATENATE("Reviewed on"," ",(TEXT('2022-2023 Applications Review'!$A589, "mm/dd/yyyy")))</f>
        <v>Reviewed on 08/18/2022</v>
      </c>
      <c r="B589" s="383" t="str">
        <f>'2022-2023 Applications Review'!B589</f>
        <v>Metanovas Biotech _2022</v>
      </c>
      <c r="C589" s="383" t="str">
        <f>'2022-2023 Applications Review'!E589</f>
        <v>Life Sciences</v>
      </c>
      <c r="D589" s="384" t="str">
        <f>'2022-2023 Applications Review'!Q589</f>
        <v>Invite Next Year</v>
      </c>
      <c r="E589" s="383"/>
      <c r="F589" s="383"/>
      <c r="G589" s="383"/>
      <c r="H589" s="383"/>
      <c r="I589" s="385" t="b">
        <v>1</v>
      </c>
      <c r="J589" s="386" t="s">
        <v>12509</v>
      </c>
    </row>
    <row r="590" spans="1:10">
      <c r="A590" s="383" t="str">
        <f>CONCATENATE("Reviewed on"," ",(TEXT('2022-2023 Applications Review'!$A590, "mm/dd/yyyy")))</f>
        <v>Reviewed on 08/18/2022</v>
      </c>
      <c r="B590" s="383" t="str">
        <f>'2022-2023 Applications Review'!B590</f>
        <v>IM SYSTEM Co. Ltd. _2022</v>
      </c>
      <c r="C590" s="383" t="str">
        <f>'2022-2023 Applications Review'!E590</f>
        <v>Deep Tech</v>
      </c>
      <c r="D590" s="384" t="str">
        <f>'2022-2023 Applications Review'!Q590</f>
        <v>Invite Next Year</v>
      </c>
      <c r="E590" s="383"/>
      <c r="F590" s="383"/>
      <c r="G590" s="383"/>
      <c r="H590" s="383"/>
      <c r="I590" s="385" t="b">
        <v>1</v>
      </c>
      <c r="J590" s="386" t="s">
        <v>12510</v>
      </c>
    </row>
    <row r="591" spans="1:10">
      <c r="A591" s="383" t="str">
        <f>CONCATENATE("Reviewed on"," ",(TEXT('2022-2023 Applications Review'!$A591, "mm/dd/yyyy")))</f>
        <v>Reviewed on 08/18/2022</v>
      </c>
      <c r="B591" s="383" t="str">
        <f>'2022-2023 Applications Review'!B591</f>
        <v>BeneTalk _2022</v>
      </c>
      <c r="C591" s="383" t="str">
        <f>'2022-2023 Applications Review'!E591</f>
        <v>Digital Tech</v>
      </c>
      <c r="D591" s="384" t="str">
        <f>'2022-2023 Applications Review'!Q591</f>
        <v>Revisit/ Cluster</v>
      </c>
      <c r="E591" s="383"/>
      <c r="F591" s="383"/>
      <c r="G591" s="383"/>
      <c r="H591" s="383"/>
      <c r="I591" s="385" t="b">
        <v>1</v>
      </c>
      <c r="J591" s="386" t="s">
        <v>12511</v>
      </c>
    </row>
    <row r="592" spans="1:10">
      <c r="A592" s="383" t="str">
        <f>CONCATENATE("Reviewed on"," ",(TEXT('2022-2023 Applications Review'!$A592, "mm/dd/yyyy")))</f>
        <v>Reviewed on 08/18/2022</v>
      </c>
      <c r="B592" s="383" t="str">
        <f>'2022-2023 Applications Review'!B592</f>
        <v>CytoRecovery, Inc. _2022</v>
      </c>
      <c r="C592" s="383" t="str">
        <f>'2022-2023 Applications Review'!E592</f>
        <v>Deep Tech</v>
      </c>
      <c r="D592" s="384" t="str">
        <f>'2022-2023 Applications Review'!Q592</f>
        <v>Invite Next Year</v>
      </c>
      <c r="E592" s="383"/>
      <c r="F592" s="383"/>
      <c r="G592" s="383"/>
      <c r="H592" s="383"/>
      <c r="I592" s="385" t="b">
        <v>1</v>
      </c>
      <c r="J592" s="386" t="s">
        <v>12512</v>
      </c>
    </row>
    <row r="593" spans="1:10">
      <c r="A593" s="383" t="str">
        <f>CONCATENATE("Reviewed on"," ",(TEXT('2022-2023 Applications Review'!$A593, "mm/dd/yyyy")))</f>
        <v>Reviewed on 08/18/2022</v>
      </c>
      <c r="B593" s="383" t="str">
        <f>'2022-2023 Applications Review'!B593</f>
        <v>Drona Pay Private Ltd _2022</v>
      </c>
      <c r="C593" s="383" t="str">
        <f>'2022-2023 Applications Review'!E593</f>
        <v>Digital Tech</v>
      </c>
      <c r="D593" s="384" t="str">
        <f>'2022-2023 Applications Review'!Q593</f>
        <v>Revisit</v>
      </c>
      <c r="E593" s="383"/>
      <c r="F593" s="383"/>
      <c r="G593" s="383"/>
      <c r="H593" s="383"/>
      <c r="I593" s="385" t="b">
        <v>1</v>
      </c>
      <c r="J593" s="386" t="s">
        <v>12513</v>
      </c>
    </row>
    <row r="594" spans="1:10">
      <c r="A594" s="383" t="str">
        <f>CONCATENATE("Reviewed on"," ",(TEXT('2022-2023 Applications Review'!$A594, "mm/dd/yyyy")))</f>
        <v>Reviewed on 08/18/2022</v>
      </c>
      <c r="B594" s="383" t="str">
        <f>'2022-2023 Applications Review'!B594</f>
        <v>Rivet _2022</v>
      </c>
      <c r="C594" s="383" t="str">
        <f>'2022-2023 Applications Review'!E594</f>
        <v>Digital Tech</v>
      </c>
      <c r="D594" s="384" t="str">
        <f>'2022-2023 Applications Review'!Q594</f>
        <v>Invite Next Year</v>
      </c>
      <c r="E594" s="383"/>
      <c r="F594" s="383"/>
      <c r="G594" s="383"/>
      <c r="H594" s="383"/>
      <c r="I594" s="385" t="b">
        <v>1</v>
      </c>
      <c r="J594" s="386" t="s">
        <v>12514</v>
      </c>
    </row>
    <row r="595" spans="1:10">
      <c r="A595" s="383" t="str">
        <f>CONCATENATE("Reviewed on"," ",(TEXT('2022-2023 Applications Review'!$A595, "mm/dd/yyyy")))</f>
        <v>Reviewed on 08/18/2022</v>
      </c>
      <c r="B595" s="383" t="str">
        <f>'2022-2023 Applications Review'!B595</f>
        <v>Mobility Partners Inc. _2022</v>
      </c>
      <c r="C595" s="383" t="str">
        <f>'2022-2023 Applications Review'!E595</f>
        <v>Digital Tech</v>
      </c>
      <c r="D595" s="384" t="str">
        <f>'2022-2023 Applications Review'!Q595</f>
        <v>Invite Next Year</v>
      </c>
      <c r="E595" s="383"/>
      <c r="F595" s="383"/>
      <c r="G595" s="383"/>
      <c r="H595" s="383"/>
      <c r="I595" s="385" t="b">
        <v>1</v>
      </c>
      <c r="J595" s="386" t="s">
        <v>12515</v>
      </c>
    </row>
    <row r="596" spans="1:10">
      <c r="A596" s="383" t="str">
        <f>CONCATENATE("Reviewed on"," ",(TEXT('2022-2023 Applications Review'!$A596, "mm/dd/yyyy")))</f>
        <v>Reviewed on 08/18/2022</v>
      </c>
      <c r="B596" s="383" t="str">
        <f>'2022-2023 Applications Review'!B596</f>
        <v>Snap Vision Ltd _2022</v>
      </c>
      <c r="C596" s="383" t="str">
        <f>'2022-2023 Applications Review'!E596</f>
        <v>Digital Tech</v>
      </c>
      <c r="D596" s="384" t="str">
        <f>'2022-2023 Applications Review'!Q596</f>
        <v>Invite Next Year</v>
      </c>
      <c r="E596" s="383"/>
      <c r="F596" s="383"/>
      <c r="G596" s="383"/>
      <c r="H596" s="383"/>
      <c r="I596" s="385" t="b">
        <v>1</v>
      </c>
      <c r="J596" s="386" t="s">
        <v>12516</v>
      </c>
    </row>
    <row r="597" spans="1:10">
      <c r="A597" s="383" t="str">
        <f>CONCATENATE("Reviewed on"," ",(TEXT('2022-2023 Applications Review'!$A597, "mm/dd/yyyy")))</f>
        <v>Reviewed on 08/18/2022</v>
      </c>
      <c r="B597" s="383" t="str">
        <f>'2022-2023 Applications Review'!B597</f>
        <v>MRPeasy _2022</v>
      </c>
      <c r="C597" s="383" t="str">
        <f>'2022-2023 Applications Review'!E597</f>
        <v>Digital Tech</v>
      </c>
      <c r="D597" s="384" t="str">
        <f>'2022-2023 Applications Review'!Q597</f>
        <v>Invite Next Year</v>
      </c>
      <c r="E597" s="383"/>
      <c r="F597" s="383"/>
      <c r="G597" s="383"/>
      <c r="H597" s="383"/>
      <c r="I597" s="385" t="b">
        <v>1</v>
      </c>
      <c r="J597" s="386" t="s">
        <v>12517</v>
      </c>
    </row>
    <row r="598" spans="1:10">
      <c r="A598" s="383" t="str">
        <f>CONCATENATE("Reviewed on"," ",(TEXT('2022-2023 Applications Review'!$A598, "mm/dd/yyyy")))</f>
        <v>Reviewed on 08/18/2022</v>
      </c>
      <c r="B598" s="383" t="str">
        <f>'2022-2023 Applications Review'!B598</f>
        <v>Kandola Network _2022</v>
      </c>
      <c r="C598" s="383" t="str">
        <f>'2022-2023 Applications Review'!E598</f>
        <v>Digital Tech</v>
      </c>
      <c r="D598" s="384" t="str">
        <f>'2022-2023 Applications Review'!Q598</f>
        <v>Invite Next Year</v>
      </c>
      <c r="E598" s="383"/>
      <c r="F598" s="383"/>
      <c r="G598" s="383"/>
      <c r="H598" s="383"/>
      <c r="I598" s="385" t="b">
        <v>1</v>
      </c>
      <c r="J598" s="386" t="s">
        <v>12518</v>
      </c>
    </row>
    <row r="599" spans="1:10">
      <c r="A599" s="383" t="str">
        <f>CONCATENATE("Reviewed on"," ",(TEXT('2022-2023 Applications Review'!$A599, "mm/dd/yyyy")))</f>
        <v>Reviewed on 08/18/2022</v>
      </c>
      <c r="B599" s="383" t="str">
        <f>'2022-2023 Applications Review'!B599</f>
        <v>Skydo Inc. _2022</v>
      </c>
      <c r="C599" s="383" t="str">
        <f>'2022-2023 Applications Review'!E599</f>
        <v>Digital Tech</v>
      </c>
      <c r="D599" s="384" t="str">
        <f>'2022-2023 Applications Review'!Q599</f>
        <v>Invite Next Year</v>
      </c>
      <c r="E599" s="383"/>
      <c r="F599" s="383"/>
      <c r="G599" s="383"/>
      <c r="H599" s="383"/>
      <c r="I599" s="385" t="b">
        <v>1</v>
      </c>
      <c r="J599" s="386" t="s">
        <v>12519</v>
      </c>
    </row>
    <row r="600" spans="1:10">
      <c r="A600" s="383" t="str">
        <f>CONCATENATE("Reviewed on"," ",(TEXT('2022-2023 Applications Review'!$A600, "mm/dd/yyyy")))</f>
        <v>Reviewed on 08/18/2022</v>
      </c>
      <c r="B600" s="383" t="str">
        <f>'2022-2023 Applications Review'!B600</f>
        <v>Advisor.com _2022</v>
      </c>
      <c r="C600" s="383" t="str">
        <f>'2022-2023 Applications Review'!E600</f>
        <v>Digital Tech</v>
      </c>
      <c r="D600" s="384" t="str">
        <f>'2022-2023 Applications Review'!Q600</f>
        <v>Invite Next Year</v>
      </c>
      <c r="E600" s="383"/>
      <c r="F600" s="383"/>
      <c r="G600" s="383"/>
      <c r="H600" s="383"/>
      <c r="I600" s="385" t="b">
        <v>1</v>
      </c>
      <c r="J600" s="386" t="s">
        <v>12520</v>
      </c>
    </row>
    <row r="601" spans="1:10">
      <c r="A601" s="383" t="str">
        <f>CONCATENATE("Reviewed on"," ",(TEXT('2022-2023 Applications Review'!$A601, "mm/dd/yyyy")))</f>
        <v>Reviewed on 08/18/2022</v>
      </c>
      <c r="B601" s="383" t="str">
        <f>'2022-2023 Applications Review'!B601</f>
        <v>Her Impact _2022</v>
      </c>
      <c r="C601" s="383" t="str">
        <f>'2022-2023 Applications Review'!E601</f>
        <v>Digital Tech</v>
      </c>
      <c r="D601" s="384" t="str">
        <f>'2022-2023 Applications Review'!Q601</f>
        <v>Invite Next Year</v>
      </c>
      <c r="E601" s="383"/>
      <c r="F601" s="383"/>
      <c r="G601" s="383"/>
      <c r="H601" s="383"/>
      <c r="I601" s="385" t="b">
        <v>1</v>
      </c>
      <c r="J601" s="386" t="s">
        <v>12521</v>
      </c>
    </row>
    <row r="602" spans="1:10">
      <c r="A602" s="383" t="str">
        <f>CONCATENATE("Reviewed on"," ",(TEXT('2022-2023 Applications Review'!$A602, "mm/dd/yyyy")))</f>
        <v>Reviewed on 08/18/2022</v>
      </c>
      <c r="B602" s="383" t="str">
        <f>'2022-2023 Applications Review'!B602</f>
        <v>Haylon Technologies _2022</v>
      </c>
      <c r="C602" s="383" t="str">
        <f>'2022-2023 Applications Review'!E602</f>
        <v>Deep Tech</v>
      </c>
      <c r="D602" s="384" t="str">
        <f>'2022-2023 Applications Review'!Q602</f>
        <v>Invite Next Year</v>
      </c>
      <c r="E602" s="383"/>
      <c r="F602" s="383"/>
      <c r="G602" s="383"/>
      <c r="H602" s="383"/>
      <c r="I602" s="385" t="b">
        <v>1</v>
      </c>
      <c r="J602" s="386" t="s">
        <v>12522</v>
      </c>
    </row>
    <row r="603" spans="1:10">
      <c r="A603" s="383" t="str">
        <f>CONCATENATE("Reviewed on"," ",(TEXT('2022-2023 Applications Review'!$A603, "mm/dd/yyyy")))</f>
        <v>Reviewed on 08/18/2022</v>
      </c>
      <c r="B603" s="383" t="str">
        <f>'2022-2023 Applications Review'!B603</f>
        <v>Gigaforce Inc. _2022</v>
      </c>
      <c r="C603" s="383" t="str">
        <f>'2022-2023 Applications Review'!E603</f>
        <v>Digital Tech</v>
      </c>
      <c r="D603" s="384" t="str">
        <f>'2022-2023 Applications Review'!Q603</f>
        <v>Invite Next Year</v>
      </c>
      <c r="E603" s="383"/>
      <c r="F603" s="383"/>
      <c r="G603" s="383"/>
      <c r="H603" s="383"/>
      <c r="I603" s="385" t="b">
        <v>1</v>
      </c>
      <c r="J603" s="386" t="s">
        <v>12523</v>
      </c>
    </row>
    <row r="604" spans="1:10">
      <c r="A604" s="383" t="str">
        <f>CONCATENATE("Reviewed on"," ",(TEXT('2022-2023 Applications Review'!$A604, "mm/dd/yyyy")))</f>
        <v>Reviewed on 08/18/2022</v>
      </c>
      <c r="B604" s="383" t="str">
        <f>'2022-2023 Applications Review'!B604</f>
        <v>SkySquirrel Technologies (dba VineView) _2022</v>
      </c>
      <c r="C604" s="383" t="str">
        <f>'2022-2023 Applications Review'!E604</f>
        <v>Digital Tech</v>
      </c>
      <c r="D604" s="384" t="str">
        <f>'2022-2023 Applications Review'!Q604</f>
        <v>Invite Next Year</v>
      </c>
      <c r="E604" s="383"/>
      <c r="F604" s="383"/>
      <c r="G604" s="383"/>
      <c r="H604" s="383"/>
      <c r="I604" s="385" t="b">
        <v>1</v>
      </c>
      <c r="J604" s="386" t="s">
        <v>12524</v>
      </c>
    </row>
    <row r="605" spans="1:10">
      <c r="A605" s="383" t="str">
        <f>CONCATENATE("Reviewed on"," ",(TEXT('2022-2023 Applications Review'!$A605, "mm/dd/yyyy")))</f>
        <v>Reviewed on 08/18/2022</v>
      </c>
      <c r="B605" s="383" t="str">
        <f>'2022-2023 Applications Review'!B605</f>
        <v>Zoomrin _2022</v>
      </c>
      <c r="C605" s="383" t="str">
        <f>'2022-2023 Applications Review'!E605</f>
        <v>Deep Tech</v>
      </c>
      <c r="D605" s="384" t="str">
        <f>'2022-2023 Applications Review'!Q605</f>
        <v>Revisit/ Cluster</v>
      </c>
      <c r="E605" s="383"/>
      <c r="F605" s="383"/>
      <c r="G605" s="383"/>
      <c r="H605" s="383"/>
      <c r="I605" s="385" t="b">
        <v>1</v>
      </c>
      <c r="J605" s="386" t="s">
        <v>12525</v>
      </c>
    </row>
    <row r="606" spans="1:10">
      <c r="A606" s="383" t="str">
        <f>CONCATENATE("Reviewed on"," ",(TEXT('2022-2023 Applications Review'!$A606, "mm/dd/yyyy")))</f>
        <v>Reviewed on 08/18/2022</v>
      </c>
      <c r="B606" s="383" t="str">
        <f>'2022-2023 Applications Review'!B606</f>
        <v>Providentia Technologies _2022</v>
      </c>
      <c r="C606" s="383" t="str">
        <f>'2022-2023 Applications Review'!E606</f>
        <v>Life Sciences</v>
      </c>
      <c r="D606" s="384" t="str">
        <f>'2022-2023 Applications Review'!Q606</f>
        <v>Special Reject</v>
      </c>
      <c r="E606" s="383"/>
      <c r="F606" s="383"/>
      <c r="G606" s="383"/>
      <c r="H606" s="383"/>
      <c r="I606" s="385" t="b">
        <v>1</v>
      </c>
      <c r="J606" s="386" t="s">
        <v>12526</v>
      </c>
    </row>
    <row r="607" spans="1:10">
      <c r="A607" s="383" t="str">
        <f>CONCATENATE("Reviewed on"," ",(TEXT('2022-2023 Applications Review'!$A607, "mm/dd/yyyy")))</f>
        <v>Reviewed on 08/18/2022</v>
      </c>
      <c r="B607" s="383" t="str">
        <f>'2022-2023 Applications Review'!B607</f>
        <v>Synaps Dx _2022</v>
      </c>
      <c r="C607" s="383" t="str">
        <f>'2022-2023 Applications Review'!E607</f>
        <v>Life Sciences</v>
      </c>
      <c r="D607" s="384" t="str">
        <f>'2022-2023 Applications Review'!Q607</f>
        <v>Invite Next Year</v>
      </c>
      <c r="E607" s="383"/>
      <c r="F607" s="383"/>
      <c r="G607" s="383"/>
      <c r="H607" s="383"/>
      <c r="I607" s="385" t="b">
        <v>1</v>
      </c>
      <c r="J607" s="386" t="s">
        <v>12527</v>
      </c>
    </row>
    <row r="608" spans="1:10">
      <c r="A608" s="383" t="str">
        <f>CONCATENATE("Reviewed on"," ",(TEXT('2022-2023 Applications Review'!$A608, "mm/dd/yyyy")))</f>
        <v>Reviewed on 08/18/2022</v>
      </c>
      <c r="B608" s="383" t="str">
        <f>'2022-2023 Applications Review'!B608</f>
        <v>KYTE DYNAMICS, INC. d/b/a KYTE _2022</v>
      </c>
      <c r="C608" s="383" t="str">
        <f>'2022-2023 Applications Review'!E608</f>
        <v>Deep Tech</v>
      </c>
      <c r="D608" s="384" t="str">
        <f>'2022-2023 Applications Review'!Q608</f>
        <v>Invite Next Year</v>
      </c>
      <c r="E608" s="383"/>
      <c r="F608" s="383"/>
      <c r="G608" s="383"/>
      <c r="H608" s="383"/>
      <c r="I608" s="385" t="b">
        <v>1</v>
      </c>
      <c r="J608" s="386" t="s">
        <v>12528</v>
      </c>
    </row>
    <row r="609" spans="1:10">
      <c r="A609" s="383" t="str">
        <f>CONCATENATE("Reviewed on"," ",(TEXT('2022-2023 Applications Review'!$A609, "mm/dd/yyyy")))</f>
        <v>Reviewed on 08/18/2022</v>
      </c>
      <c r="B609" s="383" t="str">
        <f>'2022-2023 Applications Review'!B609</f>
        <v>Akeso Therapeutics, Inc. _2022</v>
      </c>
      <c r="C609" s="383" t="str">
        <f>'2022-2023 Applications Review'!E609</f>
        <v>Life Sciences</v>
      </c>
      <c r="D609" s="384" t="str">
        <f>'2022-2023 Applications Review'!Q609</f>
        <v>Invite Next Year</v>
      </c>
      <c r="E609" s="383"/>
      <c r="F609" s="383"/>
      <c r="G609" s="383"/>
      <c r="H609" s="383"/>
      <c r="I609" s="385" t="b">
        <v>1</v>
      </c>
      <c r="J609" s="386" t="s">
        <v>12529</v>
      </c>
    </row>
    <row r="610" spans="1:10">
      <c r="A610" s="383" t="str">
        <f>CONCATENATE("Reviewed on"," ",(TEXT('2022-2023 Applications Review'!$A610, "mm/dd/yyyy")))</f>
        <v>Reviewed on 08/18/2022</v>
      </c>
      <c r="B610" s="383" t="str">
        <f>'2022-2023 Applications Review'!B610</f>
        <v>Hyfi _2022</v>
      </c>
      <c r="C610" s="383" t="str">
        <f>'2022-2023 Applications Review'!E610</f>
        <v>Digital Tech</v>
      </c>
      <c r="D610" s="384" t="str">
        <f>'2022-2023 Applications Review'!Q610</f>
        <v>Invite Next Year</v>
      </c>
      <c r="E610" s="383"/>
      <c r="F610" s="383"/>
      <c r="G610" s="383"/>
      <c r="H610" s="383"/>
      <c r="I610" s="385" t="b">
        <v>1</v>
      </c>
      <c r="J610" s="386" t="s">
        <v>12530</v>
      </c>
    </row>
    <row r="611" spans="1:10">
      <c r="A611" s="383" t="str">
        <f>CONCATENATE("Reviewed on"," ",(TEXT('2022-2023 Applications Review'!$A611, "mm/dd/yyyy")))</f>
        <v>Reviewed on 08/18/2022</v>
      </c>
      <c r="B611" s="383" t="str">
        <f>'2022-2023 Applications Review'!B611</f>
        <v>Acquire Invest _2022</v>
      </c>
      <c r="C611" s="383" t="str">
        <f>'2022-2023 Applications Review'!E611</f>
        <v>Digital Tech</v>
      </c>
      <c r="D611" s="384" t="str">
        <f>'2022-2023 Applications Review'!Q611</f>
        <v>Invite Next Year</v>
      </c>
      <c r="E611" s="383"/>
      <c r="F611" s="383"/>
      <c r="G611" s="383"/>
      <c r="H611" s="383"/>
      <c r="I611" s="385" t="b">
        <v>1</v>
      </c>
      <c r="J611" s="386" t="s">
        <v>12531</v>
      </c>
    </row>
    <row r="612" spans="1:10">
      <c r="A612" s="383" t="str">
        <f>CONCATENATE("Reviewed on"," ",(TEXT('2022-2023 Applications Review'!$A612, "mm/dd/yyyy")))</f>
        <v>Reviewed on 08/18/2022</v>
      </c>
      <c r="B612" s="383" t="str">
        <f>'2022-2023 Applications Review'!B612</f>
        <v>Adroit Surgical _2022</v>
      </c>
      <c r="C612" s="383" t="str">
        <f>'2022-2023 Applications Review'!E612</f>
        <v>Life Sciences</v>
      </c>
      <c r="D612" s="384" t="str">
        <f>'2022-2023 Applications Review'!Q612</f>
        <v>Invite Next Year</v>
      </c>
      <c r="E612" s="383"/>
      <c r="F612" s="383"/>
      <c r="G612" s="383"/>
      <c r="H612" s="383"/>
      <c r="I612" s="385" t="b">
        <v>1</v>
      </c>
      <c r="J612" s="386" t="s">
        <v>12532</v>
      </c>
    </row>
    <row r="613" spans="1:10">
      <c r="A613" s="383" t="str">
        <f>CONCATENATE("Reviewed on"," ",(TEXT('2022-2023 Applications Review'!$A613, "mm/dd/yyyy")))</f>
        <v>Reviewed on 08/18/2022</v>
      </c>
      <c r="B613" s="383" t="str">
        <f>'2022-2023 Applications Review'!B613</f>
        <v>GrowSquares _2022</v>
      </c>
      <c r="C613" s="383" t="str">
        <f>'2022-2023 Applications Review'!E613</f>
        <v>Digital Tech</v>
      </c>
      <c r="D613" s="384" t="str">
        <f>'2022-2023 Applications Review'!Q613</f>
        <v>Invite Next Year</v>
      </c>
      <c r="E613" s="383"/>
      <c r="F613" s="383"/>
      <c r="G613" s="383"/>
      <c r="H613" s="383"/>
      <c r="I613" s="385" t="b">
        <v>1</v>
      </c>
      <c r="J613" s="386" t="s">
        <v>12533</v>
      </c>
    </row>
    <row r="614" spans="1:10">
      <c r="A614" s="383" t="str">
        <f>CONCATENATE("Reviewed on"," ",(TEXT('2022-2023 Applications Review'!$A614, "mm/dd/yyyy")))</f>
        <v>Reviewed on 08/18/2022</v>
      </c>
      <c r="B614" s="383" t="str">
        <f>'2022-2023 Applications Review'!B614</f>
        <v>MultiOmic Health Limited _2022</v>
      </c>
      <c r="C614" s="383" t="str">
        <f>'2022-2023 Applications Review'!E614</f>
        <v>Life Sciences</v>
      </c>
      <c r="D614" s="384" t="str">
        <f>'2022-2023 Applications Review'!Q614</f>
        <v>Invite Next Year</v>
      </c>
      <c r="E614" s="383"/>
      <c r="F614" s="383"/>
      <c r="G614" s="383"/>
      <c r="H614" s="383"/>
      <c r="I614" s="385" t="b">
        <v>1</v>
      </c>
      <c r="J614" s="386" t="s">
        <v>12534</v>
      </c>
    </row>
    <row r="615" spans="1:10">
      <c r="A615" s="383" t="str">
        <f>CONCATENATE("Reviewed on"," ",(TEXT('2022-2023 Applications Review'!$A615, "mm/dd/yyyy")))</f>
        <v>Reviewed on 08/18/2022</v>
      </c>
      <c r="B615" s="383" t="str">
        <f>'2022-2023 Applications Review'!B615</f>
        <v>Constellation4 Health _2022</v>
      </c>
      <c r="C615" s="383" t="str">
        <f>'2022-2023 Applications Review'!E615</f>
        <v>Life Sciences</v>
      </c>
      <c r="D615" s="384" t="str">
        <f>'2022-2023 Applications Review'!Q615</f>
        <v>Invite Next Year</v>
      </c>
      <c r="E615" s="383"/>
      <c r="F615" s="383"/>
      <c r="G615" s="383"/>
      <c r="H615" s="383"/>
      <c r="I615" s="385" t="b">
        <v>1</v>
      </c>
      <c r="J615" s="386" t="s">
        <v>12535</v>
      </c>
    </row>
    <row r="616" spans="1:10">
      <c r="A616" s="383" t="str">
        <f>CONCATENATE("Reviewed on"," ",(TEXT('2022-2023 Applications Review'!$A616, "mm/dd/yyyy")))</f>
        <v>Reviewed on 08/18/2022</v>
      </c>
      <c r="B616" s="383" t="str">
        <f>'2022-2023 Applications Review'!B616</f>
        <v>Novel Farms _2022</v>
      </c>
      <c r="C616" s="383" t="str">
        <f>'2022-2023 Applications Review'!E616</f>
        <v>Life Sciences</v>
      </c>
      <c r="D616" s="384" t="str">
        <f>'2022-2023 Applications Review'!Q616</f>
        <v>Invite Next Year</v>
      </c>
      <c r="E616" s="383"/>
      <c r="F616" s="383"/>
      <c r="G616" s="383"/>
      <c r="H616" s="383"/>
      <c r="I616" s="385" t="b">
        <v>1</v>
      </c>
      <c r="J616" s="386" t="s">
        <v>12536</v>
      </c>
    </row>
    <row r="617" spans="1:10">
      <c r="A617" s="383" t="str">
        <f>CONCATENATE("Reviewed on"," ",(TEXT('2022-2023 Applications Review'!$A617, "mm/dd/yyyy")))</f>
        <v>Reviewed on 08/18/2022</v>
      </c>
      <c r="B617" s="383" t="str">
        <f>'2022-2023 Applications Review'!B617</f>
        <v>Neurometry _2022</v>
      </c>
      <c r="C617" s="383" t="str">
        <f>'2022-2023 Applications Review'!E617</f>
        <v>Digital Tech</v>
      </c>
      <c r="D617" s="384" t="str">
        <f>'2022-2023 Applications Review'!Q617</f>
        <v>Invite Next Year</v>
      </c>
      <c r="E617" s="383"/>
      <c r="F617" s="383"/>
      <c r="G617" s="383"/>
      <c r="H617" s="383"/>
      <c r="I617" s="385" t="b">
        <v>1</v>
      </c>
      <c r="J617" s="386" t="s">
        <v>12537</v>
      </c>
    </row>
    <row r="618" spans="1:10">
      <c r="A618" s="383" t="str">
        <f>CONCATENATE("Reviewed on"," ",(TEXT('2022-2023 Applications Review'!$A618, "mm/dd/yyyy")))</f>
        <v>Reviewed on 08/18/2022</v>
      </c>
      <c r="B618" s="383" t="str">
        <f>'2022-2023 Applications Review'!B618</f>
        <v>StockGro _2022</v>
      </c>
      <c r="C618" s="383" t="str">
        <f>'2022-2023 Applications Review'!E618</f>
        <v>Digital Tech</v>
      </c>
      <c r="D618" s="384" t="str">
        <f>'2022-2023 Applications Review'!Q618</f>
        <v>Invite Next Year</v>
      </c>
      <c r="E618" s="383"/>
      <c r="F618" s="383"/>
      <c r="G618" s="383"/>
      <c r="H618" s="383"/>
      <c r="I618" s="385" t="b">
        <v>1</v>
      </c>
      <c r="J618" s="386" t="s">
        <v>12538</v>
      </c>
    </row>
    <row r="619" spans="1:10">
      <c r="A619" s="383" t="str">
        <f>CONCATENATE("Reviewed on"," ",(TEXT('2022-2023 Applications Review'!$A619, "mm/dd/yyyy")))</f>
        <v>Reviewed on 08/18/2022</v>
      </c>
      <c r="B619" s="383" t="str">
        <f>'2022-2023 Applications Review'!B619</f>
        <v>Marine Kinetic Energy Inc. _2022</v>
      </c>
      <c r="C619" s="383" t="str">
        <f>'2022-2023 Applications Review'!E619</f>
        <v>Deep Tech</v>
      </c>
      <c r="D619" s="384" t="str">
        <f>'2022-2023 Applications Review'!Q619</f>
        <v>Invite Next Year</v>
      </c>
      <c r="E619" s="383"/>
      <c r="F619" s="383"/>
      <c r="G619" s="383"/>
      <c r="H619" s="383"/>
      <c r="I619" s="385" t="b">
        <v>1</v>
      </c>
      <c r="J619" s="386" t="s">
        <v>12539</v>
      </c>
    </row>
    <row r="620" spans="1:10">
      <c r="A620" s="383" t="str">
        <f>CONCATENATE("Reviewed on"," ",(TEXT('2022-2023 Applications Review'!$A620, "mm/dd/yyyy")))</f>
        <v>Reviewed on 08/18/2022</v>
      </c>
      <c r="B620" s="383" t="str">
        <f>'2022-2023 Applications Review'!B620</f>
        <v>PepperMintClub _2022</v>
      </c>
      <c r="C620" s="383" t="str">
        <f>'2022-2023 Applications Review'!E620</f>
        <v>Digital Tech</v>
      </c>
      <c r="D620" s="384" t="str">
        <f>'2022-2023 Applications Review'!Q620</f>
        <v>Invite Next Year</v>
      </c>
      <c r="E620" s="383"/>
      <c r="F620" s="383"/>
      <c r="G620" s="383"/>
      <c r="H620" s="383"/>
      <c r="I620" s="385" t="b">
        <v>1</v>
      </c>
      <c r="J620" s="386" t="s">
        <v>12540</v>
      </c>
    </row>
    <row r="621" spans="1:10">
      <c r="A621" s="383" t="str">
        <f>CONCATENATE("Reviewed on"," ",(TEXT('2022-2023 Applications Review'!$A621, "mm/dd/yyyy")))</f>
        <v>Reviewed on 08/18/2022</v>
      </c>
      <c r="B621" s="383" t="str">
        <f>'2022-2023 Applications Review'!B621</f>
        <v>Blazar SAS _2022</v>
      </c>
      <c r="C621" s="383" t="str">
        <f>'2022-2023 Applications Review'!E621</f>
        <v>Deep Tech</v>
      </c>
      <c r="D621" s="384" t="str">
        <f>'2022-2023 Applications Review'!Q621</f>
        <v>Invite Next Year</v>
      </c>
      <c r="E621" s="383"/>
      <c r="F621" s="383"/>
      <c r="G621" s="383"/>
      <c r="H621" s="383"/>
      <c r="I621" s="385" t="b">
        <v>1</v>
      </c>
      <c r="J621" s="386" t="s">
        <v>12541</v>
      </c>
    </row>
    <row r="622" spans="1:10">
      <c r="A622" s="383" t="str">
        <f>CONCATENATE("Reviewed on"," ",(TEXT('2022-2023 Applications Review'!$A622, "mm/dd/yyyy")))</f>
        <v>Reviewed on 08/18/2022</v>
      </c>
      <c r="B622" s="383" t="str">
        <f>'2022-2023 Applications Review'!B622</f>
        <v>Briya  _2022</v>
      </c>
      <c r="C622" s="383" t="str">
        <f>'2022-2023 Applications Review'!E622</f>
        <v>Deep Tech</v>
      </c>
      <c r="D622" s="384" t="str">
        <f>'2022-2023 Applications Review'!Q622</f>
        <v>Invite Next Year</v>
      </c>
      <c r="E622" s="383"/>
      <c r="F622" s="383"/>
      <c r="G622" s="383"/>
      <c r="H622" s="383"/>
      <c r="I622" s="385" t="b">
        <v>1</v>
      </c>
      <c r="J622" s="386" t="s">
        <v>12542</v>
      </c>
    </row>
    <row r="623" spans="1:10">
      <c r="A623" s="383" t="str">
        <f>CONCATENATE("Reviewed on"," ",(TEXT('2022-2023 Applications Review'!$A623, "mm/dd/yyyy")))</f>
        <v>Reviewed on 08/18/2022</v>
      </c>
      <c r="B623" s="383" t="str">
        <f>'2022-2023 Applications Review'!B623</f>
        <v>Agtools Inc _2022</v>
      </c>
      <c r="C623" s="383" t="str">
        <f>'2022-2023 Applications Review'!E623</f>
        <v>Deep Tech</v>
      </c>
      <c r="D623" s="384" t="str">
        <f>'2022-2023 Applications Review'!Q623</f>
        <v>Invite Next Year</v>
      </c>
      <c r="E623" s="383"/>
      <c r="F623" s="383"/>
      <c r="G623" s="383"/>
      <c r="H623" s="383"/>
      <c r="I623" s="385" t="b">
        <v>1</v>
      </c>
      <c r="J623" s="386" t="s">
        <v>12543</v>
      </c>
    </row>
    <row r="624" spans="1:10">
      <c r="A624" s="383" t="str">
        <f>CONCATENATE("Reviewed on"," ",(TEXT('2022-2023 Applications Review'!$A624, "mm/dd/yyyy")))</f>
        <v>Reviewed on 08/18/2022</v>
      </c>
      <c r="B624" s="383" t="str">
        <f>'2022-2023 Applications Review'!B624</f>
        <v>Social-Impact Innovations Pvt. Ltd. _2022</v>
      </c>
      <c r="C624" s="383" t="str">
        <f>'2022-2023 Applications Review'!E624</f>
        <v>Digital Tech</v>
      </c>
      <c r="D624" s="384" t="str">
        <f>'2022-2023 Applications Review'!Q624</f>
        <v>Invite Next Year</v>
      </c>
      <c r="E624" s="383"/>
      <c r="F624" s="383"/>
      <c r="G624" s="383"/>
      <c r="H624" s="383"/>
      <c r="I624" s="385" t="b">
        <v>1</v>
      </c>
      <c r="J624" s="386" t="s">
        <v>12544</v>
      </c>
    </row>
    <row r="625" spans="1:10">
      <c r="A625" s="383" t="str">
        <f>CONCATENATE("Reviewed on"," ",(TEXT('2022-2023 Applications Review'!$A625, "mm/dd/yyyy")))</f>
        <v>Reviewed on 08/18/2022</v>
      </c>
      <c r="B625" s="383" t="str">
        <f>'2022-2023 Applications Review'!B625</f>
        <v>MedGene Therapeutics _2022</v>
      </c>
      <c r="C625" s="383" t="str">
        <f>'2022-2023 Applications Review'!E625</f>
        <v>Life Sciences</v>
      </c>
      <c r="D625" s="384" t="str">
        <f>'2022-2023 Applications Review'!Q625</f>
        <v>Invite Next Year</v>
      </c>
      <c r="E625" s="383"/>
      <c r="F625" s="383"/>
      <c r="G625" s="383"/>
      <c r="H625" s="383"/>
      <c r="I625" s="385" t="b">
        <v>1</v>
      </c>
      <c r="J625" s="386" t="s">
        <v>12545</v>
      </c>
    </row>
    <row r="626" spans="1:10">
      <c r="A626" s="383" t="str">
        <f>CONCATENATE("Reviewed on"," ",(TEXT('2022-2023 Applications Review'!$A626, "mm/dd/yyyy")))</f>
        <v>Reviewed on 08/18/2022</v>
      </c>
      <c r="B626" s="383" t="str">
        <f>'2022-2023 Applications Review'!B626</f>
        <v>AssayMe _2022</v>
      </c>
      <c r="C626" s="383" t="str">
        <f>'2022-2023 Applications Review'!E626</f>
        <v>Digital Tech</v>
      </c>
      <c r="D626" s="384" t="str">
        <f>'2022-2023 Applications Review'!Q626</f>
        <v>Invite Next Year</v>
      </c>
      <c r="E626" s="383"/>
      <c r="F626" s="383"/>
      <c r="G626" s="383"/>
      <c r="H626" s="383"/>
      <c r="I626" s="385" t="b">
        <v>1</v>
      </c>
      <c r="J626" s="386" t="s">
        <v>12546</v>
      </c>
    </row>
    <row r="627" spans="1:10">
      <c r="A627" s="383" t="str">
        <f>CONCATENATE("Reviewed on"," ",(TEXT('2022-2023 Applications Review'!$A627, "mm/dd/yyyy")))</f>
        <v>Reviewed on 08/18/2022</v>
      </c>
      <c r="B627" s="383" t="str">
        <f>'2022-2023 Applications Review'!B627</f>
        <v>Dealcode GmbH _2022</v>
      </c>
      <c r="C627" s="383" t="str">
        <f>'2022-2023 Applications Review'!E627</f>
        <v>Digital Tech</v>
      </c>
      <c r="D627" s="384" t="str">
        <f>'2022-2023 Applications Review'!Q627</f>
        <v>Invite Next Year</v>
      </c>
      <c r="E627" s="383"/>
      <c r="F627" s="383"/>
      <c r="G627" s="383"/>
      <c r="H627" s="383"/>
      <c r="I627" s="385" t="b">
        <v>1</v>
      </c>
      <c r="J627" s="386" t="s">
        <v>12547</v>
      </c>
    </row>
    <row r="628" spans="1:10">
      <c r="A628" s="383" t="str">
        <f>CONCATENATE("Reviewed on"," ",(TEXT('2022-2023 Applications Review'!$A628, "mm/dd/yyyy")))</f>
        <v>Reviewed on 08/18/2022</v>
      </c>
      <c r="B628" s="383" t="str">
        <f>'2022-2023 Applications Review'!B628</f>
        <v>Proxgy _2022</v>
      </c>
      <c r="C628" s="383" t="str">
        <f>'2022-2023 Applications Review'!E628</f>
        <v>Deep Tech</v>
      </c>
      <c r="D628" s="384" t="str">
        <f>'2022-2023 Applications Review'!Q628</f>
        <v>Invite Next Year</v>
      </c>
      <c r="E628" s="383"/>
      <c r="F628" s="383"/>
      <c r="G628" s="383"/>
      <c r="H628" s="383"/>
      <c r="I628" s="385" t="b">
        <v>1</v>
      </c>
      <c r="J628" s="386" t="s">
        <v>12548</v>
      </c>
    </row>
    <row r="629" spans="1:10">
      <c r="A629" s="383" t="str">
        <f>CONCATENATE("Reviewed on"," ",(TEXT('2022-2023 Applications Review'!$A629, "mm/dd/yyyy")))</f>
        <v>Reviewed on 08/18/2022</v>
      </c>
      <c r="B629" s="383" t="str">
        <f>'2022-2023 Applications Review'!B629</f>
        <v>PB&amp;B _2022</v>
      </c>
      <c r="C629" s="383" t="str">
        <f>'2022-2023 Applications Review'!E629</f>
        <v>Life Sciences</v>
      </c>
      <c r="D629" s="384" t="str">
        <f>'2022-2023 Applications Review'!Q629</f>
        <v>Invite Next Year</v>
      </c>
      <c r="E629" s="383"/>
      <c r="F629" s="383"/>
      <c r="G629" s="383"/>
      <c r="H629" s="383"/>
      <c r="I629" s="385" t="b">
        <v>1</v>
      </c>
      <c r="J629" s="386" t="s">
        <v>12549</v>
      </c>
    </row>
    <row r="630" spans="1:10">
      <c r="A630" s="383" t="str">
        <f>CONCATENATE("Reviewed on"," ",(TEXT('2022-2023 Applications Review'!$A630, "mm/dd/yyyy")))</f>
        <v>Reviewed on 08/18/2022</v>
      </c>
      <c r="B630" s="383" t="str">
        <f>'2022-2023 Applications Review'!B630</f>
        <v>Zeer, dba _2022</v>
      </c>
      <c r="C630" s="383" t="str">
        <f>'2022-2023 Applications Review'!E630</f>
        <v>Digital Tech</v>
      </c>
      <c r="D630" s="384" t="str">
        <f>'2022-2023 Applications Review'!Q630</f>
        <v>Invite Next Year</v>
      </c>
      <c r="E630" s="383"/>
      <c r="F630" s="383"/>
      <c r="G630" s="383"/>
      <c r="H630" s="383"/>
      <c r="I630" s="385" t="b">
        <v>1</v>
      </c>
      <c r="J630" s="386" t="s">
        <v>12550</v>
      </c>
    </row>
    <row r="631" spans="1:10">
      <c r="A631" s="383" t="str">
        <f>CONCATENATE("Reviewed on"," ",(TEXT('2022-2023 Applications Review'!$A631, "mm/dd/yyyy")))</f>
        <v>Reviewed on 08/18/2022</v>
      </c>
      <c r="B631" s="383" t="str">
        <f>'2022-2023 Applications Review'!B631</f>
        <v>Sayenza Biosciences _2022</v>
      </c>
      <c r="C631" s="383" t="str">
        <f>'2022-2023 Applications Review'!E631</f>
        <v>Life Sciences</v>
      </c>
      <c r="D631" s="384" t="str">
        <f>'2022-2023 Applications Review'!Q631</f>
        <v>Revisit</v>
      </c>
      <c r="E631" s="383"/>
      <c r="F631" s="383"/>
      <c r="G631" s="383"/>
      <c r="H631" s="383"/>
      <c r="I631" s="385" t="b">
        <v>1</v>
      </c>
      <c r="J631" s="386" t="s">
        <v>12551</v>
      </c>
    </row>
    <row r="632" spans="1:10">
      <c r="A632" s="383" t="str">
        <f>CONCATENATE("Reviewed on"," ",(TEXT('2022-2023 Applications Review'!$A632, "mm/dd/yyyy")))</f>
        <v>Reviewed on 08/18/2022</v>
      </c>
      <c r="B632" s="383" t="str">
        <f>'2022-2023 Applications Review'!B632</f>
        <v>Intelligent Technology Co., Ltd _2022</v>
      </c>
      <c r="C632" s="383" t="str">
        <f>'2022-2023 Applications Review'!E632</f>
        <v>Digital Tech</v>
      </c>
      <c r="D632" s="384" t="str">
        <f>'2022-2023 Applications Review'!Q632</f>
        <v>Revisit</v>
      </c>
      <c r="E632" s="383"/>
      <c r="F632" s="383"/>
      <c r="G632" s="383"/>
      <c r="H632" s="383"/>
      <c r="I632" s="385" t="b">
        <v>1</v>
      </c>
      <c r="J632" s="386" t="s">
        <v>12552</v>
      </c>
    </row>
    <row r="633" spans="1:10">
      <c r="A633" s="383" t="str">
        <f>CONCATENATE("Reviewed on"," ",(TEXT('2022-2023 Applications Review'!$A633, "mm/dd/yyyy")))</f>
        <v>Reviewed on 08/18/2022</v>
      </c>
      <c r="B633" s="383" t="str">
        <f>'2022-2023 Applications Review'!B633</f>
        <v>AirMid Critical Care Products, Inc. _2022</v>
      </c>
      <c r="C633" s="383" t="str">
        <f>'2022-2023 Applications Review'!E633</f>
        <v>Deep Tech</v>
      </c>
      <c r="D633" s="384" t="str">
        <f>'2022-2023 Applications Review'!Q633</f>
        <v>Invite Next Year</v>
      </c>
      <c r="E633" s="383"/>
      <c r="F633" s="383"/>
      <c r="G633" s="383"/>
      <c r="H633" s="383"/>
      <c r="I633" s="385" t="b">
        <v>1</v>
      </c>
      <c r="J633" s="386" t="s">
        <v>12553</v>
      </c>
    </row>
    <row r="634" spans="1:10">
      <c r="A634" s="383" t="str">
        <f>CONCATENATE("Reviewed on"," ",(TEXT('2022-2023 Applications Review'!$A634, "mm/dd/yyyy")))</f>
        <v>Reviewed on 08/18/2022</v>
      </c>
      <c r="B634" s="383" t="str">
        <f>'2022-2023 Applications Review'!B634</f>
        <v>Sipple Care Inc. _2022</v>
      </c>
      <c r="C634" s="383" t="str">
        <f>'2022-2023 Applications Review'!E634</f>
        <v>Life Sciences</v>
      </c>
      <c r="D634" s="384" t="str">
        <f>'2022-2023 Applications Review'!Q634</f>
        <v>Special Reject</v>
      </c>
      <c r="E634" s="383"/>
      <c r="F634" s="383"/>
      <c r="G634" s="383"/>
      <c r="H634" s="383"/>
      <c r="I634" s="385" t="b">
        <v>1</v>
      </c>
      <c r="J634" s="386" t="s">
        <v>12554</v>
      </c>
    </row>
    <row r="635" spans="1:10">
      <c r="A635" s="383" t="str">
        <f>CONCATENATE("Reviewed on"," ",(TEXT('2022-2023 Applications Review'!$A635, "mm/dd/yyyy")))</f>
        <v>Reviewed on 08/18/2022</v>
      </c>
      <c r="B635" s="383" t="str">
        <f>'2022-2023 Applications Review'!B635</f>
        <v>Hypercell Technologies, Inc _2022</v>
      </c>
      <c r="C635" s="383" t="str">
        <f>'2022-2023 Applications Review'!E635</f>
        <v>Life Sciences</v>
      </c>
      <c r="D635" s="384" t="str">
        <f>'2022-2023 Applications Review'!Q635</f>
        <v>Invite Next Year</v>
      </c>
      <c r="E635" s="383"/>
      <c r="F635" s="383"/>
      <c r="G635" s="383"/>
      <c r="H635" s="383"/>
      <c r="I635" s="385" t="b">
        <v>1</v>
      </c>
      <c r="J635" s="386" t="s">
        <v>12555</v>
      </c>
    </row>
    <row r="636" spans="1:10">
      <c r="A636" s="383" t="str">
        <f>CONCATENATE("Reviewed on"," ",(TEXT('2022-2023 Applications Review'!$A636, "mm/dd/yyyy")))</f>
        <v>Reviewed on 08/18/2022</v>
      </c>
      <c r="B636" s="383" t="str">
        <f>'2022-2023 Applications Review'!B636</f>
        <v>Endeema _2022</v>
      </c>
      <c r="C636" s="383" t="str">
        <f>'2022-2023 Applications Review'!E636</f>
        <v>Digital Tech</v>
      </c>
      <c r="D636" s="384" t="str">
        <f>'2022-2023 Applications Review'!Q636</f>
        <v>Invite Next Year</v>
      </c>
      <c r="E636" s="383"/>
      <c r="F636" s="383"/>
      <c r="G636" s="383"/>
      <c r="H636" s="383"/>
      <c r="I636" s="385" t="b">
        <v>1</v>
      </c>
      <c r="J636" s="386" t="s">
        <v>12556</v>
      </c>
    </row>
    <row r="637" spans="1:10">
      <c r="A637" s="383" t="str">
        <f>CONCATENATE("Reviewed on"," ",(TEXT('2022-2023 Applications Review'!$A637, "mm/dd/yyyy")))</f>
        <v>Reviewed on 08/18/2022</v>
      </c>
      <c r="B637" s="383" t="str">
        <f>'2022-2023 Applications Review'!B637</f>
        <v>Sleuth _2022</v>
      </c>
      <c r="C637" s="383" t="str">
        <f>'2022-2023 Applications Review'!E637</f>
        <v>Digital Tech</v>
      </c>
      <c r="D637" s="384" t="str">
        <f>'2022-2023 Applications Review'!Q637</f>
        <v>Invite Next Year</v>
      </c>
      <c r="E637" s="383"/>
      <c r="F637" s="383"/>
      <c r="G637" s="383"/>
      <c r="H637" s="383"/>
      <c r="I637" s="385" t="b">
        <v>1</v>
      </c>
      <c r="J637" s="386" t="s">
        <v>12557</v>
      </c>
    </row>
    <row r="638" spans="1:10">
      <c r="A638" s="383" t="str">
        <f>CONCATENATE("Reviewed on"," ",(TEXT('2022-2023 Applications Review'!$A638, "mm/dd/yyyy")))</f>
        <v>Reviewed on 08/18/2022</v>
      </c>
      <c r="B638" s="383" t="str">
        <f>'2022-2023 Applications Review'!B638</f>
        <v>Fastagger Inc _2022</v>
      </c>
      <c r="C638" s="383" t="str">
        <f>'2022-2023 Applications Review'!E638</f>
        <v>Digital Tech</v>
      </c>
      <c r="D638" s="384" t="str">
        <f>'2022-2023 Applications Review'!Q638</f>
        <v>Invite Next Year</v>
      </c>
      <c r="E638" s="383"/>
      <c r="F638" s="383"/>
      <c r="G638" s="383"/>
      <c r="H638" s="383"/>
      <c r="I638" s="385" t="b">
        <v>1</v>
      </c>
      <c r="J638" s="386" t="s">
        <v>12558</v>
      </c>
    </row>
    <row r="639" spans="1:10">
      <c r="A639" s="383" t="str">
        <f>CONCATENATE("Reviewed on"," ",(TEXT('2022-2023 Applications Review'!$A639, "mm/dd/yyyy")))</f>
        <v>Reviewed on 08/18/2022</v>
      </c>
      <c r="B639" s="383" t="str">
        <f>'2022-2023 Applications Review'!B639</f>
        <v>Unlocked Labs Inc.  _2022</v>
      </c>
      <c r="C639" s="383" t="str">
        <f>'2022-2023 Applications Review'!E639</f>
        <v>Life Sciences</v>
      </c>
      <c r="D639" s="384" t="str">
        <f>'2022-2023 Applications Review'!Q639</f>
        <v>Invite Next Year</v>
      </c>
      <c r="E639" s="383"/>
      <c r="F639" s="383"/>
      <c r="G639" s="383"/>
      <c r="H639" s="383"/>
      <c r="I639" s="385" t="b">
        <v>1</v>
      </c>
      <c r="J639" s="386" t="s">
        <v>12559</v>
      </c>
    </row>
    <row r="640" spans="1:10">
      <c r="A640" s="383" t="str">
        <f>CONCATENATE("Reviewed on"," ",(TEXT('2022-2023 Applications Review'!$A640, "mm/dd/yyyy")))</f>
        <v>Reviewed on 08/18/2022</v>
      </c>
      <c r="B640" s="383" t="str">
        <f>'2022-2023 Applications Review'!B640</f>
        <v>Eoliann _2022</v>
      </c>
      <c r="C640" s="383" t="str">
        <f>'2022-2023 Applications Review'!E640</f>
        <v>Digital Tech</v>
      </c>
      <c r="D640" s="384" t="str">
        <f>'2022-2023 Applications Review'!Q640</f>
        <v>Invite Next Year</v>
      </c>
      <c r="E640" s="383"/>
      <c r="F640" s="383"/>
      <c r="G640" s="383"/>
      <c r="H640" s="383"/>
      <c r="I640" s="385" t="b">
        <v>1</v>
      </c>
      <c r="J640" s="386" t="s">
        <v>12560</v>
      </c>
    </row>
    <row r="641" spans="1:10">
      <c r="A641" s="383" t="str">
        <f>CONCATENATE("Reviewed on"," ",(TEXT('2022-2023 Applications Review'!$A641, "mm/dd/yyyy")))</f>
        <v>Reviewed on 08/18/2022</v>
      </c>
      <c r="B641" s="383" t="str">
        <f>'2022-2023 Applications Review'!B641</f>
        <v>REX Property Holdings Corp _2022</v>
      </c>
      <c r="C641" s="383" t="str">
        <f>'2022-2023 Applications Review'!E641</f>
        <v>Digital Tech</v>
      </c>
      <c r="D641" s="384" t="str">
        <f>'2022-2023 Applications Review'!Q641</f>
        <v>Special Reject</v>
      </c>
      <c r="E641" s="383"/>
      <c r="F641" s="383"/>
      <c r="G641" s="383"/>
      <c r="H641" s="383"/>
      <c r="I641" s="385" t="b">
        <v>1</v>
      </c>
      <c r="J641" s="386" t="s">
        <v>12561</v>
      </c>
    </row>
    <row r="642" spans="1:10">
      <c r="A642" s="383" t="str">
        <f>CONCATENATE("Reviewed on"," ",(TEXT('2022-2023 Applications Review'!$A642, "mm/dd/yyyy")))</f>
        <v>Reviewed on 08/18/2022</v>
      </c>
      <c r="B642" s="383" t="str">
        <f>'2022-2023 Applications Review'!B642</f>
        <v>Shortcut Robotics, Inc. _2022</v>
      </c>
      <c r="C642" s="383" t="str">
        <f>'2022-2023 Applications Review'!E642</f>
        <v>Deep Tech</v>
      </c>
      <c r="D642" s="384" t="str">
        <f>'2022-2023 Applications Review'!Q642</f>
        <v>Invite Next Year</v>
      </c>
      <c r="E642" s="383"/>
      <c r="F642" s="383"/>
      <c r="G642" s="383"/>
      <c r="H642" s="383"/>
      <c r="I642" s="385" t="b">
        <v>1</v>
      </c>
      <c r="J642" s="386" t="s">
        <v>12562</v>
      </c>
    </row>
    <row r="643" spans="1:10">
      <c r="A643" s="383" t="str">
        <f>CONCATENATE("Reviewed on"," ",(TEXT('2022-2023 Applications Review'!$A643, "mm/dd/yyyy")))</f>
        <v>Reviewed on 08/18/2022</v>
      </c>
      <c r="B643" s="383" t="str">
        <f>'2022-2023 Applications Review'!B643</f>
        <v>Expertwired _2022</v>
      </c>
      <c r="C643" s="383" t="str">
        <f>'2022-2023 Applications Review'!E643</f>
        <v>Digital Tech</v>
      </c>
      <c r="D643" s="384" t="str">
        <f>'2022-2023 Applications Review'!Q643</f>
        <v>Invite Next Year</v>
      </c>
      <c r="E643" s="383"/>
      <c r="F643" s="383"/>
      <c r="G643" s="383"/>
      <c r="H643" s="383"/>
      <c r="I643" s="385" t="b">
        <v>1</v>
      </c>
      <c r="J643" s="386" t="s">
        <v>12563</v>
      </c>
    </row>
    <row r="644" spans="1:10">
      <c r="A644" s="383" t="str">
        <f>CONCATENATE("Reviewed on"," ",(TEXT('2022-2023 Applications Review'!$A644, "mm/dd/yyyy")))</f>
        <v>Reviewed on 08/18/2022</v>
      </c>
      <c r="B644" s="383" t="str">
        <f>'2022-2023 Applications Review'!B644</f>
        <v>Neuropair, Inc. _2022</v>
      </c>
      <c r="C644" s="383" t="str">
        <f>'2022-2023 Applications Review'!E644</f>
        <v>Life Sciences</v>
      </c>
      <c r="D644" s="384" t="str">
        <f>'2022-2023 Applications Review'!Q644</f>
        <v>Invite Next Year</v>
      </c>
      <c r="E644" s="383"/>
      <c r="F644" s="383"/>
      <c r="G644" s="383"/>
      <c r="H644" s="383"/>
      <c r="I644" s="385" t="b">
        <v>1</v>
      </c>
      <c r="J644" s="386" t="s">
        <v>12564</v>
      </c>
    </row>
    <row r="645" spans="1:10">
      <c r="A645" s="383" t="str">
        <f>CONCATENATE("Reviewed on"," ",(TEXT('2022-2023 Applications Review'!$A645, "mm/dd/yyyy")))</f>
        <v>Reviewed on 08/18/2022</v>
      </c>
      <c r="B645" s="383" t="str">
        <f>'2022-2023 Applications Review'!B645</f>
        <v>Wenu Work _2022</v>
      </c>
      <c r="C645" s="383" t="str">
        <f>'2022-2023 Applications Review'!E645</f>
        <v>Deep Tech</v>
      </c>
      <c r="D645" s="384" t="str">
        <f>'2022-2023 Applications Review'!Q645</f>
        <v>Invite Next Year</v>
      </c>
      <c r="E645" s="383"/>
      <c r="F645" s="383"/>
      <c r="G645" s="383"/>
      <c r="H645" s="383"/>
      <c r="I645" s="385" t="b">
        <v>1</v>
      </c>
      <c r="J645" s="386" t="s">
        <v>12565</v>
      </c>
    </row>
    <row r="646" spans="1:10">
      <c r="A646" s="383" t="str">
        <f>CONCATENATE("Reviewed on"," ",(TEXT('2022-2023 Applications Review'!$A646, "mm/dd/yyyy")))</f>
        <v>Reviewed on 08/18/2022</v>
      </c>
      <c r="B646" s="383" t="str">
        <f>'2022-2023 Applications Review'!B646</f>
        <v>Bairitone Health Inc _2022</v>
      </c>
      <c r="C646" s="383" t="str">
        <f>'2022-2023 Applications Review'!E646</f>
        <v>Deep Tech</v>
      </c>
      <c r="D646" s="384" t="str">
        <f>'2022-2023 Applications Review'!Q646</f>
        <v>Invite Next Year</v>
      </c>
      <c r="E646" s="383"/>
      <c r="F646" s="383"/>
      <c r="G646" s="383"/>
      <c r="H646" s="383"/>
      <c r="I646" s="385" t="b">
        <v>1</v>
      </c>
      <c r="J646" s="386" t="s">
        <v>12566</v>
      </c>
    </row>
    <row r="647" spans="1:10">
      <c r="A647" s="383" t="str">
        <f>CONCATENATE("Reviewed on"," ",(TEXT('2022-2023 Applications Review'!$A647, "mm/dd/yyyy")))</f>
        <v>Reviewed on 08/18/2022</v>
      </c>
      <c r="B647" s="383" t="str">
        <f>'2022-2023 Applications Review'!B647</f>
        <v>Stonehouse Innovations, LLC _2022</v>
      </c>
      <c r="C647" s="383" t="str">
        <f>'2022-2023 Applications Review'!E647</f>
        <v>Deep Tech</v>
      </c>
      <c r="D647" s="384" t="str">
        <f>'2022-2023 Applications Review'!Q647</f>
        <v>Invite Next Year</v>
      </c>
      <c r="E647" s="383"/>
      <c r="F647" s="383"/>
      <c r="G647" s="383"/>
      <c r="H647" s="383"/>
      <c r="I647" s="385" t="b">
        <v>1</v>
      </c>
      <c r="J647" s="386" t="s">
        <v>12567</v>
      </c>
    </row>
    <row r="648" spans="1:10">
      <c r="A648" s="383" t="str">
        <f>CONCATENATE("Reviewed on"," ",(TEXT('2022-2023 Applications Review'!$A648, "mm/dd/yyyy")))</f>
        <v>Reviewed on 08/18/2022</v>
      </c>
      <c r="B648" s="383" t="str">
        <f>'2022-2023 Applications Review'!B648</f>
        <v>Purency _2022</v>
      </c>
      <c r="C648" s="383" t="str">
        <f>'2022-2023 Applications Review'!E648</f>
        <v>Digital Tech</v>
      </c>
      <c r="D648" s="384" t="str">
        <f>'2022-2023 Applications Review'!Q648</f>
        <v>Invite Next Year</v>
      </c>
      <c r="E648" s="383"/>
      <c r="F648" s="383"/>
      <c r="G648" s="383"/>
      <c r="H648" s="383"/>
      <c r="I648" s="385" t="b">
        <v>1</v>
      </c>
      <c r="J648" s="386" t="s">
        <v>12568</v>
      </c>
    </row>
    <row r="649" spans="1:10">
      <c r="A649" s="383" t="str">
        <f>CONCATENATE("Reviewed on"," ",(TEXT('2022-2023 Applications Review'!$A649, "mm/dd/yyyy")))</f>
        <v>Reviewed on 08/18/2022</v>
      </c>
      <c r="B649" s="383" t="str">
        <f>'2022-2023 Applications Review'!B649</f>
        <v>Blue Studios.io _2022</v>
      </c>
      <c r="C649" s="383" t="str">
        <f>'2022-2023 Applications Review'!E649</f>
        <v>Digital Tech</v>
      </c>
      <c r="D649" s="384" t="str">
        <f>'2022-2023 Applications Review'!Q649</f>
        <v>Invite Next Year</v>
      </c>
      <c r="E649" s="383"/>
      <c r="F649" s="383"/>
      <c r="G649" s="383"/>
      <c r="H649" s="383"/>
      <c r="I649" s="385" t="b">
        <v>1</v>
      </c>
      <c r="J649" s="386" t="s">
        <v>12569</v>
      </c>
    </row>
    <row r="650" spans="1:10">
      <c r="A650" s="383" t="str">
        <f>CONCATENATE("Reviewed on"," ",(TEXT('2022-2023 Applications Review'!$A650, "mm/dd/yyyy")))</f>
        <v>Reviewed on 08/18/2022</v>
      </c>
      <c r="B650" s="383" t="str">
        <f>'2022-2023 Applications Review'!B650</f>
        <v>EcoEdge Data _2022</v>
      </c>
      <c r="C650" s="383" t="str">
        <f>'2022-2023 Applications Review'!E650</f>
        <v>Deep Tech</v>
      </c>
      <c r="D650" s="384" t="str">
        <f>'2022-2023 Applications Review'!Q650</f>
        <v>Invite Next Year</v>
      </c>
      <c r="E650" s="383"/>
      <c r="F650" s="383"/>
      <c r="G650" s="383"/>
      <c r="H650" s="383"/>
      <c r="I650" s="385" t="b">
        <v>1</v>
      </c>
      <c r="J650" s="386" t="s">
        <v>12570</v>
      </c>
    </row>
    <row r="651" spans="1:10">
      <c r="A651" s="383" t="str">
        <f>CONCATENATE("Reviewed on"," ",(TEXT('2022-2023 Applications Review'!$A651, "mm/dd/yyyy")))</f>
        <v>Reviewed on 08/18/2022</v>
      </c>
      <c r="B651" s="383" t="str">
        <f>'2022-2023 Applications Review'!B651</f>
        <v>Solais Ventures LLC _2022</v>
      </c>
      <c r="C651" s="383" t="str">
        <f>'2022-2023 Applications Review'!E651</f>
        <v>Deep Tech</v>
      </c>
      <c r="D651" s="384" t="str">
        <f>'2022-2023 Applications Review'!Q651</f>
        <v>Invite Next Year</v>
      </c>
      <c r="E651" s="383"/>
      <c r="F651" s="383"/>
      <c r="G651" s="383"/>
      <c r="H651" s="383"/>
      <c r="I651" s="385" t="b">
        <v>1</v>
      </c>
      <c r="J651" s="386" t="s">
        <v>12571</v>
      </c>
    </row>
    <row r="652" spans="1:10">
      <c r="A652" s="383" t="str">
        <f>CONCATENATE("Reviewed on"," ",(TEXT('2022-2023 Applications Review'!$A652, "mm/dd/yyyy")))</f>
        <v>Reviewed on 08/18/2022</v>
      </c>
      <c r="B652" s="383" t="str">
        <f>'2022-2023 Applications Review'!B652</f>
        <v>Vyir Inc _2022</v>
      </c>
      <c r="C652" s="383" t="str">
        <f>'2022-2023 Applications Review'!E652</f>
        <v>Deep Tech</v>
      </c>
      <c r="D652" s="384" t="str">
        <f>'2022-2023 Applications Review'!Q652</f>
        <v>Invite Next Year</v>
      </c>
      <c r="E652" s="383"/>
      <c r="F652" s="383"/>
      <c r="G652" s="383"/>
      <c r="H652" s="383"/>
      <c r="I652" s="385" t="b">
        <v>1</v>
      </c>
      <c r="J652" s="386" t="s">
        <v>12572</v>
      </c>
    </row>
    <row r="653" spans="1:10">
      <c r="A653" s="383" t="str">
        <f>CONCATENATE("Reviewed on"," ",(TEXT('2022-2023 Applications Review'!$A653, "mm/dd/yyyy")))</f>
        <v>Reviewed on 08/18/2022</v>
      </c>
      <c r="B653" s="383" t="str">
        <f>'2022-2023 Applications Review'!B653</f>
        <v>TerMir, Inc. _2022</v>
      </c>
      <c r="C653" s="383" t="str">
        <f>'2022-2023 Applications Review'!E653</f>
        <v>Deep Tech</v>
      </c>
      <c r="D653" s="384" t="str">
        <f>'2022-2023 Applications Review'!Q653</f>
        <v>Invite Next Year</v>
      </c>
      <c r="E653" s="383"/>
      <c r="F653" s="383"/>
      <c r="G653" s="383"/>
      <c r="H653" s="383"/>
      <c r="I653" s="385" t="b">
        <v>1</v>
      </c>
      <c r="J653" s="386" t="s">
        <v>12573</v>
      </c>
    </row>
    <row r="654" spans="1:10">
      <c r="A654" s="383" t="str">
        <f>CONCATENATE("Reviewed on"," ",(TEXT('2022-2023 Applications Review'!$A654, "mm/dd/yyyy")))</f>
        <v>Reviewed on 08/18/2022</v>
      </c>
      <c r="B654" s="383" t="str">
        <f>'2022-2023 Applications Review'!B654</f>
        <v>Gaia AI _2022</v>
      </c>
      <c r="C654" s="383" t="str">
        <f>'2022-2023 Applications Review'!E654</f>
        <v>Digital Tech</v>
      </c>
      <c r="D654" s="384" t="str">
        <f>'2022-2023 Applications Review'!Q654</f>
        <v>Invite Next Year</v>
      </c>
      <c r="E654" s="383"/>
      <c r="F654" s="383"/>
      <c r="G654" s="383"/>
      <c r="H654" s="383"/>
      <c r="I654" s="385" t="b">
        <v>1</v>
      </c>
      <c r="J654" s="386" t="s">
        <v>12574</v>
      </c>
    </row>
    <row r="655" spans="1:10">
      <c r="A655" s="383" t="str">
        <f>CONCATENATE("Reviewed on"," ",(TEXT('2022-2023 Applications Review'!$A655, "mm/dd/yyyy")))</f>
        <v>Reviewed on 08/18/2022</v>
      </c>
      <c r="B655" s="383" t="str">
        <f>'2022-2023 Applications Review'!B655</f>
        <v>Insu Health Design, Inc _2022</v>
      </c>
      <c r="C655" s="383" t="str">
        <f>'2022-2023 Applications Review'!E655</f>
        <v>Deep Tech</v>
      </c>
      <c r="D655" s="384" t="str">
        <f>'2022-2023 Applications Review'!Q655</f>
        <v>Invite Next Year</v>
      </c>
      <c r="E655" s="383"/>
      <c r="F655" s="383"/>
      <c r="G655" s="383"/>
      <c r="H655" s="383"/>
      <c r="I655" s="385" t="b">
        <v>1</v>
      </c>
      <c r="J655" s="386" t="s">
        <v>12575</v>
      </c>
    </row>
    <row r="656" spans="1:10">
      <c r="A656" s="383" t="str">
        <f>CONCATENATE("Reviewed on"," ",(TEXT('2022-2023 Applications Review'!$A656, "mm/dd/yyyy")))</f>
        <v>Reviewed on 08/18/2022</v>
      </c>
      <c r="B656" s="383" t="str">
        <f>'2022-2023 Applications Review'!B656</f>
        <v>Tau Drones _2022</v>
      </c>
      <c r="C656" s="383" t="str">
        <f>'2022-2023 Applications Review'!E656</f>
        <v>Deep Tech</v>
      </c>
      <c r="D656" s="384" t="str">
        <f>'2022-2023 Applications Review'!Q656</f>
        <v>Invite Next Year</v>
      </c>
      <c r="E656" s="383"/>
      <c r="F656" s="383"/>
      <c r="G656" s="383"/>
      <c r="H656" s="383"/>
      <c r="I656" s="385" t="b">
        <v>1</v>
      </c>
      <c r="J656" s="386" t="s">
        <v>12576</v>
      </c>
    </row>
    <row r="657" spans="1:10">
      <c r="A657" s="383" t="str">
        <f>CONCATENATE("Reviewed on"," ",(TEXT('2022-2023 Applications Review'!$A657, "mm/dd/yyyy")))</f>
        <v>Reviewed on 08/18/2022</v>
      </c>
      <c r="B657" s="383" t="str">
        <f>'2022-2023 Applications Review'!B657</f>
        <v>Melior AI, Inc. _2022</v>
      </c>
      <c r="C657" s="383" t="str">
        <f>'2022-2023 Applications Review'!E657</f>
        <v>Digital Tech</v>
      </c>
      <c r="D657" s="384" t="str">
        <f>'2022-2023 Applications Review'!Q657</f>
        <v>Revisit/ Cluster</v>
      </c>
      <c r="E657" s="383"/>
      <c r="F657" s="383"/>
      <c r="G657" s="383"/>
      <c r="H657" s="383"/>
      <c r="I657" s="385" t="b">
        <v>1</v>
      </c>
      <c r="J657" s="386" t="s">
        <v>12577</v>
      </c>
    </row>
    <row r="658" spans="1:10">
      <c r="A658" s="383" t="str">
        <f>CONCATENATE("Reviewed on"," ",(TEXT('2022-2023 Applications Review'!$A658, "mm/dd/yyyy")))</f>
        <v>Reviewed on 08/18/2022</v>
      </c>
      <c r="B658" s="383" t="str">
        <f>'2022-2023 Applications Review'!B658</f>
        <v>Verity Fitech _2022</v>
      </c>
      <c r="C658" s="383" t="str">
        <f>'2022-2023 Applications Review'!E658</f>
        <v>Digital Tech</v>
      </c>
      <c r="D658" s="384" t="str">
        <f>'2022-2023 Applications Review'!Q658</f>
        <v>Invite Next Year</v>
      </c>
      <c r="E658" s="383"/>
      <c r="F658" s="383"/>
      <c r="G658" s="383"/>
      <c r="H658" s="383"/>
      <c r="I658" s="385" t="b">
        <v>1</v>
      </c>
      <c r="J658" s="386" t="s">
        <v>12578</v>
      </c>
    </row>
    <row r="659" spans="1:10">
      <c r="A659" s="383" t="str">
        <f>CONCATENATE("Reviewed on"," ",(TEXT('2022-2023 Applications Review'!$A659, "mm/dd/yyyy")))</f>
        <v>Reviewed on 08/18/2022</v>
      </c>
      <c r="B659" s="383" t="str">
        <f>'2022-2023 Applications Review'!B659</f>
        <v>DIGITAL CENTURY LIMITED _2022</v>
      </c>
      <c r="C659" s="383" t="str">
        <f>'2022-2023 Applications Review'!E659</f>
        <v>Digital Tech</v>
      </c>
      <c r="D659" s="384" t="str">
        <f>'2022-2023 Applications Review'!Q659</f>
        <v>Invite Next Year</v>
      </c>
      <c r="E659" s="383"/>
      <c r="F659" s="383"/>
      <c r="G659" s="383"/>
      <c r="H659" s="383"/>
      <c r="I659" s="385" t="b">
        <v>1</v>
      </c>
      <c r="J659" s="386" t="s">
        <v>12579</v>
      </c>
    </row>
    <row r="660" spans="1:10">
      <c r="A660" s="383" t="str">
        <f>CONCATENATE("Reviewed on"," ",(TEXT('2022-2023 Applications Review'!$A660, "mm/dd/yyyy")))</f>
        <v>Reviewed on 08/18/2022</v>
      </c>
      <c r="B660" s="383" t="str">
        <f>'2022-2023 Applications Review'!B660</f>
        <v>Boto _2022</v>
      </c>
      <c r="C660" s="383" t="str">
        <f>'2022-2023 Applications Review'!E660</f>
        <v>Digital Tech</v>
      </c>
      <c r="D660" s="384" t="str">
        <f>'2022-2023 Applications Review'!Q660</f>
        <v>Invite Next Year</v>
      </c>
      <c r="E660" s="383"/>
      <c r="F660" s="383"/>
      <c r="G660" s="383"/>
      <c r="H660" s="383"/>
      <c r="I660" s="385" t="b">
        <v>1</v>
      </c>
      <c r="J660" s="386" t="s">
        <v>12580</v>
      </c>
    </row>
    <row r="661" spans="1:10">
      <c r="A661" s="383" t="str">
        <f>CONCATENATE("Reviewed on"," ",(TEXT('2022-2023 Applications Review'!$A661, "mm/dd/yyyy")))</f>
        <v>Reviewed on 08/18/2022</v>
      </c>
      <c r="B661" s="383" t="str">
        <f>'2022-2023 Applications Review'!B661</f>
        <v>4A Financial Technology Private Limited _2022</v>
      </c>
      <c r="C661" s="383" t="str">
        <f>'2022-2023 Applications Review'!E661</f>
        <v>Digital Tech</v>
      </c>
      <c r="D661" s="384" t="str">
        <f>'2022-2023 Applications Review'!Q661</f>
        <v>Invite Next Year</v>
      </c>
      <c r="E661" s="383"/>
      <c r="F661" s="383"/>
      <c r="G661" s="383"/>
      <c r="H661" s="383"/>
      <c r="I661" s="385" t="b">
        <v>1</v>
      </c>
      <c r="J661" s="386" t="s">
        <v>12581</v>
      </c>
    </row>
    <row r="662" spans="1:10">
      <c r="A662" s="383" t="str">
        <f>CONCATENATE("Reviewed on"," ",(TEXT('2022-2023 Applications Review'!$A662, "mm/dd/yyyy")))</f>
        <v>Reviewed on 08/18/2022</v>
      </c>
      <c r="B662" s="383" t="str">
        <f>'2022-2023 Applications Review'!B662</f>
        <v>enspired _2022</v>
      </c>
      <c r="C662" s="383" t="str">
        <f>'2022-2023 Applications Review'!E662</f>
        <v>Digital Tech</v>
      </c>
      <c r="D662" s="384" t="str">
        <f>'2022-2023 Applications Review'!Q662</f>
        <v>Invite Next Year</v>
      </c>
      <c r="E662" s="383"/>
      <c r="F662" s="383"/>
      <c r="G662" s="383"/>
      <c r="H662" s="383"/>
      <c r="I662" s="385" t="b">
        <v>1</v>
      </c>
      <c r="J662" s="386" t="s">
        <v>12582</v>
      </c>
    </row>
    <row r="663" spans="1:10">
      <c r="A663" s="383" t="str">
        <f>CONCATENATE("Reviewed on"," ",(TEXT('2022-2023 Applications Review'!$A663, "mm/dd/yyyy")))</f>
        <v>Reviewed on 08/18/2022</v>
      </c>
      <c r="B663" s="383" t="str">
        <f>'2022-2023 Applications Review'!B663</f>
        <v>AdaSwap _2022</v>
      </c>
      <c r="C663" s="383" t="str">
        <f>'2022-2023 Applications Review'!E663</f>
        <v>Deep Tech</v>
      </c>
      <c r="D663" s="384" t="str">
        <f>'2022-2023 Applications Review'!Q663</f>
        <v>Invite Next Year</v>
      </c>
      <c r="E663" s="383"/>
      <c r="F663" s="383"/>
      <c r="G663" s="383"/>
      <c r="H663" s="383"/>
      <c r="I663" s="385" t="b">
        <v>1</v>
      </c>
      <c r="J663" s="386" t="s">
        <v>12583</v>
      </c>
    </row>
    <row r="664" spans="1:10">
      <c r="A664" s="383" t="str">
        <f>CONCATENATE("Reviewed on"," ",(TEXT('2022-2023 Applications Review'!$A664, "mm/dd/yyyy")))</f>
        <v>Reviewed on 08/18/2022</v>
      </c>
      <c r="B664" s="383" t="str">
        <f>'2022-2023 Applications Review'!B664</f>
        <v>Apphive _2022</v>
      </c>
      <c r="C664" s="383" t="str">
        <f>'2022-2023 Applications Review'!E664</f>
        <v>Digital Tech</v>
      </c>
      <c r="D664" s="384" t="str">
        <f>'2022-2023 Applications Review'!Q664</f>
        <v>Invite Next Year</v>
      </c>
      <c r="E664" s="383"/>
      <c r="F664" s="383"/>
      <c r="G664" s="383"/>
      <c r="H664" s="383"/>
      <c r="I664" s="385" t="b">
        <v>1</v>
      </c>
      <c r="J664" s="386" t="s">
        <v>12584</v>
      </c>
    </row>
    <row r="665" spans="1:10">
      <c r="A665" s="383" t="str">
        <f>CONCATENATE("Reviewed on"," ",(TEXT('2022-2023 Applications Review'!$A665, "mm/dd/yyyy")))</f>
        <v>Reviewed on 08/18/2022</v>
      </c>
      <c r="B665" s="383" t="str">
        <f>'2022-2023 Applications Review'!B665</f>
        <v>Plethy _2022</v>
      </c>
      <c r="C665" s="383" t="str">
        <f>'2022-2023 Applications Review'!E665</f>
        <v>Digital Tech</v>
      </c>
      <c r="D665" s="384" t="str">
        <f>'2022-2023 Applications Review'!Q665</f>
        <v>Invite Next Year</v>
      </c>
      <c r="E665" s="383"/>
      <c r="F665" s="383"/>
      <c r="G665" s="383"/>
      <c r="H665" s="383"/>
      <c r="I665" s="385" t="b">
        <v>1</v>
      </c>
      <c r="J665" s="386" t="s">
        <v>12585</v>
      </c>
    </row>
    <row r="666" spans="1:10">
      <c r="A666" s="383" t="str">
        <f>CONCATENATE("Reviewed on"," ",(TEXT('2022-2023 Applications Review'!$A666, "mm/dd/yyyy")))</f>
        <v>Reviewed on 08/18/2022</v>
      </c>
      <c r="B666" s="383" t="str">
        <f>'2022-2023 Applications Review'!B666</f>
        <v>Silicon Assurance  _2022</v>
      </c>
      <c r="C666" s="383" t="str">
        <f>'2022-2023 Applications Review'!E666</f>
        <v>Digital Tech</v>
      </c>
      <c r="D666" s="384" t="str">
        <f>'2022-2023 Applications Review'!Q666</f>
        <v>Invite Next Year</v>
      </c>
      <c r="E666" s="383"/>
      <c r="F666" s="383"/>
      <c r="G666" s="383"/>
      <c r="H666" s="383"/>
      <c r="I666" s="385" t="b">
        <v>1</v>
      </c>
      <c r="J666" s="386" t="s">
        <v>12586</v>
      </c>
    </row>
    <row r="667" spans="1:10">
      <c r="A667" s="383" t="str">
        <f>CONCATENATE("Reviewed on"," ",(TEXT('2022-2023 Applications Review'!$A667, "mm/dd/yyyy")))</f>
        <v>Reviewed on 08/18/2022</v>
      </c>
      <c r="B667" s="383" t="str">
        <f>'2022-2023 Applications Review'!B667</f>
        <v>Navierre _2022</v>
      </c>
      <c r="C667" s="383" t="str">
        <f>'2022-2023 Applications Review'!E667</f>
        <v>Digital Tech</v>
      </c>
      <c r="D667" s="384" t="str">
        <f>'2022-2023 Applications Review'!Q667</f>
        <v>Invite Next Year</v>
      </c>
      <c r="E667" s="383"/>
      <c r="F667" s="383"/>
      <c r="G667" s="383"/>
      <c r="H667" s="383"/>
      <c r="I667" s="385" t="b">
        <v>1</v>
      </c>
      <c r="J667" s="386" t="s">
        <v>12587</v>
      </c>
    </row>
    <row r="668" spans="1:10">
      <c r="A668" s="383" t="str">
        <f>CONCATENATE("Reviewed on"," ",(TEXT('2022-2023 Applications Review'!$A668, "mm/dd/yyyy")))</f>
        <v>Reviewed on 08/18/2022</v>
      </c>
      <c r="B668" s="383" t="str">
        <f>'2022-2023 Applications Review'!B668</f>
        <v>Walkspan _2022</v>
      </c>
      <c r="C668" s="383" t="str">
        <f>'2022-2023 Applications Review'!E668</f>
        <v>Deep Tech</v>
      </c>
      <c r="D668" s="384" t="str">
        <f>'2022-2023 Applications Review'!Q668</f>
        <v>Invite Next Year</v>
      </c>
      <c r="E668" s="383"/>
      <c r="F668" s="383"/>
      <c r="G668" s="383"/>
      <c r="H668" s="383"/>
      <c r="I668" s="385" t="b">
        <v>1</v>
      </c>
      <c r="J668" s="386" t="s">
        <v>12588</v>
      </c>
    </row>
    <row r="669" spans="1:10">
      <c r="A669" s="383" t="str">
        <f>CONCATENATE("Reviewed on"," ",(TEXT('2022-2023 Applications Review'!$A669, "mm/dd/yyyy")))</f>
        <v>Reviewed on 08/18/2022</v>
      </c>
      <c r="B669" s="383" t="str">
        <f>'2022-2023 Applications Review'!B669</f>
        <v>MiFood Tech _2022</v>
      </c>
      <c r="C669" s="383" t="str">
        <f>'2022-2023 Applications Review'!E669</f>
        <v>Deep Tech</v>
      </c>
      <c r="D669" s="384" t="str">
        <f>'2022-2023 Applications Review'!Q669</f>
        <v>Invite Next Year</v>
      </c>
      <c r="E669" s="383"/>
      <c r="F669" s="383"/>
      <c r="G669" s="383"/>
      <c r="H669" s="383"/>
      <c r="I669" s="385" t="b">
        <v>1</v>
      </c>
      <c r="J669" s="386" t="s">
        <v>12589</v>
      </c>
    </row>
    <row r="670" spans="1:10">
      <c r="A670" s="383" t="str">
        <f>CONCATENATE("Reviewed on"," ",(TEXT('2022-2023 Applications Review'!$A670, "mm/dd/yyyy")))</f>
        <v>Reviewed on 08/18/2022</v>
      </c>
      <c r="B670" s="383" t="str">
        <f>'2022-2023 Applications Review'!B670</f>
        <v>Tekuma _2022</v>
      </c>
      <c r="C670" s="383" t="str">
        <f>'2022-2023 Applications Review'!E670</f>
        <v>Deep Tech</v>
      </c>
      <c r="D670" s="384" t="str">
        <f>'2022-2023 Applications Review'!Q670</f>
        <v>Invite Next Year</v>
      </c>
      <c r="E670" s="383"/>
      <c r="F670" s="383"/>
      <c r="G670" s="383"/>
      <c r="H670" s="383"/>
      <c r="I670" s="385" t="b">
        <v>1</v>
      </c>
      <c r="J670" s="386" t="s">
        <v>12590</v>
      </c>
    </row>
    <row r="671" spans="1:10">
      <c r="A671" s="383" t="str">
        <f>CONCATENATE("Reviewed on"," ",(TEXT('2022-2023 Applications Review'!$A671, "mm/dd/yyyy")))</f>
        <v>Reviewed on 08/18/2022</v>
      </c>
      <c r="B671" s="383" t="str">
        <f>'2022-2023 Applications Review'!B671</f>
        <v>Langoo _2022</v>
      </c>
      <c r="C671" s="383" t="str">
        <f>'2022-2023 Applications Review'!E671</f>
        <v>Digital Tech</v>
      </c>
      <c r="D671" s="384" t="str">
        <f>'2022-2023 Applications Review'!Q671</f>
        <v>Invite Next Year</v>
      </c>
      <c r="E671" s="383"/>
      <c r="F671" s="383"/>
      <c r="G671" s="383"/>
      <c r="H671" s="383"/>
      <c r="I671" s="385" t="b">
        <v>1</v>
      </c>
      <c r="J671" s="386" t="s">
        <v>12591</v>
      </c>
    </row>
    <row r="672" spans="1:10">
      <c r="A672" s="383" t="str">
        <f>CONCATENATE("Reviewed on"," ",(TEXT('2022-2023 Applications Review'!$A672, "mm/dd/yyyy")))</f>
        <v>Reviewed on 08/18/2022</v>
      </c>
      <c r="B672" s="383" t="str">
        <f>'2022-2023 Applications Review'!B672</f>
        <v>Innov2Learn _2022</v>
      </c>
      <c r="C672" s="383" t="str">
        <f>'2022-2023 Applications Review'!E672</f>
        <v>Life Sciences</v>
      </c>
      <c r="D672" s="384" t="str">
        <f>'2022-2023 Applications Review'!Q672</f>
        <v>Invite Next Year</v>
      </c>
      <c r="E672" s="383"/>
      <c r="F672" s="383"/>
      <c r="G672" s="383"/>
      <c r="H672" s="383"/>
      <c r="I672" s="385" t="b">
        <v>1</v>
      </c>
      <c r="J672" s="386" t="s">
        <v>12592</v>
      </c>
    </row>
    <row r="673" spans="1:10">
      <c r="A673" s="383" t="str">
        <f>CONCATENATE("Reviewed on"," ",(TEXT('2022-2023 Applications Review'!$A673, "mm/dd/yyyy")))</f>
        <v>Reviewed on 08/18/2022</v>
      </c>
      <c r="B673" s="383" t="str">
        <f>'2022-2023 Applications Review'!B673</f>
        <v>ClinConnect _2022</v>
      </c>
      <c r="C673" s="383" t="str">
        <f>'2022-2023 Applications Review'!E673</f>
        <v>Life Sciences</v>
      </c>
      <c r="D673" s="384" t="str">
        <f>'2022-2023 Applications Review'!Q673</f>
        <v>Invite Next Year</v>
      </c>
      <c r="E673" s="383"/>
      <c r="F673" s="383"/>
      <c r="G673" s="383"/>
      <c r="H673" s="383"/>
      <c r="I673" s="385" t="b">
        <v>1</v>
      </c>
      <c r="J673" s="386" t="s">
        <v>12593</v>
      </c>
    </row>
    <row r="674" spans="1:10">
      <c r="A674" s="383" t="str">
        <f>CONCATENATE("Reviewed on"," ",(TEXT('2022-2023 Applications Review'!$A674, "mm/dd/yyyy")))</f>
        <v>Reviewed on 08/18/2022</v>
      </c>
      <c r="B674" s="383" t="str">
        <f>'2022-2023 Applications Review'!B674</f>
        <v>manot _2022</v>
      </c>
      <c r="C674" s="383" t="str">
        <f>'2022-2023 Applications Review'!E674</f>
        <v>Digital Tech</v>
      </c>
      <c r="D674" s="384" t="str">
        <f>'2022-2023 Applications Review'!Q674</f>
        <v>Special Reject</v>
      </c>
      <c r="E674" s="383"/>
      <c r="F674" s="383"/>
      <c r="G674" s="383"/>
      <c r="H674" s="383"/>
      <c r="I674" s="385" t="b">
        <v>1</v>
      </c>
      <c r="J674" s="386" t="s">
        <v>12594</v>
      </c>
    </row>
    <row r="675" spans="1:10">
      <c r="A675" s="383" t="str">
        <f>CONCATENATE("Reviewed on"," ",(TEXT('2022-2023 Applications Review'!$A675, "mm/dd/yyyy")))</f>
        <v>Reviewed on 08/18/2022</v>
      </c>
      <c r="B675" s="383" t="str">
        <f>'2022-2023 Applications Review'!B675</f>
        <v>Kima _2022</v>
      </c>
      <c r="C675" s="383" t="str">
        <f>'2022-2023 Applications Review'!E675</f>
        <v>Digital Tech</v>
      </c>
      <c r="D675" s="384" t="str">
        <f>'2022-2023 Applications Review'!Q675</f>
        <v>Invite Next Year</v>
      </c>
      <c r="E675" s="383"/>
      <c r="F675" s="383"/>
      <c r="G675" s="383"/>
      <c r="H675" s="383"/>
      <c r="I675" s="385" t="b">
        <v>1</v>
      </c>
      <c r="J675" s="386" t="s">
        <v>12595</v>
      </c>
    </row>
    <row r="676" spans="1:10">
      <c r="A676" s="383" t="str">
        <f>CONCATENATE("Reviewed on"," ",(TEXT('2022-2023 Applications Review'!$A676, "mm/dd/yyyy")))</f>
        <v>Reviewed on 08/18/2022</v>
      </c>
      <c r="B676" s="383" t="str">
        <f>'2022-2023 Applications Review'!B676</f>
        <v>Dandelion Health, Inc. _2022</v>
      </c>
      <c r="C676" s="383" t="str">
        <f>'2022-2023 Applications Review'!E676</f>
        <v>Digital Tech</v>
      </c>
      <c r="D676" s="384" t="str">
        <f>'2022-2023 Applications Review'!Q676</f>
        <v>Invite Next Year</v>
      </c>
      <c r="E676" s="383"/>
      <c r="F676" s="383"/>
      <c r="G676" s="383"/>
      <c r="H676" s="383"/>
      <c r="I676" s="385" t="b">
        <v>1</v>
      </c>
      <c r="J676" s="386" t="s">
        <v>12596</v>
      </c>
    </row>
    <row r="677" spans="1:10">
      <c r="A677" s="383" t="str">
        <f>CONCATENATE("Reviewed on"," ",(TEXT('2022-2023 Applications Review'!$A677, "mm/dd/yyyy")))</f>
        <v>Reviewed on 08/18/2022</v>
      </c>
      <c r="B677" s="383" t="str">
        <f>'2022-2023 Applications Review'!B677</f>
        <v>Cruz Street LLC _2022</v>
      </c>
      <c r="C677" s="383" t="str">
        <f>'2022-2023 Applications Review'!E677</f>
        <v>Digital Tech</v>
      </c>
      <c r="D677" s="384" t="str">
        <f>'2022-2023 Applications Review'!Q677</f>
        <v>Invite Next Year</v>
      </c>
      <c r="E677" s="383"/>
      <c r="F677" s="383"/>
      <c r="G677" s="383"/>
      <c r="H677" s="383"/>
      <c r="I677" s="385" t="b">
        <v>1</v>
      </c>
      <c r="J677" s="386" t="s">
        <v>12597</v>
      </c>
    </row>
    <row r="678" spans="1:10">
      <c r="A678" s="383" t="str">
        <f>CONCATENATE("Reviewed on"," ",(TEXT('2022-2023 Applications Review'!$A678, "mm/dd/yyyy")))</f>
        <v>Reviewed on 08/18/2022</v>
      </c>
      <c r="B678" s="383" t="str">
        <f>'2022-2023 Applications Review'!B678</f>
        <v>Anatomech Private Limited _2022</v>
      </c>
      <c r="C678" s="383" t="str">
        <f>'2022-2023 Applications Review'!E678</f>
        <v>Deep Tech</v>
      </c>
      <c r="D678" s="384" t="str">
        <f>'2022-2023 Applications Review'!Q678</f>
        <v>Invite Next Year</v>
      </c>
      <c r="E678" s="383"/>
      <c r="F678" s="383"/>
      <c r="G678" s="383"/>
      <c r="H678" s="383"/>
      <c r="I678" s="385" t="b">
        <v>1</v>
      </c>
      <c r="J678" s="386" t="s">
        <v>12598</v>
      </c>
    </row>
    <row r="679" spans="1:10">
      <c r="A679" s="383" t="str">
        <f>CONCATENATE("Reviewed on"," ",(TEXT('2022-2023 Applications Review'!$A679, "mm/dd/yyyy")))</f>
        <v>Reviewed on 08/18/2022</v>
      </c>
      <c r="B679" s="383" t="str">
        <f>'2022-2023 Applications Review'!B679</f>
        <v>Avie AI _2022</v>
      </c>
      <c r="C679" s="383" t="str">
        <f>'2022-2023 Applications Review'!E679</f>
        <v>Digital Tech</v>
      </c>
      <c r="D679" s="384" t="str">
        <f>'2022-2023 Applications Review'!Q679</f>
        <v>Invite Next Year</v>
      </c>
      <c r="E679" s="383"/>
      <c r="F679" s="383"/>
      <c r="G679" s="383"/>
      <c r="H679" s="383"/>
      <c r="I679" s="385" t="b">
        <v>1</v>
      </c>
      <c r="J679" s="386" t="s">
        <v>12599</v>
      </c>
    </row>
    <row r="680" spans="1:10">
      <c r="A680" s="383" t="str">
        <f>CONCATENATE("Reviewed on"," ",(TEXT('2022-2023 Applications Review'!$A680, "mm/dd/yyyy")))</f>
        <v>Reviewed on 08/18/2022</v>
      </c>
      <c r="B680" s="383" t="str">
        <f>'2022-2023 Applications Review'!B680</f>
        <v>WERI _2022</v>
      </c>
      <c r="C680" s="383" t="str">
        <f>'2022-2023 Applications Review'!E680</f>
        <v>Digital Tech</v>
      </c>
      <c r="D680" s="384" t="str">
        <f>'2022-2023 Applications Review'!Q680</f>
        <v>Invite Next Year</v>
      </c>
      <c r="E680" s="383"/>
      <c r="F680" s="383"/>
      <c r="G680" s="383"/>
      <c r="H680" s="383"/>
      <c r="I680" s="385" t="b">
        <v>1</v>
      </c>
      <c r="J680" s="386" t="s">
        <v>12600</v>
      </c>
    </row>
    <row r="681" spans="1:10">
      <c r="A681" s="383" t="str">
        <f>CONCATENATE("Reviewed on"," ",(TEXT('2022-2023 Applications Review'!$A681, "mm/dd/yyyy")))</f>
        <v>Reviewed on 08/18/2022</v>
      </c>
      <c r="B681" s="383" t="str">
        <f>'2022-2023 Applications Review'!B681</f>
        <v>HeartHealth Technologies  _2022</v>
      </c>
      <c r="C681" s="383" t="str">
        <f>'2022-2023 Applications Review'!E681</f>
        <v>Deep Tech</v>
      </c>
      <c r="D681" s="384" t="str">
        <f>'2022-2023 Applications Review'!Q681</f>
        <v>Invite Next Year</v>
      </c>
      <c r="E681" s="383"/>
      <c r="F681" s="383"/>
      <c r="G681" s="383"/>
      <c r="H681" s="383"/>
      <c r="I681" s="385" t="b">
        <v>1</v>
      </c>
      <c r="J681" s="386" t="s">
        <v>12601</v>
      </c>
    </row>
    <row r="682" spans="1:10">
      <c r="A682" s="383" t="str">
        <f>CONCATENATE("Reviewed on"," ",(TEXT('2022-2023 Applications Review'!$A682, "mm/dd/yyyy")))</f>
        <v>Reviewed on 08/18/2022</v>
      </c>
      <c r="B682" s="383" t="str">
        <f>'2022-2023 Applications Review'!B682</f>
        <v>PraxiLabs _2022</v>
      </c>
      <c r="C682" s="383" t="str">
        <f>'2022-2023 Applications Review'!E682</f>
        <v>Digital Tech</v>
      </c>
      <c r="D682" s="384" t="str">
        <f>'2022-2023 Applications Review'!Q682</f>
        <v>Invite Next Year</v>
      </c>
      <c r="E682" s="383"/>
      <c r="F682" s="383"/>
      <c r="G682" s="383"/>
      <c r="H682" s="383"/>
      <c r="I682" s="385" t="b">
        <v>1</v>
      </c>
      <c r="J682" s="386" t="s">
        <v>12602</v>
      </c>
    </row>
    <row r="683" spans="1:10">
      <c r="A683" s="383" t="str">
        <f>CONCATENATE("Reviewed on"," ",(TEXT('2022-2023 Applications Review'!$A683, "mm/dd/yyyy")))</f>
        <v>Reviewed on 08/18/2022</v>
      </c>
      <c r="B683" s="383" t="str">
        <f>'2022-2023 Applications Review'!B683</f>
        <v>Podi.ai _2022</v>
      </c>
      <c r="C683" s="383" t="str">
        <f>'2022-2023 Applications Review'!E683</f>
        <v>Digital Tech</v>
      </c>
      <c r="D683" s="384" t="str">
        <f>'2022-2023 Applications Review'!Q683</f>
        <v>Invite Next Year</v>
      </c>
      <c r="E683" s="383"/>
      <c r="F683" s="383"/>
      <c r="G683" s="383"/>
      <c r="H683" s="383"/>
      <c r="I683" s="385" t="b">
        <v>1</v>
      </c>
      <c r="J683" s="386" t="s">
        <v>12603</v>
      </c>
    </row>
    <row r="684" spans="1:10">
      <c r="A684" s="383" t="str">
        <f>CONCATENATE("Reviewed on"," ",(TEXT('2022-2023 Applications Review'!$A684, "mm/dd/yyyy")))</f>
        <v>Reviewed on 08/18/2022</v>
      </c>
      <c r="B684" s="383" t="str">
        <f>'2022-2023 Applications Review'!B684</f>
        <v>bringy _2022</v>
      </c>
      <c r="C684" s="383" t="str">
        <f>'2022-2023 Applications Review'!E684</f>
        <v>Digital Tech</v>
      </c>
      <c r="D684" s="384" t="str">
        <f>'2022-2023 Applications Review'!Q684</f>
        <v>Invite Next Year</v>
      </c>
      <c r="E684" s="383"/>
      <c r="F684" s="383"/>
      <c r="G684" s="383"/>
      <c r="H684" s="383"/>
      <c r="I684" s="385" t="b">
        <v>1</v>
      </c>
      <c r="J684" s="386" t="s">
        <v>12604</v>
      </c>
    </row>
    <row r="685" spans="1:10">
      <c r="A685" s="383" t="str">
        <f>CONCATENATE("Reviewed on"," ",(TEXT('2022-2023 Applications Review'!$A685, "mm/dd/yyyy")))</f>
        <v>Reviewed on 08/18/2022</v>
      </c>
      <c r="B685" s="383" t="str">
        <f>'2022-2023 Applications Review'!B685</f>
        <v>CShell Health _2022</v>
      </c>
      <c r="C685" s="383" t="str">
        <f>'2022-2023 Applications Review'!E685</f>
        <v>Digital Tech</v>
      </c>
      <c r="D685" s="384" t="str">
        <f>'2022-2023 Applications Review'!Q685</f>
        <v>Invite Next Year</v>
      </c>
      <c r="E685" s="383"/>
      <c r="F685" s="383"/>
      <c r="G685" s="383"/>
      <c r="H685" s="383"/>
      <c r="I685" s="385" t="b">
        <v>1</v>
      </c>
      <c r="J685" s="386" t="s">
        <v>12605</v>
      </c>
    </row>
    <row r="686" spans="1:10">
      <c r="A686" s="383" t="str">
        <f>CONCATENATE("Reviewed on"," ",(TEXT('2022-2023 Applications Review'!$A686, "mm/dd/yyyy")))</f>
        <v>Reviewed on 08/18/2022</v>
      </c>
      <c r="B686" s="383" t="str">
        <f>'2022-2023 Applications Review'!B686</f>
        <v>Alloy Software GmbH _2022</v>
      </c>
      <c r="C686" s="383" t="str">
        <f>'2022-2023 Applications Review'!E686</f>
        <v>Digital Tech</v>
      </c>
      <c r="D686" s="384" t="str">
        <f>'2022-2023 Applications Review'!Q686</f>
        <v>Invite Next Year</v>
      </c>
      <c r="E686" s="383"/>
      <c r="F686" s="383"/>
      <c r="G686" s="383"/>
      <c r="H686" s="383"/>
      <c r="I686" s="385" t="b">
        <v>1</v>
      </c>
      <c r="J686" s="386" t="s">
        <v>12606</v>
      </c>
    </row>
    <row r="687" spans="1:10">
      <c r="A687" s="383" t="str">
        <f>CONCATENATE("Reviewed on"," ",(TEXT('2022-2023 Applications Review'!$A687, "mm/dd/yyyy")))</f>
        <v>Reviewed on 08/18/2022</v>
      </c>
      <c r="B687" s="383" t="str">
        <f>'2022-2023 Applications Review'!B687</f>
        <v>Cromatic _2022</v>
      </c>
      <c r="C687" s="383" t="str">
        <f>'2022-2023 Applications Review'!E687</f>
        <v>Digital Tech</v>
      </c>
      <c r="D687" s="384" t="str">
        <f>'2022-2023 Applications Review'!Q687</f>
        <v>Invite Next Year</v>
      </c>
      <c r="E687" s="383"/>
      <c r="F687" s="383"/>
      <c r="G687" s="383"/>
      <c r="H687" s="383"/>
      <c r="I687" s="385" t="b">
        <v>1</v>
      </c>
      <c r="J687" s="386" t="s">
        <v>12607</v>
      </c>
    </row>
    <row r="688" spans="1:10">
      <c r="A688" s="383" t="str">
        <f>CONCATENATE("Reviewed on"," ",(TEXT('2022-2023 Applications Review'!$A688, "mm/dd/yyyy")))</f>
        <v>Reviewed on 08/18/2022</v>
      </c>
      <c r="B688" s="383" t="str">
        <f>'2022-2023 Applications Review'!B688</f>
        <v>TRAFFpass _2022</v>
      </c>
      <c r="C688" s="383" t="str">
        <f>'2022-2023 Applications Review'!E688</f>
        <v>Deep Tech</v>
      </c>
      <c r="D688" s="384" t="str">
        <f>'2022-2023 Applications Review'!Q688</f>
        <v>Invite Next Year</v>
      </c>
      <c r="E688" s="383"/>
      <c r="F688" s="383"/>
      <c r="G688" s="383"/>
      <c r="H688" s="383"/>
      <c r="I688" s="385" t="b">
        <v>1</v>
      </c>
      <c r="J688" s="386" t="s">
        <v>12608</v>
      </c>
    </row>
    <row r="689" spans="1:10">
      <c r="A689" s="383" t="str">
        <f>CONCATENATE("Reviewed on"," ",(TEXT('2022-2023 Applications Review'!$A689, "mm/dd/yyyy")))</f>
        <v>Reviewed on 08/18/2022</v>
      </c>
      <c r="B689" s="383" t="str">
        <f>'2022-2023 Applications Review'!B689</f>
        <v>Flow Recovery Limited _2022</v>
      </c>
      <c r="C689" s="383" t="str">
        <f>'2022-2023 Applications Review'!E689</f>
        <v>Deep Tech</v>
      </c>
      <c r="D689" s="384" t="str">
        <f>'2022-2023 Applications Review'!Q689</f>
        <v>Special Reject</v>
      </c>
      <c r="E689" s="383"/>
      <c r="F689" s="383"/>
      <c r="G689" s="383"/>
      <c r="H689" s="383"/>
      <c r="I689" s="385" t="b">
        <v>1</v>
      </c>
      <c r="J689" s="386" t="s">
        <v>12609</v>
      </c>
    </row>
    <row r="690" spans="1:10">
      <c r="A690" s="383" t="str">
        <f>CONCATENATE("Reviewed on"," ",(TEXT('2022-2023 Applications Review'!$A690, "mm/dd/yyyy")))</f>
        <v>Reviewed on 08/18/2022</v>
      </c>
      <c r="B690" s="383" t="str">
        <f>'2022-2023 Applications Review'!B690</f>
        <v>AgriVijay _2022</v>
      </c>
      <c r="C690" s="383" t="str">
        <f>'2022-2023 Applications Review'!E690</f>
        <v>Deep Tech</v>
      </c>
      <c r="D690" s="384" t="str">
        <f>'2022-2023 Applications Review'!Q690</f>
        <v>Invite Next Year</v>
      </c>
      <c r="E690" s="383"/>
      <c r="F690" s="383"/>
      <c r="G690" s="383"/>
      <c r="H690" s="383"/>
      <c r="I690" s="385" t="b">
        <v>1</v>
      </c>
      <c r="J690" s="386" t="s">
        <v>12610</v>
      </c>
    </row>
    <row r="691" spans="1:10">
      <c r="A691" s="383" t="str">
        <f>CONCATENATE("Reviewed on"," ",(TEXT('2022-2023 Applications Review'!$A691, "mm/dd/yyyy")))</f>
        <v>Reviewed on 08/18/2022</v>
      </c>
      <c r="B691" s="383" t="str">
        <f>'2022-2023 Applications Review'!B691</f>
        <v>Spiritory GmbH _2022</v>
      </c>
      <c r="C691" s="383" t="str">
        <f>'2022-2023 Applications Review'!E691</f>
        <v>Digital Tech</v>
      </c>
      <c r="D691" s="384" t="str">
        <f>'2022-2023 Applications Review'!Q691</f>
        <v>Invite Next Year</v>
      </c>
      <c r="E691" s="383"/>
      <c r="F691" s="383"/>
      <c r="G691" s="383"/>
      <c r="H691" s="383"/>
      <c r="I691" s="385" t="b">
        <v>1</v>
      </c>
      <c r="J691" s="386" t="s">
        <v>12611</v>
      </c>
    </row>
    <row r="692" spans="1:10">
      <c r="A692" s="383" t="str">
        <f>CONCATENATE("Reviewed on"," ",(TEXT('2022-2023 Applications Review'!$A692, "mm/dd/yyyy")))</f>
        <v>Reviewed on 08/18/2022</v>
      </c>
      <c r="B692" s="383" t="str">
        <f>'2022-2023 Applications Review'!B692</f>
        <v>Pyrojas Inc. _2022</v>
      </c>
      <c r="C692" s="383" t="str">
        <f>'2022-2023 Applications Review'!E692</f>
        <v>Life Sciences</v>
      </c>
      <c r="D692" s="384" t="str">
        <f>'2022-2023 Applications Review'!Q692</f>
        <v>Invite Next Year</v>
      </c>
      <c r="E692" s="383"/>
      <c r="F692" s="383"/>
      <c r="G692" s="383"/>
      <c r="H692" s="383"/>
      <c r="I692" s="385" t="b">
        <v>1</v>
      </c>
      <c r="J692" s="386" t="s">
        <v>12612</v>
      </c>
    </row>
    <row r="693" spans="1:10">
      <c r="A693" s="383" t="str">
        <f>CONCATENATE("Reviewed on"," ",(TEXT('2022-2023 Applications Review'!$A693, "mm/dd/yyyy")))</f>
        <v>Reviewed on 08/18/2022</v>
      </c>
      <c r="B693" s="383" t="str">
        <f>'2022-2023 Applications Review'!B693</f>
        <v>Yacht Labs Inc. _2022</v>
      </c>
      <c r="C693" s="383" t="str">
        <f>'2022-2023 Applications Review'!E693</f>
        <v>Digital Tech</v>
      </c>
      <c r="D693" s="384" t="str">
        <f>'2022-2023 Applications Review'!Q693</f>
        <v>Invite Next Year</v>
      </c>
      <c r="E693" s="383"/>
      <c r="F693" s="383"/>
      <c r="G693" s="383"/>
      <c r="H693" s="383"/>
      <c r="I693" s="385" t="b">
        <v>1</v>
      </c>
      <c r="J693" s="386" t="s">
        <v>12613</v>
      </c>
    </row>
    <row r="694" spans="1:10">
      <c r="A694" s="383" t="str">
        <f>CONCATENATE("Reviewed on"," ",(TEXT('2022-2023 Applications Review'!$A694, "mm/dd/yyyy")))</f>
        <v>Reviewed on 08/18/2022</v>
      </c>
      <c r="B694" s="383" t="str">
        <f>'2022-2023 Applications Review'!B694</f>
        <v>Acciopay Pte. Ltd. _2022</v>
      </c>
      <c r="C694" s="383" t="str">
        <f>'2022-2023 Applications Review'!E694</f>
        <v>Digital Tech</v>
      </c>
      <c r="D694" s="384" t="str">
        <f>'2022-2023 Applications Review'!Q694</f>
        <v>Invite Next Year</v>
      </c>
      <c r="E694" s="383"/>
      <c r="F694" s="383"/>
      <c r="G694" s="383"/>
      <c r="H694" s="383"/>
      <c r="I694" s="385" t="b">
        <v>1</v>
      </c>
      <c r="J694" s="386" t="s">
        <v>12614</v>
      </c>
    </row>
    <row r="695" spans="1:10">
      <c r="A695" s="383" t="str">
        <f>CONCATENATE("Reviewed on"," ",(TEXT('2022-2023 Applications Review'!$A695, "mm/dd/yyyy")))</f>
        <v>Reviewed on 08/18/2022</v>
      </c>
      <c r="B695" s="383" t="str">
        <f>'2022-2023 Applications Review'!B695</f>
        <v>Packworks _2022</v>
      </c>
      <c r="C695" s="383" t="str">
        <f>'2022-2023 Applications Review'!E695</f>
        <v>Digital Tech</v>
      </c>
      <c r="D695" s="384" t="str">
        <f>'2022-2023 Applications Review'!Q695</f>
        <v>Invite Next Year</v>
      </c>
      <c r="E695" s="383"/>
      <c r="F695" s="383"/>
      <c r="G695" s="383"/>
      <c r="H695" s="383"/>
      <c r="I695" s="385" t="b">
        <v>1</v>
      </c>
      <c r="J695" s="386" t="s">
        <v>12615</v>
      </c>
    </row>
    <row r="696" spans="1:10">
      <c r="A696" s="383" t="str">
        <f>CONCATENATE("Reviewed on"," ",(TEXT('2022-2023 Applications Review'!$A696, "mm/dd/yyyy")))</f>
        <v>Reviewed on 08/18/2022</v>
      </c>
      <c r="B696" s="383" t="str">
        <f>'2022-2023 Applications Review'!B696</f>
        <v>Street2school _2022</v>
      </c>
      <c r="C696" s="383" t="str">
        <f>'2022-2023 Applications Review'!E696</f>
        <v>Digital Tech</v>
      </c>
      <c r="D696" s="384" t="str">
        <f>'2022-2023 Applications Review'!Q696</f>
        <v>Invite Next Year</v>
      </c>
      <c r="E696" s="383"/>
      <c r="F696" s="383"/>
      <c r="G696" s="383"/>
      <c r="H696" s="383"/>
      <c r="I696" s="385" t="b">
        <v>1</v>
      </c>
      <c r="J696" s="386" t="s">
        <v>12616</v>
      </c>
    </row>
    <row r="697" spans="1:10">
      <c r="A697" s="383" t="str">
        <f>CONCATENATE("Reviewed on"," ",(TEXT('2022-2023 Applications Review'!$A697, "mm/dd/yyyy")))</f>
        <v>Reviewed on 08/18/2022</v>
      </c>
      <c r="B697" s="383" t="str">
        <f>'2022-2023 Applications Review'!B697</f>
        <v>DineUps  _2022</v>
      </c>
      <c r="C697" s="383" t="str">
        <f>'2022-2023 Applications Review'!E697</f>
        <v>Digital Tech</v>
      </c>
      <c r="D697" s="384" t="str">
        <f>'2022-2023 Applications Review'!Q697</f>
        <v>Invite Next Year</v>
      </c>
      <c r="E697" s="383"/>
      <c r="F697" s="383"/>
      <c r="G697" s="383"/>
      <c r="H697" s="383"/>
      <c r="I697" s="385" t="b">
        <v>1</v>
      </c>
      <c r="J697" s="386" t="s">
        <v>12617</v>
      </c>
    </row>
    <row r="698" spans="1:10">
      <c r="A698" s="383" t="str">
        <f>CONCATENATE("Reviewed on"," ",(TEXT('2022-2023 Applications Review'!$A698, "mm/dd/yyyy")))</f>
        <v>Reviewed on 08/18/2022</v>
      </c>
      <c r="B698" s="383" t="str">
        <f>'2022-2023 Applications Review'!B698</f>
        <v>Dana Fintech Limited _2022</v>
      </c>
      <c r="C698" s="383" t="str">
        <f>'2022-2023 Applications Review'!E698</f>
        <v>Digital Tech</v>
      </c>
      <c r="D698" s="384" t="str">
        <f>'2022-2023 Applications Review'!Q698</f>
        <v>Invite Next Year</v>
      </c>
      <c r="E698" s="383"/>
      <c r="F698" s="383"/>
      <c r="G698" s="383"/>
      <c r="H698" s="383"/>
      <c r="I698" s="385" t="b">
        <v>1</v>
      </c>
      <c r="J698" s="386" t="s">
        <v>12618</v>
      </c>
    </row>
    <row r="699" spans="1:10">
      <c r="A699" s="383" t="str">
        <f>CONCATENATE("Reviewed on"," ",(TEXT('2022-2023 Applications Review'!$A699, "mm/dd/yyyy")))</f>
        <v>Reviewed on 08/18/2022</v>
      </c>
      <c r="B699" s="383" t="str">
        <f>'2022-2023 Applications Review'!B699</f>
        <v>Tanél Heatlh _2022</v>
      </c>
      <c r="C699" s="383" t="str">
        <f>'2022-2023 Applications Review'!E699</f>
        <v>Digital Tech</v>
      </c>
      <c r="D699" s="384" t="str">
        <f>'2022-2023 Applications Review'!Q699</f>
        <v>Invite Next Year</v>
      </c>
      <c r="E699" s="383"/>
      <c r="F699" s="383"/>
      <c r="G699" s="383"/>
      <c r="H699" s="383"/>
      <c r="I699" s="385" t="b">
        <v>1</v>
      </c>
      <c r="J699" s="386" t="s">
        <v>12619</v>
      </c>
    </row>
    <row r="700" spans="1:10">
      <c r="A700" s="383" t="str">
        <f>CONCATENATE("Reviewed on"," ",(TEXT('2022-2023 Applications Review'!$A700, "mm/dd/yyyy")))</f>
        <v>Reviewed on 08/18/2022</v>
      </c>
      <c r="B700" s="383" t="str">
        <f>'2022-2023 Applications Review'!B700</f>
        <v>Vyro Pty Ltd _2022</v>
      </c>
      <c r="C700" s="383" t="str">
        <f>'2022-2023 Applications Review'!E700</f>
        <v>Digital Tech</v>
      </c>
      <c r="D700" s="384" t="str">
        <f>'2022-2023 Applications Review'!Q700</f>
        <v>Invite Next Year</v>
      </c>
      <c r="E700" s="383"/>
      <c r="F700" s="383"/>
      <c r="G700" s="383"/>
      <c r="H700" s="383"/>
      <c r="I700" s="385" t="b">
        <v>1</v>
      </c>
      <c r="J700" s="386" t="s">
        <v>12620</v>
      </c>
    </row>
    <row r="701" spans="1:10">
      <c r="A701" s="383" t="str">
        <f>CONCATENATE("Reviewed on"," ",(TEXT('2022-2023 Applications Review'!$A701, "mm/dd/yyyy")))</f>
        <v>Reviewed on 08/18/2022</v>
      </c>
      <c r="B701" s="383" t="str">
        <f>'2022-2023 Applications Review'!B701</f>
        <v>Kresko RNAtech _2022</v>
      </c>
      <c r="C701" s="383" t="str">
        <f>'2022-2023 Applications Review'!E701</f>
        <v>Life Sciences</v>
      </c>
      <c r="D701" s="384" t="str">
        <f>'2022-2023 Applications Review'!Q701</f>
        <v>Special Reject</v>
      </c>
      <c r="E701" s="383"/>
      <c r="F701" s="383"/>
      <c r="G701" s="383"/>
      <c r="H701" s="383"/>
      <c r="I701" s="385" t="b">
        <v>1</v>
      </c>
      <c r="J701" s="386" t="s">
        <v>12621</v>
      </c>
    </row>
    <row r="702" spans="1:10">
      <c r="A702" s="383" t="str">
        <f>CONCATENATE("Reviewed on"," ",(TEXT('2022-2023 Applications Review'!$A702, "mm/dd/yyyy")))</f>
        <v>Reviewed on 08/18/2022</v>
      </c>
      <c r="B702" s="383" t="str">
        <f>'2022-2023 Applications Review'!B702</f>
        <v>Being Vakil _2022</v>
      </c>
      <c r="C702" s="383" t="str">
        <f>'2022-2023 Applications Review'!E702</f>
        <v>Digital Tech</v>
      </c>
      <c r="D702" s="384" t="str">
        <f>'2022-2023 Applications Review'!Q702</f>
        <v>Invite Next Year</v>
      </c>
      <c r="E702" s="383"/>
      <c r="F702" s="383"/>
      <c r="G702" s="383"/>
      <c r="H702" s="383"/>
      <c r="I702" s="385" t="b">
        <v>1</v>
      </c>
      <c r="J702" s="386" t="s">
        <v>12622</v>
      </c>
    </row>
    <row r="703" spans="1:10">
      <c r="A703" s="383" t="str">
        <f>CONCATENATE("Reviewed on"," ",(TEXT('2022-2023 Applications Review'!$A703, "mm/dd/yyyy")))</f>
        <v>Reviewed on 08/18/2022</v>
      </c>
      <c r="B703" s="383" t="str">
        <f>'2022-2023 Applications Review'!B703</f>
        <v>ASD.ai LLC _2022</v>
      </c>
      <c r="C703" s="383" t="str">
        <f>'2022-2023 Applications Review'!E703</f>
        <v>Life Sciences</v>
      </c>
      <c r="D703" s="384" t="str">
        <f>'2022-2023 Applications Review'!Q703</f>
        <v>Invite Next Year</v>
      </c>
      <c r="E703" s="383"/>
      <c r="F703" s="383"/>
      <c r="G703" s="383"/>
      <c r="H703" s="383"/>
      <c r="I703" s="385" t="b">
        <v>1</v>
      </c>
      <c r="J703" s="386" t="s">
        <v>12623</v>
      </c>
    </row>
    <row r="704" spans="1:10">
      <c r="A704" s="383" t="str">
        <f>CONCATENATE("Reviewed on"," ",(TEXT('2022-2023 Applications Review'!$A704, "mm/dd/yyyy")))</f>
        <v>Reviewed on 08/18/2022</v>
      </c>
      <c r="B704" s="383" t="str">
        <f>'2022-2023 Applications Review'!B704</f>
        <v>Aliform Inc. _2022</v>
      </c>
      <c r="C704" s="383" t="str">
        <f>'2022-2023 Applications Review'!E704</f>
        <v>Life Sciences</v>
      </c>
      <c r="D704" s="384" t="str">
        <f>'2022-2023 Applications Review'!Q704</f>
        <v>Invite Next Year</v>
      </c>
      <c r="E704" s="383"/>
      <c r="F704" s="383"/>
      <c r="G704" s="383"/>
      <c r="H704" s="383"/>
      <c r="I704" s="385" t="b">
        <v>1</v>
      </c>
      <c r="J704" s="386" t="s">
        <v>12624</v>
      </c>
    </row>
    <row r="705" spans="1:10">
      <c r="A705" s="383" t="str">
        <f>CONCATENATE("Reviewed on"," ",(TEXT('2022-2023 Applications Review'!$A705, "mm/dd/yyyy")))</f>
        <v>Reviewed on 08/18/2022</v>
      </c>
      <c r="B705" s="383" t="str">
        <f>'2022-2023 Applications Review'!B705</f>
        <v>MotivateU _2022</v>
      </c>
      <c r="C705" s="383" t="str">
        <f>'2022-2023 Applications Review'!E705</f>
        <v>Digital Tech</v>
      </c>
      <c r="D705" s="384" t="str">
        <f>'2022-2023 Applications Review'!Q705</f>
        <v>Invite Next Year</v>
      </c>
      <c r="E705" s="383"/>
      <c r="F705" s="383"/>
      <c r="G705" s="383"/>
      <c r="H705" s="383"/>
      <c r="I705" s="385" t="b">
        <v>1</v>
      </c>
      <c r="J705" s="386" t="s">
        <v>12625</v>
      </c>
    </row>
    <row r="706" spans="1:10">
      <c r="A706" s="383" t="str">
        <f>CONCATENATE("Reviewed on"," ",(TEXT('2022-2023 Applications Review'!$A706, "mm/dd/yyyy")))</f>
        <v>Reviewed on 08/18/2022</v>
      </c>
      <c r="B706" s="383" t="str">
        <f>'2022-2023 Applications Review'!B706</f>
        <v>Cfromatik Parallel, LDA _2022</v>
      </c>
      <c r="C706" s="383" t="str">
        <f>'2022-2023 Applications Review'!E706</f>
        <v>Deep Tech</v>
      </c>
      <c r="D706" s="384" t="str">
        <f>'2022-2023 Applications Review'!Q706</f>
        <v>Invite Next Year</v>
      </c>
      <c r="E706" s="383"/>
      <c r="F706" s="383"/>
      <c r="G706" s="383"/>
      <c r="H706" s="383"/>
      <c r="I706" s="385" t="b">
        <v>1</v>
      </c>
      <c r="J706" s="386" t="s">
        <v>12626</v>
      </c>
    </row>
    <row r="707" spans="1:10">
      <c r="A707" s="383" t="str">
        <f>CONCATENATE("Reviewed on"," ",(TEXT('2022-2023 Applications Review'!$A707, "mm/dd/yyyy")))</f>
        <v>Reviewed on 08/18/2022</v>
      </c>
      <c r="B707" s="383" t="str">
        <f>'2022-2023 Applications Review'!B707</f>
        <v>Lineage Medical, Inc. _2022</v>
      </c>
      <c r="C707" s="383" t="str">
        <f>'2022-2023 Applications Review'!E707</f>
        <v>Digital Tech</v>
      </c>
      <c r="D707" s="384" t="str">
        <f>'2022-2023 Applications Review'!Q707</f>
        <v>Invite Next Year</v>
      </c>
      <c r="E707" s="383"/>
      <c r="F707" s="383"/>
      <c r="G707" s="383"/>
      <c r="H707" s="383"/>
      <c r="I707" s="385" t="b">
        <v>1</v>
      </c>
      <c r="J707" s="386" t="s">
        <v>12627</v>
      </c>
    </row>
    <row r="708" spans="1:10">
      <c r="A708" s="383" t="str">
        <f>CONCATENATE("Reviewed on"," ",(TEXT('2022-2023 Applications Review'!$A708, "mm/dd/yyyy")))</f>
        <v>Reviewed on 08/18/2022</v>
      </c>
      <c r="B708" s="383" t="str">
        <f>'2022-2023 Applications Review'!B708</f>
        <v>Ultrasonic Medical Mapping, Inc. _2022</v>
      </c>
      <c r="C708" s="383" t="str">
        <f>'2022-2023 Applications Review'!E708</f>
        <v>Life Sciences</v>
      </c>
      <c r="D708" s="384" t="str">
        <f>'2022-2023 Applications Review'!Q708</f>
        <v>Invite Next Year</v>
      </c>
      <c r="E708" s="383"/>
      <c r="F708" s="383"/>
      <c r="G708" s="383"/>
      <c r="H708" s="383"/>
      <c r="I708" s="385" t="b">
        <v>1</v>
      </c>
      <c r="J708" s="386" t="s">
        <v>12628</v>
      </c>
    </row>
    <row r="709" spans="1:10">
      <c r="A709" s="383" t="str">
        <f>CONCATENATE("Reviewed on"," ",(TEXT('2022-2023 Applications Review'!$A709, "mm/dd/yyyy")))</f>
        <v>Reviewed on 08/18/2022</v>
      </c>
      <c r="B709" s="383" t="str">
        <f>'2022-2023 Applications Review'!B709</f>
        <v>Axaitech _2022</v>
      </c>
      <c r="C709" s="383" t="str">
        <f>'2022-2023 Applications Review'!E709</f>
        <v>Life Sciences</v>
      </c>
      <c r="D709" s="384" t="str">
        <f>'2022-2023 Applications Review'!Q709</f>
        <v>Invite Next Year</v>
      </c>
      <c r="E709" s="383"/>
      <c r="F709" s="383"/>
      <c r="G709" s="383"/>
      <c r="H709" s="383"/>
      <c r="I709" s="385" t="b">
        <v>1</v>
      </c>
      <c r="J709" s="386" t="s">
        <v>12629</v>
      </c>
    </row>
    <row r="710" spans="1:10">
      <c r="A710" s="383" t="str">
        <f>CONCATENATE("Reviewed on"," ",(TEXT('2022-2023 Applications Review'!$A710, "mm/dd/yyyy")))</f>
        <v>Reviewed on 08/18/2022</v>
      </c>
      <c r="B710" s="383" t="str">
        <f>'2022-2023 Applications Review'!B710</f>
        <v>FINWEDGE _2022</v>
      </c>
      <c r="C710" s="383" t="str">
        <f>'2022-2023 Applications Review'!E710</f>
        <v>Digital Tech</v>
      </c>
      <c r="D710" s="384" t="str">
        <f>'2022-2023 Applications Review'!Q710</f>
        <v>Invite Next Year</v>
      </c>
      <c r="E710" s="383"/>
      <c r="F710" s="383"/>
      <c r="G710" s="383"/>
      <c r="H710" s="383"/>
      <c r="I710" s="385" t="b">
        <v>1</v>
      </c>
      <c r="J710" s="386" t="s">
        <v>12630</v>
      </c>
    </row>
    <row r="711" spans="1:10">
      <c r="A711" s="383" t="str">
        <f>CONCATENATE("Reviewed on"," ",(TEXT('2022-2023 Applications Review'!$A711, "mm/dd/yyyy")))</f>
        <v>Reviewed on 08/18/2022</v>
      </c>
      <c r="B711" s="383" t="str">
        <f>'2022-2023 Applications Review'!B711</f>
        <v>Auriga Interactive Studios LLC _2022</v>
      </c>
      <c r="C711" s="383" t="str">
        <f>'2022-2023 Applications Review'!E711</f>
        <v>Digital Tech</v>
      </c>
      <c r="D711" s="384" t="str">
        <f>'2022-2023 Applications Review'!Q711</f>
        <v>Invite Next Year</v>
      </c>
      <c r="E711" s="383"/>
      <c r="F711" s="383"/>
      <c r="G711" s="383"/>
      <c r="H711" s="383"/>
      <c r="I711" s="385" t="b">
        <v>1</v>
      </c>
      <c r="J711" s="386" t="s">
        <v>12631</v>
      </c>
    </row>
    <row r="712" spans="1:10">
      <c r="A712" s="383" t="str">
        <f>CONCATENATE("Reviewed on"," ",(TEXT('2022-2023 Applications Review'!$A712, "mm/dd/yyyy")))</f>
        <v>Reviewed on 08/18/2022</v>
      </c>
      <c r="B712" s="383" t="str">
        <f>'2022-2023 Applications Review'!B712</f>
        <v>Boaz Bikes Inc _2022</v>
      </c>
      <c r="C712" s="383" t="str">
        <f>'2022-2023 Applications Review'!E712</f>
        <v>Digital Tech</v>
      </c>
      <c r="D712" s="384" t="str">
        <f>'2022-2023 Applications Review'!Q712</f>
        <v>Invite Next Year</v>
      </c>
      <c r="E712" s="383"/>
      <c r="F712" s="383"/>
      <c r="G712" s="383"/>
      <c r="H712" s="383"/>
      <c r="I712" s="385" t="b">
        <v>1</v>
      </c>
      <c r="J712" s="386" t="s">
        <v>12632</v>
      </c>
    </row>
    <row r="713" spans="1:10">
      <c r="A713" s="383" t="str">
        <f>CONCATENATE("Reviewed on"," ",(TEXT('2022-2023 Applications Review'!$A713, "mm/dd/yyyy")))</f>
        <v>Reviewed on 08/18/2022</v>
      </c>
      <c r="B713" s="383" t="str">
        <f>'2022-2023 Applications Review'!B713</f>
        <v>Say Ha _2022</v>
      </c>
      <c r="C713" s="383" t="str">
        <f>'2022-2023 Applications Review'!E713</f>
        <v>Life Sciences</v>
      </c>
      <c r="D713" s="384" t="str">
        <f>'2022-2023 Applications Review'!Q713</f>
        <v>Invite Next Year</v>
      </c>
      <c r="E713" s="383"/>
      <c r="F713" s="383"/>
      <c r="G713" s="383"/>
      <c r="H713" s="383"/>
      <c r="I713" s="385" t="b">
        <v>1</v>
      </c>
      <c r="J713" s="386" t="s">
        <v>12633</v>
      </c>
    </row>
    <row r="714" spans="1:10">
      <c r="A714" s="383" t="str">
        <f>CONCATENATE("Reviewed on"," ",(TEXT('2022-2023 Applications Review'!$A714, "mm/dd/yyyy")))</f>
        <v>Reviewed on 08/18/2022</v>
      </c>
      <c r="B714" s="383" t="str">
        <f>'2022-2023 Applications Review'!B714</f>
        <v>Modernly Nerdish  _2022</v>
      </c>
      <c r="C714" s="383" t="str">
        <f>'2022-2023 Applications Review'!E714</f>
        <v>Digital Tech</v>
      </c>
      <c r="D714" s="384" t="str">
        <f>'2022-2023 Applications Review'!Q714</f>
        <v>Invite Next Year</v>
      </c>
      <c r="E714" s="383"/>
      <c r="F714" s="383"/>
      <c r="G714" s="383"/>
      <c r="H714" s="383"/>
      <c r="I714" s="385" t="b">
        <v>1</v>
      </c>
      <c r="J714" s="386" t="s">
        <v>12634</v>
      </c>
    </row>
    <row r="715" spans="1:10">
      <c r="A715" s="383" t="str">
        <f>CONCATENATE("Reviewed on"," ",(TEXT('2022-2023 Applications Review'!$A715, "mm/dd/yyyy")))</f>
        <v>Reviewed on 08/18/2022</v>
      </c>
      <c r="B715" s="383" t="str">
        <f>'2022-2023 Applications Review'!B715</f>
        <v>CLICK DEAL BUY!  _2022</v>
      </c>
      <c r="C715" s="383" t="str">
        <f>'2022-2023 Applications Review'!E715</f>
        <v>Digital Tech</v>
      </c>
      <c r="D715" s="384" t="str">
        <f>'2022-2023 Applications Review'!Q715</f>
        <v>Invite Next Year</v>
      </c>
      <c r="E715" s="383"/>
      <c r="F715" s="383"/>
      <c r="G715" s="383"/>
      <c r="H715" s="383"/>
      <c r="I715" s="385" t="b">
        <v>1</v>
      </c>
      <c r="J715" s="386" t="s">
        <v>12635</v>
      </c>
    </row>
    <row r="716" spans="1:10">
      <c r="A716" s="383" t="str">
        <f>CONCATENATE("Reviewed on"," ",(TEXT('2022-2023 Applications Review'!$A716, "mm/dd/yyyy")))</f>
        <v>Reviewed on 08/18/2022</v>
      </c>
      <c r="B716" s="383" t="str">
        <f>'2022-2023 Applications Review'!B716</f>
        <v>HouseStay inc _2022</v>
      </c>
      <c r="C716" s="383" t="str">
        <f>'2022-2023 Applications Review'!E716</f>
        <v>Digital Tech</v>
      </c>
      <c r="D716" s="384" t="str">
        <f>'2022-2023 Applications Review'!Q716</f>
        <v>Invite Next Year</v>
      </c>
      <c r="E716" s="383"/>
      <c r="F716" s="383"/>
      <c r="G716" s="383"/>
      <c r="H716" s="383"/>
      <c r="I716" s="385" t="b">
        <v>1</v>
      </c>
      <c r="J716" s="386" t="s">
        <v>12636</v>
      </c>
    </row>
    <row r="717" spans="1:10">
      <c r="A717" s="383" t="str">
        <f>CONCATENATE("Reviewed on"," ",(TEXT('2022-2023 Applications Review'!$A717, "mm/dd/yyyy")))</f>
        <v>Reviewed on 08/18/2022</v>
      </c>
      <c r="B717" s="383" t="str">
        <f>'2022-2023 Applications Review'!B717</f>
        <v>Rentastic _2022</v>
      </c>
      <c r="C717" s="383" t="str">
        <f>'2022-2023 Applications Review'!E717</f>
        <v>Digital Tech</v>
      </c>
      <c r="D717" s="384" t="str">
        <f>'2022-2023 Applications Review'!Q717</f>
        <v>Invite Next Year</v>
      </c>
      <c r="E717" s="383"/>
      <c r="F717" s="383"/>
      <c r="G717" s="383"/>
      <c r="H717" s="383"/>
      <c r="I717" s="385" t="b">
        <v>1</v>
      </c>
      <c r="J717" s="386" t="s">
        <v>12637</v>
      </c>
    </row>
    <row r="718" spans="1:10">
      <c r="A718" s="383" t="str">
        <f>CONCATENATE("Reviewed on"," ",(TEXT('2022-2023 Applications Review'!$A718, "mm/dd/yyyy")))</f>
        <v>Reviewed on 08/18/2022</v>
      </c>
      <c r="B718" s="383" t="str">
        <f>'2022-2023 Applications Review'!B718</f>
        <v>MUST HAD _2022</v>
      </c>
      <c r="C718" s="383" t="str">
        <f>'2022-2023 Applications Review'!E718</f>
        <v>Digital Tech</v>
      </c>
      <c r="D718" s="384" t="str">
        <f>'2022-2023 Applications Review'!Q718</f>
        <v>Invite Next Year</v>
      </c>
      <c r="E718" s="383"/>
      <c r="F718" s="383"/>
      <c r="G718" s="383"/>
      <c r="H718" s="383"/>
      <c r="I718" s="385" t="b">
        <v>1</v>
      </c>
      <c r="J718" s="386" t="s">
        <v>12638</v>
      </c>
    </row>
    <row r="719" spans="1:10">
      <c r="A719" s="383" t="str">
        <f>CONCATENATE("Reviewed on"," ",(TEXT('2022-2023 Applications Review'!$A719, "mm/dd/yyyy")))</f>
        <v>Reviewed on 08/18/2022</v>
      </c>
      <c r="B719" s="383" t="str">
        <f>'2022-2023 Applications Review'!B719</f>
        <v>MyArtVisit _2022</v>
      </c>
      <c r="C719" s="383" t="str">
        <f>'2022-2023 Applications Review'!E719</f>
        <v>Digital Tech</v>
      </c>
      <c r="D719" s="384" t="str">
        <f>'2022-2023 Applications Review'!Q719</f>
        <v>Invite Next Year</v>
      </c>
      <c r="E719" s="383"/>
      <c r="F719" s="383"/>
      <c r="G719" s="383"/>
      <c r="H719" s="383"/>
      <c r="I719" s="385" t="b">
        <v>1</v>
      </c>
      <c r="J719" s="386" t="s">
        <v>12639</v>
      </c>
    </row>
    <row r="720" spans="1:10">
      <c r="A720" s="383" t="str">
        <f>CONCATENATE("Reviewed on"," ",(TEXT('2022-2023 Applications Review'!$A720, "mm/dd/yyyy")))</f>
        <v>Reviewed on 08/18/2022</v>
      </c>
      <c r="B720" s="383" t="str">
        <f>'2022-2023 Applications Review'!B720</f>
        <v>MAE  _2022</v>
      </c>
      <c r="C720" s="383" t="str">
        <f>'2022-2023 Applications Review'!E720</f>
        <v>Digital Tech</v>
      </c>
      <c r="D720" s="384" t="str">
        <f>'2022-2023 Applications Review'!Q720</f>
        <v>Invite Next Year</v>
      </c>
      <c r="E720" s="383"/>
      <c r="F720" s="383"/>
      <c r="G720" s="383"/>
      <c r="H720" s="383"/>
      <c r="I720" s="385" t="b">
        <v>1</v>
      </c>
      <c r="J720" s="386" t="s">
        <v>12640</v>
      </c>
    </row>
    <row r="721" spans="1:10">
      <c r="A721" s="383" t="str">
        <f>CONCATENATE("Reviewed on"," ",(TEXT('2022-2023 Applications Review'!$A721, "mm/dd/yyyy")))</f>
        <v>Reviewed on 08/18/2022</v>
      </c>
      <c r="B721" s="383" t="str">
        <f>'2022-2023 Applications Review'!B721</f>
        <v>Blockant.io _2022</v>
      </c>
      <c r="C721" s="383" t="str">
        <f>'2022-2023 Applications Review'!E721</f>
        <v>Digital Tech</v>
      </c>
      <c r="D721" s="384" t="str">
        <f>'2022-2023 Applications Review'!Q721</f>
        <v>Invite Next Year</v>
      </c>
      <c r="E721" s="383"/>
      <c r="F721" s="383"/>
      <c r="G721" s="383"/>
      <c r="H721" s="383"/>
      <c r="I721" s="385" t="b">
        <v>1</v>
      </c>
      <c r="J721" s="386" t="s">
        <v>12641</v>
      </c>
    </row>
    <row r="722" spans="1:10">
      <c r="A722" s="383" t="str">
        <f>CONCATENATE("Reviewed on"," ",(TEXT('2022-2023 Applications Review'!$A722, "mm/dd/yyyy")))</f>
        <v>Reviewed on 08/18/2022</v>
      </c>
      <c r="B722" s="383" t="str">
        <f>'2022-2023 Applications Review'!B722</f>
        <v>alpha.one _2022</v>
      </c>
      <c r="C722" s="383" t="str">
        <f>'2022-2023 Applications Review'!E722</f>
        <v>Digital Tech</v>
      </c>
      <c r="D722" s="384" t="str">
        <f>'2022-2023 Applications Review'!Q722</f>
        <v>Invite Next Year</v>
      </c>
      <c r="E722" s="383"/>
      <c r="F722" s="383"/>
      <c r="G722" s="383"/>
      <c r="H722" s="383"/>
      <c r="I722" s="385" t="b">
        <v>1</v>
      </c>
      <c r="J722" s="386" t="s">
        <v>12642</v>
      </c>
    </row>
    <row r="723" spans="1:10">
      <c r="A723" s="383" t="str">
        <f>CONCATENATE("Reviewed on"," ",(TEXT('2022-2023 Applications Review'!$A723, "mm/dd/yyyy")))</f>
        <v>Reviewed on 08/18/2022</v>
      </c>
      <c r="B723" s="383" t="str">
        <f>'2022-2023 Applications Review'!B723</f>
        <v>Nutrarte LLC, Nutrarte SAS _2022</v>
      </c>
      <c r="C723" s="383" t="str">
        <f>'2022-2023 Applications Review'!E723</f>
        <v>Life Sciences</v>
      </c>
      <c r="D723" s="384" t="str">
        <f>'2022-2023 Applications Review'!Q723</f>
        <v>Invite Next Year</v>
      </c>
      <c r="E723" s="383"/>
      <c r="F723" s="383"/>
      <c r="G723" s="383"/>
      <c r="H723" s="383"/>
      <c r="I723" s="385" t="b">
        <v>1</v>
      </c>
      <c r="J723" s="386" t="s">
        <v>12643</v>
      </c>
    </row>
    <row r="724" spans="1:10">
      <c r="A724" s="383" t="str">
        <f>CONCATENATE("Reviewed on"," ",(TEXT('2022-2023 Applications Review'!$A724, "mm/dd/yyyy")))</f>
        <v>Reviewed on 08/18/2022</v>
      </c>
      <c r="B724" s="383" t="str">
        <f>'2022-2023 Applications Review'!B724</f>
        <v>Sprayify (formerly known as Coatify) _2022</v>
      </c>
      <c r="C724" s="383" t="str">
        <f>'2022-2023 Applications Review'!E724</f>
        <v>Life Sciences</v>
      </c>
      <c r="D724" s="384" t="str">
        <f>'2022-2023 Applications Review'!Q724</f>
        <v>Invite Next Year</v>
      </c>
      <c r="E724" s="383"/>
      <c r="F724" s="383"/>
      <c r="G724" s="383"/>
      <c r="H724" s="383"/>
      <c r="I724" s="385" t="b">
        <v>1</v>
      </c>
      <c r="J724" s="386" t="s">
        <v>12644</v>
      </c>
    </row>
    <row r="725" spans="1:10">
      <c r="A725" s="383" t="str">
        <f>CONCATENATE("Reviewed on"," ",(TEXT('2022-2023 Applications Review'!$A725, "mm/dd/yyyy")))</f>
        <v>Reviewed on 08/23/2022</v>
      </c>
      <c r="B725" s="383" t="str">
        <f>'2022-2023 Applications Review'!B725</f>
        <v>CellChorus _2022</v>
      </c>
      <c r="C725" s="383" t="str">
        <f>'2022-2023 Applications Review'!E725</f>
        <v>Life Sciences</v>
      </c>
      <c r="D725" s="384" t="str">
        <f>'2022-2023 Applications Review'!Q725</f>
        <v>Invite</v>
      </c>
      <c r="E725" s="383"/>
      <c r="F725" s="383"/>
      <c r="G725" s="383"/>
      <c r="H725" s="383"/>
      <c r="I725" s="385" t="b">
        <v>1</v>
      </c>
      <c r="J725" s="386" t="s">
        <v>12645</v>
      </c>
    </row>
    <row r="726" spans="1:10">
      <c r="A726" s="383" t="str">
        <f>CONCATENATE("Reviewed on"," ",(TEXT('2022-2023 Applications Review'!$A726, "mm/dd/yyyy")))</f>
        <v>Reviewed on 08/23/2022</v>
      </c>
      <c r="B726" s="383" t="str">
        <f>'2022-2023 Applications Review'!B726</f>
        <v>Preteckt Inc _2022</v>
      </c>
      <c r="C726" s="383" t="str">
        <f>'2022-2023 Applications Review'!E726</f>
        <v>Digital Tech</v>
      </c>
      <c r="D726" s="384" t="str">
        <f>'2022-2023 Applications Review'!Q726</f>
        <v>Invite</v>
      </c>
      <c r="E726" s="383"/>
      <c r="F726" s="383"/>
      <c r="G726" s="383"/>
      <c r="H726" s="383"/>
      <c r="I726" s="385" t="b">
        <v>1</v>
      </c>
      <c r="J726" s="386" t="s">
        <v>12646</v>
      </c>
    </row>
    <row r="727" spans="1:10">
      <c r="A727" s="383" t="str">
        <f>CONCATENATE("Reviewed on"," ",(TEXT('2022-2023 Applications Review'!$A727, "mm/dd/yyyy")))</f>
        <v>Reviewed on 08/23/2022</v>
      </c>
      <c r="B727" s="383" t="str">
        <f>'2022-2023 Applications Review'!B727</f>
        <v>Arpalus _2022</v>
      </c>
      <c r="C727" s="383" t="str">
        <f>'2022-2023 Applications Review'!E727</f>
        <v>Digital Tech</v>
      </c>
      <c r="D727" s="384" t="str">
        <f>'2022-2023 Applications Review'!Q727</f>
        <v>Invite</v>
      </c>
      <c r="E727" s="383"/>
      <c r="F727" s="383"/>
      <c r="G727" s="383"/>
      <c r="H727" s="383"/>
      <c r="I727" s="385" t="b">
        <v>1</v>
      </c>
      <c r="J727" s="386" t="s">
        <v>12647</v>
      </c>
    </row>
    <row r="728" spans="1:10">
      <c r="A728" s="383" t="str">
        <f>CONCATENATE("Reviewed on"," ",(TEXT('2022-2023 Applications Review'!$A728, "mm/dd/yyyy")))</f>
        <v>Reviewed on 08/23/2022</v>
      </c>
      <c r="B728" s="383" t="str">
        <f>'2022-2023 Applications Review'!B728</f>
        <v>UbiquiTx, Inc. _2022</v>
      </c>
      <c r="C728" s="383" t="str">
        <f>'2022-2023 Applications Review'!E728</f>
        <v>Life Sciences</v>
      </c>
      <c r="D728" s="384" t="str">
        <f>'2022-2023 Applications Review'!Q728</f>
        <v>Invite</v>
      </c>
      <c r="E728" s="383"/>
      <c r="F728" s="383"/>
      <c r="G728" s="383"/>
      <c r="H728" s="383"/>
      <c r="I728" s="385" t="b">
        <v>1</v>
      </c>
      <c r="J728" s="386" t="s">
        <v>12648</v>
      </c>
    </row>
    <row r="729" spans="1:10">
      <c r="A729" s="383" t="str">
        <f>CONCATENATE("Reviewed on"," ",(TEXT('2022-2023 Applications Review'!$A729, "mm/dd/yyyy")))</f>
        <v>Reviewed on 08/23/2022</v>
      </c>
      <c r="B729" s="383" t="str">
        <f>'2022-2023 Applications Review'!B729</f>
        <v>ChargeNet Holdings _2022</v>
      </c>
      <c r="C729" s="383" t="str">
        <f>'2022-2023 Applications Review'!E729</f>
        <v>Deep Tech</v>
      </c>
      <c r="D729" s="384" t="str">
        <f>'2022-2023 Applications Review'!Q729</f>
        <v>Invite</v>
      </c>
      <c r="E729" s="383"/>
      <c r="F729" s="383"/>
      <c r="G729" s="383"/>
      <c r="H729" s="383"/>
      <c r="I729" s="385" t="b">
        <v>1</v>
      </c>
      <c r="J729" s="386" t="s">
        <v>12649</v>
      </c>
    </row>
    <row r="730" spans="1:10">
      <c r="A730" s="383" t="str">
        <f>CONCATENATE("Reviewed on"," ",(TEXT('2022-2023 Applications Review'!$A730, "mm/dd/yyyy")))</f>
        <v>Reviewed on 08/23/2022</v>
      </c>
      <c r="B730" s="383" t="str">
        <f>'2022-2023 Applications Review'!B730</f>
        <v>XGenomes Corp. _2022</v>
      </c>
      <c r="C730" s="383" t="str">
        <f>'2022-2023 Applications Review'!E730</f>
        <v>Life Sciences</v>
      </c>
      <c r="D730" s="384" t="str">
        <f>'2022-2023 Applications Review'!Q730</f>
        <v>Invite</v>
      </c>
      <c r="E730" s="383"/>
      <c r="F730" s="383"/>
      <c r="G730" s="383"/>
      <c r="H730" s="383"/>
      <c r="I730" s="385" t="b">
        <v>1</v>
      </c>
      <c r="J730" s="386" t="s">
        <v>12650</v>
      </c>
    </row>
    <row r="731" spans="1:10">
      <c r="A731" s="383" t="str">
        <f>CONCATENATE("Reviewed on"," ",(TEXT('2022-2023 Applications Review'!$A731, "mm/dd/yyyy")))</f>
        <v>Reviewed on 08/23/2022</v>
      </c>
      <c r="B731" s="383" t="str">
        <f>'2022-2023 Applications Review'!B731</f>
        <v>Droice Labs _2022</v>
      </c>
      <c r="C731" s="383" t="str">
        <f>'2022-2023 Applications Review'!E731</f>
        <v>Digital Tech</v>
      </c>
      <c r="D731" s="384" t="str">
        <f>'2022-2023 Applications Review'!Q731</f>
        <v>Invite</v>
      </c>
      <c r="E731" s="383"/>
      <c r="F731" s="383"/>
      <c r="G731" s="383"/>
      <c r="H731" s="383"/>
      <c r="I731" s="385" t="b">
        <v>1</v>
      </c>
      <c r="J731" s="386" t="s">
        <v>12651</v>
      </c>
    </row>
    <row r="732" spans="1:10">
      <c r="A732" s="383" t="str">
        <f>CONCATENATE("Reviewed on"," ",(TEXT('2022-2023 Applications Review'!$A732, "mm/dd/yyyy")))</f>
        <v>Reviewed on 08/23/2022</v>
      </c>
      <c r="B732" s="383" t="str">
        <f>'2022-2023 Applications Review'!B732</f>
        <v>Conatix _2022</v>
      </c>
      <c r="C732" s="383" t="str">
        <f>'2022-2023 Applications Review'!E732</f>
        <v>Digital Tech</v>
      </c>
      <c r="D732" s="384" t="str">
        <f>'2022-2023 Applications Review'!Q732</f>
        <v>Invite</v>
      </c>
      <c r="E732" s="383"/>
      <c r="F732" s="383"/>
      <c r="G732" s="383"/>
      <c r="H732" s="383"/>
      <c r="I732" s="385" t="b">
        <v>1</v>
      </c>
      <c r="J732" s="386" t="s">
        <v>12652</v>
      </c>
    </row>
    <row r="733" spans="1:10">
      <c r="A733" s="383" t="str">
        <f>CONCATENATE("Reviewed on"," ",(TEXT('2022-2023 Applications Review'!$A733, "mm/dd/yyyy")))</f>
        <v>Reviewed on 08/23/2022</v>
      </c>
      <c r="B733" s="383" t="str">
        <f>'2022-2023 Applications Review'!B733</f>
        <v>Encora Therapeutics _2022</v>
      </c>
      <c r="C733" s="383" t="str">
        <f>'2022-2023 Applications Review'!E733</f>
        <v>Deep Tech</v>
      </c>
      <c r="D733" s="384" t="str">
        <f>'2022-2023 Applications Review'!Q733</f>
        <v>Invite</v>
      </c>
      <c r="E733" s="383"/>
      <c r="F733" s="383"/>
      <c r="G733" s="383"/>
      <c r="H733" s="383"/>
      <c r="I733" s="385" t="b">
        <v>1</v>
      </c>
      <c r="J733" s="386" t="s">
        <v>12653</v>
      </c>
    </row>
    <row r="734" spans="1:10">
      <c r="A734" s="383" t="str">
        <f>CONCATENATE("Reviewed on"," ",(TEXT('2022-2023 Applications Review'!$A734, "mm/dd/yyyy")))</f>
        <v>Reviewed on 08/23/2022</v>
      </c>
      <c r="B734" s="383" t="str">
        <f>'2022-2023 Applications Review'!B734</f>
        <v>Narrativa _2022</v>
      </c>
      <c r="C734" s="383" t="str">
        <f>'2022-2023 Applications Review'!E734</f>
        <v>Digital Tech</v>
      </c>
      <c r="D734" s="384" t="str">
        <f>'2022-2023 Applications Review'!Q734</f>
        <v>Invite</v>
      </c>
      <c r="E734" s="383"/>
      <c r="F734" s="383"/>
      <c r="G734" s="383"/>
      <c r="H734" s="383"/>
      <c r="I734" s="385" t="b">
        <v>1</v>
      </c>
      <c r="J734" s="386" t="s">
        <v>12654</v>
      </c>
    </row>
    <row r="735" spans="1:10">
      <c r="A735" s="383" t="str">
        <f>CONCATENATE("Reviewed on"," ",(TEXT('2022-2023 Applications Review'!$A735, "mm/dd/yyyy")))</f>
        <v>Reviewed on 08/23/2022</v>
      </c>
      <c r="B735" s="383" t="str">
        <f>'2022-2023 Applications Review'!B735</f>
        <v>Arterez, Inc. _2022</v>
      </c>
      <c r="C735" s="383" t="str">
        <f>'2022-2023 Applications Review'!E735</f>
        <v>Life Sciences</v>
      </c>
      <c r="D735" s="384" t="str">
        <f>'2022-2023 Applications Review'!Q735</f>
        <v>Invite</v>
      </c>
      <c r="E735" s="383"/>
      <c r="F735" s="383"/>
      <c r="G735" s="383"/>
      <c r="H735" s="383"/>
      <c r="I735" s="385" t="b">
        <v>1</v>
      </c>
      <c r="J735" s="386" t="s">
        <v>12655</v>
      </c>
    </row>
    <row r="736" spans="1:10">
      <c r="A736" s="383" t="str">
        <f>CONCATENATE("Reviewed on"," ",(TEXT('2022-2023 Applications Review'!$A736, "mm/dd/yyyy")))</f>
        <v>Reviewed on 08/23/2022</v>
      </c>
      <c r="B736" s="383" t="str">
        <f>'2022-2023 Applications Review'!B736</f>
        <v>Violett _2022</v>
      </c>
      <c r="C736" s="383" t="str">
        <f>'2022-2023 Applications Review'!E736</f>
        <v>Deep Tech</v>
      </c>
      <c r="D736" s="384" t="str">
        <f>'2022-2023 Applications Review'!Q736</f>
        <v>Invite</v>
      </c>
      <c r="E736" s="383"/>
      <c r="F736" s="383"/>
      <c r="G736" s="383"/>
      <c r="H736" s="383"/>
      <c r="I736" s="385" t="b">
        <v>1</v>
      </c>
      <c r="J736" s="386" t="s">
        <v>12656</v>
      </c>
    </row>
    <row r="737" spans="1:10">
      <c r="A737" s="383" t="str">
        <f>CONCATENATE("Reviewed on"," ",(TEXT('2022-2023 Applications Review'!$A737, "mm/dd/yyyy")))</f>
        <v>Reviewed on 08/23/2022</v>
      </c>
      <c r="B737" s="383" t="str">
        <f>'2022-2023 Applications Review'!B737</f>
        <v>NTherma Corporation _2022</v>
      </c>
      <c r="C737" s="383" t="str">
        <f>'2022-2023 Applications Review'!E737</f>
        <v>Deep Tech</v>
      </c>
      <c r="D737" s="384" t="str">
        <f>'2022-2023 Applications Review'!Q737</f>
        <v>Invite</v>
      </c>
      <c r="E737" s="383"/>
      <c r="F737" s="383"/>
      <c r="G737" s="383"/>
      <c r="H737" s="383"/>
      <c r="I737" s="385" t="b">
        <v>1</v>
      </c>
      <c r="J737" s="386" t="s">
        <v>12657</v>
      </c>
    </row>
    <row r="738" spans="1:10">
      <c r="A738" s="383" t="str">
        <f>CONCATENATE("Reviewed on"," ",(TEXT('2022-2023 Applications Review'!$A738, "mm/dd/yyyy")))</f>
        <v>Reviewed on 08/23/2022</v>
      </c>
      <c r="B738" s="383" t="str">
        <f>'2022-2023 Applications Review'!B738</f>
        <v>INAEDIS _2022</v>
      </c>
      <c r="C738" s="383" t="str">
        <f>'2022-2023 Applications Review'!E738</f>
        <v>Life Sciences</v>
      </c>
      <c r="D738" s="384" t="str">
        <f>'2022-2023 Applications Review'!Q738</f>
        <v>Invite</v>
      </c>
      <c r="E738" s="383"/>
      <c r="F738" s="383"/>
      <c r="G738" s="383"/>
      <c r="H738" s="383"/>
      <c r="I738" s="385" t="b">
        <v>1</v>
      </c>
      <c r="J738" s="386" t="s">
        <v>12658</v>
      </c>
    </row>
    <row r="739" spans="1:10">
      <c r="A739" s="383" t="str">
        <f>CONCATENATE("Reviewed on"," ",(TEXT('2022-2023 Applications Review'!$A739, "mm/dd/yyyy")))</f>
        <v>Reviewed on 08/23/2022</v>
      </c>
      <c r="B739" s="383" t="str">
        <f>'2022-2023 Applications Review'!B739</f>
        <v>THYROSCOPE INC. _2022</v>
      </c>
      <c r="C739" s="383" t="str">
        <f>'2022-2023 Applications Review'!E739</f>
        <v>Digital Tech</v>
      </c>
      <c r="D739" s="384" t="str">
        <f>'2022-2023 Applications Review'!Q739</f>
        <v>Revisit/ Cluster</v>
      </c>
      <c r="E739" s="383"/>
      <c r="F739" s="383"/>
      <c r="G739" s="383"/>
      <c r="H739" s="383"/>
      <c r="I739" s="385" t="b">
        <v>1</v>
      </c>
      <c r="J739" s="386" t="s">
        <v>12659</v>
      </c>
    </row>
    <row r="740" spans="1:10">
      <c r="A740" s="383" t="str">
        <f>CONCATENATE("Reviewed on"," ",(TEXT('2022-2023 Applications Review'!$A740, "mm/dd/yyyy")))</f>
        <v>Reviewed on 08/23/2022</v>
      </c>
      <c r="B740" s="383" t="str">
        <f>'2022-2023 Applications Review'!B740</f>
        <v>Dteckt, Inc. _2022</v>
      </c>
      <c r="C740" s="383" t="str">
        <f>'2022-2023 Applications Review'!E740</f>
        <v>Digital Tech</v>
      </c>
      <c r="D740" s="384" t="str">
        <f>'2022-2023 Applications Review'!Q740</f>
        <v>Invite</v>
      </c>
      <c r="E740" s="383"/>
      <c r="F740" s="383"/>
      <c r="G740" s="383"/>
      <c r="H740" s="383"/>
      <c r="I740" s="385" t="b">
        <v>1</v>
      </c>
      <c r="J740" s="386" t="s">
        <v>12660</v>
      </c>
    </row>
    <row r="741" spans="1:10">
      <c r="A741" s="383" t="str">
        <f>CONCATENATE("Reviewed on"," ",(TEXT('2022-2023 Applications Review'!$A741, "mm/dd/yyyy")))</f>
        <v>Reviewed on 08/23/2022</v>
      </c>
      <c r="B741" s="383" t="str">
        <f>'2022-2023 Applications Review'!B741</f>
        <v>Stanford University Medical Center _2022</v>
      </c>
      <c r="C741" s="383" t="str">
        <f>'2022-2023 Applications Review'!E741</f>
        <v>Life Sciences</v>
      </c>
      <c r="D741" s="384" t="str">
        <f>'2022-2023 Applications Review'!Q741</f>
        <v>Invite</v>
      </c>
      <c r="E741" s="383"/>
      <c r="F741" s="383"/>
      <c r="G741" s="383"/>
      <c r="H741" s="383"/>
      <c r="I741" s="385" t="b">
        <v>1</v>
      </c>
      <c r="J741" s="386" t="s">
        <v>12661</v>
      </c>
    </row>
    <row r="742" spans="1:10">
      <c r="A742" s="383" t="str">
        <f>CONCATENATE("Reviewed on"," ",(TEXT('2022-2023 Applications Review'!$A742, "mm/dd/yyyy")))</f>
        <v>Reviewed on 08/23/2022</v>
      </c>
      <c r="B742" s="383" t="str">
        <f>'2022-2023 Applications Review'!B742</f>
        <v>MindTrace _2022</v>
      </c>
      <c r="C742" s="383" t="str">
        <f>'2022-2023 Applications Review'!E742</f>
        <v>Digital Tech</v>
      </c>
      <c r="D742" s="384" t="str">
        <f>'2022-2023 Applications Review'!Q742</f>
        <v>Invite</v>
      </c>
      <c r="E742" s="383"/>
      <c r="F742" s="383"/>
      <c r="G742" s="383"/>
      <c r="H742" s="383"/>
      <c r="I742" s="385" t="b">
        <v>1</v>
      </c>
      <c r="J742" s="386" t="s">
        <v>12662</v>
      </c>
    </row>
    <row r="743" spans="1:10">
      <c r="A743" s="383" t="str">
        <f>CONCATENATE("Reviewed on"," ",(TEXT('2022-2023 Applications Review'!$A743, "mm/dd/yyyy")))</f>
        <v>Reviewed on 08/23/2022</v>
      </c>
      <c r="B743" s="383" t="str">
        <f>'2022-2023 Applications Review'!B743</f>
        <v>Vici Robotics _2022</v>
      </c>
      <c r="C743" s="383" t="str">
        <f>'2022-2023 Applications Review'!E743</f>
        <v>Deep Tech</v>
      </c>
      <c r="D743" s="384" t="str">
        <f>'2022-2023 Applications Review'!Q743</f>
        <v>Invite</v>
      </c>
      <c r="E743" s="383"/>
      <c r="F743" s="383"/>
      <c r="G743" s="383"/>
      <c r="H743" s="383"/>
      <c r="I743" s="385" t="b">
        <v>1</v>
      </c>
      <c r="J743" s="386" t="s">
        <v>12663</v>
      </c>
    </row>
    <row r="744" spans="1:10">
      <c r="A744" s="383" t="str">
        <f>CONCATENATE("Reviewed on"," ",(TEXT('2022-2023 Applications Review'!$A744, "mm/dd/yyyy")))</f>
        <v>Reviewed on 08/23/2022</v>
      </c>
      <c r="B744" s="383" t="str">
        <f>'2022-2023 Applications Review'!B744</f>
        <v>Laxis, Inc. _2022</v>
      </c>
      <c r="C744" s="383" t="str">
        <f>'2022-2023 Applications Review'!E744</f>
        <v>Digital Tech</v>
      </c>
      <c r="D744" s="384" t="str">
        <f>'2022-2023 Applications Review'!Q744</f>
        <v>Invite</v>
      </c>
      <c r="E744" s="383"/>
      <c r="F744" s="383"/>
      <c r="G744" s="383"/>
      <c r="H744" s="383"/>
      <c r="I744" s="385" t="b">
        <v>1</v>
      </c>
      <c r="J744" s="386" t="s">
        <v>12664</v>
      </c>
    </row>
    <row r="745" spans="1:10">
      <c r="A745" s="383" t="str">
        <f>CONCATENATE("Reviewed on"," ",(TEXT('2022-2023 Applications Review'!$A745, "mm/dd/yyyy")))</f>
        <v>Reviewed on 08/23/2022</v>
      </c>
      <c r="B745" s="383" t="str">
        <f>'2022-2023 Applications Review'!B745</f>
        <v>Evercity _2022</v>
      </c>
      <c r="C745" s="383" t="str">
        <f>'2022-2023 Applications Review'!E745</f>
        <v>Digital Tech</v>
      </c>
      <c r="D745" s="384" t="str">
        <f>'2022-2023 Applications Review'!Q745</f>
        <v>Invite</v>
      </c>
      <c r="E745" s="383"/>
      <c r="F745" s="383"/>
      <c r="G745" s="383"/>
      <c r="H745" s="383"/>
      <c r="I745" s="385" t="b">
        <v>1</v>
      </c>
      <c r="J745" s="386" t="s">
        <v>12665</v>
      </c>
    </row>
    <row r="746" spans="1:10">
      <c r="A746" s="383" t="str">
        <f>CONCATENATE("Reviewed on"," ",(TEXT('2022-2023 Applications Review'!$A746, "mm/dd/yyyy")))</f>
        <v>Reviewed on 08/23/2022</v>
      </c>
      <c r="B746" s="383" t="str">
        <f>'2022-2023 Applications Review'!B746</f>
        <v>Bureau, Inc. _2022</v>
      </c>
      <c r="C746" s="383" t="str">
        <f>'2022-2023 Applications Review'!E746</f>
        <v>Digital Tech</v>
      </c>
      <c r="D746" s="384" t="str">
        <f>'2022-2023 Applications Review'!Q746</f>
        <v>Invite</v>
      </c>
      <c r="E746" s="383"/>
      <c r="F746" s="383"/>
      <c r="G746" s="383"/>
      <c r="H746" s="383"/>
      <c r="I746" s="385" t="b">
        <v>1</v>
      </c>
      <c r="J746" s="386" t="s">
        <v>12666</v>
      </c>
    </row>
    <row r="747" spans="1:10">
      <c r="A747" s="383" t="str">
        <f>CONCATENATE("Reviewed on"," ",(TEXT('2022-2023 Applications Review'!$A747, "mm/dd/yyyy")))</f>
        <v>Reviewed on 08/23/2022</v>
      </c>
      <c r="B747" s="383" t="str">
        <f>'2022-2023 Applications Review'!B747</f>
        <v>FR0NTIER X _2022</v>
      </c>
      <c r="C747" s="383" t="str">
        <f>'2022-2023 Applications Review'!E747</f>
        <v>Digital Tech</v>
      </c>
      <c r="D747" s="384" t="str">
        <f>'2022-2023 Applications Review'!Q747</f>
        <v>Invite</v>
      </c>
      <c r="E747" s="383"/>
      <c r="F747" s="383"/>
      <c r="G747" s="383"/>
      <c r="H747" s="383"/>
      <c r="I747" s="385" t="b">
        <v>1</v>
      </c>
      <c r="J747" s="386" t="s">
        <v>12667</v>
      </c>
    </row>
    <row r="748" spans="1:10">
      <c r="A748" s="383" t="str">
        <f>CONCATENATE("Reviewed on"," ",(TEXT('2022-2023 Applications Review'!$A748, "mm/dd/yyyy")))</f>
        <v>Reviewed on 08/23/2022</v>
      </c>
      <c r="B748" s="383" t="str">
        <f>'2022-2023 Applications Review'!B748</f>
        <v>AssetVault Limited _2022</v>
      </c>
      <c r="C748" s="383" t="str">
        <f>'2022-2023 Applications Review'!E748</f>
        <v>Digital Tech</v>
      </c>
      <c r="D748" s="384" t="str">
        <f>'2022-2023 Applications Review'!Q748</f>
        <v>Revisit/ Cluster</v>
      </c>
      <c r="E748" s="383"/>
      <c r="F748" s="383"/>
      <c r="G748" s="383"/>
      <c r="H748" s="383"/>
      <c r="I748" s="385" t="b">
        <v>1</v>
      </c>
      <c r="J748" s="386" t="s">
        <v>12668</v>
      </c>
    </row>
    <row r="749" spans="1:10">
      <c r="A749" s="383" t="str">
        <f>CONCATENATE("Reviewed on"," ",(TEXT('2022-2023 Applications Review'!$A749, "mm/dd/yyyy")))</f>
        <v>Reviewed on 08/23/2022</v>
      </c>
      <c r="B749" s="383" t="str">
        <f>'2022-2023 Applications Review'!B749</f>
        <v>Chimera Therapeutics LLC _2022</v>
      </c>
      <c r="C749" s="383" t="str">
        <f>'2022-2023 Applications Review'!E749</f>
        <v>Life Sciences</v>
      </c>
      <c r="D749" s="384" t="str">
        <f>'2022-2023 Applications Review'!Q749</f>
        <v>Invite</v>
      </c>
      <c r="E749" s="383"/>
      <c r="F749" s="383"/>
      <c r="G749" s="383"/>
      <c r="H749" s="383"/>
      <c r="I749" s="385" t="b">
        <v>1</v>
      </c>
      <c r="J749" s="386" t="s">
        <v>12669</v>
      </c>
    </row>
    <row r="750" spans="1:10">
      <c r="A750" s="383" t="str">
        <f>CONCATENATE("Reviewed on"," ",(TEXT('2022-2023 Applications Review'!$A750, "mm/dd/yyyy")))</f>
        <v>Reviewed on 08/23/2022</v>
      </c>
      <c r="B750" s="383" t="str">
        <f>'2022-2023 Applications Review'!B750</f>
        <v>Efani Secure Mobile _2022</v>
      </c>
      <c r="C750" s="383" t="str">
        <f>'2022-2023 Applications Review'!E750</f>
        <v>Digital Tech</v>
      </c>
      <c r="D750" s="384" t="str">
        <f>'2022-2023 Applications Review'!Q750</f>
        <v>Invite</v>
      </c>
      <c r="E750" s="383"/>
      <c r="F750" s="383"/>
      <c r="G750" s="383"/>
      <c r="H750" s="383"/>
      <c r="I750" s="385" t="b">
        <v>1</v>
      </c>
      <c r="J750" s="386" t="s">
        <v>12670</v>
      </c>
    </row>
    <row r="751" spans="1:10">
      <c r="A751" s="383" t="str">
        <f>CONCATENATE("Reviewed on"," ",(TEXT('2022-2023 Applications Review'!$A751, "mm/dd/yyyy")))</f>
        <v>Reviewed on 08/23/2022</v>
      </c>
      <c r="B751" s="383" t="str">
        <f>'2022-2023 Applications Review'!B751</f>
        <v>Seek AI Inc. _2022</v>
      </c>
      <c r="C751" s="383" t="str">
        <f>'2022-2023 Applications Review'!E751</f>
        <v>Digital Tech</v>
      </c>
      <c r="D751" s="384" t="str">
        <f>'2022-2023 Applications Review'!Q751</f>
        <v>Invite</v>
      </c>
      <c r="E751" s="383"/>
      <c r="F751" s="383"/>
      <c r="G751" s="383"/>
      <c r="H751" s="383"/>
      <c r="I751" s="385" t="b">
        <v>1</v>
      </c>
      <c r="J751" s="386" t="s">
        <v>12671</v>
      </c>
    </row>
    <row r="752" spans="1:10">
      <c r="A752" s="383" t="str">
        <f>CONCATENATE("Reviewed on"," ",(TEXT('2022-2023 Applications Review'!$A752, "mm/dd/yyyy")))</f>
        <v>Reviewed on 08/23/2022</v>
      </c>
      <c r="B752" s="383" t="str">
        <f>'2022-2023 Applications Review'!B752</f>
        <v>Webeyez _2022</v>
      </c>
      <c r="C752" s="383" t="str">
        <f>'2022-2023 Applications Review'!E752</f>
        <v>Digital Tech</v>
      </c>
      <c r="D752" s="384" t="str">
        <f>'2022-2023 Applications Review'!Q752</f>
        <v>Invite</v>
      </c>
      <c r="E752" s="383"/>
      <c r="F752" s="383"/>
      <c r="G752" s="383"/>
      <c r="H752" s="383"/>
      <c r="I752" s="385" t="b">
        <v>1</v>
      </c>
      <c r="J752" s="386" t="s">
        <v>12672</v>
      </c>
    </row>
    <row r="753" spans="1:10">
      <c r="A753" s="383" t="str">
        <f>CONCATENATE("Reviewed on"," ",(TEXT('2022-2023 Applications Review'!$A753, "mm/dd/yyyy")))</f>
        <v>Reviewed on 08/23/2022</v>
      </c>
      <c r="B753" s="383" t="str">
        <f>'2022-2023 Applications Review'!B753</f>
        <v>Mon4t _2022</v>
      </c>
      <c r="C753" s="383" t="str">
        <f>'2022-2023 Applications Review'!E753</f>
        <v>Digital Tech</v>
      </c>
      <c r="D753" s="384" t="str">
        <f>'2022-2023 Applications Review'!Q753</f>
        <v>Invite</v>
      </c>
      <c r="E753" s="383"/>
      <c r="F753" s="383"/>
      <c r="G753" s="383"/>
      <c r="H753" s="383"/>
      <c r="I753" s="385" t="b">
        <v>1</v>
      </c>
      <c r="J753" s="386" t="s">
        <v>12673</v>
      </c>
    </row>
    <row r="754" spans="1:10">
      <c r="A754" s="383" t="str">
        <f>CONCATENATE("Reviewed on"," ",(TEXT('2022-2023 Applications Review'!$A754, "mm/dd/yyyy")))</f>
        <v>Reviewed on 08/23/2022</v>
      </c>
      <c r="B754" s="383" t="str">
        <f>'2022-2023 Applications Review'!B754</f>
        <v>IPwe _2022</v>
      </c>
      <c r="C754" s="383" t="str">
        <f>'2022-2023 Applications Review'!E754</f>
        <v>Digital Tech</v>
      </c>
      <c r="D754" s="384" t="str">
        <f>'2022-2023 Applications Review'!Q754</f>
        <v>Invite</v>
      </c>
      <c r="E754" s="383"/>
      <c r="F754" s="383"/>
      <c r="G754" s="383"/>
      <c r="H754" s="383"/>
      <c r="I754" s="385" t="b">
        <v>1</v>
      </c>
      <c r="J754" s="386" t="s">
        <v>12674</v>
      </c>
    </row>
    <row r="755" spans="1:10">
      <c r="A755" s="383" t="str">
        <f>CONCATENATE("Reviewed on"," ",(TEXT('2022-2023 Applications Review'!$A755, "mm/dd/yyyy")))</f>
        <v>Reviewed on 08/23/2022</v>
      </c>
      <c r="B755" s="383" t="str">
        <f>'2022-2023 Applications Review'!B755</f>
        <v>A4i _2022</v>
      </c>
      <c r="C755" s="383" t="str">
        <f>'2022-2023 Applications Review'!E755</f>
        <v>Digital Tech</v>
      </c>
      <c r="D755" s="384" t="str">
        <f>'2022-2023 Applications Review'!Q755</f>
        <v>Invite</v>
      </c>
      <c r="E755" s="383"/>
      <c r="F755" s="383"/>
      <c r="G755" s="383"/>
      <c r="H755" s="383"/>
      <c r="I755" s="385" t="b">
        <v>1</v>
      </c>
      <c r="J755" s="386" t="s">
        <v>12675</v>
      </c>
    </row>
    <row r="756" spans="1:10">
      <c r="A756" s="383" t="str">
        <f>CONCATENATE("Reviewed on"," ",(TEXT('2022-2023 Applications Review'!$A756, "mm/dd/yyyy")))</f>
        <v>Reviewed on 08/23/2022</v>
      </c>
      <c r="B756" s="383" t="str">
        <f>'2022-2023 Applications Review'!B756</f>
        <v>Fulfilld _2022</v>
      </c>
      <c r="C756" s="383" t="str">
        <f>'2022-2023 Applications Review'!E756</f>
        <v>Digital Tech</v>
      </c>
      <c r="D756" s="384" t="str">
        <f>'2022-2023 Applications Review'!Q756</f>
        <v>Invite</v>
      </c>
      <c r="E756" s="383"/>
      <c r="F756" s="383"/>
      <c r="G756" s="383"/>
      <c r="H756" s="383"/>
      <c r="I756" s="385" t="b">
        <v>1</v>
      </c>
      <c r="J756" s="386" t="s">
        <v>12676</v>
      </c>
    </row>
    <row r="757" spans="1:10">
      <c r="A757" s="383" t="str">
        <f>CONCATENATE("Reviewed on"," ",(TEXT('2022-2023 Applications Review'!$A757, "mm/dd/yyyy")))</f>
        <v>Reviewed on 08/23/2022</v>
      </c>
      <c r="B757" s="383" t="str">
        <f>'2022-2023 Applications Review'!B757</f>
        <v>REVER _2022</v>
      </c>
      <c r="C757" s="383" t="str">
        <f>'2022-2023 Applications Review'!E757</f>
        <v>Digital Tech</v>
      </c>
      <c r="D757" s="384" t="str">
        <f>'2022-2023 Applications Review'!Q757</f>
        <v>Invite</v>
      </c>
      <c r="E757" s="383"/>
      <c r="F757" s="383"/>
      <c r="G757" s="383"/>
      <c r="H757" s="383"/>
      <c r="I757" s="385" t="b">
        <v>1</v>
      </c>
      <c r="J757" s="386" t="s">
        <v>12677</v>
      </c>
    </row>
    <row r="758" spans="1:10">
      <c r="A758" s="383" t="str">
        <f>CONCATENATE("Reviewed on"," ",(TEXT('2022-2023 Applications Review'!$A758, "mm/dd/yyyy")))</f>
        <v>Reviewed on 08/23/2022</v>
      </c>
      <c r="B758" s="383" t="str">
        <f>'2022-2023 Applications Review'!B758</f>
        <v>Symphony Biosciences  _2022</v>
      </c>
      <c r="C758" s="383" t="str">
        <f>'2022-2023 Applications Review'!E758</f>
        <v>Life Sciences</v>
      </c>
      <c r="D758" s="384" t="str">
        <f>'2022-2023 Applications Review'!Q758</f>
        <v>Invite</v>
      </c>
      <c r="E758" s="383"/>
      <c r="F758" s="383"/>
      <c r="G758" s="383"/>
      <c r="H758" s="383"/>
      <c r="I758" s="385" t="b">
        <v>1</v>
      </c>
      <c r="J758" s="386" t="s">
        <v>12678</v>
      </c>
    </row>
    <row r="759" spans="1:10">
      <c r="A759" s="383" t="str">
        <f>CONCATENATE("Reviewed on"," ",(TEXT('2022-2023 Applications Review'!$A759, "mm/dd/yyyy")))</f>
        <v>Reviewed on 08/23/2022</v>
      </c>
      <c r="B759" s="383" t="str">
        <f>'2022-2023 Applications Review'!B759</f>
        <v>Isoprene Pharmaceuticals, Inc. _2022</v>
      </c>
      <c r="C759" s="383" t="str">
        <f>'2022-2023 Applications Review'!E759</f>
        <v>Life Sciences</v>
      </c>
      <c r="D759" s="384" t="str">
        <f>'2022-2023 Applications Review'!Q759</f>
        <v>Invite</v>
      </c>
      <c r="E759" s="383"/>
      <c r="F759" s="383"/>
      <c r="G759" s="383"/>
      <c r="H759" s="383"/>
      <c r="I759" s="385" t="b">
        <v>1</v>
      </c>
      <c r="J759" s="386" t="s">
        <v>12679</v>
      </c>
    </row>
    <row r="760" spans="1:10">
      <c r="A760" s="383" t="str">
        <f>CONCATENATE("Reviewed on"," ",(TEXT('2022-2023 Applications Review'!$A760, "mm/dd/yyyy")))</f>
        <v>Reviewed on 08/23/2022</v>
      </c>
      <c r="B760" s="383" t="str">
        <f>'2022-2023 Applications Review'!B760</f>
        <v>ZiO Health  _2022</v>
      </c>
      <c r="C760" s="383" t="str">
        <f>'2022-2023 Applications Review'!E760</f>
        <v>Deep Tech</v>
      </c>
      <c r="D760" s="384" t="str">
        <f>'2022-2023 Applications Review'!Q760</f>
        <v>Revisit/ Cluster</v>
      </c>
      <c r="E760" s="383"/>
      <c r="F760" s="383"/>
      <c r="G760" s="383"/>
      <c r="H760" s="383"/>
      <c r="I760" s="385" t="b">
        <v>1</v>
      </c>
      <c r="J760" s="386" t="s">
        <v>12680</v>
      </c>
    </row>
    <row r="761" spans="1:10">
      <c r="A761" s="383" t="str">
        <f>CONCATENATE("Reviewed on"," ",(TEXT('2022-2023 Applications Review'!$A761, "mm/dd/yyyy")))</f>
        <v>Reviewed on 08/23/2022</v>
      </c>
      <c r="B761" s="383" t="str">
        <f>'2022-2023 Applications Review'!B761</f>
        <v>OmniCyte, LLC _2022</v>
      </c>
      <c r="C761" s="383" t="str">
        <f>'2022-2023 Applications Review'!E761</f>
        <v>Life Sciences</v>
      </c>
      <c r="D761" s="384" t="str">
        <f>'2022-2023 Applications Review'!Q761</f>
        <v>Invite</v>
      </c>
      <c r="E761" s="383"/>
      <c r="F761" s="383"/>
      <c r="G761" s="383"/>
      <c r="H761" s="383"/>
      <c r="I761" s="385" t="b">
        <v>1</v>
      </c>
      <c r="J761" s="386" t="s">
        <v>12681</v>
      </c>
    </row>
    <row r="762" spans="1:10">
      <c r="A762" s="383" t="str">
        <f>CONCATENATE("Reviewed on"," ",(TEXT('2022-2023 Applications Review'!$A762, "mm/dd/yyyy")))</f>
        <v>Reviewed on 08/23/2022</v>
      </c>
      <c r="B762" s="383" t="str">
        <f>'2022-2023 Applications Review'!B762</f>
        <v>Edverse Ltd _2022</v>
      </c>
      <c r="C762" s="383" t="str">
        <f>'2022-2023 Applications Review'!E762</f>
        <v>Digital Tech</v>
      </c>
      <c r="D762" s="384" t="str">
        <f>'2022-2023 Applications Review'!Q762</f>
        <v>Invite</v>
      </c>
      <c r="E762" s="383"/>
      <c r="F762" s="383"/>
      <c r="G762" s="383"/>
      <c r="H762" s="383"/>
      <c r="I762" s="385" t="b">
        <v>1</v>
      </c>
      <c r="J762" s="386" t="s">
        <v>12682</v>
      </c>
    </row>
    <row r="763" spans="1:10">
      <c r="A763" s="383" t="str">
        <f>CONCATENATE("Reviewed on"," ",(TEXT('2022-2023 Applications Review'!$A763, "mm/dd/yyyy")))</f>
        <v>Reviewed on 08/23/2022</v>
      </c>
      <c r="B763" s="383" t="str">
        <f>'2022-2023 Applications Review'!B763</f>
        <v>Red Arrow Therapeutics, Co. Ltd.  _2022</v>
      </c>
      <c r="C763" s="383" t="str">
        <f>'2022-2023 Applications Review'!E763</f>
        <v>Life Sciences</v>
      </c>
      <c r="D763" s="384" t="str">
        <f>'2022-2023 Applications Review'!Q763</f>
        <v>Invite</v>
      </c>
      <c r="E763" s="383"/>
      <c r="F763" s="383"/>
      <c r="G763" s="383"/>
      <c r="H763" s="383"/>
      <c r="I763" s="385" t="b">
        <v>1</v>
      </c>
      <c r="J763" s="386" t="s">
        <v>12683</v>
      </c>
    </row>
    <row r="764" spans="1:10">
      <c r="A764" s="383" t="str">
        <f>CONCATENATE("Reviewed on"," ",(TEXT('2022-2023 Applications Review'!$A764, "mm/dd/yyyy")))</f>
        <v>Reviewed on 08/23/2022</v>
      </c>
      <c r="B764" s="383" t="str">
        <f>'2022-2023 Applications Review'!B764</f>
        <v>Serenity Bioworks  _2022</v>
      </c>
      <c r="C764" s="383" t="str">
        <f>'2022-2023 Applications Review'!E764</f>
        <v>Life Sciences</v>
      </c>
      <c r="D764" s="384" t="str">
        <f>'2022-2023 Applications Review'!Q764</f>
        <v>Invite</v>
      </c>
      <c r="E764" s="383"/>
      <c r="F764" s="383"/>
      <c r="G764" s="383"/>
      <c r="H764" s="383"/>
      <c r="I764" s="385" t="b">
        <v>1</v>
      </c>
      <c r="J764" s="386" t="s">
        <v>12684</v>
      </c>
    </row>
    <row r="765" spans="1:10">
      <c r="A765" s="383" t="str">
        <f>CONCATENATE("Reviewed on"," ",(TEXT('2022-2023 Applications Review'!$A765, "mm/dd/yyyy")))</f>
        <v>Reviewed on 08/23/2022</v>
      </c>
      <c r="B765" s="383" t="str">
        <f>'2022-2023 Applications Review'!B765</f>
        <v>Field 33 _2022</v>
      </c>
      <c r="C765" s="383" t="str">
        <f>'2022-2023 Applications Review'!E765</f>
        <v>Digital Tech</v>
      </c>
      <c r="D765" s="384" t="str">
        <f>'2022-2023 Applications Review'!Q765</f>
        <v>Invite</v>
      </c>
      <c r="E765" s="383"/>
      <c r="F765" s="383"/>
      <c r="G765" s="383"/>
      <c r="H765" s="383"/>
      <c r="I765" s="385" t="b">
        <v>1</v>
      </c>
      <c r="J765" s="386" t="s">
        <v>12685</v>
      </c>
    </row>
    <row r="766" spans="1:10">
      <c r="A766" s="383" t="str">
        <f>CONCATENATE("Reviewed on"," ",(TEXT('2022-2023 Applications Review'!$A766, "mm/dd/yyyy")))</f>
        <v>Reviewed on 08/23/2022</v>
      </c>
      <c r="B766" s="383" t="str">
        <f>'2022-2023 Applications Review'!B766</f>
        <v>EriVan Bio _2022</v>
      </c>
      <c r="C766" s="383" t="str">
        <f>'2022-2023 Applications Review'!E766</f>
        <v>Life Sciences</v>
      </c>
      <c r="D766" s="384" t="str">
        <f>'2022-2023 Applications Review'!Q766</f>
        <v>Special Reject</v>
      </c>
      <c r="E766" s="383"/>
      <c r="F766" s="383"/>
      <c r="G766" s="383"/>
      <c r="H766" s="383"/>
      <c r="I766" s="385" t="b">
        <v>1</v>
      </c>
      <c r="J766" s="386" t="s">
        <v>12686</v>
      </c>
    </row>
    <row r="767" spans="1:10">
      <c r="A767" s="383" t="str">
        <f>CONCATENATE("Reviewed on"," ",(TEXT('2022-2023 Applications Review'!$A767, "mm/dd/yyyy")))</f>
        <v>Reviewed on 08/23/2022</v>
      </c>
      <c r="B767" s="383" t="str">
        <f>'2022-2023 Applications Review'!B767</f>
        <v>Gabbit Trans Systems Pvt Ltd _2022</v>
      </c>
      <c r="C767" s="383" t="str">
        <f>'2022-2023 Applications Review'!E767</f>
        <v>Digital Tech</v>
      </c>
      <c r="D767" s="384" t="str">
        <f>'2022-2023 Applications Review'!Q767</f>
        <v>Invite Next Year</v>
      </c>
      <c r="E767" s="383"/>
      <c r="F767" s="383"/>
      <c r="G767" s="383"/>
      <c r="H767" s="383"/>
      <c r="I767" s="385" t="b">
        <v>1</v>
      </c>
      <c r="J767" s="386" t="s">
        <v>12687</v>
      </c>
    </row>
    <row r="768" spans="1:10">
      <c r="A768" s="383" t="str">
        <f>CONCATENATE("Reviewed on"," ",(TEXT('2022-2023 Applications Review'!$A768, "mm/dd/yyyy")))</f>
        <v>Reviewed on 08/23/2022</v>
      </c>
      <c r="B768" s="383" t="str">
        <f>'2022-2023 Applications Review'!B768</f>
        <v>mPOD, Inc. _2022</v>
      </c>
      <c r="C768" s="383" t="str">
        <f>'2022-2023 Applications Review'!E768</f>
        <v>Digital Tech</v>
      </c>
      <c r="D768" s="384" t="str">
        <f>'2022-2023 Applications Review'!Q768</f>
        <v>Invite</v>
      </c>
      <c r="E768" s="383"/>
      <c r="F768" s="383"/>
      <c r="G768" s="383"/>
      <c r="H768" s="383"/>
      <c r="I768" s="385" t="b">
        <v>1</v>
      </c>
      <c r="J768" s="386" t="s">
        <v>12688</v>
      </c>
    </row>
    <row r="769" spans="1:10">
      <c r="A769" s="383" t="str">
        <f>CONCATENATE("Reviewed on"," ",(TEXT('2022-2023 Applications Review'!$A769, "mm/dd/yyyy")))</f>
        <v>Reviewed on 08/23/2022</v>
      </c>
      <c r="B769" s="383" t="str">
        <f>'2022-2023 Applications Review'!B769</f>
        <v>Is CLEAN AIR Italia S.r.l. _2022</v>
      </c>
      <c r="C769" s="383" t="str">
        <f>'2022-2023 Applications Review'!E769</f>
        <v>Deep Tech</v>
      </c>
      <c r="D769" s="384" t="str">
        <f>'2022-2023 Applications Review'!Q769</f>
        <v>Revisit/ Cluster</v>
      </c>
      <c r="E769" s="383"/>
      <c r="F769" s="383"/>
      <c r="G769" s="383"/>
      <c r="H769" s="383"/>
      <c r="I769" s="385" t="b">
        <v>1</v>
      </c>
      <c r="J769" s="386" t="s">
        <v>12689</v>
      </c>
    </row>
    <row r="770" spans="1:10">
      <c r="A770" s="383" t="str">
        <f>CONCATENATE("Reviewed on"," ",(TEXT('2022-2023 Applications Review'!$A770, "mm/dd/yyyy")))</f>
        <v>Reviewed on 08/23/2022</v>
      </c>
      <c r="B770" s="383" t="str">
        <f>'2022-2023 Applications Review'!B770</f>
        <v>PlantSwitch _2022</v>
      </c>
      <c r="C770" s="383" t="str">
        <f>'2022-2023 Applications Review'!E770</f>
        <v>Deep Tech</v>
      </c>
      <c r="D770" s="384" t="str">
        <f>'2022-2023 Applications Review'!Q770</f>
        <v>Invite</v>
      </c>
      <c r="E770" s="383"/>
      <c r="F770" s="383"/>
      <c r="G770" s="383"/>
      <c r="H770" s="383"/>
      <c r="I770" s="385" t="b">
        <v>1</v>
      </c>
      <c r="J770" s="386" t="s">
        <v>12690</v>
      </c>
    </row>
    <row r="771" spans="1:10">
      <c r="A771" s="383" t="str">
        <f>CONCATENATE("Reviewed on"," ",(TEXT('2022-2023 Applications Review'!$A771, "mm/dd/yyyy")))</f>
        <v>Reviewed on 08/23/2022</v>
      </c>
      <c r="B771" s="383" t="str">
        <f>'2022-2023 Applications Review'!B771</f>
        <v>Legible Inc. _2022</v>
      </c>
      <c r="C771" s="383" t="str">
        <f>'2022-2023 Applications Review'!E771</f>
        <v>Digital Tech</v>
      </c>
      <c r="D771" s="384" t="str">
        <f>'2022-2023 Applications Review'!Q771</f>
        <v>Invite</v>
      </c>
      <c r="E771" s="383"/>
      <c r="F771" s="383"/>
      <c r="G771" s="383"/>
      <c r="H771" s="383"/>
      <c r="I771" s="385" t="b">
        <v>1</v>
      </c>
      <c r="J771" s="386" t="s">
        <v>12691</v>
      </c>
    </row>
    <row r="772" spans="1:10">
      <c r="A772" s="383" t="str">
        <f>CONCATENATE("Reviewed on"," ",(TEXT('2022-2023 Applications Review'!$A772, "mm/dd/yyyy")))</f>
        <v>Reviewed on 08/23/2022</v>
      </c>
      <c r="B772" s="383" t="str">
        <f>'2022-2023 Applications Review'!B772</f>
        <v>Rocket VR Health _2022</v>
      </c>
      <c r="C772" s="383" t="str">
        <f>'2022-2023 Applications Review'!E772</f>
        <v>Digital Tech</v>
      </c>
      <c r="D772" s="384" t="str">
        <f>'2022-2023 Applications Review'!Q772</f>
        <v>Revisit</v>
      </c>
      <c r="E772" s="383"/>
      <c r="F772" s="383"/>
      <c r="G772" s="383"/>
      <c r="H772" s="383"/>
      <c r="I772" s="385" t="b">
        <v>1</v>
      </c>
      <c r="J772" s="386"/>
    </row>
    <row r="773" spans="1:10">
      <c r="A773" s="383" t="str">
        <f>CONCATENATE("Reviewed on"," ",(TEXT('2022-2023 Applications Review'!$A773, "mm/dd/yyyy")))</f>
        <v>Reviewed on 08/23/2022</v>
      </c>
      <c r="B773" s="383" t="str">
        <f>'2022-2023 Applications Review'!B773</f>
        <v>VendRx Inc. _2022</v>
      </c>
      <c r="C773" s="383" t="str">
        <f>'2022-2023 Applications Review'!E773</f>
        <v>Digital Tech</v>
      </c>
      <c r="D773" s="384" t="str">
        <f>'2022-2023 Applications Review'!Q773</f>
        <v>Invite</v>
      </c>
      <c r="E773" s="383"/>
      <c r="F773" s="383"/>
      <c r="G773" s="383"/>
      <c r="H773" s="383"/>
      <c r="I773" s="385" t="b">
        <v>1</v>
      </c>
      <c r="J773" s="386" t="s">
        <v>12692</v>
      </c>
    </row>
    <row r="774" spans="1:10">
      <c r="A774" s="383" t="str">
        <f>CONCATENATE("Reviewed on"," ",(TEXT('2022-2023 Applications Review'!$A774, "mm/dd/yyyy")))</f>
        <v>Reviewed on 08/23/2022</v>
      </c>
      <c r="B774" s="383" t="str">
        <f>'2022-2023 Applications Review'!B774</f>
        <v>CIRT (Can I Recycle This, Inc.) _2022</v>
      </c>
      <c r="C774" s="383" t="str">
        <f>'2022-2023 Applications Review'!E774</f>
        <v>Digital Tech</v>
      </c>
      <c r="D774" s="384" t="str">
        <f>'2022-2023 Applications Review'!Q774</f>
        <v>Invite</v>
      </c>
      <c r="E774" s="383"/>
      <c r="F774" s="383"/>
      <c r="G774" s="383"/>
      <c r="H774" s="383"/>
      <c r="I774" s="385" t="b">
        <v>1</v>
      </c>
      <c r="J774" s="386" t="s">
        <v>12693</v>
      </c>
    </row>
    <row r="775" spans="1:10">
      <c r="A775" s="383" t="str">
        <f>CONCATENATE("Reviewed on"," ",(TEXT('2022-2023 Applications Review'!$A775, "mm/dd/yyyy")))</f>
        <v>Reviewed on 08/23/2022</v>
      </c>
      <c r="B775" s="383" t="str">
        <f>'2022-2023 Applications Review'!B775</f>
        <v>Sumer _2022</v>
      </c>
      <c r="C775" s="383" t="str">
        <f>'2022-2023 Applications Review'!E775</f>
        <v>Digital Tech</v>
      </c>
      <c r="D775" s="384" t="str">
        <f>'2022-2023 Applications Review'!Q775</f>
        <v>Invite</v>
      </c>
      <c r="E775" s="383"/>
      <c r="F775" s="383"/>
      <c r="G775" s="383"/>
      <c r="H775" s="383"/>
      <c r="I775" s="385" t="b">
        <v>1</v>
      </c>
      <c r="J775" s="386" t="s">
        <v>12694</v>
      </c>
    </row>
    <row r="776" spans="1:10">
      <c r="A776" s="383" t="str">
        <f>CONCATENATE("Reviewed on"," ",(TEXT('2022-2023 Applications Review'!$A776, "mm/dd/yyyy")))</f>
        <v>Reviewed on 08/23/2022</v>
      </c>
      <c r="B776" s="383" t="str">
        <f>'2022-2023 Applications Review'!B776</f>
        <v>Fathom _2022</v>
      </c>
      <c r="C776" s="383" t="str">
        <f>'2022-2023 Applications Review'!E776</f>
        <v>Digital Tech</v>
      </c>
      <c r="D776" s="384" t="str">
        <f>'2022-2023 Applications Review'!Q776</f>
        <v>Invite</v>
      </c>
      <c r="E776" s="383"/>
      <c r="F776" s="383"/>
      <c r="G776" s="383"/>
      <c r="H776" s="383"/>
      <c r="I776" s="385" t="b">
        <v>1</v>
      </c>
      <c r="J776" s="386" t="s">
        <v>12695</v>
      </c>
    </row>
    <row r="777" spans="1:10">
      <c r="A777" s="383" t="str">
        <f>CONCATENATE("Reviewed on"," ",(TEXT('2022-2023 Applications Review'!$A777, "mm/dd/yyyy")))</f>
        <v>Reviewed on 08/23/2022</v>
      </c>
      <c r="B777" s="383" t="str">
        <f>'2022-2023 Applications Review'!B777</f>
        <v>Base5 Genomics, Inc. _2022</v>
      </c>
      <c r="C777" s="383" t="str">
        <f>'2022-2023 Applications Review'!E777</f>
        <v>Life Sciences</v>
      </c>
      <c r="D777" s="384" t="str">
        <f>'2022-2023 Applications Review'!Q777</f>
        <v>Revisit/ Cluster</v>
      </c>
      <c r="E777" s="383"/>
      <c r="F777" s="383"/>
      <c r="G777" s="383"/>
      <c r="H777" s="383"/>
      <c r="I777" s="385" t="b">
        <v>1</v>
      </c>
      <c r="J777" s="386" t="s">
        <v>12696</v>
      </c>
    </row>
    <row r="778" spans="1:10">
      <c r="A778" s="383" t="str">
        <f>CONCATENATE("Reviewed on"," ",(TEXT('2022-2023 Applications Review'!$A778, "mm/dd/yyyy")))</f>
        <v>Reviewed on 08/23/2022</v>
      </c>
      <c r="B778" s="383" t="str">
        <f>'2022-2023 Applications Review'!B778</f>
        <v>VitriVac.com _2022</v>
      </c>
      <c r="C778" s="383" t="str">
        <f>'2022-2023 Applications Review'!E778</f>
        <v>Life Sciences</v>
      </c>
      <c r="D778" s="384" t="str">
        <f>'2022-2023 Applications Review'!Q778</f>
        <v>Invite</v>
      </c>
      <c r="E778" s="383"/>
      <c r="F778" s="383"/>
      <c r="G778" s="383"/>
      <c r="H778" s="383"/>
      <c r="I778" s="385" t="b">
        <v>1</v>
      </c>
      <c r="J778" s="386" t="s">
        <v>12697</v>
      </c>
    </row>
    <row r="779" spans="1:10">
      <c r="A779" s="383" t="str">
        <f>CONCATENATE("Reviewed on"," ",(TEXT('2022-2023 Applications Review'!$A779, "mm/dd/yyyy")))</f>
        <v>Reviewed on 08/23/2022</v>
      </c>
      <c r="B779" s="383" t="str">
        <f>'2022-2023 Applications Review'!B779</f>
        <v>BoostDraft Inc. _2022</v>
      </c>
      <c r="C779" s="383" t="str">
        <f>'2022-2023 Applications Review'!E779</f>
        <v>Digital Tech</v>
      </c>
      <c r="D779" s="384" t="str">
        <f>'2022-2023 Applications Review'!Q779</f>
        <v>Revisit/ Cluster</v>
      </c>
      <c r="E779" s="383"/>
      <c r="F779" s="383"/>
      <c r="G779" s="383"/>
      <c r="H779" s="383"/>
      <c r="I779" s="385" t="b">
        <v>1</v>
      </c>
      <c r="J779" s="386" t="s">
        <v>12698</v>
      </c>
    </row>
    <row r="780" spans="1:10">
      <c r="A780" s="383" t="str">
        <f>CONCATENATE("Reviewed on"," ",(TEXT('2022-2023 Applications Review'!$A780, "mm/dd/yyyy")))</f>
        <v>Reviewed on 08/23/2022</v>
      </c>
      <c r="B780" s="383" t="str">
        <f>'2022-2023 Applications Review'!B780</f>
        <v>Allset _2022</v>
      </c>
      <c r="C780" s="383" t="str">
        <f>'2022-2023 Applications Review'!E780</f>
        <v>Digital Tech</v>
      </c>
      <c r="D780" s="384" t="str">
        <f>'2022-2023 Applications Review'!Q780</f>
        <v>Invite</v>
      </c>
      <c r="E780" s="383"/>
      <c r="F780" s="383"/>
      <c r="G780" s="383"/>
      <c r="H780" s="383"/>
      <c r="I780" s="385" t="b">
        <v>1</v>
      </c>
      <c r="J780" s="386" t="s">
        <v>12699</v>
      </c>
    </row>
    <row r="781" spans="1:10">
      <c r="A781" s="383" t="str">
        <f>CONCATENATE("Reviewed on"," ",(TEXT('2022-2023 Applications Review'!$A781, "mm/dd/yyyy")))</f>
        <v>Reviewed on 08/23/2022</v>
      </c>
      <c r="B781" s="383" t="str">
        <f>'2022-2023 Applications Review'!B781</f>
        <v>Inference Analytics, Inc.  _2022</v>
      </c>
      <c r="C781" s="383" t="str">
        <f>'2022-2023 Applications Review'!E781</f>
        <v>Digital Tech</v>
      </c>
      <c r="D781" s="384" t="str">
        <f>'2022-2023 Applications Review'!Q781</f>
        <v>Invite</v>
      </c>
      <c r="E781" s="383"/>
      <c r="F781" s="383"/>
      <c r="G781" s="383"/>
      <c r="H781" s="383"/>
      <c r="I781" s="385" t="b">
        <v>1</v>
      </c>
      <c r="J781" s="386" t="s">
        <v>12700</v>
      </c>
    </row>
    <row r="782" spans="1:10">
      <c r="A782" s="383" t="str">
        <f>CONCATENATE("Reviewed on"," ",(TEXT('2022-2023 Applications Review'!$A782, "mm/dd/yyyy")))</f>
        <v>Reviewed on 08/23/2022</v>
      </c>
      <c r="B782" s="383" t="str">
        <f>'2022-2023 Applications Review'!B782</f>
        <v>Plantae Bioscience _2022</v>
      </c>
      <c r="C782" s="383" t="str">
        <f>'2022-2023 Applications Review'!E782</f>
        <v>Deep Tech</v>
      </c>
      <c r="D782" s="384" t="str">
        <f>'2022-2023 Applications Review'!Q782</f>
        <v>Revisit/ Cluster</v>
      </c>
      <c r="E782" s="383"/>
      <c r="F782" s="383"/>
      <c r="G782" s="383"/>
      <c r="H782" s="383"/>
      <c r="I782" s="385" t="b">
        <v>1</v>
      </c>
      <c r="J782" s="386" t="s">
        <v>12701</v>
      </c>
    </row>
    <row r="783" spans="1:10">
      <c r="A783" s="383" t="str">
        <f>CONCATENATE("Reviewed on"," ",(TEXT('2022-2023 Applications Review'!$A783, "mm/dd/yyyy")))</f>
        <v>Reviewed on 08/23/2022</v>
      </c>
      <c r="B783" s="383" t="str">
        <f>'2022-2023 Applications Review'!B783</f>
        <v>APIE Therapeutics  _2022</v>
      </c>
      <c r="C783" s="383" t="str">
        <f>'2022-2023 Applications Review'!E783</f>
        <v>Life Sciences</v>
      </c>
      <c r="D783" s="384" t="str">
        <f>'2022-2023 Applications Review'!Q783</f>
        <v>Invite</v>
      </c>
      <c r="E783" s="383"/>
      <c r="F783" s="383"/>
      <c r="G783" s="383"/>
      <c r="H783" s="383"/>
      <c r="I783" s="385" t="b">
        <v>1</v>
      </c>
      <c r="J783" s="386" t="s">
        <v>12702</v>
      </c>
    </row>
    <row r="784" spans="1:10">
      <c r="A784" s="383" t="str">
        <f>CONCATENATE("Reviewed on"," ",(TEXT('2022-2023 Applications Review'!$A784, "mm/dd/yyyy")))</f>
        <v>Reviewed on 08/23/2022</v>
      </c>
      <c r="B784" s="383" t="str">
        <f>'2022-2023 Applications Review'!B784</f>
        <v>Anima Interactive _2022</v>
      </c>
      <c r="C784" s="383" t="str">
        <f>'2022-2023 Applications Review'!E784</f>
        <v>Digital Tech</v>
      </c>
      <c r="D784" s="384" t="str">
        <f>'2022-2023 Applications Review'!Q784</f>
        <v>Invite Next Year</v>
      </c>
      <c r="E784" s="383"/>
      <c r="F784" s="383"/>
      <c r="G784" s="383"/>
      <c r="H784" s="383"/>
      <c r="I784" s="385" t="b">
        <v>1</v>
      </c>
      <c r="J784" s="386" t="s">
        <v>12703</v>
      </c>
    </row>
    <row r="785" spans="1:10">
      <c r="A785" s="383" t="str">
        <f>CONCATENATE("Reviewed on"," ",(TEXT('2022-2023 Applications Review'!$A785, "mm/dd/yyyy")))</f>
        <v>Reviewed on 08/23/2022</v>
      </c>
      <c r="B785" s="383" t="str">
        <f>'2022-2023 Applications Review'!B785</f>
        <v>PurMinds NeuroPharma Inc. _2022</v>
      </c>
      <c r="C785" s="383" t="str">
        <f>'2022-2023 Applications Review'!E785</f>
        <v>Life Sciences</v>
      </c>
      <c r="D785" s="384" t="str">
        <f>'2022-2023 Applications Review'!Q785</f>
        <v>Invite Next Year</v>
      </c>
      <c r="E785" s="383"/>
      <c r="F785" s="383"/>
      <c r="G785" s="383"/>
      <c r="H785" s="383"/>
      <c r="I785" s="385" t="b">
        <v>1</v>
      </c>
      <c r="J785" s="386" t="s">
        <v>12704</v>
      </c>
    </row>
    <row r="786" spans="1:10">
      <c r="A786" s="383" t="str">
        <f>CONCATENATE("Reviewed on"," ",(TEXT('2022-2023 Applications Review'!$A786, "mm/dd/yyyy")))</f>
        <v>Reviewed on 08/23/2022</v>
      </c>
      <c r="B786" s="383" t="str">
        <f>'2022-2023 Applications Review'!B786</f>
        <v>Carteav _2022</v>
      </c>
      <c r="C786" s="383" t="str">
        <f>'2022-2023 Applications Review'!E786</f>
        <v>Digital Tech</v>
      </c>
      <c r="D786" s="384" t="str">
        <f>'2022-2023 Applications Review'!Q786</f>
        <v>Invite Next Year</v>
      </c>
      <c r="E786" s="383"/>
      <c r="F786" s="383"/>
      <c r="G786" s="383"/>
      <c r="H786" s="383"/>
      <c r="I786" s="385" t="b">
        <v>1</v>
      </c>
      <c r="J786" s="386" t="s">
        <v>12705</v>
      </c>
    </row>
    <row r="787" spans="1:10">
      <c r="A787" s="383" t="str">
        <f>CONCATENATE("Reviewed on"," ",(TEXT('2022-2023 Applications Review'!$A787, "mm/dd/yyyy")))</f>
        <v>Reviewed on 08/23/2022</v>
      </c>
      <c r="B787" s="383" t="str">
        <f>'2022-2023 Applications Review'!B787</f>
        <v>NextStep Health _2022</v>
      </c>
      <c r="C787" s="383" t="str">
        <f>'2022-2023 Applications Review'!E787</f>
        <v>Digital Tech</v>
      </c>
      <c r="D787" s="384" t="str">
        <f>'2022-2023 Applications Review'!Q787</f>
        <v>Invite Next Year</v>
      </c>
      <c r="E787" s="383"/>
      <c r="F787" s="383"/>
      <c r="G787" s="383"/>
      <c r="H787" s="383"/>
      <c r="I787" s="385" t="b">
        <v>1</v>
      </c>
      <c r="J787" s="386" t="s">
        <v>12706</v>
      </c>
    </row>
    <row r="788" spans="1:10">
      <c r="A788" s="383" t="str">
        <f>CONCATENATE("Reviewed on"," ",(TEXT('2022-2023 Applications Review'!$A788, "mm/dd/yyyy")))</f>
        <v>Reviewed on 08/23/2022</v>
      </c>
      <c r="B788" s="383" t="str">
        <f>'2022-2023 Applications Review'!B788</f>
        <v>CARI Health, Inc. _2022</v>
      </c>
      <c r="C788" s="383" t="str">
        <f>'2022-2023 Applications Review'!E788</f>
        <v>Deep Tech</v>
      </c>
      <c r="D788" s="384" t="str">
        <f>'2022-2023 Applications Review'!Q788</f>
        <v>Revisit/ Cluster</v>
      </c>
      <c r="E788" s="383"/>
      <c r="F788" s="383"/>
      <c r="G788" s="383"/>
      <c r="H788" s="383"/>
      <c r="I788" s="385" t="b">
        <v>1</v>
      </c>
      <c r="J788" s="386" t="s">
        <v>12707</v>
      </c>
    </row>
    <row r="789" spans="1:10">
      <c r="A789" s="383" t="str">
        <f>CONCATENATE("Reviewed on"," ",(TEXT('2022-2023 Applications Review'!$A789, "mm/dd/yyyy")))</f>
        <v>Reviewed on 08/23/2022</v>
      </c>
      <c r="B789" s="383" t="str">
        <f>'2022-2023 Applications Review'!B789</f>
        <v>OBORTECHglobal OÜ _2022</v>
      </c>
      <c r="C789" s="383" t="str">
        <f>'2022-2023 Applications Review'!E789</f>
        <v>Digital Tech</v>
      </c>
      <c r="D789" s="384" t="str">
        <f>'2022-2023 Applications Review'!Q789</f>
        <v>Invite Next Year</v>
      </c>
      <c r="E789" s="383"/>
      <c r="F789" s="383"/>
      <c r="G789" s="383"/>
      <c r="H789" s="383"/>
      <c r="I789" s="385" t="b">
        <v>1</v>
      </c>
      <c r="J789" s="386" t="s">
        <v>12708</v>
      </c>
    </row>
    <row r="790" spans="1:10">
      <c r="A790" s="383" t="str">
        <f>CONCATENATE("Reviewed on"," ",(TEXT('2022-2023 Applications Review'!$A790, "mm/dd/yyyy")))</f>
        <v>Reviewed on 08/23/2022</v>
      </c>
      <c r="B790" s="383" t="str">
        <f>'2022-2023 Applications Review'!B790</f>
        <v>Anavah Health _2022</v>
      </c>
      <c r="C790" s="383" t="str">
        <f>'2022-2023 Applications Review'!E790</f>
        <v>Digital Tech</v>
      </c>
      <c r="D790" s="384" t="str">
        <f>'2022-2023 Applications Review'!Q790</f>
        <v>Invite Next Year</v>
      </c>
      <c r="E790" s="383"/>
      <c r="F790" s="383"/>
      <c r="G790" s="383"/>
      <c r="H790" s="383"/>
      <c r="I790" s="385" t="b">
        <v>1</v>
      </c>
      <c r="J790" s="386" t="s">
        <v>12709</v>
      </c>
    </row>
    <row r="791" spans="1:10">
      <c r="A791" s="383" t="str">
        <f>CONCATENATE("Reviewed on"," ",(TEXT('2022-2023 Applications Review'!$A791, "mm/dd/yyyy")))</f>
        <v>Reviewed on 08/23/2022</v>
      </c>
      <c r="B791" s="383" t="str">
        <f>'2022-2023 Applications Review'!B791</f>
        <v>Weather Trade Net _2022</v>
      </c>
      <c r="C791" s="383" t="str">
        <f>'2022-2023 Applications Review'!E791</f>
        <v>Digital Tech</v>
      </c>
      <c r="D791" s="384" t="str">
        <f>'2022-2023 Applications Review'!Q791</f>
        <v>Invite Next Year</v>
      </c>
      <c r="E791" s="383"/>
      <c r="F791" s="383"/>
      <c r="G791" s="383"/>
      <c r="H791" s="383"/>
      <c r="I791" s="385" t="b">
        <v>1</v>
      </c>
      <c r="J791" s="386" t="s">
        <v>12710</v>
      </c>
    </row>
    <row r="792" spans="1:10">
      <c r="A792" s="383" t="str">
        <f>CONCATENATE("Reviewed on"," ",(TEXT('2022-2023 Applications Review'!$A792, "mm/dd/yyyy")))</f>
        <v>Reviewed on 08/23/2022</v>
      </c>
      <c r="B792" s="383" t="str">
        <f>'2022-2023 Applications Review'!B792</f>
        <v>Findustrial _2022</v>
      </c>
      <c r="C792" s="383" t="str">
        <f>'2022-2023 Applications Review'!E792</f>
        <v>Digital Tech</v>
      </c>
      <c r="D792" s="384" t="str">
        <f>'2022-2023 Applications Review'!Q792</f>
        <v>Invite Next Year</v>
      </c>
      <c r="E792" s="383"/>
      <c r="F792" s="383"/>
      <c r="G792" s="383"/>
      <c r="H792" s="383"/>
      <c r="I792" s="385" t="b">
        <v>1</v>
      </c>
      <c r="J792" s="386" t="s">
        <v>12711</v>
      </c>
    </row>
    <row r="793" spans="1:10">
      <c r="A793" s="383" t="str">
        <f>CONCATENATE("Reviewed on"," ",(TEXT('2022-2023 Applications Review'!$A793, "mm/dd/yyyy")))</f>
        <v>Reviewed on 08/23/2022</v>
      </c>
      <c r="B793" s="383" t="str">
        <f>'2022-2023 Applications Review'!B793</f>
        <v>HeyPeers _2022</v>
      </c>
      <c r="C793" s="383" t="str">
        <f>'2022-2023 Applications Review'!E793</f>
        <v>Digital Tech</v>
      </c>
      <c r="D793" s="384" t="str">
        <f>'2022-2023 Applications Review'!Q793</f>
        <v>Invite Next Year</v>
      </c>
      <c r="E793" s="383"/>
      <c r="F793" s="383"/>
      <c r="G793" s="383"/>
      <c r="H793" s="383"/>
      <c r="I793" s="385" t="b">
        <v>1</v>
      </c>
      <c r="J793" s="386" t="s">
        <v>12712</v>
      </c>
    </row>
    <row r="794" spans="1:10">
      <c r="A794" s="383" t="str">
        <f>CONCATENATE("Reviewed on"," ",(TEXT('2022-2023 Applications Review'!$A794, "mm/dd/yyyy")))</f>
        <v>Reviewed on 08/23/2022</v>
      </c>
      <c r="B794" s="383" t="str">
        <f>'2022-2023 Applications Review'!B794</f>
        <v>NOWHERE (NWR CORP) _2022</v>
      </c>
      <c r="C794" s="383" t="str">
        <f>'2022-2023 Applications Review'!E794</f>
        <v>Digital Tech</v>
      </c>
      <c r="D794" s="384" t="str">
        <f>'2022-2023 Applications Review'!Q794</f>
        <v>Invite Next Year</v>
      </c>
      <c r="E794" s="383"/>
      <c r="F794" s="383"/>
      <c r="G794" s="383"/>
      <c r="H794" s="383"/>
      <c r="I794" s="385" t="b">
        <v>1</v>
      </c>
      <c r="J794" s="386" t="s">
        <v>12713</v>
      </c>
    </row>
    <row r="795" spans="1:10">
      <c r="A795" s="383" t="str">
        <f>CONCATENATE("Reviewed on"," ",(TEXT('2022-2023 Applications Review'!$A795, "mm/dd/yyyy")))</f>
        <v>Reviewed on 08/23/2022</v>
      </c>
      <c r="B795" s="383" t="str">
        <f>'2022-2023 Applications Review'!B795</f>
        <v>EASEEbot _2022</v>
      </c>
      <c r="C795" s="383" t="str">
        <f>'2022-2023 Applications Review'!E795</f>
        <v>Deep Tech</v>
      </c>
      <c r="D795" s="384" t="str">
        <f>'2022-2023 Applications Review'!Q795</f>
        <v>Invite Next Year</v>
      </c>
      <c r="E795" s="383"/>
      <c r="F795" s="383"/>
      <c r="G795" s="383"/>
      <c r="H795" s="383"/>
      <c r="I795" s="385" t="b">
        <v>1</v>
      </c>
      <c r="J795" s="386" t="s">
        <v>12714</v>
      </c>
    </row>
    <row r="796" spans="1:10">
      <c r="A796" s="383" t="str">
        <f>CONCATENATE("Reviewed on"," ",(TEXT('2022-2023 Applications Review'!$A796, "mm/dd/yyyy")))</f>
        <v>Reviewed on 08/23/2022</v>
      </c>
      <c r="B796" s="383" t="str">
        <f>'2022-2023 Applications Review'!B796</f>
        <v>YouVue _2022</v>
      </c>
      <c r="C796" s="383" t="str">
        <f>'2022-2023 Applications Review'!E796</f>
        <v>Digital Tech</v>
      </c>
      <c r="D796" s="384" t="str">
        <f>'2022-2023 Applications Review'!Q796</f>
        <v>Invite Next Year</v>
      </c>
      <c r="E796" s="383"/>
      <c r="F796" s="383"/>
      <c r="G796" s="383"/>
      <c r="H796" s="383"/>
      <c r="I796" s="385" t="b">
        <v>1</v>
      </c>
      <c r="J796" s="386" t="s">
        <v>12715</v>
      </c>
    </row>
    <row r="797" spans="1:10">
      <c r="A797" s="383" t="str">
        <f>CONCATENATE("Reviewed on"," ",(TEXT('2022-2023 Applications Review'!$A797, "mm/dd/yyyy")))</f>
        <v>Reviewed on 08/23/2022</v>
      </c>
      <c r="B797" s="383" t="str">
        <f>'2022-2023 Applications Review'!B797</f>
        <v>Fairmint _2022</v>
      </c>
      <c r="C797" s="383" t="str">
        <f>'2022-2023 Applications Review'!E797</f>
        <v>Digital Tech</v>
      </c>
      <c r="D797" s="384" t="str">
        <f>'2022-2023 Applications Review'!Q797</f>
        <v>Invite</v>
      </c>
      <c r="E797" s="383"/>
      <c r="F797" s="383"/>
      <c r="G797" s="383"/>
      <c r="H797" s="383"/>
      <c r="I797" s="385" t="b">
        <v>1</v>
      </c>
      <c r="J797" s="386" t="s">
        <v>12716</v>
      </c>
    </row>
    <row r="798" spans="1:10">
      <c r="A798" s="383" t="str">
        <f>CONCATENATE("Reviewed on"," ",(TEXT('2022-2023 Applications Review'!$A798, "mm/dd/yyyy")))</f>
        <v>Reviewed on 08/23/2022</v>
      </c>
      <c r="B798" s="383" t="str">
        <f>'2022-2023 Applications Review'!B798</f>
        <v>Immersive Reality Group _2022</v>
      </c>
      <c r="C798" s="383" t="str">
        <f>'2022-2023 Applications Review'!E798</f>
        <v>Digital Tech</v>
      </c>
      <c r="D798" s="384" t="str">
        <f>'2022-2023 Applications Review'!Q798</f>
        <v>Invite Next Year</v>
      </c>
      <c r="E798" s="383"/>
      <c r="F798" s="383"/>
      <c r="G798" s="383"/>
      <c r="H798" s="383"/>
      <c r="I798" s="385" t="b">
        <v>1</v>
      </c>
      <c r="J798" s="386" t="s">
        <v>12717</v>
      </c>
    </row>
    <row r="799" spans="1:10">
      <c r="A799" s="383" t="str">
        <f>CONCATENATE("Reviewed on"," ",(TEXT('2022-2023 Applications Review'!$A799, "mm/dd/yyyy")))</f>
        <v>Reviewed on 08/23/2022</v>
      </c>
      <c r="B799" s="383" t="str">
        <f>'2022-2023 Applications Review'!B799</f>
        <v>Syos _2022</v>
      </c>
      <c r="C799" s="383" t="str">
        <f>'2022-2023 Applications Review'!E799</f>
        <v>Digital Tech</v>
      </c>
      <c r="D799" s="384" t="str">
        <f>'2022-2023 Applications Review'!Q799</f>
        <v>Invite Next Year</v>
      </c>
      <c r="E799" s="383"/>
      <c r="F799" s="383"/>
      <c r="G799" s="383"/>
      <c r="H799" s="383"/>
      <c r="I799" s="385" t="b">
        <v>1</v>
      </c>
      <c r="J799" s="386" t="s">
        <v>12718</v>
      </c>
    </row>
    <row r="800" spans="1:10">
      <c r="A800" s="383" t="str">
        <f>CONCATENATE("Reviewed on"," ",(TEXT('2022-2023 Applications Review'!$A800, "mm/dd/yyyy")))</f>
        <v>Reviewed on 08/23/2022</v>
      </c>
      <c r="B800" s="383" t="str">
        <f>'2022-2023 Applications Review'!B800</f>
        <v>Khepra _2022</v>
      </c>
      <c r="C800" s="383" t="str">
        <f>'2022-2023 Applications Review'!E800</f>
        <v>Deep Tech</v>
      </c>
      <c r="D800" s="384" t="str">
        <f>'2022-2023 Applications Review'!Q800</f>
        <v>Invite Next Year</v>
      </c>
      <c r="E800" s="383"/>
      <c r="F800" s="383"/>
      <c r="G800" s="383"/>
      <c r="H800" s="383"/>
      <c r="I800" s="385" t="b">
        <v>1</v>
      </c>
      <c r="J800" s="386" t="s">
        <v>12719</v>
      </c>
    </row>
    <row r="801" spans="1:10">
      <c r="A801" s="383" t="str">
        <f>CONCATENATE("Reviewed on"," ",(TEXT('2022-2023 Applications Review'!$A801, "mm/dd/yyyy")))</f>
        <v>Reviewed on 08/23/2022</v>
      </c>
      <c r="B801" s="383" t="str">
        <f>'2022-2023 Applications Review'!B801</f>
        <v>Holoxica Limited _2022</v>
      </c>
      <c r="C801" s="383" t="str">
        <f>'2022-2023 Applications Review'!E801</f>
        <v>Digital Tech</v>
      </c>
      <c r="D801" s="384" t="str">
        <f>'2022-2023 Applications Review'!Q801</f>
        <v>Invite Next Year</v>
      </c>
      <c r="E801" s="383"/>
      <c r="F801" s="383"/>
      <c r="G801" s="383"/>
      <c r="H801" s="383"/>
      <c r="I801" s="385" t="b">
        <v>1</v>
      </c>
      <c r="J801" s="386" t="s">
        <v>12720</v>
      </c>
    </row>
    <row r="802" spans="1:10">
      <c r="A802" s="383" t="str">
        <f>CONCATENATE("Reviewed on"," ",(TEXT('2022-2023 Applications Review'!$A802, "mm/dd/yyyy")))</f>
        <v>Reviewed on 08/23/2022</v>
      </c>
      <c r="B802" s="383" t="str">
        <f>'2022-2023 Applications Review'!B802</f>
        <v>Alpha 1 Biologics _2022</v>
      </c>
      <c r="C802" s="383" t="str">
        <f>'2022-2023 Applications Review'!E802</f>
        <v>Life Sciences</v>
      </c>
      <c r="D802" s="384" t="str">
        <f>'2022-2023 Applications Review'!Q802</f>
        <v>Invite Next Year</v>
      </c>
      <c r="E802" s="383"/>
      <c r="F802" s="383"/>
      <c r="G802" s="383"/>
      <c r="H802" s="383"/>
      <c r="I802" s="385" t="b">
        <v>1</v>
      </c>
      <c r="J802" s="386" t="s">
        <v>12721</v>
      </c>
    </row>
    <row r="803" spans="1:10">
      <c r="A803" s="383" t="str">
        <f>CONCATENATE("Reviewed on"," ",(TEXT('2022-2023 Applications Review'!$A803, "mm/dd/yyyy")))</f>
        <v>Reviewed on 08/23/2022</v>
      </c>
      <c r="B803" s="383" t="str">
        <f>'2022-2023 Applications Review'!B803</f>
        <v>IndyGeneUS AI _2022</v>
      </c>
      <c r="C803" s="383" t="str">
        <f>'2022-2023 Applications Review'!E803</f>
        <v>Digital Tech</v>
      </c>
      <c r="D803" s="384" t="str">
        <f>'2022-2023 Applications Review'!Q803</f>
        <v>Invite</v>
      </c>
      <c r="E803" s="383"/>
      <c r="F803" s="383"/>
      <c r="G803" s="383"/>
      <c r="H803" s="383"/>
      <c r="I803" s="385" t="b">
        <v>1</v>
      </c>
      <c r="J803" s="386" t="s">
        <v>12722</v>
      </c>
    </row>
    <row r="804" spans="1:10">
      <c r="A804" s="383" t="str">
        <f>CONCATENATE("Reviewed on"," ",(TEXT('2022-2023 Applications Review'!$A804, "mm/dd/yyyy")))</f>
        <v>Reviewed on 08/23/2022</v>
      </c>
      <c r="B804" s="383" t="str">
        <f>'2022-2023 Applications Review'!B804</f>
        <v>Femtera Laboratories LLC _2022</v>
      </c>
      <c r="C804" s="383" t="str">
        <f>'2022-2023 Applications Review'!E804</f>
        <v>Life Sciences</v>
      </c>
      <c r="D804" s="384" t="str">
        <f>'2022-2023 Applications Review'!Q804</f>
        <v>Invite Next Year</v>
      </c>
      <c r="E804" s="383"/>
      <c r="F804" s="383"/>
      <c r="G804" s="383"/>
      <c r="H804" s="383"/>
      <c r="I804" s="385" t="b">
        <v>1</v>
      </c>
      <c r="J804" s="386" t="s">
        <v>12723</v>
      </c>
    </row>
    <row r="805" spans="1:10">
      <c r="A805" s="383" t="str">
        <f>CONCATENATE("Reviewed on"," ",(TEXT('2022-2023 Applications Review'!$A805, "mm/dd/yyyy")))</f>
        <v>Reviewed on 08/23/2022</v>
      </c>
      <c r="B805" s="383" t="str">
        <f>'2022-2023 Applications Review'!B805</f>
        <v>Blueberry Technology Inc. _2022</v>
      </c>
      <c r="C805" s="383" t="str">
        <f>'2022-2023 Applications Review'!E805</f>
        <v>Digital Tech</v>
      </c>
      <c r="D805" s="384" t="str">
        <f>'2022-2023 Applications Review'!Q805</f>
        <v>Invite Next Year</v>
      </c>
      <c r="E805" s="383"/>
      <c r="F805" s="383"/>
      <c r="G805" s="383"/>
      <c r="H805" s="383"/>
      <c r="I805" s="385" t="b">
        <v>1</v>
      </c>
      <c r="J805" s="386" t="s">
        <v>12724</v>
      </c>
    </row>
    <row r="806" spans="1:10">
      <c r="A806" s="383" t="str">
        <f>CONCATENATE("Reviewed on"," ",(TEXT('2022-2023 Applications Review'!$A806, "mm/dd/yyyy")))</f>
        <v>Reviewed on 08/23/2022</v>
      </c>
      <c r="B806" s="383" t="str">
        <f>'2022-2023 Applications Review'!B806</f>
        <v>Ricovr Healthcare Inc _2022</v>
      </c>
      <c r="C806" s="383" t="str">
        <f>'2022-2023 Applications Review'!E806</f>
        <v>Life Sciences</v>
      </c>
      <c r="D806" s="384" t="str">
        <f>'2022-2023 Applications Review'!Q806</f>
        <v>Special Reject</v>
      </c>
      <c r="E806" s="383"/>
      <c r="F806" s="383"/>
      <c r="G806" s="383"/>
      <c r="H806" s="383"/>
      <c r="I806" s="385" t="b">
        <v>1</v>
      </c>
      <c r="J806" s="386" t="s">
        <v>12725</v>
      </c>
    </row>
    <row r="807" spans="1:10">
      <c r="A807" s="383" t="str">
        <f>CONCATENATE("Reviewed on"," ",(TEXT('2022-2023 Applications Review'!$A807, "mm/dd/yyyy")))</f>
        <v>Reviewed on 08/23/2022</v>
      </c>
      <c r="B807" s="383" t="str">
        <f>'2022-2023 Applications Review'!B807</f>
        <v>Sonostik LLC _2022</v>
      </c>
      <c r="C807" s="383" t="str">
        <f>'2022-2023 Applications Review'!E807</f>
        <v>Life Sciences</v>
      </c>
      <c r="D807" s="384" t="str">
        <f>'2022-2023 Applications Review'!Q807</f>
        <v>Invite Next Year</v>
      </c>
      <c r="E807" s="383"/>
      <c r="F807" s="383"/>
      <c r="G807" s="383"/>
      <c r="H807" s="383"/>
      <c r="I807" s="385" t="b">
        <v>1</v>
      </c>
      <c r="J807" s="386" t="s">
        <v>12726</v>
      </c>
    </row>
    <row r="808" spans="1:10">
      <c r="A808" s="383" t="str">
        <f>CONCATENATE("Reviewed on"," ",(TEXT('2022-2023 Applications Review'!$A808, "mm/dd/yyyy")))</f>
        <v>Reviewed on 08/23/2022</v>
      </c>
      <c r="B808" s="383" t="str">
        <f>'2022-2023 Applications Review'!B808</f>
        <v>Yepic AI Limited _2022</v>
      </c>
      <c r="C808" s="383" t="str">
        <f>'2022-2023 Applications Review'!E808</f>
        <v>Digital Tech</v>
      </c>
      <c r="D808" s="384" t="str">
        <f>'2022-2023 Applications Review'!Q808</f>
        <v>Revisit</v>
      </c>
      <c r="E808" s="383"/>
      <c r="F808" s="383"/>
      <c r="G808" s="383"/>
      <c r="H808" s="383"/>
      <c r="I808" s="385" t="b">
        <v>1</v>
      </c>
      <c r="J808" s="386" t="s">
        <v>12727</v>
      </c>
    </row>
    <row r="809" spans="1:10">
      <c r="A809" s="383" t="str">
        <f>CONCATENATE("Reviewed on"," ",(TEXT('2022-2023 Applications Review'!$A809, "mm/dd/yyyy")))</f>
        <v>Reviewed on 08/23/2022</v>
      </c>
      <c r="B809" s="383" t="str">
        <f>'2022-2023 Applications Review'!B809</f>
        <v>Bidorium, LLC _2022</v>
      </c>
      <c r="C809" s="383" t="str">
        <f>'2022-2023 Applications Review'!E809</f>
        <v>Digital Tech</v>
      </c>
      <c r="D809" s="384" t="str">
        <f>'2022-2023 Applications Review'!Q809</f>
        <v>Invite Next Year</v>
      </c>
      <c r="E809" s="383"/>
      <c r="F809" s="383"/>
      <c r="G809" s="383"/>
      <c r="H809" s="383"/>
      <c r="I809" s="385" t="b">
        <v>1</v>
      </c>
      <c r="J809" s="386" t="s">
        <v>12728</v>
      </c>
    </row>
    <row r="810" spans="1:10">
      <c r="A810" s="383" t="str">
        <f>CONCATENATE("Reviewed on"," ",(TEXT('2022-2023 Applications Review'!$A810, "mm/dd/yyyy")))</f>
        <v>Reviewed on 08/23/2022</v>
      </c>
      <c r="B810" s="383" t="str">
        <f>'2022-2023 Applications Review'!B810</f>
        <v>Nemosia AG _2022</v>
      </c>
      <c r="C810" s="383" t="str">
        <f>'2022-2023 Applications Review'!E810</f>
        <v>Life Sciences</v>
      </c>
      <c r="D810" s="384" t="str">
        <f>'2022-2023 Applications Review'!Q810</f>
        <v>Invite Next Year</v>
      </c>
      <c r="E810" s="383"/>
      <c r="F810" s="383"/>
      <c r="G810" s="383"/>
      <c r="H810" s="383"/>
      <c r="I810" s="385" t="b">
        <v>1</v>
      </c>
      <c r="J810" s="386" t="s">
        <v>12729</v>
      </c>
    </row>
    <row r="811" spans="1:10">
      <c r="A811" s="383" t="str">
        <f>CONCATENATE("Reviewed on"," ",(TEXT('2022-2023 Applications Review'!$A811, "mm/dd/yyyy")))</f>
        <v>Reviewed on 08/23/2022</v>
      </c>
      <c r="B811" s="383" t="str">
        <f>'2022-2023 Applications Review'!B811</f>
        <v>BintanGO _2022</v>
      </c>
      <c r="C811" s="383" t="str">
        <f>'2022-2023 Applications Review'!E811</f>
        <v>Digital Tech</v>
      </c>
      <c r="D811" s="384" t="str">
        <f>'2022-2023 Applications Review'!Q811</f>
        <v>Invite</v>
      </c>
      <c r="E811" s="383"/>
      <c r="F811" s="383"/>
      <c r="G811" s="383"/>
      <c r="H811" s="383"/>
      <c r="I811" s="385" t="b">
        <v>1</v>
      </c>
      <c r="J811" s="386" t="s">
        <v>12730</v>
      </c>
    </row>
    <row r="812" spans="1:10">
      <c r="A812" s="383" t="str">
        <f>CONCATENATE("Reviewed on"," ",(TEXT('2022-2023 Applications Review'!$A812, "mm/dd/yyyy")))</f>
        <v>Reviewed on 08/23/2022</v>
      </c>
      <c r="B812" s="383" t="str">
        <f>'2022-2023 Applications Review'!B812</f>
        <v>Untap _2022</v>
      </c>
      <c r="C812" s="383" t="str">
        <f>'2022-2023 Applications Review'!E812</f>
        <v>Digital Tech</v>
      </c>
      <c r="D812" s="384" t="str">
        <f>'2022-2023 Applications Review'!Q812</f>
        <v>Invite Next Year</v>
      </c>
      <c r="E812" s="383"/>
      <c r="F812" s="383"/>
      <c r="G812" s="383"/>
      <c r="H812" s="383"/>
      <c r="I812" s="385" t="b">
        <v>1</v>
      </c>
      <c r="J812" s="386" t="s">
        <v>12731</v>
      </c>
    </row>
    <row r="813" spans="1:10">
      <c r="A813" s="383" t="str">
        <f>CONCATENATE("Reviewed on"," ",(TEXT('2022-2023 Applications Review'!$A813, "mm/dd/yyyy")))</f>
        <v>Reviewed on 08/23/2022</v>
      </c>
      <c r="B813" s="383" t="str">
        <f>'2022-2023 Applications Review'!B813</f>
        <v>Descifra _2022</v>
      </c>
      <c r="C813" s="383" t="str">
        <f>'2022-2023 Applications Review'!E813</f>
        <v>Digital Tech</v>
      </c>
      <c r="D813" s="384" t="str">
        <f>'2022-2023 Applications Review'!Q813</f>
        <v>Invite Next Year</v>
      </c>
      <c r="E813" s="383"/>
      <c r="F813" s="383"/>
      <c r="G813" s="383"/>
      <c r="H813" s="383"/>
      <c r="I813" s="385" t="b">
        <v>1</v>
      </c>
      <c r="J813" s="386" t="s">
        <v>12732</v>
      </c>
    </row>
    <row r="814" spans="1:10">
      <c r="A814" s="383" t="str">
        <f>CONCATENATE("Reviewed on"," ",(TEXT('2022-2023 Applications Review'!$A814, "mm/dd/yyyy")))</f>
        <v>Reviewed on 08/23/2022</v>
      </c>
      <c r="B814" s="383" t="str">
        <f>'2022-2023 Applications Review'!B814</f>
        <v>Navigating AWEtism _2022</v>
      </c>
      <c r="C814" s="383" t="str">
        <f>'2022-2023 Applications Review'!E814</f>
        <v>Digital Tech</v>
      </c>
      <c r="D814" s="384" t="str">
        <f>'2022-2023 Applications Review'!Q814</f>
        <v>Invite Next Year</v>
      </c>
      <c r="E814" s="383"/>
      <c r="F814" s="383"/>
      <c r="G814" s="383"/>
      <c r="H814" s="383"/>
      <c r="I814" s="385" t="b">
        <v>1</v>
      </c>
      <c r="J814" s="386" t="s">
        <v>12733</v>
      </c>
    </row>
    <row r="815" spans="1:10">
      <c r="A815" s="383" t="str">
        <f>CONCATENATE("Reviewed on"," ",(TEXT('2022-2023 Applications Review'!$A815, "mm/dd/yyyy")))</f>
        <v>Reviewed on 08/23/2022</v>
      </c>
      <c r="B815" s="383" t="str">
        <f>'2022-2023 Applications Review'!B815</f>
        <v>Frontline Gig _2022</v>
      </c>
      <c r="C815" s="383" t="str">
        <f>'2022-2023 Applications Review'!E815</f>
        <v>Digital Tech</v>
      </c>
      <c r="D815" s="384" t="str">
        <f>'2022-2023 Applications Review'!Q815</f>
        <v>Invite Next Year</v>
      </c>
      <c r="E815" s="383"/>
      <c r="F815" s="383"/>
      <c r="G815" s="383"/>
      <c r="H815" s="383"/>
      <c r="I815" s="385" t="b">
        <v>1</v>
      </c>
      <c r="J815" s="386" t="s">
        <v>12734</v>
      </c>
    </row>
    <row r="816" spans="1:10">
      <c r="A816" s="383" t="str">
        <f>CONCATENATE("Reviewed on"," ",(TEXT('2022-2023 Applications Review'!$A816, "mm/dd/yyyy")))</f>
        <v>Reviewed on 08/23/2022</v>
      </c>
      <c r="B816" s="383" t="str">
        <f>'2022-2023 Applications Review'!B816</f>
        <v>NEOMICS PHARMACEUTICALS LLC _2022</v>
      </c>
      <c r="C816" s="383" t="str">
        <f>'2022-2023 Applications Review'!E816</f>
        <v>Life Sciences</v>
      </c>
      <c r="D816" s="384" t="str">
        <f>'2022-2023 Applications Review'!Q816</f>
        <v>Invite Next Year</v>
      </c>
      <c r="E816" s="383"/>
      <c r="F816" s="383"/>
      <c r="G816" s="383"/>
      <c r="H816" s="383"/>
      <c r="I816" s="385" t="b">
        <v>1</v>
      </c>
      <c r="J816" s="386" t="s">
        <v>12735</v>
      </c>
    </row>
    <row r="817" spans="1:10">
      <c r="A817" s="383" t="str">
        <f>CONCATENATE("Reviewed on"," ",(TEXT('2022-2023 Applications Review'!$A817, "mm/dd/yyyy")))</f>
        <v>Reviewed on 08/23/2022</v>
      </c>
      <c r="B817" s="383" t="str">
        <f>'2022-2023 Applications Review'!B817</f>
        <v>Multipl Fintech Solutions Pvt. LTD _2022</v>
      </c>
      <c r="C817" s="383" t="str">
        <f>'2022-2023 Applications Review'!E817</f>
        <v>Digital Tech</v>
      </c>
      <c r="D817" s="384" t="str">
        <f>'2022-2023 Applications Review'!Q817</f>
        <v>Invite Next Year</v>
      </c>
      <c r="E817" s="383"/>
      <c r="F817" s="383"/>
      <c r="G817" s="383"/>
      <c r="H817" s="383"/>
      <c r="I817" s="385" t="b">
        <v>1</v>
      </c>
      <c r="J817" s="386" t="s">
        <v>12736</v>
      </c>
    </row>
    <row r="818" spans="1:10">
      <c r="A818" s="383" t="str">
        <f>CONCATENATE("Reviewed on"," ",(TEXT('2022-2023 Applications Review'!$A818, "mm/dd/yyyy")))</f>
        <v>Reviewed on 08/23/2022</v>
      </c>
      <c r="B818" s="383" t="str">
        <f>'2022-2023 Applications Review'!B818</f>
        <v>Altafid _2022</v>
      </c>
      <c r="C818" s="383" t="str">
        <f>'2022-2023 Applications Review'!E818</f>
        <v>Digital Tech</v>
      </c>
      <c r="D818" s="384" t="str">
        <f>'2022-2023 Applications Review'!Q818</f>
        <v>Invite Next Year</v>
      </c>
      <c r="E818" s="383"/>
      <c r="F818" s="383"/>
      <c r="G818" s="383"/>
      <c r="H818" s="383"/>
      <c r="I818" s="385" t="b">
        <v>1</v>
      </c>
      <c r="J818" s="386" t="s">
        <v>12737</v>
      </c>
    </row>
    <row r="819" spans="1:10">
      <c r="A819" s="383" t="str">
        <f>CONCATENATE("Reviewed on"," ",(TEXT('2022-2023 Applications Review'!$A819, "mm/dd/yyyy")))</f>
        <v>Reviewed on 08/23/2022</v>
      </c>
      <c r="B819" s="383" t="str">
        <f>'2022-2023 Applications Review'!B819</f>
        <v>ODWEN Inc _2022</v>
      </c>
      <c r="C819" s="383" t="str">
        <f>'2022-2023 Applications Review'!E819</f>
        <v>Digital Tech</v>
      </c>
      <c r="D819" s="384" t="str">
        <f>'2022-2023 Applications Review'!Q819</f>
        <v>Invite Next Year</v>
      </c>
      <c r="E819" s="383"/>
      <c r="F819" s="383"/>
      <c r="G819" s="383"/>
      <c r="H819" s="383"/>
      <c r="I819" s="385" t="b">
        <v>1</v>
      </c>
      <c r="J819" s="386" t="s">
        <v>12738</v>
      </c>
    </row>
    <row r="820" spans="1:10">
      <c r="A820" s="383" t="str">
        <f>CONCATENATE("Reviewed on"," ",(TEXT('2022-2023 Applications Review'!$A820, "mm/dd/yyyy")))</f>
        <v>Reviewed on 08/23/2022</v>
      </c>
      <c r="B820" s="383" t="str">
        <f>'2022-2023 Applications Review'!B820</f>
        <v>nami.ai _2022</v>
      </c>
      <c r="C820" s="383" t="str">
        <f>'2022-2023 Applications Review'!E820</f>
        <v>Digital Tech</v>
      </c>
      <c r="D820" s="384" t="str">
        <f>'2022-2023 Applications Review'!Q820</f>
        <v>Invite Next Year</v>
      </c>
      <c r="E820" s="383"/>
      <c r="F820" s="383"/>
      <c r="G820" s="383"/>
      <c r="H820" s="383"/>
      <c r="I820" s="385" t="b">
        <v>1</v>
      </c>
      <c r="J820" s="386" t="s">
        <v>12739</v>
      </c>
    </row>
    <row r="821" spans="1:10">
      <c r="A821" s="383" t="str">
        <f>CONCATENATE("Reviewed on"," ",(TEXT('2022-2023 Applications Review'!$A821, "mm/dd/yyyy")))</f>
        <v>Reviewed on 08/23/2022</v>
      </c>
      <c r="B821" s="383" t="str">
        <f>'2022-2023 Applications Review'!B821</f>
        <v>Ravata Solutions _2022</v>
      </c>
      <c r="C821" s="383" t="str">
        <f>'2022-2023 Applications Review'!E821</f>
        <v>Life Sciences</v>
      </c>
      <c r="D821" s="384" t="str">
        <f>'2022-2023 Applications Review'!Q821</f>
        <v>Special Reject</v>
      </c>
      <c r="E821" s="383"/>
      <c r="F821" s="383"/>
      <c r="G821" s="383"/>
      <c r="H821" s="383"/>
      <c r="I821" s="385" t="b">
        <v>1</v>
      </c>
      <c r="J821" s="386" t="s">
        <v>12740</v>
      </c>
    </row>
    <row r="822" spans="1:10">
      <c r="A822" s="383" t="str">
        <f>CONCATENATE("Reviewed on"," ",(TEXT('2022-2023 Applications Review'!$A822, "mm/dd/yyyy")))</f>
        <v>Reviewed on 08/23/2022</v>
      </c>
      <c r="B822" s="383" t="str">
        <f>'2022-2023 Applications Review'!B822</f>
        <v>EPICA _2022</v>
      </c>
      <c r="C822" s="383" t="str">
        <f>'2022-2023 Applications Review'!E822</f>
        <v>Digital Tech</v>
      </c>
      <c r="D822" s="384" t="str">
        <f>'2022-2023 Applications Review'!Q822</f>
        <v>Invite Next Year</v>
      </c>
      <c r="E822" s="383"/>
      <c r="F822" s="383"/>
      <c r="G822" s="383"/>
      <c r="H822" s="383"/>
      <c r="I822" s="385" t="b">
        <v>1</v>
      </c>
      <c r="J822" s="386" t="s">
        <v>12741</v>
      </c>
    </row>
    <row r="823" spans="1:10">
      <c r="A823" s="383" t="str">
        <f>CONCATENATE("Reviewed on"," ",(TEXT('2022-2023 Applications Review'!$A823, "mm/dd/yyyy")))</f>
        <v>Reviewed on 08/23/2022</v>
      </c>
      <c r="B823" s="383" t="str">
        <f>'2022-2023 Applications Review'!B823</f>
        <v>Akesa Health _2022</v>
      </c>
      <c r="C823" s="383" t="str">
        <f>'2022-2023 Applications Review'!E823</f>
        <v>Digital Tech</v>
      </c>
      <c r="D823" s="384" t="str">
        <f>'2022-2023 Applications Review'!Q823</f>
        <v>Invite Next Year</v>
      </c>
      <c r="E823" s="383"/>
      <c r="F823" s="383"/>
      <c r="G823" s="383"/>
      <c r="H823" s="383"/>
      <c r="I823" s="385" t="b">
        <v>1</v>
      </c>
      <c r="J823" s="386" t="s">
        <v>12742</v>
      </c>
    </row>
    <row r="824" spans="1:10">
      <c r="A824" s="383" t="str">
        <f>CONCATENATE("Reviewed on"," ",(TEXT('2022-2023 Applications Review'!$A824, "mm/dd/yyyy")))</f>
        <v>Reviewed on 08/23/2022</v>
      </c>
      <c r="B824" s="383" t="str">
        <f>'2022-2023 Applications Review'!B824</f>
        <v>giveback _2022</v>
      </c>
      <c r="C824" s="383" t="str">
        <f>'2022-2023 Applications Review'!E824</f>
        <v>Digital Tech</v>
      </c>
      <c r="D824" s="384" t="str">
        <f>'2022-2023 Applications Review'!Q824</f>
        <v>Invite Next Year</v>
      </c>
      <c r="E824" s="383"/>
      <c r="F824" s="383"/>
      <c r="G824" s="383"/>
      <c r="H824" s="383"/>
      <c r="I824" s="385" t="b">
        <v>1</v>
      </c>
      <c r="J824" s="386" t="s">
        <v>12743</v>
      </c>
    </row>
    <row r="825" spans="1:10">
      <c r="A825" s="383" t="str">
        <f>CONCATENATE("Reviewed on"," ",(TEXT('2022-2023 Applications Review'!$A825, "mm/dd/yyyy")))</f>
        <v>Reviewed on 08/23/2022</v>
      </c>
      <c r="B825" s="383" t="str">
        <f>'2022-2023 Applications Review'!B825</f>
        <v>Precision Periodic _2022</v>
      </c>
      <c r="C825" s="383" t="str">
        <f>'2022-2023 Applications Review'!E825</f>
        <v>Deep Tech</v>
      </c>
      <c r="D825" s="384" t="str">
        <f>'2022-2023 Applications Review'!Q825</f>
        <v>Invite Next Year</v>
      </c>
      <c r="E825" s="383"/>
      <c r="F825" s="383"/>
      <c r="G825" s="383"/>
      <c r="H825" s="383"/>
      <c r="I825" s="385" t="b">
        <v>1</v>
      </c>
      <c r="J825" s="386" t="s">
        <v>12744</v>
      </c>
    </row>
    <row r="826" spans="1:10">
      <c r="A826" s="383" t="str">
        <f>CONCATENATE("Reviewed on"," ",(TEXT('2022-2023 Applications Review'!$A826, "mm/dd/yyyy")))</f>
        <v>Reviewed on 08/23/2022</v>
      </c>
      <c r="B826" s="383" t="str">
        <f>'2022-2023 Applications Review'!B826</f>
        <v>QCoefficient, Inc. _2022</v>
      </c>
      <c r="C826" s="383" t="str">
        <f>'2022-2023 Applications Review'!E826</f>
        <v>Deep Tech</v>
      </c>
      <c r="D826" s="384" t="str">
        <f>'2022-2023 Applications Review'!Q826</f>
        <v>Invite Next Year</v>
      </c>
      <c r="E826" s="383"/>
      <c r="F826" s="383"/>
      <c r="G826" s="383"/>
      <c r="H826" s="383"/>
      <c r="I826" s="385" t="b">
        <v>1</v>
      </c>
      <c r="J826" s="386" t="s">
        <v>12745</v>
      </c>
    </row>
    <row r="827" spans="1:10">
      <c r="A827" s="383" t="str">
        <f>CONCATENATE("Reviewed on"," ",(TEXT('2022-2023 Applications Review'!$A827, "mm/dd/yyyy")))</f>
        <v>Reviewed on 08/23/2022</v>
      </c>
      <c r="B827" s="383" t="str">
        <f>'2022-2023 Applications Review'!B827</f>
        <v>AKALA _2022</v>
      </c>
      <c r="C827" s="383" t="str">
        <f>'2022-2023 Applications Review'!E827</f>
        <v>Digital Tech</v>
      </c>
      <c r="D827" s="384" t="str">
        <f>'2022-2023 Applications Review'!Q827</f>
        <v>Invite Next Year</v>
      </c>
      <c r="E827" s="383"/>
      <c r="F827" s="383"/>
      <c r="G827" s="383"/>
      <c r="H827" s="383"/>
      <c r="I827" s="385" t="b">
        <v>1</v>
      </c>
      <c r="J827" s="386" t="s">
        <v>12746</v>
      </c>
    </row>
    <row r="828" spans="1:10">
      <c r="A828" s="383" t="str">
        <f>CONCATENATE("Reviewed on"," ",(TEXT('2022-2023 Applications Review'!$A828, "mm/dd/yyyy")))</f>
        <v>Reviewed on 08/23/2022</v>
      </c>
      <c r="B828" s="383" t="str">
        <f>'2022-2023 Applications Review'!B828</f>
        <v>bluShift Aerospace _2022</v>
      </c>
      <c r="C828" s="383" t="str">
        <f>'2022-2023 Applications Review'!E828</f>
        <v>Deep Tech</v>
      </c>
      <c r="D828" s="384" t="str">
        <f>'2022-2023 Applications Review'!Q828</f>
        <v>Invite Next Year</v>
      </c>
      <c r="E828" s="383"/>
      <c r="F828" s="383"/>
      <c r="G828" s="383"/>
      <c r="H828" s="383"/>
      <c r="I828" s="385" t="b">
        <v>1</v>
      </c>
      <c r="J828" s="386" t="s">
        <v>12747</v>
      </c>
    </row>
    <row r="829" spans="1:10">
      <c r="A829" s="383" t="str">
        <f>CONCATENATE("Reviewed on"," ",(TEXT('2022-2023 Applications Review'!$A829, "mm/dd/yyyy")))</f>
        <v>Reviewed on 08/23/2022</v>
      </c>
      <c r="B829" s="383" t="str">
        <f>'2022-2023 Applications Review'!B829</f>
        <v>MotionsCloud _2022</v>
      </c>
      <c r="C829" s="383" t="str">
        <f>'2022-2023 Applications Review'!E829</f>
        <v>Digital Tech</v>
      </c>
      <c r="D829" s="384" t="str">
        <f>'2022-2023 Applications Review'!Q829</f>
        <v>Invite Next Year</v>
      </c>
      <c r="E829" s="383"/>
      <c r="F829" s="383"/>
      <c r="G829" s="383"/>
      <c r="H829" s="383"/>
      <c r="I829" s="385" t="b">
        <v>1</v>
      </c>
      <c r="J829" s="386" t="s">
        <v>12748</v>
      </c>
    </row>
    <row r="830" spans="1:10">
      <c r="A830" s="383" t="str">
        <f>CONCATENATE("Reviewed on"," ",(TEXT('2022-2023 Applications Review'!$A830, "mm/dd/yyyy")))</f>
        <v>Reviewed on 08/23/2022</v>
      </c>
      <c r="B830" s="383" t="str">
        <f>'2022-2023 Applications Review'!B830</f>
        <v>Alpha Drive _2022</v>
      </c>
      <c r="C830" s="383" t="str">
        <f>'2022-2023 Applications Review'!E830</f>
        <v>Digital Tech</v>
      </c>
      <c r="D830" s="384" t="str">
        <f>'2022-2023 Applications Review'!Q830</f>
        <v>Invite Next Year</v>
      </c>
      <c r="E830" s="383"/>
      <c r="F830" s="383"/>
      <c r="G830" s="383"/>
      <c r="H830" s="383"/>
      <c r="I830" s="385" t="b">
        <v>1</v>
      </c>
      <c r="J830" s="386" t="s">
        <v>12749</v>
      </c>
    </row>
    <row r="831" spans="1:10">
      <c r="A831" s="383" t="str">
        <f>CONCATENATE("Reviewed on"," ",(TEXT('2022-2023 Applications Review'!$A831, "mm/dd/yyyy")))</f>
        <v>Reviewed on 08/23/2022</v>
      </c>
      <c r="B831" s="383" t="str">
        <f>'2022-2023 Applications Review'!B831</f>
        <v>Holocron Technologies _2022</v>
      </c>
      <c r="C831" s="383" t="str">
        <f>'2022-2023 Applications Review'!E831</f>
        <v>Digital Tech</v>
      </c>
      <c r="D831" s="384" t="str">
        <f>'2022-2023 Applications Review'!Q831</f>
        <v>Invite Next Year</v>
      </c>
      <c r="E831" s="383"/>
      <c r="F831" s="383"/>
      <c r="G831" s="383"/>
      <c r="H831" s="383"/>
      <c r="I831" s="385" t="b">
        <v>1</v>
      </c>
      <c r="J831" s="386" t="s">
        <v>12750</v>
      </c>
    </row>
    <row r="832" spans="1:10">
      <c r="A832" s="383" t="str">
        <f>CONCATENATE("Reviewed on"," ",(TEXT('2022-2023 Applications Review'!$A832, "mm/dd/yyyy")))</f>
        <v>Reviewed on 08/23/2022</v>
      </c>
      <c r="B832" s="383" t="str">
        <f>'2022-2023 Applications Review'!B832</f>
        <v>Confidencial, Inc. _2022</v>
      </c>
      <c r="C832" s="383" t="str">
        <f>'2022-2023 Applications Review'!E832</f>
        <v>Digital Tech</v>
      </c>
      <c r="D832" s="384" t="str">
        <f>'2022-2023 Applications Review'!Q832</f>
        <v>Invite Next Year</v>
      </c>
      <c r="E832" s="383"/>
      <c r="F832" s="383"/>
      <c r="G832" s="383"/>
      <c r="H832" s="383"/>
      <c r="I832" s="385" t="b">
        <v>1</v>
      </c>
      <c r="J832" s="386" t="s">
        <v>12751</v>
      </c>
    </row>
    <row r="833" spans="1:10">
      <c r="A833" s="383" t="str">
        <f>CONCATENATE("Reviewed on"," ",(TEXT('2022-2023 Applications Review'!$A833, "mm/dd/yyyy")))</f>
        <v>Reviewed on 08/23/2022</v>
      </c>
      <c r="B833" s="383" t="str">
        <f>'2022-2023 Applications Review'!B833</f>
        <v>Winvesta Ltd _2022</v>
      </c>
      <c r="C833" s="383" t="str">
        <f>'2022-2023 Applications Review'!E833</f>
        <v>Digital Tech</v>
      </c>
      <c r="D833" s="384" t="str">
        <f>'2022-2023 Applications Review'!Q833</f>
        <v>Invite Next Year</v>
      </c>
      <c r="E833" s="383"/>
      <c r="F833" s="383"/>
      <c r="G833" s="383"/>
      <c r="H833" s="383"/>
      <c r="I833" s="385" t="b">
        <v>1</v>
      </c>
      <c r="J833" s="386" t="s">
        <v>12752</v>
      </c>
    </row>
    <row r="834" spans="1:10">
      <c r="A834" s="383" t="str">
        <f>CONCATENATE("Reviewed on"," ",(TEXT('2022-2023 Applications Review'!$A834, "mm/dd/yyyy")))</f>
        <v>Reviewed on 08/23/2022</v>
      </c>
      <c r="B834" s="383" t="str">
        <f>'2022-2023 Applications Review'!B834</f>
        <v>Witty Health Inc _2022</v>
      </c>
      <c r="C834" s="383" t="str">
        <f>'2022-2023 Applications Review'!E834</f>
        <v>Digital Tech</v>
      </c>
      <c r="D834" s="384" t="str">
        <f>'2022-2023 Applications Review'!Q834</f>
        <v>Invite Next Year</v>
      </c>
      <c r="E834" s="383"/>
      <c r="F834" s="383"/>
      <c r="G834" s="383"/>
      <c r="H834" s="383"/>
      <c r="I834" s="385" t="b">
        <v>1</v>
      </c>
      <c r="J834" s="386" t="s">
        <v>12753</v>
      </c>
    </row>
    <row r="835" spans="1:10">
      <c r="A835" s="383" t="str">
        <f>CONCATENATE("Reviewed on"," ",(TEXT('2022-2023 Applications Review'!$A835, "mm/dd/yyyy")))</f>
        <v>Reviewed on 08/23/2022</v>
      </c>
      <c r="B835" s="383" t="str">
        <f>'2022-2023 Applications Review'!B835</f>
        <v>Aspisafe Solutions Inc. _2022</v>
      </c>
      <c r="C835" s="383" t="str">
        <f>'2022-2023 Applications Review'!E835</f>
        <v>Deep Tech</v>
      </c>
      <c r="D835" s="384" t="str">
        <f>'2022-2023 Applications Review'!Q835</f>
        <v>Invite Next Year</v>
      </c>
      <c r="E835" s="383"/>
      <c r="F835" s="383"/>
      <c r="G835" s="383"/>
      <c r="H835" s="383"/>
      <c r="I835" s="385" t="b">
        <v>1</v>
      </c>
      <c r="J835" s="386" t="s">
        <v>12754</v>
      </c>
    </row>
    <row r="836" spans="1:10">
      <c r="A836" s="383" t="str">
        <f>CONCATENATE("Reviewed on"," ",(TEXT('2022-2023 Applications Review'!$A836, "mm/dd/yyyy")))</f>
        <v>Reviewed on 08/23/2022</v>
      </c>
      <c r="B836" s="383" t="str">
        <f>'2022-2023 Applications Review'!B836</f>
        <v>CLYRA MEDICAL TECHNOLOGIES _2022</v>
      </c>
      <c r="C836" s="383" t="str">
        <f>'2022-2023 Applications Review'!E836</f>
        <v>Life Sciences</v>
      </c>
      <c r="D836" s="384" t="str">
        <f>'2022-2023 Applications Review'!Q836</f>
        <v>Invite Next Year</v>
      </c>
      <c r="E836" s="383"/>
      <c r="F836" s="383"/>
      <c r="G836" s="383"/>
      <c r="H836" s="383"/>
      <c r="I836" s="385" t="b">
        <v>1</v>
      </c>
      <c r="J836" s="386" t="s">
        <v>12755</v>
      </c>
    </row>
    <row r="837" spans="1:10">
      <c r="A837" s="383" t="str">
        <f>CONCATENATE("Reviewed on"," ",(TEXT('2022-2023 Applications Review'!$A837, "mm/dd/yyyy")))</f>
        <v>Reviewed on 08/23/2022</v>
      </c>
      <c r="B837" s="383" t="str">
        <f>'2022-2023 Applications Review'!B837</f>
        <v>OR Link _2022</v>
      </c>
      <c r="C837" s="383" t="str">
        <f>'2022-2023 Applications Review'!E837</f>
        <v>Digital Tech</v>
      </c>
      <c r="D837" s="384" t="str">
        <f>'2022-2023 Applications Review'!Q837</f>
        <v>Special Reject</v>
      </c>
      <c r="E837" s="383"/>
      <c r="F837" s="383"/>
      <c r="G837" s="383"/>
      <c r="H837" s="383"/>
      <c r="I837" s="385" t="b">
        <v>1</v>
      </c>
      <c r="J837" s="386" t="s">
        <v>12756</v>
      </c>
    </row>
    <row r="838" spans="1:10">
      <c r="A838" s="383" t="str">
        <f>CONCATENATE("Reviewed on"," ",(TEXT('2022-2023 Applications Review'!$A838, "mm/dd/yyyy")))</f>
        <v>Reviewed on 08/23/2022</v>
      </c>
      <c r="B838" s="383" t="str">
        <f>'2022-2023 Applications Review'!B838</f>
        <v>Ochy _2022</v>
      </c>
      <c r="C838" s="383" t="str">
        <f>'2022-2023 Applications Review'!E838</f>
        <v>Digital Tech</v>
      </c>
      <c r="D838" s="384" t="str">
        <f>'2022-2023 Applications Review'!Q838</f>
        <v>Invite Next Year</v>
      </c>
      <c r="E838" s="383"/>
      <c r="F838" s="383"/>
      <c r="G838" s="383"/>
      <c r="H838" s="383"/>
      <c r="I838" s="385" t="b">
        <v>1</v>
      </c>
      <c r="J838" s="386" t="s">
        <v>12757</v>
      </c>
    </row>
    <row r="839" spans="1:10">
      <c r="A839" s="383" t="str">
        <f>CONCATENATE("Reviewed on"," ",(TEXT('2022-2023 Applications Review'!$A839, "mm/dd/yyyy")))</f>
        <v>Reviewed on 08/23/2022</v>
      </c>
      <c r="B839" s="383" t="str">
        <f>'2022-2023 Applications Review'!B839</f>
        <v>Promise Bio _2022</v>
      </c>
      <c r="C839" s="383" t="str">
        <f>'2022-2023 Applications Review'!E839</f>
        <v>Life Sciences</v>
      </c>
      <c r="D839" s="384" t="str">
        <f>'2022-2023 Applications Review'!Q839</f>
        <v>Special Reject</v>
      </c>
      <c r="E839" s="383"/>
      <c r="F839" s="383"/>
      <c r="G839" s="383"/>
      <c r="H839" s="383"/>
      <c r="I839" s="385" t="b">
        <v>1</v>
      </c>
      <c r="J839" s="386" t="s">
        <v>12758</v>
      </c>
    </row>
    <row r="840" spans="1:10">
      <c r="A840" s="383" t="str">
        <f>CONCATENATE("Reviewed on"," ",(TEXT('2022-2023 Applications Review'!$A840, "mm/dd/yyyy")))</f>
        <v>Reviewed on 08/23/2022</v>
      </c>
      <c r="B840" s="383" t="str">
        <f>'2022-2023 Applications Review'!B840</f>
        <v>SeoHong Tech Co., Ltd. _2022</v>
      </c>
      <c r="C840" s="383" t="str">
        <f>'2022-2023 Applications Review'!E840</f>
        <v>Digital Tech</v>
      </c>
      <c r="D840" s="384" t="str">
        <f>'2022-2023 Applications Review'!Q840</f>
        <v>Invite Next Year</v>
      </c>
      <c r="E840" s="383"/>
      <c r="F840" s="383"/>
      <c r="G840" s="383"/>
      <c r="H840" s="383"/>
      <c r="I840" s="385" t="b">
        <v>1</v>
      </c>
      <c r="J840" s="386" t="s">
        <v>12759</v>
      </c>
    </row>
    <row r="841" spans="1:10">
      <c r="A841" s="383" t="str">
        <f>CONCATENATE("Reviewed on"," ",(TEXT('2022-2023 Applications Review'!$A841, "mm/dd/yyyy")))</f>
        <v>Reviewed on 08/23/2022</v>
      </c>
      <c r="B841" s="383" t="str">
        <f>'2022-2023 Applications Review'!B841</f>
        <v>Chara Technologies Private Limited _2022</v>
      </c>
      <c r="C841" s="383" t="str">
        <f>'2022-2023 Applications Review'!E841</f>
        <v>Deep Tech</v>
      </c>
      <c r="D841" s="384" t="str">
        <f>'2022-2023 Applications Review'!Q841</f>
        <v>Invite Next Year</v>
      </c>
      <c r="E841" s="383"/>
      <c r="F841" s="383"/>
      <c r="G841" s="383"/>
      <c r="H841" s="383"/>
      <c r="I841" s="385" t="b">
        <v>1</v>
      </c>
      <c r="J841" s="386" t="s">
        <v>12760</v>
      </c>
    </row>
    <row r="842" spans="1:10">
      <c r="A842" s="383" t="str">
        <f>CONCATENATE("Reviewed on"," ",(TEXT('2022-2023 Applications Review'!$A842, "mm/dd/yyyy")))</f>
        <v>Reviewed on 08/23/2022</v>
      </c>
      <c r="B842" s="383" t="str">
        <f>'2022-2023 Applications Review'!B842</f>
        <v>Orange Therapeutics _2022</v>
      </c>
      <c r="C842" s="383" t="str">
        <f>'2022-2023 Applications Review'!E842</f>
        <v>Digital Tech</v>
      </c>
      <c r="D842" s="384" t="str">
        <f>'2022-2023 Applications Review'!Q842</f>
        <v>Invite Next Year</v>
      </c>
      <c r="E842" s="383"/>
      <c r="F842" s="383"/>
      <c r="G842" s="383"/>
      <c r="H842" s="383"/>
      <c r="I842" s="385" t="b">
        <v>1</v>
      </c>
      <c r="J842" s="386" t="s">
        <v>12761</v>
      </c>
    </row>
    <row r="843" spans="1:10">
      <c r="A843" s="383" t="str">
        <f>CONCATENATE("Reviewed on"," ",(TEXT('2022-2023 Applications Review'!$A843, "mm/dd/yyyy")))</f>
        <v>Reviewed on 08/23/2022</v>
      </c>
      <c r="B843" s="383" t="str">
        <f>'2022-2023 Applications Review'!B843</f>
        <v>Cohesive Robotics _2022</v>
      </c>
      <c r="C843" s="383" t="str">
        <f>'2022-2023 Applications Review'!E843</f>
        <v>Deep Tech</v>
      </c>
      <c r="D843" s="384" t="str">
        <f>'2022-2023 Applications Review'!Q843</f>
        <v>Invite Next Year</v>
      </c>
      <c r="E843" s="383"/>
      <c r="F843" s="383"/>
      <c r="G843" s="383"/>
      <c r="H843" s="383"/>
      <c r="I843" s="385" t="b">
        <v>1</v>
      </c>
      <c r="J843" s="386" t="s">
        <v>12762</v>
      </c>
    </row>
    <row r="844" spans="1:10">
      <c r="A844" s="383" t="str">
        <f>CONCATENATE("Reviewed on"," ",(TEXT('2022-2023 Applications Review'!$A844, "mm/dd/yyyy")))</f>
        <v>Reviewed on 08/23/2022</v>
      </c>
      <c r="B844" s="383" t="str">
        <f>'2022-2023 Applications Review'!B844</f>
        <v>Omnic Data, Inc. _2022</v>
      </c>
      <c r="C844" s="383" t="str">
        <f>'2022-2023 Applications Review'!E844</f>
        <v>Digital Tech</v>
      </c>
      <c r="D844" s="384" t="str">
        <f>'2022-2023 Applications Review'!Q844</f>
        <v>Invite Next Year</v>
      </c>
      <c r="E844" s="383"/>
      <c r="F844" s="383"/>
      <c r="G844" s="383"/>
      <c r="H844" s="383"/>
      <c r="I844" s="385" t="b">
        <v>1</v>
      </c>
      <c r="J844" s="386" t="s">
        <v>12763</v>
      </c>
    </row>
    <row r="845" spans="1:10">
      <c r="A845" s="383" t="str">
        <f>CONCATENATE("Reviewed on"," ",(TEXT('2022-2023 Applications Review'!$A845, "mm/dd/yyyy")))</f>
        <v>Reviewed on 08/23/2022</v>
      </c>
      <c r="B845" s="383" t="str">
        <f>'2022-2023 Applications Review'!B845</f>
        <v>Qlimate LLC _2022</v>
      </c>
      <c r="C845" s="383" t="str">
        <f>'2022-2023 Applications Review'!E845</f>
        <v>Deep Tech</v>
      </c>
      <c r="D845" s="384" t="str">
        <f>'2022-2023 Applications Review'!Q845</f>
        <v>Invite Next Year</v>
      </c>
      <c r="E845" s="383"/>
      <c r="F845" s="383"/>
      <c r="G845" s="383"/>
      <c r="H845" s="383"/>
      <c r="I845" s="385" t="b">
        <v>1</v>
      </c>
      <c r="J845" s="386" t="s">
        <v>12764</v>
      </c>
    </row>
    <row r="846" spans="1:10">
      <c r="A846" s="383" t="str">
        <f>CONCATENATE("Reviewed on"," ",(TEXT('2022-2023 Applications Review'!$A846, "mm/dd/yyyy")))</f>
        <v>Reviewed on 08/23/2022</v>
      </c>
      <c r="B846" s="383" t="str">
        <f>'2022-2023 Applications Review'!B846</f>
        <v>Ampli _2022</v>
      </c>
      <c r="C846" s="383" t="str">
        <f>'2022-2023 Applications Review'!E846</f>
        <v>Life Sciences</v>
      </c>
      <c r="D846" s="384" t="str">
        <f>'2022-2023 Applications Review'!Q846</f>
        <v>Special Reject</v>
      </c>
      <c r="E846" s="383"/>
      <c r="F846" s="383"/>
      <c r="G846" s="383"/>
      <c r="H846" s="383"/>
      <c r="I846" s="385" t="b">
        <v>1</v>
      </c>
      <c r="J846" s="386" t="s">
        <v>12765</v>
      </c>
    </row>
    <row r="847" spans="1:10">
      <c r="A847" s="383" t="str">
        <f>CONCATENATE("Reviewed on"," ",(TEXT('2022-2023 Applications Review'!$A847, "mm/dd/yyyy")))</f>
        <v>Reviewed on 08/23/2022</v>
      </c>
      <c r="B847" s="383" t="str">
        <f>'2022-2023 Applications Review'!B847</f>
        <v>Einsted _2022</v>
      </c>
      <c r="C847" s="383" t="str">
        <f>'2022-2023 Applications Review'!E847</f>
        <v>Deep Tech</v>
      </c>
      <c r="D847" s="384" t="str">
        <f>'2022-2023 Applications Review'!Q847</f>
        <v>Invite Next Year</v>
      </c>
      <c r="E847" s="383"/>
      <c r="F847" s="383"/>
      <c r="G847" s="383"/>
      <c r="H847" s="383"/>
      <c r="I847" s="385" t="b">
        <v>1</v>
      </c>
      <c r="J847" s="386" t="s">
        <v>12766</v>
      </c>
    </row>
    <row r="848" spans="1:10">
      <c r="A848" s="383" t="str">
        <f>CONCATENATE("Reviewed on"," ",(TEXT('2022-2023 Applications Review'!$A848, "mm/dd/yyyy")))</f>
        <v>Reviewed on 08/23/2022</v>
      </c>
      <c r="B848" s="383" t="str">
        <f>'2022-2023 Applications Review'!B848</f>
        <v>Puro Bioplastics, Inc.  _2022</v>
      </c>
      <c r="C848" s="383" t="str">
        <f>'2022-2023 Applications Review'!E848</f>
        <v>Deep Tech</v>
      </c>
      <c r="D848" s="384" t="str">
        <f>'2022-2023 Applications Review'!Q848</f>
        <v>Invite Next Year</v>
      </c>
      <c r="E848" s="383"/>
      <c r="F848" s="383"/>
      <c r="G848" s="383"/>
      <c r="H848" s="383"/>
      <c r="I848" s="385" t="b">
        <v>1</v>
      </c>
      <c r="J848" s="386" t="s">
        <v>12767</v>
      </c>
    </row>
    <row r="849" spans="1:10">
      <c r="A849" s="383" t="str">
        <f>CONCATENATE("Reviewed on"," ",(TEXT('2022-2023 Applications Review'!$A849, "mm/dd/yyyy")))</f>
        <v>Reviewed on 08/23/2022</v>
      </c>
      <c r="B849" s="383" t="str">
        <f>'2022-2023 Applications Review'!B849</f>
        <v>ARCHITEChTURES _2022</v>
      </c>
      <c r="C849" s="383" t="str">
        <f>'2022-2023 Applications Review'!E849</f>
        <v>Digital Tech</v>
      </c>
      <c r="D849" s="384" t="str">
        <f>'2022-2023 Applications Review'!Q849</f>
        <v>Invite Next Year</v>
      </c>
      <c r="E849" s="383"/>
      <c r="F849" s="383"/>
      <c r="G849" s="383"/>
      <c r="H849" s="383"/>
      <c r="I849" s="385" t="b">
        <v>1</v>
      </c>
      <c r="J849" s="386" t="s">
        <v>12768</v>
      </c>
    </row>
    <row r="850" spans="1:10">
      <c r="A850" s="383" t="str">
        <f>CONCATENATE("Reviewed on"," ",(TEXT('2022-2023 Applications Review'!$A850, "mm/dd/yyyy")))</f>
        <v>Reviewed on 08/23/2022</v>
      </c>
      <c r="B850" s="383" t="str">
        <f>'2022-2023 Applications Review'!B850</f>
        <v>myAir Smart Wellness _2022</v>
      </c>
      <c r="C850" s="383" t="str">
        <f>'2022-2023 Applications Review'!E850</f>
        <v>Digital Tech</v>
      </c>
      <c r="D850" s="384" t="str">
        <f>'2022-2023 Applications Review'!Q850</f>
        <v>Invite Next Year</v>
      </c>
      <c r="E850" s="383"/>
      <c r="F850" s="383"/>
      <c r="G850" s="383"/>
      <c r="H850" s="383"/>
      <c r="I850" s="385" t="b">
        <v>1</v>
      </c>
      <c r="J850" s="386" t="s">
        <v>12769</v>
      </c>
    </row>
    <row r="851" spans="1:10">
      <c r="A851" s="383" t="str">
        <f>CONCATENATE("Reviewed on"," ",(TEXT('2022-2023 Applications Review'!$A851, "mm/dd/yyyy")))</f>
        <v>Reviewed on 08/23/2022</v>
      </c>
      <c r="B851" s="383" t="str">
        <f>'2022-2023 Applications Review'!B851</f>
        <v>Vectra Automation Inc. _2022</v>
      </c>
      <c r="C851" s="383" t="str">
        <f>'2022-2023 Applications Review'!E851</f>
        <v>Deep Tech</v>
      </c>
      <c r="D851" s="384" t="str">
        <f>'2022-2023 Applications Review'!Q851</f>
        <v>Invite Next Year</v>
      </c>
      <c r="E851" s="383"/>
      <c r="F851" s="383"/>
      <c r="G851" s="383"/>
      <c r="H851" s="383"/>
      <c r="I851" s="385" t="b">
        <v>1</v>
      </c>
      <c r="J851" s="386" t="s">
        <v>12770</v>
      </c>
    </row>
    <row r="852" spans="1:10">
      <c r="A852" s="383" t="str">
        <f>CONCATENATE("Reviewed on"," ",(TEXT('2022-2023 Applications Review'!$A852, "mm/dd/yyyy")))</f>
        <v>Reviewed on 08/23/2022</v>
      </c>
      <c r="B852" s="383" t="str">
        <f>'2022-2023 Applications Review'!B852</f>
        <v>Walela Inc. _2022</v>
      </c>
      <c r="C852" s="383" t="str">
        <f>'2022-2023 Applications Review'!E852</f>
        <v>Deep Tech</v>
      </c>
      <c r="D852" s="384" t="str">
        <f>'2022-2023 Applications Review'!Q852</f>
        <v>Invite Next Year</v>
      </c>
      <c r="E852" s="383"/>
      <c r="F852" s="383"/>
      <c r="G852" s="383"/>
      <c r="H852" s="383"/>
      <c r="I852" s="385" t="b">
        <v>1</v>
      </c>
      <c r="J852" s="386" t="s">
        <v>12771</v>
      </c>
    </row>
    <row r="853" spans="1:10">
      <c r="A853" s="383" t="str">
        <f>CONCATENATE("Reviewed on"," ",(TEXT('2022-2023 Applications Review'!$A853, "mm/dd/yyyy")))</f>
        <v>Reviewed on 08/23/2022</v>
      </c>
      <c r="B853" s="383" t="str">
        <f>'2022-2023 Applications Review'!B853</f>
        <v>Ascend Manufacturing Inc. _2022</v>
      </c>
      <c r="C853" s="383" t="str">
        <f>'2022-2023 Applications Review'!E853</f>
        <v>Deep Tech</v>
      </c>
      <c r="D853" s="384" t="str">
        <f>'2022-2023 Applications Review'!Q853</f>
        <v>Invite Next Year</v>
      </c>
      <c r="E853" s="383"/>
      <c r="F853" s="383"/>
      <c r="G853" s="383"/>
      <c r="H853" s="383"/>
      <c r="I853" s="385" t="b">
        <v>1</v>
      </c>
      <c r="J853" s="386" t="s">
        <v>12772</v>
      </c>
    </row>
    <row r="854" spans="1:10">
      <c r="A854" s="383" t="str">
        <f>CONCATENATE("Reviewed on"," ",(TEXT('2022-2023 Applications Review'!$A854, "mm/dd/yyyy")))</f>
        <v>Reviewed on 08/23/2022</v>
      </c>
      <c r="B854" s="383" t="str">
        <f>'2022-2023 Applications Review'!B854</f>
        <v>Oncoliq _2022</v>
      </c>
      <c r="C854" s="383" t="str">
        <f>'2022-2023 Applications Review'!E854</f>
        <v>Life Sciences</v>
      </c>
      <c r="D854" s="384" t="str">
        <f>'2022-2023 Applications Review'!Q854</f>
        <v>Invite Next Year</v>
      </c>
      <c r="E854" s="383"/>
      <c r="F854" s="383"/>
      <c r="G854" s="383"/>
      <c r="H854" s="383"/>
      <c r="I854" s="385" t="b">
        <v>1</v>
      </c>
      <c r="J854" s="386" t="s">
        <v>12773</v>
      </c>
    </row>
    <row r="855" spans="1:10">
      <c r="A855" s="383" t="str">
        <f>CONCATENATE("Reviewed on"," ",(TEXT('2022-2023 Applications Review'!$A855, "mm/dd/yyyy")))</f>
        <v>Reviewed on 08/23/2022</v>
      </c>
      <c r="B855" s="383" t="str">
        <f>'2022-2023 Applications Review'!B855</f>
        <v>Satocci (Legal name Satocci Finance AB) _2022</v>
      </c>
      <c r="C855" s="383" t="str">
        <f>'2022-2023 Applications Review'!E855</f>
        <v>Digital Tech</v>
      </c>
      <c r="D855" s="384" t="str">
        <f>'2022-2023 Applications Review'!Q855</f>
        <v>Invite Next Year</v>
      </c>
      <c r="E855" s="383"/>
      <c r="F855" s="383"/>
      <c r="G855" s="383"/>
      <c r="H855" s="383"/>
      <c r="I855" s="385" t="b">
        <v>1</v>
      </c>
      <c r="J855" s="386" t="s">
        <v>12774</v>
      </c>
    </row>
    <row r="856" spans="1:10">
      <c r="A856" s="383" t="str">
        <f>CONCATENATE("Reviewed on"," ",(TEXT('2022-2023 Applications Review'!$A856, "mm/dd/yyyy")))</f>
        <v>Reviewed on 08/23/2022</v>
      </c>
      <c r="B856" s="383" t="str">
        <f>'2022-2023 Applications Review'!B856</f>
        <v>Labocine _2022</v>
      </c>
      <c r="C856" s="383" t="str">
        <f>'2022-2023 Applications Review'!E856</f>
        <v>Digital Tech</v>
      </c>
      <c r="D856" s="384" t="str">
        <f>'2022-2023 Applications Review'!Q856</f>
        <v>Invite Next Year</v>
      </c>
      <c r="E856" s="383"/>
      <c r="F856" s="383"/>
      <c r="G856" s="383"/>
      <c r="H856" s="383"/>
      <c r="I856" s="385" t="b">
        <v>1</v>
      </c>
      <c r="J856" s="386" t="s">
        <v>12775</v>
      </c>
    </row>
    <row r="857" spans="1:10">
      <c r="A857" s="383" t="str">
        <f>CONCATENATE("Reviewed on"," ",(TEXT('2022-2023 Applications Review'!$A857, "mm/dd/yyyy")))</f>
        <v>Reviewed on 08/23/2022</v>
      </c>
      <c r="B857" s="383" t="str">
        <f>'2022-2023 Applications Review'!B857</f>
        <v>Aqua Development _2022</v>
      </c>
      <c r="C857" s="383" t="str">
        <f>'2022-2023 Applications Review'!E857</f>
        <v>Deep Tech</v>
      </c>
      <c r="D857" s="384" t="str">
        <f>'2022-2023 Applications Review'!Q857</f>
        <v>Invite Next Year</v>
      </c>
      <c r="E857" s="383"/>
      <c r="F857" s="383"/>
      <c r="G857" s="383"/>
      <c r="H857" s="383"/>
      <c r="I857" s="385" t="b">
        <v>1</v>
      </c>
      <c r="J857" s="386" t="s">
        <v>12776</v>
      </c>
    </row>
    <row r="858" spans="1:10">
      <c r="A858" s="383" t="str">
        <f>CONCATENATE("Reviewed on"," ",(TEXT('2022-2023 Applications Review'!$A858, "mm/dd/yyyy")))</f>
        <v>Reviewed on 08/23/2022</v>
      </c>
      <c r="B858" s="383" t="str">
        <f>'2022-2023 Applications Review'!B858</f>
        <v>NXTSENS Microsystems Inc. _2022</v>
      </c>
      <c r="C858" s="383" t="str">
        <f>'2022-2023 Applications Review'!E858</f>
        <v>Deep Tech</v>
      </c>
      <c r="D858" s="384" t="str">
        <f>'2022-2023 Applications Review'!Q858</f>
        <v>Invite Next Year</v>
      </c>
      <c r="E858" s="383"/>
      <c r="F858" s="383"/>
      <c r="G858" s="383"/>
      <c r="H858" s="383"/>
      <c r="I858" s="385" t="b">
        <v>1</v>
      </c>
      <c r="J858" s="386" t="s">
        <v>12777</v>
      </c>
    </row>
    <row r="859" spans="1:10">
      <c r="A859" s="383" t="str">
        <f>CONCATENATE("Reviewed on"," ",(TEXT('2022-2023 Applications Review'!$A859, "mm/dd/yyyy")))</f>
        <v>Reviewed on 08/23/2022</v>
      </c>
      <c r="B859" s="383" t="str">
        <f>'2022-2023 Applications Review'!B859</f>
        <v>DigiBuild _2022</v>
      </c>
      <c r="C859" s="383" t="str">
        <f>'2022-2023 Applications Review'!E859</f>
        <v>Digital Tech</v>
      </c>
      <c r="D859" s="384" t="str">
        <f>'2022-2023 Applications Review'!Q859</f>
        <v>Invite Next Year</v>
      </c>
      <c r="E859" s="383"/>
      <c r="F859" s="383"/>
      <c r="G859" s="383"/>
      <c r="H859" s="383"/>
      <c r="I859" s="385" t="b">
        <v>1</v>
      </c>
      <c r="J859" s="386" t="s">
        <v>12778</v>
      </c>
    </row>
    <row r="860" spans="1:10">
      <c r="A860" s="383" t="str">
        <f>CONCATENATE("Reviewed on"," ",(TEXT('2022-2023 Applications Review'!$A860, "mm/dd/yyyy")))</f>
        <v>Reviewed on 08/23/2022</v>
      </c>
      <c r="B860" s="383" t="str">
        <f>'2022-2023 Applications Review'!B860</f>
        <v>Edupay _2022</v>
      </c>
      <c r="C860" s="383" t="str">
        <f>'2022-2023 Applications Review'!E860</f>
        <v>Digital Tech</v>
      </c>
      <c r="D860" s="384" t="str">
        <f>'2022-2023 Applications Review'!Q860</f>
        <v>Invite Next Year</v>
      </c>
      <c r="E860" s="383"/>
      <c r="F860" s="383"/>
      <c r="G860" s="383"/>
      <c r="H860" s="383"/>
      <c r="I860" s="385" t="b">
        <v>1</v>
      </c>
      <c r="J860" s="386" t="s">
        <v>12779</v>
      </c>
    </row>
    <row r="861" spans="1:10">
      <c r="A861" s="383" t="str">
        <f>CONCATENATE("Reviewed on"," ",(TEXT('2022-2023 Applications Review'!$A861, "mm/dd/yyyy")))</f>
        <v>Reviewed on 08/23/2022</v>
      </c>
      <c r="B861" s="383" t="str">
        <f>'2022-2023 Applications Review'!B861</f>
        <v>Chari Co.  _2022</v>
      </c>
      <c r="C861" s="383" t="str">
        <f>'2022-2023 Applications Review'!E861</f>
        <v>Digital Tech</v>
      </c>
      <c r="D861" s="384" t="str">
        <f>'2022-2023 Applications Review'!Q861</f>
        <v>Invite Next Year</v>
      </c>
      <c r="E861" s="383"/>
      <c r="F861" s="383"/>
      <c r="G861" s="383"/>
      <c r="H861" s="383"/>
      <c r="I861" s="385" t="b">
        <v>1</v>
      </c>
      <c r="J861" s="386" t="s">
        <v>12780</v>
      </c>
    </row>
    <row r="862" spans="1:10">
      <c r="A862" s="383" t="str">
        <f>CONCATENATE("Reviewed on"," ",(TEXT('2022-2023 Applications Review'!$A862, "mm/dd/yyyy")))</f>
        <v>Reviewed on 08/23/2022</v>
      </c>
      <c r="B862" s="383" t="str">
        <f>'2022-2023 Applications Review'!B862</f>
        <v>Vessl Prosthetics Inc. _2022</v>
      </c>
      <c r="C862" s="383" t="str">
        <f>'2022-2023 Applications Review'!E862</f>
        <v>Deep Tech</v>
      </c>
      <c r="D862" s="384" t="str">
        <f>'2022-2023 Applications Review'!Q862</f>
        <v>Invite Next Year</v>
      </c>
      <c r="E862" s="383"/>
      <c r="F862" s="383"/>
      <c r="G862" s="383"/>
      <c r="H862" s="383"/>
      <c r="I862" s="385" t="b">
        <v>1</v>
      </c>
      <c r="J862" s="386" t="s">
        <v>12781</v>
      </c>
    </row>
    <row r="863" spans="1:10">
      <c r="A863" s="383" t="str">
        <f>CONCATENATE("Reviewed on"," ",(TEXT('2022-2023 Applications Review'!$A863, "mm/dd/yyyy")))</f>
        <v>Reviewed on 08/23/2022</v>
      </c>
      <c r="B863" s="383" t="str">
        <f>'2022-2023 Applications Review'!B863</f>
        <v>Genflow Biosciences _2022</v>
      </c>
      <c r="C863" s="383" t="str">
        <f>'2022-2023 Applications Review'!E863</f>
        <v>Life Sciences</v>
      </c>
      <c r="D863" s="384" t="str">
        <f>'2022-2023 Applications Review'!Q863</f>
        <v>Invite Next Year</v>
      </c>
      <c r="E863" s="383"/>
      <c r="F863" s="383"/>
      <c r="G863" s="383"/>
      <c r="H863" s="383"/>
      <c r="I863" s="385" t="b">
        <v>1</v>
      </c>
      <c r="J863" s="386" t="s">
        <v>12782</v>
      </c>
    </row>
    <row r="864" spans="1:10">
      <c r="A864" s="383" t="str">
        <f>CONCATENATE("Reviewed on"," ",(TEXT('2022-2023 Applications Review'!$A864, "mm/dd/yyyy")))</f>
        <v>Reviewed on 08/23/2022</v>
      </c>
      <c r="B864" s="383" t="str">
        <f>'2022-2023 Applications Review'!B864</f>
        <v>CryptoMate _2022</v>
      </c>
      <c r="C864" s="383" t="str">
        <f>'2022-2023 Applications Review'!E864</f>
        <v>Digital Tech</v>
      </c>
      <c r="D864" s="384" t="str">
        <f>'2022-2023 Applications Review'!Q864</f>
        <v>Invite Next Year</v>
      </c>
      <c r="E864" s="383"/>
      <c r="F864" s="383"/>
      <c r="G864" s="383"/>
      <c r="H864" s="383"/>
      <c r="I864" s="385" t="b">
        <v>1</v>
      </c>
      <c r="J864" s="386" t="s">
        <v>12783</v>
      </c>
    </row>
    <row r="865" spans="1:10">
      <c r="A865" s="383" t="str">
        <f>CONCATENATE("Reviewed on"," ",(TEXT('2022-2023 Applications Review'!$A865, "mm/dd/yyyy")))</f>
        <v>Reviewed on 08/23/2022</v>
      </c>
      <c r="B865" s="383" t="str">
        <f>'2022-2023 Applications Review'!B865</f>
        <v>Blue Velvet Innovations LTD t/a Cook My Grub _2022</v>
      </c>
      <c r="C865" s="383" t="str">
        <f>'2022-2023 Applications Review'!E865</f>
        <v>Digital Tech</v>
      </c>
      <c r="D865" s="384" t="str">
        <f>'2022-2023 Applications Review'!Q865</f>
        <v>Invite Next Year</v>
      </c>
      <c r="E865" s="383"/>
      <c r="F865" s="383"/>
      <c r="G865" s="383"/>
      <c r="H865" s="383"/>
      <c r="I865" s="385" t="b">
        <v>1</v>
      </c>
      <c r="J865" s="386" t="s">
        <v>12784</v>
      </c>
    </row>
    <row r="866" spans="1:10">
      <c r="A866" s="383" t="str">
        <f>CONCATENATE("Reviewed on"," ",(TEXT('2022-2023 Applications Review'!$A866, "mm/dd/yyyy")))</f>
        <v>Reviewed on 08/23/2022</v>
      </c>
      <c r="B866" s="383" t="str">
        <f>'2022-2023 Applications Review'!B866</f>
        <v>WeBoard _2022</v>
      </c>
      <c r="C866" s="383" t="str">
        <f>'2022-2023 Applications Review'!E866</f>
        <v>Digital Tech</v>
      </c>
      <c r="D866" s="384" t="str">
        <f>'2022-2023 Applications Review'!Q866</f>
        <v>Invite Next Year</v>
      </c>
      <c r="E866" s="383"/>
      <c r="F866" s="383"/>
      <c r="G866" s="383"/>
      <c r="H866" s="383"/>
      <c r="I866" s="385" t="b">
        <v>1</v>
      </c>
      <c r="J866" s="386" t="s">
        <v>12785</v>
      </c>
    </row>
    <row r="867" spans="1:10">
      <c r="A867" s="383" t="str">
        <f>CONCATENATE("Reviewed on"," ",(TEXT('2022-2023 Applications Review'!$A867, "mm/dd/yyyy")))</f>
        <v>Reviewed on 08/23/2022</v>
      </c>
      <c r="B867" s="383" t="str">
        <f>'2022-2023 Applications Review'!B867</f>
        <v>Countd _2022</v>
      </c>
      <c r="C867" s="383" t="str">
        <f>'2022-2023 Applications Review'!E867</f>
        <v>Digital Tech</v>
      </c>
      <c r="D867" s="384" t="str">
        <f>'2022-2023 Applications Review'!Q867</f>
        <v>Invite Next Year</v>
      </c>
      <c r="E867" s="383"/>
      <c r="F867" s="383"/>
      <c r="G867" s="383"/>
      <c r="H867" s="383"/>
      <c r="I867" s="385" t="b">
        <v>1</v>
      </c>
      <c r="J867" s="386" t="s">
        <v>12786</v>
      </c>
    </row>
    <row r="868" spans="1:10">
      <c r="A868" s="383" t="str">
        <f>CONCATENATE("Reviewed on"," ",(TEXT('2022-2023 Applications Review'!$A868, "mm/dd/yyyy")))</f>
        <v>Reviewed on 08/23/2022</v>
      </c>
      <c r="B868" s="383" t="str">
        <f>'2022-2023 Applications Review'!B868</f>
        <v>Littlebird Connected Care _2022</v>
      </c>
      <c r="C868" s="383" t="str">
        <f>'2022-2023 Applications Review'!E868</f>
        <v>Digital Tech</v>
      </c>
      <c r="D868" s="384" t="str">
        <f>'2022-2023 Applications Review'!Q868</f>
        <v>Invite Next Year</v>
      </c>
      <c r="E868" s="383"/>
      <c r="F868" s="383"/>
      <c r="G868" s="383"/>
      <c r="H868" s="383"/>
      <c r="I868" s="385" t="b">
        <v>1</v>
      </c>
      <c r="J868" s="386" t="s">
        <v>12787</v>
      </c>
    </row>
    <row r="869" spans="1:10">
      <c r="A869" s="383" t="str">
        <f>CONCATENATE("Reviewed on"," ",(TEXT('2022-2023 Applications Review'!$A869, "mm/dd/yyyy")))</f>
        <v>Reviewed on 08/23/2022</v>
      </c>
      <c r="B869" s="383" t="str">
        <f>'2022-2023 Applications Review'!B869</f>
        <v>5ire _2022</v>
      </c>
      <c r="C869" s="383" t="str">
        <f>'2022-2023 Applications Review'!E869</f>
        <v>Digital Tech</v>
      </c>
      <c r="D869" s="384" t="str">
        <f>'2022-2023 Applications Review'!Q869</f>
        <v>Invite Next Year</v>
      </c>
      <c r="E869" s="383"/>
      <c r="F869" s="383"/>
      <c r="G869" s="383"/>
      <c r="H869" s="383"/>
      <c r="I869" s="385" t="b">
        <v>1</v>
      </c>
      <c r="J869" s="386" t="s">
        <v>12788</v>
      </c>
    </row>
    <row r="870" spans="1:10">
      <c r="A870" s="383" t="str">
        <f>CONCATENATE("Reviewed on"," ",(TEXT('2022-2023 Applications Review'!$A870, "mm/dd/yyyy")))</f>
        <v>Reviewed on 08/23/2022</v>
      </c>
      <c r="B870" s="383" t="str">
        <f>'2022-2023 Applications Review'!B870</f>
        <v>Joulez, Inc. _2022</v>
      </c>
      <c r="C870" s="383" t="str">
        <f>'2022-2023 Applications Review'!E870</f>
        <v>Digital Tech</v>
      </c>
      <c r="D870" s="384" t="str">
        <f>'2022-2023 Applications Review'!Q870</f>
        <v>Invite Next Year</v>
      </c>
      <c r="E870" s="383"/>
      <c r="F870" s="383"/>
      <c r="G870" s="383"/>
      <c r="H870" s="383"/>
      <c r="I870" s="385" t="b">
        <v>1</v>
      </c>
      <c r="J870" s="386" t="s">
        <v>12789</v>
      </c>
    </row>
    <row r="871" spans="1:10">
      <c r="A871" s="383" t="str">
        <f>CONCATENATE("Reviewed on"," ",(TEXT('2022-2023 Applications Review'!$A871, "mm/dd/yyyy")))</f>
        <v>Reviewed on 08/23/2022</v>
      </c>
      <c r="B871" s="383" t="str">
        <f>'2022-2023 Applications Review'!B871</f>
        <v>Veris Behavior _2022</v>
      </c>
      <c r="C871" s="383" t="str">
        <f>'2022-2023 Applications Review'!E871</f>
        <v>Digital Tech</v>
      </c>
      <c r="D871" s="384" t="str">
        <f>'2022-2023 Applications Review'!Q871</f>
        <v>Invite Next Year</v>
      </c>
      <c r="E871" s="383"/>
      <c r="F871" s="383"/>
      <c r="G871" s="383"/>
      <c r="H871" s="383"/>
      <c r="I871" s="385" t="b">
        <v>1</v>
      </c>
      <c r="J871" s="386" t="s">
        <v>12790</v>
      </c>
    </row>
    <row r="872" spans="1:10">
      <c r="A872" s="383" t="str">
        <f>CONCATENATE("Reviewed on"," ",(TEXT('2022-2023 Applications Review'!$A872, "mm/dd/yyyy")))</f>
        <v>Reviewed on 08/23/2022</v>
      </c>
      <c r="B872" s="383" t="str">
        <f>'2022-2023 Applications Review'!B872</f>
        <v>PEGASI INTERNATIONAL, INC. _2022</v>
      </c>
      <c r="C872" s="383" t="str">
        <f>'2022-2023 Applications Review'!E872</f>
        <v>Life Sciences</v>
      </c>
      <c r="D872" s="384" t="str">
        <f>'2022-2023 Applications Review'!Q872</f>
        <v>Invite Next Year</v>
      </c>
      <c r="E872" s="383"/>
      <c r="F872" s="383"/>
      <c r="G872" s="383"/>
      <c r="H872" s="383"/>
      <c r="I872" s="385" t="b">
        <v>1</v>
      </c>
      <c r="J872" s="386" t="s">
        <v>12791</v>
      </c>
    </row>
    <row r="873" spans="1:10">
      <c r="A873" s="383" t="str">
        <f>CONCATENATE("Reviewed on"," ",(TEXT('2022-2023 Applications Review'!$A873, "mm/dd/yyyy")))</f>
        <v>Reviewed on 08/23/2022</v>
      </c>
      <c r="B873" s="383" t="str">
        <f>'2022-2023 Applications Review'!B873</f>
        <v>Conan Medtech Corp. _2022</v>
      </c>
      <c r="C873" s="383" t="str">
        <f>'2022-2023 Applications Review'!E873</f>
        <v>Life Sciences</v>
      </c>
      <c r="D873" s="384" t="str">
        <f>'2022-2023 Applications Review'!Q873</f>
        <v>Invite Next Year</v>
      </c>
      <c r="E873" s="383"/>
      <c r="F873" s="383"/>
      <c r="G873" s="383"/>
      <c r="H873" s="383"/>
      <c r="I873" s="385" t="b">
        <v>1</v>
      </c>
      <c r="J873" s="386" t="s">
        <v>12792</v>
      </c>
    </row>
    <row r="874" spans="1:10">
      <c r="A874" s="383" t="str">
        <f>CONCATENATE("Reviewed on"," ",(TEXT('2022-2023 Applications Review'!$A874, "mm/dd/yyyy")))</f>
        <v>Reviewed on 08/23/2022</v>
      </c>
      <c r="B874" s="383" t="str">
        <f>'2022-2023 Applications Review'!B874</f>
        <v>ByteLearn _2022</v>
      </c>
      <c r="C874" s="383" t="str">
        <f>'2022-2023 Applications Review'!E874</f>
        <v>Digital Tech</v>
      </c>
      <c r="D874" s="384" t="str">
        <f>'2022-2023 Applications Review'!Q874</f>
        <v>Invite Next Year</v>
      </c>
      <c r="E874" s="383"/>
      <c r="F874" s="383"/>
      <c r="G874" s="383"/>
      <c r="H874" s="383"/>
      <c r="I874" s="385" t="b">
        <v>1</v>
      </c>
      <c r="J874" s="386" t="s">
        <v>12793</v>
      </c>
    </row>
    <row r="875" spans="1:10">
      <c r="A875" s="383" t="str">
        <f>CONCATENATE("Reviewed on"," ",(TEXT('2022-2023 Applications Review'!$A875, "mm/dd/yyyy")))</f>
        <v>Reviewed on 08/23/2022</v>
      </c>
      <c r="B875" s="383" t="str">
        <f>'2022-2023 Applications Review'!B875</f>
        <v>Kluero _2022</v>
      </c>
      <c r="C875" s="383" t="str">
        <f>'2022-2023 Applications Review'!E875</f>
        <v>Digital Tech</v>
      </c>
      <c r="D875" s="384" t="str">
        <f>'2022-2023 Applications Review'!Q875</f>
        <v>Invite Next Year</v>
      </c>
      <c r="E875" s="383"/>
      <c r="F875" s="383"/>
      <c r="G875" s="383"/>
      <c r="H875" s="383"/>
      <c r="I875" s="385" t="b">
        <v>1</v>
      </c>
      <c r="J875" s="386" t="s">
        <v>12794</v>
      </c>
    </row>
    <row r="876" spans="1:10">
      <c r="A876" s="383" t="str">
        <f>CONCATENATE("Reviewed on"," ",(TEXT('2022-2023 Applications Review'!$A876, "mm/dd/yyyy")))</f>
        <v>Reviewed on 08/23/2022</v>
      </c>
      <c r="B876" s="383" t="str">
        <f>'2022-2023 Applications Review'!B876</f>
        <v>RoQR _2022</v>
      </c>
      <c r="C876" s="383" t="str">
        <f>'2022-2023 Applications Review'!E876</f>
        <v>Digital Tech</v>
      </c>
      <c r="D876" s="384" t="str">
        <f>'2022-2023 Applications Review'!Q876</f>
        <v>Invite Next Year</v>
      </c>
      <c r="E876" s="383"/>
      <c r="F876" s="383"/>
      <c r="G876" s="383"/>
      <c r="H876" s="383"/>
      <c r="I876" s="385" t="b">
        <v>1</v>
      </c>
      <c r="J876" s="386" t="s">
        <v>12795</v>
      </c>
    </row>
    <row r="877" spans="1:10">
      <c r="A877" s="383" t="str">
        <f>CONCATENATE("Reviewed on"," ",(TEXT('2022-2023 Applications Review'!$A877, "mm/dd/yyyy")))</f>
        <v>Reviewed on 08/23/2022</v>
      </c>
      <c r="B877" s="383" t="str">
        <f>'2022-2023 Applications Review'!B877</f>
        <v>Arbol _2022</v>
      </c>
      <c r="C877" s="383" t="str">
        <f>'2022-2023 Applications Review'!E877</f>
        <v>Digital Tech</v>
      </c>
      <c r="D877" s="384" t="str">
        <f>'2022-2023 Applications Review'!Q877</f>
        <v>Invite Next Year</v>
      </c>
      <c r="E877" s="383"/>
      <c r="F877" s="383"/>
      <c r="G877" s="383"/>
      <c r="H877" s="383"/>
      <c r="I877" s="385" t="b">
        <v>1</v>
      </c>
      <c r="J877" s="386" t="s">
        <v>12796</v>
      </c>
    </row>
    <row r="878" spans="1:10">
      <c r="A878" s="383" t="str">
        <f>CONCATENATE("Reviewed on"," ",(TEXT('2022-2023 Applications Review'!$A878, "mm/dd/yyyy")))</f>
        <v>Reviewed on 08/23/2022</v>
      </c>
      <c r="B878" s="383" t="str">
        <f>'2022-2023 Applications Review'!B878</f>
        <v>EnKoat _2022</v>
      </c>
      <c r="C878" s="383" t="str">
        <f>'2022-2023 Applications Review'!E878</f>
        <v>Deep Tech</v>
      </c>
      <c r="D878" s="384" t="str">
        <f>'2022-2023 Applications Review'!Q878</f>
        <v>Invite Next Year</v>
      </c>
      <c r="E878" s="383"/>
      <c r="F878" s="383"/>
      <c r="G878" s="383"/>
      <c r="H878" s="383"/>
      <c r="I878" s="385" t="b">
        <v>1</v>
      </c>
      <c r="J878" s="386" t="s">
        <v>12797</v>
      </c>
    </row>
    <row r="879" spans="1:10">
      <c r="A879" s="383" t="str">
        <f>CONCATENATE("Reviewed on"," ",(TEXT('2022-2023 Applications Review'!$A879, "mm/dd/yyyy")))</f>
        <v>Reviewed on 08/23/2022</v>
      </c>
      <c r="B879" s="383" t="str">
        <f>'2022-2023 Applications Review'!B879</f>
        <v>Insynctive, Inc. _2022</v>
      </c>
      <c r="C879" s="383" t="str">
        <f>'2022-2023 Applications Review'!E879</f>
        <v>Digital Tech</v>
      </c>
      <c r="D879" s="384" t="str">
        <f>'2022-2023 Applications Review'!Q879</f>
        <v>Invite Next Year</v>
      </c>
      <c r="E879" s="383"/>
      <c r="F879" s="383"/>
      <c r="G879" s="383"/>
      <c r="H879" s="383"/>
      <c r="I879" s="385" t="b">
        <v>1</v>
      </c>
      <c r="J879" s="386" t="s">
        <v>12798</v>
      </c>
    </row>
    <row r="880" spans="1:10">
      <c r="A880" s="383" t="str">
        <f>CONCATENATE("Reviewed on"," ",(TEXT('2022-2023 Applications Review'!$A880, "mm/dd/yyyy")))</f>
        <v>Reviewed on 08/23/2022</v>
      </c>
      <c r="B880" s="383" t="str">
        <f>'2022-2023 Applications Review'!B880</f>
        <v>Qbrics, Inc _2022</v>
      </c>
      <c r="C880" s="383" t="str">
        <f>'2022-2023 Applications Review'!E880</f>
        <v>Digital Tech</v>
      </c>
      <c r="D880" s="384" t="str">
        <f>'2022-2023 Applications Review'!Q880</f>
        <v>Invite Next Year</v>
      </c>
      <c r="E880" s="383"/>
      <c r="F880" s="383"/>
      <c r="G880" s="383"/>
      <c r="H880" s="383"/>
      <c r="I880" s="385" t="b">
        <v>1</v>
      </c>
      <c r="J880" s="386" t="s">
        <v>12799</v>
      </c>
    </row>
    <row r="881" spans="1:10">
      <c r="A881" s="383" t="str">
        <f>CONCATENATE("Reviewed on"," ",(TEXT('2022-2023 Applications Review'!$A881, "mm/dd/yyyy")))</f>
        <v>Reviewed on 08/23/2022</v>
      </c>
      <c r="B881" s="383" t="str">
        <f>'2022-2023 Applications Review'!B881</f>
        <v>Findpet _2022</v>
      </c>
      <c r="C881" s="383" t="str">
        <f>'2022-2023 Applications Review'!E881</f>
        <v>Digital Tech</v>
      </c>
      <c r="D881" s="384" t="str">
        <f>'2022-2023 Applications Review'!Q881</f>
        <v>Invite Next Year</v>
      </c>
      <c r="E881" s="383"/>
      <c r="F881" s="383"/>
      <c r="G881" s="383"/>
      <c r="H881" s="383"/>
      <c r="I881" s="385" t="b">
        <v>1</v>
      </c>
      <c r="J881" s="386" t="s">
        <v>12800</v>
      </c>
    </row>
    <row r="882" spans="1:10">
      <c r="A882" s="383" t="str">
        <f>CONCATENATE("Reviewed on"," ",(TEXT('2022-2023 Applications Review'!$A882, "mm/dd/yyyy")))</f>
        <v>Reviewed on 08/23/2022</v>
      </c>
      <c r="B882" s="383" t="str">
        <f>'2022-2023 Applications Review'!B882</f>
        <v>Digikraft.Io, Inc. _2022</v>
      </c>
      <c r="C882" s="383" t="str">
        <f>'2022-2023 Applications Review'!E882</f>
        <v>Digital Tech</v>
      </c>
      <c r="D882" s="384" t="str">
        <f>'2022-2023 Applications Review'!Q882</f>
        <v>Invite Next Year</v>
      </c>
      <c r="E882" s="383"/>
      <c r="F882" s="383"/>
      <c r="G882" s="383"/>
      <c r="H882" s="383"/>
      <c r="I882" s="385" t="b">
        <v>1</v>
      </c>
      <c r="J882" s="386" t="s">
        <v>12801</v>
      </c>
    </row>
    <row r="883" spans="1:10">
      <c r="A883" s="383" t="str">
        <f>CONCATENATE("Reviewed on"," ",(TEXT('2022-2023 Applications Review'!$A883, "mm/dd/yyyy")))</f>
        <v>Reviewed on 08/23/2022</v>
      </c>
      <c r="B883" s="383" t="str">
        <f>'2022-2023 Applications Review'!B883</f>
        <v>Holloid _2022</v>
      </c>
      <c r="C883" s="383" t="str">
        <f>'2022-2023 Applications Review'!E883</f>
        <v>Deep Tech</v>
      </c>
      <c r="D883" s="384" t="str">
        <f>'2022-2023 Applications Review'!Q883</f>
        <v>Invite Next Year</v>
      </c>
      <c r="E883" s="383"/>
      <c r="F883" s="383"/>
      <c r="G883" s="383"/>
      <c r="H883" s="383"/>
      <c r="I883" s="385" t="b">
        <v>1</v>
      </c>
      <c r="J883" s="386" t="s">
        <v>12802</v>
      </c>
    </row>
    <row r="884" spans="1:10">
      <c r="A884" s="383" t="str">
        <f>CONCATENATE("Reviewed on"," ",(TEXT('2022-2023 Applications Review'!$A884, "mm/dd/yyyy")))</f>
        <v>Reviewed on 08/23/2022</v>
      </c>
      <c r="B884" s="383" t="str">
        <f>'2022-2023 Applications Review'!B884</f>
        <v>Dailyhuman _2022</v>
      </c>
      <c r="C884" s="383" t="str">
        <f>'2022-2023 Applications Review'!E884</f>
        <v>Digital Tech</v>
      </c>
      <c r="D884" s="384" t="str">
        <f>'2022-2023 Applications Review'!Q884</f>
        <v>Invite Next Year</v>
      </c>
      <c r="E884" s="383"/>
      <c r="F884" s="383"/>
      <c r="G884" s="383"/>
      <c r="H884" s="383"/>
      <c r="I884" s="385" t="b">
        <v>1</v>
      </c>
      <c r="J884" s="386" t="s">
        <v>12803</v>
      </c>
    </row>
    <row r="885" spans="1:10">
      <c r="A885" s="383" t="str">
        <f>CONCATENATE("Reviewed on"," ",(TEXT('2022-2023 Applications Review'!$A885, "mm/dd/yyyy")))</f>
        <v>Reviewed on 08/23/2022</v>
      </c>
      <c r="B885" s="383" t="str">
        <f>'2022-2023 Applications Review'!B885</f>
        <v>AMATEC _2022</v>
      </c>
      <c r="C885" s="383" t="str">
        <f>'2022-2023 Applications Review'!E885</f>
        <v>Deep Tech</v>
      </c>
      <c r="D885" s="384" t="str">
        <f>'2022-2023 Applications Review'!Q885</f>
        <v>Invite Next Year</v>
      </c>
      <c r="E885" s="383"/>
      <c r="F885" s="383"/>
      <c r="G885" s="383"/>
      <c r="H885" s="383"/>
      <c r="I885" s="385" t="b">
        <v>1</v>
      </c>
      <c r="J885" s="386" t="s">
        <v>12804</v>
      </c>
    </row>
    <row r="886" spans="1:10">
      <c r="A886" s="383" t="str">
        <f>CONCATENATE("Reviewed on"," ",(TEXT('2022-2023 Applications Review'!$A886, "mm/dd/yyyy")))</f>
        <v>Reviewed on 08/23/2022</v>
      </c>
      <c r="B886" s="383" t="str">
        <f>'2022-2023 Applications Review'!B886</f>
        <v>BLOOP _2022</v>
      </c>
      <c r="C886" s="383" t="str">
        <f>'2022-2023 Applications Review'!E886</f>
        <v>Digital Tech</v>
      </c>
      <c r="D886" s="384" t="str">
        <f>'2022-2023 Applications Review'!Q886</f>
        <v>Invite Next Year</v>
      </c>
      <c r="E886" s="383"/>
      <c r="F886" s="383"/>
      <c r="G886" s="383"/>
      <c r="H886" s="383"/>
      <c r="I886" s="385" t="b">
        <v>1</v>
      </c>
      <c r="J886" s="386" t="s">
        <v>12805</v>
      </c>
    </row>
    <row r="887" spans="1:10">
      <c r="A887" s="383" t="str">
        <f>CONCATENATE("Reviewed on"," ",(TEXT('2022-2023 Applications Review'!$A887, "mm/dd/yyyy")))</f>
        <v>Reviewed on 08/23/2022</v>
      </c>
      <c r="B887" s="383" t="str">
        <f>'2022-2023 Applications Review'!B887</f>
        <v>INCLODE LLC _2022</v>
      </c>
      <c r="C887" s="383" t="str">
        <f>'2022-2023 Applications Review'!E887</f>
        <v>Life Sciences</v>
      </c>
      <c r="D887" s="384" t="str">
        <f>'2022-2023 Applications Review'!Q887</f>
        <v>Invite Next Year</v>
      </c>
      <c r="E887" s="383"/>
      <c r="F887" s="383"/>
      <c r="G887" s="383"/>
      <c r="H887" s="383"/>
      <c r="I887" s="385" t="b">
        <v>1</v>
      </c>
      <c r="J887" s="386" t="s">
        <v>12806</v>
      </c>
    </row>
    <row r="888" spans="1:10">
      <c r="A888" s="383" t="str">
        <f>CONCATENATE("Reviewed on"," ",(TEXT('2022-2023 Applications Review'!$A888, "mm/dd/yyyy")))</f>
        <v>Reviewed on 08/23/2022</v>
      </c>
      <c r="B888" s="383" t="str">
        <f>'2022-2023 Applications Review'!B888</f>
        <v>Intelline _2022</v>
      </c>
      <c r="C888" s="383" t="str">
        <f>'2022-2023 Applications Review'!E888</f>
        <v>Deep Tech</v>
      </c>
      <c r="D888" s="384" t="str">
        <f>'2022-2023 Applications Review'!Q888</f>
        <v>Invite Next Year</v>
      </c>
      <c r="E888" s="383"/>
      <c r="F888" s="383"/>
      <c r="G888" s="383"/>
      <c r="H888" s="383"/>
      <c r="I888" s="385" t="b">
        <v>1</v>
      </c>
      <c r="J888" s="386" t="s">
        <v>12807</v>
      </c>
    </row>
    <row r="889" spans="1:10">
      <c r="A889" s="383" t="str">
        <f>CONCATENATE("Reviewed on"," ",(TEXT('2022-2023 Applications Review'!$A889, "mm/dd/yyyy")))</f>
        <v>Reviewed on 08/23/2022</v>
      </c>
      <c r="B889" s="383" t="str">
        <f>'2022-2023 Applications Review'!B889</f>
        <v>Quantic Brains Technologies SL _2022</v>
      </c>
      <c r="C889" s="383" t="str">
        <f>'2022-2023 Applications Review'!E889</f>
        <v>Deep Tech</v>
      </c>
      <c r="D889" s="384" t="str">
        <f>'2022-2023 Applications Review'!Q889</f>
        <v>Invite Next Year</v>
      </c>
      <c r="E889" s="383"/>
      <c r="F889" s="383"/>
      <c r="G889" s="383"/>
      <c r="H889" s="383"/>
      <c r="I889" s="385" t="b">
        <v>1</v>
      </c>
      <c r="J889" s="386" t="s">
        <v>12808</v>
      </c>
    </row>
    <row r="890" spans="1:10">
      <c r="A890" s="383" t="str">
        <f>CONCATENATE("Reviewed on"," ",(TEXT('2022-2023 Applications Review'!$A890, "mm/dd/yyyy")))</f>
        <v>Reviewed on 08/23/2022</v>
      </c>
      <c r="B890" s="383" t="str">
        <f>'2022-2023 Applications Review'!B890</f>
        <v>Addinex Technologies, Inc. _2022</v>
      </c>
      <c r="C890" s="383" t="str">
        <f>'2022-2023 Applications Review'!E890</f>
        <v>Life Sciences</v>
      </c>
      <c r="D890" s="384" t="str">
        <f>'2022-2023 Applications Review'!Q890</f>
        <v>Invite Next Year</v>
      </c>
      <c r="E890" s="383"/>
      <c r="F890" s="383"/>
      <c r="G890" s="383"/>
      <c r="H890" s="383"/>
      <c r="I890" s="385" t="b">
        <v>1</v>
      </c>
      <c r="J890" s="386" t="s">
        <v>12809</v>
      </c>
    </row>
    <row r="891" spans="1:10">
      <c r="A891" s="383" t="str">
        <f>CONCATENATE("Reviewed on"," ",(TEXT('2022-2023 Applications Review'!$A891, "mm/dd/yyyy")))</f>
        <v>Reviewed on 08/23/2022</v>
      </c>
      <c r="B891" s="383" t="str">
        <f>'2022-2023 Applications Review'!B891</f>
        <v>WATZ _2022</v>
      </c>
      <c r="C891" s="383" t="str">
        <f>'2022-2023 Applications Review'!E891</f>
        <v>Deep Tech</v>
      </c>
      <c r="D891" s="384" t="str">
        <f>'2022-2023 Applications Review'!Q891</f>
        <v>Invite Next Year</v>
      </c>
      <c r="E891" s="383"/>
      <c r="F891" s="383"/>
      <c r="G891" s="383"/>
      <c r="H891" s="383"/>
      <c r="I891" s="385" t="b">
        <v>1</v>
      </c>
      <c r="J891" s="386" t="s">
        <v>12810</v>
      </c>
    </row>
    <row r="892" spans="1:10">
      <c r="A892" s="383" t="str">
        <f>CONCATENATE("Reviewed on"," ",(TEXT('2022-2023 Applications Review'!$A892, "mm/dd/yyyy")))</f>
        <v>Reviewed on 08/23/2022</v>
      </c>
      <c r="B892" s="383" t="str">
        <f>'2022-2023 Applications Review'!B892</f>
        <v>Dekar Edge/Society _2022</v>
      </c>
      <c r="C892" s="383" t="str">
        <f>'2022-2023 Applications Review'!E892</f>
        <v>Digital Tech</v>
      </c>
      <c r="D892" s="384" t="str">
        <f>'2022-2023 Applications Review'!Q892</f>
        <v>Invite Next Year</v>
      </c>
      <c r="E892" s="383"/>
      <c r="F892" s="383"/>
      <c r="G892" s="383"/>
      <c r="H892" s="383"/>
      <c r="I892" s="385" t="b">
        <v>1</v>
      </c>
      <c r="J892" s="386" t="s">
        <v>12811</v>
      </c>
    </row>
    <row r="893" spans="1:10">
      <c r="A893" s="383" t="str">
        <f>CONCATENATE("Reviewed on"," ",(TEXT('2022-2023 Applications Review'!$A893, "mm/dd/yyyy")))</f>
        <v>Reviewed on 08/23/2022</v>
      </c>
      <c r="B893" s="383" t="str">
        <f>'2022-2023 Applications Review'!B893</f>
        <v>Blyp.ai _2022</v>
      </c>
      <c r="C893" s="383" t="str">
        <f>'2022-2023 Applications Review'!E893</f>
        <v>Digital Tech</v>
      </c>
      <c r="D893" s="384" t="str">
        <f>'2022-2023 Applications Review'!Q893</f>
        <v>Invite Next Year</v>
      </c>
      <c r="E893" s="383"/>
      <c r="F893" s="383"/>
      <c r="G893" s="383"/>
      <c r="H893" s="383"/>
      <c r="I893" s="385" t="b">
        <v>1</v>
      </c>
      <c r="J893" s="386" t="s">
        <v>12812</v>
      </c>
    </row>
    <row r="894" spans="1:10">
      <c r="A894" s="383" t="str">
        <f>CONCATENATE("Reviewed on"," ",(TEXT('2022-2023 Applications Review'!$A894, "mm/dd/yyyy")))</f>
        <v>Reviewed on 08/23/2022</v>
      </c>
      <c r="B894" s="383" t="str">
        <f>'2022-2023 Applications Review'!B894</f>
        <v>Plastic Green Power Ltd _2022</v>
      </c>
      <c r="C894" s="383" t="str">
        <f>'2022-2023 Applications Review'!E894</f>
        <v>Deep Tech</v>
      </c>
      <c r="D894" s="384" t="str">
        <f>'2022-2023 Applications Review'!Q894</f>
        <v>Invite Next Year</v>
      </c>
      <c r="E894" s="383"/>
      <c r="F894" s="383"/>
      <c r="G894" s="383"/>
      <c r="H894" s="383"/>
      <c r="I894" s="385" t="b">
        <v>1</v>
      </c>
      <c r="J894" s="386" t="s">
        <v>12813</v>
      </c>
    </row>
    <row r="895" spans="1:10">
      <c r="A895" s="383" t="str">
        <f>CONCATENATE("Reviewed on"," ",(TEXT('2022-2023 Applications Review'!$A895, "mm/dd/yyyy")))</f>
        <v>Reviewed on 08/23/2022</v>
      </c>
      <c r="B895" s="383" t="str">
        <f>'2022-2023 Applications Review'!B895</f>
        <v>Yield Monitor _2022</v>
      </c>
      <c r="C895" s="383" t="str">
        <f>'2022-2023 Applications Review'!E895</f>
        <v>Digital Tech</v>
      </c>
      <c r="D895" s="384" t="str">
        <f>'2022-2023 Applications Review'!Q895</f>
        <v>Invite Next Year</v>
      </c>
      <c r="E895" s="383"/>
      <c r="F895" s="383"/>
      <c r="G895" s="383"/>
      <c r="H895" s="383"/>
      <c r="I895" s="385" t="b">
        <v>1</v>
      </c>
      <c r="J895" s="386" t="s">
        <v>12814</v>
      </c>
    </row>
    <row r="896" spans="1:10">
      <c r="A896" s="383" t="str">
        <f>CONCATENATE("Reviewed on"," ",(TEXT('2022-2023 Applications Review'!$A896, "mm/dd/yyyy")))</f>
        <v>Reviewed on 08/23/2022</v>
      </c>
      <c r="B896" s="383" t="str">
        <f>'2022-2023 Applications Review'!B896</f>
        <v>Lalo _2022</v>
      </c>
      <c r="C896" s="383" t="str">
        <f>'2022-2023 Applications Review'!E896</f>
        <v>Digital Tech</v>
      </c>
      <c r="D896" s="384" t="str">
        <f>'2022-2023 Applications Review'!Q896</f>
        <v>Invite Next Year</v>
      </c>
      <c r="E896" s="383"/>
      <c r="F896" s="383"/>
      <c r="G896" s="383"/>
      <c r="H896" s="383"/>
      <c r="I896" s="385" t="b">
        <v>1</v>
      </c>
      <c r="J896" s="386" t="s">
        <v>12815</v>
      </c>
    </row>
    <row r="897" spans="1:10">
      <c r="A897" s="383" t="str">
        <f>CONCATENATE("Reviewed on"," ",(TEXT('2022-2023 Applications Review'!$A897, "mm/dd/yyyy")))</f>
        <v>Reviewed on 08/23/2022</v>
      </c>
      <c r="B897" s="383" t="str">
        <f>'2022-2023 Applications Review'!B897</f>
        <v>Kazam _2022</v>
      </c>
      <c r="C897" s="383" t="str">
        <f>'2022-2023 Applications Review'!E897</f>
        <v>Digital Tech</v>
      </c>
      <c r="D897" s="384" t="str">
        <f>'2022-2023 Applications Review'!Q897</f>
        <v>Invite Next Year</v>
      </c>
      <c r="E897" s="383"/>
      <c r="F897" s="383"/>
      <c r="G897" s="383"/>
      <c r="H897" s="383"/>
      <c r="I897" s="385" t="b">
        <v>1</v>
      </c>
      <c r="J897" s="386" t="s">
        <v>12816</v>
      </c>
    </row>
    <row r="898" spans="1:10">
      <c r="A898" s="383" t="str">
        <f>CONCATENATE("Reviewed on"," ",(TEXT('2022-2023 Applications Review'!$A898, "mm/dd/yyyy")))</f>
        <v>Reviewed on 08/23/2022</v>
      </c>
      <c r="B898" s="383" t="str">
        <f>'2022-2023 Applications Review'!B898</f>
        <v>Minitable Tech, Inc _2022</v>
      </c>
      <c r="C898" s="383" t="str">
        <f>'2022-2023 Applications Review'!E898</f>
        <v>Digital Tech</v>
      </c>
      <c r="D898" s="384" t="str">
        <f>'2022-2023 Applications Review'!Q898</f>
        <v>Invite Next Year</v>
      </c>
      <c r="E898" s="383"/>
      <c r="F898" s="383"/>
      <c r="G898" s="383"/>
      <c r="H898" s="383"/>
      <c r="I898" s="385" t="b">
        <v>1</v>
      </c>
      <c r="J898" s="386" t="s">
        <v>12817</v>
      </c>
    </row>
    <row r="899" spans="1:10">
      <c r="A899" s="383" t="str">
        <f>CONCATENATE("Reviewed on"," ",(TEXT('2022-2023 Applications Review'!$A899, "mm/dd/yyyy")))</f>
        <v>Reviewed on 08/23/2022</v>
      </c>
      <c r="B899" s="383" t="str">
        <f>'2022-2023 Applications Review'!B899</f>
        <v>Caravel Concepts, LLC _2022</v>
      </c>
      <c r="C899" s="383" t="str">
        <f>'2022-2023 Applications Review'!E899</f>
        <v>Digital Tech</v>
      </c>
      <c r="D899" s="384" t="str">
        <f>'2022-2023 Applications Review'!Q899</f>
        <v>Invite Next Year</v>
      </c>
      <c r="E899" s="383"/>
      <c r="F899" s="383"/>
      <c r="G899" s="383"/>
      <c r="H899" s="383"/>
      <c r="I899" s="385" t="b">
        <v>1</v>
      </c>
      <c r="J899" s="386" t="s">
        <v>12818</v>
      </c>
    </row>
    <row r="900" spans="1:10">
      <c r="A900" s="383" t="str">
        <f>CONCATENATE("Reviewed on"," ",(TEXT('2022-2023 Applications Review'!$A900, "mm/dd/yyyy")))</f>
        <v>Reviewed on 08/23/2022</v>
      </c>
      <c r="B900" s="383" t="str">
        <f>'2022-2023 Applications Review'!B900</f>
        <v>Handprint _2022</v>
      </c>
      <c r="C900" s="383" t="str">
        <f>'2022-2023 Applications Review'!E900</f>
        <v>Digital Tech</v>
      </c>
      <c r="D900" s="384" t="str">
        <f>'2022-2023 Applications Review'!Q900</f>
        <v>Invite Next Year</v>
      </c>
      <c r="E900" s="383"/>
      <c r="F900" s="383"/>
      <c r="G900" s="383"/>
      <c r="H900" s="383"/>
      <c r="I900" s="385" t="b">
        <v>1</v>
      </c>
      <c r="J900" s="386" t="s">
        <v>12819</v>
      </c>
    </row>
    <row r="901" spans="1:10">
      <c r="A901" s="383" t="str">
        <f>CONCATENATE("Reviewed on"," ",(TEXT('2022-2023 Applications Review'!$A901, "mm/dd/yyyy")))</f>
        <v>Reviewed on 08/23/2022</v>
      </c>
      <c r="B901" s="383" t="str">
        <f>'2022-2023 Applications Review'!B901</f>
        <v>SimSkills _2022</v>
      </c>
      <c r="C901" s="383" t="str">
        <f>'2022-2023 Applications Review'!E901</f>
        <v>Digital Tech</v>
      </c>
      <c r="D901" s="384" t="str">
        <f>'2022-2023 Applications Review'!Q901</f>
        <v>Invite Next Year</v>
      </c>
      <c r="E901" s="383"/>
      <c r="F901" s="383"/>
      <c r="G901" s="383"/>
      <c r="H901" s="383"/>
      <c r="I901" s="385" t="b">
        <v>1</v>
      </c>
      <c r="J901" s="386" t="s">
        <v>12820</v>
      </c>
    </row>
    <row r="902" spans="1:10">
      <c r="A902" s="383" t="str">
        <f>CONCATENATE("Reviewed on"," ",(TEXT('2022-2023 Applications Review'!$A902, "mm/dd/yyyy")))</f>
        <v>Reviewed on 08/23/2022</v>
      </c>
      <c r="B902" s="383" t="str">
        <f>'2022-2023 Applications Review'!B902</f>
        <v>Kolibri _2022</v>
      </c>
      <c r="C902" s="383" t="str">
        <f>'2022-2023 Applications Review'!E902</f>
        <v>Life Sciences</v>
      </c>
      <c r="D902" s="384" t="str">
        <f>'2022-2023 Applications Review'!Q902</f>
        <v>Invite Next Year</v>
      </c>
      <c r="E902" s="383"/>
      <c r="F902" s="383"/>
      <c r="G902" s="383"/>
      <c r="H902" s="383"/>
      <c r="I902" s="385" t="b">
        <v>1</v>
      </c>
      <c r="J902" s="386" t="s">
        <v>12821</v>
      </c>
    </row>
    <row r="903" spans="1:10">
      <c r="A903" s="383" t="str">
        <f>CONCATENATE("Reviewed on"," ",(TEXT('2022-2023 Applications Review'!$A903, "mm/dd/yyyy")))</f>
        <v>Reviewed on 08/23/2022</v>
      </c>
      <c r="B903" s="383" t="str">
        <f>'2022-2023 Applications Review'!B903</f>
        <v>Review Piper _2022</v>
      </c>
      <c r="C903" s="383" t="str">
        <f>'2022-2023 Applications Review'!E903</f>
        <v>Digital Tech</v>
      </c>
      <c r="D903" s="384" t="str">
        <f>'2022-2023 Applications Review'!Q903</f>
        <v>Invite Next Year</v>
      </c>
      <c r="E903" s="383"/>
      <c r="F903" s="383"/>
      <c r="G903" s="383"/>
      <c r="H903" s="383"/>
      <c r="I903" s="385" t="b">
        <v>1</v>
      </c>
      <c r="J903" s="386" t="s">
        <v>12822</v>
      </c>
    </row>
    <row r="904" spans="1:10">
      <c r="A904" s="383" t="str">
        <f>CONCATENATE("Reviewed on"," ",(TEXT('2022-2023 Applications Review'!$A904, "mm/dd/yyyy")))</f>
        <v>Reviewed on 08/23/2022</v>
      </c>
      <c r="B904" s="383" t="str">
        <f>'2022-2023 Applications Review'!B904</f>
        <v>ZipData, INC _2022</v>
      </c>
      <c r="C904" s="383" t="str">
        <f>'2022-2023 Applications Review'!E904</f>
        <v>Digital Tech</v>
      </c>
      <c r="D904" s="384" t="str">
        <f>'2022-2023 Applications Review'!Q904</f>
        <v>Invite Next Year</v>
      </c>
      <c r="E904" s="383"/>
      <c r="F904" s="383"/>
      <c r="G904" s="383"/>
      <c r="H904" s="383"/>
      <c r="I904" s="385" t="b">
        <v>1</v>
      </c>
      <c r="J904" s="386" t="s">
        <v>12823</v>
      </c>
    </row>
    <row r="905" spans="1:10">
      <c r="A905" s="383" t="str">
        <f>CONCATENATE("Reviewed on"," ",(TEXT('2022-2023 Applications Review'!$A905, "mm/dd/yyyy")))</f>
        <v>Reviewed on 08/23/2022</v>
      </c>
      <c r="B905" s="383" t="str">
        <f>'2022-2023 Applications Review'!B905</f>
        <v>evAI Intelligence GmbH _2022</v>
      </c>
      <c r="C905" s="383" t="str">
        <f>'2022-2023 Applications Review'!E905</f>
        <v>Deep Tech</v>
      </c>
      <c r="D905" s="384" t="str">
        <f>'2022-2023 Applications Review'!Q905</f>
        <v>Invite Next Year</v>
      </c>
      <c r="E905" s="383"/>
      <c r="F905" s="383"/>
      <c r="G905" s="383"/>
      <c r="H905" s="383"/>
      <c r="I905" s="385" t="b">
        <v>1</v>
      </c>
      <c r="J905" s="386" t="s">
        <v>12824</v>
      </c>
    </row>
    <row r="906" spans="1:10">
      <c r="A906" s="383" t="str">
        <f>CONCATENATE("Reviewed on"," ",(TEXT('2022-2023 Applications Review'!$A906, "mm/dd/yyyy")))</f>
        <v>Reviewed on 08/23/2022</v>
      </c>
      <c r="B906" s="383" t="str">
        <f>'2022-2023 Applications Review'!B906</f>
        <v>DataVal Ventures _2022</v>
      </c>
      <c r="C906" s="383" t="str">
        <f>'2022-2023 Applications Review'!E906</f>
        <v>Digital Tech</v>
      </c>
      <c r="D906" s="384" t="str">
        <f>'2022-2023 Applications Review'!Q906</f>
        <v>Invite Next Year</v>
      </c>
      <c r="E906" s="383"/>
      <c r="F906" s="383"/>
      <c r="G906" s="383"/>
      <c r="H906" s="383"/>
      <c r="I906" s="385" t="b">
        <v>1</v>
      </c>
      <c r="J906" s="386" t="s">
        <v>12825</v>
      </c>
    </row>
    <row r="907" spans="1:10">
      <c r="A907" s="383" t="str">
        <f>CONCATENATE("Reviewed on"," ",(TEXT('2022-2023 Applications Review'!$A907, "mm/dd/yyyy")))</f>
        <v>Reviewed on 08/23/2022</v>
      </c>
      <c r="B907" s="383" t="str">
        <f>'2022-2023 Applications Review'!B907</f>
        <v>Ecotone Renewables _2022</v>
      </c>
      <c r="C907" s="383" t="str">
        <f>'2022-2023 Applications Review'!E907</f>
        <v>Deep Tech</v>
      </c>
      <c r="D907" s="384" t="str">
        <f>'2022-2023 Applications Review'!Q907</f>
        <v>Invite Next Year</v>
      </c>
      <c r="E907" s="383"/>
      <c r="F907" s="383"/>
      <c r="G907" s="383"/>
      <c r="H907" s="383"/>
      <c r="I907" s="385" t="b">
        <v>1</v>
      </c>
      <c r="J907" s="386" t="s">
        <v>12826</v>
      </c>
    </row>
    <row r="908" spans="1:10">
      <c r="A908" s="383" t="str">
        <f>CONCATENATE("Reviewed on"," ",(TEXT('2022-2023 Applications Review'!$A908, "mm/dd/yyyy")))</f>
        <v>Reviewed on 08/23/2022</v>
      </c>
      <c r="B908" s="383" t="str">
        <f>'2022-2023 Applications Review'!B908</f>
        <v>3D-OPS _2022</v>
      </c>
      <c r="C908" s="383" t="str">
        <f>'2022-2023 Applications Review'!E908</f>
        <v>Life Sciences</v>
      </c>
      <c r="D908" s="384" t="str">
        <f>'2022-2023 Applications Review'!Q908</f>
        <v>Invite Next Year</v>
      </c>
      <c r="E908" s="383"/>
      <c r="F908" s="383"/>
      <c r="G908" s="383"/>
      <c r="H908" s="383"/>
      <c r="I908" s="385" t="b">
        <v>1</v>
      </c>
      <c r="J908" s="386" t="s">
        <v>12827</v>
      </c>
    </row>
    <row r="909" spans="1:10">
      <c r="A909" s="383" t="str">
        <f>CONCATENATE("Reviewed on"," ",(TEXT('2022-2023 Applications Review'!$A909, "mm/dd/yyyy")))</f>
        <v>Reviewed on 08/23/2022</v>
      </c>
      <c r="B909" s="383" t="str">
        <f>'2022-2023 Applications Review'!B909</f>
        <v>Alyve Medical _2022</v>
      </c>
      <c r="C909" s="383" t="str">
        <f>'2022-2023 Applications Review'!E909</f>
        <v>Life Sciences</v>
      </c>
      <c r="D909" s="384" t="str">
        <f>'2022-2023 Applications Review'!Q909</f>
        <v>Invite Next Year</v>
      </c>
      <c r="E909" s="383"/>
      <c r="F909" s="383"/>
      <c r="G909" s="383"/>
      <c r="H909" s="383"/>
      <c r="I909" s="385" t="b">
        <v>1</v>
      </c>
      <c r="J909" s="386" t="s">
        <v>12828</v>
      </c>
    </row>
    <row r="910" spans="1:10">
      <c r="A910" s="383" t="str">
        <f>CONCATENATE("Reviewed on"," ",(TEXT('2022-2023 Applications Review'!$A910, "mm/dd/yyyy")))</f>
        <v>Reviewed on 08/23/2022</v>
      </c>
      <c r="B910" s="383" t="str">
        <f>'2022-2023 Applications Review'!B910</f>
        <v>InsureTax _2022</v>
      </c>
      <c r="C910" s="383" t="str">
        <f>'2022-2023 Applications Review'!E910</f>
        <v>Digital Tech</v>
      </c>
      <c r="D910" s="384" t="str">
        <f>'2022-2023 Applications Review'!Q910</f>
        <v>Invite Next Year</v>
      </c>
      <c r="E910" s="383"/>
      <c r="F910" s="383"/>
      <c r="G910" s="383"/>
      <c r="H910" s="383"/>
      <c r="I910" s="385" t="b">
        <v>1</v>
      </c>
      <c r="J910" s="386" t="s">
        <v>12829</v>
      </c>
    </row>
    <row r="911" spans="1:10">
      <c r="A911" s="383" t="str">
        <f>CONCATENATE("Reviewed on"," ",(TEXT('2022-2023 Applications Review'!$A911, "mm/dd/yyyy")))</f>
        <v>Reviewed on 08/23/2022</v>
      </c>
      <c r="B911" s="383" t="str">
        <f>'2022-2023 Applications Review'!B911</f>
        <v>Mirrori _2022</v>
      </c>
      <c r="C911" s="383" t="str">
        <f>'2022-2023 Applications Review'!E911</f>
        <v>Digital Tech</v>
      </c>
      <c r="D911" s="384" t="str">
        <f>'2022-2023 Applications Review'!Q911</f>
        <v>Invite Next Year</v>
      </c>
      <c r="E911" s="383"/>
      <c r="F911" s="383"/>
      <c r="G911" s="383"/>
      <c r="H911" s="383"/>
      <c r="I911" s="385" t="b">
        <v>1</v>
      </c>
      <c r="J911" s="386" t="s">
        <v>12830</v>
      </c>
    </row>
    <row r="912" spans="1:10">
      <c r="A912" s="383" t="str">
        <f>CONCATENATE("Reviewed on"," ",(TEXT('2022-2023 Applications Review'!$A912, "mm/dd/yyyy")))</f>
        <v>Reviewed on 08/23/2022</v>
      </c>
      <c r="B912" s="383" t="str">
        <f>'2022-2023 Applications Review'!B912</f>
        <v>Qpick _2022</v>
      </c>
      <c r="C912" s="383" t="str">
        <f>'2022-2023 Applications Review'!E912</f>
        <v>Digital Tech</v>
      </c>
      <c r="D912" s="384" t="str">
        <f>'2022-2023 Applications Review'!Q912</f>
        <v>Invite Next Year</v>
      </c>
      <c r="E912" s="383"/>
      <c r="F912" s="383"/>
      <c r="G912" s="383"/>
      <c r="H912" s="383"/>
      <c r="I912" s="385" t="b">
        <v>1</v>
      </c>
      <c r="J912" s="386" t="s">
        <v>12831</v>
      </c>
    </row>
    <row r="913" spans="1:10">
      <c r="A913" s="383" t="str">
        <f>CONCATENATE("Reviewed on"," ",(TEXT('2022-2023 Applications Review'!$A913, "mm/dd/yyyy")))</f>
        <v>Reviewed on 08/23/2022</v>
      </c>
      <c r="B913" s="383" t="str">
        <f>'2022-2023 Applications Review'!B913</f>
        <v>Kaboodle, Inc. dba BooCooPets _2022</v>
      </c>
      <c r="C913" s="383" t="str">
        <f>'2022-2023 Applications Review'!E913</f>
        <v>Digital Tech</v>
      </c>
      <c r="D913" s="384" t="str">
        <f>'2022-2023 Applications Review'!Q913</f>
        <v>Invite Next Year</v>
      </c>
      <c r="E913" s="383"/>
      <c r="F913" s="383"/>
      <c r="G913" s="383"/>
      <c r="H913" s="383"/>
      <c r="I913" s="385" t="b">
        <v>1</v>
      </c>
      <c r="J913" s="386" t="s">
        <v>12832</v>
      </c>
    </row>
    <row r="914" spans="1:10">
      <c r="A914" s="383" t="str">
        <f>CONCATENATE("Reviewed on"," ",(TEXT('2022-2023 Applications Review'!$A914, "mm/dd/yyyy")))</f>
        <v>Reviewed on 08/23/2022</v>
      </c>
      <c r="B914" s="383" t="str">
        <f>'2022-2023 Applications Review'!B914</f>
        <v>Hero Trainer Inc. _2022</v>
      </c>
      <c r="C914" s="383" t="str">
        <f>'2022-2023 Applications Review'!E914</f>
        <v>Digital Tech</v>
      </c>
      <c r="D914" s="384" t="str">
        <f>'2022-2023 Applications Review'!Q914</f>
        <v>Invite Next Year</v>
      </c>
      <c r="E914" s="383"/>
      <c r="F914" s="383"/>
      <c r="G914" s="383"/>
      <c r="H914" s="383"/>
      <c r="I914" s="385" t="b">
        <v>1</v>
      </c>
      <c r="J914" s="386" t="s">
        <v>12833</v>
      </c>
    </row>
    <row r="915" spans="1:10">
      <c r="A915" s="383" t="str">
        <f>CONCATENATE("Reviewed on"," ",(TEXT('2022-2023 Applications Review'!$A915, "mm/dd/yyyy")))</f>
        <v>Reviewed on 08/23/2022</v>
      </c>
      <c r="B915" s="383" t="str">
        <f>'2022-2023 Applications Review'!B915</f>
        <v>Seek Health AI _2022</v>
      </c>
      <c r="C915" s="383" t="str">
        <f>'2022-2023 Applications Review'!E915</f>
        <v>Digital Tech</v>
      </c>
      <c r="D915" s="384" t="str">
        <f>'2022-2023 Applications Review'!Q915</f>
        <v>Invite Next Year</v>
      </c>
      <c r="E915" s="383"/>
      <c r="F915" s="383"/>
      <c r="G915" s="383"/>
      <c r="H915" s="383"/>
      <c r="I915" s="385" t="b">
        <v>1</v>
      </c>
      <c r="J915" s="386" t="s">
        <v>12834</v>
      </c>
    </row>
    <row r="916" spans="1:10">
      <c r="A916" s="383" t="str">
        <f>CONCATENATE("Reviewed on"," ",(TEXT('2022-2023 Applications Review'!$A916, "mm/dd/yyyy")))</f>
        <v>Reviewed on 08/23/2022</v>
      </c>
      <c r="B916" s="383" t="str">
        <f>'2022-2023 Applications Review'!B916</f>
        <v>VitalForm _2022</v>
      </c>
      <c r="C916" s="383" t="str">
        <f>'2022-2023 Applications Review'!E916</f>
        <v>Digital Tech</v>
      </c>
      <c r="D916" s="384" t="str">
        <f>'2022-2023 Applications Review'!Q916</f>
        <v>Invite Next Year</v>
      </c>
      <c r="E916" s="383"/>
      <c r="F916" s="383"/>
      <c r="G916" s="383"/>
      <c r="H916" s="383"/>
      <c r="I916" s="385" t="b">
        <v>1</v>
      </c>
      <c r="J916" s="386" t="s">
        <v>12835</v>
      </c>
    </row>
    <row r="917" spans="1:10">
      <c r="A917" s="383" t="str">
        <f>CONCATENATE("Reviewed on"," ",(TEXT('2022-2023 Applications Review'!$A917, "mm/dd/yyyy")))</f>
        <v>Reviewed on 08/23/2022</v>
      </c>
      <c r="B917" s="383" t="str">
        <f>'2022-2023 Applications Review'!B917</f>
        <v>IT'SRAPID _2022</v>
      </c>
      <c r="C917" s="383" t="str">
        <f>'2022-2023 Applications Review'!E917</f>
        <v>Digital Tech</v>
      </c>
      <c r="D917" s="384" t="str">
        <f>'2022-2023 Applications Review'!Q917</f>
        <v>Invite Next Year</v>
      </c>
      <c r="E917" s="383"/>
      <c r="F917" s="383"/>
      <c r="G917" s="383"/>
      <c r="H917" s="383"/>
      <c r="I917" s="385" t="b">
        <v>1</v>
      </c>
      <c r="J917" s="386" t="s">
        <v>12836</v>
      </c>
    </row>
    <row r="918" spans="1:10">
      <c r="A918" s="383" t="str">
        <f>CONCATENATE("Reviewed on"," ",(TEXT('2022-2023 Applications Review'!$A918, "mm/dd/yyyy")))</f>
        <v>Reviewed on 08/23/2022</v>
      </c>
      <c r="B918" s="383" t="str">
        <f>'2022-2023 Applications Review'!B918</f>
        <v>Peptris Technologies Private Limited _2022</v>
      </c>
      <c r="C918" s="383" t="str">
        <f>'2022-2023 Applications Review'!E918</f>
        <v>Life Sciences</v>
      </c>
      <c r="D918" s="384" t="str">
        <f>'2022-2023 Applications Review'!Q918</f>
        <v>Invite Next Year</v>
      </c>
      <c r="E918" s="383"/>
      <c r="F918" s="383"/>
      <c r="G918" s="383"/>
      <c r="H918" s="383"/>
      <c r="I918" s="385" t="b">
        <v>1</v>
      </c>
      <c r="J918" s="386" t="s">
        <v>12837</v>
      </c>
    </row>
    <row r="919" spans="1:10">
      <c r="A919" s="383" t="str">
        <f>CONCATENATE("Reviewed on"," ",(TEXT('2022-2023 Applications Review'!$A919, "mm/dd/yyyy")))</f>
        <v>Reviewed on 08/23/2022</v>
      </c>
      <c r="B919" s="383" t="str">
        <f>'2022-2023 Applications Review'!B919</f>
        <v>Creditchek _2022</v>
      </c>
      <c r="C919" s="383" t="str">
        <f>'2022-2023 Applications Review'!E919</f>
        <v>Digital Tech</v>
      </c>
      <c r="D919" s="384" t="str">
        <f>'2022-2023 Applications Review'!Q919</f>
        <v>Invite Next Year</v>
      </c>
      <c r="E919" s="383"/>
      <c r="F919" s="383"/>
      <c r="G919" s="383"/>
      <c r="H919" s="383"/>
      <c r="I919" s="385" t="b">
        <v>1</v>
      </c>
      <c r="J919" s="386" t="s">
        <v>12838</v>
      </c>
    </row>
    <row r="920" spans="1:10">
      <c r="A920" s="383" t="str">
        <f>CONCATENATE("Reviewed on"," ",(TEXT('2022-2023 Applications Review'!$A920, "mm/dd/yyyy")))</f>
        <v>Reviewed on 08/23/2022</v>
      </c>
      <c r="B920" s="383" t="str">
        <f>'2022-2023 Applications Review'!B920</f>
        <v>Vendor Infra Global Private limited _2022</v>
      </c>
      <c r="C920" s="383" t="str">
        <f>'2022-2023 Applications Review'!E920</f>
        <v>Digital Tech</v>
      </c>
      <c r="D920" s="384" t="str">
        <f>'2022-2023 Applications Review'!Q920</f>
        <v>Invite Next Year</v>
      </c>
      <c r="E920" s="383"/>
      <c r="F920" s="383"/>
      <c r="G920" s="383"/>
      <c r="H920" s="383"/>
      <c r="I920" s="385" t="b">
        <v>1</v>
      </c>
      <c r="J920" s="386" t="s">
        <v>12839</v>
      </c>
    </row>
    <row r="921" spans="1:10">
      <c r="A921" s="383" t="str">
        <f>CONCATENATE("Reviewed on"," ",(TEXT('2022-2023 Applications Review'!$A921, "mm/dd/yyyy")))</f>
        <v>Reviewed on 08/23/2022</v>
      </c>
      <c r="B921" s="383" t="str">
        <f>'2022-2023 Applications Review'!B921</f>
        <v>StartupFuel Inc. _2022</v>
      </c>
      <c r="C921" s="383" t="str">
        <f>'2022-2023 Applications Review'!E921</f>
        <v>Digital Tech</v>
      </c>
      <c r="D921" s="384" t="str">
        <f>'2022-2023 Applications Review'!Q921</f>
        <v>Invite Next Year</v>
      </c>
      <c r="E921" s="383"/>
      <c r="F921" s="383"/>
      <c r="G921" s="383"/>
      <c r="H921" s="383"/>
      <c r="I921" s="385" t="b">
        <v>1</v>
      </c>
      <c r="J921" s="386" t="s">
        <v>12840</v>
      </c>
    </row>
    <row r="922" spans="1:10">
      <c r="A922" s="383" t="str">
        <f>CONCATENATE("Reviewed on"," ",(TEXT('2022-2023 Applications Review'!$A922, "mm/dd/yyyy")))</f>
        <v>Reviewed on 08/23/2022</v>
      </c>
      <c r="B922" s="383" t="str">
        <f>'2022-2023 Applications Review'!B922</f>
        <v>Poppy Seed Health _2022</v>
      </c>
      <c r="C922" s="383" t="str">
        <f>'2022-2023 Applications Review'!E922</f>
        <v>Digital Tech</v>
      </c>
      <c r="D922" s="384" t="str">
        <f>'2022-2023 Applications Review'!Q922</f>
        <v>Invite Next Year</v>
      </c>
      <c r="E922" s="383"/>
      <c r="F922" s="383"/>
      <c r="G922" s="383"/>
      <c r="H922" s="383"/>
      <c r="I922" s="385" t="b">
        <v>1</v>
      </c>
      <c r="J922" s="386" t="s">
        <v>12841</v>
      </c>
    </row>
    <row r="923" spans="1:10">
      <c r="A923" s="383" t="str">
        <f>CONCATENATE("Reviewed on"," ",(TEXT('2022-2023 Applications Review'!$A923, "mm/dd/yyyy")))</f>
        <v>Reviewed on 08/23/2022</v>
      </c>
      <c r="B923" s="383" t="str">
        <f>'2022-2023 Applications Review'!B923</f>
        <v>Clastr _2022</v>
      </c>
      <c r="C923" s="383" t="str">
        <f>'2022-2023 Applications Review'!E923</f>
        <v>Digital Tech</v>
      </c>
      <c r="D923" s="384" t="str">
        <f>'2022-2023 Applications Review'!Q923</f>
        <v>Invite Next Year</v>
      </c>
      <c r="E923" s="383"/>
      <c r="F923" s="383"/>
      <c r="G923" s="383"/>
      <c r="H923" s="383"/>
      <c r="I923" s="385" t="b">
        <v>1</v>
      </c>
      <c r="J923" s="386" t="s">
        <v>12842</v>
      </c>
    </row>
    <row r="924" spans="1:10">
      <c r="A924" s="383" t="str">
        <f>CONCATENATE("Reviewed on"," ",(TEXT('2022-2023 Applications Review'!$A924, "mm/dd/yyyy")))</f>
        <v>Reviewed on 08/23/2022</v>
      </c>
      <c r="B924" s="383" t="str">
        <f>'2022-2023 Applications Review'!B924</f>
        <v>Slap, Inc. _2022</v>
      </c>
      <c r="C924" s="383" t="str">
        <f>'2022-2023 Applications Review'!E924</f>
        <v>Digital Tech</v>
      </c>
      <c r="D924" s="384" t="str">
        <f>'2022-2023 Applications Review'!Q924</f>
        <v>Invite Next Year</v>
      </c>
      <c r="E924" s="383"/>
      <c r="F924" s="383"/>
      <c r="G924" s="383"/>
      <c r="H924" s="383"/>
      <c r="I924" s="385" t="b">
        <v>1</v>
      </c>
      <c r="J924" s="386" t="s">
        <v>12843</v>
      </c>
    </row>
    <row r="925" spans="1:10">
      <c r="A925" s="383" t="str">
        <f>CONCATENATE("Reviewed on"," ",(TEXT('2022-2023 Applications Review'!$A925, "mm/dd/yyyy")))</f>
        <v>Reviewed on 08/23/2022</v>
      </c>
      <c r="B925" s="383" t="str">
        <f>'2022-2023 Applications Review'!B925</f>
        <v>BlueFairy, Inc. _2022</v>
      </c>
      <c r="C925" s="383" t="str">
        <f>'2022-2023 Applications Review'!E925</f>
        <v>Digital Tech</v>
      </c>
      <c r="D925" s="384" t="str">
        <f>'2022-2023 Applications Review'!Q925</f>
        <v>Invite Next Year</v>
      </c>
      <c r="E925" s="383"/>
      <c r="F925" s="383"/>
      <c r="G925" s="383"/>
      <c r="H925" s="383"/>
      <c r="I925" s="385" t="b">
        <v>1</v>
      </c>
      <c r="J925" s="386" t="s">
        <v>12844</v>
      </c>
    </row>
    <row r="926" spans="1:10">
      <c r="A926" s="383" t="str">
        <f>CONCATENATE("Reviewed on"," ",(TEXT('2022-2023 Applications Review'!$A926, "mm/dd/yyyy")))</f>
        <v>Reviewed on 08/23/2022</v>
      </c>
      <c r="B926" s="383" t="str">
        <f>'2022-2023 Applications Review'!B926</f>
        <v>Norebase Limited _2022</v>
      </c>
      <c r="C926" s="383" t="str">
        <f>'2022-2023 Applications Review'!E926</f>
        <v>Digital Tech</v>
      </c>
      <c r="D926" s="384" t="str">
        <f>'2022-2023 Applications Review'!Q926</f>
        <v>Invite Next Year</v>
      </c>
      <c r="E926" s="383"/>
      <c r="F926" s="383"/>
      <c r="G926" s="383"/>
      <c r="H926" s="383"/>
      <c r="I926" s="385" t="b">
        <v>1</v>
      </c>
      <c r="J926" s="386" t="s">
        <v>12845</v>
      </c>
    </row>
    <row r="927" spans="1:10">
      <c r="A927" s="383" t="str">
        <f>CONCATENATE("Reviewed on"," ",(TEXT('2022-2023 Applications Review'!$A927, "mm/dd/yyyy")))</f>
        <v>Reviewed on 08/23/2022</v>
      </c>
      <c r="B927" s="383" t="str">
        <f>'2022-2023 Applications Review'!B927</f>
        <v>Arceum Inc. _2022</v>
      </c>
      <c r="C927" s="383" t="str">
        <f>'2022-2023 Applications Review'!E927</f>
        <v>Digital Tech</v>
      </c>
      <c r="D927" s="384" t="str">
        <f>'2022-2023 Applications Review'!Q927</f>
        <v>Invite Next Year</v>
      </c>
      <c r="E927" s="383"/>
      <c r="F927" s="383"/>
      <c r="G927" s="383"/>
      <c r="H927" s="383"/>
      <c r="I927" s="385" t="b">
        <v>1</v>
      </c>
      <c r="J927" s="386" t="s">
        <v>12846</v>
      </c>
    </row>
    <row r="928" spans="1:10">
      <c r="A928" s="383" t="str">
        <f>CONCATENATE("Reviewed on"," ",(TEXT('2022-2023 Applications Review'!$A928, "mm/dd/yyyy")))</f>
        <v>Reviewed on 08/23/2022</v>
      </c>
      <c r="B928" s="383" t="str">
        <f>'2022-2023 Applications Review'!B928</f>
        <v>MegaMinds _2022</v>
      </c>
      <c r="C928" s="383" t="str">
        <f>'2022-2023 Applications Review'!E928</f>
        <v>Digital Tech</v>
      </c>
      <c r="D928" s="384" t="str">
        <f>'2022-2023 Applications Review'!Q928</f>
        <v>Invite Next Year</v>
      </c>
      <c r="E928" s="383"/>
      <c r="F928" s="383"/>
      <c r="G928" s="383"/>
      <c r="H928" s="383"/>
      <c r="I928" s="385" t="b">
        <v>1</v>
      </c>
      <c r="J928" s="386" t="s">
        <v>12847</v>
      </c>
    </row>
    <row r="929" spans="1:10">
      <c r="A929" s="383" t="str">
        <f>CONCATENATE("Reviewed on"," ",(TEXT('2022-2023 Applications Review'!$A929, "mm/dd/yyyy")))</f>
        <v>Reviewed on 08/23/2022</v>
      </c>
      <c r="B929" s="383" t="str">
        <f>'2022-2023 Applications Review'!B929</f>
        <v>VoteOurVoice, Inc.  _2022</v>
      </c>
      <c r="C929" s="383" t="str">
        <f>'2022-2023 Applications Review'!E929</f>
        <v>Deep Tech</v>
      </c>
      <c r="D929" s="384" t="str">
        <f>'2022-2023 Applications Review'!Q929</f>
        <v>Invite Next Year</v>
      </c>
      <c r="E929" s="383"/>
      <c r="F929" s="383"/>
      <c r="G929" s="383"/>
      <c r="H929" s="383"/>
      <c r="I929" s="385" t="b">
        <v>1</v>
      </c>
      <c r="J929" s="386" t="s">
        <v>12848</v>
      </c>
    </row>
    <row r="930" spans="1:10">
      <c r="A930" s="383" t="str">
        <f>CONCATENATE("Reviewed on"," ",(TEXT('2022-2023 Applications Review'!$A930, "mm/dd/yyyy")))</f>
        <v>Reviewed on 08/23/2022</v>
      </c>
      <c r="B930" s="383" t="str">
        <f>'2022-2023 Applications Review'!B930</f>
        <v>AnyFans Inc _2022</v>
      </c>
      <c r="C930" s="383" t="str">
        <f>'2022-2023 Applications Review'!E930</f>
        <v>Digital Tech</v>
      </c>
      <c r="D930" s="384" t="str">
        <f>'2022-2023 Applications Review'!Q930</f>
        <v>Invite Next Year</v>
      </c>
      <c r="E930" s="383"/>
      <c r="F930" s="383"/>
      <c r="G930" s="383"/>
      <c r="H930" s="383"/>
      <c r="I930" s="385" t="b">
        <v>1</v>
      </c>
      <c r="J930" s="386" t="s">
        <v>12849</v>
      </c>
    </row>
    <row r="931" spans="1:10">
      <c r="A931" s="383" t="str">
        <f>CONCATENATE("Reviewed on"," ",(TEXT('2022-2023 Applications Review'!$A931, "mm/dd/yyyy")))</f>
        <v>Reviewed on 08/23/2022</v>
      </c>
      <c r="B931" s="383" t="str">
        <f>'2022-2023 Applications Review'!B931</f>
        <v>Roleshare _2022</v>
      </c>
      <c r="C931" s="383" t="str">
        <f>'2022-2023 Applications Review'!E931</f>
        <v>Digital Tech</v>
      </c>
      <c r="D931" s="384" t="str">
        <f>'2022-2023 Applications Review'!Q931</f>
        <v>Invite Next Year</v>
      </c>
      <c r="E931" s="383"/>
      <c r="F931" s="383"/>
      <c r="G931" s="383"/>
      <c r="H931" s="383"/>
      <c r="I931" s="385" t="b">
        <v>1</v>
      </c>
      <c r="J931" s="386" t="s">
        <v>12850</v>
      </c>
    </row>
    <row r="932" spans="1:10">
      <c r="A932" s="383" t="str">
        <f>CONCATENATE("Reviewed on"," ",(TEXT('2022-2023 Applications Review'!$A932, "mm/dd/yyyy")))</f>
        <v>Reviewed on 08/23/2022</v>
      </c>
      <c r="B932" s="383" t="str">
        <f>'2022-2023 Applications Review'!B932</f>
        <v>Matdun _2022</v>
      </c>
      <c r="C932" s="383" t="str">
        <f>'2022-2023 Applications Review'!E932</f>
        <v>Digital Tech</v>
      </c>
      <c r="D932" s="384" t="str">
        <f>'2022-2023 Applications Review'!Q932</f>
        <v>Invite Next Year</v>
      </c>
      <c r="E932" s="383"/>
      <c r="F932" s="383"/>
      <c r="G932" s="383"/>
      <c r="H932" s="383"/>
      <c r="I932" s="385" t="b">
        <v>1</v>
      </c>
      <c r="J932" s="386" t="s">
        <v>12851</v>
      </c>
    </row>
    <row r="933" spans="1:10">
      <c r="A933" s="383" t="str">
        <f>CONCATENATE("Reviewed on"," ",(TEXT('2022-2023 Applications Review'!$A933, "mm/dd/yyyy")))</f>
        <v>Reviewed on 08/23/2022</v>
      </c>
      <c r="B933" s="383" t="str">
        <f>'2022-2023 Applications Review'!B933</f>
        <v>Techfunic _2022</v>
      </c>
      <c r="C933" s="383" t="str">
        <f>'2022-2023 Applications Review'!E933</f>
        <v>Digital Tech</v>
      </c>
      <c r="D933" s="384" t="str">
        <f>'2022-2023 Applications Review'!Q933</f>
        <v>Invite Next Year</v>
      </c>
      <c r="E933" s="383"/>
      <c r="F933" s="383"/>
      <c r="G933" s="383"/>
      <c r="H933" s="383"/>
      <c r="I933" s="385" t="b">
        <v>1</v>
      </c>
      <c r="J933" s="386" t="s">
        <v>12852</v>
      </c>
    </row>
    <row r="934" spans="1:10">
      <c r="A934" s="383" t="str">
        <f>CONCATENATE("Reviewed on"," ",(TEXT('2022-2023 Applications Review'!$A934, "mm/dd/yyyy")))</f>
        <v>Reviewed on 08/23/2022</v>
      </c>
      <c r="B934" s="383" t="str">
        <f>'2022-2023 Applications Review'!B934</f>
        <v>Dentia, Inc _2022</v>
      </c>
      <c r="C934" s="383" t="str">
        <f>'2022-2023 Applications Review'!E934</f>
        <v>Life Sciences</v>
      </c>
      <c r="D934" s="384" t="str">
        <f>'2022-2023 Applications Review'!Q934</f>
        <v>Invite Next Year</v>
      </c>
      <c r="E934" s="383"/>
      <c r="F934" s="383"/>
      <c r="G934" s="383"/>
      <c r="H934" s="383"/>
      <c r="I934" s="385" t="b">
        <v>1</v>
      </c>
      <c r="J934" s="386" t="s">
        <v>12853</v>
      </c>
    </row>
    <row r="935" spans="1:10">
      <c r="A935" s="383" t="str">
        <f>CONCATENATE("Reviewed on"," ",(TEXT('2022-2023 Applications Review'!$A935, "mm/dd/yyyy")))</f>
        <v>Reviewed on 08/23/2022</v>
      </c>
      <c r="B935" s="383" t="str">
        <f>'2022-2023 Applications Review'!B935</f>
        <v>CodeGem _2022</v>
      </c>
      <c r="C935" s="383" t="str">
        <f>'2022-2023 Applications Review'!E935</f>
        <v>Digital Tech</v>
      </c>
      <c r="D935" s="384" t="str">
        <f>'2022-2023 Applications Review'!Q935</f>
        <v>Invite Next Year</v>
      </c>
      <c r="E935" s="383"/>
      <c r="F935" s="383"/>
      <c r="G935" s="383"/>
      <c r="H935" s="383"/>
      <c r="I935" s="385" t="b">
        <v>1</v>
      </c>
      <c r="J935" s="386" t="s">
        <v>12854</v>
      </c>
    </row>
    <row r="936" spans="1:10">
      <c r="A936" s="383" t="str">
        <f>CONCATENATE("Reviewed on"," ",(TEXT('2022-2023 Applications Review'!$A936, "mm/dd/yyyy")))</f>
        <v>Reviewed on 08/23/2022</v>
      </c>
      <c r="B936" s="383" t="str">
        <f>'2022-2023 Applications Review'!B936</f>
        <v>StreamBee _2022</v>
      </c>
      <c r="C936" s="383" t="str">
        <f>'2022-2023 Applications Review'!E936</f>
        <v>Digital Tech</v>
      </c>
      <c r="D936" s="384" t="str">
        <f>'2022-2023 Applications Review'!Q936</f>
        <v>Invite Next Year</v>
      </c>
      <c r="E936" s="383"/>
      <c r="F936" s="383"/>
      <c r="G936" s="383"/>
      <c r="H936" s="383"/>
      <c r="I936" s="385" t="b">
        <v>1</v>
      </c>
      <c r="J936" s="386" t="s">
        <v>12855</v>
      </c>
    </row>
    <row r="937" spans="1:10">
      <c r="A937" s="383" t="str">
        <f>CONCATENATE("Reviewed on"," ",(TEXT('2022-2023 Applications Review'!$A937, "mm/dd/yyyy")))</f>
        <v>Reviewed on 08/23/2022</v>
      </c>
      <c r="B937" s="383" t="str">
        <f>'2022-2023 Applications Review'!B937</f>
        <v>Surplusmap AS _2022</v>
      </c>
      <c r="C937" s="383" t="str">
        <f>'2022-2023 Applications Review'!E937</f>
        <v>Deep Tech</v>
      </c>
      <c r="D937" s="384" t="str">
        <f>'2022-2023 Applications Review'!Q937</f>
        <v>Invite Next Year</v>
      </c>
      <c r="E937" s="383"/>
      <c r="F937" s="383"/>
      <c r="G937" s="383"/>
      <c r="H937" s="383"/>
      <c r="I937" s="385" t="b">
        <v>1</v>
      </c>
      <c r="J937" s="386" t="s">
        <v>12856</v>
      </c>
    </row>
    <row r="938" spans="1:10">
      <c r="A938" s="383" t="str">
        <f>CONCATENATE("Reviewed on"," ",(TEXT('2022-2023 Applications Review'!$A938, "mm/dd/yyyy")))</f>
        <v>Reviewed on 08/23/2022</v>
      </c>
      <c r="B938" s="383" t="str">
        <f>'2022-2023 Applications Review'!B938</f>
        <v>Hadada Global Limited _2022</v>
      </c>
      <c r="C938" s="383" t="str">
        <f>'2022-2023 Applications Review'!E938</f>
        <v>Digital Tech</v>
      </c>
      <c r="D938" s="384" t="str">
        <f>'2022-2023 Applications Review'!Q938</f>
        <v>Invite Next Year</v>
      </c>
      <c r="E938" s="383"/>
      <c r="F938" s="383"/>
      <c r="G938" s="383"/>
      <c r="H938" s="383"/>
      <c r="I938" s="385" t="b">
        <v>1</v>
      </c>
      <c r="J938" s="386" t="s">
        <v>12857</v>
      </c>
    </row>
    <row r="939" spans="1:10">
      <c r="A939" s="383" t="str">
        <f>CONCATENATE("Reviewed on"," ",(TEXT('2022-2023 Applications Review'!$A939, "mm/dd/yyyy")))</f>
        <v>Reviewed on 08/23/2022</v>
      </c>
      <c r="B939" s="383" t="str">
        <f>'2022-2023 Applications Review'!B939</f>
        <v>Rubato _2022</v>
      </c>
      <c r="C939" s="383" t="str">
        <f>'2022-2023 Applications Review'!E939</f>
        <v>Digital Tech</v>
      </c>
      <c r="D939" s="384" t="str">
        <f>'2022-2023 Applications Review'!Q939</f>
        <v>Invite Next Year</v>
      </c>
      <c r="E939" s="383"/>
      <c r="F939" s="383"/>
      <c r="G939" s="383"/>
      <c r="H939" s="383"/>
      <c r="I939" s="385" t="b">
        <v>1</v>
      </c>
      <c r="J939" s="386" t="s">
        <v>12858</v>
      </c>
    </row>
    <row r="940" spans="1:10">
      <c r="A940" s="383" t="str">
        <f>CONCATENATE("Reviewed on"," ",(TEXT('2022-2023 Applications Review'!$A940, "mm/dd/yyyy")))</f>
        <v>Reviewed on 08/23/2022</v>
      </c>
      <c r="B940" s="383" t="str">
        <f>'2022-2023 Applications Review'!B940</f>
        <v>iPondr SBC _2022</v>
      </c>
      <c r="C940" s="383" t="str">
        <f>'2022-2023 Applications Review'!E940</f>
        <v>Digital Tech</v>
      </c>
      <c r="D940" s="384" t="str">
        <f>'2022-2023 Applications Review'!Q940</f>
        <v>Invite Next Year</v>
      </c>
      <c r="E940" s="383"/>
      <c r="F940" s="383"/>
      <c r="G940" s="383"/>
      <c r="H940" s="383"/>
      <c r="I940" s="385" t="b">
        <v>1</v>
      </c>
      <c r="J940" s="386" t="s">
        <v>12859</v>
      </c>
    </row>
    <row r="941" spans="1:10">
      <c r="A941" s="383" t="str">
        <f>CONCATENATE("Reviewed on"," ",(TEXT('2022-2023 Applications Review'!$A941, "mm/dd/yyyy")))</f>
        <v>Reviewed on 08/23/2022</v>
      </c>
      <c r="B941" s="383" t="str">
        <f>'2022-2023 Applications Review'!B941</f>
        <v>YRIKKA _2022</v>
      </c>
      <c r="C941" s="383" t="str">
        <f>'2022-2023 Applications Review'!E941</f>
        <v>Digital Tech</v>
      </c>
      <c r="D941" s="384" t="str">
        <f>'2022-2023 Applications Review'!Q941</f>
        <v>Invite Next Year</v>
      </c>
      <c r="E941" s="383"/>
      <c r="F941" s="383"/>
      <c r="G941" s="383"/>
      <c r="H941" s="383"/>
      <c r="I941" s="385" t="b">
        <v>1</v>
      </c>
      <c r="J941" s="386" t="s">
        <v>12860</v>
      </c>
    </row>
    <row r="942" spans="1:10">
      <c r="A942" s="383" t="str">
        <f>CONCATENATE("Reviewed on"," ",(TEXT('2022-2023 Applications Review'!$A942, "mm/dd/yyyy")))</f>
        <v>Reviewed on 08/23/2022</v>
      </c>
      <c r="B942" s="383" t="str">
        <f>'2022-2023 Applications Review'!B942</f>
        <v>OYA Femtech Apparel _2022</v>
      </c>
      <c r="C942" s="383" t="str">
        <f>'2022-2023 Applications Review'!E942</f>
        <v>Life Sciences</v>
      </c>
      <c r="D942" s="384" t="str">
        <f>'2022-2023 Applications Review'!Q942</f>
        <v>Invite Next Year</v>
      </c>
      <c r="E942" s="383"/>
      <c r="F942" s="383"/>
      <c r="G942" s="383"/>
      <c r="H942" s="383"/>
      <c r="I942" s="385" t="b">
        <v>1</v>
      </c>
      <c r="J942" s="386" t="s">
        <v>12861</v>
      </c>
    </row>
    <row r="943" spans="1:10">
      <c r="A943" s="383" t="str">
        <f>CONCATENATE("Reviewed on"," ",(TEXT('2022-2023 Applications Review'!$A943, "mm/dd/yyyy")))</f>
        <v>Reviewed on 08/23/2022</v>
      </c>
      <c r="B943" s="383" t="str">
        <f>'2022-2023 Applications Review'!B943</f>
        <v>Algor Lab _2022</v>
      </c>
      <c r="C943" s="383" t="str">
        <f>'2022-2023 Applications Review'!E943</f>
        <v>Digital Tech</v>
      </c>
      <c r="D943" s="384" t="str">
        <f>'2022-2023 Applications Review'!Q943</f>
        <v>Invite Next Year</v>
      </c>
      <c r="E943" s="383"/>
      <c r="F943" s="383"/>
      <c r="G943" s="383"/>
      <c r="H943" s="383"/>
      <c r="I943" s="385" t="b">
        <v>1</v>
      </c>
      <c r="J943" s="386" t="s">
        <v>12862</v>
      </c>
    </row>
    <row r="944" spans="1:10">
      <c r="A944" s="383" t="str">
        <f>CONCATENATE("Reviewed on"," ",(TEXT('2022-2023 Applications Review'!$A944, "mm/dd/yyyy")))</f>
        <v>Reviewed on 08/23/2022</v>
      </c>
      <c r="B944" s="383" t="str">
        <f>'2022-2023 Applications Review'!B944</f>
        <v>MissPoppins, Inc _2022</v>
      </c>
      <c r="C944" s="383" t="str">
        <f>'2022-2023 Applications Review'!E944</f>
        <v>Digital Tech</v>
      </c>
      <c r="D944" s="384" t="str">
        <f>'2022-2023 Applications Review'!Q944</f>
        <v>Invite Next Year</v>
      </c>
      <c r="E944" s="383"/>
      <c r="F944" s="383"/>
      <c r="G944" s="383"/>
      <c r="H944" s="383"/>
      <c r="I944" s="385" t="b">
        <v>1</v>
      </c>
      <c r="J944" s="386" t="s">
        <v>12863</v>
      </c>
    </row>
    <row r="945" spans="1:10">
      <c r="A945" s="383" t="str">
        <f>CONCATENATE("Reviewed on"," ",(TEXT('2022-2023 Applications Review'!$A945, "mm/dd/yyyy")))</f>
        <v>Reviewed on 08/23/2022</v>
      </c>
      <c r="B945" s="383" t="str">
        <f>'2022-2023 Applications Review'!B945</f>
        <v>Sumitt _2022</v>
      </c>
      <c r="C945" s="383" t="str">
        <f>'2022-2023 Applications Review'!E945</f>
        <v>Digital Tech</v>
      </c>
      <c r="D945" s="384" t="str">
        <f>'2022-2023 Applications Review'!Q945</f>
        <v>Invite Next Year</v>
      </c>
      <c r="E945" s="383"/>
      <c r="F945" s="383"/>
      <c r="G945" s="383"/>
      <c r="H945" s="383"/>
      <c r="I945" s="385" t="b">
        <v>1</v>
      </c>
      <c r="J945" s="386" t="s">
        <v>12864</v>
      </c>
    </row>
    <row r="946" spans="1:10">
      <c r="A946" s="383" t="str">
        <f>CONCATENATE("Reviewed on"," ",(TEXT('2022-2023 Applications Review'!$A946, "mm/dd/yyyy")))</f>
        <v>Reviewed on 08/23/2022</v>
      </c>
      <c r="B946" s="383" t="str">
        <f>'2022-2023 Applications Review'!B946</f>
        <v>Omnifia _2022</v>
      </c>
      <c r="C946" s="383" t="str">
        <f>'2022-2023 Applications Review'!E946</f>
        <v>Deep Tech</v>
      </c>
      <c r="D946" s="384" t="str">
        <f>'2022-2023 Applications Review'!Q946</f>
        <v>Invite Next Year</v>
      </c>
      <c r="E946" s="383"/>
      <c r="F946" s="383"/>
      <c r="G946" s="383"/>
      <c r="H946" s="383"/>
      <c r="I946" s="385" t="b">
        <v>1</v>
      </c>
      <c r="J946" s="386" t="s">
        <v>12865</v>
      </c>
    </row>
    <row r="947" spans="1:10">
      <c r="A947" s="383" t="str">
        <f>CONCATENATE("Reviewed on"," ",(TEXT('2022-2023 Applications Review'!$A947, "mm/dd/yyyy")))</f>
        <v>Reviewed on 08/23/2022</v>
      </c>
      <c r="B947" s="383" t="str">
        <f>'2022-2023 Applications Review'!B947</f>
        <v>Nutrivide Inc. _2022</v>
      </c>
      <c r="C947" s="383" t="str">
        <f>'2022-2023 Applications Review'!E947</f>
        <v>Life Sciences</v>
      </c>
      <c r="D947" s="384" t="str">
        <f>'2022-2023 Applications Review'!Q947</f>
        <v>Invite Next Year</v>
      </c>
      <c r="E947" s="383"/>
      <c r="F947" s="383"/>
      <c r="G947" s="383"/>
      <c r="H947" s="383"/>
      <c r="I947" s="385" t="b">
        <v>1</v>
      </c>
      <c r="J947" s="386" t="s">
        <v>12866</v>
      </c>
    </row>
    <row r="948" spans="1:10">
      <c r="A948" s="383" t="str">
        <f>CONCATENATE("Reviewed on"," ",(TEXT('2022-2023 Applications Review'!$A948, "mm/dd/yyyy")))</f>
        <v>Reviewed on 08/23/2022</v>
      </c>
      <c r="B948" s="383" t="str">
        <f>'2022-2023 Applications Review'!B948</f>
        <v>Dextall _2022</v>
      </c>
      <c r="C948" s="383" t="str">
        <f>'2022-2023 Applications Review'!E948</f>
        <v>Deep Tech</v>
      </c>
      <c r="D948" s="384" t="str">
        <f>'2022-2023 Applications Review'!Q948</f>
        <v>Invite Next Year</v>
      </c>
      <c r="E948" s="383"/>
      <c r="F948" s="383"/>
      <c r="G948" s="383"/>
      <c r="H948" s="383"/>
      <c r="I948" s="385" t="b">
        <v>1</v>
      </c>
      <c r="J948" s="386" t="s">
        <v>12867</v>
      </c>
    </row>
    <row r="949" spans="1:10">
      <c r="A949" s="383" t="str">
        <f>CONCATENATE("Reviewed on"," ",(TEXT('2022-2023 Applications Review'!$A949, "mm/dd/yyyy")))</f>
        <v>Reviewed on 08/23/2022</v>
      </c>
      <c r="B949" s="383" t="str">
        <f>'2022-2023 Applications Review'!B949</f>
        <v>Autentica Industrial Platforms Ltd _2022</v>
      </c>
      <c r="C949" s="383" t="str">
        <f>'2022-2023 Applications Review'!E949</f>
        <v>Digital Tech</v>
      </c>
      <c r="D949" s="384" t="str">
        <f>'2022-2023 Applications Review'!Q949</f>
        <v>Invite Next Year</v>
      </c>
      <c r="E949" s="383"/>
      <c r="F949" s="383"/>
      <c r="G949" s="383"/>
      <c r="H949" s="383"/>
      <c r="I949" s="385" t="b">
        <v>1</v>
      </c>
      <c r="J949" s="386" t="s">
        <v>12868</v>
      </c>
    </row>
    <row r="950" spans="1:10">
      <c r="A950" s="383" t="str">
        <f>CONCATENATE("Reviewed on"," ",(TEXT('2022-2023 Applications Review'!$A950, "mm/dd/yyyy")))</f>
        <v>Reviewed on 08/23/2022</v>
      </c>
      <c r="B950" s="383" t="str">
        <f>'2022-2023 Applications Review'!B950</f>
        <v>InRento _2022</v>
      </c>
      <c r="C950" s="383" t="str">
        <f>'2022-2023 Applications Review'!E950</f>
        <v>Digital Tech</v>
      </c>
      <c r="D950" s="384" t="str">
        <f>'2022-2023 Applications Review'!Q950</f>
        <v>Invite Next Year</v>
      </c>
      <c r="E950" s="383"/>
      <c r="F950" s="383"/>
      <c r="G950" s="383"/>
      <c r="H950" s="383"/>
      <c r="I950" s="385" t="b">
        <v>1</v>
      </c>
      <c r="J950" s="386" t="s">
        <v>12869</v>
      </c>
    </row>
    <row r="951" spans="1:10">
      <c r="A951" s="383" t="str">
        <f>CONCATENATE("Reviewed on"," ",(TEXT('2022-2023 Applications Review'!$A951, "mm/dd/yyyy")))</f>
        <v>Reviewed on 08/23/2022</v>
      </c>
      <c r="B951" s="383" t="str">
        <f>'2022-2023 Applications Review'!B951</f>
        <v>Crypto-Z _2022</v>
      </c>
      <c r="C951" s="383" t="str">
        <f>'2022-2023 Applications Review'!E951</f>
        <v>Digital Tech</v>
      </c>
      <c r="D951" s="384" t="str">
        <f>'2022-2023 Applications Review'!Q951</f>
        <v>Invite Next Year</v>
      </c>
      <c r="E951" s="383"/>
      <c r="F951" s="383"/>
      <c r="G951" s="383"/>
      <c r="H951" s="383"/>
      <c r="I951" s="385" t="b">
        <v>1</v>
      </c>
      <c r="J951" s="386" t="s">
        <v>12870</v>
      </c>
    </row>
    <row r="952" spans="1:10">
      <c r="A952" s="383" t="str">
        <f>CONCATENATE("Reviewed on"," ",(TEXT('2022-2023 Applications Review'!$A952, "mm/dd/yyyy")))</f>
        <v>Reviewed on 08/23/2022</v>
      </c>
      <c r="B952" s="383" t="str">
        <f>'2022-2023 Applications Review'!B952</f>
        <v>Influcracy Inc _2022</v>
      </c>
      <c r="C952" s="383" t="str">
        <f>'2022-2023 Applications Review'!E952</f>
        <v>Digital Tech</v>
      </c>
      <c r="D952" s="384" t="str">
        <f>'2022-2023 Applications Review'!Q952</f>
        <v>Invite Next Year</v>
      </c>
      <c r="E952" s="383"/>
      <c r="F952" s="383"/>
      <c r="G952" s="383"/>
      <c r="H952" s="383"/>
      <c r="I952" s="385" t="b">
        <v>1</v>
      </c>
      <c r="J952" s="386" t="s">
        <v>12871</v>
      </c>
    </row>
    <row r="953" spans="1:10">
      <c r="A953" s="383" t="str">
        <f>CONCATENATE("Reviewed on"," ",(TEXT('2022-2023 Applications Review'!$A953, "mm/dd/yyyy")))</f>
        <v>Reviewed on 08/23/2022</v>
      </c>
      <c r="B953" s="383" t="str">
        <f>'2022-2023 Applications Review'!B953</f>
        <v>Nash fintechX _2022</v>
      </c>
      <c r="C953" s="383" t="str">
        <f>'2022-2023 Applications Review'!E953</f>
        <v>Digital Tech</v>
      </c>
      <c r="D953" s="384" t="str">
        <f>'2022-2023 Applications Review'!Q953</f>
        <v>Invite Next Year</v>
      </c>
      <c r="E953" s="383"/>
      <c r="F953" s="383"/>
      <c r="G953" s="383"/>
      <c r="H953" s="383"/>
      <c r="I953" s="385" t="b">
        <v>1</v>
      </c>
      <c r="J953" s="386" t="s">
        <v>12872</v>
      </c>
    </row>
    <row r="954" spans="1:10">
      <c r="A954" s="383" t="str">
        <f>CONCATENATE("Reviewed on"," ",(TEXT('2022-2023 Applications Review'!$A954, "mm/dd/yyyy")))</f>
        <v>Reviewed on 08/23/2022</v>
      </c>
      <c r="B954" s="383" t="str">
        <f>'2022-2023 Applications Review'!B954</f>
        <v>prints.me _2022</v>
      </c>
      <c r="C954" s="383" t="str">
        <f>'2022-2023 Applications Review'!E954</f>
        <v>Digital Tech</v>
      </c>
      <c r="D954" s="384" t="str">
        <f>'2022-2023 Applications Review'!Q954</f>
        <v>Invite Next Year</v>
      </c>
      <c r="E954" s="383"/>
      <c r="F954" s="383"/>
      <c r="G954" s="383"/>
      <c r="H954" s="383"/>
      <c r="I954" s="385" t="b">
        <v>1</v>
      </c>
      <c r="J954" s="386" t="s">
        <v>12873</v>
      </c>
    </row>
    <row r="955" spans="1:10">
      <c r="A955" s="383" t="str">
        <f>CONCATENATE("Reviewed on"," ",(TEXT('2022-2023 Applications Review'!$A955, "mm/dd/yyyy")))</f>
        <v>Reviewed on 08/23/2022</v>
      </c>
      <c r="B955" s="383" t="str">
        <f>'2022-2023 Applications Review'!B955</f>
        <v>CLOWAK INNOVATIONS LLP _2022</v>
      </c>
      <c r="C955" s="383" t="str">
        <f>'2022-2023 Applications Review'!E955</f>
        <v>Life Sciences</v>
      </c>
      <c r="D955" s="384" t="str">
        <f>'2022-2023 Applications Review'!Q955</f>
        <v>Invite Next Year</v>
      </c>
      <c r="E955" s="383"/>
      <c r="F955" s="383"/>
      <c r="G955" s="383"/>
      <c r="H955" s="383"/>
      <c r="I955" s="385" t="b">
        <v>1</v>
      </c>
      <c r="J955" s="386" t="s">
        <v>12874</v>
      </c>
    </row>
    <row r="956" spans="1:10">
      <c r="A956" s="383" t="str">
        <f>CONCATENATE("Reviewed on"," ",(TEXT('2022-2023 Applications Review'!$A956, "mm/dd/yyyy")))</f>
        <v>Reviewed on 08/23/2022</v>
      </c>
      <c r="B956" s="383" t="str">
        <f>'2022-2023 Applications Review'!B956</f>
        <v>BleBluBla _2022</v>
      </c>
      <c r="C956" s="383" t="str">
        <f>'2022-2023 Applications Review'!E956</f>
        <v>Digital Tech</v>
      </c>
      <c r="D956" s="384" t="str">
        <f>'2022-2023 Applications Review'!Q956</f>
        <v>Invite Next Year</v>
      </c>
      <c r="E956" s="383"/>
      <c r="F956" s="383"/>
      <c r="G956" s="383"/>
      <c r="H956" s="383"/>
      <c r="I956" s="385" t="b">
        <v>1</v>
      </c>
      <c r="J956" s="386" t="s">
        <v>12875</v>
      </c>
    </row>
    <row r="957" spans="1:10">
      <c r="A957" s="383" t="str">
        <f>CONCATENATE("Reviewed on"," ",(TEXT('2022-2023 Applications Review'!$A957, "mm/dd/yyyy")))</f>
        <v>Reviewed on 08/23/2022</v>
      </c>
      <c r="B957" s="383" t="str">
        <f>'2022-2023 Applications Review'!B957</f>
        <v>Progressive Generation Studios _2022</v>
      </c>
      <c r="C957" s="383" t="str">
        <f>'2022-2023 Applications Review'!E957</f>
        <v>Digital Tech</v>
      </c>
      <c r="D957" s="384" t="str">
        <f>'2022-2023 Applications Review'!Q957</f>
        <v>Invite Next Year</v>
      </c>
      <c r="E957" s="383"/>
      <c r="F957" s="383"/>
      <c r="G957" s="383"/>
      <c r="H957" s="383"/>
      <c r="I957" s="385" t="b">
        <v>1</v>
      </c>
      <c r="J957" s="386" t="s">
        <v>12876</v>
      </c>
    </row>
    <row r="958" spans="1:10">
      <c r="A958" s="383" t="str">
        <f>CONCATENATE("Reviewed on"," ",(TEXT('2022-2023 Applications Review'!$A958, "mm/dd/yyyy")))</f>
        <v>Reviewed on 08/23/2022</v>
      </c>
      <c r="B958" s="383" t="str">
        <f>'2022-2023 Applications Review'!B958</f>
        <v>Prospero.Ai _2022</v>
      </c>
      <c r="C958" s="383" t="str">
        <f>'2022-2023 Applications Review'!E958</f>
        <v>Digital Tech</v>
      </c>
      <c r="D958" s="384" t="str">
        <f>'2022-2023 Applications Review'!Q958</f>
        <v>Invite Next Year</v>
      </c>
      <c r="E958" s="383"/>
      <c r="F958" s="383"/>
      <c r="G958" s="383"/>
      <c r="H958" s="383"/>
      <c r="I958" s="385" t="b">
        <v>1</v>
      </c>
      <c r="J958" s="386" t="s">
        <v>12877</v>
      </c>
    </row>
    <row r="959" spans="1:10">
      <c r="A959" s="383" t="str">
        <f>CONCATENATE("Reviewed on"," ",(TEXT('2022-2023 Applications Review'!$A959, "mm/dd/yyyy")))</f>
        <v>Reviewed on 08/23/2022</v>
      </c>
      <c r="B959" s="383" t="str">
        <f>'2022-2023 Applications Review'!B959</f>
        <v>Metamorphic Foods Pvt Ltd (Klever Meat) _2022</v>
      </c>
      <c r="C959" s="383" t="str">
        <f>'2022-2023 Applications Review'!E959</f>
        <v>Life Sciences</v>
      </c>
      <c r="D959" s="384" t="str">
        <f>'2022-2023 Applications Review'!Q959</f>
        <v>Invite Next Year</v>
      </c>
      <c r="E959" s="383"/>
      <c r="F959" s="383"/>
      <c r="G959" s="383"/>
      <c r="H959" s="383"/>
      <c r="I959" s="385" t="b">
        <v>1</v>
      </c>
      <c r="J959" s="386" t="s">
        <v>12878</v>
      </c>
    </row>
    <row r="960" spans="1:10">
      <c r="A960" s="383" t="str">
        <f>CONCATENATE("Reviewed on"," ",(TEXT('2022-2023 Applications Review'!$A960, "mm/dd/yyyy")))</f>
        <v>Reviewed on 08/23/2022</v>
      </c>
      <c r="B960" s="383" t="str">
        <f>'2022-2023 Applications Review'!B960</f>
        <v>InTune Inc. _2022</v>
      </c>
      <c r="C960" s="383" t="str">
        <f>'2022-2023 Applications Review'!E960</f>
        <v>Digital Tech</v>
      </c>
      <c r="D960" s="384" t="str">
        <f>'2022-2023 Applications Review'!Q960</f>
        <v>Invite Next Year</v>
      </c>
      <c r="E960" s="383"/>
      <c r="F960" s="383"/>
      <c r="G960" s="383"/>
      <c r="H960" s="383"/>
      <c r="I960" s="385" t="b">
        <v>1</v>
      </c>
      <c r="J960" s="386" t="s">
        <v>12879</v>
      </c>
    </row>
    <row r="961" spans="1:10">
      <c r="A961" s="383" t="str">
        <f>CONCATENATE("Reviewed on"," ",(TEXT('2022-2023 Applications Review'!$A961, "mm/dd/yyyy")))</f>
        <v>Reviewed on 08/23/2022</v>
      </c>
      <c r="B961" s="383" t="str">
        <f>'2022-2023 Applications Review'!B961</f>
        <v>Wealthspan Financial Partners _2022</v>
      </c>
      <c r="C961" s="383" t="str">
        <f>'2022-2023 Applications Review'!E961</f>
        <v>Digital Tech</v>
      </c>
      <c r="D961" s="384" t="str">
        <f>'2022-2023 Applications Review'!Q961</f>
        <v>Invite Next Year</v>
      </c>
      <c r="E961" s="383"/>
      <c r="F961" s="383"/>
      <c r="G961" s="383"/>
      <c r="H961" s="383"/>
      <c r="I961" s="385" t="b">
        <v>1</v>
      </c>
      <c r="J961" s="386" t="s">
        <v>12880</v>
      </c>
    </row>
    <row r="962" spans="1:10">
      <c r="A962" s="383" t="str">
        <f>CONCATENATE("Reviewed on"," ",(TEXT('2022-2023 Applications Review'!$A962, "mm/dd/yyyy")))</f>
        <v>Reviewed on 08/23/2022</v>
      </c>
      <c r="B962" s="383" t="str">
        <f>'2022-2023 Applications Review'!B962</f>
        <v>skillcert.io _2022</v>
      </c>
      <c r="C962" s="383" t="str">
        <f>'2022-2023 Applications Review'!E962</f>
        <v>Digital Tech</v>
      </c>
      <c r="D962" s="384" t="str">
        <f>'2022-2023 Applications Review'!Q962</f>
        <v>Invite Next Year</v>
      </c>
      <c r="E962" s="383"/>
      <c r="F962" s="383"/>
      <c r="G962" s="383"/>
      <c r="H962" s="383"/>
      <c r="I962" s="385" t="b">
        <v>1</v>
      </c>
      <c r="J962" s="386" t="s">
        <v>12881</v>
      </c>
    </row>
    <row r="963" spans="1:10">
      <c r="A963" s="383" t="str">
        <f>CONCATENATE("Reviewed on"," ",(TEXT('2022-2023 Applications Review'!$A963, "mm/dd/yyyy")))</f>
        <v>Reviewed on 08/23/2022</v>
      </c>
      <c r="B963" s="383" t="str">
        <f>'2022-2023 Applications Review'!B963</f>
        <v>Above &amp; Beyond Studios, Inc. _2022</v>
      </c>
      <c r="C963" s="383" t="str">
        <f>'2022-2023 Applications Review'!E963</f>
        <v>Digital Tech</v>
      </c>
      <c r="D963" s="384" t="str">
        <f>'2022-2023 Applications Review'!Q963</f>
        <v>Invite Next Year</v>
      </c>
      <c r="E963" s="383"/>
      <c r="F963" s="383"/>
      <c r="G963" s="383"/>
      <c r="H963" s="383"/>
      <c r="I963" s="385" t="b">
        <v>1</v>
      </c>
      <c r="J963" s="386" t="s">
        <v>12882</v>
      </c>
    </row>
    <row r="964" spans="1:10">
      <c r="A964" s="383" t="str">
        <f>CONCATENATE("Reviewed on"," ",(TEXT('2022-2023 Applications Review'!$A964, "mm/dd/yyyy")))</f>
        <v>Reviewed on 08/23/2022</v>
      </c>
      <c r="B964" s="383" t="str">
        <f>'2022-2023 Applications Review'!B964</f>
        <v>Assistive Descriptive Accessible Platforms products and Technologies Inc. (A.D.A.P.T.) _2022</v>
      </c>
      <c r="C964" s="383" t="str">
        <f>'2022-2023 Applications Review'!E964</f>
        <v>Digital Tech</v>
      </c>
      <c r="D964" s="384" t="str">
        <f>'2022-2023 Applications Review'!Q964</f>
        <v>Invite Next Year</v>
      </c>
      <c r="E964" s="383"/>
      <c r="F964" s="383"/>
      <c r="G964" s="383"/>
      <c r="H964" s="383"/>
      <c r="I964" s="385" t="b">
        <v>1</v>
      </c>
      <c r="J964" s="386" t="s">
        <v>12883</v>
      </c>
    </row>
    <row r="965" spans="1:10">
      <c r="A965" s="383" t="str">
        <f>CONCATENATE("Reviewed on"," ",(TEXT('2022-2023 Applications Review'!$A965, "mm/dd/yyyy")))</f>
        <v>Reviewed on 08/23/2022</v>
      </c>
      <c r="B965" s="383" t="str">
        <f>'2022-2023 Applications Review'!B965</f>
        <v>Kaso _2022</v>
      </c>
      <c r="C965" s="383" t="str">
        <f>'2022-2023 Applications Review'!E965</f>
        <v>Digital Tech</v>
      </c>
      <c r="D965" s="384" t="str">
        <f>'2022-2023 Applications Review'!Q965</f>
        <v>Invite Next Year</v>
      </c>
      <c r="E965" s="383"/>
      <c r="F965" s="383"/>
      <c r="G965" s="383"/>
      <c r="H965" s="383"/>
      <c r="I965" s="385" t="b">
        <v>1</v>
      </c>
      <c r="J965" s="386" t="s">
        <v>12884</v>
      </c>
    </row>
    <row r="966" spans="1:10">
      <c r="A966" s="383" t="str">
        <f>CONCATENATE("Reviewed on"," ",(TEXT('2022-2023 Applications Review'!$A966, "mm/dd/yyyy")))</f>
        <v>Reviewed on 08/23/2022</v>
      </c>
      <c r="B966" s="383" t="str">
        <f>'2022-2023 Applications Review'!B966</f>
        <v>ELANZA Wellness _2022</v>
      </c>
      <c r="C966" s="383" t="str">
        <f>'2022-2023 Applications Review'!E966</f>
        <v>Digital Tech</v>
      </c>
      <c r="D966" s="384" t="str">
        <f>'2022-2023 Applications Review'!Q966</f>
        <v>Invite Next Year</v>
      </c>
      <c r="E966" s="383"/>
      <c r="F966" s="383"/>
      <c r="G966" s="383"/>
      <c r="H966" s="383"/>
      <c r="I966" s="385" t="b">
        <v>1</v>
      </c>
      <c r="J966" s="386" t="s">
        <v>12885</v>
      </c>
    </row>
    <row r="967" spans="1:10">
      <c r="A967" s="383" t="str">
        <f>CONCATENATE("Reviewed on"," ",(TEXT('2022-2023 Applications Review'!$A967, "mm/dd/yyyy")))</f>
        <v>Reviewed on 08/23/2022</v>
      </c>
      <c r="B967" s="383" t="str">
        <f>'2022-2023 Applications Review'!B967</f>
        <v>GaleSun Technologies _2022</v>
      </c>
      <c r="C967" s="383" t="str">
        <f>'2022-2023 Applications Review'!E967</f>
        <v>Life Sciences</v>
      </c>
      <c r="D967" s="384" t="str">
        <f>'2022-2023 Applications Review'!Q967</f>
        <v>Invite Next Year</v>
      </c>
      <c r="E967" s="383"/>
      <c r="F967" s="383"/>
      <c r="G967" s="383"/>
      <c r="H967" s="383"/>
      <c r="I967" s="385" t="b">
        <v>1</v>
      </c>
      <c r="J967" s="386" t="s">
        <v>12886</v>
      </c>
    </row>
    <row r="968" spans="1:10">
      <c r="A968" s="383" t="str">
        <f>CONCATENATE("Reviewed on"," ",(TEXT('2022-2023 Applications Review'!$A968, "mm/dd/yyyy")))</f>
        <v>Reviewed on 08/23/2022</v>
      </c>
      <c r="B968" s="383" t="str">
        <f>'2022-2023 Applications Review'!B968</f>
        <v>Neurohue _2022</v>
      </c>
      <c r="C968" s="383" t="str">
        <f>'2022-2023 Applications Review'!E968</f>
        <v>Life Sciences</v>
      </c>
      <c r="D968" s="384" t="str">
        <f>'2022-2023 Applications Review'!Q968</f>
        <v>Invite Next Year</v>
      </c>
      <c r="E968" s="383"/>
      <c r="F968" s="383"/>
      <c r="G968" s="383"/>
      <c r="H968" s="383"/>
      <c r="I968" s="385" t="b">
        <v>1</v>
      </c>
      <c r="J968" s="386" t="s">
        <v>12887</v>
      </c>
    </row>
    <row r="969" spans="1:10">
      <c r="A969" s="383" t="str">
        <f>CONCATENATE("Reviewed on"," ",(TEXT('2022-2023 Applications Review'!$A969, "mm/dd/yyyy")))</f>
        <v>Reviewed on 08/23/2022</v>
      </c>
      <c r="B969" s="383" t="str">
        <f>'2022-2023 Applications Review'!B969</f>
        <v>AltCal _2022</v>
      </c>
      <c r="C969" s="383" t="str">
        <f>'2022-2023 Applications Review'!E969</f>
        <v>Digital Tech</v>
      </c>
      <c r="D969" s="384" t="str">
        <f>'2022-2023 Applications Review'!Q969</f>
        <v>Invite Next Year</v>
      </c>
      <c r="E969" s="383"/>
      <c r="F969" s="383"/>
      <c r="G969" s="383"/>
      <c r="H969" s="383"/>
      <c r="I969" s="385" t="b">
        <v>1</v>
      </c>
      <c r="J969" s="386" t="s">
        <v>12888</v>
      </c>
    </row>
    <row r="970" spans="1:10">
      <c r="A970" s="383" t="str">
        <f>CONCATENATE("Reviewed on"," ",(TEXT('2022-2023 Applications Review'!$A970, "mm/dd/yyyy")))</f>
        <v>Reviewed on 08/23/2022</v>
      </c>
      <c r="B970" s="383" t="str">
        <f>'2022-2023 Applications Review'!B970</f>
        <v>Fifty Bricks _2022</v>
      </c>
      <c r="C970" s="383" t="str">
        <f>'2022-2023 Applications Review'!E970</f>
        <v>Digital Tech</v>
      </c>
      <c r="D970" s="384" t="str">
        <f>'2022-2023 Applications Review'!Q970</f>
        <v>Invite Next Year</v>
      </c>
      <c r="E970" s="383"/>
      <c r="F970" s="383"/>
      <c r="G970" s="383"/>
      <c r="H970" s="383"/>
      <c r="I970" s="385" t="b">
        <v>1</v>
      </c>
      <c r="J970" s="386" t="s">
        <v>12889</v>
      </c>
    </row>
    <row r="971" spans="1:10">
      <c r="A971" s="383" t="str">
        <f>CONCATENATE("Reviewed on"," ",(TEXT('2022-2023 Applications Review'!$A971, "mm/dd/yyyy")))</f>
        <v>Reviewed on 08/23/2022</v>
      </c>
      <c r="B971" s="383" t="str">
        <f>'2022-2023 Applications Review'!B971</f>
        <v>OnEx Medical _2022</v>
      </c>
      <c r="C971" s="383" t="str">
        <f>'2022-2023 Applications Review'!E971</f>
        <v>Digital Tech</v>
      </c>
      <c r="D971" s="384" t="str">
        <f>'2022-2023 Applications Review'!Q971</f>
        <v>Invite Next Year</v>
      </c>
      <c r="E971" s="383"/>
      <c r="F971" s="383"/>
      <c r="G971" s="383"/>
      <c r="H971" s="383"/>
      <c r="I971" s="385" t="b">
        <v>1</v>
      </c>
      <c r="J971" s="386" t="s">
        <v>12890</v>
      </c>
    </row>
    <row r="972" spans="1:10">
      <c r="A972" s="383" t="str">
        <f>CONCATENATE("Reviewed on"," ",(TEXT('2022-2023 Applications Review'!$A972, "mm/dd/yyyy")))</f>
        <v>Reviewed on 08/23/2022</v>
      </c>
      <c r="B972" s="383" t="str">
        <f>'2022-2023 Applications Review'!B972</f>
        <v>eXeer Biotech, Inc _2022</v>
      </c>
      <c r="C972" s="383" t="str">
        <f>'2022-2023 Applications Review'!E972</f>
        <v>Life Sciences</v>
      </c>
      <c r="D972" s="384" t="str">
        <f>'2022-2023 Applications Review'!Q972</f>
        <v>Invite Next Year</v>
      </c>
      <c r="E972" s="383"/>
      <c r="F972" s="383"/>
      <c r="G972" s="383"/>
      <c r="H972" s="383"/>
      <c r="I972" s="385" t="b">
        <v>1</v>
      </c>
      <c r="J972" s="386" t="s">
        <v>12891</v>
      </c>
    </row>
    <row r="973" spans="1:10">
      <c r="A973" s="383" t="str">
        <f>CONCATENATE("Reviewed on"," ",(TEXT('2022-2023 Applications Review'!$A973, "mm/dd/yyyy")))</f>
        <v>Reviewed on 08/23/2022</v>
      </c>
      <c r="B973" s="383" t="str">
        <f>'2022-2023 Applications Review'!B973</f>
        <v>Assemble _2022</v>
      </c>
      <c r="C973" s="383" t="str">
        <f>'2022-2023 Applications Review'!E973</f>
        <v>Digital Tech</v>
      </c>
      <c r="D973" s="384" t="str">
        <f>'2022-2023 Applications Review'!Q973</f>
        <v>Invite Next Year</v>
      </c>
      <c r="E973" s="383"/>
      <c r="F973" s="383"/>
      <c r="G973" s="383"/>
      <c r="H973" s="383"/>
      <c r="I973" s="385" t="b">
        <v>1</v>
      </c>
      <c r="J973" s="386" t="s">
        <v>12892</v>
      </c>
    </row>
    <row r="974" spans="1:10">
      <c r="A974" s="383" t="str">
        <f>CONCATENATE("Reviewed on"," ",(TEXT('2022-2023 Applications Review'!$A974, "mm/dd/yyyy")))</f>
        <v>Reviewed on 08/23/2022</v>
      </c>
      <c r="B974" s="383" t="str">
        <f>'2022-2023 Applications Review'!B974</f>
        <v>Vertikal X, Inc _2022</v>
      </c>
      <c r="C974" s="383" t="str">
        <f>'2022-2023 Applications Review'!E974</f>
        <v>Digital Tech</v>
      </c>
      <c r="D974" s="384" t="str">
        <f>'2022-2023 Applications Review'!Q974</f>
        <v>Invite Next Year</v>
      </c>
      <c r="E974" s="383"/>
      <c r="F974" s="383"/>
      <c r="G974" s="383"/>
      <c r="H974" s="383"/>
      <c r="I974" s="385" t="b">
        <v>1</v>
      </c>
      <c r="J974" s="386" t="s">
        <v>12893</v>
      </c>
    </row>
    <row r="975" spans="1:10">
      <c r="A975" s="383" t="str">
        <f>CONCATENATE("Reviewed on"," ",(TEXT('2022-2023 Applications Review'!$A975, "mm/dd/yyyy")))</f>
        <v>Reviewed on 08/23/2022</v>
      </c>
      <c r="B975" s="383" t="str">
        <f>'2022-2023 Applications Review'!B975</f>
        <v>Fits _2022</v>
      </c>
      <c r="C975" s="383" t="str">
        <f>'2022-2023 Applications Review'!E975</f>
        <v>Digital Tech</v>
      </c>
      <c r="D975" s="384" t="str">
        <f>'2022-2023 Applications Review'!Q975</f>
        <v>Invite Next Year</v>
      </c>
      <c r="E975" s="383"/>
      <c r="F975" s="383"/>
      <c r="G975" s="383"/>
      <c r="H975" s="383"/>
      <c r="I975" s="385" t="b">
        <v>1</v>
      </c>
      <c r="J975" s="386" t="s">
        <v>12894</v>
      </c>
    </row>
    <row r="976" spans="1:10">
      <c r="A976" s="383" t="str">
        <f>CONCATENATE("Reviewed on"," ",(TEXT('2022-2023 Applications Review'!$A976, "mm/dd/yyyy")))</f>
        <v>Reviewed on 08/23/2022</v>
      </c>
      <c r="B976" s="383" t="str">
        <f>'2022-2023 Applications Review'!B976</f>
        <v>Pixchange  _2022</v>
      </c>
      <c r="C976" s="383" t="str">
        <f>'2022-2023 Applications Review'!E976</f>
        <v>Digital Tech</v>
      </c>
      <c r="D976" s="384" t="str">
        <f>'2022-2023 Applications Review'!Q976</f>
        <v>Invite Next Year</v>
      </c>
      <c r="E976" s="383"/>
      <c r="F976" s="383"/>
      <c r="G976" s="383"/>
      <c r="H976" s="383"/>
      <c r="I976" s="385" t="b">
        <v>1</v>
      </c>
      <c r="J976" s="386" t="s">
        <v>12895</v>
      </c>
    </row>
    <row r="977" spans="1:10">
      <c r="A977" s="383" t="str">
        <f>CONCATENATE("Reviewed on"," ",(TEXT('2022-2023 Applications Review'!$A977, "mm/dd/yyyy")))</f>
        <v>Reviewed on 08/23/2022</v>
      </c>
      <c r="B977" s="383" t="str">
        <f>'2022-2023 Applications Review'!B977</f>
        <v>Breeze _2022</v>
      </c>
      <c r="C977" s="383" t="str">
        <f>'2022-2023 Applications Review'!E977</f>
        <v>Digital Tech</v>
      </c>
      <c r="D977" s="384" t="str">
        <f>'2022-2023 Applications Review'!Q977</f>
        <v>Invite Next Year</v>
      </c>
      <c r="E977" s="383"/>
      <c r="F977" s="383"/>
      <c r="G977" s="383"/>
      <c r="H977" s="383"/>
      <c r="I977" s="385" t="b">
        <v>1</v>
      </c>
      <c r="J977" s="386" t="s">
        <v>12896</v>
      </c>
    </row>
    <row r="978" spans="1:10">
      <c r="A978" s="383" t="str">
        <f>CONCATENATE("Reviewed on"," ",(TEXT('2022-2023 Applications Review'!$A978, "mm/dd/yyyy")))</f>
        <v>Reviewed on 08/23/2022</v>
      </c>
      <c r="B978" s="383" t="str">
        <f>'2022-2023 Applications Review'!B978</f>
        <v>StoryBrain _2022</v>
      </c>
      <c r="C978" s="383" t="str">
        <f>'2022-2023 Applications Review'!E978</f>
        <v>Digital Tech</v>
      </c>
      <c r="D978" s="384" t="str">
        <f>'2022-2023 Applications Review'!Q978</f>
        <v>Invite Next Year</v>
      </c>
      <c r="E978" s="383"/>
      <c r="F978" s="383"/>
      <c r="G978" s="383"/>
      <c r="H978" s="383"/>
      <c r="I978" s="385" t="b">
        <v>1</v>
      </c>
      <c r="J978" s="386" t="s">
        <v>12897</v>
      </c>
    </row>
    <row r="979" spans="1:10">
      <c r="A979" s="383" t="str">
        <f>CONCATENATE("Reviewed on"," ",(TEXT('2022-2023 Applications Review'!$A979, "mm/dd/yyyy")))</f>
        <v>Reviewed on 08/23/2022</v>
      </c>
      <c r="B979" s="383" t="str">
        <f>'2022-2023 Applications Review'!B979</f>
        <v>Whyzers  _2022</v>
      </c>
      <c r="C979" s="383" t="str">
        <f>'2022-2023 Applications Review'!E979</f>
        <v>Digital Tech</v>
      </c>
      <c r="D979" s="384" t="str">
        <f>'2022-2023 Applications Review'!Q979</f>
        <v>Invite Next Year</v>
      </c>
      <c r="E979" s="383"/>
      <c r="F979" s="383"/>
      <c r="G979" s="383"/>
      <c r="H979" s="383"/>
      <c r="I979" s="385" t="b">
        <v>1</v>
      </c>
      <c r="J979" s="386" t="s">
        <v>12898</v>
      </c>
    </row>
    <row r="980" spans="1:10">
      <c r="A980" s="383" t="str">
        <f>CONCATENATE("Reviewed on"," ",(TEXT('2022-2023 Applications Review'!$A980, "mm/dd/yyyy")))</f>
        <v>Reviewed on 08/23/2022</v>
      </c>
      <c r="B980" s="383" t="str">
        <f>'2022-2023 Applications Review'!B980</f>
        <v>UnityActs  _2022</v>
      </c>
      <c r="C980" s="383" t="str">
        <f>'2022-2023 Applications Review'!E980</f>
        <v>Digital Tech</v>
      </c>
      <c r="D980" s="384" t="str">
        <f>'2022-2023 Applications Review'!Q980</f>
        <v>Invite Next Year</v>
      </c>
      <c r="E980" s="383"/>
      <c r="F980" s="383"/>
      <c r="G980" s="383"/>
      <c r="H980" s="383"/>
      <c r="I980" s="385" t="b">
        <v>1</v>
      </c>
      <c r="J980" s="386" t="s">
        <v>12899</v>
      </c>
    </row>
    <row r="981" spans="1:10">
      <c r="A981" s="383" t="str">
        <f>CONCATENATE("Reviewed on"," ",(TEXT('2022-2023 Applications Review'!$A981, "mm/dd/yyyy")))</f>
        <v>Reviewed on 08/23/2022</v>
      </c>
      <c r="B981" s="383" t="str">
        <f>'2022-2023 Applications Review'!B981</f>
        <v>Broom.id (PT Teknologi Usaha Nusantara) _2022</v>
      </c>
      <c r="C981" s="383" t="str">
        <f>'2022-2023 Applications Review'!E981</f>
        <v>Digital Tech</v>
      </c>
      <c r="D981" s="384" t="str">
        <f>'2022-2023 Applications Review'!Q981</f>
        <v>Invite Next Year</v>
      </c>
      <c r="E981" s="383"/>
      <c r="F981" s="383"/>
      <c r="G981" s="383"/>
      <c r="H981" s="383"/>
      <c r="I981" s="385" t="b">
        <v>1</v>
      </c>
      <c r="J981" s="386" t="s">
        <v>12900</v>
      </c>
    </row>
    <row r="982" spans="1:10">
      <c r="A982" s="383" t="str">
        <f>CONCATENATE("Reviewed on"," ",(TEXT('2022-2023 Applications Review'!$A982, "mm/dd/yyyy")))</f>
        <v>Reviewed on 08/23/2022</v>
      </c>
      <c r="B982" s="383" t="str">
        <f>'2022-2023 Applications Review'!B982</f>
        <v>Jovian _2022</v>
      </c>
      <c r="C982" s="383" t="str">
        <f>'2022-2023 Applications Review'!E982</f>
        <v>Digital Tech</v>
      </c>
      <c r="D982" s="384" t="str">
        <f>'2022-2023 Applications Review'!Q982</f>
        <v>Invite Next Year</v>
      </c>
      <c r="E982" s="383"/>
      <c r="F982" s="383"/>
      <c r="G982" s="383"/>
      <c r="H982" s="383"/>
      <c r="I982" s="385" t="b">
        <v>1</v>
      </c>
      <c r="J982" s="386" t="s">
        <v>12901</v>
      </c>
    </row>
    <row r="983" spans="1:10">
      <c r="A983" s="383" t="str">
        <f>CONCATENATE("Reviewed on"," ",(TEXT('2022-2023 Applications Review'!$A983, "mm/dd/yyyy")))</f>
        <v>Reviewed on 08/23/2022</v>
      </c>
      <c r="B983" s="383" t="str">
        <f>'2022-2023 Applications Review'!B983</f>
        <v>Pendulum _2022</v>
      </c>
      <c r="C983" s="383" t="str">
        <f>'2022-2023 Applications Review'!E983</f>
        <v>Digital Tech</v>
      </c>
      <c r="D983" s="384" t="str">
        <f>'2022-2023 Applications Review'!Q983</f>
        <v>Invite Next Year</v>
      </c>
      <c r="E983" s="383"/>
      <c r="F983" s="383"/>
      <c r="G983" s="383"/>
      <c r="H983" s="383"/>
      <c r="I983" s="385" t="b">
        <v>1</v>
      </c>
      <c r="J983" s="386" t="s">
        <v>12902</v>
      </c>
    </row>
    <row r="984" spans="1:10">
      <c r="A984" s="383" t="str">
        <f>CONCATENATE("Reviewed on"," ",(TEXT('2022-2023 Applications Review'!$A984, "mm/dd/yyyy")))</f>
        <v>Reviewed on 08/23/2022</v>
      </c>
      <c r="B984" s="383" t="str">
        <f>'2022-2023 Applications Review'!B984</f>
        <v>The Cumin Culinary Brands _2022</v>
      </c>
      <c r="C984" s="383" t="str">
        <f>'2022-2023 Applications Review'!E984</f>
        <v>Life Sciences</v>
      </c>
      <c r="D984" s="384" t="str">
        <f>'2022-2023 Applications Review'!Q984</f>
        <v>Invite Next Year</v>
      </c>
      <c r="E984" s="383"/>
      <c r="F984" s="383"/>
      <c r="G984" s="383"/>
      <c r="H984" s="383"/>
      <c r="I984" s="385" t="b">
        <v>1</v>
      </c>
      <c r="J984" s="386" t="s">
        <v>12903</v>
      </c>
    </row>
    <row r="985" spans="1:10">
      <c r="A985" s="383" t="str">
        <f>CONCATENATE("Reviewed on"," ",(TEXT('2022-2023 Applications Review'!$A985, "mm/dd/yyyy")))</f>
        <v>Reviewed on 08/23/2022</v>
      </c>
      <c r="B985" s="383" t="str">
        <f>'2022-2023 Applications Review'!B985</f>
        <v>bistrochat software ltd _2022</v>
      </c>
      <c r="C985" s="383" t="str">
        <f>'2022-2023 Applications Review'!E985</f>
        <v>Digital Tech</v>
      </c>
      <c r="D985" s="384" t="str">
        <f>'2022-2023 Applications Review'!Q985</f>
        <v>Invite Next Year</v>
      </c>
      <c r="E985" s="383"/>
      <c r="F985" s="383"/>
      <c r="G985" s="383"/>
      <c r="H985" s="383"/>
      <c r="I985" s="385" t="b">
        <v>1</v>
      </c>
      <c r="J985" s="386" t="s">
        <v>12904</v>
      </c>
    </row>
    <row r="986" spans="1:10">
      <c r="A986" s="383" t="str">
        <f>CONCATENATE("Reviewed on"," ",(TEXT('2022-2023 Applications Review'!$A986, "mm/dd/yyyy")))</f>
        <v>Reviewed on 08/23/2022</v>
      </c>
      <c r="B986" s="383" t="str">
        <f>'2022-2023 Applications Review'!B986</f>
        <v>Highsy, Inc. _2022</v>
      </c>
      <c r="C986" s="383" t="str">
        <f>'2022-2023 Applications Review'!E986</f>
        <v>Digital Tech</v>
      </c>
      <c r="D986" s="384" t="str">
        <f>'2022-2023 Applications Review'!Q986</f>
        <v>Invite Next Year</v>
      </c>
      <c r="E986" s="383"/>
      <c r="F986" s="383"/>
      <c r="G986" s="383"/>
      <c r="H986" s="383"/>
      <c r="I986" s="385" t="b">
        <v>1</v>
      </c>
      <c r="J986" s="386" t="s">
        <v>12905</v>
      </c>
    </row>
    <row r="987" spans="1:10">
      <c r="A987" s="383" t="str">
        <f>CONCATENATE("Reviewed on"," ",(TEXT('2022-2023 Applications Review'!$A987, "mm/dd/yyyy")))</f>
        <v>Reviewed on 08/23/2022</v>
      </c>
      <c r="B987" s="383" t="str">
        <f>'2022-2023 Applications Review'!B987</f>
        <v>RockStable _2022</v>
      </c>
      <c r="C987" s="383" t="str">
        <f>'2022-2023 Applications Review'!E987</f>
        <v>Digital Tech</v>
      </c>
      <c r="D987" s="384" t="str">
        <f>'2022-2023 Applications Review'!Q987</f>
        <v>Invite Next Year</v>
      </c>
      <c r="E987" s="383"/>
      <c r="F987" s="383"/>
      <c r="G987" s="383"/>
      <c r="H987" s="383"/>
      <c r="I987" s="385" t="b">
        <v>1</v>
      </c>
      <c r="J987" s="386" t="s">
        <v>12906</v>
      </c>
    </row>
    <row r="988" spans="1:10">
      <c r="A988" s="383" t="str">
        <f>CONCATENATE("Reviewed on"," ",(TEXT('2022-2023 Applications Review'!$A988, "mm/dd/yyyy")))</f>
        <v>Reviewed on 08/23/2022</v>
      </c>
      <c r="B988" s="383" t="str">
        <f>'2022-2023 Applications Review'!B988</f>
        <v>breathing.ai _2022</v>
      </c>
      <c r="C988" s="383" t="str">
        <f>'2022-2023 Applications Review'!E988</f>
        <v>Digital Tech</v>
      </c>
      <c r="D988" s="384" t="str">
        <f>'2022-2023 Applications Review'!Q988</f>
        <v>Invite Next Year</v>
      </c>
      <c r="E988" s="383"/>
      <c r="F988" s="383"/>
      <c r="G988" s="383"/>
      <c r="H988" s="383"/>
      <c r="I988" s="385" t="b">
        <v>1</v>
      </c>
      <c r="J988" s="386" t="s">
        <v>12907</v>
      </c>
    </row>
    <row r="989" spans="1:10">
      <c r="A989" s="383" t="str">
        <f>CONCATENATE("Reviewed on"," ",(TEXT('2022-2023 Applications Review'!$A989, "mm/dd/yyyy")))</f>
        <v>Reviewed on 08/23/2022</v>
      </c>
      <c r="B989" s="383" t="str">
        <f>'2022-2023 Applications Review'!B989</f>
        <v>The Bridge _2022</v>
      </c>
      <c r="C989" s="383" t="str">
        <f>'2022-2023 Applications Review'!E989</f>
        <v>Digital Tech</v>
      </c>
      <c r="D989" s="384" t="str">
        <f>'2022-2023 Applications Review'!Q989</f>
        <v>Invite Next Year</v>
      </c>
      <c r="E989" s="383"/>
      <c r="F989" s="383"/>
      <c r="G989" s="383"/>
      <c r="H989" s="383"/>
      <c r="I989" s="385" t="b">
        <v>1</v>
      </c>
      <c r="J989" s="386" t="s">
        <v>12908</v>
      </c>
    </row>
    <row r="990" spans="1:10">
      <c r="A990" s="383" t="str">
        <f>CONCATENATE("Reviewed on"," ",(TEXT('2022-2023 Applications Review'!$A990, "mm/dd/yyyy")))</f>
        <v>Reviewed on 08/23/2022</v>
      </c>
      <c r="B990" s="383" t="str">
        <f>'2022-2023 Applications Review'!B990</f>
        <v>QualDev _2022</v>
      </c>
      <c r="C990" s="383" t="str">
        <f>'2022-2023 Applications Review'!E990</f>
        <v>Digital Tech</v>
      </c>
      <c r="D990" s="384" t="str">
        <f>'2022-2023 Applications Review'!Q990</f>
        <v>Invite Next Year</v>
      </c>
      <c r="E990" s="383"/>
      <c r="F990" s="383"/>
      <c r="G990" s="383"/>
      <c r="H990" s="383"/>
      <c r="I990" s="385" t="b">
        <v>1</v>
      </c>
      <c r="J990" s="386" t="s">
        <v>12909</v>
      </c>
    </row>
    <row r="991" spans="1:10">
      <c r="A991" s="383" t="str">
        <f>CONCATENATE("Reviewed on"," ",(TEXT('2022-2023 Applications Review'!$A991, "mm/dd/yyyy")))</f>
        <v>Reviewed on 08/23/2022</v>
      </c>
      <c r="B991" s="383" t="str">
        <f>'2022-2023 Applications Review'!B991</f>
        <v>BioShade _2022</v>
      </c>
      <c r="C991" s="383" t="str">
        <f>'2022-2023 Applications Review'!E991</f>
        <v>Deep Tech</v>
      </c>
      <c r="D991" s="384" t="str">
        <f>'2022-2023 Applications Review'!Q991</f>
        <v>Invite Next Year</v>
      </c>
      <c r="E991" s="383"/>
      <c r="F991" s="383"/>
      <c r="G991" s="383"/>
      <c r="H991" s="383"/>
      <c r="I991" s="385" t="b">
        <v>1</v>
      </c>
      <c r="J991" s="386" t="s">
        <v>12910</v>
      </c>
    </row>
    <row r="992" spans="1:10">
      <c r="A992" s="383" t="str">
        <f>CONCATENATE("Reviewed on"," ",(TEXT('2022-2023 Applications Review'!$A992, "mm/dd/yyyy")))</f>
        <v>Reviewed on 08/23/2022</v>
      </c>
      <c r="B992" s="383" t="str">
        <f>'2022-2023 Applications Review'!B992</f>
        <v>Boundless Robotics _2022</v>
      </c>
      <c r="C992" s="383" t="str">
        <f>'2022-2023 Applications Review'!E992</f>
        <v>Deep Tech</v>
      </c>
      <c r="D992" s="384" t="str">
        <f>'2022-2023 Applications Review'!Q992</f>
        <v>Invite Next Year</v>
      </c>
      <c r="E992" s="383"/>
      <c r="F992" s="383"/>
      <c r="G992" s="383"/>
      <c r="H992" s="383"/>
      <c r="I992" s="385" t="b">
        <v>1</v>
      </c>
      <c r="J992" s="386" t="s">
        <v>12911</v>
      </c>
    </row>
    <row r="993" spans="1:10">
      <c r="A993" s="383" t="str">
        <f>CONCATENATE("Reviewed on"," ",(TEXT('2022-2023 Applications Review'!$A993, "mm/dd/yyyy")))</f>
        <v>Reviewed on 08/23/2022</v>
      </c>
      <c r="B993" s="383" t="str">
        <f>'2022-2023 Applications Review'!B993</f>
        <v>MedExplain, Inc. _2022</v>
      </c>
      <c r="C993" s="383" t="str">
        <f>'2022-2023 Applications Review'!E993</f>
        <v>Digital Tech</v>
      </c>
      <c r="D993" s="384" t="str">
        <f>'2022-2023 Applications Review'!Q993</f>
        <v>Invite Next Year</v>
      </c>
      <c r="E993" s="383"/>
      <c r="F993" s="383"/>
      <c r="G993" s="383"/>
      <c r="H993" s="383"/>
      <c r="I993" s="385" t="b">
        <v>1</v>
      </c>
      <c r="J993" s="386" t="s">
        <v>12912</v>
      </c>
    </row>
    <row r="994" spans="1:10">
      <c r="A994" s="383" t="str">
        <f>CONCATENATE("Reviewed on"," ",(TEXT('2022-2023 Applications Review'!$A994, "mm/dd/yyyy")))</f>
        <v>Reviewed on 08/23/2022</v>
      </c>
      <c r="B994" s="383" t="str">
        <f>'2022-2023 Applications Review'!B994</f>
        <v>Greenfields Digital Susu and Bank _2022</v>
      </c>
      <c r="C994" s="383" t="str">
        <f>'2022-2023 Applications Review'!E994</f>
        <v>Digital Tech</v>
      </c>
      <c r="D994" s="384" t="str">
        <f>'2022-2023 Applications Review'!Q994</f>
        <v>Invite Next Year</v>
      </c>
      <c r="E994" s="383"/>
      <c r="F994" s="383"/>
      <c r="G994" s="383"/>
      <c r="H994" s="383"/>
      <c r="I994" s="385" t="b">
        <v>1</v>
      </c>
      <c r="J994" s="386" t="s">
        <v>12913</v>
      </c>
    </row>
    <row r="995" spans="1:10">
      <c r="A995" s="383" t="str">
        <f>CONCATENATE("Reviewed on"," ",(TEXT('2022-2023 Applications Review'!$A995, "mm/dd/yyyy")))</f>
        <v>Reviewed on 08/23/2022</v>
      </c>
      <c r="B995" s="383" t="str">
        <f>'2022-2023 Applications Review'!B995</f>
        <v>Metaiss _2022</v>
      </c>
      <c r="C995" s="383" t="str">
        <f>'2022-2023 Applications Review'!E995</f>
        <v>Digital Tech</v>
      </c>
      <c r="D995" s="384" t="str">
        <f>'2022-2023 Applications Review'!Q995</f>
        <v>Invite Next Year</v>
      </c>
      <c r="E995" s="383"/>
      <c r="F995" s="383"/>
      <c r="G995" s="383"/>
      <c r="H995" s="383"/>
      <c r="I995" s="385" t="b">
        <v>1</v>
      </c>
      <c r="J995" s="386" t="s">
        <v>12914</v>
      </c>
    </row>
    <row r="996" spans="1:10">
      <c r="A996" s="383" t="str">
        <f>CONCATENATE("Reviewed on"," ",(TEXT('2022-2023 Applications Review'!$A996, "mm/dd/yyyy")))</f>
        <v>Reviewed on 08/23/2022</v>
      </c>
      <c r="B996" s="383" t="str">
        <f>'2022-2023 Applications Review'!B996</f>
        <v>Yumwoof Natural Pet Food _2022</v>
      </c>
      <c r="C996" s="383" t="str">
        <f>'2022-2023 Applications Review'!E996</f>
        <v>Life Sciences</v>
      </c>
      <c r="D996" s="384" t="str">
        <f>'2022-2023 Applications Review'!Q996</f>
        <v>Invite Next Year</v>
      </c>
      <c r="E996" s="383"/>
      <c r="F996" s="383"/>
      <c r="G996" s="383"/>
      <c r="H996" s="383"/>
      <c r="I996" s="385" t="b">
        <v>1</v>
      </c>
      <c r="J996" s="386" t="s">
        <v>12915</v>
      </c>
    </row>
    <row r="997" spans="1:10">
      <c r="A997" s="383" t="str">
        <f>CONCATENATE("Reviewed on"," ",(TEXT('2022-2023 Applications Review'!$A997, "mm/dd/yyyy")))</f>
        <v>Reviewed on 08/23/2022</v>
      </c>
      <c r="B997" s="383" t="str">
        <f>'2022-2023 Applications Review'!B997</f>
        <v>Data Creative, LLC _2022</v>
      </c>
      <c r="C997" s="383" t="str">
        <f>'2022-2023 Applications Review'!E997</f>
        <v>Digital Tech</v>
      </c>
      <c r="D997" s="384" t="str">
        <f>'2022-2023 Applications Review'!Q997</f>
        <v>Invite Next Year</v>
      </c>
      <c r="E997" s="383"/>
      <c r="F997" s="383"/>
      <c r="G997" s="383"/>
      <c r="H997" s="383"/>
      <c r="I997" s="385" t="b">
        <v>1</v>
      </c>
      <c r="J997" s="386" t="s">
        <v>12916</v>
      </c>
    </row>
    <row r="998" spans="1:10">
      <c r="A998" s="383" t="str">
        <f>CONCATENATE("Reviewed on"," ",(TEXT('2022-2023 Applications Review'!$A998, "mm/dd/yyyy")))</f>
        <v>Reviewed on 08/23/2022</v>
      </c>
      <c r="B998" s="383" t="str">
        <f>'2022-2023 Applications Review'!B998</f>
        <v>Too-King Technology _2022</v>
      </c>
      <c r="C998" s="383" t="str">
        <f>'2022-2023 Applications Review'!E998</f>
        <v>Digital Tech</v>
      </c>
      <c r="D998" s="384" t="str">
        <f>'2022-2023 Applications Review'!Q998</f>
        <v>Invite Next Year</v>
      </c>
      <c r="E998" s="383"/>
      <c r="F998" s="383"/>
      <c r="G998" s="383"/>
      <c r="H998" s="383"/>
      <c r="I998" s="385" t="b">
        <v>1</v>
      </c>
      <c r="J998" s="386" t="s">
        <v>12917</v>
      </c>
    </row>
    <row r="999" spans="1:10">
      <c r="A999" s="383" t="str">
        <f>CONCATENATE("Reviewed on"," ",(TEXT('2022-2023 Applications Review'!$A999, "mm/dd/yyyy")))</f>
        <v>Reviewed on 08/23/2022</v>
      </c>
      <c r="B999" s="383" t="str">
        <f>'2022-2023 Applications Review'!B999</f>
        <v>Nutrizle _2022</v>
      </c>
      <c r="C999" s="383" t="str">
        <f>'2022-2023 Applications Review'!E999</f>
        <v>Life Sciences</v>
      </c>
      <c r="D999" s="384" t="str">
        <f>'2022-2023 Applications Review'!Q999</f>
        <v>Invite Next Year</v>
      </c>
      <c r="E999" s="383"/>
      <c r="F999" s="383"/>
      <c r="G999" s="383"/>
      <c r="H999" s="383"/>
      <c r="I999" s="385" t="b">
        <v>1</v>
      </c>
      <c r="J999" s="386" t="s">
        <v>12918</v>
      </c>
    </row>
    <row r="1000" spans="1:10">
      <c r="A1000" s="383" t="str">
        <f>CONCATENATE("Reviewed on"," ",(TEXT('2022-2023 Applications Review'!$A1000, "mm/dd/yyyy")))</f>
        <v>Reviewed on 08/23/2022</v>
      </c>
      <c r="B1000" s="383" t="str">
        <f>'2022-2023 Applications Review'!B1000</f>
        <v>Oval NFT _2022</v>
      </c>
      <c r="C1000" s="383" t="str">
        <f>'2022-2023 Applications Review'!E1000</f>
        <v>Digital Tech</v>
      </c>
      <c r="D1000" s="384" t="str">
        <f>'2022-2023 Applications Review'!Q1000</f>
        <v>Invite Next Year</v>
      </c>
      <c r="E1000" s="383"/>
      <c r="F1000" s="383"/>
      <c r="G1000" s="383"/>
      <c r="H1000" s="383"/>
      <c r="I1000" s="385" t="b">
        <v>1</v>
      </c>
      <c r="J1000" s="386" t="s">
        <v>12919</v>
      </c>
    </row>
    <row r="1001" spans="1:10">
      <c r="A1001" s="383" t="str">
        <f>CONCATENATE("Reviewed on"," ",(TEXT('2022-2023 Applications Review'!$A1001, "mm/dd/yyyy")))</f>
        <v>Reviewed on 08/23/2022</v>
      </c>
      <c r="B1001" s="383" t="str">
        <f>'2022-2023 Applications Review'!B1001</f>
        <v>Avatar Interview Training _2022</v>
      </c>
      <c r="C1001" s="383" t="str">
        <f>'2022-2023 Applications Review'!E1001</f>
        <v>Digital Tech</v>
      </c>
      <c r="D1001" s="384" t="str">
        <f>'2022-2023 Applications Review'!Q1001</f>
        <v>Invite Next Year</v>
      </c>
      <c r="E1001" s="383"/>
      <c r="F1001" s="383"/>
      <c r="G1001" s="383"/>
      <c r="H1001" s="383"/>
      <c r="I1001" s="385" t="b">
        <v>1</v>
      </c>
      <c r="J1001" s="386" t="s">
        <v>12920</v>
      </c>
    </row>
    <row r="1002" spans="1:10">
      <c r="A1002" s="383" t="str">
        <f>CONCATENATE("Reviewed on"," ",(TEXT('2022-2023 Applications Review'!$A1002, "mm/dd/yyyy")))</f>
        <v>Reviewed on 08/23/2022</v>
      </c>
      <c r="B1002" s="383" t="str">
        <f>'2022-2023 Applications Review'!B1002</f>
        <v>Raylon (subject to change) _2022</v>
      </c>
      <c r="C1002" s="383" t="str">
        <f>'2022-2023 Applications Review'!E1002</f>
        <v>Digital Tech</v>
      </c>
      <c r="D1002" s="384" t="str">
        <f>'2022-2023 Applications Review'!Q1002</f>
        <v>Invite Next Year</v>
      </c>
      <c r="E1002" s="383"/>
      <c r="F1002" s="383"/>
      <c r="G1002" s="383"/>
      <c r="H1002" s="383"/>
      <c r="I1002" s="385" t="b">
        <v>1</v>
      </c>
      <c r="J1002" s="386" t="s">
        <v>12921</v>
      </c>
    </row>
    <row r="1003" spans="1:10">
      <c r="A1003" s="383" t="str">
        <f>CONCATENATE("Reviewed on"," ",(TEXT('2022-2023 Applications Review'!$A1003, "mm/dd/yyyy")))</f>
        <v>Reviewed on 08/23/2022</v>
      </c>
      <c r="B1003" s="383" t="str">
        <f>'2022-2023 Applications Review'!B1003</f>
        <v>BWISECORP Blue Whale Invention Safety Energy Corporation  _2022</v>
      </c>
      <c r="C1003" s="383" t="str">
        <f>'2022-2023 Applications Review'!E1003</f>
        <v>Life Sciences</v>
      </c>
      <c r="D1003" s="384" t="str">
        <f>'2022-2023 Applications Review'!Q1003</f>
        <v>Invite Next Year</v>
      </c>
      <c r="E1003" s="383"/>
      <c r="F1003" s="383"/>
      <c r="G1003" s="383"/>
      <c r="H1003" s="383"/>
      <c r="I1003" s="385" t="b">
        <v>1</v>
      </c>
      <c r="J1003" s="386" t="s">
        <v>12922</v>
      </c>
    </row>
    <row r="1004" spans="1:10">
      <c r="A1004" s="383" t="str">
        <f>CONCATENATE("Reviewed on"," ",(TEXT('2022-2023 Applications Review'!$A1004, "mm/dd/yyyy")))</f>
        <v>Reviewed on 08/23/2022</v>
      </c>
      <c r="B1004" s="383" t="str">
        <f>'2022-2023 Applications Review'!B1004</f>
        <v>Goody Basket Games, LLC _2022</v>
      </c>
      <c r="C1004" s="383" t="str">
        <f>'2022-2023 Applications Review'!E1004</f>
        <v>Digital Tech</v>
      </c>
      <c r="D1004" s="384" t="str">
        <f>'2022-2023 Applications Review'!Q1004</f>
        <v>Invite Next Year</v>
      </c>
      <c r="E1004" s="383"/>
      <c r="F1004" s="383"/>
      <c r="G1004" s="383"/>
      <c r="H1004" s="383"/>
      <c r="I1004" s="385" t="b">
        <v>1</v>
      </c>
      <c r="J1004" s="386" t="s">
        <v>12923</v>
      </c>
    </row>
    <row r="1005" spans="1:10">
      <c r="A1005" s="383" t="str">
        <f>CONCATENATE("Reviewed on"," ",(TEXT('2022-2023 Applications Review'!$A1005, "mm/dd/yyyy")))</f>
        <v>Reviewed on 08/23/2022</v>
      </c>
      <c r="B1005" s="383" t="str">
        <f>'2022-2023 Applications Review'!B1005</f>
        <v>MetaPals _2022</v>
      </c>
      <c r="C1005" s="383" t="str">
        <f>'2022-2023 Applications Review'!E1005</f>
        <v>Digital Tech</v>
      </c>
      <c r="D1005" s="384" t="str">
        <f>'2022-2023 Applications Review'!Q1005</f>
        <v>Invite Next Year</v>
      </c>
      <c r="E1005" s="383"/>
      <c r="F1005" s="383"/>
      <c r="G1005" s="383"/>
      <c r="H1005" s="383"/>
      <c r="I1005" s="385" t="b">
        <v>1</v>
      </c>
      <c r="J1005" s="386" t="s">
        <v>12924</v>
      </c>
    </row>
    <row r="1006" spans="1:10">
      <c r="A1006" s="383" t="str">
        <f>CONCATENATE("Reviewed on"," ",(TEXT('2022-2023 Applications Review'!$A1006, "mm/dd/yyyy")))</f>
        <v>Reviewed on 08/23/2022</v>
      </c>
      <c r="B1006" s="383" t="str">
        <f>'2022-2023 Applications Review'!B1006</f>
        <v>MOBU _2022</v>
      </c>
      <c r="C1006" s="383" t="str">
        <f>'2022-2023 Applications Review'!E1006</f>
        <v>Digital Tech</v>
      </c>
      <c r="D1006" s="384" t="str">
        <f>'2022-2023 Applications Review'!Q1006</f>
        <v>Invite Next Year</v>
      </c>
      <c r="E1006" s="383"/>
      <c r="F1006" s="383"/>
      <c r="G1006" s="383"/>
      <c r="H1006" s="383"/>
      <c r="I1006" s="385" t="b">
        <v>1</v>
      </c>
      <c r="J1006" s="386" t="s">
        <v>12925</v>
      </c>
    </row>
    <row r="1007" spans="1:10">
      <c r="A1007" s="383" t="str">
        <f>CONCATENATE("Reviewed on"," ",(TEXT('2022-2023 Applications Review'!$A1007, "mm/dd/yyyy")))</f>
        <v>Reviewed on 08/23/2022</v>
      </c>
      <c r="B1007" s="383" t="str">
        <f>'2022-2023 Applications Review'!B1007</f>
        <v>Intelpure  _2022</v>
      </c>
      <c r="C1007" s="383" t="str">
        <f>'2022-2023 Applications Review'!E1007</f>
        <v>Digital Tech</v>
      </c>
      <c r="D1007" s="384" t="str">
        <f>'2022-2023 Applications Review'!Q1007</f>
        <v>Invite Next Year</v>
      </c>
      <c r="E1007" s="383"/>
      <c r="F1007" s="383"/>
      <c r="G1007" s="383"/>
      <c r="H1007" s="383"/>
      <c r="I1007" s="385" t="b">
        <v>1</v>
      </c>
      <c r="J1007" s="386" t="s">
        <v>12926</v>
      </c>
    </row>
    <row r="1008" spans="1:10">
      <c r="A1008" s="383" t="str">
        <f>CONCATENATE("Reviewed on"," ",(TEXT('2022-2023 Applications Review'!$A1008, "mm/dd/yyyy")))</f>
        <v>Reviewed on 08/23/2022</v>
      </c>
      <c r="B1008" s="383" t="str">
        <f>'2022-2023 Applications Review'!B1008</f>
        <v>COMPOSTAME _2022</v>
      </c>
      <c r="C1008" s="383" t="str">
        <f>'2022-2023 Applications Review'!E1008</f>
        <v>Life Sciences</v>
      </c>
      <c r="D1008" s="384" t="str">
        <f>'2022-2023 Applications Review'!Q1008</f>
        <v>Invite Next Year</v>
      </c>
      <c r="E1008" s="383"/>
      <c r="F1008" s="383"/>
      <c r="G1008" s="383"/>
      <c r="H1008" s="383"/>
      <c r="I1008" s="385" t="b">
        <v>1</v>
      </c>
      <c r="J1008" s="386" t="s">
        <v>12927</v>
      </c>
    </row>
    <row r="1009" spans="1:10">
      <c r="A1009" s="383" t="str">
        <f>CONCATENATE("Reviewed on"," ",(TEXT('2022-2023 Applications Review'!$A1009, "mm/dd/yyyy")))</f>
        <v>Reviewed on 08/23/2022</v>
      </c>
      <c r="B1009" s="383" t="str">
        <f>'2022-2023 Applications Review'!B1009</f>
        <v>NewYou /ThePeopleChain/notyet _2022</v>
      </c>
      <c r="C1009" s="383" t="str">
        <f>'2022-2023 Applications Review'!E1009</f>
        <v>Life Sciences</v>
      </c>
      <c r="D1009" s="384" t="str">
        <f>'2022-2023 Applications Review'!Q1009</f>
        <v>Invite Next Year</v>
      </c>
      <c r="E1009" s="383"/>
      <c r="F1009" s="383"/>
      <c r="G1009" s="383"/>
      <c r="H1009" s="383"/>
      <c r="I1009" s="385" t="b">
        <v>1</v>
      </c>
      <c r="J1009" s="386" t="s">
        <v>12928</v>
      </c>
    </row>
    <row r="1010" spans="1:10">
      <c r="A1010" s="383" t="str">
        <f>CONCATENATE("Reviewed on"," ",(TEXT('2022-2023 Applications Review'!$A1010, "mm/dd/yyyy")))</f>
        <v>Reviewed on 08/23/2022</v>
      </c>
      <c r="B1010" s="383" t="str">
        <f>'2022-2023 Applications Review'!B1010</f>
        <v>Upfront _2022</v>
      </c>
      <c r="C1010" s="383" t="str">
        <f>'2022-2023 Applications Review'!E1010</f>
        <v>Digital Tech</v>
      </c>
      <c r="D1010" s="384" t="str">
        <f>'2022-2023 Applications Review'!Q1010</f>
        <v>Invite Next Year</v>
      </c>
      <c r="E1010" s="383"/>
      <c r="F1010" s="383"/>
      <c r="G1010" s="383"/>
      <c r="H1010" s="383"/>
      <c r="I1010" s="385" t="b">
        <v>1</v>
      </c>
      <c r="J1010" s="386" t="s">
        <v>12929</v>
      </c>
    </row>
    <row r="1011" spans="1:10">
      <c r="A1011" s="383" t="str">
        <f>CONCATENATE("Reviewed on"," ",(TEXT('2022-2023 Applications Review'!$A1011, "mm/dd/yyyy")))</f>
        <v>Reviewed on 08/23/2022</v>
      </c>
      <c r="B1011" s="383" t="str">
        <f>'2022-2023 Applications Review'!B1011</f>
        <v>Edible Graveyards _2022</v>
      </c>
      <c r="C1011" s="383" t="str">
        <f>'2022-2023 Applications Review'!E1011</f>
        <v>Life Sciences</v>
      </c>
      <c r="D1011" s="384" t="str">
        <f>'2022-2023 Applications Review'!Q1011</f>
        <v>Invite Next Year</v>
      </c>
      <c r="E1011" s="383"/>
      <c r="F1011" s="383"/>
      <c r="G1011" s="383"/>
      <c r="H1011" s="383"/>
      <c r="I1011" s="385" t="b">
        <v>1</v>
      </c>
      <c r="J1011" s="386" t="s">
        <v>12930</v>
      </c>
    </row>
    <row r="1012" spans="1:10">
      <c r="A1012" s="383" t="str">
        <f>CONCATENATE("Reviewed on"," ",(TEXT('2022-2023 Applications Review'!$A1012, "mm/dd/yyyy")))</f>
        <v>Reviewed on 08/23/2022</v>
      </c>
      <c r="B1012" s="383" t="str">
        <f>'2022-2023 Applications Review'!B1012</f>
        <v>Ripplenity Inc. _2022</v>
      </c>
      <c r="C1012" s="383" t="str">
        <f>'2022-2023 Applications Review'!E1012</f>
        <v>Digital Tech</v>
      </c>
      <c r="D1012" s="384" t="str">
        <f>'2022-2023 Applications Review'!Q1012</f>
        <v>Invite Next Year</v>
      </c>
      <c r="E1012" s="383"/>
      <c r="F1012" s="383"/>
      <c r="G1012" s="383"/>
      <c r="H1012" s="383"/>
      <c r="I1012" s="385" t="b">
        <v>1</v>
      </c>
      <c r="J1012" s="386" t="s">
        <v>12931</v>
      </c>
    </row>
    <row r="1013" spans="1:10">
      <c r="A1013" s="383" t="str">
        <f>CONCATENATE("Reviewed on"," ",(TEXT('2022-2023 Applications Review'!$A1013, "mm/dd/yyyy")))</f>
        <v>Reviewed on 08/23/2022</v>
      </c>
      <c r="B1013" s="383" t="str">
        <f>'2022-2023 Applications Review'!B1013</f>
        <v>Ankler Media _2022</v>
      </c>
      <c r="C1013" s="383" t="str">
        <f>'2022-2023 Applications Review'!E1013</f>
        <v>Digital Tech</v>
      </c>
      <c r="D1013" s="384" t="str">
        <f>'2022-2023 Applications Review'!Q1013</f>
        <v>Invite Next Year</v>
      </c>
      <c r="E1013" s="383"/>
      <c r="F1013" s="383"/>
      <c r="G1013" s="383"/>
      <c r="H1013" s="383"/>
      <c r="I1013" s="385" t="b">
        <v>1</v>
      </c>
      <c r="J1013" s="386" t="s">
        <v>12932</v>
      </c>
    </row>
    <row r="1014" spans="1:10">
      <c r="A1014" s="383" t="str">
        <f>CONCATENATE("Reviewed on"," ",(TEXT('2022-2023 Applications Review'!$A1014, "mm/dd/yyyy")))</f>
        <v>Reviewed on 08/23/2022</v>
      </c>
      <c r="B1014" s="383" t="str">
        <f>'2022-2023 Applications Review'!B1014</f>
        <v>Breakthru _2022</v>
      </c>
      <c r="C1014" s="383" t="str">
        <f>'2022-2023 Applications Review'!E1014</f>
        <v>Digital Tech</v>
      </c>
      <c r="D1014" s="384" t="str">
        <f>'2022-2023 Applications Review'!Q1014</f>
        <v>Invite Next Year</v>
      </c>
      <c r="E1014" s="383"/>
      <c r="F1014" s="383"/>
      <c r="G1014" s="383"/>
      <c r="H1014" s="383"/>
      <c r="I1014" s="385" t="b">
        <v>1</v>
      </c>
      <c r="J1014" s="386" t="s">
        <v>12933</v>
      </c>
    </row>
    <row r="1015" spans="1:10">
      <c r="A1015" s="383" t="str">
        <f>CONCATENATE("Reviewed on"," ",(TEXT('2022-2023 Applications Review'!$A1015, "mm/dd/yyyy")))</f>
        <v>Reviewed on 08/23/2022</v>
      </c>
      <c r="B1015" s="383" t="str">
        <f>'2022-2023 Applications Review'!B1015</f>
        <v>Videoster Inc. _2022</v>
      </c>
      <c r="C1015" s="383" t="str">
        <f>'2022-2023 Applications Review'!E1015</f>
        <v>Digital Tech</v>
      </c>
      <c r="D1015" s="384" t="str">
        <f>'2022-2023 Applications Review'!Q1015</f>
        <v>Invite Next Year</v>
      </c>
      <c r="E1015" s="383"/>
      <c r="F1015" s="383"/>
      <c r="G1015" s="383"/>
      <c r="H1015" s="383"/>
      <c r="I1015" s="385" t="b">
        <v>1</v>
      </c>
      <c r="J1015" s="386" t="s">
        <v>12934</v>
      </c>
    </row>
    <row r="1016" spans="1:10">
      <c r="A1016" s="383" t="str">
        <f>CONCATENATE("Reviewed on"," ",(TEXT('2022-2023 Applications Review'!$A1016, "mm/dd/yyyy")))</f>
        <v>Reviewed on 08/23/2022</v>
      </c>
      <c r="B1016" s="383" t="str">
        <f>'2022-2023 Applications Review'!B1016</f>
        <v>MechanicMe _2022</v>
      </c>
      <c r="C1016" s="383" t="str">
        <f>'2022-2023 Applications Review'!E1016</f>
        <v>Digital Tech</v>
      </c>
      <c r="D1016" s="384" t="str">
        <f>'2022-2023 Applications Review'!Q1016</f>
        <v>Invite Next Year</v>
      </c>
      <c r="E1016" s="383"/>
      <c r="F1016" s="383"/>
      <c r="G1016" s="383"/>
      <c r="H1016" s="383"/>
      <c r="I1016" s="385" t="b">
        <v>1</v>
      </c>
      <c r="J1016" s="386" t="s">
        <v>12935</v>
      </c>
    </row>
    <row r="1017" spans="1:10">
      <c r="A1017" s="383" t="str">
        <f>CONCATENATE("Reviewed on"," ",(TEXT('2022-2023 Applications Review'!$A1017, "mm/dd/yyyy")))</f>
        <v>Reviewed on 08/23/2022</v>
      </c>
      <c r="B1017" s="383" t="str">
        <f>'2022-2023 Applications Review'!B1017</f>
        <v>HeyLayer _2022</v>
      </c>
      <c r="C1017" s="383" t="str">
        <f>'2022-2023 Applications Review'!E1017</f>
        <v>Digital Tech</v>
      </c>
      <c r="D1017" s="384" t="str">
        <f>'2022-2023 Applications Review'!Q1017</f>
        <v>Invite Next Year</v>
      </c>
      <c r="E1017" s="383"/>
      <c r="F1017" s="383"/>
      <c r="G1017" s="383"/>
      <c r="H1017" s="383"/>
      <c r="I1017" s="385" t="b">
        <v>1</v>
      </c>
      <c r="J1017" s="386" t="s">
        <v>12936</v>
      </c>
    </row>
    <row r="1018" spans="1:10">
      <c r="A1018" s="383" t="str">
        <f>CONCATENATE("Reviewed on"," ",(TEXT('2022-2023 Applications Review'!$A1018, "mm/dd/yyyy")))</f>
        <v>Reviewed on 08/23/2022</v>
      </c>
      <c r="B1018" s="383" t="str">
        <f>'2022-2023 Applications Review'!B1018</f>
        <v>Res Bid _2022</v>
      </c>
      <c r="C1018" s="383" t="str">
        <f>'2022-2023 Applications Review'!E1018</f>
        <v>Digital Tech</v>
      </c>
      <c r="D1018" s="384" t="str">
        <f>'2022-2023 Applications Review'!Q1018</f>
        <v>Invite Next Year</v>
      </c>
      <c r="E1018" s="383"/>
      <c r="F1018" s="383"/>
      <c r="G1018" s="383"/>
      <c r="H1018" s="383"/>
      <c r="I1018" s="385" t="b">
        <v>1</v>
      </c>
      <c r="J1018" s="386" t="s">
        <v>12937</v>
      </c>
    </row>
    <row r="1019" spans="1:10">
      <c r="A1019" s="383" t="str">
        <f>CONCATENATE("Reviewed on"," ",(TEXT('2022-2023 Applications Review'!$A1019, "mm/dd/yyyy")))</f>
        <v>Reviewed on 08/23/2022</v>
      </c>
      <c r="B1019" s="383" t="str">
        <f>'2022-2023 Applications Review'!B1019</f>
        <v>BLD Funds _2022</v>
      </c>
      <c r="C1019" s="383" t="str">
        <f>'2022-2023 Applications Review'!E1019</f>
        <v>Digital Tech</v>
      </c>
      <c r="D1019" s="384" t="str">
        <f>'2022-2023 Applications Review'!Q1019</f>
        <v>Invite Next Year</v>
      </c>
      <c r="E1019" s="383"/>
      <c r="F1019" s="383"/>
      <c r="G1019" s="383"/>
      <c r="H1019" s="383"/>
      <c r="I1019" s="385" t="b">
        <v>1</v>
      </c>
      <c r="J1019" s="386" t="s">
        <v>12938</v>
      </c>
    </row>
    <row r="1020" spans="1:10">
      <c r="A1020" s="383" t="str">
        <f>CONCATENATE("Reviewed on"," ",(TEXT('2022-2023 Applications Review'!$A1020, "mm/dd/yyyy")))</f>
        <v>Reviewed on 08/24/2022</v>
      </c>
      <c r="B1020" s="383" t="str">
        <f>'2022-2023 Applications Review'!B1020</f>
        <v>Yuty  _2022</v>
      </c>
      <c r="C1020" s="383" t="str">
        <f>'2022-2023 Applications Review'!E1020</f>
        <v>Digital Tech</v>
      </c>
      <c r="D1020" s="384" t="str">
        <f>'2022-2023 Applications Review'!Q1020</f>
        <v>Invite Next Year</v>
      </c>
      <c r="E1020" s="383"/>
      <c r="F1020" s="383"/>
      <c r="G1020" s="383"/>
      <c r="H1020" s="383"/>
      <c r="I1020" s="385" t="b">
        <v>1</v>
      </c>
      <c r="J1020" s="386" t="s">
        <v>12939</v>
      </c>
    </row>
    <row r="1021" spans="1:10">
      <c r="A1021" s="383" t="str">
        <f>CONCATENATE("Reviewed on"," ",(TEXT('2022-2023 Applications Review'!$A1021, "mm/dd/yyyy")))</f>
        <v>Reviewed on 08/24/2022</v>
      </c>
      <c r="B1021" s="383" t="str">
        <f>'2022-2023 Applications Review'!B1021</f>
        <v>siRNAgen Therapeutics _2022</v>
      </c>
      <c r="C1021" s="383" t="str">
        <f>'2022-2023 Applications Review'!E1021</f>
        <v>Life Sciences</v>
      </c>
      <c r="D1021" s="384" t="str">
        <f>'2022-2023 Applications Review'!Q1021</f>
        <v>Invite</v>
      </c>
      <c r="E1021" s="383"/>
      <c r="F1021" s="383"/>
      <c r="G1021" s="383"/>
      <c r="H1021" s="383"/>
      <c r="I1021" s="385" t="b">
        <v>1</v>
      </c>
      <c r="J1021" s="386" t="s">
        <v>12940</v>
      </c>
    </row>
    <row r="1022" spans="1:10">
      <c r="A1022" s="383" t="str">
        <f>CONCATENATE("Reviewed on"," ",(TEXT('2022-2023 Applications Review'!$A1022, "mm/dd/yyyy")))</f>
        <v>Reviewed on 08/24/2022</v>
      </c>
      <c r="B1022" s="383" t="str">
        <f>'2022-2023 Applications Review'!B1022</f>
        <v>ORNA Inc. _2022</v>
      </c>
      <c r="C1022" s="383" t="str">
        <f>'2022-2023 Applications Review'!E1022</f>
        <v>Digital Tech</v>
      </c>
      <c r="D1022" s="384" t="str">
        <f>'2022-2023 Applications Review'!Q1022</f>
        <v>Invite</v>
      </c>
      <c r="E1022" s="383"/>
      <c r="F1022" s="383"/>
      <c r="G1022" s="383"/>
      <c r="H1022" s="383"/>
      <c r="I1022" s="385" t="b">
        <v>1</v>
      </c>
      <c r="J1022" s="386" t="s">
        <v>12941</v>
      </c>
    </row>
    <row r="1023" spans="1:10">
      <c r="A1023" s="383" t="str">
        <f>CONCATENATE("Reviewed on"," ",(TEXT('2022-2023 Applications Review'!$A1023, "mm/dd/yyyy")))</f>
        <v>Reviewed on 08/24/2022</v>
      </c>
      <c r="B1023" s="383" t="str">
        <f>'2022-2023 Applications Review'!B1023</f>
        <v>NaNotics, LLC _2022</v>
      </c>
      <c r="C1023" s="383" t="str">
        <f>'2022-2023 Applications Review'!E1023</f>
        <v>Life Sciences</v>
      </c>
      <c r="D1023" s="384" t="str">
        <f>'2022-2023 Applications Review'!Q1023</f>
        <v>Invite</v>
      </c>
      <c r="E1023" s="383"/>
      <c r="F1023" s="383"/>
      <c r="G1023" s="383"/>
      <c r="H1023" s="383"/>
      <c r="I1023" s="385" t="b">
        <v>1</v>
      </c>
      <c r="J1023" s="386" t="s">
        <v>12942</v>
      </c>
    </row>
    <row r="1024" spans="1:10">
      <c r="A1024" s="383" t="str">
        <f>CONCATENATE("Reviewed on"," ",(TEXT('2022-2023 Applications Review'!$A1024, "mm/dd/yyyy")))</f>
        <v>Reviewed on 08/24/2022</v>
      </c>
      <c r="B1024" s="383" t="str">
        <f>'2022-2023 Applications Review'!B1024</f>
        <v>Protabit LLC _2022</v>
      </c>
      <c r="C1024" s="383" t="str">
        <f>'2022-2023 Applications Review'!E1024</f>
        <v>Life Sciences</v>
      </c>
      <c r="D1024" s="384" t="str">
        <f>'2022-2023 Applications Review'!Q1024</f>
        <v>Invite</v>
      </c>
      <c r="E1024" s="383"/>
      <c r="F1024" s="383"/>
      <c r="G1024" s="383"/>
      <c r="H1024" s="383"/>
      <c r="I1024" s="385" t="b">
        <v>1</v>
      </c>
      <c r="J1024" s="386" t="s">
        <v>12943</v>
      </c>
    </row>
    <row r="1025" spans="1:10">
      <c r="A1025" s="383" t="str">
        <f>CONCATENATE("Reviewed on"," ",(TEXT('2022-2023 Applications Review'!$A1025, "mm/dd/yyyy")))</f>
        <v>Reviewed on 08/24/2022</v>
      </c>
      <c r="B1025" s="383" t="str">
        <f>'2022-2023 Applications Review'!B1025</f>
        <v>Friendlier _2022</v>
      </c>
      <c r="C1025" s="383" t="str">
        <f>'2022-2023 Applications Review'!E1025</f>
        <v>Digital Tech</v>
      </c>
      <c r="D1025" s="384" t="str">
        <f>'2022-2023 Applications Review'!Q1025</f>
        <v>Invite</v>
      </c>
      <c r="E1025" s="383"/>
      <c r="F1025" s="383"/>
      <c r="G1025" s="383"/>
      <c r="H1025" s="383"/>
      <c r="I1025" s="385" t="b">
        <v>1</v>
      </c>
      <c r="J1025" s="386" t="s">
        <v>12944</v>
      </c>
    </row>
    <row r="1026" spans="1:10">
      <c r="A1026" s="383" t="str">
        <f>CONCATENATE("Reviewed on"," ",(TEXT('2022-2023 Applications Review'!$A1026, "mm/dd/yyyy")))</f>
        <v>Reviewed on 08/24/2022</v>
      </c>
      <c r="B1026" s="383" t="str">
        <f>'2022-2023 Applications Review'!B1026</f>
        <v>ShanX Medtech BV _2022</v>
      </c>
      <c r="C1026" s="383" t="str">
        <f>'2022-2023 Applications Review'!E1026</f>
        <v>Digital Tech</v>
      </c>
      <c r="D1026" s="384" t="str">
        <f>'2022-2023 Applications Review'!Q1026</f>
        <v>Invite</v>
      </c>
      <c r="E1026" s="383"/>
      <c r="F1026" s="383"/>
      <c r="G1026" s="383"/>
      <c r="H1026" s="383"/>
      <c r="I1026" s="385" t="b">
        <v>1</v>
      </c>
      <c r="J1026" s="386" t="s">
        <v>12945</v>
      </c>
    </row>
    <row r="1027" spans="1:10">
      <c r="A1027" s="383" t="str">
        <f>CONCATENATE("Reviewed on"," ",(TEXT('2022-2023 Applications Review'!$A1027, "mm/dd/yyyy")))</f>
        <v>Reviewed on 08/24/2022</v>
      </c>
      <c r="B1027" s="383" t="str">
        <f>'2022-2023 Applications Review'!B1027</f>
        <v>Tradewell Technologies Inc _2022</v>
      </c>
      <c r="C1027" s="383" t="str">
        <f>'2022-2023 Applications Review'!E1027</f>
        <v>Digital Tech</v>
      </c>
      <c r="D1027" s="384" t="str">
        <f>'2022-2023 Applications Review'!Q1027</f>
        <v>Invite</v>
      </c>
      <c r="E1027" s="383"/>
      <c r="F1027" s="383"/>
      <c r="G1027" s="383"/>
      <c r="H1027" s="383"/>
      <c r="I1027" s="385" t="b">
        <v>1</v>
      </c>
      <c r="J1027" s="386" t="s">
        <v>12946</v>
      </c>
    </row>
    <row r="1028" spans="1:10">
      <c r="A1028" s="383" t="str">
        <f>CONCATENATE("Reviewed on"," ",(TEXT('2022-2023 Applications Review'!$A1028, "mm/dd/yyyy")))</f>
        <v>Reviewed on 08/24/2022</v>
      </c>
      <c r="B1028" s="383" t="str">
        <f>'2022-2023 Applications Review'!B1028</f>
        <v>Television Korea 24, Inc. (ESTV) _2022</v>
      </c>
      <c r="C1028" s="383" t="str">
        <f>'2022-2023 Applications Review'!E1028</f>
        <v>Digital Tech</v>
      </c>
      <c r="D1028" s="384" t="str">
        <f>'2022-2023 Applications Review'!Q1028</f>
        <v>Invite</v>
      </c>
      <c r="E1028" s="383"/>
      <c r="F1028" s="383"/>
      <c r="G1028" s="383"/>
      <c r="H1028" s="383"/>
      <c r="I1028" s="385" t="b">
        <v>1</v>
      </c>
      <c r="J1028" s="386" t="s">
        <v>12947</v>
      </c>
    </row>
    <row r="1029" spans="1:10">
      <c r="A1029" s="383" t="str">
        <f>CONCATENATE("Reviewed on"," ",(TEXT('2022-2023 Applications Review'!$A1029, "mm/dd/yyyy")))</f>
        <v>Reviewed on 08/24/2022</v>
      </c>
      <c r="B1029" s="383" t="str">
        <f>'2022-2023 Applications Review'!B1029</f>
        <v>Strong Network Inc. _2022</v>
      </c>
      <c r="C1029" s="383" t="str">
        <f>'2022-2023 Applications Review'!E1029</f>
        <v>Digital Tech</v>
      </c>
      <c r="D1029" s="384" t="str">
        <f>'2022-2023 Applications Review'!Q1029</f>
        <v>Invite</v>
      </c>
      <c r="E1029" s="383"/>
      <c r="F1029" s="383"/>
      <c r="G1029" s="383"/>
      <c r="H1029" s="383"/>
      <c r="I1029" s="385" t="b">
        <v>1</v>
      </c>
      <c r="J1029" s="386" t="s">
        <v>12948</v>
      </c>
    </row>
    <row r="1030" spans="1:10">
      <c r="A1030" s="383" t="str">
        <f>CONCATENATE("Reviewed on"," ",(TEXT('2022-2023 Applications Review'!$A1030, "mm/dd/yyyy")))</f>
        <v>Reviewed on 08/24/2022</v>
      </c>
      <c r="B1030" s="383" t="str">
        <f>'2022-2023 Applications Review'!B1030</f>
        <v>SAGEMEDIC CORP. _2022</v>
      </c>
      <c r="C1030" s="383" t="str">
        <f>'2022-2023 Applications Review'!E1030</f>
        <v>Life Sciences</v>
      </c>
      <c r="D1030" s="384" t="str">
        <f>'2022-2023 Applications Review'!Q1030</f>
        <v>Invite</v>
      </c>
      <c r="E1030" s="383"/>
      <c r="F1030" s="383"/>
      <c r="G1030" s="383"/>
      <c r="H1030" s="383"/>
      <c r="I1030" s="385" t="b">
        <v>1</v>
      </c>
      <c r="J1030" s="386" t="s">
        <v>12949</v>
      </c>
    </row>
    <row r="1031" spans="1:10">
      <c r="A1031" s="383" t="str">
        <f>CONCATENATE("Reviewed on"," ",(TEXT('2022-2023 Applications Review'!$A1031, "mm/dd/yyyy")))</f>
        <v>Reviewed on 08/24/2022</v>
      </c>
      <c r="B1031" s="383" t="str">
        <f>'2022-2023 Applications Review'!B1031</f>
        <v>Candi Holdings, Inc. (d/b/a ONUU) _2022</v>
      </c>
      <c r="C1031" s="383" t="str">
        <f>'2022-2023 Applications Review'!E1031</f>
        <v>Digital Tech</v>
      </c>
      <c r="D1031" s="384" t="str">
        <f>'2022-2023 Applications Review'!Q1031</f>
        <v>Invite</v>
      </c>
      <c r="E1031" s="383"/>
      <c r="F1031" s="383"/>
      <c r="G1031" s="383"/>
      <c r="H1031" s="383"/>
      <c r="I1031" s="385" t="b">
        <v>1</v>
      </c>
      <c r="J1031" s="386" t="s">
        <v>12950</v>
      </c>
    </row>
    <row r="1032" spans="1:10">
      <c r="A1032" s="383" t="str">
        <f>CONCATENATE("Reviewed on"," ",(TEXT('2022-2023 Applications Review'!$A1032, "mm/dd/yyyy")))</f>
        <v>Reviewed on 08/24/2022</v>
      </c>
      <c r="B1032" s="383" t="str">
        <f>'2022-2023 Applications Review'!B1032</f>
        <v>Creative Blockchain Solutions SRL _2022</v>
      </c>
      <c r="C1032" s="383" t="str">
        <f>'2022-2023 Applications Review'!E1032</f>
        <v>Digital Tech</v>
      </c>
      <c r="D1032" s="384" t="str">
        <f>'2022-2023 Applications Review'!Q1032</f>
        <v>Invite</v>
      </c>
      <c r="E1032" s="383"/>
      <c r="F1032" s="383"/>
      <c r="G1032" s="383"/>
      <c r="H1032" s="383"/>
      <c r="I1032" s="385" t="b">
        <v>1</v>
      </c>
      <c r="J1032" s="386" t="s">
        <v>12951</v>
      </c>
    </row>
    <row r="1033" spans="1:10">
      <c r="A1033" s="383" t="str">
        <f>CONCATENATE("Reviewed on"," ",(TEXT('2022-2023 Applications Review'!$A1033, "mm/dd/yyyy")))</f>
        <v>Reviewed on 08/24/2022</v>
      </c>
      <c r="B1033" s="383" t="str">
        <f>'2022-2023 Applications Review'!B1033</f>
        <v>Pulzze Systems, INC (DBA Interactor) _2022</v>
      </c>
      <c r="C1033" s="383" t="str">
        <f>'2022-2023 Applications Review'!E1033</f>
        <v>Digital Tech</v>
      </c>
      <c r="D1033" s="384" t="str">
        <f>'2022-2023 Applications Review'!Q1033</f>
        <v>Invite</v>
      </c>
      <c r="E1033" s="383"/>
      <c r="F1033" s="383"/>
      <c r="G1033" s="383"/>
      <c r="H1033" s="383"/>
      <c r="I1033" s="385" t="b">
        <v>1</v>
      </c>
      <c r="J1033" s="386" t="s">
        <v>12952</v>
      </c>
    </row>
    <row r="1034" spans="1:10">
      <c r="A1034" s="383" t="str">
        <f>CONCATENATE("Reviewed on"," ",(TEXT('2022-2023 Applications Review'!$A1034, "mm/dd/yyyy")))</f>
        <v>Reviewed on 08/24/2022</v>
      </c>
      <c r="B1034" s="383" t="str">
        <f>'2022-2023 Applications Review'!B1034</f>
        <v>Sova Health _2022</v>
      </c>
      <c r="C1034" s="383" t="str">
        <f>'2022-2023 Applications Review'!E1034</f>
        <v>Digital Tech</v>
      </c>
      <c r="D1034" s="384" t="str">
        <f>'2022-2023 Applications Review'!Q1034</f>
        <v>Invite</v>
      </c>
      <c r="E1034" s="383"/>
      <c r="F1034" s="383"/>
      <c r="G1034" s="383"/>
      <c r="H1034" s="383"/>
      <c r="I1034" s="385" t="b">
        <v>1</v>
      </c>
      <c r="J1034" s="386" t="s">
        <v>12953</v>
      </c>
    </row>
    <row r="1035" spans="1:10">
      <c r="A1035" s="383" t="str">
        <f>CONCATENATE("Reviewed on"," ",(TEXT('2022-2023 Applications Review'!$A1035, "mm/dd/yyyy")))</f>
        <v>Reviewed on 08/24/2022</v>
      </c>
      <c r="B1035" s="383" t="str">
        <f>'2022-2023 Applications Review'!B1035</f>
        <v>sustamize  _2022</v>
      </c>
      <c r="C1035" s="383" t="str">
        <f>'2022-2023 Applications Review'!E1035</f>
        <v>Digital Tech</v>
      </c>
      <c r="D1035" s="384" t="str">
        <f>'2022-2023 Applications Review'!Q1035</f>
        <v>Invite</v>
      </c>
      <c r="E1035" s="383"/>
      <c r="F1035" s="383"/>
      <c r="G1035" s="383"/>
      <c r="H1035" s="383"/>
      <c r="I1035" s="385" t="b">
        <v>1</v>
      </c>
      <c r="J1035" s="386" t="s">
        <v>12954</v>
      </c>
    </row>
    <row r="1036" spans="1:10">
      <c r="A1036" s="383" t="str">
        <f>CONCATENATE("Reviewed on"," ",(TEXT('2022-2023 Applications Review'!$A1036, "mm/dd/yyyy")))</f>
        <v>Reviewed on 08/24/2022</v>
      </c>
      <c r="B1036" s="383" t="str">
        <f>'2022-2023 Applications Review'!B1036</f>
        <v>Untap Ltd _2022</v>
      </c>
      <c r="C1036" s="383" t="str">
        <f>'2022-2023 Applications Review'!E1036</f>
        <v>Digital Tech</v>
      </c>
      <c r="D1036" s="384" t="str">
        <f>'2022-2023 Applications Review'!Q1036</f>
        <v>Invite Next Year</v>
      </c>
      <c r="E1036" s="383"/>
      <c r="F1036" s="383"/>
      <c r="G1036" s="383"/>
      <c r="H1036" s="383"/>
      <c r="I1036" s="385" t="b">
        <v>1</v>
      </c>
      <c r="J1036" s="386" t="s">
        <v>12955</v>
      </c>
    </row>
    <row r="1037" spans="1:10">
      <c r="A1037" s="383" t="str">
        <f>CONCATENATE("Reviewed on"," ",(TEXT('2022-2023 Applications Review'!$A1037, "mm/dd/yyyy")))</f>
        <v>Reviewed on 08/24/2022</v>
      </c>
      <c r="B1037" s="383" t="str">
        <f>'2022-2023 Applications Review'!B1037</f>
        <v>Krystal Holdings Pte. Ltd. _2022</v>
      </c>
      <c r="C1037" s="383" t="str">
        <f>'2022-2023 Applications Review'!E1037</f>
        <v>Digital Tech</v>
      </c>
      <c r="D1037" s="384" t="str">
        <f>'2022-2023 Applications Review'!Q1037</f>
        <v>Invite</v>
      </c>
      <c r="E1037" s="383"/>
      <c r="F1037" s="383"/>
      <c r="G1037" s="383"/>
      <c r="H1037" s="383"/>
      <c r="I1037" s="385" t="b">
        <v>1</v>
      </c>
      <c r="J1037" s="386" t="s">
        <v>12956</v>
      </c>
    </row>
    <row r="1038" spans="1:10">
      <c r="A1038" s="383" t="str">
        <f>CONCATENATE("Reviewed on"," ",(TEXT('2022-2023 Applications Review'!$A1038, "mm/dd/yyyy")))</f>
        <v>Reviewed on 08/24/2022</v>
      </c>
      <c r="B1038" s="383" t="str">
        <f>'2022-2023 Applications Review'!B1038</f>
        <v>Elysium Therapeutics, Inc. _2022</v>
      </c>
      <c r="C1038" s="383" t="str">
        <f>'2022-2023 Applications Review'!E1038</f>
        <v>Life Sciences</v>
      </c>
      <c r="D1038" s="384" t="str">
        <f>'2022-2023 Applications Review'!Q1038</f>
        <v>Invite</v>
      </c>
      <c r="E1038" s="383"/>
      <c r="F1038" s="383"/>
      <c r="G1038" s="383"/>
      <c r="H1038" s="383"/>
      <c r="I1038" s="385" t="b">
        <v>1</v>
      </c>
      <c r="J1038" s="386" t="s">
        <v>12957</v>
      </c>
    </row>
    <row r="1039" spans="1:10">
      <c r="A1039" s="383" t="str">
        <f>CONCATENATE("Reviewed on"," ",(TEXT('2022-2023 Applications Review'!$A1039, "mm/dd/yyyy")))</f>
        <v>Reviewed on 08/24/2022</v>
      </c>
      <c r="B1039" s="383" t="str">
        <f>'2022-2023 Applications Review'!B1039</f>
        <v>Fragmynt _2022</v>
      </c>
      <c r="C1039" s="383" t="str">
        <f>'2022-2023 Applications Review'!E1039</f>
        <v>Digital Tech</v>
      </c>
      <c r="D1039" s="384" t="str">
        <f>'2022-2023 Applications Review'!Q1039</f>
        <v>Invite</v>
      </c>
      <c r="E1039" s="383"/>
      <c r="F1039" s="383"/>
      <c r="G1039" s="383"/>
      <c r="H1039" s="383"/>
      <c r="I1039" s="385" t="b">
        <v>1</v>
      </c>
      <c r="J1039" s="386" t="s">
        <v>12958</v>
      </c>
    </row>
    <row r="1040" spans="1:10">
      <c r="A1040" s="383" t="str">
        <f>CONCATENATE("Reviewed on"," ",(TEXT('2022-2023 Applications Review'!$A1040, "mm/dd/yyyy")))</f>
        <v>Reviewed on 08/24/2022</v>
      </c>
      <c r="B1040" s="383" t="str">
        <f>'2022-2023 Applications Review'!B1040</f>
        <v>Troverlo _2022</v>
      </c>
      <c r="C1040" s="383" t="str">
        <f>'2022-2023 Applications Review'!E1040</f>
        <v>Digital Tech</v>
      </c>
      <c r="D1040" s="384" t="str">
        <f>'2022-2023 Applications Review'!Q1040</f>
        <v>Invite</v>
      </c>
      <c r="E1040" s="383"/>
      <c r="F1040" s="383"/>
      <c r="G1040" s="383"/>
      <c r="H1040" s="383"/>
      <c r="I1040" s="385" t="b">
        <v>1</v>
      </c>
      <c r="J1040" s="386" t="s">
        <v>12959</v>
      </c>
    </row>
    <row r="1041" spans="1:10">
      <c r="A1041" s="383" t="str">
        <f>CONCATENATE("Reviewed on"," ",(TEXT('2022-2023 Applications Review'!$A1041, "mm/dd/yyyy")))</f>
        <v>Reviewed on 08/24/2022</v>
      </c>
      <c r="B1041" s="383" t="str">
        <f>'2022-2023 Applications Review'!B1041</f>
        <v>SOLO Secure _2022</v>
      </c>
      <c r="C1041" s="383" t="str">
        <f>'2022-2023 Applications Review'!E1041</f>
        <v>Digital Tech</v>
      </c>
      <c r="D1041" s="384" t="str">
        <f>'2022-2023 Applications Review'!Q1041</f>
        <v>Invite</v>
      </c>
      <c r="E1041" s="383"/>
      <c r="F1041" s="383"/>
      <c r="G1041" s="383"/>
      <c r="H1041" s="383"/>
      <c r="I1041" s="385" t="b">
        <v>1</v>
      </c>
      <c r="J1041" s="386" t="s">
        <v>12960</v>
      </c>
    </row>
    <row r="1042" spans="1:10">
      <c r="A1042" s="383" t="str">
        <f>CONCATENATE("Reviewed on"," ",(TEXT('2022-2023 Applications Review'!$A1042, "mm/dd/yyyy")))</f>
        <v>Reviewed on 08/24/2022</v>
      </c>
      <c r="B1042" s="383" t="str">
        <f>'2022-2023 Applications Review'!B1042</f>
        <v>Prazer Therapeutics _2022</v>
      </c>
      <c r="C1042" s="383" t="str">
        <f>'2022-2023 Applications Review'!E1042</f>
        <v>Life Sciences</v>
      </c>
      <c r="D1042" s="384" t="str">
        <f>'2022-2023 Applications Review'!Q1042</f>
        <v>Invite</v>
      </c>
      <c r="E1042" s="383"/>
      <c r="F1042" s="383"/>
      <c r="G1042" s="383"/>
      <c r="H1042" s="383"/>
      <c r="I1042" s="385" t="b">
        <v>1</v>
      </c>
      <c r="J1042" s="386" t="s">
        <v>12961</v>
      </c>
    </row>
    <row r="1043" spans="1:10">
      <c r="A1043" s="383" t="str">
        <f>CONCATENATE("Reviewed on"," ",(TEXT('2022-2023 Applications Review'!$A1043, "mm/dd/yyyy")))</f>
        <v>Reviewed on 08/24/2022</v>
      </c>
      <c r="B1043" s="383" t="str">
        <f>'2022-2023 Applications Review'!B1043</f>
        <v>C-End, LLC _2022</v>
      </c>
      <c r="C1043" s="383" t="str">
        <f>'2022-2023 Applications Review'!E1043</f>
        <v>Digital Tech</v>
      </c>
      <c r="D1043" s="384" t="str">
        <f>'2022-2023 Applications Review'!Q1043</f>
        <v>Invite</v>
      </c>
      <c r="E1043" s="383"/>
      <c r="F1043" s="383"/>
      <c r="G1043" s="383"/>
      <c r="H1043" s="383"/>
      <c r="I1043" s="385" t="b">
        <v>1</v>
      </c>
      <c r="J1043" s="386" t="s">
        <v>12962</v>
      </c>
    </row>
    <row r="1044" spans="1:10">
      <c r="A1044" s="383" t="str">
        <f>CONCATENATE("Reviewed on"," ",(TEXT('2022-2023 Applications Review'!$A1044, "mm/dd/yyyy")))</f>
        <v>Reviewed on 08/24/2022</v>
      </c>
      <c r="B1044" s="383" t="str">
        <f>'2022-2023 Applications Review'!B1044</f>
        <v>Scale Biosciences, Inc _2022</v>
      </c>
      <c r="C1044" s="383" t="str">
        <f>'2022-2023 Applications Review'!E1044</f>
        <v>Life Sciences</v>
      </c>
      <c r="D1044" s="384" t="str">
        <f>'2022-2023 Applications Review'!Q1044</f>
        <v>Invite</v>
      </c>
      <c r="E1044" s="383"/>
      <c r="F1044" s="383"/>
      <c r="G1044" s="383"/>
      <c r="H1044" s="383"/>
      <c r="I1044" s="385" t="b">
        <v>1</v>
      </c>
      <c r="J1044" s="386" t="s">
        <v>12963</v>
      </c>
    </row>
    <row r="1045" spans="1:10">
      <c r="A1045" s="383" t="str">
        <f>CONCATENATE("Reviewed on"," ",(TEXT('2022-2023 Applications Review'!$A1045, "mm/dd/yyyy")))</f>
        <v>Reviewed on 08/24/2022</v>
      </c>
      <c r="B1045" s="383" t="str">
        <f>'2022-2023 Applications Review'!B1045</f>
        <v>VC Cell Therapy _2022</v>
      </c>
      <c r="C1045" s="383" t="str">
        <f>'2022-2023 Applications Review'!E1045</f>
        <v>Life Sciences</v>
      </c>
      <c r="D1045" s="384" t="str">
        <f>'2022-2023 Applications Review'!Q1045</f>
        <v>Invite</v>
      </c>
      <c r="E1045" s="383"/>
      <c r="F1045" s="383"/>
      <c r="G1045" s="383"/>
      <c r="H1045" s="383"/>
      <c r="I1045" s="385" t="b">
        <v>1</v>
      </c>
      <c r="J1045" s="386" t="s">
        <v>12964</v>
      </c>
    </row>
    <row r="1046" spans="1:10">
      <c r="A1046" s="383" t="str">
        <f>CONCATENATE("Reviewed on"," ",(TEXT('2022-2023 Applications Review'!$A1046, "mm/dd/yyyy")))</f>
        <v>Reviewed on 08/24/2022</v>
      </c>
      <c r="B1046" s="383" t="str">
        <f>'2022-2023 Applications Review'!B1046</f>
        <v>Tripoverse _2022</v>
      </c>
      <c r="C1046" s="383" t="str">
        <f>'2022-2023 Applications Review'!E1046</f>
        <v>Digital Tech</v>
      </c>
      <c r="D1046" s="384" t="str">
        <f>'2022-2023 Applications Review'!Q1046</f>
        <v>Invite</v>
      </c>
      <c r="E1046" s="383"/>
      <c r="F1046" s="383"/>
      <c r="G1046" s="383"/>
      <c r="H1046" s="383"/>
      <c r="I1046" s="385" t="b">
        <v>1</v>
      </c>
      <c r="J1046" s="386" t="s">
        <v>12965</v>
      </c>
    </row>
    <row r="1047" spans="1:10">
      <c r="A1047" s="383" t="str">
        <f>CONCATENATE("Reviewed on"," ",(TEXT('2022-2023 Applications Review'!$A1047, "mm/dd/yyyy")))</f>
        <v>Reviewed on 08/24/2022</v>
      </c>
      <c r="B1047" s="383" t="str">
        <f>'2022-2023 Applications Review'!B1047</f>
        <v>refive _2022</v>
      </c>
      <c r="C1047" s="383" t="str">
        <f>'2022-2023 Applications Review'!E1047</f>
        <v>Digital Tech</v>
      </c>
      <c r="D1047" s="384" t="str">
        <f>'2022-2023 Applications Review'!Q1047</f>
        <v>Invite</v>
      </c>
      <c r="E1047" s="383"/>
      <c r="F1047" s="383"/>
      <c r="G1047" s="383"/>
      <c r="H1047" s="383"/>
      <c r="I1047" s="385" t="b">
        <v>1</v>
      </c>
      <c r="J1047" s="386" t="s">
        <v>12966</v>
      </c>
    </row>
    <row r="1048" spans="1:10">
      <c r="A1048" s="383" t="str">
        <f>CONCATENATE("Reviewed on"," ",(TEXT('2022-2023 Applications Review'!$A1048, "mm/dd/yyyy")))</f>
        <v>Reviewed on 08/24/2022</v>
      </c>
      <c r="B1048" s="383" t="str">
        <f>'2022-2023 Applications Review'!B1048</f>
        <v>Forward Protocol _2022</v>
      </c>
      <c r="C1048" s="383" t="str">
        <f>'2022-2023 Applications Review'!E1048</f>
        <v>Digital Tech</v>
      </c>
      <c r="D1048" s="384" t="str">
        <f>'2022-2023 Applications Review'!Q1048</f>
        <v>Invite</v>
      </c>
      <c r="E1048" s="383"/>
      <c r="F1048" s="383"/>
      <c r="G1048" s="383"/>
      <c r="H1048" s="383"/>
      <c r="I1048" s="385" t="b">
        <v>1</v>
      </c>
      <c r="J1048" s="386" t="s">
        <v>12967</v>
      </c>
    </row>
    <row r="1049" spans="1:10">
      <c r="A1049" s="383" t="str">
        <f>CONCATENATE("Reviewed on"," ",(TEXT('2022-2023 Applications Review'!$A1049, "mm/dd/yyyy")))</f>
        <v>Reviewed on 08/24/2022</v>
      </c>
      <c r="B1049" s="383" t="str">
        <f>'2022-2023 Applications Review'!B1049</f>
        <v>AsisVisa Immigration Corp  _2022</v>
      </c>
      <c r="C1049" s="383" t="str">
        <f>'2022-2023 Applications Review'!E1049</f>
        <v>Digital Tech</v>
      </c>
      <c r="D1049" s="384" t="str">
        <f>'2022-2023 Applications Review'!Q1049</f>
        <v>Invite Next Year</v>
      </c>
      <c r="E1049" s="383"/>
      <c r="F1049" s="383"/>
      <c r="G1049" s="383"/>
      <c r="H1049" s="383"/>
      <c r="I1049" s="385" t="b">
        <v>1</v>
      </c>
      <c r="J1049" s="386" t="s">
        <v>12968</v>
      </c>
    </row>
    <row r="1050" spans="1:10">
      <c r="A1050" s="383" t="str">
        <f>CONCATENATE("Reviewed on"," ",(TEXT('2022-2023 Applications Review'!$A1050, "mm/dd/yyyy")))</f>
        <v>Reviewed on 08/24/2022</v>
      </c>
      <c r="B1050" s="383" t="str">
        <f>'2022-2023 Applications Review'!B1050</f>
        <v>Orbit Genomics, Inc. _2022</v>
      </c>
      <c r="C1050" s="383" t="str">
        <f>'2022-2023 Applications Review'!E1050</f>
        <v>Life Sciences</v>
      </c>
      <c r="D1050" s="384" t="str">
        <f>'2022-2023 Applications Review'!Q1050</f>
        <v>Revisit/ Cluster</v>
      </c>
      <c r="E1050" s="383"/>
      <c r="F1050" s="383"/>
      <c r="G1050" s="383"/>
      <c r="H1050" s="383"/>
      <c r="I1050" s="385" t="b">
        <v>1</v>
      </c>
      <c r="J1050" s="386" t="s">
        <v>12969</v>
      </c>
    </row>
    <row r="1051" spans="1:10">
      <c r="A1051" s="383" t="str">
        <f>CONCATENATE("Reviewed on"," ",(TEXT('2022-2023 Applications Review'!$A1051, "mm/dd/yyyy")))</f>
        <v>Reviewed on 08/24/2022</v>
      </c>
      <c r="B1051" s="383" t="str">
        <f>'2022-2023 Applications Review'!B1051</f>
        <v>Scrapays Inc _2022</v>
      </c>
      <c r="C1051" s="383" t="str">
        <f>'2022-2023 Applications Review'!E1051</f>
        <v>Digital Tech</v>
      </c>
      <c r="D1051" s="384" t="str">
        <f>'2022-2023 Applications Review'!Q1051</f>
        <v>Invite</v>
      </c>
      <c r="E1051" s="383"/>
      <c r="F1051" s="383"/>
      <c r="G1051" s="383"/>
      <c r="H1051" s="383"/>
      <c r="I1051" s="385" t="b">
        <v>1</v>
      </c>
      <c r="J1051" s="386" t="s">
        <v>12970</v>
      </c>
    </row>
    <row r="1052" spans="1:10">
      <c r="A1052" s="383" t="str">
        <f>CONCATENATE("Reviewed on"," ",(TEXT('2022-2023 Applications Review'!$A1052, "mm/dd/yyyy")))</f>
        <v>Reviewed on 08/24/2022</v>
      </c>
      <c r="B1052" s="383" t="str">
        <f>'2022-2023 Applications Review'!B1052</f>
        <v>Truffle Health, Inc. _2022</v>
      </c>
      <c r="C1052" s="383" t="str">
        <f>'2022-2023 Applications Review'!E1052</f>
        <v>Digital Tech</v>
      </c>
      <c r="D1052" s="384" t="str">
        <f>'2022-2023 Applications Review'!Q1052</f>
        <v>Invite</v>
      </c>
      <c r="E1052" s="383"/>
      <c r="F1052" s="383"/>
      <c r="G1052" s="383"/>
      <c r="H1052" s="383"/>
      <c r="I1052" s="385" t="b">
        <v>1</v>
      </c>
      <c r="J1052" s="386" t="s">
        <v>12971</v>
      </c>
    </row>
    <row r="1053" spans="1:10">
      <c r="A1053" s="383" t="str">
        <f>CONCATENATE("Reviewed on"," ",(TEXT('2022-2023 Applications Review'!$A1053, "mm/dd/yyyy")))</f>
        <v>Reviewed on 08/24/2022</v>
      </c>
      <c r="B1053" s="383" t="str">
        <f>'2022-2023 Applications Review'!B1053</f>
        <v>Timedrips Kft. _2022</v>
      </c>
      <c r="C1053" s="383" t="str">
        <f>'2022-2023 Applications Review'!E1053</f>
        <v>Deep Tech</v>
      </c>
      <c r="D1053" s="384" t="str">
        <f>'2022-2023 Applications Review'!Q1053</f>
        <v>Invite</v>
      </c>
      <c r="E1053" s="383"/>
      <c r="F1053" s="383"/>
      <c r="G1053" s="383"/>
      <c r="H1053" s="383"/>
      <c r="I1053" s="385" t="b">
        <v>1</v>
      </c>
      <c r="J1053" s="386" t="s">
        <v>12972</v>
      </c>
    </row>
    <row r="1054" spans="1:10">
      <c r="A1054" s="383" t="str">
        <f>CONCATENATE("Reviewed on"," ",(TEXT('2022-2023 Applications Review'!$A1054, "mm/dd/yyyy")))</f>
        <v>Reviewed on 08/24/2022</v>
      </c>
      <c r="B1054" s="383" t="str">
        <f>'2022-2023 Applications Review'!B1054</f>
        <v>GoCharlie.ai _2022</v>
      </c>
      <c r="C1054" s="383" t="str">
        <f>'2022-2023 Applications Review'!E1054</f>
        <v>Digital Tech</v>
      </c>
      <c r="D1054" s="384" t="str">
        <f>'2022-2023 Applications Review'!Q1054</f>
        <v>Invite Next Year</v>
      </c>
      <c r="E1054" s="383"/>
      <c r="F1054" s="383"/>
      <c r="G1054" s="383"/>
      <c r="H1054" s="383"/>
      <c r="I1054" s="385" t="b">
        <v>1</v>
      </c>
      <c r="J1054" s="386" t="s">
        <v>12973</v>
      </c>
    </row>
    <row r="1055" spans="1:10">
      <c r="A1055" s="383" t="str">
        <f>CONCATENATE("Reviewed on"," ",(TEXT('2022-2023 Applications Review'!$A1055, "mm/dd/yyyy")))</f>
        <v>Reviewed on 08/24/2022</v>
      </c>
      <c r="B1055" s="383" t="str">
        <f>'2022-2023 Applications Review'!B1055</f>
        <v>TrueToForm _2022</v>
      </c>
      <c r="C1055" s="383" t="str">
        <f>'2022-2023 Applications Review'!E1055</f>
        <v>Digital Tech</v>
      </c>
      <c r="D1055" s="384" t="str">
        <f>'2022-2023 Applications Review'!Q1055</f>
        <v>Invite Next Year</v>
      </c>
      <c r="E1055" s="383"/>
      <c r="F1055" s="383"/>
      <c r="G1055" s="383"/>
      <c r="H1055" s="383"/>
      <c r="I1055" s="385" t="b">
        <v>1</v>
      </c>
      <c r="J1055" s="386" t="s">
        <v>12974</v>
      </c>
    </row>
    <row r="1056" spans="1:10">
      <c r="A1056" s="383" t="str">
        <f>CONCATENATE("Reviewed on"," ",(TEXT('2022-2023 Applications Review'!$A1056, "mm/dd/yyyy")))</f>
        <v>Reviewed on 08/24/2022</v>
      </c>
      <c r="B1056" s="383" t="str">
        <f>'2022-2023 Applications Review'!B1056</f>
        <v>Solvuu _2022</v>
      </c>
      <c r="C1056" s="383" t="str">
        <f>'2022-2023 Applications Review'!E1056</f>
        <v>Digital Tech</v>
      </c>
      <c r="D1056" s="384" t="str">
        <f>'2022-2023 Applications Review'!Q1056</f>
        <v>Revisit</v>
      </c>
      <c r="E1056" s="383"/>
      <c r="F1056" s="383"/>
      <c r="G1056" s="383"/>
      <c r="H1056" s="383"/>
      <c r="I1056" s="385" t="b">
        <v>1</v>
      </c>
      <c r="J1056" s="386" t="s">
        <v>12975</v>
      </c>
    </row>
    <row r="1057" spans="1:10">
      <c r="A1057" s="383" t="str">
        <f>CONCATENATE("Reviewed on"," ",(TEXT('2022-2023 Applications Review'!$A1057, "mm/dd/yyyy")))</f>
        <v>Reviewed on 08/24/2022</v>
      </c>
      <c r="B1057" s="383" t="str">
        <f>'2022-2023 Applications Review'!B1057</f>
        <v>QSINGULA DEVELOPMENT FZ-LLC (QSD) _2022</v>
      </c>
      <c r="C1057" s="383" t="str">
        <f>'2022-2023 Applications Review'!E1057</f>
        <v>Life Sciences</v>
      </c>
      <c r="D1057" s="384" t="str">
        <f>'2022-2023 Applications Review'!Q1057</f>
        <v>Revisit/ Cluster</v>
      </c>
      <c r="E1057" s="383"/>
      <c r="F1057" s="383"/>
      <c r="G1057" s="383"/>
      <c r="H1057" s="383"/>
      <c r="I1057" s="385" t="b">
        <v>1</v>
      </c>
      <c r="J1057" s="386" t="s">
        <v>12976</v>
      </c>
    </row>
    <row r="1058" spans="1:10">
      <c r="A1058" s="383" t="str">
        <f>CONCATENATE("Reviewed on"," ",(TEXT('2022-2023 Applications Review'!$A1058, "mm/dd/yyyy")))</f>
        <v>Reviewed on 08/24/2022</v>
      </c>
      <c r="B1058" s="383" t="str">
        <f>'2022-2023 Applications Review'!B1058</f>
        <v>Sustainaccount AG _2022</v>
      </c>
      <c r="C1058" s="383" t="str">
        <f>'2022-2023 Applications Review'!E1058</f>
        <v>Digital Tech</v>
      </c>
      <c r="D1058" s="384" t="str">
        <f>'2022-2023 Applications Review'!Q1058</f>
        <v>Invite Next Year</v>
      </c>
      <c r="E1058" s="383"/>
      <c r="F1058" s="383"/>
      <c r="G1058" s="383"/>
      <c r="H1058" s="383"/>
      <c r="I1058" s="385" t="b">
        <v>1</v>
      </c>
      <c r="J1058" s="386" t="s">
        <v>12977</v>
      </c>
    </row>
    <row r="1059" spans="1:10">
      <c r="A1059" s="383" t="str">
        <f>CONCATENATE("Reviewed on"," ",(TEXT('2022-2023 Applications Review'!$A1059, "mm/dd/yyyy")))</f>
        <v>Reviewed on 08/24/2022</v>
      </c>
      <c r="B1059" s="383" t="str">
        <f>'2022-2023 Applications Review'!B1059</f>
        <v>PALM ENERGY SYSTEMS _2022</v>
      </c>
      <c r="C1059" s="383" t="str">
        <f>'2022-2023 Applications Review'!E1059</f>
        <v>Digital Tech</v>
      </c>
      <c r="D1059" s="384" t="str">
        <f>'2022-2023 Applications Review'!Q1059</f>
        <v>Invite Next Year</v>
      </c>
      <c r="E1059" s="383"/>
      <c r="F1059" s="383"/>
      <c r="G1059" s="383"/>
      <c r="H1059" s="383"/>
      <c r="I1059" s="385" t="b">
        <v>1</v>
      </c>
      <c r="J1059" s="386" t="s">
        <v>12978</v>
      </c>
    </row>
    <row r="1060" spans="1:10">
      <c r="A1060" s="383" t="str">
        <f>CONCATENATE("Reviewed on"," ",(TEXT('2022-2023 Applications Review'!$A1060, "mm/dd/yyyy")))</f>
        <v>Reviewed on 08/24/2022</v>
      </c>
      <c r="B1060" s="383" t="str">
        <f>'2022-2023 Applications Review'!B1060</f>
        <v>NOMA AI INC. _2022</v>
      </c>
      <c r="C1060" s="383" t="str">
        <f>'2022-2023 Applications Review'!E1060</f>
        <v>Digital Tech</v>
      </c>
      <c r="D1060" s="384" t="str">
        <f>'2022-2023 Applications Review'!Q1060</f>
        <v>Invite Next Year</v>
      </c>
      <c r="E1060" s="383"/>
      <c r="F1060" s="383"/>
      <c r="G1060" s="383"/>
      <c r="H1060" s="383"/>
      <c r="I1060" s="385" t="b">
        <v>1</v>
      </c>
      <c r="J1060" s="386" t="s">
        <v>12979</v>
      </c>
    </row>
    <row r="1061" spans="1:10">
      <c r="A1061" s="383" t="str">
        <f>CONCATENATE("Reviewed on"," ",(TEXT('2022-2023 Applications Review'!$A1061, "mm/dd/yyyy")))</f>
        <v>Reviewed on 08/24/2022</v>
      </c>
      <c r="B1061" s="383" t="str">
        <f>'2022-2023 Applications Review'!B1061</f>
        <v>Cornerstone AI _2022</v>
      </c>
      <c r="C1061" s="383" t="str">
        <f>'2022-2023 Applications Review'!E1061</f>
        <v>Digital Tech</v>
      </c>
      <c r="D1061" s="384" t="str">
        <f>'2022-2023 Applications Review'!Q1061</f>
        <v>Invite Next Year</v>
      </c>
      <c r="E1061" s="383"/>
      <c r="F1061" s="383"/>
      <c r="G1061" s="383"/>
      <c r="H1061" s="383"/>
      <c r="I1061" s="385" t="b">
        <v>1</v>
      </c>
      <c r="J1061" s="386" t="s">
        <v>12980</v>
      </c>
    </row>
    <row r="1062" spans="1:10">
      <c r="A1062" s="383" t="str">
        <f>CONCATENATE("Reviewed on"," ",(TEXT('2022-2023 Applications Review'!$A1062, "mm/dd/yyyy")))</f>
        <v>Reviewed on 08/24/2022</v>
      </c>
      <c r="B1062" s="383" t="str">
        <f>'2022-2023 Applications Review'!B1062</f>
        <v>Sheetgo _2022</v>
      </c>
      <c r="C1062" s="383" t="str">
        <f>'2022-2023 Applications Review'!E1062</f>
        <v>Digital Tech</v>
      </c>
      <c r="D1062" s="384" t="str">
        <f>'2022-2023 Applications Review'!Q1062</f>
        <v>Invite Next Year</v>
      </c>
      <c r="E1062" s="383"/>
      <c r="F1062" s="383"/>
      <c r="G1062" s="383"/>
      <c r="H1062" s="383"/>
      <c r="I1062" s="385" t="b">
        <v>1</v>
      </c>
      <c r="J1062" s="386" t="s">
        <v>12981</v>
      </c>
    </row>
    <row r="1063" spans="1:10">
      <c r="A1063" s="383" t="str">
        <f>CONCATENATE("Reviewed on"," ",(TEXT('2022-2023 Applications Review'!$A1063, "mm/dd/yyyy")))</f>
        <v>Reviewed on 08/24/2022</v>
      </c>
      <c r="B1063" s="383" t="str">
        <f>'2022-2023 Applications Review'!B1063</f>
        <v>Dropshop _2022</v>
      </c>
      <c r="C1063" s="383" t="str">
        <f>'2022-2023 Applications Review'!E1063</f>
        <v>Digital Tech</v>
      </c>
      <c r="D1063" s="384" t="str">
        <f>'2022-2023 Applications Review'!Q1063</f>
        <v>Invite Next Year</v>
      </c>
      <c r="E1063" s="383"/>
      <c r="F1063" s="383"/>
      <c r="G1063" s="383"/>
      <c r="H1063" s="383"/>
      <c r="I1063" s="385" t="b">
        <v>1</v>
      </c>
      <c r="J1063" s="386" t="s">
        <v>12982</v>
      </c>
    </row>
    <row r="1064" spans="1:10">
      <c r="A1064" s="383" t="str">
        <f>CONCATENATE("Reviewed on"," ",(TEXT('2022-2023 Applications Review'!$A1064, "mm/dd/yyyy")))</f>
        <v>Reviewed on 08/24/2022</v>
      </c>
      <c r="B1064" s="383" t="str">
        <f>'2022-2023 Applications Review'!B1064</f>
        <v>Etha _2022</v>
      </c>
      <c r="C1064" s="383" t="str">
        <f>'2022-2023 Applications Review'!E1064</f>
        <v>Digital Tech</v>
      </c>
      <c r="D1064" s="384" t="str">
        <f>'2022-2023 Applications Review'!Q1064</f>
        <v>Invite Next Year</v>
      </c>
      <c r="E1064" s="383"/>
      <c r="F1064" s="383"/>
      <c r="G1064" s="383"/>
      <c r="H1064" s="383"/>
      <c r="I1064" s="385" t="b">
        <v>1</v>
      </c>
      <c r="J1064" s="386" t="s">
        <v>12983</v>
      </c>
    </row>
    <row r="1065" spans="1:10">
      <c r="A1065" s="383" t="str">
        <f>CONCATENATE("Reviewed on"," ",(TEXT('2022-2023 Applications Review'!$A1065, "mm/dd/yyyy")))</f>
        <v>Reviewed on 08/24/2022</v>
      </c>
      <c r="B1065" s="383" t="str">
        <f>'2022-2023 Applications Review'!B1065</f>
        <v>KAWA ANALYTICS CORP _2022</v>
      </c>
      <c r="C1065" s="383" t="str">
        <f>'2022-2023 Applications Review'!E1065</f>
        <v>Digital Tech</v>
      </c>
      <c r="D1065" s="384" t="str">
        <f>'2022-2023 Applications Review'!Q1065</f>
        <v>Revisit</v>
      </c>
      <c r="E1065" s="383"/>
      <c r="F1065" s="383"/>
      <c r="G1065" s="383"/>
      <c r="H1065" s="383"/>
      <c r="I1065" s="385" t="b">
        <v>1</v>
      </c>
      <c r="J1065" s="386" t="s">
        <v>12984</v>
      </c>
    </row>
    <row r="1066" spans="1:10">
      <c r="A1066" s="383" t="str">
        <f>CONCATENATE("Reviewed on"," ",(TEXT('2022-2023 Applications Review'!$A1066, "mm/dd/yyyy")))</f>
        <v>Reviewed on 08/24/2022</v>
      </c>
      <c r="B1066" s="383" t="str">
        <f>'2022-2023 Applications Review'!B1066</f>
        <v>Fatakpay _2022</v>
      </c>
      <c r="C1066" s="383" t="str">
        <f>'2022-2023 Applications Review'!E1066</f>
        <v>Digital Tech</v>
      </c>
      <c r="D1066" s="384" t="str">
        <f>'2022-2023 Applications Review'!Q1066</f>
        <v>Invite Next Year</v>
      </c>
      <c r="E1066" s="383"/>
      <c r="F1066" s="383"/>
      <c r="G1066" s="383"/>
      <c r="H1066" s="383"/>
      <c r="I1066" s="385" t="b">
        <v>1</v>
      </c>
      <c r="J1066" s="386" t="s">
        <v>12985</v>
      </c>
    </row>
    <row r="1067" spans="1:10">
      <c r="A1067" s="383" t="str">
        <f>CONCATENATE("Reviewed on"," ",(TEXT('2022-2023 Applications Review'!$A1067, "mm/dd/yyyy")))</f>
        <v>Reviewed on 08/24/2022</v>
      </c>
      <c r="B1067" s="383" t="str">
        <f>'2022-2023 Applications Review'!B1067</f>
        <v>Clocr (Crypto Legacy) _2022</v>
      </c>
      <c r="C1067" s="383" t="str">
        <f>'2022-2023 Applications Review'!E1067</f>
        <v>Digital Tech</v>
      </c>
      <c r="D1067" s="384" t="str">
        <f>'2022-2023 Applications Review'!Q1067</f>
        <v>Invite Next Year</v>
      </c>
      <c r="E1067" s="383"/>
      <c r="F1067" s="383"/>
      <c r="G1067" s="383"/>
      <c r="H1067" s="383"/>
      <c r="I1067" s="385" t="b">
        <v>1</v>
      </c>
      <c r="J1067" s="386" t="s">
        <v>12986</v>
      </c>
    </row>
    <row r="1068" spans="1:10">
      <c r="A1068" s="383" t="str">
        <f>CONCATENATE("Reviewed on"," ",(TEXT('2022-2023 Applications Review'!$A1068, "mm/dd/yyyy")))</f>
        <v>Reviewed on 08/24/2022</v>
      </c>
      <c r="B1068" s="383" t="str">
        <f>'2022-2023 Applications Review'!B1068</f>
        <v>Oxus.AI _2022</v>
      </c>
      <c r="C1068" s="383" t="str">
        <f>'2022-2023 Applications Review'!E1068</f>
        <v>Digital Tech</v>
      </c>
      <c r="D1068" s="384" t="str">
        <f>'2022-2023 Applications Review'!Q1068</f>
        <v>Invite Next Year</v>
      </c>
      <c r="E1068" s="383"/>
      <c r="F1068" s="383"/>
      <c r="G1068" s="383"/>
      <c r="H1068" s="383"/>
      <c r="I1068" s="385" t="b">
        <v>1</v>
      </c>
      <c r="J1068" s="386" t="s">
        <v>12987</v>
      </c>
    </row>
    <row r="1069" spans="1:10">
      <c r="A1069" s="383" t="str">
        <f>CONCATENATE("Reviewed on"," ",(TEXT('2022-2023 Applications Review'!$A1069, "mm/dd/yyyy")))</f>
        <v>Reviewed on 08/24/2022</v>
      </c>
      <c r="B1069" s="383" t="str">
        <f>'2022-2023 Applications Review'!B1069</f>
        <v>Liv Labs Inc. _2022</v>
      </c>
      <c r="C1069" s="383" t="str">
        <f>'2022-2023 Applications Review'!E1069</f>
        <v>Digital Tech</v>
      </c>
      <c r="D1069" s="384" t="str">
        <f>'2022-2023 Applications Review'!Q1069</f>
        <v>Invite Next Year</v>
      </c>
      <c r="E1069" s="383"/>
      <c r="F1069" s="383"/>
      <c r="G1069" s="383"/>
      <c r="H1069" s="383"/>
      <c r="I1069" s="385" t="b">
        <v>1</v>
      </c>
      <c r="J1069" s="386" t="s">
        <v>12988</v>
      </c>
    </row>
    <row r="1070" spans="1:10">
      <c r="A1070" s="383" t="str">
        <f>CONCATENATE("Reviewed on"," ",(TEXT('2022-2023 Applications Review'!$A1070, "mm/dd/yyyy")))</f>
        <v>Reviewed on 08/24/2022</v>
      </c>
      <c r="B1070" s="383" t="str">
        <f>'2022-2023 Applications Review'!B1070</f>
        <v>Visi Health Technologies  _2022</v>
      </c>
      <c r="C1070" s="383" t="str">
        <f>'2022-2023 Applications Review'!E1070</f>
        <v>Digital Tech</v>
      </c>
      <c r="D1070" s="384" t="str">
        <f>'2022-2023 Applications Review'!Q1070</f>
        <v>Special Reject</v>
      </c>
      <c r="E1070" s="383"/>
      <c r="F1070" s="383"/>
      <c r="G1070" s="383"/>
      <c r="H1070" s="383"/>
      <c r="I1070" s="385" t="b">
        <v>1</v>
      </c>
      <c r="J1070" s="386" t="s">
        <v>12989</v>
      </c>
    </row>
    <row r="1071" spans="1:10">
      <c r="A1071" s="383" t="str">
        <f>CONCATENATE("Reviewed on"," ",(TEXT('2022-2023 Applications Review'!$A1071, "mm/dd/yyyy")))</f>
        <v>Reviewed on 08/24/2022</v>
      </c>
      <c r="B1071" s="383" t="str">
        <f>'2022-2023 Applications Review'!B1071</f>
        <v>Eve World Platform Pte Ltd  _2022</v>
      </c>
      <c r="C1071" s="383" t="str">
        <f>'2022-2023 Applications Review'!E1071</f>
        <v>Digital Tech</v>
      </c>
      <c r="D1071" s="384" t="str">
        <f>'2022-2023 Applications Review'!Q1071</f>
        <v>Invite Next Year</v>
      </c>
      <c r="E1071" s="383"/>
      <c r="F1071" s="383"/>
      <c r="G1071" s="383"/>
      <c r="H1071" s="383"/>
      <c r="I1071" s="385" t="b">
        <v>1</v>
      </c>
      <c r="J1071" s="386" t="s">
        <v>12990</v>
      </c>
    </row>
    <row r="1072" spans="1:10">
      <c r="A1072" s="383" t="str">
        <f>CONCATENATE("Reviewed on"," ",(TEXT('2022-2023 Applications Review'!$A1072, "mm/dd/yyyy")))</f>
        <v>Reviewed on 08/24/2022</v>
      </c>
      <c r="B1072" s="383" t="str">
        <f>'2022-2023 Applications Review'!B1072</f>
        <v>MDDx, Inc. _2022</v>
      </c>
      <c r="C1072" s="383" t="str">
        <f>'2022-2023 Applications Review'!E1072</f>
        <v>Life Sciences</v>
      </c>
      <c r="D1072" s="384" t="str">
        <f>'2022-2023 Applications Review'!Q1072</f>
        <v>Revisit/ Cluster</v>
      </c>
      <c r="E1072" s="383"/>
      <c r="F1072" s="383"/>
      <c r="G1072" s="383"/>
      <c r="H1072" s="383"/>
      <c r="I1072" s="385" t="b">
        <v>1</v>
      </c>
      <c r="J1072" s="386" t="s">
        <v>12991</v>
      </c>
    </row>
    <row r="1073" spans="1:10">
      <c r="A1073" s="383" t="str">
        <f>CONCATENATE("Reviewed on"," ",(TEXT('2022-2023 Applications Review'!$A1073, "mm/dd/yyyy")))</f>
        <v>Reviewed on 08/24/2022</v>
      </c>
      <c r="B1073" s="383" t="str">
        <f>'2022-2023 Applications Review'!B1073</f>
        <v>Yuty _2022</v>
      </c>
      <c r="C1073" s="383" t="str">
        <f>'2022-2023 Applications Review'!E1073</f>
        <v>Digital Tech</v>
      </c>
      <c r="D1073" s="384" t="str">
        <f>'2022-2023 Applications Review'!Q1073</f>
        <v>Invite Next Year</v>
      </c>
      <c r="E1073" s="383"/>
      <c r="F1073" s="383"/>
      <c r="G1073" s="383"/>
      <c r="H1073" s="383"/>
      <c r="I1073" s="385" t="b">
        <v>1</v>
      </c>
      <c r="J1073" s="386" t="s">
        <v>12409</v>
      </c>
    </row>
    <row r="1074" spans="1:10">
      <c r="A1074" s="383" t="str">
        <f>CONCATENATE("Reviewed on"," ",(TEXT('2022-2023 Applications Review'!$A1074, "mm/dd/yyyy")))</f>
        <v>Reviewed on 08/24/2022</v>
      </c>
      <c r="B1074" s="383" t="str">
        <f>'2022-2023 Applications Review'!B1074</f>
        <v>Perception Grid  _2022</v>
      </c>
      <c r="C1074" s="383" t="str">
        <f>'2022-2023 Applications Review'!E1074</f>
        <v>Digital Tech</v>
      </c>
      <c r="D1074" s="384" t="str">
        <f>'2022-2023 Applications Review'!Q1074</f>
        <v>Invite Next Year</v>
      </c>
      <c r="E1074" s="383"/>
      <c r="F1074" s="383"/>
      <c r="G1074" s="383"/>
      <c r="H1074" s="383"/>
      <c r="I1074" s="385" t="b">
        <v>1</v>
      </c>
      <c r="J1074" s="386" t="s">
        <v>12992</v>
      </c>
    </row>
    <row r="1075" spans="1:10">
      <c r="A1075" s="383" t="str">
        <f>CONCATENATE("Reviewed on"," ",(TEXT('2022-2023 Applications Review'!$A1075, "mm/dd/yyyy")))</f>
        <v>Reviewed on 08/24/2022</v>
      </c>
      <c r="B1075" s="383" t="str">
        <f>'2022-2023 Applications Review'!B1075</f>
        <v>Udeesa Systemics &amp; Technology _2022</v>
      </c>
      <c r="C1075" s="383" t="str">
        <f>'2022-2023 Applications Review'!E1075</f>
        <v>Digital Tech</v>
      </c>
      <c r="D1075" s="384" t="str">
        <f>'2022-2023 Applications Review'!Q1075</f>
        <v>Invite Next Year</v>
      </c>
      <c r="E1075" s="383"/>
      <c r="F1075" s="383"/>
      <c r="G1075" s="383"/>
      <c r="H1075" s="383"/>
      <c r="I1075" s="385" t="b">
        <v>1</v>
      </c>
      <c r="J1075" s="386" t="s">
        <v>12993</v>
      </c>
    </row>
    <row r="1076" spans="1:10">
      <c r="A1076" s="383" t="str">
        <f>CONCATENATE("Reviewed on"," ",(TEXT('2022-2023 Applications Review'!$A1076, "mm/dd/yyyy")))</f>
        <v>Reviewed on 08/24/2022</v>
      </c>
      <c r="B1076" s="383" t="str">
        <f>'2022-2023 Applications Review'!B1076</f>
        <v>Zedosh Limited (Attention Exchange®) _2022</v>
      </c>
      <c r="C1076" s="383" t="str">
        <f>'2022-2023 Applications Review'!E1076</f>
        <v>Digital Tech</v>
      </c>
      <c r="D1076" s="384" t="str">
        <f>'2022-2023 Applications Review'!Q1076</f>
        <v>Invite Next Year</v>
      </c>
      <c r="E1076" s="383"/>
      <c r="F1076" s="383"/>
      <c r="G1076" s="383"/>
      <c r="H1076" s="383"/>
      <c r="I1076" s="385" t="b">
        <v>1</v>
      </c>
      <c r="J1076" s="386" t="s">
        <v>12994</v>
      </c>
    </row>
    <row r="1077" spans="1:10">
      <c r="A1077" s="383" t="str">
        <f>CONCATENATE("Reviewed on"," ",(TEXT('2022-2023 Applications Review'!$A1077, "mm/dd/yyyy")))</f>
        <v>Reviewed on 08/24/2022</v>
      </c>
      <c r="B1077" s="383" t="str">
        <f>'2022-2023 Applications Review'!B1077</f>
        <v>OneDeal _2022</v>
      </c>
      <c r="C1077" s="383" t="str">
        <f>'2022-2023 Applications Review'!E1077</f>
        <v>Digital Tech</v>
      </c>
      <c r="D1077" s="384" t="str">
        <f>'2022-2023 Applications Review'!Q1077</f>
        <v>Invite Next Year</v>
      </c>
      <c r="E1077" s="383"/>
      <c r="F1077" s="383"/>
      <c r="G1077" s="383"/>
      <c r="H1077" s="383"/>
      <c r="I1077" s="385" t="b">
        <v>1</v>
      </c>
      <c r="J1077" s="386" t="s">
        <v>12995</v>
      </c>
    </row>
    <row r="1078" spans="1:10">
      <c r="A1078" s="383" t="str">
        <f>CONCATENATE("Reviewed on"," ",(TEXT('2022-2023 Applications Review'!$A1078, "mm/dd/yyyy")))</f>
        <v>Reviewed on 08/24/2022</v>
      </c>
      <c r="B1078" s="383" t="str">
        <f>'2022-2023 Applications Review'!B1078</f>
        <v>Troc Circle _2022</v>
      </c>
      <c r="C1078" s="383" t="str">
        <f>'2022-2023 Applications Review'!E1078</f>
        <v>Digital Tech</v>
      </c>
      <c r="D1078" s="384" t="str">
        <f>'2022-2023 Applications Review'!Q1078</f>
        <v>Invite Next Year</v>
      </c>
      <c r="E1078" s="383"/>
      <c r="F1078" s="383"/>
      <c r="G1078" s="383"/>
      <c r="H1078" s="383"/>
      <c r="I1078" s="385" t="b">
        <v>1</v>
      </c>
      <c r="J1078" s="386" t="s">
        <v>12996</v>
      </c>
    </row>
    <row r="1079" spans="1:10">
      <c r="A1079" s="383" t="str">
        <f>CONCATENATE("Reviewed on"," ",(TEXT('2022-2023 Applications Review'!$A1079, "mm/dd/yyyy")))</f>
        <v>Reviewed on 08/24/2022</v>
      </c>
      <c r="B1079" s="383" t="str">
        <f>'2022-2023 Applications Review'!B1079</f>
        <v>eWitness Media Inc. _2022</v>
      </c>
      <c r="C1079" s="383" t="str">
        <f>'2022-2023 Applications Review'!E1079</f>
        <v>Digital Tech</v>
      </c>
      <c r="D1079" s="384" t="str">
        <f>'2022-2023 Applications Review'!Q1079</f>
        <v>Invite Next Year</v>
      </c>
      <c r="E1079" s="383"/>
      <c r="F1079" s="383"/>
      <c r="G1079" s="383"/>
      <c r="H1079" s="383"/>
      <c r="I1079" s="385" t="b">
        <v>1</v>
      </c>
      <c r="J1079" s="386" t="s">
        <v>12997</v>
      </c>
    </row>
    <row r="1080" spans="1:10">
      <c r="A1080" s="383" t="str">
        <f>CONCATENATE("Reviewed on"," ",(TEXT('2022-2023 Applications Review'!$A1080, "mm/dd/yyyy")))</f>
        <v>Reviewed on 08/24/2022</v>
      </c>
      <c r="B1080" s="383" t="str">
        <f>'2022-2023 Applications Review'!B1080</f>
        <v>Outprfrm _2022</v>
      </c>
      <c r="C1080" s="383" t="str">
        <f>'2022-2023 Applications Review'!E1080</f>
        <v>Digital Tech</v>
      </c>
      <c r="D1080" s="384" t="str">
        <f>'2022-2023 Applications Review'!Q1080</f>
        <v>Invite Next Year</v>
      </c>
      <c r="E1080" s="383"/>
      <c r="F1080" s="383"/>
      <c r="G1080" s="383"/>
      <c r="H1080" s="383"/>
      <c r="I1080" s="385" t="b">
        <v>1</v>
      </c>
      <c r="J1080" s="386" t="s">
        <v>12998</v>
      </c>
    </row>
    <row r="1081" spans="1:10">
      <c r="A1081" s="383" t="str">
        <f>CONCATENATE("Reviewed on"," ",(TEXT('2022-2023 Applications Review'!$A1081, "mm/dd/yyyy")))</f>
        <v>Reviewed on 08/24/2022</v>
      </c>
      <c r="B1081" s="383" t="str">
        <f>'2022-2023 Applications Review'!B1081</f>
        <v>JS Group _2022</v>
      </c>
      <c r="C1081" s="383" t="str">
        <f>'2022-2023 Applications Review'!E1081</f>
        <v>Digital Tech</v>
      </c>
      <c r="D1081" s="384" t="str">
        <f>'2022-2023 Applications Review'!Q1081</f>
        <v>Invite Next Year</v>
      </c>
      <c r="E1081" s="383"/>
      <c r="F1081" s="383"/>
      <c r="G1081" s="383"/>
      <c r="H1081" s="383"/>
      <c r="I1081" s="385" t="b">
        <v>1</v>
      </c>
      <c r="J1081" s="386" t="s">
        <v>12999</v>
      </c>
    </row>
    <row r="1082" spans="1:10">
      <c r="A1082" s="383" t="str">
        <f>CONCATENATE("Reviewed on"," ",(TEXT('2022-2023 Applications Review'!$A1082, "mm/dd/yyyy")))</f>
        <v>Reviewed on 08/24/2022</v>
      </c>
      <c r="B1082" s="383" t="str">
        <f>'2022-2023 Applications Review'!B1082</f>
        <v>SEED - Sustainable Entrepreneurial Ecosystem Development _2022</v>
      </c>
      <c r="C1082" s="383" t="str">
        <f>'2022-2023 Applications Review'!E1082</f>
        <v>Digital Tech</v>
      </c>
      <c r="D1082" s="384" t="str">
        <f>'2022-2023 Applications Review'!Q1082</f>
        <v>Invite Next Year</v>
      </c>
      <c r="E1082" s="383"/>
      <c r="F1082" s="383"/>
      <c r="G1082" s="383"/>
      <c r="H1082" s="383"/>
      <c r="I1082" s="385" t="b">
        <v>1</v>
      </c>
      <c r="J1082" s="386" t="s">
        <v>13000</v>
      </c>
    </row>
    <row r="1083" spans="1:10">
      <c r="A1083" s="383" t="str">
        <f>CONCATENATE("Reviewed on"," ",(TEXT('2022-2023 Applications Review'!$A1083, "mm/dd/yyyy")))</f>
        <v>Reviewed on 08/24/2022</v>
      </c>
      <c r="B1083" s="383" t="str">
        <f>'2022-2023 Applications Review'!B1083</f>
        <v>Asklaser _2022</v>
      </c>
      <c r="C1083" s="383" t="str">
        <f>'2022-2023 Applications Review'!E1083</f>
        <v>Digital Tech</v>
      </c>
      <c r="D1083" s="384" t="str">
        <f>'2022-2023 Applications Review'!Q1083</f>
        <v>Invite Next Year</v>
      </c>
      <c r="E1083" s="383"/>
      <c r="F1083" s="383"/>
      <c r="G1083" s="383"/>
      <c r="H1083" s="383"/>
      <c r="I1083" s="385" t="b">
        <v>1</v>
      </c>
      <c r="J1083" s="386" t="s">
        <v>13001</v>
      </c>
    </row>
    <row r="1084" spans="1:10">
      <c r="A1084" s="383" t="str">
        <f>CONCATENATE("Reviewed on"," ",(TEXT('2022-2023 Applications Review'!$A1084, "mm/dd/yyyy")))</f>
        <v>Reviewed on 08/24/2022</v>
      </c>
      <c r="B1084" s="383" t="str">
        <f>'2022-2023 Applications Review'!B1084</f>
        <v>Kola Project _2022</v>
      </c>
      <c r="C1084" s="383" t="str">
        <f>'2022-2023 Applications Review'!E1084</f>
        <v>Digital Tech</v>
      </c>
      <c r="D1084" s="384" t="str">
        <f>'2022-2023 Applications Review'!Q1084</f>
        <v>Invite Next Year</v>
      </c>
      <c r="E1084" s="383"/>
      <c r="F1084" s="383"/>
      <c r="G1084" s="383"/>
      <c r="H1084" s="383"/>
      <c r="I1084" s="385" t="b">
        <v>1</v>
      </c>
      <c r="J1084" s="386" t="s">
        <v>13002</v>
      </c>
    </row>
    <row r="1085" spans="1:10">
      <c r="A1085" s="383" t="str">
        <f>CONCATENATE("Reviewed on"," ",(TEXT('2022-2023 Applications Review'!$A1085, "mm/dd/yyyy")))</f>
        <v>Reviewed on 08/24/2022</v>
      </c>
      <c r="B1085" s="383" t="str">
        <f>'2022-2023 Applications Review'!B1085</f>
        <v>Rapid Nexus Nanotech Wound Solutions, Inc. _2022</v>
      </c>
      <c r="C1085" s="383" t="str">
        <f>'2022-2023 Applications Review'!E1085</f>
        <v>Life Sciences</v>
      </c>
      <c r="D1085" s="384" t="str">
        <f>'2022-2023 Applications Review'!Q1085</f>
        <v>Invite Next Year</v>
      </c>
      <c r="E1085" s="383"/>
      <c r="F1085" s="383"/>
      <c r="G1085" s="383"/>
      <c r="H1085" s="383"/>
      <c r="I1085" s="385" t="b">
        <v>1</v>
      </c>
      <c r="J1085" s="386" t="s">
        <v>13003</v>
      </c>
    </row>
    <row r="1086" spans="1:10">
      <c r="A1086" s="383" t="str">
        <f>CONCATENATE("Reviewed on"," ",(TEXT('2022-2023 Applications Review'!$A1086, "mm/dd/yyyy")))</f>
        <v>Reviewed on 08/24/2022</v>
      </c>
      <c r="B1086" s="383" t="str">
        <f>'2022-2023 Applications Review'!B1086</f>
        <v>Fundamento _2022</v>
      </c>
      <c r="C1086" s="383" t="str">
        <f>'2022-2023 Applications Review'!E1086</f>
        <v>Digital Tech</v>
      </c>
      <c r="D1086" s="384" t="str">
        <f>'2022-2023 Applications Review'!Q1086</f>
        <v>Invite Next Year</v>
      </c>
      <c r="E1086" s="383"/>
      <c r="F1086" s="383"/>
      <c r="G1086" s="383"/>
      <c r="H1086" s="383"/>
      <c r="I1086" s="385" t="b">
        <v>1</v>
      </c>
      <c r="J1086" s="386" t="s">
        <v>13004</v>
      </c>
    </row>
    <row r="1087" spans="1:10">
      <c r="A1087" s="383" t="str">
        <f>CONCATENATE("Reviewed on"," ",(TEXT('2022-2023 Applications Review'!$A1087, "mm/dd/yyyy")))</f>
        <v>Reviewed on 08/24/2022</v>
      </c>
      <c r="B1087" s="383" t="str">
        <f>'2022-2023 Applications Review'!B1087</f>
        <v>Pearl Interactives _2022</v>
      </c>
      <c r="C1087" s="383" t="str">
        <f>'2022-2023 Applications Review'!E1087</f>
        <v>Digital Tech</v>
      </c>
      <c r="D1087" s="384" t="str">
        <f>'2022-2023 Applications Review'!Q1087</f>
        <v>Invite Next Year</v>
      </c>
      <c r="E1087" s="383"/>
      <c r="F1087" s="383"/>
      <c r="G1087" s="383"/>
      <c r="H1087" s="383"/>
      <c r="I1087" s="385" t="b">
        <v>1</v>
      </c>
      <c r="J1087" s="386" t="s">
        <v>13005</v>
      </c>
    </row>
    <row r="1088" spans="1:10">
      <c r="A1088" s="383" t="str">
        <f>CONCATENATE("Reviewed on"," ",(TEXT('2022-2023 Applications Review'!$A1088, "mm/dd/yyyy")))</f>
        <v>Reviewed on 08/24/2022</v>
      </c>
      <c r="B1088" s="383" t="str">
        <f>'2022-2023 Applications Review'!B1088</f>
        <v>Koshex Inc. _2022</v>
      </c>
      <c r="C1088" s="383" t="str">
        <f>'2022-2023 Applications Review'!E1088</f>
        <v>Digital Tech</v>
      </c>
      <c r="D1088" s="384" t="str">
        <f>'2022-2023 Applications Review'!Q1088</f>
        <v>Invite Next Year</v>
      </c>
      <c r="E1088" s="383"/>
      <c r="F1088" s="383"/>
      <c r="G1088" s="383"/>
      <c r="H1088" s="383"/>
      <c r="I1088" s="385" t="b">
        <v>1</v>
      </c>
      <c r="J1088" s="386" t="s">
        <v>13006</v>
      </c>
    </row>
    <row r="1089" spans="1:10">
      <c r="A1089" s="383" t="str">
        <f>CONCATENATE("Reviewed on"," ",(TEXT('2022-2023 Applications Review'!$A1089, "mm/dd/yyyy")))</f>
        <v>Reviewed on 08/24/2022</v>
      </c>
      <c r="B1089" s="383" t="str">
        <f>'2022-2023 Applications Review'!B1089</f>
        <v>Patientory, Inc. _2022</v>
      </c>
      <c r="C1089" s="383" t="str">
        <f>'2022-2023 Applications Review'!E1089</f>
        <v>Digital Tech</v>
      </c>
      <c r="D1089" s="384" t="str">
        <f>'2022-2023 Applications Review'!Q1089</f>
        <v>Invite Next Year</v>
      </c>
      <c r="E1089" s="383"/>
      <c r="F1089" s="383"/>
      <c r="G1089" s="383"/>
      <c r="H1089" s="383"/>
      <c r="I1089" s="385" t="b">
        <v>1</v>
      </c>
      <c r="J1089" s="386" t="s">
        <v>13007</v>
      </c>
    </row>
    <row r="1090" spans="1:10">
      <c r="A1090" s="383" t="str">
        <f>CONCATENATE("Reviewed on"," ",(TEXT('2022-2023 Applications Review'!$A1090, "mm/dd/yyyy")))</f>
        <v>Reviewed on 08/24/2022</v>
      </c>
      <c r="B1090" s="383" t="str">
        <f>'2022-2023 Applications Review'!B1090</f>
        <v>T4L Inc _2022</v>
      </c>
      <c r="C1090" s="383" t="str">
        <f>'2022-2023 Applications Review'!E1090</f>
        <v>Digital Tech</v>
      </c>
      <c r="D1090" s="384" t="str">
        <f>'2022-2023 Applications Review'!Q1090</f>
        <v>Invite Next Year</v>
      </c>
      <c r="E1090" s="383"/>
      <c r="F1090" s="383"/>
      <c r="G1090" s="383"/>
      <c r="H1090" s="383"/>
      <c r="I1090" s="385" t="b">
        <v>1</v>
      </c>
      <c r="J1090" s="386" t="s">
        <v>13008</v>
      </c>
    </row>
    <row r="1091" spans="1:10">
      <c r="A1091" s="383" t="str">
        <f>CONCATENATE("Reviewed on"," ",(TEXT('2022-2023 Applications Review'!$A1091, "mm/dd/yyyy")))</f>
        <v>Reviewed on 08/24/2022</v>
      </c>
      <c r="B1091" s="383" t="str">
        <f>'2022-2023 Applications Review'!B1091</f>
        <v>Nu-Credits _2022</v>
      </c>
      <c r="C1091" s="383" t="str">
        <f>'2022-2023 Applications Review'!E1091</f>
        <v>Digital Tech</v>
      </c>
      <c r="D1091" s="384" t="str">
        <f>'2022-2023 Applications Review'!Q1091</f>
        <v>Invite Next Year</v>
      </c>
      <c r="E1091" s="383"/>
      <c r="F1091" s="383"/>
      <c r="G1091" s="383"/>
      <c r="H1091" s="383"/>
      <c r="I1091" s="385" t="b">
        <v>1</v>
      </c>
      <c r="J1091" s="386" t="s">
        <v>13009</v>
      </c>
    </row>
    <row r="1092" spans="1:10">
      <c r="A1092" s="383" t="str">
        <f>CONCATENATE("Reviewed on"," ",(TEXT('2022-2023 Applications Review'!$A1092, "mm/dd/yyyy")))</f>
        <v>Reviewed on 08/24/2022</v>
      </c>
      <c r="B1092" s="383" t="str">
        <f>'2022-2023 Applications Review'!B1092</f>
        <v>Telebionix _2022</v>
      </c>
      <c r="C1092" s="383" t="str">
        <f>'2022-2023 Applications Review'!E1092</f>
        <v>Digital Tech</v>
      </c>
      <c r="D1092" s="384" t="str">
        <f>'2022-2023 Applications Review'!Q1092</f>
        <v>Invite Next Year</v>
      </c>
      <c r="E1092" s="383"/>
      <c r="F1092" s="383"/>
      <c r="G1092" s="383"/>
      <c r="H1092" s="383"/>
      <c r="I1092" s="385" t="b">
        <v>1</v>
      </c>
      <c r="J1092" s="386" t="s">
        <v>13010</v>
      </c>
    </row>
    <row r="1093" spans="1:10">
      <c r="A1093" s="383" t="str">
        <f>CONCATENATE("Reviewed on"," ",(TEXT('2022-2023 Applications Review'!$A1093, "mm/dd/yyyy")))</f>
        <v>Reviewed on 08/24/2022</v>
      </c>
      <c r="B1093" s="383" t="str">
        <f>'2022-2023 Applications Review'!B1093</f>
        <v>Norma _2022</v>
      </c>
      <c r="C1093" s="383" t="str">
        <f>'2022-2023 Applications Review'!E1093</f>
        <v>Digital Tech</v>
      </c>
      <c r="D1093" s="384" t="str">
        <f>'2022-2023 Applications Review'!Q1093</f>
        <v>Invite Next Year</v>
      </c>
      <c r="E1093" s="383"/>
      <c r="F1093" s="383"/>
      <c r="G1093" s="383"/>
      <c r="H1093" s="383"/>
      <c r="I1093" s="385" t="b">
        <v>1</v>
      </c>
      <c r="J1093" s="386" t="s">
        <v>13011</v>
      </c>
    </row>
    <row r="1094" spans="1:10">
      <c r="A1094" s="383" t="str">
        <f>CONCATENATE("Reviewed on"," ",(TEXT('2022-2023 Applications Review'!$A1094, "mm/dd/yyyy")))</f>
        <v>Reviewed on 08/24/2022</v>
      </c>
      <c r="B1094" s="383" t="str">
        <f>'2022-2023 Applications Review'!B1094</f>
        <v>SSP Software, LLC _2022</v>
      </c>
      <c r="C1094" s="383" t="str">
        <f>'2022-2023 Applications Review'!E1094</f>
        <v>Digital Tech</v>
      </c>
      <c r="D1094" s="384" t="str">
        <f>'2022-2023 Applications Review'!Q1094</f>
        <v>Invite Next Year</v>
      </c>
      <c r="E1094" s="383"/>
      <c r="F1094" s="383"/>
      <c r="G1094" s="383"/>
      <c r="H1094" s="383"/>
      <c r="I1094" s="385" t="b">
        <v>1</v>
      </c>
      <c r="J1094" s="386" t="s">
        <v>13012</v>
      </c>
    </row>
    <row r="1095" spans="1:10">
      <c r="A1095" s="383" t="str">
        <f>CONCATENATE("Reviewed on"," ",(TEXT('2022-2023 Applications Review'!$A1095, "mm/dd/yyyy")))</f>
        <v>Reviewed on 08/24/2022</v>
      </c>
      <c r="B1095" s="383" t="str">
        <f>'2022-2023 Applications Review'!B1095</f>
        <v>Quota _2022</v>
      </c>
      <c r="C1095" s="383" t="str">
        <f>'2022-2023 Applications Review'!E1095</f>
        <v>Digital Tech</v>
      </c>
      <c r="D1095" s="384" t="str">
        <f>'2022-2023 Applications Review'!Q1095</f>
        <v>Invite Next Year</v>
      </c>
      <c r="E1095" s="383"/>
      <c r="F1095" s="383"/>
      <c r="G1095" s="383"/>
      <c r="H1095" s="383"/>
      <c r="I1095" s="385" t="b">
        <v>1</v>
      </c>
      <c r="J1095" s="386" t="s">
        <v>13013</v>
      </c>
    </row>
    <row r="1096" spans="1:10">
      <c r="A1096" s="383" t="str">
        <f>CONCATENATE("Reviewed on"," ",(TEXT('2022-2023 Applications Review'!$A1096, "mm/dd/yyyy")))</f>
        <v>Reviewed on 08/24/2022</v>
      </c>
      <c r="B1096" s="383" t="str">
        <f>'2022-2023 Applications Review'!B1096</f>
        <v>Cinference _2022</v>
      </c>
      <c r="C1096" s="383" t="str">
        <f>'2022-2023 Applications Review'!E1096</f>
        <v>Life Sciences</v>
      </c>
      <c r="D1096" s="384" t="str">
        <f>'2022-2023 Applications Review'!Q1096</f>
        <v>Invite Next Year</v>
      </c>
      <c r="E1096" s="383"/>
      <c r="F1096" s="383"/>
      <c r="G1096" s="383"/>
      <c r="H1096" s="383"/>
      <c r="I1096" s="385" t="b">
        <v>1</v>
      </c>
      <c r="J1096" s="386" t="s">
        <v>13014</v>
      </c>
    </row>
    <row r="1097" spans="1:10">
      <c r="A1097" s="383" t="str">
        <f>CONCATENATE("Reviewed on"," ",(TEXT('2022-2023 Applications Review'!$A1097, "mm/dd/yyyy")))</f>
        <v>Reviewed on 08/24/2022</v>
      </c>
      <c r="B1097" s="383" t="str">
        <f>'2022-2023 Applications Review'!B1097</f>
        <v>Igugu Global _2022</v>
      </c>
      <c r="C1097" s="383" t="str">
        <f>'2022-2023 Applications Review'!E1097</f>
        <v>Digital Tech</v>
      </c>
      <c r="D1097" s="384" t="str">
        <f>'2022-2023 Applications Review'!Q1097</f>
        <v>Invite Next Year</v>
      </c>
      <c r="E1097" s="383"/>
      <c r="F1097" s="383"/>
      <c r="G1097" s="383"/>
      <c r="H1097" s="383"/>
      <c r="I1097" s="385" t="b">
        <v>1</v>
      </c>
      <c r="J1097" s="386" t="s">
        <v>13015</v>
      </c>
    </row>
    <row r="1098" spans="1:10">
      <c r="A1098" s="383" t="str">
        <f>CONCATENATE("Reviewed on"," ",(TEXT('2022-2023 Applications Review'!$A1098, "mm/dd/yyyy")))</f>
        <v>Reviewed on 08/24/2022</v>
      </c>
      <c r="B1098" s="383" t="str">
        <f>'2022-2023 Applications Review'!B1098</f>
        <v>Pedestal _2022</v>
      </c>
      <c r="C1098" s="383" t="str">
        <f>'2022-2023 Applications Review'!E1098</f>
        <v>Digital Tech</v>
      </c>
      <c r="D1098" s="384" t="str">
        <f>'2022-2023 Applications Review'!Q1098</f>
        <v>Invite Next Year</v>
      </c>
      <c r="E1098" s="383"/>
      <c r="F1098" s="383"/>
      <c r="G1098" s="383"/>
      <c r="H1098" s="383"/>
      <c r="I1098" s="385" t="b">
        <v>1</v>
      </c>
      <c r="J1098" s="386" t="s">
        <v>13016</v>
      </c>
    </row>
    <row r="1099" spans="1:10">
      <c r="A1099" s="383" t="str">
        <f>CONCATENATE("Reviewed on"," ",(TEXT('2022-2023 Applications Review'!$A1099, "mm/dd/yyyy")))</f>
        <v>Reviewed on 08/24/2022</v>
      </c>
      <c r="B1099" s="383" t="str">
        <f>'2022-2023 Applications Review'!B1099</f>
        <v>AUMHUM _2022</v>
      </c>
      <c r="C1099" s="383" t="str">
        <f>'2022-2023 Applications Review'!E1099</f>
        <v>Digital Tech</v>
      </c>
      <c r="D1099" s="384" t="str">
        <f>'2022-2023 Applications Review'!Q1099</f>
        <v>Invite Next Year</v>
      </c>
      <c r="E1099" s="383"/>
      <c r="F1099" s="383"/>
      <c r="G1099" s="383"/>
      <c r="H1099" s="383"/>
      <c r="I1099" s="385" t="b">
        <v>1</v>
      </c>
      <c r="J1099" s="386" t="s">
        <v>13017</v>
      </c>
    </row>
    <row r="1100" spans="1:10">
      <c r="A1100" s="383" t="str">
        <f>CONCATENATE("Reviewed on"," ",(TEXT('2022-2023 Applications Review'!$A1100, "mm/dd/yyyy")))</f>
        <v>Reviewed on 08/24/2022</v>
      </c>
      <c r="B1100" s="383" t="str">
        <f>'2022-2023 Applications Review'!B1100</f>
        <v>SuperFi Finance Ltd _2022</v>
      </c>
      <c r="C1100" s="383" t="str">
        <f>'2022-2023 Applications Review'!E1100</f>
        <v>Digital Tech</v>
      </c>
      <c r="D1100" s="384" t="str">
        <f>'2022-2023 Applications Review'!Q1100</f>
        <v>Invite Next Year</v>
      </c>
      <c r="E1100" s="383"/>
      <c r="F1100" s="383"/>
      <c r="G1100" s="383"/>
      <c r="H1100" s="383"/>
      <c r="I1100" s="385" t="b">
        <v>1</v>
      </c>
      <c r="J1100" s="386" t="s">
        <v>13018</v>
      </c>
    </row>
    <row r="1101" spans="1:10">
      <c r="A1101" s="383" t="str">
        <f>CONCATENATE("Reviewed on"," ",(TEXT('2022-2023 Applications Review'!$A1101, "mm/dd/yyyy")))</f>
        <v>Reviewed on 08/24/2022</v>
      </c>
      <c r="B1101" s="383" t="str">
        <f>'2022-2023 Applications Review'!B1101</f>
        <v>Passage Health Inc. _2022</v>
      </c>
      <c r="C1101" s="383" t="str">
        <f>'2022-2023 Applications Review'!E1101</f>
        <v>Digital Tech</v>
      </c>
      <c r="D1101" s="384" t="str">
        <f>'2022-2023 Applications Review'!Q1101</f>
        <v>Invite Next Year</v>
      </c>
      <c r="E1101" s="383"/>
      <c r="F1101" s="383"/>
      <c r="G1101" s="383"/>
      <c r="H1101" s="383"/>
      <c r="I1101" s="385" t="b">
        <v>1</v>
      </c>
      <c r="J1101" s="386" t="s">
        <v>13019</v>
      </c>
    </row>
    <row r="1102" spans="1:10">
      <c r="A1102" s="383" t="str">
        <f>CONCATENATE("Reviewed on"," ",(TEXT('2022-2023 Applications Review'!$A1102, "mm/dd/yyyy")))</f>
        <v>Reviewed on 08/24/2022</v>
      </c>
      <c r="B1102" s="383" t="str">
        <f>'2022-2023 Applications Review'!B1102</f>
        <v>TEXpert AI Ltd _2022</v>
      </c>
      <c r="C1102" s="383" t="str">
        <f>'2022-2023 Applications Review'!E1102</f>
        <v>Digital Tech</v>
      </c>
      <c r="D1102" s="384" t="str">
        <f>'2022-2023 Applications Review'!Q1102</f>
        <v>Invite Next Year</v>
      </c>
      <c r="E1102" s="383"/>
      <c r="F1102" s="383"/>
      <c r="G1102" s="383"/>
      <c r="H1102" s="383"/>
      <c r="I1102" s="385" t="b">
        <v>1</v>
      </c>
      <c r="J1102" s="386" t="s">
        <v>13020</v>
      </c>
    </row>
    <row r="1103" spans="1:10">
      <c r="A1103" s="383" t="str">
        <f>CONCATENATE("Reviewed on"," ",(TEXT('2022-2023 Applications Review'!$A1103, "mm/dd/yyyy")))</f>
        <v>Reviewed on 08/24/2022</v>
      </c>
      <c r="B1103" s="383" t="str">
        <f>'2022-2023 Applications Review'!B1103</f>
        <v>The JaraNetwork _2022</v>
      </c>
      <c r="C1103" s="383" t="str">
        <f>'2022-2023 Applications Review'!E1103</f>
        <v>Digital Tech</v>
      </c>
      <c r="D1103" s="384" t="str">
        <f>'2022-2023 Applications Review'!Q1103</f>
        <v>Invite Next Year</v>
      </c>
      <c r="E1103" s="383"/>
      <c r="F1103" s="383"/>
      <c r="G1103" s="383"/>
      <c r="H1103" s="383"/>
      <c r="I1103" s="385" t="b">
        <v>1</v>
      </c>
      <c r="J1103" s="386" t="s">
        <v>13021</v>
      </c>
    </row>
    <row r="1104" spans="1:10">
      <c r="A1104" s="383" t="str">
        <f>CONCATENATE("Reviewed on"," ",(TEXT('2022-2023 Applications Review'!$A1104, "mm/dd/yyyy")))</f>
        <v>Reviewed on 08/24/2022</v>
      </c>
      <c r="B1104" s="383" t="str">
        <f>'2022-2023 Applications Review'!B1104</f>
        <v>SiliconScapes _2022</v>
      </c>
      <c r="C1104" s="383" t="str">
        <f>'2022-2023 Applications Review'!E1104</f>
        <v>Digital Tech</v>
      </c>
      <c r="D1104" s="384" t="str">
        <f>'2022-2023 Applications Review'!Q1104</f>
        <v>Invite Next Year</v>
      </c>
      <c r="E1104" s="383"/>
      <c r="F1104" s="383"/>
      <c r="G1104" s="383"/>
      <c r="H1104" s="383"/>
      <c r="I1104" s="385" t="b">
        <v>1</v>
      </c>
      <c r="J1104" s="386" t="s">
        <v>13022</v>
      </c>
    </row>
    <row r="1105" spans="1:10">
      <c r="A1105" s="383" t="str">
        <f>CONCATENATE("Reviewed on"," ",(TEXT('2022-2023 Applications Review'!$A1105, "mm/dd/yyyy")))</f>
        <v>Reviewed on 08/24/2022</v>
      </c>
      <c r="B1105" s="383" t="str">
        <f>'2022-2023 Applications Review'!B1105</f>
        <v>Peer Circles by wedstll  _2022</v>
      </c>
      <c r="C1105" s="383" t="str">
        <f>'2022-2023 Applications Review'!E1105</f>
        <v>Digital Tech</v>
      </c>
      <c r="D1105" s="384" t="str">
        <f>'2022-2023 Applications Review'!Q1105</f>
        <v>Invite Next Year</v>
      </c>
      <c r="E1105" s="383"/>
      <c r="F1105" s="383"/>
      <c r="G1105" s="383"/>
      <c r="H1105" s="383"/>
      <c r="I1105" s="385" t="b">
        <v>1</v>
      </c>
      <c r="J1105" s="386" t="s">
        <v>13023</v>
      </c>
    </row>
    <row r="1106" spans="1:10">
      <c r="A1106" s="383" t="str">
        <f>CONCATENATE("Reviewed on"," ",(TEXT('2022-2023 Applications Review'!$A1106, "mm/dd/yyyy")))</f>
        <v>Reviewed on 08/24/2022</v>
      </c>
      <c r="B1106" s="383" t="str">
        <f>'2022-2023 Applications Review'!B1106</f>
        <v>Kitchefy _2022</v>
      </c>
      <c r="C1106" s="383" t="str">
        <f>'2022-2023 Applications Review'!E1106</f>
        <v>Digital Tech</v>
      </c>
      <c r="D1106" s="384" t="str">
        <f>'2022-2023 Applications Review'!Q1106</f>
        <v>Invite Next Year</v>
      </c>
      <c r="E1106" s="383"/>
      <c r="F1106" s="383"/>
      <c r="G1106" s="383"/>
      <c r="H1106" s="383"/>
      <c r="I1106" s="385" t="b">
        <v>1</v>
      </c>
      <c r="J1106" s="386" t="s">
        <v>13024</v>
      </c>
    </row>
    <row r="1107" spans="1:10">
      <c r="A1107" s="383" t="str">
        <f>CONCATENATE("Reviewed on"," ",(TEXT('2022-2023 Applications Review'!$A1107, "mm/dd/yyyy")))</f>
        <v>Reviewed on 08/24/2022</v>
      </c>
      <c r="B1107" s="383" t="str">
        <f>'2022-2023 Applications Review'!B1107</f>
        <v>Vansanity, Inc. _2022</v>
      </c>
      <c r="C1107" s="383" t="str">
        <f>'2022-2023 Applications Review'!E1107</f>
        <v>Digital Tech</v>
      </c>
      <c r="D1107" s="384" t="str">
        <f>'2022-2023 Applications Review'!Q1107</f>
        <v>Invite Next Year</v>
      </c>
      <c r="E1107" s="383"/>
      <c r="F1107" s="383"/>
      <c r="G1107" s="383"/>
      <c r="H1107" s="383"/>
      <c r="I1107" s="385" t="b">
        <v>1</v>
      </c>
      <c r="J1107" s="386" t="s">
        <v>13025</v>
      </c>
    </row>
    <row r="1108" spans="1:10">
      <c r="A1108" s="383" t="str">
        <f>CONCATENATE("Reviewed on"," ",(TEXT('2022-2023 Applications Review'!$A1108, "mm/dd/yyyy")))</f>
        <v>Reviewed on 08/24/2022</v>
      </c>
      <c r="B1108" s="383" t="str">
        <f>'2022-2023 Applications Review'!B1108</f>
        <v>TAMP  _2022</v>
      </c>
      <c r="C1108" s="383" t="str">
        <f>'2022-2023 Applications Review'!E1108</f>
        <v>Digital Tech</v>
      </c>
      <c r="D1108" s="384" t="str">
        <f>'2022-2023 Applications Review'!Q1108</f>
        <v>Invite Next Year</v>
      </c>
      <c r="E1108" s="383"/>
      <c r="F1108" s="383"/>
      <c r="G1108" s="383"/>
      <c r="H1108" s="383"/>
      <c r="I1108" s="385" t="b">
        <v>1</v>
      </c>
      <c r="J1108" s="386" t="s">
        <v>13026</v>
      </c>
    </row>
    <row r="1109" spans="1:10">
      <c r="A1109" s="383" t="str">
        <f>CONCATENATE("Reviewed on"," ",(TEXT('2022-2023 Applications Review'!$A1109, "mm/dd/yyyy")))</f>
        <v>Reviewed on 08/24/2022</v>
      </c>
      <c r="B1109" s="383" t="str">
        <f>'2022-2023 Applications Review'!B1109</f>
        <v>Gahez Market _2022</v>
      </c>
      <c r="C1109" s="383" t="str">
        <f>'2022-2023 Applications Review'!E1109</f>
        <v>Digital Tech</v>
      </c>
      <c r="D1109" s="384" t="str">
        <f>'2022-2023 Applications Review'!Q1109</f>
        <v>Invite Next Year</v>
      </c>
      <c r="E1109" s="383"/>
      <c r="F1109" s="383"/>
      <c r="G1109" s="383"/>
      <c r="H1109" s="383"/>
      <c r="I1109" s="385" t="b">
        <v>1</v>
      </c>
      <c r="J1109" s="386" t="s">
        <v>13027</v>
      </c>
    </row>
    <row r="1110" spans="1:10">
      <c r="A1110" s="383" t="str">
        <f>CONCATENATE("Reviewed on"," ",(TEXT('2022-2023 Applications Review'!$A1110, "mm/dd/yyyy")))</f>
        <v>Reviewed on 08/24/2022</v>
      </c>
      <c r="B1110" s="383" t="str">
        <f>'2022-2023 Applications Review'!B1110</f>
        <v>Hiveclass _2022</v>
      </c>
      <c r="C1110" s="383" t="str">
        <f>'2022-2023 Applications Review'!E1110</f>
        <v>Digital Tech</v>
      </c>
      <c r="D1110" s="384" t="str">
        <f>'2022-2023 Applications Review'!Q1110</f>
        <v>Invite Next Year</v>
      </c>
      <c r="E1110" s="383"/>
      <c r="F1110" s="383"/>
      <c r="G1110" s="383"/>
      <c r="H1110" s="383"/>
      <c r="I1110" s="385" t="b">
        <v>1</v>
      </c>
      <c r="J1110" s="386" t="s">
        <v>13028</v>
      </c>
    </row>
    <row r="1111" spans="1:10">
      <c r="A1111" s="383" t="str">
        <f>CONCATENATE("Reviewed on"," ",(TEXT('2022-2023 Applications Review'!$A1111, "mm/dd/yyyy")))</f>
        <v>Reviewed on 08/24/2022</v>
      </c>
      <c r="B1111" s="383" t="str">
        <f>'2022-2023 Applications Review'!B1111</f>
        <v>Cosmosii _2022</v>
      </c>
      <c r="C1111" s="383" t="str">
        <f>'2022-2023 Applications Review'!E1111</f>
        <v>Digital Tech</v>
      </c>
      <c r="D1111" s="384" t="str">
        <f>'2022-2023 Applications Review'!Q1111</f>
        <v>Invite Next Year</v>
      </c>
      <c r="E1111" s="383"/>
      <c r="F1111" s="383"/>
      <c r="G1111" s="383"/>
      <c r="H1111" s="383"/>
      <c r="I1111" s="385" t="b">
        <v>1</v>
      </c>
      <c r="J1111" s="386" t="s">
        <v>13029</v>
      </c>
    </row>
    <row r="1112" spans="1:10">
      <c r="A1112" s="383" t="str">
        <f>CONCATENATE("Reviewed on"," ",(TEXT('2022-2023 Applications Review'!$A1112, "mm/dd/yyyy")))</f>
        <v>Reviewed on 08/24/2022</v>
      </c>
      <c r="B1112" s="383" t="str">
        <f>'2022-2023 Applications Review'!B1112</f>
        <v>WellnessWins _2022</v>
      </c>
      <c r="C1112" s="383" t="str">
        <f>'2022-2023 Applications Review'!E1112</f>
        <v>Digital Tech</v>
      </c>
      <c r="D1112" s="384" t="str">
        <f>'2022-2023 Applications Review'!Q1112</f>
        <v>Invite Next Year</v>
      </c>
      <c r="E1112" s="383"/>
      <c r="F1112" s="383"/>
      <c r="G1112" s="383"/>
      <c r="H1112" s="383"/>
      <c r="I1112" s="385" t="b">
        <v>1</v>
      </c>
      <c r="J1112" s="386" t="s">
        <v>13030</v>
      </c>
    </row>
    <row r="1113" spans="1:10">
      <c r="A1113" s="383" t="str">
        <f>CONCATENATE("Reviewed on"," ",(TEXT('2022-2023 Applications Review'!$A1113, "mm/dd/yyyy")))</f>
        <v>Reviewed on 08/24/2022</v>
      </c>
      <c r="B1113" s="383" t="str">
        <f>'2022-2023 Applications Review'!B1113</f>
        <v>CARDISYSTEMS _2022</v>
      </c>
      <c r="C1113" s="383" t="str">
        <f>'2022-2023 Applications Review'!E1113</f>
        <v>Digital Tech</v>
      </c>
      <c r="D1113" s="384" t="str">
        <f>'2022-2023 Applications Review'!Q1113</f>
        <v>Invite Next Year</v>
      </c>
      <c r="E1113" s="383"/>
      <c r="F1113" s="383"/>
      <c r="G1113" s="383"/>
      <c r="H1113" s="383"/>
      <c r="I1113" s="385" t="b">
        <v>1</v>
      </c>
      <c r="J1113" s="386" t="s">
        <v>13031</v>
      </c>
    </row>
    <row r="1114" spans="1:10">
      <c r="A1114" s="383" t="str">
        <f>CONCATENATE("Reviewed on"," ",(TEXT('2022-2023 Applications Review'!$A1114, "mm/dd/yyyy")))</f>
        <v>Reviewed on 08/24/2022</v>
      </c>
      <c r="B1114" s="383" t="str">
        <f>'2022-2023 Applications Review'!B1114</f>
        <v>Healthy Hip Hop _2022</v>
      </c>
      <c r="C1114" s="383" t="str">
        <f>'2022-2023 Applications Review'!E1114</f>
        <v>Digital Tech</v>
      </c>
      <c r="D1114" s="384" t="str">
        <f>'2022-2023 Applications Review'!Q1114</f>
        <v>Invite Next Year</v>
      </c>
      <c r="E1114" s="383"/>
      <c r="F1114" s="383"/>
      <c r="G1114" s="383"/>
      <c r="H1114" s="383"/>
      <c r="I1114" s="385" t="b">
        <v>1</v>
      </c>
      <c r="J1114" s="386" t="s">
        <v>13032</v>
      </c>
    </row>
    <row r="1115" spans="1:10">
      <c r="A1115" s="383" t="str">
        <f>CONCATENATE("Reviewed on"," ",(TEXT('2022-2023 Applications Review'!$A1115, "mm/dd/yyyy")))</f>
        <v>Reviewed on 08/24/2022</v>
      </c>
      <c r="B1115" s="383" t="str">
        <f>'2022-2023 Applications Review'!B1115</f>
        <v>Salve Therapeutics _2022</v>
      </c>
      <c r="C1115" s="383" t="str">
        <f>'2022-2023 Applications Review'!E1115</f>
        <v>Life Sciences</v>
      </c>
      <c r="D1115" s="384" t="str">
        <f>'2022-2023 Applications Review'!Q1115</f>
        <v>Invite Next Year</v>
      </c>
      <c r="E1115" s="383"/>
      <c r="F1115" s="383"/>
      <c r="G1115" s="383"/>
      <c r="H1115" s="383"/>
      <c r="I1115" s="385" t="b">
        <v>1</v>
      </c>
      <c r="J1115" s="386" t="s">
        <v>13033</v>
      </c>
    </row>
    <row r="1116" spans="1:10">
      <c r="A1116" s="383" t="str">
        <f>CONCATENATE("Reviewed on"," ",(TEXT('2022-2023 Applications Review'!$A1116, "mm/dd/yyyy")))</f>
        <v>Reviewed on 08/24/2022</v>
      </c>
      <c r="B1116" s="383" t="str">
        <f>'2022-2023 Applications Review'!B1116</f>
        <v>Sherrell Dorsey _2022</v>
      </c>
      <c r="C1116" s="383" t="str">
        <f>'2022-2023 Applications Review'!E1116</f>
        <v>Digital Tech</v>
      </c>
      <c r="D1116" s="384" t="str">
        <f>'2022-2023 Applications Review'!Q1116</f>
        <v>Invite Next Year</v>
      </c>
      <c r="E1116" s="383"/>
      <c r="F1116" s="383"/>
      <c r="G1116" s="383"/>
      <c r="H1116" s="383"/>
      <c r="I1116" s="385" t="b">
        <v>1</v>
      </c>
      <c r="J1116" s="386" t="s">
        <v>13034</v>
      </c>
    </row>
    <row r="1117" spans="1:10">
      <c r="A1117" s="383" t="str">
        <f>CONCATENATE("Reviewed on"," ",(TEXT('2022-2023 Applications Review'!$A1117, "mm/dd/yyyy")))</f>
        <v>Reviewed on 08/24/2022</v>
      </c>
      <c r="B1117" s="383" t="str">
        <f>'2022-2023 Applications Review'!B1117</f>
        <v>Decentralized Data and Research (DDR) _2022</v>
      </c>
      <c r="C1117" s="383" t="str">
        <f>'2022-2023 Applications Review'!E1117</f>
        <v>Digital Tech</v>
      </c>
      <c r="D1117" s="384" t="str">
        <f>'2022-2023 Applications Review'!Q1117</f>
        <v>Invite Next Year</v>
      </c>
      <c r="E1117" s="383"/>
      <c r="F1117" s="383"/>
      <c r="G1117" s="383"/>
      <c r="H1117" s="383"/>
      <c r="I1117" s="385" t="b">
        <v>1</v>
      </c>
      <c r="J1117" s="386" t="s">
        <v>13035</v>
      </c>
    </row>
    <row r="1118" spans="1:10">
      <c r="A1118" s="383" t="str">
        <f>CONCATENATE("Reviewed on"," ",(TEXT('2022-2023 Applications Review'!$A1118, "mm/dd/yyyy")))</f>
        <v>Reviewed on 08/24/2022</v>
      </c>
      <c r="B1118" s="383" t="str">
        <f>'2022-2023 Applications Review'!B1118</f>
        <v>targo.digital UG (haftungsbeschraenkt) _2022</v>
      </c>
      <c r="C1118" s="383" t="str">
        <f>'2022-2023 Applications Review'!E1118</f>
        <v>Digital Tech</v>
      </c>
      <c r="D1118" s="384" t="str">
        <f>'2022-2023 Applications Review'!Q1118</f>
        <v>Invite Next Year</v>
      </c>
      <c r="E1118" s="383"/>
      <c r="F1118" s="383"/>
      <c r="G1118" s="383"/>
      <c r="H1118" s="383"/>
      <c r="I1118" s="385" t="b">
        <v>1</v>
      </c>
      <c r="J1118" s="386" t="s">
        <v>13036</v>
      </c>
    </row>
    <row r="1119" spans="1:10">
      <c r="A1119" s="383" t="str">
        <f>CONCATENATE("Reviewed on"," ",(TEXT('2022-2023 Applications Review'!$A1119, "mm/dd/yyyy")))</f>
        <v>Reviewed on 08/24/2022</v>
      </c>
      <c r="B1119" s="383" t="str">
        <f>'2022-2023 Applications Review'!B1119</f>
        <v>Port. _2022</v>
      </c>
      <c r="C1119" s="383" t="str">
        <f>'2022-2023 Applications Review'!E1119</f>
        <v>Digital Tech</v>
      </c>
      <c r="D1119" s="384" t="str">
        <f>'2022-2023 Applications Review'!Q1119</f>
        <v>Invite Next Year</v>
      </c>
      <c r="E1119" s="383"/>
      <c r="F1119" s="383"/>
      <c r="G1119" s="383"/>
      <c r="H1119" s="383"/>
      <c r="I1119" s="385" t="b">
        <v>1</v>
      </c>
      <c r="J1119" s="386" t="s">
        <v>13037</v>
      </c>
    </row>
    <row r="1120" spans="1:10">
      <c r="A1120" s="383" t="str">
        <f>CONCATENATE("Reviewed on"," ",(TEXT('2022-2023 Applications Review'!$A1120, "mm/dd/yyyy")))</f>
        <v>Reviewed on 08/24/2022</v>
      </c>
      <c r="B1120" s="383" t="str">
        <f>'2022-2023 Applications Review'!B1120</f>
        <v>O'Peers _2022</v>
      </c>
      <c r="C1120" s="383" t="str">
        <f>'2022-2023 Applications Review'!E1120</f>
        <v>Digital Tech</v>
      </c>
      <c r="D1120" s="384" t="str">
        <f>'2022-2023 Applications Review'!Q1120</f>
        <v>Invite Next Year</v>
      </c>
      <c r="E1120" s="383"/>
      <c r="F1120" s="383"/>
      <c r="G1120" s="383"/>
      <c r="H1120" s="383"/>
      <c r="I1120" s="385" t="b">
        <v>1</v>
      </c>
      <c r="J1120" s="386" t="s">
        <v>13038</v>
      </c>
    </row>
    <row r="1121" spans="1:10">
      <c r="A1121" s="383" t="str">
        <f>CONCATENATE("Reviewed on"," ",(TEXT('2022-2023 Applications Review'!$A1121, "mm/dd/yyyy")))</f>
        <v>Reviewed on 08/24/2022</v>
      </c>
      <c r="B1121" s="383" t="str">
        <f>'2022-2023 Applications Review'!B1121</f>
        <v>IonMedicine _2022</v>
      </c>
      <c r="C1121" s="383" t="str">
        <f>'2022-2023 Applications Review'!E1121</f>
        <v>Life Sciences</v>
      </c>
      <c r="D1121" s="384" t="str">
        <f>'2022-2023 Applications Review'!Q1121</f>
        <v>Invite Next Year</v>
      </c>
      <c r="E1121" s="383"/>
      <c r="F1121" s="383"/>
      <c r="G1121" s="383"/>
      <c r="H1121" s="383"/>
      <c r="I1121" s="385" t="b">
        <v>1</v>
      </c>
      <c r="J1121" s="386" t="s">
        <v>13039</v>
      </c>
    </row>
    <row r="1122" spans="1:10">
      <c r="A1122" s="383" t="str">
        <f>CONCATENATE("Reviewed on"," ",(TEXT('2022-2023 Applications Review'!$A1122, "mm/dd/yyyy")))</f>
        <v>Reviewed on 08/24/2022</v>
      </c>
      <c r="B1122" s="383" t="str">
        <f>'2022-2023 Applications Review'!B1122</f>
        <v>Branddu _2022</v>
      </c>
      <c r="C1122" s="383" t="str">
        <f>'2022-2023 Applications Review'!E1122</f>
        <v>Digital Tech</v>
      </c>
      <c r="D1122" s="384" t="str">
        <f>'2022-2023 Applications Review'!Q1122</f>
        <v>Invite Next Year</v>
      </c>
      <c r="E1122" s="383"/>
      <c r="F1122" s="383"/>
      <c r="G1122" s="383"/>
      <c r="H1122" s="383"/>
      <c r="I1122" s="385" t="b">
        <v>1</v>
      </c>
      <c r="J1122" s="386" t="s">
        <v>13040</v>
      </c>
    </row>
    <row r="1123" spans="1:10">
      <c r="A1123" s="383" t="str">
        <f>CONCATENATE("Reviewed on"," ",(TEXT('2022-2023 Applications Review'!$A1123, "mm/dd/yyyy")))</f>
        <v>Reviewed on 08/24/2022</v>
      </c>
      <c r="B1123" s="383" t="str">
        <f>'2022-2023 Applications Review'!B1123</f>
        <v>KARMEQ, LLC _2022</v>
      </c>
      <c r="C1123" s="383" t="str">
        <f>'2022-2023 Applications Review'!E1123</f>
        <v>Digital Tech</v>
      </c>
      <c r="D1123" s="384" t="str">
        <f>'2022-2023 Applications Review'!Q1123</f>
        <v>Invite Next Year</v>
      </c>
      <c r="E1123" s="383"/>
      <c r="F1123" s="383"/>
      <c r="G1123" s="383"/>
      <c r="H1123" s="383"/>
      <c r="I1123" s="385" t="b">
        <v>1</v>
      </c>
      <c r="J1123" s="386" t="s">
        <v>13041</v>
      </c>
    </row>
    <row r="1124" spans="1:10">
      <c r="A1124" s="383" t="str">
        <f>CONCATENATE("Reviewed on"," ",(TEXT('2022-2023 Applications Review'!$A1124, "mm/dd/yyyy")))</f>
        <v>Reviewed on 08/24/2022</v>
      </c>
      <c r="B1124" s="383" t="str">
        <f>'2022-2023 Applications Review'!B1124</f>
        <v>People Pulse _2022</v>
      </c>
      <c r="C1124" s="383" t="str">
        <f>'2022-2023 Applications Review'!E1124</f>
        <v>Digital Tech</v>
      </c>
      <c r="D1124" s="384" t="str">
        <f>'2022-2023 Applications Review'!Q1124</f>
        <v>Invite Next Year</v>
      </c>
      <c r="E1124" s="383"/>
      <c r="F1124" s="383"/>
      <c r="G1124" s="383"/>
      <c r="H1124" s="383"/>
      <c r="I1124" s="385" t="b">
        <v>1</v>
      </c>
      <c r="J1124" s="386" t="s">
        <v>13042</v>
      </c>
    </row>
    <row r="1125" spans="1:10">
      <c r="A1125" s="383" t="str">
        <f>CONCATENATE("Reviewed on"," ",(TEXT('2022-2023 Applications Review'!$A1125, "mm/dd/yyyy")))</f>
        <v>Reviewed on 08/24/2022</v>
      </c>
      <c r="B1125" s="383" t="str">
        <f>'2022-2023 Applications Review'!B1125</f>
        <v>Scryper _2022</v>
      </c>
      <c r="C1125" s="383" t="str">
        <f>'2022-2023 Applications Review'!E1125</f>
        <v>Digital Tech</v>
      </c>
      <c r="D1125" s="384" t="str">
        <f>'2022-2023 Applications Review'!Q1125</f>
        <v>Invite Next Year</v>
      </c>
      <c r="E1125" s="383"/>
      <c r="F1125" s="383"/>
      <c r="G1125" s="383"/>
      <c r="H1125" s="383"/>
      <c r="I1125" s="385" t="b">
        <v>1</v>
      </c>
      <c r="J1125" s="386" t="s">
        <v>13043</v>
      </c>
    </row>
    <row r="1126" spans="1:10">
      <c r="A1126" s="383" t="str">
        <f>CONCATENATE("Reviewed on"," ",(TEXT('2022-2023 Applications Review'!$A1126, "mm/dd/yyyy")))</f>
        <v>Reviewed on 08/24/2022</v>
      </c>
      <c r="B1126" s="383" t="str">
        <f>'2022-2023 Applications Review'!B1126</f>
        <v>Fila Manila _2022</v>
      </c>
      <c r="C1126" s="383" t="str">
        <f>'2022-2023 Applications Review'!E1126</f>
        <v>Deep Tech</v>
      </c>
      <c r="D1126" s="384" t="str">
        <f>'2022-2023 Applications Review'!Q1126</f>
        <v>Reject</v>
      </c>
      <c r="E1126" s="383"/>
      <c r="F1126" s="383"/>
      <c r="G1126" s="383"/>
      <c r="H1126" s="383"/>
      <c r="I1126" s="385" t="b">
        <v>1</v>
      </c>
      <c r="J1126" s="386" t="s">
        <v>13044</v>
      </c>
    </row>
    <row r="1127" spans="1:10">
      <c r="A1127" s="383"/>
      <c r="B1127" s="383" t="str">
        <f>'LS Shortlist'!B2</f>
        <v>Amberstone Biosciences Inc _2022</v>
      </c>
      <c r="C1127" s="383" t="str">
        <f>'LS Shortlist'!E2</f>
        <v>Life Sciences</v>
      </c>
      <c r="D1127" s="383" t="str">
        <f>'LS Shortlist'!U2</f>
        <v>Invite</v>
      </c>
      <c r="E1127" s="383"/>
      <c r="F1127" s="383"/>
      <c r="G1127" s="383"/>
      <c r="H1127" s="383"/>
      <c r="I1127" s="385" t="b">
        <v>1</v>
      </c>
      <c r="J1127" s="386"/>
    </row>
    <row r="1128" spans="1:10">
      <c r="A1128" s="383"/>
      <c r="B1128" s="383" t="str">
        <f>'LS Shortlist'!B3</f>
        <v>Amplo Biotechnology _2022</v>
      </c>
      <c r="C1128" s="383" t="str">
        <f>'LS Shortlist'!E3</f>
        <v>Life Sciences</v>
      </c>
      <c r="D1128" s="383" t="str">
        <f>'LS Shortlist'!U3</f>
        <v>Invite</v>
      </c>
      <c r="E1128" s="383"/>
      <c r="F1128" s="383"/>
      <c r="G1128" s="383"/>
      <c r="H1128" s="383"/>
      <c r="I1128" s="385" t="b">
        <v>1</v>
      </c>
      <c r="J1128" s="386"/>
    </row>
    <row r="1129" spans="1:10">
      <c r="A1129" s="383"/>
      <c r="B1129" s="383" t="str">
        <f>'LS Shortlist'!B4</f>
        <v>Bilayer Therapeutics _2022</v>
      </c>
      <c r="C1129" s="383" t="str">
        <f>'LS Shortlist'!E4</f>
        <v>Life Sciences</v>
      </c>
      <c r="D1129" s="383" t="str">
        <f>'LS Shortlist'!U4</f>
        <v>Invite</v>
      </c>
      <c r="E1129" s="383"/>
      <c r="F1129" s="383"/>
      <c r="G1129" s="383"/>
      <c r="H1129" s="383"/>
      <c r="I1129" s="385" t="b">
        <v>1</v>
      </c>
      <c r="J1129" s="386"/>
    </row>
    <row r="1130" spans="1:10">
      <c r="A1130" s="383"/>
      <c r="B1130" s="383" t="str">
        <f>'LS Shortlist'!B5</f>
        <v>Charco Neurotech _2022</v>
      </c>
      <c r="C1130" s="383" t="str">
        <f>'LS Shortlist'!E5</f>
        <v>Life Sciences</v>
      </c>
      <c r="D1130" s="383" t="str">
        <f>'LS Shortlist'!U5</f>
        <v>Invite</v>
      </c>
      <c r="E1130" s="383"/>
      <c r="F1130" s="383"/>
      <c r="G1130" s="383"/>
      <c r="H1130" s="383"/>
      <c r="I1130" s="385" t="b">
        <v>1</v>
      </c>
      <c r="J1130" s="386"/>
    </row>
    <row r="1131" spans="1:10">
      <c r="A1131" s="383"/>
      <c r="B1131" s="383" t="str">
        <f>'LS Shortlist'!B6</f>
        <v>Exavir Therapeutics _2022</v>
      </c>
      <c r="C1131" s="383" t="str">
        <f>'LS Shortlist'!E6</f>
        <v>Life Sciences</v>
      </c>
      <c r="D1131" s="383" t="str">
        <f>'LS Shortlist'!U6</f>
        <v>Invite</v>
      </c>
      <c r="E1131" s="383"/>
      <c r="F1131" s="383"/>
      <c r="G1131" s="383"/>
      <c r="H1131" s="383"/>
      <c r="I1131" s="385" t="b">
        <v>1</v>
      </c>
      <c r="J1131" s="386"/>
    </row>
    <row r="1132" spans="1:10">
      <c r="A1132" s="383"/>
      <c r="B1132" s="383" t="str">
        <f>'LS Shortlist'!B7</f>
        <v>EydisBio, Inc. _2022</v>
      </c>
      <c r="C1132" s="383" t="str">
        <f>'LS Shortlist'!E7</f>
        <v>Life Sciences</v>
      </c>
      <c r="D1132" s="383" t="str">
        <f>'LS Shortlist'!U7</f>
        <v>Invite</v>
      </c>
      <c r="E1132" s="383"/>
      <c r="F1132" s="383"/>
      <c r="G1132" s="383"/>
      <c r="H1132" s="383"/>
      <c r="I1132" s="385" t="b">
        <v>1</v>
      </c>
      <c r="J1132" s="386"/>
    </row>
    <row r="1133" spans="1:10">
      <c r="A1133" s="383"/>
      <c r="B1133" s="383" t="str">
        <f>'LS Shortlist'!B8</f>
        <v>IPS HEART _2022</v>
      </c>
      <c r="C1133" s="383" t="str">
        <f>'LS Shortlist'!E8</f>
        <v>Life Sciences</v>
      </c>
      <c r="D1133" s="383" t="str">
        <f>'LS Shortlist'!U8</f>
        <v>Invite</v>
      </c>
      <c r="E1133" s="383"/>
      <c r="F1133" s="383"/>
      <c r="G1133" s="383"/>
      <c r="H1133" s="383"/>
      <c r="I1133" s="385" t="b">
        <v>1</v>
      </c>
      <c r="J1133" s="386"/>
    </row>
    <row r="1134" spans="1:10">
      <c r="A1134" s="383"/>
      <c r="B1134" s="383" t="str">
        <f>'LS Shortlist'!B9</f>
        <v>Maxwell Biosciences _2022</v>
      </c>
      <c r="C1134" s="383" t="str">
        <f>'LS Shortlist'!E9</f>
        <v>Life Sciences</v>
      </c>
      <c r="D1134" s="383" t="str">
        <f>'LS Shortlist'!U9</f>
        <v>Invite</v>
      </c>
      <c r="E1134" s="383"/>
      <c r="F1134" s="383"/>
      <c r="G1134" s="383"/>
      <c r="H1134" s="383"/>
      <c r="I1134" s="385" t="b">
        <v>1</v>
      </c>
      <c r="J1134" s="386"/>
    </row>
    <row r="1135" spans="1:10">
      <c r="A1135" s="383"/>
      <c r="B1135" s="383" t="str">
        <f>'LS Shortlist'!B10</f>
        <v>Nano PharmaSolutions, Inc. _2022</v>
      </c>
      <c r="C1135" s="383" t="str">
        <f>'LS Shortlist'!E10</f>
        <v>Life Sciences</v>
      </c>
      <c r="D1135" s="383" t="str">
        <f>'LS Shortlist'!U10</f>
        <v>Invite</v>
      </c>
      <c r="E1135" s="383"/>
      <c r="F1135" s="383"/>
      <c r="G1135" s="383"/>
      <c r="H1135" s="383"/>
      <c r="I1135" s="385" t="b">
        <v>1</v>
      </c>
      <c r="J1135" s="386"/>
    </row>
    <row r="1136" spans="1:10">
      <c r="A1136" s="383"/>
      <c r="B1136" s="383" t="str">
        <f>'LS Shortlist'!B11</f>
        <v>Pandorum International Inc. _2022</v>
      </c>
      <c r="C1136" s="383" t="str">
        <f>'LS Shortlist'!E11</f>
        <v>Life Sciences</v>
      </c>
      <c r="D1136" s="383" t="str">
        <f>'LS Shortlist'!U11</f>
        <v>Invite</v>
      </c>
      <c r="E1136" s="383"/>
      <c r="F1136" s="383"/>
      <c r="G1136" s="383"/>
      <c r="H1136" s="383"/>
      <c r="I1136" s="385" t="b">
        <v>1</v>
      </c>
      <c r="J1136" s="386"/>
    </row>
    <row r="1137" spans="1:10">
      <c r="A1137" s="383"/>
      <c r="B1137" s="383" t="str">
        <f>'LS Shortlist'!B12</f>
        <v>Terra Bioworks Corp _2022</v>
      </c>
      <c r="C1137" s="383" t="str">
        <f>'LS Shortlist'!E12</f>
        <v>Life Sciences</v>
      </c>
      <c r="D1137" s="383" t="str">
        <f>'LS Shortlist'!U12</f>
        <v>Invite</v>
      </c>
      <c r="E1137" s="383"/>
      <c r="F1137" s="383"/>
      <c r="G1137" s="383"/>
      <c r="H1137" s="383"/>
      <c r="I1137" s="385" t="b">
        <v>1</v>
      </c>
      <c r="J1137" s="386"/>
    </row>
    <row r="1138" spans="1:10">
      <c r="A1138" s="383"/>
      <c r="B1138" s="383" t="str">
        <f>'LS Shortlist'!B13</f>
        <v>Woven Orthopedic Technologies, LLC _2022</v>
      </c>
      <c r="C1138" s="383" t="str">
        <f>'LS Shortlist'!E13</f>
        <v>Life Sciences</v>
      </c>
      <c r="D1138" s="383" t="str">
        <f>'LS Shortlist'!U13</f>
        <v>Invite</v>
      </c>
      <c r="E1138" s="383"/>
      <c r="F1138" s="383"/>
      <c r="G1138" s="383"/>
      <c r="H1138" s="383"/>
      <c r="I1138" s="385" t="b">
        <v>1</v>
      </c>
      <c r="J1138" s="386"/>
    </row>
    <row r="1139" spans="1:10">
      <c r="A1139" s="383"/>
      <c r="B1139" s="383" t="str">
        <f>'LS Shortlist'!B14</f>
        <v>48 Hour Discovery Inc. _2022</v>
      </c>
      <c r="C1139" s="383" t="str">
        <f>'LS Shortlist'!E14</f>
        <v>Life Sciences</v>
      </c>
      <c r="D1139" s="383" t="str">
        <f>'LS Shortlist'!U14</f>
        <v>Invite</v>
      </c>
      <c r="E1139" s="383"/>
      <c r="F1139" s="383"/>
      <c r="G1139" s="383"/>
      <c r="H1139" s="383"/>
      <c r="I1139" s="385" t="b">
        <v>1</v>
      </c>
      <c r="J1139" s="386"/>
    </row>
    <row r="1140" spans="1:10">
      <c r="A1140" s="383"/>
      <c r="B1140" s="383" t="str">
        <f>'LS Shortlist'!B15</f>
        <v>CellChorus _2022</v>
      </c>
      <c r="C1140" s="383" t="str">
        <f>'LS Shortlist'!E15</f>
        <v>Life Sciences</v>
      </c>
      <c r="D1140" s="383" t="str">
        <f>'LS Shortlist'!U15</f>
        <v>Invite</v>
      </c>
      <c r="E1140" s="383"/>
      <c r="F1140" s="383"/>
      <c r="G1140" s="383"/>
      <c r="H1140" s="383"/>
      <c r="I1140" s="385" t="b">
        <v>1</v>
      </c>
      <c r="J1140" s="386"/>
    </row>
    <row r="1141" spans="1:10">
      <c r="A1141" s="383"/>
      <c r="B1141" s="383" t="str">
        <f>'LS Shortlist'!B16</f>
        <v>Exero Medical _2022</v>
      </c>
      <c r="C1141" s="383" t="str">
        <f>'LS Shortlist'!E16</f>
        <v>Life Sciences</v>
      </c>
      <c r="D1141" s="383" t="str">
        <f>'LS Shortlist'!U16</f>
        <v>Invite</v>
      </c>
      <c r="E1141" s="383"/>
      <c r="F1141" s="383"/>
      <c r="G1141" s="383"/>
      <c r="H1141" s="383"/>
      <c r="I1141" s="385" t="b">
        <v>1</v>
      </c>
      <c r="J1141" s="386"/>
    </row>
    <row r="1142" spans="1:10">
      <c r="A1142" s="383"/>
      <c r="B1142" s="383" t="str">
        <f>'LS Shortlist'!B17</f>
        <v>Sachi Bioworks Inc _2022</v>
      </c>
      <c r="C1142" s="383" t="str">
        <f>'LS Shortlist'!E17</f>
        <v>Life Sciences</v>
      </c>
      <c r="D1142" s="383" t="str">
        <f>'LS Shortlist'!U17</f>
        <v>Invite</v>
      </c>
      <c r="E1142" s="383"/>
      <c r="F1142" s="383"/>
      <c r="G1142" s="383"/>
      <c r="H1142" s="383"/>
      <c r="I1142" s="385" t="b">
        <v>1</v>
      </c>
      <c r="J1142" s="386"/>
    </row>
    <row r="1143" spans="1:10">
      <c r="A1143" s="383"/>
      <c r="B1143" s="383" t="str">
        <f>'LS Shortlist'!B18</f>
        <v>siRNAgen Therapeutics _2022</v>
      </c>
      <c r="C1143" s="383" t="str">
        <f>'LS Shortlist'!E18</f>
        <v>Life Sciences</v>
      </c>
      <c r="D1143" s="383" t="str">
        <f>'LS Shortlist'!U18</f>
        <v>Invite</v>
      </c>
      <c r="E1143" s="383"/>
      <c r="F1143" s="383"/>
      <c r="G1143" s="383"/>
      <c r="H1143" s="383"/>
      <c r="I1143" s="385" t="b">
        <v>1</v>
      </c>
      <c r="J1143" s="386"/>
    </row>
    <row r="1144" spans="1:10">
      <c r="A1144" s="383"/>
      <c r="B1144" s="383" t="str">
        <f>'LS Shortlist'!B19</f>
        <v>UbiquiTx, Inc. _2022</v>
      </c>
      <c r="C1144" s="383" t="str">
        <f>'LS Shortlist'!E19</f>
        <v>Life Sciences</v>
      </c>
      <c r="D1144" s="383" t="str">
        <f>'LS Shortlist'!U19</f>
        <v>Invite</v>
      </c>
      <c r="E1144" s="383"/>
      <c r="F1144" s="383"/>
      <c r="G1144" s="383"/>
      <c r="H1144" s="383"/>
      <c r="I1144" s="385" t="b">
        <v>1</v>
      </c>
      <c r="J1144" s="386"/>
    </row>
    <row r="1145" spans="1:10">
      <c r="A1145" s="383"/>
      <c r="B1145" s="383" t="str">
        <f>'LS Shortlist'!B20</f>
        <v>XGenomes Corp. _2022</v>
      </c>
      <c r="C1145" s="383" t="str">
        <f>'LS Shortlist'!E20</f>
        <v>Life Sciences</v>
      </c>
      <c r="D1145" s="383" t="str">
        <f>'LS Shortlist'!U20</f>
        <v>Invite</v>
      </c>
      <c r="E1145" s="383"/>
      <c r="F1145" s="383"/>
      <c r="G1145" s="383"/>
      <c r="H1145" s="383"/>
      <c r="I1145" s="385" t="b">
        <v>1</v>
      </c>
      <c r="J1145" s="386"/>
    </row>
    <row r="1146" spans="1:10">
      <c r="A1146" s="383"/>
      <c r="B1146" s="383" t="str">
        <f>'LS Shortlist'!B21</f>
        <v>ImmunoGel LLC _2022</v>
      </c>
      <c r="C1146" s="383" t="str">
        <f>'LS Shortlist'!E21</f>
        <v>Life Sciences</v>
      </c>
      <c r="D1146" s="383" t="str">
        <f>'LS Shortlist'!U21</f>
        <v>Invite</v>
      </c>
      <c r="E1146" s="383"/>
      <c r="F1146" s="383"/>
      <c r="G1146" s="383"/>
      <c r="H1146" s="383"/>
      <c r="I1146" s="385" t="b">
        <v>1</v>
      </c>
      <c r="J1146" s="386"/>
    </row>
    <row r="1147" spans="1:10">
      <c r="A1147" s="383"/>
      <c r="B1147" s="383" t="str">
        <f>'LS Shortlist'!B22</f>
        <v>Amplified Sciences, Inc. _2022</v>
      </c>
      <c r="C1147" s="383" t="str">
        <f>'LS Shortlist'!E22</f>
        <v>Life Sciences</v>
      </c>
      <c r="D1147" s="383" t="str">
        <f>'LS Shortlist'!U22</f>
        <v>Invite</v>
      </c>
      <c r="E1147" s="383"/>
      <c r="F1147" s="383"/>
      <c r="G1147" s="383"/>
      <c r="H1147" s="383"/>
      <c r="I1147" s="385" t="b">
        <v>1</v>
      </c>
      <c r="J1147" s="386"/>
    </row>
    <row r="1148" spans="1:10">
      <c r="A1148" s="383"/>
      <c r="B1148" s="383" t="str">
        <f>'LS Shortlist'!B23</f>
        <v>Arterez, Inc. _2022</v>
      </c>
      <c r="C1148" s="383" t="str">
        <f>'LS Shortlist'!E23</f>
        <v>Life Sciences</v>
      </c>
      <c r="D1148" s="383" t="str">
        <f>'LS Shortlist'!U23</f>
        <v>Invite</v>
      </c>
      <c r="E1148" s="383"/>
      <c r="F1148" s="383"/>
      <c r="G1148" s="383"/>
      <c r="H1148" s="383"/>
      <c r="I1148" s="385" t="b">
        <v>1</v>
      </c>
      <c r="J1148" s="386"/>
    </row>
    <row r="1149" spans="1:10">
      <c r="A1149" s="383"/>
      <c r="B1149" s="383" t="str">
        <f>'LS Shortlist'!B24</f>
        <v>EMPIRI _2022</v>
      </c>
      <c r="C1149" s="383" t="str">
        <f>'LS Shortlist'!E24</f>
        <v>Life Sciences</v>
      </c>
      <c r="D1149" s="383" t="str">
        <f>'LS Shortlist'!U24</f>
        <v>Invite</v>
      </c>
      <c r="E1149" s="383"/>
      <c r="F1149" s="383"/>
      <c r="G1149" s="383"/>
      <c r="H1149" s="383"/>
      <c r="I1149" s="385" t="b">
        <v>1</v>
      </c>
      <c r="J1149" s="386"/>
    </row>
    <row r="1150" spans="1:10">
      <c r="A1150" s="383"/>
      <c r="B1150" s="383" t="str">
        <f>'LS Shortlist'!B25</f>
        <v>Genomic Expression Inc _2022</v>
      </c>
      <c r="C1150" s="383" t="str">
        <f>'LS Shortlist'!E25</f>
        <v>Life Sciences</v>
      </c>
      <c r="D1150" s="383" t="str">
        <f>'LS Shortlist'!U25</f>
        <v>Invite</v>
      </c>
      <c r="E1150" s="383"/>
      <c r="F1150" s="383"/>
      <c r="G1150" s="383"/>
      <c r="H1150" s="383"/>
      <c r="I1150" s="385" t="b">
        <v>1</v>
      </c>
      <c r="J1150" s="386"/>
    </row>
    <row r="1151" spans="1:10">
      <c r="A1151" s="383"/>
      <c r="B1151" s="383" t="str">
        <f>'LS Shortlist'!B26</f>
        <v>InvivoSciences, Inc. _2022</v>
      </c>
      <c r="C1151" s="383" t="str">
        <f>'LS Shortlist'!E26</f>
        <v>Life Sciences</v>
      </c>
      <c r="D1151" s="383" t="str">
        <f>'LS Shortlist'!U26</f>
        <v>Invite</v>
      </c>
      <c r="E1151" s="383"/>
      <c r="F1151" s="383"/>
      <c r="G1151" s="383"/>
      <c r="H1151" s="383"/>
      <c r="I1151" s="385" t="b">
        <v>1</v>
      </c>
      <c r="J1151" s="386"/>
    </row>
    <row r="1152" spans="1:10">
      <c r="A1152" s="383"/>
      <c r="B1152" s="383" t="str">
        <f>'LS Shortlist'!B27</f>
        <v>iQure Pharma Inc _2022</v>
      </c>
      <c r="C1152" s="383" t="str">
        <f>'LS Shortlist'!E27</f>
        <v>Life Sciences</v>
      </c>
      <c r="D1152" s="383" t="str">
        <f>'LS Shortlist'!U27</f>
        <v>Invite</v>
      </c>
      <c r="E1152" s="383"/>
      <c r="F1152" s="383"/>
      <c r="G1152" s="383"/>
      <c r="H1152" s="383"/>
      <c r="I1152" s="385" t="b">
        <v>1</v>
      </c>
      <c r="J1152" s="386"/>
    </row>
    <row r="1153" spans="1:10">
      <c r="A1153" s="383"/>
      <c r="B1153" s="383" t="str">
        <f>'LS Shortlist'!B28</f>
        <v>Kano Therapeutics _2022</v>
      </c>
      <c r="C1153" s="383" t="str">
        <f>'LS Shortlist'!E28</f>
        <v>Life Sciences</v>
      </c>
      <c r="D1153" s="383" t="str">
        <f>'LS Shortlist'!U28</f>
        <v>Invite</v>
      </c>
      <c r="E1153" s="383"/>
      <c r="F1153" s="383"/>
      <c r="G1153" s="383"/>
      <c r="H1153" s="383"/>
      <c r="I1153" s="385" t="b">
        <v>1</v>
      </c>
      <c r="J1153" s="386"/>
    </row>
    <row r="1154" spans="1:10">
      <c r="A1154" s="383"/>
      <c r="B1154" s="383" t="str">
        <f>'LS Shortlist'!B29</f>
        <v>Namida Lab Inc. _2022</v>
      </c>
      <c r="C1154" s="383" t="str">
        <f>'LS Shortlist'!E29</f>
        <v>Life Sciences</v>
      </c>
      <c r="D1154" s="383" t="str">
        <f>'LS Shortlist'!U29</f>
        <v>Invite</v>
      </c>
      <c r="E1154" s="383"/>
      <c r="F1154" s="383"/>
      <c r="G1154" s="383"/>
      <c r="H1154" s="383"/>
      <c r="I1154" s="385" t="b">
        <v>1</v>
      </c>
      <c r="J1154" s="386"/>
    </row>
    <row r="1155" spans="1:10">
      <c r="A1155" s="383"/>
      <c r="B1155" s="383" t="str">
        <f>'LS Shortlist'!B30</f>
        <v>NaNotics, LLC _2022</v>
      </c>
      <c r="C1155" s="383" t="str">
        <f>'LS Shortlist'!E30</f>
        <v>Life Sciences</v>
      </c>
      <c r="D1155" s="383" t="str">
        <f>'LS Shortlist'!U30</f>
        <v>Invite</v>
      </c>
      <c r="E1155" s="383"/>
      <c r="F1155" s="383"/>
      <c r="G1155" s="383"/>
      <c r="H1155" s="383"/>
      <c r="I1155" s="385" t="b">
        <v>1</v>
      </c>
      <c r="J1155" s="386"/>
    </row>
    <row r="1156" spans="1:10">
      <c r="A1156" s="383"/>
      <c r="B1156" s="383" t="str">
        <f>'LS Shortlist'!B31</f>
        <v>Protabit LLC _2022</v>
      </c>
      <c r="C1156" s="383" t="str">
        <f>'LS Shortlist'!E31</f>
        <v>Life Sciences</v>
      </c>
      <c r="D1156" s="383" t="str">
        <f>'LS Shortlist'!U31</f>
        <v>Invite</v>
      </c>
      <c r="E1156" s="383"/>
      <c r="F1156" s="383"/>
      <c r="G1156" s="383"/>
      <c r="H1156" s="383"/>
      <c r="I1156" s="385" t="b">
        <v>1</v>
      </c>
      <c r="J1156" s="386"/>
    </row>
    <row r="1157" spans="1:10">
      <c r="A1157" s="383"/>
      <c r="B1157" s="383" t="str">
        <f>'LS Shortlist'!B32</f>
        <v>QurCan Therapeutics Inc. _2022</v>
      </c>
      <c r="C1157" s="383" t="str">
        <f>'LS Shortlist'!E32</f>
        <v>Life Sciences</v>
      </c>
      <c r="D1157" s="383" t="str">
        <f>'LS Shortlist'!U32</f>
        <v>Invite</v>
      </c>
      <c r="E1157" s="383"/>
      <c r="F1157" s="383"/>
      <c r="G1157" s="383"/>
      <c r="H1157" s="383"/>
      <c r="I1157" s="385" t="b">
        <v>1</v>
      </c>
      <c r="J1157" s="386"/>
    </row>
    <row r="1158" spans="1:10">
      <c r="A1158" s="383"/>
      <c r="B1158" s="383" t="str">
        <f>'LS Shortlist'!B33</f>
        <v>VLP Plus LLC _2022</v>
      </c>
      <c r="C1158" s="383" t="str">
        <f>'LS Shortlist'!E33</f>
        <v>Life Sciences</v>
      </c>
      <c r="D1158" s="383" t="str">
        <f>'LS Shortlist'!U33</f>
        <v>Invite</v>
      </c>
      <c r="E1158" s="383"/>
      <c r="F1158" s="383"/>
      <c r="G1158" s="383"/>
      <c r="H1158" s="383"/>
      <c r="I1158" s="385" t="b">
        <v>1</v>
      </c>
      <c r="J1158" s="386"/>
    </row>
    <row r="1159" spans="1:10">
      <c r="A1159" s="383"/>
      <c r="B1159" s="383" t="str">
        <f>'LS Shortlist'!B34</f>
        <v>INAEDIS _2022</v>
      </c>
      <c r="C1159" s="383" t="str">
        <f>'LS Shortlist'!E34</f>
        <v>Life Sciences</v>
      </c>
      <c r="D1159" s="383" t="str">
        <f>'LS Shortlist'!U34</f>
        <v>Invite</v>
      </c>
      <c r="E1159" s="383"/>
      <c r="F1159" s="383"/>
      <c r="G1159" s="383"/>
      <c r="H1159" s="383"/>
      <c r="I1159" s="385" t="b">
        <v>1</v>
      </c>
      <c r="J1159" s="386"/>
    </row>
    <row r="1160" spans="1:10">
      <c r="A1160" s="383"/>
      <c r="B1160" s="383" t="str">
        <f>'LS Shortlist'!B35</f>
        <v>Abram Scientific, Inc. _2022</v>
      </c>
      <c r="C1160" s="383" t="str">
        <f>'LS Shortlist'!E35</f>
        <v>Life Sciences</v>
      </c>
      <c r="D1160" s="383" t="str">
        <f>'LS Shortlist'!U35</f>
        <v>Invite</v>
      </c>
      <c r="E1160" s="383"/>
      <c r="F1160" s="383"/>
      <c r="G1160" s="383"/>
      <c r="H1160" s="383"/>
      <c r="I1160" s="385" t="b">
        <v>1</v>
      </c>
      <c r="J1160" s="386"/>
    </row>
    <row r="1161" spans="1:10">
      <c r="A1161" s="383"/>
      <c r="B1161" s="383" t="str">
        <f>'LS Shortlist'!B36</f>
        <v>Antlia Bioscience, Inc.   _2022</v>
      </c>
      <c r="C1161" s="383" t="str">
        <f>'LS Shortlist'!E36</f>
        <v>Life Sciences</v>
      </c>
      <c r="D1161" s="383" t="str">
        <f>'LS Shortlist'!U36</f>
        <v>Invite</v>
      </c>
      <c r="E1161" s="383"/>
      <c r="F1161" s="383"/>
      <c r="G1161" s="383"/>
      <c r="H1161" s="383"/>
      <c r="I1161" s="385" t="b">
        <v>1</v>
      </c>
      <c r="J1161" s="386"/>
    </row>
    <row r="1162" spans="1:10">
      <c r="A1162" s="383"/>
      <c r="B1162" s="383" t="str">
        <f>'LS Shortlist'!B37</f>
        <v>Chimera Therapeutics LLC _2022</v>
      </c>
      <c r="C1162" s="383" t="str">
        <f>'LS Shortlist'!E37</f>
        <v>Life Sciences</v>
      </c>
      <c r="D1162" s="383" t="str">
        <f>'LS Shortlist'!U37</f>
        <v>Invite</v>
      </c>
      <c r="E1162" s="383"/>
      <c r="F1162" s="383"/>
      <c r="G1162" s="383"/>
      <c r="H1162" s="383"/>
      <c r="I1162" s="385" t="b">
        <v>1</v>
      </c>
      <c r="J1162" s="386"/>
    </row>
    <row r="1163" spans="1:10">
      <c r="A1163" s="383"/>
      <c r="B1163" s="383" t="str">
        <f>'LS Shortlist'!B38</f>
        <v>GenoTwin, Inc. _2022</v>
      </c>
      <c r="C1163" s="383" t="str">
        <f>'LS Shortlist'!E38</f>
        <v>Life Sciences</v>
      </c>
      <c r="D1163" s="383" t="str">
        <f>'LS Shortlist'!U38</f>
        <v>Invite</v>
      </c>
      <c r="E1163" s="383"/>
      <c r="F1163" s="383"/>
      <c r="G1163" s="383"/>
      <c r="H1163" s="383"/>
      <c r="I1163" s="385" t="b">
        <v>1</v>
      </c>
      <c r="J1163" s="386"/>
    </row>
    <row r="1164" spans="1:10">
      <c r="A1164" s="383"/>
      <c r="B1164" s="383" t="str">
        <f>'LS Shortlist'!B39</f>
        <v>HDAX Therapeutics _2022</v>
      </c>
      <c r="C1164" s="383" t="str">
        <f>'LS Shortlist'!E39</f>
        <v>Life Sciences</v>
      </c>
      <c r="D1164" s="383" t="str">
        <f>'LS Shortlist'!U39</f>
        <v>Invite</v>
      </c>
      <c r="E1164" s="383"/>
      <c r="F1164" s="383"/>
      <c r="G1164" s="383"/>
      <c r="H1164" s="383"/>
      <c r="I1164" s="385" t="b">
        <v>1</v>
      </c>
      <c r="J1164" s="386"/>
    </row>
    <row r="1165" spans="1:10">
      <c r="A1165" s="383"/>
      <c r="B1165" s="383" t="str">
        <f>'LS Shortlist'!B40</f>
        <v>Inso Biosciences Inc. _2022</v>
      </c>
      <c r="C1165" s="383" t="str">
        <f>'LS Shortlist'!E40</f>
        <v>Life Sciences</v>
      </c>
      <c r="D1165" s="383" t="str">
        <f>'LS Shortlist'!U40</f>
        <v>Invite</v>
      </c>
      <c r="E1165" s="383"/>
      <c r="F1165" s="383"/>
      <c r="G1165" s="383"/>
      <c r="H1165" s="383"/>
      <c r="I1165" s="385" t="b">
        <v>1</v>
      </c>
      <c r="J1165" s="386"/>
    </row>
    <row r="1166" spans="1:10">
      <c r="A1166" s="383"/>
      <c r="B1166" s="383" t="str">
        <f>'LS Shortlist'!B41</f>
        <v>MindRank _2022</v>
      </c>
      <c r="C1166" s="383" t="str">
        <f>'LS Shortlist'!E41</f>
        <v>Life Sciences</v>
      </c>
      <c r="D1166" s="383" t="str">
        <f>'LS Shortlist'!U41</f>
        <v>Invite</v>
      </c>
      <c r="E1166" s="383"/>
      <c r="F1166" s="383"/>
      <c r="G1166" s="383"/>
      <c r="H1166" s="383"/>
      <c r="I1166" s="385" t="b">
        <v>1</v>
      </c>
      <c r="J1166" s="386"/>
    </row>
    <row r="1167" spans="1:10">
      <c r="A1167" s="383"/>
      <c r="B1167" s="383" t="str">
        <f>'LS Shortlist'!B42</f>
        <v>OVIBIO _2022</v>
      </c>
      <c r="C1167" s="383" t="str">
        <f>'LS Shortlist'!E42</f>
        <v>Life Sciences</v>
      </c>
      <c r="D1167" s="383" t="str">
        <f>'LS Shortlist'!U42</f>
        <v>Invite</v>
      </c>
      <c r="E1167" s="383"/>
      <c r="F1167" s="383"/>
      <c r="G1167" s="383"/>
      <c r="H1167" s="383"/>
      <c r="I1167" s="385" t="b">
        <v>1</v>
      </c>
      <c r="J1167" s="386"/>
    </row>
    <row r="1168" spans="1:10">
      <c r="A1168" s="383"/>
      <c r="B1168" s="383" t="str">
        <f>'LS Shortlist'!B43</f>
        <v>Panakeia Technolgies Ltd _2022</v>
      </c>
      <c r="C1168" s="383" t="str">
        <f>'LS Shortlist'!E43</f>
        <v>Life Sciences</v>
      </c>
      <c r="D1168" s="383" t="str">
        <f>'LS Shortlist'!U43</f>
        <v>Invite</v>
      </c>
      <c r="E1168" s="383"/>
      <c r="F1168" s="383"/>
      <c r="G1168" s="383"/>
      <c r="H1168" s="383"/>
      <c r="I1168" s="385" t="b">
        <v>1</v>
      </c>
      <c r="J1168" s="386"/>
    </row>
    <row r="1169" spans="1:10">
      <c r="A1169" s="383"/>
      <c r="B1169" s="383" t="str">
        <f>'LS Shortlist'!B44</f>
        <v>Pannex Therapeutics _2022</v>
      </c>
      <c r="C1169" s="383" t="str">
        <f>'LS Shortlist'!E44</f>
        <v>Life Sciences</v>
      </c>
      <c r="D1169" s="383" t="str">
        <f>'LS Shortlist'!U44</f>
        <v>Invite</v>
      </c>
      <c r="E1169" s="383"/>
      <c r="F1169" s="383"/>
      <c r="G1169" s="383"/>
      <c r="H1169" s="383"/>
      <c r="I1169" s="385" t="b">
        <v>1</v>
      </c>
      <c r="J1169" s="386"/>
    </row>
    <row r="1170" spans="1:10">
      <c r="A1170" s="383"/>
      <c r="B1170" s="383" t="str">
        <f>'LS Shortlist'!B45</f>
        <v>SAGEMEDIC CORP. _2022</v>
      </c>
      <c r="C1170" s="383" t="str">
        <f>'LS Shortlist'!E45</f>
        <v>Life Sciences</v>
      </c>
      <c r="D1170" s="383" t="str">
        <f>'LS Shortlist'!U45</f>
        <v>Invite</v>
      </c>
      <c r="E1170" s="383"/>
      <c r="F1170" s="383"/>
      <c r="G1170" s="383"/>
      <c r="H1170" s="383"/>
      <c r="I1170" s="385" t="b">
        <v>1</v>
      </c>
      <c r="J1170" s="386"/>
    </row>
    <row r="1171" spans="1:10">
      <c r="A1171" s="383"/>
      <c r="B1171" s="383" t="str">
        <f>'LS Shortlist'!B46</f>
        <v>Sisu Pharma, Inc. _2022</v>
      </c>
      <c r="C1171" s="383" t="str">
        <f>'LS Shortlist'!E46</f>
        <v>Life Sciences</v>
      </c>
      <c r="D1171" s="383" t="str">
        <f>'LS Shortlist'!U46</f>
        <v>Invite</v>
      </c>
      <c r="E1171" s="383"/>
      <c r="F1171" s="383"/>
      <c r="G1171" s="383"/>
      <c r="H1171" s="383"/>
      <c r="I1171" s="385" t="b">
        <v>1</v>
      </c>
      <c r="J1171" s="386"/>
    </row>
    <row r="1172" spans="1:10">
      <c r="A1172" s="383"/>
      <c r="B1172" s="383" t="str">
        <f>'LS Shortlist'!B47</f>
        <v>Stanford University Medical Center _2022</v>
      </c>
      <c r="C1172" s="383" t="str">
        <f>'LS Shortlist'!E47</f>
        <v>Life Sciences</v>
      </c>
      <c r="D1172" s="383" t="str">
        <f>'LS Shortlist'!U47</f>
        <v>Invite</v>
      </c>
      <c r="E1172" s="383"/>
      <c r="F1172" s="383"/>
      <c r="G1172" s="383"/>
      <c r="H1172" s="383"/>
      <c r="I1172" s="385" t="b">
        <v>1</v>
      </c>
      <c r="J1172" s="386"/>
    </row>
    <row r="1173" spans="1:10">
      <c r="A1173" s="383"/>
      <c r="B1173" s="383" t="str">
        <f>'LS Shortlist'!B48</f>
        <v>Aclid, Inc. _2022</v>
      </c>
      <c r="C1173" s="383" t="str">
        <f>'LS Shortlist'!E48</f>
        <v>Life Sciences</v>
      </c>
      <c r="D1173" s="383" t="str">
        <f>'LS Shortlist'!U48</f>
        <v>Invite</v>
      </c>
      <c r="E1173" s="383"/>
      <c r="F1173" s="383"/>
      <c r="G1173" s="383"/>
      <c r="H1173" s="383"/>
      <c r="I1173" s="385" t="b">
        <v>1</v>
      </c>
      <c r="J1173" s="386"/>
    </row>
    <row r="1174" spans="1:10">
      <c r="A1174" s="383"/>
      <c r="B1174" s="383" t="str">
        <f>'LS Shortlist'!B49</f>
        <v>Base5 Genomics, Inc. _2022</v>
      </c>
      <c r="C1174" s="383" t="str">
        <f>'LS Shortlist'!E49</f>
        <v>Life Sciences</v>
      </c>
      <c r="D1174" s="383" t="str">
        <f>'LS Shortlist'!U49</f>
        <v>Invite</v>
      </c>
      <c r="E1174" s="383"/>
      <c r="F1174" s="383"/>
      <c r="G1174" s="383"/>
      <c r="H1174" s="383"/>
      <c r="I1174" s="385" t="b">
        <v>1</v>
      </c>
      <c r="J1174" s="386"/>
    </row>
    <row r="1175" spans="1:10">
      <c r="A1175" s="383"/>
      <c r="B1175" s="383" t="str">
        <f>'LS Shortlist'!B50</f>
        <v>GeneSkin _2022</v>
      </c>
      <c r="C1175" s="383" t="str">
        <f>'LS Shortlist'!E50</f>
        <v>Life Sciences</v>
      </c>
      <c r="D1175" s="383" t="str">
        <f>'LS Shortlist'!U50</f>
        <v>Invite</v>
      </c>
      <c r="E1175" s="383"/>
      <c r="F1175" s="383"/>
      <c r="G1175" s="383"/>
      <c r="H1175" s="383"/>
      <c r="I1175" s="385" t="b">
        <v>1</v>
      </c>
      <c r="J1175" s="386"/>
    </row>
    <row r="1176" spans="1:10">
      <c r="A1176" s="383"/>
      <c r="B1176" s="383" t="str">
        <f>'LS Shortlist'!B51</f>
        <v>Haystack Oncology _2022</v>
      </c>
      <c r="C1176" s="383" t="str">
        <f>'LS Shortlist'!E51</f>
        <v>Life Sciences</v>
      </c>
      <c r="D1176" s="383" t="str">
        <f>'LS Shortlist'!U51</f>
        <v>Invite</v>
      </c>
      <c r="E1176" s="383"/>
      <c r="F1176" s="383"/>
      <c r="G1176" s="383"/>
      <c r="H1176" s="383"/>
      <c r="I1176" s="385" t="b">
        <v>1</v>
      </c>
      <c r="J1176" s="386"/>
    </row>
    <row r="1177" spans="1:10">
      <c r="A1177" s="383"/>
      <c r="B1177" s="383" t="str">
        <f>'LS Shortlist'!B52</f>
        <v>InvVax _2022</v>
      </c>
      <c r="C1177" s="383" t="str">
        <f>'LS Shortlist'!E52</f>
        <v>Life Sciences</v>
      </c>
      <c r="D1177" s="383" t="str">
        <f>'LS Shortlist'!U52</f>
        <v>Invite</v>
      </c>
      <c r="E1177" s="383"/>
      <c r="F1177" s="383"/>
      <c r="G1177" s="383"/>
      <c r="H1177" s="383"/>
      <c r="I1177" s="385" t="b">
        <v>1</v>
      </c>
      <c r="J1177" s="386"/>
    </row>
    <row r="1178" spans="1:10">
      <c r="A1178" s="383"/>
      <c r="B1178" s="383" t="str">
        <f>'LS Shortlist'!B53</f>
        <v>Prazer Therapeutics _2022</v>
      </c>
      <c r="C1178" s="383" t="str">
        <f>'LS Shortlist'!E53</f>
        <v>Life Sciences</v>
      </c>
      <c r="D1178" s="383" t="str">
        <f>'LS Shortlist'!U53</f>
        <v>Invite</v>
      </c>
      <c r="E1178" s="383"/>
      <c r="F1178" s="383"/>
      <c r="G1178" s="383"/>
      <c r="H1178" s="383"/>
      <c r="I1178" s="385" t="b">
        <v>1</v>
      </c>
      <c r="J1178" s="386"/>
    </row>
    <row r="1179" spans="1:10">
      <c r="A1179" s="383"/>
      <c r="B1179" s="383" t="str">
        <f>'LS Shortlist'!B54</f>
        <v>Protai _2022</v>
      </c>
      <c r="C1179" s="383" t="str">
        <f>'LS Shortlist'!E54</f>
        <v>Life Sciences</v>
      </c>
      <c r="D1179" s="383" t="str">
        <f>'LS Shortlist'!U54</f>
        <v>Invite</v>
      </c>
      <c r="E1179" s="383"/>
      <c r="F1179" s="383"/>
      <c r="G1179" s="383"/>
      <c r="H1179" s="383"/>
      <c r="I1179" s="385" t="b">
        <v>1</v>
      </c>
      <c r="J1179" s="386"/>
    </row>
    <row r="1180" spans="1:10">
      <c r="A1180" s="383"/>
      <c r="B1180" s="383" t="str">
        <f>'LS Shortlist'!B55</f>
        <v>Scale Biosciences, Inc _2022</v>
      </c>
      <c r="C1180" s="383" t="str">
        <f>'LS Shortlist'!E55</f>
        <v>Life Sciences</v>
      </c>
      <c r="D1180" s="383" t="str">
        <f>'LS Shortlist'!U55</f>
        <v>Invite</v>
      </c>
      <c r="E1180" s="383"/>
      <c r="F1180" s="383"/>
      <c r="G1180" s="383"/>
      <c r="H1180" s="383"/>
      <c r="I1180" s="385" t="b">
        <v>1</v>
      </c>
      <c r="J1180" s="386"/>
    </row>
    <row r="1181" spans="1:10">
      <c r="A1181" s="383"/>
      <c r="B1181" s="383" t="str">
        <f>'LS Shortlist'!B56</f>
        <v>VC Cell Therapy _2022</v>
      </c>
      <c r="C1181" s="383" t="str">
        <f>'LS Shortlist'!E56</f>
        <v>Life Sciences</v>
      </c>
      <c r="D1181" s="383" t="str">
        <f>'LS Shortlist'!U56</f>
        <v>Invite</v>
      </c>
      <c r="E1181" s="383"/>
      <c r="F1181" s="383"/>
      <c r="G1181" s="383"/>
      <c r="H1181" s="383"/>
      <c r="I1181" s="385" t="b">
        <v>1</v>
      </c>
      <c r="J1181" s="386"/>
    </row>
    <row r="1182" spans="1:10">
      <c r="A1182" s="383"/>
      <c r="B1182" s="383" t="str">
        <f>'LS Shortlist'!B57</f>
        <v>Tactical Therapeutics, Inc _2022</v>
      </c>
      <c r="C1182" s="383" t="str">
        <f>'LS Shortlist'!E57</f>
        <v>Life Sciences</v>
      </c>
      <c r="D1182" s="383" t="str">
        <f>'LS Shortlist'!U57</f>
        <v>Invite</v>
      </c>
      <c r="E1182" s="383"/>
      <c r="F1182" s="383"/>
      <c r="G1182" s="383"/>
      <c r="H1182" s="383"/>
      <c r="I1182" s="385" t="b">
        <v>1</v>
      </c>
      <c r="J1182" s="386"/>
    </row>
    <row r="1183" spans="1:10">
      <c r="A1183" s="383"/>
      <c r="B1183" s="383" t="str">
        <f>'LS Shortlist'!B58</f>
        <v>ImmunoMind _2022</v>
      </c>
      <c r="C1183" s="383" t="str">
        <f>'LS Shortlist'!E58</f>
        <v>Life Sciences</v>
      </c>
      <c r="D1183" s="383" t="str">
        <f>'LS Shortlist'!U58</f>
        <v>Invite</v>
      </c>
      <c r="E1183" s="383"/>
      <c r="F1183" s="383"/>
      <c r="G1183" s="383"/>
      <c r="H1183" s="383"/>
      <c r="I1183" s="385" t="b">
        <v>1</v>
      </c>
      <c r="J1183" s="386"/>
    </row>
    <row r="1184" spans="1:10">
      <c r="A1184" s="383"/>
      <c r="B1184" s="383" t="str">
        <f>'LS Shortlist'!B59</f>
        <v>YouthBio Therapeutics Inc. _2022</v>
      </c>
      <c r="C1184" s="383" t="str">
        <f>'LS Shortlist'!E59</f>
        <v>Life Sciences</v>
      </c>
      <c r="D1184" s="383" t="str">
        <f>'LS Shortlist'!U59</f>
        <v>Invite</v>
      </c>
      <c r="E1184" s="383"/>
      <c r="F1184" s="383"/>
      <c r="G1184" s="383"/>
      <c r="H1184" s="383"/>
      <c r="I1184" s="385" t="b">
        <v>1</v>
      </c>
      <c r="J1184" s="386"/>
    </row>
    <row r="1185" spans="1:10">
      <c r="A1185" s="383"/>
      <c r="B1185" s="383" t="str">
        <f>'LS Shortlist'!B60</f>
        <v>Nano RED _2022</v>
      </c>
      <c r="C1185" s="383" t="str">
        <f>'LS Shortlist'!E60</f>
        <v>Life Sciences</v>
      </c>
      <c r="D1185" s="383" t="str">
        <f>'LS Shortlist'!U60</f>
        <v>Invite</v>
      </c>
      <c r="E1185" s="383"/>
      <c r="F1185" s="383"/>
      <c r="G1185" s="383"/>
      <c r="H1185" s="383"/>
      <c r="I1185" s="385" t="b">
        <v>1</v>
      </c>
      <c r="J1185" s="386"/>
    </row>
    <row r="1186" spans="1:10">
      <c r="A1186" s="383"/>
      <c r="B1186" s="383" t="str">
        <f>'LS Shortlist'!B61</f>
        <v>Sensible Biotechnologies _2022</v>
      </c>
      <c r="C1186" s="383" t="str">
        <f>'LS Shortlist'!E61</f>
        <v>Life Sciences</v>
      </c>
      <c r="D1186" s="383" t="str">
        <f>'LS Shortlist'!U61</f>
        <v>Invite Next Year</v>
      </c>
      <c r="E1186" s="383"/>
      <c r="F1186" s="383"/>
      <c r="G1186" s="383"/>
      <c r="H1186" s="383"/>
      <c r="I1186" s="385" t="b">
        <v>1</v>
      </c>
      <c r="J1186" s="386"/>
    </row>
    <row r="1187" spans="1:10">
      <c r="A1187" s="383"/>
      <c r="B1187" s="383" t="str">
        <f>'LS Shortlist'!B62</f>
        <v>Certa Dose _2022</v>
      </c>
      <c r="C1187" s="383" t="str">
        <f>'LS Shortlist'!E62</f>
        <v>Life Sciences</v>
      </c>
      <c r="D1187" s="383" t="str">
        <f>'LS Shortlist'!U62</f>
        <v>Invite Next Year</v>
      </c>
      <c r="E1187" s="383"/>
      <c r="F1187" s="383"/>
      <c r="G1187" s="383"/>
      <c r="H1187" s="383"/>
      <c r="I1187" s="385" t="b">
        <v>1</v>
      </c>
      <c r="J1187" s="386"/>
    </row>
    <row r="1188" spans="1:10">
      <c r="A1188" s="383"/>
      <c r="B1188" s="383" t="str">
        <f>'LS Shortlist'!B63</f>
        <v>Metanovas Biotech _2022</v>
      </c>
      <c r="C1188" s="383" t="str">
        <f>'LS Shortlist'!E63</f>
        <v>Life Sciences</v>
      </c>
      <c r="D1188" s="383" t="str">
        <f>'LS Shortlist'!U63</f>
        <v>Invite Next Year</v>
      </c>
      <c r="E1188" s="383"/>
      <c r="F1188" s="383"/>
      <c r="G1188" s="383"/>
      <c r="H1188" s="383"/>
      <c r="I1188" s="385" t="b">
        <v>1</v>
      </c>
      <c r="J1188" s="386"/>
    </row>
    <row r="1189" spans="1:10">
      <c r="A1189" s="383"/>
      <c r="B1189" s="383" t="str">
        <f>'LS Shortlist'!B64</f>
        <v>PurMinds NeuroPharma Inc. _2022</v>
      </c>
      <c r="C1189" s="383" t="str">
        <f>'LS Shortlist'!E64</f>
        <v>Life Sciences</v>
      </c>
      <c r="D1189" s="383" t="str">
        <f>'LS Shortlist'!U64</f>
        <v>Invite Next Year</v>
      </c>
      <c r="E1189" s="383"/>
      <c r="F1189" s="383"/>
      <c r="G1189" s="383"/>
      <c r="H1189" s="383"/>
      <c r="I1189" s="385" t="b">
        <v>1</v>
      </c>
      <c r="J1189" s="386"/>
    </row>
    <row r="1190" spans="1:10">
      <c r="A1190" s="383"/>
      <c r="B1190" s="383" t="str">
        <f>'LS Shortlist'!B65</f>
        <v>Alpha 1 Biologics _2022</v>
      </c>
      <c r="C1190" s="383" t="str">
        <f>'LS Shortlist'!E65</f>
        <v>Life Sciences</v>
      </c>
      <c r="D1190" s="383" t="str">
        <f>'LS Shortlist'!U65</f>
        <v>Invite Next Year</v>
      </c>
      <c r="E1190" s="383"/>
      <c r="F1190" s="383"/>
      <c r="G1190" s="383"/>
      <c r="H1190" s="383"/>
      <c r="I1190" s="385" t="b">
        <v>1</v>
      </c>
      <c r="J1190" s="386"/>
    </row>
    <row r="1191" spans="1:10">
      <c r="A1191" s="383"/>
      <c r="B1191" s="383" t="str">
        <f>'LS Shortlist'!B66</f>
        <v>Femtera Laboratories LLC _2022</v>
      </c>
      <c r="C1191" s="383" t="str">
        <f>'LS Shortlist'!E66</f>
        <v>Life Sciences</v>
      </c>
      <c r="D1191" s="383" t="str">
        <f>'LS Shortlist'!U66</f>
        <v>Invite Next Year</v>
      </c>
      <c r="E1191" s="383"/>
      <c r="F1191" s="383"/>
      <c r="G1191" s="383"/>
      <c r="H1191" s="383"/>
      <c r="I1191" s="385" t="b">
        <v>1</v>
      </c>
      <c r="J1191" s="386"/>
    </row>
    <row r="1192" spans="1:10">
      <c r="A1192" s="383"/>
      <c r="B1192" s="383" t="str">
        <f>'LS Shortlist'!B67</f>
        <v>Sonostik LLC _2022</v>
      </c>
      <c r="C1192" s="383" t="str">
        <f>'LS Shortlist'!E67</f>
        <v>Life Sciences</v>
      </c>
      <c r="D1192" s="383" t="str">
        <f>'LS Shortlist'!U67</f>
        <v>Invite Next Year</v>
      </c>
      <c r="E1192" s="383"/>
      <c r="F1192" s="383"/>
      <c r="G1192" s="383"/>
      <c r="H1192" s="383"/>
      <c r="I1192" s="385" t="b">
        <v>1</v>
      </c>
      <c r="J1192" s="386"/>
    </row>
    <row r="1193" spans="1:10">
      <c r="A1193" s="383"/>
      <c r="B1193" s="383" t="str">
        <f>'LS Shortlist'!B68</f>
        <v>Nemosia AG _2022</v>
      </c>
      <c r="C1193" s="383" t="str">
        <f>'LS Shortlist'!E68</f>
        <v>Life Sciences</v>
      </c>
      <c r="D1193" s="383" t="str">
        <f>'LS Shortlist'!U68</f>
        <v>Invite Next Year</v>
      </c>
      <c r="E1193" s="383"/>
      <c r="F1193" s="383"/>
      <c r="G1193" s="383"/>
      <c r="H1193" s="383"/>
      <c r="I1193" s="385" t="b">
        <v>1</v>
      </c>
      <c r="J1193" s="386"/>
    </row>
    <row r="1194" spans="1:10">
      <c r="A1194" s="383"/>
      <c r="B1194" s="383" t="str">
        <f>'LS Shortlist'!B69</f>
        <v>Metfora _2022</v>
      </c>
      <c r="C1194" s="383" t="str">
        <f>'LS Shortlist'!E69</f>
        <v>Life Sciences</v>
      </c>
      <c r="D1194" s="383" t="str">
        <f>'LS Shortlist'!U69</f>
        <v>Invite Next Year</v>
      </c>
      <c r="E1194" s="383"/>
      <c r="F1194" s="383"/>
      <c r="G1194" s="383"/>
      <c r="H1194" s="383"/>
      <c r="I1194" s="385" t="b">
        <v>1</v>
      </c>
      <c r="J1194" s="386"/>
    </row>
    <row r="1195" spans="1:10">
      <c r="A1195" s="383"/>
      <c r="B1195" s="383" t="str">
        <f>'LS Shortlist'!B70</f>
        <v>PhagePro _2022</v>
      </c>
      <c r="C1195" s="383" t="str">
        <f>'LS Shortlist'!E70</f>
        <v>Life Sciences</v>
      </c>
      <c r="D1195" s="383" t="str">
        <f>'LS Shortlist'!U70</f>
        <v>Invite Next Year</v>
      </c>
      <c r="E1195" s="383"/>
      <c r="F1195" s="383"/>
      <c r="G1195" s="383"/>
      <c r="H1195" s="383"/>
      <c r="I1195" s="385" t="b">
        <v>1</v>
      </c>
      <c r="J1195" s="386"/>
    </row>
    <row r="1196" spans="1:10">
      <c r="A1196" s="383"/>
      <c r="B1196" s="383" t="str">
        <f>'LS Shortlist'!B71</f>
        <v>TriAltus Bioscience _2022</v>
      </c>
      <c r="C1196" s="383" t="str">
        <f>'LS Shortlist'!E71</f>
        <v>Life Sciences</v>
      </c>
      <c r="D1196" s="383" t="str">
        <f>'LS Shortlist'!U71</f>
        <v>Invite Next Year</v>
      </c>
      <c r="E1196" s="383"/>
      <c r="F1196" s="383"/>
      <c r="G1196" s="383"/>
      <c r="H1196" s="383"/>
      <c r="I1196" s="385" t="b">
        <v>1</v>
      </c>
      <c r="J1196" s="386"/>
    </row>
    <row r="1197" spans="1:10">
      <c r="A1197" s="383"/>
      <c r="B1197" s="383" t="str">
        <f>'LS Shortlist'!B72</f>
        <v>Synaps Dx _2022</v>
      </c>
      <c r="C1197" s="383" t="str">
        <f>'LS Shortlist'!E72</f>
        <v>Life Sciences</v>
      </c>
      <c r="D1197" s="383" t="str">
        <f>'LS Shortlist'!U72</f>
        <v>Invite Next Year</v>
      </c>
      <c r="E1197" s="383"/>
      <c r="F1197" s="383"/>
      <c r="G1197" s="383"/>
      <c r="H1197" s="383"/>
      <c r="I1197" s="385" t="b">
        <v>1</v>
      </c>
      <c r="J1197" s="386"/>
    </row>
    <row r="1198" spans="1:10">
      <c r="A1198" s="383"/>
      <c r="B1198" s="383" t="str">
        <f>'LS Shortlist'!B73</f>
        <v>Akeso Therapeutics, Inc. _2022</v>
      </c>
      <c r="C1198" s="383" t="str">
        <f>'LS Shortlist'!E73</f>
        <v>Life Sciences</v>
      </c>
      <c r="D1198" s="383" t="str">
        <f>'LS Shortlist'!U73</f>
        <v>Invite Next Year</v>
      </c>
      <c r="E1198" s="383"/>
      <c r="F1198" s="383"/>
      <c r="G1198" s="383"/>
      <c r="H1198" s="383"/>
      <c r="I1198" s="385" t="b">
        <v>1</v>
      </c>
      <c r="J1198" s="386"/>
    </row>
    <row r="1199" spans="1:10">
      <c r="A1199" s="383"/>
      <c r="B1199" s="383" t="str">
        <f>'LS Shortlist'!B74</f>
        <v>NEOMICS PHARMACEUTICALS LLC _2022</v>
      </c>
      <c r="C1199" s="383" t="str">
        <f>'LS Shortlist'!E74</f>
        <v>Life Sciences</v>
      </c>
      <c r="D1199" s="383" t="str">
        <f>'LS Shortlist'!U74</f>
        <v>Invite Next Year</v>
      </c>
      <c r="E1199" s="383"/>
      <c r="F1199" s="383"/>
      <c r="G1199" s="383"/>
      <c r="H1199" s="383"/>
      <c r="I1199" s="385" t="b">
        <v>1</v>
      </c>
      <c r="J1199" s="386"/>
    </row>
    <row r="1200" spans="1:10">
      <c r="A1200" s="383"/>
      <c r="B1200" s="383" t="str">
        <f>'LS Shortlist'!B75</f>
        <v>Solvuu _2022</v>
      </c>
      <c r="C1200" s="383" t="str">
        <f>'LS Shortlist'!E75</f>
        <v>Life Sciences</v>
      </c>
      <c r="D1200" s="383" t="str">
        <f>'LS Shortlist'!U75</f>
        <v>Invite Next Year</v>
      </c>
      <c r="E1200" s="383"/>
      <c r="F1200" s="383"/>
      <c r="G1200" s="383"/>
      <c r="H1200" s="383"/>
      <c r="I1200" s="385" t="b">
        <v>1</v>
      </c>
      <c r="J1200" s="386"/>
    </row>
    <row r="1201" spans="1:10">
      <c r="A1201" s="383"/>
      <c r="B1201" s="383" t="str">
        <f>'LS Shortlist'!B76</f>
        <v>Suquino, Inc _2022</v>
      </c>
      <c r="C1201" s="383" t="str">
        <f>'LS Shortlist'!E76</f>
        <v>Life Sciences</v>
      </c>
      <c r="D1201" s="383" t="str">
        <f>'LS Shortlist'!U76</f>
        <v>Invite Next Year</v>
      </c>
      <c r="E1201" s="383"/>
      <c r="F1201" s="383"/>
      <c r="G1201" s="383"/>
      <c r="H1201" s="383"/>
      <c r="I1201" s="385" t="b">
        <v>1</v>
      </c>
      <c r="J1201" s="386"/>
    </row>
    <row r="1202" spans="1:10">
      <c r="A1202" s="383"/>
      <c r="B1202" s="383" t="str">
        <f>'LS Shortlist'!B77</f>
        <v>Wild Coast Biologics Inc _2022</v>
      </c>
      <c r="C1202" s="383" t="str">
        <f>'LS Shortlist'!E77</f>
        <v>Life Sciences</v>
      </c>
      <c r="D1202" s="383" t="str">
        <f>'LS Shortlist'!U77</f>
        <v>Invite Next Year</v>
      </c>
      <c r="E1202" s="383"/>
      <c r="F1202" s="383"/>
      <c r="G1202" s="383"/>
      <c r="H1202" s="383"/>
      <c r="I1202" s="385" t="b">
        <v>1</v>
      </c>
      <c r="J1202" s="386"/>
    </row>
    <row r="1203" spans="1:10">
      <c r="A1203" s="383"/>
      <c r="B1203" s="383" t="str">
        <f>'LS Shortlist'!B78</f>
        <v>Adroit Surgical _2022</v>
      </c>
      <c r="C1203" s="383" t="str">
        <f>'LS Shortlist'!E78</f>
        <v>Life Sciences</v>
      </c>
      <c r="D1203" s="383" t="str">
        <f>'LS Shortlist'!U78</f>
        <v>Invite Next Year</v>
      </c>
      <c r="E1203" s="383"/>
      <c r="F1203" s="383"/>
      <c r="G1203" s="383"/>
      <c r="H1203" s="383"/>
      <c r="I1203" s="385" t="b">
        <v>1</v>
      </c>
      <c r="J1203" s="386"/>
    </row>
    <row r="1204" spans="1:10">
      <c r="A1204" s="383"/>
      <c r="B1204" s="383" t="str">
        <f>'LS Shortlist'!B79</f>
        <v>MultiOmic Health Limited _2022</v>
      </c>
      <c r="C1204" s="383" t="str">
        <f>'LS Shortlist'!E79</f>
        <v>Life Sciences</v>
      </c>
      <c r="D1204" s="383" t="str">
        <f>'LS Shortlist'!U79</f>
        <v>Invite Next Year</v>
      </c>
      <c r="E1204" s="383"/>
      <c r="F1204" s="383"/>
      <c r="G1204" s="383"/>
      <c r="H1204" s="383"/>
      <c r="I1204" s="385" t="b">
        <v>1</v>
      </c>
      <c r="J1204" s="386"/>
    </row>
    <row r="1205" spans="1:10">
      <c r="A1205" s="383"/>
      <c r="B1205" s="383" t="str">
        <f>'LS Shortlist'!B80</f>
        <v>Constellation4 Health _2022</v>
      </c>
      <c r="C1205" s="383" t="str">
        <f>'LS Shortlist'!E80</f>
        <v>Life Sciences</v>
      </c>
      <c r="D1205" s="383" t="str">
        <f>'LS Shortlist'!U80</f>
        <v>Invite Next Year</v>
      </c>
      <c r="E1205" s="383"/>
      <c r="F1205" s="383"/>
      <c r="G1205" s="383"/>
      <c r="H1205" s="383"/>
      <c r="I1205" s="385" t="b">
        <v>1</v>
      </c>
      <c r="J1205" s="386"/>
    </row>
    <row r="1206" spans="1:10">
      <c r="A1206" s="383"/>
      <c r="B1206" s="383" t="str">
        <f>'LS Shortlist'!B81</f>
        <v>Novel Farms _2022</v>
      </c>
      <c r="C1206" s="383" t="str">
        <f>'LS Shortlist'!E81</f>
        <v>Life Sciences</v>
      </c>
      <c r="D1206" s="383" t="str">
        <f>'LS Shortlist'!U81</f>
        <v>Invite Next Year</v>
      </c>
      <c r="E1206" s="383"/>
      <c r="F1206" s="383"/>
      <c r="G1206" s="383"/>
      <c r="H1206" s="383"/>
      <c r="I1206" s="385" t="b">
        <v>1</v>
      </c>
      <c r="J1206" s="386"/>
    </row>
    <row r="1207" spans="1:10">
      <c r="A1207" s="383"/>
      <c r="B1207" s="383" t="str">
        <f>'LS Shortlist'!B82</f>
        <v>MedGene Therapeutics _2022</v>
      </c>
      <c r="C1207" s="383" t="str">
        <f>'LS Shortlist'!E82</f>
        <v>Life Sciences</v>
      </c>
      <c r="D1207" s="383" t="str">
        <f>'LS Shortlist'!U82</f>
        <v>Invite Next Year</v>
      </c>
      <c r="E1207" s="383"/>
      <c r="F1207" s="383"/>
      <c r="G1207" s="383"/>
      <c r="H1207" s="383"/>
      <c r="I1207" s="385" t="b">
        <v>1</v>
      </c>
      <c r="J1207" s="386"/>
    </row>
    <row r="1208" spans="1:10">
      <c r="A1208" s="383"/>
      <c r="B1208" s="383" t="str">
        <f>'LS Shortlist'!B83</f>
        <v>PB&amp;B _2022</v>
      </c>
      <c r="C1208" s="383" t="str">
        <f>'LS Shortlist'!E83</f>
        <v>Life Sciences</v>
      </c>
      <c r="D1208" s="383" t="str">
        <f>'LS Shortlist'!U83</f>
        <v>Invite Next Year</v>
      </c>
      <c r="E1208" s="383"/>
      <c r="F1208" s="383"/>
      <c r="G1208" s="383"/>
      <c r="H1208" s="383"/>
      <c r="I1208" s="385" t="b">
        <v>1</v>
      </c>
      <c r="J1208" s="386"/>
    </row>
    <row r="1209" spans="1:10">
      <c r="A1209" s="383"/>
      <c r="B1209" s="383" t="str">
        <f>'LS Shortlist'!B84</f>
        <v>CLYRA MEDICAL TECHNOLOGIES _2022</v>
      </c>
      <c r="C1209" s="383" t="str">
        <f>'LS Shortlist'!E84</f>
        <v>Life Sciences</v>
      </c>
      <c r="D1209" s="383" t="str">
        <f>'LS Shortlist'!U84</f>
        <v>Invite Next Year</v>
      </c>
      <c r="E1209" s="383"/>
      <c r="F1209" s="383"/>
      <c r="G1209" s="383"/>
      <c r="H1209" s="383"/>
      <c r="I1209" s="385" t="b">
        <v>1</v>
      </c>
      <c r="J1209" s="386"/>
    </row>
    <row r="1210" spans="1:10">
      <c r="A1210" s="383"/>
      <c r="B1210" s="383" t="str">
        <f>'LS Shortlist'!B85</f>
        <v>Oncoliq _2022</v>
      </c>
      <c r="C1210" s="383" t="str">
        <f>'LS Shortlist'!E85</f>
        <v>Life Sciences</v>
      </c>
      <c r="D1210" s="383" t="str">
        <f>'LS Shortlist'!U85</f>
        <v>Invite Next Year</v>
      </c>
      <c r="E1210" s="383"/>
      <c r="F1210" s="383"/>
      <c r="G1210" s="383"/>
      <c r="H1210" s="383"/>
      <c r="I1210" s="385" t="b">
        <v>1</v>
      </c>
      <c r="J1210" s="386"/>
    </row>
    <row r="1211" spans="1:10">
      <c r="A1211" s="383"/>
      <c r="B1211" s="383" t="str">
        <f>'LS Shortlist'!B86</f>
        <v>Parrots Inc. _2022</v>
      </c>
      <c r="C1211" s="383" t="str">
        <f>'LS Shortlist'!E86</f>
        <v>Life Sciences</v>
      </c>
      <c r="D1211" s="383" t="str">
        <f>'LS Shortlist'!U86</f>
        <v>Invite Next Year</v>
      </c>
      <c r="E1211" s="383"/>
      <c r="F1211" s="383"/>
      <c r="G1211" s="383"/>
      <c r="H1211" s="383"/>
      <c r="I1211" s="385" t="b">
        <v>1</v>
      </c>
      <c r="J1211" s="386"/>
    </row>
    <row r="1212" spans="1:10">
      <c r="A1212" s="383"/>
      <c r="B1212" s="383" t="str">
        <f>'LS Shortlist'!B87</f>
        <v>Zena Therapeutics INC. _2022</v>
      </c>
      <c r="C1212" s="383" t="str">
        <f>'LS Shortlist'!E87</f>
        <v>Life Sciences</v>
      </c>
      <c r="D1212" s="383" t="str">
        <f>'LS Shortlist'!U87</f>
        <v>Invite Next Year</v>
      </c>
      <c r="E1212" s="383"/>
      <c r="F1212" s="383"/>
      <c r="G1212" s="383"/>
      <c r="H1212" s="383"/>
      <c r="I1212" s="385" t="b">
        <v>1</v>
      </c>
      <c r="J1212" s="386"/>
    </row>
    <row r="1213" spans="1:10">
      <c r="A1213" s="383"/>
      <c r="B1213" s="383" t="str">
        <f>'LS Shortlist'!B88</f>
        <v>MatMaCorp _2022</v>
      </c>
      <c r="C1213" s="383" t="str">
        <f>'LS Shortlist'!E88</f>
        <v>Life Sciences</v>
      </c>
      <c r="D1213" s="383" t="str">
        <f>'LS Shortlist'!U88</f>
        <v>Invite Next Year</v>
      </c>
      <c r="E1213" s="383"/>
      <c r="F1213" s="383"/>
      <c r="G1213" s="383"/>
      <c r="H1213" s="383"/>
      <c r="I1213" s="385" t="b">
        <v>1</v>
      </c>
      <c r="J1213" s="386"/>
    </row>
    <row r="1214" spans="1:10">
      <c r="A1214" s="383"/>
      <c r="B1214" s="383" t="str">
        <f>'LS Shortlist'!B89</f>
        <v>SingletO2 Therapeutics LLC _2022</v>
      </c>
      <c r="C1214" s="383" t="str">
        <f>'LS Shortlist'!E89</f>
        <v>Life Sciences</v>
      </c>
      <c r="D1214" s="383" t="str">
        <f>'LS Shortlist'!U89</f>
        <v>Invite Next Year</v>
      </c>
      <c r="E1214" s="383"/>
      <c r="F1214" s="383"/>
      <c r="G1214" s="383"/>
      <c r="H1214" s="383"/>
      <c r="I1214" s="385" t="b">
        <v>1</v>
      </c>
      <c r="J1214" s="386"/>
    </row>
    <row r="1215" spans="1:10">
      <c r="A1215" s="383"/>
      <c r="B1215" s="383" t="str">
        <f>'LS Shortlist'!B90</f>
        <v>Hypercell Technologies, Inc _2022</v>
      </c>
      <c r="C1215" s="383" t="str">
        <f>'LS Shortlist'!E90</f>
        <v>Life Sciences</v>
      </c>
      <c r="D1215" s="383" t="str">
        <f>'LS Shortlist'!U90</f>
        <v>Invite Next Year</v>
      </c>
      <c r="E1215" s="383"/>
      <c r="F1215" s="383"/>
      <c r="G1215" s="383"/>
      <c r="H1215" s="383"/>
      <c r="I1215" s="385" t="b">
        <v>1</v>
      </c>
      <c r="J1215" s="386"/>
    </row>
    <row r="1216" spans="1:10">
      <c r="A1216" s="383"/>
      <c r="B1216" s="383" t="str">
        <f>'LS Shortlist'!B91</f>
        <v>Unlocked Labs Inc.  _2022</v>
      </c>
      <c r="C1216" s="383" t="str">
        <f>'LS Shortlist'!E91</f>
        <v>Life Sciences</v>
      </c>
      <c r="D1216" s="383" t="str">
        <f>'LS Shortlist'!U91</f>
        <v>Invite Next Year</v>
      </c>
      <c r="E1216" s="383"/>
      <c r="F1216" s="383"/>
      <c r="G1216" s="383"/>
      <c r="H1216" s="383"/>
      <c r="I1216" s="385" t="b">
        <v>1</v>
      </c>
      <c r="J1216" s="386"/>
    </row>
    <row r="1217" spans="1:10">
      <c r="A1217" s="383"/>
      <c r="B1217" s="383" t="str">
        <f>'LS Shortlist'!B92</f>
        <v>Neuropair, Inc. _2022</v>
      </c>
      <c r="C1217" s="383" t="str">
        <f>'LS Shortlist'!E92</f>
        <v>Life Sciences</v>
      </c>
      <c r="D1217" s="383" t="str">
        <f>'LS Shortlist'!U92</f>
        <v>Invite Next Year</v>
      </c>
      <c r="E1217" s="383"/>
      <c r="F1217" s="383"/>
      <c r="G1217" s="383"/>
      <c r="H1217" s="383"/>
      <c r="I1217" s="385" t="b">
        <v>1</v>
      </c>
      <c r="J1217" s="386"/>
    </row>
    <row r="1218" spans="1:10">
      <c r="A1218" s="383"/>
      <c r="B1218" s="383" t="str">
        <f>'LS Shortlist'!B93</f>
        <v>Genflow Biosciences _2022</v>
      </c>
      <c r="C1218" s="383" t="str">
        <f>'LS Shortlist'!E93</f>
        <v>Life Sciences</v>
      </c>
      <c r="D1218" s="383" t="str">
        <f>'LS Shortlist'!U93</f>
        <v>Invite Next Year</v>
      </c>
      <c r="E1218" s="383"/>
      <c r="F1218" s="383"/>
      <c r="G1218" s="383"/>
      <c r="H1218" s="383"/>
      <c r="I1218" s="385" t="b">
        <v>1</v>
      </c>
      <c r="J1218" s="386"/>
    </row>
    <row r="1219" spans="1:10">
      <c r="A1219" s="383"/>
      <c r="B1219" s="383" t="str">
        <f>'LS Shortlist'!B94</f>
        <v>PEGASI INTERNATIONAL, INC. _2022</v>
      </c>
      <c r="C1219" s="383" t="str">
        <f>'LS Shortlist'!E94</f>
        <v>Life Sciences</v>
      </c>
      <c r="D1219" s="383" t="str">
        <f>'LS Shortlist'!U94</f>
        <v>Invite Next Year</v>
      </c>
      <c r="E1219" s="383"/>
      <c r="F1219" s="383"/>
      <c r="G1219" s="383"/>
      <c r="H1219" s="383"/>
      <c r="I1219" s="385" t="b">
        <v>1</v>
      </c>
      <c r="J1219" s="386"/>
    </row>
    <row r="1220" spans="1:10">
      <c r="A1220" s="383"/>
      <c r="B1220" s="383" t="str">
        <f>'LS Shortlist'!B95</f>
        <v>Conan Medtech Corp. _2022</v>
      </c>
      <c r="C1220" s="383" t="str">
        <f>'LS Shortlist'!E95</f>
        <v>Life Sciences</v>
      </c>
      <c r="D1220" s="383" t="str">
        <f>'LS Shortlist'!U95</f>
        <v>Invite Next Year</v>
      </c>
      <c r="E1220" s="383"/>
      <c r="F1220" s="383"/>
      <c r="G1220" s="383"/>
      <c r="H1220" s="383"/>
      <c r="I1220" s="385" t="b">
        <v>1</v>
      </c>
      <c r="J1220" s="386"/>
    </row>
    <row r="1221" spans="1:10">
      <c r="A1221" s="383"/>
      <c r="B1221" s="383" t="str">
        <f>'LS Shortlist'!B96</f>
        <v>INCLODE LLC _2022</v>
      </c>
      <c r="C1221" s="383" t="str">
        <f>'LS Shortlist'!E96</f>
        <v>Life Sciences</v>
      </c>
      <c r="D1221" s="383" t="str">
        <f>'LS Shortlist'!U96</f>
        <v>Invite Next Year</v>
      </c>
      <c r="E1221" s="383"/>
      <c r="F1221" s="383"/>
      <c r="G1221" s="383"/>
      <c r="H1221" s="383"/>
      <c r="I1221" s="385" t="b">
        <v>1</v>
      </c>
      <c r="J1221" s="386"/>
    </row>
    <row r="1222" spans="1:10">
      <c r="A1222" s="383"/>
      <c r="B1222" s="383" t="str">
        <f>'LS Shortlist'!B97</f>
        <v>Addinex Technologies, Inc. _2022</v>
      </c>
      <c r="C1222" s="383" t="str">
        <f>'LS Shortlist'!E97</f>
        <v>Life Sciences</v>
      </c>
      <c r="D1222" s="383" t="str">
        <f>'LS Shortlist'!U97</f>
        <v>Invite Next Year</v>
      </c>
      <c r="E1222" s="383"/>
      <c r="F1222" s="383"/>
      <c r="G1222" s="383"/>
      <c r="H1222" s="383"/>
      <c r="I1222" s="385" t="b">
        <v>1</v>
      </c>
      <c r="J1222" s="386"/>
    </row>
    <row r="1223" spans="1:10">
      <c r="A1223" s="383"/>
      <c r="B1223" s="383" t="str">
        <f>'LS Shortlist'!B98</f>
        <v>Rapid Nexus Nanotech Wound Solutions, Inc. _2022</v>
      </c>
      <c r="C1223" s="383" t="str">
        <f>'LS Shortlist'!E98</f>
        <v>Life Sciences</v>
      </c>
      <c r="D1223" s="383" t="str">
        <f>'LS Shortlist'!U98</f>
        <v>Invite Next Year</v>
      </c>
      <c r="E1223" s="383"/>
      <c r="F1223" s="383"/>
      <c r="G1223" s="383"/>
      <c r="H1223" s="383"/>
      <c r="I1223" s="385" t="b">
        <v>1</v>
      </c>
      <c r="J1223" s="386"/>
    </row>
    <row r="1224" spans="1:10">
      <c r="A1224" s="383"/>
      <c r="B1224" s="383" t="str">
        <f>'LS Shortlist'!B99</f>
        <v>CF Foods Group _2022</v>
      </c>
      <c r="C1224" s="383" t="str">
        <f>'LS Shortlist'!E99</f>
        <v>Life Sciences</v>
      </c>
      <c r="D1224" s="383" t="str">
        <f>'LS Shortlist'!U99</f>
        <v>Invite Next Year</v>
      </c>
      <c r="E1224" s="383"/>
      <c r="F1224" s="383"/>
      <c r="G1224" s="383"/>
      <c r="H1224" s="383"/>
      <c r="I1224" s="385" t="b">
        <v>1</v>
      </c>
      <c r="J1224" s="386"/>
    </row>
    <row r="1225" spans="1:10">
      <c r="A1225" s="383"/>
      <c r="B1225" s="383" t="str">
        <f>'LS Shortlist'!B100</f>
        <v>Biodimension Technology Pvt Ltd _2022</v>
      </c>
      <c r="C1225" s="383" t="str">
        <f>'LS Shortlist'!E100</f>
        <v>Life Sciences</v>
      </c>
      <c r="D1225" s="383" t="str">
        <f>'LS Shortlist'!U100</f>
        <v>Invite Next Year</v>
      </c>
      <c r="E1225" s="383"/>
      <c r="F1225" s="383"/>
      <c r="G1225" s="383"/>
      <c r="H1225" s="383"/>
      <c r="I1225" s="385" t="b">
        <v>1</v>
      </c>
      <c r="J1225" s="386"/>
    </row>
    <row r="1226" spans="1:10">
      <c r="A1226" s="383"/>
      <c r="B1226" s="383" t="str">
        <f>'LS Shortlist'!B101</f>
        <v>Kolibri _2022</v>
      </c>
      <c r="C1226" s="383" t="str">
        <f>'LS Shortlist'!E101</f>
        <v>Life Sciences</v>
      </c>
      <c r="D1226" s="383" t="str">
        <f>'LS Shortlist'!U101</f>
        <v>Invite Next Year</v>
      </c>
      <c r="E1226" s="383"/>
      <c r="F1226" s="383"/>
      <c r="G1226" s="383"/>
      <c r="H1226" s="383"/>
      <c r="I1226" s="385" t="b">
        <v>1</v>
      </c>
      <c r="J1226" s="386"/>
    </row>
    <row r="1227" spans="1:10">
      <c r="A1227" s="383"/>
      <c r="B1227" s="383" t="str">
        <f>'LS Shortlist'!B102</f>
        <v>3D-OPS _2022</v>
      </c>
      <c r="C1227" s="383" t="str">
        <f>'LS Shortlist'!E102</f>
        <v>Life Sciences</v>
      </c>
      <c r="D1227" s="383" t="str">
        <f>'LS Shortlist'!U102</f>
        <v>Invite Next Year</v>
      </c>
      <c r="E1227" s="383"/>
      <c r="F1227" s="383"/>
      <c r="G1227" s="383"/>
      <c r="H1227" s="383"/>
      <c r="I1227" s="385" t="b">
        <v>1</v>
      </c>
      <c r="J1227" s="386"/>
    </row>
    <row r="1228" spans="1:10">
      <c r="A1228" s="383"/>
      <c r="B1228" s="383" t="str">
        <f>'LS Shortlist'!B103</f>
        <v>Alyve Medical _2022</v>
      </c>
      <c r="C1228" s="383" t="str">
        <f>'LS Shortlist'!E103</f>
        <v>Life Sciences</v>
      </c>
      <c r="D1228" s="383" t="str">
        <f>'LS Shortlist'!U103</f>
        <v>Invite Next Year</v>
      </c>
      <c r="E1228" s="383"/>
      <c r="F1228" s="383"/>
      <c r="G1228" s="383"/>
      <c r="H1228" s="383"/>
      <c r="I1228" s="385" t="b">
        <v>1</v>
      </c>
      <c r="J1228" s="386"/>
    </row>
    <row r="1229" spans="1:10">
      <c r="A1229" s="383"/>
      <c r="B1229" s="383" t="str">
        <f>'LS Shortlist'!B104</f>
        <v>ViBo Health _2022</v>
      </c>
      <c r="C1229" s="383" t="str">
        <f>'LS Shortlist'!E104</f>
        <v>Life Sciences</v>
      </c>
      <c r="D1229" s="383" t="str">
        <f>'LS Shortlist'!U104</f>
        <v>Invite Next Year</v>
      </c>
      <c r="E1229" s="383"/>
      <c r="F1229" s="383"/>
      <c r="G1229" s="383"/>
      <c r="H1229" s="383"/>
      <c r="I1229" s="385" t="b">
        <v>1</v>
      </c>
      <c r="J1229" s="386"/>
    </row>
    <row r="1230" spans="1:10">
      <c r="A1230" s="383"/>
      <c r="B1230" s="383" t="str">
        <f>'LS Shortlist'!B105</f>
        <v>Sensifree _2022</v>
      </c>
      <c r="C1230" s="383" t="str">
        <f>'LS Shortlist'!E105</f>
        <v>Life Sciences</v>
      </c>
      <c r="D1230" s="383" t="str">
        <f>'LS Shortlist'!U105</f>
        <v>Invite Next Year</v>
      </c>
      <c r="E1230" s="383"/>
      <c r="F1230" s="383"/>
      <c r="G1230" s="383"/>
      <c r="H1230" s="383"/>
      <c r="I1230" s="385" t="b">
        <v>1</v>
      </c>
      <c r="J1230" s="386"/>
    </row>
    <row r="1231" spans="1:10">
      <c r="A1231" s="383"/>
      <c r="B1231" s="383" t="str">
        <f>'LS Shortlist'!B106</f>
        <v>My Greens 2021 SL _2022</v>
      </c>
      <c r="C1231" s="383" t="str">
        <f>'LS Shortlist'!E106</f>
        <v>Life Sciences</v>
      </c>
      <c r="D1231" s="383" t="str">
        <f>'LS Shortlist'!U106</f>
        <v>Invite Next Year</v>
      </c>
      <c r="E1231" s="383"/>
      <c r="F1231" s="383"/>
      <c r="G1231" s="383"/>
      <c r="H1231" s="383"/>
      <c r="I1231" s="385" t="b">
        <v>1</v>
      </c>
      <c r="J1231" s="386"/>
    </row>
    <row r="1232" spans="1:10">
      <c r="A1232" s="383"/>
      <c r="B1232" s="383" t="str">
        <f>'LS Shortlist'!B107</f>
        <v>BLUEWAVE Technologies _2022</v>
      </c>
      <c r="C1232" s="383" t="str">
        <f>'LS Shortlist'!E107</f>
        <v>Life Sciences</v>
      </c>
      <c r="D1232" s="383" t="str">
        <f>'LS Shortlist'!U107</f>
        <v>Invite Next Year</v>
      </c>
      <c r="E1232" s="383"/>
      <c r="F1232" s="383"/>
      <c r="G1232" s="383"/>
      <c r="H1232" s="383"/>
      <c r="I1232" s="385" t="b">
        <v>1</v>
      </c>
      <c r="J1232" s="386"/>
    </row>
    <row r="1233" spans="1:10">
      <c r="A1233" s="383"/>
      <c r="B1233" s="383" t="str">
        <f>'LS Shortlist'!B108</f>
        <v>3F Waste Recovery _2022</v>
      </c>
      <c r="C1233" s="383" t="str">
        <f>'LS Shortlist'!E108</f>
        <v>Life Sciences</v>
      </c>
      <c r="D1233" s="383" t="str">
        <f>'LS Shortlist'!U108</f>
        <v>Invite Next Year</v>
      </c>
      <c r="E1233" s="383"/>
      <c r="F1233" s="383"/>
      <c r="G1233" s="383"/>
      <c r="H1233" s="383"/>
      <c r="I1233" s="385" t="b">
        <v>1</v>
      </c>
      <c r="J1233" s="386"/>
    </row>
    <row r="1234" spans="1:10">
      <c r="A1234" s="383"/>
      <c r="B1234" s="383" t="str">
        <f>'LS Shortlist'!B109</f>
        <v>Alaria Biotech  _2022</v>
      </c>
      <c r="C1234" s="383" t="str">
        <f>'LS Shortlist'!E109</f>
        <v>Life Sciences</v>
      </c>
      <c r="D1234" s="383" t="str">
        <f>'LS Shortlist'!U109</f>
        <v>Invite Next Year</v>
      </c>
      <c r="E1234" s="383"/>
      <c r="F1234" s="383"/>
      <c r="G1234" s="383"/>
      <c r="H1234" s="383"/>
      <c r="I1234" s="385" t="b">
        <v>1</v>
      </c>
      <c r="J1234" s="386"/>
    </row>
    <row r="1235" spans="1:10">
      <c r="A1235" s="383"/>
      <c r="B1235" s="383" t="str">
        <f>'LS Shortlist'!B110</f>
        <v>kyron.bio _2022</v>
      </c>
      <c r="C1235" s="383" t="str">
        <f>'LS Shortlist'!E110</f>
        <v>Life Sciences</v>
      </c>
      <c r="D1235" s="383" t="str">
        <f>'LS Shortlist'!U110</f>
        <v>Invite Next Year</v>
      </c>
      <c r="E1235" s="383"/>
      <c r="F1235" s="383"/>
      <c r="G1235" s="383"/>
      <c r="H1235" s="383"/>
      <c r="I1235" s="385" t="b">
        <v>1</v>
      </c>
      <c r="J1235" s="386"/>
    </row>
    <row r="1236" spans="1:10">
      <c r="A1236" s="383"/>
      <c r="B1236" s="383" t="str">
        <f>'LS Shortlist'!B111</f>
        <v>Re-Colonize _2022</v>
      </c>
      <c r="C1236" s="383" t="str">
        <f>'LS Shortlist'!E111</f>
        <v>Life Sciences</v>
      </c>
      <c r="D1236" s="383" t="str">
        <f>'LS Shortlist'!U111</f>
        <v>Invite Next Year</v>
      </c>
      <c r="E1236" s="383"/>
      <c r="F1236" s="383"/>
      <c r="G1236" s="383"/>
      <c r="H1236" s="383"/>
      <c r="I1236" s="385" t="b">
        <v>1</v>
      </c>
      <c r="J1236" s="386"/>
    </row>
    <row r="1237" spans="1:10">
      <c r="A1237" s="383"/>
      <c r="B1237" s="383" t="str">
        <f>'LS Shortlist'!B112</f>
        <v>Innov2Learn _2022</v>
      </c>
      <c r="C1237" s="383" t="str">
        <f>'LS Shortlist'!E112</f>
        <v>Life Sciences</v>
      </c>
      <c r="D1237" s="383" t="str">
        <f>'LS Shortlist'!U112</f>
        <v>Invite Next Year</v>
      </c>
      <c r="E1237" s="383"/>
      <c r="F1237" s="383"/>
      <c r="G1237" s="383"/>
      <c r="H1237" s="383"/>
      <c r="I1237" s="385" t="b">
        <v>1</v>
      </c>
      <c r="J1237" s="386"/>
    </row>
    <row r="1238" spans="1:10">
      <c r="A1238" s="383"/>
      <c r="B1238" s="383" t="str">
        <f>'LS Shortlist'!B113</f>
        <v>ClinConnect _2022</v>
      </c>
      <c r="C1238" s="383" t="str">
        <f>'LS Shortlist'!E113</f>
        <v>Life Sciences</v>
      </c>
      <c r="D1238" s="383" t="str">
        <f>'LS Shortlist'!U113</f>
        <v>Invite Next Year</v>
      </c>
      <c r="E1238" s="383"/>
      <c r="F1238" s="383"/>
      <c r="G1238" s="383"/>
      <c r="H1238" s="383"/>
      <c r="I1238" s="385" t="b">
        <v>1</v>
      </c>
      <c r="J1238" s="386"/>
    </row>
    <row r="1239" spans="1:10">
      <c r="A1239" s="383"/>
      <c r="B1239" s="383" t="str">
        <f>'LS Shortlist'!B114</f>
        <v>Peptris Technologies Private Limited _2022</v>
      </c>
      <c r="C1239" s="383" t="str">
        <f>'LS Shortlist'!E114</f>
        <v>Life Sciences</v>
      </c>
      <c r="D1239" s="383" t="str">
        <f>'LS Shortlist'!U114</f>
        <v>Invite Next Year</v>
      </c>
      <c r="E1239" s="383"/>
      <c r="F1239" s="383"/>
      <c r="G1239" s="383"/>
      <c r="H1239" s="383"/>
      <c r="I1239" s="385" t="b">
        <v>1</v>
      </c>
      <c r="J1239" s="386"/>
    </row>
    <row r="1240" spans="1:10">
      <c r="A1240" s="383"/>
      <c r="B1240" s="383" t="str">
        <f>'LS Shortlist'!B115</f>
        <v>Dentia, Inc _2022</v>
      </c>
      <c r="C1240" s="383" t="str">
        <f>'LS Shortlist'!E115</f>
        <v>Life Sciences</v>
      </c>
      <c r="D1240" s="383" t="str">
        <f>'LS Shortlist'!U115</f>
        <v>Invite Next Year</v>
      </c>
      <c r="E1240" s="383"/>
      <c r="F1240" s="383"/>
      <c r="G1240" s="383"/>
      <c r="H1240" s="383"/>
      <c r="I1240" s="385" t="b">
        <v>1</v>
      </c>
      <c r="J1240" s="386"/>
    </row>
    <row r="1241" spans="1:10">
      <c r="A1241" s="383"/>
      <c r="B1241" s="383" t="str">
        <f>'LS Shortlist'!B116</f>
        <v>Cinference _2022</v>
      </c>
      <c r="C1241" s="383" t="str">
        <f>'LS Shortlist'!E116</f>
        <v>Life Sciences</v>
      </c>
      <c r="D1241" s="383" t="str">
        <f>'LS Shortlist'!U116</f>
        <v>Invite Next Year</v>
      </c>
      <c r="E1241" s="383"/>
      <c r="F1241" s="383"/>
      <c r="G1241" s="383"/>
      <c r="H1241" s="383"/>
      <c r="I1241" s="385" t="b">
        <v>1</v>
      </c>
      <c r="J1241" s="386"/>
    </row>
    <row r="1242" spans="1:10">
      <c r="A1242" s="383"/>
      <c r="B1242" s="383" t="str">
        <f>'LS Shortlist'!B117</f>
        <v>GenoFAB, Inc. _2022</v>
      </c>
      <c r="C1242" s="383" t="str">
        <f>'LS Shortlist'!E117</f>
        <v>Life Sciences</v>
      </c>
      <c r="D1242" s="383" t="str">
        <f>'LS Shortlist'!U117</f>
        <v>Invite Next Year</v>
      </c>
      <c r="E1242" s="383"/>
      <c r="F1242" s="383"/>
      <c r="G1242" s="383"/>
      <c r="H1242" s="383"/>
      <c r="I1242" s="385" t="b">
        <v>1</v>
      </c>
      <c r="J1242" s="386"/>
    </row>
    <row r="1243" spans="1:10">
      <c r="A1243" s="383"/>
      <c r="B1243" s="383" t="str">
        <f>'LS Shortlist'!B118</f>
        <v>Sona Labs _2022</v>
      </c>
      <c r="C1243" s="383" t="str">
        <f>'LS Shortlist'!E118</f>
        <v>Life Sciences</v>
      </c>
      <c r="D1243" s="383" t="str">
        <f>'LS Shortlist'!U118</f>
        <v>Invite Next Year</v>
      </c>
      <c r="E1243" s="383"/>
      <c r="F1243" s="383"/>
      <c r="G1243" s="383"/>
      <c r="H1243" s="383"/>
      <c r="I1243" s="385" t="b">
        <v>1</v>
      </c>
      <c r="J1243" s="386"/>
    </row>
    <row r="1244" spans="1:10">
      <c r="A1244" s="383"/>
      <c r="B1244" s="383" t="str">
        <f>'LS Shortlist'!B119</f>
        <v>OYA Femtech Apparel _2022</v>
      </c>
      <c r="C1244" s="383" t="str">
        <f>'LS Shortlist'!E119</f>
        <v>Life Sciences</v>
      </c>
      <c r="D1244" s="383" t="str">
        <f>'LS Shortlist'!U119</f>
        <v>Invite Next Year</v>
      </c>
      <c r="E1244" s="383"/>
      <c r="F1244" s="383"/>
      <c r="G1244" s="383"/>
      <c r="H1244" s="383"/>
      <c r="I1244" s="385" t="b">
        <v>1</v>
      </c>
      <c r="J1244" s="386"/>
    </row>
    <row r="1245" spans="1:10">
      <c r="A1245" s="383"/>
      <c r="B1245" s="383" t="str">
        <f>'LS Shortlist'!B120</f>
        <v>Nutrivide Inc. _2022</v>
      </c>
      <c r="C1245" s="383" t="str">
        <f>'LS Shortlist'!E120</f>
        <v>Life Sciences</v>
      </c>
      <c r="D1245" s="383" t="str">
        <f>'LS Shortlist'!U120</f>
        <v>Invite Next Year</v>
      </c>
      <c r="E1245" s="383"/>
      <c r="F1245" s="383"/>
      <c r="G1245" s="383"/>
      <c r="H1245" s="383"/>
      <c r="I1245" s="385" t="b">
        <v>1</v>
      </c>
      <c r="J1245" s="386"/>
    </row>
    <row r="1246" spans="1:10">
      <c r="A1246" s="383"/>
      <c r="B1246" s="383" t="str">
        <f>'LS Shortlist'!B121</f>
        <v>Nanotransfer _2022</v>
      </c>
      <c r="C1246" s="383" t="str">
        <f>'LS Shortlist'!E121</f>
        <v>Life Sciences</v>
      </c>
      <c r="D1246" s="383" t="str">
        <f>'LS Shortlist'!U121</f>
        <v>Invite Next Year</v>
      </c>
      <c r="E1246" s="383"/>
      <c r="F1246" s="383"/>
      <c r="G1246" s="383"/>
      <c r="H1246" s="383"/>
      <c r="I1246" s="385" t="b">
        <v>1</v>
      </c>
      <c r="J1246" s="386"/>
    </row>
    <row r="1247" spans="1:10">
      <c r="A1247" s="383"/>
      <c r="B1247" s="383" t="str">
        <f>'LS Shortlist'!B122</f>
        <v>Cogniant _2022</v>
      </c>
      <c r="C1247" s="383" t="str">
        <f>'LS Shortlist'!E122</f>
        <v>Life Sciences</v>
      </c>
      <c r="D1247" s="383" t="str">
        <f>'LS Shortlist'!U122</f>
        <v>Invite Next Year</v>
      </c>
      <c r="E1247" s="383"/>
      <c r="F1247" s="383"/>
      <c r="G1247" s="383"/>
      <c r="H1247" s="383"/>
      <c r="I1247" s="385" t="b">
        <v>1</v>
      </c>
      <c r="J1247" s="386"/>
    </row>
    <row r="1248" spans="1:10">
      <c r="A1248" s="383"/>
      <c r="B1248" s="383" t="str">
        <f>'LS Shortlist'!B123</f>
        <v>Fun Guy Project _2022</v>
      </c>
      <c r="C1248" s="383" t="str">
        <f>'LS Shortlist'!E123</f>
        <v>Life Sciences</v>
      </c>
      <c r="D1248" s="383" t="str">
        <f>'LS Shortlist'!U123</f>
        <v>Invite Next Year</v>
      </c>
      <c r="E1248" s="383"/>
      <c r="F1248" s="383"/>
      <c r="G1248" s="383"/>
      <c r="H1248" s="383"/>
      <c r="I1248" s="385" t="b">
        <v>1</v>
      </c>
      <c r="J1248" s="386"/>
    </row>
    <row r="1249" spans="1:10">
      <c r="A1249" s="383"/>
      <c r="B1249" s="383" t="str">
        <f>'LS Shortlist'!B124</f>
        <v>Proxygen _2022</v>
      </c>
      <c r="C1249" s="383" t="str">
        <f>'LS Shortlist'!E124</f>
        <v>Life Sciences</v>
      </c>
      <c r="D1249" s="383" t="str">
        <f>'LS Shortlist'!U124</f>
        <v>Invite Next Year</v>
      </c>
      <c r="E1249" s="383"/>
      <c r="F1249" s="383"/>
      <c r="G1249" s="383"/>
      <c r="H1249" s="383"/>
      <c r="I1249" s="385" t="b">
        <v>1</v>
      </c>
      <c r="J1249" s="386"/>
    </row>
    <row r="1250" spans="1:10">
      <c r="A1250" s="383"/>
      <c r="B1250" s="383" t="str">
        <f>'LS Shortlist'!B125</f>
        <v>Mediloq, Inc. _2022</v>
      </c>
      <c r="C1250" s="383" t="str">
        <f>'LS Shortlist'!E125</f>
        <v>Life Sciences</v>
      </c>
      <c r="D1250" s="383" t="str">
        <f>'LS Shortlist'!U125</f>
        <v>Invite Next Year</v>
      </c>
      <c r="E1250" s="383"/>
      <c r="F1250" s="383"/>
      <c r="G1250" s="383"/>
      <c r="H1250" s="383"/>
      <c r="I1250" s="385" t="b">
        <v>1</v>
      </c>
      <c r="J1250" s="386"/>
    </row>
    <row r="1251" spans="1:10">
      <c r="A1251" s="383"/>
      <c r="B1251" s="383" t="str">
        <f>'LS Shortlist'!B126</f>
        <v>Clean Bite, LLC _2022</v>
      </c>
      <c r="C1251" s="383" t="str">
        <f>'LS Shortlist'!E126</f>
        <v>Life Sciences</v>
      </c>
      <c r="D1251" s="383" t="str">
        <f>'LS Shortlist'!U126</f>
        <v>Invite Next Year</v>
      </c>
      <c r="E1251" s="383"/>
      <c r="F1251" s="383"/>
      <c r="G1251" s="383"/>
      <c r="H1251" s="383"/>
      <c r="I1251" s="385" t="b">
        <v>1</v>
      </c>
      <c r="J1251" s="386"/>
    </row>
    <row r="1252" spans="1:10">
      <c r="A1252" s="383"/>
      <c r="B1252" s="383" t="str">
        <f>'LS Shortlist'!B127</f>
        <v>Earth To Go  _2022</v>
      </c>
      <c r="C1252" s="383" t="str">
        <f>'LS Shortlist'!E127</f>
        <v>Life Sciences</v>
      </c>
      <c r="D1252" s="383" t="str">
        <f>'LS Shortlist'!U127</f>
        <v>Invite Next Year</v>
      </c>
      <c r="E1252" s="383"/>
      <c r="F1252" s="383"/>
      <c r="G1252" s="383"/>
      <c r="H1252" s="383"/>
      <c r="I1252" s="385" t="b">
        <v>1</v>
      </c>
      <c r="J1252" s="386"/>
    </row>
    <row r="1253" spans="1:10">
      <c r="A1253" s="383"/>
      <c r="B1253" s="383" t="str">
        <f>'LS Shortlist'!B128</f>
        <v>Biomedix SA, Geneva, Switzerland _2022</v>
      </c>
      <c r="C1253" s="383" t="str">
        <f>'LS Shortlist'!E128</f>
        <v>Life Sciences</v>
      </c>
      <c r="D1253" s="383" t="str">
        <f>'LS Shortlist'!U128</f>
        <v>Invite Next Year</v>
      </c>
      <c r="E1253" s="383"/>
      <c r="F1253" s="383"/>
      <c r="G1253" s="383"/>
      <c r="H1253" s="383"/>
      <c r="I1253" s="385" t="b">
        <v>1</v>
      </c>
      <c r="J1253" s="386"/>
    </row>
    <row r="1254" spans="1:10">
      <c r="A1254" s="383"/>
      <c r="B1254" s="383" t="str">
        <f>'LS Shortlist'!B129</f>
        <v>MeNow _2022</v>
      </c>
      <c r="C1254" s="383" t="str">
        <f>'LS Shortlist'!E129</f>
        <v>Life Sciences</v>
      </c>
      <c r="D1254" s="383" t="str">
        <f>'LS Shortlist'!U129</f>
        <v>Invite Next Year</v>
      </c>
      <c r="E1254" s="383"/>
      <c r="F1254" s="383"/>
      <c r="G1254" s="383"/>
      <c r="H1254" s="383"/>
      <c r="I1254" s="385" t="b">
        <v>1</v>
      </c>
      <c r="J1254" s="386"/>
    </row>
    <row r="1255" spans="1:10">
      <c r="A1255" s="383"/>
      <c r="B1255" s="383" t="str">
        <f>'LS Shortlist'!B130</f>
        <v>Tawazon inc _2022</v>
      </c>
      <c r="C1255" s="383" t="str">
        <f>'LS Shortlist'!E130</f>
        <v>Life Sciences</v>
      </c>
      <c r="D1255" s="383" t="str">
        <f>'LS Shortlist'!U130</f>
        <v>Invite Next Year</v>
      </c>
      <c r="E1255" s="383"/>
      <c r="F1255" s="383"/>
      <c r="G1255" s="383"/>
      <c r="H1255" s="383"/>
      <c r="I1255" s="385" t="b">
        <v>1</v>
      </c>
      <c r="J1255" s="386"/>
    </row>
    <row r="1256" spans="1:10">
      <c r="A1256" s="383"/>
      <c r="B1256" s="383" t="str">
        <f>'LS Shortlist'!B131</f>
        <v>echoscope _2022</v>
      </c>
      <c r="C1256" s="383" t="str">
        <f>'LS Shortlist'!E131</f>
        <v>Life Sciences</v>
      </c>
      <c r="D1256" s="383" t="str">
        <f>'LS Shortlist'!U131</f>
        <v>Invite Next Year</v>
      </c>
      <c r="E1256" s="383"/>
      <c r="F1256" s="383"/>
      <c r="G1256" s="383"/>
      <c r="H1256" s="383"/>
      <c r="I1256" s="385" t="b">
        <v>1</v>
      </c>
      <c r="J1256" s="386"/>
    </row>
    <row r="1257" spans="1:10">
      <c r="A1257" s="383"/>
      <c r="B1257" s="383" t="str">
        <f>'LS Shortlist'!B132</f>
        <v>Cognitive IVF s.r.o. _2022</v>
      </c>
      <c r="C1257" s="383" t="str">
        <f>'LS Shortlist'!E132</f>
        <v>Life Sciences</v>
      </c>
      <c r="D1257" s="383" t="str">
        <f>'LS Shortlist'!U132</f>
        <v>Invite Next Year</v>
      </c>
      <c r="E1257" s="383"/>
      <c r="F1257" s="383"/>
      <c r="G1257" s="383"/>
      <c r="H1257" s="383"/>
      <c r="I1257" s="385" t="b">
        <v>1</v>
      </c>
      <c r="J1257" s="386"/>
    </row>
    <row r="1258" spans="1:10">
      <c r="A1258" s="383"/>
      <c r="B1258" s="383" t="str">
        <f>'LS Shortlist'!B133</f>
        <v>Pyrojas Inc. _2022</v>
      </c>
      <c r="C1258" s="383" t="str">
        <f>'LS Shortlist'!E133</f>
        <v>Life Sciences</v>
      </c>
      <c r="D1258" s="383" t="str">
        <f>'LS Shortlist'!U133</f>
        <v>Invite Next Year</v>
      </c>
      <c r="E1258" s="383"/>
      <c r="F1258" s="383"/>
      <c r="G1258" s="383"/>
      <c r="H1258" s="383"/>
      <c r="I1258" s="385" t="b">
        <v>1</v>
      </c>
      <c r="J1258" s="386"/>
    </row>
    <row r="1259" spans="1:10">
      <c r="A1259" s="383"/>
      <c r="B1259" s="383" t="str">
        <f>'LS Shortlist'!B134</f>
        <v>ASD.ai LLC _2022</v>
      </c>
      <c r="C1259" s="383" t="str">
        <f>'LS Shortlist'!E134</f>
        <v>Life Sciences</v>
      </c>
      <c r="D1259" s="383" t="str">
        <f>'LS Shortlist'!U134</f>
        <v>Invite Next Year</v>
      </c>
      <c r="E1259" s="383"/>
      <c r="F1259" s="383"/>
      <c r="G1259" s="383"/>
      <c r="H1259" s="383"/>
      <c r="I1259" s="385" t="b">
        <v>1</v>
      </c>
      <c r="J1259" s="386"/>
    </row>
    <row r="1260" spans="1:10">
      <c r="A1260" s="383"/>
      <c r="B1260" s="383" t="str">
        <f>'LS Shortlist'!B135</f>
        <v>Aliform Inc. _2022</v>
      </c>
      <c r="C1260" s="383" t="str">
        <f>'LS Shortlist'!E135</f>
        <v>Life Sciences</v>
      </c>
      <c r="D1260" s="383" t="str">
        <f>'LS Shortlist'!U135</f>
        <v>Invite Next Year</v>
      </c>
      <c r="E1260" s="383"/>
      <c r="F1260" s="383"/>
      <c r="G1260" s="383"/>
      <c r="H1260" s="383"/>
      <c r="I1260" s="385" t="b">
        <v>1</v>
      </c>
      <c r="J1260" s="386"/>
    </row>
    <row r="1261" spans="1:10">
      <c r="A1261" s="383"/>
      <c r="B1261" s="383" t="str">
        <f>'LS Shortlist'!B136</f>
        <v>Ultrasonic Medical Mapping, Inc. _2022</v>
      </c>
      <c r="C1261" s="383" t="str">
        <f>'LS Shortlist'!E136</f>
        <v>Life Sciences</v>
      </c>
      <c r="D1261" s="383" t="str">
        <f>'LS Shortlist'!U136</f>
        <v>Invite Next Year</v>
      </c>
      <c r="E1261" s="383"/>
      <c r="F1261" s="383"/>
      <c r="G1261" s="383"/>
      <c r="H1261" s="383"/>
      <c r="I1261" s="385" t="b">
        <v>1</v>
      </c>
      <c r="J1261" s="386"/>
    </row>
    <row r="1262" spans="1:10">
      <c r="A1262" s="383"/>
      <c r="B1262" s="383" t="str">
        <f>'LS Shortlist'!B137</f>
        <v>Axaitech _2022</v>
      </c>
      <c r="C1262" s="383" t="str">
        <f>'LS Shortlist'!E137</f>
        <v>Life Sciences</v>
      </c>
      <c r="D1262" s="383" t="str">
        <f>'LS Shortlist'!U137</f>
        <v>Invite Next Year</v>
      </c>
      <c r="E1262" s="383"/>
      <c r="F1262" s="383"/>
      <c r="G1262" s="383"/>
      <c r="H1262" s="383"/>
      <c r="I1262" s="385" t="b">
        <v>1</v>
      </c>
      <c r="J1262" s="386"/>
    </row>
    <row r="1263" spans="1:10">
      <c r="A1263" s="383"/>
      <c r="B1263" s="383" t="str">
        <f>'LS Shortlist'!B138</f>
        <v>CLOWAK INNOVATIONS LLP _2022</v>
      </c>
      <c r="C1263" s="383" t="str">
        <f>'LS Shortlist'!E138</f>
        <v>Life Sciences</v>
      </c>
      <c r="D1263" s="383" t="str">
        <f>'LS Shortlist'!U138</f>
        <v>Invite Next Year</v>
      </c>
      <c r="E1263" s="383"/>
      <c r="F1263" s="383"/>
      <c r="G1263" s="383"/>
      <c r="H1263" s="383"/>
      <c r="I1263" s="385" t="b">
        <v>1</v>
      </c>
      <c r="J1263" s="386"/>
    </row>
    <row r="1264" spans="1:10">
      <c r="A1264" s="383"/>
      <c r="B1264" s="383" t="str">
        <f>'LS Shortlist'!B139</f>
        <v>Metamorphic Foods Pvt Ltd (Klever Meat) _2022</v>
      </c>
      <c r="C1264" s="383" t="str">
        <f>'LS Shortlist'!E139</f>
        <v>Life Sciences</v>
      </c>
      <c r="D1264" s="383" t="str">
        <f>'LS Shortlist'!U139</f>
        <v>Invite Next Year</v>
      </c>
      <c r="E1264" s="383"/>
      <c r="F1264" s="383"/>
      <c r="G1264" s="383"/>
      <c r="H1264" s="383"/>
      <c r="I1264" s="385" t="b">
        <v>1</v>
      </c>
      <c r="J1264" s="386"/>
    </row>
    <row r="1265" spans="1:10">
      <c r="A1265" s="383"/>
      <c r="B1265" s="383" t="str">
        <f>'LS Shortlist'!B140</f>
        <v>GaleSun Technologies _2022</v>
      </c>
      <c r="C1265" s="383" t="str">
        <f>'LS Shortlist'!E140</f>
        <v>Life Sciences</v>
      </c>
      <c r="D1265" s="383" t="str">
        <f>'LS Shortlist'!U140</f>
        <v>Invite Next Year</v>
      </c>
      <c r="E1265" s="383"/>
      <c r="F1265" s="383"/>
      <c r="G1265" s="383"/>
      <c r="H1265" s="383"/>
      <c r="I1265" s="385" t="b">
        <v>1</v>
      </c>
      <c r="J1265" s="386"/>
    </row>
    <row r="1266" spans="1:10">
      <c r="A1266" s="383"/>
      <c r="B1266" s="383" t="str">
        <f>'LS Shortlist'!B141</f>
        <v>Neurohue _2022</v>
      </c>
      <c r="C1266" s="383" t="str">
        <f>'LS Shortlist'!E141</f>
        <v>Life Sciences</v>
      </c>
      <c r="D1266" s="383" t="str">
        <f>'LS Shortlist'!U141</f>
        <v>Invite Next Year</v>
      </c>
      <c r="E1266" s="383"/>
      <c r="F1266" s="383"/>
      <c r="G1266" s="383"/>
      <c r="H1266" s="383"/>
      <c r="I1266" s="385" t="b">
        <v>1</v>
      </c>
      <c r="J1266" s="386"/>
    </row>
    <row r="1267" spans="1:10">
      <c r="A1267" s="383"/>
      <c r="B1267" s="383" t="str">
        <f>'LS Shortlist'!B142</f>
        <v>eXeer Biotech, Inc _2022</v>
      </c>
      <c r="C1267" s="383" t="str">
        <f>'LS Shortlist'!E142</f>
        <v>Life Sciences</v>
      </c>
      <c r="D1267" s="383" t="str">
        <f>'LS Shortlist'!U142</f>
        <v>Invite Next Year</v>
      </c>
      <c r="E1267" s="383"/>
      <c r="F1267" s="383"/>
      <c r="G1267" s="383"/>
      <c r="H1267" s="383"/>
      <c r="I1267" s="385" t="b">
        <v>1</v>
      </c>
      <c r="J1267" s="386"/>
    </row>
    <row r="1268" spans="1:10">
      <c r="A1268" s="383"/>
      <c r="B1268" s="383" t="str">
        <f>'LS Shortlist'!B143</f>
        <v>Salve Therapeutics _2022</v>
      </c>
      <c r="C1268" s="383" t="str">
        <f>'LS Shortlist'!E143</f>
        <v>Life Sciences</v>
      </c>
      <c r="D1268" s="383" t="str">
        <f>'LS Shortlist'!U143</f>
        <v>Invite Next Year</v>
      </c>
      <c r="E1268" s="383"/>
      <c r="F1268" s="383"/>
      <c r="G1268" s="383"/>
      <c r="H1268" s="383"/>
      <c r="I1268" s="385" t="b">
        <v>1</v>
      </c>
      <c r="J1268" s="386"/>
    </row>
    <row r="1269" spans="1:10">
      <c r="A1269" s="383"/>
      <c r="B1269" s="383" t="str">
        <f>'LS Shortlist'!B144</f>
        <v>ION Medical Safety _2022</v>
      </c>
      <c r="C1269" s="383" t="str">
        <f>'LS Shortlist'!E144</f>
        <v>Life Sciences</v>
      </c>
      <c r="D1269" s="383" t="str">
        <f>'LS Shortlist'!U144</f>
        <v>Invite Next Year</v>
      </c>
      <c r="E1269" s="383"/>
      <c r="F1269" s="383"/>
      <c r="G1269" s="383"/>
      <c r="H1269" s="383"/>
      <c r="I1269" s="385" t="b">
        <v>1</v>
      </c>
      <c r="J1269" s="386"/>
    </row>
    <row r="1270" spans="1:10">
      <c r="A1270" s="383"/>
      <c r="B1270" s="383" t="str">
        <f>'LS Shortlist'!B145</f>
        <v>Electra Beverages &amp; Nutritionals, LLC _2022</v>
      </c>
      <c r="C1270" s="383" t="str">
        <f>'LS Shortlist'!E145</f>
        <v>Life Sciences</v>
      </c>
      <c r="D1270" s="383" t="str">
        <f>'LS Shortlist'!U145</f>
        <v>Invite Next Year</v>
      </c>
      <c r="E1270" s="383"/>
      <c r="F1270" s="383"/>
      <c r="G1270" s="383"/>
      <c r="H1270" s="383"/>
      <c r="I1270" s="385" t="b">
        <v>1</v>
      </c>
      <c r="J1270" s="386"/>
    </row>
    <row r="1271" spans="1:10">
      <c r="A1271" s="383"/>
      <c r="B1271" s="383" t="str">
        <f>'LS Shortlist'!B146</f>
        <v>AiroSolve _2022</v>
      </c>
      <c r="C1271" s="383" t="str">
        <f>'LS Shortlist'!E146</f>
        <v>Life Sciences</v>
      </c>
      <c r="D1271" s="383" t="str">
        <f>'LS Shortlist'!U146</f>
        <v>Invite Next Year</v>
      </c>
      <c r="E1271" s="383"/>
      <c r="F1271" s="383"/>
      <c r="G1271" s="383"/>
      <c r="H1271" s="383"/>
      <c r="I1271" s="385" t="b">
        <v>1</v>
      </c>
      <c r="J1271" s="386"/>
    </row>
    <row r="1272" spans="1:10">
      <c r="A1272" s="383"/>
      <c r="B1272" s="383" t="str">
        <f>'LS Shortlist'!B147</f>
        <v>First Person Solutions _2022</v>
      </c>
      <c r="C1272" s="383" t="str">
        <f>'LS Shortlist'!E147</f>
        <v>Life Sciences</v>
      </c>
      <c r="D1272" s="383" t="str">
        <f>'LS Shortlist'!U147</f>
        <v>Invite Next Year</v>
      </c>
      <c r="E1272" s="383"/>
      <c r="F1272" s="383"/>
      <c r="G1272" s="383"/>
      <c r="H1272" s="383"/>
      <c r="I1272" s="385" t="b">
        <v>1</v>
      </c>
      <c r="J1272" s="386"/>
    </row>
    <row r="1273" spans="1:10">
      <c r="A1273" s="383"/>
      <c r="B1273" s="383" t="str">
        <f>'LS Shortlist'!B148</f>
        <v>TrioWave Technologies _2022</v>
      </c>
      <c r="C1273" s="383" t="str">
        <f>'LS Shortlist'!E148</f>
        <v>Life Sciences</v>
      </c>
      <c r="D1273" s="383" t="str">
        <f>'LS Shortlist'!U148</f>
        <v>Invite Next Year</v>
      </c>
      <c r="E1273" s="383"/>
      <c r="F1273" s="383"/>
      <c r="G1273" s="383"/>
      <c r="H1273" s="383"/>
      <c r="I1273" s="385" t="b">
        <v>1</v>
      </c>
      <c r="J1273" s="386"/>
    </row>
    <row r="1274" spans="1:10">
      <c r="A1274" s="383"/>
      <c r="B1274" s="383" t="str">
        <f>'LS Shortlist'!B149</f>
        <v>Cardiología Hiskin _2022</v>
      </c>
      <c r="C1274" s="383" t="str">
        <f>'LS Shortlist'!E149</f>
        <v>Life Sciences</v>
      </c>
      <c r="D1274" s="383" t="str">
        <f>'LS Shortlist'!U149</f>
        <v>Invite Next Year</v>
      </c>
      <c r="E1274" s="383"/>
      <c r="F1274" s="383"/>
      <c r="G1274" s="383"/>
      <c r="H1274" s="383"/>
      <c r="I1274" s="385" t="b">
        <v>1</v>
      </c>
      <c r="J1274" s="386"/>
    </row>
    <row r="1275" spans="1:10">
      <c r="A1275" s="383"/>
      <c r="B1275" s="383" t="str">
        <f>'LS Shortlist'!B150</f>
        <v>ChoroPharma, LLC _2022</v>
      </c>
      <c r="C1275" s="383" t="str">
        <f>'LS Shortlist'!E150</f>
        <v>Life Sciences</v>
      </c>
      <c r="D1275" s="383" t="str">
        <f>'LS Shortlist'!U150</f>
        <v>Invite Next Year</v>
      </c>
      <c r="E1275" s="383"/>
      <c r="F1275" s="383"/>
      <c r="G1275" s="383"/>
      <c r="H1275" s="383"/>
      <c r="I1275" s="385" t="b">
        <v>1</v>
      </c>
      <c r="J1275" s="386"/>
    </row>
    <row r="1276" spans="1:10">
      <c r="A1276" s="383"/>
      <c r="B1276" s="383" t="str">
        <f>'LS Shortlist'!B151</f>
        <v>CFIT _2022</v>
      </c>
      <c r="C1276" s="383" t="str">
        <f>'LS Shortlist'!E151</f>
        <v>Life Sciences</v>
      </c>
      <c r="D1276" s="383" t="str">
        <f>'LS Shortlist'!U151</f>
        <v>Invite Next Year</v>
      </c>
      <c r="E1276" s="383"/>
      <c r="F1276" s="383"/>
      <c r="G1276" s="383"/>
      <c r="H1276" s="383"/>
      <c r="I1276" s="385" t="b">
        <v>1</v>
      </c>
      <c r="J1276" s="386"/>
    </row>
    <row r="1277" spans="1:10">
      <c r="A1277" s="383"/>
      <c r="B1277" s="383" t="str">
        <f>'LS Shortlist'!B152</f>
        <v>Kara _2022</v>
      </c>
      <c r="C1277" s="383" t="str">
        <f>'LS Shortlist'!E152</f>
        <v>Life Sciences</v>
      </c>
      <c r="D1277" s="383" t="str">
        <f>'LS Shortlist'!U152</f>
        <v>Invite Next Year</v>
      </c>
      <c r="E1277" s="383"/>
      <c r="F1277" s="383"/>
      <c r="G1277" s="383"/>
      <c r="H1277" s="383"/>
      <c r="I1277" s="385" t="b">
        <v>1</v>
      </c>
      <c r="J1277" s="386"/>
    </row>
    <row r="1278" spans="1:10">
      <c r="A1278" s="383"/>
      <c r="B1278" s="383" t="str">
        <f>'LS Shortlist'!B153</f>
        <v>Say Ha _2022</v>
      </c>
      <c r="C1278" s="383" t="str">
        <f>'LS Shortlist'!E153</f>
        <v>Life Sciences</v>
      </c>
      <c r="D1278" s="383" t="str">
        <f>'LS Shortlist'!U153</f>
        <v>Invite Next Year</v>
      </c>
      <c r="E1278" s="383"/>
      <c r="F1278" s="383"/>
      <c r="G1278" s="383"/>
      <c r="H1278" s="383"/>
      <c r="I1278" s="385" t="b">
        <v>1</v>
      </c>
      <c r="J1278" s="386"/>
    </row>
    <row r="1279" spans="1:10">
      <c r="A1279" s="383"/>
      <c r="B1279" s="383" t="str">
        <f>'LS Shortlist'!B154</f>
        <v>The Cumin Culinary Brands _2022</v>
      </c>
      <c r="C1279" s="383" t="str">
        <f>'LS Shortlist'!E154</f>
        <v>Life Sciences</v>
      </c>
      <c r="D1279" s="383" t="str">
        <f>'LS Shortlist'!U154</f>
        <v>Invite Next Year</v>
      </c>
      <c r="E1279" s="383"/>
      <c r="F1279" s="383"/>
      <c r="G1279" s="383"/>
      <c r="H1279" s="383"/>
      <c r="I1279" s="385" t="b">
        <v>1</v>
      </c>
      <c r="J1279" s="386"/>
    </row>
    <row r="1280" spans="1:10">
      <c r="A1280" s="383"/>
      <c r="B1280" s="383" t="str">
        <f>'LS Shortlist'!B155</f>
        <v>Yumwoof Natural Pet Food _2022</v>
      </c>
      <c r="C1280" s="383" t="str">
        <f>'LS Shortlist'!E155</f>
        <v>Life Sciences</v>
      </c>
      <c r="D1280" s="383" t="str">
        <f>'LS Shortlist'!U155</f>
        <v>Invite Next Year</v>
      </c>
      <c r="E1280" s="383"/>
      <c r="F1280" s="383"/>
      <c r="G1280" s="383"/>
      <c r="H1280" s="383"/>
      <c r="I1280" s="385" t="b">
        <v>1</v>
      </c>
      <c r="J1280" s="386"/>
    </row>
    <row r="1281" spans="1:10">
      <c r="A1281" s="383"/>
      <c r="B1281" s="383" t="str">
        <f>'LS Shortlist'!B156</f>
        <v>IonMedicine _2022</v>
      </c>
      <c r="C1281" s="383" t="str">
        <f>'LS Shortlist'!E156</f>
        <v>Life Sciences</v>
      </c>
      <c r="D1281" s="383" t="str">
        <f>'LS Shortlist'!U156</f>
        <v>Invite Next Year</v>
      </c>
      <c r="E1281" s="383"/>
      <c r="F1281" s="383"/>
      <c r="G1281" s="383"/>
      <c r="H1281" s="383"/>
      <c r="I1281" s="385" t="b">
        <v>1</v>
      </c>
      <c r="J1281" s="386"/>
    </row>
    <row r="1282" spans="1:10">
      <c r="A1282" s="383"/>
      <c r="B1282" s="383" t="str">
        <f>'LS Shortlist'!B157</f>
        <v>Nutrizle _2022</v>
      </c>
      <c r="C1282" s="383" t="str">
        <f>'LS Shortlist'!E157</f>
        <v>Life Sciences</v>
      </c>
      <c r="D1282" s="383" t="str">
        <f>'LS Shortlist'!U157</f>
        <v>Invite Next Year</v>
      </c>
      <c r="E1282" s="383"/>
      <c r="F1282" s="383"/>
      <c r="G1282" s="383"/>
      <c r="H1282" s="383"/>
      <c r="I1282" s="385" t="b">
        <v>1</v>
      </c>
      <c r="J1282" s="386"/>
    </row>
    <row r="1283" spans="1:10">
      <c r="A1283" s="383"/>
      <c r="B1283" s="383" t="str">
        <f>'LS Shortlist'!B158</f>
        <v>Southern Dairy Products _2022</v>
      </c>
      <c r="C1283" s="383" t="str">
        <f>'LS Shortlist'!E158</f>
        <v>Life Sciences</v>
      </c>
      <c r="D1283" s="383" t="str">
        <f>'LS Shortlist'!U158</f>
        <v>Invite Next Year</v>
      </c>
      <c r="E1283" s="383"/>
      <c r="F1283" s="383"/>
      <c r="G1283" s="383"/>
      <c r="H1283" s="383"/>
      <c r="I1283" s="385" t="b">
        <v>1</v>
      </c>
      <c r="J1283" s="386"/>
    </row>
    <row r="1284" spans="1:10">
      <c r="A1284" s="383"/>
      <c r="B1284" s="383" t="str">
        <f>'LS Shortlist'!B159</f>
        <v>Iocure, Inc. _2022</v>
      </c>
      <c r="C1284" s="383" t="str">
        <f>'LS Shortlist'!E159</f>
        <v>Life Sciences</v>
      </c>
      <c r="D1284" s="383" t="str">
        <f>'LS Shortlist'!U159</f>
        <v>Invite Next Year</v>
      </c>
      <c r="E1284" s="383"/>
      <c r="F1284" s="383"/>
      <c r="G1284" s="383"/>
      <c r="H1284" s="383"/>
      <c r="I1284" s="385" t="b">
        <v>1</v>
      </c>
      <c r="J1284" s="386"/>
    </row>
    <row r="1285" spans="1:10">
      <c r="A1285" s="383"/>
      <c r="B1285" s="383" t="str">
        <f>'LS Shortlist'!B160</f>
        <v>Ndal Mfg Inc, Dba Ndal Biofilm Medical Group,  _2022</v>
      </c>
      <c r="C1285" s="383" t="str">
        <f>'LS Shortlist'!E160</f>
        <v>Life Sciences</v>
      </c>
      <c r="D1285" s="383" t="str">
        <f>'LS Shortlist'!U160</f>
        <v>Invite Next Year</v>
      </c>
      <c r="E1285" s="383"/>
      <c r="F1285" s="383"/>
      <c r="G1285" s="383"/>
      <c r="H1285" s="383"/>
      <c r="I1285" s="385" t="b">
        <v>1</v>
      </c>
      <c r="J1285" s="386"/>
    </row>
    <row r="1286" spans="1:10">
      <c r="A1286" s="383"/>
      <c r="B1286" s="383" t="str">
        <f>'LS Shortlist'!B161</f>
        <v>Novamp Pharma Pack _2022</v>
      </c>
      <c r="C1286" s="383" t="str">
        <f>'LS Shortlist'!E161</f>
        <v>Life Sciences</v>
      </c>
      <c r="D1286" s="383" t="str">
        <f>'LS Shortlist'!U161</f>
        <v>Invite Next Year</v>
      </c>
      <c r="E1286" s="383"/>
      <c r="F1286" s="383"/>
      <c r="G1286" s="383"/>
      <c r="H1286" s="383"/>
      <c r="I1286" s="385" t="b">
        <v>1</v>
      </c>
      <c r="J1286" s="386"/>
    </row>
    <row r="1287" spans="1:10">
      <c r="A1287" s="383"/>
      <c r="B1287" s="383" t="str">
        <f>'LS Shortlist'!B162</f>
        <v>Oral FLuid Testing Labs LLC _2022</v>
      </c>
      <c r="C1287" s="383" t="str">
        <f>'LS Shortlist'!E162</f>
        <v>Life Sciences</v>
      </c>
      <c r="D1287" s="383" t="str">
        <f>'LS Shortlist'!U162</f>
        <v>Invite Next Year</v>
      </c>
      <c r="E1287" s="383"/>
      <c r="F1287" s="383"/>
      <c r="G1287" s="383"/>
      <c r="H1287" s="383"/>
      <c r="I1287" s="385" t="b">
        <v>1</v>
      </c>
      <c r="J1287" s="386"/>
    </row>
    <row r="1288" spans="1:10">
      <c r="A1288" s="383"/>
      <c r="B1288" s="383" t="str">
        <f>'LS Shortlist'!B163</f>
        <v>Brigade Automation Corporation LLC _2022</v>
      </c>
      <c r="C1288" s="383" t="str">
        <f>'LS Shortlist'!E163</f>
        <v>Life Sciences</v>
      </c>
      <c r="D1288" s="383" t="str">
        <f>'LS Shortlist'!U163</f>
        <v>Invite Next Year</v>
      </c>
      <c r="E1288" s="383"/>
      <c r="F1288" s="383"/>
      <c r="G1288" s="383"/>
      <c r="H1288" s="383"/>
      <c r="I1288" s="385" t="b">
        <v>1</v>
      </c>
      <c r="J1288" s="386"/>
    </row>
    <row r="1289" spans="1:10">
      <c r="A1289" s="383"/>
      <c r="B1289" s="383" t="str">
        <f>'LS Shortlist'!B164</f>
        <v>IceBeanie  _2022</v>
      </c>
      <c r="C1289" s="383" t="str">
        <f>'LS Shortlist'!E164</f>
        <v>Life Sciences</v>
      </c>
      <c r="D1289" s="383" t="str">
        <f>'LS Shortlist'!U164</f>
        <v>Invite Next Year</v>
      </c>
      <c r="E1289" s="383"/>
      <c r="F1289" s="383"/>
      <c r="G1289" s="383"/>
      <c r="H1289" s="383"/>
      <c r="I1289" s="385" t="b">
        <v>1</v>
      </c>
      <c r="J1289" s="386"/>
    </row>
    <row r="1290" spans="1:10">
      <c r="A1290" s="383"/>
      <c r="B1290" s="383" t="str">
        <f>'LS Shortlist'!B165</f>
        <v>Neo Xenia Biotech _2022</v>
      </c>
      <c r="C1290" s="383" t="str">
        <f>'LS Shortlist'!E165</f>
        <v>Life Sciences</v>
      </c>
      <c r="D1290" s="383" t="str">
        <f>'LS Shortlist'!U165</f>
        <v>Invite Next Year</v>
      </c>
      <c r="E1290" s="383"/>
      <c r="F1290" s="383"/>
      <c r="G1290" s="383"/>
      <c r="H1290" s="383"/>
      <c r="I1290" s="385" t="b">
        <v>1</v>
      </c>
      <c r="J1290" s="386"/>
    </row>
    <row r="1291" spans="1:10">
      <c r="A1291" s="383"/>
      <c r="B1291" s="383" t="str">
        <f>'LS Shortlist'!B166</f>
        <v>Dream Tea NYC _2022</v>
      </c>
      <c r="C1291" s="383" t="str">
        <f>'LS Shortlist'!E166</f>
        <v>Life Sciences</v>
      </c>
      <c r="D1291" s="383" t="str">
        <f>'LS Shortlist'!U166</f>
        <v>Invite Next Year</v>
      </c>
      <c r="E1291" s="383"/>
      <c r="F1291" s="383"/>
      <c r="G1291" s="383"/>
      <c r="H1291" s="383"/>
      <c r="I1291" s="385" t="b">
        <v>1</v>
      </c>
      <c r="J1291" s="386"/>
    </row>
    <row r="1292" spans="1:10">
      <c r="A1292" s="383"/>
      <c r="B1292" s="383" t="str">
        <f>'LS Shortlist'!B167</f>
        <v>Ndal Mfg Inc., Biofilm Medical _2022</v>
      </c>
      <c r="C1292" s="383" t="str">
        <f>'LS Shortlist'!E167</f>
        <v>Life Sciences</v>
      </c>
      <c r="D1292" s="383" t="str">
        <f>'LS Shortlist'!U167</f>
        <v>Invite Next Year</v>
      </c>
      <c r="E1292" s="383"/>
      <c r="F1292" s="383"/>
      <c r="G1292" s="383"/>
      <c r="H1292" s="383"/>
      <c r="I1292" s="385" t="b">
        <v>1</v>
      </c>
      <c r="J1292" s="386"/>
    </row>
    <row r="1293" spans="1:10">
      <c r="A1293" s="383"/>
      <c r="B1293" s="383" t="str">
        <f>'LS Shortlist'!B168</f>
        <v>sustaident _2022</v>
      </c>
      <c r="C1293" s="383" t="str">
        <f>'LS Shortlist'!E168</f>
        <v>Life Sciences</v>
      </c>
      <c r="D1293" s="383" t="str">
        <f>'LS Shortlist'!U168</f>
        <v>Invite Next Year</v>
      </c>
      <c r="E1293" s="383"/>
      <c r="F1293" s="383"/>
      <c r="G1293" s="383"/>
      <c r="H1293" s="383"/>
      <c r="I1293" s="385" t="b">
        <v>1</v>
      </c>
      <c r="J1293" s="386"/>
    </row>
    <row r="1294" spans="1:10">
      <c r="A1294" s="383"/>
      <c r="B1294" s="383" t="str">
        <f>'LS Shortlist'!B169</f>
        <v>Nutrarte LLC, Nutrarte SAS _2022</v>
      </c>
      <c r="C1294" s="383" t="str">
        <f>'LS Shortlist'!E169</f>
        <v>Life Sciences</v>
      </c>
      <c r="D1294" s="383" t="str">
        <f>'LS Shortlist'!U169</f>
        <v>Invite Next Year</v>
      </c>
      <c r="E1294" s="383"/>
      <c r="F1294" s="383"/>
      <c r="G1294" s="383"/>
      <c r="H1294" s="383"/>
      <c r="I1294" s="385" t="b">
        <v>1</v>
      </c>
      <c r="J1294" s="386"/>
    </row>
    <row r="1295" spans="1:10">
      <c r="A1295" s="383"/>
      <c r="B1295" s="383" t="str">
        <f>'LS Shortlist'!B170</f>
        <v>Sprayify (formerly known as Coatify) _2022</v>
      </c>
      <c r="C1295" s="383" t="str">
        <f>'LS Shortlist'!E170</f>
        <v>Life Sciences</v>
      </c>
      <c r="D1295" s="383" t="str">
        <f>'LS Shortlist'!U170</f>
        <v>Invite Next Year</v>
      </c>
      <c r="E1295" s="383"/>
      <c r="F1295" s="383"/>
      <c r="G1295" s="383"/>
      <c r="H1295" s="383"/>
      <c r="I1295" s="385" t="b">
        <v>1</v>
      </c>
      <c r="J1295" s="386"/>
    </row>
    <row r="1296" spans="1:10">
      <c r="A1296" s="383"/>
      <c r="B1296" s="383" t="str">
        <f>'LS Shortlist'!B171</f>
        <v>BWISECORP Blue Whale Invention Safety Energy Corporation  _2022</v>
      </c>
      <c r="C1296" s="383" t="str">
        <f>'LS Shortlist'!E171</f>
        <v>Life Sciences</v>
      </c>
      <c r="D1296" s="383" t="str">
        <f>'LS Shortlist'!U171</f>
        <v>Invite Next Year</v>
      </c>
      <c r="E1296" s="383"/>
      <c r="F1296" s="383"/>
      <c r="G1296" s="383"/>
      <c r="H1296" s="383"/>
      <c r="I1296" s="385" t="b">
        <v>1</v>
      </c>
      <c r="J1296" s="386"/>
    </row>
    <row r="1297" spans="1:10">
      <c r="A1297" s="383"/>
      <c r="B1297" s="383" t="str">
        <f>'LS Shortlist'!B172</f>
        <v>COMPOSTAME _2022</v>
      </c>
      <c r="C1297" s="383" t="str">
        <f>'LS Shortlist'!E172</f>
        <v>Life Sciences</v>
      </c>
      <c r="D1297" s="383" t="str">
        <f>'LS Shortlist'!U172</f>
        <v>Invite Next Year</v>
      </c>
      <c r="E1297" s="383"/>
      <c r="F1297" s="383"/>
      <c r="G1297" s="383"/>
      <c r="H1297" s="383"/>
      <c r="I1297" s="385" t="b">
        <v>1</v>
      </c>
      <c r="J1297" s="386"/>
    </row>
    <row r="1298" spans="1:10">
      <c r="A1298" s="383"/>
      <c r="B1298" s="383" t="str">
        <f>'LS Shortlist'!B173</f>
        <v>NewYou /ThePeopleChain/notyet _2022</v>
      </c>
      <c r="C1298" s="383" t="str">
        <f>'LS Shortlist'!E173</f>
        <v>Life Sciences</v>
      </c>
      <c r="D1298" s="383" t="str">
        <f>'LS Shortlist'!U173</f>
        <v>Invite Next Year</v>
      </c>
      <c r="E1298" s="383"/>
      <c r="F1298" s="383"/>
      <c r="G1298" s="383"/>
      <c r="H1298" s="383"/>
      <c r="I1298" s="385" t="b">
        <v>1</v>
      </c>
      <c r="J1298" s="386"/>
    </row>
    <row r="1299" spans="1:10">
      <c r="A1299" s="383"/>
      <c r="B1299" s="383" t="str">
        <f>'LS Shortlist'!B174</f>
        <v>Edible Graveyards _2022</v>
      </c>
      <c r="C1299" s="383" t="str">
        <f>'LS Shortlist'!E174</f>
        <v>Life Sciences</v>
      </c>
      <c r="D1299" s="383" t="str">
        <f>'LS Shortlist'!U174</f>
        <v>Invite Next Year</v>
      </c>
      <c r="E1299" s="383"/>
      <c r="F1299" s="383"/>
      <c r="G1299" s="383"/>
      <c r="H1299" s="383"/>
      <c r="I1299" s="385" t="b">
        <v>1</v>
      </c>
      <c r="J1299" s="386"/>
    </row>
    <row r="1300" spans="1:10">
      <c r="A1300" s="383"/>
      <c r="B1300" s="383" t="str">
        <f>'LS Shortlist'!B175</f>
        <v>Dentco _2022</v>
      </c>
      <c r="C1300" s="383" t="str">
        <f>'LS Shortlist'!E175</f>
        <v>Life Sciences</v>
      </c>
      <c r="D1300" s="383" t="str">
        <f>'LS Shortlist'!U175</f>
        <v>Invite Next Year</v>
      </c>
      <c r="E1300" s="383"/>
      <c r="F1300" s="383"/>
      <c r="G1300" s="383"/>
      <c r="H1300" s="383"/>
      <c r="I1300" s="385" t="b">
        <v>1</v>
      </c>
      <c r="J1300" s="386"/>
    </row>
    <row r="1301" spans="1:10">
      <c r="A1301" s="383"/>
      <c r="B1301" s="383" t="str">
        <f>'LS Shortlist'!B176</f>
        <v>New Age Hygienic Systems, Inc. _2022</v>
      </c>
      <c r="C1301" s="383" t="str">
        <f>'LS Shortlist'!E176</f>
        <v>Life Sciences</v>
      </c>
      <c r="D1301" s="383" t="str">
        <f>'LS Shortlist'!U176</f>
        <v>Invite Next Year</v>
      </c>
      <c r="E1301" s="383"/>
      <c r="F1301" s="383"/>
      <c r="G1301" s="383"/>
      <c r="H1301" s="383"/>
      <c r="I1301" s="385" t="b">
        <v>1</v>
      </c>
      <c r="J1301" s="386"/>
    </row>
    <row r="1302" spans="1:10">
      <c r="A1302" s="383"/>
      <c r="B1302" s="383" t="str">
        <f>'LS Shortlist'!B177</f>
        <v>Blind Tiger, LLC D/B/A Blind Tiger Spirit-Free Cocktails _2022</v>
      </c>
      <c r="C1302" s="383" t="str">
        <f>'LS Shortlist'!E177</f>
        <v>Life Sciences</v>
      </c>
      <c r="D1302" s="383" t="str">
        <f>'LS Shortlist'!U177</f>
        <v>Reject</v>
      </c>
      <c r="E1302" s="383"/>
      <c r="F1302" s="383"/>
      <c r="G1302" s="383"/>
      <c r="H1302" s="383"/>
      <c r="I1302" s="385" t="b">
        <v>1</v>
      </c>
      <c r="J1302" s="386"/>
    </row>
    <row r="1303" spans="1:10">
      <c r="A1303" s="383"/>
      <c r="B1303" s="383" t="str">
        <f>'LS Shortlist'!B178</f>
        <v>LEVI Diagnostics, Inc. _2022</v>
      </c>
      <c r="C1303" s="383" t="str">
        <f>'LS Shortlist'!E178</f>
        <v>Life Sciences</v>
      </c>
      <c r="D1303" s="383" t="str">
        <f>'LS Shortlist'!U178</f>
        <v>Special Reject</v>
      </c>
      <c r="E1303" s="383"/>
      <c r="F1303" s="383"/>
      <c r="G1303" s="383"/>
      <c r="H1303" s="383"/>
      <c r="I1303" s="385" t="b">
        <v>1</v>
      </c>
      <c r="J1303" s="386"/>
    </row>
    <row r="1304" spans="1:10">
      <c r="A1304" s="383"/>
      <c r="B1304" s="383" t="str">
        <f>'LS Shortlist'!B179</f>
        <v>APIE Therapeutics  _2022</v>
      </c>
      <c r="C1304" s="383" t="str">
        <f>'LS Shortlist'!E179</f>
        <v>Life Sciences</v>
      </c>
      <c r="D1304" s="383" t="str">
        <f>'LS Shortlist'!U179</f>
        <v>Special Reject</v>
      </c>
      <c r="E1304" s="383"/>
      <c r="F1304" s="383"/>
      <c r="G1304" s="383"/>
      <c r="H1304" s="383"/>
      <c r="I1304" s="385" t="b">
        <v>1</v>
      </c>
      <c r="J1304" s="386"/>
    </row>
    <row r="1305" spans="1:10">
      <c r="A1305" s="383"/>
      <c r="B1305" s="383" t="str">
        <f>'LS Shortlist'!B180</f>
        <v>Elysium Therapeutics, Inc. _2022</v>
      </c>
      <c r="C1305" s="383" t="str">
        <f>'LS Shortlist'!E180</f>
        <v>Life Sciences</v>
      </c>
      <c r="D1305" s="383" t="str">
        <f>'LS Shortlist'!U180</f>
        <v>Special Reject</v>
      </c>
      <c r="E1305" s="383"/>
      <c r="F1305" s="383"/>
      <c r="G1305" s="383"/>
      <c r="H1305" s="383"/>
      <c r="I1305" s="385" t="b">
        <v>1</v>
      </c>
      <c r="J1305" s="386"/>
    </row>
    <row r="1306" spans="1:10">
      <c r="A1306" s="383"/>
      <c r="B1306" s="383" t="str">
        <f>'LS Shortlist'!B181</f>
        <v>EndObetes _2022</v>
      </c>
      <c r="C1306" s="383" t="str">
        <f>'LS Shortlist'!E181</f>
        <v>Life Sciences</v>
      </c>
      <c r="D1306" s="383" t="str">
        <f>'LS Shortlist'!U181</f>
        <v>Special Reject</v>
      </c>
      <c r="E1306" s="383"/>
      <c r="F1306" s="383"/>
      <c r="G1306" s="383"/>
      <c r="H1306" s="383"/>
      <c r="I1306" s="385" t="b">
        <v>1</v>
      </c>
      <c r="J1306" s="386"/>
    </row>
    <row r="1307" spans="1:10">
      <c r="A1307" s="383"/>
      <c r="B1307" s="383" t="str">
        <f>'LS Shortlist'!B182</f>
        <v>Hubly Surgical _2022</v>
      </c>
      <c r="C1307" s="383" t="str">
        <f>'LS Shortlist'!E182</f>
        <v>Life Sciences</v>
      </c>
      <c r="D1307" s="383" t="str">
        <f>'LS Shortlist'!U182</f>
        <v>Special Reject</v>
      </c>
      <c r="E1307" s="383"/>
      <c r="F1307" s="383"/>
      <c r="G1307" s="383"/>
      <c r="H1307" s="383"/>
      <c r="I1307" s="385" t="b">
        <v>1</v>
      </c>
      <c r="J1307" s="386"/>
    </row>
    <row r="1308" spans="1:10">
      <c r="A1308" s="383"/>
      <c r="B1308" s="383" t="str">
        <f>'LS Shortlist'!B183</f>
        <v>Ischemia Care _2022</v>
      </c>
      <c r="C1308" s="383" t="str">
        <f>'LS Shortlist'!E183</f>
        <v>Life Sciences</v>
      </c>
      <c r="D1308" s="383" t="str">
        <f>'LS Shortlist'!U183</f>
        <v>Special Reject</v>
      </c>
      <c r="E1308" s="383"/>
      <c r="F1308" s="383"/>
      <c r="G1308" s="383"/>
      <c r="H1308" s="383"/>
      <c r="I1308" s="385" t="b">
        <v>1</v>
      </c>
      <c r="J1308" s="386"/>
    </row>
    <row r="1309" spans="1:10">
      <c r="A1309" s="383"/>
      <c r="B1309" s="383" t="str">
        <f>'LS Shortlist'!B184</f>
        <v>Isoprene Pharmaceuticals, Inc. _2022</v>
      </c>
      <c r="C1309" s="383" t="str">
        <f>'LS Shortlist'!E184</f>
        <v>Life Sciences</v>
      </c>
      <c r="D1309" s="383" t="str">
        <f>'LS Shortlist'!U184</f>
        <v>Special Reject</v>
      </c>
      <c r="E1309" s="383"/>
      <c r="F1309" s="383"/>
      <c r="G1309" s="383"/>
      <c r="H1309" s="383"/>
      <c r="I1309" s="385" t="b">
        <v>1</v>
      </c>
      <c r="J1309" s="386"/>
    </row>
    <row r="1310" spans="1:10">
      <c r="A1310" s="383"/>
      <c r="B1310" s="383" t="str">
        <f>'LS Shortlist'!B185</f>
        <v>Kleiner Device Labs _2022</v>
      </c>
      <c r="C1310" s="383" t="str">
        <f>'LS Shortlist'!E185</f>
        <v>Life Sciences</v>
      </c>
      <c r="D1310" s="383" t="str">
        <f>'LS Shortlist'!U185</f>
        <v>Special Reject</v>
      </c>
      <c r="E1310" s="383"/>
      <c r="F1310" s="383"/>
      <c r="G1310" s="383"/>
      <c r="H1310" s="383"/>
      <c r="I1310" s="385" t="b">
        <v>1</v>
      </c>
      <c r="J1310" s="386"/>
    </row>
    <row r="1311" spans="1:10">
      <c r="A1311" s="383"/>
      <c r="B1311" s="383" t="str">
        <f>'LS Shortlist'!B186</f>
        <v>LizarBio Therapeutics _2022</v>
      </c>
      <c r="C1311" s="383" t="str">
        <f>'LS Shortlist'!E186</f>
        <v>Life Sciences</v>
      </c>
      <c r="D1311" s="383" t="str">
        <f>'LS Shortlist'!U186</f>
        <v>Special Reject</v>
      </c>
      <c r="E1311" s="383"/>
      <c r="F1311" s="383"/>
      <c r="G1311" s="383"/>
      <c r="H1311" s="383"/>
      <c r="I1311" s="385" t="b">
        <v>1</v>
      </c>
      <c r="J1311" s="386"/>
    </row>
    <row r="1312" spans="1:10">
      <c r="A1312" s="383"/>
      <c r="B1312" s="383" t="str">
        <f>'LS Shortlist'!B187</f>
        <v>OmniCyte, LLC _2022</v>
      </c>
      <c r="C1312" s="383" t="str">
        <f>'LS Shortlist'!E187</f>
        <v>Life Sciences</v>
      </c>
      <c r="D1312" s="383" t="str">
        <f>'LS Shortlist'!U187</f>
        <v>Special Reject</v>
      </c>
      <c r="E1312" s="383"/>
      <c r="F1312" s="383"/>
      <c r="G1312" s="383"/>
      <c r="H1312" s="383"/>
      <c r="I1312" s="385" t="b">
        <v>1</v>
      </c>
      <c r="J1312" s="386"/>
    </row>
    <row r="1313" spans="1:10">
      <c r="A1313" s="383"/>
      <c r="B1313" s="383" t="str">
        <f>'LS Shortlist'!B188</f>
        <v>Orbit Genomics, Inc. _2022</v>
      </c>
      <c r="C1313" s="383" t="str">
        <f>'LS Shortlist'!E188</f>
        <v>Life Sciences</v>
      </c>
      <c r="D1313" s="383" t="str">
        <f>'LS Shortlist'!U188</f>
        <v>Special Reject</v>
      </c>
      <c r="E1313" s="383"/>
      <c r="F1313" s="383"/>
      <c r="G1313" s="383"/>
      <c r="H1313" s="383"/>
      <c r="I1313" s="385" t="b">
        <v>1</v>
      </c>
      <c r="J1313" s="386"/>
    </row>
    <row r="1314" spans="1:10">
      <c r="A1314" s="383"/>
      <c r="B1314" s="383" t="str">
        <f>'LS Shortlist'!B189</f>
        <v>PRP Concepts, Inc. _2022</v>
      </c>
      <c r="C1314" s="383" t="str">
        <f>'LS Shortlist'!E189</f>
        <v>Life Sciences</v>
      </c>
      <c r="D1314" s="383" t="str">
        <f>'LS Shortlist'!U189</f>
        <v>Special Reject</v>
      </c>
      <c r="E1314" s="383"/>
      <c r="F1314" s="383"/>
      <c r="G1314" s="383"/>
      <c r="H1314" s="383"/>
      <c r="I1314" s="385" t="b">
        <v>1</v>
      </c>
      <c r="J1314" s="386"/>
    </row>
    <row r="1315" spans="1:10">
      <c r="A1315" s="383"/>
      <c r="B1315" s="383" t="str">
        <f>'LS Shortlist'!B190</f>
        <v>Red Arrow Therapeutics, Co. Ltd.  _2022</v>
      </c>
      <c r="C1315" s="383" t="str">
        <f>'LS Shortlist'!E190</f>
        <v>Life Sciences</v>
      </c>
      <c r="D1315" s="383" t="str">
        <f>'LS Shortlist'!U190</f>
        <v>Special Reject</v>
      </c>
      <c r="E1315" s="383"/>
      <c r="F1315" s="383"/>
      <c r="G1315" s="383"/>
      <c r="H1315" s="383"/>
      <c r="I1315" s="385" t="b">
        <v>1</v>
      </c>
      <c r="J1315" s="386"/>
    </row>
    <row r="1316" spans="1:10">
      <c r="A1316" s="383"/>
      <c r="B1316" s="383" t="str">
        <f>'LS Shortlist'!B191</f>
        <v>Scispot.io, Inc.  _2022</v>
      </c>
      <c r="C1316" s="383" t="str">
        <f>'LS Shortlist'!E191</f>
        <v>Life Sciences</v>
      </c>
      <c r="D1316" s="383" t="str">
        <f>'LS Shortlist'!U191</f>
        <v>Special Reject</v>
      </c>
      <c r="E1316" s="383"/>
      <c r="F1316" s="383"/>
      <c r="G1316" s="383"/>
      <c r="H1316" s="383"/>
      <c r="I1316" s="385" t="b">
        <v>1</v>
      </c>
      <c r="J1316" s="386"/>
    </row>
    <row r="1317" spans="1:10">
      <c r="A1317" s="383"/>
      <c r="B1317" s="383" t="str">
        <f>'LS Shortlist'!B192</f>
        <v>EriVan Bio _2022</v>
      </c>
      <c r="C1317" s="383" t="str">
        <f>'LS Shortlist'!E192</f>
        <v>Life Sciences</v>
      </c>
      <c r="D1317" s="383" t="str">
        <f>'LS Shortlist'!U192</f>
        <v>Special Reject</v>
      </c>
      <c r="E1317" s="383"/>
      <c r="F1317" s="383"/>
      <c r="G1317" s="383"/>
      <c r="H1317" s="383"/>
      <c r="I1317" s="385" t="b">
        <v>1</v>
      </c>
      <c r="J1317" s="386"/>
    </row>
    <row r="1318" spans="1:10">
      <c r="A1318" s="383"/>
      <c r="B1318" s="383" t="str">
        <f>'LS Shortlist'!B193</f>
        <v>SPG Therapeutics, Inc.  _2022</v>
      </c>
      <c r="C1318" s="383" t="str">
        <f>'LS Shortlist'!E193</f>
        <v>Life Sciences</v>
      </c>
      <c r="D1318" s="383" t="str">
        <f>'LS Shortlist'!U193</f>
        <v>Special Reject</v>
      </c>
      <c r="E1318" s="383"/>
      <c r="F1318" s="383"/>
      <c r="G1318" s="383"/>
      <c r="H1318" s="383"/>
      <c r="I1318" s="385" t="b">
        <v>1</v>
      </c>
      <c r="J1318" s="386"/>
    </row>
    <row r="1319" spans="1:10">
      <c r="A1319" s="383"/>
      <c r="B1319" s="383" t="str">
        <f>'LS Shortlist'!B194</f>
        <v>Summit Biomedical Imaging _2022</v>
      </c>
      <c r="C1319" s="383" t="str">
        <f>'LS Shortlist'!E194</f>
        <v>Life Sciences</v>
      </c>
      <c r="D1319" s="383" t="str">
        <f>'LS Shortlist'!U194</f>
        <v>Special Reject</v>
      </c>
      <c r="E1319" s="383"/>
      <c r="F1319" s="383"/>
      <c r="G1319" s="383"/>
      <c r="H1319" s="383"/>
      <c r="I1319" s="385" t="b">
        <v>1</v>
      </c>
      <c r="J1319" s="386"/>
    </row>
    <row r="1320" spans="1:10">
      <c r="A1320" s="383"/>
      <c r="B1320" s="383" t="str">
        <f>'LS Shortlist'!B195</f>
        <v>Symphony Biosciences  _2022</v>
      </c>
      <c r="C1320" s="383" t="str">
        <f>'LS Shortlist'!E195</f>
        <v>Life Sciences</v>
      </c>
      <c r="D1320" s="383" t="str">
        <f>'LS Shortlist'!U195</f>
        <v>Special Reject</v>
      </c>
      <c r="E1320" s="383"/>
      <c r="F1320" s="383"/>
      <c r="G1320" s="383"/>
      <c r="H1320" s="383"/>
      <c r="I1320" s="385" t="b">
        <v>1</v>
      </c>
      <c r="J1320" s="386"/>
    </row>
    <row r="1321" spans="1:10">
      <c r="A1321" s="383"/>
      <c r="B1321" s="383" t="str">
        <f>'LS Shortlist'!B196</f>
        <v>VitriVac.com _2022</v>
      </c>
      <c r="C1321" s="383" t="str">
        <f>'LS Shortlist'!E196</f>
        <v>Life Sciences</v>
      </c>
      <c r="D1321" s="383" t="str">
        <f>'LS Shortlist'!U196</f>
        <v>Special Reject</v>
      </c>
      <c r="E1321" s="383"/>
      <c r="F1321" s="383"/>
      <c r="G1321" s="383"/>
      <c r="H1321" s="383"/>
      <c r="I1321" s="385" t="b">
        <v>1</v>
      </c>
      <c r="J1321" s="386"/>
    </row>
    <row r="1322" spans="1:10">
      <c r="A1322" s="383"/>
      <c r="B1322" s="383" t="str">
        <f>'LS Shortlist'!B197</f>
        <v>Allergy Butler _2022</v>
      </c>
      <c r="C1322" s="383" t="str">
        <f>'LS Shortlist'!E197</f>
        <v>Life Sciences</v>
      </c>
      <c r="D1322" s="383" t="str">
        <f>'LS Shortlist'!U197</f>
        <v>Special Reject</v>
      </c>
      <c r="E1322" s="383"/>
      <c r="F1322" s="383"/>
      <c r="G1322" s="383"/>
      <c r="H1322" s="383"/>
      <c r="I1322" s="385" t="b">
        <v>1</v>
      </c>
      <c r="J1322" s="386"/>
    </row>
    <row r="1323" spans="1:10">
      <c r="A1323" s="383"/>
      <c r="B1323" s="383" t="str">
        <f>'LS Shortlist'!B198</f>
        <v>NemaGen Discoveries, INC _2022</v>
      </c>
      <c r="C1323" s="383" t="str">
        <f>'LS Shortlist'!E198</f>
        <v>Life Sciences</v>
      </c>
      <c r="D1323" s="383" t="str">
        <f>'LS Shortlist'!U198</f>
        <v>Special Reject</v>
      </c>
      <c r="E1323" s="383"/>
      <c r="F1323" s="383"/>
      <c r="G1323" s="383"/>
      <c r="H1323" s="383"/>
      <c r="I1323" s="385" t="b">
        <v>1</v>
      </c>
      <c r="J1323" s="386"/>
    </row>
    <row r="1324" spans="1:10">
      <c r="A1324" s="383"/>
      <c r="B1324" s="383" t="str">
        <f>'LS Shortlist'!B199</f>
        <v>QSINGULA DEVELOPMENT FZ-LLC (QSD) _2022</v>
      </c>
      <c r="C1324" s="383" t="str">
        <f>'LS Shortlist'!E199</f>
        <v>Life Sciences</v>
      </c>
      <c r="D1324" s="383" t="str">
        <f>'LS Shortlist'!U199</f>
        <v>Special Reject</v>
      </c>
      <c r="E1324" s="383"/>
      <c r="F1324" s="383"/>
      <c r="G1324" s="383"/>
      <c r="H1324" s="383"/>
      <c r="I1324" s="385" t="b">
        <v>1</v>
      </c>
      <c r="J1324" s="386"/>
    </row>
    <row r="1325" spans="1:10">
      <c r="A1325" s="383"/>
      <c r="B1325" s="383" t="str">
        <f>'LS Shortlist'!B200</f>
        <v>RAADYSAN BIOTECH, INC. _2022</v>
      </c>
      <c r="C1325" s="383" t="str">
        <f>'LS Shortlist'!E200</f>
        <v>Life Sciences</v>
      </c>
      <c r="D1325" s="383" t="str">
        <f>'LS Shortlist'!U200</f>
        <v>Special Reject</v>
      </c>
      <c r="E1325" s="383"/>
      <c r="F1325" s="383"/>
      <c r="G1325" s="383"/>
      <c r="H1325" s="383"/>
      <c r="I1325" s="385" t="b">
        <v>1</v>
      </c>
      <c r="J1325" s="386"/>
    </row>
    <row r="1326" spans="1:10">
      <c r="A1326" s="383"/>
      <c r="B1326" s="383" t="str">
        <f>'LS Shortlist'!B201</f>
        <v>White Rock Therapeutics _2022</v>
      </c>
      <c r="C1326" s="383" t="str">
        <f>'LS Shortlist'!E201</f>
        <v>Life Sciences</v>
      </c>
      <c r="D1326" s="383" t="str">
        <f>'LS Shortlist'!U201</f>
        <v>Special Reject</v>
      </c>
      <c r="E1326" s="383"/>
      <c r="F1326" s="383"/>
      <c r="G1326" s="383"/>
      <c r="H1326" s="383"/>
      <c r="I1326" s="385" t="b">
        <v>1</v>
      </c>
      <c r="J1326" s="386"/>
    </row>
    <row r="1327" spans="1:10">
      <c r="A1327" s="383"/>
      <c r="B1327" s="383" t="str">
        <f>'LS Shortlist'!B202</f>
        <v>Singh Biotechnology, LLC _2022</v>
      </c>
      <c r="C1327" s="383" t="str">
        <f>'LS Shortlist'!E202</f>
        <v>Life Sciences</v>
      </c>
      <c r="D1327" s="383" t="str">
        <f>'LS Shortlist'!U202</f>
        <v>Special Reject</v>
      </c>
      <c r="E1327" s="383"/>
      <c r="F1327" s="383"/>
      <c r="G1327" s="383"/>
      <c r="H1327" s="383"/>
      <c r="I1327" s="385" t="b">
        <v>1</v>
      </c>
      <c r="J1327" s="386"/>
    </row>
    <row r="1328" spans="1:10">
      <c r="A1328" s="383"/>
      <c r="B1328" s="383" t="str">
        <f>'LS Shortlist'!B203</f>
        <v>MDDx, Inc. _2022</v>
      </c>
      <c r="C1328" s="383" t="str">
        <f>'LS Shortlist'!E203</f>
        <v>Life Sciences</v>
      </c>
      <c r="D1328" s="383" t="str">
        <f>'LS Shortlist'!U203</f>
        <v>Special Reject</v>
      </c>
      <c r="E1328" s="383"/>
      <c r="F1328" s="383"/>
      <c r="G1328" s="383"/>
      <c r="H1328" s="383"/>
      <c r="I1328" s="385" t="b">
        <v>1</v>
      </c>
      <c r="J1328" s="386"/>
    </row>
    <row r="1329" spans="1:10">
      <c r="A1329" s="383"/>
      <c r="B1329" s="383" t="str">
        <f>'LS Shortlist'!B204</f>
        <v>Sayenza Biosciences _2022</v>
      </c>
      <c r="C1329" s="383" t="str">
        <f>'LS Shortlist'!E204</f>
        <v>Life Sciences</v>
      </c>
      <c r="D1329" s="383" t="str">
        <f>'LS Shortlist'!U204</f>
        <v>Special Reject</v>
      </c>
      <c r="E1329" s="383"/>
      <c r="F1329" s="383"/>
      <c r="G1329" s="383"/>
      <c r="H1329" s="383"/>
      <c r="I1329" s="385" t="b">
        <v>1</v>
      </c>
      <c r="J1329" s="386"/>
    </row>
    <row r="1330" spans="1:10">
      <c r="A1330" s="383"/>
      <c r="B1330" s="383" t="str">
        <f>'LS Shortlist'!B205</f>
        <v>3 Ridge Technologies _2022</v>
      </c>
      <c r="C1330" s="383" t="str">
        <f>'LS Shortlist'!E205</f>
        <v>Life Sciences</v>
      </c>
      <c r="D1330" s="383" t="str">
        <f>'LS Shortlist'!U205</f>
        <v>Special Reject</v>
      </c>
      <c r="E1330" s="383"/>
      <c r="F1330" s="383"/>
      <c r="G1330" s="383"/>
      <c r="H1330" s="383"/>
      <c r="I1330" s="385" t="b">
        <v>1</v>
      </c>
      <c r="J1330" s="386"/>
    </row>
    <row r="1331" spans="1:10">
      <c r="A1331" s="383"/>
      <c r="B1331" s="383" t="str">
        <f>'LS Shortlist'!B206</f>
        <v>Propelle Therapeutics, Inc. _2022</v>
      </c>
      <c r="C1331" s="383" t="str">
        <f>'LS Shortlist'!E206</f>
        <v>Life Sciences</v>
      </c>
      <c r="D1331" s="383" t="str">
        <f>'LS Shortlist'!U206</f>
        <v>Special Reject</v>
      </c>
      <c r="E1331" s="383"/>
      <c r="F1331" s="383"/>
      <c r="G1331" s="383"/>
      <c r="H1331" s="383"/>
      <c r="I1331" s="385" t="b">
        <v>1</v>
      </c>
      <c r="J1331" s="386"/>
    </row>
    <row r="1332" spans="1:10">
      <c r="A1332" s="383"/>
      <c r="B1332" s="383" t="str">
        <f>'LS Shortlist'!B207</f>
        <v>Lodos Theranostics _2022</v>
      </c>
      <c r="C1332" s="383" t="str">
        <f>'LS Shortlist'!E207</f>
        <v>Life Sciences</v>
      </c>
      <c r="D1332" s="383" t="str">
        <f>'LS Shortlist'!U207</f>
        <v>Special Reject</v>
      </c>
      <c r="E1332" s="383"/>
      <c r="F1332" s="383"/>
      <c r="G1332" s="383"/>
      <c r="H1332" s="383"/>
      <c r="I1332" s="385" t="b">
        <v>1</v>
      </c>
      <c r="J1332" s="386"/>
    </row>
    <row r="1333" spans="1:10">
      <c r="A1333" s="383"/>
      <c r="B1333" s="383" t="str">
        <f>'LS Shortlist'!B208</f>
        <v>Ricovr Healthcare Inc _2022</v>
      </c>
      <c r="C1333" s="383" t="str">
        <f>'LS Shortlist'!E208</f>
        <v>Life Sciences</v>
      </c>
      <c r="D1333" s="383" t="str">
        <f>'LS Shortlist'!U208</f>
        <v>Special Reject</v>
      </c>
      <c r="E1333" s="383"/>
      <c r="F1333" s="383"/>
      <c r="G1333" s="383"/>
      <c r="H1333" s="383"/>
      <c r="I1333" s="385" t="b">
        <v>1</v>
      </c>
      <c r="J1333" s="386"/>
    </row>
    <row r="1334" spans="1:10">
      <c r="A1334" s="383"/>
      <c r="B1334" s="383" t="str">
        <f>'LS Shortlist'!B209</f>
        <v>Providentia Technologies _2022</v>
      </c>
      <c r="C1334" s="383" t="str">
        <f>'LS Shortlist'!E209</f>
        <v>Life Sciences</v>
      </c>
      <c r="D1334" s="383" t="str">
        <f>'LS Shortlist'!U209</f>
        <v>Special Reject</v>
      </c>
      <c r="E1334" s="383"/>
      <c r="F1334" s="383"/>
      <c r="G1334" s="383"/>
      <c r="H1334" s="383"/>
      <c r="I1334" s="385" t="b">
        <v>1</v>
      </c>
      <c r="J1334" s="386"/>
    </row>
    <row r="1335" spans="1:10">
      <c r="A1335" s="383"/>
      <c r="B1335" s="383" t="str">
        <f>'LS Shortlist'!B210</f>
        <v>Ravata Solutions _2022</v>
      </c>
      <c r="C1335" s="383" t="str">
        <f>'LS Shortlist'!E210</f>
        <v>Life Sciences</v>
      </c>
      <c r="D1335" s="383" t="str">
        <f>'LS Shortlist'!U210</f>
        <v>Special Reject</v>
      </c>
      <c r="E1335" s="383"/>
      <c r="F1335" s="383"/>
      <c r="G1335" s="383"/>
      <c r="H1335" s="383"/>
      <c r="I1335" s="385" t="b">
        <v>1</v>
      </c>
      <c r="J1335" s="386"/>
    </row>
    <row r="1336" spans="1:10">
      <c r="A1336" s="383"/>
      <c r="B1336" s="383" t="str">
        <f>'LS Shortlist'!B211</f>
        <v>Sipple Care Inc. _2022</v>
      </c>
      <c r="C1336" s="383" t="str">
        <f>'LS Shortlist'!E211</f>
        <v>Life Sciences</v>
      </c>
      <c r="D1336" s="383" t="str">
        <f>'LS Shortlist'!U211</f>
        <v>Special Reject</v>
      </c>
      <c r="E1336" s="383"/>
      <c r="F1336" s="383"/>
      <c r="G1336" s="383"/>
      <c r="H1336" s="383"/>
      <c r="I1336" s="385" t="b">
        <v>1</v>
      </c>
      <c r="J1336" s="386"/>
    </row>
    <row r="1337" spans="1:10">
      <c r="A1337" s="383"/>
      <c r="B1337" s="383" t="str">
        <f>'LS Shortlist'!B212</f>
        <v>Promise Bio _2022</v>
      </c>
      <c r="C1337" s="383" t="str">
        <f>'LS Shortlist'!E212</f>
        <v>Life Sciences</v>
      </c>
      <c r="D1337" s="383" t="str">
        <f>'LS Shortlist'!U212</f>
        <v>Special Reject</v>
      </c>
      <c r="E1337" s="383"/>
      <c r="F1337" s="383"/>
      <c r="G1337" s="383"/>
      <c r="H1337" s="383"/>
      <c r="I1337" s="385" t="b">
        <v>1</v>
      </c>
      <c r="J1337" s="386"/>
    </row>
    <row r="1338" spans="1:10">
      <c r="A1338" s="383"/>
      <c r="B1338" s="383" t="str">
        <f>'LS Shortlist'!B213</f>
        <v>Ampli _2022</v>
      </c>
      <c r="C1338" s="383" t="str">
        <f>'LS Shortlist'!E213</f>
        <v>Life Sciences</v>
      </c>
      <c r="D1338" s="383" t="str">
        <f>'LS Shortlist'!U213</f>
        <v>Special Reject</v>
      </c>
      <c r="E1338" s="383"/>
      <c r="F1338" s="383"/>
      <c r="G1338" s="383"/>
      <c r="H1338" s="383"/>
      <c r="I1338" s="385" t="b">
        <v>1</v>
      </c>
      <c r="J1338" s="386"/>
    </row>
    <row r="1339" spans="1:10">
      <c r="A1339" s="383"/>
      <c r="B1339" s="383" t="str">
        <f>'LS Shortlist'!B214</f>
        <v>Mana.bio _2022</v>
      </c>
      <c r="C1339" s="383" t="str">
        <f>'LS Shortlist'!E214</f>
        <v>Life Sciences</v>
      </c>
      <c r="D1339" s="383" t="str">
        <f>'LS Shortlist'!U214</f>
        <v>Special Reject</v>
      </c>
      <c r="E1339" s="383"/>
      <c r="F1339" s="383"/>
      <c r="G1339" s="383"/>
      <c r="H1339" s="383"/>
      <c r="I1339" s="385" t="b">
        <v>1</v>
      </c>
      <c r="J1339" s="386"/>
    </row>
    <row r="1340" spans="1:10">
      <c r="A1340" s="383"/>
      <c r="B1340" s="383" t="str">
        <f>'LS Shortlist'!B215</f>
        <v>Periomics Care _2022</v>
      </c>
      <c r="C1340" s="383" t="str">
        <f>'LS Shortlist'!E215</f>
        <v>Life Sciences</v>
      </c>
      <c r="D1340" s="383" t="str">
        <f>'LS Shortlist'!U215</f>
        <v>Special Reject</v>
      </c>
      <c r="E1340" s="383"/>
      <c r="F1340" s="383"/>
      <c r="G1340" s="383"/>
      <c r="H1340" s="383"/>
      <c r="I1340" s="385" t="b">
        <v>1</v>
      </c>
      <c r="J1340" s="386"/>
    </row>
    <row r="1341" spans="1:10">
      <c r="A1341" s="383"/>
      <c r="B1341" s="383" t="str">
        <f>'LS Shortlist'!B216</f>
        <v>Kresko RNAtech _2022</v>
      </c>
      <c r="C1341" s="383" t="str">
        <f>'LS Shortlist'!E216</f>
        <v>Life Sciences</v>
      </c>
      <c r="D1341" s="383" t="str">
        <f>'LS Shortlist'!U216</f>
        <v>Special Reject</v>
      </c>
      <c r="E1341" s="383"/>
      <c r="F1341" s="383"/>
      <c r="G1341" s="383"/>
      <c r="H1341" s="383"/>
      <c r="I1341" s="385" t="b">
        <v>1</v>
      </c>
      <c r="J1341" s="386"/>
    </row>
    <row r="1342" spans="1:10">
      <c r="A1342" s="383"/>
      <c r="B1342" s="383" t="str">
        <f>'LS Shortlist'!B217</f>
        <v>SignPost Cancer Dx Inc. _2022</v>
      </c>
      <c r="C1342" s="383" t="str">
        <f>'LS Shortlist'!E217</f>
        <v>Life Sciences</v>
      </c>
      <c r="D1342" s="383" t="str">
        <f>'LS Shortlist'!U217</f>
        <v>Waitlist</v>
      </c>
      <c r="E1342" s="383"/>
      <c r="F1342" s="383"/>
      <c r="G1342" s="383"/>
      <c r="H1342" s="383"/>
      <c r="I1342" s="385" t="b">
        <v>1</v>
      </c>
      <c r="J1342" s="386"/>
    </row>
    <row r="1343" spans="1:10">
      <c r="A1343" s="383"/>
      <c r="B1343" s="383" t="str">
        <f>'LS Shortlist'!B218</f>
        <v>Ambulero, Inc.  _2022</v>
      </c>
      <c r="C1343" s="383" t="str">
        <f>'LS Shortlist'!E218</f>
        <v>Life Sciences</v>
      </c>
      <c r="D1343" s="383" t="str">
        <f>'LS Shortlist'!U218</f>
        <v>Waitlist</v>
      </c>
      <c r="E1343" s="383"/>
      <c r="F1343" s="383"/>
      <c r="G1343" s="383"/>
      <c r="H1343" s="383"/>
      <c r="I1343" s="385" t="b">
        <v>1</v>
      </c>
      <c r="J1343" s="386"/>
    </row>
    <row r="1344" spans="1:10">
      <c r="A1344" s="383"/>
      <c r="B1344" s="383" t="str">
        <f>'LS Shortlist'!B219</f>
        <v>Arvetas Biosciences, Inc. _2022</v>
      </c>
      <c r="C1344" s="383" t="str">
        <f>'LS Shortlist'!E219</f>
        <v>Life Sciences</v>
      </c>
      <c r="D1344" s="383" t="str">
        <f>'LS Shortlist'!U219</f>
        <v>Waitlist</v>
      </c>
      <c r="E1344" s="383"/>
      <c r="F1344" s="383"/>
      <c r="G1344" s="383"/>
      <c r="H1344" s="383"/>
      <c r="I1344" s="385" t="b">
        <v>1</v>
      </c>
      <c r="J1344" s="386"/>
    </row>
    <row r="1345" spans="1:10">
      <c r="A1345" s="383"/>
      <c r="B1345" s="383" t="str">
        <f>'LS Shortlist'!B220</f>
        <v>Avior Bio Inc. _2022</v>
      </c>
      <c r="C1345" s="383" t="str">
        <f>'LS Shortlist'!E220</f>
        <v>Life Sciences</v>
      </c>
      <c r="D1345" s="383" t="str">
        <f>'LS Shortlist'!U220</f>
        <v>Waitlist</v>
      </c>
      <c r="E1345" s="383"/>
      <c r="F1345" s="383"/>
      <c r="G1345" s="383"/>
      <c r="H1345" s="383"/>
      <c r="I1345" s="385" t="b">
        <v>1</v>
      </c>
      <c r="J1345" s="386"/>
    </row>
    <row r="1346" spans="1:10">
      <c r="A1346" s="383"/>
      <c r="B1346" s="383" t="str">
        <f>'LS Shortlist'!B221</f>
        <v>Cell Harbor _2022</v>
      </c>
      <c r="C1346" s="383" t="str">
        <f>'LS Shortlist'!E221</f>
        <v>Life Sciences</v>
      </c>
      <c r="D1346" s="383" t="str">
        <f>'LS Shortlist'!U221</f>
        <v>Waitlist</v>
      </c>
      <c r="E1346" s="383"/>
      <c r="F1346" s="383"/>
      <c r="G1346" s="383"/>
      <c r="H1346" s="383"/>
      <c r="I1346" s="385" t="b">
        <v>1</v>
      </c>
      <c r="J1346" s="386"/>
    </row>
    <row r="1347" spans="1:10">
      <c r="A1347" s="383"/>
      <c r="B1347" s="383" t="str">
        <f>'LS Shortlist'!B222</f>
        <v>Ossiform _2022</v>
      </c>
      <c r="C1347" s="383" t="str">
        <f>'LS Shortlist'!E222</f>
        <v>Life Sciences</v>
      </c>
      <c r="D1347" s="383" t="str">
        <f>'LS Shortlist'!U222</f>
        <v>Waitlist</v>
      </c>
      <c r="E1347" s="383"/>
      <c r="F1347" s="383"/>
      <c r="G1347" s="383"/>
      <c r="H1347" s="383"/>
      <c r="I1347" s="385" t="b">
        <v>1</v>
      </c>
      <c r="J1347" s="386"/>
    </row>
    <row r="1348" spans="1:10">
      <c r="A1348" s="383"/>
      <c r="B1348" s="383" t="str">
        <f>'LS Shortlist'!B223</f>
        <v>Serenity Bioworks  _2022</v>
      </c>
      <c r="C1348" s="383" t="str">
        <f>'LS Shortlist'!E223</f>
        <v>Life Sciences</v>
      </c>
      <c r="D1348" s="383" t="str">
        <f>'LS Shortlist'!U223</f>
        <v>Waitlist</v>
      </c>
      <c r="E1348" s="383"/>
      <c r="F1348" s="383"/>
      <c r="G1348" s="383"/>
      <c r="H1348" s="383"/>
      <c r="I1348" s="385" t="b">
        <v>1</v>
      </c>
      <c r="J1348" s="386"/>
    </row>
    <row r="1349" spans="1:10">
      <c r="A1349" s="383"/>
      <c r="B1349" s="383" t="str">
        <f>'LS Shortlist'!B224</f>
        <v>CRISP-HR Therapeutics _2022</v>
      </c>
      <c r="C1349" s="383" t="str">
        <f>'LS Shortlist'!E224</f>
        <v>Life Sciences</v>
      </c>
      <c r="D1349" s="383" t="str">
        <f>'LS Shortlist'!U224</f>
        <v>Waitlist</v>
      </c>
      <c r="E1349" s="383"/>
      <c r="F1349" s="383"/>
      <c r="G1349" s="383"/>
      <c r="H1349" s="383"/>
      <c r="I1349" s="385" t="b">
        <v>1</v>
      </c>
      <c r="J1349" s="386"/>
    </row>
    <row r="1350" spans="1:10">
      <c r="A1350" s="383"/>
      <c r="B1350" s="383" t="str">
        <f>'LS Shortlist'!B225</f>
        <v>Helex _2022</v>
      </c>
      <c r="C1350" s="383" t="str">
        <f>'LS Shortlist'!E225</f>
        <v>Life Sciences</v>
      </c>
      <c r="D1350" s="383" t="str">
        <f>'LS Shortlist'!U225</f>
        <v>Waitlist</v>
      </c>
      <c r="E1350" s="383"/>
      <c r="F1350" s="383"/>
      <c r="G1350" s="383"/>
      <c r="H1350" s="383"/>
      <c r="I1350" s="385" t="b">
        <v>1</v>
      </c>
      <c r="J1350" s="386"/>
    </row>
    <row r="1351" spans="1:10">
      <c r="A1351" s="383"/>
      <c r="B1351" s="383" t="str">
        <f>'DT Short List'!A2</f>
        <v>A&amp;K Robotics _2022</v>
      </c>
      <c r="C1351" s="383" t="str">
        <f>'DT Short List'!H2</f>
        <v>Deep Tech</v>
      </c>
      <c r="D1351" s="383" t="str">
        <f>'DT Short List'!F2</f>
        <v>Invite</v>
      </c>
      <c r="E1351" s="383"/>
      <c r="F1351" s="383"/>
      <c r="G1351" s="383"/>
      <c r="H1351" s="383"/>
      <c r="I1351" s="385" t="b">
        <v>1</v>
      </c>
      <c r="J1351" s="386"/>
    </row>
    <row r="1352" spans="1:10">
      <c r="A1352" s="383"/>
      <c r="B1352" s="383" t="str">
        <f>'DT Short List'!A3</f>
        <v>Aequor Inc. _2022</v>
      </c>
      <c r="C1352" s="383" t="str">
        <f>'DT Short List'!H3</f>
        <v>Deep Tech</v>
      </c>
      <c r="D1352" s="383" t="str">
        <f>'DT Short List'!F3</f>
        <v>Invite</v>
      </c>
      <c r="E1352" s="383"/>
      <c r="F1352" s="383"/>
      <c r="G1352" s="383"/>
      <c r="H1352" s="383"/>
      <c r="I1352" s="385" t="b">
        <v>1</v>
      </c>
      <c r="J1352" s="386"/>
    </row>
    <row r="1353" spans="1:10">
      <c r="A1353" s="383"/>
      <c r="B1353" s="383" t="str">
        <f>'DT Short List'!A4</f>
        <v>Aerones Inc _2022</v>
      </c>
      <c r="C1353" s="383" t="str">
        <f>'DT Short List'!H4</f>
        <v>Deep Tech</v>
      </c>
      <c r="D1353" s="383" t="str">
        <f>'DT Short List'!F4</f>
        <v>Invite</v>
      </c>
      <c r="E1353" s="383"/>
      <c r="F1353" s="383"/>
      <c r="G1353" s="383"/>
      <c r="H1353" s="383"/>
      <c r="I1353" s="385" t="b">
        <v>1</v>
      </c>
      <c r="J1353" s="386"/>
    </row>
    <row r="1354" spans="1:10">
      <c r="A1354" s="383"/>
      <c r="B1354" s="383" t="str">
        <f>'DT Short List'!A5</f>
        <v>Alva Health, Inc. _2022</v>
      </c>
      <c r="C1354" s="383" t="str">
        <f>'DT Short List'!H5</f>
        <v>Deep Tech</v>
      </c>
      <c r="D1354" s="383" t="str">
        <f>'DT Short List'!F5</f>
        <v>Invite</v>
      </c>
      <c r="E1354" s="383"/>
      <c r="F1354" s="383"/>
      <c r="G1354" s="383"/>
      <c r="H1354" s="383"/>
      <c r="I1354" s="385" t="b">
        <v>1</v>
      </c>
      <c r="J1354" s="386"/>
    </row>
    <row r="1355" spans="1:10">
      <c r="A1355" s="383"/>
      <c r="B1355" s="383" t="str">
        <f>'DT Short List'!A6</f>
        <v>ArgenTAG _2022</v>
      </c>
      <c r="C1355" s="383" t="str">
        <f>'DT Short List'!H6</f>
        <v>Deep Tech</v>
      </c>
      <c r="D1355" s="383" t="str">
        <f>'DT Short List'!F6</f>
        <v>Invite</v>
      </c>
      <c r="E1355" s="383"/>
      <c r="F1355" s="383"/>
      <c r="G1355" s="383"/>
      <c r="H1355" s="383"/>
      <c r="I1355" s="385" t="b">
        <v>1</v>
      </c>
      <c r="J1355" s="386"/>
    </row>
    <row r="1356" spans="1:10">
      <c r="A1356" s="383"/>
      <c r="B1356" s="383" t="str">
        <f>'DT Short List'!A7</f>
        <v>Automated Architecture Ltd _2022</v>
      </c>
      <c r="C1356" s="383" t="str">
        <f>'DT Short List'!H7</f>
        <v>Deep Tech</v>
      </c>
      <c r="D1356" s="383" t="str">
        <f>'DT Short List'!F7</f>
        <v>Invite</v>
      </c>
      <c r="E1356" s="383"/>
      <c r="F1356" s="383"/>
      <c r="G1356" s="383"/>
      <c r="H1356" s="383"/>
      <c r="I1356" s="385" t="b">
        <v>1</v>
      </c>
      <c r="J1356" s="386"/>
    </row>
    <row r="1357" spans="1:10">
      <c r="A1357" s="383"/>
      <c r="B1357" s="383" t="str">
        <f>'DT Short List'!A8</f>
        <v>LightCode photonics _2022</v>
      </c>
      <c r="C1357" s="383" t="str">
        <f>'DT Short List'!H8</f>
        <v>Deep Tech</v>
      </c>
      <c r="D1357" s="383" t="str">
        <f>'DT Short List'!F8</f>
        <v>Invite</v>
      </c>
      <c r="E1357" s="383"/>
      <c r="F1357" s="383"/>
      <c r="G1357" s="383"/>
      <c r="H1357" s="383"/>
      <c r="I1357" s="385" t="b">
        <v>1</v>
      </c>
      <c r="J1357" s="386"/>
    </row>
    <row r="1358" spans="1:10">
      <c r="A1358" s="383"/>
      <c r="B1358" s="383" t="str">
        <f>'DT Short List'!A9</f>
        <v>Basquevolt SA _2022</v>
      </c>
      <c r="C1358" s="383" t="str">
        <f>'DT Short List'!H9</f>
        <v>Deep Tech</v>
      </c>
      <c r="D1358" s="383" t="str">
        <f>'DT Short List'!F9</f>
        <v>Invite</v>
      </c>
      <c r="E1358" s="383"/>
      <c r="F1358" s="383"/>
      <c r="G1358" s="383"/>
      <c r="H1358" s="383"/>
      <c r="I1358" s="385" t="b">
        <v>1</v>
      </c>
      <c r="J1358" s="386"/>
    </row>
    <row r="1359" spans="1:10">
      <c r="A1359" s="383"/>
      <c r="B1359" s="383" t="str">
        <f>'DT Short List'!A10</f>
        <v>Bleximo Corp. _2022</v>
      </c>
      <c r="C1359" s="383" t="str">
        <f>'DT Short List'!H10</f>
        <v>Deep Tech</v>
      </c>
      <c r="D1359" s="383" t="str">
        <f>'DT Short List'!F10</f>
        <v>Invite</v>
      </c>
      <c r="E1359" s="383"/>
      <c r="F1359" s="383"/>
      <c r="G1359" s="383"/>
      <c r="H1359" s="383"/>
      <c r="I1359" s="385" t="b">
        <v>1</v>
      </c>
      <c r="J1359" s="386"/>
    </row>
    <row r="1360" spans="1:10">
      <c r="A1360" s="383"/>
      <c r="B1360" s="383" t="str">
        <f>'DT Short List'!A11</f>
        <v>bluShift Aerospace _2022</v>
      </c>
      <c r="C1360" s="383" t="str">
        <f>'DT Short List'!H11</f>
        <v>Deep Tech</v>
      </c>
      <c r="D1360" s="383" t="str">
        <f>'DT Short List'!F11</f>
        <v>Invite</v>
      </c>
      <c r="E1360" s="383"/>
      <c r="F1360" s="383"/>
      <c r="G1360" s="383"/>
      <c r="H1360" s="383"/>
      <c r="I1360" s="385" t="b">
        <v>1</v>
      </c>
      <c r="J1360" s="386"/>
    </row>
    <row r="1361" spans="1:10">
      <c r="A1361" s="383"/>
      <c r="B1361" s="383" t="str">
        <f>'DT Short List'!A12</f>
        <v>Bosque Foods _2022</v>
      </c>
      <c r="C1361" s="383" t="str">
        <f>'DT Short List'!H12</f>
        <v>Deep Tech</v>
      </c>
      <c r="D1361" s="383" t="str">
        <f>'DT Short List'!F12</f>
        <v>Invite</v>
      </c>
      <c r="E1361" s="383"/>
      <c r="F1361" s="383"/>
      <c r="G1361" s="383"/>
      <c r="H1361" s="383"/>
      <c r="I1361" s="385" t="b">
        <v>1</v>
      </c>
      <c r="J1361" s="386"/>
    </row>
    <row r="1362" spans="1:10">
      <c r="A1362" s="383"/>
      <c r="B1362" s="383" t="str">
        <f>'DT Short List'!A13</f>
        <v>California Cultured _2022</v>
      </c>
      <c r="C1362" s="383" t="str">
        <f>'DT Short List'!H13</f>
        <v>Deep Tech</v>
      </c>
      <c r="D1362" s="383" t="str">
        <f>'DT Short List'!F13</f>
        <v>Invite</v>
      </c>
      <c r="E1362" s="383"/>
      <c r="F1362" s="383"/>
      <c r="G1362" s="383"/>
      <c r="H1362" s="383"/>
      <c r="I1362" s="385" t="b">
        <v>1</v>
      </c>
      <c r="J1362" s="386"/>
    </row>
    <row r="1363" spans="1:10">
      <c r="A1363" s="383"/>
      <c r="B1363" s="383" t="str">
        <f>'DT Short List'!A14</f>
        <v>ChargeNet Holdings _2022</v>
      </c>
      <c r="C1363" s="383" t="str">
        <f>'DT Short List'!H14</f>
        <v>Deep Tech</v>
      </c>
      <c r="D1363" s="383" t="str">
        <f>'DT Short List'!F14</f>
        <v>Invite</v>
      </c>
      <c r="E1363" s="383"/>
      <c r="F1363" s="383"/>
      <c r="G1363" s="383"/>
      <c r="H1363" s="383"/>
      <c r="I1363" s="385" t="b">
        <v>1</v>
      </c>
      <c r="J1363" s="386"/>
    </row>
    <row r="1364" spans="1:10">
      <c r="A1364" s="383"/>
      <c r="B1364" s="383" t="str">
        <f>'DT Short List'!A15</f>
        <v>Chargewheel Co. _2022</v>
      </c>
      <c r="C1364" s="383" t="str">
        <f>'DT Short List'!H15</f>
        <v>Deep Tech</v>
      </c>
      <c r="D1364" s="383" t="str">
        <f>'DT Short List'!F15</f>
        <v>Invite</v>
      </c>
      <c r="E1364" s="383"/>
      <c r="F1364" s="383"/>
      <c r="G1364" s="383"/>
      <c r="H1364" s="383"/>
      <c r="I1364" s="385" t="b">
        <v>1</v>
      </c>
      <c r="J1364" s="386"/>
    </row>
    <row r="1365" spans="1:10">
      <c r="A1365" s="383"/>
      <c r="B1365" s="383" t="str">
        <f>'DT Short List'!A16</f>
        <v>DELIVERS.AI _2022</v>
      </c>
      <c r="C1365" s="383" t="str">
        <f>'DT Short List'!H16</f>
        <v>Deep Tech</v>
      </c>
      <c r="D1365" s="383" t="str">
        <f>'DT Short List'!F16</f>
        <v>Invite</v>
      </c>
      <c r="E1365" s="383"/>
      <c r="F1365" s="383"/>
      <c r="G1365" s="383"/>
      <c r="H1365" s="383"/>
      <c r="I1365" s="385" t="b">
        <v>1</v>
      </c>
      <c r="J1365" s="386"/>
    </row>
    <row r="1366" spans="1:10">
      <c r="A1366" s="383"/>
      <c r="B1366" s="383" t="str">
        <f>'DT Short List'!A17</f>
        <v>Encora Therapeutics _2022</v>
      </c>
      <c r="C1366" s="383" t="str">
        <f>'DT Short List'!H17</f>
        <v>Deep Tech</v>
      </c>
      <c r="D1366" s="383" t="str">
        <f>'DT Short List'!F17</f>
        <v>Invite</v>
      </c>
      <c r="E1366" s="383"/>
      <c r="F1366" s="383"/>
      <c r="G1366" s="383"/>
      <c r="H1366" s="383"/>
      <c r="I1366" s="385" t="b">
        <v>1</v>
      </c>
      <c r="J1366" s="386"/>
    </row>
    <row r="1367" spans="1:10">
      <c r="A1367" s="383"/>
      <c r="B1367" s="383" t="str">
        <f>'DT Short List'!A18</f>
        <v>Enteligent Inc. _2022</v>
      </c>
      <c r="C1367" s="383" t="str">
        <f>'DT Short List'!H18</f>
        <v>Deep Tech</v>
      </c>
      <c r="D1367" s="383" t="str">
        <f>'DT Short List'!F18</f>
        <v>Invite</v>
      </c>
      <c r="E1367" s="383"/>
      <c r="F1367" s="383"/>
      <c r="G1367" s="383"/>
      <c r="H1367" s="383"/>
      <c r="I1367" s="385" t="b">
        <v>1</v>
      </c>
      <c r="J1367" s="386"/>
    </row>
    <row r="1368" spans="1:10">
      <c r="A1368" s="383"/>
      <c r="B1368" s="383" t="str">
        <f>'DT Short List'!A19</f>
        <v>Entoprotech Ltd _2022</v>
      </c>
      <c r="C1368" s="383" t="str">
        <f>'DT Short List'!H19</f>
        <v>Deep Tech</v>
      </c>
      <c r="D1368" s="383" t="str">
        <f>'DT Short List'!F19</f>
        <v>Invite</v>
      </c>
      <c r="E1368" s="383"/>
      <c r="F1368" s="383"/>
      <c r="G1368" s="383"/>
      <c r="H1368" s="383"/>
      <c r="I1368" s="385" t="b">
        <v>1</v>
      </c>
      <c r="J1368" s="386"/>
    </row>
    <row r="1369" spans="1:10">
      <c r="A1369" s="383"/>
      <c r="B1369" s="383" t="str">
        <f>'DT Short List'!A20</f>
        <v>Flying Ship Technologies, Corp. _2022</v>
      </c>
      <c r="C1369" s="383" t="str">
        <f>'DT Short List'!H20</f>
        <v>Deep Tech</v>
      </c>
      <c r="D1369" s="383" t="str">
        <f>'DT Short List'!F20</f>
        <v>Invite</v>
      </c>
      <c r="E1369" s="383"/>
      <c r="F1369" s="383"/>
      <c r="G1369" s="383"/>
      <c r="H1369" s="383"/>
      <c r="I1369" s="385" t="b">
        <v>1</v>
      </c>
      <c r="J1369" s="386"/>
    </row>
    <row r="1370" spans="1:10">
      <c r="A1370" s="383"/>
      <c r="B1370" s="383" t="str">
        <f>'DT Short List'!A21</f>
        <v>H Quest Vanguard, Inc. _2022</v>
      </c>
      <c r="C1370" s="383" t="str">
        <f>'DT Short List'!H21</f>
        <v>Deep Tech</v>
      </c>
      <c r="D1370" s="383" t="str">
        <f>'DT Short List'!F21</f>
        <v>Invite</v>
      </c>
      <c r="E1370" s="383"/>
      <c r="F1370" s="383"/>
      <c r="G1370" s="383"/>
      <c r="H1370" s="383"/>
      <c r="I1370" s="385" t="b">
        <v>1</v>
      </c>
      <c r="J1370" s="386"/>
    </row>
    <row r="1371" spans="1:10">
      <c r="A1371" s="383"/>
      <c r="B1371" s="383" t="str">
        <f>'DT Short List'!A22</f>
        <v>Helico Bio  _2022</v>
      </c>
      <c r="C1371" s="383" t="str">
        <f>'DT Short List'!H22</f>
        <v>Deep Tech</v>
      </c>
      <c r="D1371" s="383" t="str">
        <f>'DT Short List'!F22</f>
        <v>Invite</v>
      </c>
      <c r="E1371" s="383"/>
      <c r="F1371" s="383"/>
      <c r="G1371" s="383"/>
      <c r="H1371" s="383"/>
      <c r="I1371" s="385" t="b">
        <v>1</v>
      </c>
      <c r="J1371" s="386"/>
    </row>
    <row r="1372" spans="1:10">
      <c r="A1372" s="383"/>
      <c r="B1372" s="383" t="str">
        <f>'DT Short List'!A23</f>
        <v>Innatrix Inc. _2022</v>
      </c>
      <c r="C1372" s="383" t="str">
        <f>'DT Short List'!H23</f>
        <v>Deep Tech</v>
      </c>
      <c r="D1372" s="383" t="str">
        <f>'DT Short List'!F23</f>
        <v>Invite</v>
      </c>
      <c r="E1372" s="383"/>
      <c r="F1372" s="383"/>
      <c r="G1372" s="383"/>
      <c r="H1372" s="383"/>
      <c r="I1372" s="385" t="b">
        <v>1</v>
      </c>
      <c r="J1372" s="386"/>
    </row>
    <row r="1373" spans="1:10">
      <c r="A1373" s="383"/>
      <c r="B1373" s="383" t="str">
        <f>'DT Short List'!A24</f>
        <v>JelikaLite Corp _2022</v>
      </c>
      <c r="C1373" s="383" t="str">
        <f>'DT Short List'!H24</f>
        <v>Deep Tech</v>
      </c>
      <c r="D1373" s="383" t="str">
        <f>'DT Short List'!F24</f>
        <v>Invite</v>
      </c>
      <c r="E1373" s="383"/>
      <c r="F1373" s="383"/>
      <c r="G1373" s="383"/>
      <c r="H1373" s="383"/>
      <c r="I1373" s="385" t="b">
        <v>1</v>
      </c>
      <c r="J1373" s="386"/>
    </row>
    <row r="1374" spans="1:10">
      <c r="A1374" s="383"/>
      <c r="B1374" s="383" t="str">
        <f>'DT Short List'!A25</f>
        <v>Kyomei _2022</v>
      </c>
      <c r="C1374" s="383" t="str">
        <f>'DT Short List'!H25</f>
        <v>Deep Tech</v>
      </c>
      <c r="D1374" s="383" t="str">
        <f>'DT Short List'!F25</f>
        <v>Invite</v>
      </c>
      <c r="E1374" s="383"/>
      <c r="F1374" s="383"/>
      <c r="G1374" s="383"/>
      <c r="H1374" s="383"/>
      <c r="I1374" s="385" t="b">
        <v>1</v>
      </c>
      <c r="J1374" s="386"/>
    </row>
    <row r="1375" spans="1:10">
      <c r="A1375" s="383"/>
      <c r="B1375" s="383" t="str">
        <f>'DT Short List'!A26</f>
        <v>LEVEL 42 AI, INC _2022</v>
      </c>
      <c r="C1375" s="383" t="str">
        <f>'DT Short List'!H26</f>
        <v>Deep Tech</v>
      </c>
      <c r="D1375" s="383" t="str">
        <f>'DT Short List'!F26</f>
        <v>Invite</v>
      </c>
      <c r="E1375" s="383"/>
      <c r="F1375" s="383"/>
      <c r="G1375" s="383"/>
      <c r="H1375" s="383"/>
      <c r="I1375" s="385" t="b">
        <v>1</v>
      </c>
      <c r="J1375" s="386"/>
    </row>
    <row r="1376" spans="1:10">
      <c r="A1376" s="383"/>
      <c r="B1376" s="383" t="str">
        <f>'DT Short List'!A27</f>
        <v>LuftCar LLC _2022</v>
      </c>
      <c r="C1376" s="383" t="str">
        <f>'DT Short List'!H27</f>
        <v>Deep Tech</v>
      </c>
      <c r="D1376" s="383" t="str">
        <f>'DT Short List'!F27</f>
        <v>Invite</v>
      </c>
      <c r="E1376" s="383"/>
      <c r="F1376" s="383"/>
      <c r="G1376" s="383"/>
      <c r="H1376" s="383"/>
      <c r="I1376" s="385" t="b">
        <v>1</v>
      </c>
      <c r="J1376" s="386"/>
    </row>
    <row r="1377" spans="1:10">
      <c r="A1377" s="383"/>
      <c r="B1377" s="383" t="str">
        <f>'DT Short List'!A28</f>
        <v>Lumirithmic Limited _2022</v>
      </c>
      <c r="C1377" s="383" t="str">
        <f>'DT Short List'!H28</f>
        <v>Deep Tech</v>
      </c>
      <c r="D1377" s="383" t="str">
        <f>'DT Short List'!F28</f>
        <v>Invite</v>
      </c>
      <c r="E1377" s="383"/>
      <c r="F1377" s="383"/>
      <c r="G1377" s="383"/>
      <c r="H1377" s="383"/>
      <c r="I1377" s="385" t="b">
        <v>1</v>
      </c>
      <c r="J1377" s="386"/>
    </row>
    <row r="1378" spans="1:10">
      <c r="A1378" s="383"/>
      <c r="B1378" s="383" t="str">
        <f>'DT Short List'!A29</f>
        <v>LumosTech, Inc. _2022</v>
      </c>
      <c r="C1378" s="383" t="str">
        <f>'DT Short List'!H29</f>
        <v>Deep Tech</v>
      </c>
      <c r="D1378" s="383" t="str">
        <f>'DT Short List'!F29</f>
        <v>Invite</v>
      </c>
      <c r="E1378" s="383"/>
      <c r="F1378" s="383"/>
      <c r="G1378" s="383"/>
      <c r="H1378" s="383"/>
      <c r="I1378" s="385" t="b">
        <v>1</v>
      </c>
      <c r="J1378" s="386"/>
    </row>
    <row r="1379" spans="1:10">
      <c r="A1379" s="383"/>
      <c r="B1379" s="383" t="str">
        <f>'DT Short List'!A30</f>
        <v>MarsCharge, Inc. _2022</v>
      </c>
      <c r="C1379" s="383" t="str">
        <f>'DT Short List'!H30</f>
        <v>Deep Tech</v>
      </c>
      <c r="D1379" s="383" t="str">
        <f>'DT Short List'!F30</f>
        <v>Invite</v>
      </c>
      <c r="E1379" s="383"/>
      <c r="F1379" s="383"/>
      <c r="G1379" s="383"/>
      <c r="H1379" s="383"/>
      <c r="I1379" s="385" t="b">
        <v>1</v>
      </c>
      <c r="J1379" s="386"/>
    </row>
    <row r="1380" spans="1:10">
      <c r="A1380" s="383"/>
      <c r="B1380" s="383" t="str">
        <f>'DT Short List'!A31</f>
        <v>Metalmark Innovations PBC _2022</v>
      </c>
      <c r="C1380" s="383" t="str">
        <f>'DT Short List'!H31</f>
        <v>Deep Tech</v>
      </c>
      <c r="D1380" s="383" t="str">
        <f>'DT Short List'!F31</f>
        <v>Invite</v>
      </c>
      <c r="E1380" s="383"/>
      <c r="F1380" s="383"/>
      <c r="G1380" s="383"/>
      <c r="H1380" s="383"/>
      <c r="I1380" s="385" t="b">
        <v>1</v>
      </c>
      <c r="J1380" s="386"/>
    </row>
    <row r="1381" spans="1:10">
      <c r="A1381" s="383"/>
      <c r="B1381" s="383" t="str">
        <f>'DT Short List'!A32</f>
        <v>Novac _2022</v>
      </c>
      <c r="C1381" s="383" t="str">
        <f>'DT Short List'!H32</f>
        <v>Deep Tech</v>
      </c>
      <c r="D1381" s="383" t="str">
        <f>'DT Short List'!F32</f>
        <v>Invite</v>
      </c>
      <c r="E1381" s="383"/>
      <c r="F1381" s="383"/>
      <c r="G1381" s="383"/>
      <c r="H1381" s="383"/>
      <c r="I1381" s="385" t="b">
        <v>1</v>
      </c>
      <c r="J1381" s="386"/>
    </row>
    <row r="1382" spans="1:10">
      <c r="A1382" s="383"/>
      <c r="B1382" s="383" t="str">
        <f>'DT Short List'!A33</f>
        <v>NTherma Corporation _2022</v>
      </c>
      <c r="C1382" s="383" t="str">
        <f>'DT Short List'!H33</f>
        <v>Deep Tech</v>
      </c>
      <c r="D1382" s="383" t="str">
        <f>'DT Short List'!F33</f>
        <v>Invite</v>
      </c>
      <c r="E1382" s="383"/>
      <c r="F1382" s="383"/>
      <c r="G1382" s="383"/>
      <c r="H1382" s="383"/>
      <c r="I1382" s="385" t="b">
        <v>1</v>
      </c>
      <c r="J1382" s="386"/>
    </row>
    <row r="1383" spans="1:10">
      <c r="A1383" s="383"/>
      <c r="B1383" s="383" t="str">
        <f>'DT Short List'!A34</f>
        <v>Odqa Renewable Energy Technologies Limited _2022</v>
      </c>
      <c r="C1383" s="383" t="str">
        <f>'DT Short List'!H34</f>
        <v>Deep Tech</v>
      </c>
      <c r="D1383" s="383" t="str">
        <f>'DT Short List'!F34</f>
        <v>Invite</v>
      </c>
      <c r="E1383" s="383"/>
      <c r="F1383" s="383"/>
      <c r="G1383" s="383"/>
      <c r="H1383" s="383"/>
      <c r="I1383" s="385" t="b">
        <v>1</v>
      </c>
      <c r="J1383" s="386"/>
    </row>
    <row r="1384" spans="1:10">
      <c r="A1384" s="383"/>
      <c r="B1384" s="383" t="str">
        <f>'DT Short List'!A35</f>
        <v>Olympian Motors _2022</v>
      </c>
      <c r="C1384" s="383" t="str">
        <f>'DT Short List'!H35</f>
        <v>Deep Tech</v>
      </c>
      <c r="D1384" s="383" t="str">
        <f>'DT Short List'!F35</f>
        <v>Invite</v>
      </c>
      <c r="E1384" s="383"/>
      <c r="F1384" s="383"/>
      <c r="G1384" s="383"/>
      <c r="H1384" s="383"/>
      <c r="I1384" s="385" t="b">
        <v>1</v>
      </c>
      <c r="J1384" s="386"/>
    </row>
    <row r="1385" spans="1:10">
      <c r="A1385" s="383"/>
      <c r="B1385" s="383" t="str">
        <f>'DT Short List'!A36</f>
        <v>Panhwar Jet _2022</v>
      </c>
      <c r="C1385" s="383" t="str">
        <f>'DT Short List'!H36</f>
        <v>Deep Tech</v>
      </c>
      <c r="D1385" s="383" t="str">
        <f>'DT Short List'!F36</f>
        <v>Invite</v>
      </c>
      <c r="E1385" s="383"/>
      <c r="F1385" s="383"/>
      <c r="G1385" s="383"/>
      <c r="H1385" s="383"/>
      <c r="I1385" s="385" t="b">
        <v>1</v>
      </c>
      <c r="J1385" s="386"/>
    </row>
    <row r="1386" spans="1:10">
      <c r="A1386" s="383"/>
      <c r="B1386" s="383" t="str">
        <f>'DT Short List'!A37</f>
        <v>PeroLED _2022</v>
      </c>
      <c r="C1386" s="383" t="str">
        <f>'DT Short List'!H37</f>
        <v>Deep Tech</v>
      </c>
      <c r="D1386" s="383" t="str">
        <f>'DT Short List'!F37</f>
        <v>Invite</v>
      </c>
      <c r="E1386" s="383"/>
      <c r="F1386" s="383"/>
      <c r="G1386" s="383"/>
      <c r="H1386" s="383"/>
      <c r="I1386" s="385" t="b">
        <v>1</v>
      </c>
      <c r="J1386" s="386"/>
    </row>
    <row r="1387" spans="1:10">
      <c r="A1387" s="383"/>
      <c r="B1387" s="383" t="str">
        <f>'DT Short List'!A38</f>
        <v>Pharmor _2022</v>
      </c>
      <c r="C1387" s="383" t="str">
        <f>'DT Short List'!H38</f>
        <v>Deep Tech</v>
      </c>
      <c r="D1387" s="383" t="str">
        <f>'DT Short List'!F38</f>
        <v>Invite</v>
      </c>
      <c r="E1387" s="383"/>
      <c r="F1387" s="383"/>
      <c r="G1387" s="383"/>
      <c r="H1387" s="383"/>
      <c r="I1387" s="385" t="b">
        <v>1</v>
      </c>
      <c r="J1387" s="386"/>
    </row>
    <row r="1388" spans="1:10">
      <c r="A1388" s="383"/>
      <c r="B1388" s="383" t="str">
        <f>'DT Short List'!A39</f>
        <v>Photon Vault _2022</v>
      </c>
      <c r="C1388" s="383" t="str">
        <f>'DT Short List'!H39</f>
        <v>Deep Tech</v>
      </c>
      <c r="D1388" s="383" t="str">
        <f>'DT Short List'!F39</f>
        <v>Invite</v>
      </c>
      <c r="E1388" s="383"/>
      <c r="F1388" s="383"/>
      <c r="G1388" s="383"/>
      <c r="H1388" s="383"/>
      <c r="I1388" s="385" t="b">
        <v>1</v>
      </c>
      <c r="J1388" s="386"/>
    </row>
    <row r="1389" spans="1:10">
      <c r="A1389" s="383"/>
      <c r="B1389" s="383" t="str">
        <f>'DT Short List'!A40</f>
        <v>PlantSwitch _2022</v>
      </c>
      <c r="C1389" s="383" t="str">
        <f>'DT Short List'!H40</f>
        <v>Deep Tech</v>
      </c>
      <c r="D1389" s="383" t="str">
        <f>'DT Short List'!F40</f>
        <v>Invite</v>
      </c>
      <c r="E1389" s="383"/>
      <c r="F1389" s="383"/>
      <c r="G1389" s="383"/>
      <c r="H1389" s="383"/>
      <c r="I1389" s="385" t="b">
        <v>1</v>
      </c>
      <c r="J1389" s="386"/>
    </row>
    <row r="1390" spans="1:10">
      <c r="A1390" s="383"/>
      <c r="B1390" s="383" t="str">
        <f>'DT Short List'!A41</f>
        <v>PONS _2022</v>
      </c>
      <c r="C1390" s="383" t="str">
        <f>'DT Short List'!H41</f>
        <v>Deep Tech</v>
      </c>
      <c r="D1390" s="383" t="str">
        <f>'DT Short List'!F41</f>
        <v>Invite</v>
      </c>
      <c r="E1390" s="383"/>
      <c r="F1390" s="383"/>
      <c r="G1390" s="383"/>
      <c r="H1390" s="383"/>
      <c r="I1390" s="385" t="b">
        <v>1</v>
      </c>
      <c r="J1390" s="386"/>
    </row>
    <row r="1391" spans="1:10">
      <c r="A1391" s="383"/>
      <c r="B1391" s="383" t="str">
        <f>'DT Short List'!A42</f>
        <v>Pulsenics _2022</v>
      </c>
      <c r="C1391" s="383" t="str">
        <f>'DT Short List'!H42</f>
        <v>Digital Tech</v>
      </c>
      <c r="D1391" s="383" t="str">
        <f>'DT Short List'!F42</f>
        <v>Invite</v>
      </c>
      <c r="E1391" s="383"/>
      <c r="F1391" s="383"/>
      <c r="G1391" s="383"/>
      <c r="H1391" s="383"/>
      <c r="I1391" s="385" t="b">
        <v>1</v>
      </c>
      <c r="J1391" s="386"/>
    </row>
    <row r="1392" spans="1:10">
      <c r="A1392" s="383"/>
      <c r="B1392" s="383" t="str">
        <f>'DT Short List'!A43</f>
        <v>Qlimate LLC _2022</v>
      </c>
      <c r="C1392" s="383" t="str">
        <f>'DT Short List'!H43</f>
        <v>Deep Tech</v>
      </c>
      <c r="D1392" s="383" t="str">
        <f>'DT Short List'!F43</f>
        <v>Invite</v>
      </c>
      <c r="E1392" s="383"/>
      <c r="F1392" s="383"/>
      <c r="G1392" s="383"/>
      <c r="H1392" s="383"/>
      <c r="I1392" s="385" t="b">
        <v>1</v>
      </c>
      <c r="J1392" s="386"/>
    </row>
    <row r="1393" spans="1:10">
      <c r="A1393" s="383"/>
      <c r="B1393" s="383" t="str">
        <f>'DT Short List'!A44</f>
        <v>REEV _2022</v>
      </c>
      <c r="C1393" s="383" t="str">
        <f>'DT Short List'!H44</f>
        <v>Deep Tech</v>
      </c>
      <c r="D1393" s="383" t="str">
        <f>'DT Short List'!F44</f>
        <v>Invite</v>
      </c>
      <c r="E1393" s="383"/>
      <c r="F1393" s="383"/>
      <c r="G1393" s="383"/>
      <c r="H1393" s="383"/>
      <c r="I1393" s="385" t="b">
        <v>1</v>
      </c>
      <c r="J1393" s="386"/>
    </row>
    <row r="1394" spans="1:10">
      <c r="A1394" s="383"/>
      <c r="B1394" s="383" t="str">
        <f>'DT Short List'!A45</f>
        <v>RevivBio Inc _2022</v>
      </c>
      <c r="C1394" s="383" t="str">
        <f>'DT Short List'!H45</f>
        <v>Deep Tech</v>
      </c>
      <c r="D1394" s="383" t="str">
        <f>'DT Short List'!F45</f>
        <v>Invite</v>
      </c>
      <c r="E1394" s="383"/>
      <c r="F1394" s="383"/>
      <c r="G1394" s="383"/>
      <c r="H1394" s="383"/>
      <c r="I1394" s="385" t="b">
        <v>1</v>
      </c>
      <c r="J1394" s="386"/>
    </row>
    <row r="1395" spans="1:10">
      <c r="A1395" s="383"/>
      <c r="B1395" s="383" t="str">
        <f>'DT Short List'!A46</f>
        <v>Silicon Technologies, Inc. _2022</v>
      </c>
      <c r="C1395" s="383" t="str">
        <f>'DT Short List'!H46</f>
        <v>Deep Tech</v>
      </c>
      <c r="D1395" s="383" t="str">
        <f>'DT Short List'!F46</f>
        <v>Invite</v>
      </c>
      <c r="E1395" s="383"/>
      <c r="F1395" s="383"/>
      <c r="G1395" s="383"/>
      <c r="H1395" s="383"/>
      <c r="I1395" s="385" t="b">
        <v>1</v>
      </c>
      <c r="J1395" s="386"/>
    </row>
    <row r="1396" spans="1:10">
      <c r="A1396" s="383"/>
      <c r="B1396" s="383" t="str">
        <f>'DT Short List'!A47</f>
        <v>Skyhook Solar Corp. _2022</v>
      </c>
      <c r="C1396" s="383" t="str">
        <f>'DT Short List'!H47</f>
        <v>Deep Tech</v>
      </c>
      <c r="D1396" s="383" t="str">
        <f>'DT Short List'!F47</f>
        <v>Invite</v>
      </c>
      <c r="E1396" s="383"/>
      <c r="F1396" s="383"/>
      <c r="G1396" s="383"/>
      <c r="H1396" s="383"/>
      <c r="I1396" s="385" t="b">
        <v>1</v>
      </c>
      <c r="J1396" s="386"/>
    </row>
    <row r="1397" spans="1:10">
      <c r="A1397" s="383"/>
      <c r="B1397" s="383" t="str">
        <f>'DT Short List'!A48</f>
        <v>Solaires Entreprises Inc _2022</v>
      </c>
      <c r="C1397" s="383" t="str">
        <f>'DT Short List'!H48</f>
        <v>Deep Tech</v>
      </c>
      <c r="D1397" s="383" t="str">
        <f>'DT Short List'!F48</f>
        <v>Invite</v>
      </c>
      <c r="E1397" s="383"/>
      <c r="F1397" s="383"/>
      <c r="G1397" s="383"/>
      <c r="H1397" s="383"/>
      <c r="I1397" s="385" t="b">
        <v>1</v>
      </c>
      <c r="J1397" s="386"/>
    </row>
    <row r="1398" spans="1:10">
      <c r="A1398" s="383"/>
      <c r="B1398" s="383" t="str">
        <f>'DT Short List'!A49</f>
        <v>syGlass, Inc _2022</v>
      </c>
      <c r="C1398" s="383" t="str">
        <f>'DT Short List'!H49</f>
        <v>Deep Tech</v>
      </c>
      <c r="D1398" s="383" t="str">
        <f>'DT Short List'!F49</f>
        <v>Invite</v>
      </c>
      <c r="E1398" s="383"/>
      <c r="F1398" s="383"/>
      <c r="G1398" s="383"/>
      <c r="H1398" s="383"/>
      <c r="I1398" s="385" t="b">
        <v>1</v>
      </c>
      <c r="J1398" s="386"/>
    </row>
    <row r="1399" spans="1:10">
      <c r="A1399" s="383"/>
      <c r="B1399" s="383" t="str">
        <f>'DT Short List'!A50</f>
        <v>Terecircuits Corporation _2022</v>
      </c>
      <c r="C1399" s="383" t="str">
        <f>'DT Short List'!H50</f>
        <v>Deep Tech</v>
      </c>
      <c r="D1399" s="383" t="str">
        <f>'DT Short List'!F50</f>
        <v>Invite</v>
      </c>
      <c r="E1399" s="383"/>
      <c r="F1399" s="383"/>
      <c r="G1399" s="383"/>
      <c r="H1399" s="383"/>
      <c r="I1399" s="385" t="b">
        <v>1</v>
      </c>
      <c r="J1399" s="386"/>
    </row>
    <row r="1400" spans="1:10">
      <c r="A1400" s="383"/>
      <c r="B1400" s="383" t="str">
        <f>'DT Short List'!A51</f>
        <v>Turion Space _2022</v>
      </c>
      <c r="C1400" s="383" t="str">
        <f>'DT Short List'!H51</f>
        <v>Deep Tech</v>
      </c>
      <c r="D1400" s="383" t="str">
        <f>'DT Short List'!F51</f>
        <v>Invite</v>
      </c>
      <c r="E1400" s="383"/>
      <c r="F1400" s="383"/>
      <c r="G1400" s="383"/>
      <c r="H1400" s="383"/>
      <c r="I1400" s="385" t="b">
        <v>1</v>
      </c>
      <c r="J1400" s="386"/>
    </row>
    <row r="1401" spans="1:10">
      <c r="A1401" s="383"/>
      <c r="B1401" s="383" t="str">
        <f>'DT Short List'!A52</f>
        <v>Undesert Corporation _2022</v>
      </c>
      <c r="C1401" s="383" t="str">
        <f>'DT Short List'!H52</f>
        <v>Deep Tech</v>
      </c>
      <c r="D1401" s="383" t="str">
        <f>'DT Short List'!F52</f>
        <v>Invite</v>
      </c>
      <c r="E1401" s="383"/>
      <c r="F1401" s="383"/>
      <c r="G1401" s="383"/>
      <c r="H1401" s="383"/>
      <c r="I1401" s="385" t="b">
        <v>1</v>
      </c>
      <c r="J1401" s="386"/>
    </row>
    <row r="1402" spans="1:10">
      <c r="A1402" s="383"/>
      <c r="B1402" s="383" t="str">
        <f>'DT Short List'!A53</f>
        <v>VentriFlo, Inc. _2022</v>
      </c>
      <c r="C1402" s="383" t="str">
        <f>'DT Short List'!H53</f>
        <v>Deep Tech</v>
      </c>
      <c r="D1402" s="383" t="str">
        <f>'DT Short List'!F53</f>
        <v>Invite</v>
      </c>
      <c r="E1402" s="383"/>
      <c r="F1402" s="383"/>
      <c r="G1402" s="383"/>
      <c r="H1402" s="383"/>
      <c r="I1402" s="385" t="b">
        <v>1</v>
      </c>
      <c r="J1402" s="386"/>
    </row>
    <row r="1403" spans="1:10">
      <c r="A1403" s="383"/>
      <c r="B1403" s="383" t="str">
        <f>'DT Short List'!A54</f>
        <v>Vici Robotics _2022</v>
      </c>
      <c r="C1403" s="383" t="str">
        <f>'DT Short List'!H54</f>
        <v>Deep Tech</v>
      </c>
      <c r="D1403" s="383" t="str">
        <f>'DT Short List'!F54</f>
        <v>Invite</v>
      </c>
      <c r="E1403" s="383"/>
      <c r="F1403" s="383"/>
      <c r="G1403" s="383"/>
      <c r="H1403" s="383"/>
      <c r="I1403" s="385" t="b">
        <v>1</v>
      </c>
      <c r="J1403" s="386"/>
    </row>
    <row r="1404" spans="1:10">
      <c r="A1404" s="383"/>
      <c r="B1404" s="383" t="str">
        <f>'DT Short List'!A55</f>
        <v>Violett _2022</v>
      </c>
      <c r="C1404" s="383" t="str">
        <f>'DT Short List'!H55</f>
        <v>Deep Tech</v>
      </c>
      <c r="D1404" s="383" t="str">
        <f>'DT Short List'!F55</f>
        <v>Invite</v>
      </c>
      <c r="E1404" s="383"/>
      <c r="F1404" s="383"/>
      <c r="G1404" s="383"/>
      <c r="H1404" s="383"/>
      <c r="I1404" s="385" t="b">
        <v>1</v>
      </c>
      <c r="J1404" s="386"/>
    </row>
    <row r="1405" spans="1:10">
      <c r="A1405" s="383"/>
      <c r="B1405" s="383" t="str">
        <f>'DT Short List'!A56</f>
        <v>WiPowerOne _2022</v>
      </c>
      <c r="C1405" s="383" t="str">
        <f>'DT Short List'!H56</f>
        <v>Deep Tech</v>
      </c>
      <c r="D1405" s="383" t="str">
        <f>'DT Short List'!F56</f>
        <v>Invite</v>
      </c>
      <c r="E1405" s="383"/>
      <c r="F1405" s="383"/>
      <c r="G1405" s="383"/>
      <c r="H1405" s="383"/>
      <c r="I1405" s="385" t="b">
        <v>1</v>
      </c>
      <c r="J1405" s="386"/>
    </row>
    <row r="1406" spans="1:10">
      <c r="A1406" s="383"/>
      <c r="B1406" s="383" t="str">
        <f>'DT Short List'!A57</f>
        <v>Xinterra _2022</v>
      </c>
      <c r="C1406" s="383" t="str">
        <f>'DT Short List'!H57</f>
        <v>Deep Tech</v>
      </c>
      <c r="D1406" s="383" t="str">
        <f>'DT Short List'!F57</f>
        <v>Invite</v>
      </c>
      <c r="E1406" s="383"/>
      <c r="F1406" s="383"/>
      <c r="G1406" s="383"/>
      <c r="H1406" s="383"/>
      <c r="I1406" s="385" t="b">
        <v>1</v>
      </c>
      <c r="J1406" s="386"/>
    </row>
    <row r="1407" spans="1:10">
      <c r="A1407" s="383"/>
      <c r="B1407" s="383" t="str">
        <f>'DT Short List'!A58</f>
        <v>ZiO Health  _2022</v>
      </c>
      <c r="C1407" s="383" t="str">
        <f>'DT Short List'!H58</f>
        <v>Deep Tech</v>
      </c>
      <c r="D1407" s="383" t="str">
        <f>'DT Short List'!F58</f>
        <v>Invite</v>
      </c>
      <c r="E1407" s="383"/>
      <c r="F1407" s="383"/>
      <c r="G1407" s="383"/>
      <c r="H1407" s="383"/>
      <c r="I1407" s="385" t="b">
        <v>1</v>
      </c>
      <c r="J1407" s="386"/>
    </row>
    <row r="1408" spans="1:10">
      <c r="A1408" s="383"/>
      <c r="B1408" s="383" t="str">
        <f>'DT Short List'!A60</f>
        <v>Accelerate Wind _2022</v>
      </c>
      <c r="C1408" s="383" t="str">
        <f>'DT Short List'!H60</f>
        <v>Deep Tech</v>
      </c>
      <c r="D1408" s="383" t="str">
        <f>'DT Short List'!F60</f>
        <v>Invite Next Year</v>
      </c>
      <c r="E1408" s="383"/>
      <c r="F1408" s="383"/>
      <c r="G1408" s="383"/>
      <c r="H1408" s="383"/>
      <c r="I1408" s="385" t="b">
        <v>1</v>
      </c>
      <c r="J1408" s="386"/>
    </row>
    <row r="1409" spans="1:10">
      <c r="A1409" s="383"/>
      <c r="B1409" s="383" t="str">
        <f>'DT Short List'!A61</f>
        <v>Astek Diagnostics Inc. _2022</v>
      </c>
      <c r="C1409" s="383" t="str">
        <f>'DT Short List'!H61</f>
        <v>Deep Tech</v>
      </c>
      <c r="D1409" s="383" t="str">
        <f>'DT Short List'!F61</f>
        <v>Invite Next Year</v>
      </c>
      <c r="E1409" s="383"/>
      <c r="F1409" s="383"/>
      <c r="G1409" s="383"/>
      <c r="H1409" s="383"/>
      <c r="I1409" s="385" t="b">
        <v>1</v>
      </c>
      <c r="J1409" s="386"/>
    </row>
    <row r="1410" spans="1:10">
      <c r="A1410" s="383"/>
      <c r="B1410" s="383" t="str">
        <f>'DT Short List'!A62</f>
        <v>CARI Health, Inc. _2022</v>
      </c>
      <c r="C1410" s="383" t="str">
        <f>'DT Short List'!H62</f>
        <v>Deep Tech</v>
      </c>
      <c r="D1410" s="383" t="str">
        <f>'DT Short List'!F62</f>
        <v>Invite Next Year</v>
      </c>
      <c r="E1410" s="383"/>
      <c r="F1410" s="383"/>
      <c r="G1410" s="383"/>
      <c r="H1410" s="383"/>
      <c r="I1410" s="385" t="b">
        <v>1</v>
      </c>
      <c r="J1410" s="386"/>
    </row>
    <row r="1411" spans="1:10">
      <c r="A1411" s="383"/>
      <c r="B1411" s="383" t="str">
        <f>'DT Short List'!A63</f>
        <v>DrainBot _2022</v>
      </c>
      <c r="C1411" s="383" t="str">
        <f>'DT Short List'!H63</f>
        <v>Deep Tech</v>
      </c>
      <c r="D1411" s="383" t="str">
        <f>'DT Short List'!F63</f>
        <v>Invite Next Year</v>
      </c>
      <c r="E1411" s="383"/>
      <c r="F1411" s="383"/>
      <c r="G1411" s="383"/>
      <c r="H1411" s="383"/>
      <c r="I1411" s="385" t="b">
        <v>1</v>
      </c>
      <c r="J1411" s="386"/>
    </row>
    <row r="1412" spans="1:10">
      <c r="A1412" s="383"/>
      <c r="B1412" s="383" t="str">
        <f>'DT Short List'!A64</f>
        <v>Empo Health _2022</v>
      </c>
      <c r="C1412" s="383" t="str">
        <f>'DT Short List'!H64</f>
        <v>Deep Tech</v>
      </c>
      <c r="D1412" s="383" t="str">
        <f>'DT Short List'!F64</f>
        <v>Invite Next Year</v>
      </c>
      <c r="E1412" s="383"/>
      <c r="F1412" s="383"/>
      <c r="G1412" s="383"/>
      <c r="H1412" s="383"/>
      <c r="I1412" s="385" t="b">
        <v>1</v>
      </c>
      <c r="J1412" s="386"/>
    </row>
    <row r="1413" spans="1:10">
      <c r="A1413" s="383"/>
      <c r="B1413" s="383" t="str">
        <f>'DT Short List'!A65</f>
        <v>iCardio.ai _2022</v>
      </c>
      <c r="C1413" s="383" t="str">
        <f>'DT Short List'!H65</f>
        <v>Deep Tech</v>
      </c>
      <c r="D1413" s="383" t="str">
        <f>'DT Short List'!F65</f>
        <v>Invite Next Year</v>
      </c>
      <c r="E1413" s="383"/>
      <c r="F1413" s="383"/>
      <c r="G1413" s="383"/>
      <c r="H1413" s="383"/>
      <c r="I1413" s="385" t="b">
        <v>1</v>
      </c>
      <c r="J1413" s="386"/>
    </row>
    <row r="1414" spans="1:10">
      <c r="A1414" s="383"/>
      <c r="B1414" s="383" t="str">
        <f>'DT Short List'!A66</f>
        <v>Lux Wind Power Ltd. _2022</v>
      </c>
      <c r="C1414" s="383" t="str">
        <f>'DT Short List'!H66</f>
        <v>Deep Tech</v>
      </c>
      <c r="D1414" s="383" t="str">
        <f>'DT Short List'!F66</f>
        <v>Invite Next Year</v>
      </c>
      <c r="E1414" s="383"/>
      <c r="F1414" s="383"/>
      <c r="G1414" s="383"/>
      <c r="H1414" s="383"/>
      <c r="I1414" s="385" t="b">
        <v>1</v>
      </c>
      <c r="J1414" s="386"/>
    </row>
    <row r="1415" spans="1:10">
      <c r="A1415" s="383"/>
      <c r="B1415" s="383" t="str">
        <f>'DT Short List'!A67</f>
        <v>PhoneOptika Ltd. _2022</v>
      </c>
      <c r="C1415" s="383" t="str">
        <f>'DT Short List'!H67</f>
        <v>Deep Tech</v>
      </c>
      <c r="D1415" s="383" t="str">
        <f>'DT Short List'!F67</f>
        <v>Invite Next Year</v>
      </c>
      <c r="E1415" s="383"/>
      <c r="F1415" s="383"/>
      <c r="G1415" s="383"/>
      <c r="H1415" s="383"/>
      <c r="I1415" s="385" t="b">
        <v>1</v>
      </c>
      <c r="J1415" s="386"/>
    </row>
    <row r="1416" spans="1:10">
      <c r="A1416" s="383"/>
      <c r="B1416" s="383" t="str">
        <f>'DT Short List'!A68</f>
        <v>Radiolife _2022</v>
      </c>
      <c r="C1416" s="383" t="str">
        <f>'DT Short List'!H68</f>
        <v>Deep Tech</v>
      </c>
      <c r="D1416" s="383" t="str">
        <f>'DT Short List'!F68</f>
        <v>Invite Next Year</v>
      </c>
      <c r="E1416" s="383"/>
      <c r="F1416" s="383"/>
      <c r="G1416" s="383"/>
      <c r="H1416" s="383"/>
      <c r="I1416" s="385" t="b">
        <v>1</v>
      </c>
      <c r="J1416" s="386"/>
    </row>
    <row r="1417" spans="1:10">
      <c r="A1417" s="383"/>
      <c r="B1417" s="383" t="str">
        <f>'DT Short List'!A69</f>
        <v>Rebound Technologies, Inc.  _2022</v>
      </c>
      <c r="C1417" s="383" t="str">
        <f>'DT Short List'!H69</f>
        <v>Deep Tech</v>
      </c>
      <c r="D1417" s="383" t="str">
        <f>'DT Short List'!F69</f>
        <v>Invite Next Year</v>
      </c>
      <c r="E1417" s="383"/>
      <c r="F1417" s="383"/>
      <c r="G1417" s="383"/>
      <c r="H1417" s="383"/>
      <c r="I1417" s="385" t="b">
        <v>1</v>
      </c>
      <c r="J1417" s="386"/>
    </row>
    <row r="1418" spans="1:10">
      <c r="A1418" s="383"/>
      <c r="B1418" s="383" t="str">
        <f>'DT Short List'!A70</f>
        <v>Rightbot Technologies, Inc. _2022</v>
      </c>
      <c r="C1418" s="383" t="str">
        <f>'DT Short List'!H70</f>
        <v>Deep Tech</v>
      </c>
      <c r="D1418" s="383" t="str">
        <f>'DT Short List'!F70</f>
        <v>Invite Next Year</v>
      </c>
      <c r="E1418" s="383"/>
      <c r="F1418" s="383"/>
      <c r="G1418" s="383"/>
      <c r="H1418" s="383"/>
      <c r="I1418" s="385" t="b">
        <v>1</v>
      </c>
      <c r="J1418" s="386"/>
    </row>
    <row r="1419" spans="1:10">
      <c r="A1419" s="383"/>
      <c r="B1419" s="383" t="str">
        <f>'DT Short List'!A71</f>
        <v>Rocket Propulsion Systems LLC _2022</v>
      </c>
      <c r="C1419" s="383" t="str">
        <f>'DT Short List'!H71</f>
        <v>Deep Tech</v>
      </c>
      <c r="D1419" s="383" t="str">
        <f>'DT Short List'!F71</f>
        <v>Invite Next Year</v>
      </c>
      <c r="E1419" s="383"/>
      <c r="F1419" s="383"/>
      <c r="G1419" s="383"/>
      <c r="H1419" s="383"/>
      <c r="I1419" s="385" t="b">
        <v>1</v>
      </c>
      <c r="J1419" s="386"/>
    </row>
    <row r="1420" spans="1:10">
      <c r="A1420" s="383"/>
      <c r="B1420" s="383" t="str">
        <f>'DT Short List'!A72</f>
        <v>Safety Arms Systems _2022</v>
      </c>
      <c r="C1420" s="383" t="str">
        <f>'DT Short List'!H72</f>
        <v>Deep Tech</v>
      </c>
      <c r="D1420" s="383" t="str">
        <f>'DT Short List'!F72</f>
        <v>Invite Next Year</v>
      </c>
      <c r="E1420" s="383"/>
      <c r="F1420" s="383"/>
      <c r="G1420" s="383"/>
      <c r="H1420" s="383"/>
      <c r="I1420" s="385" t="b">
        <v>1</v>
      </c>
      <c r="J1420" s="386"/>
    </row>
    <row r="1421" spans="1:10">
      <c r="A1421" s="383"/>
      <c r="B1421" s="383" t="str">
        <f>'DT Short List'!A73</f>
        <v>Skyline Nav AI Inc. _2022</v>
      </c>
      <c r="C1421" s="383" t="str">
        <f>'DT Short List'!H73</f>
        <v>Deep Tech</v>
      </c>
      <c r="D1421" s="383" t="str">
        <f>'DT Short List'!F73</f>
        <v>Invite Next Year</v>
      </c>
      <c r="E1421" s="383"/>
      <c r="F1421" s="383"/>
      <c r="G1421" s="383"/>
      <c r="H1421" s="383"/>
      <c r="I1421" s="385" t="b">
        <v>1</v>
      </c>
      <c r="J1421" s="386"/>
    </row>
    <row r="1422" spans="1:10">
      <c r="A1422" s="383"/>
      <c r="B1422" s="383" t="str">
        <f>'DT Short List'!A74</f>
        <v>TimberFish Technologies _2022</v>
      </c>
      <c r="C1422" s="383" t="str">
        <f>'DT Short List'!H74</f>
        <v>Deep Tech</v>
      </c>
      <c r="D1422" s="383" t="str">
        <f>'DT Short List'!F74</f>
        <v>Invite Next Year</v>
      </c>
      <c r="E1422" s="383"/>
      <c r="F1422" s="383"/>
      <c r="G1422" s="383"/>
      <c r="H1422" s="383"/>
      <c r="I1422" s="385" t="b">
        <v>1</v>
      </c>
      <c r="J1422" s="386"/>
    </row>
    <row r="1423" spans="1:10">
      <c r="A1423" s="383"/>
      <c r="B1423" s="383" t="str">
        <f>'DT Short List'!A75</f>
        <v>Viridian Space Corporation _2022</v>
      </c>
      <c r="C1423" s="383" t="str">
        <f>'DT Short List'!H75</f>
        <v>Deep Tech</v>
      </c>
      <c r="D1423" s="383" t="str">
        <f>'DT Short List'!F75</f>
        <v>Invite Next Year</v>
      </c>
      <c r="E1423" s="383"/>
      <c r="F1423" s="383"/>
      <c r="G1423" s="383"/>
      <c r="H1423" s="383"/>
      <c r="I1423" s="385" t="b">
        <v>1</v>
      </c>
      <c r="J1423" s="386"/>
    </row>
    <row r="1424" spans="1:10">
      <c r="A1424" s="383"/>
      <c r="B1424" s="383" t="str">
        <f>'DT Short List'!A76</f>
        <v>Vyv _2022</v>
      </c>
      <c r="C1424" s="383" t="str">
        <f>'DT Short List'!H76</f>
        <v>Deep Tech</v>
      </c>
      <c r="D1424" s="383" t="str">
        <f>'DT Short List'!F76</f>
        <v>Invite Next Year</v>
      </c>
      <c r="E1424" s="383"/>
      <c r="F1424" s="383"/>
      <c r="G1424" s="383"/>
      <c r="H1424" s="383"/>
      <c r="I1424" s="385" t="b">
        <v>1</v>
      </c>
      <c r="J1424" s="386"/>
    </row>
    <row r="1425" spans="1:10">
      <c r="A1425" s="383"/>
      <c r="B1425" s="383" t="str">
        <f>'DT Short List'!A77</f>
        <v>Zoomrin _2022</v>
      </c>
      <c r="C1425" s="383" t="str">
        <f>'DT Short List'!H77</f>
        <v>Deep Tech</v>
      </c>
      <c r="D1425" s="383" t="str">
        <f>'DT Short List'!F77</f>
        <v>Invite Next Year</v>
      </c>
      <c r="E1425" s="383"/>
      <c r="F1425" s="383"/>
      <c r="G1425" s="383"/>
      <c r="H1425" s="383"/>
      <c r="I1425" s="385" t="b">
        <v>1</v>
      </c>
      <c r="J1425" s="386"/>
    </row>
    <row r="1426" spans="1:10">
      <c r="A1426" s="383"/>
      <c r="B1426" s="383" t="str">
        <f>'DT Short List'!A78</f>
        <v>Plantae Bioscience _2022</v>
      </c>
      <c r="C1426" s="383" t="str">
        <f>'DT Short List'!H78</f>
        <v>Deep Tech</v>
      </c>
      <c r="D1426" s="383" t="str">
        <f>'DT Short List'!F78</f>
        <v>Revisit/ Cluster</v>
      </c>
      <c r="E1426" s="383"/>
      <c r="F1426" s="383"/>
      <c r="G1426" s="383"/>
      <c r="H1426" s="383"/>
      <c r="I1426" s="385" t="b">
        <v>1</v>
      </c>
      <c r="J1426" s="386"/>
    </row>
    <row r="1427" spans="1:10">
      <c r="A1427" s="383"/>
      <c r="B1427" s="383" t="str">
        <f>'DT Short List'!A79</f>
        <v>Wootzano Limited _2022</v>
      </c>
      <c r="C1427" s="383" t="str">
        <f>'DT Short List'!H79</f>
        <v>Deep Tech</v>
      </c>
      <c r="D1427" s="383" t="str">
        <f>'DT Short List'!F79</f>
        <v>Special Reject</v>
      </c>
      <c r="E1427" s="383"/>
      <c r="F1427" s="383"/>
      <c r="G1427" s="383"/>
      <c r="H1427" s="383"/>
      <c r="I1427" s="385" t="b">
        <v>1</v>
      </c>
      <c r="J1427" s="386"/>
    </row>
    <row r="1428" spans="1:10">
      <c r="A1428" s="383"/>
      <c r="B1428" s="383" t="str">
        <f>'DT Short List'!A80</f>
        <v>Artificial Intelligence Imaging Sensors (AiimSense Inc.) _2022</v>
      </c>
      <c r="C1428" s="383" t="str">
        <f>'DT Short List'!H80</f>
        <v>Deep Tech</v>
      </c>
      <c r="D1428" s="383" t="str">
        <f>'DT Short List'!F80</f>
        <v>Waitlist</v>
      </c>
      <c r="E1428" s="383"/>
      <c r="F1428" s="383"/>
      <c r="G1428" s="383"/>
      <c r="H1428" s="383"/>
      <c r="I1428" s="385" t="b">
        <v>1</v>
      </c>
      <c r="J1428" s="386"/>
    </row>
    <row r="1429" spans="1:10">
      <c r="A1429" s="383"/>
      <c r="B1429" s="383" t="str">
        <f>'DT Short List'!A81</f>
        <v>Coflow Jet, LLC _2022</v>
      </c>
      <c r="C1429" s="383" t="str">
        <f>'DT Short List'!H81</f>
        <v>Deep Tech</v>
      </c>
      <c r="D1429" s="383" t="str">
        <f>'DT Short List'!F81</f>
        <v>Waitlist</v>
      </c>
      <c r="E1429" s="383"/>
      <c r="F1429" s="383"/>
      <c r="G1429" s="383"/>
      <c r="H1429" s="383"/>
      <c r="I1429" s="385" t="b">
        <v>1</v>
      </c>
      <c r="J1429" s="386"/>
    </row>
    <row r="1430" spans="1:10">
      <c r="A1430" s="383"/>
      <c r="B1430" s="383" t="str">
        <f>'DT Short List'!A82</f>
        <v>EllieGrid _2022</v>
      </c>
      <c r="C1430" s="383" t="str">
        <f>'DT Short List'!H82</f>
        <v>Deep Tech</v>
      </c>
      <c r="D1430" s="383" t="str">
        <f>'DT Short List'!F82</f>
        <v>Waitlist</v>
      </c>
      <c r="E1430" s="383"/>
      <c r="F1430" s="383"/>
      <c r="G1430" s="383"/>
      <c r="H1430" s="383"/>
      <c r="I1430" s="385" t="b">
        <v>1</v>
      </c>
      <c r="J1430" s="386"/>
    </row>
    <row r="1431" spans="1:10">
      <c r="A1431" s="383"/>
      <c r="B1431" s="383" t="str">
        <f>'DT Short List'!A83</f>
        <v>FlyX Technologies Inc _2022</v>
      </c>
      <c r="C1431" s="383" t="str">
        <f>'DT Short List'!H83</f>
        <v>Deep Tech</v>
      </c>
      <c r="D1431" s="383" t="str">
        <f>'DT Short List'!F83</f>
        <v>Waitlist</v>
      </c>
      <c r="E1431" s="383"/>
      <c r="F1431" s="383"/>
      <c r="G1431" s="383"/>
      <c r="H1431" s="383"/>
      <c r="I1431" s="385" t="b">
        <v>1</v>
      </c>
      <c r="J1431" s="386"/>
    </row>
    <row r="1432" spans="1:10">
      <c r="A1432" s="383"/>
      <c r="B1432" s="383" t="str">
        <f>'DT Short List'!A84</f>
        <v>Ingenii Inc _2022</v>
      </c>
      <c r="C1432" s="383" t="str">
        <f>'DT Short List'!H84</f>
        <v>Deep Tech</v>
      </c>
      <c r="D1432" s="383" t="str">
        <f>'DT Short List'!F84</f>
        <v>Waitlist</v>
      </c>
      <c r="E1432" s="383"/>
      <c r="F1432" s="383"/>
      <c r="G1432" s="383"/>
      <c r="H1432" s="383"/>
      <c r="I1432" s="385" t="b">
        <v>1</v>
      </c>
      <c r="J1432" s="386"/>
    </row>
    <row r="1433" spans="1:10">
      <c r="A1433" s="383"/>
      <c r="B1433" s="383" t="str">
        <f>'DT Short List'!A85</f>
        <v>Is CLEAN AIR Italia S.r.l. _2022</v>
      </c>
      <c r="C1433" s="383" t="str">
        <f>'DT Short List'!H85</f>
        <v>Deep Tech</v>
      </c>
      <c r="D1433" s="383" t="str">
        <f>'DT Short List'!F85</f>
        <v>Waitlist</v>
      </c>
      <c r="E1433" s="383"/>
      <c r="F1433" s="383"/>
      <c r="G1433" s="383"/>
      <c r="H1433" s="383"/>
      <c r="I1433" s="385" t="b">
        <v>1</v>
      </c>
      <c r="J1433" s="386"/>
    </row>
    <row r="1434" spans="1:10">
      <c r="A1434" s="383"/>
      <c r="B1434" s="383" t="str">
        <f>'DT Short List'!A86</f>
        <v>Oscillum Biotechnology SL _2022</v>
      </c>
      <c r="C1434" s="383" t="str">
        <f>'DT Short List'!H86</f>
        <v>Deep Tech</v>
      </c>
      <c r="D1434" s="383" t="str">
        <f>'DT Short List'!F86</f>
        <v>Waitlist</v>
      </c>
      <c r="E1434" s="383"/>
      <c r="F1434" s="383"/>
      <c r="G1434" s="383"/>
      <c r="H1434" s="383"/>
      <c r="I1434" s="385" t="b">
        <v>1</v>
      </c>
      <c r="J1434" s="386"/>
    </row>
    <row r="1435" spans="1:10">
      <c r="A1435" s="383"/>
      <c r="B1435" s="383" t="str">
        <f>'DT Short List'!A87</f>
        <v>PentaBind Ltd _2022</v>
      </c>
      <c r="C1435" s="383" t="str">
        <f>'DT Short List'!H87</f>
        <v>Deep Tech</v>
      </c>
      <c r="D1435" s="383" t="str">
        <f>'DT Short List'!F87</f>
        <v>Waitlist</v>
      </c>
      <c r="E1435" s="383"/>
      <c r="F1435" s="383"/>
      <c r="G1435" s="383"/>
      <c r="H1435" s="383"/>
      <c r="I1435" s="385" t="b">
        <v>1</v>
      </c>
      <c r="J1435" s="386"/>
    </row>
    <row r="1436" spans="1:10">
      <c r="A1436" s="383"/>
      <c r="B1436" s="383" t="str">
        <f>'DT Short List'!A88</f>
        <v>Promin Aerospace _2022</v>
      </c>
      <c r="C1436" s="383" t="str">
        <f>'DT Short List'!H88</f>
        <v>Deep Tech</v>
      </c>
      <c r="D1436" s="383" t="str">
        <f>'DT Short List'!F88</f>
        <v>Waitlist</v>
      </c>
      <c r="E1436" s="383"/>
      <c r="F1436" s="383"/>
      <c r="G1436" s="383"/>
      <c r="H1436" s="383"/>
      <c r="I1436" s="385" t="b">
        <v>1</v>
      </c>
      <c r="J1436" s="386"/>
    </row>
    <row r="1437" spans="1:10">
      <c r="A1437" s="383"/>
      <c r="B1437" s="383" t="str">
        <f>'DT Short List'!A89</f>
        <v>Rockland Technimed limited _2022</v>
      </c>
      <c r="C1437" s="383" t="str">
        <f>'DT Short List'!H89</f>
        <v>Deep Tech</v>
      </c>
      <c r="D1437" s="383" t="str">
        <f>'DT Short List'!F89</f>
        <v>Waitlist</v>
      </c>
      <c r="E1437" s="383"/>
      <c r="F1437" s="383"/>
      <c r="G1437" s="383"/>
      <c r="H1437" s="383"/>
      <c r="I1437" s="385" t="b">
        <v>1</v>
      </c>
      <c r="J1437" s="386"/>
    </row>
    <row r="1438" spans="1:10">
      <c r="A1438" s="383"/>
      <c r="B1438" s="383" t="str">
        <f>'DT Short List'!A90</f>
        <v>TrustPoint, Inc. _2022</v>
      </c>
      <c r="C1438" s="383" t="str">
        <f>'DT Short List'!H90</f>
        <v>Deep Tech</v>
      </c>
      <c r="D1438" s="383" t="str">
        <f>'DT Short List'!F90</f>
        <v>Waitlist</v>
      </c>
      <c r="E1438" s="383"/>
      <c r="F1438" s="383"/>
      <c r="G1438" s="383"/>
      <c r="H1438" s="383"/>
      <c r="I1438" s="385" t="b">
        <v>1</v>
      </c>
      <c r="J1438" s="386"/>
    </row>
    <row r="1439" spans="1:10">
      <c r="A1439" s="383"/>
      <c r="B1439" s="383" t="str">
        <f>'DT Short List'!A91</f>
        <v>Watershed Therapeutics _2022</v>
      </c>
      <c r="C1439" s="383" t="str">
        <f>'DT Short List'!H91</f>
        <v>Deep Tech</v>
      </c>
      <c r="D1439" s="383" t="str">
        <f>'DT Short List'!F91</f>
        <v>Waitlist</v>
      </c>
      <c r="E1439" s="383"/>
      <c r="F1439" s="383"/>
      <c r="G1439" s="383"/>
      <c r="H1439" s="383"/>
      <c r="I1439" s="385" t="b">
        <v>1</v>
      </c>
      <c r="J1439" s="386"/>
    </row>
    <row r="1440" spans="1:10">
      <c r="A1440" s="388"/>
      <c r="B1440" s="388" t="s">
        <v>13045</v>
      </c>
      <c r="C1440" s="388" t="s">
        <v>5</v>
      </c>
      <c r="D1440" s="388">
        <f>'DT Short List'!F92</f>
        <v>0</v>
      </c>
      <c r="E1440" s="388"/>
      <c r="F1440" s="388"/>
      <c r="G1440" s="388"/>
      <c r="H1440" s="388"/>
      <c r="I1440" s="389" t="b">
        <v>0</v>
      </c>
      <c r="J1440" s="390"/>
    </row>
    <row r="1441" spans="1:10">
      <c r="A1441" s="383"/>
      <c r="B1441" s="383">
        <f>'DT Short List'!A93</f>
        <v>0</v>
      </c>
      <c r="C1441" s="383">
        <f>'DT Short List'!H93</f>
        <v>0</v>
      </c>
      <c r="D1441" s="383">
        <f>'DT Short List'!F93</f>
        <v>0</v>
      </c>
      <c r="E1441" s="383"/>
      <c r="F1441" s="383"/>
      <c r="G1441" s="383"/>
      <c r="H1441" s="383"/>
      <c r="I1441" s="385" t="b">
        <v>0</v>
      </c>
      <c r="J1441" s="386"/>
    </row>
    <row r="1442" spans="1:10">
      <c r="A1442" s="383"/>
      <c r="B1442" s="383">
        <f>'DT Short List'!A94</f>
        <v>0</v>
      </c>
      <c r="C1442" s="383">
        <f>'DT Short List'!H94</f>
        <v>0</v>
      </c>
      <c r="D1442" s="383">
        <f>'DT Short List'!F94</f>
        <v>0</v>
      </c>
      <c r="E1442" s="383"/>
      <c r="F1442" s="383"/>
      <c r="G1442" s="383"/>
      <c r="H1442" s="383"/>
      <c r="I1442" s="385" t="b">
        <v>0</v>
      </c>
      <c r="J1442" s="386"/>
    </row>
    <row r="1443" spans="1:10">
      <c r="A1443" s="383"/>
      <c r="B1443" s="383">
        <f>'DT Short List'!A95</f>
        <v>0</v>
      </c>
      <c r="C1443" s="383">
        <f>'DT Short List'!H95</f>
        <v>0</v>
      </c>
      <c r="D1443" s="383">
        <f>'DT Short List'!F95</f>
        <v>0</v>
      </c>
      <c r="E1443" s="383"/>
      <c r="F1443" s="383"/>
      <c r="G1443" s="383"/>
      <c r="H1443" s="383"/>
      <c r="I1443" s="385" t="b">
        <v>0</v>
      </c>
      <c r="J1443" s="386"/>
    </row>
    <row r="1444" spans="1:10">
      <c r="A1444" s="383"/>
      <c r="B1444" s="383">
        <f>'DT Short List'!A96</f>
        <v>0</v>
      </c>
      <c r="C1444" s="383">
        <f>'DT Short List'!H96</f>
        <v>0</v>
      </c>
      <c r="D1444" s="383">
        <f>'DT Short List'!F96</f>
        <v>0</v>
      </c>
      <c r="E1444" s="383"/>
      <c r="F1444" s="383"/>
      <c r="G1444" s="383"/>
      <c r="H1444" s="383"/>
      <c r="I1444" s="385" t="b">
        <v>0</v>
      </c>
      <c r="J1444" s="386"/>
    </row>
    <row r="1445" spans="1:10">
      <c r="A1445" s="383"/>
      <c r="B1445" s="383">
        <f>'DT Short List'!A97</f>
        <v>0</v>
      </c>
      <c r="C1445" s="383">
        <f>'DT Short List'!H97</f>
        <v>0</v>
      </c>
      <c r="D1445" s="383">
        <f>'DT Short List'!F97</f>
        <v>0</v>
      </c>
      <c r="E1445" s="383"/>
      <c r="F1445" s="383"/>
      <c r="G1445" s="383"/>
      <c r="H1445" s="383"/>
      <c r="I1445" s="385" t="b">
        <v>0</v>
      </c>
      <c r="J1445" s="386"/>
    </row>
    <row r="1446" spans="1:10">
      <c r="A1446" s="383"/>
      <c r="B1446" s="383">
        <f>'DT Short List'!A98</f>
        <v>0</v>
      </c>
      <c r="C1446" s="383">
        <f>'DT Short List'!H98</f>
        <v>0</v>
      </c>
      <c r="D1446" s="383">
        <f>'DT Short List'!F98</f>
        <v>0</v>
      </c>
      <c r="E1446" s="383"/>
      <c r="F1446" s="383"/>
      <c r="G1446" s="383"/>
      <c r="H1446" s="383"/>
      <c r="I1446" s="385" t="b">
        <v>0</v>
      </c>
      <c r="J1446" s="386"/>
    </row>
    <row r="1447" spans="1:10">
      <c r="A1447" s="383"/>
      <c r="B1447" s="383">
        <f>'DT Short List'!A99</f>
        <v>0</v>
      </c>
      <c r="C1447" s="383">
        <f>'DT Short List'!H99</f>
        <v>0</v>
      </c>
      <c r="D1447" s="383">
        <f>'DT Short List'!F99</f>
        <v>0</v>
      </c>
      <c r="E1447" s="383"/>
      <c r="F1447" s="383"/>
      <c r="G1447" s="383"/>
      <c r="H1447" s="383"/>
      <c r="I1447" s="385" t="b">
        <v>0</v>
      </c>
      <c r="J1447" s="386"/>
    </row>
    <row r="1448" spans="1:10">
      <c r="A1448" s="383"/>
      <c r="B1448" s="383">
        <f>'DT Short List'!A100</f>
        <v>0</v>
      </c>
      <c r="C1448" s="383">
        <f>'DT Short List'!H100</f>
        <v>0</v>
      </c>
      <c r="D1448" s="383">
        <f>'DT Short List'!F100</f>
        <v>0</v>
      </c>
      <c r="E1448" s="383"/>
      <c r="F1448" s="383"/>
      <c r="G1448" s="383"/>
      <c r="H1448" s="383"/>
      <c r="I1448" s="385" t="b">
        <v>0</v>
      </c>
      <c r="J1448" s="386"/>
    </row>
    <row r="1449" spans="1:10">
      <c r="A1449" s="383"/>
      <c r="B1449" s="383">
        <f>'DT Short List'!A101</f>
        <v>0</v>
      </c>
      <c r="C1449" s="383">
        <f>'DT Short List'!H101</f>
        <v>0</v>
      </c>
      <c r="D1449" s="383">
        <f>'DT Short List'!F101</f>
        <v>0</v>
      </c>
      <c r="E1449" s="383"/>
      <c r="F1449" s="383"/>
      <c r="G1449" s="383"/>
      <c r="H1449" s="383"/>
      <c r="I1449" s="385" t="b">
        <v>0</v>
      </c>
      <c r="J1449" s="386"/>
    </row>
    <row r="1450" spans="1:10">
      <c r="A1450" s="383"/>
      <c r="B1450" s="383">
        <f>'DT Short List'!A102</f>
        <v>0</v>
      </c>
      <c r="C1450" s="383">
        <f>'DT Short List'!H102</f>
        <v>0</v>
      </c>
      <c r="D1450" s="383">
        <f>'DT Short List'!F102</f>
        <v>0</v>
      </c>
      <c r="E1450" s="383"/>
      <c r="F1450" s="383"/>
      <c r="G1450" s="383"/>
      <c r="H1450" s="383"/>
      <c r="I1450" s="385" t="b">
        <v>0</v>
      </c>
      <c r="J1450" s="386"/>
    </row>
    <row r="1451" spans="1:10">
      <c r="A1451" s="383"/>
      <c r="B1451" s="383">
        <f>'DT Short List'!A103</f>
        <v>0</v>
      </c>
      <c r="C1451" s="383">
        <f>'DT Short List'!H103</f>
        <v>0</v>
      </c>
      <c r="D1451" s="383">
        <f>'DT Short List'!F103</f>
        <v>0</v>
      </c>
      <c r="E1451" s="383"/>
      <c r="F1451" s="383"/>
      <c r="G1451" s="383"/>
      <c r="H1451" s="383"/>
      <c r="I1451" s="385" t="b">
        <v>0</v>
      </c>
      <c r="J1451" s="386"/>
    </row>
    <row r="1452" spans="1:10">
      <c r="A1452" s="383"/>
      <c r="B1452" s="383">
        <f>'DT Short List'!A104</f>
        <v>0</v>
      </c>
      <c r="C1452" s="383">
        <f>'DT Short List'!H104</f>
        <v>0</v>
      </c>
      <c r="D1452" s="383">
        <f>'DT Short List'!F104</f>
        <v>0</v>
      </c>
      <c r="E1452" s="383"/>
      <c r="F1452" s="383"/>
      <c r="G1452" s="383"/>
      <c r="H1452" s="383"/>
      <c r="I1452" s="385" t="b">
        <v>0</v>
      </c>
      <c r="J1452" s="386"/>
    </row>
    <row r="1453" spans="1:10">
      <c r="A1453" s="383"/>
      <c r="B1453" s="383">
        <f>'DT Short List'!A105</f>
        <v>0</v>
      </c>
      <c r="C1453" s="383">
        <f>'DT Short List'!H105</f>
        <v>0</v>
      </c>
      <c r="D1453" s="383">
        <f>'DT Short List'!F105</f>
        <v>0</v>
      </c>
      <c r="E1453" s="383"/>
      <c r="F1453" s="383"/>
      <c r="G1453" s="383"/>
      <c r="H1453" s="383"/>
      <c r="I1453" s="385" t="b">
        <v>0</v>
      </c>
      <c r="J1453" s="386"/>
    </row>
    <row r="1454" spans="1:10">
      <c r="A1454" s="383"/>
      <c r="B1454" s="383">
        <f>'DT Short List'!A106</f>
        <v>0</v>
      </c>
      <c r="C1454" s="383">
        <f>'DT Short List'!H106</f>
        <v>0</v>
      </c>
      <c r="D1454" s="383">
        <f>'DT Short List'!F106</f>
        <v>0</v>
      </c>
      <c r="E1454" s="383"/>
      <c r="F1454" s="383"/>
      <c r="G1454" s="383"/>
      <c r="H1454" s="383"/>
      <c r="I1454" s="385" t="b">
        <v>0</v>
      </c>
      <c r="J1454" s="386"/>
    </row>
    <row r="1455" spans="1:10">
      <c r="A1455" s="383"/>
      <c r="B1455" s="383">
        <f>'DT Short List'!A107</f>
        <v>0</v>
      </c>
      <c r="C1455" s="383">
        <f>'DT Short List'!H107</f>
        <v>0</v>
      </c>
      <c r="D1455" s="383">
        <f>'DT Short List'!F107</f>
        <v>0</v>
      </c>
      <c r="E1455" s="383"/>
      <c r="F1455" s="383"/>
      <c r="G1455" s="383"/>
      <c r="H1455" s="383"/>
      <c r="I1455" s="385" t="b">
        <v>0</v>
      </c>
      <c r="J1455" s="386"/>
    </row>
    <row r="1456" spans="1:10">
      <c r="A1456" s="383"/>
      <c r="B1456" s="383">
        <f>'DT Short List'!A108</f>
        <v>0</v>
      </c>
      <c r="C1456" s="383">
        <f>'DT Short List'!H108</f>
        <v>0</v>
      </c>
      <c r="D1456" s="383">
        <f>'DT Short List'!F108</f>
        <v>0</v>
      </c>
      <c r="E1456" s="383"/>
      <c r="F1456" s="383"/>
      <c r="G1456" s="383"/>
      <c r="H1456" s="383"/>
      <c r="I1456" s="385" t="b">
        <v>0</v>
      </c>
      <c r="J1456" s="386"/>
    </row>
    <row r="1457" spans="1:10">
      <c r="A1457" s="383"/>
      <c r="B1457" s="383">
        <f>'DT Short List'!A109</f>
        <v>0</v>
      </c>
      <c r="C1457" s="383">
        <f>'DT Short List'!H109</f>
        <v>0</v>
      </c>
      <c r="D1457" s="383">
        <f>'DT Short List'!F109</f>
        <v>0</v>
      </c>
      <c r="E1457" s="383"/>
      <c r="F1457" s="383"/>
      <c r="G1457" s="383"/>
      <c r="H1457" s="383"/>
      <c r="I1457" s="385" t="b">
        <v>0</v>
      </c>
      <c r="J1457" s="386"/>
    </row>
    <row r="1458" spans="1:10">
      <c r="A1458" s="383"/>
      <c r="B1458" s="383">
        <f>'DT Short List'!A110</f>
        <v>0</v>
      </c>
      <c r="C1458" s="383">
        <f>'DT Short List'!H110</f>
        <v>0</v>
      </c>
      <c r="D1458" s="383">
        <f>'DT Short List'!F110</f>
        <v>0</v>
      </c>
      <c r="E1458" s="383"/>
      <c r="F1458" s="383"/>
      <c r="G1458" s="383"/>
      <c r="H1458" s="383"/>
      <c r="I1458" s="385" t="b">
        <v>0</v>
      </c>
      <c r="J1458" s="386"/>
    </row>
    <row r="1459" spans="1:10">
      <c r="A1459" s="383"/>
      <c r="B1459" s="383">
        <f>'DT Short List'!A111</f>
        <v>0</v>
      </c>
      <c r="C1459" s="383">
        <f>'DT Short List'!H111</f>
        <v>0</v>
      </c>
      <c r="D1459" s="383">
        <f>'DT Short List'!F111</f>
        <v>0</v>
      </c>
      <c r="E1459" s="383"/>
      <c r="F1459" s="383"/>
      <c r="G1459" s="383"/>
      <c r="H1459" s="383"/>
      <c r="I1459" s="385" t="b">
        <v>0</v>
      </c>
      <c r="J1459" s="386"/>
    </row>
    <row r="1460" spans="1:10">
      <c r="A1460" s="383"/>
      <c r="B1460" s="383">
        <f>'DT Short List'!A112</f>
        <v>0</v>
      </c>
      <c r="C1460" s="383">
        <f>'DT Short List'!H112</f>
        <v>0</v>
      </c>
      <c r="D1460" s="383">
        <f>'DT Short List'!F112</f>
        <v>0</v>
      </c>
      <c r="E1460" s="383"/>
      <c r="F1460" s="383"/>
      <c r="G1460" s="383"/>
      <c r="H1460" s="383"/>
      <c r="I1460" s="385" t="b">
        <v>0</v>
      </c>
      <c r="J1460" s="386"/>
    </row>
    <row r="1461" spans="1:10">
      <c r="A1461" s="383"/>
      <c r="B1461" s="383">
        <f>'DT Short List'!A113</f>
        <v>0</v>
      </c>
      <c r="C1461" s="383">
        <f>'DT Short List'!H113</f>
        <v>0</v>
      </c>
      <c r="D1461" s="383">
        <f>'DT Short List'!F113</f>
        <v>0</v>
      </c>
      <c r="E1461" s="383"/>
      <c r="F1461" s="383"/>
      <c r="G1461" s="383"/>
      <c r="H1461" s="383"/>
      <c r="I1461" s="385" t="b">
        <v>0</v>
      </c>
      <c r="J1461" s="386"/>
    </row>
    <row r="1462" spans="1:10">
      <c r="A1462" s="383"/>
      <c r="B1462" s="383">
        <f>'DT Short List'!A114</f>
        <v>0</v>
      </c>
      <c r="C1462" s="383">
        <f>'DT Short List'!H114</f>
        <v>0</v>
      </c>
      <c r="D1462" s="383">
        <f>'DT Short List'!F114</f>
        <v>0</v>
      </c>
      <c r="E1462" s="383"/>
      <c r="F1462" s="383"/>
      <c r="G1462" s="383"/>
      <c r="H1462" s="383"/>
      <c r="I1462" s="385" t="b">
        <v>0</v>
      </c>
      <c r="J1462" s="386"/>
    </row>
    <row r="1463" spans="1:10">
      <c r="A1463" s="383"/>
      <c r="B1463" s="383">
        <f>'DT Short List'!A115</f>
        <v>0</v>
      </c>
      <c r="C1463" s="383">
        <f>'DT Short List'!H115</f>
        <v>0</v>
      </c>
      <c r="D1463" s="383">
        <f>'DT Short List'!F115</f>
        <v>0</v>
      </c>
      <c r="E1463" s="383"/>
      <c r="F1463" s="383"/>
      <c r="G1463" s="383"/>
      <c r="H1463" s="383"/>
      <c r="I1463" s="385" t="b">
        <v>0</v>
      </c>
      <c r="J1463" s="386"/>
    </row>
    <row r="1464" spans="1:10">
      <c r="A1464" s="383"/>
      <c r="B1464" s="383">
        <f>'DT Short List'!A116</f>
        <v>0</v>
      </c>
      <c r="C1464" s="383">
        <f>'DT Short List'!H116</f>
        <v>0</v>
      </c>
      <c r="D1464" s="383">
        <f>'DT Short List'!F116</f>
        <v>0</v>
      </c>
      <c r="E1464" s="383"/>
      <c r="F1464" s="383"/>
      <c r="G1464" s="383"/>
      <c r="H1464" s="383"/>
      <c r="I1464" s="385" t="b">
        <v>0</v>
      </c>
      <c r="J1464" s="386"/>
    </row>
    <row r="1465" spans="1:10">
      <c r="A1465" s="383"/>
      <c r="B1465" s="383">
        <f>'DT Short List'!A117</f>
        <v>0</v>
      </c>
      <c r="C1465" s="383">
        <f>'DT Short List'!H117</f>
        <v>0</v>
      </c>
      <c r="D1465" s="383">
        <f>'DT Short List'!F117</f>
        <v>0</v>
      </c>
      <c r="E1465" s="383"/>
      <c r="F1465" s="383"/>
      <c r="G1465" s="383"/>
      <c r="H1465" s="383"/>
      <c r="I1465" s="385" t="b">
        <v>0</v>
      </c>
      <c r="J1465" s="386"/>
    </row>
    <row r="1466" spans="1:10">
      <c r="A1466" s="383"/>
      <c r="B1466" s="383">
        <f>'DT Short List'!A118</f>
        <v>0</v>
      </c>
      <c r="C1466" s="383">
        <f>'DT Short List'!H118</f>
        <v>0</v>
      </c>
      <c r="D1466" s="383">
        <f>'DT Short List'!F118</f>
        <v>0</v>
      </c>
      <c r="E1466" s="383"/>
      <c r="F1466" s="383"/>
      <c r="G1466" s="383"/>
      <c r="H1466" s="383"/>
      <c r="I1466" s="385" t="b">
        <v>0</v>
      </c>
      <c r="J1466" s="386"/>
    </row>
    <row r="1467" spans="1:10">
      <c r="A1467" s="383"/>
      <c r="B1467" s="383">
        <f>'DT Short List'!A119</f>
        <v>0</v>
      </c>
      <c r="C1467" s="383">
        <f>'DT Short List'!H119</f>
        <v>0</v>
      </c>
      <c r="D1467" s="383">
        <f>'DT Short List'!F119</f>
        <v>0</v>
      </c>
      <c r="E1467" s="383"/>
      <c r="F1467" s="383"/>
      <c r="G1467" s="383"/>
      <c r="H1467" s="383"/>
      <c r="I1467" s="385" t="b">
        <v>0</v>
      </c>
      <c r="J1467" s="386"/>
    </row>
    <row r="1468" spans="1:10">
      <c r="A1468" s="383"/>
      <c r="B1468" s="383">
        <f>'DT Short List'!A120</f>
        <v>0</v>
      </c>
      <c r="C1468" s="383">
        <f>'DT Short List'!H120</f>
        <v>0</v>
      </c>
      <c r="D1468" s="383">
        <f>'DT Short List'!F120</f>
        <v>0</v>
      </c>
      <c r="E1468" s="383"/>
      <c r="F1468" s="383"/>
      <c r="G1468" s="383"/>
      <c r="H1468" s="383"/>
      <c r="I1468" s="385" t="b">
        <v>0</v>
      </c>
      <c r="J1468" s="386"/>
    </row>
    <row r="1469" spans="1:10">
      <c r="A1469" s="383"/>
      <c r="B1469" s="383">
        <f>'DT Short List'!A121</f>
        <v>0</v>
      </c>
      <c r="C1469" s="383">
        <f>'DT Short List'!H121</f>
        <v>0</v>
      </c>
      <c r="D1469" s="383">
        <f>'DT Short List'!F121</f>
        <v>0</v>
      </c>
      <c r="E1469" s="383"/>
      <c r="F1469" s="383"/>
      <c r="G1469" s="383"/>
      <c r="H1469" s="383"/>
      <c r="I1469" s="385" t="b">
        <v>0</v>
      </c>
      <c r="J1469" s="386"/>
    </row>
    <row r="1470" spans="1:10">
      <c r="A1470" s="383"/>
      <c r="B1470" s="383">
        <f>'DT Short List'!A122</f>
        <v>0</v>
      </c>
      <c r="C1470" s="383">
        <f>'DT Short List'!H122</f>
        <v>0</v>
      </c>
      <c r="D1470" s="383">
        <f>'DT Short List'!F122</f>
        <v>0</v>
      </c>
      <c r="E1470" s="383"/>
      <c r="F1470" s="383"/>
      <c r="G1470" s="383"/>
      <c r="H1470" s="383"/>
      <c r="I1470" s="385" t="b">
        <v>0</v>
      </c>
      <c r="J1470" s="386"/>
    </row>
    <row r="1471" spans="1:10">
      <c r="A1471" s="383"/>
      <c r="B1471" s="383">
        <f>'DT Short List'!A123</f>
        <v>0</v>
      </c>
      <c r="C1471" s="383">
        <f>'DT Short List'!H123</f>
        <v>0</v>
      </c>
      <c r="D1471" s="383">
        <f>'DT Short List'!F123</f>
        <v>0</v>
      </c>
      <c r="E1471" s="383"/>
      <c r="F1471" s="383"/>
      <c r="G1471" s="383"/>
      <c r="H1471" s="383"/>
      <c r="I1471" s="385" t="b">
        <v>0</v>
      </c>
      <c r="J1471" s="386"/>
    </row>
    <row r="1472" spans="1:10">
      <c r="A1472" s="383"/>
      <c r="B1472" s="383">
        <f>'DT Short List'!A124</f>
        <v>0</v>
      </c>
      <c r="C1472" s="383">
        <f>'DT Short List'!H124</f>
        <v>0</v>
      </c>
      <c r="D1472" s="383">
        <f>'DT Short List'!F124</f>
        <v>0</v>
      </c>
      <c r="E1472" s="383"/>
      <c r="F1472" s="383"/>
      <c r="G1472" s="383"/>
      <c r="H1472" s="383"/>
      <c r="I1472" s="385" t="b">
        <v>0</v>
      </c>
      <c r="J1472" s="386"/>
    </row>
    <row r="1473" spans="1:10">
      <c r="A1473" s="383"/>
      <c r="B1473" s="383">
        <f>'DT Short List'!A125</f>
        <v>0</v>
      </c>
      <c r="C1473" s="383">
        <f>'DT Short List'!H125</f>
        <v>0</v>
      </c>
      <c r="D1473" s="383">
        <f>'DT Short List'!F125</f>
        <v>0</v>
      </c>
      <c r="E1473" s="383"/>
      <c r="F1473" s="383"/>
      <c r="G1473" s="383"/>
      <c r="H1473" s="383"/>
      <c r="I1473" s="385" t="b">
        <v>0</v>
      </c>
      <c r="J1473" s="386"/>
    </row>
    <row r="1474" spans="1:10">
      <c r="A1474" s="383"/>
      <c r="B1474" s="383">
        <f>'DT Short List'!A126</f>
        <v>0</v>
      </c>
      <c r="C1474" s="383">
        <f>'DT Short List'!H126</f>
        <v>0</v>
      </c>
      <c r="D1474" s="383">
        <f>'DT Short List'!F126</f>
        <v>0</v>
      </c>
      <c r="E1474" s="383"/>
      <c r="F1474" s="383"/>
      <c r="G1474" s="383"/>
      <c r="H1474" s="383"/>
      <c r="I1474" s="385" t="b">
        <v>0</v>
      </c>
      <c r="J1474" s="386"/>
    </row>
    <row r="1475" spans="1:10">
      <c r="A1475" s="383"/>
      <c r="B1475" s="383">
        <f>'DT Short List'!A127</f>
        <v>0</v>
      </c>
      <c r="C1475" s="383">
        <f>'DT Short List'!H127</f>
        <v>0</v>
      </c>
      <c r="D1475" s="383">
        <f>'DT Short List'!F127</f>
        <v>0</v>
      </c>
      <c r="E1475" s="383"/>
      <c r="F1475" s="383"/>
      <c r="G1475" s="383"/>
      <c r="H1475" s="383"/>
      <c r="I1475" s="385" t="b">
        <v>0</v>
      </c>
      <c r="J1475" s="386"/>
    </row>
    <row r="1476" spans="1:10">
      <c r="A1476" s="383"/>
      <c r="B1476" s="383">
        <f>'DT Short List'!A128</f>
        <v>0</v>
      </c>
      <c r="C1476" s="383">
        <f>'DT Short List'!H128</f>
        <v>0</v>
      </c>
      <c r="D1476" s="383">
        <f>'DT Short List'!F128</f>
        <v>0</v>
      </c>
      <c r="E1476" s="383"/>
      <c r="F1476" s="383"/>
      <c r="G1476" s="383"/>
      <c r="H1476" s="383"/>
      <c r="I1476" s="385" t="b">
        <v>0</v>
      </c>
      <c r="J1476" s="386"/>
    </row>
    <row r="1477" spans="1:10">
      <c r="A1477" s="383"/>
      <c r="B1477" s="383">
        <f>'DT Short List'!A129</f>
        <v>0</v>
      </c>
      <c r="C1477" s="383">
        <f>'DT Short List'!H129</f>
        <v>0</v>
      </c>
      <c r="D1477" s="383">
        <f>'DT Short List'!F129</f>
        <v>0</v>
      </c>
      <c r="E1477" s="383"/>
      <c r="F1477" s="383"/>
      <c r="G1477" s="383"/>
      <c r="H1477" s="383"/>
      <c r="I1477" s="385" t="b">
        <v>0</v>
      </c>
      <c r="J1477" s="386"/>
    </row>
    <row r="1478" spans="1:10">
      <c r="A1478" s="383"/>
      <c r="B1478" s="383">
        <f>'DT Short List'!A130</f>
        <v>0</v>
      </c>
      <c r="C1478" s="383">
        <f>'DT Short List'!H130</f>
        <v>0</v>
      </c>
      <c r="D1478" s="383">
        <f>'DT Short List'!F130</f>
        <v>0</v>
      </c>
      <c r="E1478" s="383"/>
      <c r="F1478" s="383"/>
      <c r="G1478" s="383"/>
      <c r="H1478" s="383"/>
      <c r="I1478" s="385" t="b">
        <v>0</v>
      </c>
      <c r="J1478" s="386"/>
    </row>
    <row r="1479" spans="1:10">
      <c r="A1479" s="383"/>
      <c r="B1479" s="383">
        <f>'DT Short List'!A131</f>
        <v>0</v>
      </c>
      <c r="C1479" s="383">
        <f>'DT Short List'!H131</f>
        <v>0</v>
      </c>
      <c r="D1479" s="383">
        <f>'DT Short List'!F131</f>
        <v>0</v>
      </c>
      <c r="E1479" s="383"/>
      <c r="F1479" s="383"/>
      <c r="G1479" s="383"/>
      <c r="H1479" s="383"/>
      <c r="I1479" s="385" t="b">
        <v>0</v>
      </c>
      <c r="J1479" s="386"/>
    </row>
    <row r="1480" spans="1:10">
      <c r="A1480" s="383"/>
      <c r="B1480" s="383">
        <f>'DT Short List'!A132</f>
        <v>0</v>
      </c>
      <c r="C1480" s="383">
        <f>'DT Short List'!H132</f>
        <v>0</v>
      </c>
      <c r="D1480" s="383">
        <f>'DT Short List'!F132</f>
        <v>0</v>
      </c>
      <c r="E1480" s="383"/>
      <c r="F1480" s="383"/>
      <c r="G1480" s="383"/>
      <c r="H1480" s="383"/>
      <c r="I1480" s="385" t="b">
        <v>0</v>
      </c>
      <c r="J1480" s="386"/>
    </row>
    <row r="1481" spans="1:10">
      <c r="A1481" s="383"/>
      <c r="B1481" s="383">
        <f>'DT Short List'!A133</f>
        <v>0</v>
      </c>
      <c r="C1481" s="383">
        <f>'DT Short List'!H133</f>
        <v>0</v>
      </c>
      <c r="D1481" s="383">
        <f>'DT Short List'!F133</f>
        <v>0</v>
      </c>
      <c r="E1481" s="383"/>
      <c r="F1481" s="383"/>
      <c r="G1481" s="383"/>
      <c r="H1481" s="383"/>
      <c r="I1481" s="385" t="b">
        <v>0</v>
      </c>
      <c r="J1481" s="386"/>
    </row>
    <row r="1482" spans="1:10">
      <c r="A1482" s="383"/>
      <c r="B1482" s="383">
        <f>'DT Short List'!A134</f>
        <v>0</v>
      </c>
      <c r="C1482" s="383">
        <f>'DT Short List'!H134</f>
        <v>0</v>
      </c>
      <c r="D1482" s="383">
        <f>'DT Short List'!F134</f>
        <v>0</v>
      </c>
      <c r="E1482" s="383"/>
      <c r="F1482" s="383"/>
      <c r="G1482" s="383"/>
      <c r="H1482" s="383"/>
      <c r="I1482" s="385" t="b">
        <v>0</v>
      </c>
      <c r="J1482" s="386"/>
    </row>
    <row r="1483" spans="1:10">
      <c r="A1483" s="383"/>
      <c r="B1483" s="383">
        <f>'DT Short List'!A135</f>
        <v>0</v>
      </c>
      <c r="C1483" s="383">
        <f>'DT Short List'!H135</f>
        <v>0</v>
      </c>
      <c r="D1483" s="383">
        <f>'DT Short List'!F135</f>
        <v>0</v>
      </c>
      <c r="E1483" s="383"/>
      <c r="F1483" s="383"/>
      <c r="G1483" s="383"/>
      <c r="H1483" s="383"/>
      <c r="I1483" s="385" t="b">
        <v>0</v>
      </c>
      <c r="J1483" s="386"/>
    </row>
    <row r="1484" spans="1:10">
      <c r="A1484" s="383"/>
      <c r="B1484" s="383">
        <f>'DT Short List'!A136</f>
        <v>0</v>
      </c>
      <c r="C1484" s="383">
        <f>'DT Short List'!H136</f>
        <v>0</v>
      </c>
      <c r="D1484" s="383">
        <f>'DT Short List'!F136</f>
        <v>0</v>
      </c>
      <c r="E1484" s="383"/>
      <c r="F1484" s="383"/>
      <c r="G1484" s="383"/>
      <c r="H1484" s="383"/>
      <c r="I1484" s="385" t="b">
        <v>0</v>
      </c>
      <c r="J1484" s="386"/>
    </row>
    <row r="1485" spans="1:10">
      <c r="A1485" s="383"/>
      <c r="B1485" s="383">
        <f>'DT Short List'!A137</f>
        <v>0</v>
      </c>
      <c r="C1485" s="383">
        <f>'DT Short List'!H137</f>
        <v>0</v>
      </c>
      <c r="D1485" s="383">
        <f>'DT Short List'!F137</f>
        <v>0</v>
      </c>
      <c r="E1485" s="383"/>
      <c r="F1485" s="383"/>
      <c r="G1485" s="383"/>
      <c r="H1485" s="383"/>
      <c r="I1485" s="385" t="b">
        <v>0</v>
      </c>
      <c r="J1485" s="386"/>
    </row>
    <row r="1486" spans="1:10">
      <c r="A1486" s="383"/>
      <c r="B1486" s="383">
        <f>'DT Short List'!A138</f>
        <v>0</v>
      </c>
      <c r="C1486" s="383">
        <f>'DT Short List'!H138</f>
        <v>0</v>
      </c>
      <c r="D1486" s="383">
        <f>'DT Short List'!F138</f>
        <v>0</v>
      </c>
      <c r="E1486" s="383"/>
      <c r="F1486" s="383"/>
      <c r="G1486" s="383"/>
      <c r="H1486" s="383"/>
      <c r="I1486" s="385" t="b">
        <v>0</v>
      </c>
      <c r="J1486" s="386"/>
    </row>
    <row r="1487" spans="1:10">
      <c r="A1487" s="383"/>
      <c r="B1487" s="383">
        <f>'DT Short List'!A139</f>
        <v>0</v>
      </c>
      <c r="C1487" s="383">
        <f>'DT Short List'!H139</f>
        <v>0</v>
      </c>
      <c r="D1487" s="383">
        <f>'DT Short List'!F139</f>
        <v>0</v>
      </c>
      <c r="E1487" s="383"/>
      <c r="F1487" s="383"/>
      <c r="G1487" s="383"/>
      <c r="H1487" s="383"/>
      <c r="I1487" s="385" t="b">
        <v>0</v>
      </c>
      <c r="J1487" s="386"/>
    </row>
    <row r="1488" spans="1:10">
      <c r="A1488" s="383"/>
      <c r="B1488" s="383">
        <f>'DT Short List'!A140</f>
        <v>0</v>
      </c>
      <c r="C1488" s="383">
        <f>'DT Short List'!H140</f>
        <v>0</v>
      </c>
      <c r="D1488" s="383">
        <f>'DT Short List'!F140</f>
        <v>0</v>
      </c>
      <c r="E1488" s="383"/>
      <c r="F1488" s="383"/>
      <c r="G1488" s="383"/>
      <c r="H1488" s="383"/>
      <c r="I1488" s="385" t="b">
        <v>0</v>
      </c>
      <c r="J1488" s="386"/>
    </row>
    <row r="1489" spans="1:10">
      <c r="A1489" s="383"/>
      <c r="B1489" s="383">
        <f>'DT Short List'!A141</f>
        <v>0</v>
      </c>
      <c r="C1489" s="383">
        <f>'DT Short List'!H141</f>
        <v>0</v>
      </c>
      <c r="D1489" s="383">
        <f>'DT Short List'!F141</f>
        <v>0</v>
      </c>
      <c r="E1489" s="383"/>
      <c r="F1489" s="383"/>
      <c r="G1489" s="383"/>
      <c r="H1489" s="383"/>
      <c r="I1489" s="385" t="b">
        <v>0</v>
      </c>
      <c r="J1489" s="386"/>
    </row>
    <row r="1490" spans="1:10">
      <c r="A1490" s="383"/>
      <c r="B1490" s="383">
        <f>'DT Short List'!A142</f>
        <v>0</v>
      </c>
      <c r="C1490" s="383">
        <f>'DT Short List'!H142</f>
        <v>0</v>
      </c>
      <c r="D1490" s="383">
        <f>'DT Short List'!F142</f>
        <v>0</v>
      </c>
      <c r="E1490" s="383"/>
      <c r="F1490" s="383"/>
      <c r="G1490" s="383"/>
      <c r="H1490" s="383"/>
      <c r="I1490" s="385" t="b">
        <v>0</v>
      </c>
      <c r="J1490" s="386"/>
    </row>
    <row r="1491" spans="1:10">
      <c r="A1491" s="383"/>
      <c r="B1491" s="383">
        <f>'DT Short List'!A143</f>
        <v>0</v>
      </c>
      <c r="C1491" s="383">
        <f>'DT Short List'!H143</f>
        <v>0</v>
      </c>
      <c r="D1491" s="383">
        <f>'DT Short List'!F143</f>
        <v>0</v>
      </c>
      <c r="E1491" s="383"/>
      <c r="F1491" s="383"/>
      <c r="G1491" s="383"/>
      <c r="H1491" s="383"/>
      <c r="I1491" s="385" t="b">
        <v>0</v>
      </c>
      <c r="J1491" s="386"/>
    </row>
    <row r="1492" spans="1:10">
      <c r="A1492" s="383"/>
      <c r="B1492" s="383">
        <f>'DT Short List'!A144</f>
        <v>0</v>
      </c>
      <c r="C1492" s="383">
        <f>'DT Short List'!H144</f>
        <v>0</v>
      </c>
      <c r="D1492" s="383">
        <f>'DT Short List'!F144</f>
        <v>0</v>
      </c>
      <c r="E1492" s="383"/>
      <c r="F1492" s="383"/>
      <c r="G1492" s="383"/>
      <c r="H1492" s="383"/>
      <c r="I1492" s="385" t="b">
        <v>0</v>
      </c>
      <c r="J1492" s="386"/>
    </row>
    <row r="1493" spans="1:10">
      <c r="A1493" s="383"/>
      <c r="B1493" s="383">
        <f>'DT Short List'!A145</f>
        <v>0</v>
      </c>
      <c r="C1493" s="383">
        <f>'DT Short List'!H145</f>
        <v>0</v>
      </c>
      <c r="D1493" s="383">
        <f>'DT Short List'!F145</f>
        <v>0</v>
      </c>
      <c r="E1493" s="383"/>
      <c r="F1493" s="383"/>
      <c r="G1493" s="383"/>
      <c r="H1493" s="383"/>
      <c r="I1493" s="385" t="b">
        <v>0</v>
      </c>
      <c r="J1493" s="386"/>
    </row>
    <row r="1494" spans="1:10">
      <c r="A1494" s="383"/>
      <c r="B1494" s="383">
        <f>'DT Short List'!A146</f>
        <v>0</v>
      </c>
      <c r="C1494" s="383">
        <f>'DT Short List'!H146</f>
        <v>0</v>
      </c>
      <c r="D1494" s="383">
        <f>'DT Short List'!F146</f>
        <v>0</v>
      </c>
      <c r="E1494" s="383"/>
      <c r="F1494" s="383"/>
      <c r="G1494" s="383"/>
      <c r="H1494" s="383"/>
      <c r="I1494" s="385" t="b">
        <v>0</v>
      </c>
      <c r="J1494" s="386"/>
    </row>
    <row r="1495" spans="1:10">
      <c r="A1495" s="383"/>
      <c r="B1495" s="383">
        <f>'DT Short List'!A147</f>
        <v>0</v>
      </c>
      <c r="C1495" s="383">
        <f>'DT Short List'!H147</f>
        <v>0</v>
      </c>
      <c r="D1495" s="383">
        <f>'DT Short List'!F147</f>
        <v>0</v>
      </c>
      <c r="E1495" s="383"/>
      <c r="F1495" s="383"/>
      <c r="G1495" s="383"/>
      <c r="H1495" s="383"/>
      <c r="I1495" s="385" t="b">
        <v>0</v>
      </c>
      <c r="J1495" s="386"/>
    </row>
    <row r="1496" spans="1:10">
      <c r="A1496" s="383"/>
      <c r="B1496" s="383">
        <f>'DT Short List'!A148</f>
        <v>0</v>
      </c>
      <c r="C1496" s="383">
        <f>'DT Short List'!H148</f>
        <v>0</v>
      </c>
      <c r="D1496" s="383">
        <f>'DT Short List'!F148</f>
        <v>0</v>
      </c>
      <c r="E1496" s="383"/>
      <c r="F1496" s="383"/>
      <c r="G1496" s="383"/>
      <c r="H1496" s="383"/>
      <c r="I1496" s="385" t="b">
        <v>0</v>
      </c>
      <c r="J1496" s="386"/>
    </row>
    <row r="1497" spans="1:10">
      <c r="A1497" s="383"/>
      <c r="B1497" s="383">
        <f>'DT Short List'!A149</f>
        <v>0</v>
      </c>
      <c r="C1497" s="383">
        <f>'DT Short List'!H149</f>
        <v>0</v>
      </c>
      <c r="D1497" s="383">
        <f>'DT Short List'!F149</f>
        <v>0</v>
      </c>
      <c r="E1497" s="383"/>
      <c r="F1497" s="383"/>
      <c r="G1497" s="383"/>
      <c r="H1497" s="383"/>
      <c r="I1497" s="385" t="b">
        <v>0</v>
      </c>
      <c r="J1497" s="386"/>
    </row>
    <row r="1498" spans="1:10">
      <c r="A1498" s="383"/>
      <c r="B1498" s="383">
        <f>'DT Short List'!A150</f>
        <v>0</v>
      </c>
      <c r="C1498" s="383">
        <f>'DT Short List'!H150</f>
        <v>0</v>
      </c>
      <c r="D1498" s="383">
        <f>'DT Short List'!F150</f>
        <v>0</v>
      </c>
      <c r="E1498" s="383"/>
      <c r="F1498" s="383"/>
      <c r="G1498" s="383"/>
      <c r="H1498" s="383"/>
      <c r="I1498" s="385" t="b">
        <v>0</v>
      </c>
      <c r="J1498" s="386"/>
    </row>
    <row r="1499" spans="1:10">
      <c r="A1499" s="383"/>
      <c r="B1499" s="383">
        <f>'DT Short List'!A151</f>
        <v>0</v>
      </c>
      <c r="C1499" s="383">
        <f>'DT Short List'!H151</f>
        <v>0</v>
      </c>
      <c r="D1499" s="383">
        <f>'DT Short List'!F151</f>
        <v>0</v>
      </c>
      <c r="E1499" s="383"/>
      <c r="F1499" s="383"/>
      <c r="G1499" s="383"/>
      <c r="H1499" s="383"/>
      <c r="I1499" s="385" t="b">
        <v>0</v>
      </c>
      <c r="J1499" s="386"/>
    </row>
    <row r="1500" spans="1:10">
      <c r="A1500" s="383"/>
      <c r="B1500" s="383">
        <f>'DT Short List'!A152</f>
        <v>0</v>
      </c>
      <c r="C1500" s="383">
        <f>'DT Short List'!H152</f>
        <v>0</v>
      </c>
      <c r="D1500" s="383">
        <f>'DT Short List'!F152</f>
        <v>0</v>
      </c>
      <c r="E1500" s="383"/>
      <c r="F1500" s="383"/>
      <c r="G1500" s="383"/>
      <c r="H1500" s="383"/>
      <c r="I1500" s="385" t="b">
        <v>0</v>
      </c>
      <c r="J1500" s="386"/>
    </row>
    <row r="1501" spans="1:10">
      <c r="A1501" s="383"/>
      <c r="B1501" s="383">
        <f>'DT Short List'!A153</f>
        <v>0</v>
      </c>
      <c r="C1501" s="383">
        <f>'DT Short List'!H153</f>
        <v>0</v>
      </c>
      <c r="D1501" s="383">
        <f>'DT Short List'!F153</f>
        <v>0</v>
      </c>
      <c r="E1501" s="383"/>
      <c r="F1501" s="383"/>
      <c r="G1501" s="383"/>
      <c r="H1501" s="383"/>
      <c r="I1501" s="385" t="b">
        <v>0</v>
      </c>
      <c r="J1501" s="386"/>
    </row>
    <row r="1502" spans="1:10">
      <c r="A1502" s="383"/>
      <c r="B1502" s="383">
        <f>'DT Short List'!A154</f>
        <v>0</v>
      </c>
      <c r="C1502" s="383">
        <f>'DT Short List'!H154</f>
        <v>0</v>
      </c>
      <c r="D1502" s="383">
        <f>'DT Short List'!F154</f>
        <v>0</v>
      </c>
      <c r="E1502" s="383"/>
      <c r="F1502" s="383"/>
      <c r="G1502" s="383"/>
      <c r="H1502" s="383"/>
      <c r="I1502" s="385" t="b">
        <v>0</v>
      </c>
      <c r="J1502" s="386"/>
    </row>
    <row r="1503" spans="1:10">
      <c r="A1503" s="383"/>
      <c r="B1503" s="383">
        <f>'DT Short List'!A155</f>
        <v>0</v>
      </c>
      <c r="C1503" s="383">
        <f>'DT Short List'!H155</f>
        <v>0</v>
      </c>
      <c r="D1503" s="383">
        <f>'DT Short List'!F155</f>
        <v>0</v>
      </c>
      <c r="E1503" s="383"/>
      <c r="F1503" s="383"/>
      <c r="G1503" s="383"/>
      <c r="H1503" s="383"/>
      <c r="I1503" s="385" t="b">
        <v>0</v>
      </c>
      <c r="J1503" s="386"/>
    </row>
    <row r="1504" spans="1:10">
      <c r="A1504" s="383"/>
      <c r="B1504" s="383">
        <f>'DT Short List'!A156</f>
        <v>0</v>
      </c>
      <c r="C1504" s="383">
        <f>'DT Short List'!H156</f>
        <v>0</v>
      </c>
      <c r="D1504" s="383">
        <f>'DT Short List'!F156</f>
        <v>0</v>
      </c>
      <c r="E1504" s="383"/>
      <c r="F1504" s="383"/>
      <c r="G1504" s="383"/>
      <c r="H1504" s="383"/>
      <c r="I1504" s="385" t="b">
        <v>0</v>
      </c>
      <c r="J1504" s="386"/>
    </row>
    <row r="1505" spans="1:10">
      <c r="A1505" s="383"/>
      <c r="B1505" s="383">
        <f>'DT Short List'!A157</f>
        <v>0</v>
      </c>
      <c r="C1505" s="383">
        <f>'DT Short List'!H157</f>
        <v>0</v>
      </c>
      <c r="D1505" s="383">
        <f>'DT Short List'!F157</f>
        <v>0</v>
      </c>
      <c r="E1505" s="383"/>
      <c r="F1505" s="383"/>
      <c r="G1505" s="383"/>
      <c r="H1505" s="383"/>
      <c r="I1505" s="385" t="b">
        <v>0</v>
      </c>
      <c r="J1505" s="386"/>
    </row>
    <row r="1506" spans="1:10">
      <c r="A1506" s="383"/>
      <c r="B1506" s="383">
        <f>'DT Short List'!A158</f>
        <v>0</v>
      </c>
      <c r="C1506" s="383">
        <f>'DT Short List'!H158</f>
        <v>0</v>
      </c>
      <c r="D1506" s="383">
        <f>'DT Short List'!F158</f>
        <v>0</v>
      </c>
      <c r="E1506" s="383"/>
      <c r="F1506" s="383"/>
      <c r="G1506" s="383"/>
      <c r="H1506" s="383"/>
      <c r="I1506" s="385" t="b">
        <v>0</v>
      </c>
      <c r="J1506" s="386"/>
    </row>
    <row r="1507" spans="1:10">
      <c r="A1507" s="383"/>
      <c r="B1507" s="383">
        <f>'DT Short List'!A159</f>
        <v>0</v>
      </c>
      <c r="C1507" s="383">
        <f>'DT Short List'!H159</f>
        <v>0</v>
      </c>
      <c r="D1507" s="383">
        <f>'DT Short List'!F159</f>
        <v>0</v>
      </c>
      <c r="E1507" s="383"/>
      <c r="F1507" s="383"/>
      <c r="G1507" s="383"/>
      <c r="H1507" s="383"/>
      <c r="I1507" s="385" t="b">
        <v>0</v>
      </c>
      <c r="J1507" s="386"/>
    </row>
    <row r="1508" spans="1:10">
      <c r="A1508" s="383"/>
      <c r="B1508" s="383">
        <f>'DT Short List'!A160</f>
        <v>0</v>
      </c>
      <c r="C1508" s="383">
        <f>'DT Short List'!H160</f>
        <v>0</v>
      </c>
      <c r="D1508" s="383">
        <f>'DT Short List'!F160</f>
        <v>0</v>
      </c>
      <c r="E1508" s="383"/>
      <c r="F1508" s="383"/>
      <c r="G1508" s="383"/>
      <c r="H1508" s="383"/>
      <c r="I1508" s="385" t="b">
        <v>0</v>
      </c>
      <c r="J1508" s="386"/>
    </row>
    <row r="1509" spans="1:10">
      <c r="A1509" s="383"/>
      <c r="B1509" s="383">
        <f>'DT Short List'!A161</f>
        <v>0</v>
      </c>
      <c r="C1509" s="383">
        <f>'DT Short List'!H161</f>
        <v>0</v>
      </c>
      <c r="D1509" s="383">
        <f>'DT Short List'!F161</f>
        <v>0</v>
      </c>
      <c r="E1509" s="383"/>
      <c r="F1509" s="383"/>
      <c r="G1509" s="383"/>
      <c r="H1509" s="383"/>
      <c r="I1509" s="385" t="b">
        <v>0</v>
      </c>
      <c r="J1509" s="386"/>
    </row>
    <row r="1510" spans="1:10">
      <c r="A1510" s="383"/>
      <c r="B1510" s="383">
        <f>'DT Short List'!A162</f>
        <v>0</v>
      </c>
      <c r="C1510" s="383">
        <f>'DT Short List'!H162</f>
        <v>0</v>
      </c>
      <c r="D1510" s="383">
        <f>'DT Short List'!F162</f>
        <v>0</v>
      </c>
      <c r="E1510" s="383"/>
      <c r="F1510" s="383"/>
      <c r="G1510" s="383"/>
      <c r="H1510" s="383"/>
      <c r="I1510" s="385" t="b">
        <v>0</v>
      </c>
      <c r="J1510" s="386"/>
    </row>
    <row r="1511" spans="1:10">
      <c r="A1511" s="383"/>
      <c r="B1511" s="383">
        <f>'DT Short List'!A163</f>
        <v>0</v>
      </c>
      <c r="C1511" s="383">
        <f>'DT Short List'!H163</f>
        <v>0</v>
      </c>
      <c r="D1511" s="383">
        <f>'DT Short List'!F163</f>
        <v>0</v>
      </c>
      <c r="E1511" s="383"/>
      <c r="F1511" s="383"/>
      <c r="G1511" s="383"/>
      <c r="H1511" s="383"/>
      <c r="I1511" s="385" t="b">
        <v>0</v>
      </c>
      <c r="J1511" s="386"/>
    </row>
    <row r="1512" spans="1:10">
      <c r="A1512" s="383"/>
      <c r="B1512" s="383">
        <f>'DT Short List'!A164</f>
        <v>0</v>
      </c>
      <c r="C1512" s="383">
        <f>'DT Short List'!H164</f>
        <v>0</v>
      </c>
      <c r="D1512" s="383">
        <f>'DT Short List'!F164</f>
        <v>0</v>
      </c>
      <c r="E1512" s="383"/>
      <c r="F1512" s="383"/>
      <c r="G1512" s="383"/>
      <c r="H1512" s="383"/>
      <c r="I1512" s="385" t="b">
        <v>0</v>
      </c>
      <c r="J1512" s="386"/>
    </row>
    <row r="1513" spans="1:10">
      <c r="A1513" s="383"/>
      <c r="B1513" s="383">
        <f>'DT Short List'!A165</f>
        <v>0</v>
      </c>
      <c r="C1513" s="383">
        <f>'DT Short List'!H165</f>
        <v>0</v>
      </c>
      <c r="D1513" s="383">
        <f>'DT Short List'!F165</f>
        <v>0</v>
      </c>
      <c r="E1513" s="383"/>
      <c r="F1513" s="383"/>
      <c r="G1513" s="383"/>
      <c r="H1513" s="383"/>
      <c r="I1513" s="385" t="b">
        <v>0</v>
      </c>
      <c r="J1513" s="386"/>
    </row>
    <row r="1514" spans="1:10">
      <c r="A1514" s="383"/>
      <c r="B1514" s="383">
        <f>'DT Short List'!A166</f>
        <v>0</v>
      </c>
      <c r="C1514" s="383">
        <f>'DT Short List'!H166</f>
        <v>0</v>
      </c>
      <c r="D1514" s="383">
        <f>'DT Short List'!F166</f>
        <v>0</v>
      </c>
      <c r="E1514" s="383"/>
      <c r="F1514" s="383"/>
      <c r="G1514" s="383"/>
      <c r="H1514" s="383"/>
      <c r="I1514" s="385" t="b">
        <v>0</v>
      </c>
      <c r="J1514" s="386"/>
    </row>
    <row r="1515" spans="1:10">
      <c r="A1515" s="383"/>
      <c r="B1515" s="383">
        <f>'DT Short List'!A167</f>
        <v>0</v>
      </c>
      <c r="C1515" s="383">
        <f>'DT Short List'!H167</f>
        <v>0</v>
      </c>
      <c r="D1515" s="383">
        <f>'DT Short List'!F167</f>
        <v>0</v>
      </c>
      <c r="E1515" s="383"/>
      <c r="F1515" s="383"/>
      <c r="G1515" s="383"/>
      <c r="H1515" s="383"/>
      <c r="I1515" s="385" t="b">
        <v>0</v>
      </c>
      <c r="J1515" s="386"/>
    </row>
    <row r="1516" spans="1:10">
      <c r="A1516" s="383"/>
      <c r="B1516" s="383">
        <f>'DT Short List'!A168</f>
        <v>0</v>
      </c>
      <c r="C1516" s="383">
        <f>'DT Short List'!H168</f>
        <v>0</v>
      </c>
      <c r="D1516" s="383">
        <f>'DT Short List'!F168</f>
        <v>0</v>
      </c>
      <c r="E1516" s="383"/>
      <c r="F1516" s="383"/>
      <c r="G1516" s="383"/>
      <c r="H1516" s="383"/>
      <c r="I1516" s="385" t="b">
        <v>0</v>
      </c>
      <c r="J1516" s="386"/>
    </row>
    <row r="1517" spans="1:10">
      <c r="A1517" s="383"/>
      <c r="B1517" s="383">
        <f>'DT Short List'!A169</f>
        <v>0</v>
      </c>
      <c r="C1517" s="383">
        <f>'DT Short List'!H169</f>
        <v>0</v>
      </c>
      <c r="D1517" s="383">
        <f>'DT Short List'!F169</f>
        <v>0</v>
      </c>
      <c r="E1517" s="383"/>
      <c r="F1517" s="383"/>
      <c r="G1517" s="383"/>
      <c r="H1517" s="383"/>
      <c r="I1517" s="385" t="b">
        <v>0</v>
      </c>
      <c r="J1517" s="386"/>
    </row>
    <row r="1518" spans="1:10">
      <c r="A1518" s="383"/>
      <c r="B1518" s="383">
        <f>'DT Short List'!A170</f>
        <v>0</v>
      </c>
      <c r="C1518" s="383">
        <f>'DT Short List'!H170</f>
        <v>0</v>
      </c>
      <c r="D1518" s="383">
        <f>'DT Short List'!F170</f>
        <v>0</v>
      </c>
      <c r="E1518" s="383"/>
      <c r="F1518" s="383"/>
      <c r="G1518" s="383"/>
      <c r="H1518" s="383"/>
      <c r="I1518" s="385" t="b">
        <v>0</v>
      </c>
      <c r="J1518" s="386"/>
    </row>
    <row r="1519" spans="1:10">
      <c r="A1519" s="383"/>
      <c r="B1519" s="383">
        <f>'DT Short List'!A171</f>
        <v>0</v>
      </c>
      <c r="C1519" s="383">
        <f>'DT Short List'!H171</f>
        <v>0</v>
      </c>
      <c r="D1519" s="383">
        <f>'DT Short List'!F171</f>
        <v>0</v>
      </c>
      <c r="E1519" s="383"/>
      <c r="F1519" s="383"/>
      <c r="G1519" s="383"/>
      <c r="H1519" s="383"/>
      <c r="I1519" s="385" t="b">
        <v>0</v>
      </c>
      <c r="J1519" s="386"/>
    </row>
    <row r="1520" spans="1:10">
      <c r="A1520" s="383"/>
      <c r="B1520" s="383">
        <f>'DT Short List'!A172</f>
        <v>0</v>
      </c>
      <c r="C1520" s="383">
        <f>'DT Short List'!H172</f>
        <v>0</v>
      </c>
      <c r="D1520" s="383">
        <f>'DT Short List'!F172</f>
        <v>0</v>
      </c>
      <c r="E1520" s="383"/>
      <c r="F1520" s="383"/>
      <c r="G1520" s="383"/>
      <c r="H1520" s="383"/>
      <c r="I1520" s="385" t="b">
        <v>0</v>
      </c>
      <c r="J1520" s="386"/>
    </row>
    <row r="1521" spans="1:10">
      <c r="A1521" s="383"/>
      <c r="B1521" s="383">
        <f>'DT Short List'!A173</f>
        <v>0</v>
      </c>
      <c r="C1521" s="383">
        <f>'DT Short List'!H173</f>
        <v>0</v>
      </c>
      <c r="D1521" s="383">
        <f>'DT Short List'!F173</f>
        <v>0</v>
      </c>
      <c r="E1521" s="383"/>
      <c r="F1521" s="383"/>
      <c r="G1521" s="383"/>
      <c r="H1521" s="383"/>
      <c r="I1521" s="385" t="b">
        <v>0</v>
      </c>
      <c r="J1521" s="386"/>
    </row>
    <row r="1522" spans="1:10">
      <c r="A1522" s="383"/>
      <c r="B1522" s="383">
        <f>'DT Short List'!A174</f>
        <v>0</v>
      </c>
      <c r="C1522" s="383">
        <f>'DT Short List'!H174</f>
        <v>0</v>
      </c>
      <c r="D1522" s="383">
        <f>'DT Short List'!F174</f>
        <v>0</v>
      </c>
      <c r="E1522" s="383"/>
      <c r="F1522" s="383"/>
      <c r="G1522" s="383"/>
      <c r="H1522" s="383"/>
      <c r="I1522" s="385" t="b">
        <v>0</v>
      </c>
      <c r="J1522" s="386"/>
    </row>
    <row r="1523" spans="1:10">
      <c r="A1523" s="383"/>
      <c r="B1523" s="383"/>
      <c r="C1523" s="383"/>
      <c r="D1523" s="383"/>
      <c r="E1523" s="383"/>
      <c r="F1523" s="383"/>
      <c r="G1523" s="383"/>
      <c r="H1523" s="383"/>
      <c r="I1523" s="385" t="b">
        <v>0</v>
      </c>
      <c r="J1523" s="386"/>
    </row>
    <row r="1524" spans="1:10">
      <c r="A1524" s="383"/>
      <c r="B1524" s="383"/>
      <c r="C1524" s="383"/>
      <c r="D1524" s="383"/>
      <c r="E1524" s="383"/>
      <c r="F1524" s="383"/>
      <c r="G1524" s="383"/>
      <c r="H1524" s="383"/>
      <c r="I1524" s="385" t="b">
        <v>0</v>
      </c>
      <c r="J1524" s="386"/>
    </row>
    <row r="1525" spans="1:10">
      <c r="A1525" s="383"/>
      <c r="B1525" s="383"/>
      <c r="C1525" s="383"/>
      <c r="D1525" s="383"/>
      <c r="E1525" s="383"/>
      <c r="F1525" s="383"/>
      <c r="G1525" s="383"/>
      <c r="H1525" s="383"/>
      <c r="I1525" s="385" t="b">
        <v>0</v>
      </c>
      <c r="J1525" s="386"/>
    </row>
    <row r="1526" spans="1:10">
      <c r="A1526" s="383"/>
      <c r="B1526" s="383"/>
      <c r="C1526" s="383"/>
      <c r="D1526" s="383"/>
      <c r="E1526" s="383"/>
      <c r="F1526" s="383"/>
      <c r="G1526" s="383"/>
      <c r="H1526" s="383"/>
      <c r="I1526" s="385" t="b">
        <v>0</v>
      </c>
      <c r="J1526" s="386"/>
    </row>
    <row r="1527" spans="1:10">
      <c r="A1527" s="383"/>
      <c r="B1527" s="383"/>
      <c r="C1527" s="383"/>
      <c r="D1527" s="383"/>
      <c r="E1527" s="383"/>
      <c r="F1527" s="383"/>
      <c r="G1527" s="383"/>
      <c r="H1527" s="383"/>
      <c r="I1527" s="385" t="b">
        <v>0</v>
      </c>
      <c r="J1527" s="386"/>
    </row>
    <row r="1528" spans="1:10">
      <c r="A1528" s="383"/>
      <c r="B1528" s="383"/>
      <c r="C1528" s="383"/>
      <c r="D1528" s="383"/>
      <c r="E1528" s="383"/>
      <c r="F1528" s="383"/>
      <c r="G1528" s="383"/>
      <c r="H1528" s="383"/>
      <c r="I1528" s="385" t="b">
        <v>0</v>
      </c>
      <c r="J1528" s="386"/>
    </row>
    <row r="1529" spans="1:10">
      <c r="A1529" s="383"/>
      <c r="B1529" s="383"/>
      <c r="C1529" s="383"/>
      <c r="D1529" s="383"/>
      <c r="E1529" s="383"/>
      <c r="F1529" s="383"/>
      <c r="G1529" s="383"/>
      <c r="H1529" s="383"/>
      <c r="I1529" s="385" t="b">
        <v>0</v>
      </c>
      <c r="J1529" s="386"/>
    </row>
    <row r="1530" spans="1:10">
      <c r="A1530" s="383"/>
      <c r="B1530" s="383"/>
      <c r="C1530" s="383"/>
      <c r="D1530" s="383"/>
      <c r="E1530" s="383"/>
      <c r="F1530" s="383"/>
      <c r="G1530" s="383"/>
      <c r="H1530" s="383"/>
      <c r="I1530" s="385" t="b">
        <v>0</v>
      </c>
      <c r="J1530" s="386"/>
    </row>
    <row r="1531" spans="1:10">
      <c r="A1531" s="383"/>
      <c r="B1531" s="383"/>
      <c r="C1531" s="383"/>
      <c r="D1531" s="383"/>
      <c r="E1531" s="383"/>
      <c r="F1531" s="383"/>
      <c r="G1531" s="383"/>
      <c r="H1531" s="383"/>
      <c r="I1531" s="385" t="b">
        <v>0</v>
      </c>
      <c r="J1531" s="386"/>
    </row>
    <row r="1532" spans="1:10">
      <c r="A1532" s="383"/>
      <c r="B1532" s="383"/>
      <c r="C1532" s="383"/>
      <c r="D1532" s="383"/>
      <c r="E1532" s="383"/>
      <c r="F1532" s="383"/>
      <c r="G1532" s="383"/>
      <c r="H1532" s="383"/>
      <c r="I1532" s="385" t="b">
        <v>0</v>
      </c>
      <c r="J1532" s="386"/>
    </row>
    <row r="1533" spans="1:10">
      <c r="A1533" s="383"/>
      <c r="B1533" s="383"/>
      <c r="C1533" s="383"/>
      <c r="D1533" s="383"/>
      <c r="E1533" s="383"/>
      <c r="F1533" s="383"/>
      <c r="G1533" s="383"/>
      <c r="H1533" s="383"/>
      <c r="I1533" s="385" t="b">
        <v>0</v>
      </c>
      <c r="J1533" s="386"/>
    </row>
    <row r="1534" spans="1:10">
      <c r="A1534" s="383"/>
      <c r="B1534" s="383"/>
      <c r="C1534" s="383"/>
      <c r="D1534" s="383"/>
      <c r="E1534" s="383"/>
      <c r="F1534" s="383"/>
      <c r="G1534" s="383"/>
      <c r="H1534" s="383"/>
      <c r="I1534" s="385" t="b">
        <v>0</v>
      </c>
      <c r="J1534" s="386"/>
    </row>
    <row r="1535" spans="1:10">
      <c r="A1535" s="383"/>
      <c r="B1535" s="383"/>
      <c r="C1535" s="383"/>
      <c r="D1535" s="383"/>
      <c r="E1535" s="383"/>
      <c r="F1535" s="383"/>
      <c r="G1535" s="383"/>
      <c r="H1535" s="383"/>
      <c r="I1535" s="385" t="b">
        <v>0</v>
      </c>
      <c r="J1535" s="386"/>
    </row>
    <row r="1536" spans="1:10">
      <c r="A1536" s="383"/>
      <c r="B1536" s="383"/>
      <c r="C1536" s="383"/>
      <c r="D1536" s="383"/>
      <c r="E1536" s="383"/>
      <c r="F1536" s="383"/>
      <c r="G1536" s="383"/>
      <c r="H1536" s="383"/>
      <c r="I1536" s="385" t="b">
        <v>0</v>
      </c>
      <c r="J1536" s="386"/>
    </row>
    <row r="1537" spans="1:10">
      <c r="A1537" s="383"/>
      <c r="B1537" s="383"/>
      <c r="C1537" s="383"/>
      <c r="D1537" s="383"/>
      <c r="E1537" s="383"/>
      <c r="F1537" s="383"/>
      <c r="G1537" s="383"/>
      <c r="H1537" s="383"/>
      <c r="I1537" s="385" t="b">
        <v>0</v>
      </c>
      <c r="J1537" s="386"/>
    </row>
    <row r="1538" spans="1:10">
      <c r="A1538" s="383"/>
      <c r="B1538" s="383"/>
      <c r="C1538" s="383"/>
      <c r="D1538" s="383"/>
      <c r="E1538" s="383"/>
      <c r="F1538" s="383"/>
      <c r="G1538" s="383"/>
      <c r="H1538" s="383"/>
      <c r="I1538" s="385" t="b">
        <v>0</v>
      </c>
      <c r="J1538" s="386"/>
    </row>
    <row r="1539" spans="1:10">
      <c r="A1539" s="383"/>
      <c r="B1539" s="383"/>
      <c r="C1539" s="383"/>
      <c r="D1539" s="383"/>
      <c r="E1539" s="383"/>
      <c r="F1539" s="383"/>
      <c r="G1539" s="383"/>
      <c r="H1539" s="383"/>
      <c r="I1539" s="385" t="b">
        <v>0</v>
      </c>
      <c r="J1539" s="386"/>
    </row>
    <row r="1540" spans="1:10">
      <c r="A1540" s="383"/>
      <c r="B1540" s="383"/>
      <c r="C1540" s="383"/>
      <c r="D1540" s="383"/>
      <c r="E1540" s="383"/>
      <c r="F1540" s="383"/>
      <c r="G1540" s="383"/>
      <c r="H1540" s="383"/>
      <c r="I1540" s="385" t="b">
        <v>0</v>
      </c>
      <c r="J1540" s="386"/>
    </row>
    <row r="1541" spans="1:10">
      <c r="A1541" s="383"/>
      <c r="B1541" s="383"/>
      <c r="C1541" s="383"/>
      <c r="D1541" s="383"/>
      <c r="E1541" s="383"/>
      <c r="F1541" s="383"/>
      <c r="G1541" s="383"/>
      <c r="H1541" s="383"/>
      <c r="I1541" s="385" t="b">
        <v>0</v>
      </c>
      <c r="J1541" s="386"/>
    </row>
    <row r="1542" spans="1:10">
      <c r="A1542" s="383"/>
      <c r="B1542" s="383"/>
      <c r="C1542" s="383"/>
      <c r="D1542" s="383"/>
      <c r="E1542" s="383"/>
      <c r="F1542" s="383"/>
      <c r="G1542" s="383"/>
      <c r="H1542" s="383"/>
      <c r="I1542" s="385" t="b">
        <v>0</v>
      </c>
      <c r="J1542" s="386"/>
    </row>
    <row r="1543" spans="1:10">
      <c r="A1543" s="383"/>
      <c r="B1543" s="383"/>
      <c r="C1543" s="383"/>
      <c r="D1543" s="383"/>
      <c r="E1543" s="383"/>
      <c r="F1543" s="383"/>
      <c r="G1543" s="383"/>
      <c r="H1543" s="383"/>
      <c r="I1543" s="385" t="b">
        <v>0</v>
      </c>
      <c r="J1543" s="386"/>
    </row>
    <row r="1544" spans="1:10">
      <c r="A1544" s="383"/>
      <c r="B1544" s="383"/>
      <c r="C1544" s="383"/>
      <c r="D1544" s="383"/>
      <c r="E1544" s="383"/>
      <c r="F1544" s="383"/>
      <c r="G1544" s="383"/>
      <c r="H1544" s="383"/>
      <c r="I1544" s="385" t="b">
        <v>0</v>
      </c>
      <c r="J1544" s="386"/>
    </row>
    <row r="1545" spans="1:10">
      <c r="A1545" s="383"/>
      <c r="B1545" s="383"/>
      <c r="C1545" s="383"/>
      <c r="D1545" s="383"/>
      <c r="E1545" s="383"/>
      <c r="F1545" s="383"/>
      <c r="G1545" s="383"/>
      <c r="H1545" s="383"/>
      <c r="I1545" s="385" t="b">
        <v>0</v>
      </c>
      <c r="J1545" s="386"/>
    </row>
    <row r="1546" spans="1:10">
      <c r="A1546" s="383"/>
      <c r="B1546" s="383"/>
      <c r="C1546" s="383"/>
      <c r="D1546" s="383"/>
      <c r="E1546" s="383"/>
      <c r="F1546" s="383"/>
      <c r="G1546" s="383"/>
      <c r="H1546" s="383"/>
      <c r="I1546" s="385" t="b">
        <v>0</v>
      </c>
      <c r="J1546" s="386"/>
    </row>
    <row r="1547" spans="1:10">
      <c r="A1547" s="383"/>
      <c r="B1547" s="383"/>
      <c r="C1547" s="383"/>
      <c r="D1547" s="383"/>
      <c r="E1547" s="383"/>
      <c r="F1547" s="383"/>
      <c r="G1547" s="383"/>
      <c r="H1547" s="383"/>
      <c r="I1547" s="385" t="b">
        <v>0</v>
      </c>
      <c r="J1547" s="386"/>
    </row>
    <row r="1548" spans="1:10">
      <c r="A1548" s="383"/>
      <c r="B1548" s="383"/>
      <c r="C1548" s="383"/>
      <c r="D1548" s="383"/>
      <c r="E1548" s="383"/>
      <c r="F1548" s="383"/>
      <c r="G1548" s="383"/>
      <c r="H1548" s="383"/>
      <c r="I1548" s="385" t="b">
        <v>0</v>
      </c>
      <c r="J1548" s="386"/>
    </row>
    <row r="1549" spans="1:10">
      <c r="A1549" s="383"/>
      <c r="B1549" s="383"/>
      <c r="C1549" s="383"/>
      <c r="D1549" s="383"/>
      <c r="E1549" s="383"/>
      <c r="F1549" s="383"/>
      <c r="G1549" s="383"/>
      <c r="H1549" s="383"/>
      <c r="I1549" s="385" t="b">
        <v>0</v>
      </c>
      <c r="J1549" s="386"/>
    </row>
    <row r="1550" spans="1:10">
      <c r="A1550" s="383"/>
      <c r="B1550" s="383"/>
      <c r="C1550" s="383"/>
      <c r="D1550" s="383"/>
      <c r="E1550" s="383"/>
      <c r="F1550" s="383"/>
      <c r="G1550" s="383"/>
      <c r="H1550" s="383"/>
      <c r="I1550" s="385" t="b">
        <v>0</v>
      </c>
      <c r="J1550" s="386"/>
    </row>
    <row r="1551" spans="1:10">
      <c r="A1551" s="383"/>
      <c r="B1551" s="383"/>
      <c r="C1551" s="383"/>
      <c r="D1551" s="383"/>
      <c r="E1551" s="383"/>
      <c r="F1551" s="383"/>
      <c r="G1551" s="383"/>
      <c r="H1551" s="383"/>
      <c r="I1551" s="385" t="b">
        <v>0</v>
      </c>
      <c r="J1551" s="386"/>
    </row>
    <row r="1552" spans="1:10">
      <c r="A1552" s="383"/>
      <c r="B1552" s="383"/>
      <c r="C1552" s="383"/>
      <c r="D1552" s="383"/>
      <c r="E1552" s="383"/>
      <c r="F1552" s="383"/>
      <c r="G1552" s="383"/>
      <c r="H1552" s="383"/>
      <c r="I1552" s="385" t="b">
        <v>0</v>
      </c>
      <c r="J1552" s="386"/>
    </row>
    <row r="1553" spans="1:10">
      <c r="A1553" s="383"/>
      <c r="B1553" s="383"/>
      <c r="C1553" s="383"/>
      <c r="D1553" s="383"/>
      <c r="E1553" s="383"/>
      <c r="F1553" s="383"/>
      <c r="G1553" s="383"/>
      <c r="H1553" s="383"/>
      <c r="I1553" s="385" t="b">
        <v>0</v>
      </c>
      <c r="J1553" s="386"/>
    </row>
    <row r="1554" spans="1:10">
      <c r="A1554" s="383"/>
      <c r="B1554" s="383"/>
      <c r="C1554" s="383"/>
      <c r="D1554" s="383"/>
      <c r="E1554" s="383"/>
      <c r="F1554" s="383"/>
      <c r="G1554" s="383"/>
      <c r="H1554" s="383"/>
      <c r="I1554" s="385" t="b">
        <v>0</v>
      </c>
      <c r="J1554" s="386"/>
    </row>
    <row r="1555" spans="1:10">
      <c r="A1555" s="383"/>
      <c r="B1555" s="383"/>
      <c r="C1555" s="383"/>
      <c r="D1555" s="383"/>
      <c r="E1555" s="383"/>
      <c r="F1555" s="383"/>
      <c r="G1555" s="383"/>
      <c r="H1555" s="383"/>
      <c r="I1555" s="385" t="b">
        <v>0</v>
      </c>
      <c r="J1555" s="386"/>
    </row>
    <row r="1556" spans="1:10">
      <c r="A1556" s="383"/>
      <c r="B1556" s="383"/>
      <c r="C1556" s="383"/>
      <c r="D1556" s="383"/>
      <c r="E1556" s="383"/>
      <c r="F1556" s="383"/>
      <c r="G1556" s="383"/>
      <c r="H1556" s="383"/>
      <c r="I1556" s="385" t="b">
        <v>0</v>
      </c>
      <c r="J1556" s="386"/>
    </row>
    <row r="1557" spans="1:10">
      <c r="A1557" s="383"/>
      <c r="B1557" s="383"/>
      <c r="C1557" s="383"/>
      <c r="D1557" s="383"/>
      <c r="E1557" s="383"/>
      <c r="F1557" s="383"/>
      <c r="G1557" s="383"/>
      <c r="H1557" s="383"/>
      <c r="I1557" s="385" t="b">
        <v>0</v>
      </c>
      <c r="J1557" s="386"/>
    </row>
    <row r="1558" spans="1:10">
      <c r="A1558" s="383"/>
      <c r="B1558" s="383"/>
      <c r="C1558" s="383"/>
      <c r="D1558" s="383"/>
      <c r="E1558" s="383"/>
      <c r="F1558" s="383"/>
      <c r="G1558" s="383"/>
      <c r="H1558" s="383"/>
      <c r="I1558" s="385" t="b">
        <v>0</v>
      </c>
      <c r="J1558" s="386"/>
    </row>
    <row r="1559" spans="1:10">
      <c r="A1559" s="383"/>
      <c r="B1559" s="383"/>
      <c r="C1559" s="383"/>
      <c r="D1559" s="383"/>
      <c r="E1559" s="383"/>
      <c r="F1559" s="383"/>
      <c r="G1559" s="383"/>
      <c r="H1559" s="383"/>
      <c r="I1559" s="385" t="b">
        <v>0</v>
      </c>
      <c r="J1559" s="386"/>
    </row>
    <row r="1560" spans="1:10">
      <c r="A1560" s="383"/>
      <c r="B1560" s="383"/>
      <c r="C1560" s="383"/>
      <c r="D1560" s="383"/>
      <c r="E1560" s="383"/>
      <c r="F1560" s="383"/>
      <c r="G1560" s="383"/>
      <c r="H1560" s="383"/>
      <c r="I1560" s="385" t="b">
        <v>0</v>
      </c>
      <c r="J1560" s="386"/>
    </row>
    <row r="1561" spans="1:10">
      <c r="A1561" s="383"/>
      <c r="B1561" s="383"/>
      <c r="C1561" s="383"/>
      <c r="D1561" s="383"/>
      <c r="E1561" s="383"/>
      <c r="F1561" s="383"/>
      <c r="G1561" s="383"/>
      <c r="H1561" s="383"/>
      <c r="I1561" s="385" t="b">
        <v>0</v>
      </c>
      <c r="J1561" s="386"/>
    </row>
    <row r="1562" spans="1:10">
      <c r="A1562" s="383"/>
      <c r="B1562" s="383"/>
      <c r="C1562" s="383"/>
      <c r="D1562" s="383"/>
      <c r="E1562" s="383"/>
      <c r="F1562" s="383"/>
      <c r="G1562" s="383"/>
      <c r="H1562" s="383"/>
      <c r="I1562" s="385" t="b">
        <v>0</v>
      </c>
      <c r="J1562" s="386"/>
    </row>
    <row r="1563" spans="1:10">
      <c r="A1563" s="383"/>
      <c r="B1563" s="383"/>
      <c r="C1563" s="383"/>
      <c r="D1563" s="383"/>
      <c r="E1563" s="383"/>
      <c r="F1563" s="383"/>
      <c r="G1563" s="383"/>
      <c r="H1563" s="383"/>
      <c r="I1563" s="385" t="b">
        <v>0</v>
      </c>
      <c r="J1563" s="386"/>
    </row>
    <row r="1564" spans="1:10">
      <c r="A1564" s="383"/>
      <c r="B1564" s="383"/>
      <c r="C1564" s="383"/>
      <c r="D1564" s="383"/>
      <c r="E1564" s="383"/>
      <c r="F1564" s="383"/>
      <c r="G1564" s="383"/>
      <c r="H1564" s="383"/>
      <c r="I1564" s="385" t="b">
        <v>0</v>
      </c>
      <c r="J1564" s="386"/>
    </row>
    <row r="1565" spans="1:10">
      <c r="A1565" s="383"/>
      <c r="B1565" s="383"/>
      <c r="C1565" s="383"/>
      <c r="D1565" s="383"/>
      <c r="E1565" s="383"/>
      <c r="F1565" s="383"/>
      <c r="G1565" s="383"/>
      <c r="H1565" s="383"/>
      <c r="I1565" s="385" t="b">
        <v>0</v>
      </c>
      <c r="J1565" s="386"/>
    </row>
    <row r="1566" spans="1:10">
      <c r="A1566" s="383"/>
      <c r="B1566" s="383"/>
      <c r="C1566" s="383"/>
      <c r="D1566" s="383"/>
      <c r="E1566" s="383"/>
      <c r="F1566" s="383"/>
      <c r="G1566" s="383"/>
      <c r="H1566" s="383"/>
      <c r="I1566" s="385" t="b">
        <v>0</v>
      </c>
      <c r="J1566" s="386"/>
    </row>
    <row r="1567" spans="1:10">
      <c r="A1567" s="383"/>
      <c r="B1567" s="383"/>
      <c r="C1567" s="383"/>
      <c r="D1567" s="383"/>
      <c r="E1567" s="383"/>
      <c r="F1567" s="383"/>
      <c r="G1567" s="383"/>
      <c r="H1567" s="383"/>
      <c r="I1567" s="385" t="b">
        <v>0</v>
      </c>
      <c r="J1567" s="386"/>
    </row>
    <row r="1568" spans="1:10">
      <c r="A1568" s="383"/>
      <c r="B1568" s="383"/>
      <c r="C1568" s="383"/>
      <c r="D1568" s="383"/>
      <c r="E1568" s="383"/>
      <c r="F1568" s="383"/>
      <c r="G1568" s="383"/>
      <c r="H1568" s="383"/>
      <c r="I1568" s="385" t="b">
        <v>0</v>
      </c>
      <c r="J1568" s="386"/>
    </row>
    <row r="1569" spans="1:10">
      <c r="A1569" s="383"/>
      <c r="B1569" s="383"/>
      <c r="C1569" s="383"/>
      <c r="D1569" s="383"/>
      <c r="E1569" s="383"/>
      <c r="F1569" s="383"/>
      <c r="G1569" s="383"/>
      <c r="H1569" s="383"/>
      <c r="I1569" s="385" t="b">
        <v>0</v>
      </c>
      <c r="J1569" s="386"/>
    </row>
    <row r="1570" spans="1:10">
      <c r="A1570" s="383"/>
      <c r="B1570" s="383"/>
      <c r="C1570" s="383"/>
      <c r="D1570" s="383"/>
      <c r="E1570" s="383"/>
      <c r="F1570" s="383"/>
      <c r="G1570" s="383"/>
      <c r="H1570" s="383"/>
      <c r="I1570" s="385" t="b">
        <v>0</v>
      </c>
      <c r="J1570" s="386"/>
    </row>
    <row r="1571" spans="1:10">
      <c r="A1571" s="383"/>
      <c r="B1571" s="383"/>
      <c r="C1571" s="383"/>
      <c r="D1571" s="383"/>
      <c r="E1571" s="383"/>
      <c r="F1571" s="383"/>
      <c r="G1571" s="383"/>
      <c r="H1571" s="383"/>
      <c r="I1571" s="385" t="b">
        <v>0</v>
      </c>
      <c r="J1571" s="386"/>
    </row>
    <row r="1572" spans="1:10">
      <c r="A1572" s="383"/>
      <c r="B1572" s="383"/>
      <c r="C1572" s="383"/>
      <c r="D1572" s="383"/>
      <c r="E1572" s="383"/>
      <c r="F1572" s="383"/>
      <c r="G1572" s="383"/>
      <c r="H1572" s="383"/>
      <c r="I1572" s="385" t="b">
        <v>0</v>
      </c>
      <c r="J1572" s="386"/>
    </row>
    <row r="1573" spans="1:10">
      <c r="A1573" s="383"/>
      <c r="B1573" s="383"/>
      <c r="C1573" s="383"/>
      <c r="D1573" s="383"/>
      <c r="E1573" s="383"/>
      <c r="F1573" s="383"/>
      <c r="G1573" s="383"/>
      <c r="H1573" s="383"/>
      <c r="I1573" s="385" t="b">
        <v>0</v>
      </c>
      <c r="J1573" s="386"/>
    </row>
    <row r="1574" spans="1:10">
      <c r="A1574" s="383"/>
      <c r="B1574" s="383"/>
      <c r="C1574" s="383"/>
      <c r="D1574" s="383"/>
      <c r="E1574" s="383"/>
      <c r="F1574" s="383"/>
      <c r="G1574" s="383"/>
      <c r="H1574" s="383"/>
      <c r="I1574" s="385" t="b">
        <v>0</v>
      </c>
      <c r="J1574" s="386"/>
    </row>
    <row r="1575" spans="1:10">
      <c r="A1575" s="383"/>
      <c r="B1575" s="383"/>
      <c r="C1575" s="383"/>
      <c r="D1575" s="383"/>
      <c r="E1575" s="383"/>
      <c r="F1575" s="383"/>
      <c r="G1575" s="383"/>
      <c r="H1575" s="383"/>
      <c r="I1575" s="385" t="b">
        <v>0</v>
      </c>
      <c r="J1575" s="386"/>
    </row>
    <row r="1576" spans="1:10">
      <c r="A1576" s="383"/>
      <c r="B1576" s="383"/>
      <c r="C1576" s="383"/>
      <c r="D1576" s="383"/>
      <c r="E1576" s="383"/>
      <c r="F1576" s="383"/>
      <c r="G1576" s="383"/>
      <c r="H1576" s="383"/>
      <c r="I1576" s="385" t="b">
        <v>0</v>
      </c>
      <c r="J1576" s="386"/>
    </row>
    <row r="1577" spans="1:10">
      <c r="A1577" s="383"/>
      <c r="B1577" s="383"/>
      <c r="C1577" s="383"/>
      <c r="D1577" s="383"/>
      <c r="E1577" s="383"/>
      <c r="F1577" s="383"/>
      <c r="G1577" s="383"/>
      <c r="H1577" s="383"/>
      <c r="I1577" s="385" t="b">
        <v>0</v>
      </c>
      <c r="J1577" s="386"/>
    </row>
    <row r="1578" spans="1:10">
      <c r="A1578" s="383"/>
      <c r="B1578" s="383"/>
      <c r="C1578" s="383"/>
      <c r="D1578" s="383"/>
      <c r="E1578" s="383"/>
      <c r="F1578" s="383"/>
      <c r="G1578" s="383"/>
      <c r="H1578" s="383"/>
      <c r="I1578" s="385" t="b">
        <v>0</v>
      </c>
      <c r="J1578" s="386"/>
    </row>
    <row r="1579" spans="1:10">
      <c r="A1579" s="383"/>
      <c r="B1579" s="383"/>
      <c r="C1579" s="383"/>
      <c r="D1579" s="383"/>
      <c r="E1579" s="383"/>
      <c r="F1579" s="383"/>
      <c r="G1579" s="383"/>
      <c r="H1579" s="383"/>
      <c r="I1579" s="385" t="b">
        <v>0</v>
      </c>
      <c r="J1579" s="386"/>
    </row>
    <row r="1580" spans="1:10">
      <c r="A1580" s="383"/>
      <c r="B1580" s="383"/>
      <c r="C1580" s="383"/>
      <c r="D1580" s="383"/>
      <c r="E1580" s="383"/>
      <c r="F1580" s="383"/>
      <c r="G1580" s="383"/>
      <c r="H1580" s="383"/>
      <c r="I1580" s="385" t="b">
        <v>0</v>
      </c>
      <c r="J1580" s="386"/>
    </row>
    <row r="1581" spans="1:10">
      <c r="A1581" s="383"/>
      <c r="B1581" s="383"/>
      <c r="C1581" s="383"/>
      <c r="D1581" s="383"/>
      <c r="E1581" s="383"/>
      <c r="F1581" s="383"/>
      <c r="G1581" s="383"/>
      <c r="H1581" s="383"/>
      <c r="I1581" s="385" t="b">
        <v>0</v>
      </c>
      <c r="J1581" s="386"/>
    </row>
    <row r="1582" spans="1:10">
      <c r="A1582" s="383"/>
      <c r="B1582" s="383"/>
      <c r="C1582" s="383"/>
      <c r="D1582" s="383"/>
      <c r="E1582" s="383"/>
      <c r="F1582" s="383"/>
      <c r="G1582" s="383"/>
      <c r="H1582" s="383"/>
      <c r="I1582" s="385" t="b">
        <v>0</v>
      </c>
      <c r="J1582" s="386"/>
    </row>
    <row r="1583" spans="1:10">
      <c r="A1583" s="383"/>
      <c r="B1583" s="383"/>
      <c r="C1583" s="383"/>
      <c r="D1583" s="383"/>
      <c r="E1583" s="383"/>
      <c r="F1583" s="383"/>
      <c r="G1583" s="383"/>
      <c r="H1583" s="383"/>
      <c r="I1583" s="385" t="b">
        <v>0</v>
      </c>
      <c r="J1583" s="386"/>
    </row>
    <row r="1584" spans="1:10">
      <c r="A1584" s="383"/>
      <c r="B1584" s="383"/>
      <c r="C1584" s="383"/>
      <c r="D1584" s="383"/>
      <c r="E1584" s="383"/>
      <c r="F1584" s="383"/>
      <c r="G1584" s="383"/>
      <c r="H1584" s="383"/>
      <c r="I1584" s="385" t="b">
        <v>0</v>
      </c>
      <c r="J1584" s="386"/>
    </row>
    <row r="1585" spans="1:10">
      <c r="A1585" s="383"/>
      <c r="B1585" s="383"/>
      <c r="C1585" s="383"/>
      <c r="D1585" s="383"/>
      <c r="E1585" s="383"/>
      <c r="F1585" s="383"/>
      <c r="G1585" s="383"/>
      <c r="H1585" s="383"/>
      <c r="I1585" s="385" t="b">
        <v>0</v>
      </c>
      <c r="J1585" s="386"/>
    </row>
    <row r="1586" spans="1:10">
      <c r="A1586" s="383"/>
      <c r="B1586" s="383"/>
      <c r="C1586" s="383"/>
      <c r="D1586" s="383"/>
      <c r="E1586" s="383"/>
      <c r="F1586" s="383"/>
      <c r="G1586" s="383"/>
      <c r="H1586" s="383"/>
      <c r="I1586" s="385" t="b">
        <v>0</v>
      </c>
      <c r="J1586" s="386"/>
    </row>
    <row r="1587" spans="1:10">
      <c r="A1587" s="383"/>
      <c r="B1587" s="383"/>
      <c r="C1587" s="383"/>
      <c r="D1587" s="383"/>
      <c r="E1587" s="383"/>
      <c r="F1587" s="383"/>
      <c r="G1587" s="383"/>
      <c r="H1587" s="383"/>
      <c r="I1587" s="385" t="b">
        <v>0</v>
      </c>
      <c r="J1587" s="386"/>
    </row>
    <row r="1588" spans="1:10">
      <c r="A1588" s="383"/>
      <c r="B1588" s="383"/>
      <c r="C1588" s="383"/>
      <c r="D1588" s="383"/>
      <c r="E1588" s="383"/>
      <c r="F1588" s="383"/>
      <c r="G1588" s="383"/>
      <c r="H1588" s="383"/>
      <c r="I1588" s="385" t="b">
        <v>0</v>
      </c>
      <c r="J1588" s="386"/>
    </row>
    <row r="1589" spans="1:10">
      <c r="A1589" s="383"/>
      <c r="B1589" s="383"/>
      <c r="C1589" s="383"/>
      <c r="D1589" s="383"/>
      <c r="E1589" s="383"/>
      <c r="F1589" s="383"/>
      <c r="G1589" s="383"/>
      <c r="H1589" s="383"/>
      <c r="I1589" s="385" t="b">
        <v>0</v>
      </c>
      <c r="J1589" s="386"/>
    </row>
    <row r="1590" spans="1:10">
      <c r="A1590" s="383"/>
      <c r="B1590" s="383"/>
      <c r="C1590" s="383"/>
      <c r="D1590" s="383"/>
      <c r="E1590" s="383"/>
      <c r="F1590" s="383"/>
      <c r="G1590" s="383"/>
      <c r="H1590" s="383"/>
      <c r="I1590" s="385" t="b">
        <v>0</v>
      </c>
      <c r="J1590" s="386"/>
    </row>
    <row r="1591" spans="1:10">
      <c r="A1591" s="383"/>
      <c r="B1591" s="383"/>
      <c r="C1591" s="383"/>
      <c r="D1591" s="383"/>
      <c r="E1591" s="383"/>
      <c r="F1591" s="383"/>
      <c r="G1591" s="383"/>
      <c r="H1591" s="383"/>
      <c r="I1591" s="385" t="b">
        <v>0</v>
      </c>
      <c r="J1591" s="386"/>
    </row>
    <row r="1592" spans="1:10">
      <c r="A1592" s="383"/>
      <c r="B1592" s="383"/>
      <c r="C1592" s="383"/>
      <c r="D1592" s="383"/>
      <c r="E1592" s="383"/>
      <c r="F1592" s="383"/>
      <c r="G1592" s="383"/>
      <c r="H1592" s="383"/>
      <c r="I1592" s="385" t="b">
        <v>0</v>
      </c>
      <c r="J1592" s="386"/>
    </row>
    <row r="1593" spans="1:10">
      <c r="A1593" s="383"/>
      <c r="B1593" s="383"/>
      <c r="C1593" s="383"/>
      <c r="D1593" s="383"/>
      <c r="E1593" s="383"/>
      <c r="F1593" s="383"/>
      <c r="G1593" s="383"/>
      <c r="H1593" s="383"/>
      <c r="I1593" s="385" t="b">
        <v>0</v>
      </c>
      <c r="J1593" s="386"/>
    </row>
    <row r="1594" spans="1:10">
      <c r="A1594" s="383"/>
      <c r="B1594" s="383"/>
      <c r="C1594" s="383"/>
      <c r="D1594" s="383"/>
      <c r="E1594" s="383"/>
      <c r="F1594" s="383"/>
      <c r="G1594" s="383"/>
      <c r="H1594" s="383"/>
      <c r="I1594" s="385" t="b">
        <v>0</v>
      </c>
      <c r="J1594" s="386"/>
    </row>
    <row r="1595" spans="1:10">
      <c r="A1595" s="383"/>
      <c r="B1595" s="383"/>
      <c r="C1595" s="383"/>
      <c r="D1595" s="383"/>
      <c r="E1595" s="383"/>
      <c r="F1595" s="383"/>
      <c r="G1595" s="383"/>
      <c r="H1595" s="383"/>
      <c r="I1595" s="385" t="b">
        <v>0</v>
      </c>
      <c r="J1595" s="386"/>
    </row>
    <row r="1596" spans="1:10">
      <c r="A1596" s="383"/>
      <c r="B1596" s="383"/>
      <c r="C1596" s="383"/>
      <c r="D1596" s="383"/>
      <c r="E1596" s="383"/>
      <c r="F1596" s="383"/>
      <c r="G1596" s="383"/>
      <c r="H1596" s="383"/>
      <c r="I1596" s="385" t="b">
        <v>0</v>
      </c>
      <c r="J1596" s="386"/>
    </row>
    <row r="1597" spans="1:10">
      <c r="A1597" s="383"/>
      <c r="B1597" s="383"/>
      <c r="C1597" s="383"/>
      <c r="D1597" s="383"/>
      <c r="E1597" s="383"/>
      <c r="F1597" s="383"/>
      <c r="G1597" s="383"/>
      <c r="H1597" s="383"/>
      <c r="I1597" s="385" t="b">
        <v>0</v>
      </c>
      <c r="J1597" s="386"/>
    </row>
    <row r="1598" spans="1:10">
      <c r="A1598" s="383"/>
      <c r="B1598" s="383"/>
      <c r="C1598" s="383"/>
      <c r="D1598" s="383"/>
      <c r="E1598" s="383"/>
      <c r="F1598" s="383"/>
      <c r="G1598" s="383"/>
      <c r="H1598" s="383"/>
      <c r="I1598" s="385" t="b">
        <v>0</v>
      </c>
      <c r="J1598" s="386"/>
    </row>
    <row r="1599" spans="1:10">
      <c r="A1599" s="383"/>
      <c r="B1599" s="383"/>
      <c r="C1599" s="383"/>
      <c r="D1599" s="383"/>
      <c r="E1599" s="383"/>
      <c r="F1599" s="383"/>
      <c r="G1599" s="383"/>
      <c r="H1599" s="383"/>
      <c r="I1599" s="385" t="b">
        <v>0</v>
      </c>
      <c r="J1599" s="386"/>
    </row>
    <row r="1600" spans="1:10">
      <c r="A1600" s="383"/>
      <c r="B1600" s="383"/>
      <c r="C1600" s="383"/>
      <c r="D1600" s="383"/>
      <c r="E1600" s="383"/>
      <c r="F1600" s="383"/>
      <c r="G1600" s="383"/>
      <c r="H1600" s="383"/>
      <c r="I1600" s="385" t="b">
        <v>0</v>
      </c>
      <c r="J1600" s="386"/>
    </row>
    <row r="1601" spans="1:10">
      <c r="A1601" s="383"/>
      <c r="B1601" s="383"/>
      <c r="C1601" s="383"/>
      <c r="D1601" s="383"/>
      <c r="E1601" s="383"/>
      <c r="F1601" s="383"/>
      <c r="G1601" s="383"/>
      <c r="H1601" s="383"/>
      <c r="I1601" s="385" t="b">
        <v>0</v>
      </c>
      <c r="J1601" s="386"/>
    </row>
    <row r="1602" spans="1:10">
      <c r="A1602" s="383"/>
      <c r="B1602" s="383"/>
      <c r="C1602" s="383"/>
      <c r="D1602" s="383"/>
      <c r="E1602" s="383"/>
      <c r="F1602" s="383"/>
      <c r="G1602" s="383"/>
      <c r="H1602" s="383"/>
      <c r="I1602" s="385" t="b">
        <v>0</v>
      </c>
      <c r="J1602" s="386"/>
    </row>
    <row r="1603" spans="1:10">
      <c r="A1603" s="383"/>
      <c r="B1603" s="383"/>
      <c r="C1603" s="383"/>
      <c r="D1603" s="383"/>
      <c r="E1603" s="383"/>
      <c r="F1603" s="383"/>
      <c r="G1603" s="383"/>
      <c r="H1603" s="383"/>
      <c r="I1603" s="385" t="b">
        <v>0</v>
      </c>
      <c r="J1603" s="386"/>
    </row>
    <row r="1604" spans="1:10">
      <c r="A1604" s="383"/>
      <c r="B1604" s="383"/>
      <c r="C1604" s="383"/>
      <c r="D1604" s="383"/>
      <c r="E1604" s="383"/>
      <c r="F1604" s="383"/>
      <c r="G1604" s="383"/>
      <c r="H1604" s="383"/>
      <c r="I1604" s="385" t="b">
        <v>0</v>
      </c>
      <c r="J1604" s="386"/>
    </row>
    <row r="1605" spans="1:10">
      <c r="A1605" s="383"/>
      <c r="B1605" s="383"/>
      <c r="C1605" s="383"/>
      <c r="D1605" s="383"/>
      <c r="E1605" s="383"/>
      <c r="F1605" s="383"/>
      <c r="G1605" s="383"/>
      <c r="H1605" s="383"/>
      <c r="I1605" s="385" t="b">
        <v>0</v>
      </c>
      <c r="J1605" s="386"/>
    </row>
    <row r="1606" spans="1:10">
      <c r="A1606" s="383"/>
      <c r="B1606" s="383"/>
      <c r="C1606" s="383"/>
      <c r="D1606" s="383"/>
      <c r="E1606" s="383"/>
      <c r="F1606" s="383"/>
      <c r="G1606" s="383"/>
      <c r="H1606" s="383"/>
      <c r="I1606" s="385" t="b">
        <v>0</v>
      </c>
      <c r="J1606" s="386"/>
    </row>
    <row r="1607" spans="1:10">
      <c r="A1607" s="383"/>
      <c r="B1607" s="383"/>
      <c r="C1607" s="383"/>
      <c r="D1607" s="383"/>
      <c r="E1607" s="383"/>
      <c r="F1607" s="383"/>
      <c r="G1607" s="383"/>
      <c r="H1607" s="383"/>
      <c r="I1607" s="385" t="b">
        <v>0</v>
      </c>
      <c r="J1607" s="386"/>
    </row>
    <row r="1608" spans="1:10">
      <c r="A1608" s="383"/>
      <c r="B1608" s="383"/>
      <c r="C1608" s="383"/>
      <c r="D1608" s="383"/>
      <c r="E1608" s="383"/>
      <c r="F1608" s="383"/>
      <c r="G1608" s="383"/>
      <c r="H1608" s="383"/>
      <c r="I1608" s="385" t="b">
        <v>0</v>
      </c>
      <c r="J1608" s="386"/>
    </row>
    <row r="1609" spans="1:10">
      <c r="A1609" s="383"/>
      <c r="B1609" s="383"/>
      <c r="C1609" s="383"/>
      <c r="D1609" s="383"/>
      <c r="E1609" s="383"/>
      <c r="F1609" s="383"/>
      <c r="G1609" s="383"/>
      <c r="H1609" s="383"/>
      <c r="I1609" s="385" t="b">
        <v>0</v>
      </c>
      <c r="J1609" s="386"/>
    </row>
    <row r="1610" spans="1:10">
      <c r="A1610" s="383"/>
      <c r="B1610" s="383"/>
      <c r="C1610" s="383"/>
      <c r="D1610" s="383"/>
      <c r="E1610" s="383"/>
      <c r="F1610" s="383"/>
      <c r="G1610" s="383"/>
      <c r="H1610" s="383"/>
      <c r="I1610" s="385" t="b">
        <v>0</v>
      </c>
      <c r="J1610" s="386"/>
    </row>
    <row r="1611" spans="1:10">
      <c r="A1611" s="383"/>
      <c r="B1611" s="383"/>
      <c r="C1611" s="383"/>
      <c r="D1611" s="383"/>
      <c r="E1611" s="383"/>
      <c r="F1611" s="383"/>
      <c r="G1611" s="383"/>
      <c r="H1611" s="383"/>
      <c r="I1611" s="385" t="b">
        <v>0</v>
      </c>
      <c r="J1611" s="386"/>
    </row>
    <row r="1612" spans="1:10">
      <c r="A1612" s="383"/>
      <c r="B1612" s="383"/>
      <c r="C1612" s="383"/>
      <c r="D1612" s="383"/>
      <c r="E1612" s="383"/>
      <c r="F1612" s="383"/>
      <c r="G1612" s="383"/>
      <c r="H1612" s="383"/>
      <c r="I1612" s="385" t="b">
        <v>0</v>
      </c>
      <c r="J1612" s="386"/>
    </row>
    <row r="1613" spans="1:10">
      <c r="A1613" s="383"/>
      <c r="B1613" s="383"/>
      <c r="C1613" s="383"/>
      <c r="D1613" s="383"/>
      <c r="E1613" s="383"/>
      <c r="F1613" s="383"/>
      <c r="G1613" s="383"/>
      <c r="H1613" s="383"/>
      <c r="I1613" s="385" t="b">
        <v>0</v>
      </c>
      <c r="J1613" s="386"/>
    </row>
    <row r="1614" spans="1:10">
      <c r="A1614" s="383"/>
      <c r="B1614" s="383"/>
      <c r="C1614" s="383"/>
      <c r="D1614" s="383"/>
      <c r="E1614" s="383"/>
      <c r="F1614" s="383"/>
      <c r="G1614" s="383"/>
      <c r="H1614" s="383"/>
      <c r="I1614" s="385" t="b">
        <v>0</v>
      </c>
      <c r="J1614" s="386"/>
    </row>
    <row r="1615" spans="1:10">
      <c r="A1615" s="383"/>
      <c r="B1615" s="383"/>
      <c r="C1615" s="383"/>
      <c r="D1615" s="383"/>
      <c r="E1615" s="383"/>
      <c r="F1615" s="383"/>
      <c r="G1615" s="383"/>
      <c r="H1615" s="383"/>
      <c r="I1615" s="385" t="b">
        <v>0</v>
      </c>
      <c r="J1615" s="386"/>
    </row>
    <row r="1616" spans="1:10">
      <c r="A1616" s="383"/>
      <c r="B1616" s="383"/>
      <c r="C1616" s="383"/>
      <c r="D1616" s="383"/>
      <c r="E1616" s="383"/>
      <c r="F1616" s="383"/>
      <c r="G1616" s="383"/>
      <c r="H1616" s="383"/>
      <c r="I1616" s="385" t="b">
        <v>0</v>
      </c>
      <c r="J1616" s="386"/>
    </row>
    <row r="1617" spans="1:10">
      <c r="A1617" s="383"/>
      <c r="B1617" s="383"/>
      <c r="C1617" s="383"/>
      <c r="D1617" s="383"/>
      <c r="E1617" s="383"/>
      <c r="F1617" s="383"/>
      <c r="G1617" s="383"/>
      <c r="H1617" s="383"/>
      <c r="I1617" s="385" t="b">
        <v>0</v>
      </c>
      <c r="J1617" s="386"/>
    </row>
    <row r="1618" spans="1:10">
      <c r="A1618" s="383"/>
      <c r="B1618" s="383"/>
      <c r="C1618" s="383"/>
      <c r="D1618" s="383"/>
      <c r="E1618" s="383"/>
      <c r="F1618" s="383"/>
      <c r="G1618" s="383"/>
      <c r="H1618" s="383"/>
      <c r="I1618" s="385" t="b">
        <v>0</v>
      </c>
      <c r="J1618" s="386"/>
    </row>
    <row r="1619" spans="1:10">
      <c r="A1619" s="383"/>
      <c r="B1619" s="383"/>
      <c r="C1619" s="383"/>
      <c r="D1619" s="383"/>
      <c r="E1619" s="383"/>
      <c r="F1619" s="383"/>
      <c r="G1619" s="383"/>
      <c r="H1619" s="383"/>
      <c r="I1619" s="385" t="b">
        <v>0</v>
      </c>
      <c r="J1619" s="386"/>
    </row>
    <row r="1620" spans="1:10">
      <c r="A1620" s="383"/>
      <c r="B1620" s="383"/>
      <c r="C1620" s="383"/>
      <c r="D1620" s="383"/>
      <c r="E1620" s="383"/>
      <c r="F1620" s="383"/>
      <c r="G1620" s="383"/>
      <c r="H1620" s="383"/>
      <c r="I1620" s="385" t="b">
        <v>0</v>
      </c>
      <c r="J1620" s="386"/>
    </row>
    <row r="1621" spans="1:10">
      <c r="A1621" s="383"/>
      <c r="B1621" s="383"/>
      <c r="C1621" s="383"/>
      <c r="D1621" s="383"/>
      <c r="E1621" s="383"/>
      <c r="F1621" s="383"/>
      <c r="G1621" s="383"/>
      <c r="H1621" s="383"/>
      <c r="I1621" s="385" t="b">
        <v>0</v>
      </c>
      <c r="J1621" s="386"/>
    </row>
    <row r="1622" spans="1:10">
      <c r="A1622" s="383"/>
      <c r="B1622" s="383"/>
      <c r="C1622" s="383"/>
      <c r="D1622" s="383"/>
      <c r="E1622" s="383"/>
      <c r="F1622" s="383"/>
      <c r="G1622" s="383"/>
      <c r="H1622" s="383"/>
      <c r="I1622" s="385" t="b">
        <v>0</v>
      </c>
      <c r="J1622" s="386"/>
    </row>
    <row r="1623" spans="1:10">
      <c r="A1623" s="383"/>
      <c r="B1623" s="383"/>
      <c r="C1623" s="383"/>
      <c r="D1623" s="383"/>
      <c r="E1623" s="383"/>
      <c r="F1623" s="383"/>
      <c r="G1623" s="383"/>
      <c r="H1623" s="383"/>
      <c r="I1623" s="385" t="b">
        <v>0</v>
      </c>
      <c r="J1623" s="386"/>
    </row>
    <row r="1624" spans="1:10">
      <c r="A1624" s="383"/>
      <c r="B1624" s="383"/>
      <c r="C1624" s="383"/>
      <c r="D1624" s="383"/>
      <c r="E1624" s="383"/>
      <c r="F1624" s="383"/>
      <c r="G1624" s="383"/>
      <c r="H1624" s="383"/>
      <c r="I1624" s="385" t="b">
        <v>0</v>
      </c>
      <c r="J1624" s="386"/>
    </row>
    <row r="1625" spans="1:10">
      <c r="A1625" s="383"/>
      <c r="B1625" s="383"/>
      <c r="C1625" s="383"/>
      <c r="D1625" s="383"/>
      <c r="E1625" s="383"/>
      <c r="F1625" s="383"/>
      <c r="G1625" s="383"/>
      <c r="H1625" s="383"/>
      <c r="I1625" s="385" t="b">
        <v>0</v>
      </c>
      <c r="J1625" s="386"/>
    </row>
    <row r="1626" spans="1:10">
      <c r="A1626" s="383"/>
      <c r="B1626" s="383"/>
      <c r="C1626" s="383"/>
      <c r="D1626" s="383"/>
      <c r="E1626" s="383"/>
      <c r="F1626" s="383"/>
      <c r="G1626" s="383"/>
      <c r="H1626" s="383"/>
      <c r="I1626" s="385" t="b">
        <v>0</v>
      </c>
      <c r="J1626" s="386"/>
    </row>
    <row r="1627" spans="1:10">
      <c r="A1627" s="383"/>
      <c r="B1627" s="383"/>
      <c r="C1627" s="383"/>
      <c r="D1627" s="383"/>
      <c r="E1627" s="383"/>
      <c r="F1627" s="383"/>
      <c r="G1627" s="383"/>
      <c r="H1627" s="383"/>
      <c r="I1627" s="385" t="b">
        <v>0</v>
      </c>
      <c r="J1627" s="386"/>
    </row>
    <row r="1628" spans="1:10">
      <c r="A1628" s="383"/>
      <c r="B1628" s="383"/>
      <c r="C1628" s="383"/>
      <c r="D1628" s="383"/>
      <c r="E1628" s="383"/>
      <c r="F1628" s="383"/>
      <c r="G1628" s="383"/>
      <c r="H1628" s="383"/>
      <c r="I1628" s="385" t="b">
        <v>0</v>
      </c>
      <c r="J1628" s="386"/>
    </row>
    <row r="1629" spans="1:10">
      <c r="A1629" s="383"/>
      <c r="B1629" s="383"/>
      <c r="C1629" s="383"/>
      <c r="D1629" s="383"/>
      <c r="E1629" s="383"/>
      <c r="F1629" s="383"/>
      <c r="G1629" s="383"/>
      <c r="H1629" s="383"/>
      <c r="I1629" s="385" t="b">
        <v>0</v>
      </c>
      <c r="J1629" s="386"/>
    </row>
    <row r="1630" spans="1:10">
      <c r="A1630" s="383"/>
      <c r="B1630" s="383"/>
      <c r="C1630" s="383"/>
      <c r="D1630" s="383"/>
      <c r="E1630" s="383"/>
      <c r="F1630" s="383"/>
      <c r="G1630" s="383"/>
      <c r="H1630" s="383"/>
      <c r="I1630" s="385" t="b">
        <v>0</v>
      </c>
      <c r="J1630" s="386"/>
    </row>
    <row r="1631" spans="1:10">
      <c r="A1631" s="383"/>
      <c r="B1631" s="383"/>
      <c r="C1631" s="383"/>
      <c r="D1631" s="383"/>
      <c r="E1631" s="383"/>
      <c r="F1631" s="383"/>
      <c r="G1631" s="383"/>
      <c r="H1631" s="383"/>
      <c r="I1631" s="385" t="b">
        <v>0</v>
      </c>
      <c r="J1631" s="386"/>
    </row>
    <row r="1632" spans="1:10">
      <c r="A1632" s="383"/>
      <c r="B1632" s="383"/>
      <c r="C1632" s="383"/>
      <c r="D1632" s="383"/>
      <c r="E1632" s="383"/>
      <c r="F1632" s="383"/>
      <c r="G1632" s="383"/>
      <c r="H1632" s="383"/>
      <c r="I1632" s="385" t="b">
        <v>0</v>
      </c>
      <c r="J1632" s="386"/>
    </row>
    <row r="1633" spans="1:10">
      <c r="A1633" s="383"/>
      <c r="B1633" s="383"/>
      <c r="C1633" s="383"/>
      <c r="D1633" s="383"/>
      <c r="E1633" s="383"/>
      <c r="F1633" s="383"/>
      <c r="G1633" s="383"/>
      <c r="H1633" s="383"/>
      <c r="I1633" s="385" t="b">
        <v>0</v>
      </c>
      <c r="J1633" s="386"/>
    </row>
    <row r="1634" spans="1:10">
      <c r="A1634" s="383"/>
      <c r="B1634" s="383"/>
      <c r="C1634" s="383"/>
      <c r="D1634" s="383"/>
      <c r="E1634" s="383"/>
      <c r="F1634" s="383"/>
      <c r="G1634" s="383"/>
      <c r="H1634" s="383"/>
      <c r="I1634" s="385" t="b">
        <v>0</v>
      </c>
      <c r="J1634" s="386"/>
    </row>
    <row r="1635" spans="1:10">
      <c r="A1635" s="383"/>
      <c r="B1635" s="383"/>
      <c r="C1635" s="383"/>
      <c r="D1635" s="383"/>
      <c r="E1635" s="383"/>
      <c r="F1635" s="383"/>
      <c r="G1635" s="383"/>
      <c r="H1635" s="383"/>
      <c r="I1635" s="385" t="b">
        <v>0</v>
      </c>
      <c r="J1635" s="386"/>
    </row>
    <row r="1636" spans="1:10">
      <c r="A1636" s="383"/>
      <c r="B1636" s="383"/>
      <c r="C1636" s="383"/>
      <c r="D1636" s="383"/>
      <c r="E1636" s="383"/>
      <c r="F1636" s="383"/>
      <c r="G1636" s="383"/>
      <c r="H1636" s="383"/>
      <c r="I1636" s="385" t="b">
        <v>0</v>
      </c>
      <c r="J1636" s="386"/>
    </row>
    <row r="1637" spans="1:10">
      <c r="A1637" s="383"/>
      <c r="B1637" s="383"/>
      <c r="C1637" s="383"/>
      <c r="D1637" s="383"/>
      <c r="E1637" s="383"/>
      <c r="F1637" s="383"/>
      <c r="G1637" s="383"/>
      <c r="H1637" s="383"/>
      <c r="I1637" s="385" t="b">
        <v>0</v>
      </c>
      <c r="J1637" s="386"/>
    </row>
    <row r="1638" spans="1:10">
      <c r="A1638" s="383"/>
      <c r="B1638" s="383"/>
      <c r="C1638" s="383"/>
      <c r="D1638" s="383"/>
      <c r="E1638" s="383"/>
      <c r="F1638" s="383"/>
      <c r="G1638" s="383"/>
      <c r="H1638" s="383"/>
      <c r="I1638" s="385" t="b">
        <v>0</v>
      </c>
      <c r="J1638" s="386"/>
    </row>
    <row r="1639" spans="1:10">
      <c r="A1639" s="383"/>
      <c r="B1639" s="383"/>
      <c r="C1639" s="383"/>
      <c r="D1639" s="383"/>
      <c r="E1639" s="383"/>
      <c r="F1639" s="383"/>
      <c r="G1639" s="383"/>
      <c r="H1639" s="383"/>
      <c r="I1639" s="385" t="b">
        <v>0</v>
      </c>
      <c r="J1639" s="386"/>
    </row>
    <row r="1640" spans="1:10">
      <c r="A1640" s="383"/>
      <c r="B1640" s="383"/>
      <c r="C1640" s="383"/>
      <c r="D1640" s="383"/>
      <c r="E1640" s="383"/>
      <c r="F1640" s="383"/>
      <c r="G1640" s="383"/>
      <c r="H1640" s="383"/>
      <c r="I1640" s="385" t="b">
        <v>0</v>
      </c>
      <c r="J1640" s="386"/>
    </row>
    <row r="1641" spans="1:10">
      <c r="A1641" s="383"/>
      <c r="B1641" s="383"/>
      <c r="C1641" s="383"/>
      <c r="D1641" s="383"/>
      <c r="E1641" s="383"/>
      <c r="F1641" s="383"/>
      <c r="G1641" s="383"/>
      <c r="H1641" s="383"/>
      <c r="I1641" s="385" t="b">
        <v>0</v>
      </c>
      <c r="J1641" s="386"/>
    </row>
    <row r="1642" spans="1:10">
      <c r="A1642" s="383"/>
      <c r="B1642" s="383"/>
      <c r="C1642" s="383"/>
      <c r="D1642" s="383"/>
      <c r="E1642" s="383"/>
      <c r="F1642" s="383"/>
      <c r="G1642" s="383"/>
      <c r="H1642" s="383"/>
      <c r="I1642" s="385" t="b">
        <v>0</v>
      </c>
      <c r="J1642" s="386"/>
    </row>
    <row r="1643" spans="1:10">
      <c r="A1643" s="383"/>
      <c r="B1643" s="383"/>
      <c r="C1643" s="383"/>
      <c r="D1643" s="383"/>
      <c r="E1643" s="383"/>
      <c r="F1643" s="383"/>
      <c r="G1643" s="383"/>
      <c r="H1643" s="383"/>
      <c r="I1643" s="385" t="b">
        <v>0</v>
      </c>
      <c r="J1643" s="386"/>
    </row>
    <row r="1644" spans="1:10">
      <c r="A1644" s="383"/>
      <c r="B1644" s="383"/>
      <c r="C1644" s="383"/>
      <c r="D1644" s="383"/>
      <c r="E1644" s="383"/>
      <c r="F1644" s="383"/>
      <c r="G1644" s="383"/>
      <c r="H1644" s="383"/>
      <c r="I1644" s="385" t="b">
        <v>0</v>
      </c>
      <c r="J1644" s="386"/>
    </row>
    <row r="1645" spans="1:10">
      <c r="A1645" s="383"/>
      <c r="B1645" s="383"/>
      <c r="C1645" s="383"/>
      <c r="D1645" s="383"/>
      <c r="E1645" s="383"/>
      <c r="F1645" s="383"/>
      <c r="G1645" s="383"/>
      <c r="H1645" s="383"/>
      <c r="I1645" s="385" t="b">
        <v>0</v>
      </c>
      <c r="J1645" s="386"/>
    </row>
    <row r="1646" spans="1:10">
      <c r="A1646" s="383"/>
      <c r="B1646" s="383"/>
      <c r="C1646" s="383"/>
      <c r="D1646" s="383"/>
      <c r="E1646" s="383"/>
      <c r="F1646" s="383"/>
      <c r="G1646" s="383"/>
      <c r="H1646" s="383"/>
      <c r="I1646" s="385" t="b">
        <v>0</v>
      </c>
      <c r="J1646" s="386"/>
    </row>
    <row r="1647" spans="1:10">
      <c r="A1647" s="383"/>
      <c r="B1647" s="383"/>
      <c r="C1647" s="383"/>
      <c r="D1647" s="383"/>
      <c r="E1647" s="383"/>
      <c r="F1647" s="383"/>
      <c r="G1647" s="383"/>
      <c r="H1647" s="383"/>
      <c r="I1647" s="385" t="b">
        <v>0</v>
      </c>
      <c r="J1647" s="386"/>
    </row>
    <row r="1648" spans="1:10">
      <c r="A1648" s="383"/>
      <c r="B1648" s="383"/>
      <c r="C1648" s="383"/>
      <c r="D1648" s="383"/>
      <c r="E1648" s="383"/>
      <c r="F1648" s="383"/>
      <c r="G1648" s="383"/>
      <c r="H1648" s="383"/>
      <c r="I1648" s="385" t="b">
        <v>0</v>
      </c>
      <c r="J1648" s="386"/>
    </row>
    <row r="1649" spans="1:10">
      <c r="A1649" s="383"/>
      <c r="B1649" s="383"/>
      <c r="C1649" s="383"/>
      <c r="D1649" s="383"/>
      <c r="E1649" s="383"/>
      <c r="F1649" s="383"/>
      <c r="G1649" s="383"/>
      <c r="H1649" s="383"/>
      <c r="I1649" s="385" t="b">
        <v>0</v>
      </c>
      <c r="J1649" s="386"/>
    </row>
    <row r="1650" spans="1:10">
      <c r="A1650" s="383"/>
      <c r="B1650" s="383"/>
      <c r="C1650" s="383"/>
      <c r="D1650" s="383"/>
      <c r="E1650" s="383"/>
      <c r="F1650" s="383"/>
      <c r="G1650" s="383"/>
      <c r="H1650" s="383"/>
      <c r="I1650" s="385" t="b">
        <v>0</v>
      </c>
      <c r="J1650" s="386"/>
    </row>
    <row r="1651" spans="1:10">
      <c r="A1651" s="383"/>
      <c r="B1651" s="383"/>
      <c r="C1651" s="383"/>
      <c r="D1651" s="383"/>
      <c r="E1651" s="383"/>
      <c r="F1651" s="383"/>
      <c r="G1651" s="383"/>
      <c r="H1651" s="383"/>
      <c r="I1651" s="385" t="b">
        <v>0</v>
      </c>
      <c r="J1651" s="386"/>
    </row>
    <row r="1652" spans="1:10">
      <c r="A1652" s="383"/>
      <c r="B1652" s="383"/>
      <c r="C1652" s="383"/>
      <c r="D1652" s="383"/>
      <c r="E1652" s="383"/>
      <c r="F1652" s="383"/>
      <c r="G1652" s="383"/>
      <c r="H1652" s="383"/>
      <c r="I1652" s="385" t="b">
        <v>0</v>
      </c>
      <c r="J1652" s="386"/>
    </row>
    <row r="1653" spans="1:10">
      <c r="A1653" s="383"/>
      <c r="B1653" s="383"/>
      <c r="C1653" s="383"/>
      <c r="D1653" s="383"/>
      <c r="E1653" s="383"/>
      <c r="F1653" s="383"/>
      <c r="G1653" s="383"/>
      <c r="H1653" s="383"/>
      <c r="I1653" s="385" t="b">
        <v>0</v>
      </c>
      <c r="J1653" s="386"/>
    </row>
    <row r="1654" spans="1:10">
      <c r="A1654" s="383"/>
      <c r="B1654" s="383"/>
      <c r="C1654" s="383"/>
      <c r="D1654" s="383"/>
      <c r="E1654" s="383"/>
      <c r="F1654" s="383"/>
      <c r="G1654" s="383"/>
      <c r="H1654" s="383"/>
      <c r="I1654" s="385" t="b">
        <v>0</v>
      </c>
      <c r="J1654" s="386"/>
    </row>
    <row r="1655" spans="1:10">
      <c r="A1655" s="383"/>
      <c r="B1655" s="383"/>
      <c r="C1655" s="383"/>
      <c r="D1655" s="383"/>
      <c r="E1655" s="383"/>
      <c r="F1655" s="383"/>
      <c r="G1655" s="383"/>
      <c r="H1655" s="383"/>
      <c r="I1655" s="385" t="b">
        <v>0</v>
      </c>
      <c r="J1655" s="386"/>
    </row>
    <row r="1656" spans="1:10">
      <c r="A1656" s="383"/>
      <c r="B1656" s="383"/>
      <c r="C1656" s="383"/>
      <c r="D1656" s="383"/>
      <c r="E1656" s="383"/>
      <c r="F1656" s="383"/>
      <c r="G1656" s="383"/>
      <c r="H1656" s="383"/>
      <c r="I1656" s="385" t="b">
        <v>0</v>
      </c>
      <c r="J1656" s="386"/>
    </row>
    <row r="1657" spans="1:10">
      <c r="A1657" s="383"/>
      <c r="B1657" s="383"/>
      <c r="C1657" s="383"/>
      <c r="D1657" s="383"/>
      <c r="E1657" s="383"/>
      <c r="F1657" s="383"/>
      <c r="G1657" s="383"/>
      <c r="H1657" s="383"/>
      <c r="I1657" s="385" t="b">
        <v>0</v>
      </c>
      <c r="J1657" s="386"/>
    </row>
    <row r="1658" spans="1:10">
      <c r="A1658" s="383"/>
      <c r="B1658" s="383"/>
      <c r="C1658" s="383"/>
      <c r="D1658" s="383"/>
      <c r="E1658" s="383"/>
      <c r="F1658" s="383"/>
      <c r="G1658" s="383"/>
      <c r="H1658" s="383"/>
      <c r="I1658" s="385" t="b">
        <v>0</v>
      </c>
      <c r="J1658" s="386"/>
    </row>
    <row r="1659" spans="1:10">
      <c r="A1659" s="383"/>
      <c r="B1659" s="383"/>
      <c r="C1659" s="383"/>
      <c r="D1659" s="383"/>
      <c r="E1659" s="383"/>
      <c r="F1659" s="383"/>
      <c r="G1659" s="383"/>
      <c r="H1659" s="383"/>
      <c r="I1659" s="385" t="b">
        <v>0</v>
      </c>
      <c r="J1659" s="386"/>
    </row>
    <row r="1660" spans="1:10">
      <c r="A1660" s="383"/>
      <c r="B1660" s="383"/>
      <c r="C1660" s="383"/>
      <c r="D1660" s="383"/>
      <c r="E1660" s="383"/>
      <c r="F1660" s="383"/>
      <c r="G1660" s="383"/>
      <c r="H1660" s="383"/>
      <c r="I1660" s="385" t="b">
        <v>0</v>
      </c>
      <c r="J1660" s="386"/>
    </row>
    <row r="1661" spans="1:10">
      <c r="A1661" s="383"/>
      <c r="B1661" s="383"/>
      <c r="C1661" s="383"/>
      <c r="D1661" s="383"/>
      <c r="E1661" s="383"/>
      <c r="F1661" s="383"/>
      <c r="G1661" s="383"/>
      <c r="H1661" s="383"/>
      <c r="I1661" s="385" t="b">
        <v>0</v>
      </c>
      <c r="J1661" s="386"/>
    </row>
    <row r="1662" spans="1:10">
      <c r="A1662" s="383"/>
      <c r="B1662" s="383"/>
      <c r="C1662" s="383"/>
      <c r="D1662" s="383"/>
      <c r="E1662" s="383"/>
      <c r="F1662" s="383"/>
      <c r="G1662" s="383"/>
      <c r="H1662" s="383"/>
      <c r="I1662" s="385" t="b">
        <v>0</v>
      </c>
      <c r="J1662" s="386"/>
    </row>
    <row r="1663" spans="1:10">
      <c r="A1663" s="383"/>
      <c r="B1663" s="383"/>
      <c r="C1663" s="383"/>
      <c r="D1663" s="383"/>
      <c r="E1663" s="383"/>
      <c r="F1663" s="383"/>
      <c r="G1663" s="383"/>
      <c r="H1663" s="383"/>
      <c r="I1663" s="385" t="b">
        <v>0</v>
      </c>
      <c r="J1663" s="386"/>
    </row>
    <row r="1664" spans="1:10">
      <c r="A1664" s="383"/>
      <c r="B1664" s="383"/>
      <c r="C1664" s="383"/>
      <c r="D1664" s="383"/>
      <c r="E1664" s="383"/>
      <c r="F1664" s="383"/>
      <c r="G1664" s="383"/>
      <c r="H1664" s="383"/>
      <c r="I1664" s="385" t="b">
        <v>0</v>
      </c>
      <c r="J1664" s="386"/>
    </row>
    <row r="1665" spans="1:10">
      <c r="A1665" s="383"/>
      <c r="B1665" s="383"/>
      <c r="C1665" s="383"/>
      <c r="D1665" s="383"/>
      <c r="E1665" s="383"/>
      <c r="F1665" s="383"/>
      <c r="G1665" s="383"/>
      <c r="H1665" s="383"/>
      <c r="I1665" s="385" t="b">
        <v>0</v>
      </c>
      <c r="J1665" s="386"/>
    </row>
    <row r="1666" spans="1:10">
      <c r="A1666" s="383"/>
      <c r="B1666" s="383"/>
      <c r="C1666" s="383"/>
      <c r="D1666" s="383"/>
      <c r="E1666" s="383"/>
      <c r="F1666" s="383"/>
      <c r="G1666" s="383"/>
      <c r="H1666" s="383"/>
      <c r="I1666" s="385" t="b">
        <v>0</v>
      </c>
      <c r="J1666" s="386"/>
    </row>
    <row r="1667" spans="1:10">
      <c r="A1667" s="383"/>
      <c r="B1667" s="383"/>
      <c r="C1667" s="383"/>
      <c r="D1667" s="383"/>
      <c r="E1667" s="383"/>
      <c r="F1667" s="383"/>
      <c r="G1667" s="383"/>
      <c r="H1667" s="383"/>
      <c r="I1667" s="385" t="b">
        <v>0</v>
      </c>
      <c r="J1667" s="386"/>
    </row>
    <row r="1668" spans="1:10">
      <c r="A1668" s="383"/>
      <c r="B1668" s="383"/>
      <c r="C1668" s="383"/>
      <c r="D1668" s="383"/>
      <c r="E1668" s="383"/>
      <c r="F1668" s="383"/>
      <c r="G1668" s="383"/>
      <c r="H1668" s="383"/>
      <c r="I1668" s="385" t="b">
        <v>0</v>
      </c>
      <c r="J1668" s="386"/>
    </row>
    <row r="1669" spans="1:10">
      <c r="A1669" s="383"/>
      <c r="B1669" s="383"/>
      <c r="C1669" s="383"/>
      <c r="D1669" s="383"/>
      <c r="E1669" s="383"/>
      <c r="F1669" s="383"/>
      <c r="G1669" s="383"/>
      <c r="H1669" s="383"/>
      <c r="I1669" s="385" t="b">
        <v>0</v>
      </c>
      <c r="J1669" s="386"/>
    </row>
    <row r="1670" spans="1:10">
      <c r="A1670" s="383"/>
      <c r="B1670" s="383"/>
      <c r="C1670" s="383"/>
      <c r="D1670" s="383"/>
      <c r="E1670" s="383"/>
      <c r="F1670" s="383"/>
      <c r="G1670" s="383"/>
      <c r="H1670" s="383"/>
      <c r="I1670" s="385" t="b">
        <v>0</v>
      </c>
      <c r="J1670" s="386"/>
    </row>
    <row r="1671" spans="1:10">
      <c r="A1671" s="383"/>
      <c r="B1671" s="383"/>
      <c r="C1671" s="383"/>
      <c r="D1671" s="383"/>
      <c r="E1671" s="383"/>
      <c r="F1671" s="383"/>
      <c r="G1671" s="383"/>
      <c r="H1671" s="383"/>
      <c r="I1671" s="385" t="b">
        <v>0</v>
      </c>
      <c r="J1671" s="386"/>
    </row>
    <row r="1672" spans="1:10">
      <c r="A1672" s="383"/>
      <c r="B1672" s="383"/>
      <c r="C1672" s="383"/>
      <c r="D1672" s="383"/>
      <c r="E1672" s="383"/>
      <c r="F1672" s="383"/>
      <c r="G1672" s="383"/>
      <c r="H1672" s="383"/>
      <c r="I1672" s="385" t="b">
        <v>0</v>
      </c>
      <c r="J1672" s="386"/>
    </row>
    <row r="1673" spans="1:10">
      <c r="A1673" s="383"/>
      <c r="B1673" s="383"/>
      <c r="C1673" s="383"/>
      <c r="D1673" s="383"/>
      <c r="E1673" s="383"/>
      <c r="F1673" s="383"/>
      <c r="G1673" s="383"/>
      <c r="H1673" s="383"/>
      <c r="I1673" s="385" t="b">
        <v>0</v>
      </c>
      <c r="J1673" s="386"/>
    </row>
    <row r="1674" spans="1:10">
      <c r="A1674" s="383"/>
      <c r="B1674" s="383"/>
      <c r="C1674" s="383"/>
      <c r="D1674" s="383"/>
      <c r="E1674" s="383"/>
      <c r="F1674" s="383"/>
      <c r="G1674" s="383"/>
      <c r="H1674" s="383"/>
      <c r="I1674" s="385" t="b">
        <v>0</v>
      </c>
      <c r="J1674" s="386"/>
    </row>
    <row r="1675" spans="1:10">
      <c r="A1675" s="383"/>
      <c r="B1675" s="383"/>
      <c r="C1675" s="383"/>
      <c r="D1675" s="383"/>
      <c r="E1675" s="383"/>
      <c r="F1675" s="383"/>
      <c r="G1675" s="383"/>
      <c r="H1675" s="383"/>
      <c r="I1675" s="385" t="b">
        <v>0</v>
      </c>
      <c r="J1675" s="386"/>
    </row>
    <row r="1676" spans="1:10">
      <c r="A1676" s="383"/>
      <c r="B1676" s="383"/>
      <c r="C1676" s="383"/>
      <c r="D1676" s="383"/>
      <c r="E1676" s="383"/>
      <c r="F1676" s="383"/>
      <c r="G1676" s="383"/>
      <c r="H1676" s="383"/>
      <c r="I1676" s="385" t="b">
        <v>0</v>
      </c>
      <c r="J1676" s="386"/>
    </row>
    <row r="1677" spans="1:10">
      <c r="A1677" s="383"/>
      <c r="B1677" s="383"/>
      <c r="C1677" s="383"/>
      <c r="D1677" s="383"/>
      <c r="E1677" s="383"/>
      <c r="F1677" s="383"/>
      <c r="G1677" s="383"/>
      <c r="H1677" s="383"/>
      <c r="I1677" s="385" t="b">
        <v>0</v>
      </c>
      <c r="J1677" s="386"/>
    </row>
    <row r="1678" spans="1:10">
      <c r="A1678" s="383"/>
      <c r="B1678" s="383"/>
      <c r="C1678" s="383"/>
      <c r="D1678" s="383"/>
      <c r="E1678" s="383"/>
      <c r="F1678" s="383"/>
      <c r="G1678" s="383"/>
      <c r="H1678" s="383"/>
      <c r="I1678" s="385" t="b">
        <v>0</v>
      </c>
      <c r="J1678" s="386"/>
    </row>
    <row r="1679" spans="1:10">
      <c r="A1679" s="383"/>
      <c r="B1679" s="383"/>
      <c r="C1679" s="383"/>
      <c r="D1679" s="383"/>
      <c r="E1679" s="383"/>
      <c r="F1679" s="383"/>
      <c r="G1679" s="383"/>
      <c r="H1679" s="383"/>
      <c r="I1679" s="385" t="b">
        <v>0</v>
      </c>
      <c r="J1679" s="386"/>
    </row>
    <row r="1680" spans="1:10">
      <c r="A1680" s="383"/>
      <c r="B1680" s="383"/>
      <c r="C1680" s="383"/>
      <c r="D1680" s="383"/>
      <c r="E1680" s="383"/>
      <c r="F1680" s="383"/>
      <c r="G1680" s="383"/>
      <c r="H1680" s="383"/>
      <c r="I1680" s="385" t="b">
        <v>0</v>
      </c>
      <c r="J1680" s="386"/>
    </row>
    <row r="1681" spans="1:10">
      <c r="A1681" s="383"/>
      <c r="B1681" s="383"/>
      <c r="C1681" s="383"/>
      <c r="D1681" s="383"/>
      <c r="E1681" s="383"/>
      <c r="F1681" s="383"/>
      <c r="G1681" s="383"/>
      <c r="H1681" s="383"/>
      <c r="I1681" s="385" t="b">
        <v>0</v>
      </c>
      <c r="J1681" s="386"/>
    </row>
    <row r="1682" spans="1:10">
      <c r="A1682" s="383"/>
      <c r="B1682" s="383"/>
      <c r="C1682" s="383"/>
      <c r="D1682" s="383"/>
      <c r="E1682" s="383"/>
      <c r="F1682" s="383"/>
      <c r="G1682" s="383"/>
      <c r="H1682" s="383"/>
      <c r="I1682" s="385" t="b">
        <v>0</v>
      </c>
      <c r="J1682" s="386"/>
    </row>
    <row r="1683" spans="1:10">
      <c r="A1683" s="383"/>
      <c r="B1683" s="383"/>
      <c r="C1683" s="383"/>
      <c r="D1683" s="383"/>
      <c r="E1683" s="383"/>
      <c r="F1683" s="383"/>
      <c r="G1683" s="383"/>
      <c r="H1683" s="383"/>
      <c r="I1683" s="385" t="b">
        <v>0</v>
      </c>
      <c r="J1683" s="386"/>
    </row>
    <row r="1684" spans="1:10">
      <c r="A1684" s="383"/>
      <c r="B1684" s="383"/>
      <c r="C1684" s="383"/>
      <c r="D1684" s="383"/>
      <c r="E1684" s="383"/>
      <c r="F1684" s="383"/>
      <c r="G1684" s="383"/>
      <c r="H1684" s="383"/>
      <c r="I1684" s="385" t="b">
        <v>0</v>
      </c>
      <c r="J1684" s="386"/>
    </row>
    <row r="1685" spans="1:10">
      <c r="A1685" s="383"/>
      <c r="B1685" s="383"/>
      <c r="C1685" s="383"/>
      <c r="D1685" s="383"/>
      <c r="E1685" s="383"/>
      <c r="F1685" s="383"/>
      <c r="G1685" s="383"/>
      <c r="H1685" s="383"/>
      <c r="I1685" s="385" t="b">
        <v>0</v>
      </c>
      <c r="J1685" s="386"/>
    </row>
    <row r="1686" spans="1:10">
      <c r="A1686" s="383"/>
      <c r="B1686" s="383"/>
      <c r="C1686" s="383"/>
      <c r="D1686" s="383"/>
      <c r="E1686" s="383"/>
      <c r="F1686" s="383"/>
      <c r="G1686" s="383"/>
      <c r="H1686" s="383"/>
      <c r="I1686" s="385" t="b">
        <v>0</v>
      </c>
      <c r="J1686" s="386"/>
    </row>
    <row r="1687" spans="1:10">
      <c r="A1687" s="383"/>
      <c r="B1687" s="383"/>
      <c r="C1687" s="383"/>
      <c r="D1687" s="383"/>
      <c r="E1687" s="383"/>
      <c r="F1687" s="383"/>
      <c r="G1687" s="383"/>
      <c r="H1687" s="383"/>
      <c r="I1687" s="385" t="b">
        <v>0</v>
      </c>
      <c r="J1687" s="386"/>
    </row>
    <row r="1688" spans="1:10">
      <c r="A1688" s="383"/>
      <c r="B1688" s="383"/>
      <c r="C1688" s="383"/>
      <c r="D1688" s="383"/>
      <c r="E1688" s="383"/>
      <c r="F1688" s="383"/>
      <c r="G1688" s="383"/>
      <c r="H1688" s="383"/>
      <c r="I1688" s="385" t="b">
        <v>0</v>
      </c>
      <c r="J1688" s="386"/>
    </row>
    <row r="1689" spans="1:10">
      <c r="A1689" s="383"/>
      <c r="B1689" s="383"/>
      <c r="C1689" s="383"/>
      <c r="D1689" s="383"/>
      <c r="E1689" s="383"/>
      <c r="F1689" s="383"/>
      <c r="G1689" s="383"/>
      <c r="H1689" s="383"/>
      <c r="I1689" s="385" t="b">
        <v>0</v>
      </c>
      <c r="J1689" s="386"/>
    </row>
    <row r="1690" spans="1:10">
      <c r="A1690" s="383"/>
      <c r="B1690" s="383"/>
      <c r="C1690" s="383"/>
      <c r="D1690" s="383"/>
      <c r="E1690" s="383"/>
      <c r="F1690" s="383"/>
      <c r="G1690" s="383"/>
      <c r="H1690" s="383"/>
      <c r="I1690" s="385" t="b">
        <v>0</v>
      </c>
      <c r="J1690" s="386"/>
    </row>
    <row r="1691" spans="1:10">
      <c r="A1691" s="383"/>
      <c r="B1691" s="383"/>
      <c r="C1691" s="383"/>
      <c r="D1691" s="383"/>
      <c r="E1691" s="383"/>
      <c r="F1691" s="383"/>
      <c r="G1691" s="383"/>
      <c r="H1691" s="383"/>
      <c r="I1691" s="385" t="b">
        <v>0</v>
      </c>
      <c r="J1691" s="386"/>
    </row>
    <row r="1692" spans="1:10">
      <c r="A1692" s="383"/>
      <c r="B1692" s="383"/>
      <c r="C1692" s="383"/>
      <c r="D1692" s="383"/>
      <c r="E1692" s="383"/>
      <c r="F1692" s="383"/>
      <c r="G1692" s="383"/>
      <c r="H1692" s="383"/>
      <c r="I1692" s="385" t="b">
        <v>0</v>
      </c>
      <c r="J1692" s="386"/>
    </row>
    <row r="1693" spans="1:10">
      <c r="A1693" s="383"/>
      <c r="B1693" s="383"/>
      <c r="C1693" s="383"/>
      <c r="D1693" s="383"/>
      <c r="E1693" s="383"/>
      <c r="F1693" s="383"/>
      <c r="G1693" s="383"/>
      <c r="H1693" s="383"/>
      <c r="I1693" s="385" t="b">
        <v>0</v>
      </c>
      <c r="J1693" s="386"/>
    </row>
    <row r="1694" spans="1:10">
      <c r="A1694" s="383"/>
      <c r="B1694" s="383"/>
      <c r="C1694" s="383"/>
      <c r="D1694" s="383"/>
      <c r="E1694" s="383"/>
      <c r="F1694" s="383"/>
      <c r="G1694" s="383"/>
      <c r="H1694" s="383"/>
      <c r="I1694" s="385" t="b">
        <v>0</v>
      </c>
      <c r="J1694" s="386"/>
    </row>
    <row r="1695" spans="1:10">
      <c r="A1695" s="383"/>
      <c r="B1695" s="383"/>
      <c r="C1695" s="383"/>
      <c r="D1695" s="383"/>
      <c r="E1695" s="383"/>
      <c r="F1695" s="383"/>
      <c r="G1695" s="383"/>
      <c r="H1695" s="383"/>
      <c r="I1695" s="385" t="b">
        <v>0</v>
      </c>
      <c r="J1695" s="386"/>
    </row>
    <row r="1696" spans="1:10">
      <c r="A1696" s="383"/>
      <c r="B1696" s="383"/>
      <c r="C1696" s="383"/>
      <c r="D1696" s="383"/>
      <c r="E1696" s="383"/>
      <c r="F1696" s="383"/>
      <c r="G1696" s="383"/>
      <c r="H1696" s="383"/>
      <c r="I1696" s="385" t="b">
        <v>0</v>
      </c>
      <c r="J1696" s="386"/>
    </row>
    <row r="1697" spans="1:10">
      <c r="A1697" s="383"/>
      <c r="B1697" s="383"/>
      <c r="C1697" s="383"/>
      <c r="D1697" s="383"/>
      <c r="E1697" s="383"/>
      <c r="F1697" s="383"/>
      <c r="G1697" s="383"/>
      <c r="H1697" s="383"/>
      <c r="I1697" s="385" t="b">
        <v>0</v>
      </c>
      <c r="J1697" s="386"/>
    </row>
    <row r="1698" spans="1:10">
      <c r="A1698" s="383"/>
      <c r="B1698" s="383"/>
      <c r="C1698" s="383"/>
      <c r="D1698" s="383"/>
      <c r="E1698" s="383"/>
      <c r="F1698" s="383"/>
      <c r="G1698" s="383"/>
      <c r="H1698" s="383"/>
      <c r="I1698" s="385" t="b">
        <v>0</v>
      </c>
      <c r="J1698" s="386"/>
    </row>
    <row r="1699" spans="1:10">
      <c r="A1699" s="383"/>
      <c r="B1699" s="383"/>
      <c r="C1699" s="383"/>
      <c r="D1699" s="383"/>
      <c r="E1699" s="383"/>
      <c r="F1699" s="383"/>
      <c r="G1699" s="383"/>
      <c r="H1699" s="383"/>
      <c r="I1699" s="385" t="b">
        <v>0</v>
      </c>
      <c r="J1699" s="386"/>
    </row>
    <row r="1700" spans="1:10">
      <c r="A1700" s="383"/>
      <c r="B1700" s="383"/>
      <c r="C1700" s="383"/>
      <c r="D1700" s="383"/>
      <c r="E1700" s="383"/>
      <c r="F1700" s="383"/>
      <c r="G1700" s="383"/>
      <c r="H1700" s="383"/>
      <c r="I1700" s="385" t="b">
        <v>0</v>
      </c>
      <c r="J1700" s="386"/>
    </row>
    <row r="1701" spans="1:10">
      <c r="A1701" s="383"/>
      <c r="B1701" s="383"/>
      <c r="C1701" s="383"/>
      <c r="D1701" s="383"/>
      <c r="E1701" s="383"/>
      <c r="F1701" s="383"/>
      <c r="G1701" s="383"/>
      <c r="H1701" s="383"/>
      <c r="I1701" s="385" t="b">
        <v>0</v>
      </c>
      <c r="J1701" s="386"/>
    </row>
    <row r="1702" spans="1:10">
      <c r="A1702" s="383"/>
      <c r="B1702" s="383"/>
      <c r="C1702" s="383"/>
      <c r="D1702" s="383"/>
      <c r="E1702" s="383"/>
      <c r="F1702" s="383"/>
      <c r="G1702" s="383"/>
      <c r="H1702" s="383"/>
      <c r="I1702" s="385" t="b">
        <v>0</v>
      </c>
      <c r="J1702" s="386"/>
    </row>
    <row r="1703" spans="1:10">
      <c r="A1703" s="383"/>
      <c r="B1703" s="383"/>
      <c r="C1703" s="383"/>
      <c r="D1703" s="383"/>
      <c r="E1703" s="383"/>
      <c r="F1703" s="383"/>
      <c r="G1703" s="383"/>
      <c r="H1703" s="383"/>
      <c r="I1703" s="385" t="b">
        <v>0</v>
      </c>
      <c r="J1703" s="386"/>
    </row>
    <row r="1704" spans="1:10">
      <c r="A1704" s="383"/>
      <c r="B1704" s="383"/>
      <c r="C1704" s="383"/>
      <c r="D1704" s="383"/>
      <c r="E1704" s="383"/>
      <c r="F1704" s="383"/>
      <c r="G1704" s="383"/>
      <c r="H1704" s="383"/>
      <c r="I1704" s="385" t="b">
        <v>0</v>
      </c>
      <c r="J1704" s="386"/>
    </row>
    <row r="1705" spans="1:10">
      <c r="A1705" s="383"/>
      <c r="B1705" s="383"/>
      <c r="C1705" s="383"/>
      <c r="D1705" s="383"/>
      <c r="E1705" s="383"/>
      <c r="F1705" s="383"/>
      <c r="G1705" s="383"/>
      <c r="H1705" s="383"/>
      <c r="I1705" s="385" t="b">
        <v>0</v>
      </c>
      <c r="J1705" s="386"/>
    </row>
    <row r="1706" spans="1:10">
      <c r="A1706" s="383"/>
      <c r="B1706" s="383"/>
      <c r="C1706" s="383"/>
      <c r="D1706" s="383"/>
      <c r="E1706" s="383"/>
      <c r="F1706" s="383"/>
      <c r="G1706" s="383"/>
      <c r="H1706" s="383"/>
      <c r="I1706" s="385" t="b">
        <v>0</v>
      </c>
      <c r="J1706" s="386"/>
    </row>
    <row r="1707" spans="1:10">
      <c r="A1707" s="383"/>
      <c r="B1707" s="383"/>
      <c r="C1707" s="383"/>
      <c r="D1707" s="383"/>
      <c r="E1707" s="383"/>
      <c r="F1707" s="383"/>
      <c r="G1707" s="383"/>
      <c r="H1707" s="383"/>
      <c r="I1707" s="385" t="b">
        <v>0</v>
      </c>
      <c r="J1707" s="386"/>
    </row>
    <row r="1708" spans="1:10">
      <c r="A1708" s="383"/>
      <c r="B1708" s="383"/>
      <c r="C1708" s="383"/>
      <c r="D1708" s="383"/>
      <c r="E1708" s="383"/>
      <c r="F1708" s="383"/>
      <c r="G1708" s="383"/>
      <c r="H1708" s="383"/>
      <c r="I1708" s="385" t="b">
        <v>0</v>
      </c>
      <c r="J1708" s="386"/>
    </row>
    <row r="1709" spans="1:10">
      <c r="A1709" s="383"/>
      <c r="B1709" s="383"/>
      <c r="C1709" s="383"/>
      <c r="D1709" s="383"/>
      <c r="E1709" s="383"/>
      <c r="F1709" s="383"/>
      <c r="G1709" s="383"/>
      <c r="H1709" s="383"/>
      <c r="I1709" s="385" t="b">
        <v>0</v>
      </c>
      <c r="J1709" s="386"/>
    </row>
    <row r="1710" spans="1:10">
      <c r="A1710" s="383"/>
      <c r="B1710" s="383"/>
      <c r="C1710" s="383"/>
      <c r="D1710" s="383"/>
      <c r="E1710" s="383"/>
      <c r="F1710" s="383"/>
      <c r="G1710" s="383"/>
      <c r="H1710" s="383"/>
      <c r="I1710" s="385" t="b">
        <v>0</v>
      </c>
      <c r="J1710" s="386"/>
    </row>
    <row r="1711" spans="1:10">
      <c r="A1711" s="383"/>
      <c r="B1711" s="383"/>
      <c r="C1711" s="383"/>
      <c r="D1711" s="383"/>
      <c r="E1711" s="383"/>
      <c r="F1711" s="383"/>
      <c r="G1711" s="383"/>
      <c r="H1711" s="383"/>
      <c r="I1711" s="385" t="b">
        <v>0</v>
      </c>
      <c r="J1711" s="386"/>
    </row>
    <row r="1712" spans="1:10">
      <c r="A1712" s="383"/>
      <c r="B1712" s="383"/>
      <c r="C1712" s="383"/>
      <c r="D1712" s="383"/>
      <c r="E1712" s="383"/>
      <c r="F1712" s="383"/>
      <c r="G1712" s="383"/>
      <c r="H1712" s="383"/>
      <c r="I1712" s="385" t="b">
        <v>0</v>
      </c>
      <c r="J1712" s="386"/>
    </row>
    <row r="1713" spans="1:10">
      <c r="A1713" s="383"/>
      <c r="B1713" s="383"/>
      <c r="C1713" s="383"/>
      <c r="D1713" s="383"/>
      <c r="E1713" s="383"/>
      <c r="F1713" s="383"/>
      <c r="G1713" s="383"/>
      <c r="H1713" s="383"/>
      <c r="I1713" s="385" t="b">
        <v>0</v>
      </c>
      <c r="J1713" s="386"/>
    </row>
    <row r="1714" spans="1:10">
      <c r="A1714" s="383"/>
      <c r="B1714" s="383"/>
      <c r="C1714" s="383"/>
      <c r="D1714" s="383"/>
      <c r="E1714" s="383"/>
      <c r="F1714" s="383"/>
      <c r="G1714" s="383"/>
      <c r="H1714" s="383"/>
      <c r="I1714" s="385" t="b">
        <v>0</v>
      </c>
      <c r="J1714" s="386"/>
    </row>
    <row r="1715" spans="1:10">
      <c r="A1715" s="383"/>
      <c r="B1715" s="383"/>
      <c r="C1715" s="383"/>
      <c r="D1715" s="383"/>
      <c r="E1715" s="383"/>
      <c r="F1715" s="383"/>
      <c r="G1715" s="383"/>
      <c r="H1715" s="383"/>
      <c r="I1715" s="385" t="b">
        <v>0</v>
      </c>
      <c r="J1715" s="386"/>
    </row>
    <row r="1716" spans="1:10">
      <c r="A1716" s="383"/>
      <c r="B1716" s="383"/>
      <c r="C1716" s="383"/>
      <c r="D1716" s="383"/>
      <c r="E1716" s="383"/>
      <c r="F1716" s="383"/>
      <c r="G1716" s="383"/>
      <c r="H1716" s="383"/>
      <c r="I1716" s="385" t="b">
        <v>0</v>
      </c>
      <c r="J1716" s="386"/>
    </row>
    <row r="1717" spans="1:10">
      <c r="A1717" s="383"/>
      <c r="B1717" s="383"/>
      <c r="C1717" s="383"/>
      <c r="D1717" s="383"/>
      <c r="E1717" s="383"/>
      <c r="F1717" s="383"/>
      <c r="G1717" s="383"/>
      <c r="H1717" s="383"/>
      <c r="I1717" s="385" t="b">
        <v>0</v>
      </c>
      <c r="J1717" s="386"/>
    </row>
    <row r="1718" spans="1:10">
      <c r="A1718" s="383"/>
      <c r="B1718" s="383"/>
      <c r="C1718" s="383"/>
      <c r="D1718" s="383"/>
      <c r="E1718" s="383"/>
      <c r="F1718" s="383"/>
      <c r="G1718" s="383"/>
      <c r="H1718" s="383"/>
      <c r="I1718" s="385" t="b">
        <v>0</v>
      </c>
      <c r="J1718" s="386"/>
    </row>
    <row r="1719" spans="1:10">
      <c r="A1719" s="383"/>
      <c r="B1719" s="383"/>
      <c r="C1719" s="383"/>
      <c r="D1719" s="383"/>
      <c r="E1719" s="383"/>
      <c r="F1719" s="383"/>
      <c r="G1719" s="383"/>
      <c r="H1719" s="383"/>
      <c r="I1719" s="385" t="b">
        <v>0</v>
      </c>
      <c r="J1719" s="386"/>
    </row>
    <row r="1720" spans="1:10">
      <c r="A1720" s="383"/>
      <c r="B1720" s="383"/>
      <c r="C1720" s="383"/>
      <c r="D1720" s="383"/>
      <c r="E1720" s="383"/>
      <c r="F1720" s="383"/>
      <c r="G1720" s="383"/>
      <c r="H1720" s="383"/>
      <c r="I1720" s="385" t="b">
        <v>0</v>
      </c>
      <c r="J1720" s="386"/>
    </row>
    <row r="1721" spans="1:10">
      <c r="A1721" s="383"/>
      <c r="B1721" s="383"/>
      <c r="C1721" s="383"/>
      <c r="D1721" s="383"/>
      <c r="E1721" s="383"/>
      <c r="F1721" s="383"/>
      <c r="G1721" s="383"/>
      <c r="H1721" s="383"/>
      <c r="I1721" s="385" t="b">
        <v>0</v>
      </c>
      <c r="J1721" s="386"/>
    </row>
    <row r="1722" spans="1:10">
      <c r="A1722" s="383"/>
      <c r="B1722" s="383"/>
      <c r="C1722" s="383"/>
      <c r="D1722" s="383"/>
      <c r="E1722" s="383"/>
      <c r="F1722" s="383"/>
      <c r="G1722" s="383"/>
      <c r="H1722" s="383"/>
      <c r="I1722" s="385" t="b">
        <v>0</v>
      </c>
      <c r="J1722" s="386"/>
    </row>
    <row r="1723" spans="1:10">
      <c r="A1723" s="383"/>
      <c r="B1723" s="383"/>
      <c r="C1723" s="383"/>
      <c r="D1723" s="383"/>
      <c r="E1723" s="383"/>
      <c r="F1723" s="383"/>
      <c r="G1723" s="383"/>
      <c r="H1723" s="383"/>
      <c r="I1723" s="385" t="b">
        <v>0</v>
      </c>
      <c r="J1723" s="386"/>
    </row>
    <row r="1724" spans="1:10">
      <c r="A1724" s="383"/>
      <c r="B1724" s="383"/>
      <c r="C1724" s="383"/>
      <c r="D1724" s="383"/>
      <c r="E1724" s="383"/>
      <c r="F1724" s="383"/>
      <c r="G1724" s="383"/>
      <c r="H1724" s="383"/>
      <c r="I1724" s="385" t="b">
        <v>0</v>
      </c>
      <c r="J1724" s="386"/>
    </row>
    <row r="1725" spans="1:10">
      <c r="A1725" s="383"/>
      <c r="B1725" s="383"/>
      <c r="C1725" s="383"/>
      <c r="D1725" s="383"/>
      <c r="E1725" s="383"/>
      <c r="F1725" s="383"/>
      <c r="G1725" s="383"/>
      <c r="H1725" s="383"/>
      <c r="I1725" s="385" t="b">
        <v>0</v>
      </c>
      <c r="J1725" s="386"/>
    </row>
    <row r="1726" spans="1:10">
      <c r="A1726" s="383"/>
      <c r="B1726" s="383"/>
      <c r="C1726" s="383"/>
      <c r="D1726" s="383"/>
      <c r="E1726" s="383"/>
      <c r="F1726" s="383"/>
      <c r="G1726" s="383"/>
      <c r="H1726" s="383"/>
      <c r="I1726" s="385" t="b">
        <v>0</v>
      </c>
      <c r="J1726" s="386"/>
    </row>
    <row r="1727" spans="1:10">
      <c r="A1727" s="383"/>
      <c r="B1727" s="383"/>
      <c r="C1727" s="383"/>
      <c r="D1727" s="383"/>
      <c r="E1727" s="383"/>
      <c r="F1727" s="383"/>
      <c r="G1727" s="383"/>
      <c r="H1727" s="383"/>
      <c r="I1727" s="385" t="b">
        <v>0</v>
      </c>
      <c r="J1727" s="386"/>
    </row>
    <row r="1728" spans="1:10">
      <c r="A1728" s="383"/>
      <c r="B1728" s="383"/>
      <c r="C1728" s="383"/>
      <c r="D1728" s="383"/>
      <c r="E1728" s="383"/>
      <c r="F1728" s="383"/>
      <c r="G1728" s="383"/>
      <c r="H1728" s="383"/>
      <c r="I1728" s="385" t="b">
        <v>0</v>
      </c>
      <c r="J1728" s="386"/>
    </row>
    <row r="1729" spans="1:10">
      <c r="A1729" s="383"/>
      <c r="B1729" s="383"/>
      <c r="C1729" s="383"/>
      <c r="D1729" s="383"/>
      <c r="E1729" s="383"/>
      <c r="F1729" s="383"/>
      <c r="G1729" s="383"/>
      <c r="H1729" s="383"/>
      <c r="I1729" s="385" t="b">
        <v>0</v>
      </c>
      <c r="J1729" s="386"/>
    </row>
    <row r="1730" spans="1:10">
      <c r="A1730" s="383"/>
      <c r="B1730" s="383"/>
      <c r="C1730" s="383"/>
      <c r="D1730" s="383"/>
      <c r="E1730" s="383"/>
      <c r="F1730" s="383"/>
      <c r="G1730" s="383"/>
      <c r="H1730" s="383"/>
      <c r="I1730" s="385" t="b">
        <v>0</v>
      </c>
      <c r="J1730" s="386"/>
    </row>
    <row r="1731" spans="1:10">
      <c r="A1731" s="383"/>
      <c r="B1731" s="383"/>
      <c r="C1731" s="383"/>
      <c r="D1731" s="383"/>
      <c r="E1731" s="383"/>
      <c r="F1731" s="383"/>
      <c r="G1731" s="383"/>
      <c r="H1731" s="383"/>
      <c r="I1731" s="385" t="b">
        <v>0</v>
      </c>
      <c r="J1731" s="386"/>
    </row>
    <row r="1732" spans="1:10">
      <c r="A1732" s="383"/>
      <c r="B1732" s="383"/>
      <c r="C1732" s="383"/>
      <c r="D1732" s="383"/>
      <c r="E1732" s="383"/>
      <c r="F1732" s="383"/>
      <c r="G1732" s="383"/>
      <c r="H1732" s="383"/>
      <c r="I1732" s="385" t="b">
        <v>0</v>
      </c>
      <c r="J1732" s="386"/>
    </row>
    <row r="1733" spans="1:10">
      <c r="A1733" s="383"/>
      <c r="B1733" s="383"/>
      <c r="C1733" s="383"/>
      <c r="D1733" s="383"/>
      <c r="E1733" s="383"/>
      <c r="F1733" s="383"/>
      <c r="G1733" s="383"/>
      <c r="H1733" s="383"/>
      <c r="I1733" s="385" t="b">
        <v>0</v>
      </c>
      <c r="J1733" s="386"/>
    </row>
    <row r="1734" spans="1:10">
      <c r="A1734" s="383"/>
      <c r="B1734" s="383"/>
      <c r="C1734" s="383"/>
      <c r="D1734" s="383"/>
      <c r="E1734" s="383"/>
      <c r="F1734" s="383"/>
      <c r="G1734" s="383"/>
      <c r="H1734" s="383"/>
      <c r="I1734" s="385" t="b">
        <v>0</v>
      </c>
      <c r="J1734" s="386"/>
    </row>
    <row r="1735" spans="1:10">
      <c r="A1735" s="383"/>
      <c r="B1735" s="383"/>
      <c r="C1735" s="383"/>
      <c r="D1735" s="383"/>
      <c r="E1735" s="383"/>
      <c r="F1735" s="383"/>
      <c r="G1735" s="383"/>
      <c r="H1735" s="383"/>
      <c r="I1735" s="385" t="b">
        <v>0</v>
      </c>
      <c r="J1735" s="386"/>
    </row>
    <row r="1736" spans="1:10">
      <c r="A1736" s="383"/>
      <c r="B1736" s="383"/>
      <c r="C1736" s="383"/>
      <c r="D1736" s="383"/>
      <c r="E1736" s="383"/>
      <c r="F1736" s="383"/>
      <c r="G1736" s="383"/>
      <c r="H1736" s="383"/>
      <c r="I1736" s="385" t="b">
        <v>0</v>
      </c>
      <c r="J1736" s="386"/>
    </row>
    <row r="1737" spans="1:10">
      <c r="A1737" s="383"/>
      <c r="B1737" s="383"/>
      <c r="C1737" s="383"/>
      <c r="D1737" s="383"/>
      <c r="E1737" s="383"/>
      <c r="F1737" s="383"/>
      <c r="G1737" s="383"/>
      <c r="H1737" s="383"/>
      <c r="I1737" s="385" t="b">
        <v>0</v>
      </c>
      <c r="J1737" s="386"/>
    </row>
    <row r="1738" spans="1:10">
      <c r="A1738" s="383"/>
      <c r="B1738" s="383"/>
      <c r="C1738" s="383"/>
      <c r="D1738" s="383"/>
      <c r="E1738" s="383"/>
      <c r="F1738" s="383"/>
      <c r="G1738" s="383"/>
      <c r="H1738" s="383"/>
      <c r="I1738" s="385" t="b">
        <v>0</v>
      </c>
      <c r="J1738" s="386"/>
    </row>
    <row r="1739" spans="1:10">
      <c r="A1739" s="383"/>
      <c r="B1739" s="383"/>
      <c r="C1739" s="383"/>
      <c r="D1739" s="383"/>
      <c r="E1739" s="383"/>
      <c r="F1739" s="383"/>
      <c r="G1739" s="383"/>
      <c r="H1739" s="383"/>
      <c r="I1739" s="385" t="b">
        <v>0</v>
      </c>
      <c r="J1739" s="386"/>
    </row>
    <row r="1740" spans="1:10">
      <c r="A1740" s="383"/>
      <c r="B1740" s="383"/>
      <c r="C1740" s="383"/>
      <c r="D1740" s="383"/>
      <c r="E1740" s="383"/>
      <c r="F1740" s="383"/>
      <c r="G1740" s="383"/>
      <c r="H1740" s="383"/>
      <c r="I1740" s="385" t="b">
        <v>0</v>
      </c>
      <c r="J1740" s="386"/>
    </row>
    <row r="1741" spans="1:10">
      <c r="A1741" s="383"/>
      <c r="B1741" s="383"/>
      <c r="C1741" s="383"/>
      <c r="D1741" s="383"/>
      <c r="E1741" s="383"/>
      <c r="F1741" s="383"/>
      <c r="G1741" s="383"/>
      <c r="H1741" s="383"/>
      <c r="I1741" s="385" t="b">
        <v>0</v>
      </c>
      <c r="J1741" s="386"/>
    </row>
    <row r="1742" spans="1:10">
      <c r="A1742" s="383"/>
      <c r="B1742" s="383"/>
      <c r="C1742" s="383"/>
      <c r="D1742" s="383"/>
      <c r="E1742" s="383"/>
      <c r="F1742" s="383"/>
      <c r="G1742" s="383"/>
      <c r="H1742" s="383"/>
      <c r="I1742" s="385" t="b">
        <v>0</v>
      </c>
      <c r="J1742" s="386"/>
    </row>
    <row r="1743" spans="1:10">
      <c r="A1743" s="383"/>
      <c r="B1743" s="383"/>
      <c r="C1743" s="383"/>
      <c r="D1743" s="383"/>
      <c r="E1743" s="383"/>
      <c r="F1743" s="383"/>
      <c r="G1743" s="383"/>
      <c r="H1743" s="383"/>
      <c r="I1743" s="385" t="b">
        <v>0</v>
      </c>
      <c r="J1743" s="386"/>
    </row>
    <row r="1744" spans="1:10">
      <c r="A1744" s="383"/>
      <c r="B1744" s="383"/>
      <c r="C1744" s="383"/>
      <c r="D1744" s="383"/>
      <c r="E1744" s="383"/>
      <c r="F1744" s="383"/>
      <c r="G1744" s="383"/>
      <c r="H1744" s="383"/>
      <c r="I1744" s="385" t="b">
        <v>0</v>
      </c>
      <c r="J1744" s="386"/>
    </row>
    <row r="1745" spans="1:10">
      <c r="A1745" s="383"/>
      <c r="B1745" s="383"/>
      <c r="C1745" s="383"/>
      <c r="D1745" s="383"/>
      <c r="E1745" s="383"/>
      <c r="F1745" s="383"/>
      <c r="G1745" s="383"/>
      <c r="H1745" s="383"/>
      <c r="I1745" s="385" t="b">
        <v>0</v>
      </c>
      <c r="J1745" s="386"/>
    </row>
    <row r="1746" spans="1:10">
      <c r="A1746" s="383"/>
      <c r="B1746" s="383"/>
      <c r="C1746" s="383"/>
      <c r="D1746" s="383"/>
      <c r="E1746" s="383"/>
      <c r="F1746" s="383"/>
      <c r="G1746" s="383"/>
      <c r="H1746" s="383"/>
      <c r="I1746" s="385" t="b">
        <v>0</v>
      </c>
      <c r="J1746" s="386"/>
    </row>
    <row r="1747" spans="1:10">
      <c r="A1747" s="383"/>
      <c r="B1747" s="383"/>
      <c r="C1747" s="383"/>
      <c r="D1747" s="383"/>
      <c r="E1747" s="383"/>
      <c r="F1747" s="383"/>
      <c r="G1747" s="383"/>
      <c r="H1747" s="383"/>
      <c r="I1747" s="385" t="b">
        <v>0</v>
      </c>
      <c r="J1747" s="386"/>
    </row>
    <row r="1748" spans="1:10">
      <c r="A1748" s="383"/>
      <c r="B1748" s="383"/>
      <c r="C1748" s="383"/>
      <c r="D1748" s="383"/>
      <c r="E1748" s="383"/>
      <c r="F1748" s="383"/>
      <c r="G1748" s="383"/>
      <c r="H1748" s="383"/>
      <c r="I1748" s="385" t="b">
        <v>0</v>
      </c>
      <c r="J1748" s="386"/>
    </row>
    <row r="1749" spans="1:10">
      <c r="A1749" s="383"/>
      <c r="B1749" s="383"/>
      <c r="C1749" s="383"/>
      <c r="D1749" s="383"/>
      <c r="E1749" s="383"/>
      <c r="F1749" s="383"/>
      <c r="G1749" s="383"/>
      <c r="H1749" s="383"/>
      <c r="I1749" s="385" t="b">
        <v>0</v>
      </c>
      <c r="J1749" s="386"/>
    </row>
    <row r="1750" spans="1:10">
      <c r="A1750" s="383"/>
      <c r="B1750" s="383"/>
      <c r="C1750" s="383"/>
      <c r="D1750" s="383"/>
      <c r="E1750" s="383"/>
      <c r="F1750" s="383"/>
      <c r="G1750" s="383"/>
      <c r="H1750" s="383"/>
      <c r="I1750" s="385" t="b">
        <v>0</v>
      </c>
      <c r="J1750" s="386"/>
    </row>
    <row r="1751" spans="1:10">
      <c r="A1751" s="383"/>
      <c r="B1751" s="383"/>
      <c r="C1751" s="383"/>
      <c r="D1751" s="383"/>
      <c r="E1751" s="383"/>
      <c r="F1751" s="383"/>
      <c r="G1751" s="383"/>
      <c r="H1751" s="383"/>
      <c r="I1751" s="385" t="b">
        <v>0</v>
      </c>
      <c r="J1751" s="386"/>
    </row>
    <row r="1752" spans="1:10">
      <c r="A1752" s="383"/>
      <c r="B1752" s="383"/>
      <c r="C1752" s="383"/>
      <c r="D1752" s="383"/>
      <c r="E1752" s="383"/>
      <c r="F1752" s="383"/>
      <c r="G1752" s="383"/>
      <c r="H1752" s="383"/>
      <c r="I1752" s="385" t="b">
        <v>0</v>
      </c>
      <c r="J1752" s="386"/>
    </row>
    <row r="1753" spans="1:10">
      <c r="A1753" s="383"/>
      <c r="B1753" s="383"/>
      <c r="C1753" s="383"/>
      <c r="D1753" s="383"/>
      <c r="E1753" s="383"/>
      <c r="F1753" s="383"/>
      <c r="G1753" s="383"/>
      <c r="H1753" s="383"/>
      <c r="I1753" s="385" t="b">
        <v>0</v>
      </c>
      <c r="J1753" s="386"/>
    </row>
    <row r="1754" spans="1:10">
      <c r="A1754" s="383"/>
      <c r="B1754" s="383"/>
      <c r="C1754" s="383"/>
      <c r="D1754" s="383"/>
      <c r="E1754" s="383"/>
      <c r="F1754" s="383"/>
      <c r="G1754" s="383"/>
      <c r="H1754" s="383"/>
      <c r="I1754" s="385" t="b">
        <v>0</v>
      </c>
      <c r="J1754" s="386"/>
    </row>
    <row r="1755" spans="1:10">
      <c r="A1755" s="383"/>
      <c r="B1755" s="383"/>
      <c r="C1755" s="383"/>
      <c r="D1755" s="383"/>
      <c r="E1755" s="383"/>
      <c r="F1755" s="383"/>
      <c r="G1755" s="383"/>
      <c r="H1755" s="383"/>
      <c r="I1755" s="385" t="b">
        <v>0</v>
      </c>
      <c r="J1755" s="386"/>
    </row>
    <row r="1756" spans="1:10">
      <c r="A1756" s="383"/>
      <c r="B1756" s="383"/>
      <c r="C1756" s="383"/>
      <c r="D1756" s="383"/>
      <c r="E1756" s="383"/>
      <c r="F1756" s="383"/>
      <c r="G1756" s="383"/>
      <c r="H1756" s="383"/>
      <c r="I1756" s="385" t="b">
        <v>0</v>
      </c>
      <c r="J1756" s="386"/>
    </row>
    <row r="1757" spans="1:10">
      <c r="A1757" s="383"/>
      <c r="B1757" s="383"/>
      <c r="C1757" s="383"/>
      <c r="D1757" s="383"/>
      <c r="E1757" s="383"/>
      <c r="F1757" s="383"/>
      <c r="G1757" s="383"/>
      <c r="H1757" s="383"/>
      <c r="I1757" s="385" t="b">
        <v>0</v>
      </c>
      <c r="J1757" s="386"/>
    </row>
    <row r="1758" spans="1:10">
      <c r="A1758" s="383"/>
      <c r="B1758" s="383"/>
      <c r="C1758" s="383"/>
      <c r="D1758" s="383"/>
      <c r="E1758" s="383"/>
      <c r="F1758" s="383"/>
      <c r="G1758" s="383"/>
      <c r="H1758" s="383"/>
      <c r="I1758" s="385" t="b">
        <v>0</v>
      </c>
      <c r="J1758" s="386"/>
    </row>
    <row r="1759" spans="1:10">
      <c r="A1759" s="383"/>
      <c r="B1759" s="383"/>
      <c r="C1759" s="383"/>
      <c r="D1759" s="383"/>
      <c r="E1759" s="383"/>
      <c r="F1759" s="383"/>
      <c r="G1759" s="383"/>
      <c r="H1759" s="383"/>
      <c r="I1759" s="385" t="b">
        <v>0</v>
      </c>
      <c r="J1759" s="386"/>
    </row>
    <row r="1760" spans="1:10">
      <c r="A1760" s="383"/>
      <c r="B1760" s="383"/>
      <c r="C1760" s="383"/>
      <c r="D1760" s="383"/>
      <c r="E1760" s="383"/>
      <c r="F1760" s="383"/>
      <c r="G1760" s="383"/>
      <c r="H1760" s="383"/>
      <c r="I1760" s="385" t="b">
        <v>0</v>
      </c>
      <c r="J1760" s="386"/>
    </row>
    <row r="1761" spans="1:10">
      <c r="A1761" s="383"/>
      <c r="B1761" s="383"/>
      <c r="C1761" s="383"/>
      <c r="D1761" s="383"/>
      <c r="E1761" s="383"/>
      <c r="F1761" s="383"/>
      <c r="G1761" s="383"/>
      <c r="H1761" s="383"/>
      <c r="I1761" s="385" t="b">
        <v>0</v>
      </c>
      <c r="J1761" s="386"/>
    </row>
    <row r="1762" spans="1:10">
      <c r="A1762" s="383"/>
      <c r="B1762" s="383"/>
      <c r="C1762" s="383"/>
      <c r="D1762" s="383"/>
      <c r="E1762" s="383"/>
      <c r="F1762" s="383"/>
      <c r="G1762" s="383"/>
      <c r="H1762" s="383"/>
      <c r="I1762" s="385" t="b">
        <v>0</v>
      </c>
      <c r="J1762" s="386"/>
    </row>
    <row r="1763" spans="1:10">
      <c r="A1763" s="383"/>
      <c r="B1763" s="383"/>
      <c r="C1763" s="383"/>
      <c r="D1763" s="383"/>
      <c r="E1763" s="383"/>
      <c r="F1763" s="383"/>
      <c r="G1763" s="383"/>
      <c r="H1763" s="383"/>
      <c r="I1763" s="385" t="b">
        <v>0</v>
      </c>
      <c r="J1763" s="386"/>
    </row>
    <row r="1764" spans="1:10">
      <c r="A1764" s="383"/>
      <c r="B1764" s="383"/>
      <c r="C1764" s="383"/>
      <c r="D1764" s="383"/>
      <c r="E1764" s="383"/>
      <c r="F1764" s="383"/>
      <c r="G1764" s="383"/>
      <c r="H1764" s="383"/>
      <c r="I1764" s="385" t="b">
        <v>0</v>
      </c>
      <c r="J1764" s="386"/>
    </row>
    <row r="1765" spans="1:10">
      <c r="A1765" s="383"/>
      <c r="B1765" s="383"/>
      <c r="C1765" s="383"/>
      <c r="D1765" s="383"/>
      <c r="E1765" s="383"/>
      <c r="F1765" s="383"/>
      <c r="G1765" s="383"/>
      <c r="H1765" s="383"/>
      <c r="I1765" s="385" t="b">
        <v>0</v>
      </c>
      <c r="J1765" s="386"/>
    </row>
    <row r="1766" spans="1:10">
      <c r="A1766" s="383"/>
      <c r="B1766" s="383"/>
      <c r="C1766" s="383"/>
      <c r="D1766" s="383"/>
      <c r="E1766" s="383"/>
      <c r="F1766" s="383"/>
      <c r="G1766" s="383"/>
      <c r="H1766" s="383"/>
      <c r="I1766" s="385" t="b">
        <v>0</v>
      </c>
      <c r="J1766" s="386"/>
    </row>
    <row r="1767" spans="1:10">
      <c r="A1767" s="383"/>
      <c r="B1767" s="383"/>
      <c r="C1767" s="383"/>
      <c r="D1767" s="383"/>
      <c r="E1767" s="383"/>
      <c r="F1767" s="383"/>
      <c r="G1767" s="383"/>
      <c r="H1767" s="383"/>
      <c r="I1767" s="385" t="b">
        <v>0</v>
      </c>
      <c r="J1767" s="386"/>
    </row>
    <row r="1768" spans="1:10">
      <c r="A1768" s="383"/>
      <c r="B1768" s="383"/>
      <c r="C1768" s="383"/>
      <c r="D1768" s="383"/>
      <c r="E1768" s="383"/>
      <c r="F1768" s="383"/>
      <c r="G1768" s="383"/>
      <c r="H1768" s="383"/>
      <c r="I1768" s="385" t="b">
        <v>0</v>
      </c>
      <c r="J1768" s="386"/>
    </row>
    <row r="1769" spans="1:10">
      <c r="A1769" s="383"/>
      <c r="B1769" s="383"/>
      <c r="C1769" s="383"/>
      <c r="D1769" s="383"/>
      <c r="E1769" s="383"/>
      <c r="F1769" s="383"/>
      <c r="G1769" s="383"/>
      <c r="H1769" s="383"/>
      <c r="I1769" s="385" t="b">
        <v>0</v>
      </c>
      <c r="J1769" s="386"/>
    </row>
    <row r="1770" spans="1:10">
      <c r="A1770" s="383"/>
      <c r="B1770" s="383"/>
      <c r="C1770" s="383"/>
      <c r="D1770" s="383"/>
      <c r="E1770" s="383"/>
      <c r="F1770" s="383"/>
      <c r="G1770" s="383"/>
      <c r="H1770" s="383"/>
      <c r="I1770" s="385" t="b">
        <v>0</v>
      </c>
      <c r="J1770" s="386"/>
    </row>
    <row r="1771" spans="1:10">
      <c r="A1771" s="383"/>
      <c r="B1771" s="383"/>
      <c r="C1771" s="383"/>
      <c r="D1771" s="383"/>
      <c r="E1771" s="383"/>
      <c r="F1771" s="383"/>
      <c r="G1771" s="383"/>
      <c r="H1771" s="383"/>
      <c r="I1771" s="385" t="b">
        <v>0</v>
      </c>
      <c r="J1771" s="386"/>
    </row>
    <row r="1772" spans="1:10">
      <c r="A1772" s="383"/>
      <c r="B1772" s="383"/>
      <c r="C1772" s="383"/>
      <c r="D1772" s="383"/>
      <c r="E1772" s="383"/>
      <c r="F1772" s="383"/>
      <c r="G1772" s="383"/>
      <c r="H1772" s="383"/>
      <c r="I1772" s="385" t="b">
        <v>0</v>
      </c>
      <c r="J1772" s="386"/>
    </row>
    <row r="1773" spans="1:10">
      <c r="A1773" s="383"/>
      <c r="B1773" s="383"/>
      <c r="C1773" s="383"/>
      <c r="D1773" s="383"/>
      <c r="E1773" s="383"/>
      <c r="F1773" s="383"/>
      <c r="G1773" s="383"/>
      <c r="H1773" s="383"/>
      <c r="I1773" s="385" t="b">
        <v>0</v>
      </c>
      <c r="J1773" s="386"/>
    </row>
    <row r="1774" spans="1:10">
      <c r="A1774" s="383"/>
      <c r="B1774" s="383"/>
      <c r="C1774" s="383"/>
      <c r="D1774" s="383"/>
      <c r="E1774" s="383"/>
      <c r="F1774" s="383"/>
      <c r="G1774" s="383"/>
      <c r="H1774" s="383"/>
      <c r="I1774" s="385" t="b">
        <v>0</v>
      </c>
      <c r="J1774" s="386"/>
    </row>
    <row r="1775" spans="1:10">
      <c r="A1775" s="383"/>
      <c r="B1775" s="383"/>
      <c r="C1775" s="383"/>
      <c r="D1775" s="383"/>
      <c r="E1775" s="383"/>
      <c r="F1775" s="383"/>
      <c r="G1775" s="383"/>
      <c r="H1775" s="383"/>
      <c r="I1775" s="385" t="b">
        <v>0</v>
      </c>
      <c r="J1775" s="386"/>
    </row>
    <row r="1776" spans="1:10">
      <c r="A1776" s="383"/>
      <c r="B1776" s="383"/>
      <c r="C1776" s="383"/>
      <c r="D1776" s="383"/>
      <c r="E1776" s="383"/>
      <c r="F1776" s="383"/>
      <c r="G1776" s="383"/>
      <c r="H1776" s="383"/>
      <c r="I1776" s="385" t="b">
        <v>0</v>
      </c>
      <c r="J1776" s="386"/>
    </row>
    <row r="1777" spans="1:10">
      <c r="A1777" s="383"/>
      <c r="B1777" s="383"/>
      <c r="C1777" s="383"/>
      <c r="D1777" s="383"/>
      <c r="E1777" s="383"/>
      <c r="F1777" s="383"/>
      <c r="G1777" s="383"/>
      <c r="H1777" s="383"/>
      <c r="I1777" s="385" t="b">
        <v>0</v>
      </c>
      <c r="J1777" s="386"/>
    </row>
    <row r="1778" spans="1:10">
      <c r="A1778" s="383"/>
      <c r="B1778" s="383"/>
      <c r="C1778" s="383"/>
      <c r="D1778" s="383"/>
      <c r="E1778" s="383"/>
      <c r="F1778" s="383"/>
      <c r="G1778" s="383"/>
      <c r="H1778" s="383"/>
      <c r="I1778" s="385" t="b">
        <v>0</v>
      </c>
      <c r="J1778" s="386"/>
    </row>
    <row r="1779" spans="1:10">
      <c r="A1779" s="383"/>
      <c r="B1779" s="383"/>
      <c r="C1779" s="383"/>
      <c r="D1779" s="383"/>
      <c r="E1779" s="383"/>
      <c r="F1779" s="383"/>
      <c r="G1779" s="383"/>
      <c r="H1779" s="383"/>
      <c r="I1779" s="385" t="b">
        <v>0</v>
      </c>
      <c r="J1779" s="386"/>
    </row>
    <row r="1780" spans="1:10">
      <c r="A1780" s="383"/>
      <c r="B1780" s="383"/>
      <c r="C1780" s="383"/>
      <c r="D1780" s="383"/>
      <c r="E1780" s="383"/>
      <c r="F1780" s="383"/>
      <c r="G1780" s="383"/>
      <c r="H1780" s="383"/>
      <c r="I1780" s="385" t="b">
        <v>0</v>
      </c>
      <c r="J1780" s="386"/>
    </row>
    <row r="1781" spans="1:10">
      <c r="A1781" s="383"/>
      <c r="B1781" s="383"/>
      <c r="C1781" s="383"/>
      <c r="D1781" s="383"/>
      <c r="E1781" s="383"/>
      <c r="F1781" s="383"/>
      <c r="G1781" s="383"/>
      <c r="H1781" s="383"/>
      <c r="I1781" s="385" t="b">
        <v>0</v>
      </c>
      <c r="J1781" s="386"/>
    </row>
    <row r="1782" spans="1:10">
      <c r="A1782" s="383"/>
      <c r="B1782" s="383"/>
      <c r="C1782" s="383"/>
      <c r="D1782" s="383"/>
      <c r="E1782" s="383"/>
      <c r="F1782" s="383"/>
      <c r="G1782" s="383"/>
      <c r="H1782" s="383"/>
      <c r="I1782" s="385" t="b">
        <v>0</v>
      </c>
      <c r="J1782" s="386"/>
    </row>
    <row r="1783" spans="1:10">
      <c r="A1783" s="383"/>
      <c r="B1783" s="383"/>
      <c r="C1783" s="383"/>
      <c r="D1783" s="383"/>
      <c r="E1783" s="383"/>
      <c r="F1783" s="383"/>
      <c r="G1783" s="383"/>
      <c r="H1783" s="383"/>
      <c r="I1783" s="385" t="b">
        <v>0</v>
      </c>
      <c r="J1783" s="386"/>
    </row>
    <row r="1784" spans="1:10">
      <c r="A1784" s="383"/>
      <c r="B1784" s="383"/>
      <c r="C1784" s="383"/>
      <c r="D1784" s="383"/>
      <c r="E1784" s="383"/>
      <c r="F1784" s="383"/>
      <c r="G1784" s="383"/>
      <c r="H1784" s="383"/>
      <c r="I1784" s="385" t="b">
        <v>0</v>
      </c>
      <c r="J1784" s="386"/>
    </row>
    <row r="1785" spans="1:10">
      <c r="A1785" s="383"/>
      <c r="B1785" s="383"/>
      <c r="C1785" s="383"/>
      <c r="D1785" s="383"/>
      <c r="E1785" s="383"/>
      <c r="F1785" s="383"/>
      <c r="G1785" s="383"/>
      <c r="H1785" s="383"/>
      <c r="I1785" s="385" t="b">
        <v>0</v>
      </c>
      <c r="J1785" s="386"/>
    </row>
    <row r="1786" spans="1:10">
      <c r="A1786" s="383"/>
      <c r="B1786" s="383"/>
      <c r="C1786" s="383"/>
      <c r="D1786" s="383"/>
      <c r="E1786" s="383"/>
      <c r="F1786" s="383"/>
      <c r="G1786" s="383"/>
      <c r="H1786" s="383"/>
      <c r="I1786" s="385" t="b">
        <v>0</v>
      </c>
      <c r="J1786" s="386"/>
    </row>
    <row r="1787" spans="1:10">
      <c r="A1787" s="383"/>
      <c r="B1787" s="383"/>
      <c r="C1787" s="383"/>
      <c r="D1787" s="383"/>
      <c r="E1787" s="383"/>
      <c r="F1787" s="383"/>
      <c r="G1787" s="383"/>
      <c r="H1787" s="383"/>
      <c r="I1787" s="385" t="b">
        <v>0</v>
      </c>
      <c r="J1787" s="386"/>
    </row>
    <row r="1788" spans="1:10">
      <c r="A1788" s="383"/>
      <c r="B1788" s="383"/>
      <c r="C1788" s="383"/>
      <c r="D1788" s="383"/>
      <c r="E1788" s="383"/>
      <c r="F1788" s="383"/>
      <c r="G1788" s="383"/>
      <c r="H1788" s="383"/>
      <c r="I1788" s="385" t="b">
        <v>0</v>
      </c>
      <c r="J1788" s="386"/>
    </row>
    <row r="1789" spans="1:10">
      <c r="A1789" s="383"/>
      <c r="B1789" s="383"/>
      <c r="C1789" s="383"/>
      <c r="D1789" s="383"/>
      <c r="E1789" s="383"/>
      <c r="F1789" s="383"/>
      <c r="G1789" s="383"/>
      <c r="H1789" s="383"/>
      <c r="I1789" s="385" t="b">
        <v>0</v>
      </c>
      <c r="J1789" s="386"/>
    </row>
    <row r="1790" spans="1:10">
      <c r="A1790" s="383"/>
      <c r="B1790" s="383"/>
      <c r="C1790" s="383"/>
      <c r="D1790" s="383"/>
      <c r="E1790" s="383"/>
      <c r="F1790" s="383"/>
      <c r="G1790" s="383"/>
      <c r="H1790" s="383"/>
      <c r="I1790" s="385" t="b">
        <v>0</v>
      </c>
      <c r="J1790" s="386"/>
    </row>
    <row r="1791" spans="1:10">
      <c r="A1791" s="383"/>
      <c r="B1791" s="383"/>
      <c r="C1791" s="383"/>
      <c r="D1791" s="383"/>
      <c r="E1791" s="383"/>
      <c r="F1791" s="383"/>
      <c r="G1791" s="383"/>
      <c r="H1791" s="383"/>
      <c r="I1791" s="385" t="b">
        <v>0</v>
      </c>
      <c r="J1791" s="386"/>
    </row>
    <row r="1792" spans="1:10">
      <c r="A1792" s="383"/>
      <c r="B1792" s="383"/>
      <c r="C1792" s="383"/>
      <c r="D1792" s="383"/>
      <c r="E1792" s="383"/>
      <c r="F1792" s="383"/>
      <c r="G1792" s="383"/>
      <c r="H1792" s="383"/>
      <c r="I1792" s="385" t="b">
        <v>0</v>
      </c>
      <c r="J1792" s="386"/>
    </row>
    <row r="1793" spans="1:10">
      <c r="A1793" s="383"/>
      <c r="B1793" s="383"/>
      <c r="C1793" s="383"/>
      <c r="D1793" s="383"/>
      <c r="E1793" s="383"/>
      <c r="F1793" s="383"/>
      <c r="G1793" s="383"/>
      <c r="H1793" s="383"/>
      <c r="I1793" s="385" t="b">
        <v>0</v>
      </c>
      <c r="J1793" s="386"/>
    </row>
    <row r="1794" spans="1:10">
      <c r="A1794" s="383"/>
      <c r="B1794" s="383"/>
      <c r="C1794" s="383"/>
      <c r="D1794" s="383"/>
      <c r="E1794" s="383"/>
      <c r="F1794" s="383"/>
      <c r="G1794" s="383"/>
      <c r="H1794" s="383"/>
      <c r="I1794" s="385" t="b">
        <v>0</v>
      </c>
      <c r="J1794" s="386"/>
    </row>
    <row r="1795" spans="1:10">
      <c r="A1795" s="383"/>
      <c r="B1795" s="383"/>
      <c r="C1795" s="383"/>
      <c r="D1795" s="383"/>
      <c r="E1795" s="383"/>
      <c r="F1795" s="383"/>
      <c r="G1795" s="383"/>
      <c r="H1795" s="383"/>
      <c r="I1795" s="385" t="b">
        <v>0</v>
      </c>
      <c r="J1795" s="386"/>
    </row>
    <row r="1796" spans="1:10">
      <c r="A1796" s="383"/>
      <c r="B1796" s="383"/>
      <c r="C1796" s="383"/>
      <c r="D1796" s="383"/>
      <c r="E1796" s="383"/>
      <c r="F1796" s="383"/>
      <c r="G1796" s="383"/>
      <c r="H1796" s="383"/>
      <c r="I1796" s="385" t="b">
        <v>0</v>
      </c>
      <c r="J1796" s="386"/>
    </row>
    <row r="1797" spans="1:10">
      <c r="A1797" s="383"/>
      <c r="B1797" s="383"/>
      <c r="C1797" s="383"/>
      <c r="D1797" s="383"/>
      <c r="E1797" s="383"/>
      <c r="F1797" s="383"/>
      <c r="G1797" s="383"/>
      <c r="H1797" s="383"/>
      <c r="I1797" s="385" t="b">
        <v>0</v>
      </c>
      <c r="J1797" s="386"/>
    </row>
    <row r="1798" spans="1:10">
      <c r="A1798" s="383"/>
      <c r="B1798" s="383"/>
      <c r="C1798" s="383"/>
      <c r="D1798" s="383"/>
      <c r="E1798" s="383"/>
      <c r="F1798" s="383"/>
      <c r="G1798" s="383"/>
      <c r="H1798" s="383"/>
      <c r="I1798" s="385" t="b">
        <v>0</v>
      </c>
      <c r="J1798" s="386"/>
    </row>
    <row r="1799" spans="1:10">
      <c r="A1799" s="383"/>
      <c r="B1799" s="383"/>
      <c r="C1799" s="383"/>
      <c r="D1799" s="383"/>
      <c r="E1799" s="383"/>
      <c r="F1799" s="383"/>
      <c r="G1799" s="383"/>
      <c r="H1799" s="383"/>
      <c r="I1799" s="385" t="b">
        <v>0</v>
      </c>
      <c r="J1799" s="386"/>
    </row>
    <row r="1800" spans="1:10">
      <c r="A1800" s="383"/>
      <c r="B1800" s="383"/>
      <c r="C1800" s="383"/>
      <c r="D1800" s="383"/>
      <c r="E1800" s="383"/>
      <c r="F1800" s="383"/>
      <c r="G1800" s="383"/>
      <c r="H1800" s="383"/>
      <c r="I1800" s="385" t="b">
        <v>0</v>
      </c>
      <c r="J1800" s="386"/>
    </row>
    <row r="1801" spans="1:10">
      <c r="A1801" s="383"/>
      <c r="B1801" s="383"/>
      <c r="C1801" s="383"/>
      <c r="D1801" s="383"/>
      <c r="E1801" s="383"/>
      <c r="F1801" s="383"/>
      <c r="G1801" s="383"/>
      <c r="H1801" s="383"/>
      <c r="I1801" s="385" t="b">
        <v>0</v>
      </c>
      <c r="J1801" s="386"/>
    </row>
    <row r="1802" spans="1:10">
      <c r="A1802" s="383"/>
      <c r="B1802" s="383"/>
      <c r="C1802" s="383"/>
      <c r="D1802" s="383"/>
      <c r="E1802" s="383"/>
      <c r="F1802" s="383"/>
      <c r="G1802" s="383"/>
      <c r="H1802" s="383"/>
      <c r="I1802" s="385" t="b">
        <v>0</v>
      </c>
      <c r="J1802" s="386"/>
    </row>
    <row r="1803" spans="1:10">
      <c r="A1803" s="383"/>
      <c r="B1803" s="383"/>
      <c r="C1803" s="383"/>
      <c r="D1803" s="383"/>
      <c r="E1803" s="383"/>
      <c r="F1803" s="383"/>
      <c r="G1803" s="383"/>
      <c r="H1803" s="383"/>
      <c r="I1803" s="385" t="b">
        <v>0</v>
      </c>
      <c r="J1803" s="386"/>
    </row>
    <row r="1804" spans="1:10">
      <c r="A1804" s="383"/>
      <c r="B1804" s="383"/>
      <c r="C1804" s="383"/>
      <c r="D1804" s="383"/>
      <c r="E1804" s="383"/>
      <c r="F1804" s="383"/>
      <c r="G1804" s="383"/>
      <c r="H1804" s="383"/>
      <c r="I1804" s="385" t="b">
        <v>0</v>
      </c>
      <c r="J1804" s="386"/>
    </row>
    <row r="1805" spans="1:10">
      <c r="A1805" s="383"/>
      <c r="B1805" s="383"/>
      <c r="C1805" s="383"/>
      <c r="D1805" s="383"/>
      <c r="E1805" s="383"/>
      <c r="F1805" s="383"/>
      <c r="G1805" s="383"/>
      <c r="H1805" s="383"/>
      <c r="I1805" s="385" t="b">
        <v>0</v>
      </c>
      <c r="J1805" s="386"/>
    </row>
    <row r="1806" spans="1:10">
      <c r="A1806" s="383"/>
      <c r="B1806" s="383"/>
      <c r="C1806" s="383"/>
      <c r="D1806" s="383"/>
      <c r="E1806" s="383"/>
      <c r="F1806" s="383"/>
      <c r="G1806" s="383"/>
      <c r="H1806" s="383"/>
      <c r="I1806" s="385" t="b">
        <v>0</v>
      </c>
      <c r="J1806" s="386"/>
    </row>
    <row r="1807" spans="1:10">
      <c r="A1807" s="383"/>
      <c r="B1807" s="383"/>
      <c r="C1807" s="383"/>
      <c r="D1807" s="383"/>
      <c r="E1807" s="383"/>
      <c r="F1807" s="383"/>
      <c r="G1807" s="383"/>
      <c r="H1807" s="383"/>
      <c r="I1807" s="385" t="b">
        <v>0</v>
      </c>
      <c r="J1807" s="386"/>
    </row>
    <row r="1808" spans="1:10">
      <c r="A1808" s="383"/>
      <c r="B1808" s="383"/>
      <c r="C1808" s="383"/>
      <c r="D1808" s="383"/>
      <c r="E1808" s="383"/>
      <c r="F1808" s="383"/>
      <c r="G1808" s="383"/>
      <c r="H1808" s="383"/>
      <c r="I1808" s="385" t="b">
        <v>0</v>
      </c>
      <c r="J1808" s="386"/>
    </row>
    <row r="1809" spans="1:10">
      <c r="A1809" s="383"/>
      <c r="B1809" s="383"/>
      <c r="C1809" s="383"/>
      <c r="D1809" s="383"/>
      <c r="E1809" s="383"/>
      <c r="F1809" s="383"/>
      <c r="G1809" s="383"/>
      <c r="H1809" s="383"/>
      <c r="I1809" s="385" t="b">
        <v>0</v>
      </c>
      <c r="J1809" s="386"/>
    </row>
    <row r="1810" spans="1:10">
      <c r="A1810" s="383"/>
      <c r="B1810" s="383"/>
      <c r="C1810" s="383"/>
      <c r="D1810" s="383"/>
      <c r="E1810" s="383"/>
      <c r="F1810" s="383"/>
      <c r="G1810" s="383"/>
      <c r="H1810" s="383"/>
      <c r="I1810" s="385" t="b">
        <v>0</v>
      </c>
      <c r="J1810" s="386"/>
    </row>
    <row r="1811" spans="1:10">
      <c r="A1811" s="383"/>
      <c r="B1811" s="383"/>
      <c r="C1811" s="383"/>
      <c r="D1811" s="383"/>
      <c r="E1811" s="383"/>
      <c r="F1811" s="383"/>
      <c r="G1811" s="383"/>
      <c r="H1811" s="383"/>
      <c r="I1811" s="385" t="b">
        <v>0</v>
      </c>
      <c r="J1811" s="386"/>
    </row>
    <row r="1812" spans="1:10">
      <c r="A1812" s="383"/>
      <c r="B1812" s="383"/>
      <c r="C1812" s="383"/>
      <c r="D1812" s="383"/>
      <c r="E1812" s="383"/>
      <c r="F1812" s="383"/>
      <c r="G1812" s="383"/>
      <c r="H1812" s="383"/>
      <c r="I1812" s="385" t="b">
        <v>0</v>
      </c>
      <c r="J1812" s="386"/>
    </row>
    <row r="1813" spans="1:10">
      <c r="A1813" s="383"/>
      <c r="B1813" s="383"/>
      <c r="C1813" s="383"/>
      <c r="D1813" s="383"/>
      <c r="E1813" s="383"/>
      <c r="F1813" s="383"/>
      <c r="G1813" s="383"/>
      <c r="H1813" s="383"/>
      <c r="I1813" s="385" t="b">
        <v>0</v>
      </c>
      <c r="J1813" s="386"/>
    </row>
    <row r="1814" spans="1:10">
      <c r="A1814" s="383"/>
      <c r="B1814" s="383"/>
      <c r="C1814" s="383"/>
      <c r="D1814" s="383"/>
      <c r="E1814" s="383"/>
      <c r="F1814" s="383"/>
      <c r="G1814" s="383"/>
      <c r="H1814" s="383"/>
      <c r="I1814" s="385" t="b">
        <v>0</v>
      </c>
      <c r="J1814" s="386"/>
    </row>
    <row r="1815" spans="1:10">
      <c r="A1815" s="383"/>
      <c r="B1815" s="383"/>
      <c r="C1815" s="383"/>
      <c r="D1815" s="383"/>
      <c r="E1815" s="383"/>
      <c r="F1815" s="383"/>
      <c r="G1815" s="383"/>
      <c r="H1815" s="383"/>
      <c r="I1815" s="385" t="b">
        <v>0</v>
      </c>
      <c r="J1815" s="386"/>
    </row>
    <row r="1816" spans="1:10">
      <c r="A1816" s="383"/>
      <c r="B1816" s="383"/>
      <c r="C1816" s="383"/>
      <c r="D1816" s="383"/>
      <c r="E1816" s="383"/>
      <c r="F1816" s="383"/>
      <c r="G1816" s="383"/>
      <c r="H1816" s="383"/>
      <c r="I1816" s="385" t="b">
        <v>0</v>
      </c>
      <c r="J1816" s="386"/>
    </row>
    <row r="1817" spans="1:10">
      <c r="A1817" s="383"/>
      <c r="B1817" s="383"/>
      <c r="C1817" s="383"/>
      <c r="D1817" s="383"/>
      <c r="E1817" s="383"/>
      <c r="F1817" s="383"/>
      <c r="G1817" s="383"/>
      <c r="H1817" s="383"/>
      <c r="I1817" s="385" t="b">
        <v>0</v>
      </c>
      <c r="J1817" s="386"/>
    </row>
    <row r="1818" spans="1:10">
      <c r="A1818" s="383"/>
      <c r="B1818" s="383"/>
      <c r="C1818" s="383"/>
      <c r="D1818" s="383"/>
      <c r="E1818" s="383"/>
      <c r="F1818" s="383"/>
      <c r="G1818" s="383"/>
      <c r="H1818" s="383"/>
      <c r="I1818" s="385" t="b">
        <v>0</v>
      </c>
      <c r="J1818" s="386"/>
    </row>
    <row r="1819" spans="1:10">
      <c r="A1819" s="383"/>
      <c r="B1819" s="383"/>
      <c r="C1819" s="383"/>
      <c r="D1819" s="383"/>
      <c r="E1819" s="383"/>
      <c r="F1819" s="383"/>
      <c r="G1819" s="383"/>
      <c r="H1819" s="383"/>
      <c r="I1819" s="385" t="b">
        <v>0</v>
      </c>
      <c r="J1819" s="386"/>
    </row>
    <row r="1820" spans="1:10">
      <c r="A1820" s="383"/>
      <c r="B1820" s="383"/>
      <c r="C1820" s="383"/>
      <c r="D1820" s="383"/>
      <c r="E1820" s="383"/>
      <c r="F1820" s="383"/>
      <c r="G1820" s="383"/>
      <c r="H1820" s="383"/>
      <c r="I1820" s="385" t="b">
        <v>0</v>
      </c>
      <c r="J1820" s="386"/>
    </row>
    <row r="1821" spans="1:10">
      <c r="A1821" s="383"/>
      <c r="B1821" s="383"/>
      <c r="C1821" s="383"/>
      <c r="D1821" s="383"/>
      <c r="E1821" s="383"/>
      <c r="F1821" s="383"/>
      <c r="G1821" s="383"/>
      <c r="H1821" s="383"/>
      <c r="I1821" s="385" t="b">
        <v>0</v>
      </c>
      <c r="J1821" s="386"/>
    </row>
    <row r="1822" spans="1:10">
      <c r="A1822" s="383"/>
      <c r="B1822" s="383"/>
      <c r="C1822" s="383"/>
      <c r="D1822" s="383"/>
      <c r="E1822" s="383"/>
      <c r="F1822" s="383"/>
      <c r="G1822" s="383"/>
      <c r="H1822" s="383"/>
      <c r="I1822" s="385" t="b">
        <v>0</v>
      </c>
      <c r="J1822" s="386"/>
    </row>
    <row r="1823" spans="1:10">
      <c r="A1823" s="383"/>
      <c r="B1823" s="383"/>
      <c r="C1823" s="383"/>
      <c r="D1823" s="383"/>
      <c r="E1823" s="383"/>
      <c r="F1823" s="383"/>
      <c r="G1823" s="383"/>
      <c r="H1823" s="383"/>
      <c r="I1823" s="385" t="b">
        <v>0</v>
      </c>
      <c r="J1823" s="386"/>
    </row>
    <row r="1824" spans="1:10">
      <c r="A1824" s="383"/>
      <c r="B1824" s="383"/>
      <c r="C1824" s="383"/>
      <c r="D1824" s="383"/>
      <c r="E1824" s="383"/>
      <c r="F1824" s="383"/>
      <c r="G1824" s="383"/>
      <c r="H1824" s="383"/>
      <c r="I1824" s="385" t="b">
        <v>0</v>
      </c>
      <c r="J1824" s="386"/>
    </row>
    <row r="1825" spans="1:10">
      <c r="A1825" s="383"/>
      <c r="B1825" s="383"/>
      <c r="C1825" s="383"/>
      <c r="D1825" s="383"/>
      <c r="E1825" s="383"/>
      <c r="F1825" s="383"/>
      <c r="G1825" s="383"/>
      <c r="H1825" s="383"/>
      <c r="I1825" s="385" t="b">
        <v>0</v>
      </c>
      <c r="J1825" s="386"/>
    </row>
    <row r="1826" spans="1:10">
      <c r="A1826" s="383"/>
      <c r="B1826" s="383"/>
      <c r="C1826" s="383"/>
      <c r="D1826" s="383"/>
      <c r="E1826" s="383"/>
      <c r="F1826" s="383"/>
      <c r="G1826" s="383"/>
      <c r="H1826" s="383"/>
      <c r="I1826" s="385" t="b">
        <v>0</v>
      </c>
      <c r="J1826" s="386"/>
    </row>
    <row r="1827" spans="1:10">
      <c r="A1827" s="383"/>
      <c r="B1827" s="383"/>
      <c r="C1827" s="383"/>
      <c r="D1827" s="383"/>
      <c r="E1827" s="383"/>
      <c r="F1827" s="383"/>
      <c r="G1827" s="383"/>
      <c r="H1827" s="383"/>
      <c r="I1827" s="385" t="b">
        <v>0</v>
      </c>
      <c r="J1827" s="386"/>
    </row>
    <row r="1828" spans="1:10">
      <c r="A1828" s="383"/>
      <c r="B1828" s="383"/>
      <c r="C1828" s="383"/>
      <c r="D1828" s="383"/>
      <c r="E1828" s="383"/>
      <c r="F1828" s="383"/>
      <c r="G1828" s="383"/>
      <c r="H1828" s="383"/>
      <c r="I1828" s="385" t="b">
        <v>0</v>
      </c>
      <c r="J1828" s="386"/>
    </row>
    <row r="1829" spans="1:10">
      <c r="A1829" s="383"/>
      <c r="B1829" s="383"/>
      <c r="C1829" s="383"/>
      <c r="D1829" s="383"/>
      <c r="E1829" s="383"/>
      <c r="F1829" s="383"/>
      <c r="G1829" s="383"/>
      <c r="H1829" s="383"/>
      <c r="I1829" s="385" t="b">
        <v>0</v>
      </c>
      <c r="J1829" s="386"/>
    </row>
    <row r="1830" spans="1:10">
      <c r="A1830" s="383"/>
      <c r="B1830" s="383"/>
      <c r="C1830" s="383"/>
      <c r="D1830" s="383"/>
      <c r="E1830" s="383"/>
      <c r="F1830" s="383"/>
      <c r="G1830" s="383"/>
      <c r="H1830" s="383"/>
      <c r="I1830" s="385" t="b">
        <v>0</v>
      </c>
      <c r="J1830" s="386"/>
    </row>
    <row r="1831" spans="1:10">
      <c r="A1831" s="383"/>
      <c r="B1831" s="383"/>
      <c r="C1831" s="383"/>
      <c r="D1831" s="383"/>
      <c r="E1831" s="383"/>
      <c r="F1831" s="383"/>
      <c r="G1831" s="383"/>
      <c r="H1831" s="383"/>
      <c r="I1831" s="385" t="b">
        <v>0</v>
      </c>
      <c r="J1831" s="386"/>
    </row>
    <row r="1832" spans="1:10">
      <c r="A1832" s="383"/>
      <c r="B1832" s="383"/>
      <c r="C1832" s="383"/>
      <c r="D1832" s="383"/>
      <c r="E1832" s="383"/>
      <c r="F1832" s="383"/>
      <c r="G1832" s="383"/>
      <c r="H1832" s="383"/>
      <c r="I1832" s="385" t="b">
        <v>0</v>
      </c>
      <c r="J1832" s="386"/>
    </row>
    <row r="1833" spans="1:10">
      <c r="A1833" s="383"/>
      <c r="B1833" s="383"/>
      <c r="C1833" s="383"/>
      <c r="D1833" s="383"/>
      <c r="E1833" s="383"/>
      <c r="F1833" s="383"/>
      <c r="G1833" s="383"/>
      <c r="H1833" s="383"/>
      <c r="I1833" s="385" t="b">
        <v>0</v>
      </c>
      <c r="J1833" s="386"/>
    </row>
    <row r="1834" spans="1:10">
      <c r="A1834" s="383"/>
      <c r="B1834" s="383"/>
      <c r="C1834" s="383"/>
      <c r="D1834" s="383"/>
      <c r="E1834" s="383"/>
      <c r="F1834" s="383"/>
      <c r="G1834" s="383"/>
      <c r="H1834" s="383"/>
      <c r="I1834" s="385" t="b">
        <v>0</v>
      </c>
      <c r="J1834" s="386"/>
    </row>
    <row r="1835" spans="1:10">
      <c r="A1835" s="383"/>
      <c r="B1835" s="383"/>
      <c r="C1835" s="383"/>
      <c r="D1835" s="383"/>
      <c r="E1835" s="383"/>
      <c r="F1835" s="383"/>
      <c r="G1835" s="383"/>
      <c r="H1835" s="383"/>
      <c r="I1835" s="385" t="b">
        <v>0</v>
      </c>
      <c r="J1835" s="386"/>
    </row>
    <row r="1836" spans="1:10">
      <c r="A1836" s="383"/>
      <c r="B1836" s="383"/>
      <c r="C1836" s="383"/>
      <c r="D1836" s="383"/>
      <c r="E1836" s="383"/>
      <c r="F1836" s="383"/>
      <c r="G1836" s="383"/>
      <c r="H1836" s="383"/>
      <c r="I1836" s="385" t="b">
        <v>0</v>
      </c>
      <c r="J1836" s="386"/>
    </row>
    <row r="1837" spans="1:10">
      <c r="A1837" s="383"/>
      <c r="B1837" s="383"/>
      <c r="C1837" s="383"/>
      <c r="D1837" s="383"/>
      <c r="E1837" s="383"/>
      <c r="F1837" s="383"/>
      <c r="G1837" s="383"/>
      <c r="H1837" s="383"/>
      <c r="I1837" s="385" t="b">
        <v>0</v>
      </c>
      <c r="J1837" s="386"/>
    </row>
    <row r="1838" spans="1:10">
      <c r="A1838" s="383"/>
      <c r="B1838" s="383"/>
      <c r="C1838" s="383"/>
      <c r="D1838" s="383"/>
      <c r="E1838" s="383"/>
      <c r="F1838" s="383"/>
      <c r="G1838" s="383"/>
      <c r="H1838" s="383"/>
      <c r="I1838" s="385" t="b">
        <v>0</v>
      </c>
      <c r="J1838" s="386"/>
    </row>
    <row r="1839" spans="1:10">
      <c r="A1839" s="383"/>
      <c r="B1839" s="383"/>
      <c r="C1839" s="383"/>
      <c r="D1839" s="383"/>
      <c r="E1839" s="383"/>
      <c r="F1839" s="383"/>
      <c r="G1839" s="383"/>
      <c r="H1839" s="383"/>
      <c r="I1839" s="385" t="b">
        <v>0</v>
      </c>
      <c r="J1839" s="386"/>
    </row>
    <row r="1840" spans="1:10">
      <c r="A1840" s="383"/>
      <c r="B1840" s="383"/>
      <c r="C1840" s="383"/>
      <c r="D1840" s="383"/>
      <c r="E1840" s="383"/>
      <c r="F1840" s="383"/>
      <c r="G1840" s="383"/>
      <c r="H1840" s="383"/>
      <c r="I1840" s="385" t="b">
        <v>0</v>
      </c>
      <c r="J1840" s="386"/>
    </row>
    <row r="1841" spans="1:10">
      <c r="A1841" s="383"/>
      <c r="B1841" s="383"/>
      <c r="C1841" s="383"/>
      <c r="D1841" s="383"/>
      <c r="E1841" s="383"/>
      <c r="F1841" s="383"/>
      <c r="G1841" s="383"/>
      <c r="H1841" s="383"/>
      <c r="I1841" s="385" t="b">
        <v>0</v>
      </c>
      <c r="J1841" s="386"/>
    </row>
    <row r="1842" spans="1:10">
      <c r="A1842" s="383"/>
      <c r="B1842" s="383"/>
      <c r="C1842" s="383"/>
      <c r="D1842" s="383"/>
      <c r="E1842" s="383"/>
      <c r="F1842" s="383"/>
      <c r="G1842" s="383"/>
      <c r="H1842" s="383"/>
      <c r="I1842" s="385" t="b">
        <v>0</v>
      </c>
      <c r="J1842" s="386"/>
    </row>
    <row r="1843" spans="1:10">
      <c r="A1843" s="383"/>
      <c r="B1843" s="383"/>
      <c r="C1843" s="383"/>
      <c r="D1843" s="383"/>
      <c r="E1843" s="383"/>
      <c r="F1843" s="383"/>
      <c r="G1843" s="383"/>
      <c r="H1843" s="383"/>
      <c r="I1843" s="385" t="b">
        <v>0</v>
      </c>
      <c r="J1843" s="386"/>
    </row>
    <row r="1844" spans="1:10">
      <c r="A1844" s="383"/>
      <c r="B1844" s="383"/>
      <c r="C1844" s="383"/>
      <c r="D1844" s="383"/>
      <c r="E1844" s="383"/>
      <c r="F1844" s="383"/>
      <c r="G1844" s="383"/>
      <c r="H1844" s="383"/>
      <c r="I1844" s="385" t="b">
        <v>0</v>
      </c>
      <c r="J1844" s="386"/>
    </row>
    <row r="1845" spans="1:10">
      <c r="A1845" s="383"/>
      <c r="B1845" s="383"/>
      <c r="C1845" s="383"/>
      <c r="D1845" s="383"/>
      <c r="E1845" s="383"/>
      <c r="F1845" s="383"/>
      <c r="G1845" s="383"/>
      <c r="H1845" s="383"/>
      <c r="I1845" s="385" t="b">
        <v>0</v>
      </c>
      <c r="J1845" s="386"/>
    </row>
    <row r="1846" spans="1:10">
      <c r="A1846" s="383"/>
      <c r="B1846" s="383"/>
      <c r="C1846" s="383"/>
      <c r="D1846" s="383"/>
      <c r="E1846" s="383"/>
      <c r="F1846" s="383"/>
      <c r="G1846" s="383"/>
      <c r="H1846" s="383"/>
      <c r="I1846" s="385" t="b">
        <v>0</v>
      </c>
      <c r="J1846" s="386"/>
    </row>
    <row r="1847" spans="1:10">
      <c r="A1847" s="383"/>
      <c r="B1847" s="383"/>
      <c r="C1847" s="383"/>
      <c r="D1847" s="383"/>
      <c r="E1847" s="383"/>
      <c r="F1847" s="383"/>
      <c r="G1847" s="383"/>
      <c r="H1847" s="383"/>
      <c r="I1847" s="385" t="b">
        <v>0</v>
      </c>
      <c r="J1847" s="386"/>
    </row>
    <row r="1848" spans="1:10">
      <c r="A1848" s="383"/>
      <c r="B1848" s="383"/>
      <c r="C1848" s="383"/>
      <c r="D1848" s="383"/>
      <c r="E1848" s="383"/>
      <c r="F1848" s="383"/>
      <c r="G1848" s="383"/>
      <c r="H1848" s="383"/>
      <c r="I1848" s="385" t="b">
        <v>0</v>
      </c>
      <c r="J1848" s="386"/>
    </row>
    <row r="1849" spans="1:10">
      <c r="A1849" s="383"/>
      <c r="B1849" s="383"/>
      <c r="C1849" s="383"/>
      <c r="D1849" s="383"/>
      <c r="E1849" s="383"/>
      <c r="F1849" s="383"/>
      <c r="G1849" s="383"/>
      <c r="H1849" s="383"/>
      <c r="I1849" s="385" t="b">
        <v>0</v>
      </c>
      <c r="J1849" s="386"/>
    </row>
    <row r="1850" spans="1:10">
      <c r="A1850" s="383"/>
      <c r="B1850" s="383"/>
      <c r="C1850" s="383"/>
      <c r="D1850" s="383"/>
      <c r="E1850" s="383"/>
      <c r="F1850" s="383"/>
      <c r="G1850" s="383"/>
      <c r="H1850" s="383"/>
      <c r="I1850" s="385" t="b">
        <v>0</v>
      </c>
      <c r="J1850" s="386"/>
    </row>
    <row r="1851" spans="1:10">
      <c r="A1851" s="383"/>
      <c r="B1851" s="383"/>
      <c r="C1851" s="383"/>
      <c r="D1851" s="383"/>
      <c r="E1851" s="383"/>
      <c r="F1851" s="383"/>
      <c r="G1851" s="383"/>
      <c r="H1851" s="383"/>
      <c r="I1851" s="385" t="b">
        <v>0</v>
      </c>
      <c r="J1851" s="386"/>
    </row>
    <row r="1852" spans="1:10">
      <c r="A1852" s="383"/>
      <c r="B1852" s="383"/>
      <c r="C1852" s="383"/>
      <c r="D1852" s="383"/>
      <c r="E1852" s="383"/>
      <c r="F1852" s="383"/>
      <c r="G1852" s="383"/>
      <c r="H1852" s="383"/>
      <c r="I1852" s="385" t="b">
        <v>0</v>
      </c>
      <c r="J1852" s="386"/>
    </row>
    <row r="1853" spans="1:10">
      <c r="A1853" s="383"/>
      <c r="B1853" s="383"/>
      <c r="C1853" s="383"/>
      <c r="D1853" s="383"/>
      <c r="E1853" s="383"/>
      <c r="F1853" s="383"/>
      <c r="G1853" s="383"/>
      <c r="H1853" s="383"/>
      <c r="I1853" s="385" t="b">
        <v>0</v>
      </c>
      <c r="J1853" s="386"/>
    </row>
    <row r="1854" spans="1:10">
      <c r="A1854" s="383"/>
      <c r="B1854" s="383"/>
      <c r="C1854" s="383"/>
      <c r="D1854" s="383"/>
      <c r="E1854" s="383"/>
      <c r="F1854" s="383"/>
      <c r="G1854" s="383"/>
      <c r="H1854" s="383"/>
      <c r="I1854" s="385" t="b">
        <v>0</v>
      </c>
      <c r="J1854" s="386"/>
    </row>
    <row r="1855" spans="1:10">
      <c r="A1855" s="383"/>
      <c r="B1855" s="383"/>
      <c r="C1855" s="383"/>
      <c r="D1855" s="383"/>
      <c r="E1855" s="383"/>
      <c r="F1855" s="383"/>
      <c r="G1855" s="383"/>
      <c r="H1855" s="383"/>
      <c r="I1855" s="385" t="b">
        <v>0</v>
      </c>
      <c r="J1855" s="386"/>
    </row>
    <row r="1856" spans="1:10">
      <c r="A1856" s="383"/>
      <c r="B1856" s="383"/>
      <c r="C1856" s="383"/>
      <c r="D1856" s="383"/>
      <c r="E1856" s="383"/>
      <c r="F1856" s="383"/>
      <c r="G1856" s="383"/>
      <c r="H1856" s="383"/>
      <c r="I1856" s="385" t="b">
        <v>0</v>
      </c>
      <c r="J1856" s="386"/>
    </row>
    <row r="1857" spans="1:10">
      <c r="A1857" s="383"/>
      <c r="B1857" s="383"/>
      <c r="C1857" s="383"/>
      <c r="D1857" s="383"/>
      <c r="E1857" s="383"/>
      <c r="F1857" s="383"/>
      <c r="G1857" s="383"/>
      <c r="H1857" s="383"/>
      <c r="I1857" s="385" t="b">
        <v>0</v>
      </c>
      <c r="J1857" s="386"/>
    </row>
    <row r="1858" spans="1:10">
      <c r="A1858" s="383"/>
      <c r="B1858" s="383"/>
      <c r="C1858" s="383"/>
      <c r="D1858" s="383"/>
      <c r="E1858" s="383"/>
      <c r="F1858" s="383"/>
      <c r="G1858" s="383"/>
      <c r="H1858" s="383"/>
      <c r="I1858" s="385" t="b">
        <v>0</v>
      </c>
      <c r="J1858" s="386"/>
    </row>
    <row r="1859" spans="1:10">
      <c r="A1859" s="383"/>
      <c r="B1859" s="383"/>
      <c r="C1859" s="383"/>
      <c r="D1859" s="383"/>
      <c r="E1859" s="383"/>
      <c r="F1859" s="383"/>
      <c r="G1859" s="383"/>
      <c r="H1859" s="383"/>
      <c r="I1859" s="385" t="b">
        <v>0</v>
      </c>
      <c r="J1859" s="386"/>
    </row>
    <row r="1860" spans="1:10">
      <c r="A1860" s="383"/>
      <c r="B1860" s="383"/>
      <c r="C1860" s="383"/>
      <c r="D1860" s="383"/>
      <c r="E1860" s="383"/>
      <c r="F1860" s="383"/>
      <c r="G1860" s="383"/>
      <c r="H1860" s="383"/>
      <c r="I1860" s="385" t="b">
        <v>0</v>
      </c>
      <c r="J1860" s="386"/>
    </row>
    <row r="1861" spans="1:10">
      <c r="A1861" s="383"/>
      <c r="B1861" s="383"/>
      <c r="C1861" s="383"/>
      <c r="D1861" s="383"/>
      <c r="E1861" s="383"/>
      <c r="F1861" s="383"/>
      <c r="G1861" s="383"/>
      <c r="H1861" s="383"/>
      <c r="I1861" s="385" t="b">
        <v>0</v>
      </c>
      <c r="J1861" s="386"/>
    </row>
    <row r="1862" spans="1:10">
      <c r="A1862" s="383"/>
      <c r="B1862" s="383"/>
      <c r="C1862" s="383"/>
      <c r="D1862" s="383"/>
      <c r="E1862" s="383"/>
      <c r="F1862" s="383"/>
      <c r="G1862" s="383"/>
      <c r="H1862" s="383"/>
      <c r="I1862" s="385" t="b">
        <v>0</v>
      </c>
      <c r="J1862" s="386"/>
    </row>
    <row r="1863" spans="1:10">
      <c r="A1863" s="383"/>
      <c r="B1863" s="383"/>
      <c r="C1863" s="383"/>
      <c r="D1863" s="383"/>
      <c r="E1863" s="383"/>
      <c r="F1863" s="383"/>
      <c r="G1863" s="383"/>
      <c r="H1863" s="383"/>
      <c r="I1863" s="385" t="b">
        <v>0</v>
      </c>
      <c r="J1863" s="386"/>
    </row>
    <row r="1864" spans="1:10">
      <c r="A1864" s="383"/>
      <c r="B1864" s="383"/>
      <c r="C1864" s="383"/>
      <c r="D1864" s="383"/>
      <c r="E1864" s="383"/>
      <c r="F1864" s="383"/>
      <c r="G1864" s="383"/>
      <c r="H1864" s="383"/>
      <c r="I1864" s="385" t="b">
        <v>0</v>
      </c>
      <c r="J1864" s="386"/>
    </row>
    <row r="1865" spans="1:10">
      <c r="A1865" s="383"/>
      <c r="B1865" s="383"/>
      <c r="C1865" s="383"/>
      <c r="D1865" s="383"/>
      <c r="E1865" s="383"/>
      <c r="F1865" s="383"/>
      <c r="G1865" s="383"/>
      <c r="H1865" s="383"/>
      <c r="I1865" s="385" t="b">
        <v>0</v>
      </c>
      <c r="J1865" s="386"/>
    </row>
    <row r="1866" spans="1:10">
      <c r="A1866" s="383"/>
      <c r="B1866" s="383"/>
      <c r="C1866" s="383"/>
      <c r="D1866" s="383"/>
      <c r="E1866" s="383"/>
      <c r="F1866" s="383"/>
      <c r="G1866" s="383"/>
      <c r="H1866" s="383"/>
      <c r="I1866" s="385" t="b">
        <v>0</v>
      </c>
      <c r="J1866" s="386"/>
    </row>
    <row r="1867" spans="1:10">
      <c r="A1867" s="383"/>
      <c r="B1867" s="383"/>
      <c r="C1867" s="383"/>
      <c r="D1867" s="383"/>
      <c r="E1867" s="383"/>
      <c r="F1867" s="383"/>
      <c r="G1867" s="383"/>
      <c r="H1867" s="383"/>
      <c r="I1867" s="385" t="b">
        <v>0</v>
      </c>
      <c r="J1867" s="386"/>
    </row>
    <row r="1868" spans="1:10">
      <c r="A1868" s="383"/>
      <c r="B1868" s="383"/>
      <c r="C1868" s="383"/>
      <c r="D1868" s="383"/>
      <c r="E1868" s="383"/>
      <c r="F1868" s="383"/>
      <c r="G1868" s="383"/>
      <c r="H1868" s="383"/>
      <c r="I1868" s="385" t="b">
        <v>0</v>
      </c>
      <c r="J1868" s="386"/>
    </row>
    <row r="1869" spans="1:10">
      <c r="A1869" s="383"/>
      <c r="B1869" s="383"/>
      <c r="C1869" s="383"/>
      <c r="D1869" s="383"/>
      <c r="E1869" s="383"/>
      <c r="F1869" s="383"/>
      <c r="G1869" s="383"/>
      <c r="H1869" s="383"/>
      <c r="I1869" s="385" t="b">
        <v>0</v>
      </c>
      <c r="J1869" s="386"/>
    </row>
    <row r="1870" spans="1:10">
      <c r="A1870" s="383"/>
      <c r="B1870" s="383"/>
      <c r="C1870" s="383"/>
      <c r="D1870" s="383"/>
      <c r="E1870" s="383"/>
      <c r="F1870" s="383"/>
      <c r="G1870" s="383"/>
      <c r="H1870" s="383"/>
      <c r="I1870" s="385" t="b">
        <v>0</v>
      </c>
      <c r="J1870" s="386"/>
    </row>
    <row r="1871" spans="1:10">
      <c r="A1871" s="383"/>
      <c r="B1871" s="383"/>
      <c r="C1871" s="383"/>
      <c r="D1871" s="383"/>
      <c r="E1871" s="383"/>
      <c r="F1871" s="383"/>
      <c r="G1871" s="383"/>
      <c r="H1871" s="383"/>
      <c r="I1871" s="385" t="b">
        <v>0</v>
      </c>
      <c r="J1871" s="386"/>
    </row>
    <row r="1872" spans="1:10">
      <c r="A1872" s="383"/>
      <c r="B1872" s="383"/>
      <c r="C1872" s="383"/>
      <c r="D1872" s="383"/>
      <c r="E1872" s="383"/>
      <c r="F1872" s="383"/>
      <c r="G1872" s="383"/>
      <c r="H1872" s="383"/>
      <c r="I1872" s="385" t="b">
        <v>0</v>
      </c>
      <c r="J1872" s="386"/>
    </row>
    <row r="1873" spans="1:10">
      <c r="A1873" s="383"/>
      <c r="B1873" s="383"/>
      <c r="C1873" s="383"/>
      <c r="D1873" s="383"/>
      <c r="E1873" s="383"/>
      <c r="F1873" s="383"/>
      <c r="G1873" s="383"/>
      <c r="H1873" s="383"/>
      <c r="I1873" s="385" t="b">
        <v>0</v>
      </c>
      <c r="J1873" s="386"/>
    </row>
    <row r="1874" spans="1:10">
      <c r="A1874" s="383"/>
      <c r="B1874" s="383"/>
      <c r="C1874" s="383"/>
      <c r="D1874" s="383"/>
      <c r="E1874" s="383"/>
      <c r="F1874" s="383"/>
      <c r="G1874" s="383"/>
      <c r="H1874" s="383"/>
      <c r="I1874" s="385" t="b">
        <v>0</v>
      </c>
      <c r="J1874" s="386"/>
    </row>
    <row r="1875" spans="1:10">
      <c r="A1875" s="383"/>
      <c r="B1875" s="383"/>
      <c r="C1875" s="383"/>
      <c r="D1875" s="383"/>
      <c r="E1875" s="383"/>
      <c r="F1875" s="383"/>
      <c r="G1875" s="383"/>
      <c r="H1875" s="383"/>
      <c r="I1875" s="385" t="b">
        <v>0</v>
      </c>
      <c r="J1875" s="386"/>
    </row>
    <row r="1876" spans="1:10">
      <c r="A1876" s="383"/>
      <c r="B1876" s="383"/>
      <c r="C1876" s="383"/>
      <c r="D1876" s="383"/>
      <c r="E1876" s="383"/>
      <c r="F1876" s="383"/>
      <c r="G1876" s="383"/>
      <c r="H1876" s="383"/>
      <c r="I1876" s="385" t="b">
        <v>0</v>
      </c>
      <c r="J1876" s="386"/>
    </row>
    <row r="1877" spans="1:10">
      <c r="A1877" s="383"/>
      <c r="B1877" s="383"/>
      <c r="C1877" s="383"/>
      <c r="D1877" s="383"/>
      <c r="E1877" s="383"/>
      <c r="F1877" s="383"/>
      <c r="G1877" s="383"/>
      <c r="H1877" s="383"/>
      <c r="I1877" s="385" t="b">
        <v>0</v>
      </c>
      <c r="J1877" s="386"/>
    </row>
    <row r="1878" spans="1:10">
      <c r="A1878" s="383"/>
      <c r="B1878" s="383"/>
      <c r="C1878" s="383"/>
      <c r="D1878" s="383"/>
      <c r="E1878" s="383"/>
      <c r="F1878" s="383"/>
      <c r="G1878" s="383"/>
      <c r="H1878" s="383"/>
      <c r="I1878" s="385" t="b">
        <v>0</v>
      </c>
      <c r="J1878" s="386"/>
    </row>
    <row r="1879" spans="1:10">
      <c r="A1879" s="383"/>
      <c r="B1879" s="383"/>
      <c r="C1879" s="383"/>
      <c r="D1879" s="383"/>
      <c r="E1879" s="383"/>
      <c r="F1879" s="383"/>
      <c r="G1879" s="383"/>
      <c r="H1879" s="383"/>
      <c r="I1879" s="385" t="b">
        <v>0</v>
      </c>
      <c r="J1879" s="386"/>
    </row>
    <row r="1880" spans="1:10">
      <c r="A1880" s="383"/>
      <c r="B1880" s="383"/>
      <c r="C1880" s="383"/>
      <c r="D1880" s="383"/>
      <c r="E1880" s="383"/>
      <c r="F1880" s="383"/>
      <c r="G1880" s="383"/>
      <c r="H1880" s="383"/>
      <c r="I1880" s="385" t="b">
        <v>0</v>
      </c>
      <c r="J1880" s="386"/>
    </row>
    <row r="1881" spans="1:10">
      <c r="A1881" s="383"/>
      <c r="B1881" s="383"/>
      <c r="C1881" s="383"/>
      <c r="D1881" s="383"/>
      <c r="E1881" s="383"/>
      <c r="F1881" s="383"/>
      <c r="G1881" s="383"/>
      <c r="H1881" s="383"/>
      <c r="I1881" s="385" t="b">
        <v>0</v>
      </c>
      <c r="J1881" s="386"/>
    </row>
    <row r="1882" spans="1:10">
      <c r="A1882" s="383"/>
      <c r="B1882" s="383"/>
      <c r="C1882" s="383"/>
      <c r="D1882" s="383"/>
      <c r="E1882" s="383"/>
      <c r="F1882" s="383"/>
      <c r="G1882" s="383"/>
      <c r="H1882" s="383"/>
      <c r="I1882" s="385" t="b">
        <v>0</v>
      </c>
      <c r="J1882" s="386"/>
    </row>
    <row r="1883" spans="1:10">
      <c r="A1883" s="383"/>
      <c r="B1883" s="383"/>
      <c r="C1883" s="383"/>
      <c r="D1883" s="383"/>
      <c r="E1883" s="383"/>
      <c r="F1883" s="383"/>
      <c r="G1883" s="383"/>
      <c r="H1883" s="383"/>
      <c r="I1883" s="385" t="b">
        <v>0</v>
      </c>
      <c r="J1883" s="386"/>
    </row>
    <row r="1884" spans="1:10">
      <c r="A1884" s="383"/>
      <c r="B1884" s="383"/>
      <c r="C1884" s="383"/>
      <c r="D1884" s="383"/>
      <c r="E1884" s="383"/>
      <c r="F1884" s="383"/>
      <c r="G1884" s="383"/>
      <c r="H1884" s="383"/>
      <c r="I1884" s="385" t="b">
        <v>0</v>
      </c>
      <c r="J1884" s="386"/>
    </row>
    <row r="1885" spans="1:10">
      <c r="A1885" s="383"/>
      <c r="B1885" s="383"/>
      <c r="C1885" s="383"/>
      <c r="D1885" s="383"/>
      <c r="E1885" s="383"/>
      <c r="F1885" s="383"/>
      <c r="G1885" s="383"/>
      <c r="H1885" s="383"/>
      <c r="I1885" s="385" t="b">
        <v>0</v>
      </c>
      <c r="J1885" s="386"/>
    </row>
    <row r="1886" spans="1:10">
      <c r="A1886" s="383"/>
      <c r="B1886" s="383"/>
      <c r="C1886" s="383"/>
      <c r="D1886" s="383"/>
      <c r="E1886" s="383"/>
      <c r="F1886" s="383"/>
      <c r="G1886" s="383"/>
      <c r="H1886" s="383"/>
      <c r="I1886" s="385" t="b">
        <v>0</v>
      </c>
      <c r="J1886" s="386"/>
    </row>
    <row r="1887" spans="1:10">
      <c r="A1887" s="383"/>
      <c r="B1887" s="383"/>
      <c r="C1887" s="383"/>
      <c r="D1887" s="383"/>
      <c r="E1887" s="383"/>
      <c r="F1887" s="383"/>
      <c r="G1887" s="383"/>
      <c r="H1887" s="383"/>
      <c r="I1887" s="385" t="b">
        <v>0</v>
      </c>
      <c r="J1887" s="386"/>
    </row>
    <row r="1888" spans="1:10">
      <c r="A1888" s="383"/>
      <c r="B1888" s="383"/>
      <c r="C1888" s="383"/>
      <c r="D1888" s="383"/>
      <c r="E1888" s="383"/>
      <c r="F1888" s="383"/>
      <c r="G1888" s="383"/>
      <c r="H1888" s="383"/>
      <c r="I1888" s="385" t="b">
        <v>0</v>
      </c>
      <c r="J1888" s="386"/>
    </row>
    <row r="1889" spans="1:10">
      <c r="A1889" s="383"/>
      <c r="B1889" s="383"/>
      <c r="C1889" s="383"/>
      <c r="D1889" s="383"/>
      <c r="E1889" s="383"/>
      <c r="F1889" s="383"/>
      <c r="G1889" s="383"/>
      <c r="H1889" s="383"/>
      <c r="I1889" s="385" t="b">
        <v>0</v>
      </c>
      <c r="J1889" s="386"/>
    </row>
    <row r="1890" spans="1:10">
      <c r="A1890" s="383"/>
      <c r="B1890" s="383"/>
      <c r="C1890" s="383"/>
      <c r="D1890" s="383"/>
      <c r="E1890" s="383"/>
      <c r="F1890" s="383"/>
      <c r="G1890" s="383"/>
      <c r="H1890" s="383"/>
      <c r="I1890" s="385" t="b">
        <v>0</v>
      </c>
      <c r="J1890" s="386"/>
    </row>
    <row r="1891" spans="1:10">
      <c r="A1891" s="383"/>
      <c r="B1891" s="383"/>
      <c r="C1891" s="383"/>
      <c r="D1891" s="383"/>
      <c r="E1891" s="383"/>
      <c r="F1891" s="383"/>
      <c r="G1891" s="383"/>
      <c r="H1891" s="383"/>
      <c r="I1891" s="385" t="b">
        <v>0</v>
      </c>
      <c r="J1891" s="386"/>
    </row>
    <row r="1892" spans="1:10">
      <c r="A1892" s="383"/>
      <c r="B1892" s="383"/>
      <c r="C1892" s="383"/>
      <c r="D1892" s="383"/>
      <c r="E1892" s="383"/>
      <c r="F1892" s="383"/>
      <c r="G1892" s="383"/>
      <c r="H1892" s="383"/>
      <c r="I1892" s="385" t="b">
        <v>0</v>
      </c>
      <c r="J1892" s="386"/>
    </row>
    <row r="1893" spans="1:10">
      <c r="A1893" s="383"/>
      <c r="B1893" s="383"/>
      <c r="C1893" s="383"/>
      <c r="D1893" s="383"/>
      <c r="E1893" s="383"/>
      <c r="F1893" s="383"/>
      <c r="G1893" s="383"/>
      <c r="H1893" s="383"/>
      <c r="I1893" s="385" t="b">
        <v>0</v>
      </c>
      <c r="J1893" s="386"/>
    </row>
    <row r="1894" spans="1:10">
      <c r="A1894" s="383"/>
      <c r="B1894" s="383"/>
      <c r="C1894" s="383"/>
      <c r="D1894" s="383"/>
      <c r="E1894" s="383"/>
      <c r="F1894" s="383"/>
      <c r="G1894" s="383"/>
      <c r="H1894" s="383"/>
      <c r="I1894" s="385" t="b">
        <v>0</v>
      </c>
      <c r="J1894" s="386"/>
    </row>
    <row r="1895" spans="1:10">
      <c r="A1895" s="383"/>
      <c r="B1895" s="383"/>
      <c r="C1895" s="383"/>
      <c r="D1895" s="383"/>
      <c r="E1895" s="383"/>
      <c r="F1895" s="383"/>
      <c r="G1895" s="383"/>
      <c r="H1895" s="383"/>
      <c r="I1895" s="385" t="b">
        <v>0</v>
      </c>
      <c r="J1895" s="386"/>
    </row>
    <row r="1896" spans="1:10">
      <c r="A1896" s="383"/>
      <c r="B1896" s="383"/>
      <c r="C1896" s="383"/>
      <c r="D1896" s="383"/>
      <c r="E1896" s="383"/>
      <c r="F1896" s="383"/>
      <c r="G1896" s="383"/>
      <c r="H1896" s="383"/>
      <c r="I1896" s="385" t="b">
        <v>0</v>
      </c>
      <c r="J1896" s="386"/>
    </row>
    <row r="1897" spans="1:10">
      <c r="A1897" s="383"/>
      <c r="B1897" s="383"/>
      <c r="C1897" s="383"/>
      <c r="D1897" s="383"/>
      <c r="E1897" s="383"/>
      <c r="F1897" s="383"/>
      <c r="G1897" s="383"/>
      <c r="H1897" s="383"/>
      <c r="I1897" s="385" t="b">
        <v>0</v>
      </c>
      <c r="J1897" s="386"/>
    </row>
    <row r="1898" spans="1:10">
      <c r="A1898" s="383"/>
      <c r="B1898" s="383"/>
      <c r="C1898" s="383"/>
      <c r="D1898" s="383"/>
      <c r="E1898" s="383"/>
      <c r="F1898" s="383"/>
      <c r="G1898" s="383"/>
      <c r="H1898" s="383"/>
      <c r="I1898" s="385" t="b">
        <v>0</v>
      </c>
      <c r="J1898" s="386"/>
    </row>
    <row r="1899" spans="1:10">
      <c r="A1899" s="383"/>
      <c r="B1899" s="383"/>
      <c r="C1899" s="383"/>
      <c r="D1899" s="383"/>
      <c r="E1899" s="383"/>
      <c r="F1899" s="383"/>
      <c r="G1899" s="383"/>
      <c r="H1899" s="383"/>
      <c r="I1899" s="385" t="b">
        <v>0</v>
      </c>
      <c r="J1899" s="386"/>
    </row>
    <row r="1900" spans="1:10">
      <c r="A1900" s="383"/>
      <c r="B1900" s="383"/>
      <c r="C1900" s="383"/>
      <c r="D1900" s="383"/>
      <c r="E1900" s="383"/>
      <c r="F1900" s="383"/>
      <c r="G1900" s="383"/>
      <c r="H1900" s="383"/>
      <c r="I1900" s="385" t="b">
        <v>0</v>
      </c>
      <c r="J1900" s="386"/>
    </row>
    <row r="1901" spans="1:10">
      <c r="A1901" s="383"/>
      <c r="B1901" s="383"/>
      <c r="C1901" s="383"/>
      <c r="D1901" s="383"/>
      <c r="E1901" s="383"/>
      <c r="F1901" s="383"/>
      <c r="G1901" s="383"/>
      <c r="H1901" s="383"/>
      <c r="I1901" s="385" t="b">
        <v>0</v>
      </c>
      <c r="J1901" s="386"/>
    </row>
    <row r="1902" spans="1:10">
      <c r="A1902" s="383"/>
      <c r="B1902" s="383"/>
      <c r="C1902" s="383"/>
      <c r="D1902" s="383"/>
      <c r="E1902" s="383"/>
      <c r="F1902" s="383"/>
      <c r="G1902" s="383"/>
      <c r="H1902" s="383"/>
      <c r="I1902" s="385" t="b">
        <v>0</v>
      </c>
      <c r="J1902" s="386"/>
    </row>
    <row r="1903" spans="1:10">
      <c r="A1903" s="383"/>
      <c r="B1903" s="383"/>
      <c r="C1903" s="383"/>
      <c r="D1903" s="383"/>
      <c r="E1903" s="383"/>
      <c r="F1903" s="383"/>
      <c r="G1903" s="383"/>
      <c r="H1903" s="383"/>
      <c r="I1903" s="385" t="b">
        <v>0</v>
      </c>
      <c r="J1903" s="386"/>
    </row>
    <row r="1904" spans="1:10">
      <c r="A1904" s="383"/>
      <c r="B1904" s="383"/>
      <c r="C1904" s="383"/>
      <c r="D1904" s="383"/>
      <c r="E1904" s="383"/>
      <c r="F1904" s="383"/>
      <c r="G1904" s="383"/>
      <c r="H1904" s="383"/>
      <c r="I1904" s="385" t="b">
        <v>0</v>
      </c>
      <c r="J1904" s="386"/>
    </row>
    <row r="1905" spans="1:10">
      <c r="A1905" s="383"/>
      <c r="B1905" s="383"/>
      <c r="C1905" s="383"/>
      <c r="D1905" s="383"/>
      <c r="E1905" s="383"/>
      <c r="F1905" s="383"/>
      <c r="G1905" s="383"/>
      <c r="H1905" s="383"/>
      <c r="I1905" s="385" t="b">
        <v>0</v>
      </c>
      <c r="J1905" s="386"/>
    </row>
    <row r="1906" spans="1:10">
      <c r="A1906" s="383"/>
      <c r="B1906" s="383"/>
      <c r="C1906" s="383"/>
      <c r="D1906" s="383"/>
      <c r="E1906" s="383"/>
      <c r="F1906" s="383"/>
      <c r="G1906" s="383"/>
      <c r="H1906" s="383"/>
      <c r="I1906" s="385" t="b">
        <v>0</v>
      </c>
      <c r="J1906" s="386"/>
    </row>
    <row r="1907" spans="1:10">
      <c r="A1907" s="383"/>
      <c r="B1907" s="383"/>
      <c r="C1907" s="383"/>
      <c r="D1907" s="383"/>
      <c r="E1907" s="383"/>
      <c r="F1907" s="383"/>
      <c r="G1907" s="383"/>
      <c r="H1907" s="383"/>
      <c r="I1907" s="385" t="b">
        <v>0</v>
      </c>
      <c r="J1907" s="386"/>
    </row>
    <row r="1908" spans="1:10">
      <c r="A1908" s="383"/>
      <c r="B1908" s="383"/>
      <c r="C1908" s="383"/>
      <c r="D1908" s="383"/>
      <c r="E1908" s="383"/>
      <c r="F1908" s="383"/>
      <c r="G1908" s="383"/>
      <c r="H1908" s="383"/>
      <c r="I1908" s="385" t="b">
        <v>0</v>
      </c>
      <c r="J1908" s="386"/>
    </row>
    <row r="1909" spans="1:10">
      <c r="A1909" s="383"/>
      <c r="B1909" s="383"/>
      <c r="C1909" s="383"/>
      <c r="D1909" s="383"/>
      <c r="E1909" s="383"/>
      <c r="F1909" s="383"/>
      <c r="G1909" s="383"/>
      <c r="H1909" s="383"/>
      <c r="I1909" s="385" t="b">
        <v>0</v>
      </c>
      <c r="J1909" s="386"/>
    </row>
    <row r="1910" spans="1:10">
      <c r="A1910" s="383"/>
      <c r="B1910" s="383"/>
      <c r="C1910" s="383"/>
      <c r="D1910" s="383"/>
      <c r="E1910" s="383"/>
      <c r="F1910" s="383"/>
      <c r="G1910" s="383"/>
      <c r="H1910" s="383"/>
      <c r="I1910" s="385" t="b">
        <v>0</v>
      </c>
      <c r="J1910" s="386"/>
    </row>
    <row r="1911" spans="1:10">
      <c r="A1911" s="383"/>
      <c r="B1911" s="383"/>
      <c r="C1911" s="383"/>
      <c r="D1911" s="383"/>
      <c r="E1911" s="383"/>
      <c r="F1911" s="383"/>
      <c r="G1911" s="383"/>
      <c r="H1911" s="383"/>
      <c r="I1911" s="385" t="b">
        <v>0</v>
      </c>
      <c r="J1911" s="386"/>
    </row>
    <row r="1912" spans="1:10">
      <c r="A1912" s="383"/>
      <c r="B1912" s="383"/>
      <c r="C1912" s="383"/>
      <c r="D1912" s="383"/>
      <c r="E1912" s="383"/>
      <c r="F1912" s="383"/>
      <c r="G1912" s="383"/>
      <c r="H1912" s="383"/>
      <c r="I1912" s="385" t="b">
        <v>0</v>
      </c>
      <c r="J1912" s="386"/>
    </row>
    <row r="1913" spans="1:10">
      <c r="A1913" s="383"/>
      <c r="B1913" s="383"/>
      <c r="C1913" s="383"/>
      <c r="D1913" s="383"/>
      <c r="E1913" s="383"/>
      <c r="F1913" s="383"/>
      <c r="G1913" s="383"/>
      <c r="H1913" s="383"/>
      <c r="I1913" s="385" t="b">
        <v>0</v>
      </c>
      <c r="J1913" s="386"/>
    </row>
    <row r="1914" spans="1:10">
      <c r="A1914" s="383"/>
      <c r="B1914" s="383"/>
      <c r="C1914" s="383"/>
      <c r="D1914" s="383"/>
      <c r="E1914" s="383"/>
      <c r="F1914" s="383"/>
      <c r="G1914" s="383"/>
      <c r="H1914" s="383"/>
      <c r="I1914" s="385" t="b">
        <v>0</v>
      </c>
      <c r="J1914" s="386"/>
    </row>
    <row r="1915" spans="1:10">
      <c r="A1915" s="383"/>
      <c r="B1915" s="383"/>
      <c r="C1915" s="383"/>
      <c r="D1915" s="383"/>
      <c r="E1915" s="383"/>
      <c r="F1915" s="383"/>
      <c r="G1915" s="383"/>
      <c r="H1915" s="383"/>
      <c r="I1915" s="385" t="b">
        <v>0</v>
      </c>
      <c r="J1915" s="386"/>
    </row>
    <row r="1916" spans="1:10">
      <c r="A1916" s="383"/>
      <c r="B1916" s="383"/>
      <c r="C1916" s="383"/>
      <c r="D1916" s="383"/>
      <c r="E1916" s="383"/>
      <c r="F1916" s="383"/>
      <c r="G1916" s="383"/>
      <c r="H1916" s="383"/>
      <c r="I1916" s="385" t="b">
        <v>0</v>
      </c>
      <c r="J1916" s="386"/>
    </row>
    <row r="1917" spans="1:10">
      <c r="A1917" s="383"/>
      <c r="B1917" s="383"/>
      <c r="C1917" s="383"/>
      <c r="D1917" s="383"/>
      <c r="E1917" s="383"/>
      <c r="F1917" s="383"/>
      <c r="G1917" s="383"/>
      <c r="H1917" s="383"/>
      <c r="I1917" s="385" t="b">
        <v>0</v>
      </c>
      <c r="J1917" s="386"/>
    </row>
    <row r="1918" spans="1:10">
      <c r="A1918" s="383"/>
      <c r="B1918" s="383"/>
      <c r="C1918" s="383"/>
      <c r="D1918" s="383"/>
      <c r="E1918" s="383"/>
      <c r="F1918" s="383"/>
      <c r="G1918" s="383"/>
      <c r="H1918" s="383"/>
      <c r="I1918" s="385" t="b">
        <v>0</v>
      </c>
      <c r="J1918" s="386"/>
    </row>
    <row r="1919" spans="1:10">
      <c r="A1919" s="383"/>
      <c r="B1919" s="383"/>
      <c r="C1919" s="383"/>
      <c r="D1919" s="383"/>
      <c r="E1919" s="383"/>
      <c r="F1919" s="383"/>
      <c r="G1919" s="383"/>
      <c r="H1919" s="383"/>
      <c r="I1919" s="385" t="b">
        <v>0</v>
      </c>
      <c r="J1919" s="386"/>
    </row>
    <row r="1920" spans="1:10">
      <c r="A1920" s="383"/>
      <c r="B1920" s="383"/>
      <c r="C1920" s="383"/>
      <c r="D1920" s="383"/>
      <c r="E1920" s="383"/>
      <c r="F1920" s="383"/>
      <c r="G1920" s="383"/>
      <c r="H1920" s="383"/>
      <c r="I1920" s="385" t="b">
        <v>0</v>
      </c>
      <c r="J1920" s="386"/>
    </row>
    <row r="1921" spans="1:10">
      <c r="A1921" s="383"/>
      <c r="B1921" s="383"/>
      <c r="C1921" s="383"/>
      <c r="D1921" s="383"/>
      <c r="E1921" s="383"/>
      <c r="F1921" s="383"/>
      <c r="G1921" s="383"/>
      <c r="H1921" s="383"/>
      <c r="I1921" s="385" t="b">
        <v>0</v>
      </c>
      <c r="J1921" s="386"/>
    </row>
    <row r="1922" spans="1:10">
      <c r="A1922" s="383"/>
      <c r="B1922" s="383"/>
      <c r="C1922" s="383"/>
      <c r="D1922" s="383"/>
      <c r="E1922" s="383"/>
      <c r="F1922" s="383"/>
      <c r="G1922" s="383"/>
      <c r="H1922" s="383"/>
      <c r="I1922" s="385" t="b">
        <v>0</v>
      </c>
      <c r="J1922" s="386"/>
    </row>
    <row r="1923" spans="1:10">
      <c r="A1923" s="383"/>
      <c r="B1923" s="383"/>
      <c r="C1923" s="383"/>
      <c r="D1923" s="383"/>
      <c r="E1923" s="383"/>
      <c r="F1923" s="383"/>
      <c r="G1923" s="383"/>
      <c r="H1923" s="383"/>
      <c r="I1923" s="385" t="b">
        <v>0</v>
      </c>
      <c r="J1923" s="386"/>
    </row>
    <row r="1924" spans="1:10">
      <c r="A1924" s="383"/>
      <c r="B1924" s="383"/>
      <c r="C1924" s="383"/>
      <c r="D1924" s="383"/>
      <c r="E1924" s="383"/>
      <c r="F1924" s="383"/>
      <c r="G1924" s="383"/>
      <c r="H1924" s="383"/>
      <c r="I1924" s="385" t="b">
        <v>0</v>
      </c>
      <c r="J1924" s="386"/>
    </row>
    <row r="1925" spans="1:10">
      <c r="A1925" s="383"/>
      <c r="B1925" s="383"/>
      <c r="C1925" s="383"/>
      <c r="D1925" s="383"/>
      <c r="E1925" s="383"/>
      <c r="F1925" s="383"/>
      <c r="G1925" s="383"/>
      <c r="H1925" s="383"/>
      <c r="I1925" s="385" t="b">
        <v>0</v>
      </c>
      <c r="J1925" s="386"/>
    </row>
    <row r="1926" spans="1:10">
      <c r="A1926" s="383"/>
      <c r="B1926" s="383"/>
      <c r="C1926" s="383"/>
      <c r="D1926" s="383"/>
      <c r="E1926" s="383"/>
      <c r="F1926" s="383"/>
      <c r="G1926" s="383"/>
      <c r="H1926" s="383"/>
      <c r="I1926" s="385" t="b">
        <v>0</v>
      </c>
      <c r="J1926" s="386"/>
    </row>
    <row r="1927" spans="1:10">
      <c r="A1927" s="383"/>
      <c r="B1927" s="383"/>
      <c r="C1927" s="383"/>
      <c r="D1927" s="383"/>
      <c r="E1927" s="383"/>
      <c r="F1927" s="383"/>
      <c r="G1927" s="383"/>
      <c r="H1927" s="383"/>
      <c r="I1927" s="385" t="b">
        <v>0</v>
      </c>
      <c r="J1927" s="386"/>
    </row>
    <row r="1928" spans="1:10">
      <c r="A1928" s="383"/>
      <c r="B1928" s="383"/>
      <c r="C1928" s="383"/>
      <c r="D1928" s="383"/>
      <c r="E1928" s="383"/>
      <c r="F1928" s="383"/>
      <c r="G1928" s="383"/>
      <c r="H1928" s="383"/>
      <c r="I1928" s="385" t="b">
        <v>0</v>
      </c>
      <c r="J1928" s="386"/>
    </row>
    <row r="1929" spans="1:10">
      <c r="A1929" s="383"/>
      <c r="B1929" s="383"/>
      <c r="C1929" s="383"/>
      <c r="D1929" s="383"/>
      <c r="E1929" s="383"/>
      <c r="F1929" s="383"/>
      <c r="G1929" s="383"/>
      <c r="H1929" s="383"/>
      <c r="I1929" s="385" t="b">
        <v>0</v>
      </c>
      <c r="J1929" s="386"/>
    </row>
    <row r="1930" spans="1:10">
      <c r="A1930" s="383"/>
      <c r="B1930" s="383"/>
      <c r="C1930" s="383"/>
      <c r="D1930" s="383"/>
      <c r="E1930" s="383"/>
      <c r="F1930" s="383"/>
      <c r="G1930" s="383"/>
      <c r="H1930" s="383"/>
      <c r="I1930" s="385" t="b">
        <v>0</v>
      </c>
      <c r="J1930" s="386"/>
    </row>
    <row r="1931" spans="1:10">
      <c r="A1931" s="383"/>
      <c r="B1931" s="383"/>
      <c r="C1931" s="383"/>
      <c r="D1931" s="383"/>
      <c r="E1931" s="383"/>
      <c r="F1931" s="383"/>
      <c r="G1931" s="383"/>
      <c r="H1931" s="383"/>
      <c r="I1931" s="385" t="b">
        <v>0</v>
      </c>
      <c r="J1931" s="386"/>
    </row>
    <row r="1932" spans="1:10">
      <c r="A1932" s="383"/>
      <c r="B1932" s="383"/>
      <c r="C1932" s="383"/>
      <c r="D1932" s="383"/>
      <c r="E1932" s="383"/>
      <c r="F1932" s="383"/>
      <c r="G1932" s="383"/>
      <c r="H1932" s="383"/>
      <c r="I1932" s="385" t="b">
        <v>0</v>
      </c>
      <c r="J1932" s="386"/>
    </row>
    <row r="1933" spans="1:10">
      <c r="A1933" s="383"/>
      <c r="B1933" s="383"/>
      <c r="C1933" s="383"/>
      <c r="D1933" s="383"/>
      <c r="E1933" s="383"/>
      <c r="F1933" s="383"/>
      <c r="G1933" s="383"/>
      <c r="H1933" s="383"/>
      <c r="I1933" s="385" t="b">
        <v>0</v>
      </c>
      <c r="J1933" s="386"/>
    </row>
    <row r="1934" spans="1:10">
      <c r="A1934" s="383"/>
      <c r="B1934" s="383"/>
      <c r="C1934" s="383"/>
      <c r="D1934" s="383"/>
      <c r="E1934" s="383"/>
      <c r="F1934" s="383"/>
      <c r="G1934" s="383"/>
      <c r="H1934" s="383"/>
      <c r="I1934" s="385" t="b">
        <v>0</v>
      </c>
      <c r="J1934" s="386"/>
    </row>
    <row r="1935" spans="1:10">
      <c r="A1935" s="383"/>
      <c r="B1935" s="383"/>
      <c r="C1935" s="383"/>
      <c r="D1935" s="383"/>
      <c r="E1935" s="383"/>
      <c r="F1935" s="383"/>
      <c r="G1935" s="383"/>
      <c r="H1935" s="383"/>
      <c r="I1935" s="385" t="b">
        <v>0</v>
      </c>
      <c r="J1935" s="386"/>
    </row>
    <row r="1936" spans="1:10">
      <c r="A1936" s="383"/>
      <c r="B1936" s="383"/>
      <c r="C1936" s="383"/>
      <c r="D1936" s="383"/>
      <c r="E1936" s="383"/>
      <c r="F1936" s="383"/>
      <c r="G1936" s="383"/>
      <c r="H1936" s="383"/>
      <c r="I1936" s="385" t="b">
        <v>0</v>
      </c>
      <c r="J1936" s="386"/>
    </row>
    <row r="1937" spans="1:10">
      <c r="A1937" s="383"/>
      <c r="B1937" s="383"/>
      <c r="C1937" s="383"/>
      <c r="D1937" s="383"/>
      <c r="E1937" s="383"/>
      <c r="F1937" s="383"/>
      <c r="G1937" s="383"/>
      <c r="H1937" s="383"/>
      <c r="I1937" s="385" t="b">
        <v>0</v>
      </c>
      <c r="J1937" s="386"/>
    </row>
    <row r="1938" spans="1:10">
      <c r="A1938" s="383"/>
      <c r="B1938" s="383"/>
      <c r="C1938" s="383"/>
      <c r="D1938" s="383"/>
      <c r="E1938" s="383"/>
      <c r="F1938" s="383"/>
      <c r="G1938" s="383"/>
      <c r="H1938" s="383"/>
      <c r="I1938" s="385" t="b">
        <v>0</v>
      </c>
      <c r="J1938" s="386"/>
    </row>
    <row r="1939" spans="1:10">
      <c r="A1939" s="383"/>
      <c r="B1939" s="383"/>
      <c r="C1939" s="383"/>
      <c r="D1939" s="383"/>
      <c r="E1939" s="383"/>
      <c r="F1939" s="383"/>
      <c r="G1939" s="383"/>
      <c r="H1939" s="383"/>
      <c r="I1939" s="385" t="b">
        <v>0</v>
      </c>
      <c r="J1939" s="386"/>
    </row>
    <row r="1940" spans="1:10">
      <c r="A1940" s="383"/>
      <c r="B1940" s="383"/>
      <c r="C1940" s="383"/>
      <c r="D1940" s="383"/>
      <c r="E1940" s="383"/>
      <c r="F1940" s="383"/>
      <c r="G1940" s="383"/>
      <c r="H1940" s="383"/>
      <c r="I1940" s="385" t="b">
        <v>0</v>
      </c>
      <c r="J1940" s="386"/>
    </row>
    <row r="1941" spans="1:10">
      <c r="A1941" s="383"/>
      <c r="B1941" s="383"/>
      <c r="C1941" s="383"/>
      <c r="D1941" s="383"/>
      <c r="E1941" s="383"/>
      <c r="F1941" s="383"/>
      <c r="G1941" s="383"/>
      <c r="H1941" s="383"/>
      <c r="I1941" s="385" t="b">
        <v>0</v>
      </c>
      <c r="J1941" s="386"/>
    </row>
    <row r="1942" spans="1:10">
      <c r="A1942" s="383"/>
      <c r="B1942" s="383"/>
      <c r="C1942" s="383"/>
      <c r="D1942" s="383"/>
      <c r="E1942" s="383"/>
      <c r="F1942" s="383"/>
      <c r="G1942" s="383"/>
      <c r="H1942" s="383"/>
      <c r="I1942" s="385" t="b">
        <v>0</v>
      </c>
      <c r="J1942" s="386"/>
    </row>
    <row r="1943" spans="1:10">
      <c r="A1943" s="383"/>
      <c r="B1943" s="383"/>
      <c r="C1943" s="383"/>
      <c r="D1943" s="383"/>
      <c r="E1943" s="383"/>
      <c r="F1943" s="383"/>
      <c r="G1943" s="383"/>
      <c r="H1943" s="383"/>
      <c r="I1943" s="385" t="b">
        <v>0</v>
      </c>
      <c r="J1943" s="386"/>
    </row>
    <row r="1944" spans="1:10">
      <c r="A1944" s="383"/>
      <c r="B1944" s="383"/>
      <c r="C1944" s="383"/>
      <c r="D1944" s="383"/>
      <c r="E1944" s="383"/>
      <c r="F1944" s="383"/>
      <c r="G1944" s="383"/>
      <c r="H1944" s="383"/>
      <c r="I1944" s="385" t="b">
        <v>0</v>
      </c>
      <c r="J1944" s="386"/>
    </row>
    <row r="1945" spans="1:10">
      <c r="A1945" s="383"/>
      <c r="B1945" s="383"/>
      <c r="C1945" s="383"/>
      <c r="D1945" s="383"/>
      <c r="E1945" s="383"/>
      <c r="F1945" s="383"/>
      <c r="G1945" s="383"/>
      <c r="H1945" s="383"/>
      <c r="I1945" s="385" t="b">
        <v>0</v>
      </c>
      <c r="J1945" s="386"/>
    </row>
    <row r="1946" spans="1:10">
      <c r="A1946" s="383"/>
      <c r="B1946" s="383"/>
      <c r="C1946" s="383"/>
      <c r="D1946" s="383"/>
      <c r="E1946" s="383"/>
      <c r="F1946" s="383"/>
      <c r="G1946" s="383"/>
      <c r="H1946" s="383"/>
      <c r="I1946" s="385" t="b">
        <v>0</v>
      </c>
      <c r="J1946" s="386"/>
    </row>
    <row r="1947" spans="1:10">
      <c r="A1947" s="383"/>
      <c r="B1947" s="383"/>
      <c r="C1947" s="383"/>
      <c r="D1947" s="383"/>
      <c r="E1947" s="383"/>
      <c r="F1947" s="383"/>
      <c r="G1947" s="383"/>
      <c r="H1947" s="383"/>
      <c r="I1947" s="385" t="b">
        <v>0</v>
      </c>
      <c r="J1947" s="386"/>
    </row>
    <row r="1948" spans="1:10">
      <c r="A1948" s="383"/>
      <c r="B1948" s="383"/>
      <c r="C1948" s="383"/>
      <c r="D1948" s="383"/>
      <c r="E1948" s="383"/>
      <c r="F1948" s="383"/>
      <c r="G1948" s="383"/>
      <c r="H1948" s="383"/>
      <c r="I1948" s="385" t="b">
        <v>0</v>
      </c>
      <c r="J1948" s="386"/>
    </row>
    <row r="1949" spans="1:10">
      <c r="A1949" s="383"/>
      <c r="B1949" s="383"/>
      <c r="C1949" s="383"/>
      <c r="D1949" s="383"/>
      <c r="E1949" s="383"/>
      <c r="F1949" s="383"/>
      <c r="G1949" s="383"/>
      <c r="H1949" s="383"/>
      <c r="I1949" s="385" t="b">
        <v>0</v>
      </c>
      <c r="J1949" s="386"/>
    </row>
    <row r="1950" spans="1:10">
      <c r="A1950" s="383"/>
      <c r="B1950" s="383"/>
      <c r="C1950" s="383"/>
      <c r="D1950" s="383"/>
      <c r="E1950" s="383"/>
      <c r="F1950" s="383"/>
      <c r="G1950" s="383"/>
      <c r="H1950" s="383"/>
      <c r="I1950" s="385" t="b">
        <v>0</v>
      </c>
      <c r="J1950" s="386"/>
    </row>
    <row r="1951" spans="1:10">
      <c r="A1951" s="383"/>
      <c r="B1951" s="383"/>
      <c r="C1951" s="383"/>
      <c r="D1951" s="383"/>
      <c r="E1951" s="383"/>
      <c r="F1951" s="383"/>
      <c r="G1951" s="383"/>
      <c r="H1951" s="383"/>
      <c r="I1951" s="385" t="b">
        <v>0</v>
      </c>
      <c r="J1951" s="386"/>
    </row>
    <row r="1952" spans="1:10">
      <c r="A1952" s="383"/>
      <c r="B1952" s="383"/>
      <c r="C1952" s="383"/>
      <c r="D1952" s="383"/>
      <c r="E1952" s="383"/>
      <c r="F1952" s="383"/>
      <c r="G1952" s="383"/>
      <c r="H1952" s="383"/>
      <c r="I1952" s="385" t="b">
        <v>0</v>
      </c>
      <c r="J1952" s="386"/>
    </row>
    <row r="1953" spans="1:10">
      <c r="A1953" s="383"/>
      <c r="B1953" s="383"/>
      <c r="C1953" s="383"/>
      <c r="D1953" s="383"/>
      <c r="E1953" s="383"/>
      <c r="F1953" s="383"/>
      <c r="G1953" s="383"/>
      <c r="H1953" s="383"/>
      <c r="I1953" s="385" t="b">
        <v>0</v>
      </c>
      <c r="J1953" s="386"/>
    </row>
    <row r="1954" spans="1:10">
      <c r="A1954" s="383"/>
      <c r="B1954" s="383"/>
      <c r="C1954" s="383"/>
      <c r="D1954" s="383"/>
      <c r="E1954" s="383"/>
      <c r="F1954" s="383"/>
      <c r="G1954" s="383"/>
      <c r="H1954" s="383"/>
      <c r="I1954" s="385" t="b">
        <v>0</v>
      </c>
      <c r="J1954" s="386"/>
    </row>
    <row r="1955" spans="1:10">
      <c r="A1955" s="383"/>
      <c r="B1955" s="383"/>
      <c r="C1955" s="383"/>
      <c r="D1955" s="383"/>
      <c r="E1955" s="383"/>
      <c r="F1955" s="383"/>
      <c r="G1955" s="383"/>
      <c r="H1955" s="383"/>
      <c r="I1955" s="385" t="b">
        <v>0</v>
      </c>
      <c r="J1955" s="386"/>
    </row>
    <row r="1956" spans="1:10">
      <c r="A1956" s="383"/>
      <c r="B1956" s="383"/>
      <c r="C1956" s="383"/>
      <c r="D1956" s="383"/>
      <c r="E1956" s="383"/>
      <c r="F1956" s="383"/>
      <c r="G1956" s="383"/>
      <c r="H1956" s="383"/>
      <c r="I1956" s="385" t="b">
        <v>0</v>
      </c>
      <c r="J1956" s="386"/>
    </row>
    <row r="1957" spans="1:10">
      <c r="A1957" s="383"/>
      <c r="B1957" s="383"/>
      <c r="C1957" s="383"/>
      <c r="D1957" s="383"/>
      <c r="E1957" s="383"/>
      <c r="F1957" s="383"/>
      <c r="G1957" s="383"/>
      <c r="H1957" s="383"/>
      <c r="I1957" s="385" t="b">
        <v>0</v>
      </c>
      <c r="J1957" s="386"/>
    </row>
    <row r="1958" spans="1:10">
      <c r="A1958" s="383"/>
      <c r="B1958" s="383"/>
      <c r="C1958" s="383"/>
      <c r="D1958" s="383"/>
      <c r="E1958" s="383"/>
      <c r="F1958" s="383"/>
      <c r="G1958" s="383"/>
      <c r="H1958" s="383"/>
      <c r="I1958" s="385" t="b">
        <v>0</v>
      </c>
      <c r="J1958" s="386"/>
    </row>
    <row r="1959" spans="1:10">
      <c r="A1959" s="383"/>
      <c r="B1959" s="383"/>
      <c r="C1959" s="383"/>
      <c r="D1959" s="383"/>
      <c r="E1959" s="383"/>
      <c r="F1959" s="383"/>
      <c r="G1959" s="383"/>
      <c r="H1959" s="383"/>
      <c r="I1959" s="385" t="b">
        <v>0</v>
      </c>
      <c r="J1959" s="386"/>
    </row>
    <row r="1960" spans="1:10">
      <c r="A1960" s="383"/>
      <c r="B1960" s="383"/>
      <c r="C1960" s="383"/>
      <c r="D1960" s="383"/>
      <c r="E1960" s="383"/>
      <c r="F1960" s="383"/>
      <c r="G1960" s="383"/>
      <c r="H1960" s="383"/>
      <c r="I1960" s="385" t="b">
        <v>0</v>
      </c>
      <c r="J1960" s="386"/>
    </row>
    <row r="1961" spans="1:10">
      <c r="A1961" s="383"/>
      <c r="B1961" s="383"/>
      <c r="C1961" s="383"/>
      <c r="D1961" s="383"/>
      <c r="E1961" s="383"/>
      <c r="F1961" s="383"/>
      <c r="G1961" s="383"/>
      <c r="H1961" s="383"/>
      <c r="I1961" s="385" t="b">
        <v>0</v>
      </c>
      <c r="J1961" s="386"/>
    </row>
    <row r="1962" spans="1:10">
      <c r="A1962" s="383"/>
      <c r="B1962" s="383"/>
      <c r="C1962" s="383"/>
      <c r="D1962" s="383"/>
      <c r="E1962" s="383"/>
      <c r="F1962" s="383"/>
      <c r="G1962" s="383"/>
      <c r="H1962" s="383"/>
      <c r="I1962" s="385" t="b">
        <v>0</v>
      </c>
      <c r="J1962" s="386"/>
    </row>
    <row r="1963" spans="1:10">
      <c r="A1963" s="383"/>
      <c r="B1963" s="383"/>
      <c r="C1963" s="383"/>
      <c r="D1963" s="383"/>
      <c r="E1963" s="383"/>
      <c r="F1963" s="383"/>
      <c r="G1963" s="383"/>
      <c r="H1963" s="383"/>
      <c r="I1963" s="385" t="b">
        <v>0</v>
      </c>
      <c r="J1963" s="386"/>
    </row>
    <row r="1964" spans="1:10">
      <c r="A1964" s="383"/>
      <c r="B1964" s="383"/>
      <c r="C1964" s="383"/>
      <c r="D1964" s="383"/>
      <c r="E1964" s="383"/>
      <c r="F1964" s="383"/>
      <c r="G1964" s="383"/>
      <c r="H1964" s="383"/>
      <c r="I1964" s="385" t="b">
        <v>0</v>
      </c>
      <c r="J1964" s="386"/>
    </row>
    <row r="1965" spans="1:10">
      <c r="A1965" s="383"/>
      <c r="B1965" s="383"/>
      <c r="C1965" s="383"/>
      <c r="D1965" s="383"/>
      <c r="E1965" s="383"/>
      <c r="F1965" s="383"/>
      <c r="G1965" s="383"/>
      <c r="H1965" s="383"/>
      <c r="I1965" s="385" t="b">
        <v>0</v>
      </c>
      <c r="J1965" s="386"/>
    </row>
    <row r="1966" spans="1:10">
      <c r="A1966" s="383"/>
      <c r="B1966" s="383"/>
      <c r="C1966" s="383"/>
      <c r="D1966" s="383"/>
      <c r="E1966" s="383"/>
      <c r="F1966" s="383"/>
      <c r="G1966" s="383"/>
      <c r="H1966" s="383"/>
      <c r="I1966" s="385" t="b">
        <v>0</v>
      </c>
      <c r="J1966" s="386"/>
    </row>
    <row r="1967" spans="1:10">
      <c r="A1967" s="383"/>
      <c r="B1967" s="383"/>
      <c r="C1967" s="383"/>
      <c r="D1967" s="383"/>
      <c r="E1967" s="383"/>
      <c r="F1967" s="383"/>
      <c r="G1967" s="383"/>
      <c r="H1967" s="383"/>
      <c r="I1967" s="385" t="b">
        <v>0</v>
      </c>
      <c r="J1967" s="386"/>
    </row>
    <row r="1968" spans="1:10">
      <c r="A1968" s="383"/>
      <c r="B1968" s="383"/>
      <c r="C1968" s="383"/>
      <c r="D1968" s="383"/>
      <c r="E1968" s="383"/>
      <c r="F1968" s="383"/>
      <c r="G1968" s="383"/>
      <c r="H1968" s="383"/>
      <c r="I1968" s="385" t="b">
        <v>0</v>
      </c>
      <c r="J1968" s="386"/>
    </row>
    <row r="1969" spans="1:10">
      <c r="A1969" s="383"/>
      <c r="B1969" s="383"/>
      <c r="C1969" s="383"/>
      <c r="D1969" s="383"/>
      <c r="E1969" s="383"/>
      <c r="F1969" s="383"/>
      <c r="G1969" s="383"/>
      <c r="H1969" s="383"/>
      <c r="I1969" s="385" t="b">
        <v>0</v>
      </c>
      <c r="J1969" s="386"/>
    </row>
    <row r="1970" spans="1:10">
      <c r="A1970" s="383"/>
      <c r="B1970" s="383"/>
      <c r="C1970" s="383"/>
      <c r="D1970" s="383"/>
      <c r="E1970" s="383"/>
      <c r="F1970" s="383"/>
      <c r="G1970" s="383"/>
      <c r="H1970" s="383"/>
      <c r="I1970" s="385" t="b">
        <v>0</v>
      </c>
      <c r="J1970" s="386"/>
    </row>
    <row r="1971" spans="1:10">
      <c r="A1971" s="383"/>
      <c r="B1971" s="383"/>
      <c r="C1971" s="383"/>
      <c r="D1971" s="383"/>
      <c r="E1971" s="383"/>
      <c r="F1971" s="383"/>
      <c r="G1971" s="383"/>
      <c r="H1971" s="383"/>
      <c r="I1971" s="385" t="b">
        <v>0</v>
      </c>
      <c r="J1971" s="386"/>
    </row>
    <row r="1972" spans="1:10">
      <c r="A1972" s="383"/>
      <c r="B1972" s="383"/>
      <c r="C1972" s="383"/>
      <c r="D1972" s="383"/>
      <c r="E1972" s="383"/>
      <c r="F1972" s="383"/>
      <c r="G1972" s="383"/>
      <c r="H1972" s="383"/>
      <c r="I1972" s="385" t="b">
        <v>0</v>
      </c>
      <c r="J1972" s="386"/>
    </row>
    <row r="1973" spans="1:10">
      <c r="A1973" s="383"/>
      <c r="B1973" s="383"/>
      <c r="C1973" s="383"/>
      <c r="D1973" s="383"/>
      <c r="E1973" s="383"/>
      <c r="F1973" s="383"/>
      <c r="G1973" s="383"/>
      <c r="H1973" s="383"/>
      <c r="I1973" s="385" t="b">
        <v>0</v>
      </c>
      <c r="J1973" s="386"/>
    </row>
    <row r="1974" spans="1:10">
      <c r="A1974" s="383"/>
      <c r="B1974" s="383"/>
      <c r="C1974" s="383"/>
      <c r="D1974" s="383"/>
      <c r="E1974" s="383"/>
      <c r="F1974" s="383"/>
      <c r="G1974" s="383"/>
      <c r="H1974" s="383"/>
      <c r="I1974" s="385" t="b">
        <v>0</v>
      </c>
      <c r="J1974" s="386"/>
    </row>
    <row r="1975" spans="1:10">
      <c r="A1975" s="383"/>
      <c r="B1975" s="383"/>
      <c r="C1975" s="383"/>
      <c r="D1975" s="383"/>
      <c r="E1975" s="383"/>
      <c r="F1975" s="383"/>
      <c r="G1975" s="383"/>
      <c r="H1975" s="383"/>
      <c r="I1975" s="385" t="b">
        <v>0</v>
      </c>
      <c r="J1975" s="386"/>
    </row>
    <row r="1976" spans="1:10">
      <c r="A1976" s="383"/>
      <c r="B1976" s="383"/>
      <c r="C1976" s="383"/>
      <c r="D1976" s="383"/>
      <c r="E1976" s="383"/>
      <c r="F1976" s="383"/>
      <c r="G1976" s="383"/>
      <c r="H1976" s="383"/>
      <c r="I1976" s="385" t="b">
        <v>0</v>
      </c>
      <c r="J1976" s="386"/>
    </row>
    <row r="1977" spans="1:10">
      <c r="A1977" s="383"/>
      <c r="B1977" s="383"/>
      <c r="C1977" s="383"/>
      <c r="D1977" s="383"/>
      <c r="E1977" s="383"/>
      <c r="F1977" s="383"/>
      <c r="G1977" s="383"/>
      <c r="H1977" s="383"/>
      <c r="I1977" s="385" t="b">
        <v>0</v>
      </c>
      <c r="J1977" s="386"/>
    </row>
    <row r="1978" spans="1:10">
      <c r="A1978" s="383"/>
      <c r="B1978" s="383"/>
      <c r="C1978" s="383"/>
      <c r="D1978" s="383"/>
      <c r="E1978" s="383"/>
      <c r="F1978" s="383"/>
      <c r="G1978" s="383"/>
      <c r="H1978" s="383"/>
      <c r="I1978" s="385" t="b">
        <v>0</v>
      </c>
      <c r="J1978" s="386"/>
    </row>
    <row r="1979" spans="1:10">
      <c r="A1979" s="383"/>
      <c r="B1979" s="383"/>
      <c r="C1979" s="383"/>
      <c r="D1979" s="383"/>
      <c r="E1979" s="383"/>
      <c r="F1979" s="383"/>
      <c r="G1979" s="383"/>
      <c r="H1979" s="383"/>
      <c r="I1979" s="385" t="b">
        <v>0</v>
      </c>
      <c r="J1979" s="386"/>
    </row>
    <row r="1980" spans="1:10">
      <c r="A1980" s="383"/>
      <c r="B1980" s="383"/>
      <c r="C1980" s="383"/>
      <c r="D1980" s="383"/>
      <c r="E1980" s="383"/>
      <c r="F1980" s="383"/>
      <c r="G1980" s="383"/>
      <c r="H1980" s="383"/>
      <c r="I1980" s="385" t="b">
        <v>0</v>
      </c>
      <c r="J1980" s="386"/>
    </row>
    <row r="1981" spans="1:10">
      <c r="A1981" s="383"/>
      <c r="B1981" s="383"/>
      <c r="C1981" s="383"/>
      <c r="D1981" s="383"/>
      <c r="E1981" s="383"/>
      <c r="F1981" s="383"/>
      <c r="G1981" s="383"/>
      <c r="H1981" s="383"/>
      <c r="I1981" s="385" t="b">
        <v>0</v>
      </c>
      <c r="J1981" s="386"/>
    </row>
    <row r="1982" spans="1:10">
      <c r="A1982" s="383"/>
      <c r="B1982" s="383"/>
      <c r="C1982" s="383"/>
      <c r="D1982" s="383"/>
      <c r="E1982" s="383"/>
      <c r="F1982" s="383"/>
      <c r="G1982" s="383"/>
      <c r="H1982" s="383"/>
      <c r="I1982" s="385" t="b">
        <v>0</v>
      </c>
      <c r="J1982" s="386"/>
    </row>
    <row r="1983" spans="1:10">
      <c r="A1983" s="383"/>
      <c r="B1983" s="383"/>
      <c r="C1983" s="383"/>
      <c r="D1983" s="383"/>
      <c r="E1983" s="383"/>
      <c r="F1983" s="383"/>
      <c r="G1983" s="383"/>
      <c r="H1983" s="383"/>
      <c r="I1983" s="385" t="b">
        <v>0</v>
      </c>
      <c r="J1983" s="386"/>
    </row>
    <row r="1984" spans="1:10">
      <c r="A1984" s="383"/>
      <c r="B1984" s="383"/>
      <c r="C1984" s="383"/>
      <c r="D1984" s="383"/>
      <c r="E1984" s="383"/>
      <c r="F1984" s="383"/>
      <c r="G1984" s="383"/>
      <c r="H1984" s="383"/>
      <c r="I1984" s="385" t="b">
        <v>0</v>
      </c>
      <c r="J1984" s="386"/>
    </row>
    <row r="1985" spans="1:10">
      <c r="A1985" s="383"/>
      <c r="B1985" s="383"/>
      <c r="C1985" s="383"/>
      <c r="D1985" s="383"/>
      <c r="E1985" s="383"/>
      <c r="F1985" s="383"/>
      <c r="G1985" s="383"/>
      <c r="H1985" s="383"/>
      <c r="I1985" s="385" t="b">
        <v>0</v>
      </c>
      <c r="J1985" s="386"/>
    </row>
    <row r="1986" spans="1:10">
      <c r="A1986" s="383"/>
      <c r="B1986" s="383"/>
      <c r="C1986" s="383"/>
      <c r="D1986" s="383"/>
      <c r="E1986" s="383"/>
      <c r="F1986" s="383"/>
      <c r="G1986" s="383"/>
      <c r="H1986" s="383"/>
      <c r="I1986" s="385" t="b">
        <v>0</v>
      </c>
      <c r="J1986" s="386"/>
    </row>
    <row r="1987" spans="1:10">
      <c r="A1987" s="383"/>
      <c r="B1987" s="383"/>
      <c r="C1987" s="383"/>
      <c r="D1987" s="383"/>
      <c r="E1987" s="383"/>
      <c r="F1987" s="383"/>
      <c r="G1987" s="383"/>
      <c r="H1987" s="383"/>
      <c r="I1987" s="385" t="b">
        <v>0</v>
      </c>
      <c r="J1987" s="386"/>
    </row>
    <row r="1988" spans="1:10">
      <c r="A1988" s="383"/>
      <c r="B1988" s="383"/>
      <c r="C1988" s="383"/>
      <c r="D1988" s="383"/>
      <c r="E1988" s="383"/>
      <c r="F1988" s="383"/>
      <c r="G1988" s="383"/>
      <c r="H1988" s="383"/>
      <c r="I1988" s="385" t="b">
        <v>0</v>
      </c>
      <c r="J1988" s="386"/>
    </row>
    <row r="1989" spans="1:10">
      <c r="A1989" s="383"/>
      <c r="B1989" s="383"/>
      <c r="C1989" s="383"/>
      <c r="D1989" s="383"/>
      <c r="E1989" s="383"/>
      <c r="F1989" s="383"/>
      <c r="G1989" s="383"/>
      <c r="H1989" s="383"/>
      <c r="I1989" s="385" t="b">
        <v>0</v>
      </c>
      <c r="J1989" s="386"/>
    </row>
    <row r="1990" spans="1:10">
      <c r="A1990" s="383"/>
      <c r="B1990" s="383"/>
      <c r="C1990" s="383"/>
      <c r="D1990" s="383"/>
      <c r="E1990" s="383"/>
      <c r="F1990" s="383"/>
      <c r="G1990" s="383"/>
      <c r="H1990" s="383"/>
      <c r="I1990" s="385" t="b">
        <v>0</v>
      </c>
      <c r="J1990" s="386"/>
    </row>
    <row r="1991" spans="1:10">
      <c r="A1991" s="383"/>
      <c r="B1991" s="383"/>
      <c r="C1991" s="383"/>
      <c r="D1991" s="383"/>
      <c r="E1991" s="383"/>
      <c r="F1991" s="383"/>
      <c r="G1991" s="383"/>
      <c r="H1991" s="383"/>
      <c r="I1991" s="385" t="b">
        <v>0</v>
      </c>
      <c r="J1991" s="386"/>
    </row>
    <row r="1992" spans="1:10">
      <c r="A1992" s="383"/>
      <c r="B1992" s="383"/>
      <c r="C1992" s="383"/>
      <c r="D1992" s="383"/>
      <c r="E1992" s="383"/>
      <c r="F1992" s="383"/>
      <c r="G1992" s="383"/>
      <c r="H1992" s="383"/>
      <c r="I1992" s="385" t="b">
        <v>0</v>
      </c>
      <c r="J1992" s="386"/>
    </row>
    <row r="1993" spans="1:10">
      <c r="A1993" s="383"/>
      <c r="B1993" s="383"/>
      <c r="C1993" s="383"/>
      <c r="D1993" s="383"/>
      <c r="E1993" s="383"/>
      <c r="F1993" s="383"/>
      <c r="G1993" s="383"/>
      <c r="H1993" s="383"/>
      <c r="I1993" s="385" t="b">
        <v>0</v>
      </c>
      <c r="J1993" s="386"/>
    </row>
    <row r="1994" spans="1:10">
      <c r="A1994" s="383"/>
      <c r="B1994" s="383"/>
      <c r="C1994" s="383"/>
      <c r="D1994" s="383"/>
      <c r="E1994" s="383"/>
      <c r="F1994" s="383"/>
      <c r="G1994" s="383"/>
      <c r="H1994" s="383"/>
      <c r="I1994" s="385" t="b">
        <v>0</v>
      </c>
      <c r="J1994" s="386"/>
    </row>
    <row r="1995" spans="1:10">
      <c r="A1995" s="383"/>
      <c r="B1995" s="383"/>
      <c r="C1995" s="383"/>
      <c r="D1995" s="383"/>
      <c r="E1995" s="383"/>
      <c r="F1995" s="383"/>
      <c r="G1995" s="383"/>
      <c r="H1995" s="383"/>
      <c r="I1995" s="385" t="b">
        <v>0</v>
      </c>
      <c r="J1995" s="386"/>
    </row>
    <row r="1996" spans="1:10">
      <c r="A1996" s="383"/>
      <c r="B1996" s="383"/>
      <c r="C1996" s="383"/>
      <c r="D1996" s="383"/>
      <c r="E1996" s="383"/>
      <c r="F1996" s="383"/>
      <c r="G1996" s="383"/>
      <c r="H1996" s="383"/>
      <c r="I1996" s="385" t="b">
        <v>0</v>
      </c>
      <c r="J1996" s="386"/>
    </row>
    <row r="1997" spans="1:10">
      <c r="A1997" s="383"/>
      <c r="B1997" s="383"/>
      <c r="C1997" s="383"/>
      <c r="D1997" s="383"/>
      <c r="E1997" s="383"/>
      <c r="F1997" s="383"/>
      <c r="G1997" s="383"/>
      <c r="H1997" s="383"/>
      <c r="I1997" s="385" t="b">
        <v>0</v>
      </c>
      <c r="J1997" s="386"/>
    </row>
    <row r="1998" spans="1:10">
      <c r="A1998" s="383"/>
      <c r="B1998" s="383"/>
      <c r="C1998" s="383"/>
      <c r="D1998" s="383"/>
      <c r="E1998" s="383"/>
      <c r="F1998" s="383"/>
      <c r="G1998" s="383"/>
      <c r="H1998" s="383"/>
      <c r="I1998" s="385" t="b">
        <v>0</v>
      </c>
      <c r="J1998" s="386"/>
    </row>
    <row r="1999" spans="1:10">
      <c r="A1999" s="383"/>
      <c r="B1999" s="383"/>
      <c r="C1999" s="383"/>
      <c r="D1999" s="383"/>
      <c r="E1999" s="383"/>
      <c r="F1999" s="383"/>
      <c r="G1999" s="383"/>
      <c r="H1999" s="383"/>
      <c r="I1999" s="385" t="b">
        <v>0</v>
      </c>
      <c r="J1999" s="386"/>
    </row>
    <row r="2000" spans="1:10">
      <c r="A2000" s="383"/>
      <c r="B2000" s="383"/>
      <c r="C2000" s="383"/>
      <c r="D2000" s="383"/>
      <c r="E2000" s="383"/>
      <c r="F2000" s="383"/>
      <c r="G2000" s="383"/>
      <c r="H2000" s="383"/>
      <c r="I2000" s="385" t="b">
        <v>0</v>
      </c>
      <c r="J2000" s="386"/>
    </row>
    <row r="2001" spans="1:10">
      <c r="A2001" s="383"/>
      <c r="B2001" s="383"/>
      <c r="C2001" s="383"/>
      <c r="D2001" s="383"/>
      <c r="E2001" s="383"/>
      <c r="F2001" s="383"/>
      <c r="G2001" s="383"/>
      <c r="H2001" s="383"/>
      <c r="I2001" s="385" t="b">
        <v>0</v>
      </c>
      <c r="J2001" s="386"/>
    </row>
    <row r="2002" spans="1:10">
      <c r="A2002" s="383"/>
      <c r="B2002" s="383"/>
      <c r="C2002" s="383"/>
      <c r="D2002" s="383"/>
      <c r="E2002" s="383"/>
      <c r="F2002" s="383"/>
      <c r="G2002" s="383"/>
      <c r="H2002" s="383"/>
      <c r="I2002" s="385" t="b">
        <v>0</v>
      </c>
      <c r="J2002" s="386"/>
    </row>
    <row r="2003" spans="1:10">
      <c r="A2003" s="383"/>
      <c r="B2003" s="383"/>
      <c r="C2003" s="383"/>
      <c r="D2003" s="383"/>
      <c r="E2003" s="383"/>
      <c r="F2003" s="383"/>
      <c r="G2003" s="383"/>
      <c r="H2003" s="383"/>
      <c r="I2003" s="385" t="b">
        <v>0</v>
      </c>
      <c r="J2003" s="386"/>
    </row>
    <row r="2004" spans="1:10">
      <c r="A2004" s="383"/>
      <c r="B2004" s="383"/>
      <c r="C2004" s="383"/>
      <c r="D2004" s="383"/>
      <c r="E2004" s="383"/>
      <c r="F2004" s="383"/>
      <c r="G2004" s="383"/>
      <c r="H2004" s="383"/>
      <c r="I2004" s="385" t="b">
        <v>0</v>
      </c>
      <c r="J2004" s="386"/>
    </row>
    <row r="2005" spans="1:10">
      <c r="A2005" s="383"/>
      <c r="B2005" s="383"/>
      <c r="C2005" s="383"/>
      <c r="D2005" s="383"/>
      <c r="E2005" s="383"/>
      <c r="F2005" s="383"/>
      <c r="G2005" s="383"/>
      <c r="H2005" s="383"/>
      <c r="I2005" s="385" t="b">
        <v>0</v>
      </c>
      <c r="J2005" s="386"/>
    </row>
    <row r="2006" spans="1:10">
      <c r="A2006" s="383"/>
      <c r="B2006" s="383"/>
      <c r="C2006" s="383"/>
      <c r="D2006" s="383"/>
      <c r="E2006" s="383"/>
      <c r="F2006" s="383"/>
      <c r="G2006" s="383"/>
      <c r="H2006" s="383"/>
      <c r="I2006" s="385" t="b">
        <v>0</v>
      </c>
      <c r="J2006" s="386"/>
    </row>
    <row r="2007" spans="1:10">
      <c r="A2007" s="383"/>
      <c r="B2007" s="383"/>
      <c r="C2007" s="383"/>
      <c r="D2007" s="383"/>
      <c r="E2007" s="383"/>
      <c r="F2007" s="383"/>
      <c r="G2007" s="383"/>
      <c r="H2007" s="383"/>
      <c r="I2007" s="385" t="b">
        <v>0</v>
      </c>
      <c r="J2007" s="386"/>
    </row>
    <row r="2008" spans="1:10">
      <c r="A2008" s="383"/>
      <c r="B2008" s="383"/>
      <c r="C2008" s="383"/>
      <c r="D2008" s="383"/>
      <c r="E2008" s="383"/>
      <c r="F2008" s="383"/>
      <c r="G2008" s="383"/>
      <c r="H2008" s="383"/>
      <c r="I2008" s="385" t="b">
        <v>0</v>
      </c>
      <c r="J2008" s="386"/>
    </row>
    <row r="2009" spans="1:10">
      <c r="A2009" s="383"/>
      <c r="B2009" s="383"/>
      <c r="C2009" s="383"/>
      <c r="D2009" s="383"/>
      <c r="E2009" s="383"/>
      <c r="F2009" s="383"/>
      <c r="G2009" s="383"/>
      <c r="H2009" s="383"/>
      <c r="I2009" s="385" t="b">
        <v>0</v>
      </c>
      <c r="J2009" s="386"/>
    </row>
    <row r="2010" spans="1:10">
      <c r="A2010" s="383"/>
      <c r="B2010" s="383"/>
      <c r="C2010" s="383"/>
      <c r="D2010" s="383"/>
      <c r="E2010" s="383"/>
      <c r="F2010" s="383"/>
      <c r="G2010" s="383"/>
      <c r="H2010" s="383"/>
      <c r="I2010" s="385" t="b">
        <v>0</v>
      </c>
      <c r="J2010" s="386"/>
    </row>
    <row r="2011" spans="1:10">
      <c r="A2011" s="383"/>
      <c r="B2011" s="383"/>
      <c r="C2011" s="383"/>
      <c r="D2011" s="383"/>
      <c r="E2011" s="383"/>
      <c r="F2011" s="383"/>
      <c r="G2011" s="383"/>
      <c r="H2011" s="383"/>
      <c r="I2011" s="385" t="b">
        <v>0</v>
      </c>
      <c r="J2011" s="386"/>
    </row>
    <row r="2012" spans="1:10">
      <c r="A2012" s="383"/>
      <c r="B2012" s="383"/>
      <c r="C2012" s="383"/>
      <c r="D2012" s="383"/>
      <c r="E2012" s="383"/>
      <c r="F2012" s="383"/>
      <c r="G2012" s="383"/>
      <c r="H2012" s="383"/>
      <c r="I2012" s="385" t="b">
        <v>0</v>
      </c>
      <c r="J2012" s="386"/>
    </row>
    <row r="2013" spans="1:10">
      <c r="A2013" s="383"/>
      <c r="B2013" s="383"/>
      <c r="C2013" s="383"/>
      <c r="D2013" s="383"/>
      <c r="E2013" s="383"/>
      <c r="F2013" s="383"/>
      <c r="G2013" s="383"/>
      <c r="H2013" s="383"/>
      <c r="I2013" s="385" t="b">
        <v>0</v>
      </c>
      <c r="J2013" s="386"/>
    </row>
    <row r="2014" spans="1:10">
      <c r="A2014" s="383"/>
      <c r="B2014" s="383"/>
      <c r="C2014" s="383"/>
      <c r="D2014" s="383"/>
      <c r="E2014" s="383"/>
      <c r="F2014" s="383"/>
      <c r="G2014" s="383"/>
      <c r="H2014" s="383"/>
      <c r="I2014" s="385" t="b">
        <v>0</v>
      </c>
      <c r="J2014" s="386"/>
    </row>
    <row r="2015" spans="1:10">
      <c r="A2015" s="383"/>
      <c r="B2015" s="383"/>
      <c r="C2015" s="383"/>
      <c r="D2015" s="383"/>
      <c r="E2015" s="383"/>
      <c r="F2015" s="383"/>
      <c r="G2015" s="383"/>
      <c r="H2015" s="383"/>
      <c r="I2015" s="385" t="b">
        <v>0</v>
      </c>
      <c r="J2015" s="386"/>
    </row>
    <row r="2016" spans="1:10">
      <c r="A2016" s="383"/>
      <c r="B2016" s="383"/>
      <c r="C2016" s="383"/>
      <c r="D2016" s="383"/>
      <c r="E2016" s="383"/>
      <c r="F2016" s="383"/>
      <c r="G2016" s="383"/>
      <c r="H2016" s="383"/>
      <c r="I2016" s="385" t="b">
        <v>0</v>
      </c>
      <c r="J2016" s="386"/>
    </row>
    <row r="2017" spans="1:10">
      <c r="A2017" s="383"/>
      <c r="B2017" s="383"/>
      <c r="C2017" s="383"/>
      <c r="D2017" s="383"/>
      <c r="E2017" s="383"/>
      <c r="F2017" s="383"/>
      <c r="G2017" s="383"/>
      <c r="H2017" s="383"/>
      <c r="I2017" s="385" t="b">
        <v>0</v>
      </c>
      <c r="J2017" s="386"/>
    </row>
    <row r="2018" spans="1:10">
      <c r="A2018" s="383"/>
      <c r="B2018" s="383"/>
      <c r="C2018" s="383"/>
      <c r="D2018" s="383"/>
      <c r="E2018" s="383"/>
      <c r="F2018" s="383"/>
      <c r="G2018" s="383"/>
      <c r="H2018" s="383"/>
      <c r="I2018" s="385" t="b">
        <v>0</v>
      </c>
      <c r="J2018" s="386"/>
    </row>
    <row r="2019" spans="1:10">
      <c r="A2019" s="383"/>
      <c r="B2019" s="383"/>
      <c r="C2019" s="383"/>
      <c r="D2019" s="383"/>
      <c r="E2019" s="383"/>
      <c r="F2019" s="383"/>
      <c r="G2019" s="383"/>
      <c r="H2019" s="383"/>
      <c r="I2019" s="385" t="b">
        <v>0</v>
      </c>
      <c r="J2019" s="386"/>
    </row>
    <row r="2020" spans="1:10">
      <c r="A2020" s="383"/>
      <c r="B2020" s="383"/>
      <c r="C2020" s="383"/>
      <c r="D2020" s="383"/>
      <c r="E2020" s="383"/>
      <c r="F2020" s="383"/>
      <c r="G2020" s="383"/>
      <c r="H2020" s="383"/>
      <c r="I2020" s="385" t="b">
        <v>0</v>
      </c>
      <c r="J2020" s="386"/>
    </row>
    <row r="2021" spans="1:10">
      <c r="A2021" s="383"/>
      <c r="B2021" s="383"/>
      <c r="C2021" s="383"/>
      <c r="D2021" s="383"/>
      <c r="E2021" s="383"/>
      <c r="F2021" s="383"/>
      <c r="G2021" s="383"/>
      <c r="H2021" s="383"/>
      <c r="I2021" s="385" t="b">
        <v>0</v>
      </c>
      <c r="J2021" s="386"/>
    </row>
    <row r="2022" spans="1:10">
      <c r="A2022" s="383"/>
      <c r="B2022" s="383"/>
      <c r="C2022" s="383"/>
      <c r="D2022" s="383"/>
      <c r="E2022" s="383"/>
      <c r="F2022" s="383"/>
      <c r="G2022" s="383"/>
      <c r="H2022" s="383"/>
      <c r="I2022" s="385" t="b">
        <v>0</v>
      </c>
      <c r="J2022" s="386"/>
    </row>
    <row r="2023" spans="1:10">
      <c r="A2023" s="383"/>
      <c r="B2023" s="383"/>
      <c r="C2023" s="383"/>
      <c r="D2023" s="383"/>
      <c r="E2023" s="383"/>
      <c r="F2023" s="383"/>
      <c r="G2023" s="383"/>
      <c r="H2023" s="383"/>
      <c r="I2023" s="385" t="b">
        <v>0</v>
      </c>
      <c r="J2023" s="386"/>
    </row>
    <row r="2024" spans="1:10">
      <c r="A2024" s="383"/>
      <c r="B2024" s="383"/>
      <c r="C2024" s="383"/>
      <c r="D2024" s="383"/>
      <c r="E2024" s="383"/>
      <c r="F2024" s="383"/>
      <c r="G2024" s="383"/>
      <c r="H2024" s="383"/>
      <c r="I2024" s="385" t="b">
        <v>0</v>
      </c>
      <c r="J2024" s="386"/>
    </row>
    <row r="2025" spans="1:10">
      <c r="A2025" s="383"/>
      <c r="B2025" s="383"/>
      <c r="C2025" s="383"/>
      <c r="D2025" s="383"/>
      <c r="E2025" s="383"/>
      <c r="F2025" s="383"/>
      <c r="G2025" s="383"/>
      <c r="H2025" s="383"/>
      <c r="I2025" s="385" t="b">
        <v>0</v>
      </c>
      <c r="J2025" s="386"/>
    </row>
    <row r="2026" spans="1:10">
      <c r="A2026" s="383"/>
      <c r="B2026" s="383"/>
      <c r="C2026" s="383"/>
      <c r="D2026" s="383"/>
      <c r="E2026" s="383"/>
      <c r="F2026" s="383"/>
      <c r="G2026" s="383"/>
      <c r="H2026" s="383"/>
      <c r="I2026" s="385" t="b">
        <v>0</v>
      </c>
      <c r="J2026" s="386"/>
    </row>
    <row r="2027" spans="1:10">
      <c r="A2027" s="383"/>
      <c r="B2027" s="383"/>
      <c r="C2027" s="383"/>
      <c r="D2027" s="383"/>
      <c r="E2027" s="383"/>
      <c r="F2027" s="383"/>
      <c r="G2027" s="383"/>
      <c r="H2027" s="383"/>
      <c r="I2027" s="385" t="b">
        <v>0</v>
      </c>
      <c r="J2027" s="386"/>
    </row>
    <row r="2028" spans="1:10">
      <c r="A2028" s="383"/>
      <c r="B2028" s="383"/>
      <c r="C2028" s="383"/>
      <c r="D2028" s="383"/>
      <c r="E2028" s="383"/>
      <c r="F2028" s="383"/>
      <c r="G2028" s="383"/>
      <c r="H2028" s="383"/>
      <c r="I2028" s="385" t="b">
        <v>0</v>
      </c>
      <c r="J2028" s="386"/>
    </row>
    <row r="2029" spans="1:10">
      <c r="A2029" s="383"/>
      <c r="B2029" s="383"/>
      <c r="C2029" s="383"/>
      <c r="D2029" s="383"/>
      <c r="E2029" s="383"/>
      <c r="F2029" s="383"/>
      <c r="G2029" s="383"/>
      <c r="H2029" s="383"/>
      <c r="I2029" s="385" t="b">
        <v>0</v>
      </c>
      <c r="J2029" s="386"/>
    </row>
    <row r="2030" spans="1:10">
      <c r="A2030" s="383"/>
      <c r="B2030" s="383"/>
      <c r="C2030" s="383"/>
      <c r="D2030" s="383"/>
      <c r="E2030" s="383"/>
      <c r="F2030" s="383"/>
      <c r="G2030" s="383"/>
      <c r="H2030" s="383"/>
      <c r="I2030" s="385" t="b">
        <v>0</v>
      </c>
      <c r="J2030" s="386"/>
    </row>
    <row r="2031" spans="1:10">
      <c r="A2031" s="383"/>
      <c r="B2031" s="383"/>
      <c r="C2031" s="383"/>
      <c r="D2031" s="383"/>
      <c r="E2031" s="383"/>
      <c r="F2031" s="383"/>
      <c r="G2031" s="383"/>
      <c r="H2031" s="383"/>
      <c r="I2031" s="385" t="b">
        <v>0</v>
      </c>
      <c r="J2031" s="386"/>
    </row>
    <row r="2032" spans="1:10">
      <c r="A2032" s="383"/>
      <c r="B2032" s="383"/>
      <c r="C2032" s="383"/>
      <c r="D2032" s="383"/>
      <c r="E2032" s="383"/>
      <c r="F2032" s="383"/>
      <c r="G2032" s="383"/>
      <c r="H2032" s="383"/>
      <c r="I2032" s="385" t="b">
        <v>0</v>
      </c>
      <c r="J2032" s="386"/>
    </row>
    <row r="2033" spans="1:10">
      <c r="A2033" s="383"/>
      <c r="B2033" s="383"/>
      <c r="C2033" s="383"/>
      <c r="D2033" s="383"/>
      <c r="E2033" s="383"/>
      <c r="F2033" s="383"/>
      <c r="G2033" s="383"/>
      <c r="H2033" s="383"/>
      <c r="I2033" s="385" t="b">
        <v>0</v>
      </c>
      <c r="J2033" s="386"/>
    </row>
    <row r="2034" spans="1:10">
      <c r="A2034" s="383"/>
      <c r="B2034" s="383"/>
      <c r="C2034" s="383"/>
      <c r="D2034" s="383"/>
      <c r="E2034" s="383"/>
      <c r="F2034" s="383"/>
      <c r="G2034" s="383"/>
      <c r="H2034" s="383"/>
      <c r="I2034" s="385" t="b">
        <v>0</v>
      </c>
      <c r="J2034" s="386"/>
    </row>
    <row r="2035" spans="1:10">
      <c r="A2035" s="383"/>
      <c r="B2035" s="383"/>
      <c r="C2035" s="383"/>
      <c r="D2035" s="383"/>
      <c r="E2035" s="383"/>
      <c r="F2035" s="383"/>
      <c r="G2035" s="383"/>
      <c r="H2035" s="383"/>
      <c r="I2035" s="385" t="b">
        <v>0</v>
      </c>
      <c r="J2035" s="386"/>
    </row>
    <row r="2036" spans="1:10">
      <c r="A2036" s="383"/>
      <c r="B2036" s="383"/>
      <c r="C2036" s="383"/>
      <c r="D2036" s="383"/>
      <c r="E2036" s="383"/>
      <c r="F2036" s="383"/>
      <c r="G2036" s="383"/>
      <c r="H2036" s="383"/>
      <c r="I2036" s="385" t="b">
        <v>0</v>
      </c>
      <c r="J2036" s="386"/>
    </row>
    <row r="2037" spans="1:10">
      <c r="A2037" s="383"/>
      <c r="B2037" s="383"/>
      <c r="C2037" s="383"/>
      <c r="D2037" s="383"/>
      <c r="E2037" s="383"/>
      <c r="F2037" s="383"/>
      <c r="G2037" s="383"/>
      <c r="H2037" s="383"/>
      <c r="I2037" s="385" t="b">
        <v>0</v>
      </c>
      <c r="J2037" s="386"/>
    </row>
    <row r="2038" spans="1:10">
      <c r="A2038" s="383"/>
      <c r="B2038" s="383"/>
      <c r="C2038" s="383"/>
      <c r="D2038" s="383"/>
      <c r="E2038" s="383"/>
      <c r="F2038" s="383"/>
      <c r="G2038" s="383"/>
      <c r="H2038" s="383"/>
      <c r="I2038" s="385" t="b">
        <v>0</v>
      </c>
      <c r="J2038" s="386"/>
    </row>
    <row r="2039" spans="1:10">
      <c r="A2039" s="383"/>
      <c r="B2039" s="383"/>
      <c r="C2039" s="383"/>
      <c r="D2039" s="383"/>
      <c r="E2039" s="383"/>
      <c r="F2039" s="383"/>
      <c r="G2039" s="383"/>
      <c r="H2039" s="383"/>
      <c r="I2039" s="385" t="b">
        <v>0</v>
      </c>
      <c r="J2039" s="386"/>
    </row>
    <row r="2040" spans="1:10">
      <c r="A2040" s="383"/>
      <c r="B2040" s="383"/>
      <c r="C2040" s="383"/>
      <c r="D2040" s="383"/>
      <c r="E2040" s="383"/>
      <c r="F2040" s="383"/>
      <c r="G2040" s="383"/>
      <c r="H2040" s="383"/>
      <c r="I2040" s="385" t="b">
        <v>0</v>
      </c>
      <c r="J2040" s="386"/>
    </row>
    <row r="2041" spans="1:10">
      <c r="A2041" s="383"/>
      <c r="B2041" s="383"/>
      <c r="C2041" s="383"/>
      <c r="D2041" s="383"/>
      <c r="E2041" s="383"/>
      <c r="F2041" s="383"/>
      <c r="G2041" s="383"/>
      <c r="H2041" s="383"/>
      <c r="I2041" s="385" t="b">
        <v>0</v>
      </c>
      <c r="J2041" s="386"/>
    </row>
    <row r="2042" spans="1:10">
      <c r="A2042" s="383"/>
      <c r="B2042" s="383"/>
      <c r="C2042" s="383"/>
      <c r="D2042" s="383"/>
      <c r="E2042" s="383"/>
      <c r="F2042" s="383"/>
      <c r="G2042" s="383"/>
      <c r="H2042" s="383"/>
      <c r="I2042" s="385" t="b">
        <v>0</v>
      </c>
      <c r="J2042" s="386"/>
    </row>
    <row r="2043" spans="1:10">
      <c r="A2043" s="383"/>
      <c r="B2043" s="383"/>
      <c r="C2043" s="383"/>
      <c r="D2043" s="383"/>
      <c r="E2043" s="383"/>
      <c r="F2043" s="383"/>
      <c r="G2043" s="383"/>
      <c r="H2043" s="383"/>
      <c r="I2043" s="385" t="b">
        <v>0</v>
      </c>
      <c r="J2043" s="386"/>
    </row>
    <row r="2044" spans="1:10">
      <c r="A2044" s="383"/>
      <c r="B2044" s="383"/>
      <c r="C2044" s="383"/>
      <c r="D2044" s="383"/>
      <c r="E2044" s="383"/>
      <c r="F2044" s="383"/>
      <c r="G2044" s="383"/>
      <c r="H2044" s="383"/>
      <c r="I2044" s="385" t="b">
        <v>0</v>
      </c>
      <c r="J2044" s="386"/>
    </row>
    <row r="2045" spans="1:10">
      <c r="A2045" s="383"/>
      <c r="B2045" s="383"/>
      <c r="C2045" s="383"/>
      <c r="D2045" s="383"/>
      <c r="E2045" s="383"/>
      <c r="F2045" s="383"/>
      <c r="G2045" s="383"/>
      <c r="H2045" s="383"/>
      <c r="I2045" s="385" t="b">
        <v>0</v>
      </c>
      <c r="J2045" s="386"/>
    </row>
    <row r="2046" spans="1:10">
      <c r="A2046" s="383"/>
      <c r="B2046" s="383"/>
      <c r="C2046" s="383"/>
      <c r="D2046" s="383"/>
      <c r="E2046" s="383"/>
      <c r="F2046" s="383"/>
      <c r="G2046" s="383"/>
      <c r="H2046" s="383"/>
      <c r="I2046" s="385" t="b">
        <v>0</v>
      </c>
      <c r="J2046" s="386"/>
    </row>
    <row r="2047" spans="1:10">
      <c r="A2047" s="383"/>
      <c r="B2047" s="383"/>
      <c r="C2047" s="383"/>
      <c r="D2047" s="383"/>
      <c r="E2047" s="383"/>
      <c r="F2047" s="383"/>
      <c r="G2047" s="383"/>
      <c r="H2047" s="383"/>
      <c r="I2047" s="385" t="b">
        <v>0</v>
      </c>
      <c r="J2047" s="386"/>
    </row>
    <row r="2048" spans="1:10">
      <c r="A2048" s="383"/>
      <c r="B2048" s="383"/>
      <c r="C2048" s="383"/>
      <c r="D2048" s="383"/>
      <c r="E2048" s="383"/>
      <c r="F2048" s="383"/>
      <c r="G2048" s="383"/>
      <c r="H2048" s="383"/>
      <c r="I2048" s="385" t="b">
        <v>0</v>
      </c>
      <c r="J2048" s="386"/>
    </row>
    <row r="2049" spans="1:10">
      <c r="A2049" s="383"/>
      <c r="B2049" s="383"/>
      <c r="C2049" s="383"/>
      <c r="D2049" s="383"/>
      <c r="E2049" s="383"/>
      <c r="F2049" s="383"/>
      <c r="G2049" s="383"/>
      <c r="H2049" s="383"/>
      <c r="I2049" s="385" t="b">
        <v>0</v>
      </c>
      <c r="J2049" s="386"/>
    </row>
    <row r="2050" spans="1:10">
      <c r="A2050" s="383"/>
      <c r="B2050" s="383"/>
      <c r="C2050" s="383"/>
      <c r="D2050" s="383"/>
      <c r="E2050" s="383"/>
      <c r="F2050" s="383"/>
      <c r="G2050" s="383"/>
      <c r="H2050" s="383"/>
      <c r="I2050" s="385" t="b">
        <v>0</v>
      </c>
      <c r="J2050" s="386"/>
    </row>
    <row r="2051" spans="1:10">
      <c r="A2051" s="383"/>
      <c r="B2051" s="383"/>
      <c r="C2051" s="383"/>
      <c r="D2051" s="383"/>
      <c r="E2051" s="383"/>
      <c r="F2051" s="383"/>
      <c r="G2051" s="383"/>
      <c r="H2051" s="383"/>
      <c r="I2051" s="385" t="b">
        <v>0</v>
      </c>
      <c r="J2051" s="386"/>
    </row>
    <row r="2052" spans="1:10">
      <c r="A2052" s="383"/>
      <c r="B2052" s="383"/>
      <c r="C2052" s="383"/>
      <c r="D2052" s="383"/>
      <c r="E2052" s="383"/>
      <c r="F2052" s="383"/>
      <c r="G2052" s="383"/>
      <c r="H2052" s="383"/>
      <c r="I2052" s="385" t="b">
        <v>0</v>
      </c>
      <c r="J2052" s="386"/>
    </row>
    <row r="2053" spans="1:10">
      <c r="A2053" s="383"/>
      <c r="B2053" s="383"/>
      <c r="C2053" s="383"/>
      <c r="D2053" s="383"/>
      <c r="E2053" s="383"/>
      <c r="F2053" s="383"/>
      <c r="G2053" s="383"/>
      <c r="H2053" s="383"/>
      <c r="I2053" s="385" t="b">
        <v>0</v>
      </c>
      <c r="J2053" s="386"/>
    </row>
    <row r="2054" spans="1:10">
      <c r="A2054" s="383"/>
      <c r="B2054" s="383"/>
      <c r="C2054" s="383"/>
      <c r="D2054" s="383"/>
      <c r="E2054" s="383"/>
      <c r="F2054" s="383"/>
      <c r="G2054" s="383"/>
      <c r="H2054" s="383"/>
      <c r="I2054" s="385" t="b">
        <v>0</v>
      </c>
      <c r="J2054" s="386"/>
    </row>
    <row r="2055" spans="1:10">
      <c r="A2055" s="383"/>
      <c r="B2055" s="383"/>
      <c r="C2055" s="383"/>
      <c r="D2055" s="383"/>
      <c r="E2055" s="383"/>
      <c r="F2055" s="383"/>
      <c r="G2055" s="383"/>
      <c r="H2055" s="383"/>
      <c r="I2055" s="385" t="b">
        <v>0</v>
      </c>
      <c r="J2055" s="386"/>
    </row>
    <row r="2056" spans="1:10">
      <c r="A2056" s="383"/>
      <c r="B2056" s="383"/>
      <c r="C2056" s="383"/>
      <c r="D2056" s="383"/>
      <c r="E2056" s="383"/>
      <c r="F2056" s="383"/>
      <c r="G2056" s="383"/>
      <c r="H2056" s="383"/>
      <c r="I2056" s="385" t="b">
        <v>0</v>
      </c>
      <c r="J2056" s="386"/>
    </row>
    <row r="2057" spans="1:10">
      <c r="A2057" s="383"/>
      <c r="B2057" s="383"/>
      <c r="C2057" s="383"/>
      <c r="D2057" s="383"/>
      <c r="E2057" s="383"/>
      <c r="F2057" s="383"/>
      <c r="G2057" s="383"/>
      <c r="H2057" s="383"/>
      <c r="I2057" s="385" t="b">
        <v>0</v>
      </c>
      <c r="J2057" s="386"/>
    </row>
    <row r="2058" spans="1:10">
      <c r="A2058" s="383"/>
      <c r="B2058" s="383"/>
      <c r="C2058" s="383"/>
      <c r="D2058" s="383"/>
      <c r="E2058" s="383"/>
      <c r="F2058" s="383"/>
      <c r="G2058" s="383"/>
      <c r="H2058" s="383"/>
      <c r="I2058" s="385" t="b">
        <v>0</v>
      </c>
      <c r="J2058" s="386"/>
    </row>
    <row r="2059" spans="1:10">
      <c r="A2059" s="383"/>
      <c r="B2059" s="383"/>
      <c r="C2059" s="383"/>
      <c r="D2059" s="383"/>
      <c r="E2059" s="383"/>
      <c r="F2059" s="383"/>
      <c r="G2059" s="383"/>
      <c r="H2059" s="383"/>
      <c r="I2059" s="385" t="b">
        <v>0</v>
      </c>
      <c r="J2059" s="386"/>
    </row>
    <row r="2060" spans="1:10">
      <c r="A2060" s="383"/>
      <c r="B2060" s="383"/>
      <c r="C2060" s="383"/>
      <c r="D2060" s="383"/>
      <c r="E2060" s="383"/>
      <c r="F2060" s="383"/>
      <c r="G2060" s="383"/>
      <c r="H2060" s="383"/>
      <c r="I2060" s="385" t="b">
        <v>0</v>
      </c>
      <c r="J2060" s="386"/>
    </row>
    <row r="2061" spans="1:10">
      <c r="A2061" s="383"/>
      <c r="B2061" s="383"/>
      <c r="C2061" s="383"/>
      <c r="D2061" s="383"/>
      <c r="E2061" s="383"/>
      <c r="F2061" s="383"/>
      <c r="G2061" s="383"/>
      <c r="H2061" s="383"/>
      <c r="I2061" s="385" t="b">
        <v>0</v>
      </c>
      <c r="J2061" s="386"/>
    </row>
    <row r="2062" spans="1:10">
      <c r="A2062" s="383"/>
      <c r="B2062" s="383"/>
      <c r="C2062" s="383"/>
      <c r="D2062" s="383"/>
      <c r="E2062" s="383"/>
      <c r="F2062" s="383"/>
      <c r="G2062" s="383"/>
      <c r="H2062" s="383"/>
      <c r="I2062" s="385" t="b">
        <v>0</v>
      </c>
      <c r="J2062" s="386"/>
    </row>
    <row r="2063" spans="1:10">
      <c r="A2063" s="383"/>
      <c r="B2063" s="383"/>
      <c r="C2063" s="383"/>
      <c r="D2063" s="383"/>
      <c r="E2063" s="383"/>
      <c r="F2063" s="383"/>
      <c r="G2063" s="383"/>
      <c r="H2063" s="383"/>
      <c r="I2063" s="385" t="b">
        <v>0</v>
      </c>
      <c r="J2063" s="386"/>
    </row>
    <row r="2064" spans="1:10">
      <c r="A2064" s="383"/>
      <c r="B2064" s="383"/>
      <c r="C2064" s="383"/>
      <c r="D2064" s="383"/>
      <c r="E2064" s="383"/>
      <c r="F2064" s="383"/>
      <c r="G2064" s="383"/>
      <c r="H2064" s="383"/>
      <c r="I2064" s="385" t="b">
        <v>0</v>
      </c>
      <c r="J2064" s="386"/>
    </row>
    <row r="2065" spans="1:10">
      <c r="A2065" s="383"/>
      <c r="B2065" s="383"/>
      <c r="C2065" s="383"/>
      <c r="D2065" s="383"/>
      <c r="E2065" s="383"/>
      <c r="F2065" s="383"/>
      <c r="G2065" s="383"/>
      <c r="H2065" s="383"/>
      <c r="I2065" s="385" t="b">
        <v>0</v>
      </c>
      <c r="J2065" s="386"/>
    </row>
    <row r="2066" spans="1:10">
      <c r="A2066" s="383"/>
      <c r="B2066" s="383"/>
      <c r="C2066" s="383"/>
      <c r="D2066" s="383"/>
      <c r="E2066" s="383"/>
      <c r="F2066" s="383"/>
      <c r="G2066" s="383"/>
      <c r="H2066" s="383"/>
      <c r="I2066" s="385" t="b">
        <v>0</v>
      </c>
      <c r="J2066" s="386"/>
    </row>
    <row r="2067" spans="1:10">
      <c r="A2067" s="383"/>
      <c r="B2067" s="383"/>
      <c r="C2067" s="383"/>
      <c r="D2067" s="383"/>
      <c r="E2067" s="383"/>
      <c r="F2067" s="383"/>
      <c r="G2067" s="383"/>
      <c r="H2067" s="383"/>
      <c r="I2067" s="385" t="b">
        <v>0</v>
      </c>
      <c r="J2067" s="386"/>
    </row>
    <row r="2068" spans="1:10">
      <c r="A2068" s="383"/>
      <c r="B2068" s="383"/>
      <c r="C2068" s="383"/>
      <c r="D2068" s="383"/>
      <c r="E2068" s="383"/>
      <c r="F2068" s="383"/>
      <c r="G2068" s="383"/>
      <c r="H2068" s="383"/>
      <c r="I2068" s="385" t="b">
        <v>0</v>
      </c>
      <c r="J2068" s="386"/>
    </row>
    <row r="2069" spans="1:10">
      <c r="A2069" s="383"/>
      <c r="B2069" s="383"/>
      <c r="C2069" s="383"/>
      <c r="D2069" s="383"/>
      <c r="E2069" s="383"/>
      <c r="F2069" s="383"/>
      <c r="G2069" s="383"/>
      <c r="H2069" s="383"/>
      <c r="I2069" s="385" t="b">
        <v>0</v>
      </c>
      <c r="J2069" s="386"/>
    </row>
    <row r="2070" spans="1:10">
      <c r="A2070" s="383"/>
      <c r="B2070" s="383"/>
      <c r="C2070" s="383"/>
      <c r="D2070" s="383"/>
      <c r="E2070" s="383"/>
      <c r="F2070" s="383"/>
      <c r="G2070" s="383"/>
      <c r="H2070" s="383"/>
      <c r="I2070" s="385" t="b">
        <v>0</v>
      </c>
      <c r="J2070" s="386"/>
    </row>
    <row r="2071" spans="1:10">
      <c r="A2071" s="383"/>
      <c r="B2071" s="383"/>
      <c r="C2071" s="383"/>
      <c r="D2071" s="383"/>
      <c r="E2071" s="383"/>
      <c r="F2071" s="383"/>
      <c r="G2071" s="383"/>
      <c r="H2071" s="383"/>
      <c r="I2071" s="385" t="b">
        <v>0</v>
      </c>
      <c r="J2071" s="386"/>
    </row>
    <row r="2072" spans="1:10">
      <c r="A2072" s="383"/>
      <c r="B2072" s="383"/>
      <c r="C2072" s="383"/>
      <c r="D2072" s="383"/>
      <c r="E2072" s="383"/>
      <c r="F2072" s="383"/>
      <c r="G2072" s="383"/>
      <c r="H2072" s="383"/>
      <c r="I2072" s="385" t="b">
        <v>0</v>
      </c>
      <c r="J2072" s="386"/>
    </row>
    <row r="2073" spans="1:10">
      <c r="A2073" s="383"/>
      <c r="B2073" s="383"/>
      <c r="C2073" s="383"/>
      <c r="D2073" s="383"/>
      <c r="E2073" s="383"/>
      <c r="F2073" s="383"/>
      <c r="G2073" s="383"/>
      <c r="H2073" s="383"/>
      <c r="I2073" s="385" t="b">
        <v>0</v>
      </c>
      <c r="J2073" s="386"/>
    </row>
    <row r="2074" spans="1:10">
      <c r="A2074" s="383"/>
      <c r="B2074" s="383"/>
      <c r="C2074" s="383"/>
      <c r="D2074" s="383"/>
      <c r="E2074" s="383"/>
      <c r="F2074" s="383"/>
      <c r="G2074" s="383"/>
      <c r="H2074" s="383"/>
      <c r="I2074" s="385" t="b">
        <v>0</v>
      </c>
      <c r="J2074" s="386"/>
    </row>
    <row r="2075" spans="1:10">
      <c r="A2075" s="383"/>
      <c r="B2075" s="383"/>
      <c r="C2075" s="383"/>
      <c r="D2075" s="383"/>
      <c r="E2075" s="383"/>
      <c r="F2075" s="383"/>
      <c r="G2075" s="383"/>
      <c r="H2075" s="383"/>
      <c r="I2075" s="385" t="b">
        <v>0</v>
      </c>
      <c r="J2075" s="386"/>
    </row>
    <row r="2076" spans="1:10">
      <c r="A2076" s="383"/>
      <c r="B2076" s="383"/>
      <c r="C2076" s="383"/>
      <c r="D2076" s="383"/>
      <c r="E2076" s="383"/>
      <c r="F2076" s="383"/>
      <c r="G2076" s="383"/>
      <c r="H2076" s="383"/>
      <c r="I2076" s="385" t="b">
        <v>0</v>
      </c>
      <c r="J2076" s="386"/>
    </row>
    <row r="2077" spans="1:10">
      <c r="A2077" s="383"/>
      <c r="B2077" s="383"/>
      <c r="C2077" s="383"/>
      <c r="D2077" s="383"/>
      <c r="E2077" s="383"/>
      <c r="F2077" s="383"/>
      <c r="G2077" s="383"/>
      <c r="H2077" s="383"/>
      <c r="I2077" s="385" t="b">
        <v>0</v>
      </c>
      <c r="J2077" s="386"/>
    </row>
    <row r="2078" spans="1:10">
      <c r="A2078" s="383"/>
      <c r="B2078" s="383"/>
      <c r="C2078" s="383"/>
      <c r="D2078" s="383"/>
      <c r="E2078" s="383"/>
      <c r="F2078" s="383"/>
      <c r="G2078" s="383"/>
      <c r="H2078" s="383"/>
      <c r="I2078" s="385" t="b">
        <v>0</v>
      </c>
      <c r="J2078" s="386"/>
    </row>
    <row r="2079" spans="1:10">
      <c r="A2079" s="383"/>
      <c r="B2079" s="383"/>
      <c r="C2079" s="383"/>
      <c r="D2079" s="383"/>
      <c r="E2079" s="383"/>
      <c r="F2079" s="383"/>
      <c r="G2079" s="383"/>
      <c r="H2079" s="383"/>
      <c r="I2079" s="385" t="b">
        <v>0</v>
      </c>
      <c r="J2079" s="386"/>
    </row>
    <row r="2080" spans="1:10">
      <c r="A2080" s="383"/>
      <c r="B2080" s="383"/>
      <c r="C2080" s="383"/>
      <c r="D2080" s="383"/>
      <c r="E2080" s="383"/>
      <c r="F2080" s="383"/>
      <c r="G2080" s="383"/>
      <c r="H2080" s="383"/>
      <c r="I2080" s="385" t="b">
        <v>0</v>
      </c>
      <c r="J2080" s="386"/>
    </row>
    <row r="2081" spans="1:10">
      <c r="A2081" s="383"/>
      <c r="B2081" s="383"/>
      <c r="C2081" s="383"/>
      <c r="D2081" s="383"/>
      <c r="E2081" s="383"/>
      <c r="F2081" s="383"/>
      <c r="G2081" s="383"/>
      <c r="H2081" s="383"/>
      <c r="I2081" s="385" t="b">
        <v>0</v>
      </c>
      <c r="J2081" s="386"/>
    </row>
    <row r="2082" spans="1:10">
      <c r="A2082" s="383"/>
      <c r="B2082" s="383"/>
      <c r="C2082" s="383"/>
      <c r="D2082" s="383"/>
      <c r="E2082" s="383"/>
      <c r="F2082" s="383"/>
      <c r="G2082" s="383"/>
      <c r="H2082" s="383"/>
      <c r="I2082" s="385" t="b">
        <v>0</v>
      </c>
      <c r="J2082" s="386"/>
    </row>
    <row r="2083" spans="1:10">
      <c r="A2083" s="383"/>
      <c r="B2083" s="383"/>
      <c r="C2083" s="383"/>
      <c r="D2083" s="383"/>
      <c r="E2083" s="383"/>
      <c r="F2083" s="383"/>
      <c r="G2083" s="383"/>
      <c r="H2083" s="383"/>
      <c r="I2083" s="385" t="b">
        <v>0</v>
      </c>
      <c r="J2083" s="386"/>
    </row>
    <row r="2084" spans="1:10">
      <c r="A2084" s="383"/>
      <c r="B2084" s="383"/>
      <c r="C2084" s="383"/>
      <c r="D2084" s="383"/>
      <c r="E2084" s="383"/>
      <c r="F2084" s="383"/>
      <c r="G2084" s="383"/>
      <c r="H2084" s="383"/>
      <c r="I2084" s="385" t="b">
        <v>0</v>
      </c>
      <c r="J2084" s="386"/>
    </row>
    <row r="2085" spans="1:10">
      <c r="A2085" s="383"/>
      <c r="B2085" s="383"/>
      <c r="C2085" s="383"/>
      <c r="D2085" s="383"/>
      <c r="E2085" s="383"/>
      <c r="F2085" s="383"/>
      <c r="G2085" s="383"/>
      <c r="H2085" s="383"/>
      <c r="I2085" s="385" t="b">
        <v>0</v>
      </c>
      <c r="J2085" s="386"/>
    </row>
    <row r="2086" spans="1:10">
      <c r="A2086" s="383"/>
      <c r="B2086" s="383"/>
      <c r="C2086" s="383"/>
      <c r="D2086" s="383"/>
      <c r="E2086" s="383"/>
      <c r="F2086" s="383"/>
      <c r="G2086" s="383"/>
      <c r="H2086" s="383"/>
      <c r="I2086" s="385" t="b">
        <v>0</v>
      </c>
      <c r="J2086" s="386"/>
    </row>
    <row r="2087" spans="1:10">
      <c r="A2087" s="383"/>
      <c r="B2087" s="383"/>
      <c r="C2087" s="383"/>
      <c r="D2087" s="383"/>
      <c r="E2087" s="383"/>
      <c r="F2087" s="383"/>
      <c r="G2087" s="383"/>
      <c r="H2087" s="383"/>
      <c r="I2087" s="385" t="b">
        <v>0</v>
      </c>
      <c r="J2087" s="386"/>
    </row>
    <row r="2088" spans="1:10">
      <c r="A2088" s="383"/>
      <c r="B2088" s="383"/>
      <c r="C2088" s="383"/>
      <c r="D2088" s="383"/>
      <c r="E2088" s="383"/>
      <c r="F2088" s="383"/>
      <c r="G2088" s="383"/>
      <c r="H2088" s="383"/>
      <c r="I2088" s="385" t="b">
        <v>0</v>
      </c>
      <c r="J2088" s="386"/>
    </row>
    <row r="2089" spans="1:10">
      <c r="A2089" s="383"/>
      <c r="B2089" s="383"/>
      <c r="C2089" s="383"/>
      <c r="D2089" s="383"/>
      <c r="E2089" s="383"/>
      <c r="F2089" s="383"/>
      <c r="G2089" s="383"/>
      <c r="H2089" s="383"/>
      <c r="I2089" s="385" t="b">
        <v>0</v>
      </c>
      <c r="J2089" s="386"/>
    </row>
    <row r="2090" spans="1:10">
      <c r="A2090" s="383"/>
      <c r="B2090" s="383"/>
      <c r="C2090" s="383"/>
      <c r="D2090" s="383"/>
      <c r="E2090" s="383"/>
      <c r="F2090" s="383"/>
      <c r="G2090" s="383"/>
      <c r="H2090" s="383"/>
      <c r="I2090" s="385" t="b">
        <v>0</v>
      </c>
      <c r="J2090" s="386"/>
    </row>
    <row r="2091" spans="1:10">
      <c r="A2091" s="383"/>
      <c r="B2091" s="383"/>
      <c r="C2091" s="383"/>
      <c r="D2091" s="383"/>
      <c r="E2091" s="383"/>
      <c r="F2091" s="383"/>
      <c r="G2091" s="383"/>
      <c r="H2091" s="383"/>
      <c r="I2091" s="385" t="b">
        <v>0</v>
      </c>
      <c r="J2091" s="386"/>
    </row>
    <row r="2092" spans="1:10">
      <c r="A2092" s="383"/>
      <c r="B2092" s="383"/>
      <c r="C2092" s="383"/>
      <c r="D2092" s="383"/>
      <c r="E2092" s="383"/>
      <c r="F2092" s="383"/>
      <c r="G2092" s="383"/>
      <c r="H2092" s="383"/>
      <c r="I2092" s="385" t="b">
        <v>0</v>
      </c>
      <c r="J2092" s="386"/>
    </row>
    <row r="2093" spans="1:10">
      <c r="A2093" s="383"/>
      <c r="B2093" s="383"/>
      <c r="C2093" s="383"/>
      <c r="D2093" s="383"/>
      <c r="E2093" s="383"/>
      <c r="F2093" s="383"/>
      <c r="G2093" s="383"/>
      <c r="H2093" s="383"/>
      <c r="I2093" s="385" t="b">
        <v>0</v>
      </c>
      <c r="J2093" s="386"/>
    </row>
    <row r="2094" spans="1:10">
      <c r="A2094" s="383"/>
      <c r="B2094" s="383"/>
      <c r="C2094" s="383"/>
      <c r="D2094" s="383"/>
      <c r="E2094" s="383"/>
      <c r="F2094" s="383"/>
      <c r="G2094" s="383"/>
      <c r="H2094" s="383"/>
      <c r="I2094" s="385" t="b">
        <v>0</v>
      </c>
      <c r="J2094" s="386"/>
    </row>
    <row r="2095" spans="1:10">
      <c r="A2095" s="383"/>
      <c r="B2095" s="383"/>
      <c r="C2095" s="383"/>
      <c r="D2095" s="383"/>
      <c r="E2095" s="383"/>
      <c r="F2095" s="383"/>
      <c r="G2095" s="383"/>
      <c r="H2095" s="383"/>
      <c r="I2095" s="385" t="b">
        <v>0</v>
      </c>
      <c r="J2095" s="386"/>
    </row>
    <row r="2096" spans="1:10">
      <c r="A2096" s="383"/>
      <c r="B2096" s="383"/>
      <c r="C2096" s="383"/>
      <c r="D2096" s="383"/>
      <c r="E2096" s="383"/>
      <c r="F2096" s="383"/>
      <c r="G2096" s="383"/>
      <c r="H2096" s="383"/>
      <c r="I2096" s="385" t="b">
        <v>0</v>
      </c>
      <c r="J2096" s="386"/>
    </row>
    <row r="2097" spans="1:10">
      <c r="A2097" s="383"/>
      <c r="B2097" s="383"/>
      <c r="C2097" s="383"/>
      <c r="D2097" s="383"/>
      <c r="E2097" s="383"/>
      <c r="F2097" s="383"/>
      <c r="G2097" s="383"/>
      <c r="H2097" s="383"/>
      <c r="I2097" s="385" t="b">
        <v>0</v>
      </c>
      <c r="J2097" s="386"/>
    </row>
    <row r="2098" spans="1:10">
      <c r="A2098" s="383"/>
      <c r="B2098" s="383"/>
      <c r="C2098" s="383"/>
      <c r="D2098" s="383"/>
      <c r="E2098" s="383"/>
      <c r="F2098" s="383"/>
      <c r="G2098" s="383"/>
      <c r="H2098" s="383"/>
      <c r="I2098" s="385" t="b">
        <v>0</v>
      </c>
      <c r="J2098" s="386"/>
    </row>
    <row r="2099" spans="1:10">
      <c r="A2099" s="383"/>
      <c r="B2099" s="383"/>
      <c r="C2099" s="383"/>
      <c r="D2099" s="383"/>
      <c r="E2099" s="383"/>
      <c r="F2099" s="383"/>
      <c r="G2099" s="383"/>
      <c r="H2099" s="383"/>
      <c r="I2099" s="385" t="b">
        <v>0</v>
      </c>
      <c r="J2099" s="386"/>
    </row>
    <row r="2100" spans="1:10">
      <c r="A2100" s="383"/>
      <c r="B2100" s="383"/>
      <c r="C2100" s="383"/>
      <c r="D2100" s="383"/>
      <c r="E2100" s="383"/>
      <c r="F2100" s="383"/>
      <c r="G2100" s="383"/>
      <c r="H2100" s="383"/>
      <c r="I2100" s="385" t="b">
        <v>0</v>
      </c>
      <c r="J2100" s="386"/>
    </row>
    <row r="2101" spans="1:10">
      <c r="A2101" s="383"/>
      <c r="B2101" s="383"/>
      <c r="C2101" s="383"/>
      <c r="D2101" s="383"/>
      <c r="E2101" s="383"/>
      <c r="F2101" s="383"/>
      <c r="G2101" s="383"/>
      <c r="H2101" s="383"/>
      <c r="I2101" s="385" t="b">
        <v>0</v>
      </c>
      <c r="J2101" s="386"/>
    </row>
    <row r="2102" spans="1:10">
      <c r="A2102" s="383"/>
      <c r="B2102" s="383"/>
      <c r="C2102" s="383"/>
      <c r="D2102" s="383"/>
      <c r="E2102" s="383"/>
      <c r="F2102" s="383"/>
      <c r="G2102" s="383"/>
      <c r="H2102" s="383"/>
      <c r="I2102" s="385" t="b">
        <v>0</v>
      </c>
      <c r="J2102" s="386"/>
    </row>
    <row r="2103" spans="1:10">
      <c r="A2103" s="383"/>
      <c r="B2103" s="383"/>
      <c r="C2103" s="383"/>
      <c r="D2103" s="383"/>
      <c r="E2103" s="383"/>
      <c r="F2103" s="383"/>
      <c r="G2103" s="383"/>
      <c r="H2103" s="383"/>
      <c r="I2103" s="385" t="b">
        <v>0</v>
      </c>
      <c r="J2103" s="386"/>
    </row>
    <row r="2104" spans="1:10">
      <c r="A2104" s="383"/>
      <c r="B2104" s="383"/>
      <c r="C2104" s="383"/>
      <c r="D2104" s="383"/>
      <c r="E2104" s="383"/>
      <c r="F2104" s="383"/>
      <c r="G2104" s="383"/>
      <c r="H2104" s="383"/>
      <c r="I2104" s="385" t="b">
        <v>0</v>
      </c>
      <c r="J2104" s="386"/>
    </row>
    <row r="2105" spans="1:10">
      <c r="A2105" s="383"/>
      <c r="B2105" s="383"/>
      <c r="C2105" s="383"/>
      <c r="D2105" s="383"/>
      <c r="E2105" s="383"/>
      <c r="F2105" s="383"/>
      <c r="G2105" s="383"/>
      <c r="H2105" s="383"/>
      <c r="I2105" s="385" t="b">
        <v>0</v>
      </c>
      <c r="J2105" s="386"/>
    </row>
    <row r="2106" spans="1:10">
      <c r="A2106" s="383"/>
      <c r="B2106" s="383"/>
      <c r="C2106" s="383"/>
      <c r="D2106" s="383"/>
      <c r="E2106" s="383"/>
      <c r="F2106" s="383"/>
      <c r="G2106" s="383"/>
      <c r="H2106" s="383"/>
      <c r="I2106" s="385" t="b">
        <v>0</v>
      </c>
      <c r="J2106" s="386"/>
    </row>
    <row r="2107" spans="1:10">
      <c r="A2107" s="383"/>
      <c r="B2107" s="383"/>
      <c r="C2107" s="383"/>
      <c r="D2107" s="383"/>
      <c r="E2107" s="383"/>
      <c r="F2107" s="383"/>
      <c r="G2107" s="383"/>
      <c r="H2107" s="383"/>
      <c r="I2107" s="385" t="b">
        <v>0</v>
      </c>
      <c r="J2107" s="386"/>
    </row>
    <row r="2108" spans="1:10">
      <c r="A2108" s="383"/>
      <c r="B2108" s="383"/>
      <c r="C2108" s="383"/>
      <c r="D2108" s="383"/>
      <c r="E2108" s="383"/>
      <c r="F2108" s="383"/>
      <c r="G2108" s="383"/>
      <c r="H2108" s="383"/>
      <c r="I2108" s="385" t="b">
        <v>0</v>
      </c>
      <c r="J2108" s="386"/>
    </row>
    <row r="2109" spans="1:10">
      <c r="A2109" s="383"/>
      <c r="B2109" s="383"/>
      <c r="C2109" s="383"/>
      <c r="D2109" s="383"/>
      <c r="E2109" s="383"/>
      <c r="F2109" s="383"/>
      <c r="G2109" s="383"/>
      <c r="H2109" s="383"/>
      <c r="I2109" s="385" t="b">
        <v>0</v>
      </c>
      <c r="J2109" s="386"/>
    </row>
    <row r="2110" spans="1:10">
      <c r="A2110" s="383"/>
      <c r="B2110" s="383"/>
      <c r="C2110" s="383"/>
      <c r="D2110" s="383"/>
      <c r="E2110" s="383"/>
      <c r="F2110" s="383"/>
      <c r="G2110" s="383"/>
      <c r="H2110" s="383"/>
      <c r="I2110" s="385" t="b">
        <v>0</v>
      </c>
      <c r="J2110" s="386"/>
    </row>
    <row r="2111" spans="1:10">
      <c r="A2111" s="383"/>
      <c r="B2111" s="383"/>
      <c r="C2111" s="383"/>
      <c r="D2111" s="383"/>
      <c r="E2111" s="383"/>
      <c r="F2111" s="383"/>
      <c r="G2111" s="383"/>
      <c r="H2111" s="383"/>
      <c r="I2111" s="385" t="b">
        <v>0</v>
      </c>
      <c r="J2111" s="386"/>
    </row>
    <row r="2112" spans="1:10">
      <c r="A2112" s="383"/>
      <c r="B2112" s="383"/>
      <c r="C2112" s="383"/>
      <c r="D2112" s="383"/>
      <c r="E2112" s="383"/>
      <c r="F2112" s="383"/>
      <c r="G2112" s="383"/>
      <c r="H2112" s="383"/>
      <c r="I2112" s="385" t="b">
        <v>0</v>
      </c>
      <c r="J2112" s="386"/>
    </row>
    <row r="2113" spans="1:10">
      <c r="A2113" s="383"/>
      <c r="B2113" s="383"/>
      <c r="C2113" s="383"/>
      <c r="D2113" s="383"/>
      <c r="E2113" s="383"/>
      <c r="F2113" s="383"/>
      <c r="G2113" s="383"/>
      <c r="H2113" s="383"/>
      <c r="I2113" s="385" t="b">
        <v>0</v>
      </c>
      <c r="J2113" s="386"/>
    </row>
    <row r="2114" spans="1:10">
      <c r="A2114" s="383"/>
      <c r="B2114" s="383"/>
      <c r="C2114" s="383"/>
      <c r="D2114" s="383"/>
      <c r="E2114" s="383"/>
      <c r="F2114" s="383"/>
      <c r="G2114" s="383"/>
      <c r="H2114" s="383"/>
      <c r="I2114" s="385" t="b">
        <v>0</v>
      </c>
      <c r="J2114" s="386"/>
    </row>
    <row r="2115" spans="1:10">
      <c r="A2115" s="383"/>
      <c r="B2115" s="383"/>
      <c r="C2115" s="383"/>
      <c r="D2115" s="383"/>
      <c r="E2115" s="383"/>
      <c r="F2115" s="383"/>
      <c r="G2115" s="383"/>
      <c r="H2115" s="383"/>
      <c r="I2115" s="385" t="b">
        <v>0</v>
      </c>
      <c r="J2115" s="386"/>
    </row>
    <row r="2116" spans="1:10">
      <c r="A2116" s="383"/>
      <c r="B2116" s="383"/>
      <c r="C2116" s="383"/>
      <c r="D2116" s="383"/>
      <c r="E2116" s="383"/>
      <c r="F2116" s="383"/>
      <c r="G2116" s="383"/>
      <c r="H2116" s="383"/>
      <c r="I2116" s="385" t="b">
        <v>0</v>
      </c>
      <c r="J2116" s="386"/>
    </row>
    <row r="2117" spans="1:10">
      <c r="A2117" s="383"/>
      <c r="B2117" s="383"/>
      <c r="C2117" s="383"/>
      <c r="D2117" s="383"/>
      <c r="E2117" s="383"/>
      <c r="F2117" s="383"/>
      <c r="G2117" s="383"/>
      <c r="H2117" s="383"/>
      <c r="I2117" s="385" t="b">
        <v>0</v>
      </c>
      <c r="J2117" s="386"/>
    </row>
    <row r="2118" spans="1:10">
      <c r="A2118" s="383"/>
      <c r="B2118" s="383"/>
      <c r="C2118" s="383"/>
      <c r="D2118" s="383"/>
      <c r="E2118" s="383"/>
      <c r="F2118" s="383"/>
      <c r="G2118" s="383"/>
      <c r="H2118" s="383"/>
      <c r="I2118" s="385" t="b">
        <v>0</v>
      </c>
      <c r="J2118" s="386"/>
    </row>
    <row r="2119" spans="1:10">
      <c r="A2119" s="383"/>
      <c r="B2119" s="383"/>
      <c r="C2119" s="383"/>
      <c r="D2119" s="383"/>
      <c r="E2119" s="383"/>
      <c r="F2119" s="383"/>
      <c r="G2119" s="383"/>
      <c r="H2119" s="383"/>
      <c r="I2119" s="385" t="b">
        <v>0</v>
      </c>
      <c r="J2119" s="386"/>
    </row>
    <row r="2120" spans="1:10">
      <c r="A2120" s="383"/>
      <c r="B2120" s="383"/>
      <c r="C2120" s="383"/>
      <c r="D2120" s="383"/>
      <c r="E2120" s="383"/>
      <c r="F2120" s="383"/>
      <c r="G2120" s="383"/>
      <c r="H2120" s="383"/>
      <c r="I2120" s="385" t="b">
        <v>0</v>
      </c>
      <c r="J2120" s="386"/>
    </row>
    <row r="2121" spans="1:10">
      <c r="A2121" s="383"/>
      <c r="B2121" s="383"/>
      <c r="C2121" s="383"/>
      <c r="D2121" s="383"/>
      <c r="E2121" s="383"/>
      <c r="F2121" s="383"/>
      <c r="G2121" s="383"/>
      <c r="H2121" s="383"/>
      <c r="I2121" s="385" t="b">
        <v>0</v>
      </c>
      <c r="J2121" s="386"/>
    </row>
    <row r="2122" spans="1:10">
      <c r="A2122" s="383"/>
      <c r="B2122" s="383"/>
      <c r="C2122" s="383"/>
      <c r="D2122" s="383"/>
      <c r="E2122" s="383"/>
      <c r="F2122" s="383"/>
      <c r="G2122" s="383"/>
      <c r="H2122" s="383"/>
      <c r="I2122" s="385" t="b">
        <v>0</v>
      </c>
      <c r="J2122" s="386"/>
    </row>
    <row r="2123" spans="1:10">
      <c r="A2123" s="383"/>
      <c r="B2123" s="383"/>
      <c r="C2123" s="383"/>
      <c r="D2123" s="383"/>
      <c r="E2123" s="383"/>
      <c r="F2123" s="383"/>
      <c r="G2123" s="383"/>
      <c r="H2123" s="383"/>
      <c r="I2123" s="385" t="b">
        <v>0</v>
      </c>
      <c r="J2123" s="386"/>
    </row>
    <row r="2124" spans="1:10">
      <c r="A2124" s="383"/>
      <c r="B2124" s="383"/>
      <c r="C2124" s="383"/>
      <c r="D2124" s="383"/>
      <c r="E2124" s="383"/>
      <c r="F2124" s="383"/>
      <c r="G2124" s="383"/>
      <c r="H2124" s="383"/>
      <c r="I2124" s="385" t="b">
        <v>0</v>
      </c>
      <c r="J2124" s="386"/>
    </row>
    <row r="2125" spans="1:10">
      <c r="A2125" s="383"/>
      <c r="B2125" s="383"/>
      <c r="C2125" s="383"/>
      <c r="D2125" s="383"/>
      <c r="E2125" s="383"/>
      <c r="F2125" s="383"/>
      <c r="G2125" s="383"/>
      <c r="H2125" s="383"/>
      <c r="I2125" s="385" t="b">
        <v>0</v>
      </c>
      <c r="J2125" s="386"/>
    </row>
    <row r="2126" spans="1:10">
      <c r="A2126" s="383"/>
      <c r="B2126" s="383"/>
      <c r="C2126" s="383"/>
      <c r="D2126" s="383"/>
      <c r="E2126" s="383"/>
      <c r="F2126" s="383"/>
      <c r="G2126" s="383"/>
      <c r="H2126" s="383"/>
      <c r="I2126" s="385" t="b">
        <v>0</v>
      </c>
      <c r="J2126" s="386"/>
    </row>
    <row r="2127" spans="1:10">
      <c r="A2127" s="383"/>
      <c r="B2127" s="383"/>
      <c r="C2127" s="383"/>
      <c r="D2127" s="383"/>
      <c r="E2127" s="383"/>
      <c r="F2127" s="383"/>
      <c r="G2127" s="383"/>
      <c r="H2127" s="383"/>
      <c r="I2127" s="385" t="b">
        <v>0</v>
      </c>
      <c r="J2127" s="386"/>
    </row>
    <row r="2128" spans="1:10">
      <c r="A2128" s="383"/>
      <c r="B2128" s="383"/>
      <c r="C2128" s="383"/>
      <c r="D2128" s="383"/>
      <c r="E2128" s="383"/>
      <c r="F2128" s="383"/>
      <c r="G2128" s="383"/>
      <c r="H2128" s="383"/>
      <c r="I2128" s="385" t="b">
        <v>0</v>
      </c>
      <c r="J2128" s="386"/>
    </row>
    <row r="2129" spans="1:10">
      <c r="A2129" s="383"/>
      <c r="B2129" s="383"/>
      <c r="C2129" s="383"/>
      <c r="D2129" s="383"/>
      <c r="E2129" s="383"/>
      <c r="F2129" s="383"/>
      <c r="G2129" s="383"/>
      <c r="H2129" s="383"/>
      <c r="I2129" s="385" t="b">
        <v>0</v>
      </c>
      <c r="J2129" s="386"/>
    </row>
    <row r="2130" spans="1:10">
      <c r="A2130" s="383"/>
      <c r="B2130" s="383"/>
      <c r="C2130" s="383"/>
      <c r="D2130" s="383"/>
      <c r="E2130" s="383"/>
      <c r="F2130" s="383"/>
      <c r="G2130" s="383"/>
      <c r="H2130" s="383"/>
      <c r="I2130" s="385" t="b">
        <v>0</v>
      </c>
      <c r="J2130" s="386"/>
    </row>
    <row r="2131" spans="1:10">
      <c r="A2131" s="383"/>
      <c r="B2131" s="383"/>
      <c r="C2131" s="383"/>
      <c r="D2131" s="383"/>
      <c r="E2131" s="383"/>
      <c r="F2131" s="383"/>
      <c r="G2131" s="383"/>
      <c r="H2131" s="383"/>
      <c r="I2131" s="385" t="b">
        <v>0</v>
      </c>
      <c r="J2131" s="386"/>
    </row>
    <row r="2132" spans="1:10">
      <c r="A2132" s="383"/>
      <c r="B2132" s="383"/>
      <c r="C2132" s="383"/>
      <c r="D2132" s="383"/>
      <c r="E2132" s="383"/>
      <c r="F2132" s="383"/>
      <c r="G2132" s="383"/>
      <c r="H2132" s="383"/>
      <c r="I2132" s="385" t="b">
        <v>0</v>
      </c>
      <c r="J2132" s="386"/>
    </row>
    <row r="2133" spans="1:10">
      <c r="A2133" s="383"/>
      <c r="B2133" s="383"/>
      <c r="C2133" s="383"/>
      <c r="D2133" s="383"/>
      <c r="E2133" s="383"/>
      <c r="F2133" s="383"/>
      <c r="G2133" s="383"/>
      <c r="H2133" s="383"/>
      <c r="I2133" s="385" t="b">
        <v>0</v>
      </c>
      <c r="J2133" s="386"/>
    </row>
    <row r="2134" spans="1:10">
      <c r="A2134" s="383"/>
      <c r="B2134" s="383"/>
      <c r="C2134" s="383"/>
      <c r="D2134" s="383"/>
      <c r="E2134" s="383"/>
      <c r="F2134" s="383"/>
      <c r="G2134" s="383"/>
      <c r="H2134" s="383"/>
      <c r="I2134" s="385" t="b">
        <v>0</v>
      </c>
      <c r="J2134" s="386"/>
    </row>
    <row r="2135" spans="1:10">
      <c r="A2135" s="383"/>
      <c r="B2135" s="383"/>
      <c r="C2135" s="383"/>
      <c r="D2135" s="383"/>
      <c r="E2135" s="383"/>
      <c r="F2135" s="383"/>
      <c r="G2135" s="383"/>
      <c r="H2135" s="383"/>
      <c r="I2135" s="385" t="b">
        <v>0</v>
      </c>
      <c r="J2135" s="386"/>
    </row>
    <row r="2136" spans="1:10">
      <c r="A2136" s="383"/>
      <c r="B2136" s="383"/>
      <c r="C2136" s="383"/>
      <c r="D2136" s="383"/>
      <c r="E2136" s="383"/>
      <c r="F2136" s="383"/>
      <c r="G2136" s="383"/>
      <c r="H2136" s="383"/>
      <c r="I2136" s="385" t="b">
        <v>0</v>
      </c>
      <c r="J2136" s="386"/>
    </row>
    <row r="2137" spans="1:10">
      <c r="A2137" s="383"/>
      <c r="B2137" s="383"/>
      <c r="C2137" s="383"/>
      <c r="D2137" s="383"/>
      <c r="E2137" s="383"/>
      <c r="F2137" s="383"/>
      <c r="G2137" s="383"/>
      <c r="H2137" s="383"/>
      <c r="I2137" s="385" t="b">
        <v>0</v>
      </c>
      <c r="J2137" s="386"/>
    </row>
    <row r="2138" spans="1:10">
      <c r="A2138" s="383"/>
      <c r="B2138" s="383"/>
      <c r="C2138" s="383"/>
      <c r="D2138" s="383"/>
      <c r="E2138" s="383"/>
      <c r="F2138" s="383"/>
      <c r="G2138" s="383"/>
      <c r="H2138" s="383"/>
      <c r="I2138" s="385" t="b">
        <v>0</v>
      </c>
      <c r="J2138" s="386"/>
    </row>
    <row r="2139" spans="1:10">
      <c r="A2139" s="383"/>
      <c r="B2139" s="383"/>
      <c r="C2139" s="383"/>
      <c r="D2139" s="383"/>
      <c r="E2139" s="383"/>
      <c r="F2139" s="383"/>
      <c r="G2139" s="383"/>
      <c r="H2139" s="383"/>
      <c r="I2139" s="385" t="b">
        <v>0</v>
      </c>
      <c r="J2139" s="386"/>
    </row>
    <row r="2140" spans="1:10">
      <c r="A2140" s="383"/>
      <c r="B2140" s="383"/>
      <c r="C2140" s="383"/>
      <c r="D2140" s="383"/>
      <c r="E2140" s="383"/>
      <c r="F2140" s="383"/>
      <c r="G2140" s="383"/>
      <c r="H2140" s="383"/>
      <c r="I2140" s="385" t="b">
        <v>0</v>
      </c>
      <c r="J2140" s="386"/>
    </row>
    <row r="2141" spans="1:10">
      <c r="A2141" s="383"/>
      <c r="B2141" s="383"/>
      <c r="C2141" s="383"/>
      <c r="D2141" s="383"/>
      <c r="E2141" s="383"/>
      <c r="F2141" s="383"/>
      <c r="G2141" s="383"/>
      <c r="H2141" s="383"/>
      <c r="I2141" s="385" t="b">
        <v>0</v>
      </c>
      <c r="J2141" s="386"/>
    </row>
    <row r="2142" spans="1:10">
      <c r="A2142" s="383"/>
      <c r="B2142" s="383"/>
      <c r="C2142" s="383"/>
      <c r="D2142" s="383"/>
      <c r="E2142" s="383"/>
      <c r="F2142" s="383"/>
      <c r="G2142" s="383"/>
      <c r="H2142" s="383"/>
      <c r="I2142" s="385" t="b">
        <v>0</v>
      </c>
      <c r="J2142" s="386"/>
    </row>
    <row r="2143" spans="1:10">
      <c r="A2143" s="383"/>
      <c r="B2143" s="383"/>
      <c r="C2143" s="383"/>
      <c r="D2143" s="383"/>
      <c r="E2143" s="383"/>
      <c r="F2143" s="383"/>
      <c r="G2143" s="383"/>
      <c r="H2143" s="383"/>
      <c r="I2143" s="385" t="b">
        <v>0</v>
      </c>
      <c r="J2143" s="386"/>
    </row>
    <row r="2144" spans="1:10">
      <c r="A2144" s="383"/>
      <c r="B2144" s="383"/>
      <c r="C2144" s="383"/>
      <c r="D2144" s="383"/>
      <c r="E2144" s="383"/>
      <c r="F2144" s="383"/>
      <c r="G2144" s="383"/>
      <c r="H2144" s="383"/>
      <c r="I2144" s="385" t="b">
        <v>0</v>
      </c>
      <c r="J2144" s="386"/>
    </row>
    <row r="2145" spans="1:10">
      <c r="A2145" s="383"/>
      <c r="B2145" s="383"/>
      <c r="C2145" s="383"/>
      <c r="D2145" s="383"/>
      <c r="E2145" s="383"/>
      <c r="F2145" s="383"/>
      <c r="G2145" s="383"/>
      <c r="H2145" s="383"/>
      <c r="I2145" s="385" t="b">
        <v>0</v>
      </c>
      <c r="J2145" s="386"/>
    </row>
    <row r="2146" spans="1:10">
      <c r="A2146" s="383"/>
      <c r="B2146" s="383"/>
      <c r="C2146" s="383"/>
      <c r="D2146" s="383"/>
      <c r="E2146" s="383"/>
      <c r="F2146" s="383"/>
      <c r="G2146" s="383"/>
      <c r="H2146" s="383"/>
      <c r="I2146" s="385" t="b">
        <v>0</v>
      </c>
      <c r="J2146" s="386"/>
    </row>
    <row r="2147" spans="1:10">
      <c r="A2147" s="383"/>
      <c r="B2147" s="383"/>
      <c r="C2147" s="383"/>
      <c r="D2147" s="383"/>
      <c r="E2147" s="383"/>
      <c r="F2147" s="383"/>
      <c r="G2147" s="383"/>
      <c r="H2147" s="383"/>
      <c r="I2147" s="385" t="b">
        <v>0</v>
      </c>
      <c r="J2147" s="386"/>
    </row>
    <row r="2148" spans="1:10">
      <c r="A2148" s="383"/>
      <c r="B2148" s="383"/>
      <c r="C2148" s="383"/>
      <c r="D2148" s="383"/>
      <c r="E2148" s="383"/>
      <c r="F2148" s="383"/>
      <c r="G2148" s="383"/>
      <c r="H2148" s="383"/>
      <c r="I2148" s="385" t="b">
        <v>0</v>
      </c>
      <c r="J2148" s="386"/>
    </row>
    <row r="2149" spans="1:10">
      <c r="A2149" s="383"/>
      <c r="B2149" s="383"/>
      <c r="C2149" s="383"/>
      <c r="D2149" s="383"/>
      <c r="E2149" s="383"/>
      <c r="F2149" s="383"/>
      <c r="G2149" s="383"/>
      <c r="H2149" s="383"/>
      <c r="I2149" s="385" t="b">
        <v>0</v>
      </c>
      <c r="J2149" s="386"/>
    </row>
    <row r="2150" spans="1:10">
      <c r="A2150" s="383"/>
      <c r="B2150" s="383"/>
      <c r="C2150" s="383"/>
      <c r="D2150" s="383"/>
      <c r="E2150" s="383"/>
      <c r="F2150" s="383"/>
      <c r="G2150" s="383"/>
      <c r="H2150" s="383"/>
      <c r="I2150" s="385" t="b">
        <v>0</v>
      </c>
      <c r="J2150" s="386"/>
    </row>
    <row r="2151" spans="1:10">
      <c r="A2151" s="383"/>
      <c r="B2151" s="383"/>
      <c r="C2151" s="383"/>
      <c r="D2151" s="383"/>
      <c r="E2151" s="383"/>
      <c r="F2151" s="383"/>
      <c r="G2151" s="383"/>
      <c r="H2151" s="383"/>
      <c r="I2151" s="385" t="b">
        <v>0</v>
      </c>
      <c r="J2151" s="386"/>
    </row>
    <row r="2152" spans="1:10">
      <c r="A2152" s="383"/>
      <c r="B2152" s="383"/>
      <c r="C2152" s="383"/>
      <c r="D2152" s="383"/>
      <c r="E2152" s="383"/>
      <c r="F2152" s="383"/>
      <c r="G2152" s="383"/>
      <c r="H2152" s="383"/>
      <c r="I2152" s="385" t="b">
        <v>0</v>
      </c>
      <c r="J2152" s="386"/>
    </row>
    <row r="2153" spans="1:10">
      <c r="A2153" s="383"/>
      <c r="B2153" s="383"/>
      <c r="C2153" s="383"/>
      <c r="D2153" s="383"/>
      <c r="E2153" s="383"/>
      <c r="F2153" s="383"/>
      <c r="G2153" s="383"/>
      <c r="H2153" s="383"/>
      <c r="I2153" s="385" t="b">
        <v>0</v>
      </c>
      <c r="J2153" s="386"/>
    </row>
    <row r="2154" spans="1:10">
      <c r="A2154" s="383"/>
      <c r="B2154" s="383"/>
      <c r="C2154" s="383"/>
      <c r="D2154" s="383"/>
      <c r="E2154" s="383"/>
      <c r="F2154" s="383"/>
      <c r="G2154" s="383"/>
      <c r="H2154" s="383"/>
      <c r="I2154" s="385" t="b">
        <v>0</v>
      </c>
      <c r="J2154" s="386"/>
    </row>
    <row r="2155" spans="1:10">
      <c r="A2155" s="383"/>
      <c r="B2155" s="383"/>
      <c r="C2155" s="383"/>
      <c r="D2155" s="383"/>
      <c r="E2155" s="383"/>
      <c r="F2155" s="383"/>
      <c r="G2155" s="383"/>
      <c r="H2155" s="383"/>
      <c r="I2155" s="385" t="b">
        <v>0</v>
      </c>
      <c r="J2155" s="386"/>
    </row>
    <row r="2156" spans="1:10">
      <c r="A2156" s="383"/>
      <c r="B2156" s="383"/>
      <c r="C2156" s="383"/>
      <c r="D2156" s="383"/>
      <c r="E2156" s="383"/>
      <c r="F2156" s="383"/>
      <c r="G2156" s="383"/>
      <c r="H2156" s="383"/>
      <c r="I2156" s="385" t="b">
        <v>0</v>
      </c>
      <c r="J2156" s="386"/>
    </row>
    <row r="2157" spans="1:10">
      <c r="A2157" s="383"/>
      <c r="B2157" s="383"/>
      <c r="C2157" s="383"/>
      <c r="D2157" s="383"/>
      <c r="E2157" s="383"/>
      <c r="F2157" s="383"/>
      <c r="G2157" s="383"/>
      <c r="H2157" s="383"/>
      <c r="I2157" s="385" t="b">
        <v>0</v>
      </c>
      <c r="J2157" s="386"/>
    </row>
    <row r="2158" spans="1:10">
      <c r="A2158" s="383"/>
      <c r="B2158" s="383"/>
      <c r="C2158" s="383"/>
      <c r="D2158" s="383"/>
      <c r="E2158" s="383"/>
      <c r="F2158" s="383"/>
      <c r="G2158" s="383"/>
      <c r="H2158" s="383"/>
      <c r="I2158" s="385" t="b">
        <v>0</v>
      </c>
      <c r="J2158" s="386"/>
    </row>
    <row r="2159" spans="1:10">
      <c r="A2159" s="383"/>
      <c r="B2159" s="383"/>
      <c r="C2159" s="383"/>
      <c r="D2159" s="383"/>
      <c r="E2159" s="383"/>
      <c r="F2159" s="383"/>
      <c r="G2159" s="383"/>
      <c r="H2159" s="383"/>
      <c r="I2159" s="385" t="b">
        <v>0</v>
      </c>
      <c r="J2159" s="386"/>
    </row>
    <row r="2160" spans="1:10">
      <c r="A2160" s="383"/>
      <c r="B2160" s="383"/>
      <c r="C2160" s="383"/>
      <c r="D2160" s="383"/>
      <c r="E2160" s="383"/>
      <c r="F2160" s="383"/>
      <c r="G2160" s="383"/>
      <c r="H2160" s="383"/>
      <c r="I2160" s="385" t="b">
        <v>0</v>
      </c>
      <c r="J2160" s="386"/>
    </row>
    <row r="2161" spans="1:10">
      <c r="A2161" s="383"/>
      <c r="B2161" s="383"/>
      <c r="C2161" s="383"/>
      <c r="D2161" s="383"/>
      <c r="E2161" s="383"/>
      <c r="F2161" s="383"/>
      <c r="G2161" s="383"/>
      <c r="H2161" s="383"/>
      <c r="I2161" s="385" t="b">
        <v>0</v>
      </c>
      <c r="J2161" s="386"/>
    </row>
    <row r="2162" spans="1:10">
      <c r="A2162" s="383"/>
      <c r="B2162" s="383"/>
      <c r="C2162" s="383"/>
      <c r="D2162" s="383"/>
      <c r="E2162" s="383"/>
      <c r="F2162" s="383"/>
      <c r="G2162" s="383"/>
      <c r="H2162" s="383"/>
      <c r="I2162" s="385" t="b">
        <v>0</v>
      </c>
      <c r="J2162" s="386"/>
    </row>
    <row r="2163" spans="1:10">
      <c r="A2163" s="383"/>
      <c r="B2163" s="383"/>
      <c r="C2163" s="383"/>
      <c r="D2163" s="383"/>
      <c r="E2163" s="383"/>
      <c r="F2163" s="383"/>
      <c r="G2163" s="383"/>
      <c r="H2163" s="383"/>
      <c r="I2163" s="385" t="b">
        <v>0</v>
      </c>
      <c r="J2163" s="386"/>
    </row>
    <row r="2164" spans="1:10">
      <c r="A2164" s="383"/>
      <c r="B2164" s="383"/>
      <c r="C2164" s="383"/>
      <c r="D2164" s="383"/>
      <c r="E2164" s="383"/>
      <c r="F2164" s="383"/>
      <c r="G2164" s="383"/>
      <c r="H2164" s="383"/>
      <c r="I2164" s="385" t="b">
        <v>0</v>
      </c>
      <c r="J2164" s="386"/>
    </row>
    <row r="2165" spans="1:10">
      <c r="A2165" s="383"/>
      <c r="B2165" s="383"/>
      <c r="C2165" s="383"/>
      <c r="D2165" s="383"/>
      <c r="E2165" s="383"/>
      <c r="F2165" s="383"/>
      <c r="G2165" s="383"/>
      <c r="H2165" s="383"/>
      <c r="I2165" s="385" t="b">
        <v>0</v>
      </c>
      <c r="J2165" s="386"/>
    </row>
    <row r="2166" spans="1:10">
      <c r="A2166" s="383"/>
      <c r="B2166" s="383"/>
      <c r="C2166" s="383"/>
      <c r="D2166" s="383"/>
      <c r="E2166" s="383"/>
      <c r="F2166" s="383"/>
      <c r="G2166" s="383"/>
      <c r="H2166" s="383"/>
      <c r="I2166" s="385" t="b">
        <v>0</v>
      </c>
      <c r="J2166" s="386"/>
    </row>
    <row r="2167" spans="1:10">
      <c r="A2167" s="383"/>
      <c r="B2167" s="383"/>
      <c r="C2167" s="383"/>
      <c r="D2167" s="383"/>
      <c r="E2167" s="383"/>
      <c r="F2167" s="383"/>
      <c r="G2167" s="383"/>
      <c r="H2167" s="383"/>
      <c r="I2167" s="385" t="b">
        <v>0</v>
      </c>
      <c r="J2167" s="386"/>
    </row>
    <row r="2168" spans="1:10">
      <c r="A2168" s="383"/>
      <c r="B2168" s="383"/>
      <c r="C2168" s="383"/>
      <c r="D2168" s="383"/>
      <c r="E2168" s="383"/>
      <c r="F2168" s="383"/>
      <c r="G2168" s="383"/>
      <c r="H2168" s="383"/>
      <c r="I2168" s="385" t="b">
        <v>0</v>
      </c>
      <c r="J2168" s="386"/>
    </row>
    <row r="2169" spans="1:10">
      <c r="A2169" s="383"/>
      <c r="B2169" s="383"/>
      <c r="C2169" s="383"/>
      <c r="D2169" s="383"/>
      <c r="E2169" s="383"/>
      <c r="F2169" s="383"/>
      <c r="G2169" s="383"/>
      <c r="H2169" s="383"/>
      <c r="I2169" s="385" t="b">
        <v>0</v>
      </c>
      <c r="J2169" s="386"/>
    </row>
    <row r="2170" spans="1:10">
      <c r="A2170" s="383"/>
      <c r="B2170" s="383"/>
      <c r="C2170" s="383"/>
      <c r="D2170" s="383"/>
      <c r="E2170" s="383"/>
      <c r="F2170" s="383"/>
      <c r="G2170" s="383"/>
      <c r="H2170" s="383"/>
      <c r="I2170" s="385" t="b">
        <v>0</v>
      </c>
      <c r="J2170" s="386"/>
    </row>
    <row r="2171" spans="1:10">
      <c r="A2171" s="383"/>
      <c r="B2171" s="383"/>
      <c r="C2171" s="383"/>
      <c r="D2171" s="383"/>
      <c r="E2171" s="383"/>
      <c r="F2171" s="383"/>
      <c r="G2171" s="383"/>
      <c r="H2171" s="383"/>
      <c r="I2171" s="385" t="b">
        <v>0</v>
      </c>
      <c r="J2171" s="386"/>
    </row>
    <row r="2172" spans="1:10">
      <c r="A2172" s="383"/>
      <c r="B2172" s="383"/>
      <c r="C2172" s="383"/>
      <c r="D2172" s="383"/>
      <c r="E2172" s="383"/>
      <c r="F2172" s="383"/>
      <c r="G2172" s="383"/>
      <c r="H2172" s="383"/>
      <c r="I2172" s="385" t="b">
        <v>0</v>
      </c>
      <c r="J2172" s="386"/>
    </row>
    <row r="2173" spans="1:10">
      <c r="A2173" s="383"/>
      <c r="B2173" s="383"/>
      <c r="C2173" s="383"/>
      <c r="D2173" s="383"/>
      <c r="E2173" s="383"/>
      <c r="F2173" s="383"/>
      <c r="G2173" s="383"/>
      <c r="H2173" s="383"/>
      <c r="I2173" s="385" t="b">
        <v>0</v>
      </c>
      <c r="J2173" s="386"/>
    </row>
    <row r="2174" spans="1:10">
      <c r="A2174" s="383"/>
      <c r="B2174" s="383"/>
      <c r="C2174" s="383"/>
      <c r="D2174" s="383"/>
      <c r="E2174" s="383"/>
      <c r="F2174" s="383"/>
      <c r="G2174" s="383"/>
      <c r="H2174" s="383"/>
      <c r="I2174" s="385" t="b">
        <v>0</v>
      </c>
      <c r="J2174" s="386"/>
    </row>
    <row r="2175" spans="1:10">
      <c r="A2175" s="383"/>
      <c r="B2175" s="383"/>
      <c r="C2175" s="383"/>
      <c r="D2175" s="383"/>
      <c r="E2175" s="383"/>
      <c r="F2175" s="383"/>
      <c r="G2175" s="383"/>
      <c r="H2175" s="383"/>
      <c r="I2175" s="385" t="b">
        <v>0</v>
      </c>
      <c r="J2175" s="386"/>
    </row>
    <row r="2176" spans="1:10">
      <c r="A2176" s="383"/>
      <c r="B2176" s="383"/>
      <c r="C2176" s="383"/>
      <c r="D2176" s="383"/>
      <c r="E2176" s="383"/>
      <c r="F2176" s="383"/>
      <c r="G2176" s="383"/>
      <c r="H2176" s="383"/>
      <c r="I2176" s="385" t="b">
        <v>0</v>
      </c>
      <c r="J2176" s="386"/>
    </row>
    <row r="2177" spans="1:10">
      <c r="A2177" s="383"/>
      <c r="B2177" s="383"/>
      <c r="C2177" s="383"/>
      <c r="D2177" s="383"/>
      <c r="E2177" s="383"/>
      <c r="F2177" s="383"/>
      <c r="G2177" s="383"/>
      <c r="H2177" s="383"/>
      <c r="I2177" s="385" t="b">
        <v>0</v>
      </c>
      <c r="J2177" s="386"/>
    </row>
    <row r="2178" spans="1:10">
      <c r="A2178" s="383"/>
      <c r="B2178" s="383"/>
      <c r="C2178" s="383"/>
      <c r="D2178" s="383"/>
      <c r="E2178" s="383"/>
      <c r="F2178" s="383"/>
      <c r="G2178" s="383"/>
      <c r="H2178" s="383"/>
      <c r="I2178" s="385" t="b">
        <v>0</v>
      </c>
      <c r="J2178" s="386"/>
    </row>
    <row r="2179" spans="1:10">
      <c r="A2179" s="383"/>
      <c r="B2179" s="383"/>
      <c r="C2179" s="383"/>
      <c r="D2179" s="383"/>
      <c r="E2179" s="383"/>
      <c r="F2179" s="383"/>
      <c r="G2179" s="383"/>
      <c r="H2179" s="383"/>
      <c r="I2179" s="385" t="b">
        <v>0</v>
      </c>
      <c r="J2179" s="386"/>
    </row>
    <row r="2180" spans="1:10">
      <c r="A2180" s="383"/>
      <c r="B2180" s="383"/>
      <c r="C2180" s="383"/>
      <c r="D2180" s="383"/>
      <c r="E2180" s="383"/>
      <c r="F2180" s="383"/>
      <c r="G2180" s="383"/>
      <c r="H2180" s="383"/>
      <c r="I2180" s="385" t="b">
        <v>0</v>
      </c>
      <c r="J2180" s="386"/>
    </row>
    <row r="2181" spans="1:10">
      <c r="A2181" s="383"/>
      <c r="B2181" s="383"/>
      <c r="C2181" s="383"/>
      <c r="D2181" s="383"/>
      <c r="E2181" s="383"/>
      <c r="F2181" s="383"/>
      <c r="G2181" s="383"/>
      <c r="H2181" s="383"/>
      <c r="I2181" s="385" t="b">
        <v>0</v>
      </c>
      <c r="J2181" s="386"/>
    </row>
    <row r="2182" spans="1:10">
      <c r="A2182" s="383"/>
      <c r="B2182" s="383"/>
      <c r="C2182" s="383"/>
      <c r="D2182" s="383"/>
      <c r="E2182" s="383"/>
      <c r="F2182" s="383"/>
      <c r="G2182" s="383"/>
      <c r="H2182" s="383"/>
      <c r="I2182" s="385" t="b">
        <v>0</v>
      </c>
      <c r="J2182" s="386"/>
    </row>
    <row r="2183" spans="1:10">
      <c r="A2183" s="383"/>
      <c r="B2183" s="383"/>
      <c r="C2183" s="383"/>
      <c r="D2183" s="383"/>
      <c r="E2183" s="383"/>
      <c r="F2183" s="383"/>
      <c r="G2183" s="383"/>
      <c r="H2183" s="383"/>
      <c r="I2183" s="385" t="b">
        <v>0</v>
      </c>
      <c r="J2183" s="386"/>
    </row>
    <row r="2184" spans="1:10">
      <c r="A2184" s="383"/>
      <c r="B2184" s="383"/>
      <c r="C2184" s="383"/>
      <c r="D2184" s="383"/>
      <c r="E2184" s="383"/>
      <c r="F2184" s="383"/>
      <c r="G2184" s="383"/>
      <c r="H2184" s="383"/>
      <c r="I2184" s="385" t="b">
        <v>0</v>
      </c>
      <c r="J2184" s="386"/>
    </row>
    <row r="2185" spans="1:10">
      <c r="A2185" s="383"/>
      <c r="B2185" s="383"/>
      <c r="C2185" s="383"/>
      <c r="D2185" s="383"/>
      <c r="E2185" s="383"/>
      <c r="F2185" s="383"/>
      <c r="G2185" s="383"/>
      <c r="H2185" s="383"/>
      <c r="I2185" s="385" t="b">
        <v>0</v>
      </c>
      <c r="J2185" s="386"/>
    </row>
    <row r="2186" spans="1:10">
      <c r="A2186" s="383"/>
      <c r="B2186" s="383"/>
      <c r="C2186" s="383"/>
      <c r="D2186" s="383"/>
      <c r="E2186" s="383"/>
      <c r="F2186" s="383"/>
      <c r="G2186" s="383"/>
      <c r="H2186" s="383"/>
      <c r="I2186" s="385" t="b">
        <v>0</v>
      </c>
      <c r="J2186" s="386"/>
    </row>
    <row r="2187" spans="1:10">
      <c r="A2187" s="383"/>
      <c r="B2187" s="383"/>
      <c r="C2187" s="383"/>
      <c r="D2187" s="383"/>
      <c r="E2187" s="383"/>
      <c r="F2187" s="383"/>
      <c r="G2187" s="383"/>
      <c r="H2187" s="383"/>
      <c r="I2187" s="385" t="b">
        <v>0</v>
      </c>
      <c r="J2187" s="386"/>
    </row>
    <row r="2188" spans="1:10">
      <c r="A2188" s="383"/>
      <c r="B2188" s="383"/>
      <c r="C2188" s="383"/>
      <c r="D2188" s="383"/>
      <c r="E2188" s="383"/>
      <c r="F2188" s="383"/>
      <c r="G2188" s="383"/>
      <c r="H2188" s="383"/>
      <c r="I2188" s="385" t="b">
        <v>0</v>
      </c>
      <c r="J2188" s="386"/>
    </row>
    <row r="2189" spans="1:10">
      <c r="A2189" s="383"/>
      <c r="B2189" s="383"/>
      <c r="C2189" s="383"/>
      <c r="D2189" s="383"/>
      <c r="E2189" s="383"/>
      <c r="F2189" s="383"/>
      <c r="G2189" s="383"/>
      <c r="H2189" s="383"/>
      <c r="I2189" s="385" t="b">
        <v>0</v>
      </c>
      <c r="J2189" s="386"/>
    </row>
    <row r="2190" spans="1:10">
      <c r="A2190" s="383"/>
      <c r="B2190" s="383"/>
      <c r="C2190" s="383"/>
      <c r="D2190" s="383"/>
      <c r="E2190" s="383"/>
      <c r="F2190" s="383"/>
      <c r="G2190" s="383"/>
      <c r="H2190" s="383"/>
      <c r="I2190" s="385" t="b">
        <v>0</v>
      </c>
      <c r="J2190" s="386"/>
    </row>
    <row r="2191" spans="1:10">
      <c r="A2191" s="383"/>
      <c r="B2191" s="383"/>
      <c r="C2191" s="383"/>
      <c r="D2191" s="383"/>
      <c r="E2191" s="383"/>
      <c r="F2191" s="383"/>
      <c r="G2191" s="383"/>
      <c r="H2191" s="383"/>
      <c r="I2191" s="385" t="b">
        <v>0</v>
      </c>
      <c r="J2191" s="386"/>
    </row>
    <row r="2192" spans="1:10">
      <c r="A2192" s="383"/>
      <c r="B2192" s="383"/>
      <c r="C2192" s="383"/>
      <c r="D2192" s="383"/>
      <c r="E2192" s="383"/>
      <c r="F2192" s="383"/>
      <c r="G2192" s="383"/>
      <c r="H2192" s="383"/>
      <c r="I2192" s="385" t="b">
        <v>0</v>
      </c>
      <c r="J2192" s="386"/>
    </row>
    <row r="2193" spans="1:10">
      <c r="A2193" s="383"/>
      <c r="B2193" s="383"/>
      <c r="C2193" s="383"/>
      <c r="D2193" s="383"/>
      <c r="E2193" s="383"/>
      <c r="F2193" s="383"/>
      <c r="G2193" s="383"/>
      <c r="H2193" s="383"/>
      <c r="I2193" s="385" t="b">
        <v>0</v>
      </c>
      <c r="J2193" s="386"/>
    </row>
    <row r="2194" spans="1:10">
      <c r="A2194" s="383"/>
      <c r="B2194" s="383"/>
      <c r="C2194" s="383"/>
      <c r="D2194" s="383"/>
      <c r="E2194" s="383"/>
      <c r="F2194" s="383"/>
      <c r="G2194" s="383"/>
      <c r="H2194" s="383"/>
      <c r="I2194" s="385" t="b">
        <v>0</v>
      </c>
      <c r="J2194" s="386"/>
    </row>
    <row r="2195" spans="1:10">
      <c r="A2195" s="383"/>
      <c r="B2195" s="383"/>
      <c r="C2195" s="383"/>
      <c r="D2195" s="383"/>
      <c r="E2195" s="383"/>
      <c r="F2195" s="383"/>
      <c r="G2195" s="383"/>
      <c r="H2195" s="383"/>
      <c r="I2195" s="385" t="b">
        <v>0</v>
      </c>
      <c r="J2195" s="386"/>
    </row>
    <row r="2196" spans="1:10">
      <c r="A2196" s="383"/>
      <c r="B2196" s="383"/>
      <c r="C2196" s="383"/>
      <c r="D2196" s="383"/>
      <c r="E2196" s="383"/>
      <c r="F2196" s="383"/>
      <c r="G2196" s="383"/>
      <c r="H2196" s="383"/>
      <c r="I2196" s="385" t="b">
        <v>0</v>
      </c>
      <c r="J2196" s="386"/>
    </row>
    <row r="2197" spans="1:10">
      <c r="A2197" s="383"/>
      <c r="B2197" s="383"/>
      <c r="C2197" s="383"/>
      <c r="D2197" s="383"/>
      <c r="E2197" s="383"/>
      <c r="F2197" s="383"/>
      <c r="G2197" s="383"/>
      <c r="H2197" s="383"/>
      <c r="I2197" s="385" t="b">
        <v>0</v>
      </c>
      <c r="J2197" s="386"/>
    </row>
    <row r="2198" spans="1:10">
      <c r="A2198" s="383"/>
      <c r="B2198" s="383"/>
      <c r="C2198" s="383"/>
      <c r="D2198" s="383"/>
      <c r="E2198" s="383"/>
      <c r="F2198" s="383"/>
      <c r="G2198" s="383"/>
      <c r="H2198" s="383"/>
      <c r="I2198" s="385" t="b">
        <v>0</v>
      </c>
      <c r="J2198" s="386"/>
    </row>
    <row r="2199" spans="1:10">
      <c r="A2199" s="383"/>
      <c r="B2199" s="383"/>
      <c r="C2199" s="383"/>
      <c r="D2199" s="383"/>
      <c r="E2199" s="383"/>
      <c r="F2199" s="383"/>
      <c r="G2199" s="383"/>
      <c r="H2199" s="383"/>
      <c r="I2199" s="385" t="b">
        <v>0</v>
      </c>
      <c r="J2199" s="386"/>
    </row>
    <row r="2200" spans="1:10">
      <c r="A2200" s="383"/>
      <c r="B2200" s="383"/>
      <c r="C2200" s="383"/>
      <c r="D2200" s="383"/>
      <c r="E2200" s="383"/>
      <c r="F2200" s="383"/>
      <c r="G2200" s="383"/>
      <c r="H2200" s="383"/>
      <c r="I2200" s="385" t="b">
        <v>0</v>
      </c>
      <c r="J2200" s="386"/>
    </row>
    <row r="2201" spans="1:10">
      <c r="A2201" s="383"/>
      <c r="B2201" s="383"/>
      <c r="C2201" s="383"/>
      <c r="D2201" s="383"/>
      <c r="E2201" s="383"/>
      <c r="F2201" s="383"/>
      <c r="G2201" s="383"/>
      <c r="H2201" s="383"/>
      <c r="I2201" s="385" t="b">
        <v>0</v>
      </c>
      <c r="J2201" s="386"/>
    </row>
    <row r="2202" spans="1:10">
      <c r="A2202" s="383"/>
      <c r="B2202" s="383"/>
      <c r="C2202" s="383"/>
      <c r="D2202" s="383"/>
      <c r="E2202" s="383"/>
      <c r="F2202" s="383"/>
      <c r="G2202" s="383"/>
      <c r="H2202" s="383"/>
      <c r="I2202" s="385" t="b">
        <v>0</v>
      </c>
      <c r="J2202" s="386"/>
    </row>
    <row r="2203" spans="1:10">
      <c r="A2203" s="383"/>
      <c r="B2203" s="383"/>
      <c r="C2203" s="383"/>
      <c r="D2203" s="383"/>
      <c r="E2203" s="383"/>
      <c r="F2203" s="383"/>
      <c r="G2203" s="383"/>
      <c r="H2203" s="383"/>
      <c r="I2203" s="385" t="b">
        <v>0</v>
      </c>
      <c r="J2203" s="386"/>
    </row>
    <row r="2204" spans="1:10">
      <c r="A2204" s="383"/>
      <c r="B2204" s="383"/>
      <c r="C2204" s="383"/>
      <c r="D2204" s="383"/>
      <c r="E2204" s="383"/>
      <c r="F2204" s="383"/>
      <c r="G2204" s="383"/>
      <c r="H2204" s="383"/>
      <c r="I2204" s="385" t="b">
        <v>0</v>
      </c>
      <c r="J2204" s="386"/>
    </row>
    <row r="2205" spans="1:10">
      <c r="A2205" s="383"/>
      <c r="B2205" s="383"/>
      <c r="C2205" s="383"/>
      <c r="D2205" s="383"/>
      <c r="E2205" s="383"/>
      <c r="F2205" s="383"/>
      <c r="G2205" s="383"/>
      <c r="H2205" s="383"/>
      <c r="I2205" s="385" t="b">
        <v>0</v>
      </c>
      <c r="J2205" s="386"/>
    </row>
    <row r="2206" spans="1:10">
      <c r="A2206" s="383"/>
      <c r="B2206" s="383"/>
      <c r="C2206" s="383"/>
      <c r="D2206" s="383"/>
      <c r="E2206" s="383"/>
      <c r="F2206" s="383"/>
      <c r="G2206" s="383"/>
      <c r="H2206" s="383"/>
      <c r="I2206" s="385" t="b">
        <v>0</v>
      </c>
      <c r="J2206" s="386"/>
    </row>
    <row r="2207" spans="1:10">
      <c r="A2207" s="383"/>
      <c r="B2207" s="383"/>
      <c r="C2207" s="383"/>
      <c r="D2207" s="383"/>
      <c r="E2207" s="383"/>
      <c r="F2207" s="383"/>
      <c r="G2207" s="383"/>
      <c r="H2207" s="383"/>
      <c r="I2207" s="385" t="b">
        <v>0</v>
      </c>
      <c r="J2207" s="386"/>
    </row>
    <row r="2208" spans="1:10">
      <c r="A2208" s="383"/>
      <c r="B2208" s="383"/>
      <c r="C2208" s="383"/>
      <c r="D2208" s="383"/>
      <c r="E2208" s="383"/>
      <c r="F2208" s="383"/>
      <c r="G2208" s="383"/>
      <c r="H2208" s="383"/>
      <c r="I2208" s="385" t="b">
        <v>0</v>
      </c>
      <c r="J2208" s="386"/>
    </row>
    <row r="2209" spans="1:10">
      <c r="A2209" s="383"/>
      <c r="B2209" s="383"/>
      <c r="C2209" s="383"/>
      <c r="D2209" s="383"/>
      <c r="E2209" s="383"/>
      <c r="F2209" s="383"/>
      <c r="G2209" s="383"/>
      <c r="H2209" s="383"/>
      <c r="I2209" s="385" t="b">
        <v>0</v>
      </c>
      <c r="J2209" s="386"/>
    </row>
    <row r="2210" spans="1:10">
      <c r="A2210" s="383"/>
      <c r="B2210" s="383"/>
      <c r="C2210" s="383"/>
      <c r="D2210" s="383"/>
      <c r="E2210" s="383"/>
      <c r="F2210" s="383"/>
      <c r="G2210" s="383"/>
      <c r="H2210" s="383"/>
      <c r="I2210" s="385" t="b">
        <v>0</v>
      </c>
      <c r="J2210" s="386"/>
    </row>
    <row r="2211" spans="1:10">
      <c r="A2211" s="383"/>
      <c r="B2211" s="383"/>
      <c r="C2211" s="383"/>
      <c r="D2211" s="383"/>
      <c r="E2211" s="383"/>
      <c r="F2211" s="383"/>
      <c r="G2211" s="383"/>
      <c r="H2211" s="383"/>
      <c r="I2211" s="385" t="b">
        <v>0</v>
      </c>
      <c r="J2211" s="386"/>
    </row>
    <row r="2212" spans="1:10">
      <c r="A2212" s="383"/>
      <c r="B2212" s="383"/>
      <c r="C2212" s="383"/>
      <c r="D2212" s="383"/>
      <c r="E2212" s="383"/>
      <c r="F2212" s="383"/>
      <c r="G2212" s="383"/>
      <c r="H2212" s="383"/>
      <c r="I2212" s="385" t="b">
        <v>0</v>
      </c>
      <c r="J2212" s="386"/>
    </row>
    <row r="2213" spans="1:10">
      <c r="A2213" s="383"/>
      <c r="B2213" s="383"/>
      <c r="C2213" s="383"/>
      <c r="D2213" s="383"/>
      <c r="E2213" s="383"/>
      <c r="F2213" s="383"/>
      <c r="G2213" s="383"/>
      <c r="H2213" s="383"/>
      <c r="I2213" s="385" t="b">
        <v>0</v>
      </c>
      <c r="J2213" s="386"/>
    </row>
    <row r="2214" spans="1:10">
      <c r="A2214" s="383"/>
      <c r="B2214" s="383"/>
      <c r="C2214" s="383"/>
      <c r="D2214" s="383"/>
      <c r="E2214" s="383"/>
      <c r="F2214" s="383"/>
      <c r="G2214" s="383"/>
      <c r="H2214" s="383"/>
      <c r="I2214" s="385" t="b">
        <v>0</v>
      </c>
      <c r="J2214" s="386"/>
    </row>
    <row r="2215" spans="1:10">
      <c r="A2215" s="383"/>
      <c r="B2215" s="383"/>
      <c r="C2215" s="383"/>
      <c r="D2215" s="383"/>
      <c r="E2215" s="383"/>
      <c r="F2215" s="383"/>
      <c r="G2215" s="383"/>
      <c r="H2215" s="383"/>
      <c r="I2215" s="385" t="b">
        <v>0</v>
      </c>
      <c r="J2215" s="386"/>
    </row>
    <row r="2216" spans="1:10">
      <c r="A2216" s="383"/>
      <c r="B2216" s="383"/>
      <c r="C2216" s="383"/>
      <c r="D2216" s="383"/>
      <c r="E2216" s="383"/>
      <c r="F2216" s="383"/>
      <c r="G2216" s="383"/>
      <c r="H2216" s="383"/>
      <c r="I2216" s="385" t="b">
        <v>0</v>
      </c>
      <c r="J2216" s="386"/>
    </row>
    <row r="2217" spans="1:10">
      <c r="A2217" s="383"/>
      <c r="B2217" s="383"/>
      <c r="C2217" s="383"/>
      <c r="D2217" s="383"/>
      <c r="E2217" s="383"/>
      <c r="F2217" s="383"/>
      <c r="G2217" s="383"/>
      <c r="H2217" s="383"/>
      <c r="I2217" s="385" t="b">
        <v>0</v>
      </c>
      <c r="J2217" s="386"/>
    </row>
    <row r="2218" spans="1:10">
      <c r="A2218" s="383"/>
      <c r="B2218" s="383"/>
      <c r="C2218" s="383"/>
      <c r="D2218" s="383"/>
      <c r="E2218" s="383"/>
      <c r="F2218" s="383"/>
      <c r="G2218" s="383"/>
      <c r="H2218" s="383"/>
      <c r="I2218" s="385" t="b">
        <v>0</v>
      </c>
      <c r="J2218" s="386"/>
    </row>
    <row r="2219" spans="1:10">
      <c r="A2219" s="383"/>
      <c r="B2219" s="383"/>
      <c r="C2219" s="383"/>
      <c r="D2219" s="383"/>
      <c r="E2219" s="383"/>
      <c r="F2219" s="383"/>
      <c r="G2219" s="383"/>
      <c r="H2219" s="383"/>
      <c r="I2219" s="385" t="b">
        <v>0</v>
      </c>
      <c r="J2219" s="386"/>
    </row>
    <row r="2220" spans="1:10">
      <c r="A2220" s="383"/>
      <c r="B2220" s="383"/>
      <c r="C2220" s="383"/>
      <c r="D2220" s="383"/>
      <c r="E2220" s="383"/>
      <c r="F2220" s="383"/>
      <c r="G2220" s="383"/>
      <c r="H2220" s="383"/>
      <c r="I2220" s="385" t="b">
        <v>0</v>
      </c>
      <c r="J2220" s="386"/>
    </row>
    <row r="2221" spans="1:10">
      <c r="A2221" s="383"/>
      <c r="B2221" s="383"/>
      <c r="C2221" s="383"/>
      <c r="D2221" s="383"/>
      <c r="E2221" s="383"/>
      <c r="F2221" s="383"/>
      <c r="G2221" s="383"/>
      <c r="H2221" s="383"/>
      <c r="I2221" s="385" t="b">
        <v>0</v>
      </c>
      <c r="J2221" s="386"/>
    </row>
    <row r="2222" spans="1:10">
      <c r="A2222" s="383"/>
      <c r="B2222" s="383"/>
      <c r="C2222" s="383"/>
      <c r="D2222" s="383"/>
      <c r="E2222" s="383"/>
      <c r="F2222" s="383"/>
      <c r="G2222" s="383"/>
      <c r="H2222" s="383"/>
      <c r="I2222" s="385" t="b">
        <v>0</v>
      </c>
      <c r="J2222" s="386"/>
    </row>
    <row r="2223" spans="1:10">
      <c r="A2223" s="383"/>
      <c r="B2223" s="383"/>
      <c r="C2223" s="383"/>
      <c r="D2223" s="383"/>
      <c r="E2223" s="383"/>
      <c r="F2223" s="383"/>
      <c r="G2223" s="383"/>
      <c r="H2223" s="383"/>
      <c r="I2223" s="385" t="b">
        <v>0</v>
      </c>
      <c r="J2223" s="386"/>
    </row>
    <row r="2224" spans="1:10">
      <c r="A2224" s="383"/>
      <c r="B2224" s="383"/>
      <c r="C2224" s="383"/>
      <c r="D2224" s="383"/>
      <c r="E2224" s="383"/>
      <c r="F2224" s="383"/>
      <c r="G2224" s="383"/>
      <c r="H2224" s="383"/>
      <c r="I2224" s="385" t="b">
        <v>0</v>
      </c>
      <c r="J2224" s="386"/>
    </row>
    <row r="2225" spans="1:10">
      <c r="A2225" s="383"/>
      <c r="B2225" s="383"/>
      <c r="C2225" s="383"/>
      <c r="D2225" s="383"/>
      <c r="E2225" s="383"/>
      <c r="F2225" s="383"/>
      <c r="G2225" s="383"/>
      <c r="H2225" s="383"/>
      <c r="I2225" s="385" t="b">
        <v>0</v>
      </c>
      <c r="J2225" s="386"/>
    </row>
    <row r="2226" spans="1:10">
      <c r="A2226" s="383"/>
      <c r="B2226" s="383"/>
      <c r="C2226" s="383"/>
      <c r="D2226" s="383"/>
      <c r="E2226" s="383"/>
      <c r="F2226" s="383"/>
      <c r="G2226" s="383"/>
      <c r="H2226" s="383"/>
      <c r="I2226" s="385" t="b">
        <v>0</v>
      </c>
      <c r="J2226" s="386"/>
    </row>
    <row r="2227" spans="1:10">
      <c r="A2227" s="383"/>
      <c r="B2227" s="383"/>
      <c r="C2227" s="383"/>
      <c r="D2227" s="383"/>
      <c r="E2227" s="383"/>
      <c r="F2227" s="383"/>
      <c r="G2227" s="383"/>
      <c r="H2227" s="383"/>
      <c r="I2227" s="385" t="b">
        <v>0</v>
      </c>
      <c r="J2227" s="386"/>
    </row>
    <row r="2228" spans="1:10">
      <c r="A2228" s="383"/>
      <c r="B2228" s="383"/>
      <c r="C2228" s="383"/>
      <c r="D2228" s="383"/>
      <c r="E2228" s="383"/>
      <c r="F2228" s="383"/>
      <c r="G2228" s="383"/>
      <c r="H2228" s="383"/>
      <c r="I2228" s="385" t="b">
        <v>0</v>
      </c>
      <c r="J2228" s="386"/>
    </row>
    <row r="2229" spans="1:10">
      <c r="A2229" s="383"/>
      <c r="B2229" s="383"/>
      <c r="C2229" s="383"/>
      <c r="D2229" s="383"/>
      <c r="E2229" s="383"/>
      <c r="F2229" s="383"/>
      <c r="G2229" s="383"/>
      <c r="H2229" s="383"/>
      <c r="I2229" s="385" t="b">
        <v>0</v>
      </c>
      <c r="J2229" s="386"/>
    </row>
    <row r="2230" spans="1:10">
      <c r="A2230" s="383"/>
      <c r="B2230" s="383"/>
      <c r="C2230" s="383"/>
      <c r="D2230" s="383"/>
      <c r="E2230" s="383"/>
      <c r="F2230" s="383"/>
      <c r="G2230" s="383"/>
      <c r="H2230" s="383"/>
      <c r="I2230" s="385" t="b">
        <v>0</v>
      </c>
      <c r="J2230" s="386"/>
    </row>
    <row r="2231" spans="1:10">
      <c r="A2231" s="383"/>
      <c r="B2231" s="383"/>
      <c r="C2231" s="383"/>
      <c r="D2231" s="383"/>
      <c r="E2231" s="383"/>
      <c r="F2231" s="383"/>
      <c r="G2231" s="383"/>
      <c r="H2231" s="383"/>
      <c r="I2231" s="385" t="b">
        <v>0</v>
      </c>
      <c r="J2231" s="386"/>
    </row>
    <row r="2232" spans="1:10">
      <c r="A2232" s="383"/>
      <c r="B2232" s="383"/>
      <c r="C2232" s="383"/>
      <c r="D2232" s="383"/>
      <c r="E2232" s="383"/>
      <c r="F2232" s="383"/>
      <c r="G2232" s="383"/>
      <c r="H2232" s="383"/>
      <c r="I2232" s="385" t="b">
        <v>0</v>
      </c>
      <c r="J2232" s="386"/>
    </row>
    <row r="2233" spans="1:10">
      <c r="A2233" s="383"/>
      <c r="B2233" s="383"/>
      <c r="C2233" s="383"/>
      <c r="D2233" s="383"/>
      <c r="E2233" s="383"/>
      <c r="F2233" s="383"/>
      <c r="G2233" s="383"/>
      <c r="H2233" s="383"/>
      <c r="I2233" s="385" t="b">
        <v>0</v>
      </c>
      <c r="J2233" s="386"/>
    </row>
    <row r="2234" spans="1:10">
      <c r="A2234" s="383"/>
      <c r="B2234" s="383"/>
      <c r="C2234" s="383"/>
      <c r="D2234" s="383"/>
      <c r="E2234" s="383"/>
      <c r="F2234" s="383"/>
      <c r="G2234" s="383"/>
      <c r="H2234" s="383"/>
      <c r="I2234" s="385" t="b">
        <v>0</v>
      </c>
      <c r="J2234" s="386"/>
    </row>
    <row r="2235" spans="1:10">
      <c r="A2235" s="383"/>
      <c r="B2235" s="383"/>
      <c r="C2235" s="383"/>
      <c r="D2235" s="383"/>
      <c r="E2235" s="383"/>
      <c r="F2235" s="383"/>
      <c r="G2235" s="383"/>
      <c r="H2235" s="383"/>
      <c r="I2235" s="385" t="b">
        <v>0</v>
      </c>
      <c r="J2235" s="386"/>
    </row>
    <row r="2236" spans="1:10">
      <c r="A2236" s="383"/>
      <c r="B2236" s="383"/>
      <c r="C2236" s="383"/>
      <c r="D2236" s="383"/>
      <c r="E2236" s="383"/>
      <c r="F2236" s="383"/>
      <c r="G2236" s="383"/>
      <c r="H2236" s="383"/>
      <c r="I2236" s="385" t="b">
        <v>0</v>
      </c>
      <c r="J2236" s="386"/>
    </row>
    <row r="2237" spans="1:10">
      <c r="A2237" s="383"/>
      <c r="B2237" s="383"/>
      <c r="C2237" s="383"/>
      <c r="D2237" s="383"/>
      <c r="E2237" s="383"/>
      <c r="F2237" s="383"/>
      <c r="G2237" s="383"/>
      <c r="H2237" s="383"/>
      <c r="I2237" s="385" t="b">
        <v>0</v>
      </c>
      <c r="J2237" s="386"/>
    </row>
    <row r="2238" spans="1:10">
      <c r="A2238" s="383"/>
      <c r="B2238" s="383"/>
      <c r="C2238" s="383"/>
      <c r="D2238" s="383"/>
      <c r="E2238" s="383"/>
      <c r="F2238" s="383"/>
      <c r="G2238" s="383"/>
      <c r="H2238" s="383"/>
      <c r="I2238" s="385" t="b">
        <v>0</v>
      </c>
      <c r="J2238" s="386"/>
    </row>
    <row r="2239" spans="1:10">
      <c r="A2239" s="383"/>
      <c r="B2239" s="383"/>
      <c r="C2239" s="383"/>
      <c r="D2239" s="383"/>
      <c r="E2239" s="383"/>
      <c r="F2239" s="383"/>
      <c r="G2239" s="383"/>
      <c r="H2239" s="383"/>
      <c r="I2239" s="385" t="b">
        <v>0</v>
      </c>
      <c r="J2239" s="386"/>
    </row>
    <row r="2240" spans="1:10">
      <c r="A2240" s="383"/>
      <c r="B2240" s="383"/>
      <c r="C2240" s="383"/>
      <c r="D2240" s="383"/>
      <c r="E2240" s="383"/>
      <c r="F2240" s="383"/>
      <c r="G2240" s="383"/>
      <c r="H2240" s="383"/>
      <c r="I2240" s="385" t="b">
        <v>0</v>
      </c>
      <c r="J2240" s="386"/>
    </row>
    <row r="2241" spans="1:10">
      <c r="A2241" s="383"/>
      <c r="B2241" s="383"/>
      <c r="C2241" s="383"/>
      <c r="D2241" s="383"/>
      <c r="E2241" s="383"/>
      <c r="F2241" s="383"/>
      <c r="G2241" s="383"/>
      <c r="H2241" s="383"/>
      <c r="I2241" s="385" t="b">
        <v>0</v>
      </c>
      <c r="J2241" s="386"/>
    </row>
    <row r="2242" spans="1:10">
      <c r="A2242" s="383"/>
      <c r="B2242" s="383"/>
      <c r="C2242" s="383"/>
      <c r="D2242" s="383"/>
      <c r="E2242" s="383"/>
      <c r="F2242" s="383"/>
      <c r="G2242" s="383"/>
      <c r="H2242" s="383"/>
      <c r="I2242" s="385" t="b">
        <v>0</v>
      </c>
      <c r="J2242" s="386"/>
    </row>
    <row r="2243" spans="1:10">
      <c r="A2243" s="383"/>
      <c r="B2243" s="383"/>
      <c r="C2243" s="383"/>
      <c r="D2243" s="383"/>
      <c r="E2243" s="383"/>
      <c r="F2243" s="383"/>
      <c r="G2243" s="383"/>
      <c r="H2243" s="383"/>
      <c r="I2243" s="385" t="b">
        <v>0</v>
      </c>
      <c r="J2243" s="386"/>
    </row>
    <row r="2244" spans="1:10">
      <c r="A2244" s="383"/>
      <c r="B2244" s="383"/>
      <c r="C2244" s="383"/>
      <c r="D2244" s="383"/>
      <c r="E2244" s="383"/>
      <c r="F2244" s="383"/>
      <c r="G2244" s="383"/>
      <c r="H2244" s="383"/>
      <c r="I2244" s="385" t="b">
        <v>0</v>
      </c>
      <c r="J2244" s="386"/>
    </row>
    <row r="2245" spans="1:10">
      <c r="A2245" s="383"/>
      <c r="B2245" s="383"/>
      <c r="C2245" s="383"/>
      <c r="D2245" s="383"/>
      <c r="E2245" s="383"/>
      <c r="F2245" s="383"/>
      <c r="G2245" s="383"/>
      <c r="H2245" s="383"/>
      <c r="I2245" s="385" t="b">
        <v>0</v>
      </c>
      <c r="J2245" s="386"/>
    </row>
    <row r="2246" spans="1:10">
      <c r="A2246" s="383"/>
      <c r="B2246" s="383"/>
      <c r="C2246" s="383"/>
      <c r="D2246" s="383"/>
      <c r="E2246" s="383"/>
      <c r="F2246" s="383"/>
      <c r="G2246" s="383"/>
      <c r="H2246" s="383"/>
      <c r="I2246" s="385" t="b">
        <v>0</v>
      </c>
      <c r="J2246" s="386"/>
    </row>
    <row r="2247" spans="1:10">
      <c r="A2247" s="383"/>
      <c r="B2247" s="383"/>
      <c r="C2247" s="383"/>
      <c r="D2247" s="383"/>
      <c r="E2247" s="383"/>
      <c r="F2247" s="383"/>
      <c r="G2247" s="383"/>
      <c r="H2247" s="383"/>
      <c r="I2247" s="385" t="b">
        <v>0</v>
      </c>
      <c r="J2247" s="386"/>
    </row>
    <row r="2248" spans="1:10">
      <c r="A2248" s="383"/>
      <c r="B2248" s="383"/>
      <c r="C2248" s="383"/>
      <c r="D2248" s="383"/>
      <c r="E2248" s="383"/>
      <c r="F2248" s="383"/>
      <c r="G2248" s="383"/>
      <c r="H2248" s="383"/>
      <c r="I2248" s="385" t="b">
        <v>0</v>
      </c>
      <c r="J2248" s="386"/>
    </row>
    <row r="2249" spans="1:10">
      <c r="A2249" s="383"/>
      <c r="B2249" s="383"/>
      <c r="C2249" s="383"/>
      <c r="D2249" s="383"/>
      <c r="E2249" s="383"/>
      <c r="F2249" s="383"/>
      <c r="G2249" s="383"/>
      <c r="H2249" s="383"/>
      <c r="I2249" s="385" t="b">
        <v>0</v>
      </c>
      <c r="J2249" s="386"/>
    </row>
    <row r="2250" spans="1:10">
      <c r="A2250" s="383"/>
      <c r="B2250" s="383"/>
      <c r="C2250" s="383"/>
      <c r="D2250" s="383"/>
      <c r="E2250" s="383"/>
      <c r="F2250" s="383"/>
      <c r="G2250" s="383"/>
      <c r="H2250" s="383"/>
      <c r="I2250" s="385" t="b">
        <v>0</v>
      </c>
      <c r="J2250" s="386"/>
    </row>
    <row r="2251" spans="1:10">
      <c r="A2251" s="383"/>
      <c r="B2251" s="383"/>
      <c r="C2251" s="383"/>
      <c r="D2251" s="383"/>
      <c r="E2251" s="383"/>
      <c r="F2251" s="383"/>
      <c r="G2251" s="383"/>
      <c r="H2251" s="383"/>
      <c r="I2251" s="385" t="b">
        <v>0</v>
      </c>
      <c r="J2251" s="386"/>
    </row>
    <row r="2252" spans="1:10">
      <c r="A2252" s="383"/>
      <c r="B2252" s="383"/>
      <c r="C2252" s="383"/>
      <c r="D2252" s="383"/>
      <c r="E2252" s="383"/>
      <c r="F2252" s="383"/>
      <c r="G2252" s="383"/>
      <c r="H2252" s="383"/>
      <c r="I2252" s="385" t="b">
        <v>0</v>
      </c>
      <c r="J2252" s="386"/>
    </row>
    <row r="2253" spans="1:10">
      <c r="A2253" s="383"/>
      <c r="B2253" s="383"/>
      <c r="C2253" s="383"/>
      <c r="D2253" s="383"/>
      <c r="E2253" s="383"/>
      <c r="F2253" s="383"/>
      <c r="G2253" s="383"/>
      <c r="H2253" s="383"/>
      <c r="I2253" s="385" t="b">
        <v>0</v>
      </c>
      <c r="J2253" s="386"/>
    </row>
    <row r="2254" spans="1:10">
      <c r="A2254" s="383"/>
      <c r="B2254" s="383"/>
      <c r="C2254" s="383"/>
      <c r="D2254" s="383"/>
      <c r="E2254" s="383"/>
      <c r="F2254" s="383"/>
      <c r="G2254" s="383"/>
      <c r="H2254" s="383"/>
      <c r="I2254" s="385" t="b">
        <v>0</v>
      </c>
      <c r="J2254" s="386"/>
    </row>
    <row r="2255" spans="1:10">
      <c r="A2255" s="383"/>
      <c r="B2255" s="383"/>
      <c r="C2255" s="383"/>
      <c r="D2255" s="383"/>
      <c r="E2255" s="383"/>
      <c r="F2255" s="383"/>
      <c r="G2255" s="383"/>
      <c r="H2255" s="383"/>
      <c r="I2255" s="385" t="b">
        <v>0</v>
      </c>
      <c r="J2255" s="386"/>
    </row>
    <row r="2256" spans="1:10">
      <c r="A2256" s="383"/>
      <c r="B2256" s="383"/>
      <c r="C2256" s="383"/>
      <c r="D2256" s="383"/>
      <c r="E2256" s="383"/>
      <c r="F2256" s="383"/>
      <c r="G2256" s="383"/>
      <c r="H2256" s="383"/>
      <c r="I2256" s="385" t="b">
        <v>0</v>
      </c>
      <c r="J2256" s="386"/>
    </row>
    <row r="2257" spans="1:10">
      <c r="A2257" s="383"/>
      <c r="B2257" s="383"/>
      <c r="C2257" s="383"/>
      <c r="D2257" s="383"/>
      <c r="E2257" s="383"/>
      <c r="F2257" s="383"/>
      <c r="G2257" s="383"/>
      <c r="H2257" s="383"/>
      <c r="I2257" s="385" t="b">
        <v>0</v>
      </c>
      <c r="J2257" s="386"/>
    </row>
    <row r="2258" spans="1:10">
      <c r="A2258" s="383"/>
      <c r="B2258" s="383"/>
      <c r="C2258" s="383"/>
      <c r="D2258" s="383"/>
      <c r="E2258" s="383"/>
      <c r="F2258" s="383"/>
      <c r="G2258" s="383"/>
      <c r="H2258" s="383"/>
      <c r="I2258" s="385" t="b">
        <v>0</v>
      </c>
      <c r="J2258" s="386"/>
    </row>
    <row r="2259" spans="1:10">
      <c r="A2259" s="383"/>
      <c r="B2259" s="383"/>
      <c r="C2259" s="383"/>
      <c r="D2259" s="383"/>
      <c r="E2259" s="383"/>
      <c r="F2259" s="383"/>
      <c r="G2259" s="383"/>
      <c r="H2259" s="383"/>
      <c r="I2259" s="385" t="b">
        <v>0</v>
      </c>
      <c r="J2259" s="386"/>
    </row>
    <row r="2260" spans="1:10">
      <c r="A2260" s="383"/>
      <c r="B2260" s="383"/>
      <c r="C2260" s="383"/>
      <c r="D2260" s="383"/>
      <c r="E2260" s="383"/>
      <c r="F2260" s="383"/>
      <c r="G2260" s="383"/>
      <c r="H2260" s="383"/>
      <c r="I2260" s="385" t="b">
        <v>0</v>
      </c>
      <c r="J2260" s="386"/>
    </row>
    <row r="2261" spans="1:10">
      <c r="A2261" s="383"/>
      <c r="B2261" s="383"/>
      <c r="C2261" s="383"/>
      <c r="D2261" s="383"/>
      <c r="E2261" s="383"/>
      <c r="F2261" s="383"/>
      <c r="G2261" s="383"/>
      <c r="H2261" s="383"/>
      <c r="I2261" s="385" t="b">
        <v>0</v>
      </c>
      <c r="J2261" s="386"/>
    </row>
    <row r="2262" spans="1:10">
      <c r="A2262" s="383"/>
      <c r="B2262" s="383"/>
      <c r="C2262" s="383"/>
      <c r="D2262" s="383"/>
      <c r="E2262" s="383"/>
      <c r="F2262" s="383"/>
      <c r="G2262" s="383"/>
      <c r="H2262" s="383"/>
      <c r="I2262" s="385" t="b">
        <v>0</v>
      </c>
      <c r="J2262" s="386"/>
    </row>
    <row r="2263" spans="1:10">
      <c r="A2263" s="383"/>
      <c r="B2263" s="383"/>
      <c r="C2263" s="383"/>
      <c r="D2263" s="383"/>
      <c r="E2263" s="383"/>
      <c r="F2263" s="383"/>
      <c r="G2263" s="383"/>
      <c r="H2263" s="383"/>
      <c r="I2263" s="385" t="b">
        <v>0</v>
      </c>
      <c r="J2263" s="386"/>
    </row>
    <row r="2264" spans="1:10">
      <c r="A2264" s="383"/>
      <c r="B2264" s="383"/>
      <c r="C2264" s="383"/>
      <c r="D2264" s="383"/>
      <c r="E2264" s="383"/>
      <c r="F2264" s="383"/>
      <c r="G2264" s="383"/>
      <c r="H2264" s="383"/>
      <c r="I2264" s="385" t="b">
        <v>0</v>
      </c>
      <c r="J2264" s="386"/>
    </row>
    <row r="2265" spans="1:10">
      <c r="A2265" s="383"/>
      <c r="B2265" s="383"/>
      <c r="C2265" s="383"/>
      <c r="D2265" s="383"/>
      <c r="E2265" s="383"/>
      <c r="F2265" s="383"/>
      <c r="G2265" s="383"/>
      <c r="H2265" s="383"/>
      <c r="I2265" s="385" t="b">
        <v>0</v>
      </c>
      <c r="J2265" s="386"/>
    </row>
    <row r="2266" spans="1:10">
      <c r="A2266" s="383"/>
      <c r="B2266" s="383"/>
      <c r="C2266" s="383"/>
      <c r="D2266" s="383"/>
      <c r="E2266" s="383"/>
      <c r="F2266" s="383"/>
      <c r="G2266" s="383"/>
      <c r="H2266" s="383"/>
      <c r="I2266" s="385" t="b">
        <v>0</v>
      </c>
      <c r="J2266" s="386"/>
    </row>
    <row r="2267" spans="1:10">
      <c r="A2267" s="383"/>
      <c r="B2267" s="383"/>
      <c r="C2267" s="383"/>
      <c r="D2267" s="383"/>
      <c r="E2267" s="383"/>
      <c r="F2267" s="383"/>
      <c r="G2267" s="383"/>
      <c r="H2267" s="383"/>
      <c r="I2267" s="385" t="b">
        <v>0</v>
      </c>
      <c r="J2267" s="386"/>
    </row>
    <row r="2268" spans="1:10">
      <c r="A2268" s="383"/>
      <c r="B2268" s="383"/>
      <c r="C2268" s="383"/>
      <c r="D2268" s="383"/>
      <c r="E2268" s="383"/>
      <c r="F2268" s="383"/>
      <c r="G2268" s="383"/>
      <c r="H2268" s="383"/>
      <c r="I2268" s="385" t="b">
        <v>0</v>
      </c>
      <c r="J2268" s="386"/>
    </row>
    <row r="2269" spans="1:10">
      <c r="A2269" s="383"/>
      <c r="B2269" s="383"/>
      <c r="C2269" s="383"/>
      <c r="D2269" s="383"/>
      <c r="E2269" s="383"/>
      <c r="F2269" s="383"/>
      <c r="G2269" s="383"/>
      <c r="H2269" s="383"/>
      <c r="I2269" s="385" t="b">
        <v>0</v>
      </c>
      <c r="J2269" s="386"/>
    </row>
    <row r="2270" spans="1:10">
      <c r="A2270" s="383"/>
      <c r="B2270" s="383"/>
      <c r="C2270" s="383"/>
      <c r="D2270" s="383"/>
      <c r="E2270" s="383"/>
      <c r="F2270" s="383"/>
      <c r="G2270" s="383"/>
      <c r="H2270" s="383"/>
      <c r="I2270" s="385" t="b">
        <v>0</v>
      </c>
      <c r="J2270" s="386"/>
    </row>
    <row r="2271" spans="1:10">
      <c r="A2271" s="383"/>
      <c r="B2271" s="383"/>
      <c r="C2271" s="383"/>
      <c r="D2271" s="383"/>
      <c r="E2271" s="383"/>
      <c r="F2271" s="383"/>
      <c r="G2271" s="383"/>
      <c r="H2271" s="383"/>
      <c r="I2271" s="385" t="b">
        <v>0</v>
      </c>
      <c r="J2271" s="386"/>
    </row>
    <row r="2272" spans="1:10">
      <c r="A2272" s="383"/>
      <c r="B2272" s="383"/>
      <c r="C2272" s="383"/>
      <c r="D2272" s="383"/>
      <c r="E2272" s="383"/>
      <c r="F2272" s="383"/>
      <c r="G2272" s="383"/>
      <c r="H2272" s="383"/>
      <c r="I2272" s="385" t="b">
        <v>0</v>
      </c>
      <c r="J2272" s="386"/>
    </row>
    <row r="2273" spans="1:10">
      <c r="A2273" s="383"/>
      <c r="B2273" s="383"/>
      <c r="C2273" s="383"/>
      <c r="D2273" s="383"/>
      <c r="E2273" s="383"/>
      <c r="F2273" s="383"/>
      <c r="G2273" s="383"/>
      <c r="H2273" s="383"/>
      <c r="I2273" s="385" t="b">
        <v>0</v>
      </c>
      <c r="J2273" s="386"/>
    </row>
    <row r="2274" spans="1:10">
      <c r="A2274" s="383"/>
      <c r="B2274" s="383"/>
      <c r="C2274" s="383"/>
      <c r="D2274" s="383"/>
      <c r="E2274" s="383"/>
      <c r="F2274" s="383"/>
      <c r="G2274" s="383"/>
      <c r="H2274" s="383"/>
      <c r="I2274" s="385" t="b">
        <v>0</v>
      </c>
      <c r="J2274" s="386"/>
    </row>
    <row r="2275" spans="1:10">
      <c r="A2275" s="383"/>
      <c r="B2275" s="383"/>
      <c r="C2275" s="383"/>
      <c r="D2275" s="383"/>
      <c r="E2275" s="383"/>
      <c r="F2275" s="383"/>
      <c r="G2275" s="383"/>
      <c r="H2275" s="383"/>
      <c r="I2275" s="385" t="b">
        <v>0</v>
      </c>
      <c r="J2275" s="386"/>
    </row>
    <row r="2276" spans="1:10">
      <c r="A2276" s="383"/>
      <c r="B2276" s="383"/>
      <c r="C2276" s="383"/>
      <c r="D2276" s="383"/>
      <c r="E2276" s="383"/>
      <c r="F2276" s="383"/>
      <c r="G2276" s="383"/>
      <c r="H2276" s="383"/>
      <c r="I2276" s="385" t="b">
        <v>0</v>
      </c>
      <c r="J2276" s="386"/>
    </row>
    <row r="2277" spans="1:10">
      <c r="A2277" s="383"/>
      <c r="B2277" s="383"/>
      <c r="C2277" s="383"/>
      <c r="D2277" s="383"/>
      <c r="E2277" s="383"/>
      <c r="F2277" s="383"/>
      <c r="G2277" s="383"/>
      <c r="H2277" s="383"/>
      <c r="I2277" s="385" t="b">
        <v>0</v>
      </c>
      <c r="J2277" s="386"/>
    </row>
    <row r="2278" spans="1:10">
      <c r="A2278" s="383"/>
      <c r="B2278" s="383"/>
      <c r="C2278" s="383"/>
      <c r="D2278" s="383"/>
      <c r="E2278" s="383"/>
      <c r="F2278" s="383"/>
      <c r="G2278" s="383"/>
      <c r="H2278" s="383"/>
      <c r="I2278" s="385" t="b">
        <v>0</v>
      </c>
      <c r="J2278" s="386"/>
    </row>
    <row r="2279" spans="1:10">
      <c r="A2279" s="383"/>
      <c r="B2279" s="383"/>
      <c r="C2279" s="383"/>
      <c r="D2279" s="383"/>
      <c r="E2279" s="383"/>
      <c r="F2279" s="383"/>
      <c r="G2279" s="383"/>
      <c r="H2279" s="383"/>
      <c r="I2279" s="385" t="b">
        <v>0</v>
      </c>
      <c r="J2279" s="386"/>
    </row>
    <row r="2280" spans="1:10">
      <c r="A2280" s="383"/>
      <c r="B2280" s="383"/>
      <c r="C2280" s="383"/>
      <c r="D2280" s="383"/>
      <c r="E2280" s="383"/>
      <c r="F2280" s="383"/>
      <c r="G2280" s="383"/>
      <c r="H2280" s="383"/>
      <c r="I2280" s="385" t="b">
        <v>0</v>
      </c>
      <c r="J2280" s="386"/>
    </row>
    <row r="2281" spans="1:10">
      <c r="A2281" s="383"/>
      <c r="B2281" s="383"/>
      <c r="C2281" s="383"/>
      <c r="D2281" s="383"/>
      <c r="E2281" s="383"/>
      <c r="F2281" s="383"/>
      <c r="G2281" s="383"/>
      <c r="H2281" s="383"/>
      <c r="I2281" s="385" t="b">
        <v>0</v>
      </c>
      <c r="J2281" s="386"/>
    </row>
    <row r="2282" spans="1:10">
      <c r="A2282" s="383"/>
      <c r="B2282" s="383"/>
      <c r="C2282" s="383"/>
      <c r="D2282" s="383"/>
      <c r="E2282" s="383"/>
      <c r="F2282" s="383"/>
      <c r="G2282" s="383"/>
      <c r="H2282" s="383"/>
      <c r="I2282" s="385" t="b">
        <v>0</v>
      </c>
      <c r="J2282" s="386"/>
    </row>
    <row r="2283" spans="1:10">
      <c r="A2283" s="383"/>
      <c r="B2283" s="383"/>
      <c r="C2283" s="383"/>
      <c r="D2283" s="383"/>
      <c r="E2283" s="383"/>
      <c r="F2283" s="383"/>
      <c r="G2283" s="383"/>
      <c r="H2283" s="383"/>
      <c r="I2283" s="385" t="b">
        <v>0</v>
      </c>
      <c r="J2283" s="386"/>
    </row>
    <row r="2284" spans="1:10">
      <c r="A2284" s="383"/>
      <c r="B2284" s="383"/>
      <c r="C2284" s="383"/>
      <c r="D2284" s="383"/>
      <c r="E2284" s="383"/>
      <c r="F2284" s="383"/>
      <c r="G2284" s="383"/>
      <c r="H2284" s="383"/>
      <c r="I2284" s="385" t="b">
        <v>0</v>
      </c>
      <c r="J2284" s="386"/>
    </row>
    <row r="2285" spans="1:10">
      <c r="A2285" s="383"/>
      <c r="B2285" s="383"/>
      <c r="C2285" s="383"/>
      <c r="D2285" s="383"/>
      <c r="E2285" s="383"/>
      <c r="F2285" s="383"/>
      <c r="G2285" s="383"/>
      <c r="H2285" s="383"/>
      <c r="I2285" s="385" t="b">
        <v>0</v>
      </c>
      <c r="J2285" s="386"/>
    </row>
    <row r="2286" spans="1:10">
      <c r="A2286" s="383"/>
      <c r="B2286" s="383"/>
      <c r="C2286" s="383"/>
      <c r="D2286" s="383"/>
      <c r="E2286" s="383"/>
      <c r="F2286" s="383"/>
      <c r="G2286" s="383"/>
      <c r="H2286" s="383"/>
      <c r="I2286" s="385" t="b">
        <v>0</v>
      </c>
      <c r="J2286" s="386"/>
    </row>
    <row r="2287" spans="1:10">
      <c r="A2287" s="383"/>
      <c r="B2287" s="383"/>
      <c r="C2287" s="383"/>
      <c r="D2287" s="383"/>
      <c r="E2287" s="383"/>
      <c r="F2287" s="383"/>
      <c r="G2287" s="383"/>
      <c r="H2287" s="383"/>
      <c r="I2287" s="385" t="b">
        <v>0</v>
      </c>
      <c r="J2287" s="386"/>
    </row>
    <row r="2288" spans="1:10">
      <c r="A2288" s="383"/>
      <c r="B2288" s="383"/>
      <c r="C2288" s="383"/>
      <c r="D2288" s="383"/>
      <c r="E2288" s="383"/>
      <c r="F2288" s="383"/>
      <c r="G2288" s="383"/>
      <c r="H2288" s="383"/>
      <c r="I2288" s="385" t="b">
        <v>0</v>
      </c>
      <c r="J2288" s="386"/>
    </row>
    <row r="2289" spans="1:10">
      <c r="A2289" s="383"/>
      <c r="B2289" s="383"/>
      <c r="C2289" s="383"/>
      <c r="D2289" s="383"/>
      <c r="E2289" s="383"/>
      <c r="F2289" s="383"/>
      <c r="G2289" s="383"/>
      <c r="H2289" s="383"/>
      <c r="I2289" s="385" t="b">
        <v>0</v>
      </c>
      <c r="J2289" s="386"/>
    </row>
    <row r="2290" spans="1:10">
      <c r="A2290" s="383"/>
      <c r="B2290" s="383"/>
      <c r="C2290" s="383"/>
      <c r="D2290" s="383"/>
      <c r="E2290" s="383"/>
      <c r="F2290" s="383"/>
      <c r="G2290" s="383"/>
      <c r="H2290" s="383"/>
      <c r="I2290" s="385" t="b">
        <v>0</v>
      </c>
      <c r="J2290" s="386"/>
    </row>
    <row r="2291" spans="1:10">
      <c r="A2291" s="383"/>
      <c r="B2291" s="383"/>
      <c r="C2291" s="383"/>
      <c r="D2291" s="383"/>
      <c r="E2291" s="383"/>
      <c r="F2291" s="383"/>
      <c r="G2291" s="383"/>
      <c r="H2291" s="383"/>
      <c r="I2291" s="385" t="b">
        <v>0</v>
      </c>
      <c r="J2291" s="386"/>
    </row>
    <row r="2292" spans="1:10">
      <c r="A2292" s="383"/>
      <c r="B2292" s="383"/>
      <c r="C2292" s="383"/>
      <c r="D2292" s="383"/>
      <c r="E2292" s="383"/>
      <c r="F2292" s="383"/>
      <c r="G2292" s="383"/>
      <c r="H2292" s="383"/>
      <c r="I2292" s="385" t="b">
        <v>0</v>
      </c>
      <c r="J2292" s="386"/>
    </row>
    <row r="2293" spans="1:10">
      <c r="A2293" s="383"/>
      <c r="B2293" s="383"/>
      <c r="C2293" s="383"/>
      <c r="D2293" s="383"/>
      <c r="E2293" s="383"/>
      <c r="F2293" s="383"/>
      <c r="G2293" s="383"/>
      <c r="H2293" s="383"/>
      <c r="I2293" s="385" t="b">
        <v>0</v>
      </c>
      <c r="J2293" s="386"/>
    </row>
    <row r="2294" spans="1:10">
      <c r="A2294" s="383"/>
      <c r="B2294" s="383"/>
      <c r="C2294" s="383"/>
      <c r="D2294" s="383"/>
      <c r="E2294" s="383"/>
      <c r="F2294" s="383"/>
      <c r="G2294" s="383"/>
      <c r="H2294" s="383"/>
      <c r="I2294" s="385" t="b">
        <v>0</v>
      </c>
      <c r="J2294" s="386"/>
    </row>
    <row r="2295" spans="1:10">
      <c r="A2295" s="383"/>
      <c r="B2295" s="383"/>
      <c r="C2295" s="383"/>
      <c r="D2295" s="383"/>
      <c r="E2295" s="383"/>
      <c r="F2295" s="383"/>
      <c r="G2295" s="383"/>
      <c r="H2295" s="383"/>
      <c r="I2295" s="385" t="b">
        <v>0</v>
      </c>
      <c r="J2295" s="386"/>
    </row>
    <row r="2296" spans="1:10">
      <c r="A2296" s="383"/>
      <c r="B2296" s="383"/>
      <c r="C2296" s="383"/>
      <c r="D2296" s="383"/>
      <c r="E2296" s="383"/>
      <c r="F2296" s="383"/>
      <c r="G2296" s="383"/>
      <c r="H2296" s="383"/>
      <c r="I2296" s="385" t="b">
        <v>0</v>
      </c>
      <c r="J2296" s="386"/>
    </row>
    <row r="2297" spans="1:10">
      <c r="A2297" s="383"/>
      <c r="B2297" s="383"/>
      <c r="C2297" s="383"/>
      <c r="D2297" s="383"/>
      <c r="E2297" s="383"/>
      <c r="F2297" s="383"/>
      <c r="G2297" s="383"/>
      <c r="H2297" s="383"/>
      <c r="I2297" s="385" t="b">
        <v>0</v>
      </c>
      <c r="J2297" s="386"/>
    </row>
    <row r="2298" spans="1:10">
      <c r="A2298" s="383"/>
      <c r="B2298" s="383"/>
      <c r="C2298" s="383"/>
      <c r="D2298" s="383"/>
      <c r="E2298" s="383"/>
      <c r="F2298" s="383"/>
      <c r="G2298" s="383"/>
      <c r="H2298" s="383"/>
      <c r="I2298" s="385" t="b">
        <v>0</v>
      </c>
      <c r="J2298" s="386"/>
    </row>
    <row r="2299" spans="1:10">
      <c r="A2299" s="383"/>
      <c r="B2299" s="383"/>
      <c r="C2299" s="383"/>
      <c r="D2299" s="383"/>
      <c r="E2299" s="383"/>
      <c r="F2299" s="383"/>
      <c r="G2299" s="383"/>
      <c r="H2299" s="383"/>
      <c r="I2299" s="385" t="b">
        <v>0</v>
      </c>
      <c r="J2299" s="386"/>
    </row>
    <row r="2300" spans="1:10">
      <c r="A2300" s="383"/>
      <c r="B2300" s="383"/>
      <c r="C2300" s="383"/>
      <c r="D2300" s="383"/>
      <c r="E2300" s="383"/>
      <c r="F2300" s="383"/>
      <c r="G2300" s="383"/>
      <c r="H2300" s="383"/>
      <c r="I2300" s="385" t="b">
        <v>0</v>
      </c>
      <c r="J2300" s="386"/>
    </row>
    <row r="2301" spans="1:10">
      <c r="A2301" s="383"/>
      <c r="B2301" s="383"/>
      <c r="C2301" s="383"/>
      <c r="D2301" s="383"/>
      <c r="E2301" s="383"/>
      <c r="F2301" s="383"/>
      <c r="G2301" s="383"/>
      <c r="H2301" s="383"/>
      <c r="I2301" s="385" t="b">
        <v>0</v>
      </c>
      <c r="J2301" s="386"/>
    </row>
    <row r="2302" spans="1:10">
      <c r="A2302" s="383"/>
      <c r="B2302" s="383"/>
      <c r="C2302" s="383"/>
      <c r="D2302" s="383"/>
      <c r="E2302" s="383"/>
      <c r="F2302" s="383"/>
      <c r="G2302" s="383"/>
      <c r="H2302" s="383"/>
      <c r="I2302" s="385" t="b">
        <v>0</v>
      </c>
      <c r="J2302" s="386"/>
    </row>
    <row r="2303" spans="1:10">
      <c r="A2303" s="383"/>
      <c r="B2303" s="383"/>
      <c r="C2303" s="383"/>
      <c r="D2303" s="383"/>
      <c r="E2303" s="383"/>
      <c r="F2303" s="383"/>
      <c r="G2303" s="383"/>
      <c r="H2303" s="383"/>
      <c r="I2303" s="385" t="b">
        <v>0</v>
      </c>
      <c r="J2303" s="386"/>
    </row>
    <row r="2304" spans="1:10">
      <c r="A2304" s="383"/>
      <c r="B2304" s="383"/>
      <c r="C2304" s="383"/>
      <c r="D2304" s="383"/>
      <c r="E2304" s="383"/>
      <c r="F2304" s="383"/>
      <c r="G2304" s="383"/>
      <c r="H2304" s="383"/>
      <c r="I2304" s="385" t="b">
        <v>0</v>
      </c>
      <c r="J2304" s="386"/>
    </row>
    <row r="2305" spans="1:10">
      <c r="A2305" s="383"/>
      <c r="B2305" s="383"/>
      <c r="C2305" s="383"/>
      <c r="D2305" s="383"/>
      <c r="E2305" s="383"/>
      <c r="F2305" s="383"/>
      <c r="G2305" s="383"/>
      <c r="H2305" s="383"/>
      <c r="I2305" s="385" t="b">
        <v>0</v>
      </c>
      <c r="J2305" s="386"/>
    </row>
    <row r="2306" spans="1:10">
      <c r="A2306" s="383"/>
      <c r="B2306" s="383"/>
      <c r="C2306" s="383"/>
      <c r="D2306" s="383"/>
      <c r="E2306" s="383"/>
      <c r="F2306" s="383"/>
      <c r="G2306" s="383"/>
      <c r="H2306" s="383"/>
      <c r="I2306" s="385" t="b">
        <v>0</v>
      </c>
      <c r="J2306" s="386"/>
    </row>
    <row r="2307" spans="1:10">
      <c r="A2307" s="383"/>
      <c r="B2307" s="383"/>
      <c r="C2307" s="383"/>
      <c r="D2307" s="383"/>
      <c r="E2307" s="383"/>
      <c r="F2307" s="383"/>
      <c r="G2307" s="383"/>
      <c r="H2307" s="383"/>
      <c r="I2307" s="385" t="b">
        <v>0</v>
      </c>
      <c r="J2307" s="386"/>
    </row>
    <row r="2308" spans="1:10">
      <c r="A2308" s="383"/>
      <c r="B2308" s="383"/>
      <c r="C2308" s="383"/>
      <c r="D2308" s="383"/>
      <c r="E2308" s="383"/>
      <c r="F2308" s="383"/>
      <c r="G2308" s="383"/>
      <c r="H2308" s="383"/>
      <c r="I2308" s="385" t="b">
        <v>0</v>
      </c>
      <c r="J2308" s="386"/>
    </row>
    <row r="2309" spans="1:10">
      <c r="A2309" s="383"/>
      <c r="B2309" s="383"/>
      <c r="C2309" s="383"/>
      <c r="D2309" s="383"/>
      <c r="E2309" s="383"/>
      <c r="F2309" s="383"/>
      <c r="G2309" s="383"/>
      <c r="H2309" s="383"/>
      <c r="I2309" s="385" t="b">
        <v>0</v>
      </c>
      <c r="J2309" s="386"/>
    </row>
    <row r="2310" spans="1:10">
      <c r="A2310" s="383"/>
      <c r="B2310" s="383"/>
      <c r="C2310" s="383"/>
      <c r="D2310" s="383"/>
      <c r="E2310" s="383"/>
      <c r="F2310" s="383"/>
      <c r="G2310" s="383"/>
      <c r="H2310" s="383"/>
      <c r="I2310" s="385" t="b">
        <v>0</v>
      </c>
      <c r="J2310" s="386"/>
    </row>
    <row r="2311" spans="1:10">
      <c r="A2311" s="383"/>
      <c r="B2311" s="383"/>
      <c r="C2311" s="383"/>
      <c r="D2311" s="383"/>
      <c r="E2311" s="383"/>
      <c r="F2311" s="383"/>
      <c r="G2311" s="383"/>
      <c r="H2311" s="383"/>
      <c r="I2311" s="385" t="b">
        <v>0</v>
      </c>
      <c r="J2311" s="386"/>
    </row>
    <row r="2312" spans="1:10">
      <c r="A2312" s="383"/>
      <c r="B2312" s="383"/>
      <c r="C2312" s="383"/>
      <c r="D2312" s="383"/>
      <c r="E2312" s="383"/>
      <c r="F2312" s="383"/>
      <c r="G2312" s="383"/>
      <c r="H2312" s="383"/>
      <c r="I2312" s="385" t="b">
        <v>0</v>
      </c>
      <c r="J2312" s="386"/>
    </row>
    <row r="2313" spans="1:10">
      <c r="A2313" s="383"/>
      <c r="B2313" s="383"/>
      <c r="C2313" s="383"/>
      <c r="D2313" s="383"/>
      <c r="E2313" s="383"/>
      <c r="F2313" s="383"/>
      <c r="G2313" s="383"/>
      <c r="H2313" s="383"/>
      <c r="I2313" s="385" t="b">
        <v>0</v>
      </c>
      <c r="J2313" s="386"/>
    </row>
    <row r="2314" spans="1:10">
      <c r="A2314" s="383"/>
      <c r="B2314" s="383"/>
      <c r="C2314" s="383"/>
      <c r="D2314" s="383"/>
      <c r="E2314" s="383"/>
      <c r="F2314" s="383"/>
      <c r="G2314" s="383"/>
      <c r="H2314" s="383"/>
      <c r="I2314" s="385" t="b">
        <v>0</v>
      </c>
      <c r="J2314" s="386"/>
    </row>
    <row r="2315" spans="1:10">
      <c r="A2315" s="383"/>
      <c r="B2315" s="383"/>
      <c r="C2315" s="383"/>
      <c r="D2315" s="383"/>
      <c r="E2315" s="383"/>
      <c r="F2315" s="383"/>
      <c r="G2315" s="383"/>
      <c r="H2315" s="383"/>
      <c r="I2315" s="385" t="b">
        <v>0</v>
      </c>
      <c r="J2315" s="386"/>
    </row>
    <row r="2316" spans="1:10">
      <c r="A2316" s="383"/>
      <c r="B2316" s="383"/>
      <c r="C2316" s="383"/>
      <c r="D2316" s="383"/>
      <c r="E2316" s="383"/>
      <c r="F2316" s="383"/>
      <c r="G2316" s="383"/>
      <c r="H2316" s="383"/>
      <c r="I2316" s="385" t="b">
        <v>0</v>
      </c>
      <c r="J2316" s="386"/>
    </row>
    <row r="2317" spans="1:10">
      <c r="A2317" s="383"/>
      <c r="B2317" s="383"/>
      <c r="C2317" s="383"/>
      <c r="D2317" s="383"/>
      <c r="E2317" s="383"/>
      <c r="F2317" s="383"/>
      <c r="G2317" s="383"/>
      <c r="H2317" s="383"/>
      <c r="I2317" s="385" t="b">
        <v>0</v>
      </c>
      <c r="J2317" s="386"/>
    </row>
    <row r="2318" spans="1:10">
      <c r="A2318" s="383"/>
      <c r="B2318" s="383"/>
      <c r="C2318" s="383"/>
      <c r="D2318" s="383"/>
      <c r="E2318" s="383"/>
      <c r="F2318" s="383"/>
      <c r="G2318" s="383"/>
      <c r="H2318" s="383"/>
      <c r="I2318" s="385" t="b">
        <v>0</v>
      </c>
      <c r="J2318" s="386"/>
    </row>
    <row r="2319" spans="1:10">
      <c r="A2319" s="383"/>
      <c r="B2319" s="383"/>
      <c r="C2319" s="383"/>
      <c r="D2319" s="383"/>
      <c r="E2319" s="383"/>
      <c r="F2319" s="383"/>
      <c r="G2319" s="383"/>
      <c r="H2319" s="383"/>
      <c r="I2319" s="385" t="b">
        <v>0</v>
      </c>
      <c r="J2319" s="386"/>
    </row>
    <row r="2320" spans="1:10">
      <c r="A2320" s="383"/>
      <c r="B2320" s="383"/>
      <c r="C2320" s="383"/>
      <c r="D2320" s="383"/>
      <c r="E2320" s="383"/>
      <c r="F2320" s="383"/>
      <c r="G2320" s="383"/>
      <c r="H2320" s="383"/>
      <c r="I2320" s="385" t="b">
        <v>0</v>
      </c>
      <c r="J2320" s="386"/>
    </row>
    <row r="2321" spans="1:10">
      <c r="A2321" s="383"/>
      <c r="B2321" s="383"/>
      <c r="C2321" s="383"/>
      <c r="D2321" s="383"/>
      <c r="E2321" s="383"/>
      <c r="F2321" s="383"/>
      <c r="G2321" s="383"/>
      <c r="H2321" s="383"/>
      <c r="I2321" s="385" t="b">
        <v>0</v>
      </c>
      <c r="J2321" s="386"/>
    </row>
    <row r="2322" spans="1:10">
      <c r="A2322" s="383"/>
      <c r="B2322" s="383"/>
      <c r="C2322" s="383"/>
      <c r="D2322" s="383"/>
      <c r="E2322" s="383"/>
      <c r="F2322" s="383"/>
      <c r="G2322" s="383"/>
      <c r="H2322" s="383"/>
      <c r="I2322" s="385" t="b">
        <v>0</v>
      </c>
      <c r="J2322" s="386"/>
    </row>
    <row r="2323" spans="1:10">
      <c r="A2323" s="383"/>
      <c r="B2323" s="383"/>
      <c r="C2323" s="383"/>
      <c r="D2323" s="383"/>
      <c r="E2323" s="383"/>
      <c r="F2323" s="383"/>
      <c r="G2323" s="383"/>
      <c r="H2323" s="383"/>
      <c r="I2323" s="385" t="b">
        <v>0</v>
      </c>
      <c r="J2323" s="386"/>
    </row>
    <row r="2324" spans="1:10">
      <c r="A2324" s="383"/>
      <c r="B2324" s="383"/>
      <c r="C2324" s="383"/>
      <c r="D2324" s="383"/>
      <c r="E2324" s="383"/>
      <c r="F2324" s="383"/>
      <c r="G2324" s="383"/>
      <c r="H2324" s="383"/>
      <c r="I2324" s="385" t="b">
        <v>0</v>
      </c>
      <c r="J2324" s="386"/>
    </row>
    <row r="2325" spans="1:10">
      <c r="A2325" s="383"/>
      <c r="B2325" s="383"/>
      <c r="C2325" s="383"/>
      <c r="D2325" s="383"/>
      <c r="E2325" s="383"/>
      <c r="F2325" s="383"/>
      <c r="G2325" s="383"/>
      <c r="H2325" s="383"/>
      <c r="I2325" s="385" t="b">
        <v>0</v>
      </c>
      <c r="J2325" s="386"/>
    </row>
    <row r="2326" spans="1:10">
      <c r="A2326" s="383"/>
      <c r="B2326" s="383"/>
      <c r="C2326" s="383"/>
      <c r="D2326" s="383"/>
      <c r="E2326" s="383"/>
      <c r="F2326" s="383"/>
      <c r="G2326" s="383"/>
      <c r="H2326" s="383"/>
      <c r="I2326" s="385" t="b">
        <v>0</v>
      </c>
      <c r="J2326" s="386"/>
    </row>
    <row r="2327" spans="1:10">
      <c r="A2327" s="383"/>
      <c r="B2327" s="383"/>
      <c r="C2327" s="383"/>
      <c r="D2327" s="383"/>
      <c r="E2327" s="383"/>
      <c r="F2327" s="383"/>
      <c r="G2327" s="383"/>
      <c r="H2327" s="383"/>
      <c r="I2327" s="385" t="b">
        <v>0</v>
      </c>
      <c r="J2327" s="386"/>
    </row>
    <row r="2328" spans="1:10">
      <c r="A2328" s="383"/>
      <c r="B2328" s="383"/>
      <c r="C2328" s="383"/>
      <c r="D2328" s="383"/>
      <c r="E2328" s="383"/>
      <c r="F2328" s="383"/>
      <c r="G2328" s="383"/>
      <c r="H2328" s="383"/>
      <c r="I2328" s="385" t="b">
        <v>0</v>
      </c>
      <c r="J2328" s="386"/>
    </row>
    <row r="2329" spans="1:10">
      <c r="A2329" s="383"/>
      <c r="B2329" s="383"/>
      <c r="C2329" s="383"/>
      <c r="D2329" s="383"/>
      <c r="E2329" s="383"/>
      <c r="F2329" s="383"/>
      <c r="G2329" s="383"/>
      <c r="H2329" s="383"/>
      <c r="I2329" s="385" t="b">
        <v>0</v>
      </c>
      <c r="J2329" s="386"/>
    </row>
    <row r="2330" spans="1:10">
      <c r="A2330" s="383"/>
      <c r="B2330" s="383"/>
      <c r="C2330" s="383"/>
      <c r="D2330" s="383"/>
      <c r="E2330" s="383"/>
      <c r="F2330" s="383"/>
      <c r="G2330" s="383"/>
      <c r="H2330" s="383"/>
      <c r="I2330" s="385" t="b">
        <v>0</v>
      </c>
      <c r="J2330" s="386"/>
    </row>
    <row r="2331" spans="1:10">
      <c r="A2331" s="383"/>
      <c r="B2331" s="383"/>
      <c r="C2331" s="383"/>
      <c r="D2331" s="383"/>
      <c r="E2331" s="383"/>
      <c r="F2331" s="383"/>
      <c r="G2331" s="383"/>
      <c r="H2331" s="383"/>
      <c r="I2331" s="385" t="b">
        <v>0</v>
      </c>
      <c r="J2331" s="386"/>
    </row>
    <row r="2332" spans="1:10">
      <c r="A2332" s="383"/>
      <c r="B2332" s="383"/>
      <c r="C2332" s="383"/>
      <c r="D2332" s="383"/>
      <c r="E2332" s="383"/>
      <c r="F2332" s="383"/>
      <c r="G2332" s="383"/>
      <c r="H2332" s="383"/>
      <c r="I2332" s="385" t="b">
        <v>0</v>
      </c>
      <c r="J2332" s="386"/>
    </row>
    <row r="2333" spans="1:10">
      <c r="A2333" s="383"/>
      <c r="B2333" s="383"/>
      <c r="C2333" s="383"/>
      <c r="D2333" s="383"/>
      <c r="E2333" s="383"/>
      <c r="F2333" s="383"/>
      <c r="G2333" s="383"/>
      <c r="H2333" s="383"/>
      <c r="I2333" s="385" t="b">
        <v>0</v>
      </c>
      <c r="J2333" s="386"/>
    </row>
    <row r="2334" spans="1:10">
      <c r="A2334" s="383"/>
      <c r="B2334" s="383"/>
      <c r="C2334" s="383"/>
      <c r="D2334" s="383"/>
      <c r="E2334" s="383"/>
      <c r="F2334" s="383"/>
      <c r="G2334" s="383"/>
      <c r="H2334" s="383"/>
      <c r="I2334" s="385" t="b">
        <v>0</v>
      </c>
      <c r="J2334" s="386"/>
    </row>
    <row r="2335" spans="1:10">
      <c r="A2335" s="383"/>
      <c r="B2335" s="383"/>
      <c r="C2335" s="383"/>
      <c r="D2335" s="383"/>
      <c r="E2335" s="383"/>
      <c r="F2335" s="383"/>
      <c r="G2335" s="383"/>
      <c r="H2335" s="383"/>
      <c r="I2335" s="385" t="b">
        <v>0</v>
      </c>
      <c r="J2335" s="386"/>
    </row>
    <row r="2336" spans="1:10">
      <c r="A2336" s="383"/>
      <c r="B2336" s="383"/>
      <c r="C2336" s="383"/>
      <c r="D2336" s="383"/>
      <c r="E2336" s="383"/>
      <c r="F2336" s="383"/>
      <c r="G2336" s="383"/>
      <c r="H2336" s="383"/>
      <c r="I2336" s="385" t="b">
        <v>0</v>
      </c>
      <c r="J2336" s="386"/>
    </row>
    <row r="2337" spans="1:10">
      <c r="A2337" s="383"/>
      <c r="B2337" s="383"/>
      <c r="C2337" s="383"/>
      <c r="D2337" s="383"/>
      <c r="E2337" s="383"/>
      <c r="F2337" s="383"/>
      <c r="G2337" s="383"/>
      <c r="H2337" s="383"/>
      <c r="I2337" s="385" t="b">
        <v>0</v>
      </c>
      <c r="J2337" s="386"/>
    </row>
    <row r="2338" spans="1:10">
      <c r="A2338" s="383"/>
      <c r="B2338" s="383"/>
      <c r="C2338" s="383"/>
      <c r="D2338" s="383"/>
      <c r="E2338" s="383"/>
      <c r="F2338" s="383"/>
      <c r="G2338" s="383"/>
      <c r="H2338" s="383"/>
      <c r="I2338" s="385" t="b">
        <v>0</v>
      </c>
      <c r="J2338" s="386"/>
    </row>
    <row r="2339" spans="1:10">
      <c r="A2339" s="383"/>
      <c r="B2339" s="383"/>
      <c r="C2339" s="383"/>
      <c r="D2339" s="383"/>
      <c r="E2339" s="383"/>
      <c r="F2339" s="383"/>
      <c r="G2339" s="383"/>
      <c r="H2339" s="383"/>
      <c r="I2339" s="385" t="b">
        <v>0</v>
      </c>
      <c r="J2339" s="386"/>
    </row>
    <row r="2340" spans="1:10">
      <c r="A2340" s="383"/>
      <c r="B2340" s="383"/>
      <c r="C2340" s="383"/>
      <c r="D2340" s="383"/>
      <c r="E2340" s="383"/>
      <c r="F2340" s="383"/>
      <c r="G2340" s="383"/>
      <c r="H2340" s="383"/>
      <c r="I2340" s="385" t="b">
        <v>0</v>
      </c>
      <c r="J2340" s="386"/>
    </row>
    <row r="2341" spans="1:10">
      <c r="A2341" s="383"/>
      <c r="B2341" s="383"/>
      <c r="C2341" s="383"/>
      <c r="D2341" s="383"/>
      <c r="E2341" s="383"/>
      <c r="F2341" s="383"/>
      <c r="G2341" s="383"/>
      <c r="H2341" s="383"/>
      <c r="I2341" s="385" t="b">
        <v>0</v>
      </c>
      <c r="J2341" s="386"/>
    </row>
    <row r="2342" spans="1:10">
      <c r="A2342" s="383"/>
      <c r="B2342" s="383"/>
      <c r="C2342" s="383"/>
      <c r="D2342" s="383"/>
      <c r="E2342" s="383"/>
      <c r="F2342" s="383"/>
      <c r="G2342" s="383"/>
      <c r="H2342" s="383"/>
      <c r="I2342" s="385" t="b">
        <v>0</v>
      </c>
      <c r="J2342" s="386"/>
    </row>
    <row r="2343" spans="1:10">
      <c r="A2343" s="383"/>
      <c r="B2343" s="383"/>
      <c r="C2343" s="383"/>
      <c r="D2343" s="383"/>
      <c r="E2343" s="383"/>
      <c r="F2343" s="383"/>
      <c r="G2343" s="383"/>
      <c r="H2343" s="383"/>
      <c r="I2343" s="385" t="b">
        <v>0</v>
      </c>
      <c r="J2343" s="386"/>
    </row>
    <row r="2344" spans="1:10">
      <c r="A2344" s="383"/>
      <c r="B2344" s="383"/>
      <c r="C2344" s="383"/>
      <c r="D2344" s="383"/>
      <c r="E2344" s="383"/>
      <c r="F2344" s="383"/>
      <c r="G2344" s="383"/>
      <c r="H2344" s="383"/>
      <c r="I2344" s="385" t="b">
        <v>0</v>
      </c>
      <c r="J2344" s="386"/>
    </row>
    <row r="2345" spans="1:10">
      <c r="A2345" s="383"/>
      <c r="B2345" s="383"/>
      <c r="C2345" s="383"/>
      <c r="D2345" s="383"/>
      <c r="E2345" s="383"/>
      <c r="F2345" s="383"/>
      <c r="G2345" s="383"/>
      <c r="H2345" s="383"/>
      <c r="I2345" s="385" t="b">
        <v>0</v>
      </c>
      <c r="J2345" s="386"/>
    </row>
    <row r="2346" spans="1:10">
      <c r="A2346" s="383"/>
      <c r="B2346" s="383"/>
      <c r="C2346" s="383"/>
      <c r="D2346" s="383"/>
      <c r="E2346" s="383"/>
      <c r="F2346" s="383"/>
      <c r="G2346" s="383"/>
      <c r="H2346" s="383"/>
      <c r="I2346" s="385" t="b">
        <v>0</v>
      </c>
      <c r="J2346" s="386"/>
    </row>
    <row r="2347" spans="1:10">
      <c r="A2347" s="383"/>
      <c r="B2347" s="383"/>
      <c r="C2347" s="383"/>
      <c r="D2347" s="383"/>
      <c r="E2347" s="383"/>
      <c r="F2347" s="383"/>
      <c r="G2347" s="383"/>
      <c r="H2347" s="383"/>
      <c r="I2347" s="385" t="b">
        <v>0</v>
      </c>
      <c r="J2347" s="386"/>
    </row>
    <row r="2348" spans="1:10">
      <c r="A2348" s="383"/>
      <c r="B2348" s="383"/>
      <c r="C2348" s="383"/>
      <c r="D2348" s="383"/>
      <c r="E2348" s="383"/>
      <c r="F2348" s="383"/>
      <c r="G2348" s="383"/>
      <c r="H2348" s="383"/>
      <c r="I2348" s="385" t="b">
        <v>0</v>
      </c>
      <c r="J2348" s="386"/>
    </row>
    <row r="2349" spans="1:10">
      <c r="A2349" s="383"/>
      <c r="B2349" s="383"/>
      <c r="C2349" s="383"/>
      <c r="D2349" s="383"/>
      <c r="E2349" s="383"/>
      <c r="F2349" s="383"/>
      <c r="G2349" s="383"/>
      <c r="H2349" s="383"/>
      <c r="I2349" s="385" t="b">
        <v>0</v>
      </c>
      <c r="J2349" s="386"/>
    </row>
    <row r="2350" spans="1:10">
      <c r="A2350" s="383"/>
      <c r="B2350" s="383"/>
      <c r="C2350" s="383"/>
      <c r="D2350" s="383"/>
      <c r="E2350" s="383"/>
      <c r="F2350" s="383"/>
      <c r="G2350" s="383"/>
      <c r="H2350" s="383"/>
      <c r="I2350" s="385" t="b">
        <v>0</v>
      </c>
      <c r="J2350" s="386"/>
    </row>
  </sheetData>
  <pageMargins left="0.7" right="0.7" top="0.75" bottom="0.75" header="0.3" footer="0.3"/>
  <tableParts count="2">
    <tablePart r:id="rId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K912"/>
  <sheetViews>
    <sheetView workbookViewId="0">
      <pane ySplit="1" topLeftCell="A2" activePane="bottomLeft" state="frozen"/>
      <selection pane="bottomLeft" activeCell="B3" sqref="B3"/>
    </sheetView>
  </sheetViews>
  <sheetFormatPr baseColWidth="10" defaultColWidth="14.5" defaultRowHeight="15" customHeight="1"/>
  <cols>
    <col min="1" max="1" width="28" customWidth="1"/>
    <col min="2" max="2" width="56.5" customWidth="1"/>
    <col min="5" max="5" width="27.83203125" customWidth="1"/>
    <col min="6" max="6" width="23.33203125" customWidth="1"/>
    <col min="7" max="7" width="21.6640625" customWidth="1"/>
    <col min="8" max="11" width="17.83203125" customWidth="1"/>
  </cols>
  <sheetData>
    <row r="1" spans="1:11">
      <c r="A1" s="391" t="s">
        <v>11917</v>
      </c>
      <c r="B1" s="391" t="s">
        <v>11507</v>
      </c>
      <c r="C1" s="391" t="s">
        <v>11508</v>
      </c>
      <c r="D1" s="391" t="s">
        <v>11509</v>
      </c>
      <c r="E1" s="391" t="s">
        <v>11755</v>
      </c>
      <c r="F1" s="391" t="s">
        <v>11918</v>
      </c>
      <c r="G1" s="391" t="s">
        <v>11919</v>
      </c>
      <c r="H1" s="391" t="s">
        <v>11920</v>
      </c>
      <c r="I1" s="391"/>
      <c r="J1" s="391"/>
      <c r="K1" s="391"/>
    </row>
    <row r="2" spans="1:11">
      <c r="A2" s="383"/>
      <c r="B2" s="383" t="s">
        <v>13045</v>
      </c>
      <c r="C2" s="383" t="s">
        <v>5</v>
      </c>
      <c r="D2" s="383">
        <f>'DT Short List'!F92</f>
        <v>0</v>
      </c>
      <c r="E2" s="383" t="s">
        <v>13046</v>
      </c>
      <c r="F2" s="392" t="s">
        <v>13046</v>
      </c>
      <c r="G2" s="392" t="s">
        <v>13046</v>
      </c>
      <c r="H2" s="392" t="s">
        <v>13046</v>
      </c>
      <c r="I2" s="392"/>
      <c r="J2" s="392"/>
      <c r="K2" s="393" t="s">
        <v>13047</v>
      </c>
    </row>
    <row r="3" spans="1:11">
      <c r="A3" s="383"/>
      <c r="B3" s="383">
        <f>'DT Short List'!A93</f>
        <v>0</v>
      </c>
      <c r="C3" s="383">
        <f>'DT Short List'!H93</f>
        <v>0</v>
      </c>
      <c r="D3" s="383">
        <f>'DT Short List'!F93</f>
        <v>0</v>
      </c>
      <c r="E3" s="383"/>
      <c r="F3" s="383"/>
      <c r="G3" s="383"/>
      <c r="H3" s="383"/>
      <c r="I3" s="383"/>
      <c r="J3" s="383"/>
      <c r="K3" s="383"/>
    </row>
    <row r="4" spans="1:11">
      <c r="A4" s="383"/>
      <c r="B4" s="383">
        <f>'DT Short List'!A94</f>
        <v>0</v>
      </c>
      <c r="C4" s="383">
        <f>'DT Short List'!H94</f>
        <v>0</v>
      </c>
      <c r="D4" s="383">
        <f>'DT Short List'!F94</f>
        <v>0</v>
      </c>
      <c r="E4" s="383"/>
      <c r="F4" s="383"/>
      <c r="G4" s="383"/>
      <c r="H4" s="383"/>
      <c r="I4" s="383"/>
      <c r="J4" s="383"/>
      <c r="K4" s="383"/>
    </row>
    <row r="5" spans="1:11">
      <c r="A5" s="383"/>
      <c r="B5" s="383">
        <f>'DT Short List'!A95</f>
        <v>0</v>
      </c>
      <c r="C5" s="383">
        <f>'DT Short List'!H95</f>
        <v>0</v>
      </c>
      <c r="D5" s="383">
        <f>'DT Short List'!F95</f>
        <v>0</v>
      </c>
      <c r="E5" s="383"/>
      <c r="F5" s="383"/>
      <c r="G5" s="383"/>
      <c r="H5" s="383"/>
      <c r="I5" s="383"/>
      <c r="J5" s="383"/>
      <c r="K5" s="383"/>
    </row>
    <row r="6" spans="1:11">
      <c r="A6" s="383"/>
      <c r="B6" s="383">
        <f>'DT Short List'!A96</f>
        <v>0</v>
      </c>
      <c r="C6" s="383">
        <f>'DT Short List'!H96</f>
        <v>0</v>
      </c>
      <c r="D6" s="383">
        <f>'DT Short List'!F96</f>
        <v>0</v>
      </c>
      <c r="E6" s="383"/>
      <c r="F6" s="383"/>
      <c r="G6" s="383"/>
      <c r="H6" s="383"/>
      <c r="I6" s="383"/>
      <c r="J6" s="383"/>
      <c r="K6" s="383"/>
    </row>
    <row r="7" spans="1:11">
      <c r="A7" s="383"/>
      <c r="B7" s="383">
        <f>'DT Short List'!A97</f>
        <v>0</v>
      </c>
      <c r="C7" s="383">
        <f>'DT Short List'!H97</f>
        <v>0</v>
      </c>
      <c r="D7" s="383">
        <f>'DT Short List'!F97</f>
        <v>0</v>
      </c>
      <c r="E7" s="383"/>
      <c r="F7" s="383"/>
      <c r="G7" s="383"/>
      <c r="H7" s="383"/>
      <c r="I7" s="383"/>
      <c r="J7" s="383"/>
      <c r="K7" s="383"/>
    </row>
    <row r="8" spans="1:11">
      <c r="A8" s="383"/>
      <c r="B8" s="383">
        <f>'DT Short List'!A98</f>
        <v>0</v>
      </c>
      <c r="C8" s="383">
        <f>'DT Short List'!H98</f>
        <v>0</v>
      </c>
      <c r="D8" s="383">
        <f>'DT Short List'!F98</f>
        <v>0</v>
      </c>
      <c r="E8" s="383"/>
      <c r="F8" s="383"/>
      <c r="G8" s="383"/>
      <c r="H8" s="383"/>
      <c r="I8" s="383"/>
      <c r="J8" s="383"/>
      <c r="K8" s="383"/>
    </row>
    <row r="9" spans="1:11">
      <c r="A9" s="383"/>
      <c r="B9" s="383">
        <f>'DT Short List'!A99</f>
        <v>0</v>
      </c>
      <c r="C9" s="383">
        <f>'DT Short List'!H99</f>
        <v>0</v>
      </c>
      <c r="D9" s="383">
        <f>'DT Short List'!F99</f>
        <v>0</v>
      </c>
      <c r="E9" s="383"/>
      <c r="F9" s="383"/>
      <c r="G9" s="383"/>
      <c r="H9" s="383"/>
      <c r="I9" s="383"/>
      <c r="J9" s="383"/>
      <c r="K9" s="383"/>
    </row>
    <row r="10" spans="1:11">
      <c r="A10" s="383"/>
      <c r="B10" s="383">
        <f>'DT Short List'!A100</f>
        <v>0</v>
      </c>
      <c r="C10" s="383">
        <f>'DT Short List'!H100</f>
        <v>0</v>
      </c>
      <c r="D10" s="383">
        <f>'DT Short List'!F100</f>
        <v>0</v>
      </c>
      <c r="E10" s="383"/>
      <c r="F10" s="383"/>
      <c r="G10" s="383"/>
      <c r="H10" s="383"/>
      <c r="I10" s="383"/>
      <c r="J10" s="383"/>
      <c r="K10" s="383"/>
    </row>
    <row r="11" spans="1:11">
      <c r="A11" s="383"/>
      <c r="B11" s="383">
        <f>'DT Short List'!A101</f>
        <v>0</v>
      </c>
      <c r="C11" s="383">
        <f>'DT Short List'!H101</f>
        <v>0</v>
      </c>
      <c r="D11" s="383">
        <f>'DT Short List'!F101</f>
        <v>0</v>
      </c>
      <c r="E11" s="383"/>
      <c r="F11" s="383"/>
      <c r="G11" s="383"/>
      <c r="H11" s="383"/>
      <c r="I11" s="383"/>
      <c r="J11" s="383"/>
      <c r="K11" s="383"/>
    </row>
    <row r="12" spans="1:11">
      <c r="A12" s="383"/>
      <c r="B12" s="383">
        <f>'DT Short List'!A102</f>
        <v>0</v>
      </c>
      <c r="C12" s="383">
        <f>'DT Short List'!H102</f>
        <v>0</v>
      </c>
      <c r="D12" s="383">
        <f>'DT Short List'!F102</f>
        <v>0</v>
      </c>
      <c r="E12" s="383"/>
      <c r="F12" s="383"/>
      <c r="G12" s="383"/>
      <c r="H12" s="383"/>
      <c r="I12" s="383"/>
      <c r="J12" s="383"/>
      <c r="K12" s="383"/>
    </row>
    <row r="13" spans="1:11">
      <c r="A13" s="383"/>
      <c r="B13" s="383">
        <f>'DT Short List'!A103</f>
        <v>0</v>
      </c>
      <c r="C13" s="383">
        <f>'DT Short List'!H103</f>
        <v>0</v>
      </c>
      <c r="D13" s="383">
        <f>'DT Short List'!F103</f>
        <v>0</v>
      </c>
      <c r="E13" s="383"/>
      <c r="F13" s="383"/>
      <c r="G13" s="383"/>
      <c r="H13" s="383"/>
      <c r="I13" s="383"/>
      <c r="J13" s="383"/>
      <c r="K13" s="383"/>
    </row>
    <row r="14" spans="1:11">
      <c r="A14" s="383"/>
      <c r="B14" s="383">
        <f>'DT Short List'!A104</f>
        <v>0</v>
      </c>
      <c r="C14" s="383">
        <f>'DT Short List'!H104</f>
        <v>0</v>
      </c>
      <c r="D14" s="383">
        <f>'DT Short List'!F104</f>
        <v>0</v>
      </c>
      <c r="E14" s="383"/>
      <c r="F14" s="383"/>
      <c r="G14" s="383"/>
      <c r="H14" s="383"/>
      <c r="I14" s="383"/>
      <c r="J14" s="383"/>
      <c r="K14" s="383"/>
    </row>
    <row r="15" spans="1:11">
      <c r="A15" s="383"/>
      <c r="B15" s="383">
        <f>'DT Short List'!A105</f>
        <v>0</v>
      </c>
      <c r="C15" s="383">
        <f>'DT Short List'!H105</f>
        <v>0</v>
      </c>
      <c r="D15" s="383">
        <f>'DT Short List'!F105</f>
        <v>0</v>
      </c>
      <c r="E15" s="383"/>
      <c r="F15" s="383"/>
      <c r="G15" s="383"/>
      <c r="H15" s="383"/>
      <c r="I15" s="383"/>
      <c r="J15" s="383"/>
      <c r="K15" s="383"/>
    </row>
    <row r="16" spans="1:11">
      <c r="A16" s="383"/>
      <c r="B16" s="383">
        <f>'DT Short List'!A106</f>
        <v>0</v>
      </c>
      <c r="C16" s="383">
        <f>'DT Short List'!H106</f>
        <v>0</v>
      </c>
      <c r="D16" s="383">
        <f>'DT Short List'!F106</f>
        <v>0</v>
      </c>
      <c r="E16" s="383"/>
      <c r="F16" s="383"/>
      <c r="G16" s="383"/>
      <c r="H16" s="383"/>
      <c r="I16" s="383"/>
      <c r="J16" s="383"/>
      <c r="K16" s="383"/>
    </row>
    <row r="17" spans="1:11">
      <c r="A17" s="383"/>
      <c r="B17" s="383">
        <f>'DT Short List'!A107</f>
        <v>0</v>
      </c>
      <c r="C17" s="383">
        <f>'DT Short List'!H107</f>
        <v>0</v>
      </c>
      <c r="D17" s="383">
        <f>'DT Short List'!F107</f>
        <v>0</v>
      </c>
      <c r="E17" s="383"/>
      <c r="F17" s="383"/>
      <c r="G17" s="383"/>
      <c r="H17" s="383"/>
      <c r="I17" s="383"/>
      <c r="J17" s="383"/>
      <c r="K17" s="383"/>
    </row>
    <row r="18" spans="1:11">
      <c r="A18" s="383"/>
      <c r="B18" s="383">
        <f>'DT Short List'!A108</f>
        <v>0</v>
      </c>
      <c r="C18" s="383">
        <f>'DT Short List'!H108</f>
        <v>0</v>
      </c>
      <c r="D18" s="383">
        <f>'DT Short List'!F108</f>
        <v>0</v>
      </c>
      <c r="E18" s="383"/>
      <c r="F18" s="383"/>
      <c r="G18" s="383"/>
      <c r="H18" s="383"/>
      <c r="I18" s="383"/>
      <c r="J18" s="383"/>
      <c r="K18" s="383"/>
    </row>
    <row r="19" spans="1:11">
      <c r="A19" s="383"/>
      <c r="B19" s="383">
        <f>'DT Short List'!A109</f>
        <v>0</v>
      </c>
      <c r="C19" s="383">
        <f>'DT Short List'!H109</f>
        <v>0</v>
      </c>
      <c r="D19" s="383">
        <f>'DT Short List'!F109</f>
        <v>0</v>
      </c>
      <c r="E19" s="383"/>
      <c r="F19" s="383"/>
      <c r="G19" s="383"/>
      <c r="H19" s="383"/>
      <c r="I19" s="383"/>
      <c r="J19" s="383"/>
      <c r="K19" s="383"/>
    </row>
    <row r="20" spans="1:11">
      <c r="A20" s="383"/>
      <c r="B20" s="383">
        <f>'DT Short List'!A110</f>
        <v>0</v>
      </c>
      <c r="C20" s="383">
        <f>'DT Short List'!H110</f>
        <v>0</v>
      </c>
      <c r="D20" s="383">
        <f>'DT Short List'!F110</f>
        <v>0</v>
      </c>
      <c r="E20" s="383"/>
      <c r="F20" s="383"/>
      <c r="G20" s="383"/>
      <c r="H20" s="383"/>
      <c r="I20" s="383"/>
      <c r="J20" s="383"/>
      <c r="K20" s="383"/>
    </row>
    <row r="21" spans="1:11">
      <c r="A21" s="383"/>
      <c r="B21" s="383">
        <f>'DT Short List'!A111</f>
        <v>0</v>
      </c>
      <c r="C21" s="383">
        <f>'DT Short List'!H111</f>
        <v>0</v>
      </c>
      <c r="D21" s="383">
        <f>'DT Short List'!F111</f>
        <v>0</v>
      </c>
      <c r="E21" s="383"/>
      <c r="F21" s="383"/>
      <c r="G21" s="383"/>
      <c r="H21" s="383"/>
      <c r="I21" s="383"/>
      <c r="J21" s="383"/>
      <c r="K21" s="383"/>
    </row>
    <row r="22" spans="1:11">
      <c r="A22" s="383"/>
      <c r="B22" s="383">
        <f>'DT Short List'!A112</f>
        <v>0</v>
      </c>
      <c r="C22" s="383">
        <f>'DT Short List'!H112</f>
        <v>0</v>
      </c>
      <c r="D22" s="383">
        <f>'DT Short List'!F112</f>
        <v>0</v>
      </c>
      <c r="E22" s="383"/>
      <c r="F22" s="383"/>
      <c r="G22" s="383"/>
      <c r="H22" s="383"/>
      <c r="I22" s="383"/>
      <c r="J22" s="383"/>
      <c r="K22" s="383"/>
    </row>
    <row r="23" spans="1:11">
      <c r="A23" s="383"/>
      <c r="B23" s="383">
        <f>'DT Short List'!A113</f>
        <v>0</v>
      </c>
      <c r="C23" s="383">
        <f>'DT Short List'!H113</f>
        <v>0</v>
      </c>
      <c r="D23" s="383">
        <f>'DT Short List'!F113</f>
        <v>0</v>
      </c>
      <c r="E23" s="383"/>
      <c r="F23" s="383"/>
      <c r="G23" s="383"/>
      <c r="H23" s="383"/>
      <c r="I23" s="383"/>
      <c r="J23" s="383"/>
      <c r="K23" s="383"/>
    </row>
    <row r="24" spans="1:11">
      <c r="A24" s="383"/>
      <c r="B24" s="383">
        <f>'DT Short List'!A114</f>
        <v>0</v>
      </c>
      <c r="C24" s="383">
        <f>'DT Short List'!H114</f>
        <v>0</v>
      </c>
      <c r="D24" s="383">
        <f>'DT Short List'!F114</f>
        <v>0</v>
      </c>
      <c r="E24" s="383"/>
      <c r="F24" s="383"/>
      <c r="G24" s="383"/>
      <c r="H24" s="383"/>
      <c r="I24" s="383"/>
      <c r="J24" s="383"/>
      <c r="K24" s="383"/>
    </row>
    <row r="25" spans="1:11">
      <c r="A25" s="383"/>
      <c r="B25" s="383">
        <f>'DT Short List'!A115</f>
        <v>0</v>
      </c>
      <c r="C25" s="383">
        <f>'DT Short List'!H115</f>
        <v>0</v>
      </c>
      <c r="D25" s="383">
        <f>'DT Short List'!F115</f>
        <v>0</v>
      </c>
      <c r="E25" s="383"/>
      <c r="F25" s="383"/>
      <c r="G25" s="383"/>
      <c r="H25" s="383"/>
      <c r="I25" s="383"/>
      <c r="J25" s="383"/>
      <c r="K25" s="383"/>
    </row>
    <row r="26" spans="1:11">
      <c r="A26" s="383"/>
      <c r="B26" s="383">
        <f>'DT Short List'!A116</f>
        <v>0</v>
      </c>
      <c r="C26" s="383">
        <f>'DT Short List'!H116</f>
        <v>0</v>
      </c>
      <c r="D26" s="383">
        <f>'DT Short List'!F116</f>
        <v>0</v>
      </c>
      <c r="E26" s="383"/>
      <c r="F26" s="383"/>
      <c r="G26" s="383"/>
      <c r="H26" s="383"/>
      <c r="I26" s="383"/>
      <c r="J26" s="383"/>
      <c r="K26" s="383"/>
    </row>
    <row r="27" spans="1:11">
      <c r="A27" s="383"/>
      <c r="B27" s="383">
        <f>'DT Short List'!A117</f>
        <v>0</v>
      </c>
      <c r="C27" s="383">
        <f>'DT Short List'!H117</f>
        <v>0</v>
      </c>
      <c r="D27" s="383">
        <f>'DT Short List'!F117</f>
        <v>0</v>
      </c>
      <c r="E27" s="383"/>
      <c r="F27" s="383"/>
      <c r="G27" s="383"/>
      <c r="H27" s="383"/>
      <c r="I27" s="383"/>
      <c r="J27" s="383"/>
      <c r="K27" s="383"/>
    </row>
    <row r="28" spans="1:11">
      <c r="A28" s="383"/>
      <c r="B28" s="383">
        <f>'DT Short List'!A118</f>
        <v>0</v>
      </c>
      <c r="C28" s="383">
        <f>'DT Short List'!H118</f>
        <v>0</v>
      </c>
      <c r="D28" s="383">
        <f>'DT Short List'!F118</f>
        <v>0</v>
      </c>
      <c r="E28" s="383"/>
      <c r="F28" s="383"/>
      <c r="G28" s="383"/>
      <c r="H28" s="383"/>
      <c r="I28" s="383"/>
      <c r="J28" s="383"/>
      <c r="K28" s="383"/>
    </row>
    <row r="29" spans="1:11">
      <c r="A29" s="383"/>
      <c r="B29" s="383">
        <f>'DT Short List'!A119</f>
        <v>0</v>
      </c>
      <c r="C29" s="383">
        <f>'DT Short List'!H119</f>
        <v>0</v>
      </c>
      <c r="D29" s="383">
        <f>'DT Short List'!F119</f>
        <v>0</v>
      </c>
      <c r="E29" s="383"/>
      <c r="F29" s="383"/>
      <c r="G29" s="383"/>
      <c r="H29" s="383"/>
      <c r="I29" s="383"/>
      <c r="J29" s="383"/>
      <c r="K29" s="383"/>
    </row>
    <row r="30" spans="1:11">
      <c r="A30" s="383"/>
      <c r="B30" s="383">
        <f>'DT Short List'!A120</f>
        <v>0</v>
      </c>
      <c r="C30" s="383">
        <f>'DT Short List'!H120</f>
        <v>0</v>
      </c>
      <c r="D30" s="383">
        <f>'DT Short List'!F120</f>
        <v>0</v>
      </c>
      <c r="E30" s="383"/>
      <c r="F30" s="383"/>
      <c r="G30" s="383"/>
      <c r="H30" s="383"/>
      <c r="I30" s="383"/>
      <c r="J30" s="383"/>
      <c r="K30" s="383"/>
    </row>
    <row r="31" spans="1:11">
      <c r="A31" s="383"/>
      <c r="B31" s="383">
        <f>'DT Short List'!A121</f>
        <v>0</v>
      </c>
      <c r="C31" s="383">
        <f>'DT Short List'!H121</f>
        <v>0</v>
      </c>
      <c r="D31" s="383">
        <f>'DT Short List'!F121</f>
        <v>0</v>
      </c>
      <c r="E31" s="383"/>
      <c r="F31" s="383"/>
      <c r="G31" s="383"/>
      <c r="H31" s="383"/>
      <c r="I31" s="383"/>
      <c r="J31" s="383"/>
      <c r="K31" s="383"/>
    </row>
    <row r="32" spans="1:11">
      <c r="A32" s="383"/>
      <c r="B32" s="383">
        <f>'DT Short List'!A122</f>
        <v>0</v>
      </c>
      <c r="C32" s="383">
        <f>'DT Short List'!H122</f>
        <v>0</v>
      </c>
      <c r="D32" s="383">
        <f>'DT Short List'!F122</f>
        <v>0</v>
      </c>
      <c r="E32" s="383"/>
      <c r="F32" s="383"/>
      <c r="G32" s="383"/>
      <c r="H32" s="383"/>
      <c r="I32" s="383"/>
      <c r="J32" s="383"/>
      <c r="K32" s="383"/>
    </row>
    <row r="33" spans="1:11">
      <c r="A33" s="383"/>
      <c r="B33" s="383">
        <f>'DT Short List'!A123</f>
        <v>0</v>
      </c>
      <c r="C33" s="383">
        <f>'DT Short List'!H123</f>
        <v>0</v>
      </c>
      <c r="D33" s="383">
        <f>'DT Short List'!F123</f>
        <v>0</v>
      </c>
      <c r="E33" s="383"/>
      <c r="F33" s="383"/>
      <c r="G33" s="383"/>
      <c r="H33" s="383"/>
      <c r="I33" s="383"/>
      <c r="J33" s="383"/>
      <c r="K33" s="383"/>
    </row>
    <row r="34" spans="1:11">
      <c r="A34" s="383"/>
      <c r="B34" s="383">
        <f>'DT Short List'!A124</f>
        <v>0</v>
      </c>
      <c r="C34" s="383">
        <f>'DT Short List'!H124</f>
        <v>0</v>
      </c>
      <c r="D34" s="383">
        <f>'DT Short List'!F124</f>
        <v>0</v>
      </c>
      <c r="E34" s="383"/>
      <c r="F34" s="383"/>
      <c r="G34" s="383"/>
      <c r="H34" s="383"/>
      <c r="I34" s="383"/>
      <c r="J34" s="383"/>
      <c r="K34" s="383"/>
    </row>
    <row r="35" spans="1:11">
      <c r="A35" s="383"/>
      <c r="B35" s="383">
        <f>'DT Short List'!A125</f>
        <v>0</v>
      </c>
      <c r="C35" s="383">
        <f>'DT Short List'!H125</f>
        <v>0</v>
      </c>
      <c r="D35" s="383">
        <f>'DT Short List'!F125</f>
        <v>0</v>
      </c>
      <c r="E35" s="383"/>
      <c r="F35" s="383"/>
      <c r="G35" s="383"/>
      <c r="H35" s="383"/>
      <c r="I35" s="383"/>
      <c r="J35" s="383"/>
      <c r="K35" s="383"/>
    </row>
    <row r="36" spans="1:11">
      <c r="A36" s="383"/>
      <c r="B36" s="383">
        <f>'DT Short List'!A126</f>
        <v>0</v>
      </c>
      <c r="C36" s="383">
        <f>'DT Short List'!H126</f>
        <v>0</v>
      </c>
      <c r="D36" s="383">
        <f>'DT Short List'!F126</f>
        <v>0</v>
      </c>
      <c r="E36" s="383"/>
      <c r="F36" s="383"/>
      <c r="G36" s="383"/>
      <c r="H36" s="383"/>
      <c r="I36" s="383"/>
      <c r="J36" s="383"/>
      <c r="K36" s="383"/>
    </row>
    <row r="37" spans="1:11">
      <c r="A37" s="383"/>
      <c r="B37" s="383">
        <f>'DT Short List'!A127</f>
        <v>0</v>
      </c>
      <c r="C37" s="383">
        <f>'DT Short List'!H127</f>
        <v>0</v>
      </c>
      <c r="D37" s="383">
        <f>'DT Short List'!F127</f>
        <v>0</v>
      </c>
      <c r="E37" s="383"/>
      <c r="F37" s="383"/>
      <c r="G37" s="383"/>
      <c r="H37" s="383"/>
      <c r="I37" s="383"/>
      <c r="J37" s="383"/>
      <c r="K37" s="383"/>
    </row>
    <row r="38" spans="1:11">
      <c r="A38" s="383"/>
      <c r="B38" s="383">
        <f>'DT Short List'!A128</f>
        <v>0</v>
      </c>
      <c r="C38" s="383">
        <f>'DT Short List'!H128</f>
        <v>0</v>
      </c>
      <c r="D38" s="383">
        <f>'DT Short List'!F128</f>
        <v>0</v>
      </c>
      <c r="E38" s="383"/>
      <c r="F38" s="383"/>
      <c r="G38" s="383"/>
      <c r="H38" s="383"/>
      <c r="I38" s="383"/>
      <c r="J38" s="383"/>
      <c r="K38" s="383"/>
    </row>
    <row r="39" spans="1:11">
      <c r="A39" s="383"/>
      <c r="B39" s="383">
        <f>'DT Short List'!A129</f>
        <v>0</v>
      </c>
      <c r="C39" s="383">
        <f>'DT Short List'!H129</f>
        <v>0</v>
      </c>
      <c r="D39" s="383">
        <f>'DT Short List'!F129</f>
        <v>0</v>
      </c>
      <c r="E39" s="383"/>
      <c r="F39" s="383"/>
      <c r="G39" s="383"/>
      <c r="H39" s="383"/>
      <c r="I39" s="383"/>
      <c r="J39" s="383"/>
      <c r="K39" s="383"/>
    </row>
    <row r="40" spans="1:11">
      <c r="A40" s="383"/>
      <c r="B40" s="383">
        <f>'DT Short List'!A130</f>
        <v>0</v>
      </c>
      <c r="C40" s="383">
        <f>'DT Short List'!H130</f>
        <v>0</v>
      </c>
      <c r="D40" s="383">
        <f>'DT Short List'!F130</f>
        <v>0</v>
      </c>
      <c r="E40" s="383"/>
      <c r="F40" s="383"/>
      <c r="G40" s="383"/>
      <c r="H40" s="383"/>
      <c r="I40" s="383"/>
      <c r="J40" s="383"/>
      <c r="K40" s="383"/>
    </row>
    <row r="41" spans="1:11">
      <c r="A41" s="383"/>
      <c r="B41" s="383">
        <f>'DT Short List'!A131</f>
        <v>0</v>
      </c>
      <c r="C41" s="383">
        <f>'DT Short List'!H131</f>
        <v>0</v>
      </c>
      <c r="D41" s="383">
        <f>'DT Short List'!F131</f>
        <v>0</v>
      </c>
      <c r="E41" s="383"/>
      <c r="F41" s="383"/>
      <c r="G41" s="383"/>
      <c r="H41" s="383"/>
      <c r="I41" s="383"/>
      <c r="J41" s="383"/>
      <c r="K41" s="383"/>
    </row>
    <row r="42" spans="1:11">
      <c r="A42" s="383"/>
      <c r="B42" s="383">
        <f>'DT Short List'!A132</f>
        <v>0</v>
      </c>
      <c r="C42" s="383">
        <f>'DT Short List'!H132</f>
        <v>0</v>
      </c>
      <c r="D42" s="383">
        <f>'DT Short List'!F132</f>
        <v>0</v>
      </c>
      <c r="E42" s="383"/>
      <c r="F42" s="383"/>
      <c r="G42" s="383"/>
      <c r="H42" s="383"/>
      <c r="I42" s="383"/>
      <c r="J42" s="383"/>
      <c r="K42" s="383"/>
    </row>
    <row r="43" spans="1:11">
      <c r="A43" s="383"/>
      <c r="B43" s="383">
        <f>'DT Short List'!A133</f>
        <v>0</v>
      </c>
      <c r="C43" s="383">
        <f>'DT Short List'!H133</f>
        <v>0</v>
      </c>
      <c r="D43" s="383">
        <f>'DT Short List'!F133</f>
        <v>0</v>
      </c>
      <c r="E43" s="383"/>
      <c r="F43" s="383"/>
      <c r="G43" s="383"/>
      <c r="H43" s="383"/>
      <c r="I43" s="383"/>
      <c r="J43" s="383"/>
      <c r="K43" s="383"/>
    </row>
    <row r="44" spans="1:11">
      <c r="A44" s="383"/>
      <c r="B44" s="383">
        <f>'DT Short List'!A134</f>
        <v>0</v>
      </c>
      <c r="C44" s="383">
        <f>'DT Short List'!H134</f>
        <v>0</v>
      </c>
      <c r="D44" s="383">
        <f>'DT Short List'!F134</f>
        <v>0</v>
      </c>
      <c r="E44" s="383"/>
      <c r="F44" s="383"/>
      <c r="G44" s="383"/>
      <c r="H44" s="383"/>
      <c r="I44" s="383"/>
      <c r="J44" s="383"/>
      <c r="K44" s="383"/>
    </row>
    <row r="45" spans="1:11">
      <c r="A45" s="383"/>
      <c r="B45" s="383">
        <f>'DT Short List'!A135</f>
        <v>0</v>
      </c>
      <c r="C45" s="383">
        <f>'DT Short List'!H135</f>
        <v>0</v>
      </c>
      <c r="D45" s="383">
        <f>'DT Short List'!F135</f>
        <v>0</v>
      </c>
      <c r="E45" s="383"/>
      <c r="F45" s="383"/>
      <c r="G45" s="383"/>
      <c r="H45" s="383"/>
      <c r="I45" s="383"/>
      <c r="J45" s="383"/>
      <c r="K45" s="383"/>
    </row>
    <row r="46" spans="1:11">
      <c r="A46" s="383"/>
      <c r="B46" s="383">
        <f>'DT Short List'!A136</f>
        <v>0</v>
      </c>
      <c r="C46" s="383">
        <f>'DT Short List'!H136</f>
        <v>0</v>
      </c>
      <c r="D46" s="383">
        <f>'DT Short List'!F136</f>
        <v>0</v>
      </c>
      <c r="E46" s="383"/>
      <c r="F46" s="383"/>
      <c r="G46" s="383"/>
      <c r="H46" s="383"/>
      <c r="I46" s="383"/>
      <c r="J46" s="383"/>
      <c r="K46" s="383"/>
    </row>
    <row r="47" spans="1:11">
      <c r="A47" s="383"/>
      <c r="B47" s="383">
        <f>'DT Short List'!A137</f>
        <v>0</v>
      </c>
      <c r="C47" s="383">
        <f>'DT Short List'!H137</f>
        <v>0</v>
      </c>
      <c r="D47" s="383">
        <f>'DT Short List'!F137</f>
        <v>0</v>
      </c>
      <c r="E47" s="383"/>
      <c r="F47" s="383"/>
      <c r="G47" s="383"/>
      <c r="H47" s="383"/>
      <c r="I47" s="383"/>
      <c r="J47" s="383"/>
      <c r="K47" s="383"/>
    </row>
    <row r="48" spans="1:11">
      <c r="A48" s="383"/>
      <c r="B48" s="383">
        <f>'DT Short List'!A138</f>
        <v>0</v>
      </c>
      <c r="C48" s="383">
        <f>'DT Short List'!H138</f>
        <v>0</v>
      </c>
      <c r="D48" s="383">
        <f>'DT Short List'!F138</f>
        <v>0</v>
      </c>
      <c r="E48" s="383"/>
      <c r="F48" s="383"/>
      <c r="G48" s="383"/>
      <c r="H48" s="383"/>
      <c r="I48" s="383"/>
      <c r="J48" s="383"/>
      <c r="K48" s="383"/>
    </row>
    <row r="49" spans="1:11">
      <c r="A49" s="383"/>
      <c r="B49" s="383">
        <f>'DT Short List'!A139</f>
        <v>0</v>
      </c>
      <c r="C49" s="383">
        <f>'DT Short List'!H139</f>
        <v>0</v>
      </c>
      <c r="D49" s="383">
        <f>'DT Short List'!F139</f>
        <v>0</v>
      </c>
      <c r="E49" s="383"/>
      <c r="F49" s="383"/>
      <c r="G49" s="383"/>
      <c r="H49" s="383"/>
      <c r="I49" s="383"/>
      <c r="J49" s="383"/>
      <c r="K49" s="383"/>
    </row>
    <row r="50" spans="1:11">
      <c r="A50" s="383"/>
      <c r="B50" s="383">
        <f>'DT Short List'!A140</f>
        <v>0</v>
      </c>
      <c r="C50" s="383">
        <f>'DT Short List'!H140</f>
        <v>0</v>
      </c>
      <c r="D50" s="383">
        <f>'DT Short List'!F140</f>
        <v>0</v>
      </c>
      <c r="E50" s="383"/>
      <c r="F50" s="383"/>
      <c r="G50" s="383"/>
      <c r="H50" s="383"/>
      <c r="I50" s="383"/>
      <c r="J50" s="383"/>
      <c r="K50" s="383"/>
    </row>
    <row r="51" spans="1:11">
      <c r="A51" s="383"/>
      <c r="B51" s="383">
        <f>'DT Short List'!A141</f>
        <v>0</v>
      </c>
      <c r="C51" s="383">
        <f>'DT Short List'!H141</f>
        <v>0</v>
      </c>
      <c r="D51" s="383">
        <f>'DT Short List'!F141</f>
        <v>0</v>
      </c>
      <c r="E51" s="383"/>
      <c r="F51" s="383"/>
      <c r="G51" s="383"/>
      <c r="H51" s="383"/>
      <c r="I51" s="383"/>
      <c r="J51" s="383"/>
      <c r="K51" s="383"/>
    </row>
    <row r="52" spans="1:11">
      <c r="A52" s="383"/>
      <c r="B52" s="383">
        <f>'DT Short List'!A142</f>
        <v>0</v>
      </c>
      <c r="C52" s="383">
        <f>'DT Short List'!H142</f>
        <v>0</v>
      </c>
      <c r="D52" s="383">
        <f>'DT Short List'!F142</f>
        <v>0</v>
      </c>
      <c r="E52" s="383"/>
      <c r="F52" s="383"/>
      <c r="G52" s="383"/>
      <c r="H52" s="383"/>
      <c r="I52" s="383"/>
      <c r="J52" s="383"/>
      <c r="K52" s="383"/>
    </row>
    <row r="53" spans="1:11">
      <c r="A53" s="383"/>
      <c r="B53" s="383">
        <f>'DT Short List'!A143</f>
        <v>0</v>
      </c>
      <c r="C53" s="383">
        <f>'DT Short List'!H143</f>
        <v>0</v>
      </c>
      <c r="D53" s="383">
        <f>'DT Short List'!F143</f>
        <v>0</v>
      </c>
      <c r="E53" s="383"/>
      <c r="F53" s="383"/>
      <c r="G53" s="383"/>
      <c r="H53" s="383"/>
      <c r="I53" s="383"/>
      <c r="J53" s="383"/>
      <c r="K53" s="383"/>
    </row>
    <row r="54" spans="1:11">
      <c r="A54" s="383"/>
      <c r="B54" s="383">
        <f>'DT Short List'!A144</f>
        <v>0</v>
      </c>
      <c r="C54" s="383">
        <f>'DT Short List'!H144</f>
        <v>0</v>
      </c>
      <c r="D54" s="383">
        <f>'DT Short List'!F144</f>
        <v>0</v>
      </c>
      <c r="E54" s="383"/>
      <c r="F54" s="383"/>
      <c r="G54" s="383"/>
      <c r="H54" s="383"/>
      <c r="I54" s="383"/>
      <c r="J54" s="383"/>
      <c r="K54" s="383"/>
    </row>
    <row r="55" spans="1:11">
      <c r="A55" s="383"/>
      <c r="B55" s="383">
        <f>'DT Short List'!A145</f>
        <v>0</v>
      </c>
      <c r="C55" s="383">
        <f>'DT Short List'!H145</f>
        <v>0</v>
      </c>
      <c r="D55" s="383">
        <f>'DT Short List'!F145</f>
        <v>0</v>
      </c>
      <c r="E55" s="383"/>
      <c r="F55" s="383"/>
      <c r="G55" s="383"/>
      <c r="H55" s="383"/>
      <c r="I55" s="383"/>
      <c r="J55" s="383"/>
      <c r="K55" s="383"/>
    </row>
    <row r="56" spans="1:11">
      <c r="A56" s="383"/>
      <c r="B56" s="383">
        <f>'DT Short List'!A146</f>
        <v>0</v>
      </c>
      <c r="C56" s="383">
        <f>'DT Short List'!H146</f>
        <v>0</v>
      </c>
      <c r="D56" s="383">
        <f>'DT Short List'!F146</f>
        <v>0</v>
      </c>
      <c r="E56" s="383"/>
      <c r="F56" s="383"/>
      <c r="G56" s="383"/>
      <c r="H56" s="383"/>
      <c r="I56" s="383"/>
      <c r="J56" s="383"/>
      <c r="K56" s="383"/>
    </row>
    <row r="57" spans="1:11">
      <c r="A57" s="383"/>
      <c r="B57" s="383">
        <f>'DT Short List'!A147</f>
        <v>0</v>
      </c>
      <c r="C57" s="383">
        <f>'DT Short List'!H147</f>
        <v>0</v>
      </c>
      <c r="D57" s="383">
        <f>'DT Short List'!F147</f>
        <v>0</v>
      </c>
      <c r="E57" s="383"/>
      <c r="F57" s="383"/>
      <c r="G57" s="383"/>
      <c r="H57" s="383"/>
      <c r="I57" s="383"/>
      <c r="J57" s="383"/>
      <c r="K57" s="383"/>
    </row>
    <row r="58" spans="1:11">
      <c r="A58" s="383"/>
      <c r="B58" s="383">
        <f>'DT Short List'!A148</f>
        <v>0</v>
      </c>
      <c r="C58" s="383">
        <f>'DT Short List'!H148</f>
        <v>0</v>
      </c>
      <c r="D58" s="383">
        <f>'DT Short List'!F148</f>
        <v>0</v>
      </c>
      <c r="E58" s="383"/>
      <c r="F58" s="383"/>
      <c r="G58" s="383"/>
      <c r="H58" s="383"/>
      <c r="I58" s="383"/>
      <c r="J58" s="383"/>
      <c r="K58" s="383"/>
    </row>
    <row r="59" spans="1:11">
      <c r="A59" s="383"/>
      <c r="B59" s="383">
        <f>'DT Short List'!A149</f>
        <v>0</v>
      </c>
      <c r="C59" s="383">
        <f>'DT Short List'!H149</f>
        <v>0</v>
      </c>
      <c r="D59" s="383">
        <f>'DT Short List'!F149</f>
        <v>0</v>
      </c>
      <c r="E59" s="383"/>
      <c r="F59" s="383"/>
      <c r="G59" s="383"/>
      <c r="H59" s="383"/>
      <c r="I59" s="383"/>
      <c r="J59" s="383"/>
      <c r="K59" s="383"/>
    </row>
    <row r="60" spans="1:11">
      <c r="A60" s="383"/>
      <c r="B60" s="383">
        <f>'DT Short List'!A150</f>
        <v>0</v>
      </c>
      <c r="C60" s="383">
        <f>'DT Short List'!H150</f>
        <v>0</v>
      </c>
      <c r="D60" s="383">
        <f>'DT Short List'!F150</f>
        <v>0</v>
      </c>
      <c r="E60" s="383"/>
      <c r="F60" s="383"/>
      <c r="G60" s="383"/>
      <c r="H60" s="383"/>
      <c r="I60" s="383"/>
      <c r="J60" s="383"/>
      <c r="K60" s="383"/>
    </row>
    <row r="61" spans="1:11">
      <c r="A61" s="383"/>
      <c r="B61" s="383">
        <f>'DT Short List'!A151</f>
        <v>0</v>
      </c>
      <c r="C61" s="383">
        <f>'DT Short List'!H151</f>
        <v>0</v>
      </c>
      <c r="D61" s="383">
        <f>'DT Short List'!F151</f>
        <v>0</v>
      </c>
      <c r="E61" s="383"/>
      <c r="F61" s="383"/>
      <c r="G61" s="383"/>
      <c r="H61" s="383"/>
      <c r="I61" s="383"/>
      <c r="J61" s="383"/>
      <c r="K61" s="383"/>
    </row>
    <row r="62" spans="1:11">
      <c r="A62" s="383"/>
      <c r="B62" s="383">
        <f>'DT Short List'!A152</f>
        <v>0</v>
      </c>
      <c r="C62" s="383">
        <f>'DT Short List'!H152</f>
        <v>0</v>
      </c>
      <c r="D62" s="383">
        <f>'DT Short List'!F152</f>
        <v>0</v>
      </c>
      <c r="E62" s="383"/>
      <c r="F62" s="383"/>
      <c r="G62" s="383"/>
      <c r="H62" s="383"/>
      <c r="I62" s="383"/>
      <c r="J62" s="383"/>
      <c r="K62" s="383"/>
    </row>
    <row r="63" spans="1:11">
      <c r="A63" s="383"/>
      <c r="B63" s="383">
        <f>'DT Short List'!A153</f>
        <v>0</v>
      </c>
      <c r="C63" s="383">
        <f>'DT Short List'!H153</f>
        <v>0</v>
      </c>
      <c r="D63" s="383">
        <f>'DT Short List'!F153</f>
        <v>0</v>
      </c>
      <c r="E63" s="383"/>
      <c r="F63" s="383"/>
      <c r="G63" s="383"/>
      <c r="H63" s="383"/>
      <c r="I63" s="383"/>
      <c r="J63" s="383"/>
      <c r="K63" s="383"/>
    </row>
    <row r="64" spans="1:11">
      <c r="A64" s="383"/>
      <c r="B64" s="383">
        <f>'DT Short List'!A154</f>
        <v>0</v>
      </c>
      <c r="C64" s="383">
        <f>'DT Short List'!H154</f>
        <v>0</v>
      </c>
      <c r="D64" s="383">
        <f>'DT Short List'!F154</f>
        <v>0</v>
      </c>
      <c r="E64" s="383"/>
      <c r="F64" s="383"/>
      <c r="G64" s="383"/>
      <c r="H64" s="383"/>
      <c r="I64" s="383"/>
      <c r="J64" s="383"/>
      <c r="K64" s="383"/>
    </row>
    <row r="65" spans="1:11">
      <c r="A65" s="383"/>
      <c r="B65" s="383">
        <f>'DT Short List'!A155</f>
        <v>0</v>
      </c>
      <c r="C65" s="383">
        <f>'DT Short List'!H155</f>
        <v>0</v>
      </c>
      <c r="D65" s="383">
        <f>'DT Short List'!F155</f>
        <v>0</v>
      </c>
      <c r="E65" s="383"/>
      <c r="F65" s="383"/>
      <c r="G65" s="383"/>
      <c r="H65" s="383"/>
      <c r="I65" s="383"/>
      <c r="J65" s="383"/>
      <c r="K65" s="383"/>
    </row>
    <row r="66" spans="1:11">
      <c r="A66" s="383"/>
      <c r="B66" s="383">
        <f>'DT Short List'!A156</f>
        <v>0</v>
      </c>
      <c r="C66" s="383">
        <f>'DT Short List'!H156</f>
        <v>0</v>
      </c>
      <c r="D66" s="383">
        <f>'DT Short List'!F156</f>
        <v>0</v>
      </c>
      <c r="E66" s="383"/>
      <c r="F66" s="383"/>
      <c r="G66" s="383"/>
      <c r="H66" s="383"/>
      <c r="I66" s="383"/>
      <c r="J66" s="383"/>
      <c r="K66" s="383"/>
    </row>
    <row r="67" spans="1:11">
      <c r="A67" s="383"/>
      <c r="B67" s="383">
        <f>'DT Short List'!A157</f>
        <v>0</v>
      </c>
      <c r="C67" s="383">
        <f>'DT Short List'!H157</f>
        <v>0</v>
      </c>
      <c r="D67" s="383">
        <f>'DT Short List'!F157</f>
        <v>0</v>
      </c>
      <c r="E67" s="383"/>
      <c r="F67" s="383"/>
      <c r="G67" s="383"/>
      <c r="H67" s="383"/>
      <c r="I67" s="383"/>
      <c r="J67" s="383"/>
      <c r="K67" s="383"/>
    </row>
    <row r="68" spans="1:11">
      <c r="A68" s="383"/>
      <c r="B68" s="383">
        <f>'DT Short List'!A158</f>
        <v>0</v>
      </c>
      <c r="C68" s="383">
        <f>'DT Short List'!H158</f>
        <v>0</v>
      </c>
      <c r="D68" s="383">
        <f>'DT Short List'!F158</f>
        <v>0</v>
      </c>
      <c r="E68" s="383"/>
      <c r="F68" s="383"/>
      <c r="G68" s="383"/>
      <c r="H68" s="383"/>
      <c r="I68" s="383"/>
      <c r="J68" s="383"/>
      <c r="K68" s="383"/>
    </row>
    <row r="69" spans="1:11">
      <c r="A69" s="383"/>
      <c r="B69" s="383">
        <f>'DT Short List'!A159</f>
        <v>0</v>
      </c>
      <c r="C69" s="383">
        <f>'DT Short List'!H159</f>
        <v>0</v>
      </c>
      <c r="D69" s="383">
        <f>'DT Short List'!F159</f>
        <v>0</v>
      </c>
      <c r="E69" s="383"/>
      <c r="F69" s="383"/>
      <c r="G69" s="383"/>
      <c r="H69" s="383"/>
      <c r="I69" s="383"/>
      <c r="J69" s="383"/>
      <c r="K69" s="383"/>
    </row>
    <row r="70" spans="1:11">
      <c r="A70" s="383"/>
      <c r="B70" s="383">
        <f>'DT Short List'!A160</f>
        <v>0</v>
      </c>
      <c r="C70" s="383">
        <f>'DT Short List'!H160</f>
        <v>0</v>
      </c>
      <c r="D70" s="383">
        <f>'DT Short List'!F160</f>
        <v>0</v>
      </c>
      <c r="E70" s="383"/>
      <c r="F70" s="383"/>
      <c r="G70" s="383"/>
      <c r="H70" s="383"/>
      <c r="I70" s="383"/>
      <c r="J70" s="383"/>
      <c r="K70" s="383"/>
    </row>
    <row r="71" spans="1:11">
      <c r="A71" s="383"/>
      <c r="B71" s="383">
        <f>'DT Short List'!A161</f>
        <v>0</v>
      </c>
      <c r="C71" s="383">
        <f>'DT Short List'!H161</f>
        <v>0</v>
      </c>
      <c r="D71" s="383">
        <f>'DT Short List'!F161</f>
        <v>0</v>
      </c>
      <c r="E71" s="383"/>
      <c r="F71" s="383"/>
      <c r="G71" s="383"/>
      <c r="H71" s="383"/>
      <c r="I71" s="383"/>
      <c r="J71" s="383"/>
      <c r="K71" s="383"/>
    </row>
    <row r="72" spans="1:11">
      <c r="A72" s="383"/>
      <c r="B72" s="383">
        <f>'DT Short List'!A162</f>
        <v>0</v>
      </c>
      <c r="C72" s="383">
        <f>'DT Short List'!H162</f>
        <v>0</v>
      </c>
      <c r="D72" s="383">
        <f>'DT Short List'!F162</f>
        <v>0</v>
      </c>
      <c r="E72" s="383"/>
      <c r="F72" s="383"/>
      <c r="G72" s="383"/>
      <c r="H72" s="383"/>
      <c r="I72" s="383"/>
      <c r="J72" s="383"/>
      <c r="K72" s="383"/>
    </row>
    <row r="73" spans="1:11">
      <c r="A73" s="383"/>
      <c r="B73" s="383">
        <f>'DT Short List'!A163</f>
        <v>0</v>
      </c>
      <c r="C73" s="383">
        <f>'DT Short List'!H163</f>
        <v>0</v>
      </c>
      <c r="D73" s="383">
        <f>'DT Short List'!F163</f>
        <v>0</v>
      </c>
      <c r="E73" s="383"/>
      <c r="F73" s="383"/>
      <c r="G73" s="383"/>
      <c r="H73" s="383"/>
      <c r="I73" s="383"/>
      <c r="J73" s="383"/>
      <c r="K73" s="383"/>
    </row>
    <row r="74" spans="1:11">
      <c r="A74" s="383"/>
      <c r="B74" s="383">
        <f>'DT Short List'!A164</f>
        <v>0</v>
      </c>
      <c r="C74" s="383">
        <f>'DT Short List'!H164</f>
        <v>0</v>
      </c>
      <c r="D74" s="383">
        <f>'DT Short List'!F164</f>
        <v>0</v>
      </c>
      <c r="E74" s="383"/>
      <c r="F74" s="383"/>
      <c r="G74" s="383"/>
      <c r="H74" s="383"/>
      <c r="I74" s="383"/>
      <c r="J74" s="383"/>
      <c r="K74" s="383"/>
    </row>
    <row r="75" spans="1:11">
      <c r="A75" s="383"/>
      <c r="B75" s="383">
        <f>'DT Short List'!A165</f>
        <v>0</v>
      </c>
      <c r="C75" s="383">
        <f>'DT Short List'!H165</f>
        <v>0</v>
      </c>
      <c r="D75" s="383">
        <f>'DT Short List'!F165</f>
        <v>0</v>
      </c>
      <c r="E75" s="383"/>
      <c r="F75" s="383"/>
      <c r="G75" s="383"/>
      <c r="H75" s="383"/>
      <c r="I75" s="383"/>
      <c r="J75" s="383"/>
      <c r="K75" s="383"/>
    </row>
    <row r="76" spans="1:11">
      <c r="A76" s="383"/>
      <c r="B76" s="383">
        <f>'DT Short List'!A166</f>
        <v>0</v>
      </c>
      <c r="C76" s="383">
        <f>'DT Short List'!H166</f>
        <v>0</v>
      </c>
      <c r="D76" s="383">
        <f>'DT Short List'!F166</f>
        <v>0</v>
      </c>
      <c r="E76" s="383"/>
      <c r="F76" s="383"/>
      <c r="G76" s="383"/>
      <c r="H76" s="383"/>
      <c r="I76" s="383"/>
      <c r="J76" s="383"/>
      <c r="K76" s="383"/>
    </row>
    <row r="77" spans="1:11">
      <c r="A77" s="383"/>
      <c r="B77" s="383">
        <f>'DT Short List'!A167</f>
        <v>0</v>
      </c>
      <c r="C77" s="383">
        <f>'DT Short List'!H167</f>
        <v>0</v>
      </c>
      <c r="D77" s="383">
        <f>'DT Short List'!F167</f>
        <v>0</v>
      </c>
      <c r="E77" s="383"/>
      <c r="F77" s="383"/>
      <c r="G77" s="383"/>
      <c r="H77" s="383"/>
      <c r="I77" s="383"/>
      <c r="J77" s="383"/>
      <c r="K77" s="383"/>
    </row>
    <row r="78" spans="1:11">
      <c r="A78" s="383"/>
      <c r="B78" s="383">
        <f>'DT Short List'!A168</f>
        <v>0</v>
      </c>
      <c r="C78" s="383">
        <f>'DT Short List'!H168</f>
        <v>0</v>
      </c>
      <c r="D78" s="383">
        <f>'DT Short List'!F168</f>
        <v>0</v>
      </c>
      <c r="E78" s="383"/>
      <c r="F78" s="383"/>
      <c r="G78" s="383"/>
      <c r="H78" s="383"/>
      <c r="I78" s="383"/>
      <c r="J78" s="383"/>
      <c r="K78" s="383"/>
    </row>
    <row r="79" spans="1:11">
      <c r="A79" s="383"/>
      <c r="B79" s="383">
        <f>'DT Short List'!A169</f>
        <v>0</v>
      </c>
      <c r="C79" s="383">
        <f>'DT Short List'!H169</f>
        <v>0</v>
      </c>
      <c r="D79" s="383">
        <f>'DT Short List'!F169</f>
        <v>0</v>
      </c>
      <c r="E79" s="383"/>
      <c r="F79" s="383"/>
      <c r="G79" s="383"/>
      <c r="H79" s="383"/>
      <c r="I79" s="383"/>
      <c r="J79" s="383"/>
      <c r="K79" s="383"/>
    </row>
    <row r="80" spans="1:11">
      <c r="A80" s="383"/>
      <c r="B80" s="383">
        <f>'DT Short List'!A170</f>
        <v>0</v>
      </c>
      <c r="C80" s="383">
        <f>'DT Short List'!H170</f>
        <v>0</v>
      </c>
      <c r="D80" s="383">
        <f>'DT Short List'!F170</f>
        <v>0</v>
      </c>
      <c r="E80" s="383"/>
      <c r="F80" s="383"/>
      <c r="G80" s="383"/>
      <c r="H80" s="383"/>
      <c r="I80" s="383"/>
      <c r="J80" s="383"/>
      <c r="K80" s="383"/>
    </row>
    <row r="81" spans="1:11">
      <c r="A81" s="383"/>
      <c r="B81" s="383">
        <f>'DT Short List'!A171</f>
        <v>0</v>
      </c>
      <c r="C81" s="383">
        <f>'DT Short List'!H171</f>
        <v>0</v>
      </c>
      <c r="D81" s="383">
        <f>'DT Short List'!F171</f>
        <v>0</v>
      </c>
      <c r="E81" s="383"/>
      <c r="F81" s="383"/>
      <c r="G81" s="383"/>
      <c r="H81" s="383"/>
      <c r="I81" s="383"/>
      <c r="J81" s="383"/>
      <c r="K81" s="383"/>
    </row>
    <row r="82" spans="1:11">
      <c r="A82" s="383"/>
      <c r="B82" s="383">
        <f>'DT Short List'!A172</f>
        <v>0</v>
      </c>
      <c r="C82" s="383">
        <f>'DT Short List'!H172</f>
        <v>0</v>
      </c>
      <c r="D82" s="383">
        <f>'DT Short List'!F172</f>
        <v>0</v>
      </c>
      <c r="E82" s="383"/>
      <c r="F82" s="383"/>
      <c r="G82" s="383"/>
      <c r="H82" s="383"/>
      <c r="I82" s="383"/>
      <c r="J82" s="383"/>
      <c r="K82" s="383"/>
    </row>
    <row r="83" spans="1:11">
      <c r="A83" s="383"/>
      <c r="B83" s="383">
        <f>'DT Short List'!A173</f>
        <v>0</v>
      </c>
      <c r="C83" s="383">
        <f>'DT Short List'!H173</f>
        <v>0</v>
      </c>
      <c r="D83" s="383">
        <f>'DT Short List'!F173</f>
        <v>0</v>
      </c>
      <c r="E83" s="383"/>
      <c r="F83" s="383"/>
      <c r="G83" s="383"/>
      <c r="H83" s="383"/>
      <c r="I83" s="383"/>
      <c r="J83" s="383"/>
      <c r="K83" s="383"/>
    </row>
    <row r="84" spans="1:11">
      <c r="A84" s="383"/>
      <c r="B84" s="383">
        <f>'DT Short List'!A174</f>
        <v>0</v>
      </c>
      <c r="C84" s="383">
        <f>'DT Short List'!H174</f>
        <v>0</v>
      </c>
      <c r="D84" s="383">
        <f>'DT Short List'!F174</f>
        <v>0</v>
      </c>
      <c r="E84" s="383"/>
      <c r="F84" s="383"/>
      <c r="G84" s="383"/>
      <c r="H84" s="383"/>
      <c r="I84" s="383"/>
      <c r="J84" s="383"/>
      <c r="K84" s="383"/>
    </row>
    <row r="85" spans="1:11">
      <c r="A85" s="383"/>
      <c r="B85" s="383"/>
      <c r="C85" s="383"/>
      <c r="D85" s="383"/>
      <c r="E85" s="383"/>
      <c r="F85" s="383"/>
      <c r="G85" s="383"/>
      <c r="H85" s="383"/>
      <c r="I85" s="383"/>
      <c r="J85" s="383"/>
      <c r="K85" s="383"/>
    </row>
    <row r="86" spans="1:11">
      <c r="A86" s="383"/>
      <c r="B86" s="383"/>
      <c r="C86" s="383"/>
      <c r="D86" s="383"/>
      <c r="E86" s="383"/>
      <c r="F86" s="383"/>
      <c r="G86" s="383"/>
      <c r="H86" s="383"/>
      <c r="I86" s="383"/>
      <c r="J86" s="383"/>
      <c r="K86" s="383"/>
    </row>
    <row r="87" spans="1:11">
      <c r="A87" s="383"/>
      <c r="B87" s="383"/>
      <c r="C87" s="383"/>
      <c r="D87" s="383"/>
      <c r="E87" s="383"/>
      <c r="F87" s="383"/>
      <c r="G87" s="383"/>
      <c r="H87" s="383"/>
      <c r="I87" s="383"/>
      <c r="J87" s="383"/>
      <c r="K87" s="383"/>
    </row>
    <row r="88" spans="1:11">
      <c r="A88" s="383"/>
      <c r="B88" s="383"/>
      <c r="C88" s="383"/>
      <c r="D88" s="383"/>
      <c r="E88" s="383"/>
      <c r="F88" s="383"/>
      <c r="G88" s="383"/>
      <c r="H88" s="383"/>
      <c r="I88" s="383"/>
      <c r="J88" s="383"/>
      <c r="K88" s="383"/>
    </row>
    <row r="89" spans="1:11">
      <c r="A89" s="383"/>
      <c r="B89" s="383"/>
      <c r="C89" s="383"/>
      <c r="D89" s="383"/>
      <c r="E89" s="383"/>
      <c r="F89" s="383"/>
      <c r="G89" s="383"/>
      <c r="H89" s="383"/>
      <c r="I89" s="383"/>
      <c r="J89" s="383"/>
      <c r="K89" s="383"/>
    </row>
    <row r="90" spans="1:11">
      <c r="A90" s="383"/>
      <c r="B90" s="383"/>
      <c r="C90" s="383"/>
      <c r="D90" s="383"/>
      <c r="E90" s="383"/>
      <c r="F90" s="383"/>
      <c r="G90" s="383"/>
      <c r="H90" s="383"/>
      <c r="I90" s="383"/>
      <c r="J90" s="383"/>
      <c r="K90" s="383"/>
    </row>
    <row r="91" spans="1:11">
      <c r="A91" s="383"/>
      <c r="B91" s="383"/>
      <c r="C91" s="383"/>
      <c r="D91" s="383"/>
      <c r="E91" s="383"/>
      <c r="F91" s="383"/>
      <c r="G91" s="383"/>
      <c r="H91" s="383"/>
      <c r="I91" s="383"/>
      <c r="J91" s="383"/>
      <c r="K91" s="383"/>
    </row>
    <row r="92" spans="1:11">
      <c r="A92" s="383"/>
      <c r="B92" s="383"/>
      <c r="C92" s="383"/>
      <c r="D92" s="383"/>
      <c r="E92" s="383"/>
      <c r="F92" s="383"/>
      <c r="G92" s="383"/>
      <c r="H92" s="383"/>
      <c r="I92" s="383"/>
      <c r="J92" s="383"/>
      <c r="K92" s="383"/>
    </row>
    <row r="93" spans="1:11">
      <c r="A93" s="383"/>
      <c r="B93" s="383"/>
      <c r="C93" s="383"/>
      <c r="D93" s="383"/>
      <c r="E93" s="383"/>
      <c r="F93" s="383"/>
      <c r="G93" s="383"/>
      <c r="H93" s="383"/>
      <c r="I93" s="383"/>
      <c r="J93" s="383"/>
      <c r="K93" s="383"/>
    </row>
    <row r="94" spans="1:11">
      <c r="A94" s="383"/>
      <c r="B94" s="383"/>
      <c r="C94" s="383"/>
      <c r="D94" s="383"/>
      <c r="E94" s="383"/>
      <c r="F94" s="383"/>
      <c r="G94" s="383"/>
      <c r="H94" s="383"/>
      <c r="I94" s="383"/>
      <c r="J94" s="383"/>
      <c r="K94" s="383"/>
    </row>
    <row r="95" spans="1:11">
      <c r="A95" s="383"/>
      <c r="B95" s="383"/>
      <c r="C95" s="383"/>
      <c r="D95" s="383"/>
      <c r="E95" s="383"/>
      <c r="F95" s="383"/>
      <c r="G95" s="383"/>
      <c r="H95" s="383"/>
      <c r="I95" s="383"/>
      <c r="J95" s="383"/>
      <c r="K95" s="383"/>
    </row>
    <row r="96" spans="1:11">
      <c r="A96" s="383"/>
      <c r="B96" s="383"/>
      <c r="C96" s="383"/>
      <c r="D96" s="383"/>
      <c r="E96" s="383"/>
      <c r="F96" s="383"/>
      <c r="G96" s="383"/>
      <c r="H96" s="383"/>
      <c r="I96" s="383"/>
      <c r="J96" s="383"/>
      <c r="K96" s="383"/>
    </row>
    <row r="97" spans="1:11">
      <c r="A97" s="383"/>
      <c r="B97" s="383"/>
      <c r="C97" s="383"/>
      <c r="D97" s="383"/>
      <c r="E97" s="383"/>
      <c r="F97" s="383"/>
      <c r="G97" s="383"/>
      <c r="H97" s="383"/>
      <c r="I97" s="383"/>
      <c r="J97" s="383"/>
      <c r="K97" s="383"/>
    </row>
    <row r="98" spans="1:11">
      <c r="A98" s="383"/>
      <c r="B98" s="383"/>
      <c r="C98" s="383"/>
      <c r="D98" s="383"/>
      <c r="E98" s="383"/>
      <c r="F98" s="383"/>
      <c r="G98" s="383"/>
      <c r="H98" s="383"/>
      <c r="I98" s="383"/>
      <c r="J98" s="383"/>
      <c r="K98" s="383"/>
    </row>
    <row r="99" spans="1:11">
      <c r="A99" s="383"/>
      <c r="B99" s="383"/>
      <c r="C99" s="383"/>
      <c r="D99" s="383"/>
      <c r="E99" s="383"/>
      <c r="F99" s="383"/>
      <c r="G99" s="383"/>
      <c r="H99" s="383"/>
      <c r="I99" s="383"/>
      <c r="J99" s="383"/>
      <c r="K99" s="383"/>
    </row>
    <row r="100" spans="1:11">
      <c r="A100" s="383"/>
      <c r="B100" s="383"/>
      <c r="C100" s="383"/>
      <c r="D100" s="383"/>
      <c r="E100" s="383"/>
      <c r="F100" s="383"/>
      <c r="G100" s="383"/>
      <c r="H100" s="383"/>
      <c r="I100" s="383"/>
      <c r="J100" s="383"/>
      <c r="K100" s="383"/>
    </row>
    <row r="101" spans="1:11">
      <c r="A101" s="383"/>
      <c r="B101" s="383"/>
      <c r="C101" s="383"/>
      <c r="D101" s="383"/>
      <c r="E101" s="383"/>
      <c r="F101" s="383"/>
      <c r="G101" s="383"/>
      <c r="H101" s="383"/>
      <c r="I101" s="383"/>
      <c r="J101" s="383"/>
      <c r="K101" s="383"/>
    </row>
    <row r="102" spans="1:11">
      <c r="A102" s="383"/>
      <c r="B102" s="383"/>
      <c r="C102" s="383"/>
      <c r="D102" s="383"/>
      <c r="E102" s="383"/>
      <c r="F102" s="383"/>
      <c r="G102" s="383"/>
      <c r="H102" s="383"/>
      <c r="I102" s="383"/>
      <c r="J102" s="383"/>
      <c r="K102" s="383"/>
    </row>
    <row r="103" spans="1:11">
      <c r="A103" s="383"/>
      <c r="B103" s="383"/>
      <c r="C103" s="383"/>
      <c r="D103" s="383"/>
      <c r="E103" s="383"/>
      <c r="F103" s="383"/>
      <c r="G103" s="383"/>
      <c r="H103" s="383"/>
      <c r="I103" s="383"/>
      <c r="J103" s="383"/>
      <c r="K103" s="383"/>
    </row>
    <row r="104" spans="1:11">
      <c r="A104" s="383"/>
      <c r="B104" s="383"/>
      <c r="C104" s="383"/>
      <c r="D104" s="383"/>
      <c r="E104" s="383"/>
      <c r="F104" s="383"/>
      <c r="G104" s="383"/>
      <c r="H104" s="383"/>
      <c r="I104" s="383"/>
      <c r="J104" s="383"/>
      <c r="K104" s="383"/>
    </row>
    <row r="105" spans="1:11">
      <c r="A105" s="383"/>
      <c r="B105" s="383"/>
      <c r="C105" s="383"/>
      <c r="D105" s="383"/>
      <c r="E105" s="383"/>
      <c r="F105" s="383"/>
      <c r="G105" s="383"/>
      <c r="H105" s="383"/>
      <c r="I105" s="383"/>
      <c r="J105" s="383"/>
      <c r="K105" s="383"/>
    </row>
    <row r="106" spans="1:11">
      <c r="A106" s="383"/>
      <c r="B106" s="383"/>
      <c r="C106" s="383"/>
      <c r="D106" s="383"/>
      <c r="E106" s="383"/>
      <c r="F106" s="383"/>
      <c r="G106" s="383"/>
      <c r="H106" s="383"/>
      <c r="I106" s="383"/>
      <c r="J106" s="383"/>
      <c r="K106" s="383"/>
    </row>
    <row r="107" spans="1:11">
      <c r="A107" s="383"/>
      <c r="B107" s="383"/>
      <c r="C107" s="383"/>
      <c r="D107" s="383"/>
      <c r="E107" s="383"/>
      <c r="F107" s="383"/>
      <c r="G107" s="383"/>
      <c r="H107" s="383"/>
      <c r="I107" s="383"/>
      <c r="J107" s="383"/>
      <c r="K107" s="383"/>
    </row>
    <row r="108" spans="1:11">
      <c r="A108" s="383"/>
      <c r="B108" s="383"/>
      <c r="C108" s="383"/>
      <c r="D108" s="383"/>
      <c r="E108" s="383"/>
      <c r="F108" s="383"/>
      <c r="G108" s="383"/>
      <c r="H108" s="383"/>
      <c r="I108" s="383"/>
      <c r="J108" s="383"/>
      <c r="K108" s="383"/>
    </row>
    <row r="109" spans="1:11">
      <c r="A109" s="383"/>
      <c r="B109" s="383"/>
      <c r="C109" s="383"/>
      <c r="D109" s="383"/>
      <c r="E109" s="383"/>
      <c r="F109" s="383"/>
      <c r="G109" s="383"/>
      <c r="H109" s="383"/>
      <c r="I109" s="383"/>
      <c r="J109" s="383"/>
      <c r="K109" s="383"/>
    </row>
    <row r="110" spans="1:11">
      <c r="A110" s="383"/>
      <c r="B110" s="383"/>
      <c r="C110" s="383"/>
      <c r="D110" s="383"/>
      <c r="E110" s="383"/>
      <c r="F110" s="383"/>
      <c r="G110" s="383"/>
      <c r="H110" s="383"/>
      <c r="I110" s="383"/>
      <c r="J110" s="383"/>
      <c r="K110" s="383"/>
    </row>
    <row r="111" spans="1:11">
      <c r="A111" s="383"/>
      <c r="B111" s="383"/>
      <c r="C111" s="383"/>
      <c r="D111" s="383"/>
      <c r="E111" s="383"/>
      <c r="F111" s="383"/>
      <c r="G111" s="383"/>
      <c r="H111" s="383"/>
      <c r="I111" s="383"/>
      <c r="J111" s="383"/>
      <c r="K111" s="383"/>
    </row>
    <row r="112" spans="1:11">
      <c r="A112" s="383"/>
      <c r="B112" s="383"/>
      <c r="C112" s="383"/>
      <c r="D112" s="383"/>
      <c r="E112" s="383"/>
      <c r="F112" s="383"/>
      <c r="G112" s="383"/>
      <c r="H112" s="383"/>
      <c r="I112" s="383"/>
      <c r="J112" s="383"/>
      <c r="K112" s="383"/>
    </row>
    <row r="113" spans="1:11">
      <c r="A113" s="383"/>
      <c r="B113" s="383"/>
      <c r="C113" s="383"/>
      <c r="D113" s="383"/>
      <c r="E113" s="383"/>
      <c r="F113" s="383"/>
      <c r="G113" s="383"/>
      <c r="H113" s="383"/>
      <c r="I113" s="383"/>
      <c r="J113" s="383"/>
      <c r="K113" s="383"/>
    </row>
    <row r="114" spans="1:11">
      <c r="A114" s="383"/>
      <c r="B114" s="383"/>
      <c r="C114" s="383"/>
      <c r="D114" s="383"/>
      <c r="E114" s="383"/>
      <c r="F114" s="383"/>
      <c r="G114" s="383"/>
      <c r="H114" s="383"/>
      <c r="I114" s="383"/>
      <c r="J114" s="383"/>
      <c r="K114" s="383"/>
    </row>
    <row r="115" spans="1:11">
      <c r="A115" s="383"/>
      <c r="B115" s="383"/>
      <c r="C115" s="383"/>
      <c r="D115" s="383"/>
      <c r="E115" s="383"/>
      <c r="F115" s="383"/>
      <c r="G115" s="383"/>
      <c r="H115" s="383"/>
      <c r="I115" s="383"/>
      <c r="J115" s="383"/>
      <c r="K115" s="383"/>
    </row>
    <row r="116" spans="1:11">
      <c r="A116" s="383"/>
      <c r="B116" s="383"/>
      <c r="C116" s="383"/>
      <c r="D116" s="383"/>
      <c r="E116" s="383"/>
      <c r="F116" s="383"/>
      <c r="G116" s="383"/>
      <c r="H116" s="383"/>
      <c r="I116" s="383"/>
      <c r="J116" s="383"/>
      <c r="K116" s="383"/>
    </row>
    <row r="117" spans="1:11">
      <c r="A117" s="383"/>
      <c r="B117" s="383"/>
      <c r="C117" s="383"/>
      <c r="D117" s="383"/>
      <c r="E117" s="383"/>
      <c r="F117" s="383"/>
      <c r="G117" s="383"/>
      <c r="H117" s="383"/>
      <c r="I117" s="383"/>
      <c r="J117" s="383"/>
      <c r="K117" s="383"/>
    </row>
    <row r="118" spans="1:11">
      <c r="A118" s="383"/>
      <c r="B118" s="383"/>
      <c r="C118" s="383"/>
      <c r="D118" s="383"/>
      <c r="E118" s="383"/>
      <c r="F118" s="383"/>
      <c r="G118" s="383"/>
      <c r="H118" s="383"/>
      <c r="I118" s="383"/>
      <c r="J118" s="383"/>
      <c r="K118" s="383"/>
    </row>
    <row r="119" spans="1:11">
      <c r="A119" s="383"/>
      <c r="B119" s="383"/>
      <c r="C119" s="383"/>
      <c r="D119" s="383"/>
      <c r="E119" s="383"/>
      <c r="F119" s="383"/>
      <c r="G119" s="383"/>
      <c r="H119" s="383"/>
      <c r="I119" s="383"/>
      <c r="J119" s="383"/>
      <c r="K119" s="383"/>
    </row>
    <row r="120" spans="1:11">
      <c r="A120" s="383"/>
      <c r="B120" s="383"/>
      <c r="C120" s="383"/>
      <c r="D120" s="383"/>
      <c r="E120" s="383"/>
      <c r="F120" s="383"/>
      <c r="G120" s="383"/>
      <c r="H120" s="383"/>
      <c r="I120" s="383"/>
      <c r="J120" s="383"/>
      <c r="K120" s="383"/>
    </row>
    <row r="121" spans="1:11">
      <c r="A121" s="383"/>
      <c r="B121" s="383"/>
      <c r="C121" s="383"/>
      <c r="D121" s="383"/>
      <c r="E121" s="383"/>
      <c r="F121" s="383"/>
      <c r="G121" s="383"/>
      <c r="H121" s="383"/>
      <c r="I121" s="383"/>
      <c r="J121" s="383"/>
      <c r="K121" s="383"/>
    </row>
    <row r="122" spans="1:11">
      <c r="A122" s="383"/>
      <c r="B122" s="383"/>
      <c r="C122" s="383"/>
      <c r="D122" s="383"/>
      <c r="E122" s="383"/>
      <c r="F122" s="383"/>
      <c r="G122" s="383"/>
      <c r="H122" s="383"/>
      <c r="I122" s="383"/>
      <c r="J122" s="383"/>
      <c r="K122" s="383"/>
    </row>
    <row r="123" spans="1:11">
      <c r="A123" s="383"/>
      <c r="B123" s="383"/>
      <c r="C123" s="383"/>
      <c r="D123" s="383"/>
      <c r="E123" s="383"/>
      <c r="F123" s="383"/>
      <c r="G123" s="383"/>
      <c r="H123" s="383"/>
      <c r="I123" s="383"/>
      <c r="J123" s="383"/>
      <c r="K123" s="383"/>
    </row>
    <row r="124" spans="1:11">
      <c r="A124" s="383"/>
      <c r="B124" s="383"/>
      <c r="C124" s="383"/>
      <c r="D124" s="383"/>
      <c r="E124" s="383"/>
      <c r="F124" s="383"/>
      <c r="G124" s="383"/>
      <c r="H124" s="383"/>
      <c r="I124" s="383"/>
      <c r="J124" s="383"/>
      <c r="K124" s="383"/>
    </row>
    <row r="125" spans="1:11">
      <c r="A125" s="383"/>
      <c r="B125" s="383"/>
      <c r="C125" s="383"/>
      <c r="D125" s="383"/>
      <c r="E125" s="383"/>
      <c r="F125" s="383"/>
      <c r="G125" s="383"/>
      <c r="H125" s="383"/>
      <c r="I125" s="383"/>
      <c r="J125" s="383"/>
      <c r="K125" s="383"/>
    </row>
    <row r="126" spans="1:11">
      <c r="A126" s="383"/>
      <c r="B126" s="383"/>
      <c r="C126" s="383"/>
      <c r="D126" s="383"/>
      <c r="E126" s="383"/>
      <c r="F126" s="383"/>
      <c r="G126" s="383"/>
      <c r="H126" s="383"/>
      <c r="I126" s="383"/>
      <c r="J126" s="383"/>
      <c r="K126" s="383"/>
    </row>
    <row r="127" spans="1:11">
      <c r="A127" s="383"/>
      <c r="B127" s="383"/>
      <c r="C127" s="383"/>
      <c r="D127" s="383"/>
      <c r="E127" s="383"/>
      <c r="F127" s="383"/>
      <c r="G127" s="383"/>
      <c r="H127" s="383"/>
      <c r="I127" s="383"/>
      <c r="J127" s="383"/>
      <c r="K127" s="383"/>
    </row>
    <row r="128" spans="1:11">
      <c r="A128" s="383"/>
      <c r="B128" s="383"/>
      <c r="C128" s="383"/>
      <c r="D128" s="383"/>
      <c r="E128" s="383"/>
      <c r="F128" s="383"/>
      <c r="G128" s="383"/>
      <c r="H128" s="383"/>
      <c r="I128" s="383"/>
      <c r="J128" s="383"/>
      <c r="K128" s="383"/>
    </row>
    <row r="129" spans="1:11">
      <c r="A129" s="383"/>
      <c r="B129" s="383"/>
      <c r="C129" s="383"/>
      <c r="D129" s="383"/>
      <c r="E129" s="383"/>
      <c r="F129" s="383"/>
      <c r="G129" s="383"/>
      <c r="H129" s="383"/>
      <c r="I129" s="383"/>
      <c r="J129" s="383"/>
      <c r="K129" s="383"/>
    </row>
    <row r="130" spans="1:11">
      <c r="A130" s="383"/>
      <c r="B130" s="383"/>
      <c r="C130" s="383"/>
      <c r="D130" s="383"/>
      <c r="E130" s="383"/>
      <c r="F130" s="383"/>
      <c r="G130" s="383"/>
      <c r="H130" s="383"/>
      <c r="I130" s="383"/>
      <c r="J130" s="383"/>
      <c r="K130" s="383"/>
    </row>
    <row r="131" spans="1:11">
      <c r="A131" s="383"/>
      <c r="B131" s="383"/>
      <c r="C131" s="383"/>
      <c r="D131" s="383"/>
      <c r="E131" s="383"/>
      <c r="F131" s="383"/>
      <c r="G131" s="383"/>
      <c r="H131" s="383"/>
      <c r="I131" s="383"/>
      <c r="J131" s="383"/>
      <c r="K131" s="383"/>
    </row>
    <row r="132" spans="1:11">
      <c r="A132" s="383"/>
      <c r="B132" s="383"/>
      <c r="C132" s="383"/>
      <c r="D132" s="383"/>
      <c r="E132" s="383"/>
      <c r="F132" s="383"/>
      <c r="G132" s="383"/>
      <c r="H132" s="383"/>
      <c r="I132" s="383"/>
      <c r="J132" s="383"/>
      <c r="K132" s="383"/>
    </row>
    <row r="133" spans="1:11">
      <c r="A133" s="383"/>
      <c r="B133" s="383"/>
      <c r="C133" s="383"/>
      <c r="D133" s="383"/>
      <c r="E133" s="383"/>
      <c r="F133" s="383"/>
      <c r="G133" s="383"/>
      <c r="H133" s="383"/>
      <c r="I133" s="383"/>
      <c r="J133" s="383"/>
      <c r="K133" s="383"/>
    </row>
    <row r="134" spans="1:11">
      <c r="A134" s="383"/>
      <c r="B134" s="383"/>
      <c r="C134" s="383"/>
      <c r="D134" s="383"/>
      <c r="E134" s="383"/>
      <c r="F134" s="383"/>
      <c r="G134" s="383"/>
      <c r="H134" s="383"/>
      <c r="I134" s="383"/>
      <c r="J134" s="383"/>
      <c r="K134" s="383"/>
    </row>
    <row r="135" spans="1:11">
      <c r="A135" s="383"/>
      <c r="B135" s="383"/>
      <c r="C135" s="383"/>
      <c r="D135" s="383"/>
      <c r="E135" s="383"/>
      <c r="F135" s="383"/>
      <c r="G135" s="383"/>
      <c r="H135" s="383"/>
      <c r="I135" s="383"/>
      <c r="J135" s="383"/>
      <c r="K135" s="383"/>
    </row>
    <row r="136" spans="1:11">
      <c r="A136" s="383"/>
      <c r="B136" s="383"/>
      <c r="C136" s="383"/>
      <c r="D136" s="383"/>
      <c r="E136" s="383"/>
      <c r="F136" s="383"/>
      <c r="G136" s="383"/>
      <c r="H136" s="383"/>
      <c r="I136" s="383"/>
      <c r="J136" s="383"/>
      <c r="K136" s="383"/>
    </row>
    <row r="137" spans="1:11">
      <c r="A137" s="383"/>
      <c r="B137" s="383"/>
      <c r="C137" s="383"/>
      <c r="D137" s="383"/>
      <c r="E137" s="383"/>
      <c r="F137" s="383"/>
      <c r="G137" s="383"/>
      <c r="H137" s="383"/>
      <c r="I137" s="383"/>
      <c r="J137" s="383"/>
      <c r="K137" s="383"/>
    </row>
    <row r="138" spans="1:11">
      <c r="A138" s="383"/>
      <c r="B138" s="383"/>
      <c r="C138" s="383"/>
      <c r="D138" s="383"/>
      <c r="E138" s="383"/>
      <c r="F138" s="383"/>
      <c r="G138" s="383"/>
      <c r="H138" s="383"/>
      <c r="I138" s="383"/>
      <c r="J138" s="383"/>
      <c r="K138" s="383"/>
    </row>
    <row r="139" spans="1:11">
      <c r="A139" s="383"/>
      <c r="B139" s="383"/>
      <c r="C139" s="383"/>
      <c r="D139" s="383"/>
      <c r="E139" s="383"/>
      <c r="F139" s="383"/>
      <c r="G139" s="383"/>
      <c r="H139" s="383"/>
      <c r="I139" s="383"/>
      <c r="J139" s="383"/>
      <c r="K139" s="383"/>
    </row>
    <row r="140" spans="1:11">
      <c r="A140" s="383"/>
      <c r="B140" s="383"/>
      <c r="C140" s="383"/>
      <c r="D140" s="383"/>
      <c r="E140" s="383"/>
      <c r="F140" s="383"/>
      <c r="G140" s="383"/>
      <c r="H140" s="383"/>
      <c r="I140" s="383"/>
      <c r="J140" s="383"/>
      <c r="K140" s="383"/>
    </row>
    <row r="141" spans="1:11">
      <c r="A141" s="383"/>
      <c r="B141" s="383"/>
      <c r="C141" s="383"/>
      <c r="D141" s="383"/>
      <c r="E141" s="383"/>
      <c r="F141" s="383"/>
      <c r="G141" s="383"/>
      <c r="H141" s="383"/>
      <c r="I141" s="383"/>
      <c r="J141" s="383"/>
      <c r="K141" s="383"/>
    </row>
    <row r="142" spans="1:11">
      <c r="A142" s="383"/>
      <c r="B142" s="383"/>
      <c r="C142" s="383"/>
      <c r="D142" s="383"/>
      <c r="E142" s="383"/>
      <c r="F142" s="383"/>
      <c r="G142" s="383"/>
      <c r="H142" s="383"/>
      <c r="I142" s="383"/>
      <c r="J142" s="383"/>
      <c r="K142" s="383"/>
    </row>
    <row r="143" spans="1:11">
      <c r="A143" s="383"/>
      <c r="B143" s="383"/>
      <c r="C143" s="383"/>
      <c r="D143" s="383"/>
      <c r="E143" s="383"/>
      <c r="F143" s="383"/>
      <c r="G143" s="383"/>
      <c r="H143" s="383"/>
      <c r="I143" s="383"/>
      <c r="J143" s="383"/>
      <c r="K143" s="383"/>
    </row>
    <row r="144" spans="1:11">
      <c r="A144" s="383"/>
      <c r="B144" s="383"/>
      <c r="C144" s="383"/>
      <c r="D144" s="383"/>
      <c r="E144" s="383"/>
      <c r="F144" s="383"/>
      <c r="G144" s="383"/>
      <c r="H144" s="383"/>
      <c r="I144" s="383"/>
      <c r="J144" s="383"/>
      <c r="K144" s="383"/>
    </row>
    <row r="145" spans="1:11">
      <c r="A145" s="383"/>
      <c r="B145" s="383"/>
      <c r="C145" s="383"/>
      <c r="D145" s="383"/>
      <c r="E145" s="383"/>
      <c r="F145" s="383"/>
      <c r="G145" s="383"/>
      <c r="H145" s="383"/>
      <c r="I145" s="383"/>
      <c r="J145" s="383"/>
      <c r="K145" s="383"/>
    </row>
    <row r="146" spans="1:11">
      <c r="A146" s="383"/>
      <c r="B146" s="383"/>
      <c r="C146" s="383"/>
      <c r="D146" s="383"/>
      <c r="E146" s="383"/>
      <c r="F146" s="383"/>
      <c r="G146" s="383"/>
      <c r="H146" s="383"/>
      <c r="I146" s="383"/>
      <c r="J146" s="383"/>
      <c r="K146" s="383"/>
    </row>
    <row r="147" spans="1:11">
      <c r="A147" s="383"/>
      <c r="B147" s="383"/>
      <c r="C147" s="383"/>
      <c r="D147" s="383"/>
      <c r="E147" s="383"/>
      <c r="F147" s="383"/>
      <c r="G147" s="383"/>
      <c r="H147" s="383"/>
      <c r="I147" s="383"/>
      <c r="J147" s="383"/>
      <c r="K147" s="383"/>
    </row>
    <row r="148" spans="1:11">
      <c r="A148" s="383"/>
      <c r="B148" s="383"/>
      <c r="C148" s="383"/>
      <c r="D148" s="383"/>
      <c r="E148" s="383"/>
      <c r="F148" s="383"/>
      <c r="G148" s="383"/>
      <c r="H148" s="383"/>
      <c r="I148" s="383"/>
      <c r="J148" s="383"/>
      <c r="K148" s="383"/>
    </row>
    <row r="149" spans="1:11">
      <c r="A149" s="383"/>
      <c r="B149" s="383"/>
      <c r="C149" s="383"/>
      <c r="D149" s="383"/>
      <c r="E149" s="383"/>
      <c r="F149" s="383"/>
      <c r="G149" s="383"/>
      <c r="H149" s="383"/>
      <c r="I149" s="383"/>
      <c r="J149" s="383"/>
      <c r="K149" s="383"/>
    </row>
    <row r="150" spans="1:11">
      <c r="A150" s="383"/>
      <c r="B150" s="383"/>
      <c r="C150" s="383"/>
      <c r="D150" s="383"/>
      <c r="E150" s="383"/>
      <c r="F150" s="383"/>
      <c r="G150" s="383"/>
      <c r="H150" s="383"/>
      <c r="I150" s="383"/>
      <c r="J150" s="383"/>
      <c r="K150" s="383"/>
    </row>
    <row r="151" spans="1:11">
      <c r="A151" s="383"/>
      <c r="B151" s="383"/>
      <c r="C151" s="383"/>
      <c r="D151" s="383"/>
      <c r="E151" s="383"/>
      <c r="F151" s="383"/>
      <c r="G151" s="383"/>
      <c r="H151" s="383"/>
      <c r="I151" s="383"/>
      <c r="J151" s="383"/>
      <c r="K151" s="383"/>
    </row>
    <row r="152" spans="1:11">
      <c r="A152" s="383"/>
      <c r="B152" s="383"/>
      <c r="C152" s="383"/>
      <c r="D152" s="383"/>
      <c r="E152" s="383"/>
      <c r="F152" s="383"/>
      <c r="G152" s="383"/>
      <c r="H152" s="383"/>
      <c r="I152" s="383"/>
      <c r="J152" s="383"/>
      <c r="K152" s="383"/>
    </row>
    <row r="153" spans="1:11">
      <c r="A153" s="383"/>
      <c r="B153" s="383"/>
      <c r="C153" s="383"/>
      <c r="D153" s="383"/>
      <c r="E153" s="383"/>
      <c r="F153" s="383"/>
      <c r="G153" s="383"/>
      <c r="H153" s="383"/>
      <c r="I153" s="383"/>
      <c r="J153" s="383"/>
      <c r="K153" s="383"/>
    </row>
    <row r="154" spans="1:11">
      <c r="A154" s="383"/>
      <c r="B154" s="383"/>
      <c r="C154" s="383"/>
      <c r="D154" s="383"/>
      <c r="E154" s="383"/>
      <c r="F154" s="383"/>
      <c r="G154" s="383"/>
      <c r="H154" s="383"/>
      <c r="I154" s="383"/>
      <c r="J154" s="383"/>
      <c r="K154" s="383"/>
    </row>
    <row r="155" spans="1:11">
      <c r="A155" s="383"/>
      <c r="B155" s="383"/>
      <c r="C155" s="383"/>
      <c r="D155" s="383"/>
      <c r="E155" s="383"/>
      <c r="F155" s="383"/>
      <c r="G155" s="383"/>
      <c r="H155" s="383"/>
      <c r="I155" s="383"/>
      <c r="J155" s="383"/>
      <c r="K155" s="383"/>
    </row>
    <row r="156" spans="1:11">
      <c r="A156" s="383"/>
      <c r="B156" s="383"/>
      <c r="C156" s="383"/>
      <c r="D156" s="383"/>
      <c r="E156" s="383"/>
      <c r="F156" s="383"/>
      <c r="G156" s="383"/>
      <c r="H156" s="383"/>
      <c r="I156" s="383"/>
      <c r="J156" s="383"/>
      <c r="K156" s="383"/>
    </row>
    <row r="157" spans="1:11">
      <c r="A157" s="383"/>
      <c r="B157" s="383"/>
      <c r="C157" s="383"/>
      <c r="D157" s="383"/>
      <c r="E157" s="383"/>
      <c r="F157" s="383"/>
      <c r="G157" s="383"/>
      <c r="H157" s="383"/>
      <c r="I157" s="383"/>
      <c r="J157" s="383"/>
      <c r="K157" s="383"/>
    </row>
    <row r="158" spans="1:11">
      <c r="A158" s="383"/>
      <c r="B158" s="383"/>
      <c r="C158" s="383"/>
      <c r="D158" s="383"/>
      <c r="E158" s="383"/>
      <c r="F158" s="383"/>
      <c r="G158" s="383"/>
      <c r="H158" s="383"/>
      <c r="I158" s="383"/>
      <c r="J158" s="383"/>
      <c r="K158" s="383"/>
    </row>
    <row r="159" spans="1:11">
      <c r="A159" s="383"/>
      <c r="B159" s="383"/>
      <c r="C159" s="383"/>
      <c r="D159" s="383"/>
      <c r="E159" s="383"/>
      <c r="F159" s="383"/>
      <c r="G159" s="383"/>
      <c r="H159" s="383"/>
      <c r="I159" s="383"/>
      <c r="J159" s="383"/>
      <c r="K159" s="383"/>
    </row>
    <row r="160" spans="1:11">
      <c r="A160" s="383"/>
      <c r="B160" s="383"/>
      <c r="C160" s="383"/>
      <c r="D160" s="383"/>
      <c r="E160" s="383"/>
      <c r="F160" s="383"/>
      <c r="G160" s="383"/>
      <c r="H160" s="383"/>
      <c r="I160" s="383"/>
      <c r="J160" s="383"/>
      <c r="K160" s="383"/>
    </row>
    <row r="161" spans="1:11">
      <c r="A161" s="383"/>
      <c r="B161" s="383"/>
      <c r="C161" s="383"/>
      <c r="D161" s="383"/>
      <c r="E161" s="383"/>
      <c r="F161" s="383"/>
      <c r="G161" s="383"/>
      <c r="H161" s="383"/>
      <c r="I161" s="383"/>
      <c r="J161" s="383"/>
      <c r="K161" s="383"/>
    </row>
    <row r="162" spans="1:11">
      <c r="A162" s="383"/>
      <c r="B162" s="383"/>
      <c r="C162" s="383"/>
      <c r="D162" s="383"/>
      <c r="E162" s="383"/>
      <c r="F162" s="383"/>
      <c r="G162" s="383"/>
      <c r="H162" s="383"/>
      <c r="I162" s="383"/>
      <c r="J162" s="383"/>
      <c r="K162" s="383"/>
    </row>
    <row r="163" spans="1:11">
      <c r="A163" s="383"/>
      <c r="B163" s="383"/>
      <c r="C163" s="383"/>
      <c r="D163" s="383"/>
      <c r="E163" s="383"/>
      <c r="F163" s="383"/>
      <c r="G163" s="383"/>
      <c r="H163" s="383"/>
      <c r="I163" s="383"/>
      <c r="J163" s="383"/>
      <c r="K163" s="383"/>
    </row>
    <row r="164" spans="1:11">
      <c r="A164" s="383"/>
      <c r="B164" s="383"/>
      <c r="C164" s="383"/>
      <c r="D164" s="383"/>
      <c r="E164" s="383"/>
      <c r="F164" s="383"/>
      <c r="G164" s="383"/>
      <c r="H164" s="383"/>
      <c r="I164" s="383"/>
      <c r="J164" s="383"/>
      <c r="K164" s="383"/>
    </row>
    <row r="165" spans="1:11">
      <c r="A165" s="383"/>
      <c r="B165" s="383"/>
      <c r="C165" s="383"/>
      <c r="D165" s="383"/>
      <c r="E165" s="383"/>
      <c r="F165" s="383"/>
      <c r="G165" s="383"/>
      <c r="H165" s="383"/>
      <c r="I165" s="383"/>
      <c r="J165" s="383"/>
      <c r="K165" s="383"/>
    </row>
    <row r="166" spans="1:11">
      <c r="A166" s="383"/>
      <c r="B166" s="383"/>
      <c r="C166" s="383"/>
      <c r="D166" s="383"/>
      <c r="E166" s="383"/>
      <c r="F166" s="383"/>
      <c r="G166" s="383"/>
      <c r="H166" s="383"/>
      <c r="I166" s="383"/>
      <c r="J166" s="383"/>
      <c r="K166" s="383"/>
    </row>
    <row r="167" spans="1:11">
      <c r="A167" s="383"/>
      <c r="B167" s="383"/>
      <c r="C167" s="383"/>
      <c r="D167" s="383"/>
      <c r="E167" s="383"/>
      <c r="F167" s="383"/>
      <c r="G167" s="383"/>
      <c r="H167" s="383"/>
      <c r="I167" s="383"/>
      <c r="J167" s="383"/>
      <c r="K167" s="383"/>
    </row>
    <row r="168" spans="1:11">
      <c r="A168" s="383"/>
      <c r="B168" s="383"/>
      <c r="C168" s="383"/>
      <c r="D168" s="383"/>
      <c r="E168" s="383"/>
      <c r="F168" s="383"/>
      <c r="G168" s="383"/>
      <c r="H168" s="383"/>
      <c r="I168" s="383"/>
      <c r="J168" s="383"/>
      <c r="K168" s="383"/>
    </row>
    <row r="169" spans="1:11">
      <c r="A169" s="383"/>
      <c r="B169" s="383"/>
      <c r="C169" s="383"/>
      <c r="D169" s="383"/>
      <c r="E169" s="383"/>
      <c r="F169" s="383"/>
      <c r="G169" s="383"/>
      <c r="H169" s="383"/>
      <c r="I169" s="383"/>
      <c r="J169" s="383"/>
      <c r="K169" s="383"/>
    </row>
    <row r="170" spans="1:11">
      <c r="A170" s="383"/>
      <c r="B170" s="383"/>
      <c r="C170" s="383"/>
      <c r="D170" s="383"/>
      <c r="E170" s="383"/>
      <c r="F170" s="383"/>
      <c r="G170" s="383"/>
      <c r="H170" s="383"/>
      <c r="I170" s="383"/>
      <c r="J170" s="383"/>
      <c r="K170" s="383"/>
    </row>
    <row r="171" spans="1:11">
      <c r="A171" s="383"/>
      <c r="B171" s="383"/>
      <c r="C171" s="383"/>
      <c r="D171" s="383"/>
      <c r="E171" s="383"/>
      <c r="F171" s="383"/>
      <c r="G171" s="383"/>
      <c r="H171" s="383"/>
      <c r="I171" s="383"/>
      <c r="J171" s="383"/>
      <c r="K171" s="383"/>
    </row>
    <row r="172" spans="1:11">
      <c r="A172" s="383"/>
      <c r="B172" s="383"/>
      <c r="C172" s="383"/>
      <c r="D172" s="383"/>
      <c r="E172" s="383"/>
      <c r="F172" s="383"/>
      <c r="G172" s="383"/>
      <c r="H172" s="383"/>
      <c r="I172" s="383"/>
      <c r="J172" s="383"/>
      <c r="K172" s="383"/>
    </row>
    <row r="173" spans="1:11">
      <c r="A173" s="383"/>
      <c r="B173" s="383"/>
      <c r="C173" s="383"/>
      <c r="D173" s="383"/>
      <c r="E173" s="383"/>
      <c r="F173" s="383"/>
      <c r="G173" s="383"/>
      <c r="H173" s="383"/>
      <c r="I173" s="383"/>
      <c r="J173" s="383"/>
      <c r="K173" s="383"/>
    </row>
    <row r="174" spans="1:11">
      <c r="A174" s="383"/>
      <c r="B174" s="383"/>
      <c r="C174" s="383"/>
      <c r="D174" s="383"/>
      <c r="E174" s="383"/>
      <c r="F174" s="383"/>
      <c r="G174" s="383"/>
      <c r="H174" s="383"/>
      <c r="I174" s="383"/>
      <c r="J174" s="383"/>
      <c r="K174" s="383"/>
    </row>
    <row r="175" spans="1:11">
      <c r="A175" s="383"/>
      <c r="B175" s="383"/>
      <c r="C175" s="383"/>
      <c r="D175" s="383"/>
      <c r="E175" s="383"/>
      <c r="F175" s="383"/>
      <c r="G175" s="383"/>
      <c r="H175" s="383"/>
      <c r="I175" s="383"/>
      <c r="J175" s="383"/>
      <c r="K175" s="383"/>
    </row>
    <row r="176" spans="1:11">
      <c r="A176" s="383"/>
      <c r="B176" s="383"/>
      <c r="C176" s="383"/>
      <c r="D176" s="383"/>
      <c r="E176" s="383"/>
      <c r="F176" s="383"/>
      <c r="G176" s="383"/>
      <c r="H176" s="383"/>
      <c r="I176" s="383"/>
      <c r="J176" s="383"/>
      <c r="K176" s="383"/>
    </row>
    <row r="177" spans="1:11">
      <c r="A177" s="383"/>
      <c r="B177" s="383"/>
      <c r="C177" s="383"/>
      <c r="D177" s="383"/>
      <c r="E177" s="383"/>
      <c r="F177" s="383"/>
      <c r="G177" s="383"/>
      <c r="H177" s="383"/>
      <c r="I177" s="383"/>
      <c r="J177" s="383"/>
      <c r="K177" s="383"/>
    </row>
    <row r="178" spans="1:11">
      <c r="A178" s="383"/>
      <c r="B178" s="383"/>
      <c r="C178" s="383"/>
      <c r="D178" s="383"/>
      <c r="E178" s="383"/>
      <c r="F178" s="383"/>
      <c r="G178" s="383"/>
      <c r="H178" s="383"/>
      <c r="I178" s="383"/>
      <c r="J178" s="383"/>
      <c r="K178" s="383"/>
    </row>
    <row r="179" spans="1:11">
      <c r="A179" s="383"/>
      <c r="B179" s="383"/>
      <c r="C179" s="383"/>
      <c r="D179" s="383"/>
      <c r="E179" s="383"/>
      <c r="F179" s="383"/>
      <c r="G179" s="383"/>
      <c r="H179" s="383"/>
      <c r="I179" s="383"/>
      <c r="J179" s="383"/>
      <c r="K179" s="383"/>
    </row>
    <row r="180" spans="1:11">
      <c r="A180" s="383"/>
      <c r="B180" s="383"/>
      <c r="C180" s="383"/>
      <c r="D180" s="383"/>
      <c r="E180" s="383"/>
      <c r="F180" s="383"/>
      <c r="G180" s="383"/>
      <c r="H180" s="383"/>
      <c r="I180" s="383"/>
      <c r="J180" s="383"/>
      <c r="K180" s="383"/>
    </row>
    <row r="181" spans="1:11">
      <c r="A181" s="383"/>
      <c r="B181" s="383"/>
      <c r="C181" s="383"/>
      <c r="D181" s="383"/>
      <c r="E181" s="383"/>
      <c r="F181" s="383"/>
      <c r="G181" s="383"/>
      <c r="H181" s="383"/>
      <c r="I181" s="383"/>
      <c r="J181" s="383"/>
      <c r="K181" s="383"/>
    </row>
    <row r="182" spans="1:11">
      <c r="A182" s="383"/>
      <c r="B182" s="383"/>
      <c r="C182" s="383"/>
      <c r="D182" s="383"/>
      <c r="E182" s="383"/>
      <c r="F182" s="383"/>
      <c r="G182" s="383"/>
      <c r="H182" s="383"/>
      <c r="I182" s="383"/>
      <c r="J182" s="383"/>
      <c r="K182" s="383"/>
    </row>
    <row r="183" spans="1:11">
      <c r="A183" s="383"/>
      <c r="B183" s="383"/>
      <c r="C183" s="383"/>
      <c r="D183" s="383"/>
      <c r="E183" s="383"/>
      <c r="F183" s="383"/>
      <c r="G183" s="383"/>
      <c r="H183" s="383"/>
      <c r="I183" s="383"/>
      <c r="J183" s="383"/>
      <c r="K183" s="383"/>
    </row>
    <row r="184" spans="1:11">
      <c r="A184" s="383"/>
      <c r="B184" s="383"/>
      <c r="C184" s="383"/>
      <c r="D184" s="383"/>
      <c r="E184" s="383"/>
      <c r="F184" s="383"/>
      <c r="G184" s="383"/>
      <c r="H184" s="383"/>
      <c r="I184" s="383"/>
      <c r="J184" s="383"/>
      <c r="K184" s="383"/>
    </row>
    <row r="185" spans="1:11">
      <c r="A185" s="383"/>
      <c r="B185" s="383"/>
      <c r="C185" s="383"/>
      <c r="D185" s="383"/>
      <c r="E185" s="383"/>
      <c r="F185" s="383"/>
      <c r="G185" s="383"/>
      <c r="H185" s="383"/>
      <c r="I185" s="383"/>
      <c r="J185" s="383"/>
      <c r="K185" s="383"/>
    </row>
    <row r="186" spans="1:11">
      <c r="A186" s="383"/>
      <c r="B186" s="383"/>
      <c r="C186" s="383"/>
      <c r="D186" s="383"/>
      <c r="E186" s="383"/>
      <c r="F186" s="383"/>
      <c r="G186" s="383"/>
      <c r="H186" s="383"/>
      <c r="I186" s="383"/>
      <c r="J186" s="383"/>
      <c r="K186" s="383"/>
    </row>
    <row r="187" spans="1:11">
      <c r="A187" s="383"/>
      <c r="B187" s="383"/>
      <c r="C187" s="383"/>
      <c r="D187" s="383"/>
      <c r="E187" s="383"/>
      <c r="F187" s="383"/>
      <c r="G187" s="383"/>
      <c r="H187" s="383"/>
      <c r="I187" s="383"/>
      <c r="J187" s="383"/>
      <c r="K187" s="383"/>
    </row>
    <row r="188" spans="1:11">
      <c r="A188" s="383"/>
      <c r="B188" s="383"/>
      <c r="C188" s="383"/>
      <c r="D188" s="383"/>
      <c r="E188" s="383"/>
      <c r="F188" s="383"/>
      <c r="G188" s="383"/>
      <c r="H188" s="383"/>
      <c r="I188" s="383"/>
      <c r="J188" s="383"/>
      <c r="K188" s="383"/>
    </row>
    <row r="189" spans="1:11">
      <c r="A189" s="383"/>
      <c r="B189" s="383"/>
      <c r="C189" s="383"/>
      <c r="D189" s="383"/>
      <c r="E189" s="383"/>
      <c r="F189" s="383"/>
      <c r="G189" s="383"/>
      <c r="H189" s="383"/>
      <c r="I189" s="383"/>
      <c r="J189" s="383"/>
      <c r="K189" s="383"/>
    </row>
    <row r="190" spans="1:11">
      <c r="A190" s="383"/>
      <c r="B190" s="383"/>
      <c r="C190" s="383"/>
      <c r="D190" s="383"/>
      <c r="E190" s="383"/>
      <c r="F190" s="383"/>
      <c r="G190" s="383"/>
      <c r="H190" s="383"/>
      <c r="I190" s="383"/>
      <c r="J190" s="383"/>
      <c r="K190" s="383"/>
    </row>
    <row r="191" spans="1:11">
      <c r="A191" s="383"/>
      <c r="B191" s="383"/>
      <c r="C191" s="383"/>
      <c r="D191" s="383"/>
      <c r="E191" s="383"/>
      <c r="F191" s="383"/>
      <c r="G191" s="383"/>
      <c r="H191" s="383"/>
      <c r="I191" s="383"/>
      <c r="J191" s="383"/>
      <c r="K191" s="383"/>
    </row>
    <row r="192" spans="1:11">
      <c r="A192" s="383"/>
      <c r="B192" s="383"/>
      <c r="C192" s="383"/>
      <c r="D192" s="383"/>
      <c r="E192" s="383"/>
      <c r="F192" s="383"/>
      <c r="G192" s="383"/>
      <c r="H192" s="383"/>
      <c r="I192" s="383"/>
      <c r="J192" s="383"/>
      <c r="K192" s="383"/>
    </row>
    <row r="193" spans="1:11">
      <c r="A193" s="383"/>
      <c r="B193" s="383"/>
      <c r="C193" s="383"/>
      <c r="D193" s="383"/>
      <c r="E193" s="383"/>
      <c r="F193" s="383"/>
      <c r="G193" s="383"/>
      <c r="H193" s="383"/>
      <c r="I193" s="383"/>
      <c r="J193" s="383"/>
      <c r="K193" s="383"/>
    </row>
    <row r="194" spans="1:11">
      <c r="A194" s="383"/>
      <c r="B194" s="383"/>
      <c r="C194" s="383"/>
      <c r="D194" s="383"/>
      <c r="E194" s="383"/>
      <c r="F194" s="383"/>
      <c r="G194" s="383"/>
      <c r="H194" s="383"/>
      <c r="I194" s="383"/>
      <c r="J194" s="383"/>
      <c r="K194" s="383"/>
    </row>
    <row r="195" spans="1:11">
      <c r="A195" s="383"/>
      <c r="B195" s="383"/>
      <c r="C195" s="383"/>
      <c r="D195" s="383"/>
      <c r="E195" s="383"/>
      <c r="F195" s="383"/>
      <c r="G195" s="383"/>
      <c r="H195" s="383"/>
      <c r="I195" s="383"/>
      <c r="J195" s="383"/>
      <c r="K195" s="383"/>
    </row>
    <row r="196" spans="1:11">
      <c r="A196" s="383"/>
      <c r="B196" s="383"/>
      <c r="C196" s="383"/>
      <c r="D196" s="383"/>
      <c r="E196" s="383"/>
      <c r="F196" s="383"/>
      <c r="G196" s="383"/>
      <c r="H196" s="383"/>
      <c r="I196" s="383"/>
      <c r="J196" s="383"/>
      <c r="K196" s="383"/>
    </row>
    <row r="197" spans="1:11">
      <c r="A197" s="383"/>
      <c r="B197" s="383"/>
      <c r="C197" s="383"/>
      <c r="D197" s="383"/>
      <c r="E197" s="383"/>
      <c r="F197" s="383"/>
      <c r="G197" s="383"/>
      <c r="H197" s="383"/>
      <c r="I197" s="383"/>
      <c r="J197" s="383"/>
      <c r="K197" s="383"/>
    </row>
    <row r="198" spans="1:11">
      <c r="A198" s="383"/>
      <c r="B198" s="383"/>
      <c r="C198" s="383"/>
      <c r="D198" s="383"/>
      <c r="E198" s="383"/>
      <c r="F198" s="383"/>
      <c r="G198" s="383"/>
      <c r="H198" s="383"/>
      <c r="I198" s="383"/>
      <c r="J198" s="383"/>
      <c r="K198" s="383"/>
    </row>
    <row r="199" spans="1:11">
      <c r="A199" s="383"/>
      <c r="B199" s="383"/>
      <c r="C199" s="383"/>
      <c r="D199" s="383"/>
      <c r="E199" s="383"/>
      <c r="F199" s="383"/>
      <c r="G199" s="383"/>
      <c r="H199" s="383"/>
      <c r="I199" s="383"/>
      <c r="J199" s="383"/>
      <c r="K199" s="383"/>
    </row>
    <row r="200" spans="1:11">
      <c r="A200" s="383"/>
      <c r="B200" s="383"/>
      <c r="C200" s="383"/>
      <c r="D200" s="383"/>
      <c r="E200" s="383"/>
      <c r="F200" s="383"/>
      <c r="G200" s="383"/>
      <c r="H200" s="383"/>
      <c r="I200" s="383"/>
      <c r="J200" s="383"/>
      <c r="K200" s="383"/>
    </row>
    <row r="201" spans="1:11">
      <c r="A201" s="383"/>
      <c r="B201" s="383"/>
      <c r="C201" s="383"/>
      <c r="D201" s="383"/>
      <c r="E201" s="383"/>
      <c r="F201" s="383"/>
      <c r="G201" s="383"/>
      <c r="H201" s="383"/>
      <c r="I201" s="383"/>
      <c r="J201" s="383"/>
      <c r="K201" s="383"/>
    </row>
    <row r="202" spans="1:11">
      <c r="A202" s="383"/>
      <c r="B202" s="383"/>
      <c r="C202" s="383"/>
      <c r="D202" s="383"/>
      <c r="E202" s="383"/>
      <c r="F202" s="383"/>
      <c r="G202" s="383"/>
      <c r="H202" s="383"/>
      <c r="I202" s="383"/>
      <c r="J202" s="383"/>
      <c r="K202" s="383"/>
    </row>
    <row r="203" spans="1:11">
      <c r="A203" s="383"/>
      <c r="B203" s="383"/>
      <c r="C203" s="383"/>
      <c r="D203" s="383"/>
      <c r="E203" s="383"/>
      <c r="F203" s="383"/>
      <c r="G203" s="383"/>
      <c r="H203" s="383"/>
      <c r="I203" s="383"/>
      <c r="J203" s="383"/>
      <c r="K203" s="383"/>
    </row>
    <row r="204" spans="1:11">
      <c r="A204" s="383"/>
      <c r="B204" s="383"/>
      <c r="C204" s="383"/>
      <c r="D204" s="383"/>
      <c r="E204" s="383"/>
      <c r="F204" s="383"/>
      <c r="G204" s="383"/>
      <c r="H204" s="383"/>
      <c r="I204" s="383"/>
      <c r="J204" s="383"/>
      <c r="K204" s="383"/>
    </row>
    <row r="205" spans="1:11">
      <c r="A205" s="383"/>
      <c r="B205" s="383"/>
      <c r="C205" s="383"/>
      <c r="D205" s="383"/>
      <c r="E205" s="383"/>
      <c r="F205" s="383"/>
      <c r="G205" s="383"/>
      <c r="H205" s="383"/>
      <c r="I205" s="383"/>
      <c r="J205" s="383"/>
      <c r="K205" s="383"/>
    </row>
    <row r="206" spans="1:11">
      <c r="A206" s="383"/>
      <c r="B206" s="383"/>
      <c r="C206" s="383"/>
      <c r="D206" s="383"/>
      <c r="E206" s="383"/>
      <c r="F206" s="383"/>
      <c r="G206" s="383"/>
      <c r="H206" s="383"/>
      <c r="I206" s="383"/>
      <c r="J206" s="383"/>
      <c r="K206" s="383"/>
    </row>
    <row r="207" spans="1:11">
      <c r="A207" s="383"/>
      <c r="B207" s="383"/>
      <c r="C207" s="383"/>
      <c r="D207" s="383"/>
      <c r="E207" s="383"/>
      <c r="F207" s="383"/>
      <c r="G207" s="383"/>
      <c r="H207" s="383"/>
      <c r="I207" s="383"/>
      <c r="J207" s="383"/>
      <c r="K207" s="383"/>
    </row>
    <row r="208" spans="1:11">
      <c r="A208" s="383"/>
      <c r="B208" s="383"/>
      <c r="C208" s="383"/>
      <c r="D208" s="383"/>
      <c r="E208" s="383"/>
      <c r="F208" s="383"/>
      <c r="G208" s="383"/>
      <c r="H208" s="383"/>
      <c r="I208" s="383"/>
      <c r="J208" s="383"/>
      <c r="K208" s="383"/>
    </row>
    <row r="209" spans="1:11">
      <c r="A209" s="383"/>
      <c r="B209" s="383"/>
      <c r="C209" s="383"/>
      <c r="D209" s="383"/>
      <c r="E209" s="383"/>
      <c r="F209" s="383"/>
      <c r="G209" s="383"/>
      <c r="H209" s="383"/>
      <c r="I209" s="383"/>
      <c r="J209" s="383"/>
      <c r="K209" s="383"/>
    </row>
    <row r="210" spans="1:11">
      <c r="A210" s="383"/>
      <c r="B210" s="383"/>
      <c r="C210" s="383"/>
      <c r="D210" s="383"/>
      <c r="E210" s="383"/>
      <c r="F210" s="383"/>
      <c r="G210" s="383"/>
      <c r="H210" s="383"/>
      <c r="I210" s="383"/>
      <c r="J210" s="383"/>
      <c r="K210" s="383"/>
    </row>
    <row r="211" spans="1:11">
      <c r="A211" s="383"/>
      <c r="B211" s="383"/>
      <c r="C211" s="383"/>
      <c r="D211" s="383"/>
      <c r="E211" s="383"/>
      <c r="F211" s="383"/>
      <c r="G211" s="383"/>
      <c r="H211" s="383"/>
      <c r="I211" s="383"/>
      <c r="J211" s="383"/>
      <c r="K211" s="383"/>
    </row>
    <row r="212" spans="1:11">
      <c r="A212" s="383"/>
      <c r="B212" s="383"/>
      <c r="C212" s="383"/>
      <c r="D212" s="383"/>
      <c r="E212" s="383"/>
      <c r="F212" s="383"/>
      <c r="G212" s="383"/>
      <c r="H212" s="383"/>
      <c r="I212" s="383"/>
      <c r="J212" s="383"/>
      <c r="K212" s="383"/>
    </row>
    <row r="213" spans="1:11">
      <c r="A213" s="383"/>
      <c r="B213" s="383"/>
      <c r="C213" s="383"/>
      <c r="D213" s="383"/>
      <c r="E213" s="383"/>
      <c r="F213" s="383"/>
      <c r="G213" s="383"/>
      <c r="H213" s="383"/>
      <c r="I213" s="383"/>
      <c r="J213" s="383"/>
      <c r="K213" s="383"/>
    </row>
    <row r="214" spans="1:11">
      <c r="A214" s="383"/>
      <c r="B214" s="383"/>
      <c r="C214" s="383"/>
      <c r="D214" s="383"/>
      <c r="E214" s="383"/>
      <c r="F214" s="383"/>
      <c r="G214" s="383"/>
      <c r="H214" s="383"/>
      <c r="I214" s="383"/>
      <c r="J214" s="383"/>
      <c r="K214" s="383"/>
    </row>
    <row r="215" spans="1:11">
      <c r="A215" s="383"/>
      <c r="B215" s="383"/>
      <c r="C215" s="383"/>
      <c r="D215" s="383"/>
      <c r="E215" s="383"/>
      <c r="F215" s="383"/>
      <c r="G215" s="383"/>
      <c r="H215" s="383"/>
      <c r="I215" s="383"/>
      <c r="J215" s="383"/>
      <c r="K215" s="383"/>
    </row>
    <row r="216" spans="1:11">
      <c r="A216" s="383"/>
      <c r="B216" s="383"/>
      <c r="C216" s="383"/>
      <c r="D216" s="383"/>
      <c r="E216" s="383"/>
      <c r="F216" s="383"/>
      <c r="G216" s="383"/>
      <c r="H216" s="383"/>
      <c r="I216" s="383"/>
      <c r="J216" s="383"/>
      <c r="K216" s="383"/>
    </row>
    <row r="217" spans="1:11">
      <c r="A217" s="383"/>
      <c r="B217" s="383"/>
      <c r="C217" s="383"/>
      <c r="D217" s="383"/>
      <c r="E217" s="383"/>
      <c r="F217" s="383"/>
      <c r="G217" s="383"/>
      <c r="H217" s="383"/>
      <c r="I217" s="383"/>
      <c r="J217" s="383"/>
      <c r="K217" s="383"/>
    </row>
    <row r="218" spans="1:11">
      <c r="A218" s="383"/>
      <c r="B218" s="383"/>
      <c r="C218" s="383"/>
      <c r="D218" s="383"/>
      <c r="E218" s="383"/>
      <c r="F218" s="383"/>
      <c r="G218" s="383"/>
      <c r="H218" s="383"/>
      <c r="I218" s="383"/>
      <c r="J218" s="383"/>
      <c r="K218" s="383"/>
    </row>
    <row r="219" spans="1:11">
      <c r="A219" s="383"/>
      <c r="B219" s="383"/>
      <c r="C219" s="383"/>
      <c r="D219" s="383"/>
      <c r="E219" s="383"/>
      <c r="F219" s="383"/>
      <c r="G219" s="383"/>
      <c r="H219" s="383"/>
      <c r="I219" s="383"/>
      <c r="J219" s="383"/>
      <c r="K219" s="383"/>
    </row>
    <row r="220" spans="1:11">
      <c r="A220" s="383"/>
      <c r="B220" s="383"/>
      <c r="C220" s="383"/>
      <c r="D220" s="383"/>
      <c r="E220" s="383"/>
      <c r="F220" s="383"/>
      <c r="G220" s="383"/>
      <c r="H220" s="383"/>
      <c r="I220" s="383"/>
      <c r="J220" s="383"/>
      <c r="K220" s="383"/>
    </row>
    <row r="221" spans="1:11">
      <c r="A221" s="383"/>
      <c r="B221" s="383"/>
      <c r="C221" s="383"/>
      <c r="D221" s="383"/>
      <c r="E221" s="383"/>
      <c r="F221" s="383"/>
      <c r="G221" s="383"/>
      <c r="H221" s="383"/>
      <c r="I221" s="383"/>
      <c r="J221" s="383"/>
      <c r="K221" s="383"/>
    </row>
    <row r="222" spans="1:11">
      <c r="A222" s="383"/>
      <c r="B222" s="383"/>
      <c r="C222" s="383"/>
      <c r="D222" s="383"/>
      <c r="E222" s="383"/>
      <c r="F222" s="383"/>
      <c r="G222" s="383"/>
      <c r="H222" s="383"/>
      <c r="I222" s="383"/>
      <c r="J222" s="383"/>
      <c r="K222" s="383"/>
    </row>
    <row r="223" spans="1:11">
      <c r="A223" s="383"/>
      <c r="B223" s="383"/>
      <c r="C223" s="383"/>
      <c r="D223" s="383"/>
      <c r="E223" s="383"/>
      <c r="F223" s="383"/>
      <c r="G223" s="383"/>
      <c r="H223" s="383"/>
      <c r="I223" s="383"/>
      <c r="J223" s="383"/>
      <c r="K223" s="383"/>
    </row>
    <row r="224" spans="1:11">
      <c r="A224" s="383"/>
      <c r="B224" s="383"/>
      <c r="C224" s="383"/>
      <c r="D224" s="383"/>
      <c r="E224" s="383"/>
      <c r="F224" s="383"/>
      <c r="G224" s="383"/>
      <c r="H224" s="383"/>
      <c r="I224" s="383"/>
      <c r="J224" s="383"/>
      <c r="K224" s="383"/>
    </row>
    <row r="225" spans="1:11">
      <c r="A225" s="383"/>
      <c r="B225" s="383"/>
      <c r="C225" s="383"/>
      <c r="D225" s="383"/>
      <c r="E225" s="383"/>
      <c r="F225" s="383"/>
      <c r="G225" s="383"/>
      <c r="H225" s="383"/>
      <c r="I225" s="383"/>
      <c r="J225" s="383"/>
      <c r="K225" s="383"/>
    </row>
    <row r="226" spans="1:11">
      <c r="A226" s="383"/>
      <c r="B226" s="383"/>
      <c r="C226" s="383"/>
      <c r="D226" s="383"/>
      <c r="E226" s="383"/>
      <c r="F226" s="383"/>
      <c r="G226" s="383"/>
      <c r="H226" s="383"/>
      <c r="I226" s="383"/>
      <c r="J226" s="383"/>
      <c r="K226" s="383"/>
    </row>
    <row r="227" spans="1:11">
      <c r="A227" s="383"/>
      <c r="B227" s="383"/>
      <c r="C227" s="383"/>
      <c r="D227" s="383"/>
      <c r="E227" s="383"/>
      <c r="F227" s="383"/>
      <c r="G227" s="383"/>
      <c r="H227" s="383"/>
      <c r="I227" s="383"/>
      <c r="J227" s="383"/>
      <c r="K227" s="383"/>
    </row>
    <row r="228" spans="1:11">
      <c r="A228" s="383"/>
      <c r="B228" s="383"/>
      <c r="C228" s="383"/>
      <c r="D228" s="383"/>
      <c r="E228" s="383"/>
      <c r="F228" s="383"/>
      <c r="G228" s="383"/>
      <c r="H228" s="383"/>
      <c r="I228" s="383"/>
      <c r="J228" s="383"/>
      <c r="K228" s="383"/>
    </row>
    <row r="229" spans="1:11">
      <c r="A229" s="383"/>
      <c r="B229" s="383"/>
      <c r="C229" s="383"/>
      <c r="D229" s="383"/>
      <c r="E229" s="383"/>
      <c r="F229" s="383"/>
      <c r="G229" s="383"/>
      <c r="H229" s="383"/>
      <c r="I229" s="383"/>
      <c r="J229" s="383"/>
      <c r="K229" s="383"/>
    </row>
    <row r="230" spans="1:11">
      <c r="A230" s="383"/>
      <c r="B230" s="383"/>
      <c r="C230" s="383"/>
      <c r="D230" s="383"/>
      <c r="E230" s="383"/>
      <c r="F230" s="383"/>
      <c r="G230" s="383"/>
      <c r="H230" s="383"/>
      <c r="I230" s="383"/>
      <c r="J230" s="383"/>
      <c r="K230" s="383"/>
    </row>
    <row r="231" spans="1:11">
      <c r="A231" s="383"/>
      <c r="B231" s="383"/>
      <c r="C231" s="383"/>
      <c r="D231" s="383"/>
      <c r="E231" s="383"/>
      <c r="F231" s="383"/>
      <c r="G231" s="383"/>
      <c r="H231" s="383"/>
      <c r="I231" s="383"/>
      <c r="J231" s="383"/>
      <c r="K231" s="383"/>
    </row>
    <row r="232" spans="1:11">
      <c r="A232" s="383"/>
      <c r="B232" s="383"/>
      <c r="C232" s="383"/>
      <c r="D232" s="383"/>
      <c r="E232" s="383"/>
      <c r="F232" s="383"/>
      <c r="G232" s="383"/>
      <c r="H232" s="383"/>
      <c r="I232" s="383"/>
      <c r="J232" s="383"/>
      <c r="K232" s="383"/>
    </row>
    <row r="233" spans="1:11">
      <c r="A233" s="383"/>
      <c r="B233" s="383"/>
      <c r="C233" s="383"/>
      <c r="D233" s="383"/>
      <c r="E233" s="383"/>
      <c r="F233" s="383"/>
      <c r="G233" s="383"/>
      <c r="H233" s="383"/>
      <c r="I233" s="383"/>
      <c r="J233" s="383"/>
      <c r="K233" s="383"/>
    </row>
    <row r="234" spans="1:11">
      <c r="A234" s="383"/>
      <c r="B234" s="383"/>
      <c r="C234" s="383"/>
      <c r="D234" s="383"/>
      <c r="E234" s="383"/>
      <c r="F234" s="383"/>
      <c r="G234" s="383"/>
      <c r="H234" s="383"/>
      <c r="I234" s="383"/>
      <c r="J234" s="383"/>
      <c r="K234" s="383"/>
    </row>
    <row r="235" spans="1:11">
      <c r="A235" s="383"/>
      <c r="B235" s="383"/>
      <c r="C235" s="383"/>
      <c r="D235" s="383"/>
      <c r="E235" s="383"/>
      <c r="F235" s="383"/>
      <c r="G235" s="383"/>
      <c r="H235" s="383"/>
      <c r="I235" s="383"/>
      <c r="J235" s="383"/>
      <c r="K235" s="383"/>
    </row>
    <row r="236" spans="1:11">
      <c r="A236" s="383"/>
      <c r="B236" s="383"/>
      <c r="C236" s="383"/>
      <c r="D236" s="383"/>
      <c r="E236" s="383"/>
      <c r="F236" s="383"/>
      <c r="G236" s="383"/>
      <c r="H236" s="383"/>
      <c r="I236" s="383"/>
      <c r="J236" s="383"/>
      <c r="K236" s="383"/>
    </row>
    <row r="237" spans="1:11">
      <c r="A237" s="383"/>
      <c r="B237" s="383"/>
      <c r="C237" s="383"/>
      <c r="D237" s="383"/>
      <c r="E237" s="383"/>
      <c r="F237" s="383"/>
      <c r="G237" s="383"/>
      <c r="H237" s="383"/>
      <c r="I237" s="383"/>
      <c r="J237" s="383"/>
      <c r="K237" s="383"/>
    </row>
    <row r="238" spans="1:11">
      <c r="A238" s="383"/>
      <c r="B238" s="383"/>
      <c r="C238" s="383"/>
      <c r="D238" s="383"/>
      <c r="E238" s="383"/>
      <c r="F238" s="383"/>
      <c r="G238" s="383"/>
      <c r="H238" s="383"/>
      <c r="I238" s="383"/>
      <c r="J238" s="383"/>
      <c r="K238" s="383"/>
    </row>
    <row r="239" spans="1:11">
      <c r="A239" s="383"/>
      <c r="B239" s="383"/>
      <c r="C239" s="383"/>
      <c r="D239" s="383"/>
      <c r="E239" s="383"/>
      <c r="F239" s="383"/>
      <c r="G239" s="383"/>
      <c r="H239" s="383"/>
      <c r="I239" s="383"/>
      <c r="J239" s="383"/>
      <c r="K239" s="383"/>
    </row>
    <row r="240" spans="1:11">
      <c r="A240" s="383"/>
      <c r="B240" s="383"/>
      <c r="C240" s="383"/>
      <c r="D240" s="383"/>
      <c r="E240" s="383"/>
      <c r="F240" s="383"/>
      <c r="G240" s="383"/>
      <c r="H240" s="383"/>
      <c r="I240" s="383"/>
      <c r="J240" s="383"/>
      <c r="K240" s="383"/>
    </row>
    <row r="241" spans="1:11">
      <c r="A241" s="383"/>
      <c r="B241" s="383"/>
      <c r="C241" s="383"/>
      <c r="D241" s="383"/>
      <c r="E241" s="383"/>
      <c r="F241" s="383"/>
      <c r="G241" s="383"/>
      <c r="H241" s="383"/>
      <c r="I241" s="383"/>
      <c r="J241" s="383"/>
      <c r="K241" s="383"/>
    </row>
    <row r="242" spans="1:11">
      <c r="A242" s="383"/>
      <c r="B242" s="383"/>
      <c r="C242" s="383"/>
      <c r="D242" s="383"/>
      <c r="E242" s="383"/>
      <c r="F242" s="383"/>
      <c r="G242" s="383"/>
      <c r="H242" s="383"/>
      <c r="I242" s="383"/>
      <c r="J242" s="383"/>
      <c r="K242" s="383"/>
    </row>
    <row r="243" spans="1:11">
      <c r="A243" s="383"/>
      <c r="B243" s="383"/>
      <c r="C243" s="383"/>
      <c r="D243" s="383"/>
      <c r="E243" s="383"/>
      <c r="F243" s="383"/>
      <c r="G243" s="383"/>
      <c r="H243" s="383"/>
      <c r="I243" s="383"/>
      <c r="J243" s="383"/>
      <c r="K243" s="383"/>
    </row>
    <row r="244" spans="1:11">
      <c r="A244" s="383"/>
      <c r="B244" s="383"/>
      <c r="C244" s="383"/>
      <c r="D244" s="383"/>
      <c r="E244" s="383"/>
      <c r="F244" s="383"/>
      <c r="G244" s="383"/>
      <c r="H244" s="383"/>
      <c r="I244" s="383"/>
      <c r="J244" s="383"/>
      <c r="K244" s="383"/>
    </row>
    <row r="245" spans="1:11">
      <c r="A245" s="383"/>
      <c r="B245" s="383"/>
      <c r="C245" s="383"/>
      <c r="D245" s="383"/>
      <c r="E245" s="383"/>
      <c r="F245" s="383"/>
      <c r="G245" s="383"/>
      <c r="H245" s="383"/>
      <c r="I245" s="383"/>
      <c r="J245" s="383"/>
      <c r="K245" s="383"/>
    </row>
    <row r="246" spans="1:11">
      <c r="A246" s="383"/>
      <c r="B246" s="383"/>
      <c r="C246" s="383"/>
      <c r="D246" s="383"/>
      <c r="E246" s="383"/>
      <c r="F246" s="383"/>
      <c r="G246" s="383"/>
      <c r="H246" s="383"/>
      <c r="I246" s="383"/>
      <c r="J246" s="383"/>
      <c r="K246" s="383"/>
    </row>
    <row r="247" spans="1:11">
      <c r="A247" s="383"/>
      <c r="B247" s="383"/>
      <c r="C247" s="383"/>
      <c r="D247" s="383"/>
      <c r="E247" s="383"/>
      <c r="F247" s="383"/>
      <c r="G247" s="383"/>
      <c r="H247" s="383"/>
      <c r="I247" s="383"/>
      <c r="J247" s="383"/>
      <c r="K247" s="383"/>
    </row>
    <row r="248" spans="1:11">
      <c r="A248" s="383"/>
      <c r="B248" s="383"/>
      <c r="C248" s="383"/>
      <c r="D248" s="383"/>
      <c r="E248" s="383"/>
      <c r="F248" s="383"/>
      <c r="G248" s="383"/>
      <c r="H248" s="383"/>
      <c r="I248" s="383"/>
      <c r="J248" s="383"/>
      <c r="K248" s="383"/>
    </row>
    <row r="249" spans="1:11">
      <c r="A249" s="383"/>
      <c r="B249" s="383"/>
      <c r="C249" s="383"/>
      <c r="D249" s="383"/>
      <c r="E249" s="383"/>
      <c r="F249" s="383"/>
      <c r="G249" s="383"/>
      <c r="H249" s="383"/>
      <c r="I249" s="383"/>
      <c r="J249" s="383"/>
      <c r="K249" s="383"/>
    </row>
    <row r="250" spans="1:11">
      <c r="A250" s="383"/>
      <c r="B250" s="383"/>
      <c r="C250" s="383"/>
      <c r="D250" s="383"/>
      <c r="E250" s="383"/>
      <c r="F250" s="383"/>
      <c r="G250" s="383"/>
      <c r="H250" s="383"/>
      <c r="I250" s="383"/>
      <c r="J250" s="383"/>
      <c r="K250" s="383"/>
    </row>
    <row r="251" spans="1:11">
      <c r="A251" s="383"/>
      <c r="B251" s="383"/>
      <c r="C251" s="383"/>
      <c r="D251" s="383"/>
      <c r="E251" s="383"/>
      <c r="F251" s="383"/>
      <c r="G251" s="383"/>
      <c r="H251" s="383"/>
      <c r="I251" s="383"/>
      <c r="J251" s="383"/>
      <c r="K251" s="383"/>
    </row>
    <row r="252" spans="1:11">
      <c r="A252" s="383"/>
      <c r="B252" s="383"/>
      <c r="C252" s="383"/>
      <c r="D252" s="383"/>
      <c r="E252" s="383"/>
      <c r="F252" s="383"/>
      <c r="G252" s="383"/>
      <c r="H252" s="383"/>
      <c r="I252" s="383"/>
      <c r="J252" s="383"/>
      <c r="K252" s="383"/>
    </row>
    <row r="253" spans="1:11">
      <c r="A253" s="383"/>
      <c r="B253" s="383"/>
      <c r="C253" s="383"/>
      <c r="D253" s="383"/>
      <c r="E253" s="383"/>
      <c r="F253" s="383"/>
      <c r="G253" s="383"/>
      <c r="H253" s="383"/>
      <c r="I253" s="383"/>
      <c r="J253" s="383"/>
      <c r="K253" s="383"/>
    </row>
    <row r="254" spans="1:11">
      <c r="A254" s="383"/>
      <c r="B254" s="383"/>
      <c r="C254" s="383"/>
      <c r="D254" s="383"/>
      <c r="E254" s="383"/>
      <c r="F254" s="383"/>
      <c r="G254" s="383"/>
      <c r="H254" s="383"/>
      <c r="I254" s="383"/>
      <c r="J254" s="383"/>
      <c r="K254" s="383"/>
    </row>
    <row r="255" spans="1:11">
      <c r="A255" s="383"/>
      <c r="B255" s="383"/>
      <c r="C255" s="383"/>
      <c r="D255" s="383"/>
      <c r="E255" s="383"/>
      <c r="F255" s="383"/>
      <c r="G255" s="383"/>
      <c r="H255" s="383"/>
      <c r="I255" s="383"/>
      <c r="J255" s="383"/>
      <c r="K255" s="383"/>
    </row>
    <row r="256" spans="1:11">
      <c r="A256" s="383"/>
      <c r="B256" s="383"/>
      <c r="C256" s="383"/>
      <c r="D256" s="383"/>
      <c r="E256" s="383"/>
      <c r="F256" s="383"/>
      <c r="G256" s="383"/>
      <c r="H256" s="383"/>
      <c r="I256" s="383"/>
      <c r="J256" s="383"/>
      <c r="K256" s="383"/>
    </row>
    <row r="257" spans="1:11">
      <c r="A257" s="383"/>
      <c r="B257" s="383"/>
      <c r="C257" s="383"/>
      <c r="D257" s="383"/>
      <c r="E257" s="383"/>
      <c r="F257" s="383"/>
      <c r="G257" s="383"/>
      <c r="H257" s="383"/>
      <c r="I257" s="383"/>
      <c r="J257" s="383"/>
      <c r="K257" s="383"/>
    </row>
    <row r="258" spans="1:11">
      <c r="A258" s="383"/>
      <c r="B258" s="383"/>
      <c r="C258" s="383"/>
      <c r="D258" s="383"/>
      <c r="E258" s="383"/>
      <c r="F258" s="383"/>
      <c r="G258" s="383"/>
      <c r="H258" s="383"/>
      <c r="I258" s="383"/>
      <c r="J258" s="383"/>
      <c r="K258" s="383"/>
    </row>
    <row r="259" spans="1:11">
      <c r="A259" s="383"/>
      <c r="B259" s="383"/>
      <c r="C259" s="383"/>
      <c r="D259" s="383"/>
      <c r="E259" s="383"/>
      <c r="F259" s="383"/>
      <c r="G259" s="383"/>
      <c r="H259" s="383"/>
      <c r="I259" s="383"/>
      <c r="J259" s="383"/>
      <c r="K259" s="383"/>
    </row>
    <row r="260" spans="1:11">
      <c r="A260" s="383"/>
      <c r="B260" s="383"/>
      <c r="C260" s="383"/>
      <c r="D260" s="383"/>
      <c r="E260" s="383"/>
      <c r="F260" s="383"/>
      <c r="G260" s="383"/>
      <c r="H260" s="383"/>
      <c r="I260" s="383"/>
      <c r="J260" s="383"/>
      <c r="K260" s="383"/>
    </row>
    <row r="261" spans="1:11">
      <c r="A261" s="383"/>
      <c r="B261" s="383"/>
      <c r="C261" s="383"/>
      <c r="D261" s="383"/>
      <c r="E261" s="383"/>
      <c r="F261" s="383"/>
      <c r="G261" s="383"/>
      <c r="H261" s="383"/>
      <c r="I261" s="383"/>
      <c r="J261" s="383"/>
      <c r="K261" s="383"/>
    </row>
    <row r="262" spans="1:11">
      <c r="A262" s="383"/>
      <c r="B262" s="383"/>
      <c r="C262" s="383"/>
      <c r="D262" s="383"/>
      <c r="E262" s="383"/>
      <c r="F262" s="383"/>
      <c r="G262" s="383"/>
      <c r="H262" s="383"/>
      <c r="I262" s="383"/>
      <c r="J262" s="383"/>
      <c r="K262" s="383"/>
    </row>
    <row r="263" spans="1:11">
      <c r="A263" s="383"/>
      <c r="B263" s="383"/>
      <c r="C263" s="383"/>
      <c r="D263" s="383"/>
      <c r="E263" s="383"/>
      <c r="F263" s="383"/>
      <c r="G263" s="383"/>
      <c r="H263" s="383"/>
      <c r="I263" s="383"/>
      <c r="J263" s="383"/>
      <c r="K263" s="383"/>
    </row>
    <row r="264" spans="1:11">
      <c r="A264" s="383"/>
      <c r="B264" s="383"/>
      <c r="C264" s="383"/>
      <c r="D264" s="383"/>
      <c r="E264" s="383"/>
      <c r="F264" s="383"/>
      <c r="G264" s="383"/>
      <c r="H264" s="383"/>
      <c r="I264" s="383"/>
      <c r="J264" s="383"/>
      <c r="K264" s="383"/>
    </row>
    <row r="265" spans="1:11">
      <c r="A265" s="383"/>
      <c r="B265" s="383"/>
      <c r="C265" s="383"/>
      <c r="D265" s="383"/>
      <c r="E265" s="383"/>
      <c r="F265" s="383"/>
      <c r="G265" s="383"/>
      <c r="H265" s="383"/>
      <c r="I265" s="383"/>
      <c r="J265" s="383"/>
      <c r="K265" s="383"/>
    </row>
    <row r="266" spans="1:11">
      <c r="A266" s="383"/>
      <c r="B266" s="383"/>
      <c r="C266" s="383"/>
      <c r="D266" s="383"/>
      <c r="E266" s="383"/>
      <c r="F266" s="383"/>
      <c r="G266" s="383"/>
      <c r="H266" s="383"/>
      <c r="I266" s="383"/>
      <c r="J266" s="383"/>
      <c r="K266" s="383"/>
    </row>
    <row r="267" spans="1:11">
      <c r="A267" s="383"/>
      <c r="B267" s="383"/>
      <c r="C267" s="383"/>
      <c r="D267" s="383"/>
      <c r="E267" s="383"/>
      <c r="F267" s="383"/>
      <c r="G267" s="383"/>
      <c r="H267" s="383"/>
      <c r="I267" s="383"/>
      <c r="J267" s="383"/>
      <c r="K267" s="383"/>
    </row>
    <row r="268" spans="1:11">
      <c r="A268" s="383"/>
      <c r="B268" s="383"/>
      <c r="C268" s="383"/>
      <c r="D268" s="383"/>
      <c r="E268" s="383"/>
      <c r="F268" s="383"/>
      <c r="G268" s="383"/>
      <c r="H268" s="383"/>
      <c r="I268" s="383"/>
      <c r="J268" s="383"/>
      <c r="K268" s="383"/>
    </row>
    <row r="269" spans="1:11">
      <c r="A269" s="383"/>
      <c r="B269" s="383"/>
      <c r="C269" s="383"/>
      <c r="D269" s="383"/>
      <c r="E269" s="383"/>
      <c r="F269" s="383"/>
      <c r="G269" s="383"/>
      <c r="H269" s="383"/>
      <c r="I269" s="383"/>
      <c r="J269" s="383"/>
      <c r="K269" s="383"/>
    </row>
    <row r="270" spans="1:11">
      <c r="A270" s="383"/>
      <c r="B270" s="383"/>
      <c r="C270" s="383"/>
      <c r="D270" s="383"/>
      <c r="E270" s="383"/>
      <c r="F270" s="383"/>
      <c r="G270" s="383"/>
      <c r="H270" s="383"/>
      <c r="I270" s="383"/>
      <c r="J270" s="383"/>
      <c r="K270" s="383"/>
    </row>
    <row r="271" spans="1:11">
      <c r="A271" s="383"/>
      <c r="B271" s="383"/>
      <c r="C271" s="383"/>
      <c r="D271" s="383"/>
      <c r="E271" s="383"/>
      <c r="F271" s="383"/>
      <c r="G271" s="383"/>
      <c r="H271" s="383"/>
      <c r="I271" s="383"/>
      <c r="J271" s="383"/>
      <c r="K271" s="383"/>
    </row>
    <row r="272" spans="1:11">
      <c r="A272" s="383"/>
      <c r="B272" s="383"/>
      <c r="C272" s="383"/>
      <c r="D272" s="383"/>
      <c r="E272" s="383"/>
      <c r="F272" s="383"/>
      <c r="G272" s="383"/>
      <c r="H272" s="383"/>
      <c r="I272" s="383"/>
      <c r="J272" s="383"/>
      <c r="K272" s="383"/>
    </row>
    <row r="273" spans="1:11">
      <c r="A273" s="383"/>
      <c r="B273" s="383"/>
      <c r="C273" s="383"/>
      <c r="D273" s="383"/>
      <c r="E273" s="383"/>
      <c r="F273" s="383"/>
      <c r="G273" s="383"/>
      <c r="H273" s="383"/>
      <c r="I273" s="383"/>
      <c r="J273" s="383"/>
      <c r="K273" s="383"/>
    </row>
    <row r="274" spans="1:11">
      <c r="A274" s="383"/>
      <c r="B274" s="383"/>
      <c r="C274" s="383"/>
      <c r="D274" s="383"/>
      <c r="E274" s="383"/>
      <c r="F274" s="383"/>
      <c r="G274" s="383"/>
      <c r="H274" s="383"/>
      <c r="I274" s="383"/>
      <c r="J274" s="383"/>
      <c r="K274" s="383"/>
    </row>
    <row r="275" spans="1:11">
      <c r="A275" s="383"/>
      <c r="B275" s="383"/>
      <c r="C275" s="383"/>
      <c r="D275" s="383"/>
      <c r="E275" s="383"/>
      <c r="F275" s="383"/>
      <c r="G275" s="383"/>
      <c r="H275" s="383"/>
      <c r="I275" s="383"/>
      <c r="J275" s="383"/>
      <c r="K275" s="383"/>
    </row>
    <row r="276" spans="1:11">
      <c r="A276" s="383"/>
      <c r="B276" s="383"/>
      <c r="C276" s="383"/>
      <c r="D276" s="383"/>
      <c r="E276" s="383"/>
      <c r="F276" s="383"/>
      <c r="G276" s="383"/>
      <c r="H276" s="383"/>
      <c r="I276" s="383"/>
      <c r="J276" s="383"/>
      <c r="K276" s="383"/>
    </row>
    <row r="277" spans="1:11">
      <c r="A277" s="383"/>
      <c r="B277" s="383"/>
      <c r="C277" s="383"/>
      <c r="D277" s="383"/>
      <c r="E277" s="383"/>
      <c r="F277" s="383"/>
      <c r="G277" s="383"/>
      <c r="H277" s="383"/>
      <c r="I277" s="383"/>
      <c r="J277" s="383"/>
      <c r="K277" s="383"/>
    </row>
    <row r="278" spans="1:11">
      <c r="A278" s="383"/>
      <c r="B278" s="383"/>
      <c r="C278" s="383"/>
      <c r="D278" s="383"/>
      <c r="E278" s="383"/>
      <c r="F278" s="383"/>
      <c r="G278" s="383"/>
      <c r="H278" s="383"/>
      <c r="I278" s="383"/>
      <c r="J278" s="383"/>
      <c r="K278" s="383"/>
    </row>
    <row r="279" spans="1:11">
      <c r="A279" s="383"/>
      <c r="B279" s="383"/>
      <c r="C279" s="383"/>
      <c r="D279" s="383"/>
      <c r="E279" s="383"/>
      <c r="F279" s="383"/>
      <c r="G279" s="383"/>
      <c r="H279" s="383"/>
      <c r="I279" s="383"/>
      <c r="J279" s="383"/>
      <c r="K279" s="383"/>
    </row>
    <row r="280" spans="1:11">
      <c r="A280" s="383"/>
      <c r="B280" s="383"/>
      <c r="C280" s="383"/>
      <c r="D280" s="383"/>
      <c r="E280" s="383"/>
      <c r="F280" s="383"/>
      <c r="G280" s="383"/>
      <c r="H280" s="383"/>
      <c r="I280" s="383"/>
      <c r="J280" s="383"/>
      <c r="K280" s="383"/>
    </row>
    <row r="281" spans="1:11">
      <c r="A281" s="383"/>
      <c r="B281" s="383"/>
      <c r="C281" s="383"/>
      <c r="D281" s="383"/>
      <c r="E281" s="383"/>
      <c r="F281" s="383"/>
      <c r="G281" s="383"/>
      <c r="H281" s="383"/>
      <c r="I281" s="383"/>
      <c r="J281" s="383"/>
      <c r="K281" s="383"/>
    </row>
    <row r="282" spans="1:11">
      <c r="A282" s="383"/>
      <c r="B282" s="383"/>
      <c r="C282" s="383"/>
      <c r="D282" s="383"/>
      <c r="E282" s="383"/>
      <c r="F282" s="383"/>
      <c r="G282" s="383"/>
      <c r="H282" s="383"/>
      <c r="I282" s="383"/>
      <c r="J282" s="383"/>
      <c r="K282" s="383"/>
    </row>
    <row r="283" spans="1:11">
      <c r="A283" s="383"/>
      <c r="B283" s="383"/>
      <c r="C283" s="383"/>
      <c r="D283" s="383"/>
      <c r="E283" s="383"/>
      <c r="F283" s="383"/>
      <c r="G283" s="383"/>
      <c r="H283" s="383"/>
      <c r="I283" s="383"/>
      <c r="J283" s="383"/>
      <c r="K283" s="383"/>
    </row>
    <row r="284" spans="1:11">
      <c r="A284" s="383"/>
      <c r="B284" s="383"/>
      <c r="C284" s="383"/>
      <c r="D284" s="383"/>
      <c r="E284" s="383"/>
      <c r="F284" s="383"/>
      <c r="G284" s="383"/>
      <c r="H284" s="383"/>
      <c r="I284" s="383"/>
      <c r="J284" s="383"/>
      <c r="K284" s="383"/>
    </row>
    <row r="285" spans="1:11">
      <c r="A285" s="383"/>
      <c r="B285" s="383"/>
      <c r="C285" s="383"/>
      <c r="D285" s="383"/>
      <c r="E285" s="383"/>
      <c r="F285" s="383"/>
      <c r="G285" s="383"/>
      <c r="H285" s="383"/>
      <c r="I285" s="383"/>
      <c r="J285" s="383"/>
      <c r="K285" s="383"/>
    </row>
    <row r="286" spans="1:11">
      <c r="A286" s="383"/>
      <c r="B286" s="383"/>
      <c r="C286" s="383"/>
      <c r="D286" s="383"/>
      <c r="E286" s="383"/>
      <c r="F286" s="383"/>
      <c r="G286" s="383"/>
      <c r="H286" s="383"/>
      <c r="I286" s="383"/>
      <c r="J286" s="383"/>
      <c r="K286" s="383"/>
    </row>
    <row r="287" spans="1:11">
      <c r="A287" s="383"/>
      <c r="B287" s="383"/>
      <c r="C287" s="383"/>
      <c r="D287" s="383"/>
      <c r="E287" s="383"/>
      <c r="F287" s="383"/>
      <c r="G287" s="383"/>
      <c r="H287" s="383"/>
      <c r="I287" s="383"/>
      <c r="J287" s="383"/>
      <c r="K287" s="383"/>
    </row>
    <row r="288" spans="1:11">
      <c r="A288" s="383"/>
      <c r="B288" s="383"/>
      <c r="C288" s="383"/>
      <c r="D288" s="383"/>
      <c r="E288" s="383"/>
      <c r="F288" s="383"/>
      <c r="G288" s="383"/>
      <c r="H288" s="383"/>
      <c r="I288" s="383"/>
      <c r="J288" s="383"/>
      <c r="K288" s="383"/>
    </row>
    <row r="289" spans="1:11">
      <c r="A289" s="383"/>
      <c r="B289" s="383"/>
      <c r="C289" s="383"/>
      <c r="D289" s="383"/>
      <c r="E289" s="383"/>
      <c r="F289" s="383"/>
      <c r="G289" s="383"/>
      <c r="H289" s="383"/>
      <c r="I289" s="383"/>
      <c r="J289" s="383"/>
      <c r="K289" s="383"/>
    </row>
    <row r="290" spans="1:11">
      <c r="A290" s="383"/>
      <c r="B290" s="383"/>
      <c r="C290" s="383"/>
      <c r="D290" s="383"/>
      <c r="E290" s="383"/>
      <c r="F290" s="383"/>
      <c r="G290" s="383"/>
      <c r="H290" s="383"/>
      <c r="I290" s="383"/>
      <c r="J290" s="383"/>
      <c r="K290" s="383"/>
    </row>
    <row r="291" spans="1:11">
      <c r="A291" s="383"/>
      <c r="B291" s="383"/>
      <c r="C291" s="383"/>
      <c r="D291" s="383"/>
      <c r="E291" s="383"/>
      <c r="F291" s="383"/>
      <c r="G291" s="383"/>
      <c r="H291" s="383"/>
      <c r="I291" s="383"/>
      <c r="J291" s="383"/>
      <c r="K291" s="383"/>
    </row>
    <row r="292" spans="1:11">
      <c r="A292" s="383"/>
      <c r="B292" s="383"/>
      <c r="C292" s="383"/>
      <c r="D292" s="383"/>
      <c r="E292" s="383"/>
      <c r="F292" s="383"/>
      <c r="G292" s="383"/>
      <c r="H292" s="383"/>
      <c r="I292" s="383"/>
      <c r="J292" s="383"/>
      <c r="K292" s="383"/>
    </row>
    <row r="293" spans="1:11">
      <c r="A293" s="383"/>
      <c r="B293" s="383"/>
      <c r="C293" s="383"/>
      <c r="D293" s="383"/>
      <c r="E293" s="383"/>
      <c r="F293" s="383"/>
      <c r="G293" s="383"/>
      <c r="H293" s="383"/>
      <c r="I293" s="383"/>
      <c r="J293" s="383"/>
      <c r="K293" s="383"/>
    </row>
    <row r="294" spans="1:11">
      <c r="A294" s="383"/>
      <c r="B294" s="383"/>
      <c r="C294" s="383"/>
      <c r="D294" s="383"/>
      <c r="E294" s="383"/>
      <c r="F294" s="383"/>
      <c r="G294" s="383"/>
      <c r="H294" s="383"/>
      <c r="I294" s="383"/>
      <c r="J294" s="383"/>
      <c r="K294" s="383"/>
    </row>
    <row r="295" spans="1:11">
      <c r="A295" s="383"/>
      <c r="B295" s="383"/>
      <c r="C295" s="383"/>
      <c r="D295" s="383"/>
      <c r="E295" s="383"/>
      <c r="F295" s="383"/>
      <c r="G295" s="383"/>
      <c r="H295" s="383"/>
      <c r="I295" s="383"/>
      <c r="J295" s="383"/>
      <c r="K295" s="383"/>
    </row>
    <row r="296" spans="1:11">
      <c r="A296" s="383"/>
      <c r="B296" s="383"/>
      <c r="C296" s="383"/>
      <c r="D296" s="383"/>
      <c r="E296" s="383"/>
      <c r="F296" s="383"/>
      <c r="G296" s="383"/>
      <c r="H296" s="383"/>
      <c r="I296" s="383"/>
      <c r="J296" s="383"/>
      <c r="K296" s="383"/>
    </row>
    <row r="297" spans="1:11">
      <c r="A297" s="383"/>
      <c r="B297" s="383"/>
      <c r="C297" s="383"/>
      <c r="D297" s="383"/>
      <c r="E297" s="383"/>
      <c r="F297" s="383"/>
      <c r="G297" s="383"/>
      <c r="H297" s="383"/>
      <c r="I297" s="383"/>
      <c r="J297" s="383"/>
      <c r="K297" s="383"/>
    </row>
    <row r="298" spans="1:11">
      <c r="A298" s="383"/>
      <c r="B298" s="383"/>
      <c r="C298" s="383"/>
      <c r="D298" s="383"/>
      <c r="E298" s="383"/>
      <c r="F298" s="383"/>
      <c r="G298" s="383"/>
      <c r="H298" s="383"/>
      <c r="I298" s="383"/>
      <c r="J298" s="383"/>
      <c r="K298" s="383"/>
    </row>
    <row r="299" spans="1:11">
      <c r="A299" s="383"/>
      <c r="B299" s="383"/>
      <c r="C299" s="383"/>
      <c r="D299" s="383"/>
      <c r="E299" s="383"/>
      <c r="F299" s="383"/>
      <c r="G299" s="383"/>
      <c r="H299" s="383"/>
      <c r="I299" s="383"/>
      <c r="J299" s="383"/>
      <c r="K299" s="383"/>
    </row>
    <row r="300" spans="1:11">
      <c r="A300" s="383"/>
      <c r="B300" s="383"/>
      <c r="C300" s="383"/>
      <c r="D300" s="383"/>
      <c r="E300" s="383"/>
      <c r="F300" s="383"/>
      <c r="G300" s="383"/>
      <c r="H300" s="383"/>
      <c r="I300" s="383"/>
      <c r="J300" s="383"/>
      <c r="K300" s="383"/>
    </row>
    <row r="301" spans="1:11">
      <c r="A301" s="383"/>
      <c r="B301" s="383"/>
      <c r="C301" s="383"/>
      <c r="D301" s="383"/>
      <c r="E301" s="383"/>
      <c r="F301" s="383"/>
      <c r="G301" s="383"/>
      <c r="H301" s="383"/>
      <c r="I301" s="383"/>
      <c r="J301" s="383"/>
      <c r="K301" s="383"/>
    </row>
    <row r="302" spans="1:11">
      <c r="A302" s="383"/>
      <c r="B302" s="383"/>
      <c r="C302" s="383"/>
      <c r="D302" s="383"/>
      <c r="E302" s="383"/>
      <c r="F302" s="383"/>
      <c r="G302" s="383"/>
      <c r="H302" s="383"/>
      <c r="I302" s="383"/>
      <c r="J302" s="383"/>
      <c r="K302" s="383"/>
    </row>
    <row r="303" spans="1:11">
      <c r="A303" s="383"/>
      <c r="B303" s="383"/>
      <c r="C303" s="383"/>
      <c r="D303" s="383"/>
      <c r="E303" s="383"/>
      <c r="F303" s="383"/>
      <c r="G303" s="383"/>
      <c r="H303" s="383"/>
      <c r="I303" s="383"/>
      <c r="J303" s="383"/>
      <c r="K303" s="383"/>
    </row>
    <row r="304" spans="1:11">
      <c r="A304" s="383"/>
      <c r="B304" s="383"/>
      <c r="C304" s="383"/>
      <c r="D304" s="383"/>
      <c r="E304" s="383"/>
      <c r="F304" s="383"/>
      <c r="G304" s="383"/>
      <c r="H304" s="383"/>
      <c r="I304" s="383"/>
      <c r="J304" s="383"/>
      <c r="K304" s="383"/>
    </row>
    <row r="305" spans="1:11">
      <c r="A305" s="383"/>
      <c r="B305" s="383"/>
      <c r="C305" s="383"/>
      <c r="D305" s="383"/>
      <c r="E305" s="383"/>
      <c r="F305" s="383"/>
      <c r="G305" s="383"/>
      <c r="H305" s="383"/>
      <c r="I305" s="383"/>
      <c r="J305" s="383"/>
      <c r="K305" s="383"/>
    </row>
    <row r="306" spans="1:11">
      <c r="A306" s="383"/>
      <c r="B306" s="383"/>
      <c r="C306" s="383"/>
      <c r="D306" s="383"/>
      <c r="E306" s="383"/>
      <c r="F306" s="383"/>
      <c r="G306" s="383"/>
      <c r="H306" s="383"/>
      <c r="I306" s="383"/>
      <c r="J306" s="383"/>
      <c r="K306" s="383"/>
    </row>
    <row r="307" spans="1:11">
      <c r="A307" s="383"/>
      <c r="B307" s="383"/>
      <c r="C307" s="383"/>
      <c r="D307" s="383"/>
      <c r="E307" s="383"/>
      <c r="F307" s="383"/>
      <c r="G307" s="383"/>
      <c r="H307" s="383"/>
      <c r="I307" s="383"/>
      <c r="J307" s="383"/>
      <c r="K307" s="383"/>
    </row>
    <row r="308" spans="1:11">
      <c r="A308" s="383"/>
      <c r="B308" s="383"/>
      <c r="C308" s="383"/>
      <c r="D308" s="383"/>
      <c r="E308" s="383"/>
      <c r="F308" s="383"/>
      <c r="G308" s="383"/>
      <c r="H308" s="383"/>
      <c r="I308" s="383"/>
      <c r="J308" s="383"/>
      <c r="K308" s="383"/>
    </row>
    <row r="309" spans="1:11">
      <c r="A309" s="383"/>
      <c r="B309" s="383"/>
      <c r="C309" s="383"/>
      <c r="D309" s="383"/>
      <c r="E309" s="383"/>
      <c r="F309" s="383"/>
      <c r="G309" s="383"/>
      <c r="H309" s="383"/>
      <c r="I309" s="383"/>
      <c r="J309" s="383"/>
      <c r="K309" s="383"/>
    </row>
    <row r="310" spans="1:11">
      <c r="A310" s="383"/>
      <c r="B310" s="383"/>
      <c r="C310" s="383"/>
      <c r="D310" s="383"/>
      <c r="E310" s="383"/>
      <c r="F310" s="383"/>
      <c r="G310" s="383"/>
      <c r="H310" s="383"/>
      <c r="I310" s="383"/>
      <c r="J310" s="383"/>
      <c r="K310" s="383"/>
    </row>
    <row r="311" spans="1:11">
      <c r="A311" s="383"/>
      <c r="B311" s="383"/>
      <c r="C311" s="383"/>
      <c r="D311" s="383"/>
      <c r="E311" s="383"/>
      <c r="F311" s="383"/>
      <c r="G311" s="383"/>
      <c r="H311" s="383"/>
      <c r="I311" s="383"/>
      <c r="J311" s="383"/>
      <c r="K311" s="383"/>
    </row>
    <row r="312" spans="1:11">
      <c r="A312" s="383"/>
      <c r="B312" s="383"/>
      <c r="C312" s="383"/>
      <c r="D312" s="383"/>
      <c r="E312" s="383"/>
      <c r="F312" s="383"/>
      <c r="G312" s="383"/>
      <c r="H312" s="383"/>
      <c r="I312" s="383"/>
      <c r="J312" s="383"/>
      <c r="K312" s="383"/>
    </row>
    <row r="313" spans="1:11">
      <c r="A313" s="383"/>
      <c r="B313" s="383"/>
      <c r="C313" s="383"/>
      <c r="D313" s="383"/>
      <c r="E313" s="383"/>
      <c r="F313" s="383"/>
      <c r="G313" s="383"/>
      <c r="H313" s="383"/>
      <c r="I313" s="383"/>
      <c r="J313" s="383"/>
      <c r="K313" s="383"/>
    </row>
    <row r="314" spans="1:11">
      <c r="A314" s="383"/>
      <c r="B314" s="383"/>
      <c r="C314" s="383"/>
      <c r="D314" s="383"/>
      <c r="E314" s="383"/>
      <c r="F314" s="383"/>
      <c r="G314" s="383"/>
      <c r="H314" s="383"/>
      <c r="I314" s="383"/>
      <c r="J314" s="383"/>
      <c r="K314" s="383"/>
    </row>
    <row r="315" spans="1:11">
      <c r="A315" s="383"/>
      <c r="B315" s="383"/>
      <c r="C315" s="383"/>
      <c r="D315" s="383"/>
      <c r="E315" s="383"/>
      <c r="F315" s="383"/>
      <c r="G315" s="383"/>
      <c r="H315" s="383"/>
      <c r="I315" s="383"/>
      <c r="J315" s="383"/>
      <c r="K315" s="383"/>
    </row>
    <row r="316" spans="1:11">
      <c r="A316" s="383"/>
      <c r="B316" s="383"/>
      <c r="C316" s="383"/>
      <c r="D316" s="383"/>
      <c r="E316" s="383"/>
      <c r="F316" s="383"/>
      <c r="G316" s="383"/>
      <c r="H316" s="383"/>
      <c r="I316" s="383"/>
      <c r="J316" s="383"/>
      <c r="K316" s="383"/>
    </row>
    <row r="317" spans="1:11">
      <c r="A317" s="383"/>
      <c r="B317" s="383"/>
      <c r="C317" s="383"/>
      <c r="D317" s="383"/>
      <c r="E317" s="383"/>
      <c r="F317" s="383"/>
      <c r="G317" s="383"/>
      <c r="H317" s="383"/>
      <c r="I317" s="383"/>
      <c r="J317" s="383"/>
      <c r="K317" s="383"/>
    </row>
    <row r="318" spans="1:11">
      <c r="A318" s="383"/>
      <c r="B318" s="383"/>
      <c r="C318" s="383"/>
      <c r="D318" s="383"/>
      <c r="E318" s="383"/>
      <c r="F318" s="383"/>
      <c r="G318" s="383"/>
      <c r="H318" s="383"/>
      <c r="I318" s="383"/>
      <c r="J318" s="383"/>
      <c r="K318" s="383"/>
    </row>
    <row r="319" spans="1:11">
      <c r="A319" s="383"/>
      <c r="B319" s="383"/>
      <c r="C319" s="383"/>
      <c r="D319" s="383"/>
      <c r="E319" s="383"/>
      <c r="F319" s="383"/>
      <c r="G319" s="383"/>
      <c r="H319" s="383"/>
      <c r="I319" s="383"/>
      <c r="J319" s="383"/>
      <c r="K319" s="383"/>
    </row>
    <row r="320" spans="1:11">
      <c r="A320" s="383"/>
      <c r="B320" s="383"/>
      <c r="C320" s="383"/>
      <c r="D320" s="383"/>
      <c r="E320" s="383"/>
      <c r="F320" s="383"/>
      <c r="G320" s="383"/>
      <c r="H320" s="383"/>
      <c r="I320" s="383"/>
      <c r="J320" s="383"/>
      <c r="K320" s="383"/>
    </row>
    <row r="321" spans="1:11">
      <c r="A321" s="383"/>
      <c r="B321" s="383"/>
      <c r="C321" s="383"/>
      <c r="D321" s="383"/>
      <c r="E321" s="383"/>
      <c r="F321" s="383"/>
      <c r="G321" s="383"/>
      <c r="H321" s="383"/>
      <c r="I321" s="383"/>
      <c r="J321" s="383"/>
      <c r="K321" s="383"/>
    </row>
    <row r="322" spans="1:11">
      <c r="A322" s="383"/>
      <c r="B322" s="383"/>
      <c r="C322" s="383"/>
      <c r="D322" s="383"/>
      <c r="E322" s="383"/>
      <c r="F322" s="383"/>
      <c r="G322" s="383"/>
      <c r="H322" s="383"/>
      <c r="I322" s="383"/>
      <c r="J322" s="383"/>
      <c r="K322" s="383"/>
    </row>
    <row r="323" spans="1:11">
      <c r="A323" s="383"/>
      <c r="B323" s="383"/>
      <c r="C323" s="383"/>
      <c r="D323" s="383"/>
      <c r="E323" s="383"/>
      <c r="F323" s="383"/>
      <c r="G323" s="383"/>
      <c r="H323" s="383"/>
      <c r="I323" s="383"/>
      <c r="J323" s="383"/>
      <c r="K323" s="383"/>
    </row>
    <row r="324" spans="1:11">
      <c r="A324" s="383"/>
      <c r="B324" s="383"/>
      <c r="C324" s="383"/>
      <c r="D324" s="383"/>
      <c r="E324" s="383"/>
      <c r="F324" s="383"/>
      <c r="G324" s="383"/>
      <c r="H324" s="383"/>
      <c r="I324" s="383"/>
      <c r="J324" s="383"/>
      <c r="K324" s="383"/>
    </row>
    <row r="325" spans="1:11">
      <c r="A325" s="383"/>
      <c r="B325" s="383"/>
      <c r="C325" s="383"/>
      <c r="D325" s="383"/>
      <c r="E325" s="383"/>
      <c r="F325" s="383"/>
      <c r="G325" s="383"/>
      <c r="H325" s="383"/>
      <c r="I325" s="383"/>
      <c r="J325" s="383"/>
      <c r="K325" s="383"/>
    </row>
    <row r="326" spans="1:11">
      <c r="A326" s="383"/>
      <c r="B326" s="383"/>
      <c r="C326" s="383"/>
      <c r="D326" s="383"/>
      <c r="E326" s="383"/>
      <c r="F326" s="383"/>
      <c r="G326" s="383"/>
      <c r="H326" s="383"/>
      <c r="I326" s="383"/>
      <c r="J326" s="383"/>
      <c r="K326" s="383"/>
    </row>
    <row r="327" spans="1:11">
      <c r="A327" s="383"/>
      <c r="B327" s="383"/>
      <c r="C327" s="383"/>
      <c r="D327" s="383"/>
      <c r="E327" s="383"/>
      <c r="F327" s="383"/>
      <c r="G327" s="383"/>
      <c r="H327" s="383"/>
      <c r="I327" s="383"/>
      <c r="J327" s="383"/>
      <c r="K327" s="383"/>
    </row>
    <row r="328" spans="1:11">
      <c r="A328" s="383"/>
      <c r="B328" s="383"/>
      <c r="C328" s="383"/>
      <c r="D328" s="383"/>
      <c r="E328" s="383"/>
      <c r="F328" s="383"/>
      <c r="G328" s="383"/>
      <c r="H328" s="383"/>
      <c r="I328" s="383"/>
      <c r="J328" s="383"/>
      <c r="K328" s="383"/>
    </row>
    <row r="329" spans="1:11">
      <c r="A329" s="383"/>
      <c r="B329" s="383"/>
      <c r="C329" s="383"/>
      <c r="D329" s="383"/>
      <c r="E329" s="383"/>
      <c r="F329" s="383"/>
      <c r="G329" s="383"/>
      <c r="H329" s="383"/>
      <c r="I329" s="383"/>
      <c r="J329" s="383"/>
      <c r="K329" s="383"/>
    </row>
    <row r="330" spans="1:11">
      <c r="A330" s="383"/>
      <c r="B330" s="383"/>
      <c r="C330" s="383"/>
      <c r="D330" s="383"/>
      <c r="E330" s="383"/>
      <c r="F330" s="383"/>
      <c r="G330" s="383"/>
      <c r="H330" s="383"/>
      <c r="I330" s="383"/>
      <c r="J330" s="383"/>
      <c r="K330" s="383"/>
    </row>
    <row r="331" spans="1:11">
      <c r="A331" s="383"/>
      <c r="B331" s="383"/>
      <c r="C331" s="383"/>
      <c r="D331" s="383"/>
      <c r="E331" s="383"/>
      <c r="F331" s="383"/>
      <c r="G331" s="383"/>
      <c r="H331" s="383"/>
      <c r="I331" s="383"/>
      <c r="J331" s="383"/>
      <c r="K331" s="383"/>
    </row>
    <row r="332" spans="1:11">
      <c r="A332" s="383"/>
      <c r="B332" s="383"/>
      <c r="C332" s="383"/>
      <c r="D332" s="383"/>
      <c r="E332" s="383"/>
      <c r="F332" s="383"/>
      <c r="G332" s="383"/>
      <c r="H332" s="383"/>
      <c r="I332" s="383"/>
      <c r="J332" s="383"/>
      <c r="K332" s="383"/>
    </row>
    <row r="333" spans="1:11">
      <c r="A333" s="383"/>
      <c r="B333" s="383"/>
      <c r="C333" s="383"/>
      <c r="D333" s="383"/>
      <c r="E333" s="383"/>
      <c r="F333" s="383"/>
      <c r="G333" s="383"/>
      <c r="H333" s="383"/>
      <c r="I333" s="383"/>
      <c r="J333" s="383"/>
      <c r="K333" s="383"/>
    </row>
    <row r="334" spans="1:11">
      <c r="A334" s="383"/>
      <c r="B334" s="383"/>
      <c r="C334" s="383"/>
      <c r="D334" s="383"/>
      <c r="E334" s="383"/>
      <c r="F334" s="383"/>
      <c r="G334" s="383"/>
      <c r="H334" s="383"/>
      <c r="I334" s="383"/>
      <c r="J334" s="383"/>
      <c r="K334" s="383"/>
    </row>
    <row r="335" spans="1:11">
      <c r="A335" s="383"/>
      <c r="B335" s="383"/>
      <c r="C335" s="383"/>
      <c r="D335" s="383"/>
      <c r="E335" s="383"/>
      <c r="F335" s="383"/>
      <c r="G335" s="383"/>
      <c r="H335" s="383"/>
      <c r="I335" s="383"/>
      <c r="J335" s="383"/>
      <c r="K335" s="383"/>
    </row>
    <row r="336" spans="1:11">
      <c r="A336" s="383"/>
      <c r="B336" s="383"/>
      <c r="C336" s="383"/>
      <c r="D336" s="383"/>
      <c r="E336" s="383"/>
      <c r="F336" s="383"/>
      <c r="G336" s="383"/>
      <c r="H336" s="383"/>
      <c r="I336" s="383"/>
      <c r="J336" s="383"/>
      <c r="K336" s="383"/>
    </row>
    <row r="337" spans="1:11">
      <c r="A337" s="383"/>
      <c r="B337" s="383"/>
      <c r="C337" s="383"/>
      <c r="D337" s="383"/>
      <c r="E337" s="383"/>
      <c r="F337" s="383"/>
      <c r="G337" s="383"/>
      <c r="H337" s="383"/>
      <c r="I337" s="383"/>
      <c r="J337" s="383"/>
      <c r="K337" s="383"/>
    </row>
    <row r="338" spans="1:11">
      <c r="A338" s="383"/>
      <c r="B338" s="383"/>
      <c r="C338" s="383"/>
      <c r="D338" s="383"/>
      <c r="E338" s="383"/>
      <c r="F338" s="383"/>
      <c r="G338" s="383"/>
      <c r="H338" s="383"/>
      <c r="I338" s="383"/>
      <c r="J338" s="383"/>
      <c r="K338" s="383"/>
    </row>
    <row r="339" spans="1:11">
      <c r="A339" s="383"/>
      <c r="B339" s="383"/>
      <c r="C339" s="383"/>
      <c r="D339" s="383"/>
      <c r="E339" s="383"/>
      <c r="F339" s="383"/>
      <c r="G339" s="383"/>
      <c r="H339" s="383"/>
      <c r="I339" s="383"/>
      <c r="J339" s="383"/>
      <c r="K339" s="383"/>
    </row>
    <row r="340" spans="1:11">
      <c r="A340" s="383"/>
      <c r="B340" s="383"/>
      <c r="C340" s="383"/>
      <c r="D340" s="383"/>
      <c r="E340" s="383"/>
      <c r="F340" s="383"/>
      <c r="G340" s="383"/>
      <c r="H340" s="383"/>
      <c r="I340" s="383"/>
      <c r="J340" s="383"/>
      <c r="K340" s="383"/>
    </row>
    <row r="341" spans="1:11">
      <c r="A341" s="383"/>
      <c r="B341" s="383"/>
      <c r="C341" s="383"/>
      <c r="D341" s="383"/>
      <c r="E341" s="383"/>
      <c r="F341" s="383"/>
      <c r="G341" s="383"/>
      <c r="H341" s="383"/>
      <c r="I341" s="383"/>
      <c r="J341" s="383"/>
      <c r="K341" s="383"/>
    </row>
    <row r="342" spans="1:11">
      <c r="A342" s="383"/>
      <c r="B342" s="383"/>
      <c r="C342" s="383"/>
      <c r="D342" s="383"/>
      <c r="E342" s="383"/>
      <c r="F342" s="383"/>
      <c r="G342" s="383"/>
      <c r="H342" s="383"/>
      <c r="I342" s="383"/>
      <c r="J342" s="383"/>
      <c r="K342" s="383"/>
    </row>
    <row r="343" spans="1:11">
      <c r="A343" s="383"/>
      <c r="B343" s="383"/>
      <c r="C343" s="383"/>
      <c r="D343" s="383"/>
      <c r="E343" s="383"/>
      <c r="F343" s="383"/>
      <c r="G343" s="383"/>
      <c r="H343" s="383"/>
      <c r="I343" s="383"/>
      <c r="J343" s="383"/>
      <c r="K343" s="383"/>
    </row>
    <row r="344" spans="1:11">
      <c r="A344" s="383"/>
      <c r="B344" s="383"/>
      <c r="C344" s="383"/>
      <c r="D344" s="383"/>
      <c r="E344" s="383"/>
      <c r="F344" s="383"/>
      <c r="G344" s="383"/>
      <c r="H344" s="383"/>
      <c r="I344" s="383"/>
      <c r="J344" s="383"/>
      <c r="K344" s="383"/>
    </row>
    <row r="345" spans="1:11">
      <c r="A345" s="383"/>
      <c r="B345" s="383"/>
      <c r="C345" s="383"/>
      <c r="D345" s="383"/>
      <c r="E345" s="383"/>
      <c r="F345" s="383"/>
      <c r="G345" s="383"/>
      <c r="H345" s="383"/>
      <c r="I345" s="383"/>
      <c r="J345" s="383"/>
      <c r="K345" s="383"/>
    </row>
    <row r="346" spans="1:11">
      <c r="A346" s="383"/>
      <c r="B346" s="383"/>
      <c r="C346" s="383"/>
      <c r="D346" s="383"/>
      <c r="E346" s="383"/>
      <c r="F346" s="383"/>
      <c r="G346" s="383"/>
      <c r="H346" s="383"/>
      <c r="I346" s="383"/>
      <c r="J346" s="383"/>
      <c r="K346" s="383"/>
    </row>
    <row r="347" spans="1:11">
      <c r="A347" s="383"/>
      <c r="B347" s="383"/>
      <c r="C347" s="383"/>
      <c r="D347" s="383"/>
      <c r="E347" s="383"/>
      <c r="F347" s="383"/>
      <c r="G347" s="383"/>
      <c r="H347" s="383"/>
      <c r="I347" s="383"/>
      <c r="J347" s="383"/>
      <c r="K347" s="383"/>
    </row>
    <row r="348" spans="1:11">
      <c r="A348" s="383"/>
      <c r="B348" s="383"/>
      <c r="C348" s="383"/>
      <c r="D348" s="383"/>
      <c r="E348" s="383"/>
      <c r="F348" s="383"/>
      <c r="G348" s="383"/>
      <c r="H348" s="383"/>
      <c r="I348" s="383"/>
      <c r="J348" s="383"/>
      <c r="K348" s="383"/>
    </row>
    <row r="349" spans="1:11">
      <c r="A349" s="383"/>
      <c r="B349" s="383"/>
      <c r="C349" s="383"/>
      <c r="D349" s="383"/>
      <c r="E349" s="383"/>
      <c r="F349" s="383"/>
      <c r="G349" s="383"/>
      <c r="H349" s="383"/>
      <c r="I349" s="383"/>
      <c r="J349" s="383"/>
      <c r="K349" s="383"/>
    </row>
    <row r="350" spans="1:11">
      <c r="A350" s="383"/>
      <c r="B350" s="383"/>
      <c r="C350" s="383"/>
      <c r="D350" s="383"/>
      <c r="E350" s="383"/>
      <c r="F350" s="383"/>
      <c r="G350" s="383"/>
      <c r="H350" s="383"/>
      <c r="I350" s="383"/>
      <c r="J350" s="383"/>
      <c r="K350" s="383"/>
    </row>
    <row r="351" spans="1:11">
      <c r="A351" s="383"/>
      <c r="B351" s="383"/>
      <c r="C351" s="383"/>
      <c r="D351" s="383"/>
      <c r="E351" s="383"/>
      <c r="F351" s="383"/>
      <c r="G351" s="383"/>
      <c r="H351" s="383"/>
      <c r="I351" s="383"/>
      <c r="J351" s="383"/>
      <c r="K351" s="383"/>
    </row>
    <row r="352" spans="1:11">
      <c r="A352" s="383"/>
      <c r="B352" s="383"/>
      <c r="C352" s="383"/>
      <c r="D352" s="383"/>
      <c r="E352" s="383"/>
      <c r="F352" s="383"/>
      <c r="G352" s="383"/>
      <c r="H352" s="383"/>
      <c r="I352" s="383"/>
      <c r="J352" s="383"/>
      <c r="K352" s="383"/>
    </row>
    <row r="353" spans="1:11">
      <c r="A353" s="383"/>
      <c r="B353" s="383"/>
      <c r="C353" s="383"/>
      <c r="D353" s="383"/>
      <c r="E353" s="383"/>
      <c r="F353" s="383"/>
      <c r="G353" s="383"/>
      <c r="H353" s="383"/>
      <c r="I353" s="383"/>
      <c r="J353" s="383"/>
      <c r="K353" s="383"/>
    </row>
    <row r="354" spans="1:11">
      <c r="A354" s="383"/>
      <c r="B354" s="383"/>
      <c r="C354" s="383"/>
      <c r="D354" s="383"/>
      <c r="E354" s="383"/>
      <c r="F354" s="383"/>
      <c r="G354" s="383"/>
      <c r="H354" s="383"/>
      <c r="I354" s="383"/>
      <c r="J354" s="383"/>
      <c r="K354" s="383"/>
    </row>
    <row r="355" spans="1:11">
      <c r="A355" s="383"/>
      <c r="B355" s="383"/>
      <c r="C355" s="383"/>
      <c r="D355" s="383"/>
      <c r="E355" s="383"/>
      <c r="F355" s="383"/>
      <c r="G355" s="383"/>
      <c r="H355" s="383"/>
      <c r="I355" s="383"/>
      <c r="J355" s="383"/>
      <c r="K355" s="383"/>
    </row>
    <row r="356" spans="1:11">
      <c r="A356" s="383"/>
      <c r="B356" s="383"/>
      <c r="C356" s="383"/>
      <c r="D356" s="383"/>
      <c r="E356" s="383"/>
      <c r="F356" s="383"/>
      <c r="G356" s="383"/>
      <c r="H356" s="383"/>
      <c r="I356" s="383"/>
      <c r="J356" s="383"/>
      <c r="K356" s="383"/>
    </row>
    <row r="357" spans="1:11">
      <c r="A357" s="383"/>
      <c r="B357" s="383"/>
      <c r="C357" s="383"/>
      <c r="D357" s="383"/>
      <c r="E357" s="383"/>
      <c r="F357" s="383"/>
      <c r="G357" s="383"/>
      <c r="H357" s="383"/>
      <c r="I357" s="383"/>
      <c r="J357" s="383"/>
      <c r="K357" s="383"/>
    </row>
    <row r="358" spans="1:11">
      <c r="A358" s="383"/>
      <c r="B358" s="383"/>
      <c r="C358" s="383"/>
      <c r="D358" s="383"/>
      <c r="E358" s="383"/>
      <c r="F358" s="383"/>
      <c r="G358" s="383"/>
      <c r="H358" s="383"/>
      <c r="I358" s="383"/>
      <c r="J358" s="383"/>
      <c r="K358" s="383"/>
    </row>
    <row r="359" spans="1:11">
      <c r="A359" s="383"/>
      <c r="B359" s="383"/>
      <c r="C359" s="383"/>
      <c r="D359" s="383"/>
      <c r="E359" s="383"/>
      <c r="F359" s="383"/>
      <c r="G359" s="383"/>
      <c r="H359" s="383"/>
      <c r="I359" s="383"/>
      <c r="J359" s="383"/>
      <c r="K359" s="383"/>
    </row>
    <row r="360" spans="1:11">
      <c r="A360" s="383"/>
      <c r="B360" s="383"/>
      <c r="C360" s="383"/>
      <c r="D360" s="383"/>
      <c r="E360" s="383"/>
      <c r="F360" s="383"/>
      <c r="G360" s="383"/>
      <c r="H360" s="383"/>
      <c r="I360" s="383"/>
      <c r="J360" s="383"/>
      <c r="K360" s="383"/>
    </row>
    <row r="361" spans="1:11">
      <c r="A361" s="383"/>
      <c r="B361" s="383"/>
      <c r="C361" s="383"/>
      <c r="D361" s="383"/>
      <c r="E361" s="383"/>
      <c r="F361" s="383"/>
      <c r="G361" s="383"/>
      <c r="H361" s="383"/>
      <c r="I361" s="383"/>
      <c r="J361" s="383"/>
      <c r="K361" s="383"/>
    </row>
    <row r="362" spans="1:11">
      <c r="A362" s="383"/>
      <c r="B362" s="383"/>
      <c r="C362" s="383"/>
      <c r="D362" s="383"/>
      <c r="E362" s="383"/>
      <c r="F362" s="383"/>
      <c r="G362" s="383"/>
      <c r="H362" s="383"/>
      <c r="I362" s="383"/>
      <c r="J362" s="383"/>
      <c r="K362" s="383"/>
    </row>
    <row r="363" spans="1:11">
      <c r="A363" s="383"/>
      <c r="B363" s="383"/>
      <c r="C363" s="383"/>
      <c r="D363" s="383"/>
      <c r="E363" s="383"/>
      <c r="F363" s="383"/>
      <c r="G363" s="383"/>
      <c r="H363" s="383"/>
      <c r="I363" s="383"/>
      <c r="J363" s="383"/>
      <c r="K363" s="383"/>
    </row>
    <row r="364" spans="1:11">
      <c r="A364" s="383"/>
      <c r="B364" s="383"/>
      <c r="C364" s="383"/>
      <c r="D364" s="383"/>
      <c r="E364" s="383"/>
      <c r="F364" s="383"/>
      <c r="G364" s="383"/>
      <c r="H364" s="383"/>
      <c r="I364" s="383"/>
      <c r="J364" s="383"/>
      <c r="K364" s="383"/>
    </row>
    <row r="365" spans="1:11">
      <c r="A365" s="383"/>
      <c r="B365" s="383"/>
      <c r="C365" s="383"/>
      <c r="D365" s="383"/>
      <c r="E365" s="383"/>
      <c r="F365" s="383"/>
      <c r="G365" s="383"/>
      <c r="H365" s="383"/>
      <c r="I365" s="383"/>
      <c r="J365" s="383"/>
      <c r="K365" s="383"/>
    </row>
    <row r="366" spans="1:11">
      <c r="A366" s="383"/>
      <c r="B366" s="383"/>
      <c r="C366" s="383"/>
      <c r="D366" s="383"/>
      <c r="E366" s="383"/>
      <c r="F366" s="383"/>
      <c r="G366" s="383"/>
      <c r="H366" s="383"/>
      <c r="I366" s="383"/>
      <c r="J366" s="383"/>
      <c r="K366" s="383"/>
    </row>
    <row r="367" spans="1:11">
      <c r="A367" s="383"/>
      <c r="B367" s="383"/>
      <c r="C367" s="383"/>
      <c r="D367" s="383"/>
      <c r="E367" s="383"/>
      <c r="F367" s="383"/>
      <c r="G367" s="383"/>
      <c r="H367" s="383"/>
      <c r="I367" s="383"/>
      <c r="J367" s="383"/>
      <c r="K367" s="383"/>
    </row>
    <row r="368" spans="1:11">
      <c r="A368" s="383"/>
      <c r="B368" s="383"/>
      <c r="C368" s="383"/>
      <c r="D368" s="383"/>
      <c r="E368" s="383"/>
      <c r="F368" s="383"/>
      <c r="G368" s="383"/>
      <c r="H368" s="383"/>
      <c r="I368" s="383"/>
      <c r="J368" s="383"/>
      <c r="K368" s="383"/>
    </row>
    <row r="369" spans="1:11">
      <c r="A369" s="383"/>
      <c r="B369" s="383"/>
      <c r="C369" s="383"/>
      <c r="D369" s="383"/>
      <c r="E369" s="383"/>
      <c r="F369" s="383"/>
      <c r="G369" s="383"/>
      <c r="H369" s="383"/>
      <c r="I369" s="383"/>
      <c r="J369" s="383"/>
      <c r="K369" s="383"/>
    </row>
    <row r="370" spans="1:11">
      <c r="A370" s="383"/>
      <c r="B370" s="383"/>
      <c r="C370" s="383"/>
      <c r="D370" s="383"/>
      <c r="E370" s="383"/>
      <c r="F370" s="383"/>
      <c r="G370" s="383"/>
      <c r="H370" s="383"/>
      <c r="I370" s="383"/>
      <c r="J370" s="383"/>
      <c r="K370" s="383"/>
    </row>
    <row r="371" spans="1:11">
      <c r="A371" s="383"/>
      <c r="B371" s="383"/>
      <c r="C371" s="383"/>
      <c r="D371" s="383"/>
      <c r="E371" s="383"/>
      <c r="F371" s="383"/>
      <c r="G371" s="383"/>
      <c r="H371" s="383"/>
      <c r="I371" s="383"/>
      <c r="J371" s="383"/>
      <c r="K371" s="383"/>
    </row>
    <row r="372" spans="1:11">
      <c r="A372" s="383"/>
      <c r="B372" s="383"/>
      <c r="C372" s="383"/>
      <c r="D372" s="383"/>
      <c r="E372" s="383"/>
      <c r="F372" s="383"/>
      <c r="G372" s="383"/>
      <c r="H372" s="383"/>
      <c r="I372" s="383"/>
      <c r="J372" s="383"/>
      <c r="K372" s="383"/>
    </row>
    <row r="373" spans="1:11">
      <c r="A373" s="383"/>
      <c r="B373" s="383"/>
      <c r="C373" s="383"/>
      <c r="D373" s="383"/>
      <c r="E373" s="383"/>
      <c r="F373" s="383"/>
      <c r="G373" s="383"/>
      <c r="H373" s="383"/>
      <c r="I373" s="383"/>
      <c r="J373" s="383"/>
      <c r="K373" s="383"/>
    </row>
    <row r="374" spans="1:11">
      <c r="A374" s="383"/>
      <c r="B374" s="383"/>
      <c r="C374" s="383"/>
      <c r="D374" s="383"/>
      <c r="E374" s="383"/>
      <c r="F374" s="383"/>
      <c r="G374" s="383"/>
      <c r="H374" s="383"/>
      <c r="I374" s="383"/>
      <c r="J374" s="383"/>
      <c r="K374" s="383"/>
    </row>
    <row r="375" spans="1:11">
      <c r="A375" s="383"/>
      <c r="B375" s="383"/>
      <c r="C375" s="383"/>
      <c r="D375" s="383"/>
      <c r="E375" s="383"/>
      <c r="F375" s="383"/>
      <c r="G375" s="383"/>
      <c r="H375" s="383"/>
      <c r="I375" s="383"/>
      <c r="J375" s="383"/>
      <c r="K375" s="383"/>
    </row>
    <row r="376" spans="1:11">
      <c r="A376" s="383"/>
      <c r="B376" s="383"/>
      <c r="C376" s="383"/>
      <c r="D376" s="383"/>
      <c r="E376" s="383"/>
      <c r="F376" s="383"/>
      <c r="G376" s="383"/>
      <c r="H376" s="383"/>
      <c r="I376" s="383"/>
      <c r="J376" s="383"/>
      <c r="K376" s="383"/>
    </row>
    <row r="377" spans="1:11">
      <c r="A377" s="383"/>
      <c r="B377" s="383"/>
      <c r="C377" s="383"/>
      <c r="D377" s="383"/>
      <c r="E377" s="383"/>
      <c r="F377" s="383"/>
      <c r="G377" s="383"/>
      <c r="H377" s="383"/>
      <c r="I377" s="383"/>
      <c r="J377" s="383"/>
      <c r="K377" s="383"/>
    </row>
    <row r="378" spans="1:11">
      <c r="A378" s="383"/>
      <c r="B378" s="383"/>
      <c r="C378" s="383"/>
      <c r="D378" s="383"/>
      <c r="E378" s="383"/>
      <c r="F378" s="383"/>
      <c r="G378" s="383"/>
      <c r="H378" s="383"/>
      <c r="I378" s="383"/>
      <c r="J378" s="383"/>
      <c r="K378" s="383"/>
    </row>
    <row r="379" spans="1:11">
      <c r="A379" s="383"/>
      <c r="B379" s="383"/>
      <c r="C379" s="383"/>
      <c r="D379" s="383"/>
      <c r="E379" s="383"/>
      <c r="F379" s="383"/>
      <c r="G379" s="383"/>
      <c r="H379" s="383"/>
      <c r="I379" s="383"/>
      <c r="J379" s="383"/>
      <c r="K379" s="383"/>
    </row>
    <row r="380" spans="1:11">
      <c r="A380" s="383"/>
      <c r="B380" s="383"/>
      <c r="C380" s="383"/>
      <c r="D380" s="383"/>
      <c r="E380" s="383"/>
      <c r="F380" s="383"/>
      <c r="G380" s="383"/>
      <c r="H380" s="383"/>
      <c r="I380" s="383"/>
      <c r="J380" s="383"/>
      <c r="K380" s="383"/>
    </row>
    <row r="381" spans="1:11">
      <c r="A381" s="383"/>
      <c r="B381" s="383"/>
      <c r="C381" s="383"/>
      <c r="D381" s="383"/>
      <c r="E381" s="383"/>
      <c r="F381" s="383"/>
      <c r="G381" s="383"/>
      <c r="H381" s="383"/>
      <c r="I381" s="383"/>
      <c r="J381" s="383"/>
      <c r="K381" s="383"/>
    </row>
    <row r="382" spans="1:11">
      <c r="A382" s="383"/>
      <c r="B382" s="383"/>
      <c r="C382" s="383"/>
      <c r="D382" s="383"/>
      <c r="E382" s="383"/>
      <c r="F382" s="383"/>
      <c r="G382" s="383"/>
      <c r="H382" s="383"/>
      <c r="I382" s="383"/>
      <c r="J382" s="383"/>
      <c r="K382" s="383"/>
    </row>
    <row r="383" spans="1:11">
      <c r="A383" s="383"/>
      <c r="B383" s="383"/>
      <c r="C383" s="383"/>
      <c r="D383" s="383"/>
      <c r="E383" s="383"/>
      <c r="F383" s="383"/>
      <c r="G383" s="383"/>
      <c r="H383" s="383"/>
      <c r="I383" s="383"/>
      <c r="J383" s="383"/>
      <c r="K383" s="383"/>
    </row>
    <row r="384" spans="1:11">
      <c r="A384" s="383"/>
      <c r="B384" s="383"/>
      <c r="C384" s="383"/>
      <c r="D384" s="383"/>
      <c r="E384" s="383"/>
      <c r="F384" s="383"/>
      <c r="G384" s="383"/>
      <c r="H384" s="383"/>
      <c r="I384" s="383"/>
      <c r="J384" s="383"/>
      <c r="K384" s="383"/>
    </row>
    <row r="385" spans="1:11">
      <c r="A385" s="383"/>
      <c r="B385" s="383"/>
      <c r="C385" s="383"/>
      <c r="D385" s="383"/>
      <c r="E385" s="383"/>
      <c r="F385" s="383"/>
      <c r="G385" s="383"/>
      <c r="H385" s="383"/>
      <c r="I385" s="383"/>
      <c r="J385" s="383"/>
      <c r="K385" s="383"/>
    </row>
    <row r="386" spans="1:11">
      <c r="A386" s="383"/>
      <c r="B386" s="383"/>
      <c r="C386" s="383"/>
      <c r="D386" s="383"/>
      <c r="E386" s="383"/>
      <c r="F386" s="383"/>
      <c r="G386" s="383"/>
      <c r="H386" s="383"/>
      <c r="I386" s="383"/>
      <c r="J386" s="383"/>
      <c r="K386" s="383"/>
    </row>
    <row r="387" spans="1:11">
      <c r="A387" s="383"/>
      <c r="B387" s="383"/>
      <c r="C387" s="383"/>
      <c r="D387" s="383"/>
      <c r="E387" s="383"/>
      <c r="F387" s="383"/>
      <c r="G387" s="383"/>
      <c r="H387" s="383"/>
      <c r="I387" s="383"/>
      <c r="J387" s="383"/>
      <c r="K387" s="383"/>
    </row>
    <row r="388" spans="1:11">
      <c r="A388" s="383"/>
      <c r="B388" s="383"/>
      <c r="C388" s="383"/>
      <c r="D388" s="383"/>
      <c r="E388" s="383"/>
      <c r="F388" s="383"/>
      <c r="G388" s="383"/>
      <c r="H388" s="383"/>
      <c r="I388" s="383"/>
      <c r="J388" s="383"/>
      <c r="K388" s="383"/>
    </row>
    <row r="389" spans="1:11">
      <c r="A389" s="383"/>
      <c r="B389" s="383"/>
      <c r="C389" s="383"/>
      <c r="D389" s="383"/>
      <c r="E389" s="383"/>
      <c r="F389" s="383"/>
      <c r="G389" s="383"/>
      <c r="H389" s="383"/>
      <c r="I389" s="383"/>
      <c r="J389" s="383"/>
      <c r="K389" s="383"/>
    </row>
    <row r="390" spans="1:11">
      <c r="A390" s="383"/>
      <c r="B390" s="383"/>
      <c r="C390" s="383"/>
      <c r="D390" s="383"/>
      <c r="E390" s="383"/>
      <c r="F390" s="383"/>
      <c r="G390" s="383"/>
      <c r="H390" s="383"/>
      <c r="I390" s="383"/>
      <c r="J390" s="383"/>
      <c r="K390" s="383"/>
    </row>
    <row r="391" spans="1:11">
      <c r="A391" s="383"/>
      <c r="B391" s="383"/>
      <c r="C391" s="383"/>
      <c r="D391" s="383"/>
      <c r="E391" s="383"/>
      <c r="F391" s="383"/>
      <c r="G391" s="383"/>
      <c r="H391" s="383"/>
      <c r="I391" s="383"/>
      <c r="J391" s="383"/>
      <c r="K391" s="383"/>
    </row>
    <row r="392" spans="1:11">
      <c r="A392" s="383"/>
      <c r="B392" s="383"/>
      <c r="C392" s="383"/>
      <c r="D392" s="383"/>
      <c r="E392" s="383"/>
      <c r="F392" s="383"/>
      <c r="G392" s="383"/>
      <c r="H392" s="383"/>
      <c r="I392" s="383"/>
      <c r="J392" s="383"/>
      <c r="K392" s="383"/>
    </row>
    <row r="393" spans="1:11">
      <c r="A393" s="383"/>
      <c r="B393" s="383"/>
      <c r="C393" s="383"/>
      <c r="D393" s="383"/>
      <c r="E393" s="383"/>
      <c r="F393" s="383"/>
      <c r="G393" s="383"/>
      <c r="H393" s="383"/>
      <c r="I393" s="383"/>
      <c r="J393" s="383"/>
      <c r="K393" s="383"/>
    </row>
    <row r="394" spans="1:11">
      <c r="A394" s="383"/>
      <c r="B394" s="383"/>
      <c r="C394" s="383"/>
      <c r="D394" s="383"/>
      <c r="E394" s="383"/>
      <c r="F394" s="383"/>
      <c r="G394" s="383"/>
      <c r="H394" s="383"/>
      <c r="I394" s="383"/>
      <c r="J394" s="383"/>
      <c r="K394" s="383"/>
    </row>
    <row r="395" spans="1:11">
      <c r="A395" s="383"/>
      <c r="B395" s="383"/>
      <c r="C395" s="383"/>
      <c r="D395" s="383"/>
      <c r="E395" s="383"/>
      <c r="F395" s="383"/>
      <c r="G395" s="383"/>
      <c r="H395" s="383"/>
      <c r="I395" s="383"/>
      <c r="J395" s="383"/>
      <c r="K395" s="383"/>
    </row>
    <row r="396" spans="1:11">
      <c r="A396" s="383"/>
      <c r="B396" s="383"/>
      <c r="C396" s="383"/>
      <c r="D396" s="383"/>
      <c r="E396" s="383"/>
      <c r="F396" s="383"/>
      <c r="G396" s="383"/>
      <c r="H396" s="383"/>
      <c r="I396" s="383"/>
      <c r="J396" s="383"/>
      <c r="K396" s="383"/>
    </row>
    <row r="397" spans="1:11">
      <c r="A397" s="383"/>
      <c r="B397" s="383"/>
      <c r="C397" s="383"/>
      <c r="D397" s="383"/>
      <c r="E397" s="383"/>
      <c r="F397" s="383"/>
      <c r="G397" s="383"/>
      <c r="H397" s="383"/>
      <c r="I397" s="383"/>
      <c r="J397" s="383"/>
      <c r="K397" s="383"/>
    </row>
    <row r="398" spans="1:11">
      <c r="A398" s="383"/>
      <c r="B398" s="383"/>
      <c r="C398" s="383"/>
      <c r="D398" s="383"/>
      <c r="E398" s="383"/>
      <c r="F398" s="383"/>
      <c r="G398" s="383"/>
      <c r="H398" s="383"/>
      <c r="I398" s="383"/>
      <c r="J398" s="383"/>
      <c r="K398" s="383"/>
    </row>
    <row r="399" spans="1:11">
      <c r="A399" s="383"/>
      <c r="B399" s="383"/>
      <c r="C399" s="383"/>
      <c r="D399" s="383"/>
      <c r="E399" s="383"/>
      <c r="F399" s="383"/>
      <c r="G399" s="383"/>
      <c r="H399" s="383"/>
      <c r="I399" s="383"/>
      <c r="J399" s="383"/>
      <c r="K399" s="383"/>
    </row>
    <row r="400" spans="1:11">
      <c r="A400" s="383"/>
      <c r="B400" s="383"/>
      <c r="C400" s="383"/>
      <c r="D400" s="383"/>
      <c r="E400" s="383"/>
      <c r="F400" s="383"/>
      <c r="G400" s="383"/>
      <c r="H400" s="383"/>
      <c r="I400" s="383"/>
      <c r="J400" s="383"/>
      <c r="K400" s="383"/>
    </row>
    <row r="401" spans="1:11">
      <c r="A401" s="383"/>
      <c r="B401" s="383"/>
      <c r="C401" s="383"/>
      <c r="D401" s="383"/>
      <c r="E401" s="383"/>
      <c r="F401" s="383"/>
      <c r="G401" s="383"/>
      <c r="H401" s="383"/>
      <c r="I401" s="383"/>
      <c r="J401" s="383"/>
      <c r="K401" s="383"/>
    </row>
    <row r="402" spans="1:11">
      <c r="A402" s="383"/>
      <c r="B402" s="383"/>
      <c r="C402" s="383"/>
      <c r="D402" s="383"/>
      <c r="E402" s="383"/>
      <c r="F402" s="383"/>
      <c r="G402" s="383"/>
      <c r="H402" s="383"/>
      <c r="I402" s="383"/>
      <c r="J402" s="383"/>
      <c r="K402" s="383"/>
    </row>
    <row r="403" spans="1:11">
      <c r="A403" s="383"/>
      <c r="B403" s="383"/>
      <c r="C403" s="383"/>
      <c r="D403" s="383"/>
      <c r="E403" s="383"/>
      <c r="F403" s="383"/>
      <c r="G403" s="383"/>
      <c r="H403" s="383"/>
      <c r="I403" s="383"/>
      <c r="J403" s="383"/>
      <c r="K403" s="383"/>
    </row>
    <row r="404" spans="1:11">
      <c r="A404" s="383"/>
      <c r="B404" s="383"/>
      <c r="C404" s="383"/>
      <c r="D404" s="383"/>
      <c r="E404" s="383"/>
      <c r="F404" s="383"/>
      <c r="G404" s="383"/>
      <c r="H404" s="383"/>
      <c r="I404" s="383"/>
      <c r="J404" s="383"/>
      <c r="K404" s="383"/>
    </row>
    <row r="405" spans="1:11">
      <c r="A405" s="383"/>
      <c r="B405" s="383"/>
      <c r="C405" s="383"/>
      <c r="D405" s="383"/>
      <c r="E405" s="383"/>
      <c r="F405" s="383"/>
      <c r="G405" s="383"/>
      <c r="H405" s="383"/>
      <c r="I405" s="383"/>
      <c r="J405" s="383"/>
      <c r="K405" s="383"/>
    </row>
    <row r="406" spans="1:11">
      <c r="A406" s="383"/>
      <c r="B406" s="383"/>
      <c r="C406" s="383"/>
      <c r="D406" s="383"/>
      <c r="E406" s="383"/>
      <c r="F406" s="383"/>
      <c r="G406" s="383"/>
      <c r="H406" s="383"/>
      <c r="I406" s="383"/>
      <c r="J406" s="383"/>
      <c r="K406" s="383"/>
    </row>
    <row r="407" spans="1:11">
      <c r="A407" s="383"/>
      <c r="B407" s="383"/>
      <c r="C407" s="383"/>
      <c r="D407" s="383"/>
      <c r="E407" s="383"/>
      <c r="F407" s="383"/>
      <c r="G407" s="383"/>
      <c r="H407" s="383"/>
      <c r="I407" s="383"/>
      <c r="J407" s="383"/>
      <c r="K407" s="383"/>
    </row>
    <row r="408" spans="1:11">
      <c r="A408" s="383"/>
      <c r="B408" s="383"/>
      <c r="C408" s="383"/>
      <c r="D408" s="383"/>
      <c r="E408" s="383"/>
      <c r="F408" s="383"/>
      <c r="G408" s="383"/>
      <c r="H408" s="383"/>
      <c r="I408" s="383"/>
      <c r="J408" s="383"/>
      <c r="K408" s="383"/>
    </row>
    <row r="409" spans="1:11">
      <c r="A409" s="383"/>
      <c r="B409" s="383"/>
      <c r="C409" s="383"/>
      <c r="D409" s="383"/>
      <c r="E409" s="383"/>
      <c r="F409" s="383"/>
      <c r="G409" s="383"/>
      <c r="H409" s="383"/>
      <c r="I409" s="383"/>
      <c r="J409" s="383"/>
      <c r="K409" s="383"/>
    </row>
    <row r="410" spans="1:11">
      <c r="A410" s="383"/>
      <c r="B410" s="383"/>
      <c r="C410" s="383"/>
      <c r="D410" s="383"/>
      <c r="E410" s="383"/>
      <c r="F410" s="383"/>
      <c r="G410" s="383"/>
      <c r="H410" s="383"/>
      <c r="I410" s="383"/>
      <c r="J410" s="383"/>
      <c r="K410" s="383"/>
    </row>
    <row r="411" spans="1:11">
      <c r="A411" s="383"/>
      <c r="B411" s="383"/>
      <c r="C411" s="383"/>
      <c r="D411" s="383"/>
      <c r="E411" s="383"/>
      <c r="F411" s="383"/>
      <c r="G411" s="383"/>
      <c r="H411" s="383"/>
      <c r="I411" s="383"/>
      <c r="J411" s="383"/>
      <c r="K411" s="383"/>
    </row>
    <row r="412" spans="1:11">
      <c r="A412" s="383"/>
      <c r="B412" s="383"/>
      <c r="C412" s="383"/>
      <c r="D412" s="383"/>
      <c r="E412" s="383"/>
      <c r="F412" s="383"/>
      <c r="G412" s="383"/>
      <c r="H412" s="383"/>
      <c r="I412" s="383"/>
      <c r="J412" s="383"/>
      <c r="K412" s="383"/>
    </row>
    <row r="413" spans="1:11">
      <c r="A413" s="383"/>
      <c r="B413" s="383"/>
      <c r="C413" s="383"/>
      <c r="D413" s="383"/>
      <c r="E413" s="383"/>
      <c r="F413" s="383"/>
      <c r="G413" s="383"/>
      <c r="H413" s="383"/>
      <c r="I413" s="383"/>
      <c r="J413" s="383"/>
      <c r="K413" s="383"/>
    </row>
    <row r="414" spans="1:11">
      <c r="A414" s="383"/>
      <c r="B414" s="383"/>
      <c r="C414" s="383"/>
      <c r="D414" s="383"/>
      <c r="E414" s="383"/>
      <c r="F414" s="383"/>
      <c r="G414" s="383"/>
      <c r="H414" s="383"/>
      <c r="I414" s="383"/>
      <c r="J414" s="383"/>
      <c r="K414" s="383"/>
    </row>
    <row r="415" spans="1:11">
      <c r="A415" s="383"/>
      <c r="B415" s="383"/>
      <c r="C415" s="383"/>
      <c r="D415" s="383"/>
      <c r="E415" s="383"/>
      <c r="F415" s="383"/>
      <c r="G415" s="383"/>
      <c r="H415" s="383"/>
      <c r="I415" s="383"/>
      <c r="J415" s="383"/>
      <c r="K415" s="383"/>
    </row>
    <row r="416" spans="1:11">
      <c r="A416" s="383"/>
      <c r="B416" s="383"/>
      <c r="C416" s="383"/>
      <c r="D416" s="383"/>
      <c r="E416" s="383"/>
      <c r="F416" s="383"/>
      <c r="G416" s="383"/>
      <c r="H416" s="383"/>
      <c r="I416" s="383"/>
      <c r="J416" s="383"/>
      <c r="K416" s="383"/>
    </row>
    <row r="417" spans="1:11">
      <c r="A417" s="383"/>
      <c r="B417" s="383"/>
      <c r="C417" s="383"/>
      <c r="D417" s="383"/>
      <c r="E417" s="383"/>
      <c r="F417" s="383"/>
      <c r="G417" s="383"/>
      <c r="H417" s="383"/>
      <c r="I417" s="383"/>
      <c r="J417" s="383"/>
      <c r="K417" s="383"/>
    </row>
    <row r="418" spans="1:11">
      <c r="A418" s="383"/>
      <c r="B418" s="383"/>
      <c r="C418" s="383"/>
      <c r="D418" s="383"/>
      <c r="E418" s="383"/>
      <c r="F418" s="383"/>
      <c r="G418" s="383"/>
      <c r="H418" s="383"/>
      <c r="I418" s="383"/>
      <c r="J418" s="383"/>
      <c r="K418" s="383"/>
    </row>
    <row r="419" spans="1:11">
      <c r="A419" s="383"/>
      <c r="B419" s="383"/>
      <c r="C419" s="383"/>
      <c r="D419" s="383"/>
      <c r="E419" s="383"/>
      <c r="F419" s="383"/>
      <c r="G419" s="383"/>
      <c r="H419" s="383"/>
      <c r="I419" s="383"/>
      <c r="J419" s="383"/>
      <c r="K419" s="383"/>
    </row>
    <row r="420" spans="1:11">
      <c r="A420" s="383"/>
      <c r="B420" s="383"/>
      <c r="C420" s="383"/>
      <c r="D420" s="383"/>
      <c r="E420" s="383"/>
      <c r="F420" s="383"/>
      <c r="G420" s="383"/>
      <c r="H420" s="383"/>
      <c r="I420" s="383"/>
      <c r="J420" s="383"/>
      <c r="K420" s="383"/>
    </row>
    <row r="421" spans="1:11">
      <c r="A421" s="383"/>
      <c r="B421" s="383"/>
      <c r="C421" s="383"/>
      <c r="D421" s="383"/>
      <c r="E421" s="383"/>
      <c r="F421" s="383"/>
      <c r="G421" s="383"/>
      <c r="H421" s="383"/>
      <c r="I421" s="383"/>
      <c r="J421" s="383"/>
      <c r="K421" s="383"/>
    </row>
    <row r="422" spans="1:11">
      <c r="A422" s="383"/>
      <c r="B422" s="383"/>
      <c r="C422" s="383"/>
      <c r="D422" s="383"/>
      <c r="E422" s="383"/>
      <c r="F422" s="383"/>
      <c r="G422" s="383"/>
      <c r="H422" s="383"/>
      <c r="I422" s="383"/>
      <c r="J422" s="383"/>
      <c r="K422" s="383"/>
    </row>
    <row r="423" spans="1:11">
      <c r="A423" s="383"/>
      <c r="B423" s="383"/>
      <c r="C423" s="383"/>
      <c r="D423" s="383"/>
      <c r="E423" s="383"/>
      <c r="F423" s="383"/>
      <c r="G423" s="383"/>
      <c r="H423" s="383"/>
      <c r="I423" s="383"/>
      <c r="J423" s="383"/>
      <c r="K423" s="383"/>
    </row>
    <row r="424" spans="1:11">
      <c r="A424" s="383"/>
      <c r="B424" s="383"/>
      <c r="C424" s="383"/>
      <c r="D424" s="383"/>
      <c r="E424" s="383"/>
      <c r="F424" s="383"/>
      <c r="G424" s="383"/>
      <c r="H424" s="383"/>
      <c r="I424" s="383"/>
      <c r="J424" s="383"/>
      <c r="K424" s="383"/>
    </row>
    <row r="425" spans="1:11">
      <c r="A425" s="383"/>
      <c r="B425" s="383"/>
      <c r="C425" s="383"/>
      <c r="D425" s="383"/>
      <c r="E425" s="383"/>
      <c r="F425" s="383"/>
      <c r="G425" s="383"/>
      <c r="H425" s="383"/>
      <c r="I425" s="383"/>
      <c r="J425" s="383"/>
      <c r="K425" s="383"/>
    </row>
    <row r="426" spans="1:11">
      <c r="A426" s="383"/>
      <c r="B426" s="383"/>
      <c r="C426" s="383"/>
      <c r="D426" s="383"/>
      <c r="E426" s="383"/>
      <c r="F426" s="383"/>
      <c r="G426" s="383"/>
      <c r="H426" s="383"/>
      <c r="I426" s="383"/>
      <c r="J426" s="383"/>
      <c r="K426" s="383"/>
    </row>
    <row r="427" spans="1:11">
      <c r="A427" s="383"/>
      <c r="B427" s="383"/>
      <c r="C427" s="383"/>
      <c r="D427" s="383"/>
      <c r="E427" s="383"/>
      <c r="F427" s="383"/>
      <c r="G427" s="383"/>
      <c r="H427" s="383"/>
      <c r="I427" s="383"/>
      <c r="J427" s="383"/>
      <c r="K427" s="383"/>
    </row>
    <row r="428" spans="1:11">
      <c r="A428" s="383"/>
      <c r="B428" s="383"/>
      <c r="C428" s="383"/>
      <c r="D428" s="383"/>
      <c r="E428" s="383"/>
      <c r="F428" s="383"/>
      <c r="G428" s="383"/>
      <c r="H428" s="383"/>
      <c r="I428" s="383"/>
      <c r="J428" s="383"/>
      <c r="K428" s="383"/>
    </row>
    <row r="429" spans="1:11">
      <c r="A429" s="383"/>
      <c r="B429" s="383"/>
      <c r="C429" s="383"/>
      <c r="D429" s="383"/>
      <c r="E429" s="383"/>
      <c r="F429" s="383"/>
      <c r="G429" s="383"/>
      <c r="H429" s="383"/>
      <c r="I429" s="383"/>
      <c r="J429" s="383"/>
      <c r="K429" s="383"/>
    </row>
    <row r="430" spans="1:11">
      <c r="A430" s="383"/>
      <c r="B430" s="383"/>
      <c r="C430" s="383"/>
      <c r="D430" s="383"/>
      <c r="E430" s="383"/>
      <c r="F430" s="383"/>
      <c r="G430" s="383"/>
      <c r="H430" s="383"/>
      <c r="I430" s="383"/>
      <c r="J430" s="383"/>
      <c r="K430" s="383"/>
    </row>
    <row r="431" spans="1:11">
      <c r="A431" s="383"/>
      <c r="B431" s="383"/>
      <c r="C431" s="383"/>
      <c r="D431" s="383"/>
      <c r="E431" s="383"/>
      <c r="F431" s="383"/>
      <c r="G431" s="383"/>
      <c r="H431" s="383"/>
      <c r="I431" s="383"/>
      <c r="J431" s="383"/>
      <c r="K431" s="383"/>
    </row>
    <row r="432" spans="1:11">
      <c r="A432" s="383"/>
      <c r="B432" s="383"/>
      <c r="C432" s="383"/>
      <c r="D432" s="383"/>
      <c r="E432" s="383"/>
      <c r="F432" s="383"/>
      <c r="G432" s="383"/>
      <c r="H432" s="383"/>
      <c r="I432" s="383"/>
      <c r="J432" s="383"/>
      <c r="K432" s="383"/>
    </row>
    <row r="433" spans="1:11">
      <c r="A433" s="383"/>
      <c r="B433" s="383"/>
      <c r="C433" s="383"/>
      <c r="D433" s="383"/>
      <c r="E433" s="383"/>
      <c r="F433" s="383"/>
      <c r="G433" s="383"/>
      <c r="H433" s="383"/>
      <c r="I433" s="383"/>
      <c r="J433" s="383"/>
      <c r="K433" s="383"/>
    </row>
    <row r="434" spans="1:11">
      <c r="A434" s="383"/>
      <c r="B434" s="383"/>
      <c r="C434" s="383"/>
      <c r="D434" s="383"/>
      <c r="E434" s="383"/>
      <c r="F434" s="383"/>
      <c r="G434" s="383"/>
      <c r="H434" s="383"/>
      <c r="I434" s="383"/>
      <c r="J434" s="383"/>
      <c r="K434" s="383"/>
    </row>
    <row r="435" spans="1:11">
      <c r="A435" s="383"/>
      <c r="B435" s="383"/>
      <c r="C435" s="383"/>
      <c r="D435" s="383"/>
      <c r="E435" s="383"/>
      <c r="F435" s="383"/>
      <c r="G435" s="383"/>
      <c r="H435" s="383"/>
      <c r="I435" s="383"/>
      <c r="J435" s="383"/>
      <c r="K435" s="383"/>
    </row>
    <row r="436" spans="1:11">
      <c r="A436" s="383"/>
      <c r="B436" s="383"/>
      <c r="C436" s="383"/>
      <c r="D436" s="383"/>
      <c r="E436" s="383"/>
      <c r="F436" s="383"/>
      <c r="G436" s="383"/>
      <c r="H436" s="383"/>
      <c r="I436" s="383"/>
      <c r="J436" s="383"/>
      <c r="K436" s="383"/>
    </row>
    <row r="437" spans="1:11">
      <c r="A437" s="383"/>
      <c r="B437" s="383"/>
      <c r="C437" s="383"/>
      <c r="D437" s="383"/>
      <c r="E437" s="383"/>
      <c r="F437" s="383"/>
      <c r="G437" s="383"/>
      <c r="H437" s="383"/>
      <c r="I437" s="383"/>
      <c r="J437" s="383"/>
      <c r="K437" s="383"/>
    </row>
    <row r="438" spans="1:11">
      <c r="A438" s="383"/>
      <c r="B438" s="383"/>
      <c r="C438" s="383"/>
      <c r="D438" s="383"/>
      <c r="E438" s="383"/>
      <c r="F438" s="383"/>
      <c r="G438" s="383"/>
      <c r="H438" s="383"/>
      <c r="I438" s="383"/>
      <c r="J438" s="383"/>
      <c r="K438" s="383"/>
    </row>
    <row r="439" spans="1:11">
      <c r="A439" s="383"/>
      <c r="B439" s="383"/>
      <c r="C439" s="383"/>
      <c r="D439" s="383"/>
      <c r="E439" s="383"/>
      <c r="F439" s="383"/>
      <c r="G439" s="383"/>
      <c r="H439" s="383"/>
      <c r="I439" s="383"/>
      <c r="J439" s="383"/>
      <c r="K439" s="383"/>
    </row>
    <row r="440" spans="1:11">
      <c r="A440" s="383"/>
      <c r="B440" s="383"/>
      <c r="C440" s="383"/>
      <c r="D440" s="383"/>
      <c r="E440" s="383"/>
      <c r="F440" s="383"/>
      <c r="G440" s="383"/>
      <c r="H440" s="383"/>
      <c r="I440" s="383"/>
      <c r="J440" s="383"/>
      <c r="K440" s="383"/>
    </row>
    <row r="441" spans="1:11">
      <c r="A441" s="383"/>
      <c r="B441" s="383"/>
      <c r="C441" s="383"/>
      <c r="D441" s="383"/>
      <c r="E441" s="383"/>
      <c r="F441" s="383"/>
      <c r="G441" s="383"/>
      <c r="H441" s="383"/>
      <c r="I441" s="383"/>
      <c r="J441" s="383"/>
      <c r="K441" s="383"/>
    </row>
    <row r="442" spans="1:11">
      <c r="A442" s="383"/>
      <c r="B442" s="383"/>
      <c r="C442" s="383"/>
      <c r="D442" s="383"/>
      <c r="E442" s="383"/>
      <c r="F442" s="383"/>
      <c r="G442" s="383"/>
      <c r="H442" s="383"/>
      <c r="I442" s="383"/>
      <c r="J442" s="383"/>
      <c r="K442" s="383"/>
    </row>
    <row r="443" spans="1:11">
      <c r="A443" s="383"/>
      <c r="B443" s="383"/>
      <c r="C443" s="383"/>
      <c r="D443" s="383"/>
      <c r="E443" s="383"/>
      <c r="F443" s="383"/>
      <c r="G443" s="383"/>
      <c r="H443" s="383"/>
      <c r="I443" s="383"/>
      <c r="J443" s="383"/>
      <c r="K443" s="383"/>
    </row>
    <row r="444" spans="1:11">
      <c r="A444" s="383"/>
      <c r="B444" s="383"/>
      <c r="C444" s="383"/>
      <c r="D444" s="383"/>
      <c r="E444" s="383"/>
      <c r="F444" s="383"/>
      <c r="G444" s="383"/>
      <c r="H444" s="383"/>
      <c r="I444" s="383"/>
      <c r="J444" s="383"/>
      <c r="K444" s="383"/>
    </row>
    <row r="445" spans="1:11">
      <c r="A445" s="383"/>
      <c r="B445" s="383"/>
      <c r="C445" s="383"/>
      <c r="D445" s="383"/>
      <c r="E445" s="383"/>
      <c r="F445" s="383"/>
      <c r="G445" s="383"/>
      <c r="H445" s="383"/>
      <c r="I445" s="383"/>
      <c r="J445" s="383"/>
      <c r="K445" s="383"/>
    </row>
    <row r="446" spans="1:11">
      <c r="A446" s="383"/>
      <c r="B446" s="383"/>
      <c r="C446" s="383"/>
      <c r="D446" s="383"/>
      <c r="E446" s="383"/>
      <c r="F446" s="383"/>
      <c r="G446" s="383"/>
      <c r="H446" s="383"/>
      <c r="I446" s="383"/>
      <c r="J446" s="383"/>
      <c r="K446" s="383"/>
    </row>
    <row r="447" spans="1:11">
      <c r="A447" s="383"/>
      <c r="B447" s="383"/>
      <c r="C447" s="383"/>
      <c r="D447" s="383"/>
      <c r="E447" s="383"/>
      <c r="F447" s="383"/>
      <c r="G447" s="383"/>
      <c r="H447" s="383"/>
      <c r="I447" s="383"/>
      <c r="J447" s="383"/>
      <c r="K447" s="383"/>
    </row>
    <row r="448" spans="1:11">
      <c r="A448" s="383"/>
      <c r="B448" s="383"/>
      <c r="C448" s="383"/>
      <c r="D448" s="383"/>
      <c r="E448" s="383"/>
      <c r="F448" s="383"/>
      <c r="G448" s="383"/>
      <c r="H448" s="383"/>
      <c r="I448" s="383"/>
      <c r="J448" s="383"/>
      <c r="K448" s="383"/>
    </row>
    <row r="449" spans="1:11">
      <c r="A449" s="383"/>
      <c r="B449" s="383"/>
      <c r="C449" s="383"/>
      <c r="D449" s="383"/>
      <c r="E449" s="383"/>
      <c r="F449" s="383"/>
      <c r="G449" s="383"/>
      <c r="H449" s="383"/>
      <c r="I449" s="383"/>
      <c r="J449" s="383"/>
      <c r="K449" s="383"/>
    </row>
    <row r="450" spans="1:11">
      <c r="A450" s="383"/>
      <c r="B450" s="383"/>
      <c r="C450" s="383"/>
      <c r="D450" s="383"/>
      <c r="E450" s="383"/>
      <c r="F450" s="383"/>
      <c r="G450" s="383"/>
      <c r="H450" s="383"/>
      <c r="I450" s="383"/>
      <c r="J450" s="383"/>
      <c r="K450" s="383"/>
    </row>
    <row r="451" spans="1:11">
      <c r="A451" s="383"/>
      <c r="B451" s="383"/>
      <c r="C451" s="383"/>
      <c r="D451" s="383"/>
      <c r="E451" s="383"/>
      <c r="F451" s="383"/>
      <c r="G451" s="383"/>
      <c r="H451" s="383"/>
      <c r="I451" s="383"/>
      <c r="J451" s="383"/>
      <c r="K451" s="383"/>
    </row>
    <row r="452" spans="1:11">
      <c r="A452" s="383"/>
      <c r="B452" s="383"/>
      <c r="C452" s="383"/>
      <c r="D452" s="383"/>
      <c r="E452" s="383"/>
      <c r="F452" s="383"/>
      <c r="G452" s="383"/>
      <c r="H452" s="383"/>
      <c r="I452" s="383"/>
      <c r="J452" s="383"/>
      <c r="K452" s="383"/>
    </row>
    <row r="453" spans="1:11">
      <c r="A453" s="383"/>
      <c r="B453" s="383"/>
      <c r="C453" s="383"/>
      <c r="D453" s="383"/>
      <c r="E453" s="383"/>
      <c r="F453" s="383"/>
      <c r="G453" s="383"/>
      <c r="H453" s="383"/>
      <c r="I453" s="383"/>
      <c r="J453" s="383"/>
      <c r="K453" s="383"/>
    </row>
    <row r="454" spans="1:11">
      <c r="A454" s="383"/>
      <c r="B454" s="383"/>
      <c r="C454" s="383"/>
      <c r="D454" s="383"/>
      <c r="E454" s="383"/>
      <c r="F454" s="383"/>
      <c r="G454" s="383"/>
      <c r="H454" s="383"/>
      <c r="I454" s="383"/>
      <c r="J454" s="383"/>
      <c r="K454" s="383"/>
    </row>
    <row r="455" spans="1:11">
      <c r="A455" s="383"/>
      <c r="B455" s="383"/>
      <c r="C455" s="383"/>
      <c r="D455" s="383"/>
      <c r="E455" s="383"/>
      <c r="F455" s="383"/>
      <c r="G455" s="383"/>
      <c r="H455" s="383"/>
      <c r="I455" s="383"/>
      <c r="J455" s="383"/>
      <c r="K455" s="383"/>
    </row>
    <row r="456" spans="1:11">
      <c r="A456" s="383"/>
      <c r="B456" s="383"/>
      <c r="C456" s="383"/>
      <c r="D456" s="383"/>
      <c r="E456" s="383"/>
      <c r="F456" s="383"/>
      <c r="G456" s="383"/>
      <c r="H456" s="383"/>
      <c r="I456" s="383"/>
      <c r="J456" s="383"/>
      <c r="K456" s="383"/>
    </row>
    <row r="457" spans="1:11">
      <c r="A457" s="383"/>
      <c r="B457" s="383"/>
      <c r="C457" s="383"/>
      <c r="D457" s="383"/>
      <c r="E457" s="383"/>
      <c r="F457" s="383"/>
      <c r="G457" s="383"/>
      <c r="H457" s="383"/>
      <c r="I457" s="383"/>
      <c r="J457" s="383"/>
      <c r="K457" s="383"/>
    </row>
    <row r="458" spans="1:11">
      <c r="A458" s="383"/>
      <c r="B458" s="383"/>
      <c r="C458" s="383"/>
      <c r="D458" s="383"/>
      <c r="E458" s="383"/>
      <c r="F458" s="383"/>
      <c r="G458" s="383"/>
      <c r="H458" s="383"/>
      <c r="I458" s="383"/>
      <c r="J458" s="383"/>
      <c r="K458" s="383"/>
    </row>
    <row r="459" spans="1:11">
      <c r="A459" s="383"/>
      <c r="B459" s="383"/>
      <c r="C459" s="383"/>
      <c r="D459" s="383"/>
      <c r="E459" s="383"/>
      <c r="F459" s="383"/>
      <c r="G459" s="383"/>
      <c r="H459" s="383"/>
      <c r="I459" s="383"/>
      <c r="J459" s="383"/>
      <c r="K459" s="383"/>
    </row>
    <row r="460" spans="1:11">
      <c r="A460" s="383"/>
      <c r="B460" s="383"/>
      <c r="C460" s="383"/>
      <c r="D460" s="383"/>
      <c r="E460" s="383"/>
      <c r="F460" s="383"/>
      <c r="G460" s="383"/>
      <c r="H460" s="383"/>
      <c r="I460" s="383"/>
      <c r="J460" s="383"/>
      <c r="K460" s="383"/>
    </row>
    <row r="461" spans="1:11">
      <c r="A461" s="383"/>
      <c r="B461" s="383"/>
      <c r="C461" s="383"/>
      <c r="D461" s="383"/>
      <c r="E461" s="383"/>
      <c r="F461" s="383"/>
      <c r="G461" s="383"/>
      <c r="H461" s="383"/>
      <c r="I461" s="383"/>
      <c r="J461" s="383"/>
      <c r="K461" s="383"/>
    </row>
    <row r="462" spans="1:11">
      <c r="A462" s="383"/>
      <c r="B462" s="383"/>
      <c r="C462" s="383"/>
      <c r="D462" s="383"/>
      <c r="E462" s="383"/>
      <c r="F462" s="383"/>
      <c r="G462" s="383"/>
      <c r="H462" s="383"/>
      <c r="I462" s="383"/>
      <c r="J462" s="383"/>
      <c r="K462" s="383"/>
    </row>
    <row r="463" spans="1:11">
      <c r="A463" s="383"/>
      <c r="B463" s="383"/>
      <c r="C463" s="383"/>
      <c r="D463" s="383"/>
      <c r="E463" s="383"/>
      <c r="F463" s="383"/>
      <c r="G463" s="383"/>
      <c r="H463" s="383"/>
      <c r="I463" s="383"/>
      <c r="J463" s="383"/>
      <c r="K463" s="383"/>
    </row>
    <row r="464" spans="1:11">
      <c r="A464" s="383"/>
      <c r="B464" s="383"/>
      <c r="C464" s="383"/>
      <c r="D464" s="383"/>
      <c r="E464" s="383"/>
      <c r="F464" s="383"/>
      <c r="G464" s="383"/>
      <c r="H464" s="383"/>
      <c r="I464" s="383"/>
      <c r="J464" s="383"/>
      <c r="K464" s="383"/>
    </row>
    <row r="465" spans="1:11">
      <c r="A465" s="383"/>
      <c r="B465" s="383"/>
      <c r="C465" s="383"/>
      <c r="D465" s="383"/>
      <c r="E465" s="383"/>
      <c r="F465" s="383"/>
      <c r="G465" s="383"/>
      <c r="H465" s="383"/>
      <c r="I465" s="383"/>
      <c r="J465" s="383"/>
      <c r="K465" s="383"/>
    </row>
    <row r="466" spans="1:11">
      <c r="A466" s="383"/>
      <c r="B466" s="383"/>
      <c r="C466" s="383"/>
      <c r="D466" s="383"/>
      <c r="E466" s="383"/>
      <c r="F466" s="383"/>
      <c r="G466" s="383"/>
      <c r="H466" s="383"/>
      <c r="I466" s="383"/>
      <c r="J466" s="383"/>
      <c r="K466" s="383"/>
    </row>
    <row r="467" spans="1:11">
      <c r="A467" s="383"/>
      <c r="B467" s="383"/>
      <c r="C467" s="383"/>
      <c r="D467" s="383"/>
      <c r="E467" s="383"/>
      <c r="F467" s="383"/>
      <c r="G467" s="383"/>
      <c r="H467" s="383"/>
      <c r="I467" s="383"/>
      <c r="J467" s="383"/>
      <c r="K467" s="383"/>
    </row>
    <row r="468" spans="1:11">
      <c r="A468" s="383"/>
      <c r="B468" s="383"/>
      <c r="C468" s="383"/>
      <c r="D468" s="383"/>
      <c r="E468" s="383"/>
      <c r="F468" s="383"/>
      <c r="G468" s="383"/>
      <c r="H468" s="383"/>
      <c r="I468" s="383"/>
      <c r="J468" s="383"/>
      <c r="K468" s="383"/>
    </row>
    <row r="469" spans="1:11">
      <c r="A469" s="383"/>
      <c r="B469" s="383"/>
      <c r="C469" s="383"/>
      <c r="D469" s="383"/>
      <c r="E469" s="383"/>
      <c r="F469" s="383"/>
      <c r="G469" s="383"/>
      <c r="H469" s="383"/>
      <c r="I469" s="383"/>
      <c r="J469" s="383"/>
      <c r="K469" s="383"/>
    </row>
    <row r="470" spans="1:11">
      <c r="A470" s="383"/>
      <c r="B470" s="383"/>
      <c r="C470" s="383"/>
      <c r="D470" s="383"/>
      <c r="E470" s="383"/>
      <c r="F470" s="383"/>
      <c r="G470" s="383"/>
      <c r="H470" s="383"/>
      <c r="I470" s="383"/>
      <c r="J470" s="383"/>
      <c r="K470" s="383"/>
    </row>
    <row r="471" spans="1:11">
      <c r="A471" s="383"/>
      <c r="B471" s="383"/>
      <c r="C471" s="383"/>
      <c r="D471" s="383"/>
      <c r="E471" s="383"/>
      <c r="F471" s="383"/>
      <c r="G471" s="383"/>
      <c r="H471" s="383"/>
      <c r="I471" s="383"/>
      <c r="J471" s="383"/>
      <c r="K471" s="383"/>
    </row>
    <row r="472" spans="1:11">
      <c r="A472" s="383"/>
      <c r="B472" s="383"/>
      <c r="C472" s="383"/>
      <c r="D472" s="383"/>
      <c r="E472" s="383"/>
      <c r="F472" s="383"/>
      <c r="G472" s="383"/>
      <c r="H472" s="383"/>
      <c r="I472" s="383"/>
      <c r="J472" s="383"/>
      <c r="K472" s="383"/>
    </row>
    <row r="473" spans="1:11">
      <c r="A473" s="383"/>
      <c r="B473" s="383"/>
      <c r="C473" s="383"/>
      <c r="D473" s="383"/>
      <c r="E473" s="383"/>
      <c r="F473" s="383"/>
      <c r="G473" s="383"/>
      <c r="H473" s="383"/>
      <c r="I473" s="383"/>
      <c r="J473" s="383"/>
      <c r="K473" s="383"/>
    </row>
    <row r="474" spans="1:11">
      <c r="A474" s="383"/>
      <c r="B474" s="383"/>
      <c r="C474" s="383"/>
      <c r="D474" s="383"/>
      <c r="E474" s="383"/>
      <c r="F474" s="383"/>
      <c r="G474" s="383"/>
      <c r="H474" s="383"/>
      <c r="I474" s="383"/>
      <c r="J474" s="383"/>
      <c r="K474" s="383"/>
    </row>
    <row r="475" spans="1:11">
      <c r="A475" s="383"/>
      <c r="B475" s="383"/>
      <c r="C475" s="383"/>
      <c r="D475" s="383"/>
      <c r="E475" s="383"/>
      <c r="F475" s="383"/>
      <c r="G475" s="383"/>
      <c r="H475" s="383"/>
      <c r="I475" s="383"/>
      <c r="J475" s="383"/>
      <c r="K475" s="383"/>
    </row>
    <row r="476" spans="1:11">
      <c r="A476" s="383"/>
      <c r="B476" s="383"/>
      <c r="C476" s="383"/>
      <c r="D476" s="383"/>
      <c r="E476" s="383"/>
      <c r="F476" s="383"/>
      <c r="G476" s="383"/>
      <c r="H476" s="383"/>
      <c r="I476" s="383"/>
      <c r="J476" s="383"/>
      <c r="K476" s="383"/>
    </row>
    <row r="477" spans="1:11">
      <c r="A477" s="383"/>
      <c r="B477" s="383"/>
      <c r="C477" s="383"/>
      <c r="D477" s="383"/>
      <c r="E477" s="383"/>
      <c r="F477" s="383"/>
      <c r="G477" s="383"/>
      <c r="H477" s="383"/>
      <c r="I477" s="383"/>
      <c r="J477" s="383"/>
      <c r="K477" s="383"/>
    </row>
    <row r="478" spans="1:11">
      <c r="A478" s="383"/>
      <c r="B478" s="383"/>
      <c r="C478" s="383"/>
      <c r="D478" s="383"/>
      <c r="E478" s="383"/>
      <c r="F478" s="383"/>
      <c r="G478" s="383"/>
      <c r="H478" s="383"/>
      <c r="I478" s="383"/>
      <c r="J478" s="383"/>
      <c r="K478" s="383"/>
    </row>
    <row r="479" spans="1:11">
      <c r="A479" s="383"/>
      <c r="B479" s="383"/>
      <c r="C479" s="383"/>
      <c r="D479" s="383"/>
      <c r="E479" s="383"/>
      <c r="F479" s="383"/>
      <c r="G479" s="383"/>
      <c r="H479" s="383"/>
      <c r="I479" s="383"/>
      <c r="J479" s="383"/>
      <c r="K479" s="383"/>
    </row>
    <row r="480" spans="1:11">
      <c r="A480" s="383"/>
      <c r="B480" s="383"/>
      <c r="C480" s="383"/>
      <c r="D480" s="383"/>
      <c r="E480" s="383"/>
      <c r="F480" s="383"/>
      <c r="G480" s="383"/>
      <c r="H480" s="383"/>
      <c r="I480" s="383"/>
      <c r="J480" s="383"/>
      <c r="K480" s="383"/>
    </row>
    <row r="481" spans="1:11">
      <c r="A481" s="383"/>
      <c r="B481" s="383"/>
      <c r="C481" s="383"/>
      <c r="D481" s="383"/>
      <c r="E481" s="383"/>
      <c r="F481" s="383"/>
      <c r="G481" s="383"/>
      <c r="H481" s="383"/>
      <c r="I481" s="383"/>
      <c r="J481" s="383"/>
      <c r="K481" s="383"/>
    </row>
    <row r="482" spans="1:11">
      <c r="A482" s="383"/>
      <c r="B482" s="383"/>
      <c r="C482" s="383"/>
      <c r="D482" s="383"/>
      <c r="E482" s="383"/>
      <c r="F482" s="383"/>
      <c r="G482" s="383"/>
      <c r="H482" s="383"/>
      <c r="I482" s="383"/>
      <c r="J482" s="383"/>
      <c r="K482" s="383"/>
    </row>
    <row r="483" spans="1:11">
      <c r="A483" s="383"/>
      <c r="B483" s="383"/>
      <c r="C483" s="383"/>
      <c r="D483" s="383"/>
      <c r="E483" s="383"/>
      <c r="F483" s="383"/>
      <c r="G483" s="383"/>
      <c r="H483" s="383"/>
      <c r="I483" s="383"/>
      <c r="J483" s="383"/>
      <c r="K483" s="383"/>
    </row>
    <row r="484" spans="1:11">
      <c r="A484" s="383"/>
      <c r="B484" s="383"/>
      <c r="C484" s="383"/>
      <c r="D484" s="383"/>
      <c r="E484" s="383"/>
      <c r="F484" s="383"/>
      <c r="G484" s="383"/>
      <c r="H484" s="383"/>
      <c r="I484" s="383"/>
      <c r="J484" s="383"/>
      <c r="K484" s="383"/>
    </row>
    <row r="485" spans="1:11">
      <c r="A485" s="383"/>
      <c r="B485" s="383"/>
      <c r="C485" s="383"/>
      <c r="D485" s="383"/>
      <c r="E485" s="383"/>
      <c r="F485" s="383"/>
      <c r="G485" s="383"/>
      <c r="H485" s="383"/>
      <c r="I485" s="383"/>
      <c r="J485" s="383"/>
      <c r="K485" s="383"/>
    </row>
    <row r="486" spans="1:11">
      <c r="A486" s="383"/>
      <c r="B486" s="383"/>
      <c r="C486" s="383"/>
      <c r="D486" s="383"/>
      <c r="E486" s="383"/>
      <c r="F486" s="383"/>
      <c r="G486" s="383"/>
      <c r="H486" s="383"/>
      <c r="I486" s="383"/>
      <c r="J486" s="383"/>
      <c r="K486" s="383"/>
    </row>
    <row r="487" spans="1:11">
      <c r="A487" s="383"/>
      <c r="B487" s="383"/>
      <c r="C487" s="383"/>
      <c r="D487" s="383"/>
      <c r="E487" s="383"/>
      <c r="F487" s="383"/>
      <c r="G487" s="383"/>
      <c r="H487" s="383"/>
      <c r="I487" s="383"/>
      <c r="J487" s="383"/>
      <c r="K487" s="383"/>
    </row>
    <row r="488" spans="1:11">
      <c r="A488" s="383"/>
      <c r="B488" s="383"/>
      <c r="C488" s="383"/>
      <c r="D488" s="383"/>
      <c r="E488" s="383"/>
      <c r="F488" s="383"/>
      <c r="G488" s="383"/>
      <c r="H488" s="383"/>
      <c r="I488" s="383"/>
      <c r="J488" s="383"/>
      <c r="K488" s="383"/>
    </row>
    <row r="489" spans="1:11">
      <c r="A489" s="383"/>
      <c r="B489" s="383"/>
      <c r="C489" s="383"/>
      <c r="D489" s="383"/>
      <c r="E489" s="383"/>
      <c r="F489" s="383"/>
      <c r="G489" s="383"/>
      <c r="H489" s="383"/>
      <c r="I489" s="383"/>
      <c r="J489" s="383"/>
      <c r="K489" s="383"/>
    </row>
    <row r="490" spans="1:11">
      <c r="A490" s="383"/>
      <c r="B490" s="383"/>
      <c r="C490" s="383"/>
      <c r="D490" s="383"/>
      <c r="E490" s="383"/>
      <c r="F490" s="383"/>
      <c r="G490" s="383"/>
      <c r="H490" s="383"/>
      <c r="I490" s="383"/>
      <c r="J490" s="383"/>
      <c r="K490" s="383"/>
    </row>
    <row r="491" spans="1:11">
      <c r="A491" s="383"/>
      <c r="B491" s="383"/>
      <c r="C491" s="383"/>
      <c r="D491" s="383"/>
      <c r="E491" s="383"/>
      <c r="F491" s="383"/>
      <c r="G491" s="383"/>
      <c r="H491" s="383"/>
      <c r="I491" s="383"/>
      <c r="J491" s="383"/>
      <c r="K491" s="383"/>
    </row>
    <row r="492" spans="1:11">
      <c r="A492" s="383"/>
      <c r="B492" s="383"/>
      <c r="C492" s="383"/>
      <c r="D492" s="383"/>
      <c r="E492" s="383"/>
      <c r="F492" s="383"/>
      <c r="G492" s="383"/>
      <c r="H492" s="383"/>
      <c r="I492" s="383"/>
      <c r="J492" s="383"/>
      <c r="K492" s="383"/>
    </row>
    <row r="493" spans="1:11">
      <c r="A493" s="383"/>
      <c r="B493" s="383"/>
      <c r="C493" s="383"/>
      <c r="D493" s="383"/>
      <c r="E493" s="383"/>
      <c r="F493" s="383"/>
      <c r="G493" s="383"/>
      <c r="H493" s="383"/>
      <c r="I493" s="383"/>
      <c r="J493" s="383"/>
      <c r="K493" s="383"/>
    </row>
    <row r="494" spans="1:11">
      <c r="A494" s="383"/>
      <c r="B494" s="383"/>
      <c r="C494" s="383"/>
      <c r="D494" s="383"/>
      <c r="E494" s="383"/>
      <c r="F494" s="383"/>
      <c r="G494" s="383"/>
      <c r="H494" s="383"/>
      <c r="I494" s="383"/>
      <c r="J494" s="383"/>
      <c r="K494" s="383"/>
    </row>
    <row r="495" spans="1:11">
      <c r="A495" s="383"/>
      <c r="B495" s="383"/>
      <c r="C495" s="383"/>
      <c r="D495" s="383"/>
      <c r="E495" s="383"/>
      <c r="F495" s="383"/>
      <c r="G495" s="383"/>
      <c r="H495" s="383"/>
      <c r="I495" s="383"/>
      <c r="J495" s="383"/>
      <c r="K495" s="383"/>
    </row>
    <row r="496" spans="1:11">
      <c r="A496" s="383"/>
      <c r="B496" s="383"/>
      <c r="C496" s="383"/>
      <c r="D496" s="383"/>
      <c r="E496" s="383"/>
      <c r="F496" s="383"/>
      <c r="G496" s="383"/>
      <c r="H496" s="383"/>
      <c r="I496" s="383"/>
      <c r="J496" s="383"/>
      <c r="K496" s="383"/>
    </row>
    <row r="497" spans="1:11">
      <c r="A497" s="383"/>
      <c r="B497" s="383"/>
      <c r="C497" s="383"/>
      <c r="D497" s="383"/>
      <c r="E497" s="383"/>
      <c r="F497" s="383"/>
      <c r="G497" s="383"/>
      <c r="H497" s="383"/>
      <c r="I497" s="383"/>
      <c r="J497" s="383"/>
      <c r="K497" s="383"/>
    </row>
    <row r="498" spans="1:11">
      <c r="A498" s="383"/>
      <c r="B498" s="383"/>
      <c r="C498" s="383"/>
      <c r="D498" s="383"/>
      <c r="E498" s="383"/>
      <c r="F498" s="383"/>
      <c r="G498" s="383"/>
      <c r="H498" s="383"/>
      <c r="I498" s="383"/>
      <c r="J498" s="383"/>
      <c r="K498" s="383"/>
    </row>
    <row r="499" spans="1:11">
      <c r="A499" s="383"/>
      <c r="B499" s="383"/>
      <c r="C499" s="383"/>
      <c r="D499" s="383"/>
      <c r="E499" s="383"/>
      <c r="F499" s="383"/>
      <c r="G499" s="383"/>
      <c r="H499" s="383"/>
      <c r="I499" s="383"/>
      <c r="J499" s="383"/>
      <c r="K499" s="383"/>
    </row>
    <row r="500" spans="1:11">
      <c r="A500" s="383"/>
      <c r="B500" s="383"/>
      <c r="C500" s="383"/>
      <c r="D500" s="383"/>
      <c r="E500" s="383"/>
      <c r="F500" s="383"/>
      <c r="G500" s="383"/>
      <c r="H500" s="383"/>
      <c r="I500" s="383"/>
      <c r="J500" s="383"/>
      <c r="K500" s="383"/>
    </row>
    <row r="501" spans="1:11">
      <c r="A501" s="383"/>
      <c r="B501" s="383"/>
      <c r="C501" s="383"/>
      <c r="D501" s="383"/>
      <c r="E501" s="383"/>
      <c r="F501" s="383"/>
      <c r="G501" s="383"/>
      <c r="H501" s="383"/>
      <c r="I501" s="383"/>
      <c r="J501" s="383"/>
      <c r="K501" s="383"/>
    </row>
    <row r="502" spans="1:11">
      <c r="A502" s="383"/>
      <c r="B502" s="383"/>
      <c r="C502" s="383"/>
      <c r="D502" s="383"/>
      <c r="E502" s="383"/>
      <c r="F502" s="383"/>
      <c r="G502" s="383"/>
      <c r="H502" s="383"/>
      <c r="I502" s="383"/>
      <c r="J502" s="383"/>
      <c r="K502" s="383"/>
    </row>
    <row r="503" spans="1:11">
      <c r="A503" s="383"/>
      <c r="B503" s="383"/>
      <c r="C503" s="383"/>
      <c r="D503" s="383"/>
      <c r="E503" s="383"/>
      <c r="F503" s="383"/>
      <c r="G503" s="383"/>
      <c r="H503" s="383"/>
      <c r="I503" s="383"/>
      <c r="J503" s="383"/>
      <c r="K503" s="383"/>
    </row>
    <row r="504" spans="1:11">
      <c r="A504" s="383"/>
      <c r="B504" s="383"/>
      <c r="C504" s="383"/>
      <c r="D504" s="383"/>
      <c r="E504" s="383"/>
      <c r="F504" s="383"/>
      <c r="G504" s="383"/>
      <c r="H504" s="383"/>
      <c r="I504" s="383"/>
      <c r="J504" s="383"/>
      <c r="K504" s="383"/>
    </row>
    <row r="505" spans="1:11">
      <c r="A505" s="383"/>
      <c r="B505" s="383"/>
      <c r="C505" s="383"/>
      <c r="D505" s="383"/>
      <c r="E505" s="383"/>
      <c r="F505" s="383"/>
      <c r="G505" s="383"/>
      <c r="H505" s="383"/>
      <c r="I505" s="383"/>
      <c r="J505" s="383"/>
      <c r="K505" s="383"/>
    </row>
    <row r="506" spans="1:11">
      <c r="A506" s="383"/>
      <c r="B506" s="383"/>
      <c r="C506" s="383"/>
      <c r="D506" s="383"/>
      <c r="E506" s="383"/>
      <c r="F506" s="383"/>
      <c r="G506" s="383"/>
      <c r="H506" s="383"/>
      <c r="I506" s="383"/>
      <c r="J506" s="383"/>
      <c r="K506" s="383"/>
    </row>
    <row r="507" spans="1:11">
      <c r="A507" s="383"/>
      <c r="B507" s="383"/>
      <c r="C507" s="383"/>
      <c r="D507" s="383"/>
      <c r="E507" s="383"/>
      <c r="F507" s="383"/>
      <c r="G507" s="383"/>
      <c r="H507" s="383"/>
      <c r="I507" s="383"/>
      <c r="J507" s="383"/>
      <c r="K507" s="383"/>
    </row>
    <row r="508" spans="1:11">
      <c r="A508" s="383"/>
      <c r="B508" s="383"/>
      <c r="C508" s="383"/>
      <c r="D508" s="383"/>
      <c r="E508" s="383"/>
      <c r="F508" s="383"/>
      <c r="G508" s="383"/>
      <c r="H508" s="383"/>
      <c r="I508" s="383"/>
      <c r="J508" s="383"/>
      <c r="K508" s="383"/>
    </row>
    <row r="509" spans="1:11">
      <c r="A509" s="383"/>
      <c r="B509" s="383"/>
      <c r="C509" s="383"/>
      <c r="D509" s="383"/>
      <c r="E509" s="383"/>
      <c r="F509" s="383"/>
      <c r="G509" s="383"/>
      <c r="H509" s="383"/>
      <c r="I509" s="383"/>
      <c r="J509" s="383"/>
      <c r="K509" s="383"/>
    </row>
    <row r="510" spans="1:11">
      <c r="A510" s="383"/>
      <c r="B510" s="383"/>
      <c r="C510" s="383"/>
      <c r="D510" s="383"/>
      <c r="E510" s="383"/>
      <c r="F510" s="383"/>
      <c r="G510" s="383"/>
      <c r="H510" s="383"/>
      <c r="I510" s="383"/>
      <c r="J510" s="383"/>
      <c r="K510" s="383"/>
    </row>
    <row r="511" spans="1:11">
      <c r="A511" s="383"/>
      <c r="B511" s="383"/>
      <c r="C511" s="383"/>
      <c r="D511" s="383"/>
      <c r="E511" s="383"/>
      <c r="F511" s="383"/>
      <c r="G511" s="383"/>
      <c r="H511" s="383"/>
      <c r="I511" s="383"/>
      <c r="J511" s="383"/>
      <c r="K511" s="383"/>
    </row>
    <row r="512" spans="1:11">
      <c r="A512" s="383"/>
      <c r="B512" s="383"/>
      <c r="C512" s="383"/>
      <c r="D512" s="383"/>
      <c r="E512" s="383"/>
      <c r="F512" s="383"/>
      <c r="G512" s="383"/>
      <c r="H512" s="383"/>
      <c r="I512" s="383"/>
      <c r="J512" s="383"/>
      <c r="K512" s="383"/>
    </row>
    <row r="513" spans="1:11">
      <c r="A513" s="383"/>
      <c r="B513" s="383"/>
      <c r="C513" s="383"/>
      <c r="D513" s="383"/>
      <c r="E513" s="383"/>
      <c r="F513" s="383"/>
      <c r="G513" s="383"/>
      <c r="H513" s="383"/>
      <c r="I513" s="383"/>
      <c r="J513" s="383"/>
      <c r="K513" s="383"/>
    </row>
    <row r="514" spans="1:11">
      <c r="A514" s="383"/>
      <c r="B514" s="383"/>
      <c r="C514" s="383"/>
      <c r="D514" s="383"/>
      <c r="E514" s="383"/>
      <c r="F514" s="383"/>
      <c r="G514" s="383"/>
      <c r="H514" s="383"/>
      <c r="I514" s="383"/>
      <c r="J514" s="383"/>
      <c r="K514" s="383"/>
    </row>
    <row r="515" spans="1:11">
      <c r="A515" s="383"/>
      <c r="B515" s="383"/>
      <c r="C515" s="383"/>
      <c r="D515" s="383"/>
      <c r="E515" s="383"/>
      <c r="F515" s="383"/>
      <c r="G515" s="383"/>
      <c r="H515" s="383"/>
      <c r="I515" s="383"/>
      <c r="J515" s="383"/>
      <c r="K515" s="383"/>
    </row>
    <row r="516" spans="1:11">
      <c r="A516" s="383"/>
      <c r="B516" s="383"/>
      <c r="C516" s="383"/>
      <c r="D516" s="383"/>
      <c r="E516" s="383"/>
      <c r="F516" s="383"/>
      <c r="G516" s="383"/>
      <c r="H516" s="383"/>
      <c r="I516" s="383"/>
      <c r="J516" s="383"/>
      <c r="K516" s="383"/>
    </row>
    <row r="517" spans="1:11">
      <c r="A517" s="383"/>
      <c r="B517" s="383"/>
      <c r="C517" s="383"/>
      <c r="D517" s="383"/>
      <c r="E517" s="383"/>
      <c r="F517" s="383"/>
      <c r="G517" s="383"/>
      <c r="H517" s="383"/>
      <c r="I517" s="383"/>
      <c r="J517" s="383"/>
      <c r="K517" s="383"/>
    </row>
    <row r="518" spans="1:11">
      <c r="A518" s="383"/>
      <c r="B518" s="383"/>
      <c r="C518" s="383"/>
      <c r="D518" s="383"/>
      <c r="E518" s="383"/>
      <c r="F518" s="383"/>
      <c r="G518" s="383"/>
      <c r="H518" s="383"/>
      <c r="I518" s="383"/>
      <c r="J518" s="383"/>
      <c r="K518" s="383"/>
    </row>
    <row r="519" spans="1:11">
      <c r="A519" s="383"/>
      <c r="B519" s="383"/>
      <c r="C519" s="383"/>
      <c r="D519" s="383"/>
      <c r="E519" s="383"/>
      <c r="F519" s="383"/>
      <c r="G519" s="383"/>
      <c r="H519" s="383"/>
      <c r="I519" s="383"/>
      <c r="J519" s="383"/>
      <c r="K519" s="383"/>
    </row>
    <row r="520" spans="1:11">
      <c r="A520" s="383"/>
      <c r="B520" s="383"/>
      <c r="C520" s="383"/>
      <c r="D520" s="383"/>
      <c r="E520" s="383"/>
      <c r="F520" s="383"/>
      <c r="G520" s="383"/>
      <c r="H520" s="383"/>
      <c r="I520" s="383"/>
      <c r="J520" s="383"/>
      <c r="K520" s="383"/>
    </row>
    <row r="521" spans="1:11">
      <c r="A521" s="383"/>
      <c r="B521" s="383"/>
      <c r="C521" s="383"/>
      <c r="D521" s="383"/>
      <c r="E521" s="383"/>
      <c r="F521" s="383"/>
      <c r="G521" s="383"/>
      <c r="H521" s="383"/>
      <c r="I521" s="383"/>
      <c r="J521" s="383"/>
      <c r="K521" s="383"/>
    </row>
    <row r="522" spans="1:11">
      <c r="A522" s="383"/>
      <c r="B522" s="383"/>
      <c r="C522" s="383"/>
      <c r="D522" s="383"/>
      <c r="E522" s="383"/>
      <c r="F522" s="383"/>
      <c r="G522" s="383"/>
      <c r="H522" s="383"/>
      <c r="I522" s="383"/>
      <c r="J522" s="383"/>
      <c r="K522" s="383"/>
    </row>
    <row r="523" spans="1:11">
      <c r="A523" s="383"/>
      <c r="B523" s="383"/>
      <c r="C523" s="383"/>
      <c r="D523" s="383"/>
      <c r="E523" s="383"/>
      <c r="F523" s="383"/>
      <c r="G523" s="383"/>
      <c r="H523" s="383"/>
      <c r="I523" s="383"/>
      <c r="J523" s="383"/>
      <c r="K523" s="383"/>
    </row>
    <row r="524" spans="1:11">
      <c r="A524" s="383"/>
      <c r="B524" s="383"/>
      <c r="C524" s="383"/>
      <c r="D524" s="383"/>
      <c r="E524" s="383"/>
      <c r="F524" s="383"/>
      <c r="G524" s="383"/>
      <c r="H524" s="383"/>
      <c r="I524" s="383"/>
      <c r="J524" s="383"/>
      <c r="K524" s="383"/>
    </row>
    <row r="525" spans="1:11">
      <c r="A525" s="383"/>
      <c r="B525" s="383"/>
      <c r="C525" s="383"/>
      <c r="D525" s="383"/>
      <c r="E525" s="383"/>
      <c r="F525" s="383"/>
      <c r="G525" s="383"/>
      <c r="H525" s="383"/>
      <c r="I525" s="383"/>
      <c r="J525" s="383"/>
      <c r="K525" s="383"/>
    </row>
    <row r="526" spans="1:11">
      <c r="A526" s="383"/>
      <c r="B526" s="383"/>
      <c r="C526" s="383"/>
      <c r="D526" s="383"/>
      <c r="E526" s="383"/>
      <c r="F526" s="383"/>
      <c r="G526" s="383"/>
      <c r="H526" s="383"/>
      <c r="I526" s="383"/>
      <c r="J526" s="383"/>
      <c r="K526" s="383"/>
    </row>
    <row r="527" spans="1:11">
      <c r="A527" s="383"/>
      <c r="B527" s="383"/>
      <c r="C527" s="383"/>
      <c r="D527" s="383"/>
      <c r="E527" s="383"/>
      <c r="F527" s="383"/>
      <c r="G527" s="383"/>
      <c r="H527" s="383"/>
      <c r="I527" s="383"/>
      <c r="J527" s="383"/>
      <c r="K527" s="383"/>
    </row>
    <row r="528" spans="1:11">
      <c r="A528" s="383"/>
      <c r="B528" s="383"/>
      <c r="C528" s="383"/>
      <c r="D528" s="383"/>
      <c r="E528" s="383"/>
      <c r="F528" s="383"/>
      <c r="G528" s="383"/>
      <c r="H528" s="383"/>
      <c r="I528" s="383"/>
      <c r="J528" s="383"/>
      <c r="K528" s="383"/>
    </row>
    <row r="529" spans="1:11">
      <c r="A529" s="383"/>
      <c r="B529" s="383"/>
      <c r="C529" s="383"/>
      <c r="D529" s="383"/>
      <c r="E529" s="383"/>
      <c r="F529" s="383"/>
      <c r="G529" s="383"/>
      <c r="H529" s="383"/>
      <c r="I529" s="383"/>
      <c r="J529" s="383"/>
      <c r="K529" s="383"/>
    </row>
    <row r="530" spans="1:11">
      <c r="A530" s="383"/>
      <c r="B530" s="383"/>
      <c r="C530" s="383"/>
      <c r="D530" s="383"/>
      <c r="E530" s="383"/>
      <c r="F530" s="383"/>
      <c r="G530" s="383"/>
      <c r="H530" s="383"/>
      <c r="I530" s="383"/>
      <c r="J530" s="383"/>
      <c r="K530" s="383"/>
    </row>
    <row r="531" spans="1:11">
      <c r="A531" s="383"/>
      <c r="B531" s="383"/>
      <c r="C531" s="383"/>
      <c r="D531" s="383"/>
      <c r="E531" s="383"/>
      <c r="F531" s="383"/>
      <c r="G531" s="383"/>
      <c r="H531" s="383"/>
      <c r="I531" s="383"/>
      <c r="J531" s="383"/>
      <c r="K531" s="383"/>
    </row>
    <row r="532" spans="1:11">
      <c r="A532" s="383"/>
      <c r="B532" s="383"/>
      <c r="C532" s="383"/>
      <c r="D532" s="383"/>
      <c r="E532" s="383"/>
      <c r="F532" s="383"/>
      <c r="G532" s="383"/>
      <c r="H532" s="383"/>
      <c r="I532" s="383"/>
      <c r="J532" s="383"/>
      <c r="K532" s="383"/>
    </row>
    <row r="533" spans="1:11">
      <c r="A533" s="383"/>
      <c r="B533" s="383"/>
      <c r="C533" s="383"/>
      <c r="D533" s="383"/>
      <c r="E533" s="383"/>
      <c r="F533" s="383"/>
      <c r="G533" s="383"/>
      <c r="H533" s="383"/>
      <c r="I533" s="383"/>
      <c r="J533" s="383"/>
      <c r="K533" s="383"/>
    </row>
    <row r="534" spans="1:11">
      <c r="A534" s="383"/>
      <c r="B534" s="383"/>
      <c r="C534" s="383"/>
      <c r="D534" s="383"/>
      <c r="E534" s="383"/>
      <c r="F534" s="383"/>
      <c r="G534" s="383"/>
      <c r="H534" s="383"/>
      <c r="I534" s="383"/>
      <c r="J534" s="383"/>
      <c r="K534" s="383"/>
    </row>
    <row r="535" spans="1:11">
      <c r="A535" s="383"/>
      <c r="B535" s="383"/>
      <c r="C535" s="383"/>
      <c r="D535" s="383"/>
      <c r="E535" s="383"/>
      <c r="F535" s="383"/>
      <c r="G535" s="383"/>
      <c r="H535" s="383"/>
      <c r="I535" s="383"/>
      <c r="J535" s="383"/>
      <c r="K535" s="383"/>
    </row>
    <row r="536" spans="1:11">
      <c r="A536" s="383"/>
      <c r="B536" s="383"/>
      <c r="C536" s="383"/>
      <c r="D536" s="383"/>
      <c r="E536" s="383"/>
      <c r="F536" s="383"/>
      <c r="G536" s="383"/>
      <c r="H536" s="383"/>
      <c r="I536" s="383"/>
      <c r="J536" s="383"/>
      <c r="K536" s="383"/>
    </row>
    <row r="537" spans="1:11">
      <c r="A537" s="383"/>
      <c r="B537" s="383"/>
      <c r="C537" s="383"/>
      <c r="D537" s="383"/>
      <c r="E537" s="383"/>
      <c r="F537" s="383"/>
      <c r="G537" s="383"/>
      <c r="H537" s="383"/>
      <c r="I537" s="383"/>
      <c r="J537" s="383"/>
      <c r="K537" s="383"/>
    </row>
    <row r="538" spans="1:11">
      <c r="A538" s="383"/>
      <c r="B538" s="383"/>
      <c r="C538" s="383"/>
      <c r="D538" s="383"/>
      <c r="E538" s="383"/>
      <c r="F538" s="383"/>
      <c r="G538" s="383"/>
      <c r="H538" s="383"/>
      <c r="I538" s="383"/>
      <c r="J538" s="383"/>
      <c r="K538" s="383"/>
    </row>
    <row r="539" spans="1:11">
      <c r="A539" s="383"/>
      <c r="B539" s="383"/>
      <c r="C539" s="383"/>
      <c r="D539" s="383"/>
      <c r="E539" s="383"/>
      <c r="F539" s="383"/>
      <c r="G539" s="383"/>
      <c r="H539" s="383"/>
      <c r="I539" s="383"/>
      <c r="J539" s="383"/>
      <c r="K539" s="383"/>
    </row>
    <row r="540" spans="1:11">
      <c r="A540" s="383"/>
      <c r="B540" s="383"/>
      <c r="C540" s="383"/>
      <c r="D540" s="383"/>
      <c r="E540" s="383"/>
      <c r="F540" s="383"/>
      <c r="G540" s="383"/>
      <c r="H540" s="383"/>
      <c r="I540" s="383"/>
      <c r="J540" s="383"/>
      <c r="K540" s="383"/>
    </row>
    <row r="541" spans="1:11">
      <c r="A541" s="383"/>
      <c r="B541" s="383"/>
      <c r="C541" s="383"/>
      <c r="D541" s="383"/>
      <c r="E541" s="383"/>
      <c r="F541" s="383"/>
      <c r="G541" s="383"/>
      <c r="H541" s="383"/>
      <c r="I541" s="383"/>
      <c r="J541" s="383"/>
      <c r="K541" s="383"/>
    </row>
    <row r="542" spans="1:11">
      <c r="A542" s="383"/>
      <c r="B542" s="383"/>
      <c r="C542" s="383"/>
      <c r="D542" s="383"/>
      <c r="E542" s="383"/>
      <c r="F542" s="383"/>
      <c r="G542" s="383"/>
      <c r="H542" s="383"/>
      <c r="I542" s="383"/>
      <c r="J542" s="383"/>
      <c r="K542" s="383"/>
    </row>
    <row r="543" spans="1:11">
      <c r="A543" s="383"/>
      <c r="B543" s="383"/>
      <c r="C543" s="383"/>
      <c r="D543" s="383"/>
      <c r="E543" s="383"/>
      <c r="F543" s="383"/>
      <c r="G543" s="383"/>
      <c r="H543" s="383"/>
      <c r="I543" s="383"/>
      <c r="J543" s="383"/>
      <c r="K543" s="383"/>
    </row>
    <row r="544" spans="1:11">
      <c r="A544" s="383"/>
      <c r="B544" s="383"/>
      <c r="C544" s="383"/>
      <c r="D544" s="383"/>
      <c r="E544" s="383"/>
      <c r="F544" s="383"/>
      <c r="G544" s="383"/>
      <c r="H544" s="383"/>
      <c r="I544" s="383"/>
      <c r="J544" s="383"/>
      <c r="K544" s="383"/>
    </row>
    <row r="545" spans="1:11">
      <c r="A545" s="383"/>
      <c r="B545" s="383"/>
      <c r="C545" s="383"/>
      <c r="D545" s="383"/>
      <c r="E545" s="383"/>
      <c r="F545" s="383"/>
      <c r="G545" s="383"/>
      <c r="H545" s="383"/>
      <c r="I545" s="383"/>
      <c r="J545" s="383"/>
      <c r="K545" s="383"/>
    </row>
    <row r="546" spans="1:11">
      <c r="A546" s="383"/>
      <c r="B546" s="383"/>
      <c r="C546" s="383"/>
      <c r="D546" s="383"/>
      <c r="E546" s="383"/>
      <c r="F546" s="383"/>
      <c r="G546" s="383"/>
      <c r="H546" s="383"/>
      <c r="I546" s="383"/>
      <c r="J546" s="383"/>
      <c r="K546" s="383"/>
    </row>
    <row r="547" spans="1:11">
      <c r="A547" s="383"/>
      <c r="B547" s="383"/>
      <c r="C547" s="383"/>
      <c r="D547" s="383"/>
      <c r="E547" s="383"/>
      <c r="F547" s="383"/>
      <c r="G547" s="383"/>
      <c r="H547" s="383"/>
      <c r="I547" s="383"/>
      <c r="J547" s="383"/>
      <c r="K547" s="383"/>
    </row>
    <row r="548" spans="1:11">
      <c r="A548" s="383"/>
      <c r="B548" s="383"/>
      <c r="C548" s="383"/>
      <c r="D548" s="383"/>
      <c r="E548" s="383"/>
      <c r="F548" s="383"/>
      <c r="G548" s="383"/>
      <c r="H548" s="383"/>
      <c r="I548" s="383"/>
      <c r="J548" s="383"/>
      <c r="K548" s="383"/>
    </row>
    <row r="549" spans="1:11">
      <c r="A549" s="383"/>
      <c r="B549" s="383"/>
      <c r="C549" s="383"/>
      <c r="D549" s="383"/>
      <c r="E549" s="383"/>
      <c r="F549" s="383"/>
      <c r="G549" s="383"/>
      <c r="H549" s="383"/>
      <c r="I549" s="383"/>
      <c r="J549" s="383"/>
      <c r="K549" s="383"/>
    </row>
    <row r="550" spans="1:11">
      <c r="A550" s="383"/>
      <c r="B550" s="383"/>
      <c r="C550" s="383"/>
      <c r="D550" s="383"/>
      <c r="E550" s="383"/>
      <c r="F550" s="383"/>
      <c r="G550" s="383"/>
      <c r="H550" s="383"/>
      <c r="I550" s="383"/>
      <c r="J550" s="383"/>
      <c r="K550" s="383"/>
    </row>
    <row r="551" spans="1:11">
      <c r="A551" s="383"/>
      <c r="B551" s="383"/>
      <c r="C551" s="383"/>
      <c r="D551" s="383"/>
      <c r="E551" s="383"/>
      <c r="F551" s="383"/>
      <c r="G551" s="383"/>
      <c r="H551" s="383"/>
      <c r="I551" s="383"/>
      <c r="J551" s="383"/>
      <c r="K551" s="383"/>
    </row>
    <row r="552" spans="1:11">
      <c r="A552" s="383"/>
      <c r="B552" s="383"/>
      <c r="C552" s="383"/>
      <c r="D552" s="383"/>
      <c r="E552" s="383"/>
      <c r="F552" s="383"/>
      <c r="G552" s="383"/>
      <c r="H552" s="383"/>
      <c r="I552" s="383"/>
      <c r="J552" s="383"/>
      <c r="K552" s="383"/>
    </row>
    <row r="553" spans="1:11">
      <c r="A553" s="383"/>
      <c r="B553" s="383"/>
      <c r="C553" s="383"/>
      <c r="D553" s="383"/>
      <c r="E553" s="383"/>
      <c r="F553" s="383"/>
      <c r="G553" s="383"/>
      <c r="H553" s="383"/>
      <c r="I553" s="383"/>
      <c r="J553" s="383"/>
      <c r="K553" s="383"/>
    </row>
    <row r="554" spans="1:11">
      <c r="A554" s="383"/>
      <c r="B554" s="383"/>
      <c r="C554" s="383"/>
      <c r="D554" s="383"/>
      <c r="E554" s="383"/>
      <c r="F554" s="383"/>
      <c r="G554" s="383"/>
      <c r="H554" s="383"/>
      <c r="I554" s="383"/>
      <c r="J554" s="383"/>
      <c r="K554" s="383"/>
    </row>
    <row r="555" spans="1:11">
      <c r="A555" s="383"/>
      <c r="B555" s="383"/>
      <c r="C555" s="383"/>
      <c r="D555" s="383"/>
      <c r="E555" s="383"/>
      <c r="F555" s="383"/>
      <c r="G555" s="383"/>
      <c r="H555" s="383"/>
      <c r="I555" s="383"/>
      <c r="J555" s="383"/>
      <c r="K555" s="383"/>
    </row>
    <row r="556" spans="1:11">
      <c r="A556" s="383"/>
      <c r="B556" s="383"/>
      <c r="C556" s="383"/>
      <c r="D556" s="383"/>
      <c r="E556" s="383"/>
      <c r="F556" s="383"/>
      <c r="G556" s="383"/>
      <c r="H556" s="383"/>
      <c r="I556" s="383"/>
      <c r="J556" s="383"/>
      <c r="K556" s="383"/>
    </row>
    <row r="557" spans="1:11">
      <c r="A557" s="383"/>
      <c r="B557" s="383"/>
      <c r="C557" s="383"/>
      <c r="D557" s="383"/>
      <c r="E557" s="383"/>
      <c r="F557" s="383"/>
      <c r="G557" s="383"/>
      <c r="H557" s="383"/>
      <c r="I557" s="383"/>
      <c r="J557" s="383"/>
      <c r="K557" s="383"/>
    </row>
    <row r="558" spans="1:11">
      <c r="A558" s="383"/>
      <c r="B558" s="383"/>
      <c r="C558" s="383"/>
      <c r="D558" s="383"/>
      <c r="E558" s="383"/>
      <c r="F558" s="383"/>
      <c r="G558" s="383"/>
      <c r="H558" s="383"/>
      <c r="I558" s="383"/>
      <c r="J558" s="383"/>
      <c r="K558" s="383"/>
    </row>
    <row r="559" spans="1:11">
      <c r="A559" s="383"/>
      <c r="B559" s="383"/>
      <c r="C559" s="383"/>
      <c r="D559" s="383"/>
      <c r="E559" s="383"/>
      <c r="F559" s="383"/>
      <c r="G559" s="383"/>
      <c r="H559" s="383"/>
      <c r="I559" s="383"/>
      <c r="J559" s="383"/>
      <c r="K559" s="383"/>
    </row>
    <row r="560" spans="1:11">
      <c r="A560" s="383"/>
      <c r="B560" s="383"/>
      <c r="C560" s="383"/>
      <c r="D560" s="383"/>
      <c r="E560" s="383"/>
      <c r="F560" s="383"/>
      <c r="G560" s="383"/>
      <c r="H560" s="383"/>
      <c r="I560" s="383"/>
      <c r="J560" s="383"/>
      <c r="K560" s="383"/>
    </row>
    <row r="561" spans="1:11">
      <c r="A561" s="383"/>
      <c r="B561" s="383"/>
      <c r="C561" s="383"/>
      <c r="D561" s="383"/>
      <c r="E561" s="383"/>
      <c r="F561" s="383"/>
      <c r="G561" s="383"/>
      <c r="H561" s="383"/>
      <c r="I561" s="383"/>
      <c r="J561" s="383"/>
      <c r="K561" s="383"/>
    </row>
    <row r="562" spans="1:11">
      <c r="A562" s="383"/>
      <c r="B562" s="383"/>
      <c r="C562" s="383"/>
      <c r="D562" s="383"/>
      <c r="E562" s="383"/>
      <c r="F562" s="383"/>
      <c r="G562" s="383"/>
      <c r="H562" s="383"/>
      <c r="I562" s="383"/>
      <c r="J562" s="383"/>
      <c r="K562" s="383"/>
    </row>
    <row r="563" spans="1:11">
      <c r="A563" s="383"/>
      <c r="B563" s="383"/>
      <c r="C563" s="383"/>
      <c r="D563" s="383"/>
      <c r="E563" s="383"/>
      <c r="F563" s="383"/>
      <c r="G563" s="383"/>
      <c r="H563" s="383"/>
      <c r="I563" s="383"/>
      <c r="J563" s="383"/>
      <c r="K563" s="383"/>
    </row>
    <row r="564" spans="1:11">
      <c r="A564" s="383"/>
      <c r="B564" s="383"/>
      <c r="C564" s="383"/>
      <c r="D564" s="383"/>
      <c r="E564" s="383"/>
      <c r="F564" s="383"/>
      <c r="G564" s="383"/>
      <c r="H564" s="383"/>
      <c r="I564" s="383"/>
      <c r="J564" s="383"/>
      <c r="K564" s="383"/>
    </row>
    <row r="565" spans="1:11">
      <c r="A565" s="383"/>
      <c r="B565" s="383"/>
      <c r="C565" s="383"/>
      <c r="D565" s="383"/>
      <c r="E565" s="383"/>
      <c r="F565" s="383"/>
      <c r="G565" s="383"/>
      <c r="H565" s="383"/>
      <c r="I565" s="383"/>
      <c r="J565" s="383"/>
      <c r="K565" s="383"/>
    </row>
    <row r="566" spans="1:11">
      <c r="A566" s="383"/>
      <c r="B566" s="383"/>
      <c r="C566" s="383"/>
      <c r="D566" s="383"/>
      <c r="E566" s="383"/>
      <c r="F566" s="383"/>
      <c r="G566" s="383"/>
      <c r="H566" s="383"/>
      <c r="I566" s="383"/>
      <c r="J566" s="383"/>
      <c r="K566" s="383"/>
    </row>
    <row r="567" spans="1:11">
      <c r="A567" s="383"/>
      <c r="B567" s="383"/>
      <c r="C567" s="383"/>
      <c r="D567" s="383"/>
      <c r="E567" s="383"/>
      <c r="F567" s="383"/>
      <c r="G567" s="383"/>
      <c r="H567" s="383"/>
      <c r="I567" s="383"/>
      <c r="J567" s="383"/>
      <c r="K567" s="383"/>
    </row>
    <row r="568" spans="1:11">
      <c r="A568" s="383"/>
      <c r="B568" s="383"/>
      <c r="C568" s="383"/>
      <c r="D568" s="383"/>
      <c r="E568" s="383"/>
      <c r="F568" s="383"/>
      <c r="G568" s="383"/>
      <c r="H568" s="383"/>
      <c r="I568" s="383"/>
      <c r="J568" s="383"/>
      <c r="K568" s="383"/>
    </row>
    <row r="569" spans="1:11">
      <c r="A569" s="383"/>
      <c r="B569" s="383"/>
      <c r="C569" s="383"/>
      <c r="D569" s="383"/>
      <c r="E569" s="383"/>
      <c r="F569" s="383"/>
      <c r="G569" s="383"/>
      <c r="H569" s="383"/>
      <c r="I569" s="383"/>
      <c r="J569" s="383"/>
      <c r="K569" s="383"/>
    </row>
    <row r="570" spans="1:11">
      <c r="A570" s="383"/>
      <c r="B570" s="383"/>
      <c r="C570" s="383"/>
      <c r="D570" s="383"/>
      <c r="E570" s="383"/>
      <c r="F570" s="383"/>
      <c r="G570" s="383"/>
      <c r="H570" s="383"/>
      <c r="I570" s="383"/>
      <c r="J570" s="383"/>
      <c r="K570" s="383"/>
    </row>
    <row r="571" spans="1:11">
      <c r="A571" s="383"/>
      <c r="B571" s="383"/>
      <c r="C571" s="383"/>
      <c r="D571" s="383"/>
      <c r="E571" s="383"/>
      <c r="F571" s="383"/>
      <c r="G571" s="383"/>
      <c r="H571" s="383"/>
      <c r="I571" s="383"/>
      <c r="J571" s="383"/>
      <c r="K571" s="383"/>
    </row>
    <row r="572" spans="1:11">
      <c r="A572" s="383"/>
      <c r="B572" s="383"/>
      <c r="C572" s="383"/>
      <c r="D572" s="383"/>
      <c r="E572" s="383"/>
      <c r="F572" s="383"/>
      <c r="G572" s="383"/>
      <c r="H572" s="383"/>
      <c r="I572" s="383"/>
      <c r="J572" s="383"/>
      <c r="K572" s="383"/>
    </row>
    <row r="573" spans="1:11">
      <c r="A573" s="383"/>
      <c r="B573" s="383"/>
      <c r="C573" s="383"/>
      <c r="D573" s="383"/>
      <c r="E573" s="383"/>
      <c r="F573" s="383"/>
      <c r="G573" s="383"/>
      <c r="H573" s="383"/>
      <c r="I573" s="383"/>
      <c r="J573" s="383"/>
      <c r="K573" s="383"/>
    </row>
    <row r="574" spans="1:11">
      <c r="A574" s="383"/>
      <c r="B574" s="383"/>
      <c r="C574" s="383"/>
      <c r="D574" s="383"/>
      <c r="E574" s="383"/>
      <c r="F574" s="383"/>
      <c r="G574" s="383"/>
      <c r="H574" s="383"/>
      <c r="I574" s="383"/>
      <c r="J574" s="383"/>
      <c r="K574" s="383"/>
    </row>
    <row r="575" spans="1:11">
      <c r="A575" s="383"/>
      <c r="B575" s="383"/>
      <c r="C575" s="383"/>
      <c r="D575" s="383"/>
      <c r="E575" s="383"/>
      <c r="F575" s="383"/>
      <c r="G575" s="383"/>
      <c r="H575" s="383"/>
      <c r="I575" s="383"/>
      <c r="J575" s="383"/>
      <c r="K575" s="383"/>
    </row>
    <row r="576" spans="1:11">
      <c r="A576" s="383"/>
      <c r="B576" s="383"/>
      <c r="C576" s="383"/>
      <c r="D576" s="383"/>
      <c r="E576" s="383"/>
      <c r="F576" s="383"/>
      <c r="G576" s="383"/>
      <c r="H576" s="383"/>
      <c r="I576" s="383"/>
      <c r="J576" s="383"/>
      <c r="K576" s="383"/>
    </row>
    <row r="577" spans="1:11">
      <c r="A577" s="383"/>
      <c r="B577" s="383"/>
      <c r="C577" s="383"/>
      <c r="D577" s="383"/>
      <c r="E577" s="383"/>
      <c r="F577" s="383"/>
      <c r="G577" s="383"/>
      <c r="H577" s="383"/>
      <c r="I577" s="383"/>
      <c r="J577" s="383"/>
      <c r="K577" s="383"/>
    </row>
    <row r="578" spans="1:11">
      <c r="A578" s="383"/>
      <c r="B578" s="383"/>
      <c r="C578" s="383"/>
      <c r="D578" s="383"/>
      <c r="E578" s="383"/>
      <c r="F578" s="383"/>
      <c r="G578" s="383"/>
      <c r="H578" s="383"/>
      <c r="I578" s="383"/>
      <c r="J578" s="383"/>
      <c r="K578" s="383"/>
    </row>
    <row r="579" spans="1:11">
      <c r="A579" s="383"/>
      <c r="B579" s="383"/>
      <c r="C579" s="383"/>
      <c r="D579" s="383"/>
      <c r="E579" s="383"/>
      <c r="F579" s="383"/>
      <c r="G579" s="383"/>
      <c r="H579" s="383"/>
      <c r="I579" s="383"/>
      <c r="J579" s="383"/>
      <c r="K579" s="383"/>
    </row>
    <row r="580" spans="1:11">
      <c r="A580" s="383"/>
      <c r="B580" s="383"/>
      <c r="C580" s="383"/>
      <c r="D580" s="383"/>
      <c r="E580" s="383"/>
      <c r="F580" s="383"/>
      <c r="G580" s="383"/>
      <c r="H580" s="383"/>
      <c r="I580" s="383"/>
      <c r="J580" s="383"/>
      <c r="K580" s="383"/>
    </row>
    <row r="581" spans="1:11">
      <c r="A581" s="383"/>
      <c r="B581" s="383"/>
      <c r="C581" s="383"/>
      <c r="D581" s="383"/>
      <c r="E581" s="383"/>
      <c r="F581" s="383"/>
      <c r="G581" s="383"/>
      <c r="H581" s="383"/>
      <c r="I581" s="383"/>
      <c r="J581" s="383"/>
      <c r="K581" s="383"/>
    </row>
    <row r="582" spans="1:11">
      <c r="A582" s="383"/>
      <c r="B582" s="383"/>
      <c r="C582" s="383"/>
      <c r="D582" s="383"/>
      <c r="E582" s="383"/>
      <c r="F582" s="383"/>
      <c r="G582" s="383"/>
      <c r="H582" s="383"/>
      <c r="I582" s="383"/>
      <c r="J582" s="383"/>
      <c r="K582" s="383"/>
    </row>
    <row r="583" spans="1:11">
      <c r="A583" s="383"/>
      <c r="B583" s="383"/>
      <c r="C583" s="383"/>
      <c r="D583" s="383"/>
      <c r="E583" s="383"/>
      <c r="F583" s="383"/>
      <c r="G583" s="383"/>
      <c r="H583" s="383"/>
      <c r="I583" s="383"/>
      <c r="J583" s="383"/>
      <c r="K583" s="383"/>
    </row>
    <row r="584" spans="1:11">
      <c r="A584" s="383"/>
      <c r="B584" s="383"/>
      <c r="C584" s="383"/>
      <c r="D584" s="383"/>
      <c r="E584" s="383"/>
      <c r="F584" s="383"/>
      <c r="G584" s="383"/>
      <c r="H584" s="383"/>
      <c r="I584" s="383"/>
      <c r="J584" s="383"/>
      <c r="K584" s="383"/>
    </row>
    <row r="585" spans="1:11">
      <c r="A585" s="383"/>
      <c r="B585" s="383"/>
      <c r="C585" s="383"/>
      <c r="D585" s="383"/>
      <c r="E585" s="383"/>
      <c r="F585" s="383"/>
      <c r="G585" s="383"/>
      <c r="H585" s="383"/>
      <c r="I585" s="383"/>
      <c r="J585" s="383"/>
      <c r="K585" s="383"/>
    </row>
    <row r="586" spans="1:11">
      <c r="A586" s="383"/>
      <c r="B586" s="383"/>
      <c r="C586" s="383"/>
      <c r="D586" s="383"/>
      <c r="E586" s="383"/>
      <c r="F586" s="383"/>
      <c r="G586" s="383"/>
      <c r="H586" s="383"/>
      <c r="I586" s="383"/>
      <c r="J586" s="383"/>
      <c r="K586" s="383"/>
    </row>
    <row r="587" spans="1:11">
      <c r="A587" s="383"/>
      <c r="B587" s="383"/>
      <c r="C587" s="383"/>
      <c r="D587" s="383"/>
      <c r="E587" s="383"/>
      <c r="F587" s="383"/>
      <c r="G587" s="383"/>
      <c r="H587" s="383"/>
      <c r="I587" s="383"/>
      <c r="J587" s="383"/>
      <c r="K587" s="383"/>
    </row>
    <row r="588" spans="1:11">
      <c r="A588" s="383"/>
      <c r="B588" s="383"/>
      <c r="C588" s="383"/>
      <c r="D588" s="383"/>
      <c r="E588" s="383"/>
      <c r="F588" s="383"/>
      <c r="G588" s="383"/>
      <c r="H588" s="383"/>
      <c r="I588" s="383"/>
      <c r="J588" s="383"/>
      <c r="K588" s="383"/>
    </row>
    <row r="589" spans="1:11">
      <c r="A589" s="383"/>
      <c r="B589" s="383"/>
      <c r="C589" s="383"/>
      <c r="D589" s="383"/>
      <c r="E589" s="383"/>
      <c r="F589" s="383"/>
      <c r="G589" s="383"/>
      <c r="H589" s="383"/>
      <c r="I589" s="383"/>
      <c r="J589" s="383"/>
      <c r="K589" s="383"/>
    </row>
    <row r="590" spans="1:11">
      <c r="A590" s="383"/>
      <c r="B590" s="383"/>
      <c r="C590" s="383"/>
      <c r="D590" s="383"/>
      <c r="E590" s="383"/>
      <c r="F590" s="383"/>
      <c r="G590" s="383"/>
      <c r="H590" s="383"/>
      <c r="I590" s="383"/>
      <c r="J590" s="383"/>
      <c r="K590" s="383"/>
    </row>
    <row r="591" spans="1:11">
      <c r="A591" s="383"/>
      <c r="B591" s="383"/>
      <c r="C591" s="383"/>
      <c r="D591" s="383"/>
      <c r="E591" s="383"/>
      <c r="F591" s="383"/>
      <c r="G591" s="383"/>
      <c r="H591" s="383"/>
      <c r="I591" s="383"/>
      <c r="J591" s="383"/>
      <c r="K591" s="383"/>
    </row>
    <row r="592" spans="1:11">
      <c r="A592" s="383"/>
      <c r="B592" s="383"/>
      <c r="C592" s="383"/>
      <c r="D592" s="383"/>
      <c r="E592" s="383"/>
      <c r="F592" s="383"/>
      <c r="G592" s="383"/>
      <c r="H592" s="383"/>
      <c r="I592" s="383"/>
      <c r="J592" s="383"/>
      <c r="K592" s="383"/>
    </row>
    <row r="593" spans="1:11">
      <c r="A593" s="383"/>
      <c r="B593" s="383"/>
      <c r="C593" s="383"/>
      <c r="D593" s="383"/>
      <c r="E593" s="383"/>
      <c r="F593" s="383"/>
      <c r="G593" s="383"/>
      <c r="H593" s="383"/>
      <c r="I593" s="383"/>
      <c r="J593" s="383"/>
      <c r="K593" s="383"/>
    </row>
    <row r="594" spans="1:11">
      <c r="A594" s="383"/>
      <c r="B594" s="383"/>
      <c r="C594" s="383"/>
      <c r="D594" s="383"/>
      <c r="E594" s="383"/>
      <c r="F594" s="383"/>
      <c r="G594" s="383"/>
      <c r="H594" s="383"/>
      <c r="I594" s="383"/>
      <c r="J594" s="383"/>
      <c r="K594" s="383"/>
    </row>
    <row r="595" spans="1:11">
      <c r="A595" s="383"/>
      <c r="B595" s="383"/>
      <c r="C595" s="383"/>
      <c r="D595" s="383"/>
      <c r="E595" s="383"/>
      <c r="F595" s="383"/>
      <c r="G595" s="383"/>
      <c r="H595" s="383"/>
      <c r="I595" s="383"/>
      <c r="J595" s="383"/>
      <c r="K595" s="383"/>
    </row>
    <row r="596" spans="1:11">
      <c r="A596" s="383"/>
      <c r="B596" s="383"/>
      <c r="C596" s="383"/>
      <c r="D596" s="383"/>
      <c r="E596" s="383"/>
      <c r="F596" s="383"/>
      <c r="G596" s="383"/>
      <c r="H596" s="383"/>
      <c r="I596" s="383"/>
      <c r="J596" s="383"/>
      <c r="K596" s="383"/>
    </row>
    <row r="597" spans="1:11">
      <c r="A597" s="383"/>
      <c r="B597" s="383"/>
      <c r="C597" s="383"/>
      <c r="D597" s="383"/>
      <c r="E597" s="383"/>
      <c r="F597" s="383"/>
      <c r="G597" s="383"/>
      <c r="H597" s="383"/>
      <c r="I597" s="383"/>
      <c r="J597" s="383"/>
      <c r="K597" s="383"/>
    </row>
    <row r="598" spans="1:11">
      <c r="A598" s="383"/>
      <c r="B598" s="383"/>
      <c r="C598" s="383"/>
      <c r="D598" s="383"/>
      <c r="E598" s="383"/>
      <c r="F598" s="383"/>
      <c r="G598" s="383"/>
      <c r="H598" s="383"/>
      <c r="I598" s="383"/>
      <c r="J598" s="383"/>
      <c r="K598" s="383"/>
    </row>
    <row r="599" spans="1:11">
      <c r="A599" s="383"/>
      <c r="B599" s="383"/>
      <c r="C599" s="383"/>
      <c r="D599" s="383"/>
      <c r="E599" s="383"/>
      <c r="F599" s="383"/>
      <c r="G599" s="383"/>
      <c r="H599" s="383"/>
      <c r="I599" s="383"/>
      <c r="J599" s="383"/>
      <c r="K599" s="383"/>
    </row>
    <row r="600" spans="1:11">
      <c r="A600" s="383"/>
      <c r="B600" s="383"/>
      <c r="C600" s="383"/>
      <c r="D600" s="383"/>
      <c r="E600" s="383"/>
      <c r="F600" s="383"/>
      <c r="G600" s="383"/>
      <c r="H600" s="383"/>
      <c r="I600" s="383"/>
      <c r="J600" s="383"/>
      <c r="K600" s="383"/>
    </row>
    <row r="601" spans="1:11">
      <c r="A601" s="383"/>
      <c r="B601" s="383"/>
      <c r="C601" s="383"/>
      <c r="D601" s="383"/>
      <c r="E601" s="383"/>
      <c r="F601" s="383"/>
      <c r="G601" s="383"/>
      <c r="H601" s="383"/>
      <c r="I601" s="383"/>
      <c r="J601" s="383"/>
      <c r="K601" s="383"/>
    </row>
    <row r="602" spans="1:11">
      <c r="A602" s="383"/>
      <c r="B602" s="383"/>
      <c r="C602" s="383"/>
      <c r="D602" s="383"/>
      <c r="E602" s="383"/>
      <c r="F602" s="383"/>
      <c r="G602" s="383"/>
      <c r="H602" s="383"/>
      <c r="I602" s="383"/>
      <c r="J602" s="383"/>
      <c r="K602" s="383"/>
    </row>
    <row r="603" spans="1:11">
      <c r="A603" s="383"/>
      <c r="B603" s="383"/>
      <c r="C603" s="383"/>
      <c r="D603" s="383"/>
      <c r="E603" s="383"/>
      <c r="F603" s="383"/>
      <c r="G603" s="383"/>
      <c r="H603" s="383"/>
      <c r="I603" s="383"/>
      <c r="J603" s="383"/>
      <c r="K603" s="383"/>
    </row>
    <row r="604" spans="1:11">
      <c r="A604" s="383"/>
      <c r="B604" s="383"/>
      <c r="C604" s="383"/>
      <c r="D604" s="383"/>
      <c r="E604" s="383"/>
      <c r="F604" s="383"/>
      <c r="G604" s="383"/>
      <c r="H604" s="383"/>
      <c r="I604" s="383"/>
      <c r="J604" s="383"/>
      <c r="K604" s="383"/>
    </row>
    <row r="605" spans="1:11">
      <c r="A605" s="383"/>
      <c r="B605" s="383"/>
      <c r="C605" s="383"/>
      <c r="D605" s="383"/>
      <c r="E605" s="383"/>
      <c r="F605" s="383"/>
      <c r="G605" s="383"/>
      <c r="H605" s="383"/>
      <c r="I605" s="383"/>
      <c r="J605" s="383"/>
      <c r="K605" s="383"/>
    </row>
    <row r="606" spans="1:11">
      <c r="A606" s="383"/>
      <c r="B606" s="383"/>
      <c r="C606" s="383"/>
      <c r="D606" s="383"/>
      <c r="E606" s="383"/>
      <c r="F606" s="383"/>
      <c r="G606" s="383"/>
      <c r="H606" s="383"/>
      <c r="I606" s="383"/>
      <c r="J606" s="383"/>
      <c r="K606" s="383"/>
    </row>
    <row r="607" spans="1:11">
      <c r="A607" s="383"/>
      <c r="B607" s="383"/>
      <c r="C607" s="383"/>
      <c r="D607" s="383"/>
      <c r="E607" s="383"/>
      <c r="F607" s="383"/>
      <c r="G607" s="383"/>
      <c r="H607" s="383"/>
      <c r="I607" s="383"/>
      <c r="J607" s="383"/>
      <c r="K607" s="383"/>
    </row>
    <row r="608" spans="1:11">
      <c r="A608" s="383"/>
      <c r="B608" s="383"/>
      <c r="C608" s="383"/>
      <c r="D608" s="383"/>
      <c r="E608" s="383"/>
      <c r="F608" s="383"/>
      <c r="G608" s="383"/>
      <c r="H608" s="383"/>
      <c r="I608" s="383"/>
      <c r="J608" s="383"/>
      <c r="K608" s="383"/>
    </row>
    <row r="609" spans="1:11">
      <c r="A609" s="383"/>
      <c r="B609" s="383"/>
      <c r="C609" s="383"/>
      <c r="D609" s="383"/>
      <c r="E609" s="383"/>
      <c r="F609" s="383"/>
      <c r="G609" s="383"/>
      <c r="H609" s="383"/>
      <c r="I609" s="383"/>
      <c r="J609" s="383"/>
      <c r="K609" s="383"/>
    </row>
    <row r="610" spans="1:11">
      <c r="A610" s="383"/>
      <c r="B610" s="383"/>
      <c r="C610" s="383"/>
      <c r="D610" s="383"/>
      <c r="E610" s="383"/>
      <c r="F610" s="383"/>
      <c r="G610" s="383"/>
      <c r="H610" s="383"/>
      <c r="I610" s="383"/>
      <c r="J610" s="383"/>
      <c r="K610" s="383"/>
    </row>
    <row r="611" spans="1:11">
      <c r="A611" s="383"/>
      <c r="B611" s="383"/>
      <c r="C611" s="383"/>
      <c r="D611" s="383"/>
      <c r="E611" s="383"/>
      <c r="F611" s="383"/>
      <c r="G611" s="383"/>
      <c r="H611" s="383"/>
      <c r="I611" s="383"/>
      <c r="J611" s="383"/>
      <c r="K611" s="383"/>
    </row>
    <row r="612" spans="1:11">
      <c r="A612" s="383"/>
      <c r="B612" s="383"/>
      <c r="C612" s="383"/>
      <c r="D612" s="383"/>
      <c r="E612" s="383"/>
      <c r="F612" s="383"/>
      <c r="G612" s="383"/>
      <c r="H612" s="383"/>
      <c r="I612" s="383"/>
      <c r="J612" s="383"/>
      <c r="K612" s="383"/>
    </row>
    <row r="613" spans="1:11">
      <c r="A613" s="383"/>
      <c r="B613" s="383"/>
      <c r="C613" s="383"/>
      <c r="D613" s="383"/>
      <c r="E613" s="383"/>
      <c r="F613" s="383"/>
      <c r="G613" s="383"/>
      <c r="H613" s="383"/>
      <c r="I613" s="383"/>
      <c r="J613" s="383"/>
      <c r="K613" s="383"/>
    </row>
    <row r="614" spans="1:11">
      <c r="A614" s="383"/>
      <c r="B614" s="383"/>
      <c r="C614" s="383"/>
      <c r="D614" s="383"/>
      <c r="E614" s="383"/>
      <c r="F614" s="383"/>
      <c r="G614" s="383"/>
      <c r="H614" s="383"/>
      <c r="I614" s="383"/>
      <c r="J614" s="383"/>
      <c r="K614" s="383"/>
    </row>
    <row r="615" spans="1:11">
      <c r="A615" s="383"/>
      <c r="B615" s="383"/>
      <c r="C615" s="383"/>
      <c r="D615" s="383"/>
      <c r="E615" s="383"/>
      <c r="F615" s="383"/>
      <c r="G615" s="383"/>
      <c r="H615" s="383"/>
      <c r="I615" s="383"/>
      <c r="J615" s="383"/>
      <c r="K615" s="383"/>
    </row>
    <row r="616" spans="1:11">
      <c r="A616" s="383"/>
      <c r="B616" s="383"/>
      <c r="C616" s="383"/>
      <c r="D616" s="383"/>
      <c r="E616" s="383"/>
      <c r="F616" s="383"/>
      <c r="G616" s="383"/>
      <c r="H616" s="383"/>
      <c r="I616" s="383"/>
      <c r="J616" s="383"/>
      <c r="K616" s="383"/>
    </row>
    <row r="617" spans="1:11">
      <c r="A617" s="383"/>
      <c r="B617" s="383"/>
      <c r="C617" s="383"/>
      <c r="D617" s="383"/>
      <c r="E617" s="383"/>
      <c r="F617" s="383"/>
      <c r="G617" s="383"/>
      <c r="H617" s="383"/>
      <c r="I617" s="383"/>
      <c r="J617" s="383"/>
      <c r="K617" s="383"/>
    </row>
    <row r="618" spans="1:11">
      <c r="A618" s="383"/>
      <c r="B618" s="383"/>
      <c r="C618" s="383"/>
      <c r="D618" s="383"/>
      <c r="E618" s="383"/>
      <c r="F618" s="383"/>
      <c r="G618" s="383"/>
      <c r="H618" s="383"/>
      <c r="I618" s="383"/>
      <c r="J618" s="383"/>
      <c r="K618" s="383"/>
    </row>
    <row r="619" spans="1:11">
      <c r="A619" s="383"/>
      <c r="B619" s="383"/>
      <c r="C619" s="383"/>
      <c r="D619" s="383"/>
      <c r="E619" s="383"/>
      <c r="F619" s="383"/>
      <c r="G619" s="383"/>
      <c r="H619" s="383"/>
      <c r="I619" s="383"/>
      <c r="J619" s="383"/>
      <c r="K619" s="383"/>
    </row>
    <row r="620" spans="1:11">
      <c r="A620" s="383"/>
      <c r="B620" s="383"/>
      <c r="C620" s="383"/>
      <c r="D620" s="383"/>
      <c r="E620" s="383"/>
      <c r="F620" s="383"/>
      <c r="G620" s="383"/>
      <c r="H620" s="383"/>
      <c r="I620" s="383"/>
      <c r="J620" s="383"/>
      <c r="K620" s="383"/>
    </row>
    <row r="621" spans="1:11">
      <c r="A621" s="383"/>
      <c r="B621" s="383"/>
      <c r="C621" s="383"/>
      <c r="D621" s="383"/>
      <c r="E621" s="383"/>
      <c r="F621" s="383"/>
      <c r="G621" s="383"/>
      <c r="H621" s="383"/>
      <c r="I621" s="383"/>
      <c r="J621" s="383"/>
      <c r="K621" s="383"/>
    </row>
    <row r="622" spans="1:11">
      <c r="A622" s="383"/>
      <c r="B622" s="383"/>
      <c r="C622" s="383"/>
      <c r="D622" s="383"/>
      <c r="E622" s="383"/>
      <c r="F622" s="383"/>
      <c r="G622" s="383"/>
      <c r="H622" s="383"/>
      <c r="I622" s="383"/>
      <c r="J622" s="383"/>
      <c r="K622" s="383"/>
    </row>
    <row r="623" spans="1:11">
      <c r="A623" s="383"/>
      <c r="B623" s="383"/>
      <c r="C623" s="383"/>
      <c r="D623" s="383"/>
      <c r="E623" s="383"/>
      <c r="F623" s="383"/>
      <c r="G623" s="383"/>
      <c r="H623" s="383"/>
      <c r="I623" s="383"/>
      <c r="J623" s="383"/>
      <c r="K623" s="383"/>
    </row>
    <row r="624" spans="1:11">
      <c r="A624" s="383"/>
      <c r="B624" s="383"/>
      <c r="C624" s="383"/>
      <c r="D624" s="383"/>
      <c r="E624" s="383"/>
      <c r="F624" s="383"/>
      <c r="G624" s="383"/>
      <c r="H624" s="383"/>
      <c r="I624" s="383"/>
      <c r="J624" s="383"/>
      <c r="K624" s="383"/>
    </row>
    <row r="625" spans="1:11">
      <c r="A625" s="383"/>
      <c r="B625" s="383"/>
      <c r="C625" s="383"/>
      <c r="D625" s="383"/>
      <c r="E625" s="383"/>
      <c r="F625" s="383"/>
      <c r="G625" s="383"/>
      <c r="H625" s="383"/>
      <c r="I625" s="383"/>
      <c r="J625" s="383"/>
      <c r="K625" s="383"/>
    </row>
    <row r="626" spans="1:11">
      <c r="A626" s="383"/>
      <c r="B626" s="383"/>
      <c r="C626" s="383"/>
      <c r="D626" s="383"/>
      <c r="E626" s="383"/>
      <c r="F626" s="383"/>
      <c r="G626" s="383"/>
      <c r="H626" s="383"/>
      <c r="I626" s="383"/>
      <c r="J626" s="383"/>
      <c r="K626" s="383"/>
    </row>
    <row r="627" spans="1:11">
      <c r="A627" s="383"/>
      <c r="B627" s="383"/>
      <c r="C627" s="383"/>
      <c r="D627" s="383"/>
      <c r="E627" s="383"/>
      <c r="F627" s="383"/>
      <c r="G627" s="383"/>
      <c r="H627" s="383"/>
      <c r="I627" s="383"/>
      <c r="J627" s="383"/>
      <c r="K627" s="383"/>
    </row>
    <row r="628" spans="1:11">
      <c r="A628" s="383"/>
      <c r="B628" s="383"/>
      <c r="C628" s="383"/>
      <c r="D628" s="383"/>
      <c r="E628" s="383"/>
      <c r="F628" s="383"/>
      <c r="G628" s="383"/>
      <c r="H628" s="383"/>
      <c r="I628" s="383"/>
      <c r="J628" s="383"/>
      <c r="K628" s="383"/>
    </row>
    <row r="629" spans="1:11">
      <c r="A629" s="383"/>
      <c r="B629" s="383"/>
      <c r="C629" s="383"/>
      <c r="D629" s="383"/>
      <c r="E629" s="383"/>
      <c r="F629" s="383"/>
      <c r="G629" s="383"/>
      <c r="H629" s="383"/>
      <c r="I629" s="383"/>
      <c r="J629" s="383"/>
      <c r="K629" s="383"/>
    </row>
    <row r="630" spans="1:11">
      <c r="A630" s="383"/>
      <c r="B630" s="383"/>
      <c r="C630" s="383"/>
      <c r="D630" s="383"/>
      <c r="E630" s="383"/>
      <c r="F630" s="383"/>
      <c r="G630" s="383"/>
      <c r="H630" s="383"/>
      <c r="I630" s="383"/>
      <c r="J630" s="383"/>
      <c r="K630" s="383"/>
    </row>
    <row r="631" spans="1:11">
      <c r="A631" s="383"/>
      <c r="B631" s="383"/>
      <c r="C631" s="383"/>
      <c r="D631" s="383"/>
      <c r="E631" s="383"/>
      <c r="F631" s="383"/>
      <c r="G631" s="383"/>
      <c r="H631" s="383"/>
      <c r="I631" s="383"/>
      <c r="J631" s="383"/>
      <c r="K631" s="383"/>
    </row>
    <row r="632" spans="1:11">
      <c r="A632" s="383"/>
      <c r="B632" s="383"/>
      <c r="C632" s="383"/>
      <c r="D632" s="383"/>
      <c r="E632" s="383"/>
      <c r="F632" s="383"/>
      <c r="G632" s="383"/>
      <c r="H632" s="383"/>
      <c r="I632" s="383"/>
      <c r="J632" s="383"/>
      <c r="K632" s="383"/>
    </row>
    <row r="633" spans="1:11">
      <c r="A633" s="383"/>
      <c r="B633" s="383"/>
      <c r="C633" s="383"/>
      <c r="D633" s="383"/>
      <c r="E633" s="383"/>
      <c r="F633" s="383"/>
      <c r="G633" s="383"/>
      <c r="H633" s="383"/>
      <c r="I633" s="383"/>
      <c r="J633" s="383"/>
      <c r="K633" s="383"/>
    </row>
    <row r="634" spans="1:11">
      <c r="A634" s="383"/>
      <c r="B634" s="383"/>
      <c r="C634" s="383"/>
      <c r="D634" s="383"/>
      <c r="E634" s="383"/>
      <c r="F634" s="383"/>
      <c r="G634" s="383"/>
      <c r="H634" s="383"/>
      <c r="I634" s="383"/>
      <c r="J634" s="383"/>
      <c r="K634" s="383"/>
    </row>
    <row r="635" spans="1:11">
      <c r="A635" s="383"/>
      <c r="B635" s="383"/>
      <c r="C635" s="383"/>
      <c r="D635" s="383"/>
      <c r="E635" s="383"/>
      <c r="F635" s="383"/>
      <c r="G635" s="383"/>
      <c r="H635" s="383"/>
      <c r="I635" s="383"/>
      <c r="J635" s="383"/>
      <c r="K635" s="383"/>
    </row>
    <row r="636" spans="1:11">
      <c r="A636" s="383"/>
      <c r="B636" s="383"/>
      <c r="C636" s="383"/>
      <c r="D636" s="383"/>
      <c r="E636" s="383"/>
      <c r="F636" s="383"/>
      <c r="G636" s="383"/>
      <c r="H636" s="383"/>
      <c r="I636" s="383"/>
      <c r="J636" s="383"/>
      <c r="K636" s="383"/>
    </row>
    <row r="637" spans="1:11">
      <c r="A637" s="383"/>
      <c r="B637" s="383"/>
      <c r="C637" s="383"/>
      <c r="D637" s="383"/>
      <c r="E637" s="383"/>
      <c r="F637" s="383"/>
      <c r="G637" s="383"/>
      <c r="H637" s="383"/>
      <c r="I637" s="383"/>
      <c r="J637" s="383"/>
      <c r="K637" s="383"/>
    </row>
    <row r="638" spans="1:11">
      <c r="A638" s="383"/>
      <c r="B638" s="383"/>
      <c r="C638" s="383"/>
      <c r="D638" s="383"/>
      <c r="E638" s="383"/>
      <c r="F638" s="383"/>
      <c r="G638" s="383"/>
      <c r="H638" s="383"/>
      <c r="I638" s="383"/>
      <c r="J638" s="383"/>
      <c r="K638" s="383"/>
    </row>
    <row r="639" spans="1:11">
      <c r="A639" s="383"/>
      <c r="B639" s="383"/>
      <c r="C639" s="383"/>
      <c r="D639" s="383"/>
      <c r="E639" s="383"/>
      <c r="F639" s="383"/>
      <c r="G639" s="383"/>
      <c r="H639" s="383"/>
      <c r="I639" s="383"/>
      <c r="J639" s="383"/>
      <c r="K639" s="383"/>
    </row>
    <row r="640" spans="1:11">
      <c r="A640" s="383"/>
      <c r="B640" s="383"/>
      <c r="C640" s="383"/>
      <c r="D640" s="383"/>
      <c r="E640" s="383"/>
      <c r="F640" s="383"/>
      <c r="G640" s="383"/>
      <c r="H640" s="383"/>
      <c r="I640" s="383"/>
      <c r="J640" s="383"/>
      <c r="K640" s="383"/>
    </row>
    <row r="641" spans="1:11">
      <c r="A641" s="383"/>
      <c r="B641" s="383"/>
      <c r="C641" s="383"/>
      <c r="D641" s="383"/>
      <c r="E641" s="383"/>
      <c r="F641" s="383"/>
      <c r="G641" s="383"/>
      <c r="H641" s="383"/>
      <c r="I641" s="383"/>
      <c r="J641" s="383"/>
      <c r="K641" s="383"/>
    </row>
    <row r="642" spans="1:11">
      <c r="A642" s="383"/>
      <c r="B642" s="383"/>
      <c r="C642" s="383"/>
      <c r="D642" s="383"/>
      <c r="E642" s="383"/>
      <c r="F642" s="383"/>
      <c r="G642" s="383"/>
      <c r="H642" s="383"/>
      <c r="I642" s="383"/>
      <c r="J642" s="383"/>
      <c r="K642" s="383"/>
    </row>
    <row r="643" spans="1:11">
      <c r="A643" s="383"/>
      <c r="B643" s="383"/>
      <c r="C643" s="383"/>
      <c r="D643" s="383"/>
      <c r="E643" s="383"/>
      <c r="F643" s="383"/>
      <c r="G643" s="383"/>
      <c r="H643" s="383"/>
      <c r="I643" s="383"/>
      <c r="J643" s="383"/>
      <c r="K643" s="383"/>
    </row>
    <row r="644" spans="1:11">
      <c r="A644" s="383"/>
      <c r="B644" s="383"/>
      <c r="C644" s="383"/>
      <c r="D644" s="383"/>
      <c r="E644" s="383"/>
      <c r="F644" s="383"/>
      <c r="G644" s="383"/>
      <c r="H644" s="383"/>
      <c r="I644" s="383"/>
      <c r="J644" s="383"/>
      <c r="K644" s="383"/>
    </row>
    <row r="645" spans="1:11">
      <c r="A645" s="383"/>
      <c r="B645" s="383"/>
      <c r="C645" s="383"/>
      <c r="D645" s="383"/>
      <c r="E645" s="383"/>
      <c r="F645" s="383"/>
      <c r="G645" s="383"/>
      <c r="H645" s="383"/>
      <c r="I645" s="383"/>
      <c r="J645" s="383"/>
      <c r="K645" s="383"/>
    </row>
    <row r="646" spans="1:11">
      <c r="A646" s="383"/>
      <c r="B646" s="383"/>
      <c r="C646" s="383"/>
      <c r="D646" s="383"/>
      <c r="E646" s="383"/>
      <c r="F646" s="383"/>
      <c r="G646" s="383"/>
      <c r="H646" s="383"/>
      <c r="I646" s="383"/>
      <c r="J646" s="383"/>
      <c r="K646" s="383"/>
    </row>
    <row r="647" spans="1:11">
      <c r="A647" s="383"/>
      <c r="B647" s="383"/>
      <c r="C647" s="383"/>
      <c r="D647" s="383"/>
      <c r="E647" s="383"/>
      <c r="F647" s="383"/>
      <c r="G647" s="383"/>
      <c r="H647" s="383"/>
      <c r="I647" s="383"/>
      <c r="J647" s="383"/>
      <c r="K647" s="383"/>
    </row>
    <row r="648" spans="1:11">
      <c r="A648" s="383"/>
      <c r="B648" s="383"/>
      <c r="C648" s="383"/>
      <c r="D648" s="383"/>
      <c r="E648" s="383"/>
      <c r="F648" s="383"/>
      <c r="G648" s="383"/>
      <c r="H648" s="383"/>
      <c r="I648" s="383"/>
      <c r="J648" s="383"/>
      <c r="K648" s="383"/>
    </row>
    <row r="649" spans="1:11">
      <c r="A649" s="383"/>
      <c r="B649" s="383"/>
      <c r="C649" s="383"/>
      <c r="D649" s="383"/>
      <c r="E649" s="383"/>
      <c r="F649" s="383"/>
      <c r="G649" s="383"/>
      <c r="H649" s="383"/>
      <c r="I649" s="383"/>
      <c r="J649" s="383"/>
      <c r="K649" s="383"/>
    </row>
    <row r="650" spans="1:11">
      <c r="A650" s="383"/>
      <c r="B650" s="383"/>
      <c r="C650" s="383"/>
      <c r="D650" s="383"/>
      <c r="E650" s="383"/>
      <c r="F650" s="383"/>
      <c r="G650" s="383"/>
      <c r="H650" s="383"/>
      <c r="I650" s="383"/>
      <c r="J650" s="383"/>
      <c r="K650" s="383"/>
    </row>
    <row r="651" spans="1:11">
      <c r="A651" s="383"/>
      <c r="B651" s="383"/>
      <c r="C651" s="383"/>
      <c r="D651" s="383"/>
      <c r="E651" s="383"/>
      <c r="F651" s="383"/>
      <c r="G651" s="383"/>
      <c r="H651" s="383"/>
      <c r="I651" s="383"/>
      <c r="J651" s="383"/>
      <c r="K651" s="383"/>
    </row>
    <row r="652" spans="1:11">
      <c r="A652" s="383"/>
      <c r="B652" s="383"/>
      <c r="C652" s="383"/>
      <c r="D652" s="383"/>
      <c r="E652" s="383"/>
      <c r="F652" s="383"/>
      <c r="G652" s="383"/>
      <c r="H652" s="383"/>
      <c r="I652" s="383"/>
      <c r="J652" s="383"/>
      <c r="K652" s="383"/>
    </row>
    <row r="653" spans="1:11">
      <c r="A653" s="383"/>
      <c r="B653" s="383"/>
      <c r="C653" s="383"/>
      <c r="D653" s="383"/>
      <c r="E653" s="383"/>
      <c r="F653" s="383"/>
      <c r="G653" s="383"/>
      <c r="H653" s="383"/>
      <c r="I653" s="383"/>
      <c r="J653" s="383"/>
      <c r="K653" s="383"/>
    </row>
    <row r="654" spans="1:11">
      <c r="A654" s="383"/>
      <c r="B654" s="383"/>
      <c r="C654" s="383"/>
      <c r="D654" s="383"/>
      <c r="E654" s="383"/>
      <c r="F654" s="383"/>
      <c r="G654" s="383"/>
      <c r="H654" s="383"/>
      <c r="I654" s="383"/>
      <c r="J654" s="383"/>
      <c r="K654" s="383"/>
    </row>
    <row r="655" spans="1:11">
      <c r="A655" s="383"/>
      <c r="B655" s="383"/>
      <c r="C655" s="383"/>
      <c r="D655" s="383"/>
      <c r="E655" s="383"/>
      <c r="F655" s="383"/>
      <c r="G655" s="383"/>
      <c r="H655" s="383"/>
      <c r="I655" s="383"/>
      <c r="J655" s="383"/>
      <c r="K655" s="383"/>
    </row>
    <row r="656" spans="1:11">
      <c r="A656" s="383"/>
      <c r="B656" s="383"/>
      <c r="C656" s="383"/>
      <c r="D656" s="383"/>
      <c r="E656" s="383"/>
      <c r="F656" s="383"/>
      <c r="G656" s="383"/>
      <c r="H656" s="383"/>
      <c r="I656" s="383"/>
      <c r="J656" s="383"/>
      <c r="K656" s="383"/>
    </row>
    <row r="657" spans="1:11">
      <c r="A657" s="383"/>
      <c r="B657" s="383"/>
      <c r="C657" s="383"/>
      <c r="D657" s="383"/>
      <c r="E657" s="383"/>
      <c r="F657" s="383"/>
      <c r="G657" s="383"/>
      <c r="H657" s="383"/>
      <c r="I657" s="383"/>
      <c r="J657" s="383"/>
      <c r="K657" s="383"/>
    </row>
    <row r="658" spans="1:11">
      <c r="A658" s="383"/>
      <c r="B658" s="383"/>
      <c r="C658" s="383"/>
      <c r="D658" s="383"/>
      <c r="E658" s="383"/>
      <c r="F658" s="383"/>
      <c r="G658" s="383"/>
      <c r="H658" s="383"/>
      <c r="I658" s="383"/>
      <c r="J658" s="383"/>
      <c r="K658" s="383"/>
    </row>
    <row r="659" spans="1:11">
      <c r="A659" s="383"/>
      <c r="B659" s="383"/>
      <c r="C659" s="383"/>
      <c r="D659" s="383"/>
      <c r="E659" s="383"/>
      <c r="F659" s="383"/>
      <c r="G659" s="383"/>
      <c r="H659" s="383"/>
      <c r="I659" s="383"/>
      <c r="J659" s="383"/>
      <c r="K659" s="383"/>
    </row>
    <row r="660" spans="1:11">
      <c r="A660" s="383"/>
      <c r="B660" s="383"/>
      <c r="C660" s="383"/>
      <c r="D660" s="383"/>
      <c r="E660" s="383"/>
      <c r="F660" s="383"/>
      <c r="G660" s="383"/>
      <c r="H660" s="383"/>
      <c r="I660" s="383"/>
      <c r="J660" s="383"/>
      <c r="K660" s="383"/>
    </row>
    <row r="661" spans="1:11">
      <c r="A661" s="383"/>
      <c r="B661" s="383"/>
      <c r="C661" s="383"/>
      <c r="D661" s="383"/>
      <c r="E661" s="383"/>
      <c r="F661" s="383"/>
      <c r="G661" s="383"/>
      <c r="H661" s="383"/>
      <c r="I661" s="383"/>
      <c r="J661" s="383"/>
      <c r="K661" s="383"/>
    </row>
    <row r="662" spans="1:11">
      <c r="A662" s="383"/>
      <c r="B662" s="383"/>
      <c r="C662" s="383"/>
      <c r="D662" s="383"/>
      <c r="E662" s="383"/>
      <c r="F662" s="383"/>
      <c r="G662" s="383"/>
      <c r="H662" s="383"/>
      <c r="I662" s="383"/>
      <c r="J662" s="383"/>
      <c r="K662" s="383"/>
    </row>
    <row r="663" spans="1:11">
      <c r="A663" s="383"/>
      <c r="B663" s="383"/>
      <c r="C663" s="383"/>
      <c r="D663" s="383"/>
      <c r="E663" s="383"/>
      <c r="F663" s="383"/>
      <c r="G663" s="383"/>
      <c r="H663" s="383"/>
      <c r="I663" s="383"/>
      <c r="J663" s="383"/>
      <c r="K663" s="383"/>
    </row>
    <row r="664" spans="1:11">
      <c r="A664" s="383"/>
      <c r="B664" s="383"/>
      <c r="C664" s="383"/>
      <c r="D664" s="383"/>
      <c r="E664" s="383"/>
      <c r="F664" s="383"/>
      <c r="G664" s="383"/>
      <c r="H664" s="383"/>
      <c r="I664" s="383"/>
      <c r="J664" s="383"/>
      <c r="K664" s="383"/>
    </row>
    <row r="665" spans="1:11">
      <c r="A665" s="383"/>
      <c r="B665" s="383"/>
      <c r="C665" s="383"/>
      <c r="D665" s="383"/>
      <c r="E665" s="383"/>
      <c r="F665" s="383"/>
      <c r="G665" s="383"/>
      <c r="H665" s="383"/>
      <c r="I665" s="383"/>
      <c r="J665" s="383"/>
      <c r="K665" s="383"/>
    </row>
    <row r="666" spans="1:11">
      <c r="A666" s="383"/>
      <c r="B666" s="383"/>
      <c r="C666" s="383"/>
      <c r="D666" s="383"/>
      <c r="E666" s="383"/>
      <c r="F666" s="383"/>
      <c r="G666" s="383"/>
      <c r="H666" s="383"/>
      <c r="I666" s="383"/>
      <c r="J666" s="383"/>
      <c r="K666" s="383"/>
    </row>
    <row r="667" spans="1:11">
      <c r="A667" s="383"/>
      <c r="B667" s="383"/>
      <c r="C667" s="383"/>
      <c r="D667" s="383"/>
      <c r="E667" s="383"/>
      <c r="F667" s="383"/>
      <c r="G667" s="383"/>
      <c r="H667" s="383"/>
      <c r="I667" s="383"/>
      <c r="J667" s="383"/>
      <c r="K667" s="383"/>
    </row>
    <row r="668" spans="1:11">
      <c r="A668" s="383"/>
      <c r="B668" s="383"/>
      <c r="C668" s="383"/>
      <c r="D668" s="383"/>
      <c r="E668" s="383"/>
      <c r="F668" s="383"/>
      <c r="G668" s="383"/>
      <c r="H668" s="383"/>
      <c r="I668" s="383"/>
      <c r="J668" s="383"/>
      <c r="K668" s="383"/>
    </row>
    <row r="669" spans="1:11">
      <c r="A669" s="383"/>
      <c r="B669" s="383"/>
      <c r="C669" s="383"/>
      <c r="D669" s="383"/>
      <c r="E669" s="383"/>
      <c r="F669" s="383"/>
      <c r="G669" s="383"/>
      <c r="H669" s="383"/>
      <c r="I669" s="383"/>
      <c r="J669" s="383"/>
      <c r="K669" s="383"/>
    </row>
    <row r="670" spans="1:11">
      <c r="A670" s="383"/>
      <c r="B670" s="383"/>
      <c r="C670" s="383"/>
      <c r="D670" s="383"/>
      <c r="E670" s="383"/>
      <c r="F670" s="383"/>
      <c r="G670" s="383"/>
      <c r="H670" s="383"/>
      <c r="I670" s="383"/>
      <c r="J670" s="383"/>
      <c r="K670" s="383"/>
    </row>
    <row r="671" spans="1:11">
      <c r="A671" s="383"/>
      <c r="B671" s="383"/>
      <c r="C671" s="383"/>
      <c r="D671" s="383"/>
      <c r="E671" s="383"/>
      <c r="F671" s="383"/>
      <c r="G671" s="383"/>
      <c r="H671" s="383"/>
      <c r="I671" s="383"/>
      <c r="J671" s="383"/>
      <c r="K671" s="383"/>
    </row>
    <row r="672" spans="1:11">
      <c r="A672" s="383"/>
      <c r="B672" s="383"/>
      <c r="C672" s="383"/>
      <c r="D672" s="383"/>
      <c r="E672" s="383"/>
      <c r="F672" s="383"/>
      <c r="G672" s="383"/>
      <c r="H672" s="383"/>
      <c r="I672" s="383"/>
      <c r="J672" s="383"/>
      <c r="K672" s="383"/>
    </row>
    <row r="673" spans="1:11">
      <c r="A673" s="383"/>
      <c r="B673" s="383"/>
      <c r="C673" s="383"/>
      <c r="D673" s="383"/>
      <c r="E673" s="383"/>
      <c r="F673" s="383"/>
      <c r="G673" s="383"/>
      <c r="H673" s="383"/>
      <c r="I673" s="383"/>
      <c r="J673" s="383"/>
      <c r="K673" s="383"/>
    </row>
    <row r="674" spans="1:11">
      <c r="A674" s="383"/>
      <c r="B674" s="383"/>
      <c r="C674" s="383"/>
      <c r="D674" s="383"/>
      <c r="E674" s="383"/>
      <c r="F674" s="383"/>
      <c r="G674" s="383"/>
      <c r="H674" s="383"/>
      <c r="I674" s="383"/>
      <c r="J674" s="383"/>
      <c r="K674" s="383"/>
    </row>
    <row r="675" spans="1:11">
      <c r="A675" s="383"/>
      <c r="B675" s="383"/>
      <c r="C675" s="383"/>
      <c r="D675" s="383"/>
      <c r="E675" s="383"/>
      <c r="F675" s="383"/>
      <c r="G675" s="383"/>
      <c r="H675" s="383"/>
      <c r="I675" s="383"/>
      <c r="J675" s="383"/>
      <c r="K675" s="383"/>
    </row>
    <row r="676" spans="1:11">
      <c r="A676" s="383"/>
      <c r="B676" s="383"/>
      <c r="C676" s="383"/>
      <c r="D676" s="383"/>
      <c r="E676" s="383"/>
      <c r="F676" s="383"/>
      <c r="G676" s="383"/>
      <c r="H676" s="383"/>
      <c r="I676" s="383"/>
      <c r="J676" s="383"/>
      <c r="K676" s="383"/>
    </row>
    <row r="677" spans="1:11">
      <c r="A677" s="383"/>
      <c r="B677" s="383"/>
      <c r="C677" s="383"/>
      <c r="D677" s="383"/>
      <c r="E677" s="383"/>
      <c r="F677" s="383"/>
      <c r="G677" s="383"/>
      <c r="H677" s="383"/>
      <c r="I677" s="383"/>
      <c r="J677" s="383"/>
      <c r="K677" s="383"/>
    </row>
    <row r="678" spans="1:11">
      <c r="A678" s="383"/>
      <c r="B678" s="383"/>
      <c r="C678" s="383"/>
      <c r="D678" s="383"/>
      <c r="E678" s="383"/>
      <c r="F678" s="383"/>
      <c r="G678" s="383"/>
      <c r="H678" s="383"/>
      <c r="I678" s="383"/>
      <c r="J678" s="383"/>
      <c r="K678" s="383"/>
    </row>
    <row r="679" spans="1:11">
      <c r="A679" s="383"/>
      <c r="B679" s="383"/>
      <c r="C679" s="383"/>
      <c r="D679" s="383"/>
      <c r="E679" s="383"/>
      <c r="F679" s="383"/>
      <c r="G679" s="383"/>
      <c r="H679" s="383"/>
      <c r="I679" s="383"/>
      <c r="J679" s="383"/>
      <c r="K679" s="383"/>
    </row>
    <row r="680" spans="1:11">
      <c r="A680" s="383"/>
      <c r="B680" s="383"/>
      <c r="C680" s="383"/>
      <c r="D680" s="383"/>
      <c r="E680" s="383"/>
      <c r="F680" s="383"/>
      <c r="G680" s="383"/>
      <c r="H680" s="383"/>
      <c r="I680" s="383"/>
      <c r="J680" s="383"/>
      <c r="K680" s="383"/>
    </row>
    <row r="681" spans="1:11">
      <c r="A681" s="383"/>
      <c r="B681" s="383"/>
      <c r="C681" s="383"/>
      <c r="D681" s="383"/>
      <c r="E681" s="383"/>
      <c r="F681" s="383"/>
      <c r="G681" s="383"/>
      <c r="H681" s="383"/>
      <c r="I681" s="383"/>
      <c r="J681" s="383"/>
      <c r="K681" s="383"/>
    </row>
    <row r="682" spans="1:11">
      <c r="A682" s="383"/>
      <c r="B682" s="383"/>
      <c r="C682" s="383"/>
      <c r="D682" s="383"/>
      <c r="E682" s="383"/>
      <c r="F682" s="383"/>
      <c r="G682" s="383"/>
      <c r="H682" s="383"/>
      <c r="I682" s="383"/>
      <c r="J682" s="383"/>
      <c r="K682" s="383"/>
    </row>
    <row r="683" spans="1:11">
      <c r="A683" s="383"/>
      <c r="B683" s="383"/>
      <c r="C683" s="383"/>
      <c r="D683" s="383"/>
      <c r="E683" s="383"/>
      <c r="F683" s="383"/>
      <c r="G683" s="383"/>
      <c r="H683" s="383"/>
      <c r="I683" s="383"/>
      <c r="J683" s="383"/>
      <c r="K683" s="383"/>
    </row>
    <row r="684" spans="1:11">
      <c r="A684" s="383"/>
      <c r="B684" s="383"/>
      <c r="C684" s="383"/>
      <c r="D684" s="383"/>
      <c r="E684" s="383"/>
      <c r="F684" s="383"/>
      <c r="G684" s="383"/>
      <c r="H684" s="383"/>
      <c r="I684" s="383"/>
      <c r="J684" s="383"/>
      <c r="K684" s="383"/>
    </row>
    <row r="685" spans="1:11">
      <c r="A685" s="383"/>
      <c r="B685" s="383"/>
      <c r="C685" s="383"/>
      <c r="D685" s="383"/>
      <c r="E685" s="383"/>
      <c r="F685" s="383"/>
      <c r="G685" s="383"/>
      <c r="H685" s="383"/>
      <c r="I685" s="383"/>
      <c r="J685" s="383"/>
      <c r="K685" s="383"/>
    </row>
    <row r="686" spans="1:11">
      <c r="A686" s="383"/>
      <c r="B686" s="383"/>
      <c r="C686" s="383"/>
      <c r="D686" s="383"/>
      <c r="E686" s="383"/>
      <c r="F686" s="383"/>
      <c r="G686" s="383"/>
      <c r="H686" s="383"/>
      <c r="I686" s="383"/>
      <c r="J686" s="383"/>
      <c r="K686" s="383"/>
    </row>
    <row r="687" spans="1:11">
      <c r="A687" s="383"/>
      <c r="B687" s="383"/>
      <c r="C687" s="383"/>
      <c r="D687" s="383"/>
      <c r="E687" s="383"/>
      <c r="F687" s="383"/>
      <c r="G687" s="383"/>
      <c r="H687" s="383"/>
      <c r="I687" s="383"/>
      <c r="J687" s="383"/>
      <c r="K687" s="383"/>
    </row>
    <row r="688" spans="1:11">
      <c r="A688" s="383"/>
      <c r="B688" s="383"/>
      <c r="C688" s="383"/>
      <c r="D688" s="383"/>
      <c r="E688" s="383"/>
      <c r="F688" s="383"/>
      <c r="G688" s="383"/>
      <c r="H688" s="383"/>
      <c r="I688" s="383"/>
      <c r="J688" s="383"/>
      <c r="K688" s="383"/>
    </row>
    <row r="689" spans="1:11">
      <c r="A689" s="383"/>
      <c r="B689" s="383"/>
      <c r="C689" s="383"/>
      <c r="D689" s="383"/>
      <c r="E689" s="383"/>
      <c r="F689" s="383"/>
      <c r="G689" s="383"/>
      <c r="H689" s="383"/>
      <c r="I689" s="383"/>
      <c r="J689" s="383"/>
      <c r="K689" s="383"/>
    </row>
    <row r="690" spans="1:11">
      <c r="A690" s="383"/>
      <c r="B690" s="383"/>
      <c r="C690" s="383"/>
      <c r="D690" s="383"/>
      <c r="E690" s="383"/>
      <c r="F690" s="383"/>
      <c r="G690" s="383"/>
      <c r="H690" s="383"/>
      <c r="I690" s="383"/>
      <c r="J690" s="383"/>
      <c r="K690" s="383"/>
    </row>
    <row r="691" spans="1:11">
      <c r="A691" s="383"/>
      <c r="B691" s="383"/>
      <c r="C691" s="383"/>
      <c r="D691" s="383"/>
      <c r="E691" s="383"/>
      <c r="F691" s="383"/>
      <c r="G691" s="383"/>
      <c r="H691" s="383"/>
      <c r="I691" s="383"/>
      <c r="J691" s="383"/>
      <c r="K691" s="383"/>
    </row>
    <row r="692" spans="1:11">
      <c r="A692" s="383"/>
      <c r="B692" s="383"/>
      <c r="C692" s="383"/>
      <c r="D692" s="383"/>
      <c r="E692" s="383"/>
      <c r="F692" s="383"/>
      <c r="G692" s="383"/>
      <c r="H692" s="383"/>
      <c r="I692" s="383"/>
      <c r="J692" s="383"/>
      <c r="K692" s="383"/>
    </row>
    <row r="693" spans="1:11">
      <c r="A693" s="383"/>
      <c r="B693" s="383"/>
      <c r="C693" s="383"/>
      <c r="D693" s="383"/>
      <c r="E693" s="383"/>
      <c r="F693" s="383"/>
      <c r="G693" s="383"/>
      <c r="H693" s="383"/>
      <c r="I693" s="383"/>
      <c r="J693" s="383"/>
      <c r="K693" s="383"/>
    </row>
    <row r="694" spans="1:11">
      <c r="A694" s="383"/>
      <c r="B694" s="383"/>
      <c r="C694" s="383"/>
      <c r="D694" s="383"/>
      <c r="E694" s="383"/>
      <c r="F694" s="383"/>
      <c r="G694" s="383"/>
      <c r="H694" s="383"/>
      <c r="I694" s="383"/>
      <c r="J694" s="383"/>
      <c r="K694" s="383"/>
    </row>
    <row r="695" spans="1:11">
      <c r="A695" s="383"/>
      <c r="B695" s="383"/>
      <c r="C695" s="383"/>
      <c r="D695" s="383"/>
      <c r="E695" s="383"/>
      <c r="F695" s="383"/>
      <c r="G695" s="383"/>
      <c r="H695" s="383"/>
      <c r="I695" s="383"/>
      <c r="J695" s="383"/>
      <c r="K695" s="383"/>
    </row>
    <row r="696" spans="1:11">
      <c r="A696" s="383"/>
      <c r="B696" s="383"/>
      <c r="C696" s="383"/>
      <c r="D696" s="383"/>
      <c r="E696" s="383"/>
      <c r="F696" s="383"/>
      <c r="G696" s="383"/>
      <c r="H696" s="383"/>
      <c r="I696" s="383"/>
      <c r="J696" s="383"/>
      <c r="K696" s="383"/>
    </row>
    <row r="697" spans="1:11">
      <c r="A697" s="383"/>
      <c r="B697" s="383"/>
      <c r="C697" s="383"/>
      <c r="D697" s="383"/>
      <c r="E697" s="383"/>
      <c r="F697" s="383"/>
      <c r="G697" s="383"/>
      <c r="H697" s="383"/>
      <c r="I697" s="383"/>
      <c r="J697" s="383"/>
      <c r="K697" s="383"/>
    </row>
    <row r="698" spans="1:11">
      <c r="A698" s="383"/>
      <c r="B698" s="383"/>
      <c r="C698" s="383"/>
      <c r="D698" s="383"/>
      <c r="E698" s="383"/>
      <c r="F698" s="383"/>
      <c r="G698" s="383"/>
      <c r="H698" s="383"/>
      <c r="I698" s="383"/>
      <c r="J698" s="383"/>
      <c r="K698" s="383"/>
    </row>
    <row r="699" spans="1:11">
      <c r="A699" s="383"/>
      <c r="B699" s="383"/>
      <c r="C699" s="383"/>
      <c r="D699" s="383"/>
      <c r="E699" s="383"/>
      <c r="F699" s="383"/>
      <c r="G699" s="383"/>
      <c r="H699" s="383"/>
      <c r="I699" s="383"/>
      <c r="J699" s="383"/>
      <c r="K699" s="383"/>
    </row>
    <row r="700" spans="1:11">
      <c r="A700" s="383"/>
      <c r="B700" s="383"/>
      <c r="C700" s="383"/>
      <c r="D700" s="383"/>
      <c r="E700" s="383"/>
      <c r="F700" s="383"/>
      <c r="G700" s="383"/>
      <c r="H700" s="383"/>
      <c r="I700" s="383"/>
      <c r="J700" s="383"/>
      <c r="K700" s="383"/>
    </row>
    <row r="701" spans="1:11">
      <c r="A701" s="383"/>
      <c r="B701" s="383"/>
      <c r="C701" s="383"/>
      <c r="D701" s="383"/>
      <c r="E701" s="383"/>
      <c r="F701" s="383"/>
      <c r="G701" s="383"/>
      <c r="H701" s="383"/>
      <c r="I701" s="383"/>
      <c r="J701" s="383"/>
      <c r="K701" s="383"/>
    </row>
    <row r="702" spans="1:11">
      <c r="A702" s="383"/>
      <c r="B702" s="383"/>
      <c r="C702" s="383"/>
      <c r="D702" s="383"/>
      <c r="E702" s="383"/>
      <c r="F702" s="383"/>
      <c r="G702" s="383"/>
      <c r="H702" s="383"/>
      <c r="I702" s="383"/>
      <c r="J702" s="383"/>
      <c r="K702" s="383"/>
    </row>
    <row r="703" spans="1:11">
      <c r="A703" s="383"/>
      <c r="B703" s="383"/>
      <c r="C703" s="383"/>
      <c r="D703" s="383"/>
      <c r="E703" s="383"/>
      <c r="F703" s="383"/>
      <c r="G703" s="383"/>
      <c r="H703" s="383"/>
      <c r="I703" s="383"/>
      <c r="J703" s="383"/>
      <c r="K703" s="383"/>
    </row>
    <row r="704" spans="1:11">
      <c r="A704" s="383"/>
      <c r="B704" s="383"/>
      <c r="C704" s="383"/>
      <c r="D704" s="383"/>
      <c r="E704" s="383"/>
      <c r="F704" s="383"/>
      <c r="G704" s="383"/>
      <c r="H704" s="383"/>
      <c r="I704" s="383"/>
      <c r="J704" s="383"/>
      <c r="K704" s="383"/>
    </row>
    <row r="705" spans="1:11">
      <c r="A705" s="383"/>
      <c r="B705" s="383"/>
      <c r="C705" s="383"/>
      <c r="D705" s="383"/>
      <c r="E705" s="383"/>
      <c r="F705" s="383"/>
      <c r="G705" s="383"/>
      <c r="H705" s="383"/>
      <c r="I705" s="383"/>
      <c r="J705" s="383"/>
      <c r="K705" s="383"/>
    </row>
    <row r="706" spans="1:11">
      <c r="A706" s="383"/>
      <c r="B706" s="383"/>
      <c r="C706" s="383"/>
      <c r="D706" s="383"/>
      <c r="E706" s="383"/>
      <c r="F706" s="383"/>
      <c r="G706" s="383"/>
      <c r="H706" s="383"/>
      <c r="I706" s="383"/>
      <c r="J706" s="383"/>
      <c r="K706" s="383"/>
    </row>
    <row r="707" spans="1:11">
      <c r="A707" s="383"/>
      <c r="B707" s="383"/>
      <c r="C707" s="383"/>
      <c r="D707" s="383"/>
      <c r="E707" s="383"/>
      <c r="F707" s="383"/>
      <c r="G707" s="383"/>
      <c r="H707" s="383"/>
      <c r="I707" s="383"/>
      <c r="J707" s="383"/>
      <c r="K707" s="383"/>
    </row>
    <row r="708" spans="1:11">
      <c r="A708" s="383"/>
      <c r="B708" s="383"/>
      <c r="C708" s="383"/>
      <c r="D708" s="383"/>
      <c r="E708" s="383"/>
      <c r="F708" s="383"/>
      <c r="G708" s="383"/>
      <c r="H708" s="383"/>
      <c r="I708" s="383"/>
      <c r="J708" s="383"/>
      <c r="K708" s="383"/>
    </row>
    <row r="709" spans="1:11">
      <c r="A709" s="383"/>
      <c r="B709" s="383"/>
      <c r="C709" s="383"/>
      <c r="D709" s="383"/>
      <c r="E709" s="383"/>
      <c r="F709" s="383"/>
      <c r="G709" s="383"/>
      <c r="H709" s="383"/>
      <c r="I709" s="383"/>
      <c r="J709" s="383"/>
      <c r="K709" s="383"/>
    </row>
    <row r="710" spans="1:11">
      <c r="A710" s="383"/>
      <c r="B710" s="383"/>
      <c r="C710" s="383"/>
      <c r="D710" s="383"/>
      <c r="E710" s="383"/>
      <c r="F710" s="383"/>
      <c r="G710" s="383"/>
      <c r="H710" s="383"/>
      <c r="I710" s="383"/>
      <c r="J710" s="383"/>
      <c r="K710" s="383"/>
    </row>
    <row r="711" spans="1:11">
      <c r="A711" s="383"/>
      <c r="B711" s="383"/>
      <c r="C711" s="383"/>
      <c r="D711" s="383"/>
      <c r="E711" s="383"/>
      <c r="F711" s="383"/>
      <c r="G711" s="383"/>
      <c r="H711" s="383"/>
      <c r="I711" s="383"/>
      <c r="J711" s="383"/>
      <c r="K711" s="383"/>
    </row>
    <row r="712" spans="1:11">
      <c r="A712" s="383"/>
      <c r="B712" s="383"/>
      <c r="C712" s="383"/>
      <c r="D712" s="383"/>
      <c r="E712" s="383"/>
      <c r="F712" s="383"/>
      <c r="G712" s="383"/>
      <c r="H712" s="383"/>
      <c r="I712" s="383"/>
      <c r="J712" s="383"/>
      <c r="K712" s="383"/>
    </row>
    <row r="713" spans="1:11">
      <c r="A713" s="383"/>
      <c r="B713" s="383"/>
      <c r="C713" s="383"/>
      <c r="D713" s="383"/>
      <c r="E713" s="383"/>
      <c r="F713" s="383"/>
      <c r="G713" s="383"/>
      <c r="H713" s="383"/>
      <c r="I713" s="383"/>
      <c r="J713" s="383"/>
      <c r="K713" s="383"/>
    </row>
    <row r="714" spans="1:11">
      <c r="A714" s="383"/>
      <c r="B714" s="383"/>
      <c r="C714" s="383"/>
      <c r="D714" s="383"/>
      <c r="E714" s="383"/>
      <c r="F714" s="383"/>
      <c r="G714" s="383"/>
      <c r="H714" s="383"/>
      <c r="I714" s="383"/>
      <c r="J714" s="383"/>
      <c r="K714" s="383"/>
    </row>
    <row r="715" spans="1:11">
      <c r="A715" s="383"/>
      <c r="B715" s="383"/>
      <c r="C715" s="383"/>
      <c r="D715" s="383"/>
      <c r="E715" s="383"/>
      <c r="F715" s="383"/>
      <c r="G715" s="383"/>
      <c r="H715" s="383"/>
      <c r="I715" s="383"/>
      <c r="J715" s="383"/>
      <c r="K715" s="383"/>
    </row>
    <row r="716" spans="1:11">
      <c r="A716" s="383"/>
      <c r="B716" s="383"/>
      <c r="C716" s="383"/>
      <c r="D716" s="383"/>
      <c r="E716" s="383"/>
      <c r="F716" s="383"/>
      <c r="G716" s="383"/>
      <c r="H716" s="383"/>
      <c r="I716" s="383"/>
      <c r="J716" s="383"/>
      <c r="K716" s="383"/>
    </row>
    <row r="717" spans="1:11">
      <c r="A717" s="383"/>
      <c r="B717" s="383"/>
      <c r="C717" s="383"/>
      <c r="D717" s="383"/>
      <c r="E717" s="383"/>
      <c r="F717" s="383"/>
      <c r="G717" s="383"/>
      <c r="H717" s="383"/>
      <c r="I717" s="383"/>
      <c r="J717" s="383"/>
      <c r="K717" s="383"/>
    </row>
    <row r="718" spans="1:11">
      <c r="A718" s="383"/>
      <c r="B718" s="383"/>
      <c r="C718" s="383"/>
      <c r="D718" s="383"/>
      <c r="E718" s="383"/>
      <c r="F718" s="383"/>
      <c r="G718" s="383"/>
      <c r="H718" s="383"/>
      <c r="I718" s="383"/>
      <c r="J718" s="383"/>
      <c r="K718" s="383"/>
    </row>
    <row r="719" spans="1:11">
      <c r="A719" s="383"/>
      <c r="B719" s="383"/>
      <c r="C719" s="383"/>
      <c r="D719" s="383"/>
      <c r="E719" s="383"/>
      <c r="F719" s="383"/>
      <c r="G719" s="383"/>
      <c r="H719" s="383"/>
      <c r="I719" s="383"/>
      <c r="J719" s="383"/>
      <c r="K719" s="383"/>
    </row>
    <row r="720" spans="1:11">
      <c r="A720" s="383"/>
      <c r="B720" s="383"/>
      <c r="C720" s="383"/>
      <c r="D720" s="383"/>
      <c r="E720" s="383"/>
      <c r="F720" s="383"/>
      <c r="G720" s="383"/>
      <c r="H720" s="383"/>
      <c r="I720" s="383"/>
      <c r="J720" s="383"/>
      <c r="K720" s="383"/>
    </row>
    <row r="721" spans="1:11">
      <c r="A721" s="383"/>
      <c r="B721" s="383"/>
      <c r="C721" s="383"/>
      <c r="D721" s="383"/>
      <c r="E721" s="383"/>
      <c r="F721" s="383"/>
      <c r="G721" s="383"/>
      <c r="H721" s="383"/>
      <c r="I721" s="383"/>
      <c r="J721" s="383"/>
      <c r="K721" s="383"/>
    </row>
    <row r="722" spans="1:11">
      <c r="A722" s="383"/>
      <c r="B722" s="383"/>
      <c r="C722" s="383"/>
      <c r="D722" s="383"/>
      <c r="E722" s="383"/>
      <c r="F722" s="383"/>
      <c r="G722" s="383"/>
      <c r="H722" s="383"/>
      <c r="I722" s="383"/>
      <c r="J722" s="383"/>
      <c r="K722" s="383"/>
    </row>
    <row r="723" spans="1:11">
      <c r="A723" s="383"/>
      <c r="B723" s="383"/>
      <c r="C723" s="383"/>
      <c r="D723" s="383"/>
      <c r="E723" s="383"/>
      <c r="F723" s="383"/>
      <c r="G723" s="383"/>
      <c r="H723" s="383"/>
      <c r="I723" s="383"/>
      <c r="J723" s="383"/>
      <c r="K723" s="383"/>
    </row>
    <row r="724" spans="1:11">
      <c r="A724" s="383"/>
      <c r="B724" s="383"/>
      <c r="C724" s="383"/>
      <c r="D724" s="383"/>
      <c r="E724" s="383"/>
      <c r="F724" s="383"/>
      <c r="G724" s="383"/>
      <c r="H724" s="383"/>
      <c r="I724" s="383"/>
      <c r="J724" s="383"/>
      <c r="K724" s="383"/>
    </row>
    <row r="725" spans="1:11">
      <c r="A725" s="383"/>
      <c r="B725" s="383"/>
      <c r="C725" s="383"/>
      <c r="D725" s="383"/>
      <c r="E725" s="383"/>
      <c r="F725" s="383"/>
      <c r="G725" s="383"/>
      <c r="H725" s="383"/>
      <c r="I725" s="383"/>
      <c r="J725" s="383"/>
      <c r="K725" s="383"/>
    </row>
    <row r="726" spans="1:11">
      <c r="A726" s="383"/>
      <c r="B726" s="383"/>
      <c r="C726" s="383"/>
      <c r="D726" s="383"/>
      <c r="E726" s="383"/>
      <c r="F726" s="383"/>
      <c r="G726" s="383"/>
      <c r="H726" s="383"/>
      <c r="I726" s="383"/>
      <c r="J726" s="383"/>
      <c r="K726" s="383"/>
    </row>
    <row r="727" spans="1:11">
      <c r="A727" s="383"/>
      <c r="B727" s="383"/>
      <c r="C727" s="383"/>
      <c r="D727" s="383"/>
      <c r="E727" s="383"/>
      <c r="F727" s="383"/>
      <c r="G727" s="383"/>
      <c r="H727" s="383"/>
      <c r="I727" s="383"/>
      <c r="J727" s="383"/>
      <c r="K727" s="383"/>
    </row>
    <row r="728" spans="1:11">
      <c r="A728" s="383"/>
      <c r="B728" s="383"/>
      <c r="C728" s="383"/>
      <c r="D728" s="383"/>
      <c r="E728" s="383"/>
      <c r="F728" s="383"/>
      <c r="G728" s="383"/>
      <c r="H728" s="383"/>
      <c r="I728" s="383"/>
      <c r="J728" s="383"/>
      <c r="K728" s="383"/>
    </row>
    <row r="729" spans="1:11">
      <c r="A729" s="383"/>
      <c r="B729" s="383"/>
      <c r="C729" s="383"/>
      <c r="D729" s="383"/>
      <c r="E729" s="383"/>
      <c r="F729" s="383"/>
      <c r="G729" s="383"/>
      <c r="H729" s="383"/>
      <c r="I729" s="383"/>
      <c r="J729" s="383"/>
      <c r="K729" s="383"/>
    </row>
    <row r="730" spans="1:11">
      <c r="A730" s="383"/>
      <c r="B730" s="383"/>
      <c r="C730" s="383"/>
      <c r="D730" s="383"/>
      <c r="E730" s="383"/>
      <c r="F730" s="383"/>
      <c r="G730" s="383"/>
      <c r="H730" s="383"/>
      <c r="I730" s="383"/>
      <c r="J730" s="383"/>
      <c r="K730" s="383"/>
    </row>
    <row r="731" spans="1:11">
      <c r="A731" s="383"/>
      <c r="B731" s="383"/>
      <c r="C731" s="383"/>
      <c r="D731" s="383"/>
      <c r="E731" s="383"/>
      <c r="F731" s="383"/>
      <c r="G731" s="383"/>
      <c r="H731" s="383"/>
      <c r="I731" s="383"/>
      <c r="J731" s="383"/>
      <c r="K731" s="383"/>
    </row>
    <row r="732" spans="1:11">
      <c r="A732" s="383"/>
      <c r="B732" s="383"/>
      <c r="C732" s="383"/>
      <c r="D732" s="383"/>
      <c r="E732" s="383"/>
      <c r="F732" s="383"/>
      <c r="G732" s="383"/>
      <c r="H732" s="383"/>
      <c r="I732" s="383"/>
      <c r="J732" s="383"/>
      <c r="K732" s="383"/>
    </row>
    <row r="733" spans="1:11">
      <c r="A733" s="383"/>
      <c r="B733" s="383"/>
      <c r="C733" s="383"/>
      <c r="D733" s="383"/>
      <c r="E733" s="383"/>
      <c r="F733" s="383"/>
      <c r="G733" s="383"/>
      <c r="H733" s="383"/>
      <c r="I733" s="383"/>
      <c r="J733" s="383"/>
      <c r="K733" s="383"/>
    </row>
    <row r="734" spans="1:11">
      <c r="A734" s="383"/>
      <c r="B734" s="383"/>
      <c r="C734" s="383"/>
      <c r="D734" s="383"/>
      <c r="E734" s="383"/>
      <c r="F734" s="383"/>
      <c r="G734" s="383"/>
      <c r="H734" s="383"/>
      <c r="I734" s="383"/>
      <c r="J734" s="383"/>
      <c r="K734" s="383"/>
    </row>
    <row r="735" spans="1:11">
      <c r="A735" s="383"/>
      <c r="B735" s="383"/>
      <c r="C735" s="383"/>
      <c r="D735" s="383"/>
      <c r="E735" s="383"/>
      <c r="F735" s="383"/>
      <c r="G735" s="383"/>
      <c r="H735" s="383"/>
      <c r="I735" s="383"/>
      <c r="J735" s="383"/>
      <c r="K735" s="383"/>
    </row>
    <row r="736" spans="1:11">
      <c r="A736" s="383"/>
      <c r="B736" s="383"/>
      <c r="C736" s="383"/>
      <c r="D736" s="383"/>
      <c r="E736" s="383"/>
      <c r="F736" s="383"/>
      <c r="G736" s="383"/>
      <c r="H736" s="383"/>
      <c r="I736" s="383"/>
      <c r="J736" s="383"/>
      <c r="K736" s="383"/>
    </row>
    <row r="737" spans="1:11">
      <c r="A737" s="383"/>
      <c r="B737" s="383"/>
      <c r="C737" s="383"/>
      <c r="D737" s="383"/>
      <c r="E737" s="383"/>
      <c r="F737" s="383"/>
      <c r="G737" s="383"/>
      <c r="H737" s="383"/>
      <c r="I737" s="383"/>
      <c r="J737" s="383"/>
      <c r="K737" s="383"/>
    </row>
    <row r="738" spans="1:11">
      <c r="A738" s="383"/>
      <c r="B738" s="383"/>
      <c r="C738" s="383"/>
      <c r="D738" s="383"/>
      <c r="E738" s="383"/>
      <c r="F738" s="383"/>
      <c r="G738" s="383"/>
      <c r="H738" s="383"/>
      <c r="I738" s="383"/>
      <c r="J738" s="383"/>
      <c r="K738" s="383"/>
    </row>
    <row r="739" spans="1:11">
      <c r="A739" s="383"/>
      <c r="B739" s="383"/>
      <c r="C739" s="383"/>
      <c r="D739" s="383"/>
      <c r="E739" s="383"/>
      <c r="F739" s="383"/>
      <c r="G739" s="383"/>
      <c r="H739" s="383"/>
      <c r="I739" s="383"/>
      <c r="J739" s="383"/>
      <c r="K739" s="383"/>
    </row>
    <row r="740" spans="1:11">
      <c r="A740" s="383"/>
      <c r="B740" s="383"/>
      <c r="C740" s="383"/>
      <c r="D740" s="383"/>
      <c r="E740" s="383"/>
      <c r="F740" s="383"/>
      <c r="G740" s="383"/>
      <c r="H740" s="383"/>
      <c r="I740" s="383"/>
      <c r="J740" s="383"/>
      <c r="K740" s="383"/>
    </row>
    <row r="741" spans="1:11">
      <c r="A741" s="383"/>
      <c r="B741" s="383"/>
      <c r="C741" s="383"/>
      <c r="D741" s="383"/>
      <c r="E741" s="383"/>
      <c r="F741" s="383"/>
      <c r="G741" s="383"/>
      <c r="H741" s="383"/>
      <c r="I741" s="383"/>
      <c r="J741" s="383"/>
      <c r="K741" s="383"/>
    </row>
    <row r="742" spans="1:11">
      <c r="A742" s="383"/>
      <c r="B742" s="383"/>
      <c r="C742" s="383"/>
      <c r="D742" s="383"/>
      <c r="E742" s="383"/>
      <c r="F742" s="383"/>
      <c r="G742" s="383"/>
      <c r="H742" s="383"/>
      <c r="I742" s="383"/>
      <c r="J742" s="383"/>
      <c r="K742" s="383"/>
    </row>
    <row r="743" spans="1:11">
      <c r="A743" s="383"/>
      <c r="B743" s="383"/>
      <c r="C743" s="383"/>
      <c r="D743" s="383"/>
      <c r="E743" s="383"/>
      <c r="F743" s="383"/>
      <c r="G743" s="383"/>
      <c r="H743" s="383"/>
      <c r="I743" s="383"/>
      <c r="J743" s="383"/>
      <c r="K743" s="383"/>
    </row>
    <row r="744" spans="1:11">
      <c r="A744" s="383"/>
      <c r="B744" s="383"/>
      <c r="C744" s="383"/>
      <c r="D744" s="383"/>
      <c r="E744" s="383"/>
      <c r="F744" s="383"/>
      <c r="G744" s="383"/>
      <c r="H744" s="383"/>
      <c r="I744" s="383"/>
      <c r="J744" s="383"/>
      <c r="K744" s="383"/>
    </row>
    <row r="745" spans="1:11">
      <c r="A745" s="383"/>
      <c r="B745" s="383"/>
      <c r="C745" s="383"/>
      <c r="D745" s="383"/>
      <c r="E745" s="383"/>
      <c r="F745" s="383"/>
      <c r="G745" s="383"/>
      <c r="H745" s="383"/>
      <c r="I745" s="383"/>
      <c r="J745" s="383"/>
      <c r="K745" s="383"/>
    </row>
    <row r="746" spans="1:11">
      <c r="A746" s="383"/>
      <c r="B746" s="383"/>
      <c r="C746" s="383"/>
      <c r="D746" s="383"/>
      <c r="E746" s="383"/>
      <c r="F746" s="383"/>
      <c r="G746" s="383"/>
      <c r="H746" s="383"/>
      <c r="I746" s="383"/>
      <c r="J746" s="383"/>
      <c r="K746" s="383"/>
    </row>
    <row r="747" spans="1:11">
      <c r="A747" s="383"/>
      <c r="B747" s="383"/>
      <c r="C747" s="383"/>
      <c r="D747" s="383"/>
      <c r="E747" s="383"/>
      <c r="F747" s="383"/>
      <c r="G747" s="383"/>
      <c r="H747" s="383"/>
      <c r="I747" s="383"/>
      <c r="J747" s="383"/>
      <c r="K747" s="383"/>
    </row>
    <row r="748" spans="1:11">
      <c r="A748" s="383"/>
      <c r="B748" s="383"/>
      <c r="C748" s="383"/>
      <c r="D748" s="383"/>
      <c r="E748" s="383"/>
      <c r="F748" s="383"/>
      <c r="G748" s="383"/>
      <c r="H748" s="383"/>
      <c r="I748" s="383"/>
      <c r="J748" s="383"/>
      <c r="K748" s="383"/>
    </row>
    <row r="749" spans="1:11">
      <c r="A749" s="383"/>
      <c r="B749" s="383"/>
      <c r="C749" s="383"/>
      <c r="D749" s="383"/>
      <c r="E749" s="383"/>
      <c r="F749" s="383"/>
      <c r="G749" s="383"/>
      <c r="H749" s="383"/>
      <c r="I749" s="383"/>
      <c r="J749" s="383"/>
      <c r="K749" s="383"/>
    </row>
    <row r="750" spans="1:11">
      <c r="A750" s="383"/>
      <c r="B750" s="383"/>
      <c r="C750" s="383"/>
      <c r="D750" s="383"/>
      <c r="E750" s="383"/>
      <c r="F750" s="383"/>
      <c r="G750" s="383"/>
      <c r="H750" s="383"/>
      <c r="I750" s="383"/>
      <c r="J750" s="383"/>
      <c r="K750" s="383"/>
    </row>
    <row r="751" spans="1:11">
      <c r="A751" s="383"/>
      <c r="B751" s="383"/>
      <c r="C751" s="383"/>
      <c r="D751" s="383"/>
      <c r="E751" s="383"/>
      <c r="F751" s="383"/>
      <c r="G751" s="383"/>
      <c r="H751" s="383"/>
      <c r="I751" s="383"/>
      <c r="J751" s="383"/>
      <c r="K751" s="383"/>
    </row>
    <row r="752" spans="1:11">
      <c r="A752" s="383"/>
      <c r="B752" s="383"/>
      <c r="C752" s="383"/>
      <c r="D752" s="383"/>
      <c r="E752" s="383"/>
      <c r="F752" s="383"/>
      <c r="G752" s="383"/>
      <c r="H752" s="383"/>
      <c r="I752" s="383"/>
      <c r="J752" s="383"/>
      <c r="K752" s="383"/>
    </row>
    <row r="753" spans="1:11">
      <c r="A753" s="383"/>
      <c r="B753" s="383"/>
      <c r="C753" s="383"/>
      <c r="D753" s="383"/>
      <c r="E753" s="383"/>
      <c r="F753" s="383"/>
      <c r="G753" s="383"/>
      <c r="H753" s="383"/>
      <c r="I753" s="383"/>
      <c r="J753" s="383"/>
      <c r="K753" s="383"/>
    </row>
    <row r="754" spans="1:11">
      <c r="A754" s="383"/>
      <c r="B754" s="383"/>
      <c r="C754" s="383"/>
      <c r="D754" s="383"/>
      <c r="E754" s="383"/>
      <c r="F754" s="383"/>
      <c r="G754" s="383"/>
      <c r="H754" s="383"/>
      <c r="I754" s="383"/>
      <c r="J754" s="383"/>
      <c r="K754" s="383"/>
    </row>
    <row r="755" spans="1:11">
      <c r="A755" s="383"/>
      <c r="B755" s="383"/>
      <c r="C755" s="383"/>
      <c r="D755" s="383"/>
      <c r="E755" s="383"/>
      <c r="F755" s="383"/>
      <c r="G755" s="383"/>
      <c r="H755" s="383"/>
      <c r="I755" s="383"/>
      <c r="J755" s="383"/>
      <c r="K755" s="383"/>
    </row>
    <row r="756" spans="1:11">
      <c r="A756" s="383"/>
      <c r="B756" s="383"/>
      <c r="C756" s="383"/>
      <c r="D756" s="383"/>
      <c r="E756" s="383"/>
      <c r="F756" s="383"/>
      <c r="G756" s="383"/>
      <c r="H756" s="383"/>
      <c r="I756" s="383"/>
      <c r="J756" s="383"/>
      <c r="K756" s="383"/>
    </row>
    <row r="757" spans="1:11">
      <c r="A757" s="383"/>
      <c r="B757" s="383"/>
      <c r="C757" s="383"/>
      <c r="D757" s="383"/>
      <c r="E757" s="383"/>
      <c r="F757" s="383"/>
      <c r="G757" s="383"/>
      <c r="H757" s="383"/>
      <c r="I757" s="383"/>
      <c r="J757" s="383"/>
      <c r="K757" s="383"/>
    </row>
    <row r="758" spans="1:11">
      <c r="A758" s="383"/>
      <c r="B758" s="383"/>
      <c r="C758" s="383"/>
      <c r="D758" s="383"/>
      <c r="E758" s="383"/>
      <c r="F758" s="383"/>
      <c r="G758" s="383"/>
      <c r="H758" s="383"/>
      <c r="I758" s="383"/>
      <c r="J758" s="383"/>
      <c r="K758" s="383"/>
    </row>
    <row r="759" spans="1:11">
      <c r="A759" s="383"/>
      <c r="B759" s="383"/>
      <c r="C759" s="383"/>
      <c r="D759" s="383"/>
      <c r="E759" s="383"/>
      <c r="F759" s="383"/>
      <c r="G759" s="383"/>
      <c r="H759" s="383"/>
      <c r="I759" s="383"/>
      <c r="J759" s="383"/>
      <c r="K759" s="383"/>
    </row>
    <row r="760" spans="1:11">
      <c r="A760" s="383"/>
      <c r="B760" s="383"/>
      <c r="C760" s="383"/>
      <c r="D760" s="383"/>
      <c r="E760" s="383"/>
      <c r="F760" s="383"/>
      <c r="G760" s="383"/>
      <c r="H760" s="383"/>
      <c r="I760" s="383"/>
      <c r="J760" s="383"/>
      <c r="K760" s="383"/>
    </row>
    <row r="761" spans="1:11">
      <c r="A761" s="383"/>
      <c r="B761" s="383"/>
      <c r="C761" s="383"/>
      <c r="D761" s="383"/>
      <c r="E761" s="383"/>
      <c r="F761" s="383"/>
      <c r="G761" s="383"/>
      <c r="H761" s="383"/>
      <c r="I761" s="383"/>
      <c r="J761" s="383"/>
      <c r="K761" s="383"/>
    </row>
    <row r="762" spans="1:11">
      <c r="A762" s="383"/>
      <c r="B762" s="383"/>
      <c r="C762" s="383"/>
      <c r="D762" s="383"/>
      <c r="E762" s="383"/>
      <c r="F762" s="383"/>
      <c r="G762" s="383"/>
      <c r="H762" s="383"/>
      <c r="I762" s="383"/>
      <c r="J762" s="383"/>
      <c r="K762" s="383"/>
    </row>
    <row r="763" spans="1:11">
      <c r="A763" s="383"/>
      <c r="B763" s="383"/>
      <c r="C763" s="383"/>
      <c r="D763" s="383"/>
      <c r="E763" s="383"/>
      <c r="F763" s="383"/>
      <c r="G763" s="383"/>
      <c r="H763" s="383"/>
      <c r="I763" s="383"/>
      <c r="J763" s="383"/>
      <c r="K763" s="383"/>
    </row>
    <row r="764" spans="1:11">
      <c r="A764" s="383"/>
      <c r="B764" s="383"/>
      <c r="C764" s="383"/>
      <c r="D764" s="383"/>
      <c r="E764" s="383"/>
      <c r="F764" s="383"/>
      <c r="G764" s="383"/>
      <c r="H764" s="383"/>
      <c r="I764" s="383"/>
      <c r="J764" s="383"/>
      <c r="K764" s="383"/>
    </row>
    <row r="765" spans="1:11">
      <c r="A765" s="383"/>
      <c r="B765" s="383"/>
      <c r="C765" s="383"/>
      <c r="D765" s="383"/>
      <c r="E765" s="383"/>
      <c r="F765" s="383"/>
      <c r="G765" s="383"/>
      <c r="H765" s="383"/>
      <c r="I765" s="383"/>
      <c r="J765" s="383"/>
      <c r="K765" s="383"/>
    </row>
    <row r="766" spans="1:11">
      <c r="A766" s="383"/>
      <c r="B766" s="383"/>
      <c r="C766" s="383"/>
      <c r="D766" s="383"/>
      <c r="E766" s="383"/>
      <c r="F766" s="383"/>
      <c r="G766" s="383"/>
      <c r="H766" s="383"/>
      <c r="I766" s="383"/>
      <c r="J766" s="383"/>
      <c r="K766" s="383"/>
    </row>
    <row r="767" spans="1:11">
      <c r="A767" s="383"/>
      <c r="B767" s="383"/>
      <c r="C767" s="383"/>
      <c r="D767" s="383"/>
      <c r="E767" s="383"/>
      <c r="F767" s="383"/>
      <c r="G767" s="383"/>
      <c r="H767" s="383"/>
      <c r="I767" s="383"/>
      <c r="J767" s="383"/>
      <c r="K767" s="383"/>
    </row>
    <row r="768" spans="1:11">
      <c r="A768" s="383"/>
      <c r="B768" s="383"/>
      <c r="C768" s="383"/>
      <c r="D768" s="383"/>
      <c r="E768" s="383"/>
      <c r="F768" s="383"/>
      <c r="G768" s="383"/>
      <c r="H768" s="383"/>
      <c r="I768" s="383"/>
      <c r="J768" s="383"/>
      <c r="K768" s="383"/>
    </row>
    <row r="769" spans="1:11">
      <c r="A769" s="383"/>
      <c r="B769" s="383"/>
      <c r="C769" s="383"/>
      <c r="D769" s="383"/>
      <c r="E769" s="383"/>
      <c r="F769" s="383"/>
      <c r="G769" s="383"/>
      <c r="H769" s="383"/>
      <c r="I769" s="383"/>
      <c r="J769" s="383"/>
      <c r="K769" s="383"/>
    </row>
    <row r="770" spans="1:11">
      <c r="A770" s="383"/>
      <c r="B770" s="383"/>
      <c r="C770" s="383"/>
      <c r="D770" s="383"/>
      <c r="E770" s="383"/>
      <c r="F770" s="383"/>
      <c r="G770" s="383"/>
      <c r="H770" s="383"/>
      <c r="I770" s="383"/>
      <c r="J770" s="383"/>
      <c r="K770" s="383"/>
    </row>
    <row r="771" spans="1:11">
      <c r="A771" s="383"/>
      <c r="B771" s="383"/>
      <c r="C771" s="383"/>
      <c r="D771" s="383"/>
      <c r="E771" s="383"/>
      <c r="F771" s="383"/>
      <c r="G771" s="383"/>
      <c r="H771" s="383"/>
      <c r="I771" s="383"/>
      <c r="J771" s="383"/>
      <c r="K771" s="383"/>
    </row>
    <row r="772" spans="1:11">
      <c r="A772" s="383"/>
      <c r="B772" s="383"/>
      <c r="C772" s="383"/>
      <c r="D772" s="383"/>
      <c r="E772" s="383"/>
      <c r="F772" s="383"/>
      <c r="G772" s="383"/>
      <c r="H772" s="383"/>
      <c r="I772" s="383"/>
      <c r="J772" s="383"/>
      <c r="K772" s="383"/>
    </row>
    <row r="773" spans="1:11">
      <c r="A773" s="383"/>
      <c r="B773" s="383"/>
      <c r="C773" s="383"/>
      <c r="D773" s="383"/>
      <c r="E773" s="383"/>
      <c r="F773" s="383"/>
      <c r="G773" s="383"/>
      <c r="H773" s="383"/>
      <c r="I773" s="383"/>
      <c r="J773" s="383"/>
      <c r="K773" s="383"/>
    </row>
    <row r="774" spans="1:11">
      <c r="A774" s="383"/>
      <c r="B774" s="383"/>
      <c r="C774" s="383"/>
      <c r="D774" s="383"/>
      <c r="E774" s="383"/>
      <c r="F774" s="383"/>
      <c r="G774" s="383"/>
      <c r="H774" s="383"/>
      <c r="I774" s="383"/>
      <c r="J774" s="383"/>
      <c r="K774" s="383"/>
    </row>
    <row r="775" spans="1:11">
      <c r="A775" s="383"/>
      <c r="B775" s="383"/>
      <c r="C775" s="383"/>
      <c r="D775" s="383"/>
      <c r="E775" s="383"/>
      <c r="F775" s="383"/>
      <c r="G775" s="383"/>
      <c r="H775" s="383"/>
      <c r="I775" s="383"/>
      <c r="J775" s="383"/>
      <c r="K775" s="383"/>
    </row>
    <row r="776" spans="1:11">
      <c r="A776" s="383"/>
      <c r="B776" s="383"/>
      <c r="C776" s="383"/>
      <c r="D776" s="383"/>
      <c r="E776" s="383"/>
      <c r="F776" s="383"/>
      <c r="G776" s="383"/>
      <c r="H776" s="383"/>
      <c r="I776" s="383"/>
      <c r="J776" s="383"/>
      <c r="K776" s="383"/>
    </row>
    <row r="777" spans="1:11">
      <c r="A777" s="383"/>
      <c r="B777" s="383"/>
      <c r="C777" s="383"/>
      <c r="D777" s="383"/>
      <c r="E777" s="383"/>
      <c r="F777" s="383"/>
      <c r="G777" s="383"/>
      <c r="H777" s="383"/>
      <c r="I777" s="383"/>
      <c r="J777" s="383"/>
      <c r="K777" s="383"/>
    </row>
    <row r="778" spans="1:11">
      <c r="A778" s="383"/>
      <c r="B778" s="383"/>
      <c r="C778" s="383"/>
      <c r="D778" s="383"/>
      <c r="E778" s="383"/>
      <c r="F778" s="383"/>
      <c r="G778" s="383"/>
      <c r="H778" s="383"/>
      <c r="I778" s="383"/>
      <c r="J778" s="383"/>
      <c r="K778" s="383"/>
    </row>
    <row r="779" spans="1:11">
      <c r="A779" s="383"/>
      <c r="B779" s="383"/>
      <c r="C779" s="383"/>
      <c r="D779" s="383"/>
      <c r="E779" s="383"/>
      <c r="F779" s="383"/>
      <c r="G779" s="383"/>
      <c r="H779" s="383"/>
      <c r="I779" s="383"/>
      <c r="J779" s="383"/>
      <c r="K779" s="383"/>
    </row>
    <row r="780" spans="1:11">
      <c r="A780" s="383"/>
      <c r="B780" s="383"/>
      <c r="C780" s="383"/>
      <c r="D780" s="383"/>
      <c r="E780" s="383"/>
      <c r="F780" s="383"/>
      <c r="G780" s="383"/>
      <c r="H780" s="383"/>
      <c r="I780" s="383"/>
      <c r="J780" s="383"/>
      <c r="K780" s="383"/>
    </row>
    <row r="781" spans="1:11">
      <c r="A781" s="383"/>
      <c r="B781" s="383"/>
      <c r="C781" s="383"/>
      <c r="D781" s="383"/>
      <c r="E781" s="383"/>
      <c r="F781" s="383"/>
      <c r="G781" s="383"/>
      <c r="H781" s="383"/>
      <c r="I781" s="383"/>
      <c r="J781" s="383"/>
      <c r="K781" s="383"/>
    </row>
    <row r="782" spans="1:11">
      <c r="A782" s="383"/>
      <c r="B782" s="383"/>
      <c r="C782" s="383"/>
      <c r="D782" s="383"/>
      <c r="E782" s="383"/>
      <c r="F782" s="383"/>
      <c r="G782" s="383"/>
      <c r="H782" s="383"/>
      <c r="I782" s="383"/>
      <c r="J782" s="383"/>
      <c r="K782" s="383"/>
    </row>
    <row r="783" spans="1:11">
      <c r="A783" s="383"/>
      <c r="B783" s="383"/>
      <c r="C783" s="383"/>
      <c r="D783" s="383"/>
      <c r="E783" s="383"/>
      <c r="F783" s="383"/>
      <c r="G783" s="383"/>
      <c r="H783" s="383"/>
      <c r="I783" s="383"/>
      <c r="J783" s="383"/>
      <c r="K783" s="383"/>
    </row>
    <row r="784" spans="1:11">
      <c r="A784" s="383"/>
      <c r="B784" s="383"/>
      <c r="C784" s="383"/>
      <c r="D784" s="383"/>
      <c r="E784" s="383"/>
      <c r="F784" s="383"/>
      <c r="G784" s="383"/>
      <c r="H784" s="383"/>
      <c r="I784" s="383"/>
      <c r="J784" s="383"/>
      <c r="K784" s="383"/>
    </row>
    <row r="785" spans="1:11">
      <c r="A785" s="383"/>
      <c r="B785" s="383"/>
      <c r="C785" s="383"/>
      <c r="D785" s="383"/>
      <c r="E785" s="383"/>
      <c r="F785" s="383"/>
      <c r="G785" s="383"/>
      <c r="H785" s="383"/>
      <c r="I785" s="383"/>
      <c r="J785" s="383"/>
      <c r="K785" s="383"/>
    </row>
    <row r="786" spans="1:11">
      <c r="A786" s="383"/>
      <c r="B786" s="383"/>
      <c r="C786" s="383"/>
      <c r="D786" s="383"/>
      <c r="E786" s="383"/>
      <c r="F786" s="383"/>
      <c r="G786" s="383"/>
      <c r="H786" s="383"/>
      <c r="I786" s="383"/>
      <c r="J786" s="383"/>
      <c r="K786" s="383"/>
    </row>
    <row r="787" spans="1:11">
      <c r="A787" s="383"/>
      <c r="B787" s="383"/>
      <c r="C787" s="383"/>
      <c r="D787" s="383"/>
      <c r="E787" s="383"/>
      <c r="F787" s="383"/>
      <c r="G787" s="383"/>
      <c r="H787" s="383"/>
      <c r="I787" s="383"/>
      <c r="J787" s="383"/>
      <c r="K787" s="383"/>
    </row>
    <row r="788" spans="1:11">
      <c r="A788" s="383"/>
      <c r="B788" s="383"/>
      <c r="C788" s="383"/>
      <c r="D788" s="383"/>
      <c r="E788" s="383"/>
      <c r="F788" s="383"/>
      <c r="G788" s="383"/>
      <c r="H788" s="383"/>
      <c r="I788" s="383"/>
      <c r="J788" s="383"/>
      <c r="K788" s="383"/>
    </row>
    <row r="789" spans="1:11">
      <c r="A789" s="383"/>
      <c r="B789" s="383"/>
      <c r="C789" s="383"/>
      <c r="D789" s="383"/>
      <c r="E789" s="383"/>
      <c r="F789" s="383"/>
      <c r="G789" s="383"/>
      <c r="H789" s="383"/>
      <c r="I789" s="383"/>
      <c r="J789" s="383"/>
      <c r="K789" s="383"/>
    </row>
    <row r="790" spans="1:11">
      <c r="A790" s="383"/>
      <c r="B790" s="383"/>
      <c r="C790" s="383"/>
      <c r="D790" s="383"/>
      <c r="E790" s="383"/>
      <c r="F790" s="383"/>
      <c r="G790" s="383"/>
      <c r="H790" s="383"/>
      <c r="I790" s="383"/>
      <c r="J790" s="383"/>
      <c r="K790" s="383"/>
    </row>
    <row r="791" spans="1:11">
      <c r="A791" s="383"/>
      <c r="B791" s="383"/>
      <c r="C791" s="383"/>
      <c r="D791" s="383"/>
      <c r="E791" s="383"/>
      <c r="F791" s="383"/>
      <c r="G791" s="383"/>
      <c r="H791" s="383"/>
      <c r="I791" s="383"/>
      <c r="J791" s="383"/>
      <c r="K791" s="383"/>
    </row>
    <row r="792" spans="1:11">
      <c r="A792" s="383"/>
      <c r="B792" s="383"/>
      <c r="C792" s="383"/>
      <c r="D792" s="383"/>
      <c r="E792" s="383"/>
      <c r="F792" s="383"/>
      <c r="G792" s="383"/>
      <c r="H792" s="383"/>
      <c r="I792" s="383"/>
      <c r="J792" s="383"/>
      <c r="K792" s="383"/>
    </row>
    <row r="793" spans="1:11">
      <c r="A793" s="383"/>
      <c r="B793" s="383"/>
      <c r="C793" s="383"/>
      <c r="D793" s="383"/>
      <c r="E793" s="383"/>
      <c r="F793" s="383"/>
      <c r="G793" s="383"/>
      <c r="H793" s="383"/>
      <c r="I793" s="383"/>
      <c r="J793" s="383"/>
      <c r="K793" s="383"/>
    </row>
    <row r="794" spans="1:11">
      <c r="A794" s="383"/>
      <c r="B794" s="383"/>
      <c r="C794" s="383"/>
      <c r="D794" s="383"/>
      <c r="E794" s="383"/>
      <c r="F794" s="383"/>
      <c r="G794" s="383"/>
      <c r="H794" s="383"/>
      <c r="I794" s="383"/>
      <c r="J794" s="383"/>
      <c r="K794" s="383"/>
    </row>
    <row r="795" spans="1:11">
      <c r="A795" s="383"/>
      <c r="B795" s="383"/>
      <c r="C795" s="383"/>
      <c r="D795" s="383"/>
      <c r="E795" s="383"/>
      <c r="F795" s="383"/>
      <c r="G795" s="383"/>
      <c r="H795" s="383"/>
      <c r="I795" s="383"/>
      <c r="J795" s="383"/>
      <c r="K795" s="383"/>
    </row>
    <row r="796" spans="1:11">
      <c r="A796" s="383"/>
      <c r="B796" s="383"/>
      <c r="C796" s="383"/>
      <c r="D796" s="383"/>
      <c r="E796" s="383"/>
      <c r="F796" s="383"/>
      <c r="G796" s="383"/>
      <c r="H796" s="383"/>
      <c r="I796" s="383"/>
      <c r="J796" s="383"/>
      <c r="K796" s="383"/>
    </row>
    <row r="797" spans="1:11">
      <c r="A797" s="383"/>
      <c r="B797" s="383"/>
      <c r="C797" s="383"/>
      <c r="D797" s="383"/>
      <c r="E797" s="383"/>
      <c r="F797" s="383"/>
      <c r="G797" s="383"/>
      <c r="H797" s="383"/>
      <c r="I797" s="383"/>
      <c r="J797" s="383"/>
      <c r="K797" s="383"/>
    </row>
    <row r="798" spans="1:11">
      <c r="A798" s="383"/>
      <c r="B798" s="383"/>
      <c r="C798" s="383"/>
      <c r="D798" s="383"/>
      <c r="E798" s="383"/>
      <c r="F798" s="383"/>
      <c r="G798" s="383"/>
      <c r="H798" s="383"/>
      <c r="I798" s="383"/>
      <c r="J798" s="383"/>
      <c r="K798" s="383"/>
    </row>
    <row r="799" spans="1:11">
      <c r="A799" s="383"/>
      <c r="B799" s="383"/>
      <c r="C799" s="383"/>
      <c r="D799" s="383"/>
      <c r="E799" s="383"/>
      <c r="F799" s="383"/>
      <c r="G799" s="383"/>
      <c r="H799" s="383"/>
      <c r="I799" s="383"/>
      <c r="J799" s="383"/>
      <c r="K799" s="383"/>
    </row>
    <row r="800" spans="1:11">
      <c r="A800" s="383"/>
      <c r="B800" s="383"/>
      <c r="C800" s="383"/>
      <c r="D800" s="383"/>
      <c r="E800" s="383"/>
      <c r="F800" s="383"/>
      <c r="G800" s="383"/>
      <c r="H800" s="383"/>
      <c r="I800" s="383"/>
      <c r="J800" s="383"/>
      <c r="K800" s="383"/>
    </row>
    <row r="801" spans="1:11">
      <c r="A801" s="383"/>
      <c r="B801" s="383"/>
      <c r="C801" s="383"/>
      <c r="D801" s="383"/>
      <c r="E801" s="383"/>
      <c r="F801" s="383"/>
      <c r="G801" s="383"/>
      <c r="H801" s="383"/>
      <c r="I801" s="383"/>
      <c r="J801" s="383"/>
      <c r="K801" s="383"/>
    </row>
    <row r="802" spans="1:11">
      <c r="A802" s="383"/>
      <c r="B802" s="383"/>
      <c r="C802" s="383"/>
      <c r="D802" s="383"/>
      <c r="E802" s="383"/>
      <c r="F802" s="383"/>
      <c r="G802" s="383"/>
      <c r="H802" s="383"/>
      <c r="I802" s="383"/>
      <c r="J802" s="383"/>
      <c r="K802" s="383"/>
    </row>
    <row r="803" spans="1:11">
      <c r="A803" s="383"/>
      <c r="B803" s="383"/>
      <c r="C803" s="383"/>
      <c r="D803" s="383"/>
      <c r="E803" s="383"/>
      <c r="F803" s="383"/>
      <c r="G803" s="383"/>
      <c r="H803" s="383"/>
      <c r="I803" s="383"/>
      <c r="J803" s="383"/>
      <c r="K803" s="383"/>
    </row>
    <row r="804" spans="1:11">
      <c r="A804" s="383"/>
      <c r="B804" s="383"/>
      <c r="C804" s="383"/>
      <c r="D804" s="383"/>
      <c r="E804" s="383"/>
      <c r="F804" s="383"/>
      <c r="G804" s="383"/>
      <c r="H804" s="383"/>
      <c r="I804" s="383"/>
      <c r="J804" s="383"/>
      <c r="K804" s="383"/>
    </row>
    <row r="805" spans="1:11">
      <c r="A805" s="383"/>
      <c r="B805" s="383"/>
      <c r="C805" s="383"/>
      <c r="D805" s="383"/>
      <c r="E805" s="383"/>
      <c r="F805" s="383"/>
      <c r="G805" s="383"/>
      <c r="H805" s="383"/>
      <c r="I805" s="383"/>
      <c r="J805" s="383"/>
      <c r="K805" s="383"/>
    </row>
    <row r="806" spans="1:11">
      <c r="A806" s="383"/>
      <c r="B806" s="383"/>
      <c r="C806" s="383"/>
      <c r="D806" s="383"/>
      <c r="E806" s="383"/>
      <c r="F806" s="383"/>
      <c r="G806" s="383"/>
      <c r="H806" s="383"/>
      <c r="I806" s="383"/>
      <c r="J806" s="383"/>
      <c r="K806" s="383"/>
    </row>
    <row r="807" spans="1:11">
      <c r="A807" s="383"/>
      <c r="B807" s="383"/>
      <c r="C807" s="383"/>
      <c r="D807" s="383"/>
      <c r="E807" s="383"/>
      <c r="F807" s="383"/>
      <c r="G807" s="383"/>
      <c r="H807" s="383"/>
      <c r="I807" s="383"/>
      <c r="J807" s="383"/>
      <c r="K807" s="383"/>
    </row>
    <row r="808" spans="1:11">
      <c r="A808" s="383"/>
      <c r="B808" s="383"/>
      <c r="C808" s="383"/>
      <c r="D808" s="383"/>
      <c r="E808" s="383"/>
      <c r="F808" s="383"/>
      <c r="G808" s="383"/>
      <c r="H808" s="383"/>
      <c r="I808" s="383"/>
      <c r="J808" s="383"/>
      <c r="K808" s="383"/>
    </row>
    <row r="809" spans="1:11">
      <c r="A809" s="383"/>
      <c r="B809" s="383"/>
      <c r="C809" s="383"/>
      <c r="D809" s="383"/>
      <c r="E809" s="383"/>
      <c r="F809" s="383"/>
      <c r="G809" s="383"/>
      <c r="H809" s="383"/>
      <c r="I809" s="383"/>
      <c r="J809" s="383"/>
      <c r="K809" s="383"/>
    </row>
    <row r="810" spans="1:11">
      <c r="A810" s="383"/>
      <c r="B810" s="383"/>
      <c r="C810" s="383"/>
      <c r="D810" s="383"/>
      <c r="E810" s="383"/>
      <c r="F810" s="383"/>
      <c r="G810" s="383"/>
      <c r="H810" s="383"/>
      <c r="I810" s="383"/>
      <c r="J810" s="383"/>
      <c r="K810" s="383"/>
    </row>
    <row r="811" spans="1:11">
      <c r="A811" s="383"/>
      <c r="B811" s="383"/>
      <c r="C811" s="383"/>
      <c r="D811" s="383"/>
      <c r="E811" s="383"/>
      <c r="F811" s="383"/>
      <c r="G811" s="383"/>
      <c r="H811" s="383"/>
      <c r="I811" s="383"/>
      <c r="J811" s="383"/>
      <c r="K811" s="383"/>
    </row>
    <row r="812" spans="1:11">
      <c r="A812" s="383"/>
      <c r="B812" s="383"/>
      <c r="C812" s="383"/>
      <c r="D812" s="383"/>
      <c r="E812" s="383"/>
      <c r="F812" s="383"/>
      <c r="G812" s="383"/>
      <c r="H812" s="383"/>
      <c r="I812" s="383"/>
      <c r="J812" s="383"/>
      <c r="K812" s="383"/>
    </row>
    <row r="813" spans="1:11">
      <c r="A813" s="383"/>
      <c r="B813" s="383"/>
      <c r="C813" s="383"/>
      <c r="D813" s="383"/>
      <c r="E813" s="383"/>
      <c r="F813" s="383"/>
      <c r="G813" s="383"/>
      <c r="H813" s="383"/>
      <c r="I813" s="383"/>
      <c r="J813" s="383"/>
      <c r="K813" s="383"/>
    </row>
    <row r="814" spans="1:11">
      <c r="A814" s="383"/>
      <c r="B814" s="383"/>
      <c r="C814" s="383"/>
      <c r="D814" s="383"/>
      <c r="E814" s="383"/>
      <c r="F814" s="383"/>
      <c r="G814" s="383"/>
      <c r="H814" s="383"/>
      <c r="I814" s="383"/>
      <c r="J814" s="383"/>
      <c r="K814" s="383"/>
    </row>
    <row r="815" spans="1:11">
      <c r="A815" s="383"/>
      <c r="B815" s="383"/>
      <c r="C815" s="383"/>
      <c r="D815" s="383"/>
      <c r="E815" s="383"/>
      <c r="F815" s="383"/>
      <c r="G815" s="383"/>
      <c r="H815" s="383"/>
      <c r="I815" s="383"/>
      <c r="J815" s="383"/>
      <c r="K815" s="383"/>
    </row>
    <row r="816" spans="1:11">
      <c r="A816" s="383"/>
      <c r="B816" s="383"/>
      <c r="C816" s="383"/>
      <c r="D816" s="383"/>
      <c r="E816" s="383"/>
      <c r="F816" s="383"/>
      <c r="G816" s="383"/>
      <c r="H816" s="383"/>
      <c r="I816" s="383"/>
      <c r="J816" s="383"/>
      <c r="K816" s="383"/>
    </row>
    <row r="817" spans="1:11">
      <c r="A817" s="383"/>
      <c r="B817" s="383"/>
      <c r="C817" s="383"/>
      <c r="D817" s="383"/>
      <c r="E817" s="383"/>
      <c r="F817" s="383"/>
      <c r="G817" s="383"/>
      <c r="H817" s="383"/>
      <c r="I817" s="383"/>
      <c r="J817" s="383"/>
      <c r="K817" s="383"/>
    </row>
    <row r="818" spans="1:11">
      <c r="A818" s="383"/>
      <c r="B818" s="383"/>
      <c r="C818" s="383"/>
      <c r="D818" s="383"/>
      <c r="E818" s="383"/>
      <c r="F818" s="383"/>
      <c r="G818" s="383"/>
      <c r="H818" s="383"/>
      <c r="I818" s="383"/>
      <c r="J818" s="383"/>
      <c r="K818" s="383"/>
    </row>
    <row r="819" spans="1:11">
      <c r="A819" s="383"/>
      <c r="B819" s="383"/>
      <c r="C819" s="383"/>
      <c r="D819" s="383"/>
      <c r="E819" s="383"/>
      <c r="F819" s="383"/>
      <c r="G819" s="383"/>
      <c r="H819" s="383"/>
      <c r="I819" s="383"/>
      <c r="J819" s="383"/>
      <c r="K819" s="383"/>
    </row>
    <row r="820" spans="1:11">
      <c r="A820" s="383"/>
      <c r="B820" s="383"/>
      <c r="C820" s="383"/>
      <c r="D820" s="383"/>
      <c r="E820" s="383"/>
      <c r="F820" s="383"/>
      <c r="G820" s="383"/>
      <c r="H820" s="383"/>
      <c r="I820" s="383"/>
      <c r="J820" s="383"/>
      <c r="K820" s="383"/>
    </row>
    <row r="821" spans="1:11">
      <c r="A821" s="383"/>
      <c r="B821" s="383"/>
      <c r="C821" s="383"/>
      <c r="D821" s="383"/>
      <c r="E821" s="383"/>
      <c r="F821" s="383"/>
      <c r="G821" s="383"/>
      <c r="H821" s="383"/>
      <c r="I821" s="383"/>
      <c r="J821" s="383"/>
      <c r="K821" s="383"/>
    </row>
    <row r="822" spans="1:11">
      <c r="A822" s="383"/>
      <c r="B822" s="383"/>
      <c r="C822" s="383"/>
      <c r="D822" s="383"/>
      <c r="E822" s="383"/>
      <c r="F822" s="383"/>
      <c r="G822" s="383"/>
      <c r="H822" s="383"/>
      <c r="I822" s="383"/>
      <c r="J822" s="383"/>
      <c r="K822" s="383"/>
    </row>
    <row r="823" spans="1:11">
      <c r="A823" s="383"/>
      <c r="B823" s="383"/>
      <c r="C823" s="383"/>
      <c r="D823" s="383"/>
      <c r="E823" s="383"/>
      <c r="F823" s="383"/>
      <c r="G823" s="383"/>
      <c r="H823" s="383"/>
      <c r="I823" s="383"/>
      <c r="J823" s="383"/>
      <c r="K823" s="383"/>
    </row>
    <row r="824" spans="1:11">
      <c r="A824" s="383"/>
      <c r="B824" s="383"/>
      <c r="C824" s="383"/>
      <c r="D824" s="383"/>
      <c r="E824" s="383"/>
      <c r="F824" s="383"/>
      <c r="G824" s="383"/>
      <c r="H824" s="383"/>
      <c r="I824" s="383"/>
      <c r="J824" s="383"/>
      <c r="K824" s="383"/>
    </row>
    <row r="825" spans="1:11">
      <c r="A825" s="383"/>
      <c r="B825" s="383"/>
      <c r="C825" s="383"/>
      <c r="D825" s="383"/>
      <c r="E825" s="383"/>
      <c r="F825" s="383"/>
      <c r="G825" s="383"/>
      <c r="H825" s="383"/>
      <c r="I825" s="383"/>
      <c r="J825" s="383"/>
      <c r="K825" s="383"/>
    </row>
    <row r="826" spans="1:11">
      <c r="A826" s="383"/>
      <c r="B826" s="383"/>
      <c r="C826" s="383"/>
      <c r="D826" s="383"/>
      <c r="E826" s="383"/>
      <c r="F826" s="383"/>
      <c r="G826" s="383"/>
      <c r="H826" s="383"/>
      <c r="I826" s="383"/>
      <c r="J826" s="383"/>
      <c r="K826" s="383"/>
    </row>
    <row r="827" spans="1:11">
      <c r="A827" s="383"/>
      <c r="B827" s="383"/>
      <c r="C827" s="383"/>
      <c r="D827" s="383"/>
      <c r="E827" s="383"/>
      <c r="F827" s="383"/>
      <c r="G827" s="383"/>
      <c r="H827" s="383"/>
      <c r="I827" s="383"/>
      <c r="J827" s="383"/>
      <c r="K827" s="383"/>
    </row>
    <row r="828" spans="1:11">
      <c r="A828" s="383"/>
      <c r="B828" s="383"/>
      <c r="C828" s="383"/>
      <c r="D828" s="383"/>
      <c r="E828" s="383"/>
      <c r="F828" s="383"/>
      <c r="G828" s="383"/>
      <c r="H828" s="383"/>
      <c r="I828" s="383"/>
      <c r="J828" s="383"/>
      <c r="K828" s="383"/>
    </row>
    <row r="829" spans="1:11">
      <c r="A829" s="383"/>
      <c r="B829" s="383"/>
      <c r="C829" s="383"/>
      <c r="D829" s="383"/>
      <c r="E829" s="383"/>
      <c r="F829" s="383"/>
      <c r="G829" s="383"/>
      <c r="H829" s="383"/>
      <c r="I829" s="383"/>
      <c r="J829" s="383"/>
      <c r="K829" s="383"/>
    </row>
    <row r="830" spans="1:11">
      <c r="A830" s="383"/>
      <c r="B830" s="383"/>
      <c r="C830" s="383"/>
      <c r="D830" s="383"/>
      <c r="E830" s="383"/>
      <c r="F830" s="383"/>
      <c r="G830" s="383"/>
      <c r="H830" s="383"/>
      <c r="I830" s="383"/>
      <c r="J830" s="383"/>
      <c r="K830" s="383"/>
    </row>
    <row r="831" spans="1:11">
      <c r="A831" s="383"/>
      <c r="B831" s="383"/>
      <c r="C831" s="383"/>
      <c r="D831" s="383"/>
      <c r="E831" s="383"/>
      <c r="F831" s="383"/>
      <c r="G831" s="383"/>
      <c r="H831" s="383"/>
      <c r="I831" s="383"/>
      <c r="J831" s="383"/>
      <c r="K831" s="383"/>
    </row>
    <row r="832" spans="1:11">
      <c r="A832" s="383"/>
      <c r="B832" s="383"/>
      <c r="C832" s="383"/>
      <c r="D832" s="383"/>
      <c r="E832" s="383"/>
      <c r="F832" s="383"/>
      <c r="G832" s="383"/>
      <c r="H832" s="383"/>
      <c r="I832" s="383"/>
      <c r="J832" s="383"/>
      <c r="K832" s="383"/>
    </row>
    <row r="833" spans="1:11">
      <c r="A833" s="383"/>
      <c r="B833" s="383"/>
      <c r="C833" s="383"/>
      <c r="D833" s="383"/>
      <c r="E833" s="383"/>
      <c r="F833" s="383"/>
      <c r="G833" s="383"/>
      <c r="H833" s="383"/>
      <c r="I833" s="383"/>
      <c r="J833" s="383"/>
      <c r="K833" s="383"/>
    </row>
    <row r="834" spans="1:11">
      <c r="A834" s="383"/>
      <c r="B834" s="383"/>
      <c r="C834" s="383"/>
      <c r="D834" s="383"/>
      <c r="E834" s="383"/>
      <c r="F834" s="383"/>
      <c r="G834" s="383"/>
      <c r="H834" s="383"/>
      <c r="I834" s="383"/>
      <c r="J834" s="383"/>
      <c r="K834" s="383"/>
    </row>
    <row r="835" spans="1:11">
      <c r="A835" s="383"/>
      <c r="B835" s="383"/>
      <c r="C835" s="383"/>
      <c r="D835" s="383"/>
      <c r="E835" s="383"/>
      <c r="F835" s="383"/>
      <c r="G835" s="383"/>
      <c r="H835" s="383"/>
      <c r="I835" s="383"/>
      <c r="J835" s="383"/>
      <c r="K835" s="383"/>
    </row>
    <row r="836" spans="1:11">
      <c r="A836" s="383"/>
      <c r="B836" s="383"/>
      <c r="C836" s="383"/>
      <c r="D836" s="383"/>
      <c r="E836" s="383"/>
      <c r="F836" s="383"/>
      <c r="G836" s="383"/>
      <c r="H836" s="383"/>
      <c r="I836" s="383"/>
      <c r="J836" s="383"/>
      <c r="K836" s="383"/>
    </row>
    <row r="837" spans="1:11">
      <c r="A837" s="383"/>
      <c r="B837" s="383"/>
      <c r="C837" s="383"/>
      <c r="D837" s="383"/>
      <c r="E837" s="383"/>
      <c r="F837" s="383"/>
      <c r="G837" s="383"/>
      <c r="H837" s="383"/>
      <c r="I837" s="383"/>
      <c r="J837" s="383"/>
      <c r="K837" s="383"/>
    </row>
    <row r="838" spans="1:11">
      <c r="A838" s="383"/>
      <c r="B838" s="383"/>
      <c r="C838" s="383"/>
      <c r="D838" s="383"/>
      <c r="E838" s="383"/>
      <c r="F838" s="383"/>
      <c r="G838" s="383"/>
      <c r="H838" s="383"/>
      <c r="I838" s="383"/>
      <c r="J838" s="383"/>
      <c r="K838" s="383"/>
    </row>
    <row r="839" spans="1:11">
      <c r="A839" s="383"/>
      <c r="B839" s="383"/>
      <c r="C839" s="383"/>
      <c r="D839" s="383"/>
      <c r="E839" s="383"/>
      <c r="F839" s="383"/>
      <c r="G839" s="383"/>
      <c r="H839" s="383"/>
      <c r="I839" s="383"/>
      <c r="J839" s="383"/>
      <c r="K839" s="383"/>
    </row>
    <row r="840" spans="1:11">
      <c r="A840" s="383"/>
      <c r="B840" s="383"/>
      <c r="C840" s="383"/>
      <c r="D840" s="383"/>
      <c r="E840" s="383"/>
      <c r="F840" s="383"/>
      <c r="G840" s="383"/>
      <c r="H840" s="383"/>
      <c r="I840" s="383"/>
      <c r="J840" s="383"/>
      <c r="K840" s="383"/>
    </row>
    <row r="841" spans="1:11">
      <c r="A841" s="383"/>
      <c r="B841" s="383"/>
      <c r="C841" s="383"/>
      <c r="D841" s="383"/>
      <c r="E841" s="383"/>
      <c r="F841" s="383"/>
      <c r="G841" s="383"/>
      <c r="H841" s="383"/>
      <c r="I841" s="383"/>
      <c r="J841" s="383"/>
      <c r="K841" s="383"/>
    </row>
    <row r="842" spans="1:11">
      <c r="A842" s="383"/>
      <c r="B842" s="383"/>
      <c r="C842" s="383"/>
      <c r="D842" s="383"/>
      <c r="E842" s="383"/>
      <c r="F842" s="383"/>
      <c r="G842" s="383"/>
      <c r="H842" s="383"/>
      <c r="I842" s="383"/>
      <c r="J842" s="383"/>
      <c r="K842" s="383"/>
    </row>
    <row r="843" spans="1:11">
      <c r="A843" s="383"/>
      <c r="B843" s="383"/>
      <c r="C843" s="383"/>
      <c r="D843" s="383"/>
      <c r="E843" s="383"/>
      <c r="F843" s="383"/>
      <c r="G843" s="383"/>
      <c r="H843" s="383"/>
      <c r="I843" s="383"/>
      <c r="J843" s="383"/>
      <c r="K843" s="383"/>
    </row>
    <row r="844" spans="1:11">
      <c r="A844" s="383"/>
      <c r="B844" s="383"/>
      <c r="C844" s="383"/>
      <c r="D844" s="383"/>
      <c r="E844" s="383"/>
      <c r="F844" s="383"/>
      <c r="G844" s="383"/>
      <c r="H844" s="383"/>
      <c r="I844" s="383"/>
      <c r="J844" s="383"/>
      <c r="K844" s="383"/>
    </row>
    <row r="845" spans="1:11">
      <c r="A845" s="383"/>
      <c r="B845" s="383"/>
      <c r="C845" s="383"/>
      <c r="D845" s="383"/>
      <c r="E845" s="383"/>
      <c r="F845" s="383"/>
      <c r="G845" s="383"/>
      <c r="H845" s="383"/>
      <c r="I845" s="383"/>
      <c r="J845" s="383"/>
      <c r="K845" s="383"/>
    </row>
    <row r="846" spans="1:11">
      <c r="A846" s="383"/>
      <c r="B846" s="383"/>
      <c r="C846" s="383"/>
      <c r="D846" s="383"/>
      <c r="E846" s="383"/>
      <c r="F846" s="383"/>
      <c r="G846" s="383"/>
      <c r="H846" s="383"/>
      <c r="I846" s="383"/>
      <c r="J846" s="383"/>
      <c r="K846" s="383"/>
    </row>
    <row r="847" spans="1:11">
      <c r="A847" s="383"/>
      <c r="B847" s="383"/>
      <c r="C847" s="383"/>
      <c r="D847" s="383"/>
      <c r="E847" s="383"/>
      <c r="F847" s="383"/>
      <c r="G847" s="383"/>
      <c r="H847" s="383"/>
      <c r="I847" s="383"/>
      <c r="J847" s="383"/>
      <c r="K847" s="383"/>
    </row>
    <row r="848" spans="1:11">
      <c r="A848" s="383"/>
      <c r="B848" s="383"/>
      <c r="C848" s="383"/>
      <c r="D848" s="383"/>
      <c r="E848" s="383"/>
      <c r="F848" s="383"/>
      <c r="G848" s="383"/>
      <c r="H848" s="383"/>
      <c r="I848" s="383"/>
      <c r="J848" s="383"/>
      <c r="K848" s="383"/>
    </row>
    <row r="849" spans="1:11">
      <c r="A849" s="383"/>
      <c r="B849" s="383"/>
      <c r="C849" s="383"/>
      <c r="D849" s="383"/>
      <c r="E849" s="383"/>
      <c r="F849" s="383"/>
      <c r="G849" s="383"/>
      <c r="H849" s="383"/>
      <c r="I849" s="383"/>
      <c r="J849" s="383"/>
      <c r="K849" s="383"/>
    </row>
    <row r="850" spans="1:11">
      <c r="A850" s="383"/>
      <c r="B850" s="383"/>
      <c r="C850" s="383"/>
      <c r="D850" s="383"/>
      <c r="E850" s="383"/>
      <c r="F850" s="383"/>
      <c r="G850" s="383"/>
      <c r="H850" s="383"/>
      <c r="I850" s="383"/>
      <c r="J850" s="383"/>
      <c r="K850" s="383"/>
    </row>
    <row r="851" spans="1:11">
      <c r="A851" s="383"/>
      <c r="B851" s="383"/>
      <c r="C851" s="383"/>
      <c r="D851" s="383"/>
      <c r="E851" s="383"/>
      <c r="F851" s="383"/>
      <c r="G851" s="383"/>
      <c r="H851" s="383"/>
      <c r="I851" s="383"/>
      <c r="J851" s="383"/>
      <c r="K851" s="383"/>
    </row>
    <row r="852" spans="1:11">
      <c r="A852" s="383"/>
      <c r="B852" s="383"/>
      <c r="C852" s="383"/>
      <c r="D852" s="383"/>
      <c r="E852" s="383"/>
      <c r="F852" s="383"/>
      <c r="G852" s="383"/>
      <c r="H852" s="383"/>
      <c r="I852" s="383"/>
      <c r="J852" s="383"/>
      <c r="K852" s="383"/>
    </row>
    <row r="853" spans="1:11">
      <c r="A853" s="383"/>
      <c r="B853" s="383"/>
      <c r="C853" s="383"/>
      <c r="D853" s="383"/>
      <c r="E853" s="383"/>
      <c r="F853" s="383"/>
      <c r="G853" s="383"/>
      <c r="H853" s="383"/>
      <c r="I853" s="383"/>
      <c r="J853" s="383"/>
      <c r="K853" s="383"/>
    </row>
    <row r="854" spans="1:11">
      <c r="A854" s="383"/>
      <c r="B854" s="383"/>
      <c r="C854" s="383"/>
      <c r="D854" s="383"/>
      <c r="E854" s="383"/>
      <c r="F854" s="383"/>
      <c r="G854" s="383"/>
      <c r="H854" s="383"/>
      <c r="I854" s="383"/>
      <c r="J854" s="383"/>
      <c r="K854" s="383"/>
    </row>
    <row r="855" spans="1:11">
      <c r="A855" s="383"/>
      <c r="B855" s="383"/>
      <c r="C855" s="383"/>
      <c r="D855" s="383"/>
      <c r="E855" s="383"/>
      <c r="F855" s="383"/>
      <c r="G855" s="383"/>
      <c r="H855" s="383"/>
      <c r="I855" s="383"/>
      <c r="J855" s="383"/>
      <c r="K855" s="383"/>
    </row>
    <row r="856" spans="1:11">
      <c r="A856" s="383"/>
      <c r="B856" s="383"/>
      <c r="C856" s="383"/>
      <c r="D856" s="383"/>
      <c r="E856" s="383"/>
      <c r="F856" s="383"/>
      <c r="G856" s="383"/>
      <c r="H856" s="383"/>
      <c r="I856" s="383"/>
      <c r="J856" s="383"/>
      <c r="K856" s="383"/>
    </row>
    <row r="857" spans="1:11">
      <c r="A857" s="383"/>
      <c r="B857" s="383"/>
      <c r="C857" s="383"/>
      <c r="D857" s="383"/>
      <c r="E857" s="383"/>
      <c r="F857" s="383"/>
      <c r="G857" s="383"/>
      <c r="H857" s="383"/>
      <c r="I857" s="383"/>
      <c r="J857" s="383"/>
      <c r="K857" s="383"/>
    </row>
    <row r="858" spans="1:11">
      <c r="A858" s="383"/>
      <c r="B858" s="383"/>
      <c r="C858" s="383"/>
      <c r="D858" s="383"/>
      <c r="E858" s="383"/>
      <c r="F858" s="383"/>
      <c r="G858" s="383"/>
      <c r="H858" s="383"/>
      <c r="I858" s="383"/>
      <c r="J858" s="383"/>
      <c r="K858" s="383"/>
    </row>
    <row r="859" spans="1:11">
      <c r="A859" s="383"/>
      <c r="B859" s="383"/>
      <c r="C859" s="383"/>
      <c r="D859" s="383"/>
      <c r="E859" s="383"/>
      <c r="F859" s="383"/>
      <c r="G859" s="383"/>
      <c r="H859" s="383"/>
      <c r="I859" s="383"/>
      <c r="J859" s="383"/>
      <c r="K859" s="383"/>
    </row>
    <row r="860" spans="1:11">
      <c r="A860" s="383"/>
      <c r="B860" s="383"/>
      <c r="C860" s="383"/>
      <c r="D860" s="383"/>
      <c r="E860" s="383"/>
      <c r="F860" s="383"/>
      <c r="G860" s="383"/>
      <c r="H860" s="383"/>
      <c r="I860" s="383"/>
      <c r="J860" s="383"/>
      <c r="K860" s="383"/>
    </row>
    <row r="861" spans="1:11">
      <c r="A861" s="383"/>
      <c r="B861" s="383"/>
      <c r="C861" s="383"/>
      <c r="D861" s="383"/>
      <c r="E861" s="383"/>
      <c r="F861" s="383"/>
      <c r="G861" s="383"/>
      <c r="H861" s="383"/>
      <c r="I861" s="383"/>
      <c r="J861" s="383"/>
      <c r="K861" s="383"/>
    </row>
    <row r="862" spans="1:11">
      <c r="A862" s="383"/>
      <c r="B862" s="383"/>
      <c r="C862" s="383"/>
      <c r="D862" s="383"/>
      <c r="E862" s="383"/>
      <c r="F862" s="383"/>
      <c r="G862" s="383"/>
      <c r="H862" s="383"/>
      <c r="I862" s="383"/>
      <c r="J862" s="383"/>
      <c r="K862" s="383"/>
    </row>
    <row r="863" spans="1:11">
      <c r="A863" s="383"/>
      <c r="B863" s="383"/>
      <c r="C863" s="383"/>
      <c r="D863" s="383"/>
      <c r="E863" s="383"/>
      <c r="F863" s="383"/>
      <c r="G863" s="383"/>
      <c r="H863" s="383"/>
      <c r="I863" s="383"/>
      <c r="J863" s="383"/>
      <c r="K863" s="383"/>
    </row>
    <row r="864" spans="1:11">
      <c r="A864" s="383"/>
      <c r="B864" s="383"/>
      <c r="C864" s="383"/>
      <c r="D864" s="383"/>
      <c r="E864" s="383"/>
      <c r="F864" s="383"/>
      <c r="G864" s="383"/>
      <c r="H864" s="383"/>
      <c r="I864" s="383"/>
      <c r="J864" s="383"/>
      <c r="K864" s="383"/>
    </row>
    <row r="865" spans="1:11">
      <c r="A865" s="383"/>
      <c r="B865" s="383"/>
      <c r="C865" s="383"/>
      <c r="D865" s="383"/>
      <c r="E865" s="383"/>
      <c r="F865" s="383"/>
      <c r="G865" s="383"/>
      <c r="H865" s="383"/>
      <c r="I865" s="383"/>
      <c r="J865" s="383"/>
      <c r="K865" s="383"/>
    </row>
    <row r="866" spans="1:11">
      <c r="A866" s="383"/>
      <c r="B866" s="383"/>
      <c r="C866" s="383"/>
      <c r="D866" s="383"/>
      <c r="E866" s="383"/>
      <c r="F866" s="383"/>
      <c r="G866" s="383"/>
      <c r="H866" s="383"/>
      <c r="I866" s="383"/>
      <c r="J866" s="383"/>
      <c r="K866" s="383"/>
    </row>
    <row r="867" spans="1:11">
      <c r="A867" s="383"/>
      <c r="B867" s="383"/>
      <c r="C867" s="383"/>
      <c r="D867" s="383"/>
      <c r="E867" s="383"/>
      <c r="F867" s="383"/>
      <c r="G867" s="383"/>
      <c r="H867" s="383"/>
      <c r="I867" s="383"/>
      <c r="J867" s="383"/>
      <c r="K867" s="383"/>
    </row>
    <row r="868" spans="1:11">
      <c r="A868" s="383"/>
      <c r="B868" s="383"/>
      <c r="C868" s="383"/>
      <c r="D868" s="383"/>
      <c r="E868" s="383"/>
      <c r="F868" s="383"/>
      <c r="G868" s="383"/>
      <c r="H868" s="383"/>
      <c r="I868" s="383"/>
      <c r="J868" s="383"/>
      <c r="K868" s="383"/>
    </row>
    <row r="869" spans="1:11">
      <c r="A869" s="383"/>
      <c r="B869" s="383"/>
      <c r="C869" s="383"/>
      <c r="D869" s="383"/>
      <c r="E869" s="383"/>
      <c r="F869" s="383"/>
      <c r="G869" s="383"/>
      <c r="H869" s="383"/>
      <c r="I869" s="383"/>
      <c r="J869" s="383"/>
      <c r="K869" s="383"/>
    </row>
    <row r="870" spans="1:11">
      <c r="A870" s="383"/>
      <c r="B870" s="383"/>
      <c r="C870" s="383"/>
      <c r="D870" s="383"/>
      <c r="E870" s="383"/>
      <c r="F870" s="383"/>
      <c r="G870" s="383"/>
      <c r="H870" s="383"/>
      <c r="I870" s="383"/>
      <c r="J870" s="383"/>
      <c r="K870" s="383"/>
    </row>
    <row r="871" spans="1:11">
      <c r="A871" s="383"/>
      <c r="B871" s="383"/>
      <c r="C871" s="383"/>
      <c r="D871" s="383"/>
      <c r="E871" s="383"/>
      <c r="F871" s="383"/>
      <c r="G871" s="383"/>
      <c r="H871" s="383"/>
      <c r="I871" s="383"/>
      <c r="J871" s="383"/>
      <c r="K871" s="383"/>
    </row>
    <row r="872" spans="1:11">
      <c r="A872" s="383"/>
      <c r="B872" s="383"/>
      <c r="C872" s="383"/>
      <c r="D872" s="383"/>
      <c r="E872" s="383"/>
      <c r="F872" s="383"/>
      <c r="G872" s="383"/>
      <c r="H872" s="383"/>
      <c r="I872" s="383"/>
      <c r="J872" s="383"/>
      <c r="K872" s="383"/>
    </row>
    <row r="873" spans="1:11">
      <c r="A873" s="383"/>
      <c r="B873" s="383"/>
      <c r="C873" s="383"/>
      <c r="D873" s="383"/>
      <c r="E873" s="383"/>
      <c r="F873" s="383"/>
      <c r="G873" s="383"/>
      <c r="H873" s="383"/>
      <c r="I873" s="383"/>
      <c r="J873" s="383"/>
      <c r="K873" s="383"/>
    </row>
    <row r="874" spans="1:11">
      <c r="A874" s="383"/>
      <c r="B874" s="383"/>
      <c r="C874" s="383"/>
      <c r="D874" s="383"/>
      <c r="E874" s="383"/>
      <c r="F874" s="383"/>
      <c r="G874" s="383"/>
      <c r="H874" s="383"/>
      <c r="I874" s="383"/>
      <c r="J874" s="383"/>
      <c r="K874" s="383"/>
    </row>
    <row r="875" spans="1:11">
      <c r="A875" s="383"/>
      <c r="B875" s="383"/>
      <c r="C875" s="383"/>
      <c r="D875" s="383"/>
      <c r="E875" s="383"/>
      <c r="F875" s="383"/>
      <c r="G875" s="383"/>
      <c r="H875" s="383"/>
      <c r="I875" s="383"/>
      <c r="J875" s="383"/>
      <c r="K875" s="383"/>
    </row>
    <row r="876" spans="1:11">
      <c r="A876" s="383"/>
      <c r="B876" s="383"/>
      <c r="C876" s="383"/>
      <c r="D876" s="383"/>
      <c r="E876" s="383"/>
      <c r="F876" s="383"/>
      <c r="G876" s="383"/>
      <c r="H876" s="383"/>
      <c r="I876" s="383"/>
      <c r="J876" s="383"/>
      <c r="K876" s="383"/>
    </row>
    <row r="877" spans="1:11">
      <c r="A877" s="383"/>
      <c r="B877" s="383"/>
      <c r="C877" s="383"/>
      <c r="D877" s="383"/>
      <c r="E877" s="383"/>
      <c r="F877" s="383"/>
      <c r="G877" s="383"/>
      <c r="H877" s="383"/>
      <c r="I877" s="383"/>
      <c r="J877" s="383"/>
      <c r="K877" s="383"/>
    </row>
    <row r="878" spans="1:11">
      <c r="A878" s="383"/>
      <c r="B878" s="383"/>
      <c r="C878" s="383"/>
      <c r="D878" s="383"/>
      <c r="E878" s="383"/>
      <c r="F878" s="383"/>
      <c r="G878" s="383"/>
      <c r="H878" s="383"/>
      <c r="I878" s="383"/>
      <c r="J878" s="383"/>
      <c r="K878" s="383"/>
    </row>
    <row r="879" spans="1:11">
      <c r="A879" s="383"/>
      <c r="B879" s="383"/>
      <c r="C879" s="383"/>
      <c r="D879" s="383"/>
      <c r="E879" s="383"/>
      <c r="F879" s="383"/>
      <c r="G879" s="383"/>
      <c r="H879" s="383"/>
      <c r="I879" s="383"/>
      <c r="J879" s="383"/>
      <c r="K879" s="383"/>
    </row>
    <row r="880" spans="1:11">
      <c r="A880" s="383"/>
      <c r="B880" s="383"/>
      <c r="C880" s="383"/>
      <c r="D880" s="383"/>
      <c r="E880" s="383"/>
      <c r="F880" s="383"/>
      <c r="G880" s="383"/>
      <c r="H880" s="383"/>
      <c r="I880" s="383"/>
      <c r="J880" s="383"/>
      <c r="K880" s="383"/>
    </row>
    <row r="881" spans="1:11">
      <c r="A881" s="383"/>
      <c r="B881" s="383"/>
      <c r="C881" s="383"/>
      <c r="D881" s="383"/>
      <c r="E881" s="383"/>
      <c r="F881" s="383"/>
      <c r="G881" s="383"/>
      <c r="H881" s="383"/>
      <c r="I881" s="383"/>
      <c r="J881" s="383"/>
      <c r="K881" s="383"/>
    </row>
    <row r="882" spans="1:11">
      <c r="A882" s="383"/>
      <c r="B882" s="383"/>
      <c r="C882" s="383"/>
      <c r="D882" s="383"/>
      <c r="E882" s="383"/>
      <c r="F882" s="383"/>
      <c r="G882" s="383"/>
      <c r="H882" s="383"/>
      <c r="I882" s="383"/>
      <c r="J882" s="383"/>
      <c r="K882" s="383"/>
    </row>
    <row r="883" spans="1:11">
      <c r="A883" s="383"/>
      <c r="B883" s="383"/>
      <c r="C883" s="383"/>
      <c r="D883" s="383"/>
      <c r="E883" s="383"/>
      <c r="F883" s="383"/>
      <c r="G883" s="383"/>
      <c r="H883" s="383"/>
      <c r="I883" s="383"/>
      <c r="J883" s="383"/>
      <c r="K883" s="383"/>
    </row>
    <row r="884" spans="1:11">
      <c r="A884" s="383"/>
      <c r="B884" s="383"/>
      <c r="C884" s="383"/>
      <c r="D884" s="383"/>
      <c r="E884" s="383"/>
      <c r="F884" s="383"/>
      <c r="G884" s="383"/>
      <c r="H884" s="383"/>
      <c r="I884" s="383"/>
      <c r="J884" s="383"/>
      <c r="K884" s="383"/>
    </row>
    <row r="885" spans="1:11">
      <c r="A885" s="383"/>
      <c r="B885" s="383"/>
      <c r="C885" s="383"/>
      <c r="D885" s="383"/>
      <c r="E885" s="383"/>
      <c r="F885" s="383"/>
      <c r="G885" s="383"/>
      <c r="H885" s="383"/>
      <c r="I885" s="383"/>
      <c r="J885" s="383"/>
      <c r="K885" s="383"/>
    </row>
    <row r="886" spans="1:11">
      <c r="A886" s="383"/>
      <c r="B886" s="383"/>
      <c r="C886" s="383"/>
      <c r="D886" s="383"/>
      <c r="E886" s="383"/>
      <c r="F886" s="383"/>
      <c r="G886" s="383"/>
      <c r="H886" s="383"/>
      <c r="I886" s="383"/>
      <c r="J886" s="383"/>
      <c r="K886" s="383"/>
    </row>
    <row r="887" spans="1:11">
      <c r="A887" s="383"/>
      <c r="B887" s="383"/>
      <c r="C887" s="383"/>
      <c r="D887" s="383"/>
      <c r="E887" s="383"/>
      <c r="F887" s="383"/>
      <c r="G887" s="383"/>
      <c r="H887" s="383"/>
      <c r="I887" s="383"/>
      <c r="J887" s="383"/>
      <c r="K887" s="383"/>
    </row>
    <row r="888" spans="1:11">
      <c r="A888" s="383"/>
      <c r="B888" s="383"/>
      <c r="C888" s="383"/>
      <c r="D888" s="383"/>
      <c r="E888" s="383"/>
      <c r="F888" s="383"/>
      <c r="G888" s="383"/>
      <c r="H888" s="383"/>
      <c r="I888" s="383"/>
      <c r="J888" s="383"/>
      <c r="K888" s="383"/>
    </row>
    <row r="889" spans="1:11">
      <c r="A889" s="383"/>
      <c r="B889" s="383"/>
      <c r="C889" s="383"/>
      <c r="D889" s="383"/>
      <c r="E889" s="383"/>
      <c r="F889" s="383"/>
      <c r="G889" s="383"/>
      <c r="H889" s="383"/>
      <c r="I889" s="383"/>
      <c r="J889" s="383"/>
      <c r="K889" s="383"/>
    </row>
    <row r="890" spans="1:11">
      <c r="A890" s="383"/>
      <c r="B890" s="383"/>
      <c r="C890" s="383"/>
      <c r="D890" s="383"/>
      <c r="E890" s="383"/>
      <c r="F890" s="383"/>
      <c r="G890" s="383"/>
      <c r="H890" s="383"/>
      <c r="I890" s="383"/>
      <c r="J890" s="383"/>
      <c r="K890" s="383"/>
    </row>
    <row r="891" spans="1:11">
      <c r="A891" s="383"/>
      <c r="B891" s="383"/>
      <c r="C891" s="383"/>
      <c r="D891" s="383"/>
      <c r="E891" s="383"/>
      <c r="F891" s="383"/>
      <c r="G891" s="383"/>
      <c r="H891" s="383"/>
      <c r="I891" s="383"/>
      <c r="J891" s="383"/>
      <c r="K891" s="383"/>
    </row>
    <row r="892" spans="1:11">
      <c r="A892" s="383"/>
      <c r="B892" s="383"/>
      <c r="C892" s="383"/>
      <c r="D892" s="383"/>
      <c r="E892" s="383"/>
      <c r="F892" s="383"/>
      <c r="G892" s="383"/>
      <c r="H892" s="383"/>
      <c r="I892" s="383"/>
      <c r="J892" s="383"/>
      <c r="K892" s="383"/>
    </row>
    <row r="893" spans="1:11">
      <c r="A893" s="383"/>
      <c r="B893" s="383"/>
      <c r="C893" s="383"/>
      <c r="D893" s="383"/>
      <c r="E893" s="383"/>
      <c r="F893" s="383"/>
      <c r="G893" s="383"/>
      <c r="H893" s="383"/>
      <c r="I893" s="383"/>
      <c r="J893" s="383"/>
      <c r="K893" s="383"/>
    </row>
    <row r="894" spans="1:11">
      <c r="A894" s="383"/>
      <c r="B894" s="383"/>
      <c r="C894" s="383"/>
      <c r="D894" s="383"/>
      <c r="E894" s="383"/>
      <c r="F894" s="383"/>
      <c r="G894" s="383"/>
      <c r="H894" s="383"/>
      <c r="I894" s="383"/>
      <c r="J894" s="383"/>
      <c r="K894" s="383"/>
    </row>
    <row r="895" spans="1:11">
      <c r="A895" s="383"/>
      <c r="B895" s="383"/>
      <c r="C895" s="383"/>
      <c r="D895" s="383"/>
      <c r="E895" s="383"/>
      <c r="F895" s="383"/>
      <c r="G895" s="383"/>
      <c r="H895" s="383"/>
      <c r="I895" s="383"/>
      <c r="J895" s="383"/>
      <c r="K895" s="383"/>
    </row>
    <row r="896" spans="1:11">
      <c r="A896" s="383"/>
      <c r="B896" s="383"/>
      <c r="C896" s="383"/>
      <c r="D896" s="383"/>
      <c r="E896" s="383"/>
      <c r="F896" s="383"/>
      <c r="G896" s="383"/>
      <c r="H896" s="383"/>
      <c r="I896" s="383"/>
      <c r="J896" s="383"/>
      <c r="K896" s="383"/>
    </row>
    <row r="897" spans="1:11">
      <c r="A897" s="383"/>
      <c r="B897" s="383"/>
      <c r="C897" s="383"/>
      <c r="D897" s="383"/>
      <c r="E897" s="383"/>
      <c r="F897" s="383"/>
      <c r="G897" s="383"/>
      <c r="H897" s="383"/>
      <c r="I897" s="383"/>
      <c r="J897" s="383"/>
      <c r="K897" s="383"/>
    </row>
    <row r="898" spans="1:11">
      <c r="A898" s="383"/>
      <c r="B898" s="383"/>
      <c r="C898" s="383"/>
      <c r="D898" s="383"/>
      <c r="E898" s="383"/>
      <c r="F898" s="383"/>
      <c r="G898" s="383"/>
      <c r="H898" s="383"/>
      <c r="I898" s="383"/>
      <c r="J898" s="383"/>
      <c r="K898" s="383"/>
    </row>
    <row r="899" spans="1:11">
      <c r="A899" s="383"/>
      <c r="B899" s="383"/>
      <c r="C899" s="383"/>
      <c r="D899" s="383"/>
      <c r="E899" s="383"/>
      <c r="F899" s="383"/>
      <c r="G899" s="383"/>
      <c r="H899" s="383"/>
      <c r="I899" s="383"/>
      <c r="J899" s="383"/>
      <c r="K899" s="383"/>
    </row>
    <row r="900" spans="1:11">
      <c r="A900" s="383"/>
      <c r="B900" s="383"/>
      <c r="C900" s="383"/>
      <c r="D900" s="383"/>
      <c r="E900" s="383"/>
      <c r="F900" s="383"/>
      <c r="G900" s="383"/>
      <c r="H900" s="383"/>
      <c r="I900" s="383"/>
      <c r="J900" s="383"/>
      <c r="K900" s="383"/>
    </row>
    <row r="901" spans="1:11">
      <c r="A901" s="383"/>
      <c r="B901" s="383"/>
      <c r="C901" s="383"/>
      <c r="D901" s="383"/>
      <c r="E901" s="383"/>
      <c r="F901" s="383"/>
      <c r="G901" s="383"/>
      <c r="H901" s="383"/>
      <c r="I901" s="383"/>
      <c r="J901" s="383"/>
      <c r="K901" s="383"/>
    </row>
    <row r="902" spans="1:11">
      <c r="A902" s="383"/>
      <c r="B902" s="383"/>
      <c r="C902" s="383"/>
      <c r="D902" s="383"/>
      <c r="E902" s="383"/>
      <c r="F902" s="383"/>
      <c r="G902" s="383"/>
      <c r="H902" s="383"/>
      <c r="I902" s="383"/>
      <c r="J902" s="383"/>
      <c r="K902" s="383"/>
    </row>
    <row r="903" spans="1:11">
      <c r="A903" s="383"/>
      <c r="B903" s="383"/>
      <c r="C903" s="383"/>
      <c r="D903" s="383"/>
      <c r="E903" s="383"/>
      <c r="F903" s="383"/>
      <c r="G903" s="383"/>
      <c r="H903" s="383"/>
      <c r="I903" s="383"/>
      <c r="J903" s="383"/>
      <c r="K903" s="383"/>
    </row>
    <row r="904" spans="1:11">
      <c r="A904" s="383"/>
      <c r="B904" s="383"/>
      <c r="C904" s="383"/>
      <c r="D904" s="383"/>
      <c r="E904" s="383"/>
      <c r="F904" s="383"/>
      <c r="G904" s="383"/>
      <c r="H904" s="383"/>
      <c r="I904" s="383"/>
      <c r="J904" s="383"/>
      <c r="K904" s="383"/>
    </row>
    <row r="905" spans="1:11">
      <c r="A905" s="383"/>
      <c r="B905" s="383"/>
      <c r="C905" s="383"/>
      <c r="D905" s="383"/>
      <c r="E905" s="383"/>
      <c r="F905" s="383"/>
      <c r="G905" s="383"/>
      <c r="H905" s="383"/>
      <c r="I905" s="383"/>
      <c r="J905" s="383"/>
      <c r="K905" s="383"/>
    </row>
    <row r="906" spans="1:11">
      <c r="A906" s="383"/>
      <c r="B906" s="383"/>
      <c r="C906" s="383"/>
      <c r="D906" s="383"/>
      <c r="E906" s="383"/>
      <c r="F906" s="383"/>
      <c r="G906" s="383"/>
      <c r="H906" s="383"/>
      <c r="I906" s="383"/>
      <c r="J906" s="383"/>
      <c r="K906" s="383"/>
    </row>
    <row r="907" spans="1:11">
      <c r="A907" s="383"/>
      <c r="B907" s="383"/>
      <c r="C907" s="383"/>
      <c r="D907" s="383"/>
      <c r="E907" s="383"/>
      <c r="F907" s="383"/>
      <c r="G907" s="383"/>
      <c r="H907" s="383"/>
      <c r="I907" s="383"/>
      <c r="J907" s="383"/>
      <c r="K907" s="383"/>
    </row>
    <row r="908" spans="1:11">
      <c r="A908" s="383"/>
      <c r="B908" s="383"/>
      <c r="C908" s="383"/>
      <c r="D908" s="383"/>
      <c r="E908" s="383"/>
      <c r="F908" s="383"/>
      <c r="G908" s="383"/>
      <c r="H908" s="383"/>
      <c r="I908" s="383"/>
      <c r="J908" s="383"/>
      <c r="K908" s="383"/>
    </row>
    <row r="909" spans="1:11">
      <c r="A909" s="383"/>
      <c r="B909" s="383"/>
      <c r="C909" s="383"/>
      <c r="D909" s="383"/>
      <c r="E909" s="383"/>
      <c r="F909" s="383"/>
      <c r="G909" s="383"/>
      <c r="H909" s="383"/>
      <c r="I909" s="383"/>
      <c r="J909" s="383"/>
      <c r="K909" s="383"/>
    </row>
    <row r="910" spans="1:11">
      <c r="A910" s="383"/>
      <c r="B910" s="383"/>
      <c r="C910" s="383"/>
      <c r="D910" s="383"/>
      <c r="E910" s="383"/>
      <c r="F910" s="383"/>
      <c r="G910" s="383"/>
      <c r="H910" s="383"/>
      <c r="I910" s="383"/>
      <c r="J910" s="383"/>
      <c r="K910" s="383"/>
    </row>
    <row r="911" spans="1:11">
      <c r="A911" s="383"/>
      <c r="B911" s="383"/>
      <c r="C911" s="383"/>
      <c r="D911" s="383"/>
      <c r="E911" s="383"/>
      <c r="F911" s="383"/>
      <c r="G911" s="383"/>
      <c r="H911" s="383"/>
      <c r="I911" s="383"/>
      <c r="J911" s="383"/>
      <c r="K911" s="383"/>
    </row>
    <row r="912" spans="1:11">
      <c r="A912" s="383"/>
      <c r="B912" s="383"/>
      <c r="C912" s="383"/>
      <c r="D912" s="383"/>
      <c r="E912" s="383"/>
      <c r="F912" s="383"/>
      <c r="G912" s="383"/>
      <c r="H912" s="383"/>
      <c r="I912" s="383"/>
      <c r="J912" s="383"/>
      <c r="K912" s="383"/>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filterMode="1"/>
  <dimension ref="A1:AC133"/>
  <sheetViews>
    <sheetView workbookViewId="0">
      <pane xSplit="2" ySplit="1" topLeftCell="C2" activePane="bottomRight" state="frozen"/>
      <selection pane="topRight" activeCell="C1" sqref="C1"/>
      <selection pane="bottomLeft" activeCell="A2" sqref="A2"/>
      <selection pane="bottomRight" activeCell="C2" sqref="C2"/>
    </sheetView>
  </sheetViews>
  <sheetFormatPr baseColWidth="10" defaultColWidth="14.5" defaultRowHeight="15" customHeight="1" outlineLevelCol="1"/>
  <cols>
    <col min="1" max="1" width="14.1640625" customWidth="1"/>
    <col min="2" max="2" width="27.6640625" customWidth="1"/>
    <col min="3" max="3" width="20.6640625" customWidth="1"/>
    <col min="4" max="4" width="64.1640625" customWidth="1"/>
    <col min="5" max="5" width="16.1640625" customWidth="1"/>
    <col min="6" max="6" width="14.5" customWidth="1"/>
    <col min="7" max="7" width="41.5" customWidth="1" outlineLevel="1"/>
    <col min="8" max="8" width="20.1640625" customWidth="1"/>
    <col min="9" max="9" width="31.1640625" customWidth="1"/>
    <col min="10" max="10" width="37.33203125" customWidth="1" outlineLevel="1"/>
    <col min="11" max="11" width="20.1640625" customWidth="1"/>
    <col min="12" max="12" width="21.6640625" customWidth="1"/>
    <col min="13" max="13" width="22.1640625" customWidth="1"/>
    <col min="14" max="14" width="22.5" customWidth="1"/>
    <col min="15" max="15" width="33.6640625" customWidth="1"/>
    <col min="16" max="16" width="26.83203125" customWidth="1"/>
    <col min="17" max="17" width="15.83203125" customWidth="1"/>
    <col min="18" max="18" width="29.83203125" customWidth="1"/>
    <col min="19" max="20" width="14.6640625" customWidth="1"/>
    <col min="21" max="21" width="22.33203125" customWidth="1"/>
    <col min="22" max="24" width="31.1640625" customWidth="1"/>
    <col min="25" max="29" width="11.5" customWidth="1"/>
  </cols>
  <sheetData>
    <row r="1" spans="1:29">
      <c r="A1" s="208" t="s">
        <v>419</v>
      </c>
      <c r="B1" s="208" t="s">
        <v>420</v>
      </c>
      <c r="C1" s="394" t="s">
        <v>424</v>
      </c>
      <c r="D1" s="208" t="s">
        <v>423</v>
      </c>
      <c r="E1" s="395" t="s">
        <v>39</v>
      </c>
      <c r="F1" s="208" t="s">
        <v>42</v>
      </c>
      <c r="G1" s="208" t="s">
        <v>426</v>
      </c>
      <c r="H1" s="208" t="s">
        <v>427</v>
      </c>
      <c r="I1" s="208" t="s">
        <v>43</v>
      </c>
      <c r="J1" s="208" t="s">
        <v>428</v>
      </c>
      <c r="K1" s="208" t="s">
        <v>429</v>
      </c>
      <c r="L1" s="208" t="s">
        <v>430</v>
      </c>
      <c r="M1" s="208" t="s">
        <v>431</v>
      </c>
      <c r="N1" s="208" t="s">
        <v>432</v>
      </c>
      <c r="O1" s="208" t="s">
        <v>433</v>
      </c>
      <c r="P1" s="209" t="s">
        <v>434</v>
      </c>
      <c r="Q1" s="395" t="s">
        <v>425</v>
      </c>
      <c r="R1" s="395" t="s">
        <v>435</v>
      </c>
      <c r="S1" s="395" t="s">
        <v>11871</v>
      </c>
      <c r="T1" s="395" t="s">
        <v>11872</v>
      </c>
      <c r="U1" s="395" t="s">
        <v>11873</v>
      </c>
      <c r="V1" s="396" t="s">
        <v>10170</v>
      </c>
      <c r="W1" s="396" t="s">
        <v>10171</v>
      </c>
      <c r="X1" s="396" t="s">
        <v>10172</v>
      </c>
      <c r="Y1" s="339"/>
      <c r="Z1" s="339"/>
      <c r="AA1" s="339"/>
      <c r="AB1" s="339"/>
      <c r="AC1" s="339"/>
    </row>
    <row r="2" spans="1:29">
      <c r="A2" s="257">
        <v>44791</v>
      </c>
      <c r="B2" s="258" t="s">
        <v>145</v>
      </c>
      <c r="C2" s="263">
        <v>4.75</v>
      </c>
      <c r="D2" s="258" t="s">
        <v>988</v>
      </c>
      <c r="E2" s="258" t="s">
        <v>4</v>
      </c>
      <c r="F2" s="258" t="s">
        <v>602</v>
      </c>
      <c r="G2" s="258" t="s">
        <v>989</v>
      </c>
      <c r="H2" s="258">
        <v>4.5</v>
      </c>
      <c r="I2" s="258" t="s">
        <v>990</v>
      </c>
      <c r="J2" s="258" t="s">
        <v>991</v>
      </c>
      <c r="K2" s="258">
        <v>5</v>
      </c>
      <c r="L2" s="258"/>
      <c r="M2" s="309"/>
      <c r="N2" s="258" t="s">
        <v>452</v>
      </c>
      <c r="O2" s="258" t="s">
        <v>452</v>
      </c>
      <c r="P2" s="258"/>
      <c r="Q2" s="258" t="s">
        <v>18</v>
      </c>
      <c r="R2" s="258" t="s">
        <v>992</v>
      </c>
      <c r="S2" s="258" t="str">
        <f>IFERROR(VLOOKUP(B2,'2022-2023 Third Reviews'!$C:$S,9,FALSE),"")</f>
        <v/>
      </c>
      <c r="T2" s="258" t="s">
        <v>13048</v>
      </c>
      <c r="U2" s="258" t="s">
        <v>18</v>
      </c>
      <c r="V2" s="234"/>
      <c r="W2" s="234"/>
      <c r="X2" s="234"/>
      <c r="Y2" s="239"/>
      <c r="Z2" s="239"/>
      <c r="AA2" s="239"/>
      <c r="AB2" s="239"/>
      <c r="AC2" s="239"/>
    </row>
    <row r="3" spans="1:29">
      <c r="A3" s="321">
        <v>44796</v>
      </c>
      <c r="B3" s="322" t="s">
        <v>148</v>
      </c>
      <c r="C3" s="323">
        <v>4.75</v>
      </c>
      <c r="D3" s="322" t="s">
        <v>997</v>
      </c>
      <c r="E3" s="322" t="s">
        <v>4</v>
      </c>
      <c r="F3" s="322" t="s">
        <v>725</v>
      </c>
      <c r="G3" s="322" t="s">
        <v>10764</v>
      </c>
      <c r="H3" s="322">
        <v>4.5</v>
      </c>
      <c r="I3" s="322" t="s">
        <v>990</v>
      </c>
      <c r="J3" s="322" t="s">
        <v>999</v>
      </c>
      <c r="K3" s="322">
        <v>5</v>
      </c>
      <c r="L3" s="322" t="s">
        <v>451</v>
      </c>
      <c r="M3" s="397">
        <v>5000000</v>
      </c>
      <c r="N3" s="322" t="s">
        <v>452</v>
      </c>
      <c r="O3" s="322" t="s">
        <v>1000</v>
      </c>
      <c r="P3" s="322"/>
      <c r="Q3" s="322" t="s">
        <v>18</v>
      </c>
      <c r="R3" s="322" t="s">
        <v>1001</v>
      </c>
      <c r="S3" s="322" t="str">
        <f>IFERROR(VLOOKUP(B3,'2022-2023 Third Reviews'!$C:$S,9,FALSE),"")</f>
        <v/>
      </c>
      <c r="T3" s="322" t="s">
        <v>13049</v>
      </c>
      <c r="U3" s="322" t="s">
        <v>18</v>
      </c>
      <c r="V3" s="224"/>
      <c r="W3" s="224"/>
      <c r="X3" s="224"/>
      <c r="Y3" s="224"/>
      <c r="Z3" s="224"/>
      <c r="AA3" s="224"/>
      <c r="AB3" s="224"/>
      <c r="AC3" s="224"/>
    </row>
    <row r="4" spans="1:29">
      <c r="A4" s="248">
        <v>44782</v>
      </c>
      <c r="B4" s="219" t="s">
        <v>149</v>
      </c>
      <c r="C4" s="249">
        <v>4.5</v>
      </c>
      <c r="D4" s="219" t="s">
        <v>1006</v>
      </c>
      <c r="E4" s="250" t="s">
        <v>4</v>
      </c>
      <c r="F4" s="219" t="s">
        <v>602</v>
      </c>
      <c r="G4" s="219" t="s">
        <v>10233</v>
      </c>
      <c r="H4" s="219">
        <v>4.5</v>
      </c>
      <c r="I4" s="219" t="s">
        <v>727</v>
      </c>
      <c r="J4" s="219" t="s">
        <v>10234</v>
      </c>
      <c r="K4" s="219">
        <v>4.5</v>
      </c>
      <c r="L4" s="219"/>
      <c r="M4" s="219"/>
      <c r="N4" s="219" t="s">
        <v>452</v>
      </c>
      <c r="O4" s="219" t="s">
        <v>10235</v>
      </c>
      <c r="P4" s="219"/>
      <c r="Q4" s="213" t="s">
        <v>18</v>
      </c>
      <c r="R4" s="219" t="s">
        <v>1010</v>
      </c>
      <c r="S4" s="219" t="str">
        <f>IFERROR(VLOOKUP(B4,'2022-2023 Third Reviews'!$C:$S,9,FALSE),"")</f>
        <v/>
      </c>
      <c r="T4" s="219" t="s">
        <v>13050</v>
      </c>
      <c r="U4" s="219" t="s">
        <v>18</v>
      </c>
      <c r="V4" s="258"/>
      <c r="W4" s="258"/>
      <c r="X4" s="258"/>
      <c r="Y4" s="258"/>
      <c r="Z4" s="258"/>
      <c r="AA4" s="258"/>
      <c r="AB4" s="258"/>
      <c r="AC4" s="258"/>
    </row>
    <row r="5" spans="1:29">
      <c r="A5" s="253">
        <v>44782</v>
      </c>
      <c r="B5" s="224" t="s">
        <v>151</v>
      </c>
      <c r="C5" s="249">
        <v>4</v>
      </c>
      <c r="D5" s="224" t="s">
        <v>1015</v>
      </c>
      <c r="E5" s="250" t="s">
        <v>4</v>
      </c>
      <c r="F5" s="224" t="s">
        <v>727</v>
      </c>
      <c r="G5" s="224" t="s">
        <v>1016</v>
      </c>
      <c r="H5" s="224">
        <v>4</v>
      </c>
      <c r="I5" s="224" t="s">
        <v>476</v>
      </c>
      <c r="J5" s="224" t="s">
        <v>13400</v>
      </c>
      <c r="K5" s="224">
        <v>4</v>
      </c>
      <c r="L5" s="224" t="s">
        <v>451</v>
      </c>
      <c r="M5" s="224">
        <v>14000000</v>
      </c>
      <c r="N5" s="224" t="s">
        <v>452</v>
      </c>
      <c r="O5" s="224" t="s">
        <v>10194</v>
      </c>
      <c r="P5" s="224"/>
      <c r="Q5" s="221" t="s">
        <v>18</v>
      </c>
      <c r="R5" s="224" t="s">
        <v>1019</v>
      </c>
      <c r="S5" s="224" t="str">
        <f ca="1">IFERROR(VLOOKUP(B5,'2022-2023 Third Reviews'!$C:$S,9,FALSE),"")</f>
        <v>Nick Schmandt
5</v>
      </c>
      <c r="T5" s="224" t="s">
        <v>13051</v>
      </c>
      <c r="U5" s="224" t="s">
        <v>18</v>
      </c>
      <c r="V5" s="277"/>
      <c r="W5" s="277"/>
      <c r="X5" s="277"/>
      <c r="Y5" s="277"/>
      <c r="Z5" s="277"/>
      <c r="AA5" s="239"/>
      <c r="AB5" s="239"/>
      <c r="AC5" s="239"/>
    </row>
    <row r="6" spans="1:29">
      <c r="A6" s="255">
        <v>44791</v>
      </c>
      <c r="B6" s="239" t="s">
        <v>152</v>
      </c>
      <c r="C6" s="262">
        <v>4.25</v>
      </c>
      <c r="D6" s="239" t="s">
        <v>1024</v>
      </c>
      <c r="E6" s="239" t="s">
        <v>4</v>
      </c>
      <c r="F6" s="239" t="s">
        <v>447</v>
      </c>
      <c r="G6" s="239" t="s">
        <v>11648</v>
      </c>
      <c r="H6" s="239">
        <v>4.5</v>
      </c>
      <c r="I6" s="239" t="s">
        <v>543</v>
      </c>
      <c r="J6" s="239" t="s">
        <v>11649</v>
      </c>
      <c r="K6" s="239">
        <v>4</v>
      </c>
      <c r="L6" s="239" t="s">
        <v>478</v>
      </c>
      <c r="M6" s="239" t="s">
        <v>1027</v>
      </c>
      <c r="N6" s="239" t="s">
        <v>452</v>
      </c>
      <c r="O6" s="239" t="s">
        <v>1028</v>
      </c>
      <c r="P6" s="239"/>
      <c r="Q6" s="239" t="s">
        <v>18</v>
      </c>
      <c r="R6" s="239" t="s">
        <v>1029</v>
      </c>
      <c r="S6" s="239" t="str">
        <f>IFERROR(VLOOKUP(B6,'2022-2023 Third Reviews'!$C:$S,9,FALSE),"")</f>
        <v/>
      </c>
      <c r="T6" s="239" t="s">
        <v>13052</v>
      </c>
      <c r="U6" s="239" t="s">
        <v>18</v>
      </c>
      <c r="V6" s="268"/>
      <c r="W6" s="268"/>
      <c r="X6" s="268"/>
      <c r="Y6" s="268"/>
      <c r="Z6" s="268"/>
      <c r="AA6" s="219"/>
      <c r="AB6" s="219"/>
      <c r="AC6" s="219"/>
    </row>
    <row r="7" spans="1:29">
      <c r="A7" s="257">
        <v>44796</v>
      </c>
      <c r="B7" s="258" t="s">
        <v>153</v>
      </c>
      <c r="C7" s="263">
        <v>3.63</v>
      </c>
      <c r="D7" s="258" t="s">
        <v>1034</v>
      </c>
      <c r="E7" s="258" t="s">
        <v>4</v>
      </c>
      <c r="F7" s="258" t="s">
        <v>727</v>
      </c>
      <c r="G7" s="258" t="s">
        <v>10452</v>
      </c>
      <c r="H7" s="258">
        <v>4.25</v>
      </c>
      <c r="I7" s="258" t="s">
        <v>1036</v>
      </c>
      <c r="J7" s="258" t="s">
        <v>1037</v>
      </c>
      <c r="K7" s="258">
        <v>3</v>
      </c>
      <c r="L7" s="258" t="s">
        <v>451</v>
      </c>
      <c r="M7" s="258">
        <v>1000000</v>
      </c>
      <c r="N7" s="258" t="s">
        <v>452</v>
      </c>
      <c r="O7" s="258" t="s">
        <v>452</v>
      </c>
      <c r="P7" s="258"/>
      <c r="Q7" s="258" t="s">
        <v>18</v>
      </c>
      <c r="R7" s="258" t="s">
        <v>11725</v>
      </c>
      <c r="S7" s="258" t="str">
        <f ca="1">IFERROR(VLOOKUP(B7,'2022-2023 Third Reviews'!$C:$S,9,FALSE),"")</f>
        <v>Nick Schmandt
4</v>
      </c>
      <c r="T7" s="258" t="s">
        <v>13051</v>
      </c>
      <c r="U7" s="258" t="s">
        <v>18</v>
      </c>
      <c r="V7" s="224"/>
      <c r="W7" s="224"/>
      <c r="X7" s="224"/>
      <c r="Y7" s="224"/>
      <c r="Z7" s="224"/>
      <c r="AA7" s="224"/>
      <c r="AB7" s="224"/>
      <c r="AC7" s="224"/>
    </row>
    <row r="8" spans="1:29">
      <c r="A8" s="248">
        <v>44789</v>
      </c>
      <c r="B8" s="219" t="s">
        <v>154</v>
      </c>
      <c r="C8" s="249">
        <v>4</v>
      </c>
      <c r="D8" s="219" t="s">
        <v>1043</v>
      </c>
      <c r="E8" s="250" t="s">
        <v>4</v>
      </c>
      <c r="F8" s="219" t="s">
        <v>727</v>
      </c>
      <c r="G8" s="219" t="s">
        <v>10248</v>
      </c>
      <c r="H8" s="219">
        <v>4</v>
      </c>
      <c r="I8" s="219" t="s">
        <v>1045</v>
      </c>
      <c r="J8" s="219" t="s">
        <v>1046</v>
      </c>
      <c r="K8" s="219">
        <v>4</v>
      </c>
      <c r="L8" s="219"/>
      <c r="M8" s="219"/>
      <c r="N8" s="219" t="s">
        <v>454</v>
      </c>
      <c r="O8" s="219" t="s">
        <v>1047</v>
      </c>
      <c r="P8" s="219" t="s">
        <v>725</v>
      </c>
      <c r="Q8" s="219" t="s">
        <v>18</v>
      </c>
      <c r="R8" s="219"/>
      <c r="S8" s="219" t="str">
        <f ca="1">IFERROR(VLOOKUP(B8,'2022-2023 Third Reviews'!$C:$S,9,FALSE),"")</f>
        <v>Nick Schmandt
3</v>
      </c>
      <c r="T8" s="219" t="s">
        <v>13051</v>
      </c>
      <c r="U8" s="219" t="s">
        <v>18</v>
      </c>
      <c r="V8" s="239"/>
      <c r="W8" s="239"/>
      <c r="X8" s="239"/>
      <c r="Y8" s="239"/>
      <c r="Z8" s="239"/>
      <c r="AA8" s="239"/>
      <c r="AB8" s="239"/>
      <c r="AC8" s="239"/>
    </row>
    <row r="9" spans="1:29">
      <c r="A9" s="220">
        <v>44776</v>
      </c>
      <c r="B9" s="221" t="s">
        <v>156</v>
      </c>
      <c r="C9" s="214">
        <v>4.25</v>
      </c>
      <c r="D9" s="221" t="s">
        <v>1052</v>
      </c>
      <c r="E9" s="215" t="s">
        <v>4</v>
      </c>
      <c r="F9" s="221" t="s">
        <v>602</v>
      </c>
      <c r="G9" s="221" t="s">
        <v>11390</v>
      </c>
      <c r="H9" s="221">
        <v>4.5</v>
      </c>
      <c r="I9" s="221" t="s">
        <v>1054</v>
      </c>
      <c r="J9" s="221"/>
      <c r="K9" s="221">
        <v>4</v>
      </c>
      <c r="L9" s="221" t="s">
        <v>451</v>
      </c>
      <c r="M9" s="221">
        <v>4000000</v>
      </c>
      <c r="N9" s="221" t="s">
        <v>465</v>
      </c>
      <c r="O9" s="221" t="s">
        <v>1055</v>
      </c>
      <c r="P9" s="145" t="s">
        <v>1120</v>
      </c>
      <c r="Q9" s="221" t="str">
        <f t="array" ref="Q9">INDEX(Notes!B:B,MATCH($B9,Notes!$A:$A,0))</f>
        <v>Invite</v>
      </c>
      <c r="R9" s="221">
        <f t="array" ref="R9">INDEX(Notes!C:C,MATCH($B9,Notes!$A:$A,0))</f>
        <v>0</v>
      </c>
      <c r="S9" s="221" t="str">
        <f>IFERROR(VLOOKUP(B9,'2022-2023 Third Reviews'!$C:$S,9,FALSE),"")</f>
        <v/>
      </c>
      <c r="T9" s="221" t="s">
        <v>13053</v>
      </c>
      <c r="U9" s="221" t="s">
        <v>18</v>
      </c>
      <c r="V9" s="218"/>
      <c r="W9" s="218"/>
      <c r="X9" s="218"/>
      <c r="Y9" s="224"/>
      <c r="Z9" s="224"/>
      <c r="AA9" s="224"/>
      <c r="AB9" s="224"/>
      <c r="AC9" s="224"/>
    </row>
    <row r="10" spans="1:29">
      <c r="A10" s="248">
        <v>44789</v>
      </c>
      <c r="B10" s="219" t="s">
        <v>157</v>
      </c>
      <c r="C10" s="249">
        <v>4</v>
      </c>
      <c r="D10" s="219" t="s">
        <v>1060</v>
      </c>
      <c r="E10" s="250" t="s">
        <v>4</v>
      </c>
      <c r="F10" s="219" t="s">
        <v>602</v>
      </c>
      <c r="G10" s="219" t="s">
        <v>1061</v>
      </c>
      <c r="H10" s="219">
        <v>4</v>
      </c>
      <c r="I10" s="219" t="s">
        <v>1054</v>
      </c>
      <c r="J10" s="219" t="s">
        <v>10906</v>
      </c>
      <c r="K10" s="219">
        <v>4</v>
      </c>
      <c r="L10" s="219" t="s">
        <v>1063</v>
      </c>
      <c r="M10" s="219" t="s">
        <v>1064</v>
      </c>
      <c r="N10" s="219" t="s">
        <v>452</v>
      </c>
      <c r="O10" s="219" t="s">
        <v>10907</v>
      </c>
      <c r="P10" s="219" t="s">
        <v>1066</v>
      </c>
      <c r="Q10" s="219" t="s">
        <v>18</v>
      </c>
      <c r="R10" s="219"/>
      <c r="S10" s="219" t="str">
        <f>IFERROR(VLOOKUP(B10,'2022-2023 Third Reviews'!$C:$S,9,FALSE),"")</f>
        <v/>
      </c>
      <c r="T10" s="219" t="s">
        <v>13054</v>
      </c>
      <c r="U10" s="219" t="s">
        <v>18</v>
      </c>
      <c r="V10" s="268"/>
      <c r="W10" s="268"/>
      <c r="X10" s="268"/>
      <c r="Y10" s="268"/>
      <c r="Z10" s="268"/>
      <c r="AA10" s="219"/>
      <c r="AB10" s="219"/>
      <c r="AC10" s="219"/>
    </row>
    <row r="11" spans="1:29">
      <c r="A11" s="253">
        <v>44796</v>
      </c>
      <c r="B11" s="224" t="s">
        <v>160</v>
      </c>
      <c r="C11" s="316">
        <v>4.25</v>
      </c>
      <c r="D11" s="224" t="s">
        <v>1071</v>
      </c>
      <c r="E11" s="224" t="s">
        <v>4</v>
      </c>
      <c r="F11" s="224" t="s">
        <v>725</v>
      </c>
      <c r="G11" s="224" t="s">
        <v>11255</v>
      </c>
      <c r="H11" s="224">
        <v>4.5</v>
      </c>
      <c r="I11" s="224" t="s">
        <v>1073</v>
      </c>
      <c r="J11" s="224"/>
      <c r="K11" s="224">
        <v>4</v>
      </c>
      <c r="L11" s="224" t="s">
        <v>1074</v>
      </c>
      <c r="M11" s="330">
        <v>20000000</v>
      </c>
      <c r="N11" s="224" t="s">
        <v>452</v>
      </c>
      <c r="O11" s="224" t="s">
        <v>452</v>
      </c>
      <c r="P11" s="224"/>
      <c r="Q11" s="224" t="s">
        <v>18</v>
      </c>
      <c r="R11" s="224"/>
      <c r="S11" s="224" t="str">
        <f>IFERROR(VLOOKUP(B11,'2022-2023 Third Reviews'!$C:$S,9,FALSE),"")</f>
        <v/>
      </c>
      <c r="T11" s="224"/>
      <c r="U11" s="224" t="s">
        <v>18</v>
      </c>
      <c r="V11" s="272"/>
      <c r="W11" s="272"/>
      <c r="X11" s="272"/>
      <c r="Y11" s="272"/>
      <c r="Z11" s="272"/>
      <c r="AA11" s="224"/>
      <c r="AB11" s="224"/>
      <c r="AC11" s="224"/>
    </row>
    <row r="12" spans="1:29" ht="15.75" customHeight="1">
      <c r="A12" s="248">
        <v>44797</v>
      </c>
      <c r="B12" s="219" t="s">
        <v>161</v>
      </c>
      <c r="C12" s="315">
        <v>4.25</v>
      </c>
      <c r="D12" s="219" t="s">
        <v>1079</v>
      </c>
      <c r="E12" s="219" t="s">
        <v>4</v>
      </c>
      <c r="F12" s="219" t="s">
        <v>725</v>
      </c>
      <c r="G12" s="219"/>
      <c r="H12" s="219">
        <v>4.5</v>
      </c>
      <c r="I12" s="219" t="s">
        <v>462</v>
      </c>
      <c r="J12" s="219" t="s">
        <v>1080</v>
      </c>
      <c r="K12" s="219">
        <v>4</v>
      </c>
      <c r="L12" s="219" t="s">
        <v>451</v>
      </c>
      <c r="M12" s="219">
        <v>10000000</v>
      </c>
      <c r="N12" s="219" t="s">
        <v>452</v>
      </c>
      <c r="O12" s="219" t="s">
        <v>974</v>
      </c>
      <c r="P12" s="219"/>
      <c r="Q12" s="219" t="s">
        <v>18</v>
      </c>
      <c r="R12" s="219"/>
      <c r="S12" s="219" t="str">
        <f>IFERROR(VLOOKUP(B12,'2022-2023 Third Reviews'!$C:$S,9,FALSE),"")</f>
        <v/>
      </c>
      <c r="T12" s="219" t="s">
        <v>13051</v>
      </c>
      <c r="U12" s="219" t="s">
        <v>18</v>
      </c>
      <c r="V12" s="268"/>
      <c r="W12" s="268"/>
      <c r="X12" s="268"/>
      <c r="Y12" s="268"/>
      <c r="Z12" s="268"/>
      <c r="AA12" s="219"/>
      <c r="AB12" s="219"/>
      <c r="AC12" s="219"/>
    </row>
    <row r="13" spans="1:29" ht="15.75" customHeight="1">
      <c r="A13" s="253">
        <v>44796</v>
      </c>
      <c r="B13" s="224" t="s">
        <v>163</v>
      </c>
      <c r="C13" s="316">
        <v>4.63</v>
      </c>
      <c r="D13" s="224" t="s">
        <v>1085</v>
      </c>
      <c r="E13" s="224" t="s">
        <v>4</v>
      </c>
      <c r="F13" s="224" t="s">
        <v>725</v>
      </c>
      <c r="G13" s="224" t="s">
        <v>1086</v>
      </c>
      <c r="H13" s="224">
        <v>4.25</v>
      </c>
      <c r="I13" s="224" t="s">
        <v>1073</v>
      </c>
      <c r="J13" s="224" t="s">
        <v>1087</v>
      </c>
      <c r="K13" s="224">
        <v>5</v>
      </c>
      <c r="L13" s="224" t="s">
        <v>784</v>
      </c>
      <c r="M13" s="224">
        <v>500000</v>
      </c>
      <c r="N13" s="224" t="s">
        <v>452</v>
      </c>
      <c r="O13" s="224" t="s">
        <v>1088</v>
      </c>
      <c r="P13" s="224"/>
      <c r="Q13" s="224" t="s">
        <v>18</v>
      </c>
      <c r="R13" s="224"/>
      <c r="S13" s="224" t="str">
        <f>IFERROR(VLOOKUP(B13,'2022-2023 Third Reviews'!$C:$S,9,FALSE),"")</f>
        <v/>
      </c>
      <c r="T13" s="224" t="s">
        <v>13055</v>
      </c>
      <c r="U13" s="224" t="s">
        <v>18</v>
      </c>
      <c r="V13" s="272"/>
      <c r="W13" s="272"/>
      <c r="X13" s="272"/>
      <c r="Y13" s="272"/>
      <c r="Z13" s="272"/>
      <c r="AA13" s="224"/>
      <c r="AB13" s="224"/>
      <c r="AC13" s="224"/>
    </row>
    <row r="14" spans="1:29" ht="15.75" customHeight="1">
      <c r="A14" s="398">
        <v>44784</v>
      </c>
      <c r="B14" s="268" t="s">
        <v>167</v>
      </c>
      <c r="C14" s="269">
        <v>4.5</v>
      </c>
      <c r="D14" s="268" t="s">
        <v>1093</v>
      </c>
      <c r="E14" s="270" t="s">
        <v>4</v>
      </c>
      <c r="F14" s="268" t="s">
        <v>727</v>
      </c>
      <c r="G14" s="268" t="s">
        <v>10760</v>
      </c>
      <c r="H14" s="268">
        <v>5</v>
      </c>
      <c r="I14" s="268" t="s">
        <v>1054</v>
      </c>
      <c r="J14" s="268" t="s">
        <v>1095</v>
      </c>
      <c r="K14" s="268">
        <v>4</v>
      </c>
      <c r="L14" s="268" t="s">
        <v>451</v>
      </c>
      <c r="M14" s="275">
        <v>7000000</v>
      </c>
      <c r="N14" s="268" t="s">
        <v>452</v>
      </c>
      <c r="O14" s="275" t="s">
        <v>452</v>
      </c>
      <c r="P14" s="268" t="s">
        <v>1096</v>
      </c>
      <c r="Q14" s="268" t="s">
        <v>18</v>
      </c>
      <c r="R14" s="268"/>
      <c r="S14" s="268" t="str">
        <f ca="1">IFERROR(VLOOKUP(B14,'2022-2023 Third Reviews'!$C:$S,9,FALSE),"")</f>
        <v>John McDonald
5</v>
      </c>
      <c r="T14" s="268" t="s">
        <v>13056</v>
      </c>
      <c r="U14" s="268" t="s">
        <v>18</v>
      </c>
      <c r="V14" s="252"/>
      <c r="W14" s="252"/>
      <c r="X14" s="252"/>
      <c r="Y14" s="219"/>
      <c r="Z14" s="219"/>
      <c r="AA14" s="219"/>
      <c r="AB14" s="219"/>
      <c r="AC14" s="219"/>
    </row>
    <row r="15" spans="1:29" ht="15.75" customHeight="1">
      <c r="A15" s="253">
        <v>44797</v>
      </c>
      <c r="B15" s="224" t="s">
        <v>170</v>
      </c>
      <c r="C15" s="316">
        <v>4.25</v>
      </c>
      <c r="D15" s="224" t="s">
        <v>1101</v>
      </c>
      <c r="E15" s="224" t="s">
        <v>4</v>
      </c>
      <c r="F15" s="224" t="s">
        <v>725</v>
      </c>
      <c r="G15" s="224"/>
      <c r="H15" s="224">
        <v>4.5</v>
      </c>
      <c r="I15" s="224" t="s">
        <v>462</v>
      </c>
      <c r="J15" s="224" t="s">
        <v>1102</v>
      </c>
      <c r="K15" s="224">
        <v>4</v>
      </c>
      <c r="L15" s="224" t="s">
        <v>1103</v>
      </c>
      <c r="M15" s="330">
        <v>8000000</v>
      </c>
      <c r="N15" s="224" t="s">
        <v>452</v>
      </c>
      <c r="O15" s="224" t="s">
        <v>575</v>
      </c>
      <c r="P15" s="224"/>
      <c r="Q15" s="224" t="s">
        <v>18</v>
      </c>
      <c r="R15" s="224"/>
      <c r="S15" s="224" t="str">
        <f>IFERROR(VLOOKUP(B15,'2022-2023 Third Reviews'!$C:$S,9,FALSE),"")</f>
        <v/>
      </c>
      <c r="T15" s="224" t="s">
        <v>13052</v>
      </c>
      <c r="U15" s="224" t="s">
        <v>18</v>
      </c>
      <c r="V15" s="252"/>
      <c r="W15" s="252"/>
      <c r="X15" s="252"/>
      <c r="Y15" s="224"/>
      <c r="Z15" s="224"/>
      <c r="AA15" s="224"/>
      <c r="AB15" s="224"/>
      <c r="AC15" s="224"/>
    </row>
    <row r="16" spans="1:29" ht="15.75" customHeight="1">
      <c r="A16" s="212">
        <v>44776</v>
      </c>
      <c r="B16" s="213" t="s">
        <v>172</v>
      </c>
      <c r="C16" s="214">
        <v>4.5</v>
      </c>
      <c r="D16" s="213" t="s">
        <v>1108</v>
      </c>
      <c r="E16" s="215" t="s">
        <v>4</v>
      </c>
      <c r="F16" s="213" t="s">
        <v>602</v>
      </c>
      <c r="G16" s="213" t="s">
        <v>1109</v>
      </c>
      <c r="H16" s="213">
        <v>4.5</v>
      </c>
      <c r="I16" s="213" t="s">
        <v>727</v>
      </c>
      <c r="J16" s="213" t="s">
        <v>1110</v>
      </c>
      <c r="K16" s="213">
        <v>4.5</v>
      </c>
      <c r="L16" s="213"/>
      <c r="M16" s="213"/>
      <c r="N16" s="213" t="s">
        <v>465</v>
      </c>
      <c r="O16" s="213" t="s">
        <v>452</v>
      </c>
      <c r="P16" s="143"/>
      <c r="Q16" s="213" t="str">
        <f t="array" ref="Q16">INDEX(Notes!B:B,MATCH($B16,Notes!$A:$A,0))</f>
        <v>Invite</v>
      </c>
      <c r="R16" s="213" t="s">
        <v>1111</v>
      </c>
      <c r="S16" s="213" t="str">
        <f ca="1">IFERROR(VLOOKUP(B16,'2022-2023 Third Reviews'!$C:$S,9,FALSE),"")</f>
        <v>John McDonald
4</v>
      </c>
      <c r="T16" s="213" t="s">
        <v>13056</v>
      </c>
      <c r="U16" s="213" t="s">
        <v>18</v>
      </c>
      <c r="V16" s="228"/>
      <c r="W16" s="228"/>
      <c r="X16" s="228"/>
      <c r="Y16" s="219"/>
      <c r="Z16" s="219"/>
      <c r="AA16" s="219"/>
      <c r="AB16" s="219"/>
      <c r="AC16" s="219"/>
    </row>
    <row r="17" spans="1:29" ht="15.75" customHeight="1">
      <c r="A17" s="255">
        <v>44782</v>
      </c>
      <c r="B17" s="239" t="s">
        <v>173</v>
      </c>
      <c r="C17" s="249">
        <v>4.25</v>
      </c>
      <c r="D17" s="239" t="s">
        <v>10368</v>
      </c>
      <c r="E17" s="250" t="s">
        <v>4</v>
      </c>
      <c r="F17" s="239" t="s">
        <v>460</v>
      </c>
      <c r="G17" s="239" t="s">
        <v>1127</v>
      </c>
      <c r="H17" s="239">
        <v>4.5</v>
      </c>
      <c r="I17" s="239" t="s">
        <v>462</v>
      </c>
      <c r="J17" s="239" t="s">
        <v>1128</v>
      </c>
      <c r="K17" s="239">
        <v>4</v>
      </c>
      <c r="L17" s="239" t="s">
        <v>451</v>
      </c>
      <c r="M17" s="239">
        <v>2000000</v>
      </c>
      <c r="N17" s="239" t="s">
        <v>452</v>
      </c>
      <c r="O17" s="239" t="s">
        <v>1129</v>
      </c>
      <c r="P17" s="239"/>
      <c r="Q17" s="239"/>
      <c r="R17" s="239"/>
      <c r="S17" s="239"/>
      <c r="T17" s="239"/>
      <c r="U17" s="239" t="s">
        <v>18</v>
      </c>
      <c r="V17" s="272"/>
      <c r="W17" s="272"/>
      <c r="X17" s="272"/>
      <c r="Y17" s="272"/>
      <c r="Z17" s="272"/>
      <c r="AA17" s="224"/>
      <c r="AB17" s="224"/>
      <c r="AC17" s="224"/>
    </row>
    <row r="18" spans="1:29" ht="15.75" customHeight="1">
      <c r="A18" s="248">
        <v>44791</v>
      </c>
      <c r="B18" s="219" t="s">
        <v>176</v>
      </c>
      <c r="C18" s="315">
        <v>4</v>
      </c>
      <c r="D18" s="219" t="s">
        <v>1135</v>
      </c>
      <c r="E18" s="219" t="s">
        <v>4</v>
      </c>
      <c r="F18" s="219" t="s">
        <v>602</v>
      </c>
      <c r="G18" s="219" t="s">
        <v>1136</v>
      </c>
      <c r="H18" s="219">
        <v>4</v>
      </c>
      <c r="I18" s="219" t="s">
        <v>604</v>
      </c>
      <c r="J18" s="219" t="s">
        <v>11040</v>
      </c>
      <c r="K18" s="219">
        <v>4</v>
      </c>
      <c r="L18" s="219" t="s">
        <v>451</v>
      </c>
      <c r="M18" s="310">
        <v>1500000</v>
      </c>
      <c r="N18" s="219" t="s">
        <v>452</v>
      </c>
      <c r="O18" s="219" t="s">
        <v>11041</v>
      </c>
      <c r="P18" s="219"/>
      <c r="Q18" s="219" t="s">
        <v>18</v>
      </c>
      <c r="R18" s="219"/>
      <c r="S18" s="219" t="str">
        <f ca="1">IFERROR(VLOOKUP(B18,'2022-2023 Third Reviews'!$C:$S,9,FALSE),"")</f>
        <v>John McDonald
3</v>
      </c>
      <c r="T18" s="219" t="s">
        <v>13057</v>
      </c>
      <c r="U18" s="219" t="s">
        <v>18</v>
      </c>
      <c r="V18" s="268"/>
      <c r="W18" s="268"/>
      <c r="X18" s="268"/>
      <c r="Y18" s="268"/>
      <c r="Z18" s="268"/>
      <c r="AA18" s="219"/>
      <c r="AB18" s="219"/>
      <c r="AC18" s="219"/>
    </row>
    <row r="19" spans="1:29" ht="15.75" customHeight="1">
      <c r="A19" s="253">
        <v>44796</v>
      </c>
      <c r="B19" s="224" t="s">
        <v>179</v>
      </c>
      <c r="C19" s="316">
        <v>4.75</v>
      </c>
      <c r="D19" s="224" t="s">
        <v>1143</v>
      </c>
      <c r="E19" s="224" t="s">
        <v>4</v>
      </c>
      <c r="F19" s="224" t="s">
        <v>725</v>
      </c>
      <c r="G19" s="224"/>
      <c r="H19" s="224">
        <v>4.5</v>
      </c>
      <c r="I19" s="224" t="s">
        <v>604</v>
      </c>
      <c r="J19" s="224" t="s">
        <v>10995</v>
      </c>
      <c r="K19" s="224">
        <v>5</v>
      </c>
      <c r="L19" s="224"/>
      <c r="M19" s="224"/>
      <c r="N19" s="224" t="s">
        <v>454</v>
      </c>
      <c r="O19" s="224" t="s">
        <v>10996</v>
      </c>
      <c r="P19" s="224"/>
      <c r="Q19" s="224" t="s">
        <v>18</v>
      </c>
      <c r="R19" s="224"/>
      <c r="S19" s="224" t="str">
        <f>IFERROR(VLOOKUP(B19,'2022-2023 Third Reviews'!$C:$S,9,FALSE),"")</f>
        <v/>
      </c>
      <c r="T19" s="224" t="s">
        <v>13058</v>
      </c>
      <c r="U19" s="224" t="s">
        <v>18</v>
      </c>
      <c r="V19" s="258"/>
      <c r="W19" s="258"/>
      <c r="X19" s="258"/>
      <c r="Y19" s="258"/>
      <c r="Z19" s="258"/>
      <c r="AA19" s="258"/>
      <c r="AB19" s="258"/>
      <c r="AC19" s="258"/>
    </row>
    <row r="20" spans="1:29" ht="15.75" customHeight="1">
      <c r="A20" s="399">
        <v>44784</v>
      </c>
      <c r="B20" s="277" t="s">
        <v>181</v>
      </c>
      <c r="C20" s="278">
        <v>4</v>
      </c>
      <c r="D20" s="277" t="s">
        <v>1150</v>
      </c>
      <c r="E20" s="277" t="s">
        <v>4</v>
      </c>
      <c r="F20" s="277" t="s">
        <v>447</v>
      </c>
      <c r="G20" s="277" t="s">
        <v>10459</v>
      </c>
      <c r="H20" s="277">
        <v>4</v>
      </c>
      <c r="I20" s="277" t="s">
        <v>543</v>
      </c>
      <c r="J20" s="277" t="s">
        <v>11553</v>
      </c>
      <c r="K20" s="277">
        <v>4</v>
      </c>
      <c r="L20" s="277" t="s">
        <v>478</v>
      </c>
      <c r="M20" s="287">
        <v>10000000</v>
      </c>
      <c r="N20" s="277" t="s">
        <v>452</v>
      </c>
      <c r="O20" s="287" t="s">
        <v>1153</v>
      </c>
      <c r="P20" s="277"/>
      <c r="Q20" s="277" t="s">
        <v>18</v>
      </c>
      <c r="R20" s="277" t="s">
        <v>1154</v>
      </c>
      <c r="S20" s="277" t="str">
        <f ca="1">IFERROR(VLOOKUP(B20,'2022-2023 Third Reviews'!$C:$S,9,FALSE),"")</f>
        <v>Nick Schmandt
4</v>
      </c>
      <c r="T20" s="277" t="s">
        <v>13059</v>
      </c>
      <c r="U20" s="277" t="s">
        <v>18</v>
      </c>
      <c r="V20" s="218"/>
      <c r="W20" s="218"/>
      <c r="X20" s="218"/>
      <c r="Y20" s="219"/>
      <c r="Z20" s="219"/>
      <c r="AA20" s="219"/>
      <c r="AB20" s="219"/>
      <c r="AC20" s="219"/>
    </row>
    <row r="21" spans="1:29" ht="15.75" customHeight="1">
      <c r="A21" s="253">
        <v>44789</v>
      </c>
      <c r="B21" s="224" t="s">
        <v>183</v>
      </c>
      <c r="C21" s="249">
        <v>4</v>
      </c>
      <c r="D21" s="224" t="s">
        <v>1159</v>
      </c>
      <c r="E21" s="250" t="s">
        <v>4</v>
      </c>
      <c r="F21" s="224" t="s">
        <v>727</v>
      </c>
      <c r="G21" s="224" t="s">
        <v>11464</v>
      </c>
      <c r="H21" s="224">
        <v>4</v>
      </c>
      <c r="I21" s="224" t="s">
        <v>1045</v>
      </c>
      <c r="J21" s="224" t="s">
        <v>1161</v>
      </c>
      <c r="K21" s="224">
        <v>4</v>
      </c>
      <c r="L21" s="224"/>
      <c r="M21" s="224"/>
      <c r="N21" s="224"/>
      <c r="O21" s="224" t="s">
        <v>1162</v>
      </c>
      <c r="P21" s="224"/>
      <c r="Q21" s="224" t="s">
        <v>18</v>
      </c>
      <c r="R21" s="224"/>
      <c r="S21" s="224" t="str">
        <f>IFERROR(VLOOKUP(B21,'2022-2023 Third Reviews'!$C:$S,9,FALSE),"")</f>
        <v/>
      </c>
      <c r="T21" s="224" t="s">
        <v>13060</v>
      </c>
      <c r="U21" s="224" t="s">
        <v>18</v>
      </c>
      <c r="V21" s="252"/>
      <c r="W21" s="252"/>
      <c r="X21" s="252"/>
      <c r="Y21" s="224"/>
      <c r="Z21" s="224"/>
      <c r="AA21" s="224"/>
      <c r="AB21" s="224"/>
      <c r="AC21" s="224"/>
    </row>
    <row r="22" spans="1:29" ht="15.75" customHeight="1">
      <c r="A22" s="257">
        <v>44796</v>
      </c>
      <c r="B22" s="258" t="s">
        <v>184</v>
      </c>
      <c r="C22" s="263">
        <v>4.25</v>
      </c>
      <c r="D22" s="258" t="s">
        <v>11708</v>
      </c>
      <c r="E22" s="258" t="s">
        <v>4</v>
      </c>
      <c r="F22" s="258" t="s">
        <v>725</v>
      </c>
      <c r="G22" s="258" t="s">
        <v>11243</v>
      </c>
      <c r="H22" s="258">
        <v>4.5</v>
      </c>
      <c r="I22" s="258" t="s">
        <v>604</v>
      </c>
      <c r="J22" s="258" t="s">
        <v>1169</v>
      </c>
      <c r="K22" s="258">
        <v>4</v>
      </c>
      <c r="L22" s="258" t="s">
        <v>451</v>
      </c>
      <c r="M22" s="258">
        <v>3000000</v>
      </c>
      <c r="N22" s="258" t="s">
        <v>452</v>
      </c>
      <c r="O22" s="258" t="s">
        <v>1170</v>
      </c>
      <c r="P22" s="258"/>
      <c r="Q22" s="258" t="s">
        <v>18</v>
      </c>
      <c r="R22" s="258" t="s">
        <v>1171</v>
      </c>
      <c r="S22" s="258" t="str">
        <f>IFERROR(VLOOKUP(B22,'2022-2023 Third Reviews'!$C:$S,9,FALSE),"")</f>
        <v/>
      </c>
      <c r="T22" s="258" t="s">
        <v>13061</v>
      </c>
      <c r="U22" s="258" t="s">
        <v>18</v>
      </c>
      <c r="V22" s="303"/>
      <c r="W22" s="303"/>
      <c r="X22" s="303"/>
      <c r="Y22" s="303"/>
      <c r="Z22" s="303"/>
      <c r="AA22" s="306"/>
      <c r="AB22" s="306"/>
      <c r="AC22" s="306"/>
    </row>
    <row r="23" spans="1:29" ht="15.75" customHeight="1">
      <c r="A23" s="257">
        <v>44796</v>
      </c>
      <c r="B23" s="258" t="s">
        <v>185</v>
      </c>
      <c r="C23" s="263">
        <v>3.75</v>
      </c>
      <c r="D23" s="258" t="s">
        <v>1176</v>
      </c>
      <c r="E23" s="258" t="s">
        <v>4</v>
      </c>
      <c r="F23" s="258" t="s">
        <v>725</v>
      </c>
      <c r="G23" s="258" t="s">
        <v>11717</v>
      </c>
      <c r="H23" s="258">
        <v>4</v>
      </c>
      <c r="I23" s="258" t="s">
        <v>1045</v>
      </c>
      <c r="J23" s="258" t="s">
        <v>1178</v>
      </c>
      <c r="K23" s="258">
        <v>3.5</v>
      </c>
      <c r="L23" s="258"/>
      <c r="M23" s="258"/>
      <c r="N23" s="258" t="s">
        <v>452</v>
      </c>
      <c r="O23" s="258" t="s">
        <v>11133</v>
      </c>
      <c r="P23" s="258"/>
      <c r="Q23" s="258" t="s">
        <v>18</v>
      </c>
      <c r="R23" s="258" t="s">
        <v>11718</v>
      </c>
      <c r="S23" s="258" t="str">
        <f>IFERROR(VLOOKUP(B23,'2022-2023 Third Reviews'!$C:$S,9,FALSE),"")</f>
        <v/>
      </c>
      <c r="T23" s="258" t="s">
        <v>13051</v>
      </c>
      <c r="U23" s="258" t="s">
        <v>18</v>
      </c>
      <c r="V23" s="272"/>
      <c r="W23" s="272"/>
      <c r="X23" s="272"/>
      <c r="Y23" s="272"/>
      <c r="Z23" s="272"/>
      <c r="AA23" s="224"/>
      <c r="AB23" s="224"/>
      <c r="AC23" s="224"/>
    </row>
    <row r="24" spans="1:29" ht="15.75" customHeight="1">
      <c r="A24" s="248">
        <v>44796</v>
      </c>
      <c r="B24" s="219" t="s">
        <v>187</v>
      </c>
      <c r="C24" s="315">
        <v>4.25</v>
      </c>
      <c r="D24" s="219" t="s">
        <v>1185</v>
      </c>
      <c r="E24" s="219" t="s">
        <v>4</v>
      </c>
      <c r="F24" s="219" t="s">
        <v>725</v>
      </c>
      <c r="G24" s="219" t="s">
        <v>11273</v>
      </c>
      <c r="H24" s="219">
        <v>4.5</v>
      </c>
      <c r="I24" s="219" t="s">
        <v>1187</v>
      </c>
      <c r="J24" s="219" t="s">
        <v>1188</v>
      </c>
      <c r="K24" s="219">
        <v>4</v>
      </c>
      <c r="L24" s="219" t="s">
        <v>451</v>
      </c>
      <c r="M24" s="219">
        <v>4000000</v>
      </c>
      <c r="N24" s="219" t="s">
        <v>452</v>
      </c>
      <c r="O24" s="219" t="s">
        <v>452</v>
      </c>
      <c r="P24" s="219" t="s">
        <v>1189</v>
      </c>
      <c r="Q24" s="219" t="s">
        <v>18</v>
      </c>
      <c r="R24" s="219"/>
      <c r="S24" s="219" t="str">
        <f>IFERROR(VLOOKUP(B24,'2022-2023 Third Reviews'!$C:$S,9,FALSE),"")</f>
        <v/>
      </c>
      <c r="T24" s="219" t="s">
        <v>13062</v>
      </c>
      <c r="U24" s="219" t="s">
        <v>18</v>
      </c>
      <c r="V24" s="268"/>
      <c r="W24" s="268"/>
      <c r="X24" s="268"/>
      <c r="Y24" s="268"/>
      <c r="Z24" s="268"/>
      <c r="AA24" s="219"/>
      <c r="AB24" s="219"/>
      <c r="AC24" s="219"/>
    </row>
    <row r="25" spans="1:29" ht="15.75" customHeight="1">
      <c r="A25" s="253">
        <v>44797</v>
      </c>
      <c r="B25" s="224" t="s">
        <v>191</v>
      </c>
      <c r="C25" s="316">
        <v>4</v>
      </c>
      <c r="D25" s="224" t="s">
        <v>1194</v>
      </c>
      <c r="E25" s="224" t="s">
        <v>4</v>
      </c>
      <c r="F25" s="224" t="s">
        <v>602</v>
      </c>
      <c r="G25" s="224" t="s">
        <v>1195</v>
      </c>
      <c r="H25" s="224">
        <v>4</v>
      </c>
      <c r="I25" s="224" t="s">
        <v>1187</v>
      </c>
      <c r="J25" s="224" t="s">
        <v>1196</v>
      </c>
      <c r="K25" s="224">
        <v>4</v>
      </c>
      <c r="L25" s="224" t="s">
        <v>451</v>
      </c>
      <c r="M25" s="224">
        <v>3000000</v>
      </c>
      <c r="N25" s="224" t="s">
        <v>465</v>
      </c>
      <c r="O25" s="224" t="s">
        <v>1197</v>
      </c>
      <c r="P25" s="224"/>
      <c r="Q25" s="224" t="s">
        <v>18</v>
      </c>
      <c r="R25" s="224"/>
      <c r="S25" s="224" t="str">
        <f>IFERROR(VLOOKUP(B25,'2022-2023 Third Reviews'!$C:$S,9,FALSE),"")</f>
        <v/>
      </c>
      <c r="T25" s="224" t="s">
        <v>13063</v>
      </c>
      <c r="U25" s="224" t="s">
        <v>18</v>
      </c>
      <c r="V25" s="218"/>
      <c r="W25" s="218"/>
      <c r="X25" s="218"/>
      <c r="Y25" s="224"/>
      <c r="Z25" s="224"/>
      <c r="AA25" s="224"/>
      <c r="AB25" s="224"/>
      <c r="AC25" s="224"/>
    </row>
    <row r="26" spans="1:29" ht="15.75" customHeight="1">
      <c r="A26" s="248">
        <v>44789</v>
      </c>
      <c r="B26" s="219" t="s">
        <v>193</v>
      </c>
      <c r="C26" s="249">
        <v>4.5</v>
      </c>
      <c r="D26" s="219" t="s">
        <v>1202</v>
      </c>
      <c r="E26" s="250" t="s">
        <v>4</v>
      </c>
      <c r="F26" s="219" t="s">
        <v>602</v>
      </c>
      <c r="G26" s="219" t="s">
        <v>1203</v>
      </c>
      <c r="H26" s="219">
        <v>4.5</v>
      </c>
      <c r="I26" s="219" t="s">
        <v>1054</v>
      </c>
      <c r="J26" s="219" t="s">
        <v>1204</v>
      </c>
      <c r="K26" s="219">
        <v>4.5</v>
      </c>
      <c r="L26" s="219"/>
      <c r="M26" s="219"/>
      <c r="N26" s="219" t="s">
        <v>452</v>
      </c>
      <c r="O26" s="219" t="s">
        <v>1205</v>
      </c>
      <c r="P26" s="219"/>
      <c r="Q26" s="219" t="s">
        <v>18</v>
      </c>
      <c r="R26" s="219"/>
      <c r="S26" s="219" t="str">
        <f ca="1">IFERROR(VLOOKUP(B26,'2022-2023 Third Reviews'!$C:$S,9,FALSE),"")</f>
        <v>John McDonald
4</v>
      </c>
      <c r="T26" s="219" t="s">
        <v>13064</v>
      </c>
      <c r="U26" s="219" t="s">
        <v>18</v>
      </c>
      <c r="V26" s="228"/>
      <c r="W26" s="228"/>
      <c r="X26" s="228"/>
      <c r="Y26" s="219"/>
      <c r="Z26" s="219"/>
      <c r="AA26" s="219"/>
      <c r="AB26" s="219"/>
      <c r="AC26" s="219"/>
    </row>
    <row r="27" spans="1:29" ht="15.75" customHeight="1">
      <c r="A27" s="257">
        <v>44782</v>
      </c>
      <c r="B27" s="258" t="s">
        <v>194</v>
      </c>
      <c r="C27" s="249">
        <v>3.88</v>
      </c>
      <c r="D27" s="258" t="s">
        <v>1210</v>
      </c>
      <c r="E27" s="250" t="s">
        <v>4</v>
      </c>
      <c r="F27" s="258" t="s">
        <v>602</v>
      </c>
      <c r="G27" s="258" t="s">
        <v>10191</v>
      </c>
      <c r="H27" s="258">
        <v>4</v>
      </c>
      <c r="I27" s="258" t="s">
        <v>1054</v>
      </c>
      <c r="J27" s="258" t="s">
        <v>1212</v>
      </c>
      <c r="K27" s="258">
        <v>3.75</v>
      </c>
      <c r="L27" s="258" t="s">
        <v>478</v>
      </c>
      <c r="M27" s="258">
        <v>3000000</v>
      </c>
      <c r="N27" s="258" t="s">
        <v>465</v>
      </c>
      <c r="O27" s="258" t="s">
        <v>1213</v>
      </c>
      <c r="P27" s="258"/>
      <c r="Q27" s="228" t="s">
        <v>18</v>
      </c>
      <c r="R27" s="258" t="s">
        <v>1214</v>
      </c>
      <c r="S27" s="258" t="str">
        <f ca="1">IFERROR(VLOOKUP(B27,'2022-2023 Third Reviews'!$C:$S,9,FALSE),"")</f>
        <v>Nick Schmandt
3</v>
      </c>
      <c r="T27" s="258" t="s">
        <v>13065</v>
      </c>
      <c r="U27" s="258" t="s">
        <v>18</v>
      </c>
      <c r="V27" s="272"/>
      <c r="W27" s="272"/>
      <c r="X27" s="272"/>
      <c r="Y27" s="272"/>
      <c r="Z27" s="272"/>
      <c r="AA27" s="224"/>
      <c r="AB27" s="224"/>
      <c r="AC27" s="224"/>
    </row>
    <row r="28" spans="1:29" ht="15.75" customHeight="1">
      <c r="A28" s="257">
        <v>44789</v>
      </c>
      <c r="B28" s="258" t="s">
        <v>195</v>
      </c>
      <c r="C28" s="263">
        <v>3.88</v>
      </c>
      <c r="D28" s="258" t="s">
        <v>1227</v>
      </c>
      <c r="E28" s="258" t="s">
        <v>4</v>
      </c>
      <c r="F28" s="258" t="s">
        <v>727</v>
      </c>
      <c r="G28" s="258" t="s">
        <v>10652</v>
      </c>
      <c r="H28" s="258">
        <v>4.5</v>
      </c>
      <c r="I28" s="258" t="s">
        <v>1045</v>
      </c>
      <c r="J28" s="258" t="s">
        <v>1229</v>
      </c>
      <c r="K28" s="258">
        <v>3.25</v>
      </c>
      <c r="L28" s="258" t="s">
        <v>784</v>
      </c>
      <c r="M28" s="309">
        <v>1500000</v>
      </c>
      <c r="N28" s="258" t="s">
        <v>452</v>
      </c>
      <c r="O28" s="258" t="s">
        <v>452</v>
      </c>
      <c r="P28" s="258"/>
      <c r="Q28" s="258" t="s">
        <v>18</v>
      </c>
      <c r="R28" s="258" t="s">
        <v>1230</v>
      </c>
      <c r="S28" s="258" t="str">
        <f ca="1">IFERROR(VLOOKUP(B28,'2022-2023 Third Reviews'!$C:$S,9,FALSE),"")</f>
        <v>John McDonald
2</v>
      </c>
      <c r="T28" s="258" t="s">
        <v>13058</v>
      </c>
      <c r="U28" s="258" t="s">
        <v>18</v>
      </c>
      <c r="V28" s="303"/>
      <c r="W28" s="303"/>
      <c r="X28" s="303"/>
      <c r="Y28" s="303"/>
      <c r="Z28" s="303"/>
      <c r="AA28" s="306"/>
      <c r="AB28" s="306"/>
      <c r="AC28" s="306"/>
    </row>
    <row r="29" spans="1:29" ht="15.75" customHeight="1">
      <c r="A29" s="253">
        <v>44791</v>
      </c>
      <c r="B29" s="224" t="s">
        <v>197</v>
      </c>
      <c r="C29" s="316">
        <v>4.13</v>
      </c>
      <c r="D29" s="224" t="s">
        <v>1245</v>
      </c>
      <c r="E29" s="224" t="s">
        <v>4</v>
      </c>
      <c r="F29" s="224" t="s">
        <v>602</v>
      </c>
      <c r="G29" s="224" t="s">
        <v>1246</v>
      </c>
      <c r="H29" s="224">
        <v>4.25</v>
      </c>
      <c r="I29" s="224" t="s">
        <v>1045</v>
      </c>
      <c r="J29" s="224" t="s">
        <v>1247</v>
      </c>
      <c r="K29" s="224">
        <v>4</v>
      </c>
      <c r="L29" s="224" t="s">
        <v>478</v>
      </c>
      <c r="M29" s="311">
        <v>3500000</v>
      </c>
      <c r="N29" s="224" t="s">
        <v>452</v>
      </c>
      <c r="O29" s="224" t="s">
        <v>452</v>
      </c>
      <c r="P29" s="224" t="s">
        <v>460</v>
      </c>
      <c r="Q29" s="224" t="s">
        <v>18</v>
      </c>
      <c r="R29" s="224"/>
      <c r="S29" s="224" t="str">
        <f ca="1">IFERROR(VLOOKUP(B29,'2022-2023 Third Reviews'!$C:$S,9,FALSE),"")</f>
        <v>John McDonald
4</v>
      </c>
      <c r="T29" s="224" t="s">
        <v>13066</v>
      </c>
      <c r="U29" s="224" t="s">
        <v>18</v>
      </c>
      <c r="V29" s="272"/>
      <c r="W29" s="272"/>
      <c r="X29" s="272"/>
      <c r="Y29" s="272"/>
      <c r="Z29" s="272"/>
      <c r="AA29" s="224"/>
      <c r="AB29" s="224"/>
      <c r="AC29" s="224"/>
    </row>
    <row r="30" spans="1:29" ht="15.75" customHeight="1">
      <c r="A30" s="257">
        <v>44789</v>
      </c>
      <c r="B30" s="258" t="s">
        <v>199</v>
      </c>
      <c r="C30" s="263">
        <v>3.75</v>
      </c>
      <c r="D30" s="258" t="s">
        <v>1253</v>
      </c>
      <c r="E30" s="258" t="s">
        <v>4</v>
      </c>
      <c r="F30" s="258" t="s">
        <v>602</v>
      </c>
      <c r="G30" s="258" t="s">
        <v>1254</v>
      </c>
      <c r="H30" s="258">
        <v>4</v>
      </c>
      <c r="I30" s="258" t="s">
        <v>1054</v>
      </c>
      <c r="J30" s="258" t="s">
        <v>11622</v>
      </c>
      <c r="K30" s="258">
        <v>3.5</v>
      </c>
      <c r="L30" s="258" t="s">
        <v>451</v>
      </c>
      <c r="M30" s="309">
        <v>2000000</v>
      </c>
      <c r="N30" s="258" t="s">
        <v>465</v>
      </c>
      <c r="O30" s="258" t="s">
        <v>1256</v>
      </c>
      <c r="P30" s="258"/>
      <c r="Q30" s="258" t="s">
        <v>18</v>
      </c>
      <c r="R30" s="258" t="s">
        <v>11623</v>
      </c>
      <c r="S30" s="258" t="str">
        <f ca="1">IFERROR(VLOOKUP(B30,'2022-2023 Third Reviews'!$C:$S,9,FALSE),"")</f>
        <v>John McDonald
4</v>
      </c>
      <c r="T30" s="258" t="s">
        <v>13067</v>
      </c>
      <c r="U30" s="258" t="s">
        <v>18</v>
      </c>
      <c r="V30" s="218"/>
      <c r="W30" s="218"/>
      <c r="X30" s="218"/>
      <c r="Y30" s="219"/>
      <c r="Z30" s="219"/>
      <c r="AA30" s="219"/>
      <c r="AB30" s="219"/>
      <c r="AC30" s="219"/>
    </row>
    <row r="31" spans="1:29" ht="15.75" customHeight="1">
      <c r="A31" s="398">
        <v>44784</v>
      </c>
      <c r="B31" s="272" t="s">
        <v>200</v>
      </c>
      <c r="C31" s="269">
        <v>4.25</v>
      </c>
      <c r="D31" s="272" t="s">
        <v>1262</v>
      </c>
      <c r="E31" s="270" t="s">
        <v>4</v>
      </c>
      <c r="F31" s="272" t="s">
        <v>727</v>
      </c>
      <c r="G31" s="400" t="s">
        <v>13068</v>
      </c>
      <c r="H31" s="272">
        <v>4.5</v>
      </c>
      <c r="I31" s="272" t="s">
        <v>1054</v>
      </c>
      <c r="J31" s="272" t="s">
        <v>11552</v>
      </c>
      <c r="K31" s="272">
        <v>4</v>
      </c>
      <c r="L31" s="272" t="s">
        <v>451</v>
      </c>
      <c r="M31" s="273">
        <v>2000000</v>
      </c>
      <c r="N31" s="272" t="s">
        <v>465</v>
      </c>
      <c r="O31" s="273" t="s">
        <v>452</v>
      </c>
      <c r="P31" s="272"/>
      <c r="Q31" s="272" t="s">
        <v>18</v>
      </c>
      <c r="R31" s="272"/>
      <c r="S31" s="272" t="str">
        <f ca="1">IFERROR(VLOOKUP(B31,'2022-2023 Third Reviews'!$C:$S,9,FALSE),"")</f>
        <v>Nick Schmandt
3</v>
      </c>
      <c r="T31" s="272" t="s">
        <v>13069</v>
      </c>
      <c r="U31" s="272" t="s">
        <v>18</v>
      </c>
      <c r="V31" s="252"/>
      <c r="W31" s="252"/>
      <c r="X31" s="252"/>
      <c r="Y31" s="224"/>
      <c r="Z31" s="224"/>
      <c r="AA31" s="224"/>
      <c r="AB31" s="224"/>
      <c r="AC31" s="224"/>
    </row>
    <row r="32" spans="1:29" ht="15.75" customHeight="1">
      <c r="A32" s="257">
        <v>44789</v>
      </c>
      <c r="B32" s="258" t="s">
        <v>202</v>
      </c>
      <c r="C32" s="263">
        <v>4.5</v>
      </c>
      <c r="D32" s="258" t="s">
        <v>1269</v>
      </c>
      <c r="E32" s="258" t="s">
        <v>4</v>
      </c>
      <c r="F32" s="258" t="s">
        <v>602</v>
      </c>
      <c r="G32" s="258" t="s">
        <v>1270</v>
      </c>
      <c r="H32" s="258">
        <v>4.5</v>
      </c>
      <c r="I32" s="258" t="s">
        <v>476</v>
      </c>
      <c r="J32" s="258" t="s">
        <v>13070</v>
      </c>
      <c r="K32" s="258">
        <v>4.5</v>
      </c>
      <c r="L32" s="258"/>
      <c r="M32" s="258"/>
      <c r="N32" s="258" t="s">
        <v>454</v>
      </c>
      <c r="O32" s="258" t="s">
        <v>11050</v>
      </c>
      <c r="P32" s="258" t="s">
        <v>1273</v>
      </c>
      <c r="Q32" s="258" t="s">
        <v>18</v>
      </c>
      <c r="R32" s="258" t="s">
        <v>1274</v>
      </c>
      <c r="S32" s="258" t="str">
        <f ca="1">IFERROR(VLOOKUP(B32,'2022-2023 Third Reviews'!$C:$S,9,FALSE),"")</f>
        <v>John McDonald
5</v>
      </c>
      <c r="T32" s="258" t="s">
        <v>13071</v>
      </c>
      <c r="U32" s="258" t="s">
        <v>18</v>
      </c>
      <c r="V32" s="252"/>
      <c r="W32" s="252"/>
      <c r="X32" s="252"/>
      <c r="Y32" s="219"/>
      <c r="Z32" s="219"/>
      <c r="AA32" s="219"/>
      <c r="AB32" s="219"/>
      <c r="AC32" s="219"/>
    </row>
    <row r="33" spans="1:29" ht="15.75" customHeight="1">
      <c r="A33" s="253">
        <v>44796</v>
      </c>
      <c r="B33" s="224" t="s">
        <v>206</v>
      </c>
      <c r="C33" s="316">
        <v>4.25</v>
      </c>
      <c r="D33" s="224" t="s">
        <v>1279</v>
      </c>
      <c r="E33" s="224" t="s">
        <v>4</v>
      </c>
      <c r="F33" s="224" t="s">
        <v>725</v>
      </c>
      <c r="G33" s="224" t="s">
        <v>11707</v>
      </c>
      <c r="H33" s="224">
        <v>4.5</v>
      </c>
      <c r="I33" s="224" t="s">
        <v>1281</v>
      </c>
      <c r="J33" s="224" t="s">
        <v>1282</v>
      </c>
      <c r="K33" s="224">
        <v>4</v>
      </c>
      <c r="L33" s="224" t="s">
        <v>451</v>
      </c>
      <c r="M33" s="311">
        <v>350000</v>
      </c>
      <c r="N33" s="224" t="s">
        <v>452</v>
      </c>
      <c r="O33" s="224" t="s">
        <v>1283</v>
      </c>
      <c r="P33" s="224"/>
      <c r="Q33" s="224" t="s">
        <v>18</v>
      </c>
      <c r="R33" s="224"/>
      <c r="S33" s="224" t="str">
        <f>IFERROR(VLOOKUP(B33,'2022-2023 Third Reviews'!$C:$S,9,FALSE),"")</f>
        <v/>
      </c>
      <c r="T33" s="224" t="s">
        <v>13072</v>
      </c>
      <c r="U33" s="224" t="s">
        <v>18</v>
      </c>
      <c r="V33" s="218"/>
      <c r="W33" s="218"/>
      <c r="X33" s="218"/>
      <c r="Y33" s="224"/>
      <c r="Z33" s="224"/>
      <c r="AA33" s="224"/>
      <c r="AB33" s="224"/>
      <c r="AC33" s="224"/>
    </row>
    <row r="34" spans="1:29" ht="15.75" customHeight="1">
      <c r="A34" s="248">
        <v>44791</v>
      </c>
      <c r="B34" s="219" t="s">
        <v>212</v>
      </c>
      <c r="C34" s="315">
        <v>4</v>
      </c>
      <c r="D34" s="219" t="s">
        <v>1288</v>
      </c>
      <c r="E34" s="219" t="s">
        <v>4</v>
      </c>
      <c r="F34" s="219" t="s">
        <v>725</v>
      </c>
      <c r="G34" s="219" t="s">
        <v>1289</v>
      </c>
      <c r="H34" s="219">
        <v>4</v>
      </c>
      <c r="I34" s="219" t="s">
        <v>1045</v>
      </c>
      <c r="J34" s="219" t="s">
        <v>1290</v>
      </c>
      <c r="K34" s="219">
        <v>4</v>
      </c>
      <c r="L34" s="219" t="s">
        <v>923</v>
      </c>
      <c r="M34" s="219" t="s">
        <v>1291</v>
      </c>
      <c r="N34" s="219" t="s">
        <v>452</v>
      </c>
      <c r="O34" s="219" t="s">
        <v>1292</v>
      </c>
      <c r="P34" s="219"/>
      <c r="Q34" s="219" t="s">
        <v>18</v>
      </c>
      <c r="R34" s="219"/>
      <c r="S34" s="219" t="str">
        <f>IFERROR(VLOOKUP(B34,'2022-2023 Third Reviews'!$C:$S,9,FALSE),"")</f>
        <v/>
      </c>
      <c r="T34" s="219" t="s">
        <v>13073</v>
      </c>
      <c r="U34" s="219" t="s">
        <v>18</v>
      </c>
      <c r="V34" s="268"/>
      <c r="W34" s="268"/>
      <c r="X34" s="268"/>
      <c r="Y34" s="268"/>
      <c r="Z34" s="268"/>
      <c r="AA34" s="219"/>
      <c r="AB34" s="219"/>
      <c r="AC34" s="219"/>
    </row>
    <row r="35" spans="1:29" ht="15.75" customHeight="1">
      <c r="A35" s="253">
        <v>44791</v>
      </c>
      <c r="B35" s="224" t="s">
        <v>213</v>
      </c>
      <c r="C35" s="316">
        <v>4.5</v>
      </c>
      <c r="D35" s="224" t="s">
        <v>1296</v>
      </c>
      <c r="E35" s="224" t="s">
        <v>4</v>
      </c>
      <c r="F35" s="224" t="s">
        <v>727</v>
      </c>
      <c r="G35" s="224" t="s">
        <v>11466</v>
      </c>
      <c r="H35" s="224">
        <v>5</v>
      </c>
      <c r="I35" s="224" t="s">
        <v>1298</v>
      </c>
      <c r="J35" s="224" t="s">
        <v>11467</v>
      </c>
      <c r="K35" s="224">
        <v>4</v>
      </c>
      <c r="L35" s="224" t="s">
        <v>973</v>
      </c>
      <c r="M35" s="307">
        <v>40000000</v>
      </c>
      <c r="N35" s="224" t="s">
        <v>465</v>
      </c>
      <c r="O35" s="224" t="s">
        <v>452</v>
      </c>
      <c r="P35" s="224"/>
      <c r="Q35" s="224" t="s">
        <v>18</v>
      </c>
      <c r="R35" s="224"/>
      <c r="S35" s="224" t="str">
        <f>IFERROR(VLOOKUP(B35,'2022-2023 Third Reviews'!$C:$S,9,FALSE),"")</f>
        <v/>
      </c>
      <c r="T35" s="224" t="s">
        <v>13074</v>
      </c>
      <c r="U35" s="224" t="s">
        <v>18</v>
      </c>
      <c r="V35" s="234"/>
      <c r="W35" s="234"/>
      <c r="X35" s="234"/>
      <c r="Y35" s="239"/>
      <c r="Z35" s="239"/>
      <c r="AA35" s="239"/>
      <c r="AB35" s="239"/>
      <c r="AC35" s="239"/>
    </row>
    <row r="36" spans="1:29" ht="15.75" customHeight="1">
      <c r="A36" s="248">
        <v>44796</v>
      </c>
      <c r="B36" s="219" t="s">
        <v>218</v>
      </c>
      <c r="C36" s="315">
        <v>4</v>
      </c>
      <c r="D36" s="219" t="s">
        <v>1303</v>
      </c>
      <c r="E36" s="219" t="s">
        <v>4</v>
      </c>
      <c r="F36" s="219" t="s">
        <v>725</v>
      </c>
      <c r="G36" s="219" t="s">
        <v>13075</v>
      </c>
      <c r="H36" s="219">
        <v>4.5</v>
      </c>
      <c r="I36" s="219" t="s">
        <v>1045</v>
      </c>
      <c r="J36" s="219" t="s">
        <v>1305</v>
      </c>
      <c r="K36" s="219">
        <v>3.5</v>
      </c>
      <c r="L36" s="219" t="s">
        <v>451</v>
      </c>
      <c r="M36" s="219" t="s">
        <v>1306</v>
      </c>
      <c r="N36" s="219" t="s">
        <v>452</v>
      </c>
      <c r="O36" s="219" t="s">
        <v>1307</v>
      </c>
      <c r="P36" s="219" t="s">
        <v>1308</v>
      </c>
      <c r="Q36" s="219" t="s">
        <v>18</v>
      </c>
      <c r="R36" s="219"/>
      <c r="S36" s="219" t="str">
        <f>IFERROR(VLOOKUP(B36,'2022-2023 Third Reviews'!$C:$S,9,FALSE),"")</f>
        <v/>
      </c>
      <c r="T36" s="219" t="s">
        <v>13076</v>
      </c>
      <c r="U36" s="219" t="s">
        <v>18</v>
      </c>
      <c r="V36" s="218"/>
      <c r="W36" s="218"/>
      <c r="X36" s="218"/>
      <c r="Y36" s="219"/>
      <c r="Z36" s="219"/>
      <c r="AA36" s="219"/>
      <c r="AB36" s="219"/>
      <c r="AC36" s="219"/>
    </row>
    <row r="37" spans="1:29" ht="15.75" customHeight="1">
      <c r="A37" s="253">
        <v>44796</v>
      </c>
      <c r="B37" s="224" t="s">
        <v>219</v>
      </c>
      <c r="C37" s="316">
        <v>4.5</v>
      </c>
      <c r="D37" s="224" t="s">
        <v>1313</v>
      </c>
      <c r="E37" s="224" t="s">
        <v>4</v>
      </c>
      <c r="F37" s="224" t="s">
        <v>727</v>
      </c>
      <c r="G37" s="224" t="s">
        <v>11056</v>
      </c>
      <c r="H37" s="224">
        <v>4.5</v>
      </c>
      <c r="I37" s="224" t="s">
        <v>1045</v>
      </c>
      <c r="J37" s="224" t="s">
        <v>1315</v>
      </c>
      <c r="K37" s="224">
        <v>4.5</v>
      </c>
      <c r="L37" s="224" t="s">
        <v>478</v>
      </c>
      <c r="M37" s="224">
        <v>8000000</v>
      </c>
      <c r="N37" s="224" t="s">
        <v>452</v>
      </c>
      <c r="O37" s="224" t="s">
        <v>452</v>
      </c>
      <c r="P37" s="224"/>
      <c r="Q37" s="224" t="s">
        <v>18</v>
      </c>
      <c r="R37" s="224"/>
      <c r="S37" s="224" t="str">
        <f>IFERROR(VLOOKUP(B37,'2022-2023 Third Reviews'!$C:$S,9,FALSE),"")</f>
        <v/>
      </c>
      <c r="T37" s="224" t="s">
        <v>13077</v>
      </c>
      <c r="U37" s="224" t="s">
        <v>18</v>
      </c>
      <c r="V37" s="272"/>
      <c r="W37" s="272"/>
      <c r="X37" s="272"/>
      <c r="Y37" s="272"/>
      <c r="Z37" s="272"/>
      <c r="AA37" s="224"/>
      <c r="AB37" s="224"/>
      <c r="AC37" s="224"/>
    </row>
    <row r="38" spans="1:29" ht="15.75" customHeight="1">
      <c r="A38" s="248">
        <v>44789</v>
      </c>
      <c r="B38" s="219" t="s">
        <v>220</v>
      </c>
      <c r="C38" s="249">
        <v>4</v>
      </c>
      <c r="D38" s="219" t="s">
        <v>11445</v>
      </c>
      <c r="E38" s="250" t="s">
        <v>4</v>
      </c>
      <c r="F38" s="219" t="s">
        <v>727</v>
      </c>
      <c r="G38" s="219" t="s">
        <v>11446</v>
      </c>
      <c r="H38" s="219">
        <v>4</v>
      </c>
      <c r="I38" s="219" t="s">
        <v>1045</v>
      </c>
      <c r="J38" s="219" t="s">
        <v>1322</v>
      </c>
      <c r="K38" s="219">
        <v>4</v>
      </c>
      <c r="L38" s="219" t="s">
        <v>451</v>
      </c>
      <c r="M38" s="312" t="s">
        <v>1323</v>
      </c>
      <c r="N38" s="219" t="s">
        <v>454</v>
      </c>
      <c r="O38" s="219" t="s">
        <v>452</v>
      </c>
      <c r="P38" s="219" t="s">
        <v>1324</v>
      </c>
      <c r="Q38" s="219" t="s">
        <v>18</v>
      </c>
      <c r="R38" s="219"/>
      <c r="S38" s="219" t="str">
        <f ca="1">IFERROR(VLOOKUP(B38,'2022-2023 Third Reviews'!$C:$S,9,FALSE),"")</f>
        <v>Jason Yu
4</v>
      </c>
      <c r="T38" s="219" t="s">
        <v>13078</v>
      </c>
      <c r="U38" s="219" t="s">
        <v>18</v>
      </c>
      <c r="V38" s="252"/>
      <c r="W38" s="252"/>
      <c r="X38" s="252"/>
      <c r="Y38" s="219"/>
      <c r="Z38" s="219"/>
      <c r="AA38" s="219"/>
      <c r="AB38" s="219"/>
      <c r="AC38" s="219"/>
    </row>
    <row r="39" spans="1:29" ht="15.75" customHeight="1">
      <c r="A39" s="398">
        <v>44784</v>
      </c>
      <c r="B39" s="272" t="s">
        <v>223</v>
      </c>
      <c r="C39" s="269">
        <v>4.38</v>
      </c>
      <c r="D39" s="272" t="s">
        <v>1339</v>
      </c>
      <c r="E39" s="270" t="s">
        <v>4</v>
      </c>
      <c r="F39" s="272" t="s">
        <v>725</v>
      </c>
      <c r="G39" s="272" t="s">
        <v>1340</v>
      </c>
      <c r="H39" s="272">
        <v>4</v>
      </c>
      <c r="I39" s="272" t="s">
        <v>727</v>
      </c>
      <c r="J39" s="272" t="s">
        <v>11549</v>
      </c>
      <c r="K39" s="272">
        <v>4.75</v>
      </c>
      <c r="L39" s="272" t="s">
        <v>451</v>
      </c>
      <c r="M39" s="272">
        <v>5000000</v>
      </c>
      <c r="N39" s="272" t="s">
        <v>452</v>
      </c>
      <c r="O39" s="272" t="s">
        <v>11425</v>
      </c>
      <c r="P39" s="272" t="s">
        <v>1343</v>
      </c>
      <c r="Q39" s="272" t="s">
        <v>18</v>
      </c>
      <c r="R39" s="272"/>
      <c r="S39" s="272" t="str">
        <f ca="1">IFERROR(VLOOKUP(B39,'2022-2023 Third Reviews'!$C:$S,9,FALSE),"")</f>
        <v>Ahmed Bahgat
3</v>
      </c>
      <c r="T39" s="272" t="s">
        <v>13079</v>
      </c>
      <c r="U39" s="272" t="s">
        <v>18</v>
      </c>
      <c r="V39" s="252"/>
      <c r="W39" s="252"/>
      <c r="X39" s="252"/>
      <c r="Y39" s="224"/>
      <c r="Z39" s="224"/>
      <c r="AA39" s="224"/>
      <c r="AB39" s="224"/>
      <c r="AC39" s="224"/>
    </row>
    <row r="40" spans="1:29" ht="15.75" customHeight="1">
      <c r="A40" s="257">
        <v>44797</v>
      </c>
      <c r="B40" s="258" t="s">
        <v>224</v>
      </c>
      <c r="C40" s="263">
        <v>4.5</v>
      </c>
      <c r="D40" s="258" t="s">
        <v>1348</v>
      </c>
      <c r="E40" s="258" t="s">
        <v>4</v>
      </c>
      <c r="F40" s="258" t="s">
        <v>727</v>
      </c>
      <c r="G40" s="258" t="s">
        <v>10340</v>
      </c>
      <c r="H40" s="258">
        <v>4.5</v>
      </c>
      <c r="I40" s="258" t="s">
        <v>1350</v>
      </c>
      <c r="J40" s="258" t="s">
        <v>1351</v>
      </c>
      <c r="K40" s="258">
        <v>4.5</v>
      </c>
      <c r="L40" s="258"/>
      <c r="M40" s="258"/>
      <c r="N40" s="258" t="s">
        <v>465</v>
      </c>
      <c r="O40" s="258" t="s">
        <v>1352</v>
      </c>
      <c r="P40" s="258"/>
      <c r="Q40" s="258" t="s">
        <v>18</v>
      </c>
      <c r="R40" s="258" t="s">
        <v>1353</v>
      </c>
      <c r="S40" s="258" t="str">
        <f>IFERROR(VLOOKUP(B40,'2022-2023 Third Reviews'!$C:$S,9,FALSE),"")</f>
        <v/>
      </c>
      <c r="T40" s="258" t="s">
        <v>13080</v>
      </c>
      <c r="U40" s="258" t="s">
        <v>18</v>
      </c>
      <c r="V40" s="218"/>
      <c r="W40" s="218"/>
      <c r="X40" s="218"/>
      <c r="Y40" s="219"/>
      <c r="Z40" s="219"/>
      <c r="AA40" s="219"/>
      <c r="AB40" s="219"/>
      <c r="AC40" s="219"/>
    </row>
    <row r="41" spans="1:29" ht="15.75" customHeight="1">
      <c r="A41" s="257">
        <v>44782</v>
      </c>
      <c r="B41" s="258" t="s">
        <v>227</v>
      </c>
      <c r="C41" s="249">
        <v>3.5</v>
      </c>
      <c r="D41" s="258" t="s">
        <v>1358</v>
      </c>
      <c r="E41" s="250" t="s">
        <v>4</v>
      </c>
      <c r="F41" s="258" t="s">
        <v>602</v>
      </c>
      <c r="G41" s="258" t="s">
        <v>1359</v>
      </c>
      <c r="H41" s="258">
        <v>4</v>
      </c>
      <c r="I41" s="258" t="s">
        <v>476</v>
      </c>
      <c r="J41" s="258" t="s">
        <v>13400</v>
      </c>
      <c r="K41" s="258">
        <v>3</v>
      </c>
      <c r="L41" s="258" t="s">
        <v>1361</v>
      </c>
      <c r="M41" s="258" t="s">
        <v>1362</v>
      </c>
      <c r="N41" s="258" t="s">
        <v>465</v>
      </c>
      <c r="O41" s="258" t="s">
        <v>1363</v>
      </c>
      <c r="P41" s="258"/>
      <c r="Q41" s="258" t="s">
        <v>18</v>
      </c>
      <c r="R41" s="258" t="s">
        <v>1364</v>
      </c>
      <c r="S41" s="258" t="str">
        <f ca="1">IFERROR(VLOOKUP(B41,'2022-2023 Third Reviews'!$C:$S,9,FALSE),"")</f>
        <v>Ahmed Bahgat
4</v>
      </c>
      <c r="T41" s="258" t="s">
        <v>13081</v>
      </c>
      <c r="U41" s="258" t="s">
        <v>18</v>
      </c>
      <c r="V41" s="224"/>
      <c r="W41" s="224"/>
      <c r="X41" s="224"/>
      <c r="Y41" s="224"/>
      <c r="Z41" s="224"/>
      <c r="AA41" s="224"/>
      <c r="AB41" s="224"/>
      <c r="AC41" s="224"/>
    </row>
    <row r="42" spans="1:29" ht="15.75" customHeight="1">
      <c r="A42" s="248">
        <v>44791</v>
      </c>
      <c r="B42" s="219" t="s">
        <v>231</v>
      </c>
      <c r="C42" s="315">
        <v>5</v>
      </c>
      <c r="D42" s="219" t="s">
        <v>1369</v>
      </c>
      <c r="E42" s="219" t="s">
        <v>4</v>
      </c>
      <c r="F42" s="219" t="s">
        <v>727</v>
      </c>
      <c r="G42" s="219" t="s">
        <v>10502</v>
      </c>
      <c r="H42" s="219">
        <v>5</v>
      </c>
      <c r="I42" s="219" t="s">
        <v>1371</v>
      </c>
      <c r="J42" s="219" t="s">
        <v>1372</v>
      </c>
      <c r="K42" s="219">
        <v>5</v>
      </c>
      <c r="L42" s="219" t="s">
        <v>478</v>
      </c>
      <c r="M42" s="219" t="s">
        <v>1373</v>
      </c>
      <c r="N42" s="219" t="s">
        <v>465</v>
      </c>
      <c r="O42" s="219" t="s">
        <v>1374</v>
      </c>
      <c r="P42" s="219" t="s">
        <v>1375</v>
      </c>
      <c r="Q42" s="219" t="s">
        <v>18</v>
      </c>
      <c r="R42" s="219" t="s">
        <v>1376</v>
      </c>
      <c r="S42" s="219" t="str">
        <f>IFERROR(VLOOKUP(B42,'2022-2023 Third Reviews'!$C:$S,9,FALSE),"")</f>
        <v/>
      </c>
      <c r="T42" s="219" t="s">
        <v>13050</v>
      </c>
      <c r="U42" s="219" t="s">
        <v>18</v>
      </c>
      <c r="V42" s="234"/>
      <c r="W42" s="234"/>
      <c r="X42" s="234"/>
      <c r="Y42" s="239"/>
      <c r="Z42" s="239"/>
      <c r="AA42" s="239"/>
      <c r="AB42" s="239"/>
      <c r="AC42" s="239"/>
    </row>
    <row r="43" spans="1:29" ht="15.75" customHeight="1">
      <c r="A43" s="253">
        <v>44789</v>
      </c>
      <c r="B43" s="224" t="s">
        <v>233</v>
      </c>
      <c r="C43" s="249">
        <v>4.25</v>
      </c>
      <c r="D43" s="224" t="s">
        <v>1381</v>
      </c>
      <c r="E43" s="250" t="s">
        <v>4</v>
      </c>
      <c r="F43" s="224" t="s">
        <v>727</v>
      </c>
      <c r="G43" s="224" t="s">
        <v>10749</v>
      </c>
      <c r="H43" s="224">
        <v>4.5</v>
      </c>
      <c r="I43" s="224" t="s">
        <v>1045</v>
      </c>
      <c r="J43" s="224" t="s">
        <v>1383</v>
      </c>
      <c r="K43" s="224">
        <v>4</v>
      </c>
      <c r="L43" s="224" t="s">
        <v>451</v>
      </c>
      <c r="M43" s="224" t="s">
        <v>1384</v>
      </c>
      <c r="N43" s="224" t="s">
        <v>452</v>
      </c>
      <c r="O43" s="224" t="s">
        <v>1385</v>
      </c>
      <c r="P43" s="224" t="s">
        <v>725</v>
      </c>
      <c r="Q43" s="224" t="s">
        <v>18</v>
      </c>
      <c r="R43" s="224"/>
      <c r="S43" s="224" t="str">
        <f ca="1">IFERROR(VLOOKUP(B43,'2022-2023 Third Reviews'!$C:$S,9,FALSE),"")</f>
        <v>Ahmed Bahgat
5</v>
      </c>
      <c r="T43" s="224" t="s">
        <v>13082</v>
      </c>
      <c r="U43" s="224" t="s">
        <v>18</v>
      </c>
      <c r="V43" s="258"/>
      <c r="W43" s="258"/>
      <c r="X43" s="258"/>
      <c r="Y43" s="258"/>
      <c r="Z43" s="258"/>
      <c r="AA43" s="258"/>
      <c r="AB43" s="258"/>
      <c r="AC43" s="258"/>
    </row>
    <row r="44" spans="1:29" ht="15.75" customHeight="1">
      <c r="A44" s="257">
        <v>44796</v>
      </c>
      <c r="B44" s="258" t="s">
        <v>237</v>
      </c>
      <c r="C44" s="263">
        <v>4.75</v>
      </c>
      <c r="D44" s="258" t="s">
        <v>1390</v>
      </c>
      <c r="E44" s="258" t="s">
        <v>4</v>
      </c>
      <c r="F44" s="258" t="s">
        <v>727</v>
      </c>
      <c r="G44" s="258" t="s">
        <v>10575</v>
      </c>
      <c r="H44" s="258">
        <v>4.5</v>
      </c>
      <c r="I44" s="258" t="s">
        <v>1371</v>
      </c>
      <c r="J44" s="258" t="s">
        <v>1392</v>
      </c>
      <c r="K44" s="258">
        <v>5</v>
      </c>
      <c r="L44" s="258" t="s">
        <v>478</v>
      </c>
      <c r="M44" s="258">
        <v>8000000</v>
      </c>
      <c r="N44" s="258" t="s">
        <v>452</v>
      </c>
      <c r="O44" s="258" t="s">
        <v>10576</v>
      </c>
      <c r="P44" s="258"/>
      <c r="Q44" s="258" t="s">
        <v>18</v>
      </c>
      <c r="R44" s="258" t="s">
        <v>1394</v>
      </c>
      <c r="S44" s="258" t="str">
        <f>IFERROR(VLOOKUP(B44,'2022-2023 Third Reviews'!$C:$S,9,FALSE),"")</f>
        <v/>
      </c>
      <c r="T44" s="258" t="s">
        <v>13083</v>
      </c>
      <c r="U44" s="258" t="s">
        <v>18</v>
      </c>
      <c r="V44" s="303"/>
      <c r="W44" s="303"/>
      <c r="X44" s="303"/>
      <c r="Y44" s="303"/>
      <c r="Z44" s="303"/>
      <c r="AA44" s="306"/>
      <c r="AB44" s="306"/>
      <c r="AC44" s="306"/>
    </row>
    <row r="45" spans="1:29" ht="15.75" customHeight="1">
      <c r="A45" s="257">
        <v>44797</v>
      </c>
      <c r="B45" s="258" t="s">
        <v>240</v>
      </c>
      <c r="C45" s="263">
        <v>4</v>
      </c>
      <c r="D45" s="258" t="s">
        <v>10823</v>
      </c>
      <c r="E45" s="258" t="s">
        <v>4</v>
      </c>
      <c r="F45" s="258" t="s">
        <v>1045</v>
      </c>
      <c r="G45" s="258" t="s">
        <v>1407</v>
      </c>
      <c r="H45" s="258">
        <v>4</v>
      </c>
      <c r="I45" s="258" t="s">
        <v>462</v>
      </c>
      <c r="J45" s="258" t="s">
        <v>1408</v>
      </c>
      <c r="K45" s="258">
        <v>4</v>
      </c>
      <c r="L45" s="258"/>
      <c r="M45" s="258"/>
      <c r="N45" s="258" t="s">
        <v>454</v>
      </c>
      <c r="O45" s="258" t="s">
        <v>1409</v>
      </c>
      <c r="P45" s="258"/>
      <c r="Q45" s="258" t="s">
        <v>18</v>
      </c>
      <c r="R45" s="258" t="s">
        <v>1410</v>
      </c>
      <c r="S45" s="258" t="str">
        <f>IFERROR(VLOOKUP(B45,'2022-2023 Third Reviews'!$C:$S,9,FALSE),"")</f>
        <v/>
      </c>
      <c r="T45" s="258" t="s">
        <v>13084</v>
      </c>
      <c r="U45" s="258" t="s">
        <v>18</v>
      </c>
      <c r="V45" s="252"/>
      <c r="W45" s="252"/>
      <c r="X45" s="252"/>
      <c r="Y45" s="224"/>
      <c r="Z45" s="224"/>
      <c r="AA45" s="224"/>
      <c r="AB45" s="224"/>
      <c r="AC45" s="224"/>
    </row>
    <row r="46" spans="1:29" ht="15.75" customHeight="1">
      <c r="A46" s="398">
        <v>44784</v>
      </c>
      <c r="B46" s="268" t="s">
        <v>241</v>
      </c>
      <c r="C46" s="269">
        <v>4.25</v>
      </c>
      <c r="D46" s="268" t="s">
        <v>11456</v>
      </c>
      <c r="E46" s="270" t="s">
        <v>4</v>
      </c>
      <c r="F46" s="268" t="s">
        <v>602</v>
      </c>
      <c r="G46" s="268" t="s">
        <v>1418</v>
      </c>
      <c r="H46" s="268">
        <v>4</v>
      </c>
      <c r="I46" s="268" t="s">
        <v>727</v>
      </c>
      <c r="J46" s="268" t="s">
        <v>11457</v>
      </c>
      <c r="K46" s="268">
        <v>4.5</v>
      </c>
      <c r="L46" s="268" t="s">
        <v>478</v>
      </c>
      <c r="M46" s="268" t="s">
        <v>1420</v>
      </c>
      <c r="N46" s="268" t="s">
        <v>454</v>
      </c>
      <c r="O46" s="268" t="s">
        <v>1421</v>
      </c>
      <c r="P46" s="268" t="s">
        <v>1422</v>
      </c>
      <c r="Q46" s="268" t="s">
        <v>18</v>
      </c>
      <c r="R46" s="268" t="s">
        <v>1423</v>
      </c>
      <c r="S46" s="268" t="str">
        <f>IFERROR(VLOOKUP(B46,'2022-2023 Third Reviews'!$C:$S,9,FALSE),"")</f>
        <v/>
      </c>
      <c r="T46" s="268" t="s">
        <v>13066</v>
      </c>
      <c r="U46" s="268" t="s">
        <v>18</v>
      </c>
      <c r="V46" s="277"/>
      <c r="W46" s="277"/>
      <c r="X46" s="277"/>
      <c r="Y46" s="277"/>
      <c r="Z46" s="277"/>
      <c r="AA46" s="239"/>
      <c r="AB46" s="239"/>
      <c r="AC46" s="239"/>
    </row>
    <row r="47" spans="1:29" ht="15.75" customHeight="1">
      <c r="A47" s="255">
        <v>44791</v>
      </c>
      <c r="B47" s="239" t="s">
        <v>245</v>
      </c>
      <c r="C47" s="262">
        <v>4</v>
      </c>
      <c r="D47" s="239" t="s">
        <v>1428</v>
      </c>
      <c r="E47" s="239" t="s">
        <v>4</v>
      </c>
      <c r="F47" s="239" t="s">
        <v>447</v>
      </c>
      <c r="G47" s="319" t="s">
        <v>13085</v>
      </c>
      <c r="H47" s="239">
        <v>4</v>
      </c>
      <c r="I47" s="239" t="s">
        <v>449</v>
      </c>
      <c r="J47" s="239" t="s">
        <v>11655</v>
      </c>
      <c r="K47" s="239">
        <v>4</v>
      </c>
      <c r="L47" s="239"/>
      <c r="M47" s="239"/>
      <c r="N47" s="239" t="s">
        <v>465</v>
      </c>
      <c r="O47" s="239" t="s">
        <v>1431</v>
      </c>
      <c r="P47" s="239"/>
      <c r="Q47" s="239" t="s">
        <v>19</v>
      </c>
      <c r="R47" s="239" t="s">
        <v>11656</v>
      </c>
      <c r="S47" s="239" t="str">
        <f>IFERROR(VLOOKUP(B47,'2022-2023 Third Reviews'!$C:$S,9,FALSE),"")</f>
        <v/>
      </c>
      <c r="T47" s="239" t="s">
        <v>13086</v>
      </c>
      <c r="U47" s="239" t="s">
        <v>18</v>
      </c>
      <c r="V47" s="218"/>
      <c r="W47" s="218"/>
      <c r="X47" s="218"/>
      <c r="Y47" s="224"/>
      <c r="Z47" s="224"/>
      <c r="AA47" s="224"/>
      <c r="AB47" s="224"/>
      <c r="AC47" s="224"/>
    </row>
    <row r="48" spans="1:29" ht="15.75" customHeight="1">
      <c r="A48" s="255">
        <v>44791</v>
      </c>
      <c r="B48" s="239" t="s">
        <v>246</v>
      </c>
      <c r="C48" s="262">
        <v>4</v>
      </c>
      <c r="D48" s="239" t="s">
        <v>1437</v>
      </c>
      <c r="E48" s="239" t="s">
        <v>4</v>
      </c>
      <c r="F48" s="239" t="s">
        <v>460</v>
      </c>
      <c r="G48" s="239" t="s">
        <v>1438</v>
      </c>
      <c r="H48" s="239">
        <v>4</v>
      </c>
      <c r="I48" s="239" t="s">
        <v>462</v>
      </c>
      <c r="J48" s="239" t="s">
        <v>1439</v>
      </c>
      <c r="K48" s="239">
        <v>4</v>
      </c>
      <c r="L48" s="239" t="s">
        <v>451</v>
      </c>
      <c r="M48" s="239">
        <v>2000000</v>
      </c>
      <c r="N48" s="239" t="s">
        <v>452</v>
      </c>
      <c r="O48" s="239" t="s">
        <v>1440</v>
      </c>
      <c r="P48" s="239"/>
      <c r="Q48" s="239" t="s">
        <v>18</v>
      </c>
      <c r="R48" s="239" t="s">
        <v>11659</v>
      </c>
      <c r="S48" s="239" t="str">
        <f ca="1">IFERROR(VLOOKUP(B48,'2022-2023 Third Reviews'!$C:$S,9,FALSE),"")</f>
        <v>Joshua Rubnitz
4</v>
      </c>
      <c r="T48" s="239" t="s">
        <v>13087</v>
      </c>
      <c r="U48" s="239" t="s">
        <v>18</v>
      </c>
      <c r="V48" s="268"/>
      <c r="W48" s="268"/>
      <c r="X48" s="268"/>
      <c r="Y48" s="268"/>
      <c r="Z48" s="268"/>
      <c r="AA48" s="219"/>
      <c r="AB48" s="219"/>
      <c r="AC48" s="219"/>
    </row>
    <row r="49" spans="1:29" ht="15.75" customHeight="1">
      <c r="A49" s="255">
        <v>44782</v>
      </c>
      <c r="B49" s="239" t="s">
        <v>250</v>
      </c>
      <c r="C49" s="249">
        <v>3.5</v>
      </c>
      <c r="D49" s="239" t="s">
        <v>1446</v>
      </c>
      <c r="E49" s="250" t="s">
        <v>4</v>
      </c>
      <c r="F49" s="239" t="s">
        <v>447</v>
      </c>
      <c r="G49" s="239" t="s">
        <v>11533</v>
      </c>
      <c r="H49" s="239">
        <v>4</v>
      </c>
      <c r="I49" s="239" t="s">
        <v>622</v>
      </c>
      <c r="J49" s="239" t="s">
        <v>1448</v>
      </c>
      <c r="K49" s="239">
        <v>3</v>
      </c>
      <c r="L49" s="239" t="s">
        <v>973</v>
      </c>
      <c r="M49" s="239">
        <v>30000000</v>
      </c>
      <c r="N49" s="239" t="s">
        <v>452</v>
      </c>
      <c r="O49" s="239" t="s">
        <v>10412</v>
      </c>
      <c r="P49" s="239" t="s">
        <v>447</v>
      </c>
      <c r="Q49" s="239" t="s">
        <v>18</v>
      </c>
      <c r="R49" s="239" t="s">
        <v>1450</v>
      </c>
      <c r="S49" s="239" t="str">
        <f ca="1">IFERROR(VLOOKUP(B49,'2022-2023 Third Reviews'!$C:$S,9,FALSE),"")</f>
        <v>Joshua Rubnitz
4</v>
      </c>
      <c r="T49" s="239" t="s">
        <v>13088</v>
      </c>
      <c r="U49" s="239" t="s">
        <v>18</v>
      </c>
      <c r="V49" s="224"/>
      <c r="W49" s="224"/>
      <c r="X49" s="224"/>
      <c r="Y49" s="224"/>
      <c r="Z49" s="224"/>
      <c r="AA49" s="224"/>
      <c r="AB49" s="224"/>
      <c r="AC49" s="224"/>
    </row>
    <row r="50" spans="1:29" ht="15.75" customHeight="1">
      <c r="A50" s="248">
        <v>44797</v>
      </c>
      <c r="B50" s="219" t="s">
        <v>251</v>
      </c>
      <c r="C50" s="315">
        <v>4</v>
      </c>
      <c r="D50" s="219" t="s">
        <v>1455</v>
      </c>
      <c r="E50" s="219" t="s">
        <v>4</v>
      </c>
      <c r="F50" s="219" t="s">
        <v>727</v>
      </c>
      <c r="G50" s="219" t="s">
        <v>11380</v>
      </c>
      <c r="H50" s="219">
        <v>4</v>
      </c>
      <c r="I50" s="219" t="s">
        <v>1457</v>
      </c>
      <c r="J50" s="219" t="s">
        <v>1458</v>
      </c>
      <c r="K50" s="219">
        <v>4</v>
      </c>
      <c r="L50" s="219" t="s">
        <v>784</v>
      </c>
      <c r="M50" s="219">
        <v>750000</v>
      </c>
      <c r="N50" s="219" t="s">
        <v>452</v>
      </c>
      <c r="O50" s="219" t="s">
        <v>11381</v>
      </c>
      <c r="P50" s="219"/>
      <c r="Q50" s="219" t="s">
        <v>18</v>
      </c>
      <c r="R50" s="219"/>
      <c r="S50" s="219" t="str">
        <f>IFERROR(VLOOKUP(B50,'2022-2023 Third Reviews'!$C:$S,9,FALSE),"")</f>
        <v/>
      </c>
      <c r="T50" s="219" t="s">
        <v>13089</v>
      </c>
      <c r="U50" s="219" t="s">
        <v>18</v>
      </c>
      <c r="V50" s="252"/>
      <c r="W50" s="252"/>
      <c r="X50" s="252"/>
      <c r="Y50" s="219"/>
      <c r="Z50" s="219"/>
      <c r="AA50" s="219"/>
      <c r="AB50" s="219"/>
      <c r="AC50" s="219"/>
    </row>
    <row r="51" spans="1:29" ht="15.75" customHeight="1">
      <c r="A51" s="253">
        <v>44796</v>
      </c>
      <c r="B51" s="224" t="s">
        <v>252</v>
      </c>
      <c r="C51" s="316">
        <v>4</v>
      </c>
      <c r="D51" s="224" t="s">
        <v>1464</v>
      </c>
      <c r="E51" s="224" t="s">
        <v>4</v>
      </c>
      <c r="F51" s="224" t="s">
        <v>1045</v>
      </c>
      <c r="G51" s="224" t="s">
        <v>1465</v>
      </c>
      <c r="H51" s="224">
        <v>4</v>
      </c>
      <c r="I51" s="224" t="s">
        <v>1457</v>
      </c>
      <c r="J51" s="224" t="s">
        <v>1466</v>
      </c>
      <c r="K51" s="224">
        <v>4</v>
      </c>
      <c r="L51" s="224"/>
      <c r="M51" s="224"/>
      <c r="N51" s="224" t="s">
        <v>454</v>
      </c>
      <c r="O51" s="224" t="s">
        <v>1119</v>
      </c>
      <c r="P51" s="224"/>
      <c r="Q51" s="224" t="s">
        <v>18</v>
      </c>
      <c r="R51" s="224"/>
      <c r="S51" s="224" t="str">
        <f ca="1">IFERROR(VLOOKUP(B51,'2022-2023 Third Reviews'!$C:$S,9,FALSE),"")</f>
        <v>Joshua Rubnitz
4</v>
      </c>
      <c r="T51" s="224" t="s">
        <v>13090</v>
      </c>
      <c r="U51" s="224" t="s">
        <v>18</v>
      </c>
      <c r="V51" s="239"/>
      <c r="W51" s="239"/>
      <c r="X51" s="239"/>
      <c r="Y51" s="239"/>
      <c r="Z51" s="239"/>
      <c r="AA51" s="239"/>
      <c r="AB51" s="239"/>
      <c r="AC51" s="239"/>
    </row>
    <row r="52" spans="1:29" ht="15.75" customHeight="1">
      <c r="A52" s="255" t="str">
        <f>IFERROR(VLOOKUP(C52,'2022-2023 Third Reviews'!$C:$S,9,FALSE),"")</f>
        <v/>
      </c>
      <c r="B52" s="239" t="s">
        <v>256</v>
      </c>
      <c r="C52" s="262">
        <v>5</v>
      </c>
      <c r="D52" s="239" t="s">
        <v>1471</v>
      </c>
      <c r="E52" s="239" t="s">
        <v>4</v>
      </c>
      <c r="F52" s="239" t="s">
        <v>447</v>
      </c>
      <c r="G52" s="239" t="s">
        <v>10820</v>
      </c>
      <c r="H52" s="239">
        <v>5</v>
      </c>
      <c r="I52" s="239" t="s">
        <v>449</v>
      </c>
      <c r="J52" s="239" t="s">
        <v>13400</v>
      </c>
      <c r="K52" s="239">
        <v>5</v>
      </c>
      <c r="L52" s="239" t="s">
        <v>478</v>
      </c>
      <c r="M52" s="239" t="s">
        <v>1474</v>
      </c>
      <c r="N52" s="239" t="s">
        <v>452</v>
      </c>
      <c r="O52" s="239" t="s">
        <v>1475</v>
      </c>
      <c r="P52" s="239" t="s">
        <v>1476</v>
      </c>
      <c r="Q52" s="239" t="s">
        <v>18</v>
      </c>
      <c r="R52" s="239" t="s">
        <v>11608</v>
      </c>
      <c r="S52" s="239" t="str">
        <f ca="1">IFERROR(VLOOKUP(B52,'2022-2023 Third Reviews'!$C:$S,9,FALSE),"")</f>
        <v>Joshua Rubnitz
1</v>
      </c>
      <c r="T52" s="239" t="s">
        <v>13049</v>
      </c>
      <c r="U52" s="239" t="s">
        <v>18</v>
      </c>
      <c r="V52" s="401"/>
      <c r="W52" s="401"/>
      <c r="X52" s="401"/>
      <c r="Y52" s="322"/>
      <c r="Z52" s="322"/>
      <c r="AA52" s="322"/>
      <c r="AB52" s="322"/>
      <c r="AC52" s="322"/>
    </row>
    <row r="53" spans="1:29" ht="15.75" customHeight="1">
      <c r="A53" s="253">
        <v>44797</v>
      </c>
      <c r="B53" s="224" t="s">
        <v>257</v>
      </c>
      <c r="C53" s="316">
        <v>4.25</v>
      </c>
      <c r="D53" s="224" t="s">
        <v>1482</v>
      </c>
      <c r="E53" s="224" t="s">
        <v>4</v>
      </c>
      <c r="F53" s="224" t="s">
        <v>602</v>
      </c>
      <c r="G53" s="224" t="s">
        <v>1483</v>
      </c>
      <c r="H53" s="224">
        <v>4</v>
      </c>
      <c r="I53" s="224" t="s">
        <v>1350</v>
      </c>
      <c r="J53" s="224" t="s">
        <v>10206</v>
      </c>
      <c r="K53" s="224">
        <v>4.5</v>
      </c>
      <c r="L53" s="224" t="s">
        <v>784</v>
      </c>
      <c r="M53" s="224">
        <v>682000</v>
      </c>
      <c r="N53" s="224" t="s">
        <v>465</v>
      </c>
      <c r="O53" s="224" t="s">
        <v>1485</v>
      </c>
      <c r="P53" s="224" t="s">
        <v>1486</v>
      </c>
      <c r="Q53" s="224" t="s">
        <v>18</v>
      </c>
      <c r="R53" s="224" t="s">
        <v>1487</v>
      </c>
      <c r="S53" s="224" t="str">
        <f ca="1">IFERROR(VLOOKUP(B53,'2022-2023 Third Reviews'!$C:$S,9,FALSE),"")</f>
        <v>Joshua Rubnitz
5</v>
      </c>
      <c r="T53" s="224" t="s">
        <v>13066</v>
      </c>
      <c r="U53" s="224" t="s">
        <v>18</v>
      </c>
      <c r="V53" s="218"/>
      <c r="W53" s="218"/>
      <c r="X53" s="218"/>
      <c r="Y53" s="224"/>
      <c r="Z53" s="224"/>
      <c r="AA53" s="224"/>
      <c r="AB53" s="224"/>
      <c r="AC53" s="224"/>
    </row>
    <row r="54" spans="1:29" ht="15.75" customHeight="1">
      <c r="A54" s="399">
        <v>44784</v>
      </c>
      <c r="B54" s="277" t="s">
        <v>258</v>
      </c>
      <c r="C54" s="278">
        <v>4.5</v>
      </c>
      <c r="D54" s="277" t="s">
        <v>1492</v>
      </c>
      <c r="E54" s="277" t="s">
        <v>4</v>
      </c>
      <c r="F54" s="277" t="s">
        <v>447</v>
      </c>
      <c r="G54" s="277" t="s">
        <v>11364</v>
      </c>
      <c r="H54" s="277">
        <v>5</v>
      </c>
      <c r="I54" s="277" t="s">
        <v>449</v>
      </c>
      <c r="J54" s="277" t="s">
        <v>11548</v>
      </c>
      <c r="K54" s="277">
        <v>4</v>
      </c>
      <c r="L54" s="277" t="s">
        <v>478</v>
      </c>
      <c r="M54" s="277" t="s">
        <v>1495</v>
      </c>
      <c r="N54" s="277" t="s">
        <v>454</v>
      </c>
      <c r="O54" s="277" t="s">
        <v>452</v>
      </c>
      <c r="P54" s="277" t="s">
        <v>447</v>
      </c>
      <c r="Q54" s="277" t="s">
        <v>18</v>
      </c>
      <c r="R54" s="277" t="s">
        <v>1496</v>
      </c>
      <c r="S54" s="277" t="str">
        <f ca="1">IFERROR(VLOOKUP(B54,'2022-2023 Third Reviews'!$C:$S,9,FALSE),"")</f>
        <v>John McDonald
4</v>
      </c>
      <c r="T54" s="277" t="s">
        <v>13091</v>
      </c>
      <c r="U54" s="277" t="s">
        <v>18</v>
      </c>
      <c r="V54" s="252"/>
      <c r="W54" s="252"/>
      <c r="X54" s="252"/>
      <c r="Y54" s="219"/>
      <c r="Z54" s="219"/>
      <c r="AA54" s="219"/>
      <c r="AB54" s="219"/>
      <c r="AC54" s="219"/>
    </row>
    <row r="55" spans="1:29" ht="15.75" customHeight="1">
      <c r="A55" s="233">
        <v>44776</v>
      </c>
      <c r="B55" s="234" t="s">
        <v>259</v>
      </c>
      <c r="C55" s="241">
        <v>3.75</v>
      </c>
      <c r="D55" s="234" t="s">
        <v>1501</v>
      </c>
      <c r="E55" s="242" t="s">
        <v>4</v>
      </c>
      <c r="F55" s="234" t="s">
        <v>447</v>
      </c>
      <c r="G55" s="234" t="s">
        <v>11514</v>
      </c>
      <c r="H55" s="234">
        <v>3.5</v>
      </c>
      <c r="I55" s="234" t="s">
        <v>449</v>
      </c>
      <c r="J55" s="234" t="s">
        <v>13400</v>
      </c>
      <c r="K55" s="234">
        <v>4</v>
      </c>
      <c r="L55" s="234"/>
      <c r="M55" s="234">
        <v>500000</v>
      </c>
      <c r="N55" s="234" t="s">
        <v>452</v>
      </c>
      <c r="O55" s="234" t="s">
        <v>11476</v>
      </c>
      <c r="P55" s="237" t="s">
        <v>1505</v>
      </c>
      <c r="Q55" s="234" t="s">
        <v>19</v>
      </c>
      <c r="R55" s="234" t="s">
        <v>1506</v>
      </c>
      <c r="S55" s="234" t="str">
        <f ca="1">IFERROR(VLOOKUP(B55,'2022-2023 Third Reviews'!$C:$S,9,FALSE),"")</f>
        <v>Jason Yu
2</v>
      </c>
      <c r="T55" s="234" t="s">
        <v>13053</v>
      </c>
      <c r="U55" s="234" t="s">
        <v>18</v>
      </c>
      <c r="V55" s="224"/>
      <c r="W55" s="224"/>
      <c r="X55" s="224"/>
      <c r="Y55" s="224"/>
      <c r="Z55" s="224"/>
      <c r="AA55" s="224"/>
      <c r="AB55" s="224"/>
      <c r="AC55" s="224"/>
    </row>
    <row r="56" spans="1:29" ht="15.75" customHeight="1">
      <c r="A56" s="212">
        <v>44776</v>
      </c>
      <c r="B56" s="213" t="s">
        <v>260</v>
      </c>
      <c r="C56" s="214">
        <v>4.5</v>
      </c>
      <c r="D56" s="213" t="s">
        <v>1510</v>
      </c>
      <c r="E56" s="215" t="s">
        <v>4</v>
      </c>
      <c r="F56" s="213" t="s">
        <v>602</v>
      </c>
      <c r="G56" s="213" t="s">
        <v>11419</v>
      </c>
      <c r="H56" s="213">
        <v>4.5</v>
      </c>
      <c r="I56" s="213" t="s">
        <v>1054</v>
      </c>
      <c r="J56" s="213" t="s">
        <v>11420</v>
      </c>
      <c r="K56" s="213">
        <v>4.5</v>
      </c>
      <c r="L56" s="213" t="s">
        <v>451</v>
      </c>
      <c r="M56" s="225">
        <v>3000000</v>
      </c>
      <c r="N56" s="213" t="s">
        <v>454</v>
      </c>
      <c r="O56" s="213" t="s">
        <v>11421</v>
      </c>
      <c r="P56" s="143"/>
      <c r="Q56" s="213" t="str">
        <f t="array" ref="Q56">INDEX(Notes!B:B,MATCH($B56,Notes!$A:$A,0))</f>
        <v>Invite</v>
      </c>
      <c r="R56" s="213">
        <f t="array" ref="R56">INDEX(Notes!C:C,MATCH($B56,Notes!$A:$A,0))</f>
        <v>0</v>
      </c>
      <c r="S56" s="213" t="str">
        <f ca="1">IFERROR(VLOOKUP(B56,'2022-2023 Third Reviews'!$C:$S,9,FALSE),"")</f>
        <v>John McDonald
3</v>
      </c>
      <c r="T56" s="213" t="s">
        <v>13092</v>
      </c>
      <c r="U56" s="213" t="s">
        <v>18</v>
      </c>
      <c r="V56" s="268"/>
      <c r="W56" s="268"/>
      <c r="X56" s="268"/>
      <c r="Y56" s="268"/>
      <c r="Z56" s="268"/>
      <c r="AA56" s="219"/>
      <c r="AB56" s="219"/>
      <c r="AC56" s="219"/>
    </row>
    <row r="57" spans="1:29" ht="15.75" customHeight="1">
      <c r="A57" s="253">
        <v>44797</v>
      </c>
      <c r="B57" s="224" t="s">
        <v>261</v>
      </c>
      <c r="C57" s="316">
        <v>4.25</v>
      </c>
      <c r="D57" s="224" t="s">
        <v>1517</v>
      </c>
      <c r="E57" s="224" t="s">
        <v>4</v>
      </c>
      <c r="F57" s="224" t="s">
        <v>727</v>
      </c>
      <c r="G57" s="224" t="s">
        <v>1518</v>
      </c>
      <c r="H57" s="224">
        <v>4.5</v>
      </c>
      <c r="I57" s="224" t="s">
        <v>543</v>
      </c>
      <c r="J57" s="224" t="s">
        <v>11738</v>
      </c>
      <c r="K57" s="224">
        <v>4</v>
      </c>
      <c r="L57" s="224"/>
      <c r="M57" s="224"/>
      <c r="N57" s="224" t="s">
        <v>452</v>
      </c>
      <c r="O57" s="224" t="s">
        <v>10649</v>
      </c>
      <c r="P57" s="224"/>
      <c r="Q57" s="224" t="s">
        <v>18</v>
      </c>
      <c r="R57" s="224"/>
      <c r="S57" s="224" t="str">
        <f>IFERROR(VLOOKUP(B57,'2022-2023 Third Reviews'!$C:$S,9,FALSE),"")</f>
        <v/>
      </c>
      <c r="T57" s="224" t="s">
        <v>13053</v>
      </c>
      <c r="U57" s="224" t="s">
        <v>18</v>
      </c>
      <c r="V57" s="272"/>
      <c r="W57" s="272"/>
      <c r="X57" s="272"/>
      <c r="Y57" s="272"/>
      <c r="Z57" s="272"/>
      <c r="AA57" s="224"/>
      <c r="AB57" s="224"/>
      <c r="AC57" s="224"/>
    </row>
    <row r="58" spans="1:29" ht="15.75" customHeight="1">
      <c r="A58" s="227">
        <v>44776</v>
      </c>
      <c r="B58" s="228" t="s">
        <v>262</v>
      </c>
      <c r="C58" s="214">
        <v>4</v>
      </c>
      <c r="D58" s="228" t="s">
        <v>1525</v>
      </c>
      <c r="E58" s="215" t="s">
        <v>4</v>
      </c>
      <c r="F58" s="228" t="s">
        <v>727</v>
      </c>
      <c r="G58" s="228" t="s">
        <v>1526</v>
      </c>
      <c r="H58" s="228">
        <v>4</v>
      </c>
      <c r="I58" s="228" t="s">
        <v>1054</v>
      </c>
      <c r="J58" s="228" t="s">
        <v>1527</v>
      </c>
      <c r="K58" s="228">
        <v>4</v>
      </c>
      <c r="L58" s="228"/>
      <c r="M58" s="228"/>
      <c r="N58" s="228" t="s">
        <v>452</v>
      </c>
      <c r="O58" s="228" t="s">
        <v>452</v>
      </c>
      <c r="P58" s="230"/>
      <c r="Q58" s="228" t="str">
        <f t="array" ref="Q58">INDEX(Notes!B:B,MATCH($B58,Notes!$A:$A,0))</f>
        <v>Invite</v>
      </c>
      <c r="R58" s="228" t="s">
        <v>1528</v>
      </c>
      <c r="S58" s="228" t="str">
        <f ca="1">IFERROR(VLOOKUP(B58,'2022-2023 Third Reviews'!$C:$S,9,FALSE),"")</f>
        <v>Chris Millisits
1</v>
      </c>
      <c r="T58" s="228" t="s">
        <v>13093</v>
      </c>
      <c r="U58" s="228" t="s">
        <v>18</v>
      </c>
      <c r="V58" s="268"/>
      <c r="W58" s="268"/>
      <c r="X58" s="268"/>
      <c r="Y58" s="268"/>
      <c r="Z58" s="268"/>
      <c r="AA58" s="219"/>
      <c r="AB58" s="219"/>
      <c r="AC58" s="219"/>
    </row>
    <row r="59" spans="1:29" ht="15.75" customHeight="1">
      <c r="A59" s="398">
        <v>44784</v>
      </c>
      <c r="B59" s="272" t="s">
        <v>266</v>
      </c>
      <c r="C59" s="269">
        <v>4.25</v>
      </c>
      <c r="D59" s="272" t="s">
        <v>10174</v>
      </c>
      <c r="E59" s="270" t="s">
        <v>4</v>
      </c>
      <c r="F59" s="272" t="s">
        <v>602</v>
      </c>
      <c r="G59" s="272" t="s">
        <v>1534</v>
      </c>
      <c r="H59" s="272">
        <v>4</v>
      </c>
      <c r="I59" s="272" t="s">
        <v>1054</v>
      </c>
      <c r="J59" s="272"/>
      <c r="K59" s="272">
        <v>4.5</v>
      </c>
      <c r="L59" s="272" t="s">
        <v>451</v>
      </c>
      <c r="M59" s="273">
        <v>2000000</v>
      </c>
      <c r="N59" s="272" t="s">
        <v>454</v>
      </c>
      <c r="O59" s="273" t="s">
        <v>11550</v>
      </c>
      <c r="P59" s="272" t="s">
        <v>1536</v>
      </c>
      <c r="Q59" s="272" t="s">
        <v>18</v>
      </c>
      <c r="R59" s="272" t="s">
        <v>1537</v>
      </c>
      <c r="S59" s="272" t="str">
        <f ca="1">IFERROR(VLOOKUP(B59,'2022-2023 Third Reviews'!$C:$S,9,FALSE),"")</f>
        <v>Chris Millisits
4</v>
      </c>
      <c r="T59" s="272" t="s">
        <v>13051</v>
      </c>
      <c r="U59" s="272" t="s">
        <v>18</v>
      </c>
      <c r="V59" s="218"/>
      <c r="W59" s="218"/>
      <c r="X59" s="218"/>
      <c r="Y59" s="224"/>
      <c r="Z59" s="224"/>
      <c r="AA59" s="224"/>
      <c r="AB59" s="224"/>
      <c r="AC59" s="224"/>
    </row>
    <row r="60" spans="1:29" ht="15.75" customHeight="1">
      <c r="A60" s="257">
        <v>44789</v>
      </c>
      <c r="B60" s="258" t="s">
        <v>267</v>
      </c>
      <c r="C60" s="263">
        <v>3.75</v>
      </c>
      <c r="D60" s="258" t="s">
        <v>1542</v>
      </c>
      <c r="E60" s="258" t="s">
        <v>4</v>
      </c>
      <c r="F60" s="258" t="s">
        <v>602</v>
      </c>
      <c r="G60" s="258" t="s">
        <v>1543</v>
      </c>
      <c r="H60" s="258">
        <v>3.5</v>
      </c>
      <c r="I60" s="258" t="s">
        <v>727</v>
      </c>
      <c r="J60" s="258" t="s">
        <v>10742</v>
      </c>
      <c r="K60" s="258">
        <v>4</v>
      </c>
      <c r="L60" s="258" t="s">
        <v>784</v>
      </c>
      <c r="M60" s="309">
        <v>550000</v>
      </c>
      <c r="N60" s="258" t="s">
        <v>454</v>
      </c>
      <c r="O60" s="258" t="s">
        <v>452</v>
      </c>
      <c r="P60" s="258" t="s">
        <v>447</v>
      </c>
      <c r="Q60" s="258" t="s">
        <v>18</v>
      </c>
      <c r="R60" s="258" t="s">
        <v>1545</v>
      </c>
      <c r="S60" s="258" t="str">
        <f ca="1">IFERROR(VLOOKUP(B60,'2022-2023 Third Reviews'!$C:$S,9,FALSE),"")</f>
        <v>Chris Millisits
3</v>
      </c>
      <c r="T60" s="258" t="s">
        <v>13094</v>
      </c>
      <c r="U60" s="258" t="s">
        <v>18</v>
      </c>
      <c r="V60" s="219"/>
      <c r="W60" s="219"/>
      <c r="X60" s="219"/>
      <c r="Y60" s="219"/>
      <c r="Z60" s="219"/>
      <c r="AA60" s="219"/>
      <c r="AB60" s="219"/>
      <c r="AC60" s="219"/>
    </row>
    <row r="61" spans="1:29" ht="15.75" customHeight="1">
      <c r="A61" s="255">
        <v>44796</v>
      </c>
      <c r="B61" s="239" t="s">
        <v>268</v>
      </c>
      <c r="C61" s="262">
        <v>4.25</v>
      </c>
      <c r="D61" s="239" t="s">
        <v>1550</v>
      </c>
      <c r="E61" s="239" t="s">
        <v>4</v>
      </c>
      <c r="F61" s="239" t="s">
        <v>460</v>
      </c>
      <c r="G61" s="239" t="s">
        <v>10357</v>
      </c>
      <c r="H61" s="239">
        <v>4</v>
      </c>
      <c r="I61" s="239" t="s">
        <v>462</v>
      </c>
      <c r="J61" s="239" t="s">
        <v>1552</v>
      </c>
      <c r="K61" s="239">
        <v>4.5</v>
      </c>
      <c r="L61" s="239" t="s">
        <v>478</v>
      </c>
      <c r="M61" s="329">
        <v>6000000</v>
      </c>
      <c r="N61" s="239" t="s">
        <v>452</v>
      </c>
      <c r="O61" s="239" t="s">
        <v>10358</v>
      </c>
      <c r="P61" s="239"/>
      <c r="Q61" s="239" t="s">
        <v>20</v>
      </c>
      <c r="R61" s="239" t="s">
        <v>1554</v>
      </c>
      <c r="S61" s="239" t="str">
        <f>IFERROR(VLOOKUP(B61,'2022-2023 Third Reviews'!$C:$S,9,FALSE),"")</f>
        <v/>
      </c>
      <c r="T61" s="239" t="s">
        <v>13066</v>
      </c>
      <c r="U61" s="239" t="s">
        <v>18</v>
      </c>
      <c r="V61" s="277"/>
      <c r="W61" s="277"/>
      <c r="X61" s="277"/>
      <c r="Y61" s="277"/>
      <c r="Z61" s="277"/>
      <c r="AA61" s="239"/>
      <c r="AB61" s="239"/>
      <c r="AC61" s="239"/>
    </row>
    <row r="62" spans="1:29" ht="15.75" customHeight="1">
      <c r="A62" s="257">
        <v>44797</v>
      </c>
      <c r="B62" s="258" t="s">
        <v>269</v>
      </c>
      <c r="C62" s="263">
        <v>4.25</v>
      </c>
      <c r="D62" s="258" t="s">
        <v>11737</v>
      </c>
      <c r="E62" s="258" t="s">
        <v>4</v>
      </c>
      <c r="F62" s="258" t="s">
        <v>727</v>
      </c>
      <c r="G62" s="258" t="s">
        <v>10512</v>
      </c>
      <c r="H62" s="258">
        <v>4.5</v>
      </c>
      <c r="I62" s="258" t="s">
        <v>449</v>
      </c>
      <c r="J62" s="258" t="s">
        <v>10513</v>
      </c>
      <c r="K62" s="258">
        <v>4</v>
      </c>
      <c r="L62" s="258" t="s">
        <v>451</v>
      </c>
      <c r="M62" s="258">
        <v>6000000</v>
      </c>
      <c r="N62" s="258" t="s">
        <v>452</v>
      </c>
      <c r="O62" s="258" t="s">
        <v>452</v>
      </c>
      <c r="P62" s="258" t="s">
        <v>1562</v>
      </c>
      <c r="Q62" s="258" t="s">
        <v>18</v>
      </c>
      <c r="R62" s="258" t="s">
        <v>1563</v>
      </c>
      <c r="S62" s="258" t="str">
        <f>IFERROR(VLOOKUP(B62,'2022-2023 Third Reviews'!$C:$S,9,FALSE),"")</f>
        <v/>
      </c>
      <c r="T62" s="258" t="s">
        <v>13051</v>
      </c>
      <c r="U62" s="258" t="s">
        <v>18</v>
      </c>
      <c r="V62" s="218"/>
      <c r="W62" s="218"/>
      <c r="X62" s="218"/>
      <c r="Y62" s="219"/>
      <c r="Z62" s="219"/>
      <c r="AA62" s="219"/>
      <c r="AB62" s="219"/>
      <c r="AC62" s="219"/>
    </row>
    <row r="63" spans="1:29" ht="15.75" customHeight="1">
      <c r="A63" s="253">
        <v>44797</v>
      </c>
      <c r="B63" s="224" t="s">
        <v>270</v>
      </c>
      <c r="C63" s="316">
        <v>4</v>
      </c>
      <c r="D63" s="224" t="s">
        <v>11150</v>
      </c>
      <c r="E63" s="224" t="s">
        <v>4</v>
      </c>
      <c r="F63" s="224" t="s">
        <v>1045</v>
      </c>
      <c r="G63" s="224" t="s">
        <v>1568</v>
      </c>
      <c r="H63" s="224">
        <v>4</v>
      </c>
      <c r="I63" s="224" t="s">
        <v>543</v>
      </c>
      <c r="J63" s="224" t="e">
        <f>+ technology that enables any Wi-Fi Chip to be an asset tag
 &gt; can be game-changing in the field provide it attracts more customers quickly as their many companies trying to do the same thing example Apple tag or Samsung tag
 &gt; Interested to see how can it be scaled to larger market size</f>
        <v>#NAME?</v>
      </c>
      <c r="K63" s="224">
        <v>4</v>
      </c>
      <c r="L63" s="224" t="s">
        <v>923</v>
      </c>
      <c r="M63" s="224">
        <v>5000000</v>
      </c>
      <c r="N63" s="224" t="s">
        <v>452</v>
      </c>
      <c r="O63" s="224" t="s">
        <v>1570</v>
      </c>
      <c r="P63" s="224"/>
      <c r="Q63" s="224" t="s">
        <v>18</v>
      </c>
      <c r="R63" s="224"/>
      <c r="S63" s="224" t="str">
        <f>IFERROR(VLOOKUP(B63,'2022-2023 Third Reviews'!$C:$S,9,FALSE),"")</f>
        <v/>
      </c>
      <c r="T63" s="224" t="s">
        <v>13095</v>
      </c>
      <c r="U63" s="224" t="s">
        <v>18</v>
      </c>
      <c r="V63" s="272"/>
      <c r="W63" s="272"/>
      <c r="X63" s="272"/>
      <c r="Y63" s="272"/>
      <c r="Z63" s="272"/>
      <c r="AA63" s="224"/>
      <c r="AB63" s="224"/>
      <c r="AC63" s="224"/>
    </row>
    <row r="64" spans="1:29" ht="15.75" customHeight="1">
      <c r="A64" s="248">
        <v>44797</v>
      </c>
      <c r="B64" s="219" t="s">
        <v>272</v>
      </c>
      <c r="C64" s="315">
        <v>4</v>
      </c>
      <c r="D64" s="219" t="s">
        <v>10791</v>
      </c>
      <c r="E64" s="219" t="s">
        <v>4</v>
      </c>
      <c r="F64" s="219" t="s">
        <v>727</v>
      </c>
      <c r="G64" s="219" t="s">
        <v>10792</v>
      </c>
      <c r="H64" s="219">
        <v>4</v>
      </c>
      <c r="I64" s="219" t="s">
        <v>447</v>
      </c>
      <c r="J64" s="219" t="s">
        <v>10793</v>
      </c>
      <c r="K64" s="219">
        <v>4</v>
      </c>
      <c r="L64" s="219" t="s">
        <v>1578</v>
      </c>
      <c r="M64" s="219" t="s">
        <v>1579</v>
      </c>
      <c r="N64" s="219" t="s">
        <v>452</v>
      </c>
      <c r="O64" s="219" t="s">
        <v>1580</v>
      </c>
      <c r="P64" s="219"/>
      <c r="Q64" s="219" t="s">
        <v>18</v>
      </c>
      <c r="R64" s="219"/>
      <c r="S64" s="219" t="str">
        <f>IFERROR(VLOOKUP(B64,'2022-2023 Third Reviews'!$C:$S,9,FALSE),"")</f>
        <v/>
      </c>
      <c r="T64" s="219" t="s">
        <v>13065</v>
      </c>
      <c r="U64" s="219" t="s">
        <v>18</v>
      </c>
      <c r="V64" s="218"/>
      <c r="W64" s="218"/>
      <c r="X64" s="218"/>
      <c r="Y64" s="219"/>
      <c r="Z64" s="219"/>
      <c r="AA64" s="219"/>
      <c r="AB64" s="219"/>
      <c r="AC64" s="219"/>
    </row>
    <row r="65" spans="1:29" ht="15.75" customHeight="1">
      <c r="A65" s="398">
        <v>44784</v>
      </c>
      <c r="B65" s="272" t="s">
        <v>275</v>
      </c>
      <c r="C65" s="269">
        <v>4.25</v>
      </c>
      <c r="D65" s="272" t="s">
        <v>1585</v>
      </c>
      <c r="E65" s="270" t="s">
        <v>4</v>
      </c>
      <c r="F65" s="272" t="s">
        <v>602</v>
      </c>
      <c r="G65" s="272" t="s">
        <v>1586</v>
      </c>
      <c r="H65" s="272">
        <v>4</v>
      </c>
      <c r="I65" s="272" t="s">
        <v>727</v>
      </c>
      <c r="J65" s="272" t="s">
        <v>10318</v>
      </c>
      <c r="K65" s="272">
        <v>4.5</v>
      </c>
      <c r="L65" s="272" t="s">
        <v>478</v>
      </c>
      <c r="M65" s="272">
        <v>4000000</v>
      </c>
      <c r="N65" s="272" t="s">
        <v>465</v>
      </c>
      <c r="O65" s="272" t="s">
        <v>1588</v>
      </c>
      <c r="P65" s="272"/>
      <c r="Q65" s="272" t="s">
        <v>18</v>
      </c>
      <c r="R65" s="272"/>
      <c r="S65" s="272" t="str">
        <f ca="1">IFERROR(VLOOKUP(B65,'2022-2023 Third Reviews'!$C:$S,9,FALSE),"")</f>
        <v>Chris Millisits
2</v>
      </c>
      <c r="T65" s="272"/>
      <c r="U65" s="272" t="s">
        <v>18</v>
      </c>
      <c r="V65" s="218"/>
      <c r="W65" s="218"/>
      <c r="X65" s="218"/>
      <c r="Y65" s="224"/>
      <c r="Z65" s="224"/>
      <c r="AA65" s="224"/>
      <c r="AB65" s="224"/>
      <c r="AC65" s="224"/>
    </row>
    <row r="66" spans="1:29" ht="15.75" customHeight="1">
      <c r="A66" s="257">
        <v>44789</v>
      </c>
      <c r="B66" s="258" t="s">
        <v>309</v>
      </c>
      <c r="C66" s="263">
        <v>4.75</v>
      </c>
      <c r="D66" s="258" t="s">
        <v>1593</v>
      </c>
      <c r="E66" s="258" t="s">
        <v>4</v>
      </c>
      <c r="F66" s="258" t="s">
        <v>727</v>
      </c>
      <c r="G66" s="258" t="s">
        <v>11460</v>
      </c>
      <c r="H66" s="258">
        <v>5</v>
      </c>
      <c r="I66" s="258" t="s">
        <v>1045</v>
      </c>
      <c r="J66" s="258" t="s">
        <v>1595</v>
      </c>
      <c r="K66" s="258">
        <v>4.5</v>
      </c>
      <c r="L66" s="258" t="s">
        <v>451</v>
      </c>
      <c r="M66" s="258">
        <v>1500000</v>
      </c>
      <c r="N66" s="258" t="s">
        <v>452</v>
      </c>
      <c r="O66" s="258" t="s">
        <v>1119</v>
      </c>
      <c r="P66" s="258"/>
      <c r="Q66" s="258" t="s">
        <v>18</v>
      </c>
      <c r="R66" s="258" t="s">
        <v>1596</v>
      </c>
      <c r="S66" s="258" t="str">
        <f>IFERROR(VLOOKUP(B66,'2022-2023 Third Reviews'!$C:$S,9,FALSE),"")</f>
        <v/>
      </c>
      <c r="T66" s="258" t="s">
        <v>13056</v>
      </c>
      <c r="U66" s="258" t="s">
        <v>18</v>
      </c>
      <c r="V66" s="252"/>
      <c r="W66" s="252"/>
      <c r="X66" s="252"/>
      <c r="Y66" s="219"/>
      <c r="Z66" s="219"/>
      <c r="AA66" s="219"/>
      <c r="AB66" s="219"/>
      <c r="AC66" s="219"/>
    </row>
    <row r="67" spans="1:29" ht="15.75" hidden="1" customHeight="1">
      <c r="A67" s="253">
        <v>44796</v>
      </c>
      <c r="B67" s="224" t="s">
        <v>177</v>
      </c>
      <c r="C67" s="316">
        <v>4</v>
      </c>
      <c r="D67" s="224" t="s">
        <v>3701</v>
      </c>
      <c r="E67" s="224" t="s">
        <v>4</v>
      </c>
      <c r="F67" s="224" t="s">
        <v>727</v>
      </c>
      <c r="G67" s="224" t="s">
        <v>10488</v>
      </c>
      <c r="H67" s="224">
        <v>4</v>
      </c>
      <c r="I67" s="224" t="s">
        <v>990</v>
      </c>
      <c r="J67" s="224" t="s">
        <v>3703</v>
      </c>
      <c r="K67" s="224">
        <v>4</v>
      </c>
      <c r="L67" s="224" t="s">
        <v>451</v>
      </c>
      <c r="M67" s="224" t="s">
        <v>3704</v>
      </c>
      <c r="N67" s="224" t="s">
        <v>452</v>
      </c>
      <c r="O67" s="224" t="s">
        <v>3705</v>
      </c>
      <c r="P67" s="224"/>
      <c r="Q67" s="224" t="s">
        <v>18</v>
      </c>
      <c r="R67" s="224"/>
      <c r="S67" s="224" t="str">
        <f>IFERROR(VLOOKUP(B67,'2022-2023 Third Reviews'!$C:$S,9,FALSE),"")</f>
        <v/>
      </c>
      <c r="T67" s="224" t="s">
        <v>13087</v>
      </c>
      <c r="U67" s="224" t="s">
        <v>24</v>
      </c>
      <c r="V67" s="228"/>
      <c r="W67" s="228"/>
      <c r="X67" s="228"/>
      <c r="Y67" s="224"/>
      <c r="Z67" s="224"/>
      <c r="AA67" s="224"/>
      <c r="AB67" s="224"/>
      <c r="AC67" s="224"/>
    </row>
    <row r="68" spans="1:29" ht="15.75" hidden="1" customHeight="1">
      <c r="A68" s="248">
        <v>44789</v>
      </c>
      <c r="B68" s="219" t="s">
        <v>178</v>
      </c>
      <c r="C68" s="249">
        <v>4</v>
      </c>
      <c r="D68" s="219" t="s">
        <v>3710</v>
      </c>
      <c r="E68" s="250" t="s">
        <v>4</v>
      </c>
      <c r="F68" s="219" t="s">
        <v>727</v>
      </c>
      <c r="G68" s="219" t="s">
        <v>10228</v>
      </c>
      <c r="H68" s="219">
        <v>4</v>
      </c>
      <c r="I68" s="219" t="s">
        <v>1045</v>
      </c>
      <c r="J68" s="219" t="s">
        <v>3712</v>
      </c>
      <c r="K68" s="219">
        <v>4</v>
      </c>
      <c r="L68" s="219" t="s">
        <v>784</v>
      </c>
      <c r="M68" s="219" t="s">
        <v>3713</v>
      </c>
      <c r="N68" s="219" t="s">
        <v>452</v>
      </c>
      <c r="O68" s="219" t="s">
        <v>3714</v>
      </c>
      <c r="P68" s="219" t="s">
        <v>3715</v>
      </c>
      <c r="Q68" s="219" t="s">
        <v>18</v>
      </c>
      <c r="R68" s="219"/>
      <c r="S68" s="219" t="str">
        <f>IFERROR(VLOOKUP(B68,'2022-2023 Third Reviews'!$C:$S,9,FALSE),"")</f>
        <v/>
      </c>
      <c r="T68" s="219" t="s">
        <v>13096</v>
      </c>
      <c r="U68" s="219" t="s">
        <v>24</v>
      </c>
      <c r="V68" s="258"/>
      <c r="W68" s="258"/>
      <c r="X68" s="258"/>
      <c r="Y68" s="258"/>
      <c r="Z68" s="258"/>
      <c r="AA68" s="258"/>
      <c r="AB68" s="258"/>
      <c r="AC68" s="258"/>
    </row>
    <row r="69" spans="1:29" ht="15.75" hidden="1" customHeight="1">
      <c r="A69" s="253">
        <v>44796</v>
      </c>
      <c r="B69" s="224" t="s">
        <v>180</v>
      </c>
      <c r="C69" s="316">
        <v>4</v>
      </c>
      <c r="D69" s="224"/>
      <c r="E69" s="224" t="s">
        <v>4</v>
      </c>
      <c r="F69" s="224" t="s">
        <v>725</v>
      </c>
      <c r="G69" s="224" t="s">
        <v>11342</v>
      </c>
      <c r="H69" s="224">
        <v>4</v>
      </c>
      <c r="I69" s="224" t="s">
        <v>990</v>
      </c>
      <c r="J69" s="224" t="s">
        <v>3721</v>
      </c>
      <c r="K69" s="224">
        <v>4</v>
      </c>
      <c r="L69" s="224" t="s">
        <v>913</v>
      </c>
      <c r="M69" s="224">
        <v>1500000</v>
      </c>
      <c r="N69" s="224" t="s">
        <v>465</v>
      </c>
      <c r="O69" s="224" t="s">
        <v>452</v>
      </c>
      <c r="P69" s="224"/>
      <c r="Q69" s="224" t="s">
        <v>18</v>
      </c>
      <c r="R69" s="224"/>
      <c r="S69" s="224" t="str">
        <f>IFERROR(VLOOKUP(B69,'2022-2023 Third Reviews'!$C:$S,9,FALSE),"")</f>
        <v/>
      </c>
      <c r="T69" s="224" t="s">
        <v>13061</v>
      </c>
      <c r="U69" s="224" t="s">
        <v>24</v>
      </c>
      <c r="V69" s="281"/>
      <c r="W69" s="281"/>
      <c r="X69" s="281"/>
      <c r="Y69" s="281"/>
      <c r="Z69" s="281"/>
      <c r="AA69" s="258"/>
      <c r="AB69" s="258"/>
      <c r="AC69" s="258"/>
    </row>
    <row r="70" spans="1:29" ht="15.75" hidden="1" customHeight="1">
      <c r="A70" s="257">
        <v>44797</v>
      </c>
      <c r="B70" s="258" t="s">
        <v>3724</v>
      </c>
      <c r="C70" s="263">
        <v>4</v>
      </c>
      <c r="D70" s="258" t="s">
        <v>3727</v>
      </c>
      <c r="E70" s="258" t="s">
        <v>4</v>
      </c>
      <c r="F70" s="258" t="s">
        <v>602</v>
      </c>
      <c r="G70" s="258" t="s">
        <v>3728</v>
      </c>
      <c r="H70" s="258">
        <v>3</v>
      </c>
      <c r="I70" s="258" t="s">
        <v>990</v>
      </c>
      <c r="J70" s="258" t="s">
        <v>3729</v>
      </c>
      <c r="K70" s="258">
        <v>5</v>
      </c>
      <c r="L70" s="258"/>
      <c r="M70" s="258"/>
      <c r="N70" s="258" t="s">
        <v>452</v>
      </c>
      <c r="O70" s="258" t="s">
        <v>11315</v>
      </c>
      <c r="P70" s="258"/>
      <c r="Q70" s="258" t="s">
        <v>24</v>
      </c>
      <c r="R70" s="258" t="s">
        <v>3731</v>
      </c>
      <c r="S70" s="258" t="str">
        <f>IFERROR(VLOOKUP(B70,'2022-2023 Third Reviews'!$C:$S,9,FALSE),"")</f>
        <v/>
      </c>
      <c r="T70" s="258"/>
      <c r="U70" s="258" t="s">
        <v>24</v>
      </c>
      <c r="V70" s="252"/>
      <c r="W70" s="252"/>
      <c r="X70" s="252"/>
      <c r="Y70" s="219"/>
      <c r="Z70" s="219"/>
      <c r="AA70" s="219"/>
      <c r="AB70" s="219"/>
      <c r="AC70" s="219"/>
    </row>
    <row r="71" spans="1:29" ht="15.75" hidden="1" customHeight="1">
      <c r="A71" s="402">
        <v>44796</v>
      </c>
      <c r="B71" s="403" t="s">
        <v>168</v>
      </c>
      <c r="C71" s="404">
        <v>4.25</v>
      </c>
      <c r="D71" s="403" t="s">
        <v>3659</v>
      </c>
      <c r="E71" s="403" t="s">
        <v>4</v>
      </c>
      <c r="F71" s="403" t="s">
        <v>725</v>
      </c>
      <c r="G71" s="403" t="s">
        <v>11275</v>
      </c>
      <c r="H71" s="403">
        <v>3.5</v>
      </c>
      <c r="I71" s="403" t="s">
        <v>990</v>
      </c>
      <c r="J71" s="403" t="s">
        <v>3661</v>
      </c>
      <c r="K71" s="403">
        <v>5</v>
      </c>
      <c r="L71" s="403" t="s">
        <v>451</v>
      </c>
      <c r="M71" s="403" t="s">
        <v>11276</v>
      </c>
      <c r="N71" s="403" t="s">
        <v>452</v>
      </c>
      <c r="O71" s="403" t="s">
        <v>3663</v>
      </c>
      <c r="P71" s="403"/>
      <c r="Q71" s="403" t="s">
        <v>20</v>
      </c>
      <c r="R71" s="403" t="s">
        <v>3664</v>
      </c>
      <c r="S71" s="403" t="str">
        <f>IFERROR(VLOOKUP(B71,'2022-2023 Third Reviews'!$C:$S,9,FALSE),"")</f>
        <v/>
      </c>
      <c r="T71" s="403"/>
      <c r="U71" s="403" t="s">
        <v>24</v>
      </c>
      <c r="V71" s="218"/>
      <c r="W71" s="218"/>
      <c r="X71" s="218"/>
      <c r="Y71" s="224"/>
      <c r="Z71" s="224"/>
      <c r="AA71" s="224"/>
      <c r="AB71" s="224"/>
      <c r="AC71" s="224"/>
    </row>
    <row r="72" spans="1:29" ht="15.75" hidden="1" customHeight="1">
      <c r="A72" s="321">
        <v>44791</v>
      </c>
      <c r="B72" s="322" t="s">
        <v>276</v>
      </c>
      <c r="C72" s="323">
        <v>3.75</v>
      </c>
      <c r="D72" s="322" t="s">
        <v>4173</v>
      </c>
      <c r="E72" s="322" t="s">
        <v>4</v>
      </c>
      <c r="F72" s="322" t="s">
        <v>602</v>
      </c>
      <c r="G72" s="322" t="s">
        <v>4174</v>
      </c>
      <c r="H72" s="322">
        <v>4</v>
      </c>
      <c r="I72" s="322" t="s">
        <v>1045</v>
      </c>
      <c r="J72" s="322" t="s">
        <v>4175</v>
      </c>
      <c r="K72" s="322">
        <v>3.5</v>
      </c>
      <c r="L72" s="322" t="s">
        <v>923</v>
      </c>
      <c r="M72" s="324">
        <v>500000</v>
      </c>
      <c r="N72" s="322" t="s">
        <v>452</v>
      </c>
      <c r="O72" s="322" t="s">
        <v>4176</v>
      </c>
      <c r="P72" s="322" t="s">
        <v>4177</v>
      </c>
      <c r="Q72" s="322" t="s">
        <v>20</v>
      </c>
      <c r="R72" s="322" t="s">
        <v>11668</v>
      </c>
      <c r="S72" s="322" t="str">
        <f>IFERROR(VLOOKUP(B72,'2022-2023 Third Reviews'!$C:$S,9,FALSE),"")</f>
        <v/>
      </c>
      <c r="T72" s="322" t="s">
        <v>13087</v>
      </c>
      <c r="U72" s="322" t="s">
        <v>24</v>
      </c>
      <c r="V72" s="219"/>
      <c r="W72" s="219"/>
      <c r="X72" s="219"/>
      <c r="Y72" s="219"/>
      <c r="Z72" s="219"/>
      <c r="AA72" s="219"/>
      <c r="AB72" s="219"/>
      <c r="AC72" s="219"/>
    </row>
    <row r="73" spans="1:29" ht="15.75" hidden="1" customHeight="1">
      <c r="A73" s="398">
        <v>44784</v>
      </c>
      <c r="B73" s="272" t="s">
        <v>182</v>
      </c>
      <c r="C73" s="269">
        <v>4</v>
      </c>
      <c r="D73" s="272" t="s">
        <v>3736</v>
      </c>
      <c r="E73" s="270" t="s">
        <v>4</v>
      </c>
      <c r="F73" s="272" t="s">
        <v>602</v>
      </c>
      <c r="G73" s="272" t="s">
        <v>3737</v>
      </c>
      <c r="H73" s="272">
        <v>4</v>
      </c>
      <c r="I73" s="272" t="s">
        <v>476</v>
      </c>
      <c r="J73" s="272" t="s">
        <v>11560</v>
      </c>
      <c r="K73" s="272">
        <v>4</v>
      </c>
      <c r="L73" s="272" t="s">
        <v>451</v>
      </c>
      <c r="M73" s="272">
        <v>3500000</v>
      </c>
      <c r="N73" s="272" t="s">
        <v>452</v>
      </c>
      <c r="O73" s="272" t="s">
        <v>3739</v>
      </c>
      <c r="P73" s="272"/>
      <c r="Q73" s="272" t="s">
        <v>18</v>
      </c>
      <c r="R73" s="272"/>
      <c r="S73" s="272" t="str">
        <f>IFERROR(VLOOKUP(B73,'2022-2023 Third Reviews'!$C:$S,9,FALSE),"")</f>
        <v/>
      </c>
      <c r="T73" s="272" t="s">
        <v>13097</v>
      </c>
      <c r="U73" s="272" t="s">
        <v>24</v>
      </c>
      <c r="V73" s="272"/>
      <c r="W73" s="272"/>
      <c r="X73" s="272"/>
      <c r="Y73" s="272"/>
      <c r="Z73" s="272"/>
      <c r="AA73" s="224"/>
      <c r="AB73" s="224"/>
      <c r="AC73" s="224"/>
    </row>
    <row r="74" spans="1:29" ht="15.75" hidden="1" customHeight="1">
      <c r="A74" s="405">
        <v>44776</v>
      </c>
      <c r="B74" s="401" t="s">
        <v>297</v>
      </c>
      <c r="C74" s="406">
        <v>3.5</v>
      </c>
      <c r="D74" s="401" t="s">
        <v>4570</v>
      </c>
      <c r="E74" s="407" t="s">
        <v>4</v>
      </c>
      <c r="F74" s="401" t="s">
        <v>602</v>
      </c>
      <c r="G74" s="401" t="s">
        <v>10185</v>
      </c>
      <c r="H74" s="401">
        <v>4</v>
      </c>
      <c r="I74" s="401" t="s">
        <v>1054</v>
      </c>
      <c r="J74" s="401" t="s">
        <v>4572</v>
      </c>
      <c r="K74" s="401">
        <v>3</v>
      </c>
      <c r="L74" s="401"/>
      <c r="M74" s="401"/>
      <c r="N74" s="401" t="s">
        <v>452</v>
      </c>
      <c r="O74" s="401" t="s">
        <v>10186</v>
      </c>
      <c r="P74" s="408"/>
      <c r="Q74" s="401" t="str">
        <f t="array" ref="Q74">INDEX(Notes!B:B,MATCH($B74,Notes!$A:$A,0))</f>
        <v>Revisit</v>
      </c>
      <c r="R74" s="401" t="s">
        <v>4574</v>
      </c>
      <c r="S74" s="401" t="str">
        <f ca="1">IFERROR(VLOOKUP(B74,'2022-2023 Third Reviews'!$C:$S,9,FALSE),"")</f>
        <v>Jason Yu
3</v>
      </c>
      <c r="T74" s="401" t="s">
        <v>13098</v>
      </c>
      <c r="U74" s="401" t="s">
        <v>24</v>
      </c>
      <c r="V74" s="306"/>
      <c r="W74" s="306"/>
      <c r="X74" s="306"/>
      <c r="Y74" s="306"/>
      <c r="Z74" s="306"/>
      <c r="AA74" s="306"/>
      <c r="AB74" s="306"/>
      <c r="AC74" s="306"/>
    </row>
    <row r="75" spans="1:29" ht="15.75" hidden="1" customHeight="1">
      <c r="A75" s="398">
        <v>44784</v>
      </c>
      <c r="B75" s="299" t="s">
        <v>186</v>
      </c>
      <c r="C75" s="269">
        <v>4</v>
      </c>
      <c r="D75" s="272" t="s">
        <v>3744</v>
      </c>
      <c r="E75" s="270" t="s">
        <v>4</v>
      </c>
      <c r="F75" s="272" t="s">
        <v>727</v>
      </c>
      <c r="G75" s="272" t="s">
        <v>10721</v>
      </c>
      <c r="H75" s="272">
        <v>4</v>
      </c>
      <c r="I75" s="272" t="s">
        <v>1054</v>
      </c>
      <c r="J75" s="272" t="s">
        <v>3746</v>
      </c>
      <c r="K75" s="272">
        <v>4</v>
      </c>
      <c r="L75" s="272" t="s">
        <v>923</v>
      </c>
      <c r="M75" s="272" t="s">
        <v>3747</v>
      </c>
      <c r="N75" s="272" t="s">
        <v>452</v>
      </c>
      <c r="O75" s="272" t="s">
        <v>10722</v>
      </c>
      <c r="P75" s="272"/>
      <c r="Q75" s="272" t="s">
        <v>18</v>
      </c>
      <c r="R75" s="272"/>
      <c r="S75" s="272" t="str">
        <f>IFERROR(VLOOKUP(B75,'2022-2023 Third Reviews'!$C:$S,9,FALSE),"")</f>
        <v/>
      </c>
      <c r="T75" s="272" t="s">
        <v>13099</v>
      </c>
      <c r="U75" s="272" t="s">
        <v>24</v>
      </c>
      <c r="V75" s="272"/>
      <c r="W75" s="272"/>
      <c r="X75" s="272"/>
      <c r="Y75" s="272"/>
      <c r="Z75" s="272"/>
      <c r="AA75" s="224"/>
      <c r="AB75" s="224"/>
      <c r="AC75" s="224"/>
    </row>
    <row r="76" spans="1:29" ht="15.75" hidden="1" customHeight="1">
      <c r="A76" s="257">
        <v>44796</v>
      </c>
      <c r="B76" s="258" t="s">
        <v>188</v>
      </c>
      <c r="C76" s="263">
        <v>4</v>
      </c>
      <c r="D76" s="258" t="s">
        <v>3753</v>
      </c>
      <c r="E76" s="258" t="s">
        <v>4</v>
      </c>
      <c r="F76" s="258" t="s">
        <v>727</v>
      </c>
      <c r="G76" s="258" t="s">
        <v>11499</v>
      </c>
      <c r="H76" s="258">
        <v>4</v>
      </c>
      <c r="I76" s="258" t="s">
        <v>1036</v>
      </c>
      <c r="J76" s="258" t="s">
        <v>3755</v>
      </c>
      <c r="K76" s="258">
        <v>4</v>
      </c>
      <c r="L76" s="258"/>
      <c r="M76" s="258"/>
      <c r="N76" s="258" t="s">
        <v>454</v>
      </c>
      <c r="O76" s="258" t="s">
        <v>3756</v>
      </c>
      <c r="P76" s="258" t="s">
        <v>3757</v>
      </c>
      <c r="Q76" s="258" t="s">
        <v>20</v>
      </c>
      <c r="R76" s="258" t="s">
        <v>3758</v>
      </c>
      <c r="S76" s="258" t="str">
        <f>IFERROR(VLOOKUP(B76,'2022-2023 Third Reviews'!$C:$S,9,FALSE),"")</f>
        <v/>
      </c>
      <c r="T76" s="258" t="s">
        <v>13100</v>
      </c>
      <c r="U76" s="258" t="s">
        <v>24</v>
      </c>
      <c r="V76" s="239"/>
      <c r="W76" s="239"/>
      <c r="X76" s="239"/>
      <c r="Y76" s="239"/>
      <c r="Z76" s="239"/>
      <c r="AA76" s="239"/>
      <c r="AB76" s="239"/>
      <c r="AC76" s="239"/>
    </row>
    <row r="77" spans="1:29" ht="15.75" hidden="1" customHeight="1">
      <c r="A77" s="253">
        <v>44797</v>
      </c>
      <c r="B77" s="224" t="s">
        <v>189</v>
      </c>
      <c r="C77" s="316">
        <v>4</v>
      </c>
      <c r="D77" s="224"/>
      <c r="E77" s="224" t="s">
        <v>4</v>
      </c>
      <c r="F77" s="224" t="s">
        <v>725</v>
      </c>
      <c r="G77" s="224" t="s">
        <v>11274</v>
      </c>
      <c r="H77" s="224">
        <v>4</v>
      </c>
      <c r="I77" s="224" t="s">
        <v>462</v>
      </c>
      <c r="J77" s="224" t="s">
        <v>3764</v>
      </c>
      <c r="K77" s="224">
        <v>4</v>
      </c>
      <c r="L77" s="224" t="s">
        <v>1656</v>
      </c>
      <c r="M77" s="330">
        <v>20000000</v>
      </c>
      <c r="N77" s="224" t="s">
        <v>452</v>
      </c>
      <c r="O77" s="224" t="s">
        <v>575</v>
      </c>
      <c r="P77" s="224"/>
      <c r="Q77" s="224" t="s">
        <v>18</v>
      </c>
      <c r="R77" s="224"/>
      <c r="S77" s="224" t="str">
        <f>IFERROR(VLOOKUP(B77,'2022-2023 Third Reviews'!$C:$S,9,FALSE),"")</f>
        <v/>
      </c>
      <c r="T77" s="224"/>
      <c r="U77" s="224" t="s">
        <v>24</v>
      </c>
      <c r="V77" s="277"/>
      <c r="W77" s="277"/>
      <c r="X77" s="277"/>
      <c r="Y77" s="277"/>
      <c r="Z77" s="277"/>
      <c r="AA77" s="239"/>
      <c r="AB77" s="239"/>
      <c r="AC77" s="239"/>
    </row>
    <row r="78" spans="1:29" ht="15.75" hidden="1" customHeight="1">
      <c r="A78" s="233">
        <v>44776</v>
      </c>
      <c r="B78" s="234" t="s">
        <v>190</v>
      </c>
      <c r="C78" s="241">
        <v>4</v>
      </c>
      <c r="D78" s="234" t="s">
        <v>3769</v>
      </c>
      <c r="E78" s="242" t="s">
        <v>4</v>
      </c>
      <c r="F78" s="234" t="s">
        <v>602</v>
      </c>
      <c r="G78" s="234" t="s">
        <v>11408</v>
      </c>
      <c r="H78" s="234">
        <v>4</v>
      </c>
      <c r="I78" s="234" t="s">
        <v>1054</v>
      </c>
      <c r="J78" s="234" t="s">
        <v>3771</v>
      </c>
      <c r="K78" s="234">
        <v>4</v>
      </c>
      <c r="L78" s="234" t="s">
        <v>451</v>
      </c>
      <c r="M78" s="234" t="s">
        <v>3473</v>
      </c>
      <c r="N78" s="234" t="s">
        <v>454</v>
      </c>
      <c r="O78" s="234" t="s">
        <v>3773</v>
      </c>
      <c r="P78" s="237"/>
      <c r="Q78" s="234" t="str">
        <f t="array" ref="Q78">INDEX(Notes!B:B,MATCH($B78,Notes!$A:$A,0))</f>
        <v>Revisit/ Cluster</v>
      </c>
      <c r="R78" s="234" t="s">
        <v>3774</v>
      </c>
      <c r="S78" s="234" t="str">
        <f ca="1">IFERROR(VLOOKUP(B78,'2022-2023 Third Reviews'!$C:$S,9,FALSE),"")</f>
        <v>Jason Yu
3</v>
      </c>
      <c r="T78" s="234" t="s">
        <v>13066</v>
      </c>
      <c r="U78" s="234" t="s">
        <v>24</v>
      </c>
      <c r="V78" s="409"/>
      <c r="W78" s="409"/>
      <c r="X78" s="409"/>
      <c r="Y78" s="409"/>
      <c r="Z78" s="409"/>
      <c r="AA78" s="322"/>
      <c r="AB78" s="322"/>
      <c r="AC78" s="322"/>
    </row>
    <row r="79" spans="1:29" ht="15.75" hidden="1" customHeight="1">
      <c r="A79" s="253">
        <v>44796</v>
      </c>
      <c r="B79" s="224" t="s">
        <v>192</v>
      </c>
      <c r="C79" s="316">
        <v>4</v>
      </c>
      <c r="D79" s="224" t="s">
        <v>3778</v>
      </c>
      <c r="E79" s="224" t="s">
        <v>4</v>
      </c>
      <c r="F79" s="224" t="s">
        <v>725</v>
      </c>
      <c r="G79" s="224" t="s">
        <v>11099</v>
      </c>
      <c r="H79" s="224">
        <v>4.5</v>
      </c>
      <c r="I79" s="224" t="s">
        <v>476</v>
      </c>
      <c r="J79" s="224" t="s">
        <v>13101</v>
      </c>
      <c r="K79" s="224">
        <v>3.5</v>
      </c>
      <c r="L79" s="224" t="s">
        <v>451</v>
      </c>
      <c r="M79" s="330">
        <v>2500000</v>
      </c>
      <c r="N79" s="224" t="s">
        <v>452</v>
      </c>
      <c r="O79" s="224" t="s">
        <v>3781</v>
      </c>
      <c r="P79" s="224"/>
      <c r="Q79" s="224" t="s">
        <v>18</v>
      </c>
      <c r="R79" s="224"/>
      <c r="S79" s="224" t="str">
        <f>IFERROR(VLOOKUP(B79,'2022-2023 Third Reviews'!$C:$S,9,FALSE),"")</f>
        <v/>
      </c>
      <c r="T79" s="224" t="s">
        <v>13089</v>
      </c>
      <c r="U79" s="224" t="s">
        <v>24</v>
      </c>
      <c r="V79" s="218"/>
      <c r="W79" s="218"/>
      <c r="X79" s="218"/>
      <c r="Y79" s="224"/>
      <c r="Z79" s="224"/>
      <c r="AA79" s="224"/>
      <c r="AB79" s="224"/>
      <c r="AC79" s="224"/>
    </row>
    <row r="80" spans="1:29" ht="15.75" hidden="1" customHeight="1">
      <c r="A80" s="321">
        <v>44791</v>
      </c>
      <c r="B80" s="322" t="s">
        <v>196</v>
      </c>
      <c r="C80" s="323">
        <v>4</v>
      </c>
      <c r="D80" s="322" t="s">
        <v>3786</v>
      </c>
      <c r="E80" s="322" t="s">
        <v>4</v>
      </c>
      <c r="F80" s="322" t="s">
        <v>727</v>
      </c>
      <c r="G80" s="322" t="s">
        <v>10497</v>
      </c>
      <c r="H80" s="322">
        <v>4</v>
      </c>
      <c r="I80" s="322" t="s">
        <v>1073</v>
      </c>
      <c r="J80" s="322"/>
      <c r="K80" s="322">
        <v>4</v>
      </c>
      <c r="L80" s="322"/>
      <c r="M80" s="322"/>
      <c r="N80" s="322" t="s">
        <v>465</v>
      </c>
      <c r="O80" s="322" t="s">
        <v>10498</v>
      </c>
      <c r="P80" s="322"/>
      <c r="Q80" s="322" t="s">
        <v>20</v>
      </c>
      <c r="R80" s="322" t="s">
        <v>3789</v>
      </c>
      <c r="S80" s="322" t="str">
        <f ca="1">IFERROR(VLOOKUP(B80,'2022-2023 Third Reviews'!$C:$S,9,FALSE),"")</f>
        <v>Nick Schmandt
4</v>
      </c>
      <c r="T80" s="322" t="s">
        <v>13102</v>
      </c>
      <c r="U80" s="322" t="s">
        <v>24</v>
      </c>
      <c r="V80" s="409"/>
      <c r="W80" s="409"/>
      <c r="X80" s="409"/>
      <c r="Y80" s="409"/>
      <c r="Z80" s="409"/>
      <c r="AA80" s="322"/>
      <c r="AB80" s="322"/>
      <c r="AC80" s="322"/>
    </row>
    <row r="81" spans="1:29" ht="15.75" hidden="1" customHeight="1">
      <c r="A81" s="257">
        <v>44789</v>
      </c>
      <c r="B81" s="258" t="s">
        <v>271</v>
      </c>
      <c r="C81" s="263">
        <v>3.88</v>
      </c>
      <c r="D81" s="258" t="s">
        <v>4144</v>
      </c>
      <c r="E81" s="258" t="s">
        <v>4</v>
      </c>
      <c r="F81" s="258" t="s">
        <v>602</v>
      </c>
      <c r="G81" s="258" t="s">
        <v>4145</v>
      </c>
      <c r="H81" s="258">
        <v>4</v>
      </c>
      <c r="I81" s="258" t="s">
        <v>1045</v>
      </c>
      <c r="J81" s="258" t="s">
        <v>4146</v>
      </c>
      <c r="K81" s="258">
        <v>3.75</v>
      </c>
      <c r="L81" s="258"/>
      <c r="M81" s="258"/>
      <c r="N81" s="258" t="s">
        <v>452</v>
      </c>
      <c r="O81" s="258" t="s">
        <v>11019</v>
      </c>
      <c r="P81" s="258"/>
      <c r="Q81" s="258" t="s">
        <v>18</v>
      </c>
      <c r="R81" s="258" t="s">
        <v>4148</v>
      </c>
      <c r="S81" s="258" t="str">
        <f>IFERROR(VLOOKUP(B81,'2022-2023 Third Reviews'!$C:$S,9,FALSE),"")</f>
        <v/>
      </c>
      <c r="T81" s="258"/>
      <c r="U81" s="258" t="s">
        <v>24</v>
      </c>
      <c r="V81" s="272"/>
      <c r="W81" s="272"/>
      <c r="X81" s="272"/>
      <c r="Y81" s="272"/>
      <c r="Z81" s="272"/>
      <c r="AA81" s="224"/>
      <c r="AB81" s="224"/>
      <c r="AC81" s="224"/>
    </row>
    <row r="82" spans="1:29" ht="15.75" hidden="1" customHeight="1">
      <c r="A82" s="248">
        <v>44782</v>
      </c>
      <c r="B82" s="219" t="s">
        <v>198</v>
      </c>
      <c r="C82" s="249">
        <v>4</v>
      </c>
      <c r="D82" s="219" t="s">
        <v>11415</v>
      </c>
      <c r="E82" s="250" t="s">
        <v>4</v>
      </c>
      <c r="F82" s="219" t="s">
        <v>727</v>
      </c>
      <c r="G82" s="219" t="s">
        <v>11416</v>
      </c>
      <c r="H82" s="219">
        <v>4.5</v>
      </c>
      <c r="I82" s="219" t="s">
        <v>1054</v>
      </c>
      <c r="J82" s="219" t="s">
        <v>11417</v>
      </c>
      <c r="K82" s="219">
        <v>3.5</v>
      </c>
      <c r="L82" s="219"/>
      <c r="M82" s="219" t="s">
        <v>3555</v>
      </c>
      <c r="N82" s="219" t="s">
        <v>454</v>
      </c>
      <c r="O82" s="219" t="s">
        <v>11527</v>
      </c>
      <c r="P82" s="219"/>
      <c r="Q82" s="219" t="s">
        <v>18</v>
      </c>
      <c r="R82" s="219"/>
      <c r="S82" s="219" t="str">
        <f>IFERROR(VLOOKUP(B82,'2022-2023 Third Reviews'!$C:$S,9,FALSE),"")</f>
        <v/>
      </c>
      <c r="T82" s="219" t="s">
        <v>13053</v>
      </c>
      <c r="U82" s="219" t="s">
        <v>24</v>
      </c>
      <c r="V82" s="252"/>
      <c r="W82" s="252"/>
      <c r="X82" s="252"/>
      <c r="Y82" s="219"/>
      <c r="Z82" s="219"/>
      <c r="AA82" s="219"/>
      <c r="AB82" s="219"/>
      <c r="AC82" s="219"/>
    </row>
    <row r="83" spans="1:29" ht="15.75" hidden="1" customHeight="1">
      <c r="A83" s="253">
        <v>44789</v>
      </c>
      <c r="B83" s="224" t="s">
        <v>201</v>
      </c>
      <c r="C83" s="249">
        <v>4</v>
      </c>
      <c r="D83" s="224" t="s">
        <v>3803</v>
      </c>
      <c r="E83" s="250" t="s">
        <v>4</v>
      </c>
      <c r="F83" s="224" t="s">
        <v>727</v>
      </c>
      <c r="G83" s="224" t="s">
        <v>10671</v>
      </c>
      <c r="H83" s="224">
        <v>4</v>
      </c>
      <c r="I83" s="224" t="s">
        <v>1045</v>
      </c>
      <c r="J83" s="224" t="s">
        <v>3805</v>
      </c>
      <c r="K83" s="224">
        <v>4</v>
      </c>
      <c r="L83" s="224"/>
      <c r="M83" s="224"/>
      <c r="N83" s="224" t="s">
        <v>452</v>
      </c>
      <c r="O83" s="224" t="s">
        <v>10672</v>
      </c>
      <c r="P83" s="224"/>
      <c r="Q83" s="224" t="s">
        <v>18</v>
      </c>
      <c r="R83" s="224"/>
      <c r="S83" s="224" t="str">
        <f ca="1">IFERROR(VLOOKUP(B83,'2022-2023 Third Reviews'!$C:$S,9,FALSE),"")</f>
        <v>John McDonald
3</v>
      </c>
      <c r="T83" s="224" t="s">
        <v>13097</v>
      </c>
      <c r="U83" s="224" t="s">
        <v>24</v>
      </c>
      <c r="V83" s="272"/>
      <c r="W83" s="272"/>
      <c r="X83" s="272"/>
      <c r="Y83" s="272"/>
      <c r="Z83" s="272"/>
      <c r="AA83" s="224"/>
      <c r="AB83" s="224"/>
      <c r="AC83" s="224"/>
    </row>
    <row r="84" spans="1:29" ht="15.75" hidden="1" customHeight="1">
      <c r="A84" s="248">
        <v>44796</v>
      </c>
      <c r="B84" s="219" t="s">
        <v>169</v>
      </c>
      <c r="C84" s="315">
        <v>4.25</v>
      </c>
      <c r="D84" s="219" t="s">
        <v>3669</v>
      </c>
      <c r="E84" s="219" t="s">
        <v>4</v>
      </c>
      <c r="F84" s="219" t="s">
        <v>725</v>
      </c>
      <c r="G84" s="219" t="s">
        <v>10620</v>
      </c>
      <c r="H84" s="219">
        <v>4.5</v>
      </c>
      <c r="I84" s="219" t="s">
        <v>604</v>
      </c>
      <c r="J84" s="219" t="s">
        <v>10621</v>
      </c>
      <c r="K84" s="219">
        <v>4</v>
      </c>
      <c r="L84" s="219" t="s">
        <v>784</v>
      </c>
      <c r="M84" s="331">
        <v>2500000</v>
      </c>
      <c r="N84" s="219" t="s">
        <v>452</v>
      </c>
      <c r="O84" s="219" t="s">
        <v>452</v>
      </c>
      <c r="P84" s="219"/>
      <c r="Q84" s="219" t="s">
        <v>18</v>
      </c>
      <c r="R84" s="219"/>
      <c r="S84" s="219" t="str">
        <f>IFERROR(VLOOKUP(B84,'2022-2023 Third Reviews'!$C:$S,9,FALSE),"")</f>
        <v/>
      </c>
      <c r="T84" s="219" t="s">
        <v>13053</v>
      </c>
      <c r="U84" s="219" t="s">
        <v>24</v>
      </c>
      <c r="V84" s="252"/>
      <c r="W84" s="252"/>
      <c r="X84" s="252"/>
      <c r="Y84" s="219"/>
      <c r="Z84" s="219"/>
      <c r="AA84" s="219"/>
      <c r="AB84" s="219"/>
      <c r="AC84" s="219"/>
    </row>
    <row r="85" spans="1:29" ht="15.75" hidden="1" customHeight="1">
      <c r="A85" s="399">
        <v>44784</v>
      </c>
      <c r="B85" s="277" t="s">
        <v>171</v>
      </c>
      <c r="C85" s="278">
        <v>4.25</v>
      </c>
      <c r="D85" s="277" t="s">
        <v>3676</v>
      </c>
      <c r="E85" s="277" t="s">
        <v>4</v>
      </c>
      <c r="F85" s="277" t="s">
        <v>460</v>
      </c>
      <c r="G85" s="277" t="s">
        <v>3677</v>
      </c>
      <c r="H85" s="277">
        <v>4</v>
      </c>
      <c r="I85" s="277" t="s">
        <v>462</v>
      </c>
      <c r="J85" s="277" t="s">
        <v>3678</v>
      </c>
      <c r="K85" s="277">
        <v>4.5</v>
      </c>
      <c r="L85" s="277" t="s">
        <v>451</v>
      </c>
      <c r="M85" s="277">
        <v>2000000</v>
      </c>
      <c r="N85" s="277" t="s">
        <v>452</v>
      </c>
      <c r="O85" s="277" t="s">
        <v>10285</v>
      </c>
      <c r="P85" s="277" t="s">
        <v>3680</v>
      </c>
      <c r="Q85" s="277" t="s">
        <v>18</v>
      </c>
      <c r="R85" s="277" t="s">
        <v>11551</v>
      </c>
      <c r="S85" s="277" t="str">
        <f ca="1">IFERROR(VLOOKUP(B85,'2022-2023 Third Reviews'!$C:$S,9,FALSE),"")</f>
        <v>Nick Schmandt
3</v>
      </c>
      <c r="T85" s="277" t="s">
        <v>13066</v>
      </c>
      <c r="U85" s="277" t="s">
        <v>24</v>
      </c>
      <c r="V85" s="234"/>
      <c r="W85" s="234"/>
      <c r="X85" s="234"/>
      <c r="Y85" s="239"/>
      <c r="Z85" s="239"/>
      <c r="AA85" s="239"/>
      <c r="AB85" s="239"/>
      <c r="AC85" s="239"/>
    </row>
    <row r="86" spans="1:29" ht="15.75" hidden="1" customHeight="1">
      <c r="A86" s="398">
        <v>44784</v>
      </c>
      <c r="B86" s="268" t="s">
        <v>203</v>
      </c>
      <c r="C86" s="269">
        <v>4</v>
      </c>
      <c r="D86" s="268" t="s">
        <v>11472</v>
      </c>
      <c r="E86" s="270" t="s">
        <v>4</v>
      </c>
      <c r="F86" s="268" t="s">
        <v>602</v>
      </c>
      <c r="G86" s="268" t="s">
        <v>11473</v>
      </c>
      <c r="H86" s="268">
        <v>4</v>
      </c>
      <c r="I86" s="268" t="s">
        <v>1054</v>
      </c>
      <c r="J86" s="268" t="s">
        <v>3813</v>
      </c>
      <c r="K86" s="268">
        <v>4</v>
      </c>
      <c r="L86" s="268"/>
      <c r="M86" s="268"/>
      <c r="N86" s="268" t="s">
        <v>452</v>
      </c>
      <c r="O86" s="268" t="s">
        <v>3814</v>
      </c>
      <c r="P86" s="268"/>
      <c r="Q86" s="268" t="s">
        <v>18</v>
      </c>
      <c r="R86" s="268"/>
      <c r="S86" s="268" t="str">
        <f>IFERROR(VLOOKUP(B86,'2022-2023 Third Reviews'!$C:$S,9,FALSE),"")</f>
        <v/>
      </c>
      <c r="T86" s="268" t="s">
        <v>13103</v>
      </c>
      <c r="U86" s="268" t="s">
        <v>24</v>
      </c>
      <c r="V86" s="258"/>
      <c r="W86" s="258"/>
      <c r="X86" s="258"/>
      <c r="Y86" s="258"/>
      <c r="Z86" s="258"/>
      <c r="AA86" s="258"/>
      <c r="AB86" s="258"/>
      <c r="AC86" s="258"/>
    </row>
    <row r="87" spans="1:29" ht="15.75" hidden="1" customHeight="1">
      <c r="A87" s="253">
        <v>44796</v>
      </c>
      <c r="B87" s="224" t="s">
        <v>204</v>
      </c>
      <c r="C87" s="316">
        <v>4</v>
      </c>
      <c r="D87" s="224" t="s">
        <v>3819</v>
      </c>
      <c r="E87" s="224" t="s">
        <v>4</v>
      </c>
      <c r="F87" s="224" t="s">
        <v>725</v>
      </c>
      <c r="G87" s="224" t="s">
        <v>3820</v>
      </c>
      <c r="H87" s="224">
        <v>4</v>
      </c>
      <c r="I87" s="224" t="s">
        <v>604</v>
      </c>
      <c r="J87" s="224" t="s">
        <v>10768</v>
      </c>
      <c r="K87" s="224">
        <v>4</v>
      </c>
      <c r="L87" s="224" t="s">
        <v>3822</v>
      </c>
      <c r="M87" s="224">
        <v>1800000</v>
      </c>
      <c r="N87" s="224" t="s">
        <v>452</v>
      </c>
      <c r="O87" s="224" t="s">
        <v>3823</v>
      </c>
      <c r="P87" s="224"/>
      <c r="Q87" s="224" t="s">
        <v>18</v>
      </c>
      <c r="R87" s="224"/>
      <c r="S87" s="224" t="str">
        <f>IFERROR(VLOOKUP(B87,'2022-2023 Third Reviews'!$C:$S,9,FALSE),"")</f>
        <v/>
      </c>
      <c r="T87" s="224" t="s">
        <v>13104</v>
      </c>
      <c r="U87" s="224" t="s">
        <v>24</v>
      </c>
      <c r="V87" s="272"/>
      <c r="W87" s="272"/>
      <c r="X87" s="272"/>
      <c r="Y87" s="272"/>
      <c r="Z87" s="272"/>
      <c r="AA87" s="224"/>
      <c r="AB87" s="224"/>
      <c r="AC87" s="224"/>
    </row>
    <row r="88" spans="1:29" ht="15.75" hidden="1" customHeight="1">
      <c r="A88" s="248">
        <v>44796</v>
      </c>
      <c r="B88" s="219" t="s">
        <v>205</v>
      </c>
      <c r="C88" s="315">
        <v>4</v>
      </c>
      <c r="D88" s="219" t="s">
        <v>3828</v>
      </c>
      <c r="E88" s="219" t="s">
        <v>4</v>
      </c>
      <c r="F88" s="219" t="s">
        <v>1045</v>
      </c>
      <c r="G88" s="219" t="s">
        <v>3829</v>
      </c>
      <c r="H88" s="219">
        <v>4</v>
      </c>
      <c r="I88" s="219" t="s">
        <v>604</v>
      </c>
      <c r="J88" s="219" t="s">
        <v>10180</v>
      </c>
      <c r="K88" s="219">
        <v>4</v>
      </c>
      <c r="L88" s="219"/>
      <c r="M88" s="219"/>
      <c r="N88" s="219" t="s">
        <v>452</v>
      </c>
      <c r="O88" s="219" t="s">
        <v>10181</v>
      </c>
      <c r="P88" s="219" t="s">
        <v>3832</v>
      </c>
      <c r="Q88" s="219" t="s">
        <v>18</v>
      </c>
      <c r="R88" s="219"/>
      <c r="S88" s="219" t="str">
        <f ca="1">IFERROR(VLOOKUP(B88,'2022-2023 Third Reviews'!$C:$S,9,FALSE),"")</f>
        <v>Nick Schmandt
4</v>
      </c>
      <c r="T88" s="219" t="s">
        <v>13061</v>
      </c>
      <c r="U88" s="219" t="s">
        <v>24</v>
      </c>
      <c r="V88" s="409"/>
      <c r="W88" s="409"/>
      <c r="X88" s="409"/>
      <c r="Y88" s="409"/>
      <c r="Z88" s="409"/>
      <c r="AA88" s="322"/>
      <c r="AB88" s="322"/>
      <c r="AC88" s="322"/>
    </row>
    <row r="89" spans="1:29" ht="15.75" hidden="1" customHeight="1">
      <c r="A89" s="253">
        <v>44789</v>
      </c>
      <c r="B89" s="224" t="s">
        <v>207</v>
      </c>
      <c r="C89" s="249">
        <v>4</v>
      </c>
      <c r="D89" s="224" t="s">
        <v>3836</v>
      </c>
      <c r="E89" s="250" t="s">
        <v>4</v>
      </c>
      <c r="F89" s="224" t="s">
        <v>727</v>
      </c>
      <c r="G89" s="224" t="s">
        <v>10665</v>
      </c>
      <c r="H89" s="224">
        <v>4</v>
      </c>
      <c r="I89" s="224" t="s">
        <v>1045</v>
      </c>
      <c r="J89" s="224"/>
      <c r="K89" s="224">
        <v>4</v>
      </c>
      <c r="L89" s="224"/>
      <c r="M89" s="307"/>
      <c r="N89" s="224" t="s">
        <v>452</v>
      </c>
      <c r="O89" s="224" t="s">
        <v>10666</v>
      </c>
      <c r="P89" s="224"/>
      <c r="Q89" s="224" t="s">
        <v>18</v>
      </c>
      <c r="R89" s="224"/>
      <c r="S89" s="224" t="str">
        <f ca="1">IFERROR(VLOOKUP(B89,'2022-2023 Third Reviews'!$C:$S,9,FALSE),"")</f>
        <v>John McDonald
2</v>
      </c>
      <c r="T89" s="224" t="s">
        <v>13097</v>
      </c>
      <c r="U89" s="224" t="s">
        <v>24</v>
      </c>
      <c r="V89" s="272"/>
      <c r="W89" s="272"/>
      <c r="X89" s="272"/>
      <c r="Y89" s="272"/>
      <c r="Z89" s="272"/>
      <c r="AA89" s="224"/>
      <c r="AB89" s="224"/>
      <c r="AC89" s="224"/>
    </row>
    <row r="90" spans="1:29" ht="15.75" hidden="1" customHeight="1">
      <c r="A90" s="257">
        <v>44782</v>
      </c>
      <c r="B90" s="258" t="s">
        <v>208</v>
      </c>
      <c r="C90" s="249">
        <v>4</v>
      </c>
      <c r="D90" s="258" t="s">
        <v>3843</v>
      </c>
      <c r="E90" s="250" t="s">
        <v>4</v>
      </c>
      <c r="F90" s="258" t="s">
        <v>602</v>
      </c>
      <c r="G90" s="258" t="s">
        <v>3844</v>
      </c>
      <c r="H90" s="258">
        <v>4</v>
      </c>
      <c r="I90" s="258" t="s">
        <v>1054</v>
      </c>
      <c r="J90" s="258" t="s">
        <v>3845</v>
      </c>
      <c r="K90" s="258">
        <v>4</v>
      </c>
      <c r="L90" s="258" t="s">
        <v>451</v>
      </c>
      <c r="M90" s="258">
        <v>2000000</v>
      </c>
      <c r="N90" s="258" t="s">
        <v>452</v>
      </c>
      <c r="O90" s="258" t="s">
        <v>3846</v>
      </c>
      <c r="P90" s="258" t="s">
        <v>727</v>
      </c>
      <c r="Q90" s="258" t="s">
        <v>18</v>
      </c>
      <c r="R90" s="258" t="s">
        <v>3847</v>
      </c>
      <c r="S90" s="258" t="str">
        <f>IFERROR(VLOOKUP(B90,'2022-2023 Third Reviews'!$C:$S,9,FALSE),"")</f>
        <v/>
      </c>
      <c r="T90" s="258" t="s">
        <v>13052</v>
      </c>
      <c r="U90" s="219" t="s">
        <v>24</v>
      </c>
      <c r="V90" s="252"/>
      <c r="W90" s="252"/>
      <c r="X90" s="252"/>
      <c r="Y90" s="219"/>
      <c r="Z90" s="219"/>
      <c r="AA90" s="219"/>
      <c r="AB90" s="219"/>
      <c r="AC90" s="219"/>
    </row>
    <row r="91" spans="1:29" ht="15.75" hidden="1" customHeight="1">
      <c r="A91" s="253">
        <v>44796</v>
      </c>
      <c r="B91" s="224" t="s">
        <v>209</v>
      </c>
      <c r="C91" s="316">
        <v>4</v>
      </c>
      <c r="D91" s="224" t="s">
        <v>3852</v>
      </c>
      <c r="E91" s="224" t="s">
        <v>4</v>
      </c>
      <c r="F91" s="224" t="s">
        <v>447</v>
      </c>
      <c r="G91" s="224" t="s">
        <v>11241</v>
      </c>
      <c r="H91" s="224">
        <v>4</v>
      </c>
      <c r="I91" s="224" t="s">
        <v>1187</v>
      </c>
      <c r="J91" s="224" t="s">
        <v>3854</v>
      </c>
      <c r="K91" s="224">
        <v>4</v>
      </c>
      <c r="L91" s="224" t="s">
        <v>784</v>
      </c>
      <c r="M91" s="330">
        <v>500000</v>
      </c>
      <c r="N91" s="224" t="s">
        <v>452</v>
      </c>
      <c r="O91" s="224" t="s">
        <v>3855</v>
      </c>
      <c r="P91" s="224"/>
      <c r="Q91" s="224" t="s">
        <v>18</v>
      </c>
      <c r="R91" s="224"/>
      <c r="S91" s="224" t="str">
        <f>IFERROR(VLOOKUP(B91,'2022-2023 Third Reviews'!$C:$S,9,FALSE),"")</f>
        <v/>
      </c>
      <c r="T91" s="224" t="s">
        <v>13105</v>
      </c>
      <c r="U91" s="224" t="s">
        <v>24</v>
      </c>
      <c r="V91" s="252"/>
      <c r="W91" s="252"/>
      <c r="X91" s="252"/>
      <c r="Y91" s="224"/>
      <c r="Z91" s="224"/>
      <c r="AA91" s="224"/>
      <c r="AB91" s="224"/>
      <c r="AC91" s="224"/>
    </row>
    <row r="92" spans="1:29" ht="15.75" hidden="1" customHeight="1">
      <c r="A92" s="248">
        <v>44796</v>
      </c>
      <c r="B92" s="219" t="s">
        <v>210</v>
      </c>
      <c r="C92" s="315">
        <v>4</v>
      </c>
      <c r="D92" s="219" t="s">
        <v>3860</v>
      </c>
      <c r="E92" s="219" t="s">
        <v>4</v>
      </c>
      <c r="F92" s="219" t="s">
        <v>725</v>
      </c>
      <c r="G92" s="219" t="s">
        <v>11490</v>
      </c>
      <c r="H92" s="219">
        <v>4</v>
      </c>
      <c r="I92" s="219" t="s">
        <v>1187</v>
      </c>
      <c r="J92" s="219" t="s">
        <v>3862</v>
      </c>
      <c r="K92" s="219">
        <v>4</v>
      </c>
      <c r="L92" s="219"/>
      <c r="M92" s="219"/>
      <c r="N92" s="219" t="s">
        <v>452</v>
      </c>
      <c r="O92" s="219" t="s">
        <v>3863</v>
      </c>
      <c r="P92" s="219"/>
      <c r="Q92" s="219" t="s">
        <v>18</v>
      </c>
      <c r="R92" s="219"/>
      <c r="S92" s="219" t="str">
        <f>IFERROR(VLOOKUP(B92,'2022-2023 Third Reviews'!$C:$S,9,FALSE),"")</f>
        <v/>
      </c>
      <c r="T92" s="219" t="s">
        <v>13097</v>
      </c>
      <c r="U92" s="219" t="s">
        <v>24</v>
      </c>
      <c r="V92" s="252"/>
      <c r="W92" s="252"/>
      <c r="X92" s="252"/>
      <c r="Y92" s="219"/>
      <c r="Z92" s="219"/>
      <c r="AA92" s="219"/>
      <c r="AB92" s="219"/>
      <c r="AC92" s="219"/>
    </row>
    <row r="93" spans="1:29" ht="15.75" hidden="1" customHeight="1">
      <c r="A93" s="253">
        <v>44797</v>
      </c>
      <c r="B93" s="224" t="s">
        <v>211</v>
      </c>
      <c r="C93" s="316">
        <v>4</v>
      </c>
      <c r="D93" s="224" t="s">
        <v>3867</v>
      </c>
      <c r="E93" s="224" t="s">
        <v>4</v>
      </c>
      <c r="F93" s="224" t="s">
        <v>725</v>
      </c>
      <c r="G93" s="224" t="s">
        <v>11299</v>
      </c>
      <c r="H93" s="224">
        <v>4</v>
      </c>
      <c r="I93" s="224" t="s">
        <v>1187</v>
      </c>
      <c r="J93" s="224" t="s">
        <v>3869</v>
      </c>
      <c r="K93" s="224">
        <v>4</v>
      </c>
      <c r="L93" s="224" t="s">
        <v>451</v>
      </c>
      <c r="M93" s="224" t="s">
        <v>3870</v>
      </c>
      <c r="N93" s="224" t="s">
        <v>452</v>
      </c>
      <c r="O93" s="224" t="s">
        <v>454</v>
      </c>
      <c r="P93" s="224"/>
      <c r="Q93" s="224" t="s">
        <v>18</v>
      </c>
      <c r="R93" s="224"/>
      <c r="S93" s="224" t="str">
        <f>IFERROR(VLOOKUP(B93,'2022-2023 Third Reviews'!$C:$S,9,FALSE),"")</f>
        <v/>
      </c>
      <c r="T93" s="224"/>
      <c r="U93" s="224" t="s">
        <v>24</v>
      </c>
      <c r="V93" s="272"/>
      <c r="W93" s="272"/>
      <c r="X93" s="272"/>
      <c r="Y93" s="272"/>
      <c r="Z93" s="272"/>
      <c r="AA93" s="224"/>
      <c r="AB93" s="224"/>
      <c r="AC93" s="224"/>
    </row>
    <row r="94" spans="1:29" ht="15.75" hidden="1" customHeight="1">
      <c r="A94" s="248">
        <v>44796</v>
      </c>
      <c r="B94" s="219" t="s">
        <v>214</v>
      </c>
      <c r="C94" s="315">
        <v>4</v>
      </c>
      <c r="D94" s="219" t="s">
        <v>3875</v>
      </c>
      <c r="E94" s="219" t="s">
        <v>4</v>
      </c>
      <c r="F94" s="219" t="s">
        <v>727</v>
      </c>
      <c r="G94" s="219" t="s">
        <v>10517</v>
      </c>
      <c r="H94" s="219">
        <v>4</v>
      </c>
      <c r="I94" s="219" t="s">
        <v>1187</v>
      </c>
      <c r="J94" s="219" t="s">
        <v>3877</v>
      </c>
      <c r="K94" s="219">
        <v>4</v>
      </c>
      <c r="L94" s="219" t="s">
        <v>923</v>
      </c>
      <c r="M94" s="219" t="s">
        <v>729</v>
      </c>
      <c r="N94" s="219" t="s">
        <v>452</v>
      </c>
      <c r="O94" s="219" t="s">
        <v>452</v>
      </c>
      <c r="P94" s="219"/>
      <c r="Q94" s="219" t="s">
        <v>18</v>
      </c>
      <c r="R94" s="219"/>
      <c r="S94" s="219" t="str">
        <f>IFERROR(VLOOKUP(B94,'2022-2023 Third Reviews'!$C:$S,9,FALSE),"")</f>
        <v/>
      </c>
      <c r="T94" s="219" t="s">
        <v>13106</v>
      </c>
      <c r="U94" s="219" t="s">
        <v>24</v>
      </c>
      <c r="V94" s="252"/>
      <c r="W94" s="252"/>
      <c r="X94" s="252"/>
      <c r="Y94" s="219"/>
      <c r="Z94" s="219"/>
      <c r="AA94" s="219"/>
      <c r="AB94" s="219"/>
      <c r="AC94" s="219"/>
    </row>
    <row r="95" spans="1:29" ht="15.75" hidden="1" customHeight="1">
      <c r="A95" s="257">
        <v>44796</v>
      </c>
      <c r="B95" s="258" t="s">
        <v>3880</v>
      </c>
      <c r="C95" s="263">
        <v>4</v>
      </c>
      <c r="D95" s="258" t="s">
        <v>10841</v>
      </c>
      <c r="E95" s="258" t="s">
        <v>4</v>
      </c>
      <c r="F95" s="258" t="s">
        <v>725</v>
      </c>
      <c r="G95" s="258" t="s">
        <v>3884</v>
      </c>
      <c r="H95" s="258">
        <v>3</v>
      </c>
      <c r="I95" s="258" t="s">
        <v>1187</v>
      </c>
      <c r="J95" s="258" t="s">
        <v>3885</v>
      </c>
      <c r="K95" s="258">
        <v>5</v>
      </c>
      <c r="L95" s="258" t="s">
        <v>478</v>
      </c>
      <c r="M95" s="258">
        <v>700000</v>
      </c>
      <c r="N95" s="258" t="s">
        <v>452</v>
      </c>
      <c r="O95" s="258" t="s">
        <v>452</v>
      </c>
      <c r="P95" s="258"/>
      <c r="Q95" s="258" t="s">
        <v>24</v>
      </c>
      <c r="R95" s="258" t="s">
        <v>11710</v>
      </c>
      <c r="S95" s="258" t="str">
        <f>IFERROR(VLOOKUP(B95,'2022-2023 Third Reviews'!$C:$S,9,FALSE),"")</f>
        <v/>
      </c>
      <c r="T95" s="258"/>
      <c r="U95" s="224" t="s">
        <v>24</v>
      </c>
      <c r="V95" s="272"/>
      <c r="W95" s="272"/>
      <c r="X95" s="272"/>
      <c r="Y95" s="272"/>
      <c r="Z95" s="272"/>
      <c r="AA95" s="224"/>
      <c r="AB95" s="224"/>
      <c r="AC95" s="224"/>
    </row>
    <row r="96" spans="1:29" ht="15.75" hidden="1" customHeight="1">
      <c r="A96" s="255">
        <v>44782</v>
      </c>
      <c r="B96" s="239" t="s">
        <v>299</v>
      </c>
      <c r="C96" s="249">
        <v>3.5</v>
      </c>
      <c r="D96" s="239" t="s">
        <v>4665</v>
      </c>
      <c r="E96" s="250" t="s">
        <v>4</v>
      </c>
      <c r="F96" s="239" t="s">
        <v>460</v>
      </c>
      <c r="G96" s="239" t="s">
        <v>4666</v>
      </c>
      <c r="H96" s="239">
        <v>4</v>
      </c>
      <c r="I96" s="239" t="s">
        <v>462</v>
      </c>
      <c r="J96" s="239"/>
      <c r="K96" s="239">
        <v>3</v>
      </c>
      <c r="L96" s="239" t="s">
        <v>478</v>
      </c>
      <c r="M96" s="239" t="s">
        <v>4667</v>
      </c>
      <c r="N96" s="239" t="s">
        <v>452</v>
      </c>
      <c r="O96" s="239" t="s">
        <v>452</v>
      </c>
      <c r="P96" s="239"/>
      <c r="Q96" s="239" t="s">
        <v>20</v>
      </c>
      <c r="R96" s="239" t="s">
        <v>4668</v>
      </c>
      <c r="S96" s="239" t="str">
        <f ca="1">IFERROR(VLOOKUP(B96,'2022-2023 Third Reviews'!$C:$S,9,FALSE),"")</f>
        <v>Jason Yu
4</v>
      </c>
      <c r="T96" s="239" t="s">
        <v>13087</v>
      </c>
      <c r="U96" s="239" t="s">
        <v>24</v>
      </c>
      <c r="V96" s="219"/>
      <c r="W96" s="219"/>
      <c r="X96" s="219"/>
      <c r="Y96" s="219"/>
      <c r="Z96" s="219"/>
      <c r="AA96" s="219"/>
      <c r="AB96" s="219"/>
      <c r="AC96" s="219"/>
    </row>
    <row r="97" spans="1:29" ht="15.75" hidden="1" customHeight="1">
      <c r="A97" s="398">
        <v>44784</v>
      </c>
      <c r="B97" s="272" t="s">
        <v>4255</v>
      </c>
      <c r="C97" s="269">
        <v>3.75</v>
      </c>
      <c r="D97" s="272" t="s">
        <v>10886</v>
      </c>
      <c r="E97" s="270" t="s">
        <v>4</v>
      </c>
      <c r="F97" s="272" t="s">
        <v>602</v>
      </c>
      <c r="G97" s="272" t="s">
        <v>10887</v>
      </c>
      <c r="H97" s="272">
        <v>4</v>
      </c>
      <c r="I97" s="272" t="s">
        <v>476</v>
      </c>
      <c r="J97" s="272" t="s">
        <v>11571</v>
      </c>
      <c r="K97" s="272">
        <v>3.5</v>
      </c>
      <c r="L97" s="272" t="s">
        <v>784</v>
      </c>
      <c r="M97" s="272">
        <v>600000</v>
      </c>
      <c r="N97" s="272" t="s">
        <v>465</v>
      </c>
      <c r="O97" s="272" t="s">
        <v>575</v>
      </c>
      <c r="P97" s="272" t="s">
        <v>4261</v>
      </c>
      <c r="Q97" s="272" t="s">
        <v>24</v>
      </c>
      <c r="R97" s="272"/>
      <c r="S97" s="213" t="str">
        <f>IFERROR(VLOOKUP(B97,'2022-2023 Third Reviews'!$C:$S,9,FALSE),"")</f>
        <v/>
      </c>
      <c r="T97" s="213" t="s">
        <v>13107</v>
      </c>
      <c r="U97" s="272" t="s">
        <v>24</v>
      </c>
      <c r="V97" s="306"/>
      <c r="W97" s="306"/>
      <c r="X97" s="306"/>
      <c r="Y97" s="306"/>
      <c r="Z97" s="306"/>
      <c r="AA97" s="306"/>
      <c r="AB97" s="306"/>
      <c r="AC97" s="306"/>
    </row>
    <row r="98" spans="1:29" ht="15.75" hidden="1" customHeight="1">
      <c r="A98" s="398">
        <v>44784</v>
      </c>
      <c r="B98" s="268" t="s">
        <v>215</v>
      </c>
      <c r="C98" s="269">
        <v>4</v>
      </c>
      <c r="D98" s="268" t="s">
        <v>3891</v>
      </c>
      <c r="E98" s="270" t="s">
        <v>4</v>
      </c>
      <c r="F98" s="268" t="s">
        <v>602</v>
      </c>
      <c r="G98" s="268" t="s">
        <v>3892</v>
      </c>
      <c r="H98" s="268">
        <v>4</v>
      </c>
      <c r="I98" s="268" t="s">
        <v>1054</v>
      </c>
      <c r="J98" s="268" t="s">
        <v>3893</v>
      </c>
      <c r="K98" s="268">
        <v>4</v>
      </c>
      <c r="L98" s="268"/>
      <c r="M98" s="268"/>
      <c r="N98" s="268" t="s">
        <v>452</v>
      </c>
      <c r="O98" s="268" t="s">
        <v>10365</v>
      </c>
      <c r="P98" s="268"/>
      <c r="Q98" s="268" t="s">
        <v>18</v>
      </c>
      <c r="R98" s="268"/>
      <c r="S98" s="268" t="str">
        <f ca="1">IFERROR(VLOOKUP(B98,'2022-2023 Third Reviews'!$C:$S,9,FALSE),"")</f>
        <v>Nick Schmandt
2</v>
      </c>
      <c r="T98" s="268"/>
      <c r="U98" s="268" t="s">
        <v>24</v>
      </c>
      <c r="V98" s="268"/>
      <c r="W98" s="268"/>
      <c r="X98" s="268"/>
      <c r="Y98" s="268"/>
      <c r="Z98" s="268"/>
      <c r="AA98" s="219"/>
      <c r="AB98" s="219"/>
      <c r="AC98" s="219"/>
    </row>
    <row r="99" spans="1:29" ht="15.75" hidden="1" customHeight="1">
      <c r="A99" s="399">
        <v>44784</v>
      </c>
      <c r="B99" s="277" t="s">
        <v>216</v>
      </c>
      <c r="C99" s="278">
        <v>4</v>
      </c>
      <c r="D99" s="277" t="s">
        <v>3899</v>
      </c>
      <c r="E99" s="277" t="s">
        <v>4</v>
      </c>
      <c r="F99" s="277" t="s">
        <v>447</v>
      </c>
      <c r="G99" s="277" t="s">
        <v>11557</v>
      </c>
      <c r="H99" s="277">
        <v>4</v>
      </c>
      <c r="I99" s="277" t="s">
        <v>543</v>
      </c>
      <c r="J99" s="277" t="s">
        <v>11558</v>
      </c>
      <c r="K99" s="277">
        <v>4</v>
      </c>
      <c r="L99" s="277" t="s">
        <v>451</v>
      </c>
      <c r="M99" s="289">
        <v>3600000</v>
      </c>
      <c r="N99" s="277" t="s">
        <v>452</v>
      </c>
      <c r="O99" s="289" t="s">
        <v>3901</v>
      </c>
      <c r="P99" s="277" t="s">
        <v>725</v>
      </c>
      <c r="Q99" s="277" t="s">
        <v>18</v>
      </c>
      <c r="R99" s="277" t="s">
        <v>11559</v>
      </c>
      <c r="S99" s="277" t="str">
        <f ca="1">IFERROR(VLOOKUP(B99,'2022-2023 Third Reviews'!$C:$S,9,FALSE),"")</f>
        <v>John McDonald
4</v>
      </c>
      <c r="T99" s="277" t="s">
        <v>13099</v>
      </c>
      <c r="U99" s="277" t="s">
        <v>24</v>
      </c>
      <c r="V99" s="272"/>
      <c r="W99" s="272"/>
      <c r="X99" s="272"/>
      <c r="Y99" s="272"/>
      <c r="Z99" s="272"/>
      <c r="AA99" s="224"/>
      <c r="AB99" s="224"/>
      <c r="AC99" s="224"/>
    </row>
    <row r="100" spans="1:29" ht="15.75" hidden="1" customHeight="1">
      <c r="A100" s="248">
        <v>44796</v>
      </c>
      <c r="B100" s="219" t="s">
        <v>217</v>
      </c>
      <c r="C100" s="315">
        <v>4</v>
      </c>
      <c r="D100" s="219" t="s">
        <v>3907</v>
      </c>
      <c r="E100" s="219" t="s">
        <v>4</v>
      </c>
      <c r="F100" s="219" t="s">
        <v>447</v>
      </c>
      <c r="G100" s="219" t="s">
        <v>11343</v>
      </c>
      <c r="H100" s="219">
        <v>4</v>
      </c>
      <c r="I100" s="219" t="s">
        <v>1237</v>
      </c>
      <c r="J100" s="219"/>
      <c r="K100" s="219">
        <v>4</v>
      </c>
      <c r="L100" s="219" t="s">
        <v>451</v>
      </c>
      <c r="M100" s="310">
        <v>4000000</v>
      </c>
      <c r="N100" s="219" t="s">
        <v>452</v>
      </c>
      <c r="O100" s="219" t="s">
        <v>11344</v>
      </c>
      <c r="P100" s="219"/>
      <c r="Q100" s="219" t="s">
        <v>18</v>
      </c>
      <c r="R100" s="219"/>
      <c r="S100" s="219" t="str">
        <f>IFERROR(VLOOKUP(B100,'2022-2023 Third Reviews'!$C:$S,9,FALSE),"")</f>
        <v/>
      </c>
      <c r="T100" s="219"/>
      <c r="U100" s="219" t="s">
        <v>24</v>
      </c>
      <c r="V100" s="252"/>
      <c r="W100" s="252"/>
      <c r="X100" s="252"/>
      <c r="Y100" s="219"/>
      <c r="Z100" s="219"/>
      <c r="AA100" s="219"/>
      <c r="AB100" s="219"/>
      <c r="AC100" s="219"/>
    </row>
    <row r="101" spans="1:29" ht="15.75" hidden="1" customHeight="1">
      <c r="A101" s="253">
        <v>44782</v>
      </c>
      <c r="B101" s="224" t="s">
        <v>221</v>
      </c>
      <c r="C101" s="249">
        <v>4</v>
      </c>
      <c r="D101" s="224" t="s">
        <v>3914</v>
      </c>
      <c r="E101" s="250" t="s">
        <v>4</v>
      </c>
      <c r="F101" s="224" t="s">
        <v>727</v>
      </c>
      <c r="G101" s="224" t="s">
        <v>10366</v>
      </c>
      <c r="H101" s="224">
        <v>4</v>
      </c>
      <c r="I101" s="224" t="s">
        <v>1054</v>
      </c>
      <c r="J101" s="224" t="s">
        <v>3916</v>
      </c>
      <c r="K101" s="224">
        <v>4</v>
      </c>
      <c r="L101" s="224" t="s">
        <v>451</v>
      </c>
      <c r="M101" s="224" t="s">
        <v>3917</v>
      </c>
      <c r="N101" s="224" t="s">
        <v>452</v>
      </c>
      <c r="O101" s="224" t="s">
        <v>452</v>
      </c>
      <c r="P101" s="224"/>
      <c r="Q101" s="224" t="s">
        <v>18</v>
      </c>
      <c r="R101" s="224"/>
      <c r="S101" s="224" t="str">
        <f ca="1">IFERROR(VLOOKUP(B101,'2022-2023 Third Reviews'!$C:$S,9,FALSE),"")</f>
        <v>Nick Schmandt
5</v>
      </c>
      <c r="T101" s="224"/>
      <c r="U101" s="224" t="s">
        <v>24</v>
      </c>
      <c r="V101" s="252"/>
      <c r="W101" s="252"/>
      <c r="X101" s="252"/>
      <c r="Y101" s="224"/>
      <c r="Z101" s="224"/>
      <c r="AA101" s="224"/>
      <c r="AB101" s="224"/>
      <c r="AC101" s="224"/>
    </row>
    <row r="102" spans="1:29" ht="15.75" hidden="1" customHeight="1">
      <c r="A102" s="248">
        <v>44791</v>
      </c>
      <c r="B102" s="219" t="s">
        <v>222</v>
      </c>
      <c r="C102" s="315">
        <v>4</v>
      </c>
      <c r="D102" s="219" t="s">
        <v>3922</v>
      </c>
      <c r="E102" s="219" t="s">
        <v>4</v>
      </c>
      <c r="F102" s="219" t="s">
        <v>727</v>
      </c>
      <c r="G102" s="219" t="s">
        <v>11397</v>
      </c>
      <c r="H102" s="219">
        <v>4</v>
      </c>
      <c r="I102" s="219" t="s">
        <v>1237</v>
      </c>
      <c r="J102" s="219"/>
      <c r="K102" s="219">
        <v>4</v>
      </c>
      <c r="L102" s="219" t="s">
        <v>451</v>
      </c>
      <c r="M102" s="219">
        <v>1500000</v>
      </c>
      <c r="N102" s="219" t="s">
        <v>452</v>
      </c>
      <c r="O102" s="219" t="s">
        <v>3924</v>
      </c>
      <c r="P102" s="219"/>
      <c r="Q102" s="219" t="s">
        <v>18</v>
      </c>
      <c r="R102" s="219"/>
      <c r="S102" s="219" t="str">
        <f>IFERROR(VLOOKUP(B102,'2022-2023 Third Reviews'!$C:$S,9,FALSE),"")</f>
        <v/>
      </c>
      <c r="T102" s="219" t="s">
        <v>13108</v>
      </c>
      <c r="U102" s="219" t="s">
        <v>24</v>
      </c>
      <c r="V102" s="268"/>
      <c r="W102" s="268"/>
      <c r="X102" s="268"/>
      <c r="Y102" s="268"/>
      <c r="Z102" s="268"/>
      <c r="AA102" s="219"/>
      <c r="AB102" s="219"/>
      <c r="AC102" s="219"/>
    </row>
    <row r="103" spans="1:29" ht="15.75" hidden="1" customHeight="1">
      <c r="A103" s="253">
        <v>44796</v>
      </c>
      <c r="B103" s="224" t="s">
        <v>225</v>
      </c>
      <c r="C103" s="316">
        <v>4</v>
      </c>
      <c r="D103" s="224" t="s">
        <v>3929</v>
      </c>
      <c r="E103" s="224" t="s">
        <v>4</v>
      </c>
      <c r="F103" s="224" t="s">
        <v>1045</v>
      </c>
      <c r="G103" s="224" t="s">
        <v>3930</v>
      </c>
      <c r="H103" s="224">
        <v>4</v>
      </c>
      <c r="I103" s="224" t="s">
        <v>1281</v>
      </c>
      <c r="J103" s="224" t="s">
        <v>3931</v>
      </c>
      <c r="K103" s="224">
        <v>4</v>
      </c>
      <c r="L103" s="224" t="s">
        <v>478</v>
      </c>
      <c r="M103" s="311">
        <v>11000000</v>
      </c>
      <c r="N103" s="224" t="s">
        <v>465</v>
      </c>
      <c r="O103" s="224" t="s">
        <v>10477</v>
      </c>
      <c r="P103" s="224"/>
      <c r="Q103" s="224" t="s">
        <v>18</v>
      </c>
      <c r="R103" s="224"/>
      <c r="S103" s="224" t="str">
        <f>IFERROR(VLOOKUP(B103,'2022-2023 Third Reviews'!$C:$S,9,FALSE),"")</f>
        <v/>
      </c>
      <c r="T103" s="224" t="s">
        <v>13084</v>
      </c>
      <c r="U103" s="224" t="s">
        <v>24</v>
      </c>
      <c r="V103" s="272"/>
      <c r="W103" s="272"/>
      <c r="X103" s="272"/>
      <c r="Y103" s="272"/>
      <c r="Z103" s="272"/>
      <c r="AA103" s="224"/>
      <c r="AB103" s="224"/>
      <c r="AC103" s="224"/>
    </row>
    <row r="104" spans="1:29" ht="15.75" hidden="1" customHeight="1">
      <c r="A104" s="248">
        <v>44797</v>
      </c>
      <c r="B104" s="219" t="s">
        <v>226</v>
      </c>
      <c r="C104" s="315">
        <v>4</v>
      </c>
      <c r="D104" s="219" t="s">
        <v>3937</v>
      </c>
      <c r="E104" s="219" t="s">
        <v>4</v>
      </c>
      <c r="F104" s="219" t="s">
        <v>1045</v>
      </c>
      <c r="G104" s="219" t="s">
        <v>3938</v>
      </c>
      <c r="H104" s="219">
        <v>3.5</v>
      </c>
      <c r="I104" s="219" t="s">
        <v>1350</v>
      </c>
      <c r="J104" s="219" t="s">
        <v>3939</v>
      </c>
      <c r="K104" s="219">
        <v>4.5</v>
      </c>
      <c r="L104" s="219"/>
      <c r="M104" s="219"/>
      <c r="N104" s="219" t="s">
        <v>452</v>
      </c>
      <c r="O104" s="219" t="s">
        <v>3940</v>
      </c>
      <c r="P104" s="219"/>
      <c r="Q104" s="219" t="s">
        <v>18</v>
      </c>
      <c r="R104" s="219"/>
      <c r="S104" s="219" t="str">
        <f>IFERROR(VLOOKUP(B104,'2022-2023 Third Reviews'!$C:$S,9,FALSE),"")</f>
        <v/>
      </c>
      <c r="T104" s="219" t="s">
        <v>13109</v>
      </c>
      <c r="U104" s="219" t="s">
        <v>24</v>
      </c>
      <c r="V104" s="294"/>
      <c r="W104" s="294"/>
      <c r="X104" s="294"/>
      <c r="Y104" s="294"/>
      <c r="Z104" s="294"/>
      <c r="AA104" s="265"/>
      <c r="AB104" s="265"/>
      <c r="AC104" s="265"/>
    </row>
    <row r="105" spans="1:29" ht="15.75" hidden="1" customHeight="1">
      <c r="A105" s="253">
        <v>44796</v>
      </c>
      <c r="B105" s="224" t="s">
        <v>228</v>
      </c>
      <c r="C105" s="316">
        <v>4</v>
      </c>
      <c r="D105" s="224" t="s">
        <v>3945</v>
      </c>
      <c r="E105" s="224" t="s">
        <v>4</v>
      </c>
      <c r="F105" s="224" t="s">
        <v>725</v>
      </c>
      <c r="G105" s="224" t="s">
        <v>10923</v>
      </c>
      <c r="H105" s="224">
        <v>4</v>
      </c>
      <c r="I105" s="224" t="s">
        <v>1281</v>
      </c>
      <c r="J105" s="224" t="s">
        <v>3947</v>
      </c>
      <c r="K105" s="224">
        <v>4</v>
      </c>
      <c r="L105" s="224" t="s">
        <v>3948</v>
      </c>
      <c r="M105" s="224" t="s">
        <v>3949</v>
      </c>
      <c r="N105" s="224" t="s">
        <v>452</v>
      </c>
      <c r="O105" s="224" t="s">
        <v>452</v>
      </c>
      <c r="P105" s="224"/>
      <c r="Q105" s="224" t="s">
        <v>18</v>
      </c>
      <c r="R105" s="224"/>
      <c r="S105" s="224" t="str">
        <f>IFERROR(VLOOKUP(B105,'2022-2023 Third Reviews'!$C:$S,9,FALSE),"")</f>
        <v/>
      </c>
      <c r="T105" s="224" t="s">
        <v>13099</v>
      </c>
      <c r="U105" s="224" t="s">
        <v>24</v>
      </c>
      <c r="V105" s="272"/>
      <c r="W105" s="272"/>
      <c r="X105" s="272"/>
      <c r="Y105" s="272"/>
      <c r="Z105" s="272"/>
      <c r="AA105" s="224"/>
      <c r="AB105" s="224"/>
      <c r="AC105" s="224"/>
    </row>
    <row r="106" spans="1:29" ht="15.75" hidden="1" customHeight="1">
      <c r="A106" s="257">
        <v>44796</v>
      </c>
      <c r="B106" s="258" t="s">
        <v>174</v>
      </c>
      <c r="C106" s="263">
        <v>4.25</v>
      </c>
      <c r="D106" s="258" t="s">
        <v>3686</v>
      </c>
      <c r="E106" s="258" t="s">
        <v>4</v>
      </c>
      <c r="F106" s="258" t="s">
        <v>1045</v>
      </c>
      <c r="G106" s="258" t="s">
        <v>3687</v>
      </c>
      <c r="H106" s="258">
        <v>4.5</v>
      </c>
      <c r="I106" s="258" t="s">
        <v>1298</v>
      </c>
      <c r="J106" s="258" t="s">
        <v>3688</v>
      </c>
      <c r="K106" s="258">
        <v>4</v>
      </c>
      <c r="L106" s="258" t="s">
        <v>784</v>
      </c>
      <c r="M106" s="309">
        <v>1000000</v>
      </c>
      <c r="N106" s="258" t="s">
        <v>452</v>
      </c>
      <c r="O106" s="258" t="s">
        <v>3689</v>
      </c>
      <c r="P106" s="258"/>
      <c r="Q106" s="258" t="s">
        <v>18</v>
      </c>
      <c r="R106" s="258" t="s">
        <v>3690</v>
      </c>
      <c r="S106" s="258" t="str">
        <f ca="1">IFERROR(VLOOKUP(B106,'2022-2023 Third Reviews'!$C:$S,9,FALSE),"")</f>
        <v>John McDonald
2</v>
      </c>
      <c r="T106" s="258" t="s">
        <v>13066</v>
      </c>
      <c r="U106" s="258" t="s">
        <v>24</v>
      </c>
      <c r="V106" s="268"/>
      <c r="W106" s="268"/>
      <c r="X106" s="268"/>
      <c r="Y106" s="268"/>
      <c r="Z106" s="268"/>
      <c r="AA106" s="219"/>
      <c r="AB106" s="219"/>
      <c r="AC106" s="219"/>
    </row>
    <row r="107" spans="1:29" ht="15.75" hidden="1" customHeight="1">
      <c r="A107" s="253">
        <v>44796</v>
      </c>
      <c r="B107" s="224" t="s">
        <v>229</v>
      </c>
      <c r="C107" s="316">
        <v>4</v>
      </c>
      <c r="D107" s="224" t="s">
        <v>10405</v>
      </c>
      <c r="E107" s="224" t="s">
        <v>4</v>
      </c>
      <c r="F107" s="224" t="s">
        <v>1045</v>
      </c>
      <c r="G107" s="224" t="s">
        <v>3955</v>
      </c>
      <c r="H107" s="224">
        <v>4</v>
      </c>
      <c r="I107" s="224" t="s">
        <v>1298</v>
      </c>
      <c r="J107" s="224" t="s">
        <v>3956</v>
      </c>
      <c r="K107" s="224">
        <v>4</v>
      </c>
      <c r="L107" s="224" t="s">
        <v>451</v>
      </c>
      <c r="M107" s="330">
        <v>2000000</v>
      </c>
      <c r="N107" s="224" t="s">
        <v>454</v>
      </c>
      <c r="O107" s="224" t="s">
        <v>452</v>
      </c>
      <c r="P107" s="224" t="s">
        <v>3957</v>
      </c>
      <c r="Q107" s="224" t="s">
        <v>18</v>
      </c>
      <c r="R107" s="224"/>
      <c r="S107" s="224" t="str">
        <f>IFERROR(VLOOKUP(B107,'2022-2023 Third Reviews'!$C:$S,9,FALSE),"")</f>
        <v/>
      </c>
      <c r="T107" s="224" t="s">
        <v>13087</v>
      </c>
      <c r="U107" s="224" t="s">
        <v>24</v>
      </c>
      <c r="V107" s="258"/>
      <c r="W107" s="258"/>
      <c r="X107" s="258"/>
      <c r="Y107" s="258"/>
      <c r="Z107" s="258"/>
      <c r="AA107" s="258"/>
      <c r="AB107" s="258"/>
      <c r="AC107" s="258"/>
    </row>
    <row r="108" spans="1:29" ht="15.75" hidden="1" customHeight="1">
      <c r="A108" s="257">
        <v>44789</v>
      </c>
      <c r="B108" s="258" t="s">
        <v>4331</v>
      </c>
      <c r="C108" s="263">
        <v>3.75</v>
      </c>
      <c r="D108" s="258" t="s">
        <v>4334</v>
      </c>
      <c r="E108" s="258" t="s">
        <v>4</v>
      </c>
      <c r="F108" s="258" t="s">
        <v>602</v>
      </c>
      <c r="G108" s="258" t="s">
        <v>4335</v>
      </c>
      <c r="H108" s="258">
        <v>3.5</v>
      </c>
      <c r="I108" s="258" t="s">
        <v>476</v>
      </c>
      <c r="J108" s="258" t="s">
        <v>13400</v>
      </c>
      <c r="K108" s="258">
        <v>4</v>
      </c>
      <c r="L108" s="258" t="s">
        <v>451</v>
      </c>
      <c r="M108" s="258">
        <v>500</v>
      </c>
      <c r="N108" s="258" t="s">
        <v>452</v>
      </c>
      <c r="O108" s="258" t="s">
        <v>4337</v>
      </c>
      <c r="P108" s="258"/>
      <c r="Q108" s="258" t="s">
        <v>24</v>
      </c>
      <c r="R108" s="258" t="s">
        <v>4338</v>
      </c>
      <c r="S108" s="258" t="str">
        <f>IFERROR(VLOOKUP(B108,'2022-2023 Third Reviews'!$C:$S,9,FALSE),"")</f>
        <v/>
      </c>
      <c r="T108" s="258" t="s">
        <v>13089</v>
      </c>
      <c r="U108" s="258" t="s">
        <v>24</v>
      </c>
      <c r="V108" s="239"/>
      <c r="W108" s="239"/>
      <c r="X108" s="239"/>
      <c r="Y108" s="239"/>
      <c r="Z108" s="239"/>
      <c r="AA108" s="239"/>
      <c r="AB108" s="239"/>
      <c r="AC108" s="239"/>
    </row>
    <row r="109" spans="1:29" ht="15.75" hidden="1" customHeight="1">
      <c r="A109" s="253">
        <v>44782</v>
      </c>
      <c r="B109" s="224" t="s">
        <v>230</v>
      </c>
      <c r="C109" s="249">
        <v>4</v>
      </c>
      <c r="D109" s="224" t="s">
        <v>3962</v>
      </c>
      <c r="E109" s="250" t="s">
        <v>4</v>
      </c>
      <c r="F109" s="224" t="s">
        <v>727</v>
      </c>
      <c r="G109" s="224" t="s">
        <v>10428</v>
      </c>
      <c r="H109" s="224">
        <v>4</v>
      </c>
      <c r="I109" s="224" t="s">
        <v>941</v>
      </c>
      <c r="J109" s="224" t="s">
        <v>3964</v>
      </c>
      <c r="K109" s="224">
        <v>4</v>
      </c>
      <c r="L109" s="224"/>
      <c r="M109" s="224"/>
      <c r="N109" s="224" t="s">
        <v>452</v>
      </c>
      <c r="O109" s="224" t="s">
        <v>11526</v>
      </c>
      <c r="P109" s="224" t="s">
        <v>3966</v>
      </c>
      <c r="Q109" s="224" t="s">
        <v>18</v>
      </c>
      <c r="R109" s="224"/>
      <c r="S109" s="224" t="str">
        <f ca="1">IFERROR(VLOOKUP(B109,'2022-2023 Third Reviews'!$C:$S,9,FALSE),"")</f>
        <v>Ahmed Bahgat
4</v>
      </c>
      <c r="T109" s="224" t="s">
        <v>13066</v>
      </c>
      <c r="U109" s="224" t="s">
        <v>24</v>
      </c>
      <c r="V109" s="272"/>
      <c r="W109" s="272"/>
      <c r="X109" s="272"/>
      <c r="Y109" s="272"/>
      <c r="Z109" s="272"/>
      <c r="AA109" s="224"/>
      <c r="AB109" s="224"/>
      <c r="AC109" s="224"/>
    </row>
    <row r="110" spans="1:29" ht="15.75" hidden="1" customHeight="1">
      <c r="A110" s="399">
        <v>44784</v>
      </c>
      <c r="B110" s="277" t="s">
        <v>232</v>
      </c>
      <c r="C110" s="278">
        <v>4</v>
      </c>
      <c r="D110" s="277" t="s">
        <v>3971</v>
      </c>
      <c r="E110" s="277" t="s">
        <v>4</v>
      </c>
      <c r="F110" s="277" t="s">
        <v>447</v>
      </c>
      <c r="G110" s="277" t="s">
        <v>10580</v>
      </c>
      <c r="H110" s="277">
        <v>4</v>
      </c>
      <c r="I110" s="277" t="s">
        <v>476</v>
      </c>
      <c r="J110" s="277" t="s">
        <v>11555</v>
      </c>
      <c r="K110" s="277">
        <v>4</v>
      </c>
      <c r="L110" s="277" t="s">
        <v>3974</v>
      </c>
      <c r="M110" s="289">
        <v>5000000</v>
      </c>
      <c r="N110" s="277" t="s">
        <v>452</v>
      </c>
      <c r="O110" s="289" t="s">
        <v>3420</v>
      </c>
      <c r="P110" s="277"/>
      <c r="Q110" s="277" t="s">
        <v>18</v>
      </c>
      <c r="R110" s="277" t="s">
        <v>3975</v>
      </c>
      <c r="S110" s="277" t="str">
        <f ca="1">IFERROR(VLOOKUP(B110,'2022-2023 Third Reviews'!$C:$S,9,FALSE),"")</f>
        <v>Ahmed Bahgat
5</v>
      </c>
      <c r="T110" s="277" t="s">
        <v>13110</v>
      </c>
      <c r="U110" s="277" t="s">
        <v>24</v>
      </c>
      <c r="V110" s="252"/>
      <c r="W110" s="252"/>
      <c r="X110" s="252"/>
      <c r="Y110" s="219"/>
      <c r="Z110" s="219"/>
      <c r="AA110" s="219"/>
      <c r="AB110" s="219"/>
      <c r="AC110" s="219"/>
    </row>
    <row r="111" spans="1:29" ht="15.75" hidden="1" customHeight="1">
      <c r="A111" s="253">
        <v>44797</v>
      </c>
      <c r="B111" s="224" t="s">
        <v>234</v>
      </c>
      <c r="C111" s="316">
        <v>4</v>
      </c>
      <c r="D111" s="224" t="s">
        <v>3980</v>
      </c>
      <c r="E111" s="224" t="s">
        <v>4</v>
      </c>
      <c r="F111" s="224" t="s">
        <v>447</v>
      </c>
      <c r="G111" s="224" t="s">
        <v>11294</v>
      </c>
      <c r="H111" s="224">
        <v>3</v>
      </c>
      <c r="I111" s="224" t="s">
        <v>1371</v>
      </c>
      <c r="J111" s="224" t="s">
        <v>3982</v>
      </c>
      <c r="K111" s="224">
        <v>5</v>
      </c>
      <c r="L111" s="224"/>
      <c r="M111" s="224"/>
      <c r="N111" s="224" t="s">
        <v>452</v>
      </c>
      <c r="O111" s="224" t="s">
        <v>3983</v>
      </c>
      <c r="P111" s="224"/>
      <c r="Q111" s="224" t="s">
        <v>18</v>
      </c>
      <c r="R111" s="224"/>
      <c r="S111" s="224" t="str">
        <f>IFERROR(VLOOKUP(B111,'2022-2023 Third Reviews'!$C:$S,9,FALSE),"")</f>
        <v/>
      </c>
      <c r="T111" s="224"/>
      <c r="U111" s="224" t="s">
        <v>24</v>
      </c>
      <c r="V111" s="272"/>
      <c r="W111" s="272"/>
      <c r="X111" s="272"/>
      <c r="Y111" s="272"/>
      <c r="Z111" s="272"/>
      <c r="AA111" s="224"/>
      <c r="AB111" s="224"/>
      <c r="AC111" s="224"/>
    </row>
    <row r="112" spans="1:29" ht="15.75" hidden="1" customHeight="1">
      <c r="A112" s="248">
        <v>44789</v>
      </c>
      <c r="B112" s="219" t="s">
        <v>235</v>
      </c>
      <c r="C112" s="249">
        <v>4</v>
      </c>
      <c r="D112" s="219" t="s">
        <v>3987</v>
      </c>
      <c r="E112" s="250" t="s">
        <v>4</v>
      </c>
      <c r="F112" s="219" t="s">
        <v>727</v>
      </c>
      <c r="G112" s="219" t="s">
        <v>10676</v>
      </c>
      <c r="H112" s="219">
        <v>4</v>
      </c>
      <c r="I112" s="219" t="s">
        <v>1045</v>
      </c>
      <c r="J112" s="219" t="s">
        <v>3989</v>
      </c>
      <c r="K112" s="219">
        <v>4</v>
      </c>
      <c r="L112" s="219"/>
      <c r="M112" s="219"/>
      <c r="N112" s="219" t="s">
        <v>452</v>
      </c>
      <c r="O112" s="219" t="s">
        <v>3990</v>
      </c>
      <c r="P112" s="219"/>
      <c r="Q112" s="219" t="s">
        <v>18</v>
      </c>
      <c r="R112" s="219"/>
      <c r="S112" s="219" t="str">
        <f ca="1">IFERROR(VLOOKUP(B112,'2022-2023 Third Reviews'!$C:$S,9,FALSE),"")</f>
        <v>Joshua Rubnitz
5</v>
      </c>
      <c r="T112" s="219" t="s">
        <v>13111</v>
      </c>
      <c r="U112" s="219" t="s">
        <v>24</v>
      </c>
      <c r="V112" s="268"/>
      <c r="W112" s="268"/>
      <c r="X112" s="268"/>
      <c r="Y112" s="268"/>
      <c r="Z112" s="268"/>
      <c r="AA112" s="219"/>
      <c r="AB112" s="219"/>
      <c r="AC112" s="219"/>
    </row>
    <row r="113" spans="1:29" ht="53.25" hidden="1" customHeight="1">
      <c r="A113" s="253">
        <v>44796</v>
      </c>
      <c r="B113" s="224" t="s">
        <v>236</v>
      </c>
      <c r="C113" s="316">
        <v>4</v>
      </c>
      <c r="D113" s="224" t="s">
        <v>10539</v>
      </c>
      <c r="E113" s="224" t="s">
        <v>4</v>
      </c>
      <c r="F113" s="224" t="s">
        <v>727</v>
      </c>
      <c r="G113" s="224" t="s">
        <v>10540</v>
      </c>
      <c r="H113" s="224">
        <v>4</v>
      </c>
      <c r="I113" s="224" t="s">
        <v>1371</v>
      </c>
      <c r="J113" s="224" t="s">
        <v>3997</v>
      </c>
      <c r="K113" s="224">
        <v>4</v>
      </c>
      <c r="L113" s="224"/>
      <c r="M113" s="224"/>
      <c r="N113" s="224" t="s">
        <v>452</v>
      </c>
      <c r="O113" s="224" t="s">
        <v>3998</v>
      </c>
      <c r="P113" s="224"/>
      <c r="Q113" s="224" t="s">
        <v>18</v>
      </c>
      <c r="R113" s="224"/>
      <c r="S113" s="224" t="str">
        <f>IFERROR(VLOOKUP(B113,'2022-2023 Third Reviews'!$C:$S,9,FALSE),"")</f>
        <v/>
      </c>
      <c r="T113" s="224" t="s">
        <v>13061</v>
      </c>
      <c r="U113" s="224" t="s">
        <v>24</v>
      </c>
      <c r="V113" s="252"/>
      <c r="W113" s="252"/>
      <c r="X113" s="252"/>
      <c r="Y113" s="224"/>
      <c r="Z113" s="224"/>
      <c r="AA113" s="224"/>
      <c r="AB113" s="224"/>
      <c r="AC113" s="224"/>
    </row>
    <row r="114" spans="1:29" ht="15.75" hidden="1" customHeight="1">
      <c r="A114" s="257">
        <v>44791</v>
      </c>
      <c r="B114" s="258" t="s">
        <v>4374</v>
      </c>
      <c r="C114" s="263">
        <v>3.75</v>
      </c>
      <c r="D114" s="258" t="s">
        <v>4377</v>
      </c>
      <c r="E114" s="258" t="s">
        <v>4</v>
      </c>
      <c r="F114" s="258" t="s">
        <v>602</v>
      </c>
      <c r="G114" s="258" t="s">
        <v>4378</v>
      </c>
      <c r="H114" s="258">
        <v>4</v>
      </c>
      <c r="I114" s="258" t="s">
        <v>1045</v>
      </c>
      <c r="J114" s="258" t="s">
        <v>4379</v>
      </c>
      <c r="K114" s="258">
        <v>3.5</v>
      </c>
      <c r="L114" s="258" t="s">
        <v>784</v>
      </c>
      <c r="M114" s="309">
        <v>500000</v>
      </c>
      <c r="N114" s="258" t="s">
        <v>465</v>
      </c>
      <c r="O114" s="258" t="s">
        <v>4380</v>
      </c>
      <c r="P114" s="258" t="s">
        <v>4381</v>
      </c>
      <c r="Q114" s="258" t="s">
        <v>24</v>
      </c>
      <c r="R114" s="258" t="s">
        <v>10856</v>
      </c>
      <c r="S114" s="258" t="str">
        <f>IFERROR(VLOOKUP(B114,'2022-2023 Third Reviews'!$C:$S,9,FALSE),"")</f>
        <v/>
      </c>
      <c r="T114" s="258"/>
      <c r="U114" s="258" t="s">
        <v>24</v>
      </c>
      <c r="V114" s="219"/>
      <c r="W114" s="219"/>
      <c r="X114" s="219"/>
      <c r="Y114" s="219"/>
      <c r="Z114" s="219"/>
      <c r="AA114" s="219"/>
      <c r="AB114" s="219"/>
      <c r="AC114" s="219"/>
    </row>
    <row r="115" spans="1:29" ht="15.75" hidden="1" customHeight="1">
      <c r="A115" s="253">
        <v>44789</v>
      </c>
      <c r="B115" s="224" t="s">
        <v>238</v>
      </c>
      <c r="C115" s="249">
        <v>4</v>
      </c>
      <c r="D115" s="224" t="s">
        <v>10668</v>
      </c>
      <c r="E115" s="250" t="s">
        <v>4</v>
      </c>
      <c r="F115" s="224" t="s">
        <v>727</v>
      </c>
      <c r="G115" s="224" t="s">
        <v>11615</v>
      </c>
      <c r="H115" s="224">
        <v>4</v>
      </c>
      <c r="I115" s="224" t="s">
        <v>1045</v>
      </c>
      <c r="J115" s="224" t="s">
        <v>4004</v>
      </c>
      <c r="K115" s="224">
        <v>4</v>
      </c>
      <c r="L115" s="224" t="s">
        <v>451</v>
      </c>
      <c r="M115" s="224" t="s">
        <v>4005</v>
      </c>
      <c r="N115" s="224" t="s">
        <v>454</v>
      </c>
      <c r="O115" s="224" t="s">
        <v>4006</v>
      </c>
      <c r="P115" s="224"/>
      <c r="Q115" s="224" t="s">
        <v>18</v>
      </c>
      <c r="R115" s="224"/>
      <c r="S115" s="224" t="str">
        <f ca="1">IFERROR(VLOOKUP(B115,'2022-2023 Third Reviews'!$C:$S,9,FALSE),"")</f>
        <v>Joshua Rubnitz
3</v>
      </c>
      <c r="T115" s="224" t="s">
        <v>13112</v>
      </c>
      <c r="U115" s="224" t="s">
        <v>24</v>
      </c>
      <c r="V115" s="272"/>
      <c r="W115" s="272"/>
      <c r="X115" s="272"/>
      <c r="Y115" s="272"/>
      <c r="Z115" s="272"/>
      <c r="AA115" s="224"/>
      <c r="AB115" s="224"/>
      <c r="AC115" s="224"/>
    </row>
    <row r="116" spans="1:29" ht="15.75" hidden="1" customHeight="1">
      <c r="A116" s="398">
        <v>44784</v>
      </c>
      <c r="B116" s="268" t="s">
        <v>239</v>
      </c>
      <c r="C116" s="269">
        <v>4</v>
      </c>
      <c r="D116" s="268" t="s">
        <v>4011</v>
      </c>
      <c r="E116" s="270" t="s">
        <v>4</v>
      </c>
      <c r="F116" s="268" t="s">
        <v>727</v>
      </c>
      <c r="G116" s="268" t="s">
        <v>10732</v>
      </c>
      <c r="H116" s="268">
        <v>4</v>
      </c>
      <c r="I116" s="268" t="s">
        <v>1054</v>
      </c>
      <c r="J116" s="268" t="s">
        <v>10733</v>
      </c>
      <c r="K116" s="268">
        <v>4</v>
      </c>
      <c r="L116" s="268" t="s">
        <v>451</v>
      </c>
      <c r="M116" s="268" t="s">
        <v>4014</v>
      </c>
      <c r="N116" s="268" t="s">
        <v>465</v>
      </c>
      <c r="O116" s="268" t="s">
        <v>4015</v>
      </c>
      <c r="P116" s="268"/>
      <c r="Q116" s="268" t="s">
        <v>18</v>
      </c>
      <c r="R116" s="268"/>
      <c r="S116" s="268" t="str">
        <f ca="1">IFERROR(VLOOKUP(B116,'2022-2023 Third Reviews'!$C:$S,9,FALSE),"")</f>
        <v>Joshua Rubnitz
3</v>
      </c>
      <c r="T116" s="268" t="s">
        <v>13087</v>
      </c>
      <c r="U116" s="268" t="s">
        <v>24</v>
      </c>
      <c r="V116" s="281"/>
      <c r="W116" s="281"/>
      <c r="X116" s="281"/>
      <c r="Y116" s="281"/>
      <c r="Z116" s="281"/>
      <c r="AA116" s="258"/>
      <c r="AB116" s="258"/>
      <c r="AC116" s="258"/>
    </row>
    <row r="117" spans="1:29" ht="15.75" hidden="1" customHeight="1">
      <c r="A117" s="321">
        <v>44791</v>
      </c>
      <c r="B117" s="322" t="s">
        <v>242</v>
      </c>
      <c r="C117" s="323">
        <v>4</v>
      </c>
      <c r="D117" s="322" t="s">
        <v>4020</v>
      </c>
      <c r="E117" s="322" t="s">
        <v>4</v>
      </c>
      <c r="F117" s="322" t="s">
        <v>725</v>
      </c>
      <c r="G117" s="322" t="s">
        <v>10352</v>
      </c>
      <c r="H117" s="322">
        <v>4</v>
      </c>
      <c r="I117" s="322" t="s">
        <v>1045</v>
      </c>
      <c r="J117" s="322" t="s">
        <v>4022</v>
      </c>
      <c r="K117" s="322">
        <v>4</v>
      </c>
      <c r="L117" s="322"/>
      <c r="M117" s="322"/>
      <c r="N117" s="322" t="s">
        <v>465</v>
      </c>
      <c r="O117" s="322" t="s">
        <v>452</v>
      </c>
      <c r="P117" s="322"/>
      <c r="Q117" s="322" t="s">
        <v>20</v>
      </c>
      <c r="R117" s="322" t="s">
        <v>10353</v>
      </c>
      <c r="S117" s="322" t="str">
        <f ca="1">IFERROR(VLOOKUP(B117,'2022-2023 Third Reviews'!$C:$S,9,FALSE),"")</f>
        <v>Joshua Rubnitz
4</v>
      </c>
      <c r="T117" s="322" t="s">
        <v>13100</v>
      </c>
      <c r="U117" s="322" t="s">
        <v>24</v>
      </c>
      <c r="V117" s="272"/>
      <c r="W117" s="272"/>
      <c r="X117" s="272"/>
      <c r="Y117" s="272"/>
      <c r="Z117" s="272"/>
      <c r="AA117" s="224"/>
      <c r="AB117" s="224"/>
      <c r="AC117" s="224"/>
    </row>
    <row r="118" spans="1:29" ht="15.75" hidden="1" customHeight="1">
      <c r="A118" s="248">
        <v>44791</v>
      </c>
      <c r="B118" s="219" t="s">
        <v>243</v>
      </c>
      <c r="C118" s="315">
        <v>4</v>
      </c>
      <c r="D118" s="219" t="s">
        <v>4028</v>
      </c>
      <c r="E118" s="219" t="s">
        <v>4</v>
      </c>
      <c r="F118" s="219" t="s">
        <v>602</v>
      </c>
      <c r="G118" s="219" t="s">
        <v>4029</v>
      </c>
      <c r="H118" s="219">
        <v>4</v>
      </c>
      <c r="I118" s="219" t="s">
        <v>476</v>
      </c>
      <c r="J118" s="219" t="s">
        <v>11660</v>
      </c>
      <c r="K118" s="219">
        <v>4</v>
      </c>
      <c r="L118" s="219"/>
      <c r="M118" s="312"/>
      <c r="N118" s="219" t="s">
        <v>452</v>
      </c>
      <c r="O118" s="219" t="s">
        <v>4031</v>
      </c>
      <c r="P118" s="219"/>
      <c r="Q118" s="219" t="s">
        <v>18</v>
      </c>
      <c r="R118" s="219"/>
      <c r="S118" s="219" t="str">
        <f ca="1">IFERROR(VLOOKUP(B118,'2022-2023 Third Reviews'!$C:$S,9,FALSE),"")</f>
        <v>Joshua Rubnitz
3</v>
      </c>
      <c r="T118" s="219" t="s">
        <v>13113</v>
      </c>
      <c r="U118" s="219" t="s">
        <v>24</v>
      </c>
      <c r="V118" s="281"/>
      <c r="W118" s="281"/>
      <c r="X118" s="281"/>
      <c r="Y118" s="281"/>
      <c r="Z118" s="281"/>
      <c r="AA118" s="258"/>
      <c r="AB118" s="258"/>
      <c r="AC118" s="258"/>
    </row>
    <row r="119" spans="1:29" ht="15.75" hidden="1" customHeight="1">
      <c r="A119" s="253">
        <v>44797</v>
      </c>
      <c r="B119" s="224" t="s">
        <v>244</v>
      </c>
      <c r="C119" s="316">
        <v>4</v>
      </c>
      <c r="D119" s="224" t="s">
        <v>4036</v>
      </c>
      <c r="E119" s="224" t="s">
        <v>4</v>
      </c>
      <c r="F119" s="224" t="s">
        <v>727</v>
      </c>
      <c r="G119" s="224" t="s">
        <v>11253</v>
      </c>
      <c r="H119" s="224">
        <v>4</v>
      </c>
      <c r="I119" s="224" t="s">
        <v>1457</v>
      </c>
      <c r="J119" s="224" t="s">
        <v>4038</v>
      </c>
      <c r="K119" s="224">
        <v>4</v>
      </c>
      <c r="L119" s="224"/>
      <c r="M119" s="224"/>
      <c r="N119" s="224" t="s">
        <v>454</v>
      </c>
      <c r="O119" s="224" t="s">
        <v>452</v>
      </c>
      <c r="P119" s="224"/>
      <c r="Q119" s="224" t="s">
        <v>18</v>
      </c>
      <c r="R119" s="224"/>
      <c r="S119" s="224" t="str">
        <f>IFERROR(VLOOKUP(B119,'2022-2023 Third Reviews'!$C:$S,9,FALSE),"")</f>
        <v/>
      </c>
      <c r="T119" s="224" t="s">
        <v>13114</v>
      </c>
      <c r="U119" s="224" t="s">
        <v>24</v>
      </c>
      <c r="V119" s="272"/>
      <c r="W119" s="272"/>
      <c r="X119" s="272"/>
      <c r="Y119" s="272"/>
      <c r="Z119" s="272"/>
      <c r="AA119" s="224"/>
      <c r="AB119" s="224"/>
      <c r="AC119" s="224"/>
    </row>
    <row r="120" spans="1:29" ht="15.75" hidden="1" customHeight="1">
      <c r="A120" s="248">
        <v>44797</v>
      </c>
      <c r="B120" s="219" t="s">
        <v>247</v>
      </c>
      <c r="C120" s="315">
        <v>4</v>
      </c>
      <c r="D120" s="219" t="s">
        <v>4043</v>
      </c>
      <c r="E120" s="219" t="s">
        <v>4</v>
      </c>
      <c r="F120" s="219" t="s">
        <v>725</v>
      </c>
      <c r="G120" s="219" t="s">
        <v>10213</v>
      </c>
      <c r="H120" s="219">
        <v>4</v>
      </c>
      <c r="I120" s="219" t="s">
        <v>1457</v>
      </c>
      <c r="J120" s="219" t="s">
        <v>4045</v>
      </c>
      <c r="K120" s="219">
        <v>4</v>
      </c>
      <c r="L120" s="219" t="s">
        <v>451</v>
      </c>
      <c r="M120" s="310">
        <v>1500000</v>
      </c>
      <c r="N120" s="219" t="s">
        <v>452</v>
      </c>
      <c r="O120" s="219" t="s">
        <v>4046</v>
      </c>
      <c r="P120" s="219" t="s">
        <v>4047</v>
      </c>
      <c r="Q120" s="219" t="s">
        <v>18</v>
      </c>
      <c r="R120" s="219"/>
      <c r="S120" s="219" t="str">
        <f>IFERROR(VLOOKUP(B120,'2022-2023 Third Reviews'!$C:$S,9,FALSE),"")</f>
        <v/>
      </c>
      <c r="T120" s="219" t="s">
        <v>13115</v>
      </c>
      <c r="U120" s="219" t="s">
        <v>24</v>
      </c>
      <c r="V120" s="268"/>
      <c r="W120" s="268"/>
      <c r="X120" s="268"/>
      <c r="Y120" s="268"/>
      <c r="Z120" s="268"/>
      <c r="AA120" s="219"/>
      <c r="AB120" s="219"/>
      <c r="AC120" s="219"/>
    </row>
    <row r="121" spans="1:29" ht="15.75" hidden="1" customHeight="1">
      <c r="A121" s="253">
        <v>44796</v>
      </c>
      <c r="B121" s="224" t="s">
        <v>248</v>
      </c>
      <c r="C121" s="316">
        <v>4</v>
      </c>
      <c r="D121" s="224" t="s">
        <v>4052</v>
      </c>
      <c r="E121" s="224" t="s">
        <v>4</v>
      </c>
      <c r="F121" s="224" t="s">
        <v>725</v>
      </c>
      <c r="G121" s="224" t="s">
        <v>11713</v>
      </c>
      <c r="H121" s="224">
        <v>4</v>
      </c>
      <c r="I121" s="224" t="s">
        <v>4054</v>
      </c>
      <c r="J121" s="224" t="s">
        <v>4055</v>
      </c>
      <c r="K121" s="224">
        <v>4</v>
      </c>
      <c r="L121" s="224" t="s">
        <v>4056</v>
      </c>
      <c r="M121" s="224" t="s">
        <v>4057</v>
      </c>
      <c r="N121" s="224" t="s">
        <v>465</v>
      </c>
      <c r="O121" s="224" t="s">
        <v>4058</v>
      </c>
      <c r="P121" s="224"/>
      <c r="Q121" s="224" t="s">
        <v>18</v>
      </c>
      <c r="R121" s="224"/>
      <c r="S121" s="224" t="str">
        <f>IFERROR(VLOOKUP(B121,'2022-2023 Third Reviews'!$C:$S,9,FALSE),"")</f>
        <v/>
      </c>
      <c r="T121" s="224" t="s">
        <v>13049</v>
      </c>
      <c r="U121" s="224" t="s">
        <v>24</v>
      </c>
      <c r="V121" s="252"/>
      <c r="W121" s="252"/>
      <c r="X121" s="252"/>
      <c r="Y121" s="224"/>
      <c r="Z121" s="224"/>
      <c r="AA121" s="224"/>
      <c r="AB121" s="224"/>
      <c r="AC121" s="224"/>
    </row>
    <row r="122" spans="1:29" ht="15.75" hidden="1" customHeight="1">
      <c r="A122" s="257">
        <v>44789</v>
      </c>
      <c r="B122" s="258" t="s">
        <v>165</v>
      </c>
      <c r="C122" s="263">
        <v>4.75</v>
      </c>
      <c r="D122" s="258" t="s">
        <v>3642</v>
      </c>
      <c r="E122" s="258" t="s">
        <v>4</v>
      </c>
      <c r="F122" s="258" t="s">
        <v>727</v>
      </c>
      <c r="G122" s="258" t="s">
        <v>10249</v>
      </c>
      <c r="H122" s="258">
        <v>4.5</v>
      </c>
      <c r="I122" s="258" t="s">
        <v>1045</v>
      </c>
      <c r="J122" s="258" t="s">
        <v>3644</v>
      </c>
      <c r="K122" s="258">
        <v>5</v>
      </c>
      <c r="L122" s="258" t="s">
        <v>451</v>
      </c>
      <c r="M122" s="309">
        <v>4000000</v>
      </c>
      <c r="N122" s="258" t="s">
        <v>452</v>
      </c>
      <c r="O122" s="258" t="s">
        <v>452</v>
      </c>
      <c r="P122" s="258"/>
      <c r="Q122" s="258" t="s">
        <v>18</v>
      </c>
      <c r="R122" s="258" t="s">
        <v>11611</v>
      </c>
      <c r="S122" s="258" t="str">
        <f ca="1">IFERROR(VLOOKUP(B122,'2022-2023 Third Reviews'!$C:$S,9,FALSE),"")</f>
        <v>Chris Millisits
1</v>
      </c>
      <c r="T122" s="258" t="s">
        <v>13092</v>
      </c>
      <c r="U122" s="258" t="s">
        <v>24</v>
      </c>
      <c r="V122" s="218"/>
      <c r="W122" s="218"/>
      <c r="X122" s="218"/>
      <c r="Y122" s="219"/>
      <c r="Z122" s="219"/>
      <c r="AA122" s="219"/>
      <c r="AB122" s="219"/>
      <c r="AC122" s="219"/>
    </row>
    <row r="123" spans="1:29" ht="15.75" hidden="1" customHeight="1">
      <c r="A123" s="253">
        <v>44789</v>
      </c>
      <c r="B123" s="224" t="s">
        <v>249</v>
      </c>
      <c r="C123" s="249">
        <v>4</v>
      </c>
      <c r="D123" s="224" t="s">
        <v>4063</v>
      </c>
      <c r="E123" s="250" t="s">
        <v>4</v>
      </c>
      <c r="F123" s="224" t="s">
        <v>727</v>
      </c>
      <c r="G123" s="224" t="s">
        <v>10719</v>
      </c>
      <c r="H123" s="224">
        <v>4</v>
      </c>
      <c r="I123" s="224" t="s">
        <v>1045</v>
      </c>
      <c r="J123" s="224" t="s">
        <v>4065</v>
      </c>
      <c r="K123" s="224">
        <v>4</v>
      </c>
      <c r="L123" s="224" t="s">
        <v>451</v>
      </c>
      <c r="M123" s="224" t="s">
        <v>4066</v>
      </c>
      <c r="N123" s="224" t="s">
        <v>452</v>
      </c>
      <c r="O123" s="224" t="s">
        <v>4067</v>
      </c>
      <c r="P123" s="224"/>
      <c r="Q123" s="224" t="s">
        <v>18</v>
      </c>
      <c r="R123" s="224"/>
      <c r="S123" s="224" t="str">
        <f ca="1">IFERROR(VLOOKUP(B123,'2022-2023 Third Reviews'!$C:$S,9,FALSE),"")</f>
        <v>Chris Millisits
2</v>
      </c>
      <c r="T123" s="224" t="s">
        <v>13077</v>
      </c>
      <c r="U123" s="224" t="s">
        <v>24</v>
      </c>
      <c r="V123" s="252"/>
      <c r="W123" s="252"/>
      <c r="X123" s="252"/>
      <c r="Y123" s="224"/>
      <c r="Z123" s="224"/>
      <c r="AA123" s="224"/>
      <c r="AB123" s="224"/>
      <c r="AC123" s="224"/>
    </row>
    <row r="124" spans="1:29" ht="15.75" hidden="1" customHeight="1">
      <c r="A124" s="248">
        <v>44797</v>
      </c>
      <c r="B124" s="219" t="s">
        <v>253</v>
      </c>
      <c r="C124" s="315">
        <v>4</v>
      </c>
      <c r="D124" s="219" t="s">
        <v>10413</v>
      </c>
      <c r="E124" s="219" t="s">
        <v>4</v>
      </c>
      <c r="F124" s="219" t="s">
        <v>727</v>
      </c>
      <c r="G124" s="219" t="s">
        <v>10414</v>
      </c>
      <c r="H124" s="219">
        <v>4</v>
      </c>
      <c r="I124" s="219" t="s">
        <v>449</v>
      </c>
      <c r="J124" s="219" t="s">
        <v>10415</v>
      </c>
      <c r="K124" s="219">
        <v>4</v>
      </c>
      <c r="L124" s="219" t="s">
        <v>478</v>
      </c>
      <c r="M124" s="219" t="s">
        <v>4076</v>
      </c>
      <c r="N124" s="219" t="s">
        <v>452</v>
      </c>
      <c r="O124" s="219" t="s">
        <v>4077</v>
      </c>
      <c r="P124" s="219"/>
      <c r="Q124" s="219" t="s">
        <v>18</v>
      </c>
      <c r="R124" s="219"/>
      <c r="S124" s="219" t="str">
        <f>IFERROR(VLOOKUP(B124,'2022-2023 Third Reviews'!$C:$S,9,FALSE),"")</f>
        <v/>
      </c>
      <c r="T124" s="219" t="s">
        <v>13059</v>
      </c>
      <c r="U124" s="219" t="s">
        <v>24</v>
      </c>
      <c r="V124" s="252"/>
      <c r="W124" s="252"/>
      <c r="X124" s="252"/>
      <c r="Y124" s="219"/>
      <c r="Z124" s="219"/>
      <c r="AA124" s="219"/>
      <c r="AB124" s="219"/>
      <c r="AC124" s="219"/>
    </row>
    <row r="125" spans="1:29" ht="15.75" hidden="1" customHeight="1">
      <c r="A125" s="253">
        <v>44797</v>
      </c>
      <c r="B125" s="224" t="s">
        <v>175</v>
      </c>
      <c r="C125" s="316">
        <v>4.25</v>
      </c>
      <c r="D125" s="224" t="s">
        <v>10557</v>
      </c>
      <c r="E125" s="224" t="s">
        <v>4</v>
      </c>
      <c r="F125" s="224" t="s">
        <v>727</v>
      </c>
      <c r="G125" s="224" t="s">
        <v>10558</v>
      </c>
      <c r="H125" s="224">
        <v>4.5</v>
      </c>
      <c r="I125" s="224" t="s">
        <v>449</v>
      </c>
      <c r="J125" s="224" t="s">
        <v>10559</v>
      </c>
      <c r="K125" s="224">
        <v>4</v>
      </c>
      <c r="L125" s="224" t="s">
        <v>923</v>
      </c>
      <c r="M125" s="330">
        <v>3000000</v>
      </c>
      <c r="N125" s="224" t="s">
        <v>452</v>
      </c>
      <c r="O125" s="224" t="s">
        <v>452</v>
      </c>
      <c r="P125" s="224"/>
      <c r="Q125" s="224" t="s">
        <v>18</v>
      </c>
      <c r="R125" s="224"/>
      <c r="S125" s="224" t="str">
        <f>IFERROR(VLOOKUP(B125,'2022-2023 Third Reviews'!$C:$S,9,FALSE),"")</f>
        <v/>
      </c>
      <c r="T125" s="224" t="s">
        <v>13116</v>
      </c>
      <c r="U125" s="224" t="s">
        <v>24</v>
      </c>
      <c r="V125" s="252"/>
      <c r="W125" s="252"/>
      <c r="X125" s="252"/>
      <c r="Y125" s="224"/>
      <c r="Z125" s="224"/>
      <c r="AA125" s="224"/>
      <c r="AB125" s="224"/>
      <c r="AC125" s="224"/>
    </row>
    <row r="126" spans="1:29" ht="15.75" hidden="1" customHeight="1">
      <c r="A126" s="248">
        <v>44797</v>
      </c>
      <c r="B126" s="219" t="s">
        <v>254</v>
      </c>
      <c r="C126" s="315">
        <v>4</v>
      </c>
      <c r="D126" s="219" t="s">
        <v>11293</v>
      </c>
      <c r="E126" s="219" t="s">
        <v>4</v>
      </c>
      <c r="F126" s="219" t="s">
        <v>725</v>
      </c>
      <c r="G126" s="219" t="s">
        <v>4083</v>
      </c>
      <c r="H126" s="219">
        <v>4</v>
      </c>
      <c r="I126" s="219" t="s">
        <v>4054</v>
      </c>
      <c r="J126" s="219"/>
      <c r="K126" s="219">
        <v>4</v>
      </c>
      <c r="L126" s="219" t="s">
        <v>451</v>
      </c>
      <c r="M126" s="219">
        <v>500000</v>
      </c>
      <c r="N126" s="219" t="s">
        <v>452</v>
      </c>
      <c r="O126" s="219" t="s">
        <v>4084</v>
      </c>
      <c r="P126" s="219"/>
      <c r="Q126" s="219" t="s">
        <v>18</v>
      </c>
      <c r="R126" s="219"/>
      <c r="S126" s="219" t="str">
        <f>IFERROR(VLOOKUP(B126,'2022-2023 Third Reviews'!$C:$S,9,FALSE),"")</f>
        <v/>
      </c>
      <c r="T126" s="219"/>
      <c r="U126" s="219" t="s">
        <v>24</v>
      </c>
      <c r="V126" s="252"/>
      <c r="W126" s="252"/>
      <c r="X126" s="252"/>
      <c r="Y126" s="219"/>
      <c r="Z126" s="219"/>
      <c r="AA126" s="219"/>
      <c r="AB126" s="219"/>
      <c r="AC126" s="219"/>
    </row>
    <row r="127" spans="1:29" ht="15.75" hidden="1" customHeight="1">
      <c r="A127" s="257">
        <v>44797</v>
      </c>
      <c r="B127" s="258" t="s">
        <v>4421</v>
      </c>
      <c r="C127" s="263">
        <v>3.75</v>
      </c>
      <c r="D127" s="258" t="s">
        <v>4424</v>
      </c>
      <c r="E127" s="258" t="s">
        <v>4</v>
      </c>
      <c r="F127" s="258" t="s">
        <v>602</v>
      </c>
      <c r="G127" s="258" t="s">
        <v>4425</v>
      </c>
      <c r="H127" s="258">
        <v>4</v>
      </c>
      <c r="I127" s="258" t="s">
        <v>543</v>
      </c>
      <c r="J127" s="258" t="s">
        <v>11743</v>
      </c>
      <c r="K127" s="258">
        <v>3.5</v>
      </c>
      <c r="L127" s="258" t="s">
        <v>784</v>
      </c>
      <c r="M127" s="261">
        <v>2000000</v>
      </c>
      <c r="N127" s="258" t="s">
        <v>452</v>
      </c>
      <c r="O127" s="258" t="s">
        <v>4427</v>
      </c>
      <c r="P127" s="258"/>
      <c r="Q127" s="258" t="s">
        <v>24</v>
      </c>
      <c r="R127" s="258" t="s">
        <v>11744</v>
      </c>
      <c r="S127" s="258" t="str">
        <f>IFERROR(VLOOKUP(B127,'2022-2023 Third Reviews'!$C:$S,9,FALSE),"")</f>
        <v/>
      </c>
      <c r="T127" s="258"/>
      <c r="U127" s="258" t="s">
        <v>24</v>
      </c>
      <c r="V127" s="306"/>
      <c r="W127" s="306"/>
      <c r="X127" s="306"/>
      <c r="Y127" s="306"/>
      <c r="Z127" s="306"/>
      <c r="AA127" s="306"/>
      <c r="AB127" s="306"/>
      <c r="AC127" s="306"/>
    </row>
    <row r="128" spans="1:29" ht="15.75" hidden="1" customHeight="1">
      <c r="A128" s="257">
        <v>44797</v>
      </c>
      <c r="B128" s="258" t="s">
        <v>4086</v>
      </c>
      <c r="C128" s="263">
        <v>4</v>
      </c>
      <c r="D128" s="258" t="s">
        <v>4089</v>
      </c>
      <c r="E128" s="258" t="s">
        <v>4</v>
      </c>
      <c r="F128" s="258" t="s">
        <v>1045</v>
      </c>
      <c r="G128" s="258" t="s">
        <v>4090</v>
      </c>
      <c r="H128" s="258">
        <v>4</v>
      </c>
      <c r="I128" s="258" t="s">
        <v>1350</v>
      </c>
      <c r="J128" s="258" t="s">
        <v>4091</v>
      </c>
      <c r="K128" s="258">
        <v>4</v>
      </c>
      <c r="L128" s="258" t="s">
        <v>784</v>
      </c>
      <c r="M128" s="258" t="s">
        <v>4092</v>
      </c>
      <c r="N128" s="258" t="s">
        <v>452</v>
      </c>
      <c r="O128" s="258" t="s">
        <v>4093</v>
      </c>
      <c r="P128" s="258"/>
      <c r="Q128" s="258" t="s">
        <v>24</v>
      </c>
      <c r="R128" s="258" t="s">
        <v>11740</v>
      </c>
      <c r="S128" s="258" t="str">
        <f>IFERROR(VLOOKUP(B128,'2022-2023 Third Reviews'!$C:$S,9,FALSE),"")</f>
        <v/>
      </c>
      <c r="T128" s="258" t="s">
        <v>13117</v>
      </c>
      <c r="U128" s="258" t="s">
        <v>24</v>
      </c>
      <c r="V128" s="281"/>
      <c r="W128" s="281"/>
      <c r="X128" s="281"/>
      <c r="Y128" s="281"/>
      <c r="Z128" s="281"/>
      <c r="AA128" s="258"/>
      <c r="AB128" s="258"/>
      <c r="AC128" s="258"/>
    </row>
    <row r="129" spans="1:29" ht="15.75" hidden="1" customHeight="1">
      <c r="A129" s="253">
        <v>44789</v>
      </c>
      <c r="B129" s="224" t="s">
        <v>255</v>
      </c>
      <c r="C129" s="249">
        <v>4</v>
      </c>
      <c r="D129" s="224" t="s">
        <v>10861</v>
      </c>
      <c r="E129" s="250" t="s">
        <v>4</v>
      </c>
      <c r="F129" s="224" t="s">
        <v>602</v>
      </c>
      <c r="G129" s="224"/>
      <c r="H129" s="224">
        <v>4</v>
      </c>
      <c r="I129" s="224" t="s">
        <v>1054</v>
      </c>
      <c r="J129" s="224" t="s">
        <v>10862</v>
      </c>
      <c r="K129" s="224">
        <v>4</v>
      </c>
      <c r="L129" s="224"/>
      <c r="M129" s="224"/>
      <c r="N129" s="224" t="s">
        <v>465</v>
      </c>
      <c r="O129" s="224" t="s">
        <v>4102</v>
      </c>
      <c r="P129" s="224"/>
      <c r="Q129" s="224" t="s">
        <v>18</v>
      </c>
      <c r="R129" s="224"/>
      <c r="S129" s="224" t="str">
        <f ca="1">IFERROR(VLOOKUP(B129,'2022-2023 Third Reviews'!$C:$S,9,FALSE),"")</f>
        <v>Chris Millisits
3</v>
      </c>
      <c r="T129" s="224"/>
      <c r="U129" s="224" t="s">
        <v>24</v>
      </c>
      <c r="V129" s="272"/>
      <c r="W129" s="272"/>
      <c r="X129" s="272"/>
      <c r="Y129" s="272"/>
      <c r="Z129" s="272"/>
      <c r="AA129" s="224"/>
      <c r="AB129" s="224"/>
      <c r="AC129" s="224"/>
    </row>
    <row r="130" spans="1:29" ht="15.75" hidden="1" customHeight="1">
      <c r="A130" s="248">
        <v>44796</v>
      </c>
      <c r="B130" s="219" t="s">
        <v>263</v>
      </c>
      <c r="C130" s="315">
        <v>4</v>
      </c>
      <c r="D130" s="219" t="s">
        <v>4106</v>
      </c>
      <c r="E130" s="219" t="s">
        <v>4</v>
      </c>
      <c r="F130" s="219" t="s">
        <v>725</v>
      </c>
      <c r="G130" s="219" t="s">
        <v>11090</v>
      </c>
      <c r="H130" s="219">
        <v>4</v>
      </c>
      <c r="I130" s="219" t="s">
        <v>1045</v>
      </c>
      <c r="J130" s="219" t="s">
        <v>4108</v>
      </c>
      <c r="K130" s="219">
        <v>4</v>
      </c>
      <c r="L130" s="219" t="s">
        <v>478</v>
      </c>
      <c r="M130" s="219" t="s">
        <v>4109</v>
      </c>
      <c r="N130" s="219" t="s">
        <v>452</v>
      </c>
      <c r="O130" s="219" t="s">
        <v>11091</v>
      </c>
      <c r="P130" s="219" t="s">
        <v>4111</v>
      </c>
      <c r="Q130" s="219" t="s">
        <v>18</v>
      </c>
      <c r="R130" s="219"/>
      <c r="S130" s="219" t="str">
        <f>IFERROR(VLOOKUP(B130,'2022-2023 Third Reviews'!$C:$S,9,FALSE),"")</f>
        <v/>
      </c>
      <c r="T130" s="219" t="s">
        <v>13118</v>
      </c>
      <c r="U130" s="219" t="s">
        <v>24</v>
      </c>
      <c r="V130" s="252"/>
      <c r="W130" s="252"/>
      <c r="X130" s="252"/>
      <c r="Y130" s="219"/>
      <c r="Z130" s="219"/>
      <c r="AA130" s="219"/>
      <c r="AB130" s="219"/>
      <c r="AC130" s="219"/>
    </row>
    <row r="131" spans="1:29" ht="15.75" hidden="1" customHeight="1">
      <c r="A131" s="321">
        <v>44789</v>
      </c>
      <c r="B131" s="322" t="s">
        <v>264</v>
      </c>
      <c r="C131" s="323">
        <v>4</v>
      </c>
      <c r="D131" s="322" t="s">
        <v>4116</v>
      </c>
      <c r="E131" s="322" t="s">
        <v>4</v>
      </c>
      <c r="F131" s="322" t="s">
        <v>602</v>
      </c>
      <c r="G131" s="322" t="s">
        <v>4117</v>
      </c>
      <c r="H131" s="322">
        <v>4</v>
      </c>
      <c r="I131" s="322" t="s">
        <v>476</v>
      </c>
      <c r="J131" s="322" t="s">
        <v>11618</v>
      </c>
      <c r="K131" s="322">
        <v>4</v>
      </c>
      <c r="L131" s="322" t="s">
        <v>451</v>
      </c>
      <c r="M131" s="322">
        <v>700000</v>
      </c>
      <c r="N131" s="322" t="s">
        <v>452</v>
      </c>
      <c r="O131" s="322" t="s">
        <v>4119</v>
      </c>
      <c r="P131" s="322" t="s">
        <v>4120</v>
      </c>
      <c r="Q131" s="322" t="s">
        <v>18</v>
      </c>
      <c r="R131" s="322" t="s">
        <v>4121</v>
      </c>
      <c r="S131" s="322" t="str">
        <f ca="1">IFERROR(VLOOKUP(B131,'2022-2023 Third Reviews'!$C:$S,9,FALSE),"")</f>
        <v>Chris Millisits
3</v>
      </c>
      <c r="T131" s="322" t="s">
        <v>13119</v>
      </c>
      <c r="U131" s="322" t="s">
        <v>24</v>
      </c>
      <c r="V131" s="252"/>
      <c r="W131" s="252"/>
      <c r="X131" s="252"/>
      <c r="Y131" s="224"/>
      <c r="Z131" s="224"/>
      <c r="AA131" s="224"/>
      <c r="AB131" s="224"/>
      <c r="AC131" s="224"/>
    </row>
    <row r="132" spans="1:29" ht="15.75" hidden="1" customHeight="1">
      <c r="A132" s="248">
        <v>44796</v>
      </c>
      <c r="B132" s="219" t="s">
        <v>265</v>
      </c>
      <c r="C132" s="315">
        <v>4</v>
      </c>
      <c r="D132" s="219" t="s">
        <v>4125</v>
      </c>
      <c r="E132" s="219" t="s">
        <v>4</v>
      </c>
      <c r="F132" s="219" t="s">
        <v>725</v>
      </c>
      <c r="G132" s="219" t="s">
        <v>10266</v>
      </c>
      <c r="H132" s="219">
        <v>4</v>
      </c>
      <c r="I132" s="219" t="s">
        <v>1045</v>
      </c>
      <c r="J132" s="219" t="s">
        <v>4127</v>
      </c>
      <c r="K132" s="219">
        <v>4</v>
      </c>
      <c r="L132" s="219" t="s">
        <v>451</v>
      </c>
      <c r="M132" s="219" t="s">
        <v>4128</v>
      </c>
      <c r="N132" s="219" t="s">
        <v>454</v>
      </c>
      <c r="O132" s="219" t="s">
        <v>4129</v>
      </c>
      <c r="P132" s="219" t="s">
        <v>727</v>
      </c>
      <c r="Q132" s="219" t="s">
        <v>18</v>
      </c>
      <c r="R132" s="219"/>
      <c r="S132" s="219" t="str">
        <f>IFERROR(VLOOKUP(B132,'2022-2023 Third Reviews'!$C:$S,9,FALSE),"")</f>
        <v/>
      </c>
      <c r="T132" s="219" t="s">
        <v>13049</v>
      </c>
      <c r="U132" s="219" t="s">
        <v>24</v>
      </c>
      <c r="V132" s="409"/>
      <c r="W132" s="409"/>
      <c r="X132" s="409"/>
      <c r="Y132" s="409"/>
      <c r="Z132" s="409"/>
      <c r="AA132" s="322"/>
      <c r="AB132" s="322"/>
      <c r="AC132" s="322"/>
    </row>
    <row r="133" spans="1:29" ht="15.75" hidden="1" customHeight="1">
      <c r="A133" s="255">
        <v>44797</v>
      </c>
      <c r="B133" s="239" t="s">
        <v>166</v>
      </c>
      <c r="C133" s="262">
        <v>4.5</v>
      </c>
      <c r="D133" s="239" t="s">
        <v>3650</v>
      </c>
      <c r="E133" s="239" t="s">
        <v>4</v>
      </c>
      <c r="F133" s="239" t="s">
        <v>447</v>
      </c>
      <c r="G133" s="239" t="s">
        <v>11327</v>
      </c>
      <c r="H133" s="239">
        <v>4</v>
      </c>
      <c r="I133" s="239" t="s">
        <v>1187</v>
      </c>
      <c r="J133" s="239" t="s">
        <v>3652</v>
      </c>
      <c r="K133" s="239">
        <v>5</v>
      </c>
      <c r="L133" s="239" t="s">
        <v>451</v>
      </c>
      <c r="M133" s="239">
        <v>2320000</v>
      </c>
      <c r="N133" s="239" t="s">
        <v>452</v>
      </c>
      <c r="O133" s="239" t="s">
        <v>3653</v>
      </c>
      <c r="P133" s="239"/>
      <c r="Q133" s="239" t="s">
        <v>18</v>
      </c>
      <c r="R133" s="239" t="s">
        <v>3654</v>
      </c>
      <c r="S133" s="239" t="str">
        <f>IFERROR(VLOOKUP(B133,'2022-2023 Third Reviews'!$C:$S,9,FALSE),"")</f>
        <v/>
      </c>
      <c r="T133" s="239" t="s">
        <v>13084</v>
      </c>
      <c r="U133" s="239" t="s">
        <v>24</v>
      </c>
      <c r="V133" s="272"/>
      <c r="W133" s="272"/>
      <c r="X133" s="272"/>
      <c r="Y133" s="272"/>
      <c r="Z133" s="272"/>
      <c r="AA133" s="224"/>
      <c r="AB133" s="224"/>
      <c r="AC133" s="224"/>
    </row>
  </sheetData>
  <autoFilter ref="A1:AC133" xr:uid="{00000000-0009-0000-0000-00000E000000}">
    <filterColumn colId="20">
      <filters>
        <filter val="Invite"/>
      </filters>
    </filterColumn>
  </autoFilter>
  <conditionalFormatting sqref="A1:A133">
    <cfRule type="expression" dxfId="15" priority="5">
      <formula>AND(ISTEXT(A1), COUNTIF(A:A, A1)&gt;1)</formula>
    </cfRule>
  </conditionalFormatting>
  <conditionalFormatting sqref="Q2:U2">
    <cfRule type="notContainsBlanks" dxfId="14" priority="1">
      <formula>LEN(TRIM(Q2))&gt;0</formula>
    </cfRule>
  </conditionalFormatting>
  <conditionalFormatting sqref="R2:U76">
    <cfRule type="expression" dxfId="13" priority="2">
      <formula>AND(#REF!=TRUE,$E3="Digital Tech")</formula>
    </cfRule>
    <cfRule type="expression" dxfId="12" priority="3">
      <formula>AND(#REF!=TRUE,$E3="Deep Tech")</formula>
    </cfRule>
    <cfRule type="expression" dxfId="11" priority="4">
      <formula>AND(#REF!=TRUE,$E3="Life Sciences")</formula>
    </cfRule>
  </conditionalFormatting>
  <dataValidations count="2">
    <dataValidation type="list" allowBlank="1" sqref="U60 Q2:Q133" xr:uid="{00000000-0002-0000-0E00-000000000000}">
      <formula1>"Invite,Reject,Revisit,Special Reject,Invite Next Year,Revisit/ Cluster,"</formula1>
    </dataValidation>
    <dataValidation type="list" allowBlank="1" sqref="E3 E7 E11:E13 E15 E19 E22:E25 E33 E36:E37 E40 E44:E45 E50:E51 E53 E57 E61:E64 E67 E69:E71 E76:E77 E79 E84 E87:E88 E91:E95 E100 E103:E107 E111 E113 E119:E121 E124:E128 E130 E132:E133" xr:uid="{00000000-0002-0000-0E00-000001000000}">
      <formula1>"Life Sciences,Digital Tech,Deep Tech"</formula1>
    </dataValidation>
  </dataValidations>
  <hyperlinks>
    <hyperlink ref="G31" r:id="rId1" xr:uid="{00000000-0004-0000-0E00-000000000000}"/>
    <hyperlink ref="G47" r:id="rId2" location="xj4y7vzkg" xr:uid="{00000000-0004-0000-0E00-000001000000}"/>
    <hyperlink ref="B75" r:id="rId3" xr:uid="{00000000-0004-0000-0E00-000002000000}"/>
  </hyperlinks>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S297"/>
  <sheetViews>
    <sheetView workbookViewId="0">
      <pane xSplit="5" ySplit="1" topLeftCell="F2" activePane="bottomRight" state="frozen"/>
      <selection pane="topRight" activeCell="F1" sqref="F1"/>
      <selection pane="bottomLeft" activeCell="A2" sqref="A2"/>
      <selection pane="bottomRight" activeCell="F2" sqref="F2"/>
    </sheetView>
  </sheetViews>
  <sheetFormatPr baseColWidth="10" defaultColWidth="14.5" defaultRowHeight="15" customHeight="1"/>
  <cols>
    <col min="1" max="1" width="9.33203125" hidden="1" customWidth="1"/>
    <col min="2" max="2" width="15.6640625" customWidth="1"/>
    <col min="3" max="3" width="21" customWidth="1"/>
    <col min="4" max="5" width="8.5" customWidth="1"/>
    <col min="6" max="6" width="23.5" customWidth="1"/>
    <col min="7" max="7" width="13.5" customWidth="1"/>
    <col min="8" max="8" width="45.33203125" customWidth="1"/>
    <col min="9" max="9" width="13.5" customWidth="1"/>
    <col min="10" max="10" width="45.33203125" customWidth="1"/>
    <col min="11" max="11" width="13.5" customWidth="1"/>
    <col min="12" max="12" width="45.33203125" customWidth="1"/>
    <col min="13" max="16" width="29.5" hidden="1" customWidth="1"/>
    <col min="18" max="18" width="40" customWidth="1"/>
  </cols>
  <sheetData>
    <row r="1" spans="1:19" ht="28">
      <c r="A1" s="410" t="s">
        <v>13120</v>
      </c>
      <c r="B1" s="411" t="s">
        <v>13121</v>
      </c>
      <c r="C1" s="412" t="s">
        <v>37</v>
      </c>
      <c r="D1" s="413" t="s">
        <v>13122</v>
      </c>
      <c r="E1" s="414" t="s">
        <v>13123</v>
      </c>
      <c r="F1" s="415" t="s">
        <v>423</v>
      </c>
      <c r="G1" s="416" t="s">
        <v>13124</v>
      </c>
      <c r="H1" s="416" t="s">
        <v>45</v>
      </c>
      <c r="I1" s="416" t="s">
        <v>43</v>
      </c>
      <c r="J1" s="416" t="s">
        <v>46</v>
      </c>
      <c r="K1" s="416" t="s">
        <v>44</v>
      </c>
      <c r="L1" s="416" t="s">
        <v>47</v>
      </c>
      <c r="M1" s="415" t="s">
        <v>13125</v>
      </c>
      <c r="N1" s="415" t="s">
        <v>13126</v>
      </c>
      <c r="O1" s="415" t="s">
        <v>13127</v>
      </c>
      <c r="P1" s="415" t="s">
        <v>13128</v>
      </c>
      <c r="Q1" s="417" t="s">
        <v>13129</v>
      </c>
      <c r="R1" s="417" t="s">
        <v>59</v>
      </c>
      <c r="S1" s="415" t="s">
        <v>13130</v>
      </c>
    </row>
    <row r="2" spans="1:19" ht="48">
      <c r="A2" s="418" t="s">
        <v>9658</v>
      </c>
      <c r="B2" s="419" t="str">
        <f t="array" aca="1" ref="B2" ca="1">CONCATENATE(TEXT(INDEX(query!A:A,MATCH(C2,query!B:B,0)),"M/DD/YYY"),CHAR(10),INDEX(query!E:E,MATCH(C2,query!B:B,0)))</f>
        <v>8/09/2022
Revisit/ Cluster</v>
      </c>
      <c r="C2" s="85" t="s">
        <v>308</v>
      </c>
      <c r="D2" s="420">
        <f t="array" ref="D2">INDEX(Import!D:D,MATCH(C2,Name,0))</f>
        <v>3</v>
      </c>
      <c r="E2" s="421">
        <f t="array" aca="1" ref="E2" ca="1">(INDEX(Import!I:I,MATCH(C2,Name,0))+INDEX(Import!L:L,MATCH(C2,Name,0))+INDEX('Form Import'!V:V,MATCH(A2,'Form Import'!F:F,0)))/3</f>
        <v>3</v>
      </c>
      <c r="F2" s="422" t="str">
        <f t="array" ref="F2">INDEX(Import!E:E,MATCH(C2,Name,0))</f>
        <v>RT is revolutionizing indoor farming with a sustainable, low cost offering that combines natural farming methods with microbial science to 1. eliminate need for synthetic chemicals and 2. reduce labor.
We license our first-of-a-kind patent-pending Agria? grow system and provide grower support services to make setting up and running an indoor far</v>
      </c>
      <c r="G2" s="423" t="str">
        <f t="array" ref="G2">CONCATENATE(INDEX(Import!G:G,MATCH(C2,Import!C:C,0)),CHAR(10),INDEX(Import!I:I,MATCH(C2,Name,0)))</f>
        <v>Chris Mosher
3</v>
      </c>
      <c r="H2" s="424" t="str">
        <f t="array" ref="H2">INDEX(Import!H:H,MATCH(C2,Name,0))</f>
        <v>Deep tech. Microbe-rich growth media that eliminates the need for synthetic fertilizer and pesticides. Created for indoor farming without chemicals. $250K ARR. Patent pending. Has been used to grow 130+ varieties of crops.</v>
      </c>
      <c r="I2" s="423" t="str">
        <f t="array" ref="I2">CONCATENATE(INDEX(Import!J:J,MATCH(C2,Name,0)),CHAR(10),INDEX(Import!L:L,MATCH(C2,Name,0)))</f>
        <v>Parsa Amiri
3</v>
      </c>
      <c r="J2" s="424" t="str">
        <f t="array" ref="J2">INDEX(Import!K:K,MATCH(C2,Name,0))</f>
        <v>The only reason I'm not rejecting them is that they have revenue of $500K. I want to know more about their R&amp;D progress, and data on the claimed characteristics of the technology.</v>
      </c>
      <c r="K2" s="423" t="str">
        <f t="array" aca="1" ref="K2" ca="1">CONCATENATE(INDEX('Form Import'!D:D,MATCH(A2,'Form Import'!F:F,0)),CHAR(10),INDEX('Form Import'!V:V,MATCH(A2,'Form Import'!F:F,0)))</f>
        <v>Jason Yu
3</v>
      </c>
      <c r="L2" s="424" t="str">
        <f t="array" aca="1" ref="L2" ca="1">INDEX('Form Import'!W:W,MATCH(A2,'Form Import'!F:F,0))</f>
        <v>Underlying technology is unclear.</v>
      </c>
      <c r="M2" s="422" t="str">
        <f t="array" aca="1" ref="M2" ca="1">INDEX('Form Import'!G:G,MATCH($A2,'Form Import'!$F:$F,0))</f>
        <v>Sustainable indoor farming / Agriculture / Pre-seed Grants</v>
      </c>
      <c r="N2" s="422" t="str">
        <f t="array" aca="1" ref="N2" ca="1">INDEX('Form Import'!L:L,MATCH($A2,'Form Import'!$F:$F,0))</f>
        <v>Our system leverages a proprietary soil-like grow media, which we specially maintain and
manage as an ecosystem, to encourage microbial nutrient production and update by plants. This completely removes the need for synthetic fertilizer and pesticides, and produces plants so fresh they are as if grown in the wild. Ability to grow indoors i.e. anywhere.</v>
      </c>
      <c r="O2" s="422" t="str">
        <f t="array" aca="1" ref="O2" ca="1">INDEX('Form Import'!O:O,MATCH($A2,'Form Import'!$F:$F,0))</f>
        <v>1-10 ARR $250k</v>
      </c>
      <c r="P2" s="422" t="str">
        <f t="array" aca="1" ref="P2" ca="1">INDEX('Form Import'!S:S,MATCH($A2,'Form Import'!$F:$F,0))</f>
        <v>Limited data on the founder. CEO worked in cybersecurity.</v>
      </c>
      <c r="Q2" s="422"/>
      <c r="R2" s="422"/>
      <c r="S2" s="422" t="e">
        <f t="array" aca="1" ref="S2" ca="1">_xludf.TextJoin("; ",1,INDEX(Import!S:S,MATCH(C2,Name,0)))</f>
        <v>#NAME?</v>
      </c>
    </row>
    <row r="3" spans="1:19" ht="65.25" customHeight="1">
      <c r="A3" s="425" t="s">
        <v>13131</v>
      </c>
      <c r="B3" s="426" t="str">
        <f t="array" aca="1" ref="B3" ca="1">CONCATENATE(TEXT(INDEX(query!A:A,MATCH(C3,query!B:B,0)),"M/DD/YYY"),CHAR(10),INDEX(query!E:E,MATCH(C3,query!B:B,0)))</f>
        <v>8/16/2022
Invite</v>
      </c>
      <c r="C3" s="427" t="s">
        <v>13132</v>
      </c>
      <c r="D3" s="428">
        <f t="array" ref="D3">INDEX(Import!D:D,MATCH(C3,Name,0))</f>
        <v>4.25</v>
      </c>
      <c r="E3" s="429">
        <f t="array" aca="1" ref="E3" ca="1">(INDEX(Import!I:I,MATCH(C3,Name,0))+INDEX(Import!L:L,MATCH(C3,Name,0))+INDEX('Form Import'!V:V,MATCH(A3,'Form Import'!F:F,0)))/3</f>
        <v>3.1666666666666665</v>
      </c>
      <c r="F3" s="430" t="str">
        <f t="array" ref="F3">INDEX(Import!E:E,MATCH(C3,Name,0))</f>
        <v>A&amp;K Robotics has built a self-driving micromobility platform that can autonomously carry people and goods, short distances through complex, crowded and dynamic environments. Our first use case is in airports to carry people from gate to gate, to restaurants, to shops. Breaking down barriers to mobility and improving traveler experiences.</v>
      </c>
      <c r="G3" s="431" t="str">
        <f t="array" ref="G3">CONCATENATE(INDEX(Import!G:G,MATCH(C3,Import!C:C,0)),CHAR(10),INDEX(Import!I:I,MATCH(C3,Name,0)))</f>
        <v>Khoa Ma
4.5</v>
      </c>
      <c r="H3" s="432" t="str">
        <f t="array" ref="H3">INDEX(Import!H:H,MATCH(C3,Name,0))</f>
        <v>self-driving micro-mobility platform
Oliver Mitchell referral</v>
      </c>
      <c r="I3" s="431" t="str">
        <f t="array" ref="I3">CONCATENATE(INDEX(Import!J:J,MATCH(C3,Name,0)),CHAR(10),INDEX(Import!L:L,MATCH(C3,Name,0)))</f>
        <v>Arthur Ibanda
4</v>
      </c>
      <c r="J3" s="432" t="str">
        <f t="array" ref="J3">INDEX(Import!K:K,MATCH(C3,Name,0))</f>
        <v>+Team seems passionate and credible
+Need help scaling which EFL can provide
+The team have managed to do more than a million dollars in sales and raised more than 3 million</v>
      </c>
      <c r="K3" s="431" t="str">
        <f t="array" aca="1" ref="K3" ca="1">CONCATENATE(INDEX('Form Import'!D:D,MATCH(A3,'Form Import'!F:F,0)),CHAR(10),INDEX('Form Import'!V:V,MATCH(A3,'Form Import'!F:F,0)))</f>
        <v>Nick Schmandt
1</v>
      </c>
      <c r="L3" s="432" t="str">
        <f t="array" aca="1" ref="L3" ca="1">INDEX('Form Import'!W:W,MATCH(A3,'Form Import'!F:F,0))</f>
        <v>The addressable market seems grossly overstated, and there is no mention of simple regular electric wheelchairs, which would allow the elderly to steer themselves at a much lower cost. This proposal does not make any sense to me.</v>
      </c>
      <c r="M3" s="430" t="str">
        <f t="array" aca="1" ref="M3" ca="1">INDEX('Form Import'!G:G,MATCH($A3,'Form Import'!$F:$F,0))</f>
        <v>Pretty early stage</v>
      </c>
      <c r="N3" s="430" t="str">
        <f t="array" aca="1" ref="N3" ca="1">INDEX('Form Import'!L:L,MATCH($A3,'Form Import'!$F:$F,0))</f>
        <v>The tech seems redundant compared to what other AI startups can already do.</v>
      </c>
      <c r="O3" s="430" t="str">
        <f t="array" aca="1" ref="O3" ca="1">INDEX('Form Import'!O:O,MATCH($A3,'Form Import'!$F:$F,0))</f>
        <v>There is no way airports are paying as much as they claim to hire low-wage people to move the elderly around. There does not seem to be an application beyond airports.</v>
      </c>
      <c r="P3" s="430" t="str">
        <f t="array" aca="1" ref="P3" ca="1">INDEX('Form Import'!S:S,MATCH($A3,'Form Import'!$F:$F,0))</f>
        <v>They seem extremely inexperienced.</v>
      </c>
      <c r="Q3" s="430"/>
      <c r="R3" s="430"/>
      <c r="S3" s="430" t="e">
        <f t="array" aca="1" ref="S3" ca="1">_xludf.TextJoin("; ",1,INDEX(Import!S:S,MATCH(C3,Name,0)))</f>
        <v>#NAME?</v>
      </c>
    </row>
    <row r="4" spans="1:19" ht="60">
      <c r="A4" s="418" t="s">
        <v>2107</v>
      </c>
      <c r="B4" s="419" t="str">
        <f t="array" aca="1" ref="B4" ca="1">CONCATENATE(TEXT(INDEX(query!A:A,MATCH(C4,query!B:B,0)),"M/DD/YYY"),CHAR(10),INDEX(query!E:E,MATCH(C4,query!B:B,0)))</f>
        <v>8/16/2022
Revisit/ Cluster</v>
      </c>
      <c r="C4" s="85" t="s">
        <v>63</v>
      </c>
      <c r="D4" s="420">
        <f t="array" ref="D4">INDEX(Import!D:D,MATCH(C4,Name,0))</f>
        <v>3.5</v>
      </c>
      <c r="E4" s="421">
        <f t="array" aca="1" ref="E4" ca="1">(INDEX(Import!I:I,MATCH(C4,Name,0))+INDEX(Import!L:L,MATCH(C4,Name,0))+INDEX('Form Import'!V:V,MATCH(A4,'Form Import'!F:F,0)))/3</f>
        <v>3.3333333333333335</v>
      </c>
      <c r="F4" s="422" t="str">
        <f t="array" ref="F4">INDEX(Import!E:E,MATCH(C4,Name,0))</f>
        <v>Accelerate Wind develops affordable wind turbines for commercial buildings. They are designed to pair with rooftop solar, which typically cannot provide a building?s total energy demand on its own. Our turbines are installed on roof edges and have the potential to double energy production compared to solar.</v>
      </c>
      <c r="G4" s="423" t="str">
        <f t="array" ref="G4">CONCATENATE(INDEX(Import!G:G,MATCH(C4,Import!C:C,0)),CHAR(10),INDEX(Import!I:I,MATCH(C4,Name,0)))</f>
        <v>Khoa Ma
3.5</v>
      </c>
      <c r="H4" s="424" t="str">
        <f t="array" ref="H4">INDEX(Import!H:H,MATCH(C4,Name,0))</f>
        <v>affordable wind turbines for commercial buildings
applied in 2020 doesn't seem like a lot has changed</v>
      </c>
      <c r="I4" s="423" t="str">
        <f t="array" ref="I4">CONCATENATE(INDEX(Import!J:J,MATCH(C4,Name,0)),CHAR(10),INDEX(Import!L:L,MATCH(C4,Name,0)))</f>
        <v>Sriharsha Indupuru
3.5</v>
      </c>
      <c r="J4" s="424" t="str">
        <f t="array" ref="J4">INDEX(Import!K:K,MATCH(C4,Name,0))</f>
        <v>&gt;Develops affordable wind turbines for commercial buildings
+ Potential to double energy production compared to solar.
+airfoil technology enables the team to draw faster wind down towards the edge of the roof
+ Grants of 2.5M</v>
      </c>
      <c r="K4" s="423" t="str">
        <f t="array" aca="1" ref="K4" ca="1">CONCATENATE(INDEX('Form Import'!D:D,MATCH(A4,'Form Import'!F:F,0)),CHAR(10),INDEX('Form Import'!V:V,MATCH(A4,'Form Import'!F:F,0)))</f>
        <v>Jason Yu
3</v>
      </c>
      <c r="L4" s="424" t="str">
        <f t="array" aca="1" ref="L4" ca="1">INDEX('Form Import'!W:W,MATCH(A4,'Form Import'!F:F,0))</f>
        <v>Technology may be easy to replicate and there are already competitors in the market. Team appears to have the necessary experience to develop the technology.</v>
      </c>
      <c r="M4" s="422" t="str">
        <f t="array" aca="1" ref="M4" ca="1">INDEX('Form Import'!G:G,MATCH($A4,'Form Import'!$F:$F,0))</f>
        <v>Affordable wind turbines for commercial buildings / Sustainable Building /  Pre-seeding</v>
      </c>
      <c r="N4" s="422" t="str">
        <f t="array" aca="1" ref="N4" ca="1">INDEX('Form Import'!L:L,MATCH($A4,'Form Import'!$F:$F,0))</f>
        <v>Redesigned wind turbine</v>
      </c>
      <c r="O4" s="422" t="str">
        <f t="array" aca="1" ref="O4" ca="1">INDEX('Form Import'!O:O,MATCH($A4,'Form Import'!$F:$F,0))</f>
        <v>Several other rooftop wind startups with similar concepts.</v>
      </c>
      <c r="P4" s="422" t="str">
        <f t="array" aca="1" ref="P4" ca="1">INDEX('Form Import'!S:S,MATCH($A4,'Form Import'!$F:$F,0))</f>
        <v>Former energy engineer and Freelance Sustainability and Engineering Consultant</v>
      </c>
      <c r="Q4" s="422"/>
      <c r="R4" s="422"/>
      <c r="S4" s="422" t="e">
        <f t="array" aca="1" ref="S4" ca="1">_xludf.TextJoin("; ",1,INDEX(Import!S:S,MATCH(C4,Name,0)))</f>
        <v>#NAME?</v>
      </c>
    </row>
    <row r="5" spans="1:19" ht="48">
      <c r="A5" s="425" t="s">
        <v>13133</v>
      </c>
      <c r="B5" s="426" t="str">
        <f t="array" aca="1" ref="B5" ca="1">CONCATENATE(TEXT(INDEX(query!A:A,MATCH(C5,query!B:B,0)),"M/DD/YYY"),CHAR(10),INDEX(query!E:E,MATCH(C5,query!B:B,0)))</f>
        <v>8/03/2022
Invite</v>
      </c>
      <c r="C5" s="427" t="s">
        <v>284</v>
      </c>
      <c r="D5" s="428">
        <f t="array" ref="D5">INDEX(Import!D:D,MATCH(C5,Name,0))</f>
        <v>4</v>
      </c>
      <c r="E5" s="429">
        <f t="array" aca="1" ref="E5" ca="1">(INDEX(Import!I:I,MATCH(C5,Name,0))+INDEX(Import!L:L,MATCH(C5,Name,0))+INDEX('Form Import'!V:V,MATCH(A5,'Form Import'!F:F,0)))/3</f>
        <v>4</v>
      </c>
      <c r="F5" s="430" t="str">
        <f t="array" ref="F5">INDEX(Import!E:E,MATCH(C5,Name,0))</f>
        <v>Aclid is a security and safety platform for synthetic biology founded by Professor Harris Wang at Columbia University. The company provides a tech-enabled service that identifies pathogenic or toxic genes in DNA for biosecurity and export control compliance, helping gene synthesis providers, foundries, and governments among others.</v>
      </c>
      <c r="G5" s="431" t="str">
        <f t="array" ref="G5">CONCATENATE(INDEX(Import!G:G,MATCH(C5,Import!C:C,0)),CHAR(10),INDEX(Import!I:I,MATCH(C5,Name,0)))</f>
        <v>Chris Mosher
4</v>
      </c>
      <c r="H5" s="432" t="str">
        <f t="array" ref="H5">INDEX(Import!H:H,MATCH(C5,Name,0))</f>
        <v>Interesting idea to consider biosecurity in gene synthesis - haven't seen a company like this before since most companies would do this privately in-house. This issue will grow as synthetic biology becomes more popular.</v>
      </c>
      <c r="I5" s="431" t="str">
        <f t="array" ref="I5">CONCATENATE(INDEX(Import!J:J,MATCH(C5,Name,0)),CHAR(10),INDEX(Import!L:L,MATCH(C5,Name,0)))</f>
        <v>Tugba Oncu
4</v>
      </c>
      <c r="J5" s="432" t="str">
        <f t="array" ref="J5">INDEX(Import!K:K,MATCH(C5,Name,0))</f>
        <v>Bill and Melinda foundation invests enormous money in this area.</v>
      </c>
      <c r="K5" s="431" t="str">
        <f t="array" aca="1" ref="K5" ca="1">CONCATENATE(INDEX('Form Import'!D:D,MATCH(A5,'Form Import'!F:F,0)),CHAR(10),INDEX('Form Import'!V:V,MATCH(A5,'Form Import'!F:F,0)))</f>
        <v>Nick Schmandt
4</v>
      </c>
      <c r="L5" s="432" t="str">
        <f t="array" aca="1" ref="L5" ca="1">INDEX('Form Import'!W:W,MATCH(A5,'Form Import'!F:F,0))</f>
        <v>It's a good idea and they seem to have a good product, but the marketing strategy is unclear.</v>
      </c>
      <c r="M5" s="430" t="str">
        <f t="array" aca="1" ref="M5" ca="1">INDEX('Form Import'!G:G,MATCH($A5,'Form Import'!$F:$F,0))</f>
        <v>Looks like they have a good product, need to find more customers</v>
      </c>
      <c r="N5" s="430" t="str">
        <f t="array" aca="1" ref="N5" ca="1">INDEX('Form Import'!L:L,MATCH($A5,'Form Import'!$F:$F,0))</f>
        <v>Seems to be a more efficient version of other pre-existing technology</v>
      </c>
      <c r="O5" s="430" t="str">
        <f t="array" aca="1" ref="O5" ca="1">INDEX('Form Import'!O:O,MATCH($A5,'Form Import'!$F:$F,0))</f>
        <v>They don't say their progress in attracting customers</v>
      </c>
      <c r="P5" s="430" t="str">
        <f t="array" aca="1" ref="P5" ca="1">INDEX('Form Import'!S:S,MATCH($A5,'Form Import'!$F:$F,0))</f>
        <v>Only one team member really understands the science, the others don't really bring anything to the equation.</v>
      </c>
      <c r="Q5" s="430"/>
      <c r="R5" s="430"/>
      <c r="S5" s="430" t="e">
        <f t="array" aca="1" ref="S5" ca="1">_xludf.TextJoin("; ",1,INDEX(Import!S:S,MATCH(C5,Name,0)))</f>
        <v>#NAME?</v>
      </c>
    </row>
    <row r="6" spans="1:19" ht="60">
      <c r="A6" s="418" t="s">
        <v>13134</v>
      </c>
      <c r="B6" s="419" t="str">
        <f t="array" aca="1" ref="B6" ca="1">CONCATENATE(TEXT(INDEX(query!A:A,MATCH(C6,query!B:B,0)),"M/DD/YYY"),CHAR(10),INDEX(query!E:E,MATCH(C6,query!B:B,0)))</f>
        <v>8/09/2022
Invite</v>
      </c>
      <c r="C6" s="85" t="s">
        <v>65</v>
      </c>
      <c r="D6" s="420">
        <f t="array" ref="D6">INDEX(Import!D:D,MATCH(C6,Name,0))</f>
        <v>4.25</v>
      </c>
      <c r="E6" s="421">
        <f t="array" aca="1" ref="E6" ca="1">(INDEX(Import!I:I,MATCH(C6,Name,0))+INDEX(Import!L:L,MATCH(C6,Name,0))+INDEX('Form Import'!V:V,MATCH(A6,'Form Import'!F:F,0)))/3</f>
        <v>4.5</v>
      </c>
      <c r="F6" s="422" t="str">
        <f t="array" ref="F6">INDEX(Import!E:E,MATCH(C6,Name,0))</f>
        <v>Aerones is the first company in the world to provide the services using robotic technology: the maintenance process does not require technicians to work in dangerous heights, and thus is much safer, more efficient, and the downtime of the turbines is decreased significantly.</v>
      </c>
      <c r="G6" s="423" t="str">
        <f t="array" ref="G6">CONCATENATE(INDEX(Import!G:G,MATCH(C6,Import!C:C,0)),CHAR(10),INDEX(Import!I:I,MATCH(C6,Name,0)))</f>
        <v>Khoa Ma
4.5</v>
      </c>
      <c r="H6" s="424" t="str">
        <f t="array" ref="H6">INDEX(Import!H:H,MATCH(C6,Name,0))</f>
        <v>Raised $13M already with $25M round open $15M soft circles
Good tech, need to scale
Needs to grow the team
Think about other industries other than wind turbines?</v>
      </c>
      <c r="I6" s="423" t="str">
        <f t="array" ref="I6">CONCATENATE(INDEX(Import!J:J,MATCH(C6,Name,0)),CHAR(10),INDEX(Import!L:L,MATCH(C6,Name,0)))</f>
        <v>Shubo (Gabriel) Xu
4</v>
      </c>
      <c r="J6" s="424" t="str">
        <f t="array" ref="J6">INDEX(Import!K:K,MATCH(C6,Name,0))</f>
        <v>+
1. Tech is advanced and validated
2. Business is up&amp;running with good results
3. Future is bright with company's planning as well as the society's trend towards green energy.</v>
      </c>
      <c r="K6" s="423" t="str">
        <f t="array" aca="1" ref="K6" ca="1">CONCATENATE(INDEX('Form Import'!D:D,MATCH(A6,'Form Import'!F:F,0)),CHAR(10),INDEX('Form Import'!V:V,MATCH(A6,'Form Import'!F:F,0)))</f>
        <v>Nick Schmandt
5</v>
      </c>
      <c r="L6" s="424" t="str">
        <f t="array" aca="1" ref="L6" ca="1">INDEX('Form Import'!W:W,MATCH(A6,'Form Import'!F:F,0))</f>
        <v>Very solid revenue income</v>
      </c>
      <c r="M6" s="422" t="str">
        <f t="array" aca="1" ref="M6" ca="1">INDEX('Form Import'!G:G,MATCH($A6,'Form Import'!$F:$F,0))</f>
        <v>Advanced</v>
      </c>
      <c r="N6" s="422" t="str">
        <f t="array" aca="1" ref="N6" ca="1">INDEX('Form Import'!L:L,MATCH($A6,'Form Import'!$F:$F,0))</f>
        <v>Seems solid</v>
      </c>
      <c r="O6" s="422" t="str">
        <f t="array" aca="1" ref="O6" ca="1">INDEX('Form Import'!O:O,MATCH($A6,'Form Import'!$F:$F,0))</f>
        <v>Fast growing addressable market</v>
      </c>
      <c r="P6" s="422" t="str">
        <f t="array" aca="1" ref="P6" ca="1">INDEX('Form Import'!S:S,MATCH($A6,'Form Import'!$F:$F,0))</f>
        <v>Solid team, though relatively small</v>
      </c>
      <c r="Q6" s="422"/>
      <c r="R6" s="422"/>
      <c r="S6" s="422" t="e">
        <f t="array" aca="1" ref="S6" ca="1">_xludf.TextJoin("; ",1,INDEX(Import!S:S,MATCH(C6,Name,0)))</f>
        <v>#NAME?</v>
      </c>
    </row>
    <row r="7" spans="1:19" ht="48">
      <c r="A7" s="425" t="s">
        <v>9463</v>
      </c>
      <c r="B7" s="426" t="str">
        <f t="array" aca="1" ref="B7" ca="1">CONCATENATE(TEXT(INDEX(query!A:A,MATCH(C7,query!B:B,0)),"M/DD/YYY"),CHAR(10),INDEX(query!E:E,MATCH(C7,query!B:B,0)))</f>
        <v>8/09/2022
Revisit/ Cluster</v>
      </c>
      <c r="C7" s="427" t="s">
        <v>66</v>
      </c>
      <c r="D7" s="428">
        <f t="array" ref="D7">INDEX(Import!D:D,MATCH(C7,Name,0))</f>
        <v>3.5</v>
      </c>
      <c r="E7" s="429">
        <f t="array" aca="1" ref="E7" ca="1">(INDEX(Import!I:I,MATCH(C7,Name,0))+INDEX(Import!L:L,MATCH(C7,Name,0))+INDEX('Form Import'!V:V,MATCH(A7,'Form Import'!F:F,0)))/3</f>
        <v>4</v>
      </c>
      <c r="F7" s="430" t="str">
        <f t="array" ref="F7">INDEX(Import!E:E,MATCH(C7,Name,0))</f>
        <v>Aixscan is a start up technology company developing an intelligent system which combines the functionalities of digital radiography (DR), computerized tomography (CT), and an experienced radiologist into a single package. The package will produce accountable and consistent diagnostic reports within seconds after scanning. This novel imaging system</v>
      </c>
      <c r="G7" s="431" t="str">
        <f t="array" ref="G7">CONCATENATE(INDEX(Import!G:G,MATCH(C7,Import!C:C,0)),CHAR(10),INDEX(Import!I:I,MATCH(C7,Name,0)))</f>
        <v>Chris Mosher
3</v>
      </c>
      <c r="H7" s="432" t="str">
        <f t="array" ref="H7">INDEX(Import!H:H,MATCH(C7,Name,0))</f>
        <v>Deep tech revisit/cluster? Digital radiography (DR) combined with computerized tomography (CT) to provide diagnostic reports within seconds of imaging. Have protoype.</v>
      </c>
      <c r="I7" s="431" t="str">
        <f t="array" ref="I7">CONCATENATE(INDEX(Import!J:J,MATCH(C7,Name,0)),CHAR(10),INDEX(Import!L:L,MATCH(C7,Name,0)))</f>
        <v>Parsa Amiri
4</v>
      </c>
      <c r="J7" s="432" t="str">
        <f t="array" ref="J7">INDEX(Import!K:K,MATCH(C7,Name,0))</f>
        <v>I wish I had more data on their resolutions and comparison with competitors; based on what they wrote in application, they are significantly advantageous, but in the table in their website those advantages are not mentioned.</v>
      </c>
      <c r="K7" s="431" t="str">
        <f t="array" aca="1" ref="K7" ca="1">CONCATENATE(INDEX('Form Import'!D:D,MATCH(A7,'Form Import'!F:F,0)),CHAR(10),INDEX('Form Import'!V:V,MATCH(A7,'Form Import'!F:F,0)))</f>
        <v>Jason Yu
5</v>
      </c>
      <c r="L7" s="432" t="str">
        <f t="array" aca="1" ref="L7" ca="1">INDEX('Form Import'!W:W,MATCH(A7,'Form Import'!F:F,0))</f>
        <v>Viable and proven product. Their current goal is following funding, build a batch of our imaging technology platform and sell them at a preferred rate to leading institutions.</v>
      </c>
      <c r="M7" s="430" t="str">
        <f t="array" aca="1" ref="M7" ca="1">INDEX('Form Import'!G:G,MATCH($A7,'Form Import'!$F:$F,0))</f>
        <v>Combines digital radiography and computerized tomography / Healthcare / Series A</v>
      </c>
      <c r="N7" s="430" t="str">
        <f t="array" aca="1" ref="N7" ca="1">INDEX('Form Import'!L:L,MATCH($A7,'Form Import'!$F:$F,0))</f>
        <v>Minimum Viable Product: Initial testing in our own lab - Chest Phantom N1 Lungman||Milestones achieved:|1. Proof of concept complete|2. Prototype imaging system complete|3. Prototype feature imaging system prototype complete|</v>
      </c>
      <c r="O7" s="430" t="str">
        <f t="array" aca="1" ref="O7" ca="1">INDEX('Form Import'!O:O,MATCH($A7,'Form Import'!$F:$F,0))</f>
        <v>Assuming the market would be hospitals and clinics.</v>
      </c>
      <c r="P7" s="430" t="str">
        <f t="array" aca="1" ref="P7" ca="1">INDEX('Form Import'!S:S,MATCH($A7,'Form Import'!$F:$F,0))</f>
        <v>First start up but experienced founding team</v>
      </c>
      <c r="Q7" s="430"/>
      <c r="R7" s="430"/>
      <c r="S7" s="430" t="e">
        <f t="array" aca="1" ref="S7" ca="1">_xludf.TextJoin("; ",1,INDEX(Import!S:S,MATCH(C7,Name,0)))</f>
        <v>#NAME?</v>
      </c>
    </row>
    <row r="8" spans="1:19" ht="156">
      <c r="A8" s="418" t="s">
        <v>9665</v>
      </c>
      <c r="B8" s="419" t="str">
        <f t="array" aca="1" ref="B8" ca="1">CONCATENATE(TEXT(INDEX(query!A:A,MATCH(C8,query!B:B,0)),"M/DD/YYY"),CHAR(10),INDEX(query!E:E,MATCH(C8,query!B:B,0)))</f>
        <v>8/18/2022
Invite</v>
      </c>
      <c r="C8" s="85" t="s">
        <v>312</v>
      </c>
      <c r="D8" s="420">
        <f t="array" ref="D8">INDEX(Import!D:D,MATCH(C8,Name,0))</f>
        <v>3.75</v>
      </c>
      <c r="E8" s="421">
        <f t="array" aca="1" ref="E8" ca="1">(INDEX(Import!I:I,MATCH(C8,Name,0))+INDEX(Import!L:L,MATCH(C8,Name,0))+INDEX('Form Import'!V:V,MATCH(A8,'Form Import'!F:F,0)))/3</f>
        <v>4.166666666666667</v>
      </c>
      <c r="F8" s="422" t="str">
        <f t="array" ref="F8">INDEX(Import!E:E,MATCH(C8,Name,0))</f>
        <v>Allergy Butler permanently fixes allergies using toothpaste.  Allergies is the fastest growing chronic disease and the #1 cause of missed work and school and the problem is getting worse as more CO2 enters the atmosphere and the planet warms.</v>
      </c>
      <c r="G8" s="423" t="str">
        <f t="array" ref="G8">CONCATENATE(INDEX(Import!G:G,MATCH(C8,Import!C:C,0)),CHAR(10),INDEX(Import!I:I,MATCH(C8,Name,0)))</f>
        <v>Chris Mosher
3.5</v>
      </c>
      <c r="H8" s="424" t="str">
        <f t="array" ref="H8">INDEX(Import!H:H,MATCH(C8,Name,0))</f>
        <v>Deep tech or life sciences? Fun idea. Toothpaste to permanently cure allergies. They mail you a kit that includes a device to prick your finger for a couple drops of blood, and biohazard packaging to mail the sample in. They evaluate the sample for 50 allergens, collect a brief medical history online, and use the results to develop a personalized toothpaste that contains allergens of interest. The toothpaste is packaged in a pump that delivers the correct dosage. Replacement for immunotherapy (allergy shots). $2.5K/month in revenue. Tested "hundreds of patients and published research on safety, efficacy, and adherence" but I cannot find the data and they didn't submit a deck. Team has significant experience building healthcare companies, but not in immunotherapy/allergies specifically. Accomplished a lot with only $100K invested so far. Raising $3M to scale.</v>
      </c>
      <c r="I8" s="423" t="str">
        <f t="array" ref="I8">CONCATENATE(INDEX(Import!J:J,MATCH(C8,Name,0)),CHAR(10),INDEX(Import!L:L,MATCH(C8,Name,0)))</f>
        <v>Parsa Amiri
4</v>
      </c>
      <c r="J8" s="424" t="str">
        <f t="array" ref="J8">INDEX(Import!K:K,MATCH(C8,Name,0))</f>
        <v>Referred by Chris Mosher? 2.5K MRR. Allergy immunotherapy personalized toothpaste. A blood test sampling kit is mailed to your house, after sampling the customers send back the samples. With testing the blood and a questionnaire, they design an immunotherapy for fixing allergy permanently, they combine it with a toothpaste, and send your personalized toothpaste, allergy drops, and shots to you. The tech is not yet patented.</v>
      </c>
      <c r="K8" s="423" t="str">
        <f t="array" aca="1" ref="K8" ca="1">CONCATENATE(INDEX('Form Import'!D:D,MATCH(A8,'Form Import'!F:F,0)),CHAR(10),INDEX('Form Import'!V:V,MATCH(A8,'Form Import'!F:F,0)))</f>
        <v>Nick Schmandt
5</v>
      </c>
      <c r="L8" s="424" t="str">
        <f t="array" aca="1" ref="L8" ca="1">INDEX('Form Import'!W:W,MATCH(A8,'Form Import'!F:F,0))</f>
        <v>Seems like a great product, I'm unclear why they chose toothpaste as the delivery vector, instead of something like gum or other oral medication. But certainly looks promising.</v>
      </c>
      <c r="M8" s="422" t="str">
        <f t="array" aca="1" ref="M8" ca="1">INDEX('Form Import'!G:G,MATCH($A8,'Form Import'!$F:$F,0))</f>
        <v>Advanced, they have a working product</v>
      </c>
      <c r="N8" s="422" t="str">
        <f t="array" aca="1" ref="N8" ca="1">INDEX('Form Import'!L:L,MATCH($A8,'Form Import'!$F:$F,0))</f>
        <v>Seems a strange way of reducing allergies but it works</v>
      </c>
      <c r="O8" s="422" t="str">
        <f t="array" aca="1" ref="O8" ca="1">INDEX('Form Import'!O:O,MATCH($A8,'Form Import'!$F:$F,0))</f>
        <v>Seems like a very large addressable market, not clear why it's struggling</v>
      </c>
      <c r="P8" s="422" t="str">
        <f t="array" aca="1" ref="P8" ca="1">INDEX('Form Import'!S:S,MATCH($A8,'Form Import'!$F:$F,0))</f>
        <v>Team seems experienced, though a few do not even have the company on their LinkedIn profile</v>
      </c>
      <c r="Q8" s="422"/>
      <c r="R8" s="422"/>
      <c r="S8" s="422" t="e">
        <f t="array" aca="1" ref="S8" ca="1">_xludf.TextJoin("; ",1,INDEX(Import!S:S,MATCH(C8,Name,0)))</f>
        <v>#NAME?</v>
      </c>
    </row>
    <row r="9" spans="1:19" ht="72">
      <c r="A9" s="425" t="s">
        <v>494</v>
      </c>
      <c r="B9" s="426" t="str">
        <f t="array" aca="1" ref="B9" ca="1">CONCATENATE(TEXT(INDEX(query!A:A,MATCH(C9,query!B:B,0)),"M/DD/YYY"),CHAR(10),INDEX(query!E:E,MATCH(C9,query!B:B,0)))</f>
        <v>8/11/2022
Revisit/ Cluster</v>
      </c>
      <c r="C9" s="427" t="s">
        <v>67</v>
      </c>
      <c r="D9" s="428">
        <f t="array" ref="D9">INDEX(Import!D:D,MATCH(C9,Name,0))</f>
        <v>4</v>
      </c>
      <c r="E9" s="429">
        <f t="array" aca="1" ref="E9" ca="1">(INDEX(Import!I:I,MATCH(C9,Name,0))+INDEX(Import!L:L,MATCH(C9,Name,0))+INDEX('Form Import'!V:V,MATCH(A9,'Form Import'!F:F,0)))/3</f>
        <v>4.333333333333333</v>
      </c>
      <c r="F9" s="430" t="str">
        <f t="array" ref="F9">INDEX(Import!E:E,MATCH(C9,Name,0))</f>
        <v>Alva Health is developing a wearable neuromonitoring platform with the first indication in real-time stroke detection. They are a Cornell alumni founded, Yale University technology spinout with $1.6 MM in non-dilutive funding from the NSF and NIH SBIR programs, and the $350K Grand Prize winner at MedTech Innovator in 2021.</v>
      </c>
      <c r="G9" s="431" t="str">
        <f t="array" ref="G9">CONCATENATE(INDEX(Import!G:G,MATCH(C9,Import!C:C,0)),CHAR(10),INDEX(Import!I:I,MATCH(C9,Name,0)))</f>
        <v>Larisa Kagermazova
4</v>
      </c>
      <c r="H9" s="432" t="str">
        <f t="array" ref="H9">INDEX(Import!H:H,MATCH(C9,Name,0))</f>
        <v>Yale University technology spinout with $1.6 MM in non-dilutive funding from the NSF and NIH SBIR programs, and the $350K Grand Prize winner at MedTech Innovator in 2021 and many more.</v>
      </c>
      <c r="I9" s="431" t="str">
        <f t="array" ref="I9">CONCATENATE(INDEX(Import!J:J,MATCH(C9,Name,0)),CHAR(10),INDEX(Import!L:L,MATCH(C9,Name,0)))</f>
        <v>Parsa Amiri
4</v>
      </c>
      <c r="J9" s="432" t="str">
        <f t="array" ref="J9">INDEX(Import!K:K,MATCH(C9,Name,0))</f>
        <v>Overall, the team is really great, and they have won incredible grants. However, I think the basic idea of technology is not innovative, and I want to know more about the competitive advantages of this product with numerous similar devices that are already existing in the market. Based on the team, and grants I'm assuming their device possess superior precision and sensitivity.</v>
      </c>
      <c r="K9" s="431" t="str">
        <f t="array" aca="1" ref="K9" ca="1">CONCATENATE(INDEX('Form Import'!D:D,MATCH(A9,'Form Import'!F:F,0)),CHAR(10),INDEX('Form Import'!V:V,MATCH(A9,'Form Import'!F:F,0)))</f>
        <v>Jason Yu
5</v>
      </c>
      <c r="L9" s="432" t="str">
        <f t="array" aca="1" ref="L9" ca="1">INDEX('Form Import'!W:W,MATCH(A9,'Form Import'!F:F,0))</f>
        <v>Experienced founders. Affiliated with a number of other startup programs. Viable product. "Currently, the biggest obstacle to our success is related to supply chain issues that could cause manufacturing delays, due to shortages in electronic components."</v>
      </c>
      <c r="M9" s="430" t="str">
        <f t="array" aca="1" ref="M9" ca="1">INDEX('Form Import'!G:G,MATCH($A9,'Form Import'!$F:$F,0))</f>
        <v>wearable neuromonitoring platform / Healthcare / Pre-seed Grants</v>
      </c>
      <c r="N9" s="430" t="str">
        <f t="array" aca="1" ref="N9" ca="1">INDEX('Form Import'!L:L,MATCH($A9,'Form Import'!$F:$F,0))</f>
        <v>Yale University owns the core IP, and Alva Health has an exclusive license to the Intellectual
Property since 2021.</v>
      </c>
      <c r="O9" s="430" t="str">
        <f t="array" aca="1" ref="O9" ca="1">INDEX('Form Import'!O:O,MATCH($A9,'Form Import'!$F:$F,0))</f>
        <v>"We will pursue a dedicated CPT code for health insurance reimbursement. While the CPT work is underway, the company will pursue individual contracts with value-based health plans, Medicare Advantage plans and integrated delivery networks."</v>
      </c>
      <c r="P9" s="430" t="str">
        <f t="array" aca="1" ref="P9" ca="1">INDEX('Form Import'!S:S,MATCH($A9,'Form Import'!$F:$F,0))</f>
        <v>First startup for all founders but very experienced in their fields.</v>
      </c>
      <c r="Q9" s="430"/>
      <c r="R9" s="430"/>
      <c r="S9" s="430" t="e">
        <f t="array" aca="1" ref="S9" ca="1">_xludf.TextJoin("; ",1,INDEX(Import!S:S,MATCH(C9,Name,0)))</f>
        <v>#NAME?</v>
      </c>
    </row>
    <row r="10" spans="1:19" ht="36">
      <c r="A10" s="418" t="s">
        <v>502</v>
      </c>
      <c r="B10" s="419" t="str">
        <f t="array" aca="1" ref="B10" ca="1">CONCATENATE(TEXT(INDEX(query!A:A,MATCH(C10,query!B:B,0)),"M/DD/YYY"),CHAR(10),INDEX(query!E:E,MATCH(C10,query!B:B,0)))</f>
        <v>8/09/2022
Invite</v>
      </c>
      <c r="C10" s="85" t="s">
        <v>68</v>
      </c>
      <c r="D10" s="420">
        <f t="array" ref="D10">INDEX(Import!D:D,MATCH(C10,Name,0))</f>
        <v>4</v>
      </c>
      <c r="E10" s="421">
        <f t="array" aca="1" ref="E10" ca="1">(INDEX(Import!I:I,MATCH(C10,Name,0))+INDEX(Import!L:L,MATCH(C10,Name,0))+INDEX('Form Import'!V:V,MATCH(A10,'Form Import'!F:F,0)))/3</f>
        <v>4</v>
      </c>
      <c r="F10" s="422" t="str">
        <f t="array" ref="F10">INDEX(Import!E:E,MATCH(C10,Name,0))</f>
        <v>We are developing an inexpensive single-cell sequencing kit to help researchers discover new genomic info in real time. Based on a proprietary barcoding technology and a device-free protocol for long-read sequencers (Nanopore, PacBio).</v>
      </c>
      <c r="G10" s="423" t="str">
        <f t="array" ref="G10">CONCATENATE(INDEX(Import!G:G,MATCH(C10,Import!C:C,0)),CHAR(10),INDEX(Import!I:I,MATCH(C10,Name,0)))</f>
        <v>Khoa Ma
4.5</v>
      </c>
      <c r="H10" s="424" t="str">
        <f t="array" ref="H10">INDEX(Import!H:H,MATCH(C10,Name,0))</f>
        <v>Women founders
Show tech can scale and go into the real world</v>
      </c>
      <c r="I10" s="423" t="str">
        <f t="array" ref="I10">CONCATENATE(INDEX(Import!J:J,MATCH(C10,Name,0)),CHAR(10),INDEX(Import!L:L,MATCH(C10,Name,0)))</f>
        <v>Arthur Ibanda
3.5</v>
      </c>
      <c r="J10" s="424" t="str">
        <f t="array" ref="J10">INDEX(Import!K:K,MATCH(C10,Name,0))</f>
        <v>+Credible and well developed team
+Novel technology
~Potential market not very large</v>
      </c>
      <c r="K10" s="423" t="str">
        <f t="array" aca="1" ref="K10" ca="1">CONCATENATE(INDEX('Form Import'!D:D,MATCH(A10,'Form Import'!F:F,0)),CHAR(10),INDEX('Form Import'!V:V,MATCH(A10,'Form Import'!F:F,0)))</f>
        <v>Nick Schmandt
4</v>
      </c>
      <c r="L10" s="424" t="str">
        <f t="array" aca="1" ref="L10" ca="1">INDEX('Form Import'!W:W,MATCH(A10,'Form Import'!F:F,0))</f>
        <v>I would like to know more details about the size of their addressable market. If this is robust and they have a strong number of use cases, the product is likely to have a bright future.</v>
      </c>
      <c r="M10" s="422" t="str">
        <f t="array" aca="1" ref="M10" ca="1">INDEX('Form Import'!G:G,MATCH($A10,'Form Import'!$F:$F,0))</f>
        <v>Advanced, though they still have not figured out how to deliver their product</v>
      </c>
      <c r="N10" s="422" t="str">
        <f t="array" aca="1" ref="N10" ca="1">INDEX('Form Import'!L:L,MATCH($A10,'Form Import'!$F:$F,0))</f>
        <v>Seems like it is definitely valuable, some details are unclear to me, however. What they are doing isn't super new but rather more specified to a single cell.</v>
      </c>
      <c r="O10" s="422" t="str">
        <f t="array" aca="1" ref="O10" ca="1">INDEX('Form Import'!O:O,MATCH($A10,'Form Import'!$F:$F,0))</f>
        <v>Somewhat small, mostly academics and medical clinics.</v>
      </c>
      <c r="P10" s="422" t="str">
        <f t="array" aca="1" ref="P10" ca="1">INDEX('Form Import'!S:S,MATCH($A10,'Form Import'!$F:$F,0))</f>
        <v>Very smart and capable team. More scientific than business.</v>
      </c>
      <c r="Q10" s="422"/>
      <c r="R10" s="422"/>
      <c r="S10" s="422" t="e">
        <f t="array" aca="1" ref="S10" ca="1">_xludf.TextJoin("; ",1,INDEX(Import!S:S,MATCH(C10,Name,0)))</f>
        <v>#NAME?</v>
      </c>
    </row>
    <row r="11" spans="1:19" ht="60">
      <c r="A11" s="425" t="s">
        <v>13135</v>
      </c>
      <c r="B11" s="426" t="str">
        <f t="array" aca="1" ref="B11" ca="1">CONCATENATE(TEXT(INDEX(query!A:A,MATCH(C11,query!B:B,0)),"M/DD/YYY"),CHAR(10),INDEX(query!E:E,MATCH(C11,query!B:B,0)))</f>
        <v>8/09/2022
Invite</v>
      </c>
      <c r="C11" s="427" t="s">
        <v>70</v>
      </c>
      <c r="D11" s="428">
        <f t="array" ref="D11">INDEX(Import!D:D,MATCH(C11,Name,0))</f>
        <v>4</v>
      </c>
      <c r="E11" s="429">
        <f t="array" aca="1" ref="E11" ca="1">(INDEX(Import!I:I,MATCH(C11,Name,0))+INDEX(Import!L:L,MATCH(C11,Name,0))+INDEX('Form Import'!V:V,MATCH(A11,'Form Import'!F:F,0)))/3</f>
        <v>4</v>
      </c>
      <c r="F11" s="430" t="str">
        <f t="array" ref="F11">INDEX(Import!E:E,MATCH(C11,Name,0))</f>
        <v>Astek Diagnostics has developed a platform for rapid antibiotic sensitivity testing. Every year, 1.7 million Americans are evaluated for sepsis - and too many die while waiting days for the correct antibiotic. Astek?s platform determines antibiotic sensitivity in one hour. Astek is backed by Harvard, Y Combinator, TEDCO, and the NSF.</v>
      </c>
      <c r="G11" s="431" t="str">
        <f t="array" ref="G11">CONCATENATE(INDEX(Import!G:G,MATCH(C11,Import!C:C,0)),CHAR(10),INDEX(Import!I:I,MATCH(C11,Name,0)))</f>
        <v>Chris Mosher
4</v>
      </c>
      <c r="H11" s="432" t="str">
        <f t="array" ref="H11">INDEX(Import!H:H,MATCH(C11,Name,0))</f>
        <v>Deep tech track. Chip technology: microfluidic device + alamar blue metabolic assay that determines the existence of bacteria in samples and performs antibiotic sensitivity testing in less than one hour. Crucial for sepsis patients, but broadly applicable and prevents more antibiotic-resistant bacteria from emerging. YC grads.</v>
      </c>
      <c r="I11" s="431" t="str">
        <f t="array" ref="I11">CONCATENATE(INDEX(Import!J:J,MATCH(C11,Name,0)),CHAR(10),INDEX(Import!L:L,MATCH(C11,Name,0)))</f>
        <v>Tugba Oncu
4</v>
      </c>
      <c r="J11" s="432">
        <f t="array" ref="J11">INDEX(Import!K:K,MATCH(C11,Name,0))</f>
        <v>0</v>
      </c>
      <c r="K11" s="431" t="str">
        <f t="array" aca="1" ref="K11" ca="1">CONCATENATE(INDEX('Form Import'!D:D,MATCH(A11,'Form Import'!F:F,0)),CHAR(10),INDEX('Form Import'!V:V,MATCH(A11,'Form Import'!F:F,0)))</f>
        <v>Nick Schmandt
4</v>
      </c>
      <c r="L11" s="432" t="str">
        <f t="array" aca="1" ref="L11" ca="1">INDEX('Form Import'!W:W,MATCH(A11,'Form Import'!F:F,0))</f>
        <v>Great product, long road to marketability, and questionable team experience.</v>
      </c>
      <c r="M11" s="430" t="str">
        <f t="array" aca="1" ref="M11" ca="1">INDEX('Form Import'!G:G,MATCH($A11,'Form Import'!$F:$F,0))</f>
        <v>Getting FDA approval</v>
      </c>
      <c r="N11" s="430" t="str">
        <f t="array" aca="1" ref="N11" ca="1">INDEX('Form Import'!L:L,MATCH($A11,'Form Import'!$F:$F,0))</f>
        <v>Seems like a great and simple product.</v>
      </c>
      <c r="O11" s="430" t="str">
        <f t="array" aca="1" ref="O11" ca="1">INDEX('Form Import'!O:O,MATCH($A11,'Form Import'!$F:$F,0))</f>
        <v>Addressable market will be somewhat small, though they have a highly competitive product</v>
      </c>
      <c r="P11" s="430" t="str">
        <f t="array" aca="1" ref="P11" ca="1">INDEX('Form Import'!S:S,MATCH($A11,'Form Import'!$F:$F,0))</f>
        <v>Both founders have most of their experience in academia or government jobs, very little private sector experience, let alone start-up experience.</v>
      </c>
      <c r="Q11" s="430"/>
      <c r="R11" s="430"/>
      <c r="S11" s="430" t="e">
        <f t="array" aca="1" ref="S11" ca="1">_xludf.TextJoin("; ",1,INDEX(Import!S:S,MATCH(C11,Name,0)))</f>
        <v>#NAME?</v>
      </c>
    </row>
    <row r="12" spans="1:19" ht="60">
      <c r="A12" s="418" t="s">
        <v>1021</v>
      </c>
      <c r="B12" s="419" t="str">
        <f t="array" aca="1" ref="B12" ca="1">CONCATENATE(TEXT(INDEX(query!A:A,MATCH(C12,query!B:B,0)),"M/DD/YYY"),CHAR(10),INDEX(query!E:E,MATCH(C12,query!B:B,0)))</f>
        <v>8/09/2022
Invite</v>
      </c>
      <c r="C12" s="85" t="s">
        <v>151</v>
      </c>
      <c r="D12" s="420">
        <f t="array" ref="D12">INDEX(Import!D:D,MATCH(C12,Name,0))</f>
        <v>4</v>
      </c>
      <c r="E12" s="421">
        <f t="array" aca="1" ref="E12" ca="1">(INDEX(Import!I:I,MATCH(C12,Name,0))+INDEX(Import!L:L,MATCH(C12,Name,0))+INDEX('Form Import'!V:V,MATCH(A12,'Form Import'!F:F,0)))/3</f>
        <v>4.333333333333333</v>
      </c>
      <c r="F12" s="422" t="str">
        <f t="array" ref="F12">INDEX(Import!E:E,MATCH(C12,Name,0))</f>
        <v>Bankuish provides gig workers easy access to affordable and ethical credit and banking services.</v>
      </c>
      <c r="G12" s="423" t="str">
        <f t="array" ref="G12">CONCATENATE(INDEX(Import!G:G,MATCH(C12,Import!C:C,0)),CHAR(10),INDEX(Import!I:I,MATCH(C12,Name,0)))</f>
        <v>Beth Xie
4</v>
      </c>
      <c r="H12" s="424" t="str">
        <f t="array" ref="H12">INDEX(Import!H:H,MATCH(C12,Name,0))</f>
        <v>Good area to focus on given the need for better credit scoring for the workers in the gig economy. Strong track record of generating ARR at this stage of the startup.</v>
      </c>
      <c r="I12" s="423" t="str">
        <f t="array" ref="I12">CONCATENATE(INDEX(Import!J:J,MATCH(C12,Name,0)),CHAR(10),INDEX(Import!L:L,MATCH(C12,Name,0)))</f>
        <v>Shubo (Gabriel) Xu
4</v>
      </c>
      <c r="J12" s="424" t="str">
        <f t="array" ref="J12">INDEX(Import!K:K,MATCH(C12,Name,0))</f>
        <v>+
1. big potential
2. good team
3. tech if works, would be hard to imitated -- see Notes on Technology for followup questions</v>
      </c>
      <c r="K12" s="423" t="str">
        <f t="array" aca="1" ref="K12" ca="1">CONCATENATE(INDEX('Form Import'!D:D,MATCH(A12,'Form Import'!F:F,0)),CHAR(10),INDEX('Form Import'!V:V,MATCH(A12,'Form Import'!F:F,0)))</f>
        <v>Nick Schmandt
5</v>
      </c>
      <c r="L12" s="424" t="str">
        <f t="array" aca="1" ref="L12" ca="1">INDEX('Form Import'!W:W,MATCH(A12,'Form Import'!F:F,0))</f>
        <v>I really like this group, they already have strong revenue growth and are definitely addressing a growing population segment and need.</v>
      </c>
      <c r="M12" s="422" t="str">
        <f t="array" aca="1" ref="M12" ca="1">INDEX('Form Import'!G:G,MATCH($A12,'Form Import'!$F:$F,0))</f>
        <v>Advanced</v>
      </c>
      <c r="N12" s="422" t="str">
        <f t="array" aca="1" ref="N12" ca="1">INDEX('Form Import'!L:L,MATCH($A12,'Form Import'!$F:$F,0))</f>
        <v>Seems like a solid platform. It's not a radical idea so the tech isn't super important</v>
      </c>
      <c r="O12" s="422" t="str">
        <f t="array" aca="1" ref="O12" ca="1">INDEX('Form Import'!O:O,MATCH($A12,'Form Import'!$F:$F,0))</f>
        <v>Pretty large size and growing as gig economies become more prevalent</v>
      </c>
      <c r="P12" s="422" t="str">
        <f t="array" aca="1" ref="P12" ca="1">INDEX('Form Import'!S:S,MATCH($A12,'Form Import'!$F:$F,0))</f>
        <v>Team appears to be very strong</v>
      </c>
      <c r="Q12" s="422"/>
      <c r="R12" s="422"/>
      <c r="S12" s="422" t="e">
        <f t="array" aca="1" ref="S12" ca="1">_xludf.TextJoin("; ",1,INDEX(Import!S:S,MATCH(C12,Name,0)))</f>
        <v>#NAME?</v>
      </c>
    </row>
    <row r="13" spans="1:19" ht="60">
      <c r="A13" s="425" t="s">
        <v>9470</v>
      </c>
      <c r="B13" s="426" t="str">
        <f t="array" aca="1" ref="B13" ca="1">CONCATENATE(TEXT(INDEX(query!A:A,MATCH(C13,query!B:B,0)),"M/DD/YYY"),CHAR(10),INDEX(query!E:E,MATCH(C13,query!B:B,0)))</f>
        <v>8/03/2022
Revisit/ Cluster</v>
      </c>
      <c r="C13" s="427" t="s">
        <v>73</v>
      </c>
      <c r="D13" s="428">
        <f t="array" ref="D13">INDEX(Import!D:D,MATCH(C13,Name,0))</f>
        <v>4</v>
      </c>
      <c r="E13" s="429">
        <f t="array" aca="1" ref="E13" ca="1">(INDEX(Import!I:I,MATCH(C13,Name,0))+INDEX(Import!L:L,MATCH(C13,Name,0))+INDEX('Form Import'!V:V,MATCH(A13,'Form Import'!F:F,0)))/3</f>
        <v>4.333333333333333</v>
      </c>
      <c r="F13" s="430" t="str">
        <f t="array" ref="F13">INDEX(Import!E:E,MATCH(C13,Name,0))</f>
        <v>Beegol delivers the world's best telemetry agent for broadband internet providers combined with a machine-learning management platform to monitor client quality of experience and identify and solve problems in any point of the network.</v>
      </c>
      <c r="G13" s="431" t="str">
        <f t="array" ref="G13">CONCATENATE(INDEX(Import!G:G,MATCH(C13,Import!C:C,0)),CHAR(10),INDEX(Import!I:I,MATCH(C13,Name,0)))</f>
        <v>Khoa Ma
4</v>
      </c>
      <c r="H13" s="432">
        <f t="array" ref="H13">INDEX(Import!H:H,MATCH(C13,Name,0))</f>
        <v>0</v>
      </c>
      <c r="I13" s="431" t="str">
        <f t="array" ref="I13">CONCATENATE(INDEX(Import!J:J,MATCH(C13,Name,0)),CHAR(10),INDEX(Import!L:L,MATCH(C13,Name,0)))</f>
        <v>Sriharsha Indupuru
4</v>
      </c>
      <c r="J13" s="432" t="str">
        <f t="array" ref="J13">INDEX(Import!K:K,MATCH(C13,Name,0))</f>
        <v>+ ML-based Telemetry agent for end-to-end monitoring 
+ Credible team with expertise in the telecom industry 
- Considering the size of the market need to check if they are able to manage big markets as they working in small segments to date. 
+ Founder with start-up experience can be a plus point</v>
      </c>
      <c r="K13" s="431" t="str">
        <f t="array" aca="1" ref="K13" ca="1">CONCATENATE(INDEX('Form Import'!D:D,MATCH(A13,'Form Import'!F:F,0)),CHAR(10),INDEX('Form Import'!V:V,MATCH(A13,'Form Import'!F:F,0)))</f>
        <v>Jason Yu
5</v>
      </c>
      <c r="L13" s="432" t="str">
        <f t="array" aca="1" ref="L13" ca="1">INDEX('Form Import'!W:W,MATCH(A13,'Form Import'!F:F,0))</f>
        <v>Tested product. The company is looking to scale. "The main risk for our success is our capacity to deliver perfect execution if we engage too many clients at the same time."</v>
      </c>
      <c r="M13" s="430" t="str">
        <f t="array" aca="1" ref="M13" ca="1">INDEX('Form Import'!G:G,MATCH($A13,'Form Import'!$F:$F,0))</f>
        <v>Telemetry agent for broadband internet providers / Network Monitoring / Series A</v>
      </c>
      <c r="N13" s="430" t="str">
        <f t="array" aca="1" ref="N13" ca="1">INDEX('Form Import'!L:L,MATCH($A13,'Form Import'!$F:$F,0))</f>
        <v>Tested it in real-world pilots with thousands of modems</v>
      </c>
      <c r="O13" s="430" t="str">
        <f t="array" aca="1" ref="O13" ca="1">INDEX('Form Import'!O:O,MATCH($A13,'Form Import'!$F:$F,0))</f>
        <v>ARR $1,200,000 (MRR $100,000) consisting of recurring revenue contracts and one-shot contracts.</v>
      </c>
      <c r="P13" s="430" t="str">
        <f t="array" aca="1" ref="P13" ca="1">INDEX('Form Import'!S:S,MATCH($A13,'Form Import'!$F:$F,0))</f>
        <v>Experienced founders and C-suites team.</v>
      </c>
      <c r="Q13" s="430"/>
      <c r="R13" s="430"/>
      <c r="S13" s="430" t="e">
        <f t="array" aca="1" ref="S13" ca="1">_xludf.TextJoin("; ",1,INDEX(Import!S:S,MATCH(C13,Name,0)))</f>
        <v>#NAME?</v>
      </c>
    </row>
    <row r="14" spans="1:19" ht="72">
      <c r="A14" s="418" t="s">
        <v>9413</v>
      </c>
      <c r="B14" s="419" t="str">
        <f t="array" aca="1" ref="B14" ca="1">CONCATENATE(TEXT(INDEX(query!A:A,MATCH(C14,query!B:B,0)),"M/DD/YYY"),CHAR(10),INDEX(query!E:E,MATCH(C14,query!B:B,0)))</f>
        <v>8/11/2022
Revisit</v>
      </c>
      <c r="C14" s="85" t="s">
        <v>274</v>
      </c>
      <c r="D14" s="420">
        <f t="array" ref="D14">INDEX(Import!D:D,MATCH(C14,Name,0))</f>
        <v>3.75</v>
      </c>
      <c r="E14" s="421">
        <f t="array" aca="1" ref="E14" ca="1">(INDEX(Import!I:I,MATCH(C14,Name,0))+INDEX(Import!L:L,MATCH(C14,Name,0))+INDEX('Form Import'!V:V,MATCH(A14,'Form Import'!F:F,0)))/3</f>
        <v>3.8333333333333335</v>
      </c>
      <c r="F14" s="422" t="str">
        <f t="array" ref="F14">INDEX(Import!E:E,MATCH(C14,Name,0))</f>
        <v>Behamics prevents cart abandonment in online stores by predicting the reasons and displaying behavioral messages to support the customer?s decision without providing discounts or sending reminding emails.</v>
      </c>
      <c r="G14" s="423" t="str">
        <f t="array" ref="G14">CONCATENATE(INDEX(Import!G:G,MATCH(C14,Import!C:C,0)),CHAR(10),INDEX(Import!I:I,MATCH(C14,Name,0)))</f>
        <v>Khoa Ma
3</v>
      </c>
      <c r="H14" s="424" t="str">
        <f t="array" ref="H14">INDEX(Import!H:H,MATCH(C14,Name,0))</f>
        <v>DiT
abandon cart for online stores by predicting the reasons and displaying behavioral messages
tech is simple
What's the moat?
Need to scale quickly to capture market</v>
      </c>
      <c r="I14" s="423" t="str">
        <f t="array" ref="I14">CONCATENATE(INDEX(Import!J:J,MATCH(C14,Name,0)),CHAR(10),INDEX(Import!L:L,MATCH(C14,Name,0)))</f>
        <v>Arthur Ibanda
4.5</v>
      </c>
      <c r="J14" s="424" t="str">
        <f t="array" ref="J14">INDEX(Import!K:K,MATCH(C14,Name,0))</f>
        <v>+Credible team with credentials and experience in their field
+100k in MRR
+Have interest from Shopify to invest
+Clear painpoint</v>
      </c>
      <c r="K14" s="423" t="str">
        <f t="array" aca="1" ref="K14" ca="1">CONCATENATE(INDEX('Form Import'!D:D,MATCH(A14,'Form Import'!F:F,0)),CHAR(10),INDEX('Form Import'!V:V,MATCH(A14,'Form Import'!F:F,0)))</f>
        <v>Jason Yu
4</v>
      </c>
      <c r="L14" s="424" t="str">
        <f t="array" aca="1" ref="L14" ca="1">INDEX('Form Import'!W:W,MATCH(A14,'Form Import'!F:F,0))</f>
        <v xml:space="preserve">Appears to have a viable product and customers but there are a number of competitors in the space. </v>
      </c>
      <c r="M14" s="422" t="str">
        <f t="array" aca="1" ref="M14" ca="1">INDEX('Form Import'!G:G,MATCH($A14,'Form Import'!$F:$F,0))</f>
        <v>prevents cart abandonment in online stores / ecommerce / Pre-Seed</v>
      </c>
      <c r="N14" s="422" t="str">
        <f t="array" aca="1" ref="N14" ca="1">INDEX('Form Import'!L:L,MATCH($A14,'Form Import'!$F:$F,0))</f>
        <v>Developing an AI that can explain why issues are happening for the individual consumer during the shopping experience.</v>
      </c>
      <c r="O14" s="422" t="str">
        <f t="array" aca="1" ref="O14" ca="1">INDEX('Form Import'!O:O,MATCH($A14,'Form Import'!$F:$F,0))</f>
        <v xml:space="preserve">+100k MRR in revenue and 51-200 customers. </v>
      </c>
      <c r="P14" s="422" t="str">
        <f t="array" aca="1" ref="P14" ca="1">INDEX('Form Import'!S:S,MATCH($A14,'Form Import'!$F:$F,0))</f>
        <v>experienced founders with a 14 member team</v>
      </c>
      <c r="Q14" s="422"/>
      <c r="R14" s="422"/>
      <c r="S14" s="422" t="e">
        <f t="array" aca="1" ref="S14" ca="1">_xludf.TextJoin("; ",1,INDEX(Import!S:S,MATCH(C14,Name,0)))</f>
        <v>#NAME?</v>
      </c>
    </row>
    <row r="15" spans="1:19" ht="72">
      <c r="A15" s="425" t="s">
        <v>4575</v>
      </c>
      <c r="B15" s="426" t="str">
        <f t="array" aca="1" ref="B15" ca="1">CONCATENATE(TEXT(INDEX(query!A:A,MATCH(C15,query!B:B,0)),"M/DD/YYY"),CHAR(10),INDEX(query!E:E,MATCH(C15,query!B:B,0)))</f>
        <v>8/03/2022
Revisit</v>
      </c>
      <c r="C15" s="427" t="s">
        <v>297</v>
      </c>
      <c r="D15" s="428">
        <f t="array" ref="D15">INDEX(Import!D:D,MATCH(C15,Name,0))</f>
        <v>3.5</v>
      </c>
      <c r="E15" s="429">
        <f t="array" aca="1" ref="E15" ca="1">(INDEX(Import!I:I,MATCH(C15,Name,0))+INDEX(Import!L:L,MATCH(C15,Name,0))+INDEX('Form Import'!V:V,MATCH(A15,'Form Import'!F:F,0)))/3</f>
        <v>3.3333333333333335</v>
      </c>
      <c r="F15" s="430" t="str">
        <f t="array" ref="F15">INDEX(Import!E:E,MATCH(C15,Name,0))</f>
        <v>Bidmii is the easiest way to find, hire, and pay contractors to complete your home improvement projects.</v>
      </c>
      <c r="G15" s="431" t="str">
        <f t="array" ref="G15">CONCATENATE(INDEX(Import!G:G,MATCH(C15,Import!C:C,0)),CHAR(10),INDEX(Import!I:I,MATCH(C15,Name,0)))</f>
        <v>Mark Flynn
4</v>
      </c>
      <c r="H15" s="432" t="str">
        <f t="array" ref="H15">INDEX(Import!H:H,MATCH(C15,Name,0))</f>
        <v>The technology may not be very innovative but it solves a real problem and all growth has been organic.  They are looking to come into the US market, which is where EFL could help.  Given the founder's strength and the growth potential, I think they are worth interviewing.  During the interview, I think it will be important to dive into the technology moat and competitive advantages.</v>
      </c>
      <c r="I15" s="431" t="str">
        <f t="array" ref="I15">CONCATENATE(INDEX(Import!J:J,MATCH(C15,Name,0)),CHAR(10),INDEX(Import!L:L,MATCH(C15,Name,0)))</f>
        <v>Boyang Yu
3</v>
      </c>
      <c r="J15" s="432" t="str">
        <f t="array" ref="J15">INDEX(Import!K:K,MATCH(C15,Name,0))</f>
        <v>They are eager to enter the US market.</v>
      </c>
      <c r="K15" s="431" t="str">
        <f t="array" aca="1" ref="K15" ca="1">CONCATENATE(INDEX('Form Import'!D:D,MATCH(A15,'Form Import'!F:F,0)),CHAR(10),INDEX('Form Import'!V:V,MATCH(A15,'Form Import'!F:F,0)))</f>
        <v>Jason Yu
3</v>
      </c>
      <c r="L15" s="432" t="str">
        <f t="array" aca="1" ref="L15" ca="1">INDEX('Form Import'!W:W,MATCH(A15,'Form Import'!F:F,0))</f>
        <v>Have a viable product with a limited customer base.
"We want to gain a deeper understanding of the American marketplace and identify gaps in our current structure that will allow for a smooth transition south."</v>
      </c>
      <c r="M15" s="430" t="str">
        <f t="array" aca="1" ref="M15" ca="1">INDEX('Form Import'!G:G,MATCH($A15,'Form Import'!$F:$F,0))</f>
        <v>Hire contractors for home improvement / Construction / Pre-Seed</v>
      </c>
      <c r="N15" s="430" t="str">
        <f t="array" aca="1" ref="N15" ca="1">INDEX('Form Import'!L:L,MATCH($A15,'Form Import'!$F:$F,0))</f>
        <v>"We use proximity based logic and a number of other factors to effectively match contractors and homeowners and provide project curation."</v>
      </c>
      <c r="O15" s="430" t="str">
        <f t="array" aca="1" ref="O15" ca="1">INDEX('Form Import'!O:O,MATCH($A15,'Form Import'!$F:$F,0))</f>
        <v xml:space="preserve">501+ customers </v>
      </c>
      <c r="P15" s="430" t="str">
        <f t="array" aca="1" ref="P15" ca="1">INDEX('Form Import'!S:S,MATCH($A15,'Form Import'!$F:$F,0))</f>
        <v>Small team with product development experience</v>
      </c>
      <c r="Q15" s="430"/>
      <c r="R15" s="430"/>
      <c r="S15" s="430" t="e">
        <f t="array" aca="1" ref="S15" ca="1">_xludf.TextJoin("; ",1,INDEX(Import!S:S,MATCH(C15,Name,0)))</f>
        <v>#NAME?</v>
      </c>
    </row>
    <row r="16" spans="1:19" ht="72">
      <c r="A16" s="418" t="s">
        <v>13136</v>
      </c>
      <c r="B16" s="419" t="str">
        <f t="array" aca="1" ref="B16" ca="1">CONCATENATE(TEXT(INDEX(query!A:A,MATCH(C16,query!B:B,0)),"M/DD/YYY"),CHAR(10),INDEX(query!E:E,MATCH(C16,query!B:B,0)))</f>
        <v>8/23/2022
Invite</v>
      </c>
      <c r="C16" s="85" t="s">
        <v>153</v>
      </c>
      <c r="D16" s="420">
        <f t="array" ref="D16">INDEX(Import!D:D,MATCH(C16,Name,0))</f>
        <v>3.63</v>
      </c>
      <c r="E16" s="421">
        <f t="array" aca="1" ref="E16" ca="1">(INDEX(Import!I:I,MATCH(C16,Name,0))+INDEX(Import!L:L,MATCH(C16,Name,0))+INDEX('Form Import'!V:V,MATCH(A16,'Form Import'!F:F,0)))/3</f>
        <v>3.75</v>
      </c>
      <c r="F16" s="422" t="str">
        <f t="array" ref="F16">INDEX(Import!E:E,MATCH(C16,Name,0))</f>
        <v>BintanGO offers financial solutions, productivity and monetization tools for creators to help them manage and grow their business. We collect creator engagement data, real job data to provide better options for brands and financing to creators based on our proprietary CreatorScore risk assessment criteria.</v>
      </c>
      <c r="G16" s="423" t="str">
        <f t="array" ref="G16">CONCATENATE(INDEX(Import!G:G,MATCH(C16,Import!C:C,0)),CHAR(10),INDEX(Import!I:I,MATCH(C16,Name,0)))</f>
        <v>Beth Xie
4.25</v>
      </c>
      <c r="H16" s="424" t="str">
        <f t="array" ref="H16">INDEX(Import!H:H,MATCH(C16,Name,0))</f>
        <v>- Creative business model: credit, lending, payment, billing, connecting brands with influencers. 
- Technology also creative in the  method of rating the creator's fit with brand. 
- Can definitely expand business model beyond Asia. 
- Should interview.</v>
      </c>
      <c r="I16" s="423" t="str">
        <f t="array" ref="I16">CONCATENATE(INDEX(Import!J:J,MATCH(C16,Name,0)),CHAR(10),INDEX(Import!L:L,MATCH(C16,Name,0)))</f>
        <v>Frank Vallese
3</v>
      </c>
      <c r="J16" s="424" t="str">
        <f t="array" ref="J16">INDEX(Import!K:K,MATCH(C16,Name,0))</f>
        <v>Looks like a solid team with some early revenue. Worth a deeper look.</v>
      </c>
      <c r="K16" s="423" t="str">
        <f t="array" aca="1" ref="K16" ca="1">CONCATENATE(INDEX('Form Import'!D:D,MATCH(A16,'Form Import'!F:F,0)),CHAR(10),INDEX('Form Import'!V:V,MATCH(A16,'Form Import'!F:F,0)))</f>
        <v>Nick Schmandt
4</v>
      </c>
      <c r="L16" s="424" t="str">
        <f t="array" aca="1" ref="L16" ca="1">INDEX('Form Import'!W:W,MATCH(A16,'Form Import'!F:F,0))</f>
        <v>They are already generating pretty strong revenue and have raised an impressive amount of money and have good revenue. My only issue is it's really not clear why they are operating in Indonesia, and I think they are downplaying competition from regular social media, where creators can market content as well for less overhead. But overall I think they have a workable product with at least some size of addressable market.</v>
      </c>
      <c r="M16" s="422" t="str">
        <f t="array" aca="1" ref="M16" ca="1">INDEX('Form Import'!G:G,MATCH($A16,'Form Import'!$F:$F,0))</f>
        <v>This is an Indoneasean creator space. They seem fairly advanced, their platform is running and generating revenue.</v>
      </c>
      <c r="N16" s="422" t="str">
        <f t="array" aca="1" ref="N16" ca="1">INDEX('Form Import'!L:L,MATCH($A16,'Form Import'!$F:$F,0))</f>
        <v>I don't think what they are building is revolutionary, but getting it to scale will be the challenging part. It seems to be functioning for the level they have so far.</v>
      </c>
      <c r="O16" s="422" t="str">
        <f t="array" aca="1" ref="O16" ca="1">INDEX('Form Import'!O:O,MATCH($A16,'Form Import'!$F:$F,0))</f>
        <v>It's not clear to me why they chose Indonesia as their target, and why other creator spaces weren't in that space to begin with. I think they will face competition from other, larger social media platforms that can also curate creator content.</v>
      </c>
      <c r="P16" s="422" t="str">
        <f t="array" aca="1" ref="P16" ca="1">INDEX('Form Import'!S:S,MATCH($A16,'Form Import'!$F:$F,0))</f>
        <v>Team seems strong. Lots of prior startup experience, though no clear connection to Indonesia, which is odd.</v>
      </c>
      <c r="Q16" s="422"/>
      <c r="R16" s="422"/>
      <c r="S16" s="422" t="e">
        <f t="array" aca="1" ref="S16" ca="1">_xludf.TextJoin("; ",1,INDEX(Import!S:S,MATCH(C16,Name,0)))</f>
        <v>#NAME?</v>
      </c>
    </row>
    <row r="17" spans="1:19" ht="48">
      <c r="A17" s="425" t="s">
        <v>9575</v>
      </c>
      <c r="B17" s="426" t="str">
        <f t="array" aca="1" ref="B17" ca="1">CONCATENATE(TEXT(INDEX(query!A:A,MATCH(C17,query!B:B,0)),"M/DD/YYY"),CHAR(10),INDEX(query!E:E,MATCH(C17,query!B:B,0)))</f>
        <v>8/09/2022
Revisit/ Cluster</v>
      </c>
      <c r="C17" s="427" t="s">
        <v>74</v>
      </c>
      <c r="D17" s="428">
        <f t="array" ref="D17">INDEX(Import!D:D,MATCH(C17,Name,0))</f>
        <v>3.25</v>
      </c>
      <c r="E17" s="429">
        <f t="array" aca="1" ref="E17" ca="1">(INDEX(Import!I:I,MATCH(C17,Name,0))+INDEX(Import!L:L,MATCH(C17,Name,0))+INDEX('Form Import'!V:V,MATCH(A17,'Form Import'!F:F,0)))/3</f>
        <v>3.5</v>
      </c>
      <c r="F17" s="430" t="str">
        <f t="array" ref="F17">INDEX(Import!E:E,MATCH(C17,Name,0))</f>
        <v>Biodesign Innovation Labs is a medical device and healthcare technology startup developing affordable and innovative critical care solutions to reduce mortality of patients in the emergency care, post operative care, ICU and transport ventilation.</v>
      </c>
      <c r="G17" s="431" t="str">
        <f t="array" ref="G17">CONCATENATE(INDEX(Import!G:G,MATCH(C17,Import!C:C,0)),CHAR(10),INDEX(Import!I:I,MATCH(C17,Name,0)))</f>
        <v>Chris Mosher
3.5</v>
      </c>
      <c r="H17" s="432" t="str">
        <f t="array" ref="H17">INDEX(Import!H:H,MATCH(C17,Name,0))</f>
        <v>Deep Tech track. Pneumatic ventilator with automated respiratory assist. I'm not sure what the tech innovation is, but it's already commercialized and being used in hospitals after only grant funding. Referred by Amazon CMO? Not sure who Maulik Mazumdar is.</v>
      </c>
      <c r="I17" s="431" t="str">
        <f t="array" ref="I17">CONCATENATE(INDEX(Import!J:J,MATCH(C17,Name,0)),CHAR(10),INDEX(Import!L:L,MATCH(C17,Name,0)))</f>
        <v>Tugba Oncu
3</v>
      </c>
      <c r="J17" s="432">
        <f t="array" ref="J17">INDEX(Import!K:K,MATCH(C17,Name,0))</f>
        <v>0</v>
      </c>
      <c r="K17" s="431" t="str">
        <f t="array" aca="1" ref="K17" ca="1">CONCATENATE(INDEX('Form Import'!D:D,MATCH(A17,'Form Import'!F:F,0)),CHAR(10),INDEX('Form Import'!V:V,MATCH(A17,'Form Import'!F:F,0)))</f>
        <v>Jason Yu
4</v>
      </c>
      <c r="L17" s="432" t="str">
        <f t="array" aca="1" ref="L17" ca="1">INDEX('Form Import'!W:W,MATCH(A17,'Form Import'!F:F,0))</f>
        <v>Has a viable product. Current challenges: market conditions, product market fit, funding, cashflows etc.</v>
      </c>
      <c r="M17" s="430" t="str">
        <f t="array" aca="1" ref="M17" ca="1">INDEX('Form Import'!G:G,MATCH($A17,'Form Import'!$F:$F,0))</f>
        <v>Pneumatic ventilation system / Healthcare / Grants</v>
      </c>
      <c r="N17" s="430" t="str">
        <f t="array" aca="1" ref="N17" ca="1">INDEX('Form Import'!L:L,MATCH($A17,'Form Import'!$F:$F,0))</f>
        <v>The device is tested, certified and commercialized</v>
      </c>
      <c r="O17" s="430" t="str">
        <f t="array" aca="1" ref="O17" ca="1">INDEX('Form Import'!O:O,MATCH($A17,'Form Import'!$F:$F,0))</f>
        <v>Total Addressable Market (TAM) | (~US$ 26.67 Bn) - USA.||Serviceable Available Market
(SAM) - (US$ 8.67 Billion)||Serviceable Obtainable Market (SOM) i.e. within reach immediately (Massachusetts &amp; California) - |(US$ 4.31 Billion USD )|</v>
      </c>
      <c r="P17" s="430" t="str">
        <f t="array" aca="1" ref="P17" ca="1">INDEX('Form Import'!S:S,MATCH($A17,'Form Import'!$F:$F,0))</f>
        <v>Experienced founder that has been leading a team for the last 4 years.</v>
      </c>
      <c r="Q17" s="430"/>
      <c r="R17" s="430"/>
      <c r="S17" s="430" t="e">
        <f t="array" aca="1" ref="S17" ca="1">_xludf.TextJoin("; ",1,INDEX(Import!S:S,MATCH(C17,Name,0)))</f>
        <v>#NAME?</v>
      </c>
    </row>
    <row r="18" spans="1:19" ht="48">
      <c r="A18" s="418" t="s">
        <v>13137</v>
      </c>
      <c r="B18" s="419" t="str">
        <f t="array" aca="1" ref="B18" ca="1">CONCATENATE(TEXT(INDEX(query!A:A,MATCH(C18,query!B:B,0)),"M/DD/YYY"),CHAR(10),INDEX(query!E:E,MATCH(C18,query!B:B,0)))</f>
        <v>8/16/2022
Invite</v>
      </c>
      <c r="C18" s="85" t="s">
        <v>154</v>
      </c>
      <c r="D18" s="420">
        <f t="array" ref="D18">INDEX(Import!D:D,MATCH(C18,Name,0))</f>
        <v>4</v>
      </c>
      <c r="E18" s="421">
        <f t="array" aca="1" ref="E18" ca="1">(INDEX(Import!I:I,MATCH(C18,Name,0))+INDEX(Import!L:L,MATCH(C18,Name,0))+INDEX('Form Import'!V:V,MATCH(A18,'Form Import'!F:F,0)))/3</f>
        <v>3.6666666666666665</v>
      </c>
      <c r="F18" s="422" t="str">
        <f t="array" ref="F18">INDEX(Import!E:E,MATCH(C18,Name,0))</f>
        <v>Blip Labs Technologies, Inc is a fintech bill pay company that utilizes machine learning and data analytics to provide fintech companies and financial institutions with the tools and insights needed to improve the financial health of their end-users.</v>
      </c>
      <c r="G18" s="423" t="str">
        <f t="array" ref="G18">CONCATENATE(INDEX(Import!G:G,MATCH(C18,Import!C:C,0)),CHAR(10),INDEX(Import!I:I,MATCH(C18,Name,0)))</f>
        <v>Beth Xie
4</v>
      </c>
      <c r="H18" s="424" t="str">
        <f t="array" ref="H18">INDEX(Import!H:H,MATCH(C18,Name,0))</f>
        <v>- Impressive list of investors. 
- NYU graduate
- fintech product that decreases friction in bill payment and increase consumer financial wellness.</v>
      </c>
      <c r="I18" s="423" t="str">
        <f t="array" ref="I18">CONCATENATE(INDEX(Import!J:J,MATCH(C18,Name,0)),CHAR(10),INDEX(Import!L:L,MATCH(C18,Name,0)))</f>
        <v>Matt Myers
4</v>
      </c>
      <c r="J18" s="424" t="str">
        <f t="array" ref="J18">INDEX(Import!K:K,MATCH(C18,Name,0))</f>
        <v>Strong momentum and strong need. NYU Stern alum. Scalable: EFL fit.</v>
      </c>
      <c r="K18" s="423" t="str">
        <f t="array" aca="1" ref="K18" ca="1">CONCATENATE(INDEX('Form Import'!D:D,MATCH(A18,'Form Import'!F:F,0)),CHAR(10),INDEX('Form Import'!V:V,MATCH(A18,'Form Import'!F:F,0)))</f>
        <v>Nick Schmandt
3</v>
      </c>
      <c r="L18" s="424" t="str">
        <f t="array" aca="1" ref="L18" ca="1">INDEX('Form Import'!W:W,MATCH(A18,'Form Import'!F:F,0))</f>
        <v>Again this would be stronger if the team was more experienced and if the value to the end user was more clear. Right now it seems that it still needs some work to truly identify a large addressable market.</v>
      </c>
      <c r="M18" s="422" t="str">
        <f t="array" aca="1" ref="M18" ca="1">INDEX('Form Import'!G:G,MATCH($A18,'Form Import'!$F:$F,0))</f>
        <v>It is a completed product that is in early testing with customers. It's an interesting idea, but the value to the user is still not clear to me. They seem to get a nice layout of their expenses, and possibly some ads relevant to that, but I don't see any value beyond that. If Blip intends to help its users refinance through lenders competing to the ones that the access the data to, that is going to be an issue in the future.</v>
      </c>
      <c r="N18" s="422" t="str">
        <f t="array" aca="1" ref="N18" ca="1">INDEX('Form Import'!L:L,MATCH($A18,'Form Import'!$F:$F,0))</f>
        <v>It seems to work fine, but again the exact value to the end user isn't clear to me.</v>
      </c>
      <c r="O18" s="422" t="str">
        <f t="array" aca="1" ref="O18" ca="1">INDEX('Form Import'!O:O,MATCH($A18,'Form Import'!$F:$F,0))</f>
        <v>Potentially large, but it depends on what they actually do with the platform. If they could, for example, allow different institutions to bid on debt that the users had, that would make sense, but at this point it seems to just be an infographic</v>
      </c>
      <c r="P18" s="422" t="str">
        <f t="array" aca="1" ref="P18" ca="1">INDEX('Form Import'!S:S,MATCH($A18,'Form Import'!$F:$F,0))</f>
        <v>Unfortunately the team experience is not a strong point.</v>
      </c>
      <c r="Q18" s="422"/>
      <c r="R18" s="422"/>
      <c r="S18" s="422" t="e">
        <f t="array" aca="1" ref="S18" ca="1">_xludf.TextJoin("; ",1,INDEX(Import!S:S,MATCH(C18,Name,0)))</f>
        <v>#NAME?</v>
      </c>
    </row>
    <row r="19" spans="1:19" ht="84">
      <c r="A19" s="425" t="s">
        <v>4217</v>
      </c>
      <c r="B19" s="426" t="str">
        <f t="array" aca="1" ref="B19" ca="1">CONCATENATE(TEXT(INDEX(query!A:A,MATCH(C19,query!B:B,0)),"M/DD/YYY"),CHAR(10),INDEX(query!E:E,MATCH(C19,query!B:B,0)))</f>
        <v>8/23/2022
Invite Next Year</v>
      </c>
      <c r="C19" s="427" t="s">
        <v>4208</v>
      </c>
      <c r="D19" s="428">
        <f t="array" ref="D19">INDEX(Import!D:D,MATCH(C19,Name,0))</f>
        <v>3.75</v>
      </c>
      <c r="E19" s="429">
        <f t="array" aca="1" ref="E19" ca="1">(INDEX(Import!I:I,MATCH(C19,Name,0))+INDEX(Import!L:L,MATCH(C19,Name,0))+INDEX('Form Import'!V:V,MATCH(A19,'Form Import'!F:F,0)))/3</f>
        <v>3.8333333333333335</v>
      </c>
      <c r="F19" s="430" t="str">
        <f t="array" ref="F19">INDEX(Import!E:E,MATCH(C19,Name,0))</f>
        <v>Carteav provides low speed autonomous vehicles solution for managed areas such as resorts, retirement villages, campuses, airports and more. In addition it aims at the growing trend of car-free zone</v>
      </c>
      <c r="G19" s="431" t="str">
        <f t="array" ref="G19">CONCATENATE(INDEX(Import!G:G,MATCH(C19,Import!C:C,0)),CHAR(10),INDEX(Import!I:I,MATCH(C19,Name,0)))</f>
        <v>Beth Xie
3.5</v>
      </c>
      <c r="H19" s="432" t="str">
        <f t="array" ref="H19">INDEX(Import!H:H,MATCH(C19,Name,0))</f>
        <v>- Focused on the tourism sector, starting with autonomous golf carts. Not sure if this is the area with the most urgent demand. 
- Large successful fundraises and very successful founders. 
- Technology itself not innovative, and there are lots of competitors such as Faction and Cabi-bus. 
- Mention having potential customers but did not give any details.  
- On the fence about this application.</v>
      </c>
      <c r="I19" s="431" t="str">
        <f t="array" ref="I19">CONCATENATE(INDEX(Import!J:J,MATCH(C19,Name,0)),CHAR(10),INDEX(Import!L:L,MATCH(C19,Name,0)))</f>
        <v>Yin He
4</v>
      </c>
      <c r="J19" s="432" t="str">
        <f t="array" ref="J19">INDEX(Import!K:K,MATCH(C19,Name,0))</f>
        <v>I like their unique market approach to start with managed areas (resorts, retirement homes) which should allow them to GTM faster than D2C</v>
      </c>
      <c r="K19" s="431" t="str">
        <f t="array" aca="1" ref="K19" ca="1">CONCATENATE(INDEX('Form Import'!D:D,MATCH(A19,'Form Import'!F:F,0)),CHAR(10),INDEX('Form Import'!V:V,MATCH(A19,'Form Import'!F:F,0)))</f>
        <v>Nick Schmandt
4</v>
      </c>
      <c r="L19" s="432" t="str">
        <f t="array" aca="1" ref="L19" ca="1">INDEX('Form Import'!W:W,MATCH(A19,'Form Import'!F:F,0))</f>
        <v>Product is solid and can likely be built completely from open source technology. Customers remain the major pain point and it is not clear that they have any as of yet.</v>
      </c>
      <c r="M19" s="430" t="str">
        <f t="array" aca="1" ref="M19" ca="1">INDEX('Form Import'!G:G,MATCH($A19,'Form Import'!$F:$F,0))</f>
        <v>Working product but no customers</v>
      </c>
      <c r="N19" s="430" t="str">
        <f t="array" aca="1" ref="N19" ca="1">INDEX('Form Import'!L:L,MATCH($A19,'Form Import'!$F:$F,0))</f>
        <v>This seems like a safe area to explore, as it is simpler than the normal, more challenging autonomous driving questions.</v>
      </c>
      <c r="O19" s="430" t="str">
        <f t="array" aca="1" ref="O19" ca="1">INDEX('Form Import'!O:O,MATCH($A19,'Form Import'!$F:$F,0))</f>
        <v>It's going to be hard to find starting customers, and prove value of the platform.</v>
      </c>
      <c r="P19" s="430" t="str">
        <f t="array" aca="1" ref="P19" ca="1">INDEX('Form Import'!S:S,MATCH($A19,'Form Import'!$F:$F,0))</f>
        <v>Team is well experienced, though not directly in this area.</v>
      </c>
      <c r="Q19" s="430"/>
      <c r="R19" s="430"/>
      <c r="S19" s="430" t="e">
        <f t="array" aca="1" ref="S19" ca="1">_xludf.TextJoin("; ",1,INDEX(Import!S:S,MATCH(C19,Name,0)))</f>
        <v>#NAME?</v>
      </c>
    </row>
    <row r="20" spans="1:19" ht="84">
      <c r="A20" s="418" t="s">
        <v>3775</v>
      </c>
      <c r="B20" s="419" t="str">
        <f t="array" aca="1" ref="B20" ca="1">CONCATENATE(TEXT(INDEX(query!A:A,MATCH(C20,query!B:B,0)),"M/DD/YYY"),CHAR(10),INDEX(query!E:E,MATCH(C20,query!B:B,0)))</f>
        <v>8/03/2022
Revisit/ Cluster</v>
      </c>
      <c r="C20" s="85" t="s">
        <v>190</v>
      </c>
      <c r="D20" s="420">
        <f t="array" ref="D20">INDEX(Import!D:D,MATCH(C20,Name,0))</f>
        <v>4</v>
      </c>
      <c r="E20" s="421">
        <f t="array" aca="1" ref="E20" ca="1">(INDEX(Import!I:I,MATCH(C20,Name,0))+INDEX(Import!L:L,MATCH(C20,Name,0))+INDEX('Form Import'!V:V,MATCH(A20,'Form Import'!F:F,0)))/3</f>
        <v>3.6666666666666665</v>
      </c>
      <c r="F20" s="422" t="str">
        <f t="array" ref="F20">INDEX(Import!E:E,MATCH(C20,Name,0))</f>
        <v>Chiefy is a SaaS operating system for surgery that helps surgeons, anesthesiologists, nurses and other stakeholders bake best practices seamlessly into daily operations - improving team productivity, perioperative efficiency and surgical quality.</v>
      </c>
      <c r="G20" s="423" t="str">
        <f t="array" ref="G20">CONCATENATE(INDEX(Import!G:G,MATCH(C20,Import!C:C,0)),CHAR(10),INDEX(Import!I:I,MATCH(C20,Name,0)))</f>
        <v>Mark Flynn
4</v>
      </c>
      <c r="H20" s="424" t="str">
        <f t="array" ref="H20">INDEX(Import!H:H,MATCH(C20,Name,0))</f>
        <v>SaaS operating system for surgery.  Team has complementary skill sets (sales, software, surgery).  I think selling and implementing this software in hospitals will be very difficult, making scaling potentially slow and costly.  They are early (no pilots yet, expected this year) and a use case would be helpful to understand how much front-line users would really benefit from it.  Given three NYU Neurosurgeons are advisors, we should probably interview.</v>
      </c>
      <c r="I20" s="423" t="str">
        <f t="array" ref="I20">CONCATENATE(INDEX(Import!J:J,MATCH(C20,Name,0)),CHAR(10),INDEX(Import!L:L,MATCH(C20,Name,0)))</f>
        <v>Boyang Yu
4</v>
      </c>
      <c r="J20" s="424" t="str">
        <f t="array" ref="J20">INDEX(Import!K:K,MATCH(C20,Name,0))</f>
        <v>The start-up has strong connection with NYU Langone which might worth discussing in interview</v>
      </c>
      <c r="K20" s="423" t="str">
        <f t="array" aca="1" ref="K20" ca="1">CONCATENATE(INDEX('Form Import'!D:D,MATCH(A20,'Form Import'!F:F,0)),CHAR(10),INDEX('Form Import'!V:V,MATCH(A20,'Form Import'!F:F,0)))</f>
        <v>Jason Yu
3</v>
      </c>
      <c r="L20" s="424" t="str">
        <f t="array" aca="1" ref="L20" ca="1">INDEX('Form Import'!W:W,MATCH(A20,'Form Import'!F:F,0))</f>
        <v>No current customer base. Unclear what the demand for this software will be.</v>
      </c>
      <c r="M20" s="422" t="str">
        <f t="array" aca="1" ref="M20" ca="1">INDEX('Form Import'!G:G,MATCH($A20,'Form Import'!$F:$F,0))</f>
        <v>SaaS operating system for surgery / Healthcare / Pre-seed</v>
      </c>
      <c r="N20" s="422" t="str">
        <f t="array" aca="1" ref="N20" ca="1">INDEX('Form Import'!L:L,MATCH($A20,'Form Import'!$F:$F,0))</f>
        <v>Essentially a communication and planning tool for surgeons and procedure specific planning.</v>
      </c>
      <c r="O20" s="422" t="str">
        <f t="array" aca="1" ref="O20" ca="1">INDEX('Form Import'!O:O,MATCH($A20,'Form Import'!$F:$F,0))</f>
        <v>B2B2C model and no current customers</v>
      </c>
      <c r="P20" s="422">
        <f t="array" aca="1" ref="P20" ca="1">INDEX('Form Import'!S:S,MATCH($A20,'Form Import'!$F:$F,0))</f>
        <v>0</v>
      </c>
      <c r="Q20" s="422"/>
      <c r="R20" s="422"/>
      <c r="S20" s="422" t="e">
        <f t="array" aca="1" ref="S20" ca="1">_xludf.TextJoin("; ",1,INDEX(Import!S:S,MATCH(C20,Name,0)))</f>
        <v>#NAME?</v>
      </c>
    </row>
    <row r="21" spans="1:19" ht="60">
      <c r="A21" s="425" t="s">
        <v>13138</v>
      </c>
      <c r="B21" s="426" t="str">
        <f t="array" aca="1" ref="B21" ca="1">CONCATENATE(TEXT(INDEX(query!A:A,MATCH(C21,query!B:B,0)),"M/DD/YYY"),CHAR(10),INDEX(query!E:E,MATCH(C21,query!B:B,0)))</f>
        <v>8/03/2022
Invite</v>
      </c>
      <c r="C21" s="427" t="s">
        <v>372</v>
      </c>
      <c r="D21" s="428">
        <f t="array" ref="D21">INDEX(Import!D:D,MATCH(C21,Name,0))</f>
        <v>4</v>
      </c>
      <c r="E21" s="429">
        <f t="array" aca="1" ref="E21" ca="1">(INDEX(Import!I:I,MATCH(C21,Name,0))+INDEX(Import!L:L,MATCH(C21,Name,0))+INDEX('Form Import'!V:V,MATCH(A21,'Form Import'!F:F,0)))/3</f>
        <v>3</v>
      </c>
      <c r="F21" s="430" t="str">
        <f t="array" ref="F21">INDEX(Import!E:E,MATCH(C21,Name,0))</f>
        <v>CoFLow Jet, LLC    develops electric vertical/short  takeoff/landing (V/STOL) aircraft for urban transportation, short haul cargo, and thin haul passenger airliners using our patented  CoFlow Jet  technology. Our unique  long range, low noise, and high safety vehicles provide  superior competitive  advantages to achieve 0 emission transportation.</v>
      </c>
      <c r="G21" s="431" t="str">
        <f t="array" ref="G21">CONCATENATE(INDEX(Import!G:G,MATCH(C21,Import!C:C,0)),CHAR(10),INDEX(Import!I:I,MATCH(C21,Name,0)))</f>
        <v>Khoa Ma
4</v>
      </c>
      <c r="H21" s="432" t="str">
        <f t="array" ref="H21">INDEX(Import!H:H,MATCH(C21,Name,0))</f>
        <v>Early stage second year apply.</v>
      </c>
      <c r="I21" s="431" t="str">
        <f t="array" ref="I21">CONCATENATE(INDEX(Import!J:J,MATCH(C21,Name,0)),CHAR(10),INDEX(Import!L:L,MATCH(C21,Name,0)))</f>
        <v>Yagnik Mehta
4</v>
      </c>
      <c r="J21" s="432" t="str">
        <f t="array" ref="J21">INDEX(Import!K:K,MATCH(C21,Name,0))</f>
        <v>A good founding team, with grants received from NSF, DARPA, NASA, AFOSR, ARO, AFRL, and CIRA. 
They have 12 patents filed Globally (US, Europe, and China), and many are pending.</v>
      </c>
      <c r="K21" s="431" t="str">
        <f t="array" aca="1" ref="K21" ca="1">CONCATENATE(INDEX('Form Import'!D:D,MATCH(A21,'Form Import'!F:F,0)),CHAR(10),INDEX('Form Import'!V:V,MATCH(A21,'Form Import'!F:F,0)))</f>
        <v>Nick Schmandt
1</v>
      </c>
      <c r="L21" s="432" t="str">
        <f t="array" aca="1" ref="L21" ca="1">INDEX('Form Import'!W:W,MATCH(A21,'Form Import'!F:F,0))</f>
        <v>This is a cool idea and it's great they have government funding, but they are not going to get anywhere near a working product any time soon.</v>
      </c>
      <c r="M21" s="430" t="str">
        <f t="array" aca="1" ref="M21" ca="1">INDEX('Form Import'!G:G,MATCH($A21,'Form Import'!$F:$F,0))</f>
        <v>Very early stage</v>
      </c>
      <c r="N21" s="430" t="str">
        <f t="array" aca="1" ref="N21" ca="1">INDEX('Form Import'!L:L,MATCH($A21,'Form Import'!$F:$F,0))</f>
        <v>Great idea, but their timelines are completely unrealistic given where they are. I did not see evidence for anything beyond wind tunnel testing, which is meaningless.</v>
      </c>
      <c r="O21" s="430" t="str">
        <f t="array" aca="1" ref="O21" ca="1">INDEX('Form Import'!O:O,MATCH($A21,'Form Import'!$F:$F,0))</f>
        <v>This is entirely dependent on what the FAA will approve. They do not seem to have a plan for that yet.</v>
      </c>
      <c r="P21" s="430" t="str">
        <f t="array" aca="1" ref="P21" ca="1">INDEX('Form Import'!S:S,MATCH($A21,'Form Import'!$F:$F,0))</f>
        <v>While these look like great scientists, I seriously doubt they will get anywhere close to workable product in our lifetimes.</v>
      </c>
      <c r="Q21" s="430"/>
      <c r="R21" s="430"/>
      <c r="S21" s="430" t="e">
        <f t="array" aca="1" ref="S21" ca="1">_xludf.TextJoin("; ",1,INDEX(Import!S:S,MATCH(C21,Name,0)))</f>
        <v>#NAME?</v>
      </c>
    </row>
    <row r="22" spans="1:19" ht="72">
      <c r="A22" s="418" t="s">
        <v>3791</v>
      </c>
      <c r="B22" s="419" t="str">
        <f t="array" aca="1" ref="B22" ca="1">CONCATENATE(TEXT(INDEX(query!A:A,MATCH(C22,query!B:B,0)),"M/DD/YYY"),CHAR(10),INDEX(query!E:E,MATCH(C22,query!B:B,0)))</f>
        <v>8/18/2022
Revisit/ Cluster</v>
      </c>
      <c r="C22" s="85" t="s">
        <v>196</v>
      </c>
      <c r="D22" s="420">
        <f t="array" ref="D22">INDEX(Import!D:D,MATCH(C22,Name,0))</f>
        <v>4</v>
      </c>
      <c r="E22" s="421">
        <f t="array" aca="1" ref="E22" ca="1">(INDEX(Import!I:I,MATCH(C22,Name,0))+INDEX(Import!L:L,MATCH(C22,Name,0))+INDEX('Form Import'!V:V,MATCH(A22,'Form Import'!F:F,0)))/3</f>
        <v>4</v>
      </c>
      <c r="F22" s="422" t="str">
        <f t="array" ref="F22">INDEX(Import!E:E,MATCH(C22,Name,0))</f>
        <v>Coinrule is a platform that allows users to automate trades on their favorite cryptocurrency exchanges with no coding required. The platform was set up to help the regular individual compete with the vast number of bots that hedge funds and investment banks operate within the market.</v>
      </c>
      <c r="G22" s="423" t="str">
        <f t="array" ref="G22">CONCATENATE(INDEX(Import!G:G,MATCH(C22,Import!C:C,0)),CHAR(10),INDEX(Import!I:I,MATCH(C22,Name,0)))</f>
        <v>Beth Xie
4</v>
      </c>
      <c r="H22" s="424" t="str">
        <f t="array" ref="H22">INDEX(Import!H:H,MATCH(C22,Name,0))</f>
        <v>- Decent traction and revenue. 
- Cryptocurrency is currently in the midst of a bear market, there are fewer people looking to trade and get involved in the crypto sector. 
- Not technical moat at least for now.  Moat is in network effects.</v>
      </c>
      <c r="I22" s="423" t="str">
        <f t="array" ref="I22">CONCATENATE(INDEX(Import!J:J,MATCH(C22,Name,0)),CHAR(10),INDEX(Import!L:L,MATCH(C22,Name,0)))</f>
        <v>Yin He
4</v>
      </c>
      <c r="J22" s="424">
        <f t="array" ref="J22">INDEX(Import!K:K,MATCH(C22,Name,0))</f>
        <v>0</v>
      </c>
      <c r="K22" s="423" t="str">
        <f t="array" aca="1" ref="K22" ca="1">CONCATENATE(INDEX('Form Import'!D:D,MATCH(A22,'Form Import'!F:F,0)),CHAR(10),INDEX('Form Import'!V:V,MATCH(A22,'Form Import'!F:F,0)))</f>
        <v>Nick Schmandt
4</v>
      </c>
      <c r="L22" s="424" t="str">
        <f t="array" aca="1" ref="L22" ca="1">INDEX('Form Import'!W:W,MATCH(A22,'Form Import'!F:F,0))</f>
        <v>I worked on something similar to this, helping people be able to code algos into financial markets for equities. I think there is definitely the potential for people to use it, but it's unfortunate they limited themselves to crypto, which is likely going to be a serious liability over the next few years. They need to expand to traditional assets as soon as possible, but the regulatory barriers are much higher there.</v>
      </c>
      <c r="M22" s="422" t="str">
        <f t="array" aca="1" ref="M22" ca="1">INDEX('Form Import'!G:G,MATCH($A22,'Form Import'!$F:$F,0))</f>
        <v>Working tech</v>
      </c>
      <c r="N22" s="422" t="str">
        <f t="array" aca="1" ref="N22" ca="1">INDEX('Form Import'!L:L,MATCH($A22,'Form Import'!$F:$F,0))</f>
        <v>It's a good idea, not a complicated product to build.</v>
      </c>
      <c r="O22" s="422" t="str">
        <f t="array" aca="1" ref="O22" ca="1">INDEX('Form Import'!O:O,MATCH($A22,'Form Import'!$F:$F,0))</f>
        <v>People are definitely using it and the potential to expand into traditional assets is very alluring.</v>
      </c>
      <c r="P22" s="422" t="str">
        <f t="array" aca="1" ref="P22" ca="1">INDEX('Form Import'!S:S,MATCH($A22,'Form Import'!$F:$F,0))</f>
        <v>Team is good, no major issues</v>
      </c>
      <c r="Q22" s="422"/>
      <c r="R22" s="422"/>
      <c r="S22" s="422" t="e">
        <f t="array" aca="1" ref="S22" ca="1">_xludf.TextJoin("; ",1,INDEX(Import!S:S,MATCH(C22,Name,0)))</f>
        <v>#NAME?</v>
      </c>
    </row>
    <row r="23" spans="1:19" ht="48">
      <c r="A23" s="425" t="s">
        <v>1098</v>
      </c>
      <c r="B23" s="426" t="str">
        <f t="array" aca="1" ref="B23" ca="1">CONCATENATE(TEXT(INDEX(query!A:A,MATCH(C23,query!B:B,0)),"M/DD/YYY"),CHAR(10),INDEX(query!E:E,MATCH(C23,query!B:B,0)))</f>
        <v>8/11/2022
Invite</v>
      </c>
      <c r="C23" s="427" t="s">
        <v>167</v>
      </c>
      <c r="D23" s="428">
        <f t="array" ref="D23">INDEX(Import!D:D,MATCH(C23,Name,0))</f>
        <v>4.5</v>
      </c>
      <c r="E23" s="429">
        <f t="array" aca="1" ref="E23" ca="1">(INDEX(Import!I:I,MATCH(C23,Name,0))+INDEX(Import!L:L,MATCH(C23,Name,0))+INDEX('Form Import'!V:V,MATCH(A23,'Form Import'!F:F,0)))/3</f>
        <v>4.666666666666667</v>
      </c>
      <c r="F23" s="430" t="str">
        <f t="array" ref="F23">INDEX(Import!E:E,MATCH(C23,Name,0))</f>
        <v>Cortina Health is a healthcare technology company. Our patent-pending AI technology is the only AI-enabled teledermatology platform on the market. It provides the diagnosis, customizes a treatment plan, and delivers the personalized medical grade products to the patient?s door via our own compounding pharmacy.</v>
      </c>
      <c r="G23" s="431" t="str">
        <f t="array" ref="G23">CONCATENATE(INDEX(Import!G:G,MATCH(C23,Import!C:C,0)),CHAR(10),INDEX(Import!I:I,MATCH(C23,Name,0)))</f>
        <v>Beth Xie
5</v>
      </c>
      <c r="H23" s="432" t="str">
        <f t="array" ref="H23">INDEX(Import!H:H,MATCH(C23,Name,0))</f>
        <v>- Highly impressive tele-health platform for skincare
- Provider of continued care and customized medication which meets unmet market demand
- Strong execution with 100K patients treated</v>
      </c>
      <c r="I23" s="431" t="str">
        <f t="array" ref="I23">CONCATENATE(INDEX(Import!J:J,MATCH(C23,Name,0)),CHAR(10),INDEX(Import!L:L,MATCH(C23,Name,0)))</f>
        <v>Boyang Yu
4</v>
      </c>
      <c r="J23" s="432" t="str">
        <f t="array" ref="J23">INDEX(Import!K:K,MATCH(C23,Name,0))</f>
        <v>The product and technology is mature and the company is making revenue.</v>
      </c>
      <c r="K23" s="431" t="str">
        <f t="array" aca="1" ref="K23" ca="1">CONCATENATE(INDEX('Form Import'!D:D,MATCH(A23,'Form Import'!F:F,0)),CHAR(10),INDEX('Form Import'!V:V,MATCH(A23,'Form Import'!F:F,0)))</f>
        <v>John McDonald
5</v>
      </c>
      <c r="L23" s="432" t="str">
        <f t="array" aca="1" ref="L23" ca="1">INDEX('Form Import'!W:W,MATCH(A23,'Form Import'!F:F,0))</f>
        <v>Looks like a great company, with experienced management team of Doctors, millions of USD raised, actual recorded revenue, and hope to see them in the program.</v>
      </c>
      <c r="M23" s="430" t="str">
        <f t="array" aca="1" ref="M23" ca="1">INDEX('Form Import'!G:G,MATCH($A23,'Form Import'!$F:$F,0))</f>
        <v>Healthcare Tech Company - AI Tele-dermatology</v>
      </c>
      <c r="N23" s="430" t="str">
        <f t="array" aca="1" ref="N23" ca="1">INDEX('Form Import'!L:L,MATCH($A23,'Form Import'!$F:$F,0))</f>
        <v>Peer is HIMS</v>
      </c>
      <c r="O23" s="430">
        <f t="array" aca="1" ref="O23" ca="1">INDEX('Form Import'!O:O,MATCH($A23,'Form Import'!$F:$F,0))</f>
        <v>0</v>
      </c>
      <c r="P23" s="430" t="str">
        <f t="array" aca="1" ref="P23" ca="1">INDEX('Form Import'!S:S,MATCH($A23,'Form Import'!$F:$F,0))</f>
        <v>Harvard/Cornell Medical Doctors Management team + co-host from Shark Tank on Advisor Board</v>
      </c>
      <c r="Q23" s="430"/>
      <c r="R23" s="430"/>
      <c r="S23" s="430" t="e">
        <f t="array" aca="1" ref="S23" ca="1">_xludf.TextJoin("; ",1,INDEX(Import!S:S,MATCH(C23,Name,0)))</f>
        <v>#NAME?</v>
      </c>
    </row>
    <row r="24" spans="1:19" ht="96">
      <c r="A24" s="418" t="s">
        <v>5419</v>
      </c>
      <c r="B24" s="419" t="str">
        <f t="array" aca="1" ref="B24" ca="1">CONCATENATE(TEXT(INDEX(query!A:A,MATCH(C24,query!B:B,0)),"M/DD/YYY"),CHAR(10),INDEX(query!E:E,MATCH(C24,query!B:B,0)))</f>
        <v>8/23/2022
Invite Next Year</v>
      </c>
      <c r="C24" s="85" t="s">
        <v>5412</v>
      </c>
      <c r="D24" s="420">
        <f t="array" ref="D24">INDEX(Import!D:D,MATCH(C24,Name,0))</f>
        <v>3</v>
      </c>
      <c r="E24" s="421">
        <f t="array" aca="1" ref="E24" ca="1">(INDEX(Import!I:I,MATCH(C24,Name,0))+INDEX(Import!L:L,MATCH(C24,Name,0))+INDEX('Form Import'!V:V,MATCH(A24,'Form Import'!F:F,0)))/3</f>
        <v>3</v>
      </c>
      <c r="F24" s="422" t="str">
        <f t="array" ref="F24">INDEX(Import!E:E,MATCH(C24,Name,0))</f>
        <v>Countd is a Health and Personalised Nutrition Platform which empowers people to achieve their wellness goals, eat healthy, get timely advice via data driven insights and overcome the Diabetes pandemic. We are building Machine Learning algorithms to identify risk factors and provide timely solutions to our health conscious customer.</v>
      </c>
      <c r="G24" s="423" t="str">
        <f t="array" ref="G24">CONCATENATE(INDEX(Import!G:G,MATCH(C24,Import!C:C,0)),CHAR(10),INDEX(Import!I:I,MATCH(C24,Name,0)))</f>
        <v>Beth Xie
3</v>
      </c>
      <c r="H24" s="424" t="str">
        <f t="array" ref="H24">INDEX(Import!H:H,MATCH(C24,Name,0))</f>
        <v>- The business model of producing both curated meals and also nutrition counseling and DNA testing makes it hard to scale and also control costs.  
- There are lots of startups and larger companies in either category and not in both for this reason. 
- Still in the process of collecting the data and building out the MVP. Too early for the EFL. 
- Invite next year.</v>
      </c>
      <c r="I24" s="423" t="str">
        <f t="array" ref="I24">CONCATENATE(INDEX(Import!J:J,MATCH(C24,Name,0)),CHAR(10),INDEX(Import!L:L,MATCH(C24,Name,0)))</f>
        <v>Yin He
3</v>
      </c>
      <c r="J24" s="424">
        <f t="array" ref="J24">INDEX(Import!K:K,MATCH(C24,Name,0))</f>
        <v>0</v>
      </c>
      <c r="K24" s="423" t="str">
        <f t="array" aca="1" ref="K24" ca="1">CONCATENATE(INDEX('Form Import'!D:D,MATCH(A24,'Form Import'!F:F,0)),CHAR(10),INDEX('Form Import'!V:V,MATCH(A24,'Form Import'!F:F,0)))</f>
        <v>John McDonald
3</v>
      </c>
      <c r="L24" s="424">
        <f t="array" aca="1" ref="L24" ca="1">INDEX('Form Import'!W:W,MATCH(A24,'Form Import'!F:F,0))</f>
        <v>0</v>
      </c>
      <c r="M24" s="422"/>
      <c r="N24" s="422">
        <f t="array" aca="1" ref="N24" ca="1">INDEX('Form Import'!L:L,MATCH($A24,'Form Import'!$F:$F,0))</f>
        <v>0</v>
      </c>
      <c r="O24" s="422">
        <f t="array" aca="1" ref="O24" ca="1">INDEX('Form Import'!O:O,MATCH($A24,'Form Import'!$F:$F,0))</f>
        <v>0</v>
      </c>
      <c r="P24" s="422">
        <f t="array" aca="1" ref="P24" ca="1">INDEX('Form Import'!S:S,MATCH($A24,'Form Import'!$F:$F,0))</f>
        <v>0</v>
      </c>
      <c r="Q24" s="422"/>
      <c r="R24" s="422"/>
      <c r="S24" s="422" t="e">
        <f t="array" aca="1" ref="S24" ca="1">_xludf.TextJoin("; ",1,INDEX(Import!S:S,MATCH(C24,Name,0)))</f>
        <v>#NAME?</v>
      </c>
    </row>
    <row r="25" spans="1:19" ht="84">
      <c r="A25" s="425" t="s">
        <v>10129</v>
      </c>
      <c r="B25" s="426" t="str">
        <f t="array" aca="1" ref="B25" ca="1">CONCATENATE(TEXT(INDEX(query!A:A,MATCH(C25,query!B:B,0)),"M/DD/YYY"),CHAR(10),INDEX(query!E:E,MATCH(C25,query!B:B,0)))</f>
        <v>8/11/2022
Revisit/ Cluster</v>
      </c>
      <c r="C25" s="427" t="s">
        <v>403</v>
      </c>
      <c r="D25" s="428">
        <f t="array" ref="D25">INDEX(Import!D:D,MATCH(C25,Name,0))</f>
        <v>3.75</v>
      </c>
      <c r="E25" s="429">
        <f t="array" aca="1" ref="E25" ca="1">(INDEX(Import!I:I,MATCH(C25,Name,0))+INDEX(Import!L:L,MATCH(C25,Name,0))+INDEX('Form Import'!V:V,MATCH(A25,'Form Import'!F:F,0)))/3</f>
        <v>3.8333333333333335</v>
      </c>
      <c r="F25" s="430" t="str">
        <f t="array" ref="F25">INDEX(Import!E:E,MATCH(C25,Name,0))</f>
        <v>CRISP-HR has developed a next generation CRISPR based platform which dramatically increases rates of error free DNA "writing" while reducing unwanted side effects, allowing us to develop best in class therapeutics for previously untreatable rare-diseases.</v>
      </c>
      <c r="G25" s="431" t="str">
        <f t="array" ref="G25">CONCATENATE(INDEX(Import!G:G,MATCH(C25,Import!C:C,0)),CHAR(10),INDEX(Import!I:I,MATCH(C25,Name,0)))</f>
        <v>Chris Mosher
4</v>
      </c>
      <c r="H25" s="432" t="str">
        <f t="array" ref="H25">INDEX(Import!H:H,MATCH(C25,Name,0))</f>
        <v>Founders from NYU and Georgia Tech, board has Pharma experience. Innovation offers "significant benefits in efficiency and safety over first-generation CRISPR-based platforms through site specific manipulation of cells DNA repair pathways through our Cas9-HR platform." Published 2-4x error-free gene writing efficacy compared to traditional Cas9. Compare this to other CRISPR companies applying for the cohort and invite 1-2.</v>
      </c>
      <c r="I25" s="431" t="str">
        <f t="array" ref="I25">CONCATENATE(INDEX(Import!J:J,MATCH(C25,Name,0)),CHAR(10),INDEX(Import!L:L,MATCH(C25,Name,0)))</f>
        <v>Larisa Kagermazova
3.5</v>
      </c>
      <c r="J25" s="432" t="str">
        <f t="array" ref="J25">INDEX(Import!K:K,MATCH(C25,Name,0))</f>
        <v>CRISPR gene editing is a very crowded place. I am not sure about the innovation. They do show 3x increase of CRISPR-Cas9 in gene writing efficiency but that's just in vitro data. What will be a mode of delivery? Is it mostly for ex-vivo purposes? Will there be any problems with the CRISPR patent (not sure how this works legally).
Gave it 3.5 so it is not an automatic interview but definitely worth discussing</v>
      </c>
      <c r="K25" s="431" t="str">
        <f t="array" aca="1" ref="K25" ca="1">CONCATENATE(INDEX('Form Import'!D:D,MATCH(A25,'Form Import'!F:F,0)),CHAR(10),INDEX('Form Import'!V:V,MATCH(A25,'Form Import'!F:F,0)))</f>
        <v>Jason Yu
4</v>
      </c>
      <c r="L25" s="432" t="str">
        <f t="array" aca="1" ref="L25" ca="1">INDEX('Form Import'!W:W,MATCH(A25,'Form Import'!F:F,0))</f>
        <v>Minimum viable product and associated with another accelerator. They are currently lookint to improve network on east coast, feedback on indications and business model, recruiting and exposure.</v>
      </c>
      <c r="M25" s="430"/>
      <c r="N25" s="430" t="str">
        <f t="array" aca="1" ref="N25" ca="1">INDEX('Form Import'!L:L,MATCH($A25,'Form Import'!$F:$F,0))</f>
        <v>In the process of protecting the technology. "We have been working with WSGR have filed extensive IP around our invention (WO2020146290A1) which is currently in national phase."</v>
      </c>
      <c r="O25" s="430" t="str">
        <f t="array" aca="1" ref="O25" ca="1">INDEX('Form Import'!O:O,MATCH($A25,'Form Import'!$F:$F,0))</f>
        <v>No current customers but Major pharmaceutical players-including Pfizer, Bayer, Regeneron, and others-have demonstrated their strong interest in CRISPR-based platforms.</v>
      </c>
      <c r="P25" s="430" t="str">
        <f t="array" aca="1" ref="P25" ca="1">INDEX('Form Import'!S:S,MATCH($A25,'Form Import'!$F:$F,0))</f>
        <v>Research and Software development founder experience but first startup.</v>
      </c>
      <c r="Q25" s="430"/>
      <c r="R25" s="430"/>
      <c r="S25" s="430" t="e">
        <f t="array" aca="1" ref="S25" ca="1">_xludf.TextJoin("; ",1,INDEX(Import!S:S,MATCH(C25,Name,0)))</f>
        <v>#NAME?</v>
      </c>
    </row>
    <row r="26" spans="1:19" ht="72">
      <c r="A26" s="418" t="s">
        <v>1113</v>
      </c>
      <c r="B26" s="419" t="str">
        <f t="array" aca="1" ref="B26" ca="1">CONCATENATE(TEXT(INDEX(query!A:A,MATCH(C26,query!B:B,0)),"M/DD/YYY"),CHAR(10),INDEX(query!E:E,MATCH(C26,query!B:B,0)))</f>
        <v>8/03/2022
Invite</v>
      </c>
      <c r="C26" s="85" t="s">
        <v>172</v>
      </c>
      <c r="D26" s="420">
        <f t="array" ref="D26">INDEX(Import!D:D,MATCH(C26,Name,0))</f>
        <v>4.5</v>
      </c>
      <c r="E26" s="421">
        <f t="array" aca="1" ref="E26" ca="1">(INDEX(Import!I:I,MATCH(C26,Name,0))+INDEX(Import!L:L,MATCH(C26,Name,0))+INDEX('Form Import'!V:V,MATCH(A26,'Form Import'!F:F,0)))/3</f>
        <v>4.333333333333333</v>
      </c>
      <c r="F26" s="422" t="str">
        <f t="array" ref="F26">INDEX(Import!E:E,MATCH(C26,Name,0))</f>
        <v>Culina Health is a personalized nutrition platform powered by registered dietitians to help patients prioritize the way they want to live. We make insurance-covered nutrition care accessible to everyone and easier to understand so that our patients can achieve a satisfying and well balanced life.</v>
      </c>
      <c r="G26" s="423" t="str">
        <f t="array" ref="G26">CONCATENATE(INDEX(Import!G:G,MATCH(C26,Import!C:C,0)),CHAR(10),INDEX(Import!I:I,MATCH(C26,Name,0)))</f>
        <v>Mark Flynn
4.5</v>
      </c>
      <c r="H26" s="424" t="str">
        <f t="array" ref="H26">INDEX(Import!H:H,MATCH(C26,Name,0))</f>
        <v>Untapped market due to competitors' preference for a more lucrative self-pay market; they have seemingly overcome technical and have good traction with decent MoM growth and 45% margins; mainly minority team from NYU; I want to better understand the breakthrough with the insurance market and how that will prevent others from copying them</v>
      </c>
      <c r="I26" s="423" t="str">
        <f t="array" ref="I26">CONCATENATE(INDEX(Import!J:J,MATCH(C26,Name,0)),CHAR(10),INDEX(Import!L:L,MATCH(C26,Name,0)))</f>
        <v>Beth Xie
4.5</v>
      </c>
      <c r="J26" s="424" t="str">
        <f t="array" ref="J26">INDEX(Import!K:K,MATCH(C26,Name,0))</f>
        <v>Extremely strong execution in its go to market. Acquiring large customer base already. Strong fundraising track record. AI built on top of Culina Data Universe, which is very data driven in its technology.</v>
      </c>
      <c r="K26" s="423" t="str">
        <f t="array" aca="1" ref="K26" ca="1">CONCATENATE(INDEX('Form Import'!D:D,MATCH(A26,'Form Import'!F:F,0)),CHAR(10),INDEX('Form Import'!V:V,MATCH(A26,'Form Import'!F:F,0)))</f>
        <v>John McDonald
4</v>
      </c>
      <c r="L26" s="424">
        <f t="array" aca="1" ref="L26" ca="1">INDEX('Form Import'!W:W,MATCH(A26,'Form Import'!F:F,0))</f>
        <v>0</v>
      </c>
      <c r="M26" s="422"/>
      <c r="N26" s="422">
        <f t="array" aca="1" ref="N26" ca="1">INDEX('Form Import'!L:L,MATCH($A26,'Form Import'!$F:$F,0))</f>
        <v>0</v>
      </c>
      <c r="O26" s="422">
        <f t="array" aca="1" ref="O26" ca="1">INDEX('Form Import'!O:O,MATCH($A26,'Form Import'!$F:$F,0))</f>
        <v>0</v>
      </c>
      <c r="P26" s="422">
        <f t="array" aca="1" ref="P26" ca="1">INDEX('Form Import'!S:S,MATCH($A26,'Form Import'!$F:$F,0))</f>
        <v>0</v>
      </c>
      <c r="Q26" s="422"/>
      <c r="R26" s="422"/>
      <c r="S26" s="422" t="e">
        <f t="array" aca="1" ref="S26" ca="1">_xludf.TextJoin("; ",1,INDEX(Import!S:S,MATCH(C26,Name,0)))</f>
        <v>#NAME?</v>
      </c>
    </row>
    <row r="27" spans="1:19" ht="60">
      <c r="A27" s="425" t="s">
        <v>1132</v>
      </c>
      <c r="B27" s="426" t="str">
        <f t="array" aca="1" ref="B27" ca="1">CONCATENATE(TEXT(INDEX(query!A:A,MATCH(C27,query!B:B,0)),"M/DD/YYY"),CHAR(10),INDEX(query!E:E,MATCH(C27,query!B:B,0)))</f>
        <v>8/09/2022
Invite</v>
      </c>
      <c r="C27" s="427" t="s">
        <v>173</v>
      </c>
      <c r="D27" s="428">
        <f t="array" ref="D27">INDEX(Import!D:D,MATCH(C27,Name,0))</f>
        <v>4.25</v>
      </c>
      <c r="E27" s="429">
        <f t="array" aca="1" ref="E27" ca="1">(INDEX(Import!I:I,MATCH(C27,Name,0))+INDEX(Import!L:L,MATCH(C27,Name,0))+INDEX('Form Import'!V:V,MATCH(A27,'Form Import'!F:F,0)))/3</f>
        <v>4.166666666666667</v>
      </c>
      <c r="F27" s="430" t="str">
        <f t="array" ref="F27">INDEX(Import!E:E,MATCH(C27,Name,0))</f>
        <v>DataPrime is a data science and engineering company focused delivering forecasting, optimization and automation to companies at the intersection of Life Science and the global supply chain.  We take a microservices approach to easily integrate and scale with enterprise software without having to replace existing tech stacks.</v>
      </c>
      <c r="G27" s="431" t="str">
        <f t="array" ref="G27">CONCATENATE(INDEX(Import!G:G,MATCH(C27,Import!C:C,0)),CHAR(10),INDEX(Import!I:I,MATCH(C27,Name,0)))</f>
        <v>Chris Mosher
4.5</v>
      </c>
      <c r="H27" s="432" t="str">
        <f t="array" ref="H27">INDEX(Import!H:H,MATCH(C27,Name,0))</f>
        <v>Digital Tech company. SaaS for analyzing de-identified patient data (HIPAA-compliant), along with forecasting/optimization analytics for large data sets. They made $1.2M in revenue last year and expect $2-3M this year. Contract with LexisNexis - they will probably be acquired. Team of disabled veterans who have run businesses before.</v>
      </c>
      <c r="I27" s="431" t="str">
        <f t="array" ref="I27">CONCATENATE(INDEX(Import!J:J,MATCH(C27,Name,0)),CHAR(10),INDEX(Import!L:L,MATCH(C27,Name,0)))</f>
        <v>Parsa Amiri
4</v>
      </c>
      <c r="J27" s="432" t="str">
        <f t="array" ref="J27">INDEX(Import!K:K,MATCH(C27,Name,0))</f>
        <v>Their burn rate and runway is not compatible to their claim that they had $1.2M revenue last year. They have a 3-years contract with LexisNexis</v>
      </c>
      <c r="K27" s="431" t="str">
        <f t="array" aca="1" ref="K27" ca="1">CONCATENATE(INDEX('Form Import'!D:D,MATCH(A27,'Form Import'!F:F,0)),CHAR(10),INDEX('Form Import'!V:V,MATCH(A27,'Form Import'!F:F,0)))</f>
        <v>Nick Schmandt
4</v>
      </c>
      <c r="L27" s="432" t="str">
        <f t="array" aca="1" ref="L27" ca="1">INDEX('Form Import'!W:W,MATCH(A27,'Form Import'!F:F,0))</f>
        <v>While this is a great idea with a huge addressable market, it is not at all novel and there are many very strong competitors. The competitive edge appears to be their focus on logistics, but it's not clear to me how much of an edge they really have.</v>
      </c>
      <c r="M27" s="430"/>
      <c r="N27" s="430" t="str">
        <f t="array" aca="1" ref="N27" ca="1">INDEX('Form Import'!L:L,MATCH($A27,'Form Import'!$F:$F,0))</f>
        <v>This is not novel and there are many competitors doing almost exactly the same thing. It is good they have focused on logistics and delivering value in that specific area.</v>
      </c>
      <c r="O27" s="430" t="str">
        <f t="array" aca="1" ref="O27" ca="1">INDEX('Form Import'!O:O,MATCH($A27,'Form Import'!$F:$F,0))</f>
        <v>Could be large depending on how they get the word out.</v>
      </c>
      <c r="P27" s="430" t="str">
        <f t="array" aca="1" ref="P27" ca="1">INDEX('Form Import'!S:S,MATCH($A27,'Form Import'!$F:$F,0))</f>
        <v>CEO has very little experience in this area.</v>
      </c>
      <c r="Q27" s="430"/>
      <c r="R27" s="430"/>
      <c r="S27" s="430" t="e">
        <f t="array" aca="1" ref="S27" ca="1">_xludf.TextJoin("; ",1,INDEX(Import!S:S,MATCH(C27,Name,0)))</f>
        <v>#NAME?</v>
      </c>
    </row>
    <row r="28" spans="1:19" ht="36">
      <c r="A28" s="418" t="s">
        <v>3808</v>
      </c>
      <c r="B28" s="419" t="str">
        <f t="array" aca="1" ref="B28" ca="1">CONCATENATE(TEXT(INDEX(query!A:A,MATCH(C28,query!B:B,0)),"M/DD/YYY"),CHAR(10),INDEX(query!E:E,MATCH(C28,query!B:B,0)))</f>
        <v>8/16/2022
Invite</v>
      </c>
      <c r="C28" s="85" t="s">
        <v>201</v>
      </c>
      <c r="D28" s="420">
        <f t="array" ref="D28">INDEX(Import!D:D,MATCH(C28,Name,0))</f>
        <v>4</v>
      </c>
      <c r="E28" s="421">
        <f t="array" aca="1" ref="E28" ca="1">(INDEX(Import!I:I,MATCH(C28,Name,0))+INDEX(Import!L:L,MATCH(C28,Name,0))+INDEX('Form Import'!V:V,MATCH(A28,'Form Import'!F:F,0)))/3</f>
        <v>3.6666666666666665</v>
      </c>
      <c r="F28" s="422" t="str">
        <f t="array" ref="F28">INDEX(Import!E:E,MATCH(C28,Name,0))</f>
        <v>Datirium developed Scientific Data Analysis Platform, SciDAP, a novel analysis platform for next-generation sequencing and other big data.</v>
      </c>
      <c r="G28" s="423" t="str">
        <f t="array" ref="G28">CONCATENATE(INDEX(Import!G:G,MATCH(C28,Import!C:C,0)),CHAR(10),INDEX(Import!I:I,MATCH(C28,Name,0)))</f>
        <v>Beth Xie
4</v>
      </c>
      <c r="H28" s="424" t="str">
        <f t="array" ref="H28">INDEX(Import!H:H,MATCH(C28,Name,0))</f>
        <v>- Solid product market fit.
- Highly technical team but only part time for now. 
- Already validated technology and gaining traction.</v>
      </c>
      <c r="I28" s="423" t="str">
        <f t="array" ref="I28">CONCATENATE(INDEX(Import!J:J,MATCH(C28,Name,0)),CHAR(10),INDEX(Import!L:L,MATCH(C28,Name,0)))</f>
        <v>Matt Myers
4</v>
      </c>
      <c r="J28" s="424" t="str">
        <f t="array" ref="J28">INDEX(Import!K:K,MATCH(C28,Name,0))</f>
        <v>Novel idea, potential for high impact, would disrupt research structures in academia. Both founders part time, though.</v>
      </c>
      <c r="K28" s="423" t="str">
        <f t="array" aca="1" ref="K28" ca="1">CONCATENATE(INDEX('Form Import'!D:D,MATCH(A28,'Form Import'!F:F,0)),CHAR(10),INDEX('Form Import'!V:V,MATCH(A28,'Form Import'!F:F,0)))</f>
        <v>John McDonald
3</v>
      </c>
      <c r="L28" s="424" t="str">
        <f t="array" aca="1" ref="L28" ca="1">INDEX('Form Import'!W:W,MATCH(A28,'Form Import'!F:F,0))</f>
        <v>Wants to raise money but not sure how much/when.  Most money raised thus far from NIH Grants</v>
      </c>
      <c r="M28" s="422"/>
      <c r="N28" s="422">
        <f t="array" aca="1" ref="N28" ca="1">INDEX('Form Import'!L:L,MATCH($A28,'Form Import'!$F:$F,0))</f>
        <v>0</v>
      </c>
      <c r="O28" s="422">
        <f t="array" aca="1" ref="O28" ca="1">INDEX('Form Import'!O:O,MATCH($A28,'Form Import'!$F:$F,0))</f>
        <v>0</v>
      </c>
      <c r="P28" s="422">
        <f t="array" aca="1" ref="P28" ca="1">INDEX('Form Import'!S:S,MATCH($A28,'Form Import'!$F:$F,0))</f>
        <v>0</v>
      </c>
      <c r="Q28" s="422"/>
      <c r="R28" s="422"/>
      <c r="S28" s="422" t="e">
        <f t="array" aca="1" ref="S28" ca="1">_xludf.TextJoin("; ",1,INDEX(Import!S:S,MATCH(C28,Name,0)))</f>
        <v>#NAME?</v>
      </c>
    </row>
    <row r="29" spans="1:19" ht="24">
      <c r="A29" s="425" t="s">
        <v>588</v>
      </c>
      <c r="B29" s="426" t="str">
        <f t="array" aca="1" ref="B29" ca="1">CONCATENATE(TEXT(INDEX(query!A:A,MATCH(C29,query!B:B,0)),"M/DD/YYY"),CHAR(10),INDEX(query!E:E,MATCH(C29,query!B:B,0)))</f>
        <v>8/09/2022
Revisit/ Cluster</v>
      </c>
      <c r="C29" s="427" t="s">
        <v>81</v>
      </c>
      <c r="D29" s="428">
        <f t="array" ref="D29">INDEX(Import!D:D,MATCH(C29,Name,0))</f>
        <v>3.75</v>
      </c>
      <c r="E29" s="429">
        <f t="array" aca="1" ref="E29" ca="1">(INDEX(Import!I:I,MATCH(C29,Name,0))+INDEX(Import!L:L,MATCH(C29,Name,0))+INDEX('Form Import'!V:V,MATCH(A29,'Form Import'!F:F,0)))/3</f>
        <v>3.5</v>
      </c>
      <c r="F29" s="430" t="str">
        <f t="array" ref="F29">INDEX(Import!E:E,MATCH(C29,Name,0))</f>
        <v>Delivers.ai is an autonomous delivery technology to reimagine last-mile logistics experience powered by a prominent computer vision system and cutting-edge self-driving technologies in sustainable cities. As Delivers.AI, our motivation is greener way to delivery goods, and We?re focused on creating healthier, more sustainable cities.</v>
      </c>
      <c r="G29" s="431" t="str">
        <f t="array" ref="G29">CONCATENATE(INDEX(Import!G:G,MATCH(C29,Import!C:C,0)),CHAR(10),INDEX(Import!I:I,MATCH(C29,Name,0)))</f>
        <v>Khoa Ma
3.5</v>
      </c>
      <c r="H29" s="432" t="str">
        <f t="array" ref="H29">INDEX(Import!H:H,MATCH(C29,Name,0))</f>
        <v>Cluster and consider if best in class</v>
      </c>
      <c r="I29" s="431" t="str">
        <f t="array" ref="I29">CONCATENATE(INDEX(Import!J:J,MATCH(C29,Name,0)),CHAR(10),INDEX(Import!L:L,MATCH(C29,Name,0)))</f>
        <v>Sriharsha Indupuru
4</v>
      </c>
      <c r="J29" s="432" t="str">
        <f t="array" ref="J29">INDEX(Import!K:K,MATCH(C29,Name,0))</f>
        <v>+ Established in Europe</v>
      </c>
      <c r="K29" s="431" t="str">
        <f t="array" aca="1" ref="K29" ca="1">CONCATENATE(INDEX('Form Import'!D:D,MATCH(A29,'Form Import'!F:F,0)),CHAR(10),INDEX('Form Import'!V:V,MATCH(A29,'Form Import'!F:F,0)))</f>
        <v>Jason Yu
3</v>
      </c>
      <c r="L29" s="432" t="str">
        <f t="array" aca="1" ref="L29" ca="1">INDEX('Form Import'!W:W,MATCH(A29,'Form Import'!F:F,0))</f>
        <v>The biggest obstacle is the regulatory framework of the sidewalk delivery robots.</v>
      </c>
      <c r="M29" s="430"/>
      <c r="N29" s="430" t="str">
        <f t="array" aca="1" ref="N29" ca="1">INDEX('Form Import'!L:L,MATCH($A29,'Form Import'!$F:$F,0))</f>
        <v xml:space="preserve">Robot makes local delivery in a 1-mile radius </v>
      </c>
      <c r="O29" s="430" t="str">
        <f t="array" aca="1" ref="O29" ca="1">INDEX('Form Import'!O:O,MATCH($A29,'Form Import'!$F:$F,0))</f>
        <v>Currently, there are similar models in USA like Starship, Kiwibot, Serve Robotics and Coco Delivery.</v>
      </c>
      <c r="P29" s="430" t="str">
        <f t="array" aca="1" ref="P29" ca="1">INDEX('Form Import'!S:S,MATCH($A29,'Form Import'!$F:$F,0))</f>
        <v>Founders with startup experience.</v>
      </c>
      <c r="Q29" s="430"/>
      <c r="R29" s="430"/>
      <c r="S29" s="430" t="e">
        <f t="array" aca="1" ref="S29" ca="1">_xludf.TextJoin("; ",1,INDEX(Import!S:S,MATCH(C29,Name,0)))</f>
        <v>#NAME?</v>
      </c>
    </row>
    <row r="30" spans="1:19" ht="72">
      <c r="A30" s="418" t="s">
        <v>13139</v>
      </c>
      <c r="B30" s="419" t="str">
        <f t="array" aca="1" ref="B30" ca="1">CONCATENATE(TEXT(INDEX(query!A:A,MATCH(C30,query!B:B,0)),"M/DD/YYY"),CHAR(10),INDEX(query!E:E,MATCH(C30,query!B:B,0)))</f>
        <v>8/18/2022
Invite</v>
      </c>
      <c r="C30" s="85" t="s">
        <v>176</v>
      </c>
      <c r="D30" s="420">
        <f t="array" ref="D30">INDEX(Import!D:D,MATCH(C30,Name,0))</f>
        <v>4</v>
      </c>
      <c r="E30" s="421">
        <f t="array" aca="1" ref="E30" ca="1">(INDEX(Import!I:I,MATCH(C30,Name,0))+INDEX(Import!L:L,MATCH(C30,Name,0))+INDEX('Form Import'!V:V,MATCH(A30,'Form Import'!F:F,0)))/3</f>
        <v>3.6666666666666665</v>
      </c>
      <c r="F30" s="422" t="str">
        <f t="array" ref="F30">INDEX(Import!E:E,MATCH(C30,Name,0))</f>
        <v>Deriskly leverages advance AI and machine learning to help organizations prevent and mitigate disputes with their stakeholders. Our tool analyses different data sources in real-time to identify early warning signs of disputes and predict dispute risks. Our tool further 'de-risks' communications with stakeholders to prevent dispute escalation.</v>
      </c>
      <c r="G30" s="423" t="str">
        <f t="array" ref="G30">CONCATENATE(INDEX(Import!G:G,MATCH(C30,Import!C:C,0)),CHAR(10),INDEX(Import!I:I,MATCH(C30,Name,0)))</f>
        <v>Mark Flynn
4</v>
      </c>
      <c r="H30" s="424" t="str">
        <f t="array" ref="H30">INDEX(Import!H:H,MATCH(C30,Name,0))</f>
        <v>This is a bet on the team (women founded); company is early but founders have good backgrounds and they have some indications of interest</v>
      </c>
      <c r="I30" s="423" t="str">
        <f t="array" ref="I30">CONCATENATE(INDEX(Import!J:J,MATCH(C30,Name,0)),CHAR(10),INDEX(Import!L:L,MATCH(C30,Name,0)))</f>
        <v>Nicole McKnight
4</v>
      </c>
      <c r="J30" s="424" t="str">
        <f t="array" ref="J30">INDEX(Import!K:K,MATCH(C30,Name,0))</f>
        <v>This is a strong team who communicate their technology and vision well - I believe they will be quite coach-able and a good addition to the program.  It is conceivable that this machine learning platform can start small with B2B conflict resolution, but could become part of a solution for world peace... that's pretty cool!  They have two very strong women founders.</v>
      </c>
      <c r="K30" s="423" t="str">
        <f t="array" aca="1" ref="K30" ca="1">CONCATENATE(INDEX('Form Import'!D:D,MATCH(A30,'Form Import'!F:F,0)),CHAR(10),INDEX('Form Import'!V:V,MATCH(A30,'Form Import'!F:F,0)))</f>
        <v>John McDonald
3</v>
      </c>
      <c r="L30" s="424">
        <f t="array" aca="1" ref="L30" ca="1">INDEX('Form Import'!W:W,MATCH(A30,'Form Import'!F:F,0))</f>
        <v>0</v>
      </c>
      <c r="M30" s="422"/>
      <c r="N30" s="422">
        <f t="array" aca="1" ref="N30" ca="1">INDEX('Form Import'!L:L,MATCH($A30,'Form Import'!$F:$F,0))</f>
        <v>0</v>
      </c>
      <c r="O30" s="422">
        <f t="array" aca="1" ref="O30" ca="1">INDEX('Form Import'!O:O,MATCH($A30,'Form Import'!$F:$F,0))</f>
        <v>0</v>
      </c>
      <c r="P30" s="422">
        <f t="array" aca="1" ref="P30" ca="1">INDEX('Form Import'!S:S,MATCH($A30,'Form Import'!$F:$F,0))</f>
        <v>0</v>
      </c>
      <c r="Q30" s="422"/>
      <c r="R30" s="422"/>
      <c r="S30" s="422" t="e">
        <f t="array" aca="1" ref="S30" ca="1">_xludf.TextJoin("; ",1,INDEX(Import!S:S,MATCH(C30,Name,0)))</f>
        <v>#NAME?</v>
      </c>
    </row>
    <row r="31" spans="1:19" ht="60">
      <c r="A31" s="425" t="s">
        <v>5450</v>
      </c>
      <c r="B31" s="426" t="str">
        <f t="array" aca="1" ref="B31" ca="1">CONCATENATE(TEXT(INDEX(query!A:A,MATCH(C31,query!B:B,0)),"M/DD/YYY"),CHAR(10),INDEX(query!E:E,MATCH(C31,query!B:B,0)))</f>
        <v>8/23/2022
Invite Next Year</v>
      </c>
      <c r="C31" s="427" t="s">
        <v>5442</v>
      </c>
      <c r="D31" s="428">
        <f t="array" ref="D31">INDEX(Import!D:D,MATCH(C31,Name,0))</f>
        <v>3</v>
      </c>
      <c r="E31" s="429">
        <f t="array" aca="1" ref="E31" ca="1">(INDEX(Import!I:I,MATCH(C31,Name,0))+INDEX(Import!L:L,MATCH(C31,Name,0))+INDEX('Form Import'!V:V,MATCH(A31,'Form Import'!F:F,0)))/3</f>
        <v>3.3333333333333335</v>
      </c>
      <c r="F31" s="430" t="str">
        <f t="array" ref="F31">INDEX(Import!E:E,MATCH(C31,Name,0))</f>
        <v>We build software to revolutionize construction projects, profits, and people. Our main tool is fixing construction's broken supply chain.</v>
      </c>
      <c r="G31" s="431" t="str">
        <f t="array" ref="G31">CONCATENATE(INDEX(Import!G:G,MATCH(C31,Import!C:C,0)),CHAR(10),INDEX(Import!I:I,MATCH(C31,Name,0)))</f>
        <v>Matt Myers
3</v>
      </c>
      <c r="H31" s="432" t="str">
        <f t="array" ref="H31">INDEX(Import!H:H,MATCH(C31,Name,0))</f>
        <v>Doesn't feel like a fit for EFL because tech isn't novel/disruptive/groundbreaking in any major way.</v>
      </c>
      <c r="I31" s="431" t="str">
        <f t="array" ref="I31">CONCATENATE(INDEX(Import!J:J,MATCH(C31,Name,0)),CHAR(10),INDEX(Import!L:L,MATCH(C31,Name,0)))</f>
        <v>Nicole McKnight
3</v>
      </c>
      <c r="J31" s="432" t="str">
        <f t="array" ref="J31">INDEX(Import!K:K,MATCH(C31,Name,0))</f>
        <v>The team seems passionate and have achieved some early success, both in locking in customers as well as getting significant seed funding.  But success seems to rest more on their industry relationships and less on the software technology itself, which is difficult to protect and is not super innovative.</v>
      </c>
      <c r="K31" s="431" t="str">
        <f t="array" aca="1" ref="K31" ca="1">CONCATENATE(INDEX('Form Import'!D:D,MATCH(A31,'Form Import'!F:F,0)),CHAR(10),INDEX('Form Import'!V:V,MATCH(A31,'Form Import'!F:F,0)))</f>
        <v>Nick Schmandt
4</v>
      </c>
      <c r="L31" s="432" t="str">
        <f t="array" aca="1" ref="L31" ca="1">INDEX('Form Import'!W:W,MATCH(A31,'Form Import'!F:F,0))</f>
        <v>I don't know construction very well but their cash flows look impressive so far, and the leadership appears to know this area very well, though some co-founders would be good.</v>
      </c>
      <c r="M31" s="430"/>
      <c r="N31" s="430" t="str">
        <f t="array" aca="1" ref="N31" ca="1">INDEX('Form Import'!L:L,MATCH($A31,'Form Import'!$F:$F,0))</f>
        <v>Tech is not super complicated, it's more the business side that matters</v>
      </c>
      <c r="O31" s="430" t="str">
        <f t="array" aca="1" ref="O31" ca="1">INDEX('Form Import'!O:O,MATCH($A31,'Form Import'!$F:$F,0))</f>
        <v>If they can become the dominant supply chain manager it's a large addressable market.</v>
      </c>
      <c r="P31" s="430" t="str">
        <f t="array" aca="1" ref="P31" ca="1">INDEX('Form Import'!S:S,MATCH($A31,'Form Import'!$F:$F,0))</f>
        <v>I think they left out the other founders but the CEO certainly knows construction very well.</v>
      </c>
      <c r="Q31" s="430"/>
      <c r="R31" s="430"/>
      <c r="S31" s="430" t="e">
        <f t="array" aca="1" ref="S31" ca="1">_xludf.TextJoin("; ",1,INDEX(Import!S:S,MATCH(C31,Name,0)))</f>
        <v>#NAME?</v>
      </c>
    </row>
    <row r="32" spans="1:19" ht="96">
      <c r="A32" s="418" t="s">
        <v>13140</v>
      </c>
      <c r="B32" s="419" t="str">
        <f t="array" aca="1" ref="B32" ca="1">CONCATENATE(TEXT(INDEX(query!A:A,MATCH(C32,query!B:B,0)),"M/DD/YYY"),CHAR(10),INDEX(query!E:E,MATCH(C32,query!B:B,0)))</f>
        <v>8/11/2022
Invite</v>
      </c>
      <c r="C32" s="85" t="s">
        <v>181</v>
      </c>
      <c r="D32" s="420">
        <f t="array" ref="D32">INDEX(Import!D:D,MATCH(C32,Name,0))</f>
        <v>4</v>
      </c>
      <c r="E32" s="421">
        <f t="array" aca="1" ref="E32" ca="1">(INDEX(Import!I:I,MATCH(C32,Name,0))+INDEX(Import!L:L,MATCH(C32,Name,0))+INDEX('Form Import'!V:V,MATCH(A32,'Form Import'!F:F,0)))/3</f>
        <v>4</v>
      </c>
      <c r="F32" s="422" t="str">
        <f t="array" ref="F32">INDEX(Import!E:E,MATCH(C32,Name,0))</f>
        <v>Dryad provides ultra-early detection of wildfires with a large-scale solar powered gas sensor network placed in the forest, capable of detecting wildfires during the soldering phase. To first owners municipalities and energy companies Dryad helps to prevent devastating wildfires.</v>
      </c>
      <c r="G32" s="423" t="str">
        <f t="array" ref="G32">CONCATENATE(INDEX(Import!G:G,MATCH(C32,Import!C:C,0)),CHAR(10),INDEX(Import!I:I,MATCH(C32,Name,0)))</f>
        <v>Khoa Ma
4</v>
      </c>
      <c r="H32" s="424" t="str">
        <f t="array" ref="H32">INDEX(Import!H:H,MATCH(C32,Name,0))</f>
        <v>DiT startup?
Google SDG
Solar-powered gas sensor to detect wild fires
Good team raised ~$3.5M, with $10M Series A with $10.5M soft circled</v>
      </c>
      <c r="I32" s="423" t="str">
        <f t="array" ref="I32">CONCATENATE(INDEX(Import!J:J,MATCH(C32,Name,0)),CHAR(10),INDEX(Import!L:L,MATCH(C32,Name,0)))</f>
        <v>Sriharsha Indupuru
4</v>
      </c>
      <c r="J32" s="424" t="str">
        <f t="array" ref="J32">INDEX(Import!K:K,MATCH(C32,Name,0))</f>
        <v>+aim to help in the fight against climate change by preventing wildfires
+ ?1.6m subsidies and loans Recieve from EU funding (EFRE)
+Circled $10,500,000 in funding 
+A mix of PhDs and Ms people working on solving wildfire by helping in the detection of wildfires in 60mins time</v>
      </c>
      <c r="K32" s="423" t="str">
        <f t="array" aca="1" ref="K32" ca="1">CONCATENATE(INDEX('Form Import'!D:D,MATCH(A32,'Form Import'!F:F,0)),CHAR(10),INDEX('Form Import'!V:V,MATCH(A32,'Form Import'!F:F,0)))</f>
        <v>Nick Schmandt
4</v>
      </c>
      <c r="L32" s="424" t="str">
        <f t="array" aca="1" ref="L32" ca="1">INDEX('Form Import'!W:W,MATCH(A32,'Form Import'!F:F,0))</f>
        <v>The team is extremely strong, that is likely why they have so much money on a relatively unproven technology. Though, the technology is not extremely complex and should work reliably, it does not seem they have actually deployed it and detected wildfires. They must have thought of this, but isn't over controlling wildfires actually worse for forests, leading to uncontrolled burning? Also what if the fire is so remote that the fire fighters cannot reach the area? But, the amount of money they have raised speaks for itself.</v>
      </c>
      <c r="M32" s="422"/>
      <c r="N32" s="422" t="str">
        <f t="array" aca="1" ref="N32" ca="1">INDEX('Form Import'!L:L,MATCH($A32,'Form Import'!$F:$F,0))</f>
        <v>This seems like a relatively simple system.</v>
      </c>
      <c r="O32" s="422" t="str">
        <f t="array" aca="1" ref="O32" ca="1">INDEX('Form Import'!O:O,MATCH($A32,'Form Import'!$F:$F,0))</f>
        <v>Unclear what the source of their current revenue is.</v>
      </c>
      <c r="P32" s="422" t="str">
        <f t="array" aca="1" ref="P32" ca="1">INDEX('Form Import'!S:S,MATCH($A32,'Form Import'!$F:$F,0))</f>
        <v>Excellent team, very large amount of experience</v>
      </c>
      <c r="Q32" s="422"/>
      <c r="R32" s="422"/>
      <c r="S32" s="422" t="e">
        <f t="array" aca="1" ref="S32" ca="1">_xludf.TextJoin("; ",1,INDEX(Import!S:S,MATCH(C32,Name,0)))</f>
        <v>#NAME?</v>
      </c>
    </row>
    <row r="33" spans="1:19" ht="84">
      <c r="A33" s="425" t="s">
        <v>13141</v>
      </c>
      <c r="B33" s="426" t="str">
        <f t="array" aca="1" ref="B33" ca="1">CONCATENATE(TEXT(INDEX(query!A:A,MATCH(C33,query!B:B,0)),"M/DD/YYY"),CHAR(10),INDEX(query!E:E,MATCH(C33,query!B:B,0)))</f>
        <v>8/11/2022
Invite</v>
      </c>
      <c r="C33" s="427" t="s">
        <v>171</v>
      </c>
      <c r="D33" s="428">
        <f t="array" ref="D33">INDEX(Import!D:D,MATCH(C33,Name,0))</f>
        <v>4.25</v>
      </c>
      <c r="E33" s="429">
        <f t="array" aca="1" ref="E33" ca="1">(INDEX(Import!I:I,MATCH(C33,Name,0))+INDEX(Import!L:L,MATCH(C33,Name,0))+INDEX('Form Import'!V:V,MATCH(A33,'Form Import'!F:F,0)))/3</f>
        <v>3.8333333333333335</v>
      </c>
      <c r="F33" s="430" t="str">
        <f t="array" ref="F33">INDEX(Import!E:E,MATCH(C33,Name,0))</f>
        <v>A day-to-day gamified ADHD self-management app that strengthens executive functions to increase medication adherence and reduce the frequency of ADHD symptoms.</v>
      </c>
      <c r="G33" s="431" t="str">
        <f t="array" ref="G33">CONCATENATE(INDEX(Import!G:G,MATCH(C33,Import!C:C,0)),CHAR(10),INDEX(Import!I:I,MATCH(C33,Name,0)))</f>
        <v>Chris Mosher
4</v>
      </c>
      <c r="H33" s="432" t="str">
        <f t="array" ref="H33">INDEX(Import!H:H,MATCH(C33,Name,0))</f>
        <v>Digital Tech. Gamified ADHD self-management app based in executive function training. Didn't provide validation with patients, but they have interviewed customers and have a great understanding of their market. Team from Carnegie Melon, IndieBio referral.</v>
      </c>
      <c r="I33" s="431" t="str">
        <f t="array" ref="I33">CONCATENATE(INDEX(Import!J:J,MATCH(C33,Name,0)),CHAR(10),INDEX(Import!L:L,MATCH(C33,Name,0)))</f>
        <v>Parsa Amiri
4.5</v>
      </c>
      <c r="J33" s="432" t="str">
        <f t="array" ref="J33">INDEX(Import!K:K,MATCH(C33,Name,0))</f>
        <v>Pass to DiT. IndieBio NY startup, and they referred to us. Loved their pitch; obviously IB helped them a lot! Good team. Good market potential and innovation.</v>
      </c>
      <c r="K33" s="431" t="str">
        <f t="array" aca="1" ref="K33" ca="1">CONCATENATE(INDEX('Form Import'!D:D,MATCH(A33,'Form Import'!F:F,0)),CHAR(10),INDEX('Form Import'!V:V,MATCH(A33,'Form Import'!F:F,0)))</f>
        <v>Nick Schmandt
3</v>
      </c>
      <c r="L33" s="432" t="str">
        <f t="array" aca="1" ref="L33" ca="1">INDEX('Form Import'!W:W,MATCH(A33,'Form Import'!F:F,0))</f>
        <v>I want to rank these guys higher, it's a very sexy product with potentially massive returns, but my biggest issue is that it's not clear what stage the product is in, if it's finished or when it will be finished, and how they will prove it works. It's possible it ultimately fails, though they could presumably simply adjust the software, but that will take time and they don't seem to have thought about that. They may not have enough funds to get the product to market.</v>
      </c>
      <c r="M33" s="430"/>
      <c r="N33" s="430" t="str">
        <f t="array" aca="1" ref="N33" ca="1">INDEX('Form Import'!L:L,MATCH($A33,'Form Import'!$F:$F,0))</f>
        <v>Again, it's a great idea and should not be that hard to build, but it's not clear where they are in the process. Is it complete but untested, or have they not built it yet?</v>
      </c>
      <c r="O33" s="430" t="str">
        <f t="array" aca="1" ref="O33" ca="1">INDEX('Form Import'!O:O,MATCH($A33,'Form Import'!$F:$F,0))</f>
        <v>Addressable market is large, but they have no customers yet.</v>
      </c>
      <c r="P33" s="430" t="str">
        <f t="array" aca="1" ref="P33" ca="1">INDEX('Form Import'!S:S,MATCH($A33,'Form Import'!$F:$F,0))</f>
        <v>They have a diverse set of experiences.</v>
      </c>
      <c r="Q33" s="430"/>
      <c r="R33" s="430"/>
      <c r="S33" s="430" t="e">
        <f t="array" aca="1" ref="S33" ca="1">_xludf.TextJoin("; ",1,INDEX(Import!S:S,MATCH(C33,Name,0)))</f>
        <v>#NAME?</v>
      </c>
    </row>
    <row r="34" spans="1:19" ht="60">
      <c r="A34" s="418" t="s">
        <v>2522</v>
      </c>
      <c r="B34" s="419" t="str">
        <f t="array" aca="1" ref="B34" ca="1">CONCATENATE(TEXT(INDEX(query!A:A,MATCH(C34,query!B:B,0)),"M/DD/YYY"),CHAR(10),INDEX(query!E:E,MATCH(C34,query!B:B,0)))</f>
        <v>8/23/2022
Invite Next Year</v>
      </c>
      <c r="C34" s="85" t="s">
        <v>2515</v>
      </c>
      <c r="D34" s="420">
        <f t="array" ref="D34">INDEX(Import!D:D,MATCH(C34,Name,0))</f>
        <v>3.75</v>
      </c>
      <c r="E34" s="421">
        <f t="array" aca="1" ref="E34" ca="1">(INDEX(Import!I:I,MATCH(C34,Name,0))+INDEX(Import!L:L,MATCH(C34,Name,0))+INDEX('Form Import'!V:V,MATCH(A34,'Form Import'!F:F,0)))/3</f>
        <v>3.5</v>
      </c>
      <c r="F34" s="422" t="str">
        <f t="array" ref="F34">INDEX(Import!E:E,MATCH(C34,Name,0))</f>
        <v>EASEEbot performs roof and façade scans using robotics and AI to lower the cost of building envelope inspections that check for moisture and deterioration. We provide value to building owners by eliminating the requirement and cost for destructive testing of roof and façade assemblies.</v>
      </c>
      <c r="G34" s="423" t="str">
        <f t="array" ref="G34">CONCATENATE(INDEX(Import!G:G,MATCH(C34,Import!C:C,0)),CHAR(10),INDEX(Import!I:I,MATCH(C34,Name,0)))</f>
        <v>Khoa Ma
3.5</v>
      </c>
      <c r="H34" s="424" t="str">
        <f t="array" ref="H34">INDEX(Import!H:H,MATCH(C34,Name,0))</f>
        <v>DiT
using robotics and AI to lower the cost of building envelope inspections that check for moisture and deterioration
need to scale out sales and customer pipelines
what is the moat and competitive advantage</v>
      </c>
      <c r="I34" s="423" t="str">
        <f t="array" ref="I34">CONCATENATE(INDEX(Import!J:J,MATCH(C34,Name,0)),CHAR(10),INDEX(Import!L:L,MATCH(C34,Name,0)))</f>
        <v>Yagnik Mehta
4</v>
      </c>
      <c r="J34" s="424" t="str">
        <f t="array" ref="J34">INDEX(Import!K:K,MATCH(C34,Name,0))</f>
        <v>Bit early for EFL, good fit for next year, but we can interview them.</v>
      </c>
      <c r="K34" s="423" t="str">
        <f t="array" aca="1" ref="K34" ca="1">CONCATENATE(INDEX('Form Import'!D:D,MATCH(A34,'Form Import'!F:F,0)),CHAR(10),INDEX('Form Import'!V:V,MATCH(A34,'Form Import'!F:F,0)))</f>
        <v>John McDonald
3</v>
      </c>
      <c r="L34" s="424">
        <f t="array" aca="1" ref="L34" ca="1">INDEX('Form Import'!W:W,MATCH(A34,'Form Import'!F:F,0))</f>
        <v>0</v>
      </c>
      <c r="M34" s="422"/>
      <c r="N34" s="422">
        <f t="array" aca="1" ref="N34" ca="1">INDEX('Form Import'!L:L,MATCH($A34,'Form Import'!$F:$F,0))</f>
        <v>0</v>
      </c>
      <c r="O34" s="422">
        <f t="array" aca="1" ref="O34" ca="1">INDEX('Form Import'!O:O,MATCH($A34,'Form Import'!$F:$F,0))</f>
        <v>0</v>
      </c>
      <c r="P34" s="422">
        <f t="array" aca="1" ref="P34" ca="1">INDEX('Form Import'!S:S,MATCH($A34,'Form Import'!$F:$F,0))</f>
        <v>0</v>
      </c>
      <c r="Q34" s="422"/>
      <c r="R34" s="422"/>
      <c r="S34" s="422" t="e">
        <f t="array" aca="1" ref="S34" ca="1">_xludf.TextJoin("; ",1,INDEX(Import!S:S,MATCH(C34,Name,0)))</f>
        <v>#NAME?</v>
      </c>
    </row>
    <row r="35" spans="1:19" ht="96">
      <c r="A35" s="425" t="s">
        <v>5467</v>
      </c>
      <c r="B35" s="426" t="str">
        <f t="array" aca="1" ref="B35" ca="1">CONCATENATE(TEXT(INDEX(query!A:A,MATCH(C35,query!B:B,0)),"M/DD/YYY"),CHAR(10),INDEX(query!E:E,MATCH(C35,query!B:B,0)))</f>
        <v>8/23/2022
Invite Next Year</v>
      </c>
      <c r="C35" s="427" t="s">
        <v>5458</v>
      </c>
      <c r="D35" s="428">
        <f t="array" ref="D35">INDEX(Import!D:D,MATCH(C35,Name,0))</f>
        <v>3</v>
      </c>
      <c r="E35" s="429">
        <f t="array" aca="1" ref="E35" ca="1">(INDEX(Import!I:I,MATCH(C35,Name,0))+INDEX(Import!L:L,MATCH(C35,Name,0))+INDEX('Form Import'!V:V,MATCH(A35,'Form Import'!F:F,0)))/3</f>
        <v>2.6666666666666665</v>
      </c>
      <c r="F35" s="430" t="str">
        <f t="array" ref="F35">INDEX(Import!E:E,MATCH(C35,Name,0))</f>
        <v>Edupay is a socially driven fintech startup that aims to enable families to access education by connecting them with knowledge and financing sources.</v>
      </c>
      <c r="G35" s="431" t="str">
        <f t="array" ref="G35">CONCATENATE(INDEX(Import!G:G,MATCH(C35,Import!C:C,0)),CHAR(10),INDEX(Import!I:I,MATCH(C35,Name,0)))</f>
        <v>Matt Myers
3</v>
      </c>
      <c r="H35" s="432" t="str">
        <f t="array" ref="H35">INDEX(Import!H:H,MATCH(C35,Name,0))</f>
        <v>Idea &amp; tech is somewhat novel, but seems early/premature. Still building/testing/validating tech. Invite next year?</v>
      </c>
      <c r="I35" s="431" t="str">
        <f t="array" ref="I35">CONCATENATE(INDEX(Import!J:J,MATCH(C35,Name,0)),CHAR(10),INDEX(Import!L:L,MATCH(C35,Name,0)))</f>
        <v>Nicole McKnight
3</v>
      </c>
      <c r="J35" s="432" t="str">
        <f t="array" ref="J35">INDEX(Import!K:K,MATCH(C35,Name,0))</f>
        <v>Their message is not very clear and they do not explain their technology very well (I don't think this is a language barrier thing).  They use very mission-driven messaging but the mission is not easy to understand.  I think the EFL program would help with this.  But I don't think the technology is disruptive, or the market large enough.  They claim they have $1M circled for a $2M pre-seed round (it sounds more like it should be a seed round... but it doesn't matter).  This is a low-3 I think.</v>
      </c>
      <c r="K35" s="431" t="str">
        <f t="array" aca="1" ref="K35" ca="1">CONCATENATE(INDEX('Form Import'!D:D,MATCH(A35,'Form Import'!F:F,0)),CHAR(10),INDEX('Form Import'!V:V,MATCH(A35,'Form Import'!F:F,0)))</f>
        <v>Nick Schmandt
2</v>
      </c>
      <c r="L35" s="432" t="str">
        <f t="array" aca="1" ref="L35" ca="1">INDEX('Form Import'!W:W,MATCH(A35,'Form Import'!F:F,0))</f>
        <v>Love the idea, but they have only raised a very small amount of money so far, and this is a highly risky area as they will have a lot of loans and may have an issue with defaults in the future. It's not clear what they have done to prepare for this. Team experience in banking/education is somewhat weak.</v>
      </c>
      <c r="M35" s="430"/>
      <c r="N35" s="430" t="str">
        <f t="array" aca="1" ref="N35" ca="1">INDEX('Form Import'!L:L,MATCH($A35,'Form Import'!$F:$F,0))</f>
        <v>This is not a novel technology, but rather pursuing a niche market.</v>
      </c>
      <c r="O35" s="430" t="str">
        <f t="array" aca="1" ref="O35" ca="1">INDEX('Form Import'!O:O,MATCH($A35,'Form Import'!$F:$F,0))</f>
        <v>Addressable market is reasonable, especially if they expand into other areas of financing in Egypt.</v>
      </c>
      <c r="P35" s="430" t="str">
        <f t="array" aca="1" ref="P35" ca="1">INDEX('Form Import'!S:S,MATCH($A35,'Form Import'!$F:$F,0))</f>
        <v>Team does not have a lot of experience in this area, and the tech is not novel.</v>
      </c>
      <c r="Q35" s="430"/>
      <c r="R35" s="430"/>
      <c r="S35" s="430" t="e">
        <f t="array" aca="1" ref="S35" ca="1">_xludf.TextJoin("; ",1,INDEX(Import!S:S,MATCH(C35,Name,0)))</f>
        <v>#NAME?</v>
      </c>
    </row>
    <row r="36" spans="1:19" ht="84">
      <c r="A36" s="418" t="s">
        <v>13142</v>
      </c>
      <c r="B36" s="419" t="str">
        <f t="array" aca="1" ref="B36" ca="1">CONCATENATE(TEXT(INDEX(query!A:A,MATCH(C36,query!B:B,0)),"M/DD/YYY"),CHAR(10),INDEX(query!E:E,MATCH(C36,query!B:B,0)))</f>
        <v>8/23/2022
Invite</v>
      </c>
      <c r="C36" s="85" t="s">
        <v>205</v>
      </c>
      <c r="D36" s="420">
        <f t="array" ref="D36">INDEX(Import!D:D,MATCH(C36,Name,0))</f>
        <v>4</v>
      </c>
      <c r="E36" s="421">
        <f t="array" aca="1" ref="E36" ca="1">(INDEX(Import!I:I,MATCH(C36,Name,0))+INDEX(Import!L:L,MATCH(C36,Name,0))+INDEX('Form Import'!V:V,MATCH(A36,'Form Import'!F:F,0)))/3</f>
        <v>4</v>
      </c>
      <c r="F36" s="422" t="str">
        <f t="array" ref="F36">INDEX(Import!E:E,MATCH(C36,Name,0))</f>
        <v>Efani provides secure mobile service to important people in financial, political &amp; legal. Think ATT but Secure. We guarantee protection against SIM Swap Attacks and provide $5M Insurance coverage</v>
      </c>
      <c r="G36" s="423" t="str">
        <f t="array" ref="G36">CONCATENATE(INDEX(Import!G:G,MATCH(C36,Import!C:C,0)),CHAR(10),INDEX(Import!I:I,MATCH(C36,Name,0)))</f>
        <v>Matt Myers
4</v>
      </c>
      <c r="H36" s="424" t="str">
        <f t="array" ref="H36">INDEX(Import!H:H,MATCH(C36,Name,0))</f>
        <v>Potential for high impact, possibly a novel technology (not much info about tech itself), potentially disruptive to telecommunications industry, great momentum, would like to interview to learn more about tech.</v>
      </c>
      <c r="I36" s="423" t="str">
        <f t="array" ref="I36">CONCATENATE(INDEX(Import!J:J,MATCH(C36,Name,0)),CHAR(10),INDEX(Import!L:L,MATCH(C36,Name,0)))</f>
        <v>Nicole McKnight
4</v>
      </c>
      <c r="J36" s="424" t="str">
        <f t="array" ref="J36">INDEX(Import!K:K,MATCH(C36,Name,0))</f>
        <v>I followed their link to see how secure my phone was and there was a lot of scary information that is linked to my phone including old addresses, names of my family members, etc.  So I could see the value of this service.  They have raised a lot of money and seem to have loyal customers.  They are even profitable.  I just have questions about the mobile network itself and how advanced and disruptive the technology is.</v>
      </c>
      <c r="K36" s="423" t="str">
        <f t="array" aca="1" ref="K36" ca="1">CONCATENATE(INDEX('Form Import'!D:D,MATCH(A36,'Form Import'!F:F,0)),CHAR(10),INDEX('Form Import'!V:V,MATCH(A36,'Form Import'!F:F,0)))</f>
        <v>Nick Schmandt
4</v>
      </c>
      <c r="L36" s="424" t="str">
        <f t="array" aca="1" ref="L36" ca="1">INDEX('Form Import'!W:W,MATCH(A36,'Form Import'!F:F,0))</f>
        <v>I want to give them a five, they are already turning in 2.6M in revenue, likely with plenty of room to expand. However, the team is small, though reasonably experienced, and its not clear how sophisticated this tech really is.</v>
      </c>
      <c r="M36" s="422"/>
      <c r="N36" s="422" t="str">
        <f t="array" aca="1" ref="N36" ca="1">INDEX('Form Import'!L:L,MATCH($A36,'Form Import'!$F:$F,0))</f>
        <v>This does not seem to be highly sophisticated, but it prevents most common kinds of attacks.</v>
      </c>
      <c r="O36" s="422" t="str">
        <f t="array" aca="1" ref="O36" ca="1">INDEX('Form Import'!O:O,MATCH($A36,'Form Import'!$F:$F,0))</f>
        <v>They have great revenues, hopefully no scalability issues.</v>
      </c>
      <c r="P36" s="422" t="str">
        <f t="array" aca="1" ref="P36" ca="1">INDEX('Form Import'!S:S,MATCH($A36,'Form Import'!$F:$F,0))</f>
        <v>The team is a little small, the tech is not super innovative.</v>
      </c>
      <c r="Q36" s="422"/>
      <c r="R36" s="422"/>
      <c r="S36" s="422" t="e">
        <f t="array" aca="1" ref="S36" ca="1">_xludf.TextJoin("; ",1,INDEX(Import!S:S,MATCH(C36,Name,0)))</f>
        <v>#NAME?</v>
      </c>
    </row>
    <row r="37" spans="1:19" ht="108">
      <c r="A37" s="425" t="s">
        <v>10009</v>
      </c>
      <c r="B37" s="426" t="str">
        <f t="array" aca="1" ref="B37" ca="1">CONCATENATE(TEXT(INDEX(query!A:A,MATCH(C37,query!B:B,0)),"M/DD/YYY"),CHAR(10),INDEX(query!E:E,MATCH(C37,query!B:B,0)))</f>
        <v>8/16/2022
Invite</v>
      </c>
      <c r="C37" s="427" t="s">
        <v>373</v>
      </c>
      <c r="D37" s="428">
        <f t="array" ref="D37">INDEX(Import!D:D,MATCH(C37,Name,0))</f>
        <v>3</v>
      </c>
      <c r="E37" s="429">
        <f t="array" aca="1" ref="E37" ca="1">(INDEX(Import!I:I,MATCH(C37,Name,0))+INDEX(Import!L:L,MATCH(C37,Name,0))+INDEX('Form Import'!V:V,MATCH(A37,'Form Import'!F:F,0)))/3</f>
        <v>3.3333333333333335</v>
      </c>
      <c r="F37" s="430" t="str">
        <f t="array" ref="F37">INDEX(Import!E:E,MATCH(C37,Name,0))</f>
        <v>EllieGrid is the only medication management tool that has shown it can improve and track medication adherence effectively. As a result, we now help companies like J&amp;J run clinical trials, Centene prevent costly non-adherence events, Amazon know when to ship auto refills and  CVS sell our product in stores across the country.</v>
      </c>
      <c r="G37" s="431" t="str">
        <f t="array" ref="G37">CONCATENATE(INDEX(Import!G:G,MATCH(C37,Import!C:C,0)),CHAR(10),INDEX(Import!I:I,MATCH(C37,Name,0)))</f>
        <v>Chris Mosher
3</v>
      </c>
      <c r="H37" s="432" t="str">
        <f t="array" ref="H37">INDEX(Import!H:H,MATCH(C37,Name,0))</f>
        <v>Digital OR deep tech. A pill box and associated app that reminds users when to take medication, and tells them which pill in the box and how many to take. The box collects data regarding user behavior, and AI/ML to predict adherence behavior. 10K units sold ($49K/month revenues), 77% increased adherence, 95% retention. The 3 founders are all Forbes 30U30, but otherwise do not seem to have have deep technical experience.  They have deals with J&amp;J and others they cannot name, are selling on Amazon, and as of 2023 will reimburse clinicians who prescribe the product to their patients.</v>
      </c>
      <c r="I37" s="431" t="str">
        <f t="array" ref="I37">CONCATENATE(INDEX(Import!J:J,MATCH(C37,Name,0)),CHAR(10),INDEX(Import!L:L,MATCH(C37,Name,0)))</f>
        <v>Larisa Kagermazova
3</v>
      </c>
      <c r="J37" s="432" t="str">
        <f t="array" ref="J37">INDEX(Import!K:K,MATCH(C37,Name,0))</f>
        <v>Help:
- J&amp;J run clinical trials
- Centene prevent costly non-adherence events
- Amazon know when to ship auto refills
- CVS sell our product in stores across the country.</v>
      </c>
      <c r="K37" s="431" t="str">
        <f t="array" aca="1" ref="K37" ca="1">CONCATENATE(INDEX('Form Import'!D:D,MATCH(A37,'Form Import'!F:F,0)),CHAR(10),INDEX('Form Import'!V:V,MATCH(A37,'Form Import'!F:F,0)))</f>
        <v>Nick Schmandt
4</v>
      </c>
      <c r="L37" s="432" t="str">
        <f t="array" aca="1" ref="L37" ca="1">INDEX('Form Import'!W:W,MATCH(A37,'Form Import'!F:F,0))</f>
        <v>They have great revenue and customer retention, however they seem to be small scale, and it may be challenging to ramp up in such a competitive marketspace. Also potentially an issue for elderly to use a device like this.</v>
      </c>
      <c r="M37" s="430"/>
      <c r="N37" s="430" t="str">
        <f t="array" aca="1" ref="N37" ca="1">INDEX('Form Import'!L:L,MATCH($A37,'Form Import'!$F:$F,0))</f>
        <v>This is a neat device, it is simple, but may not be simple enough for seniors.</v>
      </c>
      <c r="O37" s="430" t="str">
        <f t="array" aca="1" ref="O37" ca="1">INDEX('Form Import'!O:O,MATCH($A37,'Form Import'!$F:$F,0))</f>
        <v>They have a good niche and plenty of room to grow. The only concern is if seniors will be able to use their device or if it's too complicated for them.</v>
      </c>
      <c r="P37" s="430" t="str">
        <f t="array" aca="1" ref="P37" ca="1">INDEX('Form Import'!S:S,MATCH($A37,'Form Import'!$F:$F,0))</f>
        <v>Team is inexperienced, but they are far enough along it doesn't matter.</v>
      </c>
      <c r="Q37" s="430"/>
      <c r="R37" s="430"/>
      <c r="S37" s="430" t="e">
        <f t="array" aca="1" ref="S37" ca="1">_xludf.TextJoin("; ",1,INDEX(Import!S:S,MATCH(C37,Name,0)))</f>
        <v>#NAME?</v>
      </c>
    </row>
    <row r="38" spans="1:19" ht="48">
      <c r="A38" s="418" t="s">
        <v>13143</v>
      </c>
      <c r="B38" s="419" t="str">
        <f t="array" aca="1" ref="B38" ca="1">CONCATENATE(TEXT(INDEX(query!A:A,MATCH(C38,query!B:B,0)),"M/DD/YYY"),CHAR(10),INDEX(query!E:E,MATCH(C38,query!B:B,0)))</f>
        <v>8/16/2022
Invite</v>
      </c>
      <c r="C38" s="85" t="s">
        <v>207</v>
      </c>
      <c r="D38" s="420">
        <f t="array" ref="D38">INDEX(Import!D:D,MATCH(C38,Name,0))</f>
        <v>4</v>
      </c>
      <c r="E38" s="421">
        <f t="array" aca="1" ref="E38" ca="1">(INDEX(Import!I:I,MATCH(C38,Name,0))+INDEX(Import!L:L,MATCH(C38,Name,0))+INDEX('Form Import'!V:V,MATCH(A38,'Form Import'!F:F,0)))/3</f>
        <v>3.3333333333333335</v>
      </c>
      <c r="F38" s="422" t="str">
        <f t="array" ref="F38">INDEX(Import!E:E,MATCH(C38,Name,0))</f>
        <v>Emani is a platform that transforms crowdsourced data from locals who matter into insights so that clients can monitor social risk before it's too late and understand opportunities for sustainability.</v>
      </c>
      <c r="G38" s="423" t="str">
        <f t="array" ref="G38">CONCATENATE(INDEX(Import!G:G,MATCH(C38,Import!C:C,0)),CHAR(10),INDEX(Import!I:I,MATCH(C38,Name,0)))</f>
        <v>Beth Xie
4</v>
      </c>
      <c r="H38" s="424" t="str">
        <f t="array" ref="H38">INDEX(Import!H:H,MATCH(C38,Name,0))</f>
        <v>- Showing market traction already after launch in 2021. 
- Intention to expand beyond Africa in 2026. 
- AI and local network to predict social risks to organizations before they happen.</v>
      </c>
      <c r="I38" s="423" t="str">
        <f t="array" ref="I38">CONCATENATE(INDEX(Import!J:J,MATCH(C38,Name,0)),CHAR(10),INDEX(Import!L:L,MATCH(C38,Name,0)))</f>
        <v>Matt Myers
4</v>
      </c>
      <c r="J38" s="424">
        <f t="array" ref="J38">INDEX(Import!K:K,MATCH(C38,Name,0))</f>
        <v>0</v>
      </c>
      <c r="K38" s="423" t="str">
        <f t="array" aca="1" ref="K38" ca="1">CONCATENATE(INDEX('Form Import'!D:D,MATCH(A38,'Form Import'!F:F,0)),CHAR(10),INDEX('Form Import'!V:V,MATCH(A38,'Form Import'!F:F,0)))</f>
        <v>John McDonald
2</v>
      </c>
      <c r="L38" s="424">
        <f t="array" aca="1" ref="L38" ca="1">INDEX('Form Import'!W:W,MATCH(A38,'Form Import'!F:F,0))</f>
        <v>0</v>
      </c>
      <c r="M38" s="422"/>
      <c r="N38" s="422">
        <f t="array" aca="1" ref="N38" ca="1">INDEX('Form Import'!L:L,MATCH($A38,'Form Import'!$F:$F,0))</f>
        <v>0</v>
      </c>
      <c r="O38" s="422">
        <f t="array" aca="1" ref="O38" ca="1">INDEX('Form Import'!O:O,MATCH($A38,'Form Import'!$F:$F,0))</f>
        <v>0</v>
      </c>
      <c r="P38" s="422">
        <f t="array" aca="1" ref="P38" ca="1">INDEX('Form Import'!S:S,MATCH($A38,'Form Import'!$F:$F,0))</f>
        <v>0</v>
      </c>
      <c r="Q38" s="422"/>
      <c r="R38" s="422"/>
      <c r="S38" s="422" t="e">
        <f t="array" aca="1" ref="S38" ca="1">_xludf.TextJoin("; ",1,INDEX(Import!S:S,MATCH(C38,Name,0)))</f>
        <v>#NAME?</v>
      </c>
    </row>
    <row r="39" spans="1:19" ht="72">
      <c r="A39" s="425" t="s">
        <v>13144</v>
      </c>
      <c r="B39" s="426" t="str">
        <f t="array" aca="1" ref="B39" ca="1">CONCATENATE(TEXT(INDEX(query!A:A,MATCH(C39,query!B:B,0)),"M/DD/YYY"),CHAR(10),INDEX(query!E:E,MATCH(C39,query!B:B,0)))</f>
        <v>8/16/2022
Invite</v>
      </c>
      <c r="C39" s="427" t="s">
        <v>13145</v>
      </c>
      <c r="D39" s="428">
        <f t="array" ref="D39">INDEX(Import!D:D,MATCH(C39,Name,0))</f>
        <v>4.5</v>
      </c>
      <c r="E39" s="429">
        <f t="array" aca="1" ref="E39" ca="1">(INDEX(Import!I:I,MATCH(C39,Name,0))+INDEX(Import!L:L,MATCH(C39,Name,0))+INDEX('Form Import'!V:V,MATCH(A39,'Form Import'!F:F,0)))/3</f>
        <v>4.666666666666667</v>
      </c>
      <c r="F39" s="430" t="str">
        <f t="array" ref="F39">INDEX(Import!E:E,MATCH(C39,Name,0))</f>
        <v>EMPIRI is a platform technology company with a current focus on precision oncology. EMPIRI?s novel 3D tumor slice culture platform enables personalized, empirical drug response predictions from diagnostic biopsies in 8 days. This platform has been shown to accurately predict patient responses in two retrospective clinical studies.</v>
      </c>
      <c r="G39" s="431" t="str">
        <f t="array" ref="G39">CONCATENATE(INDEX(Import!G:G,MATCH(C39,Import!C:C,0)),CHAR(10),INDEX(Import!I:I,MATCH(C39,Name,0)))</f>
        <v>Chris Mosher
4.5</v>
      </c>
      <c r="H39" s="432" t="str">
        <f t="array" ref="H39">INDEX(Import!H:H,MATCH(C39,Name,0))</f>
        <v>Similar to OncoPrecision, but uses tissue slices instead of blood samples. Their E-slice platform sections the tumor and tests different cancer treatments ex vivo to identify optimal outcomes. Validated in 2 retrospective clinical studies with 100% selectivity and specificity (n=9). Developed by a woman-led lab at Weill Cornell (Associate Prof. is CSO). CEO has prior startup experience.</v>
      </c>
      <c r="I39" s="431" t="str">
        <f t="array" ref="I39">CONCATENATE(INDEX(Import!J:J,MATCH(C39,Name,0)),CHAR(10),INDEX(Import!L:L,MATCH(C39,Name,0)))</f>
        <v>Parsa Amiri
4.5</v>
      </c>
      <c r="J39" s="432" t="str">
        <f t="array" ref="J39">INDEX(Import!K:K,MATCH(C39,Name,0))</f>
        <v>J&amp;J JLABS startup. Great team. Cornell, Caltech, Stanford affiliation. Developing a platform named e-slice, for slicing tumor biopsies and testing each slice with different cancer treatments ex-vivo (Chemotherapy, Radiotherapy, Immunotherapy, Targeted therapy, and combinations covered.) to predict patient's reaction to each therapy, and finding the most optimized one.</v>
      </c>
      <c r="K39" s="431" t="str">
        <f t="array" aca="1" ref="K39" ca="1">CONCATENATE(INDEX('Form Import'!D:D,MATCH(A39,'Form Import'!F:F,0)),CHAR(10),INDEX('Form Import'!V:V,MATCH(A39,'Form Import'!F:F,0)))</f>
        <v>John McDonald
5</v>
      </c>
      <c r="L39" s="432">
        <f t="array" aca="1" ref="L39" ca="1">INDEX('Form Import'!W:W,MATCH(A39,'Form Import'!F:F,0))</f>
        <v>0</v>
      </c>
      <c r="M39" s="430"/>
      <c r="N39" s="430">
        <f t="array" aca="1" ref="N39" ca="1">INDEX('Form Import'!L:L,MATCH($A39,'Form Import'!$F:$F,0))</f>
        <v>0</v>
      </c>
      <c r="O39" s="430">
        <f t="array" aca="1" ref="O39" ca="1">INDEX('Form Import'!O:O,MATCH($A39,'Form Import'!$F:$F,0))</f>
        <v>0</v>
      </c>
      <c r="P39" s="430">
        <f t="array" aca="1" ref="P39" ca="1">INDEX('Form Import'!S:S,MATCH($A39,'Form Import'!$F:$F,0))</f>
        <v>0</v>
      </c>
      <c r="Q39" s="430"/>
      <c r="R39" s="430"/>
      <c r="S39" s="430" t="e">
        <f t="array" aca="1" ref="S39" ca="1">_xludf.TextJoin("; ",1,INDEX(Import!S:S,MATCH(C39,Name,0)))</f>
        <v>#NAME?</v>
      </c>
    </row>
    <row r="40" spans="1:19" ht="84">
      <c r="A40" s="418" t="s">
        <v>13146</v>
      </c>
      <c r="B40" s="419" t="str">
        <f t="array" aca="1" ref="B40" ca="1">CONCATENATE(TEXT(INDEX(query!A:A,MATCH(C40,query!B:B,0)),"M/DD/YYY"),CHAR(10),INDEX(query!E:E,MATCH(C40,query!B:B,0)))</f>
        <v>8/18/2022
Revisit/ Cluster</v>
      </c>
      <c r="C40" s="85" t="s">
        <v>87</v>
      </c>
      <c r="D40" s="420">
        <f t="array" ref="D40">INDEX(Import!D:D,MATCH(C40,Name,0))</f>
        <v>4</v>
      </c>
      <c r="E40" s="421">
        <f t="array" aca="1" ref="E40" ca="1">(INDEX(Import!I:I,MATCH(C40,Name,0))+INDEX(Import!L:L,MATCH(C40,Name,0))+INDEX('Form Import'!V:V,MATCH(A40,'Form Import'!F:F,0)))/3</f>
        <v>4</v>
      </c>
      <c r="F40" s="422" t="str">
        <f t="array" ref="F40">INDEX(Import!E:E,MATCH(C40,Name,0))</f>
        <v>At Empo Health, we're using in-home remote patient monitoring to eliminate the severe diabetic foot ulcers suffered by 1 in 4 patients with diabetes, by solving the problem of patient compliance and giving physicians reliable eyes outside the clinic through an imaging bathroom scale and accompanying remote patient monitoring platform.</v>
      </c>
      <c r="G40" s="423" t="str">
        <f t="array" ref="G40">CONCATENATE(INDEX(Import!G:G,MATCH(C40,Import!C:C,0)),CHAR(10),INDEX(Import!I:I,MATCH(C40,Name,0)))</f>
        <v>Chris Mosher
4</v>
      </c>
      <c r="H40" s="424" t="str">
        <f t="array" ref="H40">INDEX(Import!H:H,MATCH(C40,Name,0))</f>
        <v>Deep tech. Bathroom scale that incorporates pressure sensors and imaging to detect changes in the feet due to ulcerative diabetes, and relays this information to a clinical team (no app needed). Tested extensively on patients to develop prototype. $2M in funding + SBIR Ph I. Co-founders from MIT and Stanford (went through Biodesign and StartX). Some star advisors. Referred by Dov Shamir (Mount Sinai Elementa Labs).</v>
      </c>
      <c r="I40" s="423" t="str">
        <f t="array" ref="I40">CONCATENATE(INDEX(Import!J:J,MATCH(C40,Name,0)),CHAR(10),INDEX(Import!L:L,MATCH(C40,Name,0)))</f>
        <v>Parsa Amiri
4</v>
      </c>
      <c r="J40" s="424" t="str">
        <f t="array" ref="J40">INDEX(Import!K:K,MATCH(C40,Name,0))</f>
        <v>Pass to Deep Tech. Referred by Dov Shamir. Stanford and MIT affiliation. A device like a bathroom scale that take pictures of Diabetic Foot Ulcer patients and digitalize and monitor their condition.</v>
      </c>
      <c r="K40" s="423" t="str">
        <f t="array" aca="1" ref="K40" ca="1">CONCATENATE(INDEX('Form Import'!D:D,MATCH(A40,'Form Import'!F:F,0)),CHAR(10),INDEX('Form Import'!V:V,MATCH(A40,'Form Import'!F:F,0)))</f>
        <v>John McDonald
4</v>
      </c>
      <c r="L40" s="424">
        <f t="array" aca="1" ref="L40" ca="1">INDEX('Form Import'!W:W,MATCH(A40,'Form Import'!F:F,0))</f>
        <v>0</v>
      </c>
      <c r="M40" s="422"/>
      <c r="N40" s="422">
        <f t="array" aca="1" ref="N40" ca="1">INDEX('Form Import'!L:L,MATCH($A40,'Form Import'!$F:$F,0))</f>
        <v>0</v>
      </c>
      <c r="O40" s="422">
        <f t="array" aca="1" ref="O40" ca="1">INDEX('Form Import'!O:O,MATCH($A40,'Form Import'!$F:$F,0))</f>
        <v>0</v>
      </c>
      <c r="P40" s="422">
        <f t="array" aca="1" ref="P40" ca="1">INDEX('Form Import'!S:S,MATCH($A40,'Form Import'!$F:$F,0))</f>
        <v>0</v>
      </c>
      <c r="Q40" s="422"/>
      <c r="R40" s="422"/>
      <c r="S40" s="422" t="e">
        <f t="array" aca="1" ref="S40" ca="1">_xludf.TextJoin("; ",1,INDEX(Import!S:S,MATCH(C40,Name,0)))</f>
        <v>#NAME?</v>
      </c>
    </row>
    <row r="41" spans="1:19" ht="48">
      <c r="A41" s="425" t="s">
        <v>9700</v>
      </c>
      <c r="B41" s="426" t="str">
        <f t="array" aca="1" ref="B41" ca="1">CONCATENATE(TEXT(INDEX(query!A:A,MATCH(C41,query!B:B,0)),"M/DD/YYY"),CHAR(10),INDEX(query!E:E,MATCH(C41,query!B:B,0)))</f>
        <v>8/18/2022
Invite</v>
      </c>
      <c r="C41" s="427" t="s">
        <v>332</v>
      </c>
      <c r="D41" s="428">
        <f t="array" ref="D41">INDEX(Import!D:D,MATCH(C41,Name,0))</f>
        <v>4</v>
      </c>
      <c r="E41" s="429">
        <f t="array" aca="1" ref="E41" ca="1">(INDEX(Import!I:I,MATCH(C41,Name,0))+INDEX(Import!L:L,MATCH(C41,Name,0))+INDEX('Form Import'!V:V,MATCH(A41,'Form Import'!F:F,0)))/3</f>
        <v>3.3333333333333335</v>
      </c>
      <c r="F41" s="430" t="str">
        <f t="array" ref="F41">INDEX(Import!E:E,MATCH(C41,Name,0))</f>
        <v>EndObetes has developed a device to treat type-2 diabetes and obesity that will put diabetes into remission and cause significant weight loss</v>
      </c>
      <c r="G41" s="431" t="str">
        <f t="array" ref="G41">CONCATENATE(INDEX(Import!G:G,MATCH(C41,Import!C:C,0)),CHAR(10),INDEX(Import!I:I,MATCH(C41,Name,0)))</f>
        <v>Deepak Hegde
4</v>
      </c>
      <c r="H41" s="432" t="str">
        <f t="array" ref="H41">INDEX(Import!H:H,MATCH(C41,Name,0))</f>
        <v>Interesting device, which, if it works, seems to solve a known problem.   Id like to know efficacy of such procedures to address diabetes and validation data establishing superiority of proposed procedure relative to existing methods.</v>
      </c>
      <c r="I41" s="431" t="str">
        <f t="array" ref="I41">CONCATENATE(INDEX(Import!J:J,MATCH(C41,Name,0)),CHAR(10),INDEX(Import!L:L,MATCH(C41,Name,0)))</f>
        <v>Larisa Kagermazova
4</v>
      </c>
      <c r="J41" s="432">
        <f t="array" ref="J41">INDEX(Import!K:K,MATCH(C41,Name,0))</f>
        <v>0</v>
      </c>
      <c r="K41" s="431" t="str">
        <f t="array" aca="1" ref="K41" ca="1">CONCATENATE(INDEX('Form Import'!D:D,MATCH(A41,'Form Import'!F:F,0)),CHAR(10),INDEX('Form Import'!V:V,MATCH(A41,'Form Import'!F:F,0)))</f>
        <v>Nick Schmandt
2</v>
      </c>
      <c r="L41" s="432" t="str">
        <f t="array" aca="1" ref="L41" ca="1">INDEX('Form Import'!W:W,MATCH(A41,'Form Import'!F:F,0))</f>
        <v>It seems like a great idea, but it's not clear if the founder is really serious about it. He has not built a team and has only raised a very small sum of money. He will need more efficacy data to get the product to raise serious money.</v>
      </c>
      <c r="M41" s="430"/>
      <c r="N41" s="430" t="str">
        <f t="array" aca="1" ref="N41" ca="1">INDEX('Form Import'!L:L,MATCH($A41,'Form Import'!$F:$F,0))</f>
        <v>This is a very innovative technology that seems likely to work.</v>
      </c>
      <c r="O41" s="430" t="str">
        <f t="array" aca="1" ref="O41" ca="1">INDEX('Form Import'!O:O,MATCH($A41,'Form Import'!$F:$F,0))</f>
        <v>Still in testing with the FDA</v>
      </c>
      <c r="P41" s="430" t="str">
        <f t="array" aca="1" ref="P41" ca="1">INDEX('Form Import'!S:S,MATCH($A41,'Form Import'!$F:$F,0))</f>
        <v>Unclear how much experience the founder has. It seems to just be him, without any cofounders, which is not a good sign.</v>
      </c>
      <c r="Q41" s="430"/>
      <c r="R41" s="430"/>
      <c r="S41" s="430" t="e">
        <f t="array" aca="1" ref="S41" ca="1">_xludf.TextJoin("; ",1,INDEX(Import!S:S,MATCH(C41,Name,0)))</f>
        <v>#NAME?</v>
      </c>
    </row>
    <row r="42" spans="1:19" ht="48">
      <c r="A42" s="418" t="s">
        <v>9513</v>
      </c>
      <c r="B42" s="419" t="str">
        <f t="array" aca="1" ref="B42" ca="1">CONCATENATE(TEXT(INDEX(query!A:A,MATCH(C42,query!B:B,0)),"M/DD/YYY"),CHAR(10),INDEX(query!E:E,MATCH(C42,query!B:B,0)))</f>
        <v>8/09/2022
Revisit/ Cluster</v>
      </c>
      <c r="C42" s="85" t="s">
        <v>273</v>
      </c>
      <c r="D42" s="420">
        <f t="array" ref="D42">INDEX(Import!D:D,MATCH(C42,Name,0))</f>
        <v>3.88</v>
      </c>
      <c r="E42" s="421">
        <f t="array" aca="1" ref="E42" ca="1">(INDEX(Import!I:I,MATCH(C42,Name,0))+INDEX(Import!L:L,MATCH(C42,Name,0))+INDEX('Form Import'!V:V,MATCH(A42,'Form Import'!F:F,0)))/3</f>
        <v>3.5833333333333335</v>
      </c>
      <c r="F42" s="422" t="str">
        <f t="array" ref="F42">INDEX(Import!E:E,MATCH(C42,Name,0))</f>
        <v>Engage Labs builds software solutions for political and civic engagement. Anywhere politics meets technology, products and services are a decade behind what would be considered industry standard in any other sector. We are building products like mobile tools to connect campaigns and voters and a platform for FEC compliant crypto donations.</v>
      </c>
      <c r="G42" s="423" t="str">
        <f t="array" ref="G42">CONCATENATE(INDEX(Import!G:G,MATCH(C42,Import!C:C,0)),CHAR(10),INDEX(Import!I:I,MATCH(C42,Name,0)))</f>
        <v>Beth Xie
3.75</v>
      </c>
      <c r="H42" s="424" t="str">
        <f t="array" ref="H42">INDEX(Import!H:H,MATCH(C42,Name,0))</f>
        <v>The team has a very strong team of advisors. Legally compliant crypto donations for political campaigns is a new area for EFL. We need to understand their capacity for go-to-market and execution of their vision.</v>
      </c>
      <c r="I42" s="423" t="str">
        <f t="array" ref="I42">CONCATENATE(INDEX(Import!J:J,MATCH(C42,Name,0)),CHAR(10),INDEX(Import!L:L,MATCH(C42,Name,0)))</f>
        <v>Boyang Yu
4</v>
      </c>
      <c r="J42" s="424" t="str">
        <f t="array" ref="J42">INDEX(Import!K:K,MATCH(C42,Name,0))</f>
        <v>A new area worth looking into. The technology itself might not be very cutting-edge, but potential market is prospective.</v>
      </c>
      <c r="K42" s="423" t="str">
        <f t="array" aca="1" ref="K42" ca="1">CONCATENATE(INDEX('Form Import'!D:D,MATCH(A42,'Form Import'!F:F,0)),CHAR(10),INDEX('Form Import'!V:V,MATCH(A42,'Form Import'!F:F,0)))</f>
        <v>Jason Yu
3</v>
      </c>
      <c r="L42" s="424" t="str">
        <f t="array" aca="1" ref="L42" ca="1">INDEX('Form Import'!W:W,MATCH(A42,'Form Import'!F:F,0))</f>
        <v>Biggest risks are 1) PMF challenges with crypto political fundraising, and 2) lack of consumer interest in the voting app.</v>
      </c>
      <c r="M42" s="422"/>
      <c r="N42" s="422" t="str">
        <f t="array" aca="1" ref="N42" ca="1">INDEX('Form Import'!L:L,MATCH($A42,'Form Import'!$F:$F,0))</f>
        <v>Through our voter app, we could potentially (eventually) partner with the government on
election security matters.</v>
      </c>
      <c r="O42" s="422" t="str">
        <f t="array" aca="1" ref="O42" ca="1">INDEX('Form Import'!O:O,MATCH($A42,'Form Import'!$F:$F,0))</f>
        <v>$1b+ TAM in the US, $5b+ worldwide.</v>
      </c>
      <c r="P42" s="422" t="str">
        <f t="array" aca="1" ref="P42" ca="1">INDEX('Form Import'!S:S,MATCH($A42,'Form Import'!$F:$F,0))</f>
        <v>Experience in crypto trading and software development</v>
      </c>
      <c r="Q42" s="422"/>
      <c r="R42" s="422"/>
      <c r="S42" s="422" t="e">
        <f t="array" aca="1" ref="S42" ca="1">_xludf.TextJoin("; ",1,INDEX(Import!S:S,MATCH(C42,Name,0)))</f>
        <v>#NAME?</v>
      </c>
    </row>
    <row r="43" spans="1:19" ht="60">
      <c r="A43" s="425" t="s">
        <v>608</v>
      </c>
      <c r="B43" s="426" t="str">
        <f t="array" aca="1" ref="B43" ca="1">CONCATENATE(TEXT(INDEX(query!A:A,MATCH(C43,query!B:B,0)),"M/DD/YYY"),CHAR(10),INDEX(query!E:E,MATCH(C43,query!B:B,0)))</f>
        <v>8/18/2022
Invite</v>
      </c>
      <c r="C43" s="427" t="s">
        <v>84</v>
      </c>
      <c r="D43" s="428">
        <f t="array" ref="D43">INDEX(Import!D:D,MATCH(C43,Name,0))</f>
        <v>4.5</v>
      </c>
      <c r="E43" s="429">
        <f t="array" aca="1" ref="E43" ca="1">(INDEX(Import!I:I,MATCH(C43,Name,0))+INDEX(Import!L:L,MATCH(C43,Name,0))+INDEX('Form Import'!V:V,MATCH(A43,'Form Import'!F:F,0)))/3</f>
        <v>4.333333333333333</v>
      </c>
      <c r="F43" s="430" t="str">
        <f t="array" ref="F43">INDEX(Import!E:E,MATCH(C43,Name,0))</f>
        <v>Enteligent Inc. develops power electronics products that harness more energy from solar power.  Enteligent is developing a high-speed, high efficiency, Fast DC EV charger. 
 Our Fast DC charger is powered directly from solar DC power, eliminating significant losses from the DC-AC-DC conversations that currently waste significant electricity.</v>
      </c>
      <c r="G43" s="431" t="str">
        <f t="array" ref="G43">CONCATENATE(INDEX(Import!G:G,MATCH(C43,Import!C:C,0)),CHAR(10),INDEX(Import!I:I,MATCH(C43,Name,0)))</f>
        <v>Mark Flynn
4</v>
      </c>
      <c r="H43" s="432" t="str">
        <f t="array" ref="H43">INDEX(Import!H:H,MATCH(C43,Name,0))</f>
        <v>This should be a DT company; innovation is in enabling fast DC charging using solar energy as opposed to DC-AC-DC conversions, which lose energy; this space is competitive and I would like to better understand the competitive landscape; the CEO has prior success in building companies and this company has good initial traction</v>
      </c>
      <c r="I43" s="431" t="str">
        <f t="array" ref="I43">CONCATENATE(INDEX(Import!J:J,MATCH(C43,Name,0)),CHAR(10),INDEX(Import!L:L,MATCH(C43,Name,0)))</f>
        <v>Nicole McKnight
5</v>
      </c>
      <c r="J43" s="432" t="str">
        <f t="array" ref="J43">INDEX(Import!K:K,MATCH(C43,Name,0))</f>
        <v>Why is this company in the digital tech track and not deep tech?  They have an experienced team and have made a product that works and is generating revenue. The innovation is disruptive and will do good for the world, decreasing the use of fossil fuels and lowering the price to charge electronic vehicles.  They made a nice video.</v>
      </c>
      <c r="K43" s="431" t="str">
        <f t="array" aca="1" ref="K43" ca="1">CONCATENATE(INDEX('Form Import'!D:D,MATCH(A43,'Form Import'!F:F,0)),CHAR(10),INDEX('Form Import'!V:V,MATCH(A43,'Form Import'!F:F,0)))</f>
        <v>John McDonald
4</v>
      </c>
      <c r="L43" s="432">
        <f t="array" aca="1" ref="L43" ca="1">INDEX('Form Import'!W:W,MATCH(A43,'Form Import'!F:F,0))</f>
        <v>0</v>
      </c>
      <c r="M43" s="430"/>
      <c r="N43" s="430">
        <f t="array" aca="1" ref="N43" ca="1">INDEX('Form Import'!L:L,MATCH($A43,'Form Import'!$F:$F,0))</f>
        <v>0</v>
      </c>
      <c r="O43" s="430">
        <f t="array" aca="1" ref="O43" ca="1">INDEX('Form Import'!O:O,MATCH($A43,'Form Import'!$F:$F,0))</f>
        <v>0</v>
      </c>
      <c r="P43" s="430">
        <f t="array" aca="1" ref="P43" ca="1">INDEX('Form Import'!S:S,MATCH($A43,'Form Import'!$F:$F,0))</f>
        <v>0</v>
      </c>
      <c r="Q43" s="430"/>
      <c r="R43" s="430"/>
      <c r="S43" s="430" t="e">
        <f t="array" aca="1" ref="S43" ca="1">_xludf.TextJoin("; ",1,INDEX(Import!S:S,MATCH(C43,Name,0)))</f>
        <v>#NAME?</v>
      </c>
    </row>
    <row r="44" spans="1:19" ht="72">
      <c r="A44" s="418" t="s">
        <v>617</v>
      </c>
      <c r="B44" s="419" t="str">
        <f t="array" aca="1" ref="B44" ca="1">CONCATENATE(TEXT(INDEX(query!A:A,MATCH(C44,query!B:B,0)),"M/DD/YYY"),CHAR(10),INDEX(query!E:E,MATCH(C44,query!B:B,0)))</f>
        <v>8/16/2022
Revisit/ Cluster</v>
      </c>
      <c r="C44" s="85" t="s">
        <v>86</v>
      </c>
      <c r="D44" s="420">
        <f t="array" ref="D44">INDEX(Import!D:D,MATCH(C44,Name,0))</f>
        <v>4</v>
      </c>
      <c r="E44" s="421">
        <f t="array" aca="1" ref="E44" ca="1">(INDEX(Import!I:I,MATCH(C44,Name,0))+INDEX(Import!L:L,MATCH(C44,Name,0))+INDEX('Form Import'!V:V,MATCH(A44,'Form Import'!F:F,0)))/3</f>
        <v>4</v>
      </c>
      <c r="F44" s="422" t="str">
        <f t="array" ref="F44">INDEX(Import!E:E,MATCH(C44,Name,0))</f>
        <v>Entoprotech is a circular economy company that uses insects (BSF larvae) to processes low value byproducts waste generated along the agri-food supply chain, into high value products: feed protein&amp; fat and health products for pets, poultry, swine and aquaculture; soil enhancers for agri-sector and bioactive compounds for pharma&amp;cosmetic industries.</v>
      </c>
      <c r="G44" s="423" t="str">
        <f t="array" ref="G44">CONCATENATE(INDEX(Import!G:G,MATCH(C44,Import!C:C,0)),CHAR(10),INDEX(Import!I:I,MATCH(C44,Name,0)))</f>
        <v>Chris Mosher
4</v>
      </c>
      <c r="H44" s="424" t="str">
        <f t="array" ref="H44">INDEX(Import!H:H,MATCH(C44,Name,0))</f>
        <v>Deep tech. Feed grade protein, insect lipids, and organic fertilizer produced from agricultural waste using the black soldier fly (BSF) as a biofactory. $800K revenue in 2021 from waste processing &amp; sales of products. Oxford MBA and Technion PhD lead the company. IP is NOT protected - trade secrets for now.</v>
      </c>
      <c r="I44" s="423" t="str">
        <f t="array" ref="I44">CONCATENATE(INDEX(Import!J:J,MATCH(C44,Name,0)),CHAR(10),INDEX(Import!L:L,MATCH(C44,Name,0)))</f>
        <v>Parsa Amiri
4</v>
      </c>
      <c r="J44" s="424" t="str">
        <f t="array" ref="J44">INDEX(Import!K:K,MATCH(C44,Name,0))</f>
        <v>Technion. Global company. Pilot scale production and 0.8M revenue in 2021. A company that is trying to harvest BSF larvae using organic waste and produce applicable products that are produced with unsustainable sources currently.</v>
      </c>
      <c r="K44" s="423" t="str">
        <f t="array" aca="1" ref="K44" ca="1">CONCATENATE(INDEX('Form Import'!D:D,MATCH(A44,'Form Import'!F:F,0)),CHAR(10),INDEX('Form Import'!V:V,MATCH(A44,'Form Import'!F:F,0)))</f>
        <v>Jason Yu
4</v>
      </c>
      <c r="L44" s="424" t="str">
        <f t="array" aca="1" ref="L44" ca="1">INDEX('Form Import'!W:W,MATCH(A44,'Form Import'!F:F,0))</f>
        <v>We have technology developed and tested in real life environment and now we are capital
raising to fund production facilities building and to continue R&amp;D in the field of BSF bioactives. We have enough funds to continue our R&amp;D for another 12-14 month, however capital for facilities is crucial for capacity building and commercialization of the technology.</v>
      </c>
      <c r="M44" s="422"/>
      <c r="N44" s="422">
        <f t="array" aca="1" ref="N44" ca="1">INDEX('Form Import'!L:L,MATCH($A44,'Form Import'!$F:$F,0))</f>
        <v>0</v>
      </c>
      <c r="O44" s="422" t="str">
        <f t="array" aca="1" ref="O44" ca="1">INDEX('Form Import'!O:O,MATCH($A44,'Form Import'!$F:$F,0))</f>
        <v>In 2021, the revenue was ~ $800,000, from waste processing &amp; sales of products.</v>
      </c>
      <c r="P44" s="422" t="str">
        <f t="array" aca="1" ref="P44" ca="1">INDEX('Form Import'!S:S,MATCH($A44,'Form Import'!$F:$F,0))</f>
        <v>First startup for all founders</v>
      </c>
      <c r="Q44" s="422"/>
      <c r="R44" s="422"/>
      <c r="S44" s="422" t="e">
        <f t="array" aca="1" ref="S44" ca="1">_xludf.TextJoin("; ",1,INDEX(Import!S:S,MATCH(C44,Name,0)))</f>
        <v>#NAME?</v>
      </c>
    </row>
    <row r="45" spans="1:19" ht="48">
      <c r="A45" s="425" t="s">
        <v>626</v>
      </c>
      <c r="B45" s="426" t="str">
        <f t="array" aca="1" ref="B45" ca="1">CONCATENATE(TEXT(INDEX(query!A:A,MATCH(C45,query!B:B,0)),"M/DD/YYY"),CHAR(10),INDEX(query!E:E,MATCH(C45,query!B:B,0)))</f>
        <v>8/09/2022
Invite</v>
      </c>
      <c r="C45" s="427" t="s">
        <v>88</v>
      </c>
      <c r="D45" s="428">
        <f t="array" ref="D45">INDEX(Import!D:D,MATCH(C45,Name,0))</f>
        <v>4</v>
      </c>
      <c r="E45" s="429">
        <f t="array" aca="1" ref="E45" ca="1">(INDEX(Import!I:I,MATCH(C45,Name,0))+INDEX(Import!L:L,MATCH(C45,Name,0))+INDEX('Form Import'!V:V,MATCH(A45,'Form Import'!F:F,0)))/3</f>
        <v>3.3333333333333335</v>
      </c>
      <c r="F45" s="430" t="str">
        <f t="array" ref="F45">INDEX(Import!E:E,MATCH(C45,Name,0))</f>
        <v>We are developing an entirely new type of very large drones that are fast, efficient, zero-emission and operate just above the surface of the ocean. They are ground effect vehicles that will enhance access to coastlines around the world. We call them Flying Ships and they will improve delivery service for the maritime logistics industry.</v>
      </c>
      <c r="G45" s="431" t="str">
        <f t="array" ref="G45">CONCATENATE(INDEX(Import!G:G,MATCH(C45,Import!C:C,0)),CHAR(10),INDEX(Import!I:I,MATCH(C45,Name,0)))</f>
        <v>Khoa Ma
4</v>
      </c>
      <c r="H45" s="432" t="str">
        <f t="array" ref="H45">INDEX(Import!H:H,MATCH(C45,Name,0))</f>
        <v>Over-water drones that are fast, efficient, zero-emission
Could be too early
Need to build MVP to test
Long lead time with government regulations</v>
      </c>
      <c r="I45" s="431" t="str">
        <f t="array" ref="I45">CONCATENATE(INDEX(Import!J:J,MATCH(C45,Name,0)),CHAR(10),INDEX(Import!L:L,MATCH(C45,Name,0)))</f>
        <v>Yagnik Mehta
4</v>
      </c>
      <c r="J45" s="432" t="str">
        <f t="array" ref="J45">INDEX(Import!K:K,MATCH(C45,Name,0))</f>
        <v>+Strong Longer term vision.
+ Strong business model including government and defense partnerships, and commercial logistics.</v>
      </c>
      <c r="K45" s="431" t="str">
        <f t="array" aca="1" ref="K45" ca="1">CONCATENATE(INDEX('Form Import'!D:D,MATCH(A45,'Form Import'!F:F,0)),CHAR(10),INDEX('Form Import'!V:V,MATCH(A45,'Form Import'!F:F,0)))</f>
        <v>John McDonald
2</v>
      </c>
      <c r="L45" s="432">
        <f t="array" aca="1" ref="L45" ca="1">INDEX('Form Import'!W:W,MATCH(A45,'Form Import'!F:F,0))</f>
        <v>0</v>
      </c>
      <c r="M45" s="430"/>
      <c r="N45" s="430">
        <f t="array" aca="1" ref="N45" ca="1">INDEX('Form Import'!L:L,MATCH($A45,'Form Import'!$F:$F,0))</f>
        <v>0</v>
      </c>
      <c r="O45" s="430">
        <f t="array" aca="1" ref="O45" ca="1">INDEX('Form Import'!O:O,MATCH($A45,'Form Import'!$F:$F,0))</f>
        <v>0</v>
      </c>
      <c r="P45" s="430">
        <f t="array" aca="1" ref="P45" ca="1">INDEX('Form Import'!S:S,MATCH($A45,'Form Import'!$F:$F,0))</f>
        <v>0</v>
      </c>
      <c r="Q45" s="430"/>
      <c r="R45" s="430"/>
      <c r="S45" s="430" t="e">
        <f t="array" aca="1" ref="S45" ca="1">_xludf.TextJoin("; ",1,INDEX(Import!S:S,MATCH(C45,Name,0)))</f>
        <v>#NAME?</v>
      </c>
    </row>
    <row r="46" spans="1:19" ht="48">
      <c r="A46" s="418" t="s">
        <v>10016</v>
      </c>
      <c r="B46" s="419" t="str">
        <f t="array" aca="1" ref="B46" ca="1">CONCATENATE(TEXT(INDEX(query!A:A,MATCH(C46,query!B:B,0)),"M/DD/YYY"),CHAR(10),INDEX(query!E:E,MATCH(C46,query!B:B,0)))</f>
        <v>8/09/2022
Invite</v>
      </c>
      <c r="C46" s="85" t="s">
        <v>375</v>
      </c>
      <c r="D46" s="420">
        <f t="array" ref="D46">INDEX(Import!D:D,MATCH(C46,Name,0))</f>
        <v>3.5</v>
      </c>
      <c r="E46" s="421">
        <f t="array" aca="1" ref="E46" ca="1">(INDEX(Import!I:I,MATCH(C46,Name,0))+INDEX(Import!L:L,MATCH(C46,Name,0))+INDEX('Form Import'!V:V,MATCH(A46,'Form Import'!F:F,0)))/3</f>
        <v>3</v>
      </c>
      <c r="F46" s="422" t="str">
        <f t="array" ref="F46">INDEX(Import!E:E,MATCH(C46,Name,0))</f>
        <v>We have developed a proprietary wireless charging technology for drones to enable infinite flight range. Our technology unlocks a significant commercial market opportunity and multitudes of applications that are not possible to execute today.</v>
      </c>
      <c r="G46" s="423" t="str">
        <f t="array" ref="G46">CONCATENATE(INDEX(Import!G:G,MATCH(C46,Import!C:C,0)),CHAR(10),INDEX(Import!I:I,MATCH(C46,Name,0)))</f>
        <v>Khoa Ma
4</v>
      </c>
      <c r="H46" s="424" t="str">
        <f t="array" ref="H46">INDEX(Import!H:H,MATCH(C46,Name,0))</f>
        <v>Need funding to further develop on technology and commercialize
Compare to others in this space if Clustering is needed</v>
      </c>
      <c r="I46" s="423" t="str">
        <f t="array" ref="I46">CONCATENATE(INDEX(Import!J:J,MATCH(C46,Name,0)),CHAR(10),INDEX(Import!L:L,MATCH(C46,Name,0)))</f>
        <v>Arthur Ibanda
3</v>
      </c>
      <c r="J46" s="424" t="str">
        <f t="array" ref="J46">INDEX(Import!K:K,MATCH(C46,Name,0))</f>
        <v>+The team seems credible with engineering experience
+Large potential market 
-Unproven product
~Small team</v>
      </c>
      <c r="K46" s="423" t="str">
        <f t="array" aca="1" ref="K46" ca="1">CONCATENATE(INDEX('Form Import'!D:D,MATCH(A46,'Form Import'!F:F,0)),CHAR(10),INDEX('Form Import'!V:V,MATCH(A46,'Form Import'!F:F,0)))</f>
        <v>John McDonald
2</v>
      </c>
      <c r="L46" s="424">
        <f t="array" aca="1" ref="L46" ca="1">INDEX('Form Import'!W:W,MATCH(A46,'Form Import'!F:F,0))</f>
        <v>0</v>
      </c>
      <c r="M46" s="422"/>
      <c r="N46" s="422">
        <f t="array" aca="1" ref="N46" ca="1">INDEX('Form Import'!L:L,MATCH($A46,'Form Import'!$F:$F,0))</f>
        <v>0</v>
      </c>
      <c r="O46" s="422">
        <f t="array" aca="1" ref="O46" ca="1">INDEX('Form Import'!O:O,MATCH($A46,'Form Import'!$F:$F,0))</f>
        <v>0</v>
      </c>
      <c r="P46" s="422">
        <f t="array" aca="1" ref="P46" ca="1">INDEX('Form Import'!S:S,MATCH($A46,'Form Import'!$F:$F,0))</f>
        <v>0</v>
      </c>
      <c r="Q46" s="422"/>
      <c r="R46" s="422"/>
      <c r="S46" s="422" t="e">
        <f t="array" aca="1" ref="S46" ca="1">_xludf.TextJoin("; ",1,INDEX(Import!S:S,MATCH(C46,Name,0)))</f>
        <v>#NAME?</v>
      </c>
    </row>
    <row r="47" spans="1:19" ht="48">
      <c r="A47" s="425" t="s">
        <v>4670</v>
      </c>
      <c r="B47" s="426" t="str">
        <f t="array" aca="1" ref="B47" ca="1">CONCATENATE(TEXT(INDEX(query!A:A,MATCH(C47,query!B:B,0)),"M/DD/YYY"),CHAR(10),INDEX(query!E:E,MATCH(C47,query!B:B,0)))</f>
        <v>8/09/2022
Revisit/ Cluster</v>
      </c>
      <c r="C47" s="427" t="s">
        <v>299</v>
      </c>
      <c r="D47" s="428">
        <f t="array" ref="D47">INDEX(Import!D:D,MATCH(C47,Name,0))</f>
        <v>3.5</v>
      </c>
      <c r="E47" s="429">
        <f t="array" aca="1" ref="E47" ca="1">(INDEX(Import!I:I,MATCH(C47,Name,0))+INDEX(Import!L:L,MATCH(C47,Name,0))+INDEX('Form Import'!V:V,MATCH(A47,'Form Import'!F:F,0)))/3</f>
        <v>3.6666666666666665</v>
      </c>
      <c r="F47" s="430" t="str">
        <f t="array" ref="F47">INDEX(Import!E:E,MATCH(C47,Name,0))</f>
        <v>Gardian is a digital health company that provides a better way to care. We develop state of the art assistive technology for the aged care sector and people living with a disability, software to support workplace and at-home rapid antigen testing, lateral flow tests, and assistive technology for emergency medical care.</v>
      </c>
      <c r="G47" s="431" t="str">
        <f t="array" ref="G47">CONCATENATE(INDEX(Import!G:G,MATCH(C47,Import!C:C,0)),CHAR(10),INDEX(Import!I:I,MATCH(C47,Name,0)))</f>
        <v>Chris Mosher
4</v>
      </c>
      <c r="H47" s="432" t="str">
        <f t="array" ref="H47">INDEX(Import!H:H,MATCH(C47,Name,0))</f>
        <v>Switch to DiT. Digital platform for assistive technology for seniors and people living with a disability. Their tech monitors vitals and uses AI/ML to learn, take action, report, and improve future interventions. $M in revenues despite only $375K raised. Raising a Series A.</v>
      </c>
      <c r="I47" s="431" t="str">
        <f t="array" ref="I47">CONCATENATE(INDEX(Import!J:J,MATCH(C47,Name,0)),CHAR(10),INDEX(Import!L:L,MATCH(C47,Name,0)))</f>
        <v>Parsa Amiri
3</v>
      </c>
      <c r="J47" s="432">
        <f t="array" ref="J47">INDEX(Import!K:K,MATCH(C47,Name,0))</f>
        <v>0</v>
      </c>
      <c r="K47" s="431" t="str">
        <f t="array" aca="1" ref="K47" ca="1">CONCATENATE(INDEX('Form Import'!D:D,MATCH(A47,'Form Import'!F:F,0)),CHAR(10),INDEX('Form Import'!V:V,MATCH(A47,'Form Import'!F:F,0)))</f>
        <v>Jason Yu
4</v>
      </c>
      <c r="L47" s="432" t="str">
        <f t="array" aca="1" ref="L47" ca="1">INDEX('Form Import'!W:W,MATCH(A47,'Form Import'!F:F,0))</f>
        <v>They have customers and revenue the biggest obstacle is a delay in the launch of MVP 1 UAT based on financial constraints.</v>
      </c>
      <c r="M47" s="430"/>
      <c r="N47" s="430">
        <f t="array" aca="1" ref="N47" ca="1">INDEX('Form Import'!L:L,MATCH($A47,'Form Import'!$F:$F,0))</f>
        <v>0</v>
      </c>
      <c r="O47" s="430">
        <f t="array" aca="1" ref="O47" ca="1">INDEX('Form Import'!O:O,MATCH($A47,'Form Import'!$F:$F,0))</f>
        <v>0</v>
      </c>
      <c r="P47" s="430" t="str">
        <f t="array" aca="1" ref="P47" ca="1">INDEX('Form Import'!S:S,MATCH($A47,'Form Import'!$F:$F,0))</f>
        <v>Gardian has a team of 64, made up of permanent, contract and advisory board members.</v>
      </c>
      <c r="Q47" s="430"/>
      <c r="R47" s="430"/>
      <c r="S47" s="430" t="e">
        <f t="array" aca="1" ref="S47" ca="1">_xludf.TextJoin("; ",1,INDEX(Import!S:S,MATCH(C47,Name,0)))</f>
        <v>#NAME?</v>
      </c>
    </row>
    <row r="48" spans="1:19" ht="60">
      <c r="A48" s="418" t="s">
        <v>1741</v>
      </c>
      <c r="B48" s="419" t="str">
        <f t="array" aca="1" ref="B48" ca="1">CONCATENATE(TEXT(INDEX(query!A:A,MATCH(C48,query!B:B,0)),"M/DD/YYY"),CHAR(10),INDEX(query!E:E,MATCH(C48,query!B:B,0)))</f>
        <v>8/16/2022
Invite</v>
      </c>
      <c r="C48" s="85" t="s">
        <v>315</v>
      </c>
      <c r="D48" s="420">
        <f t="array" ref="D48">INDEX(Import!D:D,MATCH(C48,Name,0))</f>
        <v>4</v>
      </c>
      <c r="E48" s="421">
        <f t="array" aca="1" ref="E48" ca="1">(INDEX(Import!I:I,MATCH(C48,Name,0))+INDEX(Import!L:L,MATCH(C48,Name,0))+INDEX('Form Import'!V:V,MATCH(A48,'Form Import'!F:F,0)))/3</f>
        <v>3.3333333333333335</v>
      </c>
      <c r="F48" s="422" t="str">
        <f t="array" ref="F48">INDEX(Import!E:E,MATCH(C48,Name,0))</f>
        <v>GeneSkin is an animal-free precision skincare platform out of George Church?s lab at Harvard Medical School that uses a novel human cell-based experimental model and AI in omics for early-stage drug discovery.</v>
      </c>
      <c r="G48" s="423" t="str">
        <f t="array" ref="G48">CONCATENATE(INDEX(Import!G:G,MATCH(C48,Import!C:C,0)),CHAR(10),INDEX(Import!I:I,MATCH(C48,Name,0)))</f>
        <v>Chris Mosher
4</v>
      </c>
      <c r="H48" s="424" t="str">
        <f t="array" ref="H48">INDEX(Import!H:H,MATCH(C48,Name,0))</f>
        <v>Omics approach to identifying personalized therapeutics for acne and other skin disorders. Collected genetic data from 3k patients. Evaluated cell populations with AI, differentiated iPSCs into skin cells, and used on-chip tech to test. Early, but CEO is Harvard PhD out of George Church's lab (he is on their SAB).</v>
      </c>
      <c r="I48" s="423" t="str">
        <f t="array" ref="I48">CONCATENATE(INDEX(Import!J:J,MATCH(C48,Name,0)),CHAR(10),INDEX(Import!L:L,MATCH(C48,Name,0)))</f>
        <v>Parsa Amiri
4</v>
      </c>
      <c r="J48" s="424" t="str">
        <f t="array" ref="J48">INDEX(Import!K:K,MATCH(C48,Name,0))</f>
        <v>Harvard spin-off. They haven't shared any information on the technology at all! I can't assess them properly with this info provided. They sound to be really promising and I think we should ask them to share more with us before rejection.</v>
      </c>
      <c r="K48" s="423" t="str">
        <f t="array" aca="1" ref="K48" ca="1">CONCATENATE(INDEX('Form Import'!D:D,MATCH(A48,'Form Import'!F:F,0)),CHAR(10),INDEX('Form Import'!V:V,MATCH(A48,'Form Import'!F:F,0)))</f>
        <v>Nick Schmandt
2</v>
      </c>
      <c r="L48" s="424" t="str">
        <f t="array" aca="1" ref="L48" ca="1">INDEX('Form Import'!W:W,MATCH(A48,'Form Import'!F:F,0))</f>
        <v xml:space="preserve">Very unproven technology, inexperienced team. </v>
      </c>
      <c r="M48" s="422"/>
      <c r="N48" s="422" t="str">
        <f t="array" aca="1" ref="N48" ca="1">INDEX('Form Import'!L:L,MATCH($A48,'Form Import'!$F:$F,0))</f>
        <v>This tech is in early stages of animal testing and remains unproven.</v>
      </c>
      <c r="O48" s="422" t="str">
        <f t="array" aca="1" ref="O48" ca="1">INDEX('Form Import'!O:O,MATCH($A48,'Form Import'!$F:$F,0))</f>
        <v>They say they have revenue from skin care companies, but I didn't see any values for revenue or funding.</v>
      </c>
      <c r="P48" s="422" t="str">
        <f t="array" aca="1" ref="P48" ca="1">INDEX('Form Import'!S:S,MATCH($A48,'Form Import'!$F:$F,0))</f>
        <v>The team is very inexperienced and knows little about startups or the omics personalization they are saying they will use.</v>
      </c>
      <c r="Q48" s="422"/>
      <c r="R48" s="422"/>
      <c r="S48" s="422" t="e">
        <f t="array" aca="1" ref="S48" ca="1">_xludf.TextJoin("; ",1,INDEX(Import!S:S,MATCH(C48,Name,0)))</f>
        <v>#NAME?</v>
      </c>
    </row>
    <row r="49" spans="1:19" ht="48">
      <c r="A49" s="425" t="s">
        <v>8704</v>
      </c>
      <c r="B49" s="426" t="str">
        <f t="array" aca="1" ref="B49" ca="1">CONCATENATE(TEXT(INDEX(query!A:A,MATCH(C49,query!B:B,0)),"M/DD/YYY"),CHAR(10),INDEX(query!E:E,MATCH(C49,query!B:B,0)))</f>
        <v>8/23/2022
Invite Next Year</v>
      </c>
      <c r="C49" s="427" t="s">
        <v>8695</v>
      </c>
      <c r="D49" s="428">
        <f t="array" ref="D49">INDEX(Import!D:D,MATCH(C49,Name,0))</f>
        <v>3</v>
      </c>
      <c r="E49" s="429">
        <f t="array" aca="1" ref="E49" ca="1">(INDEX(Import!I:I,MATCH(C49,Name,0))+INDEX(Import!L:L,MATCH(C49,Name,0))+INDEX('Form Import'!V:V,MATCH(A49,'Form Import'!F:F,0)))/3</f>
        <v>3.3333333333333335</v>
      </c>
      <c r="F49" s="430" t="str">
        <f t="array" ref="F49">INDEX(Import!E:E,MATCH(C49,Name,0))</f>
        <v>Gene therapy biotech listed on LSE (GENF.L), Genflow combines most advanced tools in gene delivery with  most recent knowledge of the biology of aging to extend lifespan and increase the duration of health. Our lead compound  is an exoAAV containing a transgene  encoding the cDNA portion of a variant of the human SIRT6 gene found in centenarians.</v>
      </c>
      <c r="G49" s="431" t="str">
        <f t="array" ref="G49">CONCATENATE(INDEX(Import!G:G,MATCH(C49,Import!C:C,0)),CHAR(10),INDEX(Import!I:I,MATCH(C49,Name,0)))</f>
        <v>Larisa Kagermazova
3</v>
      </c>
      <c r="H49" s="432" t="str">
        <f t="array" ref="H49">INDEX(Import!H:H,MATCH(C49,Name,0))</f>
        <v>they have pre-clinical and clinical data</v>
      </c>
      <c r="I49" s="431" t="str">
        <f t="array" ref="I49">CONCATENATE(INDEX(Import!J:J,MATCH(C49,Name,0)),CHAR(10),INDEX(Import!L:L,MATCH(C49,Name,0)))</f>
        <v>Tugba Oncu
3</v>
      </c>
      <c r="J49" s="432">
        <f t="array" ref="J49">INDEX(Import!K:K,MATCH(C49,Name,0))</f>
        <v>0</v>
      </c>
      <c r="K49" s="431" t="str">
        <f t="array" aca="1" ref="K49" ca="1">CONCATENATE(INDEX('Form Import'!D:D,MATCH(A49,'Form Import'!F:F,0)),CHAR(10),INDEX('Form Import'!V:V,MATCH(A49,'Form Import'!F:F,0)))</f>
        <v>Nick Schmandt
4</v>
      </c>
      <c r="L49" s="432" t="str">
        <f t="array" aca="1" ref="L49" ca="1">INDEX('Form Import'!W:W,MATCH(A49,'Form Import'!F:F,0))</f>
        <v>The team is experienced and the drug looks promising, but again, it's in the early stages so it's very high risk. I like the idea of using it on dogs as well, as this could be a diverse source of revenue if one outcome fails.</v>
      </c>
      <c r="M49" s="430"/>
      <c r="N49" s="430" t="str">
        <f t="array" aca="1" ref="N49" ca="1">INDEX('Form Import'!L:L,MATCH($A49,'Form Import'!$F:$F,0))</f>
        <v>They are early in the drug testing process. While this is a very promising drug, there is still a lot that can go wrong.</v>
      </c>
      <c r="O49" s="430" t="str">
        <f t="array" aca="1" ref="O49" ca="1">INDEX('Form Import'!O:O,MATCH($A49,'Form Import'!$F:$F,0))</f>
        <v>Again, they have a long way to go before they can start to talk about selling this drug.</v>
      </c>
      <c r="P49" s="430" t="str">
        <f t="array" aca="1" ref="P49" ca="1">INDEX('Form Import'!S:S,MATCH($A49,'Form Import'!$F:$F,0))</f>
        <v>They are highly academic, though they do have experience with delivering drugs before.</v>
      </c>
      <c r="Q49" s="430"/>
      <c r="R49" s="430"/>
      <c r="S49" s="430" t="e">
        <f t="array" aca="1" ref="S49" ca="1">_xludf.TextJoin("; ",1,INDEX(Import!S:S,MATCH(C49,Name,0)))</f>
        <v>#NAME?</v>
      </c>
    </row>
    <row r="50" spans="1:19" ht="96">
      <c r="A50" s="418" t="s">
        <v>1749</v>
      </c>
      <c r="B50" s="419" t="str">
        <f t="array" aca="1" ref="B50" ca="1">CONCATENATE(TEXT(INDEX(query!A:A,MATCH(C50,query!B:B,0)),"M/DD/YYY"),CHAR(10),INDEX(query!E:E,MATCH(C50,query!B:B,0)))</f>
        <v>8/09/2022
Invite</v>
      </c>
      <c r="C50" s="85" t="s">
        <v>316</v>
      </c>
      <c r="D50" s="420">
        <f t="array" ref="D50">INDEX(Import!D:D,MATCH(C50,Name,0))</f>
        <v>4.5</v>
      </c>
      <c r="E50" s="421">
        <f t="array" aca="1" ref="E50" ca="1">(INDEX(Import!I:I,MATCH(C50,Name,0))+INDEX(Import!L:L,MATCH(C50,Name,0))+INDEX('Form Import'!V:V,MATCH(A50,'Form Import'!F:F,0)))/3</f>
        <v>4.333333333333333</v>
      </c>
      <c r="F50" s="422" t="str">
        <f t="array" ref="F50">INDEX(Import!E:E,MATCH(C50,Name,0))</f>
        <v>Genomic Expression has clinically validated its RNA Platform for Next Generation Cures. By analyzing RNA we can detect disease, monitor health, and design the Next Generation Cures.</v>
      </c>
      <c r="G50" s="423" t="str">
        <f t="array" ref="G50">CONCATENATE(INDEX(Import!G:G,MATCH(C50,Import!C:C,0)),CHAR(10),INDEX(Import!I:I,MATCH(C50,Name,0)))</f>
        <v>Chris Mosher
4.5</v>
      </c>
      <c r="H50" s="424" t="str">
        <f t="array" ref="H50">INDEX(Import!H:H,MATCH(C50,Name,0))</f>
        <v>Messaging is confusing. This is an RNAseq platform for designing novel RNA Therapeutics, but also incorporates a HIPPA-compliant cloud for data analysis. They also mention disease diagnosis at home using the platform on embedded tissue samples or liquid biopsy, but I'd need to see more data regarding fragmented RNA analysis to ensure their tissue results are accurate/possibl). Applied last year - since then, Bob S joined their board and they grew revenues by 250%. Patents filed but not granted.</v>
      </c>
      <c r="I50" s="423" t="str">
        <f t="array" ref="I50">CONCATENATE(INDEX(Import!J:J,MATCH(C50,Name,0)),CHAR(10),INDEX(Import!L:L,MATCH(C50,Name,0)))</f>
        <v>Parsa Amiri
4.5</v>
      </c>
      <c r="J50" s="424" t="str">
        <f t="array" ref="J50">INDEX(Import!K:K,MATCH(C50,Name,0))</f>
        <v>Generally, they are a great startup. I want to know more about their ongoing research and results, the identified sequences and their relation to each disease, and precision of diagnosis.</v>
      </c>
      <c r="K50" s="423" t="str">
        <f t="array" aca="1" ref="K50" ca="1">CONCATENATE(INDEX('Form Import'!D:D,MATCH(A50,'Form Import'!F:F,0)),CHAR(10),INDEX('Form Import'!V:V,MATCH(A50,'Form Import'!F:F,0)))</f>
        <v>John McDonald
4</v>
      </c>
      <c r="L50" s="424">
        <f t="array" aca="1" ref="L50" ca="1">INDEX('Form Import'!W:W,MATCH(A50,'Form Import'!F:F,0))</f>
        <v>0</v>
      </c>
      <c r="M50" s="422"/>
      <c r="N50" s="422">
        <f t="array" aca="1" ref="N50" ca="1">INDEX('Form Import'!L:L,MATCH($A50,'Form Import'!$F:$F,0))</f>
        <v>0</v>
      </c>
      <c r="O50" s="422">
        <f t="array" aca="1" ref="O50" ca="1">INDEX('Form Import'!O:O,MATCH($A50,'Form Import'!$F:$F,0))</f>
        <v>0</v>
      </c>
      <c r="P50" s="422">
        <f t="array" aca="1" ref="P50" ca="1">INDEX('Form Import'!S:S,MATCH($A50,'Form Import'!$F:$F,0))</f>
        <v>0</v>
      </c>
      <c r="Q50" s="422"/>
      <c r="R50" s="422"/>
      <c r="S50" s="422" t="e">
        <f t="array" aca="1" ref="S50" ca="1">_xludf.TextJoin("; ",1,INDEX(Import!S:S,MATCH(C50,Name,0)))</f>
        <v>#NAME?</v>
      </c>
    </row>
    <row r="51" spans="1:19" ht="36">
      <c r="A51" s="425" t="s">
        <v>1207</v>
      </c>
      <c r="B51" s="426" t="str">
        <f t="array" aca="1" ref="B51" ca="1">CONCATENATE(TEXT(INDEX(query!A:A,MATCH(C51,query!B:B,0)),"M/DD/YYY"),CHAR(10),INDEX(query!E:E,MATCH(C51,query!B:B,0)))</f>
        <v>8/16/2022
Invite</v>
      </c>
      <c r="C51" s="427" t="s">
        <v>193</v>
      </c>
      <c r="D51" s="428">
        <f t="array" ref="D51">INDEX(Import!D:D,MATCH(C51,Name,0))</f>
        <v>4.5</v>
      </c>
      <c r="E51" s="429">
        <f t="array" aca="1" ref="E51" ca="1">(INDEX(Import!I:I,MATCH(C51,Name,0))+INDEX(Import!L:L,MATCH(C51,Name,0))+INDEX('Form Import'!V:V,MATCH(A51,'Form Import'!F:F,0)))/3</f>
        <v>4.333333333333333</v>
      </c>
      <c r="F51" s="430" t="str">
        <f t="array" ref="F51">INDEX(Import!E:E,MATCH(C51,Name,0))</f>
        <v>GridMatrix makes cloud-based software that processes feeds from existing sensors deployed on roadways, generating usable metrics around traffic across four families: congestion, signal performance, emissions, and safety. We provide an economical solution to give city managers the data they need to make informed decisions around road transport.</v>
      </c>
      <c r="G51" s="431" t="str">
        <f t="array" ref="G51">CONCATENATE(INDEX(Import!G:G,MATCH(C51,Import!C:C,0)),CHAR(10),INDEX(Import!I:I,MATCH(C51,Name,0)))</f>
        <v>Mark Flynn
4.5</v>
      </c>
      <c r="H51" s="432" t="str">
        <f t="array" ref="H51">INDEX(Import!H:H,MATCH(C51,Name,0))</f>
        <v>Good improvement over last year with traction from Port Authority of NY and NJ ($1M), Raised $3.5M Seed (8VC); team is former Apple engineers and operators</v>
      </c>
      <c r="I51" s="431" t="str">
        <f t="array" ref="I51">CONCATENATE(INDEX(Import!J:J,MATCH(C51,Name,0)),CHAR(10),INDEX(Import!L:L,MATCH(C51,Name,0)))</f>
        <v>Boyang Yu
4.5</v>
      </c>
      <c r="J51" s="432" t="str">
        <f t="array" ref="J51">INDEX(Import!K:K,MATCH(C51,Name,0))</f>
        <v>Has made great progress since last application(paid pilot opportunities, fund-raising, new product features)</v>
      </c>
      <c r="K51" s="431" t="str">
        <f t="array" aca="1" ref="K51" ca="1">CONCATENATE(INDEX('Form Import'!D:D,MATCH(A51,'Form Import'!F:F,0)),CHAR(10),INDEX('Form Import'!V:V,MATCH(A51,'Form Import'!F:F,0)))</f>
        <v>John McDonald
4</v>
      </c>
      <c r="L51" s="432">
        <f t="array" aca="1" ref="L51" ca="1">INDEX('Form Import'!W:W,MATCH(A51,'Form Import'!F:F,0))</f>
        <v>0</v>
      </c>
      <c r="M51" s="430"/>
      <c r="N51" s="430">
        <f t="array" aca="1" ref="N51" ca="1">INDEX('Form Import'!L:L,MATCH($A51,'Form Import'!$F:$F,0))</f>
        <v>0</v>
      </c>
      <c r="O51" s="430">
        <f t="array" aca="1" ref="O51" ca="1">INDEX('Form Import'!O:O,MATCH($A51,'Form Import'!$F:$F,0))</f>
        <v>0</v>
      </c>
      <c r="P51" s="430">
        <f t="array" aca="1" ref="P51" ca="1">INDEX('Form Import'!S:S,MATCH($A51,'Form Import'!$F:$F,0))</f>
        <v>0</v>
      </c>
      <c r="Q51" s="430"/>
      <c r="R51" s="430"/>
      <c r="S51" s="430" t="e">
        <f t="array" aca="1" ref="S51" ca="1">_xludf.TextJoin("; ",1,INDEX(Import!S:S,MATCH(C51,Name,0)))</f>
        <v>#NAME?</v>
      </c>
    </row>
    <row r="52" spans="1:19" ht="84">
      <c r="A52" s="418" t="s">
        <v>634</v>
      </c>
      <c r="B52" s="419" t="str">
        <f t="array" aca="1" ref="B52" ca="1">CONCATENATE(TEXT(INDEX(query!A:A,MATCH(C52,query!B:B,0)),"M/DD/YYY"),CHAR(10),INDEX(query!E:E,MATCH(C52,query!B:B,0)))</f>
        <v>8/16/2022
Invite</v>
      </c>
      <c r="C52" s="85" t="s">
        <v>89</v>
      </c>
      <c r="D52" s="420">
        <f t="array" ref="D52">INDEX(Import!D:D,MATCH(C52,Name,0))</f>
        <v>4.25</v>
      </c>
      <c r="E52" s="421">
        <f t="array" aca="1" ref="E52" ca="1">(INDEX(Import!I:I,MATCH(C52,Name,0))+INDEX(Import!L:L,MATCH(C52,Name,0))+INDEX('Form Import'!V:V,MATCH(A52,'Form Import'!F:F,0)))/3</f>
        <v>4.166666666666667</v>
      </c>
      <c r="F52" s="422" t="str">
        <f t="array" ref="F52">INDEX(Import!E:E,MATCH(C52,Name,0))</f>
        <v>H Quest Vanguard, Inc.?s has developed an electrically powered chemical conversion platform that leverages Microwave Plasma Pyrolysis to liberate zero-CO2 hydrogen from natural gas using only 25% of energy required by electrolysis, while sequestering carbon atoms in a high-value carbon or petrochemical co-product.</v>
      </c>
      <c r="G52" s="423" t="str">
        <f t="array" ref="G52">CONCATENATE(INDEX(Import!G:G,MATCH(C52,Import!C:C,0)),CHAR(10),INDEX(Import!I:I,MATCH(C52,Name,0)))</f>
        <v>Khoa Ma
4</v>
      </c>
      <c r="H52" s="424" t="str">
        <f t="array" ref="H52">INDEX(Import!H:H,MATCH(C52,Name,0))</f>
        <v>plasma pyrolysis process applies microwave energy to natural gas
Needs a team
Takes time to wramp up
Lots of risk to scale up
capital intensive to scale</v>
      </c>
      <c r="I52" s="423" t="str">
        <f t="array" ref="I52">CONCATENATE(INDEX(Import!J:J,MATCH(C52,Name,0)),CHAR(10),INDEX(Import!L:L,MATCH(C52,Name,0)))</f>
        <v>Sriharsha Indupuru
4.5</v>
      </c>
      <c r="J52" s="424" t="str">
        <f t="array" ref="J52">INDEX(Import!K:K,MATCH(C52,Name,0))</f>
        <v>+Developing an electrically powered chemical conversion platform that leverages Microwave Plasma Pyrolysis to liberate zero-CO2 hydrogen from natural gas
+ Credible team 
+ Pressed and seed combined &gt;3M and raising &gt;15M 
+process is cost-effective, modular
+Generated 700K revenue</v>
      </c>
      <c r="K52" s="423" t="str">
        <f t="array" aca="1" ref="K52" ca="1">CONCATENATE(INDEX('Form Import'!D:D,MATCH(A52,'Form Import'!F:F,0)),CHAR(10),INDEX('Form Import'!V:V,MATCH(A52,'Form Import'!F:F,0)))</f>
        <v>John McDonald
4</v>
      </c>
      <c r="L52" s="424">
        <f t="array" aca="1" ref="L52" ca="1">INDEX('Form Import'!W:W,MATCH(A52,'Form Import'!F:F,0))</f>
        <v>0</v>
      </c>
      <c r="M52" s="422"/>
      <c r="N52" s="422">
        <f t="array" aca="1" ref="N52" ca="1">INDEX('Form Import'!L:L,MATCH($A52,'Form Import'!$F:$F,0))</f>
        <v>0</v>
      </c>
      <c r="O52" s="422">
        <f t="array" aca="1" ref="O52" ca="1">INDEX('Form Import'!O:O,MATCH($A52,'Form Import'!$F:$F,0))</f>
        <v>0</v>
      </c>
      <c r="P52" s="422">
        <f t="array" aca="1" ref="P52" ca="1">INDEX('Form Import'!S:S,MATCH($A52,'Form Import'!$F:$F,0))</f>
        <v>0</v>
      </c>
      <c r="Q52" s="422"/>
      <c r="R52" s="422"/>
      <c r="S52" s="422" t="e">
        <f t="array" aca="1" ref="S52" ca="1">_xludf.TextJoin("; ",1,INDEX(Import!S:S,MATCH(C52,Name,0)))</f>
        <v>#NAME?</v>
      </c>
    </row>
    <row r="53" spans="1:19" ht="72">
      <c r="A53" s="425" t="s">
        <v>1765</v>
      </c>
      <c r="B53" s="426" t="str">
        <f t="array" aca="1" ref="B53" ca="1">CONCATENATE(TEXT(INDEX(query!A:A,MATCH(C53,query!B:B,0)),"M/DD/YYY"),CHAR(10),INDEX(query!E:E,MATCH(C53,query!B:B,0)))</f>
        <v>8/16/2022
Invite</v>
      </c>
      <c r="C53" s="427" t="s">
        <v>319</v>
      </c>
      <c r="D53" s="428">
        <f t="array" ref="D53">INDEX(Import!D:D,MATCH(C53,Name,0))</f>
        <v>4</v>
      </c>
      <c r="E53" s="429">
        <f t="array" aca="1" ref="E53" ca="1">(INDEX(Import!I:I,MATCH(C53,Name,0))+INDEX(Import!L:L,MATCH(C53,Name,0))+INDEX('Form Import'!V:V,MATCH(A53,'Form Import'!F:F,0)))/3</f>
        <v>4.333333333333333</v>
      </c>
      <c r="F53" s="430" t="str">
        <f t="array" ref="F53">INDEX(Import!E:E,MATCH(C53,Name,0))</f>
        <v>Haystack Oncology provides best in class personalized testing for patients with cancer to identify minimal residual disease.  We aim to dramatically improve outcomes by identifying the maximal number of patients with residual, recurrent, and resistant disease who stand to benefit from proactive clinical interventions.</v>
      </c>
      <c r="G53" s="431" t="str">
        <f t="array" ref="G53">CONCATENATE(INDEX(Import!G:G,MATCH(C53,Import!C:C,0)),CHAR(10),INDEX(Import!I:I,MATCH(C53,Name,0)))</f>
        <v>Chris Mosher
4</v>
      </c>
      <c r="H53" s="432" t="str">
        <f t="array" ref="H53">INDEX(Import!H:H,MATCH(C53,Name,0))</f>
        <v>NGS to identify minimal residual disease in cancer patients - measures ctDNA in liquid biopsies to detect cancer-specific biomarkers. The tech is not the most novel, but definitely an improvement over existing machines. Team is out of Johns Hopkins and has had startups acquired 3 times previously, one of which was in the liquid biopsy/ctDNA detection space. Raised $10M already.</v>
      </c>
      <c r="I53" s="431" t="str">
        <f t="array" ref="I53">CONCATENATE(INDEX(Import!J:J,MATCH(C53,Name,0)),CHAR(10),INDEX(Import!L:L,MATCH(C53,Name,0)))</f>
        <v>Tugba Oncu
4</v>
      </c>
      <c r="J53" s="432" t="str">
        <f t="array" ref="J53">INDEX(Import!K:K,MATCH(C53,Name,0))</f>
        <v>ctDNA testing for molecular residual status of cancer after surgery.</v>
      </c>
      <c r="K53" s="431" t="str">
        <f t="array" aca="1" ref="K53" ca="1">CONCATENATE(INDEX('Form Import'!D:D,MATCH(A53,'Form Import'!F:F,0)),CHAR(10),INDEX('Form Import'!V:V,MATCH(A53,'Form Import'!F:F,0)))</f>
        <v>John McDonald
5</v>
      </c>
      <c r="L53" s="432">
        <f t="array" aca="1" ref="L53" ca="1">INDEX('Form Import'!W:W,MATCH(A53,'Form Import'!F:F,0))</f>
        <v>0</v>
      </c>
      <c r="M53" s="430"/>
      <c r="N53" s="430">
        <f t="array" aca="1" ref="N53" ca="1">INDEX('Form Import'!L:L,MATCH($A53,'Form Import'!$F:$F,0))</f>
        <v>0</v>
      </c>
      <c r="O53" s="430">
        <f t="array" aca="1" ref="O53" ca="1">INDEX('Form Import'!O:O,MATCH($A53,'Form Import'!$F:$F,0))</f>
        <v>0</v>
      </c>
      <c r="P53" s="430">
        <f t="array" aca="1" ref="P53" ca="1">INDEX('Form Import'!S:S,MATCH($A53,'Form Import'!$F:$F,0))</f>
        <v>0</v>
      </c>
      <c r="Q53" s="430"/>
      <c r="R53" s="430"/>
      <c r="S53" s="430" t="e">
        <f t="array" aca="1" ref="S53" ca="1">_xludf.TextJoin("; ",1,INDEX(Import!S:S,MATCH(C53,Name,0)))</f>
        <v>#NAME?</v>
      </c>
    </row>
    <row r="54" spans="1:19" ht="48">
      <c r="A54" s="418" t="s">
        <v>13147</v>
      </c>
      <c r="B54" s="419" t="str">
        <f t="array" aca="1" ref="B54" ca="1">CONCATENATE(TEXT(INDEX(query!A:A,MATCH(C54,query!B:B,0)),"M/DD/YYY"),CHAR(10),INDEX(query!E:E,MATCH(C54,query!B:B,0)))</f>
        <v>8/09/2022
Invite</v>
      </c>
      <c r="C54" s="85" t="s">
        <v>13148</v>
      </c>
      <c r="D54" s="420">
        <f t="array" ref="D54">INDEX(Import!D:D,MATCH(C54,Name,0))</f>
        <v>4.25</v>
      </c>
      <c r="E54" s="421">
        <f t="array" aca="1" ref="E54" ca="1">(INDEX(Import!I:I,MATCH(C54,Name,0))+INDEX(Import!L:L,MATCH(C54,Name,0))+INDEX('Form Import'!V:V,MATCH(A54,'Form Import'!F:F,0)))/3</f>
        <v>3.5</v>
      </c>
      <c r="F54" s="422" t="str">
        <f t="array" ref="F54">INDEX(Import!E:E,MATCH(C54,Name,0))</f>
        <v>HDAX Therapeutics is developing a targeted therapeutics platform for the safe and efficacious treatment of HDAC-driven pathologies such as brain cancers and neuropathies by generating rationally designed therapies which overcomes common drug challenges including weak binding, off-target toxicities, and poor pharmacokinetic profiles.</v>
      </c>
      <c r="G54" s="423" t="str">
        <f t="array" ref="G54">CONCATENATE(INDEX(Import!G:G,MATCH(C54,Import!C:C,0)),CHAR(10),INDEX(Import!I:I,MATCH(C54,Name,0)))</f>
        <v>Chris Mosher
4</v>
      </c>
      <c r="H54" s="424" t="str">
        <f t="array" ref="H54">INDEX(Import!H:H,MATCH(C54,Name,0))</f>
        <v>Tx for peripheral neuropathy. Animal studies show safety. Efficacy studies and lead indication selection are planned but require fundraising. All-star team. Women-led and diverse with prior startup exits. U of T professor. One founder is NYU Stern MBA.</v>
      </c>
      <c r="I54" s="423" t="str">
        <f t="array" ref="I54">CONCATENATE(INDEX(Import!J:J,MATCH(C54,Name,0)),CHAR(10),INDEX(Import!L:L,MATCH(C54,Name,0)))</f>
        <v>Parsa Amiri
4.5</v>
      </c>
      <c r="J54" s="424" t="str">
        <f t="array" ref="J54">INDEX(Import!K:K,MATCH(C54,Name,0))</f>
        <v>Although they haven't still applied for pre-IND, the team sounds really promising to develop an efficient drug. I want to know more about</v>
      </c>
      <c r="K54" s="423" t="str">
        <f t="array" aca="1" ref="K54" ca="1">CONCATENATE(INDEX('Form Import'!D:D,MATCH(A54,'Form Import'!F:F,0)),CHAR(10),INDEX('Form Import'!V:V,MATCH(A54,'Form Import'!F:F,0)))</f>
        <v>Nick Schmandt
2</v>
      </c>
      <c r="L54" s="424" t="str">
        <f t="array" aca="1" ref="L54" ca="1">INDEX('Form Import'!W:W,MATCH(A54,'Form Import'!F:F,0))</f>
        <v>This drug is a long way from human trials, though it might get spun off before then. The very low amounts of funds raised so far is also a red flag that they have not started doing serious testing of their proposed drug.</v>
      </c>
      <c r="M54" s="422"/>
      <c r="N54" s="422" t="str">
        <f t="array" aca="1" ref="N54" ca="1">INDEX('Form Import'!L:L,MATCH($A54,'Form Import'!$F:$F,0))</f>
        <v>They are still early in the animal trial stage of validating their drug.</v>
      </c>
      <c r="O54" s="422" t="str">
        <f t="array" aca="1" ref="O54" ca="1">INDEX('Form Import'!O:O,MATCH($A54,'Form Import'!$F:$F,0))</f>
        <v>The adressable market is relatively small, as this is a less common disease. However there will be plenty of profit if there drug works.</v>
      </c>
      <c r="P54" s="422" t="str">
        <f t="array" aca="1" ref="P54" ca="1">INDEX('Form Import'!S:S,MATCH($A54,'Form Import'!$F:$F,0))</f>
        <v>Team is almost entirely academics.</v>
      </c>
      <c r="Q54" s="422"/>
      <c r="R54" s="422"/>
      <c r="S54" s="422" t="e">
        <f t="array" aca="1" ref="S54" ca="1">_xludf.TextJoin("; ",1,INDEX(Import!S:S,MATCH(C54,Name,0)))</f>
        <v>#NAME?</v>
      </c>
    </row>
    <row r="55" spans="1:19" ht="48">
      <c r="A55" s="425" t="s">
        <v>1216</v>
      </c>
      <c r="B55" s="426" t="str">
        <f t="array" aca="1" ref="B55" ca="1">CONCATENATE(TEXT(INDEX(query!A:A,MATCH(C55,query!B:B,0)),"M/DD/YYY"),CHAR(10),INDEX(query!E:E,MATCH(C55,query!B:B,0)))</f>
        <v>8/09/2022
Invite</v>
      </c>
      <c r="C55" s="427" t="s">
        <v>194</v>
      </c>
      <c r="D55" s="428">
        <f t="array" ref="D55">INDEX(Import!D:D,MATCH(C55,Name,0))</f>
        <v>3.88</v>
      </c>
      <c r="E55" s="429">
        <f t="array" aca="1" ref="E55" ca="1">(INDEX(Import!I:I,MATCH(C55,Name,0))+INDEX(Import!L:L,MATCH(C55,Name,0))+INDEX('Form Import'!V:V,MATCH(A55,'Form Import'!F:F,0)))/3</f>
        <v>3.5833333333333335</v>
      </c>
      <c r="F55" s="430" t="str">
        <f t="array" ref="F55">INDEX(Import!E:E,MATCH(C55,Name,0))</f>
        <v>Employers are facing enormous pressure to rein in runaway health costs. Health Cost IQ helps employers save BIG by permanently lowering healthcare costs using first of its kind smart algorithms.</v>
      </c>
      <c r="G55" s="431" t="str">
        <f t="array" ref="G55">CONCATENATE(INDEX(Import!G:G,MATCH(C55,Import!C:C,0)),CHAR(10),INDEX(Import!I:I,MATCH(C55,Name,0)))</f>
        <v>Mark Flynn
4</v>
      </c>
      <c r="H55" s="432" t="str">
        <f t="array" ref="H55">INDEX(Import!H:H,MATCH(C55,Name,0))</f>
        <v>Solution being solved seems to be very large and meaningful to employers.  Traction is solid; they are raising a Series A so are at a key inflection point, which EFL should be able to help support</v>
      </c>
      <c r="I55" s="431" t="str">
        <f t="array" ref="I55">CONCATENATE(INDEX(Import!J:J,MATCH(C55,Name,0)),CHAR(10),INDEX(Import!L:L,MATCH(C55,Name,0)))</f>
        <v>Boyang Yu
3.75</v>
      </c>
      <c r="J55" s="432" t="str">
        <f t="array" ref="J55">INDEX(Import!K:K,MATCH(C55,Name,0))</f>
        <v>Revenue generating company with a cost-saving healthcare solution to employers. The team has good skill sets and previous start-up experience. Tech might not be cutting edge but the market looks promising</v>
      </c>
      <c r="K55" s="431" t="str">
        <f t="array" aca="1" ref="K55" ca="1">CONCATENATE(INDEX('Form Import'!D:D,MATCH(A55,'Form Import'!F:F,0)),CHAR(10),INDEX('Form Import'!V:V,MATCH(A55,'Form Import'!F:F,0)))</f>
        <v>Nick Schmandt
3</v>
      </c>
      <c r="L55" s="432" t="str">
        <f t="array" aca="1" ref="L55" ca="1">INDEX('Form Import'!W:W,MATCH(A55,'Form Import'!F:F,0))</f>
        <v>It's a good idea, but they have very little money and I'm not sure they have the ability to grow the product further. Also this is a very competitive space.</v>
      </c>
      <c r="M55" s="430"/>
      <c r="N55" s="430" t="str">
        <f t="array" aca="1" ref="N55" ca="1">INDEX('Form Import'!L:L,MATCH($A55,'Form Import'!$F:$F,0))</f>
        <v>Healthcare waste is a huge problem. But, there are a lot of different ways to approach this and I'm not clear on what the advantages of their platform are. Also, none of them have ML/AI experience, so someone else built this platform for them.</v>
      </c>
      <c r="O55" s="430" t="str">
        <f t="array" aca="1" ref="O55" ca="1">INDEX('Form Import'!O:O,MATCH($A55,'Form Import'!$F:$F,0))</f>
        <v>Huge addressable market, but still a lot of hurdles to get there.</v>
      </c>
      <c r="P55" s="430" t="str">
        <f t="array" aca="1" ref="P55" ca="1">INDEX('Form Import'!S:S,MATCH($A55,'Form Import'!$F:$F,0))</f>
        <v>The team has some healthcare experience but not a lot, and very little ML/AI experience.</v>
      </c>
      <c r="Q55" s="430"/>
      <c r="R55" s="430"/>
      <c r="S55" s="430" t="e">
        <f t="array" aca="1" ref="S55" ca="1">_xludf.TextJoin("; ",1,INDEX(Import!S:S,MATCH(C55,Name,0)))</f>
        <v>#NAME?</v>
      </c>
    </row>
    <row r="56" spans="1:19" ht="72">
      <c r="A56" s="418" t="s">
        <v>10137</v>
      </c>
      <c r="B56" s="419" t="str">
        <f t="array" aca="1" ref="B56" ca="1">CONCATENATE(TEXT(INDEX(query!A:A,MATCH(C56,query!B:B,0)),"M/DD/YYY"),CHAR(10),INDEX(query!E:E,MATCH(C56,query!B:B,0)))</f>
        <v>8/16/2022
Revisit/ Cluster</v>
      </c>
      <c r="C56" s="85" t="s">
        <v>405</v>
      </c>
      <c r="D56" s="420">
        <f t="array" ref="D56">INDEX(Import!D:D,MATCH(C56,Name,0))</f>
        <v>3.75</v>
      </c>
      <c r="E56" s="421">
        <f t="array" aca="1" ref="E56" ca="1">(INDEX(Import!I:I,MATCH(C56,Name,0))+INDEX(Import!L:L,MATCH(C56,Name,0))+INDEX('Form Import'!V:V,MATCH(A56,'Form Import'!F:F,0)))/3</f>
        <v>3.8333333333333335</v>
      </c>
      <c r="F56" s="422" t="str">
        <f t="array" ref="F56">INDEX(Import!E:E,MATCH(C56,Name,0))</f>
        <v>Helex is the most advanced genomic medicine company using a novel 3-D design platform to make safer and more reliable gene editing medicines, to drastically improve the lives of patients and their loved ones. The platform technology will enable drug developers to de-risk gene editing assets, and pursue new targets.</v>
      </c>
      <c r="G56" s="423" t="str">
        <f t="array" ref="G56">CONCATENATE(INDEX(Import!G:G,MATCH(C56,Import!C:C,0)),CHAR(10),INDEX(Import!I:I,MATCH(C56,Name,0)))</f>
        <v>Chris Mosher
4</v>
      </c>
      <c r="H56" s="424" t="str">
        <f t="array" ref="H56">INDEX(Import!H:H,MATCH(C56,Name,0))</f>
        <v>An epigenetic-based platform that makes gene editing (CRISPR) safer and more precise by using an advanced 3D model of the genome built to ensure highly targeted editing. Identified 500+ targets in the liver that span 200+ disease states, and demonstrated no off-target effects in vitro (need to see this data, not included in the app). Patent pending. Women-led team from the UK. IndieBio NY 3 company.</v>
      </c>
      <c r="I56" s="423" t="str">
        <f t="array" ref="I56">CONCATENATE(INDEX(Import!J:J,MATCH(C56,Name,0)),CHAR(10),INDEX(Import!L:L,MATCH(C56,Name,0)))</f>
        <v>Larisa Kagermazova
3.5</v>
      </c>
      <c r="J56" s="424" t="str">
        <f t="array" ref="J56">INDEX(Import!K:K,MATCH(C56,Name,0))</f>
        <v>IndieBio cohort
Definitely valuable product for the gene editing field
Any CRISPR, or epigenetics advisors?
Only talked about the data but didn't provide a deck - if we interview, ask for the data</v>
      </c>
      <c r="K56" s="423" t="str">
        <f t="array" aca="1" ref="K56" ca="1">CONCATENATE(INDEX('Form Import'!D:D,MATCH(A56,'Form Import'!F:F,0)),CHAR(10),INDEX('Form Import'!V:V,MATCH(A56,'Form Import'!F:F,0)))</f>
        <v>Jason Yu
4</v>
      </c>
      <c r="L56" s="424" t="str">
        <f t="array" aca="1" ref="L56" ca="1">INDEX('Form Import'!W:W,MATCH(A56,'Form Import'!F:F,0))</f>
        <v>FDA approval/ regulatory risks</v>
      </c>
      <c r="M56" s="422"/>
      <c r="N56" s="422" t="str">
        <f t="array" aca="1" ref="N56" ca="1">INDEX('Form Import'!L:L,MATCH($A56,'Form Import'!$F:$F,0))</f>
        <v>Helex platform is an advanced 3-D model of the genome built to ensure highly targeted cell/
tissue specific editing, and estimate the impact of editing on the global genome, critical for safer therapeutics.</v>
      </c>
      <c r="O56" s="422">
        <f t="array" aca="1" ref="O56" ca="1">INDEX('Form Import'!O:O,MATCH($A56,'Form Import'!$F:$F,0))</f>
        <v>0</v>
      </c>
      <c r="P56" s="422" t="str">
        <f t="array" aca="1" ref="P56" ca="1">INDEX('Form Import'!S:S,MATCH($A56,'Form Import'!$F:$F,0))</f>
        <v>First start up but experienced team.</v>
      </c>
      <c r="Q56" s="422"/>
      <c r="R56" s="422"/>
      <c r="S56" s="422" t="e">
        <f t="array" aca="1" ref="S56" ca="1">_xludf.TextJoin("; ",1,INDEX(Import!S:S,MATCH(C56,Name,0)))</f>
        <v>#NAME?</v>
      </c>
    </row>
    <row r="57" spans="1:19" ht="60">
      <c r="A57" s="425" t="s">
        <v>1224</v>
      </c>
      <c r="B57" s="426" t="str">
        <f t="array" aca="1" ref="B57" ca="1">CONCATENATE(TEXT(INDEX(query!A:A,MATCH(C57,query!B:B,0)),"M/DD/YYY"),CHAR(10),INDEX(query!E:E,MATCH(C57,query!B:B,0)))</f>
        <v>8/09/2022
Invite</v>
      </c>
      <c r="C57" s="427" t="s">
        <v>416</v>
      </c>
      <c r="D57" s="428">
        <f t="array" ref="D57">INDEX(Import!D:D,MATCH(C57,Name,0))</f>
        <v>4.5</v>
      </c>
      <c r="E57" s="429">
        <f t="array" aca="1" ref="E57" ca="1">(INDEX(Import!I:I,MATCH(C57,Name,0))+INDEX(Import!L:L,MATCH(C57,Name,0))+INDEX('Form Import'!V:V,MATCH(A57,'Form Import'!F:F,0)))/3</f>
        <v>4.333333333333333</v>
      </c>
      <c r="F57" s="430" t="str">
        <f t="array" ref="F57">INDEX(Import!E:E,MATCH(C57,Name,0))</f>
        <v>HPC-AI Tech is focusing on improving the efficiency of enterprise AI and MLOps. The startup has attracted $4.7 million in venture capital. The company built Colossal-AI, a cloud-native platform combining the ability to scale the most expensive AI workloads (e.g. GPT-3) with the simplicity of a laptop-like development environment.</v>
      </c>
      <c r="G57" s="431" t="str">
        <f t="array" ref="G57">CONCATENATE(INDEX(Import!G:G,MATCH(C57,Import!C:C,0)),CHAR(10),INDEX(Import!I:I,MATCH(C57,Name,0)))</f>
        <v>Khoa Ma
4</v>
      </c>
      <c r="H57" s="432">
        <f t="array" ref="H57">INDEX(Import!H:H,MATCH(C57,Name,0))</f>
        <v>0</v>
      </c>
      <c r="I57" s="431" t="str">
        <f t="array" ref="I57">CONCATENATE(INDEX(Import!J:J,MATCH(C57,Name,0)),CHAR(10),INDEX(Import!L:L,MATCH(C57,Name,0)))</f>
        <v>Arthur Ibanda
5</v>
      </c>
      <c r="J57" s="432" t="str">
        <f t="array" ref="J57">INDEX(Import!K:K,MATCH(C57,Name,0))</f>
        <v>+Trying to reduce deep learning training time which is a real and growing pain point
+Credible team with strong academic links
+Raised a lot of VC money
+Open source project already has users</v>
      </c>
      <c r="K57" s="431" t="str">
        <f t="array" aca="1" ref="K57" ca="1">CONCATENATE(INDEX('Form Import'!D:D,MATCH(A57,'Form Import'!F:F,0)),CHAR(10),INDEX('Form Import'!V:V,MATCH(A57,'Form Import'!F:F,0)))</f>
        <v>John McDonald
4</v>
      </c>
      <c r="L57" s="432">
        <f t="array" aca="1" ref="L57" ca="1">INDEX('Form Import'!W:W,MATCH(A57,'Form Import'!F:F,0))</f>
        <v>0</v>
      </c>
      <c r="M57" s="430"/>
      <c r="N57" s="430">
        <f t="array" aca="1" ref="N57" ca="1">INDEX('Form Import'!L:L,MATCH($A57,'Form Import'!$F:$F,0))</f>
        <v>0</v>
      </c>
      <c r="O57" s="430">
        <f t="array" aca="1" ref="O57" ca="1">INDEX('Form Import'!O:O,MATCH($A57,'Form Import'!$F:$F,0))</f>
        <v>0</v>
      </c>
      <c r="P57" s="430">
        <f t="array" aca="1" ref="P57" ca="1">INDEX('Form Import'!S:S,MATCH($A57,'Form Import'!$F:$F,0))</f>
        <v>0</v>
      </c>
      <c r="Q57" s="430"/>
      <c r="R57" s="430"/>
      <c r="S57" s="430" t="e">
        <f t="array" aca="1" ref="S57" ca="1">_xludf.TextJoin("; ",1,INDEX(Import!S:S,MATCH(C57,Name,0)))</f>
        <v>#NAME?</v>
      </c>
    </row>
    <row r="58" spans="1:19" ht="48">
      <c r="A58" s="418" t="s">
        <v>3896</v>
      </c>
      <c r="B58" s="419" t="str">
        <f t="array" aca="1" ref="B58" ca="1">CONCATENATE(TEXT(INDEX(query!A:A,MATCH(C58,query!B:B,0)),"M/DD/YYY"),CHAR(10),INDEX(query!E:E,MATCH(C58,query!B:B,0)))</f>
        <v>8/11/2022
Invite</v>
      </c>
      <c r="C58" s="85" t="s">
        <v>215</v>
      </c>
      <c r="D58" s="420">
        <f t="array" ref="D58">INDEX(Import!D:D,MATCH(C58,Name,0))</f>
        <v>4</v>
      </c>
      <c r="E58" s="421">
        <f t="array" aca="1" ref="E58" ca="1">(INDEX(Import!I:I,MATCH(C58,Name,0))+INDEX(Import!L:L,MATCH(C58,Name,0))+INDEX('Form Import'!V:V,MATCH(A58,'Form Import'!F:F,0)))/3</f>
        <v>3.3333333333333335</v>
      </c>
      <c r="F58" s="422" t="str">
        <f t="array" ref="F58">INDEX(Import!E:E,MATCH(C58,Name,0))</f>
        <v>Hummingbirds AI is automating authentication to computers, making them passwordless and touchless, for enterprise employees, eliminating repetitive MFA, making security convenient, guaranteeing compliance, increasing productivity, and lowering employee burnout.</v>
      </c>
      <c r="G58" s="423" t="str">
        <f t="array" ref="G58">CONCATENATE(INDEX(Import!G:G,MATCH(C58,Import!C:C,0)),CHAR(10),INDEX(Import!I:I,MATCH(C58,Name,0)))</f>
        <v>Mark Flynn
4</v>
      </c>
      <c r="H58" s="424" t="str">
        <f t="array" ref="H58">INDEX(Import!H:H,MATCH(C58,Name,0))</f>
        <v>Tech seems to provide meaningful value to end users; they had a pilot with Panasonic and seem to be at good stage where EFL could provide real help; I want to better understand how high of a priority continuous authentication is vs. what's currently being used</v>
      </c>
      <c r="I58" s="423" t="str">
        <f t="array" ref="I58">CONCATENATE(INDEX(Import!J:J,MATCH(C58,Name,0)),CHAR(10),INDEX(Import!L:L,MATCH(C58,Name,0)))</f>
        <v>Boyang Yu
4</v>
      </c>
      <c r="J58" s="424" t="str">
        <f t="array" ref="J58">INDEX(Import!K:K,MATCH(C58,Name,0))</f>
        <v>The technology is validated with Panasonic. They have clear aims for EFL experience which matches their growth needs</v>
      </c>
      <c r="K58" s="423" t="str">
        <f t="array" aca="1" ref="K58" ca="1">CONCATENATE(INDEX('Form Import'!D:D,MATCH(A58,'Form Import'!F:F,0)),CHAR(10),INDEX('Form Import'!V:V,MATCH(A58,'Form Import'!F:F,0)))</f>
        <v>Nick Schmandt
2</v>
      </c>
      <c r="L58" s="424" t="str">
        <f t="array" aca="1" ref="L58" ca="1">INDEX('Form Import'!W:W,MATCH(A58,'Form Import'!F:F,0))</f>
        <v>This technology is just not new enough, and I don't see companies paying a lot for it. Also, I didn't see validation that it would protect against things like a printout of someone's face, or how reliable the tech is.</v>
      </c>
      <c r="M58" s="422"/>
      <c r="N58" s="422" t="str">
        <f t="array" aca="1" ref="N58" ca="1">INDEX('Form Import'!L:L,MATCH($A58,'Form Import'!$F:$F,0))</f>
        <v>This is not a revolutionary device, and I'd be very surprised if other platforms didn't offer it soon if they don't already.</v>
      </c>
      <c r="O58" s="422" t="str">
        <f t="array" aca="1" ref="O58" ca="1">INDEX('Form Import'!O:O,MATCH($A58,'Form Import'!$F:$F,0))</f>
        <v>It's a large market but not clear if people will pay for it or how much it really improves workstreams.</v>
      </c>
      <c r="P58" s="422" t="str">
        <f t="array" aca="1" ref="P58" ca="1">INDEX('Form Import'!S:S,MATCH($A58,'Form Import'!$F:$F,0))</f>
        <v>Team seems good, a lot of experience in startup and security space.</v>
      </c>
      <c r="Q58" s="422"/>
      <c r="R58" s="422"/>
      <c r="S58" s="422" t="e">
        <f t="array" aca="1" ref="S58" ca="1">_xludf.TextJoin("; ",1,INDEX(Import!S:S,MATCH(C58,Name,0)))</f>
        <v>#NAME?</v>
      </c>
    </row>
    <row r="59" spans="1:19" ht="36">
      <c r="A59" s="425" t="s">
        <v>2749</v>
      </c>
      <c r="B59" s="426" t="str">
        <f t="array" aca="1" ref="B59" ca="1">CONCATENATE(TEXT(INDEX(query!A:A,MATCH(C59,query!B:B,0)),"M/DD/YYY"),CHAR(10),INDEX(query!E:E,MATCH(C59,query!B:B,0)))</f>
        <v>8/03/2022
Revisit/ Cluster</v>
      </c>
      <c r="C59" s="427" t="s">
        <v>95</v>
      </c>
      <c r="D59" s="428">
        <f t="array" ref="D59">INDEX(Import!D:D,MATCH(C59,Name,0))</f>
        <v>3.5</v>
      </c>
      <c r="E59" s="429">
        <f t="array" aca="1" ref="E59" ca="1">(INDEX(Import!I:I,MATCH(C59,Name,0))+INDEX(Import!L:L,MATCH(C59,Name,0))+INDEX('Form Import'!V:V,MATCH(A59,'Form Import'!F:F,0)))/3</f>
        <v>3.3333333333333335</v>
      </c>
      <c r="F59" s="430" t="str">
        <f t="array" ref="F59">INDEX(Import!E:E,MATCH(C59,Name,0))</f>
        <v>iCardio.ai builds deep learning algorithms for ultrasound interpretation. Our main product, the iCardio.ai Brain can ingest an entire tranthoracic echo (ultrasound of the heart) and produce a full report, that mimics the thinking of a cardiologist.</v>
      </c>
      <c r="G59" s="431" t="str">
        <f t="array" ref="G59">CONCATENATE(INDEX(Import!G:G,MATCH(C59,Import!C:C,0)),CHAR(10),INDEX(Import!I:I,MATCH(C59,Name,0)))</f>
        <v>Khoa Ma
3.5</v>
      </c>
      <c r="H59" s="432" t="str">
        <f t="array" ref="H59">INDEX(Import!H:H,MATCH(C59,Name,0))</f>
        <v>DiT or LS company. Need some more validation to prove the data works</v>
      </c>
      <c r="I59" s="431" t="str">
        <f t="array" ref="I59">CONCATENATE(INDEX(Import!J:J,MATCH(C59,Name,0)),CHAR(10),INDEX(Import!L:L,MATCH(C59,Name,0)))</f>
        <v>Yagnik Mehta
3.5</v>
      </c>
      <c r="J59" s="432" t="str">
        <f t="array" ref="J59">INDEX(Import!K:K,MATCH(C59,Name,0))</f>
        <v>Great Venture, I would suggest to Lifescience Team, to validate the tech, However, I bit concerned about the team and Tech Protection. So would like have this application qualify next season</v>
      </c>
      <c r="K59" s="431" t="str">
        <f t="array" aca="1" ref="K59" ca="1">CONCATENATE(INDEX('Form Import'!D:D,MATCH(A59,'Form Import'!F:F,0)),CHAR(10),INDEX('Form Import'!V:V,MATCH(A59,'Form Import'!F:F,0)))</f>
        <v>Jason Yu
3</v>
      </c>
      <c r="L59" s="432" t="str">
        <f t="array" aca="1" ref="L59" ca="1">INDEX('Form Import'!W:W,MATCH(A59,'Form Import'!F:F,0))</f>
        <v>FDA clearance is the biggest obstacle.</v>
      </c>
      <c r="M59" s="430"/>
      <c r="N59" s="430" t="str">
        <f t="array" aca="1" ref="N59" ca="1">INDEX('Form Import'!L:L,MATCH($A59,'Form Import'!$F:$F,0))</f>
        <v>Technology is not complete</v>
      </c>
      <c r="O59" s="430" t="str">
        <f t="array" aca="1" ref="O59" ca="1">INDEX('Form Import'!O:O,MATCH($A59,'Form Import'!$F:$F,0))</f>
        <v>TAM - Total Ultrasound Imaging Market &gt; $50B anually</v>
      </c>
      <c r="P59" s="430" t="str">
        <f t="array" aca="1" ref="P59" ca="1">INDEX('Form Import'!S:S,MATCH($A59,'Form Import'!$F:$F,0))</f>
        <v>Small team of 5 people</v>
      </c>
      <c r="Q59" s="430"/>
      <c r="R59" s="430"/>
      <c r="S59" s="430" t="e">
        <f t="array" aca="1" ref="S59" ca="1">_xludf.TextJoin("; ",1,INDEX(Import!S:S,MATCH(C59,Name,0)))</f>
        <v>#NAME?</v>
      </c>
    </row>
    <row r="60" spans="1:19" ht="48">
      <c r="A60" s="418" t="s">
        <v>3903</v>
      </c>
      <c r="B60" s="419" t="str">
        <f t="array" aca="1" ref="B60" ca="1">CONCATENATE(TEXT(INDEX(query!A:A,MATCH(C60,query!B:B,0)),"M/DD/YYY"),CHAR(10),INDEX(query!E:E,MATCH(C60,query!B:B,0)))</f>
        <v>8/11/2022
Invite</v>
      </c>
      <c r="C60" s="85" t="s">
        <v>216</v>
      </c>
      <c r="D60" s="420">
        <f t="array" ref="D60">INDEX(Import!D:D,MATCH(C60,Name,0))</f>
        <v>4</v>
      </c>
      <c r="E60" s="421">
        <f t="array" aca="1" ref="E60" ca="1">(INDEX(Import!I:I,MATCH(C60,Name,0))+INDEX(Import!L:L,MATCH(C60,Name,0))+INDEX('Form Import'!V:V,MATCH(A60,'Form Import'!F:F,0)))/3</f>
        <v>4</v>
      </c>
      <c r="F60" s="422" t="str">
        <f t="array" ref="F60">INDEX(Import!E:E,MATCH(C60,Name,0))</f>
        <v>We make video production camera free - generate videos with any face from any text in minutes. Not weeks.</v>
      </c>
      <c r="G60" s="423" t="str">
        <f t="array" ref="G60">CONCATENATE(INDEX(Import!G:G,MATCH(C60,Import!C:C,0)),CHAR(10),INDEX(Import!I:I,MATCH(C60,Name,0)))</f>
        <v>Khoa Ma
4</v>
      </c>
      <c r="H60" s="424">
        <f t="array" ref="H60">INDEX(Import!H:H,MATCH(C60,Name,0))</f>
        <v>0</v>
      </c>
      <c r="I60" s="423" t="str">
        <f t="array" ref="I60">CONCATENATE(INDEX(Import!J:J,MATCH(C60,Name,0)),CHAR(10),INDEX(Import!L:L,MATCH(C60,Name,0)))</f>
        <v>Sriharsha Indupuru
4</v>
      </c>
      <c r="J60" s="424" t="str">
        <f t="array" ref="J60">INDEX(Import!K:K,MATCH(C60,Name,0))</f>
        <v>+ Founder has startup experience and female founder worked in Facebook before 
+Capable team with experience from top tech companies in the division</v>
      </c>
      <c r="K60" s="423" t="str">
        <f t="array" aca="1" ref="K60" ca="1">CONCATENATE(INDEX('Form Import'!D:D,MATCH(A60,'Form Import'!F:F,0)),CHAR(10),INDEX('Form Import'!V:V,MATCH(A60,'Form Import'!F:F,0)))</f>
        <v>John McDonald
4</v>
      </c>
      <c r="L60" s="424">
        <f t="array" aca="1" ref="L60" ca="1">INDEX('Form Import'!W:W,MATCH(A60,'Form Import'!F:F,0))</f>
        <v>0</v>
      </c>
      <c r="M60" s="422"/>
      <c r="N60" s="422">
        <f t="array" aca="1" ref="N60" ca="1">INDEX('Form Import'!L:L,MATCH($A60,'Form Import'!$F:$F,0))</f>
        <v>0</v>
      </c>
      <c r="O60" s="422">
        <f t="array" aca="1" ref="O60" ca="1">INDEX('Form Import'!O:O,MATCH($A60,'Form Import'!$F:$F,0))</f>
        <v>0</v>
      </c>
      <c r="P60" s="422">
        <f t="array" aca="1" ref="P60" ca="1">INDEX('Form Import'!S:S,MATCH($A60,'Form Import'!$F:$F,0))</f>
        <v>0</v>
      </c>
      <c r="Q60" s="422"/>
      <c r="R60" s="422"/>
      <c r="S60" s="422" t="e">
        <f t="array" aca="1" ref="S60" ca="1">_xludf.TextJoin("; ",1,INDEX(Import!S:S,MATCH(C60,Name,0)))</f>
        <v>#NAME?</v>
      </c>
    </row>
    <row r="61" spans="1:19" ht="108">
      <c r="A61" s="425" t="s">
        <v>1788</v>
      </c>
      <c r="B61" s="426" t="str">
        <f t="array" aca="1" ref="B61" ca="1">CONCATENATE(TEXT(INDEX(query!A:A,MATCH(C61,query!B:B,0)),"M/DD/YYY"),CHAR(10),INDEX(query!E:E,MATCH(C61,query!B:B,0)))</f>
        <v>8/16/2022
Revisit/ Cluster</v>
      </c>
      <c r="C61" s="427" t="s">
        <v>322</v>
      </c>
      <c r="D61" s="428">
        <f t="array" ref="D61">INDEX(Import!D:D,MATCH(C61,Name,0))</f>
        <v>3.75</v>
      </c>
      <c r="E61" s="429">
        <f t="array" aca="1" ref="E61" ca="1">(INDEX(Import!I:I,MATCH(C61,Name,0))+INDEX(Import!L:L,MATCH(C61,Name,0))+INDEX('Form Import'!V:V,MATCH(A61,'Form Import'!F:F,0)))/3</f>
        <v>3.5</v>
      </c>
      <c r="F61" s="430" t="str">
        <f t="array" ref="F61">INDEX(Import!E:E,MATCH(C61,Name,0))</f>
        <v>ImmunoMind uses AI and multi-omics to optimize the persistence of cells in cell therapies for drug companies, improving the efficacy of the treatment.</v>
      </c>
      <c r="G61" s="431" t="str">
        <f t="array" ref="G61">CONCATENATE(INDEX(Import!G:G,MATCH(C61,Import!C:C,0)),CHAR(10),INDEX(Import!I:I,MATCH(C61,Name,0)))</f>
        <v>Chris Mosher
4</v>
      </c>
      <c r="H61" s="432" t="str">
        <f t="array" ref="H61">INDEX(Import!H:H,MATCH(C61,Name,0))</f>
        <v>Multi-omics immune cell database and associated AI algorithm for identification of cells with optimal persistence and potency for safer and more effective cell therapies. Direct competitor to Immunai (exciting tech space). Team are SkyDeck alumni out of Berkeley, with support of that network. Brought on advisors from MIT, Stanford, and Yale with immunotherapy experience. IP is not protected. Validation is unclear - they have "partners" but did not publicize any significant data yet. May be too early for this cohort, but should cluster with other immuno/AI companies.</v>
      </c>
      <c r="I61" s="431" t="str">
        <f t="array" ref="I61">CONCATENATE(INDEX(Import!J:J,MATCH(C61,Name,0)),CHAR(10),INDEX(Import!L:L,MATCH(C61,Name,0)))</f>
        <v>Parsa Amiri
3.5</v>
      </c>
      <c r="J61" s="432" t="str">
        <f t="array" ref="J61">INDEX(Import!K:K,MATCH(C61,Name,0))</f>
        <v>UCBerkeley. I personally think the technology is a bit early. Competitor for Immunai. Multi-Omics Intelligent Platform (software) for increasing cell persistency for cell therapy companies in order to less costly and more efficient product development and CT. No patent. It has been used in some cell therapy researches.</v>
      </c>
      <c r="K61" s="431" t="str">
        <f t="array" aca="1" ref="K61" ca="1">CONCATENATE(INDEX('Form Import'!D:D,MATCH(A61,'Form Import'!F:F,0)),CHAR(10),INDEX('Form Import'!V:V,MATCH(A61,'Form Import'!F:F,0)))</f>
        <v>Jason Yu
3</v>
      </c>
      <c r="L61" s="432" t="str">
        <f t="array" aca="1" ref="L61" ca="1">INDEX('Form Import'!W:W,MATCH(A61,'Form Import'!F:F,0))</f>
        <v>Unclear how far along their technology is.</v>
      </c>
      <c r="M61" s="430"/>
      <c r="N61" s="430" t="str">
        <f t="array" aca="1" ref="N61" ca="1">INDEX('Form Import'!L:L,MATCH($A61,'Form Import'!$F:$F,0))</f>
        <v>We will plan to present the results of our technologies application on large conferences later this year.</v>
      </c>
      <c r="O61" s="430" t="str">
        <f t="array" aca="1" ref="O61" ca="1">INDEX('Form Import'!O:O,MATCH($A61,'Form Import'!$F:$F,0))</f>
        <v>We are currently working with several partners on drug development</v>
      </c>
      <c r="P61" s="430">
        <f t="array" aca="1" ref="P61" ca="1">INDEX('Form Import'!S:S,MATCH($A61,'Form Import'!$F:$F,0))</f>
        <v>0</v>
      </c>
      <c r="Q61" s="430"/>
      <c r="R61" s="430"/>
      <c r="S61" s="430" t="e">
        <f t="array" aca="1" ref="S61" ca="1">_xludf.TextJoin("; ",1,INDEX(Import!S:S,MATCH(C61,Name,0)))</f>
        <v>#NAME?</v>
      </c>
    </row>
    <row r="62" spans="1:19" ht="48">
      <c r="A62" s="418" t="s">
        <v>1232</v>
      </c>
      <c r="B62" s="419" t="str">
        <f t="array" aca="1" ref="B62" ca="1">CONCATENATE(TEXT(INDEX(query!A:A,MATCH(C62,query!B:B,0)),"M/DD/YYY"),CHAR(10),INDEX(query!E:E,MATCH(C62,query!B:B,0)))</f>
        <v>8/16/2022
Invite</v>
      </c>
      <c r="C62" s="85" t="s">
        <v>195</v>
      </c>
      <c r="D62" s="420">
        <f t="array" ref="D62">INDEX(Import!D:D,MATCH(C62,Name,0))</f>
        <v>3.88</v>
      </c>
      <c r="E62" s="421">
        <f t="array" aca="1" ref="E62" ca="1">(INDEX(Import!I:I,MATCH(C62,Name,0))+INDEX(Import!L:L,MATCH(C62,Name,0))+INDEX('Form Import'!V:V,MATCH(A62,'Form Import'!F:F,0)))/3</f>
        <v>3.25</v>
      </c>
      <c r="F62" s="422" t="str">
        <f t="array" ref="F62">INDEX(Import!E:E,MATCH(C62,Name,0))</f>
        <v>Impilo develops a differential diagnosis AI-system specializing in rare and complex diseases to support healthcare systems with the challenge of diagnosing low-prevalence yet ample disorders. Thus, improving the quality of care, reducing diagnosis time (7 years avg.), and preventing errors and unnecessary treatments (up to $400B a year in the US).</v>
      </c>
      <c r="G62" s="423" t="str">
        <f t="array" ref="G62">CONCATENATE(INDEX(Import!G:G,MATCH(C62,Import!C:C,0)),CHAR(10),INDEX(Import!I:I,MATCH(C62,Name,0)))</f>
        <v>Beth Xie
4.5</v>
      </c>
      <c r="H62" s="424" t="str">
        <f t="array" ref="H62">INDEX(Import!H:H,MATCH(C62,Name,0))</f>
        <v>- Solid and highly technical team with strong scientific approach. 
- Seems slightly early (proof of concept stage only) by not having enough customer discovery work done. 
- Could really benefit from the EFL's mentors</v>
      </c>
      <c r="I62" s="423" t="str">
        <f t="array" ref="I62">CONCATENATE(INDEX(Import!J:J,MATCH(C62,Name,0)),CHAR(10),INDEX(Import!L:L,MATCH(C62,Name,0)))</f>
        <v>Matt Myers
3.25</v>
      </c>
      <c r="J62" s="424" t="str">
        <f t="array" ref="J62">INDEX(Import!K:K,MATCH(C62,Name,0))</f>
        <v>Still in process of verifying tech, getting patents, etc. Feels slightly premature for EFL. Given positive progress on these, has potential for high impact.</v>
      </c>
      <c r="K62" s="423" t="str">
        <f t="array" aca="1" ref="K62" ca="1">CONCATENATE(INDEX('Form Import'!D:D,MATCH(A62,'Form Import'!F:F,0)),CHAR(10),INDEX('Form Import'!V:V,MATCH(A62,'Form Import'!F:F,0)))</f>
        <v>John McDonald
2</v>
      </c>
      <c r="L62" s="424">
        <f t="array" aca="1" ref="L62" ca="1">INDEX('Form Import'!W:W,MATCH(A62,'Form Import'!F:F,0))</f>
        <v>0</v>
      </c>
      <c r="M62" s="422"/>
      <c r="N62" s="422">
        <f t="array" aca="1" ref="N62" ca="1">INDEX('Form Import'!L:L,MATCH($A62,'Form Import'!$F:$F,0))</f>
        <v>0</v>
      </c>
      <c r="O62" s="422">
        <f t="array" aca="1" ref="O62" ca="1">INDEX('Form Import'!O:O,MATCH($A62,'Form Import'!$F:$F,0))</f>
        <v>0</v>
      </c>
      <c r="P62" s="422">
        <f t="array" aca="1" ref="P62" ca="1">INDEX('Form Import'!S:S,MATCH($A62,'Form Import'!$F:$F,0))</f>
        <v>0</v>
      </c>
      <c r="Q62" s="422"/>
      <c r="R62" s="422"/>
      <c r="S62" s="422" t="e">
        <f t="array" aca="1" ref="S62" ca="1">_xludf.TextJoin("; ",1,INDEX(Import!S:S,MATCH(C62,Name,0)))</f>
        <v>#NAME?</v>
      </c>
    </row>
    <row r="63" spans="1:19" ht="48">
      <c r="A63" s="425" t="s">
        <v>13149</v>
      </c>
      <c r="B63" s="426" t="str">
        <f t="array" aca="1" ref="B63" ca="1">CONCATENATE(TEXT(INDEX(query!A:A,MATCH(C63,query!B:B,0)),"M/DD/YYY"),CHAR(10),INDEX(query!E:E,MATCH(C63,query!B:B,0)))</f>
        <v>8/09/2022
Invite</v>
      </c>
      <c r="C63" s="427" t="s">
        <v>221</v>
      </c>
      <c r="D63" s="428">
        <f t="array" ref="D63">INDEX(Import!D:D,MATCH(C63,Name,0))</f>
        <v>4</v>
      </c>
      <c r="E63" s="429">
        <f t="array" aca="1" ref="E63" ca="1">(INDEX(Import!I:I,MATCH(C63,Name,0))+INDEX(Import!L:L,MATCH(C63,Name,0))+INDEX('Form Import'!V:V,MATCH(A63,'Form Import'!F:F,0)))/3</f>
        <v>4.333333333333333</v>
      </c>
      <c r="F63" s="430" t="str">
        <f t="array" ref="F63">INDEX(Import!E:E,MATCH(C63,Name,0))</f>
        <v>Infinity Gaming Media (IGM) is building the Gaming Mediaverse in Latin America, a collection of gaming entertainment and gaming media assets designed to help brands generate engagement with the elusive GenZ's and Alphas.</v>
      </c>
      <c r="G63" s="431" t="str">
        <f t="array" ref="G63">CONCATENATE(INDEX(Import!G:G,MATCH(C63,Import!C:C,0)),CHAR(10),INDEX(Import!I:I,MATCH(C63,Name,0)))</f>
        <v>Beth Xie
4</v>
      </c>
      <c r="H63" s="432" t="str">
        <f t="array" ref="H63">INDEX(Import!H:H,MATCH(C63,Name,0))</f>
        <v>The startup has significant growth in revenue and also team building. The startup also has a really strong executive team with former startup exits. 
It is not a traditional fit with EFL, so this is the main concern.</v>
      </c>
      <c r="I63" s="431" t="str">
        <f t="array" ref="I63">CONCATENATE(INDEX(Import!J:J,MATCH(C63,Name,0)),CHAR(10),INDEX(Import!L:L,MATCH(C63,Name,0)))</f>
        <v>Boyang Yu
4</v>
      </c>
      <c r="J63" s="432" t="str">
        <f t="array" ref="J63">INDEX(Import!K:K,MATCH(C63,Name,0))</f>
        <v>The field is rather under-explored and the team has data advantage and have big name customers. Co-founders are experienced in their field. Fund-raising status is prospective.</v>
      </c>
      <c r="K63" s="431" t="str">
        <f t="array" aca="1" ref="K63" ca="1">CONCATENATE(INDEX('Form Import'!D:D,MATCH(A63,'Form Import'!F:F,0)),CHAR(10),INDEX('Form Import'!V:V,MATCH(A63,'Form Import'!F:F,0)))</f>
        <v>Nick Schmandt
5</v>
      </c>
      <c r="L63" s="432" t="str">
        <f t="array" aca="1" ref="L63" ca="1">INDEX('Form Import'!W:W,MATCH(A63,'Form Import'!F:F,0))</f>
        <v>Pretty impressive revenue and growth potential, in a lucrative and fast-growing market. This seems very solid.</v>
      </c>
      <c r="M63" s="430"/>
      <c r="N63" s="430" t="str">
        <f t="array" aca="1" ref="N63" ca="1">INDEX('Form Import'!L:L,MATCH($A63,'Form Import'!$F:$F,0))</f>
        <v>Platform seems to work fine, that's not a huge component of the company.</v>
      </c>
      <c r="O63" s="430" t="str">
        <f t="array" aca="1" ref="O63" ca="1">INDEX('Form Import'!O:O,MATCH($A63,'Form Import'!$F:$F,0))</f>
        <v>Huge market, already doing well with revenue and customers.</v>
      </c>
      <c r="P63" s="430" t="str">
        <f t="array" aca="1" ref="P63" ca="1">INDEX('Form Import'!S:S,MATCH($A63,'Form Import'!$F:$F,0))</f>
        <v>Team is quite strong, with a lot of fairly powerful founders as well.</v>
      </c>
      <c r="Q63" s="430"/>
      <c r="R63" s="430"/>
      <c r="S63" s="430" t="e">
        <f t="array" aca="1" ref="S63" ca="1">_xludf.TextJoin("; ",1,INDEX(Import!S:S,MATCH(C63,Name,0)))</f>
        <v>#NAME?</v>
      </c>
    </row>
    <row r="64" spans="1:19" ht="24">
      <c r="A64" s="418" t="s">
        <v>13150</v>
      </c>
      <c r="B64" s="419" t="str">
        <f t="array" aca="1" ref="B64" ca="1">CONCATENATE(TEXT(INDEX(query!A:A,MATCH(C64,query!B:B,0)),"M/DD/YYY"),CHAR(10),INDEX(query!E:E,MATCH(C64,query!B:B,0)))</f>
        <v>8/03/2022
Invite</v>
      </c>
      <c r="C64" s="85" t="s">
        <v>376</v>
      </c>
      <c r="D64" s="420">
        <f t="array" ref="D64">INDEX(Import!D:D,MATCH(C64,Name,0))</f>
        <v>4</v>
      </c>
      <c r="E64" s="421">
        <f t="array" aca="1" ref="E64" ca="1">(INDEX(Import!I:I,MATCH(C64,Name,0))+INDEX(Import!L:L,MATCH(C64,Name,0))+INDEX('Form Import'!V:V,MATCH(A64,'Form Import'!F:F,0)))/3</f>
        <v>3.3333333333333335</v>
      </c>
      <c r="F64" s="422" t="str">
        <f t="array" ref="F64">INDEX(Import!E:E,MATCH(C64,Name,0))</f>
        <v>We are addressing the complexity of adoption of quantum computing within data science in Life Sciences. We are solving this with a standardized Python abstraction layer to access a library of ready to use industry-specific quantum algorithms delivered through our Ingenii SaaS platform.</v>
      </c>
      <c r="G64" s="423" t="str">
        <f t="array" ref="G64">CONCATENATE(INDEX(Import!G:G,MATCH(C64,Import!C:C,0)),CHAR(10),INDEX(Import!I:I,MATCH(C64,Name,0)))</f>
        <v>Khoa Ma
4</v>
      </c>
      <c r="H64" s="424" t="str">
        <f t="array" ref="H64">INDEX(Import!H:H,MATCH(C64,Name,0))</f>
        <v>Worth speaking with for LS deep tech angle</v>
      </c>
      <c r="I64" s="423" t="str">
        <f t="array" ref="I64">CONCATENATE(INDEX(Import!J:J,MATCH(C64,Name,0)),CHAR(10),INDEX(Import!L:L,MATCH(C64,Name,0)))</f>
        <v>Sriharsha Indupuru
4</v>
      </c>
      <c r="J64" s="424" t="str">
        <f t="array" ref="J64">INDEX(Import!K:K,MATCH(C64,Name,0))</f>
        <v>+Based on my study, the quantum field will be booming in the coming future</v>
      </c>
      <c r="K64" s="423" t="str">
        <f t="array" aca="1" ref="K64" ca="1">CONCATENATE(INDEX('Form Import'!D:D,MATCH(A64,'Form Import'!F:F,0)),CHAR(10),INDEX('Form Import'!V:V,MATCH(A64,'Form Import'!F:F,0)))</f>
        <v>Nick Schmandt
2</v>
      </c>
      <c r="L64" s="424" t="str">
        <f t="array" aca="1" ref="L64" ca="1">INDEX('Form Import'!W:W,MATCH(A64,'Form Import'!F:F,0))</f>
        <v>Adressable market is very limited, and the entire team is two people who are in a relationship.</v>
      </c>
      <c r="M64" s="422"/>
      <c r="N64" s="422" t="str">
        <f t="array" aca="1" ref="N64" ca="1">INDEX('Form Import'!L:L,MATCH($A64,'Form Import'!$F:$F,0))</f>
        <v>Cool idea, but I don't understand why they are limiting themselves to biology, unless either this tech is readily available to other sectors.</v>
      </c>
      <c r="O64" s="422" t="str">
        <f t="array" aca="1" ref="O64" ca="1">INDEX('Form Import'!O:O,MATCH($A64,'Form Import'!$F:$F,0))</f>
        <v>Limiting themselves to biology greatly limits the available market for quantum computing.</v>
      </c>
      <c r="P64" s="422" t="str">
        <f t="array" aca="1" ref="P64" ca="1">INDEX('Form Import'!S:S,MATCH($A64,'Form Import'!$F:$F,0))</f>
        <v>Neither has experience directly in this area. Also, the two founders are in a relationship.</v>
      </c>
      <c r="Q64" s="422"/>
      <c r="R64" s="422"/>
      <c r="S64" s="422" t="e">
        <f t="array" aca="1" ref="S64" ca="1">_xludf.TextJoin("; ",1,INDEX(Import!S:S,MATCH(C64,Name,0)))</f>
        <v>#NAME?</v>
      </c>
    </row>
    <row r="65" spans="1:19" ht="36">
      <c r="A65" s="425" t="s">
        <v>1250</v>
      </c>
      <c r="B65" s="426" t="str">
        <f t="array" aca="1" ref="B65" ca="1">CONCATENATE(TEXT(INDEX(query!A:A,MATCH(C65,query!B:B,0)),"M/DD/YYY"),CHAR(10),INDEX(query!E:E,MATCH(C65,query!B:B,0)))</f>
        <v>8/18/2022
Invite</v>
      </c>
      <c r="C65" s="427" t="s">
        <v>197</v>
      </c>
      <c r="D65" s="428">
        <f t="array" ref="D65">INDEX(Import!D:D,MATCH(C65,Name,0))</f>
        <v>4.13</v>
      </c>
      <c r="E65" s="429">
        <f t="array" aca="1" ref="E65" ca="1">(INDEX(Import!I:I,MATCH(C65,Name,0))+INDEX(Import!L:L,MATCH(C65,Name,0))+INDEX('Form Import'!V:V,MATCH(A65,'Form Import'!F:F,0)))/3</f>
        <v>4.083333333333333</v>
      </c>
      <c r="F65" s="430" t="str">
        <f t="array" ref="F65">INDEX(Import!E:E,MATCH(C65,Name,0))</f>
        <v>inHEART leverages medical images and ECGs to deliver precise 3D maps of each patient's unique cardiac anatomy allowing cardiologists to individualize and optimize each patient's cardiac arrhythmia treatment strategy.</v>
      </c>
      <c r="G65" s="431" t="str">
        <f t="array" ref="G65">CONCATENATE(INDEX(Import!G:G,MATCH(C65,Import!C:C,0)),CHAR(10),INDEX(Import!I:I,MATCH(C65,Name,0)))</f>
        <v>Mark Flynn
4.25</v>
      </c>
      <c r="H65" s="432" t="str">
        <f t="array" ref="H65">INDEX(Import!H:H,MATCH(C65,Name,0))</f>
        <v>Tech seems novel but competitive landscape is immense; team has great backgrounds; market opportunity could be large; great traction; would interview</v>
      </c>
      <c r="I65" s="431" t="str">
        <f t="array" ref="I65">CONCATENATE(INDEX(Import!J:J,MATCH(C65,Name,0)),CHAR(10),INDEX(Import!L:L,MATCH(C65,Name,0)))</f>
        <v>Matt Myers
4</v>
      </c>
      <c r="J65" s="432" t="str">
        <f t="array" ref="J65">INDEX(Import!K:K,MATCH(C65,Name,0))</f>
        <v>Novel cardiology imaging technology, potential for high impact. EFL material.</v>
      </c>
      <c r="K65" s="431" t="str">
        <f t="array" aca="1" ref="K65" ca="1">CONCATENATE(INDEX('Form Import'!D:D,MATCH(A65,'Form Import'!F:F,0)),CHAR(10),INDEX('Form Import'!V:V,MATCH(A65,'Form Import'!F:F,0)))</f>
        <v>John McDonald
4</v>
      </c>
      <c r="L65" s="432">
        <f t="array" aca="1" ref="L65" ca="1">INDEX('Form Import'!W:W,MATCH(A65,'Form Import'!F:F,0))</f>
        <v>0</v>
      </c>
      <c r="M65" s="430"/>
      <c r="N65" s="430">
        <f t="array" aca="1" ref="N65" ca="1">INDEX('Form Import'!L:L,MATCH($A65,'Form Import'!$F:$F,0))</f>
        <v>0</v>
      </c>
      <c r="O65" s="430">
        <f t="array" aca="1" ref="O65" ca="1">INDEX('Form Import'!O:O,MATCH($A65,'Form Import'!$F:$F,0))</f>
        <v>0</v>
      </c>
      <c r="P65" s="430">
        <f t="array" aca="1" ref="P65" ca="1">INDEX('Form Import'!S:S,MATCH($A65,'Form Import'!$F:$F,0))</f>
        <v>0</v>
      </c>
      <c r="Q65" s="430"/>
      <c r="R65" s="430"/>
      <c r="S65" s="430" t="e">
        <f t="array" aca="1" ref="S65" ca="1">_xludf.TextJoin("; ",1,INDEX(Import!S:S,MATCH(C65,Name,0)))</f>
        <v>#NAME?</v>
      </c>
    </row>
    <row r="66" spans="1:19" ht="84">
      <c r="A66" s="418" t="s">
        <v>1806</v>
      </c>
      <c r="B66" s="419" t="str">
        <f t="array" aca="1" ref="B66" ca="1">CONCATENATE(TEXT(INDEX(query!A:A,MATCH(C66,query!B:B,0)),"M/DD/YYY"),CHAR(10),INDEX(query!E:E,MATCH(C66,query!B:B,0)))</f>
        <v>8/18/2022
Invite</v>
      </c>
      <c r="C66" s="85" t="s">
        <v>324</v>
      </c>
      <c r="D66" s="420">
        <f t="array" ref="D66">INDEX(Import!D:D,MATCH(C66,Name,0))</f>
        <v>4.25</v>
      </c>
      <c r="E66" s="421">
        <f t="array" aca="1" ref="E66" ca="1">(INDEX(Import!I:I,MATCH(C66,Name,0))+INDEX(Import!L:L,MATCH(C66,Name,0))+INDEX('Form Import'!V:V,MATCH(A66,'Form Import'!F:F,0)))/3</f>
        <v>4.166666666666667</v>
      </c>
      <c r="F66" s="422" t="str">
        <f t="array" ref="F66">INDEX(Import!E:E,MATCH(C66,Name,0))</f>
        <v>Inso Biosciences is an early-stage Cornell University biotech spinout developing hardware tools and systems for biological sample processing. Inso Bio has licensed proprietary microfluidic technology capable of rapid and efficient sample preparation for genomic and metagenomic sequencing. The company closed a $2.275M pre-seed round in March 2022.</v>
      </c>
      <c r="G66" s="423" t="str">
        <f t="array" ref="G66">CONCATENATE(INDEX(Import!G:G,MATCH(C66,Import!C:C,0)),CHAR(10),INDEX(Import!I:I,MATCH(C66,Name,0)))</f>
        <v>Chris Mosher
4.5</v>
      </c>
      <c r="H66" s="424" t="str">
        <f t="array" ref="H66">INDEX(Import!H:H,MATCH(C66,Name,0))</f>
        <v>Microfluidics platform to improve efficiency of DNA extraction/purification. Micropillars to perform cellular sample processing with single-cell precision and multi-omic potential. Demonstrated 10X faster sample processing time and 30% better quality sample produced in an automated workflow. IP is well protected. Cornell PhDs - advisor is Prof. who spun out Pacific Bio. Referred by higher-ups at IndieBio/SOSV. Also participated in CDL.</v>
      </c>
      <c r="I66" s="423" t="str">
        <f t="array" ref="I66">CONCATENATE(INDEX(Import!J:J,MATCH(C66,Name,0)),CHAR(10),INDEX(Import!L:L,MATCH(C66,Name,0)))</f>
        <v>Tugba Oncu
4</v>
      </c>
      <c r="J66" s="424" t="str">
        <f t="array" ref="J66">INDEX(Import!K:K,MATCH(C66,Name,0))</f>
        <v>Microfluidic technology for sample processing and possible multi-omics analysis and pathogen isolation. Referral: Chris</v>
      </c>
      <c r="K66" s="423" t="str">
        <f t="array" aca="1" ref="K66" ca="1">CONCATENATE(INDEX('Form Import'!D:D,MATCH(A66,'Form Import'!F:F,0)),CHAR(10),INDEX('Form Import'!V:V,MATCH(A66,'Form Import'!F:F,0)))</f>
        <v>John McDonald
4</v>
      </c>
      <c r="L66" s="424">
        <f t="array" aca="1" ref="L66" ca="1">INDEX('Form Import'!W:W,MATCH(A66,'Form Import'!F:F,0))</f>
        <v>0</v>
      </c>
      <c r="M66" s="422"/>
      <c r="N66" s="422">
        <f t="array" aca="1" ref="N66" ca="1">INDEX('Form Import'!L:L,MATCH($A66,'Form Import'!$F:$F,0))</f>
        <v>0</v>
      </c>
      <c r="O66" s="422">
        <f t="array" aca="1" ref="O66" ca="1">INDEX('Form Import'!O:O,MATCH($A66,'Form Import'!$F:$F,0))</f>
        <v>0</v>
      </c>
      <c r="P66" s="422">
        <f t="array" aca="1" ref="P66" ca="1">INDEX('Form Import'!S:S,MATCH($A66,'Form Import'!$F:$F,0))</f>
        <v>0</v>
      </c>
      <c r="Q66" s="422"/>
      <c r="R66" s="422"/>
      <c r="S66" s="422" t="e">
        <f t="array" aca="1" ref="S66" ca="1">_xludf.TextJoin("; ",1,INDEX(Import!S:S,MATCH(C66,Name,0)))</f>
        <v>#NAME?</v>
      </c>
    </row>
    <row r="67" spans="1:19" ht="60">
      <c r="A67" s="425" t="s">
        <v>2777</v>
      </c>
      <c r="B67" s="426" t="str">
        <f t="array" aca="1" ref="B67" ca="1">CONCATENATE(TEXT(INDEX(query!A:A,MATCH(C67,query!B:B,0)),"M/DD/YYY"),CHAR(10),INDEX(query!E:E,MATCH(C67,query!B:B,0)))</f>
        <v>8/18/2022
Invite Next Year</v>
      </c>
      <c r="C67" s="427" t="s">
        <v>2769</v>
      </c>
      <c r="D67" s="428">
        <f t="array" ref="D67">INDEX(Import!D:D,MATCH(C67,Name,0))</f>
        <v>3</v>
      </c>
      <c r="E67" s="429">
        <f t="array" aca="1" ref="E67" ca="1">(INDEX(Import!I:I,MATCH(C67,Name,0))+INDEX(Import!L:L,MATCH(C67,Name,0))+INDEX('Form Import'!V:V,MATCH(A67,'Form Import'!F:F,0)))/3</f>
        <v>3</v>
      </c>
      <c r="F67" s="430" t="str">
        <f t="array" ref="F67">INDEX(Import!E:E,MATCH(C67,Name,0))</f>
        <v>Insu Health Design creates smart portable cooling technology to solve cold chain transportation and storage issues for people that rely on temperature-sensitive medications and components (such as insulin, hormones, vaccines, etc) in order to prevent spoilage, and avoid subsequent health issues or additional spending on replacement.</v>
      </c>
      <c r="G67" s="431" t="str">
        <f t="array" ref="G67">CONCATENATE(INDEX(Import!G:G,MATCH(C67,Import!C:C,0)),CHAR(10),INDEX(Import!I:I,MATCH(C67,Name,0)))</f>
        <v>Khoa Ma
3</v>
      </c>
      <c r="H67" s="432" t="str">
        <f t="array" ref="H67">INDEX(Import!H:H,MATCH(C67,Name,0))</f>
        <v>smart portable cooling technology to solve cold chain transportation and storage issues
running out of runway
needs a customer pipeline
product already int he market what make shtis unique</v>
      </c>
      <c r="I67" s="431" t="str">
        <f t="array" ref="I67">CONCATENATE(INDEX(Import!J:J,MATCH(C67,Name,0)),CHAR(10),INDEX(Import!L:L,MATCH(C67,Name,0)))</f>
        <v>Arthur Ibanda
3</v>
      </c>
      <c r="J67" s="432" t="str">
        <f t="array" ref="J67">INDEX(Import!K:K,MATCH(C67,Name,0))</f>
        <v>-Tech does not appear novel
-Market not very large
-Might be too early for EFL</v>
      </c>
      <c r="K67" s="431" t="str">
        <f t="array" aca="1" ref="K67" ca="1">CONCATENATE(INDEX('Form Import'!D:D,MATCH(A67,'Form Import'!F:F,0)),CHAR(10),INDEX('Form Import'!V:V,MATCH(A67,'Form Import'!F:F,0)))</f>
        <v>John McDonald
3</v>
      </c>
      <c r="L67" s="432">
        <f t="array" aca="1" ref="L67" ca="1">INDEX('Form Import'!W:W,MATCH(A67,'Form Import'!F:F,0))</f>
        <v>0</v>
      </c>
      <c r="M67" s="430"/>
      <c r="N67" s="430">
        <f t="array" aca="1" ref="N67" ca="1">INDEX('Form Import'!L:L,MATCH($A67,'Form Import'!$F:$F,0))</f>
        <v>0</v>
      </c>
      <c r="O67" s="430">
        <f t="array" aca="1" ref="O67" ca="1">INDEX('Form Import'!O:O,MATCH($A67,'Form Import'!$F:$F,0))</f>
        <v>0</v>
      </c>
      <c r="P67" s="430">
        <f t="array" aca="1" ref="P67" ca="1">INDEX('Form Import'!S:S,MATCH($A67,'Form Import'!$F:$F,0))</f>
        <v>0</v>
      </c>
      <c r="Q67" s="430"/>
      <c r="R67" s="430"/>
      <c r="S67" s="430" t="e">
        <f t="array" aca="1" ref="S67" ca="1">_xludf.TextJoin("; ",1,INDEX(Import!S:S,MATCH(C67,Name,0)))</f>
        <v>#NAME?</v>
      </c>
    </row>
    <row r="68" spans="1:19" ht="60">
      <c r="A68" s="418" t="s">
        <v>1259</v>
      </c>
      <c r="B68" s="419" t="str">
        <f t="array" aca="1" ref="B68" ca="1">CONCATENATE(TEXT(INDEX(query!A:A,MATCH(C68,query!B:B,0)),"M/DD/YYY"),CHAR(10),INDEX(query!E:E,MATCH(C68,query!B:B,0)))</f>
        <v>8/16/2022
Invite</v>
      </c>
      <c r="C68" s="85" t="s">
        <v>199</v>
      </c>
      <c r="D68" s="420">
        <f t="array" ref="D68">INDEX(Import!D:D,MATCH(C68,Name,0))</f>
        <v>3.75</v>
      </c>
      <c r="E68" s="421">
        <f t="array" aca="1" ref="E68" ca="1">(INDEX(Import!I:I,MATCH(C68,Name,0))+INDEX(Import!L:L,MATCH(C68,Name,0))+INDEX('Form Import'!V:V,MATCH(A68,'Form Import'!F:F,0)))/3</f>
        <v>3.8333333333333335</v>
      </c>
      <c r="F68" s="422" t="str">
        <f t="array" ref="F68">INDEX(Import!E:E,MATCH(C68,Name,0))</f>
        <v>Intelligent AI is an InsurTech/PropTech startup that is bringing together AI, Data Analytics, Satellite Image Analysis and IoT to deliver Digital Twins of Risk of global commercial property portfolios for Insurers, brokers and commercial property owners.</v>
      </c>
      <c r="G68" s="423" t="str">
        <f t="array" ref="G68">CONCATENATE(INDEX(Import!G:G,MATCH(C68,Import!C:C,0)),CHAR(10),INDEX(Import!I:I,MATCH(C68,Name,0)))</f>
        <v>Mark Flynn
4</v>
      </c>
      <c r="H68" s="424" t="str">
        <f t="array" ref="H68">INDEX(Import!H:H,MATCH(C68,Name,0))</f>
        <v>They use a digital twin to assess a company's risk using over 300 data points; seasoned executive team; received several global awards, including beating 400 other insurtech companies; very positive client testimonials; market is large but has large sales cycles; would interview</v>
      </c>
      <c r="I68" s="423" t="str">
        <f t="array" ref="I68">CONCATENATE(INDEX(Import!J:J,MATCH(C68,Name,0)),CHAR(10),INDEX(Import!L:L,MATCH(C68,Name,0)))</f>
        <v>Boyang Yu
3.5</v>
      </c>
      <c r="J68" s="424" t="str">
        <f t="array" ref="J68">INDEX(Import!K:K,MATCH(C68,Name,0))</f>
        <v>Pros-
The company has tight relationship with Zurich insurance
Already generating revenue from customers/pilots
Cons-
The concept of "Digital Twins of Risk " is ambiguous</v>
      </c>
      <c r="K68" s="423" t="str">
        <f t="array" aca="1" ref="K68" ca="1">CONCATENATE(INDEX('Form Import'!D:D,MATCH(A68,'Form Import'!F:F,0)),CHAR(10),INDEX('Form Import'!V:V,MATCH(A68,'Form Import'!F:F,0)))</f>
        <v>John McDonald
4</v>
      </c>
      <c r="L68" s="424">
        <f t="array" aca="1" ref="L68" ca="1">INDEX('Form Import'!W:W,MATCH(A68,'Form Import'!F:F,0))</f>
        <v>0</v>
      </c>
      <c r="M68" s="422"/>
      <c r="N68" s="422">
        <f t="array" aca="1" ref="N68" ca="1">INDEX('Form Import'!L:L,MATCH($A68,'Form Import'!$F:$F,0))</f>
        <v>0</v>
      </c>
      <c r="O68" s="422">
        <f t="array" aca="1" ref="O68" ca="1">INDEX('Form Import'!O:O,MATCH($A68,'Form Import'!$F:$F,0))</f>
        <v>0</v>
      </c>
      <c r="P68" s="422">
        <f t="array" aca="1" ref="P68" ca="1">INDEX('Form Import'!S:S,MATCH($A68,'Form Import'!$F:$F,0))</f>
        <v>0</v>
      </c>
      <c r="Q68" s="422"/>
      <c r="R68" s="422"/>
      <c r="S68" s="422" t="e">
        <f t="array" aca="1" ref="S68" ca="1">_xludf.TextJoin("; ",1,INDEX(Import!S:S,MATCH(C68,Name,0)))</f>
        <v>#NAME?</v>
      </c>
    </row>
    <row r="69" spans="1:19" ht="108">
      <c r="A69" s="425" t="s">
        <v>13151</v>
      </c>
      <c r="B69" s="426" t="str">
        <f t="array" aca="1" ref="B69" ca="1">CONCATENATE(TEXT(INDEX(query!A:A,MATCH(C69,query!B:B,0)),"M/DD/YYY"),CHAR(10),INDEX(query!E:E,MATCH(C69,query!B:B,0)))</f>
        <v>8/16/2022
Invite</v>
      </c>
      <c r="C69" s="427" t="s">
        <v>13152</v>
      </c>
      <c r="D69" s="428">
        <f t="array" ref="D69">INDEX(Import!D:D,MATCH(C69,Name,0))</f>
        <v>4</v>
      </c>
      <c r="E69" s="429">
        <f t="array" aca="1" ref="E69" ca="1">(INDEX(Import!I:I,MATCH(C69,Name,0))+INDEX(Import!L:L,MATCH(C69,Name,0))+INDEX('Form Import'!V:V,MATCH(A69,'Form Import'!F:F,0)))/3</f>
        <v>4</v>
      </c>
      <c r="F69" s="430" t="str">
        <f t="array" ref="F69">INDEX(Import!E:E,MATCH(C69,Name,0))</f>
        <v>InvVax leverages its unique, in-house functional genomics mapping platform to discover and design vaccines and therapies for rapidly mutating viruses such as influenza and SARS-CoV-2, delivering solutions to billions of people worldwide.</v>
      </c>
      <c r="G69" s="431" t="str">
        <f t="array" ref="G69">CONCATENATE(INDEX(Import!G:G,MATCH(C69,Import!C:C,0)),CHAR(10),INDEX(Import!I:I,MATCH(C69,Name,0)))</f>
        <v>Chris Mosher
4</v>
      </c>
      <c r="H69" s="432" t="str">
        <f t="array" ref="H69">INDEX(Import!H:H,MATCH(C69,Name,0))</f>
        <v>Next generation sequencing technology to create pan-viral vaccines that account for all possible viral strains and mutations. First product is a universal influenza vaccine taken intranasally and subQ (via AAV) once every 5-10 years. IP is well protected. Their flu vaccine was tested in mice and shown to be effective against multiple lethal strains of flu, including H1N1, H3N2, and H5N1. It was also shown to be superior to the standard-of-care, and demonstrated effectiveness in human blood cells ex vivo. CEO is only full time member? Need to know who is working on this.</v>
      </c>
      <c r="I69" s="431" t="str">
        <f t="array" ref="I69">CONCATENATE(INDEX(Import!J:J,MATCH(C69,Name,0)),CHAR(10),INDEX(Import!L:L,MATCH(C69,Name,0)))</f>
        <v>Tugba Oncu
4</v>
      </c>
      <c r="J69" s="432" t="str">
        <f t="array" ref="J69">INDEX(Import!K:K,MATCH(C69,Name,0))</f>
        <v>Vaccine development for highly mutated viruses.</v>
      </c>
      <c r="K69" s="431" t="str">
        <f t="array" aca="1" ref="K69" ca="1">CONCATENATE(INDEX('Form Import'!D:D,MATCH(A69,'Form Import'!F:F,0)),CHAR(10),INDEX('Form Import'!V:V,MATCH(A69,'Form Import'!F:F,0)))</f>
        <v>Nick Schmandt
4</v>
      </c>
      <c r="L69" s="432" t="str">
        <f t="array" aca="1" ref="L69" ca="1">INDEX('Form Import'!W:W,MATCH(A69,'Form Import'!F:F,0))</f>
        <v>This could be a groundbreaking way to make more effective vaccines, but it will have to survive clinical trials.</v>
      </c>
      <c r="M69" s="430"/>
      <c r="N69" s="430" t="str">
        <f t="array" aca="1" ref="N69" ca="1">INDEX('Form Import'!L:L,MATCH($A69,'Form Import'!$F:$F,0))</f>
        <v>It is early in the clinical trial process.</v>
      </c>
      <c r="O69" s="430" t="str">
        <f t="array" aca="1" ref="O69" ca="1">INDEX('Form Import'!O:O,MATCH($A69,'Form Import'!$F:$F,0))</f>
        <v>Again, it's all about the clinical trials</v>
      </c>
      <c r="P69" s="430" t="str">
        <f t="array" aca="1" ref="P69" ca="1">INDEX('Form Import'!S:S,MATCH($A69,'Form Import'!$F:$F,0))</f>
        <v>CEO has no experience outside academia.</v>
      </c>
      <c r="Q69" s="430"/>
      <c r="R69" s="430"/>
      <c r="S69" s="430" t="e">
        <f t="array" aca="1" ref="S69" ca="1">_xludf.TextJoin("; ",1,INDEX(Import!S:S,MATCH(C69,Name,0)))</f>
        <v>#NAME?</v>
      </c>
    </row>
    <row r="70" spans="1:19" ht="60">
      <c r="A70" s="418" t="s">
        <v>1837</v>
      </c>
      <c r="B70" s="419" t="str">
        <f t="array" aca="1" ref="B70" ca="1">CONCATENATE(TEXT(INDEX(query!A:A,MATCH(C70,query!B:B,0)),"M/DD/YYY"),CHAR(10),INDEX(query!E:E,MATCH(C70,query!B:B,0)))</f>
        <v>8/18/2022
Invite</v>
      </c>
      <c r="C70" s="85" t="s">
        <v>328</v>
      </c>
      <c r="D70" s="420">
        <f t="array" ref="D70">INDEX(Import!D:D,MATCH(C70,Name,0))</f>
        <v>4.5</v>
      </c>
      <c r="E70" s="421">
        <f t="array" aca="1" ref="E70" ca="1">(INDEX(Import!I:I,MATCH(C70,Name,0))+INDEX(Import!L:L,MATCH(C70,Name,0))+INDEX('Form Import'!V:V,MATCH(A70,'Form Import'!F:F,0)))/3</f>
        <v>4.333333333333333</v>
      </c>
      <c r="F70" s="422" t="str">
        <f t="array" ref="F70">INDEX(Import!E:E,MATCH(C70,Name,0))</f>
        <v>iQure Pharma develops breakthrough therapeutics with novel mechanism of action for treatment of neuropathic pain to provide more efficacious and safer non-opioid treatment to hundreds of million patients worldwide and approximately 35 million of patients in the US who suffer from neuropathic pain ? chronic severe pain.</v>
      </c>
      <c r="G70" s="423" t="str">
        <f t="array" ref="G70">CONCATENATE(INDEX(Import!G:G,MATCH(C70,Import!C:C,0)),CHAR(10),INDEX(Import!I:I,MATCH(C70,Name,0)))</f>
        <v>Chris Mosher
4.5</v>
      </c>
      <c r="H70" s="424" t="str">
        <f t="array" ref="H70">INDEX(Import!H:H,MATCH(C70,Name,0))</f>
        <v>Non-opioid Tx for neuropathic pain. IP is well protected. Two lead candidates are validated in mouse and rat models. Team has significant experience in drug development, with academic startup experience through IPO in London. Previous Roche and Deloitte members. Compare to Pannex Therapeutics if both companies interview.</v>
      </c>
      <c r="I70" s="423" t="str">
        <f t="array" ref="I70">CONCATENATE(INDEX(Import!J:J,MATCH(C70,Name,0)),CHAR(10),INDEX(Import!L:L,MATCH(C70,Name,0)))</f>
        <v>Parsa Amiri
4.5</v>
      </c>
      <c r="J70" s="424" t="str">
        <f t="array" ref="J70">INDEX(Import!K:K,MATCH(C70,Name,0))</f>
        <v>Great and experienced team. Ex-Roche. Developing two drugs for neuropathy diseases.  Two drugs in pre-clinical stage with promising in-vivo and in-vitro results. Highly focused on exit opportunity.</v>
      </c>
      <c r="K70" s="423" t="str">
        <f t="array" aca="1" ref="K70" ca="1">CONCATENATE(INDEX('Form Import'!D:D,MATCH(A70,'Form Import'!F:F,0)),CHAR(10),INDEX('Form Import'!V:V,MATCH(A70,'Form Import'!F:F,0)))</f>
        <v>John McDonald
4</v>
      </c>
      <c r="L70" s="424">
        <f t="array" aca="1" ref="L70" ca="1">INDEX('Form Import'!W:W,MATCH(A70,'Form Import'!F:F,0))</f>
        <v>0</v>
      </c>
      <c r="M70" s="422"/>
      <c r="N70" s="422">
        <f t="array" aca="1" ref="N70" ca="1">INDEX('Form Import'!L:L,MATCH($A70,'Form Import'!$F:$F,0))</f>
        <v>0</v>
      </c>
      <c r="O70" s="422">
        <f t="array" aca="1" ref="O70" ca="1">INDEX('Form Import'!O:O,MATCH($A70,'Form Import'!$F:$F,0))</f>
        <v>0</v>
      </c>
      <c r="P70" s="422">
        <f t="array" aca="1" ref="P70" ca="1">INDEX('Form Import'!S:S,MATCH($A70,'Form Import'!$F:$F,0))</f>
        <v>0</v>
      </c>
      <c r="Q70" s="422"/>
      <c r="R70" s="422"/>
      <c r="S70" s="422" t="e">
        <f t="array" aca="1" ref="S70" ca="1">_xludf.TextJoin("; ",1,INDEX(Import!S:S,MATCH(C70,Name,0)))</f>
        <v>#NAME?</v>
      </c>
    </row>
    <row r="71" spans="1:19" ht="60">
      <c r="A71" s="425" t="s">
        <v>9523</v>
      </c>
      <c r="B71" s="426" t="str">
        <f t="array" aca="1" ref="B71" ca="1">CONCATENATE(TEXT(INDEX(query!A:A,MATCH(C71,query!B:B,0)),"M/DD/YYY"),CHAR(10),INDEX(query!E:E,MATCH(C71,query!B:B,0)))</f>
        <v>8/09/2022
Revisit/ Cluster</v>
      </c>
      <c r="C71" s="427" t="s">
        <v>280</v>
      </c>
      <c r="D71" s="428">
        <f t="array" ref="D71">INDEX(Import!D:D,MATCH(C71,Name,0))</f>
        <v>3.75</v>
      </c>
      <c r="E71" s="429">
        <f t="array" aca="1" ref="E71" ca="1">(INDEX(Import!I:I,MATCH(C71,Name,0))+INDEX(Import!L:L,MATCH(C71,Name,0))+INDEX('Form Import'!V:V,MATCH(A71,'Form Import'!F:F,0)))/3</f>
        <v>3.5</v>
      </c>
      <c r="F71" s="430" t="str">
        <f t="array" ref="F71">INDEX(Import!E:E,MATCH(C71,Name,0))</f>
        <v>Iryss is developing an end-to-end financial planning platform to help the chronically ill reduced financial stress using tools and services designed to meet current medical costs and plan for the future</v>
      </c>
      <c r="G71" s="431" t="str">
        <f t="array" ref="G71">CONCATENATE(INDEX(Import!G:G,MATCH(C71,Import!C:C,0)),CHAR(10),INDEX(Import!I:I,MATCH(C71,Name,0)))</f>
        <v>Beth Xie
4.5</v>
      </c>
      <c r="H71" s="432" t="str">
        <f t="array" ref="H71">INDEX(Import!H:H,MATCH(C71,Name,0))</f>
        <v>- Medical bills are is one of the top reasons for U.S. bankruptcies. Disabilities caused by long covid further exacerbates this paint point. This product is meeting a huge unmet market need. 
- Application addresses go-to-market, and plan for earning revenue. 
- EFL should interview this startup.</v>
      </c>
      <c r="I71" s="431" t="str">
        <f t="array" ref="I71">CONCATENATE(INDEX(Import!J:J,MATCH(C71,Name,0)),CHAR(10),INDEX(Import!L:L,MATCH(C71,Name,0)))</f>
        <v>Shubo (Gabriel) Xu
3</v>
      </c>
      <c r="J71" s="432" t="str">
        <f t="array" ref="J71">INDEX(Import!K:K,MATCH(C71,Name,0))</f>
        <v>The success rate of this product relies very heavily on the "disease modeling" component, of which not too much info is given. Hard to make a decision without more info. See Notes on Technology for followup questions.</v>
      </c>
      <c r="K71" s="431" t="str">
        <f t="array" aca="1" ref="K71" ca="1">CONCATENATE(INDEX('Form Import'!D:D,MATCH(A71,'Form Import'!F:F,0)),CHAR(10),INDEX('Form Import'!V:V,MATCH(A71,'Form Import'!F:F,0)))</f>
        <v>Jason Yu
3</v>
      </c>
      <c r="L71" s="432" t="str">
        <f t="array" aca="1" ref="L71" ca="1">INDEX('Form Import'!W:W,MATCH(A71,'Form Import'!F:F,0))</f>
        <v>Still gathering information to determine their target audience. The actual demand for their product is unclear.</v>
      </c>
      <c r="M71" s="430"/>
      <c r="N71" s="430" t="str">
        <f t="array" aca="1" ref="N71" ca="1">INDEX('Form Import'!L:L,MATCH($A71,'Form Import'!$F:$F,0))</f>
        <v>Disease specific models that outline the financial implications of diagnosis</v>
      </c>
      <c r="O71" s="430" t="str">
        <f t="array" aca="1" ref="O71" ca="1">INDEX('Form Import'!O:O,MATCH($A71,'Form Import'!$F:$F,0))</f>
        <v>We have also surveyed over 100 autoimmune patients and found that over 70% of them people that Iryss could help people with chronic illness better prepare for their financial future</v>
      </c>
      <c r="P71" s="430" t="str">
        <f t="array" aca="1" ref="P71" ca="1">INDEX('Form Import'!S:S,MATCH($A71,'Form Import'!$F:$F,0))</f>
        <v xml:space="preserve">Lots of start up experience </v>
      </c>
      <c r="Q71" s="430"/>
      <c r="R71" s="430"/>
      <c r="S71" s="430" t="e">
        <f t="array" aca="1" ref="S71" ca="1">_xludf.TextJoin("; ",1,INDEX(Import!S:S,MATCH(C71,Name,0)))</f>
        <v>#NAME?</v>
      </c>
    </row>
    <row r="72" spans="1:19" ht="120">
      <c r="A72" s="418" t="s">
        <v>9728</v>
      </c>
      <c r="B72" s="419" t="str">
        <f t="array" aca="1" ref="B72" ca="1">CONCATENATE(TEXT(INDEX(query!A:A,MATCH(C72,query!B:B,0)),"M/DD/YYY"),CHAR(10),INDEX(query!E:E,MATCH(C72,query!B:B,0)))</f>
        <v>8/16/2022
Invite</v>
      </c>
      <c r="C72" s="85" t="s">
        <v>350</v>
      </c>
      <c r="D72" s="420">
        <f t="array" ref="D72">INDEX(Import!D:D,MATCH(C72,Name,0))</f>
        <v>4</v>
      </c>
      <c r="E72" s="421">
        <f t="array" aca="1" ref="E72" ca="1">(INDEX(Import!I:I,MATCH(C72,Name,0))+INDEX(Import!L:L,MATCH(C72,Name,0))+INDEX('Form Import'!V:V,MATCH(A72,'Form Import'!F:F,0)))/3</f>
        <v>4</v>
      </c>
      <c r="F72" s="422" t="str">
        <f t="array" ref="F72">INDEX(Import!E:E,MATCH(C72,Name,0))</f>
        <v>Ischemia Care provides blood testing (using RNA expression, clinical data, and machine learning) to identify stroke, cause of stroke (example atrial fibrillation), and prevent strokes. Test is used by clinicians in the hospital setting to improve patient workflow and reduce cost.</v>
      </c>
      <c r="G72" s="423" t="str">
        <f t="array" ref="G72">CONCATENATE(INDEX(Import!G:G,MATCH(C72,Import!C:C,0)),CHAR(10),INDEX(Import!I:I,MATCH(C72,Name,0)))</f>
        <v>Chris Mosher
4</v>
      </c>
      <c r="H72" s="424" t="str">
        <f t="array" ref="H72">INDEX(Import!H:H,MATCH(C72,Name,0))</f>
        <v>RNA-based blood test for diagnosing stroke and its cause. Usually given within 24 hrs of stroke to determine cause and subsequent clinical care. Completed a 1700 patient, 20 hospital clinical trial and have a partnership with Thermo Fisher Scientific. It is unclear what the trial results are, and it seems their innovation is aggregating stroke patient data and identifying common bloodborne biomarkers (effect-to-cause rather than the other way around). Building a "digital health solution" - ask about this. Also need to ask them about their data, clinical outcomes, key biomarker(s), etc. Strong business team, but no technical or deep medical experience.</v>
      </c>
      <c r="I72" s="423" t="str">
        <f t="array" ref="I72">CONCATENATE(INDEX(Import!J:J,MATCH(C72,Name,0)),CHAR(10),INDEX(Import!L:L,MATCH(C72,Name,0)))</f>
        <v>Parsa Amiri
4</v>
      </c>
      <c r="J72" s="424" t="str">
        <f t="array" ref="J72">INDEX(Import!K:K,MATCH(C72,Name,0))</f>
        <v>Their finances is really strong, and they are implementing the BM pretty good. They have recognized a good missing in the market. However, the tech is not well grounded, and because of that, I believe they are highly susceptible to be outcompeted by emerging techs. Plus, the team doesn't have a good scientific background or members. They have Commercial collaboration with Thermo Fisher, supporting laboratory, development, sales, market access, and operations.</v>
      </c>
      <c r="K72" s="423" t="str">
        <f t="array" aca="1" ref="K72" ca="1">CONCATENATE(INDEX('Form Import'!D:D,MATCH(A72,'Form Import'!F:F,0)),CHAR(10),INDEX('Form Import'!V:V,MATCH(A72,'Form Import'!F:F,0)))</f>
        <v>John McDonald
4</v>
      </c>
      <c r="L72" s="424">
        <f t="array" aca="1" ref="L72" ca="1">INDEX('Form Import'!W:W,MATCH(A72,'Form Import'!F:F,0))</f>
        <v>0</v>
      </c>
      <c r="M72" s="422"/>
      <c r="N72" s="422">
        <f t="array" aca="1" ref="N72" ca="1">INDEX('Form Import'!L:L,MATCH($A72,'Form Import'!$F:$F,0))</f>
        <v>0</v>
      </c>
      <c r="O72" s="422">
        <f t="array" aca="1" ref="O72" ca="1">INDEX('Form Import'!O:O,MATCH($A72,'Form Import'!$F:$F,0))</f>
        <v>0</v>
      </c>
      <c r="P72" s="422">
        <f t="array" aca="1" ref="P72" ca="1">INDEX('Form Import'!S:S,MATCH($A72,'Form Import'!$F:$F,0))</f>
        <v>0</v>
      </c>
      <c r="Q72" s="422"/>
      <c r="R72" s="422"/>
      <c r="S72" s="422" t="e">
        <f t="array" aca="1" ref="S72" ca="1">_xludf.TextJoin("; ",1,INDEX(Import!S:S,MATCH(C72,Name,0)))</f>
        <v>#NAME?</v>
      </c>
    </row>
    <row r="73" spans="1:19" ht="60">
      <c r="A73" s="425" t="s">
        <v>1266</v>
      </c>
      <c r="B73" s="426" t="str">
        <f t="array" aca="1" ref="B73" ca="1">CONCATENATE(TEXT(INDEX(query!A:A,MATCH(C73,query!B:B,0)),"M/DD/YYY"),CHAR(10),INDEX(query!E:E,MATCH(C73,query!B:B,0)))</f>
        <v>8/11/2022
Invite</v>
      </c>
      <c r="C73" s="427" t="s">
        <v>200</v>
      </c>
      <c r="D73" s="428">
        <f t="array" ref="D73">INDEX(Import!D:D,MATCH(C73,Name,0))</f>
        <v>4.25</v>
      </c>
      <c r="E73" s="429">
        <f t="array" aca="1" ref="E73" ca="1">(INDEX(Import!I:I,MATCH(C73,Name,0))+INDEX(Import!L:L,MATCH(C73,Name,0))+INDEX('Form Import'!V:V,MATCH(A73,'Form Import'!F:F,0)))/3</f>
        <v>3.8333333333333335</v>
      </c>
      <c r="F73" s="430" t="str">
        <f t="array" ref="F73">INDEX(Import!E:E,MATCH(C73,Name,0))</f>
        <v>IX Swap is a next-generation platform that leverages DeFi services backed by CeFi regulatory compliance to facilitate safe and convenient issuance, listing, and trading of security tokens and fractionalized NFTs. IX Swap is paving the way in democratizing access to traditional financial markets that have never been done before.</v>
      </c>
      <c r="G73" s="431" t="str">
        <f t="array" ref="G73">CONCATENATE(INDEX(Import!G:G,MATCH(C73,Import!C:C,0)),CHAR(10),INDEX(Import!I:I,MATCH(C73,Name,0)))</f>
        <v>Beth Xie
4.5</v>
      </c>
      <c r="H73" s="432" t="str">
        <f t="array" ref="H73">INDEX(Import!H:H,MATCH(C73,Name,0))</f>
        <v>- Significant traction and real world applications, such as supporting fractionalized ownership of precious gem: 
https://thetokenizer.io/2022/03/30/ix-swap-lists-security-token-of-worlds-most-valuable-sapphire/
- Founding team has lots of startup and exit experience.</v>
      </c>
      <c r="I73" s="431" t="str">
        <f t="array" ref="I73">CONCATENATE(INDEX(Import!J:J,MATCH(C73,Name,0)),CHAR(10),INDEX(Import!L:L,MATCH(C73,Name,0)))</f>
        <v>Boyang Yu
4</v>
      </c>
      <c r="J73" s="432" t="str">
        <f t="array" ref="J73">INDEX(Import!K:K,MATCH(C73,Name,0))</f>
        <v>The team member has rich start-up experience 
The product solves an important problem in secondary liquidity in the private asset market</v>
      </c>
      <c r="K73" s="431" t="str">
        <f t="array" aca="1" ref="K73" ca="1">CONCATENATE(INDEX('Form Import'!D:D,MATCH(A73,'Form Import'!F:F,0)),CHAR(10),INDEX('Form Import'!V:V,MATCH(A73,'Form Import'!F:F,0)))</f>
        <v>Nick Schmandt
3</v>
      </c>
      <c r="L73" s="432" t="str">
        <f t="array" aca="1" ref="L73" ca="1">INDEX('Form Import'!W:W,MATCH(A73,'Form Import'!F:F,0))</f>
        <v>Cool product, but intensively competitive area and will likely struggle to maintain growth over the next year as markets go down.</v>
      </c>
      <c r="M73" s="430"/>
      <c r="N73" s="430" t="str">
        <f t="array" aca="1" ref="N73" ca="1">INDEX('Form Import'!L:L,MATCH($A73,'Form Import'!$F:$F,0))</f>
        <v>Their platform works but there are many competitors.</v>
      </c>
      <c r="O73" s="430" t="str">
        <f t="array" aca="1" ref="O73" ca="1">INDEX('Form Import'!O:O,MATCH($A73,'Form Import'!$F:$F,0))</f>
        <v>Potentially large but they will struggle in a bear market.</v>
      </c>
      <c r="P73" s="430" t="str">
        <f t="array" aca="1" ref="P73" ca="1">INDEX('Form Import'!S:S,MATCH($A73,'Form Import'!$F:$F,0))</f>
        <v>Team has plenty of blockchain experience</v>
      </c>
      <c r="Q73" s="430"/>
      <c r="R73" s="430"/>
      <c r="S73" s="430" t="e">
        <f t="array" aca="1" ref="S73" ca="1">_xludf.TextJoin("; ",1,INDEX(Import!S:S,MATCH(C73,Name,0)))</f>
        <v>#NAME?</v>
      </c>
    </row>
    <row r="74" spans="1:19" ht="84">
      <c r="A74" s="418" t="s">
        <v>1846</v>
      </c>
      <c r="B74" s="419" t="str">
        <f t="array" aca="1" ref="B74" ca="1">CONCATENATE(TEXT(INDEX(query!A:A,MATCH(C74,query!B:B,0)),"M/DD/YYY"),CHAR(10),INDEX(query!E:E,MATCH(C74,query!B:B,0)))</f>
        <v>8/09/2022
Invite</v>
      </c>
      <c r="C74" s="85" t="s">
        <v>92</v>
      </c>
      <c r="D74" s="420">
        <f t="array" ref="D74">INDEX(Import!D:D,MATCH(C74,Name,0))</f>
        <v>5</v>
      </c>
      <c r="E74" s="421">
        <f t="array" aca="1" ref="E74" ca="1">(INDEX(Import!I:I,MATCH(C74,Name,0))+INDEX(Import!L:L,MATCH(C74,Name,0))+INDEX('Form Import'!V:V,MATCH(A74,'Form Import'!F:F,0)))/3</f>
        <v>5</v>
      </c>
      <c r="F74" s="422" t="str">
        <f t="array" ref="F74">INDEX(Import!E:E,MATCH(C74,Name,0))</f>
        <v>JelikaLite is developing Cognilum, an innovative solution to reduce a child's autism symptoms, enabling better integration into society and improving family's quality of life. Cognilum is an intelligent wearable medical device, combining therapeutic non-invasive brain stimulation, EEG sensors and a personalization platform.</v>
      </c>
      <c r="G74" s="423" t="str">
        <f t="array" ref="G74">CONCATENATE(INDEX(Import!G:G,MATCH(C74,Import!C:C,0)),CHAR(10),INDEX(Import!I:I,MATCH(C74,Name,0)))</f>
        <v>Chris Mosher
5</v>
      </c>
      <c r="H74" s="424" t="str">
        <f t="array" ref="H74">INDEX(Import!H:H,MATCH(C74,Name,0))</f>
        <v>Amazing. Women-led, founders from Princeton/UPenn/Cornell/UCSD. An intelligent wearable medical device to reduce Autism symptoms in children. Combines therapeutic non-invasive brain stimulation with near-IR light, EEG sensors and a personalization platform. Validated in 30-patient clinical trial, have already had FDA meetings for a 150-patient multi-center trial to launch in the next 6 months to get breakthrough device designation.</v>
      </c>
      <c r="I74" s="423" t="str">
        <f t="array" ref="I74">CONCATENATE(INDEX(Import!J:J,MATCH(C74,Name,0)),CHAR(10),INDEX(Import!L:L,MATCH(C74,Name,0)))</f>
        <v>Parsa Amiri
5</v>
      </c>
      <c r="J74" s="424">
        <f t="array" ref="J74">INDEX(Import!K:K,MATCH(C74,Name,0))</f>
        <v>0</v>
      </c>
      <c r="K74" s="423" t="str">
        <f t="array" aca="1" ref="K74" ca="1">CONCATENATE(INDEX('Form Import'!D:D,MATCH(A74,'Form Import'!F:F,0)),CHAR(10),INDEX('Form Import'!V:V,MATCH(A74,'Form Import'!F:F,0)))</f>
        <v>John McDonald
5</v>
      </c>
      <c r="L74" s="424">
        <f t="array" aca="1" ref="L74" ca="1">INDEX('Form Import'!W:W,MATCH(A74,'Form Import'!F:F,0))</f>
        <v>0</v>
      </c>
      <c r="M74" s="422"/>
      <c r="N74" s="422">
        <f t="array" aca="1" ref="N74" ca="1">INDEX('Form Import'!L:L,MATCH($A74,'Form Import'!$F:$F,0))</f>
        <v>0</v>
      </c>
      <c r="O74" s="422">
        <f t="array" aca="1" ref="O74" ca="1">INDEX('Form Import'!O:O,MATCH($A74,'Form Import'!$F:$F,0))</f>
        <v>0</v>
      </c>
      <c r="P74" s="422">
        <f t="array" aca="1" ref="P74" ca="1">INDEX('Form Import'!S:S,MATCH($A74,'Form Import'!$F:$F,0))</f>
        <v>0</v>
      </c>
      <c r="Q74" s="422"/>
      <c r="R74" s="422"/>
      <c r="S74" s="422" t="e">
        <f t="array" aca="1" ref="S74" ca="1">_xludf.TextJoin("; ",1,INDEX(Import!S:S,MATCH(C74,Name,0)))</f>
        <v>#NAME?</v>
      </c>
    </row>
    <row r="75" spans="1:19" ht="36">
      <c r="A75" s="425" t="s">
        <v>9744</v>
      </c>
      <c r="B75" s="426" t="str">
        <f t="array" aca="1" ref="B75" ca="1">CONCATENATE(TEXT(INDEX(query!A:A,MATCH(C75,query!B:B,0)),"M/DD/YYY"),CHAR(10),INDEX(query!E:E,MATCH(C75,query!B:B,0)))</f>
        <v>8/16/2022
Invite</v>
      </c>
      <c r="C75" s="427" t="s">
        <v>329</v>
      </c>
      <c r="D75" s="428">
        <f t="array" ref="D75">INDEX(Import!D:D,MATCH(C75,Name,0))</f>
        <v>4.5</v>
      </c>
      <c r="E75" s="429">
        <f t="array" aca="1" ref="E75" ca="1">(INDEX(Import!I:I,MATCH(C75,Name,0))+INDEX(Import!L:L,MATCH(C75,Name,0))+INDEX('Form Import'!V:V,MATCH(A75,'Form Import'!F:F,0)))/3</f>
        <v>4.666666666666667</v>
      </c>
      <c r="F75" s="430" t="str">
        <f t="array" ref="F75">INDEX(Import!E:E,MATCH(C75,Name,0))</f>
        <v>Inspired by DNA Nanotechnology, Kano addresses the need for rationally engineered gene vector platform that enables site-specific gene insertions to replace broken genomic information with functional DNA templates across human disease. In short, we engineer functional replacement parts customized for broken locations in the human genome.</v>
      </c>
      <c r="G75" s="431" t="str">
        <f t="array" ref="G75">CONCATENATE(INDEX(Import!G:G,MATCH(C75,Import!C:C,0)),CHAR(10),INDEX(Import!I:I,MATCH(C75,Name,0)))</f>
        <v>Larisa Kagermazova
4.5</v>
      </c>
      <c r="H75" s="432" t="str">
        <f t="array" ref="H75">INDEX(Import!H:H,MATCH(C75,Name,0))</f>
        <v>Won MIT Sloans Healthcare Innovation Price in March 2021
Won Activate Bio's Emerging Technologies Award in May 2021</v>
      </c>
      <c r="I75" s="431" t="str">
        <f t="array" ref="I75">CONCATENATE(INDEX(Import!J:J,MATCH(C75,Name,0)),CHAR(10),INDEX(Import!L:L,MATCH(C75,Name,0)))</f>
        <v>Tugba Oncu
4.5</v>
      </c>
      <c r="J75" s="432" t="str">
        <f t="array" ref="J75">INDEX(Import!K:K,MATCH(C75,Name,0))</f>
        <v>ssDNA synthesis for long strands with E coli and some fermentation method. Good idea could be scalable. This could solve off-target integration problem.</v>
      </c>
      <c r="K75" s="431" t="str">
        <f t="array" aca="1" ref="K75" ca="1">CONCATENATE(INDEX('Form Import'!D:D,MATCH(A75,'Form Import'!F:F,0)),CHAR(10),INDEX('Form Import'!V:V,MATCH(A75,'Form Import'!F:F,0)))</f>
        <v>Jason Yu
5</v>
      </c>
      <c r="L75" s="432" t="str">
        <f t="array" aca="1" ref="L75" ca="1">INDEX('Form Import'!W:W,MATCH(A75,'Form Import'!F:F,0))</f>
        <v>Viable product currently lacking financing to expand our sales and marketing efforts.</v>
      </c>
      <c r="M75" s="430"/>
      <c r="N75" s="430" t="str">
        <f t="array" aca="1" ref="N75" ca="1">INDEX('Form Import'!L:L,MATCH($A75,'Form Import'!$F:$F,0))</f>
        <v>FDA clearance, live surgical use in patients, peer reviewed long term clinical studies.</v>
      </c>
      <c r="O75" s="430" t="str">
        <f t="array" aca="1" ref="O75" ca="1">INDEX('Form Import'!O:O,MATCH($A75,'Form Import'!$F:$F,0))</f>
        <v>$9.7 billion USD TAM, $350K in revenue using a third party distribution</v>
      </c>
      <c r="P75" s="430">
        <f t="array" aca="1" ref="P75" ca="1">INDEX('Form Import'!S:S,MATCH($A75,'Form Import'!$F:$F,0))</f>
        <v>0</v>
      </c>
      <c r="Q75" s="430"/>
      <c r="R75" s="430"/>
      <c r="S75" s="430" t="e">
        <f t="array" aca="1" ref="S75" ca="1">_xludf.TextJoin("; ",1,INDEX(Import!S:S,MATCH(C75,Name,0)))</f>
        <v>#NAME?</v>
      </c>
    </row>
    <row r="76" spans="1:19" ht="96">
      <c r="A76" s="418" t="s">
        <v>1276</v>
      </c>
      <c r="B76" s="419" t="str">
        <f t="array" aca="1" ref="B76" ca="1">CONCATENATE(TEXT(INDEX(query!A:A,MATCH(C76,query!B:B,0)),"M/DD/YYY"),CHAR(10),INDEX(query!E:E,MATCH(C76,query!B:B,0)))</f>
        <v>8/11/2022
Revisit/ Cluster</v>
      </c>
      <c r="C76" s="85" t="s">
        <v>353</v>
      </c>
      <c r="D76" s="420">
        <f t="array" ref="D76">INDEX(Import!D:D,MATCH(C76,Name,0))</f>
        <v>4</v>
      </c>
      <c r="E76" s="421">
        <f t="array" aca="1" ref="E76" ca="1">(INDEX(Import!I:I,MATCH(C76,Name,0))+INDEX(Import!L:L,MATCH(C76,Name,0))+INDEX('Form Import'!V:V,MATCH(A76,'Form Import'!F:F,0)))/3</f>
        <v>4.333333333333333</v>
      </c>
      <c r="F76" s="422" t="str">
        <f t="array" ref="F76">INDEX(Import!E:E,MATCH(C76,Name,0))</f>
        <v>KDL delivers innovative minimally invasive instruments and implants that advance spinal surgery, improve clinical outcomes, and lower costs for patients, surgeons, hospitals, and insurers. These novel products aim to improve procedure efficiency and safety for patients and enable surgeons to perform more effective and less complicated procedures.</v>
      </c>
      <c r="G76" s="423" t="str">
        <f t="array" ref="G76">CONCATENATE(INDEX(Import!G:G,MATCH(C76,Import!C:C,0)),CHAR(10),INDEX(Import!I:I,MATCH(C76,Name,0)))</f>
        <v>Chris Mosher
4</v>
      </c>
      <c r="H76" s="424" t="str">
        <f t="array" ref="H76">INDEX(Import!H:H,MATCH(C76,Name,0))</f>
        <v>Instrumentation and surgical techniques for spinal surgery, specifically bone graft delivery. FDA 510(k) cleared 9/22/21. Tested in cadavers and have "long-term clinical studies", but don't show any of the data in their deck. 2009 U.S. patent application still hasn't been granted? Otherwise, IP is well protected globally. Outstanding team led by Stanford MD/PhD. Many people involved with prior Zimmer/Striker affiliations. 2 previous startups, both acquired (1 Zimmer, 1 Boston Scientific).</v>
      </c>
      <c r="I76" s="423" t="str">
        <f t="array" ref="I76">CONCATENATE(INDEX(Import!J:J,MATCH(C76,Name,0)),CHAR(10),INDEX(Import!L:L,MATCH(C76,Name,0)))</f>
        <v>Parsa Amiri
4</v>
      </c>
      <c r="J76" s="424" t="str">
        <f t="array" ref="J76">INDEX(Import!K:K,MATCH(C76,Name,0))</f>
        <v>A tool for Spinal surgery. FDA approved. The product is promising. Stanford affiliation and great team. The only problem is narrow market size and capital intense.</v>
      </c>
      <c r="K76" s="423" t="str">
        <f t="array" aca="1" ref="K76" ca="1">CONCATENATE(INDEX('Form Import'!D:D,MATCH(A76,'Form Import'!F:F,0)),CHAR(10),INDEX('Form Import'!V:V,MATCH(A76,'Form Import'!F:F,0)))</f>
        <v>John McDonald
5</v>
      </c>
      <c r="L76" s="424">
        <f t="array" aca="1" ref="L76" ca="1">INDEX('Form Import'!W:W,MATCH(A76,'Form Import'!F:F,0))</f>
        <v>0</v>
      </c>
      <c r="M76" s="422"/>
      <c r="N76" s="422">
        <f t="array" aca="1" ref="N76" ca="1">INDEX('Form Import'!L:L,MATCH($A76,'Form Import'!$F:$F,0))</f>
        <v>0</v>
      </c>
      <c r="O76" s="422">
        <f t="array" aca="1" ref="O76" ca="1">INDEX('Form Import'!O:O,MATCH($A76,'Form Import'!$F:$F,0))</f>
        <v>0</v>
      </c>
      <c r="P76" s="422">
        <f t="array" aca="1" ref="P76" ca="1">INDEX('Form Import'!S:S,MATCH($A76,'Form Import'!$F:$F,0))</f>
        <v>0</v>
      </c>
      <c r="Q76" s="422"/>
      <c r="R76" s="422"/>
      <c r="S76" s="422" t="e">
        <f t="array" aca="1" ref="S76" ca="1">_xludf.TextJoin("; ",1,INDEX(Import!S:S,MATCH(C76,Name,0)))</f>
        <v>#NAME?</v>
      </c>
    </row>
    <row r="77" spans="1:19" ht="72">
      <c r="A77" s="425" t="s">
        <v>13153</v>
      </c>
      <c r="B77" s="426" t="str">
        <f t="array" aca="1" ref="B77" ca="1">CONCATENATE(TEXT(INDEX(query!A:A,MATCH(C77,query!B:B,0)),"M/DD/YYY"),CHAR(10),INDEX(query!E:E,MATCH(C77,query!B:B,0)))</f>
        <v>8/16/2022
Invite</v>
      </c>
      <c r="C77" s="427" t="s">
        <v>202</v>
      </c>
      <c r="D77" s="428">
        <f t="array" ref="D77">INDEX(Import!D:D,MATCH(C77,Name,0))</f>
        <v>4.5</v>
      </c>
      <c r="E77" s="429">
        <f t="array" aca="1" ref="E77" ca="1">(INDEX(Import!I:I,MATCH(C77,Name,0))+INDEX(Import!L:L,MATCH(C77,Name,0))+INDEX('Form Import'!V:V,MATCH(A77,'Form Import'!F:F,0)))/3</f>
        <v>4.666666666666667</v>
      </c>
      <c r="F77" s="430" t="str">
        <f t="array" ref="F77">INDEX(Import!E:E,MATCH(C77,Name,0))</f>
        <v>Labfront is a digital biomarkers startup currently disrupting health research through its code-free digital biomarker collection and analytics platform. With the recent explosion of sensors in the scientific community, Labfront is helping health researchers process the overwhelming amount of complex data and transition to the data-rich future.</v>
      </c>
      <c r="G77" s="431" t="str">
        <f t="array" ref="G77">CONCATENATE(INDEX(Import!G:G,MATCH(C77,Import!C:C,0)),CHAR(10),INDEX(Import!I:I,MATCH(C77,Name,0)))</f>
        <v>Mark Flynn
4.5</v>
      </c>
      <c r="H77" s="432" t="str">
        <f t="array" ref="H77">INDEX(Import!H:H,MATCH(C77,Name,0))</f>
        <v>Strong team and advisors; solid traction and testimonials</v>
      </c>
      <c r="I77" s="431" t="str">
        <f t="array" ref="I77">CONCATENATE(INDEX(Import!J:J,MATCH(C77,Name,0)),CHAR(10),INDEX(Import!L:L,MATCH(C77,Name,0)))</f>
        <v>Shubo (Gabriel) Xu
4.5</v>
      </c>
      <c r="J77" s="432" t="str">
        <f t="array" ref="J77">INDEX(Import!K:K,MATCH(C77,Name,0))</f>
        <v>+
1. advanced tech 
2. solves real problem
3. good team
4. up&amp;running with client recognition
5. industry &amp; academia</v>
      </c>
      <c r="K77" s="431" t="str">
        <f t="array" aca="1" ref="K77" ca="1">CONCATENATE(INDEX('Form Import'!D:D,MATCH(A77,'Form Import'!F:F,0)),CHAR(10),INDEX('Form Import'!V:V,MATCH(A77,'Form Import'!F:F,0)))</f>
        <v>John McDonald
5</v>
      </c>
      <c r="L77" s="432">
        <f t="array" aca="1" ref="L77" ca="1">INDEX('Form Import'!W:W,MATCH(A77,'Form Import'!F:F,0))</f>
        <v>0</v>
      </c>
      <c r="M77" s="430"/>
      <c r="N77" s="430">
        <f t="array" aca="1" ref="N77" ca="1">INDEX('Form Import'!L:L,MATCH($A77,'Form Import'!$F:$F,0))</f>
        <v>0</v>
      </c>
      <c r="O77" s="430">
        <f t="array" aca="1" ref="O77" ca="1">INDEX('Form Import'!O:O,MATCH($A77,'Form Import'!$F:$F,0))</f>
        <v>0</v>
      </c>
      <c r="P77" s="430">
        <f t="array" aca="1" ref="P77" ca="1">INDEX('Form Import'!S:S,MATCH($A77,'Form Import'!$F:$F,0))</f>
        <v>0</v>
      </c>
      <c r="Q77" s="430"/>
      <c r="R77" s="430"/>
      <c r="S77" s="430" t="e">
        <f t="array" aca="1" ref="S77" ca="1">_xludf.TextJoin("; ",1,INDEX(Import!S:S,MATCH(C77,Name,0)))</f>
        <v>#NAME?</v>
      </c>
    </row>
    <row r="78" spans="1:19" ht="72">
      <c r="A78" s="418" t="s">
        <v>4312</v>
      </c>
      <c r="B78" s="419" t="str">
        <f t="array" aca="1" ref="B78" ca="1">CONCATENATE(TEXT(INDEX(query!A:A,MATCH(C78,query!B:B,0)),"M/DD/YYY"),CHAR(10),INDEX(query!E:E,MATCH(C78,query!B:B,0)))</f>
        <v>8/18/2022
Invite</v>
      </c>
      <c r="C78" s="85" t="s">
        <v>94</v>
      </c>
      <c r="D78" s="420">
        <f t="array" ref="D78">INDEX(Import!D:D,MATCH(C78,Name,0))</f>
        <v>4.5</v>
      </c>
      <c r="E78" s="421">
        <f t="array" aca="1" ref="E78" ca="1">(INDEX(Import!I:I,MATCH(C78,Name,0))+INDEX(Import!L:L,MATCH(C78,Name,0))+INDEX('Form Import'!V:V,MATCH(A78,'Form Import'!F:F,0)))/3</f>
        <v>4.666666666666667</v>
      </c>
      <c r="F78" s="422" t="str">
        <f t="array" ref="F78">INDEX(Import!E:E,MATCH(C78,Name,0))</f>
        <v>Level 42 AI has developed novel proprietary sensors and hardware as well as software, and AI/ML algorithms to realize a system for early detection of human and animal diseases. The rich data streams generated by proprietary sensors enable the use of transparent and interpretable algorithms for accurate point-of-need predictive diagnosis.</v>
      </c>
      <c r="G78" s="423" t="str">
        <f t="array" ref="G78">CONCATENATE(INDEX(Import!G:G,MATCH(C78,Import!C:C,0)),CHAR(10),INDEX(Import!I:I,MATCH(C78,Name,0)))</f>
        <v>Khoa Ma
5</v>
      </c>
      <c r="H78" s="424" t="str">
        <f t="array" ref="H78">INDEX(Import!H:H,MATCH(C78,Name,0))</f>
        <v>digital diagnostics devices designed to predict and quantify health state
ongoing clinical trials across the globe with big partners
move past COVID screening
need to get tech to scale and show it can work in a multitude of areas
 IRB-approved clinical trials in over 5,000 participants</v>
      </c>
      <c r="I78" s="423" t="str">
        <f t="array" ref="I78">CONCATENATE(INDEX(Import!J:J,MATCH(C78,Name,0)),CHAR(10),INDEX(Import!L:L,MATCH(C78,Name,0)))</f>
        <v>Arthur Ibanda
4</v>
      </c>
      <c r="J78" s="424" t="str">
        <f t="array" ref="J78">INDEX(Import!K:K,MATCH(C78,Name,0))</f>
        <v>+Team seems credible and passionate 
+The technology is novel
+They have raised a lot of money
+The vision is compelling</v>
      </c>
      <c r="K78" s="423" t="str">
        <f t="array" aca="1" ref="K78" ca="1">CONCATENATE(INDEX('Form Import'!D:D,MATCH(A78,'Form Import'!F:F,0)),CHAR(10),INDEX('Form Import'!V:V,MATCH(A78,'Form Import'!F:F,0)))</f>
        <v>Nick Schmandt
5</v>
      </c>
      <c r="L78" s="424" t="str">
        <f t="array" aca="1" ref="L78" ca="1">INDEX('Form Import'!W:W,MATCH(A78,'Form Import'!F:F,0))</f>
        <v>While there are some weaknesses in the background of the team members and the usability of the tech remains unclear, this is a very lucrative area where many other banks will be competing to offer superior products, making what they offer very valuable.</v>
      </c>
      <c r="M78" s="422"/>
      <c r="N78" s="422" t="str">
        <f t="array" aca="1" ref="N78" ca="1">INDEX('Form Import'!L:L,MATCH($A78,'Form Import'!$F:$F,0))</f>
        <v>This is a nice platform but a very crowded field, with lots of fintech startups offering similar services.</v>
      </c>
      <c r="O78" s="422" t="str">
        <f t="array" aca="1" ref="O78" ca="1">INDEX('Form Import'!O:O,MATCH($A78,'Form Import'!$F:$F,0))</f>
        <v>Addressable market is huge, but a lot of competition.</v>
      </c>
      <c r="P78" s="422" t="str">
        <f t="array" aca="1" ref="P78" ca="1">INDEX('Form Import'!S:S,MATCH($A78,'Form Import'!$F:$F,0))</f>
        <v>Not a lot of direct experience in the retail investment area and relatively few founders.</v>
      </c>
      <c r="Q78" s="422"/>
      <c r="R78" s="422"/>
      <c r="S78" s="422" t="e">
        <f t="array" aca="1" ref="S78" ca="1">_xludf.TextJoin("; ",1,INDEX(Import!S:S,MATCH(C78,Name,0)))</f>
        <v>#NAME?</v>
      </c>
    </row>
    <row r="79" spans="1:19" ht="60">
      <c r="A79" s="425" t="s">
        <v>13154</v>
      </c>
      <c r="B79" s="426" t="str">
        <f t="array" aca="1" ref="B79" ca="1">CONCATENATE(TEXT(INDEX(query!A:A,MATCH(C79,query!B:B,0)),"M/DD/YYY"),CHAR(10),INDEX(query!E:E,MATCH(C79,query!B:B,0)))</f>
        <v>8/11/2022
Invite</v>
      </c>
      <c r="C79" s="427" t="s">
        <v>281</v>
      </c>
      <c r="D79" s="428">
        <f t="array" ref="D79">INDEX(Import!D:D,MATCH(C79,Name,0))</f>
        <v>3.75</v>
      </c>
      <c r="E79" s="429">
        <f t="array" aca="1" ref="E79" ca="1">(INDEX(Import!I:I,MATCH(C79,Name,0))+INDEX(Import!L:L,MATCH(C79,Name,0))+INDEX('Form Import'!V:V,MATCH(A79,'Form Import'!F:F,0)))/3</f>
        <v>3.8333333333333335</v>
      </c>
      <c r="F79" s="430" t="str">
        <f t="array" ref="F79">INDEX(Import!E:E,MATCH(C79,Name,0))</f>
        <v>LevelFields uses proprietary AI to automate tedious investment research within the $100T asset management space, saving millions of hours and enabling greater profits for its users.</v>
      </c>
      <c r="G79" s="431" t="str">
        <f t="array" ref="G79">CONCATENATE(INDEX(Import!G:G,MATCH(C79,Import!C:C,0)),CHAR(10),INDEX(Import!I:I,MATCH(C79,Name,0)))</f>
        <v>Beth Xie
4</v>
      </c>
      <c r="H79" s="432" t="str">
        <f t="array" ref="H79">INDEX(Import!H:H,MATCH(C79,Name,0))</f>
        <v>- Need to understand how this solution is different from AlphaSense 
- Team has successful startup experience and acquisition.</v>
      </c>
      <c r="I79" s="431" t="str">
        <f t="array" ref="I79">CONCATENATE(INDEX(Import!J:J,MATCH(C79,Name,0)),CHAR(10),INDEX(Import!L:L,MATCH(C79,Name,0)))</f>
        <v>Boyang Yu
3.5</v>
      </c>
      <c r="J79" s="432" t="str">
        <f t="array" ref="J79">INDEX(Import!K:K,MATCH(C79,Name,0))</f>
        <v>Technically sound company with recurring revenue. But the modeling and training data is not well protected, possibly due to lack of novelty</v>
      </c>
      <c r="K79" s="431" t="str">
        <f t="array" aca="1" ref="K79" ca="1">CONCATENATE(INDEX('Form Import'!D:D,MATCH(A79,'Form Import'!F:F,0)),CHAR(10),INDEX('Form Import'!V:V,MATCH(A79,'Form Import'!F:F,0)))</f>
        <v>Nick Schmandt
4</v>
      </c>
      <c r="L79" s="432" t="str">
        <f t="array" aca="1" ref="L79" ca="1">INDEX('Form Import'!W:W,MATCH(A79,'Form Import'!F:F,0))</f>
        <v>It seems like they have a great product, but the lack of firm sponsorships and very low level of funds raised so far are problematic. This group will likely pick up speed once the device gets approval, and of course will fail completely if it doesn't, but it seems to already be far along in the process.</v>
      </c>
      <c r="M79" s="430"/>
      <c r="N79" s="430" t="str">
        <f t="array" aca="1" ref="N79" ca="1">INDEX('Form Import'!L:L,MATCH($A79,'Form Import'!$F:$F,0))</f>
        <v>Technology seems robust, though the approval remains a hurdle.</v>
      </c>
      <c r="O79" s="430" t="str">
        <f t="array" aca="1" ref="O79" ca="1">INDEX('Form Import'!O:O,MATCH($A79,'Form Import'!$F:$F,0))</f>
        <v>They are in talks with different users but do not have firm commitments yet. The addressable market remains somewhat small.</v>
      </c>
      <c r="P79" s="430" t="str">
        <f t="array" aca="1" ref="P79" ca="1">INDEX('Form Import'!S:S,MATCH($A79,'Form Import'!$F:$F,0))</f>
        <v>Team is academics, unfortunately not a lot of business/startup experience.</v>
      </c>
      <c r="Q79" s="430"/>
      <c r="R79" s="430"/>
      <c r="S79" s="430" t="e">
        <f t="array" aca="1" ref="S79" ca="1">_xludf.TextJoin("; ",1,INDEX(Import!S:S,MATCH(C79,Name,0)))</f>
        <v>#NAME?</v>
      </c>
    </row>
    <row r="80" spans="1:19" ht="48">
      <c r="A80" s="418" t="s">
        <v>9455</v>
      </c>
      <c r="B80" s="419" t="str">
        <f t="array" aca="1" ref="B80" ca="1">CONCATENATE(TEXT(INDEX(query!A:A,MATCH(C80,query!B:B,0)),"M/DD/YYY"),CHAR(10),INDEX(query!E:E,MATCH(C80,query!B:B,0)))</f>
        <v>8/18/2022
Invite</v>
      </c>
      <c r="C80" s="85" t="s">
        <v>354</v>
      </c>
      <c r="D80" s="420">
        <f t="array" ref="D80">INDEX(Import!D:D,MATCH(C80,Name,0))</f>
        <v>4.25</v>
      </c>
      <c r="E80" s="421">
        <f t="array" aca="1" ref="E80" ca="1">(INDEX(Import!I:I,MATCH(C80,Name,0))+INDEX(Import!L:L,MATCH(C80,Name,0))+INDEX('Form Import'!V:V,MATCH(A80,'Form Import'!F:F,0)))/3</f>
        <v>3.8333333333333335</v>
      </c>
      <c r="F80" s="422" t="str">
        <f t="array" ref="F80">INDEX(Import!E:E,MATCH(C80,Name,0))</f>
        <v>Levi Diagnostics, Inc. is a research and development startup specializing in the application of nanotechnology innovations in the biomedical field.
The company was incorporated at the end of 2019, with a mission of delivering revolutionary nanosensor technologies to government, private sector clients, and consumers.</v>
      </c>
      <c r="G80" s="423" t="str">
        <f t="array" ref="G80">CONCATENATE(INDEX(Import!G:G,MATCH(C80,Import!C:C,0)),CHAR(10),INDEX(Import!I:I,MATCH(C80,Name,0)))</f>
        <v>Deepak Hegde
4</v>
      </c>
      <c r="H80" s="424" t="str">
        <f t="array" ref="H80">INDEX(Import!H:H,MATCH(C80,Name,0))</f>
        <v>Solid tech and great tech team.  I worry that this is a tough tech to build a massively scalable business around.  Who will pay big bucks for this product? If we interview them, we will have to brainstorm ideas about how their tech can go beyond a licensing play.</v>
      </c>
      <c r="I80" s="423" t="str">
        <f t="array" ref="I80">CONCATENATE(INDEX(Import!J:J,MATCH(C80,Name,0)),CHAR(10),INDEX(Import!L:L,MATCH(C80,Name,0)))</f>
        <v>Tugba Oncu
4.5</v>
      </c>
      <c r="J80" s="424">
        <f t="array" ref="J80">INDEX(Import!K:K,MATCH(C80,Name,0))</f>
        <v>0</v>
      </c>
      <c r="K80" s="423" t="str">
        <f t="array" aca="1" ref="K80" ca="1">CONCATENATE(INDEX('Form Import'!D:D,MATCH(A80,'Form Import'!F:F,0)),CHAR(10),INDEX('Form Import'!V:V,MATCH(A80,'Form Import'!F:F,0)))</f>
        <v>Jason Yu
3</v>
      </c>
      <c r="L80" s="424" t="str">
        <f t="array" aca="1" ref="L80" ca="1">INDEX('Form Import'!W:W,MATCH(A80,'Form Import'!F:F,0))</f>
        <v>May need to rethink their target market of airports</v>
      </c>
      <c r="M80" s="422"/>
      <c r="N80" s="422" t="str">
        <f t="array" aca="1" ref="N80" ca="1">INDEX('Form Import'!L:L,MATCH($A80,'Form Import'!$F:$F,0))</f>
        <v>Minimum Viable Product but limited testing so far and the innovation is still under development</v>
      </c>
      <c r="O80" s="422" t="str">
        <f t="array" aca="1" ref="O80" ca="1">INDEX('Form Import'!O:O,MATCH($A80,'Form Import'!$F:$F,0))</f>
        <v>Long-term target market is airports and airport security.</v>
      </c>
      <c r="P80" s="422">
        <f t="array" aca="1" ref="P80" ca="1">INDEX('Form Import'!S:S,MATCH($A80,'Form Import'!$F:$F,0))</f>
        <v>0</v>
      </c>
      <c r="Q80" s="422"/>
      <c r="R80" s="422"/>
      <c r="S80" s="422" t="e">
        <f t="array" aca="1" ref="S80" ca="1">_xludf.TextJoin("; ",1,INDEX(Import!S:S,MATCH(C80,Name,0)))</f>
        <v>#NAME?</v>
      </c>
    </row>
    <row r="81" spans="1:19" ht="72">
      <c r="A81" s="425" t="s">
        <v>13155</v>
      </c>
      <c r="B81" s="426" t="str">
        <f t="array" aca="1" ref="B81" ca="1">CONCATENATE(TEXT(INDEX(query!A:A,MATCH(C81,query!B:B,0)),"M/DD/YYY"),CHAR(10),INDEX(query!E:E,MATCH(C81,query!B:B,0)))</f>
        <v>8/09/2022
Revisit</v>
      </c>
      <c r="C81" s="427" t="s">
        <v>102</v>
      </c>
      <c r="D81" s="428">
        <f t="array" ref="D81">INDEX(Import!D:D,MATCH(C81,Name,0))</f>
        <v>3.25</v>
      </c>
      <c r="E81" s="429">
        <f t="array" aca="1" ref="E81" ca="1">(INDEX(Import!I:I,MATCH(C81,Name,0))+INDEX(Import!L:L,MATCH(C81,Name,0))+INDEX('Form Import'!V:V,MATCH(A81,'Form Import'!F:F,0)))/3</f>
        <v>3.5</v>
      </c>
      <c r="F81" s="430" t="str">
        <f t="array" ref="F81">INDEX(Import!E:E,MATCH(C81,Name,0))</f>
        <v>Lifeline Robotics develops technology for automatic throat pathogen sampling to solve issues related to manual mass testing for governments and the healthcare system, providing an efficient, scalable, but gentle technology to remove humans from the frontline pathogen testing and pandemic management.</v>
      </c>
      <c r="G81" s="431" t="str">
        <f t="array" ref="G81">CONCATENATE(INDEX(Import!G:G,MATCH(C81,Import!C:C,0)),CHAR(10),INDEX(Import!I:I,MATCH(C81,Name,0)))</f>
        <v>Chris Mosher
3</v>
      </c>
      <c r="H81" s="432" t="str">
        <f t="array" ref="H81">INDEX(Import!H:H,MATCH(C81,Name,0))</f>
        <v>Deep tech. Robotics company that developed a fully automatic throat swab technology by utilizing machine vision, AI and custom hardware.</v>
      </c>
      <c r="I81" s="431" t="str">
        <f t="array" ref="I81">CONCATENATE(INDEX(Import!J:J,MATCH(C81,Name,0)),CHAR(10),INDEX(Import!L:L,MATCH(C81,Name,0)))</f>
        <v>Tugba Oncu
3.5</v>
      </c>
      <c r="J81" s="432">
        <f t="array" ref="J81">INDEX(Import!K:K,MATCH(C81,Name,0))</f>
        <v>0</v>
      </c>
      <c r="K81" s="431" t="str">
        <f t="array" aca="1" ref="K81" ca="1">CONCATENATE(INDEX('Form Import'!D:D,MATCH(A81,'Form Import'!F:F,0)),CHAR(10),INDEX('Form Import'!V:V,MATCH(A81,'Form Import'!F:F,0)))</f>
        <v>Nick Schmandt
4</v>
      </c>
      <c r="L81" s="432" t="str">
        <f t="array" aca="1" ref="L81" ca="1">INDEX('Form Import'!W:W,MATCH(A81,'Form Import'!F:F,0))</f>
        <v>A really interesting idea, but some hurdles remain: why are there no paying customers already, if the price reduction is so dramatic? Also, they don't talk about reliability, using a low-resolution camera to make higher resolution images: are people really going to trust something like that for a self-driving car? Possible value here, but many questions.</v>
      </c>
      <c r="M81" s="430"/>
      <c r="N81" s="430" t="str">
        <f t="array" aca="1" ref="N81" ca="1">INDEX('Form Import'!L:L,MATCH($A81,'Form Import'!$F:$F,0))</f>
        <v>This appears to be a radically new technology, at least the way they present it. The fact that they do not have private partners so far is concerning, though, and could be a sign that they are struggling to penetrate into the private sector.</v>
      </c>
      <c r="O81" s="430" t="str">
        <f t="array" aca="1" ref="O81" ca="1">INDEX('Form Import'!O:O,MATCH($A81,'Form Import'!$F:$F,0))</f>
        <v>Addressable market is very high, but they have a very limited engagement with private enterprises so far. If the product were as novel as they say I feel that there should already be connections with these groups.</v>
      </c>
      <c r="P81" s="430" t="str">
        <f t="array" aca="1" ref="P81" ca="1">INDEX('Form Import'!S:S,MATCH($A81,'Form Import'!$F:$F,0))</f>
        <v>The team really knows there stuff about vision devices, but I worry that they are heavily academic and with very limited business understanding. That being said, they would likely benefit additionally from having a Stern MBA working with them.</v>
      </c>
      <c r="Q81" s="430"/>
      <c r="R81" s="430"/>
      <c r="S81" s="430" t="e">
        <f t="array" aca="1" ref="S81" ca="1">_xludf.TextJoin("; ",1,INDEX(Import!S:S,MATCH(C81,Name,0)))</f>
        <v>#NAME?</v>
      </c>
    </row>
    <row r="82" spans="1:19" ht="84">
      <c r="A82" s="418" t="s">
        <v>9531</v>
      </c>
      <c r="B82" s="419" t="str">
        <f t="array" aca="1" ref="B82" ca="1">CONCATENATE(TEXT(INDEX(query!A:A,MATCH(C82,query!B:B,0)),"M/DD/YYY"),CHAR(10),INDEX(query!E:E,MATCH(C82,query!B:B,0)))</f>
        <v>8/16/2022
Invite</v>
      </c>
      <c r="C82" s="85" t="s">
        <v>96</v>
      </c>
      <c r="D82" s="420">
        <f t="array" ref="D82">INDEX(Import!D:D,MATCH(C82,Name,0))</f>
        <v>4</v>
      </c>
      <c r="E82" s="421">
        <f t="array" aca="1" ref="E82" ca="1">(INDEX(Import!I:I,MATCH(C82,Name,0))+INDEX(Import!L:L,MATCH(C82,Name,0))+INDEX('Form Import'!V:V,MATCH(A82,'Form Import'!F:F,0)))/3</f>
        <v>4</v>
      </c>
      <c r="F82" s="422" t="str">
        <f t="array" ref="F82">INDEX(Import!E:E,MATCH(C82,Name,0))</f>
        <v>LightCode Photonics is rethinking image acquisition in a bid to transform the autonomous mobility sector with affordable 3D imaging technology. Our customer develops service robots that are sold to end-users or used by the company itself to offer increasingly automated services both B2B and B2C. A typical early adopter is building robotic platforms</v>
      </c>
      <c r="G82" s="423" t="str">
        <f t="array" ref="G82">CONCATENATE(INDEX(Import!G:G,MATCH(C82,Import!C:C,0)),CHAR(10),INDEX(Import!I:I,MATCH(C82,Name,0)))</f>
        <v>Khoa Ma
4</v>
      </c>
      <c r="H82" s="424" t="str">
        <f t="array" ref="H82">INDEX(Import!H:H,MATCH(C82,Name,0))</f>
        <v>Good team
affordable 3D imaging technology
women founders</v>
      </c>
      <c r="I82" s="423" t="str">
        <f t="array" ref="I82">CONCATENATE(INDEX(Import!J:J,MATCH(C82,Name,0)),CHAR(10),INDEX(Import!L:L,MATCH(C82,Name,0)))</f>
        <v>Sriharsha Indupuru
4</v>
      </c>
      <c r="J82" s="424" t="str">
        <f t="array" ref="J82">INDEX(Import!K:K,MATCH(C82,Name,0))</f>
        <v>+Affordable 3D imaging technology
+ Technology is interesting 
+ Female founder, 6phd's founders and European space agency funded a small amount 
+Raising 3m
+ Good results in dark conditions
+ Modular configuration with low power consumption</v>
      </c>
      <c r="K82" s="423" t="str">
        <f t="array" aca="1" ref="K82" ca="1">CONCATENATE(INDEX('Form Import'!D:D,MATCH(A82,'Form Import'!F:F,0)),CHAR(10),INDEX('Form Import'!V:V,MATCH(A82,'Form Import'!F:F,0)))</f>
        <v>Jason Yu
4</v>
      </c>
      <c r="L82" s="424" t="str">
        <f t="array" aca="1" ref="L82" ca="1">INDEX('Form Import'!W:W,MATCH(A82,'Form Import'!F:F,0))</f>
        <v>Biggest obstacle is figuring out how to scale as efficiently as possible.</v>
      </c>
      <c r="M82" s="422"/>
      <c r="N82" s="422" t="str">
        <f t="array" aca="1" ref="N82" ca="1">INDEX('Form Import'!L:L,MATCH($A82,'Form Import'!$F:$F,0))</f>
        <v>Our Citrus trial product streamlines all aspects of clinical trials from design, recruit to delivery.</v>
      </c>
      <c r="O82" s="422" t="str">
        <f t="array" aca="1" ref="O82" ca="1">INDEX('Form Import'!O:O,MATCH($A82,'Form Import'!$F:$F,0))</f>
        <v>$50k p/m from ongoing trials. $44bn a year is spent on CROs. Targeting spend outside of major pharma.</v>
      </c>
      <c r="P82" s="422">
        <f t="array" aca="1" ref="P82" ca="1">INDEX('Form Import'!S:S,MATCH($A82,'Form Import'!$F:$F,0))</f>
        <v>0</v>
      </c>
      <c r="Q82" s="422"/>
      <c r="R82" s="422"/>
      <c r="S82" s="422" t="e">
        <f t="array" aca="1" ref="S82" ca="1">_xludf.TextJoin("; ",1,INDEX(Import!S:S,MATCH(C82,Name,0)))</f>
        <v>#NAME?</v>
      </c>
    </row>
    <row r="83" spans="1:19" ht="48">
      <c r="A83" s="425" t="s">
        <v>713</v>
      </c>
      <c r="B83" s="426" t="str">
        <f t="array" aca="1" ref="B83" ca="1">CONCATENATE(TEXT(INDEX(query!A:A,MATCH(C83,query!B:B,0)),"M/DD/YYY"),CHAR(10),INDEX(query!E:E,MATCH(C83,query!B:B,0)))</f>
        <v>8/16/2022
Revisit/ Cluster</v>
      </c>
      <c r="C83" s="427" t="s">
        <v>304</v>
      </c>
      <c r="D83" s="428">
        <f t="array" ref="D83">INDEX(Import!D:D,MATCH(C83,Name,0))</f>
        <v>3.5</v>
      </c>
      <c r="E83" s="429">
        <f t="array" aca="1" ref="E83" ca="1">(INDEX(Import!I:I,MATCH(C83,Name,0))+INDEX(Import!L:L,MATCH(C83,Name,0))+INDEX('Form Import'!V:V,MATCH(A83,'Form Import'!F:F,0)))/3</f>
        <v>3</v>
      </c>
      <c r="F83" s="430" t="str">
        <f t="array" ref="F83">INDEX(Import!E:E,MATCH(C83,Name,0))</f>
        <v>Lindus Health runs clinical trials for health and biotech companies, using our tech platform to speed up the pace of research so that companies can get to market faster and patients can benefit from new treatments sooner.</v>
      </c>
      <c r="G83" s="431" t="str">
        <f t="array" ref="G83">CONCATENATE(INDEX(Import!G:G,MATCH(C83,Import!C:C,0)),CHAR(10),INDEX(Import!I:I,MATCH(C83,Name,0)))</f>
        <v>Chris Mosher
3</v>
      </c>
      <c r="H83" s="432" t="str">
        <f t="array" ref="H83">INDEX(Import!H:H,MATCH(C83,Name,0))</f>
        <v>Digital Tech.  It seems like they are just a CRO for clinical trials, but have some ML component to improving trial efficiency in design and execution. Used for &gt;60 trials. Great team from Oxford, McK, Google. Advisor from AstraZeneca. Raised $4.5M</v>
      </c>
      <c r="I83" s="431" t="str">
        <f t="array" ref="I83">CONCATENATE(INDEX(Import!J:J,MATCH(C83,Name,0)),CHAR(10),INDEX(Import!L:L,MATCH(C83,Name,0)))</f>
        <v>Larisa Kagermazova
4</v>
      </c>
      <c r="J83" s="432" t="str">
        <f t="array" ref="J83">INDEX(Import!K:K,MATCH(C83,Name,0))</f>
        <v>Would be great to hear what feedback they got from the trials they ran</v>
      </c>
      <c r="K83" s="431" t="str">
        <f t="array" aca="1" ref="K83" ca="1">CONCATENATE(INDEX('Form Import'!D:D,MATCH(A83,'Form Import'!F:F,0)),CHAR(10),INDEX('Form Import'!V:V,MATCH(A83,'Form Import'!F:F,0)))</f>
        <v>John McDonald
2</v>
      </c>
      <c r="L83" s="432">
        <f t="array" aca="1" ref="L83" ca="1">INDEX('Form Import'!W:W,MATCH(A83,'Form Import'!F:F,0))</f>
        <v>0</v>
      </c>
      <c r="M83" s="430"/>
      <c r="N83" s="430">
        <f t="array" aca="1" ref="N83" ca="1">INDEX('Form Import'!L:L,MATCH($A83,'Form Import'!$F:$F,0))</f>
        <v>0</v>
      </c>
      <c r="O83" s="430">
        <f t="array" aca="1" ref="O83" ca="1">INDEX('Form Import'!O:O,MATCH($A83,'Form Import'!$F:$F,0))</f>
        <v>0</v>
      </c>
      <c r="P83" s="430">
        <f t="array" aca="1" ref="P83" ca="1">INDEX('Form Import'!S:S,MATCH($A83,'Form Import'!$F:$F,0))</f>
        <v>0</v>
      </c>
      <c r="Q83" s="430"/>
      <c r="R83" s="430"/>
      <c r="S83" s="430" t="e">
        <f t="array" aca="1" ref="S83" ca="1">_xludf.TextJoin("; ",1,INDEX(Import!S:S,MATCH(C83,Name,0)))</f>
        <v>#NAME?</v>
      </c>
    </row>
    <row r="84" spans="1:19" ht="48">
      <c r="A84" s="418" t="s">
        <v>13156</v>
      </c>
      <c r="B84" s="419" t="str">
        <f t="array" aca="1" ref="B84" ca="1">CONCATENATE(TEXT(INDEX(query!A:A,MATCH(C84,query!B:B,0)),"M/DD/YYY"),CHAR(10),INDEX(query!E:E,MATCH(C84,query!B:B,0)))</f>
        <v>8/11/2022
Invite</v>
      </c>
      <c r="C84" s="85" t="s">
        <v>97</v>
      </c>
      <c r="D84" s="420">
        <f t="array" ref="D84">INDEX(Import!D:D,MATCH(C84,Name,0))</f>
        <v>4.5</v>
      </c>
      <c r="E84" s="421">
        <f t="array" aca="1" ref="E84" ca="1">(INDEX(Import!I:I,MATCH(C84,Name,0))+INDEX(Import!L:L,MATCH(C84,Name,0))+INDEX('Form Import'!V:V,MATCH(A84,'Form Import'!F:F,0)))/3</f>
        <v>4.333333333333333</v>
      </c>
      <c r="F84" s="422" t="str">
        <f t="array" ref="F84">INDEX(Import!E:E,MATCH(C84,Name,0))</f>
        <v>LuftCar was founded to provide clean, fast and low-cost transportation and door-to-door delivery with a hydrogen-powered regional air and road mobility eVTOL vehicle with a 300+ mile air travel and 150+ miles road travel. The detachable road module from the air module is unique to LuftCar concept.</v>
      </c>
      <c r="G84" s="423" t="str">
        <f t="array" ref="G84">CONCATENATE(INDEX(Import!G:G,MATCH(C84,Import!C:C,0)),CHAR(10),INDEX(Import!I:I,MATCH(C84,Name,0)))</f>
        <v>Khoa Ma
5</v>
      </c>
      <c r="H84" s="424" t="str">
        <f t="array" ref="H84">INDEX(Import!H:H,MATCH(C84,Name,0))</f>
        <v>Hydrogen cell powered vehicle that can fly and carry delivery containers
Need to get a proof of concept and close funding
5G, and Navigations systems, 300 mile range</v>
      </c>
      <c r="I84" s="423" t="str">
        <f t="array" ref="I84">CONCATENATE(INDEX(Import!J:J,MATCH(C84,Name,0)),CHAR(10),INDEX(Import!L:L,MATCH(C84,Name,0)))</f>
        <v>Yagnik Mehta
4</v>
      </c>
      <c r="J84" s="424" t="str">
        <f t="array" ref="J84">INDEX(Import!K:K,MATCH(C84,Name,0))</f>
        <v>Good Fit.</v>
      </c>
      <c r="K84" s="423" t="str">
        <f t="array" aca="1" ref="K84" ca="1">CONCATENATE(INDEX('Form Import'!D:D,MATCH(A84,'Form Import'!F:F,0)),CHAR(10),INDEX('Form Import'!V:V,MATCH(A84,'Form Import'!F:F,0)))</f>
        <v>John McDonald
4</v>
      </c>
      <c r="L84" s="424">
        <f t="array" aca="1" ref="L84" ca="1">INDEX('Form Import'!W:W,MATCH(A84,'Form Import'!F:F,0))</f>
        <v>0</v>
      </c>
      <c r="M84" s="422"/>
      <c r="N84" s="422">
        <f t="array" aca="1" ref="N84" ca="1">INDEX('Form Import'!L:L,MATCH($A84,'Form Import'!$F:$F,0))</f>
        <v>0</v>
      </c>
      <c r="O84" s="422">
        <f t="array" aca="1" ref="O84" ca="1">INDEX('Form Import'!O:O,MATCH($A84,'Form Import'!$F:$F,0))</f>
        <v>0</v>
      </c>
      <c r="P84" s="422">
        <f t="array" aca="1" ref="P84" ca="1">INDEX('Form Import'!S:S,MATCH($A84,'Form Import'!$F:$F,0))</f>
        <v>0</v>
      </c>
      <c r="Q84" s="422"/>
      <c r="R84" s="422"/>
      <c r="S84" s="422" t="e">
        <f t="array" aca="1" ref="S84" ca="1">_xludf.TextJoin("; ",1,INDEX(Import!S:S,MATCH(C84,Name,0)))</f>
        <v>#NAME?</v>
      </c>
    </row>
    <row r="85" spans="1:19" ht="60">
      <c r="A85" s="425" t="s">
        <v>13157</v>
      </c>
      <c r="B85" s="426" t="str">
        <f t="array" aca="1" ref="B85" ca="1">CONCATENATE(TEXT(INDEX(query!A:A,MATCH(C85,query!B:B,0)),"M/DD/YYY"),CHAR(10),INDEX(query!E:E,MATCH(C85,query!B:B,0)))</f>
        <v>8/11/2022
Invite</v>
      </c>
      <c r="C85" s="427" t="s">
        <v>99</v>
      </c>
      <c r="D85" s="428">
        <f t="array" ref="D85">INDEX(Import!D:D,MATCH(C85,Name,0))</f>
        <v>4.5</v>
      </c>
      <c r="E85" s="429">
        <f t="array" aca="1" ref="E85" ca="1">(INDEX(Import!I:I,MATCH(C85,Name,0))+INDEX(Import!L:L,MATCH(C85,Name,0))+INDEX('Form Import'!V:V,MATCH(A85,'Form Import'!F:F,0)))/3</f>
        <v>3.6666666666666665</v>
      </c>
      <c r="F85" s="430" t="str">
        <f t="array" ref="F85">INDEX(Import!E:E,MATCH(C85,Name,0))</f>
        <v>Based on decades of research at Stanford and funded by the DoD for product development, Lumos is a sleep solution that enables longer, better sleep and a higher workplace performance for over 21 million Americans in industries such as military, sports, healthcare, manufacturing, transportation, and law enforcement.</v>
      </c>
      <c r="G85" s="431" t="str">
        <f t="array" ref="G85">CONCATENATE(INDEX(Import!G:G,MATCH(C85,Import!C:C,0)),CHAR(10),INDEX(Import!I:I,MATCH(C85,Name,0)))</f>
        <v>Deepak Hegde
5</v>
      </c>
      <c r="H85" s="432" t="str">
        <f t="array" ref="H85">INDEX(Import!H:H,MATCH(C85,Name,0))</f>
        <v>Sleep health is drawing increasing interest.  Want to better understand how their tech modulates Circadian rhythm, unit costs and potential to go D2C (size of markets).  We should definitely interview.</v>
      </c>
      <c r="I85" s="431" t="str">
        <f t="array" ref="I85">CONCATENATE(INDEX(Import!J:J,MATCH(C85,Name,0)),CHAR(10),INDEX(Import!L:L,MATCH(C85,Name,0)))</f>
        <v>Beth Xie
4</v>
      </c>
      <c r="J85" s="432" t="str">
        <f t="array" ref="J85">INDEX(Import!K:K,MATCH(C85,Name,0))</f>
        <v>- Science is strong based on Stanford research work. Also strong technical team. 
- Already gaining traction among patients. 
- Market demand has potential given the focus on non-medical solutions.</v>
      </c>
      <c r="K85" s="431" t="str">
        <f t="array" aca="1" ref="K85" ca="1">CONCATENATE(INDEX('Form Import'!D:D,MATCH(A85,'Form Import'!F:F,0)),CHAR(10),INDEX('Form Import'!V:V,MATCH(A85,'Form Import'!F:F,0)))</f>
        <v>Jason Yu
2</v>
      </c>
      <c r="L85" s="432" t="str">
        <f t="array" aca="1" ref="L85" ca="1">INDEX('Form Import'!W:W,MATCH(A85,'Form Import'!F:F,0))</f>
        <v>Current turbine design requires more engineering and investigation to become a commercial model.</v>
      </c>
      <c r="M85" s="430"/>
      <c r="N85" s="430" t="str">
        <f t="array" aca="1" ref="N85" ca="1">INDEX('Form Import'!L:L,MATCH($A85,'Form Import'!$F:$F,0))</f>
        <v>Vertical Axis Wind Turbines</v>
      </c>
      <c r="O85" s="430" t="str">
        <f t="array" aca="1" ref="O85" ca="1">INDEX('Form Import'!O:O,MATCH($A85,'Form Import'!$F:$F,0))</f>
        <v>Our current 100 Kw prototype is connected to the grid and has been generating revenue from our local utility company for the past 10 months.</v>
      </c>
      <c r="P85" s="430" t="str">
        <f t="array" aca="1" ref="P85" ca="1">INDEX('Form Import'!S:S,MATCH($A85,'Form Import'!$F:$F,0))</f>
        <v>One person</v>
      </c>
      <c r="Q85" s="430"/>
      <c r="R85" s="430"/>
      <c r="S85" s="430" t="e">
        <f t="array" aca="1" ref="S85" ca="1">_xludf.TextJoin("; ",1,INDEX(Import!S:S,MATCH(C85,Name,0)))</f>
        <v>#NAME?</v>
      </c>
    </row>
    <row r="86" spans="1:19" ht="72">
      <c r="A86" s="418" t="s">
        <v>13158</v>
      </c>
      <c r="B86" s="419" t="str">
        <f t="array" aca="1" ref="B86" ca="1">CONCATENATE(TEXT(INDEX(query!A:A,MATCH(C86,query!B:B,0)),"M/DD/YYY"),CHAR(10),INDEX(query!E:E,MATCH(C86,query!B:B,0)))</f>
        <v>8/16/2022
Revisit/ Cluster</v>
      </c>
      <c r="C86" s="85" t="s">
        <v>107</v>
      </c>
      <c r="D86" s="420">
        <f t="array" ref="D86">INDEX(Import!D:D,MATCH(C86,Name,0))</f>
        <v>3.75</v>
      </c>
      <c r="E86" s="421">
        <f t="array" aca="1" ref="E86" ca="1">(INDEX(Import!I:I,MATCH(C86,Name,0))+INDEX(Import!L:L,MATCH(C86,Name,0))+INDEX('Form Import'!V:V,MATCH(A86,'Form Import'!F:F,0)))/3</f>
        <v>3.5</v>
      </c>
      <c r="F86" s="422" t="str">
        <f t="array" ref="F86">INDEX(Import!E:E,MATCH(C86,Name,0))</f>
        <v>Lux Wind Power does research and development of novel Vertical Axis Wind Turbines.  The operating turbines have proven to be beneficial for wind farms in most locations, especially in wide open prairie landscapes.</v>
      </c>
      <c r="G86" s="423" t="str">
        <f t="array" ref="G86">CONCATENATE(INDEX(Import!G:G,MATCH(C86,Import!C:C,0)),CHAR(10),INDEX(Import!I:I,MATCH(C86,Name,0)))</f>
        <v>Khoa Ma
3.5</v>
      </c>
      <c r="H86" s="424" t="str">
        <f t="array" ref="H86">INDEX(Import!H:H,MATCH(C86,Name,0))</f>
        <v>new wind turbine design
high capacity
does not require a tower
needs to get the design to scale and tested</v>
      </c>
      <c r="I86" s="423" t="str">
        <f t="array" ref="I86">CONCATENATE(INDEX(Import!J:J,MATCH(C86,Name,0)),CHAR(10),INDEX(Import!L:L,MATCH(C86,Name,0)))</f>
        <v>Sriharsha Indupuru
4</v>
      </c>
      <c r="J86" s="424" t="str">
        <f t="array" ref="J86">INDEX(Import!K:K,MATCH(C86,Name,0))</f>
        <v>+wind turbine that has a low centre of mass
+does not have to be turned into the wind, 
+Can be transported in small containers, does not need large cranes for installation, 
+Has a higher power density than current wind farms
- Till date worked on pilot product not a full scale product</v>
      </c>
      <c r="K86" s="423" t="str">
        <f t="array" aca="1" ref="K86" ca="1">CONCATENATE(INDEX('Form Import'!D:D,MATCH(A86,'Form Import'!F:F,0)),CHAR(10),INDEX('Form Import'!V:V,MATCH(A86,'Form Import'!F:F,0)))</f>
        <v>Nick Schmandt
3</v>
      </c>
      <c r="L86" s="424" t="str">
        <f t="array" aca="1" ref="L86" ca="1">INDEX('Form Import'!W:W,MATCH(A86,'Form Import'!F:F,0))</f>
        <v>I wish I could rate this higher, but the CEO is inexperienced and he is describing a deliverable that is not what he is demoing. I believe the process of hooking up an electrical vehicle to the grid and having it take in/push out electricity is more complicated than they describe and not all electrical grids can handle it.</v>
      </c>
      <c r="M86" s="422"/>
      <c r="N86" s="422" t="str">
        <f t="array" aca="1" ref="N86" ca="1">INDEX('Form Import'!L:L,MATCH($A86,'Form Import'!$F:$F,0))</f>
        <v>It's a good idea but it's also talked about a lot. Also, while the mobile charger is a great idea, the component of managing a home's energy intake and outtake is a completely different product.</v>
      </c>
      <c r="O86" s="422" t="str">
        <f t="array" aca="1" ref="O86" ca="1">INDEX('Form Import'!O:O,MATCH($A86,'Form Import'!$F:$F,0))</f>
        <v>They should be able to get paying customers if what they are describing works.</v>
      </c>
      <c r="P86" s="422" t="str">
        <f t="array" aca="1" ref="P86" ca="1">INDEX('Form Import'!S:S,MATCH($A86,'Form Import'!$F:$F,0))</f>
        <v>CEO is very inexperienced.</v>
      </c>
      <c r="Q86" s="422"/>
      <c r="R86" s="422"/>
      <c r="S86" s="422" t="e">
        <f t="array" aca="1" ref="S86" ca="1">_xludf.TextJoin("; ",1,INDEX(Import!S:S,MATCH(C86,Name,0)))</f>
        <v>#NAME?</v>
      </c>
    </row>
    <row r="87" spans="1:19" ht="48">
      <c r="A87" s="425" t="s">
        <v>13159</v>
      </c>
      <c r="B87" s="426" t="str">
        <f t="array" aca="1" ref="B87" ca="1">CONCATENATE(TEXT(INDEX(query!A:A,MATCH(C87,query!B:B,0)),"M/DD/YYY"),CHAR(10),INDEX(query!E:E,MATCH(C87,query!B:B,0)))</f>
        <v>8/11/2022
Invite</v>
      </c>
      <c r="C87" s="427" t="s">
        <v>100</v>
      </c>
      <c r="D87" s="428">
        <f t="array" ref="D87">INDEX(Import!D:D,MATCH(C87,Name,0))</f>
        <v>3.5</v>
      </c>
      <c r="E87" s="429">
        <f t="array" aca="1" ref="E87" ca="1">(INDEX(Import!I:I,MATCH(C87,Name,0))+INDEX(Import!L:L,MATCH(C87,Name,0))+INDEX('Form Import'!V:V,MATCH(A87,'Form Import'!F:F,0)))/3</f>
        <v>3.6666666666666665</v>
      </c>
      <c r="F87" s="430" t="str">
        <f t="array" ref="F87">INDEX(Import!E:E,MATCH(C87,Name,0))</f>
        <v>MarsChargers are EV charging platforms that offer a variety of solutions, including dramatically reducing the costs and engineering constraints of DC fast-charging infrastructure, providing mobile charging with multi-use power capabilities (for homes and devices), and smart-charging that reduces EV battery pack degradation caused by charging</v>
      </c>
      <c r="G87" s="431" t="str">
        <f t="array" ref="G87">CONCATENATE(INDEX(Import!G:G,MATCH(C87,Import!C:C,0)),CHAR(10),INDEX(Import!I:I,MATCH(C87,Name,0)))</f>
        <v>Khoa Ma
3</v>
      </c>
      <c r="H87" s="432" t="str">
        <f t="array" ref="H87">INDEX(Import!H:H,MATCH(C87,Name,0))</f>
        <v>EV charging platforms- constraints of DC fast-charging infrastructure
working lab prototype
need to show it can scale outside of the lab
a bit early</v>
      </c>
      <c r="I87" s="431" t="str">
        <f t="array" ref="I87">CONCATENATE(INDEX(Import!J:J,MATCH(C87,Name,0)),CHAR(10),INDEX(Import!L:L,MATCH(C87,Name,0)))</f>
        <v>Arthur Ibanda
4</v>
      </c>
      <c r="J87" s="432" t="str">
        <f t="array" ref="J87">INDEX(Import!K:K,MATCH(C87,Name,0))</f>
        <v>+Compelling vision
+Credible team
+Good industry links
+Developed prototype</v>
      </c>
      <c r="K87" s="431" t="str">
        <f t="array" aca="1" ref="K87" ca="1">CONCATENATE(INDEX('Form Import'!D:D,MATCH(A87,'Form Import'!F:F,0)),CHAR(10),INDEX('Form Import'!V:V,MATCH(A87,'Form Import'!F:F,0)))</f>
        <v>Nick Schmandt
4</v>
      </c>
      <c r="L87" s="432" t="str">
        <f t="array" aca="1" ref="L87" ca="1">INDEX('Form Import'!W:W,MATCH(A87,'Form Import'!F:F,0))</f>
        <v>The strength of this application is their number of paying customers and revenue. If they can continue to grow this, they will be very successful. I think they will have a hard time getting larger insurance companies to use their system, though.</v>
      </c>
      <c r="M87" s="430"/>
      <c r="N87" s="430" t="str">
        <f t="array" aca="1" ref="N87" ca="1">INDEX('Form Import'!L:L,MATCH($A87,'Form Import'!$F:$F,0))</f>
        <v>This is a common issue, and many insurance companies have worked to add automation to the processing of claims. The fact that their tech is already working with clients is encouraging.</v>
      </c>
      <c r="O87" s="430" t="str">
        <f t="array" aca="1" ref="O87" ca="1">INDEX('Form Import'!O:O,MATCH($A87,'Form Import'!$F:$F,0))</f>
        <v>Lots of companies will do this in-house, but the addressable market is very large.</v>
      </c>
      <c r="P87" s="430" t="str">
        <f t="array" aca="1" ref="P87" ca="1">INDEX('Form Import'!S:S,MATCH($A87,'Form Import'!$F:$F,0))</f>
        <v>Team is experienced, though not a lot of insurance experience.</v>
      </c>
      <c r="Q87" s="430"/>
      <c r="R87" s="430"/>
      <c r="S87" s="430" t="e">
        <f t="array" aca="1" ref="S87" ca="1">_xludf.TextJoin("; ",1,INDEX(Import!S:S,MATCH(C87,Name,0)))</f>
        <v>#NAME?</v>
      </c>
    </row>
    <row r="88" spans="1:19" ht="48">
      <c r="A88" s="418" t="s">
        <v>13160</v>
      </c>
      <c r="B88" s="419" t="str">
        <f t="array" aca="1" ref="B88" ca="1">CONCATENATE(TEXT(INDEX(query!A:A,MATCH(C88,query!B:B,0)),"M/DD/YYY"),CHAR(10),INDEX(query!E:E,MATCH(C88,query!B:B,0)))</f>
        <v>8/11/2022
Invite</v>
      </c>
      <c r="C88" s="85" t="s">
        <v>100</v>
      </c>
      <c r="D88" s="420">
        <f t="array" ref="D88">INDEX(Import!D:D,MATCH(C88,Name,0))</f>
        <v>3.5</v>
      </c>
      <c r="E88" s="421">
        <f t="array" aca="1" ref="E88" ca="1">(INDEX(Import!I:I,MATCH(C88,Name,0))+INDEX(Import!L:L,MATCH(C88,Name,0))+INDEX('Form Import'!V:V,MATCH(A88,'Form Import'!F:F,0)))/3</f>
        <v>3</v>
      </c>
      <c r="F88" s="422" t="str">
        <f t="array" ref="F88">INDEX(Import!E:E,MATCH(C88,Name,0))</f>
        <v>MarsChargers are EV charging platforms that offer a variety of solutions, including dramatically reducing the costs and engineering constraints of DC fast-charging infrastructure, providing mobile charging with multi-use power capabilities (for homes and devices), and smart-charging that reduces EV battery pack degradation caused by charging</v>
      </c>
      <c r="G88" s="423" t="str">
        <f t="array" ref="G88">CONCATENATE(INDEX(Import!G:G,MATCH(C88,Import!C:C,0)),CHAR(10),INDEX(Import!I:I,MATCH(C88,Name,0)))</f>
        <v>Khoa Ma
3</v>
      </c>
      <c r="H88" s="424" t="str">
        <f t="array" ref="H88">INDEX(Import!H:H,MATCH(C88,Name,0))</f>
        <v>EV charging platforms- constraints of DC fast-charging infrastructure
working lab prototype
need to show it can scale outside of the lab
a bit early</v>
      </c>
      <c r="I88" s="423" t="str">
        <f t="array" ref="I88">CONCATENATE(INDEX(Import!J:J,MATCH(C88,Name,0)),CHAR(10),INDEX(Import!L:L,MATCH(C88,Name,0)))</f>
        <v>Arthur Ibanda
4</v>
      </c>
      <c r="J88" s="424" t="str">
        <f t="array" ref="J88">INDEX(Import!K:K,MATCH(C88,Name,0))</f>
        <v>+Compelling vision
+Credible team
+Good industry links
+Developed prototype</v>
      </c>
      <c r="K88" s="423" t="str">
        <f t="array" aca="1" ref="K88" ca="1">CONCATENATE(INDEX('Form Import'!D:D,MATCH(A88,'Form Import'!F:F,0)),CHAR(10),INDEX('Form Import'!V:V,MATCH(A88,'Form Import'!F:F,0)))</f>
        <v>Jason Yu
2</v>
      </c>
      <c r="L88" s="424" t="str">
        <f t="array" aca="1" ref="L88" ca="1">INDEX('Form Import'!W:W,MATCH(A88,'Form Import'!F:F,0))</f>
        <v>A lack of a hardware moat and control in the sensing module itself</v>
      </c>
      <c r="M88" s="422"/>
      <c r="N88" s="422" t="str">
        <f t="array" aca="1" ref="N88" ca="1">INDEX('Form Import'!L:L,MATCH($A88,'Form Import'!$F:$F,0))</f>
        <v>Robust validation will occur after the data collection endeavors following our current round.</v>
      </c>
      <c r="O88" s="422">
        <f t="array" aca="1" ref="O88" ca="1">INDEX('Form Import'!O:O,MATCH($A88,'Form Import'!$F:$F,0))</f>
        <v>0</v>
      </c>
      <c r="P88" s="422" t="str">
        <f t="array" aca="1" ref="P88" ca="1">INDEX('Form Import'!S:S,MATCH($A88,'Form Import'!$F:$F,0))</f>
        <v xml:space="preserve">4 person team on LinkedIn </v>
      </c>
      <c r="Q88" s="422"/>
      <c r="R88" s="422"/>
      <c r="S88" s="422" t="e">
        <f t="array" aca="1" ref="S88" ca="1">_xludf.TextJoin("; ",1,INDEX(Import!S:S,MATCH(C88,Name,0)))</f>
        <v>#NAME?</v>
      </c>
    </row>
    <row r="89" spans="1:19" ht="72">
      <c r="A89" s="425" t="s">
        <v>13161</v>
      </c>
      <c r="B89" s="426" t="str">
        <f t="array" aca="1" ref="B89" ca="1">CONCATENATE(TEXT(INDEX(query!A:A,MATCH(C89,query!B:B,0)),"M/DD/YYY"),CHAR(10),INDEX(query!E:E,MATCH(C89,query!B:B,0)))</f>
        <v>8/09/2022
Invite Next Year</v>
      </c>
      <c r="C89" s="427" t="s">
        <v>2904</v>
      </c>
      <c r="D89" s="428">
        <f t="array" ref="D89">INDEX(Import!D:D,MATCH(C89,Name,0))</f>
        <v>3</v>
      </c>
      <c r="E89" s="429">
        <f t="array" aca="1" ref="E89" ca="1">(INDEX(Import!I:I,MATCH(C89,Name,0))+INDEX(Import!L:L,MATCH(C89,Name,0))+INDEX('Form Import'!V:V,MATCH(A89,'Form Import'!F:F,0)))/3</f>
        <v>3.3333333333333335</v>
      </c>
      <c r="F89" s="430" t="str">
        <f t="array" ref="F89">INDEX(Import!E:E,MATCH(C89,Name,0))</f>
        <v>Meili provides a deep learning medical emergency detection system for vehicles to proactively stop crashes and save lives. Utilizing existing in-vehicle hardware, Meili is a software only solution that determines when a medical emergency has occurred, alerts the vehicle to take action to avoid a crash, and communicates with EMS to aid the driver.</v>
      </c>
      <c r="G89" s="431" t="str">
        <f t="array" ref="G89">CONCATENATE(INDEX(Import!G:G,MATCH(C89,Import!C:C,0)),CHAR(10),INDEX(Import!I:I,MATCH(C89,Name,0)))</f>
        <v>Khoa Ma
3</v>
      </c>
      <c r="H89" s="432" t="str">
        <f t="array" ref="H89">INDEX(Import!H:H,MATCH(C89,Name,0))</f>
        <v>DiT company. They need to build a moat around their technology and competitors can come in quickly to catch up. Need real data sets for proof of product</v>
      </c>
      <c r="I89" s="431" t="str">
        <f t="array" ref="I89">CONCATENATE(INDEX(Import!J:J,MATCH(C89,Name,0)),CHAR(10),INDEX(Import!L:L,MATCH(C89,Name,0)))</f>
        <v>Shubo (Gabriel) Xu
3</v>
      </c>
      <c r="J89" s="432" t="str">
        <f t="array" ref="J89">INDEX(Import!K:K,MATCH(C89,Name,0))</f>
        <v>+
1. advanced and novel tech
2. targets a real problem, with natural extensions
3. good team
-
1. early stage with not so much to show for</v>
      </c>
      <c r="K89" s="431" t="str">
        <f t="array" aca="1" ref="K89" ca="1">CONCATENATE(INDEX('Form Import'!D:D,MATCH(A89,'Form Import'!F:F,0)),CHAR(10),INDEX('Form Import'!V:V,MATCH(A89,'Form Import'!F:F,0)))</f>
        <v>Nick Schmandt
4</v>
      </c>
      <c r="L89" s="432" t="str">
        <f t="array" aca="1" ref="L89" ca="1">INDEX('Form Import'!W:W,MATCH(A89,'Form Import'!F:F,0))</f>
        <v>It's a great product with a very addressable market that should be easy to enter with a lower-cost item. More concrete validation of how the product works and a team that is less academic would be helpful, but as they have already raised so much money they are likely doing something right.</v>
      </c>
      <c r="M89" s="430"/>
      <c r="N89" s="430" t="str">
        <f t="array" aca="1" ref="N89" ca="1">INDEX('Form Import'!L:L,MATCH($A89,'Form Import'!$F:$F,0))</f>
        <v>More concrete validation of how it works would be great</v>
      </c>
      <c r="O89" s="430" t="str">
        <f t="array" aca="1" ref="O89" ca="1">INDEX('Form Import'!O:O,MATCH($A89,'Form Import'!$F:$F,0))</f>
        <v>It should not be hard to recruit customers given how simple a product this is.</v>
      </c>
      <c r="P89" s="430" t="str">
        <f t="array" aca="1" ref="P89" ca="1">INDEX('Form Import'!S:S,MATCH($A89,'Form Import'!$F:$F,0))</f>
        <v>Very academic team, should have more business expertise.</v>
      </c>
      <c r="Q89" s="430"/>
      <c r="R89" s="430"/>
      <c r="S89" s="430" t="e">
        <f t="array" aca="1" ref="S89" ca="1">_xludf.TextJoin("; ",1,INDEX(Import!S:S,MATCH(C89,Name,0)))</f>
        <v>#NAME?</v>
      </c>
    </row>
    <row r="90" spans="1:19" ht="60">
      <c r="A90" s="418" t="s">
        <v>3692</v>
      </c>
      <c r="B90" s="419" t="str">
        <f t="array" aca="1" ref="B90" ca="1">CONCATENATE(TEXT(INDEX(query!A:A,MATCH(C90,query!B:B,0)),"M/DD/YYY"),CHAR(10),INDEX(query!E:E,MATCH(C90,query!B:B,0)))</f>
        <v>8/18/2022
Invite</v>
      </c>
      <c r="C90" s="85" t="s">
        <v>101</v>
      </c>
      <c r="D90" s="420">
        <f t="array" ref="D90">INDEX(Import!D:D,MATCH(C90,Name,0))</f>
        <v>4.25</v>
      </c>
      <c r="E90" s="421">
        <f t="array" aca="1" ref="E90" ca="1">(INDEX(Import!I:I,MATCH(C90,Name,0))+INDEX(Import!L:L,MATCH(C90,Name,0))+INDEX('Form Import'!V:V,MATCH(A90,'Form Import'!F:F,0)))/3</f>
        <v>4.166666666666667</v>
      </c>
      <c r="F90" s="422" t="str">
        <f t="array" ref="F90">INDEX(Import!E:E,MATCH(C90,Name,0))</f>
        <v>Metalmark is radically improving indoor air quality with the world's 1st smart self-renewing air purification system that reduces disease transmission risks and addresses growing environmental challenges such as wildfire smoke. Our system provides low-maintenance with as few filter replacements as once every five years (10x typical filter life).</v>
      </c>
      <c r="G90" s="423" t="str">
        <f t="array" ref="G90">CONCATENATE(INDEX(Import!G:G,MATCH(C90,Import!C:C,0)),CHAR(10),INDEX(Import!I:I,MATCH(C90,Name,0)))</f>
        <v>Khoa Ma
4.5</v>
      </c>
      <c r="H90" s="424" t="str">
        <f t="array" ref="H90">INDEX(Import!H:H,MATCH(C90,Name,0))</f>
        <v>Jogchum Brinksma referral
advanced air purification technology based on butterfly wings
needs to show tech can scale
needs a proof of concept and then go into production
women founder</v>
      </c>
      <c r="I90" s="423" t="str">
        <f t="array" ref="I90">CONCATENATE(INDEX(Import!J:J,MATCH(C90,Name,0)),CHAR(10),INDEX(Import!L:L,MATCH(C90,Name,0)))</f>
        <v>Yagnik Mehta
4</v>
      </c>
      <c r="J90" s="424" t="str">
        <f t="array" ref="J90">INDEX(Import!K:K,MATCH(C90,Name,0))</f>
        <v>They need to develop their prototype, however, the idea is interesting, so we can consider them</v>
      </c>
      <c r="K90" s="423" t="str">
        <f t="array" aca="1" ref="K90" ca="1">CONCATENATE(INDEX('Form Import'!D:D,MATCH(A90,'Form Import'!F:F,0)),CHAR(10),INDEX('Form Import'!V:V,MATCH(A90,'Form Import'!F:F,0)))</f>
        <v>John McDonald
4</v>
      </c>
      <c r="L90" s="424">
        <f t="array" aca="1" ref="L90" ca="1">INDEX('Form Import'!W:W,MATCH(A90,'Form Import'!F:F,0))</f>
        <v>0</v>
      </c>
      <c r="M90" s="422"/>
      <c r="N90" s="422">
        <f t="array" aca="1" ref="N90" ca="1">INDEX('Form Import'!L:L,MATCH($A90,'Form Import'!$F:$F,0))</f>
        <v>0</v>
      </c>
      <c r="O90" s="422">
        <f t="array" aca="1" ref="O90" ca="1">INDEX('Form Import'!O:O,MATCH($A90,'Form Import'!$F:$F,0))</f>
        <v>0</v>
      </c>
      <c r="P90" s="422">
        <f t="array" aca="1" ref="P90" ca="1">INDEX('Form Import'!S:S,MATCH($A90,'Form Import'!$F:$F,0))</f>
        <v>0</v>
      </c>
      <c r="Q90" s="422"/>
      <c r="R90" s="422"/>
      <c r="S90" s="422" t="e">
        <f t="array" aca="1" ref="S90" ca="1">_xludf.TextJoin("; ",1,INDEX(Import!S:S,MATCH(C90,Name,0)))</f>
        <v>#NAME?</v>
      </c>
    </row>
    <row r="91" spans="1:19" ht="24">
      <c r="A91" s="425" t="s">
        <v>1887</v>
      </c>
      <c r="B91" s="426" t="str">
        <f t="array" aca="1" ref="B91" ca="1">CONCATENATE(TEXT(INDEX(query!A:A,MATCH(C91,query!B:B,0)),"M/DD/YYY"),CHAR(10),INDEX(query!E:E,MATCH(C91,query!B:B,0)))</f>
        <v>8/23/2022
Invite</v>
      </c>
      <c r="C91" s="427" t="s">
        <v>174</v>
      </c>
      <c r="D91" s="428">
        <f t="array" ref="D91">INDEX(Import!D:D,MATCH(C91,Name,0))</f>
        <v>4.25</v>
      </c>
      <c r="E91" s="429">
        <f t="array" aca="1" ref="E91" ca="1">(INDEX(Import!I:I,MATCH(C91,Name,0))+INDEX(Import!L:L,MATCH(C91,Name,0))+INDEX('Form Import'!V:V,MATCH(A91,'Form Import'!F:F,0)))/3</f>
        <v>3.5</v>
      </c>
      <c r="F91" s="430" t="str">
        <f t="array" ref="F91">INDEX(Import!E:E,MATCH(C91,Name,0))</f>
        <v>MindTrace fuses 3D brain maps with measures of a neurosurgery patient?s behavioral performance, simulates surgical resection plans, and predicts cognitive outcomes ? all before the first incision, or in real-time during surgery.</v>
      </c>
      <c r="G91" s="431" t="str">
        <f t="array" ref="G91">CONCATENATE(INDEX(Import!G:G,MATCH(C91,Import!C:C,0)),CHAR(10),INDEX(Import!I:I,MATCH(C91,Name,0)))</f>
        <v>Matt Myers
4.5</v>
      </c>
      <c r="H91" s="432" t="str">
        <f t="array" ref="H91">INDEX(Import!H:H,MATCH(C91,Name,0))</f>
        <v>Great fit for EFL: high-impact, novel tech, patents, and momentum.</v>
      </c>
      <c r="I91" s="431" t="str">
        <f t="array" ref="I91">CONCATENATE(INDEX(Import!J:J,MATCH(C91,Name,0)),CHAR(10),INDEX(Import!L:L,MATCH(C91,Name,0)))</f>
        <v>Yash Rohera
4</v>
      </c>
      <c r="J91" s="432" t="str">
        <f t="array" ref="J91">INDEX(Import!K:K,MATCH(C91,Name,0))</f>
        <v>Low burn, novel technology. Needs help w commercialization.</v>
      </c>
      <c r="K91" s="431" t="str">
        <f t="array" aca="1" ref="K91" ca="1">CONCATENATE(INDEX('Form Import'!D:D,MATCH(A91,'Form Import'!F:F,0)),CHAR(10),INDEX('Form Import'!V:V,MATCH(A91,'Form Import'!F:F,0)))</f>
        <v>John McDonald
2</v>
      </c>
      <c r="L91" s="432">
        <f t="array" aca="1" ref="L91" ca="1">INDEX('Form Import'!W:W,MATCH(A91,'Form Import'!F:F,0))</f>
        <v>0</v>
      </c>
      <c r="M91" s="430"/>
      <c r="N91" s="430">
        <f t="array" aca="1" ref="N91" ca="1">INDEX('Form Import'!L:L,MATCH($A91,'Form Import'!$F:$F,0))</f>
        <v>0</v>
      </c>
      <c r="O91" s="430">
        <f t="array" aca="1" ref="O91" ca="1">INDEX('Form Import'!O:O,MATCH($A91,'Form Import'!$F:$F,0))</f>
        <v>0</v>
      </c>
      <c r="P91" s="430">
        <f t="array" aca="1" ref="P91" ca="1">INDEX('Form Import'!S:S,MATCH($A91,'Form Import'!$F:$F,0))</f>
        <v>0</v>
      </c>
      <c r="Q91" s="430"/>
      <c r="R91" s="430"/>
      <c r="S91" s="430" t="e">
        <f t="array" aca="1" ref="S91" ca="1">_xludf.TextJoin("; ",1,INDEX(Import!S:S,MATCH(C91,Name,0)))</f>
        <v>#NAME?</v>
      </c>
    </row>
    <row r="92" spans="1:19" ht="96">
      <c r="A92" s="418" t="s">
        <v>10145</v>
      </c>
      <c r="B92" s="419" t="str">
        <f t="array" aca="1" ref="B92" ca="1">CONCATENATE(TEXT(INDEX(query!A:A,MATCH(C92,query!B:B,0)),"M/DD/YYY"),CHAR(10),INDEX(query!E:E,MATCH(C92,query!B:B,0)))</f>
        <v>8/18/2022
Invite</v>
      </c>
      <c r="C92" s="85" t="s">
        <v>408</v>
      </c>
      <c r="D92" s="420">
        <f t="array" ref="D92">INDEX(Import!D:D,MATCH(C92,Name,0))</f>
        <v>4</v>
      </c>
      <c r="E92" s="421">
        <f t="array" aca="1" ref="E92" ca="1">(INDEX(Import!I:I,MATCH(C92,Name,0))+INDEX(Import!L:L,MATCH(C92,Name,0))+INDEX('Form Import'!V:V,MATCH(A92,'Form Import'!F:F,0)))/3</f>
        <v>4.333333333333333</v>
      </c>
      <c r="F92" s="422" t="str">
        <f t="array" ref="F92">INDEX(Import!E:E,MATCH(C92,Name,0))</f>
        <v>Nano RED is building precision delivery solutions to power the next generation of mRNA and genome editor therapies. Born from the pandemic, our platform provides a revolutionary new means of delivering genomic medicine to sites that are challenging, including the lungs, pancreas, and colon- enabling solutions to cystic fibrosis, and malignancies.</v>
      </c>
      <c r="G92" s="423" t="str">
        <f t="array" ref="G92">CONCATENATE(INDEX(Import!G:G,MATCH(C92,Import!C:C,0)),CHAR(10),INDEX(Import!I:I,MATCH(C92,Name,0)))</f>
        <v>Chris Mosher
4</v>
      </c>
      <c r="H92" s="424" t="str">
        <f t="array" ref="H92">INDEX(Import!H:H,MATCH(C92,Name,0))</f>
        <v>A platform to deliver gene therapies using a re-engineered SARS-CoV-2 VLP that can trigger an autoimmune response, or complete evade the immune system to deliver RNA- or CRISPR-based tech. Referred by Maria from MarPam Pharma (EFL Alumni). 2 provisional patents filed which they plan to convert to PCTs this month. One full-time founder, the others are part-time all physician-scientists. One prof. at Ohio State. Lead indication is cystic fibrosis, but this is platform tech. Early-stage, but great idea - will it work in COVID-vaccinated individuals?</v>
      </c>
      <c r="I92" s="423" t="str">
        <f t="array" ref="I92">CONCATENATE(INDEX(Import!J:J,MATCH(C92,Name,0)),CHAR(10),INDEX(Import!L:L,MATCH(C92,Name,0)))</f>
        <v>Parsa Amiri
4</v>
      </c>
      <c r="J92" s="424" t="str">
        <f t="array" ref="J92">INDEX(Import!K:K,MATCH(C92,Name,0))</f>
        <v>Referred by Maria Athanasiou, MarPam Pharma. Tech development and validation is in early stage and is 4-5 years away from Phase I. A non-infectious virus-like particle (VLP) delivery platform based on the SARS-CoV-2 nucleocapsid, ideal for delivery to secretory pulmonary epithelium, as well as malignant tissues.</v>
      </c>
      <c r="K92" s="423" t="str">
        <f t="array" aca="1" ref="K92" ca="1">CONCATENATE(INDEX('Form Import'!D:D,MATCH(A92,'Form Import'!F:F,0)),CHAR(10),INDEX('Form Import'!V:V,MATCH(A92,'Form Import'!F:F,0)))</f>
        <v>Nick Schmandt
5</v>
      </c>
      <c r="L92" s="424" t="str">
        <f t="array" aca="1" ref="L92" ca="1">INDEX('Form Import'!W:W,MATCH(A92,'Form Import'!F:F,0))</f>
        <v xml:space="preserve">Looks rock solid. The tech is definitely useful and has done very well in animal studies. It's not a drug, not going to have widely different outcomes in human trials. The team is academic but they are clearly successful at raising funds. </v>
      </c>
      <c r="M92" s="422"/>
      <c r="N92" s="422" t="str">
        <f t="array" aca="1" ref="N92" ca="1">INDEX('Form Import'!L:L,MATCH($A92,'Form Import'!$F:$F,0))</f>
        <v>Their animal results are promising. This is not likely to have complications in the jump to human studies, they are close to FDA approval.</v>
      </c>
      <c r="O92" s="422" t="str">
        <f t="array" aca="1" ref="O92" ca="1">INDEX('Form Import'!O:O,MATCH($A92,'Form Import'!$F:$F,0))</f>
        <v>They will likely get customers quickly once they have FDA approval.</v>
      </c>
      <c r="P92" s="422" t="str">
        <f t="array" aca="1" ref="P92" ca="1">INDEX('Form Import'!S:S,MATCH($A92,'Form Import'!$F:$F,0))</f>
        <v>They are academic heavy, but they are experienced.</v>
      </c>
      <c r="Q92" s="422"/>
      <c r="R92" s="422"/>
      <c r="S92" s="422" t="e">
        <f t="array" aca="1" ref="S92" ca="1">_xludf.TextJoin("; ",1,INDEX(Import!S:S,MATCH(C92,Name,0)))</f>
        <v>#NAME?</v>
      </c>
    </row>
    <row r="93" spans="1:19" ht="48">
      <c r="A93" s="425" t="s">
        <v>1914</v>
      </c>
      <c r="B93" s="426" t="str">
        <f t="array" aca="1" ref="B93" ca="1">CONCATENATE(TEXT(INDEX(query!A:A,MATCH(C93,query!B:B,0)),"M/DD/YYY"),CHAR(10),INDEX(query!E:E,MATCH(C93,query!B:B,0)))</f>
        <v>8/16/2022
Invite Next Year</v>
      </c>
      <c r="C93" s="427" t="s">
        <v>2948</v>
      </c>
      <c r="D93" s="428">
        <f t="array" ref="D93">INDEX(Import!D:D,MATCH(C93,Name,0))</f>
        <v>3.25</v>
      </c>
      <c r="E93" s="429">
        <f t="array" aca="1" ref="E93" ca="1">(INDEX(Import!I:I,MATCH(C93,Name,0))+INDEX(Import!L:L,MATCH(C93,Name,0))+INDEX('Form Import'!V:V,MATCH(A93,'Form Import'!F:F,0)))/3</f>
        <v>3.5</v>
      </c>
      <c r="F93" s="430" t="str">
        <f t="array" ref="F93">INDEX(Import!E:E,MATCH(C93,Name,0))</f>
        <v>Nat4Bio develops zero-residue and edible coatings to protect fruits and vegetables from spoilage and decay, providing packers a natural alternative that not only has the same level of effectiveness as chemicals, but that could also allow them to put a premium on the price of the produce.</v>
      </c>
      <c r="G93" s="431" t="str">
        <f t="array" ref="G93">CONCATENATE(INDEX(Import!G:G,MATCH(C93,Import!C:C,0)),CHAR(10),INDEX(Import!I:I,MATCH(C93,Name,0)))</f>
        <v>Khoa Ma
3.5</v>
      </c>
      <c r="H93" s="432" t="str">
        <f t="array" ref="H93">INDEX(Import!H:H,MATCH(C93,Name,0))</f>
        <v>zero-residue and edible coatings to protect fruits and vegetables from spoilage and decay
need to show it can scale and lower cost
what is the moat?</v>
      </c>
      <c r="I93" s="431" t="str">
        <f t="array" ref="I93">CONCATENATE(INDEX(Import!J:J,MATCH(C93,Name,0)),CHAR(10),INDEX(Import!L:L,MATCH(C93,Name,0)))</f>
        <v>Sriharsha Indupuru
3</v>
      </c>
      <c r="J93" s="432" t="str">
        <f t="array" ref="J93">INDEX(Import!K:K,MATCH(C93,Name,0))</f>
        <v>+Develops zero-residue and edible coatings to protect fruits and
vegetables
- No customers yet
+ use very low doses of antimicrobials</v>
      </c>
      <c r="K93" s="431" t="str">
        <f t="array" aca="1" ref="K93" ca="1">CONCATENATE(INDEX('Form Import'!D:D,MATCH(A93,'Form Import'!F:F,0)),CHAR(10),INDEX('Form Import'!V:V,MATCH(A93,'Form Import'!F:F,0)))</f>
        <v>John McDonald
4</v>
      </c>
      <c r="L93" s="432">
        <f t="array" aca="1" ref="L93" ca="1">INDEX('Form Import'!W:W,MATCH(A93,'Form Import'!F:F,0))</f>
        <v>0</v>
      </c>
      <c r="M93" s="430"/>
      <c r="N93" s="430">
        <f t="array" aca="1" ref="N93" ca="1">INDEX('Form Import'!L:L,MATCH($A93,'Form Import'!$F:$F,0))</f>
        <v>0</v>
      </c>
      <c r="O93" s="430">
        <f t="array" aca="1" ref="O93" ca="1">INDEX('Form Import'!O:O,MATCH($A93,'Form Import'!$F:$F,0))</f>
        <v>0</v>
      </c>
      <c r="P93" s="430">
        <f t="array" aca="1" ref="P93" ca="1">INDEX('Form Import'!S:S,MATCH($A93,'Form Import'!$F:$F,0))</f>
        <v>0</v>
      </c>
      <c r="Q93" s="430"/>
      <c r="R93" s="430"/>
      <c r="S93" s="430" t="e">
        <f t="array" aca="1" ref="S93" ca="1">_xludf.TextJoin("; ",1,INDEX(Import!S:S,MATCH(C93,Name,0)))</f>
        <v>#NAME?</v>
      </c>
    </row>
    <row r="94" spans="1:19" ht="72">
      <c r="A94" s="418" t="s">
        <v>1934</v>
      </c>
      <c r="B94" s="419" t="str">
        <f t="array" aca="1" ref="B94" ca="1">CONCATENATE(TEXT(INDEX(query!A:A,MATCH(C94,query!B:B,0)),"M/DD/YYY"),CHAR(10),INDEX(query!E:E,MATCH(C94,query!B:B,0)))</f>
        <v>8/16/2022
Invite Next Year</v>
      </c>
      <c r="C94" s="85" t="s">
        <v>8903</v>
      </c>
      <c r="D94" s="420">
        <f t="array" ref="D94">INDEX(Import!D:D,MATCH(C94,Name,0))</f>
        <v>1</v>
      </c>
      <c r="E94" s="421">
        <f t="array" aca="1" ref="E94" ca="1">(INDEX(Import!I:I,MATCH(C94,Name,0))+INDEX(Import!L:L,MATCH(C94,Name,0))+INDEX('Form Import'!V:V,MATCH(A94,'Form Import'!F:F,0)))/3</f>
        <v>2</v>
      </c>
      <c r="F94" s="422" t="str">
        <f t="array" ref="F94">INDEX(Import!E:E,MATCH(C94,Name,0))</f>
        <v>Ndal Biofilm Medical.
First drug is a new iteration of antibiotic to which bacteria cannot develop resistance.
Second drug is an antiviral drug, effective on Covid
Third drug an asthma therapy
Fourth drug, an antibacterial dressing</v>
      </c>
      <c r="G94" s="423" t="str">
        <f t="array" ref="G94">CONCATENATE(INDEX(Import!G:G,MATCH(C94,Import!C:C,0)),CHAR(10),INDEX(Import!I:I,MATCH(C94,Name,0)))</f>
        <v>Chris Mosher
1</v>
      </c>
      <c r="H94" s="424" t="str">
        <f t="array" ref="H94">INDEX(Import!H:H,MATCH(C94,Name,0))</f>
        <v>Sounds like alternative medicine? Can't tell. 
1) Iteration of antibiotic to which bacteria cannot develop resistance.
2) COVID-19 drug
3)Asthma therapy
4) Antibacterial dressing
Can't find any info on founders. Nothing in the deck.</v>
      </c>
      <c r="I94" s="423" t="str">
        <f t="array" ref="I94">CONCATENATE(INDEX(Import!J:J,MATCH(C94,Name,0)),CHAR(10),INDEX(Import!L:L,MATCH(C94,Name,0)))</f>
        <v>Tugba Oncu
1</v>
      </c>
      <c r="J94" s="424">
        <f t="array" ref="J94">INDEX(Import!K:K,MATCH(C94,Name,0))</f>
        <v>0</v>
      </c>
      <c r="K94" s="423" t="str">
        <f t="array" aca="1" ref="K94" ca="1">CONCATENATE(INDEX('Form Import'!D:D,MATCH(A94,'Form Import'!F:F,0)),CHAR(10),INDEX('Form Import'!V:V,MATCH(A94,'Form Import'!F:F,0)))</f>
        <v>John McDonald
4</v>
      </c>
      <c r="L94" s="424">
        <f t="array" aca="1" ref="L94" ca="1">INDEX('Form Import'!W:W,MATCH(A94,'Form Import'!F:F,0))</f>
        <v>0</v>
      </c>
      <c r="M94" s="422"/>
      <c r="N94" s="422">
        <f t="array" aca="1" ref="N94" ca="1">INDEX('Form Import'!L:L,MATCH($A94,'Form Import'!$F:$F,0))</f>
        <v>0</v>
      </c>
      <c r="O94" s="422">
        <f t="array" aca="1" ref="O94" ca="1">INDEX('Form Import'!O:O,MATCH($A94,'Form Import'!$F:$F,0))</f>
        <v>0</v>
      </c>
      <c r="P94" s="422">
        <f t="array" aca="1" ref="P94" ca="1">INDEX('Form Import'!S:S,MATCH($A94,'Form Import'!$F:$F,0))</f>
        <v>0</v>
      </c>
      <c r="Q94" s="422"/>
      <c r="R94" s="422"/>
      <c r="S94" s="422" t="e">
        <f t="array" aca="1" ref="S94" ca="1">_xludf.TextJoin("; ",1,INDEX(Import!S:S,MATCH(C94,Name,0)))</f>
        <v>#NAME?</v>
      </c>
    </row>
    <row r="95" spans="1:19" ht="48">
      <c r="A95" s="425" t="s">
        <v>13162</v>
      </c>
      <c r="B95" s="426" t="str">
        <f t="array" aca="1" ref="B95" ca="1">CONCATENATE(TEXT(INDEX(query!A:A,MATCH(C95,query!B:B,0)),"M/DD/YYY"),CHAR(10),INDEX(query!E:E,MATCH(C95,query!B:B,0)))</f>
        <v>8/16/2022
Invite Next Year</v>
      </c>
      <c r="C95" s="427" t="s">
        <v>5677</v>
      </c>
      <c r="D95" s="428">
        <f t="array" ref="D95">INDEX(Import!D:D,MATCH(C95,Name,0))</f>
        <v>3</v>
      </c>
      <c r="E95" s="429">
        <f t="array" aca="1" ref="E95" ca="1">(INDEX(Import!I:I,MATCH(C95,Name,0))+INDEX(Import!L:L,MATCH(C95,Name,0))+INDEX('Form Import'!V:V,MATCH(A95,'Form Import'!F:F,0)))/3</f>
        <v>2.6666666666666665</v>
      </c>
      <c r="F95" s="430" t="str">
        <f t="array" ref="F95">INDEX(Import!E:E,MATCH(C95,Name,0))</f>
        <v>NEATCap Medical- start-up providing advanced hearing protection for neonatal infants. NICUs, Transports &amp; MRs can be noisy and disrupt sleep. Infants sleep 18-22 hrs./day. Interruptions in sleep can cause impact on hearing loss, speech/language disorders and neurological deficits. Target market is global NICUs. Improved patient outcomes.</v>
      </c>
      <c r="G95" s="431" t="str">
        <f t="array" ref="G95">CONCATENATE(INDEX(Import!G:G,MATCH(C95,Import!C:C,0)),CHAR(10),INDEX(Import!I:I,MATCH(C95,Name,0)))</f>
        <v>Chris Mosher
3</v>
      </c>
      <c r="H95" s="432" t="str">
        <f t="array" ref="H95">INDEX(Import!H:H,MATCH(C95,Name,0))</f>
        <v>A device (headband + ear cups) that eliminates noises based on their frequency for infants to sleep. Useful in NICUs. Tech is not novel, but patent protected and clinically validated. $5k MRR.</v>
      </c>
      <c r="I95" s="431" t="str">
        <f t="array" ref="I95">CONCATENATE(INDEX(Import!J:J,MATCH(C95,Name,0)),CHAR(10),INDEX(Import!L:L,MATCH(C95,Name,0)))</f>
        <v>Parsa Amiri
3</v>
      </c>
      <c r="J95" s="432" t="str">
        <f t="array" ref="J95">INDEX(Import!K:K,MATCH(C95,Name,0))</f>
        <v>5k MRR. a device for eliminating mid-to-high frequency noises in infant environment to assure their sleep. It's a headband that has two transparent ear cups in different sizes. The design can be much improved. Most promising application is MRI. Single use device.</v>
      </c>
      <c r="K95" s="431" t="str">
        <f t="array" aca="1" ref="K95" ca="1">CONCATENATE(INDEX('Form Import'!D:D,MATCH(A95,'Form Import'!F:F,0)),CHAR(10),INDEX('Form Import'!V:V,MATCH(A95,'Form Import'!F:F,0)))</f>
        <v>Nick Schmandt
2</v>
      </c>
      <c r="L95" s="432" t="str">
        <f t="array" aca="1" ref="L95" ca="1">INDEX('Form Import'!W:W,MATCH(A95,'Form Import'!F:F,0))</f>
        <v>This is a very promising product, but they have no deck and no information about its validation. The amount of money they have so far is not enough to get the technology evaluated.</v>
      </c>
      <c r="M95" s="430"/>
      <c r="N95" s="430" t="str">
        <f t="array" aca="1" ref="N95" ca="1">INDEX('Form Import'!L:L,MATCH($A95,'Form Import'!$F:$F,0))</f>
        <v>They don't offer any information about whether their product is working or what validation they have done.</v>
      </c>
      <c r="O95" s="430" t="str">
        <f t="array" aca="1" ref="O95" ca="1">INDEX('Form Import'!O:O,MATCH($A95,'Form Import'!$F:$F,0))</f>
        <v>Large addressable market, but no customers yet.</v>
      </c>
      <c r="P95" s="430" t="str">
        <f t="array" aca="1" ref="P95" ca="1">INDEX('Form Import'!S:S,MATCH($A95,'Form Import'!$F:$F,0))</f>
        <v>Heavily academic, though more industry experience than some</v>
      </c>
      <c r="Q95" s="430"/>
      <c r="R95" s="430"/>
      <c r="S95" s="430" t="e">
        <f t="array" aca="1" ref="S95" ca="1">_xludf.TextJoin("; ",1,INDEX(Import!S:S,MATCH(C95,Name,0)))</f>
        <v>#NAME?</v>
      </c>
    </row>
    <row r="96" spans="1:19" ht="60">
      <c r="A96" s="418" t="s">
        <v>803</v>
      </c>
      <c r="B96" s="419" t="str">
        <f t="array" aca="1" ref="B96" ca="1">CONCATENATE(TEXT(INDEX(query!A:A,MATCH(C96,query!B:B,0)),"M/DD/YYY"),CHAR(10),INDEX(query!E:E,MATCH(C96,query!B:B,0)))</f>
        <v>8/16/2022
Invite Next Year</v>
      </c>
      <c r="C96" s="85" t="s">
        <v>6788</v>
      </c>
      <c r="D96" s="420">
        <f t="array" ref="D96">INDEX(Import!D:D,MATCH(C96,Name,0))</f>
        <v>2.25</v>
      </c>
      <c r="E96" s="421">
        <f t="array" aca="1" ref="E96" ca="1">(INDEX(Import!I:I,MATCH(C96,Name,0))+INDEX(Import!L:L,MATCH(C96,Name,0))+INDEX('Form Import'!V:V,MATCH(A96,'Form Import'!F:F,0)))/3</f>
        <v>2.8333333333333335</v>
      </c>
      <c r="F96" s="422" t="str">
        <f t="array" ref="F96">INDEX(Import!E:E,MATCH(C96,Name,0))</f>
        <v>Nebula Accounting provides micro-businesses and self-employed with an end-to-end financial management solution by leveraging machine/deep learning, AI OCR and robotic process automation.</v>
      </c>
      <c r="G96" s="423" t="str">
        <f t="array" ref="G96">CONCATENATE(INDEX(Import!G:G,MATCH(C96,Import!C:C,0)),CHAR(10),INDEX(Import!I:I,MATCH(C96,Name,0)))</f>
        <v>Mark Flynn
2</v>
      </c>
      <c r="H96" s="424" t="str">
        <f t="array" ref="H96">INDEX(Import!H:H,MATCH(C96,Name,0))</f>
        <v>While the number of potential customers is large, I think this solution will be difficult to scale; stage is MVP and seems to early for EFL</v>
      </c>
      <c r="I96" s="423" t="str">
        <f t="array" ref="I96">CONCATENATE(INDEX(Import!J:J,MATCH(C96,Name,0)),CHAR(10),INDEX(Import!L:L,MATCH(C96,Name,0)))</f>
        <v>Shubo (Gabriel) Xu
2.5</v>
      </c>
      <c r="J96" s="424" t="str">
        <f t="array" ref="J96">INDEX(Import!K:K,MATCH(C96,Name,0))</f>
        <v>+
1. good idea that seems to address a real problem
2. founder has experience in related field
-
1. tech side isn't so deep</v>
      </c>
      <c r="K96" s="423" t="str">
        <f t="array" aca="1" ref="K96" ca="1">CONCATENATE(INDEX('Form Import'!D:D,MATCH(A96,'Form Import'!F:F,0)),CHAR(10),INDEX('Form Import'!V:V,MATCH(A96,'Form Import'!F:F,0)))</f>
        <v>John McDonald
4</v>
      </c>
      <c r="L96" s="424">
        <f t="array" aca="1" ref="L96" ca="1">INDEX('Form Import'!W:W,MATCH(A96,'Form Import'!F:F,0))</f>
        <v>0</v>
      </c>
      <c r="M96" s="422"/>
      <c r="N96" s="422">
        <f t="array" aca="1" ref="N96" ca="1">INDEX('Form Import'!L:L,MATCH($A96,'Form Import'!$F:$F,0))</f>
        <v>0</v>
      </c>
      <c r="O96" s="422">
        <f t="array" aca="1" ref="O96" ca="1">INDEX('Form Import'!O:O,MATCH($A96,'Form Import'!$F:$F,0))</f>
        <v>0</v>
      </c>
      <c r="P96" s="422">
        <f t="array" aca="1" ref="P96" ca="1">INDEX('Form Import'!S:S,MATCH($A96,'Form Import'!$F:$F,0))</f>
        <v>0</v>
      </c>
      <c r="Q96" s="422"/>
      <c r="R96" s="422"/>
      <c r="S96" s="422" t="e">
        <f t="array" aca="1" ref="S96" ca="1">_xludf.TextJoin("; ",1,INDEX(Import!S:S,MATCH(C96,Name,0)))</f>
        <v>#NAME?</v>
      </c>
    </row>
    <row r="97" spans="1:19" ht="84">
      <c r="A97" s="425" t="s">
        <v>811</v>
      </c>
      <c r="B97" s="426" t="str">
        <f t="array" aca="1" ref="B97" ca="1">CONCATENATE(TEXT(INDEX(query!A:A,MATCH(C97,query!B:B,0)),"M/DD/YYY"),CHAR(10),INDEX(query!E:E,MATCH(C97,query!B:B,0)))</f>
        <v>8/16/2022
Revisit/ Cluster</v>
      </c>
      <c r="C97" s="427" t="s">
        <v>364</v>
      </c>
      <c r="D97" s="428">
        <f t="array" ref="D97">INDEX(Import!D:D,MATCH(C97,Name,0))</f>
        <v>3.75</v>
      </c>
      <c r="E97" s="429">
        <f t="array" aca="1" ref="E97" ca="1">(INDEX(Import!I:I,MATCH(C97,Name,0))+INDEX(Import!L:L,MATCH(C97,Name,0))+INDEX('Form Import'!V:V,MATCH(A97,'Form Import'!F:F,0)))/3</f>
        <v>3.5</v>
      </c>
      <c r="F97" s="430" t="str">
        <f t="array" ref="F97">INDEX(Import!E:E,MATCH(C97,Name,0))</f>
        <v>NemaGen Discoveries is an early phase biotech company focused on advancing therapies for patients suffering from allergic inflammation and mast cell-related diseases.</v>
      </c>
      <c r="G97" s="431" t="str">
        <f t="array" ref="G97">CONCATENATE(INDEX(Import!G:G,MATCH(C97,Import!C:C,0)),CHAR(10),INDEX(Import!I:I,MATCH(C97,Name,0)))</f>
        <v>Chris Mosher
3.5</v>
      </c>
      <c r="H97" s="432" t="str">
        <f t="array" ref="H97">INDEX(Import!H:H,MATCH(C97,Name,0))</f>
        <v>Tx to prevent flare-ups associated with mast cell diseases. The team identified an enzyme (Car1) that can be inhibited to prevent mast cell-mediated inflammation. Some animal and human cell data, published in Nature. Referred by Halla/Kayothera founders. Applied last year, but Rutgers Prof. was the only team member. He's still part-time, but hired a full time Brown PhD to be CEO. Got SBIR, but no deck link in this app - still too early.</v>
      </c>
      <c r="I97" s="431" t="str">
        <f t="array" ref="I97">CONCATENATE(INDEX(Import!J:J,MATCH(C97,Name,0)),CHAR(10),INDEX(Import!L:L,MATCH(C97,Name,0)))</f>
        <v>Tugba Oncu
4</v>
      </c>
      <c r="J97" s="432">
        <f t="array" ref="J97">INDEX(Import!K:K,MATCH(C97,Name,0))</f>
        <v>0</v>
      </c>
      <c r="K97" s="431" t="str">
        <f t="array" aca="1" ref="K97" ca="1">CONCATENATE(INDEX('Form Import'!D:D,MATCH(A97,'Form Import'!F:F,0)),CHAR(10),INDEX('Form Import'!V:V,MATCH(A97,'Form Import'!F:F,0)))</f>
        <v>Jason Yu
3</v>
      </c>
      <c r="L97" s="432" t="str">
        <f t="array" aca="1" ref="L97" ca="1">INDEX('Form Import'!W:W,MATCH(A97,'Form Import'!F:F,0))</f>
        <v>Concerned with licensing rights from IP developed by the founder at MIT.</v>
      </c>
      <c r="M97" s="430"/>
      <c r="N97" s="430" t="str">
        <f t="array" aca="1" ref="N97" ca="1">INDEX('Form Import'!L:L,MATCH($A97,'Form Import'!$F:$F,0))</f>
        <v>The technology is owned by MIT but developed by the founder of the startup; exclusive
licensing for Pharmor has already been discussed with the MIT TLO.</v>
      </c>
      <c r="O97" s="430" t="str">
        <f t="array" aca="1" ref="O97" ca="1">INDEX('Form Import'!O:O,MATCH($A97,'Form Import'!$F:$F,0))</f>
        <v>TAM- $180B total fertilizer market</v>
      </c>
      <c r="P97" s="430">
        <f t="array" aca="1" ref="P97" ca="1">INDEX('Form Import'!S:S,MATCH($A97,'Form Import'!$F:$F,0))</f>
        <v>0</v>
      </c>
      <c r="Q97" s="430"/>
      <c r="R97" s="430"/>
      <c r="S97" s="430" t="e">
        <f t="array" aca="1" ref="S97" ca="1">_xludf.TextJoin("; ",1,INDEX(Import!S:S,MATCH(C97,Name,0)))</f>
        <v>#NAME?</v>
      </c>
    </row>
    <row r="98" spans="1:19" ht="60">
      <c r="A98" s="418" t="s">
        <v>3104</v>
      </c>
      <c r="B98" s="419" t="str">
        <f t="array" aca="1" ref="B98" ca="1">CONCATENATE(TEXT(INDEX(query!A:A,MATCH(C98,query!B:B,0)),"M/DD/YYY"),CHAR(10),INDEX(query!E:E,MATCH(C98,query!B:B,0)))</f>
        <v>8/23/2022
Invite Next Year</v>
      </c>
      <c r="C98" s="85" t="s">
        <v>8910</v>
      </c>
      <c r="D98" s="420">
        <f t="array" ref="D98">INDEX(Import!D:D,MATCH(C98,Name,0))</f>
        <v>3.75</v>
      </c>
      <c r="E98" s="421">
        <f t="array" aca="1" ref="E98" ca="1">(INDEX(Import!I:I,MATCH(C98,Name,0))+INDEX(Import!L:L,MATCH(C98,Name,0))+INDEX('Form Import'!V:V,MATCH(A98,'Form Import'!F:F,0)))/3</f>
        <v>3.5</v>
      </c>
      <c r="F98" s="422">
        <f t="array" ref="F98">INDEX(Import!E:E,MATCH(C98,Name,0))</f>
        <v>0</v>
      </c>
      <c r="G98" s="423" t="str">
        <f t="array" ref="G98">CONCATENATE(INDEX(Import!G:G,MATCH(C98,Import!C:C,0)),CHAR(10),INDEX(Import!I:I,MATCH(C98,Name,0)))</f>
        <v>Larisa Kagermazova
3.5</v>
      </c>
      <c r="H98" s="424">
        <f t="array" ref="H98">INDEX(Import!H:H,MATCH(C98,Name,0))</f>
        <v>0</v>
      </c>
      <c r="I98" s="423" t="str">
        <f t="array" ref="I98">CONCATENATE(INDEX(Import!J:J,MATCH(C98,Name,0)),CHAR(10),INDEX(Import!L:L,MATCH(C98,Name,0)))</f>
        <v>Parsa Amiri
4</v>
      </c>
      <c r="J98" s="424" t="str">
        <f t="array" ref="J98">INDEX(Import!K:K,MATCH(C98,Name,0))</f>
        <v>An imaging platform for tracing NMDA brain receptor, which is a biomarker for Alzheimer, Parkinson's, and MS. Great, but part-time team. 0 funding. Too early. Want to know more about their validations and ongoing clinical studies. Also, I couldn't fully understand how their tech works.</v>
      </c>
      <c r="K98" s="423" t="str">
        <f t="array" aca="1" ref="K98" ca="1">CONCATENATE(INDEX('Form Import'!D:D,MATCH(A98,'Form Import'!F:F,0)),CHAR(10),INDEX('Form Import'!V:V,MATCH(A98,'Form Import'!F:F,0)))</f>
        <v>Jason Yu
3</v>
      </c>
      <c r="L98" s="424" t="str">
        <f t="array" aca="1" ref="L98" ca="1">INDEX('Form Import'!W:W,MATCH(A98,'Form Import'!F:F,0))</f>
        <v>The mass production will not be ready in the next 6 month. However, the biggest challenge is to meet the needed accuracy in the production of the unique film.</v>
      </c>
      <c r="M98" s="422"/>
      <c r="N98" s="422" t="str">
        <f t="array" aca="1" ref="N98" ca="1">INDEX('Form Import'!L:L,MATCH($A98,'Form Import'!$F:$F,0))</f>
        <v>iGlass is a passive element that substitutes the reading glasses without sacrificing the
displayed image resolution, no image processing is needed, and it doesn't depend on the user's eyeglass prescription.</v>
      </c>
      <c r="O98" s="422" t="str">
        <f t="array" aca="1" ref="O98" ca="1">INDEX('Form Import'!O:O,MATCH($A98,'Form Import'!$F:$F,0))</f>
        <v>With an estimated 1.8 billion people affected by presbyopia worldwide. TAM of
€30B.</v>
      </c>
      <c r="P98" s="422">
        <f t="array" aca="1" ref="P98" ca="1">INDEX('Form Import'!S:S,MATCH($A98,'Form Import'!$F:$F,0))</f>
        <v>0</v>
      </c>
      <c r="Q98" s="422"/>
      <c r="R98" s="422"/>
      <c r="S98" s="422" t="e">
        <f t="array" aca="1" ref="S98" ca="1">_xludf.TextJoin("; ",1,INDEX(Import!S:S,MATCH(C98,Name,0)))</f>
        <v>#NAME?</v>
      </c>
    </row>
    <row r="99" spans="1:19" ht="96">
      <c r="A99" s="425" t="s">
        <v>819</v>
      </c>
      <c r="B99" s="426" t="str">
        <f t="array" aca="1" ref="B99" ca="1">CONCATENATE(TEXT(INDEX(query!A:A,MATCH(C99,query!B:B,0)),"M/DD/YYY"),CHAR(10),INDEX(query!E:E,MATCH(C99,query!B:B,0)))</f>
        <v>8/11/2022
Invite Next Year</v>
      </c>
      <c r="C99" s="427" t="s">
        <v>8919</v>
      </c>
      <c r="D99" s="428">
        <f t="array" ref="D99">INDEX(Import!D:D,MATCH(C99,Name,0))</f>
        <v>1</v>
      </c>
      <c r="E99" s="429">
        <f t="array" aca="1" ref="E99" ca="1">(INDEX(Import!I:I,MATCH(C99,Name,0))+INDEX(Import!L:L,MATCH(C99,Name,0))+INDEX('Form Import'!V:V,MATCH(A99,'Form Import'!F:F,0)))/3</f>
        <v>1.6666666666666667</v>
      </c>
      <c r="F99" s="430" t="str">
        <f t="array" ref="F99">INDEX(Import!E:E,MATCH(C99,Name,0))</f>
        <v>Neo Xenia Biotech or nX Biotech specializes in the curation of real relationships. nX curates and develops a range of services, products, and solutions to optimize the natural mechanisms of human connectivity. nX?s intervention is foremost a conceptual one, implementing frameworks that are unique and dynamic to groups themselves.</v>
      </c>
      <c r="G99" s="431" t="str">
        <f t="array" ref="G99">CONCATENATE(INDEX(Import!G:G,MATCH(C99,Import!C:C,0)),CHAR(10),INDEX(Import!I:I,MATCH(C99,Name,0)))</f>
        <v>Larisa Kagermazova
1</v>
      </c>
      <c r="H99" s="432" t="str">
        <f t="array" ref="H99">INDEX(Import!H:H,MATCH(C99,Name,0))</f>
        <v>Very early stage, no product, no tech, no clarity</v>
      </c>
      <c r="I99" s="431" t="str">
        <f t="array" ref="I99">CONCATENATE(INDEX(Import!J:J,MATCH(C99,Name,0)),CHAR(10),INDEX(Import!L:L,MATCH(C99,Name,0)))</f>
        <v>Tugba Oncu
1</v>
      </c>
      <c r="J99" s="432" t="str">
        <f t="array" ref="J99">INDEX(Import!K:K,MATCH(C99,Name,0))</f>
        <v>Maybe invite next year?</v>
      </c>
      <c r="K99" s="431" t="str">
        <f t="array" aca="1" ref="K99" ca="1">CONCATENATE(INDEX('Form Import'!D:D,MATCH(A99,'Form Import'!F:F,0)),CHAR(10),INDEX('Form Import'!V:V,MATCH(A99,'Form Import'!F:F,0)))</f>
        <v>Nick Schmandt
3</v>
      </c>
      <c r="L99" s="432" t="str">
        <f t="array" aca="1" ref="L99" ca="1">INDEX('Form Import'!W:W,MATCH(A99,'Form Import'!F:F,0))</f>
        <v>This is such a great idea! I don't understand why more energy storage innovators don't just start building prototypes and profiting off the arbitrage. I wish I could rank them higher, but the major red flag here is the fact that they have raised zero funds. This means that someone is self-funding the prototype, and that is not sustainable. Also, I worry that they don't have the business knowledge to drive this product to market. I believe these guys have an amazing product, but without business acumen, that's worthless, hence the lower ranking.</v>
      </c>
      <c r="M99" s="430"/>
      <c r="N99" s="430" t="str">
        <f t="array" aca="1" ref="N99" ca="1">INDEX('Form Import'!L:L,MATCH($A99,'Form Import'!$F:$F,0))</f>
        <v>It would be nice to see data from the completed prototype</v>
      </c>
      <c r="O99" s="430" t="str">
        <f t="array" aca="1" ref="O99" ca="1">INDEX('Form Import'!O:O,MATCH($A99,'Form Import'!$F:$F,0))</f>
        <v>Massive addressable market</v>
      </c>
      <c r="P99" s="430" t="str">
        <f t="array" aca="1" ref="P99" ca="1">INDEX('Form Import'!S:S,MATCH($A99,'Form Import'!$F:$F,0))</f>
        <v>Great scientific expertise, not a lot of startup/business expertise</v>
      </c>
      <c r="Q99" s="430"/>
      <c r="R99" s="430"/>
      <c r="S99" s="430" t="e">
        <f t="array" aca="1" ref="S99" ca="1">_xludf.TextJoin("; ",1,INDEX(Import!S:S,MATCH(C99,Name,0)))</f>
        <v>#NAME?</v>
      </c>
    </row>
    <row r="100" spans="1:19" ht="84">
      <c r="A100" s="418" t="s">
        <v>1366</v>
      </c>
      <c r="B100" s="419" t="str">
        <f t="array" aca="1" ref="B100" ca="1">CONCATENATE(TEXT(INDEX(query!A:A,MATCH(C100,query!B:B,0)),"M/DD/YYY"),CHAR(10),INDEX(query!E:E,MATCH(C100,query!B:B,0)))</f>
        <v>8/23/2022
Invite Next Year</v>
      </c>
      <c r="C100" s="85" t="s">
        <v>8927</v>
      </c>
      <c r="D100" s="420">
        <f t="array" ref="D100">INDEX(Import!D:D,MATCH(C100,Name,0))</f>
        <v>3.5</v>
      </c>
      <c r="E100" s="421">
        <f t="array" aca="1" ref="E100" ca="1">(INDEX(Import!I:I,MATCH(C100,Name,0))+INDEX(Import!L:L,MATCH(C100,Name,0))+INDEX('Form Import'!V:V,MATCH(A100,'Form Import'!F:F,0)))/3</f>
        <v>3.6666666666666665</v>
      </c>
      <c r="F100" s="422" t="str">
        <f t="array" ref="F100">INDEX(Import!E:E,MATCH(C100,Name,0))</f>
        <v>Neomics is developing novel cell and DNA-based gene therapies to treat cancers and other genetic diseases.</v>
      </c>
      <c r="G100" s="423" t="str">
        <f t="array" ref="G100">CONCATENATE(INDEX(Import!G:G,MATCH(C100,Import!C:C,0)),CHAR(10),INDEX(Import!I:I,MATCH(C100,Name,0)))</f>
        <v>Chris Mosher
3.5</v>
      </c>
      <c r="H100" s="424" t="str">
        <f t="array" ref="H100">INDEX(Import!H:H,MATCH(C100,Name,0))</f>
        <v>Gene therapy innovations: 1) Third-generation chimeric co-stimulatory receptor technology for safer and efficacious CAR-T; 2) ICS T; 3) Scalable synthesis of GMP-grade mini-cDNA. Testing in vitro and in vivo for pharmacokinetics/dynamics. Two full-time founders - they are best friends and their sons are students at Stern. They have 1 prior startup and PhDs from Georgetown and USC. Patent applications filed but not granted.</v>
      </c>
      <c r="I100" s="423" t="str">
        <f t="array" ref="I100">CONCATENATE(INDEX(Import!J:J,MATCH(C100,Name,0)),CHAR(10),INDEX(Import!L:L,MATCH(C100,Name,0)))</f>
        <v>Parsa Amiri
3.5</v>
      </c>
      <c r="J100" s="424" t="str">
        <f t="array" ref="J100">INDEX(Import!K:K,MATCH(C100,Name,0))</f>
        <v>Pre-clinical stage. Two irrelevant innovation: third generation of CAR with an additional cytoplasmic domain to increase expression and efficacy of treatment. An approach for making GMP-grade mini-cDNA for DNA-based gene therapy. Science seems to be ground-breaking and able to be adopted in many applications, but there isn't any valuable data on validation and PoC is not complete yet. Only CAR tech is patented.</v>
      </c>
      <c r="K100" s="423" t="str">
        <f t="array" aca="1" ref="K100" ca="1">CONCATENATE(INDEX('Form Import'!D:D,MATCH(A100,'Form Import'!F:F,0)),CHAR(10),INDEX('Form Import'!V:V,MATCH(A100,'Form Import'!F:F,0)))</f>
        <v>Nick Schmandt
4</v>
      </c>
      <c r="L100" s="424" t="str">
        <f t="array" aca="1" ref="L100" ca="1">INDEX('Form Import'!W:W,MATCH(A100,'Form Import'!F:F,0))</f>
        <v>The strong point is their founder experience and revenues. I am not sure how easy it will be for them to grow beyond this, as the SaaS field is incredibly competitive. From the demo this seems to be a CRM-oriented software, which is also a very crowded space. But, they have gotten this far with strong revenue, but it remains to be seen if they can continue to grow.</v>
      </c>
      <c r="M100" s="422"/>
      <c r="N100" s="422" t="str">
        <f t="array" aca="1" ref="N100" ca="1">INDEX('Form Import'!L:L,MATCH($A100,'Form Import'!$F:$F,0))</f>
        <v>I'm sure it took a lot of effort to get this to where it is today. It depends on how the market responds to this particular flavor of coding-support software.</v>
      </c>
      <c r="O100" s="422" t="str">
        <f t="array" aca="1" ref="O100" ca="1">INDEX('Form Import'!O:O,MATCH($A100,'Form Import'!$F:$F,0))</f>
        <v>They appear to have several credible customers, but it will be challenging to bring in more.</v>
      </c>
      <c r="P100" s="422" t="str">
        <f t="array" aca="1" ref="P100" ca="1">INDEX('Form Import'!S:S,MATCH($A100,'Form Import'!$F:$F,0))</f>
        <v>The founder has a significant amount of startup experience.</v>
      </c>
      <c r="Q100" s="422"/>
      <c r="R100" s="422"/>
      <c r="S100" s="422" t="e">
        <f t="array" aca="1" ref="S100" ca="1">_xludf.TextJoin("; ",1,INDEX(Import!S:S,MATCH(C100,Name,0)))</f>
        <v>#NAME?</v>
      </c>
    </row>
    <row r="101" spans="1:19" ht="24">
      <c r="A101" s="425" t="s">
        <v>826</v>
      </c>
      <c r="B101" s="426" t="str">
        <f t="array" aca="1" ref="B101" ca="1">CONCATENATE(TEXT(INDEX(query!A:A,MATCH(C101,query!B:B,0)),"M/DD/YYY"),CHAR(10),INDEX(query!E:E,MATCH(C101,query!B:B,0)))</f>
        <v>8/09/2022
Invite Next Year</v>
      </c>
      <c r="C101" s="427" t="s">
        <v>7918</v>
      </c>
      <c r="D101" s="428">
        <f t="array" ref="D101">INDEX(Import!D:D,MATCH(C101,Name,0))</f>
        <v>1.5</v>
      </c>
      <c r="E101" s="429">
        <f t="array" aca="1" ref="E101" ca="1">(INDEX(Import!I:I,MATCH(C101,Name,0))+INDEX(Import!L:L,MATCH(C101,Name,0))+INDEX('Form Import'!V:V,MATCH(A101,'Form Import'!F:F,0)))/3</f>
        <v>2.6666666666666665</v>
      </c>
      <c r="F101" s="430" t="str">
        <f t="array" ref="F101">INDEX(Import!E:E,MATCH(C101,Name,0))</f>
        <v>Neon Wild is an inclusive next-generation storytelling platform for kids. Our patent-pending tech enables us to take any child anywhere in the world and turn them into a character in their favorite stories. We are tackling the lack of diversity, representation and inclusion in children's platforms.</v>
      </c>
      <c r="G101" s="431" t="str">
        <f t="array" ref="G101">CONCATENATE(INDEX(Import!G:G,MATCH(C101,Import!C:C,0)),CHAR(10),INDEX(Import!I:I,MATCH(C101,Name,0)))</f>
        <v>Mark Flynn
2</v>
      </c>
      <c r="H101" s="432" t="str">
        <f t="array" ref="H101">INDEX(Import!H:H,MATCH(C101,Name,0))</f>
        <v>Founders PT, company too early, tech likely not a fit for EFL</v>
      </c>
      <c r="I101" s="431" t="str">
        <f t="array" ref="I101">CONCATENATE(INDEX(Import!J:J,MATCH(C101,Name,0)),CHAR(10),INDEX(Import!L:L,MATCH(C101,Name,0)))</f>
        <v>Boyang Yu
1</v>
      </c>
      <c r="J101" s="432" t="str">
        <f t="array" ref="J101">INDEX(Import!K:K,MATCH(C101,Name,0))</f>
        <v>part-time cofunders</v>
      </c>
      <c r="K101" s="431" t="str">
        <f t="array" aca="1" ref="K101" ca="1">CONCATENATE(INDEX('Form Import'!D:D,MATCH(A101,'Form Import'!F:F,0)),CHAR(10),INDEX('Form Import'!V:V,MATCH(A101,'Form Import'!F:F,0)))</f>
        <v>John McDonald
5</v>
      </c>
      <c r="L101" s="432">
        <f t="array" aca="1" ref="L101" ca="1">INDEX('Form Import'!W:W,MATCH(A101,'Form Import'!F:F,0))</f>
        <v>0</v>
      </c>
      <c r="M101" s="430"/>
      <c r="N101" s="430">
        <f t="array" aca="1" ref="N101" ca="1">INDEX('Form Import'!L:L,MATCH($A101,'Form Import'!$F:$F,0))</f>
        <v>0</v>
      </c>
      <c r="O101" s="430">
        <f t="array" aca="1" ref="O101" ca="1">INDEX('Form Import'!O:O,MATCH($A101,'Form Import'!$F:$F,0))</f>
        <v>0</v>
      </c>
      <c r="P101" s="430">
        <f t="array" aca="1" ref="P101" ca="1">INDEX('Form Import'!S:S,MATCH($A101,'Form Import'!$F:$F,0))</f>
        <v>0</v>
      </c>
      <c r="Q101" s="430"/>
      <c r="R101" s="430"/>
      <c r="S101" s="430" t="e">
        <f t="array" aca="1" ref="S101" ca="1">_xludf.TextJoin("; ",1,INDEX(Import!S:S,MATCH(C101,Name,0)))</f>
        <v>#NAME?</v>
      </c>
    </row>
    <row r="102" spans="1:19" ht="36">
      <c r="A102" s="418" t="s">
        <v>835</v>
      </c>
      <c r="B102" s="419" t="str">
        <f t="array" aca="1" ref="B102" ca="1">CONCATENATE(TEXT(INDEX(query!A:A,MATCH(C102,query!B:B,0)),"M/DD/YYY"),CHAR(10),INDEX(query!E:E,MATCH(C102,query!B:B,0)))</f>
        <v>8/11/2022
Invite Next Year</v>
      </c>
      <c r="C102" s="85" t="s">
        <v>4341</v>
      </c>
      <c r="D102" s="420">
        <f t="array" ref="D102">INDEX(Import!D:D,MATCH(C102,Name,0))</f>
        <v>3.75</v>
      </c>
      <c r="E102" s="421">
        <f t="array" aca="1" ref="E102" ca="1">(INDEX(Import!I:I,MATCH(C102,Name,0))+INDEX(Import!L:L,MATCH(C102,Name,0))+INDEX('Form Import'!V:V,MATCH(A102,'Form Import'!F:F,0)))/3</f>
        <v>3.5</v>
      </c>
      <c r="F102" s="422" t="str">
        <f t="array" ref="F102">INDEX(Import!E:E,MATCH(C102,Name,0))</f>
        <v>Nerbio's innovation, based on state-of-the-art programmable microelectronics communicating with smart internet-connected devices, provides previously unavailable functionality and a disruptive new business model.</v>
      </c>
      <c r="G102" s="423" t="str">
        <f t="array" ref="G102">CONCATENATE(INDEX(Import!G:G,MATCH(C102,Import!C:C,0)),CHAR(10),INDEX(Import!I:I,MATCH(C102,Name,0)))</f>
        <v>Beth Xie
4</v>
      </c>
      <c r="H102" s="424" t="str">
        <f t="array" ref="H102">INDEX(Import!H:H,MATCH(C102,Name,0))</f>
        <v>- Extremely strong team and advisors.
- Could disrupt the competitors with new modular technology.
- Helping healthcare infrastructure prepare for the next pandemic.</v>
      </c>
      <c r="I102" s="423" t="str">
        <f t="array" ref="I102">CONCATENATE(INDEX(Import!J:J,MATCH(C102,Name,0)),CHAR(10),INDEX(Import!L:L,MATCH(C102,Name,0)))</f>
        <v>Shubo (Gabriel) Xu
3.5</v>
      </c>
      <c r="J102" s="424" t="str">
        <f t="array" ref="J102">INDEX(Import!K:K,MATCH(C102,Name,0))</f>
        <v>+
1. tech seems novel and advanced
2. good team setup</v>
      </c>
      <c r="K102" s="423" t="str">
        <f t="array" aca="1" ref="K102" ca="1">CONCATENATE(INDEX('Form Import'!D:D,MATCH(A102,'Form Import'!F:F,0)),CHAR(10),INDEX('Form Import'!V:V,MATCH(A102,'Form Import'!F:F,0)))</f>
        <v>John McDonald
3</v>
      </c>
      <c r="L102" s="424">
        <f t="array" aca="1" ref="L102" ca="1">INDEX('Form Import'!W:W,MATCH(A102,'Form Import'!F:F,0))</f>
        <v>0</v>
      </c>
      <c r="M102" s="422"/>
      <c r="N102" s="422">
        <f t="array" aca="1" ref="N102" ca="1">INDEX('Form Import'!L:L,MATCH($A102,'Form Import'!$F:$F,0))</f>
        <v>0</v>
      </c>
      <c r="O102" s="422">
        <f t="array" aca="1" ref="O102" ca="1">INDEX('Form Import'!O:O,MATCH($A102,'Form Import'!$F:$F,0))</f>
        <v>0</v>
      </c>
      <c r="P102" s="422">
        <f t="array" aca="1" ref="P102" ca="1">INDEX('Form Import'!S:S,MATCH($A102,'Form Import'!$F:$F,0))</f>
        <v>0</v>
      </c>
      <c r="Q102" s="422"/>
      <c r="R102" s="422"/>
      <c r="S102" s="422" t="e">
        <f t="array" aca="1" ref="S102" ca="1">_xludf.TextJoin("; ",1,INDEX(Import!S:S,MATCH(C102,Name,0)))</f>
        <v>#NAME?</v>
      </c>
    </row>
    <row r="103" spans="1:19" ht="28">
      <c r="A103" s="425" t="s">
        <v>1387</v>
      </c>
      <c r="B103" s="426" t="str">
        <f t="array" aca="1" ref="B103" ca="1">CONCATENATE(TEXT(INDEX(query!A:A,MATCH(C103,query!B:B,0)),"M/DD/YYY"),CHAR(10),INDEX(query!E:E,MATCH(C103,query!B:B,0)))</f>
        <v>8/03/2022
Invite Next Year</v>
      </c>
      <c r="C103" s="427" t="s">
        <v>2957</v>
      </c>
      <c r="D103" s="428">
        <f t="array" ref="D103">INDEX(Import!D:D,MATCH(C103,Name,0))</f>
        <v>2.75</v>
      </c>
      <c r="E103" s="429">
        <f t="array" aca="1" ref="E103" ca="1">(INDEX(Import!I:I,MATCH(C103,Name,0))+INDEX(Import!L:L,MATCH(C103,Name,0))+INDEX('Form Import'!V:V,MATCH(A103,'Form Import'!F:F,0)))/3</f>
        <v>2.8333333333333335</v>
      </c>
      <c r="F103" s="430">
        <f t="array" ref="F103">INDEX(Import!E:E,MATCH(C103,Name,0))</f>
        <v>0</v>
      </c>
      <c r="G103" s="431" t="str">
        <f t="array" ref="G103">CONCATENATE(INDEX(Import!G:G,MATCH(C103,Import!C:C,0)),CHAR(10),INDEX(Import!I:I,MATCH(C103,Name,0)))</f>
        <v>Khoa Ma
2.5</v>
      </c>
      <c r="H103" s="432">
        <f t="array" ref="H103">INDEX(Import!H:H,MATCH(C103,Name,0))</f>
        <v>0</v>
      </c>
      <c r="I103" s="431" t="str">
        <f t="array" ref="I103">CONCATENATE(INDEX(Import!J:J,MATCH(C103,Name,0)),CHAR(10),INDEX(Import!L:L,MATCH(C103,Name,0)))</f>
        <v>Yagnik Mehta
3</v>
      </c>
      <c r="J103" s="432" t="str">
        <f t="array" ref="J103">INDEX(Import!K:K,MATCH(C103,Name,0))</f>
        <v>1. Although the core tech is not novel, their implementation is new and has been tested and validated.</v>
      </c>
      <c r="K103" s="431" t="str">
        <f t="array" aca="1" ref="K103" ca="1">CONCATENATE(INDEX('Form Import'!D:D,MATCH(A103,'Form Import'!F:F,0)),CHAR(10),INDEX('Form Import'!V:V,MATCH(A103,'Form Import'!F:F,0)))</f>
        <v>John McDonald
3</v>
      </c>
      <c r="L103" s="432">
        <f t="array" aca="1" ref="L103" ca="1">INDEX('Form Import'!W:W,MATCH(A103,'Form Import'!F:F,0))</f>
        <v>0</v>
      </c>
      <c r="M103" s="430"/>
      <c r="N103" s="430">
        <f t="array" aca="1" ref="N103" ca="1">INDEX('Form Import'!L:L,MATCH($A103,'Form Import'!$F:$F,0))</f>
        <v>0</v>
      </c>
      <c r="O103" s="430">
        <f t="array" aca="1" ref="O103" ca="1">INDEX('Form Import'!O:O,MATCH($A103,'Form Import'!$F:$F,0))</f>
        <v>0</v>
      </c>
      <c r="P103" s="430">
        <f t="array" aca="1" ref="P103" ca="1">INDEX('Form Import'!S:S,MATCH($A103,'Form Import'!$F:$F,0))</f>
        <v>0</v>
      </c>
      <c r="Q103" s="430"/>
      <c r="R103" s="430"/>
      <c r="S103" s="430" t="e">
        <f t="array" aca="1" ref="S103" ca="1">_xludf.TextJoin("; ",1,INDEX(Import!S:S,MATCH(C103,Name,0)))</f>
        <v>#NAME?</v>
      </c>
    </row>
    <row r="104" spans="1:19" ht="24">
      <c r="A104" s="418" t="s">
        <v>9547</v>
      </c>
      <c r="B104" s="419" t="str">
        <f t="array" aca="1" ref="B104" ca="1">CONCATENATE(TEXT(INDEX(query!A:A,MATCH(C104,query!B:B,0)),"M/DD/YYY"),CHAR(10),INDEX(query!E:E,MATCH(C104,query!B:B,0)))</f>
        <v>8/16/2022
Invite</v>
      </c>
      <c r="C104" s="85" t="s">
        <v>220</v>
      </c>
      <c r="D104" s="420">
        <f t="array" ref="D104">INDEX(Import!D:D,MATCH(C104,Name,0))</f>
        <v>4</v>
      </c>
      <c r="E104" s="421">
        <f t="array" aca="1" ref="E104" ca="1">(INDEX(Import!I:I,MATCH(C104,Name,0))+INDEX(Import!L:L,MATCH(C104,Name,0))+INDEX('Form Import'!V:V,MATCH(A104,'Form Import'!F:F,0)))/3</f>
        <v>4</v>
      </c>
      <c r="F104" s="422" t="str">
        <f t="array" ref="F104">INDEX(Import!E:E,MATCH(C104,Name,0))</f>
        <v>NeuBio is a bio informatics platform designed to radically transforming the detection, management, and treatment of neurodegenerative diseases. The Company's IP portfolio of analytically validated biomarkers enable NeuBio to develop game-changing diagnostic and therapeutic solutions, including the first early diagnostics for these diseases.</v>
      </c>
      <c r="G104" s="423" t="str">
        <f t="array" ref="G104">CONCATENATE(INDEX(Import!G:G,MATCH(C104,Import!C:C,0)),CHAR(10),INDEX(Import!I:I,MATCH(C104,Name,0)))</f>
        <v>Beth Xie
4</v>
      </c>
      <c r="H104" s="424" t="str">
        <f t="array" ref="H104">INDEX(Import!H:H,MATCH(C104,Name,0))</f>
        <v>Team, Science and Market are all strong for this startup. 
Recommend for an interview.</v>
      </c>
      <c r="I104" s="423" t="str">
        <f t="array" ref="I104">CONCATENATE(INDEX(Import!J:J,MATCH(C104,Name,0)),CHAR(10),INDEX(Import!L:L,MATCH(C104,Name,0)))</f>
        <v>Matt Myers
4</v>
      </c>
      <c r="J104" s="424" t="str">
        <f t="array" ref="J104">INDEX(Import!K:K,MATCH(C104,Name,0))</f>
        <v>Disruptive tech shown to be effective in the realm of predicting early signs of neurodegenerative diseases.</v>
      </c>
      <c r="K104" s="423" t="str">
        <f t="array" aca="1" ref="K104" ca="1">CONCATENATE(INDEX('Form Import'!D:D,MATCH(A104,'Form Import'!F:F,0)),CHAR(10),INDEX('Form Import'!V:V,MATCH(A104,'Form Import'!F:F,0)))</f>
        <v>Jason Yu
4</v>
      </c>
      <c r="L104" s="424" t="str">
        <f t="array" aca="1" ref="L104" ca="1">INDEX('Form Import'!W:W,MATCH(A104,'Form Import'!F:F,0))</f>
        <v>Lack of fundraising and engineering bandwidth constraints.</v>
      </c>
      <c r="M104" s="422"/>
      <c r="N104" s="422" t="str">
        <f t="array" aca="1" ref="N104" ca="1">INDEX('Form Import'!L:L,MATCH($A104,'Form Import'!$F:$F,0))</f>
        <v xml:space="preserve">AI more effective in correcting human decisions than making them from scratch
</v>
      </c>
      <c r="O104" s="422" t="str">
        <f t="array" aca="1" ref="O104" ca="1">INDEX('Form Import'!O:O,MATCH($A104,'Form Import'!$F:$F,0))</f>
        <v>TAM: $5-10 B MRR of 17K USD</v>
      </c>
      <c r="P104" s="422" t="str">
        <f t="array" aca="1" ref="P104" ca="1">INDEX('Form Import'!S:S,MATCH($A104,'Form Import'!$F:$F,0))</f>
        <v>Experienced founder but no start up experience</v>
      </c>
      <c r="Q104" s="422"/>
      <c r="R104" s="422"/>
      <c r="S104" s="422" t="e">
        <f t="array" aca="1" ref="S104" ca="1">_xludf.TextJoin("; ",1,INDEX(Import!S:S,MATCH(C104,Name,0)))</f>
        <v>#NAME?</v>
      </c>
    </row>
    <row r="105" spans="1:19" ht="24">
      <c r="A105" s="425" t="s">
        <v>10060</v>
      </c>
      <c r="B105" s="426" t="str">
        <f t="array" aca="1" ref="B105" ca="1">CONCATENATE(TEXT(INDEX(query!A:A,MATCH(C105,query!B:B,0)),"M/DD/YYY"),CHAR(10),INDEX(query!E:E,MATCH(C105,query!B:B,0)))</f>
        <v>8/23/2022
Invite Next Year</v>
      </c>
      <c r="C105" s="427" t="s">
        <v>8935</v>
      </c>
      <c r="D105" s="428">
        <f t="array" ref="D105">INDEX(Import!D:D,MATCH(C105,Name,0))</f>
        <v>2</v>
      </c>
      <c r="E105" s="429">
        <f t="array" aca="1" ref="E105" ca="1">(INDEX(Import!I:I,MATCH(C105,Name,0))+INDEX(Import!L:L,MATCH(C105,Name,0))+INDEX('Form Import'!V:V,MATCH(A105,'Form Import'!F:F,0)))/3</f>
        <v>2.3333333333333335</v>
      </c>
      <c r="F105" s="430">
        <f t="array" ref="F105">INDEX(Import!E:E,MATCH(C105,Name,0))</f>
        <v>0</v>
      </c>
      <c r="G105" s="431" t="str">
        <f t="array" ref="G105">CONCATENATE(INDEX(Import!G:G,MATCH(C105,Import!C:C,0)),CHAR(10),INDEX(Import!I:I,MATCH(C105,Name,0)))</f>
        <v>Larisa Kagermazova
2</v>
      </c>
      <c r="H105" s="432" t="str">
        <f t="array" ref="H105">INDEX(Import!H:H,MATCH(C105,Name,0))</f>
        <v>NYU's Innovention Competition finalist (2022), finalist for NYU Tandon's Data Future Lab's Next Round Incubator (2022)</v>
      </c>
      <c r="I105" s="431" t="str">
        <f t="array" ref="I105">CONCATENATE(INDEX(Import!J:J,MATCH(C105,Name,0)),CHAR(10),INDEX(Import!L:L,MATCH(C105,Name,0)))</f>
        <v>Tugba Oncu
2</v>
      </c>
      <c r="J105" s="432">
        <f t="array" ref="J105">INDEX(Import!K:K,MATCH(C105,Name,0))</f>
        <v>0</v>
      </c>
      <c r="K105" s="431" t="str">
        <f t="array" aca="1" ref="K105" ca="1">CONCATENATE(INDEX('Form Import'!D:D,MATCH(A105,'Form Import'!F:F,0)),CHAR(10),INDEX('Form Import'!V:V,MATCH(A105,'Form Import'!F:F,0)))</f>
        <v>Jason Yu
3</v>
      </c>
      <c r="L105" s="432">
        <f t="array" aca="1" ref="L105" ca="1">INDEX('Form Import'!W:W,MATCH(A105,'Form Import'!F:F,0))</f>
        <v>0</v>
      </c>
      <c r="M105" s="430"/>
      <c r="N105" s="430" t="str">
        <f t="array" aca="1" ref="N105" ca="1">INDEX('Form Import'!L:L,MATCH($A105,'Form Import'!$F:$F,0))</f>
        <v>We are on the way to performing the first-ever flight of a self-burning rocket in the next 6 months.</v>
      </c>
      <c r="O105" s="430" t="str">
        <f t="array" aca="1" ref="O105" ca="1">INDEX('Form Import'!O:O,MATCH($A105,'Form Import'!$F:$F,0))</f>
        <v>The total small satellite orbital launch market is estimated to be $5B</v>
      </c>
      <c r="P105" s="430" t="str">
        <f t="array" aca="1" ref="P105" ca="1">INDEX('Form Import'!S:S,MATCH($A105,'Form Import'!$F:$F,0))</f>
        <v>Engineering and rocketry background</v>
      </c>
      <c r="Q105" s="430"/>
      <c r="R105" s="430"/>
      <c r="S105" s="430" t="e">
        <f t="array" aca="1" ref="S105" ca="1">_xludf.TextJoin("; ",1,INDEX(Import!S:S,MATCH(C105,Name,0)))</f>
        <v>#NAME?</v>
      </c>
    </row>
    <row r="106" spans="1:19" ht="72">
      <c r="A106" s="418" t="s">
        <v>9842</v>
      </c>
      <c r="B106" s="419" t="str">
        <f t="array" aca="1" ref="B106" ca="1">CONCATENATE(TEXT(INDEX(query!A:A,MATCH(C106,query!B:B,0)),"M/DD/YYY"),CHAR(10),INDEX(query!E:E,MATCH(C106,query!B:B,0)))</f>
        <v>8/18/2022
Invite Next Year</v>
      </c>
      <c r="C106" s="85" t="s">
        <v>5130</v>
      </c>
      <c r="D106" s="420">
        <f t="array" ref="D106">INDEX(Import!D:D,MATCH(C106,Name,0))</f>
        <v>3.25</v>
      </c>
      <c r="E106" s="421">
        <f t="array" aca="1" ref="E106" ca="1">(INDEX(Import!I:I,MATCH(C106,Name,0))+INDEX(Import!L:L,MATCH(C106,Name,0))+INDEX('Form Import'!V:V,MATCH(A106,'Form Import'!F:F,0)))/3</f>
        <v>3.5</v>
      </c>
      <c r="F106" s="422" t="str">
        <f t="array" ref="F106">INDEX(Import!E:E,MATCH(C106,Name,0))</f>
        <v>Neurometry is Gaming early diagnosis and management of patients with neurological disorders. Our mobile games remove literacy biases and target domains used in every day functions. Using our Integrated software, we aim to create a unique capability of real-time remote assessment and risk discovery without training. MCI is our first target.</v>
      </c>
      <c r="G106" s="423" t="str">
        <f t="array" ref="G106">CONCATENATE(INDEX(Import!G:G,MATCH(C106,Import!C:C,0)),CHAR(10),INDEX(Import!I:I,MATCH(C106,Name,0)))</f>
        <v>Deepak Hegde
3.5</v>
      </c>
      <c r="H106" s="424" t="str">
        <f t="array" ref="H106">INDEX(Import!H:H,MATCH(C106,Name,0))</f>
        <v>Gaming + Neurometry.  Not validated yet.  Seems more like an app than a real product -- WTP/TAM doesnt seem large.</v>
      </c>
      <c r="I106" s="423" t="str">
        <f t="array" ref="I106">CONCATENATE(INDEX(Import!J:J,MATCH(C106,Name,0)),CHAR(10),INDEX(Import!L:L,MATCH(C106,Name,0)))</f>
        <v>Matt Myers
3</v>
      </c>
      <c r="J106" s="424" t="str">
        <f t="array" ref="J106">INDEX(Import!K:K,MATCH(C106,Name,0))</f>
        <v>Increasingly crowded space. If product is intended for older populations (seems it mostly is), might be some trouble adapting to technology. Doesn't feel too novel (agreed--more like an app).</v>
      </c>
      <c r="K106" s="423" t="str">
        <f t="array" aca="1" ref="K106" ca="1">CONCATENATE(INDEX('Form Import'!D:D,MATCH(A106,'Form Import'!F:F,0)),CHAR(10),INDEX('Form Import'!V:V,MATCH(A106,'Form Import'!F:F,0)))</f>
        <v>Jason Yu
4</v>
      </c>
      <c r="L106" s="424" t="str">
        <f t="array" aca="1" ref="L106" ca="1">INDEX('Form Import'!W:W,MATCH(A106,'Form Import'!F:F,0))</f>
        <v>Since we're a biotech, we will not have a ""product"" in 6 months. However, our measure of
success in 6 months would be to successfully create the necessary array of antitumorigenic
mRNA molecules that we can take into preclinical studies in our collaboration with the National Cancer Institute.</v>
      </c>
      <c r="M106" s="422"/>
      <c r="N106" s="422" t="str">
        <f t="array" aca="1" ref="N106" ca="1">INDEX('Form Import'!L:L,MATCH($A106,'Form Import'!$F:$F,0))</f>
        <v>They have preclinical data to validate the technology.</v>
      </c>
      <c r="O106" s="422" t="str">
        <f t="array" aca="1" ref="O106" ca="1">INDEX('Form Import'!O:O,MATCH($A106,'Form Import'!$F:$F,0))</f>
        <v>Looking for a M&amp;A exit.</v>
      </c>
      <c r="P106" s="422">
        <f t="array" aca="1" ref="P106" ca="1">INDEX('Form Import'!S:S,MATCH($A106,'Form Import'!$F:$F,0))</f>
        <v>0</v>
      </c>
      <c r="Q106" s="422"/>
      <c r="R106" s="422"/>
      <c r="S106" s="422" t="e">
        <f t="array" aca="1" ref="S106" ca="1">_xludf.TextJoin("; ",1,INDEX(Import!S:S,MATCH(C106,Name,0)))</f>
        <v>#NAME?</v>
      </c>
    </row>
    <row r="107" spans="1:19" ht="84">
      <c r="A107" s="425" t="s">
        <v>13163</v>
      </c>
      <c r="B107" s="426" t="str">
        <f t="array" aca="1" ref="B107" ca="1">CONCATENATE(TEXT(INDEX(query!A:A,MATCH(C107,query!B:B,0)),"M/DD/YYY"),CHAR(10),INDEX(query!E:E,MATCH(C107,query!B:B,0)))</f>
        <v>8/18/2022
Invite Next Year</v>
      </c>
      <c r="C107" s="427" t="s">
        <v>8942</v>
      </c>
      <c r="D107" s="428">
        <f t="array" ref="D107">INDEX(Import!D:D,MATCH(C107,Name,0))</f>
        <v>3</v>
      </c>
      <c r="E107" s="429">
        <f t="array" aca="1" ref="E107" ca="1">(INDEX(Import!I:I,MATCH(C107,Name,0))+INDEX(Import!L:L,MATCH(C107,Name,0))+INDEX('Form Import'!V:V,MATCH(A107,'Form Import'!F:F,0)))/3</f>
        <v>3.3333333333333335</v>
      </c>
      <c r="F107" s="430" t="str">
        <f t="array" ref="F107">INDEX(Import!E:E,MATCH(C107,Name,0))</f>
        <v>Early-stage therapeutic company aiming to regenerate and re-connect neurons after spinal cord injury. It uses an injectable gel formulation with magnetically aligning nanoparticles to create a fiber scaffold in the injury site in order to stimulate and guide axonal regrowth.  Axons are like cables that connect neurons in the brain and spinal cord.</v>
      </c>
      <c r="G107" s="431" t="str">
        <f t="array" ref="G107">CONCATENATE(INDEX(Import!G:G,MATCH(C107,Import!C:C,0)),CHAR(10),INDEX(Import!I:I,MATCH(C107,Name,0)))</f>
        <v>Chris Mosher
3</v>
      </c>
      <c r="H107" s="432" t="str">
        <f t="array" ref="H107">INDEX(Import!H:H,MATCH(C107,Name,0))</f>
        <v>Neuronal regeneration for spinal cord injury using a biomaterial scaffold and electromagnetism. Demonstrated fiber formation in vitro, with toxicity studies using rat explants (still in vitro / ex vivo). Great idea, similar to Matricelf (EFL Alumni), but much earlier. Keep an eye on this company for the future. CEO has significant startup experience, selling his companies to top biotechs, but the entire team is part-time. Referred by an NYU Tandon Professor, Nathalie Pinkerton.</v>
      </c>
      <c r="I107" s="431" t="str">
        <f t="array" ref="I107">CONCATENATE(INDEX(Import!J:J,MATCH(C107,Name,0)),CHAR(10),INDEX(Import!L:L,MATCH(C107,Name,0)))</f>
        <v>Parsa Amiri
3</v>
      </c>
      <c r="J107" s="432" t="str">
        <f t="array" ref="J107">INDEX(Import!K:K,MATCH(C107,Name,0))</f>
        <v>Referred by Nathalie Pinkerton- a Tandon professor. Early stage moonshot idea. Part-time team. Trying to develop a self-assembly scaffold for guiding neural networks' growth in order to cure Spinal Cord Injury patients.</v>
      </c>
      <c r="K107" s="431" t="str">
        <f t="array" aca="1" ref="K107" ca="1">CONCATENATE(INDEX('Form Import'!D:D,MATCH(A107,'Form Import'!F:F,0)),CHAR(10),INDEX('Form Import'!V:V,MATCH(A107,'Form Import'!F:F,0)))</f>
        <v>Nick Schmandt
4</v>
      </c>
      <c r="L107" s="432" t="str">
        <f t="array" aca="1" ref="L107" ca="1">INDEX('Form Import'!W:W,MATCH(A107,'Form Import'!F:F,0))</f>
        <v>This looks like an amazing product. I think they are in a very competitive space, and there is not a huge differential between their competitors. Also, while they have great data so far, they don't seem to be making large inroads into clients. Some form of revenue would go a long way towards their tractability. But the product seems innovative and potentially disruptive.</v>
      </c>
      <c r="M107" s="430"/>
      <c r="N107" s="430" t="str">
        <f t="array" aca="1" ref="N107" ca="1">INDEX('Form Import'!L:L,MATCH($A107,'Form Import'!$F:$F,0))</f>
        <v>This technology is only slightly new and distinctive from competitors</v>
      </c>
      <c r="O107" s="430" t="str">
        <f t="array" aca="1" ref="O107" ca="1">INDEX('Form Import'!O:O,MATCH($A107,'Form Import'!$F:$F,0))</f>
        <v>It would be great to see paying revenue from the product, especially given the testing that had already been done.</v>
      </c>
      <c r="P107" s="430" t="str">
        <f t="array" aca="1" ref="P107" ca="1">INDEX('Form Import'!S:S,MATCH($A107,'Form Import'!$F:$F,0))</f>
        <v>No one has linked in profiles? I guess I just have to take their word that they are qualified. They do seem to have a lot of academics.</v>
      </c>
      <c r="Q107" s="430"/>
      <c r="R107" s="430"/>
      <c r="S107" s="430" t="e">
        <f t="array" aca="1" ref="S107" ca="1">_xludf.TextJoin("; ",1,INDEX(Import!S:S,MATCH(C107,Name,0)))</f>
        <v>#NAME?</v>
      </c>
    </row>
    <row r="108" spans="1:19" ht="28">
      <c r="A108" s="418" t="s">
        <v>1403</v>
      </c>
      <c r="B108" s="419" t="str">
        <f t="array" aca="1" ref="B108" ca="1">CONCATENATE(TEXT(INDEX(query!A:A,MATCH(C108,query!B:B,0)),"M/DD/YYY"),CHAR(10),INDEX(query!E:E,MATCH(C108,query!B:B,0)))</f>
        <v>8/11/2022
Invite Next Year</v>
      </c>
      <c r="C108" s="85" t="s">
        <v>8950</v>
      </c>
      <c r="D108" s="420">
        <f t="array" ref="D108">INDEX(Import!D:D,MATCH(C108,Name,0))</f>
        <v>0</v>
      </c>
      <c r="E108" s="421">
        <f t="array" aca="1" ref="E108" ca="1">(INDEX(Import!I:I,MATCH(C108,Name,0))+INDEX(Import!L:L,MATCH(C108,Name,0))+INDEX('Form Import'!V:V,MATCH(A108,'Form Import'!F:F,0)))/3</f>
        <v>1.3333333333333333</v>
      </c>
      <c r="F108" s="422" t="str">
        <f t="array" ref="F108">INDEX(Import!E:E,MATCH(C108,Name,0))</f>
        <v>start up developed a proof of concept prototype of a toilet that uses only one liter of water</v>
      </c>
      <c r="G108" s="423" t="str">
        <f t="array" ref="G108">CONCATENATE(INDEX(Import!G:G,MATCH(C108,Import!C:C,0)),CHAR(10),INDEX(Import!I:I,MATCH(C108,Name,0)))</f>
        <v>Chris Mosher
0</v>
      </c>
      <c r="H108" s="424" t="str">
        <f t="array" ref="H108">INDEX(Import!H:H,MATCH(C108,Name,0))</f>
        <v>Rude founder, tech isn't interesting, nothing impressive here.</v>
      </c>
      <c r="I108" s="423" t="str">
        <f t="array" ref="I108">CONCATENATE(INDEX(Import!J:J,MATCH(C108,Name,0)),CHAR(10),INDEX(Import!L:L,MATCH(C108,Name,0)))</f>
        <v>Khoa Ma
0</v>
      </c>
      <c r="J108" s="424">
        <f t="array" ref="J108">INDEX(Import!K:K,MATCH(C108,Name,0))</f>
        <v>0</v>
      </c>
      <c r="K108" s="423" t="str">
        <f t="array" aca="1" ref="K108" ca="1">CONCATENATE(INDEX('Form Import'!D:D,MATCH(A108,'Form Import'!F:F,0)),CHAR(10),INDEX('Form Import'!V:V,MATCH(A108,'Form Import'!F:F,0)))</f>
        <v>John McDonald
4</v>
      </c>
      <c r="L108" s="424">
        <f t="array" aca="1" ref="L108" ca="1">INDEX('Form Import'!W:W,MATCH(A108,'Form Import'!F:F,0))</f>
        <v>0</v>
      </c>
      <c r="M108" s="422"/>
      <c r="N108" s="422">
        <f t="array" aca="1" ref="N108" ca="1">INDEX('Form Import'!L:L,MATCH($A108,'Form Import'!$F:$F,0))</f>
        <v>0</v>
      </c>
      <c r="O108" s="422">
        <f t="array" aca="1" ref="O108" ca="1">INDEX('Form Import'!O:O,MATCH($A108,'Form Import'!$F:$F,0))</f>
        <v>0</v>
      </c>
      <c r="P108" s="422">
        <f t="array" aca="1" ref="P108" ca="1">INDEX('Form Import'!S:S,MATCH($A108,'Form Import'!$F:$F,0))</f>
        <v>0</v>
      </c>
      <c r="Q108" s="422"/>
      <c r="R108" s="422"/>
      <c r="S108" s="422" t="e">
        <f t="array" aca="1" ref="S108" ca="1">_xludf.TextJoin("; ",1,INDEX(Import!S:S,MATCH(C108,Name,0)))</f>
        <v>#NAME?</v>
      </c>
    </row>
    <row r="109" spans="1:19" ht="42">
      <c r="A109" s="425" t="s">
        <v>843</v>
      </c>
      <c r="B109" s="426" t="str">
        <f t="array" aca="1" ref="B109" ca="1">CONCATENATE(TEXT(INDEX(query!A:A,MATCH(C109,query!B:B,0)),"M/DD/YYY"),CHAR(10),INDEX(query!E:E,MATCH(C109,query!B:B,0)))</f>
        <v>8/23/2022
Invite Next Year</v>
      </c>
      <c r="C109" s="427" t="s">
        <v>8958</v>
      </c>
      <c r="D109" s="428">
        <f t="array" ref="D109">INDEX(Import!D:D,MATCH(C109,Name,0))</f>
        <v>1</v>
      </c>
      <c r="E109" s="429">
        <f t="array" aca="1" ref="E109" ca="1">(INDEX(Import!I:I,MATCH(C109,Name,0))+INDEX(Import!L:L,MATCH(C109,Name,0))+INDEX('Form Import'!V:V,MATCH(A109,'Form Import'!F:F,0)))/3</f>
        <v>2.3333333333333335</v>
      </c>
      <c r="F109" s="430" t="str">
        <f t="array" ref="F109">INDEX(Import!E:E,MATCH(C109,Name,0))</f>
        <v>Utilizing Blockchain for healthcare record system. we want to give people ownership of keep, monitor and track their medical data, Health organizations share data to blockchain, transactions are completed and uniquely identifiable, health organizations and institutions may directly query the blockchain, and than patients can share information later</v>
      </c>
      <c r="G109" s="431" t="str">
        <f t="array" ref="G109">CONCATENATE(INDEX(Import!G:G,MATCH(C109,Import!C:C,0)),CHAR(10),INDEX(Import!I:I,MATCH(C109,Name,0)))</f>
        <v>Chris Mosher
1</v>
      </c>
      <c r="H109" s="432" t="str">
        <f t="array" ref="H109">INDEX(Import!H:H,MATCH(C109,Name,0))</f>
        <v>Blockchain for patient access to their individual health records. Concept-stage with no funding yet. Not sure what the tech innovation is here outside of using blockchain. Team of NYU 2022 graduates.</v>
      </c>
      <c r="I109" s="431" t="str">
        <f t="array" ref="I109">CONCATENATE(INDEX(Import!J:J,MATCH(C109,Name,0)),CHAR(10),INDEX(Import!L:L,MATCH(C109,Name,0)))</f>
        <v>Parsa Amiri
1</v>
      </c>
      <c r="J109" s="432" t="str">
        <f t="array" ref="J109">INDEX(Import!K:K,MATCH(C109,Name,0))</f>
        <v>NYU 2022 graduates. Concept. Blockchain for patient health data. 0 funding.</v>
      </c>
      <c r="K109" s="431" t="str">
        <f t="array" aca="1" ref="K109" ca="1">CONCATENATE(INDEX('Form Import'!D:D,MATCH(A109,'Form Import'!F:F,0)),CHAR(10),INDEX('Form Import'!V:V,MATCH(A109,'Form Import'!F:F,0)))</f>
        <v>John McDonald
5</v>
      </c>
      <c r="L109" s="432" t="str">
        <f t="array" aca="1" ref="L109" ca="1">INDEX('Form Import'!W:W,MATCH(A109,'Form Import'!F:F,0))</f>
        <v>Had McKinsey consulting pro-bono support</v>
      </c>
      <c r="M109" s="430"/>
      <c r="N109" s="430">
        <f t="array" aca="1" ref="N109" ca="1">INDEX('Form Import'!L:L,MATCH($A109,'Form Import'!$F:$F,0))</f>
        <v>0</v>
      </c>
      <c r="O109" s="430">
        <f t="array" aca="1" ref="O109" ca="1">INDEX('Form Import'!O:O,MATCH($A109,'Form Import'!$F:$F,0))</f>
        <v>0</v>
      </c>
      <c r="P109" s="430">
        <f t="array" aca="1" ref="P109" ca="1">INDEX('Form Import'!S:S,MATCH($A109,'Form Import'!$F:$F,0))</f>
        <v>0</v>
      </c>
      <c r="Q109" s="430"/>
      <c r="R109" s="430"/>
      <c r="S109" s="430" t="e">
        <f t="array" aca="1" ref="S109" ca="1">_xludf.TextJoin("; ",1,INDEX(Import!S:S,MATCH(C109,Name,0)))</f>
        <v>#NAME?</v>
      </c>
    </row>
    <row r="110" spans="1:19" ht="60">
      <c r="A110" s="418" t="s">
        <v>1969</v>
      </c>
      <c r="B110" s="419" t="str">
        <f t="array" aca="1" ref="B110" ca="1">CONCATENATE(TEXT(INDEX(query!A:A,MATCH(C110,query!B:B,0)),"M/DD/YYY"),CHAR(10),INDEX(query!E:E,MATCH(C110,query!B:B,0)))</f>
        <v>8/16/2022
Invite Next Year</v>
      </c>
      <c r="C110" s="85" t="s">
        <v>5685</v>
      </c>
      <c r="D110" s="420">
        <f t="array" ref="D110">INDEX(Import!D:D,MATCH(C110,Name,0))</f>
        <v>3</v>
      </c>
      <c r="E110" s="421">
        <f t="array" aca="1" ref="E110" ca="1">(INDEX(Import!I:I,MATCH(C110,Name,0))+INDEX(Import!L:L,MATCH(C110,Name,0))+INDEX('Form Import'!V:V,MATCH(A110,'Form Import'!F:F,0)))/3</f>
        <v>3.3333333333333335</v>
      </c>
      <c r="F110" s="422" t="str">
        <f t="array" ref="F110">INDEX(Import!E:E,MATCH(C110,Name,0))</f>
        <v>DePro allows users to profile individuals, entities, and products using collective authentic information through blockchain to build trustable verified profiles in a decentralized form. In a short description, DePro is a verify to earn a platform to build instant organic trust over profiles.</v>
      </c>
      <c r="G110" s="423" t="str">
        <f t="array" ref="G110">CONCATENATE(INDEX(Import!G:G,MATCH(C110,Import!C:C,0)),CHAR(10),INDEX(Import!I:I,MATCH(C110,Name,0)))</f>
        <v>Beth Xie
3</v>
      </c>
      <c r="H110" s="424">
        <f t="array" ref="H110">INDEX(Import!H:H,MATCH(C110,Name,0))</f>
        <v>0</v>
      </c>
      <c r="I110" s="423" t="str">
        <f t="array" ref="I110">CONCATENATE(INDEX(Import!J:J,MATCH(C110,Name,0)),CHAR(10),INDEX(Import!L:L,MATCH(C110,Name,0)))</f>
        <v>Shubo (Gabriel) Xu
3</v>
      </c>
      <c r="J110" s="424" t="str">
        <f t="array" ref="J110">INDEX(Import!K:K,MATCH(C110,Name,0))</f>
        <v>+
1. interesting idea
2. strong technical talents in team
-
1. need more justification of the tech used</v>
      </c>
      <c r="K110" s="423" t="str">
        <f t="array" aca="1" ref="K110" ca="1">CONCATENATE(INDEX('Form Import'!D:D,MATCH(A110,'Form Import'!F:F,0)),CHAR(10),INDEX('Form Import'!V:V,MATCH(A110,'Form Import'!F:F,0)))</f>
        <v>John McDonald
4</v>
      </c>
      <c r="L110" s="424">
        <f t="array" aca="1" ref="L110" ca="1">INDEX('Form Import'!W:W,MATCH(A110,'Form Import'!F:F,0))</f>
        <v>0</v>
      </c>
      <c r="M110" s="422"/>
      <c r="N110" s="422">
        <f t="array" aca="1" ref="N110" ca="1">INDEX('Form Import'!L:L,MATCH($A110,'Form Import'!$F:$F,0))</f>
        <v>0</v>
      </c>
      <c r="O110" s="422">
        <f t="array" aca="1" ref="O110" ca="1">INDEX('Form Import'!O:O,MATCH($A110,'Form Import'!$F:$F,0))</f>
        <v>0</v>
      </c>
      <c r="P110" s="422">
        <f t="array" aca="1" ref="P110" ca="1">INDEX('Form Import'!S:S,MATCH($A110,'Form Import'!$F:$F,0))</f>
        <v>0</v>
      </c>
      <c r="Q110" s="422"/>
      <c r="R110" s="422"/>
      <c r="S110" s="422" t="e">
        <f t="array" aca="1" ref="S110" ca="1">_xludf.TextJoin("; ",1,INDEX(Import!S:S,MATCH(C110,Name,0)))</f>
        <v>#NAME?</v>
      </c>
    </row>
    <row r="111" spans="1:19" ht="84">
      <c r="A111" s="425" t="s">
        <v>3184</v>
      </c>
      <c r="B111" s="426" t="str">
        <f t="array" aca="1" ref="B111" ca="1">CONCATENATE(TEXT(INDEX(query!A:A,MATCH(C111,query!B:B,0)),"M/DD/YYY"),CHAR(10),INDEX(query!E:E,MATCH(C111,query!B:B,0)))</f>
        <v>8/16/2022
Special Reject</v>
      </c>
      <c r="C111" s="427" t="s">
        <v>9584</v>
      </c>
      <c r="D111" s="428">
        <f t="array" ref="D111">INDEX(Import!D:D,MATCH(C111,Name,0))</f>
        <v>3.25</v>
      </c>
      <c r="E111" s="429">
        <f t="array" aca="1" ref="E111" ca="1">(INDEX(Import!I:I,MATCH(C111,Name,0))+INDEX(Import!L:L,MATCH(C111,Name,0))+INDEX('Form Import'!V:V,MATCH(A111,'Form Import'!F:F,0)))/3</f>
        <v>3.1666666666666665</v>
      </c>
      <c r="F111" s="430" t="str">
        <f t="array" ref="F111">INDEX(Import!E:E,MATCH(C111,Name,0))</f>
        <v>Niura is developing audio headsets with electroencephalography (EEG) implementation to give access to better music recommendation along with providing access to monitoring of biometrics. Niura's larger mission is to make neural biometrics affordable and accessible for everyone for potential life-saving early detections of health abnormalities.</v>
      </c>
      <c r="G111" s="431" t="str">
        <f t="array" ref="G111">CONCATENATE(INDEX(Import!G:G,MATCH(C111,Import!C:C,0)),CHAR(10),INDEX(Import!I:I,MATCH(C111,Name,0)))</f>
        <v>Chris Mosher
3.5</v>
      </c>
      <c r="H111" s="432" t="str">
        <f t="array" ref="H111">INDEX(Import!H:H,MATCH(C111,Name,0))</f>
        <v>Deep tech. In-ear EEG delivered through wireless headphones to diagnose and monitor disease. Also monitoring mood state for music recommendations? They're building out an app with AI to track biometrics while listening to music, working out, etc. Prototyped, with an FDA IRB-approved study underway. Provisional patent apps. Part-time team out of NYU Tandon and NYIT. Special reject and reach out for next year once they get this off the ground?</v>
      </c>
      <c r="I111" s="431" t="str">
        <f t="array" ref="I111">CONCATENATE(INDEX(Import!J:J,MATCH(C111,Name,0)),CHAR(10),INDEX(Import!L:L,MATCH(C111,Name,0)))</f>
        <v>Larisa Kagermazova
3</v>
      </c>
      <c r="J111" s="432" t="str">
        <f t="array" ref="J111">INDEX(Import!K:K,MATCH(C111,Name,0))</f>
        <v>From the deck, it seems like they can determine a person's mood based on EEG? How?
The tech is not well explained. They are still running trials comparing their technology to the clinical grade EEG device. Need this data to make any decisions.</v>
      </c>
      <c r="K111" s="431" t="str">
        <f t="array" aca="1" ref="K111" ca="1">CONCATENATE(INDEX('Form Import'!D:D,MATCH(A111,'Form Import'!F:F,0)),CHAR(10),INDEX('Form Import'!V:V,MATCH(A111,'Form Import'!F:F,0)))</f>
        <v>Jason Yu
3</v>
      </c>
      <c r="L111" s="432" t="str">
        <f t="array" aca="1" ref="L111" ca="1">INDEX('Form Import'!W:W,MATCH(A111,'Form Import'!F:F,0))</f>
        <v>Regulatory approval in Chile, we need to invest in selling at scale. Still need to run pilots at hospitals and laboratories.</v>
      </c>
      <c r="M111" s="430"/>
      <c r="N111" s="430" t="str">
        <f t="array" aca="1" ref="N111" ca="1">INDEX('Form Import'!L:L,MATCH($A111,'Form Import'!$F:$F,0))</f>
        <v>Clinical study executed in Brazil</v>
      </c>
      <c r="O111" s="430" t="str">
        <f t="array" aca="1" ref="O111" ca="1">INDEX('Form Import'!O:O,MATCH($A111,'Form Import'!$F:$F,0))</f>
        <v>TAM - $111.7B - Global IVD market as of 2021|SAM - $43.5B</v>
      </c>
      <c r="P111" s="430" t="str">
        <f t="array" aca="1" ref="P111" ca="1">INDEX('Form Import'!S:S,MATCH($A111,'Form Import'!$F:$F,0))</f>
        <v>Founder experiences are in different fields</v>
      </c>
      <c r="Q111" s="430"/>
      <c r="R111" s="430"/>
      <c r="S111" s="430" t="e">
        <f t="array" aca="1" ref="S111" ca="1">_xludf.TextJoin("; ",1,INDEX(Import!S:S,MATCH(C111,Name,0)))</f>
        <v>#NAME?</v>
      </c>
    </row>
    <row r="112" spans="1:19" ht="24">
      <c r="A112" s="418" t="s">
        <v>9367</v>
      </c>
      <c r="B112" s="419" t="str">
        <f t="array" aca="1" ref="B112" ca="1">CONCATENATE(TEXT(INDEX(query!A:A,MATCH(C112,query!B:B,0)),"M/DD/YYY"),CHAR(10),INDEX(query!E:E,MATCH(C112,query!B:B,0)))</f>
        <v>8/09/2022
Revisit</v>
      </c>
      <c r="C112" s="85" t="s">
        <v>1327</v>
      </c>
      <c r="D112" s="420">
        <f t="array" ref="D112">INDEX(Import!D:D,MATCH(C112,Name,0))</f>
        <v>3.5</v>
      </c>
      <c r="E112" s="421">
        <f t="array" aca="1" ref="E112" ca="1">(INDEX(Import!I:I,MATCH(C112,Name,0))+INDEX(Import!L:L,MATCH(C112,Name,0))+INDEX('Form Import'!V:V,MATCH(A112,'Form Import'!F:F,0)))/3</f>
        <v>3.6666666666666665</v>
      </c>
      <c r="F112" s="422" t="str">
        <f t="array" ref="F112">INDEX(Import!E:E,MATCH(C112,Name,0))</f>
        <v>Nixtla is a deep learning startup that is building a disruptive forecasting platform for Data Scientists and Devs, so they can forecast at scale things such as e-commerce demand, electricity load forecasting, and quantitative finance applications. We are researching and developing state of the art algotihms to push the boundaries of time series</v>
      </c>
      <c r="G112" s="423" t="str">
        <f t="array" ref="G112">CONCATENATE(INDEX(Import!G:G,MATCH(C112,Import!C:C,0)),CHAR(10),INDEX(Import!I:I,MATCH(C112,Name,0)))</f>
        <v>Khoa Ma
3.5</v>
      </c>
      <c r="H112" s="424" t="str">
        <f t="array" ref="H112">INDEX(Import!H:H,MATCH(C112,Name,0))</f>
        <v>DiT startup
Need funding and more customers to prove tech can scale</v>
      </c>
      <c r="I112" s="423" t="str">
        <f t="array" ref="I112">CONCATENATE(INDEX(Import!J:J,MATCH(C112,Name,0)),CHAR(10),INDEX(Import!L:L,MATCH(C112,Name,0)))</f>
        <v>Sriharsha Indupuru
3.5</v>
      </c>
      <c r="J112" s="424" t="str">
        <f t="array" ref="J112">INDEX(Import!K:K,MATCH(C112,Name,0))</f>
        <v>Can be a good company to invest time and resources on as we see data industry is currently booming</v>
      </c>
      <c r="K112" s="423" t="str">
        <f t="array" aca="1" ref="K112" ca="1">CONCATENATE(INDEX('Form Import'!D:D,MATCH(A112,'Form Import'!F:F,0)),CHAR(10),INDEX('Form Import'!V:V,MATCH(A112,'Form Import'!F:F,0)))</f>
        <v>Jason Yu
4</v>
      </c>
      <c r="L112" s="424" t="str">
        <f t="array" aca="1" ref="L112" ca="1">INDEX('Form Import'!W:W,MATCH(A112,'Form Import'!F:F,0))</f>
        <v>Product is out in the market with a customer base.</v>
      </c>
      <c r="M112" s="422"/>
      <c r="N112" s="422" t="str">
        <f t="array" aca="1" ref="N112" ca="1">INDEX('Form Import'!L:L,MATCH($A112,'Form Import'!$F:$F,0))</f>
        <v>Underlying technology and innovation is unclear.</v>
      </c>
      <c r="O112" s="422" t="str">
        <f t="array" aca="1" ref="O112" ca="1">INDEX('Form Import'!O:O,MATCH($A112,'Form Import'!$F:$F,0))</f>
        <v>TAM in Building Inspection market = USD 19 Billion in 2021 Revenue in 2021 hit USD 832K.</v>
      </c>
      <c r="P112" s="422" t="str">
        <f t="array" aca="1" ref="P112" ca="1">INDEX('Form Import'!S:S,MATCH($A112,'Form Import'!$F:$F,0))</f>
        <v>Startup experience</v>
      </c>
      <c r="Q112" s="422"/>
      <c r="R112" s="422"/>
      <c r="S112" s="422" t="e">
        <f t="array" aca="1" ref="S112" ca="1">_xludf.TextJoin("; ",1,INDEX(Import!S:S,MATCH(C112,Name,0)))</f>
        <v>#NAME?</v>
      </c>
    </row>
    <row r="113" spans="1:19" ht="48">
      <c r="A113" s="425" t="s">
        <v>852</v>
      </c>
      <c r="B113" s="426" t="str">
        <f t="array" aca="1" ref="B113" ca="1">CONCATENATE(TEXT(INDEX(query!A:A,MATCH(C113,query!B:B,0)),"M/DD/YYY"),CHAR(10),INDEX(query!E:E,MATCH(C113,query!B:B,0)))</f>
        <v>8/09/2022
Invite Next Year</v>
      </c>
      <c r="C113" s="427" t="s">
        <v>6390</v>
      </c>
      <c r="D113" s="428">
        <f t="array" ref="D113">INDEX(Import!D:D,MATCH(C113,Name,0))</f>
        <v>2.5</v>
      </c>
      <c r="E113" s="429">
        <f t="array" aca="1" ref="E113" ca="1">(INDEX(Import!I:I,MATCH(C113,Name,0))+INDEX(Import!L:L,MATCH(C113,Name,0))+INDEX('Form Import'!V:V,MATCH(A113,'Form Import'!F:F,0)))/3</f>
        <v>3</v>
      </c>
      <c r="F113" s="430" t="str">
        <f t="array" ref="F113">INDEX(Import!E:E,MATCH(C113,Name,0))</f>
        <v>nmodes offers AI platform for smart onboarding and customer service.</v>
      </c>
      <c r="G113" s="431" t="str">
        <f t="array" ref="G113">CONCATENATE(INDEX(Import!G:G,MATCH(C113,Import!C:C,0)),CHAR(10),INDEX(Import!I:I,MATCH(C113,Name,0)))</f>
        <v>Mark Flynn
3</v>
      </c>
      <c r="H113" s="432" t="str">
        <f t="array" ref="H113">INDEX(Import!H:H,MATCH(C113,Name,0))</f>
        <v>Highly competitive space; technology doesn't seem to be 10x better than current offerings; founders seem like they have relevant background and experiences; company is very early and in this space I would want to see much more traction</v>
      </c>
      <c r="I113" s="431" t="str">
        <f t="array" ref="I113">CONCATENATE(INDEX(Import!J:J,MATCH(C113,Name,0)),CHAR(10),INDEX(Import!L:L,MATCH(C113,Name,0)))</f>
        <v>Shubo (Gabriel) Xu
2</v>
      </c>
      <c r="J113" s="432" t="str">
        <f t="array" ref="J113">INDEX(Import!K:K,MATCH(C113,Name,0))</f>
        <v>-
1. tech is not novel, and not clear where their edge is
2. team might not have the technical expertise to be leading figures in the field.</v>
      </c>
      <c r="K113" s="431" t="str">
        <f t="array" aca="1" ref="K113" ca="1">CONCATENATE(INDEX('Form Import'!D:D,MATCH(A113,'Form Import'!F:F,0)),CHAR(10),INDEX('Form Import'!V:V,MATCH(A113,'Form Import'!F:F,0)))</f>
        <v>Jason Yu
4</v>
      </c>
      <c r="L113" s="432" t="str">
        <f t="array" aca="1" ref="L113" ca="1">INDEX('Form Import'!W:W,MATCH(A113,'Form Import'!F:F,0))</f>
        <v>Has a Minimum Viable Product. Next milestones in 2023 and 2024 : certification, clinical studies and industrialization.</v>
      </c>
      <c r="M113" s="430"/>
      <c r="N113" s="430" t="str">
        <f t="array" aca="1" ref="N113" ca="1">INDEX('Form Import'!L:L,MATCH($A113,'Form Import'!$F:$F,0))</f>
        <v>Motorization is an electro-hydraulic mechatronical transmission and the assistive technology is AI based</v>
      </c>
      <c r="O113" s="430" t="str">
        <f t="array" aca="1" ref="O113" ca="1">INDEX('Form Import'!O:O,MATCH($A113,'Form Import'!$F:$F,0))</f>
        <v>This market is a blue ocean of $10 billion</v>
      </c>
      <c r="P113" s="430">
        <f t="array" aca="1" ref="P113" ca="1">INDEX('Form Import'!S:S,MATCH($A113,'Form Import'!$F:$F,0))</f>
        <v>0</v>
      </c>
      <c r="Q113" s="430"/>
      <c r="R113" s="430"/>
      <c r="S113" s="430" t="e">
        <f t="array" aca="1" ref="S113" ca="1">_xludf.TextJoin("; ",1,INDEX(Import!S:S,MATCH(C113,Name,0)))</f>
        <v>#NAME?</v>
      </c>
    </row>
    <row r="114" spans="1:19" ht="72">
      <c r="A114" s="418" t="s">
        <v>3992</v>
      </c>
      <c r="B114" s="419" t="str">
        <f t="array" aca="1" ref="B114" ca="1">CONCATENATE(TEXT(INDEX(query!A:A,MATCH(C114,query!B:B,0)),"M/DD/YYY"),CHAR(10),INDEX(query!E:E,MATCH(C114,query!B:B,0)))</f>
        <v>8/16/2022
Invite</v>
      </c>
      <c r="C114" s="85" t="s">
        <v>293</v>
      </c>
      <c r="D114" s="420">
        <f t="array" ref="D114">INDEX(Import!D:D,MATCH(C114,Name,0))</f>
        <v>3.63</v>
      </c>
      <c r="E114" s="421">
        <f t="array" aca="1" ref="E114" ca="1">(INDEX(Import!I:I,MATCH(C114,Name,0))+INDEX(Import!L:L,MATCH(C114,Name,0))+INDEX('Form Import'!V:V,MATCH(A114,'Form Import'!F:F,0)))/3</f>
        <v>3.75</v>
      </c>
      <c r="F114" s="422" t="str">
        <f t="array" ref="F114">INDEX(Import!E:E,MATCH(C114,Name,0))</f>
        <v>Noala is on a mission to make Speech and Language Therapy mainstream. We?ve built a platform that streamlines how Speech Therapists work so that they can exponentially increase their caseload, and truly make it accessible to the 10% of the population who suffers from some sort of communication disorders.</v>
      </c>
      <c r="G114" s="423" t="str">
        <f t="array" ref="G114">CONCATENATE(INDEX(Import!G:G,MATCH(C114,Import!C:C,0)),CHAR(10),INDEX(Import!I:I,MATCH(C114,Name,0)))</f>
        <v>Beth Xie
3.75</v>
      </c>
      <c r="H114" s="424" t="str">
        <f t="array" ref="H114">INDEX(Import!H:H,MATCH(C114,Name,0))</f>
        <v>- Need to understand how it is differentiating from competition. 
- Has the potential to generate vast amount of data on patient diagnosis and treatment progression. 
- Need to interview to see if this is an area. If so, there is great potential for an AI powered treatment supplementary tool. 
- Should interview this team.</v>
      </c>
      <c r="I114" s="423" t="str">
        <f t="array" ref="I114">CONCATENATE(INDEX(Import!J:J,MATCH(C114,Name,0)),CHAR(10),INDEX(Import!L:L,MATCH(C114,Name,0)))</f>
        <v>Matt Myers
3.5</v>
      </c>
      <c r="J114" s="424" t="str">
        <f t="array" ref="J114">INDEX(Import!K:K,MATCH(C114,Name,0))</f>
        <v>Potential for major impact, but concern about no plan to apply for patents. How will this tech be protected?</v>
      </c>
      <c r="K114" s="423" t="str">
        <f t="array" aca="1" ref="K114" ca="1">CONCATENATE(INDEX('Form Import'!D:D,MATCH(A114,'Form Import'!F:F,0)),CHAR(10),INDEX('Form Import'!V:V,MATCH(A114,'Form Import'!F:F,0)))</f>
        <v>John McDonald
4</v>
      </c>
      <c r="L114" s="424">
        <f t="array" aca="1" ref="L114" ca="1">INDEX('Form Import'!W:W,MATCH(A114,'Form Import'!F:F,0))</f>
        <v>0</v>
      </c>
      <c r="M114" s="422"/>
      <c r="N114" s="422">
        <f t="array" aca="1" ref="N114" ca="1">INDEX('Form Import'!L:L,MATCH($A114,'Form Import'!$F:$F,0))</f>
        <v>0</v>
      </c>
      <c r="O114" s="422">
        <f t="array" aca="1" ref="O114" ca="1">INDEX('Form Import'!O:O,MATCH($A114,'Form Import'!$F:$F,0))</f>
        <v>0</v>
      </c>
      <c r="P114" s="422">
        <f t="array" aca="1" ref="P114" ca="1">INDEX('Form Import'!S:S,MATCH($A114,'Form Import'!$F:$F,0))</f>
        <v>0</v>
      </c>
      <c r="Q114" s="422"/>
      <c r="R114" s="422"/>
      <c r="S114" s="422" t="e">
        <f t="array" aca="1" ref="S114" ca="1">_xludf.TextJoin("; ",1,INDEX(Import!S:S,MATCH(C114,Name,0)))</f>
        <v>#NAME?</v>
      </c>
    </row>
    <row r="115" spans="1:19" ht="108">
      <c r="A115" s="425" t="s">
        <v>9373</v>
      </c>
      <c r="B115" s="426" t="str">
        <f t="array" aca="1" ref="B115" ca="1">CONCATENATE(TEXT(INDEX(query!A:A,MATCH(C115,query!B:B,0)),"M/DD/YYY"),CHAR(10),INDEX(query!E:E,MATCH(C115,query!B:B,0)))</f>
        <v>8/03/2022
Invite Next Year</v>
      </c>
      <c r="C115" s="427" t="s">
        <v>5140</v>
      </c>
      <c r="D115" s="428">
        <f t="array" ref="D115">INDEX(Import!D:D,MATCH(C115,Name,0))</f>
        <v>3.25</v>
      </c>
      <c r="E115" s="429">
        <f t="array" aca="1" ref="E115" ca="1">(INDEX(Import!I:I,MATCH(C115,Name,0))+INDEX(Import!L:L,MATCH(C115,Name,0))+INDEX('Form Import'!V:V,MATCH(A115,'Form Import'!F:F,0)))/3</f>
        <v>3.1666666666666665</v>
      </c>
      <c r="F115" s="430" t="str">
        <f t="array" ref="F115">INDEX(Import!E:E,MATCH(C115,Name,0))</f>
        <v>Noktos is an Embedded-Finance Travel Tech, we smooth out price volatility, providing businesses with a fixed price for their accommodation and a one-stop shop (including financing) for their travel needs.</v>
      </c>
      <c r="G115" s="431" t="str">
        <f t="array" ref="G115">CONCATENATE(INDEX(Import!G:G,MATCH(C115,Import!C:C,0)),CHAR(10),INDEX(Import!I:I,MATCH(C115,Name,0)))</f>
        <v>Mark Flynn
3.5</v>
      </c>
      <c r="H115" s="432" t="str">
        <f t="array" ref="H115">INDEX(Import!H:H,MATCH(C115,Name,0))</f>
        <v>The company seems to be a futures market for booking hotels.  Their vision is for a future without dynamic pricing.  Dynamic pricing is typically a cornerstone of most pricing strategies.  Does a future?s market work for hotels at scale or would they become less profitable?  How do customers know that the price they pay for a "nokto" today is better than the price in the future?  During stressed times, how would Noktos manage?  They have traction in Mexico (1000+ pay customers, $260K monthly GMV), so they could be worth meeting.  I?m not sure of mentor interest in this type of startup.</v>
      </c>
      <c r="I115" s="431" t="str">
        <f t="array" ref="I115">CONCATENATE(INDEX(Import!J:J,MATCH(C115,Name,0)),CHAR(10),INDEX(Import!L:L,MATCH(C115,Name,0)))</f>
        <v>Boyang Yu
3</v>
      </c>
      <c r="J115" s="432">
        <f t="array" ref="J115">INDEX(Import!K:K,MATCH(C115,Name,0))</f>
        <v>0</v>
      </c>
      <c r="K115" s="431" t="str">
        <f t="array" aca="1" ref="K115" ca="1">CONCATENATE(INDEX('Form Import'!D:D,MATCH(A115,'Form Import'!F:F,0)),CHAR(10),INDEX('Form Import'!V:V,MATCH(A115,'Form Import'!F:F,0)))</f>
        <v>Jason Yu
3</v>
      </c>
      <c r="L115" s="432" t="str">
        <f t="array" aca="1" ref="L115" ca="1">INDEX('Form Import'!W:W,MATCH(A115,'Form Import'!F:F,0))</f>
        <v>Experienced team but the market is unclear.</v>
      </c>
      <c r="M115" s="430"/>
      <c r="N115" s="430" t="str">
        <f t="array" aca="1" ref="N115" ca="1">INDEX('Form Import'!L:L,MATCH($A115,'Form Import'!$F:$F,0))</f>
        <v xml:space="preserve">Prototype shown to insurance broker MGP who agreed to be paid client </v>
      </c>
      <c r="O115" s="430" t="str">
        <f t="array" aca="1" ref="O115" ca="1">INDEX('Form Import'!O:O,MATCH($A115,'Form Import'!$F:$F,0))</f>
        <v>$100k ARR|Two clients - MGP and OIL SOM: $50-100m ARR market is possible.</v>
      </c>
      <c r="P115" s="430">
        <f t="array" aca="1" ref="P115" ca="1">INDEX('Form Import'!S:S,MATCH($A115,'Form Import'!$F:$F,0))</f>
        <v>0</v>
      </c>
      <c r="Q115" s="430"/>
      <c r="R115" s="430"/>
      <c r="S115" s="430" t="e">
        <f t="array" aca="1" ref="S115" ca="1">_xludf.TextJoin("; ",1,INDEX(Import!S:S,MATCH(C115,Name,0)))</f>
        <v>#NAME?</v>
      </c>
    </row>
    <row r="116" spans="1:19" ht="72">
      <c r="A116" s="418" t="s">
        <v>861</v>
      </c>
      <c r="B116" s="419" t="str">
        <f t="array" aca="1" ref="B116" ca="1">CONCATENATE(TEXT(INDEX(query!A:A,MATCH(C116,query!B:B,0)),"M/DD/YYY"),CHAR(10),INDEX(query!E:E,MATCH(C116,query!B:B,0)))</f>
        <v>8/09/2022
Invite Next Year</v>
      </c>
      <c r="C116" s="85" t="s">
        <v>2965</v>
      </c>
      <c r="D116" s="420">
        <f t="array" ref="D116">INDEX(Import!D:D,MATCH(C116,Name,0))</f>
        <v>3.5</v>
      </c>
      <c r="E116" s="421">
        <f t="array" aca="1" ref="E116" ca="1">(INDEX(Import!I:I,MATCH(C116,Name,0))+INDEX(Import!L:L,MATCH(C116,Name,0))+INDEX('Form Import'!V:V,MATCH(A116,'Form Import'!F:F,0)))/3</f>
        <v>3.3333333333333335</v>
      </c>
      <c r="F116" s="422" t="str">
        <f t="array" ref="F116">INDEX(Import!E:E,MATCH(C116,Name,0))</f>
        <v>Nomi Materials produces a synthetic analog of snail mucus that is a cheap, pure and vegan alternative to the snail ingredient that formulation chemists already use or can use in skincare products. By adopting our material, formulation chemists can innovate with cruelty-free products with improved skin hydration and activity.</v>
      </c>
      <c r="G116" s="423" t="str">
        <f t="array" ref="G116">CONCATENATE(INDEX(Import!G:G,MATCH(C116,Import!C:C,0)),CHAR(10),INDEX(Import!I:I,MATCH(C116,Name,0)))</f>
        <v>Khoa Ma
3.5</v>
      </c>
      <c r="H116" s="424" t="str">
        <f t="array" ref="H116">INDEX(Import!H:H,MATCH(C116,Name,0))</f>
        <v>Women founders
A bit early and needs to prove the product and raise funds, no plans yet to raise</v>
      </c>
      <c r="I116" s="423" t="str">
        <f t="array" ref="I116">CONCATENATE(INDEX(Import!J:J,MATCH(C116,Name,0)),CHAR(10),INDEX(Import!L:L,MATCH(C116,Name,0)))</f>
        <v>Sriharsha Indupuru
3.5</v>
      </c>
      <c r="J116" s="424" t="str">
        <f t="array" ref="J116">INDEX(Import!K:K,MATCH(C116,Name,0))</f>
        <v>+Has the potential to capture good market size as there are no competitors in the segment other than traditional operators 
- Have a small team and also they are working part-time which can take a long time to develop 
- In need of funding as of now they don't have any funds for the product</v>
      </c>
      <c r="K116" s="423" t="str">
        <f t="array" aca="1" ref="K116" ca="1">CONCATENATE(INDEX('Form Import'!D:D,MATCH(A116,'Form Import'!F:F,0)),CHAR(10),INDEX('Form Import'!V:V,MATCH(A116,'Form Import'!F:F,0)))</f>
        <v>John McDonald
3</v>
      </c>
      <c r="L116" s="424">
        <f t="array" aca="1" ref="L116" ca="1">INDEX('Form Import'!W:W,MATCH(A116,'Form Import'!F:F,0))</f>
        <v>0</v>
      </c>
      <c r="M116" s="422"/>
      <c r="N116" s="422">
        <f t="array" aca="1" ref="N116" ca="1">INDEX('Form Import'!L:L,MATCH($A116,'Form Import'!$F:$F,0))</f>
        <v>0</v>
      </c>
      <c r="O116" s="422">
        <f t="array" aca="1" ref="O116" ca="1">INDEX('Form Import'!O:O,MATCH($A116,'Form Import'!$F:$F,0))</f>
        <v>0</v>
      </c>
      <c r="P116" s="422">
        <f t="array" aca="1" ref="P116" ca="1">INDEX('Form Import'!S:S,MATCH($A116,'Form Import'!$F:$F,0))</f>
        <v>0</v>
      </c>
      <c r="Q116" s="422"/>
      <c r="R116" s="422"/>
      <c r="S116" s="422" t="e">
        <f t="array" aca="1" ref="S116" ca="1">_xludf.TextJoin("; ",1,INDEX(Import!S:S,MATCH(C116,Name,0)))</f>
        <v>#NAME?</v>
      </c>
    </row>
    <row r="117" spans="1:19" ht="60">
      <c r="A117" s="425" t="s">
        <v>3241</v>
      </c>
      <c r="B117" s="426" t="str">
        <f t="array" aca="1" ref="B117" ca="1">CONCATENATE(TEXT(INDEX(query!A:A,MATCH(C117,query!B:B,0)),"M/DD/YYY"),CHAR(10),INDEX(query!E:E,MATCH(C117,query!B:B,0)))</f>
        <v>8/16/2022
Revisit</v>
      </c>
      <c r="C117" s="427" t="s">
        <v>111</v>
      </c>
      <c r="D117" s="428">
        <f t="array" ref="D117">INDEX(Import!D:D,MATCH(C117,Name,0))</f>
        <v>3.5</v>
      </c>
      <c r="E117" s="429">
        <f t="array" aca="1" ref="E117" ca="1">(INDEX(Import!I:I,MATCH(C117,Name,0))+INDEX(Import!L:L,MATCH(C117,Name,0))+INDEX('Form Import'!V:V,MATCH(A117,'Form Import'!F:F,0)))/3</f>
        <v>3.3333333333333335</v>
      </c>
      <c r="F117" s="430" t="str">
        <f t="array" ref="F117">INDEX(Import!E:E,MATCH(C117,Name,0))</f>
        <v>Nomitri turns cutting-edge research in the field of embedded visual Deep Learning AI into product-ready applications for retail and QCommerce. Our revolutionary embedded technology is a low CapEx, infrastructure-light and privacy-preserving solution to automate visual performances offline and in real time.</v>
      </c>
      <c r="G117" s="431" t="str">
        <f t="array" ref="G117">CONCATENATE(INDEX(Import!G:G,MATCH(C117,Import!C:C,0)),CHAR(10),INDEX(Import!I:I,MATCH(C117,Name,0)))</f>
        <v>Khoa Ma
3.5</v>
      </c>
      <c r="H117" s="432" t="str">
        <f t="array" ref="H117">INDEX(Import!H:H,MATCH(C117,Name,0))</f>
        <v>DiT
visual AI turns an edge device into a visually intelligent device
the first use case is smart grocery retailers
scans item sin cart for auto check out
https://www.caper.ai/ is already on the market</v>
      </c>
      <c r="I117" s="431" t="str">
        <f t="array" ref="I117">CONCATENATE(INDEX(Import!J:J,MATCH(C117,Name,0)),CHAR(10),INDEX(Import!L:L,MATCH(C117,Name,0)))</f>
        <v>Sriharsha Indupuru
3.5</v>
      </c>
      <c r="J117" s="432" t="str">
        <f t="array" ref="J117">INDEX(Import!K:K,MATCH(C117,Name,0))</f>
        <v>+AI based application product usage in grocery shopping 
+Raised 2.5m in seed round
+DL-based embedded visual AI turns an edge device (e.g. smartphone or camera) into a visually intelligent device
- Competitors have a working products in the market</v>
      </c>
      <c r="K117" s="431" t="str">
        <f t="array" aca="1" ref="K117" ca="1">CONCATENATE(INDEX('Form Import'!D:D,MATCH(A117,'Form Import'!F:F,0)),CHAR(10),INDEX('Form Import'!V:V,MATCH(A117,'Form Import'!F:F,0)))</f>
        <v>Jason Yu
3</v>
      </c>
      <c r="L117" s="432" t="str">
        <f t="array" aca="1" ref="L117" ca="1">INDEX('Form Import'!W:W,MATCH(A117,'Form Import'!F:F,0))</f>
        <v>Our primary customer segment, Quick Commerce, is facing massive headwinds in the current economic scenario. Therefore, their willingness to experiment/ adopt a disruptive technology is currently diminished.</v>
      </c>
      <c r="M117" s="430"/>
      <c r="N117" s="430" t="str">
        <f t="array" aca="1" ref="N117" ca="1">INDEX('Form Import'!L:L,MATCH($A117,'Form Import'!$F:$F,0))</f>
        <v>Sep/Oct 2022, our first robotic dark store will go live.</v>
      </c>
      <c r="O117" s="430" t="str">
        <f t="array" aca="1" ref="O117" ca="1">INDEX('Form Import'!O:O,MATCH($A117,'Form Import'!$F:$F,0))</f>
        <v>We have signed long term contracts with two of India's largest quick commerce players to
deploy a robotic dark store each for them. Combined ARR is USD 350K.</v>
      </c>
      <c r="P117" s="430" t="str">
        <f t="array" aca="1" ref="P117" ca="1">INDEX('Form Import'!S:S,MATCH($A117,'Form Import'!$F:$F,0))</f>
        <v xml:space="preserve">No startup experience </v>
      </c>
      <c r="Q117" s="430"/>
      <c r="R117" s="430"/>
      <c r="S117" s="430" t="e">
        <f t="array" aca="1" ref="S117" ca="1">_xludf.TextJoin("; ",1,INDEX(Import!S:S,MATCH(C117,Name,0)))</f>
        <v>#NAME?</v>
      </c>
    </row>
    <row r="118" spans="1:19" ht="36">
      <c r="A118" s="418" t="s">
        <v>3249</v>
      </c>
      <c r="B118" s="419" t="str">
        <f t="array" aca="1" ref="B118" ca="1">CONCATENATE(TEXT(INDEX(query!A:A,MATCH(C118,query!B:B,0)),"M/DD/YYY"),CHAR(10),INDEX(query!E:E,MATCH(C118,query!B:B,0)))</f>
        <v>8/11/2022
Invite Next Year</v>
      </c>
      <c r="C118" s="85" t="s">
        <v>2973</v>
      </c>
      <c r="D118" s="420">
        <f t="array" ref="D118">INDEX(Import!D:D,MATCH(C118,Name,0))</f>
        <v>3.25</v>
      </c>
      <c r="E118" s="421">
        <f t="array" aca="1" ref="E118" ca="1">(INDEX(Import!I:I,MATCH(C118,Name,0))+INDEX(Import!L:L,MATCH(C118,Name,0))+INDEX('Form Import'!V:V,MATCH(A118,'Form Import'!F:F,0)))/3</f>
        <v>2.8333333333333335</v>
      </c>
      <c r="F118" s="422" t="str">
        <f t="array" ref="F118">INDEX(Import!E:E,MATCH(C118,Name,0))</f>
        <v>Nordetect develops rapid testing and farm management solutions to solve crop health problems for indoor agriculture growers and agronomists, allowing them to increase their yield and decrease crop losses.</v>
      </c>
      <c r="G118" s="423" t="str">
        <f t="array" ref="G118">CONCATENATE(INDEX(Import!G:G,MATCH(C118,Import!C:C,0)),CHAR(10),INDEX(Import!I:I,MATCH(C118,Name,0)))</f>
        <v>Khoa Ma
3</v>
      </c>
      <c r="H118" s="424" t="str">
        <f t="array" ref="H118">INDEX(Import!H:H,MATCH(C118,Name,0))</f>
        <v>analyzer for multiple chemicals fluids used for agriculture
need to scale sales team</v>
      </c>
      <c r="I118" s="423" t="str">
        <f t="array" ref="I118">CONCATENATE(INDEX(Import!J:J,MATCH(C118,Name,0)),CHAR(10),INDEX(Import!L:L,MATCH(C118,Name,0)))</f>
        <v>Arthur Ibanda
3.5</v>
      </c>
      <c r="J118" s="424" t="str">
        <f t="array" ref="J118">INDEX(Import!K:K,MATCH(C118,Name,0))</f>
        <v>+Passionate and credible team
+Received lots of funding and won startup competitions 
-Small Serviceable Obtainable Market</v>
      </c>
      <c r="K118" s="423" t="str">
        <f t="array" aca="1" ref="K118" ca="1">CONCATENATE(INDEX('Form Import'!D:D,MATCH(A118,'Form Import'!F:F,0)),CHAR(10),INDEX('Form Import'!V:V,MATCH(A118,'Form Import'!F:F,0)))</f>
        <v>Jason Yu
2</v>
      </c>
      <c r="L118" s="424" t="str">
        <f t="array" aca="1" ref="L118" ca="1">INDEX('Form Import'!W:W,MATCH(A118,'Form Import'!F:F,0))</f>
        <v>Currently in the R&amp;D phase</v>
      </c>
      <c r="M118" s="422"/>
      <c r="N118" s="422" t="str">
        <f t="array" aca="1" ref="N118" ca="1">INDEX('Form Import'!L:L,MATCH($A118,'Form Import'!$F:$F,0))</f>
        <v>Minimum Viable Product we've accelerated the pace of building of the first engine prototype, to be completed by October 2022.</v>
      </c>
      <c r="O118" s="422" t="str">
        <f t="array" aca="1" ref="O118" ca="1">INDEX('Form Import'!O:O,MATCH($A118,'Form Import'!$F:$F,0))</f>
        <v>TAM = $19.7B, SAM=$592M, SOM=$118M Our revenue is primarily generated through small business innovative research (SBIR) federal grants.</v>
      </c>
      <c r="P118" s="422">
        <f t="array" aca="1" ref="P118" ca="1">INDEX('Form Import'!S:S,MATCH($A118,'Form Import'!$F:$F,0))</f>
        <v>0</v>
      </c>
      <c r="Q118" s="422"/>
      <c r="R118" s="422"/>
      <c r="S118" s="422" t="e">
        <f t="array" aca="1" ref="S118" ca="1">_xludf.TextJoin("; ",1,INDEX(Import!S:S,MATCH(C118,Name,0)))</f>
        <v>#NAME?</v>
      </c>
    </row>
    <row r="119" spans="1:19" ht="24">
      <c r="A119" s="425" t="s">
        <v>1443</v>
      </c>
      <c r="B119" s="426" t="str">
        <f t="array" aca="1" ref="B119" ca="1">CONCATENATE(TEXT(INDEX(query!A:A,MATCH(C119,query!B:B,0)),"M/DD/YYY"),CHAR(10),INDEX(query!E:E,MATCH(C119,query!B:B,0)))</f>
        <v>8/03/2022
Invite Next Year</v>
      </c>
      <c r="C119" s="427" t="s">
        <v>2982</v>
      </c>
      <c r="D119" s="428">
        <f t="array" ref="D119">INDEX(Import!D:D,MATCH(C119,Name,0))</f>
        <v>1.25</v>
      </c>
      <c r="E119" s="429">
        <f t="array" aca="1" ref="E119" ca="1">(INDEX(Import!I:I,MATCH(C119,Name,0))+INDEX(Import!L:L,MATCH(C119,Name,0))+INDEX('Form Import'!V:V,MATCH(A119,'Form Import'!F:F,0)))/3</f>
        <v>1.5</v>
      </c>
      <c r="F119" s="430" t="str">
        <f t="array" ref="F119">INDEX(Import!E:E,MATCH(C119,Name,0))</f>
        <v>We aim to apply bioinformatics and machine learning models to advance the field of medicine, generating optimized solutions for medication to a parameter of ailments provided by the patient, using the software as a service model to sell our digital service. We made our design entirely online to promote environmental awareness.</v>
      </c>
      <c r="G119" s="431" t="str">
        <f t="array" ref="G119">CONCATENATE(INDEX(Import!G:G,MATCH(C119,Import!C:C,0)),CHAR(10),INDEX(Import!I:I,MATCH(C119,Name,0)))</f>
        <v>Khoa Ma
2.5</v>
      </c>
      <c r="H119" s="432" t="str">
        <f t="array" ref="H119">INDEX(Import!H:H,MATCH(C119,Name,0))</f>
        <v>Too Early. Send to Berkley as this could be NYU spin-out.</v>
      </c>
      <c r="I119" s="431" t="str">
        <f t="array" ref="I119">CONCATENATE(INDEX(Import!J:J,MATCH(C119,Name,0)),CHAR(10),INDEX(Import!L:L,MATCH(C119,Name,0)))</f>
        <v>Yagnik Mehta
0</v>
      </c>
      <c r="J119" s="432" t="str">
        <f t="array" ref="J119">INDEX(Import!K:K,MATCH(C119,Name,0))</f>
        <v>Not Qualified</v>
      </c>
      <c r="K119" s="431" t="str">
        <f t="array" aca="1" ref="K119" ca="1">CONCATENATE(INDEX('Form Import'!D:D,MATCH(A119,'Form Import'!F:F,0)),CHAR(10),INDEX('Form Import'!V:V,MATCH(A119,'Form Import'!F:F,0)))</f>
        <v>John McDonald
2</v>
      </c>
      <c r="L119" s="432">
        <f t="array" aca="1" ref="L119" ca="1">INDEX('Form Import'!W:W,MATCH(A119,'Form Import'!F:F,0))</f>
        <v>0</v>
      </c>
      <c r="M119" s="430"/>
      <c r="N119" s="430">
        <f t="array" aca="1" ref="N119" ca="1">INDEX('Form Import'!L:L,MATCH($A119,'Form Import'!$F:$F,0))</f>
        <v>0</v>
      </c>
      <c r="O119" s="430">
        <f t="array" aca="1" ref="O119" ca="1">INDEX('Form Import'!O:O,MATCH($A119,'Form Import'!$F:$F,0))</f>
        <v>0</v>
      </c>
      <c r="P119" s="430">
        <f t="array" aca="1" ref="P119" ca="1">INDEX('Form Import'!S:S,MATCH($A119,'Form Import'!$F:$F,0))</f>
        <v>0</v>
      </c>
      <c r="Q119" s="430"/>
      <c r="R119" s="430"/>
      <c r="S119" s="430" t="e">
        <f t="array" aca="1" ref="S119" ca="1">_xludf.TextJoin("; ",1,INDEX(Import!S:S,MATCH(C119,Name,0)))</f>
        <v>#NAME?</v>
      </c>
    </row>
    <row r="120" spans="1:19" ht="84">
      <c r="A120" s="418" t="s">
        <v>10070</v>
      </c>
      <c r="B120" s="419" t="str">
        <f t="array" aca="1" ref="B120" ca="1">CONCATENATE(TEXT(INDEX(query!A:A,MATCH(C120,query!B:B,0)),"M/DD/YYY"),CHAR(10),INDEX(query!E:E,MATCH(C120,query!B:B,0)))</f>
        <v>8/11/2022
Invite</v>
      </c>
      <c r="C120" s="85" t="s">
        <v>103</v>
      </c>
      <c r="D120" s="420">
        <f t="array" ref="D120">INDEX(Import!D:D,MATCH(C120,Name,0))</f>
        <v>3.75</v>
      </c>
      <c r="E120" s="421">
        <f t="array" aca="1" ref="E120" ca="1">(INDEX(Import!I:I,MATCH(C120,Name,0))+INDEX(Import!L:L,MATCH(C120,Name,0))+INDEX('Form Import'!V:V,MATCH(A120,'Form Import'!F:F,0)))/3</f>
        <v>3.8333333333333335</v>
      </c>
      <c r="F120" s="422" t="str">
        <f t="array" ref="F120">INDEX(Import!E:E,MATCH(C120,Name,0))</f>
        <v>Novac develops shapeable all-solid-state supercaps to solve safety and space issues of state of the art supercaps for automotive, aerospace and smart mobility providing a safe energy storage system that does not require a redesign of the vehicle</v>
      </c>
      <c r="G120" s="423" t="str">
        <f t="array" ref="G120">CONCATENATE(INDEX(Import!G:G,MATCH(C120,Import!C:C,0)),CHAR(10),INDEX(Import!I:I,MATCH(C120,Name,0)))</f>
        <v>Khoa Ma
4</v>
      </c>
      <c r="H120" s="424" t="str">
        <f t="array" ref="H120">INDEX(Import!H:H,MATCH(C120,Name,0))</f>
        <v>shapeable all-solid-state supercaps
in the concept phase but has been tested in lab
need to show it works in the real world
good team</v>
      </c>
      <c r="I120" s="423" t="str">
        <f t="array" ref="I120">CONCATENATE(INDEX(Import!J:J,MATCH(C120,Name,0)),CHAR(10),INDEX(Import!L:L,MATCH(C120,Name,0)))</f>
        <v>Sriharsha Indupuru
3.5</v>
      </c>
      <c r="J120" s="424" t="str">
        <f t="array" ref="J120">INDEX(Import!K:K,MATCH(C120,Name,0))</f>
        <v>- Still in the concept phase 
+ Would be really interesting to see if this succeeds in developing the tech as I have seen in the industry when working as a design engineer how painful to design everything based on supercaps shape and size
- Came early to EFL?</v>
      </c>
      <c r="K120" s="423" t="str">
        <f t="array" aca="1" ref="K120" ca="1">CONCATENATE(INDEX('Form Import'!D:D,MATCH(A120,'Form Import'!F:F,0)),CHAR(10),INDEX('Form Import'!V:V,MATCH(A120,'Form Import'!F:F,0)))</f>
        <v>Jason Yu
4</v>
      </c>
      <c r="L120" s="424" t="str">
        <f t="array" aca="1" ref="L120" ca="1">INDEX('Form Import'!W:W,MATCH(A120,'Form Import'!F:F,0))</f>
        <v>There is only PET or nuclear-based metabolic assessment available today. This limits the
availability of the assessment in a timely manner due to logistics and radiation risk.|By using an already installed MRI scanner and our Oxy17Fusion medium we can do two things|1. Rapid assessment of the location and status of tissue status|2. Simultaneously provide the needed Oxygen to Oxygen starved tissue due to the episode</v>
      </c>
      <c r="M120" s="422"/>
      <c r="N120" s="422" t="str">
        <f t="array" aca="1" ref="N120" ca="1">INDEX('Form Import'!L:L,MATCH($A120,'Form Import'!$F:$F,0))</f>
        <v>About to begin their Clinical Development program.</v>
      </c>
      <c r="O120" s="422" t="str">
        <f t="array" aca="1" ref="O120" ca="1">INDEX('Form Import'!O:O,MATCH($A120,'Form Import'!$F:$F,0))</f>
        <v>Total Market (TM) [US-only] |A $1.1B opportunity |(+$550M undiagnosed)</v>
      </c>
      <c r="P120" s="422">
        <f t="array" aca="1" ref="P120" ca="1">INDEX('Form Import'!S:S,MATCH($A120,'Form Import'!$F:$F,0))</f>
        <v>0</v>
      </c>
      <c r="Q120" s="422"/>
      <c r="R120" s="422"/>
      <c r="S120" s="422" t="e">
        <f t="array" aca="1" ref="S120" ca="1">_xludf.TextJoin("; ",1,INDEX(Import!S:S,MATCH(C120,Name,0)))</f>
        <v>#NAME?</v>
      </c>
    </row>
    <row r="121" spans="1:19" ht="72">
      <c r="A121" s="425" t="s">
        <v>1452</v>
      </c>
      <c r="B121" s="426" t="str">
        <f t="array" aca="1" ref="B121" ca="1">CONCATENATE(TEXT(INDEX(query!A:A,MATCH(C121,query!B:B,0)),"M/DD/YYY"),CHAR(10),INDEX(query!E:E,MATCH(C121,query!B:B,0)))</f>
        <v>8/09/2022
Invite Next Year</v>
      </c>
      <c r="C121" s="427" t="s">
        <v>8966</v>
      </c>
      <c r="D121" s="428">
        <f t="array" ref="D121">INDEX(Import!D:D,MATCH(C121,Name,0))</f>
        <v>1</v>
      </c>
      <c r="E121" s="429">
        <f t="array" aca="1" ref="E121" ca="1">(INDEX(Import!I:I,MATCH(C121,Name,0))+INDEX(Import!L:L,MATCH(C121,Name,0))+INDEX('Form Import'!V:V,MATCH(A121,'Form Import'!F:F,0)))/3</f>
        <v>2</v>
      </c>
      <c r="F121" s="430" t="str">
        <f t="array" ref="F121">INDEX(Import!E:E,MATCH(C121,Name,0))</f>
        <v>Novamp Pharma Pack is a start-up working on advancing pharmaceutical packaging material, especially small volume injectables. Our packaging material eliminates safety issues associated with conventional packaging material in terms of sterility of medication packed in actual working conditions. The targeted customer is pharmaceutical companies.</v>
      </c>
      <c r="G121" s="431" t="str">
        <f t="array" ref="G121">CONCATENATE(INDEX(Import!G:G,MATCH(C121,Import!C:C,0)),CHAR(10),INDEX(Import!I:I,MATCH(C121,Name,0)))</f>
        <v>Chris Mosher
1</v>
      </c>
      <c r="H121" s="432">
        <f t="array" ref="H121">INDEX(Import!H:H,MATCH(C121,Name,0))</f>
        <v>0</v>
      </c>
      <c r="I121" s="431" t="str">
        <f t="array" ref="I121">CONCATENATE(INDEX(Import!J:J,MATCH(C121,Name,0)),CHAR(10),INDEX(Import!L:L,MATCH(C121,Name,0)))</f>
        <v>Tugba Oncu
1</v>
      </c>
      <c r="J121" s="432">
        <f t="array" ref="J121">INDEX(Import!K:K,MATCH(C121,Name,0))</f>
        <v>0</v>
      </c>
      <c r="K121" s="431" t="str">
        <f t="array" aca="1" ref="K121" ca="1">CONCATENATE(INDEX('Form Import'!D:D,MATCH(A121,'Form Import'!F:F,0)),CHAR(10),INDEX('Form Import'!V:V,MATCH(A121,'Form Import'!F:F,0)))</f>
        <v>Ahmed Bahgat
4</v>
      </c>
      <c r="L121" s="432" t="str">
        <f t="array" aca="1" ref="L121" ca="1">INDEX('Form Import'!W:W,MATCH(A121,'Form Import'!F:F,0))</f>
        <v xml:space="preserve">Aligned with the right mentor and students, I see we can provide valuable guidance to this business with regards to refining their SOM/SAM/TAM, catering their technology solution to dominate a sub-sector rather than being spread too thin as they are now, and offering depth and insights to developing a strong vision to help propel their growth. </v>
      </c>
      <c r="M121" s="430"/>
      <c r="N121" s="430" t="str">
        <f t="array" aca="1" ref="N121" ca="1">INDEX('Form Import'!L:L,MATCH($A121,'Form Import'!$F:$F,0))</f>
        <v xml:space="preserve">This technology solution is one of several sensor based imaging and monitoring solutions offered across industries. It is not clear how this technology solution is advantageous as compared to other offering same solutions to the same industries (like oil &amp; gas, mining, chemicals, etc). </v>
      </c>
      <c r="O121" s="430" t="str">
        <f t="array" aca="1" ref="O121" ca="1">INDEX('Form Import'!O:O,MATCH($A121,'Form Import'!$F:$F,0))</f>
        <v xml:space="preserve">The addressable market is not clearly defined. Products are tailored per client across numerous industries. Target market seems to be defined as US Gulf of Mexico which has companies (industries not specified, I am guessing they are referring to oil &amp; gas) that run into operational failures and frequent maintenance where this technology could be a potential solution.    </v>
      </c>
      <c r="P121" s="430" t="str">
        <f t="array" aca="1" ref="P121" ca="1">INDEX('Form Import'!S:S,MATCH($A121,'Form Import'!$F:$F,0))</f>
        <v xml:space="preserve">Strong team but vision is not clear and is inconsistent with product offering. Technology solution offered is designed for operational excellence (in many of the carbon emitting industries like oil &amp; gas and mining) and yet the vision is to make industrial processing sustainable. This vision would make more sense if their catering products only to sustainable industries such as renewables which is not the case here. </v>
      </c>
      <c r="Q121" s="430"/>
      <c r="R121" s="430"/>
      <c r="S121" s="430" t="e">
        <f t="array" aca="1" ref="S121" ca="1">_xludf.TextJoin("; ",1,INDEX(Import!S:S,MATCH(C121,Name,0)))</f>
        <v>#NAME?</v>
      </c>
    </row>
    <row r="122" spans="1:19" ht="60">
      <c r="A122" s="418" t="s">
        <v>5226</v>
      </c>
      <c r="B122" s="419" t="str">
        <f t="array" aca="1" ref="B122" ca="1">CONCATENATE(TEXT(INDEX(query!A:A,MATCH(C122,query!B:B,0)),"M/DD/YYY"),CHAR(10),INDEX(query!E:E,MATCH(C122,query!B:B,0)))</f>
        <v>8/18/2022
Invite Next Year</v>
      </c>
      <c r="C122" s="85" t="s">
        <v>8972</v>
      </c>
      <c r="D122" s="420">
        <f t="array" ref="D122">INDEX(Import!D:D,MATCH(C122,Name,0))</f>
        <v>3.25</v>
      </c>
      <c r="E122" s="421">
        <f t="array" aca="1" ref="E122" ca="1">(INDEX(Import!I:I,MATCH(C122,Name,0))+INDEX(Import!L:L,MATCH(C122,Name,0))+INDEX('Form Import'!V:V,MATCH(A122,'Form Import'!F:F,0)))/3</f>
        <v>3.1666666666666665</v>
      </c>
      <c r="F122" s="422" t="str">
        <f t="array" ref="F122">INDEX(Import!E:E,MATCH(C122,Name,0))</f>
        <v>Novel Farms use cost-efficient and scalable proprietary scaffolding technology to produce whole cuts of cultivated meat for the next generation of environmentally-conscious eaters.</v>
      </c>
      <c r="G122" s="423" t="str">
        <f t="array" ref="G122">CONCATENATE(INDEX(Import!G:G,MATCH(C122,Import!C:C,0)),CHAR(10),INDEX(Import!I:I,MATCH(C122,Name,0)))</f>
        <v>Chris Mosher
3</v>
      </c>
      <c r="H122" s="424" t="str">
        <f t="array" ref="H122">INDEX(Import!H:H,MATCH(C122,Name,0))</f>
        <v>Deep Tech. Cell-based whole cut meats built with biomaterial scaffolds without the need for growth factors in the media. They do not describe their scaffold in any detail. Produced prototypes using different animal cells (murine, chicken, quail, and pork). PhDs who met during their post-docs at UC Berkeley. Seems too early.</v>
      </c>
      <c r="I122" s="423" t="str">
        <f t="array" ref="I122">CONCATENATE(INDEX(Import!J:J,MATCH(C122,Name,0)),CHAR(10),INDEX(Import!L:L,MATCH(C122,Name,0)))</f>
        <v>Larisa Kagermazova
3.5</v>
      </c>
      <c r="J122" s="424" t="str">
        <f t="array" ref="J122">INDEX(Import!K:K,MATCH(C122,Name,0))</f>
        <v>Seems like their advantage is in cutting the costs production. They also claim that they made structured prototypes of different types of meat but I didn't see any data and I am not sure how close they are actually to making the meat muscle.</v>
      </c>
      <c r="K122" s="423" t="str">
        <f t="array" aca="1" ref="K122" ca="1">CONCATENATE(INDEX('Form Import'!D:D,MATCH(A122,'Form Import'!F:F,0)),CHAR(10),INDEX('Form Import'!V:V,MATCH(A122,'Form Import'!F:F,0)))</f>
        <v>Ahmed Bahgat
3</v>
      </c>
      <c r="L122" s="424" t="str">
        <f t="array" aca="1" ref="L122" ca="1">INDEX('Form Import'!W:W,MATCH(A122,'Form Import'!F:F,0))</f>
        <v xml:space="preserve">Decent AI powered solution for specific use case, but needs a lot of guidance in developing a business model and understanding market. </v>
      </c>
      <c r="M122" s="422"/>
      <c r="N122" s="422" t="str">
        <f t="array" aca="1" ref="N122" ca="1">INDEX('Form Import'!L:L,MATCH($A122,'Form Import'!$F:$F,0))</f>
        <v>Technology solution existed (NLP/NLU/NLG), but use case for it might be new.</v>
      </c>
      <c r="O122" s="422" t="str">
        <f t="array" aca="1" ref="O122" ca="1">INDEX('Form Import'!O:O,MATCH($A122,'Form Import'!$F:$F,0))</f>
        <v>Market is not defined except Salesforce users which seems very broad. Solution can be potentially used industries, but its not clear who needs it the most.</v>
      </c>
      <c r="P122" s="422" t="str">
        <f t="array" aca="1" ref="P122" ca="1">INDEX('Form Import'!S:S,MATCH($A122,'Form Import'!$F:$F,0))</f>
        <v>Ambitious vision to be a solution provider to enterprise systems but I cannot tell if there is a clear business model here.</v>
      </c>
      <c r="Q122" s="422"/>
      <c r="R122" s="422"/>
      <c r="S122" s="422" t="e">
        <f t="array" aca="1" ref="S122" ca="1">_xludf.TextJoin("; ",1,INDEX(Import!S:S,MATCH(C122,Name,0)))</f>
        <v>#NAME?</v>
      </c>
    </row>
    <row r="123" spans="1:19" ht="84">
      <c r="A123" s="425" t="s">
        <v>4855</v>
      </c>
      <c r="B123" s="426" t="str">
        <f t="array" aca="1" ref="B123" ca="1">CONCATENATE(TEXT(INDEX(query!A:A,MATCH(C123,query!B:B,0)),"M/DD/YYY"),CHAR(10),INDEX(query!E:E,MATCH(C123,query!B:B,0)))</f>
        <v>8/23/2022
Invite</v>
      </c>
      <c r="C123" s="427" t="s">
        <v>104</v>
      </c>
      <c r="D123" s="428">
        <f t="array" ref="D123">INDEX(Import!D:D,MATCH(C123,Name,0))</f>
        <v>4.5</v>
      </c>
      <c r="E123" s="429">
        <f t="array" aca="1" ref="E123" ca="1">(INDEX(Import!I:I,MATCH(C123,Name,0))+INDEX(Import!L:L,MATCH(C123,Name,0))+INDEX('Form Import'!V:V,MATCH(A123,'Form Import'!F:F,0)))/3</f>
        <v>3.6666666666666665</v>
      </c>
      <c r="F123" s="430">
        <f t="array" ref="F123">INDEX(Import!E:E,MATCH(C123,Name,0))</f>
        <v>0</v>
      </c>
      <c r="G123" s="431" t="str">
        <f t="array" ref="G123">CONCATENATE(INDEX(Import!G:G,MATCH(C123,Import!C:C,0)),CHAR(10),INDEX(Import!I:I,MATCH(C123,Name,0)))</f>
        <v>Khoa Ma
4.5</v>
      </c>
      <c r="H123" s="432" t="str">
        <f t="array" ref="H123">INDEX(Import!H:H,MATCH(C123,Name,0))</f>
        <v>nanomaterials that are capable of energy storage in Lithium-ion batteries
$90M valuation
strong team, but having issues with scaling 
lots of capital to get production going</v>
      </c>
      <c r="I123" s="431" t="str">
        <f t="array" ref="I123">CONCATENATE(INDEX(Import!J:J,MATCH(C123,Name,0)),CHAR(10),INDEX(Import!L:L,MATCH(C123,Name,0)))</f>
        <v>Arthur Ibanda
4.5</v>
      </c>
      <c r="J123" s="432" t="str">
        <f t="array" ref="J123">INDEX(Import!K:K,MATCH(C123,Name,0))</f>
        <v>(+)The technology seems novel
(+)Raised 6 million and currently raising $48,500,000 
(+) should improve energy densities by 50%.
(+)Increased Life-Cycle projected to improve more than 2X
(+)Faster Charge-rate projected to safely enable charging 5X faster than current rates
(+)Lower variation in cells capacity by approximately 15%</v>
      </c>
      <c r="K123" s="431" t="str">
        <f t="array" aca="1" ref="K123" ca="1">CONCATENATE(INDEX('Form Import'!D:D,MATCH(A123,'Form Import'!F:F,0)),CHAR(10),INDEX('Form Import'!V:V,MATCH(A123,'Form Import'!F:F,0)))</f>
        <v>Ahmed Bahgat
2</v>
      </c>
      <c r="L123" s="432" t="str">
        <f t="array" aca="1" ref="L123" ca="1">INDEX('Form Import'!W:W,MATCH(A123,'Form Import'!F:F,0))</f>
        <v xml:space="preserve">Replicating existing solutions to accessing crypto markets, no clear market defined hence no unique specific customer pain being addressed. </v>
      </c>
      <c r="M123" s="430"/>
      <c r="N123" s="430" t="str">
        <f t="array" aca="1" ref="N123" ca="1">INDEX('Form Import'!L:L,MATCH($A123,'Form Import'!$F:$F,0))</f>
        <v>The solutions provided by the app to access crypto exist in many forms by now, this solution does not provide any new added value</v>
      </c>
      <c r="O123" s="430" t="str">
        <f t="array" aca="1" ref="O123" ca="1">INDEX('Form Import'!O:O,MATCH($A123,'Form Import'!$F:$F,0))</f>
        <v xml:space="preserve">Market not defined. Application specifies targeted countries but its not clear why that is. </v>
      </c>
      <c r="P123" s="430" t="str">
        <f t="array" aca="1" ref="P123" ca="1">INDEX('Form Import'!S:S,MATCH($A123,'Form Import'!$F:$F,0))</f>
        <v>The team is replicating what many others are currently doing, not sure where the innovation or unique customer pain they are trying to solve.</v>
      </c>
      <c r="Q123" s="430"/>
      <c r="R123" s="430"/>
      <c r="S123" s="430" t="e">
        <f t="array" aca="1" ref="S123" ca="1">_xludf.TextJoin("; ",1,INDEX(Import!S:S,MATCH(C123,Name,0)))</f>
        <v>#NAME?</v>
      </c>
    </row>
    <row r="124" spans="1:19" ht="48">
      <c r="A124" s="418" t="s">
        <v>6501</v>
      </c>
      <c r="B124" s="419" t="str">
        <f t="array" aca="1" ref="B124" ca="1">CONCATENATE(TEXT(INDEX(query!A:A,MATCH(C124,query!B:B,0)),"M/DD/YYY"),CHAR(10),INDEX(query!E:E,MATCH(C124,query!B:B,0)))</f>
        <v>8/16/2022
Invite Next Year</v>
      </c>
      <c r="C124" s="85" t="s">
        <v>2990</v>
      </c>
      <c r="D124" s="420">
        <f t="array" ref="D124">INDEX(Import!D:D,MATCH(C124,Name,0))</f>
        <v>3.25</v>
      </c>
      <c r="E124" s="421">
        <f t="array" aca="1" ref="E124" ca="1">(INDEX(Import!I:I,MATCH(C124,Name,0))+INDEX(Import!L:L,MATCH(C124,Name,0))+INDEX('Form Import'!V:V,MATCH(A124,'Form Import'!F:F,0)))/3</f>
        <v>2.8333333333333335</v>
      </c>
      <c r="F124" s="422" t="str">
        <f t="array" ref="F124">INDEX(Import!E:E,MATCH(C124,Name,0))</f>
        <v>We provide the world?s first intelligent hand function support glove to empower individuals with reduced hand strength, tremor or pain (due to age, injury, or illness) in their daily activities enabling users to support forces up to 40 kg when needed.</v>
      </c>
      <c r="G124" s="423" t="str">
        <f t="array" ref="G124">CONCATENATE(INDEX(Import!G:G,MATCH(C124,Import!C:C,0)),CHAR(10),INDEX(Import!I:I,MATCH(C124,Name,0)))</f>
        <v>Khoa Ma
3</v>
      </c>
      <c r="H124" s="424" t="str">
        <f t="array" ref="H124">INDEX(Import!H:H,MATCH(C124,Name,0))</f>
        <v>smart glove that helps hand strengthen grip
sell to direct customers?
need to scale up business pipelines and sales</v>
      </c>
      <c r="I124" s="423" t="str">
        <f t="array" ref="I124">CONCATENATE(INDEX(Import!J:J,MATCH(C124,Name,0)),CHAR(10),INDEX(Import!L:L,MATCH(C124,Name,0)))</f>
        <v>Arthur Ibanda
3.5</v>
      </c>
      <c r="J124" s="424" t="str">
        <f t="array" ref="J124">INDEX(Import!K:K,MATCH(C124,Name,0))</f>
        <v>+Large well developed team
+Developed product
+Already selling some gloves
-Potential market not very large</v>
      </c>
      <c r="K124" s="423" t="str">
        <f t="array" aca="1" ref="K124" ca="1">CONCATENATE(INDEX('Form Import'!D:D,MATCH(A124,'Form Import'!F:F,0)),CHAR(10),INDEX('Form Import'!V:V,MATCH(A124,'Form Import'!F:F,0)))</f>
        <v>Ahmed Bahgat
2</v>
      </c>
      <c r="L124" s="424" t="str">
        <f t="array" aca="1" ref="L124" ca="1">INDEX('Form Import'!W:W,MATCH(A124,'Form Import'!F:F,0))</f>
        <v xml:space="preserve">This AI powered solution targeting Dementia patients is heavily dependent on clinical trial success to prove solution efficacy. Only then is there a product to this business. </v>
      </c>
      <c r="M124" s="422"/>
      <c r="N124" s="422" t="str">
        <f t="array" aca="1" ref="N124" ca="1">INDEX('Form Import'!L:L,MATCH($A124,'Form Import'!$F:$F,0))</f>
        <v xml:space="preserve">Technology solution is not new but what this use case does is offer a service of more personalized music for Dementia patients. To prove the effectiveness of personalized music on Dementia patients, they are part of 2 clinical studies. The results of which will be available in 6 months. </v>
      </c>
      <c r="O124" s="422" t="str">
        <f t="array" aca="1" ref="O124" ca="1">INDEX('Form Import'!O:O,MATCH($A124,'Form Import'!$F:$F,0))</f>
        <v>Target market is defined as Dementia patients in the US. While focused, the solutions efficacy is still in question.</v>
      </c>
      <c r="P124" s="422" t="str">
        <f t="array" aca="1" ref="P124" ca="1">INDEX('Form Import'!S:S,MATCH($A124,'Form Import'!$F:$F,0))</f>
        <v>Strong team with strong advisors. Founding team don't all seem to be fully committed to this venture. I can only assume that's because clinical studies results testing solution efficacy are still pending.</v>
      </c>
      <c r="Q124" s="422"/>
      <c r="R124" s="422"/>
      <c r="S124" s="422" t="e">
        <f t="array" aca="1" ref="S124" ca="1">_xludf.TextJoin("; ",1,INDEX(Import!S:S,MATCH(C124,Name,0)))</f>
        <v>#NAME?</v>
      </c>
    </row>
    <row r="125" spans="1:19" ht="72">
      <c r="A125" s="425" t="s">
        <v>3258</v>
      </c>
      <c r="B125" s="426" t="str">
        <f t="array" aca="1" ref="B125" ca="1">CONCATENATE(TEXT(INDEX(query!A:A,MATCH(C125,query!B:B,0)),"M/DD/YYY"),CHAR(10),INDEX(query!E:E,MATCH(C125,query!B:B,0)))</f>
        <v>8/16/2022
Invite Next Year</v>
      </c>
      <c r="C125" s="427" t="s">
        <v>3001</v>
      </c>
      <c r="D125" s="428">
        <f t="array" ref="D125">INDEX(Import!D:D,MATCH(C125,Name,0))</f>
        <v>3</v>
      </c>
      <c r="E125" s="429">
        <f t="array" aca="1" ref="E125" ca="1">(INDEX(Import!I:I,MATCH(C125,Name,0))+INDEX(Import!L:L,MATCH(C125,Name,0))+INDEX('Form Import'!V:V,MATCH(A125,'Form Import'!F:F,0)))/3</f>
        <v>2.3333333333333335</v>
      </c>
      <c r="F125" s="430" t="str">
        <f t="array" ref="F125">INDEX(Import!E:E,MATCH(C125,Name,0))</f>
        <v>nucleusRx's Remote Care Platform ensures therapy compliance of Heart Failure(HF) patients at home via its proprietary Connected Pill Dispenser and its Patient Companion App, and empowers the healthcare provider (HCP) with actionable patient insight and real-time tools to improve HF patient outcome, mortality and prevent avoidable healthcare costs.</v>
      </c>
      <c r="G125" s="431" t="str">
        <f t="array" ref="G125">CONCATENATE(INDEX(Import!G:G,MATCH(C125,Import!C:C,0)),CHAR(10),INDEX(Import!I:I,MATCH(C125,Name,0)))</f>
        <v>Khoa Ma
3</v>
      </c>
      <c r="H125" s="432" t="str">
        <f t="array" ref="H125">INDEX(Import!H:H,MATCH(C125,Name,0))</f>
        <v>Allows healthcare providers to dispense pills connected with health data
not novel tech but could capture some market if MVP is tested and data shows it can scale</v>
      </c>
      <c r="I125" s="431" t="str">
        <f t="array" ref="I125">CONCATENATE(INDEX(Import!J:J,MATCH(C125,Name,0)),CHAR(10),INDEX(Import!L:L,MATCH(C125,Name,0)))</f>
        <v>Sriharsha Indupuru
3</v>
      </c>
      <c r="J125" s="432" t="str">
        <f t="array" ref="J125">INDEX(Import!K:K,MATCH(C125,Name,0))</f>
        <v>+Pill dispenser that connects individual patients at home via nucleusRx's platform
+E-prescription from the EHR
- Not a high-tech solution or product as there is no novelty in the product</v>
      </c>
      <c r="K125" s="431" t="str">
        <f t="array" aca="1" ref="K125" ca="1">CONCATENATE(INDEX('Form Import'!D:D,MATCH(A125,'Form Import'!F:F,0)),CHAR(10),INDEX('Form Import'!V:V,MATCH(A125,'Form Import'!F:F,0)))</f>
        <v>Ahmed Bahgat
1</v>
      </c>
      <c r="L125" s="432" t="str">
        <f t="array" aca="1" ref="L125" ca="1">INDEX('Form Import'!W:W,MATCH(A125,'Form Import'!F:F,0))</f>
        <v>Seeking seed capital to develop prototype. Technology solution seems unrefined because the business is at a very early stage. Target market is unspecified and from what I can tell their proposed technology solution seems to already be offered by competitors. We'd need to better understand the technology solution and how its differentiated from competitors.</v>
      </c>
      <c r="M125" s="430"/>
      <c r="N125" s="430" t="str">
        <f t="array" aca="1" ref="N125" ca="1">INDEX('Form Import'!L:L,MATCH($A125,'Form Import'!$F:$F,0))</f>
        <v>Technology solution seems to be similar to competitors offerings . We would need to better understand what makes this prototype address the particular customer pain.</v>
      </c>
      <c r="O125" s="430" t="str">
        <f t="array" aca="1" ref="O125" ca="1">INDEX('Form Import'!O:O,MATCH($A125,'Form Import'!$F:$F,0))</f>
        <v>Target market is not clearly specified (all heavy industries?) and niche opportunity stated does not specify industry.</v>
      </c>
      <c r="P125" s="430" t="str">
        <f t="array" aca="1" ref="P125" ca="1">INDEX('Form Import'!S:S,MATCH($A125,'Form Import'!$F:$F,0))</f>
        <v xml:space="preserve">They seem to have strong backgrounds but technology solution is unrefined (maybe its just too early?) and vision is generic. </v>
      </c>
      <c r="Q125" s="430"/>
      <c r="R125" s="430"/>
      <c r="S125" s="430" t="e">
        <f t="array" aca="1" ref="S125" ca="1">_xludf.TextJoin("; ",1,INDEX(Import!S:S,MATCH(C125,Name,0)))</f>
        <v>#NAME?</v>
      </c>
    </row>
    <row r="126" spans="1:19" ht="24">
      <c r="A126" s="418" t="s">
        <v>6511</v>
      </c>
      <c r="B126" s="419" t="str">
        <f t="array" aca="1" ref="B126" ca="1">CONCATENATE(TEXT(INDEX(query!A:A,MATCH(C126,query!B:B,0)),"M/DD/YYY"),CHAR(10),INDEX(query!E:E,MATCH(C126,query!B:B,0)))</f>
        <v>8/11/2022
Invite Next Year</v>
      </c>
      <c r="C126" s="85" t="s">
        <v>6797</v>
      </c>
      <c r="D126" s="420">
        <f t="array" ref="D126">INDEX(Import!D:D,MATCH(C126,Name,0))</f>
        <v>2.25</v>
      </c>
      <c r="E126" s="421">
        <f t="array" aca="1" ref="E126" ca="1">(INDEX(Import!I:I,MATCH(C126,Name,0))+INDEX(Import!L:L,MATCH(C126,Name,0))+INDEX('Form Import'!V:V,MATCH(A126,'Form Import'!F:F,0)))/3</f>
        <v>2.8333333333333335</v>
      </c>
      <c r="F126" s="422" t="str">
        <f t="array" ref="F126">INDEX(Import!E:E,MATCH(C126,Name,0))</f>
        <v>We offer a monthly subscription to patients who obtain: delivery of contraceptives, unlimited online medical advice and data about their cycles.</v>
      </c>
      <c r="G126" s="423" t="str">
        <f t="array" ref="G126">CONCATENATE(INDEX(Import!G:G,MATCH(C126,Import!C:C,0)),CHAR(10),INDEX(Import!I:I,MATCH(C126,Name,0)))</f>
        <v>Mark Flynn
2</v>
      </c>
      <c r="H126" s="424" t="str">
        <f t="array" ref="H126">INDEX(Import!H:H,MATCH(C126,Name,0))</f>
        <v>Information in application is thin; they seem to offer telemedicine specifically focused on women's cycles</v>
      </c>
      <c r="I126" s="423" t="str">
        <f t="array" ref="I126">CONCATENATE(INDEX(Import!J:J,MATCH(C126,Name,0)),CHAR(10),INDEX(Import!L:L,MATCH(C126,Name,0)))</f>
        <v>Beth Xie
2.5</v>
      </c>
      <c r="J126" s="424" t="str">
        <f t="array" ref="J126">INDEX(Import!K:K,MATCH(C126,Name,0))</f>
        <v>- There are alternatives and competitors in the marketplace. 
- Application does not talk about any business or technology moat.</v>
      </c>
      <c r="K126" s="423" t="str">
        <f t="array" aca="1" ref="K126" ca="1">CONCATENATE(INDEX('Form Import'!D:D,MATCH(A126,'Form Import'!F:F,0)),CHAR(10),INDEX('Form Import'!V:V,MATCH(A126,'Form Import'!F:F,0)))</f>
        <v>Ahmed Bahgat
4</v>
      </c>
      <c r="L126" s="424" t="str">
        <f t="array" aca="1" ref="L126" ca="1">INDEX('Form Import'!W:W,MATCH(A126,'Form Import'!F:F,0))</f>
        <v xml:space="preserve">Strong business to advise noting that they are primarily seeking funding and their target market does not include the US. </v>
      </c>
      <c r="M126" s="422"/>
      <c r="N126" s="422" t="str">
        <f t="array" aca="1" ref="N126" ca="1">INDEX('Form Import'!L:L,MATCH($A126,'Form Import'!$F:$F,0))</f>
        <v xml:space="preserve">Technology solution exists (strong competitors focused on developed nations) but this solution is being offered to developing nations (who need it most) with particular focus on India, SE Asia, and Africa. They also built up strong enough data over time to feed their machine learning algo, maybe enough so to be a barrier of entry in this market.   </v>
      </c>
      <c r="O126" s="422" t="str">
        <f t="array" aca="1" ref="O126" ca="1">INDEX('Form Import'!O:O,MATCH($A126,'Form Import'!$F:$F,0))</f>
        <v xml:space="preserve">Target market specified as customers across public health, pharma, health insurance, hospital systems and digital health in multiple geographies (India, SE Asia and Africa). Would probably need to differentiate obtainable vs available market.  </v>
      </c>
      <c r="P126" s="422" t="str">
        <f t="array" aca="1" ref="P126" ca="1">INDEX('Form Import'!S:S,MATCH($A126,'Form Import'!$F:$F,0))</f>
        <v>Strong team with solid experience. While lacking first mover advantage, they seem to be growing at a high pace.</v>
      </c>
      <c r="Q126" s="422"/>
      <c r="R126" s="422"/>
      <c r="S126" s="422" t="e">
        <f t="array" aca="1" ref="S126" ca="1">_xludf.TextJoin("; ",1,INDEX(Import!S:S,MATCH(C126,Name,0)))</f>
        <v>#NAME?</v>
      </c>
    </row>
    <row r="127" spans="1:19" ht="36">
      <c r="A127" s="425" t="s">
        <v>1979</v>
      </c>
      <c r="B127" s="426" t="str">
        <f t="array" aca="1" ref="B127" ca="1">CONCATENATE(TEXT(INDEX(query!A:A,MATCH(C127,query!B:B,0)),"M/DD/YYY"),CHAR(10),INDEX(query!E:E,MATCH(C127,query!B:B,0)))</f>
        <v>8/18/2022
Invite Next Year</v>
      </c>
      <c r="C127" s="427" t="s">
        <v>8981</v>
      </c>
      <c r="D127" s="428">
        <f t="array" ref="D127">INDEX(Import!D:D,MATCH(C127,Name,0))</f>
        <v>1</v>
      </c>
      <c r="E127" s="429">
        <f t="array" aca="1" ref="E127" ca="1">(INDEX(Import!I:I,MATCH(C127,Name,0))+INDEX(Import!L:L,MATCH(C127,Name,0))+INDEX('Form Import'!V:V,MATCH(A127,'Form Import'!F:F,0)))/3</f>
        <v>2.3333333333333335</v>
      </c>
      <c r="F127" s="430" t="str">
        <f t="array" ref="F127">INDEX(Import!E:E,MATCH(C127,Name,0))</f>
        <v>Nutrarte is a Nutrition company ( integrate :nutrition of the mind of the body and soul), we offer an innovative proposal to treat people with a humanized health service and we believe in food as a powerful vehicle to heal, we provide advisory services for people with nutritional or health needs and companies that want to improve their products</v>
      </c>
      <c r="G127" s="431" t="str">
        <f t="array" ref="G127">CONCATENATE(INDEX(Import!G:G,MATCH(C127,Import!C:C,0)),CHAR(10),INDEX(Import!I:I,MATCH(C127,Name,0)))</f>
        <v>Larisa Kagermazova
1</v>
      </c>
      <c r="H127" s="432">
        <f t="array" ref="H127">INDEX(Import!H:H,MATCH(C127,Name,0))</f>
        <v>0</v>
      </c>
      <c r="I127" s="431" t="str">
        <f t="array" ref="I127">CONCATENATE(INDEX(Import!J:J,MATCH(C127,Name,0)),CHAR(10),INDEX(Import!L:L,MATCH(C127,Name,0)))</f>
        <v>Tugba Oncu
1</v>
      </c>
      <c r="J127" s="432" t="str">
        <f t="array" ref="J127">INDEX(Import!K:K,MATCH(C127,Name,0))</f>
        <v>Nothing new. Very competitive market.</v>
      </c>
      <c r="K127" s="431" t="str">
        <f t="array" aca="1" ref="K127" ca="1">CONCATENATE(INDEX('Form Import'!D:D,MATCH(A127,'Form Import'!F:F,0)),CHAR(10),INDEX('Form Import'!V:V,MATCH(A127,'Form Import'!F:F,0)))</f>
        <v>Ahmed Bahgat
5</v>
      </c>
      <c r="L127" s="432" t="str">
        <f t="array" aca="1" ref="L127" ca="1">INDEX('Form Import'!W:W,MATCH(A127,'Form Import'!F:F,0))</f>
        <v>Great platform with a strong team. Aside from fund raising, they seek to refine their strategy, business plan, and pitch. They seem to be well-positioned to make the most from EFL.</v>
      </c>
      <c r="M127" s="430"/>
      <c r="N127" s="430" t="str">
        <f t="array" aca="1" ref="N127" ca="1">INDEX('Form Import'!L:L,MATCH($A127,'Form Import'!$F:$F,0))</f>
        <v xml:space="preserve">Nanoligomer™ platform seems to be at the forefront of the industry since genome therapy has only began clinical trails in the US.  </v>
      </c>
      <c r="O127" s="430" t="str">
        <f t="array" aca="1" ref="O127" ca="1">INDEX('Form Import'!O:O,MATCH($A127,'Form Import'!$F:$F,0))</f>
        <v xml:space="preserve">Target market seems to be quite broadly defined in the deck from specific diseases such as Parkinson’s Disease and Prion Disease to space medicine to addressing mental health/Depression. Might need to better define target market for now and seek to dominate it rather than defining as many use cases as possible.  </v>
      </c>
      <c r="P127" s="430" t="str">
        <f t="array" aca="1" ref="P127" ca="1">INDEX('Form Import'!S:S,MATCH($A127,'Form Import'!$F:$F,0))</f>
        <v>Strong team with a strong vision well positioned to be market innovators.</v>
      </c>
      <c r="Q127" s="430"/>
      <c r="R127" s="430"/>
      <c r="S127" s="430" t="e">
        <f t="array" aca="1" ref="S127" ca="1">_xludf.TextJoin("; ",1,INDEX(Import!S:S,MATCH(C127,Name,0)))</f>
        <v>#NAME?</v>
      </c>
    </row>
    <row r="128" spans="1:19" ht="60">
      <c r="A128" s="418" t="s">
        <v>3267</v>
      </c>
      <c r="B128" s="419" t="str">
        <f t="array" aca="1" ref="B128" ca="1">CONCATENATE(TEXT(INDEX(query!A:A,MATCH(C128,query!B:B,0)),"M/DD/YYY"),CHAR(10),INDEX(query!E:E,MATCH(C128,query!B:B,0)))</f>
        <v>8/23/2022
Invite Next Year</v>
      </c>
      <c r="C128" s="85" t="s">
        <v>8988</v>
      </c>
      <c r="D128" s="420">
        <f t="array" ref="D128">INDEX(Import!D:D,MATCH(C128,Name,0))</f>
        <v>2.25</v>
      </c>
      <c r="E128" s="421">
        <f t="array" aca="1" ref="E128" ca="1">(INDEX(Import!I:I,MATCH(C128,Name,0))+INDEX(Import!L:L,MATCH(C128,Name,0))+INDEX('Form Import'!V:V,MATCH(A128,'Form Import'!F:F,0)))/3</f>
        <v>2.5</v>
      </c>
      <c r="F128" s="422">
        <f t="array" ref="F128">INDEX(Import!E:E,MATCH(C128,Name,0))</f>
        <v>0</v>
      </c>
      <c r="G128" s="423" t="str">
        <f t="array" ref="G128">CONCATENATE(INDEX(Import!G:G,MATCH(C128,Import!C:C,0)),CHAR(10),INDEX(Import!I:I,MATCH(C128,Name,0)))</f>
        <v>Larisa Kagermazova
2.5</v>
      </c>
      <c r="H128" s="424" t="str">
        <f t="array" ref="H128">INDEX(Import!H:H,MATCH(C128,Name,0))</f>
        <v>Applied to EFL before (2020), improvements: (1)changed from a device administering nutritional supplements to a device specializing in accurately dosing liquids, (2) developed a fully functional prototype, (3) developed industry relationships to prepare for a potential pilot early next year</v>
      </c>
      <c r="I128" s="423" t="str">
        <f t="array" ref="I128">CONCATENATE(INDEX(Import!J:J,MATCH(C128,Name,0)),CHAR(10),INDEX(Import!L:L,MATCH(C128,Name,0)))</f>
        <v>Tugba Oncu
2</v>
      </c>
      <c r="J128" s="424" t="str">
        <f t="array" ref="J128">INDEX(Import!K:K,MATCH(C128,Name,0))</f>
        <v>Interesting idea. says since last application the product has changed from a device administering nutritional supplements to a device specializing in accurately dosing liquids.</v>
      </c>
      <c r="K128" s="423" t="str">
        <f t="array" aca="1" ref="K128" ca="1">CONCATENATE(INDEX('Form Import'!D:D,MATCH(A128,'Form Import'!F:F,0)),CHAR(10),INDEX('Form Import'!V:V,MATCH(A128,'Form Import'!F:F,0)))</f>
        <v>Ahmed Bahgat
3</v>
      </c>
      <c r="L128" s="424" t="str">
        <f t="array" aca="1" ref="L128" ca="1">INDEX('Form Import'!W:W,MATCH(A128,'Form Import'!F:F,0))</f>
        <v xml:space="preserve">Primary need is funding for beta testing and looking to learn about finance, marketing, and product refinement. From what I can tell, business is at an early stage to make the best use of EFL.  </v>
      </c>
      <c r="M128" s="422"/>
      <c r="N128" s="422" t="str">
        <f t="array" aca="1" ref="N128" ca="1">INDEX('Form Import'!L:L,MATCH($A128,'Form Import'!$F:$F,0))</f>
        <v>Using Wi-Fi/cellular/motor for remote locking mechanism. Technology is not new but use case is. Prototype has been developed and to be beta tested by potential customers/law enforcement agency. Competitors seem to use biometrics or Bluetooth for locking mechanism.</v>
      </c>
      <c r="O128" s="422" t="str">
        <f t="array" aca="1" ref="O128" ca="1">INDEX('Form Import'!O:O,MATCH($A128,'Form Import'!$F:$F,0))</f>
        <v>Target market defined as all gun owners and law enforcement agencies. Five law enforcement agencies are interested in beta testing, which needs building of 50 AR-15s.</v>
      </c>
      <c r="P128" s="422" t="str">
        <f t="array" aca="1" ref="P128" ca="1">INDEX('Form Import'!S:S,MATCH($A128,'Form Import'!$F:$F,0))</f>
        <v>From what I can tell, team background is mostly Police. Team/Advisors list provided in application seem to be different than team on the business's official website.</v>
      </c>
      <c r="Q128" s="422"/>
      <c r="R128" s="422"/>
      <c r="S128" s="422" t="e">
        <f t="array" aca="1" ref="S128" ca="1">_xludf.TextJoin("; ",1,INDEX(Import!S:S,MATCH(C128,Name,0)))</f>
        <v>#NAME?</v>
      </c>
    </row>
    <row r="129" spans="1:19" ht="36">
      <c r="A129" s="425" t="s">
        <v>6033</v>
      </c>
      <c r="B129" s="426" t="str">
        <f t="array" aca="1" ref="B129" ca="1">CONCATENATE(TEXT(INDEX(query!A:A,MATCH(C129,query!B:B,0)),"M/DD/YYY"),CHAR(10),INDEX(query!E:E,MATCH(C129,query!B:B,0)))</f>
        <v>8/23/2022
Invite Next Year</v>
      </c>
      <c r="C129" s="427" t="s">
        <v>3011</v>
      </c>
      <c r="D129" s="428">
        <f t="array" ref="D129">INDEX(Import!D:D,MATCH(C129,Name,0))</f>
        <v>3.25</v>
      </c>
      <c r="E129" s="429">
        <f t="array" aca="1" ref="E129" ca="1">(INDEX(Import!I:I,MATCH(C129,Name,0))+INDEX(Import!L:L,MATCH(C129,Name,0))+INDEX('Form Import'!V:V,MATCH(A129,'Form Import'!F:F,0)))/3</f>
        <v>2.5</v>
      </c>
      <c r="F129" s="430" t="str">
        <f t="array" ref="F129">INDEX(Import!E:E,MATCH(C129,Name,0))</f>
        <v>NXTSENS Microsystems develops custom microelectromechanical (MEMS)-based solutions for sensing and timing applications. Currently, we are developing a trace gas-sensing tool for a multitude of industrial and medical applications. Previously, we have spun-out two successful MEMS-based technology companies (MY01 Inc., Stathera Inc.).</v>
      </c>
      <c r="G129" s="431" t="str">
        <f t="array" ref="G129">CONCATENATE(INDEX(Import!G:G,MATCH(C129,Import!C:C,0)),CHAR(10),INDEX(Import!I:I,MATCH(C129,Name,0)))</f>
        <v>Khoa Ma
3</v>
      </c>
      <c r="H129" s="432" t="str">
        <f t="array" ref="H129">INDEX(Import!H:H,MATCH(C129,Name,0))</f>
        <v>developing a trace gas-sensing tool for a multitude of industrial and medical applications
early- will not have a prototype in the next 6 months/ still in R&amp;D stage</v>
      </c>
      <c r="I129" s="431" t="str">
        <f t="array" ref="I129">CONCATENATE(INDEX(Import!J:J,MATCH(C129,Name,0)),CHAR(10),INDEX(Import!L:L,MATCH(C129,Name,0)))</f>
        <v>Yagnik Mehta
3.5</v>
      </c>
      <c r="J129" s="432" t="str">
        <f t="array" ref="J129">INDEX(Import!K:K,MATCH(C129,Name,0))</f>
        <v>+ Apply next time, could be a good fit</v>
      </c>
      <c r="K129" s="431" t="str">
        <f t="array" aca="1" ref="K129" ca="1">CONCATENATE(INDEX('Form Import'!D:D,MATCH(A129,'Form Import'!F:F,0)),CHAR(10),INDEX('Form Import'!V:V,MATCH(A129,'Form Import'!F:F,0)))</f>
        <v>Ahmed Bahgat
1</v>
      </c>
      <c r="L129" s="432" t="str">
        <f t="array" aca="1" ref="L129" ca="1">INDEX('Form Import'!W:W,MATCH(A129,'Form Import'!F:F,0))</f>
        <v xml:space="preserve">There is no product offering. It seems that proprietary Windows operating system prevents them from developing a prototype. Doesn't seem to be well-positioned for EFL. </v>
      </c>
      <c r="M129" s="430"/>
      <c r="N129" s="430" t="str">
        <f t="array" aca="1" ref="N129" ca="1">INDEX('Form Import'!L:L,MATCH($A129,'Form Import'!$F:$F,0))</f>
        <v>The technology solution here is "Process Based Security" whereby system resources (CPU &amp; operating system) are limited to predetermined applications rather than authorized users. It is stated that this is a fundamental flaw in windows systems. It is also stated that proprietary aspects of Windows operating systems might stand in the way of developing a working prototype i.e. there is no existing prototype and there might not be one.</v>
      </c>
      <c r="O129" s="430" t="str">
        <f t="array" aca="1" ref="O129" ca="1">INDEX('Form Import'!O:O,MATCH($A129,'Form Import'!$F:$F,0))</f>
        <v>It is stated that "the status quo suits the industry just fine" i.e. there is no customer pain point that is being resolved, it is that users are not aware of "Process Based Security"</v>
      </c>
      <c r="P129" s="430" t="str">
        <f t="array" aca="1" ref="P129" ca="1">INDEX('Form Import'!S:S,MATCH($A129,'Form Import'!$F:$F,0))</f>
        <v xml:space="preserve">There is no vision provided rather an objective to resolve a flaw with the Windows operating system using "Process Based Security". </v>
      </c>
      <c r="Q129" s="430"/>
      <c r="R129" s="430"/>
      <c r="S129" s="430" t="e">
        <f t="array" aca="1" ref="S129" ca="1">_xludf.TextJoin("; ",1,INDEX(Import!S:S,MATCH(C129,Name,0)))</f>
        <v>#NAME?</v>
      </c>
    </row>
    <row r="130" spans="1:19" ht="60">
      <c r="A130" s="418" t="s">
        <v>1987</v>
      </c>
      <c r="B130" s="419" t="str">
        <f t="array" aca="1" ref="B130" ca="1">CONCATENATE(TEXT(INDEX(query!A:A,MATCH(C130,query!B:B,0)),"M/DD/YYY"),CHAR(10),INDEX(query!E:E,MATCH(C130,query!B:B,0)))</f>
        <v>8/16/2022
Invite</v>
      </c>
      <c r="C130" s="85" t="s">
        <v>105</v>
      </c>
      <c r="D130" s="420">
        <f t="array" ref="D130">INDEX(Import!D:D,MATCH(C130,Name,0))</f>
        <v>4</v>
      </c>
      <c r="E130" s="421">
        <f t="array" aca="1" ref="E130" ca="1">(INDEX(Import!I:I,MATCH(C130,Name,0))+INDEX(Import!L:L,MATCH(C130,Name,0))+INDEX('Form Import'!V:V,MATCH(A130,'Form Import'!F:F,0)))/3</f>
        <v>4</v>
      </c>
      <c r="F130" s="422" t="str">
        <f t="array" ref="F130">INDEX(Import!E:E,MATCH(C130,Name,0))</f>
        <v>Odqa is a spinout from the University of Oxford transferring jet engine knowledgebase into the solar thermal industry and replacing the combustion with sunlight. Odqa decarbonises industrial processes, electricity generation and hydrogen production with its cutting-edge, air-based solar thermal receiver.</v>
      </c>
      <c r="G130" s="423" t="str">
        <f t="array" ref="G130">CONCATENATE(INDEX(Import!G:G,MATCH(C130,Import!C:C,0)),CHAR(10),INDEX(Import!I:I,MATCH(C130,Name,0)))</f>
        <v>Khoa Ma
4</v>
      </c>
      <c r="H130" s="424" t="str">
        <f t="array" ref="H130">INDEX(Import!H:H,MATCH(C130,Name,0))</f>
        <v>air-based solar thermal receiver with high thermal conversion efficiency and low cost
strong team
need to get customers/pilots
$20M series a with $10M circled</v>
      </c>
      <c r="I130" s="423" t="str">
        <f t="array" ref="I130">CONCATENATE(INDEX(Import!J:J,MATCH(C130,Name,0)),CHAR(10),INDEX(Import!L:L,MATCH(C130,Name,0)))</f>
        <v>Arthur Ibanda
4</v>
      </c>
      <c r="J130" s="424" t="str">
        <f t="array" ref="J130">INDEX(Import!K:K,MATCH(C130,Name,0))</f>
        <v>+Credible team
+Novel technology
+Lots if investment
+Working prototype
+Large potential market</v>
      </c>
      <c r="K130" s="423" t="str">
        <f t="array" aca="1" ref="K130" ca="1">CONCATENATE(INDEX('Form Import'!D:D,MATCH(A130,'Form Import'!F:F,0)),CHAR(10),INDEX('Form Import'!V:V,MATCH(A130,'Form Import'!F:F,0)))</f>
        <v>Ahmed Bahgat
4</v>
      </c>
      <c r="L130" s="424" t="str">
        <f t="array" aca="1" ref="L130" ca="1">INDEX('Form Import'!W:W,MATCH(A130,'Form Import'!F:F,0))</f>
        <v xml:space="preserve">Well positioned to really benefit from EFL. </v>
      </c>
      <c r="M130" s="422"/>
      <c r="N130" s="422" t="str">
        <f t="array" aca="1" ref="N130" ca="1">INDEX('Form Import'!L:L,MATCH($A130,'Form Import'!$F:$F,0))</f>
        <v>Technology needs funding for clinical trials, however they began "commercialization and
simultaneously use the successes for patient outcome to generate real-world data evidence". But this means that thus will currently not be covered by insurance and it will only be feasible for patients that are able to pay out of pocket.</v>
      </c>
      <c r="O130" s="422" t="str">
        <f t="array" aca="1" ref="O130" ca="1">INDEX('Form Import'!O:O,MATCH($A130,'Form Import'!$F:$F,0))</f>
        <v>Defined market as US Cancer Dx. Not clear about how revenue will be generated from this target market as stated expected revenue generation seem to be from ancillary activities.</v>
      </c>
      <c r="P130" s="422" t="str">
        <f t="array" aca="1" ref="P130" ca="1">INDEX('Form Import'!S:S,MATCH($A130,'Form Import'!$F:$F,0))</f>
        <v>Solid Team with a wealth of experience and strong advisors.</v>
      </c>
      <c r="Q130" s="422"/>
      <c r="R130" s="422"/>
      <c r="S130" s="422" t="e">
        <f t="array" aca="1" ref="S130" ca="1">_xludf.TextJoin("; ",1,INDEX(Import!S:S,MATCH(C130,Name,0)))</f>
        <v>#NAME?</v>
      </c>
    </row>
    <row r="131" spans="1:19" ht="72">
      <c r="A131" s="425" t="s">
        <v>9638</v>
      </c>
      <c r="B131" s="426" t="str">
        <f t="array" aca="1" ref="B131" ca="1">CONCATENATE(TEXT(INDEX(query!A:A,MATCH(C131,query!B:B,0)),"M/DD/YYY"),CHAR(10),INDEX(query!E:E,MATCH(C131,query!B:B,0)))</f>
        <v>8/09/2022
Invite Next Year</v>
      </c>
      <c r="C131" s="427" t="s">
        <v>4822</v>
      </c>
      <c r="D131" s="428">
        <f t="array" ref="D131">INDEX(Import!D:D,MATCH(C131,Name,0))</f>
        <v>3.5</v>
      </c>
      <c r="E131" s="429">
        <f t="array" aca="1" ref="E131" ca="1">(INDEX(Import!I:I,MATCH(C131,Name,0))+INDEX(Import!L:L,MATCH(C131,Name,0))+INDEX('Form Import'!V:V,MATCH(A131,'Form Import'!F:F,0)))/3</f>
        <v>3.3333333333333335</v>
      </c>
      <c r="F131" s="430" t="str">
        <f t="array" ref="F131">INDEX(Import!E:E,MATCH(C131,Name,0))</f>
        <v>Oiler builds optical gas imaging solutions to solve real-time gas leak detection and quantification problem for oil and gas companies, providing actionable data for them to optimize their repair scheduling</v>
      </c>
      <c r="G131" s="431" t="str">
        <f t="array" ref="G131">CONCATENATE(INDEX(Import!G:G,MATCH(C131,Import!C:C,0)),CHAR(10),INDEX(Import!I:I,MATCH(C131,Name,0)))</f>
        <v>Beth Xie
3</v>
      </c>
      <c r="H131" s="432" t="str">
        <f t="array" ref="H131">INDEX(Import!H:H,MATCH(C131,Name,0))</f>
        <v>- This is a very competitive field with lots of competitors. 
The question is given its innovation, is it strong enough of a value prop to actually win over customers?</v>
      </c>
      <c r="I131" s="431" t="str">
        <f t="array" ref="I131">CONCATENATE(INDEX(Import!J:J,MATCH(C131,Name,0)),CHAR(10),INDEX(Import!L:L,MATCH(C131,Name,0)))</f>
        <v>Shubo (Gabriel) Xu
4</v>
      </c>
      <c r="J131" s="432" t="str">
        <f t="array" ref="J131">INDEX(Import!K:K,MATCH(C131,Name,0))</f>
        <v>+
1. good tech, solves a real problem
2. good team
-
1. needs more info, see Notes on Technology</v>
      </c>
      <c r="K131" s="431" t="str">
        <f t="array" aca="1" ref="K131" ca="1">CONCATENATE(INDEX('Form Import'!D:D,MATCH(A131,'Form Import'!F:F,0)),CHAR(10),INDEX('Form Import'!V:V,MATCH(A131,'Form Import'!F:F,0)))</f>
        <v>Ahmed Bahgat
3</v>
      </c>
      <c r="L131" s="432" t="str">
        <f t="array" aca="1" ref="L131" ca="1">INDEX('Form Import'!W:W,MATCH(A131,'Form Import'!F:F,0))</f>
        <v>Difficult to gauge the efficacy or uniqueness of solution (working MVP but no customers have tested it) given competitors have an established presence. Maybe its too early for the business to take full advantage of EFL.</v>
      </c>
      <c r="M131" s="430"/>
      <c r="N131" s="430" t="str">
        <f t="array" aca="1" ref="N131" ca="1">INDEX('Form Import'!L:L,MATCH($A131,'Form Import'!$F:$F,0))</f>
        <v>Various technology solutions available in market (listed as competitors in application), cannot tell how this solution is unique, addresses a unique pain point, or addresses a specific under-served sector.</v>
      </c>
      <c r="O131" s="430" t="str">
        <f t="array" aca="1" ref="O131" ca="1">INDEX('Form Import'!O:O,MATCH($A131,'Form Import'!$F:$F,0))</f>
        <v>Target market defined as all Hardware R&amp;D Value Chain and Enterprise EDA. Cannot tell how this solution can be differentiated from already established providers. working MVP seems to be available but no reference to customers mentioned.</v>
      </c>
      <c r="P131" s="430" t="str">
        <f t="array" aca="1" ref="P131" ca="1">INDEX('Form Import'!S:S,MATCH($A131,'Form Import'!$F:$F,0))</f>
        <v>Team qualifications not specified on their website but gauging from application team seems to have the right experience to develop this solution but cannot gauge how strong they are.</v>
      </c>
      <c r="Q131" s="430"/>
      <c r="R131" s="430"/>
      <c r="S131" s="430" t="e">
        <f t="array" aca="1" ref="S131" ca="1">_xludf.TextJoin("; ",1,INDEX(Import!S:S,MATCH(C131,Name,0)))</f>
        <v>#NAME?</v>
      </c>
    </row>
    <row r="132" spans="1:19" ht="24">
      <c r="A132" s="418" t="s">
        <v>9131</v>
      </c>
      <c r="B132" s="419" t="str">
        <f t="array" aca="1" ref="B132" ca="1">CONCATENATE(TEXT(INDEX(query!A:A,MATCH(C132,query!B:B,0)),"M/DD/YYY"),CHAR(10),INDEX(query!E:E,MATCH(C132,query!B:B,0)))</f>
        <v>8/11/2022
Invite Next Year</v>
      </c>
      <c r="C132" s="85" t="s">
        <v>3019</v>
      </c>
      <c r="D132" s="420">
        <f t="array" ref="D132">INDEX(Import!D:D,MATCH(C132,Name,0))</f>
        <v>3</v>
      </c>
      <c r="E132" s="421">
        <f t="array" aca="1" ref="E132" ca="1">(INDEX(Import!I:I,MATCH(C132,Name,0))+INDEX(Import!L:L,MATCH(C132,Name,0))+INDEX('Form Import'!V:V,MATCH(A132,'Form Import'!F:F,0)))/3</f>
        <v>3</v>
      </c>
      <c r="F132" s="422" t="str">
        <f t="array" ref="F132">INDEX(Import!E:E,MATCH(C132,Name,0))</f>
        <v>Olokun Minerals filters out valuable metals and minerals from salty, mineral-rich wastewaters and sells the filtered compounds to supply chains that need them.
Our process diverts harmful saline drainage water away from ocean life and marine ecosystems and provides sustainably-sourced minerals for concrete, agricultural fertilizers, and batteries.</v>
      </c>
      <c r="G132" s="423" t="str">
        <f t="array" ref="G132">CONCATENATE(INDEX(Import!G:G,MATCH(C132,Import!C:C,0)),CHAR(10),INDEX(Import!I:I,MATCH(C132,Name,0)))</f>
        <v>Khoa Ma
3</v>
      </c>
      <c r="H132" s="424" t="str">
        <f t="array" ref="H132">INDEX(Import!H:H,MATCH(C132,Name,0))</f>
        <v>Need to scale and show there is a market for the product
Limited to the number of desalination facilities</v>
      </c>
      <c r="I132" s="423" t="str">
        <f t="array" ref="I132">CONCATENATE(INDEX(Import!J:J,MATCH(C132,Name,0)),CHAR(10),INDEX(Import!L:L,MATCH(C132,Name,0)))</f>
        <v>Yagnik Mehta
3</v>
      </c>
      <c r="J132" s="424" t="str">
        <f t="array" ref="J132">INDEX(Import!K:K,MATCH(C132,Name,0))</f>
        <v>-Lacks clear vision for scaling this venture.</v>
      </c>
      <c r="K132" s="423" t="str">
        <f t="array" aca="1" ref="K132" ca="1">CONCATENATE(INDEX('Form Import'!D:D,MATCH(A132,'Form Import'!F:F,0)),CHAR(10),INDEX('Form Import'!V:V,MATCH(A132,'Form Import'!F:F,0)))</f>
        <v>Ahmed Bahgat
3</v>
      </c>
      <c r="L132" s="424" t="str">
        <f t="array" aca="1" ref="L132" ca="1">INDEX('Form Import'!W:W,MATCH(A132,'Form Import'!F:F,0))</f>
        <v>Business is still at concept design. While it is well positioned to benefit from EFL, I would question if its too early to make the most of it.</v>
      </c>
      <c r="M132" s="422"/>
      <c r="N132" s="422" t="str">
        <f t="array" aca="1" ref="N132" ca="1">INDEX('Form Import'!L:L,MATCH($A132,'Form Import'!$F:$F,0))</f>
        <v>Technology solution seeks to prototype new viral biologics for complex disease before wet lab production and clinical testing accelerating exploration of the viral therapeutic space to
develop new precision medicines for currently incurable diseases.</v>
      </c>
      <c r="O132" s="422" t="str">
        <f t="array" aca="1" ref="O132" ca="1">INDEX('Form Import'!O:O,MATCH($A132,'Form Import'!$F:$F,0))</f>
        <v>Targeting gene therapy since it is not developing into a diversified pharmacopeia due to safety, cost and complexity concerns. Hence leaving patients suffering from debilitating inherited and/or terminal diseases with few options.</v>
      </c>
      <c r="P132" s="422" t="str">
        <f t="array" aca="1" ref="P132" ca="1">INDEX('Form Import'!S:S,MATCH($A132,'Form Import'!$F:$F,0))</f>
        <v xml:space="preserve">Strong founder but would need advisors to guide development and better understand market needs and better defining target market  </v>
      </c>
      <c r="Q132" s="422"/>
      <c r="R132" s="422"/>
      <c r="S132" s="422" t="e">
        <f t="array" aca="1" ref="S132" ca="1">_xludf.TextJoin("; ",1,INDEX(Import!S:S,MATCH(C132,Name,0)))</f>
        <v>#NAME?</v>
      </c>
    </row>
    <row r="133" spans="1:19" ht="72">
      <c r="A133" s="425" t="s">
        <v>3276</v>
      </c>
      <c r="B133" s="426" t="str">
        <f t="array" aca="1" ref="B133" ca="1">CONCATENATE(TEXT(INDEX(query!A:A,MATCH(C133,query!B:B,0)),"M/DD/YYY"),CHAR(10),INDEX(query!E:E,MATCH(C133,query!B:B,0)))</f>
        <v>8/11/2022
Invite</v>
      </c>
      <c r="C133" s="427" t="s">
        <v>106</v>
      </c>
      <c r="D133" s="428">
        <f t="array" ref="D133">INDEX(Import!D:D,MATCH(C133,Name,0))</f>
        <v>3.25</v>
      </c>
      <c r="E133" s="429">
        <f t="array" aca="1" ref="E133" ca="1">(INDEX(Import!I:I,MATCH(C133,Name,0))+INDEX(Import!L:L,MATCH(C133,Name,0))+INDEX('Form Import'!V:V,MATCH(A133,'Form Import'!F:F,0)))/3</f>
        <v>3.8333333333333335</v>
      </c>
      <c r="F133" s="430" t="str">
        <f t="array" ref="F133">INDEX(Import!E:E,MATCH(C133,Name,0))</f>
        <v>Olympian Motors is a disruptive EV startup, building classy and minimalist Electric Vehicles with a modularized, rapid production model.</v>
      </c>
      <c r="G133" s="431" t="str">
        <f t="array" ref="G133">CONCATENATE(INDEX(Import!G:G,MATCH(C133,Import!C:C,0)),CHAR(10),INDEX(Import!I:I,MATCH(C133,Name,0)))</f>
        <v>Khoa Ma
3.5</v>
      </c>
      <c r="H133" s="432" t="str">
        <f t="array" ref="H133">INDEX(Import!H:H,MATCH(C133,Name,0))</f>
        <v>Not sure about this
takes a lot of capital to build EV cars and the infrastructure
Is minimal design enough
modularized production/assembly architecture
can it scale?</v>
      </c>
      <c r="I133" s="431" t="str">
        <f t="array" ref="I133">CONCATENATE(INDEX(Import!J:J,MATCH(C133,Name,0)),CHAR(10),INDEX(Import!L:L,MATCH(C133,Name,0)))</f>
        <v>Sriharsha Indupuru
3</v>
      </c>
      <c r="J133" s="432" t="str">
        <f t="array" ref="J133">INDEX(Import!K:K,MATCH(C133,Name,0))</f>
        <v>+Building classy and minimalist Electric Vehicles with a modularized, rapid production model.
- Didn't get how they have +$16M pre-booked revenue when they charge $500 per each order and 175 orders are in existence. 
&gt; First product will be delivered in Q4 2022
&gt;one of the founders is female from NYU</v>
      </c>
      <c r="K133" s="431" t="str">
        <f t="array" aca="1" ref="K133" ca="1">CONCATENATE(INDEX('Form Import'!D:D,MATCH(A133,'Form Import'!F:F,0)),CHAR(10),INDEX('Form Import'!V:V,MATCH(A133,'Form Import'!F:F,0)))</f>
        <v>Ahmed Bahgat
5</v>
      </c>
      <c r="L133" s="432" t="str">
        <f t="array" aca="1" ref="L133" ca="1">INDEX('Form Import'!W:W,MATCH(A133,'Form Import'!F:F,0))</f>
        <v>Solid team with a strong and novel technology solution for heavy industries focused on delivering on the needs of the oil condition monitoring market. They are well positioned to expedite their commercialization with EFL's help.</v>
      </c>
      <c r="M133" s="430"/>
      <c r="N133" s="430" t="str">
        <f t="array" aca="1" ref="N133" ca="1">INDEX('Form Import'!L:L,MATCH($A133,'Form Import'!$F:$F,0))</f>
        <v xml:space="preserve">Advanced technology solution for heavy industries and product pilot/testing is on-going. Certification and full commercialization to come next. </v>
      </c>
      <c r="O133" s="430" t="str">
        <f t="array" aca="1" ref="O133" ca="1">INDEX('Form Import'!O:O,MATCH($A133,'Form Import'!$F:$F,0))</f>
        <v xml:space="preserve">Target market seems to be the oil condition monitoring market for now. </v>
      </c>
      <c r="P133" s="430" t="str">
        <f t="array" aca="1" ref="P133" ca="1">INDEX('Form Import'!S:S,MATCH($A133,'Form Import'!$F:$F,0))</f>
        <v xml:space="preserve">Strong team who seem to have all the right resources to succeed. They maybe in need of some senior mentors for vision guidance and technology commercialization. </v>
      </c>
      <c r="Q133" s="430"/>
      <c r="R133" s="430"/>
      <c r="S133" s="430" t="e">
        <f t="array" aca="1" ref="S133" ca="1">_xludf.TextJoin("; ",1,INDEX(Import!S:S,MATCH(C133,Name,0)))</f>
        <v>#NAME?</v>
      </c>
    </row>
    <row r="134" spans="1:19" ht="84">
      <c r="A134" s="418" t="s">
        <v>9380</v>
      </c>
      <c r="B134" s="419" t="str">
        <f t="array" aca="1" ref="B134" ca="1">CONCATENATE(TEXT(INDEX(query!A:A,MATCH(C134,query!B:B,0)),"M/DD/YYY"),CHAR(10),INDEX(query!E:E,MATCH(C134,query!B:B,0)))</f>
        <v>8/09/2022
Invite</v>
      </c>
      <c r="C134" s="85" t="s">
        <v>230</v>
      </c>
      <c r="D134" s="420">
        <f t="array" ref="D134">INDEX(Import!D:D,MATCH(C134,Name,0))</f>
        <v>4</v>
      </c>
      <c r="E134" s="421">
        <f t="array" aca="1" ref="E134" ca="1">(INDEX(Import!I:I,MATCH(C134,Name,0))+INDEX(Import!L:L,MATCH(C134,Name,0))+INDEX('Form Import'!V:V,MATCH(A134,'Form Import'!F:F,0)))/3</f>
        <v>4</v>
      </c>
      <c r="F134" s="422" t="str">
        <f t="array" ref="F134">INDEX(Import!E:E,MATCH(C134,Name,0))</f>
        <v>OmicsChart is a digital platform for genomic data processing in cancer patients in privacy-aware way, providing clinically-relevant information in intuitive and secure way, where the patient maintains ownership of their data, therefore increasing utility and adaptation of genomic testing into clinical decision making.</v>
      </c>
      <c r="G134" s="423" t="str">
        <f t="array" ref="G134">CONCATENATE(INDEX(Import!G:G,MATCH(C134,Import!C:C,0)),CHAR(10),INDEX(Import!I:I,MATCH(C134,Name,0)))</f>
        <v>Beth Xie
4</v>
      </c>
      <c r="H134" s="424" t="str">
        <f t="array" ref="H134">INDEX(Import!H:H,MATCH(C134,Name,0))</f>
        <v>This startup focuses on patient-oriented confidential computing for genomic data, with majority of the projects currently in the field of immune-oncology.  The pain points addressed by this startup, both for patients and for healthcare providers, represent a sizable market. The only issue here is that there is not much customer discovery or business development done. Still, given the technology developed here, we should interview this startup.</v>
      </c>
      <c r="I134" s="423" t="str">
        <f t="array" ref="I134">CONCATENATE(INDEX(Import!J:J,MATCH(C134,Name,0)),CHAR(10),INDEX(Import!L:L,MATCH(C134,Name,0)))</f>
        <v>Tugba Oncu
4</v>
      </c>
      <c r="J134" s="424" t="str">
        <f t="array" ref="J134">INDEX(Import!K:K,MATCH(C134,Name,0))</f>
        <v>Secure usage of patients data to make accurate clinical decisions. One other thing I like is that their focus on patient engagement which will allow underprivileged groups to identify treatment opportunities without relying on a single doctor advice.</v>
      </c>
      <c r="K134" s="423" t="str">
        <f t="array" aca="1" ref="K134" ca="1">CONCATENATE(INDEX('Form Import'!D:D,MATCH(A134,'Form Import'!F:F,0)),CHAR(10),INDEX('Form Import'!V:V,MATCH(A134,'Form Import'!F:F,0)))</f>
        <v>Ahmed Bahgat
4</v>
      </c>
      <c r="L134" s="424" t="str">
        <f t="array" aca="1" ref="L134" ca="1">INDEX('Form Import'!W:W,MATCH(A134,'Form Import'!F:F,0))</f>
        <v xml:space="preserve">Great business with a strong team, primary goals are customer acquisition and fund raising. I believe they are well-positioned to get the most out of EFL, whether it be a strong marketing study or senior advisor guidance through commercialization.   </v>
      </c>
      <c r="M134" s="422"/>
      <c r="N134" s="422" t="str">
        <f t="array" aca="1" ref="N134" ca="1">INDEX('Form Import'!L:L,MATCH($A134,'Form Import'!$F:$F,0))</f>
        <v xml:space="preserve">Technology solution seeks to expedite delivery speed, reduce mistakes and reduce labor idle time in quick service restaurant chains. It has been tested and shows that it enhances operations by 3-5% ebitda margin. Not clearly stated whether this is being beta tested with select clients or if its fully commercialized yet. </v>
      </c>
      <c r="O134" s="422" t="str">
        <f t="array" aca="1" ref="O134" ca="1">INDEX('Form Import'!O:O,MATCH($A134,'Form Import'!$F:$F,0))</f>
        <v>Target Market is not really defined but it is implied to be the quick service restaurant chains.</v>
      </c>
      <c r="P134" s="422" t="str">
        <f t="array" aca="1" ref="P134" ca="1">INDEX('Form Import'!S:S,MATCH($A134,'Form Import'!$F:$F,0))</f>
        <v>Strong vision with a solid team. Well positioned to be innovators in this field.</v>
      </c>
      <c r="Q134" s="422"/>
      <c r="R134" s="422"/>
      <c r="S134" s="422" t="e">
        <f t="array" aca="1" ref="S134" ca="1">_xludf.TextJoin("; ",1,INDEX(Import!S:S,MATCH(C134,Name,0)))</f>
        <v>#NAME?</v>
      </c>
    </row>
    <row r="135" spans="1:19" ht="84">
      <c r="A135" s="425" t="s">
        <v>9140</v>
      </c>
      <c r="B135" s="426" t="str">
        <f t="array" aca="1" ref="B135" ca="1">CONCATENATE(TEXT(INDEX(query!A:A,MATCH(C135,query!B:B,0)),"M/DD/YYY"),CHAR(10),INDEX(query!E:E,MATCH(C135,query!B:B,0)))</f>
        <v>8/23/2022
Invite</v>
      </c>
      <c r="C135" s="427" t="s">
        <v>365</v>
      </c>
      <c r="D135" s="428">
        <f t="array" ref="D135">INDEX(Import!D:D,MATCH(C135,Name,0))</f>
        <v>4</v>
      </c>
      <c r="E135" s="429">
        <f t="array" aca="1" ref="E135" ca="1">(INDEX(Import!I:I,MATCH(C135,Name,0))+INDEX(Import!L:L,MATCH(C135,Name,0))+INDEX('Form Import'!V:V,MATCH(A135,'Form Import'!F:F,0)))/3</f>
        <v>3.3333333333333335</v>
      </c>
      <c r="F135" s="430" t="str">
        <f t="array" ref="F135">INDEX(Import!E:E,MATCH(C135,Name,0))</f>
        <v>OmniCyte is a preclinical stage, immunology based, biotechnology company located in Branford Connecticut. The company was founded with a focus on developing targeted treatments to address unmet needs in cancer. Our thera-peutics are developed from our proprietary Targeted Immune Activation, platform technology. The platform consists of a bi-specifi</v>
      </c>
      <c r="G135" s="431" t="str">
        <f t="array" ref="G135">CONCATENATE(INDEX(Import!G:G,MATCH(C135,Import!C:C,0)),CHAR(10),INDEX(Import!I:I,MATCH(C135,Name,0)))</f>
        <v>Larisa Kagermazova
4</v>
      </c>
      <c r="H135" s="432" t="str">
        <f t="array" ref="H135">INDEX(Import!H:H,MATCH(C135,Name,0))</f>
        <v>they said they have 0-1 month runway</v>
      </c>
      <c r="I135" s="431" t="str">
        <f t="array" ref="I135">CONCATENATE(INDEX(Import!J:J,MATCH(C135,Name,0)),CHAR(10),INDEX(Import!L:L,MATCH(C135,Name,0)))</f>
        <v>Tugba Oncu
4</v>
      </c>
      <c r="J135" s="432" t="str">
        <f t="array" ref="J135">INDEX(Import!K:K,MATCH(C135,Name,0))</f>
        <v>Targeted immune activation platform with bi-specific protein complex, with a conserved domain that activates an immune response through the dendritic cell activation, and a variable targeting domain that can be engineered to target numerous tumor types and pathogens. Says developed a COVID vaccine that promises a strong antibody response, T-cell activation, and recognizes escape variants with increased durability. Also more applications on solid tumors and other viruses.</v>
      </c>
      <c r="K135" s="431" t="str">
        <f t="array" aca="1" ref="K135" ca="1">CONCATENATE(INDEX('Form Import'!D:D,MATCH(A135,'Form Import'!F:F,0)),CHAR(10),INDEX('Form Import'!V:V,MATCH(A135,'Form Import'!F:F,0)))</f>
        <v>Ahmed Bahgat
2</v>
      </c>
      <c r="L135" s="432" t="str">
        <f t="array" aca="1" ref="L135" ca="1">INDEX('Form Import'!W:W,MATCH(A135,'Form Import'!F:F,0))</f>
        <v xml:space="preserve">Still in ideation stage, looking for EFL to refine the idea of how to break up dental treatments and preventive care. This does not seem to be a business yet, hence I do not believe the team is well positioned to make the most use of EFL. </v>
      </c>
      <c r="M135" s="430"/>
      <c r="N135" s="430" t="str">
        <f t="array" aca="1" ref="N135" ca="1">INDEX('Form Import'!L:L,MATCH($A135,'Form Import'!$F:$F,0))</f>
        <v>There is no technology solution, Dental office focused on prevention rather than restorative care. Objective is to promote a more positive experience in oral hygiene services by segregating locations related to dental treatments and those for preventive care.</v>
      </c>
      <c r="O135" s="430" t="str">
        <f t="array" aca="1" ref="O135" ca="1">INDEX('Form Import'!O:O,MATCH($A135,'Form Import'!$F:$F,0))</f>
        <v>Target market not specified.</v>
      </c>
      <c r="P135" s="430" t="str">
        <f t="array" aca="1" ref="P135" ca="1">INDEX('Form Import'!S:S,MATCH($A135,'Form Import'!$F:$F,0))</f>
        <v xml:space="preserve">Strong Team with a partially formulated vision and hence no real business idea for implementation yet. </v>
      </c>
      <c r="Q135" s="430"/>
      <c r="R135" s="430"/>
      <c r="S135" s="430" t="e">
        <f t="array" aca="1" ref="S135" ca="1">_xludf.TextJoin("; ",1,INDEX(Import!S:S,MATCH(C135,Name,0)))</f>
        <v>#NAME?</v>
      </c>
    </row>
    <row r="136" spans="1:19" ht="60">
      <c r="A136" s="418" t="s">
        <v>9488</v>
      </c>
      <c r="B136" s="419" t="str">
        <f t="array" aca="1" ref="B136" ca="1">CONCATENATE(TEXT(INDEX(query!A:A,MATCH(C136,query!B:B,0)),"M/DD/YYY"),CHAR(10),INDEX(query!E:E,MATCH(C136,query!B:B,0)))</f>
        <v>8/23/2022
Invite Next Year</v>
      </c>
      <c r="C136" s="85" t="s">
        <v>3027</v>
      </c>
      <c r="D136" s="420">
        <f t="array" ref="D136">INDEX(Import!D:D,MATCH(C136,Name,0))</f>
        <v>2.25</v>
      </c>
      <c r="E136" s="421">
        <f t="array" aca="1" ref="E136" ca="1">(INDEX(Import!I:I,MATCH(C136,Name,0))+INDEX(Import!L:L,MATCH(C136,Name,0))+INDEX('Form Import'!V:V,MATCH(A136,'Form Import'!F:F,0)))/3</f>
        <v>3.1666666666666665</v>
      </c>
      <c r="F136" s="422" t="str">
        <f t="array" ref="F136">INDEX(Import!E:E,MATCH(C136,Name,0))</f>
        <v>Countless applications stand between teams and information. The result? Unprecedented fragmentation and a $52bn opportunity.  
Omnifia is an AI company that transforms workplace productivity through the connection of information, surfacing highly relevant insights and unlocking superpowers for its users.</v>
      </c>
      <c r="G136" s="423" t="str">
        <f t="array" ref="G136">CONCATENATE(INDEX(Import!G:G,MATCH(C136,Import!C:C,0)),CHAR(10),INDEX(Import!I:I,MATCH(C136,Name,0)))</f>
        <v>Khoa Ma
2</v>
      </c>
      <c r="H136" s="424" t="str">
        <f t="array" ref="H136">INDEX(Import!H:H,MATCH(C136,Name,0))</f>
        <v>SaaS that connects information, surfacing highly relevant insights of other SaaS products
What's the tech? The app is not great
saturated maket</v>
      </c>
      <c r="I136" s="423" t="str">
        <f t="array" ref="I136">CONCATENATE(INDEX(Import!J:J,MATCH(C136,Name,0)),CHAR(10),INDEX(Import!L:L,MATCH(C136,Name,0)))</f>
        <v>Sriharsha Indupuru
2.5</v>
      </c>
      <c r="J136" s="424" t="str">
        <f t="array" ref="J136">INDEX(Import!K:K,MATCH(C136,Name,0))</f>
        <v>+Intelligent Virtual Assistant
 - Not a big market as many people from small to big tech companies working on the same issue
 - early to EFL also I think it is not suited for DT 
 - Need more customers, Maybe too early for EFL?</v>
      </c>
      <c r="K136" s="423" t="str">
        <f t="array" aca="1" ref="K136" ca="1">CONCATENATE(INDEX('Form Import'!D:D,MATCH(A136,'Form Import'!F:F,0)),CHAR(10),INDEX('Form Import'!V:V,MATCH(A136,'Form Import'!F:F,0)))</f>
        <v>Ahmed Bahgat
5</v>
      </c>
      <c r="L136" s="424" t="str">
        <f t="array" aca="1" ref="L136" ca="1">INDEX('Form Import'!W:W,MATCH(A136,'Form Import'!F:F,0))</f>
        <v>This is a good candidate for EFL in that the business has a product &amp; a growing customer base but is looking for how to scale.</v>
      </c>
      <c r="M136" s="422"/>
      <c r="N136" s="422" t="str">
        <f t="array" aca="1" ref="N136" ca="1">INDEX('Form Import'!L:L,MATCH($A136,'Form Import'!$F:$F,0))</f>
        <v xml:space="preserve">Innovative solution that seems to provide a lot more advanced functionality as compared to competitors in the sub-metering space, such as risk management through control and analytics &amp; manufacturers for fixture efficiency among others. </v>
      </c>
      <c r="O136" s="422" t="str">
        <f t="array" aca="1" ref="O136" ca="1">INDEX('Form Import'!O:O,MATCH($A136,'Form Import'!$F:$F,0))</f>
        <v xml:space="preserve">Strong market analysis that helped identify their target segment - large multi-tenant properties. </v>
      </c>
      <c r="P136" s="422" t="str">
        <f t="array" aca="1" ref="P136" ca="1">INDEX('Form Import'!S:S,MATCH($A136,'Form Import'!$F:$F,0))</f>
        <v>Great team with a strong vision to help America save millions of gallons of water while preventing building damage.</v>
      </c>
      <c r="Q136" s="422"/>
      <c r="R136" s="422"/>
      <c r="S136" s="422" t="e">
        <f t="array" aca="1" ref="S136" ca="1">_xludf.TextJoin("; ",1,INDEX(Import!S:S,MATCH(C136,Name,0)))</f>
        <v>#NAME?</v>
      </c>
    </row>
    <row r="137" spans="1:19" ht="84">
      <c r="A137" s="425" t="s">
        <v>9915</v>
      </c>
      <c r="B137" s="426" t="str">
        <f t="array" aca="1" ref="B137" ca="1">CONCATENATE(TEXT(INDEX(query!A:A,MATCH(C137,query!B:B,0)),"M/DD/YYY"),CHAR(10),INDEX(query!E:E,MATCH(C137,query!B:B,0)))</f>
        <v>8/23/2022
Invite Next Year</v>
      </c>
      <c r="C137" s="427" t="s">
        <v>9007</v>
      </c>
      <c r="D137" s="428">
        <f t="array" ref="D137">INDEX(Import!D:D,MATCH(C137,Name,0))</f>
        <v>3.25</v>
      </c>
      <c r="E137" s="429">
        <f t="array" aca="1" ref="E137" ca="1">(INDEX(Import!I:I,MATCH(C137,Name,0))+INDEX(Import!L:L,MATCH(C137,Name,0))+INDEX('Form Import'!V:V,MATCH(A137,'Form Import'!F:F,0)))/3</f>
        <v>3.8333333333333335</v>
      </c>
      <c r="F137" s="430">
        <f t="array" ref="F137">INDEX(Import!E:E,MATCH(C137,Name,0))</f>
        <v>0</v>
      </c>
      <c r="G137" s="431" t="str">
        <f t="array" ref="G137">CONCATENATE(INDEX(Import!G:G,MATCH(C137,Import!C:C,0)),CHAR(10),INDEX(Import!I:I,MATCH(C137,Name,0)))</f>
        <v>Larisa Kagermazova
3</v>
      </c>
      <c r="H137" s="432">
        <f t="array" ref="H137">INDEX(Import!H:H,MATCH(C137,Name,0))</f>
        <v>0</v>
      </c>
      <c r="I137" s="431" t="str">
        <f t="array" ref="I137">CONCATENATE(INDEX(Import!J:J,MATCH(C137,Name,0)),CHAR(10),INDEX(Import!L:L,MATCH(C137,Name,0)))</f>
        <v>Parsa Amiri
3.5</v>
      </c>
      <c r="J137" s="432" t="str">
        <f t="array" ref="J137">INDEX(Import!K:K,MATCH(C137,Name,0))</f>
        <v>Multi-cancer early detection test based on detectin miRNA in liquid biopsy. It seems they are conducting research for the past 6 years, however their progress and milestones achieved are really slow in my opinion. The don't have a substantial innovation, and there are many competitors working on development of similar products. Only 1 provisional patent filed 3 months ago, and still under negotiation for licensing.</v>
      </c>
      <c r="K137" s="431" t="str">
        <f t="array" aca="1" ref="K137" ca="1">CONCATENATE(INDEX('Form Import'!D:D,MATCH(A137,'Form Import'!F:F,0)),CHAR(10),INDEX('Form Import'!V:V,MATCH(A137,'Form Import'!F:F,0)))</f>
        <v>Ahmed Bahgat
5</v>
      </c>
      <c r="L137" s="432" t="str">
        <f t="array" aca="1" ref="L137" ca="1">INDEX('Form Import'!W:W,MATCH(A137,'Form Import'!F:F,0))</f>
        <v xml:space="preserve">Good candidate for EFL - have a great product with a target market and looking to refine their go-to-market strategy. </v>
      </c>
      <c r="M137" s="430"/>
      <c r="N137" s="430" t="str">
        <f t="array" aca="1" ref="N137" ca="1">INDEX('Form Import'!L:L,MATCH($A137,'Form Import'!$F:$F,0))</f>
        <v>Solution PoC near completion.  Solution is replacing a labor-intensive process that includes special technicians and expensive equipment to process fat and prepare it for fat grafting.
Plan to use razor-razorblade model with high margin single-use disposable cartridges.</v>
      </c>
      <c r="O137" s="430" t="str">
        <f t="array" aca="1" ref="O137" ca="1">INDEX('Form Import'!O:O,MATCH($A137,'Form Import'!$F:$F,0))</f>
        <v>Targeting aesthetics space as the initial go to market, specifically the fat transfer devices and injectables.</v>
      </c>
      <c r="P137" s="430" t="str">
        <f t="array" aca="1" ref="P137" ca="1">INDEX('Form Import'!S:S,MATCH($A137,'Form Import'!$F:$F,0))</f>
        <v>Strong team with solid experience. Well-positioned to drive this product to commercialization.</v>
      </c>
      <c r="Q137" s="430"/>
      <c r="R137" s="430"/>
      <c r="S137" s="430" t="e">
        <f t="array" aca="1" ref="S137" ca="1">_xludf.TextJoin("; ",1,INDEX(Import!S:S,MATCH(C137,Name,0)))</f>
        <v>#NAME?</v>
      </c>
    </row>
    <row r="138" spans="1:19" ht="84">
      <c r="A138" s="418" t="s">
        <v>1995</v>
      </c>
      <c r="B138" s="419" t="str">
        <f t="array" aca="1" ref="B138" ca="1">CONCATENATE(TEXT(INDEX(query!A:A,MATCH(C138,query!B:B,0)),"M/DD/YYY"),CHAR(10),INDEX(query!E:E,MATCH(C138,query!B:B,0)))</f>
        <v>8/11/2022
Invite</v>
      </c>
      <c r="C138" s="85" t="s">
        <v>232</v>
      </c>
      <c r="D138" s="420">
        <f t="array" ref="D138">INDEX(Import!D:D,MATCH(C138,Name,0))</f>
        <v>4</v>
      </c>
      <c r="E138" s="421">
        <f t="array" aca="1" ref="E138" ca="1">(INDEX(Import!I:I,MATCH(C138,Name,0))+INDEX(Import!L:L,MATCH(C138,Name,0))+INDEX('Form Import'!V:V,MATCH(A138,'Form Import'!F:F,0)))/3</f>
        <v>4.333333333333333</v>
      </c>
      <c r="F138" s="422" t="str">
        <f t="array" ref="F138">INDEX(Import!E:E,MATCH(C138,Name,0))</f>
        <v>ONEKEY automates security &amp; compliance of vendors and buyers of connected smart devices (IIoT/OT/IoT) through its unique, proprietary SaaS platform. We are significantly reducing our customer?s costs, resources, and time to market for - while increasing security, compliance and software supply chain transparency.</v>
      </c>
      <c r="G138" s="423" t="str">
        <f t="array" ref="G138">CONCATENATE(INDEX(Import!G:G,MATCH(C138,Import!C:C,0)),CHAR(10),INDEX(Import!I:I,MATCH(C138,Name,0)))</f>
        <v>Khoa Ma
4</v>
      </c>
      <c r="H138" s="424" t="str">
        <f t="array" ref="H138">INDEX(Import!H:H,MATCH(C138,Name,0))</f>
        <v>DiT
automated security analysis of IoT firmware
team sold last company to Swiss EXCEET Group</v>
      </c>
      <c r="I138" s="423" t="str">
        <f t="array" ref="I138">CONCATENATE(INDEX(Import!J:J,MATCH(C138,Name,0)),CHAR(10),INDEX(Import!L:L,MATCH(C138,Name,0)))</f>
        <v>Shubo (Gabriel) Xu
4</v>
      </c>
      <c r="J138" s="424" t="str">
        <f t="array" ref="J138">INDEX(Import!K:K,MATCH(C138,Name,0))</f>
        <v>+
1. good tech
2. good team
-
1. perhaps more info is needed, see Notes on Technology</v>
      </c>
      <c r="K138" s="423" t="str">
        <f t="array" aca="1" ref="K138" ca="1">CONCATENATE(INDEX('Form Import'!D:D,MATCH(A138,'Form Import'!F:F,0)),CHAR(10),INDEX('Form Import'!V:V,MATCH(A138,'Form Import'!F:F,0)))</f>
        <v>Ahmed Bahgat
5</v>
      </c>
      <c r="L138" s="424" t="str">
        <f t="array" aca="1" ref="L138" ca="1">INDEX('Form Import'!W:W,MATCH(A138,'Form Import'!F:F,0))</f>
        <v>Note my assessment above is based on a very limited comprehension of the technology provided as presented in the application and deck.
Application seems inconsistent with the link to the deck provided. MVP was done, validated with 20+ customers and completed 1st product sale. 
Business is well positioned to make use of EFL through market research and revisiting the existing business model.</v>
      </c>
      <c r="M138" s="422"/>
      <c r="N138" s="422" t="str">
        <f t="array" aca="1" ref="N138" ca="1">INDEX('Form Import'!L:L,MATCH($A138,'Form Import'!$F:$F,0))</f>
        <v>Has "exclusive licenses to earliest and broadest split-pool barcoding and combinatorial indexing “in situ” technology".</v>
      </c>
      <c r="O138" s="422" t="str">
        <f t="array" aca="1" ref="O138" ca="1">INDEX('Form Import'!O:O,MATCH($A138,'Form Import'!$F:$F,0))</f>
        <v>Technology solution to be applied across genomics, spatial genomics, proteomics, mass spectrometry in phases and in that order.</v>
      </c>
      <c r="P138" s="422" t="str">
        <f t="array" aca="1" ref="P138" ca="1">INDEX('Form Import'!S:S,MATCH($A138,'Form Import'!$F:$F,0))</f>
        <v>Strong experienced team that are well positioned to innovate and lead this sector</v>
      </c>
      <c r="Q138" s="422"/>
      <c r="R138" s="422"/>
      <c r="S138" s="422" t="e">
        <f t="array" aca="1" ref="S138" ca="1">_xludf.TextJoin("; ",1,INDEX(Import!S:S,MATCH(C138,Name,0)))</f>
        <v>#NAME?</v>
      </c>
    </row>
    <row r="139" spans="1:19" ht="72">
      <c r="A139" s="425" t="s">
        <v>7491</v>
      </c>
      <c r="B139" s="426" t="str">
        <f t="array" aca="1" ref="B139" ca="1">CONCATENATE(TEXT(INDEX(query!A:A,MATCH(C139,query!B:B,0)),"M/DD/YYY"),CHAR(10),INDEX(query!E:E,MATCH(C139,query!B:B,0)))</f>
        <v>8/23/2022
Invite Next Year</v>
      </c>
      <c r="C139" s="427" t="s">
        <v>7397</v>
      </c>
      <c r="D139" s="428">
        <f t="array" ref="D139">INDEX(Import!D:D,MATCH(C139,Name,0))</f>
        <v>2</v>
      </c>
      <c r="E139" s="429">
        <f t="array" aca="1" ref="E139" ca="1">(INDEX(Import!I:I,MATCH(C139,Name,0))+INDEX(Import!L:L,MATCH(C139,Name,0))+INDEX('Form Import'!V:V,MATCH(A139,'Form Import'!F:F,0)))/3</f>
        <v>1.6666666666666667</v>
      </c>
      <c r="F139" s="430" t="str">
        <f t="array" ref="F139">INDEX(Import!E:E,MATCH(C139,Name,0))</f>
        <v>Onex is a sales tool to for every healthcare manaufactuerer to manage their business in international markets</v>
      </c>
      <c r="G139" s="431" t="str">
        <f t="array" ref="G139">CONCATENATE(INDEX(Import!G:G,MATCH(C139,Import!C:C,0)),CHAR(10),INDEX(Import!I:I,MATCH(C139,Name,0)))</f>
        <v>Beth Xie
2</v>
      </c>
      <c r="H139" s="432" t="str">
        <f t="array" ref="H139">INDEX(Import!H:H,MATCH(C139,Name,0))</f>
        <v>- Beachhead is in the Middle East. Does not give clear information on application beyond its beachhead region. 
- Demonstrated traction with $320K in ARR. 
- Application's product information is confusing, showing language barrier.
- Not a fit for EFL.</v>
      </c>
      <c r="I139" s="431" t="str">
        <f t="array" ref="I139">CONCATENATE(INDEX(Import!J:J,MATCH(C139,Name,0)),CHAR(10),INDEX(Import!L:L,MATCH(C139,Name,0)))</f>
        <v>Boyang Yu
2</v>
      </c>
      <c r="J139" s="432" t="str">
        <f t="array" ref="J139">INDEX(Import!K:K,MATCH(C139,Name,0))</f>
        <v>The tech isn't cutting edge and little validation is provided</v>
      </c>
      <c r="K139" s="431" t="str">
        <f t="array" aca="1" ref="K139" ca="1">CONCATENATE(INDEX('Form Import'!D:D,MATCH(A139,'Form Import'!F:F,0)),CHAR(10),INDEX('Form Import'!V:V,MATCH(A139,'Form Import'!F:F,0)))</f>
        <v>Ahmed Bahgat
1</v>
      </c>
      <c r="L139" s="432" t="str">
        <f t="array" aca="1" ref="L139" ca="1">INDEX('Form Import'!W:W,MATCH(A139,'Form Import'!F:F,0))</f>
        <v>There doesn't seem to be a technology solution here. Its a College Counselling business looking to build an app.</v>
      </c>
      <c r="M139" s="430"/>
      <c r="N139" s="430" t="str">
        <f t="array" aca="1" ref="N139" ca="1">INDEX('Form Import'!L:L,MATCH($A139,'Form Import'!$F:$F,0))</f>
        <v xml:space="preserve">There is no developed technology as of yet.  </v>
      </c>
      <c r="O139" s="430" t="str">
        <f t="array" aca="1" ref="O139" ca="1">INDEX('Form Import'!O:O,MATCH($A139,'Form Import'!$F:$F,0))</f>
        <v xml:space="preserve">Market is not defined. application states an addressable global market of 10 Billion customers (note: there are 8 Billion people on earth) </v>
      </c>
      <c r="P139" s="430" t="str">
        <f t="array" aca="1" ref="P139" ca="1">INDEX('Form Import'!S:S,MATCH($A139,'Form Import'!$F:$F,0))</f>
        <v>Founders, advisors, or team members experience not provided in application or their website</v>
      </c>
      <c r="Q139" s="430"/>
      <c r="R139" s="430"/>
      <c r="S139" s="430" t="e">
        <f t="array" aca="1" ref="S139" ca="1">_xludf.TextJoin("; ",1,INDEX(Import!S:S,MATCH(C139,Name,0)))</f>
        <v>#NAME?</v>
      </c>
    </row>
    <row r="140" spans="1:19" ht="24">
      <c r="A140" s="418" t="s">
        <v>9924</v>
      </c>
      <c r="B140" s="419" t="str">
        <f t="array" aca="1" ref="B140" ca="1">CONCATENATE(TEXT(INDEX(query!A:A,MATCH(C140,query!B:B,0)),"M/DD/YYY"),CHAR(10),INDEX(query!E:E,MATCH(C140,query!B:B,0)))</f>
        <v>8/11/2022
Invite Next Year</v>
      </c>
      <c r="C140" s="85" t="s">
        <v>7406</v>
      </c>
      <c r="D140" s="420">
        <f t="array" ref="D140">INDEX(Import!D:D,MATCH(C140,Name,0))</f>
        <v>2</v>
      </c>
      <c r="E140" s="421">
        <f t="array" aca="1" ref="E140" ca="1">(INDEX(Import!I:I,MATCH(C140,Name,0))+INDEX(Import!L:L,MATCH(C140,Name,0))+INDEX('Form Import'!V:V,MATCH(A140,'Form Import'!F:F,0)))/3</f>
        <v>3</v>
      </c>
      <c r="F140" s="422" t="str">
        <f t="array" ref="F140">INDEX(Import!E:E,MATCH(C140,Name,0))</f>
        <v>OnMyGrad is a 500 Global-backed one-stop platform for leading employers to educate, attract and assess top talents from universities via immersive experience with half of their original efforts.</v>
      </c>
      <c r="G140" s="423" t="str">
        <f t="array" ref="G140">CONCATENATE(INDEX(Import!G:G,MATCH(C140,Import!C:C,0)),CHAR(10),INDEX(Import!I:I,MATCH(C140,Name,0)))</f>
        <v>Mark Flynn
2</v>
      </c>
      <c r="H140" s="424" t="str">
        <f t="array" ref="H140">INDEX(Import!H:H,MATCH(C140,Name,0))</f>
        <v>HR recruiting platform focused mainly in Hong Kong; not convinced of tech innovation and would need to see more traction outside of HK</v>
      </c>
      <c r="I140" s="423" t="str">
        <f t="array" ref="I140">CONCATENATE(INDEX(Import!J:J,MATCH(C140,Name,0)),CHAR(10),INDEX(Import!L:L,MATCH(C140,Name,0)))</f>
        <v>Boyang Yu
2</v>
      </c>
      <c r="J140" s="424" t="str">
        <f t="array" ref="J140">INDEX(Import!K:K,MATCH(C140,Name,0))</f>
        <v>The product and business model seems mature but the core technology is ambiguous from description</v>
      </c>
      <c r="K140" s="423" t="str">
        <f t="array" aca="1" ref="K140" ca="1">CONCATENATE(INDEX('Form Import'!D:D,MATCH(A140,'Form Import'!F:F,0)),CHAR(10),INDEX('Form Import'!V:V,MATCH(A140,'Form Import'!F:F,0)))</f>
        <v>Ahmed Bahgat
5</v>
      </c>
      <c r="L140" s="424" t="str">
        <f t="array" aca="1" ref="L140" ca="1">INDEX('Form Import'!W:W,MATCH(A140,'Form Import'!F:F,0))</f>
        <v>Well positioned to benefit from EFL - such as conducting market research and refining business model.</v>
      </c>
      <c r="M140" s="422"/>
      <c r="N140" s="422" t="str">
        <f t="array" aca="1" ref="N140" ca="1">INDEX('Form Import'!L:L,MATCH($A140,'Form Import'!$F:$F,0))</f>
        <v>No patent yet protecting the software.
Solution allows for building &amp; connecting "labsheets" to track inventory, samples, and to automate workflows and is integrated with 3rd-party apps and analysis on
experiment data to allow for better decisions on experiments</v>
      </c>
      <c r="O140" s="422" t="str">
        <f t="array" aca="1" ref="O140" ca="1">INDEX('Form Import'!O:O,MATCH($A140,'Form Import'!$F:$F,0))</f>
        <v xml:space="preserve">Target market defined as small businesses. SAM of $25.5M and SOM of $2.5M (numbers seem incorrect). </v>
      </c>
      <c r="P140" s="422" t="str">
        <f t="array" aca="1" ref="P140" ca="1">INDEX('Form Import'!S:S,MATCH($A140,'Form Import'!$F:$F,0))</f>
        <v xml:space="preserve">Strong team executing a strong vision - make workflow automation possible for every life science lab on this planet. </v>
      </c>
      <c r="Q140" s="422"/>
      <c r="R140" s="422"/>
      <c r="S140" s="422" t="e">
        <f t="array" aca="1" ref="S140" ca="1">_xludf.TextJoin("; ",1,INDEX(Import!S:S,MATCH(C140,Name,0)))</f>
        <v>#NAME?</v>
      </c>
    </row>
    <row r="141" spans="1:19" ht="36">
      <c r="A141" s="425" t="s">
        <v>8295</v>
      </c>
      <c r="B141" s="426" t="str">
        <f t="array" aca="1" ref="B141" ca="1">CONCATENATE(TEXT(INDEX(query!A:A,MATCH(C141,query!B:B,0)),"M/DD/YYY"),CHAR(10),INDEX(query!E:E,MATCH(C141,query!B:B,0)))</f>
        <v>8/03/2022
Invite Next Year</v>
      </c>
      <c r="C141" s="427" t="s">
        <v>3035</v>
      </c>
      <c r="D141" s="428">
        <f t="array" ref="D141">INDEX(Import!D:D,MATCH(C141,Name,0))</f>
        <v>2.5</v>
      </c>
      <c r="E141" s="429">
        <f t="array" aca="1" ref="E141" ca="1">(INDEX(Import!I:I,MATCH(C141,Name,0))+INDEX(Import!L:L,MATCH(C141,Name,0))+INDEX('Form Import'!V:V,MATCH(A141,'Form Import'!F:F,0)))/3</f>
        <v>2</v>
      </c>
      <c r="F141" s="430" t="str">
        <f t="array" ref="F141">INDEX(Import!E:E,MATCH(C141,Name,0))</f>
        <v>OpenPie builds the world's leading cloud-native database and data computing platform to enable orgnizations and individuals to make new discoveries like Isaac Newton discovering the classical mechanics.</v>
      </c>
      <c r="G141" s="431" t="str">
        <f t="array" ref="G141">CONCATENATE(INDEX(Import!G:G,MATCH(C141,Import!C:C,0)),CHAR(10),INDEX(Import!I:I,MATCH(C141,Name,0)))</f>
        <v>Khoa Ma
3</v>
      </c>
      <c r="H141" s="432" t="str">
        <f t="array" ref="H141">INDEX(Import!H:H,MATCH(C141,Name,0))</f>
        <v>DiT startup? Invite next year</v>
      </c>
      <c r="I141" s="431" t="str">
        <f t="array" ref="I141">CONCATENATE(INDEX(Import!J:J,MATCH(C141,Name,0)),CHAR(10),INDEX(Import!L:L,MATCH(C141,Name,0)))</f>
        <v>Sriharsha Indupuru
2</v>
      </c>
      <c r="J141" s="432" t="str">
        <f t="array" ref="J141">INDEX(Import!K:K,MATCH(C141,Name,0))</f>
        <v>- The team doesn't have a long-term vision
+ At present Company is backed by Tencent group  
+</v>
      </c>
      <c r="K141" s="431" t="str">
        <f t="array" aca="1" ref="K141" ca="1">CONCATENATE(INDEX('Form Import'!D:D,MATCH(A141,'Form Import'!F:F,0)),CHAR(10),INDEX('Form Import'!V:V,MATCH(A141,'Form Import'!F:F,0)))</f>
        <v>Ahmed Bahgat
1</v>
      </c>
      <c r="L141" s="432" t="str">
        <f t="array" aca="1" ref="L141" ca="1">INDEX('Form Import'!W:W,MATCH(A141,'Form Import'!F:F,0))</f>
        <v>It seems the founders are looking to EFL for ideas for a business. There doesn't seem to be a solid business to help here.</v>
      </c>
      <c r="M141" s="430"/>
      <c r="N141" s="430" t="str">
        <f t="array" aca="1" ref="N141" ca="1">INDEX('Form Import'!L:L,MATCH($A141,'Form Import'!$F:$F,0))</f>
        <v>No patent submitted.
Kleen: Booking and payment system integration within the app which was validated
Rail:Autonomous aircraft</v>
      </c>
      <c r="O141" s="430" t="str">
        <f t="array" aca="1" ref="O141" ca="1">INDEX('Form Import'!O:O,MATCH($A141,'Form Import'!$F:$F,0))</f>
        <v>Target market for Rail is "People who work in skyscrapers or buildings"
Target market for Kleen is "New York City, Lima"
Doesn't seem like market research.</v>
      </c>
      <c r="P141" s="430" t="str">
        <f t="array" aca="1" ref="P141" ca="1">INDEX('Form Import'!S:S,MATCH($A141,'Form Import'!$F:$F,0))</f>
        <v>Vision - using technology to solve problems - needs to be refined.
Team's experience not provided.</v>
      </c>
      <c r="Q141" s="430"/>
      <c r="R141" s="430"/>
      <c r="S141" s="430" t="e">
        <f t="array" aca="1" ref="S141" ca="1">_xludf.TextJoin("; ",1,INDEX(Import!S:S,MATCH(C141,Name,0)))</f>
        <v>#NAME?</v>
      </c>
    </row>
    <row r="142" spans="1:19" ht="96">
      <c r="A142" s="418" t="s">
        <v>7707</v>
      </c>
      <c r="B142" s="419" t="str">
        <f t="array" aca="1" ref="B142" ca="1">CONCATENATE(TEXT(INDEX(query!A:A,MATCH(C142,query!B:B,0)),"M/DD/YYY"),CHAR(10),INDEX(query!E:E,MATCH(C142,query!B:B,0)))</f>
        <v>8/11/2022
Invite</v>
      </c>
      <c r="C142" s="85" t="s">
        <v>223</v>
      </c>
      <c r="D142" s="420">
        <f t="array" ref="D142">INDEX(Import!D:D,MATCH(C142,Name,0))</f>
        <v>4.38</v>
      </c>
      <c r="E142" s="421">
        <f t="array" aca="1" ref="E142" ca="1">(INDEX(Import!I:I,MATCH(C142,Name,0))+INDEX(Import!L:L,MATCH(C142,Name,0))+INDEX('Form Import'!V:V,MATCH(A142,'Form Import'!F:F,0)))/3</f>
        <v>3.9166666666666665</v>
      </c>
      <c r="F142" s="422" t="str">
        <f t="array" ref="F142">INDEX(Import!E:E,MATCH(C142,Name,0))</f>
        <v>At OPTT, we apply natural language processing and proprietary AI algorithms to capture data that provide accurate and actionable insights about a patient' condition, allow for objective, and data-based decisions about courses of treatment that fits each individual patient?s needs, and streamline delivery of care through our clinically-validated tre</v>
      </c>
      <c r="G142" s="423" t="str">
        <f t="array" ref="G142">CONCATENATE(INDEX(Import!G:G,MATCH(C142,Import!C:C,0)),CHAR(10),INDEX(Import!I:I,MATCH(C142,Name,0)))</f>
        <v>Deepak Hegde
4</v>
      </c>
      <c r="H142" s="424" t="str">
        <f t="array" ref="H142">INDEX(Import!H:H,MATCH(C142,Name,0))</f>
        <v>We should interview them and dig into validation data</v>
      </c>
      <c r="I142" s="423" t="str">
        <f t="array" ref="I142">CONCATENATE(INDEX(Import!J:J,MATCH(C142,Name,0)),CHAR(10),INDEX(Import!L:L,MATCH(C142,Name,0)))</f>
        <v>Beth Xie
4.75</v>
      </c>
      <c r="J142" s="424" t="str">
        <f t="array" ref="J142">INDEX(Import!K:K,MATCH(C142,Name,0))</f>
        <v>- Team: lead by a group of MDs with psychiatry practice experience, and NLP and data science skills.
- Science: Developing and testing algorithm with historical clinical data and also running multiple blind clinical trials.
-Market: Earned $1.5M (CAN) in total revenue already with enterprise customers. 
- Looking to EFL's program to mentor team on developing new products and business models with current technology.</v>
      </c>
      <c r="K142" s="423" t="str">
        <f t="array" aca="1" ref="K142" ca="1">CONCATENATE(INDEX('Form Import'!D:D,MATCH(A142,'Form Import'!F:F,0)),CHAR(10),INDEX('Form Import'!V:V,MATCH(A142,'Form Import'!F:F,0)))</f>
        <v>Ahmed Bahgat
3</v>
      </c>
      <c r="L142" s="424" t="str">
        <f t="array" aca="1" ref="L142" ca="1">INDEX('Form Import'!W:W,MATCH(A142,'Form Import'!F:F,0))</f>
        <v xml:space="preserve">Good team with a slightly differentiated product in a very competitive market. Looking for EFL to conduct market research and for fundraising. </v>
      </c>
      <c r="M142" s="422"/>
      <c r="N142" s="422" t="str">
        <f t="array" aca="1" ref="N142" ca="1">INDEX('Form Import'!L:L,MATCH($A142,'Form Import'!$F:$F,0))</f>
        <v>Technology solution is a "Proprietary Algorithm enabling individuals express and explore based on Interests &amp; Passions". Seems like a slightly differentiated product from competitors.</v>
      </c>
      <c r="O142" s="422" t="str">
        <f t="array" aca="1" ref="O142" ca="1">INDEX('Form Import'!O:O,MATCH($A142,'Form Import'!$F:$F,0))</f>
        <v>Target market is not defined.</v>
      </c>
      <c r="P142" s="422" t="str">
        <f t="array" aca="1" ref="P142" ca="1">INDEX('Form Import'!S:S,MATCH($A142,'Form Import'!$F:$F,0))</f>
        <v>Good team but hard to have a differentiated vision in such a competitive market.</v>
      </c>
      <c r="Q142" s="422"/>
      <c r="R142" s="422"/>
      <c r="S142" s="422" t="e">
        <f t="array" aca="1" ref="S142" ca="1">_xludf.TextJoin("; ",1,INDEX(Import!S:S,MATCH(C142,Name,0)))</f>
        <v>#NAME?</v>
      </c>
    </row>
    <row r="143" spans="1:19" ht="96">
      <c r="A143" s="425" t="s">
        <v>5243</v>
      </c>
      <c r="B143" s="426" t="str">
        <f t="array" aca="1" ref="B143" ca="1">CONCATENATE(TEXT(INDEX(query!A:A,MATCH(C143,query!B:B,0)),"M/DD/YYY"),CHAR(10),INDEX(query!E:E,MATCH(C143,query!B:B,0)))</f>
        <v>8/23/2022
Special Reject</v>
      </c>
      <c r="C143" s="427" t="s">
        <v>9612</v>
      </c>
      <c r="D143" s="428">
        <f t="array" ref="D143">INDEX(Import!D:D,MATCH(C143,Name,0))</f>
        <v>3.25</v>
      </c>
      <c r="E143" s="429">
        <f t="array" aca="1" ref="E143" ca="1">(INDEX(Import!I:I,MATCH(C143,Name,0))+INDEX(Import!L:L,MATCH(C143,Name,0))+INDEX('Form Import'!V:V,MATCH(A143,'Form Import'!F:F,0)))/3</f>
        <v>3.5</v>
      </c>
      <c r="F143" s="430" t="str">
        <f t="array" ref="F143">INDEX(Import!E:E,MATCH(C143,Name,0))</f>
        <v>OR Link is a workflow management tool designed to replace/augment current archaic surgical preference card systems that produce material/financial waste, inefficiency &amp; suboptimal proficiency for surgical services. We solve these problems for surgeons, nurses, patients and hospital by a user-friendly, intuitive and icon/photo/video-based platform.</v>
      </c>
      <c r="G143" s="431" t="str">
        <f t="array" ref="G143">CONCATENATE(INDEX(Import!G:G,MATCH(C143,Import!C:C,0)),CHAR(10),INDEX(Import!I:I,MATCH(C143,Name,0)))</f>
        <v>Chris Mosher
3</v>
      </c>
      <c r="H143" s="432" t="str">
        <f t="array" ref="H143">INDEX(Import!H:H,MATCH(C143,Name,0))</f>
        <v>Digital Tech. Surgical workflow software. Did a beta test on 600 cases at Northwestern Medicine Huntley Hospital in 2019. Huge cost savings and recommendation was to implement across the hospital - did this happen? They applied previously, and have since patent protected their tech and run another beta test - results were skewed due to COVID but still favorable, need to see the data though. Team is impressive but part-time.</v>
      </c>
      <c r="I143" s="431" t="str">
        <f t="array" ref="I143">CONCATENATE(INDEX(Import!J:J,MATCH(C143,Name,0)),CHAR(10),INDEX(Import!L:L,MATCH(C143,Name,0)))</f>
        <v>Parsa Amiri
3.5</v>
      </c>
      <c r="J143" s="432" t="str">
        <f t="array" ref="J143">INDEX(Import!K:K,MATCH(C143,Name,0))</f>
        <v>Digital Tech. Referred by Lou Walcer. Previously applied. NYU alumni. Part-time team. Affiliated with Cornell University McGovern Center for Life Sciences Development currently. Highly focused on early exit opportunities. An AI-powered cloud-native surgical workflow application that is accessible via any PC or iOS tablet, for making surgery preference cards and surgical procedures digital. Lack of business knowledge, and trying to make a on-stop-shop for surgery procedures, but they lack a good strategy and plan to do so.</v>
      </c>
      <c r="K143" s="431" t="str">
        <f t="array" aca="1" ref="K143" ca="1">CONCATENATE(INDEX('Form Import'!D:D,MATCH(A143,'Form Import'!F:F,0)),CHAR(10),INDEX('Form Import'!V:V,MATCH(A143,'Form Import'!F:F,0)))</f>
        <v>Ahmed Bahgat
4</v>
      </c>
      <c r="L143" s="432" t="str">
        <f t="array" aca="1" ref="L143" ca="1">INDEX('Form Import'!W:W,MATCH(A143,'Form Import'!F:F,0))</f>
        <v>Great team with a specialized product in a competitive market. Looking for help in acquiring customers (talent &amp; employers) to build a strong network effect. It seems well-positioned to benefit from EFL.</v>
      </c>
      <c r="M143" s="430"/>
      <c r="N143" s="430" t="str">
        <f t="array" aca="1" ref="N143" ca="1">INDEX('Form Import'!L:L,MATCH($A143,'Form Import'!$F:$F,0))</f>
        <v>Technology solution is Subscription profile-based model. Differentiator is that its both smart matching of cybersecurity talent and expansion of the cybersecurity talent pool. That is its a cybersecurity ecosystem of talent, training, and job opportunities.
No Patent yet: will "patent our ML/AI algorithm once we have all domains that feed the algorithm"</v>
      </c>
      <c r="O143" s="430" t="str">
        <f t="array" aca="1" ref="O143" ca="1">INDEX('Form Import'!O:O,MATCH($A143,'Form Import'!$F:$F,0))</f>
        <v>Target market broadly defined "SOM of $500k in the first year of operation; $5.5B SAM, of existing Cybersecurity talent placement and training, and a $20B TAM". Further market research can be done to determine optimal cybersecurity customers (talent &amp; employers) for this solution.</v>
      </c>
      <c r="P143" s="430" t="str">
        <f t="array" aca="1" ref="P143" ca="1">INDEX('Form Import'!S:S,MATCH($A143,'Form Import'!$F:$F,0))</f>
        <v>Strong vision with a solid team in a very competitive market.</v>
      </c>
      <c r="Q143" s="430"/>
      <c r="R143" s="430"/>
      <c r="S143" s="430" t="e">
        <f t="array" aca="1" ref="S143" ca="1">_xludf.TextJoin("; ",1,INDEX(Import!S:S,MATCH(C143,Name,0)))</f>
        <v>#NAME?</v>
      </c>
    </row>
    <row r="144" spans="1:19" ht="72">
      <c r="A144" s="418" t="s">
        <v>4008</v>
      </c>
      <c r="B144" s="419" t="str">
        <f t="array" aca="1" ref="B144" ca="1">CONCATENATE(TEXT(INDEX(query!A:A,MATCH(C144,query!B:B,0)),"M/DD/YYY"),CHAR(10),INDEX(query!E:E,MATCH(C144,query!B:B,0)))</f>
        <v>8/23/2022
Invite Next Year</v>
      </c>
      <c r="C144" s="85" t="s">
        <v>5164</v>
      </c>
      <c r="D144" s="420">
        <f t="array" ref="D144">INDEX(Import!D:D,MATCH(C144,Name,0))</f>
        <v>3.25</v>
      </c>
      <c r="E144" s="421">
        <f t="array" aca="1" ref="E144" ca="1">(INDEX(Import!I:I,MATCH(C144,Name,0))+INDEX(Import!L:L,MATCH(C144,Name,0))+INDEX('Form Import'!V:V,MATCH(A144,'Form Import'!F:F,0)))/3</f>
        <v>3.8333333333333335</v>
      </c>
      <c r="F144" s="422" t="str">
        <f t="array" ref="F144">INDEX(Import!E:E,MATCH(C144,Name,0))</f>
        <v>Orange Therapeutics is developing virtual humans to deliver cognitive behavioral therapy to augment the therapy patients of specific disorder populations receive from their (human) clinicians.</v>
      </c>
      <c r="G144" s="423" t="str">
        <f t="array" ref="G144">CONCATENATE(INDEX(Import!G:G,MATCH(C144,Import!C:C,0)),CHAR(10),INDEX(Import!I:I,MATCH(C144,Name,0)))</f>
        <v>Beth Xie
3</v>
      </c>
      <c r="H144" s="424" t="str">
        <f t="array" ref="H144">INDEX(Import!H:H,MATCH(C144,Name,0))</f>
        <v>- Creating virtual human clinician. 
- A lot of well established competitors using various modalities. 
- Unclear application, failing to give details in innovation and technology moat. 
- Poorly written application. 
- Could interview next year to understand traction.</v>
      </c>
      <c r="I144" s="423" t="str">
        <f t="array" ref="I144">CONCATENATE(INDEX(Import!J:J,MATCH(C144,Name,0)),CHAR(10),INDEX(Import!L:L,MATCH(C144,Name,0)))</f>
        <v>Boyang Yu
3.5</v>
      </c>
      <c r="J144" s="424" t="str">
        <f t="array" ref="J144">INDEX(Import!K:K,MATCH(C144,Name,0))</f>
        <v>The company is growing(possible pilot with rehab centers)
But tech validation is ambiguous and is cutting edge
The application is not filled in with caution(missing fund raising/founder information, typos)</v>
      </c>
      <c r="K144" s="423" t="str">
        <f t="array" aca="1" ref="K144" ca="1">CONCATENATE(INDEX('Form Import'!D:D,MATCH(A144,'Form Import'!F:F,0)),CHAR(10),INDEX('Form Import'!V:V,MATCH(A144,'Form Import'!F:F,0)))</f>
        <v>Ahmed Bahgat
5</v>
      </c>
      <c r="L144" s="424" t="str">
        <f t="array" aca="1" ref="L144" ca="1">INDEX('Form Import'!W:W,MATCH(A144,'Form Import'!F:F,0))</f>
        <v xml:space="preserve">Well positioned to benefit from EFL through the need for a robust marketing plan/how to better market the strong technology offering and develop a scaling plan. </v>
      </c>
      <c r="M144" s="422"/>
      <c r="N144" s="422" t="str">
        <f t="array" aca="1" ref="N144" ca="1">INDEX('Form Import'!L:L,MATCH($A144,'Form Import'!$F:$F,0))</f>
        <v>Technology solution targeting the pharma industry that executes required regulatory checks.  Applies layers of business rules to ensure compliance with FDA requirements. The base technology can be applied to text, images, graphs and charts. The software can significantly reduce the scope of regulatory review, increase the speed and implementation of promotional assets, thereby increasing profitability. Pilot was done in 2021.
"full patent with additional claims to be filed by end of September 2022"</v>
      </c>
      <c r="O144" s="422" t="str">
        <f t="array" aca="1" ref="O144" ca="1">INDEX('Form Import'!O:O,MATCH($A144,'Form Import'!$F:$F,0))</f>
        <v>Target market is broadly defined US spend on brands but in deck it specifies the target pharma promotional spend.</v>
      </c>
      <c r="P144" s="422" t="str">
        <f t="array" aca="1" ref="P144" ca="1">INDEX('Form Import'!S:S,MATCH($A144,'Form Import'!$F:$F,0))</f>
        <v>Solid team with a great product providing targeted solution to a specific market segment.
Vision not stated, mission is provided instead.</v>
      </c>
      <c r="Q144" s="422"/>
      <c r="R144" s="422"/>
      <c r="S144" s="422" t="e">
        <f t="array" aca="1" ref="S144" ca="1">_xludf.TextJoin("; ",1,INDEX(Import!S:S,MATCH(C144,Name,0)))</f>
        <v>#NAME?</v>
      </c>
    </row>
    <row r="145" spans="1:19" ht="60">
      <c r="A145" s="425" t="s">
        <v>13164</v>
      </c>
      <c r="B145" s="426" t="str">
        <f t="array" aca="1" ref="B145" ca="1">CONCATENATE(TEXT(INDEX(query!A:A,MATCH(C145,query!B:B,0)),"M/DD/YYY"),CHAR(10),INDEX(query!E:E,MATCH(C145,query!B:B,0)))</f>
        <v>8/11/2022
Invite</v>
      </c>
      <c r="C145" s="427" t="s">
        <v>411</v>
      </c>
      <c r="D145" s="428">
        <f t="array" ref="D145">INDEX(Import!D:D,MATCH(C145,Name,0))</f>
        <v>4</v>
      </c>
      <c r="E145" s="429">
        <f t="array" aca="1" ref="E145" ca="1">(INDEX(Import!I:I,MATCH(C145,Name,0))+INDEX(Import!L:L,MATCH(C145,Name,0))+INDEX('Form Import'!V:V,MATCH(A145,'Form Import'!F:F,0)))/3</f>
        <v>4</v>
      </c>
      <c r="F145" s="430" t="str">
        <f t="array" ref="F145">INDEX(Import!E:E,MATCH(C145,Name,0))</f>
        <v>Ossiform uses proprietary technology to 3D print patient specific, natural, and resorbable bone implants. This enables fast ingrowth of bone tissue, remodeling into real living bone, and results in fewer complications.</v>
      </c>
      <c r="G145" s="431" t="str">
        <f t="array" ref="G145">CONCATENATE(INDEX(Import!G:G,MATCH(C145,Import!C:C,0)),CHAR(10),INDEX(Import!I:I,MATCH(C145,Name,0)))</f>
        <v>Chris Mosher
4</v>
      </c>
      <c r="H145" s="432" t="str">
        <f t="array" ref="H145">INDEX(Import!H:H,MATCH(C145,Name,0))</f>
        <v>Patient-specific 3D-printed bone implants. ~$5M raised, IP is well protected. Former Medtronic VP on the board.</v>
      </c>
      <c r="I145" s="431" t="str">
        <f t="array" ref="I145">CONCATENATE(INDEX(Import!J:J,MATCH(C145,Name,0)),CHAR(10),INDEX(Import!L:L,MATCH(C145,Name,0)))</f>
        <v>Larisa Kagermazova
4</v>
      </c>
      <c r="J145" s="432" t="str">
        <f t="array" ref="J145">INDEX(Import!K:K,MATCH(C145,Name,0))</f>
        <v>We will probably need to cluster this company with other bone-focused companies</v>
      </c>
      <c r="K145" s="431" t="str">
        <f t="array" aca="1" ref="K145" ca="1">CONCATENATE(INDEX('Form Import'!D:D,MATCH(A145,'Form Import'!F:F,0)),CHAR(10),INDEX('Form Import'!V:V,MATCH(A145,'Form Import'!F:F,0)))</f>
        <v>Nick Schmandt
4</v>
      </c>
      <c r="L145" s="432" t="str">
        <f t="array" aca="1" ref="L145" ca="1">INDEX('Form Import'!W:W,MATCH(A145,'Form Import'!F:F,0))</f>
        <v>This is a very promising technology, but the devil will be in the details of how it can successfully integrate in human conversations or respond to human commands. It will likely work much better for smaller organizations. The fact that they have at least a good starting revenue is encouraging.</v>
      </c>
      <c r="M145" s="430"/>
      <c r="N145" s="430" t="str">
        <f t="array" aca="1" ref="N145" ca="1">INDEX('Form Import'!L:L,MATCH($A145,'Form Import'!$F:$F,0))</f>
        <v>It's a good idea but there are likely a lot of people working on this. Also the devil will be in the details of how well it works with human speech.</v>
      </c>
      <c r="O145" s="430" t="str">
        <f t="array" aca="1" ref="O145" ca="1">INDEX('Form Import'!O:O,MATCH($A145,'Form Import'!$F:$F,0))</f>
        <v>The addressable market is large but competitive.</v>
      </c>
      <c r="P145" s="430" t="str">
        <f t="array" aca="1" ref="P145" ca="1">INDEX('Form Import'!S:S,MATCH($A145,'Form Import'!$F:$F,0))</f>
        <v>team is good with a diverse set of backgrounds.</v>
      </c>
      <c r="Q145" s="430"/>
      <c r="R145" s="430"/>
      <c r="S145" s="430" t="e">
        <f t="array" aca="1" ref="S145" ca="1">_xludf.TextJoin("; ",1,INDEX(Import!S:S,MATCH(C145,Name,0)))</f>
        <v>#NAME?</v>
      </c>
    </row>
    <row r="146" spans="1:19" ht="108">
      <c r="A146" s="418" t="s">
        <v>4017</v>
      </c>
      <c r="B146" s="419" t="str">
        <f t="array" aca="1" ref="B146" ca="1">CONCATENATE(TEXT(INDEX(query!A:A,MATCH(C146,query!B:B,0)),"M/DD/YYY"),CHAR(10),INDEX(query!E:E,MATCH(C146,query!B:B,0)))</f>
        <v>8/18/2022
Invite</v>
      </c>
      <c r="C146" s="85" t="s">
        <v>337</v>
      </c>
      <c r="D146" s="420">
        <f t="array" ref="D146">INDEX(Import!D:D,MATCH(C146,Name,0))</f>
        <v>4.25</v>
      </c>
      <c r="E146" s="421">
        <f t="array" aca="1" ref="E146" ca="1">(INDEX(Import!I:I,MATCH(C146,Name,0))+INDEX(Import!L:L,MATCH(C146,Name,0))+INDEX('Form Import'!V:V,MATCH(A146,'Form Import'!F:F,0)))/3</f>
        <v>4.5</v>
      </c>
      <c r="F146" s="422" t="str">
        <f t="array" ref="F146">INDEX(Import!E:E,MATCH(C146,Name,0))</f>
        <v>Panakeia?s software provides pharma and hospitals with 4,500 multi-omic cancer biomarkers in minutes, without lab tests.</v>
      </c>
      <c r="G146" s="423" t="str">
        <f t="array" ref="G146">CONCATENATE(INDEX(Import!G:G,MATCH(C146,Import!C:C,0)),CHAR(10),INDEX(Import!I:I,MATCH(C146,Name,0)))</f>
        <v>Chris Mosher
4</v>
      </c>
      <c r="H146" s="424" t="str">
        <f t="array" ref="H146">INDEX(Import!H:H,MATCH(C146,Name,0))</f>
        <v>AI-driven software that performs histomorphometric analysis of tumor sections to diagnose cancers within minutes. Claims this is a multi-omics approach and they have identified 4,500  biomarkers across 30 solid cancers - are these biomarkers all related to cellular morphology from H&amp;E images? Ask about this and sample preparation in the interview (software is in minutes, but what about all the histology?). IP is well-protected. Pilot with a hospital system is underway. Dick Foster is Chair of their Board. Woman-led, scientific team. Looking to establish presence in the US, specifically in NYC.</v>
      </c>
      <c r="I146" s="423" t="str">
        <f t="array" ref="I146">CONCATENATE(INDEX(Import!J:J,MATCH(C146,Name,0)),CHAR(10),INDEX(Import!L:L,MATCH(C146,Name,0)))</f>
        <v>Parsa Amiri
4.5</v>
      </c>
      <c r="J146" s="424" t="str">
        <f t="array" ref="J146">INDEX(Import!K:K,MATCH(C146,Name,0))</f>
        <v>Referred by Richard N. Foster (Panakeia's board chair). Great team.  A platform for AI-based multi-omics biomarker prediction, without any lab tests. Want to know more about their test results on validation of predictions and accuracy.</v>
      </c>
      <c r="K146" s="423" t="str">
        <f t="array" aca="1" ref="K146" ca="1">CONCATENATE(INDEX('Form Import'!D:D,MATCH(A146,'Form Import'!F:F,0)),CHAR(10),INDEX('Form Import'!V:V,MATCH(A146,'Form Import'!F:F,0)))</f>
        <v>Ahmed Bahgat
5</v>
      </c>
      <c r="L146" s="424" t="str">
        <f t="array" aca="1" ref="L146" ca="1">INDEX('Form Import'!W:W,MATCH(A146,'Form Import'!F:F,0))</f>
        <v xml:space="preserve">Business is doing great and growing rapidly. They are scaling and have strong advisors to help them do so.  I question how EFL can support them at this stage given that they are scaling and have a strong set of advisors to help them do so. </v>
      </c>
      <c r="M146" s="422"/>
      <c r="N146" s="422" t="str">
        <f t="array" aca="1" ref="N146" ca="1">INDEX('Form Import'!L:L,MATCH($A146,'Form Import'!$F:$F,0))</f>
        <v>Platform that addresses pain points for therapy providers (specifically in LATAM) - digital, differing needs, Low usability due to cultural stigma, engrained social barriers prevent users from openly asking for therapy hence requiring a secure and confidential way to do it.</v>
      </c>
      <c r="O146" s="422" t="str">
        <f t="array" aca="1" ref="O146" ca="1">INDEX('Form Import'!O:O,MATCH($A146,'Form Import'!$F:$F,0))</f>
        <v>target market LATAM $19B behavioral health and wellness. Identified a true need/pain points to address in LATAM.</v>
      </c>
      <c r="P146" s="422" t="str">
        <f t="array" aca="1" ref="P146" ca="1">INDEX('Form Import'!S:S,MATCH($A146,'Form Import'!$F:$F,0))</f>
        <v xml:space="preserve">Solid team with the experience to execute their strong vision. </v>
      </c>
      <c r="Q146" s="422"/>
      <c r="R146" s="422"/>
      <c r="S146" s="422" t="e">
        <f t="array" aca="1" ref="S146" ca="1">_xludf.TextJoin("; ",1,INDEX(Import!S:S,MATCH(C146,Name,0)))</f>
        <v>#NAME?</v>
      </c>
    </row>
    <row r="147" spans="1:19" ht="96">
      <c r="A147" s="425" t="s">
        <v>4025</v>
      </c>
      <c r="B147" s="426" t="str">
        <f t="array" aca="1" ref="B147" ca="1">CONCATENATE(TEXT(INDEX(query!A:A,MATCH(C147,query!B:B,0)),"M/DD/YYY"),CHAR(10),INDEX(query!E:E,MATCH(C147,query!B:B,0)))</f>
        <v>8/16/2022
Invite</v>
      </c>
      <c r="C147" s="427" t="s">
        <v>339</v>
      </c>
      <c r="D147" s="428">
        <f t="array" ref="D147">INDEX(Import!D:D,MATCH(C147,Name,0))</f>
        <v>4.25</v>
      </c>
      <c r="E147" s="429">
        <f t="array" aca="1" ref="E147" ca="1">(INDEX(Import!I:I,MATCH(C147,Name,0))+INDEX(Import!L:L,MATCH(C147,Name,0))+INDEX('Form Import'!V:V,MATCH(A147,'Form Import'!F:F,0)))/3</f>
        <v>4.5</v>
      </c>
      <c r="F147" s="430" t="str">
        <f t="array" ref="F147">INDEX(Import!E:E,MATCH(C147,Name,0))</f>
        <v>Pannex Therapeutics develops new drug to treat several chronic diseases by blocking pannexin 1 channel, starting by chronic pain treatment and opioid addiction prevention.</v>
      </c>
      <c r="G147" s="431" t="str">
        <f t="array" ref="G147">CONCATENATE(INDEX(Import!G:G,MATCH(C147,Import!C:C,0)),CHAR(10),INDEX(Import!I:I,MATCH(C147,Name,0)))</f>
        <v>Chris Mosher
4.5</v>
      </c>
      <c r="H147" s="432" t="str">
        <f t="array" ref="H147">INDEX(Import!H:H,MATCH(C147,Name,0))</f>
        <v>Opioid-free painkillers that work by blocking Pannexin-1. In silico research narrowed down to 7 lead candidates, which have been tested with 1 demonstrating opioid-free pain relief in rats and even killing cancer cells in vivo. CEO has startup experience, and CSO has significant experience in Pharma. IndieBio NY company from last year, have raised $2.4M so far.</v>
      </c>
      <c r="I147" s="431" t="str">
        <f t="array" ref="I147">CONCATENATE(INDEX(Import!J:J,MATCH(C147,Name,0)),CHAR(10),INDEX(Import!L:L,MATCH(C147,Name,0)))</f>
        <v>Tugba Oncu
4</v>
      </c>
      <c r="J147" s="432" t="str">
        <f t="array" ref="J147">INDEX(Import!K:K,MATCH(C147,Name,0))</f>
        <v>This technology aims to block Pannexin 1 channels which are only open in disease conditions causing high concentration of extracellular ATP. This drug is aiming to  reestablish a normal intra-extra cellular ATP levels. A Nature publication suggests that blocking Pannexin 1 alleviates morphine withdrawals in mice. Pannexin 1 activity also associated with Epilepsy because when these channels are open they release ATP and glutamate which polarizes the membrane thereby causing seizure</v>
      </c>
      <c r="K147" s="431" t="str">
        <f t="array" aca="1" ref="K147" ca="1">CONCATENATE(INDEX('Form Import'!D:D,MATCH(A147,'Form Import'!F:F,0)),CHAR(10),INDEX('Form Import'!V:V,MATCH(A147,'Form Import'!F:F,0)))</f>
        <v>Ahmed Bahgat
5</v>
      </c>
      <c r="L147" s="432" t="str">
        <f t="array" aca="1" ref="L147" ca="1">INDEX('Form Import'!W:W,MATCH(A147,'Form Import'!F:F,0))</f>
        <v xml:space="preserve">Solid business with a strong team to execute their vision. They are looking for EFL to help them scale, further market research and product development. They are well positioned to benefit from EFL. </v>
      </c>
      <c r="M147" s="430"/>
      <c r="N147" s="430" t="str">
        <f t="array" aca="1" ref="N147" ca="1">INDEX('Form Import'!L:L,MATCH($A147,'Form Import'!$F:$F,0))</f>
        <v>Technology solution based on 1)Automated AI/NLP data extraction, 2)Ongoing AI R&amp;D for summarization tools, 3)Proprietary tooling for fast human curation, and 4)Growing document corpus for machine learning
No protection on algo or anything as of yet and no plans to patent anything.</v>
      </c>
      <c r="O147" s="430" t="str">
        <f t="array" aca="1" ref="O147" ca="1">INDEX('Form Import'!O:O,MATCH($A147,'Form Import'!$F:$F,0))</f>
        <v>Selected niche market with less competition. Phase I European CLOs, Phase II US CLOs, Phase III other markets specified in deck</v>
      </c>
      <c r="P147" s="430" t="str">
        <f t="array" aca="1" ref="P147" ca="1">INDEX('Form Import'!S:S,MATCH($A147,'Form Import'!$F:$F,0))</f>
        <v>Solid team with a strong vision. They have shared a strong competition analysis to identify opportunities but it looks to be a highly competitive arena.</v>
      </c>
      <c r="Q147" s="430"/>
      <c r="R147" s="430"/>
      <c r="S147" s="430" t="e">
        <f t="array" aca="1" ref="S147" ca="1">_xludf.TextJoin("; ",1,INDEX(Import!S:S,MATCH(C147,Name,0)))</f>
        <v>#NAME?</v>
      </c>
    </row>
    <row r="148" spans="1:19" ht="48">
      <c r="A148" s="418" t="s">
        <v>6848</v>
      </c>
      <c r="B148" s="419" t="str">
        <f t="array" aca="1" ref="B148" ca="1">CONCATENATE(TEXT(INDEX(query!A:A,MATCH(C148,query!B:B,0)),"M/DD/YYY"),CHAR(10),INDEX(query!E:E,MATCH(C148,query!B:B,0)))</f>
        <v>8/09/2022
Invite</v>
      </c>
      <c r="C148" s="85" t="s">
        <v>382</v>
      </c>
      <c r="D148" s="420">
        <f t="array" ref="D148">INDEX(Import!D:D,MATCH(C148,Name,0))</f>
        <v>4</v>
      </c>
      <c r="E148" s="421">
        <f t="array" aca="1" ref="E148" ca="1">(INDEX(Import!I:I,MATCH(C148,Name,0))+INDEX(Import!L:L,MATCH(C148,Name,0))+INDEX('Form Import'!V:V,MATCH(A148,'Form Import'!F:F,0)))/3</f>
        <v>4</v>
      </c>
      <c r="F148" s="422" t="str">
        <f t="array" ref="F148">INDEX(Import!E:E,MATCH(C148,Name,0))</f>
        <v>Our ground-breaking artificial intelligence platform cracks the 30-year problem of aptamer design, enabling multiplex, rapid (minutes), low-cost (&lt;£100) detection of almost any molecule of interest for medical/veterinary diagnostics, agri-food testing, proteimics and bioprocesses.</v>
      </c>
      <c r="G148" s="423" t="str">
        <f t="array" ref="G148">CONCATENATE(INDEX(Import!G:G,MATCH(C148,Import!C:C,0)),CHAR(10),INDEX(Import!I:I,MATCH(C148,Name,0)))</f>
        <v>Khoa Ma
4</v>
      </c>
      <c r="H148" s="424" t="str">
        <f t="array" ref="H148">INDEX(Import!H:H,MATCH(C148,Name,0))</f>
        <v>Need to show that the tech can scale outside of the lab
Looking to go into the US market</v>
      </c>
      <c r="I148" s="423" t="str">
        <f t="array" ref="I148">CONCATENATE(INDEX(Import!J:J,MATCH(C148,Name,0)),CHAR(10),INDEX(Import!L:L,MATCH(C148,Name,0)))</f>
        <v>Sriharsha Indupuru
4</v>
      </c>
      <c r="J148" s="424">
        <f t="array" ref="J148">INDEX(Import!K:K,MATCH(C148,Name,0))</f>
        <v>0</v>
      </c>
      <c r="K148" s="423" t="str">
        <f t="array" aca="1" ref="K148" ca="1">CONCATENATE(INDEX('Form Import'!D:D,MATCH(A148,'Form Import'!F:F,0)),CHAR(10),INDEX('Form Import'!V:V,MATCH(A148,'Form Import'!F:F,0)))</f>
        <v>Ahmed Bahgat
4</v>
      </c>
      <c r="L148" s="424" t="str">
        <f t="array" aca="1" ref="L148" ca="1">INDEX('Form Import'!W:W,MATCH(A148,'Form Import'!F:F,0))</f>
        <v xml:space="preserve">Strong team executing a strong vision. While focused on fundraising, EFL can support with how best to scale through business model review and more in-depth market research to develop a refined target market. </v>
      </c>
      <c r="M148" s="422"/>
      <c r="N148" s="422" t="str">
        <f t="array" aca="1" ref="N148" ca="1">INDEX('Form Import'!L:L,MATCH($A148,'Form Import'!$F:$F,0))</f>
        <v>Solving for cross-border payments by way of utilizing stablecoin on an affordable,
safe and secure platform solve the problem of expensive and time-consuming money transfer services in and out of emerging markets.</v>
      </c>
      <c r="O148" s="422" t="str">
        <f t="array" aca="1" ref="O148" ca="1">INDEX('Form Import'!O:O,MATCH($A148,'Form Import'!$F:$F,0))</f>
        <v>Target market is broadly defined. 
Application says there are paying customers but also zero revenue.</v>
      </c>
      <c r="P148" s="422" t="str">
        <f t="array" aca="1" ref="P148" ca="1">INDEX('Form Import'!S:S,MATCH($A148,'Form Import'!$F:$F,0))</f>
        <v>Solid team with a strong vision - future of economic inclusion so that underrepresented communities are financially included in the global financial ecosystem.</v>
      </c>
      <c r="Q148" s="422"/>
      <c r="R148" s="422"/>
      <c r="S148" s="422" t="e">
        <f t="array" aca="1" ref="S148" ca="1">_xludf.TextJoin("; ",1,INDEX(Import!S:S,MATCH(C148,Name,0)))</f>
        <v>#NAME?</v>
      </c>
    </row>
    <row r="149" spans="1:19" ht="60">
      <c r="A149" s="425" t="s">
        <v>1479</v>
      </c>
      <c r="B149" s="426" t="str">
        <f t="array" aca="1" ref="B149" ca="1">CONCATENATE(TEXT(INDEX(query!A:A,MATCH(C149,query!B:B,0)),"M/DD/YYY"),CHAR(10),INDEX(query!E:E,MATCH(C149,query!B:B,0)))</f>
        <v>8/18/2022
Invite</v>
      </c>
      <c r="C149" s="427" t="s">
        <v>109</v>
      </c>
      <c r="D149" s="428">
        <f t="array" ref="D149">INDEX(Import!D:D,MATCH(C149,Name,0))</f>
        <v>4</v>
      </c>
      <c r="E149" s="429">
        <f t="array" aca="1" ref="E149" ca="1">(INDEX(Import!I:I,MATCH(C149,Name,0))+INDEX(Import!L:L,MATCH(C149,Name,0))+INDEX('Form Import'!V:V,MATCH(A149,'Form Import'!F:F,0)))/3</f>
        <v>4.333333333333333</v>
      </c>
      <c r="F149" s="430" t="str">
        <f t="array" ref="F149">INDEX(Import!E:E,MATCH(C149,Name,0))</f>
        <v>PeroLED is developing a novel LED technology called TurboLED® to reduce the power consumption of displays. TurboLED® extends the daily battery life of smartphones, tablets, laptops, watches and other portable devices by up to two hours, providing convenience to customers who need to charge and replace their devices less frequently.</v>
      </c>
      <c r="G149" s="431" t="str">
        <f t="array" ref="G149">CONCATENATE(INDEX(Import!G:G,MATCH(C149,Import!C:C,0)),CHAR(10),INDEX(Import!I:I,MATCH(C149,Name,0)))</f>
        <v>Khoa Ma
4</v>
      </c>
      <c r="H149" s="432" t="str">
        <f t="array" ref="H149">INDEX(Import!H:H,MATCH(C149,Name,0))</f>
        <v>display technology intended for more colorful displays.  novel light-emitting materials and devices, enabling users with enhanced efficiency and color gamut of displays.
Needs funding and get the product into production
device fabrication and image processing</v>
      </c>
      <c r="I149" s="431" t="str">
        <f t="array" ref="I149">CONCATENATE(INDEX(Import!J:J,MATCH(C149,Name,0)),CHAR(10),INDEX(Import!L:L,MATCH(C149,Name,0)))</f>
        <v>Arthur Ibanda
4</v>
      </c>
      <c r="J149" s="432" t="str">
        <f t="array" ref="J149">INDEX(Import!K:K,MATCH(C149,Name,0))</f>
        <v>+Credible team
+Novel technology
+Large potential market</v>
      </c>
      <c r="K149" s="431" t="str">
        <f t="array" aca="1" ref="K149" ca="1">CONCATENATE(INDEX('Form Import'!D:D,MATCH(A149,'Form Import'!F:F,0)),CHAR(10),INDEX('Form Import'!V:V,MATCH(A149,'Form Import'!F:F,0)))</f>
        <v>Ahmed Bahgat
5</v>
      </c>
      <c r="L149" s="432" t="str">
        <f t="array" aca="1" ref="L149" ca="1">INDEX('Form Import'!W:W,MATCH(A149,'Form Import'!F:F,0))</f>
        <v xml:space="preserve">Solid team executing a strong vision in a ripe target market. They have a strong product and a market fit and looking to figure out the best way to scale </v>
      </c>
      <c r="M149" s="430"/>
      <c r="N149" s="430" t="str">
        <f t="array" aca="1" ref="N149" ca="1">INDEX('Form Import'!L:L,MATCH($A149,'Form Import'!$F:$F,0))</f>
        <v>Solution allows customers to shop and leave without checking out. Solution is to set up a  network of in-store cameras leveraged together with sensors and proprietary image recognition and algorithms to accurately recognize customer and detecting and tracking each picked/dropped product from the shelves. This solution has been tested with clients and is currently operational.
Patents to be submitted end of 2022.</v>
      </c>
      <c r="O149" s="430" t="str">
        <f t="array" aca="1" ref="O149" ca="1">INDEX('Form Import'!O:O,MATCH($A149,'Form Import'!$F:$F,0))</f>
        <v>Focused on European and LatAm markets which do not yet have this technology.</v>
      </c>
      <c r="P149" s="430" t="str">
        <f t="array" aca="1" ref="P149" ca="1">INDEX('Form Import'!S:S,MATCH($A149,'Form Import'!$F:$F,0))</f>
        <v>Solid team with a strong vision. They seem to have done a lot of market research and have selected a market where they can be the market lead.</v>
      </c>
      <c r="Q149" s="430"/>
      <c r="R149" s="430"/>
      <c r="S149" s="430" t="e">
        <f t="array" aca="1" ref="S149" ca="1">_xludf.TextJoin("; ",1,INDEX(Import!S:S,MATCH(C149,Name,0)))</f>
        <v>#NAME?</v>
      </c>
    </row>
    <row r="150" spans="1:19" ht="72">
      <c r="A150" s="418" t="s">
        <v>9150</v>
      </c>
      <c r="B150" s="419" t="str">
        <f t="array" aca="1" ref="B150" ca="1">CONCATENATE(TEXT(INDEX(query!A:A,MATCH(C150,query!B:B,0)),"M/DD/YYY"),CHAR(10),INDEX(query!E:E,MATCH(C150,query!B:B,0)))</f>
        <v>8/11/2022
Revisit</v>
      </c>
      <c r="C150" s="85" t="s">
        <v>112</v>
      </c>
      <c r="D150" s="420">
        <f t="array" ref="D150">INDEX(Import!D:D,MATCH(C150,Name,0))</f>
        <v>4</v>
      </c>
      <c r="E150" s="421">
        <f t="array" aca="1" ref="E150" ca="1">(INDEX(Import!I:I,MATCH(C150,Name,0))+INDEX(Import!L:L,MATCH(C150,Name,0))+INDEX('Form Import'!V:V,MATCH(A150,'Form Import'!F:F,0)))/3</f>
        <v>4.333333333333333</v>
      </c>
      <c r="F150" s="422" t="str">
        <f t="array" ref="F150">INDEX(Import!E:E,MATCH(C150,Name,0))</f>
        <v>Pharmor enables the production of microbes as biofertilizers that were previously impossible to produce, increasing crop yields and supporting sustainable agriculture.</v>
      </c>
      <c r="G150" s="423" t="str">
        <f t="array" ref="G150">CONCATENATE(INDEX(Import!G:G,MATCH(C150,Import!C:C,0)),CHAR(10),INDEX(Import!I:I,MATCH(C150,Name,0)))</f>
        <v>Mark Flynn
4.5</v>
      </c>
      <c r="H150" s="424" t="str">
        <f t="array" ref="H150">INDEX(Import!H:H,MATCH(C150,Name,0))</f>
        <v>While both founders are part-time, I spoke with Ariel who said they could easily devote 8-10 hours per week to the program; the tech is very early but it should be a breakthrough technology; the founders are experts in their field (MIT, Caltech), and the market opportunity should be large; I think they are worth interviewing to learn more</v>
      </c>
      <c r="I150" s="423" t="str">
        <f t="array" ref="I150">CONCATENATE(INDEX(Import!J:J,MATCH(C150,Name,0)),CHAR(10),INDEX(Import!L:L,MATCH(C150,Name,0)))</f>
        <v>Arthur Ibanda
3.5</v>
      </c>
      <c r="J150" s="424" t="str">
        <f t="array" ref="J150">INDEX(Import!K:K,MATCH(C150,Name,0))</f>
        <v>+Credible team with advanced chemistry degrees
+Novel technology
+Provisional patent
-Might be too early
~Maybe ask about main reasons microbes are better than traditional fertilizers in interview</v>
      </c>
      <c r="K150" s="423" t="str">
        <f t="array" aca="1" ref="K150" ca="1">CONCATENATE(INDEX('Form Import'!D:D,MATCH(A150,'Form Import'!F:F,0)),CHAR(10),INDEX('Form Import'!V:V,MATCH(A150,'Form Import'!F:F,0)))</f>
        <v>Ahmed Bahgat
5</v>
      </c>
      <c r="L150" s="424" t="str">
        <f t="array" aca="1" ref="L150" ca="1">INDEX('Form Import'!W:W,MATCH(A150,'Form Import'!F:F,0))</f>
        <v>Solid team with a strong PoC. Well positioned to benefit from EFL for mentorship to help scale their PoC.</v>
      </c>
      <c r="M150" s="422"/>
      <c r="N150" s="422" t="str">
        <f t="array" aca="1" ref="N150" ca="1">INDEX('Form Import'!L:L,MATCH($A150,'Form Import'!$F:$F,0))</f>
        <v>Solution simplifies the mRNA synthesis step and its downstream purification and optimizes the yield, purity, and quality of produced mRNA via a combination of in-house high-throughput screening and computational methods. 
PoC experiments still running.
Patent filings in progress.</v>
      </c>
      <c r="O150" s="422" t="str">
        <f t="array" aca="1" ref="O150" ca="1">INDEX('Form Import'!O:O,MATCH($A150,'Form Import'!$F:$F,0))</f>
        <v>Secured LoIs from companies that want to test the platform.
"We will serve both ends of the market. Low-end market is driven by lower costs in preventative vaccine development; our mRNA production platform can offer 10x lower production price. High-end market is driven by hard-to-produce mRNA in the areas such as immuno-oncology; we can uniquely produce mRNA with high purity and long mRNA"</v>
      </c>
      <c r="P150" s="422" t="str">
        <f t="array" aca="1" ref="P150" ca="1">INDEX('Form Import'!S:S,MATCH($A150,'Form Import'!$F:$F,0))</f>
        <v>Solid team with a strong vision to be the world's leading vendor of the world's best and most affordable mRNA.</v>
      </c>
      <c r="Q150" s="422"/>
      <c r="R150" s="422"/>
      <c r="S150" s="422" t="e">
        <f t="array" aca="1" ref="S150" ca="1">_xludf.TextJoin("; ",1,INDEX(Import!S:S,MATCH(C150,Name,0)))</f>
        <v>#NAME?</v>
      </c>
    </row>
    <row r="151" spans="1:19" ht="72">
      <c r="A151" s="425" t="s">
        <v>9159</v>
      </c>
      <c r="B151" s="426" t="str">
        <f t="array" aca="1" ref="B151" ca="1">CONCATENATE(TEXT(INDEX(query!A:A,MATCH(C151,query!B:B,0)),"M/DD/YYY"),CHAR(10),INDEX(query!E:E,MATCH(C151,query!B:B,0)))</f>
        <v>8/11/2022
Revisit</v>
      </c>
      <c r="C151" s="427" t="s">
        <v>121</v>
      </c>
      <c r="D151" s="428">
        <f t="array" ref="D151">INDEX(Import!D:D,MATCH(C151,Name,0))</f>
        <v>2.5</v>
      </c>
      <c r="E151" s="429">
        <f t="array" aca="1" ref="E151" ca="1">(INDEX(Import!I:I,MATCH(C151,Name,0))+INDEX(Import!L:L,MATCH(C151,Name,0))+INDEX('Form Import'!V:V,MATCH(A151,'Form Import'!F:F,0)))/3</f>
        <v>3.3333333333333335</v>
      </c>
      <c r="F151" s="430" t="str">
        <f t="array" ref="F151">INDEX(Import!E:E,MATCH(C151,Name,0))</f>
        <v>PhoneOptika is developing SCREEN EMBEDDED READING GLASSES called iGlass which can be used as an add-on thin film for mobile phone display. 
A revolutionary optical technology that eliminates the need of using reading glasses while using digital display. The target customers are more than 1B people above 40 year old that use reading glass.</v>
      </c>
      <c r="G151" s="431" t="str">
        <f t="array" ref="G151">CONCATENATE(INDEX(Import!G:G,MATCH(C151,Import!C:C,0)),CHAR(10),INDEX(Import!I:I,MATCH(C151,Name,0)))</f>
        <v>Chris Mosher
2</v>
      </c>
      <c r="H151" s="432" t="str">
        <f t="array" ref="H151">INDEX(Import!H:H,MATCH(C151,Name,0))</f>
        <v>Deep tech. Optical thin film added to screens that acts as reading glasses - no need for users to wear glasses anymore. Interesting idea for the EFL, and founders have 4 prior successful exits (including NASDAQ IPO), but their product won't be ready for another 18 months. They should apply next year when we can really help them to scale.</v>
      </c>
      <c r="I151" s="431" t="str">
        <f t="array" ref="I151">CONCATENATE(INDEX(Import!J:J,MATCH(C151,Name,0)),CHAR(10),INDEX(Import!L:L,MATCH(C151,Name,0)))</f>
        <v>Tugba Oncu
3</v>
      </c>
      <c r="J151" s="432" t="str">
        <f t="array" ref="J151">INDEX(Import!K:K,MATCH(C151,Name,0))</f>
        <v>Can we discuss about this company? It is an interesting idea but I am not sure if the product works, if it does how it works? Also we can ask Mark Flynn`s opinion.</v>
      </c>
      <c r="K151" s="431" t="str">
        <f t="array" aca="1" ref="K151" ca="1">CONCATENATE(INDEX('Form Import'!D:D,MATCH(A151,'Form Import'!F:F,0)),CHAR(10),INDEX('Form Import'!V:V,MATCH(A151,'Form Import'!F:F,0)))</f>
        <v>Ahmed Bahgat
5</v>
      </c>
      <c r="L151" s="432" t="str">
        <f t="array" aca="1" ref="L151" ca="1">INDEX('Form Import'!W:W,MATCH(A151,'Form Import'!F:F,0))</f>
        <v>Well positioned to benefit from EFL through refining their business model/go-to-market strategy and how best to scale once product pilot is complete.</v>
      </c>
      <c r="M151" s="430"/>
      <c r="N151" s="430" t="str">
        <f t="array" aca="1" ref="N151" ca="1">INDEX('Form Import'!L:L,MATCH($A151,'Form Import'!$F:$F,0))</f>
        <v xml:space="preserve">
BP is monitored only intermittently using a cuff thus missing important events and
trends. This is important because BP is a modifiable vital sign, so clinicians can intervene as
necessary. Continuous monitoring is available, but it requires the use of arterial catheter and
therefore limited in use, Very few non invasive solutions exist, however these are very
expensive and complex to use. Hence, Sensifree developed the world's first PPG (using optical sensor) based continuous BP monitoring for hospital use.
Regulatory clearance still pending. 
Patents pending.</v>
      </c>
      <c r="O151" s="430" t="str">
        <f t="array" aca="1" ref="O151" ca="1">INDEX('Form Import'!O:O,MATCH($A151,'Form Import'!$F:$F,0))</f>
        <v>Running pilots with customers.</v>
      </c>
      <c r="P151" s="430" t="str">
        <f t="array" aca="1" ref="P151" ca="1">INDEX('Form Import'!S:S,MATCH($A151,'Form Import'!$F:$F,0))</f>
        <v xml:space="preserve">Strong team with a solid product offering. </v>
      </c>
      <c r="Q151" s="430"/>
      <c r="R151" s="430"/>
      <c r="S151" s="430" t="e">
        <f t="array" aca="1" ref="S151" ca="1">_xludf.TextJoin("; ",1,INDEX(Import!S:S,MATCH(C151,Name,0)))</f>
        <v>#NAME?</v>
      </c>
    </row>
    <row r="152" spans="1:19" ht="48">
      <c r="A152" s="418" t="s">
        <v>13165</v>
      </c>
      <c r="B152" s="419" t="str">
        <f t="array" aca="1" ref="B152" ca="1">CONCATENATE(TEXT(INDEX(query!A:A,MATCH(C152,query!B:B,0)),"M/DD/YYY"),CHAR(10),INDEX(query!E:E,MATCH(C152,query!B:B,0)))</f>
        <v>8/09/2022
Invite</v>
      </c>
      <c r="C152" s="85" t="s">
        <v>113</v>
      </c>
      <c r="D152" s="420">
        <f t="array" ref="D152">INDEX(Import!D:D,MATCH(C152,Name,0))</f>
        <v>4</v>
      </c>
      <c r="E152" s="421">
        <f t="array" aca="1" ref="E152" ca="1">(INDEX(Import!I:I,MATCH(C152,Name,0))+INDEX(Import!L:L,MATCH(C152,Name,0))+INDEX('Form Import'!V:V,MATCH(A152,'Form Import'!F:F,0)))/3</f>
        <v>4.333333333333333</v>
      </c>
      <c r="F152" s="422" t="str">
        <f t="array" ref="F152">INDEX(Import!E:E,MATCH(C152,Name,0))</f>
        <v>Photon Vault is a supplier of grid scale storage services to wholesale electricity markets. We leverage our patented technology to combine thermal energy from solar or waste heat sources with low cost electrical energy to store thermal energy. When prices are high, we convert the thermal energy to electrical energy and sell it.</v>
      </c>
      <c r="G152" s="423" t="str">
        <f t="array" ref="G152">CONCATENATE(INDEX(Import!G:G,MATCH(C152,Import!C:C,0)),CHAR(10),INDEX(Import!I:I,MATCH(C152,Name,0)))</f>
        <v>Khoa Ma
4</v>
      </c>
      <c r="H152" s="424" t="str">
        <f t="array" ref="H152">INDEX(Import!H:H,MATCH(C152,Name,0))</f>
        <v>supplier of grid-scale storage services to wholesale electricity markets
Good team
Tech needs to scale
EFL can help with funding</v>
      </c>
      <c r="I152" s="423" t="str">
        <f t="array" ref="I152">CONCATENATE(INDEX(Import!J:J,MATCH(C152,Name,0)),CHAR(10),INDEX(Import!L:L,MATCH(C152,Name,0)))</f>
        <v>Arthur Ibanda
4</v>
      </c>
      <c r="J152" s="424" t="str">
        <f t="array" ref="J152">INDEX(Import!K:K,MATCH(C152,Name,0))</f>
        <v>+The team seem credible and well developed
+The potential market is large and their technology is patented
~They have many competitors so it might be worth asking in an interview what differentiates them</v>
      </c>
      <c r="K152" s="423" t="str">
        <f t="array" aca="1" ref="K152" ca="1">CONCATENATE(INDEX('Form Import'!D:D,MATCH(A152,'Form Import'!F:F,0)),CHAR(10),INDEX('Form Import'!V:V,MATCH(A152,'Form Import'!F:F,0)))</f>
        <v>Ahmed Bahgat
5</v>
      </c>
      <c r="L152" s="424" t="str">
        <f t="array" aca="1" ref="L152" ca="1">INDEX('Form Import'!W:W,MATCH(A152,'Form Import'!F:F,0))</f>
        <v xml:space="preserve">Business is well positioned to grow/scale in the coming months. They are primarily looking to add mentors to better help them scale.   </v>
      </c>
      <c r="M152" s="422"/>
      <c r="N152" s="422" t="str">
        <f t="array" aca="1" ref="N152" ca="1">INDEX('Form Import'!L:L,MATCH($A152,'Form Import'!$F:$F,0))</f>
        <v>Solution addresses occupational fatalities via intelligent guardian IoT offering for workers in risk-laden operational environments. flexible and sensor-agnostic IoT architecture allows for plug-and-play of various wearable sensing solutions. Customizable mobile and desktop dashboards for a myriad of use cases are available.
FDA clearance in progress. Multiple patents secured.</v>
      </c>
      <c r="O152" s="422" t="str">
        <f t="array" aca="1" ref="O152" ca="1">INDEX('Form Import'!O:O,MATCH($A152,'Form Import'!$F:$F,0))</f>
        <v>Product sits in the cross section of multiple industries such as human-wearable sensors, remote monitoring and use of advanced analytics.
This is in addition to government/military application.</v>
      </c>
      <c r="P152" s="422" t="str">
        <f t="array" aca="1" ref="P152" ca="1">INDEX('Form Import'!S:S,MATCH($A152,'Form Import'!$F:$F,0))</f>
        <v>Solid team with strong experience.</v>
      </c>
      <c r="Q152" s="422"/>
      <c r="R152" s="422"/>
      <c r="S152" s="422" t="e">
        <f t="array" aca="1" ref="S152" ca="1">_xludf.TextJoin("; ",1,INDEX(Import!S:S,MATCH(C152,Name,0)))</f>
        <v>#NAME?</v>
      </c>
    </row>
    <row r="153" spans="1:19" ht="60">
      <c r="A153" s="425" t="s">
        <v>10155</v>
      </c>
      <c r="B153" s="426" t="str">
        <f t="array" aca="1" ref="B153" ca="1">CONCATENATE(TEXT(INDEX(query!A:A,MATCH(C153,query!B:B,0)),"M/DD/YYY"),CHAR(10),INDEX(query!E:E,MATCH(C153,query!B:B,0)))</f>
        <v>8/09/2022
Invite</v>
      </c>
      <c r="C153" s="427" t="s">
        <v>227</v>
      </c>
      <c r="D153" s="428">
        <f t="array" ref="D153">INDEX(Import!D:D,MATCH(C153,Name,0))</f>
        <v>3.5</v>
      </c>
      <c r="E153" s="429">
        <f t="array" aca="1" ref="E153" ca="1">(INDEX(Import!I:I,MATCH(C153,Name,0))+INDEX(Import!L:L,MATCH(C153,Name,0))+INDEX('Form Import'!V:V,MATCH(A153,'Form Import'!F:F,0)))/3</f>
        <v>3.6666666666666665</v>
      </c>
      <c r="F153" s="430" t="str">
        <f t="array" ref="F153">INDEX(Import!E:E,MATCH(C153,Name,0))</f>
        <v>Plant an App is a no-code / low-code platform that empowers anyone to build complex business applications under the governance and help of IT.</v>
      </c>
      <c r="G153" s="431" t="str">
        <f t="array" ref="G153">CONCATENATE(INDEX(Import!G:G,MATCH(C153,Import!C:C,0)),CHAR(10),INDEX(Import!I:I,MATCH(C153,Name,0)))</f>
        <v>Mark Flynn
4</v>
      </c>
      <c r="H153" s="432" t="str">
        <f t="array" ref="H153">INDEX(Import!H:H,MATCH(C153,Name,0))</f>
        <v>2.3x growth in 2021; $1.3M ARR as of May 2022; efficient scaling with $1.1 in new ARR for every $1 raised; presentation was thoughtfully laid out; I think they are worth learning more.</v>
      </c>
      <c r="I153" s="431" t="str">
        <f t="array" ref="I153">CONCATENATE(INDEX(Import!J:J,MATCH(C153,Name,0)),CHAR(10),INDEX(Import!L:L,MATCH(C153,Name,0)))</f>
        <v>Shubo (Gabriel) Xu
3</v>
      </c>
      <c r="J153" s="432" t="str">
        <f t="array" ref="J153">INDEX(Import!K:K,MATCH(C153,Name,0))</f>
        <v>+
1. good progress so far
-
1. not sure if the fundamental need is there, needs to learn more.</v>
      </c>
      <c r="K153" s="431" t="str">
        <f t="array" aca="1" ref="K153" ca="1">CONCATENATE(INDEX('Form Import'!D:D,MATCH(A153,'Form Import'!F:F,0)),CHAR(10),INDEX('Form Import'!V:V,MATCH(A153,'Form Import'!F:F,0)))</f>
        <v>Ahmed Bahgat
4</v>
      </c>
      <c r="L153" s="432" t="str">
        <f t="array" aca="1" ref="L153" ca="1">INDEX('Form Import'!W:W,MATCH(A153,'Form Import'!F:F,0))</f>
        <v>It seems that phase II trials are the next phase for testing this treatment with funding being the biggest obstacle to get there. Aside from seeking funding, it does not seem that they are particularly looking for mentors/advisors or business plan refinement, hence
they might not be optimally positioned to reap what EFL has to offer.</v>
      </c>
      <c r="M153" s="430"/>
      <c r="N153" s="430" t="str">
        <f t="array" aca="1" ref="N153" ca="1">INDEX('Form Import'!L:L,MATCH($A153,'Form Import'!$F:$F,0))</f>
        <v>Unique and potentially critical treatment for lupus patients.</v>
      </c>
      <c r="O153" s="430" t="str">
        <f t="array" aca="1" ref="O153" ca="1">INDEX('Form Import'!O:O,MATCH($A153,'Form Import'!$F:$F,0))</f>
        <v>Target Market not clealy defined/broken out anywhere hence TAM, SAM, SOM breakdown provided is not clear</v>
      </c>
      <c r="P153" s="430" t="str">
        <f t="array" aca="1" ref="P153" ca="1">INDEX('Form Import'!S:S,MATCH($A153,'Form Import'!$F:$F,0))</f>
        <v>Solid team with a strong board of advisors.</v>
      </c>
      <c r="Q153" s="430"/>
      <c r="R153" s="430"/>
      <c r="S153" s="430" t="e">
        <f t="array" aca="1" ref="S153" ca="1">_xludf.TextJoin("; ",1,INDEX(Import!S:S,MATCH(C153,Name,0)))</f>
        <v>#NAME?</v>
      </c>
    </row>
    <row r="154" spans="1:19" ht="60">
      <c r="A154" s="418" t="s">
        <v>1489</v>
      </c>
      <c r="B154" s="419" t="str">
        <f t="array" aca="1" ref="B154" ca="1">CONCATENATE(TEXT(INDEX(query!A:A,MATCH(C154,query!B:B,0)),"M/DD/YYY"),CHAR(10),INDEX(query!E:E,MATCH(C154,query!B:B,0)))</f>
        <v>8/23/2022
Invite</v>
      </c>
      <c r="C154" s="85" t="s">
        <v>114</v>
      </c>
      <c r="D154" s="420">
        <f t="array" ref="D154">INDEX(Import!D:D,MATCH(C154,Name,0))</f>
        <v>4</v>
      </c>
      <c r="E154" s="421">
        <f t="array" aca="1" ref="E154" ca="1">(INDEX(Import!I:I,MATCH(C154,Name,0))+INDEX(Import!L:L,MATCH(C154,Name,0))+INDEX('Form Import'!V:V,MATCH(A154,'Form Import'!F:F,0)))/3</f>
        <v>4.333333333333333</v>
      </c>
      <c r="F154" s="422" t="str">
        <f t="array" ref="F154">INDEX(Import!E:E,MATCH(C154,Name,0))</f>
        <v>PlantSwitch uses plants to make plastic, creating single-use plastic alternatives like straws, cutlery, and more that are eco-friendly, affordable, and function like traditional plastic products.</v>
      </c>
      <c r="G154" s="423" t="str">
        <f t="array" ref="G154">CONCATENATE(INDEX(Import!G:G,MATCH(C154,Import!C:C,0)),CHAR(10),INDEX(Import!I:I,MATCH(C154,Name,0)))</f>
        <v>Khoa Ma
4.5</v>
      </c>
      <c r="H154" s="424" t="str">
        <f t="array" ref="H154">INDEX(Import!H:H,MATCH(C154,Name,0))</f>
        <v>conversion of hemp-derived cellulose and nanofiber into a bioplastic resin
manufacturer of plant-based biodegradable products that function like regular plastic
$3M in revenue</v>
      </c>
      <c r="I154" s="423" t="str">
        <f t="array" ref="I154">CONCATENATE(INDEX(Import!J:J,MATCH(C154,Name,0)),CHAR(10),INDEX(Import!L:L,MATCH(C154,Name,0)))</f>
        <v>Yagnik Mehta
3.5</v>
      </c>
      <c r="J154" s="424" t="str">
        <f t="array" ref="J154">INDEX(Import!K:K,MATCH(C154,Name,0))</f>
        <v>+Good Idea. 
 +Team has a good idea and good business strategy personnel.
 -I am not sure about the strength of the technical team, considering them as part timer
 -There are many attempts for making bioplasts going on already.</v>
      </c>
      <c r="K154" s="423" t="str">
        <f t="array" aca="1" ref="K154" ca="1">CONCATENATE(INDEX('Form Import'!D:D,MATCH(A154,'Form Import'!F:F,0)),CHAR(10),INDEX('Form Import'!V:V,MATCH(A154,'Form Import'!F:F,0)))</f>
        <v>Ahmed Bahgat
5</v>
      </c>
      <c r="L154" s="424" t="str">
        <f t="array" aca="1" ref="L154" ca="1">INDEX('Form Import'!W:W,MATCH(A154,'Form Import'!F:F,0))</f>
        <v>Business is Dutch-focused and looking to expand to the US market and is looking to EFL to do so. They clearly articulate list of prioritized issues they are looking to work on during EFL, which tells me they are well positioned and looking to make the most from EFL.</v>
      </c>
      <c r="M154" s="422"/>
      <c r="N154" s="422" t="str">
        <f t="array" aca="1" ref="N154" ca="1">INDEX('Form Import'!L:L,MATCH($A154,'Form Import'!$F:$F,0))</f>
        <v>Technology is based on the environmental monitoring of bacterial metabolic changes in the presence of a specific antibiotic.  Using microfluidic technologies, an analyzing system detects the sensor changes and translates them into a readout with a digital output.</v>
      </c>
      <c r="O154" s="422" t="str">
        <f t="array" aca="1" ref="O154" ca="1">INDEX('Form Import'!O:O,MATCH($A154,'Form Import'!$F:$F,0))</f>
        <v>Targeting patients with UTI symptoms that need to get tested for antibiotic efficiency testing.</v>
      </c>
      <c r="P154" s="422" t="str">
        <f t="array" aca="1" ref="P154" ca="1">INDEX('Form Import'!S:S,MATCH($A154,'Form Import'!$F:$F,0))</f>
        <v xml:space="preserve">Strong team with experienced mentors. </v>
      </c>
      <c r="Q154" s="422"/>
      <c r="R154" s="422"/>
      <c r="S154" s="422" t="e">
        <f t="array" aca="1" ref="S154" ca="1">_xludf.TextJoin("; ",1,INDEX(Import!S:S,MATCH(C154,Name,0)))</f>
        <v>#NAME?</v>
      </c>
    </row>
    <row r="155" spans="1:19" ht="60">
      <c r="A155" s="425" t="s">
        <v>4508</v>
      </c>
      <c r="B155" s="426" t="str">
        <f t="array" aca="1" ref="B155" ca="1">CONCATENATE(TEXT(INDEX(query!A:A,MATCH(C155,query!B:B,0)),"M/DD/YYY"),CHAR(10),INDEX(query!E:E,MATCH(C155,query!B:B,0)))</f>
        <v>8/16/2022
Invite</v>
      </c>
      <c r="C155" s="427" t="s">
        <v>115</v>
      </c>
      <c r="D155" s="428">
        <f t="array" ref="D155">INDEX(Import!D:D,MATCH(C155,Name,0))</f>
        <v>4.5</v>
      </c>
      <c r="E155" s="429">
        <f t="array" aca="1" ref="E155" ca="1">(INDEX(Import!I:I,MATCH(C155,Name,0))+INDEX(Import!L:L,MATCH(C155,Name,0))+INDEX('Form Import'!V:V,MATCH(A155,'Form Import'!F:F,0)))/3</f>
        <v>4.666666666666667</v>
      </c>
      <c r="F155" s="430" t="str">
        <f t="array" ref="F155">INDEX(Import!E:E,MATCH(C155,Name,0))</f>
        <v>PONS is a compact ultrasound device that can be used by consumers with an AI-driven cognitive function that autonomously performs the risk assessment of health conditions, smart image processing, with a mobile ultrasound device, and reporting the findings to doctors.</v>
      </c>
      <c r="G155" s="431" t="str">
        <f t="array" ref="G155">CONCATENATE(INDEX(Import!G:G,MATCH(C155,Import!C:C,0)),CHAR(10),INDEX(Import!I:I,MATCH(C155,Name,0)))</f>
        <v>Khoa Ma
4</v>
      </c>
      <c r="H155" s="432" t="str">
        <f t="array" ref="H155">INDEX(Import!H:H,MATCH(C155,Name,0))</f>
        <v>software that makes it possible to perform ultrasound scans
they need trial data and a business model that can scale
licensing model is tricky</v>
      </c>
      <c r="I155" s="431" t="str">
        <f t="array" ref="I155">CONCATENATE(INDEX(Import!J:J,MATCH(C155,Name,0)),CHAR(10),INDEX(Import!L:L,MATCH(C155,Name,0)))</f>
        <v>Arthur Ibanda
5</v>
      </c>
      <c r="J155" s="432" t="str">
        <f t="array" ref="J155">INDEX(Import!K:K,MATCH(C155,Name,0))</f>
        <v>+Credible and passionate team
+Compiling vision and roadmap
+Novel and propriety tech
+MVP and trials with hospital
+Large potential market</v>
      </c>
      <c r="K155" s="431" t="str">
        <f t="array" aca="1" ref="K155" ca="1">CONCATENATE(INDEX('Form Import'!D:D,MATCH(A155,'Form Import'!F:F,0)),CHAR(10),INDEX('Form Import'!V:V,MATCH(A155,'Form Import'!F:F,0)))</f>
        <v>Ahmed Bahgat
5</v>
      </c>
      <c r="L155" s="432" t="str">
        <f t="array" aca="1" ref="L155" ca="1">INDEX('Form Import'!W:W,MATCH(A155,'Form Import'!F:F,0))</f>
        <v>Business was launched in Europe and looking to expand in the US. They seem to be very well positioned to benefit from everything EFL offers such as mentoring, local market knowledge, product/market fit, etc.</v>
      </c>
      <c r="M155" s="430"/>
      <c r="N155" s="430" t="str">
        <f t="array" aca="1" ref="N155" ca="1">INDEX('Form Import'!L:L,MATCH($A155,'Form Import'!$F:$F,0))</f>
        <v>Technology solution seeks to address recurrent Identity verification without storing personal data.</v>
      </c>
      <c r="O155" s="430" t="str">
        <f t="array" aca="1" ref="O155" ca="1">INDEX('Form Import'!O:O,MATCH($A155,'Form Import'!$F:$F,0))</f>
        <v>Target Market is not clearly defined or broken out but tries to reflect how big of an opportunity the digital market identity is.</v>
      </c>
      <c r="P155" s="430" t="str">
        <f t="array" aca="1" ref="P155" ca="1">INDEX('Form Import'!S:S,MATCH($A155,'Form Import'!$F:$F,0))</f>
        <v>Solid team with strong advisors to help execute on a strong vision.</v>
      </c>
      <c r="Q155" s="430"/>
      <c r="R155" s="430"/>
      <c r="S155" s="430" t="e">
        <f t="array" aca="1" ref="S155" ca="1">_xludf.TextJoin("; ",1,INDEX(Import!S:S,MATCH(C155,Name,0)))</f>
        <v>#NAME?</v>
      </c>
    </row>
    <row r="156" spans="1:19" ht="48">
      <c r="A156" s="418" t="s">
        <v>5833</v>
      </c>
      <c r="B156" s="419" t="str">
        <f t="array" aca="1" ref="B156" ca="1">CONCATENATE(TEXT(INDEX(query!A:A,MATCH(C156,query!B:B,0)),"M/DD/YYY"),CHAR(10),INDEX(query!E:E,MATCH(C156,query!B:B,0)))</f>
        <v>8/16/2022
Invite</v>
      </c>
      <c r="C156" s="85" t="s">
        <v>233</v>
      </c>
      <c r="D156" s="420">
        <f t="array" ref="D156">INDEX(Import!D:D,MATCH(C156,Name,0))</f>
        <v>4.25</v>
      </c>
      <c r="E156" s="421">
        <f t="array" aca="1" ref="E156" ca="1">(INDEX(Import!I:I,MATCH(C156,Name,0))+INDEX(Import!L:L,MATCH(C156,Name,0))+INDEX('Form Import'!V:V,MATCH(A156,'Form Import'!F:F,0)))/3</f>
        <v>4.5</v>
      </c>
      <c r="F156" s="422" t="str">
        <f t="array" ref="F156">INDEX(Import!E:E,MATCH(C156,Name,0))</f>
        <v>The new UI is "no-UI". pragyaa.ai is focused on building Voice AI products for enterprises. Voice presents a multi-billion dollars opportunity to innovate processes in specialized verticals like Healthcare, Hospitality &amp; more. Our product, MediLens, enables enterprises in healthcare to save up-to 50% of time and effort spent on documentation.</v>
      </c>
      <c r="G156" s="423" t="str">
        <f t="array" ref="G156">CONCATENATE(INDEX(Import!G:G,MATCH(C156,Import!C:C,0)),CHAR(10),INDEX(Import!I:I,MATCH(C156,Name,0)))</f>
        <v>Beth Xie
4.5</v>
      </c>
      <c r="H156" s="424" t="str">
        <f t="array" ref="H156">INDEX(Import!H:H,MATCH(C156,Name,0))</f>
        <v>- Strong product market fit and showing traction with customer acquisition in UAE
- Need to understand real differentiation compared to competitors 
- Highly technical team</v>
      </c>
      <c r="I156" s="423" t="str">
        <f t="array" ref="I156">CONCATENATE(INDEX(Import!J:J,MATCH(C156,Name,0)),CHAR(10),INDEX(Import!L:L,MATCH(C156,Name,0)))</f>
        <v>Matt Myers
4</v>
      </c>
      <c r="J156" s="424" t="str">
        <f t="array" ref="J156">INDEX(Import!K:K,MATCH(C156,Name,0))</f>
        <v>Very strong team, strong momentum in UAE, has potential for high impact. Seems to be competitive space &amp; no patents yet.</v>
      </c>
      <c r="K156" s="423" t="str">
        <f t="array" aca="1" ref="K156" ca="1">CONCATENATE(INDEX('Form Import'!D:D,MATCH(A156,'Form Import'!F:F,0)),CHAR(10),INDEX('Form Import'!V:V,MATCH(A156,'Form Import'!F:F,0)))</f>
        <v>Ahmed Bahgat
5</v>
      </c>
      <c r="L156" s="424" t="str">
        <f t="array" aca="1" ref="L156" ca="1">INDEX('Form Import'!W:W,MATCH(A156,'Form Import'!F:F,0))</f>
        <v xml:space="preserve">Solid business that is well positioned to benefit from EFL as they are looking for mentors/advisors, and potentially business model refinement and market research. </v>
      </c>
      <c r="M156" s="422"/>
      <c r="N156" s="422" t="str">
        <f t="array" aca="1" ref="N156" ca="1">INDEX('Form Import'!L:L,MATCH($A156,'Form Import'!$F:$F,0))</f>
        <v>Solution allows for creating your own specialized marketplace instead of relying on amazon. It offers integration with platforms (Shopify, Magento, Woocommerce etc.), UI / UX, built integrations with Shippers, Payments, Chat tools, customization and
scalability for Enterprise clients, Support and Service with a pay as per scale model.</v>
      </c>
      <c r="O156" s="422" t="str">
        <f t="array" aca="1" ref="O156" ca="1">INDEX('Form Import'!O:O,MATCH($A156,'Form Import'!$F:$F,0))</f>
        <v>SAM is defined as 15% of stores that have &gt;250 products listed and are potential customers for our app and SOM is to capture 10% of this market after adjusting for competition and
stores which do not scale. It does not seem clear to me why SAM is so narrowly defined but it maybe because the solution best addresses this segment.</v>
      </c>
      <c r="P156" s="422" t="str">
        <f t="array" aca="1" ref="P156" ca="1">INDEX('Form Import'!S:S,MATCH($A156,'Form Import'!$F:$F,0))</f>
        <v>Strong vision - To democratize Marketplaces and help brands offer a wider range of products on their website by building digital Partnerships.
No mention of advisors in application or deck.</v>
      </c>
      <c r="Q156" s="422"/>
      <c r="R156" s="422"/>
      <c r="S156" s="422" t="e">
        <f t="array" aca="1" ref="S156" ca="1">_xludf.TextJoin("; ",1,INDEX(Import!S:S,MATCH(C156,Name,0)))</f>
        <v>#NAME?</v>
      </c>
    </row>
    <row r="157" spans="1:19" ht="96">
      <c r="A157" s="425" t="s">
        <v>3284</v>
      </c>
      <c r="B157" s="426" t="str">
        <f t="array" aca="1" ref="B157" ca="1">CONCATENATE(TEXT(INDEX(query!A:A,MATCH(C157,query!B:B,0)),"M/DD/YYY"),CHAR(10),INDEX(query!E:E,MATCH(C157,query!B:B,0)))</f>
        <v>8/03/2022
Revisit/ Cluster</v>
      </c>
      <c r="C157" s="427" t="s">
        <v>126</v>
      </c>
      <c r="D157" s="428">
        <f t="array" ref="D157">INDEX(Import!D:D,MATCH(C157,Name,0))</f>
        <v>3</v>
      </c>
      <c r="E157" s="429">
        <f t="array" aca="1" ref="E157" ca="1">(INDEX(Import!I:I,MATCH(C157,Name,0))+INDEX(Import!L:L,MATCH(C157,Name,0))+INDEX('Form Import'!V:V,MATCH(A157,'Form Import'!F:F,0)))/3</f>
        <v>2.6666666666666665</v>
      </c>
      <c r="F157" s="430" t="str">
        <f t="array" ref="F157">INDEX(Import!E:E,MATCH(C157,Name,0))</f>
        <v>PredictNow.ai was built on the belief that machine learning is more effective in correcting human decisions rather than making them from scratch. Our cloud-based solutions aim to help businesses implement effective machine learning that immediately improves business performance rather than ambitious AI projects that result in unfulfilled promises.</v>
      </c>
      <c r="G157" s="431" t="str">
        <f t="array" ref="G157">CONCATENATE(INDEX(Import!G:G,MATCH(C157,Import!C:C,0)),CHAR(10),INDEX(Import!I:I,MATCH(C157,Name,0)))</f>
        <v>Khoa Ma
3</v>
      </c>
      <c r="H157" s="432" t="str">
        <f t="array" ref="H157">INDEX(Import!H:H,MATCH(C157,Name,0))</f>
        <v>DiT startup interview if best of in category</v>
      </c>
      <c r="I157" s="431" t="str">
        <f t="array" ref="I157">CONCATENATE(INDEX(Import!J:J,MATCH(C157,Name,0)),CHAR(10),INDEX(Import!L:L,MATCH(C157,Name,0)))</f>
        <v>Yagnik Mehta
3</v>
      </c>
      <c r="J157" s="432" t="str">
        <f t="array" ref="J157">INDEX(Import!K:K,MATCH(C157,Name,0))</f>
        <v>Predict Now is a promising venture considering the founder's expertise and background in quant finance, AI, and ML. 
However, Team lacks Strong Business Development and Partnerships Executive. 
Maybe due to the network founder can get initial traction of customers however a strong business plan would have made this pitch good enough for the interview</v>
      </c>
      <c r="K157" s="431" t="str">
        <f t="array" aca="1" ref="K157" ca="1">CONCATENATE(INDEX('Form Import'!D:D,MATCH(A157,'Form Import'!F:F,0)),CHAR(10),INDEX('Form Import'!V:V,MATCH(A157,'Form Import'!F:F,0)))</f>
        <v>Ahmed Bahgat
2</v>
      </c>
      <c r="L157" s="432" t="str">
        <f t="array" aca="1" ref="L157" ca="1">INDEX('Form Import'!W:W,MATCH(A157,'Form Import'!F:F,0))</f>
        <v>Team looking to commercialize a technology that seems to be already available in the market and do not a clear idea of the specific target market (pain point) that their product seeks to address.</v>
      </c>
      <c r="M157" s="430"/>
      <c r="N157" s="430" t="str">
        <f t="array" aca="1" ref="N157" ca="1">INDEX('Form Import'!L:L,MATCH($A157,'Form Import'!$F:$F,0))</f>
        <v>No patents - this presents an issue as this product already seems to exist in the market (and at possibly cheaper prices)</v>
      </c>
      <c r="O157" s="430" t="str">
        <f t="array" aca="1" ref="O157" ca="1">INDEX('Form Import'!O:O,MATCH($A157,'Form Import'!$F:$F,0))</f>
        <v xml:space="preserve">Broadly targeting the Healthcare and Events Industries. Need more in-depth market research to determine the type of customers that need this product as compared to others available.   </v>
      </c>
      <c r="P157" s="430" t="str">
        <f t="array" aca="1" ref="P157" ca="1">INDEX('Form Import'!S:S,MATCH($A157,'Form Import'!$F:$F,0))</f>
        <v xml:space="preserve">Vision is to become the ""world's first teleportation company,"" eventually creating a robot and rental system so seamless that it feels like teleporting your body anywhere in the world for any duration at the click of a button.
Team does not seem to have a lot of experience and do not have advisors that can help fill for that experience gap. </v>
      </c>
      <c r="Q157" s="430"/>
      <c r="R157" s="430"/>
      <c r="S157" s="430" t="e">
        <f t="array" aca="1" ref="S157" ca="1">_xludf.TextJoin("; ",1,INDEX(Import!S:S,MATCH(C157,Name,0)))</f>
        <v>#NAME?</v>
      </c>
    </row>
    <row r="158" spans="1:19" ht="48">
      <c r="A158" s="418" t="s">
        <v>10161</v>
      </c>
      <c r="B158" s="419" t="str">
        <f t="array" aca="1" ref="B158" ca="1">CONCATENATE(TEXT(INDEX(query!A:A,MATCH(C158,query!B:B,0)),"M/DD/YYY"),CHAR(10),INDEX(query!E:E,MATCH(C158,query!B:B,0)))</f>
        <v>8/09/2022
Revisit/ Cluster</v>
      </c>
      <c r="C158" s="85" t="s">
        <v>384</v>
      </c>
      <c r="D158" s="420">
        <f t="array" ref="D158">INDEX(Import!D:D,MATCH(C158,Name,0))</f>
        <v>3.75</v>
      </c>
      <c r="E158" s="421">
        <f t="array" aca="1" ref="E158" ca="1">(INDEX(Import!I:I,MATCH(C158,Name,0))+INDEX(Import!L:L,MATCH(C158,Name,0))+INDEX('Form Import'!V:V,MATCH(A158,'Form Import'!F:F,0)))/3</f>
        <v>3.8333333333333335</v>
      </c>
      <c r="F158" s="422" t="str">
        <f t="array" ref="F158">INDEX(Import!E:E,MATCH(C158,Name,0))</f>
        <v>Promin Aerospace builds self-burning rockets to enable the most rapid dedicated access to space, atmosphere, and microgravity.</v>
      </c>
      <c r="G158" s="423" t="str">
        <f t="array" ref="G158">CONCATENATE(INDEX(Import!G:G,MATCH(C158,Import!C:C,0)),CHAR(10),INDEX(Import!I:I,MATCH(C158,Name,0)))</f>
        <v>Khoa Ma
3.5</v>
      </c>
      <c r="H158" s="424" t="str">
        <f t="array" ref="H158">INDEX(Import!H:H,MATCH(C158,Name,0))</f>
        <v>New company with a good team. Need to get MVP for data that shows the tech can work. This space is getting crowded.</v>
      </c>
      <c r="I158" s="423" t="str">
        <f t="array" ref="I158">CONCATENATE(INDEX(Import!J:J,MATCH(C158,Name,0)),CHAR(10),INDEX(Import!L:L,MATCH(C158,Name,0)))</f>
        <v>Yagnik Mehta
4</v>
      </c>
      <c r="J158" s="424" t="str">
        <f t="array" ref="J158">INDEX(Import!K:K,MATCH(C158,Name,0))</f>
        <v>Referral by Deepak Hegde.</v>
      </c>
      <c r="K158" s="423" t="str">
        <f t="array" aca="1" ref="K158" ca="1">CONCATENATE(INDEX('Form Import'!D:D,MATCH(A158,'Form Import'!F:F,0)),CHAR(10),INDEX('Form Import'!V:V,MATCH(A158,'Form Import'!F:F,0)))</f>
        <v>Ahmed Bahgat
4</v>
      </c>
      <c r="L158" s="424" t="str">
        <f t="array" aca="1" ref="L158" ca="1">INDEX('Form Import'!W:W,MATCH(A158,'Form Import'!F:F,0))</f>
        <v xml:space="preserve">Strong team looking to EFL for mentorship and partnerships in cancer diagnostics. They listed issues that they believe EFL could help them with including product market fit refinement, business model refinement, among others. Overall, well positioned to benefit from EFL.  </v>
      </c>
      <c r="M158" s="422"/>
      <c r="N158" s="422" t="str">
        <f t="array" aca="1" ref="N158" ca="1">INDEX('Form Import'!L:L,MATCH($A158,'Form Import'!$F:$F,0))</f>
        <v>Existing tests focus on identifying cancer subtypes and response to therapy. This product answers a more fundamental question in the clinical pathway. Is this invasive cancer or a benign lesion?|Existing molecular tests are not accurate enough to be used as a screen.
It has successfully demonstrated the ability to identify the presence of these markers in cancer tissue samples. It is expected to take 12 - 18 months to complete commercialization. No MVP will be developed.
Provisional patent application in the works.</v>
      </c>
      <c r="O158" s="422" t="str">
        <f t="array" aca="1" ref="O158" ca="1">INDEX('Form Import'!O:O,MATCH($A158,'Form Import'!$F:$F,0))</f>
        <v>Target markets clearly defined as the global cancer survivor market and the screening market. Initially it will be sold as a wellness test and not a substitute for traditional health care evaluation until data validation to support expanded health claims</v>
      </c>
      <c r="P158" s="422" t="str">
        <f t="array" aca="1" ref="P158" ca="1">INDEX('Form Import'!S:S,MATCH($A158,'Form Import'!$F:$F,0))</f>
        <v>Solid team executing a strong vision - aiming to be a globally dominant player in the emerging Direct to Consumer market for cancer diagnostics by offering the most accurate, simple to use, and affordable tests.</v>
      </c>
      <c r="Q158" s="422"/>
      <c r="R158" s="422"/>
      <c r="S158" s="422" t="e">
        <f t="array" aca="1" ref="S158" ca="1">_xludf.TextJoin("; ",1,INDEX(Import!S:S,MATCH(C158,Name,0)))</f>
        <v>#NAME?</v>
      </c>
    </row>
    <row r="159" spans="1:19" ht="96">
      <c r="A159" s="425" t="s">
        <v>13166</v>
      </c>
      <c r="B159" s="426" t="str">
        <f t="array" aca="1" ref="B159" ca="1">CONCATENATE(TEXT(INDEX(query!A:A,MATCH(C159,query!B:B,0)),"M/DD/YYY"),CHAR(10),INDEX(query!E:E,MATCH(C159,query!B:B,0)))</f>
        <v>8/09/2022
Revisit</v>
      </c>
      <c r="C159" s="427" t="s">
        <v>374</v>
      </c>
      <c r="D159" s="428">
        <f t="array" ref="D159">INDEX(Import!D:D,MATCH(C159,Name,0))</f>
        <v>3</v>
      </c>
      <c r="E159" s="429">
        <f t="array" aca="1" ref="E159" ca="1">(INDEX(Import!I:I,MATCH(C159,Name,0))+INDEX(Import!L:L,MATCH(C159,Name,0))+INDEX('Form Import'!V:V,MATCH(A159,'Form Import'!F:F,0)))/3</f>
        <v>3.3333333333333335</v>
      </c>
      <c r="F159" s="430" t="str">
        <f t="array" ref="F159">INDEX(Import!E:E,MATCH(C159,Name,0))</f>
        <v>Propelle is developing messenger-RNA based tumor-regressive therapeutics designed to target multiple cancers simultaneously.</v>
      </c>
      <c r="G159" s="431" t="str">
        <f t="array" ref="G159">CONCATENATE(INDEX(Import!G:G,MATCH(C159,Import!C:C,0)),CHAR(10),INDEX(Import!I:I,MATCH(C159,Name,0)))</f>
        <v>Chris Mosher
2</v>
      </c>
      <c r="H159" s="432" t="str">
        <f t="array" ref="H159">INDEX(Import!H:H,MATCH(C159,Name,0))</f>
        <v>Interviewed last year, but they were more focused on cytokines/T cell regulation. Roland and Christian interviewed. Generally Roland gave low scores and Christian high scores. Roland said they did not seem coachable or have a clear road map, and Christian agreed they were too early and with no clear strategy. I don't see a lot of growth from last year, so even though the app is generally good we should not invite them to interview --&gt; giving a low score to reflect this.</v>
      </c>
      <c r="I159" s="431" t="str">
        <f t="array" ref="I159">CONCATENATE(INDEX(Import!J:J,MATCH(C159,Name,0)),CHAR(10),INDEX(Import!L:L,MATCH(C159,Name,0)))</f>
        <v>Parsa Amiri
4</v>
      </c>
      <c r="J159" s="432" t="str">
        <f t="array" ref="J159">INDEX(Import!K:K,MATCH(C159,Name,0))</f>
        <v>They are in the early stage of technology development, and at the moment their vision is to get acquired; because of this, I think their chance for becoming a unicorn is low. On the other hand, their technology is highly novel, and many outstanding potentials of mRNA technology is being unleashed during the recent years. 
Since their technology is highly dependent on their partner's innovation, I want to know more about their agreements and IP licensing.</v>
      </c>
      <c r="K159" s="431" t="str">
        <f t="array" aca="1" ref="K159" ca="1">CONCATENATE(INDEX('Form Import'!D:D,MATCH(A159,'Form Import'!F:F,0)),CHAR(10),INDEX('Form Import'!V:V,MATCH(A159,'Form Import'!F:F,0)))</f>
        <v>Nick Schmandt
4</v>
      </c>
      <c r="L159" s="432" t="str">
        <f t="array" aca="1" ref="L159" ca="1">INDEX('Form Import'!W:W,MATCH(A159,'Form Import'!F:F,0))</f>
        <v>While this is a very innovative product, they do not address the fundamental issue behind the material, namely its instability. They have raised a lot of money, but a lot of it is from grants, not normal seed funding. While the team is highly competent, they are heavily academic. This one is a tough call.</v>
      </c>
      <c r="M159" s="430"/>
      <c r="N159" s="430" t="str">
        <f t="array" aca="1" ref="N159" ca="1">INDEX('Form Import'!L:L,MATCH($A159,'Form Import'!$F:$F,0))</f>
        <v>Again, the problem with their material is its lack of stability. I did not see data that shows they have stabilized it to the point of industrial use.</v>
      </c>
      <c r="O159" s="430" t="str">
        <f t="array" aca="1" ref="O159" ca="1">INDEX('Form Import'!O:O,MATCH($A159,'Form Import'!$F:$F,0))</f>
        <v>If they can make a working product the addressable market is very large.</v>
      </c>
      <c r="P159" s="430" t="str">
        <f t="array" aca="1" ref="P159" ca="1">INDEX('Form Import'!S:S,MATCH($A159,'Form Import'!$F:$F,0))</f>
        <v>Team is academic and does not have a large amount of business experience</v>
      </c>
      <c r="Q159" s="430"/>
      <c r="R159" s="430"/>
      <c r="S159" s="430" t="e">
        <f t="array" aca="1" ref="S159" ca="1">_xludf.TextJoin("; ",1,INDEX(Import!S:S,MATCH(C159,Name,0)))</f>
        <v>#NAME?</v>
      </c>
    </row>
    <row r="160" spans="1:19" ht="96">
      <c r="A160" s="418" t="s">
        <v>9194</v>
      </c>
      <c r="B160" s="419" t="str">
        <f t="array" aca="1" ref="B160" ca="1">CONCATENATE(TEXT(INDEX(query!A:A,MATCH(C160,query!B:B,0)),"M/DD/YYY"),CHAR(10),INDEX(query!E:E,MATCH(C160,query!B:B,0)))</f>
        <v>8/18/2022
Revisit</v>
      </c>
      <c r="C160" s="85" t="s">
        <v>377</v>
      </c>
      <c r="D160" s="420">
        <f t="array" ref="D160">INDEX(Import!D:D,MATCH(C160,Name,0))</f>
        <v>4</v>
      </c>
      <c r="E160" s="421">
        <f t="array" aca="1" ref="E160" ca="1">(INDEX(Import!I:I,MATCH(C160,Name,0))+INDEX(Import!L:L,MATCH(C160,Name,0))+INDEX('Form Import'!V:V,MATCH(A160,'Form Import'!F:F,0)))/3</f>
        <v>4</v>
      </c>
      <c r="F160" s="422" t="str">
        <f t="array" ref="F160">INDEX(Import!E:E,MATCH(C160,Name,0))</f>
        <v>PRP Concepts</v>
      </c>
      <c r="G160" s="423" t="str">
        <f t="array" ref="G160">CONCATENATE(INDEX(Import!G:G,MATCH(C160,Import!C:C,0)),CHAR(10),INDEX(Import!I:I,MATCH(C160,Name,0)))</f>
        <v>Larisa Kagermazova
4</v>
      </c>
      <c r="H160" s="424" t="str">
        <f t="array" ref="H160">INDEX(Import!H:H,MATCH(C160,Name,0))</f>
        <v>Their validation is efficient but quite small - they are currently running n=200 clinical study
Why patent pending?</v>
      </c>
      <c r="I160" s="423" t="str">
        <f t="array" ref="I160">CONCATENATE(INDEX(Import!J:J,MATCH(C160,Name,0)),CHAR(10),INDEX(Import!L:L,MATCH(C160,Name,0)))</f>
        <v>Tugba Oncu
4</v>
      </c>
      <c r="J160" s="424" t="str">
        <f t="array" ref="J160">INDEX(Import!K:K,MATCH(C160,Name,0))</f>
        <v>This is a good idea but can we talk about the patent?</v>
      </c>
      <c r="K160" s="423" t="str">
        <f t="array" aca="1" ref="K160" ca="1">CONCATENATE(INDEX('Form Import'!D:D,MATCH(A160,'Form Import'!F:F,0)),CHAR(10),INDEX('Form Import'!V:V,MATCH(A160,'Form Import'!F:F,0)))</f>
        <v>Joshua Rubnitz
4</v>
      </c>
      <c r="L160" s="424" t="str">
        <f t="array" aca="1" ref="L160" ca="1">INDEX('Form Import'!W:W,MATCH(A160,'Form Import'!F:F,0))</f>
        <v>Team has much expertise in the field and has recently brought on a business expert. The solution to the problem has been proven clinically. There are some strategic questions that an investor would naturally ask that have not been answered in the application or the pitch. Not clear if the problem can be monetized effectively. Not sure if the team has granular and effective outlook on their growth strategy or the pricing of the product that would win market share. Could be a good opportunity for EFL to support a team with strategic insight.</v>
      </c>
      <c r="M160" s="422"/>
      <c r="N160" s="422" t="str">
        <f t="array" aca="1" ref="N160" ca="1">INDEX('Form Import'!L:L,MATCH($A160,'Form Import'!$F:$F,0))</f>
        <v>Have proven technology clinically and addresses a problem known to experts in the field.</v>
      </c>
      <c r="O160" s="422" t="str">
        <f t="array" aca="1" ref="O160" ca="1">INDEX('Form Import'!O:O,MATCH($A160,'Form Import'!$F:$F,0))</f>
        <v>Mid sized market (~1B) that naturally uses consumable products, so there is room for Sonostik to naturally win market share as supplies are replenished.</v>
      </c>
      <c r="P160" s="422" t="str">
        <f t="array" aca="1" ref="P160" ca="1">INDEX('Form Import'!S:S,MATCH($A160,'Form Import'!$F:$F,0))</f>
        <v>Great team of MDs with expertise that have recently brought on an MBA as CEO</v>
      </c>
      <c r="Q160" s="422"/>
      <c r="R160" s="422"/>
      <c r="S160" s="422" t="e">
        <f t="array" aca="1" ref="S160" ca="1">_xludf.TextJoin("; ",1,INDEX(Import!S:S,MATCH(C160,Name,0)))</f>
        <v>#NAME?</v>
      </c>
    </row>
    <row r="161" spans="1:19" ht="48">
      <c r="A161" s="425" t="s">
        <v>9200</v>
      </c>
      <c r="B161" s="426" t="str">
        <f t="array" aca="1" ref="B161" ca="1">CONCATENATE(TEXT(INDEX(query!A:A,MATCH(C161,query!B:B,0)),"M/DD/YYY"),CHAR(10),INDEX(query!E:E,MATCH(C161,query!B:B,0)))</f>
        <v>8/18/2022
Invite</v>
      </c>
      <c r="C161" s="427" t="s">
        <v>116</v>
      </c>
      <c r="D161" s="428">
        <f t="array" ref="D161">INDEX(Import!D:D,MATCH(C161,Name,0))</f>
        <v>4</v>
      </c>
      <c r="E161" s="429">
        <f t="array" aca="1" ref="E161" ca="1">(INDEX(Import!I:I,MATCH(C161,Name,0))+INDEX(Import!L:L,MATCH(C161,Name,0))+INDEX('Form Import'!V:V,MATCH(A161,'Form Import'!F:F,0)))/3</f>
        <v>3.3333333333333335</v>
      </c>
      <c r="F161" s="430" t="str">
        <f t="array" ref="F161">INDEX(Import!E:E,MATCH(C161,Name,0))</f>
        <v>Pulsenics meaningfully improves the reliability and economics of the energy-intensive electrochemical industry by introducing capabilities to diagnose and control the performance of electrochemical systems without disruption.</v>
      </c>
      <c r="G161" s="431" t="str">
        <f t="array" ref="G161">CONCATENATE(INDEX(Import!G:G,MATCH(C161,Import!C:C,0)),CHAR(10),INDEX(Import!I:I,MATCH(C161,Name,0)))</f>
        <v>Khoa Ma
4</v>
      </c>
      <c r="H161" s="432" t="str">
        <f t="array" ref="H161">INDEX(Import!H:H,MATCH(C161,Name,0))</f>
        <v>Monitor electrochemical cell and stack conditions, in the lab or during operations.
Need to expand the sales team and grow the pipeline
generating $418,000 in ARR</v>
      </c>
      <c r="I161" s="431" t="str">
        <f t="array" ref="I161">CONCATENATE(INDEX(Import!J:J,MATCH(C161,Name,0)),CHAR(10),INDEX(Import!L:L,MATCH(C161,Name,0)))</f>
        <v>Arthur Ibanda
4</v>
      </c>
      <c r="J161" s="432" t="str">
        <f t="array" ref="J161">INDEX(Import!K:K,MATCH(C161,Name,0))</f>
        <v>+Credible team
+Novel tech
+$418,000 in ARR 
+Raised a lot of money</v>
      </c>
      <c r="K161" s="431" t="str">
        <f t="array" aca="1" ref="K161" ca="1">CONCATENATE(INDEX('Form Import'!D:D,MATCH(A161,'Form Import'!F:F,0)),CHAR(10),INDEX('Form Import'!V:V,MATCH(A161,'Form Import'!F:F,0)))</f>
        <v>Joshua Rubnitz
2</v>
      </c>
      <c r="L161" s="432" t="str">
        <f t="array" aca="1" ref="L161" ca="1">INDEX('Form Import'!W:W,MATCH(A161,'Form Import'!F:F,0))</f>
        <v>Good vision to produce nutritious food for a region that has typically had problems with food supply, but no clear differentiator or strategy. Startup has not taken shape yet.</v>
      </c>
      <c r="M161" s="430"/>
      <c r="N161" s="430" t="str">
        <f t="array" aca="1" ref="N161" ca="1">INDEX('Form Import'!L:L,MATCH($A161,'Form Import'!$F:$F,0))</f>
        <v>Plans to distribute. No new tech. Possibly hard to imitate, due to the economics of the reason, but not sure due to lack of information in the application.</v>
      </c>
      <c r="O161" s="430" t="str">
        <f t="array" aca="1" ref="O161" ca="1">INDEX('Form Import'!O:O,MATCH($A161,'Form Import'!$F:$F,0))</f>
        <v>Did not put a dollar value to the market size, does not have customers.</v>
      </c>
      <c r="P161" s="430" t="str">
        <f t="array" aca="1" ref="P161" ca="1">INDEX('Form Import'!S:S,MATCH($A161,'Form Import'!$F:$F,0))</f>
        <v>Vision for growth, but no clear strategy.</v>
      </c>
      <c r="Q161" s="430"/>
      <c r="R161" s="430"/>
      <c r="S161" s="430" t="e">
        <f t="array" aca="1" ref="S161" ca="1">_xludf.TextJoin("; ",1,INDEX(Import!S:S,MATCH(C161,Name,0)))</f>
        <v>#NAME?</v>
      </c>
    </row>
    <row r="162" spans="1:19" ht="120">
      <c r="A162" s="418" t="s">
        <v>1498</v>
      </c>
      <c r="B162" s="419" t="str">
        <f t="array" aca="1" ref="B162" ca="1">CONCATENATE(TEXT(INDEX(query!A:A,MATCH(C162,query!B:B,0)),"M/DD/YYY"),CHAR(10),INDEX(query!E:E,MATCH(C162,query!B:B,0)))</f>
        <v>8/23/2022
Invite Next Year</v>
      </c>
      <c r="C162" s="85" t="s">
        <v>117</v>
      </c>
      <c r="D162" s="420">
        <f t="array" ref="D162">INDEX(Import!D:D,MATCH(C162,Name,0))</f>
        <v>3.25</v>
      </c>
      <c r="E162" s="421">
        <f t="array" aca="1" ref="E162" ca="1">(INDEX(Import!I:I,MATCH(C162,Name,0))+INDEX(Import!L:L,MATCH(C162,Name,0))+INDEX('Form Import'!V:V,MATCH(A162,'Form Import'!F:F,0)))/3</f>
        <v>3.5</v>
      </c>
      <c r="F162" s="422" t="str">
        <f t="array" ref="F162">INDEX(Import!E:E,MATCH(C162,Name,0))</f>
        <v>Qlimate builds partnerships that develop and scale end-to-end climate technologies enabled by quantum computing.</v>
      </c>
      <c r="G162" s="423" t="str">
        <f t="array" ref="G162">CONCATENATE(INDEX(Import!G:G,MATCH(C162,Import!C:C,0)),CHAR(10),INDEX(Import!I:I,MATCH(C162,Name,0)))</f>
        <v>Khoa Ma
3</v>
      </c>
      <c r="H162" s="424" t="str">
        <f t="array" ref="H162">INDEX(Import!H:H,MATCH(C162,Name,0))</f>
        <v>partner with companies in industries that prevent climate change using quantum computer to generate models and make predictions
having an issue with customer traction and business model
wholly-owned subsidiary of PsiQuantum ($3.4B)</v>
      </c>
      <c r="I162" s="423" t="str">
        <f t="array" ref="I162">CONCATENATE(INDEX(Import!J:J,MATCH(C162,Name,0)),CHAR(10),INDEX(Import!L:L,MATCH(C162,Name,0)))</f>
        <v>Arthur Ibanda
3.5</v>
      </c>
      <c r="J162" s="424" t="str">
        <f t="array" ref="J162">INDEX(Import!K:K,MATCH(C162,Name,0))</f>
        <v>+Credible passionate team
+Industry experience
+Successful parent company
-Qlimate itself does not seem to be a startup</v>
      </c>
      <c r="K162" s="423" t="str">
        <f t="array" aca="1" ref="K162" ca="1">CONCATENATE(INDEX('Form Import'!D:D,MATCH(A162,'Form Import'!F:F,0)),CHAR(10),INDEX('Form Import'!V:V,MATCH(A162,'Form Import'!F:F,0)))</f>
        <v>Joshua Rubnitz
4</v>
      </c>
      <c r="L162" s="424" t="str">
        <f t="array" aca="1" ref="L162" ca="1">INDEX('Form Import'!W:W,MATCH(A162,'Form Import'!F:F,0))</f>
        <v xml:space="preserve">The promise of this product is huge. If the tech works as advertised, it could be very powerful for IoT, automation, edge compute etc. and would unlock a huge market. They are addressing a very difficult problem to solve, so there is some value in being first mover. 
The team did not supply a deck and did not specify market size or the plan/amount of funding they are raising (but they are raising funding). The team also sees no competition except for internal efforts of companies trying to build their own edge AI systems–this is possibly inaccurate. </v>
      </c>
      <c r="M162" s="422"/>
      <c r="N162" s="422" t="str">
        <f t="array" aca="1" ref="N162" ca="1">INDEX('Form Import'!L:L,MATCH($A162,'Form Import'!$F:$F,0))</f>
        <v>Hard to validate the functionality of the technology based on the application, although they claim that it is proven and they have 1-10 customers and almost $1M in revenue. There are no patents and the solution is completely software based, but the fundamental technology is tech focused and will require serious resources to imitate.</v>
      </c>
      <c r="O162" s="422" t="str">
        <f t="array" aca="1" ref="O162" ca="1">INDEX('Form Import'!O:O,MATCH($A162,'Form Import'!$F:$F,0))</f>
        <v>The market is probably quite large, but the application did not provide any estimate of the market. Can infer that the potential market is huge though. The startup does have 1-10 customers and almost $1M in revenue and is projected to grow to $1.3M</v>
      </c>
      <c r="P162" s="422" t="str">
        <f t="array" aca="1" ref="P162" ca="1">INDEX('Form Import'!S:S,MATCH($A162,'Form Import'!$F:$F,0))</f>
        <v>Good background and success with startups before.</v>
      </c>
      <c r="Q162" s="422"/>
      <c r="R162" s="422"/>
      <c r="S162" s="422" t="e">
        <f t="array" aca="1" ref="S162" ca="1">_xludf.TextJoin("; ",1,INDEX(Import!S:S,MATCH(C162,Name,0)))</f>
        <v>#NAME?</v>
      </c>
    </row>
    <row r="163" spans="1:19" ht="96">
      <c r="A163" s="425" t="s">
        <v>9952</v>
      </c>
      <c r="B163" s="426" t="str">
        <f t="array" aca="1" ref="B163" ca="1">CONCATENATE(TEXT(INDEX(query!A:A,MATCH(C163,query!B:B,0)),"M/DD/YYY"),CHAR(10),INDEX(query!E:E,MATCH(C163,query!B:B,0)))</f>
        <v>8/18/2022
Invite</v>
      </c>
      <c r="C163" s="427" t="s">
        <v>344</v>
      </c>
      <c r="D163" s="428">
        <f t="array" ref="D163">INDEX(Import!D:D,MATCH(C163,Name,0))</f>
        <v>4.5</v>
      </c>
      <c r="E163" s="429">
        <f t="array" aca="1" ref="E163" ca="1">(INDEX(Import!I:I,MATCH(C163,Name,0))+INDEX(Import!L:L,MATCH(C163,Name,0))+INDEX('Form Import'!V:V,MATCH(A163,'Form Import'!F:F,0)))/3</f>
        <v>4.666666666666667</v>
      </c>
      <c r="F163" s="430" t="str">
        <f t="array" ref="F163">INDEX(Import!E:E,MATCH(C163,Name,0))</f>
        <v>Nanology Labs is a biotech startup developing next generation nanomedicine for treatment of hard-to-treat diseases.</v>
      </c>
      <c r="G163" s="431" t="str">
        <f t="array" ref="G163">CONCATENATE(INDEX(Import!G:G,MATCH(C163,Import!C:C,0)),CHAR(10),INDEX(Import!I:I,MATCH(C163,Name,0)))</f>
        <v>Deepak Hegde
4.5</v>
      </c>
      <c r="H163" s="432" t="str">
        <f t="array" ref="H163">INDEX(Import!H:H,MATCH(C163,Name,0))</f>
        <v>Platform technology.  Solid data for this stage.  Credible team.</v>
      </c>
      <c r="I163" s="431" t="str">
        <f t="array" ref="I163">CONCATENATE(INDEX(Import!J:J,MATCH(C163,Name,0)),CHAR(10),INDEX(Import!L:L,MATCH(C163,Name,0)))</f>
        <v>Parsa Amiri
4.5</v>
      </c>
      <c r="J163" s="432" t="str">
        <f t="array" ref="J163">INDEX(Import!K:K,MATCH(C163,Name,0))</f>
        <v>UofToronto. A drug delivery platform based on polymer-lipid nanoparticle system able to load both hydrophilic and hydrophobic drug molecules. They have 6 drugs based on this delivery platform which can be coupled with chemotherapy, radiation, etc.</v>
      </c>
      <c r="K163" s="431" t="str">
        <f t="array" aca="1" ref="K163" ca="1">CONCATENATE(INDEX('Form Import'!D:D,MATCH(A163,'Form Import'!F:F,0)),CHAR(10),INDEX('Form Import'!V:V,MATCH(A163,'Form Import'!F:F,0)))</f>
        <v>Joshua Rubnitz
5</v>
      </c>
      <c r="L163" s="432" t="str">
        <f t="array" aca="1" ref="L163" ca="1">INDEX('Form Import'!W:W,MATCH(A163,'Form Import'!F:F,0))</f>
        <v>Founder has put together an exceptional plan to solve a specific problem, an outlook for growth, concrete uses of funding, and is already targeting to be acquired  if all goes well. The biggest risk is the technology not working, although initial data is promising. Founder does not have any business specialists on the team, but has an impressive advisory board. Startup has been funded by the founder &amp; family.
Some oversight from business experts at EFL could go a long way.</v>
      </c>
      <c r="M163" s="430"/>
      <c r="N163" s="430" t="str">
        <f t="array" aca="1" ref="N163" ca="1">INDEX('Form Import'!L:L,MATCH($A163,'Form Import'!$F:$F,0))</f>
        <v>Novel solution to a problem that would be much better for the consumer in terms of both safety and efficacy. Has been validated in lab tests and the science is presented well, but testing on human subjects is always a long time horizon and a challenge that has not begun. Founder has filed for international IP protection and patents.</v>
      </c>
      <c r="O163" s="430" t="str">
        <f t="array" aca="1" ref="O163" ca="1">INDEX('Form Import'!O:O,MATCH($A163,'Form Import'!$F:$F,0))</f>
        <v xml:space="preserve">Market is accurately sized, is large, and has room to grow. The founder believes that the product could get FDA approval by 2027, but customer acquisition will be at least 4-5 years out. </v>
      </c>
      <c r="P163" s="430" t="str">
        <f t="array" aca="1" ref="P163" ca="1">INDEX('Form Import'!S:S,MATCH($A163,'Form Import'!$F:$F,0))</f>
        <v>The current team is just the founder, but there is an impressive advisory board. Founder is technically exceptional, and has put together a wonderful science &amp; business focused slide deck, but does not have any business-specific team members.</v>
      </c>
      <c r="Q163" s="430"/>
      <c r="R163" s="430"/>
      <c r="S163" s="430" t="e">
        <f t="array" aca="1" ref="S163" ca="1">_xludf.TextJoin("; ",1,INDEX(Import!S:S,MATCH(C163,Name,0)))</f>
        <v>#NAME?</v>
      </c>
    </row>
    <row r="164" spans="1:19" ht="108">
      <c r="A164" s="418" t="s">
        <v>9557</v>
      </c>
      <c r="B164" s="419" t="str">
        <f t="array" aca="1" ref="B164" ca="1">CONCATENATE(TEXT(INDEX(query!A:A,MATCH(C164,query!B:B,0)),"M/DD/YYY"),CHAR(10),INDEX(query!E:E,MATCH(C164,query!B:B,0)))</f>
        <v>8/11/2022
Revisit</v>
      </c>
      <c r="C164" s="85" t="s">
        <v>130</v>
      </c>
      <c r="D164" s="420">
        <f t="array" ref="D164">INDEX(Import!D:D,MATCH(C164,Name,0))</f>
        <v>2.75</v>
      </c>
      <c r="E164" s="421">
        <f t="array" aca="1" ref="E164" ca="1">(INDEX(Import!I:I,MATCH(C164,Name,0))+INDEX(Import!L:L,MATCH(C164,Name,0))+INDEX('Form Import'!V:V,MATCH(A164,'Form Import'!F:F,0)))/3</f>
        <v>3.1666666666666665</v>
      </c>
      <c r="F164" s="422" t="str">
        <f t="array" ref="F164">INDEX(Import!E:E,MATCH(C164,Name,0))</f>
        <v>Radiolife develops proprietary technology based on radio frequency signatures combined with artificial intelligence modeling aimed at disrupting global diagnostics with the potential to quickly (under 20 seconds), and at a low cost, detect the presence of different viruses, bacteria, and cancer cells, without the need for reagents.</v>
      </c>
      <c r="G164" s="423" t="str">
        <f t="array" ref="G164">CONCATENATE(INDEX(Import!G:G,MATCH(C164,Import!C:C,0)),CHAR(10),INDEX(Import!I:I,MATCH(C164,Name,0)))</f>
        <v>Chris Mosher
3</v>
      </c>
      <c r="H164" s="424" t="str">
        <f t="array" ref="H164">INDEX(Import!H:H,MATCH(C164,Name,0))</f>
        <v>Deep Tech. A light and portable device developed for in-vitro analysis. Detects pathogens via radiofrequency instead of chemical reagents. Diagnosed COVID-19 in 1,300 patients with a 99.97% accuracy to standard PCR. Data not published? U.S. Patent Granted. We've seen many of this type of company apply before, but this could be good if the data claims are true.</v>
      </c>
      <c r="I164" s="423" t="str">
        <f t="array" ref="I164">CONCATENATE(INDEX(Import!J:J,MATCH(C164,Name,0)),CHAR(10),INDEX(Import!L:L,MATCH(C164,Name,0)))</f>
        <v>Larisa Kagermazova
2.5</v>
      </c>
      <c r="J164" s="424" t="str">
        <f t="array" ref="J164">INDEX(Import!K:K,MATCH(C164,Name,0))</f>
        <v>Applied to EFL before, since then they got regulatory approval for the Covid-19 test in Chile and got a patent
How does it work? What is the principle? How can it determine what type of virus it is detecting? How would it detect cancer cell? Or bacteria?</v>
      </c>
      <c r="K164" s="423" t="str">
        <f t="array" aca="1" ref="K164" ca="1">CONCATENATE(INDEX('Form Import'!D:D,MATCH(A164,'Form Import'!F:F,0)),CHAR(10),INDEX('Form Import'!V:V,MATCH(A164,'Form Import'!F:F,0)))</f>
        <v>Joshua Rubnitz
4</v>
      </c>
      <c r="L164" s="424" t="str">
        <f t="array" aca="1" ref="L164" ca="1">INDEX('Form Import'!W:W,MATCH(A164,'Form Import'!F:F,0))</f>
        <v>Technically proficient team with customers that really like the product (customers have been asking for early access). In a large market with room for quick revenue growth. Could generate tons of undiscovered solutions and useful data for their customers. 
Likely to eventually run into competition from similar services down the road. Would need to be very strategic to sustain business long term. Will likely run into data privacy issues that need to be prepared for.</v>
      </c>
      <c r="M164" s="422"/>
      <c r="N164" s="422" t="str">
        <f t="array" aca="1" ref="N164" ca="1">INDEX('Form Import'!L:L,MATCH($A164,'Form Import'!$F:$F,0))</f>
        <v>Seems to be validated by enthusiastic customers. Spiky.ai claims that their product is differentiated by creating much richer, actionable data as compared to any competitors. Many competitors do exist in the employee productivity space, and many sentiment analysis tools do exist, so competition will be a problem if the product can't perform as promised.</v>
      </c>
      <c r="O164" s="422" t="str">
        <f t="array" aca="1" ref="O164" ca="1">INDEX('Form Import'!O:O,MATCH($A164,'Form Import'!$F:$F,0))</f>
        <v>Large market (up to $1.5T) that the founders have segmented nicely. Can capitalize on any small part of this huge market. Does have 1-10 customers and is generating $25k monthly.</v>
      </c>
      <c r="P164" s="422" t="str">
        <f t="array" aca="1" ref="P164" ca="1">INDEX('Form Import'!S:S,MATCH($A164,'Form Import'!$F:$F,0))</f>
        <v>Good outlook for growth and very technically exceptional founders. No business experience professionals on the team yet.</v>
      </c>
      <c r="Q164" s="422"/>
      <c r="R164" s="422"/>
      <c r="S164" s="422" t="e">
        <f t="array" aca="1" ref="S164" ca="1">_xludf.TextJoin("; ",1,INDEX(Import!S:S,MATCH(C164,Name,0)))</f>
        <v>#NAME?</v>
      </c>
    </row>
    <row r="165" spans="1:19" ht="36">
      <c r="A165" s="425" t="s">
        <v>9209</v>
      </c>
      <c r="B165" s="426" t="str">
        <f t="array" aca="1" ref="B165" ca="1">CONCATENATE(TEXT(INDEX(query!A:A,MATCH(C165,query!B:B,0)),"M/DD/YYY"),CHAR(10),INDEX(query!E:E,MATCH(C165,query!B:B,0)))</f>
        <v>8/09/2022
Revisit</v>
      </c>
      <c r="C165" s="427" t="s">
        <v>131</v>
      </c>
      <c r="D165" s="428">
        <f t="array" ref="D165">INDEX(Import!D:D,MATCH(C165,Name,0))</f>
        <v>3.75</v>
      </c>
      <c r="E165" s="429">
        <f t="array" aca="1" ref="E165" ca="1">(INDEX(Import!I:I,MATCH(C165,Name,0))+INDEX(Import!L:L,MATCH(C165,Name,0))+INDEX('Form Import'!V:V,MATCH(A165,'Form Import'!F:F,0)))/3</f>
        <v>3.1666666666666665</v>
      </c>
      <c r="F165" s="430" t="str">
        <f t="array" ref="F165">INDEX(Import!E:E,MATCH(C165,Name,0))</f>
        <v>RaSpect works at the intersection of deep technology, robotics, and drone data to transform smart city solutions. Whether it?s facade inspection, building services engineering, or city infrastructure maintenance, we make complex challenges simple with actionable data insights.</v>
      </c>
      <c r="G165" s="431" t="str">
        <f t="array" ref="G165">CONCATENATE(INDEX(Import!G:G,MATCH(C165,Import!C:C,0)),CHAR(10),INDEX(Import!I:I,MATCH(C165,Name,0)))</f>
        <v>Khoa Ma
3.5</v>
      </c>
      <c r="H165" s="432" t="str">
        <f t="array" ref="H165">INDEX(Import!H:H,MATCH(C165,Name,0))</f>
        <v>DiT startup AI analytics on building and infrastructure data. Would cluster and invite to interview if best in class.</v>
      </c>
      <c r="I165" s="431" t="str">
        <f t="array" ref="I165">CONCATENATE(INDEX(Import!J:J,MATCH(C165,Name,0)),CHAR(10),INDEX(Import!L:L,MATCH(C165,Name,0)))</f>
        <v>Sriharsha Indupuru
4</v>
      </c>
      <c r="J165" s="432" t="str">
        <f t="array" ref="J165">INDEX(Import!K:K,MATCH(C165,Name,0))</f>
        <v>+ Recurring Revenue from customers and generated +800k in 2021
+ Have a handful of customers 
+ Growth of the company in 3 years is great</v>
      </c>
      <c r="K165" s="431" t="str">
        <f t="array" aca="1" ref="K165" ca="1">CONCATENATE(INDEX('Form Import'!D:D,MATCH(A165,'Form Import'!F:F,0)),CHAR(10),INDEX('Form Import'!V:V,MATCH(A165,'Form Import'!F:F,0)))</f>
        <v>Joshua Rubnitz
2</v>
      </c>
      <c r="L165" s="432" t="str">
        <f t="array" aca="1" ref="L165" ca="1">INDEX('Form Import'!W:W,MATCH(A165,'Form Import'!F:F,0))</f>
        <v>Not any clear technical differentiator and technology is not advertised at all in the pitch. Good market to target, but startup is likely not ready for accelerator.</v>
      </c>
      <c r="M165" s="430"/>
      <c r="N165" s="430" t="str">
        <f t="array" aca="1" ref="N165" ca="1">INDEX('Form Import'!L:L,MATCH($A165,'Form Import'!$F:$F,0))</f>
        <v xml:space="preserve">Keeping surfaces clean and reducing intermittent cleaning costs is clearly an issue that is top of mind for many business owners due to the pandemic. There is not any mention about the novelty of the technology, and the business admits there are 'direct competitors'. Seems like there is little differentiation. </v>
      </c>
      <c r="O165" s="430" t="str">
        <f t="array" aca="1" ref="O165" ca="1">INDEX('Form Import'!O:O,MATCH($A165,'Form Import'!$F:$F,0))</f>
        <v>Definitely a large market. Has 1-10 customers, but they are not paying.</v>
      </c>
      <c r="P165" s="430" t="str">
        <f t="array" aca="1" ref="P165" ca="1">INDEX('Form Import'!S:S,MATCH($A165,'Form Import'!$F:$F,0))</f>
        <v>Impressive team with a masters-level chemist and physicist and a CFO with an economics education. First startup for all founders.</v>
      </c>
      <c r="Q165" s="430"/>
      <c r="R165" s="430"/>
      <c r="S165" s="430" t="e">
        <f t="array" aca="1" ref="S165" ca="1">_xludf.TextJoin("; ",1,INDEX(Import!S:S,MATCH(C165,Name,0)))</f>
        <v>#NAME?</v>
      </c>
    </row>
    <row r="166" spans="1:19" ht="144">
      <c r="A166" s="418" t="s">
        <v>1507</v>
      </c>
      <c r="B166" s="419" t="str">
        <f t="array" aca="1" ref="B166" ca="1">CONCATENATE(TEXT(INDEX(query!A:A,MATCH(C166,query!B:B,0)),"M/DD/YYY"),CHAR(10),INDEX(query!E:E,MATCH(C166,query!B:B,0)))</f>
        <v>8/11/2022
Revisit/ Cluster</v>
      </c>
      <c r="C166" s="85" t="s">
        <v>118</v>
      </c>
      <c r="D166" s="420">
        <f t="array" ref="D166">INDEX(Import!D:D,MATCH(C166,Name,0))</f>
        <v>3.75</v>
      </c>
      <c r="E166" s="421">
        <f t="array" aca="1" ref="E166" ca="1">(INDEX(Import!I:I,MATCH(C166,Name,0))+INDEX(Import!L:L,MATCH(C166,Name,0))+INDEX('Form Import'!V:V,MATCH(A166,'Form Import'!F:F,0)))/3</f>
        <v>4.166666666666667</v>
      </c>
      <c r="F166" s="422" t="str">
        <f t="array" ref="F166">INDEX(Import!E:E,MATCH(C166,Name,0))</f>
        <v>REEV develops a light and intelligent knee exoskeleton to help people affected by gait disorders to regain their daily mobility by walking, standing, sitting and climbing stairs with greater ease.
REEV gathers a team of 10 engineers with a solid clinical board. In 1,5 years, we won a 1M? innovation prize and built a patented functional prototype</v>
      </c>
      <c r="G166" s="423" t="str">
        <f t="array" ref="G166">CONCATENATE(INDEX(Import!G:G,MATCH(C166,Import!C:C,0)),CHAR(10),INDEX(Import!I:I,MATCH(C166,Name,0)))</f>
        <v>Chris Mosher
4</v>
      </c>
      <c r="H166" s="424" t="str">
        <f t="array" ref="H166">INDEX(Import!H:H,MATCH(C166,Name,0))</f>
        <v>Deep Tech (although they list many potential LS mentors in their app). Intelligent knee exoskeleton to help people affected by gait disorders to regain their daily mobility. AI gait analysis algorithms analyze and predict patient motion in real time, so that when a patient begins to stand up or walk the hydraulic system will automatically provide gait assistance. French company looking to gain access to the U.S. Great scientific team (CEO studied at UC Berkeley), with expertise in engineering, robotics, aerospace, AI, biomechanics, etc. KOL on the board with 100+ publications in gait. Prototyped, tested on CTO (see demo), and talked to 200+ patients, physicians, orthotists and physical therapists to be sure they wanted this type of solution. Submitted global patent applications recently.</v>
      </c>
      <c r="I166" s="423" t="str">
        <f t="array" ref="I166">CONCATENATE(INDEX(Import!J:J,MATCH(C166,Name,0)),CHAR(10),INDEX(Import!L:L,MATCH(C166,Name,0)))</f>
        <v>Larisa Kagermazova
3.5</v>
      </c>
      <c r="J166" s="424" t="str">
        <f t="array" ref="J166">INDEX(Import!K:K,MATCH(C166,Name,0))</f>
        <v>Does it adapt to the changes in walking? Or you have to recalibrate whenever walking pattern changes?</v>
      </c>
      <c r="K166" s="423" t="str">
        <f t="array" aca="1" ref="K166" ca="1">CONCATENATE(INDEX('Form Import'!D:D,MATCH(A166,'Form Import'!F:F,0)),CHAR(10),INDEX('Form Import'!V:V,MATCH(A166,'Form Import'!F:F,0)))</f>
        <v>Joshua Rubnitz
5</v>
      </c>
      <c r="L166" s="424" t="str">
        <f t="array" aca="1" ref="L166" ca="1">INDEX('Form Import'!W:W,MATCH(A166,'Form Import'!F:F,0))</f>
        <v>Forward thinking tech that will take significant resources to reach scale. Impressive team that has potential to tackle a large challenge. Only 2-5 months of runway. Could benefit from EFL's network and consultation to survive to profitability.</v>
      </c>
      <c r="M166" s="422"/>
      <c r="N166" s="422" t="str">
        <f t="array" aca="1" ref="N166" ca="1">INDEX('Form Import'!L:L,MATCH($A166,'Form Import'!$F:$F,0))</f>
        <v>Good tech and forward thinking problem that seems to be gaining traction with customers. This will be very difficult to implement, but it requires a network that will itself prevent imitation.</v>
      </c>
      <c r="O166" s="422" t="str">
        <f t="array" aca="1" ref="O166" ca="1">INDEX('Form Import'!O:O,MATCH($A166,'Form Import'!$F:$F,0))</f>
        <v>Large market that is growing with IoT and edge compute. Company has 1-10 customers and generated $110,000 on a deal with a city in Germany. Developing partnerships with companies such as Intel &amp; Deloitte.</v>
      </c>
      <c r="P166" s="422" t="str">
        <f t="array" aca="1" ref="P166" ca="1">INDEX('Form Import'!S:S,MATCH($A166,'Form Import'!$F:$F,0))</f>
        <v xml:space="preserve">Diverse impressive team from PhD computer scientists to serial entrepreneurs, plus an excellent advisory board. </v>
      </c>
      <c r="Q166" s="422"/>
      <c r="R166" s="422"/>
      <c r="S166" s="422" t="e">
        <f t="array" aca="1" ref="S166" ca="1">_xludf.TextJoin("; ",1,INDEX(Import!S:S,MATCH(C166,Name,0)))</f>
        <v>#NAME?</v>
      </c>
    </row>
    <row r="167" spans="1:19" ht="60">
      <c r="A167" s="425" t="s">
        <v>13167</v>
      </c>
      <c r="B167" s="426" t="str">
        <f t="array" aca="1" ref="B167" ca="1">CONCATENATE(TEXT(INDEX(query!A:A,MATCH(C167,query!B:B,0)),"M/DD/YYY"),CHAR(10),INDEX(query!E:E,MATCH(C167,query!B:B,0)))</f>
        <v>8/16/2022
Invite</v>
      </c>
      <c r="C167" s="427" t="s">
        <v>235</v>
      </c>
      <c r="D167" s="428">
        <f t="array" ref="D167">INDEX(Import!D:D,MATCH(C167,Name,0))</f>
        <v>4</v>
      </c>
      <c r="E167" s="429">
        <f t="array" aca="1" ref="E167" ca="1">(INDEX(Import!I:I,MATCH(C167,Name,0))+INDEX(Import!L:L,MATCH(C167,Name,0))+INDEX('Form Import'!V:V,MATCH(A167,'Form Import'!F:F,0)))/3</f>
        <v>4.333333333333333</v>
      </c>
      <c r="F167" s="430" t="str">
        <f t="array" ref="F167">INDEX(Import!E:E,MATCH(C167,Name,0))</f>
        <v>RegTick is a visually intuitive SaaS platform which simplifies the management of complex regulatory &amp; compliance programmes so organisations (in any regulated sector) can reduce cost, improve control &amp; evidence compliance with regulations. Regtick is the simple clear path to compliance, taking the complexity out of a clients compliance.</v>
      </c>
      <c r="G167" s="431" t="str">
        <f t="array" ref="G167">CONCATENATE(INDEX(Import!G:G,MATCH(C167,Import!C:C,0)),CHAR(10),INDEX(Import!I:I,MATCH(C167,Name,0)))</f>
        <v>Beth Xie
4</v>
      </c>
      <c r="H167" s="432" t="str">
        <f t="array" ref="H167">INDEX(Import!H:H,MATCH(C167,Name,0))</f>
        <v>- Very well connected and experienced team in the industry. 
- Current product developed and acquiring customers with pilots.</v>
      </c>
      <c r="I167" s="431" t="str">
        <f t="array" ref="I167">CONCATENATE(INDEX(Import!J:J,MATCH(C167,Name,0)),CHAR(10),INDEX(Import!L:L,MATCH(C167,Name,0)))</f>
        <v>Matt Myers
4</v>
      </c>
      <c r="J167" s="432" t="str">
        <f t="array" ref="J167">INDEX(Import!K:K,MATCH(C167,Name,0))</f>
        <v>Good momentum, poised to make significant impact in regulation compliance industry, proof of concept validation</v>
      </c>
      <c r="K167" s="431" t="str">
        <f t="array" aca="1" ref="K167" ca="1">CONCATENATE(INDEX('Form Import'!D:D,MATCH(A167,'Form Import'!F:F,0)),CHAR(10),INDEX('Form Import'!V:V,MATCH(A167,'Form Import'!F:F,0)))</f>
        <v>Joshua Rubnitz
5</v>
      </c>
      <c r="L167" s="432" t="str">
        <f t="array" aca="1" ref="L167" ca="1">INDEX('Form Import'!W:W,MATCH(A167,'Form Import'!F:F,0))</f>
        <v>Impressive founders that invented the tech and have exclusive rights to it. Long term potential for growth with little room for competition to enter. Could use EFL's network to build out the strategy and prepare to raise significant funding required for healthcare startups. The current pitch deck has very little financial insight or information.</v>
      </c>
      <c r="M167" s="430"/>
      <c r="N167" s="430" t="str">
        <f t="array" aca="1" ref="N167" ca="1">INDEX('Form Import'!L:L,MATCH($A167,'Form Import'!$F:$F,0))</f>
        <v>Founders have invented the tech. One other startup exists that does a similar test, but this team holds the patents for circular genome testing. Interesting note: the patents are owned by Stanford but exclusively licensed to Phinomics as the tech was invented by the founders while at Stanford.</v>
      </c>
      <c r="O167" s="430" t="str">
        <f t="array" aca="1" ref="O167" ca="1">INDEX('Form Import'!O:O,MATCH($A167,'Form Import'!$F:$F,0))</f>
        <v>No customers as the product is still in development. Market for cancer testing is proven and large.</v>
      </c>
      <c r="P167" s="430" t="str">
        <f t="array" aca="1" ref="P167" ca="1">INDEX('Form Import'!S:S,MATCH($A167,'Form Import'!$F:$F,0))</f>
        <v>Both PhD level biomed/chemists that invented the technology. No prior startup experience.</v>
      </c>
      <c r="Q167" s="430"/>
      <c r="R167" s="430"/>
      <c r="S167" s="430" t="e">
        <f t="array" aca="1" ref="S167" ca="1">_xludf.TextJoin("; ",1,INDEX(Import!S:S,MATCH(C167,Name,0)))</f>
        <v>#NAME?</v>
      </c>
    </row>
    <row r="168" spans="1:19" ht="72">
      <c r="A168" s="418" t="s">
        <v>4402</v>
      </c>
      <c r="B168" s="419" t="str">
        <f t="array" aca="1" ref="B168" ca="1">CONCATENATE(TEXT(INDEX(query!A:A,MATCH(C168,query!B:B,0)),"M/DD/YYY"),CHAR(10),INDEX(query!E:E,MATCH(C168,query!B:B,0)))</f>
        <v>8/09/2022
Revisit</v>
      </c>
      <c r="C168" s="85" t="s">
        <v>134</v>
      </c>
      <c r="D168" s="420">
        <f t="array" ref="D168">INDEX(Import!D:D,MATCH(C168,Name,0))</f>
        <v>3.75</v>
      </c>
      <c r="E168" s="421">
        <f t="array" aca="1" ref="E168" ca="1">(INDEX(Import!I:I,MATCH(C168,Name,0))+INDEX(Import!L:L,MATCH(C168,Name,0))+INDEX('Form Import'!V:V,MATCH(A168,'Form Import'!F:F,0)))/3</f>
        <v>4.166666666666667</v>
      </c>
      <c r="F168" s="422" t="str">
        <f t="array" ref="F168">INDEX(Import!E:E,MATCH(C168,Name,0))</f>
        <v>Renew Risk provides fintech SaaS solutions to drive financing &amp; insurance of new renewable energy assets like offshore wind farms. We operate across the financial lifecycle, thereby reducing time, costs and regulatory capital; and increasing efficiency for renewable energy resource allocation</v>
      </c>
      <c r="G168" s="423" t="str">
        <f t="array" ref="G168">CONCATENATE(INDEX(Import!G:G,MATCH(C168,Import!C:C,0)),CHAR(10),INDEX(Import!I:I,MATCH(C168,Name,0)))</f>
        <v>Khoa Ma
4</v>
      </c>
      <c r="H168" s="424" t="str">
        <f t="array" ref="H168">INDEX(Import!H:H,MATCH(C168,Name,0))</f>
        <v>DiT Fintech should invite women and founders of color</v>
      </c>
      <c r="I168" s="423" t="str">
        <f t="array" ref="I168">CONCATENATE(INDEX(Import!J:J,MATCH(C168,Name,0)),CHAR(10),INDEX(Import!L:L,MATCH(C168,Name,0)))</f>
        <v>Shubo (Gabriel) Xu
3.5</v>
      </c>
      <c r="J168" s="424" t="str">
        <f t="array" ref="J168">INDEX(Import!K:K,MATCH(C168,Name,0))</f>
        <v>+
1. Tech is advanced
2. Good team 
-
1. Competition might be much more than the company claims
2. Tech barriers require more justifications.</v>
      </c>
      <c r="K168" s="423" t="str">
        <f t="array" aca="1" ref="K168" ca="1">CONCATENATE(INDEX('Form Import'!D:D,MATCH(A168,'Form Import'!F:F,0)),CHAR(10),INDEX('Form Import'!V:V,MATCH(A168,'Form Import'!F:F,0)))</f>
        <v>Joshua Rubnitz
5</v>
      </c>
      <c r="L168" s="424" t="str">
        <f t="array" aca="1" ref="L168" ca="1">INDEX('Form Import'!W:W,MATCH(A168,'Form Import'!F:F,0))</f>
        <v xml:space="preserve">Experienced founding team in an industry that is ready for disruption, but can be difficult to gain traction in. Good product and excellent use case for web 3 defi technology that can capitalize on a strong network effect if properly positioned. </v>
      </c>
      <c r="M168" s="422"/>
      <c r="N168" s="422" t="str">
        <f t="array" aca="1" ref="N168" ca="1">INDEX('Form Import'!L:L,MATCH($A168,'Form Import'!$F:$F,0))</f>
        <v>Technology is good and validated. The company does not have any patents or patent applications, but could use the network effect, and exclusive agreements with music right's holders to protect their IP. EFL's consultants could help them to strategize this way.
Risk is that there are low barriers to entry for new web3 firms in this space.</v>
      </c>
      <c r="O168" s="422" t="str">
        <f t="array" aca="1" ref="O168" ca="1">INDEX('Form Import'!O:O,MATCH($A168,'Form Import'!$F:$F,0))</f>
        <v>Difficult industry to enter, but a good model. The startup has customers, but has only generated about 50k in revenue from the fully deployed product.</v>
      </c>
      <c r="P168" s="422" t="str">
        <f t="array" aca="1" ref="P168" ca="1">INDEX('Form Import'!S:S,MATCH($A168,'Form Import'!$F:$F,0))</f>
        <v>Founding team has a strong business and Web 3 background, could use some more music industry insiders to build and leverage strong relationships or expertise in the field.</v>
      </c>
      <c r="Q168" s="422"/>
      <c r="R168" s="422"/>
      <c r="S168" s="422" t="e">
        <f t="array" aca="1" ref="S168" ca="1">_xludf.TextJoin("; ",1,INDEX(Import!S:S,MATCH(C168,Name,0)))</f>
        <v>#NAME?</v>
      </c>
    </row>
    <row r="169" spans="1:19" ht="72">
      <c r="A169" s="425" t="s">
        <v>1514</v>
      </c>
      <c r="B169" s="426" t="str">
        <f t="array" aca="1" ref="B169" ca="1">CONCATENATE(TEXT(INDEX(query!A:A,MATCH(C169,query!B:B,0)),"M/DD/YYY"),CHAR(10),INDEX(query!E:E,MATCH(C169,query!B:B,0)))</f>
        <v>8/09/2022
Invite</v>
      </c>
      <c r="C169" s="427" t="s">
        <v>119</v>
      </c>
      <c r="D169" s="428">
        <f t="array" ref="D169">INDEX(Import!D:D,MATCH(C169,Name,0))</f>
        <v>4.25</v>
      </c>
      <c r="E169" s="429">
        <f t="array" aca="1" ref="E169" ca="1">(INDEX(Import!I:I,MATCH(C169,Name,0))+INDEX(Import!L:L,MATCH(C169,Name,0))+INDEX('Form Import'!V:V,MATCH(A169,'Form Import'!F:F,0)))/3</f>
        <v>4.166666666666667</v>
      </c>
      <c r="F169" s="430" t="str">
        <f t="array" ref="F169">INDEX(Import!E:E,MATCH(C169,Name,0))</f>
        <v>RevivBio develops next-generation of safe and efficacious bio-inspired crop and animal health modalities to address the devastating losses caused by emerging diseases and multi-drug resistant pests that cannot be controlled with current solutions.</v>
      </c>
      <c r="G169" s="431" t="str">
        <f t="array" ref="G169">CONCATENATE(INDEX(Import!G:G,MATCH(C169,Import!C:C,0)),CHAR(10),INDEX(Import!I:I,MATCH(C169,Name,0)))</f>
        <v>Khoa Ma
4.5</v>
      </c>
      <c r="H169" s="432" t="str">
        <f t="array" ref="H169">INDEX(Import!H:H,MATCH(C169,Name,0))</f>
        <v>Could be big if it can scale
Good team women founder
Platform
Licensing those IPs from Harvard an issue?</v>
      </c>
      <c r="I169" s="431" t="str">
        <f t="array" ref="I169">CONCATENATE(INDEX(Import!J:J,MATCH(C169,Name,0)),CHAR(10),INDEX(Import!L:L,MATCH(C169,Name,0)))</f>
        <v>Sriharsha Indupuru
4</v>
      </c>
      <c r="J169" s="432" t="str">
        <f t="array" ref="J169">INDEX(Import!K:K,MATCH(C169,Name,0))</f>
        <v>+ Working on one of the key pain areas in the food industry 
+ Looks like the team is capable of pulling off the solution with support 
+ Developed Pico Platform</v>
      </c>
      <c r="K169" s="431" t="str">
        <f t="array" aca="1" ref="K169" ca="1">CONCATENATE(INDEX('Form Import'!D:D,MATCH(A169,'Form Import'!F:F,0)),CHAR(10),INDEX('Form Import'!V:V,MATCH(A169,'Form Import'!F:F,0)))</f>
        <v>Joshua Rubnitz
4</v>
      </c>
      <c r="L169" s="432" t="str">
        <f t="array" aca="1" ref="L169" ca="1">INDEX('Form Import'!W:W,MATCH(A169,'Form Import'!F:F,0))</f>
        <v>Very compelling product and a good team to launch, although most team members are part-time. The company is generating revenue from a large corporate customer. Only concern is that the company has been through many startup accelerators already and product that is essentially fully built out, the team may be having trouble finding market fit? Likely needs help in this department.</v>
      </c>
      <c r="M169" s="430"/>
      <c r="N169" s="430" t="str">
        <f t="array" aca="1" ref="N169" ca="1">INDEX('Form Import'!L:L,MATCH($A169,'Form Import'!$F:$F,0))</f>
        <v>The technology is sound. I think it has some great application somewhere and the business model must be iterated to find really good specific use cases/market fit. The technology behind steganography may not be that novel, but the idea of light field messaging has been patented by the founder.</v>
      </c>
      <c r="O169" s="430" t="str">
        <f t="array" aca="1" ref="O169" ca="1">INDEX('Form Import'!O:O,MATCH($A169,'Form Import'!$F:$F,0))</f>
        <v>The market will be large. There is a lot of content online that needs to be protected. The TAM, SAM, SOM numbers are reasonable, but the specific case really needs to be dialed in. The company has 1 customer–Sonos.</v>
      </c>
      <c r="P169" s="430" t="str">
        <f t="array" aca="1" ref="P169" ca="1">INDEX('Form Import'!S:S,MATCH($A169,'Form Import'!$F:$F,0))</f>
        <v>The team is good. PhD level experts in the field and a Harvard MBA business advisor. Founder is clearly passionate about this product. Other than the main founder, it is a part time project for everyone.</v>
      </c>
      <c r="Q169" s="430"/>
      <c r="R169" s="430"/>
      <c r="S169" s="430" t="e">
        <f t="array" aca="1" ref="S169" ca="1">_xludf.TextJoin("; ",1,INDEX(Import!S:S,MATCH(C169,Name,0)))</f>
        <v>#NAME?</v>
      </c>
    </row>
    <row r="170" spans="1:19" ht="60">
      <c r="A170" s="418" t="s">
        <v>5270</v>
      </c>
      <c r="B170" s="419" t="str">
        <f t="array" aca="1" ref="B170" ca="1">CONCATENATE(TEXT(INDEX(query!A:A,MATCH(C170,query!B:B,0)),"M/DD/YYY"),CHAR(10),INDEX(query!E:E,MATCH(C170,query!B:B,0)))</f>
        <v>8/03/2022
Revisit</v>
      </c>
      <c r="C170" s="85" t="s">
        <v>136</v>
      </c>
      <c r="D170" s="420">
        <f t="array" ref="D170">INDEX(Import!D:D,MATCH(C170,Name,0))</f>
        <v>4</v>
      </c>
      <c r="E170" s="421">
        <f t="array" aca="1" ref="E170" ca="1">(INDEX(Import!I:I,MATCH(C170,Name,0))+INDEX(Import!L:L,MATCH(C170,Name,0))+INDEX('Form Import'!V:V,MATCH(A170,'Form Import'!F:F,0)))/3</f>
        <v>3.3333333333333335</v>
      </c>
      <c r="F170" s="422" t="str">
        <f t="array" ref="F170">INDEX(Import!E:E,MATCH(C170,Name,0))</f>
        <v>Rightbot Technologies leverages robotics to offer fulfilment at last mile quick commerce dark stores. Our solution automates picking, putaway, replenishment, cycle count, in these dark stores. The end outcomes are 40% lower store opex, 70% lower store manpower, upto 1.5x higher store throughput, higher accuracy of picking, reduced employee fatigue</v>
      </c>
      <c r="G170" s="423" t="str">
        <f t="array" ref="G170">CONCATENATE(INDEX(Import!G:G,MATCH(C170,Import!C:C,0)),CHAR(10),INDEX(Import!I:I,MATCH(C170,Name,0)))</f>
        <v>Khoa Ma
4</v>
      </c>
      <c r="H170" s="424" t="str">
        <f t="array" ref="H170">INDEX(Import!H:H,MATCH(C170,Name,0))</f>
        <v>+ The team has a good understanding of the problem and has the right structure of people with diverse backgrounds
- Need more info on how they can challenge the existing systems and sustain in the market</v>
      </c>
      <c r="I170" s="423" t="str">
        <f t="array" ref="I170">CONCATENATE(INDEX(Import!J:J,MATCH(C170,Name,0)),CHAR(10),INDEX(Import!L:L,MATCH(C170,Name,0)))</f>
        <v>Shubo (Gabriel) Xu
4</v>
      </c>
      <c r="J170" s="424" t="str">
        <f t="array" ref="J170">INDEX(Import!K:K,MATCH(C170,Name,0))</f>
        <v>1. Technology is sound in general, but might face more competition than expected. (see Notes on Technology for potential follow up questions if granting interview)
2. Good team composition
3. Need more research into U.S. market, the financial side etc.</v>
      </c>
      <c r="K170" s="423" t="str">
        <f t="array" aca="1" ref="K170" ca="1">CONCATENATE(INDEX('Form Import'!D:D,MATCH(A170,'Form Import'!F:F,0)),CHAR(10),INDEX('Form Import'!V:V,MATCH(A170,'Form Import'!F:F,0)))</f>
        <v>Joshua Rubnitz
2</v>
      </c>
      <c r="L170" s="424" t="str">
        <f t="array" aca="1" ref="L170" ca="1">INDEX('Form Import'!W:W,MATCH(A170,'Form Import'!F:F,0))</f>
        <v>There is no new tech being invented here, but new features and new market. Startup is also already in series B and has raised $37M already. Is also generating significant revenue. Probably not a good fit for EFL.</v>
      </c>
      <c r="M170" s="422"/>
      <c r="N170" s="422" t="str">
        <f t="array" aca="1" ref="N170" ca="1">INDEX('Form Import'!L:L,MATCH($A170,'Form Import'!$F:$F,0))</f>
        <v>This is not new technology. This app exists in many countries (as pointed out by the founder). With that said, it does not yet exist in India and it does have interesting competition features. There is nothing preventing more firms from entering the field.</v>
      </c>
      <c r="O170" s="422" t="str">
        <f t="array" aca="1" ref="O170" ca="1">INDEX('Form Import'!O:O,MATCH($A170,'Form Import'!$F:$F,0))</f>
        <v>Large untapped market of people who are or would like to be investing in the Indian stock market. Generating $7M ARR already.</v>
      </c>
      <c r="P170" s="422" t="str">
        <f t="array" aca="1" ref="P170" ca="1">INDEX('Form Import'!S:S,MATCH($A170,'Form Import'!$F:$F,0))</f>
        <v>Founder has an MBA. Not clear about the rest of the team from this application.</v>
      </c>
      <c r="Q170" s="422"/>
      <c r="R170" s="422"/>
      <c r="S170" s="422" t="e">
        <f t="array" aca="1" ref="S170" ca="1">_xludf.TextJoin("; ",1,INDEX(Import!S:S,MATCH(C170,Name,0)))</f>
        <v>#NAME?</v>
      </c>
    </row>
    <row r="171" spans="1:19" ht="84">
      <c r="A171" s="425" t="s">
        <v>3319</v>
      </c>
      <c r="B171" s="426" t="str">
        <f t="array" aca="1" ref="B171" ca="1">CONCATENATE(TEXT(INDEX(query!A:A,MATCH(C171,query!B:B,0)),"M/DD/YYY"),CHAR(10),INDEX(query!E:E,MATCH(C171,query!B:B,0)))</f>
        <v>8/03/2022
Revisit</v>
      </c>
      <c r="C171" s="427" t="s">
        <v>137</v>
      </c>
      <c r="D171" s="428">
        <f t="array" ref="D171">INDEX(Import!D:D,MATCH(C171,Name,0))</f>
        <v>3.5</v>
      </c>
      <c r="E171" s="429">
        <f t="array" aca="1" ref="E171" ca="1">(INDEX(Import!I:I,MATCH(C171,Name,0))+INDEX(Import!L:L,MATCH(C171,Name,0))+INDEX('Form Import'!V:V,MATCH(A171,'Form Import'!F:F,0)))/3</f>
        <v>3.3333333333333335</v>
      </c>
      <c r="F171" s="430" t="str">
        <f t="array" ref="F171">INDEX(Import!E:E,MATCH(C171,Name,0))</f>
        <v>If someone wants to create a space launch vehicle company now, they must build the entire rocket first.  We believe that the rocket industry is moving toward the aircraft manufacturing model, where someone builds engines, or wings, and others integrate them like Lego blocks to make an airplane.  We want to be the company that sells affordable and r</v>
      </c>
      <c r="G171" s="431" t="str">
        <f t="array" ref="G171">CONCATENATE(INDEX(Import!G:G,MATCH(C171,Import!C:C,0)),CHAR(10),INDEX(Import!I:I,MATCH(C171,Name,0)))</f>
        <v>Yagnik Mehta
3</v>
      </c>
      <c r="H171" s="432" t="str">
        <f t="array" ref="H171">INDEX(Import!H:H,MATCH(C171,Name,0))</f>
        <v>Venture is still a one man army, they needs strong team to realize their goals.
If they would specify strong business plans, Partnerships Strategy, then we could think to call them for interview. 
However I would suggest them to apply next time.</v>
      </c>
      <c r="I171" s="431" t="str">
        <f t="array" ref="I171">CONCATENATE(INDEX(Import!J:J,MATCH(C171,Name,0)),CHAR(10),INDEX(Import!L:L,MATCH(C171,Name,0)))</f>
        <v>Arthur Ibanda
4</v>
      </c>
      <c r="J171" s="432" t="str">
        <f t="array" ref="J171">INDEX(Import!K:K,MATCH(C171,Name,0))</f>
        <v>+The team is very credible and passionate
+The small satellite launch market is growing
+They need funding
-Their engine design is not mature</v>
      </c>
      <c r="K171" s="431" t="str">
        <f t="array" aca="1" ref="K171" ca="1">CONCATENATE(INDEX('Form Import'!D:D,MATCH(A171,'Form Import'!F:F,0)),CHAR(10),INDEX('Form Import'!V:V,MATCH(A171,'Form Import'!F:F,0)))</f>
        <v>Joshua Rubnitz
3</v>
      </c>
      <c r="L171" s="432" t="str">
        <f t="array" aca="1" ref="L171" ca="1">INDEX('Form Import'!W:W,MATCH(A171,'Form Import'!F:F,0))</f>
        <v>If the team is able to create 3D printed water purification that would be a very compelling product &amp; company. There is no data to show the progress, there are no customers, the patent has just been filed, and the team is not seeking funding.</v>
      </c>
      <c r="M171" s="430"/>
      <c r="N171" s="430" t="str">
        <f t="array" aca="1" ref="N171" ca="1">INDEX('Form Import'!L:L,MATCH($A171,'Form Import'!$F:$F,0))</f>
        <v>Water purification is definitely a problem all over the world. The application does not really address if this solution solves the problem or not–there is no data. The team is filing a patent.</v>
      </c>
      <c r="O171" s="430" t="str">
        <f t="array" aca="1" ref="O171" ca="1">INDEX('Form Import'!O:O,MATCH($A171,'Form Import'!$F:$F,0))</f>
        <v>They state that the TAM is large, but do not provide more analysis. There are no customers.</v>
      </c>
      <c r="P171" s="430" t="str">
        <f t="array" aca="1" ref="P171" ca="1">INDEX('Form Import'!S:S,MATCH($A171,'Form Import'!$F:$F,0))</f>
        <v>Team has a good, diverse technical background and has worked in startups before. Little or no business expertise.</v>
      </c>
      <c r="Q171" s="430"/>
      <c r="R171" s="430"/>
      <c r="S171" s="430" t="e">
        <f t="array" aca="1" ref="S171" ca="1">_xludf.TextJoin("; ",1,INDEX(Import!S:S,MATCH(C171,Name,0)))</f>
        <v>#NAME?</v>
      </c>
    </row>
    <row r="172" spans="1:19" ht="84">
      <c r="A172" s="418" t="s">
        <v>7716</v>
      </c>
      <c r="B172" s="419" t="str">
        <f t="array" aca="1" ref="B172" ca="1">CONCATENATE(TEXT(INDEX(query!A:A,MATCH(C172,query!B:B,0)),"M/DD/YYY"),CHAR(10),INDEX(query!E:E,MATCH(C172,query!B:B,0)))</f>
        <v>8/18/2022
Invite</v>
      </c>
      <c r="C172" s="85" t="s">
        <v>246</v>
      </c>
      <c r="D172" s="420">
        <f t="array" ref="D172">INDEX(Import!D:D,MATCH(C172,Name,0))</f>
        <v>4</v>
      </c>
      <c r="E172" s="421">
        <f t="array" aca="1" ref="E172" ca="1">(INDEX(Import!I:I,MATCH(C172,Name,0))+INDEX(Import!L:L,MATCH(C172,Name,0))+INDEX('Form Import'!V:V,MATCH(A172,'Form Import'!F:F,0)))/3</f>
        <v>4</v>
      </c>
      <c r="F172" s="422" t="str">
        <f t="array" ref="F172">INDEX(Import!E:E,MATCH(C172,Name,0))</f>
        <v>Rocket VR is developing clinically-validated VR apps to solve the psychosocial burden experienced by the 10M cancer patients/survivors, providing them with reduced distress, a better quality of life, and reduced healthcare expenses.</v>
      </c>
      <c r="G172" s="423" t="str">
        <f t="array" ref="G172">CONCATENATE(INDEX(Import!G:G,MATCH(C172,Import!C:C,0)),CHAR(10),INDEX(Import!I:I,MATCH(C172,Name,0)))</f>
        <v>Chris Mosher
4</v>
      </c>
      <c r="H172" s="424" t="str">
        <f t="array" ref="H172">INDEX(Import!H:H,MATCH(C172,Name,0))</f>
        <v>Digital Tech. Similar to TRIPP (EFL alumni), but specifically for cancer patients. Gamified therapy that blends cognitive behavioral therapy, acceptance commitment therapy, positive psychology, and mindfulness. Current trials at MGH, Penn Medicine and St. Judes with over 100 patients using the tech. Patent pending. CEO from Northwestern with one startup exit.</v>
      </c>
      <c r="I172" s="423" t="str">
        <f t="array" ref="I172">CONCATENATE(INDEX(Import!J:J,MATCH(C172,Name,0)),CHAR(10),INDEX(Import!L:L,MATCH(C172,Name,0)))</f>
        <v>Parsa Amiri
4</v>
      </c>
      <c r="J172" s="424" t="str">
        <f t="array" ref="J172">INDEX(Import!K:K,MATCH(C172,Name,0))</f>
        <v>DiT/DT. VR-based applications for cancer patients' mental health. VR meditation. VR gamifying mental health. Ongoing clinical studies.</v>
      </c>
      <c r="K172" s="423" t="str">
        <f t="array" aca="1" ref="K172" ca="1">CONCATENATE(INDEX('Form Import'!D:D,MATCH(A172,'Form Import'!F:F,0)),CHAR(10),INDEX('Form Import'!V:V,MATCH(A172,'Form Import'!F:F,0)))</f>
        <v>Joshua Rubnitz
4</v>
      </c>
      <c r="L172" s="424" t="str">
        <f t="array" aca="1" ref="L172" ca="1">INDEX('Form Import'!W:W,MATCH(A172,'Form Import'!F:F,0))</f>
        <v>Very compelling product, but no real data on the status of the product. The business does have customers and claims to be generating revenue, but does not specify how much. The founding team is technically proficient and has good mentors. If this product is realized at scale the use cases could be endless. Could help founders determine an initial strategy to grow their market share in a niche online service provider.</v>
      </c>
      <c r="M172" s="422"/>
      <c r="N172" s="422" t="str">
        <f t="array" aca="1" ref="N172" ca="1">INDEX('Form Import'!L:L,MATCH($A172,'Form Import'!$F:$F,0))</f>
        <v>StoryBrain provides little info about the status of the product. This is an incredibly difficult problem to solve as cutting edge AI can barely produce still-images (see DALLE). If the founding team is able to produce what they have promised it would be incredible tech and hard to imitate due to the degree of difficulty.</v>
      </c>
      <c r="O172" s="422" t="str">
        <f t="array" aca="1" ref="O172" ca="1">INDEX('Form Import'!O:O,MATCH($A172,'Form Import'!$F:$F,0))</f>
        <v>Huge market for generating more online sales. Conversion of customers online is low in every industry and purchase triggers are difficult to create. StoryBrain is has some large corporate partners and is generating revenue, but did not specify how much. Working on a SaaS model.</v>
      </c>
      <c r="P172" s="422" t="str">
        <f t="array" aca="1" ref="P172" ca="1">INDEX('Form Import'!S:S,MATCH($A172,'Form Import'!$F:$F,0))</f>
        <v>Strong educational background and experience in startups. No business-focused founders, but good mentors.</v>
      </c>
      <c r="Q172" s="422"/>
      <c r="R172" s="422"/>
      <c r="S172" s="422" t="e">
        <f t="array" aca="1" ref="S172" ca="1">_xludf.TextJoin("; ",1,INDEX(Import!S:S,MATCH(C172,Name,0)))</f>
        <v>#NAME?</v>
      </c>
    </row>
    <row r="173" spans="1:19" ht="72">
      <c r="A173" s="425" t="s">
        <v>3329</v>
      </c>
      <c r="B173" s="426" t="str">
        <f t="array" aca="1" ref="B173" ca="1">CONCATENATE(TEXT(INDEX(query!A:A,MATCH(C173,query!B:B,0)),"M/DD/YYY"),CHAR(10),INDEX(query!E:E,MATCH(C173,query!B:B,0)))</f>
        <v>8/11/2022
Revisit/ Cluster</v>
      </c>
      <c r="C173" s="427" t="s">
        <v>386</v>
      </c>
      <c r="D173" s="428">
        <f t="array" ref="D173">INDEX(Import!D:D,MATCH(C173,Name,0))</f>
        <v>3.75</v>
      </c>
      <c r="E173" s="429">
        <f t="array" aca="1" ref="E173" ca="1">(INDEX(Import!I:I,MATCH(C173,Name,0))+INDEX(Import!L:L,MATCH(C173,Name,0))+INDEX('Form Import'!V:V,MATCH(A173,'Form Import'!F:F,0)))/3</f>
        <v>4.166666666666667</v>
      </c>
      <c r="F173" s="430" t="str">
        <f t="array" ref="F173">INDEX(Import!E:E,MATCH(C173,Name,0))</f>
        <v>Rockland Technimed Limited (RTL) is a theranostics company committed to the early diagnosis and treatment of hypoxia or ischemia injury through Oxy17Fusion?, its patented metabolic magnetic resonance imaging medium, and simultaneously a Nano Emulsion Oxygen Therapeutic,</v>
      </c>
      <c r="G173" s="431" t="str">
        <f t="array" ref="G173">CONCATENATE(INDEX(Import!G:G,MATCH(C173,Import!C:C,0)),CHAR(10),INDEX(Import!I:I,MATCH(C173,Name,0)))</f>
        <v>Khoa Ma
3.5</v>
      </c>
      <c r="H173" s="432" t="str">
        <f t="array" ref="H173">INDEX(Import!H:H,MATCH(C173,Name,0))</f>
        <v>LS startup?
Ask Chris to take a look. Something here?</v>
      </c>
      <c r="I173" s="431" t="str">
        <f t="array" ref="I173">CONCATENATE(INDEX(Import!J:J,MATCH(C173,Name,0)),CHAR(10),INDEX(Import!L:L,MATCH(C173,Name,0)))</f>
        <v>Yagnik Mehta
4</v>
      </c>
      <c r="J173" s="432" t="str">
        <f t="array" ref="J173">INDEX(Import!K:K,MATCH(C173,Name,0))</f>
        <v>Good Fit for Deep Tech Track</v>
      </c>
      <c r="K173" s="431" t="str">
        <f t="array" aca="1" ref="K173" ca="1">CONCATENATE(INDEX('Form Import'!D:D,MATCH(A173,'Form Import'!F:F,0)),CHAR(10),INDEX('Form Import'!V:V,MATCH(A173,'Form Import'!F:F,0)))</f>
        <v>Joshua Rubnitz
5</v>
      </c>
      <c r="L173" s="432" t="str">
        <f t="array" aca="1" ref="L173" ca="1">INDEX('Form Import'!W:W,MATCH(A173,'Form Import'!F:F,0))</f>
        <v>This is a compelling product that could prevent billions of wasted natural gas from emitting carbon into the atmosphere, and could turn the waste into a useful product. The team has generated backing from many established energy company's executives and has even brought one on board. EFL could help then generate market fit and prepare them to receive funding for a real proof of product.</v>
      </c>
      <c r="M173" s="430"/>
      <c r="N173" s="430" t="str">
        <f t="array" aca="1" ref="N173" ca="1">INDEX('Form Import'!L:L,MATCH($A173,'Form Import'!$F:$F,0))</f>
        <v xml:space="preserve">The problem is well known, but not solved for yet. The re-use of this wasted natural gas is not a novel idea, but the solution is novel (but unproven). A patent has been filed that should prevent this particular solution from being imitated. </v>
      </c>
      <c r="O173" s="430" t="str">
        <f t="array" aca="1" ref="O173" ca="1">INDEX('Form Import'!O:O,MATCH($A173,'Form Import'!$F:$F,0))</f>
        <v>Large global market with 142 billion cubic meters of nat gas being flared annually. Startup did not provide dollar-figure size of market.</v>
      </c>
      <c r="P173" s="430" t="str">
        <f t="array" aca="1" ref="P173" ca="1">INDEX('Form Import'!S:S,MATCH($A173,'Form Import'!$F:$F,0))</f>
        <v>Good, diverse team with technical and business background. First startup for all founders.</v>
      </c>
      <c r="Q173" s="430"/>
      <c r="R173" s="430"/>
      <c r="S173" s="430" t="e">
        <f t="array" aca="1" ref="S173" ca="1">_xludf.TextJoin("; ",1,INDEX(Import!S:S,MATCH(C173,Name,0)))</f>
        <v>#NAME?</v>
      </c>
    </row>
    <row r="174" spans="1:19" ht="132">
      <c r="A174" s="418" t="s">
        <v>9388</v>
      </c>
      <c r="B174" s="419" t="str">
        <f t="array" aca="1" ref="B174" ca="1">CONCATENATE(TEXT(INDEX(query!A:A,MATCH(C174,query!B:B,0)),"M/DD/YYY"),CHAR(10),INDEX(query!E:E,MATCH(C174,query!B:B,0)))</f>
        <v>8/09/2022
Invite</v>
      </c>
      <c r="C174" s="85" t="s">
        <v>250</v>
      </c>
      <c r="D174" s="420">
        <f t="array" ref="D174">INDEX(Import!D:D,MATCH(C174,Name,0))</f>
        <v>3.75</v>
      </c>
      <c r="E174" s="421">
        <f t="array" aca="1" ref="E174" ca="1">(INDEX(Import!I:I,MATCH(C174,Name,0))+INDEX(Import!L:L,MATCH(C174,Name,0))+INDEX('Form Import'!V:V,MATCH(A174,'Form Import'!F:F,0)))/3</f>
        <v>3.8333333333333335</v>
      </c>
      <c r="F174" s="422" t="str">
        <f t="array" ref="F174">INDEX(Import!E:E,MATCH(C174,Name,0))</f>
        <v>ROCSOLE is providing critical realtime process insights to boost customer operational excellence for production facilities and manufacturing assets improving the financial performance, reducing run-to-failures and providing capabilities to accelerate the path to net zero.</v>
      </c>
      <c r="G174" s="423" t="str">
        <f t="array" ref="G174">CONCATENATE(INDEX(Import!G:G,MATCH(C174,Import!C:C,0)),CHAR(10),INDEX(Import!I:I,MATCH(C174,Name,0)))</f>
        <v>Khoa Ma
4.5</v>
      </c>
      <c r="H174" s="424" t="str">
        <f t="array" ref="H174">INDEX(Import!H:H,MATCH(C174,Name,0))</f>
        <v>Too late for EFL? Like ~Acoustic Wells but goes deeper)</v>
      </c>
      <c r="I174" s="423" t="str">
        <f t="array" ref="I174">CONCATENATE(INDEX(Import!J:J,MATCH(C174,Name,0)),CHAR(10),INDEX(Import!L:L,MATCH(C174,Name,0)))</f>
        <v>Yagnik Mehta
3</v>
      </c>
      <c r="J174" s="424" t="str">
        <f t="array" ref="J174">INDEX(Import!K:K,MATCH(C174,Name,0))</f>
        <v>Referral by Khoa Ma.</v>
      </c>
      <c r="K174" s="423" t="str">
        <f t="array" aca="1" ref="K174" ca="1">CONCATENATE(INDEX('Form Import'!D:D,MATCH(A174,'Form Import'!F:F,0)),CHAR(10),INDEX('Form Import'!V:V,MATCH(A174,'Form Import'!F:F,0)))</f>
        <v>Joshua Rubnitz
4</v>
      </c>
      <c r="L174" s="424" t="str">
        <f t="array" aca="1" ref="L174" ca="1">INDEX('Form Import'!W:W,MATCH(A174,'Form Import'!F:F,0))</f>
        <v>The team has built a no-code AI data analytics tool that they claim is better than competitors and with no funding is already generating $20K MRR. They are focusing on the banking industry. This is a huge and growing market.
In the EFL application and the pitch they did not really hone in an any very specific or compelling use-cases, but it is safe to assume that there are plenty of specific data-related problems in the banking industry (and beyond).
Team is mostly business focused, and claim to be MI/AI experts as well. The early figures they have generated are impressive, probably need to strategize growth quickly to keep this edge.</v>
      </c>
      <c r="M174" s="422"/>
      <c r="N174" s="422" t="str">
        <f t="array" aca="1" ref="N174" ca="1">INDEX('Form Import'!L:L,MATCH($A174,'Form Import'!$F:$F,0))</f>
        <v>Powerful tech that has the potential to increase the productivity of every employee in banking and eventually any data-reliant industry. 
No-code AI is not that proprietary, and many players are in this game. Straylight systems does claim to have better capabilities than most competitors and a more specialized focus on banking.
The market for this is huge and with the right strategy Straylight could capitalize.</v>
      </c>
      <c r="O174" s="422" t="str">
        <f t="array" aca="1" ref="O174" ca="1">INDEX('Form Import'!O:O,MATCH($A174,'Form Import'!$F:$F,0))</f>
        <v>Large and growing market for data analysis. They have a MRR of around $20K.</v>
      </c>
      <c r="P174" s="422" t="str">
        <f t="array" aca="1" ref="P174" ca="1">INDEX('Form Import'!S:S,MATCH($A174,'Form Import'!$F:$F,0))</f>
        <v>The team has experience in banking from a FinTech and even regulatory standpoint. Decently strong ML experts, but not necessarily innovators in the field. Claim that the product is very capable though.</v>
      </c>
      <c r="Q174" s="422"/>
      <c r="R174" s="422"/>
      <c r="S174" s="422" t="e">
        <f t="array" aca="1" ref="S174" ca="1">_xludf.TextJoin("; ",1,INDEX(Import!S:S,MATCH(C174,Name,0)))</f>
        <v>#NAME?</v>
      </c>
    </row>
    <row r="175" spans="1:19" ht="192">
      <c r="A175" s="425" t="s">
        <v>9397</v>
      </c>
      <c r="B175" s="426" t="str">
        <f t="array" aca="1" ref="B175" ca="1">CONCATENATE(TEXT(INDEX(query!A:A,MATCH(C175,query!B:B,0)),"M/DD/YYY"),CHAR(10),INDEX(query!E:E,MATCH(C175,query!B:B,0)))</f>
        <v>8/16/2022
Invite Next Year</v>
      </c>
      <c r="C175" s="427" t="s">
        <v>5218</v>
      </c>
      <c r="D175" s="428">
        <f t="array" ref="D175">INDEX(Import!D:D,MATCH(C175,Name,0))</f>
        <v>3.25</v>
      </c>
      <c r="E175" s="429">
        <f t="array" aca="1" ref="E175" ca="1">(INDEX(Import!I:I,MATCH(C175,Name,0))+INDEX(Import!L:L,MATCH(C175,Name,0))+INDEX('Form Import'!V:V,MATCH(A175,'Form Import'!F:F,0)))/3</f>
        <v>3.8333333333333335</v>
      </c>
      <c r="F175" s="430" t="str">
        <f t="array" ref="F175">INDEX(Import!E:E,MATCH(C175,Name,0))</f>
        <v>The Human Interface for Salesforce that enables companies to fuel enterprise systems built for output with the data input required to run and eliminate the inefficiencies required for such.</v>
      </c>
      <c r="G175" s="431" t="str">
        <f t="array" ref="G175">CONCATENATE(INDEX(Import!G:G,MATCH(C175,Import!C:C,0)),CHAR(10),INDEX(Import!I:I,MATCH(C175,Name,0)))</f>
        <v>Mark Flynn
3</v>
      </c>
      <c r="H175" s="432" t="str">
        <f t="array" ref="H175">INDEX(Import!H:H,MATCH(C175,Name,0))</f>
        <v>The app is very thin; tech seems like it could be interesting; traction seems good</v>
      </c>
      <c r="I175" s="431" t="str">
        <f t="array" ref="I175">CONCATENATE(INDEX(Import!J:J,MATCH(C175,Name,0)),CHAR(10),INDEX(Import!L:L,MATCH(C175,Name,0)))</f>
        <v>Boyang Yu
3.5</v>
      </c>
      <c r="J175" s="432" t="str">
        <f t="array" ref="J175">INDEX(Import!K:K,MATCH(C175,Name,0))</f>
        <v>The company started in 2014 and is generating revenue now. Tech isn't cutting edge but integrated well in practice with Salesforce.</v>
      </c>
      <c r="K175" s="431" t="str">
        <f t="array" aca="1" ref="K175" ca="1">CONCATENATE(INDEX('Form Import'!D:D,MATCH(A175,'Form Import'!F:F,0)),CHAR(10),INDEX('Form Import'!V:V,MATCH(A175,'Form Import'!F:F,0)))</f>
        <v>Joshua Rubnitz
5</v>
      </c>
      <c r="L175" s="432" t="str">
        <f t="array" aca="1" ref="L175" ca="1">INDEX('Form Import'!W:W,MATCH(A175,'Form Import'!F:F,0))</f>
        <v xml:space="preserve">Strayos has built a product that may not be that differentiated technically from some solutions that already exist, but they are implementing a strategy of an 'off the shelf' solution that does create some product differentiation. Their customer numbers are impressive with $1M ARR and zero churn. Customer success has been verified.
Good forward thinking product road map is presented in their deck, but the US market may not be that large (SAM of $1B assuming 40k ARPU).
The company has developed good partnerships with large corporations.
Not totally clear what the hardware to software vertical integration strategy is. Does Strayos sell the drone or LiDAR technology, or just the software?
</v>
      </c>
      <c r="M175" s="430"/>
      <c r="N175" s="430" t="str">
        <f t="array" aca="1" ref="N175" ca="1">INDEX('Form Import'!L:L,MATCH($A175,'Form Import'!$F:$F,0))</f>
        <v xml:space="preserve">The technology is not patent protected and other companies offering similar solutions exist. Strayos has a vision to be an off the shelf solution rather than mining companies contracting an expensive developer to make project-specific applications. This is a strategic differentiator that does require a tailored product. </v>
      </c>
      <c r="O175" s="430" t="str">
        <f t="array" aca="1" ref="O175" ca="1">INDEX('Form Import'!O:O,MATCH($A175,'Form Import'!$F:$F,0))</f>
        <v>$1M in ARR and a churn of zero. Market in USA is not huge...$1B total market.</v>
      </c>
      <c r="P175" s="430" t="str">
        <f t="array" aca="1" ref="P175" ca="1">INDEX('Form Import'!S:S,MATCH($A175,'Form Import'!$F:$F,0))</f>
        <v>Team is experienced technically and has some business expertise. Could greatly benefit from partnerships with more mining companies to create specific solutions and new products.</v>
      </c>
      <c r="Q175" s="430"/>
      <c r="R175" s="430"/>
      <c r="S175" s="430" t="e">
        <f t="array" aca="1" ref="S175" ca="1">_xludf.TextJoin("; ",1,INDEX(Import!S:S,MATCH(C175,Name,0)))</f>
        <v>#NAME?</v>
      </c>
    </row>
    <row r="176" spans="1:19" ht="48">
      <c r="A176" s="418" t="s">
        <v>6555</v>
      </c>
      <c r="B176" s="419" t="str">
        <f t="array" aca="1" ref="B176" ca="1">CONCATENATE(TEXT(INDEX(query!A:A,MATCH(C176,query!B:B,0)),"M/DD/YYY"),CHAR(10),INDEX(query!E:E,MATCH(C176,query!B:B,0)))</f>
        <v>8/16/2022
Invite Next Year</v>
      </c>
      <c r="C176" s="85" t="s">
        <v>4848</v>
      </c>
      <c r="D176" s="420">
        <f t="array" ref="D176">INDEX(Import!D:D,MATCH(C176,Name,0))</f>
        <v>3.5</v>
      </c>
      <c r="E176" s="421">
        <f t="array" aca="1" ref="E176" ca="1">(INDEX(Import!I:I,MATCH(C176,Name,0))+INDEX(Import!L:L,MATCH(C176,Name,0))+INDEX('Form Import'!V:V,MATCH(A176,'Form Import'!F:F,0)))/3</f>
        <v>3.3333333333333335</v>
      </c>
      <c r="F176" s="422" t="str">
        <f t="array" ref="F176">INDEX(Import!E:E,MATCH(C176,Name,0))</f>
        <v>Roseon World is the entire ecosystem covering our developments in simplifying our users? crypto journey. We are a one-stop solution for all our customers? crypto needs. WonderApp, previously simply called Roseon App, is accessible via mobile (Android or iOS) and also via our web portal.</v>
      </c>
      <c r="G176" s="423" t="str">
        <f t="array" ref="G176">CONCATENATE(INDEX(Import!G:G,MATCH(C176,Import!C:C,0)),CHAR(10),INDEX(Import!I:I,MATCH(C176,Name,0)))</f>
        <v>Beth Xie
3.5</v>
      </c>
      <c r="H176" s="424" t="str">
        <f t="array" ref="H176">INDEX(Import!H:H,MATCH(C176,Name,0))</f>
        <v>- Strong traction
- In a very crowded field
- Hard to maintain long term moat
- Short runway left</v>
      </c>
      <c r="I176" s="423" t="str">
        <f t="array" ref="I176">CONCATENATE(INDEX(Import!J:J,MATCH(C176,Name,0)),CHAR(10),INDEX(Import!L:L,MATCH(C176,Name,0)))</f>
        <v>Matt Myers
3.5</v>
      </c>
      <c r="J176" s="424" t="str">
        <f t="array" ref="J176">INDEX(Import!K:K,MATCH(C176,Name,0))</f>
        <v>Attractive idea (supported by quick growth &amp; early success). Might be a good fit for EFL.</v>
      </c>
      <c r="K176" s="423" t="str">
        <f t="array" aca="1" ref="K176" ca="1">CONCATENATE(INDEX('Form Import'!D:D,MATCH(A176,'Form Import'!F:F,0)),CHAR(10),INDEX('Form Import'!V:V,MATCH(A176,'Form Import'!F:F,0)))</f>
        <v>Joshua Rubnitz
3</v>
      </c>
      <c r="L176" s="424" t="str">
        <f t="array" aca="1" ref="L176" ca="1">INDEX('Form Import'!W:W,MATCH(A176,'Form Import'!F:F,0))</f>
        <v xml:space="preserve">The team is impressive and the product seems good, but there is no new deep or digital tech in the product and a lot of competitors are in the field. The CEO reportedly has a good network in the content creator space and may be able to leverage that to find success. </v>
      </c>
      <c r="M176" s="422"/>
      <c r="N176" s="422" t="str">
        <f t="array" aca="1" ref="N176" ca="1">INDEX('Form Import'!L:L,MATCH($A176,'Form Import'!$F:$F,0))</f>
        <v>This is a tangible problem/goal and they conducted thorough interviews of potential customers. This service is probably a necessity for all professional content creators. 
There are many similar services, but StreamBee is trying to differentiate itself by focuing on creators, providing actionable insights, and being cross-platform in the future. The product is not very protected from imitation and cannot be patented according to application.</v>
      </c>
      <c r="O176" s="422" t="str">
        <f t="array" aca="1" ref="O176" ca="1">INDEX('Form Import'!O:O,MATCH($A176,'Form Import'!$F:$F,0))</f>
        <v>Large and growing market. They have 2000 customers, but they are not paying.</v>
      </c>
      <c r="P176" s="422" t="str">
        <f t="array" aca="1" ref="P176" ca="1">INDEX('Form Import'!S:S,MATCH($A176,'Form Import'!$F:$F,0))</f>
        <v>Team is well suited for this product. CEO is a self-taught content creator, CTO produces music, and they have been gamers for a long time. CMO has experience from a previous startup.</v>
      </c>
      <c r="Q176" s="422"/>
      <c r="R176" s="422"/>
      <c r="S176" s="422" t="e">
        <f t="array" aca="1" ref="S176" ca="1">_xludf.TextJoin("; ",1,INDEX(Import!S:S,MATCH(C176,Name,0)))</f>
        <v>#NAME?</v>
      </c>
    </row>
    <row r="177" spans="1:19" ht="108">
      <c r="A177" s="425" t="s">
        <v>3339</v>
      </c>
      <c r="B177" s="426" t="str">
        <f t="array" aca="1" ref="B177" ca="1">CONCATENATE(TEXT(INDEX(query!A:A,MATCH(C177,query!B:B,0)),"M/DD/YYY"),CHAR(10),INDEX(query!E:E,MATCH(C177,query!B:B,0)))</f>
        <v>8/23/2022
Invite Next Year</v>
      </c>
      <c r="C177" s="427" t="s">
        <v>6493</v>
      </c>
      <c r="D177" s="428">
        <f t="array" ref="D177">INDEX(Import!D:D,MATCH(C177,Name,0))</f>
        <v>2.5</v>
      </c>
      <c r="E177" s="429">
        <f t="array" aca="1" ref="E177" ca="1">(INDEX(Import!I:I,MATCH(C177,Name,0))+INDEX(Import!L:L,MATCH(C177,Name,0))+INDEX('Form Import'!V:V,MATCH(A177,'Form Import'!F:F,0)))/3</f>
        <v>2.3333333333333335</v>
      </c>
      <c r="F177" s="430" t="str">
        <f t="array" ref="F177">INDEX(Import!E:E,MATCH(C177,Name,0))</f>
        <v>Rubato is an AI powered musical therapeutic app based on biometrics and clinical outcomes. We help Dementia patients to cope with agitation attacks and other behavioral disorders, by listening to curated personalized playlists in an enjoyable and effortless experience.</v>
      </c>
      <c r="G177" s="431" t="str">
        <f t="array" ref="G177">CONCATENATE(INDEX(Import!G:G,MATCH(C177,Import!C:C,0)),CHAR(10),INDEX(Import!I:I,MATCH(C177,Name,0)))</f>
        <v>Beth Xie
2.5</v>
      </c>
      <c r="H177" s="432" t="str">
        <f t="array" ref="H177">INDEX(Import!H:H,MATCH(C177,Name,0))</f>
        <v>- In two clinical studies now. Planning to present intermediate results in 6 months. 
- No customers and no revenue. 
- There are a number of competitors in this larger area of using music for mental health.  
- Scope of product-market fit is too narrow: only on dementia patients.
- Too early for EFL. Need to show more traction.</v>
      </c>
      <c r="I177" s="431" t="str">
        <f t="array" ref="I177">CONCATENATE(INDEX(Import!J:J,MATCH(C177,Name,0)),CHAR(10),INDEX(Import!L:L,MATCH(C177,Name,0)))</f>
        <v>Matt Myers
2.5</v>
      </c>
      <c r="J177" s="432" t="str">
        <f t="array" ref="J177">INDEX(Import!K:K,MATCH(C177,Name,0))</f>
        <v>Fully agreed--too early here, encourage to apply again next year.</v>
      </c>
      <c r="K177" s="431" t="str">
        <f t="array" aca="1" ref="K177" ca="1">CONCATENATE(INDEX('Form Import'!D:D,MATCH(A177,'Form Import'!F:F,0)),CHAR(10),INDEX('Form Import'!V:V,MATCH(A177,'Form Import'!F:F,0)))</f>
        <v>Joshua Rubnitz
2</v>
      </c>
      <c r="L177" s="432" t="str">
        <f t="array" aca="1" ref="L177" ca="1">INDEX('Form Import'!W:W,MATCH(A177,'Form Import'!F:F,0))</f>
        <v>Compelling product that could have appeal to certain customers and could increase the quality of fresh produce and live-ability for NYC as a whole.
There is no new tech, and the product is still in concept phase. Product is a 'nice to have' not a 'must have' for consumers everywhere.
Pitch deck misses some fundamental questions (food throughput, COGS, real estate/electricity, etc.) and due diligence before investor would be ready to give funding, but it is still in pre-seed.</v>
      </c>
      <c r="M177" s="430"/>
      <c r="N177" s="430" t="str">
        <f t="array" aca="1" ref="N177" ca="1">INDEX('Form Import'!L:L,MATCH($A177,'Form Import'!$F:$F,0))</f>
        <v>The founder has conducted interviews and found that the 'overwhelming' pain in food purchasing is satisfaction with the fresh produce available. This concept could ease the pain in theory. Did not provide any analysis of food throughput or growing conditions of these distributed hydroponic systems.
The tech is in concept phase, no MVP.
If this tech hits scale it would be difficult and labor intensive to build another system to compete, but will always face competition from grocery stores.</v>
      </c>
      <c r="O177" s="430" t="str">
        <f t="array" aca="1" ref="O177" ca="1">INDEX('Form Import'!O:O,MATCH($A177,'Form Import'!$F:$F,0))</f>
        <v>Market is currently addressed by food suppliers and grocery stores. Founder has discovered that customers have low satisfaction with the fresh produce available.</v>
      </c>
      <c r="P177" s="430" t="str">
        <f t="array" aca="1" ref="P177" ca="1">INDEX('Form Import'!S:S,MATCH($A177,'Form Import'!$F:$F,0))</f>
        <v>Founder is a successful artist and urban sustainability innovator with a masters in Interactive Technology from NYU.</v>
      </c>
      <c r="Q177" s="430"/>
      <c r="R177" s="430"/>
      <c r="S177" s="430" t="e">
        <f t="array" aca="1" ref="S177" ca="1">_xludf.TextJoin("; ",1,INDEX(Import!S:S,MATCH(C177,Name,0)))</f>
        <v>#NAME?</v>
      </c>
    </row>
    <row r="178" spans="1:19" ht="48">
      <c r="A178" s="418" t="s">
        <v>7522</v>
      </c>
      <c r="B178" s="419" t="str">
        <f t="array" aca="1" ref="B178" ca="1">CONCATENATE(TEXT(INDEX(query!A:A,MATCH(C178,query!B:B,0)),"M/DD/YYY"),CHAR(10),INDEX(query!E:E,MATCH(C178,query!B:B,0)))</f>
        <v>8/03/2022
Invite Next Year</v>
      </c>
      <c r="C178" s="85" t="s">
        <v>3250</v>
      </c>
      <c r="D178" s="420">
        <f t="array" ref="D178">INDEX(Import!D:D,MATCH(C178,Name,0))</f>
        <v>2.5</v>
      </c>
      <c r="E178" s="421">
        <f t="array" aca="1" ref="E178" ca="1">(INDEX(Import!I:I,MATCH(C178,Name,0))+INDEX(Import!L:L,MATCH(C178,Name,0))+INDEX('Form Import'!V:V,MATCH(A178,'Form Import'!F:F,0)))/3</f>
        <v>2.3333333333333335</v>
      </c>
      <c r="F178" s="422" t="str">
        <f t="array" ref="F178">INDEX(Import!E:E,MATCH(C178,Name,0))</f>
        <v>We are developing a low cost and electricity-free solution for capture and utilization of flue gas of heavy industries.</v>
      </c>
      <c r="G178" s="423" t="str">
        <f t="array" ref="G178">CONCATENATE(INDEX(Import!G:G,MATCH(C178,Import!C:C,0)),CHAR(10),INDEX(Import!I:I,MATCH(C178,Name,0)))</f>
        <v>Khoa Ma
2</v>
      </c>
      <c r="H178" s="424" t="str">
        <f t="array" ref="H178">INDEX(Import!H:H,MATCH(C178,Name,0))</f>
        <v>Ask to apply next year when there has been more development</v>
      </c>
      <c r="I178" s="423" t="str">
        <f t="array" ref="I178">CONCATENATE(INDEX(Import!J:J,MATCH(C178,Name,0)),CHAR(10),INDEX(Import!L:L,MATCH(C178,Name,0)))</f>
        <v>Mark Flynn
3</v>
      </c>
      <c r="J178" s="424" t="str">
        <f t="array" ref="J178">INDEX(Import!K:K,MATCH(C178,Name,0))</f>
        <v>The founding team seems pretty capable; the technology is interesting, and the market opportunity could be big. My sense is that they are a little early on the tech validation and I would want them to apply again next year.</v>
      </c>
      <c r="K178" s="423" t="str">
        <f t="array" aca="1" ref="K178" ca="1">CONCATENATE(INDEX('Form Import'!D:D,MATCH(A178,'Form Import'!F:F,0)),CHAR(10),INDEX('Form Import'!V:V,MATCH(A178,'Form Import'!F:F,0)))</f>
        <v>Joshua Rubnitz
2</v>
      </c>
      <c r="L178" s="424" t="str">
        <f t="array" aca="1" ref="L178" ca="1">INDEX('Form Import'!W:W,MATCH(A178,'Form Import'!F:F,0))</f>
        <v>Compelling product design and very well researched market. Exceptional team.
This product has no real technical innovations and the organization is non-profit, possibly not seeking funding.</v>
      </c>
      <c r="M178" s="422"/>
      <c r="N178" s="422" t="str">
        <f t="array" aca="1" ref="N178" ca="1">INDEX('Form Import'!L:L,MATCH($A178,'Form Import'!$F:$F,0))</f>
        <v>No new technology, product is a schoolbus that is retrofitted to bring the classroom to the students. No mention of competitors. Little barriers to entry.</v>
      </c>
      <c r="O178" s="422" t="str">
        <f t="array" aca="1" ref="O178" ca="1">INDEX('Form Import'!O:O,MATCH($A178,'Form Import'!$F:$F,0))</f>
        <v>Huge market demand and very important problem to address. Current students do not pay this non-profit.</v>
      </c>
      <c r="P178" s="422" t="str">
        <f t="array" aca="1" ref="P178" ca="1">INDEX('Form Import'!S:S,MATCH($A178,'Form Import'!$F:$F,0))</f>
        <v>Founders have impressive backgrounds and are intimately familiar with the problem in these rural communities.</v>
      </c>
      <c r="Q178" s="422"/>
      <c r="R178" s="422"/>
      <c r="S178" s="422" t="e">
        <f t="array" aca="1" ref="S178" ca="1">_xludf.TextJoin("; ",1,INDEX(Import!S:S,MATCH(C178,Name,0)))</f>
        <v>#NAME?</v>
      </c>
    </row>
    <row r="179" spans="1:19" ht="60">
      <c r="A179" s="425" t="s">
        <v>13168</v>
      </c>
      <c r="B179" s="426" t="str">
        <f t="array" aca="1" ref="B179" ca="1">CONCATENATE(TEXT(INDEX(query!A:A,MATCH(C179,query!B:B,0)),"M/DD/YYY"),CHAR(10),INDEX(query!E:E,MATCH(C179,query!B:B,0)))</f>
        <v>8/09/2022
Invite Next Year</v>
      </c>
      <c r="C179" s="427" t="s">
        <v>6502</v>
      </c>
      <c r="D179" s="428">
        <f t="array" ref="D179">INDEX(Import!D:D,MATCH(C179,Name,0))</f>
        <v>2.5</v>
      </c>
      <c r="E179" s="429">
        <f t="array" aca="1" ref="E179" ca="1">(INDEX(Import!I:I,MATCH(C179,Name,0))+INDEX(Import!L:L,MATCH(C179,Name,0))+INDEX('Form Import'!V:V,MATCH(A179,'Form Import'!F:F,0)))/3</f>
        <v>2.6666666666666665</v>
      </c>
      <c r="F179" s="430" t="str">
        <f t="array" ref="F179">INDEX(Import!E:E,MATCH(C179,Name,0))</f>
        <v>Saathealth's AI powered, personalized digital therapeutics platform provides health organisations with the interventions to engage &amp; nudge health consumers towards positive outcomes. 
Our algorithms can be deployed with our indication &amp; geography agnostic companion solution. Our solutions are being developed for multiple disease indications.</v>
      </c>
      <c r="G179" s="431" t="str">
        <f t="array" ref="G179">CONCATENATE(INDEX(Import!G:G,MATCH(C179,Import!C:C,0)),CHAR(10),INDEX(Import!I:I,MATCH(C179,Name,0)))</f>
        <v>Mark Flynn
2</v>
      </c>
      <c r="H179" s="432" t="str">
        <f t="array" ref="H179">INDEX(Import!H:H,MATCH(C179,Name,0))</f>
        <v>Focused on emerging markets, mainly India and SE Asian countries; not sure solution is 10x better than current market products</v>
      </c>
      <c r="I179" s="431" t="str">
        <f t="array" ref="I179">CONCATENATE(INDEX(Import!J:J,MATCH(C179,Name,0)),CHAR(10),INDEX(Import!L:L,MATCH(C179,Name,0)))</f>
        <v>Boyang Yu
3</v>
      </c>
      <c r="J179" s="432" t="str">
        <f t="array" ref="J179">INDEX(Import!K:K,MATCH(C179,Name,0))</f>
        <v>The validation is not enough.</v>
      </c>
      <c r="K179" s="431" t="str">
        <f t="array" aca="1" ref="K179" ca="1">CONCATENATE(INDEX('Form Import'!D:D,MATCH(A179,'Form Import'!F:F,0)),CHAR(10),INDEX('Form Import'!V:V,MATCH(A179,'Form Import'!F:F,0)))</f>
        <v>Joshua Rubnitz
3</v>
      </c>
      <c r="L179" s="432" t="str">
        <f t="array" aca="1" ref="L179" ca="1">INDEX('Form Import'!W:W,MATCH(A179,'Form Import'!F:F,0))</f>
        <v>Bringing a 'square, inc' lookalike to a market that really needs it. Incredible opportunity for growth and a team that can get it done.
No technological differentiator and competitors exist. 
Note - it is an LLC although name says Inc.</v>
      </c>
      <c r="M179" s="430"/>
      <c r="N179" s="430" t="str">
        <f t="array" aca="1" ref="N179" ca="1">INDEX('Form Import'!L:L,MATCH($A179,'Form Import'!$F:$F,0))</f>
        <v>No novel deep or digital tech, but bringing a technology to a new market that badly needs the solution. By moving quickly, could replicate the network effect that Square has enjoyed.</v>
      </c>
      <c r="O179" s="430" t="str">
        <f t="array" aca="1" ref="O179" ca="1">INDEX('Form Import'!O:O,MATCH($A179,'Form Import'!$F:$F,0))</f>
        <v>Market research is compelling and shows an urgent need. There are competitors, but it is a huge market. Claims to have 501+ customers, but no revenue.</v>
      </c>
      <c r="P179" s="430" t="str">
        <f t="array" aca="1" ref="P179" ca="1">INDEX('Form Import'!S:S,MATCH($A179,'Form Import'!$F:$F,0))</f>
        <v>Team is intimately familiar with the market. Has good broad background from technical and business point of view.</v>
      </c>
      <c r="Q179" s="430"/>
      <c r="R179" s="430"/>
      <c r="S179" s="430" t="e">
        <f t="array" aca="1" ref="S179" ca="1">_xludf.TextJoin("; ",1,INDEX(Import!S:S,MATCH(C179,Name,0)))</f>
        <v>#NAME?</v>
      </c>
    </row>
    <row r="180" spans="1:19" ht="120">
      <c r="A180" s="418" t="s">
        <v>1530</v>
      </c>
      <c r="B180" s="419" t="str">
        <f t="array" aca="1" ref="B180" ca="1">CONCATENATE(TEXT(INDEX(query!A:A,MATCH(C180,query!B:B,0)),"M/DD/YYY"),CHAR(10),INDEX(query!E:E,MATCH(C180,query!B:B,0)))</f>
        <v>8/18/2022
Invite</v>
      </c>
      <c r="C180" s="85" t="s">
        <v>345</v>
      </c>
      <c r="D180" s="420">
        <f t="array" ref="D180">INDEX(Import!D:D,MATCH(C180,Name,0))</f>
        <v>4.75</v>
      </c>
      <c r="E180" s="421">
        <f t="array" aca="1" ref="E180" ca="1">(INDEX(Import!I:I,MATCH(C180,Name,0))+INDEX(Import!L:L,MATCH(C180,Name,0))+INDEX('Form Import'!V:V,MATCH(A180,'Form Import'!F:F,0)))/3</f>
        <v>4.166666666666667</v>
      </c>
      <c r="F180" s="422" t="str">
        <f t="array" ref="F180">INDEX(Import!E:E,MATCH(C180,Name,0))</f>
        <v>Sachi Bioworks is transforming therapeutic-discovery by realizing potential of genomic medicine through a proprietary Nanoligomer platform technology, to create first-in-class and best-in-class therapeutic assets for space medicine and personalized medicine.</v>
      </c>
      <c r="G180" s="423" t="str">
        <f t="array" ref="G180">CONCATENATE(INDEX(Import!G:G,MATCH(C180,Import!C:C,0)),CHAR(10),INDEX(Import!I:I,MATCH(C180,Name,0)))</f>
        <v>Chris Mosher
4.5</v>
      </c>
      <c r="H180" s="424" t="str">
        <f t="array" ref="H180">INDEX(Import!H:H,MATCH(C180,Name,0))</f>
        <v>Platform for high-throughput nanoligomer Tx discovery, design, development, and validation. Focus is in neurodegenerative diseases (Parkinson's / AD), space medicine, and personalized medicine. Messaging for indications is a bit confusing. Safety/efficacy demonstrated in animal studies, have pilots generating $500K in revenue (not described). CEO is part-time (Associate Prof. at U of Colorado at Boulder), but COO is full-time and a superstar scientist (former Prof. who quit to join this company). Both worked together on a startup until Seed funds were raised previously.</v>
      </c>
      <c r="I180" s="423" t="str">
        <f t="array" ref="I180">CONCATENATE(INDEX(Import!J:J,MATCH(C180,Name,0)),CHAR(10),INDEX(Import!L:L,MATCH(C180,Name,0)))</f>
        <v>Parsa Amiri
5</v>
      </c>
      <c r="J180" s="424" t="str">
        <f t="array" ref="J180">INDEX(Import!K:K,MATCH(C180,Name,0))</f>
        <v>Referred by Deepak Hedge? Great team. A drug discovery platform for making gene regulating nanoligomers.</v>
      </c>
      <c r="K180" s="423" t="str">
        <f t="array" aca="1" ref="K180" ca="1">CONCATENATE(INDEX('Form Import'!D:D,MATCH(A180,'Form Import'!F:F,0)),CHAR(10),INDEX('Form Import'!V:V,MATCH(A180,'Form Import'!F:F,0)))</f>
        <v>Joshua Rubnitz
3</v>
      </c>
      <c r="L180" s="424" t="str">
        <f t="array" aca="1" ref="L180" ca="1">INDEX('Form Import'!W:W,MATCH(A180,'Form Import'!F:F,0))</f>
        <v>Interesting product that can allow anyone with a smartphone to invest in any financial asset in any market on earth through the power of tokenization of assets.
I see 3 strategic issues: 1) similar solutions already exist 2) targeting low resource customers for trading will not unlock much capital and customers will be low WTP 3) It is ironically a web 3.0/DeFi service that relies on traditional financial systems 
Worth consideration for EFL because of the sheer size of the possible market and the ability to quickly win customer loyalty once assets are purchased on the app.</v>
      </c>
      <c r="M180" s="422"/>
      <c r="N180" s="422" t="str">
        <f t="array" aca="1" ref="N180" ca="1">INDEX('Form Import'!L:L,MATCH($A180,'Form Import'!$F:$F,0))</f>
        <v>Good use case for Web 3.0/defi technology, bringing the ability to trade to everyone. They have filed patents, but not clear on what exactly. There are existing platforms to trade tokenized stocks already existing, but maybe not a clear market leader yet.</v>
      </c>
      <c r="O180" s="422" t="str">
        <f t="array" aca="1" ref="O180" ca="1">INDEX('Form Import'!O:O,MATCH($A180,'Form Import'!$F:$F,0))</f>
        <v>Large market of potential customers by number. 
Product could be used by anybody to invest in any asset.
Structure is targeting regions that are underserved and do not have high economic resources, so these customers will likely not have a very high willingness to pay for the service, and won't be trading large amounts of capital.
Has a working app and 51-200 customers, but they are non paying.</v>
      </c>
      <c r="P180" s="422" t="str">
        <f t="array" aca="1" ref="P180" ca="1">INDEX('Form Import'!S:S,MATCH($A180,'Form Import'!$F:$F,0))</f>
        <v>MIT/UI Urbana graduates with Comp Engineering, mathematics, and trading backgrounds. Well suited for building the project. Not clear how familiar they are with the regions they are targeting.</v>
      </c>
      <c r="Q180" s="422"/>
      <c r="R180" s="422"/>
      <c r="S180" s="422" t="e">
        <f t="array" aca="1" ref="S180" ca="1">_xludf.TextJoin("; ",1,INDEX(Import!S:S,MATCH(C180,Name,0)))</f>
        <v>#NAME?</v>
      </c>
    </row>
    <row r="181" spans="1:19" ht="48">
      <c r="A181" s="425" t="s">
        <v>8013</v>
      </c>
      <c r="B181" s="426" t="str">
        <f t="array" aca="1" ref="B181" ca="1">CONCATENATE(TEXT(INDEX(query!A:A,MATCH(C181,query!B:B,0)),"M/DD/YYY"),CHAR(10),INDEX(query!E:E,MATCH(C181,query!B:B,0)))</f>
        <v>8/11/2022
Revisit</v>
      </c>
      <c r="C181" s="427" t="s">
        <v>139</v>
      </c>
      <c r="D181" s="428">
        <f t="array" ref="D181">INDEX(Import!D:D,MATCH(C181,Name,0))</f>
        <v>3.75</v>
      </c>
      <c r="E181" s="429">
        <f t="array" aca="1" ref="E181" ca="1">(INDEX(Import!I:I,MATCH(C181,Name,0))+INDEX(Import!L:L,MATCH(C181,Name,0))+INDEX('Form Import'!V:V,MATCH(A181,'Form Import'!F:F,0)))/3</f>
        <v>3.1666666666666665</v>
      </c>
      <c r="F181" s="430" t="str">
        <f t="array" ref="F181">INDEX(Import!E:E,MATCH(C181,Name,0))</f>
        <v>Safety Arms System is a unique and patent pending internal remote locking system for firearms.  It allows authorized users to lock the weapon when lost or stolen, or taken by a family member, using a mobile app from anywhere in the world.  The app includes geofencing to lock the weapon automatically when leaving or entering a designated area.</v>
      </c>
      <c r="G181" s="431" t="str">
        <f t="array" ref="G181">CONCATENATE(INDEX(Import!G:G,MATCH(C181,Import!C:C,0)),CHAR(10),INDEX(Import!I:I,MATCH(C181,Name,0)))</f>
        <v>Beth Xie
3.5</v>
      </c>
      <c r="H181" s="432" t="str">
        <f t="array" ref="H181">INDEX(Import!H:H,MATCH(C181,Name,0))</f>
        <v>- Startup with great social impact.
- If EFL does not mentor this startup, we should help direct it to other programs that will.</v>
      </c>
      <c r="I181" s="431" t="str">
        <f t="array" ref="I181">CONCATENATE(INDEX(Import!J:J,MATCH(C181,Name,0)),CHAR(10),INDEX(Import!L:L,MATCH(C181,Name,0)))</f>
        <v>Boyang Yu
4</v>
      </c>
      <c r="J181" s="432" t="str">
        <f t="array" ref="J181">INDEX(Import!K:K,MATCH(C181,Name,0))</f>
        <v>Not a typical EFL company. But the founder has previous experience with firearms, he was a police officer. There is definitely a lot of gap to fill in for this company to graduate. It might have good social impact so it is worth an interview.</v>
      </c>
      <c r="K181" s="431" t="str">
        <f t="array" aca="1" ref="K181" ca="1">CONCATENATE(INDEX('Form Import'!D:D,MATCH(A181,'Form Import'!F:F,0)),CHAR(10),INDEX('Form Import'!V:V,MATCH(A181,'Form Import'!F:F,0)))</f>
        <v>Joshua Rubnitz
2</v>
      </c>
      <c r="L181" s="432" t="str">
        <f t="array" aca="1" ref="L181" ca="1">INDEX('Form Import'!W:W,MATCH(A181,'Form Import'!F:F,0))</f>
        <v>Would be a nice to have product for many students. The product has no new tech and could be imitated. Competes with big existing services.</v>
      </c>
      <c r="M181" s="430"/>
      <c r="N181" s="430" t="str">
        <f t="array" aca="1" ref="N181" ca="1">INDEX('Form Import'!L:L,MATCH($A181,'Form Import'!$F:$F,0))</f>
        <v>They have collected insight that some students feel unsafe on both sides of deliveries generated on current apps. 
No novel technology.
Could maybe differentiate themselves by developing a network within students.</v>
      </c>
      <c r="O181" s="430" t="str">
        <f t="array" aca="1" ref="O181" ca="1">INDEX('Form Import'!O:O,MATCH($A181,'Form Import'!$F:$F,0))</f>
        <v>Limited to college (?) students, although there are a 19M college students in US and growing. Revenue: "50$ coming in as a commission of every transaction placed on the app"</v>
      </c>
      <c r="P181" s="430" t="str">
        <f t="array" aca="1" ref="P181" ca="1">INDEX('Form Import'!S:S,MATCH($A181,'Form Import'!$F:$F,0))</f>
        <v xml:space="preserve">Long term vision is to create this service and make deliveries safe for students. Relevant backgrounds as students in business. </v>
      </c>
      <c r="Q181" s="430"/>
      <c r="R181" s="430"/>
      <c r="S181" s="430" t="e">
        <f t="array" aca="1" ref="S181" ca="1">_xludf.TextJoin("; ",1,INDEX(Import!S:S,MATCH(C181,Name,0)))</f>
        <v>#NAME?</v>
      </c>
    </row>
    <row r="182" spans="1:19" ht="156">
      <c r="A182" s="418" t="s">
        <v>5773</v>
      </c>
      <c r="B182" s="419" t="str">
        <f t="array" aca="1" ref="B182" ca="1">CONCATENATE(TEXT(INDEX(query!A:A,MATCH(C182,query!B:B,0)),"M/DD/YYY"),CHAR(10),INDEX(query!E:E,MATCH(C182,query!B:B,0)))</f>
        <v>8/11/2022
Invite Next Year</v>
      </c>
      <c r="C182" s="85" t="s">
        <v>6026</v>
      </c>
      <c r="D182" s="420">
        <f t="array" ref="D182">INDEX(Import!D:D,MATCH(C182,Name,0))</f>
        <v>2.75</v>
      </c>
      <c r="E182" s="421">
        <f t="array" aca="1" ref="E182" ca="1">(INDEX(Import!I:I,MATCH(C182,Name,0))+INDEX(Import!L:L,MATCH(C182,Name,0))+INDEX('Form Import'!V:V,MATCH(A182,'Form Import'!F:F,0)))/3</f>
        <v>2.8333333333333335</v>
      </c>
      <c r="F182" s="422" t="str">
        <f t="array" ref="F182">INDEX(Import!E:E,MATCH(C182,Name,0))</f>
        <v>SAGEFirst, Inc. provides permanent protection against computer exploits that involve the loading and execution of arbitrary code. This protection, permanently prevents computer worms, viruses, Trojan horses and ransomware. Such permanent protection allows computer users to get off the security treadmill of exploit, patch, exploit, patch....etc.</v>
      </c>
      <c r="G182" s="423" t="str">
        <f t="array" ref="G182">CONCATENATE(INDEX(Import!G:G,MATCH(C182,Import!C:C,0)),CHAR(10),INDEX(Import!I:I,MATCH(C182,Name,0)))</f>
        <v>Mark Flynn
2.5</v>
      </c>
      <c r="H182" s="424" t="str">
        <f t="array" ref="H182">INDEX(Import!H:H,MATCH(C182,Name,0))</f>
        <v>My impression is that end users need to be convinced of this problem, which suggests a very difficult and costly sales process.  If they produce traction, it could be more interesting.</v>
      </c>
      <c r="I182" s="423" t="str">
        <f t="array" ref="I182">CONCATENATE(INDEX(Import!J:J,MATCH(C182,Name,0)),CHAR(10),INDEX(Import!L:L,MATCH(C182,Name,0)))</f>
        <v>Boyang Yu
3</v>
      </c>
      <c r="J182" s="424" t="str">
        <f t="array" ref="J182">INDEX(Import!K:K,MATCH(C182,Name,0))</f>
        <v>The company is ambitious and has strong technical results. But the application is self-contradictory(cost of development, team members)</v>
      </c>
      <c r="K182" s="423" t="str">
        <f t="array" aca="1" ref="K182" ca="1">CONCATENATE(INDEX('Form Import'!D:D,MATCH(A182,'Form Import'!F:F,0)),CHAR(10),INDEX('Form Import'!V:V,MATCH(A182,'Form Import'!F:F,0)))</f>
        <v>Joshua Rubnitz
3</v>
      </c>
      <c r="L182" s="424" t="str">
        <f t="array" aca="1" ref="L182" ca="1">INDEX('Form Import'!W:W,MATCH(A182,'Form Import'!F:F,0))</f>
        <v>The long term vision of the product is not that well built out in the application. 
My understanding is that 'Summations' wants to build essentially a 'sparknotes' for academic papers that make the papers easier to understand and filter out unneeded industry jargon through an NLP engine. Will also supply on-demand support.
They have not started developing the NLP engine and have no MVP or NLP engineer.
Ironic to target higher education for 'non-academics', and NLP may strip these research papers of real substance.
With all this said, the goal of bringing more understandable research to more people could be very powerful and allow for people with different backgrounds to innovate in new fields.</v>
      </c>
      <c r="M182" s="422"/>
      <c r="N182" s="422" t="str">
        <f t="array" aca="1" ref="N182" ca="1">INDEX('Form Import'!L:L,MATCH($A182,'Form Import'!$F:$F,0))</f>
        <v>The founders have anecdotes about confusing research articles and have asked universities if pain points exist around improving scientific literacy. The technology is not necessarily inimitable, but could maybe be differentiated (and trusted by customers) by building a strong network of research producers.</v>
      </c>
      <c r="O182" s="422" t="str">
        <f t="array" aca="1" ref="O182" ca="1">INDEX('Form Import'!O:O,MATCH($A182,'Form Import'!$F:$F,0))</f>
        <v>They are targeting Universities in North America and believe there is a $930M market. Not sure about the spend on research journals available. No customers, but have 2 LOIs from schools in Toronto.</v>
      </c>
      <c r="P182" s="422" t="str">
        <f t="array" aca="1" ref="P182" ca="1">INDEX('Form Import'!S:S,MATCH($A182,'Form Import'!$F:$F,0))</f>
        <v xml:space="preserve">Built a good team with publishing, scientific and startup backgrounds. </v>
      </c>
      <c r="Q182" s="422"/>
      <c r="R182" s="422"/>
      <c r="S182" s="422" t="e">
        <f t="array" aca="1" ref="S182" ca="1">_xludf.TextJoin("; ",1,INDEX(Import!S:S,MATCH(C182,Name,0)))</f>
        <v>#NAME?</v>
      </c>
    </row>
    <row r="183" spans="1:19" ht="204">
      <c r="A183" s="425" t="s">
        <v>3647</v>
      </c>
      <c r="B183" s="426" t="str">
        <f t="array" aca="1" ref="B183" ca="1">CONCATENATE(TEXT(INDEX(query!A:A,MATCH(C183,query!B:B,0)),"M/DD/YYY"),CHAR(10),INDEX(query!E:E,MATCH(C183,query!B:B,0)))</f>
        <v>8/24/2022
Invite</v>
      </c>
      <c r="C183" s="427" t="s">
        <v>346</v>
      </c>
      <c r="D183" s="428">
        <f t="array" ref="D183">INDEX(Import!D:D,MATCH(C183,Name,0))</f>
        <v>4.25</v>
      </c>
      <c r="E183" s="429">
        <f t="array" aca="1" ref="E183" ca="1">(INDEX(Import!I:I,MATCH(C183,Name,0))+INDEX(Import!L:L,MATCH(C183,Name,0))+INDEX('Form Import'!V:V,MATCH(A183,'Form Import'!F:F,0)))/3</f>
        <v>4.5</v>
      </c>
      <c r="F183" s="430" t="str">
        <f t="array" ref="F183">INDEX(Import!E:E,MATCH(C183,Name,0))</f>
        <v>The most effective approach to identify the best treatment for cancer patients that overcomes the limitations of genomic testing. We accomplish that by using a patient?s live biopsy to create hundreds of 3D tumor replicates in our lab so that we can identify the most effective treatment within just one week.</v>
      </c>
      <c r="G183" s="431" t="str">
        <f t="array" ref="G183">CONCATENATE(INDEX(Import!G:G,MATCH(C183,Import!C:C,0)),CHAR(10),INDEX(Import!I:I,MATCH(C183,Name,0)))</f>
        <v>Chris Mosher
4.5</v>
      </c>
      <c r="H183" s="432" t="str">
        <f t="array" ref="H183">INDEX(Import!H:H,MATCH(C183,Name,0))</f>
        <v>Similar to OncoPrecision (EFL Alumni): 3D microtumor technology to predict the most effective treatment strategy for individual cancer patients, regardless of mutational status, within just 1 week. They use a patient?s live tumor sample to create hundreds of ex-vivo 3D microtumors for testing. Already have a CLIA registered lab, so they've developed SOPs and quality control measures to ensure that their assay results meet all regulatory requirements. They've tested dozens of cancer patients and their cat (who was successfully treated) - need to see this data. Have $25K in revenues from supporting drug development - ask them about this in the interview. They are using revenues from offering CLIA lab services to push towards clinical trials, supplementing their Series A. $4M Seed raised + $250K circled in their open $6M Series A round. 4 U.S. Patents granted. CEO is MD/PhD who left clinical work at UCSF to get his MBA from Wharton and found the company. His wife is an MD and the treasurer. Extremely impressive board. They mention NYU faculty affiliation, but I'm not sure who that is.</v>
      </c>
      <c r="I183" s="431" t="str">
        <f t="array" ref="I183">CONCATENATE(INDEX(Import!J:J,MATCH(C183,Name,0)),CHAR(10),INDEX(Import!L:L,MATCH(C183,Name,0)))</f>
        <v>Tugba Oncu
4</v>
      </c>
      <c r="J183" s="432" t="str">
        <f t="array" ref="J183">INDEX(Import!K:K,MATCH(C183,Name,0))</f>
        <v>Protected IP. Create 3D microtumors of the patients biopsy, retain the TME and heterogeneity, drug testing and deciding on the most effective treatments. Seems like a promising technology. Mentions about some animal studies but I did not see much data</v>
      </c>
      <c r="K183" s="431" t="str">
        <f t="array" aca="1" ref="K183" ca="1">CONCATENATE(INDEX('Form Import'!D:D,MATCH(A183,'Form Import'!F:F,0)),CHAR(10),INDEX('Form Import'!V:V,MATCH(A183,'Form Import'!F:F,0)))</f>
        <v>Joshua Rubnitz
5</v>
      </c>
      <c r="L183" s="432" t="str">
        <f t="array" aca="1" ref="L183" ca="1">INDEX('Form Import'!W:W,MATCH(A183,'Form Import'!F:F,0))</f>
        <v>The technology clearly has some advantages over existing machine vision tech. There is a huge risk in actually implementing any new technology in an industry where there is no room for error. Long term development costs may be huge.
The founders are very familiar with the industry and have impressive backgrounds. They have developed strategic partnerships and there are no competitors in the industry using this laser-imaging technology for these applications.</v>
      </c>
      <c r="M183" s="430"/>
      <c r="N183" s="430" t="str">
        <f t="array" aca="1" ref="N183" ca="1">INDEX('Form Import'!L:L,MATCH($A183,'Form Import'!$F:$F,0))</f>
        <v>The problem is widely known and relevant as we try to automate travel &amp; bring computer vision to life in general. Laser based 3D model building is already a technology, but there are currently no competitors leveraging this technology for computer vision/mobility. Team has 15 PPAs and 2 non provisional filings, all pending.</v>
      </c>
      <c r="O183" s="430" t="str">
        <f t="array" aca="1" ref="O183" ca="1">INDEX('Form Import'!O:O,MATCH($A183,'Form Import'!$F:$F,0))</f>
        <v>1-10 customers and 225k in revenue. Market for computer vision is large and growing in mobility and tangential industries.</v>
      </c>
      <c r="P183" s="430" t="str">
        <f t="array" aca="1" ref="P183" ca="1">INDEX('Form Import'!S:S,MATCH($A183,'Form Import'!$F:$F,0))</f>
        <v>Stanford PhD in physics and MBA from Booth, both working full time to make this vision a reality.</v>
      </c>
      <c r="Q183" s="430"/>
      <c r="R183" s="430"/>
      <c r="S183" s="430" t="e">
        <f t="array" aca="1" ref="S183" ca="1">_xludf.TextJoin("; ",1,INDEX(Import!S:S,MATCH(C183,Name,0)))</f>
        <v>#NAME?</v>
      </c>
    </row>
    <row r="184" spans="1:19" ht="108">
      <c r="A184" s="418" t="s">
        <v>9959</v>
      </c>
      <c r="B184" s="419" t="str">
        <f t="array" aca="1" ref="B184" ca="1">CONCATENATE(TEXT(INDEX(query!A:A,MATCH(C184,query!B:B,0)),"M/DD/YYY"),CHAR(10),INDEX(query!E:E,MATCH(C184,query!B:B,0)))</f>
        <v>8/09/2022
Special Reject</v>
      </c>
      <c r="C184" s="85" t="s">
        <v>9630</v>
      </c>
      <c r="D184" s="420">
        <f t="array" ref="D184">INDEX(Import!D:D,MATCH(C184,Name,0))</f>
        <v>3</v>
      </c>
      <c r="E184" s="421">
        <f t="array" aca="1" ref="E184" ca="1">(INDEX(Import!I:I,MATCH(C184,Name,0))+INDEX(Import!L:L,MATCH(C184,Name,0))+INDEX('Form Import'!V:V,MATCH(A184,'Form Import'!F:F,0)))/3</f>
        <v>3.3333333333333335</v>
      </c>
      <c r="F184" s="422" t="str">
        <f t="array" ref="F184">INDEX(Import!E:E,MATCH(C184,Name,0))</f>
        <v>Sahara is a flexible virtualization platform for hardware R&amp;D that allows teams to run both hardware and software tests on the same system, either using our frontend or through their own tools.</v>
      </c>
      <c r="G184" s="423" t="str">
        <f t="array" ref="G184">CONCATENATE(INDEX(Import!G:G,MATCH(C184,Import!C:C,0)),CHAR(10),INDEX(Import!I:I,MATCH(C184,Name,0)))</f>
        <v>Beth Xie
3</v>
      </c>
      <c r="H184" s="424" t="str">
        <f t="array" ref="H184">INDEX(Import!H:H,MATCH(C184,Name,0))</f>
        <v>The application mentions the startup's mission, which is to design a system-level virtual design platform for hardware, firmware and software. There is an MVP. 
However, it does not outline what unique competitive advantage it has, and why other companies, both big and small, cannot do the same. This is a large gap in the application. 
There is no work done in customer discovery.</v>
      </c>
      <c r="I184" s="423" t="str">
        <f t="array" ref="I184">CONCATENATE(INDEX(Import!J:J,MATCH(C184,Name,0)),CHAR(10),INDEX(Import!L:L,MATCH(C184,Name,0)))</f>
        <v>Khoa Ma
3</v>
      </c>
      <c r="J184" s="424" t="str">
        <f t="array" ref="J184">INDEX(Import!K:K,MATCH(C184,Name,0))</f>
        <v>Needs a competitive advantage (no deck was given)
Competitive landscape with many trying to sell the solution but not able to show customers are willing to pay for it outside of their org
Early stage and needs validation</v>
      </c>
      <c r="K184" s="423" t="str">
        <f t="array" aca="1" ref="K184" ca="1">CONCATENATE(INDEX('Form Import'!D:D,MATCH(A184,'Form Import'!F:F,0)),CHAR(10),INDEX('Form Import'!V:V,MATCH(A184,'Form Import'!F:F,0)))</f>
        <v>Joshua Rubnitz
4</v>
      </c>
      <c r="L184" s="424" t="str">
        <f t="array" aca="1" ref="L184" ca="1">INDEX('Form Import'!W:W,MATCH(A184,'Form Import'!F:F,0))</f>
        <v>This is an impressive team with good tech for 1 product. 
Fluorescent imaging for cancer detection is not new, but they are protected with patents and have identified a compelling pain point and non-invasive solution.
For now, this is just a product, not a company. Fortunately, the founders do have a long term vision for more cancer &amp; disease detection.
EFL business model consultation/prioritization and network could be very valuable for this team.</v>
      </c>
      <c r="M184" s="422"/>
      <c r="N184" s="422" t="str">
        <f t="array" aca="1" ref="N184" ca="1">INDEX('Form Import'!L:L,MATCH($A184,'Form Import'!$F:$F,0))</f>
        <v>The technology has been validated by clinical trials. Fluorescent imaging of cancers is by no means novel, but the team has been able to file patents to protect their tech.</v>
      </c>
      <c r="O184" s="422" t="str">
        <f t="array" aca="1" ref="O184" ca="1">INDEX('Form Import'!O:O,MATCH($A184,'Form Import'!$F:$F,0))</f>
        <v>Well researched mid-sized market. Obvious customer need. Paying customers are still far-out due to heavy regulations in healthcare.</v>
      </c>
      <c r="P184" s="422" t="str">
        <f t="array" aca="1" ref="P184" ca="1">INDEX('Form Import'!S:S,MATCH($A184,'Form Import'!$F:$F,0))</f>
        <v>Partners have very impressive relevant backgrounds from PhD in chemistry to law degrees and an MBA. Could use more technical team to continue innovating.</v>
      </c>
      <c r="Q184" s="422"/>
      <c r="R184" s="422"/>
      <c r="S184" s="422" t="e">
        <f t="array" aca="1" ref="S184" ca="1">_xludf.TextJoin("; ",1,INDEX(Import!S:S,MATCH(C184,Name,0)))</f>
        <v>#NAME?</v>
      </c>
    </row>
    <row r="185" spans="1:19" ht="84">
      <c r="A185" s="425" t="s">
        <v>6872</v>
      </c>
      <c r="B185" s="426" t="str">
        <f t="array" aca="1" ref="B185" ca="1">CONCATENATE(TEXT(INDEX(query!A:A,MATCH(C185,query!B:B,0)),"M/DD/YYY"),CHAR(10),INDEX(query!E:E,MATCH(C185,query!B:B,0)))</f>
        <v>8/24/2022
Invite Next Year</v>
      </c>
      <c r="C185" s="427" t="s">
        <v>9124</v>
      </c>
      <c r="D185" s="428">
        <f t="array" ref="D185">INDEX(Import!D:D,MATCH(C185,Name,0))</f>
        <v>2</v>
      </c>
      <c r="E185" s="429">
        <f t="array" aca="1" ref="E185" ca="1">(INDEX(Import!I:I,MATCH(C185,Name,0))+INDEX(Import!L:L,MATCH(C185,Name,0))+INDEX('Form Import'!V:V,MATCH(A185,'Form Import'!F:F,0)))/3</f>
        <v>2.6666666666666665</v>
      </c>
      <c r="F185" s="430">
        <f t="array" ref="F185">INDEX(Import!E:E,MATCH(C185,Name,0))</f>
        <v>0</v>
      </c>
      <c r="G185" s="431" t="str">
        <f t="array" ref="G185">CONCATENATE(INDEX(Import!G:G,MATCH(C185,Import!C:C,0)),CHAR(10),INDEX(Import!I:I,MATCH(C185,Name,0)))</f>
        <v>Larisa Kagermazova
2</v>
      </c>
      <c r="H185" s="432" t="str">
        <f t="array" ref="H185">INDEX(Import!H:H,MATCH(C185,Name,0))</f>
        <v>Affiliations: Johns Hopkins University, Lab Launch Inc, BioLabs at the Lundquist Institute, NSF I-Corps, internal Hopkins accelerators.</v>
      </c>
      <c r="I185" s="431" t="str">
        <f t="array" ref="I185">CONCATENATE(INDEX(Import!J:J,MATCH(C185,Name,0)),CHAR(10),INDEX(Import!L:L,MATCH(C185,Name,0)))</f>
        <v>Tugba Oncu
2</v>
      </c>
      <c r="J185" s="432" t="str">
        <f t="array" ref="J185">INDEX(Import!K:K,MATCH(C185,Name,0))</f>
        <v>AI/ML driven bioinformatics platform to bioengineer new viral therapeutics</v>
      </c>
      <c r="K185" s="431" t="str">
        <f t="array" aca="1" ref="K185" ca="1">CONCATENATE(INDEX('Form Import'!D:D,MATCH(A185,'Form Import'!F:F,0)),CHAR(10),INDEX('Form Import'!V:V,MATCH(A185,'Form Import'!F:F,0)))</f>
        <v>Joshua Rubnitz
4</v>
      </c>
      <c r="L185" s="432" t="str">
        <f t="array" aca="1" ref="L185" ca="1">INDEX('Form Import'!W:W,MATCH(A185,'Form Import'!F:F,0))</f>
        <v>SuperFi's consolidated platform will be convenient for customers and addresses an absolute need for many consumers. 
The team has invented a good business model: generating revenue with referrals to other debt reductions tools and services. Consumers are in debt and likely have a low WTP, so this is a wise business model.
There is no new inimitable tech, but no current solution exists in the UK.</v>
      </c>
      <c r="M185" s="430"/>
      <c r="N185" s="430" t="str">
        <f t="array" aca="1" ref="N185" ca="1">INDEX('Form Import'!L:L,MATCH($A185,'Form Import'!$F:$F,0))</f>
        <v>The technology has potential to really relieve a problem with real, compounding consumer pain. The solution does not necessarily leverage any inimitable new digital technology, but builds a solution that can optimize debt repayment plans across multiple accounts.</v>
      </c>
      <c r="O185" s="430" t="str">
        <f t="array" aca="1" ref="O185" ca="1">INDEX('Form Import'!O:O,MATCH($A185,'Form Import'!$F:$F,0))</f>
        <v>The debt problem in the UK is real and growing. SuperFi believes they can address a 202B market with a SOM of 3B. The interesting part of the business model is that they will actually generate revenue through referrals to other debt reductions tools and services, not from consumers.</v>
      </c>
      <c r="P185" s="430" t="str">
        <f t="array" aca="1" ref="P185" ca="1">INDEX('Form Import'!S:S,MATCH($A185,'Form Import'!$F:$F,0))</f>
        <v>Team with experience in both startups and helping the financially vulnerable. Good business expertise.</v>
      </c>
      <c r="Q185" s="430"/>
      <c r="R185" s="430"/>
      <c r="S185" s="430" t="e">
        <f t="array" aca="1" ref="S185" ca="1">_xludf.TextJoin("; ",1,INDEX(Import!S:S,MATCH(C185,Name,0)))</f>
        <v>#NAME?</v>
      </c>
    </row>
    <row r="186" spans="1:19" ht="48">
      <c r="A186" s="418" t="s">
        <v>8021</v>
      </c>
      <c r="B186" s="419" t="str">
        <f t="array" aca="1" ref="B186" ca="1">CONCATENATE(TEXT(INDEX(query!A:A,MATCH(C186,query!B:B,0)),"M/DD/YYY"),CHAR(10),INDEX(query!E:E,MATCH(C186,query!B:B,0)))</f>
        <v>8/16/2022
Invite Next Year</v>
      </c>
      <c r="C186" s="85" t="s">
        <v>3268</v>
      </c>
      <c r="D186" s="420">
        <f t="array" ref="D186">INDEX(Import!D:D,MATCH(C186,Name,0))</f>
        <v>3.5</v>
      </c>
      <c r="E186" s="421">
        <f t="array" aca="1" ref="E186" ca="1">(INDEX(Import!I:I,MATCH(C186,Name,0))+INDEX(Import!L:L,MATCH(C186,Name,0))+INDEX('Form Import'!V:V,MATCH(A186,'Form Import'!F:F,0)))/3</f>
        <v>3.3333333333333335</v>
      </c>
      <c r="F186" s="422" t="str">
        <f t="array" ref="F186">INDEX(Import!E:E,MATCH(C186,Name,0))</f>
        <v>SanChip is combining Lab-On-Chip technology with AI to help industrial machinery owners implementing Predictive Maintenance and Industry 4.0 strategies. These enable early failure detection and increased uptime, reduced lubricant waste and increased reliability, which mean:
- higher profits
- reduced carbon footprint
- improved safety.</v>
      </c>
      <c r="G186" s="423" t="str">
        <f t="array" ref="G186">CONCATENATE(INDEX(Import!G:G,MATCH(C186,Import!C:C,0)),CHAR(10),INDEX(Import!I:I,MATCH(C186,Name,0)))</f>
        <v>Khoa Ma
3.5</v>
      </c>
      <c r="H186" s="424" t="str">
        <f t="array" ref="H186">INDEX(Import!H:H,MATCH(C186,Name,0))</f>
        <v>DiT
AI for real-time, multi-parametric, automated condition monitoring and realtime maintenance
Has pilots and ready to take into production</v>
      </c>
      <c r="I186" s="423" t="str">
        <f t="array" ref="I186">CONCATENATE(INDEX(Import!J:J,MATCH(C186,Name,0)),CHAR(10),INDEX(Import!L:L,MATCH(C186,Name,0)))</f>
        <v>Sriharsha Indupuru
3.5</v>
      </c>
      <c r="J186" s="424" t="str">
        <f t="array" ref="J186">INDEX(Import!K:K,MATCH(C186,Name,0))</f>
        <v>+combining Lab-On-Chip technology with AI for real-time,
multi-parametric, automated condition monitoring.
- Company need more funds and customers as it has full scale ready to use</v>
      </c>
      <c r="K186" s="423" t="str">
        <f t="array" aca="1" ref="K186" ca="1">CONCATENATE(INDEX('Form Import'!D:D,MATCH(A186,'Form Import'!F:F,0)),CHAR(10),INDEX('Form Import'!V:V,MATCH(A186,'Form Import'!F:F,0)))</f>
        <v>Joshua Rubnitz
3</v>
      </c>
      <c r="L186" s="424" t="str">
        <f t="array" aca="1" ref="L186" ca="1">INDEX('Form Import'!W:W,MATCH(A186,'Form Import'!F:F,0))</f>
        <v>Not really a company with new tech, but provides a platform for businesses to utilize AR to automate processes and get remote input from experts.</v>
      </c>
      <c r="M186" s="422"/>
      <c r="N186" s="422" t="str">
        <f t="array" aca="1" ref="N186" ca="1">INDEX('Form Import'!L:L,MATCH($A186,'Form Import'!$F:$F,0))</f>
        <v>Technology seems to be a platform with little new technology. Leverages the trend of AR and provides a medium for B2B AR applications.</v>
      </c>
      <c r="O186" s="422" t="str">
        <f t="array" aca="1" ref="O186" ca="1">INDEX('Form Import'!O:O,MATCH($A186,'Form Import'!$F:$F,0))</f>
        <v>1-10 customers, no revenue. The AR market is huge and growing.</v>
      </c>
      <c r="P186" s="422" t="str">
        <f t="array" aca="1" ref="P186" ca="1">INDEX('Form Import'!S:S,MATCH($A186,'Form Import'!$F:$F,0))</f>
        <v>CEO has good electronic communications background, and other 2 team members have MBAs.</v>
      </c>
      <c r="Q186" s="422"/>
      <c r="R186" s="422"/>
      <c r="S186" s="422" t="e">
        <f t="array" aca="1" ref="S186" ca="1">_xludf.TextJoin("; ",1,INDEX(Import!S:S,MATCH(C186,Name,0)))</f>
        <v>#NAME?</v>
      </c>
    </row>
    <row r="187" spans="1:19" ht="84">
      <c r="A187" s="425" t="s">
        <v>9218</v>
      </c>
      <c r="B187" s="426" t="str">
        <f t="array" aca="1" ref="B187" ca="1">CONCATENATE(TEXT(INDEX(query!A:A,MATCH(C187,query!B:B,0)),"M/DD/YYY"),CHAR(10),INDEX(query!E:E,MATCH(C187,query!B:B,0)))</f>
        <v>8/16/2022
Revisit</v>
      </c>
      <c r="C187" s="427" t="s">
        <v>140</v>
      </c>
      <c r="D187" s="428">
        <f t="array" ref="D187">INDEX(Import!D:D,MATCH(C187,Name,0))</f>
        <v>3.5</v>
      </c>
      <c r="E187" s="429">
        <f t="array" aca="1" ref="E187" ca="1">(INDEX(Import!I:I,MATCH(C187,Name,0))+INDEX(Import!L:L,MATCH(C187,Name,0))+INDEX('Form Import'!V:V,MATCH(A187,'Form Import'!F:F,0)))/3</f>
        <v>3.3333333333333335</v>
      </c>
      <c r="F187" s="430" t="str">
        <f t="array" ref="F187">INDEX(Import!E:E,MATCH(C187,Name,0))</f>
        <v>Satis is an AI Powered Operational Platform for Kitchens, aiming at being involved in Feeding 15% of the world by 2030 while enhancing quality of work and food for all.</v>
      </c>
      <c r="G187" s="431" t="str">
        <f t="array" ref="G187">CONCATENATE(INDEX(Import!G:G,MATCH(C187,Import!C:C,0)),CHAR(10),INDEX(Import!I:I,MATCH(C187,Name,0)))</f>
        <v>Khoa Ma
3.5</v>
      </c>
      <c r="H187" s="432" t="str">
        <f t="array" ref="H187">INDEX(Import!H:H,MATCH(C187,Name,0))</f>
        <v>DiT 
realtime kitchen staff assistance via AI on video streams
bot novel tech but if they can capture market share could be big</v>
      </c>
      <c r="I187" s="431" t="str">
        <f t="array" ref="I187">CONCATENATE(INDEX(Import!J:J,MATCH(C187,Name,0)),CHAR(10),INDEX(Import!L:L,MATCH(C187,Name,0)))</f>
        <v>Sriharsha Indupuru
3.5</v>
      </c>
      <c r="J187" s="432" t="str">
        <f t="array" ref="J187">INDEX(Import!K:K,MATCH(C187,Name,0))</f>
        <v>+ Real-time staff assistance via AI on video streams
+ AI-Powered Operational Platform for Kitchens
+ I feel the tech is good and can help a lot of restaurants in managing their peak time order 
+Team looks solid on paper 
+ Preseed: 3,000,000
+ Circled 3.7m out of 5m fundraising</v>
      </c>
      <c r="K187" s="431" t="str">
        <f t="array" aca="1" ref="K187" ca="1">CONCATENATE(INDEX('Form Import'!D:D,MATCH(A187,'Form Import'!F:F,0)),CHAR(10),INDEX('Form Import'!V:V,MATCH(A187,'Form Import'!F:F,0)))</f>
        <v>Joshua Rubnitz
3</v>
      </c>
      <c r="L187" s="432" t="str">
        <f t="array" aca="1" ref="L187" ca="1">INDEX('Form Import'!W:W,MATCH(A187,'Form Import'!F:F,0))</f>
        <v>The tech is not very novel, but the platform does bring together fractured parts of telehealth into one concise interface. Allows long term care to be done at home and can cut out data entry costs/time so that doctors can focus on the patient</v>
      </c>
      <c r="M187" s="430"/>
      <c r="N187" s="430" t="str">
        <f t="array" aca="1" ref="N187" ca="1">INDEX('Form Import'!L:L,MATCH($A187,'Form Import'!$F:$F,0))</f>
        <v>Telehealth solution that aims to integrate device-level data collection (3rd party devices) and have video based doctor visits. Not any inimitable tech. Tech has been protected by a patent application.</v>
      </c>
      <c r="O187" s="430" t="str">
        <f t="array" aca="1" ref="O187" ca="1">INDEX('Form Import'!O:O,MATCH($A187,'Form Import'!$F:$F,0))</f>
        <v xml:space="preserve">Large market for long term care and a new solution to address customers that may want a more intimate relationship with their care providers. </v>
      </c>
      <c r="P187" s="430" t="str">
        <f t="array" aca="1" ref="P187" ca="1">INDEX('Form Import'!S:S,MATCH($A187,'Form Import'!$F:$F,0))</f>
        <v>The founders and investors are clinicians who have actually invested in the product and know the customer pain points very well. CEO has a computer science degree as well.</v>
      </c>
      <c r="Q187" s="430"/>
      <c r="R187" s="430"/>
      <c r="S187" s="430" t="e">
        <f t="array" aca="1" ref="S187" ca="1">_xludf.TextJoin("; ",1,INDEX(Import!S:S,MATCH(C187,Name,0)))</f>
        <v>#NAME?</v>
      </c>
    </row>
    <row r="188" spans="1:19" ht="72">
      <c r="A188" s="418" t="s">
        <v>3348</v>
      </c>
      <c r="B188" s="419" t="str">
        <f t="array" aca="1" ref="B188" ca="1">CONCATENATE(TEXT(INDEX(query!A:A,MATCH(C188,query!B:B,0)),"M/DD/YYY"),CHAR(10),INDEX(query!E:E,MATCH(C188,query!B:B,0)))</f>
        <v>8/18/2022
Invite Next Year</v>
      </c>
      <c r="C188" s="85" t="s">
        <v>9132</v>
      </c>
      <c r="D188" s="420">
        <f t="array" ref="D188">INDEX(Import!D:D,MATCH(C188,Name,0))</f>
        <v>1.5</v>
      </c>
      <c r="E188" s="421">
        <f t="array" aca="1" ref="E188" ca="1">(INDEX(Import!I:I,MATCH(C188,Name,0))+INDEX(Import!L:L,MATCH(C188,Name,0))+INDEX('Form Import'!V:V,MATCH(A188,'Form Import'!F:F,0)))/3</f>
        <v>2</v>
      </c>
      <c r="F188" s="422" t="str">
        <f t="array" ref="F188">INDEX(Import!E:E,MATCH(C188,Name,0))</f>
        <v>Say Ha provides personalized oral hygiene services that meet both the oral health and esthetic needs of the patients. Our locations offer a full scope of dental cleaning services from brushing, polishing, prophylaxis, and whitening. Say Ha focuses on the oral health needs of public health with planning and scheduled maintenance of oral hygiene.</v>
      </c>
      <c r="G188" s="423" t="str">
        <f t="array" ref="G188">CONCATENATE(INDEX(Import!G:G,MATCH(C188,Import!C:C,0)),CHAR(10),INDEX(Import!I:I,MATCH(C188,Name,0)))</f>
        <v>Chris Mosher
1</v>
      </c>
      <c r="H188" s="424" t="str">
        <f t="array" ref="H188">INDEX(Import!H:H,MATCH(C188,Name,0))</f>
        <v>NYU dentists offering dental services - no tech innovation. Concept stage.</v>
      </c>
      <c r="I188" s="423" t="str">
        <f t="array" ref="I188">CONCATENATE(INDEX(Import!J:J,MATCH(C188,Name,0)),CHAR(10),INDEX(Import!L:L,MATCH(C188,Name,0)))</f>
        <v>Parsa Amiri
2</v>
      </c>
      <c r="J188" s="424" t="str">
        <f t="array" ref="J188">INDEX(Import!K:K,MATCH(C188,Name,0))</f>
        <v>Referred by Chris Kimm. NYU Affiliation. CONCEPT. I think they made a website and linkedin accounts only for this application in the last minutes :))))))</v>
      </c>
      <c r="K188" s="423" t="str">
        <f t="array" aca="1" ref="K188" ca="1">CONCATENATE(INDEX('Form Import'!D:D,MATCH(A188,'Form Import'!F:F,0)),CHAR(10),INDEX('Form Import'!V:V,MATCH(A188,'Form Import'!F:F,0)))</f>
        <v>Joshua Rubnitz
3</v>
      </c>
      <c r="L188" s="424" t="str">
        <f t="array" aca="1" ref="L188" ca="1">INDEX('Form Import'!W:W,MATCH(A188,'Form Import'!F:F,0))</f>
        <v>Surplusmap aims to create a common data repository so that all stakeholders in the energy utilization and production business can find optimal ways to reduce waste and start new projects.
Application did not really make the strategic positioning or the actual product build very clear, but end vision is compelling. Some sparse ideas around satellite imagery and AI, etc.</v>
      </c>
      <c r="M188" s="422"/>
      <c r="N188" s="422" t="str">
        <f t="array" aca="1" ref="N188" ca="1">INDEX('Form Import'!L:L,MATCH($A188,'Form Import'!$F:$F,0))</f>
        <v>It is an entirely software based platform. The technology has not been validated, but the EU space agency gave them an award for their approach. Software can almost always be imitated, but getting big players on their platform would make it hard for any other players to enter the industry. Not very clear how the product actually takes shape using cloud computing/satellite data &amp; AI.</v>
      </c>
      <c r="O188" s="422" t="str">
        <f t="array" aca="1" ref="O188" ca="1">INDEX('Form Import'!O:O,MATCH($A188,'Form Import'!$F:$F,0))</f>
        <v>Energy companies have huge sums of money and good margins. There is a big well of capital to tap here. They do not have paying customers, but do pilots where they have tested the product more manually (not AI enabled).</v>
      </c>
      <c r="P188" s="422" t="str">
        <f t="array" aca="1" ref="P188" ca="1">INDEX('Form Import'!S:S,MATCH($A188,'Form Import'!$F:$F,0))</f>
        <v xml:space="preserve">Have 2 full time founders with relevant experience in climate tech and an MBA and a part time founder also with an MBA. </v>
      </c>
      <c r="Q188" s="422"/>
      <c r="R188" s="422"/>
      <c r="S188" s="422" t="e">
        <f t="array" aca="1" ref="S188" ca="1">_xludf.TextJoin("; ",1,INDEX(Import!S:S,MATCH(C188,Name,0)))</f>
        <v>#NAME?</v>
      </c>
    </row>
    <row r="189" spans="1:19" ht="132">
      <c r="A189" s="425" t="s">
        <v>4069</v>
      </c>
      <c r="B189" s="426" t="str">
        <f t="array" aca="1" ref="B189" ca="1">CONCATENATE(TEXT(INDEX(query!A:A,MATCH(C189,query!B:B,0)),"M/DD/YYY"),CHAR(10),INDEX(query!E:E,MATCH(C189,query!B:B,0)))</f>
        <v>8/09/2022
Revisit/ Cluster</v>
      </c>
      <c r="C189" s="427" t="s">
        <v>141</v>
      </c>
      <c r="D189" s="428">
        <f t="array" ref="D189">INDEX(Import!D:D,MATCH(C189,Name,0))</f>
        <v>3.5</v>
      </c>
      <c r="E189" s="429">
        <f t="array" aca="1" ref="E189" ca="1">(INDEX(Import!I:I,MATCH(C189,Name,0))+INDEX(Import!L:L,MATCH(C189,Name,0))+INDEX('Form Import'!V:V,MATCH(A189,'Form Import'!F:F,0)))/3</f>
        <v>4</v>
      </c>
      <c r="F189" s="430" t="str">
        <f t="array" ref="F189">INDEX(Import!E:E,MATCH(C189,Name,0))</f>
        <v>At Saya Life, we have built a unique vertically-integrated solution that both enables multi-unit residences to bill individual water users, while predicting and preventing catastrophic damage from common leaks.
It?s a revolutionary new approach to water management for enterprise property owners ? and we are already generating $500k in revenue.</v>
      </c>
      <c r="G189" s="431" t="str">
        <f t="array" ref="G189">CONCATENATE(INDEX(Import!G:G,MATCH(C189,Import!C:C,0)),CHAR(10),INDEX(Import!I:I,MATCH(C189,Name,0)))</f>
        <v>Khoa Ma
3</v>
      </c>
      <c r="H189" s="432" t="str">
        <f t="array" ref="H189">INDEX(Import!H:H,MATCH(C189,Name,0))</f>
        <v>DiT real-estate tech
Has customers
Solo founder</v>
      </c>
      <c r="I189" s="431" t="str">
        <f t="array" ref="I189">CONCATENATE(INDEX(Import!J:J,MATCH(C189,Name,0)),CHAR(10),INDEX(Import!L:L,MATCH(C189,Name,0)))</f>
        <v>Arthur Ibanda
4</v>
      </c>
      <c r="J189" s="432" t="str">
        <f t="array" ref="J189">INDEX(Import!K:K,MATCH(C189,Name,0))</f>
        <v>+Well developed product
+$50,000 MRR
+Large potential market
+Patented Technology</v>
      </c>
      <c r="K189" s="431" t="str">
        <f t="array" aca="1" ref="K189" ca="1">CONCATENATE(INDEX('Form Import'!D:D,MATCH(A189,'Form Import'!F:F,0)),CHAR(10),INDEX('Form Import'!V:V,MATCH(A189,'Form Import'!F:F,0)))</f>
        <v>Joshua Rubnitz
5</v>
      </c>
      <c r="L189" s="432" t="str">
        <f t="array" aca="1" ref="L189" ca="1">INDEX('Form Import'!W:W,MATCH(A189,'Form Import'!F:F,0))</f>
        <v xml:space="preserve">Team is full of experts and has an incredibly useful, disruptive product that could make video meetings infinitely better than in-person meetings. Incredible quote: "50 people converge to a consensus answer in 25 mins. 500 in 30 mins and 5,000 in 38 mins."
Use cases range across many industries. 
Team could use business consultation: the initial product description &amp; elevator pitch are not very concrete and miss the compelling solution to customer pain point. The team could use EFL's business insight to polish their pitch &amp; strategize the business more effectively. </v>
      </c>
      <c r="M189" s="430"/>
      <c r="N189" s="430" t="str">
        <f t="array" aca="1" ref="N189" ca="1">INDEX('Form Import'!L:L,MATCH($A189,'Form Import'!$F:$F,0))</f>
        <v>The team is able to provide concrete numbers about how long it takes certain size groups to come to a consensus based on the AI analysis of the breakout conversations. Very novel product that addresses a huge pain point for any large organization and creates a video conferencing solution that can actually be better than in-person. The team is protecting their invention with patents.</v>
      </c>
      <c r="O189" s="430" t="str">
        <f t="array" aca="1" ref="O189" ca="1">INDEX('Form Import'!O:O,MATCH($A189,'Form Import'!$F:$F,0))</f>
        <v>The world has gone remote. This is a solution that finally makes remote meetings more efficient than in-person.</v>
      </c>
      <c r="P189" s="430" t="str">
        <f t="array" aca="1" ref="P189" ca="1">INDEX('Form Import'!S:S,MATCH($A189,'Form Import'!$F:$F,0))</f>
        <v>Team full of PhD level experts with very relevant experience. Could use more business-related insight to truly excel.</v>
      </c>
      <c r="Q189" s="430"/>
      <c r="R189" s="430"/>
      <c r="S189" s="430" t="e">
        <f t="array" aca="1" ref="S189" ca="1">_xludf.TextJoin("; ",1,INDEX(Import!S:S,MATCH(C189,Name,0)))</f>
        <v>#NAME?</v>
      </c>
    </row>
    <row r="190" spans="1:19" ht="72">
      <c r="A190" s="418" t="s">
        <v>9225</v>
      </c>
      <c r="B190" s="419" t="str">
        <f t="array" aca="1" ref="B190" ca="1">CONCATENATE(TEXT(INDEX(query!A:A,MATCH(C190,query!B:B,0)),"M/DD/YYY"),CHAR(10),INDEX(query!E:E,MATCH(C190,query!B:B,0)))</f>
        <v>8/18/2022
Revisit</v>
      </c>
      <c r="C190" s="85" t="s">
        <v>383</v>
      </c>
      <c r="D190" s="420">
        <f t="array" ref="D190">INDEX(Import!D:D,MATCH(C190,Name,0))</f>
        <v>3.25</v>
      </c>
      <c r="E190" s="421">
        <f t="array" aca="1" ref="E190" ca="1">(INDEX(Import!I:I,MATCH(C190,Name,0))+INDEX(Import!L:L,MATCH(C190,Name,0))+INDEX('Form Import'!V:V,MATCH(A190,'Form Import'!F:F,0)))/3</f>
        <v>2.5</v>
      </c>
      <c r="F190" s="422" t="str">
        <f t="array" ref="F190">INDEX(Import!E:E,MATCH(C190,Name,0))</f>
        <v>Sayenza Bio is developing the industry's first multifunctional fully-automated fat processing platform, the largest source of stem cells in the body. Our technology will reduce the time and complexity barriers of adoption faced by plastic surgeons so they can offer this all natural therapeutic for a host of regenerative medicine applications.</v>
      </c>
      <c r="G190" s="423" t="str">
        <f t="array" ref="G190">CONCATENATE(INDEX(Import!G:G,MATCH(C190,Import!C:C,0)),CHAR(10),INDEX(Import!I:I,MATCH(C190,Name,0)))</f>
        <v>Larisa Kagermazova
3.5</v>
      </c>
      <c r="H190" s="424" t="str">
        <f t="array" ref="H190">INDEX(Import!H:H,MATCH(C190,Name,0))</f>
        <v>Useful tech and significant improvement from current SOC.
I would cluster them and decide later if we want to interview
The only reason I give them 3.5 is because compared to other companies I saw this one is less innovative and exciting but definitely very useful for the stem cell field</v>
      </c>
      <c r="I190" s="423" t="str">
        <f t="array" ref="I190">CONCATENATE(INDEX(Import!J:J,MATCH(C190,Name,0)),CHAR(10),INDEX(Import!L:L,MATCH(C190,Name,0)))</f>
        <v>Tugba Oncu
3</v>
      </c>
      <c r="J190" s="424" t="str">
        <f t="array" ref="J190">INDEX(Import!K:K,MATCH(C190,Name,0))</f>
        <v>Good idea but too competitive and not a novel idea. Not very unique and easily replicable but we can talk about it if it is worth to invite next year</v>
      </c>
      <c r="K190" s="423" t="str">
        <f t="array" aca="1" ref="K190" ca="1">CONCATENATE(INDEX('Form Import'!D:D,MATCH(A190,'Form Import'!F:F,0)),CHAR(10),INDEX('Form Import'!V:V,MATCH(A190,'Form Import'!F:F,0)))</f>
        <v>Joshua Rubnitz
1</v>
      </c>
      <c r="L190" s="424" t="str">
        <f t="array" aca="1" ref="L190" ca="1">INDEX('Form Import'!W:W,MATCH(A190,'Form Import'!F:F,0))</f>
        <v>The team did not put much effort into the application or market analysis. Product is just in concept form. Product is not technically differentiated.</v>
      </c>
      <c r="M190" s="422"/>
      <c r="N190" s="422" t="str">
        <f t="array" aca="1" ref="N190" ca="1">INDEX('Form Import'!L:L,MATCH($A190,'Form Import'!$F:$F,0))</f>
        <v>Founders claim that all infection prevention is made from plastic. Want to make it out of bamboo or corn.</v>
      </c>
      <c r="O190" s="422" t="str">
        <f t="array" aca="1" ref="O190" ca="1">INDEX('Form Import'!O:O,MATCH($A190,'Form Import'!$F:$F,0))</f>
        <v>No product and did not provide market research</v>
      </c>
      <c r="P190" s="422" t="str">
        <f t="array" aca="1" ref="P190" ca="1">INDEX('Form Import'!S:S,MATCH($A190,'Form Import'!$F:$F,0))</f>
        <v>Team barely filled out the application. Does have relevant experience.</v>
      </c>
      <c r="Q190" s="422"/>
      <c r="R190" s="422"/>
      <c r="S190" s="422" t="e">
        <f t="array" aca="1" ref="S190" ca="1">_xludf.TextJoin("; ",1,INDEX(Import!S:S,MATCH(C190,Name,0)))</f>
        <v>#NAME?</v>
      </c>
    </row>
    <row r="191" spans="1:19" ht="96">
      <c r="A191" s="425" t="s">
        <v>1539</v>
      </c>
      <c r="B191" s="426" t="str">
        <f t="array" aca="1" ref="B191" ca="1">CONCATENATE(TEXT(INDEX(query!A:A,MATCH(C191,query!B:B,0)),"M/DD/YYY"),CHAR(10),INDEX(query!E:E,MATCH(C191,query!B:B,0)))</f>
        <v>8/24/2022
Invite</v>
      </c>
      <c r="C191" s="427" t="s">
        <v>347</v>
      </c>
      <c r="D191" s="428">
        <f t="array" ref="D191">INDEX(Import!D:D,MATCH(C191,Name,0))</f>
        <v>4</v>
      </c>
      <c r="E191" s="429">
        <f t="array" aca="1" ref="E191" ca="1">(INDEX(Import!I:I,MATCH(C191,Name,0))+INDEX(Import!L:L,MATCH(C191,Name,0))+INDEX('Form Import'!V:V,MATCH(A191,'Form Import'!F:F,0)))/3</f>
        <v>4</v>
      </c>
      <c r="F191" s="430" t="str">
        <f t="array" ref="F191">INDEX(Import!E:E,MATCH(C191,Name,0))</f>
        <v>Single cell profiling and analysis solutions company that provides researchers with single cell sequencing tools to profile human cells at scale to identify the heterogeneity across cells and understand complex biology at single cell resolution.</v>
      </c>
      <c r="G191" s="431" t="str">
        <f t="array" ref="G191">CONCATENATE(INDEX(Import!G:G,MATCH(C191,Import!C:C,0)),CHAR(10),INDEX(Import!I:I,MATCH(C191,Name,0)))</f>
        <v>Larisa Kagermazova
4</v>
      </c>
      <c r="H191" s="432" t="str">
        <f t="array" ref="H191">INDEX(Import!H:H,MATCH(C191,Name,0))</f>
        <v>Compatible with different instruments, includes will include protocols, reagent kits, consumables, sequence recipes, analysis software, custom automation scripts</v>
      </c>
      <c r="I191" s="431" t="str">
        <f t="array" ref="I191">CONCATENATE(INDEX(Import!J:J,MATCH(C191,Name,0)),CHAR(10),INDEX(Import!L:L,MATCH(C191,Name,0)))</f>
        <v>Tugba Oncu
4</v>
      </c>
      <c r="J191" s="432" t="str">
        <f t="array" ref="J191">INDEX(Import!K:K,MATCH(C191,Name,0))</f>
        <v>Split-pool, tagmentation and combinatorial indexing for single-cell sequencing. Kit comes with a pre-loaded enzyme plate. They`re working on scRNA kit for single-cell transcriptome.</v>
      </c>
      <c r="K191" s="431" t="str">
        <f t="array" aca="1" ref="K191" ca="1">CONCATENATE(INDEX('Form Import'!D:D,MATCH(A191,'Form Import'!F:F,0)),CHAR(10),INDEX('Form Import'!V:V,MATCH(A191,'Form Import'!F:F,0)))</f>
        <v>Joshua Rubnitz
4</v>
      </c>
      <c r="L191" s="432" t="str">
        <f t="array" aca="1" ref="L191" ca="1">INDEX('Form Import'!W:W,MATCH(A191,'Form Import'!F:F,0))</f>
        <v>There is little proprietary tech except for their statistical model of AI accuracy so that they can price insurance policies properly.
Although there is no direct technical advancement, this insurance that can appease risk averse stakeholders could unlock AI in medicine.
The tech is not protected from imitation by other insurance companies at all. They plan to move fast and be acquired.</v>
      </c>
      <c r="M191" s="430"/>
      <c r="N191" s="430" t="str">
        <f t="array" aca="1" ref="N191" ca="1">INDEX('Form Import'!L:L,MATCH($A191,'Form Import'!$F:$F,0))</f>
        <v xml:space="preserve">The product is insurance which can easily be imitated. The only novelty is their proprietary statistical modeling for valuing the insurance policies.
This insurance innovation can be leveraged to unlock the benefits of AI in healthcare. </v>
      </c>
      <c r="O191" s="430" t="str">
        <f t="array" aca="1" ref="O191" ca="1">INDEX('Form Import'!O:O,MATCH($A191,'Form Import'!$F:$F,0))</f>
        <v>Large market and many players in the field of AI in healthtech. McKinsey reports that the AI healthcare market is growing to 100-150bn by 2026. Product is not built yet, so no customers.</v>
      </c>
      <c r="P191" s="430" t="str">
        <f t="array" aca="1" ref="P191" ca="1">INDEX('Form Import'!S:S,MATCH($A191,'Form Import'!$F:$F,0))</f>
        <v>Long term vision is to unlock AI enabled healthcare and then be acquired by a larger insurance corporation. 
Team is techincally excellent with good mathematics and business background.</v>
      </c>
      <c r="Q191" s="430"/>
      <c r="R191" s="430"/>
      <c r="S191" s="430" t="e">
        <f t="array" aca="1" ref="S191" ca="1">_xludf.TextJoin("; ",1,INDEX(Import!S:S,MATCH(C191,Name,0)))</f>
        <v>#NAME?</v>
      </c>
    </row>
    <row r="192" spans="1:19" ht="96">
      <c r="A192" s="418" t="s">
        <v>898</v>
      </c>
      <c r="B192" s="419" t="str">
        <f t="array" aca="1" ref="B192" ca="1">CONCATENATE(TEXT(INDEX(query!A:A,MATCH(C192,query!B:B,0)),"M/DD/YYY"),CHAR(10),INDEX(query!E:E,MATCH(C192,query!B:B,0)))</f>
        <v>8/09/2022
Invite Next Year</v>
      </c>
      <c r="C192" s="85" t="s">
        <v>7485</v>
      </c>
      <c r="D192" s="420">
        <f t="array" ref="D192">INDEX(Import!D:D,MATCH(C192,Name,0))</f>
        <v>2</v>
      </c>
      <c r="E192" s="421">
        <f t="array" aca="1" ref="E192" ca="1">(INDEX(Import!I:I,MATCH(C192,Name,0))+INDEX(Import!L:L,MATCH(C192,Name,0))+INDEX('Form Import'!V:V,MATCH(A192,'Form Import'!F:F,0)))/3</f>
        <v>2.3333333333333335</v>
      </c>
      <c r="F192" s="422" t="str">
        <f t="array" ref="F192">INDEX(Import!E:E,MATCH(C192,Name,0))</f>
        <v>Scholarship Advisors is India based start up focused on offering college counselling to the students ranging from 16 years to 35 years.  I started the company at my home back in 2017 and now we are a team of about 10 people reaching out to the student base of about 2000 students per year. Currently we are working on the app which is sales and servi</v>
      </c>
      <c r="G192" s="423" t="str">
        <f t="array" ref="G192">CONCATENATE(INDEX(Import!G:G,MATCH(C192,Import!C:C,0)),CHAR(10),INDEX(Import!I:I,MATCH(C192,Name,0)))</f>
        <v>Mark Flynn
2</v>
      </c>
      <c r="H192" s="424">
        <f t="array" ref="H192">INDEX(Import!H:H,MATCH(C192,Name,0))</f>
        <v>0</v>
      </c>
      <c r="I192" s="423" t="str">
        <f t="array" ref="I192">CONCATENATE(INDEX(Import!J:J,MATCH(C192,Name,0)),CHAR(10),INDEX(Import!L:L,MATCH(C192,Name,0)))</f>
        <v>Beth Xie
2</v>
      </c>
      <c r="J192" s="424" t="str">
        <f t="array" ref="J192">INDEX(Import!K:K,MATCH(C192,Name,0))</f>
        <v>Not a fit for EFL. Not a startup that is showing intention to scale at the level that EFL requires.</v>
      </c>
      <c r="K192" s="423" t="str">
        <f t="array" aca="1" ref="K192" ca="1">CONCATENATE(INDEX('Form Import'!D:D,MATCH(A192,'Form Import'!F:F,0)),CHAR(10),INDEX('Form Import'!V:V,MATCH(A192,'Form Import'!F:F,0)))</f>
        <v>Joshua Rubnitz
3</v>
      </c>
      <c r="L192" s="424" t="str">
        <f t="array" aca="1" ref="L192" ca="1">INDEX('Form Import'!W:W,MATCH(A192,'Form Import'!F:F,0))</f>
        <v>The product has interesting applications in science and education.
It is not very clear to non-experts why the product is better than current modeling software options. There are few or no business facing members on the team.
For a company targeting specific technical and academic customers with limited resources, a nimble strategy must be built out.</v>
      </c>
      <c r="M192" s="422"/>
      <c r="N192" s="422" t="str">
        <f t="array" aca="1" ref="N192" ca="1">INDEX('Form Import'!L:L,MATCH($A192,'Form Import'!$F:$F,0))</f>
        <v>Their software can handle models of very large datasets for modeling and communicating information. They do not have patents and it is not totally clear from the application how this is significantly different from other modeling services.</v>
      </c>
      <c r="O192" s="422" t="str">
        <f t="array" aca="1" ref="O192" ca="1">INDEX('Form Import'!O:O,MATCH($A192,'Form Import'!$F:$F,0))</f>
        <v>Team estimates a $40B market in education and sciences. Team is already generating 500k ARR.</v>
      </c>
      <c r="P192" s="422" t="str">
        <f t="array" aca="1" ref="P192" ca="1">INDEX('Form Import'!S:S,MATCH($A192,'Form Import'!$F:$F,0))</f>
        <v>Team is technically excellent. Missing business team members/advisors.</v>
      </c>
      <c r="Q192" s="422"/>
      <c r="R192" s="422"/>
      <c r="S192" s="422" t="e">
        <f t="array" aca="1" ref="S192" ca="1">_xludf.TextJoin("; ",1,INDEX(Import!S:S,MATCH(C192,Name,0)))</f>
        <v>#NAME?</v>
      </c>
    </row>
    <row r="193" spans="1:19" ht="84">
      <c r="A193" s="425" t="s">
        <v>7530</v>
      </c>
      <c r="B193" s="426" t="str">
        <f t="array" aca="1" ref="B193" ca="1">CONCATENATE(TEXT(INDEX(query!A:A,MATCH(C193,query!B:B,0)),"M/DD/YYY"),CHAR(10),INDEX(query!E:E,MATCH(C193,query!B:B,0)))</f>
        <v>8/03/2022
Invite</v>
      </c>
      <c r="C193" s="427" t="s">
        <v>385</v>
      </c>
      <c r="D193" s="428">
        <f t="array" ref="D193">INDEX(Import!D:D,MATCH(C193,Name,0))</f>
        <v>4</v>
      </c>
      <c r="E193" s="429">
        <f t="array" aca="1" ref="E193" ca="1">(INDEX(Import!I:I,MATCH(C193,Name,0))+INDEX(Import!L:L,MATCH(C193,Name,0))+INDEX('Form Import'!V:V,MATCH(A193,'Form Import'!F:F,0)))/3</f>
        <v>3.3333333333333335</v>
      </c>
      <c r="F193" s="430" t="str">
        <f t="array" ref="F193">INDEX(Import!E:E,MATCH(C193,Name,0))</f>
        <v>Scispot offers a no-code digitalization and automation suite to life science companies that have limited or no digital resources and expertise to connect their research, inventory &amp; sample data.</v>
      </c>
      <c r="G193" s="431" t="str">
        <f t="array" ref="G193">CONCATENATE(INDEX(Import!G:G,MATCH(C193,Import!C:C,0)),CHAR(10),INDEX(Import!I:I,MATCH(C193,Name,0)))</f>
        <v>Chris Mosher
4</v>
      </c>
      <c r="H193" s="432" t="str">
        <f t="array" ref="H193">INDEX(Import!H:H,MATCH(C193,Name,0))</f>
        <v>Been through several accelerators including YC.</v>
      </c>
      <c r="I193" s="431" t="str">
        <f t="array" ref="I193">CONCATENATE(INDEX(Import!J:J,MATCH(C193,Name,0)),CHAR(10),INDEX(Import!L:L,MATCH(C193,Name,0)))</f>
        <v>Tugba Oncu
4</v>
      </c>
      <c r="J193" s="432" t="str">
        <f t="array" ref="J193">INDEX(Import!K:K,MATCH(C193,Name,0))</f>
        <v>Great that they`re backed by Y combinator.</v>
      </c>
      <c r="K193" s="431" t="str">
        <f t="array" aca="1" ref="K193" ca="1">CONCATENATE(INDEX('Form Import'!D:D,MATCH(A193,'Form Import'!F:F,0)),CHAR(10),INDEX('Form Import'!V:V,MATCH(A193,'Form Import'!F:F,0)))</f>
        <v>Joshua Rubnitz
2</v>
      </c>
      <c r="L193" s="432" t="str">
        <f t="array" aca="1" ref="L193" ca="1">INDEX('Form Import'!W:W,MATCH(A193,'Form Import'!F:F,0))</f>
        <v>This app would allow for amateur traders to copy the portfolio of professional traders.
Provides a service that consumers would likely have a moderate to high WTP for, as it promises good financial returns.
Very little or no new tech. Tech team is not built out yet.</v>
      </c>
      <c r="M193" s="430"/>
      <c r="N193" s="430" t="str">
        <f t="array" aca="1" ref="N193" ca="1">INDEX('Form Import'!L:L,MATCH($A193,'Form Import'!$F:$F,0))</f>
        <v>This is not a novel technology, but it has not been brought to amateur traders. It could be replicated by any software trading team and is not yet patent protected, but they plan to file when they build a tech team.</v>
      </c>
      <c r="O193" s="430" t="str">
        <f t="array" aca="1" ref="O193" ca="1">INDEX('Form Import'!O:O,MATCH($A193,'Form Import'!$F:$F,0))</f>
        <v>Trading market for retail investors is large and growing. Many would love access to copy proprietary traders. Team has some pilot product released by no revenue.</v>
      </c>
      <c r="P193" s="430" t="str">
        <f t="array" aca="1" ref="P193" ca="1">INDEX('Form Import'!S:S,MATCH($A193,'Form Import'!$F:$F,0))</f>
        <v>Mostly focused in financial service. No tech team yet.</v>
      </c>
      <c r="Q193" s="430"/>
      <c r="R193" s="430"/>
      <c r="S193" s="430" t="e">
        <f t="array" aca="1" ref="S193" ca="1">_xludf.TextJoin("; ",1,INDEX(Import!S:S,MATCH(C193,Name,0)))</f>
        <v>#NAME?</v>
      </c>
    </row>
    <row r="194" spans="1:19" ht="72">
      <c r="A194" s="418" t="s">
        <v>9967</v>
      </c>
      <c r="B194" s="419" t="str">
        <f t="array" aca="1" ref="B194" ca="1">CONCATENATE(TEXT(INDEX(query!A:A,MATCH(C194,query!B:B,0)),"M/DD/YYY"),CHAR(10),INDEX(query!E:E,MATCH(C194,query!B:B,0)))</f>
        <v>8/24/2022
Invite Next Year</v>
      </c>
      <c r="C194" s="85" t="s">
        <v>8288</v>
      </c>
      <c r="D194" s="420">
        <f t="array" ref="D194">INDEX(Import!D:D,MATCH(C194,Name,0))</f>
        <v>1</v>
      </c>
      <c r="E194" s="421">
        <f t="array" aca="1" ref="E194" ca="1">(INDEX(Import!I:I,MATCH(C194,Name,0))+INDEX(Import!L:L,MATCH(C194,Name,0))+INDEX('Form Import'!V:V,MATCH(A194,'Form Import'!F:F,0)))/3</f>
        <v>2.3333333333333335</v>
      </c>
      <c r="F194" s="422" t="str">
        <f t="array" ref="F194">INDEX(Import!E:E,MATCH(C194,Name,0))</f>
        <v>Scryper develops hardware and software products to provide solutions to the IT and Transportation industries, our products are designed for anyone who wants to reap the benefits of using a service based on cutting-edge technologies.</v>
      </c>
      <c r="G194" s="423" t="str">
        <f t="array" ref="G194">CONCATENATE(INDEX(Import!G:G,MATCH(C194,Import!C:C,0)),CHAR(10),INDEX(Import!I:I,MATCH(C194,Name,0)))</f>
        <v xml:space="preserve">
1</v>
      </c>
      <c r="H194" s="424" t="str">
        <f t="array" ref="H194">INDEX(Import!H:H,MATCH(C194,Name,0))</f>
        <v>INVITE NEXT YEAR - founder left the U.S. and withdrew their application.</v>
      </c>
      <c r="I194" s="423" t="str">
        <f t="array" ref="I194">CONCATENATE(INDEX(Import!J:J,MATCH(C194,Name,0)),CHAR(10),INDEX(Import!L:L,MATCH(C194,Name,0)))</f>
        <v xml:space="preserve">
1</v>
      </c>
      <c r="J194" s="424" t="str">
        <f t="array" ref="J194">INDEX(Import!K:K,MATCH(C194,Name,0))</f>
        <v>INVITE NEXT YEAR - founder left the U.S. and withdrew their application.</v>
      </c>
      <c r="K194" s="423" t="str">
        <f t="array" aca="1" ref="K194" ca="1">CONCATENATE(INDEX('Form Import'!D:D,MATCH(A194,'Form Import'!F:F,0)),CHAR(10),INDEX('Form Import'!V:V,MATCH(A194,'Form Import'!F:F,0)))</f>
        <v>Joshua Rubnitz
5</v>
      </c>
      <c r="L194" s="424" t="str">
        <f t="array" aca="1" ref="L194" ca="1">INDEX('Form Import'!W:W,MATCH(A194,'Form Import'!F:F,0))</f>
        <v>The team has a very compelling product and strategically addresses a large market that is not currently being treated with much success. They have a vision to address more diseases in the future.
The product is in lab/development phase and is likely many years from trials and implementation. They do foresee easier FDA endpoints because the disease is so deadly.</v>
      </c>
      <c r="M194" s="422"/>
      <c r="N194" s="422" t="str">
        <f t="array" aca="1" ref="N194" ca="1">INDEX('Form Import'!L:L,MATCH($A194,'Form Import'!$F:$F,0))</f>
        <v>There are competitors in the space, but Symphony claims to have both a cost and scientific edge. They are specifically targeting a very large market of disease with this product. They have received patents on the technology.</v>
      </c>
      <c r="O194" s="422" t="str">
        <f t="array" aca="1" ref="O194" ca="1">INDEX('Form Import'!O:O,MATCH($A194,'Form Import'!$F:$F,0))</f>
        <v>They have decided to treat triple negative breast cancer as their solution is showing initial promise, and it is a prevalent disease that current solutions are not very successful at treating.</v>
      </c>
      <c r="P194" s="422" t="str">
        <f t="array" aca="1" ref="P194" ca="1">INDEX('Form Import'!S:S,MATCH($A194,'Form Import'!$F:$F,0))</f>
        <v>Founders are very impressive in medicine, biomaterials, and drug delivery. They have brought on MBA advisors from UCLA.</v>
      </c>
      <c r="Q194" s="422"/>
      <c r="R194" s="422"/>
      <c r="S194" s="422" t="e">
        <f t="array" aca="1" ref="S194" ca="1">_xludf.TextJoin("; ",1,INDEX(Import!S:S,MATCH(C194,Name,0)))</f>
        <v>#NAME?</v>
      </c>
    </row>
    <row r="195" spans="1:19" ht="60">
      <c r="A195" s="425" t="s">
        <v>9234</v>
      </c>
      <c r="B195" s="426" t="str">
        <f t="array" aca="1" ref="B195" ca="1">CONCATENATE(TEXT(INDEX(query!A:A,MATCH(C195,query!B:B,0)),"M/DD/YYY"),CHAR(10),INDEX(query!E:E,MATCH(C195,query!B:B,0)))</f>
        <v>8/16/2022
Invite Next Year</v>
      </c>
      <c r="C195" s="427" t="s">
        <v>7699</v>
      </c>
      <c r="D195" s="428">
        <f t="array" ref="D195">INDEX(Import!D:D,MATCH(C195,Name,0))</f>
        <v>1.75</v>
      </c>
      <c r="E195" s="429">
        <f t="array" aca="1" ref="E195" ca="1">(INDEX(Import!I:I,MATCH(C195,Name,0))+INDEX(Import!L:L,MATCH(C195,Name,0))+INDEX('Form Import'!V:V,MATCH(A195,'Form Import'!F:F,0)))/3</f>
        <v>1.8333333333333333</v>
      </c>
      <c r="F195" s="430" t="str">
        <f t="array" ref="F195">INDEX(Import!E:E,MATCH(C195,Name,0))</f>
        <v>Ador is India' First Interest Dating App enabling everlasting relationships based on Interests and Passions. Ador comes from the word "Adore" meaning loving/liking with admiration and respect, loving like worshipping. Ador holds 2 copyrights, 1 brand trademark and it is recipient of Indian Achievers Award &amp; Innovator of the Month Award.</v>
      </c>
      <c r="G195" s="431" t="str">
        <f t="array" ref="G195">CONCATENATE(INDEX(Import!G:G,MATCH(C195,Import!C:C,0)),CHAR(10),INDEX(Import!I:I,MATCH(C195,Name,0)))</f>
        <v>Beth Xie
2.5</v>
      </c>
      <c r="H195" s="432" t="str">
        <f t="array" ref="H195">INDEX(Import!H:H,MATCH(C195,Name,0))</f>
        <v>- Saturated marketplace, easy for established players to pivot to this space. 
- Technical moat and business moat are both unsecured.</v>
      </c>
      <c r="I195" s="431" t="str">
        <f t="array" ref="I195">CONCATENATE(INDEX(Import!J:J,MATCH(C195,Name,0)),CHAR(10),INDEX(Import!L:L,MATCH(C195,Name,0)))</f>
        <v>Shubo (Gabriel) Xu
1</v>
      </c>
      <c r="J195" s="432" t="str">
        <f t="array" ref="J195">INDEX(Import!K:K,MATCH(C195,Name,0))</f>
        <v>tech is not novel</v>
      </c>
      <c r="K195" s="431" t="str">
        <f t="array" aca="1" ref="K195" ca="1">CONCATENATE(INDEX('Form Import'!D:D,MATCH(A195,'Form Import'!F:F,0)),CHAR(10),INDEX('Form Import'!V:V,MATCH(A195,'Form Import'!F:F,0)))</f>
        <v>Joshua Rubnitz
2</v>
      </c>
      <c r="L195" s="432" t="str">
        <f t="array" aca="1" ref="L195" ca="1">INDEX('Form Import'!W:W,MATCH(A195,'Form Import'!F:F,0))</f>
        <v>Product seems to have success and generates 3M in revenue. The tech must be solid.
The founder barely filled out the application. Not much information provided.</v>
      </c>
      <c r="M195" s="430"/>
      <c r="N195" s="430" t="str">
        <f t="array" aca="1" ref="N195" ca="1">INDEX('Form Import'!L:L,MATCH($A195,'Form Import'!$F:$F,0))</f>
        <v>Technology is generating revenue. The company has performed clinical trials but did not provide data regarding the performance. The company wants to protect their IP with patents, but no further info.</v>
      </c>
      <c r="O195" s="430" t="str">
        <f t="array" aca="1" ref="O195" ca="1">INDEX('Form Import'!O:O,MATCH($A195,'Form Import'!$F:$F,0))</f>
        <v>Company claims a TAM of 20M and generates 3M in revenue.</v>
      </c>
      <c r="P195" s="430" t="str">
        <f t="array" aca="1" ref="P195" ca="1">INDEX('Form Import'!S:S,MATCH($A195,'Form Import'!$F:$F,0))</f>
        <v>Founder has a PhD and works full time on the project.</v>
      </c>
      <c r="Q195" s="430"/>
      <c r="R195" s="430"/>
      <c r="S195" s="430" t="e">
        <f t="array" aca="1" ref="S195" ca="1">_xludf.TextJoin("; ",1,INDEX(Import!S:S,MATCH(C195,Name,0)))</f>
        <v>#NAME?</v>
      </c>
    </row>
    <row r="196" spans="1:19" ht="96">
      <c r="A196" s="418" t="s">
        <v>7724</v>
      </c>
      <c r="B196" s="419" t="str">
        <f t="array" aca="1" ref="B196" ca="1">CONCATENATE(TEXT(INDEX(query!A:A,MATCH(C196,query!B:B,0)),"M/DD/YYY"),CHAR(10),INDEX(query!E:E,MATCH(C196,query!B:B,0)))</f>
        <v>8/09/2022
Invite Next Year</v>
      </c>
      <c r="C196" s="85" t="s">
        <v>5235</v>
      </c>
      <c r="D196" s="420">
        <f t="array" ref="D196">INDEX(Import!D:D,MATCH(C196,Name,0))</f>
        <v>3.25</v>
      </c>
      <c r="E196" s="421">
        <f t="array" aca="1" ref="E196" ca="1">(INDEX(Import!I:I,MATCH(C196,Name,0))+INDEX(Import!L:L,MATCH(C196,Name,0))+INDEX('Form Import'!V:V,MATCH(A196,'Form Import'!F:F,0)))/3</f>
        <v>3.1666666666666665</v>
      </c>
      <c r="F196" s="422" t="str">
        <f t="array" ref="F196">INDEX(Import!E:E,MATCH(C196,Name,0))</f>
        <v>Seccuri is a global cybersecurity talent platform that: 1) performs smart matching between companies? required job positions and top cybersecurity talent using an AI algorithm, 2) and increases the cyber talent pool by providing access to training and certifications all in one place.</v>
      </c>
      <c r="G196" s="423" t="str">
        <f t="array" ref="G196">CONCATENATE(INDEX(Import!G:G,MATCH(C196,Import!C:C,0)),CHAR(10),INDEX(Import!I:I,MATCH(C196,Name,0)))</f>
        <v>Beth Xie
3.5</v>
      </c>
      <c r="H196" s="424" t="str">
        <f t="array" ref="H196">INDEX(Import!H:H,MATCH(C196,Name,0))</f>
        <v>This is a compelling team with highly skilled and experienced founders. They have done 200 customer discovery interviews. The question is how defensible is its technology and go-to-market, given the intense competition from both the job search and training companies in cyber security.</v>
      </c>
      <c r="I196" s="423" t="str">
        <f t="array" ref="I196">CONCATENATE(INDEX(Import!J:J,MATCH(C196,Name,0)),CHAR(10),INDEX(Import!L:L,MATCH(C196,Name,0)))</f>
        <v>Shubo (Gabriel) Xu
3</v>
      </c>
      <c r="J196" s="424" t="str">
        <f t="array" ref="J196">INDEX(Import!K:K,MATCH(C196,Name,0))</f>
        <v>+
1. team is well composed
2. the problem they are trying to address is a real one -- based on their research and industry experience.
-
1. need more evidence on what exactly is the cause of this problem and whether/how they could solve it (see Notes on Technology)
2. need more evidence on what set them apart from other platforms</v>
      </c>
      <c r="K196" s="423" t="str">
        <f t="array" aca="1" ref="K196" ca="1">CONCATENATE(INDEX('Form Import'!D:D,MATCH(A196,'Form Import'!F:F,0)),CHAR(10),INDEX('Form Import'!V:V,MATCH(A196,'Form Import'!F:F,0)))</f>
        <v>Joshua Rubnitz
3</v>
      </c>
      <c r="L196" s="424" t="str">
        <f t="array" aca="1" ref="L196" ca="1">INDEX('Form Import'!W:W,MATCH(A196,'Form Import'!F:F,0))</f>
        <v>They claim to have an exceptional AI algorithm that can predict future stock prices and eventually predict discrete events.
There is not much concrete data in the application to support the technical differentiation above.</v>
      </c>
      <c r="M196" s="422"/>
      <c r="N196" s="422" t="str">
        <f t="array" aca="1" ref="N196" ca="1">INDEX('Form Import'!L:L,MATCH($A196,'Form Import'!$F:$F,0))</f>
        <v>Parsing news for trading purposes is not novel. They do employ an AI algorithm that could possibly perform better, but data is not there to validate. The founder claims to have backtested portfolios to validate success of the product.</v>
      </c>
      <c r="O196" s="422" t="str">
        <f t="array" aca="1" ref="O196" ca="1">INDEX('Form Import'!O:O,MATCH($A196,'Form Import'!$F:$F,0))</f>
        <v>Growing market with a lot of funds going into trading. Many competitors in the space though. No paying customers, but have launched a pilot (11-50 customers).</v>
      </c>
      <c r="P196" s="422" t="str">
        <f t="array" aca="1" ref="P196" ca="1">INDEX('Form Import'!S:S,MATCH($A196,'Form Import'!$F:$F,0))</f>
        <v>Founders have MBAs and should be knowledgeable in business &amp; strategy. For their product to be truly differentiated in this competitive market they likely need to build out an exceptional tech team.</v>
      </c>
      <c r="Q196" s="422"/>
      <c r="R196" s="422"/>
      <c r="S196" s="422" t="e">
        <f t="array" aca="1" ref="S196" ca="1">_xludf.TextJoin("; ",1,INDEX(Import!S:S,MATCH(C196,Name,0)))</f>
        <v>#NAME?</v>
      </c>
    </row>
    <row r="197" spans="1:19" ht="60">
      <c r="A197" s="425" t="s">
        <v>8032</v>
      </c>
      <c r="B197" s="426" t="str">
        <f t="array" aca="1" ref="B197" ca="1">CONCATENATE(TEXT(INDEX(query!A:A,MATCH(C197,query!B:B,0)),"M/DD/YYY"),CHAR(10),INDEX(query!E:E,MATCH(C197,query!B:B,0)))</f>
        <v>8/16/2022
Invite</v>
      </c>
      <c r="C197" s="427" t="s">
        <v>238</v>
      </c>
      <c r="D197" s="428">
        <f t="array" ref="D197">INDEX(Import!D:D,MATCH(C197,Name,0))</f>
        <v>4</v>
      </c>
      <c r="E197" s="429">
        <f t="array" aca="1" ref="E197" ca="1">(INDEX(Import!I:I,MATCH(C197,Name,0))+INDEX(Import!L:L,MATCH(C197,Name,0))+INDEX('Form Import'!V:V,MATCH(A197,'Form Import'!F:F,0)))/3</f>
        <v>3.6666666666666665</v>
      </c>
      <c r="F197" s="430" t="str">
        <f t="array" ref="F197">INDEX(Import!E:E,MATCH(C197,Name,0))</f>
        <v>SecureCHEK® AI is a SaaS solution powered by AI (ML/NLP).  Regulated product advertising costs too much and takes too long to implement because marketing processes are manual.  SecureCHEK AI transfers time-consuming, repetitive marketing tasks from humans to tech for the greatest efficiency, making promotion 30% cheaper and 3X faster.</v>
      </c>
      <c r="G197" s="431" t="str">
        <f t="array" ref="G197">CONCATENATE(INDEX(Import!G:G,MATCH(C197,Import!C:C,0)),CHAR(10),INDEX(Import!I:I,MATCH(C197,Name,0)))</f>
        <v>Beth Xie
4</v>
      </c>
      <c r="H197" s="432">
        <f t="array" ref="H197">INDEX(Import!H:H,MATCH(C197,Name,0))</f>
        <v>0</v>
      </c>
      <c r="I197" s="431" t="str">
        <f t="array" ref="I197">CONCATENATE(INDEX(Import!J:J,MATCH(C197,Name,0)),CHAR(10),INDEX(Import!L:L,MATCH(C197,Name,0)))</f>
        <v>Matt Myers
4</v>
      </c>
      <c r="J197" s="432" t="str">
        <f t="array" ref="J197">INDEX(Import!K:K,MATCH(C197,Name,0))</f>
        <v>Strong leadership team with NYU connection. Strong momentum since last EFL application. Potential for high impact, worth inviting to interview.</v>
      </c>
      <c r="K197" s="431" t="str">
        <f t="array" aca="1" ref="K197" ca="1">CONCATENATE(INDEX('Form Import'!D:D,MATCH(A197,'Form Import'!F:F,0)),CHAR(10),INDEX('Form Import'!V:V,MATCH(A197,'Form Import'!F:F,0)))</f>
        <v>Joshua Rubnitz
3</v>
      </c>
      <c r="L197" s="432" t="str">
        <f t="array" aca="1" ref="L197" ca="1">INDEX('Form Import'!W:W,MATCH(A197,'Form Import'!F:F,0))</f>
        <v>If the tech performs as advertised, it could be very powerful in bringing the NLU future that the founder believes will define computing.
There is very little business due diligence in this pitch and there are no numbers to validate performance of the technology.</v>
      </c>
      <c r="M197" s="430"/>
      <c r="N197" s="430" t="str">
        <f t="array" aca="1" ref="N197" ca="1">INDEX('Form Import'!L:L,MATCH($A197,'Form Import'!$F:$F,0))</f>
        <v xml:space="preserve">The promise of the technology is huge. Under validation, the founder states that a test version can be downloaded from Github for us to validate. Seems to be a novel technology, but can possibly be imitated. No patents.  </v>
      </c>
      <c r="O197" s="430" t="str">
        <f t="array" aca="1" ref="O197" ca="1">INDEX('Form Import'!O:O,MATCH($A197,'Form Import'!$F:$F,0))</f>
        <v>Has a pilot product and one paying customer that is employing the founder to build their NLU system.</v>
      </c>
      <c r="P197" s="430" t="str">
        <f t="array" aca="1" ref="P197" ca="1">INDEX('Form Import'!S:S,MATCH($A197,'Form Import'!$F:$F,0))</f>
        <v>Monica Anderson has been working in ML for 2 decades. Does not have any business support.</v>
      </c>
      <c r="Q197" s="430"/>
      <c r="R197" s="430"/>
      <c r="S197" s="430" t="e">
        <f t="array" aca="1" ref="S197" ca="1">_xludf.TextJoin("; ",1,INDEX(Import!S:S,MATCH(C197,Name,0)))</f>
        <v>#NAME?</v>
      </c>
    </row>
    <row r="198" spans="1:19" ht="84">
      <c r="A198" s="418" t="s">
        <v>2029</v>
      </c>
      <c r="B198" s="419" t="str">
        <f t="array" aca="1" ref="B198" ca="1">CONCATENATE(TEXT(INDEX(query!A:A,MATCH(C198,query!B:B,0)),"M/DD/YYY"),CHAR(10),INDEX(query!E:E,MATCH(C198,query!B:B,0)))</f>
        <v>8/23/2022
Invite</v>
      </c>
      <c r="C198" s="85" t="s">
        <v>252</v>
      </c>
      <c r="D198" s="420">
        <f t="array" ref="D198">INDEX(Import!D:D,MATCH(C198,Name,0))</f>
        <v>4</v>
      </c>
      <c r="E198" s="421">
        <f t="array" aca="1" ref="E198" ca="1">(INDEX(Import!I:I,MATCH(C198,Name,0))+INDEX(Import!L:L,MATCH(C198,Name,0))+INDEX('Form Import'!V:V,MATCH(A198,'Form Import'!F:F,0)))/3</f>
        <v>4</v>
      </c>
      <c r="F198" s="422" t="str">
        <f t="array" ref="F198">INDEX(Import!E:E,MATCH(C198,Name,0))</f>
        <v>Seek AI provides a collaborative data science platform that uses natural language processing to streamline the process of working with data. The problem we are solving is the archaic and tedious status quo of working with data that business-facing teams and data teams face when they work together on projects involving data.</v>
      </c>
      <c r="G198" s="423" t="str">
        <f t="array" ref="G198">CONCATENATE(INDEX(Import!G:G,MATCH(C198,Import!C:C,0)),CHAR(10),INDEX(Import!I:I,MATCH(C198,Name,0)))</f>
        <v>Matt Myers
4</v>
      </c>
      <c r="H198" s="424" t="str">
        <f t="array" ref="H198">INDEX(Import!H:H,MATCH(C198,Name,0))</f>
        <v>Strong team, potential for high impact, so feels like good fit for EFL. However, Obstacles section suggests that they are still building the tech. Small amount of validation suggests that they're on the right track, recommend having them in for interview.</v>
      </c>
      <c r="I198" s="423" t="str">
        <f t="array" ref="I198">CONCATENATE(INDEX(Import!J:J,MATCH(C198,Name,0)),CHAR(10),INDEX(Import!L:L,MATCH(C198,Name,0)))</f>
        <v>Kinni Shah
4</v>
      </c>
      <c r="J198" s="424" t="str">
        <f t="array" ref="J198">INDEX(Import!K:K,MATCH(C198,Name,0))</f>
        <v>The concept is easy and applicable, though can only be used by corporates who currently use other competitor data aggregator softwares. The ease of operation has the potential to make a huge difference to corporations that rely on data teams for information. This would make the process much quicker. Within the space they are unique in what they do and already have paying customers (though small in number) to validate the product.</v>
      </c>
      <c r="K198" s="423" t="str">
        <f t="array" aca="1" ref="K198" ca="1">CONCATENATE(INDEX('Form Import'!D:D,MATCH(A198,'Form Import'!F:F,0)),CHAR(10),INDEX('Form Import'!V:V,MATCH(A198,'Form Import'!F:F,0)))</f>
        <v>Joshua Rubnitz
4</v>
      </c>
      <c r="L198" s="424" t="str">
        <f t="array" aca="1" ref="L198" ca="1">INDEX('Form Import'!W:W,MATCH(A198,'Form Import'!F:F,0))</f>
        <v>The product has shown promising data toward recovery of some patients and longer expected survival after clinical I trials. There is currently no treatment for GBM.
The survival rate was still low, but better than no treatment.</v>
      </c>
      <c r="M198" s="422"/>
      <c r="N198" s="422" t="str">
        <f t="array" aca="1" ref="N198" ca="1">INDEX('Form Import'!L:L,MATCH($A198,'Form Import'!$F:$F,0))</f>
        <v>The technology seems sound and the application claims 5 rounds of clinical I trials and moving onto clinical II, and the pitch provided at the bottom claims that the drug increased survival from 10 to 28+months. Patents granted.</v>
      </c>
      <c r="O198" s="422" t="str">
        <f t="array" aca="1" ref="O198" ca="1">INDEX('Form Import'!O:O,MATCH($A198,'Form Import'!$F:$F,0))</f>
        <v>Very large &gt;1B market, but a few years from revenue and testing customers. Plan to file NDA with FDA in 2024.</v>
      </c>
      <c r="P198" s="422" t="str">
        <f t="array" aca="1" ref="P198" ca="1">INDEX('Form Import'!S:S,MATCH($A198,'Form Import'!$F:$F,0))</f>
        <v>Founder has a law degree, mba, PhD in biochem and has put together a long list of medical experts.</v>
      </c>
      <c r="Q198" s="422"/>
      <c r="R198" s="422"/>
      <c r="S198" s="422" t="e">
        <f t="array" aca="1" ref="S198" ca="1">_xludf.TextJoin("; ",1,INDEX(Import!S:S,MATCH(C198,Name,0)))</f>
        <v>#NAME?</v>
      </c>
    </row>
    <row r="199" spans="1:19" ht="72">
      <c r="A199" s="425" t="s">
        <v>9566</v>
      </c>
      <c r="B199" s="426" t="str">
        <f t="array" aca="1" ref="B199" ca="1">CONCATENATE(TEXT(INDEX(query!A:A,MATCH(C199,query!B:B,0)),"M/DD/YYY"),CHAR(10),INDEX(query!E:E,MATCH(C199,query!B:B,0)))</f>
        <v>8/11/2022
Invite</v>
      </c>
      <c r="C199" s="427" t="s">
        <v>239</v>
      </c>
      <c r="D199" s="428">
        <f t="array" ref="D199">INDEX(Import!D:D,MATCH(C199,Name,0))</f>
        <v>4</v>
      </c>
      <c r="E199" s="429">
        <f t="array" aca="1" ref="E199" ca="1">(INDEX(Import!I:I,MATCH(C199,Name,0))+INDEX(Import!L:L,MATCH(C199,Name,0))+INDEX('Form Import'!V:V,MATCH(A199,'Form Import'!F:F,0)))/3</f>
        <v>3.6666666666666665</v>
      </c>
      <c r="F199" s="430" t="str">
        <f t="array" ref="F199">INDEX(Import!E:E,MATCH(C199,Name,0))</f>
        <v>Selia pairs Spanish speakers around the globe with certified mental health professionals for video and in-person consultations.</v>
      </c>
      <c r="G199" s="431" t="str">
        <f t="array" ref="G199">CONCATENATE(INDEX(Import!G:G,MATCH(C199,Import!C:C,0)),CHAR(10),INDEX(Import!I:I,MATCH(C199,Name,0)))</f>
        <v>Beth Xie
4</v>
      </c>
      <c r="H199" s="432" t="str">
        <f t="array" ref="H199">INDEX(Import!H:H,MATCH(C199,Name,0))</f>
        <v>- Great traction. 
- Could be deployed for Spanish speaking community in the United States. 
- Spanish version of Spring Health</v>
      </c>
      <c r="I199" s="431" t="str">
        <f t="array" ref="I199">CONCATENATE(INDEX(Import!J:J,MATCH(C199,Name,0)),CHAR(10),INDEX(Import!L:L,MATCH(C199,Name,0)))</f>
        <v>Boyang Yu
4</v>
      </c>
      <c r="J199" s="432" t="str">
        <f t="array" ref="J199">INDEX(Import!K:K,MATCH(C199,Name,0))</f>
        <v>The target market is focused on Spanish speaking population(could be both advantage and disadvantage)
The customer base and found raising progress look promising</v>
      </c>
      <c r="K199" s="431" t="str">
        <f t="array" aca="1" ref="K199" ca="1">CONCATENATE(INDEX('Form Import'!D:D,MATCH(A199,'Form Import'!F:F,0)),CHAR(10),INDEX('Form Import'!V:V,MATCH(A199,'Form Import'!F:F,0)))</f>
        <v>Joshua Rubnitz
3</v>
      </c>
      <c r="L199" s="432" t="str">
        <f t="array" aca="1" ref="L199" ca="1">INDEX('Form Import'!W:W,MATCH(A199,'Form Import'!F:F,0))</f>
        <v>Tech seems to be validated by customer revenue already generated. Could disrupt a stagnant market, but no new inimitable tech.
The team is very impressive and has formed a partnership with pwc. 
Large spend on infrastructure impending.</v>
      </c>
      <c r="M199" s="430"/>
      <c r="N199" s="430" t="str">
        <f t="array" aca="1" ref="N199" ca="1">INDEX('Form Import'!L:L,MATCH($A199,'Form Import'!$F:$F,0))</f>
        <v>The technology has apparently been validated, but there are no concrete numbers on the application. The tech is not protected by patents, but the founders would like to patent the tech.</v>
      </c>
      <c r="O199" s="430" t="str">
        <f t="array" aca="1" ref="O199" ca="1">INDEX('Form Import'!O:O,MATCH($A199,'Form Import'!$F:$F,0))</f>
        <v>Large market and expected huge spend on infrastructure in the near future. They have $135k in revenue and predict that they will reach 1M in revenue by Y/E 2022.</v>
      </c>
      <c r="P199" s="430" t="str">
        <f t="array" aca="1" ref="P199" ca="1">INDEX('Form Import'!S:S,MATCH($A199,'Form Import'!$F:$F,0))</f>
        <v>The team is very effective with business and infrastructure leaders on board.</v>
      </c>
      <c r="Q199" s="430"/>
      <c r="R199" s="430"/>
      <c r="S199" s="430" t="e">
        <f t="array" aca="1" ref="S199" ca="1">_xludf.TextJoin("; ",1,INDEX(Import!S:S,MATCH(C199,Name,0)))</f>
        <v>#NAME?</v>
      </c>
    </row>
    <row r="200" spans="1:19" ht="84">
      <c r="A200" s="418" t="s">
        <v>1547</v>
      </c>
      <c r="B200" s="419" t="str">
        <f t="array" aca="1" ref="B200" ca="1">CONCATENATE(TEXT(INDEX(query!A:A,MATCH(C200,query!B:B,0)),"M/DD/YYY"),CHAR(10),INDEX(query!E:E,MATCH(C200,query!B:B,0)))</f>
        <v>8/18/2022
Revisit/ Cluster</v>
      </c>
      <c r="C200" s="85" t="s">
        <v>242</v>
      </c>
      <c r="D200" s="420">
        <f t="array" ref="D200">INDEX(Import!D:D,MATCH(C200,Name,0))</f>
        <v>4</v>
      </c>
      <c r="E200" s="421">
        <f t="array" aca="1" ref="E200" ca="1">(INDEX(Import!I:I,MATCH(C200,Name,0))+INDEX(Import!L:L,MATCH(C200,Name,0))+INDEX('Form Import'!V:V,MATCH(A200,'Form Import'!F:F,0)))/3</f>
        <v>4</v>
      </c>
      <c r="F200" s="422" t="str">
        <f t="array" ref="F200">INDEX(Import!E:E,MATCH(C200,Name,0))</f>
        <v>Semeris analyzes legal documentation in the capital markets, using NLP, AI and analysts, to make it easier for investors, bankers and lawyers to read and understand complex documents.</v>
      </c>
      <c r="G200" s="423" t="str">
        <f t="array" ref="G200">CONCATENATE(INDEX(Import!G:G,MATCH(C200,Import!C:C,0)),CHAR(10),INDEX(Import!I:I,MATCH(C200,Name,0)))</f>
        <v>Deepak Hegde
4</v>
      </c>
      <c r="H200" s="424" t="str">
        <f t="array" ref="H200">INDEX(Import!H:H,MATCH(C200,Name,0))</f>
        <v>Legal documents are complex for a reason.  I would be interested in knowing what information is lost in the process of simplifying it.  Tough technical challenge for NLP, so there's something here, although Im not convinced of the extent of value-add here.</v>
      </c>
      <c r="I200" s="423" t="str">
        <f t="array" ref="I200">CONCATENATE(INDEX(Import!J:J,MATCH(C200,Name,0)),CHAR(10),INDEX(Import!L:L,MATCH(C200,Name,0)))</f>
        <v>Matt Myers
4</v>
      </c>
      <c r="J200" s="424" t="str">
        <f t="array" ref="J200">INDEX(Import!K:K,MATCH(C200,Name,0))</f>
        <v>Very interesting! But similar initial reaction: lawsuits! Feels tricky. I'm sure it's something they considered &amp; would like to hear more. Tech protection is "constant innovation," unclear. Seems novel and potentially impactful.</v>
      </c>
      <c r="K200" s="423" t="str">
        <f t="array" aca="1" ref="K200" ca="1">CONCATENATE(INDEX('Form Import'!D:D,MATCH(A200,'Form Import'!F:F,0)),CHAR(10),INDEX('Form Import'!V:V,MATCH(A200,'Form Import'!F:F,0)))</f>
        <v>Joshua Rubnitz
4</v>
      </c>
      <c r="L200" s="424" t="str">
        <f t="array" aca="1" ref="L200" ca="1">INDEX('Form Import'!W:W,MATCH(A200,'Form Import'!F:F,0))</f>
        <v xml:space="preserve">This is a product that should find market fit quickly. Customers clearly like it: they are generating revenue pre-launch. 
One gripe with the tech: they are not inventing any real, new, tech...they are just integrating and packaging it nicely. It is possible that their AI solution to make video look professional would be hard to imitate. </v>
      </c>
      <c r="M200" s="422"/>
      <c r="N200" s="422" t="str">
        <f t="array" aca="1" ref="N200" ca="1">INDEX('Form Import'!L:L,MATCH($A200,'Form Import'!$F:$F,0))</f>
        <v>The tech of making videos better with AI is by no means proprietary to TakeOne, but the whole package that provides recommendations is. The team plans to file patents on their proprietary tech.</v>
      </c>
      <c r="O200" s="422" t="str">
        <f t="array" aca="1" ref="O200" ca="1">INDEX('Form Import'!O:O,MATCH($A200,'Form Import'!$F:$F,0))</f>
        <v>Good size market and growing. They are not even launched yet and are generating 100k in revenue. One issue: only 30% of customers return for repeat business so far.</v>
      </c>
      <c r="P200" s="422" t="str">
        <f t="array" aca="1" ref="P200" ca="1">INDEX('Form Import'!S:S,MATCH($A200,'Form Import'!$F:$F,0))</f>
        <v>One founder with film experience and one founder with computer science experience. Could use more business expertise to properly position themselves.</v>
      </c>
      <c r="Q200" s="422"/>
      <c r="R200" s="422"/>
      <c r="S200" s="422" t="e">
        <f t="array" aca="1" ref="S200" ca="1">_xludf.TextJoin("; ",1,INDEX(Import!S:S,MATCH(C200,Name,0)))</f>
        <v>#NAME?</v>
      </c>
    </row>
    <row r="201" spans="1:19" ht="72">
      <c r="A201" s="425" t="s">
        <v>7549</v>
      </c>
      <c r="B201" s="426" t="str">
        <f t="array" aca="1" ref="B201" ca="1">CONCATENATE(TEXT(INDEX(query!A:A,MATCH(C201,query!B:B,0)),"M/DD/YYY"),CHAR(10),INDEX(query!E:E,MATCH(C201,query!B:B,0)))</f>
        <v>8/09/2022
Invite Next Year</v>
      </c>
      <c r="C201" s="427" t="s">
        <v>6841</v>
      </c>
      <c r="D201" s="428">
        <f t="array" ref="D201">INDEX(Import!D:D,MATCH(C201,Name,0))</f>
        <v>2.25</v>
      </c>
      <c r="E201" s="429">
        <f t="array" aca="1" ref="E201" ca="1">(INDEX(Import!I:I,MATCH(C201,Name,0))+INDEX(Import!L:L,MATCH(C201,Name,0))+INDEX('Form Import'!V:V,MATCH(A201,'Form Import'!F:F,0)))/3</f>
        <v>2.1666666666666665</v>
      </c>
      <c r="F201" s="430" t="str">
        <f t="array" ref="F201">INDEX(Import!E:E,MATCH(C201,Name,0))</f>
        <v>1.7 Billion people globally are unbanked and 1.1 Billion live in Africa.
Sendit.Money is building a cost-effective mobile wallet providing an intuitive, secure and inexpensive way for the unbanked in the UK and Sub-Sahara Africa to send, receive and save money
Having created a prototype for African markets. We are now raising to bring this p</v>
      </c>
      <c r="G201" s="431" t="str">
        <f t="array" ref="G201">CONCATENATE(INDEX(Import!G:G,MATCH(C201,Import!C:C,0)),CHAR(10),INDEX(Import!I:I,MATCH(C201,Name,0)))</f>
        <v>Beth Xie
2.5</v>
      </c>
      <c r="H201" s="432" t="str">
        <f t="array" ref="H201">INDEX(Import!H:H,MATCH(C201,Name,0))</f>
        <v>Not differentiated enough in its product offerings and technology in comparison to current competitors. Under lots of uncertainty regulatory and legal compliance wise.</v>
      </c>
      <c r="I201" s="431" t="str">
        <f t="array" ref="I201">CONCATENATE(INDEX(Import!J:J,MATCH(C201,Name,0)),CHAR(10),INDEX(Import!L:L,MATCH(C201,Name,0)))</f>
        <v>Boyang Yu
2</v>
      </c>
      <c r="J201" s="432" t="str">
        <f t="array" ref="J201">INDEX(Import!K:K,MATCH(C201,Name,0))</f>
        <v>Not enough validation evidence. The market is mainly in UK and African, not sure how EFL would help with marketing</v>
      </c>
      <c r="K201" s="431" t="str">
        <f t="array" aca="1" ref="K201" ca="1">CONCATENATE(INDEX('Form Import'!D:D,MATCH(A201,'Form Import'!F:F,0)),CHAR(10),INDEX('Form Import'!V:V,MATCH(A201,'Form Import'!F:F,0)))</f>
        <v>Joshua Rubnitz
2</v>
      </c>
      <c r="L201" s="432" t="str">
        <f t="array" aca="1" ref="L201" ca="1">INDEX('Form Import'!W:W,MATCH(A201,'Form Import'!F:F,0))</f>
        <v>Although this team is building a much needed product for a big market, and is already getting traction, there is little or no technical innovation. They are simply building a platform for pharma companies to log transactions and have no patents.
With that said, startup seems well positioned to succeed.</v>
      </c>
      <c r="M201" s="430"/>
      <c r="N201" s="430" t="str">
        <f t="array" aca="1" ref="N201" ca="1">INDEX('Form Import'!L:L,MATCH($A201,'Form Import'!$F:$F,0))</f>
        <v>There is little or no new technology here. The founders are just building a platform, but they are addressing a market that badly needs the solution as 97% of medical records in Africa are handwritten.</v>
      </c>
      <c r="O201" s="430" t="str">
        <f t="array" aca="1" ref="O201" ca="1">INDEX('Form Import'!O:O,MATCH($A201,'Form Import'!$F:$F,0))</f>
        <v>Huge market with a ubiquitous need for solution. $1500 per month revenue.</v>
      </c>
      <c r="P201" s="430" t="str">
        <f t="array" aca="1" ref="P201" ca="1">INDEX('Form Import'!S:S,MATCH($A201,'Form Import'!$F:$F,0))</f>
        <v>Large, divers, impressive team with intimate knowledge of their target customers.</v>
      </c>
      <c r="Q201" s="430"/>
      <c r="R201" s="430"/>
      <c r="S201" s="430" t="e">
        <f t="array" aca="1" ref="S201" ca="1">_xludf.TextJoin("; ",1,INDEX(Import!S:S,MATCH(C201,Name,0)))</f>
        <v>#NAME?</v>
      </c>
    </row>
    <row r="202" spans="1:19" ht="60">
      <c r="A202" s="418" t="s">
        <v>7733</v>
      </c>
      <c r="B202" s="419" t="str">
        <f t="array" aca="1" ref="B202" ca="1">CONCATENATE(TEXT(INDEX(query!A:A,MATCH(C202,query!B:B,0)),"M/DD/YYY"),CHAR(10),INDEX(query!E:E,MATCH(C202,query!B:B,0)))</f>
        <v>8/16/2022
Invite</v>
      </c>
      <c r="C202" s="85" t="s">
        <v>256</v>
      </c>
      <c r="D202" s="420">
        <f t="array" ref="D202">INDEX(Import!D:D,MATCH(C202,Name,0))</f>
        <v>5</v>
      </c>
      <c r="E202" s="421">
        <f t="array" aca="1" ref="E202" ca="1">(INDEX(Import!I:I,MATCH(C202,Name,0))+INDEX(Import!L:L,MATCH(C202,Name,0))+INDEX('Form Import'!V:V,MATCH(A202,'Form Import'!F:F,0)))/3</f>
        <v>3.6666666666666665</v>
      </c>
      <c r="F202" s="422" t="str">
        <f t="array" ref="F202">INDEX(Import!E:E,MATCH(C202,Name,0))</f>
        <v>We are creating autonomous shopping concepts for all retailers (existing and new). We have developed a secure and reliable AI-powered solution for retailers to build efficient operations, offering an end-to-end solution to capture a wealth of store insights while simultaneously delivering a frictionless shopping experience to consumers.</v>
      </c>
      <c r="G202" s="423" t="str">
        <f t="array" ref="G202">CONCATENATE(INDEX(Import!G:G,MATCH(C202,Import!C:C,0)),CHAR(10),INDEX(Import!I:I,MATCH(C202,Name,0)))</f>
        <v>Khoa Ma
5</v>
      </c>
      <c r="H202" s="424" t="str">
        <f t="array" ref="H202">INDEX(Import!H:H,MATCH(C202,Name,0))</f>
        <v>DiT
autonomous shopping concepts for all retailers
$20 -$30M Series A
Women founder</v>
      </c>
      <c r="I202" s="423" t="str">
        <f t="array" ref="I202">CONCATENATE(INDEX(Import!J:J,MATCH(C202,Name,0)),CHAR(10),INDEX(Import!L:L,MATCH(C202,Name,0)))</f>
        <v>Arthur Ibanda
5</v>
      </c>
      <c r="J202" s="424" t="str">
        <f t="array" ref="J202">INDEX(Import!K:K,MATCH(C202,Name,0))</f>
        <v>+The team seems credible
+The have running stores
+Raised a lot of money
+Large potential market
+1M?/ Year</v>
      </c>
      <c r="K202" s="423" t="str">
        <f t="array" aca="1" ref="K202" ca="1">CONCATENATE(INDEX('Form Import'!D:D,MATCH(A202,'Form Import'!F:F,0)),CHAR(10),INDEX('Form Import'!V:V,MATCH(A202,'Form Import'!F:F,0)))</f>
        <v>Joshua Rubnitz
1</v>
      </c>
      <c r="L202" s="424" t="str">
        <f t="array" aca="1" ref="L202" ca="1">INDEX('Form Import'!W:W,MATCH(A202,'Form Import'!F:F,0))</f>
        <v>The product is not built out yet and is not novel digital tech. 
Good goal of building educational metaverse for children.</v>
      </c>
      <c r="M202" s="422"/>
      <c r="N202" s="422" t="str">
        <f t="array" aca="1" ref="N202" ca="1">INDEX('Form Import'!L:L,MATCH($A202,'Form Import'!$F:$F,0))</f>
        <v xml:space="preserve">The technology does not exist yet. It is an idea of an educational metaverse like video game. It is differentiated because the game works for the kids, not the other way around. </v>
      </c>
      <c r="O202" s="422" t="str">
        <f t="array" aca="1" ref="O202" ca="1">INDEX('Form Import'!O:O,MATCH($A202,'Form Import'!$F:$F,0))</f>
        <v>Market is large, but did not put any $ amount on the market. No pilot product yet.</v>
      </c>
      <c r="P202" s="422" t="str">
        <f t="array" aca="1" ref="P202" ca="1">INDEX('Form Import'!S:S,MATCH($A202,'Form Import'!$F:$F,0))</f>
        <v>Background of team not well defined in application. Has college degree.</v>
      </c>
      <c r="Q202" s="422"/>
      <c r="R202" s="422"/>
      <c r="S202" s="422" t="e">
        <f t="array" aca="1" ref="S202" ca="1">_xludf.TextJoin("; ",1,INDEX(Import!S:S,MATCH(C202,Name,0)))</f>
        <v>#NAME?</v>
      </c>
    </row>
    <row r="203" spans="1:19" ht="84">
      <c r="A203" s="425" t="s">
        <v>3357</v>
      </c>
      <c r="B203" s="426" t="str">
        <f t="array" aca="1" ref="B203" ca="1">CONCATENATE(TEXT(INDEX(query!A:A,MATCH(C203,query!B:B,0)),"M/DD/YYY"),CHAR(10),INDEX(query!E:E,MATCH(C203,query!B:B,0)))</f>
        <v>8/18/2022
Invite Next Year</v>
      </c>
      <c r="C203" s="427" t="s">
        <v>9141</v>
      </c>
      <c r="D203" s="428">
        <f t="array" ref="D203">INDEX(Import!D:D,MATCH(C203,Name,0))</f>
        <v>3.88</v>
      </c>
      <c r="E203" s="429">
        <f t="array" aca="1" ref="E203" ca="1">(INDEX(Import!I:I,MATCH(C203,Name,0))+INDEX(Import!L:L,MATCH(C203,Name,0))+INDEX('Form Import'!V:V,MATCH(A203,'Form Import'!F:F,0)))/3</f>
        <v>3.9166666666666665</v>
      </c>
      <c r="F203" s="430" t="str">
        <f t="array" ref="F203">INDEX(Import!E:E,MATCH(C203,Name,0))</f>
        <v>Sensible Bio turns living cells into mRNA factories to produce mRNA faster, cheaper, and with improved properties. This allows our customers, mRNA therapeutics and vaccine companies, to decrease the price, and improve the quality of their products in order to provide better medicines for everyone.</v>
      </c>
      <c r="G203" s="431" t="str">
        <f t="array" ref="G203">CONCATENATE(INDEX(Import!G:G,MATCH(C203,Import!C:C,0)),CHAR(10),INDEX(Import!I:I,MATCH(C203,Name,0)))</f>
        <v>Larisa Kagermazova
3.75</v>
      </c>
      <c r="H203" s="432" t="str">
        <f t="array" ref="H203">INDEX(Import!H:H,MATCH(C203,Name,0))</f>
        <v>Y Combinator, S21 cohort. They said "We postponed our Demo Day, because we pivoted at the end of the batch and settled on mRNA manufacturing idea in January 2022"
They didn't show any data</v>
      </c>
      <c r="I203" s="431" t="str">
        <f t="array" ref="I203">CONCATENATE(INDEX(Import!J:J,MATCH(C203,Name,0)),CHAR(10),INDEX(Import!L:L,MATCH(C203,Name,0)))</f>
        <v>Tugba Oncu
4</v>
      </c>
      <c r="J203" s="432" t="str">
        <f t="array" ref="J203">INDEX(Import!K:K,MATCH(C203,Name,0))</f>
        <v>Can we discuss about this?</v>
      </c>
      <c r="K203" s="431" t="str">
        <f t="array" aca="1" ref="K203" ca="1">CONCATENATE(INDEX('Form Import'!D:D,MATCH(A203,'Form Import'!F:F,0)),CHAR(10),INDEX('Form Import'!V:V,MATCH(A203,'Form Import'!F:F,0)))</f>
        <v>Joshua Rubnitz
4</v>
      </c>
      <c r="L203" s="432" t="str">
        <f t="array" aca="1" ref="L203" ca="1">INDEX('Form Import'!W:W,MATCH(A203,'Form Import'!F:F,0))</f>
        <v>The tech is low cost and is very easily deployed and developed. Customer adoption could happen very quickly.
The team has not yet provided any numbers regarding $x amount that a customer could save per year by enrolling for their service, so it is hard to trust that the tech is ready for EFL.
Tech is not yet patent protected and seems to be drones with thermal/IR cameras and analytical software.</v>
      </c>
      <c r="M203" s="430"/>
      <c r="N203" s="430" t="str">
        <f t="array" aca="1" ref="N203" ca="1">INDEX('Form Import'!L:L,MATCH($A203,'Form Import'!$F:$F,0))</f>
        <v>The technology has been validated by customers and University of North Dakota, but ultimate concrete results are not present in the application or deck. The technology is not patented and is just thermal/IR imaging combined with AI to analyze the data. A direct competitor exists in Canada. Other competitors are big climate control companies.</v>
      </c>
      <c r="O203" s="430" t="str">
        <f t="array" aca="1" ref="O203" ca="1">INDEX('Form Import'!O:O,MATCH($A203,'Form Import'!$F:$F,0))</f>
        <v>Market is large-much infrastructure needs this. And the market is growing along with global warming causing more of a focus on keeping buildings efficient.</v>
      </c>
      <c r="P203" s="430" t="str">
        <f t="array" aca="1" ref="P203" ca="1">INDEX('Form Import'!S:S,MATCH($A203,'Form Import'!$F:$F,0))</f>
        <v>Founding team has 2 engineers and 1 applied economics masters level academics.</v>
      </c>
      <c r="Q203" s="430"/>
      <c r="R203" s="430"/>
      <c r="S203" s="430" t="e">
        <f t="array" aca="1" ref="S203" ca="1">_xludf.TextJoin("; ",1,INDEX(Import!S:S,MATCH(C203,Name,0)))</f>
        <v>#NAME?</v>
      </c>
    </row>
    <row r="204" spans="1:19" ht="72">
      <c r="A204" s="418" t="s">
        <v>9242</v>
      </c>
      <c r="B204" s="419" t="str">
        <f t="array" aca="1" ref="B204" ca="1">CONCATENATE(TEXT(INDEX(query!A:A,MATCH(C204,query!B:B,0)),"M/DD/YYY"),CHAR(10),INDEX(query!E:E,MATCH(C204,query!B:B,0)))</f>
        <v>8/09/2022
Invite Next Year</v>
      </c>
      <c r="C204" s="85" t="s">
        <v>9151</v>
      </c>
      <c r="D204" s="420">
        <f t="array" ref="D204">INDEX(Import!D:D,MATCH(C204,Name,0))</f>
        <v>2.5</v>
      </c>
      <c r="E204" s="421">
        <f t="array" aca="1" ref="E204" ca="1">(INDEX(Import!I:I,MATCH(C204,Name,0))+INDEX(Import!L:L,MATCH(C204,Name,0))+INDEX('Form Import'!V:V,MATCH(A204,'Form Import'!F:F,0)))/3</f>
        <v>2.3333333333333335</v>
      </c>
      <c r="F204" s="422" t="str">
        <f t="array" ref="F204">INDEX(Import!E:E,MATCH(C204,Name,0))</f>
        <v>Sensifree does advanced, continuous hemodynamic monitoring to solve inadequate patient monitoring, providing improved patient safety, reducing complications and mortality in hospital inpatients.</v>
      </c>
      <c r="G204" s="423" t="str">
        <f t="array" ref="G204">CONCATENATE(INDEX(Import!G:G,MATCH(C204,Import!C:C,0)),CHAR(10),INDEX(Import!I:I,MATCH(C204,Name,0)))</f>
        <v>Chris Mosher
2</v>
      </c>
      <c r="H204" s="424" t="str">
        <f t="array" ref="H204">INDEX(Import!H:H,MATCH(C204,Name,0))</f>
        <v>Deep Tech. Optical sensor for continuous blood pressure monitoring. No data on their clinical study? The demo just shows continuous BP monitoring with a cuff - what happens if an adverse event occurs? Tech looks very old school in the demo, but this is understandable as it integrates with existing hospital monitors. IP is well protected and they raised $14M.</v>
      </c>
      <c r="I204" s="423" t="str">
        <f t="array" ref="I204">CONCATENATE(INDEX(Import!J:J,MATCH(C204,Name,0)),CHAR(10),INDEX(Import!L:L,MATCH(C204,Name,0)))</f>
        <v>Larisa Kagermazova
3</v>
      </c>
      <c r="J204" s="424" t="str">
        <f t="array" ref="J204">INDEX(Import!K:K,MATCH(C204,Name,0))</f>
        <v>If it really gives great data, this tech might be useful for the hospitals but it is not innovative and I don't think the team is qualified to do this type of work.
Who are the advisors?</v>
      </c>
      <c r="K204" s="423" t="str">
        <f t="array" aca="1" ref="K204" ca="1">CONCATENATE(INDEX('Form Import'!D:D,MATCH(A204,'Form Import'!F:F,0)),CHAR(10),INDEX('Form Import'!V:V,MATCH(A204,'Form Import'!F:F,0)))</f>
        <v>Joshua Rubnitz
2</v>
      </c>
      <c r="L204" s="424" t="str">
        <f t="array" aca="1" ref="L204" ca="1">INDEX('Form Import'!W:W,MATCH(A204,'Form Import'!F:F,0))</f>
        <v>The product is not differentiated from existing mindfulness apps beyond being in Arabic language.
Product &amp; market insights were not well laid out in the application.</v>
      </c>
      <c r="M204" s="422"/>
      <c r="N204" s="422" t="str">
        <f t="array" aca="1" ref="N204" ca="1">INDEX('Form Import'!L:L,MATCH($A204,'Form Import'!$F:$F,0))</f>
        <v>The customer pain point is: Stress, anxiety, confusion,|Depression, sleep, self esteem, but no further information is provided. Not sure how product is differentiated beyond being in Arabic language.</v>
      </c>
      <c r="O204" s="422" t="str">
        <f t="array" aca="1" ref="O204" ca="1">INDEX('Form Import'!O:O,MATCH($A204,'Form Import'!$F:$F,0))</f>
        <v>TAM numbers not provided. They have $5K/month revenue.</v>
      </c>
      <c r="P204" s="422" t="str">
        <f t="array" aca="1" ref="P204" ca="1">INDEX('Form Import'!S:S,MATCH($A204,'Form Import'!$F:$F,0))</f>
        <v>CEO has a chemical engineering degree, is likely familiar with tech</v>
      </c>
      <c r="Q204" s="422"/>
      <c r="R204" s="422"/>
      <c r="S204" s="422" t="e">
        <f t="array" aca="1" ref="S204" ca="1">_xludf.TextJoin("; ",1,INDEX(Import!S:S,MATCH(C204,Name,0)))</f>
        <v>#NAME?</v>
      </c>
    </row>
    <row r="205" spans="1:19" ht="96">
      <c r="A205" s="425" t="s">
        <v>4907</v>
      </c>
      <c r="B205" s="426" t="str">
        <f t="array" aca="1" ref="B205" ca="1">CONCATENATE(TEXT(INDEX(query!A:A,MATCH(C205,query!B:B,0)),"M/DD/YYY"),CHAR(10),INDEX(query!E:E,MATCH(C205,query!B:B,0)))</f>
        <v>8/18/2022
Invite</v>
      </c>
      <c r="C205" s="427" t="s">
        <v>243</v>
      </c>
      <c r="D205" s="428">
        <f t="array" ref="D205">INDEX(Import!D:D,MATCH(C205,Name,0))</f>
        <v>4</v>
      </c>
      <c r="E205" s="429">
        <f t="array" aca="1" ref="E205" ca="1">(INDEX(Import!I:I,MATCH(C205,Name,0))+INDEX(Import!L:L,MATCH(C205,Name,0))+INDEX('Form Import'!V:V,MATCH(A205,'Form Import'!F:F,0)))/3</f>
        <v>3.6666666666666665</v>
      </c>
      <c r="F205" s="430" t="str">
        <f t="array" ref="F205">INDEX(Import!E:E,MATCH(C205,Name,0))</f>
        <v>Sentinel offers an intelligent guardian platform that leverages wearables, AI-based analytics, and an intuitive mobile app to assess and protect individuals working on risk-laden tasks and in dangerous environments. Capabilities include automated lone-worker notification, overexertion risk assessment, and heat-stress susceptibility alerting.</v>
      </c>
      <c r="G205" s="431" t="str">
        <f t="array" ref="G205">CONCATENATE(INDEX(Import!G:G,MATCH(C205,Import!C:C,0)),CHAR(10),INDEX(Import!I:I,MATCH(C205,Name,0)))</f>
        <v>Mark Flynn
4</v>
      </c>
      <c r="H205" s="432" t="str">
        <f t="array" ref="H205">INDEX(Import!H:H,MATCH(C205,Name,0))</f>
        <v>tech aims to save lives and has applications for the military; good indicators of initial traction; market opportunity could be small; team has good background</v>
      </c>
      <c r="I205" s="431" t="str">
        <f t="array" ref="I205">CONCATENATE(INDEX(Import!J:J,MATCH(C205,Name,0)),CHAR(10),INDEX(Import!L:L,MATCH(C205,Name,0)))</f>
        <v>Shubo (Gabriel) Xu
4</v>
      </c>
      <c r="J205" s="432" t="str">
        <f t="array" ref="J205">INDEX(Import!K:K,MATCH(C205,Name,0))</f>
        <v>+
1. advanced tech with validation
2. solid progress so far</v>
      </c>
      <c r="K205" s="431" t="str">
        <f t="array" aca="1" ref="K205" ca="1">CONCATENATE(INDEX('Form Import'!D:D,MATCH(A205,'Form Import'!F:F,0)),CHAR(10),INDEX('Form Import'!V:V,MATCH(A205,'Form Import'!F:F,0)))</f>
        <v>Joshua Rubnitz
3</v>
      </c>
      <c r="L205" s="432" t="str">
        <f t="array" aca="1" ref="L205" ca="1">INDEX('Form Import'!W:W,MATCH(A205,'Form Import'!F:F,0))</f>
        <v>The founders have picked a concise problem and are gaining market share.
They have built a platform for farmers to get insights on crop growing &amp; make data-driven decisions and ultimately cut out the middle steps in the supply chain between farmer and grocery store/consumer.
Not any inimitable tech.</v>
      </c>
      <c r="M205" s="430"/>
      <c r="N205" s="430" t="str">
        <f t="array" aca="1" ref="N205" ca="1">INDEX('Form Import'!L:L,MATCH($A205,'Form Import'!$F:$F,0))</f>
        <v>Technology is not innovative, but is software tech to a new market. They are generating revenue so customers have validated the idea.</v>
      </c>
      <c r="O205" s="430" t="str">
        <f t="array" aca="1" ref="O205" ca="1">INDEX('Form Import'!O:O,MATCH($A205,'Form Import'!$F:$F,0))</f>
        <v>They have picked a specific problem/market and are gaining traction and have a lot of room to grow in this large market.</v>
      </c>
      <c r="P205" s="430" t="str">
        <f t="array" aca="1" ref="P205" ca="1">INDEX('Form Import'!S:S,MATCH($A205,'Form Import'!$F:$F,0))</f>
        <v>Founders do not have background in comp sci or farming, but have a good business-focused background.</v>
      </c>
      <c r="Q205" s="430"/>
      <c r="R205" s="430"/>
      <c r="S205" s="430" t="e">
        <f t="array" aca="1" ref="S205" ca="1">_xludf.TextJoin("; ",1,INDEX(Import!S:S,MATCH(C205,Name,0)))</f>
        <v>#NAME?</v>
      </c>
    </row>
    <row r="206" spans="1:19" ht="108">
      <c r="A206" s="418" t="s">
        <v>13169</v>
      </c>
      <c r="B206" s="419" t="str">
        <f t="array" aca="1" ref="B206" ca="1">CONCATENATE(TEXT(INDEX(query!A:A,MATCH(C206,query!B:B,0)),"M/DD/YYY"),CHAR(10),INDEX(query!E:E,MATCH(C206,query!B:B,0)))</f>
        <v>8/23/2022
Invite</v>
      </c>
      <c r="C206" s="85" t="s">
        <v>412</v>
      </c>
      <c r="D206" s="420">
        <f t="array" ref="D206">INDEX(Import!D:D,MATCH(C206,Name,0))</f>
        <v>4</v>
      </c>
      <c r="E206" s="421">
        <f t="array" aca="1" ref="E206" ca="1">(INDEX(Import!I:I,MATCH(C206,Name,0))+INDEX(Import!L:L,MATCH(C206,Name,0))+INDEX('Form Import'!V:V,MATCH(A206,'Form Import'!F:F,0)))/3</f>
        <v>4</v>
      </c>
      <c r="F206" s="422" t="str">
        <f t="array" ref="F206">INDEX(Import!E:E,MATCH(C206,Name,0))</f>
        <v>Serenity Bioworks is developing first-in-class therapies for severe autoimmune diseases by focusing on myeloid cell biology. Serenity's lead candidate for lupus nephritis, SER-101, has shown positive effects on preserving kidney function in two LN models, NZB/W and MRL/lpr, and has been demonstrated safe/well tolerated in a phase I/IIa trial.</v>
      </c>
      <c r="G206" s="423" t="str">
        <f t="array" ref="G206">CONCATENATE(INDEX(Import!G:G,MATCH(C206,Import!C:C,0)),CHAR(10),INDEX(Import!I:I,MATCH(C206,Name,0)))</f>
        <v>Deepak Hegde
4</v>
      </c>
      <c r="H206" s="424" t="str">
        <f t="array" ref="H206">INDEX(Import!H:H,MATCH(C206,Name,0))</f>
        <v>Unmet need with no treatments.  Some positive effect data from mouse models. Competitive space.  First time founders. Their Series A may be a heavy lift.</v>
      </c>
      <c r="I206" s="423" t="str">
        <f t="array" ref="I206">CONCATENATE(INDEX(Import!J:J,MATCH(C206,Name,0)),CHAR(10),INDEX(Import!L:L,MATCH(C206,Name,0)))</f>
        <v>Tugba Oncu
4</v>
      </c>
      <c r="J206" s="424" t="str">
        <f t="array" ref="J206">INDEX(Import!K:K,MATCH(C206,Name,0))</f>
        <v>I did Lupus microbiome research, this is a very horrible disease, most of the patients develop renal disease. HspB5 binds to TLR1 myeloid cells to up-regulate gene expression involved in immune response. This is a very demanding area of research with many failures.</v>
      </c>
      <c r="K206" s="423" t="str">
        <f t="array" aca="1" ref="K206" ca="1">CONCATENATE(INDEX('Form Import'!D:D,MATCH(A206,'Form Import'!F:F,0)),CHAR(10),INDEX('Form Import'!V:V,MATCH(A206,'Form Import'!F:F,0)))</f>
        <v>Joshua Rubnitz
4</v>
      </c>
      <c r="L206" s="424" t="str">
        <f t="array" aca="1" ref="L206" ca="1">INDEX('Form Import'!W:W,MATCH(A206,'Form Import'!F:F,0))</f>
        <v>Good tech that is patent protected. Can help to bring human-machine interface to more applications and de-mystify the control of robots.
The whole pitch is very generalized. There is very little mention of specific, concrete pain points or problem solved. The product has been around for 4 years and is just beginning to generate some revenue. EFL could be essential for accelerating their business.
Both founder are full-time.</v>
      </c>
      <c r="M206" s="422"/>
      <c r="N206" s="422" t="str">
        <f t="array" aca="1" ref="N206" ca="1">INDEX('Form Import'!L:L,MATCH($A206,'Form Import'!$F:$F,0))</f>
        <v>Human-machine interface is a rapidly growing industry and currently relies on experts that are intimately familiar with the machines they are operating. Tekuma's product is much easier to use, even for patients with motor disabilities. Competitors exist, but generally use fragile moving parts, (or do not work in space) . Tekuma has patented their technology.</v>
      </c>
      <c r="O206" s="422" t="str">
        <f t="array" aca="1" ref="O206" ca="1">INDEX('Form Import'!O:O,MATCH($A206,'Form Import'!$F:$F,0))</f>
        <v>Large human-machine market and growing. Still mostly specialized applications. Although the pilot was launched in 2018, the startup has just started generating any revenue, and mostly through 1 contract.</v>
      </c>
      <c r="P206" s="422" t="str">
        <f t="array" aca="1" ref="P206" ca="1">INDEX('Form Import'!S:S,MATCH($A206,'Form Import'!$F:$F,0))</f>
        <v>One founder has MBA and the other specialized in mechatronics. Relevant experience, but no startup experience.</v>
      </c>
      <c r="Q206" s="422"/>
      <c r="R206" s="422"/>
      <c r="S206" s="422" t="e">
        <f t="array" aca="1" ref="S206" ca="1">_xludf.TextJoin("; ",1,INDEX(Import!S:S,MATCH(C206,Name,0)))</f>
        <v>#NAME?</v>
      </c>
    </row>
    <row r="207" spans="1:19" ht="108">
      <c r="A207" s="425" t="s">
        <v>906</v>
      </c>
      <c r="B207" s="426" t="str">
        <f t="array" aca="1" ref="B207" ca="1">CONCATENATE(TEXT(INDEX(query!A:A,MATCH(C207,query!B:B,0)),"M/DD/YYY"),CHAR(10),INDEX(query!E:E,MATCH(C207,query!B:B,0)))</f>
        <v>8/24/2022
Invite</v>
      </c>
      <c r="C207" s="427" t="s">
        <v>257</v>
      </c>
      <c r="D207" s="428">
        <f t="array" ref="D207">INDEX(Import!D:D,MATCH(C207,Name,0))</f>
        <v>4.25</v>
      </c>
      <c r="E207" s="429">
        <f t="array" aca="1" ref="E207" ca="1">(INDEX(Import!I:I,MATCH(C207,Name,0))+INDEX(Import!L:L,MATCH(C207,Name,0))+INDEX('Form Import'!V:V,MATCH(A207,'Form Import'!F:F,0)))/3</f>
        <v>4.5</v>
      </c>
      <c r="F207" s="430" t="str">
        <f t="array" ref="F207">INDEX(Import!E:E,MATCH(C207,Name,0))</f>
        <v>ShanX Medtech is a Dutch Deep Tech startup developing novel antibiotic efficiency testing devices to enable fast, evidence-based and personalized antibiotic care. Our devices are a must to not only avoid antibiotic overprescription and infection complications due to erroneous or delayed antibiotic care but also tackle antibiotic resistance.</v>
      </c>
      <c r="G207" s="431" t="str">
        <f t="array" ref="G207">CONCATENATE(INDEX(Import!G:G,MATCH(C207,Import!C:C,0)),CHAR(10),INDEX(Import!I:I,MATCH(C207,Name,0)))</f>
        <v>Mark Flynn
4</v>
      </c>
      <c r="H207" s="432" t="str">
        <f t="array" ref="H207">INDEX(Import!H:H,MATCH(C207,Name,0))</f>
        <v>Jennifer Tegan referral; company is very early but has good solution to what seems like a material problem; founders seem very thoughtful in how they are thinking about growing their company; despite concept stage, they would likely still be good to interview</v>
      </c>
      <c r="I207" s="431" t="str">
        <f t="array" ref="I207">CONCATENATE(INDEX(Import!J:J,MATCH(C207,Name,0)),CHAR(10),INDEX(Import!L:L,MATCH(C207,Name,0)))</f>
        <v>Chaitanya Kotcherlakota
4.5</v>
      </c>
      <c r="J207" s="432" t="str">
        <f t="array" ref="J207">INDEX(Import!K:K,MATCH(C207,Name,0))</f>
        <v>Company is in very early stage but has competitive advantage compared to other competitors. also  validated tech, and is in a process of getting a patent</v>
      </c>
      <c r="K207" s="431" t="str">
        <f t="array" aca="1" ref="K207" ca="1">CONCATENATE(INDEX('Form Import'!D:D,MATCH(A207,'Form Import'!F:F,0)),CHAR(10),INDEX('Form Import'!V:V,MATCH(A207,'Form Import'!F:F,0)))</f>
        <v>Joshua Rubnitz
5</v>
      </c>
      <c r="L207" s="432" t="str">
        <f t="array" aca="1" ref="L207" ca="1">INDEX('Form Import'!W:W,MATCH(A207,'Form Import'!F:F,0))</f>
        <v>Terecircuits has identified and addressed specific problems in back-end semi production and has room to grow to tangential applications. 
There are competitors (with some weaknesses) and this is an incredibly competitive industry in general. One competitor was acquired by Apple, but this may be a positive sign as that tech will now be exclusive to Apple.
Industry is growing because of recent events, but is very competitive. 
Founding team is (almost) entirely PhD level chemists, except for CEO. Could use EFL's network and guidance.</v>
      </c>
      <c r="M207" s="430"/>
      <c r="N207" s="430" t="str">
        <f t="array" aca="1" ref="N207" ca="1">INDEX('Form Import'!L:L,MATCH($A207,'Form Import'!$F:$F,0))</f>
        <v>The technology addresses a clear pain point for micro-led displays. 99% of semiconductor manufacturing processes are measured in seconds or minutes, but pick and place of micro-leds can take multiple days. Telecircuits's technology can bring this time down to seconds. The tech is protected by patents. Competitors do exist, but Terecircuits has identified weaknesses.</v>
      </c>
      <c r="O207" s="430" t="str">
        <f t="array" aca="1" ref="O207" ca="1">INDEX('Form Import'!O:O,MATCH($A207,'Form Import'!$F:$F,0))</f>
        <v>The semiconductor market is booming and spend with go up with the CHIPS act. Terecircuits has no customers.</v>
      </c>
      <c r="P207" s="430" t="str">
        <f t="array" aca="1" ref="P207" ca="1">INDEX('Form Import'!S:S,MATCH($A207,'Form Import'!$F:$F,0))</f>
        <v>The founders have picked a problem to start and know that to a certain point, they can expand their market share of back-end semi processes. The founders have decades of experience and PhD's in the field.</v>
      </c>
      <c r="Q207" s="430"/>
      <c r="R207" s="430"/>
      <c r="S207" s="430" t="e">
        <f t="array" aca="1" ref="S207" ca="1">_xludf.TextJoin("; ",1,INDEX(Import!S:S,MATCH(C207,Name,0)))</f>
        <v>#NAME?</v>
      </c>
    </row>
    <row r="208" spans="1:19" ht="108">
      <c r="A208" s="418" t="s">
        <v>3376</v>
      </c>
      <c r="B208" s="419" t="str">
        <f t="array" aca="1" ref="B208" ca="1">CONCATENATE(TEXT(INDEX(query!A:A,MATCH(C208,query!B:B,0)),"M/DD/YYY"),CHAR(10),INDEX(query!E:E,MATCH(C208,query!B:B,0)))</f>
        <v>8/16/2022
Invite</v>
      </c>
      <c r="C208" s="85" t="s">
        <v>295</v>
      </c>
      <c r="D208" s="420">
        <f t="array" ref="D208">INDEX(Import!D:D,MATCH(C208,Name,0))</f>
        <v>3.63</v>
      </c>
      <c r="E208" s="421">
        <f t="array" aca="1" ref="E208" ca="1">(INDEX(Import!I:I,MATCH(C208,Name,0))+INDEX(Import!L:L,MATCH(C208,Name,0))+INDEX('Form Import'!V:V,MATCH(A208,'Form Import'!F:F,0)))/3</f>
        <v>4.083333333333333</v>
      </c>
      <c r="F208" s="422" t="str">
        <f t="array" ref="F208">INDEX(Import!E:E,MATCH(C208,Name,0))</f>
        <v>ShareID provides an authentication as a service solution based on the official identity. Business can trigger in real time an ID verification, equivalent to an ID document presentation and captured with a smile. We work with fintechs, e-signature and mobility actors enabling them to create a secure and seamless UX for recurrent ID verifications.</v>
      </c>
      <c r="G208" s="423" t="str">
        <f t="array" ref="G208">CONCATENATE(INDEX(Import!G:G,MATCH(C208,Import!C:C,0)),CHAR(10),INDEX(Import!I:I,MATCH(C208,Name,0)))</f>
        <v>Beth Xie
3.75</v>
      </c>
      <c r="H208" s="424" t="str">
        <f t="array" ref="H208">INDEX(Import!H:H,MATCH(C208,Name,0))</f>
        <v>- Comprehensive ID card check and real-time person verification.  
-  Patent filed in Europe. 
- Experienced team in both technology and finance. Good team of mentors. 
- Not sure if the moat is really strong here despite the technical and design advances.
- Good fundraising.
- Slightly early on customer acquisition. Need to work more to test the market.</v>
      </c>
      <c r="I208" s="423" t="str">
        <f t="array" ref="I208">CONCATENATE(INDEX(Import!J:J,MATCH(C208,Name,0)),CHAR(10),INDEX(Import!L:L,MATCH(C208,Name,0)))</f>
        <v>Shubo (Gabriel) Xu
3.5</v>
      </c>
      <c r="J208" s="424" t="str">
        <f t="array" ref="J208">INDEX(Import!K:K,MATCH(C208,Name,0))</f>
        <v>+
1. good idea
2. strong team</v>
      </c>
      <c r="K208" s="423" t="str">
        <f t="array" aca="1" ref="K208" ca="1">CONCATENATE(INDEX('Form Import'!D:D,MATCH(A208,'Form Import'!F:F,0)),CHAR(10),INDEX('Form Import'!V:V,MATCH(A208,'Form Import'!F:F,0)))</f>
        <v>Joshua Rubnitz
5</v>
      </c>
      <c r="L208" s="424" t="str">
        <f t="array" aca="1" ref="L208" ca="1">INDEX('Form Import'!W:W,MATCH(A208,'Form Import'!F:F,0))</f>
        <v>Exceptional team that has developed a promising product still in development that leverages industry regulation and precision agriculture trends. 
TerMir has identified weaknesses with almost all other competitors in the market. Could use EFL's guidance to get a product to market quickly.</v>
      </c>
      <c r="M208" s="422"/>
      <c r="N208" s="422" t="str">
        <f t="array" aca="1" ref="N208" ca="1">INDEX('Form Import'!L:L,MATCH($A208,'Form Import'!$F:$F,0))</f>
        <v>Urgent problem. Many farmers face the balance of safe methods and still maintaining a good margin/profitability. TerMir is positioning itself with this product to address this paradigm via new tech and leveraging developing trends (precision ag).
The product is still in development phase and has no customer validation, although the product is showing promise.
TerMir has identified weaknesses with almost all other competitors in the market.</v>
      </c>
      <c r="O208" s="422" t="str">
        <f t="array" aca="1" ref="O208" ca="1">INDEX('Form Import'!O:O,MATCH($A208,'Form Import'!$F:$F,0))</f>
        <v>The product is still in development phase and has no customer validation, although the product is showing promise.
The team believes that their solution is easy to implement for customers and is an improved version of existing products that are unsafe or banned.</v>
      </c>
      <c r="P208" s="422" t="str">
        <f t="array" aca="1" ref="P208" ca="1">INDEX('Form Import'!S:S,MATCH($A208,'Form Import'!$F:$F,0))</f>
        <v>Team is very strong with a great balance of industry veterans, PhD level scientists on the board, and MBA level executives.</v>
      </c>
      <c r="Q208" s="422"/>
      <c r="R208" s="422"/>
      <c r="S208" s="422" t="e">
        <f t="array" aca="1" ref="S208" ca="1">_xludf.TextJoin("; ",1,INDEX(Import!S:S,MATCH(C208,Name,0)))</f>
        <v>#NAME?</v>
      </c>
    </row>
    <row r="209" spans="1:19" ht="84">
      <c r="A209" s="425" t="s">
        <v>13170</v>
      </c>
      <c r="B209" s="426" t="str">
        <f t="array" aca="1" ref="B209" ca="1">CONCATENATE(TEXT(INDEX(query!A:A,MATCH(C209,query!B:B,0)),"M/DD/YYY"),CHAR(10),INDEX(query!E:E,MATCH(C209,query!B:B,0)))</f>
        <v>8/16/2022
Invite Next Year</v>
      </c>
      <c r="C209" s="427" t="s">
        <v>5825</v>
      </c>
      <c r="D209" s="428">
        <f t="array" ref="D209">INDEX(Import!D:D,MATCH(C209,Name,0))</f>
        <v>2.88</v>
      </c>
      <c r="E209" s="429">
        <f t="array" aca="1" ref="E209" ca="1">(INDEX(Import!I:I,MATCH(C209,Name,0))+INDEX(Import!L:L,MATCH(C209,Name,0))+INDEX('Form Import'!V:V,MATCH(A209,'Form Import'!F:F,0)))/3</f>
        <v>3.25</v>
      </c>
      <c r="F209" s="430" t="str">
        <f t="array" ref="F209">INDEX(Import!E:E,MATCH(C209,Name,0))</f>
        <v>Shipturtle is a SaaS Tech to help ecommerce stores grow 10x by building digital Brand Partnerships &amp; create custom Vertical Marketplaces (like Amazon)</v>
      </c>
      <c r="G209" s="431" t="str">
        <f t="array" ref="G209">CONCATENATE(INDEX(Import!G:G,MATCH(C209,Import!C:C,0)),CHAR(10),INDEX(Import!I:I,MATCH(C209,Name,0)))</f>
        <v>Beth Xie
3.75</v>
      </c>
      <c r="H209" s="432" t="str">
        <f t="array" ref="H209">INDEX(Import!H:H,MATCH(C209,Name,0))</f>
        <v>- Showing traction for D2C brands. 
- Could be a solution that is used beyond India. 
- Vertical marketplace SaaS platform.  
- Should group with similar sub category in DiT to see if we should interview.</v>
      </c>
      <c r="I209" s="431" t="str">
        <f t="array" ref="I209">CONCATENATE(INDEX(Import!J:J,MATCH(C209,Name,0)),CHAR(10),INDEX(Import!L:L,MATCH(C209,Name,0)))</f>
        <v>Matt Myers
2</v>
      </c>
      <c r="J209" s="432" t="str">
        <f t="array" ref="J209">INDEX(Import!K:K,MATCH(C209,Name,0))</f>
        <v>Little information about tech itself, feels premature for EFL.</v>
      </c>
      <c r="K209" s="431" t="str">
        <f t="array" aca="1" ref="K209" ca="1">CONCATENATE(INDEX('Form Import'!D:D,MATCH(A209,'Form Import'!F:F,0)),CHAR(10),INDEX('Form Import'!V:V,MATCH(A209,'Form Import'!F:F,0)))</f>
        <v>Joshua Rubnitz
4</v>
      </c>
      <c r="L209" s="432" t="str">
        <f t="array" aca="1" ref="L209" ca="1">INDEX('Form Import'!W:W,MATCH(A209,'Form Import'!F:F,0))</f>
        <v>Terra Bioworks has developed a solution that reduces timeline of drug discovery by an order of magnitude. This saves huge costs for drug development companies.
The firm only generates 250k in revenue and has had a product since 2017, but sees multiple billion $$ in market opportunity. Needs to learn how to refine business model and/or scale faster.</v>
      </c>
      <c r="M209" s="430"/>
      <c r="N209" s="430" t="str">
        <f t="array" aca="1" ref="N209" ca="1">INDEX('Form Import'!L:L,MATCH($A209,'Form Import'!$F:$F,0))</f>
        <v>The product is more capable than any competitors. Terra Bioworks has a vertical solution that capitalizes on data science, AI, genomics, metabolomics, and proprietary
synthetic biology tools to cause a paradigm shift in the efficiencies of their customers.
Customers are 9 universities and 15 industrial clients, but revenue is still only 250k (launch was in 2017). Probably need to identify ways to make the product more profitable.</v>
      </c>
      <c r="O209" s="430" t="str">
        <f t="array" aca="1" ref="O209" ca="1">INDEX('Form Import'!O:O,MATCH($A209,'Form Import'!$F:$F,0))</f>
        <v>Company is generating 250k in revenue at 9 universities and 15 industrial clients. The value generation is in saving their customers cost of development in drugs. Need to figure out how to capture more of this value.</v>
      </c>
      <c r="P209" s="430" t="str">
        <f t="array" aca="1" ref="P209" ca="1">INDEX('Form Import'!S:S,MATCH($A209,'Form Import'!$F:$F,0))</f>
        <v>Good business and technical team with relevant experience building companies in this space before.</v>
      </c>
      <c r="Q209" s="430"/>
      <c r="R209" s="430"/>
      <c r="S209" s="430" t="e">
        <f t="array" aca="1" ref="S209" ca="1">_xludf.TextJoin("; ",1,INDEX(Import!S:S,MATCH(C209,Name,0)))</f>
        <v>#NAME?</v>
      </c>
    </row>
    <row r="210" spans="1:19" ht="72">
      <c r="A210" s="418" t="s">
        <v>3386</v>
      </c>
      <c r="B210" s="419" t="str">
        <f t="array" aca="1" ref="B210" ca="1">CONCATENATE(TEXT(INDEX(query!A:A,MATCH(C210,query!B:B,0)),"M/DD/YYY"),CHAR(10),INDEX(query!E:E,MATCH(C210,query!B:B,0)))</f>
        <v>8/18/2022
Invite Next Year</v>
      </c>
      <c r="C210" s="85" t="s">
        <v>3277</v>
      </c>
      <c r="D210" s="420">
        <f t="array" ref="D210">INDEX(Import!D:D,MATCH(C210,Name,0))</f>
        <v>3</v>
      </c>
      <c r="E210" s="421">
        <f t="array" aca="1" ref="E210" ca="1">(INDEX(Import!I:I,MATCH(C210,Name,0))+INDEX(Import!L:L,MATCH(C210,Name,0))+INDEX('Form Import'!V:V,MATCH(A210,'Form Import'!F:F,0)))/3</f>
        <v>3</v>
      </c>
      <c r="F210" s="422" t="str">
        <f t="array" ref="F210">INDEX(Import!E:E,MATCH(C210,Name,0))</f>
        <v>Shortcut Robotics is a telepresence robot manufacturer, seller, and rental provider. Our robots are driveable video calls that enable both the remote user and those near the robot to feel like they are interacting in a way that resembles actually being there.</v>
      </c>
      <c r="G210" s="423" t="str">
        <f t="array" ref="G210">CONCATENATE(INDEX(Import!G:G,MATCH(C210,Import!C:C,0)),CHAR(10),INDEX(Import!I:I,MATCH(C210,Name,0)))</f>
        <v>Khoa Ma
3</v>
      </c>
      <c r="H210" s="424" t="str">
        <f t="array" ref="H210">INDEX(Import!H:H,MATCH(C210,Name,0))</f>
        <v>telepresence robot manufacturer
robot monitor that can move with a remote anywhere
larger player already have product in the market like BEAM</v>
      </c>
      <c r="I210" s="423" t="str">
        <f t="array" ref="I210">CONCATENATE(INDEX(Import!J:J,MATCH(C210,Name,0)),CHAR(10),INDEX(Import!L:L,MATCH(C210,Name,0)))</f>
        <v>Sriharsha Indupuru
3</v>
      </c>
      <c r="J210" s="424" t="str">
        <f t="array" ref="J210">INDEX(Import!K:K,MATCH(C210,Name,0))</f>
        <v>+A telepresence robot manufacturer, seller, and rental provider
-Competitors have working models in the market
&gt; Can look for next year I feel it is early to come to EFL this year
- Founder self-taught P courses</v>
      </c>
      <c r="K210" s="423" t="str">
        <f t="array" aca="1" ref="K210" ca="1">CONCATENATE(INDEX('Form Import'!D:D,MATCH(A210,'Form Import'!F:F,0)),CHAR(10),INDEX('Form Import'!V:V,MATCH(A210,'Form Import'!F:F,0)))</f>
        <v>Joshua Rubnitz
3</v>
      </c>
      <c r="L210" s="424" t="str">
        <f t="array" aca="1" ref="L210" ca="1">INDEX('Form Import'!W:W,MATCH(A210,'Form Import'!F:F,0))</f>
        <v>Novel application of CO2 recycling technology that is already well documented. Business model is not very clear in the application.
Founder has zoned in on a particular customer pain point and applied a cutting edge, but already existing, technology. Trying to patent the application of this tech.</v>
      </c>
      <c r="M210" s="422"/>
      <c r="N210" s="422" t="str">
        <f t="array" aca="1" ref="N210" ca="1">INDEX('Form Import'!L:L,MATCH($A210,'Form Import'!$F:$F,0))</f>
        <v>Very important to modernize steel production as it contributes so much to greenhouse gas emissions. Current attempts by the steel industry cost 4x more than current steel. 
The tech is not the whole plant, but the application of CO2 capture and conversion. Terra will keep the rights to the energy produced as a byproduct.</v>
      </c>
      <c r="O210" s="422" t="str">
        <f t="array" aca="1" ref="O210" ca="1">INDEX('Form Import'!O:O,MATCH($A210,'Form Import'!$F:$F,0))</f>
        <v>No paying customers yet. The market for steel is huge, but it is a very competitive industry where buyers will not overpay for steel or fuel. Cannot significantly increase costs, but also this may decrease costs.
Possible that this tech can decrease costs, but not clear from the application.</v>
      </c>
      <c r="P210" s="422" t="str">
        <f t="array" aca="1" ref="P210" ca="1">INDEX('Form Import'!S:S,MATCH($A210,'Form Import'!$F:$F,0))</f>
        <v>Not much info on the team is provided.</v>
      </c>
      <c r="Q210" s="422"/>
      <c r="R210" s="422"/>
      <c r="S210" s="422" t="e">
        <f t="array" aca="1" ref="S210" ca="1">_xludf.TextJoin("; ",1,INDEX(Import!S:S,MATCH(C210,Name,0)))</f>
        <v>#NAME?</v>
      </c>
    </row>
    <row r="211" spans="1:19" ht="96">
      <c r="A211" s="425" t="s">
        <v>3394</v>
      </c>
      <c r="B211" s="426" t="str">
        <f t="array" aca="1" ref="B211" ca="1">CONCATENATE(TEXT(INDEX(query!A:A,MATCH(C211,query!B:B,0)),"M/DD/YYY"),CHAR(10),INDEX(query!E:E,MATCH(C211,query!B:B,0)))</f>
        <v>8/09/2022
Invite</v>
      </c>
      <c r="C211" s="427" t="s">
        <v>414</v>
      </c>
      <c r="D211" s="428">
        <f t="array" ref="D211">INDEX(Import!D:D,MATCH(C211,Name,0))</f>
        <v>4.25</v>
      </c>
      <c r="E211" s="429">
        <f t="array" aca="1" ref="E211" ca="1">(INDEX(Import!I:I,MATCH(C211,Name,0))+INDEX(Import!L:L,MATCH(C211,Name,0))+INDEX('Form Import'!V:V,MATCH(A211,'Form Import'!F:F,0)))/3</f>
        <v>3.8333333333333335</v>
      </c>
      <c r="F211" s="430" t="str">
        <f t="array" ref="F211">INDEX(Import!E:E,MATCH(C211,Name,0))</f>
        <v>SignPost Cancer Dx Inc, is developing ?at home? diagnostic blood tests for cancer.  The first test will be an early screen for breast cancer. Current breast cancer diagnostics for women are painful, costly and inaccurate, especially for stage 1 cancers.</v>
      </c>
      <c r="G211" s="431" t="str">
        <f t="array" ref="G211">CONCATENATE(INDEX(Import!G:G,MATCH(C211,Import!C:C,0)),CHAR(10),INDEX(Import!I:I,MATCH(C211,Name,0)))</f>
        <v>Chris Mosher
4.5</v>
      </c>
      <c r="H211" s="432" t="str">
        <f t="array" ref="H211">INDEX(Import!H:H,MATCH(C211,Name,0))</f>
        <v>Uses a 1 mL blood test for epigenetic biomarkers to detect breast cancer with with 98.5% specificity (1.5% false positive))  and 98.5% sensitivity (1.5% false negative) - much better than SOC, mammography, which is 7-15%. Have 3% false negative in lung cancer, still optimizing. Applied last year, and have since refined their business model, developed microfluidic chip to evaluate 1 mL blood, and the FDA approved capillary blood draws. All-star team, but all founders are all part-time: need to ask about this in the interview.</v>
      </c>
      <c r="I211" s="431" t="str">
        <f t="array" ref="I211">CONCATENATE(INDEX(Import!J:J,MATCH(C211,Name,0)),CHAR(10),INDEX(Import!L:L,MATCH(C211,Name,0)))</f>
        <v>Tugba Oncu
4</v>
      </c>
      <c r="J211" s="432">
        <f t="array" ref="J211">INDEX(Import!K:K,MATCH(C211,Name,0))</f>
        <v>0</v>
      </c>
      <c r="K211" s="431" t="str">
        <f t="array" aca="1" ref="K211" ca="1">CONCATENATE(INDEX('Form Import'!D:D,MATCH(A211,'Form Import'!F:F,0)),CHAR(10),INDEX('Form Import'!V:V,MATCH(A211,'Form Import'!F:F,0)))</f>
        <v>Joshua Rubnitz
3</v>
      </c>
      <c r="L211" s="432" t="str">
        <f t="array" aca="1" ref="L211" ca="1">INDEX('Form Import'!W:W,MATCH(A211,'Form Import'!F:F,0))</f>
        <v>Impressive team in a decent market, but not much inimitable tech. 
The data sourcing tool can be trained on a per-user basis so that customers are only seeing relevant, need-to-know information and possibly save time.</v>
      </c>
      <c r="M211" s="430"/>
      <c r="N211" s="430" t="str">
        <f t="array" aca="1" ref="N211" ca="1">INDEX('Form Import'!L:L,MATCH($A211,'Form Import'!$F:$F,0))</f>
        <v>Customer insights showed the founders that 52% of investors are dissatisfied with the financial newsfeed format.
There is little new tech here other than a trainable news sourcing platform. 
"Cannot be patented"</v>
      </c>
      <c r="O211" s="430" t="str">
        <f t="array" aca="1" ref="O211" ca="1">INDEX('Form Import'!O:O,MATCH($A211,'Form Import'!$F:$F,0))</f>
        <v>1-10 customers with 50k ARR.  Estimated 'data augmentation' market of about 1bn in financial sector.</v>
      </c>
      <c r="P211" s="430" t="str">
        <f t="array" aca="1" ref="P211" ca="1">INDEX('Form Import'!S:S,MATCH($A211,'Form Import'!$F:$F,0))</f>
        <v>Founders with relevant education and good backgrounds. First startup, but founder has started charitable organizations before with success.</v>
      </c>
      <c r="Q211" s="430"/>
      <c r="R211" s="430"/>
      <c r="S211" s="430" t="e">
        <f t="array" aca="1" ref="S211" ca="1">_xludf.TextJoin("; ",1,INDEX(Import!S:S,MATCH(C211,Name,0)))</f>
        <v>#NAME?</v>
      </c>
    </row>
    <row r="212" spans="1:19" ht="60">
      <c r="A212" s="418" t="s">
        <v>3412</v>
      </c>
      <c r="B212" s="419" t="str">
        <f t="array" aca="1" ref="B212" ca="1">CONCATENATE(TEXT(INDEX(query!A:A,MATCH(C212,query!B:B,0)),"M/DD/YYY"),CHAR(10),INDEX(query!E:E,MATCH(C212,query!B:B,0)))</f>
        <v>8/11/2022
Invite</v>
      </c>
      <c r="C212" s="85" t="s">
        <v>124</v>
      </c>
      <c r="D212" s="420">
        <f t="array" ref="D212">INDEX(Import!D:D,MATCH(C212,Name,0))</f>
        <v>4</v>
      </c>
      <c r="E212" s="421">
        <f t="array" aca="1" ref="E212" ca="1">(INDEX(Import!I:I,MATCH(C212,Name,0))+INDEX(Import!L:L,MATCH(C212,Name,0))+INDEX('Form Import'!V:V,MATCH(A212,'Form Import'!F:F,0)))/3</f>
        <v>3.6666666666666665</v>
      </c>
      <c r="F212" s="422" t="str">
        <f t="array" ref="F212">INDEX(Import!E:E,MATCH(C212,Name,0))</f>
        <v>Solaires has developed a patent-pending perovskite Solar InkTM that replaces silicon in solar cells to help solar cell manufacturers meet market demands for applications that require flexible solar cells. Unlike silicon, perovskite solar cells are flexible, lighter, can generate upto 2x times more power, and provide a greater range of applications.</v>
      </c>
      <c r="G212" s="423" t="str">
        <f t="array" ref="G212">CONCATENATE(INDEX(Import!G:G,MATCH(C212,Import!C:C,0)),CHAR(10),INDEX(Import!I:I,MATCH(C212,Name,0)))</f>
        <v>Khoa Ma
4</v>
      </c>
      <c r="H212" s="424" t="str">
        <f t="array" ref="H212">INDEX(Import!H:H,MATCH(C212,Name,0))</f>
        <v>perovskite solar cells
applied last year closed round and has 120 leads on a weighted sales pipeline of over $4M
can be applied to many surfaces as it's flexible and light
need to take into the real world</v>
      </c>
      <c r="I212" s="423" t="str">
        <f t="array" ref="I212">CONCATENATE(INDEX(Import!J:J,MATCH(C212,Name,0)),CHAR(10),INDEX(Import!L:L,MATCH(C212,Name,0)))</f>
        <v>Arthur Ibanda
4</v>
      </c>
      <c r="J212" s="424" t="str">
        <f t="array" ref="J212">INDEX(Import!K:K,MATCH(C212,Name,0))</f>
        <v>+Well developed and credible team
+Novel technology
+Large potential market</v>
      </c>
      <c r="K212" s="423" t="str">
        <f t="array" aca="1" ref="K212" ca="1">CONCATENATE(INDEX('Form Import'!D:D,MATCH(A212,'Form Import'!F:F,0)),CHAR(10),INDEX('Form Import'!V:V,MATCH(A212,'Form Import'!F:F,0)))</f>
        <v>John McDonald
3</v>
      </c>
      <c r="L212" s="424">
        <f t="array" aca="1" ref="L212" ca="1">INDEX('Form Import'!W:W,MATCH(A212,'Form Import'!F:F,0))</f>
        <v>0</v>
      </c>
      <c r="M212" s="422"/>
      <c r="N212" s="422">
        <f t="array" aca="1" ref="N212" ca="1">INDEX('Form Import'!L:L,MATCH($A212,'Form Import'!$F:$F,0))</f>
        <v>0</v>
      </c>
      <c r="O212" s="422">
        <f t="array" aca="1" ref="O212" ca="1">INDEX('Form Import'!O:O,MATCH($A212,'Form Import'!$F:$F,0))</f>
        <v>0</v>
      </c>
      <c r="P212" s="422">
        <f t="array" aca="1" ref="P212" ca="1">INDEX('Form Import'!S:S,MATCH($A212,'Form Import'!$F:$F,0))</f>
        <v>0</v>
      </c>
      <c r="Q212" s="422"/>
      <c r="R212" s="422"/>
      <c r="S212" s="422" t="e">
        <f t="array" aca="1" ref="S212" ca="1">_xludf.TextJoin("; ",1,INDEX(Import!S:S,MATCH(C212,Name,0)))</f>
        <v>#NAME?</v>
      </c>
    </row>
    <row r="213" spans="1:19" ht="96">
      <c r="A213" s="425" t="s">
        <v>4420</v>
      </c>
      <c r="B213" s="426" t="str">
        <f t="array" aca="1" ref="B213" ca="1">CONCATENATE(TEXT(INDEX(query!A:A,MATCH(C213,query!B:B,0)),"M/DD/YYY"),CHAR(10),INDEX(query!E:E,MATCH(C213,query!B:B,0)))</f>
        <v>8/23/2022
Invite Next Year</v>
      </c>
      <c r="C213" s="427" t="s">
        <v>9186</v>
      </c>
      <c r="D213" s="428">
        <f t="array" ref="D213">INDEX(Import!D:D,MATCH(C213,Name,0))</f>
        <v>3.75</v>
      </c>
      <c r="E213" s="429">
        <f t="array" aca="1" ref="E213" ca="1">(INDEX(Import!I:I,MATCH(C213,Name,0))+INDEX(Import!L:L,MATCH(C213,Name,0))+INDEX('Form Import'!V:V,MATCH(A213,'Form Import'!F:F,0)))/3</f>
        <v>4.166666666666667</v>
      </c>
      <c r="F213" s="430" t="str">
        <f t="array" ref="F213">INDEX(Import!E:E,MATCH(C213,Name,0))</f>
        <v>SonoStik has developed a novel technology for clinicians to eliminate the problem of difficult intravenous access, while providing patients with a more pleasant experience.</v>
      </c>
      <c r="G213" s="431" t="str">
        <f t="array" ref="G213">CONCATENATE(INDEX(Import!G:G,MATCH(C213,Import!C:C,0)),CHAR(10),INDEX(Import!I:I,MATCH(C213,Name,0)))</f>
        <v>Deepak Hegde
3.5</v>
      </c>
      <c r="H213" s="432" t="str">
        <f t="array" ref="H213">INDEX(Import!H:H,MATCH(C213,Name,0))</f>
        <v>Solid tech and team, but too niche for the EFL.</v>
      </c>
      <c r="I213" s="431" t="str">
        <f t="array" ref="I213">CONCATENATE(INDEX(Import!J:J,MATCH(C213,Name,0)),CHAR(10),INDEX(Import!L:L,MATCH(C213,Name,0)))</f>
        <v>Parsa Amiri
4</v>
      </c>
      <c r="J213" s="432" t="str">
        <f t="array" ref="J213">INDEX(Import!K:K,MATCH(C213,Name,0))</f>
        <v>Deep Tech. Ultrasound-guided device for IV injection, and increasing the success rate of procedure. FDA-approved. Clinical studies with 200 patients.
6 patents. Good team.
Want to know more about the price estimation of their product, because on one hand it is reducing labor cost(which is the major cost of process), but on the other hand it is offering a more expensive device.</v>
      </c>
      <c r="K213" s="431" t="str">
        <f t="array" aca="1" ref="K213" ca="1">CONCATENATE(INDEX('Form Import'!D:D,MATCH(A213,'Form Import'!F:F,0)),CHAR(10),INDEX('Form Import'!V:V,MATCH(A213,'Form Import'!F:F,0)))</f>
        <v>John McDonald
5</v>
      </c>
      <c r="L213" s="432">
        <f t="array" aca="1" ref="L213" ca="1">INDEX('Form Import'!W:W,MATCH(A213,'Form Import'!F:F,0))</f>
        <v>0</v>
      </c>
      <c r="M213" s="430"/>
      <c r="N213" s="430">
        <f t="array" aca="1" ref="N213" ca="1">INDEX('Form Import'!L:L,MATCH($A213,'Form Import'!$F:$F,0))</f>
        <v>0</v>
      </c>
      <c r="O213" s="430">
        <f t="array" aca="1" ref="O213" ca="1">INDEX('Form Import'!O:O,MATCH($A213,'Form Import'!$F:$F,0))</f>
        <v>0</v>
      </c>
      <c r="P213" s="430">
        <f t="array" aca="1" ref="P213" ca="1">INDEX('Form Import'!S:S,MATCH($A213,'Form Import'!$F:$F,0))</f>
        <v>0</v>
      </c>
      <c r="Q213" s="430"/>
      <c r="R213" s="430"/>
      <c r="S213" s="430" t="e">
        <f t="array" aca="1" ref="S213" ca="1">_xludf.TextJoin("; ",1,INDEX(Import!S:S,MATCH(C213,Name,0)))</f>
        <v>#NAME?</v>
      </c>
    </row>
    <row r="214" spans="1:19" ht="28">
      <c r="A214" s="418" t="s">
        <v>9257</v>
      </c>
      <c r="B214" s="419" t="str">
        <f t="array" aca="1" ref="B214" ca="1">CONCATENATE(TEXT(INDEX(query!A:A,MATCH(C214,query!B:B,0)),"M/DD/YYY"),CHAR(10),INDEX(query!E:E,MATCH(C214,query!B:B,0)))</f>
        <v>8/03/2022
Invite Next Year</v>
      </c>
      <c r="C214" s="85" t="s">
        <v>9195</v>
      </c>
      <c r="D214" s="420">
        <f t="array" ref="D214">INDEX(Import!D:D,MATCH(C214,Name,0))</f>
        <v>1</v>
      </c>
      <c r="E214" s="421">
        <f t="array" aca="1" ref="E214" ca="1">(INDEX(Import!I:I,MATCH(C214,Name,0))+INDEX(Import!L:L,MATCH(C214,Name,0))+INDEX('Form Import'!V:V,MATCH(A214,'Form Import'!F:F,0)))/3</f>
        <v>2</v>
      </c>
      <c r="F214" s="422" t="str">
        <f t="array" ref="F214">INDEX(Import!E:E,MATCH(C214,Name,0))</f>
        <v>The name of the startup is, " Southern Dairy Products". We will be producing dairy products from the milk( raw materials) collected from vulnerable farmers practising livestock Production"climate smart" agriculture.
My target customers are families with children and will be providing them with fresh and nutritious dairy products.</v>
      </c>
      <c r="G214" s="423" t="str">
        <f t="array" ref="G214">CONCATENATE(INDEX(Import!G:G,MATCH(C214,Import!C:C,0)),CHAR(10),INDEX(Import!I:I,MATCH(C214,Name,0)))</f>
        <v>Chris Mosher
1</v>
      </c>
      <c r="H214" s="424">
        <f t="array" ref="H214">INDEX(Import!H:H,MATCH(C214,Name,0))</f>
        <v>0</v>
      </c>
      <c r="I214" s="423" t="str">
        <f t="array" ref="I214">CONCATENATE(INDEX(Import!J:J,MATCH(C214,Name,0)),CHAR(10),INDEX(Import!L:L,MATCH(C214,Name,0)))</f>
        <v>Parsa Amiri
1</v>
      </c>
      <c r="J214" s="424">
        <f t="array" ref="J214">INDEX(Import!K:K,MATCH(C214,Name,0))</f>
        <v>0</v>
      </c>
      <c r="K214" s="423" t="str">
        <f t="array" aca="1" ref="K214" ca="1">CONCATENATE(INDEX('Form Import'!D:D,MATCH(A214,'Form Import'!F:F,0)),CHAR(10),INDEX('Form Import'!V:V,MATCH(A214,'Form Import'!F:F,0)))</f>
        <v>John McDonald
4</v>
      </c>
      <c r="L214" s="424">
        <f t="array" aca="1" ref="L214" ca="1">INDEX('Form Import'!W:W,MATCH(A214,'Form Import'!F:F,0))</f>
        <v>0</v>
      </c>
      <c r="M214" s="422"/>
      <c r="N214" s="422">
        <f t="array" aca="1" ref="N214" ca="1">INDEX('Form Import'!L:L,MATCH($A214,'Form Import'!$F:$F,0))</f>
        <v>0</v>
      </c>
      <c r="O214" s="422">
        <f t="array" aca="1" ref="O214" ca="1">INDEX('Form Import'!O:O,MATCH($A214,'Form Import'!$F:$F,0))</f>
        <v>0</v>
      </c>
      <c r="P214" s="422">
        <f t="array" aca="1" ref="P214" ca="1">INDEX('Form Import'!S:S,MATCH($A214,'Form Import'!$F:$F,0))</f>
        <v>0</v>
      </c>
      <c r="Q214" s="422"/>
      <c r="R214" s="422"/>
      <c r="S214" s="422" t="e">
        <f t="array" aca="1" ref="S214" ca="1">_xludf.TextJoin("; ",1,INDEX(Import!S:S,MATCH(C214,Name,0)))</f>
        <v>#NAME?</v>
      </c>
    </row>
    <row r="215" spans="1:19" ht="84">
      <c r="A215" s="425" t="s">
        <v>10079</v>
      </c>
      <c r="B215" s="426" t="str">
        <f t="array" aca="1" ref="B215" ca="1">CONCATENATE(TEXT(INDEX(query!A:A,MATCH(C215,query!B:B,0)),"M/DD/YYY"),CHAR(10),INDEX(query!E:E,MATCH(C215,query!B:B,0)))</f>
        <v>8/11/2022
Invite</v>
      </c>
      <c r="C215" s="427" t="s">
        <v>258</v>
      </c>
      <c r="D215" s="428">
        <f t="array" ref="D215">INDEX(Import!D:D,MATCH(C215,Name,0))</f>
        <v>4.5</v>
      </c>
      <c r="E215" s="429">
        <f t="array" aca="1" ref="E215" ca="1">(INDEX(Import!I:I,MATCH(C215,Name,0))+INDEX(Import!L:L,MATCH(C215,Name,0))+INDEX('Form Import'!V:V,MATCH(A215,'Form Import'!F:F,0)))/3</f>
        <v>4.333333333333333</v>
      </c>
      <c r="F215" s="430" t="str">
        <f t="array" ref="F215">INDEX(Import!E:E,MATCH(C215,Name,0))</f>
        <v>SparkAI helps robotics &amp; automation products deploy and scale faster. AI is hard to perfect ? edge cases are the most expensive barriers for companies bringing autonomous systems to market. Our platform injects human cognition into AI workflows to solve edge cases in real-time allowing AI teams to launch revolutionary products.</v>
      </c>
      <c r="G215" s="431" t="str">
        <f t="array" ref="G215">CONCATENATE(INDEX(Import!G:G,MATCH(C215,Import!C:C,0)),CHAR(10),INDEX(Import!I:I,MATCH(C215,Name,0)))</f>
        <v>Khoa Ma
5</v>
      </c>
      <c r="H215" s="432" t="str">
        <f t="array" ref="H215">INDEX(Import!H:H,MATCH(C215,Name,0))</f>
        <v>DiT
facilitates building and executing software bots powered by AI  (i.e quality control and automat applications in a live environment)
Raised $6M
Good team
Has market and customer
Sold last company to Amazon</v>
      </c>
      <c r="I215" s="431" t="str">
        <f t="array" ref="I215">CONCATENATE(INDEX(Import!J:J,MATCH(C215,Name,0)),CHAR(10),INDEX(Import!L:L,MATCH(C215,Name,0)))</f>
        <v>Arthur Ibanda
4</v>
      </c>
      <c r="J215" s="432" t="str">
        <f t="array" ref="J215">INDEX(Import!K:K,MATCH(C215,Name,0))</f>
        <v>+Revenue is $803,000
+Team has industry experience
+Clear pain point
~Not all team members listed</v>
      </c>
      <c r="K215" s="431" t="str">
        <f t="array" aca="1" ref="K215" ca="1">CONCATENATE(INDEX('Form Import'!D:D,MATCH(A215,'Form Import'!F:F,0)),CHAR(10),INDEX('Form Import'!V:V,MATCH(A215,'Form Import'!F:F,0)))</f>
        <v>John McDonald
4</v>
      </c>
      <c r="L215" s="432">
        <f t="array" aca="1" ref="L215" ca="1">INDEX('Form Import'!W:W,MATCH(A215,'Form Import'!F:F,0))</f>
        <v>0</v>
      </c>
      <c r="M215" s="430"/>
      <c r="N215" s="430">
        <f t="array" aca="1" ref="N215" ca="1">INDEX('Form Import'!L:L,MATCH($A215,'Form Import'!$F:$F,0))</f>
        <v>0</v>
      </c>
      <c r="O215" s="430">
        <f t="array" aca="1" ref="O215" ca="1">INDEX('Form Import'!O:O,MATCH($A215,'Form Import'!$F:$F,0))</f>
        <v>0</v>
      </c>
      <c r="P215" s="430">
        <f t="array" aca="1" ref="P215" ca="1">INDEX('Form Import'!S:S,MATCH($A215,'Form Import'!$F:$F,0))</f>
        <v>0</v>
      </c>
      <c r="Q215" s="430"/>
      <c r="R215" s="430"/>
      <c r="S215" s="430" t="e">
        <f t="array" aca="1" ref="S215" ca="1">_xludf.TextJoin("; ",1,INDEX(Import!S:S,MATCH(C215,Name,0)))</f>
        <v>#NAME?</v>
      </c>
    </row>
    <row r="216" spans="1:19" ht="48">
      <c r="A216" s="418" t="s">
        <v>13171</v>
      </c>
      <c r="B216" s="419" t="str">
        <f t="array" aca="1" ref="B216" ca="1">CONCATENATE(TEXT(INDEX(query!A:A,MATCH(C216,query!B:B,0)),"M/DD/YYY"),CHAR(10),INDEX(query!E:E,MATCH(C216,query!B:B,0)))</f>
        <v>8/03/2022
Invite</v>
      </c>
      <c r="C216" s="85" t="s">
        <v>394</v>
      </c>
      <c r="D216" s="420">
        <f t="array" ref="D216">INDEX(Import!D:D,MATCH(C216,Name,0))</f>
        <v>4</v>
      </c>
      <c r="E216" s="421">
        <f t="array" aca="1" ref="E216" ca="1">(INDEX(Import!I:I,MATCH(C216,Name,0))+INDEX(Import!L:L,MATCH(C216,Name,0))+INDEX('Form Import'!V:V,MATCH(A216,'Form Import'!F:F,0)))/3</f>
        <v>3.3333333333333335</v>
      </c>
      <c r="F216" s="422" t="str">
        <f t="array" ref="F216">INDEX(Import!E:E,MATCH(C216,Name,0))</f>
        <v>SPG Therapeutics was founded to disrupt the way dermatologists treat common but debilitating hormonal skin diseases. Our lead indication, the debilitating disease hidradenitis suppurativa (HS), has no approved topical therapies. We are developing a novel topical therapy for HS and related conditions that represent a $13B+ opportunity.</v>
      </c>
      <c r="G216" s="423" t="str">
        <f t="array" ref="G216">CONCATENATE(INDEX(Import!G:G,MATCH(C216,Import!C:C,0)),CHAR(10),INDEX(Import!I:I,MATCH(C216,Name,0)))</f>
        <v>Chris Mosher
4</v>
      </c>
      <c r="H216" s="424" t="str">
        <f t="array" ref="H216">INDEX(Import!H:H,MATCH(C216,Name,0))</f>
        <v>Clin/Reg. advisor is ex-NYU Director of Dermatopharmacology.</v>
      </c>
      <c r="I216" s="423" t="str">
        <f t="array" ref="I216">CONCATENATE(INDEX(Import!J:J,MATCH(C216,Name,0)),CHAR(10),INDEX(Import!L:L,MATCH(C216,Name,0)))</f>
        <v>Tugba Oncu
4</v>
      </c>
      <c r="J216" s="424">
        <f t="array" ref="J216">INDEX(Import!K:K,MATCH(C216,Name,0))</f>
        <v>0</v>
      </c>
      <c r="K216" s="423" t="str">
        <f t="array" aca="1" ref="K216" ca="1">CONCATENATE(INDEX('Form Import'!D:D,MATCH(A216,'Form Import'!F:F,0)),CHAR(10),INDEX('Form Import'!V:V,MATCH(A216,'Form Import'!F:F,0)))</f>
        <v>Nick Schmandt
2</v>
      </c>
      <c r="L216" s="424" t="str">
        <f t="array" aca="1" ref="L216" ca="1">INDEX('Form Import'!W:W,MATCH(A216,'Form Import'!F:F,0))</f>
        <v>It's a great idea, but I just don't see the market for something like this to go large scale anytime soon. The lack of funding thus far reflects that. If other industry sponsors could be obtained, that would certainly help.</v>
      </c>
      <c r="M216" s="422"/>
      <c r="N216" s="422" t="str">
        <f t="array" aca="1" ref="N216" ca="1">INDEX('Form Import'!L:L,MATCH($A216,'Form Import'!$F:$F,0))</f>
        <v>This is not really very revolutionary, though it is a cool idea.</v>
      </c>
      <c r="O216" s="422" t="str">
        <f t="array" aca="1" ref="O216" ca="1">INDEX('Form Import'!O:O,MATCH($A216,'Form Import'!$F:$F,0))</f>
        <v>Only one corporation is producing revenue</v>
      </c>
      <c r="P216" s="422" t="str">
        <f t="array" aca="1" ref="P216" ca="1">INDEX('Form Import'!S:S,MATCH($A216,'Form Import'!$F:$F,0))</f>
        <v>Team is small but suitable for this role</v>
      </c>
      <c r="Q216" s="422"/>
      <c r="R216" s="422"/>
      <c r="S216" s="422" t="e">
        <f t="array" aca="1" ref="S216" ca="1">_xludf.TextJoin("; ",1,INDEX(Import!S:S,MATCH(C216,Name,0)))</f>
        <v>#NAME?</v>
      </c>
    </row>
    <row r="217" spans="1:19" ht="60">
      <c r="A217" s="425" t="s">
        <v>4103</v>
      </c>
      <c r="B217" s="426" t="str">
        <f t="array" aca="1" ref="B217" ca="1">CONCATENATE(TEXT(INDEX(query!A:A,MATCH(C217,query!B:B,0)),"M/DD/YYY"),CHAR(10),INDEX(query!E:E,MATCH(C217,query!B:B,0)))</f>
        <v>8/03/2022
Revisit/ Cluster</v>
      </c>
      <c r="C217" s="427" t="s">
        <v>288</v>
      </c>
      <c r="D217" s="428">
        <f t="array" ref="D217">INDEX(Import!D:D,MATCH(C217,Name,0))</f>
        <v>3.75</v>
      </c>
      <c r="E217" s="429">
        <f t="array" aca="1" ref="E217" ca="1">(INDEX(Import!I:I,MATCH(C217,Name,0))+INDEX(Import!L:L,MATCH(C217,Name,0))+INDEX('Form Import'!V:V,MATCH(A217,'Form Import'!F:F,0)))/3</f>
        <v>3.5</v>
      </c>
      <c r="F217" s="430" t="str">
        <f t="array" ref="F217">INDEX(Import!E:E,MATCH(C217,Name,0))</f>
        <v>Spiky.ai provides advanced EQ intelligence on audio and video sources collected from meetings and calls to companies to connect their human-metrics with their hard-metrics of interest. Disney uses spiky to optimize employee engagement, udemy uses spiky to increase average view times.</v>
      </c>
      <c r="G217" s="431" t="str">
        <f t="array" ref="G217">CONCATENATE(INDEX(Import!G:G,MATCH(C217,Import!C:C,0)),CHAR(10),INDEX(Import!I:I,MATCH(C217,Name,0)))</f>
        <v>Khoa Ma
3.5</v>
      </c>
      <c r="H217" s="432" t="str">
        <f t="array" ref="H217">INDEX(Import!H:H,MATCH(C217,Name,0))</f>
        <v>DiT startup invite to interview if best of class. They need to scale out their data and capture big partners</v>
      </c>
      <c r="I217" s="431" t="str">
        <f t="array" ref="I217">CONCATENATE(INDEX(Import!J:J,MATCH(C217,Name,0)),CHAR(10),INDEX(Import!L:L,MATCH(C217,Name,0)))</f>
        <v>Sriharsha Indupuru
4</v>
      </c>
      <c r="J217" s="432" t="str">
        <f t="array" ref="J217">INDEX(Import!K:K,MATCH(C217,Name,0))</f>
        <v>+ ML model-based platform to generate human metric data for analysing and improving team performances and efficiency 
+ Having a working model of the product
- working on complex pain areas (understanding the human metrics through meetings &amp; calls and giving analysis on them)</v>
      </c>
      <c r="K217" s="431" t="str">
        <f t="array" aca="1" ref="K217" ca="1">CONCATENATE(INDEX('Form Import'!D:D,MATCH(A217,'Form Import'!F:F,0)),CHAR(10),INDEX('Form Import'!V:V,MATCH(A217,'Form Import'!F:F,0)))</f>
        <v>John McDonald
3</v>
      </c>
      <c r="L217" s="432">
        <f t="array" aca="1" ref="L217" ca="1">INDEX('Form Import'!W:W,MATCH(A217,'Form Import'!F:F,0))</f>
        <v>0</v>
      </c>
      <c r="M217" s="430"/>
      <c r="N217" s="430">
        <f t="array" aca="1" ref="N217" ca="1">INDEX('Form Import'!L:L,MATCH($A217,'Form Import'!$F:$F,0))</f>
        <v>0</v>
      </c>
      <c r="O217" s="430">
        <f t="array" aca="1" ref="O217" ca="1">INDEX('Form Import'!O:O,MATCH($A217,'Form Import'!$F:$F,0))</f>
        <v>0</v>
      </c>
      <c r="P217" s="430">
        <f t="array" aca="1" ref="P217" ca="1">INDEX('Form Import'!S:S,MATCH($A217,'Form Import'!$F:$F,0))</f>
        <v>0</v>
      </c>
      <c r="Q217" s="430"/>
      <c r="R217" s="430"/>
      <c r="S217" s="430" t="e">
        <f t="array" aca="1" ref="S217" ca="1">_xludf.TextJoin("; ",1,INDEX(Import!S:S,MATCH(C217,Name,0)))</f>
        <v>#NAME?</v>
      </c>
    </row>
    <row r="218" spans="1:19" ht="72">
      <c r="A218" s="418" t="s">
        <v>1590</v>
      </c>
      <c r="B218" s="419" t="str">
        <f t="array" aca="1" ref="B218" ca="1">CONCATENATE(TEXT(INDEX(query!A:A,MATCH(C218,query!B:B,0)),"M/DD/YYY"),CHAR(10),INDEX(query!E:E,MATCH(C218,query!B:B,0)))</f>
        <v>8/18/2022
Invite Next Year</v>
      </c>
      <c r="C218" s="85" t="s">
        <v>9201</v>
      </c>
      <c r="D218" s="420">
        <f t="array" ref="D218">INDEX(Import!D:D,MATCH(C218,Name,0))</f>
        <v>1</v>
      </c>
      <c r="E218" s="421">
        <f t="array" aca="1" ref="E218" ca="1">(INDEX(Import!I:I,MATCH(C218,Name,0))+INDEX(Import!L:L,MATCH(C218,Name,0))+INDEX('Form Import'!V:V,MATCH(A218,'Form Import'!F:F,0)))/3</f>
        <v>1.6666666666666667</v>
      </c>
      <c r="F218" s="422" t="str">
        <f t="array" ref="F218">INDEX(Import!E:E,MATCH(C218,Name,0))</f>
        <v>Sprayify provides self-disinfecting surface coatings for high-traffic or high-cleanliness businesses. We help companies spend less money on disinfection and at the same time be better protected against infectious diseases.</v>
      </c>
      <c r="G218" s="423" t="str">
        <f t="array" ref="G218">CONCATENATE(INDEX(Import!G:G,MATCH(C218,Import!C:C,0)),CHAR(10),INDEX(Import!I:I,MATCH(C218,Name,0)))</f>
        <v>Chris Mosher
1</v>
      </c>
      <c r="H218" s="424" t="str">
        <f t="array" ref="H218">INDEX(Import!H:H,MATCH(C218,Name,0))</f>
        <v>Disinfectant spray - no significant tech innovation.</v>
      </c>
      <c r="I218" s="423" t="str">
        <f t="array" ref="I218">CONCATENATE(INDEX(Import!J:J,MATCH(C218,Name,0)),CHAR(10),INDEX(Import!L:L,MATCH(C218,Name,0)))</f>
        <v>Parsa Amiri
1</v>
      </c>
      <c r="J218" s="424" t="str">
        <f t="array" ref="J218">INDEX(Import!K:K,MATCH(C218,Name,0))</f>
        <v>Disinfectant coating for long-term disinfection. Very competitive space. Lacks scientific innovation.</v>
      </c>
      <c r="K218" s="423" t="str">
        <f t="array" aca="1" ref="K218" ca="1">CONCATENATE(INDEX('Form Import'!D:D,MATCH(A218,'Form Import'!F:F,0)),CHAR(10),INDEX('Form Import'!V:V,MATCH(A218,'Form Import'!F:F,0)))</f>
        <v>Nick Schmandt
3</v>
      </c>
      <c r="L218" s="424" t="str">
        <f t="array" aca="1" ref="L218" ca="1">INDEX('Form Import'!W:W,MATCH(A218,'Form Import'!F:F,0))</f>
        <v>This is a great idea, but I'm not sure they will be able to deliver enough value to capture large market share. It seems they are only able to break into very specialized markets that already need battery power or are otherwise very eager to become climate-conscious. For the amount that they've raised and the relatively easy nature with which this should be applicable, they should have higher revenues at this point.</v>
      </c>
      <c r="M218" s="422"/>
      <c r="N218" s="422" t="str">
        <f t="array" aca="1" ref="N218" ca="1">INDEX('Form Import'!L:L,MATCH($A218,'Form Import'!$F:$F,0))</f>
        <v>This isn't radically new, it is just applied in a new way.</v>
      </c>
      <c r="O218" s="422" t="str">
        <f t="array" aca="1" ref="O218" ca="1">INDEX('Form Import'!O:O,MATCH($A218,'Form Import'!$F:$F,0))</f>
        <v>Potentially a very large addressable market, but they will need to demonstrate value to the mainstream building operators.</v>
      </c>
      <c r="P218" s="422" t="str">
        <f t="array" aca="1" ref="P218" ca="1">INDEX('Form Import'!S:S,MATCH($A218,'Form Import'!$F:$F,0))</f>
        <v>Team seems knowledgeable enough.</v>
      </c>
      <c r="Q218" s="422"/>
      <c r="R218" s="422"/>
      <c r="S218" s="422" t="e">
        <f t="array" aca="1" ref="S218" ca="1">_xludf.TextJoin("; ",1,INDEX(Import!S:S,MATCH(C218,Name,0)))</f>
        <v>#NAME?</v>
      </c>
    </row>
    <row r="219" spans="1:19" ht="72">
      <c r="A219" s="425" t="s">
        <v>9405</v>
      </c>
      <c r="B219" s="426" t="str">
        <f t="array" aca="1" ref="B219" ca="1">CONCATENATE(TEXT(INDEX(query!A:A,MATCH(C219,query!B:B,0)),"M/DD/YYY"),CHAR(10),INDEX(query!E:E,MATCH(C219,query!B:B,0)))</f>
        <v>8/03/2022
Revisit</v>
      </c>
      <c r="C219" s="427" t="s">
        <v>259</v>
      </c>
      <c r="D219" s="428">
        <f t="array" ref="D219">INDEX(Import!D:D,MATCH(C219,Name,0))</f>
        <v>3.75</v>
      </c>
      <c r="E219" s="429">
        <f t="array" aca="1" ref="E219" ca="1">(INDEX(Import!I:I,MATCH(C219,Name,0))+INDEX(Import!L:L,MATCH(C219,Name,0))+INDEX('Form Import'!V:V,MATCH(A219,'Form Import'!F:F,0)))/3</f>
        <v>3.1666666666666665</v>
      </c>
      <c r="F219" s="430" t="str">
        <f t="array" ref="F219">INDEX(Import!E:E,MATCH(C219,Name,0))</f>
        <v>Staex is a robot platform that aims to redefine how software applications for robots are built, distributed, installed and managed. For that Staex provides reliable communication over unreliable networks, encryption for insecure connections, advanced distributed scheduling and orchestration, and containerized and native execution of applications.</v>
      </c>
      <c r="G219" s="431" t="str">
        <f t="array" ref="G219">CONCATENATE(INDEX(Import!G:G,MATCH(C219,Import!C:C,0)),CHAR(10),INDEX(Import!I:I,MATCH(C219,Name,0)))</f>
        <v>Khoa Ma
3.5</v>
      </c>
      <c r="H219" s="432" t="str">
        <f t="array" ref="H219">INDEX(Import!H:H,MATCH(C219,Name,0))</f>
        <v>There something her but need further validation and could be good for DiT</v>
      </c>
      <c r="I219" s="431" t="str">
        <f t="array" ref="I219">CONCATENATE(INDEX(Import!J:J,MATCH(C219,Name,0)),CHAR(10),INDEX(Import!L:L,MATCH(C219,Name,0)))</f>
        <v>Arthur Ibanda
4</v>
      </c>
      <c r="J219" s="432" t="str">
        <f t="array" ref="J219">INDEX(Import!K:K,MATCH(C219,Name,0))</f>
        <v>+They are an IOT infrastructure company that is offering a comprehensive network solution to companies with a large number of IOT devices
+The have a contract with a German city for 110,000 euros
+The team is well developed and seems credible
-There are large possible competitors like Amazon in the field</v>
      </c>
      <c r="K219" s="431" t="str">
        <f t="array" aca="1" ref="K219" ca="1">CONCATENATE(INDEX('Form Import'!D:D,MATCH(A219,'Form Import'!F:F,0)),CHAR(10),INDEX('Form Import'!V:V,MATCH(A219,'Form Import'!F:F,0)))</f>
        <v>Jason Yu
2</v>
      </c>
      <c r="L219" s="432" t="str">
        <f t="array" aca="1" ref="L219" ca="1">INDEX('Form Import'!W:W,MATCH(A219,'Form Import'!F:F,0))</f>
        <v>Application was unclear</v>
      </c>
      <c r="M219" s="430"/>
      <c r="N219" s="430">
        <f t="array" aca="1" ref="N219" ca="1">INDEX('Form Import'!L:L,MATCH($A219,'Form Import'!$F:$F,0))</f>
        <v>0</v>
      </c>
      <c r="O219" s="430">
        <f t="array" aca="1" ref="O219" ca="1">INDEX('Form Import'!O:O,MATCH($A219,'Form Import'!$F:$F,0))</f>
        <v>0</v>
      </c>
      <c r="P219" s="430">
        <f t="array" aca="1" ref="P219" ca="1">INDEX('Form Import'!S:S,MATCH($A219,'Form Import'!$F:$F,0))</f>
        <v>0</v>
      </c>
      <c r="Q219" s="430"/>
      <c r="R219" s="430"/>
      <c r="S219" s="430" t="e">
        <f t="array" aca="1" ref="S219" ca="1">_xludf.TextJoin("; ",1,INDEX(Import!S:S,MATCH(C219,Name,0)))</f>
        <v>#NAME?</v>
      </c>
    </row>
    <row r="220" spans="1:19" ht="36">
      <c r="A220" s="418" t="s">
        <v>3515</v>
      </c>
      <c r="B220" s="419" t="str">
        <f t="array" aca="1" ref="B220" ca="1">CONCATENATE(TEXT(INDEX(query!A:A,MATCH(C220,query!B:B,0)),"M/DD/YYY"),CHAR(10),INDEX(query!E:E,MATCH(C220,query!B:B,0)))</f>
        <v>8/23/2022
Invite</v>
      </c>
      <c r="C220" s="85" t="s">
        <v>356</v>
      </c>
      <c r="D220" s="420" t="e">
        <f t="array" ref="D220">INDEX(Import!D:D,MATCH(C220,Name,0))</f>
        <v>#N/A</v>
      </c>
      <c r="E220" s="421" t="e">
        <f t="array" aca="1" ref="E220" ca="1">(INDEX(Import!I:I,MATCH(C220,Name,0))+INDEX(Import!L:L,MATCH(C220,Name,0))+INDEX('Form Import'!V:V,MATCH(A220,'Form Import'!F:F,0)))/3</f>
        <v>#N/A</v>
      </c>
      <c r="F220" s="422" t="e">
        <f t="array" ref="F220">INDEX(Import!E:E,MATCH(C220,Name,0))</f>
        <v>#N/A</v>
      </c>
      <c r="G220" s="423" t="e">
        <f t="array" ref="G220">CONCATENATE(INDEX(Import!G:G,MATCH(C220,Import!C:C,0)),CHAR(10),INDEX(Import!I:I,MATCH(C220,Name,0)))</f>
        <v>#N/A</v>
      </c>
      <c r="H220" s="424" t="e">
        <f t="array" ref="H220">INDEX(Import!H:H,MATCH(C220,Name,0))</f>
        <v>#N/A</v>
      </c>
      <c r="I220" s="423" t="e">
        <f t="array" ref="I220">CONCATENATE(INDEX(Import!J:J,MATCH(C220,Name,0)),CHAR(10),INDEX(Import!L:L,MATCH(C220,Name,0)))</f>
        <v>#N/A</v>
      </c>
      <c r="J220" s="424" t="e">
        <f t="array" ref="J220">INDEX(Import!K:K,MATCH(C220,Name,0))</f>
        <v>#N/A</v>
      </c>
      <c r="K220" s="423" t="str">
        <f t="array" aca="1" ref="K220" ca="1">CONCATENATE(INDEX('Form Import'!D:D,MATCH(A220,'Form Import'!F:F,0)),CHAR(10),INDEX('Form Import'!V:V,MATCH(A220,'Form Import'!F:F,0)))</f>
        <v>Jason Yu
3</v>
      </c>
      <c r="L220" s="424" t="str">
        <f t="array" aca="1" ref="L220" ca="1">INDEX('Form Import'!W:W,MATCH(A220,'Form Import'!F:F,0))</f>
        <v>The biggest obstacle is technical. No one has demonstrated a successful version of this
technology.</v>
      </c>
      <c r="M220" s="422"/>
      <c r="N220" s="422" t="str">
        <f t="array" aca="1" ref="N220" ca="1">INDEX('Form Import'!L:L,MATCH($A220,'Form Import'!$F:$F,0))</f>
        <v>Full patent is progress. Only analytical and numerical simulations of the system.</v>
      </c>
      <c r="O220" s="422">
        <f t="array" aca="1" ref="O220" ca="1">INDEX('Form Import'!O:O,MATCH($A220,'Form Import'!$F:$F,0))</f>
        <v>0</v>
      </c>
      <c r="P220" s="422">
        <f t="array" aca="1" ref="P220" ca="1">INDEX('Form Import'!S:S,MATCH($A220,'Form Import'!$F:$F,0))</f>
        <v>0</v>
      </c>
      <c r="Q220" s="422"/>
      <c r="R220" s="422"/>
      <c r="S220" s="422" t="e">
        <f t="array" aca="1" ref="S220" ca="1">_xludf.TextJoin("; ",1,INDEX(Import!S:S,MATCH(C220,Name,0)))</f>
        <v>#NAME?</v>
      </c>
    </row>
    <row r="221" spans="1:19" ht="120">
      <c r="A221" s="425" t="s">
        <v>2061</v>
      </c>
      <c r="B221" s="426" t="str">
        <f t="array" aca="1" ref="B221" ca="1">CONCATENATE(TEXT(INDEX(query!A:A,MATCH(C221,query!B:B,0)),"M/DD/YYY"),CHAR(10),INDEX(query!E:E,MATCH(C221,query!B:B,0)))</f>
        <v>8/16/2022
Invite Next Year</v>
      </c>
      <c r="C221" s="427" t="s">
        <v>4394</v>
      </c>
      <c r="D221" s="428">
        <f t="array" ref="D221">INDEX(Import!D:D,MATCH(C221,Name,0))</f>
        <v>3.75</v>
      </c>
      <c r="E221" s="429">
        <f t="array" aca="1" ref="E221" ca="1">(INDEX(Import!I:I,MATCH(C221,Name,0))+INDEX(Import!L:L,MATCH(C221,Name,0))+INDEX('Form Import'!V:V,MATCH(A221,'Form Import'!F:F,0)))/3</f>
        <v>3.1666666666666665</v>
      </c>
      <c r="F221" s="430" t="str">
        <f t="array" ref="F221">INDEX(Import!E:E,MATCH(C221,Name,0))</f>
        <v>Staxe tokenizes music rights such as royalties or ticket sales for artists and independent labels, providing funding and fan engagement channels through NFTs. Collectors of these NFTs buy them in exchange of a share in their favorite artists? success alongside unique access and content.</v>
      </c>
      <c r="G221" s="431" t="str">
        <f t="array" ref="G221">CONCATENATE(INDEX(Import!G:G,MATCH(C221,Import!C:C,0)),CHAR(10),INDEX(Import!I:I,MATCH(C221,Name,0)))</f>
        <v>Mark Flynn
4</v>
      </c>
      <c r="H221" s="432" t="str">
        <f t="array" ref="H221">INDEX(Import!H:H,MATCH(C221,Name,0))</f>
        <v>Creatives need financing to secure a date for their production; investors are willing to invest but lack trust and transparency in such partnerships.  They?ve put on 17 productions with ?50k in aggregate funding, so they have an indication of traction but not significant yet.  Investing in these productions is risky; will fans be turned off if they buy a token and get nothing for it?  
For the revenue streams, middlemen can take 85% of profits.  Can this platform replace the services these middlemen provide and do it as effectively and more cheaply?</v>
      </c>
      <c r="I221" s="431" t="str">
        <f t="array" ref="I221">CONCATENATE(INDEX(Import!J:J,MATCH(C221,Name,0)),CHAR(10),INDEX(Import!L:L,MATCH(C221,Name,0)))</f>
        <v>Boyang Yu
3.5</v>
      </c>
      <c r="J221" s="432" t="str">
        <f t="array" ref="J221">INDEX(Import!K:K,MATCH(C221,Name,0))</f>
        <v>The team has been into web3 since 2019 and has good experience in tech and financing. The idea is validated through pilots events and generating revenue. However, the advantages over traditional creator middleman are not very clear and regulations could be a huge challenge to expand the business.</v>
      </c>
      <c r="K221" s="431" t="str">
        <f t="array" aca="1" ref="K221" ca="1">CONCATENATE(INDEX('Form Import'!D:D,MATCH(A221,'Form Import'!F:F,0)),CHAR(10),INDEX('Form Import'!V:V,MATCH(A221,'Form Import'!F:F,0)))</f>
        <v>John McDonald
2</v>
      </c>
      <c r="L221" s="432">
        <f t="array" aca="1" ref="L221" ca="1">INDEX('Form Import'!W:W,MATCH(A221,'Form Import'!F:F,0))</f>
        <v>0</v>
      </c>
      <c r="M221" s="430"/>
      <c r="N221" s="430">
        <f t="array" aca="1" ref="N221" ca="1">INDEX('Form Import'!L:L,MATCH($A221,'Form Import'!$F:$F,0))</f>
        <v>0</v>
      </c>
      <c r="O221" s="430">
        <f t="array" aca="1" ref="O221" ca="1">INDEX('Form Import'!O:O,MATCH($A221,'Form Import'!$F:$F,0))</f>
        <v>0</v>
      </c>
      <c r="P221" s="430">
        <f t="array" aca="1" ref="P221" ca="1">INDEX('Form Import'!S:S,MATCH($A221,'Form Import'!$F:$F,0))</f>
        <v>0</v>
      </c>
      <c r="Q221" s="430"/>
      <c r="R221" s="430"/>
      <c r="S221" s="430" t="e">
        <f t="array" aca="1" ref="S221" ca="1">_xludf.TextJoin("; ",1,INDEX(Import!S:S,MATCH(C221,Name,0)))</f>
        <v>#NAME?</v>
      </c>
    </row>
    <row r="222" spans="1:19" ht="72">
      <c r="A222" s="418" t="s">
        <v>4122</v>
      </c>
      <c r="B222" s="419" t="str">
        <f t="array" aca="1" ref="B222" ca="1">CONCATENATE(TEXT(INDEX(query!A:A,MATCH(C222,query!B:B,0)),"M/DD/YYY"),CHAR(10),INDEX(query!E:E,MATCH(C222,query!B:B,0)))</f>
        <v>8/03/2022
Invite</v>
      </c>
      <c r="C222" s="85" t="s">
        <v>260</v>
      </c>
      <c r="D222" s="420">
        <f t="array" ref="D222">INDEX(Import!D:D,MATCH(C222,Name,0))</f>
        <v>4.5</v>
      </c>
      <c r="E222" s="421">
        <f t="array" aca="1" ref="E222" ca="1">(INDEX(Import!I:I,MATCH(C222,Name,0))+INDEX(Import!L:L,MATCH(C222,Name,0))+INDEX('Form Import'!V:V,MATCH(A222,'Form Import'!F:F,0)))/3</f>
        <v>4</v>
      </c>
      <c r="F222" s="422" t="str">
        <f t="array" ref="F222">INDEX(Import!E:E,MATCH(C222,Name,0))</f>
        <v>Steg.AI is a B2B SaaS company focused on digital media protection and provenance. We develop cutting edge steganography and forensic watermarking software for customers in social media, digital media licensing, content creators, and consumer goods. We enable our customers to trace leaks and identify content with extremely high accuracy.</v>
      </c>
      <c r="G222" s="423" t="str">
        <f t="array" ref="G222">CONCATENATE(INDEX(Import!G:G,MATCH(C222,Import!C:C,0)),CHAR(10),INDEX(Import!I:I,MATCH(C222,Name,0)))</f>
        <v>Mark Flynn
4.5</v>
      </c>
      <c r="H222" s="424" t="str">
        <f t="array" ref="H222">INDEX(Import!H:H,MATCH(C222,Name,0))</f>
        <v>Applied to EFL in 2020; Nasir Memon referred the company previously.  Highly technical founder; innovative tech (based on years of research); first paying customer is Sonos; EFL could likely provide meaningful help.  Would interview again and would want to better understand the founding team's commitment (seems like CEO is only FT person) and validate customer targets</v>
      </c>
      <c r="I222" s="423" t="str">
        <f t="array" ref="I222">CONCATENATE(INDEX(Import!J:J,MATCH(C222,Name,0)),CHAR(10),INDEX(Import!L:L,MATCH(C222,Name,0)))</f>
        <v>Boyang Yu
4.5</v>
      </c>
      <c r="J222" s="424" t="str">
        <f t="array" ref="J222">INDEX(Import!K:K,MATCH(C222,Name,0))</f>
        <v>Technology well supported by academic evidence; experienced team members; reasonable potential market size; clear gains from EFL
can ask about competitors and licensing progress in the interview</v>
      </c>
      <c r="K222" s="423" t="str">
        <f t="array" aca="1" ref="K222" ca="1">CONCATENATE(INDEX('Form Import'!D:D,MATCH(A222,'Form Import'!F:F,0)),CHAR(10),INDEX('Form Import'!V:V,MATCH(A222,'Form Import'!F:F,0)))</f>
        <v>John McDonald
3</v>
      </c>
      <c r="L222" s="424">
        <f t="array" aca="1" ref="L222" ca="1">INDEX('Form Import'!W:W,MATCH(A222,'Form Import'!F:F,0))</f>
        <v>0</v>
      </c>
      <c r="M222" s="422"/>
      <c r="N222" s="422">
        <f t="array" aca="1" ref="N222" ca="1">INDEX('Form Import'!L:L,MATCH($A222,'Form Import'!$F:$F,0))</f>
        <v>0</v>
      </c>
      <c r="O222" s="422">
        <f t="array" aca="1" ref="O222" ca="1">INDEX('Form Import'!O:O,MATCH($A222,'Form Import'!$F:$F,0))</f>
        <v>0</v>
      </c>
      <c r="P222" s="422">
        <f t="array" aca="1" ref="P222" ca="1">INDEX('Form Import'!S:S,MATCH($A222,'Form Import'!$F:$F,0))</f>
        <v>0</v>
      </c>
      <c r="Q222" s="422"/>
      <c r="R222" s="422"/>
      <c r="S222" s="422" t="e">
        <f t="array" aca="1" ref="S222" ca="1">_xludf.TextJoin("; ",1,INDEX(Import!S:S,MATCH(C222,Name,0)))</f>
        <v>#NAME?</v>
      </c>
    </row>
    <row r="223" spans="1:19" ht="60">
      <c r="A223" s="425" t="s">
        <v>3559</v>
      </c>
      <c r="B223" s="426" t="str">
        <f t="array" aca="1" ref="B223" ca="1">CONCATENATE(TEXT(INDEX(query!A:A,MATCH(C223,query!B:B,0)),"M/DD/YYY"),CHAR(10),INDEX(query!E:E,MATCH(C223,query!B:B,0)))</f>
        <v>8/18/2022
Invite Next Year</v>
      </c>
      <c r="C223" s="427" t="s">
        <v>5262</v>
      </c>
      <c r="D223" s="428">
        <f t="array" ref="D223">INDEX(Import!D:D,MATCH(C223,Name,0))</f>
        <v>3.25</v>
      </c>
      <c r="E223" s="429">
        <f t="array" aca="1" ref="E223" ca="1">(INDEX(Import!I:I,MATCH(C223,Name,0))+INDEX(Import!L:L,MATCH(C223,Name,0))+INDEX('Form Import'!V:V,MATCH(A223,'Form Import'!F:F,0)))/3</f>
        <v>3.8333333333333335</v>
      </c>
      <c r="F223" s="430" t="str">
        <f t="array" ref="F223">INDEX(Import!E:E,MATCH(C223,Name,0))</f>
        <v>StockGro simplifies the journey of trading and investing by enabling users to experience real-time risk free trading through gamification to raze 2 key barriers- lack of stock market knowledge and fear of losing money, for beginner to expert traders and investors by providing a social investment platform with a fun and interactive virtual interface</v>
      </c>
      <c r="G223" s="431" t="str">
        <f t="array" ref="G223">CONCATENATE(INDEX(Import!G:G,MATCH(C223,Import!C:C,0)),CHAR(10),INDEX(Import!I:I,MATCH(C223,Name,0)))</f>
        <v>Mark Flynn
4</v>
      </c>
      <c r="H223" s="432" t="str">
        <f t="array" ref="H223">INDEX(Import!H:H,MATCH(C223,Name,0))</f>
        <v>Have seen other social gaming platforms in the US; this one seems to have taken off in India; given the fundraise revenue, we should interview</v>
      </c>
      <c r="I223" s="431" t="str">
        <f t="array" ref="I223">CONCATENATE(INDEX(Import!J:J,MATCH(C223,Name,0)),CHAR(10),INDEX(Import!L:L,MATCH(C223,Name,0)))</f>
        <v>Shubo (Gabriel) Xu
2.5</v>
      </c>
      <c r="J223" s="432" t="str">
        <f t="array" ref="J223">INDEX(Import!K:K,MATCH(C223,Name,0))</f>
        <v>+
1. impress progress so far in India
-
1. not a tech play
2. crowded space in the U.S.</v>
      </c>
      <c r="K223" s="431" t="str">
        <f t="array" aca="1" ref="K223" ca="1">CONCATENATE(INDEX('Form Import'!D:D,MATCH(A223,'Form Import'!F:F,0)),CHAR(10),INDEX('Form Import'!V:V,MATCH(A223,'Form Import'!F:F,0)))</f>
        <v>John McDonald
5</v>
      </c>
      <c r="L223" s="432">
        <f t="array" aca="1" ref="L223" ca="1">INDEX('Form Import'!W:W,MATCH(A223,'Form Import'!F:F,0))</f>
        <v>0</v>
      </c>
      <c r="M223" s="430"/>
      <c r="N223" s="430">
        <f t="array" aca="1" ref="N223" ca="1">INDEX('Form Import'!L:L,MATCH($A223,'Form Import'!$F:$F,0))</f>
        <v>0</v>
      </c>
      <c r="O223" s="430">
        <f t="array" aca="1" ref="O223" ca="1">INDEX('Form Import'!O:O,MATCH($A223,'Form Import'!$F:$F,0))</f>
        <v>0</v>
      </c>
      <c r="P223" s="430">
        <f t="array" aca="1" ref="P223" ca="1">INDEX('Form Import'!S:S,MATCH($A223,'Form Import'!$F:$F,0))</f>
        <v>0</v>
      </c>
      <c r="Q223" s="430"/>
      <c r="R223" s="430"/>
      <c r="S223" s="430" t="e">
        <f t="array" aca="1" ref="S223" ca="1">_xludf.TextJoin("; ",1,INDEX(Import!S:S,MATCH(C223,Name,0)))</f>
        <v>#NAME?</v>
      </c>
    </row>
    <row r="224" spans="1:19" ht="48">
      <c r="A224" s="418" t="s">
        <v>9498</v>
      </c>
      <c r="B224" s="419" t="str">
        <f t="array" aca="1" ref="B224" ca="1">CONCATENATE(TEXT(INDEX(query!A:A,MATCH(C224,query!B:B,0)),"M/DD/YYY"),CHAR(10),INDEX(query!E:E,MATCH(C224,query!B:B,0)))</f>
        <v>8/18/2022
Invite Next Year</v>
      </c>
      <c r="C224" s="85" t="s">
        <v>3312</v>
      </c>
      <c r="D224" s="420">
        <f t="array" ref="D224">INDEX(Import!D:D,MATCH(C224,Name,0))</f>
        <v>3</v>
      </c>
      <c r="E224" s="421">
        <f t="array" aca="1" ref="E224" ca="1">(INDEX(Import!I:I,MATCH(C224,Name,0))+INDEX(Import!L:L,MATCH(C224,Name,0))+INDEX('Form Import'!V:V,MATCH(A224,'Form Import'!F:F,0)))/3</f>
        <v>2.6666666666666665</v>
      </c>
      <c r="F224" s="422" t="str">
        <f t="array" ref="F224">INDEX(Import!E:E,MATCH(C224,Name,0))</f>
        <v>Stonehouse Innovations is an R&amp;D  company engaged primarily in water innovations. We have designed a 3d printed vessel using antimicrobial filament to create a small, screw-on, water purification device.  This small device will benefit 3rd world drinking water, help in agriculture to irrigate crops, and water animals (among other uses).</v>
      </c>
      <c r="G224" s="423" t="str">
        <f t="array" ref="G224">CONCATENATE(INDEX(Import!G:G,MATCH(C224,Import!C:C,0)),CHAR(10),INDEX(Import!I:I,MATCH(C224,Name,0)))</f>
        <v>Khoa Ma
3</v>
      </c>
      <c r="H224" s="424" t="str">
        <f t="array" ref="H224">INDEX(Import!H:H,MATCH(C224,Name,0))</f>
        <v>Good mission but not novel tech
Needs to get a product developed and scale</v>
      </c>
      <c r="I224" s="423" t="str">
        <f t="array" ref="I224">CONCATENATE(INDEX(Import!J:J,MATCH(C224,Name,0)),CHAR(10),INDEX(Import!L:L,MATCH(C224,Name,0)))</f>
        <v>Arthur Ibanda
3</v>
      </c>
      <c r="J224" s="424" t="str">
        <f t="array" ref="J224">INDEX(Import!K:K,MATCH(C224,Name,0))</f>
        <v>+Tech seems novel
-Market does not seem particularly large
-Might be too early</v>
      </c>
      <c r="K224" s="423" t="str">
        <f t="array" aca="1" ref="K224" ca="1">CONCATENATE(INDEX('Form Import'!D:D,MATCH(A224,'Form Import'!F:F,0)),CHAR(10),INDEX('Form Import'!V:V,MATCH(A224,'Form Import'!F:F,0)))</f>
        <v>Jason Yu
2</v>
      </c>
      <c r="L224" s="424" t="str">
        <f t="array" aca="1" ref="L224" ca="1">INDEX('Form Import'!W:W,MATCH(A224,'Form Import'!F:F,0))</f>
        <v>Founded in November 2021. The technology/first product is licensed from University of Washington. The company claims the technology has been tested and used by many transportation agencies. Unclear what the technology actually is.</v>
      </c>
      <c r="M224" s="422"/>
      <c r="N224" s="422" t="str">
        <f t="array" aca="1" ref="N224" ca="1">INDEX('Form Import'!L:L,MATCH($A224,'Form Import'!$F:$F,0))</f>
        <v>Actual technology is unclear. "Hardware: highly integrated connected vehicle technology with sensing, computation, and communication all in one unit. Software: AI-based algorithms for traffic sensing, events detection, smart transportation solutions.|"</v>
      </c>
      <c r="O224" s="422" t="str">
        <f t="array" aca="1" ref="O224" ca="1">INDEX('Form Import'!O:O,MATCH($A224,'Form Import'!$F:$F,0))</f>
        <v>Does not have any current customers. Competing against larger companies. There is a large market for self-driving vehicle technology.</v>
      </c>
      <c r="P224" s="422" t="str">
        <f t="array" aca="1" ref="P224" ca="1">INDEX('Form Import'!S:S,MATCH($A224,'Form Import'!$F:$F,0))</f>
        <v>Founders are PhD level transportation and civil engineers. Yinhai Wang is a Professor at the University of Washington and Director of PacTrans. The team is small consisting of 5 people with limited experience.</v>
      </c>
      <c r="Q224" s="422"/>
      <c r="R224" s="422"/>
      <c r="S224" s="422" t="e">
        <f t="array" aca="1" ref="S224" ca="1">_xludf.TextJoin("; ",1,INDEX(Import!S:S,MATCH(C224,Name,0)))</f>
        <v>#NAME?</v>
      </c>
    </row>
    <row r="225" spans="1:19" ht="24">
      <c r="A225" s="425" t="s">
        <v>9982</v>
      </c>
      <c r="B225" s="426" t="str">
        <f t="array" aca="1" ref="B225" ca="1">CONCATENATE(TEXT(INDEX(query!A:A,MATCH(C225,query!B:B,0)),"M/DD/YYY"),CHAR(10),INDEX(query!E:E,MATCH(C225,query!B:B,0)))</f>
        <v>8/23/2022
Invite Next Year</v>
      </c>
      <c r="C225" s="427" t="s">
        <v>7708</v>
      </c>
      <c r="D225" s="428">
        <f t="array" ref="D225">INDEX(Import!D:D,MATCH(C225,Name,0))</f>
        <v>1.75</v>
      </c>
      <c r="E225" s="429">
        <f t="array" aca="1" ref="E225" ca="1">(INDEX(Import!I:I,MATCH(C225,Name,0))+INDEX(Import!L:L,MATCH(C225,Name,0))+INDEX('Form Import'!V:V,MATCH(A225,'Form Import'!F:F,0)))/3</f>
        <v>2.1666666666666665</v>
      </c>
      <c r="F225" s="430" t="str">
        <f t="array" ref="F225">INDEX(Import!E:E,MATCH(C225,Name,0))</f>
        <v>StoryBrain converts web pages into personalised short-form videos using AI to solve the problem of revenue loss as a result of content not being engaging and inclusive for websites, particularly E-commerce websites and publishing houses, leading to better engagement, inclusion &amp; conversion.</v>
      </c>
      <c r="G225" s="431" t="str">
        <f t="array" ref="G225">CONCATENATE(INDEX(Import!G:G,MATCH(C225,Import!C:C,0)),CHAR(10),INDEX(Import!I:I,MATCH(C225,Name,0)))</f>
        <v>Deepak Hegde
2</v>
      </c>
      <c r="H225" s="432" t="str">
        <f t="array" ref="H225">INDEX(Import!H:H,MATCH(C225,Name,0))</f>
        <v>no validation, not clear what problem the product is solving.</v>
      </c>
      <c r="I225" s="431" t="str">
        <f t="array" ref="I225">CONCATENATE(INDEX(Import!J:J,MATCH(C225,Name,0)),CHAR(10),INDEX(Import!L:L,MATCH(C225,Name,0)))</f>
        <v>Shubo (Gabriel) Xu
1.5</v>
      </c>
      <c r="J225" s="432" t="str">
        <f t="array" ref="J225">INDEX(Import!K:K,MATCH(C225,Name,0))</f>
        <v>-
1. too early, no justification of validness, invite in future</v>
      </c>
      <c r="K225" s="431" t="str">
        <f t="array" aca="1" ref="K225" ca="1">CONCATENATE(INDEX('Form Import'!D:D,MATCH(A225,'Form Import'!F:F,0)),CHAR(10),INDEX('Form Import'!V:V,MATCH(A225,'Form Import'!F:F,0)))</f>
        <v>Jason Yu
3</v>
      </c>
      <c r="L225" s="432" t="str">
        <f t="array" aca="1" ref="L225" ca="1">INDEX('Form Import'!W:W,MATCH(A225,'Form Import'!F:F,0))</f>
        <v>Biggest obstacle is currently is the possibility of negative preclinical data</v>
      </c>
      <c r="M225" s="430"/>
      <c r="N225" s="430" t="str">
        <f t="array" aca="1" ref="N225" ca="1">INDEX('Form Import'!L:L,MATCH($A225,'Form Import'!$F:$F,0))</f>
        <v>Validated the efficacy of our decoy receptor in virus challenge experiments in a mouse model of infection.</v>
      </c>
      <c r="O225" s="430">
        <f t="array" aca="1" ref="O225" ca="1">INDEX('Form Import'!O:O,MATCH($A225,'Form Import'!$F:$F,0))</f>
        <v>0</v>
      </c>
      <c r="P225" s="430">
        <f t="array" aca="1" ref="P225" ca="1">INDEX('Form Import'!S:S,MATCH($A225,'Form Import'!$F:$F,0))</f>
        <v>0</v>
      </c>
      <c r="Q225" s="430"/>
      <c r="R225" s="430"/>
      <c r="S225" s="430" t="e">
        <f t="array" aca="1" ref="S225" ca="1">_xludf.TextJoin("; ",1,INDEX(Import!S:S,MATCH(C225,Name,0)))</f>
        <v>#NAME?</v>
      </c>
    </row>
    <row r="226" spans="1:19" ht="72">
      <c r="A226" s="418" t="s">
        <v>9603</v>
      </c>
      <c r="B226" s="419" t="str">
        <f t="array" aca="1" ref="B226" ca="1">CONCATENATE(TEXT(INDEX(query!A:A,MATCH(C226,query!B:B,0)),"M/DD/YYY"),CHAR(10),INDEX(query!E:E,MATCH(C226,query!B:B,0)))</f>
        <v>8/16/2022
Invite Next Year</v>
      </c>
      <c r="C226" s="85" t="s">
        <v>3320</v>
      </c>
      <c r="D226" s="420">
        <f t="array" ref="D226">INDEX(Import!D:D,MATCH(C226,Name,0))</f>
        <v>3</v>
      </c>
      <c r="E226" s="421">
        <f t="array" aca="1" ref="E226" ca="1">(INDEX(Import!I:I,MATCH(C226,Name,0))+INDEX(Import!L:L,MATCH(C226,Name,0))+INDEX('Form Import'!V:V,MATCH(A226,'Form Import'!F:F,0)))/3</f>
        <v>3.3333333333333335</v>
      </c>
      <c r="F226" s="422" t="str">
        <f t="array" ref="F226">INDEX(Import!E:E,MATCH(C226,Name,0))</f>
        <v>Stranded Solutions' patented technology allows for small methane to methanol conversion at the oil wellhead ending flaring with carbon emissions and turning a waste product into a valuable revenue source.</v>
      </c>
      <c r="G226" s="423" t="str">
        <f t="array" ref="G226">CONCATENATE(INDEX(Import!G:G,MATCH(C226,Import!C:C,0)),CHAR(10),INDEX(Import!I:I,MATCH(C226,Name,0)))</f>
        <v>Khoa Ma
3</v>
      </c>
      <c r="H226" s="424" t="str">
        <f t="array" ref="H226">INDEX(Import!H:H,MATCH(C226,Name,0))</f>
        <v>direct partial oxidation which combines Natural Gas with oxygen at elevated temperature and pressure to produce Methanol.
early need to take out of concept stage
show tech can scale</v>
      </c>
      <c r="I226" s="423" t="str">
        <f t="array" ref="I226">CONCATENATE(INDEX(Import!J:J,MATCH(C226,Name,0)),CHAR(10),INDEX(Import!L:L,MATCH(C226,Name,0)))</f>
        <v>Sriharsha Indupuru
3</v>
      </c>
      <c r="J226" s="424" t="str">
        <f t="array" ref="J226">INDEX(Import!K:K,MATCH(C226,Name,0))</f>
        <v>+ Methane to methanol conversion at the oil wellhead ending flaring with carbon emissions
+ Direct partial oxidation which combines Natural Gas with oxygen at elevated temperature and pressure to produce Methanol
It- Still in the prototype phase and need to quickly come up with actual model and acquire customers</v>
      </c>
      <c r="K226" s="423" t="str">
        <f t="array" aca="1" ref="K226" ca="1">CONCATENATE(INDEX('Form Import'!D:D,MATCH(A226,'Form Import'!F:F,0)),CHAR(10),INDEX('Form Import'!V:V,MATCH(A226,'Form Import'!F:F,0)))</f>
        <v>John McDonald
4</v>
      </c>
      <c r="L226" s="424">
        <f t="array" aca="1" ref="L226" ca="1">INDEX('Form Import'!W:W,MATCH(A226,'Form Import'!F:F,0))</f>
        <v>0</v>
      </c>
      <c r="M226" s="422"/>
      <c r="N226" s="422">
        <f t="array" aca="1" ref="N226" ca="1">INDEX('Form Import'!L:L,MATCH($A226,'Form Import'!$F:$F,0))</f>
        <v>0</v>
      </c>
      <c r="O226" s="422">
        <f t="array" aca="1" ref="O226" ca="1">INDEX('Form Import'!O:O,MATCH($A226,'Form Import'!$F:$F,0))</f>
        <v>0</v>
      </c>
      <c r="P226" s="422">
        <f t="array" aca="1" ref="P226" ca="1">INDEX('Form Import'!S:S,MATCH($A226,'Form Import'!$F:$F,0))</f>
        <v>0</v>
      </c>
      <c r="Q226" s="422"/>
      <c r="R226" s="422"/>
      <c r="S226" s="422" t="e">
        <f t="array" aca="1" ref="S226" ca="1">_xludf.TextJoin("; ",1,INDEX(Import!S:S,MATCH(C226,Name,0)))</f>
        <v>#NAME?</v>
      </c>
    </row>
    <row r="227" spans="1:19" ht="48">
      <c r="A227" s="425" t="s">
        <v>9497</v>
      </c>
      <c r="B227" s="426" t="str">
        <f t="array" aca="1" ref="B227" ca="1">CONCATENATE(TEXT(INDEX(query!A:A,MATCH(C227,query!B:B,0)),"M/DD/YYY"),CHAR(10),INDEX(query!E:E,MATCH(C227,query!B:B,0)))</f>
        <v>8/09/2022
Revisit</v>
      </c>
      <c r="C227" s="427" t="s">
        <v>146</v>
      </c>
      <c r="D227" s="428">
        <f t="array" ref="D227">INDEX(Import!D:D,MATCH(C227,Name,0))</f>
        <v>3.75</v>
      </c>
      <c r="E227" s="429">
        <f t="array" aca="1" ref="E227" ca="1">(INDEX(Import!I:I,MATCH(C227,Name,0))+INDEX(Import!L:L,MATCH(C227,Name,0))+INDEX('Form Import'!V:V,MATCH(A227,'Form Import'!F:F,0)))/3</f>
        <v>3.5</v>
      </c>
      <c r="F227" s="430" t="str">
        <f t="array" ref="F227">INDEX(Import!E:E,MATCH(C227,Name,0))</f>
        <v>Straylight Systems is an advanced Artificial Intelligence (AI) company working with financial services and insurance companies accelerating their software engineering workloads and delivering AI-enabled software products through its proprietary data and intelligent automation platform.</v>
      </c>
      <c r="G227" s="431" t="str">
        <f t="array" ref="G227">CONCATENATE(INDEX(Import!G:G,MATCH(C227,Import!C:C,0)),CHAR(10),INDEX(Import!I:I,MATCH(C227,Name,0)))</f>
        <v>Khoa Ma
3.5</v>
      </c>
      <c r="H227" s="432" t="str">
        <f t="array" ref="H227">INDEX(Import!H:H,MATCH(C227,Name,0))</f>
        <v>DiT fintech startup
Need to validate the tech can work at scale</v>
      </c>
      <c r="I227" s="431" t="str">
        <f t="array" ref="I227">CONCATENATE(INDEX(Import!J:J,MATCH(C227,Name,0)),CHAR(10),INDEX(Import!L:L,MATCH(C227,Name,0)))</f>
        <v>Arthur Ibanda
4</v>
      </c>
      <c r="J227" s="432" t="str">
        <f t="array" ref="J227">INDEX(Import!K:K,MATCH(C227,Name,0))</f>
        <v>+The team seems credible
+The have $20,000 in MRR with less than a year of operation
+Have participated in other incubators successfully 
+Technology seems novel</v>
      </c>
      <c r="K227" s="431" t="str">
        <f t="array" aca="1" ref="K227" ca="1">CONCATENATE(INDEX('Form Import'!D:D,MATCH(A227,'Form Import'!F:F,0)),CHAR(10),INDEX('Form Import'!V:V,MATCH(A227,'Form Import'!F:F,0)))</f>
        <v>Jason Yu
3</v>
      </c>
      <c r="L227" s="432">
        <f t="array" aca="1" ref="L227" ca="1">INDEX('Form Import'!W:W,MATCH(A227,'Form Import'!F:F,0))</f>
        <v>0</v>
      </c>
      <c r="M227" s="430"/>
      <c r="N227" s="430" t="str">
        <f t="array" aca="1" ref="N227" ca="1">INDEX('Form Import'!L:L,MATCH($A227,'Form Import'!$F:$F,0))</f>
        <v>Our novel and efficient optimization algorithm platform and APIs can speed up complex
computations up to 200,000X faster on normal PCs, laptops and mobile phones. We have piloted our algorithm with various scientific benchmark cases and currently working
with clients in the finance sector for piloting on investment valuations.</v>
      </c>
      <c r="O227" s="430">
        <f t="array" aca="1" ref="O227" ca="1">INDEX('Form Import'!O:O,MATCH($A227,'Form Import'!$F:$F,0))</f>
        <v>0</v>
      </c>
      <c r="P227" s="430">
        <f t="array" aca="1" ref="P227" ca="1">INDEX('Form Import'!S:S,MATCH($A227,'Form Import'!$F:$F,0))</f>
        <v>0</v>
      </c>
      <c r="Q227" s="430"/>
      <c r="R227" s="430"/>
      <c r="S227" s="430" t="e">
        <f t="array" aca="1" ref="S227" ca="1">_xludf.TextJoin("; ",1,INDEX(Import!S:S,MATCH(C227,Name,0)))</f>
        <v>#NAME?</v>
      </c>
    </row>
    <row r="228" spans="1:19" ht="48">
      <c r="A228" s="418" t="s">
        <v>2089</v>
      </c>
      <c r="B228" s="419" t="str">
        <f t="array" aca="1" ref="B228" ca="1">CONCATENATE(TEXT(INDEX(query!A:A,MATCH(C228,query!B:B,0)),"M/DD/YYY"),CHAR(10),INDEX(query!E:E,MATCH(C228,query!B:B,0)))</f>
        <v>8/09/2022
Revisit</v>
      </c>
      <c r="C228" s="85" t="s">
        <v>147</v>
      </c>
      <c r="D228" s="420">
        <f t="array" ref="D228">INDEX(Import!D:D,MATCH(C228,Name,0))</f>
        <v>3.25</v>
      </c>
      <c r="E228" s="421">
        <f t="array" aca="1" ref="E228" ca="1">(INDEX(Import!I:I,MATCH(C228,Name,0))+INDEX(Import!L:L,MATCH(C228,Name,0))+INDEX('Form Import'!V:V,MATCH(A228,'Form Import'!F:F,0)))/3</f>
        <v>3.1666666666666665</v>
      </c>
      <c r="F228" s="422" t="str">
        <f t="array" ref="F228">INDEX(Import!E:E,MATCH(C228,Name,0))</f>
        <v>Strayos helps Mining and Cement companies sustainably extract raw minerals and material by adding AI powered tools to each step of the mining value chain. We apply a combination of visual sensing &amp; AI to improve detection of high grade ore, more accurately model geology, and optimize the extraction methods to increase yield &amp; reduce waste.</v>
      </c>
      <c r="G228" s="423" t="str">
        <f t="array" ref="G228">CONCATENATE(INDEX(Import!G:G,MATCH(C228,Import!C:C,0)),CHAR(10),INDEX(Import!I:I,MATCH(C228,Name,0)))</f>
        <v>Khoa Ma
3</v>
      </c>
      <c r="H228" s="424" t="str">
        <f t="array" ref="H228">INDEX(Import!H:H,MATCH(C228,Name,0))</f>
        <v>DiT startup
AI-powered tools for sustainably extracting raw minerals
Scott S. interested?
$3M round with $2M circled</v>
      </c>
      <c r="I228" s="423" t="str">
        <f t="array" ref="I228">CONCATENATE(INDEX(Import!J:J,MATCH(C228,Name,0)),CHAR(10),INDEX(Import!L:L,MATCH(C228,Name,0)))</f>
        <v>Sriharsha Indupuru
3.5</v>
      </c>
      <c r="J228" s="424" t="str">
        <f t="array" ref="J228">INDEX(Import!K:K,MATCH(C228,Name,0))</f>
        <v>+AI startup can ask Digital Team to look at it</v>
      </c>
      <c r="K228" s="423" t="str">
        <f t="array" aca="1" ref="K228" ca="1">CONCATENATE(INDEX('Form Import'!D:D,MATCH(A228,'Form Import'!F:F,0)),CHAR(10),INDEX('Form Import'!V:V,MATCH(A228,'Form Import'!F:F,0)))</f>
        <v>Jason Yu
3</v>
      </c>
      <c r="L228" s="424" t="str">
        <f t="array" aca="1" ref="L228" ca="1">INDEX('Form Import'!W:W,MATCH(A228,'Form Import'!F:F,0))</f>
        <v>Biggest obstacle is if animal studies do not produce positive therapeutic results.</v>
      </c>
      <c r="M228" s="422"/>
      <c r="N228" s="422" t="str">
        <f t="array" aca="1" ref="N228" ca="1">INDEX('Form Import'!L:L,MATCH($A228,'Form Import'!$F:$F,0))</f>
        <v>We have completed a POC animal study for our brain-specific partial reprogramming gene
therapy, and have since initiated 3 more animal studies in various disease models</v>
      </c>
      <c r="O228" s="422">
        <f t="array" aca="1" ref="O228" ca="1">INDEX('Form Import'!O:O,MATCH($A228,'Form Import'!$F:$F,0))</f>
        <v>0</v>
      </c>
      <c r="P228" s="422">
        <f t="array" aca="1" ref="P228" ca="1">INDEX('Form Import'!S:S,MATCH($A228,'Form Import'!$F:$F,0))</f>
        <v>0</v>
      </c>
      <c r="Q228" s="422"/>
      <c r="R228" s="422"/>
      <c r="S228" s="422" t="e">
        <f t="array" aca="1" ref="S228" ca="1">_xludf.TextJoin("; ",1,INDEX(Import!S:S,MATCH(C228,Name,0)))</f>
        <v>#NAME?</v>
      </c>
    </row>
    <row r="229" spans="1:19" ht="72">
      <c r="A229" s="425" t="s">
        <v>3630</v>
      </c>
      <c r="B229" s="426" t="str">
        <f t="array" aca="1" ref="B229" ca="1">CONCATENATE(TEXT(INDEX(query!A:A,MATCH(C229,query!B:B,0)),"M/DD/YYY"),CHAR(10),INDEX(query!E:E,MATCH(C229,query!B:B,0)))</f>
        <v>8/23/2022
Invite Next Year</v>
      </c>
      <c r="C229" s="427" t="s">
        <v>6548</v>
      </c>
      <c r="D229" s="428">
        <f t="array" ref="D229">INDEX(Import!D:D,MATCH(C229,Name,0))</f>
        <v>2.5</v>
      </c>
      <c r="E229" s="429">
        <f t="array" aca="1" ref="E229" ca="1">(INDEX(Import!I:I,MATCH(C229,Name,0))+INDEX(Import!L:L,MATCH(C229,Name,0))+INDEX('Form Import'!V:V,MATCH(A229,'Form Import'!F:F,0)))/3</f>
        <v>2.3333333333333335</v>
      </c>
      <c r="F229" s="430">
        <f t="array" ref="F229">INDEX(Import!E:E,MATCH(C229,Name,0))</f>
        <v>0</v>
      </c>
      <c r="G229" s="431" t="str">
        <f t="array" ref="G229">CONCATENATE(INDEX(Import!G:G,MATCH(C229,Import!C:C,0)),CHAR(10),INDEX(Import!I:I,MATCH(C229,Name,0)))</f>
        <v>Mark Flynn
2</v>
      </c>
      <c r="H229" s="432">
        <f t="array" ref="H229">INDEX(Import!H:H,MATCH(C229,Name,0))</f>
        <v>0</v>
      </c>
      <c r="I229" s="431" t="str">
        <f t="array" ref="I229">CONCATENATE(INDEX(Import!J:J,MATCH(C229,Name,0)),CHAR(10),INDEX(Import!L:L,MATCH(C229,Name,0)))</f>
        <v>Shubo (Gabriel) Xu
3</v>
      </c>
      <c r="J229" s="432" t="str">
        <f t="array" ref="J229">INDEX(Import!K:K,MATCH(C229,Name,0))</f>
        <v>+
1. solid progressive so far with ~2000 users
-
1. core tech isn't ground breaking
2. need more validation of the potential of their technical component -- see Notes on Technology</v>
      </c>
      <c r="K229" s="431" t="str">
        <f t="array" aca="1" ref="K229" ca="1">CONCATENATE(INDEX('Form Import'!D:D,MATCH(A229,'Form Import'!F:F,0)),CHAR(10),INDEX('Form Import'!V:V,MATCH(A229,'Form Import'!F:F,0)))</f>
        <v>John McDonald
2</v>
      </c>
      <c r="L229" s="432">
        <f t="array" aca="1" ref="L229" ca="1">INDEX('Form Import'!W:W,MATCH(A229,'Form Import'!F:F,0))</f>
        <v>0</v>
      </c>
      <c r="M229" s="430"/>
      <c r="N229" s="430">
        <f t="array" aca="1" ref="N229" ca="1">INDEX('Form Import'!L:L,MATCH($A229,'Form Import'!$F:$F,0))</f>
        <v>0</v>
      </c>
      <c r="O229" s="430">
        <f t="array" aca="1" ref="O229" ca="1">INDEX('Form Import'!O:O,MATCH($A229,'Form Import'!$F:$F,0))</f>
        <v>0</v>
      </c>
      <c r="P229" s="430">
        <f t="array" aca="1" ref="P229" ca="1">INDEX('Form Import'!S:S,MATCH($A229,'Form Import'!$F:$F,0))</f>
        <v>0</v>
      </c>
      <c r="Q229" s="430"/>
      <c r="R229" s="430"/>
      <c r="S229" s="430" t="e">
        <f t="array" aca="1" ref="S229" ca="1">_xludf.TextJoin("; ",1,INDEX(Import!S:S,MATCH(C229,Name,0)))</f>
        <v>#NAME?</v>
      </c>
    </row>
    <row r="230" spans="1:19" ht="60">
      <c r="A230" s="418" t="s">
        <v>2956</v>
      </c>
      <c r="B230" s="419" t="str">
        <f t="array" aca="1" ref="B230" ca="1">CONCATENATE(TEXT(INDEX(query!A:A,MATCH(C230,query!B:B,0)),"M/DD/YYY"),CHAR(10),INDEX(query!E:E,MATCH(C230,query!B:B,0)))</f>
        <v>8/16/2022
Invite Next Year</v>
      </c>
      <c r="C230" s="85" t="s">
        <v>3330</v>
      </c>
      <c r="D230" s="420">
        <f t="array" ref="D230">INDEX(Import!D:D,MATCH(C230,Name,0))</f>
        <v>2.5</v>
      </c>
      <c r="E230" s="421">
        <f t="array" aca="1" ref="E230" ca="1">(INDEX(Import!I:I,MATCH(C230,Name,0))+INDEX(Import!L:L,MATCH(C230,Name,0))+INDEX('Form Import'!V:V,MATCH(A230,'Form Import'!F:F,0)))/3</f>
        <v>2.6666666666666665</v>
      </c>
      <c r="F230" s="422" t="str">
        <f t="array" ref="F230">INDEX(Import!E:E,MATCH(C230,Name,0))</f>
        <v>Street Farms are hyper local hydroponic robotic capsules growing fresh food in urban centers. Taking vertical farming to the next level, these capsules will grow fresh food using robotics for harvesting and dispensing. Street Farms will adopt Artificial Intelligence as a powerful tool to safeguard growth, customer engagement and efficient energy.</v>
      </c>
      <c r="G230" s="423" t="str">
        <f t="array" ref="G230">CONCATENATE(INDEX(Import!G:G,MATCH(C230,Import!C:C,0)),CHAR(10),INDEX(Import!I:I,MATCH(C230,Name,0)))</f>
        <v>Khoa Ma
3</v>
      </c>
      <c r="H230" s="424" t="str">
        <f t="array" ref="H230">INDEX(Import!H:H,MATCH(C230,Name,0))</f>
        <v>robotic capsules growing fresh food in urban centers
too early and need to find a tech team to take concept into product
invite next year</v>
      </c>
      <c r="I230" s="423" t="str">
        <f t="array" ref="I230">CONCATENATE(INDEX(Import!J:J,MATCH(C230,Name,0)),CHAR(10),INDEX(Import!L:L,MATCH(C230,Name,0)))</f>
        <v>Arthur Ibanda
2</v>
      </c>
      <c r="J230" s="424" t="str">
        <f t="array" ref="J230">INDEX(Import!K:K,MATCH(C230,Name,0))</f>
        <v>+Passionate founder
~Still in concept stage
-Might be too early</v>
      </c>
      <c r="K230" s="423" t="str">
        <f t="array" aca="1" ref="K230" ca="1">CONCATENATE(INDEX('Form Import'!D:D,MATCH(A230,'Form Import'!F:F,0)),CHAR(10),INDEX('Form Import'!V:V,MATCH(A230,'Form Import'!F:F,0)))</f>
        <v>Chris Millisits
3</v>
      </c>
      <c r="L230" s="424" t="str">
        <f t="array" aca="1" ref="L230" ca="1">INDEX('Form Import'!W:W,MATCH(A230,'Form Import'!F:F,0))</f>
        <v>There is a problem here, but the market is not huge and there are many competitors in the space. Doesn't seem to be revolutionary Deep Tech, seems that B2B sales to packers is the unlock here. The founding team has 3 PhDs but mostly research experience. Would have like to see a better balance between scientists and businesspeople.</v>
      </c>
      <c r="M230" s="422"/>
      <c r="N230" s="422" t="str">
        <f t="array" aca="1" ref="N230" ca="1">INDEX('Form Import'!L:L,MATCH($A230,'Form Import'!$F:$F,0))</f>
        <v>Unsure of the novelty of the approach.</v>
      </c>
      <c r="O230" s="422" t="str">
        <f t="array" aca="1" ref="O230" ca="1">INDEX('Form Import'!O:O,MATCH($A230,'Form Import'!$F:$F,0))</f>
        <v>$3.5b market, but competitors abound. Is the Nat4Bio formulation in the sweet spot that packers are looking for?</v>
      </c>
      <c r="P230" s="422" t="str">
        <f t="array" aca="1" ref="P230" ca="1">INDEX('Form Import'!S:S,MATCH($A230,'Form Import'!$F:$F,0))</f>
        <v>Vision is shared by many competitors in the space (biological coatings versus synthetic). Founders have not started a startup before but have multiple PhDs in relevant industries (industrial engineering, biochemistry, biological sciences).</v>
      </c>
      <c r="Q230" s="422"/>
      <c r="R230" s="422"/>
      <c r="S230" s="422" t="e">
        <f t="array" aca="1" ref="S230" ca="1">_xludf.TextJoin("; ",1,INDEX(Import!S:S,MATCH(C230,Name,0)))</f>
        <v>#NAME?</v>
      </c>
    </row>
    <row r="231" spans="1:19" ht="24">
      <c r="A231" s="425" t="s">
        <v>8909</v>
      </c>
      <c r="B231" s="426" t="str">
        <f t="array" aca="1" ref="B231" ca="1">CONCATENATE(TEXT(INDEX(query!A:A,MATCH(C231,query!B:B,0)),"M/DD/YYY"),CHAR(10),INDEX(query!E:E,MATCH(C231,query!B:B,0)))</f>
        <v>8/18/2022
Invite Next Year</v>
      </c>
      <c r="C231" s="427" t="s">
        <v>7515</v>
      </c>
      <c r="D231" s="428">
        <f t="array" ref="D231">INDEX(Import!D:D,MATCH(C231,Name,0))</f>
        <v>2</v>
      </c>
      <c r="E231" s="429">
        <f t="array" aca="1" ref="E231" ca="1">(INDEX(Import!I:I,MATCH(C231,Name,0))+INDEX(Import!L:L,MATCH(C231,Name,0))+INDEX('Form Import'!V:V,MATCH(A231,'Form Import'!F:F,0)))/3</f>
        <v>1.6666666666666667</v>
      </c>
      <c r="F231" s="430" t="str">
        <f t="array" ref="F231">INDEX(Import!E:E,MATCH(C231,Name,0))</f>
        <v>Street2school uses a mobile classroom to bring education to people who cannot afford it. We do this through employing the best educational and innovative practices.</v>
      </c>
      <c r="G231" s="431" t="str">
        <f t="array" ref="G231">CONCATENATE(INDEX(Import!G:G,MATCH(C231,Import!C:C,0)),CHAR(10),INDEX(Import!I:I,MATCH(C231,Name,0)))</f>
        <v>Deepak Hegde
2</v>
      </c>
      <c r="H231" s="432" t="str">
        <f t="array" ref="H231">INDEX(Import!H:H,MATCH(C231,Name,0))</f>
        <v>Not a fit for EFL.  Lacks technical novelty and large TAM.</v>
      </c>
      <c r="I231" s="431" t="str">
        <f t="array" ref="I231">CONCATENATE(INDEX(Import!J:J,MATCH(C231,Name,0)),CHAR(10),INDEX(Import!L:L,MATCH(C231,Name,0)))</f>
        <v>Matt Myers
2</v>
      </c>
      <c r="J231" s="432" t="str">
        <f t="array" ref="J231">INDEX(Import!K:K,MATCH(C231,Name,0))</f>
        <v>Strong mission/need and NYU connection, but tech is not novel/disruptive. Not a good fit for EFL.</v>
      </c>
      <c r="K231" s="431" t="str">
        <f t="array" aca="1" ref="K231" ca="1">CONCATENATE(INDEX('Form Import'!D:D,MATCH(A231,'Form Import'!F:F,0)),CHAR(10),INDEX('Form Import'!V:V,MATCH(A231,'Form Import'!F:F,0)))</f>
        <v>Chris Millisits
1</v>
      </c>
      <c r="L231" s="432" t="str">
        <f t="array" aca="1" ref="L231" ca="1">INDEX('Form Import'!W:W,MATCH(A231,'Form Import'!F:F,0))</f>
        <v>Duplicate application with Ndal Mfg Inc, Dba Ndal Biofilm Medical Group</v>
      </c>
      <c r="M231" s="430"/>
      <c r="N231" s="430">
        <f t="array" aca="1" ref="N231" ca="1">INDEX('Form Import'!L:L,MATCH($A231,'Form Import'!$F:$F,0))</f>
        <v>0</v>
      </c>
      <c r="O231" s="430">
        <f t="array" aca="1" ref="O231" ca="1">INDEX('Form Import'!O:O,MATCH($A231,'Form Import'!$F:$F,0))</f>
        <v>0</v>
      </c>
      <c r="P231" s="430">
        <f t="array" aca="1" ref="P231" ca="1">INDEX('Form Import'!S:S,MATCH($A231,'Form Import'!$F:$F,0))</f>
        <v>0</v>
      </c>
      <c r="Q231" s="430"/>
      <c r="R231" s="430"/>
      <c r="S231" s="430" t="e">
        <f t="array" aca="1" ref="S231" ca="1">_xludf.TextJoin("; ",1,INDEX(Import!S:S,MATCH(C231,Name,0)))</f>
        <v>#NAME?</v>
      </c>
    </row>
    <row r="232" spans="1:19" ht="72">
      <c r="A232" s="418" t="s">
        <v>5684</v>
      </c>
      <c r="B232" s="419" t="str">
        <f t="array" aca="1" ref="B232" ca="1">CONCATENATE(TEXT(INDEX(query!A:A,MATCH(C232,query!B:B,0)),"M/DD/YYY"),CHAR(10),INDEX(query!E:E,MATCH(C232,query!B:B,0)))</f>
        <v>8/11/2022
Invite Next Year</v>
      </c>
      <c r="C232" s="85" t="s">
        <v>6614</v>
      </c>
      <c r="D232" s="420">
        <f t="array" ref="D232">INDEX(Import!D:D,MATCH(C232,Name,0))</f>
        <v>2.38</v>
      </c>
      <c r="E232" s="421">
        <f t="array" aca="1" ref="E232" ca="1">(INDEX(Import!I:I,MATCH(C232,Name,0))+INDEX(Import!L:L,MATCH(C232,Name,0))+INDEX('Form Import'!V:V,MATCH(A232,'Form Import'!F:F,0)))/3</f>
        <v>2.25</v>
      </c>
      <c r="F232" s="422" t="str">
        <f t="array" ref="F232">INDEX(Import!E:E,MATCH(C232,Name,0))</f>
        <v>Strich is a solution for underserved SMEs to manage their business &amp; financials in one place.</v>
      </c>
      <c r="G232" s="423" t="str">
        <f t="array" ref="G232">CONCATENATE(INDEX(Import!G:G,MATCH(C232,Import!C:C,0)),CHAR(10),INDEX(Import!I:I,MATCH(C232,Name,0)))</f>
        <v>Deepak Hegde
2</v>
      </c>
      <c r="H232" s="424">
        <f t="array" ref="H232">INDEX(Import!H:H,MATCH(C232,Name,0))</f>
        <v>0</v>
      </c>
      <c r="I232" s="423" t="str">
        <f t="array" ref="I232">CONCATENATE(INDEX(Import!J:J,MATCH(C232,Name,0)),CHAR(10),INDEX(Import!L:L,MATCH(C232,Name,0)))</f>
        <v>Beth Xie
2.75</v>
      </c>
      <c r="J232" s="424" t="str">
        <f t="array" ref="J232">INDEX(Import!K:K,MATCH(C232,Name,0))</f>
        <v>- This team has made lots of progress with gaining early traction with users.
- The technical moat is unclear given the technologies in this space are all readily available. 
- We should invite this team to interview next year.</v>
      </c>
      <c r="K232" s="423" t="str">
        <f t="array" aca="1" ref="K232" ca="1">CONCATENATE(INDEX('Form Import'!D:D,MATCH(A232,'Form Import'!F:F,0)),CHAR(10),INDEX('Form Import'!V:V,MATCH(A232,'Form Import'!F:F,0)))</f>
        <v>Chris Millisits
2</v>
      </c>
      <c r="L232" s="424" t="str">
        <f t="array" aca="1" ref="L232" ca="1">INDEX('Form Import'!W:W,MATCH(A232,'Form Import'!F:F,0))</f>
        <v>Largely worried about the defensibility of this tech. Some traction, but worried about lack of focus given 3 products producing only $5 revenue. Neonatal experience on the team, but limited business experience across the team.
Is it a concern this is still an LLC?</v>
      </c>
      <c r="M232" s="422"/>
      <c r="N232" s="422" t="str">
        <f t="array" aca="1" ref="N232" ca="1">INDEX('Form Import'!L:L,MATCH($A232,'Form Import'!$F:$F,0))</f>
        <v>The technology is better earmuffs for babies. Does not seem particularly novel or defensible, despite patents pending.</v>
      </c>
      <c r="O232" s="422" t="str">
        <f t="array" aca="1" ref="O232" ca="1">INDEX('Form Import'!O:O,MATCH($A232,'Form Import'!$F:$F,0))</f>
        <v>Approximately $5K/month in revenue pre-launch for the NICU and MRI products. Cites TAM as only $1B for the 3 products.</v>
      </c>
      <c r="P232" s="422" t="str">
        <f t="array" aca="1" ref="P232" ca="1">INDEX('Form Import'!S:S,MATCH($A232,'Form Import'!$F:$F,0))</f>
        <v>Didn't provide LinkedIn information, so relied on their self-supplied backgrounds and Google diligence. Good neonatal experience on the team. Previous exit by Managing Partner cited but hard to validate that it was a success. Other than that his experience is BD-heavy across many industries.</v>
      </c>
      <c r="Q232" s="422"/>
      <c r="R232" s="422"/>
      <c r="S232" s="422" t="e">
        <f t="array" aca="1" ref="S232" ca="1">_xludf.TextJoin("; ",1,INDEX(Import!S:S,MATCH(C232,Name,0)))</f>
        <v>#NAME?</v>
      </c>
    </row>
    <row r="233" spans="1:19" ht="96">
      <c r="A233" s="425" t="s">
        <v>6796</v>
      </c>
      <c r="B233" s="426" t="str">
        <f t="array" aca="1" ref="B233" ca="1">CONCATENATE(TEXT(INDEX(query!A:A,MATCH(C233,query!B:B,0)),"M/DD/YYY"),CHAR(10),INDEX(query!E:E,MATCH(C233,query!B:B,0)))</f>
        <v>8/03/2022
Invite</v>
      </c>
      <c r="C233" s="427" t="s">
        <v>262</v>
      </c>
      <c r="D233" s="428">
        <f t="array" ref="D233">INDEX(Import!D:D,MATCH(C233,Name,0))</f>
        <v>4</v>
      </c>
      <c r="E233" s="429">
        <f t="array" aca="1" ref="E233" ca="1">(INDEX(Import!I:I,MATCH(C233,Name,0))+INDEX(Import!L:L,MATCH(C233,Name,0))+INDEX('Form Import'!V:V,MATCH(A233,'Form Import'!F:F,0)))/3</f>
        <v>3</v>
      </c>
      <c r="F233" s="430" t="str">
        <f t="array" ref="F233">INDEX(Import!E:E,MATCH(C233,Name,0))</f>
        <v>Structure provides a mobile trading and investment platform that lets ordinary people (non-professionals) access a broad variety of asset classes like stocks, bonds, crypto, and ETFs. Structure can bring these products and services to people in emerging markets by leveraging the company's tokenization technology.</v>
      </c>
      <c r="G233" s="431" t="str">
        <f t="array" ref="G233">CONCATENATE(INDEX(Import!G:G,MATCH(C233,Import!C:C,0)),CHAR(10),INDEX(Import!I:I,MATCH(C233,Name,0)))</f>
        <v>Beth Xie
4</v>
      </c>
      <c r="H233" s="432" t="str">
        <f t="array" ref="H233">INDEX(Import!H:H,MATCH(C233,Name,0))</f>
        <v>The application does not address any financial regulatory issues. Nor does it give a clear sense of its customer acquisition strategy especially for the global markets the startup intends to serve. It is also unclear what is the moat of the technology. Little detail is given. These are all red flags. However, the pain point outlined (inability to trade crypto between stock 24/7) is a genuine issue and the success of fundraising from high profile crypto investors is a plus. EFL should interview this startup.</v>
      </c>
      <c r="I233" s="431" t="str">
        <f t="array" ref="I233">CONCATENATE(INDEX(Import!J:J,MATCH(C233,Name,0)),CHAR(10),INDEX(Import!L:L,MATCH(C233,Name,0)))</f>
        <v>Boyang Yu
4</v>
      </c>
      <c r="J233" s="432" t="str">
        <f t="array" ref="J233">INDEX(Import!K:K,MATCH(C233,Name,0))</f>
        <v>Confidential content might be a challenge in communication. But given the previous seed amount, it looks like a high profile crypto team</v>
      </c>
      <c r="K233" s="431" t="str">
        <f t="array" aca="1" ref="K233" ca="1">CONCATENATE(INDEX('Form Import'!D:D,MATCH(A233,'Form Import'!F:F,0)),CHAR(10),INDEX('Form Import'!V:V,MATCH(A233,'Form Import'!F:F,0)))</f>
        <v>Chris Millisits
1</v>
      </c>
      <c r="L233" s="432" t="str">
        <f t="array" aca="1" ref="L233" ca="1">INDEX('Form Import'!W:W,MATCH(A233,'Form Import'!F:F,0))</f>
        <v>Hyper competitive industry. Founder has limited work experience, especially in AI.</v>
      </c>
      <c r="M233" s="430"/>
      <c r="N233" s="430" t="str">
        <f t="array" aca="1" ref="N233" ca="1">INDEX('Form Import'!L:L,MATCH($A233,'Form Import'!$F:$F,0))</f>
        <v>Using technology for accounting and using AI for business process automation are both well-worn paths. SMBs have plenty of great cloud accounting software options today.</v>
      </c>
      <c r="O233" s="430" t="str">
        <f t="array" aca="1" ref="O233" ca="1">INDEX('Form Import'!O:O,MATCH($A233,'Form Import'!$F:$F,0))</f>
        <v>Pre-revenue, so no customer validation for their thesis, which is that businesses would prefer their AI-enabled solution to existing and well-adopted solutions..</v>
      </c>
      <c r="P233" s="430" t="str">
        <f t="array" aca="1" ref="P233" ca="1">INDEX('Form Import'!S:S,MATCH($A233,'Form Import'!$F:$F,0))</f>
        <v>Accountant building an accounting platform. Doesn't seem to have relevant AI experience.</v>
      </c>
      <c r="Q233" s="430"/>
      <c r="R233" s="430"/>
      <c r="S233" s="430" t="e">
        <f t="array" aca="1" ref="S233" ca="1">_xludf.TextJoin("; ",1,INDEX(Import!S:S,MATCH(C233,Name,0)))</f>
        <v>#NAME?</v>
      </c>
    </row>
    <row r="234" spans="1:19" ht="72">
      <c r="A234" s="418" t="s">
        <v>9799</v>
      </c>
      <c r="B234" s="419" t="str">
        <f t="array" aca="1" ref="B234" ca="1">CONCATENATE(TEXT(INDEX(query!A:A,MATCH(C234,query!B:B,0)),"M/DD/YYY"),CHAR(10),INDEX(query!E:E,MATCH(C234,query!B:B,0)))</f>
        <v>8/16/2022
Invite Next Year</v>
      </c>
      <c r="C234" s="85" t="s">
        <v>8006</v>
      </c>
      <c r="D234" s="420">
        <f t="array" ref="D234">INDEX(Import!D:D,MATCH(C234,Name,0))</f>
        <v>1.5</v>
      </c>
      <c r="E234" s="421">
        <f t="array" aca="1" ref="E234" ca="1">(INDEX(Import!I:I,MATCH(C234,Name,0))+INDEX(Import!L:L,MATCH(C234,Name,0))+INDEX('Form Import'!V:V,MATCH(A234,'Form Import'!F:F,0)))/3</f>
        <v>2.3333333333333335</v>
      </c>
      <c r="F234" s="422" t="str">
        <f t="array" ref="F234">INDEX(Import!E:E,MATCH(C234,Name,0))</f>
        <v>Studentocity is an app that provides a platform for students to complete each others tasks , creating a better, more productive community and a safer delivery environment.</v>
      </c>
      <c r="G234" s="423" t="str">
        <f t="array" ref="G234">CONCATENATE(INDEX(Import!G:G,MATCH(C234,Import!C:C,0)),CHAR(10),INDEX(Import!I:I,MATCH(C234,Name,0)))</f>
        <v>Beth Xie
1.5</v>
      </c>
      <c r="H234" s="424" t="str">
        <f t="array" ref="H234">INDEX(Import!H:H,MATCH(C234,Name,0))</f>
        <v>- Too much risks associated with this business model, such as student safety. 
- Not an area for EFL</v>
      </c>
      <c r="I234" s="423" t="str">
        <f t="array" ref="I234">CONCATENATE(INDEX(Import!J:J,MATCH(C234,Name,0)),CHAR(10),INDEX(Import!L:L,MATCH(C234,Name,0)))</f>
        <v>Matt Myers
1.5</v>
      </c>
      <c r="J234" s="424" t="str">
        <f t="array" ref="J234">INDEX(Import!K:K,MATCH(C234,Name,0))</f>
        <v>While some students might jump at the chance to take on these requests for some pocket change, the problems this service solves are not significant: plenty of campus safety violations (e.g., sexual assault) occur between students, most food deliveries by third parties are completed with no issues, etc. With little potential for growth, this doesn't seem like a good fit for EFL.</v>
      </c>
      <c r="K234" s="423" t="str">
        <f t="array" aca="1" ref="K234" ca="1">CONCATENATE(INDEX('Form Import'!D:D,MATCH(A234,'Form Import'!F:F,0)),CHAR(10),INDEX('Form Import'!V:V,MATCH(A234,'Form Import'!F:F,0)))</f>
        <v>Chris Millisits
4</v>
      </c>
      <c r="L234" s="424" t="str">
        <f t="array" aca="1" ref="L234" ca="1">INDEX('Form Import'!W:W,MATCH(A234,'Form Import'!F:F,0))</f>
        <v>Good team mix for this problem. Novel and IP protected technology, though it's tied to the founder not the company (who is licensing the technology). It's questionable whether they will be able to move into their market adjacency (allergies).</v>
      </c>
      <c r="M234" s="422"/>
      <c r="N234" s="422" t="str">
        <f t="array" aca="1" ref="N234" ca="1">INDEX('Form Import'!L:L,MATCH($A234,'Form Import'!$F:$F,0))</f>
        <v>The company doesn't own the technology, it's a license from the current President of the company.</v>
      </c>
      <c r="O234" s="422" t="str">
        <f t="array" aca="1" ref="O234" ca="1">INDEX('Form Import'!O:O,MATCH($A234,'Form Import'!$F:$F,0))</f>
        <v>Initial beachhead market (cutaneous mastocytosis treatment) is $200m, but the goal would be to take some of the $19b allergy market.
No customers and not planning to commercialize anytime soon. Have mostly spoken to patients, not customers.</v>
      </c>
      <c r="P234" s="422" t="str">
        <f t="array" aca="1" ref="P234" ca="1">INDEX('Form Import'!S:S,MATCH($A234,'Form Import'!$F:$F,0))</f>
        <v>Two PhDs - one with business development background and the other who was a professor at Rutgers where he did research leading to this technology.</v>
      </c>
      <c r="Q234" s="422"/>
      <c r="R234" s="422"/>
      <c r="S234" s="422" t="e">
        <f t="array" aca="1" ref="S234" ca="1">_xludf.TextJoin("; ",1,INDEX(Import!S:S,MATCH(C234,Name,0)))</f>
        <v>#NAME?</v>
      </c>
    </row>
    <row r="235" spans="1:19" ht="60">
      <c r="A235" s="425" t="s">
        <v>8918</v>
      </c>
      <c r="B235" s="426" t="str">
        <f t="array" aca="1" ref="B235" ca="1">CONCATENATE(TEXT(INDEX(query!A:A,MATCH(C235,query!B:B,0)),"M/DD/YYY"),CHAR(10),INDEX(query!E:E,MATCH(C235,query!B:B,0)))</f>
        <v>8/11/2022
Invite Next Year</v>
      </c>
      <c r="C235" s="427" t="s">
        <v>5765</v>
      </c>
      <c r="D235" s="428">
        <f t="array" ref="D235">INDEX(Import!D:D,MATCH(C235,Name,0))</f>
        <v>3</v>
      </c>
      <c r="E235" s="429">
        <f t="array" aca="1" ref="E235" ca="1">(INDEX(Import!I:I,MATCH(C235,Name,0))+INDEX(Import!L:L,MATCH(C235,Name,0))+INDEX('Form Import'!V:V,MATCH(A235,'Form Import'!F:F,0)))/3</f>
        <v>3.3333333333333335</v>
      </c>
      <c r="F235" s="430" t="str">
        <f t="array" ref="F235">INDEX(Import!E:E,MATCH(C235,Name,0))</f>
        <v>Summations' is the first accessible research portal for non-academics. Starting with higher education, 'Summations' is a research paper learning platform for solving the academic reading comprehension and scientific literacy problems prevalent in universities. 'Summations' provides students with on-demand support for reading academic articles.</v>
      </c>
      <c r="G235" s="431" t="str">
        <f t="array" ref="G235">CONCATENATE(INDEX(Import!G:G,MATCH(C235,Import!C:C,0)),CHAR(10),INDEX(Import!I:I,MATCH(C235,Name,0)))</f>
        <v>Beth Xie
3</v>
      </c>
      <c r="H235" s="432" t="str">
        <f t="array" ref="H235">INDEX(Import!H:H,MATCH(C235,Name,0))</f>
        <v>Still too early. Invite to apply next year.</v>
      </c>
      <c r="I235" s="431" t="str">
        <f t="array" ref="I235">CONCATENATE(INDEX(Import!J:J,MATCH(C235,Name,0)),CHAR(10),INDEX(Import!L:L,MATCH(C235,Name,0)))</f>
        <v>Shubo (Gabriel) Xu
3</v>
      </c>
      <c r="J235" s="432" t="str">
        <f t="array" ref="J235">INDEX(Import!K:K,MATCH(C235,Name,0))</f>
        <v>+
1. good idea that addresses a real problem
2. good team setup
-
1. little validation</v>
      </c>
      <c r="K235" s="431" t="str">
        <f t="array" aca="1" ref="K235" ca="1">CONCATENATE(INDEX('Form Import'!D:D,MATCH(A235,'Form Import'!F:F,0)),CHAR(10),INDEX('Form Import'!V:V,MATCH(A235,'Form Import'!F:F,0)))</f>
        <v>Chris MIllisits
4</v>
      </c>
      <c r="L235" s="432" t="str">
        <f t="array" aca="1" ref="L235" ca="1">INDEX('Form Import'!W:W,MATCH(A235,'Form Import'!F:F,0))</f>
        <v>Relevant team experience, somewhat novel approach. Large market opportunity. Ability to capture the market reliant on further research and efficacy of approach, which is still being validated (pre-clinical study).</v>
      </c>
      <c r="M235" s="430"/>
      <c r="N235" s="430" t="str">
        <f t="array" aca="1" ref="N235" ca="1">INDEX('Form Import'!L:L,MATCH($A235,'Form Import'!$F:$F,0))</f>
        <v>Don't own technology, it's licensed (it's a spin-out of ETH Zurich). Some direct competitors in imaging approach, but looking at different biomarkers. Though this is a competitive space in general</v>
      </c>
      <c r="O235" s="430" t="str">
        <f t="array" aca="1" ref="O235" ca="1">INDEX('Form Import'!O:O,MATCH($A235,'Form Import'!$F:$F,0))</f>
        <v>Big unsolved problem</v>
      </c>
      <c r="P235" s="430" t="str">
        <f t="array" aca="1" ref="P235" ca="1">INDEX('Form Import'!S:S,MATCH($A235,'Form Import'!$F:$F,0))</f>
        <v>Good mix of scientific and business experience on the team. Much of the team came over from ETH Zurich when Nemosia was spun out.</v>
      </c>
      <c r="Q235" s="430"/>
      <c r="R235" s="430"/>
      <c r="S235" s="430" t="e">
        <f t="array" aca="1" ref="S235" ca="1">_xludf.TextJoin("; ",1,INDEX(Import!S:S,MATCH(C235,Name,0)))</f>
        <v>#NAME?</v>
      </c>
    </row>
    <row r="236" spans="1:19" ht="60">
      <c r="A236" s="418" t="s">
        <v>8926</v>
      </c>
      <c r="B236" s="419" t="str">
        <f t="array" aca="1" ref="B236" ca="1">CONCATENATE(TEXT(INDEX(query!A:A,MATCH(C236,query!B:B,0)),"M/DD/YYY"),CHAR(10),INDEX(query!E:E,MATCH(C236,query!B:B,0)))</f>
        <v>8/16/2022
Invite</v>
      </c>
      <c r="C236" s="85" t="s">
        <v>165</v>
      </c>
      <c r="D236" s="420">
        <f t="array" ref="D236">INDEX(Import!D:D,MATCH(C236,Name,0))</f>
        <v>4.75</v>
      </c>
      <c r="E236" s="421">
        <f t="array" aca="1" ref="E236" ca="1">(INDEX(Import!I:I,MATCH(C236,Name,0))+INDEX(Import!L:L,MATCH(C236,Name,0))+INDEX('Form Import'!V:V,MATCH(A236,'Form Import'!F:F,0)))/3</f>
        <v>3.5</v>
      </c>
      <c r="F236" s="422" t="str">
        <f t="array" ref="F236">INDEX(Import!E:E,MATCH(C236,Name,0))</f>
        <v>Summer Robotics develops 3D perception software to solve critical safety and speed related challenges for customers in the mobility space, providing emergency collision avoidance, navigation, recognition and precision localization for on land, underwater and airborne machines.</v>
      </c>
      <c r="G236" s="423" t="str">
        <f t="array" ref="G236">CONCATENATE(INDEX(Import!G:G,MATCH(C236,Import!C:C,0)),CHAR(10),INDEX(Import!I:I,MATCH(C236,Name,0)))</f>
        <v>Beth Xie
4.5</v>
      </c>
      <c r="H236" s="424" t="str">
        <f t="array" ref="H236">INDEX(Import!H:H,MATCH(C236,Name,0))</f>
        <v>- Need to do more technical due diligence on if this innovation is important enough: what use cases are critical for Event Cameras plus LIDAR. 
- Lots of software innovation processing event camera output. 
- Founder has deep technical and industry background.</v>
      </c>
      <c r="I236" s="423" t="str">
        <f t="array" ref="I236">CONCATENATE(INDEX(Import!J:J,MATCH(C236,Name,0)),CHAR(10),INDEX(Import!L:L,MATCH(C236,Name,0)))</f>
        <v>Matt Myers
5</v>
      </c>
      <c r="J236" s="424" t="str">
        <f t="array" ref="J236">INDEX(Import!K:K,MATCH(C236,Name,0))</f>
        <v>Poised to make massive impact on robotics, strong complementary startup leadership, strong funding &amp; momentum, excellent fit for EFL.</v>
      </c>
      <c r="K236" s="423" t="str">
        <f t="array" aca="1" ref="K236" ca="1">CONCATENATE(INDEX('Form Import'!D:D,MATCH(A236,'Form Import'!F:F,0)),CHAR(10),INDEX('Form Import'!V:V,MATCH(A236,'Form Import'!F:F,0)))</f>
        <v>Chris Millisits
1</v>
      </c>
      <c r="L236" s="424" t="str">
        <f t="array" aca="1" ref="L236" ca="1">INDEX('Form Import'!W:W,MATCH(A236,'Form Import'!F:F,0))</f>
        <v>This one was misclassified as Life Sciences. They want to create a social network. As far as I know, that's outside the scope of EFL. Vague application overall, unsure as to what they're building but it's a "better" and "more connected" social media experience.</v>
      </c>
      <c r="M236" s="422"/>
      <c r="N236" s="422">
        <f t="array" aca="1" ref="N236" ca="1">INDEX('Form Import'!L:L,MATCH($A236,'Form Import'!$F:$F,0))</f>
        <v>0</v>
      </c>
      <c r="O236" s="422">
        <f t="array" aca="1" ref="O236" ca="1">INDEX('Form Import'!O:O,MATCH($A236,'Form Import'!$F:$F,0))</f>
        <v>0</v>
      </c>
      <c r="P236" s="422" t="str">
        <f t="array" aca="1" ref="P236" ca="1">INDEX('Form Import'!S:S,MATCH($A236,'Form Import'!$F:$F,0))</f>
        <v>Social neuroscientist on the team. I guess technically he's got the experience to innovate here.</v>
      </c>
      <c r="Q236" s="422"/>
      <c r="R236" s="422"/>
      <c r="S236" s="422" t="e">
        <f t="array" aca="1" ref="S236" ca="1">_xludf.TextJoin("; ",1,INDEX(Import!S:S,MATCH(C236,Name,0)))</f>
        <v>#NAME?</v>
      </c>
    </row>
    <row r="237" spans="1:19" ht="96">
      <c r="A237" s="425" t="s">
        <v>8934</v>
      </c>
      <c r="B237" s="426" t="str">
        <f t="array" aca="1" ref="B237" ca="1">CONCATENATE(TEXT(INDEX(query!A:A,MATCH(C237,query!B:B,0)),"M/DD/YYY"),CHAR(10),INDEX(query!E:E,MATCH(C237,query!B:B,0)))</f>
        <v>8/09/2022
Invite</v>
      </c>
      <c r="C237" s="427" t="s">
        <v>397</v>
      </c>
      <c r="D237" s="428">
        <f t="array" ref="D237">INDEX(Import!D:D,MATCH(C237,Name,0))</f>
        <v>4</v>
      </c>
      <c r="E237" s="429">
        <f t="array" aca="1" ref="E237" ca="1">(INDEX(Import!I:I,MATCH(C237,Name,0))+INDEX(Import!L:L,MATCH(C237,Name,0))+INDEX('Form Import'!V:V,MATCH(A237,'Form Import'!F:F,0)))/3</f>
        <v>4</v>
      </c>
      <c r="F237" s="430" t="str">
        <f t="array" ref="F237">INDEX(Import!E:E,MATCH(C237,Name,0))</f>
        <v>Summit is focused on improving healthcare outcomes using fluorescent biomarkers. When cancer is found early, interventions are more successful and less expensive. The problem is that many cancers are found after they have significantly progressed. Summit solves this problem by using PARP-targeting biomarkers to find cancer earlier.</v>
      </c>
      <c r="G237" s="431" t="str">
        <f t="array" ref="G237">CONCATENATE(INDEX(Import!G:G,MATCH(C237,Import!C:C,0)),CHAR(10),INDEX(Import!I:I,MATCH(C237,Name,0)))</f>
        <v>Chris Mosher
4</v>
      </c>
      <c r="H237" s="432" t="str">
        <f t="array" ref="H237">INDEX(Import!H:H,MATCH(C237,Name,0))</f>
        <v>Mouthwash to detect oral cancer via fluorescence and a known biomarker - also helps with visualizing the margins during tumor resection. Patented. Multiple SBIRs and STTR totaling &gt;$2M. They say they haven't previously applied, but they received a 4 last year and may have even interviewed (no notes on this, but post-interview status is "invite next year"). Since last year, started a Phase II clinical trial at MSKCC. No dentists on the team? If interviewed, ask them about this and about the potential platform applications.</v>
      </c>
      <c r="I237" s="431" t="str">
        <f t="array" ref="I237">CONCATENATE(INDEX(Import!J:J,MATCH(C237,Name,0)),CHAR(10),INDEX(Import!L:L,MATCH(C237,Name,0)))</f>
        <v>Parsa Amiri
4</v>
      </c>
      <c r="J237" s="432" t="str">
        <f t="array" ref="J237">INDEX(Import!K:K,MATCH(C237,Name,0))</f>
        <v>I want to know more about other potential applications of their technology, and the type of administration and visibility. Also, I wasn't able to fully understand the type of device needed for this tech to be coupled with. The price and popularity of this device is important because they will sell this product to laboratories and medical facilities, and the device must be present in those facilities. Plus, I want to know more about their data that they calculated precision (95%) based on.</v>
      </c>
      <c r="K237" s="431" t="str">
        <f t="array" aca="1" ref="K237" ca="1">CONCATENATE(INDEX('Form Import'!D:D,MATCH(A237,'Form Import'!F:F,0)),CHAR(10),INDEX('Form Import'!V:V,MATCH(A237,'Form Import'!F:F,0)))</f>
        <v>Chris Millisits
4</v>
      </c>
      <c r="L237" s="432" t="str">
        <f t="array" aca="1" ref="L237" ca="1">INDEX('Form Import'!W:W,MATCH(A237,'Form Import'!F:F,0))</f>
        <v>Already raised $10m+, and raising $30m+ for their Series A. Already burning $500k / month. Pre-clinical. Somewhat novel, good team experience, history of drug development.</v>
      </c>
      <c r="M237" s="430"/>
      <c r="N237" s="430" t="str">
        <f t="array" aca="1" ref="N237" ca="1">INDEX('Form Import'!L:L,MATCH($A237,'Form Import'!$F:$F,0))</f>
        <v>Hoping to enable a safer and more effective CAR T therapy through highly functional third-generation chimeric co-stimulatory receptors in T cells.</v>
      </c>
      <c r="O237" s="430" t="str">
        <f t="array" aca="1" ref="O237" ca="1">INDEX('Form Import'!O:O,MATCH($A237,'Form Import'!$F:$F,0))</f>
        <v>Pre-clinical</v>
      </c>
      <c r="P237" s="430" t="str">
        <f t="array" aca="1" ref="P237" ca="1">INDEX('Form Import'!S:S,MATCH($A237,'Form Import'!$F:$F,0))</f>
        <v>Co-founder &amp; CEO's experience was hard to validate (especially around his previous startup), so take it with a grain of salt. Good history of drug development.</v>
      </c>
      <c r="Q237" s="430"/>
      <c r="R237" s="430"/>
      <c r="S237" s="430" t="e">
        <f t="array" aca="1" ref="S237" ca="1">_xludf.TextJoin("; ",1,INDEX(Import!S:S,MATCH(C237,Name,0)))</f>
        <v>#NAME?</v>
      </c>
    </row>
    <row r="238" spans="1:19" ht="48">
      <c r="A238" s="418" t="s">
        <v>7924</v>
      </c>
      <c r="B238" s="419" t="str">
        <f t="array" aca="1" ref="B238" ca="1">CONCATENATE(TEXT(INDEX(query!A:A,MATCH(C238,query!B:B,0)),"M/DD/YYY"),CHAR(10),INDEX(query!E:E,MATCH(C238,query!B:B,0)))</f>
        <v>8/24/2022
Invite Next Year</v>
      </c>
      <c r="C238" s="85" t="s">
        <v>6865</v>
      </c>
      <c r="D238" s="420">
        <f t="array" ref="D238">INDEX(Import!D:D,MATCH(C238,Name,0))</f>
        <v>2.25</v>
      </c>
      <c r="E238" s="421">
        <f t="array" aca="1" ref="E238" ca="1">(INDEX(Import!I:I,MATCH(C238,Name,0))+INDEX(Import!L:L,MATCH(C238,Name,0))+INDEX('Form Import'!V:V,MATCH(A238,'Form Import'!F:F,0)))/3</f>
        <v>2.8333333333333335</v>
      </c>
      <c r="F238" s="422" t="str">
        <f t="array" ref="F238">INDEX(Import!E:E,MATCH(C238,Name,0))</f>
        <v>SuperFi leverages open banking, proprietary algorithms and data to help people struggling with their debts select the most effective path to debt freedom.</v>
      </c>
      <c r="G238" s="423" t="str">
        <f t="array" ref="G238">CONCATENATE(INDEX(Import!G:G,MATCH(C238,Import!C:C,0)),CHAR(10),INDEX(Import!I:I,MATCH(C238,Name,0)))</f>
        <v>Matt Myers
2</v>
      </c>
      <c r="H238" s="424" t="str">
        <f t="array" ref="H238">INDEX(Import!H:H,MATCH(C238,Name,0))</f>
        <v>Feels early for EFL (still largely concept), no tech validation or patent.</v>
      </c>
      <c r="I238" s="423" t="str">
        <f t="array" ref="I238">CONCATENATE(INDEX(Import!J:J,MATCH(C238,Name,0)),CHAR(10),INDEX(Import!L:L,MATCH(C238,Name,0)))</f>
        <v>Parsa Amiri
2.5</v>
      </c>
      <c r="J238" s="424" t="str">
        <f t="array" ref="J238">INDEX(Import!K:K,MATCH(C238,Name,0))</f>
        <v>Not a significant tech play, and the area is highly competitive.</v>
      </c>
      <c r="K238" s="423" t="str">
        <f t="array" aca="1" ref="K238" ca="1">CONCATENATE(INDEX('Form Import'!D:D,MATCH(A238,'Form Import'!F:F,0)),CHAR(10),INDEX('Form Import'!V:V,MATCH(A238,'Form Import'!F:F,0)))</f>
        <v>Chris Millisits
4</v>
      </c>
      <c r="L238" s="424" t="str">
        <f t="array" aca="1" ref="L238" ca="1">INDEX('Form Import'!W:W,MATCH(A238,'Form Import'!F:F,0))</f>
        <v>Compelling vision and mission. Very early (pre-product), and would like to see more proof points. Team has good experience in the space, if not spectacular. B2C entertainment platform that is pre-product, so would be taking a leap of faith here based on team and mission.</v>
      </c>
      <c r="M238" s="422"/>
      <c r="N238" s="422" t="str">
        <f t="array" aca="1" ref="N238" ca="1">INDEX('Form Import'!L:L,MATCH($A238,'Form Import'!$F:$F,0))</f>
        <v>At concept stage. A provisional patent related to custom character design won't provide much protection.</v>
      </c>
      <c r="O238" s="422" t="str">
        <f t="array" aca="1" ref="O238" ca="1">INDEX('Form Import'!O:O,MATCH($A238,'Form Import'!$F:$F,0))</f>
        <v>Have been meeting with parents (the customer), but are pre-product</v>
      </c>
      <c r="P238" s="422" t="str">
        <f t="array" aca="1" ref="P238" ca="1">INDEX('Form Import'!S:S,MATCH($A238,'Form Import'!$F:$F,0))</f>
        <v>Mix of engineers, brand/design and product experience. VR experience in product and brand on the team.</v>
      </c>
      <c r="Q238" s="422"/>
      <c r="R238" s="422"/>
      <c r="S238" s="422" t="e">
        <f t="array" aca="1" ref="S238" ca="1">_xludf.TextJoin("; ",1,INDEX(Import!S:S,MATCH(C238,Name,0)))</f>
        <v>#NAME?</v>
      </c>
    </row>
    <row r="239" spans="1:19" ht="36">
      <c r="A239" s="425" t="s">
        <v>4347</v>
      </c>
      <c r="B239" s="426" t="str">
        <f t="array" aca="1" ref="B239" ca="1">CONCATENATE(TEXT(INDEX(query!A:A,MATCH(C239,query!B:B,0)),"M/DD/YYY"),CHAR(10),INDEX(query!E:E,MATCH(C239,query!B:B,0)))</f>
        <v>8/03/2022
Invite Next Year</v>
      </c>
      <c r="C239" s="427" t="s">
        <v>8014</v>
      </c>
      <c r="D239" s="428">
        <f t="array" ref="D239">INDEX(Import!D:D,MATCH(C239,Name,0))</f>
        <v>1.5</v>
      </c>
      <c r="E239" s="429">
        <f t="array" aca="1" ref="E239" ca="1">(INDEX(Import!I:I,MATCH(C239,Name,0))+INDEX(Import!L:L,MATCH(C239,Name,0))+INDEX('Form Import'!V:V,MATCH(A239,'Form Import'!F:F,0)))/3</f>
        <v>2.3333333333333335</v>
      </c>
      <c r="F239" s="430" t="str">
        <f t="array" ref="F239">INDEX(Import!E:E,MATCH(C239,Name,0))</f>
        <v>Our augmented reality solution gets maintenance to the next level. AR apps support remote maintenance of the equipment and enable experts to remotely advise maintenance engineers to fulfill their tasks. With the help of augmented reality, maintenance time and errors are reduced, and it saves significant funds on the trips of high-level specialists.</v>
      </c>
      <c r="G239" s="431" t="str">
        <f t="array" ref="G239">CONCATENATE(INDEX(Import!G:G,MATCH(C239,Import!C:C,0)),CHAR(10),INDEX(Import!I:I,MATCH(C239,Name,0)))</f>
        <v>Mark Flynn
2</v>
      </c>
      <c r="H239" s="432" t="str">
        <f t="array" ref="H239">INDEX(Import!H:H,MATCH(C239,Name,0))</f>
        <v>The founding team seems to be working on several startups at once; most are only PT on this one.  Company seems similar to Spiral Technologies but with less innovation.</v>
      </c>
      <c r="I239" s="431" t="str">
        <f t="array" ref="I239">CONCATENATE(INDEX(Import!J:J,MATCH(C239,Name,0)),CHAR(10),INDEX(Import!L:L,MATCH(C239,Name,0)))</f>
        <v>Boyang Yu
1</v>
      </c>
      <c r="J239" s="432" t="str">
        <f t="array" ref="J239">INDEX(Import!K:K,MATCH(C239,Name,0))</f>
        <v>This is an early-stage start up with good motivation and insight. But the technological innovation is vague</v>
      </c>
      <c r="K239" s="431" t="str">
        <f t="array" aca="1" ref="K239" ca="1">CONCATENATE(INDEX('Form Import'!D:D,MATCH(A239,'Form Import'!F:F,0)),CHAR(10),INDEX('Form Import'!V:V,MATCH(A239,'Form Import'!F:F,0)))</f>
        <v>Chris Millisits
4</v>
      </c>
      <c r="L239" s="432" t="str">
        <f t="array" aca="1" ref="L239" ca="1">INDEX('Form Import'!W:W,MATCH(A239,'Form Import'!F:F,0))</f>
        <v>Strong team with history of running successful startups. Biggest concern is around defensibility of their software/hardware-based solution.</v>
      </c>
      <c r="M239" s="430"/>
      <c r="N239" s="430" t="str">
        <f t="array" aca="1" ref="N239" ca="1">INDEX('Form Import'!L:L,MATCH($A239,'Form Import'!$F:$F,0))</f>
        <v>There is a need for the product that has been exacerbated by the COVID-19 epidemic. Limited information provided around IP protection, but</v>
      </c>
      <c r="O239" s="430" t="str">
        <f t="array" aca="1" ref="O239" ca="1">INDEX('Form Import'!O:O,MATCH($A239,'Form Import'!$F:$F,0))</f>
        <v>$100k since launching the first product in July. Strong potential in LATAM and other developing markets.</v>
      </c>
      <c r="P239" s="430" t="str">
        <f t="array" aca="1" ref="P239" ca="1">INDEX('Form Import'!S:S,MATCH($A239,'Form Import'!$F:$F,0))</f>
        <v>Strong team background in application software and nanotechnology. History of founding startups by multiple founders. Vision for handheld monitoring beyond the current use case, and would make use of ubiquitous smartphone technology in target markets.</v>
      </c>
      <c r="Q239" s="430"/>
      <c r="R239" s="430"/>
      <c r="S239" s="430" t="e">
        <f t="array" aca="1" ref="S239" ca="1">_xludf.TextJoin("; ",1,INDEX(Import!S:S,MATCH(C239,Name,0)))</f>
        <v>#NAME?</v>
      </c>
    </row>
    <row r="240" spans="1:19" ht="108">
      <c r="A240" s="418" t="s">
        <v>2964</v>
      </c>
      <c r="B240" s="419" t="str">
        <f t="array" aca="1" ref="B240" ca="1">CONCATENATE(TEXT(INDEX(query!A:A,MATCH(C240,query!B:B,0)),"M/DD/YYY"),CHAR(10),INDEX(query!E:E,MATCH(C240,query!B:B,0)))</f>
        <v>8/09/2022
Invite Next Year</v>
      </c>
      <c r="C240" s="85" t="s">
        <v>9210</v>
      </c>
      <c r="D240" s="420">
        <f t="array" ref="D240">INDEX(Import!D:D,MATCH(C240,Name,0))</f>
        <v>3.25</v>
      </c>
      <c r="E240" s="421">
        <f t="array" aca="1" ref="E240" ca="1">(INDEX(Import!I:I,MATCH(C240,Name,0))+INDEX(Import!L:L,MATCH(C240,Name,0))+INDEX('Form Import'!V:V,MATCH(A240,'Form Import'!F:F,0)))/3</f>
        <v>2.5</v>
      </c>
      <c r="F240" s="422" t="str">
        <f t="array" ref="F240">INDEX(Import!E:E,MATCH(C240,Name,0))</f>
        <v>Saffron Telehealth offers a uniquely vendor-neutral, Machine Learning/AI platform (Ginger) that solves the problems unique to long-term and chronic care. By providing a link between third-party systems, wearables, patients, providers, facilities and caretakers, Saffron streamlines care and communications.</v>
      </c>
      <c r="G240" s="423" t="str">
        <f t="array" ref="G240">CONCATENATE(INDEX(Import!G:G,MATCH(C240,Import!C:C,0)),CHAR(10),INDEX(Import!I:I,MATCH(C240,Name,0)))</f>
        <v>Beth Xie
3</v>
      </c>
      <c r="H240" s="424" t="str">
        <f t="array" ref="H240">INDEX(Import!H:H,MATCH(C240,Name,0))</f>
        <v>- The application is self contradictory. The startup has no revenue, but the application mentions that the long term care industry has received the company very well. There should be at least some LOI or POC with some revenue projection. 
- Unclear technical moat.  
- The founder seem to have lots of startup exit experience as a co-founder and an investor.
- The pain point solved is a big one given global aging and the need for improved Telehealth solutions.</v>
      </c>
      <c r="I240" s="423" t="str">
        <f t="array" ref="I240">CONCATENATE(INDEX(Import!J:J,MATCH(C240,Name,0)),CHAR(10),INDEX(Import!L:L,MATCH(C240,Name,0)))</f>
        <v>Boyang Yu
3.5</v>
      </c>
      <c r="J240" s="424">
        <f t="array" ref="J240">INDEX(Import!K:K,MATCH(C240,Name,0))</f>
        <v>0</v>
      </c>
      <c r="K240" s="423" t="str">
        <f t="array" aca="1" ref="K240" ca="1">CONCATENATE(INDEX('Form Import'!D:D,MATCH(A240,'Form Import'!F:F,0)),CHAR(10),INDEX('Form Import'!V:V,MATCH(A240,'Form Import'!F:F,0)))</f>
        <v>Chris Millisits
1</v>
      </c>
      <c r="L240" s="424" t="str">
        <f t="array" aca="1" ref="L240" ca="1">INDEX('Form Import'!W:W,MATCH(A240,'Form Import'!F:F,0))</f>
        <v>Duplicate application with NETTOYER AUTOMOTIVES PRIVATE LIMITED</v>
      </c>
      <c r="M240" s="422"/>
      <c r="N240" s="422" t="str">
        <f t="array" aca="1" ref="N240" ca="1">INDEX('Form Import'!L:L,MATCH($A240,'Form Import'!$F:$F,0))</f>
        <v>Duplicate application with NETTOYER AUTOMOTIVES PRIVATE LIMITED</v>
      </c>
      <c r="O240" s="422" t="str">
        <f t="array" aca="1" ref="O240" ca="1">INDEX('Form Import'!O:O,MATCH($A240,'Form Import'!$F:$F,0))</f>
        <v>Duplicate application with NETTOYER AUTOMOTIVES PRIVATE LIMITED</v>
      </c>
      <c r="P240" s="422" t="str">
        <f t="array" aca="1" ref="P240" ca="1">INDEX('Form Import'!S:S,MATCH($A240,'Form Import'!$F:$F,0))</f>
        <v>Duplicate application with NETTOYER AUTOMOTIVES PRIVATE LIMITED</v>
      </c>
      <c r="Q240" s="422"/>
      <c r="R240" s="422"/>
      <c r="S240" s="422" t="e">
        <f t="array" aca="1" ref="S240" ca="1">_xludf.TextJoin("; ",1,INDEX(Import!S:S,MATCH(C240,Name,0)))</f>
        <v>#NAME?</v>
      </c>
    </row>
    <row r="241" spans="1:19" ht="48">
      <c r="A241" s="425" t="s">
        <v>1326</v>
      </c>
      <c r="B241" s="426" t="str">
        <f t="array" aca="1" ref="B241" ca="1">CONCATENATE(TEXT(INDEX(query!A:A,MATCH(C241,query!B:B,0)),"M/DD/YYY"),CHAR(10),INDEX(query!E:E,MATCH(C241,query!B:B,0)))</f>
        <v>8/23/2022
Invite Next Year</v>
      </c>
      <c r="C241" s="427" t="s">
        <v>3340</v>
      </c>
      <c r="D241" s="428">
        <f t="array" ref="D241">INDEX(Import!D:D,MATCH(C241,Name,0))</f>
        <v>2.5</v>
      </c>
      <c r="E241" s="429">
        <f t="array" aca="1" ref="E241" ca="1">(INDEX(Import!I:I,MATCH(C241,Name,0))+INDEX(Import!L:L,MATCH(C241,Name,0))+INDEX('Form Import'!V:V,MATCH(A241,'Form Import'!F:F,0)))/3</f>
        <v>3</v>
      </c>
      <c r="F241" s="430">
        <f t="array" ref="F241">INDEX(Import!E:E,MATCH(C241,Name,0))</f>
        <v>0</v>
      </c>
      <c r="G241" s="431" t="str">
        <f t="array" ref="G241">CONCATENATE(INDEX(Import!G:G,MATCH(C241,Import!C:C,0)),CHAR(10),INDEX(Import!I:I,MATCH(C241,Name,0)))</f>
        <v>Khoa Ma
2</v>
      </c>
      <c r="H241" s="432" t="str">
        <f t="array" ref="H241">INDEX(Import!H:H,MATCH(C241,Name,0))</f>
        <v>geo-intelligence SaaS platform that empowers decision-makers in the green transition to make better and faster decisions on where to develop new green industries
not novel or tech</v>
      </c>
      <c r="I241" s="431" t="str">
        <f t="array" ref="I241">CONCATENATE(INDEX(Import!J:J,MATCH(C241,Name,0)),CHAR(10),INDEX(Import!L:L,MATCH(C241,Name,0)))</f>
        <v>Arthur Ibanda
3</v>
      </c>
      <c r="J241" s="432" t="str">
        <f t="array" ref="J241">INDEX(Import!K:K,MATCH(C241,Name,0))</f>
        <v>(+)The global geospatial analytics market is large and projected to grow
(~)The technology appears to still be in the MVP stage and not developed so it is difficult to determine
(-)Might be too early for EFL</v>
      </c>
      <c r="K241" s="431" t="str">
        <f t="array" aca="1" ref="K241" ca="1">CONCATENATE(INDEX('Form Import'!D:D,MATCH(A241,'Form Import'!F:F,0)),CHAR(10),INDEX('Form Import'!V:V,MATCH(A241,'Form Import'!F:F,0)))</f>
        <v>Chris Millisits
4</v>
      </c>
      <c r="L241" s="432" t="str">
        <f t="array" aca="1" ref="L241" ca="1">INDEX('Form Import'!W:W,MATCH(A241,'Form Import'!F:F,0))</f>
        <v>CEO has a strong track record in medical devices. Broad IP portfolio. Some product validation, but limited traction to date. This is a crowded space (diagnostics for neurocognitive diseases) with a lot of new entrants.</v>
      </c>
      <c r="M241" s="430"/>
      <c r="N241" s="430" t="str">
        <f t="array" aca="1" ref="N241" ca="1">INDEX('Form Import'!L:L,MATCH($A241,'Form Import'!$F:$F,0))</f>
        <v>Large IP portfolio for Parkinson's (51 biomarkers), validated across 6 NIH datasets.</v>
      </c>
      <c r="O241" s="430" t="str">
        <f t="array" aca="1" ref="O241" ca="1">INDEX('Form Import'!O:O,MATCH($A241,'Form Import'!$F:$F,0))</f>
        <v>Large market, no traction to date</v>
      </c>
      <c r="P241" s="430" t="str">
        <f t="array" aca="1" ref="P241" ca="1">INDEX('Form Import'!S:S,MATCH($A241,'Form Import'!$F:$F,0))</f>
        <v>CEO &amp; co-founder has strong track record of product development in medical devices. The other co-founders have less experience but there's a good mix across business disciplines despite the relative inexperience.</v>
      </c>
      <c r="Q241" s="430"/>
      <c r="R241" s="430"/>
      <c r="S241" s="430" t="e">
        <f t="array" aca="1" ref="S241" ca="1">_xludf.TextJoin("; ",1,INDEX(Import!S:S,MATCH(C241,Name,0)))</f>
        <v>#NAME?</v>
      </c>
    </row>
    <row r="242" spans="1:19" ht="48">
      <c r="A242" s="418" t="s">
        <v>8941</v>
      </c>
      <c r="B242" s="419" t="str">
        <f t="array" aca="1" ref="B242" ca="1">CONCATENATE(TEXT(INDEX(query!A:A,MATCH(C242,query!B:B,0)),"M/DD/YYY"),CHAR(10),INDEX(query!E:E,MATCH(C242,query!B:B,0)))</f>
        <v>8/16/2022
Invite</v>
      </c>
      <c r="C242" s="85" t="s">
        <v>249</v>
      </c>
      <c r="D242" s="420">
        <f t="array" ref="D242">INDEX(Import!D:D,MATCH(C242,Name,0))</f>
        <v>4</v>
      </c>
      <c r="E242" s="421">
        <f t="array" aca="1" ref="E242" ca="1">(INDEX(Import!I:I,MATCH(C242,Name,0))+INDEX(Import!L:L,MATCH(C242,Name,0))+INDEX('Form Import'!V:V,MATCH(A242,'Form Import'!F:F,0)))/3</f>
        <v>3.3333333333333335</v>
      </c>
      <c r="F242" s="422" t="str">
        <f t="array" ref="F242">INDEX(Import!E:E,MATCH(C242,Name,0))</f>
        <v>PSi is a collective intelligence voice platform to host large-scale voice conversations that generate stakeholder/customer insights. PSi is more engaging than using text-based listening tools like surveys and polls, and more scalable and cost-effective than holding customer focus groups.</v>
      </c>
      <c r="G242" s="423" t="str">
        <f t="array" ref="G242">CONCATENATE(INDEX(Import!G:G,MATCH(C242,Import!C:C,0)),CHAR(10),INDEX(Import!I:I,MATCH(C242,Name,0)))</f>
        <v>Beth Xie
4</v>
      </c>
      <c r="H242" s="424" t="str">
        <f t="array" ref="H242">INDEX(Import!H:H,MATCH(C242,Name,0))</f>
        <v>- Outstanding team
- Showing traction already 
- Fundraising and grant success
- Product market fit is relevant in a hybrid work environment</v>
      </c>
      <c r="I242" s="423" t="str">
        <f t="array" ref="I242">CONCATENATE(INDEX(Import!J:J,MATCH(C242,Name,0)),CHAR(10),INDEX(Import!L:L,MATCH(C242,Name,0)))</f>
        <v>Matt Myers
4</v>
      </c>
      <c r="J242" s="424" t="str">
        <f t="array" ref="J242">INDEX(Import!K:K,MATCH(C242,Name,0))</f>
        <v>Very strong team and strong momentum, potential for significant impact. Feels like EFL fit.</v>
      </c>
      <c r="K242" s="423" t="str">
        <f t="array" aca="1" ref="K242" ca="1">CONCATENATE(INDEX('Form Import'!D:D,MATCH(A242,'Form Import'!F:F,0)),CHAR(10),INDEX('Form Import'!V:V,MATCH(A242,'Form Import'!F:F,0)))</f>
        <v>Chris Millisits
2</v>
      </c>
      <c r="L242" s="424" t="str">
        <f t="array" aca="1" ref="L242" ca="1">INDEX('Form Import'!W:W,MATCH(A242,'Form Import'!F:F,0))</f>
        <v>Small market size, limited ability to pay from ICP, and it's a non-profit. Additionally, training-based program is unlikely to serve as much of a moat, despite VR angle.</v>
      </c>
      <c r="M242" s="422"/>
      <c r="N242" s="422" t="str">
        <f t="array" aca="1" ref="N242" ca="1">INDEX('Form Import'!L:L,MATCH($A242,'Form Import'!$F:$F,0))</f>
        <v>Training program is unlikely to be defensible. They hope to get IP protection around their findings, but don't think that prevents market entry of competitors.</v>
      </c>
      <c r="O242" s="422" t="str">
        <f t="array" aca="1" ref="O242" ca="1">INDEX('Form Import'!O:O,MATCH($A242,'Form Import'!$F:$F,0))</f>
        <v>This is a non-profit serving Community-Based Organizations (CBOs). The bottoms-up TAM does not look very large, despite the overall size of the mental health market.</v>
      </c>
      <c r="P242" s="422" t="str">
        <f t="array" aca="1" ref="P242" ca="1">INDEX('Form Import'!S:S,MATCH($A242,'Form Import'!$F:$F,0))</f>
        <v>VR/XR experience for both cofounders. Not a lot of medical experience between the two. Highlighted some small projects, hinting at inexperience in larger scale enterprises.</v>
      </c>
      <c r="Q242" s="422"/>
      <c r="R242" s="422"/>
      <c r="S242" s="422" t="e">
        <f t="array" aca="1" ref="S242" ca="1">_xludf.TextJoin("; ",1,INDEX(Import!S:S,MATCH(C242,Name,0)))</f>
        <v>#NAME?</v>
      </c>
    </row>
    <row r="243" spans="1:19" ht="48">
      <c r="A243" s="425" t="s">
        <v>5139</v>
      </c>
      <c r="B243" s="426" t="str">
        <f t="array" aca="1" ref="B243" ca="1">CONCATENATE(TEXT(INDEX(query!A:A,MATCH(C243,query!B:B,0)),"M/DD/YYY"),CHAR(10),INDEX(query!E:E,MATCH(C243,query!B:B,0)))</f>
        <v>8/16/2022
Invite Next Year</v>
      </c>
      <c r="C243" s="427" t="s">
        <v>9219</v>
      </c>
      <c r="D243" s="428">
        <f t="array" ref="D243">INDEX(Import!D:D,MATCH(C243,Name,0))</f>
        <v>1</v>
      </c>
      <c r="E243" s="429">
        <f t="array" aca="1" ref="E243" ca="1">(INDEX(Import!I:I,MATCH(C243,Name,0))+INDEX(Import!L:L,MATCH(C243,Name,0))+INDEX('Form Import'!V:V,MATCH(A243,'Form Import'!F:F,0)))/3</f>
        <v>1.3333333333333333</v>
      </c>
      <c r="F243" s="430" t="str">
        <f t="array" ref="F243">INDEX(Import!E:E,MATCH(C243,Name,0))</f>
        <v>creating infection control material from sustainable products</v>
      </c>
      <c r="G243" s="431" t="str">
        <f t="array" ref="G243">CONCATENATE(INDEX(Import!G:G,MATCH(C243,Import!C:C,0)),CHAR(10),INDEX(Import!I:I,MATCH(C243,Name,0)))</f>
        <v>Larisa Kagermazova
1</v>
      </c>
      <c r="H243" s="432">
        <f t="array" ref="H243">INDEX(Import!H:H,MATCH(C243,Name,0))</f>
        <v>0</v>
      </c>
      <c r="I243" s="431" t="str">
        <f t="array" ref="I243">CONCATENATE(INDEX(Import!J:J,MATCH(C243,Name,0)),CHAR(10),INDEX(Import!L:L,MATCH(C243,Name,0)))</f>
        <v>Parsa Amiri
1</v>
      </c>
      <c r="J243" s="432" t="str">
        <f t="array" ref="J243">INDEX(Import!K:K,MATCH(C243,Name,0))</f>
        <v>CONCEPT. ZERO FUND RAISED.</v>
      </c>
      <c r="K243" s="431" t="str">
        <f t="array" aca="1" ref="K243" ca="1">CONCATENATE(INDEX('Form Import'!D:D,MATCH(A243,'Form Import'!F:F,0)),CHAR(10),INDEX('Form Import'!V:V,MATCH(A243,'Form Import'!F:F,0)))</f>
        <v>Chris Millisits
2</v>
      </c>
      <c r="L243" s="432" t="str">
        <f t="array" aca="1" ref="L243" ca="1">INDEX('Form Import'!W:W,MATCH(A243,'Form Import'!F:F,0))</f>
        <v>Early diagnosis through mobile games is not a novel approach. Team has previous founding experience, and some of it directly relevant. Overall, not convinced that adoption will be to the extent to sustain many winners in this space.</v>
      </c>
      <c r="M243" s="430"/>
      <c r="N243" s="430" t="str">
        <f t="array" aca="1" ref="N243" ca="1">INDEX('Form Import'!L:L,MATCH($A243,'Form Import'!$F:$F,0))</f>
        <v>Usability, feasibility and preclinical trial studies. Filing for patents, but at the end of the day is creating digital markers via mobile games. Common approach in the market right now.</v>
      </c>
      <c r="O243" s="430" t="str">
        <f t="array" aca="1" ref="O243" ca="1">INDEX('Form Import'!O:O,MATCH($A243,'Form Import'!$F:$F,0))</f>
        <v>No bottoms-up analysis, but making loose assumptions on pricing and ICP, this isn't a huge market (contrary to what was shown in the deck).</v>
      </c>
      <c r="P243" s="430" t="str">
        <f t="array" aca="1" ref="P243" ca="1">INDEX('Form Import'!S:S,MATCH($A243,'Form Import'!$F:$F,0))</f>
        <v>CEO is a consultant, moved into biotech in 2018, has previous experience founding algorithmic trading firm. CSO has psychiatry research background and previous founding experience, but is still only part-time.</v>
      </c>
      <c r="Q243" s="430"/>
      <c r="R243" s="430"/>
      <c r="S243" s="430" t="e">
        <f t="array" aca="1" ref="S243" ca="1">_xludf.TextJoin("; ",1,INDEX(Import!S:S,MATCH(C243,Name,0)))</f>
        <v>#NAME?</v>
      </c>
    </row>
    <row r="244" spans="1:19" ht="60">
      <c r="A244" s="418" t="s">
        <v>13172</v>
      </c>
      <c r="B244" s="419" t="str">
        <f t="array" aca="1" ref="B244" ca="1">CONCATENATE(TEXT(INDEX(query!A:A,MATCH(C244,query!B:B,0)),"M/DD/YYY"),CHAR(10),INDEX(query!E:E,MATCH(C244,query!B:B,0)))</f>
        <v>8/11/2022
Invite</v>
      </c>
      <c r="C244" s="85" t="s">
        <v>266</v>
      </c>
      <c r="D244" s="420">
        <f t="array" ref="D244">INDEX(Import!D:D,MATCH(C244,Name,0))</f>
        <v>4.25</v>
      </c>
      <c r="E244" s="421">
        <f t="array" aca="1" ref="E244" ca="1">(INDEX(Import!I:I,MATCH(C244,Name,0))+INDEX(Import!L:L,MATCH(C244,Name,0))+INDEX('Form Import'!V:V,MATCH(A244,'Form Import'!F:F,0)))/3</f>
        <v>4.166666666666667</v>
      </c>
      <c r="F244" s="422" t="str">
        <f t="array" ref="F244">INDEX(Import!E:E,MATCH(C244,Name,0))</f>
        <v>Sustain is the first insurance platform for analyzing and underwriting the risks of AI/ML-driven errors arising in healthcare.  Our initial market is insurance for diagnostic errors in digital radiology and digital pathology.</v>
      </c>
      <c r="G244" s="423" t="str">
        <f t="array" ref="G244">CONCATENATE(INDEX(Import!G:G,MATCH(C244,Import!C:C,0)),CHAR(10),INDEX(Import!I:I,MATCH(C244,Name,0)))</f>
        <v>Mark Flynn
4</v>
      </c>
      <c r="H244" s="424" t="str">
        <f t="array" ref="H244">INDEX(Import!H:H,MATCH(C244,Name,0))</f>
        <v>The innovation is in providing insurance for AI diagnostic errors in healthcare, which doesn't seem to have been done previously; team has great experience and education; opportunity could be large but likely difficult to start given novelty of idea; no proof of need but logically makes sense; would interview</v>
      </c>
      <c r="I244" s="423" t="str">
        <f t="array" ref="I244">CONCATENATE(INDEX(Import!J:J,MATCH(C244,Name,0)),CHAR(10),INDEX(Import!L:L,MATCH(C244,Name,0)))</f>
        <v>Boyang Yu
4.5</v>
      </c>
      <c r="J244" s="424">
        <f t="array" ref="J244">INDEX(Import!K:K,MATCH(C244,Name,0))</f>
        <v>0</v>
      </c>
      <c r="K244" s="423" t="str">
        <f t="array" aca="1" ref="K244" ca="1">CONCATENATE(INDEX('Form Import'!D:D,MATCH(A244,'Form Import'!F:F,0)),CHAR(10),INDEX('Form Import'!V:V,MATCH(A244,'Form Import'!F:F,0)))</f>
        <v>Chris Millisits
4</v>
      </c>
      <c r="L244" s="424" t="str">
        <f t="array" aca="1" ref="L244" ca="1">INDEX('Form Import'!W:W,MATCH(A244,'Form Import'!F:F,0))</f>
        <v>CEO has relevant experience, seems like a novel approach compared to competitors. Non-trivial market size.</v>
      </c>
      <c r="M244" s="422"/>
      <c r="N244" s="422" t="str">
        <f t="array" aca="1" ref="N244" ca="1">INDEX('Form Import'!L:L,MATCH($A244,'Form Import'!$F:$F,0))</f>
        <v>Novel approach, IP protection</v>
      </c>
      <c r="O244" s="422" t="str">
        <f t="array" aca="1" ref="O244" ca="1">INDEX('Form Import'!O:O,MATCH($A244,'Form Import'!$F:$F,0))</f>
        <v>Medium-large market opportunity. Have no spoken to customers</v>
      </c>
      <c r="P244" s="422" t="str">
        <f t="array" aca="1" ref="P244" ca="1">INDEX('Form Import'!S:S,MATCH($A244,'Form Import'!$F:$F,0))</f>
        <v>22 years running a genomic research firm, with many successfully generated products</v>
      </c>
      <c r="Q244" s="422"/>
      <c r="R244" s="422"/>
      <c r="S244" s="422" t="e">
        <f t="array" aca="1" ref="S244" ca="1">_xludf.TextJoin("; ",1,INDEX(Import!S:S,MATCH(C244,Name,0)))</f>
        <v>#NAME?</v>
      </c>
    </row>
    <row r="245" spans="1:19" ht="60">
      <c r="A245" s="425" t="s">
        <v>8957</v>
      </c>
      <c r="B245" s="426" t="str">
        <f t="array" aca="1" ref="B245" ca="1">CONCATENATE(TEXT(INDEX(query!A:A,MATCH(C245,query!B:B,0)),"M/DD/YYY"),CHAR(10),INDEX(query!E:E,MATCH(C245,query!B:B,0)))</f>
        <v>8/09/2022
Invite</v>
      </c>
      <c r="C245" s="427" t="s">
        <v>125</v>
      </c>
      <c r="D245" s="428">
        <f t="array" ref="D245">INDEX(Import!D:D,MATCH(C245,Name,0))</f>
        <v>4.25</v>
      </c>
      <c r="E245" s="429">
        <f t="array" aca="1" ref="E245" ca="1">(INDEX(Import!I:I,MATCH(C245,Name,0))+INDEX(Import!L:L,MATCH(C245,Name,0))+INDEX('Form Import'!V:V,MATCH(A245,'Form Import'!F:F,0)))/3</f>
        <v>3.5</v>
      </c>
      <c r="F245" s="430" t="str">
        <f t="array" ref="F245">INDEX(Import!E:E,MATCH(C245,Name,0))</f>
        <v>syGlass enables 'direct volume rendering' of CT, MRI, and 3D microscopy image in virtual reality. This technology empowers students, scientists, medical practitioners, and material scientists to quickly and deeply understand, quantify, and communicate their image volumes, creating a new paradigm in scientific communication and publishing.</v>
      </c>
      <c r="G245" s="431" t="str">
        <f t="array" ref="G245">CONCATENATE(INDEX(Import!G:G,MATCH(C245,Import!C:C,0)),CHAR(10),INDEX(Import!I:I,MATCH(C245,Name,0)))</f>
        <v>Khoa Ma
4</v>
      </c>
      <c r="H245" s="432" t="str">
        <f t="array" ref="H245">INDEX(Import!H:H,MATCH(C245,Name,0))</f>
        <v>University research and MedTech focus
Needs to get funding to hire a team
Continue to grow the customer pipeline
Ethel Rubin referral</v>
      </c>
      <c r="I245" s="431" t="str">
        <f t="array" ref="I245">CONCATENATE(INDEX(Import!J:J,MATCH(C245,Name,0)),CHAR(10),INDEX(Import!L:L,MATCH(C245,Name,0)))</f>
        <v>Sriharsha Indupuru
4.5</v>
      </c>
      <c r="J245" s="432" t="str">
        <f t="array" ref="J245">INDEX(Import!K:K,MATCH(C245,Name,0))</f>
        <v>-Small Team size needs support in Talent acquisition and fundraising</v>
      </c>
      <c r="K245" s="431" t="str">
        <f t="array" aca="1" ref="K245" ca="1">CONCATENATE(INDEX('Form Import'!D:D,MATCH(A245,'Form Import'!F:F,0)),CHAR(10),INDEX('Form Import'!V:V,MATCH(A245,'Form Import'!F:F,0)))</f>
        <v>Chris Millisits
2</v>
      </c>
      <c r="L245" s="432" t="str">
        <f t="array" aca="1" ref="L245" ca="1">INDEX('Form Import'!W:W,MATCH(A245,'Form Import'!F:F,0))</f>
        <v>Raising $15m and wants to immediately scale production. Not a lot of consideration about route to market other than low flow toilets often being subsidized by the US government. Generally, the founder did not take the application seriously and was flippant with many of his answers.</v>
      </c>
      <c r="M245" s="430"/>
      <c r="N245" s="430" t="str">
        <f t="array" aca="1" ref="N245" ca="1">INDEX('Form Import'!L:L,MATCH($A245,'Form Import'!$F:$F,0))</f>
        <v>Proof of concept prototype, patented</v>
      </c>
      <c r="O245" s="430" t="str">
        <f t="array" aca="1" ref="O245" ca="1">INDEX('Form Import'!O:O,MATCH($A245,'Form Import'!$F:$F,0))</f>
        <v>Claims a long wait list of orders</v>
      </c>
      <c r="P245" s="430" t="str">
        <f t="array" aca="1" ref="P245" ca="1">INDEX('Form Import'!S:S,MATCH($A245,'Form Import'!$F:$F,0))</f>
        <v>Serial entrepreneur, other ventures run the gambit from high-end car dealership to movie production. Overall vision is more water efficient toilets.</v>
      </c>
      <c r="Q245" s="430"/>
      <c r="R245" s="430"/>
      <c r="S245" s="430" t="e">
        <f t="array" aca="1" ref="S245" ca="1">_xludf.TextJoin("; ",1,INDEX(Import!S:S,MATCH(C245,Name,0)))</f>
        <v>#NAME?</v>
      </c>
    </row>
    <row r="246" spans="1:19" ht="36">
      <c r="A246" s="418" t="s">
        <v>8965</v>
      </c>
      <c r="B246" s="419" t="str">
        <f t="array" aca="1" ref="B246" ca="1">CONCATENATE(TEXT(INDEX(query!A:A,MATCH(C246,query!B:B,0)),"M/DD/YYY"),CHAR(10),INDEX(query!E:E,MATCH(C246,query!B:B,0)))</f>
        <v>8/09/2022
Invite Next Year</v>
      </c>
      <c r="C246" s="85" t="s">
        <v>11384</v>
      </c>
      <c r="D246" s="420">
        <f t="array" ref="D246">INDEX(Import!D:D,MATCH(C246,Name,0))</f>
        <v>2</v>
      </c>
      <c r="E246" s="421">
        <f t="array" aca="1" ref="E246" ca="1">(INDEX(Import!I:I,MATCH(C246,Name,0))+INDEX(Import!L:L,MATCH(C246,Name,0))+INDEX('Form Import'!V:V,MATCH(A246,'Form Import'!F:F,0)))/3</f>
        <v>1.6666666666666667</v>
      </c>
      <c r="F246" s="422" t="str">
        <f t="array" ref="F246">INDEX(Import!E:E,MATCH(C246,Name,0))</f>
        <v>A white label exchange aimed at providing investors access to proprietary copy trading.</v>
      </c>
      <c r="G246" s="423" t="str">
        <f t="array" ref="G246">CONCATENATE(INDEX(Import!G:G,MATCH(C246,Import!C:C,0)),CHAR(10),INDEX(Import!I:I,MATCH(C246,Name,0)))</f>
        <v>Mark Flynn
2</v>
      </c>
      <c r="H246" s="424" t="str">
        <f t="array" ref="H246">INDEX(Import!H:H,MATCH(C246,Name,0))</f>
        <v>No proof of concept and some red flags in terms of their thinking about competition, survival strategies, and NDAs</v>
      </c>
      <c r="I246" s="423" t="str">
        <f t="array" ref="I246">CONCATENATE(INDEX(Import!J:J,MATCH(C246,Name,0)),CHAR(10),INDEX(Import!L:L,MATCH(C246,Name,0)))</f>
        <v>Beth Xie
2</v>
      </c>
      <c r="J246" s="424" t="str">
        <f t="array" ref="J246">INDEX(Import!K:K,MATCH(C246,Name,0))</f>
        <v>Startup too early. Does not have enough technical moat. Also not sharing basic information on the application, making it hard to evaluate.</v>
      </c>
      <c r="K246" s="423" t="str">
        <f t="array" aca="1" ref="K246" ca="1">CONCATENATE(INDEX('Form Import'!D:D,MATCH(A246,'Form Import'!F:F,0)),CHAR(10),INDEX('Form Import'!V:V,MATCH(A246,'Form Import'!F:F,0)))</f>
        <v>Chris Millisits
1</v>
      </c>
      <c r="L246" s="424" t="str">
        <f t="array" aca="1" ref="L246" ca="1">INDEX('Form Import'!W:W,MATCH(A246,'Form Import'!F:F,0))</f>
        <v>Inexperienced team. Very much at concept phase. Missing some of the nuance you'd want to see in healthcare. Even if a market materializes, this is not the team to make this happen.</v>
      </c>
      <c r="M246" s="422"/>
      <c r="N246" s="422" t="str">
        <f t="array" aca="1" ref="N246" ca="1">INDEX('Form Import'!L:L,MATCH($A246,'Form Import'!$F:$F,0))</f>
        <v>Lots of people want to put EHR on the blockchain. No plans regarding IP.</v>
      </c>
      <c r="O246" s="422" t="str">
        <f t="array" aca="1" ref="O246" ca="1">INDEX('Form Import'!O:O,MATCH($A246,'Form Import'!$F:$F,0))</f>
        <v>Blockchain addressable market in EHR is small for the foreseeable future.</v>
      </c>
      <c r="P246" s="422" t="str">
        <f t="array" aca="1" ref="P246" ca="1">INDEX('Form Import'!S:S,MATCH($A246,'Form Import'!$F:$F,0))</f>
        <v>Very young team. Doesn't convey much understanding in the deck or application about why healthcare record systems have been tough to crack. Didn't know how to answer the vision question, which reiterates inexperience of the team.</v>
      </c>
      <c r="Q246" s="422"/>
      <c r="R246" s="422"/>
      <c r="S246" s="422" t="e">
        <f t="array" aca="1" ref="S246" ca="1">_xludf.TextJoin("; ",1,INDEX(Import!S:S,MATCH(C246,Name,0)))</f>
        <v>#NAME?</v>
      </c>
    </row>
    <row r="247" spans="1:19" ht="108">
      <c r="A247" s="425" t="s">
        <v>5691</v>
      </c>
      <c r="B247" s="426" t="str">
        <f t="array" aca="1" ref="B247" ca="1">CONCATENATE(TEXT(INDEX(query!A:A,MATCH(C247,query!B:B,0)),"M/DD/YYY"),CHAR(10),INDEX(query!E:E,MATCH(C247,query!B:B,0)))</f>
        <v>8/23/2022
Invite</v>
      </c>
      <c r="C247" s="427" t="s">
        <v>398</v>
      </c>
      <c r="D247" s="428">
        <f t="array" ref="D247">INDEX(Import!D:D,MATCH(C247,Name,0))</f>
        <v>4</v>
      </c>
      <c r="E247" s="429">
        <f t="array" aca="1" ref="E247" ca="1">(INDEX(Import!I:I,MATCH(C247,Name,0))+INDEX(Import!L:L,MATCH(C247,Name,0))+INDEX('Form Import'!V:V,MATCH(A247,'Form Import'!F:F,0)))/3</f>
        <v>3.3333333333333335</v>
      </c>
      <c r="F247" s="430" t="str">
        <f t="array" ref="F247">INDEX(Import!E:E,MATCH(C247,Name,0))</f>
        <v>Symphony biosciences is where we make SymphNode which is an innovative biomaterials that orchestrates the immune response against solid cancers.</v>
      </c>
      <c r="G247" s="431" t="str">
        <f t="array" ref="G247">CONCATENATE(INDEX(Import!G:G,MATCH(C247,Import!C:C,0)),CHAR(10),INDEX(Import!I:I,MATCH(C247,Name,0)))</f>
        <v>Chris Mosher
4</v>
      </c>
      <c r="H247" s="432" t="str">
        <f t="array" ref="H247">INDEX(Import!H:H,MATCH(C247,Name,0))</f>
        <v>Immunotherapeutic biomaterial that can harness the body's own immune system to provide efficient and prolonged anticancer immunity for solid tumors. The material recruits/activates killer T-cells while suppressing Tregs, and it biodegrades. Validated in 2 mouse models for TNBC (effective and has long-term response). PCT granted, exclusive license from UCLA. Women-led team from UCLA. Advisors have affiliations at Amgen, Harvard, Stanford, Brown, and MSKCC. Only a small $400K angel raise so far - might be better for next year, but this is a promising company.</v>
      </c>
      <c r="I247" s="431" t="str">
        <f t="array" ref="I247">CONCATENATE(INDEX(Import!J:J,MATCH(C247,Name,0)),CHAR(10),INDEX(Import!L:L,MATCH(C247,Name,0)))</f>
        <v>Parsa Amiri
4</v>
      </c>
      <c r="J247" s="432" t="str">
        <f t="array" ref="J247">INDEX(Import!K:K,MATCH(C247,Name,0))</f>
        <v>UCLA alumni team. A platform for a biomaterial that can be implanted near tumor and recruit and activate Killer T, and suppress Treg. This material is biocompatible and biodegradable. 
 Very cool technology. Comparable to Cell Harbor, but I think this one is more developed and validated. Currently they are highly focused on treating TNBC, I want to know more about the ability of the platform to expand into other cancers, and ask if there is any data/results on that.</v>
      </c>
      <c r="K247" s="431" t="str">
        <f t="array" aca="1" ref="K247" ca="1">CONCATENATE(INDEX('Form Import'!D:D,MATCH(A247,'Form Import'!F:F,0)),CHAR(10),INDEX('Form Import'!V:V,MATCH(A247,'Form Import'!F:F,0)))</f>
        <v>Chris Millisits
2</v>
      </c>
      <c r="L247" s="432" t="str">
        <f t="array" aca="1" ref="L247" ca="1">INDEX('Form Import'!W:W,MATCH(A247,'Form Import'!F:F,0))</f>
        <v>There's a lack of focus in this idea. It wants to be the source of truth middleman across many industries and use cases. An unspecialized marketplace model is tough to make work.</v>
      </c>
      <c r="M247" s="430"/>
      <c r="N247" s="430" t="str">
        <f t="array" aca="1" ref="N247" ca="1">INDEX('Form Import'!L:L,MATCH($A247,'Form Import'!$F:$F,0))</f>
        <v>No plan regarding IP protection. Claims that their main innovation is business model based, but it's really just a marketplace.</v>
      </c>
      <c r="O247" s="430" t="str">
        <f t="array" aca="1" ref="O247" ca="1">INDEX('Form Import'!O:O,MATCH($A247,'Form Import'!$F:$F,0))</f>
        <v>Has paying customers. Would be interesting to see the retention and usage numbers for this.</v>
      </c>
      <c r="P247" s="430" t="str">
        <f t="array" aca="1" ref="P247" ca="1">INDEX('Form Import'!S:S,MATCH($A247,'Form Import'!$F:$F,0))</f>
        <v>They've all got experience building on the blockchain. Would like to see more business acumen in the team. Young team though.</v>
      </c>
      <c r="Q247" s="430"/>
      <c r="R247" s="430"/>
      <c r="S247" s="430" t="e">
        <f t="array" aca="1" ref="S247" ca="1">_xludf.TextJoin("; ",1,INDEX(Import!S:S,MATCH(C247,Name,0)))</f>
        <v>#NAME?</v>
      </c>
    </row>
    <row r="248" spans="1:19" ht="48">
      <c r="A248" s="418" t="s">
        <v>9593</v>
      </c>
      <c r="B248" s="419" t="str">
        <f t="array" aca="1" ref="B248" ca="1">CONCATENATE(TEXT(INDEX(query!A:A,MATCH(C248,query!B:B,0)),"M/DD/YYY"),CHAR(10),INDEX(query!E:E,MATCH(C248,query!B:B,0)))</f>
        <v>8/18/2022
Invite Next Year</v>
      </c>
      <c r="C248" s="85" t="s">
        <v>9226</v>
      </c>
      <c r="D248" s="420">
        <f t="array" ref="D248">INDEX(Import!D:D,MATCH(C248,Name,0))</f>
        <v>3.5</v>
      </c>
      <c r="E248" s="421">
        <f t="array" aca="1" ref="E248" ca="1">(INDEX(Import!I:I,MATCH(C248,Name,0))+INDEX(Import!L:L,MATCH(C248,Name,0))+INDEX('Form Import'!V:V,MATCH(A248,'Form Import'!F:F,0)))/3</f>
        <v>2.6666666666666665</v>
      </c>
      <c r="F248" s="422" t="str">
        <f t="array" ref="F248">INDEX(Import!E:E,MATCH(C248,Name,0))</f>
        <v>SYNAPS Dx was founded to commercialize the biomarker technology developed through more than a decade of research by a team of scientists at the Blanchette Rockefeller Neuroscience Institute (BRNI), which is now part of West Virginia University.</v>
      </c>
      <c r="G248" s="423" t="str">
        <f t="array" ref="G248">CONCATENATE(INDEX(Import!G:G,MATCH(C248,Import!C:C,0)),CHAR(10),INDEX(Import!I:I,MATCH(C248,Name,0)))</f>
        <v>Larisa Kagermazova
3</v>
      </c>
      <c r="H248" s="424" t="str">
        <f t="array" ref="H248">INDEX(Import!H:H,MATCH(C248,Name,0))</f>
        <v>Their application is very poor - they didnt even mention the names of team members (CEO etc), didnt give any details or data 
I learnt everything from their website</v>
      </c>
      <c r="I248" s="423" t="str">
        <f t="array" ref="I248">CONCATENATE(INDEX(Import!J:J,MATCH(C248,Name,0)),CHAR(10),INDEX(Import!L:L,MATCH(C248,Name,0)))</f>
        <v>Tugba Oncu
4</v>
      </c>
      <c r="J248" s="424" t="str">
        <f t="array" ref="J248">INDEX(Import!K:K,MATCH(C248,Name,0))</f>
        <v>Alzheimer detection platform by using biomarkers. They take a skin biopsy, grow it in TC and look for specific biomarkers for early Alzheimer detection and the tech can be applied for Lyme disease. Founder`s name is Frank Amato.</v>
      </c>
      <c r="K248" s="423" t="str">
        <f t="array" aca="1" ref="K248" ca="1">CONCATENATE(INDEX('Form Import'!D:D,MATCH(A248,'Form Import'!F:F,0)),CHAR(10),INDEX('Form Import'!V:V,MATCH(A248,'Form Import'!F:F,0)))</f>
        <v>Chris Millisits
1</v>
      </c>
      <c r="L248" s="424" t="str">
        <f t="array" aca="1" ref="L248" ca="1">INDEX('Form Import'!W:W,MATCH(A248,'Form Import'!F:F,0))</f>
        <v>Inexperienced team. Creating a low-cost headphone product, trying to win with a cool feature.</v>
      </c>
      <c r="M248" s="422"/>
      <c r="N248" s="422" t="str">
        <f t="array" aca="1" ref="N248" ca="1">INDEX('Form Import'!L:L,MATCH($A248,'Form Import'!$F:$F,0))</f>
        <v>Used other startups' ability to fundraise with similar concepts as validation of their tech. Provisional utility patents. Also, this isn't a pressing problem.</v>
      </c>
      <c r="O248" s="422" t="str">
        <f t="array" aca="1" ref="O248" ca="1">INDEX('Form Import'!O:O,MATCH($A248,'Form Import'!$F:$F,0))</f>
        <v>Wants to be a low cost headphones, which is a crowded space with limited upside. Would need to move millions of units. No customers, just a market survey full of leading questions (see slide deck).</v>
      </c>
      <c r="P248" s="422" t="str">
        <f t="array" aca="1" ref="P248" ca="1">INDEX('Form Import'!S:S,MATCH($A248,'Form Import'!$F:$F,0))</f>
        <v>The founder has 5 years of background in social science research. The rest of the team is very young (college freshmen).</v>
      </c>
      <c r="Q248" s="422"/>
      <c r="R248" s="422"/>
      <c r="S248" s="422" t="e">
        <f t="array" aca="1" ref="S248" ca="1">_xludf.TextJoin("; ",1,INDEX(Import!S:S,MATCH(C248,Name,0)))</f>
        <v>#NAME?</v>
      </c>
    </row>
    <row r="249" spans="1:19" ht="60">
      <c r="A249" s="425" t="s">
        <v>1336</v>
      </c>
      <c r="B249" s="426" t="str">
        <f t="array" aca="1" ref="B249" ca="1">CONCATENATE(TEXT(INDEX(query!A:A,MATCH(C249,query!B:B,0)),"M/DD/YYY"),CHAR(10),INDEX(query!E:E,MATCH(C249,query!B:B,0)))</f>
        <v>8/09/2022
Invite Next Year</v>
      </c>
      <c r="C249" s="427" t="s">
        <v>7717</v>
      </c>
      <c r="D249" s="428">
        <f t="array" ref="D249">INDEX(Import!D:D,MATCH(C249,Name,0))</f>
        <v>1.75</v>
      </c>
      <c r="E249" s="429">
        <f t="array" aca="1" ref="E249" ca="1">(INDEX(Import!I:I,MATCH(C249,Name,0))+INDEX(Import!L:L,MATCH(C249,Name,0))+INDEX('Form Import'!V:V,MATCH(A249,'Form Import'!F:F,0)))/3</f>
        <v>2.5</v>
      </c>
      <c r="F249" s="430" t="str">
        <f t="array" ref="F249">INDEX(Import!E:E,MATCH(C249,Name,0))</f>
        <v>SynerAI uses cutting edge AI to understand open source information, such as news articles and blogs.  We enable our customers to understand and predict world events for myriad applications including investment analysis, public relations, up- and down-stream marketing, international relations, and threat analysis.</v>
      </c>
      <c r="G249" s="431" t="str">
        <f t="array" ref="G249">CONCATENATE(INDEX(Import!G:G,MATCH(C249,Import!C:C,0)),CHAR(10),INDEX(Import!I:I,MATCH(C249,Name,0)))</f>
        <v>Mark Flynn
2.5</v>
      </c>
      <c r="H249" s="432" t="str">
        <f t="array" ref="H249">INDEX(Import!H:H,MATCH(C249,Name,0))</f>
        <v>Very crowded space; no proof of concept although they mention a few stock they've picked have done well; team is part-time but seem to have relevant experience; I think this solution will be very difficult to market given the small  market size, cost and time to acquire and maintain customers, and competitive landscape</v>
      </c>
      <c r="I249" s="431" t="str">
        <f t="array" ref="I249">CONCATENATE(INDEX(Import!J:J,MATCH(C249,Name,0)),CHAR(10),INDEX(Import!L:L,MATCH(C249,Name,0)))</f>
        <v>Boyang Yu
1</v>
      </c>
      <c r="J249" s="432" t="str">
        <f t="array" ref="J249">INDEX(Import!K:K,MATCH(C249,Name,0))</f>
        <v>The tech novelty is difficult to validate, especially with a focus on prediction for financial services. All cofounders are part-time.</v>
      </c>
      <c r="K249" s="431" t="str">
        <f t="array" aca="1" ref="K249" ca="1">CONCATENATE(INDEX('Form Import'!D:D,MATCH(A249,'Form Import'!F:F,0)),CHAR(10),INDEX('Form Import'!V:V,MATCH(A249,'Form Import'!F:F,0)))</f>
        <v>Chris Millisits
4</v>
      </c>
      <c r="L249" s="432" t="str">
        <f t="array" aca="1" ref="L249" ca="1">INDEX('Form Import'!W:W,MATCH(A249,'Form Import'!F:F,0))</f>
        <v>Strong team with relevant experience. They've focused in on an area where they think they can drive meaningful business value from the outset, which is great to see. The focus on time-series will make it easier to sell into organizations.</v>
      </c>
      <c r="M249" s="430"/>
      <c r="N249" s="430" t="str">
        <f t="array" aca="1" ref="N249" ca="1">INDEX('Form Import'!L:L,MATCH($A249,'Form Import'!$F:$F,0))</f>
        <v xml:space="preserve">The time-series specific approach is pretty novel. </v>
      </c>
      <c r="O249" s="430" t="str">
        <f t="array" aca="1" ref="O249" ca="1">INDEX('Form Import'!O:O,MATCH($A249,'Form Import'!$F:$F,0))</f>
        <v>$23k through pilots &amp; PoCs</v>
      </c>
      <c r="P249" s="430" t="str">
        <f t="array" aca="1" ref="P249" ca="1">INDEX('Form Import'!S:S,MATCH($A249,'Form Import'!$F:$F,0))</f>
        <v>Team has experience as founders previously. Strong data science and product building experience in the team.</v>
      </c>
      <c r="Q249" s="430"/>
      <c r="R249" s="430"/>
      <c r="S249" s="430" t="e">
        <f t="array" aca="1" ref="S249" ca="1">_xludf.TextJoin("; ",1,INDEX(Import!S:S,MATCH(C249,Name,0)))</f>
        <v>#NAME?</v>
      </c>
    </row>
    <row r="250" spans="1:19" ht="36">
      <c r="A250" s="418" t="s">
        <v>6398</v>
      </c>
      <c r="B250" s="419" t="str">
        <f t="array" aca="1" ref="B250" ca="1">CONCATENATE(TEXT(INDEX(query!A:A,MATCH(C250,query!B:B,0)),"M/DD/YYY"),CHAR(10),INDEX(query!E:E,MATCH(C250,query!B:B,0)))</f>
        <v>8/16/2022
Invite Next Year</v>
      </c>
      <c r="C250" s="85" t="s">
        <v>8022</v>
      </c>
      <c r="D250" s="420">
        <f t="array" ref="D250">INDEX(Import!D:D,MATCH(C250,Name,0))</f>
        <v>1.5</v>
      </c>
      <c r="E250" s="421">
        <f t="array" aca="1" ref="E250" ca="1">(INDEX(Import!I:I,MATCH(C250,Name,0))+INDEX(Import!L:L,MATCH(C250,Name,0))+INDEX('Form Import'!V:V,MATCH(A250,'Form Import'!F:F,0)))/3</f>
        <v>2.3333333333333335</v>
      </c>
      <c r="F250" s="422" t="str">
        <f t="array" ref="F250">INDEX(Import!E:E,MATCH(C250,Name,0))</f>
        <v>Syntience Inc provides Natural Language Understanding for NLP/NLU classification purposes in any human language as a cloud based MicroService.</v>
      </c>
      <c r="G250" s="423" t="str">
        <f t="array" ref="G250">CONCATENATE(INDEX(Import!G:G,MATCH(C250,Import!C:C,0)),CHAR(10),INDEX(Import!I:I,MATCH(C250,Name,0)))</f>
        <v>Mark Flynn
2</v>
      </c>
      <c r="H250" s="424" t="str">
        <f t="array" ref="H250">INDEX(Import!H:H,MATCH(C250,Name,0))</f>
        <v>Lots of claims being made without evidence; the tech/NLU sounds really interesting but I don't think there is a real business here with this company</v>
      </c>
      <c r="I250" s="423" t="str">
        <f t="array" ref="I250">CONCATENATE(INDEX(Import!J:J,MATCH(C250,Name,0)),CHAR(10),INDEX(Import!L:L,MATCH(C250,Name,0)))</f>
        <v>Shubo (Gabriel) Xu
1</v>
      </c>
      <c r="J250" s="424" t="str">
        <f t="array" ref="J250">INDEX(Import!K:K,MATCH(C250,Name,0))</f>
        <v>-
1. big claim with no evidence or justification
2. no technical experts</v>
      </c>
      <c r="K250" s="423" t="str">
        <f t="array" aca="1" ref="K250" ca="1">CONCATENATE(INDEX('Form Import'!D:D,MATCH(A250,'Form Import'!F:F,0)),CHAR(10),INDEX('Form Import'!V:V,MATCH(A250,'Form Import'!F:F,0)))</f>
        <v>Chris Millisits
4</v>
      </c>
      <c r="L250" s="424" t="str">
        <f t="array" aca="1" ref="L250" ca="1">INDEX('Form Import'!W:W,MATCH(A250,'Form Import'!F:F,0))</f>
        <v>Compelling approach to a chatbot solution, being built by former IBM AI Consultant. Good traction.</v>
      </c>
      <c r="M250" s="422"/>
      <c r="N250" s="422" t="str">
        <f t="array" aca="1" ref="N250" ca="1">INDEX('Form Import'!L:L,MATCH($A250,'Form Import'!$F:$F,0))</f>
        <v>Many conversational AI chatbots out there, but many aren't trying to build something as ambitious as using machine learning to drive engagement through better chatbot answers.</v>
      </c>
      <c r="O250" s="422" t="str">
        <f t="array" aca="1" ref="O250" ca="1">INDEX('Form Import'!O:O,MATCH($A250,'Form Import'!$F:$F,0))</f>
        <v>65 paying customers using in production today. $100k MRR</v>
      </c>
      <c r="P250" s="422" t="str">
        <f t="array" aca="1" ref="P250" ca="1">INDEX('Form Import'!S:S,MATCH($A250,'Form Import'!$F:$F,0))</f>
        <v>CEO is a leading conversational AI expert and an experienced business manager. CTO is
a system engineer. Good team setup for this.</v>
      </c>
      <c r="Q250" s="422"/>
      <c r="R250" s="422"/>
      <c r="S250" s="422" t="e">
        <f t="array" aca="1" ref="S250" ca="1">_xludf.TextJoin("; ",1,INDEX(Import!S:S,MATCH(C250,Name,0)))</f>
        <v>#NAME?</v>
      </c>
    </row>
    <row r="251" spans="1:19" ht="156">
      <c r="A251" s="425" t="s">
        <v>4499</v>
      </c>
      <c r="B251" s="426" t="str">
        <f t="array" aca="1" ref="B251" ca="1">CONCATENATE(TEXT(INDEX(query!A:A,MATCH(C251,query!B:B,0)),"M/DD/YYY"),CHAR(10),INDEX(query!E:E,MATCH(C251,query!B:B,0)))</f>
        <v>8/16/2022
Invite</v>
      </c>
      <c r="C251" s="427" t="s">
        <v>358</v>
      </c>
      <c r="D251" s="428">
        <f t="array" ref="D251">INDEX(Import!D:D,MATCH(C251,Name,0))</f>
        <v>4.25</v>
      </c>
      <c r="E251" s="429">
        <f t="array" aca="1" ref="E251" ca="1">(INDEX(Import!I:I,MATCH(C251,Name,0))+INDEX(Import!L:L,MATCH(C251,Name,0))+INDEX('Form Import'!V:V,MATCH(A251,'Form Import'!F:F,0)))/3</f>
        <v>3.8333333333333335</v>
      </c>
      <c r="F251" s="430" t="str">
        <f t="array" ref="F251">INDEX(Import!E:E,MATCH(C251,Name,0))</f>
        <v>Tactical Therapeutics, Inc is a clinical stage private company in New York City developing Carboxyamidotriazole Orotate (CTO) for the treatment of malignant gliomas and solid cancers.  Five Phase I trials have been completed.  Company is doing a Series A financing round to  run Phase II trials in recurrent GBM patients as an orphan drug fast track</v>
      </c>
      <c r="G251" s="431" t="str">
        <f t="array" ref="G251">CONCATENATE(INDEX(Import!G:G,MATCH(C251,Import!C:C,0)),CHAR(10),INDEX(Import!I:I,MATCH(C251,Name,0)))</f>
        <v>Deepak Hegde
4.5</v>
      </c>
      <c r="H251" s="432" t="str">
        <f t="array" ref="H251">INDEX(Import!H:H,MATCH(C251,Name,0))</f>
        <v>Post pre-clinical/PI.  CEO seems to need business help.  We should interview.</v>
      </c>
      <c r="I251" s="431" t="str">
        <f t="array" ref="I251">CONCATENATE(INDEX(Import!J:J,MATCH(C251,Name,0)),CHAR(10),INDEX(Import!L:L,MATCH(C251,Name,0)))</f>
        <v>Tugba Oncu
4</v>
      </c>
      <c r="J251" s="432" t="str">
        <f t="array" ref="J251">INDEX(Import!K:K,MATCH(C251,Name,0))</f>
        <v>The clinical study is done at NYU, MSK and a few other cancer centers. The last update was done on April 24 2018. It has been 4 years there is no update, something must have gone wrong or they are conducting other studies and forgot to update their website. One reason could be that some clinicians from NYU neuro oncology left for industries in 2018. One of them was the director of nero-onco Andrew Chi. Is there any way we can ask for a detailed study results? I think we should ask what went wrong, did they stop? Why are they not updating the status of this study? Looks like they're trying CTO +/- TMZ at the moment but I could not find any data of this trial. The MRI images show %83, %65 shrinkage comparing to baseline but these images were taken and published in 2014. Do we have access to IRB? If not can we have access for ongoing studies?</v>
      </c>
      <c r="K251" s="431" t="str">
        <f t="array" aca="1" ref="K251" ca="1">CONCATENATE(INDEX('Form Import'!D:D,MATCH(A251,'Form Import'!F:F,0)),CHAR(10),INDEX('Form Import'!V:V,MATCH(A251,'Form Import'!F:F,0)))</f>
        <v>Chris Millisits
3</v>
      </c>
      <c r="L251" s="432" t="str">
        <f t="array" aca="1" ref="L251" ca="1">INDEX('Form Import'!W:W,MATCH(A251,'Form Import'!F:F,0))</f>
        <v>Given the stage of the company, traction is less impressive. This is the classic Digital Health delivery model, but I haven't seen a direct competitor here yet, so that's a positive sign. Founder is a former VC and still a solo founder to date.</v>
      </c>
      <c r="M251" s="430"/>
      <c r="N251" s="430" t="str">
        <f t="array" aca="1" ref="N251" ca="1">INDEX('Form Import'!L:L,MATCH($A251,'Form Import'!$F:$F,0))</f>
        <v>Standard digital health motion, nothing very proprietary about the tech or process.</v>
      </c>
      <c r="O251" s="430" t="str">
        <f t="array" aca="1" ref="O251" ca="1">INDEX('Form Import'!O:O,MATCH($A251,'Form Import'!$F:$F,0))</f>
        <v>Showing early traction. Waitlist on both sides of the marketplace and 18 paying customers.</v>
      </c>
      <c r="P251" s="430" t="str">
        <f t="array" aca="1" ref="P251" ca="1">INDEX('Form Import'!S:S,MATCH($A251,'Form Import'!$F:$F,0))</f>
        <v>Former VC, only one founder</v>
      </c>
      <c r="Q251" s="430"/>
      <c r="R251" s="430"/>
      <c r="S251" s="430" t="e">
        <f t="array" aca="1" ref="S251" ca="1">_xludf.TextJoin("; ",1,INDEX(Import!S:S,MATCH(C251,Name,0)))</f>
        <v>#NAME?</v>
      </c>
    </row>
    <row r="252" spans="1:19" ht="84">
      <c r="A252" s="418" t="s">
        <v>5146</v>
      </c>
      <c r="B252" s="419" t="str">
        <f t="array" aca="1" ref="B252" ca="1">CONCATENATE(TEXT(INDEX(query!A:A,MATCH(C252,query!B:B,0)),"M/DD/YYY"),CHAR(10),INDEX(query!E:E,MATCH(C252,query!B:B,0)))</f>
        <v>8/03/2022
Revisit/ Cluster</v>
      </c>
      <c r="C252" s="85" t="s">
        <v>305</v>
      </c>
      <c r="D252" s="420">
        <f t="array" ref="D252">INDEX(Import!D:D,MATCH(C252,Name,0))</f>
        <v>3.5</v>
      </c>
      <c r="E252" s="421">
        <f t="array" aca="1" ref="E252" ca="1">(INDEX(Import!I:I,MATCH(C252,Name,0))+INDEX(Import!L:L,MATCH(C252,Name,0))+INDEX('Form Import'!V:V,MATCH(A252,'Form Import'!F:F,0)))/3</f>
        <v>3.6666666666666665</v>
      </c>
      <c r="F252" s="422" t="str">
        <f t="array" ref="F252">INDEX(Import!E:E,MATCH(C252,Name,0))</f>
        <v>The world's first infrastructure intelligence platform</v>
      </c>
      <c r="G252" s="423" t="str">
        <f t="array" ref="G252">CONCATENATE(INDEX(Import!G:G,MATCH(C252,Import!C:C,0)),CHAR(10),INDEX(Import!I:I,MATCH(C252,Name,0)))</f>
        <v>Khoa Ma
3</v>
      </c>
      <c r="H252" s="424" t="str">
        <f t="array" ref="H252">INDEX(Import!H:H,MATCH(C252,Name,0))</f>
        <v>Bit early but could be a fit for DiT</v>
      </c>
      <c r="I252" s="423" t="str">
        <f t="array" ref="I252">CONCATENATE(INDEX(Import!J:J,MATCH(C252,Name,0)),CHAR(10),INDEX(Import!L:L,MATCH(C252,Name,0)))</f>
        <v>Arthur Ibanda
4</v>
      </c>
      <c r="J252" s="424" t="str">
        <f t="array" ref="J252">INDEX(Import!K:K,MATCH(C252,Name,0))</f>
        <v>+The team seems credible
+Revenue and interest from large companies proves the products value
+The product seems well developed</v>
      </c>
      <c r="K252" s="423" t="str">
        <f t="array" aca="1" ref="K252" ca="1">CONCATENATE(INDEX('Form Import'!D:D,MATCH(A252,'Form Import'!F:F,0)),CHAR(10),INDEX('Form Import'!V:V,MATCH(A252,'Form Import'!F:F,0)))</f>
        <v>Chris Millisits
4</v>
      </c>
      <c r="L252" s="424" t="str">
        <f t="array" aca="1" ref="L252" ca="1">INDEX('Form Import'!W:W,MATCH(A252,'Form Import'!F:F,0))</f>
        <v>Strong team with repeat founder. Strong traction.
Biggest concern is that this idea rests on the notion that hotels want to move away from dynamic pricing for business travelers. The hypothesis would be that enough buildup of corporate demand for noktos would put pressure on hotels to offer fixed (but still premium) pricing.</v>
      </c>
      <c r="M252" s="422"/>
      <c r="N252" s="422" t="str">
        <f t="array" aca="1" ref="N252" ca="1">INDEX('Form Import'!L:L,MATCH($A252,'Form Import'!$F:$F,0))</f>
        <v>Validation through adoption by 1,000 customers. Technology not particularly defensible. Problem is felt on only one-side of the marketplace (corporates; the hotels are happy).</v>
      </c>
      <c r="O252" s="422" t="str">
        <f t="array" aca="1" ref="O252" ca="1">INDEX('Form Import'!O:O,MATCH($A252,'Form Import'!$F:$F,0))</f>
        <v>$50k MRR and growing across 1,000 corporate customers. Market is a % of all business travel, so quite large (they're able to take a 21% take rate today).</v>
      </c>
      <c r="P252" s="422" t="str">
        <f t="array" aca="1" ref="P252" ca="1">INDEX('Form Import'!S:S,MATCH($A252,'Form Import'!$F:$F,0))</f>
        <v>Serial founders, and CEO ran a business in the hotel industry for 12 years.</v>
      </c>
      <c r="Q252" s="422"/>
      <c r="R252" s="422"/>
      <c r="S252" s="422" t="e">
        <f t="array" aca="1" ref="S252" ca="1">_xludf.TextJoin("; ",1,INDEX(Import!S:S,MATCH(C252,Name,0)))</f>
        <v>#NAME?</v>
      </c>
    </row>
    <row r="253" spans="1:19" ht="96">
      <c r="A253" s="425" t="s">
        <v>2972</v>
      </c>
      <c r="B253" s="426" t="str">
        <f t="array" aca="1" ref="B253" ca="1">CONCATENATE(TEXT(INDEX(query!A:A,MATCH(C253,query!B:B,0)),"M/DD/YYY"),CHAR(10),INDEX(query!E:E,MATCH(C253,query!B:B,0)))</f>
        <v>8/16/2022
Invite</v>
      </c>
      <c r="C253" s="427" t="s">
        <v>267</v>
      </c>
      <c r="D253" s="428">
        <f t="array" ref="D253">INDEX(Import!D:D,MATCH(C253,Name,0))</f>
        <v>3.75</v>
      </c>
      <c r="E253" s="429">
        <f t="array" aca="1" ref="E253" ca="1">(INDEX(Import!I:I,MATCH(C253,Name,0))+INDEX(Import!L:L,MATCH(C253,Name,0))+INDEX('Form Import'!V:V,MATCH(A253,'Form Import'!F:F,0)))/3</f>
        <v>3.5</v>
      </c>
      <c r="F253" s="430" t="str">
        <f t="array" ref="F253">INDEX(Import!E:E,MATCH(C253,Name,0))</f>
        <v>TakeOne has automated professional videography into an app so that anyone can grab a phone and within a few minutes, create a stunning video that looks like it was shot with a professional camera and lights. The app helps businesses create quality and result-driving videos at a fraction of the time and cost.</v>
      </c>
      <c r="G253" s="431" t="str">
        <f t="array" ref="G253">CONCATENATE(INDEX(Import!G:G,MATCH(C253,Import!C:C,0)),CHAR(10),INDEX(Import!I:I,MATCH(C253,Name,0)))</f>
        <v>Mark Flynn
3.5</v>
      </c>
      <c r="H253" s="432" t="str">
        <f t="array" ref="H253">INDEX(Import!H:H,MATCH(C253,Name,0))</f>
        <v>Tech uses AI, AR, and LiDar so that anyone can make a professional video; the tech is not revolutionary but it solves a nice problem; $100k in pre-launch revenue (J&amp;J is a client); B2B and B2C business model; difference seems to be it's affordable, automated, and scripts are written for a person (none of which are competitive advantages); it could be interesting to learn more about the tech and given the founder is an NYU alum, it may be good to interview but I'm also happy to pass</v>
      </c>
      <c r="I253" s="431" t="str">
        <f t="array" ref="I253">CONCATENATE(INDEX(Import!J:J,MATCH(C253,Name,0)),CHAR(10),INDEX(Import!L:L,MATCH(C253,Name,0)))</f>
        <v>Beth Xie
4</v>
      </c>
      <c r="J253" s="432" t="str">
        <f t="array" ref="J253">INDEX(Import!K:K,MATCH(C253,Name,0))</f>
        <v>- Solid team technically with startup exit. 
- Proof of traction. 
- Did customer discovery work through interviews and recorded videos. 
- Should interview to ensure there is true technical moat.</v>
      </c>
      <c r="K253" s="431" t="str">
        <f t="array" aca="1" ref="K253" ca="1">CONCATENATE(INDEX('Form Import'!D:D,MATCH(A253,'Form Import'!F:F,0)),CHAR(10),INDEX('Form Import'!V:V,MATCH(A253,'Form Import'!F:F,0)))</f>
        <v>Chris Millisits
3</v>
      </c>
      <c r="L253" s="432" t="str">
        <f t="array" aca="1" ref="L253" ca="1">INDEX('Form Import'!W:W,MATCH(A253,'Form Import'!F:F,0))</f>
        <v>Novel solution with expansion potential. Team has been working in the lab on the solution. Whether there is sufficient market demand is a question mark.</v>
      </c>
      <c r="M253" s="430"/>
      <c r="N253" s="430" t="str">
        <f t="array" aca="1" ref="N253" ca="1">INDEX('Form Import'!L:L,MATCH($A253,'Form Import'!$F:$F,0))</f>
        <v>Novel approach to tackle the vegan skincare market. Reasonable plans for expansion into adjacent markets using other animal products.</v>
      </c>
      <c r="O253" s="430" t="str">
        <f t="array" aca="1" ref="O253" ca="1">INDEX('Form Import'!O:O,MATCH($A253,'Form Import'!$F:$F,0))</f>
        <v>More people use snail mucus products than I would have guessed - who knew? But this product will only be a partial replacement, so cutting down the AM by 90%. Has some customers and has been speaking to many customers.</v>
      </c>
      <c r="P253" s="430" t="str">
        <f t="array" aca="1" ref="P253" ca="1">INDEX('Form Import'!S:S,MATCH($A253,'Form Import'!$F:$F,0))</f>
        <v>Been working on the problem in the research lab for past 2 years, before the 3 spun out.</v>
      </c>
      <c r="Q253" s="430"/>
      <c r="R253" s="430"/>
      <c r="S253" s="430" t="e">
        <f t="array" aca="1" ref="S253" ca="1">_xludf.TextJoin("; ",1,INDEX(Import!S:S,MATCH(C253,Name,0)))</f>
        <v>#NAME?</v>
      </c>
    </row>
    <row r="254" spans="1:19" ht="36">
      <c r="A254" s="418" t="s">
        <v>9359</v>
      </c>
      <c r="B254" s="419" t="str">
        <f t="array" aca="1" ref="B254" ca="1">CONCATENATE(TEXT(INDEX(query!A:A,MATCH(C254,query!B:B,0)),"M/DD/YYY"),CHAR(10),INDEX(query!E:E,MATCH(C254,query!B:B,0)))</f>
        <v>8/18/2022
Invite Next Year</v>
      </c>
      <c r="C254" s="85" t="s">
        <v>7540</v>
      </c>
      <c r="D254" s="420">
        <f t="array" ref="D254">INDEX(Import!D:D,MATCH(C254,Name,0))</f>
        <v>2</v>
      </c>
      <c r="E254" s="421">
        <f t="array" aca="1" ref="E254" ca="1">(INDEX(Import!I:I,MATCH(C254,Name,0))+INDEX(Import!L:L,MATCH(C254,Name,0))+INDEX('Form Import'!V:V,MATCH(A254,'Form Import'!F:F,0)))/3</f>
        <v>2.3333333333333335</v>
      </c>
      <c r="F254" s="422" t="str">
        <f t="array" ref="F254">INDEX(Import!E:E,MATCH(C254,Name,0))</f>
        <v>At Tanél, we?re building Africa?s healthcare operating system, starting with pharmacies &amp; payers (insurance companies). Today, we?re piloting with a network of pharmacies and one insurance company in Senegal. Our mission is to enable broad and convenient access to healthcare in Africa.</v>
      </c>
      <c r="G254" s="423" t="str">
        <f t="array" ref="G254">CONCATENATE(INDEX(Import!G:G,MATCH(C254,Import!C:C,0)),CHAR(10),INDEX(Import!I:I,MATCH(C254,Name,0)))</f>
        <v>Deepak Hegde
2</v>
      </c>
      <c r="H254" s="424" t="str">
        <f t="array" ref="H254">INDEX(Import!H:H,MATCH(C254,Name,0))</f>
        <v>No deep technical moat.  Not a fit. Not clear EFL advisors can help with growth in distant markets.</v>
      </c>
      <c r="I254" s="423" t="str">
        <f t="array" ref="I254">CONCATENATE(INDEX(Import!J:J,MATCH(C254,Name,0)),CHAR(10),INDEX(Import!L:L,MATCH(C254,Name,0)))</f>
        <v>Matt Myers
2</v>
      </c>
      <c r="J254" s="424" t="str">
        <f t="array" ref="J254">INDEX(Import!K:K,MATCH(C254,Name,0))</f>
        <v>Tech not novel, not a fit for EFL</v>
      </c>
      <c r="K254" s="423" t="str">
        <f t="array" aca="1" ref="K254" ca="1">CONCATENATE(INDEX('Form Import'!D:D,MATCH(A254,'Form Import'!F:F,0)),CHAR(10),INDEX('Form Import'!V:V,MATCH(A254,'Form Import'!F:F,0)))</f>
        <v>Chris Millisits
3</v>
      </c>
      <c r="L254" s="424" t="str">
        <f t="array" aca="1" ref="L254" ca="1">INDEX('Form Import'!W:W,MATCH(A254,'Form Import'!F:F,0))</f>
        <v>Strong team, but unsure of whether these solutions have staying power as others take more ambitious approaches to innovation in the space.</v>
      </c>
      <c r="M254" s="422"/>
      <c r="N254" s="422" t="str">
        <f t="array" aca="1" ref="N254" ca="1">INDEX('Form Import'!L:L,MATCH($A254,'Form Import'!$F:$F,0))</f>
        <v>The combination of technology and use case is novel. Separately, neither is novel. Questions on whether this approach is better than the other solutions on the market, but it is the lowest capex commitment.</v>
      </c>
      <c r="O254" s="422" t="str">
        <f t="array" aca="1" ref="O254" ca="1">INDEX('Form Import'!O:O,MATCH($A254,'Form Import'!$F:$F,0))</f>
        <v>In pilot with customers</v>
      </c>
      <c r="P254" s="422" t="str">
        <f t="array" aca="1" ref="P254" ca="1">INDEX('Form Import'!S:S,MATCH($A254,'Form Import'!$F:$F,0))</f>
        <v>Experienced team. Strong business and technical backgrounds in relevant industries.</v>
      </c>
      <c r="Q254" s="422"/>
      <c r="R254" s="422"/>
      <c r="S254" s="422" t="e">
        <f t="array" aca="1" ref="S254" ca="1">_xludf.TextJoin("; ",1,INDEX(Import!S:S,MATCH(C254,Name,0)))</f>
        <v>#NAME?</v>
      </c>
    </row>
    <row r="255" spans="1:19" ht="48">
      <c r="A255" s="425" t="s">
        <v>2981</v>
      </c>
      <c r="B255" s="426" t="str">
        <f t="array" aca="1" ref="B255" ca="1">CONCATENATE(TEXT(INDEX(query!A:A,MATCH(C255,query!B:B,0)),"M/DD/YYY"),CHAR(10),INDEX(query!E:E,MATCH(C255,query!B:B,0)))</f>
        <v>8/24/2022
Invite Next Year</v>
      </c>
      <c r="C255" s="427" t="s">
        <v>7725</v>
      </c>
      <c r="D255" s="428">
        <f t="array" ref="D255">INDEX(Import!D:D,MATCH(C255,Name,0))</f>
        <v>1.75</v>
      </c>
      <c r="E255" s="429">
        <f t="array" aca="1" ref="E255" ca="1">(INDEX(Import!I:I,MATCH(C255,Name,0))+INDEX(Import!L:L,MATCH(C255,Name,0))+INDEX('Form Import'!V:V,MATCH(A255,'Form Import'!F:F,0)))/3</f>
        <v>2.5</v>
      </c>
      <c r="F255" s="430" t="str">
        <f t="array" ref="F255">INDEX(Import!E:E,MATCH(C255,Name,0))</f>
        <v>targo.digital UG (haftungsbeschraenkt) develops computer games for elementary school children. It is necessary to provide quality entertainment in a safe environment that sustains the children's social interaction,</v>
      </c>
      <c r="G255" s="431" t="str">
        <f t="array" ref="G255">CONCATENATE(INDEX(Import!G:G,MATCH(C255,Import!C:C,0)),CHAR(10),INDEX(Import!I:I,MATCH(C255,Name,0)))</f>
        <v>Matt Myers
1.5</v>
      </c>
      <c r="H255" s="432" t="str">
        <f t="array" ref="H255">INDEX(Import!H:H,MATCH(C255,Name,0))</f>
        <v>Very early in development, not novel tech. Strong mission, but not a fit for EFL.</v>
      </c>
      <c r="I255" s="431" t="str">
        <f t="array" ref="I255">CONCATENATE(INDEX(Import!J:J,MATCH(C255,Name,0)),CHAR(10),INDEX(Import!L:L,MATCH(C255,Name,0)))</f>
        <v>Chaitanya Kotcherlakota
2</v>
      </c>
      <c r="J255" s="432" t="str">
        <f t="array" ref="J255">INDEX(Import!K:K,MATCH(C255,Name,0))</f>
        <v>Haven?t raised any money yet still in process of building the product.</v>
      </c>
      <c r="K255" s="431" t="str">
        <f t="array" aca="1" ref="K255" ca="1">CONCATENATE(INDEX('Form Import'!D:D,MATCH(A255,'Form Import'!F:F,0)),CHAR(10),INDEX('Form Import'!V:V,MATCH(A255,'Form Import'!F:F,0)))</f>
        <v>Chris Millisits
4</v>
      </c>
      <c r="L255" s="432" t="str">
        <f t="array" aca="1" ref="L255" ca="1">INDEX('Form Import'!W:W,MATCH(A255,'Form Import'!F:F,0))</f>
        <v>The team here has good relevant experience, the product is compelling, and the long-term vision is revolutionary.
Has some traction, and the tech seems defensible.</v>
      </c>
      <c r="M255" s="430"/>
      <c r="N255" s="430" t="str">
        <f t="array" aca="1" ref="N255" ca="1">INDEX('Form Import'!L:L,MATCH($A255,'Form Import'!$F:$F,0))</f>
        <v>Technology is novel - it's a similar concept to Theranos (other than the fraud and one-machine-for-all-tests claims). On-site testing, software for logging (that plugs into existing systems).</v>
      </c>
      <c r="O255" s="430" t="str">
        <f t="array" aca="1" ref="O255" ca="1">INDEX('Form Import'!O:O,MATCH($A255,'Form Import'!$F:$F,0))</f>
        <v>Have 7 paying customers with $90k ACV</v>
      </c>
      <c r="P255" s="430" t="str">
        <f t="array" aca="1" ref="P255" ca="1">INDEX('Form Import'!S:S,MATCH($A255,'Form Import'!$F:$F,0))</f>
        <v>Both founders have backgrounds in biotechnology, with the CEO having run a lab for 2 years. Vision is compelling.</v>
      </c>
      <c r="Q255" s="430"/>
      <c r="R255" s="430"/>
      <c r="S255" s="430" t="e">
        <f t="array" aca="1" ref="S255" ca="1">_xludf.TextJoin("; ",1,INDEX(Import!S:S,MATCH(C255,Name,0)))</f>
        <v>#NAME?</v>
      </c>
    </row>
    <row r="256" spans="1:19" ht="48">
      <c r="A256" s="418" t="s">
        <v>2989</v>
      </c>
      <c r="B256" s="419" t="str">
        <f t="array" aca="1" ref="B256" ca="1">CONCATENATE(TEXT(INDEX(query!A:A,MATCH(C256,query!B:B,0)),"M/DD/YYY"),CHAR(10),INDEX(query!E:E,MATCH(C256,query!B:B,0)))</f>
        <v>8/18/2022
Invite Next Year</v>
      </c>
      <c r="C256" s="85" t="s">
        <v>3349</v>
      </c>
      <c r="D256" s="420">
        <f t="array" ref="D256">INDEX(Import!D:D,MATCH(C256,Name,0))</f>
        <v>3</v>
      </c>
      <c r="E256" s="421">
        <f t="array" aca="1" ref="E256" ca="1">(INDEX(Import!I:I,MATCH(C256,Name,0))+INDEX(Import!L:L,MATCH(C256,Name,0))+INDEX('Form Import'!V:V,MATCH(A256,'Form Import'!F:F,0)))/3</f>
        <v>2.3333333333333335</v>
      </c>
      <c r="F256" s="422" t="str">
        <f t="array" ref="F256">INDEX(Import!E:E,MATCH(C256,Name,0))</f>
        <v>Tau Drones is an energy analytics company from North Dakota that automates building energy inspections using UAS technology and artificial intelligence. Tau Drones provides actionable energy and emission information to facility managers of public and private institutions  to ensure reduced operational costs.</v>
      </c>
      <c r="G256" s="423" t="str">
        <f t="array" ref="G256">CONCATENATE(INDEX(Import!G:G,MATCH(C256,Import!C:C,0)),CHAR(10),INDEX(Import!I:I,MATCH(C256,Name,0)))</f>
        <v>Khoa Ma
3</v>
      </c>
      <c r="H256" s="424" t="str">
        <f t="array" ref="H256">INDEX(Import!H:H,MATCH(C256,Name,0))</f>
        <v>DiT
thermal imaging system with a custom-made AI that helps facility managers justify building modifications and renovations 
Others can do this already</v>
      </c>
      <c r="I256" s="423" t="str">
        <f t="array" ref="I256">CONCATENATE(INDEX(Import!J:J,MATCH(C256,Name,0)),CHAR(10),INDEX(Import!L:L,MATCH(C256,Name,0)))</f>
        <v>Yagnik Mehta
3</v>
      </c>
      <c r="J256" s="424" t="str">
        <f t="array" ref="J256">INDEX(Import!K:K,MATCH(C256,Name,0))</f>
        <v>Very early for the EFL program.</v>
      </c>
      <c r="K256" s="423" t="str">
        <f t="array" aca="1" ref="K256" ca="1">CONCATENATE(INDEX('Form Import'!D:D,MATCH(A256,'Form Import'!F:F,0)),CHAR(10),INDEX('Form Import'!V:V,MATCH(A256,'Form Import'!F:F,0)))</f>
        <v>Chris Millisits
1</v>
      </c>
      <c r="L256" s="424" t="str">
        <f t="array" aca="1" ref="L256" ca="1">INDEX('Form Import'!W:W,MATCH(A256,'Form Import'!F:F,0))</f>
        <v>Unclear what they are building. They're very early in the ideation phase, and the team is very young (2nd year of college).</v>
      </c>
      <c r="M256" s="422"/>
      <c r="N256" s="422" t="str">
        <f t="array" aca="1" ref="N256" ca="1">INDEX('Form Import'!L:L,MATCH($A256,'Form Import'!$F:$F,0))</f>
        <v>Just a concept today, and unclear what the technology would look like but it seems to be a AI &amp; ML model sold as a SaaS product.</v>
      </c>
      <c r="O256" s="422" t="str">
        <f t="array" aca="1" ref="O256" ca="1">INDEX('Form Import'!O:O,MATCH($A256,'Form Import'!$F:$F,0))</f>
        <v>Use cases and target market not put forth. Just an idea.</v>
      </c>
      <c r="P256" s="422" t="str">
        <f t="array" aca="1" ref="P256" ca="1">INDEX('Form Import'!S:S,MATCH($A256,'Form Import'!$F:$F,0))</f>
        <v>Very young team. Doesn't articulate a clear vision in their application. It's too vague.</v>
      </c>
      <c r="Q256" s="422"/>
      <c r="R256" s="422"/>
      <c r="S256" s="422" t="e">
        <f t="array" aca="1" ref="S256" ca="1">_xludf.TextJoin("; ",1,INDEX(Import!S:S,MATCH(C256,Name,0)))</f>
        <v>#NAME?</v>
      </c>
    </row>
    <row r="257" spans="1:19" ht="84">
      <c r="A257" s="425" t="s">
        <v>762</v>
      </c>
      <c r="B257" s="426" t="str">
        <f t="array" aca="1" ref="B257" ca="1">CONCATENATE(TEXT(INDEX(query!A:A,MATCH(C257,query!B:B,0)),"M/DD/YYY"),CHAR(10),INDEX(query!E:E,MATCH(C257,query!B:B,0)))</f>
        <v>8/16/2022
Invite Next Year</v>
      </c>
      <c r="C257" s="427" t="s">
        <v>9235</v>
      </c>
      <c r="D257" s="428">
        <f t="array" ref="D257">INDEX(Import!D:D,MATCH(C257,Name,0))</f>
        <v>2</v>
      </c>
      <c r="E257" s="429">
        <f t="array" aca="1" ref="E257" ca="1">(INDEX(Import!I:I,MATCH(C257,Name,0))+INDEX(Import!L:L,MATCH(C257,Name,0))+INDEX('Form Import'!V:V,MATCH(A257,'Form Import'!F:F,0)))/3</f>
        <v>2.3333333333333335</v>
      </c>
      <c r="F257" s="430" t="str">
        <f t="array" ref="F257">INDEX(Import!E:E,MATCH(C257,Name,0))</f>
        <v>1st and leading meditation app in Arabic</v>
      </c>
      <c r="G257" s="431" t="str">
        <f t="array" ref="G257">CONCATENATE(INDEX(Import!G:G,MATCH(C257,Import!C:C,0)),CHAR(10),INDEX(Import!I:I,MATCH(C257,Name,0)))</f>
        <v>Chris Mosher
2</v>
      </c>
      <c r="H257" s="432" t="str">
        <f t="array" ref="H257">INDEX(Import!H:H,MATCH(C257,Name,0))</f>
        <v>Arabic meditation app. Market is large, but traction is only $5K/month with their biggest obstacle being retention. Not seeing a significant tech innovation - "neuromusic". Women-led.</v>
      </c>
      <c r="I257" s="431" t="str">
        <f t="array" ref="I257">CONCATENATE(INDEX(Import!J:J,MATCH(C257,Name,0)),CHAR(10),INDEX(Import!L:L,MATCH(C257,Name,0)))</f>
        <v>Tugba Oncu
2</v>
      </c>
      <c r="J257" s="432" t="str">
        <f t="array" ref="J257">INDEX(Import!K:K,MATCH(C257,Name,0))</f>
        <v>This is not an LS company. Meditation app in Arabic. Female founder. Arabic is one of the most spoken languages. Maybe we can transfer this one to DIT?</v>
      </c>
      <c r="K257" s="431" t="str">
        <f t="array" aca="1" ref="K257" ca="1">CONCATENATE(INDEX('Form Import'!D:D,MATCH(A257,'Form Import'!F:F,0)),CHAR(10),INDEX('Form Import'!V:V,MATCH(A257,'Form Import'!F:F,0)))</f>
        <v>Chris Millisits
3</v>
      </c>
      <c r="L257" s="432" t="str">
        <f t="array" aca="1" ref="L257" ca="1">INDEX('Form Import'!W:W,MATCH(A257,'Form Import'!F:F,0))</f>
        <v>Seems like a new technology that many universities are also trying to build. Founders have relevant experience, but unlikely to be innovators in the space because it's such an emerging technology and their backgrounds are as working engineers not researchers.
Many people on this, but it is very early days. This company also has no traction because they are pre-product.</v>
      </c>
      <c r="M257" s="430"/>
      <c r="N257" s="430" t="str">
        <f t="array" aca="1" ref="N257" ca="1">INDEX('Form Import'!L:L,MATCH($A257,'Form Import'!$F:$F,0))</f>
        <v>Seems like a new technology that many universities are also trying to build.</v>
      </c>
      <c r="O257" s="430" t="str">
        <f t="array" aca="1" ref="O257" ca="1">INDEX('Form Import'!O:O,MATCH($A257,'Form Import'!$F:$F,0))</f>
        <v>Very early days</v>
      </c>
      <c r="P257" s="430" t="str">
        <f t="array" aca="1" ref="P257" ca="1">INDEX('Form Import'!S:S,MATCH($A257,'Form Import'!$F:$F,0))</f>
        <v>4 founder - two mechanical engineers, one electronics engineer and one materials engineer. Met at a course training engineers to be startup founders in automotives.</v>
      </c>
      <c r="Q257" s="430"/>
      <c r="R257" s="430"/>
      <c r="S257" s="430" t="e">
        <f t="array" aca="1" ref="S257" ca="1">_xludf.TextJoin("; ",1,INDEX(Import!S:S,MATCH(C257,Name,0)))</f>
        <v>#NAME?</v>
      </c>
    </row>
    <row r="258" spans="1:19" ht="84">
      <c r="A258" s="418" t="s">
        <v>8971</v>
      </c>
      <c r="B258" s="419" t="str">
        <f t="array" aca="1" ref="B258" ca="1">CONCATENATE(TEXT(INDEX(query!A:A,MATCH(C258,query!B:B,0)),"M/DD/YYY"),CHAR(10),INDEX(query!E:E,MATCH(C258,query!B:B,0)))</f>
        <v>8/11/2022
Invite Next Year</v>
      </c>
      <c r="C258" s="85" t="s">
        <v>4899</v>
      </c>
      <c r="D258" s="420">
        <f t="array" ref="D258">INDEX(Import!D:D,MATCH(C258,Name,0))</f>
        <v>3.5</v>
      </c>
      <c r="E258" s="421">
        <f t="array" aca="1" ref="E258" ca="1">(INDEX(Import!I:I,MATCH(C258,Name,0))+INDEX(Import!L:L,MATCH(C258,Name,0))+INDEX('Form Import'!V:V,MATCH(A258,'Form Import'!F:F,0)))/3</f>
        <v>3.3333333333333335</v>
      </c>
      <c r="F258" s="422" t="str">
        <f t="array" ref="F258">INDEX(Import!E:E,MATCH(C258,Name,0))</f>
        <v>Tazah technologies is a venture backed agri-tech startup based out of Pakistan, solving problems of the entire agri value chain through tech enabled operating system;  making lives of the farmer easier through output market linkages, increase crop yields and find export opportunities for local agri produce.</v>
      </c>
      <c r="G258" s="423" t="str">
        <f t="array" ref="G258">CONCATENATE(INDEX(Import!G:G,MATCH(C258,Import!C:C,0)),CHAR(10),INDEX(Import!I:I,MATCH(C258,Name,0)))</f>
        <v>Mark Flynn
3</v>
      </c>
      <c r="H258" s="424" t="str">
        <f t="array" ref="H258">INDEX(Import!H:H,MATCH(C258,Name,0))</f>
        <v>Agritech and geographic focus likely not a fit for EFL.  Company seems to have decent traction.</v>
      </c>
      <c r="I258" s="423" t="str">
        <f t="array" ref="I258">CONCATENATE(INDEX(Import!J:J,MATCH(C258,Name,0)),CHAR(10),INDEX(Import!L:L,MATCH(C258,Name,0)))</f>
        <v>Beth Xie
4</v>
      </c>
      <c r="J258" s="424" t="str">
        <f t="array" ref="J258">INDEX(Import!K:K,MATCH(C258,Name,0))</f>
        <v>- Not a typical fit for EFL.
- Strong traction and fundraising. 
- Team is experienced and well rounded. 
- Very meaningful work in digitizing the agriculture end-to-end ecosystem in the region. 
- Feel the EFL should consider an interview to see if we could mentor this type of startup with strong social impact.</v>
      </c>
      <c r="K258" s="423" t="str">
        <f t="array" aca="1" ref="K258" ca="1">CONCATENATE(INDEX('Form Import'!D:D,MATCH(A258,'Form Import'!F:F,0)),CHAR(10),INDEX('Form Import'!V:V,MATCH(A258,'Form Import'!F:F,0)))</f>
        <v>Chris Millisits
3</v>
      </c>
      <c r="L258" s="424" t="str">
        <f t="array" aca="1" ref="L258" ca="1">INDEX('Form Import'!W:W,MATCH(A258,'Form Import'!F:F,0))</f>
        <v>Unsure of market size. Founder has some relevant experience. Potentially defensible product. Application not complete.</v>
      </c>
      <c r="M258" s="422"/>
      <c r="N258" s="422" t="str">
        <f t="array" aca="1" ref="N258" ca="1">INDEX('Form Import'!L:L,MATCH($A258,'Form Import'!$F:$F,0))</f>
        <v>Glass and rubber packing material</v>
      </c>
      <c r="O258" s="422" t="str">
        <f t="array" aca="1" ref="O258" ca="1">INDEX('Form Import'!O:O,MATCH($A258,'Form Import'!$F:$F,0))</f>
        <v>Proof of concept, talking to experts, market survey. Didn't provide any detail on addressable market, but pharmaceutical packing seems to be a large market with sizable market leaders - just unsure of how much is addressable due to the lack of detail in the application.</v>
      </c>
      <c r="P258" s="422" t="str">
        <f t="array" aca="1" ref="P258" ca="1">INDEX('Form Import'!S:S,MATCH($A258,'Form Import'!$F:$F,0))</f>
        <v>Previous experience as a pharmacist, and in packaging for pharma products.</v>
      </c>
      <c r="Q258" s="422"/>
      <c r="R258" s="422"/>
      <c r="S258" s="422" t="e">
        <f t="array" aca="1" ref="S258" ca="1">_xludf.TextJoin("; ",1,INDEX(Import!S:S,MATCH(C258,Name,0)))</f>
        <v>#NAME?</v>
      </c>
    </row>
    <row r="259" spans="1:19" ht="48">
      <c r="A259" s="425" t="s">
        <v>8980</v>
      </c>
      <c r="B259" s="426" t="str">
        <f t="array" aca="1" ref="B259" ca="1">CONCATENATE(TEXT(INDEX(query!A:A,MATCH(C259,query!B:B,0)),"M/DD/YYY"),CHAR(10),INDEX(query!E:E,MATCH(C259,query!B:B,0)))</f>
        <v>8/18/2022
Invite Next Year</v>
      </c>
      <c r="C259" s="427" t="s">
        <v>3358</v>
      </c>
      <c r="D259" s="428">
        <f t="array" ref="D259">INDEX(Import!D:D,MATCH(C259,Name,0))</f>
        <v>2.75</v>
      </c>
      <c r="E259" s="429">
        <f t="array" aca="1" ref="E259" ca="1">(INDEX(Import!I:I,MATCH(C259,Name,0))+INDEX(Import!L:L,MATCH(C259,Name,0))+INDEX('Form Import'!V:V,MATCH(A259,'Form Import'!F:F,0)))/3</f>
        <v>2.8333333333333335</v>
      </c>
      <c r="F259" s="430" t="str">
        <f t="array" ref="F259">INDEX(Import!E:E,MATCH(C259,Name,0))</f>
        <v>Tekuma - Improving the way humans interact with technology.
Tekuma?s orb is a control component that can be integrated into any human-machine interface, making it easier to control drones, robots, and other devices. Drastically improving the user experience, it can save your business time and money, as well as personnel and training costs.</v>
      </c>
      <c r="G259" s="431" t="str">
        <f t="array" ref="G259">CONCATENATE(INDEX(Import!G:G,MATCH(C259,Import!C:C,0)),CHAR(10),INDEX(Import!I:I,MATCH(C259,Name,0)))</f>
        <v>Khoa Ma
2</v>
      </c>
      <c r="H259" s="432" t="str">
        <f t="array" ref="H259">INDEX(Import!H:H,MATCH(C259,Name,0))</f>
        <v>orb is a control component
niche tech
not novel</v>
      </c>
      <c r="I259" s="431" t="str">
        <f t="array" ref="I259">CONCATENATE(INDEX(Import!J:J,MATCH(C259,Name,0)),CHAR(10),INDEX(Import!L:L,MATCH(C259,Name,0)))</f>
        <v>Arthur Ibanda
3.5</v>
      </c>
      <c r="J259" s="432" t="str">
        <f t="array" ref="J259">INDEX(Import!K:K,MATCH(C259,Name,0))</f>
        <v>+They have a developed product
+They have revenue
+They have government contract
-Difficult to scale</v>
      </c>
      <c r="K259" s="431" t="str">
        <f t="array" aca="1" ref="K259" ca="1">CONCATENATE(INDEX('Form Import'!D:D,MATCH(A259,'Form Import'!F:F,0)),CHAR(10),INDEX('Form Import'!V:V,MATCH(A259,'Form Import'!F:F,0)))</f>
        <v>Chris Millisits
3</v>
      </c>
      <c r="L259" s="432" t="str">
        <f t="array" aca="1" ref="L259" ca="1">INDEX('Form Import'!W:W,MATCH(A259,'Form Import'!F:F,0))</f>
        <v>Questions about size of market for this premium product. Vision is there, the team is there. The tech is a work in progress but sufficiently ambitious.</v>
      </c>
      <c r="M259" s="430"/>
      <c r="N259" s="430" t="str">
        <f t="array" aca="1" ref="N259" ca="1">INDEX('Form Import'!L:L,MATCH($A259,'Form Import'!$F:$F,0))</f>
        <v>Producing whole cuts of premium meat from cultures isn't exactly a pressing need. Novel IP that could sustain a cost advantage. Still working on taste, only have a prototype that can sustain the structure.</v>
      </c>
      <c r="O259" s="430" t="str">
        <f t="array" aca="1" ref="O259" ca="1">INDEX('Form Import'!O:O,MATCH($A259,'Form Import'!$F:$F,0))</f>
        <v>Serviceable addressable market is not all whole cut pork loin, it's lab-grown. Huge difference between the market size and what the company claims in their application.</v>
      </c>
      <c r="P259" s="430" t="str">
        <f t="array" aca="1" ref="P259" ca="1">INDEX('Form Import'!S:S,MATCH($A259,'Form Import'!$F:$F,0))</f>
        <v>The co-founders bring experience of over 30 years, with expertise in microbiology and strain engineering, mammalian tissue culture, stem cell biology, protein design and purification, and synthetic biology to the company.</v>
      </c>
      <c r="Q259" s="430"/>
      <c r="R259" s="430"/>
      <c r="S259" s="430" t="e">
        <f t="array" aca="1" ref="S259" ca="1">_xludf.TextJoin("; ",1,INDEX(Import!S:S,MATCH(C259,Name,0)))</f>
        <v>#NAME?</v>
      </c>
    </row>
    <row r="260" spans="1:19" ht="60">
      <c r="A260" s="418" t="s">
        <v>770</v>
      </c>
      <c r="B260" s="419" t="str">
        <f t="array" aca="1" ref="B260" ca="1">CONCATENATE(TEXT(INDEX(query!A:A,MATCH(C260,query!B:B,0)),"M/DD/YYY"),CHAR(10),INDEX(query!E:E,MATCH(C260,query!B:B,0)))</f>
        <v>8/11/2022
Invite</v>
      </c>
      <c r="C260" s="85" t="s">
        <v>127</v>
      </c>
      <c r="D260" s="420">
        <f t="array" ref="D260">INDEX(Import!D:D,MATCH(C260,Name,0))</f>
        <v>4</v>
      </c>
      <c r="E260" s="421">
        <f t="array" aca="1" ref="E260" ca="1">(INDEX(Import!I:I,MATCH(C260,Name,0))+INDEX(Import!L:L,MATCH(C260,Name,0))+INDEX('Form Import'!V:V,MATCH(A260,'Form Import'!F:F,0)))/3</f>
        <v>4</v>
      </c>
      <c r="F260" s="422" t="str">
        <f t="array" ref="F260">INDEX(Import!E:E,MATCH(C260,Name,0))</f>
        <v>Terecircuits reinvents semiconductor back-end manufacturing through advanced materials and tools that are orders of magnitude faster and more accurate than current technology, providing increased yield and throughput to constrained supply chains, while reducing cost.</v>
      </c>
      <c r="G260" s="423" t="str">
        <f t="array" ref="G260">CONCATENATE(INDEX(Import!G:G,MATCH(C260,Import!C:C,0)),CHAR(10),INDEX(Import!I:I,MATCH(C260,Name,0)))</f>
        <v>Khoa Ma
4</v>
      </c>
      <c r="H260" s="424" t="str">
        <f t="array" ref="H260">INDEX(Import!H:H,MATCH(C260,Name,0))</f>
        <v>materials and integrated circuits designed to build various products and devices at scale
long lead time in sales cycle
great tech
good team</v>
      </c>
      <c r="I260" s="423" t="str">
        <f t="array" ref="I260">CONCATENATE(INDEX(Import!J:J,MATCH(C260,Name,0)),CHAR(10),INDEX(Import!L:L,MATCH(C260,Name,0)))</f>
        <v>Arthur Ibanda
4</v>
      </c>
      <c r="J260" s="424" t="str">
        <f t="array" ref="J260">INDEX(Import!K:K,MATCH(C260,Name,0))</f>
        <v>+Novel technology
+Team seems credible 
+Working prototype
+The have multiple patents</v>
      </c>
      <c r="K260" s="423" t="str">
        <f t="array" aca="1" ref="K260" ca="1">CONCATENATE(INDEX('Form Import'!D:D,MATCH(A260,'Form Import'!F:F,0)),CHAR(10),INDEX('Form Import'!V:V,MATCH(A260,'Form Import'!F:F,0)))</f>
        <v>Chris Millisits
4</v>
      </c>
      <c r="L260" s="424" t="str">
        <f t="array" aca="1" ref="L260" ca="1">INDEX('Form Import'!W:W,MATCH(A260,'Form Import'!F:F,0))</f>
        <v>Raising $48m, so very late stage. Team has experience running companies in the space - CEO has biochemistry PhD and built an applied materials company previously. There are competitors, but this company's solution is well-defended by patents. Market should be sizable, even as a fraction of the overall lithium-ion battery market.</v>
      </c>
      <c r="M260" s="422"/>
      <c r="N260" s="422" t="str">
        <f t="array" aca="1" ref="N260" ca="1">INDEX('Form Import'!L:L,MATCH($A260,'Form Import'!$F:$F,0))</f>
        <v>There's a few direct competitors in the space (ACS Materials, Strem Chemical). Performance has been tested, with noted performance improvements. 9 patents.</v>
      </c>
      <c r="O260" s="422" t="str">
        <f t="array" aca="1" ref="O260" ca="1">INDEX('Form Import'!O:O,MATCH($A260,'Form Import'!$F:$F,0))</f>
        <v>Market size &lt;= 1% of the $40b lithium-ion battery market, but still sizable. Has customers, but makes most of their money from their oil additive product.</v>
      </c>
      <c r="P260" s="422" t="str">
        <f t="array" aca="1" ref="P260" ca="1">INDEX('Form Import'!S:S,MATCH($A260,'Form Import'!$F:$F,0))</f>
        <v>Repeat founders. CEO has previous launched an applied materials company.</v>
      </c>
      <c r="Q260" s="422"/>
      <c r="R260" s="422"/>
      <c r="S260" s="422" t="e">
        <f t="array" aca="1" ref="S260" ca="1">_xludf.TextJoin("; ",1,INDEX(Import!S:S,MATCH(C260,Name,0)))</f>
        <v>#NAME?</v>
      </c>
    </row>
    <row r="261" spans="1:19" ht="96">
      <c r="A261" s="425" t="s">
        <v>3000</v>
      </c>
      <c r="B261" s="426" t="str">
        <f t="array" aca="1" ref="B261" ca="1">CONCATENATE(TEXT(INDEX(query!A:A,MATCH(C261,query!B:B,0)),"M/DD/YYY"),CHAR(10),INDEX(query!E:E,MATCH(C261,query!B:B,0)))</f>
        <v>8/18/2022
Invite Next Year</v>
      </c>
      <c r="C261" s="427" t="s">
        <v>3367</v>
      </c>
      <c r="D261" s="428">
        <f t="array" ref="D261">INDEX(Import!D:D,MATCH(C261,Name,0))</f>
        <v>3</v>
      </c>
      <c r="E261" s="429">
        <f t="array" aca="1" ref="E261" ca="1">(INDEX(Import!I:I,MATCH(C261,Name,0))+INDEX(Import!L:L,MATCH(C261,Name,0))+INDEX('Form Import'!V:V,MATCH(A261,'Form Import'!F:F,0)))/3</f>
        <v>3.3333333333333335</v>
      </c>
      <c r="F261" s="430" t="str">
        <f t="array" ref="F261">INDEX(Import!E:E,MATCH(C261,Name,0))</f>
        <v>TerMir develops IP for crop protection so farmers can adopt sustainable and regenerative agriculture techniques without increased cost per acre.  We help farmers grow more crops and convert more land to organic with our technologies.  Our first commercial product is a natural product herbicide to help farmers transition from Roundup/Glyphosate.</v>
      </c>
      <c r="G261" s="431" t="str">
        <f t="array" ref="G261">CONCATENATE(INDEX(Import!G:G,MATCH(C261,Import!C:C,0)),CHAR(10),INDEX(Import!I:I,MATCH(C261,Name,0)))</f>
        <v>Chris Mosher
3</v>
      </c>
      <c r="H261" s="432" t="str">
        <f t="array" ref="H261">INDEX(Import!H:H,MATCH(C261,Name,0))</f>
        <v>Deep Tech. Natural, plant-derived herbicide that can both prevent and destroy weeds. 3rd party testing has been ongoing for nearly 3 years (not sure of the results). Plans to file a provisional patent in Q4 2022. $4.4M raised, also participated in Alexandria LaunchLabs (not affiliated with Columbia). Team has decades of experience in ag tech. Company structure is confusing - TerMir is the mother company, but Harpe (which produces this product) is a spinout that became larger than TerMir. Cluster with other herbicide/ag tech companies in DT?</v>
      </c>
      <c r="I261" s="431" t="str">
        <f t="array" ref="I261">CONCATENATE(INDEX(Import!J:J,MATCH(C261,Name,0)),CHAR(10),INDEX(Import!L:L,MATCH(C261,Name,0)))</f>
        <v>Parsa Amiri
3</v>
      </c>
      <c r="J261" s="432" t="str">
        <f t="array" ref="J261">INDEX(Import!K:K,MATCH(C261,Name,0))</f>
        <v>Referred by Chris Mosher? Alexandria Launch Labs. Termir is the mother company, and Harpe is a spin-out from that. Now Harpe is much larger than Termir. Harpe produces a portfolio of novel and green herbicides. Termir is a potfolio of product consist of Harpe and one other product called Ichor- a solution for citrus greening which is caused by a bacteria called HLB.</v>
      </c>
      <c r="K261" s="431" t="str">
        <f t="array" aca="1" ref="K261" ca="1">CONCATENATE(INDEX('Form Import'!D:D,MATCH(A261,'Form Import'!F:F,0)),CHAR(10),INDEX('Form Import'!V:V,MATCH(A261,'Form Import'!F:F,0)))</f>
        <v>Chris Millisits
4</v>
      </c>
      <c r="L261" s="432" t="str">
        <f t="array" aca="1" ref="L261" ca="1">INDEX('Form Import'!W:W,MATCH(A261,'Form Import'!F:F,0))</f>
        <v>Strong team, product compares favorably with other solutions on the market. Getting good traction on pre-sales, and will be a very attractive product at that price point. Some more development needed to get to 2nd gen product and scale up manufacturing.</v>
      </c>
      <c r="M261" s="430"/>
      <c r="N261" s="430" t="str">
        <f t="array" aca="1" ref="N261" ca="1">INDEX('Form Import'!L:L,MATCH($A261,'Form Import'!$F:$F,0))</f>
        <v>Different approach to the problem that should yield a more usable product. They're still developing the 2nd generation device, so validation is on the early working version only and not the finished product.</v>
      </c>
      <c r="O261" s="430" t="str">
        <f t="array" aca="1" ref="O261" ca="1">INDEX('Form Import'!O:O,MATCH($A261,'Form Import'!$F:$F,0))</f>
        <v>20k per month, with plenty of pre-orders. Market size is substantial, though I think they will struggle to expand past the medical usage (they want to be a tool for occupational workers, but at $1.5k per doctor/nurse/manufacturing employee, this would be a big cost for employers).</v>
      </c>
      <c r="P261" s="430" t="str">
        <f t="array" aca="1" ref="P261" ca="1">INDEX('Form Import'!S:S,MATCH($A261,'Form Import'!$F:$F,0))</f>
        <v>One founder runs a prototyping company, another a point-of-care diagnostic product provider, and the 3rd is a PhD in biomedicine.</v>
      </c>
      <c r="Q261" s="430"/>
      <c r="R261" s="430"/>
      <c r="S261" s="430" t="e">
        <f t="array" aca="1" ref="S261" ca="1">_xludf.TextJoin("; ",1,INDEX(Import!S:S,MATCH(C261,Name,0)))</f>
        <v>#NAME?</v>
      </c>
    </row>
    <row r="262" spans="1:19" ht="120">
      <c r="A262" s="418" t="s">
        <v>3010</v>
      </c>
      <c r="B262" s="419" t="str">
        <f t="array" aca="1" ref="B262" ca="1">CONCATENATE(TEXT(INDEX(query!A:A,MATCH(C262,query!B:B,0)),"M/DD/YYY"),CHAR(10),INDEX(query!E:E,MATCH(C262,query!B:B,0)))</f>
        <v>8/11/2022
Invite</v>
      </c>
      <c r="C262" s="85" t="s">
        <v>360</v>
      </c>
      <c r="D262" s="420">
        <f t="array" ref="D262">INDEX(Import!D:D,MATCH(C262,Name,0))</f>
        <v>5</v>
      </c>
      <c r="E262" s="421">
        <f t="array" aca="1" ref="E262" ca="1">(INDEX(Import!I:I,MATCH(C262,Name,0))+INDEX(Import!L:L,MATCH(C262,Name,0))+INDEX('Form Import'!V:V,MATCH(A262,'Form Import'!F:F,0)))/3</f>
        <v>4.333333333333333</v>
      </c>
      <c r="F262" s="422" t="str">
        <f t="array" ref="F262">INDEX(Import!E:E,MATCH(C262,Name,0))</f>
        <v>Terra Bioworks has pioneered a synthetic biology engineering platform that is 100 times faster and more precise than Pharma methods to discover and over produce microbial natural product drugs at a fraction of the price.</v>
      </c>
      <c r="G262" s="423" t="str">
        <f t="array" ref="G262">CONCATENATE(INDEX(Import!G:G,MATCH(C262,Import!C:C,0)),CHAR(10),INDEX(Import!I:I,MATCH(C262,Name,0)))</f>
        <v>Chris Mosher
5</v>
      </c>
      <c r="H262" s="424" t="str">
        <f t="array" ref="H262">INDEX(Import!H:H,MATCH(C262,Name,0))</f>
        <v>A multi-omics and AI-powered drug discovery platform to identify microbial natural products (MNPs), coupled with CRISPR and synthetic biology to optimize the production of those MNPs. Reminds me of Interface Bio (last year's cohort), but they are further along than Interface having already produced MNPs for some major players including Bayer, BASF, and two Ginko and Zymergen acquisitions ($250K ARR and scaling). CEO sold last company for $70M. CSO from Columbia. Board Director from Cornell and is now a Prof. at Northwestern. Everyone is part-time except for the CEO, so ask in the interview if they use a CRO or plan to make more full-time hires.</v>
      </c>
      <c r="I262" s="423" t="str">
        <f t="array" ref="I262">CONCATENATE(INDEX(Import!J:J,MATCH(C262,Name,0)),CHAR(10),INDEX(Import!L:L,MATCH(C262,Name,0)))</f>
        <v>Parsa Amiri
5</v>
      </c>
      <c r="J262" s="424" t="str">
        <f t="array" ref="J262">INDEX(Import!K:K,MATCH(C262,Name,0))</f>
        <v>270K revenue. Top-ranked university affiliation. A great team with prior startup and exit experience developing a platform for identification of biosynthetic pathways of microbial natural products.</v>
      </c>
      <c r="K262" s="423" t="str">
        <f t="array" aca="1" ref="K262" ca="1">CONCATENATE(INDEX('Form Import'!D:D,MATCH(A262,'Form Import'!F:F,0)),CHAR(10),INDEX('Form Import'!V:V,MATCH(A262,'Form Import'!F:F,0)))</f>
        <v>Chris Millisits
3</v>
      </c>
      <c r="L262" s="424" t="str">
        <f t="array" aca="1" ref="L262" ca="1">INDEX('Form Import'!W:W,MATCH(A262,'Form Import'!F:F,0))</f>
        <v>Solution isn't terribly novel (hardware pill dispenser plus an app). It's a better Digital Health solution than many on the market, given it is an integrated solution for heart failure including the hardware elements. Team has good experience. Market size for heart failure is moderate, and expansion into other market segments will be difficult due to competition levels and need for specialized solutions by condition.</v>
      </c>
      <c r="M262" s="422"/>
      <c r="N262" s="422" t="str">
        <f t="array" aca="1" ref="N262" ca="1">INDEX('Form Import'!L:L,MATCH($A262,'Form Import'!$F:$F,0))</f>
        <v>Hardware and software elements. Have built the prototype, no customers.</v>
      </c>
      <c r="O262" s="422" t="str">
        <f t="array" aca="1" ref="O262" ca="1">INDEX('Form Import'!O:O,MATCH($A262,'Form Import'!$F:$F,0))</f>
        <v>No customers. Market size for heart failure is $330m.</v>
      </c>
      <c r="P262" s="422" t="str">
        <f t="array" aca="1" ref="P262" ca="1">INDEX('Form Import'!S:S,MATCH($A262,'Form Import'!$F:$F,0))</f>
        <v>One founder has extensive pharmacy and lab experience, the other a background in IoT.</v>
      </c>
      <c r="Q262" s="422"/>
      <c r="R262" s="422"/>
      <c r="S262" s="422" t="e">
        <f t="array" aca="1" ref="S262" ca="1">_xludf.TextJoin("; ",1,INDEX(Import!S:S,MATCH(C262,Name,0)))</f>
        <v>#NAME?</v>
      </c>
    </row>
    <row r="263" spans="1:19" ht="108">
      <c r="A263" s="425" t="s">
        <v>13173</v>
      </c>
      <c r="B263" s="426" t="str">
        <f t="array" aca="1" ref="B263" ca="1">CONCATENATE(TEXT(INDEX(query!A:A,MATCH(C263,query!B:B,0)),"M/DD/YYY"),CHAR(10),INDEX(query!E:E,MATCH(C263,query!B:B,0)))</f>
        <v>8/09/2022
Invite Next Year</v>
      </c>
      <c r="C263" s="427" t="s">
        <v>3377</v>
      </c>
      <c r="D263" s="428">
        <f t="array" ref="D263">INDEX(Import!D:D,MATCH(C263,Name,0))</f>
        <v>3.25</v>
      </c>
      <c r="E263" s="429">
        <f t="array" aca="1" ref="E263" ca="1">(INDEX(Import!I:I,MATCH(C263,Name,0))+INDEX(Import!L:L,MATCH(C263,Name,0))+INDEX('Form Import'!V:V,MATCH(A263,'Form Import'!F:F,0)))/3</f>
        <v>2.8333333333333335</v>
      </c>
      <c r="F263" s="430" t="str">
        <f t="array" ref="F263">INDEX(Import!E:E,MATCH(C263,Name,0))</f>
        <v>Terra Carbon Development, Inc. proposes to address a portion of the 'Decarbonization of Steelmaking' problem by deploying an integrated 'system of systems' technology package to achieve Carbon Capture, Utilization [and Sequestration] CCUS to produce blast-furnace quality 'Green Pig Iron'  without the environmental impact of a blast furnace.</v>
      </c>
      <c r="G263" s="431" t="str">
        <f t="array" ref="G263">CONCATENATE(INDEX(Import!G:G,MATCH(C263,Import!C:C,0)),CHAR(10),INDEX(Import!I:I,MATCH(C263,Name,0)))</f>
        <v>Khoa Ma
3.5</v>
      </c>
      <c r="H263" s="432" t="str">
        <f t="array" ref="H263">INDEX(Import!H:H,MATCH(C263,Name,0))</f>
        <v>Need to scale tech with customers
Invite next year to see progress
Needs a bigger team
Scott S may be interested?</v>
      </c>
      <c r="I263" s="431" t="str">
        <f t="array" ref="I263">CONCATENATE(INDEX(Import!J:J,MATCH(C263,Name,0)),CHAR(10),INDEX(Import!L:L,MATCH(C263,Name,0)))</f>
        <v>Shubo (Gabriel) Xu
3</v>
      </c>
      <c r="J263" s="432" t="str">
        <f t="array" ref="J263">INDEX(Import!K:K,MATCH(C263,Name,0))</f>
        <v>+ 
1. tech is novel and solves a known ESG related problem
2. team is well put-together &amp; seems motivated 
3. long-term plan for future is inspiring
-
1. current operation is in Colombia
2. no clear timeline as to when will the focus be shifted back to the U.S.
1.</v>
      </c>
      <c r="K263" s="431" t="str">
        <f t="array" aca="1" ref="K263" ca="1">CONCATENATE(INDEX('Form Import'!D:D,MATCH(A263,'Form Import'!F:F,0)),CHAR(10),INDEX('Form Import'!V:V,MATCH(A263,'Form Import'!F:F,0)))</f>
        <v>Chris Millisits
2</v>
      </c>
      <c r="L263" s="432" t="str">
        <f t="array" aca="1" ref="L263" ca="1">INDEX('Form Import'!W:W,MATCH(A263,'Form Import'!F:F,0))</f>
        <v>Competitive space. Tech isn't defensible. Good founding team with previous experience on a startup together.</v>
      </c>
      <c r="M263" s="430"/>
      <c r="N263" s="430" t="str">
        <f t="array" aca="1" ref="N263" ca="1">INDEX('Form Import'!L:L,MATCH($A263,'Form Import'!$F:$F,0))</f>
        <v>Many competitors in this space. Tech is not very defensible, this market will be won by healthcare coverage and marketing expenses.</v>
      </c>
      <c r="O263" s="430" t="str">
        <f t="array" aca="1" ref="O263" ca="1">INDEX('Form Import'!O:O,MATCH($A263,'Form Import'!$F:$F,0))</f>
        <v>Have some customers.</v>
      </c>
      <c r="P263" s="430" t="str">
        <f t="array" aca="1" ref="P263" ca="1">INDEX('Form Import'!S:S,MATCH($A263,'Form Import'!$F:$F,0))</f>
        <v>Founders have previously worked together on a digital health solution. Medical backgrounds.</v>
      </c>
      <c r="Q263" s="430"/>
      <c r="R263" s="430"/>
      <c r="S263" s="430" t="e">
        <f t="array" aca="1" ref="S263" ca="1">_xludf.TextJoin("; ",1,INDEX(Import!S:S,MATCH(C263,Name,0)))</f>
        <v>#NAME?</v>
      </c>
    </row>
    <row r="264" spans="1:19" ht="24">
      <c r="A264" s="418" t="s">
        <v>8987</v>
      </c>
      <c r="B264" s="419" t="str">
        <f t="array" aca="1" ref="B264" ca="1">CONCATENATE(TEXT(INDEX(query!A:A,MATCH(C264,query!B:B,0)),"M/DD/YYY"),CHAR(10),INDEX(query!E:E,MATCH(C264,query!B:B,0)))</f>
        <v>8/16/2022
Invite Next Year</v>
      </c>
      <c r="C264" s="85" t="s">
        <v>3387</v>
      </c>
      <c r="D264" s="420">
        <f t="array" ref="D264">INDEX(Import!D:D,MATCH(C264,Name,0))</f>
        <v>3</v>
      </c>
      <c r="E264" s="421">
        <f t="array" aca="1" ref="E264" ca="1">(INDEX(Import!I:I,MATCH(C264,Name,0))+INDEX(Import!L:L,MATCH(C264,Name,0))+INDEX('Form Import'!V:V,MATCH(A264,'Form Import'!F:F,0)))/3</f>
        <v>2.3333333333333335</v>
      </c>
      <c r="F264" s="422" t="str">
        <f t="array" ref="F264">INDEX(Import!E:E,MATCH(C264,Name,0))</f>
        <v>Texelio is a deep-tech white label SaaS platform that radically increases the usability and delivery of financial media content for investors while driving insights, engagement and AUM revenues for financial investment platforms. Offering 100+ contextual topics available for equities, ESG, commodities and cryptos.</v>
      </c>
      <c r="G264" s="423" t="str">
        <f t="array" ref="G264">CONCATENATE(INDEX(Import!G:G,MATCH(C264,Import!C:C,0)),CHAR(10),INDEX(Import!I:I,MATCH(C264,Name,0)))</f>
        <v>Khoa Ma
3</v>
      </c>
      <c r="H264" s="424">
        <f t="array" ref="H264">INDEX(Import!H:H,MATCH(C264,Name,0))</f>
        <v>0</v>
      </c>
      <c r="I264" s="423" t="str">
        <f t="array" ref="I264">CONCATENATE(INDEX(Import!J:J,MATCH(C264,Name,0)),CHAR(10),INDEX(Import!L:L,MATCH(C264,Name,0)))</f>
        <v>Sriharsha Indupuru
3</v>
      </c>
      <c r="J264" s="424" t="str">
        <f t="array" ref="J264">INDEX(Import!K:K,MATCH(C264,Name,0))</f>
        <v>&gt;DIT?
+usability and delivery of financial media content for investors</v>
      </c>
      <c r="K264" s="423" t="str">
        <f t="array" aca="1" ref="K264" ca="1">CONCATENATE(INDEX('Form Import'!D:D,MATCH(A264,'Form Import'!F:F,0)),CHAR(10),INDEX('Form Import'!V:V,MATCH(A264,'Form Import'!F:F,0)))</f>
        <v>Chris Millisits
1</v>
      </c>
      <c r="L264" s="424" t="str">
        <f t="array" aca="1" ref="L264" ca="1">INDEX('Form Import'!W:W,MATCH(A264,'Form Import'!F:F,0))</f>
        <v>Nutrition consultancy. Revenue comes largely from that source. Not a VC-backable business, limited scientific component.</v>
      </c>
      <c r="M264" s="422"/>
      <c r="N264" s="422" t="str">
        <f t="array" aca="1" ref="N264" ca="1">INDEX('Form Import'!L:L,MATCH($A264,'Form Import'!$F:$F,0))</f>
        <v>Consulting individuals around their nutrition</v>
      </c>
      <c r="O264" s="422" t="str">
        <f t="array" aca="1" ref="O264" ca="1">INDEX('Form Import'!O:O,MATCH($A264,'Form Import'!$F:$F,0))</f>
        <v>$192k in revenue, but no time period specified. Also might be for speaking engagements and consulting services.</v>
      </c>
      <c r="P264" s="422" t="str">
        <f t="array" aca="1" ref="P264" ca="1">INDEX('Form Import'!S:S,MATCH($A264,'Form Import'!$F:$F,0))</f>
        <v>Background in nutrition at the UN and Kellogg</v>
      </c>
      <c r="Q264" s="422"/>
      <c r="R264" s="422"/>
      <c r="S264" s="422" t="e">
        <f t="array" aca="1" ref="S264" ca="1">_xludf.TextJoin("; ",1,INDEX(Import!S:S,MATCH(C264,Name,0)))</f>
        <v>#NAME?</v>
      </c>
    </row>
    <row r="265" spans="1:19" ht="156">
      <c r="A265" s="425" t="s">
        <v>8996</v>
      </c>
      <c r="B265" s="426" t="str">
        <f t="array" aca="1" ref="B265" ca="1">CONCATENATE(TEXT(INDEX(query!A:A,MATCH(C265,query!B:B,0)),"M/DD/YYY"),CHAR(10),INDEX(query!E:E,MATCH(C265,query!B:B,0)))</f>
        <v>8/11/2022
Invite</v>
      </c>
      <c r="C265" s="427" t="s">
        <v>150</v>
      </c>
      <c r="D265" s="428">
        <f t="array" ref="D265">INDEX(Import!D:D,MATCH(C265,Name,0))</f>
        <v>4.5</v>
      </c>
      <c r="E265" s="429">
        <f t="array" aca="1" ref="E265" ca="1">(INDEX(Import!I:I,MATCH(C265,Name,0))+INDEX(Import!L:L,MATCH(C265,Name,0))+INDEX('Form Import'!V:V,MATCH(A265,'Form Import'!F:F,0)))/3</f>
        <v>3.6666666666666665</v>
      </c>
      <c r="F265" s="430" t="str">
        <f t="array" ref="F265">INDEX(Import!E:E,MATCH(C265,Name,0))</f>
        <v>TimberFish Technologies locally produces contaminant free seafood from wood chips and nutrients. It can mitigate and reverse Climate Change and provide the world with a major new source of food for the future. Primary customers are large multinational corporations and NGOs who have the resources and organization to achieve global application.</v>
      </c>
      <c r="G265" s="431" t="str">
        <f t="array" ref="G265">CONCATENATE(INDEX(Import!G:G,MATCH(C265,Import!C:C,0)),CHAR(10),INDEX(Import!I:I,MATCH(C265,Name,0)))</f>
        <v>Chris Mosher
4.5</v>
      </c>
      <c r="H265" s="432" t="str">
        <f t="array" ref="H265">INDEX(Import!H:H,MATCH(C265,Name,0))</f>
        <v>Deep Tech company. Contaminant-free seafood production. Starts with a nutrient-rich microbial biomass created from clean food and beverage waste streams and nonagricultural plant material (wood chips). This is formed in a bioreactor and fed to worms/insets, which are then fed to fish/shrimp/mollusks which generate high lignin residual wood chips (circular system where energy feeds back into the process). Demo video shows their giant 45K gallon facility in Westfield - this was shut down in 2020 due to COVID-19.  Very New York-centric team with degrees from Syracuse, NYU, and SUNY Fredonia who have worked in this industry since the 1970s. Non-formal but collaborative relationship with Cathy Young (former NY State Senator) who is currently Executive Director, NYS Center of Excellence for Food and Agriculture at Cornell AgriTech.</v>
      </c>
      <c r="I265" s="431" t="str">
        <f t="array" ref="I265">CONCATENATE(INDEX(Import!J:J,MATCH(C265,Name,0)),CHAR(10),INDEX(Import!L:L,MATCH(C265,Name,0)))</f>
        <v>Parsa Amiri
4.5</v>
      </c>
      <c r="J265" s="432" t="str">
        <f t="array" ref="J265">INDEX(Import!K:K,MATCH(C265,Name,0))</f>
        <v>Maybe DT can take a look. The team has decades of experience in the field, and their prototype was visited by government people of NY. They have made a prototype for pilot scale production of fish, it is shut down from 2020 for COVID.</v>
      </c>
      <c r="K265" s="431" t="str">
        <f t="array" aca="1" ref="K265" ca="1">CONCATENATE(INDEX('Form Import'!D:D,MATCH(A265,'Form Import'!F:F,0)),CHAR(10),INDEX('Form Import'!V:V,MATCH(A265,'Form Import'!F:F,0)))</f>
        <v>Chris Millisits
2</v>
      </c>
      <c r="L265" s="432" t="str">
        <f t="array" aca="1" ref="L265" ca="1">INDEX('Form Import'!W:W,MATCH(A265,'Form Import'!F:F,0))</f>
        <v>Young team with some relevant experience. No medical background though. Competitors in market, so claims on differentiation need to be proven out (but no validation from customers to date).</v>
      </c>
      <c r="M265" s="430"/>
      <c r="N265" s="430" t="str">
        <f t="array" aca="1" ref="N265" ca="1">INDEX('Form Import'!L:L,MATCH($A265,'Form Import'!$F:$F,0))</f>
        <v>Non-final rejection on utility patent, being resubmitted. Many solutions in the infant dosing space, this is just a different approach so limited novelty. Feasibility testing.</v>
      </c>
      <c r="O265" s="430" t="str">
        <f t="array" aca="1" ref="O265" ca="1">INDEX('Form Import'!O:O,MATCH($A265,'Form Import'!$F:$F,0))</f>
        <v>No customers, no mention of speaking to potential customers.</v>
      </c>
      <c r="P265" s="430" t="str">
        <f t="array" aca="1" ref="P265" ca="1">INDEX('Form Import'!S:S,MATCH($A265,'Form Import'!$F:$F,0))</f>
        <v>Young team, though co-founder has founded a water collection system company (as CTO).</v>
      </c>
      <c r="Q265" s="430"/>
      <c r="R265" s="430"/>
      <c r="S265" s="430" t="e">
        <f t="array" aca="1" ref="S265" ca="1">_xludf.TextJoin("; ",1,INDEX(Import!S:S,MATCH(C265,Name,0)))</f>
        <v>#NAME?</v>
      </c>
    </row>
    <row r="266" spans="1:19" ht="60">
      <c r="A266" s="418" t="s">
        <v>3018</v>
      </c>
      <c r="B266" s="419" t="str">
        <f t="array" aca="1" ref="B266" ca="1">CONCATENATE(TEXT(INDEX(query!A:A,MATCH(C266,query!B:B,0)),"M/DD/YYY"),CHAR(10),INDEX(query!E:E,MATCH(C266,query!B:B,0)))</f>
        <v>8/11/2022
Invite</v>
      </c>
      <c r="C266" s="85" t="s">
        <v>289</v>
      </c>
      <c r="D266" s="420">
        <f t="array" ref="D266">INDEX(Import!D:D,MATCH(C266,Name,0))</f>
        <v>3.75</v>
      </c>
      <c r="E266" s="421">
        <f t="array" aca="1" ref="E266" ca="1">(INDEX(Import!I:I,MATCH(C266,Name,0))+INDEX(Import!L:L,MATCH(C266,Name,0))+INDEX('Form Import'!V:V,MATCH(A266,'Form Import'!F:F,0)))/3</f>
        <v>3.5</v>
      </c>
      <c r="F266" s="422" t="str">
        <f t="array" ref="F266">INDEX(Import!E:E,MATCH(C266,Name,0))</f>
        <v>TOMi.digital is a k12 study APP, based on a decentralized content repository created by teachers-authors network.</v>
      </c>
      <c r="G266" s="423" t="str">
        <f t="array" ref="G266">CONCATENATE(INDEX(Import!G:G,MATCH(C266,Import!C:C,0)),CHAR(10),INDEX(Import!I:I,MATCH(C266,Name,0)))</f>
        <v>Beth Xie
4</v>
      </c>
      <c r="H266" s="424" t="str">
        <f t="array" ref="H266">INDEX(Import!H:H,MATCH(C266,Name,0))</f>
        <v>- Serial founder in education tech space
- Strong ability to fundraise from start investors
- Demonstrated traction 
- Strong revenue</v>
      </c>
      <c r="I266" s="423" t="str">
        <f t="array" ref="I266">CONCATENATE(INDEX(Import!J:J,MATCH(C266,Name,0)),CHAR(10),INDEX(Import!L:L,MATCH(C266,Name,0)))</f>
        <v>Shubo (Gabriel) Xu
3.5</v>
      </c>
      <c r="J266" s="424" t="str">
        <f t="array" ref="J266">INDEX(Import!K:K,MATCH(C266,Name,0))</f>
        <v>+
1. good idea addressing a known problem
2. team has talents
-
1. need more info/justification of their technical setup</v>
      </c>
      <c r="K266" s="423" t="str">
        <f t="array" aca="1" ref="K266" ca="1">CONCATENATE(INDEX('Form Import'!D:D,MATCH(A266,'Form Import'!F:F,0)),CHAR(10),INDEX('Form Import'!V:V,MATCH(A266,'Form Import'!F:F,0)))</f>
        <v>Chris Millisits
3</v>
      </c>
      <c r="L266" s="424" t="str">
        <f t="array" aca="1" ref="L266" ca="1">INDEX('Form Import'!W:W,MATCH(A266,'Form Import'!F:F,0))</f>
        <v>Strong team with successful founding experience in the space. Seems to be direct competition for this product. Market size is moderate, with applications in healthcare and military. Raising $10m seed round.</v>
      </c>
      <c r="M266" s="422"/>
      <c r="N266" s="422" t="str">
        <f t="array" aca="1" ref="N266" ca="1">INDEX('Form Import'!L:L,MATCH($A266,'Form Import'!$F:$F,0))</f>
        <v>At least one direct competitor with similar tech (Owlstone Medical). Prototype developed and tested.</v>
      </c>
      <c r="O266" s="422" t="str">
        <f t="array" aca="1" ref="O266" ca="1">INDEX('Form Import'!O:O,MATCH($A266,'Form Import'!$F:$F,0))</f>
        <v>No customers, market size is moderate across the verticals covered.</v>
      </c>
      <c r="P266" s="422" t="str">
        <f t="array" aca="1" ref="P266" ca="1">INDEX('Form Import'!S:S,MATCH($A266,'Form Import'!$F:$F,0))</f>
        <v>Team of surgeons. To date, the team has successfully launched two
MEMS-based technology startups with valuations exceeding $35M USD.</v>
      </c>
      <c r="Q266" s="422"/>
      <c r="R266" s="422"/>
      <c r="S266" s="422" t="e">
        <f t="array" aca="1" ref="S266" ca="1">_xludf.TextJoin("; ",1,INDEX(Import!S:S,MATCH(C266,Name,0)))</f>
        <v>#NAME?</v>
      </c>
    </row>
    <row r="267" spans="1:19" ht="108">
      <c r="A267" s="425" t="s">
        <v>778</v>
      </c>
      <c r="B267" s="426" t="str">
        <f t="array" aca="1" ref="B267" ca="1">CONCATENATE(TEXT(INDEX(query!A:A,MATCH(C267,query!B:B,0)),"M/DD/YYY"),CHAR(10),INDEX(query!E:E,MATCH(C267,query!B:B,0)))</f>
        <v>8/16/2022
Invite Next Year</v>
      </c>
      <c r="C267" s="427" t="s">
        <v>9251</v>
      </c>
      <c r="D267" s="428">
        <f t="array" ref="D267">INDEX(Import!D:D,MATCH(C267,Name,0))</f>
        <v>3.5</v>
      </c>
      <c r="E267" s="429">
        <f t="array" aca="1" ref="E267" ca="1">(INDEX(Import!I:I,MATCH(C267,Name,0))+INDEX(Import!L:L,MATCH(C267,Name,0))+INDEX('Form Import'!V:V,MATCH(A267,'Form Import'!F:F,0)))/3</f>
        <v>3.6666666666666665</v>
      </c>
      <c r="F267" s="430" t="str">
        <f t="array" ref="F267">INDEX(Import!E:E,MATCH(C267,Name,0))</f>
        <v>TriAltus develops, manufactures and sells innovative tools for the production and purification of genetically engineered proteins. Our patented core technology is an engineered protein tag system that binds with 100,000x higher affinity than alternatives, resulting in 10-80x yield improvement and 99% purity in a single step.</v>
      </c>
      <c r="G267" s="431" t="str">
        <f t="array" ref="G267">CONCATENATE(INDEX(Import!G:G,MATCH(C267,Import!C:C,0)),CHAR(10),INDEX(Import!I:I,MATCH(C267,Name,0)))</f>
        <v>Chris Mosher
3.5</v>
      </c>
      <c r="H267" s="432" t="str">
        <f t="array" ref="H267">INDEX(Import!H:H,MATCH(C267,Name,0))</f>
        <v>Tools for the production and purification of genetically engineered proteins. Platform tag system is 2-3x more efficient than conventional methods. Have $400K ARR from producing specialty proteins and more common ones like Cas9. CEO is a Duke MBA. Asking themselves "Are we ultimately more impactful as a supplier of affinity resin, or a low-cost provider of commodity proteins, or as a small-scale CDMO?" Need to know more about the specific proteins they make, and what their process is. They seem like a supplier to me - not a great fit for the EFL, despite their revenues.</v>
      </c>
      <c r="I267" s="431" t="str">
        <f t="array" ref="I267">CONCATENATE(INDEX(Import!J:J,MATCH(C267,Name,0)),CHAR(10),INDEX(Import!L:L,MATCH(C267,Name,0)))</f>
        <v>Parsa Amiri
3.5</v>
      </c>
      <c r="J267" s="432" t="str">
        <f t="array" ref="J267">INDEX(Import!K:K,MATCH(C267,Name,0))</f>
        <v>It isn't clear what they actually do. They have a product portfolio of plasmids, proteases, resins, etc. and they currently have good revenue. I couldn't understand how this would be a startup! To me they are an existing company willing to raise and expand. I couldn't fully understand their BM, and would want to know more about that.</v>
      </c>
      <c r="K267" s="431" t="str">
        <f t="array" aca="1" ref="K267" ca="1">CONCATENATE(INDEX('Form Import'!D:D,MATCH(A267,'Form Import'!F:F,0)),CHAR(10),INDEX('Form Import'!V:V,MATCH(A267,'Form Import'!F:F,0)))</f>
        <v>Chris Millisits
4</v>
      </c>
      <c r="L267" s="432" t="str">
        <f t="array" aca="1" ref="L267" ca="1">INDEX('Form Import'!W:W,MATCH(A267,'Form Import'!F:F,0))</f>
        <v>Strong technical team. Trying to bring in a technology from jet engines into solar, big vision, opportunity for transformational and impactful technology. Market potential is large. Raising $20m Series A</v>
      </c>
      <c r="M267" s="430"/>
      <c r="N267" s="430" t="str">
        <f t="array" aca="1" ref="N267" ca="1">INDEX('Form Import'!L:L,MATCH($A267,'Form Import'!$F:$F,0))</f>
        <v>Novel solution in a key area of need. Have a working prototype.</v>
      </c>
      <c r="O267" s="430" t="str">
        <f t="array" aca="1" ref="O267" ca="1">INDEX('Form Import'!O:O,MATCH($A267,'Form Import'!$F:$F,0))</f>
        <v>Customers in pilot (18 month pilot)</v>
      </c>
      <c r="P267" s="430" t="str">
        <f t="array" aca="1" ref="P267" ca="1">INDEX('Form Import'!S:S,MATCH($A267,'Form Import'!$F:$F,0))</f>
        <v>Ambitious vision - wants to replace combustion-based solutions with solar-and-air-based solutions. Strong technical team, paired with a project manager / MBA.</v>
      </c>
      <c r="Q267" s="430"/>
      <c r="R267" s="430"/>
      <c r="S267" s="430" t="e">
        <f t="array" aca="1" ref="S267" ca="1">_xludf.TextJoin("; ",1,INDEX(Import!S:S,MATCH(C267,Name,0)))</f>
        <v>#NAME?</v>
      </c>
    </row>
    <row r="268" spans="1:19" ht="36">
      <c r="A268" s="418" t="s">
        <v>4830</v>
      </c>
      <c r="B268" s="419" t="str">
        <f t="array" aca="1" ref="B268" ca="1">CONCATENATE(TEXT(INDEX(query!A:A,MATCH(C268,query!B:B,0)),"M/DD/YYY"),CHAR(10),INDEX(query!E:E,MATCH(C268,query!B:B,0)))</f>
        <v>8/18/2022
Invite</v>
      </c>
      <c r="C268" s="85" t="s">
        <v>387</v>
      </c>
      <c r="D268" s="420">
        <f t="array" ref="D268">INDEX(Import!D:D,MATCH(C268,Name,0))</f>
        <v>4</v>
      </c>
      <c r="E268" s="421">
        <f t="array" aca="1" ref="E268" ca="1">(INDEX(Import!I:I,MATCH(C268,Name,0))+INDEX(Import!L:L,MATCH(C268,Name,0))+INDEX('Form Import'!V:V,MATCH(A268,'Form Import'!F:F,0)))/3</f>
        <v>3.6666666666666665</v>
      </c>
      <c r="F268" s="422" t="str">
        <f t="array" ref="F268">INDEX(Import!E:E,MATCH(C268,Name,0))</f>
        <v>TrustPoint is developing a next-generation GPS signal processing technology to provide the performance and reliability required for self-driving cars, drone delivery, urban air mobility, and immersive augmented reality.</v>
      </c>
      <c r="G268" s="423" t="str">
        <f t="array" ref="G268">CONCATENATE(INDEX(Import!G:G,MATCH(C268,Import!C:C,0)),CHAR(10),INDEX(Import!I:I,MATCH(C268,Name,0)))</f>
        <v>Khoa Ma
4</v>
      </c>
      <c r="H268" s="424" t="str">
        <f t="array" ref="H268">INDEX(Import!H:H,MATCH(C268,Name,0))</f>
        <v>developing a next-generation GPS signal processing technology
commercial satellite technologies and best in class signal security</v>
      </c>
      <c r="I268" s="423" t="str">
        <f t="array" ref="I268">CONCATENATE(INDEX(Import!J:J,MATCH(C268,Name,0)),CHAR(10),INDEX(Import!L:L,MATCH(C268,Name,0)))</f>
        <v>Arthur Ibanda
4</v>
      </c>
      <c r="J268" s="424" t="str">
        <f t="array" ref="J268">INDEX(Import!K:K,MATCH(C268,Name,0))</f>
        <v>+Novel Technology
+Potentially large market
+Team seems credible and passionate</v>
      </c>
      <c r="K268" s="423" t="str">
        <f t="array" aca="1" ref="K268" ca="1">CONCATENATE(INDEX('Form Import'!D:D,MATCH(A268,'Form Import'!F:F,0)),CHAR(10),INDEX('Form Import'!V:V,MATCH(A268,'Form Import'!F:F,0)))</f>
        <v>Chris Millisits
3</v>
      </c>
      <c r="L268" s="424" t="str">
        <f t="array" aca="1" ref="L268" ca="1">INDEX('Form Import'!W:W,MATCH(A268,'Form Import'!F:F,0))</f>
        <v>Good team to build this product. Seems to be a marginally improved product over the competition, so might not be as clean a path to market as the team thinks. In pilot, no paying customers yet.</v>
      </c>
      <c r="M268" s="422"/>
      <c r="N268" s="422" t="str">
        <f t="array" aca="1" ref="N268" ca="1">INDEX('Form Import'!L:L,MATCH($A268,'Form Import'!$F:$F,0))</f>
        <v>Prototype has been tested. Patent pending. Seems to be touting itself as a cheaper and better alternative to solutions on the market.</v>
      </c>
      <c r="O268" s="422" t="str">
        <f t="array" aca="1" ref="O268" ca="1">INDEX('Form Import'!O:O,MATCH($A268,'Form Import'!$F:$F,0))</f>
        <v>Customers in pilot, not paying. Market capture assumed at 50%, but even at lower share there is a decently sized market opportunity here.</v>
      </c>
      <c r="P268" s="422" t="str">
        <f t="array" aca="1" ref="P268" ca="1">INDEX('Form Import'!S:S,MATCH($A268,'Form Import'!$F:$F,0))</f>
        <v>Strong oil &amp; gas background, expertise in optical gas imaging. Successful past exit. Long-term vision is trading emissions in the blockchain, which is a less inspired and very common vision.</v>
      </c>
      <c r="Q268" s="422"/>
      <c r="R268" s="422"/>
      <c r="S268" s="422" t="e">
        <f t="array" aca="1" ref="S268" ca="1">_xludf.TextJoin("; ",1,INDEX(Import!S:S,MATCH(C268,Name,0)))</f>
        <v>#NAME?</v>
      </c>
    </row>
    <row r="269" spans="1:19" ht="60">
      <c r="A269" s="425" t="s">
        <v>3026</v>
      </c>
      <c r="B269" s="426" t="str">
        <f t="array" aca="1" ref="B269" ca="1">CONCATENATE(TEXT(INDEX(query!A:A,MATCH(C269,query!B:B,0)),"M/DD/YYY"),CHAR(10),INDEX(query!E:E,MATCH(C269,query!B:B,0)))</f>
        <v>8/09/2022
Invite</v>
      </c>
      <c r="C269" s="427" t="s">
        <v>129</v>
      </c>
      <c r="D269" s="428">
        <f t="array" ref="D269">INDEX(Import!D:D,MATCH(C269,Name,0))</f>
        <v>4</v>
      </c>
      <c r="E269" s="429">
        <f t="array" aca="1" ref="E269" ca="1">(INDEX(Import!I:I,MATCH(C269,Name,0))+INDEX(Import!L:L,MATCH(C269,Name,0))+INDEX('Form Import'!V:V,MATCH(A269,'Form Import'!F:F,0)))/3</f>
        <v>3.6666666666666665</v>
      </c>
      <c r="F269" s="430" t="str">
        <f t="array" ref="F269">INDEX(Import!E:E,MATCH(C269,Name,0))</f>
        <v>Our patented solar thermal desalination tech turns salty water into clean water with zero liquid discharge. We use this potable water to plant trees in deserts.  This project contemplates afforestation of 1 square mile (259 hectares) of desert shrubland in the southwestern USA in order to capture 100,000+ tonnes of CO2 per year and sell to corps.</v>
      </c>
      <c r="G269" s="431" t="str">
        <f t="array" ref="G269">CONCATENATE(INDEX(Import!G:G,MATCH(C269,Import!C:C,0)),CHAR(10),INDEX(Import!I:I,MATCH(C269,Name,0)))</f>
        <v>Khoa Ma
4</v>
      </c>
      <c r="H269" s="432" t="str">
        <f t="array" ref="H269">INDEX(Import!H:H,MATCH(C269,Name,0))</f>
        <v>Good tech needs to validate further and shows it works at scale. How will they get around regulation and land acquisition: https://www.desertcontrol.com/</v>
      </c>
      <c r="I269" s="431" t="str">
        <f t="array" ref="I269">CONCATENATE(INDEX(Import!J:J,MATCH(C269,Name,0)),CHAR(10),INDEX(Import!L:L,MATCH(C269,Name,0)))</f>
        <v>Arthur Ibanda
4</v>
      </c>
      <c r="J269" s="432" t="str">
        <f t="array" ref="J269">INDEX(Import!K:K,MATCH(C269,Name,0))</f>
        <v>+Trying to perform carbo capture with desert afforestation using their patented technology that turns salt water to potable water
+The have a credible and passionate team
+The long term vision is compelling
+Have completed a pilot project in the UAE</v>
      </c>
      <c r="K269" s="431" t="str">
        <f t="array" aca="1" ref="K269" ca="1">CONCATENATE(INDEX('Form Import'!D:D,MATCH(A269,'Form Import'!F:F,0)),CHAR(10),INDEX('Form Import'!V:V,MATCH(A269,'Form Import'!F:F,0)))</f>
        <v>Chris Millisits
3</v>
      </c>
      <c r="L269" s="432" t="str">
        <f t="array" aca="1" ref="L269" ca="1">INDEX('Form Import'!W:W,MATCH(A269,'Form Import'!F:F,0))</f>
        <v>Licensing the tech, so this business is about getting into large water utility plants. The team is a decent fit for the task, not exceptional. That said, selling into a single plant could produce enough revenue for a venture-scale outcome.</v>
      </c>
      <c r="M269" s="430"/>
      <c r="N269" s="430" t="str">
        <f t="array" aca="1" ref="N269" ca="1">INDEX('Form Import'!L:L,MATCH($A269,'Form Import'!$F:$F,0))</f>
        <v>IP is licensed, not owned.</v>
      </c>
      <c r="O269" s="430" t="str">
        <f t="array" aca="1" ref="O269" ca="1">INDEX('Form Import'!O:O,MATCH($A269,'Form Import'!$F:$F,0))</f>
        <v>Needs to service one large plant to hit $200m revenue. Piloting.</v>
      </c>
      <c r="P269" s="430" t="str">
        <f t="array" aca="1" ref="P269" ca="1">INDEX('Form Import'!S:S,MATCH($A269,'Form Import'!$F:$F,0))</f>
        <v>CEO has a dual degree in Mathematics and Civil Engineering with a concentration in Water
Resources and Environmental Engineering and have worked for two water utilities in the
Southeast. Other members of the team have PhD in Chemistry and Oil &amp; Gas experience. The tech is licensed from a lab, so this business is about selling into major plants.</v>
      </c>
      <c r="Q269" s="430"/>
      <c r="R269" s="430"/>
      <c r="S269" s="430" t="e">
        <f t="array" aca="1" ref="S269" ca="1">_xludf.TextJoin("; ",1,INDEX(Import!S:S,MATCH(C269,Name,0)))</f>
        <v>#NAME?</v>
      </c>
    </row>
    <row r="270" spans="1:19" ht="60">
      <c r="A270" s="418" t="s">
        <v>788</v>
      </c>
      <c r="B270" s="419" t="str">
        <f t="array" aca="1" ref="B270" ca="1">CONCATENATE(TEXT(INDEX(query!A:A,MATCH(C270,query!B:B,0)),"M/DD/YYY"),CHAR(10),INDEX(query!E:E,MATCH(C270,query!B:B,0)))</f>
        <v>8/16/2022
Invite</v>
      </c>
      <c r="C270" s="85" t="s">
        <v>255</v>
      </c>
      <c r="D270" s="420">
        <f t="array" ref="D270">INDEX(Import!D:D,MATCH(C270,Name,0))</f>
        <v>4</v>
      </c>
      <c r="E270" s="421">
        <f t="array" aca="1" ref="E270" ca="1">(INDEX(Import!I:I,MATCH(C270,Name,0))+INDEX(Import!L:L,MATCH(C270,Name,0))+INDEX('Form Import'!V:V,MATCH(A270,'Form Import'!F:F,0)))/3</f>
        <v>3.6666666666666665</v>
      </c>
      <c r="F270" s="422" t="str">
        <f t="array" ref="F270">INDEX(Import!E:E,MATCH(C270,Name,0))</f>
        <v>UpBeing uses behaviour to measure emotion to improve the human experience, individually and collectively.
UpBeing combines passive behavioural data streams like e-calendar, Spotify and wearables with short, research-grounded emotional check-ins to provide users  insight into the hidden relationships between their behaviours and feelings.</v>
      </c>
      <c r="G270" s="423" t="str">
        <f t="array" ref="G270">CONCATENATE(INDEX(Import!G:G,MATCH(C270,Import!C:C,0)),CHAR(10),INDEX(Import!I:I,MATCH(C270,Name,0)))</f>
        <v>Mark Flynn
4</v>
      </c>
      <c r="H270" s="424" t="str">
        <f t="array" ref="H270">INDEX(Import!H:H,MATCH(C270,Name,0))</f>
        <v>Company seems similar to Kintsugi; tech based on PhD research; B2C with eventual B2B play so that companies build with emotion in mind, using B2C channel for data; has VC backing but not looking to raise currently; I think they are worth interviewing</v>
      </c>
      <c r="I270" s="423" t="str">
        <f t="array" ref="I270">CONCATENATE(INDEX(Import!J:J,MATCH(C270,Name,0)),CHAR(10),INDEX(Import!L:L,MATCH(C270,Name,0)))</f>
        <v>Boyang Yu
4</v>
      </c>
      <c r="J270" s="424" t="str">
        <f t="array" ref="J270">INDEX(Import!K:K,MATCH(C270,Name,0))</f>
        <v>The tech is based on co-founder's phd dissertation. 
Carried out comprehensive competitor research
The company is backed by f7 Ventures, but not looking to raise money currently</v>
      </c>
      <c r="K270" s="423" t="str">
        <f t="array" aca="1" ref="K270" ca="1">CONCATENATE(INDEX('Form Import'!D:D,MATCH(A270,'Form Import'!F:F,0)),CHAR(10),INDEX('Form Import'!V:V,MATCH(A270,'Form Import'!F:F,0)))</f>
        <v>Chris Millisits
3</v>
      </c>
      <c r="L270" s="424" t="str">
        <f t="array" aca="1" ref="L270" ca="1">INDEX('Form Import'!W:W,MATCH(A270,'Form Import'!F:F,0))</f>
        <v>Seems to have hit a nerve with the old school aesthetic on an EV, given the pre-orders. Moderate experience in automotive industry, but mostly as consultants (not much time on the inside). Could see growing pains with production - launching an auto manufacturer isn't trivial.</v>
      </c>
      <c r="M270" s="422"/>
      <c r="N270" s="422" t="str">
        <f t="array" aca="1" ref="N270" ca="1">INDEX('Form Import'!L:L,MATCH($A270,'Form Import'!$F:$F,0))</f>
        <v>Luxury product. Modularized production, software, and recycled materials as claimed differentiation - not very defensible. Still in pre-order.</v>
      </c>
      <c r="O270" s="422" t="str">
        <f t="array" aca="1" ref="O270" ca="1">INDEX('Form Import'!O:O,MATCH($A270,'Form Import'!$F:$F,0))</f>
        <v>174 pre-orders, constituting $16m revenue.</v>
      </c>
      <c r="P270" s="422" t="str">
        <f t="array" aca="1" ref="P270" ca="1">INDEX('Form Import'!S:S,MATCH($A270,'Form Import'!$F:$F,0))</f>
        <v>Automotive consultant with 10+ years experience. Other founder did 2 years at Ford before going into venture capital. This is a marketing play, so innovation judged on that front. The tech itself isn't particularly innovative.</v>
      </c>
      <c r="Q270" s="422"/>
      <c r="R270" s="422"/>
      <c r="S270" s="422" t="e">
        <f t="array" aca="1" ref="S270" ca="1">_xludf.TextJoin("; ",1,INDEX(Import!S:S,MATCH(C270,Name,0)))</f>
        <v>#NAME?</v>
      </c>
    </row>
    <row r="271" spans="1:19" ht="72">
      <c r="A271" s="425" t="s">
        <v>3968</v>
      </c>
      <c r="B271" s="426" t="str">
        <f t="array" aca="1" ref="B271" ca="1">CONCATENATE(TEXT(INDEX(query!A:A,MATCH(C271,query!B:B,0)),"M/DD/YYY"),CHAR(10),INDEX(query!E:E,MATCH(C271,query!B:B,0)))</f>
        <v>8/11/2022
Invite</v>
      </c>
      <c r="C271" s="427" t="s">
        <v>275</v>
      </c>
      <c r="D271" s="428">
        <f t="array" ref="D271">INDEX(Import!D:D,MATCH(C271,Name,0))</f>
        <v>4.25</v>
      </c>
      <c r="E271" s="429">
        <f t="array" aca="1" ref="E271" ca="1">(INDEX(Import!I:I,MATCH(C271,Name,0))+INDEX(Import!L:L,MATCH(C271,Name,0))+INDEX('Form Import'!V:V,MATCH(A271,'Form Import'!F:F,0)))/3</f>
        <v>3.5</v>
      </c>
      <c r="F271" s="430" t="str">
        <f t="array" ref="F271">INDEX(Import!E:E,MATCH(C271,Name,0))</f>
        <v>vadimUS is a firm of Building/Energy/AI experts offering to companies and cities owning buildings an optimal, complete and automated energy solution at the forefront of economical and environmental requirements. This non-traditional solution is called vadiMAP.</v>
      </c>
      <c r="G271" s="431" t="str">
        <f t="array" ref="G271">CONCATENATE(INDEX(Import!G:G,MATCH(C271,Import!C:C,0)),CHAR(10),INDEX(Import!I:I,MATCH(C271,Name,0)))</f>
        <v>Mark Flynn
4</v>
      </c>
      <c r="H271" s="432" t="str">
        <f t="array" ref="H271">INDEX(Import!H:H,MATCH(C271,Name,0))</f>
        <v>Helps companies decide on renewable energy and how to do it; they have good use cases (pharma and manufacturing companies) on their website but no idea on how much revenue, growth, or number of customers; founder said he would not be able to make it to NYC that often (could be difficult to manage); they are likely worth meeting to better understand tech and traction</v>
      </c>
      <c r="I271" s="431" t="str">
        <f t="array" ref="I271">CONCATENATE(INDEX(Import!J:J,MATCH(C271,Name,0)),CHAR(10),INDEX(Import!L:L,MATCH(C271,Name,0)))</f>
        <v>Beth Xie
4.5</v>
      </c>
      <c r="J271" s="432" t="str">
        <f t="array" ref="J271">INDEX(Import!K:K,MATCH(C271,Name,0))</f>
        <v>- Strong team with R&amp;D and business experience
- Solid government funding as well as private fundraising.
- Large pre-sales funnel built</v>
      </c>
      <c r="K271" s="431" t="str">
        <f t="array" aca="1" ref="K271" ca="1">CONCATENATE(INDEX('Form Import'!D:D,MATCH(A271,'Form Import'!F:F,0)),CHAR(10),INDEX('Form Import'!V:V,MATCH(A271,'Form Import'!F:F,0)))</f>
        <v>Chris Millisits
2</v>
      </c>
      <c r="L271" s="432" t="str">
        <f t="array" aca="1" ref="L271" ca="1">INDEX('Form Import'!W:W,MATCH(A271,'Form Import'!F:F,0))</f>
        <v>Business model was a bit unclear from the application and their website, but seems to consist of building a database of cancer patient data, allowing patients and researchers alike the ability to get analytics on their data. Founder is a researcher, but has not scaled a tech business like this before.</v>
      </c>
      <c r="M271" s="430"/>
      <c r="N271" s="430" t="str">
        <f t="array" aca="1" ref="N271" ca="1">INDEX('Form Import'!L:L,MATCH($A271,'Form Import'!$F:$F,0))</f>
        <v>Still an idea, but it will be a database of data from cancer patients, and data analytics capabilities for clinical researchers</v>
      </c>
      <c r="O271" s="430" t="str">
        <f t="array" aca="1" ref="O271" ca="1">INDEX('Form Import'!O:O,MATCH($A271,'Form Import'!$F:$F,0))</f>
        <v>Idea phase, no customers or mention of speaking to customers</v>
      </c>
      <c r="P271" s="430" t="str">
        <f t="array" aca="1" ref="P271" ca="1">INDEX('Form Import'!S:S,MATCH($A271,'Form Import'!$F:$F,0))</f>
        <v>Career researcher, in relevant fields</v>
      </c>
      <c r="Q271" s="430"/>
      <c r="R271" s="430"/>
      <c r="S271" s="430" t="e">
        <f t="array" aca="1" ref="S271" ca="1">_xludf.TextJoin("; ",1,INDEX(Import!S:S,MATCH(C271,Name,0)))</f>
        <v>#NAME?</v>
      </c>
    </row>
    <row r="272" spans="1:19" ht="60">
      <c r="A272" s="418" t="s">
        <v>9806</v>
      </c>
      <c r="B272" s="419" t="str">
        <f t="array" aca="1" ref="B272" ca="1">CONCATENATE(TEXT(INDEX(query!A:A,MATCH(C272,query!B:B,0)),"M/DD/YYY"),CHAR(10),INDEX(query!E:E,MATCH(C272,query!B:B,0)))</f>
        <v>8/09/2022
Revisit</v>
      </c>
      <c r="C272" s="85" t="s">
        <v>155</v>
      </c>
      <c r="D272" s="420">
        <f t="array" ref="D272">INDEX(Import!D:D,MATCH(C272,Name,0))</f>
        <v>3.25</v>
      </c>
      <c r="E272" s="421">
        <f t="array" aca="1" ref="E272" ca="1">(INDEX(Import!I:I,MATCH(C272,Name,0))+INDEX(Import!L:L,MATCH(C272,Name,0))+INDEX('Form Import'!V:V,MATCH(A272,'Form Import'!F:F,0)))/3</f>
        <v>3.1666666666666665</v>
      </c>
      <c r="F272" s="422" t="str">
        <f t="array" ref="F272">INDEX(Import!E:E,MATCH(C272,Name,0))</f>
        <v>"World's Premier Technology Company To Provide Accessible Metaverse Solutions For All Industries  
For Everyone Anywhere and Anytime"</v>
      </c>
      <c r="G272" s="423" t="str">
        <f t="array" ref="G272">CONCATENATE(INDEX(Import!G:G,MATCH(C272,Import!C:C,0)),CHAR(10),INDEX(Import!I:I,MATCH(C272,Name,0)))</f>
        <v>Khoa Ma
3.5</v>
      </c>
      <c r="H272" s="424" t="str">
        <f t="array" ref="H272">INDEX(Import!H:H,MATCH(C272,Name,0))</f>
        <v>Immersive training in metaverse
DiT startup
Interview if best in class
Need to prove it can scale in the real world
App did not give a lot of info</v>
      </c>
      <c r="I272" s="423" t="str">
        <f t="array" ref="I272">CONCATENATE(INDEX(Import!J:J,MATCH(C272,Name,0)),CHAR(10),INDEX(Import!L:L,MATCH(C272,Name,0)))</f>
        <v>Sriharsha Indupuru
3</v>
      </c>
      <c r="J272" s="424" t="str">
        <f t="array" ref="J272">INDEX(Import!K:K,MATCH(C272,Name,0))</f>
        <v>-Not much info is provided 
- Working in metaverse but exact work is not mentioned
+Can have look, call for an interview and see what exactly they are trying to achieve as metaverse can be a booming industry</v>
      </c>
      <c r="K272" s="423" t="str">
        <f t="array" aca="1" ref="K272" ca="1">CONCATENATE(INDEX('Form Import'!D:D,MATCH(A272,'Form Import'!F:F,0)),CHAR(10),INDEX('Form Import'!V:V,MATCH(A272,'Form Import'!F:F,0)))</f>
        <v>Chris Millisits
3</v>
      </c>
      <c r="L272" s="424" t="str">
        <f t="array" aca="1" ref="L272" ca="1">INDEX('Form Import'!W:W,MATCH(A272,'Form Import'!F:F,0))</f>
        <v>It's a biotech firm. Previous biotech exit at $750m for founder. Vision is just to look for unmet needs in cancer and infectious diseases, but the founder has done biotech before. Would be a founder bet.</v>
      </c>
      <c r="M272" s="422"/>
      <c r="N272" s="422" t="str">
        <f t="array" aca="1" ref="N272" ca="1">INDEX('Form Import'!L:L,MATCH($A272,'Form Import'!$F:$F,0))</f>
        <v xml:space="preserve"> Biotech firm with 2 products. Have demonstrated in vivo efficacy for their vaccine and have shown immune activation against their cancer target in animals. </v>
      </c>
      <c r="O272" s="422" t="str">
        <f t="array" aca="1" ref="O272" ca="1">INDEX('Form Import'!O:O,MATCH($A272,'Form Import'!$F:$F,0))</f>
        <v>1-10 customers</v>
      </c>
      <c r="P272" s="422" t="str">
        <f t="array" aca="1" ref="P272" ca="1">INDEX('Form Import'!S:S,MATCH($A272,'Form Import'!$F:$F,0))</f>
        <v>Previous biotech exit at $750m for founder. Vision is just to look for unmet needs in cancer and infectious diseases, but the founder has done biotech before. Founder bet.</v>
      </c>
      <c r="Q272" s="422"/>
      <c r="R272" s="422"/>
      <c r="S272" s="422" t="e">
        <f t="array" aca="1" ref="S272" ca="1">_xludf.TextJoin("; ",1,INDEX(Import!S:S,MATCH(C272,Name,0)))</f>
        <v>#NAME?</v>
      </c>
    </row>
    <row r="273" spans="1:19" ht="156">
      <c r="A273" s="425" t="s">
        <v>3034</v>
      </c>
      <c r="B273" s="426" t="str">
        <f t="array" aca="1" ref="B273" ca="1">CONCATENATE(TEXT(INDEX(query!A:A,MATCH(C273,query!B:B,0)),"M/DD/YYY"),CHAR(10),INDEX(query!E:E,MATCH(C273,query!B:B,0)))</f>
        <v>8/03/2022
Revisit/ Cluster</v>
      </c>
      <c r="C273" s="427" t="s">
        <v>158</v>
      </c>
      <c r="D273" s="428">
        <f t="array" ref="D273">INDEX(Import!D:D,MATCH(C273,Name,0))</f>
        <v>3</v>
      </c>
      <c r="E273" s="429">
        <f t="array" aca="1" ref="E273" ca="1">(INDEX(Import!I:I,MATCH(C273,Name,0))+INDEX(Import!L:L,MATCH(C273,Name,0))+INDEX('Form Import'!V:V,MATCH(A273,'Form Import'!F:F,0)))/3</f>
        <v>2.6666666666666665</v>
      </c>
      <c r="F273" s="430" t="str">
        <f t="array" ref="F273">INDEX(Import!E:E,MATCH(C273,Name,0))</f>
        <v>Viridian Space Corporation is developing technology to enable sustained, cost-effective satellite operation in ultra-low Earth orbit (ULEO) below 300 km and to be good stewards to Earth?s increasingly congested orbital environment. At these low orbits satellites will provide superior Earth Observation and Communication capabilities.</v>
      </c>
      <c r="G273" s="431" t="str">
        <f t="array" ref="G273">CONCATENATE(INDEX(Import!G:G,MATCH(C273,Import!C:C,0)),CHAR(10),INDEX(Import!I:I,MATCH(C273,Name,0)))</f>
        <v>Khoa Ma
3.5</v>
      </c>
      <c r="H273" s="432" t="str">
        <f t="array" ref="H273">INDEX(Import!H:H,MATCH(C273,Name,0))</f>
        <v>Needs MVP. Not raising funds. They need to take it out of the research stage and into the real word 
Invite again next year.</v>
      </c>
      <c r="I273" s="431" t="str">
        <f t="array" ref="I273">CONCATENATE(INDEX(Import!J:J,MATCH(C273,Name,0)),CHAR(10),INDEX(Import!L:L,MATCH(C273,Name,0)))</f>
        <v>Shubo (Gabriel) Xu
2.5</v>
      </c>
      <c r="J273" s="432" t="str">
        <f t="array" ref="J273">INDEX(Import!K:K,MATCH(C273,Name,0))</f>
        <v>+ 
1. Tech is very advanced and novel
2. Team is made up of experts in the field
-
1. Tech is still being validated in labs, and are still some distance away from prototyping.
2. Due to the early stage of the project, little information is given to specific logistics -- cost per satellite,  average life of satellite, and more importantly, how much is the improvements of these closer-orbit satellites than existing ones -- starlink for example. 
3. Competition seems strong and a major competitor has military background.</v>
      </c>
      <c r="K273" s="431" t="str">
        <f t="array" aca="1" ref="K273" ca="1">CONCATENATE(INDEX('Form Import'!D:D,MATCH(A273,'Form Import'!F:F,0)),CHAR(10),INDEX('Form Import'!V:V,MATCH(A273,'Form Import'!F:F,0)))</f>
        <v>Chris Millisits
2</v>
      </c>
      <c r="L273" s="432" t="str">
        <f t="array" aca="1" ref="L273" ca="1">INDEX('Form Import'!W:W,MATCH(A273,'Form Import'!F:F,0))</f>
        <v>Another productivity tool powered by AI. This is a crowded space and there is nothing in application materials or website to suggest that this team has the right to win in this space.</v>
      </c>
      <c r="M273" s="430"/>
      <c r="N273" s="430" t="str">
        <f t="array" aca="1" ref="N273" ca="1">INDEX('Form Import'!L:L,MATCH($A273,'Form Import'!$F:$F,0))</f>
        <v>Not the only productivity tool trying to use AI and NLP to power search across applications. Hard to determine whether the AI-based search is work defending with IP due to proliferation of solutions used in SaaS.</v>
      </c>
      <c r="O273" s="430" t="str">
        <f t="array" aca="1" ref="O273" ca="1">INDEX('Form Import'!O:O,MATCH($A273,'Form Import'!$F:$F,0))</f>
        <v>Customers on free trial and waitlist. Will need validation that enterprises are willing to pay for this.</v>
      </c>
      <c r="P273" s="430" t="str">
        <f t="array" aca="1" ref="P273" ca="1">INDEX('Form Import'!S:S,MATCH($A273,'Form Import'!$F:$F,0))</f>
        <v>Team has marketing and engineering experience, but no exceptional technical or business expertise that leads me to believe they have a better solution than competitors.</v>
      </c>
      <c r="Q273" s="430"/>
      <c r="R273" s="430"/>
      <c r="S273" s="430" t="e">
        <f t="array" aca="1" ref="S273" ca="1">_xludf.TextJoin("; ",1,INDEX(Import!S:S,MATCH(C273,Name,0)))</f>
        <v>#NAME?</v>
      </c>
    </row>
    <row r="274" spans="1:19" ht="24">
      <c r="A274" s="418" t="s">
        <v>9014</v>
      </c>
      <c r="B274" s="419" t="str">
        <f t="array" aca="1" ref="B274" ca="1">CONCATENATE(TEXT(INDEX(query!A:A,MATCH(C274,query!B:B,0)),"M/DD/YYY"),CHAR(10),INDEX(query!E:E,MATCH(C274,query!B:B,0)))</f>
        <v>8/03/2022
Invite</v>
      </c>
      <c r="C274" s="85" t="s">
        <v>363</v>
      </c>
      <c r="D274" s="420">
        <f t="array" ref="D274">INDEX(Import!D:D,MATCH(C274,Name,0))</f>
        <v>4.5</v>
      </c>
      <c r="E274" s="421">
        <f t="array" aca="1" ref="E274" ca="1">(INDEX(Import!I:I,MATCH(C274,Name,0))+INDEX(Import!L:L,MATCH(C274,Name,0))+INDEX('Form Import'!V:V,MATCH(A274,'Form Import'!F:F,0)))/3</f>
        <v>4</v>
      </c>
      <c r="F274" s="422" t="str">
        <f t="array" ref="F274">INDEX(Import!E:E,MATCH(C274,Name,0))</f>
        <v>VLP Plus controls a patented platform technology consisting of a virus-like particle linked to antigens that induces CD8+ cytotoxic T cell responses capable of destroying cancerous or virally infected cells, offering a unique, game-changing approach to disease.</v>
      </c>
      <c r="G274" s="423" t="str">
        <f t="array" ref="G274">CONCATENATE(INDEX(Import!G:G,MATCH(C274,Import!C:C,0)),CHAR(10),INDEX(Import!I:I,MATCH(C274,Name,0)))</f>
        <v>Chris Mosher
4</v>
      </c>
      <c r="H274" s="424" t="str">
        <f t="array" ref="H274">INDEX(Import!H:H,MATCH(C274,Name,0))</f>
        <v>Referred by Nanea Reeves from TRIPP (alumni company).</v>
      </c>
      <c r="I274" s="423" t="str">
        <f t="array" ref="I274">CONCATENATE(INDEX(Import!J:J,MATCH(C274,Name,0)),CHAR(10),INDEX(Import!L:L,MATCH(C274,Name,0)))</f>
        <v>Tugba Oncu
5</v>
      </c>
      <c r="J274" s="424">
        <f t="array" ref="J274">INDEX(Import!K:K,MATCH(C274,Name,0))</f>
        <v>0</v>
      </c>
      <c r="K274" s="423" t="str">
        <f t="array" aca="1" ref="K274" ca="1">CONCATENATE(INDEX('Form Import'!D:D,MATCH(A274,'Form Import'!F:F,0)),CHAR(10),INDEX('Form Import'!V:V,MATCH(A274,'Form Import'!F:F,0)))</f>
        <v>Chris Millisits
3</v>
      </c>
      <c r="L274" s="424" t="str">
        <f t="array" aca="1" ref="L274" ca="1">INDEX('Form Import'!W:W,MATCH(A274,'Form Import'!F:F,0))</f>
        <v>Strong team, but IP is licensed and the tech is not yet validated. It's just very early.</v>
      </c>
      <c r="M274" s="422"/>
      <c r="N274" s="422" t="str">
        <f t="array" aca="1" ref="N274" ca="1">INDEX('Form Import'!L:L,MATCH($A274,'Form Import'!$F:$F,0))</f>
        <v>Currently testing their solution. A few competitors across the globe. Patent is licensed, not owned. All-in-one cancer screening (the vision), is not yet doable.</v>
      </c>
      <c r="O274" s="422" t="str">
        <f t="array" aca="1" ref="O274" ca="1">INDEX('Form Import'!O:O,MATCH($A274,'Form Import'!$F:$F,0))</f>
        <v>Still testing the solution in a pilot study. Huge market, and I think demand would be there.</v>
      </c>
      <c r="P274" s="422" t="str">
        <f t="array" aca="1" ref="P274" ca="1">INDEX('Form Import'!S:S,MATCH($A274,'Form Import'!$F:$F,0))</f>
        <v>Founder team is made up of 3 scientists - 2 cancer biologists and a chemist. Strong research backgrounds, and CSO invented the method for discovering and validating biomarkers.</v>
      </c>
      <c r="Q274" s="422"/>
      <c r="R274" s="422"/>
      <c r="S274" s="422" t="e">
        <f t="array" aca="1" ref="S274" ca="1">_xludf.TextJoin("; ",1,INDEX(Import!S:S,MATCH(C274,Name,0)))</f>
        <v>#NAME?</v>
      </c>
    </row>
    <row r="275" spans="1:19" ht="36">
      <c r="A275" s="425" t="s">
        <v>3977</v>
      </c>
      <c r="B275" s="426" t="str">
        <f t="array" aca="1" ref="B275" ca="1">CONCATENATE(TEXT(INDEX(query!A:A,MATCH(C275,query!B:B,0)),"M/DD/YYY"),CHAR(10),INDEX(query!E:E,MATCH(C275,query!B:B,0)))</f>
        <v>8/16/2022
Invite</v>
      </c>
      <c r="C275" s="427" t="s">
        <v>264</v>
      </c>
      <c r="D275" s="428">
        <f t="array" ref="D275">INDEX(Import!D:D,MATCH(C275,Name,0))</f>
        <v>4</v>
      </c>
      <c r="E275" s="429">
        <f t="array" aca="1" ref="E275" ca="1">(INDEX(Import!I:I,MATCH(C275,Name,0))+INDEX(Import!L:L,MATCH(C275,Name,0))+INDEX('Form Import'!V:V,MATCH(A275,'Form Import'!F:F,0)))/3</f>
        <v>3.6666666666666665</v>
      </c>
      <c r="F275" s="430" t="str">
        <f t="array" ref="F275">INDEX(Import!E:E,MATCH(C275,Name,0))</f>
        <v>Voltela provides guaranteed connectivity for commercial drones. Our software enables aviation-grade communication via any mobile network and allows drone operators to pass regulatory approval.</v>
      </c>
      <c r="G275" s="431" t="str">
        <f t="array" ref="G275">CONCATENATE(INDEX(Import!G:G,MATCH(C275,Import!C:C,0)),CHAR(10),INDEX(Import!I:I,MATCH(C275,Name,0)))</f>
        <v>Mark Flynn
4</v>
      </c>
      <c r="H275" s="432" t="str">
        <f t="array" ref="H275">INDEX(Import!H:H,MATCH(C275,Name,0))</f>
        <v>Feeback from last year's application was wanted to see more traction; they gained 3 customers; I think there will may be diffculty in acquiring customers but the tech seems interesting, so I would interview</v>
      </c>
      <c r="I275" s="431" t="str">
        <f t="array" ref="I275">CONCATENATE(INDEX(Import!J:J,MATCH(C275,Name,0)),CHAR(10),INDEX(Import!L:L,MATCH(C275,Name,0)))</f>
        <v>Shubo (Gabriel) Xu
4</v>
      </c>
      <c r="J275" s="432" t="str">
        <f t="array" ref="J275">INDEX(Import!K:K,MATCH(C275,Name,0))</f>
        <v>+
1. advanced tech address a problem with increasing demand
2. good team setup</v>
      </c>
      <c r="K275" s="431" t="str">
        <f t="array" aca="1" ref="K275" ca="1">CONCATENATE(INDEX('Form Import'!D:D,MATCH(A275,'Form Import'!F:F,0)),CHAR(10),INDEX('Form Import'!V:V,MATCH(A275,'Form Import'!F:F,0)))</f>
        <v>Chris Millisits
3</v>
      </c>
      <c r="L275" s="432" t="str">
        <f t="array" aca="1" ref="L275" ca="1">INDEX('Form Import'!W:W,MATCH(A275,'Form Import'!F:F,0))</f>
        <v>Team has moderate experience in the industry. Technology's potential is interesting, but the ability to deliver is in question - especially given the revenue split is 60% SaaS and 40% consulting work.</v>
      </c>
      <c r="M275" s="430"/>
      <c r="N275" s="430" t="str">
        <f t="array" aca="1" ref="N275" ca="1">INDEX('Form Import'!L:L,MATCH($A275,'Form Import'!$F:$F,0))</f>
        <v>Patent pending.</v>
      </c>
      <c r="O275" s="430" t="str">
        <f t="array" aca="1" ref="O275" ca="1">INDEX('Form Import'!O:O,MATCH($A275,'Form Import'!$F:$F,0))</f>
        <v>Has customers, but unclear if $300k ARR is booked or pipeline.</v>
      </c>
      <c r="P275" s="430" t="str">
        <f t="array" aca="1" ref="P275" ca="1">INDEX('Form Import'!S:S,MATCH($A275,'Form Import'!$F:$F,0))</f>
        <v>Team has relevant experience in IT security, and in IT consulting.</v>
      </c>
      <c r="Q275" s="430"/>
      <c r="R275" s="430"/>
      <c r="S275" s="430" t="e">
        <f t="array" aca="1" ref="S275" ca="1">_xludf.TextJoin("; ",1,INDEX(Import!S:S,MATCH(C275,Name,0)))</f>
        <v>#NAME?</v>
      </c>
    </row>
    <row r="276" spans="1:19" ht="108">
      <c r="A276" s="418" t="s">
        <v>7405</v>
      </c>
      <c r="B276" s="419" t="str">
        <f t="array" aca="1" ref="B276" ca="1">CONCATENATE(TEXT(INDEX(query!A:A,MATCH(C276,query!B:B,0)),"M/DD/YYY"),CHAR(10),INDEX(query!E:E,MATCH(C276,query!B:B,0)))</f>
        <v>8/18/2022
Revisit</v>
      </c>
      <c r="C276" s="85" t="s">
        <v>159</v>
      </c>
      <c r="D276" s="420">
        <f t="array" ref="D276">INDEX(Import!D:D,MATCH(C276,Name,0))</f>
        <v>4.25</v>
      </c>
      <c r="E276" s="421">
        <f t="array" aca="1" ref="E276" ca="1">(INDEX(Import!I:I,MATCH(C276,Name,0))+INDEX(Import!L:L,MATCH(C276,Name,0))+INDEX('Form Import'!V:V,MATCH(A276,'Form Import'!F:F,0)))/3</f>
        <v>3.8333333333333335</v>
      </c>
      <c r="F276" s="422" t="str">
        <f t="array" ref="F276">INDEX(Import!E:E,MATCH(C276,Name,0))</f>
        <v>Vyv offers a new class of antimicrobial light for germ and infection control through safe, continuous LED products that can be used anywhere a light can fit. We service customers in food processing, healthcare, pharmaceutical, industrial/commercial and consumer residential product applications (i.e. kitchens and bathrooms).</v>
      </c>
      <c r="G276" s="423" t="str">
        <f t="array" ref="G276">CONCATENATE(INDEX(Import!G:G,MATCH(C276,Import!C:C,0)),CHAR(10),INDEX(Import!I:I,MATCH(C276,Name,0)))</f>
        <v>Chris Mosher
4</v>
      </c>
      <c r="H276" s="424" t="str">
        <f t="array" ref="H276">INDEX(Import!H:H,MATCH(C276,Name,0))</f>
        <v>Deep Tech. Continuous white LED light that disinfects while being safe for humans (unlike UV light). 405 nm light is the sweet spot for killing bacteria while being safe for us. Can be used anywhere a regular light is used - ideal for bathrooms and hospitals. Not the most exciting idea, but very effective. Their demo shows the light incorporated into a ventilation fan that draws out humidity for use in bathrooms. Founders from RPI. Minerva Tantoco is on Vyv's Board of Directors and is currently the Chief AI Officer for the NYU McSilver Institute. Raised $17M and IP is extremely well-protected.</v>
      </c>
      <c r="I276" s="423" t="str">
        <f t="array" ref="I276">CONCATENATE(INDEX(Import!J:J,MATCH(C276,Name,0)),CHAR(10),INDEX(Import!L:L,MATCH(C276,Name,0)))</f>
        <v>Parsa Amiri
4.5</v>
      </c>
      <c r="J276" s="424" t="str">
        <f t="array" ref="J276">INDEX(Import!K:K,MATCH(C276,Name,0))</f>
        <v>Deep Tech. An LED light that its emission is in the visible light range and possesses antimicrobial activity. Safe for continuous around human. 90-99% microbe reduction.  400-420 nm. Low electricity consumption.</v>
      </c>
      <c r="K276" s="423" t="str">
        <f t="array" aca="1" ref="K276" ca="1">CONCATENATE(INDEX('Form Import'!D:D,MATCH(A276,'Form Import'!F:F,0)),CHAR(10),INDEX('Form Import'!V:V,MATCH(A276,'Form Import'!F:F,0)))</f>
        <v>Chris Millisits
3</v>
      </c>
      <c r="L276" s="424" t="str">
        <f t="array" aca="1" ref="L276" ca="1">INDEX('Form Import'!W:W,MATCH(A276,'Form Import'!F:F,0))</f>
        <v>Not a novel technology, but founders have exited a similar company before. They have traction. Market size is a question with 30k addressable customers.</v>
      </c>
      <c r="M276" s="422"/>
      <c r="N276" s="422" t="str">
        <f t="array" aca="1" ref="N276" ca="1">INDEX('Form Import'!L:L,MATCH($A276,'Form Import'!$F:$F,0))</f>
        <v>Technology is not terribly defensible.</v>
      </c>
      <c r="O276" s="422" t="str">
        <f t="array" aca="1" ref="O276" ca="1">INDEX('Form Import'!O:O,MATCH($A276,'Form Import'!$F:$F,0))</f>
        <v>$320K ARR from 78 paying customers. Addressable market assumes $150k average ACV</v>
      </c>
      <c r="P276" s="422" t="str">
        <f t="array" aca="1" ref="P276" ca="1">INDEX('Form Import'!S:S,MATCH($A276,'Form Import'!$F:$F,0))</f>
        <v>Founders have worked together and exited the company, which was a B2B marketplace for pharmacies. Sales and product backgrounds for 2 founders.</v>
      </c>
      <c r="Q276" s="422"/>
      <c r="R276" s="422"/>
      <c r="S276" s="422" t="e">
        <f t="array" aca="1" ref="S276" ca="1">_xludf.TextJoin("; ",1,INDEX(Import!S:S,MATCH(C276,Name,0)))</f>
        <v>#NAME?</v>
      </c>
    </row>
    <row r="277" spans="1:19" ht="36">
      <c r="A277" s="425" t="s">
        <v>7414</v>
      </c>
      <c r="B277" s="426" t="e">
        <f t="array" aca="1" ref="B277" ca="1">CONCATENATE(TEXT(INDEX(query!A:A,MATCH(C277,query!B:B,0)),"M/DD/YYY"),CHAR(10),INDEX(query!E:E,MATCH(C277,query!B:B,0)))</f>
        <v>#N/A</v>
      </c>
      <c r="C277" s="427" t="s">
        <v>13174</v>
      </c>
      <c r="D277" s="428" t="e">
        <f t="array" ref="D277">INDEX(Import!D:D,MATCH(C277,Name,0))</f>
        <v>#N/A</v>
      </c>
      <c r="E277" s="429" t="e">
        <f t="array" aca="1" ref="E277" ca="1">(INDEX(Import!I:I,MATCH(C277,Name,0))+INDEX(Import!L:L,MATCH(C277,Name,0))+INDEX('Form Import'!V:V,MATCH(A277,'Form Import'!F:F,0)))/3</f>
        <v>#N/A</v>
      </c>
      <c r="F277" s="430" t="e">
        <f t="array" ref="F277">INDEX(Import!E:E,MATCH(C277,Name,0))</f>
        <v>#N/A</v>
      </c>
      <c r="G277" s="431" t="e">
        <f t="array" ref="G277">CONCATENATE(INDEX(Import!G:G,MATCH(C277,Import!C:C,0)),CHAR(10),INDEX(Import!I:I,MATCH(C277,Name,0)))</f>
        <v>#N/A</v>
      </c>
      <c r="H277" s="432" t="e">
        <f t="array" ref="H277">INDEX(Import!H:H,MATCH(C277,Name,0))</f>
        <v>#N/A</v>
      </c>
      <c r="I277" s="431" t="e">
        <f t="array" ref="I277">CONCATENATE(INDEX(Import!J:J,MATCH(C277,Name,0)),CHAR(10),INDEX(Import!L:L,MATCH(C277,Name,0)))</f>
        <v>#N/A</v>
      </c>
      <c r="J277" s="432" t="e">
        <f t="array" ref="J277">INDEX(Import!K:K,MATCH(C277,Name,0))</f>
        <v>#N/A</v>
      </c>
      <c r="K277" s="431" t="str">
        <f t="array" aca="1" ref="K277" ca="1">CONCATENATE(INDEX('Form Import'!D:D,MATCH(A277,'Form Import'!F:F,0)),CHAR(10),INDEX('Form Import'!V:V,MATCH(A277,'Form Import'!F:F,0)))</f>
        <v>Chris Millisits
3</v>
      </c>
      <c r="L277" s="432" t="str">
        <f t="array" aca="1" ref="L277" ca="1">INDEX('Form Import'!W:W,MATCH(A277,'Form Import'!F:F,0))</f>
        <v>Young team. Have good traction, especially given only $100k raised to date. WTP question on the part of campus recruiting teams, who traditionally do not have large tech spend.</v>
      </c>
      <c r="M277" s="430"/>
      <c r="N277" s="430" t="str">
        <f t="array" aca="1" ref="N277" ca="1">INDEX('Form Import'!L:L,MATCH($A277,'Form Import'!$F:$F,0))</f>
        <v>Promising to be a better campus recruiting platform. It's a software platform, so the technology is not very defensible.</v>
      </c>
      <c r="O277" s="430" t="str">
        <f t="array" aca="1" ref="O277" ca="1">INDEX('Form Import'!O:O,MATCH($A277,'Form Import'!$F:$F,0))</f>
        <v>$125k revenue to date (period unclear).</v>
      </c>
      <c r="P277" s="430" t="str">
        <f t="array" aca="1" ref="P277" ca="1">INDEX('Form Import'!S:S,MATCH($A277,'Form Import'!$F:$F,0))</f>
        <v>Pivoted from content development startup. Relatively young team, ~4 years working experience each. Founders sound passionate about the concept, given their experiences with college recruiting.</v>
      </c>
      <c r="Q277" s="430"/>
      <c r="R277" s="430"/>
      <c r="S277" s="430" t="e">
        <f t="array" aca="1" ref="S277" ca="1">_xludf.TextJoin("; ",1,INDEX(Import!S:S,MATCH(C277,Name,0)))</f>
        <v>#NAME?</v>
      </c>
    </row>
    <row r="278" spans="1:19" ht="72">
      <c r="A278" s="418" t="s">
        <v>3042</v>
      </c>
      <c r="B278" s="419" t="str">
        <f t="array" aca="1" ref="B278" ca="1">CONCATENATE(TEXT(INDEX(query!A:A,MATCH(C278,query!B:B,0)),"M/DD/YYY"),CHAR(10),INDEX(query!E:E,MATCH(C278,query!B:B,0)))</f>
        <v>8/16/2022
Revisit/ Cluster</v>
      </c>
      <c r="C278" s="85" t="s">
        <v>410</v>
      </c>
      <c r="D278" s="420">
        <f t="array" ref="D278">INDEX(Import!D:D,MATCH(C278,Name,0))</f>
        <v>3.75</v>
      </c>
      <c r="E278" s="421">
        <f t="array" aca="1" ref="E278" ca="1">(INDEX(Import!I:I,MATCH(C278,Name,0))+INDEX(Import!L:L,MATCH(C278,Name,0))+INDEX('Form Import'!V:V,MATCH(A278,'Form Import'!F:F,0)))/3</f>
        <v>3.1666666666666665</v>
      </c>
      <c r="F278" s="422" t="str">
        <f t="array" ref="F278">INDEX(Import!E:E,MATCH(C278,Name,0))</f>
        <v>White Rock Therapeutics aims to disrupt the unending cycle of COVID-19 surges by developing an inhalable pan-coronavirus prophylactic that can easily be administered in both the clinic and at home, to prevent or ameliorate COVID-19 in high-risk individuals, and to protect against breakthrough variants and completely novel coronavirus pathogens.</v>
      </c>
      <c r="G278" s="423" t="str">
        <f t="array" ref="G278">CONCATENATE(INDEX(Import!G:G,MATCH(C278,Import!C:C,0)),CHAR(10),INDEX(Import!I:I,MATCH(C278,Name,0)))</f>
        <v>Chris Mosher
4</v>
      </c>
      <c r="H278" s="424" t="str">
        <f t="array" ref="H278">INDEX(Import!H:H,MATCH(C278,Name,0))</f>
        <v>Inhalable pan-coronavirus prophylactic developed by a team from Harvard, Cornell, and Columbia. Columbia CEO is the only full-time member, but it's a great team and board (Pfizer director). Tech has been validated in mice with SBIR funding, and they are looking to scale. Owns license to a patent application. Referred by Weill Cornell BioVenture Elab Might be too early for this year, but very promising.</v>
      </c>
      <c r="I278" s="423" t="str">
        <f t="array" ref="I278">CONCATENATE(INDEX(Import!J:J,MATCH(C278,Name,0)),CHAR(10),INDEX(Import!L:L,MATCH(C278,Name,0)))</f>
        <v>Parsa Amiri
3.5</v>
      </c>
      <c r="J278" s="424" t="str">
        <f t="array" ref="J278">INDEX(Import!K:K,MATCH(C278,Name,0))</f>
        <v>Referred by Weill Cornell BioVenture Elab. Early stage of tech development. Great team members but mostly part-time. An ACE-2 decoy for prophylactic use, and prevention of SARS-CoV-2. Inhalable medicine.</v>
      </c>
      <c r="K278" s="423" t="str">
        <f t="array" aca="1" ref="K278" ca="1">CONCATENATE(INDEX('Form Import'!D:D,MATCH(A278,'Form Import'!F:F,0)),CHAR(10),INDEX('Form Import'!V:V,MATCH(A278,'Form Import'!F:F,0)))</f>
        <v>Chris Millisits
2</v>
      </c>
      <c r="L278" s="424" t="str">
        <f t="array" aca="1" ref="L278" ca="1">INDEX('Form Import'!W:W,MATCH(A278,'Form Import'!F:F,0))</f>
        <v>Limited information on the founder. Competitive market, wants to compete with Snowflake. Limited traction for size of previous rounds.</v>
      </c>
      <c r="M278" s="422"/>
      <c r="N278" s="422" t="str">
        <f t="array" aca="1" ref="N278" ca="1">INDEX('Form Import'!L:L,MATCH($A278,'Form Import'!$F:$F,0))</f>
        <v>Snowflake competitor, provided no evidence towards validation of technology</v>
      </c>
      <c r="O278" s="422" t="str">
        <f t="array" aca="1" ref="O278" ca="1">INDEX('Form Import'!O:O,MATCH($A278,'Form Import'!$F:$F,0))</f>
        <v>Has some customers. Large market, but competitive with large incumbents</v>
      </c>
      <c r="P278" s="422" t="str">
        <f t="array" aca="1" ref="P278" ca="1">INDEX('Form Import'!S:S,MATCH($A278,'Form Import'!$F:$F,0))</f>
        <v>Previously founder of Pivotal. Has not provided much information in the application and I cannot find more information about him online.</v>
      </c>
      <c r="Q278" s="422"/>
      <c r="R278" s="422"/>
      <c r="S278" s="422" t="e">
        <f t="array" aca="1" ref="S278" ca="1">_xludf.TextJoin("; ",1,INDEX(Import!S:S,MATCH(C278,Name,0)))</f>
        <v>#NAME?</v>
      </c>
    </row>
    <row r="279" spans="1:19" ht="36">
      <c r="A279" s="425" t="s">
        <v>1345</v>
      </c>
      <c r="B279" s="426" t="str">
        <f t="array" aca="1" ref="B279" ca="1">CONCATENATE(TEXT(INDEX(query!A:A,MATCH(C279,query!B:B,0)),"M/DD/YYY"),CHAR(10),INDEX(query!E:E,MATCH(C279,query!B:B,0)))</f>
        <v>8/16/2022
Invite</v>
      </c>
      <c r="C279" s="427" t="s">
        <v>162</v>
      </c>
      <c r="D279" s="428">
        <f t="array" ref="D279">INDEX(Import!D:D,MATCH(C279,Name,0))</f>
        <v>4</v>
      </c>
      <c r="E279" s="429">
        <f t="array" aca="1" ref="E279" ca="1">(INDEX(Import!I:I,MATCH(C279,Name,0))+INDEX(Import!L:L,MATCH(C279,Name,0))+INDEX('Form Import'!V:V,MATCH(A279,'Form Import'!F:F,0)))/3</f>
        <v>3.6666666666666665</v>
      </c>
      <c r="F279" s="430" t="str">
        <f t="array" ref="F279">INDEX(Import!E:E,MATCH(C279,Name,0))</f>
        <v>Wootzano has developed a robotics system called Avarai which is capable of snipping, weight estimation and delicately handling complex fruits like grapes to offer autonomous packaging solutions for fresh produce packers to help solve labour availability challenges and help combat food wastage. The system provides an ROI of 1-1.5years.</v>
      </c>
      <c r="G279" s="431" t="str">
        <f t="array" ref="G279">CONCATENATE(INDEX(Import!G:G,MATCH(C279,Import!C:C,0)),CHAR(10),INDEX(Import!I:I,MATCH(C279,Name,0)))</f>
        <v>Khoa Ma
3</v>
      </c>
      <c r="H279" s="432" t="str">
        <f t="array" ref="H279">INDEX(Import!H:H,MATCH(C279,Name,0))</f>
        <v>robots that can handel fruit and vegetables that are highly perishable
what other applications can this have?
need to scale up</v>
      </c>
      <c r="I279" s="431" t="str">
        <f t="array" ref="I279">CONCATENATE(INDEX(Import!J:J,MATCH(C279,Name,0)),CHAR(10),INDEX(Import!L:L,MATCH(C279,Name,0)))</f>
        <v>Arthur Ibanda
5</v>
      </c>
      <c r="J279" s="432" t="str">
        <f t="array" ref="J279">INDEX(Import!K:K,MATCH(C279,Name,0))</f>
        <v>+Novel tech
+Credible team
+Good idea and large addressable market</v>
      </c>
      <c r="K279" s="431" t="str">
        <f t="array" aca="1" ref="K279" ca="1">CONCATENATE(INDEX('Form Import'!D:D,MATCH(A279,'Form Import'!F:F,0)),CHAR(10),INDEX('Form Import'!V:V,MATCH(A279,'Form Import'!F:F,0)))</f>
        <v>Chris Millisits
3</v>
      </c>
      <c r="L279" s="432" t="str">
        <f t="array" aca="1" ref="L279" ca="1">INDEX('Form Import'!W:W,MATCH(A279,'Form Import'!F:F,0))</f>
        <v>Strong team backgrounds in data science and medicine across the 4 members of the team. Strong traction. But it is hard to build a revolutionary AI/ML solution that truly stands out.</v>
      </c>
      <c r="M279" s="430"/>
      <c r="N279" s="430" t="str">
        <f t="array" aca="1" ref="N279" ca="1">INDEX('Form Import'!L:L,MATCH($A279,'Form Import'!$F:$F,0))</f>
        <v>Strong customer validation. AI / NLP technology can be protected but similar solutions can be spun up by other data scientist &amp; physician teams. Can this team produce a revolutionary technology?</v>
      </c>
      <c r="O279" s="430" t="str">
        <f t="array" aca="1" ref="O279" ca="1">INDEX('Form Import'!O:O,MATCH($A279,'Form Import'!$F:$F,0))</f>
        <v>$1.5m contract with Telus Health, and starting pilots with 3 additional customers</v>
      </c>
      <c r="P279" s="430" t="str">
        <f t="array" aca="1" ref="P279" ca="1">INDEX('Form Import'!S:S,MATCH($A279,'Form Import'!$F:$F,0))</f>
        <v>Strong team backgrounds in data science and medicine across the 4 members of the team.</v>
      </c>
      <c r="Q279" s="430"/>
      <c r="R279" s="430"/>
      <c r="S279" s="430" t="e">
        <f t="array" aca="1" ref="S279" ca="1">_xludf.TextJoin("; ",1,INDEX(Import!S:S,MATCH(C279,Name,0)))</f>
        <v>#NAME?</v>
      </c>
    </row>
    <row r="280" spans="1:19" ht="48">
      <c r="A280" s="418" t="s">
        <v>9622</v>
      </c>
      <c r="B280" s="419" t="str">
        <f t="array" aca="1" ref="B280" ca="1">CONCATENATE(TEXT(INDEX(query!A:A,MATCH(C280,query!B:B,0)),"M/DD/YYY"),CHAR(10),INDEX(query!E:E,MATCH(C280,query!B:B,0)))</f>
        <v>8/09/2022
Revisit/ Cluster</v>
      </c>
      <c r="C280" s="85" t="s">
        <v>164</v>
      </c>
      <c r="D280" s="420">
        <f t="array" ref="D280">INDEX(Import!D:D,MATCH(C280,Name,0))</f>
        <v>2.5</v>
      </c>
      <c r="E280" s="421">
        <f t="array" aca="1" ref="E280" ca="1">(INDEX(Import!I:I,MATCH(C280,Name,0))+INDEX(Import!L:L,MATCH(C280,Name,0))+INDEX('Form Import'!V:V,MATCH(A280,'Form Import'!F:F,0)))/3</f>
        <v>2.6666666666666665</v>
      </c>
      <c r="F280" s="422" t="str">
        <f t="array" ref="F280">INDEX(Import!E:E,MATCH(C280,Name,0))</f>
        <v>Xtellix provides software that helps experts and enterprises make decisions 100,000x faster. Our proprietary optimization algorithms are able to help our clients solve over 10 billion parameters and constraints in real-time helping save critical time in areas such as supply chain and logistics, drug discovery, finance, AI, chip design, etc.</v>
      </c>
      <c r="G280" s="423" t="str">
        <f t="array" ref="G280">CONCATENATE(INDEX(Import!G:G,MATCH(C280,Import!C:C,0)),CHAR(10),INDEX(Import!I:I,MATCH(C280,Name,0)))</f>
        <v>Khoa Ma
3</v>
      </c>
      <c r="H280" s="424" t="str">
        <f t="array" ref="H280">INDEX(Import!H:H,MATCH(C280,Name,0))</f>
        <v>DiT startup
Optimization algorithm platform and APIs 
A bit early- Need funding</v>
      </c>
      <c r="I280" s="423" t="str">
        <f t="array" ref="I280">CONCATENATE(INDEX(Import!J:J,MATCH(C280,Name,0)),CHAR(10),INDEX(Import!L:L,MATCH(C280,Name,0)))</f>
        <v>Arthur Ibanda
2</v>
      </c>
      <c r="J280" s="424" t="str">
        <f t="array" ref="J280">INDEX(Import!K:K,MATCH(C280,Name,0))</f>
        <v>+The founder seems passionate about the product
-The company seems to early for EFL</v>
      </c>
      <c r="K280" s="423" t="str">
        <f t="array" aca="1" ref="K280" ca="1">CONCATENATE(INDEX('Form Import'!D:D,MATCH(A280,'Form Import'!F:F,0)),CHAR(10),INDEX('Form Import'!V:V,MATCH(A280,'Form Import'!F:F,0)))</f>
        <v>Chris Millisits
3</v>
      </c>
      <c r="L280" s="424" t="str">
        <f t="array" aca="1" ref="L280" ca="1">INDEX('Form Import'!W:W,MATCH(A280,'Form Import'!F:F,0))</f>
        <v>Good team background for this solution. Working closely with potential customers, but would like to see more validation of the solution. IP protection is questionable. Assumption is that the existing system can be replaced is a large assumption.</v>
      </c>
      <c r="M280" s="422"/>
      <c r="N280" s="422" t="str">
        <f t="array" aca="1" ref="N280" ca="1">INDEX('Form Import'!L:L,MATCH($A280,'Form Import'!$F:$F,0))</f>
        <v>The technology is an alternative (and software-based) form that is more usable by nurses.</v>
      </c>
      <c r="O280" s="422" t="str">
        <f t="array" aca="1" ref="O280" ca="1">INDEX('Form Import'!O:O,MATCH($A280,'Form Import'!$F:$F,0))</f>
        <v>Beta test at a small hospital system to determine cost savings of the platform</v>
      </c>
      <c r="P280" s="422" t="str">
        <f t="array" aca="1" ref="P280" ca="1">INDEX('Form Import'!S:S,MATCH($A280,'Form Import'!$F:$F,0))</f>
        <v>30 years surgical experience in ENT for one founder, and 15 year's experience as a minimally invasive laparoscopic surgeon for another. The remaining two founders are a cloud architect and a former hospital CEO, COO and CPA.</v>
      </c>
      <c r="Q280" s="422"/>
      <c r="R280" s="422"/>
      <c r="S280" s="422" t="e">
        <f t="array" aca="1" ref="S280" ca="1">_xludf.TextJoin("; ",1,INDEX(Import!S:S,MATCH(C280,Name,0)))</f>
        <v>#NAME?</v>
      </c>
    </row>
    <row r="281" spans="1:19" ht="120">
      <c r="A281" s="425" t="s">
        <v>5174</v>
      </c>
      <c r="B281" s="426" t="str">
        <f t="array" aca="1" ref="B281" ca="1">CONCATENATE(TEXT(INDEX(query!A:A,MATCH(C281,query!B:B,0)),"M/DD/YYY"),CHAR(10),INDEX(query!E:E,MATCH(C281,query!B:B,0)))</f>
        <v>8/11/2022
Revisit/ Cluster</v>
      </c>
      <c r="C281" s="427" t="s">
        <v>370</v>
      </c>
      <c r="D281" s="428">
        <f t="array" ref="D281">INDEX(Import!D:D,MATCH(C281,Name,0))</f>
        <v>3.75</v>
      </c>
      <c r="E281" s="429">
        <f t="array" aca="1" ref="E281" ca="1">(INDEX(Import!I:I,MATCH(C281,Name,0))+INDEX(Import!L:L,MATCH(C281,Name,0))+INDEX('Form Import'!V:V,MATCH(A281,'Form Import'!F:F,0)))/3</f>
        <v>3.1666666666666665</v>
      </c>
      <c r="F281" s="430" t="str">
        <f t="array" ref="F281">INDEX(Import!E:E,MATCH(C281,Name,0))</f>
        <v>We are a longevity company developing partial reprogramming gene therapies aimed at restoring younger epigenetic profiles. While our long-term vision is to develop therapies that can prevent many age-related diseases and greatly extend lifespan, our immediate goals are very practical: Alzheimer's Disease and progeria.</v>
      </c>
      <c r="G281" s="431" t="str">
        <f t="array" ref="G281">CONCATENATE(INDEX(Import!G:G,MATCH(C281,Import!C:C,0)),CHAR(10),INDEX(Import!I:I,MATCH(C281,Name,0)))</f>
        <v>Chris Mosher
4</v>
      </c>
      <c r="H281" s="432" t="str">
        <f t="array" ref="H281">INDEX(Import!H:H,MATCH(C281,Name,0))</f>
        <v>Great early stage company (too early for our competitive pool?). Gene therapies aimed at restoring younger epigenetic profiles to treat Alzheimer's and progeria. Treatment prolonged median lifespan by 33-50% in progeric mice. Treated mice had histology more similar to wild-type than untreated, and less DNA damage. Columbia MBA, U or Birmingham Prof. Prior startup acquisition.
This is an exciting idea, but their runway is very short (2-5 months) with &lt;$500K funding raised total. It is unclear if they are using the Yamanaka factors (Oct3/4, Sox2, Klf4, c-Myc) in some unique formulation or another approach. Ask in interview if they advance.</v>
      </c>
      <c r="I281" s="431" t="str">
        <f t="array" ref="I281">CONCATENATE(INDEX(Import!J:J,MATCH(C281,Name,0)),CHAR(10),INDEX(Import!L:L,MATCH(C281,Name,0)))</f>
        <v>Tugba Oncu
3.5</v>
      </c>
      <c r="J281" s="432" t="str">
        <f t="array" ref="J281">INDEX(Import!K:K,MATCH(C281,Name,0))</f>
        <v>Gene therapies for Alzheimer and progeria. The deck is so crowded with data. Yamanaka factors, epigenetic rejuvenation, hippocampus neurogenesis with lentiviral vector, cyclic reprogramming and something confidential.</v>
      </c>
      <c r="K281" s="431" t="str">
        <f t="array" aca="1" ref="K281" ca="1">CONCATENATE(INDEX('Form Import'!D:D,MATCH(A281,'Form Import'!F:F,0)),CHAR(10),INDEX('Form Import'!V:V,MATCH(A281,'Form Import'!F:F,0)))</f>
        <v>Chris Millisits
2</v>
      </c>
      <c r="L281" s="432" t="str">
        <f t="array" aca="1" ref="L281" ca="1">INDEX('Form Import'!W:W,MATCH(A281,'Form Import'!F:F,0))</f>
        <v>Raising $40m. Limited customer discovery and no customers. Founding team doesn't have strong technical background. Overestimate of market opportunity, assumptions around growth of use of therapy if there was an AI option.</v>
      </c>
      <c r="M281" s="430"/>
      <c r="N281" s="430" t="str">
        <f t="array" aca="1" ref="N281" ca="1">INDEX('Form Import'!L:L,MATCH($A281,'Form Import'!$F:$F,0))</f>
        <v>Limited validation of technology. Technology isn't novel, but the use case of the technology is.</v>
      </c>
      <c r="O281" s="430" t="str">
        <f t="array" aca="1" ref="O281" ca="1">INDEX('Form Import'!O:O,MATCH($A281,'Form Import'!$F:$F,0))</f>
        <v>Limited customer discovery to date</v>
      </c>
      <c r="P281" s="430" t="str">
        <f t="array" aca="1" ref="P281" ca="1">INDEX('Form Import'!S:S,MATCH($A281,'Form Import'!$F:$F,0))</f>
        <v>Previous founding experience (neuroscience-based HR processes), but limited experience with conversational AI, which makes innovation unlikely.</v>
      </c>
      <c r="Q281" s="430"/>
      <c r="R281" s="430"/>
      <c r="S281" s="430" t="e">
        <f t="array" aca="1" ref="S281" ca="1">_xludf.TextJoin("; ",1,INDEX(Import!S:S,MATCH(C281,Name,0)))</f>
        <v>#NAME?</v>
      </c>
    </row>
    <row r="282" spans="1:19" ht="48">
      <c r="A282" s="418" t="s">
        <v>7641</v>
      </c>
      <c r="B282" s="419" t="str">
        <f t="array" aca="1" ref="B282" ca="1">CONCATENATE(TEXT(INDEX(query!A:A,MATCH(C282,query!B:B,0)),"M/DD/YYY"),CHAR(10),INDEX(query!E:E,MATCH(C282,query!B:B,0)))</f>
        <v>8/18/2022
Revisit/ Cluster</v>
      </c>
      <c r="C282" s="85" t="s">
        <v>393</v>
      </c>
      <c r="D282" s="420">
        <f t="array" ref="D282">INDEX(Import!D:D,MATCH(C282,Name,0))</f>
        <v>3.5</v>
      </c>
      <c r="E282" s="421">
        <f t="array" aca="1" ref="E282" ca="1">(INDEX(Import!I:I,MATCH(C282,Name,0))+INDEX(Import!L:L,MATCH(C282,Name,0))+INDEX('Form Import'!V:V,MATCH(A282,'Form Import'!F:F,0)))/3</f>
        <v>3</v>
      </c>
      <c r="F282" s="422" t="str">
        <f t="array" ref="F282">INDEX(Import!E:E,MATCH(C282,Name,0))</f>
        <v>Zoomrin uses novel patented technologies, leveraging the non-Cartesian MRI approach in order to make MR Imaging significantly more efficient than it is currently practiced.  This means faster procedures and higher quality images, as well as more affordability and accessibility of MR Imaging for patients, doctors, and clinics.</v>
      </c>
      <c r="G282" s="423" t="str">
        <f t="array" ref="G282">CONCATENATE(INDEX(Import!G:G,MATCH(C282,Import!C:C,0)),CHAR(10),INDEX(Import!I:I,MATCH(C282,Name,0)))</f>
        <v>Larisa Kagermazova
3</v>
      </c>
      <c r="H282" s="424" t="str">
        <f t="array" ref="H282">INDEX(Import!H:H,MATCH(C282,Name,0))</f>
        <v>Useful software but not groundbreaking, not very innovative 
Have no funding - currently bootstrapping 
We can cluster and then decide if we want to invite them</v>
      </c>
      <c r="I282" s="423" t="str">
        <f t="array" ref="I282">CONCATENATE(INDEX(Import!J:J,MATCH(C282,Name,0)),CHAR(10),INDEX(Import!L:L,MATCH(C282,Name,0)))</f>
        <v>Parsa Amiri
4</v>
      </c>
      <c r="J282" s="424" t="str">
        <f t="array" ref="J282">INDEX(Import!K:K,MATCH(C282,Name,0))</f>
        <v>DiT/DT may take a look. Improving quality of MRI by an AI-powered software based on PFT. It makes MRI faster, cheaper, and easier. Good team. Bootstrapping.</v>
      </c>
      <c r="K282" s="423" t="str">
        <f t="array" aca="1" ref="K282" ca="1">CONCATENATE(INDEX('Form Import'!D:D,MATCH(A282,'Form Import'!F:F,0)),CHAR(10),INDEX('Form Import'!V:V,MATCH(A282,'Form Import'!F:F,0)))</f>
        <v>Chris Millisits
2</v>
      </c>
      <c r="L282" s="424" t="str">
        <f t="array" aca="1" ref="L282" ca="1">INDEX('Form Import'!W:W,MATCH(A282,'Form Import'!F:F,0))</f>
        <v>Crop management software. Limited traction. Team experience is not exceptionally relevant to this solution. Limited WTP in this space.</v>
      </c>
      <c r="M282" s="422"/>
      <c r="N282" s="422" t="str">
        <f t="array" aca="1" ref="N282" ca="1">INDEX('Form Import'!L:L,MATCH($A282,'Form Import'!$F:$F,0))</f>
        <v>WTP for a new technology is a question mark. SaaS platform not very defensible via IP.</v>
      </c>
      <c r="O282" s="422" t="str">
        <f t="array" aca="1" ref="O282" ca="1">INDEX('Form Import'!O:O,MATCH($A282,'Form Import'!$F:$F,0))</f>
        <v>A few customers</v>
      </c>
      <c r="P282" s="422" t="str">
        <f t="array" aca="1" ref="P282" ca="1">INDEX('Form Import'!S:S,MATCH($A282,'Form Import'!$F:$F,0))</f>
        <v>Information only shown for 1 of the 2 founders. The 1 founder with information has experience mostly in sales, though in the relevant region to the startup.</v>
      </c>
      <c r="Q282" s="422"/>
      <c r="R282" s="422"/>
      <c r="S282" s="422" t="e">
        <f t="array" aca="1" ref="S282" ca="1">_xludf.TextJoin("; ",1,INDEX(Import!S:S,MATCH(C282,Name,0)))</f>
        <v>#NAME?</v>
      </c>
    </row>
    <row r="283" spans="1:19" ht="48">
      <c r="A283" s="425" t="s">
        <v>3639</v>
      </c>
      <c r="B283" s="426" t="str">
        <f t="array" aca="1" ref="B283" ca="1">CONCATENATE(TEXT(INDEX(query!A:A,MATCH(C283,query!B:B,0)),"M/DD/YYY"),CHAR(10),INDEX(query!E:E,MATCH(C283,query!B:B,0)))</f>
        <v>8/09/2022
Invite Next Year</v>
      </c>
      <c r="C283" s="427" t="s">
        <v>7634</v>
      </c>
      <c r="D283" s="428">
        <f t="array" ref="D283">INDEX(Import!D:D,MATCH(C283,Name,0))</f>
        <v>2</v>
      </c>
      <c r="E283" s="429">
        <f t="array" aca="1" ref="E283" ca="1">(INDEX(Import!I:I,MATCH(C283,Name,0))+INDEX(Import!L:L,MATCH(C283,Name,0))+INDEX('Form Import'!V:V,MATCH(A283,'Form Import'!F:F,0)))/3</f>
        <v>2</v>
      </c>
      <c r="F283" s="430" t="str">
        <f t="array" ref="F283">INDEX(Import!E:E,MATCH(C283,Name,0))</f>
        <v>Zr3i is the pioneer services provider for precision farming solutions in Egypt and the Arab World</v>
      </c>
      <c r="G283" s="431" t="str">
        <f t="array" ref="G283">CONCATENATE(INDEX(Import!G:G,MATCH(C283,Import!C:C,0)),CHAR(10),INDEX(Import!I:I,MATCH(C283,Name,0)))</f>
        <v>Mark Flynn
2</v>
      </c>
      <c r="H283" s="432" t="str">
        <f t="array" ref="H283">INDEX(Import!H:H,MATCH(C283,Name,0))</f>
        <v>Focused on Egypt and Arab World - geographies that EFL will not be able to help with very much; company is very early</v>
      </c>
      <c r="I283" s="431" t="str">
        <f t="array" ref="I283">CONCATENATE(INDEX(Import!J:J,MATCH(C283,Name,0)),CHAR(10),INDEX(Import!L:L,MATCH(C283,Name,0)))</f>
        <v>Boyang Yu
2</v>
      </c>
      <c r="J283" s="432" t="str">
        <f t="array" ref="J283">INDEX(Import!K:K,MATCH(C283,Name,0))</f>
        <v>Early stage startup with limited information about technical validation/cofounders</v>
      </c>
      <c r="K283" s="431" t="str">
        <f t="array" aca="1" ref="K283" ca="1">CONCATENATE(INDEX('Form Import'!D:D,MATCH(A283,'Form Import'!F:F,0)),CHAR(10),INDEX('Form Import'!V:V,MATCH(A283,'Form Import'!F:F,0)))</f>
        <v>Chris Millisits
2</v>
      </c>
      <c r="L283" s="432" t="str">
        <f t="array" aca="1" ref="L283" ca="1">INDEX('Form Import'!W:W,MATCH(A283,'Form Import'!F:F,0))</f>
        <v>Vision is small (retrofitting HVAC monitoring devices). Unclear WTP, given that consumers are the one who are responsible for expenses out of warranty. Team has some relevant experience, but the scale of the solution is not venture-backable.</v>
      </c>
      <c r="M283" s="430"/>
      <c r="N283" s="430" t="str">
        <f t="array" aca="1" ref="N283" ca="1">INDEX('Form Import'!L:L,MATCH($A283,'Form Import'!$F:$F,0))</f>
        <v>Known, but small problem. More of a product feature than a company. Has not validated technology.</v>
      </c>
      <c r="O283" s="430" t="str">
        <f t="array" aca="1" ref="O283" ca="1">INDEX('Form Import'!O:O,MATCH($A283,'Form Import'!$F:$F,0))</f>
        <v>No customers, no mention of speaking to prospects</v>
      </c>
      <c r="P283" s="430" t="str">
        <f t="array" aca="1" ref="P283" ca="1">INDEX('Form Import'!S:S,MATCH($A283,'Form Import'!$F:$F,0))</f>
        <v>Team has relevant experience, but the vision / innovative potential is low here.</v>
      </c>
      <c r="Q283" s="430"/>
      <c r="R283" s="430"/>
      <c r="S283" s="430" t="e">
        <f t="array" aca="1" ref="S283" ca="1">_xludf.TextJoin("; ",1,INDEX(Import!S:S,MATCH(C283,Name,0)))</f>
        <v>#NAME?</v>
      </c>
    </row>
    <row r="284" spans="1:19" ht="144">
      <c r="A284" s="418" t="s">
        <v>660</v>
      </c>
      <c r="B284" s="419" t="str">
        <f t="array" aca="1" ref="B284" ca="1">CONCATENATE(TEXT(INDEX(query!A:A,MATCH(C284,query!B:B,0)),"M/DD/YYY"),CHAR(10),INDEX(query!E:E,MATCH(C284,query!B:B,0)))</f>
        <v>8/03/2022
Invite Next Year</v>
      </c>
      <c r="C284" s="85" t="s">
        <v>3631</v>
      </c>
      <c r="D284" s="420">
        <f t="array" ref="D284">INDEX(Import!D:D,MATCH(C284,Name,0))</f>
        <v>1</v>
      </c>
      <c r="E284" s="421">
        <f t="array" aca="1" ref="E284" ca="1">(INDEX(Import!I:I,MATCH(C284,Name,0))+INDEX(Import!L:L,MATCH(C284,Name,0))+INDEX('Form Import'!V:V,MATCH(A284,'Form Import'!F:F,0)))/3</f>
        <v>2</v>
      </c>
      <c r="F284" s="422" t="str">
        <f t="array" ref="F284">INDEX(Import!E:E,MATCH(C284,Name,0))</f>
        <v>ZRC develops a device that monitors the refrigeration cycle in domestic heat pumps and air conditioners (HVAC). The device works as an early warning system for equipment failure and efficiency loss. To the customer, this device reduces the chance of HVAC breakdown, and also lowers the electricity bills.</v>
      </c>
      <c r="G284" s="423" t="str">
        <f t="array" ref="G284">CONCATENATE(INDEX(Import!G:G,MATCH(C284,Import!C:C,0)),CHAR(10),INDEX(Import!I:I,MATCH(C284,Name,0)))</f>
        <v>Khoa Ma
1</v>
      </c>
      <c r="H284" s="424" t="str">
        <f t="array" ref="H284">INDEX(Import!H:H,MATCH(C284,Name,0))</f>
        <v>Only an idea with no data, very early. Consider following up next year. Or send to Berkly</v>
      </c>
      <c r="I284" s="423" t="str">
        <f t="array" ref="I284">CONCATENATE(INDEX(Import!J:J,MATCH(C284,Name,0)),CHAR(10),INDEX(Import!L:L,MATCH(C284,Name,0)))</f>
        <v>Shubo (Gabriel) Xu
1</v>
      </c>
      <c r="J284" s="424" t="str">
        <f t="array" ref="J284">INDEX(Import!K:K,MATCH(C284,Name,0))</f>
        <v>1. I'm not convinced that HVAC malfunctioning detection is a ML problem ( to start, the Founder would need to provide more details on what exactly are the parameters being trained on, followed by model selection, data acquisition, scalability etc...)
2. Current obstacle is recognized, but no solution is attempted. (access of data)
3. Founder has no expertise in ML/AI (founder is expert in biological neural network, but NN in ML is not that comparable)
4. Plan for the future is hazy
Overall, it is my opinion that this project requires more thinking and experimenting before it's ready for EFL.</v>
      </c>
      <c r="K284" s="423" t="str">
        <f t="array" aca="1" ref="K284" ca="1">CONCATENATE(INDEX('Form Import'!D:D,MATCH(A284,'Form Import'!F:F,0)),CHAR(10),INDEX('Form Import'!V:V,MATCH(A284,'Form Import'!F:F,0)))</f>
        <v>Chris Millisits
4</v>
      </c>
      <c r="L284" s="424" t="str">
        <f t="array" aca="1" ref="L284" ca="1">INDEX('Form Import'!W:W,MATCH(A284,'Form Import'!F:F,0))</f>
        <v>Strong team with relevant experience. If the technology can be validated, there is a huge market opportunity here. Defensible technology, assuming the science is sound.</v>
      </c>
      <c r="M284" s="422"/>
      <c r="N284" s="422" t="str">
        <f t="array" aca="1" ref="N284" ca="1">INDEX('Form Import'!L:L,MATCH($A284,'Form Import'!$F:$F,0))</f>
        <v>Feasibility trial showed promising signs. Innovative potential, though will depend on whether the technology works.</v>
      </c>
      <c r="O284" s="422" t="str">
        <f t="array" aca="1" ref="O284" ca="1">INDEX('Form Import'!O:O,MATCH($A284,'Form Import'!$F:$F,0))</f>
        <v>No customers, and have not spoken to customers (have only done the feasibility trial)</v>
      </c>
      <c r="P284" s="422" t="str">
        <f t="array" aca="1" ref="P284" ca="1">INDEX('Form Import'!S:S,MATCH($A284,'Form Import'!$F:$F,0))</f>
        <v>This is an experienced multidisciplinary team, with expertise in autism research, clinical
therapy, engineering and commercialization of medical devices, artificial intelligence, insurance reimbursement and project management.</v>
      </c>
      <c r="Q284" s="422"/>
      <c r="R284" s="422"/>
      <c r="S284" s="422" t="e">
        <f t="array" aca="1" ref="S284" ca="1">_xludf.TextJoin("; ",1,INDEX(Import!S:S,MATCH(C284,Name,0)))</f>
        <v>#NAME?</v>
      </c>
    </row>
    <row r="285" spans="1:19">
      <c r="A285" s="425"/>
      <c r="B285" s="426"/>
      <c r="C285" s="427"/>
      <c r="D285" s="428"/>
      <c r="E285" s="429"/>
      <c r="F285" s="430"/>
      <c r="G285" s="431"/>
      <c r="H285" s="432"/>
      <c r="I285" s="431"/>
      <c r="J285" s="432"/>
      <c r="K285" s="431"/>
      <c r="L285" s="432"/>
      <c r="M285" s="430"/>
      <c r="N285" s="430"/>
      <c r="O285" s="430"/>
      <c r="P285" s="430"/>
      <c r="Q285" s="430"/>
      <c r="R285" s="430"/>
      <c r="S285" s="430"/>
    </row>
    <row r="286" spans="1:19">
      <c r="A286" s="418"/>
      <c r="B286" s="419"/>
      <c r="C286" s="85"/>
      <c r="D286" s="420"/>
      <c r="E286" s="421"/>
      <c r="F286" s="422"/>
      <c r="G286" s="423"/>
      <c r="H286" s="424"/>
      <c r="I286" s="423"/>
      <c r="J286" s="424"/>
      <c r="K286" s="423"/>
      <c r="L286" s="424"/>
      <c r="M286" s="422"/>
      <c r="N286" s="422"/>
      <c r="O286" s="422"/>
      <c r="P286" s="422"/>
      <c r="Q286" s="422"/>
      <c r="R286" s="422"/>
      <c r="S286" s="422"/>
    </row>
    <row r="287" spans="1:19">
      <c r="A287" s="425"/>
      <c r="B287" s="426"/>
      <c r="C287" s="427"/>
      <c r="D287" s="428"/>
      <c r="E287" s="429"/>
      <c r="F287" s="430"/>
      <c r="G287" s="431"/>
      <c r="H287" s="432"/>
      <c r="I287" s="431"/>
      <c r="J287" s="432"/>
      <c r="K287" s="431"/>
      <c r="L287" s="432"/>
      <c r="M287" s="430"/>
      <c r="N287" s="430"/>
      <c r="O287" s="430"/>
      <c r="P287" s="430"/>
      <c r="Q287" s="430"/>
      <c r="R287" s="430"/>
      <c r="S287" s="430"/>
    </row>
    <row r="288" spans="1:19">
      <c r="A288" s="418"/>
      <c r="B288" s="419"/>
      <c r="C288" s="85"/>
      <c r="D288" s="420"/>
      <c r="E288" s="421"/>
      <c r="F288" s="422"/>
      <c r="G288" s="423"/>
      <c r="H288" s="424"/>
      <c r="I288" s="423"/>
      <c r="J288" s="424"/>
      <c r="K288" s="423"/>
      <c r="L288" s="424"/>
      <c r="M288" s="422"/>
      <c r="N288" s="422"/>
      <c r="O288" s="422"/>
      <c r="P288" s="422"/>
      <c r="Q288" s="422"/>
      <c r="R288" s="422"/>
      <c r="S288" s="422"/>
    </row>
    <row r="289" spans="1:19">
      <c r="A289" s="425"/>
      <c r="B289" s="426"/>
      <c r="C289" s="427"/>
      <c r="D289" s="428"/>
      <c r="E289" s="429"/>
      <c r="F289" s="430"/>
      <c r="G289" s="431"/>
      <c r="H289" s="432"/>
      <c r="I289" s="431"/>
      <c r="J289" s="432"/>
      <c r="K289" s="431"/>
      <c r="L289" s="432"/>
      <c r="M289" s="430"/>
      <c r="N289" s="430"/>
      <c r="O289" s="430"/>
      <c r="P289" s="430"/>
      <c r="Q289" s="430"/>
      <c r="R289" s="430"/>
      <c r="S289" s="430"/>
    </row>
    <row r="290" spans="1:19">
      <c r="A290" s="418"/>
      <c r="B290" s="419"/>
      <c r="C290" s="85"/>
      <c r="D290" s="420"/>
      <c r="E290" s="421"/>
      <c r="F290" s="422"/>
      <c r="G290" s="423"/>
      <c r="H290" s="424"/>
      <c r="I290" s="423"/>
      <c r="J290" s="424"/>
      <c r="K290" s="423"/>
      <c r="L290" s="424"/>
      <c r="M290" s="422"/>
      <c r="N290" s="422"/>
      <c r="O290" s="422"/>
      <c r="P290" s="422"/>
      <c r="Q290" s="422"/>
      <c r="R290" s="422"/>
      <c r="S290" s="422"/>
    </row>
    <row r="291" spans="1:19">
      <c r="A291" s="425"/>
      <c r="B291" s="426"/>
      <c r="C291" s="427"/>
      <c r="D291" s="428"/>
      <c r="E291" s="429"/>
      <c r="F291" s="430"/>
      <c r="G291" s="431"/>
      <c r="H291" s="432"/>
      <c r="I291" s="431"/>
      <c r="J291" s="432"/>
      <c r="K291" s="431"/>
      <c r="L291" s="432"/>
      <c r="M291" s="430"/>
      <c r="N291" s="430"/>
      <c r="O291" s="430"/>
      <c r="P291" s="430"/>
      <c r="Q291" s="430"/>
      <c r="R291" s="430"/>
      <c r="S291" s="430"/>
    </row>
    <row r="292" spans="1:19">
      <c r="A292" s="418"/>
      <c r="B292" s="419"/>
      <c r="C292" s="85"/>
      <c r="D292" s="420"/>
      <c r="E292" s="421"/>
      <c r="F292" s="422"/>
      <c r="G292" s="423"/>
      <c r="H292" s="424"/>
      <c r="I292" s="423"/>
      <c r="J292" s="424"/>
      <c r="K292" s="423"/>
      <c r="L292" s="424"/>
      <c r="M292" s="422"/>
      <c r="N292" s="422"/>
      <c r="O292" s="422"/>
      <c r="P292" s="422"/>
      <c r="Q292" s="422"/>
      <c r="R292" s="422"/>
      <c r="S292" s="422"/>
    </row>
    <row r="293" spans="1:19">
      <c r="A293" s="425"/>
      <c r="B293" s="426"/>
      <c r="C293" s="427"/>
      <c r="D293" s="428"/>
      <c r="E293" s="429"/>
      <c r="F293" s="430"/>
      <c r="G293" s="431"/>
      <c r="H293" s="432"/>
      <c r="I293" s="431"/>
      <c r="J293" s="432"/>
      <c r="K293" s="431"/>
      <c r="L293" s="432"/>
      <c r="M293" s="430"/>
      <c r="N293" s="430"/>
      <c r="O293" s="430"/>
      <c r="P293" s="430"/>
      <c r="Q293" s="430"/>
      <c r="R293" s="430"/>
      <c r="S293" s="430"/>
    </row>
    <row r="294" spans="1:19">
      <c r="A294" s="418"/>
      <c r="B294" s="419"/>
      <c r="C294" s="85"/>
      <c r="D294" s="420"/>
      <c r="E294" s="421"/>
      <c r="F294" s="422"/>
      <c r="G294" s="423"/>
      <c r="H294" s="424"/>
      <c r="I294" s="423"/>
      <c r="J294" s="424"/>
      <c r="K294" s="423"/>
      <c r="L294" s="424"/>
      <c r="M294" s="422"/>
      <c r="N294" s="422"/>
      <c r="O294" s="422"/>
      <c r="P294" s="422"/>
      <c r="Q294" s="422"/>
      <c r="R294" s="422"/>
      <c r="S294" s="422"/>
    </row>
    <row r="295" spans="1:19">
      <c r="A295" s="425"/>
      <c r="B295" s="426"/>
      <c r="C295" s="427"/>
      <c r="D295" s="428"/>
      <c r="E295" s="429"/>
      <c r="F295" s="430"/>
      <c r="G295" s="431"/>
      <c r="H295" s="432"/>
      <c r="I295" s="431"/>
      <c r="J295" s="432"/>
      <c r="K295" s="431"/>
      <c r="L295" s="432"/>
      <c r="M295" s="430"/>
      <c r="N295" s="430"/>
      <c r="O295" s="430"/>
      <c r="P295" s="430"/>
      <c r="Q295" s="430"/>
      <c r="R295" s="430"/>
      <c r="S295" s="430"/>
    </row>
    <row r="296" spans="1:19">
      <c r="A296" s="418"/>
      <c r="B296" s="419"/>
      <c r="C296" s="85"/>
      <c r="D296" s="420"/>
      <c r="E296" s="421"/>
      <c r="F296" s="422"/>
      <c r="G296" s="423"/>
      <c r="H296" s="424"/>
      <c r="I296" s="423"/>
      <c r="J296" s="424"/>
      <c r="K296" s="423"/>
      <c r="L296" s="424"/>
      <c r="M296" s="422"/>
      <c r="N296" s="422"/>
      <c r="O296" s="422"/>
      <c r="P296" s="422"/>
      <c r="Q296" s="422"/>
      <c r="R296" s="422"/>
      <c r="S296" s="422"/>
    </row>
    <row r="297" spans="1:19">
      <c r="A297" s="425"/>
      <c r="B297" s="426"/>
      <c r="C297" s="427"/>
      <c r="D297" s="428"/>
      <c r="E297" s="429"/>
      <c r="F297" s="430"/>
      <c r="G297" s="431"/>
      <c r="H297" s="432"/>
      <c r="I297" s="431"/>
      <c r="J297" s="432"/>
      <c r="K297" s="431"/>
      <c r="L297" s="432"/>
      <c r="M297" s="430"/>
      <c r="N297" s="430"/>
      <c r="O297" s="430"/>
      <c r="P297" s="430"/>
      <c r="Q297" s="430"/>
      <c r="R297" s="430"/>
      <c r="S297" s="430"/>
    </row>
  </sheetData>
  <autoFilter ref="A1:S297" xr:uid="{00000000-0009-0000-0000-00000F000000}"/>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xr:uid="{00000000-0002-0000-0F00-000000000000}">
          <x14:formula1>
            <xm:f>Totals!$B$14:$B$20</xm:f>
          </x14:formula1>
          <xm:sqref>Q2:Q297</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C370"/>
  <sheetViews>
    <sheetView workbookViewId="0"/>
  </sheetViews>
  <sheetFormatPr baseColWidth="10" defaultColWidth="14.5" defaultRowHeight="15" customHeight="1"/>
  <cols>
    <col min="1" max="1" width="50" customWidth="1"/>
  </cols>
  <sheetData>
    <row r="1" spans="1:3">
      <c r="A1" s="433" t="s">
        <v>420</v>
      </c>
      <c r="B1" s="433" t="s">
        <v>424</v>
      </c>
      <c r="C1" s="433" t="s">
        <v>39</v>
      </c>
    </row>
    <row r="2" spans="1:3">
      <c r="A2" s="434" t="s">
        <v>266</v>
      </c>
      <c r="B2" s="435">
        <v>4.25</v>
      </c>
      <c r="C2" s="434" t="s">
        <v>4</v>
      </c>
    </row>
    <row r="3" spans="1:3">
      <c r="A3" s="434" t="s">
        <v>194</v>
      </c>
      <c r="B3" s="435">
        <v>3.88</v>
      </c>
      <c r="C3" s="434" t="s">
        <v>4</v>
      </c>
    </row>
    <row r="4" spans="1:3">
      <c r="A4" s="434" t="s">
        <v>151</v>
      </c>
      <c r="B4" s="435">
        <v>4</v>
      </c>
      <c r="C4" s="434" t="s">
        <v>4</v>
      </c>
    </row>
    <row r="5" spans="1:3">
      <c r="A5" s="434" t="s">
        <v>262</v>
      </c>
      <c r="B5" s="435">
        <v>4</v>
      </c>
      <c r="C5" s="434" t="s">
        <v>4</v>
      </c>
    </row>
    <row r="6" spans="1:3">
      <c r="A6" s="434" t="s">
        <v>252</v>
      </c>
      <c r="B6" s="435">
        <v>4</v>
      </c>
      <c r="C6" s="434" t="s">
        <v>4</v>
      </c>
    </row>
    <row r="7" spans="1:3">
      <c r="A7" s="434" t="s">
        <v>118</v>
      </c>
      <c r="B7" s="435">
        <v>3.75</v>
      </c>
      <c r="C7" s="434" t="s">
        <v>5</v>
      </c>
    </row>
    <row r="8" spans="1:3">
      <c r="A8" s="434" t="s">
        <v>257</v>
      </c>
      <c r="B8" s="435">
        <v>4.25</v>
      </c>
      <c r="C8" s="434" t="s">
        <v>4</v>
      </c>
    </row>
    <row r="9" spans="1:3">
      <c r="A9" s="434" t="s">
        <v>285</v>
      </c>
      <c r="B9" s="435">
        <v>5</v>
      </c>
      <c r="C9" s="434" t="s">
        <v>3</v>
      </c>
    </row>
    <row r="10" spans="1:3">
      <c r="A10" s="434" t="s">
        <v>287</v>
      </c>
      <c r="B10" s="435">
        <v>5</v>
      </c>
      <c r="C10" s="434" t="s">
        <v>3</v>
      </c>
    </row>
    <row r="11" spans="1:3">
      <c r="A11" s="434" t="s">
        <v>331</v>
      </c>
      <c r="B11" s="435">
        <v>5</v>
      </c>
      <c r="C11" s="434" t="s">
        <v>3</v>
      </c>
    </row>
    <row r="12" spans="1:3">
      <c r="A12" s="434" t="s">
        <v>326</v>
      </c>
      <c r="B12" s="435">
        <v>4</v>
      </c>
      <c r="C12" s="434" t="s">
        <v>3</v>
      </c>
    </row>
    <row r="13" spans="1:3">
      <c r="A13" s="434" t="s">
        <v>149</v>
      </c>
      <c r="B13" s="435">
        <v>4.5</v>
      </c>
      <c r="C13" s="434" t="s">
        <v>4</v>
      </c>
    </row>
    <row r="14" spans="1:3">
      <c r="A14" s="434" t="s">
        <v>154</v>
      </c>
      <c r="B14" s="435">
        <v>4</v>
      </c>
      <c r="C14" s="434" t="s">
        <v>4</v>
      </c>
    </row>
    <row r="15" spans="1:3">
      <c r="A15" s="434" t="s">
        <v>81</v>
      </c>
      <c r="B15" s="435">
        <v>3.75</v>
      </c>
      <c r="C15" s="434" t="s">
        <v>5</v>
      </c>
    </row>
    <row r="16" spans="1:3">
      <c r="A16" s="434" t="s">
        <v>125</v>
      </c>
      <c r="B16" s="435">
        <v>4.25</v>
      </c>
      <c r="C16" s="434" t="s">
        <v>5</v>
      </c>
    </row>
    <row r="17" spans="1:3">
      <c r="A17" s="434" t="s">
        <v>323</v>
      </c>
      <c r="B17" s="435">
        <v>4.38</v>
      </c>
      <c r="C17" s="434" t="s">
        <v>3</v>
      </c>
    </row>
    <row r="18" spans="1:3">
      <c r="A18" s="434" t="s">
        <v>172</v>
      </c>
      <c r="B18" s="435">
        <v>4.5</v>
      </c>
      <c r="C18" s="434" t="s">
        <v>4</v>
      </c>
    </row>
    <row r="19" spans="1:3">
      <c r="A19" s="434" t="s">
        <v>284</v>
      </c>
      <c r="B19" s="435">
        <v>4</v>
      </c>
      <c r="C19" s="434" t="s">
        <v>3</v>
      </c>
    </row>
    <row r="20" spans="1:3">
      <c r="A20" s="434" t="s">
        <v>101</v>
      </c>
      <c r="B20" s="435">
        <v>4.25</v>
      </c>
      <c r="C20" s="434" t="s">
        <v>5</v>
      </c>
    </row>
    <row r="21" spans="1:3">
      <c r="A21" s="434" t="s">
        <v>313</v>
      </c>
      <c r="B21" s="435">
        <v>4.75</v>
      </c>
      <c r="C21" s="434" t="s">
        <v>3</v>
      </c>
    </row>
    <row r="22" spans="1:3">
      <c r="A22" s="434" t="s">
        <v>693</v>
      </c>
      <c r="B22" s="435">
        <v>4</v>
      </c>
      <c r="C22" s="434" t="s">
        <v>5</v>
      </c>
    </row>
    <row r="23" spans="1:3">
      <c r="A23" s="434" t="s">
        <v>368</v>
      </c>
      <c r="B23" s="435">
        <v>5</v>
      </c>
      <c r="C23" s="434" t="s">
        <v>3</v>
      </c>
    </row>
    <row r="24" spans="1:3">
      <c r="A24" s="434" t="s">
        <v>1644</v>
      </c>
      <c r="B24" s="435">
        <v>4.25</v>
      </c>
      <c r="C24" s="434" t="s">
        <v>3</v>
      </c>
    </row>
    <row r="25" spans="1:3">
      <c r="A25" s="434" t="s">
        <v>62</v>
      </c>
      <c r="B25" s="435">
        <v>4.25</v>
      </c>
      <c r="C25" s="434" t="s">
        <v>5</v>
      </c>
    </row>
    <row r="26" spans="1:3">
      <c r="A26" s="434" t="s">
        <v>98</v>
      </c>
      <c r="B26" s="435">
        <v>4.75</v>
      </c>
      <c r="C26" s="434" t="s">
        <v>5</v>
      </c>
    </row>
    <row r="27" spans="1:3">
      <c r="A27" s="434" t="s">
        <v>275</v>
      </c>
      <c r="B27" s="435">
        <v>4.25</v>
      </c>
      <c r="C27" s="434" t="s">
        <v>4</v>
      </c>
    </row>
    <row r="28" spans="1:3">
      <c r="A28" s="434" t="s">
        <v>281</v>
      </c>
      <c r="B28" s="435">
        <v>3.75</v>
      </c>
      <c r="C28" s="434" t="s">
        <v>4</v>
      </c>
    </row>
    <row r="29" spans="1:3">
      <c r="A29" s="434" t="s">
        <v>224</v>
      </c>
      <c r="B29" s="435">
        <v>4.5</v>
      </c>
      <c r="C29" s="434" t="s">
        <v>4</v>
      </c>
    </row>
    <row r="30" spans="1:3">
      <c r="A30" s="434" t="s">
        <v>212</v>
      </c>
      <c r="B30" s="435">
        <v>4</v>
      </c>
      <c r="C30" s="434" t="s">
        <v>4</v>
      </c>
    </row>
    <row r="31" spans="1:3">
      <c r="A31" s="434" t="s">
        <v>268</v>
      </c>
      <c r="B31" s="435">
        <v>4.25</v>
      </c>
      <c r="C31" s="434" t="s">
        <v>4</v>
      </c>
    </row>
    <row r="32" spans="1:3">
      <c r="A32" s="434" t="s">
        <v>327</v>
      </c>
      <c r="B32" s="435">
        <v>5</v>
      </c>
      <c r="C32" s="434" t="s">
        <v>3</v>
      </c>
    </row>
    <row r="33" spans="1:3">
      <c r="A33" s="434" t="s">
        <v>129</v>
      </c>
      <c r="B33" s="435">
        <v>4</v>
      </c>
      <c r="C33" s="434" t="s">
        <v>5</v>
      </c>
    </row>
    <row r="34" spans="1:3">
      <c r="A34" s="434" t="s">
        <v>173</v>
      </c>
      <c r="B34" s="435">
        <v>4.25</v>
      </c>
      <c r="C34" s="434" t="s">
        <v>4</v>
      </c>
    </row>
    <row r="35" spans="1:3">
      <c r="A35" s="434" t="s">
        <v>200</v>
      </c>
      <c r="B35" s="435">
        <v>4.25</v>
      </c>
      <c r="C35" s="434" t="s">
        <v>4</v>
      </c>
    </row>
    <row r="36" spans="1:3">
      <c r="A36" s="434" t="s">
        <v>227</v>
      </c>
      <c r="B36" s="435">
        <v>3.5</v>
      </c>
      <c r="C36" s="434" t="s">
        <v>4</v>
      </c>
    </row>
    <row r="37" spans="1:3">
      <c r="A37" s="434" t="s">
        <v>92</v>
      </c>
      <c r="B37" s="435">
        <v>5</v>
      </c>
      <c r="C37" s="434" t="s">
        <v>5</v>
      </c>
    </row>
    <row r="38" spans="1:3">
      <c r="A38" s="434" t="s">
        <v>250</v>
      </c>
      <c r="B38" s="435">
        <v>3.75</v>
      </c>
      <c r="C38" s="434" t="s">
        <v>4</v>
      </c>
    </row>
    <row r="39" spans="1:3">
      <c r="A39" s="434" t="s">
        <v>65</v>
      </c>
      <c r="B39" s="435">
        <v>4.25</v>
      </c>
      <c r="C39" s="434" t="s">
        <v>5</v>
      </c>
    </row>
    <row r="40" spans="1:3">
      <c r="A40" s="434" t="s">
        <v>128</v>
      </c>
      <c r="B40" s="435">
        <v>5</v>
      </c>
      <c r="C40" s="434" t="s">
        <v>5</v>
      </c>
    </row>
    <row r="41" spans="1:3">
      <c r="A41" s="434" t="s">
        <v>416</v>
      </c>
      <c r="B41" s="435">
        <v>4.5</v>
      </c>
      <c r="C41" s="434" t="s">
        <v>4</v>
      </c>
    </row>
    <row r="42" spans="1:3">
      <c r="A42" s="434" t="s">
        <v>153</v>
      </c>
      <c r="B42" s="435">
        <v>3.63</v>
      </c>
      <c r="C42" s="434" t="s">
        <v>4</v>
      </c>
    </row>
    <row r="43" spans="1:3">
      <c r="A43" s="434" t="s">
        <v>298</v>
      </c>
      <c r="B43" s="435">
        <v>5</v>
      </c>
      <c r="C43" s="434" t="s">
        <v>3</v>
      </c>
    </row>
    <row r="44" spans="1:3">
      <c r="A44" s="434" t="s">
        <v>120</v>
      </c>
      <c r="B44" s="435">
        <v>3.75</v>
      </c>
      <c r="C44" s="434" t="s">
        <v>5</v>
      </c>
    </row>
    <row r="45" spans="1:3">
      <c r="A45" s="434" t="s">
        <v>181</v>
      </c>
      <c r="B45" s="435">
        <v>4</v>
      </c>
      <c r="C45" s="434" t="s">
        <v>4</v>
      </c>
    </row>
    <row r="46" spans="1:3">
      <c r="A46" s="434" t="s">
        <v>316</v>
      </c>
      <c r="B46" s="435">
        <v>4.5</v>
      </c>
      <c r="C46" s="434" t="s">
        <v>3</v>
      </c>
    </row>
    <row r="47" spans="1:3">
      <c r="A47" s="434" t="s">
        <v>315</v>
      </c>
      <c r="B47" s="435">
        <v>4</v>
      </c>
      <c r="C47" s="434" t="s">
        <v>3</v>
      </c>
    </row>
    <row r="48" spans="1:3">
      <c r="A48" s="434" t="s">
        <v>231</v>
      </c>
      <c r="B48" s="435">
        <v>5</v>
      </c>
      <c r="C48" s="434" t="s">
        <v>4</v>
      </c>
    </row>
    <row r="49" spans="1:3">
      <c r="A49" s="434" t="s">
        <v>68</v>
      </c>
      <c r="B49" s="435">
        <v>4</v>
      </c>
      <c r="C49" s="434" t="s">
        <v>5</v>
      </c>
    </row>
    <row r="50" spans="1:3">
      <c r="A50" s="434" t="s">
        <v>360</v>
      </c>
      <c r="B50" s="435">
        <v>5</v>
      </c>
      <c r="C50" s="434" t="s">
        <v>3</v>
      </c>
    </row>
    <row r="51" spans="1:3">
      <c r="A51" s="434" t="s">
        <v>301</v>
      </c>
      <c r="B51" s="435">
        <v>5</v>
      </c>
      <c r="C51" s="434" t="s">
        <v>3</v>
      </c>
    </row>
    <row r="52" spans="1:3">
      <c r="A52" s="434" t="s">
        <v>320</v>
      </c>
      <c r="B52" s="435">
        <v>4.25</v>
      </c>
      <c r="C52" s="434" t="s">
        <v>3</v>
      </c>
    </row>
    <row r="53" spans="1:3">
      <c r="A53" s="434" t="s">
        <v>269</v>
      </c>
      <c r="B53" s="435">
        <v>4.25</v>
      </c>
      <c r="C53" s="434" t="s">
        <v>4</v>
      </c>
    </row>
    <row r="54" spans="1:3">
      <c r="A54" s="434" t="s">
        <v>113</v>
      </c>
      <c r="B54" s="435">
        <v>4</v>
      </c>
      <c r="C54" s="434" t="s">
        <v>5</v>
      </c>
    </row>
    <row r="55" spans="1:3">
      <c r="A55" s="434" t="s">
        <v>314</v>
      </c>
      <c r="B55" s="435">
        <v>5</v>
      </c>
      <c r="C55" s="434" t="s">
        <v>3</v>
      </c>
    </row>
    <row r="56" spans="1:3">
      <c r="A56" s="434" t="s">
        <v>358</v>
      </c>
      <c r="B56" s="435">
        <v>4.25</v>
      </c>
      <c r="C56" s="434" t="s">
        <v>3</v>
      </c>
    </row>
    <row r="57" spans="1:3">
      <c r="A57" s="434" t="s">
        <v>100</v>
      </c>
      <c r="B57" s="435">
        <v>3.5</v>
      </c>
      <c r="C57" s="434" t="s">
        <v>5</v>
      </c>
    </row>
    <row r="58" spans="1:3">
      <c r="A58" s="434" t="s">
        <v>300</v>
      </c>
      <c r="B58" s="435">
        <v>4.75</v>
      </c>
      <c r="C58" s="434" t="s">
        <v>3</v>
      </c>
    </row>
    <row r="59" spans="1:3">
      <c r="A59" s="434" t="s">
        <v>635</v>
      </c>
      <c r="B59" s="435">
        <v>3.75</v>
      </c>
      <c r="C59" s="434" t="s">
        <v>5</v>
      </c>
    </row>
    <row r="60" spans="1:3">
      <c r="A60" s="434" t="s">
        <v>237</v>
      </c>
      <c r="B60" s="435">
        <v>4.75</v>
      </c>
      <c r="C60" s="434" t="s">
        <v>4</v>
      </c>
    </row>
    <row r="61" spans="1:3">
      <c r="A61" s="434" t="s">
        <v>127</v>
      </c>
      <c r="B61" s="435">
        <v>4</v>
      </c>
      <c r="C61" s="434" t="s">
        <v>5</v>
      </c>
    </row>
    <row r="62" spans="1:3">
      <c r="A62" s="434" t="s">
        <v>344</v>
      </c>
      <c r="B62" s="435">
        <v>4.5</v>
      </c>
      <c r="C62" s="434" t="s">
        <v>3</v>
      </c>
    </row>
    <row r="63" spans="1:3">
      <c r="A63" s="434" t="s">
        <v>329</v>
      </c>
      <c r="B63" s="435">
        <v>4.5</v>
      </c>
      <c r="C63" s="434" t="s">
        <v>3</v>
      </c>
    </row>
    <row r="64" spans="1:3">
      <c r="A64" s="434" t="s">
        <v>119</v>
      </c>
      <c r="B64" s="435">
        <v>4.25</v>
      </c>
      <c r="C64" s="434" t="s">
        <v>5</v>
      </c>
    </row>
    <row r="65" spans="1:3">
      <c r="A65" s="434" t="s">
        <v>328</v>
      </c>
      <c r="B65" s="435">
        <v>4.5</v>
      </c>
      <c r="C65" s="434" t="s">
        <v>3</v>
      </c>
    </row>
    <row r="66" spans="1:3">
      <c r="A66" s="434" t="s">
        <v>82</v>
      </c>
      <c r="B66" s="435">
        <v>4.5</v>
      </c>
      <c r="C66" s="434" t="s">
        <v>5</v>
      </c>
    </row>
    <row r="67" spans="1:3">
      <c r="A67" s="434" t="s">
        <v>261</v>
      </c>
      <c r="B67" s="435">
        <v>4.25</v>
      </c>
      <c r="C67" s="434" t="s">
        <v>4</v>
      </c>
    </row>
    <row r="68" spans="1:3">
      <c r="A68" s="434" t="s">
        <v>195</v>
      </c>
      <c r="B68" s="435">
        <v>3.88</v>
      </c>
      <c r="C68" s="434" t="s">
        <v>4</v>
      </c>
    </row>
    <row r="69" spans="1:3">
      <c r="A69" s="434" t="s">
        <v>356</v>
      </c>
      <c r="B69" s="435">
        <v>4.25</v>
      </c>
      <c r="C69" s="434" t="s">
        <v>3</v>
      </c>
    </row>
    <row r="70" spans="1:3">
      <c r="A70" s="434" t="s">
        <v>88</v>
      </c>
      <c r="B70" s="435">
        <v>4</v>
      </c>
      <c r="C70" s="434" t="s">
        <v>5</v>
      </c>
    </row>
    <row r="71" spans="1:3">
      <c r="A71" s="434" t="s">
        <v>293</v>
      </c>
      <c r="B71" s="435">
        <v>3.63</v>
      </c>
      <c r="C71" s="434" t="s">
        <v>4</v>
      </c>
    </row>
    <row r="72" spans="1:3">
      <c r="A72" s="434" t="s">
        <v>303</v>
      </c>
      <c r="B72" s="435">
        <v>4.25</v>
      </c>
      <c r="C72" s="434" t="s">
        <v>3</v>
      </c>
    </row>
    <row r="73" spans="1:3">
      <c r="A73" s="434" t="s">
        <v>363</v>
      </c>
      <c r="B73" s="435">
        <v>4.5</v>
      </c>
      <c r="C73" s="434" t="s">
        <v>3</v>
      </c>
    </row>
    <row r="74" spans="1:3">
      <c r="A74" s="434" t="s">
        <v>267</v>
      </c>
      <c r="B74" s="435">
        <v>3.75</v>
      </c>
      <c r="C74" s="434" t="s">
        <v>4</v>
      </c>
    </row>
    <row r="75" spans="1:3">
      <c r="A75" s="434" t="s">
        <v>233</v>
      </c>
      <c r="B75" s="435">
        <v>4.25</v>
      </c>
      <c r="C75" s="434" t="s">
        <v>4</v>
      </c>
    </row>
    <row r="76" spans="1:3">
      <c r="A76" s="434" t="s">
        <v>103</v>
      </c>
      <c r="B76" s="435">
        <v>3.75</v>
      </c>
      <c r="C76" s="434" t="s">
        <v>5</v>
      </c>
    </row>
    <row r="77" spans="1:3">
      <c r="A77" s="434" t="s">
        <v>167</v>
      </c>
      <c r="B77" s="435">
        <v>4.5</v>
      </c>
      <c r="C77" s="434" t="s">
        <v>4</v>
      </c>
    </row>
    <row r="78" spans="1:3">
      <c r="A78" s="434" t="s">
        <v>148</v>
      </c>
      <c r="B78" s="435">
        <v>4.75</v>
      </c>
      <c r="C78" s="434" t="s">
        <v>4</v>
      </c>
    </row>
    <row r="79" spans="1:3">
      <c r="A79" s="434" t="s">
        <v>115</v>
      </c>
      <c r="B79" s="435">
        <v>4.5</v>
      </c>
      <c r="C79" s="434" t="s">
        <v>5</v>
      </c>
    </row>
    <row r="80" spans="1:3">
      <c r="A80" s="434" t="s">
        <v>77</v>
      </c>
      <c r="B80" s="435">
        <v>4</v>
      </c>
      <c r="C80" s="434" t="s">
        <v>5</v>
      </c>
    </row>
    <row r="81" spans="1:3">
      <c r="A81" s="434" t="s">
        <v>272</v>
      </c>
      <c r="B81" s="435">
        <v>4</v>
      </c>
      <c r="C81" s="434" t="s">
        <v>4</v>
      </c>
    </row>
    <row r="82" spans="1:3">
      <c r="A82" s="434" t="s">
        <v>122</v>
      </c>
      <c r="B82" s="435">
        <v>4.25</v>
      </c>
      <c r="C82" s="434" t="s">
        <v>5</v>
      </c>
    </row>
    <row r="83" spans="1:3">
      <c r="A83" s="434" t="s">
        <v>256</v>
      </c>
      <c r="B83" s="435">
        <v>5</v>
      </c>
      <c r="C83" s="434" t="s">
        <v>4</v>
      </c>
    </row>
    <row r="84" spans="1:3">
      <c r="A84" s="434" t="s">
        <v>361</v>
      </c>
      <c r="B84" s="435">
        <v>4.75</v>
      </c>
      <c r="C84" s="434" t="s">
        <v>3</v>
      </c>
    </row>
    <row r="85" spans="1:3">
      <c r="A85" s="434" t="s">
        <v>78</v>
      </c>
      <c r="B85" s="435">
        <v>4.75</v>
      </c>
      <c r="C85" s="434" t="s">
        <v>5</v>
      </c>
    </row>
    <row r="86" spans="1:3">
      <c r="A86" s="434" t="s">
        <v>277</v>
      </c>
      <c r="B86" s="435">
        <v>4.75</v>
      </c>
      <c r="C86" s="434" t="s">
        <v>3</v>
      </c>
    </row>
    <row r="87" spans="1:3">
      <c r="A87" s="434" t="s">
        <v>218</v>
      </c>
      <c r="B87" s="435">
        <v>4</v>
      </c>
      <c r="C87" s="434" t="s">
        <v>4</v>
      </c>
    </row>
    <row r="88" spans="1:3">
      <c r="A88" s="434" t="s">
        <v>116</v>
      </c>
      <c r="B88" s="435">
        <v>4</v>
      </c>
      <c r="C88" s="434" t="s">
        <v>4</v>
      </c>
    </row>
    <row r="89" spans="1:3">
      <c r="A89" s="434" t="s">
        <v>197</v>
      </c>
      <c r="B89" s="435">
        <v>4.13</v>
      </c>
      <c r="C89" s="434" t="s">
        <v>4</v>
      </c>
    </row>
    <row r="90" spans="1:3">
      <c r="A90" s="434" t="s">
        <v>295</v>
      </c>
      <c r="B90" s="435">
        <v>3.63</v>
      </c>
      <c r="C90" s="434" t="s">
        <v>4</v>
      </c>
    </row>
    <row r="91" spans="1:3">
      <c r="A91" s="434" t="s">
        <v>157</v>
      </c>
      <c r="B91" s="435">
        <v>4</v>
      </c>
      <c r="C91" s="434" t="s">
        <v>4</v>
      </c>
    </row>
    <row r="92" spans="1:3">
      <c r="A92" s="434" t="s">
        <v>191</v>
      </c>
      <c r="B92" s="435">
        <v>4</v>
      </c>
      <c r="C92" s="434" t="s">
        <v>4</v>
      </c>
    </row>
    <row r="93" spans="1:3">
      <c r="A93" s="434" t="s">
        <v>199</v>
      </c>
      <c r="B93" s="435">
        <v>3.75</v>
      </c>
      <c r="C93" s="434" t="s">
        <v>4</v>
      </c>
    </row>
    <row r="94" spans="1:3">
      <c r="A94" s="434" t="s">
        <v>337</v>
      </c>
      <c r="B94" s="435">
        <v>4.25</v>
      </c>
      <c r="C94" s="434" t="s">
        <v>3</v>
      </c>
    </row>
    <row r="95" spans="1:3">
      <c r="A95" s="434" t="s">
        <v>345</v>
      </c>
      <c r="B95" s="435">
        <v>4.75</v>
      </c>
      <c r="C95" s="434" t="s">
        <v>3</v>
      </c>
    </row>
    <row r="96" spans="1:3">
      <c r="A96" s="434" t="s">
        <v>338</v>
      </c>
      <c r="B96" s="435">
        <v>5</v>
      </c>
      <c r="C96" s="434" t="s">
        <v>3</v>
      </c>
    </row>
    <row r="97" spans="1:3">
      <c r="A97" s="434" t="s">
        <v>193</v>
      </c>
      <c r="B97" s="435">
        <v>4.5</v>
      </c>
      <c r="C97" s="434" t="s">
        <v>4</v>
      </c>
    </row>
    <row r="98" spans="1:3">
      <c r="A98" s="434" t="s">
        <v>282</v>
      </c>
      <c r="B98" s="435">
        <v>4.25</v>
      </c>
      <c r="C98" s="434" t="s">
        <v>3</v>
      </c>
    </row>
    <row r="99" spans="1:3">
      <c r="A99" s="434" t="s">
        <v>179</v>
      </c>
      <c r="B99" s="435">
        <v>4.75</v>
      </c>
      <c r="C99" s="434" t="s">
        <v>4</v>
      </c>
    </row>
    <row r="100" spans="1:3">
      <c r="A100" s="434" t="s">
        <v>152</v>
      </c>
      <c r="B100" s="435">
        <v>4.25</v>
      </c>
      <c r="C100" s="434" t="s">
        <v>4</v>
      </c>
    </row>
    <row r="101" spans="1:3">
      <c r="A101" s="434" t="s">
        <v>319</v>
      </c>
      <c r="B101" s="435">
        <v>4</v>
      </c>
      <c r="C101" s="434" t="s">
        <v>3</v>
      </c>
    </row>
    <row r="102" spans="1:3">
      <c r="A102" s="434" t="s">
        <v>339</v>
      </c>
      <c r="B102" s="435">
        <v>4.25</v>
      </c>
      <c r="C102" s="434" t="s">
        <v>3</v>
      </c>
    </row>
    <row r="103" spans="1:3">
      <c r="A103" s="434" t="s">
        <v>133</v>
      </c>
      <c r="B103" s="435">
        <v>4.75</v>
      </c>
      <c r="C103" s="434" t="s">
        <v>5</v>
      </c>
    </row>
    <row r="104" spans="1:3">
      <c r="A104" s="434" t="s">
        <v>176</v>
      </c>
      <c r="B104" s="435">
        <v>4</v>
      </c>
      <c r="C104" s="434" t="s">
        <v>4</v>
      </c>
    </row>
    <row r="105" spans="1:3">
      <c r="A105" s="434" t="s">
        <v>246</v>
      </c>
      <c r="B105" s="435">
        <v>4</v>
      </c>
      <c r="C105" s="434" t="s">
        <v>4</v>
      </c>
    </row>
    <row r="106" spans="1:3">
      <c r="A106" s="434" t="s">
        <v>145</v>
      </c>
      <c r="B106" s="435">
        <v>4.75</v>
      </c>
      <c r="C106" s="434" t="s">
        <v>4</v>
      </c>
    </row>
    <row r="107" spans="1:3">
      <c r="A107" s="434" t="s">
        <v>325</v>
      </c>
      <c r="B107" s="435">
        <v>4.5</v>
      </c>
      <c r="C107" s="434" t="s">
        <v>3</v>
      </c>
    </row>
    <row r="108" spans="1:3">
      <c r="A108" s="434" t="s">
        <v>202</v>
      </c>
      <c r="B108" s="435">
        <v>4.5</v>
      </c>
      <c r="C108" s="434" t="s">
        <v>4</v>
      </c>
    </row>
    <row r="109" spans="1:3">
      <c r="A109" s="434" t="s">
        <v>219</v>
      </c>
      <c r="B109" s="435">
        <v>4.5</v>
      </c>
      <c r="C109" s="434" t="s">
        <v>4</v>
      </c>
    </row>
    <row r="110" spans="1:3">
      <c r="A110" s="434" t="s">
        <v>86</v>
      </c>
      <c r="B110" s="435">
        <v>4</v>
      </c>
      <c r="C110" s="434" t="s">
        <v>5</v>
      </c>
    </row>
    <row r="111" spans="1:3">
      <c r="A111" s="434" t="s">
        <v>322</v>
      </c>
      <c r="B111" s="435">
        <v>3.75</v>
      </c>
      <c r="C111" s="434" t="s">
        <v>3</v>
      </c>
    </row>
    <row r="112" spans="1:3">
      <c r="A112" s="434" t="s">
        <v>286</v>
      </c>
      <c r="B112" s="435">
        <v>4.5</v>
      </c>
      <c r="C112" s="434" t="s">
        <v>3</v>
      </c>
    </row>
    <row r="113" spans="1:3">
      <c r="A113" s="434" t="s">
        <v>84</v>
      </c>
      <c r="B113" s="435">
        <v>4.5</v>
      </c>
      <c r="C113" s="434" t="s">
        <v>5</v>
      </c>
    </row>
    <row r="114" spans="1:3">
      <c r="A114" s="434" t="s">
        <v>324</v>
      </c>
      <c r="B114" s="435">
        <v>4.25</v>
      </c>
      <c r="C114" s="434" t="s">
        <v>3</v>
      </c>
    </row>
    <row r="115" spans="1:3">
      <c r="A115" s="434" t="s">
        <v>117</v>
      </c>
      <c r="B115" s="435">
        <v>3.25</v>
      </c>
      <c r="C115" s="434" t="s">
        <v>5</v>
      </c>
    </row>
    <row r="116" spans="1:3">
      <c r="A116" s="434" t="s">
        <v>321</v>
      </c>
      <c r="B116" s="435">
        <v>4.63</v>
      </c>
      <c r="C116" s="434" t="s">
        <v>3</v>
      </c>
    </row>
    <row r="117" spans="1:3">
      <c r="A117" s="434" t="s">
        <v>185</v>
      </c>
      <c r="B117" s="435">
        <v>3.75</v>
      </c>
      <c r="C117" s="434" t="s">
        <v>4</v>
      </c>
    </row>
    <row r="118" spans="1:3">
      <c r="A118" s="434" t="s">
        <v>76</v>
      </c>
      <c r="B118" s="435">
        <v>3.5</v>
      </c>
      <c r="C118" s="434" t="s">
        <v>5</v>
      </c>
    </row>
    <row r="119" spans="1:3">
      <c r="A119" s="434" t="s">
        <v>369</v>
      </c>
      <c r="B119" s="435">
        <v>4.75</v>
      </c>
      <c r="C119" s="434" t="s">
        <v>3</v>
      </c>
    </row>
    <row r="120" spans="1:3">
      <c r="A120" s="434" t="s">
        <v>94</v>
      </c>
      <c r="B120" s="435">
        <v>4.5</v>
      </c>
      <c r="C120" s="434" t="s">
        <v>5</v>
      </c>
    </row>
    <row r="121" spans="1:3">
      <c r="A121" s="434" t="s">
        <v>270</v>
      </c>
      <c r="B121" s="435">
        <v>4</v>
      </c>
      <c r="C121" s="434" t="s">
        <v>4</v>
      </c>
    </row>
    <row r="122" spans="1:3">
      <c r="A122" s="434" t="s">
        <v>109</v>
      </c>
      <c r="B122" s="435">
        <v>4</v>
      </c>
      <c r="C122" s="434" t="s">
        <v>5</v>
      </c>
    </row>
    <row r="123" spans="1:3">
      <c r="A123" s="434" t="s">
        <v>310</v>
      </c>
      <c r="B123" s="435">
        <v>4.5</v>
      </c>
      <c r="C123" s="434" t="s">
        <v>3</v>
      </c>
    </row>
    <row r="124" spans="1:3">
      <c r="A124" s="434" t="s">
        <v>206</v>
      </c>
      <c r="B124" s="435">
        <v>4.25</v>
      </c>
      <c r="C124" s="434" t="s">
        <v>4</v>
      </c>
    </row>
    <row r="125" spans="1:3">
      <c r="A125" s="434" t="s">
        <v>292</v>
      </c>
      <c r="B125" s="435">
        <v>3.63</v>
      </c>
      <c r="C125" s="434" t="s">
        <v>4</v>
      </c>
    </row>
    <row r="126" spans="1:3">
      <c r="A126" s="434" t="s">
        <v>335</v>
      </c>
      <c r="B126" s="435">
        <v>4.5</v>
      </c>
      <c r="C126" s="434" t="s">
        <v>3</v>
      </c>
    </row>
    <row r="127" spans="1:3">
      <c r="A127" s="434" t="s">
        <v>184</v>
      </c>
      <c r="B127" s="435">
        <v>4.25</v>
      </c>
      <c r="C127" s="434" t="s">
        <v>4</v>
      </c>
    </row>
    <row r="128" spans="1:3">
      <c r="A128" s="434" t="s">
        <v>296</v>
      </c>
      <c r="B128" s="435">
        <v>4</v>
      </c>
      <c r="C128" s="434" t="s">
        <v>3</v>
      </c>
    </row>
    <row r="129" spans="1:3">
      <c r="A129" s="434" t="s">
        <v>161</v>
      </c>
      <c r="B129" s="435">
        <v>4.25</v>
      </c>
      <c r="C129" s="434" t="s">
        <v>4</v>
      </c>
    </row>
    <row r="130" spans="1:3">
      <c r="A130" s="434" t="s">
        <v>160</v>
      </c>
      <c r="B130" s="435">
        <v>4.25</v>
      </c>
      <c r="C130" s="434" t="s">
        <v>4</v>
      </c>
    </row>
    <row r="131" spans="1:3">
      <c r="A131" s="434" t="s">
        <v>340</v>
      </c>
      <c r="B131" s="435">
        <v>4</v>
      </c>
      <c r="C131" s="434" t="s">
        <v>3</v>
      </c>
    </row>
    <row r="132" spans="1:3">
      <c r="A132" s="434" t="s">
        <v>72</v>
      </c>
      <c r="B132" s="435">
        <v>4.75</v>
      </c>
      <c r="C132" s="434" t="s">
        <v>5</v>
      </c>
    </row>
    <row r="133" spans="1:3">
      <c r="A133" s="434" t="s">
        <v>346</v>
      </c>
      <c r="B133" s="435">
        <v>4.25</v>
      </c>
      <c r="C133" s="434" t="s">
        <v>3</v>
      </c>
    </row>
    <row r="134" spans="1:3">
      <c r="A134" s="434" t="s">
        <v>187</v>
      </c>
      <c r="B134" s="435">
        <v>4.25</v>
      </c>
      <c r="C134" s="434" t="s">
        <v>4</v>
      </c>
    </row>
    <row r="135" spans="1:3">
      <c r="A135" s="434" t="s">
        <v>93</v>
      </c>
      <c r="B135" s="435">
        <v>4</v>
      </c>
      <c r="C135" s="434" t="s">
        <v>5</v>
      </c>
    </row>
    <row r="136" spans="1:3">
      <c r="A136" s="434" t="s">
        <v>347</v>
      </c>
      <c r="B136" s="435">
        <v>4</v>
      </c>
      <c r="C136" s="434" t="s">
        <v>3</v>
      </c>
    </row>
    <row r="137" spans="1:3">
      <c r="A137" s="434" t="s">
        <v>362</v>
      </c>
      <c r="B137" s="435">
        <v>4</v>
      </c>
      <c r="C137" s="434" t="s">
        <v>3</v>
      </c>
    </row>
    <row r="138" spans="1:3">
      <c r="A138" s="434" t="s">
        <v>294</v>
      </c>
      <c r="B138" s="435">
        <v>4.5</v>
      </c>
      <c r="C138" s="434" t="s">
        <v>3</v>
      </c>
    </row>
    <row r="139" spans="1:3">
      <c r="A139" s="434" t="s">
        <v>61</v>
      </c>
      <c r="B139" s="435">
        <v>4</v>
      </c>
      <c r="C139" s="434" t="s">
        <v>5</v>
      </c>
    </row>
    <row r="140" spans="1:3">
      <c r="A140" s="434" t="s">
        <v>348</v>
      </c>
      <c r="B140" s="435">
        <v>4.75</v>
      </c>
      <c r="C140" s="434" t="s">
        <v>3</v>
      </c>
    </row>
    <row r="141" spans="1:3">
      <c r="A141" s="434" t="s">
        <v>279</v>
      </c>
      <c r="B141" s="435">
        <v>3.75</v>
      </c>
      <c r="C141" s="434" t="s">
        <v>4</v>
      </c>
    </row>
    <row r="142" spans="1:3">
      <c r="A142" s="434" t="s">
        <v>112</v>
      </c>
      <c r="B142" s="435">
        <v>4</v>
      </c>
      <c r="C142" s="434" t="s">
        <v>5</v>
      </c>
    </row>
    <row r="143" spans="1:3">
      <c r="A143" s="434" t="s">
        <v>245</v>
      </c>
      <c r="B143" s="435">
        <v>4</v>
      </c>
      <c r="C143" s="434" t="s">
        <v>4</v>
      </c>
    </row>
    <row r="144" spans="1:3">
      <c r="A144" s="434" t="s">
        <v>343</v>
      </c>
      <c r="B144" s="435">
        <v>4</v>
      </c>
      <c r="C144" s="434" t="s">
        <v>3</v>
      </c>
    </row>
    <row r="145" spans="1:3">
      <c r="A145" s="434" t="s">
        <v>170</v>
      </c>
      <c r="B145" s="435">
        <v>4.25</v>
      </c>
      <c r="C145" s="434" t="s">
        <v>4</v>
      </c>
    </row>
    <row r="146" spans="1:3">
      <c r="A146" s="434" t="s">
        <v>142</v>
      </c>
      <c r="B146" s="435">
        <v>4</v>
      </c>
      <c r="C146" s="434" t="s">
        <v>5</v>
      </c>
    </row>
    <row r="147" spans="1:3">
      <c r="A147" s="434" t="s">
        <v>258</v>
      </c>
      <c r="B147" s="435">
        <v>4.5</v>
      </c>
      <c r="C147" s="434" t="s">
        <v>4</v>
      </c>
    </row>
    <row r="148" spans="1:3">
      <c r="A148" s="434" t="s">
        <v>110</v>
      </c>
      <c r="B148" s="435">
        <v>4.25</v>
      </c>
      <c r="C148" s="434" t="s">
        <v>3</v>
      </c>
    </row>
    <row r="149" spans="1:3">
      <c r="A149" s="434" t="s">
        <v>251</v>
      </c>
      <c r="B149" s="435">
        <v>4</v>
      </c>
      <c r="C149" s="434" t="s">
        <v>4</v>
      </c>
    </row>
    <row r="150" spans="1:3">
      <c r="A150" s="434" t="s">
        <v>163</v>
      </c>
      <c r="B150" s="435">
        <v>4.63</v>
      </c>
      <c r="C150" s="434" t="s">
        <v>4</v>
      </c>
    </row>
    <row r="151" spans="1:3">
      <c r="A151" s="434" t="s">
        <v>156</v>
      </c>
      <c r="B151" s="435">
        <v>4.25</v>
      </c>
      <c r="C151" s="434" t="s">
        <v>4</v>
      </c>
    </row>
    <row r="152" spans="1:3">
      <c r="A152" s="434" t="s">
        <v>83</v>
      </c>
      <c r="B152" s="435">
        <v>4.25</v>
      </c>
      <c r="C152" s="434" t="s">
        <v>5</v>
      </c>
    </row>
    <row r="153" spans="1:3">
      <c r="A153" s="434" t="s">
        <v>108</v>
      </c>
      <c r="B153" s="435">
        <v>5</v>
      </c>
      <c r="C153" s="434" t="s">
        <v>5</v>
      </c>
    </row>
    <row r="154" spans="1:3">
      <c r="A154" s="434" t="s">
        <v>370</v>
      </c>
      <c r="B154" s="435">
        <v>3.75</v>
      </c>
      <c r="C154" s="434" t="s">
        <v>3</v>
      </c>
    </row>
    <row r="155" spans="1:3">
      <c r="A155" s="434" t="s">
        <v>311</v>
      </c>
      <c r="B155" s="435">
        <v>5</v>
      </c>
      <c r="C155" s="434" t="s">
        <v>3</v>
      </c>
    </row>
    <row r="156" spans="1:3">
      <c r="A156" s="434" t="s">
        <v>349</v>
      </c>
      <c r="B156" s="435">
        <v>4.25</v>
      </c>
      <c r="C156" s="434" t="s">
        <v>3</v>
      </c>
    </row>
    <row r="157" spans="1:3">
      <c r="A157" s="434" t="s">
        <v>260</v>
      </c>
      <c r="B157" s="435">
        <v>4.5</v>
      </c>
      <c r="C157" s="434" t="s">
        <v>4</v>
      </c>
    </row>
    <row r="158" spans="1:3">
      <c r="A158" s="434" t="s">
        <v>223</v>
      </c>
      <c r="B158" s="435">
        <v>4.38</v>
      </c>
      <c r="C158" s="434" t="s">
        <v>4</v>
      </c>
    </row>
    <row r="159" spans="1:3">
      <c r="A159" s="434" t="s">
        <v>336</v>
      </c>
      <c r="B159" s="435">
        <v>4.25</v>
      </c>
      <c r="C159" s="434" t="s">
        <v>3</v>
      </c>
    </row>
    <row r="160" spans="1:3">
      <c r="A160" s="434" t="s">
        <v>75</v>
      </c>
      <c r="B160" s="435">
        <v>4</v>
      </c>
      <c r="C160" s="434" t="s">
        <v>5</v>
      </c>
    </row>
    <row r="161" spans="1:3">
      <c r="A161" s="434" t="s">
        <v>334</v>
      </c>
      <c r="B161" s="435">
        <v>5</v>
      </c>
      <c r="C161" s="434" t="s">
        <v>3</v>
      </c>
    </row>
    <row r="162" spans="1:3">
      <c r="A162" s="434" t="s">
        <v>220</v>
      </c>
      <c r="B162" s="435">
        <v>4</v>
      </c>
      <c r="C162" s="434" t="s">
        <v>4</v>
      </c>
    </row>
    <row r="163" spans="1:3">
      <c r="A163" s="434" t="s">
        <v>69</v>
      </c>
      <c r="B163" s="435">
        <v>5</v>
      </c>
      <c r="C163" s="434" t="s">
        <v>5</v>
      </c>
    </row>
    <row r="164" spans="1:3">
      <c r="A164" s="434" t="s">
        <v>1414</v>
      </c>
      <c r="B164" s="435">
        <v>4.25</v>
      </c>
      <c r="C164" s="434" t="s">
        <v>4</v>
      </c>
    </row>
    <row r="165" spans="1:3">
      <c r="A165" s="434" t="s">
        <v>309</v>
      </c>
      <c r="B165" s="435">
        <v>4.75</v>
      </c>
      <c r="C165" s="434" t="s">
        <v>4</v>
      </c>
    </row>
    <row r="166" spans="1:3">
      <c r="A166" s="434" t="s">
        <v>183</v>
      </c>
      <c r="B166" s="435">
        <v>4</v>
      </c>
      <c r="C166" s="434" t="s">
        <v>4</v>
      </c>
    </row>
    <row r="167" spans="1:3">
      <c r="A167" s="434" t="s">
        <v>317</v>
      </c>
      <c r="B167" s="435">
        <v>4.25</v>
      </c>
      <c r="C167" s="434" t="s">
        <v>3</v>
      </c>
    </row>
    <row r="168" spans="1:3">
      <c r="A168" s="434" t="s">
        <v>213</v>
      </c>
      <c r="B168" s="435">
        <v>4.5</v>
      </c>
      <c r="C168" s="434" t="s">
        <v>4</v>
      </c>
    </row>
    <row r="169" spans="1:3">
      <c r="A169" s="434" t="s">
        <v>333</v>
      </c>
      <c r="B169" s="435">
        <v>4.5</v>
      </c>
      <c r="C169" s="434" t="s">
        <v>3</v>
      </c>
    </row>
    <row r="170" spans="1:3">
      <c r="A170" s="434" t="s">
        <v>259</v>
      </c>
      <c r="B170" s="435">
        <v>3.75</v>
      </c>
      <c r="C170" s="434" t="s">
        <v>4</v>
      </c>
    </row>
    <row r="171" spans="1:3">
      <c r="A171" s="434" t="s">
        <v>91</v>
      </c>
      <c r="B171" s="435">
        <v>3.5</v>
      </c>
      <c r="C171" s="434" t="s">
        <v>5</v>
      </c>
    </row>
    <row r="172" spans="1:3">
      <c r="A172" s="434" t="s">
        <v>99</v>
      </c>
      <c r="B172" s="435">
        <v>4.5</v>
      </c>
      <c r="C172" s="434" t="s">
        <v>5</v>
      </c>
    </row>
    <row r="173" spans="1:3">
      <c r="A173" s="434" t="s">
        <v>80</v>
      </c>
      <c r="B173" s="435">
        <v>4.75</v>
      </c>
      <c r="C173" s="434" t="s">
        <v>5</v>
      </c>
    </row>
    <row r="174" spans="1:3">
      <c r="A174" s="434" t="s">
        <v>97</v>
      </c>
      <c r="B174" s="435">
        <v>4.5</v>
      </c>
      <c r="C174" s="434" t="s">
        <v>5</v>
      </c>
    </row>
    <row r="175" spans="1:3">
      <c r="A175" s="434" t="s">
        <v>124</v>
      </c>
      <c r="B175" s="435">
        <v>4</v>
      </c>
      <c r="C175" s="434" t="s">
        <v>5</v>
      </c>
    </row>
    <row r="176" spans="1:3">
      <c r="A176" s="434" t="s">
        <v>3605</v>
      </c>
      <c r="B176" s="435">
        <v>4</v>
      </c>
      <c r="C176" s="434" t="s">
        <v>5</v>
      </c>
    </row>
    <row r="177" spans="1:3">
      <c r="A177" s="434" t="s">
        <v>106</v>
      </c>
      <c r="B177" s="435">
        <v>3.25</v>
      </c>
      <c r="C177" s="434" t="s">
        <v>5</v>
      </c>
    </row>
    <row r="178" spans="1:3">
      <c r="A178" s="434" t="s">
        <v>289</v>
      </c>
      <c r="B178" s="435">
        <v>3.75</v>
      </c>
      <c r="C178" s="434" t="s">
        <v>4</v>
      </c>
    </row>
    <row r="179" spans="1:3">
      <c r="A179" s="434" t="s">
        <v>89</v>
      </c>
      <c r="B179" s="435">
        <v>4.25</v>
      </c>
      <c r="C179" s="434" t="s">
        <v>5</v>
      </c>
    </row>
    <row r="180" spans="1:3">
      <c r="A180" s="434" t="s">
        <v>138</v>
      </c>
      <c r="B180" s="435">
        <v>4.5</v>
      </c>
      <c r="C180" s="434" t="s">
        <v>5</v>
      </c>
    </row>
    <row r="181" spans="1:3">
      <c r="A181" s="434" t="s">
        <v>240</v>
      </c>
      <c r="B181" s="435">
        <v>4</v>
      </c>
      <c r="C181" s="434" t="s">
        <v>4</v>
      </c>
    </row>
    <row r="182" spans="1:3">
      <c r="A182" s="434" t="s">
        <v>104</v>
      </c>
      <c r="B182" s="435">
        <v>4.5</v>
      </c>
      <c r="C182" s="434" t="s">
        <v>5</v>
      </c>
    </row>
    <row r="183" spans="1:3">
      <c r="A183" s="434" t="s">
        <v>114</v>
      </c>
      <c r="B183" s="435">
        <v>4</v>
      </c>
      <c r="C183" s="434" t="s">
        <v>5</v>
      </c>
    </row>
    <row r="184" spans="1:3">
      <c r="A184" s="434" t="s">
        <v>64</v>
      </c>
      <c r="B184" s="435">
        <v>5</v>
      </c>
      <c r="C184" s="434" t="s">
        <v>5</v>
      </c>
    </row>
    <row r="185" spans="1:3">
      <c r="A185" s="434" t="s">
        <v>135</v>
      </c>
      <c r="B185" s="435">
        <v>4.25</v>
      </c>
      <c r="C185" s="434" t="s">
        <v>5</v>
      </c>
    </row>
    <row r="186" spans="1:3">
      <c r="A186" s="434" t="s">
        <v>67</v>
      </c>
      <c r="B186" s="435">
        <v>4</v>
      </c>
      <c r="C186" s="434" t="s">
        <v>5</v>
      </c>
    </row>
    <row r="187" spans="1:3">
      <c r="A187" s="434" t="s">
        <v>105</v>
      </c>
      <c r="B187" s="435">
        <v>4</v>
      </c>
      <c r="C187" s="434" t="s">
        <v>5</v>
      </c>
    </row>
    <row r="188" spans="1:3">
      <c r="A188" s="434" t="s">
        <v>143</v>
      </c>
      <c r="B188" s="435">
        <v>4</v>
      </c>
      <c r="C188" s="434" t="s">
        <v>5</v>
      </c>
    </row>
    <row r="189" spans="1:3">
      <c r="A189" s="434" t="s">
        <v>342</v>
      </c>
      <c r="B189" s="435">
        <v>4.5</v>
      </c>
      <c r="C189" s="434" t="s">
        <v>3</v>
      </c>
    </row>
    <row r="190" spans="1:3">
      <c r="A190" s="434" t="s">
        <v>71</v>
      </c>
      <c r="B190" s="435">
        <v>4</v>
      </c>
      <c r="C190" s="434" t="s">
        <v>5</v>
      </c>
    </row>
    <row r="191" spans="1:3">
      <c r="A191" s="6" t="s">
        <v>285</v>
      </c>
    </row>
    <row r="192" spans="1:3">
      <c r="A192" s="6" t="s">
        <v>287</v>
      </c>
    </row>
    <row r="193" spans="1:1">
      <c r="A193" s="6" t="s">
        <v>298</v>
      </c>
    </row>
    <row r="194" spans="1:1">
      <c r="A194" s="6" t="s">
        <v>301</v>
      </c>
    </row>
    <row r="195" spans="1:1">
      <c r="A195" s="6" t="s">
        <v>311</v>
      </c>
    </row>
    <row r="196" spans="1:1">
      <c r="A196" s="6" t="s">
        <v>314</v>
      </c>
    </row>
    <row r="197" spans="1:1">
      <c r="A197" s="6" t="s">
        <v>327</v>
      </c>
    </row>
    <row r="198" spans="1:1">
      <c r="A198" s="6" t="s">
        <v>331</v>
      </c>
    </row>
    <row r="199" spans="1:1">
      <c r="A199" s="6" t="s">
        <v>334</v>
      </c>
    </row>
    <row r="200" spans="1:1">
      <c r="A200" s="6" t="s">
        <v>338</v>
      </c>
    </row>
    <row r="201" spans="1:1">
      <c r="A201" s="6" t="s">
        <v>360</v>
      </c>
    </row>
    <row r="202" spans="1:1">
      <c r="A202" s="6" t="s">
        <v>368</v>
      </c>
    </row>
    <row r="203" spans="1:1">
      <c r="A203" s="6" t="s">
        <v>277</v>
      </c>
    </row>
    <row r="204" spans="1:1">
      <c r="A204" s="6" t="s">
        <v>300</v>
      </c>
    </row>
    <row r="205" spans="1:1">
      <c r="A205" s="6" t="s">
        <v>313</v>
      </c>
    </row>
    <row r="206" spans="1:1">
      <c r="A206" s="6" t="s">
        <v>345</v>
      </c>
    </row>
    <row r="207" spans="1:1">
      <c r="A207" s="6" t="s">
        <v>348</v>
      </c>
    </row>
    <row r="208" spans="1:1">
      <c r="A208" s="6" t="s">
        <v>361</v>
      </c>
    </row>
    <row r="209" spans="1:1">
      <c r="A209" s="6" t="s">
        <v>369</v>
      </c>
    </row>
    <row r="210" spans="1:1">
      <c r="A210" s="6" t="s">
        <v>321</v>
      </c>
    </row>
    <row r="211" spans="1:1">
      <c r="A211" s="6" t="s">
        <v>286</v>
      </c>
    </row>
    <row r="212" spans="1:1">
      <c r="A212" s="6" t="s">
        <v>294</v>
      </c>
    </row>
    <row r="213" spans="1:1">
      <c r="A213" s="6" t="s">
        <v>310</v>
      </c>
    </row>
    <row r="214" spans="1:1">
      <c r="A214" s="6" t="s">
        <v>316</v>
      </c>
    </row>
    <row r="215" spans="1:1">
      <c r="A215" s="6" t="s">
        <v>325</v>
      </c>
    </row>
    <row r="216" spans="1:1">
      <c r="A216" s="6" t="s">
        <v>328</v>
      </c>
    </row>
    <row r="217" spans="1:1">
      <c r="A217" s="6" t="s">
        <v>329</v>
      </c>
    </row>
    <row r="218" spans="1:1">
      <c r="A218" s="6" t="s">
        <v>333</v>
      </c>
    </row>
    <row r="219" spans="1:1">
      <c r="A219" s="6" t="s">
        <v>335</v>
      </c>
    </row>
    <row r="220" spans="1:1">
      <c r="A220" s="6" t="s">
        <v>342</v>
      </c>
    </row>
    <row r="221" spans="1:1">
      <c r="A221" s="6" t="s">
        <v>344</v>
      </c>
    </row>
    <row r="222" spans="1:1">
      <c r="A222" s="6" t="s">
        <v>363</v>
      </c>
    </row>
    <row r="223" spans="1:1">
      <c r="A223" s="6" t="s">
        <v>323</v>
      </c>
    </row>
    <row r="224" spans="1:1">
      <c r="A224" s="6" t="s">
        <v>282</v>
      </c>
    </row>
    <row r="225" spans="1:1">
      <c r="A225" s="6" t="s">
        <v>291</v>
      </c>
    </row>
    <row r="226" spans="1:1">
      <c r="A226" s="6" t="s">
        <v>303</v>
      </c>
    </row>
    <row r="227" spans="1:1">
      <c r="A227" s="6" t="s">
        <v>317</v>
      </c>
    </row>
    <row r="228" spans="1:1">
      <c r="A228" s="6" t="s">
        <v>320</v>
      </c>
    </row>
    <row r="229" spans="1:1">
      <c r="A229" s="6" t="s">
        <v>324</v>
      </c>
    </row>
    <row r="230" spans="1:1">
      <c r="A230" s="6" t="s">
        <v>110</v>
      </c>
    </row>
    <row r="231" spans="1:1">
      <c r="A231" s="6" t="s">
        <v>336</v>
      </c>
    </row>
    <row r="232" spans="1:1">
      <c r="A232" s="6" t="s">
        <v>337</v>
      </c>
    </row>
    <row r="233" spans="1:1">
      <c r="A233" s="6" t="s">
        <v>339</v>
      </c>
    </row>
    <row r="234" spans="1:1">
      <c r="A234" s="6" t="s">
        <v>346</v>
      </c>
    </row>
    <row r="235" spans="1:1">
      <c r="A235" s="6" t="s">
        <v>349</v>
      </c>
    </row>
    <row r="236" spans="1:1">
      <c r="A236" s="6" t="s">
        <v>356</v>
      </c>
    </row>
    <row r="237" spans="1:1">
      <c r="A237" s="6" t="s">
        <v>284</v>
      </c>
    </row>
    <row r="238" spans="1:1">
      <c r="A238" s="6" t="s">
        <v>296</v>
      </c>
    </row>
    <row r="239" spans="1:1">
      <c r="A239" s="6" t="s">
        <v>315</v>
      </c>
    </row>
    <row r="240" spans="1:1">
      <c r="A240" s="6" t="s">
        <v>319</v>
      </c>
    </row>
    <row r="241" spans="1:1">
      <c r="A241" s="6" t="s">
        <v>326</v>
      </c>
    </row>
    <row r="242" spans="1:1">
      <c r="A242" s="6" t="s">
        <v>340</v>
      </c>
    </row>
    <row r="243" spans="1:1">
      <c r="A243" s="6" t="s">
        <v>343</v>
      </c>
    </row>
    <row r="244" spans="1:1">
      <c r="A244" s="6" t="s">
        <v>347</v>
      </c>
    </row>
    <row r="245" spans="1:1">
      <c r="A245" s="6" t="s">
        <v>362</v>
      </c>
    </row>
    <row r="246" spans="1:1">
      <c r="A246" s="6" t="s">
        <v>358</v>
      </c>
    </row>
    <row r="247" spans="1:1">
      <c r="A247" s="6" t="s">
        <v>322</v>
      </c>
    </row>
    <row r="248" spans="1:1">
      <c r="A248" s="6" t="s">
        <v>370</v>
      </c>
    </row>
    <row r="249" spans="1:1">
      <c r="A249" s="6" t="s">
        <v>62</v>
      </c>
    </row>
    <row r="250" spans="1:1">
      <c r="A250" s="6" t="s">
        <v>64</v>
      </c>
    </row>
    <row r="251" spans="1:1">
      <c r="A251" s="6" t="s">
        <v>65</v>
      </c>
    </row>
    <row r="252" spans="1:1">
      <c r="A252" s="6" t="s">
        <v>67</v>
      </c>
    </row>
    <row r="253" spans="1:1">
      <c r="A253" s="6" t="s">
        <v>68</v>
      </c>
    </row>
    <row r="254" spans="1:1">
      <c r="A254" s="6" t="s">
        <v>69</v>
      </c>
    </row>
    <row r="255" spans="1:1">
      <c r="A255" s="6" t="s">
        <v>96</v>
      </c>
    </row>
    <row r="256" spans="1:1">
      <c r="A256" s="6" t="s">
        <v>71</v>
      </c>
    </row>
    <row r="257" spans="1:1">
      <c r="A257" s="6" t="s">
        <v>72</v>
      </c>
    </row>
    <row r="258" spans="1:1">
      <c r="A258" s="6" t="s">
        <v>76</v>
      </c>
    </row>
    <row r="259" spans="1:1">
      <c r="A259" s="6" t="s">
        <v>75</v>
      </c>
    </row>
    <row r="260" spans="1:1">
      <c r="A260" s="6" t="s">
        <v>77</v>
      </c>
    </row>
    <row r="261" spans="1:1">
      <c r="A261" s="6" t="s">
        <v>78</v>
      </c>
    </row>
    <row r="262" spans="1:1">
      <c r="A262" s="6" t="s">
        <v>80</v>
      </c>
    </row>
    <row r="263" spans="1:1">
      <c r="A263" s="6" t="s">
        <v>81</v>
      </c>
    </row>
    <row r="264" spans="1:1">
      <c r="A264" s="6" t="s">
        <v>82</v>
      </c>
    </row>
    <row r="265" spans="1:1">
      <c r="A265" s="6" t="s">
        <v>84</v>
      </c>
    </row>
    <row r="266" spans="1:1">
      <c r="A266" s="6" t="s">
        <v>86</v>
      </c>
    </row>
    <row r="267" spans="1:1">
      <c r="A267" s="6" t="s">
        <v>88</v>
      </c>
    </row>
    <row r="268" spans="1:1">
      <c r="A268" s="6" t="s">
        <v>89</v>
      </c>
    </row>
    <row r="269" spans="1:1">
      <c r="A269" s="6" t="s">
        <v>90</v>
      </c>
    </row>
    <row r="270" spans="1:1">
      <c r="A270" s="6" t="s">
        <v>91</v>
      </c>
    </row>
    <row r="271" spans="1:1">
      <c r="A271" s="6" t="s">
        <v>92</v>
      </c>
    </row>
    <row r="272" spans="1:1">
      <c r="A272" s="6" t="s">
        <v>93</v>
      </c>
    </row>
    <row r="273" spans="1:1">
      <c r="A273" s="6" t="s">
        <v>94</v>
      </c>
    </row>
    <row r="274" spans="1:1">
      <c r="A274" s="6" t="s">
        <v>97</v>
      </c>
    </row>
    <row r="275" spans="1:1">
      <c r="A275" s="6" t="s">
        <v>98</v>
      </c>
    </row>
    <row r="276" spans="1:1">
      <c r="A276" s="6" t="s">
        <v>99</v>
      </c>
    </row>
    <row r="277" spans="1:1">
      <c r="A277" s="6" t="s">
        <v>100</v>
      </c>
    </row>
    <row r="278" spans="1:1">
      <c r="A278" s="6" t="s">
        <v>101</v>
      </c>
    </row>
    <row r="279" spans="1:1">
      <c r="A279" s="6" t="s">
        <v>103</v>
      </c>
    </row>
    <row r="280" spans="1:1">
      <c r="A280" s="6" t="s">
        <v>104</v>
      </c>
    </row>
    <row r="281" spans="1:1">
      <c r="A281" s="6" t="s">
        <v>105</v>
      </c>
    </row>
    <row r="282" spans="1:1">
      <c r="A282" s="6" t="s">
        <v>106</v>
      </c>
    </row>
    <row r="283" spans="1:1">
      <c r="A283" s="6" t="s">
        <v>108</v>
      </c>
    </row>
    <row r="284" spans="1:1">
      <c r="A284" s="6" t="s">
        <v>109</v>
      </c>
    </row>
    <row r="285" spans="1:1">
      <c r="A285" s="6" t="s">
        <v>112</v>
      </c>
    </row>
    <row r="286" spans="1:1">
      <c r="A286" s="6" t="s">
        <v>113</v>
      </c>
    </row>
    <row r="287" spans="1:1">
      <c r="A287" s="6" t="s">
        <v>114</v>
      </c>
    </row>
    <row r="288" spans="1:1">
      <c r="A288" s="6" t="s">
        <v>115</v>
      </c>
    </row>
    <row r="289" spans="1:1">
      <c r="A289" s="6" t="s">
        <v>116</v>
      </c>
    </row>
    <row r="290" spans="1:1">
      <c r="A290" s="6" t="s">
        <v>117</v>
      </c>
    </row>
    <row r="291" spans="1:1">
      <c r="A291" s="6" t="s">
        <v>118</v>
      </c>
    </row>
    <row r="292" spans="1:1">
      <c r="A292" s="6" t="s">
        <v>119</v>
      </c>
    </row>
    <row r="293" spans="1:1">
      <c r="A293" s="6" t="s">
        <v>120</v>
      </c>
    </row>
    <row r="294" spans="1:1">
      <c r="A294" s="6" t="s">
        <v>122</v>
      </c>
    </row>
    <row r="295" spans="1:1">
      <c r="A295" s="6" t="s">
        <v>124</v>
      </c>
    </row>
    <row r="296" spans="1:1">
      <c r="A296" s="6" t="s">
        <v>125</v>
      </c>
    </row>
    <row r="297" spans="1:1">
      <c r="A297" s="6" t="s">
        <v>127</v>
      </c>
    </row>
    <row r="298" spans="1:1">
      <c r="A298" s="6" t="s">
        <v>128</v>
      </c>
    </row>
    <row r="299" spans="1:1">
      <c r="A299" s="6" t="s">
        <v>129</v>
      </c>
    </row>
    <row r="300" spans="1:1">
      <c r="A300" s="6" t="s">
        <v>133</v>
      </c>
    </row>
    <row r="301" spans="1:1">
      <c r="A301" s="6" t="s">
        <v>135</v>
      </c>
    </row>
    <row r="302" spans="1:1">
      <c r="A302" s="6" t="s">
        <v>138</v>
      </c>
    </row>
    <row r="303" spans="1:1">
      <c r="A303" s="6" t="s">
        <v>142</v>
      </c>
    </row>
    <row r="304" spans="1:1">
      <c r="A304" s="6" t="s">
        <v>143</v>
      </c>
    </row>
    <row r="305" spans="1:1">
      <c r="A305" s="6" t="s">
        <v>352</v>
      </c>
    </row>
    <row r="306" spans="1:1">
      <c r="A306" s="6" t="s">
        <v>145</v>
      </c>
    </row>
    <row r="307" spans="1:1">
      <c r="A307" s="6" t="s">
        <v>148</v>
      </c>
    </row>
    <row r="308" spans="1:1">
      <c r="A308" s="6" t="s">
        <v>149</v>
      </c>
    </row>
    <row r="309" spans="1:1">
      <c r="A309" s="6" t="s">
        <v>151</v>
      </c>
    </row>
    <row r="310" spans="1:1">
      <c r="A310" s="6" t="s">
        <v>152</v>
      </c>
    </row>
    <row r="311" spans="1:1">
      <c r="A311" s="6" t="s">
        <v>153</v>
      </c>
    </row>
    <row r="312" spans="1:1">
      <c r="A312" s="6" t="s">
        <v>154</v>
      </c>
    </row>
    <row r="313" spans="1:1">
      <c r="A313" s="6" t="s">
        <v>156</v>
      </c>
    </row>
    <row r="314" spans="1:1">
      <c r="A314" s="6" t="s">
        <v>157</v>
      </c>
    </row>
    <row r="315" spans="1:1">
      <c r="A315" s="6" t="s">
        <v>160</v>
      </c>
    </row>
    <row r="316" spans="1:1">
      <c r="A316" s="6" t="s">
        <v>161</v>
      </c>
    </row>
    <row r="317" spans="1:1">
      <c r="A317" s="6" t="s">
        <v>163</v>
      </c>
    </row>
    <row r="318" spans="1:1">
      <c r="A318" s="6" t="s">
        <v>167</v>
      </c>
    </row>
    <row r="319" spans="1:1">
      <c r="A319" s="6" t="s">
        <v>170</v>
      </c>
    </row>
    <row r="320" spans="1:1">
      <c r="A320" s="6" t="s">
        <v>172</v>
      </c>
    </row>
    <row r="321" spans="1:1">
      <c r="A321" s="6" t="s">
        <v>173</v>
      </c>
    </row>
    <row r="322" spans="1:1">
      <c r="A322" s="6" t="s">
        <v>176</v>
      </c>
    </row>
    <row r="323" spans="1:1">
      <c r="A323" s="6" t="s">
        <v>179</v>
      </c>
    </row>
    <row r="324" spans="1:1">
      <c r="A324" s="6" t="s">
        <v>181</v>
      </c>
    </row>
    <row r="325" spans="1:1">
      <c r="A325" s="6" t="s">
        <v>183</v>
      </c>
    </row>
    <row r="326" spans="1:1">
      <c r="A326" s="6" t="s">
        <v>184</v>
      </c>
    </row>
    <row r="327" spans="1:1">
      <c r="A327" s="6" t="s">
        <v>185</v>
      </c>
    </row>
    <row r="328" spans="1:1">
      <c r="A328" s="6" t="s">
        <v>187</v>
      </c>
    </row>
    <row r="329" spans="1:1">
      <c r="A329" s="6" t="s">
        <v>191</v>
      </c>
    </row>
    <row r="330" spans="1:1">
      <c r="A330" s="6" t="s">
        <v>193</v>
      </c>
    </row>
    <row r="331" spans="1:1">
      <c r="A331" s="6" t="s">
        <v>194</v>
      </c>
    </row>
    <row r="332" spans="1:1">
      <c r="A332" s="6" t="s">
        <v>195</v>
      </c>
    </row>
    <row r="333" spans="1:1">
      <c r="A333" s="6" t="s">
        <v>197</v>
      </c>
    </row>
    <row r="334" spans="1:1">
      <c r="A334" s="6" t="s">
        <v>199</v>
      </c>
    </row>
    <row r="335" spans="1:1">
      <c r="A335" s="6" t="s">
        <v>200</v>
      </c>
    </row>
    <row r="336" spans="1:1">
      <c r="A336" s="6" t="s">
        <v>202</v>
      </c>
    </row>
    <row r="337" spans="1:1">
      <c r="A337" s="6" t="s">
        <v>206</v>
      </c>
    </row>
    <row r="338" spans="1:1">
      <c r="A338" s="6" t="s">
        <v>212</v>
      </c>
    </row>
    <row r="339" spans="1:1">
      <c r="A339" s="6" t="s">
        <v>213</v>
      </c>
    </row>
    <row r="340" spans="1:1">
      <c r="A340" s="6" t="s">
        <v>218</v>
      </c>
    </row>
    <row r="341" spans="1:1">
      <c r="A341" s="6" t="s">
        <v>219</v>
      </c>
    </row>
    <row r="342" spans="1:1">
      <c r="A342" s="6" t="s">
        <v>220</v>
      </c>
    </row>
    <row r="343" spans="1:1">
      <c r="A343" s="6" t="s">
        <v>223</v>
      </c>
    </row>
    <row r="344" spans="1:1">
      <c r="A344" s="6" t="s">
        <v>224</v>
      </c>
    </row>
    <row r="345" spans="1:1">
      <c r="A345" s="6" t="s">
        <v>227</v>
      </c>
    </row>
    <row r="346" spans="1:1">
      <c r="A346" s="6" t="s">
        <v>231</v>
      </c>
    </row>
    <row r="347" spans="1:1">
      <c r="A347" s="6" t="s">
        <v>233</v>
      </c>
    </row>
    <row r="348" spans="1:1">
      <c r="A348" s="6" t="s">
        <v>237</v>
      </c>
    </row>
    <row r="349" spans="1:1">
      <c r="A349" s="6" t="s">
        <v>240</v>
      </c>
    </row>
    <row r="350" spans="1:1">
      <c r="A350" s="6" t="s">
        <v>241</v>
      </c>
    </row>
    <row r="351" spans="1:1">
      <c r="A351" s="6" t="s">
        <v>245</v>
      </c>
    </row>
    <row r="352" spans="1:1">
      <c r="A352" s="6" t="s">
        <v>246</v>
      </c>
    </row>
    <row r="353" spans="1:1">
      <c r="A353" s="6" t="s">
        <v>250</v>
      </c>
    </row>
    <row r="354" spans="1:1">
      <c r="A354" s="6" t="s">
        <v>251</v>
      </c>
    </row>
    <row r="355" spans="1:1">
      <c r="A355" s="6" t="s">
        <v>252</v>
      </c>
    </row>
    <row r="356" spans="1:1">
      <c r="A356" s="6" t="s">
        <v>256</v>
      </c>
    </row>
    <row r="357" spans="1:1">
      <c r="A357" s="6" t="s">
        <v>257</v>
      </c>
    </row>
    <row r="358" spans="1:1">
      <c r="A358" s="6" t="s">
        <v>258</v>
      </c>
    </row>
    <row r="359" spans="1:1">
      <c r="A359" s="6" t="s">
        <v>259</v>
      </c>
    </row>
    <row r="360" spans="1:1">
      <c r="A360" s="6" t="s">
        <v>260</v>
      </c>
    </row>
    <row r="361" spans="1:1">
      <c r="A361" s="6" t="s">
        <v>261</v>
      </c>
    </row>
    <row r="362" spans="1:1">
      <c r="A362" s="6" t="s">
        <v>262</v>
      </c>
    </row>
    <row r="363" spans="1:1">
      <c r="A363" s="6" t="s">
        <v>266</v>
      </c>
    </row>
    <row r="364" spans="1:1">
      <c r="A364" s="6" t="s">
        <v>267</v>
      </c>
    </row>
    <row r="365" spans="1:1">
      <c r="A365" s="6" t="s">
        <v>268</v>
      </c>
    </row>
    <row r="366" spans="1:1">
      <c r="A366" s="6" t="s">
        <v>269</v>
      </c>
    </row>
    <row r="367" spans="1:1">
      <c r="A367" s="6" t="s">
        <v>270</v>
      </c>
    </row>
    <row r="368" spans="1:1">
      <c r="A368" s="6" t="s">
        <v>272</v>
      </c>
    </row>
    <row r="369" spans="1:1">
      <c r="A369" s="6" t="s">
        <v>275</v>
      </c>
    </row>
    <row r="370" spans="1:1">
      <c r="A370" s="6" t="s">
        <v>309</v>
      </c>
    </row>
  </sheetData>
  <autoFilter ref="A1:C370" xr:uid="{00000000-0009-0000-0000-000010000000}"/>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W1000"/>
  <sheetViews>
    <sheetView workbookViewId="0"/>
  </sheetViews>
  <sheetFormatPr baseColWidth="10" defaultColWidth="14.5" defaultRowHeight="15" customHeight="1"/>
  <cols>
    <col min="1" max="1" width="2" customWidth="1"/>
    <col min="4" max="4" width="11" customWidth="1"/>
    <col min="8" max="11" width="2" customWidth="1"/>
    <col min="13" max="14" width="2" customWidth="1"/>
    <col min="16" max="18" width="2" customWidth="1"/>
    <col min="20" max="20" width="9.1640625" customWidth="1"/>
    <col min="21" max="21" width="8.83203125" customWidth="1"/>
    <col min="22" max="22" width="2" customWidth="1"/>
  </cols>
  <sheetData>
    <row r="1" spans="1:23">
      <c r="A1" s="179" t="str">
        <f ca="1">IFERROR(__xludf.DUMMYFUNCTION("FILTER(ImportRange(""1hAT2arfWzF9BWcgI55GtrdfGgCiRbzoM7rKshJny2do/edit#gid=953190171"",""Remove!A:W""),ImportRange(""1hAT2arfWzF9BWcgI55GtrdfGgCiRbzoM7rKshJny2do/edit#gid=953190171"",""Remove!A:A"")=""R"")
"),"R")</f>
        <v>R</v>
      </c>
      <c r="B1" s="179" t="str">
        <f ca="1">IFERROR(__xludf.DUMMYFUNCTION("""COMPUTED_VALUE"""),"Timestamp")</f>
        <v>Timestamp</v>
      </c>
      <c r="C1" s="179" t="str">
        <f ca="1">IFERROR(__xludf.DUMMYFUNCTION("""COMPUTED_VALUE"""),"Email Address")</f>
        <v>Email Address</v>
      </c>
      <c r="D1" s="179" t="str">
        <f ca="1">IFERROR(__xludf.DUMMYFUNCTION("""COMPUTED_VALUE"""),"Your Name")</f>
        <v>Your Name</v>
      </c>
      <c r="E1" s="179" t="str">
        <f ca="1">IFERROR(__xludf.DUMMYFUNCTION("""COMPUTED_VALUE"""),"Confidentiality Agreement: These applications are shared with you with the sole purpose of evaluating the startups’ candidacy for the EFL program.  Please treat them with the strictest of confidence and do not distribute any of the materials or informatio"&amp;"n under any circumstance. ")</f>
        <v xml:space="preserve">Confidentiality Agreement: These applications are shared with you with the sole purpose of evaluating the startups’ candidacy for the EFL program.  Please treat them with the strictest of confidence and do not distribute any of the materials or information under any circumstance. </v>
      </c>
      <c r="F1" s="179" t="str">
        <f ca="1">IFERROR(__xludf.DUMMYFUNCTION("""COMPUTED_VALUE"""),"Venture Name")</f>
        <v>Venture Name</v>
      </c>
      <c r="G1" s="179" t="str">
        <f ca="1">IFERROR(__xludf.DUMMYFUNCTION("""COMPUTED_VALUE"""),"Brief Description / Industry / Stage:")</f>
        <v>Brief Description / Industry / Stage:</v>
      </c>
      <c r="H1" s="179" t="str">
        <f ca="1">IFERROR(__xludf.DUMMYFUNCTION("""COMPUTED_VALUE"""),"Problem/Need: Does the technology address a known problem (technical or commercial)?")</f>
        <v>Problem/Need: Does the technology address a known problem (technical or commercial)?</v>
      </c>
      <c r="I1" s="179" t="str">
        <f ca="1">IFERROR(__xludf.DUMMYFUNCTION("""COMPUTED_VALUE"""),"Novelty: How novel is the technology?")</f>
        <v>Novelty: How novel is the technology?</v>
      </c>
      <c r="J1" s="179" t="str">
        <f ca="1">IFERROR(__xludf.DUMMYFUNCTION("""COMPUTED_VALUE"""),"Validation:  Has the technology’s performance been validated?")</f>
        <v>Validation:  Has the technology’s performance been validated?</v>
      </c>
      <c r="K1" s="179" t="str">
        <f ca="1">IFERROR(__xludf.DUMMYFUNCTION("""COMPUTED_VALUE"""),"IP Protection:  How protected is the technology from imitation?")</f>
        <v>IP Protection:  How protected is the technology from imitation?</v>
      </c>
      <c r="L1" s="179" t="str">
        <f ca="1">IFERROR(__xludf.DUMMYFUNCTION("""COMPUTED_VALUE"""),"Comments/Notes on Technology:")</f>
        <v>Comments/Notes on Technology:</v>
      </c>
      <c r="M1" s="179" t="str">
        <f ca="1">IFERROR(__xludf.DUMMYFUNCTION("""COMPUTED_VALUE"""),"Addressable Market: How strong is the current and potential addressable market?")</f>
        <v>Addressable Market: How strong is the current and potential addressable market?</v>
      </c>
      <c r="N1" s="179" t="str">
        <f ca="1">IFERROR(__xludf.DUMMYFUNCTION("""COMPUTED_VALUE"""),"Customers:   Do you have paying customers? Have you talked to potential customers?")</f>
        <v>Customers:   Do you have paying customers? Have you talked to potential customers?</v>
      </c>
      <c r="O1" s="179" t="str">
        <f ca="1">IFERROR(__xludf.DUMMYFUNCTION("""COMPUTED_VALUE"""),"Comments/Notes on Addressable Market:")</f>
        <v>Comments/Notes on Addressable Market:</v>
      </c>
      <c r="P1" s="179" t="str">
        <f ca="1">IFERROR(__xludf.DUMMYFUNCTION("""COMPUTED_VALUE"""),"Vision:  How compelling is the long-term vision for the company?")</f>
        <v>Vision:  How compelling is the long-term vision for the company?</v>
      </c>
      <c r="Q1" s="179" t="str">
        <f ca="1">IFERROR(__xludf.DUMMYFUNCTION("""COMPUTED_VALUE"""),"Innovators in Field:  What is the potential for the founders to be innovators in their field?")</f>
        <v>Innovators in Field:  What is the potential for the founders to be innovators in their field?</v>
      </c>
      <c r="R1" s="179" t="str">
        <f ca="1">IFERROR(__xludf.DUMMYFUNCTION("""COMPUTED_VALUE"""),"Experience:   What is the relevant experience of founders/advisors?")</f>
        <v>Experience:   What is the relevant experience of founders/advisors?</v>
      </c>
      <c r="S1" s="179" t="str">
        <f ca="1">IFERROR(__xludf.DUMMYFUNCTION("""COMPUTED_VALUE"""),"Comments/Notes on Team:")</f>
        <v>Comments/Notes on Team:</v>
      </c>
      <c r="T1" s="179" t="str">
        <f ca="1">IFERROR(__xludf.DUMMYFUNCTION("""COMPUTED_VALUE"""),"Dilutive Funding Raised: How much dilutive funding has the startup raised to-date?")</f>
        <v>Dilutive Funding Raised: How much dilutive funding has the startup raised to-date?</v>
      </c>
      <c r="U1" s="179" t="str">
        <f ca="1">IFERROR(__xludf.DUMMYFUNCTION("""COMPUTED_VALUE"""),"Dilutive Funding Plans: Does the startup plan to raise dilutive funding in the next 6-9 months?")</f>
        <v>Dilutive Funding Plans: Does the startup plan to raise dilutive funding in the next 6-9 months?</v>
      </c>
      <c r="V1" s="179" t="str">
        <f ca="1">IFERROR(__xludf.DUMMYFUNCTION("""COMPUTED_VALUE""")," Overall Score (1-5 considering the technology, team, and market):")</f>
        <v xml:space="preserve"> Overall Score (1-5 considering the technology, team, and market):</v>
      </c>
      <c r="W1" s="179" t="str">
        <f ca="1">IFERROR(__xludf.DUMMYFUNCTION("""COMPUTED_VALUE"""),"Overall Notes:")</f>
        <v>Overall Notes:</v>
      </c>
    </row>
    <row r="2" spans="1:23">
      <c r="A2" s="179" t="str">
        <f ca="1">IFERROR(__xludf.DUMMYFUNCTION("""COMPUTED_VALUE"""),"R")</f>
        <v>R</v>
      </c>
      <c r="B2" s="436">
        <f ca="1">IFERROR(__xludf.DUMMYFUNCTION("""COMPUTED_VALUE"""),44785.6459303935)</f>
        <v>44785.645930393497</v>
      </c>
      <c r="C2" s="179" t="str">
        <f ca="1">IFERROR(__xludf.DUMMYFUNCTION("""COMPUTED_VALUE"""),"jar10146@stern.nyu.edu")</f>
        <v>jar10146@stern.nyu.edu</v>
      </c>
      <c r="D2" s="179" t="str">
        <f ca="1">IFERROR(__xludf.DUMMYFUNCTION("""COMPUTED_VALUE"""),"Joshua Rubnitz")</f>
        <v>Joshua Rubnitz</v>
      </c>
      <c r="E2" s="179" t="str">
        <f ca="1">IFERROR(__xludf.DUMMYFUNCTION("""COMPUTED_VALUE"""),"I have read and understand the confidentiality agreement for application reviewers.")</f>
        <v>I have read and understand the confidentiality agreement for application reviewers.</v>
      </c>
      <c r="F2" s="179" t="str">
        <f ca="1">IFERROR(__xludf.DUMMYFUNCTION("""COMPUTED_VALUE"""),"Sonostik LLC")</f>
        <v>Sonostik LLC</v>
      </c>
      <c r="G2" s="179" t="str">
        <f ca="1">IFERROR(__xludf.DUMMYFUNCTION("""COMPUTED_VALUE"""),"Hardware innovation for intravenous access that improves IV success about 4x from current practice and reduces need. Healthcare/Life sciences industry. Have raised  2M Seed/2.1M Series A and are currently raising Series B. ")</f>
        <v xml:space="preserve">Hardware innovation for intravenous access that improves IV success about 4x from current practice and reduces need. Healthcare/Life sciences industry. Have raised  2M Seed/2.1M Series A and are currently raising Series B. </v>
      </c>
      <c r="H2" s="179">
        <f ca="1">IFERROR(__xludf.DUMMYFUNCTION("""COMPUTED_VALUE"""),4)</f>
        <v>4</v>
      </c>
      <c r="I2" s="179">
        <f ca="1">IFERROR(__xludf.DUMMYFUNCTION("""COMPUTED_VALUE"""),4)</f>
        <v>4</v>
      </c>
      <c r="J2" s="179">
        <f ca="1">IFERROR(__xludf.DUMMYFUNCTION("""COMPUTED_VALUE"""),5)</f>
        <v>5</v>
      </c>
      <c r="K2" s="179">
        <f ca="1">IFERROR(__xludf.DUMMYFUNCTION("""COMPUTED_VALUE"""),5)</f>
        <v>5</v>
      </c>
      <c r="L2" s="179" t="str">
        <f ca="1">IFERROR(__xludf.DUMMYFUNCTION("""COMPUTED_VALUE"""),"Have proven technology clinically and addresses a problem known to experts in the field.")</f>
        <v>Have proven technology clinically and addresses a problem known to experts in the field.</v>
      </c>
      <c r="M2" s="179">
        <f ca="1">IFERROR(__xludf.DUMMYFUNCTION("""COMPUTED_VALUE"""),4)</f>
        <v>4</v>
      </c>
      <c r="N2" s="179">
        <f ca="1">IFERROR(__xludf.DUMMYFUNCTION("""COMPUTED_VALUE"""),2)</f>
        <v>2</v>
      </c>
      <c r="O2" s="179" t="str">
        <f ca="1">IFERROR(__xludf.DUMMYFUNCTION("""COMPUTED_VALUE"""),"Mid sized market (~1B) that naturally uses consumable products, so there is room for Sonostik to naturally win market share as supplies are replenished.")</f>
        <v>Mid sized market (~1B) that naturally uses consumable products, so there is room for Sonostik to naturally win market share as supplies are replenished.</v>
      </c>
      <c r="P2" s="179">
        <f ca="1">IFERROR(__xludf.DUMMYFUNCTION("""COMPUTED_VALUE"""),3)</f>
        <v>3</v>
      </c>
      <c r="Q2" s="179">
        <f ca="1">IFERROR(__xludf.DUMMYFUNCTION("""COMPUTED_VALUE"""),5)</f>
        <v>5</v>
      </c>
      <c r="R2" s="179">
        <f ca="1">IFERROR(__xludf.DUMMYFUNCTION("""COMPUTED_VALUE"""),5)</f>
        <v>5</v>
      </c>
      <c r="S2" s="179" t="str">
        <f ca="1">IFERROR(__xludf.DUMMYFUNCTION("""COMPUTED_VALUE"""),"Great team of MDs with expertise that have recently brought on an MBA as CEO")</f>
        <v>Great team of MDs with expertise that have recently brought on an MBA as CEO</v>
      </c>
      <c r="T2" s="437">
        <f ca="1">IFERROR(__xludf.DUMMYFUNCTION("""COMPUTED_VALUE"""),4100000)</f>
        <v>4100000</v>
      </c>
      <c r="U2" s="179" t="str">
        <f ca="1">IFERROR(__xludf.DUMMYFUNCTION("""COMPUTED_VALUE"""),"&gt;$5M")</f>
        <v>&gt;$5M</v>
      </c>
      <c r="V2" s="179">
        <f ca="1">IFERROR(__xludf.DUMMYFUNCTION("""COMPUTED_VALUE"""),4)</f>
        <v>4</v>
      </c>
      <c r="W2" s="179" t="str">
        <f ca="1">IFERROR(__xludf.DUMMYFUNCTION("""COMPUTED_VALUE"""),"Team has much expertise in the field and has recently brought on a business expert. The solution to the problem has been proven clinically. There are some strategic questions that an investor would naturally ask that have not been answered in the applicat"&amp;"ion or the pitch. Not clear if the problem can be monetized effectively. Not sure if the team has granular and effective outlook on their growth strategy or the pricing of the product that would win market share. Could be a good opportunity for EFL to sup"&amp;"port a team with strategic insight.")</f>
        <v>Team has much expertise in the field and has recently brought on a business expert. The solution to the problem has been proven clinically. There are some strategic questions that an investor would naturally ask that have not been answered in the application or the pitch. Not clear if the problem can be monetized effectively. Not sure if the team has granular and effective outlook on their growth strategy or the pricing of the product that would win market share. Could be a good opportunity for EFL to support a team with strategic insight.</v>
      </c>
    </row>
    <row r="3" spans="1:23">
      <c r="A3" s="179" t="str">
        <f ca="1">IFERROR(__xludf.DUMMYFUNCTION("""COMPUTED_VALUE"""),"R")</f>
        <v>R</v>
      </c>
      <c r="B3" s="436">
        <f ca="1">IFERROR(__xludf.DUMMYFUNCTION("""COMPUTED_VALUE"""),44785.6513110532)</f>
        <v>44785.651311053203</v>
      </c>
      <c r="C3" s="179" t="str">
        <f ca="1">IFERROR(__xludf.DUMMYFUNCTION("""COMPUTED_VALUE"""),"jar10146@stern.nyu.edu")</f>
        <v>jar10146@stern.nyu.edu</v>
      </c>
      <c r="D3" s="179" t="str">
        <f ca="1">IFERROR(__xludf.DUMMYFUNCTION("""COMPUTED_VALUE"""),"Joshua Rubnitz")</f>
        <v>Joshua Rubnitz</v>
      </c>
      <c r="E3" s="179" t="str">
        <f ca="1">IFERROR(__xludf.DUMMYFUNCTION("""COMPUTED_VALUE"""),"I have read and understand the confidentiality agreement for application reviewers.")</f>
        <v>I have read and understand the confidentiality agreement for application reviewers.</v>
      </c>
      <c r="F3" s="179" t="str">
        <f ca="1">IFERROR(__xludf.DUMMYFUNCTION("""COMPUTED_VALUE"""),"Southern Dairy Products")</f>
        <v>Southern Dairy Products</v>
      </c>
      <c r="G3" s="179" t="str">
        <f ca="1">IFERROR(__xludf.DUMMYFUNCTION("""COMPUTED_VALUE"""),"Business is not organized yet. Plan to source environmentally responsibly produced dairy products to families in Malawi. Pre-seed.")</f>
        <v>Business is not organized yet. Plan to source environmentally responsibly produced dairy products to families in Malawi. Pre-seed.</v>
      </c>
      <c r="H3" s="179">
        <f ca="1">IFERROR(__xludf.DUMMYFUNCTION("""COMPUTED_VALUE"""),3)</f>
        <v>3</v>
      </c>
      <c r="I3" s="179">
        <f ca="1">IFERROR(__xludf.DUMMYFUNCTION("""COMPUTED_VALUE"""),1)</f>
        <v>1</v>
      </c>
      <c r="J3" s="179">
        <f ca="1">IFERROR(__xludf.DUMMYFUNCTION("""COMPUTED_VALUE"""),1)</f>
        <v>1</v>
      </c>
      <c r="K3" s="179">
        <f ca="1">IFERROR(__xludf.DUMMYFUNCTION("""COMPUTED_VALUE"""),1)</f>
        <v>1</v>
      </c>
      <c r="L3" s="179" t="str">
        <f ca="1">IFERROR(__xludf.DUMMYFUNCTION("""COMPUTED_VALUE"""),"Plans to distribute. No new tech. Possibly hard to imitate, due to the economics of the reason, but not sure due to lack of information in the application.")</f>
        <v>Plans to distribute. No new tech. Possibly hard to imitate, due to the economics of the reason, but not sure due to lack of information in the application.</v>
      </c>
      <c r="M3" s="179">
        <f ca="1">IFERROR(__xludf.DUMMYFUNCTION("""COMPUTED_VALUE"""),1)</f>
        <v>1</v>
      </c>
      <c r="N3" s="179">
        <f ca="1">IFERROR(__xludf.DUMMYFUNCTION("""COMPUTED_VALUE"""),1)</f>
        <v>1</v>
      </c>
      <c r="O3" s="179" t="str">
        <f ca="1">IFERROR(__xludf.DUMMYFUNCTION("""COMPUTED_VALUE"""),"Did not put a dollar value to the market size, does not have customers.")</f>
        <v>Did not put a dollar value to the market size, does not have customers.</v>
      </c>
      <c r="P3" s="179">
        <f ca="1">IFERROR(__xludf.DUMMYFUNCTION("""COMPUTED_VALUE"""),4)</f>
        <v>4</v>
      </c>
      <c r="Q3" s="179">
        <f ca="1">IFERROR(__xludf.DUMMYFUNCTION("""COMPUTED_VALUE"""),3)</f>
        <v>3</v>
      </c>
      <c r="R3" s="179">
        <f ca="1">IFERROR(__xludf.DUMMYFUNCTION("""COMPUTED_VALUE"""),2)</f>
        <v>2</v>
      </c>
      <c r="S3" s="179" t="str">
        <f ca="1">IFERROR(__xludf.DUMMYFUNCTION("""COMPUTED_VALUE"""),"Vision for growth, but no clear strategy.")</f>
        <v>Vision for growth, but no clear strategy.</v>
      </c>
      <c r="T3" s="437">
        <f ca="1">IFERROR(__xludf.DUMMYFUNCTION("""COMPUTED_VALUE"""),500)</f>
        <v>500</v>
      </c>
      <c r="U3" s="179" t="str">
        <f ca="1">IFERROR(__xludf.DUMMYFUNCTION("""COMPUTED_VALUE"""),"$100-$500K")</f>
        <v>$100-$500K</v>
      </c>
      <c r="V3" s="179">
        <f ca="1">IFERROR(__xludf.DUMMYFUNCTION("""COMPUTED_VALUE"""),2)</f>
        <v>2</v>
      </c>
      <c r="W3" s="179" t="str">
        <f ca="1">IFERROR(__xludf.DUMMYFUNCTION("""COMPUTED_VALUE"""),"Good vision to produce nutritious food for a region that has typically had problems with food supply, but no clear differentiator or strategy. Startup has not taken shape yet.")</f>
        <v>Good vision to produce nutritious food for a region that has typically had problems with food supply, but no clear differentiator or strategy. Startup has not taken shape yet.</v>
      </c>
    </row>
    <row r="4" spans="1:23">
      <c r="A4" s="179" t="str">
        <f ca="1">IFERROR(__xludf.DUMMYFUNCTION("""COMPUTED_VALUE"""),"R")</f>
        <v>R</v>
      </c>
      <c r="B4" s="436">
        <f ca="1">IFERROR(__xludf.DUMMYFUNCTION("""COMPUTED_VALUE"""),44785.7087124537)</f>
        <v>44785.708712453699</v>
      </c>
      <c r="C4" s="179" t="str">
        <f ca="1">IFERROR(__xludf.DUMMYFUNCTION("""COMPUTED_VALUE"""),"jar10146@stern.nyu.edu")</f>
        <v>jar10146@stern.nyu.edu</v>
      </c>
      <c r="D4" s="179" t="str">
        <f ca="1">IFERROR(__xludf.DUMMYFUNCTION("""COMPUTED_VALUE"""),"Joshua Rubnitz")</f>
        <v>Joshua Rubnitz</v>
      </c>
      <c r="E4" s="179" t="str">
        <f ca="1">IFERROR(__xludf.DUMMYFUNCTION("""COMPUTED_VALUE"""),"I have read and understand the confidentiality agreement for application reviewers.")</f>
        <v>I have read and understand the confidentiality agreement for application reviewers.</v>
      </c>
      <c r="F4" s="179" t="str">
        <f ca="1">IFERROR(__xludf.DUMMYFUNCTION("""COMPUTED_VALUE"""),"SparkAI")</f>
        <v>SparkAI</v>
      </c>
      <c r="G4" s="179" t="str">
        <f ca="1">IFERROR(__xludf.DUMMYFUNCTION("""COMPUTED_VALUE"""),"Product injects human cognition into AI workflows to solve real world problems that the AI was not trained to handle due to the limitless possibility of problems in the real world. Deep Tech/Big data. Series A.")</f>
        <v>Product injects human cognition into AI workflows to solve real world problems that the AI was not trained to handle due to the limitless possibility of problems in the real world. Deep Tech/Big data. Series A.</v>
      </c>
      <c r="H4" s="179">
        <f ca="1">IFERROR(__xludf.DUMMYFUNCTION("""COMPUTED_VALUE"""),5)</f>
        <v>5</v>
      </c>
      <c r="I4" s="179">
        <f ca="1">IFERROR(__xludf.DUMMYFUNCTION("""COMPUTED_VALUE"""),4)</f>
        <v>4</v>
      </c>
      <c r="J4" s="179">
        <f ca="1">IFERROR(__xludf.DUMMYFUNCTION("""COMPUTED_VALUE"""),4)</f>
        <v>4</v>
      </c>
      <c r="K4" s="179">
        <f ca="1">IFERROR(__xludf.DUMMYFUNCTION("""COMPUTED_VALUE"""),3)</f>
        <v>3</v>
      </c>
      <c r="L4" s="179" t="str">
        <f ca="1">IFERROR(__xludf.DUMMYFUNCTION("""COMPUTED_VALUE"""),"Hard to validate the functionality of the technology based on the application, although they claim that it is proven and they have 1-10 customers and almost $1M in revenue. There are no patents and the solution is completely software based, but the fundam"&amp;"ental technology is tech focused and will require serious resources to imitate.")</f>
        <v>Hard to validate the functionality of the technology based on the application, although they claim that it is proven and they have 1-10 customers and almost $1M in revenue. There are no patents and the solution is completely software based, but the fundamental technology is tech focused and will require serious resources to imitate.</v>
      </c>
      <c r="M4" s="179">
        <f ca="1">IFERROR(__xludf.DUMMYFUNCTION("""COMPUTED_VALUE"""),3)</f>
        <v>3</v>
      </c>
      <c r="N4" s="179">
        <f ca="1">IFERROR(__xludf.DUMMYFUNCTION("""COMPUTED_VALUE"""),5)</f>
        <v>5</v>
      </c>
      <c r="O4" s="179" t="str">
        <f ca="1">IFERROR(__xludf.DUMMYFUNCTION("""COMPUTED_VALUE"""),"The market is probably quite large, but the application did not provide any estimate of the market. Can infer that the potential market is huge though. The startup does have 1-10 customers and almost $1M in revenue and is projected to grow to $1.3M")</f>
        <v>The market is probably quite large, but the application did not provide any estimate of the market. Can infer that the potential market is huge though. The startup does have 1-10 customers and almost $1M in revenue and is projected to grow to $1.3M</v>
      </c>
      <c r="P4" s="179">
        <f ca="1">IFERROR(__xludf.DUMMYFUNCTION("""COMPUTED_VALUE"""),4)</f>
        <v>4</v>
      </c>
      <c r="Q4" s="179">
        <f ca="1">IFERROR(__xludf.DUMMYFUNCTION("""COMPUTED_VALUE"""),4)</f>
        <v>4</v>
      </c>
      <c r="R4" s="179">
        <f ca="1">IFERROR(__xludf.DUMMYFUNCTION("""COMPUTED_VALUE"""),5)</f>
        <v>5</v>
      </c>
      <c r="S4" s="179" t="str">
        <f ca="1">IFERROR(__xludf.DUMMYFUNCTION("""COMPUTED_VALUE"""),"Good background and success with startups before.")</f>
        <v>Good background and success with startups before.</v>
      </c>
      <c r="T4" s="437">
        <f ca="1">IFERROR(__xludf.DUMMYFUNCTION("""COMPUTED_VALUE"""),6770000)</f>
        <v>6770000</v>
      </c>
      <c r="U4" s="179" t="str">
        <f ca="1">IFERROR(__xludf.DUMMYFUNCTION("""COMPUTED_VALUE"""),"No")</f>
        <v>No</v>
      </c>
      <c r="V4" s="179">
        <f ca="1">IFERROR(__xludf.DUMMYFUNCTION("""COMPUTED_VALUE"""),4)</f>
        <v>4</v>
      </c>
      <c r="W4" s="179" t="str">
        <f ca="1">IFERROR(__xludf.DUMMYFUNCTION("""COMPUTED_VALUE"""),"The promise of this product is huge. If the tech works as advertised, it could be very powerful for IoT, automation, edge compute etc. and would unlock a huge market. They are addressing a very difficult problem to solve, so there is some value in being f"&amp;"irst mover. 
The team did not supply a deck and did not specify market size or the plan/amount of funding they are raising (but they are raising funding). The team also sees no competition except for internal efforts of companies trying to build their ow"&amp;"n edge AI systems–this is possibly inaccurate. ")</f>
        <v xml:space="preserve">The promise of this product is huge. If the tech works as advertised, it could be very powerful for IoT, automation, edge compute etc. and would unlock a huge market. They are addressing a very difficult problem to solve, so there is some value in being first mover. 
The team did not supply a deck and did not specify market size or the plan/amount of funding they are raising (but they are raising funding). The team also sees no competition except for internal efforts of companies trying to build their own edge AI systems–this is possibly inaccurate. </v>
      </c>
    </row>
    <row r="5" spans="1:23">
      <c r="A5" s="179" t="str">
        <f ca="1">IFERROR(__xludf.DUMMYFUNCTION("""COMPUTED_VALUE"""),"R")</f>
        <v>R</v>
      </c>
      <c r="B5" s="436">
        <f ca="1">IFERROR(__xludf.DUMMYFUNCTION("""COMPUTED_VALUE"""),44785.735226956)</f>
        <v>44785.735226956</v>
      </c>
      <c r="C5" s="179" t="str">
        <f ca="1">IFERROR(__xludf.DUMMYFUNCTION("""COMPUTED_VALUE"""),"jar10146@stern.nyu.edu")</f>
        <v>jar10146@stern.nyu.edu</v>
      </c>
      <c r="D5" s="179" t="str">
        <f ca="1">IFERROR(__xludf.DUMMYFUNCTION("""COMPUTED_VALUE"""),"Joshua Rubnitz")</f>
        <v>Joshua Rubnitz</v>
      </c>
      <c r="E5" s="179" t="str">
        <f ca="1">IFERROR(__xludf.DUMMYFUNCTION("""COMPUTED_VALUE"""),"I have read and understand the confidentiality agreement for application reviewers.")</f>
        <v>I have read and understand the confidentiality agreement for application reviewers.</v>
      </c>
      <c r="F5" s="179" t="str">
        <f ca="1">IFERROR(__xludf.DUMMYFUNCTION("""COMPUTED_VALUE"""),"SPG Therapeutics, Inc.")</f>
        <v>SPG Therapeutics, Inc.</v>
      </c>
      <c r="G5" s="179" t="str">
        <f ca="1">IFERROR(__xludf.DUMMYFUNCTION("""COMPUTED_VALUE"""),"Topical treatment for hidradenitis suppurativa skin disease, with long term vision for other topical drug treatments. Current solutions are off label or carry bad side effects. Industry is life sciences/healthcare. Raising series A and has begun validatin"&amp;"g product in lab, and will soon file an IND with the FDA.")</f>
        <v>Topical treatment for hidradenitis suppurativa skin disease, with long term vision for other topical drug treatments. Current solutions are off label or carry bad side effects. Industry is life sciences/healthcare. Raising series A and has begun validating product in lab, and will soon file an IND with the FDA.</v>
      </c>
      <c r="H5" s="179">
        <f ca="1">IFERROR(__xludf.DUMMYFUNCTION("""COMPUTED_VALUE"""),5)</f>
        <v>5</v>
      </c>
      <c r="I5" s="179">
        <f ca="1">IFERROR(__xludf.DUMMYFUNCTION("""COMPUTED_VALUE"""),5)</f>
        <v>5</v>
      </c>
      <c r="J5" s="179">
        <f ca="1">IFERROR(__xludf.DUMMYFUNCTION("""COMPUTED_VALUE"""),3)</f>
        <v>3</v>
      </c>
      <c r="K5" s="179">
        <f ca="1">IFERROR(__xludf.DUMMYFUNCTION("""COMPUTED_VALUE"""),4)</f>
        <v>4</v>
      </c>
      <c r="L5" s="179" t="str">
        <f ca="1">IFERROR(__xludf.DUMMYFUNCTION("""COMPUTED_VALUE"""),"Novel solution to a problem that would be much better for the consumer in terms of both safety and efficacy. Has been validated in lab tests and the science is presented well, but testing on human subjects is always a long time horizon and a challenge tha"&amp;"t has not begun. Founder has filed for international IP protection and patents.")</f>
        <v>Novel solution to a problem that would be much better for the consumer in terms of both safety and efficacy. Has been validated in lab tests and the science is presented well, but testing on human subjects is always a long time horizon and a challenge that has not begun. Founder has filed for international IP protection and patents.</v>
      </c>
      <c r="M5" s="179">
        <f ca="1">IFERROR(__xludf.DUMMYFUNCTION("""COMPUTED_VALUE"""),5)</f>
        <v>5</v>
      </c>
      <c r="N5" s="179">
        <f ca="1">IFERROR(__xludf.DUMMYFUNCTION("""COMPUTED_VALUE"""),3)</f>
        <v>3</v>
      </c>
      <c r="O5" s="179" t="str">
        <f ca="1">IFERROR(__xludf.DUMMYFUNCTION("""COMPUTED_VALUE"""),"Market is accurately sized, is large, and has room to grow. The founder believes that the product could get FDA approval by 2027, but customer acquisition will be at least 4-5 years out. ")</f>
        <v xml:space="preserve">Market is accurately sized, is large, and has room to grow. The founder believes that the product could get FDA approval by 2027, but customer acquisition will be at least 4-5 years out. </v>
      </c>
      <c r="P5" s="179">
        <f ca="1">IFERROR(__xludf.DUMMYFUNCTION("""COMPUTED_VALUE"""),5)</f>
        <v>5</v>
      </c>
      <c r="Q5" s="179">
        <f ca="1">IFERROR(__xludf.DUMMYFUNCTION("""COMPUTED_VALUE"""),5)</f>
        <v>5</v>
      </c>
      <c r="R5" s="179">
        <f ca="1">IFERROR(__xludf.DUMMYFUNCTION("""COMPUTED_VALUE"""),4)</f>
        <v>4</v>
      </c>
      <c r="S5" s="179" t="str">
        <f ca="1">IFERROR(__xludf.DUMMYFUNCTION("""COMPUTED_VALUE"""),"The current team is just the founder, but there is an impressive advisory board. Founder is technically exceptional, and has put together a wonderful science &amp; business focused slide deck, but does not have any business-specific team members.")</f>
        <v>The current team is just the founder, but there is an impressive advisory board. Founder is technically exceptional, and has put together a wonderful science &amp; business focused slide deck, but does not have any business-specific team members.</v>
      </c>
      <c r="T5" s="437">
        <f ca="1">IFERROR(__xludf.DUMMYFUNCTION("""COMPUTED_VALUE"""),500000)</f>
        <v>500000</v>
      </c>
      <c r="U5" s="179" t="str">
        <f ca="1">IFERROR(__xludf.DUMMYFUNCTION("""COMPUTED_VALUE"""),"&gt;$5M")</f>
        <v>&gt;$5M</v>
      </c>
      <c r="V5" s="179">
        <f ca="1">IFERROR(__xludf.DUMMYFUNCTION("""COMPUTED_VALUE"""),5)</f>
        <v>5</v>
      </c>
      <c r="W5" s="179" t="str">
        <f ca="1">IFERROR(__xludf.DUMMYFUNCTION("""COMPUTED_VALUE"""),"Founder has put together an exceptional plan to solve a specific problem, an outlook for growth, concrete uses of funding, and is already targeting to be acquired  if all goes well. The biggest risk is the technology not working, although initial data is "&amp;"promising. Founder does not have any business specialists on the team, but has an impressive advisory board. Startup has been funded by the founder &amp; family.
Some oversight from business experts at EFL could go a long way.")</f>
        <v>Founder has put together an exceptional plan to solve a specific problem, an outlook for growth, concrete uses of funding, and is already targeting to be acquired  if all goes well. The biggest risk is the technology not working, although initial data is promising. Founder does not have any business specialists on the team, but has an impressive advisory board. Startup has been funded by the founder &amp; family.
Some oversight from business experts at EFL could go a long way.</v>
      </c>
    </row>
    <row r="6" spans="1:23">
      <c r="A6" s="179" t="str">
        <f ca="1">IFERROR(__xludf.DUMMYFUNCTION("""COMPUTED_VALUE"""),"R")</f>
        <v>R</v>
      </c>
      <c r="B6" s="436">
        <f ca="1">IFERROR(__xludf.DUMMYFUNCTION("""COMPUTED_VALUE"""),44785.7786900115)</f>
        <v>44785.778690011502</v>
      </c>
      <c r="C6" s="179" t="str">
        <f ca="1">IFERROR(__xludf.DUMMYFUNCTION("""COMPUTED_VALUE"""),"jar10146@stern.nyu.edu")</f>
        <v>jar10146@stern.nyu.edu</v>
      </c>
      <c r="D6" s="179" t="str">
        <f ca="1">IFERROR(__xludf.DUMMYFUNCTION("""COMPUTED_VALUE"""),"Joshua Rubnitz")</f>
        <v>Joshua Rubnitz</v>
      </c>
      <c r="E6" s="179" t="str">
        <f ca="1">IFERROR(__xludf.DUMMYFUNCTION("""COMPUTED_VALUE"""),"I have read and understand the confidentiality agreement for application reviewers.")</f>
        <v>I have read and understand the confidentiality agreement for application reviewers.</v>
      </c>
      <c r="F6" s="438" t="str">
        <f ca="1">IFERROR(__xludf.DUMMYFUNCTION("""COMPUTED_VALUE"""),"Spiky.ai")</f>
        <v>Spiky.ai</v>
      </c>
      <c r="G6" s="179" t="str">
        <f ca="1">IFERROR(__xludf.DUMMYFUNCTION("""COMPUTED_VALUE"""),"Spiky.ai's machine learning algorithm can be added to video conferencing applications to track and quantify employee satisfaction and engagement so that companies can improve productivity across the organization. Deep/digital tech. Have developed a produc"&amp;"t and have some customers that seem to be enthusiastic about the product. Have raised a seed round and are now raising a bridge round (although this 'bridge' is 2x the size of the seed round).")</f>
        <v>Spiky.ai's machine learning algorithm can be added to video conferencing applications to track and quantify employee satisfaction and engagement so that companies can improve productivity across the organization. Deep/digital tech. Have developed a product and have some customers that seem to be enthusiastic about the product. Have raised a seed round and are now raising a bridge round (although this 'bridge' is 2x the size of the seed round).</v>
      </c>
      <c r="H6" s="179">
        <f ca="1">IFERROR(__xludf.DUMMYFUNCTION("""COMPUTED_VALUE"""),5)</f>
        <v>5</v>
      </c>
      <c r="I6" s="179">
        <f ca="1">IFERROR(__xludf.DUMMYFUNCTION("""COMPUTED_VALUE"""),3)</f>
        <v>3</v>
      </c>
      <c r="J6" s="179">
        <f ca="1">IFERROR(__xludf.DUMMYFUNCTION("""COMPUTED_VALUE"""),5)</f>
        <v>5</v>
      </c>
      <c r="K6" s="179">
        <f ca="1">IFERROR(__xludf.DUMMYFUNCTION("""COMPUTED_VALUE"""),3)</f>
        <v>3</v>
      </c>
      <c r="L6" s="179" t="str">
        <f ca="1">IFERROR(__xludf.DUMMYFUNCTION("""COMPUTED_VALUE"""),"Seems to be validated by enthusiastic customers. Spiky.ai claims that their product is differentiated by creating much richer, actionable data as compared to any competitors. Many competitors do exist in the employee productivity space, and many sentiment"&amp;" analysis tools do exist, so competition will be a problem if the product can't perform as promised.")</f>
        <v>Seems to be validated by enthusiastic customers. Spiky.ai claims that their product is differentiated by creating much richer, actionable data as compared to any competitors. Many competitors do exist in the employee productivity space, and many sentiment analysis tools do exist, so competition will be a problem if the product can't perform as promised.</v>
      </c>
      <c r="M6" s="179">
        <f ca="1">IFERROR(__xludf.DUMMYFUNCTION("""COMPUTED_VALUE"""),4)</f>
        <v>4</v>
      </c>
      <c r="N6" s="179">
        <f ca="1">IFERROR(__xludf.DUMMYFUNCTION("""COMPUTED_VALUE"""),5)</f>
        <v>5</v>
      </c>
      <c r="O6" s="179" t="str">
        <f ca="1">IFERROR(__xludf.DUMMYFUNCTION("""COMPUTED_VALUE"""),"Large market (up to $1.5T) that the founders have segmented nicely. Can capitalize on any small part of this huge market. Does have 1-10 customers and is generating $25k monthly.")</f>
        <v>Large market (up to $1.5T) that the founders have segmented nicely. Can capitalize on any small part of this huge market. Does have 1-10 customers and is generating $25k monthly.</v>
      </c>
      <c r="P6" s="179">
        <f ca="1">IFERROR(__xludf.DUMMYFUNCTION("""COMPUTED_VALUE"""),5)</f>
        <v>5</v>
      </c>
      <c r="Q6" s="179">
        <f ca="1">IFERROR(__xludf.DUMMYFUNCTION("""COMPUTED_VALUE"""),5)</f>
        <v>5</v>
      </c>
      <c r="R6" s="179">
        <f ca="1">IFERROR(__xludf.DUMMYFUNCTION("""COMPUTED_VALUE"""),5)</f>
        <v>5</v>
      </c>
      <c r="S6" s="179" t="str">
        <f ca="1">IFERROR(__xludf.DUMMYFUNCTION("""COMPUTED_VALUE"""),"Good outlook for growth and very technically exceptional founders. No business experience professionals on the team yet.")</f>
        <v>Good outlook for growth and very technically exceptional founders. No business experience professionals on the team yet.</v>
      </c>
      <c r="T6" s="437">
        <f ca="1">IFERROR(__xludf.DUMMYFUNCTION("""COMPUTED_VALUE"""),400000)</f>
        <v>400000</v>
      </c>
      <c r="U6" s="179" t="str">
        <f ca="1">IFERROR(__xludf.DUMMYFUNCTION("""COMPUTED_VALUE"""),"$1M-$5M")</f>
        <v>$1M-$5M</v>
      </c>
      <c r="V6" s="179">
        <f ca="1">IFERROR(__xludf.DUMMYFUNCTION("""COMPUTED_VALUE"""),4)</f>
        <v>4</v>
      </c>
      <c r="W6" s="179" t="str">
        <f ca="1">IFERROR(__xludf.DUMMYFUNCTION("""COMPUTED_VALUE"""),"Technically proficient team with customers that really like the product (customers have been asking for early access). In a large market with room for quick revenue growth. Could generate tons of undiscovered solutions and useful data for their customers."&amp;" 
Likely to eventually run into competition from similar services down the road. Would need to be very strategic to sustain business long term. Will likely run into data privacy issues that need to be prepared for.")</f>
        <v>Technically proficient team with customers that really like the product (customers have been asking for early access). In a large market with room for quick revenue growth. Could generate tons of undiscovered solutions and useful data for their customers. 
Likely to eventually run into competition from similar services down the road. Would need to be very strategic to sustain business long term. Will likely run into data privacy issues that need to be prepared for.</v>
      </c>
    </row>
    <row r="7" spans="1:23">
      <c r="A7" s="179" t="str">
        <f ca="1">IFERROR(__xludf.DUMMYFUNCTION("""COMPUTED_VALUE"""),"R")</f>
        <v>R</v>
      </c>
      <c r="B7" s="436">
        <f ca="1">IFERROR(__xludf.DUMMYFUNCTION("""COMPUTED_VALUE"""),44785.788423287)</f>
        <v>44785.788423286998</v>
      </c>
      <c r="C7" s="179" t="str">
        <f ca="1">IFERROR(__xludf.DUMMYFUNCTION("""COMPUTED_VALUE"""),"jar10146@stern.nyu.edu")</f>
        <v>jar10146@stern.nyu.edu</v>
      </c>
      <c r="D7" s="179" t="str">
        <f ca="1">IFERROR(__xludf.DUMMYFUNCTION("""COMPUTED_VALUE"""),"Joshua Rubnitz")</f>
        <v>Joshua Rubnitz</v>
      </c>
      <c r="E7" s="179" t="str">
        <f ca="1">IFERROR(__xludf.DUMMYFUNCTION("""COMPUTED_VALUE"""),"I have read and understand the confidentiality agreement for application reviewers.")</f>
        <v>I have read and understand the confidentiality agreement for application reviewers.</v>
      </c>
      <c r="F7" s="179" t="str">
        <f ca="1">IFERROR(__xludf.DUMMYFUNCTION("""COMPUTED_VALUE"""),"Sprayify (formerly known as Coatify)")</f>
        <v>Sprayify (formerly known as Coatify)</v>
      </c>
      <c r="G7" s="179" t="str">
        <f ca="1">IFERROR(__xludf.DUMMYFUNCTION("""COMPUTED_VALUE"""),"Self disinfecting coatings for surfaces to prevent spread of disease in high-touch areas. Will sell B2B to keep customers safe and reduce costs. Life sciences/cleaning products. Raising Seed (round label not explicitly specified).")</f>
        <v>Self disinfecting coatings for surfaces to prevent spread of disease in high-touch areas. Will sell B2B to keep customers safe and reduce costs. Life sciences/cleaning products. Raising Seed (round label not explicitly specified).</v>
      </c>
      <c r="H7" s="179">
        <f ca="1">IFERROR(__xludf.DUMMYFUNCTION("""COMPUTED_VALUE"""),5)</f>
        <v>5</v>
      </c>
      <c r="I7" s="179">
        <f ca="1">IFERROR(__xludf.DUMMYFUNCTION("""COMPUTED_VALUE"""),2)</f>
        <v>2</v>
      </c>
      <c r="J7" s="179">
        <f ca="1">IFERROR(__xludf.DUMMYFUNCTION("""COMPUTED_VALUE"""),3)</f>
        <v>3</v>
      </c>
      <c r="K7" s="179">
        <f ca="1">IFERROR(__xludf.DUMMYFUNCTION("""COMPUTED_VALUE"""),2)</f>
        <v>2</v>
      </c>
      <c r="L7" s="179" t="str">
        <f ca="1">IFERROR(__xludf.DUMMYFUNCTION("""COMPUTED_VALUE"""),"Keeping surfaces clean and reducing intermittent cleaning costs is clearly an issue that is top of mind for many business owners due to the pandemic. There is not any mention about the novelty of the technology, and the business admits there are 'direct c"&amp;"ompetitors'. Seems like there is little differentiation. ")</f>
        <v xml:space="preserve">Keeping surfaces clean and reducing intermittent cleaning costs is clearly an issue that is top of mind for many business owners due to the pandemic. There is not any mention about the novelty of the technology, and the business admits there are 'direct competitors'. Seems like there is little differentiation. </v>
      </c>
      <c r="M7" s="179">
        <f ca="1">IFERROR(__xludf.DUMMYFUNCTION("""COMPUTED_VALUE"""),5)</f>
        <v>5</v>
      </c>
      <c r="N7" s="179">
        <f ca="1">IFERROR(__xludf.DUMMYFUNCTION("""COMPUTED_VALUE"""),2)</f>
        <v>2</v>
      </c>
      <c r="O7" s="179" t="str">
        <f ca="1">IFERROR(__xludf.DUMMYFUNCTION("""COMPUTED_VALUE"""),"Definitely a large market. Has 1-10 customers, but they are not paying.")</f>
        <v>Definitely a large market. Has 1-10 customers, but they are not paying.</v>
      </c>
      <c r="P7" s="179">
        <f ca="1">IFERROR(__xludf.DUMMYFUNCTION("""COMPUTED_VALUE"""),2)</f>
        <v>2</v>
      </c>
      <c r="Q7" s="179">
        <f ca="1">IFERROR(__xludf.DUMMYFUNCTION("""COMPUTED_VALUE"""),5)</f>
        <v>5</v>
      </c>
      <c r="R7" s="179">
        <f ca="1">IFERROR(__xludf.DUMMYFUNCTION("""COMPUTED_VALUE"""),3)</f>
        <v>3</v>
      </c>
      <c r="S7" s="179" t="str">
        <f ca="1">IFERROR(__xludf.DUMMYFUNCTION("""COMPUTED_VALUE"""),"Impressive team with a masters-level chemist and physicist and a CFO with an economics education. First startup for all founders.")</f>
        <v>Impressive team with a masters-level chemist and physicist and a CFO with an economics education. First startup for all founders.</v>
      </c>
      <c r="T7" s="179"/>
      <c r="U7" s="179" t="str">
        <f ca="1">IFERROR(__xludf.DUMMYFUNCTION("""COMPUTED_VALUE"""),"$100-$500K")</f>
        <v>$100-$500K</v>
      </c>
      <c r="V7" s="179">
        <f ca="1">IFERROR(__xludf.DUMMYFUNCTION("""COMPUTED_VALUE"""),2)</f>
        <v>2</v>
      </c>
      <c r="W7" s="179" t="str">
        <f ca="1">IFERROR(__xludf.DUMMYFUNCTION("""COMPUTED_VALUE"""),"Not any clear technical differentiator and technology is not advertised at all in the pitch. Good market to target, but startup is likely not ready for accelerator.")</f>
        <v>Not any clear technical differentiator and technology is not advertised at all in the pitch. Good market to target, but startup is likely not ready for accelerator.</v>
      </c>
    </row>
    <row r="8" spans="1:23">
      <c r="A8" s="179" t="str">
        <f ca="1">IFERROR(__xludf.DUMMYFUNCTION("""COMPUTED_VALUE"""),"R")</f>
        <v>R</v>
      </c>
      <c r="B8" s="436">
        <f ca="1">IFERROR(__xludf.DUMMYFUNCTION("""COMPUTED_VALUE"""),44785.8279993287)</f>
        <v>44785.8279993287</v>
      </c>
      <c r="C8" s="179" t="str">
        <f ca="1">IFERROR(__xludf.DUMMYFUNCTION("""COMPUTED_VALUE"""),"jar10146@stern.nyu.edu")</f>
        <v>jar10146@stern.nyu.edu</v>
      </c>
      <c r="D8" s="179" t="str">
        <f ca="1">IFERROR(__xludf.DUMMYFUNCTION("""COMPUTED_VALUE"""),"Joshua Rubnitz")</f>
        <v>Joshua Rubnitz</v>
      </c>
      <c r="E8" s="179" t="str">
        <f ca="1">IFERROR(__xludf.DUMMYFUNCTION("""COMPUTED_VALUE"""),"I have read and understand the confidentiality agreement for application reviewers.")</f>
        <v>I have read and understand the confidentiality agreement for application reviewers.</v>
      </c>
      <c r="F8" s="179" t="str">
        <f ca="1">IFERROR(__xludf.DUMMYFUNCTION("""COMPUTED_VALUE"""),"staex GmbH")</f>
        <v>staex GmbH</v>
      </c>
      <c r="G8" s="179" t="str">
        <f ca="1">IFERROR(__xludf.DUMMYFUNCTION("""COMPUTED_VALUE"""),"Distributed and secure software package that allows for simultaneous control of many 'nodes' on a network. Machine to machine communication will lower latency and increase reliability of the network. Industry: deep tech/robotics. Stage:")</f>
        <v>Distributed and secure software package that allows for simultaneous control of many 'nodes' on a network. Machine to machine communication will lower latency and increase reliability of the network. Industry: deep tech/robotics. Stage:</v>
      </c>
      <c r="H8" s="179">
        <f ca="1">IFERROR(__xludf.DUMMYFUNCTION("""COMPUTED_VALUE"""),5)</f>
        <v>5</v>
      </c>
      <c r="I8" s="179">
        <f ca="1">IFERROR(__xludf.DUMMYFUNCTION("""COMPUTED_VALUE"""),4)</f>
        <v>4</v>
      </c>
      <c r="J8" s="179">
        <f ca="1">IFERROR(__xludf.DUMMYFUNCTION("""COMPUTED_VALUE"""),4)</f>
        <v>4</v>
      </c>
      <c r="K8" s="179">
        <f ca="1">IFERROR(__xludf.DUMMYFUNCTION("""COMPUTED_VALUE"""),4)</f>
        <v>4</v>
      </c>
      <c r="L8" s="179" t="str">
        <f ca="1">IFERROR(__xludf.DUMMYFUNCTION("""COMPUTED_VALUE"""),"Good tech and forward thinking problem that seems to be gaining traction with customers. This will be very difficult to implement, but it requires a network that will itself prevent imitation.")</f>
        <v>Good tech and forward thinking problem that seems to be gaining traction with customers. This will be very difficult to implement, but it requires a network that will itself prevent imitation.</v>
      </c>
      <c r="M8" s="179">
        <f ca="1">IFERROR(__xludf.DUMMYFUNCTION("""COMPUTED_VALUE"""),4)</f>
        <v>4</v>
      </c>
      <c r="N8" s="179">
        <f ca="1">IFERROR(__xludf.DUMMYFUNCTION("""COMPUTED_VALUE"""),5)</f>
        <v>5</v>
      </c>
      <c r="O8" s="179" t="str">
        <f ca="1">IFERROR(__xludf.DUMMYFUNCTION("""COMPUTED_VALUE"""),"Large market that is growing with IoT and edge compute. Company has 1-10 customers and generated $110,000 on a deal with a city in Germany. Developing partnerships with companies such as Intel &amp; Deloitte.")</f>
        <v>Large market that is growing with IoT and edge compute. Company has 1-10 customers and generated $110,000 on a deal with a city in Germany. Developing partnerships with companies such as Intel &amp; Deloitte.</v>
      </c>
      <c r="P8" s="179">
        <f ca="1">IFERROR(__xludf.DUMMYFUNCTION("""COMPUTED_VALUE"""),4)</f>
        <v>4</v>
      </c>
      <c r="Q8" s="179">
        <f ca="1">IFERROR(__xludf.DUMMYFUNCTION("""COMPUTED_VALUE"""),4)</f>
        <v>4</v>
      </c>
      <c r="R8" s="179">
        <f ca="1">IFERROR(__xludf.DUMMYFUNCTION("""COMPUTED_VALUE"""),5)</f>
        <v>5</v>
      </c>
      <c r="S8" s="179" t="str">
        <f ca="1">IFERROR(__xludf.DUMMYFUNCTION("""COMPUTED_VALUE"""),"Diverse impressive team from PhD computer scientists to serial entrepreneurs, plus an excellent advisory board. ")</f>
        <v xml:space="preserve">Diverse impressive team from PhD computer scientists to serial entrepreneurs, plus an excellent advisory board. </v>
      </c>
      <c r="T8" s="437">
        <f ca="1">IFERROR(__xludf.DUMMYFUNCTION("""COMPUTED_VALUE"""),1650000)</f>
        <v>1650000</v>
      </c>
      <c r="U8" s="179" t="str">
        <f ca="1">IFERROR(__xludf.DUMMYFUNCTION("""COMPUTED_VALUE"""),"$500K-$1M")</f>
        <v>$500K-$1M</v>
      </c>
      <c r="V8" s="179">
        <f ca="1">IFERROR(__xludf.DUMMYFUNCTION("""COMPUTED_VALUE"""),5)</f>
        <v>5</v>
      </c>
      <c r="W8" s="179" t="str">
        <f ca="1">IFERROR(__xludf.DUMMYFUNCTION("""COMPUTED_VALUE"""),"Forward thinking tech that will take significant resources to reach scale. Impressive team that has potential to tackle a large challenge. Only 2-5 months of runway. Could benefit from EFL's network and consultation to survive to profitability.")</f>
        <v>Forward thinking tech that will take significant resources to reach scale. Impressive team that has potential to tackle a large challenge. Only 2-5 months of runway. Could benefit from EFL's network and consultation to survive to profitability.</v>
      </c>
    </row>
    <row r="9" spans="1:23">
      <c r="A9" s="179" t="str">
        <f ca="1">IFERROR(__xludf.DUMMYFUNCTION("""COMPUTED_VALUE"""),"R")</f>
        <v>R</v>
      </c>
      <c r="B9" s="436">
        <f ca="1">IFERROR(__xludf.DUMMYFUNCTION("""COMPUTED_VALUE"""),44785.8847289583)</f>
        <v>44785.884728958299</v>
      </c>
      <c r="C9" s="179" t="str">
        <f ca="1">IFERROR(__xludf.DUMMYFUNCTION("""COMPUTED_VALUE"""),"jar10146@stern.nyu.edu")</f>
        <v>jar10146@stern.nyu.edu</v>
      </c>
      <c r="D9" s="179" t="str">
        <f ca="1">IFERROR(__xludf.DUMMYFUNCTION("""COMPUTED_VALUE"""),"Joshua Rubnitz")</f>
        <v>Joshua Rubnitz</v>
      </c>
      <c r="E9" s="179" t="str">
        <f ca="1">IFERROR(__xludf.DUMMYFUNCTION("""COMPUTED_VALUE"""),"I have read and understand the confidentiality agreement for application reviewers.")</f>
        <v>I have read and understand the confidentiality agreement for application reviewers.</v>
      </c>
      <c r="F9" s="179" t="str">
        <f ca="1">IFERROR(__xludf.DUMMYFUNCTION("""COMPUTED_VALUE"""),"Stanford University Medical Center/Phinomics")</f>
        <v>Stanford University Medical Center/Phinomics</v>
      </c>
      <c r="G9" s="179" t="str">
        <f ca="1">IFERROR(__xludf.DUMMYFUNCTION("""COMPUTED_VALUE"""),"Recent advances in DNA sequencing technology (invented by the founders at Stanford) has allowed for the mapping of circular-DNA. This will we solve a genetic puzzle that unlocks a universal 'stage-zero' diagnostic for disease. This allows for targeted tre"&amp;"atment at the earliest stage ever. Healthcare industry. Have raised pre-seed &amp; currently raising seed. Product has been tested successfully on lab samples, but has no FDA approval for patient testing/application yet.")</f>
        <v>Recent advances in DNA sequencing technology (invented by the founders at Stanford) has allowed for the mapping of circular-DNA. This will we solve a genetic puzzle that unlocks a universal 'stage-zero' diagnostic for disease. This allows for targeted treatment at the earliest stage ever. Healthcare industry. Have raised pre-seed &amp; currently raising seed. Product has been tested successfully on lab samples, but has no FDA approval for patient testing/application yet.</v>
      </c>
      <c r="H9" s="179">
        <f ca="1">IFERROR(__xludf.DUMMYFUNCTION("""COMPUTED_VALUE"""),5)</f>
        <v>5</v>
      </c>
      <c r="I9" s="179">
        <f ca="1">IFERROR(__xludf.DUMMYFUNCTION("""COMPUTED_VALUE"""),5)</f>
        <v>5</v>
      </c>
      <c r="J9" s="179">
        <f ca="1">IFERROR(__xludf.DUMMYFUNCTION("""COMPUTED_VALUE"""),4)</f>
        <v>4</v>
      </c>
      <c r="K9" s="179">
        <f ca="1">IFERROR(__xludf.DUMMYFUNCTION("""COMPUTED_VALUE"""),5)</f>
        <v>5</v>
      </c>
      <c r="L9" s="179" t="str">
        <f ca="1">IFERROR(__xludf.DUMMYFUNCTION("""COMPUTED_VALUE"""),"Founders have invented the tech. One other startup exists that does a similar test, but this team holds the patents for circular genome testing. Interesting note: the patents are owned by Stanford but exclusively licensed to Phinomics as the tech was inve"&amp;"nted by the founders while at Stanford.")</f>
        <v>Founders have invented the tech. One other startup exists that does a similar test, but this team holds the patents for circular genome testing. Interesting note: the patents are owned by Stanford but exclusively licensed to Phinomics as the tech was invented by the founders while at Stanford.</v>
      </c>
      <c r="M9" s="179">
        <f ca="1">IFERROR(__xludf.DUMMYFUNCTION("""COMPUTED_VALUE"""),5)</f>
        <v>5</v>
      </c>
      <c r="N9" s="179">
        <f ca="1">IFERROR(__xludf.DUMMYFUNCTION("""COMPUTED_VALUE"""),2)</f>
        <v>2</v>
      </c>
      <c r="O9" s="179" t="str">
        <f ca="1">IFERROR(__xludf.DUMMYFUNCTION("""COMPUTED_VALUE"""),"No customers as the product is still in development. Market for cancer testing is proven and large.")</f>
        <v>No customers as the product is still in development. Market for cancer testing is proven and large.</v>
      </c>
      <c r="P9" s="179">
        <f ca="1">IFERROR(__xludf.DUMMYFUNCTION("""COMPUTED_VALUE"""),5)</f>
        <v>5</v>
      </c>
      <c r="Q9" s="179">
        <f ca="1">IFERROR(__xludf.DUMMYFUNCTION("""COMPUTED_VALUE"""),5)</f>
        <v>5</v>
      </c>
      <c r="R9" s="179">
        <f ca="1">IFERROR(__xludf.DUMMYFUNCTION("""COMPUTED_VALUE"""),4)</f>
        <v>4</v>
      </c>
      <c r="S9" s="179" t="str">
        <f ca="1">IFERROR(__xludf.DUMMYFUNCTION("""COMPUTED_VALUE"""),"Both PhD level biomed/chemists that invented the technology. No prior startup experience.")</f>
        <v>Both PhD level biomed/chemists that invented the technology. No prior startup experience.</v>
      </c>
      <c r="T9" s="437">
        <f ca="1">IFERROR(__xludf.DUMMYFUNCTION("""COMPUTED_VALUE"""),2000000)</f>
        <v>2000000</v>
      </c>
      <c r="U9" s="179" t="str">
        <f ca="1">IFERROR(__xludf.DUMMYFUNCTION("""COMPUTED_VALUE"""),"$1M-$5M")</f>
        <v>$1M-$5M</v>
      </c>
      <c r="V9" s="179">
        <f ca="1">IFERROR(__xludf.DUMMYFUNCTION("""COMPUTED_VALUE"""),5)</f>
        <v>5</v>
      </c>
      <c r="W9" s="179" t="str">
        <f ca="1">IFERROR(__xludf.DUMMYFUNCTION("""COMPUTED_VALUE"""),"Impressive founders that invented the tech and have exclusive rights to it. Long term potential for growth with little room for competition to enter. Could use EFL's network to build out the strategy and prepare to raise significant funding required for h"&amp;"ealthcare startups. The current pitch deck has very little financial insight or information.")</f>
        <v>Impressive founders that invented the tech and have exclusive rights to it. Long term potential for growth with little room for competition to enter. Could use EFL's network to build out the strategy and prepare to raise significant funding required for healthcare startups. The current pitch deck has very little financial insight or information.</v>
      </c>
    </row>
    <row r="10" spans="1:23">
      <c r="A10" s="179" t="str">
        <f ca="1">IFERROR(__xludf.DUMMYFUNCTION("""COMPUTED_VALUE"""),"R")</f>
        <v>R</v>
      </c>
      <c r="B10" s="436">
        <f ca="1">IFERROR(__xludf.DUMMYFUNCTION("""COMPUTED_VALUE"""),44785.9304072106)</f>
        <v>44785.930407210602</v>
      </c>
      <c r="C10" s="179" t="str">
        <f ca="1">IFERROR(__xludf.DUMMYFUNCTION("""COMPUTED_VALUE"""),"jar10146@stern.nyu.edu")</f>
        <v>jar10146@stern.nyu.edu</v>
      </c>
      <c r="D10" s="179" t="str">
        <f ca="1">IFERROR(__xludf.DUMMYFUNCTION("""COMPUTED_VALUE"""),"Joshua Rubnitz")</f>
        <v>Joshua Rubnitz</v>
      </c>
      <c r="E10" s="179" t="str">
        <f ca="1">IFERROR(__xludf.DUMMYFUNCTION("""COMPUTED_VALUE"""),"I have read and understand the confidentiality agreement for application reviewers.")</f>
        <v>I have read and understand the confidentiality agreement for application reviewers.</v>
      </c>
      <c r="F10" s="179" t="str">
        <f ca="1">IFERROR(__xludf.DUMMYFUNCTION("""COMPUTED_VALUE"""),"Staxe")</f>
        <v>Staxe</v>
      </c>
      <c r="G10" s="179" t="str">
        <f ca="1">IFERROR(__xludf.DUMMYFUNCTION("""COMPUTED_VALUE"""),"Staxe is able to tokenize music rights for artists and labels that is of interest for the music rights holder as a way to instantly monetize their product, and allows the fans to get more involved and benefit from the success of their favorite artists. Th"&amp;"e music industry is a famously difficult industry to enter. Artists are generally unhappy with the pay structure, and streaming services such as spotify have surprisingly little power to turn a profit. A disruptor such as Staxe can find space in this mess"&amp;". Have raised a preseed and have a functional product generating revenue.")</f>
        <v>Staxe is able to tokenize music rights for artists and labels that is of interest for the music rights holder as a way to instantly monetize their product, and allows the fans to get more involved and benefit from the success of their favorite artists. The music industry is a famously difficult industry to enter. Artists are generally unhappy with the pay structure, and streaming services such as spotify have surprisingly little power to turn a profit. A disruptor such as Staxe can find space in this mess. Have raised a preseed and have a functional product generating revenue.</v>
      </c>
      <c r="H10" s="179">
        <f ca="1">IFERROR(__xludf.DUMMYFUNCTION("""COMPUTED_VALUE"""),5)</f>
        <v>5</v>
      </c>
      <c r="I10" s="179">
        <f ca="1">IFERROR(__xludf.DUMMYFUNCTION("""COMPUTED_VALUE"""),4)</f>
        <v>4</v>
      </c>
      <c r="J10" s="179">
        <f ca="1">IFERROR(__xludf.DUMMYFUNCTION("""COMPUTED_VALUE"""),5)</f>
        <v>5</v>
      </c>
      <c r="K10" s="179">
        <f ca="1">IFERROR(__xludf.DUMMYFUNCTION("""COMPUTED_VALUE"""),3)</f>
        <v>3</v>
      </c>
      <c r="L10" s="179" t="str">
        <f ca="1">IFERROR(__xludf.DUMMYFUNCTION("""COMPUTED_VALUE"""),"Technology is good and validated. The company does not have any patents or patent applications, but could use the network effect, and exclusive agreements with music right's holders to protect their IP. EFL's consultants could help them to strategize this"&amp;" way.
Risk is that there are low barriers to entry for new web3 firms in this space.")</f>
        <v>Technology is good and validated. The company does not have any patents or patent applications, but could use the network effect, and exclusive agreements with music right's holders to protect their IP. EFL's consultants could help them to strategize this way.
Risk is that there are low barriers to entry for new web3 firms in this space.</v>
      </c>
      <c r="M10" s="179">
        <f ca="1">IFERROR(__xludf.DUMMYFUNCTION("""COMPUTED_VALUE"""),4)</f>
        <v>4</v>
      </c>
      <c r="N10" s="179">
        <f ca="1">IFERROR(__xludf.DUMMYFUNCTION("""COMPUTED_VALUE"""),3)</f>
        <v>3</v>
      </c>
      <c r="O10" s="179" t="str">
        <f ca="1">IFERROR(__xludf.DUMMYFUNCTION("""COMPUTED_VALUE"""),"Difficult industry to enter, but a good model. The startup has customers, but has only generated about 50k in revenue from the fully deployed product.")</f>
        <v>Difficult industry to enter, but a good model. The startup has customers, but has only generated about 50k in revenue from the fully deployed product.</v>
      </c>
      <c r="P10" s="179">
        <f ca="1">IFERROR(__xludf.DUMMYFUNCTION("""COMPUTED_VALUE"""),5)</f>
        <v>5</v>
      </c>
      <c r="Q10" s="179">
        <f ca="1">IFERROR(__xludf.DUMMYFUNCTION("""COMPUTED_VALUE"""),5)</f>
        <v>5</v>
      </c>
      <c r="R10" s="179">
        <f ca="1">IFERROR(__xludf.DUMMYFUNCTION("""COMPUTED_VALUE"""),4)</f>
        <v>4</v>
      </c>
      <c r="S10" s="179" t="str">
        <f ca="1">IFERROR(__xludf.DUMMYFUNCTION("""COMPUTED_VALUE"""),"Founding team has a strong business and Web 3 background, could use some more music industry insiders to build and leverage strong relationships or expertise in the field.")</f>
        <v>Founding team has a strong business and Web 3 background, could use some more music industry insiders to build and leverage strong relationships or expertise in the field.</v>
      </c>
      <c r="T10" s="437">
        <f ca="1">IFERROR(__xludf.DUMMYFUNCTION("""COMPUTED_VALUE"""),500000)</f>
        <v>500000</v>
      </c>
      <c r="U10" s="179" t="str">
        <f ca="1">IFERROR(__xludf.DUMMYFUNCTION("""COMPUTED_VALUE"""),"$1M-$5M")</f>
        <v>$1M-$5M</v>
      </c>
      <c r="V10" s="179">
        <f ca="1">IFERROR(__xludf.DUMMYFUNCTION("""COMPUTED_VALUE"""),5)</f>
        <v>5</v>
      </c>
      <c r="W10" s="179" t="str">
        <f ca="1">IFERROR(__xludf.DUMMYFUNCTION("""COMPUTED_VALUE"""),"Experienced founding team in an industry that is ready for disruption, but can be difficult to gain traction in. Good product and excellent use case for web 3 defi technology that can capitalize on a strong network effect if properly positioned. ")</f>
        <v xml:space="preserve">Experienced founding team in an industry that is ready for disruption, but can be difficult to gain traction in. Good product and excellent use case for web 3 defi technology that can capitalize on a strong network effect if properly positioned. </v>
      </c>
    </row>
    <row r="11" spans="1:23">
      <c r="A11" s="179" t="str">
        <f ca="1">IFERROR(__xludf.DUMMYFUNCTION("""COMPUTED_VALUE"""),"R")</f>
        <v>R</v>
      </c>
      <c r="B11" s="436">
        <f ca="1">IFERROR(__xludf.DUMMYFUNCTION("""COMPUTED_VALUE"""),44785.951508368)</f>
        <v>44785.951508368002</v>
      </c>
      <c r="C11" s="179" t="str">
        <f ca="1">IFERROR(__xludf.DUMMYFUNCTION("""COMPUTED_VALUE"""),"jar10146@stern.nyu.edu")</f>
        <v>jar10146@stern.nyu.edu</v>
      </c>
      <c r="D11" s="179" t="str">
        <f ca="1">IFERROR(__xludf.DUMMYFUNCTION("""COMPUTED_VALUE"""),"Joshua Rubnitz")</f>
        <v>Joshua Rubnitz</v>
      </c>
      <c r="E11" s="179" t="str">
        <f ca="1">IFERROR(__xludf.DUMMYFUNCTION("""COMPUTED_VALUE"""),"I have read and understand the confidentiality agreement for application reviewers.")</f>
        <v>I have read and understand the confidentiality agreement for application reviewers.</v>
      </c>
      <c r="F11" s="438" t="str">
        <f ca="1">IFERROR(__xludf.DUMMYFUNCTION("""COMPUTED_VALUE"""),"Steg.AI")</f>
        <v>Steg.AI</v>
      </c>
      <c r="G11" s="179" t="str">
        <f ca="1">IFERROR(__xludf.DUMMYFUNCTION("""COMPUTED_VALUE"""),"Steg founder has invented an AI enabled technology (owned by UC Irvine but licensed to Steg) that can watermark images, gifs, videos, nfts etc. such that they can be recognized by computer vision, but not by the human eye. Steg believes this has applicati"&amp;"ons in protecting proprietary content and IP. The industry is at an intersection of deep tech and digital tech. Steg has raised pre-seed has a customer generating revenue and is now looking to raise seed funding.")</f>
        <v>Steg founder has invented an AI enabled technology (owned by UC Irvine but licensed to Steg) that can watermark images, gifs, videos, nfts etc. such that they can be recognized by computer vision, but not by the human eye. Steg believes this has applications in protecting proprietary content and IP. The industry is at an intersection of deep tech and digital tech. Steg has raised pre-seed has a customer generating revenue and is now looking to raise seed funding.</v>
      </c>
      <c r="H11" s="179">
        <f ca="1">IFERROR(__xludf.DUMMYFUNCTION("""COMPUTED_VALUE"""),4)</f>
        <v>4</v>
      </c>
      <c r="I11" s="179">
        <f ca="1">IFERROR(__xludf.DUMMYFUNCTION("""COMPUTED_VALUE"""),5)</f>
        <v>5</v>
      </c>
      <c r="J11" s="179">
        <f ca="1">IFERROR(__xludf.DUMMYFUNCTION("""COMPUTED_VALUE"""),4)</f>
        <v>4</v>
      </c>
      <c r="K11" s="179">
        <f ca="1">IFERROR(__xludf.DUMMYFUNCTION("""COMPUTED_VALUE"""),4)</f>
        <v>4</v>
      </c>
      <c r="L11" s="179" t="str">
        <f ca="1">IFERROR(__xludf.DUMMYFUNCTION("""COMPUTED_VALUE"""),"The technology is sound. I think it has some great application somewhere and the business model must be iterated to find really good specific use cases/market fit. The technology behind steganography may not be that novel, but the idea of light field mess"&amp;"aging has been patented by the founder.")</f>
        <v>The technology is sound. I think it has some great application somewhere and the business model must be iterated to find really good specific use cases/market fit. The technology behind steganography may not be that novel, but the idea of light field messaging has been patented by the founder.</v>
      </c>
      <c r="M11" s="179">
        <f ca="1">IFERROR(__xludf.DUMMYFUNCTION("""COMPUTED_VALUE"""),4)</f>
        <v>4</v>
      </c>
      <c r="N11" s="179">
        <f ca="1">IFERROR(__xludf.DUMMYFUNCTION("""COMPUTED_VALUE"""),4)</f>
        <v>4</v>
      </c>
      <c r="O11" s="179" t="str">
        <f ca="1">IFERROR(__xludf.DUMMYFUNCTION("""COMPUTED_VALUE"""),"The market will be large. There is a lot of content online that needs to be protected. The TAM, SAM, SOM numbers are reasonable, but the specific case really needs to be dialed in. The company has 1 customer–Sonos.")</f>
        <v>The market will be large. There is a lot of content online that needs to be protected. The TAM, SAM, SOM numbers are reasonable, but the specific case really needs to be dialed in. The company has 1 customer–Sonos.</v>
      </c>
      <c r="P11" s="179">
        <f ca="1">IFERROR(__xludf.DUMMYFUNCTION("""COMPUTED_VALUE"""),5)</f>
        <v>5</v>
      </c>
      <c r="Q11" s="179">
        <f ca="1">IFERROR(__xludf.DUMMYFUNCTION("""COMPUTED_VALUE"""),4)</f>
        <v>4</v>
      </c>
      <c r="R11" s="179">
        <f ca="1">IFERROR(__xludf.DUMMYFUNCTION("""COMPUTED_VALUE"""),5)</f>
        <v>5</v>
      </c>
      <c r="S11" s="179" t="str">
        <f ca="1">IFERROR(__xludf.DUMMYFUNCTION("""COMPUTED_VALUE"""),"The team is good. PhD level experts in the field and a Harvard MBA business advisor. Founder is clearly passionate about this product. Other than the main founder, it is a part time project for everyone.")</f>
        <v>The team is good. PhD level experts in the field and a Harvard MBA business advisor. Founder is clearly passionate about this product. Other than the main founder, it is a part time project for everyone.</v>
      </c>
      <c r="T11" s="437">
        <f ca="1">IFERROR(__xludf.DUMMYFUNCTION("""COMPUTED_VALUE"""),350000)</f>
        <v>350000</v>
      </c>
      <c r="U11" s="179" t="str">
        <f ca="1">IFERROR(__xludf.DUMMYFUNCTION("""COMPUTED_VALUE"""),"$1M-$5M")</f>
        <v>$1M-$5M</v>
      </c>
      <c r="V11" s="179">
        <f ca="1">IFERROR(__xludf.DUMMYFUNCTION("""COMPUTED_VALUE"""),4)</f>
        <v>4</v>
      </c>
      <c r="W11" s="179" t="str">
        <f ca="1">IFERROR(__xludf.DUMMYFUNCTION("""COMPUTED_VALUE"""),"Very compelling product and a good team to launch, although most team members are part-time. The company is generating revenue from a large corporate customer. Only concern is that the company has been through many startup accelerators already and product"&amp;" that is essentially fully built out, the team may be having trouble finding market fit? Likely needs help in this department.")</f>
        <v>Very compelling product and a good team to launch, although most team members are part-time. The company is generating revenue from a large corporate customer. Only concern is that the company has been through many startup accelerators already and product that is essentially fully built out, the team may be having trouble finding market fit? Likely needs help in this department.</v>
      </c>
    </row>
    <row r="12" spans="1:23">
      <c r="A12" s="179" t="str">
        <f ca="1">IFERROR(__xludf.DUMMYFUNCTION("""COMPUTED_VALUE"""),"R")</f>
        <v>R</v>
      </c>
      <c r="B12" s="436">
        <f ca="1">IFERROR(__xludf.DUMMYFUNCTION("""COMPUTED_VALUE"""),44785.9709578819)</f>
        <v>44785.970957881902</v>
      </c>
      <c r="C12" s="179" t="str">
        <f ca="1">IFERROR(__xludf.DUMMYFUNCTION("""COMPUTED_VALUE"""),"jar10146@stern.nyu.edu")</f>
        <v>jar10146@stern.nyu.edu</v>
      </c>
      <c r="D12" s="179" t="str">
        <f ca="1">IFERROR(__xludf.DUMMYFUNCTION("""COMPUTED_VALUE"""),"Joshua Rubnitz")</f>
        <v>Joshua Rubnitz</v>
      </c>
      <c r="E12" s="179" t="str">
        <f ca="1">IFERROR(__xludf.DUMMYFUNCTION("""COMPUTED_VALUE"""),"I have read and understand the confidentiality agreement for application reviewers.")</f>
        <v>I have read and understand the confidentiality agreement for application reviewers.</v>
      </c>
      <c r="F12" s="179" t="str">
        <f ca="1">IFERROR(__xludf.DUMMYFUNCTION("""COMPUTED_VALUE"""),"StockGro")</f>
        <v>StockGro</v>
      </c>
      <c r="G12" s="179" t="str">
        <f ca="1">IFERROR(__xludf.DUMMYFUNCTION("""COMPUTED_VALUE"""),"StockGro allows users to make 'risk free' investments in the Indian stock market using virtual cash (not real money) and is able to gamify the experience by offering real prizes to winners of portfolio/return competitions. Industry is gaming/financial ser"&amp;"vices. In India less than 4% of the population invests in Stocks/Mutual funds and StockGro believes this is due to a lack of basic understanding and a fear of losing money. The company is already generating $7M ARR and has raised a seed &amp; series A (total "&amp;"of $37M) and is now seeking series B.")</f>
        <v>StockGro allows users to make 'risk free' investments in the Indian stock market using virtual cash (not real money) and is able to gamify the experience by offering real prizes to winners of portfolio/return competitions. Industry is gaming/financial services. In India less than 4% of the population invests in Stocks/Mutual funds and StockGro believes this is due to a lack of basic understanding and a fear of losing money. The company is already generating $7M ARR and has raised a seed &amp; series A (total of $37M) and is now seeking series B.</v>
      </c>
      <c r="H12" s="179">
        <f ca="1">IFERROR(__xludf.DUMMYFUNCTION("""COMPUTED_VALUE"""),3)</f>
        <v>3</v>
      </c>
      <c r="I12" s="179">
        <f ca="1">IFERROR(__xludf.DUMMYFUNCTION("""COMPUTED_VALUE"""),1)</f>
        <v>1</v>
      </c>
      <c r="J12" s="179">
        <f ca="1">IFERROR(__xludf.DUMMYFUNCTION("""COMPUTED_VALUE"""),2)</f>
        <v>2</v>
      </c>
      <c r="K12" s="179">
        <f ca="1">IFERROR(__xludf.DUMMYFUNCTION("""COMPUTED_VALUE"""),2)</f>
        <v>2</v>
      </c>
      <c r="L12" s="179" t="str">
        <f ca="1">IFERROR(__xludf.DUMMYFUNCTION("""COMPUTED_VALUE"""),"This is not new technology. This app exists in many countries (as pointed out by the founder). With that said, it does not yet exist in India and it does have interesting competition features. There is nothing preventing more firms from entering the field"&amp;".")</f>
        <v>This is not new technology. This app exists in many countries (as pointed out by the founder). With that said, it does not yet exist in India and it does have interesting competition features. There is nothing preventing more firms from entering the field.</v>
      </c>
      <c r="M12" s="179">
        <f ca="1">IFERROR(__xludf.DUMMYFUNCTION("""COMPUTED_VALUE"""),4)</f>
        <v>4</v>
      </c>
      <c r="N12" s="179">
        <f ca="1">IFERROR(__xludf.DUMMYFUNCTION("""COMPUTED_VALUE"""),5)</f>
        <v>5</v>
      </c>
      <c r="O12" s="179" t="str">
        <f ca="1">IFERROR(__xludf.DUMMYFUNCTION("""COMPUTED_VALUE"""),"Large untapped market of people who are or would like to be investing in the Indian stock market. Generating $7M ARR already.")</f>
        <v>Large untapped market of people who are or would like to be investing in the Indian stock market. Generating $7M ARR already.</v>
      </c>
      <c r="P12" s="179">
        <f ca="1">IFERROR(__xludf.DUMMYFUNCTION("""COMPUTED_VALUE"""),5)</f>
        <v>5</v>
      </c>
      <c r="Q12" s="179">
        <f ca="1">IFERROR(__xludf.DUMMYFUNCTION("""COMPUTED_VALUE"""),3)</f>
        <v>3</v>
      </c>
      <c r="R12" s="179">
        <f ca="1">IFERROR(__xludf.DUMMYFUNCTION("""COMPUTED_VALUE"""),4)</f>
        <v>4</v>
      </c>
      <c r="S12" s="179" t="str">
        <f ca="1">IFERROR(__xludf.DUMMYFUNCTION("""COMPUTED_VALUE"""),"Founder has an MBA. Not clear about the rest of the team from this application.")</f>
        <v>Founder has an MBA. Not clear about the rest of the team from this application.</v>
      </c>
      <c r="T12" s="437">
        <f ca="1">IFERROR(__xludf.DUMMYFUNCTION("""COMPUTED_VALUE"""),37000000)</f>
        <v>37000000</v>
      </c>
      <c r="U12" s="179" t="str">
        <f ca="1">IFERROR(__xludf.DUMMYFUNCTION("""COMPUTED_VALUE"""),"&gt;$5M")</f>
        <v>&gt;$5M</v>
      </c>
      <c r="V12" s="179">
        <f ca="1">IFERROR(__xludf.DUMMYFUNCTION("""COMPUTED_VALUE"""),2)</f>
        <v>2</v>
      </c>
      <c r="W12" s="179" t="str">
        <f ca="1">IFERROR(__xludf.DUMMYFUNCTION("""COMPUTED_VALUE"""),"There is no new tech being invented here, but new features and new market. Startup is also already in series B and has raised $37M already. Is also generating significant revenue. Probably not a good fit for EFL.")</f>
        <v>There is no new tech being invented here, but new features and new market. Startup is also already in series B and has raised $37M already. Is also generating significant revenue. Probably not a good fit for EFL.</v>
      </c>
    </row>
    <row r="13" spans="1:23">
      <c r="A13" s="179" t="str">
        <f ca="1">IFERROR(__xludf.DUMMYFUNCTION("""COMPUTED_VALUE"""),"R")</f>
        <v>R</v>
      </c>
      <c r="B13" s="436">
        <f ca="1">IFERROR(__xludf.DUMMYFUNCTION("""COMPUTED_VALUE"""),44785.9849537847)</f>
        <v>44785.984953784697</v>
      </c>
      <c r="C13" s="179" t="str">
        <f ca="1">IFERROR(__xludf.DUMMYFUNCTION("""COMPUTED_VALUE"""),"jar10146@stern.nyu.edu")</f>
        <v>jar10146@stern.nyu.edu</v>
      </c>
      <c r="D13" s="179" t="str">
        <f ca="1">IFERROR(__xludf.DUMMYFUNCTION("""COMPUTED_VALUE"""),"Joshua Rubnitz")</f>
        <v>Joshua Rubnitz</v>
      </c>
      <c r="E13" s="179" t="str">
        <f ca="1">IFERROR(__xludf.DUMMYFUNCTION("""COMPUTED_VALUE"""),"I have read and understand the confidentiality agreement for application reviewers.")</f>
        <v>I have read and understand the confidentiality agreement for application reviewers.</v>
      </c>
      <c r="F13" s="179" t="str">
        <f ca="1">IFERROR(__xludf.DUMMYFUNCTION("""COMPUTED_VALUE"""),"Stonehouse Innovations, LLC")</f>
        <v>Stonehouse Innovations, LLC</v>
      </c>
      <c r="G13" s="179" t="str">
        <f ca="1">IFERROR(__xludf.DUMMYFUNCTION("""COMPUTED_VALUE"""),"Stonehouse uses antimicrobial 3D printed additions (such as a spigot) to water flow systems for drinking water, irrigation, animal water, with the goal of decontaminating/purifying the water for 3rd world countries and wherever the need may be. Industry i"&amp;"s food/deep tech. Have raised $40k from FFF and is not actively seeking funding.")</f>
        <v>Stonehouse uses antimicrobial 3D printed additions (such as a spigot) to water flow systems for drinking water, irrigation, animal water, with the goal of decontaminating/purifying the water for 3rd world countries and wherever the need may be. Industry is food/deep tech. Have raised $40k from FFF and is not actively seeking funding.</v>
      </c>
      <c r="H13" s="179">
        <f ca="1">IFERROR(__xludf.DUMMYFUNCTION("""COMPUTED_VALUE"""),5)</f>
        <v>5</v>
      </c>
      <c r="I13" s="179">
        <f ca="1">IFERROR(__xludf.DUMMYFUNCTION("""COMPUTED_VALUE"""),4)</f>
        <v>4</v>
      </c>
      <c r="J13" s="179">
        <f ca="1">IFERROR(__xludf.DUMMYFUNCTION("""COMPUTED_VALUE"""),1)</f>
        <v>1</v>
      </c>
      <c r="K13" s="179">
        <f ca="1">IFERROR(__xludf.DUMMYFUNCTION("""COMPUTED_VALUE"""),4)</f>
        <v>4</v>
      </c>
      <c r="L13" s="179" t="str">
        <f ca="1">IFERROR(__xludf.DUMMYFUNCTION("""COMPUTED_VALUE"""),"Water purification is definitely a problem all over the world. The application does not really address if this solution solves the problem or not–there is no data. The team is filing a patent.")</f>
        <v>Water purification is definitely a problem all over the world. The application does not really address if this solution solves the problem or not–there is no data. The team is filing a patent.</v>
      </c>
      <c r="M13" s="179">
        <f ca="1">IFERROR(__xludf.DUMMYFUNCTION("""COMPUTED_VALUE"""),4)</f>
        <v>4</v>
      </c>
      <c r="N13" s="179">
        <f ca="1">IFERROR(__xludf.DUMMYFUNCTION("""COMPUTED_VALUE"""),2)</f>
        <v>2</v>
      </c>
      <c r="O13" s="179" t="str">
        <f ca="1">IFERROR(__xludf.DUMMYFUNCTION("""COMPUTED_VALUE"""),"They state that the TAM is large, but do not provide more analysis. There are no customers.")</f>
        <v>They state that the TAM is large, but do not provide more analysis. There are no customers.</v>
      </c>
      <c r="P13" s="179">
        <f ca="1">IFERROR(__xludf.DUMMYFUNCTION("""COMPUTED_VALUE"""),3)</f>
        <v>3</v>
      </c>
      <c r="Q13" s="179">
        <f ca="1">IFERROR(__xludf.DUMMYFUNCTION("""COMPUTED_VALUE"""),4)</f>
        <v>4</v>
      </c>
      <c r="R13" s="179">
        <f ca="1">IFERROR(__xludf.DUMMYFUNCTION("""COMPUTED_VALUE"""),4)</f>
        <v>4</v>
      </c>
      <c r="S13" s="179" t="str">
        <f ca="1">IFERROR(__xludf.DUMMYFUNCTION("""COMPUTED_VALUE"""),"Team has a good, diverse technical background and has worked in startups before. Little or no business expertise.")</f>
        <v>Team has a good, diverse technical background and has worked in startups before. Little or no business expertise.</v>
      </c>
      <c r="T13" s="437">
        <f ca="1">IFERROR(__xludf.DUMMYFUNCTION("""COMPUTED_VALUE"""),40000)</f>
        <v>40000</v>
      </c>
      <c r="U13" s="179" t="str">
        <f ca="1">IFERROR(__xludf.DUMMYFUNCTION("""COMPUTED_VALUE"""),"No")</f>
        <v>No</v>
      </c>
      <c r="V13" s="179">
        <f ca="1">IFERROR(__xludf.DUMMYFUNCTION("""COMPUTED_VALUE"""),3)</f>
        <v>3</v>
      </c>
      <c r="W13" s="179" t="str">
        <f ca="1">IFERROR(__xludf.DUMMYFUNCTION("""COMPUTED_VALUE"""),"If the team is able to create 3D printed water purification that would be a very compelling product &amp; company. There is no data to show the progress, there are no customers, the patent has just been filed, and the team is not seeking funding.")</f>
        <v>If the team is able to create 3D printed water purification that would be a very compelling product &amp; company. There is no data to show the progress, there are no customers, the patent has just been filed, and the team is not seeking funding.</v>
      </c>
    </row>
    <row r="14" spans="1:23">
      <c r="A14" s="179" t="str">
        <f ca="1">IFERROR(__xludf.DUMMYFUNCTION("""COMPUTED_VALUE"""),"R")</f>
        <v>R</v>
      </c>
      <c r="B14" s="436">
        <f ca="1">IFERROR(__xludf.DUMMYFUNCTION("""COMPUTED_VALUE"""),44786.0024074652)</f>
        <v>44786.002407465203</v>
      </c>
      <c r="C14" s="179" t="str">
        <f ca="1">IFERROR(__xludf.DUMMYFUNCTION("""COMPUTED_VALUE"""),"jar10146@stern.nyu.edu")</f>
        <v>jar10146@stern.nyu.edu</v>
      </c>
      <c r="D14" s="179" t="str">
        <f ca="1">IFERROR(__xludf.DUMMYFUNCTION("""COMPUTED_VALUE"""),"Joshua Rubnitz")</f>
        <v>Joshua Rubnitz</v>
      </c>
      <c r="E14" s="179" t="str">
        <f ca="1">IFERROR(__xludf.DUMMYFUNCTION("""COMPUTED_VALUE"""),"I have read and understand the confidentiality agreement for application reviewers.")</f>
        <v>I have read and understand the confidentiality agreement for application reviewers.</v>
      </c>
      <c r="F14" s="179" t="str">
        <f ca="1">IFERROR(__xludf.DUMMYFUNCTION("""COMPUTED_VALUE"""),"StoryBrain")</f>
        <v>StoryBrain</v>
      </c>
      <c r="G14" s="179" t="str">
        <f ca="1">IFERROR(__xludf.DUMMYFUNCTION("""COMPUTED_VALUE"""),"StoryBrain converts web pages into personalized short-form videos using AI to better engage the customer and generate more revenue for e-commerce and publishers. Digital tech. Has customers + revenue and has raised a pre seed &amp; seed and is currently seeki"&amp;"ng a 'pre-series A'.")</f>
        <v>StoryBrain converts web pages into personalized short-form videos using AI to better engage the customer and generate more revenue for e-commerce and publishers. Digital tech. Has customers + revenue and has raised a pre seed &amp; seed and is currently seeking a 'pre-series A'.</v>
      </c>
      <c r="H14" s="179">
        <f ca="1">IFERROR(__xludf.DUMMYFUNCTION("""COMPUTED_VALUE"""),5)</f>
        <v>5</v>
      </c>
      <c r="I14" s="179">
        <f ca="1">IFERROR(__xludf.DUMMYFUNCTION("""COMPUTED_VALUE"""),5)</f>
        <v>5</v>
      </c>
      <c r="J14" s="179">
        <f ca="1">IFERROR(__xludf.DUMMYFUNCTION("""COMPUTED_VALUE"""),2)</f>
        <v>2</v>
      </c>
      <c r="K14" s="179">
        <f ca="1">IFERROR(__xludf.DUMMYFUNCTION("""COMPUTED_VALUE"""),5)</f>
        <v>5</v>
      </c>
      <c r="L14" s="179" t="str">
        <f ca="1">IFERROR(__xludf.DUMMYFUNCTION("""COMPUTED_VALUE"""),"StoryBrain provides little info about the status of the product. This is an incredibly difficult problem to solve as cutting edge AI can barely produce still-images (see DALLE). If the founding team is able to produce what they have promised it would be i"&amp;"ncredible tech and hard to imitate due to the degree of difficulty.")</f>
        <v>StoryBrain provides little info about the status of the product. This is an incredibly difficult problem to solve as cutting edge AI can barely produce still-images (see DALLE). If the founding team is able to produce what they have promised it would be incredible tech and hard to imitate due to the degree of difficulty.</v>
      </c>
      <c r="M14" s="179">
        <f ca="1">IFERROR(__xludf.DUMMYFUNCTION("""COMPUTED_VALUE"""),5)</f>
        <v>5</v>
      </c>
      <c r="N14" s="179">
        <f ca="1">IFERROR(__xludf.DUMMYFUNCTION("""COMPUTED_VALUE"""),4)</f>
        <v>4</v>
      </c>
      <c r="O14" s="179" t="str">
        <f ca="1">IFERROR(__xludf.DUMMYFUNCTION("""COMPUTED_VALUE"""),"Huge market for generating more online sales. Conversion of customers online is low in every industry and purchase triggers are difficult to create. StoryBrain is has some large corporate partners and is generating revenue, but did not specify how much. W"&amp;"orking on a SaaS model.")</f>
        <v>Huge market for generating more online sales. Conversion of customers online is low in every industry and purchase triggers are difficult to create. StoryBrain is has some large corporate partners and is generating revenue, but did not specify how much. Working on a SaaS model.</v>
      </c>
      <c r="P14" s="179">
        <f ca="1">IFERROR(__xludf.DUMMYFUNCTION("""COMPUTED_VALUE"""),5)</f>
        <v>5</v>
      </c>
      <c r="Q14" s="179">
        <f ca="1">IFERROR(__xludf.DUMMYFUNCTION("""COMPUTED_VALUE"""),5)</f>
        <v>5</v>
      </c>
      <c r="R14" s="179">
        <f ca="1">IFERROR(__xludf.DUMMYFUNCTION("""COMPUTED_VALUE"""),5)</f>
        <v>5</v>
      </c>
      <c r="S14" s="179" t="str">
        <f ca="1">IFERROR(__xludf.DUMMYFUNCTION("""COMPUTED_VALUE"""),"Strong educational background and experience in startups. No business-focused founders, but good mentors.")</f>
        <v>Strong educational background and experience in startups. No business-focused founders, but good mentors.</v>
      </c>
      <c r="T14" s="437">
        <f ca="1">IFERROR(__xludf.DUMMYFUNCTION("""COMPUTED_VALUE"""),1100000)</f>
        <v>1100000</v>
      </c>
      <c r="U14" s="179" t="str">
        <f ca="1">IFERROR(__xludf.DUMMYFUNCTION("""COMPUTED_VALUE"""),"$1M-$5M")</f>
        <v>$1M-$5M</v>
      </c>
      <c r="V14" s="179">
        <f ca="1">IFERROR(__xludf.DUMMYFUNCTION("""COMPUTED_VALUE"""),4)</f>
        <v>4</v>
      </c>
      <c r="W14" s="179" t="str">
        <f ca="1">IFERROR(__xludf.DUMMYFUNCTION("""COMPUTED_VALUE"""),"Very compelling product, but no real data on the status of the product. The business does have customers and claims to be generating revenue, but does not specify how much. The founding team is technically proficient and has good mentors. If this product "&amp;"is realized at scale the use cases could be endless. Could help founders determine an initial strategy to grow their market share in a niche online service provider.")</f>
        <v>Very compelling product, but no real data on the status of the product. The business does have customers and claims to be generating revenue, but does not specify how much. The founding team is technically proficient and has good mentors. If this product is realized at scale the use cases could be endless. Could help founders determine an initial strategy to grow their market share in a niche online service provider.</v>
      </c>
    </row>
    <row r="15" spans="1:23">
      <c r="A15" s="179" t="str">
        <f ca="1">IFERROR(__xludf.DUMMYFUNCTION("""COMPUTED_VALUE"""),"R")</f>
        <v>R</v>
      </c>
      <c r="B15" s="436">
        <f ca="1">IFERROR(__xludf.DUMMYFUNCTION("""COMPUTED_VALUE"""),44786.0152935763)</f>
        <v>44786.015293576304</v>
      </c>
      <c r="C15" s="179" t="str">
        <f ca="1">IFERROR(__xludf.DUMMYFUNCTION("""COMPUTED_VALUE"""),"jar10146@stern.nyu.edu")</f>
        <v>jar10146@stern.nyu.edu</v>
      </c>
      <c r="D15" s="179" t="str">
        <f ca="1">IFERROR(__xludf.DUMMYFUNCTION("""COMPUTED_VALUE"""),"Joshua Rubnitz")</f>
        <v>Joshua Rubnitz</v>
      </c>
      <c r="E15" s="179" t="str">
        <f ca="1">IFERROR(__xludf.DUMMYFUNCTION("""COMPUTED_VALUE"""),"I have read and understand the confidentiality agreement for application reviewers.")</f>
        <v>I have read and understand the confidentiality agreement for application reviewers.</v>
      </c>
      <c r="F15" s="179" t="str">
        <f ca="1">IFERROR(__xludf.DUMMYFUNCTION("""COMPUTED_VALUE"""),"Stranded Solutions")</f>
        <v>Stranded Solutions</v>
      </c>
      <c r="G15" s="179" t="str">
        <f ca="1">IFERROR(__xludf.DUMMYFUNCTION("""COMPUTED_VALUE"""),"Stranded Solutions will upcycle wasted natural gas at oil drilling sites that would otherwise just be burned off as waste product. They are trying to figure out the best business model for this technology. The technology is in pre-prototype phase, but wit"&amp;"h a good technical background in chemE and ability to simulate the reaction, it seems likely the technology should work. Energy industry: has a lot of moving parts and is focused on ESG initiatives. Stage: have raised $400,000 in pre seed. Currently raisi"&amp;"ng seed.")</f>
        <v>Stranded Solutions will upcycle wasted natural gas at oil drilling sites that would otherwise just be burned off as waste product. They are trying to figure out the best business model for this technology. The technology is in pre-prototype phase, but with a good technical background in chemE and ability to simulate the reaction, it seems likely the technology should work. Energy industry: has a lot of moving parts and is focused on ESG initiatives. Stage: have raised $400,000 in pre seed. Currently raising seed.</v>
      </c>
      <c r="H15" s="179">
        <f ca="1">IFERROR(__xludf.DUMMYFUNCTION("""COMPUTED_VALUE"""),5)</f>
        <v>5</v>
      </c>
      <c r="I15" s="179">
        <f ca="1">IFERROR(__xludf.DUMMYFUNCTION("""COMPUTED_VALUE"""),4)</f>
        <v>4</v>
      </c>
      <c r="J15" s="179">
        <f ca="1">IFERROR(__xludf.DUMMYFUNCTION("""COMPUTED_VALUE"""),3)</f>
        <v>3</v>
      </c>
      <c r="K15" s="179">
        <f ca="1">IFERROR(__xludf.DUMMYFUNCTION("""COMPUTED_VALUE"""),5)</f>
        <v>5</v>
      </c>
      <c r="L15" s="179" t="str">
        <f ca="1">IFERROR(__xludf.DUMMYFUNCTION("""COMPUTED_VALUE"""),"The problem is well known, but not solved for yet. The re-use of this wasted natural gas is not a novel idea, but the solution is novel (but unproven). A patent has been filed that should prevent this particular solution from being imitated. ")</f>
        <v xml:space="preserve">The problem is well known, but not solved for yet. The re-use of this wasted natural gas is not a novel idea, but the solution is novel (but unproven). A patent has been filed that should prevent this particular solution from being imitated. </v>
      </c>
      <c r="M15" s="179">
        <f ca="1">IFERROR(__xludf.DUMMYFUNCTION("""COMPUTED_VALUE"""),4)</f>
        <v>4</v>
      </c>
      <c r="N15" s="179">
        <f ca="1">IFERROR(__xludf.DUMMYFUNCTION("""COMPUTED_VALUE"""),1)</f>
        <v>1</v>
      </c>
      <c r="O15" s="179" t="str">
        <f ca="1">IFERROR(__xludf.DUMMYFUNCTION("""COMPUTED_VALUE"""),"Large global market with 142 billion cubic meters of nat gas being flared annually. Startup did not provide dollar-figure size of market.")</f>
        <v>Large global market with 142 billion cubic meters of nat gas being flared annually. Startup did not provide dollar-figure size of market.</v>
      </c>
      <c r="P15" s="179">
        <f ca="1">IFERROR(__xludf.DUMMYFUNCTION("""COMPUTED_VALUE"""),5)</f>
        <v>5</v>
      </c>
      <c r="Q15" s="179">
        <f ca="1">IFERROR(__xludf.DUMMYFUNCTION("""COMPUTED_VALUE"""),5)</f>
        <v>5</v>
      </c>
      <c r="R15" s="179">
        <f ca="1">IFERROR(__xludf.DUMMYFUNCTION("""COMPUTED_VALUE"""),4)</f>
        <v>4</v>
      </c>
      <c r="S15" s="179" t="str">
        <f ca="1">IFERROR(__xludf.DUMMYFUNCTION("""COMPUTED_VALUE"""),"Good, diverse team with technical and business background. First startup for all founders.")</f>
        <v>Good, diverse team with technical and business background. First startup for all founders.</v>
      </c>
      <c r="T15" s="437">
        <f ca="1">IFERROR(__xludf.DUMMYFUNCTION("""COMPUTED_VALUE"""),400000)</f>
        <v>400000</v>
      </c>
      <c r="U15" s="179" t="str">
        <f ca="1">IFERROR(__xludf.DUMMYFUNCTION("""COMPUTED_VALUE"""),"$1M-$5M")</f>
        <v>$1M-$5M</v>
      </c>
      <c r="V15" s="179">
        <f ca="1">IFERROR(__xludf.DUMMYFUNCTION("""COMPUTED_VALUE"""),5)</f>
        <v>5</v>
      </c>
      <c r="W15" s="179" t="str">
        <f ca="1">IFERROR(__xludf.DUMMYFUNCTION("""COMPUTED_VALUE"""),"This is a compelling product that could prevent billions of wasted natural gas from emitting carbon into the atmosphere, and could turn the waste into a useful product. The team has generated backing from many established energy company's executives and h"&amp;"as even brought one on board. EFL could help then generate market fit and prepare them to receive funding for a real proof of product.")</f>
        <v>This is a compelling product that could prevent billions of wasted natural gas from emitting carbon into the atmosphere, and could turn the waste into a useful product. The team has generated backing from many established energy company's executives and has even brought one on board. EFL could help then generate market fit and prepare them to receive funding for a real proof of product.</v>
      </c>
    </row>
    <row r="16" spans="1:23">
      <c r="A16" s="179" t="str">
        <f ca="1">IFERROR(__xludf.DUMMYFUNCTION("""COMPUTED_VALUE"""),"R")</f>
        <v>R</v>
      </c>
      <c r="B16" s="436">
        <f ca="1">IFERROR(__xludf.DUMMYFUNCTION("""COMPUTED_VALUE"""),44786.3882462037)</f>
        <v>44786.3882462037</v>
      </c>
      <c r="C16" s="179" t="str">
        <f ca="1">IFERROR(__xludf.DUMMYFUNCTION("""COMPUTED_VALUE"""),"jar10146@stern.nyu.edu")</f>
        <v>jar10146@stern.nyu.edu</v>
      </c>
      <c r="D16" s="179" t="str">
        <f ca="1">IFERROR(__xludf.DUMMYFUNCTION("""COMPUTED_VALUE"""),"Joshua Rubnitz")</f>
        <v>Joshua Rubnitz</v>
      </c>
      <c r="E16" s="179" t="str">
        <f ca="1">IFERROR(__xludf.DUMMYFUNCTION("""COMPUTED_VALUE"""),"I have read and understand the confidentiality agreement for application reviewers.")</f>
        <v>I have read and understand the confidentiality agreement for application reviewers.</v>
      </c>
      <c r="F16" s="179" t="str">
        <f ca="1">IFERROR(__xludf.DUMMYFUNCTION("""COMPUTED_VALUE"""),"Straylight Systems")</f>
        <v>Straylight Systems</v>
      </c>
      <c r="G16" s="179" t="str">
        <f ca="1">IFERROR(__xludf.DUMMYFUNCTION("""COMPUTED_VALUE"""),"Straylight provides a no-code platform for bankers that need to pull data. In the past, small mistakes/variations in the data (ie: misspelling) can make it hard for non-data scientists to do this, and code becomes obsolete as the database is updated. With"&amp;" AI, anyone is able to enter natural language prompts to pull data. Digital tech/banking. Have not raised funding yet, but are generating MRR of 20k. Plan to raise a pre-seed.")</f>
        <v>Straylight provides a no-code platform for bankers that need to pull data. In the past, small mistakes/variations in the data (ie: misspelling) can make it hard for non-data scientists to do this, and code becomes obsolete as the database is updated. With AI, anyone is able to enter natural language prompts to pull data. Digital tech/banking. Have not raised funding yet, but are generating MRR of 20k. Plan to raise a pre-seed.</v>
      </c>
      <c r="H16" s="179">
        <f ca="1">IFERROR(__xludf.DUMMYFUNCTION("""COMPUTED_VALUE"""),5)</f>
        <v>5</v>
      </c>
      <c r="I16" s="179">
        <f ca="1">IFERROR(__xludf.DUMMYFUNCTION("""COMPUTED_VALUE"""),4)</f>
        <v>4</v>
      </c>
      <c r="J16" s="179">
        <f ca="1">IFERROR(__xludf.DUMMYFUNCTION("""COMPUTED_VALUE"""),4)</f>
        <v>4</v>
      </c>
      <c r="K16" s="179">
        <f ca="1">IFERROR(__xludf.DUMMYFUNCTION("""COMPUTED_VALUE"""),4)</f>
        <v>4</v>
      </c>
      <c r="L16" s="179" t="str">
        <f ca="1">IFERROR(__xludf.DUMMYFUNCTION("""COMPUTED_VALUE"""),"Powerful tech that has the potential to increase the productivity of every employee in banking and eventually any data-reliant industry. 
No-code AI is not that proprietary, and many players are in this game. Straylight systems does claim to have better c"&amp;"apabilities than most competitors and a more specialized focus on banking.
The market for this is huge and with the right strategy Straylight could capitalize.")</f>
        <v>Powerful tech that has the potential to increase the productivity of every employee in banking and eventually any data-reliant industry. 
No-code AI is not that proprietary, and many players are in this game. Straylight systems does claim to have better capabilities than most competitors and a more specialized focus on banking.
The market for this is huge and with the right strategy Straylight could capitalize.</v>
      </c>
      <c r="M16" s="179">
        <f ca="1">IFERROR(__xludf.DUMMYFUNCTION("""COMPUTED_VALUE"""),5)</f>
        <v>5</v>
      </c>
      <c r="N16" s="179">
        <f ca="1">IFERROR(__xludf.DUMMYFUNCTION("""COMPUTED_VALUE"""),5)</f>
        <v>5</v>
      </c>
      <c r="O16" s="179" t="str">
        <f ca="1">IFERROR(__xludf.DUMMYFUNCTION("""COMPUTED_VALUE"""),"Large and growing market for data analysis. They have a MRR of around $20K.")</f>
        <v>Large and growing market for data analysis. They have a MRR of around $20K.</v>
      </c>
      <c r="P16" s="179">
        <f ca="1">IFERROR(__xludf.DUMMYFUNCTION("""COMPUTED_VALUE"""),4)</f>
        <v>4</v>
      </c>
      <c r="Q16" s="179">
        <f ca="1">IFERROR(__xludf.DUMMYFUNCTION("""COMPUTED_VALUE"""),4)</f>
        <v>4</v>
      </c>
      <c r="R16" s="179">
        <f ca="1">IFERROR(__xludf.DUMMYFUNCTION("""COMPUTED_VALUE"""),5)</f>
        <v>5</v>
      </c>
      <c r="S16" s="179" t="str">
        <f ca="1">IFERROR(__xludf.DUMMYFUNCTION("""COMPUTED_VALUE"""),"The team has experience in banking from a FinTech and even regulatory standpoint. Decently strong ML experts, but not necessarily innovators in the field. Claim that the product is very capable though.")</f>
        <v>The team has experience in banking from a FinTech and even regulatory standpoint. Decently strong ML experts, but not necessarily innovators in the field. Claim that the product is very capable though.</v>
      </c>
      <c r="T16" s="437">
        <f ca="1">IFERROR(__xludf.DUMMYFUNCTION("""COMPUTED_VALUE"""),0)</f>
        <v>0</v>
      </c>
      <c r="U16" s="179" t="str">
        <f ca="1">IFERROR(__xludf.DUMMYFUNCTION("""COMPUTED_VALUE"""),"$100-$500K")</f>
        <v>$100-$500K</v>
      </c>
      <c r="V16" s="179">
        <f ca="1">IFERROR(__xludf.DUMMYFUNCTION("""COMPUTED_VALUE"""),4)</f>
        <v>4</v>
      </c>
      <c r="W16" s="179" t="str">
        <f ca="1">IFERROR(__xludf.DUMMYFUNCTION("""COMPUTED_VALUE"""),"The team has built a no-code AI data analytics tool that they claim is better than competitors and with no funding is already generating $20K MRR. They are focusing on the banking industry. This is a huge and growing market.
In the EFL application and the"&amp;" pitch they did not really hone in an any very specific or compelling use-cases, but it is safe to assume that there are plenty of specific data-related problems in the banking industry (and beyond).
Team is mostly business focused, and claim to be MI/AI "&amp;"experts as well. The early figures they have generated are impressive, probably need to strategize growth quickly to keep this edge.")</f>
        <v>The team has built a no-code AI data analytics tool that they claim is better than competitors and with no funding is already generating $20K MRR. They are focusing on the banking industry. This is a huge and growing market.
In the EFL application and the pitch they did not really hone in an any very specific or compelling use-cases, but it is safe to assume that there are plenty of specific data-related problems in the banking industry (and beyond).
Team is mostly business focused, and claim to be MI/AI experts as well. The early figures they have generated are impressive, probably need to strategize growth quickly to keep this edge.</v>
      </c>
    </row>
    <row r="17" spans="1:23">
      <c r="A17" s="179" t="str">
        <f ca="1">IFERROR(__xludf.DUMMYFUNCTION("""COMPUTED_VALUE"""),"R")</f>
        <v>R</v>
      </c>
      <c r="B17" s="436">
        <f ca="1">IFERROR(__xludf.DUMMYFUNCTION("""COMPUTED_VALUE"""),44786.4825114583)</f>
        <v>44786.4825114583</v>
      </c>
      <c r="C17" s="179" t="str">
        <f ca="1">IFERROR(__xludf.DUMMYFUNCTION("""COMPUTED_VALUE"""),"jar10146@stern.nyu.edu")</f>
        <v>jar10146@stern.nyu.edu</v>
      </c>
      <c r="D17" s="179" t="str">
        <f ca="1">IFERROR(__xludf.DUMMYFUNCTION("""COMPUTED_VALUE"""),"Joshua Rubnitz")</f>
        <v>Joshua Rubnitz</v>
      </c>
      <c r="E17" s="179" t="str">
        <f ca="1">IFERROR(__xludf.DUMMYFUNCTION("""COMPUTED_VALUE"""),"I have read and understand the confidentiality agreement for application reviewers.")</f>
        <v>I have read and understand the confidentiality agreement for application reviewers.</v>
      </c>
      <c r="F17" s="179" t="str">
        <f ca="1">IFERROR(__xludf.DUMMYFUNCTION("""COMPUTED_VALUE"""),"Strayos")</f>
        <v>Strayos</v>
      </c>
      <c r="G17" s="179" t="str">
        <f ca="1">IFERROR(__xludf.DUMMYFUNCTION("""COMPUTED_VALUE"""),"Strayos wants to create an off the shelf AI solution for mining companies so that all companies can implement computer visions/machine learning in order to optimize drilling and blasting. This will increase profits and reduce waste. Early products show gr"&amp;"eat success and they have reached $1M ARR and have a zero churn thus far. Mining industry/deep tech. Have raised $1M in a seed round and plan to raise a $3M series A.")</f>
        <v>Strayos wants to create an off the shelf AI solution for mining companies so that all companies can implement computer visions/machine learning in order to optimize drilling and blasting. This will increase profits and reduce waste. Early products show great success and they have reached $1M ARR and have a zero churn thus far. Mining industry/deep tech. Have raised $1M in a seed round and plan to raise a $3M series A.</v>
      </c>
      <c r="H17" s="179">
        <f ca="1">IFERROR(__xludf.DUMMYFUNCTION("""COMPUTED_VALUE"""),5)</f>
        <v>5</v>
      </c>
      <c r="I17" s="179">
        <f ca="1">IFERROR(__xludf.DUMMYFUNCTION("""COMPUTED_VALUE"""),3)</f>
        <v>3</v>
      </c>
      <c r="J17" s="179">
        <f ca="1">IFERROR(__xludf.DUMMYFUNCTION("""COMPUTED_VALUE"""),4)</f>
        <v>4</v>
      </c>
      <c r="K17" s="179">
        <f ca="1">IFERROR(__xludf.DUMMYFUNCTION("""COMPUTED_VALUE"""),4)</f>
        <v>4</v>
      </c>
      <c r="L17" s="179" t="str">
        <f ca="1">IFERROR(__xludf.DUMMYFUNCTION("""COMPUTED_VALUE"""),"The technology is not patent protected and other companies offering similar solutions exist. Strayos has a vision to be an off the shelf solution rather than mining companies contracting an expensive developer to make project-specific applications. This i"&amp;"s a strategic differentiator that does require a tailored product. ")</f>
        <v xml:space="preserve">The technology is not patent protected and other companies offering similar solutions exist. Strayos has a vision to be an off the shelf solution rather than mining companies contracting an expensive developer to make project-specific applications. This is a strategic differentiator that does require a tailored product. </v>
      </c>
      <c r="M17" s="179">
        <f ca="1">IFERROR(__xludf.DUMMYFUNCTION("""COMPUTED_VALUE"""),4)</f>
        <v>4</v>
      </c>
      <c r="N17" s="179">
        <f ca="1">IFERROR(__xludf.DUMMYFUNCTION("""COMPUTED_VALUE"""),5)</f>
        <v>5</v>
      </c>
      <c r="O17" s="179" t="str">
        <f ca="1">IFERROR(__xludf.DUMMYFUNCTION("""COMPUTED_VALUE"""),"$1M in ARR and a churn of zero. Market in USA is not huge...$1B total market.")</f>
        <v>$1M in ARR and a churn of zero. Market in USA is not huge...$1B total market.</v>
      </c>
      <c r="P17" s="179">
        <f ca="1">IFERROR(__xludf.DUMMYFUNCTION("""COMPUTED_VALUE"""),5)</f>
        <v>5</v>
      </c>
      <c r="Q17" s="179">
        <f ca="1">IFERROR(__xludf.DUMMYFUNCTION("""COMPUTED_VALUE"""),4)</f>
        <v>4</v>
      </c>
      <c r="R17" s="179">
        <f ca="1">IFERROR(__xludf.DUMMYFUNCTION("""COMPUTED_VALUE"""),4)</f>
        <v>4</v>
      </c>
      <c r="S17" s="179" t="str">
        <f ca="1">IFERROR(__xludf.DUMMYFUNCTION("""COMPUTED_VALUE"""),"Team is experienced technically and has some business expertise. Could greatly benefit from partnerships with more mining companies to create specific solutions and new products.")</f>
        <v>Team is experienced technically and has some business expertise. Could greatly benefit from partnerships with more mining companies to create specific solutions and new products.</v>
      </c>
      <c r="T17" s="437">
        <f ca="1">IFERROR(__xludf.DUMMYFUNCTION("""COMPUTED_VALUE"""),1000000)</f>
        <v>1000000</v>
      </c>
      <c r="U17" s="179" t="str">
        <f ca="1">IFERROR(__xludf.DUMMYFUNCTION("""COMPUTED_VALUE"""),"$1M-$5M")</f>
        <v>$1M-$5M</v>
      </c>
      <c r="V17" s="179">
        <f ca="1">IFERROR(__xludf.DUMMYFUNCTION("""COMPUTED_VALUE"""),5)</f>
        <v>5</v>
      </c>
      <c r="W17" s="179" t="str">
        <f ca="1">IFERROR(__xludf.DUMMYFUNCTION("""COMPUTED_VALUE"""),"Strayos has built a product that may not be that differentiated technically from some solutions that already exist, but they are implementing a strategy of an 'off the shelf' solution that does create some product differentiation. Their customer numbers a"&amp;"re impressive with $1M ARR and zero churn. Customer success has been verified.
Good forward thinking product road map is presented in their deck, but the US market may not be that large (SAM of $1B assuming 40k ARPU).
The company has developed good part"&amp;"nerships with large corporations.
Not totally clear what the hardware to software vertical integration strategy is. Does Strayos sell the drone or LiDAR technology, or just the software?
")</f>
        <v xml:space="preserve">Strayos has built a product that may not be that differentiated technically from some solutions that already exist, but they are implementing a strategy of an 'off the shelf' solution that does create some product differentiation. Their customer numbers are impressive with $1M ARR and zero churn. Customer success has been verified.
Good forward thinking product road map is presented in their deck, but the US market may not be that large (SAM of $1B assuming 40k ARPU).
The company has developed good partnerships with large corporations.
Not totally clear what the hardware to software vertical integration strategy is. Does Strayos sell the drone or LiDAR technology, or just the software?
</v>
      </c>
    </row>
    <row r="18" spans="1:23">
      <c r="A18" s="179" t="str">
        <f ca="1">IFERROR(__xludf.DUMMYFUNCTION("""COMPUTED_VALUE"""),"R")</f>
        <v>R</v>
      </c>
      <c r="B18" s="436">
        <f ca="1">IFERROR(__xludf.DUMMYFUNCTION("""COMPUTED_VALUE"""),44786.6105065972)</f>
        <v>44786.610506597201</v>
      </c>
      <c r="C18" s="179" t="str">
        <f ca="1">IFERROR(__xludf.DUMMYFUNCTION("""COMPUTED_VALUE"""),"jar10146@stern.nyu.edu")</f>
        <v>jar10146@stern.nyu.edu</v>
      </c>
      <c r="D18" s="179" t="str">
        <f ca="1">IFERROR(__xludf.DUMMYFUNCTION("""COMPUTED_VALUE"""),"Joshua Rubnitz")</f>
        <v>Joshua Rubnitz</v>
      </c>
      <c r="E18" s="179" t="str">
        <f ca="1">IFERROR(__xludf.DUMMYFUNCTION("""COMPUTED_VALUE"""),"I have read and understand the confidentiality agreement for application reviewers.")</f>
        <v>I have read and understand the confidentiality agreement for application reviewers.</v>
      </c>
      <c r="F18" s="179" t="str">
        <f ca="1">IFERROR(__xludf.DUMMYFUNCTION("""COMPUTED_VALUE"""),"StreamBee")</f>
        <v>StreamBee</v>
      </c>
      <c r="G18" s="179" t="str">
        <f ca="1">IFERROR(__xludf.DUMMYFUNCTION("""COMPUTED_VALUE"""),"StreamBee aims to help online content creators grow their subscriber base by providing granular data on the performance of the content. For example, 'you gained 3 subscribers at 2:30 in the video'. StreamBee wants to do more than present the data, their g"&amp;"oal is to provide actionable insights. Digital tech/gaming/creator economy. Have raised pre-seed and will soon be raising a seed.")</f>
        <v>StreamBee aims to help online content creators grow their subscriber base by providing granular data on the performance of the content. For example, 'you gained 3 subscribers at 2:30 in the video'. StreamBee wants to do more than present the data, their goal is to provide actionable insights. Digital tech/gaming/creator economy. Have raised pre-seed and will soon be raising a seed.</v>
      </c>
      <c r="H18" s="179">
        <f ca="1">IFERROR(__xludf.DUMMYFUNCTION("""COMPUTED_VALUE"""),5)</f>
        <v>5</v>
      </c>
      <c r="I18" s="179">
        <f ca="1">IFERROR(__xludf.DUMMYFUNCTION("""COMPUTED_VALUE"""),3)</f>
        <v>3</v>
      </c>
      <c r="J18" s="179">
        <f ca="1">IFERROR(__xludf.DUMMYFUNCTION("""COMPUTED_VALUE"""),4)</f>
        <v>4</v>
      </c>
      <c r="K18" s="179">
        <f ca="1">IFERROR(__xludf.DUMMYFUNCTION("""COMPUTED_VALUE"""),2)</f>
        <v>2</v>
      </c>
      <c r="L18" s="179" t="str">
        <f ca="1">IFERROR(__xludf.DUMMYFUNCTION("""COMPUTED_VALUE"""),"This is a tangible problem/goal and they conducted thorough interviews of potential customers. This service is probably a necessity for all professional content creators. 
There are many similar services, but StreamBee is trying to differentiate itself b"&amp;"y focuing on creators, providing actionable insights, and being cross-platform in the future. The product is not very protected from imitation and cannot be patented according to application.")</f>
        <v>This is a tangible problem/goal and they conducted thorough interviews of potential customers. This service is probably a necessity for all professional content creators. 
There are many similar services, but StreamBee is trying to differentiate itself by focuing on creators, providing actionable insights, and being cross-platform in the future. The product is not very protected from imitation and cannot be patented according to application.</v>
      </c>
      <c r="M18" s="179">
        <f ca="1">IFERROR(__xludf.DUMMYFUNCTION("""COMPUTED_VALUE"""),4)</f>
        <v>4</v>
      </c>
      <c r="N18" s="179">
        <f ca="1">IFERROR(__xludf.DUMMYFUNCTION("""COMPUTED_VALUE"""),3)</f>
        <v>3</v>
      </c>
      <c r="O18" s="179" t="str">
        <f ca="1">IFERROR(__xludf.DUMMYFUNCTION("""COMPUTED_VALUE"""),"Large and growing market. They have 2000 customers, but they are not paying.")</f>
        <v>Large and growing market. They have 2000 customers, but they are not paying.</v>
      </c>
      <c r="P18" s="179">
        <f ca="1">IFERROR(__xludf.DUMMYFUNCTION("""COMPUTED_VALUE"""),4)</f>
        <v>4</v>
      </c>
      <c r="Q18" s="179">
        <f ca="1">IFERROR(__xludf.DUMMYFUNCTION("""COMPUTED_VALUE"""),4)</f>
        <v>4</v>
      </c>
      <c r="R18" s="179">
        <f ca="1">IFERROR(__xludf.DUMMYFUNCTION("""COMPUTED_VALUE"""),4)</f>
        <v>4</v>
      </c>
      <c r="S18" s="179" t="str">
        <f ca="1">IFERROR(__xludf.DUMMYFUNCTION("""COMPUTED_VALUE"""),"Team is well suited for this product. CEO is a self-taught content creator, CTO produces music, and they have been gamers for a long time. CMO has experience from a previous startup.")</f>
        <v>Team is well suited for this product. CEO is a self-taught content creator, CTO produces music, and they have been gamers for a long time. CMO has experience from a previous startup.</v>
      </c>
      <c r="T18" s="437">
        <f ca="1">IFERROR(__xludf.DUMMYFUNCTION("""COMPUTED_VALUE"""),250000)</f>
        <v>250000</v>
      </c>
      <c r="U18" s="179" t="str">
        <f ca="1">IFERROR(__xludf.DUMMYFUNCTION("""COMPUTED_VALUE"""),"$100-$500K")</f>
        <v>$100-$500K</v>
      </c>
      <c r="V18" s="179">
        <f ca="1">IFERROR(__xludf.DUMMYFUNCTION("""COMPUTED_VALUE"""),3)</f>
        <v>3</v>
      </c>
      <c r="W18" s="179" t="str">
        <f ca="1">IFERROR(__xludf.DUMMYFUNCTION("""COMPUTED_VALUE"""),"The team is impressive and the product seems good, but there is no new deep or digital tech in the product and a lot of competitors are in the field. The CEO reportedly has a good network in the content creator space and may be able to leverage that to fi"&amp;"nd success. ")</f>
        <v xml:space="preserve">The team is impressive and the product seems good, but there is no new deep or digital tech in the product and a lot of competitors are in the field. The CEO reportedly has a good network in the content creator space and may be able to leverage that to find success. </v>
      </c>
    </row>
    <row r="19" spans="1:23">
      <c r="A19" s="179" t="str">
        <f ca="1">IFERROR(__xludf.DUMMYFUNCTION("""COMPUTED_VALUE"""),"R")</f>
        <v>R</v>
      </c>
      <c r="B19" s="436">
        <f ca="1">IFERROR(__xludf.DUMMYFUNCTION("""COMPUTED_VALUE"""),44786.6285587963)</f>
        <v>44786.628558796299</v>
      </c>
      <c r="C19" s="179" t="str">
        <f ca="1">IFERROR(__xludf.DUMMYFUNCTION("""COMPUTED_VALUE"""),"jar10146@stern.nyu.edu")</f>
        <v>jar10146@stern.nyu.edu</v>
      </c>
      <c r="D19" s="179" t="str">
        <f ca="1">IFERROR(__xludf.DUMMYFUNCTION("""COMPUTED_VALUE"""),"Joshua Rubnitz")</f>
        <v>Joshua Rubnitz</v>
      </c>
      <c r="E19" s="179" t="str">
        <f ca="1">IFERROR(__xludf.DUMMYFUNCTION("""COMPUTED_VALUE"""),"I have read and understand the confidentiality agreement for application reviewers.")</f>
        <v>I have read and understand the confidentiality agreement for application reviewers.</v>
      </c>
      <c r="F19" s="179" t="str">
        <f ca="1">IFERROR(__xludf.DUMMYFUNCTION("""COMPUTED_VALUE"""),"Street Farms")</f>
        <v>Street Farms</v>
      </c>
      <c r="G19" s="179" t="str">
        <f ca="1">IFERROR(__xludf.DUMMYFUNCTION("""COMPUTED_VALUE"""),"Street Farms aims to build a distributed system of hydroponic produce growers throughout NYC. The plan is to eventually use AI to optimize growing conditions and identify hyper localized food demand trends. Food industry. Company is just in concept phase "&amp;"and has not built any prototype or MVP, but hydroponics are not new, just the localized concept. Has not raised funding yet, but plans to raise a pre-seed.")</f>
        <v>Street Farms aims to build a distributed system of hydroponic produce growers throughout NYC. The plan is to eventually use AI to optimize growing conditions and identify hyper localized food demand trends. Food industry. Company is just in concept phase and has not built any prototype or MVP, but hydroponics are not new, just the localized concept. Has not raised funding yet, but plans to raise a pre-seed.</v>
      </c>
      <c r="H19" s="179">
        <f ca="1">IFERROR(__xludf.DUMMYFUNCTION("""COMPUTED_VALUE"""),3)</f>
        <v>3</v>
      </c>
      <c r="I19" s="179">
        <f ca="1">IFERROR(__xludf.DUMMYFUNCTION("""COMPUTED_VALUE"""),3)</f>
        <v>3</v>
      </c>
      <c r="J19" s="179">
        <f ca="1">IFERROR(__xludf.DUMMYFUNCTION("""COMPUTED_VALUE"""),2)</f>
        <v>2</v>
      </c>
      <c r="K19" s="179">
        <f ca="1">IFERROR(__xludf.DUMMYFUNCTION("""COMPUTED_VALUE"""),3)</f>
        <v>3</v>
      </c>
      <c r="L19" s="179" t="str">
        <f ca="1">IFERROR(__xludf.DUMMYFUNCTION("""COMPUTED_VALUE"""),"The founder has conducted interviews and found that the 'overwhelming' pain in food purchasing is satisfaction with the fresh produce available. This concept could ease the pain in theory. Did not provide any analysis of food throughput or growing conditi"&amp;"ons of these distributed hydroponic systems.
The tech is in concept phase, no MVP.
If this tech hits scale it would be difficult and labor intensive to build another system to compete, but will always face competition from grocery stores.")</f>
        <v>The founder has conducted interviews and found that the 'overwhelming' pain in food purchasing is satisfaction with the fresh produce available. This concept could ease the pain in theory. Did not provide any analysis of food throughput or growing conditions of these distributed hydroponic systems.
The tech is in concept phase, no MVP.
If this tech hits scale it would be difficult and labor intensive to build another system to compete, but will always face competition from grocery stores.</v>
      </c>
      <c r="M19" s="179">
        <f ca="1">IFERROR(__xludf.DUMMYFUNCTION("""COMPUTED_VALUE"""),3)</f>
        <v>3</v>
      </c>
      <c r="N19" s="179">
        <f ca="1">IFERROR(__xludf.DUMMYFUNCTION("""COMPUTED_VALUE"""),2)</f>
        <v>2</v>
      </c>
      <c r="O19" s="179" t="str">
        <f ca="1">IFERROR(__xludf.DUMMYFUNCTION("""COMPUTED_VALUE"""),"Market is currently addressed by food suppliers and grocery stores. Founder has discovered that customers have low satisfaction with the fresh produce available.")</f>
        <v>Market is currently addressed by food suppliers and grocery stores. Founder has discovered that customers have low satisfaction with the fresh produce available.</v>
      </c>
      <c r="P19" s="179">
        <f ca="1">IFERROR(__xludf.DUMMYFUNCTION("""COMPUTED_VALUE"""),4)</f>
        <v>4</v>
      </c>
      <c r="Q19" s="179">
        <f ca="1">IFERROR(__xludf.DUMMYFUNCTION("""COMPUTED_VALUE"""),4)</f>
        <v>4</v>
      </c>
      <c r="R19" s="179">
        <f ca="1">IFERROR(__xludf.DUMMYFUNCTION("""COMPUTED_VALUE"""),4)</f>
        <v>4</v>
      </c>
      <c r="S19" s="179" t="str">
        <f ca="1">IFERROR(__xludf.DUMMYFUNCTION("""COMPUTED_VALUE"""),"Founder is a successful artist and urban sustainability innovator with a masters in Interactive Technology from NYU.")</f>
        <v>Founder is a successful artist and urban sustainability innovator with a masters in Interactive Technology from NYU.</v>
      </c>
      <c r="T19" s="437">
        <f ca="1">IFERROR(__xludf.DUMMYFUNCTION("""COMPUTED_VALUE"""),0)</f>
        <v>0</v>
      </c>
      <c r="U19" s="179" t="str">
        <f ca="1">IFERROR(__xludf.DUMMYFUNCTION("""COMPUTED_VALUE"""),"$500K-$1M")</f>
        <v>$500K-$1M</v>
      </c>
      <c r="V19" s="179">
        <f ca="1">IFERROR(__xludf.DUMMYFUNCTION("""COMPUTED_VALUE"""),2)</f>
        <v>2</v>
      </c>
      <c r="W19" s="179" t="str">
        <f ca="1">IFERROR(__xludf.DUMMYFUNCTION("""COMPUTED_VALUE"""),"Compelling product that could have appeal to certain customers and could increase the quality of fresh produce and live-ability for NYC as a whole.
There is no new tech, and the product is still in concept phase. Product is a 'nice to have' not a 'must ha"&amp;"ve' for consumers everywhere.
Pitch deck misses some fundamental questions (food throughput, COGS, real estate/electricity, etc.) and due diligence before investor would be ready to give funding, but it is still in pre-seed.")</f>
        <v>Compelling product that could have appeal to certain customers and could increase the quality of fresh produce and live-ability for NYC as a whole.
There is no new tech, and the product is still in concept phase. Product is a 'nice to have' not a 'must have' for consumers everywhere.
Pitch deck misses some fundamental questions (food throughput, COGS, real estate/electricity, etc.) and due diligence before investor would be ready to give funding, but it is still in pre-seed.</v>
      </c>
    </row>
    <row r="20" spans="1:23">
      <c r="A20" s="179" t="str">
        <f ca="1">IFERROR(__xludf.DUMMYFUNCTION("""COMPUTED_VALUE"""),"R")</f>
        <v>R</v>
      </c>
      <c r="B20" s="436">
        <f ca="1">IFERROR(__xludf.DUMMYFUNCTION("""COMPUTED_VALUE"""),44786.6581761226)</f>
        <v>44786.658176122597</v>
      </c>
      <c r="C20" s="179" t="str">
        <f ca="1">IFERROR(__xludf.DUMMYFUNCTION("""COMPUTED_VALUE"""),"jar10146@stern.nyu.edu")</f>
        <v>jar10146@stern.nyu.edu</v>
      </c>
      <c r="D20" s="179" t="str">
        <f ca="1">IFERROR(__xludf.DUMMYFUNCTION("""COMPUTED_VALUE"""),"Joshua Rubnitz")</f>
        <v>Joshua Rubnitz</v>
      </c>
      <c r="E20" s="179" t="str">
        <f ca="1">IFERROR(__xludf.DUMMYFUNCTION("""COMPUTED_VALUE"""),"I have read and understand the confidentiality agreement for application reviewers.")</f>
        <v>I have read and understand the confidentiality agreement for application reviewers.</v>
      </c>
      <c r="F20" s="179" t="str">
        <f ca="1">IFERROR(__xludf.DUMMYFUNCTION("""COMPUTED_VALUE"""),"Street2school")</f>
        <v>Street2school</v>
      </c>
      <c r="G20" s="179" t="str">
        <f ca="1">IFERROR(__xludf.DUMMYFUNCTION("""COMPUTED_VALUE"""),"Note-S2S is non-profit.
The children's education gap between socioeconomic classes in Nigeria has is growing and the pandemic has made things much worse. An huge amount of children do not receive early education, and almost half of kids are out of school "&amp;"by age 6. This is caused by economic hindrances, cultural norms, infrastructure issues, and insecurity. Street2school provides a mobile classroom in the form of a retrofitted bus so that they can bring the classroom to places where kids would otherwise no"&amp;"t get an education. Industry: education in Nigeria. S2S has received grants and has an active product. 
""No"" plans to raise funding, but this may hay have been a typo on the application as their biggest obstacle is 'funding'.")</f>
        <v>Note-S2S is non-profit.
The children's education gap between socioeconomic classes in Nigeria has is growing and the pandemic has made things much worse. An huge amount of children do not receive early education, and almost half of kids are out of school by age 6. This is caused by economic hindrances, cultural norms, infrastructure issues, and insecurity. Street2school provides a mobile classroom in the form of a retrofitted bus so that they can bring the classroom to places where kids would otherwise not get an education. Industry: education in Nigeria. S2S has received grants and has an active product. 
"No" plans to raise funding, but this may hay have been a typo on the application as their biggest obstacle is 'funding'.</v>
      </c>
      <c r="H20" s="179">
        <f ca="1">IFERROR(__xludf.DUMMYFUNCTION("""COMPUTED_VALUE"""),5)</f>
        <v>5</v>
      </c>
      <c r="I20" s="179">
        <f ca="1">IFERROR(__xludf.DUMMYFUNCTION("""COMPUTED_VALUE"""),2)</f>
        <v>2</v>
      </c>
      <c r="J20" s="179">
        <f ca="1">IFERROR(__xludf.DUMMYFUNCTION("""COMPUTED_VALUE"""),4)</f>
        <v>4</v>
      </c>
      <c r="K20" s="179">
        <f ca="1">IFERROR(__xludf.DUMMYFUNCTION("""COMPUTED_VALUE"""),2)</f>
        <v>2</v>
      </c>
      <c r="L20" s="179" t="str">
        <f ca="1">IFERROR(__xludf.DUMMYFUNCTION("""COMPUTED_VALUE"""),"No new technology, product is a schoolbus that is retrofitted to bring the classroom to the students. No mention of competitors. Little barriers to entry.")</f>
        <v>No new technology, product is a schoolbus that is retrofitted to bring the classroom to the students. No mention of competitors. Little barriers to entry.</v>
      </c>
      <c r="M20" s="179">
        <f ca="1">IFERROR(__xludf.DUMMYFUNCTION("""COMPUTED_VALUE"""),5)</f>
        <v>5</v>
      </c>
      <c r="N20" s="179">
        <f ca="1">IFERROR(__xludf.DUMMYFUNCTION("""COMPUTED_VALUE"""),2)</f>
        <v>2</v>
      </c>
      <c r="O20" s="179" t="str">
        <f ca="1">IFERROR(__xludf.DUMMYFUNCTION("""COMPUTED_VALUE"""),"Huge market demand and very important problem to address. Current students do not pay this non-profit.")</f>
        <v>Huge market demand and very important problem to address. Current students do not pay this non-profit.</v>
      </c>
      <c r="P20" s="179">
        <f ca="1">IFERROR(__xludf.DUMMYFUNCTION("""COMPUTED_VALUE"""),3)</f>
        <v>3</v>
      </c>
      <c r="Q20" s="179">
        <f ca="1">IFERROR(__xludf.DUMMYFUNCTION("""COMPUTED_VALUE"""),5)</f>
        <v>5</v>
      </c>
      <c r="R20" s="179">
        <f ca="1">IFERROR(__xludf.DUMMYFUNCTION("""COMPUTED_VALUE"""),5)</f>
        <v>5</v>
      </c>
      <c r="S20" s="179" t="str">
        <f ca="1">IFERROR(__xludf.DUMMYFUNCTION("""COMPUTED_VALUE"""),"Founders have impressive backgrounds and are intimately familiar with the problem in these rural communities.")</f>
        <v>Founders have impressive backgrounds and are intimately familiar with the problem in these rural communities.</v>
      </c>
      <c r="T20" s="437">
        <f ca="1">IFERROR(__xludf.DUMMYFUNCTION("""COMPUTED_VALUE"""),12200)</f>
        <v>12200</v>
      </c>
      <c r="U20" s="179" t="str">
        <f ca="1">IFERROR(__xludf.DUMMYFUNCTION("""COMPUTED_VALUE"""),"No")</f>
        <v>No</v>
      </c>
      <c r="V20" s="179">
        <f ca="1">IFERROR(__xludf.DUMMYFUNCTION("""COMPUTED_VALUE"""),2)</f>
        <v>2</v>
      </c>
      <c r="W20" s="179" t="str">
        <f ca="1">IFERROR(__xludf.DUMMYFUNCTION("""COMPUTED_VALUE"""),"Compelling product design and very well researched market. Exceptional team.
This product has no real technical innovations and the organization is non-profit, possibly not seeking funding.")</f>
        <v>Compelling product design and very well researched market. Exceptional team.
This product has no real technical innovations and the organization is non-profit, possibly not seeking funding.</v>
      </c>
    </row>
    <row r="21" spans="1:23">
      <c r="A21" s="179" t="str">
        <f ca="1">IFERROR(__xludf.DUMMYFUNCTION("""COMPUTED_VALUE"""),"R")</f>
        <v>R</v>
      </c>
      <c r="B21" s="436">
        <f ca="1">IFERROR(__xludf.DUMMYFUNCTION("""COMPUTED_VALUE"""),44786.6757495254)</f>
        <v>44786.675749525399</v>
      </c>
      <c r="C21" s="179" t="str">
        <f ca="1">IFERROR(__xludf.DUMMYFUNCTION("""COMPUTED_VALUE"""),"jar10146@stern.nyu.edu")</f>
        <v>jar10146@stern.nyu.edu</v>
      </c>
      <c r="D21" s="179" t="str">
        <f ca="1">IFERROR(__xludf.DUMMYFUNCTION("""COMPUTED_VALUE"""),"Joshua Rubnitz")</f>
        <v>Joshua Rubnitz</v>
      </c>
      <c r="E21" s="179" t="str">
        <f ca="1">IFERROR(__xludf.DUMMYFUNCTION("""COMPUTED_VALUE"""),"I have read and understand the confidentiality agreement for application reviewers.")</f>
        <v>I have read and understand the confidentiality agreement for application reviewers.</v>
      </c>
      <c r="F21" s="179" t="str">
        <f ca="1">IFERROR(__xludf.DUMMYFUNCTION("""COMPUTED_VALUE"""),"Stritch, Inc.")</f>
        <v>Stritch, Inc.</v>
      </c>
      <c r="G21" s="179" t="str">
        <f ca="1">IFERROR(__xludf.DUMMYFUNCTION("""COMPUTED_VALUE"""),"Stritch aims to become the ""square"" of Africa for SMEs. There is not much novelty to the solution, although businesses can use the platform not only to receive payments, but also to receive short term loans and perform other business related activities "&amp;"on the same platform. The competitive edge for Stritch is that Africa is market that really needs this solution with 80% of GDP coming from 115M SMEs and 60% of SMEs go bankrupt within 1-2 years. Fintech industry. The is a product with 501+ customers. Hav"&amp;"e raised pre-seed and are now raising seed.")</f>
        <v>Stritch aims to become the "square" of Africa for SMEs. There is not much novelty to the solution, although businesses can use the platform not only to receive payments, but also to receive short term loans and perform other business related activities on the same platform. The competitive edge for Stritch is that Africa is market that really needs this solution with 80% of GDP coming from 115M SMEs and 60% of SMEs go bankrupt within 1-2 years. Fintech industry. The is a product with 501+ customers. Have raised pre-seed and are now raising seed.</v>
      </c>
      <c r="H21" s="179">
        <f ca="1">IFERROR(__xludf.DUMMYFUNCTION("""COMPUTED_VALUE"""),5)</f>
        <v>5</v>
      </c>
      <c r="I21" s="179">
        <f ca="1">IFERROR(__xludf.DUMMYFUNCTION("""COMPUTED_VALUE"""),2)</f>
        <v>2</v>
      </c>
      <c r="J21" s="179">
        <f ca="1">IFERROR(__xludf.DUMMYFUNCTION("""COMPUTED_VALUE"""),4)</f>
        <v>4</v>
      </c>
      <c r="K21" s="179">
        <f ca="1">IFERROR(__xludf.DUMMYFUNCTION("""COMPUTED_VALUE"""),2)</f>
        <v>2</v>
      </c>
      <c r="L21" s="179" t="str">
        <f ca="1">IFERROR(__xludf.DUMMYFUNCTION("""COMPUTED_VALUE"""),"No novel deep or digital tech, but bringing a technology to a new market that badly needs the solution. By moving quickly, could replicate the network effect that Square has enjoyed.")</f>
        <v>No novel deep or digital tech, but bringing a technology to a new market that badly needs the solution. By moving quickly, could replicate the network effect that Square has enjoyed.</v>
      </c>
      <c r="M21" s="179">
        <f ca="1">IFERROR(__xludf.DUMMYFUNCTION("""COMPUTED_VALUE"""),5)</f>
        <v>5</v>
      </c>
      <c r="N21" s="179">
        <f ca="1">IFERROR(__xludf.DUMMYFUNCTION("""COMPUTED_VALUE"""),3)</f>
        <v>3</v>
      </c>
      <c r="O21" s="179" t="str">
        <f ca="1">IFERROR(__xludf.DUMMYFUNCTION("""COMPUTED_VALUE"""),"Market research is compelling and shows an urgent need. There are competitors, but it is a huge market. Claims to have 501+ customers, but no revenue.")</f>
        <v>Market research is compelling and shows an urgent need. There are competitors, but it is a huge market. Claims to have 501+ customers, but no revenue.</v>
      </c>
      <c r="P21" s="179">
        <f ca="1">IFERROR(__xludf.DUMMYFUNCTION("""COMPUTED_VALUE"""),4)</f>
        <v>4</v>
      </c>
      <c r="Q21" s="179">
        <f ca="1">IFERROR(__xludf.DUMMYFUNCTION("""COMPUTED_VALUE"""),3)</f>
        <v>3</v>
      </c>
      <c r="R21" s="179">
        <f ca="1">IFERROR(__xludf.DUMMYFUNCTION("""COMPUTED_VALUE"""),4)</f>
        <v>4</v>
      </c>
      <c r="S21" s="179" t="str">
        <f ca="1">IFERROR(__xludf.DUMMYFUNCTION("""COMPUTED_VALUE"""),"Team is intimately familiar with the market. Has good broad background from technical and business point of view.")</f>
        <v>Team is intimately familiar with the market. Has good broad background from technical and business point of view.</v>
      </c>
      <c r="T21" s="437">
        <f ca="1">IFERROR(__xludf.DUMMYFUNCTION("""COMPUTED_VALUE"""),800000)</f>
        <v>800000</v>
      </c>
      <c r="U21" s="179" t="str">
        <f ca="1">IFERROR(__xludf.DUMMYFUNCTION("""COMPUTED_VALUE"""),"$500K-$1M")</f>
        <v>$500K-$1M</v>
      </c>
      <c r="V21" s="179">
        <f ca="1">IFERROR(__xludf.DUMMYFUNCTION("""COMPUTED_VALUE"""),3)</f>
        <v>3</v>
      </c>
      <c r="W21" s="179" t="str">
        <f ca="1">IFERROR(__xludf.DUMMYFUNCTION("""COMPUTED_VALUE"""),"Bringing a 'square, inc' lookalike to a market that really needs it. Incredible opportunity for growth and a team that can get it done.
No technological differentiator and competitors exist. 
Note - it is an LLC although name says Inc.")</f>
        <v>Bringing a 'square, inc' lookalike to a market that really needs it. Incredible opportunity for growth and a team that can get it done.
No technological differentiator and competitors exist. 
Note - it is an LLC although name says Inc.</v>
      </c>
    </row>
    <row r="22" spans="1:23">
      <c r="A22" s="179" t="str">
        <f ca="1">IFERROR(__xludf.DUMMYFUNCTION("""COMPUTED_VALUE"""),"R")</f>
        <v>R</v>
      </c>
      <c r="B22" s="436">
        <f ca="1">IFERROR(__xludf.DUMMYFUNCTION("""COMPUTED_VALUE"""),44787.5078844328)</f>
        <v>44787.507884432802</v>
      </c>
      <c r="C22" s="179" t="str">
        <f ca="1">IFERROR(__xludf.DUMMYFUNCTION("""COMPUTED_VALUE"""),"jar10146@stern.nyu.edu")</f>
        <v>jar10146@stern.nyu.edu</v>
      </c>
      <c r="D22" s="179" t="str">
        <f ca="1">IFERROR(__xludf.DUMMYFUNCTION("""COMPUTED_VALUE"""),"Joshua Rubnitz")</f>
        <v>Joshua Rubnitz</v>
      </c>
      <c r="E22" s="179" t="str">
        <f ca="1">IFERROR(__xludf.DUMMYFUNCTION("""COMPUTED_VALUE"""),"I have read and understand the confidentiality agreement for application reviewers.")</f>
        <v>I have read and understand the confidentiality agreement for application reviewers.</v>
      </c>
      <c r="F22" s="179" t="str">
        <f ca="1">IFERROR(__xludf.DUMMYFUNCTION("""COMPUTED_VALUE"""),"Structure Financial")</f>
        <v>Structure Financial</v>
      </c>
      <c r="G22" s="179" t="str">
        <f ca="1">IFERROR(__xludf.DUMMYFUNCTION("""COMPUTED_VALUE"""),"Structure.fi tokenizes stocks, bonds, crypto, and ETFs so that anyone with a smartphone can trade these assets–focused on developing countries that are not served by current trading platforms. Wants to create a globally consistent financial infrastructure"&amp;" with the power of Web 3.0. DeFi/Fintech. Has built a downloadable app with 50-200 customers (no revenue) and has raised a pre-seed and a seed of $20M. Planning to raise a $50M fund in the next 6-12 months.")</f>
        <v>Structure.fi tokenizes stocks, bonds, crypto, and ETFs so that anyone with a smartphone can trade these assets–focused on developing countries that are not served by current trading platforms. Wants to create a globally consistent financial infrastructure with the power of Web 3.0. DeFi/Fintech. Has built a downloadable app with 50-200 customers (no revenue) and has raised a pre-seed and a seed of $20M. Planning to raise a $50M fund in the next 6-12 months.</v>
      </c>
      <c r="H22" s="179">
        <f ca="1">IFERROR(__xludf.DUMMYFUNCTION("""COMPUTED_VALUE"""),5)</f>
        <v>5</v>
      </c>
      <c r="I22" s="179">
        <f ca="1">IFERROR(__xludf.DUMMYFUNCTION("""COMPUTED_VALUE"""),3)</f>
        <v>3</v>
      </c>
      <c r="J22" s="179">
        <f ca="1">IFERROR(__xludf.DUMMYFUNCTION("""COMPUTED_VALUE"""),4)</f>
        <v>4</v>
      </c>
      <c r="K22" s="179">
        <f ca="1">IFERROR(__xludf.DUMMYFUNCTION("""COMPUTED_VALUE"""),3)</f>
        <v>3</v>
      </c>
      <c r="L22" s="179" t="str">
        <f ca="1">IFERROR(__xludf.DUMMYFUNCTION("""COMPUTED_VALUE"""),"Good use case for Web 3.0/defi technology, bringing the ability to trade to everyone. They have filed patents, but not clear on what exactly. There are existing platforms to trade tokenized stocks already existing, but maybe not a clear market leader yet.")</f>
        <v>Good use case for Web 3.0/defi technology, bringing the ability to trade to everyone. They have filed patents, but not clear on what exactly. There are existing platforms to trade tokenized stocks already existing, but maybe not a clear market leader yet.</v>
      </c>
      <c r="M22" s="179">
        <f ca="1">IFERROR(__xludf.DUMMYFUNCTION("""COMPUTED_VALUE"""),5)</f>
        <v>5</v>
      </c>
      <c r="N22" s="179">
        <f ca="1">IFERROR(__xludf.DUMMYFUNCTION("""COMPUTED_VALUE"""),3)</f>
        <v>3</v>
      </c>
      <c r="O22" s="179" t="str">
        <f ca="1">IFERROR(__xludf.DUMMYFUNCTION("""COMPUTED_VALUE"""),"Large market of potential customers by number. 
Product could be used by anybody to invest in any asset.
Structure is targeting regions that are underserved and do not have high economic resources, so these customers will likely not have a very high willi"&amp;"ngness to pay for the service, and won't be trading large amounts of capital.
Has a working app and 51-200 customers, but they are non paying.")</f>
        <v>Large market of potential customers by number. 
Product could be used by anybody to invest in any asset.
Structure is targeting regions that are underserved and do not have high economic resources, so these customers will likely not have a very high willingness to pay for the service, and won't be trading large amounts of capital.
Has a working app and 51-200 customers, but they are non paying.</v>
      </c>
      <c r="P22" s="179">
        <f ca="1">IFERROR(__xludf.DUMMYFUNCTION("""COMPUTED_VALUE"""),4)</f>
        <v>4</v>
      </c>
      <c r="Q22" s="179">
        <f ca="1">IFERROR(__xludf.DUMMYFUNCTION("""COMPUTED_VALUE"""),4)</f>
        <v>4</v>
      </c>
      <c r="R22" s="179">
        <f ca="1">IFERROR(__xludf.DUMMYFUNCTION("""COMPUTED_VALUE"""),4)</f>
        <v>4</v>
      </c>
      <c r="S22" s="179" t="str">
        <f ca="1">IFERROR(__xludf.DUMMYFUNCTION("""COMPUTED_VALUE"""),"MIT/UI Urbana graduates with Comp Engineering, mathematics, and trading backgrounds. Well suited for building the project. Not clear how familiar they are with the regions they are targeting.")</f>
        <v>MIT/UI Urbana graduates with Comp Engineering, mathematics, and trading backgrounds. Well suited for building the project. Not clear how familiar they are with the regions they are targeting.</v>
      </c>
      <c r="T22" s="179"/>
      <c r="U22" s="179" t="str">
        <f ca="1">IFERROR(__xludf.DUMMYFUNCTION("""COMPUTED_VALUE"""),"&gt;$5M")</f>
        <v>&gt;$5M</v>
      </c>
      <c r="V22" s="179">
        <f ca="1">IFERROR(__xludf.DUMMYFUNCTION("""COMPUTED_VALUE"""),3)</f>
        <v>3</v>
      </c>
      <c r="W22" s="179" t="str">
        <f ca="1">IFERROR(__xludf.DUMMYFUNCTION("""COMPUTED_VALUE"""),"Interesting product that can allow anyone with a smartphone to invest in any financial asset in any market on earth through the power of tokenization of assets.
I see 3 strategic issues: 1) similar solutions already exist 2) targeting low resource custome"&amp;"rs for trading will not unlock much capital and customers will be low WTP 3) It is ironically a web 3.0/DeFi service that relies on traditional financial systems 
Worth consideration for EFL because of the sheer size of the possible market and the ability"&amp;" to quickly win customer loyalty once assets are purchased on the app.")</f>
        <v>Interesting product that can allow anyone with a smartphone to invest in any financial asset in any market on earth through the power of tokenization of assets.
I see 3 strategic issues: 1) similar solutions already exist 2) targeting low resource customers for trading will not unlock much capital and customers will be low WTP 3) It is ironically a web 3.0/DeFi service that relies on traditional financial systems 
Worth consideration for EFL because of the sheer size of the possible market and the ability to quickly win customer loyalty once assets are purchased on the app.</v>
      </c>
    </row>
    <row r="23" spans="1:23">
      <c r="A23" s="179" t="str">
        <f ca="1">IFERROR(__xludf.DUMMYFUNCTION("""COMPUTED_VALUE"""),"R")</f>
        <v>R</v>
      </c>
      <c r="B23" s="436">
        <f ca="1">IFERROR(__xludf.DUMMYFUNCTION("""COMPUTED_VALUE"""),44787.5180218518)</f>
        <v>44787.5180218518</v>
      </c>
      <c r="C23" s="179" t="str">
        <f ca="1">IFERROR(__xludf.DUMMYFUNCTION("""COMPUTED_VALUE"""),"jar10146@stern.nyu.edu")</f>
        <v>jar10146@stern.nyu.edu</v>
      </c>
      <c r="D23" s="179" t="str">
        <f ca="1">IFERROR(__xludf.DUMMYFUNCTION("""COMPUTED_VALUE"""),"Joshua Rubnitz")</f>
        <v>Joshua Rubnitz</v>
      </c>
      <c r="E23" s="179" t="str">
        <f ca="1">IFERROR(__xludf.DUMMYFUNCTION("""COMPUTED_VALUE"""),"I have read and understand the confidentiality agreement for application reviewers.")</f>
        <v>I have read and understand the confidentiality agreement for application reviewers.</v>
      </c>
      <c r="F23" s="179" t="str">
        <f ca="1">IFERROR(__xludf.DUMMYFUNCTION("""COMPUTED_VALUE"""),"Studentocity")</f>
        <v>Studentocity</v>
      </c>
      <c r="G23" s="179" t="str">
        <f ca="1">IFERROR(__xludf.DUMMYFUNCTION("""COMPUTED_VALUE"""),"Studentocity is an app that seeks to develop a safe delivery environment where only students complete deliveries to/for other students. Marketplace/delivery. Digital tech. They have an app built out, but revenue numbers are unclear in app. Have not raised"&amp;" funding. Do not plan to, but may be a typo.")</f>
        <v>Studentocity is an app that seeks to develop a safe delivery environment where only students complete deliveries to/for other students. Marketplace/delivery. Digital tech. They have an app built out, but revenue numbers are unclear in app. Have not raised funding. Do not plan to, but may be a typo.</v>
      </c>
      <c r="H23" s="179">
        <f ca="1">IFERROR(__xludf.DUMMYFUNCTION("""COMPUTED_VALUE"""),2)</f>
        <v>2</v>
      </c>
      <c r="I23" s="179">
        <f ca="1">IFERROR(__xludf.DUMMYFUNCTION("""COMPUTED_VALUE"""),2)</f>
        <v>2</v>
      </c>
      <c r="J23" s="179">
        <f ca="1">IFERROR(__xludf.DUMMYFUNCTION("""COMPUTED_VALUE"""),3)</f>
        <v>3</v>
      </c>
      <c r="K23" s="179">
        <f ca="1">IFERROR(__xludf.DUMMYFUNCTION("""COMPUTED_VALUE"""),2)</f>
        <v>2</v>
      </c>
      <c r="L23" s="179" t="str">
        <f ca="1">IFERROR(__xludf.DUMMYFUNCTION("""COMPUTED_VALUE"""),"They have collected insight that some students feel unsafe on both sides of deliveries generated on current apps. 
No novel technology.
Could maybe differentiate themselves by developing a network within students.")</f>
        <v>They have collected insight that some students feel unsafe on both sides of deliveries generated on current apps. 
No novel technology.
Could maybe differentiate themselves by developing a network within students.</v>
      </c>
      <c r="M23" s="179">
        <f ca="1">IFERROR(__xludf.DUMMYFUNCTION("""COMPUTED_VALUE"""),3)</f>
        <v>3</v>
      </c>
      <c r="N23" s="179">
        <f ca="1">IFERROR(__xludf.DUMMYFUNCTION("""COMPUTED_VALUE"""),2)</f>
        <v>2</v>
      </c>
      <c r="O23" s="179" t="str">
        <f ca="1">IFERROR(__xludf.DUMMYFUNCTION("""COMPUTED_VALUE"""),"Limited to college (?) students, although there are a 19M college students in US and growing. Revenue: ""50$ coming in as a commission of every transaction placed on the app""")</f>
        <v>Limited to college (?) students, although there are a 19M college students in US and growing. Revenue: "50$ coming in as a commission of every transaction placed on the app"</v>
      </c>
      <c r="P23" s="179">
        <f ca="1">IFERROR(__xludf.DUMMYFUNCTION("""COMPUTED_VALUE"""),3)</f>
        <v>3</v>
      </c>
      <c r="Q23" s="179">
        <f ca="1">IFERROR(__xludf.DUMMYFUNCTION("""COMPUTED_VALUE"""),3)</f>
        <v>3</v>
      </c>
      <c r="R23" s="179">
        <f ca="1">IFERROR(__xludf.DUMMYFUNCTION("""COMPUTED_VALUE"""),4)</f>
        <v>4</v>
      </c>
      <c r="S23" s="179" t="str">
        <f ca="1">IFERROR(__xludf.DUMMYFUNCTION("""COMPUTED_VALUE"""),"Long term vision is to create this service and make deliveries safe for students. Relevant backgrounds as students in business. ")</f>
        <v xml:space="preserve">Long term vision is to create this service and make deliveries safe for students. Relevant backgrounds as students in business. </v>
      </c>
      <c r="T23" s="437">
        <f ca="1">IFERROR(__xludf.DUMMYFUNCTION("""COMPUTED_VALUE"""),0)</f>
        <v>0</v>
      </c>
      <c r="U23" s="179" t="str">
        <f ca="1">IFERROR(__xludf.DUMMYFUNCTION("""COMPUTED_VALUE"""),"No")</f>
        <v>No</v>
      </c>
      <c r="V23" s="179">
        <f ca="1">IFERROR(__xludf.DUMMYFUNCTION("""COMPUTED_VALUE"""),2)</f>
        <v>2</v>
      </c>
      <c r="W23" s="179" t="str">
        <f ca="1">IFERROR(__xludf.DUMMYFUNCTION("""COMPUTED_VALUE"""),"Would be a nice to have product for many students. The product has no new tech and could be imitated. Competes with big existing services.")</f>
        <v>Would be a nice to have product for many students. The product has no new tech and could be imitated. Competes with big existing services.</v>
      </c>
    </row>
    <row r="24" spans="1:23">
      <c r="A24" s="179" t="str">
        <f ca="1">IFERROR(__xludf.DUMMYFUNCTION("""COMPUTED_VALUE"""),"R")</f>
        <v>R</v>
      </c>
      <c r="B24" s="436">
        <f ca="1">IFERROR(__xludf.DUMMYFUNCTION("""COMPUTED_VALUE"""),44787.5344825694)</f>
        <v>44787.534482569397</v>
      </c>
      <c r="C24" s="179" t="str">
        <f ca="1">IFERROR(__xludf.DUMMYFUNCTION("""COMPUTED_VALUE"""),"jar10146@stern.nyu.edu")</f>
        <v>jar10146@stern.nyu.edu</v>
      </c>
      <c r="D24" s="179" t="str">
        <f ca="1">IFERROR(__xludf.DUMMYFUNCTION("""COMPUTED_VALUE"""),"Joshua Rubnitz")</f>
        <v>Joshua Rubnitz</v>
      </c>
      <c r="E24" s="179" t="str">
        <f ca="1">IFERROR(__xludf.DUMMYFUNCTION("""COMPUTED_VALUE"""),"I have read and understand the confidentiality agreement for application reviewers.")</f>
        <v>I have read and understand the confidentiality agreement for application reviewers.</v>
      </c>
      <c r="F24" s="179" t="str">
        <f ca="1">IFERROR(__xludf.DUMMYFUNCTION("""COMPUTED_VALUE"""),"Summations")</f>
        <v>Summations</v>
      </c>
      <c r="G24" s="179" t="str">
        <f ca="1">IFERROR(__xludf.DUMMYFUNCTION("""COMPUTED_VALUE"""),"Summations seeks to de-mystify academic papers for 'non-academics' so that more people can understand research papers. They plan to target higher education and create an accessible academic knowledge infrastructure. Long term vision is to use NLP to summa"&amp;"rize articles and also have on-demand support for academics. Education industry. Have not started building the NLP engine yet and need to hire an engineer. Have raised a pre-seed and would like to raise another pre-seed. ")</f>
        <v xml:space="preserve">Summations seeks to de-mystify academic papers for 'non-academics' so that more people can understand research papers. They plan to target higher education and create an accessible academic knowledge infrastructure. Long term vision is to use NLP to summarize articles and also have on-demand support for academics. Education industry. Have not started building the NLP engine yet and need to hire an engineer. Have raised a pre-seed and would like to raise another pre-seed. </v>
      </c>
      <c r="H24" s="179">
        <f ca="1">IFERROR(__xludf.DUMMYFUNCTION("""COMPUTED_VALUE"""),3)</f>
        <v>3</v>
      </c>
      <c r="I24" s="179">
        <f ca="1">IFERROR(__xludf.DUMMYFUNCTION("""COMPUTED_VALUE"""),4)</f>
        <v>4</v>
      </c>
      <c r="J24" s="179">
        <f ca="1">IFERROR(__xludf.DUMMYFUNCTION("""COMPUTED_VALUE"""),2)</f>
        <v>2</v>
      </c>
      <c r="K24" s="179">
        <f ca="1">IFERROR(__xludf.DUMMYFUNCTION("""COMPUTED_VALUE"""),3)</f>
        <v>3</v>
      </c>
      <c r="L24" s="179" t="str">
        <f ca="1">IFERROR(__xludf.DUMMYFUNCTION("""COMPUTED_VALUE"""),"The founders have anecdotes about confusing research articles and have asked universities if pain points exist around improving scientific literacy. The technology is not necessarily inimitable, but could maybe be differentiated (and trusted by customers)"&amp;" by building a strong network of research producers.")</f>
        <v>The founders have anecdotes about confusing research articles and have asked universities if pain points exist around improving scientific literacy. The technology is not necessarily inimitable, but could maybe be differentiated (and trusted by customers) by building a strong network of research producers.</v>
      </c>
      <c r="M24" s="179">
        <f ca="1">IFERROR(__xludf.DUMMYFUNCTION("""COMPUTED_VALUE"""),3)</f>
        <v>3</v>
      </c>
      <c r="N24" s="179">
        <f ca="1">IFERROR(__xludf.DUMMYFUNCTION("""COMPUTED_VALUE"""),3)</f>
        <v>3</v>
      </c>
      <c r="O24" s="179" t="str">
        <f ca="1">IFERROR(__xludf.DUMMYFUNCTION("""COMPUTED_VALUE"""),"They are targeting Universities in North America and believe there is a $930M market. Not sure about the spend on research journals available. No customers, but have 2 LOIs from schools in Toronto.")</f>
        <v>They are targeting Universities in North America and believe there is a $930M market. Not sure about the spend on research journals available. No customers, but have 2 LOIs from schools in Toronto.</v>
      </c>
      <c r="P24" s="179">
        <f ca="1">IFERROR(__xludf.DUMMYFUNCTION("""COMPUTED_VALUE"""),3)</f>
        <v>3</v>
      </c>
      <c r="Q24" s="179">
        <f ca="1">IFERROR(__xludf.DUMMYFUNCTION("""COMPUTED_VALUE"""),4)</f>
        <v>4</v>
      </c>
      <c r="R24" s="179">
        <f ca="1">IFERROR(__xludf.DUMMYFUNCTION("""COMPUTED_VALUE"""),4)</f>
        <v>4</v>
      </c>
      <c r="S24" s="179" t="str">
        <f ca="1">IFERROR(__xludf.DUMMYFUNCTION("""COMPUTED_VALUE"""),"Built a good team with publishing, scientific and startup backgrounds. ")</f>
        <v xml:space="preserve">Built a good team with publishing, scientific and startup backgrounds. </v>
      </c>
      <c r="T24" s="437">
        <f ca="1">IFERROR(__xludf.DUMMYFUNCTION("""COMPUTED_VALUE"""),250000)</f>
        <v>250000</v>
      </c>
      <c r="U24" s="179" t="str">
        <f ca="1">IFERROR(__xludf.DUMMYFUNCTION("""COMPUTED_VALUE"""),"$100-$500K")</f>
        <v>$100-$500K</v>
      </c>
      <c r="V24" s="179">
        <f ca="1">IFERROR(__xludf.DUMMYFUNCTION("""COMPUTED_VALUE"""),3)</f>
        <v>3</v>
      </c>
      <c r="W24" s="179" t="str">
        <f ca="1">IFERROR(__xludf.DUMMYFUNCTION("""COMPUTED_VALUE"""),"The long term vision of the product is not that well built out in the application. 
My understanding is that 'Summations' wants to build essentially a 'sparknotes' for academic papers that make the papers easier to understand and filter out unneeded indus"&amp;"try jargon through an NLP engine. Will also supply on-demand support.
They have not started developing the NLP engine and have no MVP or NLP engineer.
Ironic to target higher education for 'non-academics', and NLP may strip these research papers of real s"&amp;"ubstance.
With all this said, the goal of bringing more understandable research to more people could be very powerful and allow for people with different backgrounds to innovate in new fields.")</f>
        <v>The long term vision of the product is not that well built out in the application. 
My understanding is that 'Summations' wants to build essentially a 'sparknotes' for academic papers that make the papers easier to understand and filter out unneeded industry jargon through an NLP engine. Will also supply on-demand support.
They have not started developing the NLP engine and have no MVP or NLP engineer.
Ironic to target higher education for 'non-academics', and NLP may strip these research papers of real substance.
With all this said, the goal of bringing more understandable research to more people could be very powerful and allow for people with different backgrounds to innovate in new fields.</v>
      </c>
    </row>
    <row r="25" spans="1:23">
      <c r="A25" s="179" t="str">
        <f ca="1">IFERROR(__xludf.DUMMYFUNCTION("""COMPUTED_VALUE"""),"R")</f>
        <v>R</v>
      </c>
      <c r="B25" s="436">
        <f ca="1">IFERROR(__xludf.DUMMYFUNCTION("""COMPUTED_VALUE"""),44787.5616209953)</f>
        <v>44787.5616209953</v>
      </c>
      <c r="C25" s="179" t="str">
        <f ca="1">IFERROR(__xludf.DUMMYFUNCTION("""COMPUTED_VALUE"""),"jar10146@stern.nyu.edu")</f>
        <v>jar10146@stern.nyu.edu</v>
      </c>
      <c r="D25" s="179" t="str">
        <f ca="1">IFERROR(__xludf.DUMMYFUNCTION("""COMPUTED_VALUE"""),"Joshua Rubnitz")</f>
        <v>Joshua Rubnitz</v>
      </c>
      <c r="E25" s="179" t="str">
        <f ca="1">IFERROR(__xludf.DUMMYFUNCTION("""COMPUTED_VALUE"""),"I have read and understand the confidentiality agreement for application reviewers.")</f>
        <v>I have read and understand the confidentiality agreement for application reviewers.</v>
      </c>
      <c r="F25" s="179" t="str">
        <f ca="1">IFERROR(__xludf.DUMMYFUNCTION("""COMPUTED_VALUE"""),"Summer Robotics Inc")</f>
        <v>Summer Robotics Inc</v>
      </c>
      <c r="G25" s="179" t="str">
        <f ca="1">IFERROR(__xludf.DUMMYFUNCTION("""COMPUTED_VALUE"""),"Summer Robotics offers a proprietary 3D perception software (&amp; hardware) solution that is more accurate and lower latency than current computer vision &amp; LiDAR solutions. By triangulating surfaces/objects using lasers, their technology can help computers b"&amp;"etter understand the world around them with targeted applications in mobility (cars, underwater, air travel, etc.). Mobility industry. Customer has working prototype and $225K in revenue (TTM). Have raised 2M pre seed and currently raising 4M seed with 1."&amp;"2M circled.")</f>
        <v>Summer Robotics offers a proprietary 3D perception software (&amp; hardware) solution that is more accurate and lower latency than current computer vision &amp; LiDAR solutions. By triangulating surfaces/objects using lasers, their technology can help computers better understand the world around them with targeted applications in mobility (cars, underwater, air travel, etc.). Mobility industry. Customer has working prototype and $225K in revenue (TTM). Have raised 2M pre seed and currently raising 4M seed with 1.2M circled.</v>
      </c>
      <c r="H25" s="179">
        <f ca="1">IFERROR(__xludf.DUMMYFUNCTION("""COMPUTED_VALUE"""),5)</f>
        <v>5</v>
      </c>
      <c r="I25" s="179">
        <f ca="1">IFERROR(__xludf.DUMMYFUNCTION("""COMPUTED_VALUE"""),4)</f>
        <v>4</v>
      </c>
      <c r="J25" s="179">
        <f ca="1">IFERROR(__xludf.DUMMYFUNCTION("""COMPUTED_VALUE"""),3)</f>
        <v>3</v>
      </c>
      <c r="K25" s="179">
        <f ca="1">IFERROR(__xludf.DUMMYFUNCTION("""COMPUTED_VALUE"""),4)</f>
        <v>4</v>
      </c>
      <c r="L25" s="179" t="str">
        <f ca="1">IFERROR(__xludf.DUMMYFUNCTION("""COMPUTED_VALUE"""),"The problem is widely known and relevant as we try to automate travel &amp; bring computer vision to life in general. Laser based 3D model building is already a technology, but there are currently no competitors leveraging this technology for computer vision/"&amp;"mobility. Team has 15 PPAs and 2 non provisional filings, all pending.")</f>
        <v>The problem is widely known and relevant as we try to automate travel &amp; bring computer vision to life in general. Laser based 3D model building is already a technology, but there are currently no competitors leveraging this technology for computer vision/mobility. Team has 15 PPAs and 2 non provisional filings, all pending.</v>
      </c>
      <c r="M25" s="179">
        <f ca="1">IFERROR(__xludf.DUMMYFUNCTION("""COMPUTED_VALUE"""),5)</f>
        <v>5</v>
      </c>
      <c r="N25" s="179">
        <f ca="1">IFERROR(__xludf.DUMMYFUNCTION("""COMPUTED_VALUE"""),4)</f>
        <v>4</v>
      </c>
      <c r="O25" s="179" t="str">
        <f ca="1">IFERROR(__xludf.DUMMYFUNCTION("""COMPUTED_VALUE"""),"1-10 customers and 225k in revenue. Market for computer vision is large and growing in mobility and tangential industries.")</f>
        <v>1-10 customers and 225k in revenue. Market for computer vision is large and growing in mobility and tangential industries.</v>
      </c>
      <c r="P25" s="179">
        <f ca="1">IFERROR(__xludf.DUMMYFUNCTION("""COMPUTED_VALUE"""),5)</f>
        <v>5</v>
      </c>
      <c r="Q25" s="179">
        <f ca="1">IFERROR(__xludf.DUMMYFUNCTION("""COMPUTED_VALUE"""),4)</f>
        <v>4</v>
      </c>
      <c r="R25" s="179">
        <f ca="1">IFERROR(__xludf.DUMMYFUNCTION("""COMPUTED_VALUE"""),5)</f>
        <v>5</v>
      </c>
      <c r="S25" s="179" t="str">
        <f ca="1">IFERROR(__xludf.DUMMYFUNCTION("""COMPUTED_VALUE"""),"Stanford PhD in physics and MBA from Booth, both working full time to make this vision a reality.")</f>
        <v>Stanford PhD in physics and MBA from Booth, both working full time to make this vision a reality.</v>
      </c>
      <c r="T25" s="437">
        <f ca="1">IFERROR(__xludf.DUMMYFUNCTION("""COMPUTED_VALUE"""),2000000)</f>
        <v>2000000</v>
      </c>
      <c r="U25" s="179" t="str">
        <f ca="1">IFERROR(__xludf.DUMMYFUNCTION("""COMPUTED_VALUE"""),"$1M-$5M")</f>
        <v>$1M-$5M</v>
      </c>
      <c r="V25" s="179">
        <f ca="1">IFERROR(__xludf.DUMMYFUNCTION("""COMPUTED_VALUE"""),5)</f>
        <v>5</v>
      </c>
      <c r="W25" s="179" t="str">
        <f ca="1">IFERROR(__xludf.DUMMYFUNCTION("""COMPUTED_VALUE"""),"The technology clearly has some advantages over existing machine vision tech. There is a huge risk in actually implementing any new technology in an industry where there is no room for error. Long term development costs may be huge.
The founders are very "&amp;"familiar with the industry and have impressive backgrounds. They have developed strategic partnerships and there are no competitors in the industry using this laser-imaging technology for these applications.")</f>
        <v>The technology clearly has some advantages over existing machine vision tech. There is a huge risk in actually implementing any new technology in an industry where there is no room for error. Long term development costs may be huge.
The founders are very familiar with the industry and have impressive backgrounds. They have developed strategic partnerships and there are no competitors in the industry using this laser-imaging technology for these applications.</v>
      </c>
    </row>
    <row r="26" spans="1:23">
      <c r="A26" s="179" t="str">
        <f ca="1">IFERROR(__xludf.DUMMYFUNCTION("""COMPUTED_VALUE"""),"R")</f>
        <v>R</v>
      </c>
      <c r="B26" s="436">
        <f ca="1">IFERROR(__xludf.DUMMYFUNCTION("""COMPUTED_VALUE"""),44787.583410081)</f>
        <v>44787.583410081003</v>
      </c>
      <c r="C26" s="179" t="str">
        <f ca="1">IFERROR(__xludf.DUMMYFUNCTION("""COMPUTED_VALUE"""),"jar10146@stern.nyu.edu")</f>
        <v>jar10146@stern.nyu.edu</v>
      </c>
      <c r="D26" s="179" t="str">
        <f ca="1">IFERROR(__xludf.DUMMYFUNCTION("""COMPUTED_VALUE"""),"Joshua Rubnitz")</f>
        <v>Joshua Rubnitz</v>
      </c>
      <c r="E26" s="179" t="str">
        <f ca="1">IFERROR(__xludf.DUMMYFUNCTION("""COMPUTED_VALUE"""),"I have read and understand the confidentiality agreement for application reviewers.")</f>
        <v>I have read and understand the confidentiality agreement for application reviewers.</v>
      </c>
      <c r="F26" s="179" t="str">
        <f ca="1">IFERROR(__xludf.DUMMYFUNCTION("""COMPUTED_VALUE"""),"Summit Biomedical Imaging")</f>
        <v>Summit Biomedical Imaging</v>
      </c>
      <c r="G26" s="179" t="str">
        <f ca="1">IFERROR(__xludf.DUMMYFUNCTION("""COMPUTED_VALUE"""),"Summit's long term vision is to enable early, safe, cheap detection of a variety of diseases. They have targeted a specific use case in oral cancers where they can use a fluorescent biomarker to identify cancers. Their chemistry/application is patented. H"&amp;"ealthcare/life sciences. Clinical trials showed great success of their product. Have received pre seed and grants. Currently raising a seed.")</f>
        <v>Summit's long term vision is to enable early, safe, cheap detection of a variety of diseases. They have targeted a specific use case in oral cancers where they can use a fluorescent biomarker to identify cancers. Their chemistry/application is patented. Healthcare/life sciences. Clinical trials showed great success of their product. Have received pre seed and grants. Currently raising a seed.</v>
      </c>
      <c r="H26" s="179">
        <f ca="1">IFERROR(__xludf.DUMMYFUNCTION("""COMPUTED_VALUE"""),4)</f>
        <v>4</v>
      </c>
      <c r="I26" s="179">
        <f ca="1">IFERROR(__xludf.DUMMYFUNCTION("""COMPUTED_VALUE"""),3)</f>
        <v>3</v>
      </c>
      <c r="J26" s="179">
        <f ca="1">IFERROR(__xludf.DUMMYFUNCTION("""COMPUTED_VALUE"""),5)</f>
        <v>5</v>
      </c>
      <c r="K26" s="179">
        <f ca="1">IFERROR(__xludf.DUMMYFUNCTION("""COMPUTED_VALUE"""),4)</f>
        <v>4</v>
      </c>
      <c r="L26" s="179" t="str">
        <f ca="1">IFERROR(__xludf.DUMMYFUNCTION("""COMPUTED_VALUE"""),"The technology has been validated by clinical trials. Fluorescent imaging of cancers is by no means novel, but the team has been able to file patents to protect their tech.")</f>
        <v>The technology has been validated by clinical trials. Fluorescent imaging of cancers is by no means novel, but the team has been able to file patents to protect their tech.</v>
      </c>
      <c r="M26" s="179">
        <f ca="1">IFERROR(__xludf.DUMMYFUNCTION("""COMPUTED_VALUE"""),4)</f>
        <v>4</v>
      </c>
      <c r="N26" s="179">
        <f ca="1">IFERROR(__xludf.DUMMYFUNCTION("""COMPUTED_VALUE"""),2)</f>
        <v>2</v>
      </c>
      <c r="O26" s="179" t="str">
        <f ca="1">IFERROR(__xludf.DUMMYFUNCTION("""COMPUTED_VALUE"""),"Well researched mid-sized market. Obvious customer need. Paying customers are still far-out due to heavy regulations in healthcare.")</f>
        <v>Well researched mid-sized market. Obvious customer need. Paying customers are still far-out due to heavy regulations in healthcare.</v>
      </c>
      <c r="P26" s="179">
        <f ca="1">IFERROR(__xludf.DUMMYFUNCTION("""COMPUTED_VALUE"""),4)</f>
        <v>4</v>
      </c>
      <c r="Q26" s="179">
        <f ca="1">IFERROR(__xludf.DUMMYFUNCTION("""COMPUTED_VALUE"""),4)</f>
        <v>4</v>
      </c>
      <c r="R26" s="179">
        <f ca="1">IFERROR(__xludf.DUMMYFUNCTION("""COMPUTED_VALUE"""),5)</f>
        <v>5</v>
      </c>
      <c r="S26" s="179" t="str">
        <f ca="1">IFERROR(__xludf.DUMMYFUNCTION("""COMPUTED_VALUE"""),"Partners have very impressive relevant backgrounds from PhD in chemistry to law degrees and an MBA. Could use more technical team to continue innovating.")</f>
        <v>Partners have very impressive relevant backgrounds from PhD in chemistry to law degrees and an MBA. Could use more technical team to continue innovating.</v>
      </c>
      <c r="T26" s="437">
        <f ca="1">IFERROR(__xludf.DUMMYFUNCTION("""COMPUTED_VALUE"""),123000)</f>
        <v>123000</v>
      </c>
      <c r="U26" s="179" t="str">
        <f ca="1">IFERROR(__xludf.DUMMYFUNCTION("""COMPUTED_VALUE"""),"&gt;$5M")</f>
        <v>&gt;$5M</v>
      </c>
      <c r="V26" s="179">
        <f ca="1">IFERROR(__xludf.DUMMYFUNCTION("""COMPUTED_VALUE"""),4)</f>
        <v>4</v>
      </c>
      <c r="W26" s="179" t="str">
        <f ca="1">IFERROR(__xludf.DUMMYFUNCTION("""COMPUTED_VALUE"""),"This is an impressive team with good tech for 1 product. 
Fluorescent imaging for cancer detection is not new, but they are protected with patents and have identified a compelling pain point and non-invasive solution.
For now, this is just a product, not "&amp;"a company. Fortunately, the founders do have a long term vision for more cancer &amp; disease detection.
EFL business model consultation/prioritization and network could be very valuable for this team.")</f>
        <v>This is an impressive team with good tech for 1 product. 
Fluorescent imaging for cancer detection is not new, but they are protected with patents and have identified a compelling pain point and non-invasive solution.
For now, this is just a product, not a company. Fortunately, the founders do have a long term vision for more cancer &amp; disease detection.
EFL business model consultation/prioritization and network could be very valuable for this team.</v>
      </c>
    </row>
    <row r="27" spans="1:23">
      <c r="A27" s="179" t="str">
        <f ca="1">IFERROR(__xludf.DUMMYFUNCTION("""COMPUTED_VALUE"""),"R")</f>
        <v>R</v>
      </c>
      <c r="B27" s="436">
        <f ca="1">IFERROR(__xludf.DUMMYFUNCTION("""COMPUTED_VALUE"""),44787.6219696759)</f>
        <v>44787.6219696759</v>
      </c>
      <c r="C27" s="179" t="str">
        <f ca="1">IFERROR(__xludf.DUMMYFUNCTION("""COMPUTED_VALUE"""),"jar10146@stern.nyu.edu")</f>
        <v>jar10146@stern.nyu.edu</v>
      </c>
      <c r="D27" s="179" t="str">
        <f ca="1">IFERROR(__xludf.DUMMYFUNCTION("""COMPUTED_VALUE"""),"Joshua Rubnitz")</f>
        <v>Joshua Rubnitz</v>
      </c>
      <c r="E27" s="179" t="str">
        <f ca="1">IFERROR(__xludf.DUMMYFUNCTION("""COMPUTED_VALUE"""),"I have read and understand the confidentiality agreement for application reviewers.")</f>
        <v>I have read and understand the confidentiality agreement for application reviewers.</v>
      </c>
      <c r="F27" s="179" t="str">
        <f ca="1">IFERROR(__xludf.DUMMYFUNCTION("""COMPUTED_VALUE"""),"SuperFi Finance Ltd")</f>
        <v>SuperFi Finance Ltd</v>
      </c>
      <c r="G27" s="179" t="str">
        <f ca="1">IFERROR(__xludf.DUMMYFUNCTION("""COMPUTED_VALUE"""),"SuperFi has built a consolidated platform for their customers to compile all of their credit/other accounts in debt, and the platform will optimize their repayment plan to minimize payments and accelerate their repayment. Entering the market in the UK whe"&amp;"re over 80% of the population has &lt;500 euros in savings and cost of living is going up. Fintech industry. Stage: built prototype product, but not generating revenue. Have raised a pre-seed of ""100"" (100k?) and are raising another pre-seed.")</f>
        <v>SuperFi has built a consolidated platform for their customers to compile all of their credit/other accounts in debt, and the platform will optimize their repayment plan to minimize payments and accelerate their repayment. Entering the market in the UK where over 80% of the population has &lt;500 euros in savings and cost of living is going up. Fintech industry. Stage: built prototype product, but not generating revenue. Have raised a pre-seed of "100" (100k?) and are raising another pre-seed.</v>
      </c>
      <c r="H27" s="179">
        <f ca="1">IFERROR(__xludf.DUMMYFUNCTION("""COMPUTED_VALUE"""),5)</f>
        <v>5</v>
      </c>
      <c r="I27" s="179">
        <f ca="1">IFERROR(__xludf.DUMMYFUNCTION("""COMPUTED_VALUE"""),3)</f>
        <v>3</v>
      </c>
      <c r="J27" s="179">
        <f ca="1">IFERROR(__xludf.DUMMYFUNCTION("""COMPUTED_VALUE"""),3)</f>
        <v>3</v>
      </c>
      <c r="K27" s="179">
        <f ca="1">IFERROR(__xludf.DUMMYFUNCTION("""COMPUTED_VALUE"""),3)</f>
        <v>3</v>
      </c>
      <c r="L27" s="179" t="str">
        <f ca="1">IFERROR(__xludf.DUMMYFUNCTION("""COMPUTED_VALUE"""),"The technology has potential to really relieve a problem with real, compounding consumer pain. The solution does not necessarily leverage any inimitable new digital technology, but builds a solution that can optimize debt repayment plans across multiple a"&amp;"ccounts.")</f>
        <v>The technology has potential to really relieve a problem with real, compounding consumer pain. The solution does not necessarily leverage any inimitable new digital technology, but builds a solution that can optimize debt repayment plans across multiple accounts.</v>
      </c>
      <c r="M27" s="179">
        <f ca="1">IFERROR(__xludf.DUMMYFUNCTION("""COMPUTED_VALUE"""),4)</f>
        <v>4</v>
      </c>
      <c r="N27" s="179">
        <f ca="1">IFERROR(__xludf.DUMMYFUNCTION("""COMPUTED_VALUE"""),2)</f>
        <v>2</v>
      </c>
      <c r="O27" s="179" t="str">
        <f ca="1">IFERROR(__xludf.DUMMYFUNCTION("""COMPUTED_VALUE"""),"The debt problem in the UK is real and growing. SuperFi believes they can address a 202B market with a SOM of 3B. The interesting part of the business model is that they will actually generate revenue through referrals to other debt reductions tools and s"&amp;"ervices, not from consumers.")</f>
        <v>The debt problem in the UK is real and growing. SuperFi believes they can address a 202B market with a SOM of 3B. The interesting part of the business model is that they will actually generate revenue through referrals to other debt reductions tools and services, not from consumers.</v>
      </c>
      <c r="P27" s="179">
        <f ca="1">IFERROR(__xludf.DUMMYFUNCTION("""COMPUTED_VALUE"""),5)</f>
        <v>5</v>
      </c>
      <c r="Q27" s="179">
        <f ca="1">IFERROR(__xludf.DUMMYFUNCTION("""COMPUTED_VALUE"""),4)</f>
        <v>4</v>
      </c>
      <c r="R27" s="179">
        <f ca="1">IFERROR(__xludf.DUMMYFUNCTION("""COMPUTED_VALUE"""),5)</f>
        <v>5</v>
      </c>
      <c r="S27" s="179" t="str">
        <f ca="1">IFERROR(__xludf.DUMMYFUNCTION("""COMPUTED_VALUE"""),"Team with experience in both startups and helping the financially vulnerable. Good business expertise.")</f>
        <v>Team with experience in both startups and helping the financially vulnerable. Good business expertise.</v>
      </c>
      <c r="T27" s="179"/>
      <c r="U27" s="179" t="str">
        <f ca="1">IFERROR(__xludf.DUMMYFUNCTION("""COMPUTED_VALUE"""),"$100-$500K")</f>
        <v>$100-$500K</v>
      </c>
      <c r="V27" s="179">
        <f ca="1">IFERROR(__xludf.DUMMYFUNCTION("""COMPUTED_VALUE"""),4)</f>
        <v>4</v>
      </c>
      <c r="W27" s="179" t="str">
        <f ca="1">IFERROR(__xludf.DUMMYFUNCTION("""COMPUTED_VALUE"""),"SuperFi's consolidated platform will be convenient for customers and addresses an absolute need for many consumers. 
The team has invented a good business model: generating revenue with referrals to other debt reductions tools and services. Consumers are "&amp;"in debt and likely have a low WTP, so this is a wise business model.
There is no new inimitable tech, but no current solution exists in the UK.")</f>
        <v>SuperFi's consolidated platform will be convenient for customers and addresses an absolute need for many consumers. 
The team has invented a good business model: generating revenue with referrals to other debt reductions tools and services. Consumers are in debt and likely have a low WTP, so this is a wise business model.
There is no new inimitable tech, but no current solution exists in the UK.</v>
      </c>
    </row>
    <row r="28" spans="1:23">
      <c r="A28" s="179" t="str">
        <f ca="1">IFERROR(__xludf.DUMMYFUNCTION("""COMPUTED_VALUE"""),"R")</f>
        <v>R</v>
      </c>
      <c r="B28" s="436">
        <f ca="1">IFERROR(__xludf.DUMMYFUNCTION("""COMPUTED_VALUE"""),44787.7493431018)</f>
        <v>44787.749343101801</v>
      </c>
      <c r="C28" s="179" t="str">
        <f ca="1">IFERROR(__xludf.DUMMYFUNCTION("""COMPUTED_VALUE"""),"jar10146@stern.nyu.edu")</f>
        <v>jar10146@stern.nyu.edu</v>
      </c>
      <c r="D28" s="179" t="str">
        <f ca="1">IFERROR(__xludf.DUMMYFUNCTION("""COMPUTED_VALUE"""),"Joshua Rubnitz")</f>
        <v>Joshua Rubnitz</v>
      </c>
      <c r="E28" s="179" t="str">
        <f ca="1">IFERROR(__xludf.DUMMYFUNCTION("""COMPUTED_VALUE"""),"I have read and understand the confidentiality agreement for application reviewers.")</f>
        <v>I have read and understand the confidentiality agreement for application reviewers.</v>
      </c>
      <c r="F28" s="179" t="str">
        <f ca="1">IFERROR(__xludf.DUMMYFUNCTION("""COMPUTED_VALUE"""),"Supporteo")</f>
        <v>Supporteo</v>
      </c>
      <c r="G28" s="179" t="str">
        <f ca="1">IFERROR(__xludf.DUMMYFUNCTION("""COMPUTED_VALUE"""),"Supporteo has built a platform for real time AR meetings for maintenance/manufacturing professionals. They can get live help from experts and follow procedures that are uploaded and recorded on the platform. Industry: AR/Manufacturing/Deep tech. Have not "&amp;"received any funding. Have an MVP. Raising a pre-seed.")</f>
        <v>Supporteo has built a platform for real time AR meetings for maintenance/manufacturing professionals. They can get live help from experts and follow procedures that are uploaded and recorded on the platform. Industry: AR/Manufacturing/Deep tech. Have not received any funding. Have an MVP. Raising a pre-seed.</v>
      </c>
      <c r="H28" s="179">
        <f ca="1">IFERROR(__xludf.DUMMYFUNCTION("""COMPUTED_VALUE"""),4)</f>
        <v>4</v>
      </c>
      <c r="I28" s="179">
        <f ca="1">IFERROR(__xludf.DUMMYFUNCTION("""COMPUTED_VALUE"""),3)</f>
        <v>3</v>
      </c>
      <c r="J28" s="179">
        <f ca="1">IFERROR(__xludf.DUMMYFUNCTION("""COMPUTED_VALUE"""),3)</f>
        <v>3</v>
      </c>
      <c r="K28" s="179">
        <f ca="1">IFERROR(__xludf.DUMMYFUNCTION("""COMPUTED_VALUE"""),3)</f>
        <v>3</v>
      </c>
      <c r="L28" s="179" t="str">
        <f ca="1">IFERROR(__xludf.DUMMYFUNCTION("""COMPUTED_VALUE"""),"Technology seems to be a platform with little new technology. Leverages the trend of AR and provides a medium for B2B AR applications.")</f>
        <v>Technology seems to be a platform with little new technology. Leverages the trend of AR and provides a medium for B2B AR applications.</v>
      </c>
      <c r="M28" s="179">
        <f ca="1">IFERROR(__xludf.DUMMYFUNCTION("""COMPUTED_VALUE"""),4)</f>
        <v>4</v>
      </c>
      <c r="N28" s="179">
        <f ca="1">IFERROR(__xludf.DUMMYFUNCTION("""COMPUTED_VALUE"""),1)</f>
        <v>1</v>
      </c>
      <c r="O28" s="179" t="str">
        <f ca="1">IFERROR(__xludf.DUMMYFUNCTION("""COMPUTED_VALUE"""),"1-10 customers, no revenue. The AR market is huge and growing.")</f>
        <v>1-10 customers, no revenue. The AR market is huge and growing.</v>
      </c>
      <c r="P28" s="179">
        <f ca="1">IFERROR(__xludf.DUMMYFUNCTION("""COMPUTED_VALUE"""),4)</f>
        <v>4</v>
      </c>
      <c r="Q28" s="179">
        <f ca="1">IFERROR(__xludf.DUMMYFUNCTION("""COMPUTED_VALUE"""),3)</f>
        <v>3</v>
      </c>
      <c r="R28" s="179">
        <f ca="1">IFERROR(__xludf.DUMMYFUNCTION("""COMPUTED_VALUE"""),4)</f>
        <v>4</v>
      </c>
      <c r="S28" s="179" t="str">
        <f ca="1">IFERROR(__xludf.DUMMYFUNCTION("""COMPUTED_VALUE"""),"CEO has good electronic communications background, and other 2 team members have MBAs.")</f>
        <v>CEO has good electronic communications background, and other 2 team members have MBAs.</v>
      </c>
      <c r="T28" s="437">
        <f ca="1">IFERROR(__xludf.DUMMYFUNCTION("""COMPUTED_VALUE"""),0)</f>
        <v>0</v>
      </c>
      <c r="U28" s="179" t="str">
        <f ca="1">IFERROR(__xludf.DUMMYFUNCTION("""COMPUTED_VALUE"""),"$500K-$1M")</f>
        <v>$500K-$1M</v>
      </c>
      <c r="V28" s="179">
        <f ca="1">IFERROR(__xludf.DUMMYFUNCTION("""COMPUTED_VALUE"""),3)</f>
        <v>3</v>
      </c>
      <c r="W28" s="179" t="str">
        <f ca="1">IFERROR(__xludf.DUMMYFUNCTION("""COMPUTED_VALUE"""),"Not really a company with new tech, but provides a platform for businesses to utilize AR to automate processes and get remote input from experts.")</f>
        <v>Not really a company with new tech, but provides a platform for businesses to utilize AR to automate processes and get remote input from experts.</v>
      </c>
    </row>
    <row r="29" spans="1:23">
      <c r="A29" s="179" t="str">
        <f ca="1">IFERROR(__xludf.DUMMYFUNCTION("""COMPUTED_VALUE"""),"R")</f>
        <v>R</v>
      </c>
      <c r="B29" s="436">
        <f ca="1">IFERROR(__xludf.DUMMYFUNCTION("""COMPUTED_VALUE"""),44787.7708554282)</f>
        <v>44787.7708554282</v>
      </c>
      <c r="C29" s="179" t="str">
        <f ca="1">IFERROR(__xludf.DUMMYFUNCTION("""COMPUTED_VALUE"""),"jar10146@stern.nyu.edu")</f>
        <v>jar10146@stern.nyu.edu</v>
      </c>
      <c r="D29" s="179" t="str">
        <f ca="1">IFERROR(__xludf.DUMMYFUNCTION("""COMPUTED_VALUE"""),"Joshua Rubnitz")</f>
        <v>Joshua Rubnitz</v>
      </c>
      <c r="E29" s="179" t="str">
        <f ca="1">IFERROR(__xludf.DUMMYFUNCTION("""COMPUTED_VALUE"""),"I have read and understand the confidentiality agreement for application reviewers.")</f>
        <v>I have read and understand the confidentiality agreement for application reviewers.</v>
      </c>
      <c r="F29" s="179" t="str">
        <f ca="1">IFERROR(__xludf.DUMMYFUNCTION("""COMPUTED_VALUE"""),"Suquino, Inc")</f>
        <v>Suquino, Inc</v>
      </c>
      <c r="G29" s="179" t="str">
        <f ca="1">IFERROR(__xludf.DUMMYFUNCTION("""COMPUTED_VALUE"""),"Suquino's Saffron Telehealth provides a diagnostic-level telehealth solution that can pair with 3rd party devices to get actual diagnostic information from patients (blood pressure, blood O2 level etc.). Saffron is coupled with 'Ginger' an ML/AI platform "&amp;"that recommends care plans. Doctors will be 'in-network' of Suquino and can meet with their patients through the portal. Industry: telehealth/life sciences. Have raised a self funded and investor funded pre-seed. Raising a seed round. Does not yet have cu"&amp;"stomers, but business has been 'ratified' by the long-term care industry.")</f>
        <v>Suquino's Saffron Telehealth provides a diagnostic-level telehealth solution that can pair with 3rd party devices to get actual diagnostic information from patients (blood pressure, blood O2 level etc.). Saffron is coupled with 'Ginger' an ML/AI platform that recommends care plans. Doctors will be 'in-network' of Suquino and can meet with their patients through the portal. Industry: telehealth/life sciences. Have raised a self funded and investor funded pre-seed. Raising a seed round. Does not yet have customers, but business has been 'ratified' by the long-term care industry.</v>
      </c>
      <c r="H29" s="179">
        <f ca="1">IFERROR(__xludf.DUMMYFUNCTION("""COMPUTED_VALUE"""),4)</f>
        <v>4</v>
      </c>
      <c r="I29" s="179">
        <f ca="1">IFERROR(__xludf.DUMMYFUNCTION("""COMPUTED_VALUE"""),2)</f>
        <v>2</v>
      </c>
      <c r="J29" s="179">
        <f ca="1">IFERROR(__xludf.DUMMYFUNCTION("""COMPUTED_VALUE"""),2)</f>
        <v>2</v>
      </c>
      <c r="K29" s="179">
        <f ca="1">IFERROR(__xludf.DUMMYFUNCTION("""COMPUTED_VALUE"""),2)</f>
        <v>2</v>
      </c>
      <c r="L29" s="179" t="str">
        <f ca="1">IFERROR(__xludf.DUMMYFUNCTION("""COMPUTED_VALUE"""),"Telehealth solution that aims to integrate device-level data collection (3rd party devices) and have video based doctor visits. Not any inimitable tech. Tech has been protected by a patent application.")</f>
        <v>Telehealth solution that aims to integrate device-level data collection (3rd party devices) and have video based doctor visits. Not any inimitable tech. Tech has been protected by a patent application.</v>
      </c>
      <c r="M29" s="179">
        <f ca="1">IFERROR(__xludf.DUMMYFUNCTION("""COMPUTED_VALUE"""),5)</f>
        <v>5</v>
      </c>
      <c r="N29" s="179">
        <f ca="1">IFERROR(__xludf.DUMMYFUNCTION("""COMPUTED_VALUE"""),2)</f>
        <v>2</v>
      </c>
      <c r="O29" s="179" t="str">
        <f ca="1">IFERROR(__xludf.DUMMYFUNCTION("""COMPUTED_VALUE"""),"Large market for long term care and a new solution to address customers that may want a more intimate relationship with their care providers. ")</f>
        <v xml:space="preserve">Large market for long term care and a new solution to address customers that may want a more intimate relationship with their care providers. </v>
      </c>
      <c r="P29" s="179">
        <f ca="1">IFERROR(__xludf.DUMMYFUNCTION("""COMPUTED_VALUE"""),4)</f>
        <v>4</v>
      </c>
      <c r="Q29" s="179">
        <f ca="1">IFERROR(__xludf.DUMMYFUNCTION("""COMPUTED_VALUE"""),4)</f>
        <v>4</v>
      </c>
      <c r="R29" s="179">
        <f ca="1">IFERROR(__xludf.DUMMYFUNCTION("""COMPUTED_VALUE"""),4)</f>
        <v>4</v>
      </c>
      <c r="S29" s="179" t="str">
        <f ca="1">IFERROR(__xludf.DUMMYFUNCTION("""COMPUTED_VALUE"""),"The founders and investors are clinicians who have actually invested in the product and know the customer pain points very well. CEO has a computer science degree as well.")</f>
        <v>The founders and investors are clinicians who have actually invested in the product and know the customer pain points very well. CEO has a computer science degree as well.</v>
      </c>
      <c r="T29" s="437">
        <f ca="1">IFERROR(__xludf.DUMMYFUNCTION("""COMPUTED_VALUE"""),900000)</f>
        <v>900000</v>
      </c>
      <c r="U29" s="179" t="str">
        <f ca="1">IFERROR(__xludf.DUMMYFUNCTION("""COMPUTED_VALUE"""),"&gt;$5M")</f>
        <v>&gt;$5M</v>
      </c>
      <c r="V29" s="179">
        <f ca="1">IFERROR(__xludf.DUMMYFUNCTION("""COMPUTED_VALUE"""),3)</f>
        <v>3</v>
      </c>
      <c r="W29" s="179" t="str">
        <f ca="1">IFERROR(__xludf.DUMMYFUNCTION("""COMPUTED_VALUE"""),"The tech is not very novel, but the platform does bring together fractured parts of telehealth into one concise interface. Allows long term care to be done at home and can cut out data entry costs/time so that doctors can focus on the patient")</f>
        <v>The tech is not very novel, but the platform does bring together fractured parts of telehealth into one concise interface. Allows long term care to be done at home and can cut out data entry costs/time so that doctors can focus on the patient</v>
      </c>
    </row>
    <row r="30" spans="1:23">
      <c r="A30" s="179" t="str">
        <f ca="1">IFERROR(__xludf.DUMMYFUNCTION("""COMPUTED_VALUE"""),"R")</f>
        <v>R</v>
      </c>
      <c r="B30" s="436">
        <f ca="1">IFERROR(__xludf.DUMMYFUNCTION("""COMPUTED_VALUE"""),44787.7847423148)</f>
        <v>44787.784742314798</v>
      </c>
      <c r="C30" s="179" t="str">
        <f ca="1">IFERROR(__xludf.DUMMYFUNCTION("""COMPUTED_VALUE"""),"jar10146@stern.nyu.edu")</f>
        <v>jar10146@stern.nyu.edu</v>
      </c>
      <c r="D30" s="179" t="str">
        <f ca="1">IFERROR(__xludf.DUMMYFUNCTION("""COMPUTED_VALUE"""),"Joshua Rubnitz")</f>
        <v>Joshua Rubnitz</v>
      </c>
      <c r="E30" s="179" t="str">
        <f ca="1">IFERROR(__xludf.DUMMYFUNCTION("""COMPUTED_VALUE"""),"I have read and understand the confidentiality agreement for application reviewers.")</f>
        <v>I have read and understand the confidentiality agreement for application reviewers.</v>
      </c>
      <c r="F30" s="179" t="str">
        <f ca="1">IFERROR(__xludf.DUMMYFUNCTION("""COMPUTED_VALUE"""),"Surplusmap AS")</f>
        <v>Surplusmap AS</v>
      </c>
      <c r="G30" s="179" t="str">
        <f ca="1">IFERROR(__xludf.DUMMYFUNCTION("""COMPUTED_VALUE"""),"Surplusmap AS aims to become a common data analysis platform for all stakeholders that are involved in the energy business from municipalities to energy producers to industrial energy consumers. Using AI/ML they plan to find common goals where these diffe"&amp;"rent stakeholders can reduce energy waste and for the first time ever, work together. Industry: energy/deep tech focused in Norway/India. They have an MVP, but no customers. Raised a pre-seed and are now seeking Seed/Bridge.")</f>
        <v>Surplusmap AS aims to become a common data analysis platform for all stakeholders that are involved in the energy business from municipalities to energy producers to industrial energy consumers. Using AI/ML they plan to find common goals where these different stakeholders can reduce energy waste and for the first time ever, work together. Industry: energy/deep tech focused in Norway/India. They have an MVP, but no customers. Raised a pre-seed and are now seeking Seed/Bridge.</v>
      </c>
      <c r="H30" s="179">
        <f ca="1">IFERROR(__xludf.DUMMYFUNCTION("""COMPUTED_VALUE"""),4)</f>
        <v>4</v>
      </c>
      <c r="I30" s="179">
        <f ca="1">IFERROR(__xludf.DUMMYFUNCTION("""COMPUTED_VALUE"""),4)</f>
        <v>4</v>
      </c>
      <c r="J30" s="179">
        <f ca="1">IFERROR(__xludf.DUMMYFUNCTION("""COMPUTED_VALUE"""),3)</f>
        <v>3</v>
      </c>
      <c r="K30" s="179">
        <f ca="1">IFERROR(__xludf.DUMMYFUNCTION("""COMPUTED_VALUE"""),3)</f>
        <v>3</v>
      </c>
      <c r="L30" s="179" t="str">
        <f ca="1">IFERROR(__xludf.DUMMYFUNCTION("""COMPUTED_VALUE"""),"It is an entirely software based platform. The technology has not been validated, but the EU space agency gave them an award for their approach. Software can almost always be imitated, but getting big players on their platform would make it hard for any o"&amp;"ther players to enter the industry. Not very clear how the product actually takes shape using cloud computing/satellite data &amp; AI.")</f>
        <v>It is an entirely software based platform. The technology has not been validated, but the EU space agency gave them an award for their approach. Software can almost always be imitated, but getting big players on their platform would make it hard for any other players to enter the industry. Not very clear how the product actually takes shape using cloud computing/satellite data &amp; AI.</v>
      </c>
      <c r="M30" s="179">
        <f ca="1">IFERROR(__xludf.DUMMYFUNCTION("""COMPUTED_VALUE"""),4)</f>
        <v>4</v>
      </c>
      <c r="N30" s="179">
        <f ca="1">IFERROR(__xludf.DUMMYFUNCTION("""COMPUTED_VALUE"""),2)</f>
        <v>2</v>
      </c>
      <c r="O30" s="179" t="str">
        <f ca="1">IFERROR(__xludf.DUMMYFUNCTION("""COMPUTED_VALUE"""),"Energy companies have huge sums of money and good margins. There is a big well of capital to tap here. They do not have paying customers, but do pilots where they have tested the product more manually (not AI enabled).")</f>
        <v>Energy companies have huge sums of money and good margins. There is a big well of capital to tap here. They do not have paying customers, but do pilots where they have tested the product more manually (not AI enabled).</v>
      </c>
      <c r="P30" s="179">
        <f ca="1">IFERROR(__xludf.DUMMYFUNCTION("""COMPUTED_VALUE"""),4)</f>
        <v>4</v>
      </c>
      <c r="Q30" s="179">
        <f ca="1">IFERROR(__xludf.DUMMYFUNCTION("""COMPUTED_VALUE"""),4)</f>
        <v>4</v>
      </c>
      <c r="R30" s="179">
        <f ca="1">IFERROR(__xludf.DUMMYFUNCTION("""COMPUTED_VALUE"""),4)</f>
        <v>4</v>
      </c>
      <c r="S30" s="179" t="str">
        <f ca="1">IFERROR(__xludf.DUMMYFUNCTION("""COMPUTED_VALUE"""),"Have 2 full time founders with relevant experience in climate tech and an MBA and a part time founder also with an MBA. ")</f>
        <v xml:space="preserve">Have 2 full time founders with relevant experience in climate tech and an MBA and a part time founder also with an MBA. </v>
      </c>
      <c r="T30" s="437">
        <f ca="1">IFERROR(__xludf.DUMMYFUNCTION("""COMPUTED_VALUE"""),170000)</f>
        <v>170000</v>
      </c>
      <c r="U30" s="179" t="str">
        <f ca="1">IFERROR(__xludf.DUMMYFUNCTION("""COMPUTED_VALUE"""),"$1M-$5M")</f>
        <v>$1M-$5M</v>
      </c>
      <c r="V30" s="179">
        <f ca="1">IFERROR(__xludf.DUMMYFUNCTION("""COMPUTED_VALUE"""),3)</f>
        <v>3</v>
      </c>
      <c r="W30" s="179" t="str">
        <f ca="1">IFERROR(__xludf.DUMMYFUNCTION("""COMPUTED_VALUE"""),"Surplusmap aims to create a common data repository so that all stakeholders in the energy utilization and production business can find optimal ways to reduce waste and start new projects.
Application did not really make the strategic positioning or the ac"&amp;"tual product build very clear, but end vision is compelling. Some sparse ideas around satellite imagery and AI, etc.")</f>
        <v>Surplusmap aims to create a common data repository so that all stakeholders in the energy utilization and production business can find optimal ways to reduce waste and start new projects.
Application did not really make the strategic positioning or the actual product build very clear, but end vision is compelling. Some sparse ideas around satellite imagery and AI, etc.</v>
      </c>
    </row>
    <row r="31" spans="1:23">
      <c r="A31" s="179" t="str">
        <f ca="1">IFERROR(__xludf.DUMMYFUNCTION("""COMPUTED_VALUE"""),"R")</f>
        <v>R</v>
      </c>
      <c r="B31" s="436">
        <f ca="1">IFERROR(__xludf.DUMMYFUNCTION("""COMPUTED_VALUE"""),44787.8019463194)</f>
        <v>44787.8019463194</v>
      </c>
      <c r="C31" s="179" t="str">
        <f ca="1">IFERROR(__xludf.DUMMYFUNCTION("""COMPUTED_VALUE"""),"jar10146@stern.nyu.edu")</f>
        <v>jar10146@stern.nyu.edu</v>
      </c>
      <c r="D31" s="179" t="str">
        <f ca="1">IFERROR(__xludf.DUMMYFUNCTION("""COMPUTED_VALUE"""),"Joshua Rubnitz")</f>
        <v>Joshua Rubnitz</v>
      </c>
      <c r="E31" s="179" t="str">
        <f ca="1">IFERROR(__xludf.DUMMYFUNCTION("""COMPUTED_VALUE"""),"I have read and understand the confidentiality agreement for application reviewers.")</f>
        <v>I have read and understand the confidentiality agreement for application reviewers.</v>
      </c>
      <c r="F31" s="179" t="str">
        <f ca="1">IFERROR(__xludf.DUMMYFUNCTION("""COMPUTED_VALUE"""),"Suru Together Ltd")</f>
        <v>Suru Together Ltd</v>
      </c>
      <c r="G31" s="179" t="str">
        <f ca="1">IFERROR(__xludf.DUMMYFUNCTION("""COMPUTED_VALUE"""),"Suru Together Ltd harnesses the power of collective intelligence to provide actionable insights for any project that requires input from many stakeholders, or needs community opinion (such as municipalities). Suru does this through AI that can interpret a"&amp;"nd translate small breakout discussions. Video/remote communications industry, digital tech. They have a product and are generating revenue. Have raised pre-seed and seed and are raising another seed.")</f>
        <v>Suru Together Ltd harnesses the power of collective intelligence to provide actionable insights for any project that requires input from many stakeholders, or needs community opinion (such as municipalities). Suru does this through AI that can interpret and translate small breakout discussions. Video/remote communications industry, digital tech. They have a product and are generating revenue. Have raised pre-seed and seed and are raising another seed.</v>
      </c>
      <c r="H31" s="179">
        <f ca="1">IFERROR(__xludf.DUMMYFUNCTION("""COMPUTED_VALUE"""),5)</f>
        <v>5</v>
      </c>
      <c r="I31" s="179">
        <f ca="1">IFERROR(__xludf.DUMMYFUNCTION("""COMPUTED_VALUE"""),5)</f>
        <v>5</v>
      </c>
      <c r="J31" s="179">
        <f ca="1">IFERROR(__xludf.DUMMYFUNCTION("""COMPUTED_VALUE"""),4)</f>
        <v>4</v>
      </c>
      <c r="K31" s="179">
        <f ca="1">IFERROR(__xludf.DUMMYFUNCTION("""COMPUTED_VALUE"""),5)</f>
        <v>5</v>
      </c>
      <c r="L31" s="179" t="str">
        <f ca="1">IFERROR(__xludf.DUMMYFUNCTION("""COMPUTED_VALUE"""),"The team is able to provide concrete numbers about how long it takes certain size groups to come to a consensus based on the AI analysis of the breakout conversations. Very novel product that addresses a huge pain point for any large organization and crea"&amp;"tes a video conferencing solution that can actually be better than in-person. The team is protecting their invention with patents.")</f>
        <v>The team is able to provide concrete numbers about how long it takes certain size groups to come to a consensus based on the AI analysis of the breakout conversations. Very novel product that addresses a huge pain point for any large organization and creates a video conferencing solution that can actually be better than in-person. The team is protecting their invention with patents.</v>
      </c>
      <c r="M31" s="179">
        <f ca="1">IFERROR(__xludf.DUMMYFUNCTION("""COMPUTED_VALUE"""),5)</f>
        <v>5</v>
      </c>
      <c r="N31" s="179">
        <f ca="1">IFERROR(__xludf.DUMMYFUNCTION("""COMPUTED_VALUE"""),4)</f>
        <v>4</v>
      </c>
      <c r="O31" s="179" t="str">
        <f ca="1">IFERROR(__xludf.DUMMYFUNCTION("""COMPUTED_VALUE"""),"The world has gone remote. This is a solution that finally makes remote meetings more efficient than in-person.")</f>
        <v>The world has gone remote. This is a solution that finally makes remote meetings more efficient than in-person.</v>
      </c>
      <c r="P31" s="179">
        <f ca="1">IFERROR(__xludf.DUMMYFUNCTION("""COMPUTED_VALUE"""),4)</f>
        <v>4</v>
      </c>
      <c r="Q31" s="179">
        <f ca="1">IFERROR(__xludf.DUMMYFUNCTION("""COMPUTED_VALUE"""),5)</f>
        <v>5</v>
      </c>
      <c r="R31" s="179">
        <f ca="1">IFERROR(__xludf.DUMMYFUNCTION("""COMPUTED_VALUE"""),4)</f>
        <v>4</v>
      </c>
      <c r="S31" s="179" t="str">
        <f ca="1">IFERROR(__xludf.DUMMYFUNCTION("""COMPUTED_VALUE"""),"Team full of PhD level experts with very relevant experience. Could use more business-related insight to truly excel.")</f>
        <v>Team full of PhD level experts with very relevant experience. Could use more business-related insight to truly excel.</v>
      </c>
      <c r="T31" s="437">
        <f ca="1">IFERROR(__xludf.DUMMYFUNCTION("""COMPUTED_VALUE"""),1700000)</f>
        <v>1700000</v>
      </c>
      <c r="U31" s="179" t="str">
        <f ca="1">IFERROR(__xludf.DUMMYFUNCTION("""COMPUTED_VALUE"""),"$500K-$1M")</f>
        <v>$500K-$1M</v>
      </c>
      <c r="V31" s="179">
        <f ca="1">IFERROR(__xludf.DUMMYFUNCTION("""COMPUTED_VALUE"""),5)</f>
        <v>5</v>
      </c>
      <c r="W31" s="179" t="str">
        <f ca="1">IFERROR(__xludf.DUMMYFUNCTION("""COMPUTED_VALUE"""),"Team is full of experts and has an incredibly useful, disruptive product that could make video meetings infinitely better than in-person meetings. Incredible quote: ""50 people converge to a consensus answer in 25 mins. 500 in 30 mins and 5,000 in 38 mins"&amp;".""
Use cases range across many industries. 
Team could use business consultation: the initial product description &amp; elevator pitch are not very concrete and miss the compelling solution to customer pain point. The team could use EFL's business insight"&amp;" to polish their pitch &amp; strategize the business more effectively. ")</f>
        <v xml:space="preserve">Team is full of experts and has an incredibly useful, disruptive product that could make video meetings infinitely better than in-person meetings. Incredible quote: "50 people converge to a consensus answer in 25 mins. 500 in 30 mins and 5,000 in 38 mins."
Use cases range across many industries. 
Team could use business consultation: the initial product description &amp; elevator pitch are not very concrete and miss the compelling solution to customer pain point. The team could use EFL's business insight to polish their pitch &amp; strategize the business more effectively. </v>
      </c>
    </row>
    <row r="32" spans="1:23">
      <c r="A32" s="179" t="str">
        <f ca="1">IFERROR(__xludf.DUMMYFUNCTION("""COMPUTED_VALUE"""),"R")</f>
        <v>R</v>
      </c>
      <c r="B32" s="436">
        <f ca="1">IFERROR(__xludf.DUMMYFUNCTION("""COMPUTED_VALUE"""),44787.808933831)</f>
        <v>44787.808933831002</v>
      </c>
      <c r="C32" s="179" t="str">
        <f ca="1">IFERROR(__xludf.DUMMYFUNCTION("""COMPUTED_VALUE"""),"jar10146@stern.nyu.edu")</f>
        <v>jar10146@stern.nyu.edu</v>
      </c>
      <c r="D32" s="179" t="str">
        <f ca="1">IFERROR(__xludf.DUMMYFUNCTION("""COMPUTED_VALUE"""),"Joshua Rubnitz")</f>
        <v>Joshua Rubnitz</v>
      </c>
      <c r="E32" s="179" t="str">
        <f ca="1">IFERROR(__xludf.DUMMYFUNCTION("""COMPUTED_VALUE"""),"I have read and understand the confidentiality agreement for application reviewers.")</f>
        <v>I have read and understand the confidentiality agreement for application reviewers.</v>
      </c>
      <c r="F32" s="179" t="str">
        <f ca="1">IFERROR(__xludf.DUMMYFUNCTION("""COMPUTED_VALUE"""),"sustaident")</f>
        <v>sustaident</v>
      </c>
      <c r="G32" s="179" t="str">
        <f ca="1">IFERROR(__xludf.DUMMYFUNCTION("""COMPUTED_VALUE"""),"Plans to create infection control material from sustainable products rather than plastic. Healthcare. Does not have an MVP built yet. Has not raised funding yet, but wants to raise a $500k unnamed round.")</f>
        <v>Plans to create infection control material from sustainable products rather than plastic. Healthcare. Does not have an MVP built yet. Has not raised funding yet, but wants to raise a $500k unnamed round.</v>
      </c>
      <c r="H32" s="179">
        <f ca="1">IFERROR(__xludf.DUMMYFUNCTION("""COMPUTED_VALUE"""),3)</f>
        <v>3</v>
      </c>
      <c r="I32" s="179">
        <f ca="1">IFERROR(__xludf.DUMMYFUNCTION("""COMPUTED_VALUE"""),2)</f>
        <v>2</v>
      </c>
      <c r="J32" s="179">
        <f ca="1">IFERROR(__xludf.DUMMYFUNCTION("""COMPUTED_VALUE"""),1)</f>
        <v>1</v>
      </c>
      <c r="K32" s="179">
        <f ca="1">IFERROR(__xludf.DUMMYFUNCTION("""COMPUTED_VALUE"""),1)</f>
        <v>1</v>
      </c>
      <c r="L32" s="179" t="str">
        <f ca="1">IFERROR(__xludf.DUMMYFUNCTION("""COMPUTED_VALUE"""),"Founders claim that all infection prevention is made from plastic. Want to make it out of bamboo or corn.")</f>
        <v>Founders claim that all infection prevention is made from plastic. Want to make it out of bamboo or corn.</v>
      </c>
      <c r="M32" s="179">
        <f ca="1">IFERROR(__xludf.DUMMYFUNCTION("""COMPUTED_VALUE"""),1)</f>
        <v>1</v>
      </c>
      <c r="N32" s="179">
        <f ca="1">IFERROR(__xludf.DUMMYFUNCTION("""COMPUTED_VALUE"""),1)</f>
        <v>1</v>
      </c>
      <c r="O32" s="179" t="str">
        <f ca="1">IFERROR(__xludf.DUMMYFUNCTION("""COMPUTED_VALUE"""),"No product and did not provide market research")</f>
        <v>No product and did not provide market research</v>
      </c>
      <c r="P32" s="179">
        <f ca="1">IFERROR(__xludf.DUMMYFUNCTION("""COMPUTED_VALUE"""),1)</f>
        <v>1</v>
      </c>
      <c r="Q32" s="179">
        <f ca="1">IFERROR(__xludf.DUMMYFUNCTION("""COMPUTED_VALUE"""),2)</f>
        <v>2</v>
      </c>
      <c r="R32" s="179">
        <f ca="1">IFERROR(__xludf.DUMMYFUNCTION("""COMPUTED_VALUE"""),1)</f>
        <v>1</v>
      </c>
      <c r="S32" s="179" t="str">
        <f ca="1">IFERROR(__xludf.DUMMYFUNCTION("""COMPUTED_VALUE"""),"Team barely filled out the application. Does have relevant experience.")</f>
        <v>Team barely filled out the application. Does have relevant experience.</v>
      </c>
      <c r="T32" s="437">
        <f ca="1">IFERROR(__xludf.DUMMYFUNCTION("""COMPUTED_VALUE"""),0)</f>
        <v>0</v>
      </c>
      <c r="U32" s="179" t="str">
        <f ca="1">IFERROR(__xludf.DUMMYFUNCTION("""COMPUTED_VALUE"""),"$500K-$1M")</f>
        <v>$500K-$1M</v>
      </c>
      <c r="V32" s="179">
        <f ca="1">IFERROR(__xludf.DUMMYFUNCTION("""COMPUTED_VALUE"""),1)</f>
        <v>1</v>
      </c>
      <c r="W32" s="179" t="str">
        <f ca="1">IFERROR(__xludf.DUMMYFUNCTION("""COMPUTED_VALUE"""),"The team did not put much effort into the application or market analysis. Product is just in concept form. Product is not technically differentiated.")</f>
        <v>The team did not put much effort into the application or market analysis. Product is just in concept form. Product is not technically differentiated.</v>
      </c>
    </row>
    <row r="33" spans="1:23">
      <c r="A33" s="179" t="str">
        <f ca="1">IFERROR(__xludf.DUMMYFUNCTION("""COMPUTED_VALUE"""),"R")</f>
        <v>R</v>
      </c>
      <c r="B33" s="436">
        <f ca="1">IFERROR(__xludf.DUMMYFUNCTION("""COMPUTED_VALUE"""),44787.8234387268)</f>
        <v>44787.823438726802</v>
      </c>
      <c r="C33" s="179" t="str">
        <f ca="1">IFERROR(__xludf.DUMMYFUNCTION("""COMPUTED_VALUE"""),"jar10146@stern.nyu.edu")</f>
        <v>jar10146@stern.nyu.edu</v>
      </c>
      <c r="D33" s="179" t="str">
        <f ca="1">IFERROR(__xludf.DUMMYFUNCTION("""COMPUTED_VALUE"""),"Joshua Rubnitz")</f>
        <v>Joshua Rubnitz</v>
      </c>
      <c r="E33" s="179" t="str">
        <f ca="1">IFERROR(__xludf.DUMMYFUNCTION("""COMPUTED_VALUE"""),"I have read and understand the confidentiality agreement for application reviewers.")</f>
        <v>I have read and understand the confidentiality agreement for application reviewers.</v>
      </c>
      <c r="F33" s="179" t="str">
        <f ca="1">IFERROR(__xludf.DUMMYFUNCTION("""COMPUTED_VALUE"""),"Sustain Group Holdings LLC")</f>
        <v>Sustain Group Holdings LLC</v>
      </c>
      <c r="G33" s="179" t="str">
        <f ca="1">IFERROR(__xludf.DUMMYFUNCTION("""COMPUTED_VALUE"""),"Sustain is an insurance platform for AI driven errors arising in healthcare. This will help speed up the adoption of AI/ML by creating a comfort for risk-averse stakeholders. Healthcare/insurance industry. Have raised a pre-seed and are raising a seed rou"&amp;"nd.")</f>
        <v>Sustain is an insurance platform for AI driven errors arising in healthcare. This will help speed up the adoption of AI/ML by creating a comfort for risk-averse stakeholders. Healthcare/insurance industry. Have raised a pre-seed and are raising a seed round.</v>
      </c>
      <c r="H33" s="179">
        <f ca="1">IFERROR(__xludf.DUMMYFUNCTION("""COMPUTED_VALUE"""),5)</f>
        <v>5</v>
      </c>
      <c r="I33" s="179">
        <f ca="1">IFERROR(__xludf.DUMMYFUNCTION("""COMPUTED_VALUE"""),3)</f>
        <v>3</v>
      </c>
      <c r="J33" s="179">
        <f ca="1">IFERROR(__xludf.DUMMYFUNCTION("""COMPUTED_VALUE"""),3)</f>
        <v>3</v>
      </c>
      <c r="K33" s="179">
        <f ca="1">IFERROR(__xludf.DUMMYFUNCTION("""COMPUTED_VALUE"""),2)</f>
        <v>2</v>
      </c>
      <c r="L33" s="179" t="str">
        <f ca="1">IFERROR(__xludf.DUMMYFUNCTION("""COMPUTED_VALUE"""),"The product is insurance which can easily be imitated. The only novelty is their proprietary statistical modeling for valuing the insurance policies.
This insurance innovation can be leveraged to unlock the benefits of AI in healthcare. ")</f>
        <v xml:space="preserve">The product is insurance which can easily be imitated. The only novelty is their proprietary statistical modeling for valuing the insurance policies.
This insurance innovation can be leveraged to unlock the benefits of AI in healthcare. </v>
      </c>
      <c r="M33" s="179">
        <f ca="1">IFERROR(__xludf.DUMMYFUNCTION("""COMPUTED_VALUE"""),5)</f>
        <v>5</v>
      </c>
      <c r="N33" s="179">
        <f ca="1">IFERROR(__xludf.DUMMYFUNCTION("""COMPUTED_VALUE"""),1)</f>
        <v>1</v>
      </c>
      <c r="O33" s="179" t="str">
        <f ca="1">IFERROR(__xludf.DUMMYFUNCTION("""COMPUTED_VALUE"""),"Large market and many players in the field of AI in healthtech. McKinsey reports that the AI healthcare market is growing to 100-150bn by 2026. Product is not built yet, so no customers.")</f>
        <v>Large market and many players in the field of AI in healthtech. McKinsey reports that the AI healthcare market is growing to 100-150bn by 2026. Product is not built yet, so no customers.</v>
      </c>
      <c r="P33" s="179">
        <f ca="1">IFERROR(__xludf.DUMMYFUNCTION("""COMPUTED_VALUE"""),3)</f>
        <v>3</v>
      </c>
      <c r="Q33" s="179">
        <f ca="1">IFERROR(__xludf.DUMMYFUNCTION("""COMPUTED_VALUE"""),5)</f>
        <v>5</v>
      </c>
      <c r="R33" s="179">
        <f ca="1">IFERROR(__xludf.DUMMYFUNCTION("""COMPUTED_VALUE"""),5)</f>
        <v>5</v>
      </c>
      <c r="S33" s="179" t="str">
        <f ca="1">IFERROR(__xludf.DUMMYFUNCTION("""COMPUTED_VALUE"""),"Long term vision is to unlock AI enabled healthcare and then be acquired by a larger insurance corporation. 
Team is techincally excellent with good mathematics and business background.")</f>
        <v>Long term vision is to unlock AI enabled healthcare and then be acquired by a larger insurance corporation. 
Team is techincally excellent with good mathematics and business background.</v>
      </c>
      <c r="T33" s="437">
        <f ca="1">IFERROR(__xludf.DUMMYFUNCTION("""COMPUTED_VALUE"""),50000)</f>
        <v>50000</v>
      </c>
      <c r="U33" s="179" t="str">
        <f ca="1">IFERROR(__xludf.DUMMYFUNCTION("""COMPUTED_VALUE"""),"$1M-$5M")</f>
        <v>$1M-$5M</v>
      </c>
      <c r="V33" s="179">
        <f ca="1">IFERROR(__xludf.DUMMYFUNCTION("""COMPUTED_VALUE"""),4)</f>
        <v>4</v>
      </c>
      <c r="W33" s="179" t="str">
        <f ca="1">IFERROR(__xludf.DUMMYFUNCTION("""COMPUTED_VALUE"""),"There is little proprietary tech except for their statistical model of AI accuracy so that they can price insurance policies properly.
Although there is no direct technical advancement, this insurance that can appease risk averse stakeholders could unloc"&amp;"k AI in medicine.
The tech is not protected from imitation by other insurance companies at all. They plan to move fast and be acquired.")</f>
        <v>There is little proprietary tech except for their statistical model of AI accuracy so that they can price insurance policies properly.
Although there is no direct technical advancement, this insurance that can appease risk averse stakeholders could unlock AI in medicine.
The tech is not protected from imitation by other insurance companies at all. They plan to move fast and be acquired.</v>
      </c>
    </row>
    <row r="34" spans="1:23">
      <c r="A34" s="179" t="str">
        <f ca="1">IFERROR(__xludf.DUMMYFUNCTION("""COMPUTED_VALUE"""),"R")</f>
        <v>R</v>
      </c>
      <c r="B34" s="436">
        <f ca="1">IFERROR(__xludf.DUMMYFUNCTION("""COMPUTED_VALUE"""),44787.8513099421)</f>
        <v>44787.851309942103</v>
      </c>
      <c r="C34" s="179" t="str">
        <f ca="1">IFERROR(__xludf.DUMMYFUNCTION("""COMPUTED_VALUE"""),"jar10146@stern.nyu.edu")</f>
        <v>jar10146@stern.nyu.edu</v>
      </c>
      <c r="D34" s="179" t="str">
        <f ca="1">IFERROR(__xludf.DUMMYFUNCTION("""COMPUTED_VALUE"""),"Joshua Rubnitz")</f>
        <v>Joshua Rubnitz</v>
      </c>
      <c r="E34" s="179" t="str">
        <f ca="1">IFERROR(__xludf.DUMMYFUNCTION("""COMPUTED_VALUE"""),"I have read and understand the confidentiality agreement for application reviewers.")</f>
        <v>I have read and understand the confidentiality agreement for application reviewers.</v>
      </c>
      <c r="F34" s="179" t="str">
        <f ca="1">IFERROR(__xludf.DUMMYFUNCTION("""COMPUTED_VALUE"""),"syGlass, Inc")</f>
        <v>syGlass, Inc</v>
      </c>
      <c r="G34" s="179" t="str">
        <f ca="1">IFERROR(__xludf.DUMMYFUNCTION("""COMPUTED_VALUE"""),"syGlass's software allows for 3D on-screen rendering of 3D and 4D scientific images and publishing to the metaverse. This modeling can be used for scientists and academics in healthcare and materials science to quickly and deeply understand their image vo"&amp;"lumes. Computer aided design industry/software/deep tech. Product is generating recurring revenue. Have raised a seed round. Going to raise a series A.")</f>
        <v>syGlass's software allows for 3D on-screen rendering of 3D and 4D scientific images and publishing to the metaverse. This modeling can be used for scientists and academics in healthcare and materials science to quickly and deeply understand their image volumes. Computer aided design industry/software/deep tech. Product is generating recurring revenue. Have raised a seed round. Going to raise a series A.</v>
      </c>
      <c r="H34" s="179">
        <f ca="1">IFERROR(__xludf.DUMMYFUNCTION("""COMPUTED_VALUE"""),4)</f>
        <v>4</v>
      </c>
      <c r="I34" s="179">
        <f ca="1">IFERROR(__xludf.DUMMYFUNCTION("""COMPUTED_VALUE"""),3)</f>
        <v>3</v>
      </c>
      <c r="J34" s="179">
        <f ca="1">IFERROR(__xludf.DUMMYFUNCTION("""COMPUTED_VALUE"""),5)</f>
        <v>5</v>
      </c>
      <c r="K34" s="179">
        <f ca="1">IFERROR(__xludf.DUMMYFUNCTION("""COMPUTED_VALUE"""),3)</f>
        <v>3</v>
      </c>
      <c r="L34" s="179" t="str">
        <f ca="1">IFERROR(__xludf.DUMMYFUNCTION("""COMPUTED_VALUE"""),"Their software can handle models of very large datasets for modeling and communicating information. They do not have patents and it is not totally clear from the application how this is significantly different from other modeling services.")</f>
        <v>Their software can handle models of very large datasets for modeling and communicating information. They do not have patents and it is not totally clear from the application how this is significantly different from other modeling services.</v>
      </c>
      <c r="M34" s="179">
        <f ca="1">IFERROR(__xludf.DUMMYFUNCTION("""COMPUTED_VALUE"""),4)</f>
        <v>4</v>
      </c>
      <c r="N34" s="179">
        <f ca="1">IFERROR(__xludf.DUMMYFUNCTION("""COMPUTED_VALUE"""),5)</f>
        <v>5</v>
      </c>
      <c r="O34" s="179" t="str">
        <f ca="1">IFERROR(__xludf.DUMMYFUNCTION("""COMPUTED_VALUE"""),"Team estimates a $40B market in education and sciences. Team is already generating 500k ARR.")</f>
        <v>Team estimates a $40B market in education and sciences. Team is already generating 500k ARR.</v>
      </c>
      <c r="P34" s="179">
        <f ca="1">IFERROR(__xludf.DUMMYFUNCTION("""COMPUTED_VALUE"""),3)</f>
        <v>3</v>
      </c>
      <c r="Q34" s="179">
        <f ca="1">IFERROR(__xludf.DUMMYFUNCTION("""COMPUTED_VALUE"""),5)</f>
        <v>5</v>
      </c>
      <c r="R34" s="179">
        <f ca="1">IFERROR(__xludf.DUMMYFUNCTION("""COMPUTED_VALUE"""),4)</f>
        <v>4</v>
      </c>
      <c r="S34" s="179" t="str">
        <f ca="1">IFERROR(__xludf.DUMMYFUNCTION("""COMPUTED_VALUE"""),"Team is technically excellent. Missing business team members/advisors.")</f>
        <v>Team is technically excellent. Missing business team members/advisors.</v>
      </c>
      <c r="T34" s="179"/>
      <c r="U34" s="179" t="str">
        <f ca="1">IFERROR(__xludf.DUMMYFUNCTION("""COMPUTED_VALUE"""),"$1M-$5M")</f>
        <v>$1M-$5M</v>
      </c>
      <c r="V34" s="179">
        <f ca="1">IFERROR(__xludf.DUMMYFUNCTION("""COMPUTED_VALUE"""),3)</f>
        <v>3</v>
      </c>
      <c r="W34" s="179" t="str">
        <f ca="1">IFERROR(__xludf.DUMMYFUNCTION("""COMPUTED_VALUE"""),"The product has interesting applications in science and education.
It is not very clear to non-experts why the product is better than current modeling software options. There are few or no business facing members on the team.
For a company targeting spe"&amp;"cific technical and academic customers with limited resources, a nimble strategy must be built out.")</f>
        <v>The product has interesting applications in science and education.
It is not very clear to non-experts why the product is better than current modeling software options. There are few or no business facing members on the team.
For a company targeting specific technical and academic customers with limited resources, a nimble strategy must be built out.</v>
      </c>
    </row>
    <row r="35" spans="1:23">
      <c r="A35" s="179" t="str">
        <f ca="1">IFERROR(__xludf.DUMMYFUNCTION("""COMPUTED_VALUE"""),"R")</f>
        <v>R</v>
      </c>
      <c r="B35" s="436">
        <f ca="1">IFERROR(__xludf.DUMMYFUNCTION("""COMPUTED_VALUE"""),44787.8601223263)</f>
        <v>44787.860122326303</v>
      </c>
      <c r="C35" s="179" t="str">
        <f ca="1">IFERROR(__xludf.DUMMYFUNCTION("""COMPUTED_VALUE"""),"jar10146@stern.nyu.edu")</f>
        <v>jar10146@stern.nyu.edu</v>
      </c>
      <c r="D35" s="179" t="str">
        <f ca="1">IFERROR(__xludf.DUMMYFUNCTION("""COMPUTED_VALUE"""),"Joshua Rubnitz")</f>
        <v>Joshua Rubnitz</v>
      </c>
      <c r="E35" s="179" t="str">
        <f ca="1">IFERROR(__xludf.DUMMYFUNCTION("""COMPUTED_VALUE"""),"I have read and understand the confidentiality agreement for application reviewers.")</f>
        <v>I have read and understand the confidentiality agreement for application reviewers.</v>
      </c>
      <c r="F35" s="179" t="str">
        <f ca="1">IFERROR(__xludf.DUMMYFUNCTION("""COMPUTED_VALUE"""),"SymbEx")</f>
        <v>SymbEx</v>
      </c>
      <c r="G35" s="179" t="str">
        <f ca="1">IFERROR(__xludf.DUMMYFUNCTION("""COMPUTED_VALUE"""),"SymbEx aims to provide all investors with access to proprietary copy trading/professional trading.  The app will allow amateur investors to copy the portfolio of top professionals. Finance industry. Company has raised a seed and has a pilot product. Plann"&amp;"ing to raise a seed round.")</f>
        <v>SymbEx aims to provide all investors with access to proprietary copy trading/professional trading.  The app will allow amateur investors to copy the portfolio of top professionals. Finance industry. Company has raised a seed and has a pilot product. Planning to raise a seed round.</v>
      </c>
      <c r="H35" s="179">
        <f ca="1">IFERROR(__xludf.DUMMYFUNCTION("""COMPUTED_VALUE"""),3)</f>
        <v>3</v>
      </c>
      <c r="I35" s="179">
        <f ca="1">IFERROR(__xludf.DUMMYFUNCTION("""COMPUTED_VALUE"""),2)</f>
        <v>2</v>
      </c>
      <c r="J35" s="179">
        <f ca="1">IFERROR(__xludf.DUMMYFUNCTION("""COMPUTED_VALUE"""),4)</f>
        <v>4</v>
      </c>
      <c r="K35" s="179">
        <f ca="1">IFERROR(__xludf.DUMMYFUNCTION("""COMPUTED_VALUE"""),2)</f>
        <v>2</v>
      </c>
      <c r="L35" s="179" t="str">
        <f ca="1">IFERROR(__xludf.DUMMYFUNCTION("""COMPUTED_VALUE"""),"This is not a novel technology, but it has not been brought to amateur traders. It could be replicated by any software trading team and is not yet patent protected, but they plan to file when they build a tech team.")</f>
        <v>This is not a novel technology, but it has not been brought to amateur traders. It could be replicated by any software trading team and is not yet patent protected, but they plan to file when they build a tech team.</v>
      </c>
      <c r="M35" s="179">
        <f ca="1">IFERROR(__xludf.DUMMYFUNCTION("""COMPUTED_VALUE"""),4)</f>
        <v>4</v>
      </c>
      <c r="N35" s="179">
        <f ca="1">IFERROR(__xludf.DUMMYFUNCTION("""COMPUTED_VALUE"""),2)</f>
        <v>2</v>
      </c>
      <c r="O35" s="179" t="str">
        <f ca="1">IFERROR(__xludf.DUMMYFUNCTION("""COMPUTED_VALUE"""),"Trading market for retail investors is large and growing. Many would love access to copy proprietary traders. Team has some pilot product released by no revenue.")</f>
        <v>Trading market for retail investors is large and growing. Many would love access to copy proprietary traders. Team has some pilot product released by no revenue.</v>
      </c>
      <c r="P35" s="179">
        <f ca="1">IFERROR(__xludf.DUMMYFUNCTION("""COMPUTED_VALUE"""),3)</f>
        <v>3</v>
      </c>
      <c r="Q35" s="179">
        <f ca="1">IFERROR(__xludf.DUMMYFUNCTION("""COMPUTED_VALUE"""),4)</f>
        <v>4</v>
      </c>
      <c r="R35" s="179">
        <f ca="1">IFERROR(__xludf.DUMMYFUNCTION("""COMPUTED_VALUE"""),4)</f>
        <v>4</v>
      </c>
      <c r="S35" s="179" t="str">
        <f ca="1">IFERROR(__xludf.DUMMYFUNCTION("""COMPUTED_VALUE"""),"Mostly focused in financial service. No tech team yet.")</f>
        <v>Mostly focused in financial service. No tech team yet.</v>
      </c>
      <c r="T35" s="437">
        <f ca="1">IFERROR(__xludf.DUMMYFUNCTION("""COMPUTED_VALUE"""),440000)</f>
        <v>440000</v>
      </c>
      <c r="U35" s="179" t="str">
        <f ca="1">IFERROR(__xludf.DUMMYFUNCTION("""COMPUTED_VALUE"""),"$100-$500K")</f>
        <v>$100-$500K</v>
      </c>
      <c r="V35" s="179">
        <f ca="1">IFERROR(__xludf.DUMMYFUNCTION("""COMPUTED_VALUE"""),2)</f>
        <v>2</v>
      </c>
      <c r="W35" s="179" t="str">
        <f ca="1">IFERROR(__xludf.DUMMYFUNCTION("""COMPUTED_VALUE"""),"This app would allow for amateur traders to copy the portfolio of professional traders.
Provides a service that consumers would likely have a moderate to high WTP for, as it promises good financial returns.
Very little or no new tech. Tech team is not b"&amp;"uilt out yet.")</f>
        <v>This app would allow for amateur traders to copy the portfolio of professional traders.
Provides a service that consumers would likely have a moderate to high WTP for, as it promises good financial returns.
Very little or no new tech. Tech team is not built out yet.</v>
      </c>
    </row>
    <row r="36" spans="1:23">
      <c r="A36" s="179" t="str">
        <f ca="1">IFERROR(__xludf.DUMMYFUNCTION("""COMPUTED_VALUE"""),"R")</f>
        <v>R</v>
      </c>
      <c r="B36" s="436">
        <f ca="1">IFERROR(__xludf.DUMMYFUNCTION("""COMPUTED_VALUE"""),44787.8710649421)</f>
        <v>44787.871064942097</v>
      </c>
      <c r="C36" s="179" t="str">
        <f ca="1">IFERROR(__xludf.DUMMYFUNCTION("""COMPUTED_VALUE"""),"jar10146@stern.nyu.edu")</f>
        <v>jar10146@stern.nyu.edu</v>
      </c>
      <c r="D36" s="179" t="str">
        <f ca="1">IFERROR(__xludf.DUMMYFUNCTION("""COMPUTED_VALUE"""),"Joshua Rubnitz")</f>
        <v>Joshua Rubnitz</v>
      </c>
      <c r="E36" s="179" t="str">
        <f ca="1">IFERROR(__xludf.DUMMYFUNCTION("""COMPUTED_VALUE"""),"I have read and understand the confidentiality agreement for application reviewers.")</f>
        <v>I have read and understand the confidentiality agreement for application reviewers.</v>
      </c>
      <c r="F36" s="179" t="str">
        <f ca="1">IFERROR(__xludf.DUMMYFUNCTION("""COMPUTED_VALUE"""),"Symphony Biosciences")</f>
        <v>Symphony Biosciences</v>
      </c>
      <c r="G36" s="179" t="str">
        <f ca="1">IFERROR(__xludf.DUMMYFUNCTION("""COMPUTED_VALUE"""),"Symphony Biosciences has developed a first-in-class immunotherapeutic biomaterial that can harness the body's immune system to provide anticancer immunity for solid tumors. Initially targeting triple negative breast cancer due to its high incident rate. H"&amp;"ealthcare/life sciences. Have raised a pre seed. Raising a seed")</f>
        <v>Symphony Biosciences has developed a first-in-class immunotherapeutic biomaterial that can harness the body's immune system to provide anticancer immunity for solid tumors. Initially targeting triple negative breast cancer due to its high incident rate. Healthcare/life sciences. Have raised a pre seed. Raising a seed</v>
      </c>
      <c r="H36" s="179">
        <f ca="1">IFERROR(__xludf.DUMMYFUNCTION("""COMPUTED_VALUE"""),5)</f>
        <v>5</v>
      </c>
      <c r="I36" s="179">
        <f ca="1">IFERROR(__xludf.DUMMYFUNCTION("""COMPUTED_VALUE"""),4)</f>
        <v>4</v>
      </c>
      <c r="J36" s="179">
        <f ca="1">IFERROR(__xludf.DUMMYFUNCTION("""COMPUTED_VALUE"""),4)</f>
        <v>4</v>
      </c>
      <c r="K36" s="179">
        <f ca="1">IFERROR(__xludf.DUMMYFUNCTION("""COMPUTED_VALUE"""),5)</f>
        <v>5</v>
      </c>
      <c r="L36" s="179" t="str">
        <f ca="1">IFERROR(__xludf.DUMMYFUNCTION("""COMPUTED_VALUE"""),"There are competitors in the space, but Symphony claims to have both a cost and scientific edge. They are specifically targeting a very large market of disease with this product. They have received patents on the technology.")</f>
        <v>There are competitors in the space, but Symphony claims to have both a cost and scientific edge. They are specifically targeting a very large market of disease with this product. They have received patents on the technology.</v>
      </c>
      <c r="M36" s="179">
        <f ca="1">IFERROR(__xludf.DUMMYFUNCTION("""COMPUTED_VALUE"""),4)</f>
        <v>4</v>
      </c>
      <c r="N36" s="179">
        <f ca="1">IFERROR(__xludf.DUMMYFUNCTION("""COMPUTED_VALUE"""),1)</f>
        <v>1</v>
      </c>
      <c r="O36" s="179" t="str">
        <f ca="1">IFERROR(__xludf.DUMMYFUNCTION("""COMPUTED_VALUE"""),"They have decided to treat triple negative breast cancer as their solution is showing initial promise, and it is a prevalent disease that current solutions are not very successful at treating.")</f>
        <v>They have decided to treat triple negative breast cancer as their solution is showing initial promise, and it is a prevalent disease that current solutions are not very successful at treating.</v>
      </c>
      <c r="P36" s="179">
        <f ca="1">IFERROR(__xludf.DUMMYFUNCTION("""COMPUTED_VALUE"""),4)</f>
        <v>4</v>
      </c>
      <c r="Q36" s="179">
        <f ca="1">IFERROR(__xludf.DUMMYFUNCTION("""COMPUTED_VALUE"""),5)</f>
        <v>5</v>
      </c>
      <c r="R36" s="179">
        <f ca="1">IFERROR(__xludf.DUMMYFUNCTION("""COMPUTED_VALUE"""),5)</f>
        <v>5</v>
      </c>
      <c r="S36" s="179" t="str">
        <f ca="1">IFERROR(__xludf.DUMMYFUNCTION("""COMPUTED_VALUE"""),"Founders are very impressive in medicine, biomaterials, and drug delivery. They have brought on MBA advisors from UCLA.")</f>
        <v>Founders are very impressive in medicine, biomaterials, and drug delivery. They have brought on MBA advisors from UCLA.</v>
      </c>
      <c r="T36" s="437">
        <f ca="1">IFERROR(__xludf.DUMMYFUNCTION("""COMPUTED_VALUE"""),400000)</f>
        <v>400000</v>
      </c>
      <c r="U36" s="179" t="str">
        <f ca="1">IFERROR(__xludf.DUMMYFUNCTION("""COMPUTED_VALUE"""),"$1M-$5M")</f>
        <v>$1M-$5M</v>
      </c>
      <c r="V36" s="179">
        <f ca="1">IFERROR(__xludf.DUMMYFUNCTION("""COMPUTED_VALUE"""),5)</f>
        <v>5</v>
      </c>
      <c r="W36" s="179" t="str">
        <f ca="1">IFERROR(__xludf.DUMMYFUNCTION("""COMPUTED_VALUE"""),"The team has a very compelling product and strategically addresses a large market that is not currently being treated with much success. They have a vision to address more diseases in the future.
The product is in lab/development phase and is likely many "&amp;"years from trials and implementation. They do foresee easier FDA endpoints because the disease is so deadly.")</f>
        <v>The team has a very compelling product and strategically addresses a large market that is not currently being treated with much success. They have a vision to address more diseases in the future.
The product is in lab/development phase and is likely many years from trials and implementation. They do foresee easier FDA endpoints because the disease is so deadly.</v>
      </c>
    </row>
    <row r="37" spans="1:23">
      <c r="A37" s="179" t="str">
        <f ca="1">IFERROR(__xludf.DUMMYFUNCTION("""COMPUTED_VALUE"""),"R")</f>
        <v>R</v>
      </c>
      <c r="B37" s="436">
        <f ca="1">IFERROR(__xludf.DUMMYFUNCTION("""COMPUTED_VALUE"""),44787.8814125694)</f>
        <v>44787.881412569397</v>
      </c>
      <c r="C37" s="179" t="str">
        <f ca="1">IFERROR(__xludf.DUMMYFUNCTION("""COMPUTED_VALUE"""),"jar10146@stern.nyu.edu")</f>
        <v>jar10146@stern.nyu.edu</v>
      </c>
      <c r="D37" s="179" t="str">
        <f ca="1">IFERROR(__xludf.DUMMYFUNCTION("""COMPUTED_VALUE"""),"Joshua Rubnitz")</f>
        <v>Joshua Rubnitz</v>
      </c>
      <c r="E37" s="179" t="str">
        <f ca="1">IFERROR(__xludf.DUMMYFUNCTION("""COMPUTED_VALUE"""),"I have read and understand the confidentiality agreement for application reviewers.")</f>
        <v>I have read and understand the confidentiality agreement for application reviewers.</v>
      </c>
      <c r="F37" s="179" t="str">
        <f ca="1">IFERROR(__xludf.DUMMYFUNCTION("""COMPUTED_VALUE"""),"Synaps Dx")</f>
        <v>Synaps Dx</v>
      </c>
      <c r="G37" s="179" t="str">
        <f ca="1">IFERROR(__xludf.DUMMYFUNCTION("""COMPUTED_VALUE"""),"Synaps Dx has commercialized biomarker technology that can accurately identify Alzheimer's disease (AD), even at early stages. Healthcare/life sciences. Company is generating 3M in revenue. App says that company has not raised funding and plans to raise p"&amp;"re-seed, but does not say how much.")</f>
        <v>Synaps Dx has commercialized biomarker technology that can accurately identify Alzheimer's disease (AD), even at early stages. Healthcare/life sciences. Company is generating 3M in revenue. App says that company has not raised funding and plans to raise pre-seed, but does not say how much.</v>
      </c>
      <c r="H37" s="179">
        <f ca="1">IFERROR(__xludf.DUMMYFUNCTION("""COMPUTED_VALUE"""),5)</f>
        <v>5</v>
      </c>
      <c r="I37" s="179">
        <f ca="1">IFERROR(__xludf.DUMMYFUNCTION("""COMPUTED_VALUE"""),5)</f>
        <v>5</v>
      </c>
      <c r="J37" s="179">
        <f ca="1">IFERROR(__xludf.DUMMYFUNCTION("""COMPUTED_VALUE"""),2)</f>
        <v>2</v>
      </c>
      <c r="K37" s="179">
        <f ca="1">IFERROR(__xludf.DUMMYFUNCTION("""COMPUTED_VALUE"""),3)</f>
        <v>3</v>
      </c>
      <c r="L37" s="179" t="str">
        <f ca="1">IFERROR(__xludf.DUMMYFUNCTION("""COMPUTED_VALUE"""),"Technology is generating revenue. The company has performed clinical trials but did not provide data regarding the performance. The company wants to protect their IP with patents, but no further info.")</f>
        <v>Technology is generating revenue. The company has performed clinical trials but did not provide data regarding the performance. The company wants to protect their IP with patents, but no further info.</v>
      </c>
      <c r="M37" s="179">
        <f ca="1">IFERROR(__xludf.DUMMYFUNCTION("""COMPUTED_VALUE"""),3)</f>
        <v>3</v>
      </c>
      <c r="N37" s="179">
        <f ca="1">IFERROR(__xludf.DUMMYFUNCTION("""COMPUTED_VALUE"""),5)</f>
        <v>5</v>
      </c>
      <c r="O37" s="179" t="str">
        <f ca="1">IFERROR(__xludf.DUMMYFUNCTION("""COMPUTED_VALUE"""),"Company claims a TAM of 20M and generates 3M in revenue.")</f>
        <v>Company claims a TAM of 20M and generates 3M in revenue.</v>
      </c>
      <c r="P37" s="179">
        <f ca="1">IFERROR(__xludf.DUMMYFUNCTION("""COMPUTED_VALUE"""),3)</f>
        <v>3</v>
      </c>
      <c r="Q37" s="179">
        <f ca="1">IFERROR(__xludf.DUMMYFUNCTION("""COMPUTED_VALUE"""),3)</f>
        <v>3</v>
      </c>
      <c r="R37" s="179">
        <f ca="1">IFERROR(__xludf.DUMMYFUNCTION("""COMPUTED_VALUE"""),3)</f>
        <v>3</v>
      </c>
      <c r="S37" s="179" t="str">
        <f ca="1">IFERROR(__xludf.DUMMYFUNCTION("""COMPUTED_VALUE"""),"Founder has a PhD and works full time on the project.")</f>
        <v>Founder has a PhD and works full time on the project.</v>
      </c>
      <c r="T37" s="179"/>
      <c r="U37" s="179" t="str">
        <f ca="1">IFERROR(__xludf.DUMMYFUNCTION("""COMPUTED_VALUE"""),"No")</f>
        <v>No</v>
      </c>
      <c r="V37" s="179">
        <f ca="1">IFERROR(__xludf.DUMMYFUNCTION("""COMPUTED_VALUE"""),2)</f>
        <v>2</v>
      </c>
      <c r="W37" s="179" t="str">
        <f ca="1">IFERROR(__xludf.DUMMYFUNCTION("""COMPUTED_VALUE"""),"Product seems to have success and generates 3M in revenue. The tech must be solid.
The founder barely filled out the application. Not much information provided.")</f>
        <v>Product seems to have success and generates 3M in revenue. The tech must be solid.
The founder barely filled out the application. Not much information provided.</v>
      </c>
    </row>
    <row r="38" spans="1:23">
      <c r="A38" s="179" t="str">
        <f ca="1">IFERROR(__xludf.DUMMYFUNCTION("""COMPUTED_VALUE"""),"R")</f>
        <v>R</v>
      </c>
      <c r="B38" s="436">
        <f ca="1">IFERROR(__xludf.DUMMYFUNCTION("""COMPUTED_VALUE"""),44787.9478241782)</f>
        <v>44787.947824178198</v>
      </c>
      <c r="C38" s="179" t="str">
        <f ca="1">IFERROR(__xludf.DUMMYFUNCTION("""COMPUTED_VALUE"""),"jar10146@stern.nyu.edu")</f>
        <v>jar10146@stern.nyu.edu</v>
      </c>
      <c r="D38" s="179" t="str">
        <f ca="1">IFERROR(__xludf.DUMMYFUNCTION("""COMPUTED_VALUE"""),"Joshua Rubnitz")</f>
        <v>Joshua Rubnitz</v>
      </c>
      <c r="E38" s="179" t="str">
        <f ca="1">IFERROR(__xludf.DUMMYFUNCTION("""COMPUTED_VALUE"""),"I have read and understand the confidentiality agreement for application reviewers.")</f>
        <v>I have read and understand the confidentiality agreement for application reviewers.</v>
      </c>
      <c r="F38" s="179" t="str">
        <f ca="1">IFERROR(__xludf.DUMMYFUNCTION("""COMPUTED_VALUE"""),"SynerAI Inc")</f>
        <v>SynerAI Inc</v>
      </c>
      <c r="G38" s="179" t="str">
        <f ca="1">IFERROR(__xludf.DUMMYFUNCTION("""COMPUTED_VALUE"""),"SynerAI's AI engine and proprietary algorithm can parse news/current events to make predictions about the effect on commodities, supply chains, and future events. Currently SynerAI is using this to predict stock prices and can automatically compile and cl"&amp;"assify research about individual companies. The vision is to grow to be able to predict discrete events and 'capture the voice of the internet..'. Industry: Finance/News. Have launched a pilot product with 11-50 customers, not generating revenue. Have rai"&amp;"sed a pre-seed, not currently raising funds, but would like to start raising by end of the year.")</f>
        <v>SynerAI's AI engine and proprietary algorithm can parse news/current events to make predictions about the effect on commodities, supply chains, and future events. Currently SynerAI is using this to predict stock prices and can automatically compile and classify research about individual companies. The vision is to grow to be able to predict discrete events and 'capture the voice of the internet..'. Industry: Finance/News. Have launched a pilot product with 11-50 customers, not generating revenue. Have raised a pre-seed, not currently raising funds, but would like to start raising by end of the year.</v>
      </c>
      <c r="H38" s="179">
        <f ca="1">IFERROR(__xludf.DUMMYFUNCTION("""COMPUTED_VALUE"""),4)</f>
        <v>4</v>
      </c>
      <c r="I38" s="179">
        <f ca="1">IFERROR(__xludf.DUMMYFUNCTION("""COMPUTED_VALUE"""),3)</f>
        <v>3</v>
      </c>
      <c r="J38" s="179">
        <f ca="1">IFERROR(__xludf.DUMMYFUNCTION("""COMPUTED_VALUE"""),3)</f>
        <v>3</v>
      </c>
      <c r="K38" s="179">
        <f ca="1">IFERROR(__xludf.DUMMYFUNCTION("""COMPUTED_VALUE"""),3)</f>
        <v>3</v>
      </c>
      <c r="L38" s="179" t="str">
        <f ca="1">IFERROR(__xludf.DUMMYFUNCTION("""COMPUTED_VALUE"""),"Parsing news for trading purposes is not novel. They do employ an AI algorithm that could possibly perform better, but data is not there to validate. The founder claims to have backtested portfolios to validate success of the product.")</f>
        <v>Parsing news for trading purposes is not novel. They do employ an AI algorithm that could possibly perform better, but data is not there to validate. The founder claims to have backtested portfolios to validate success of the product.</v>
      </c>
      <c r="M38" s="179">
        <f ca="1">IFERROR(__xludf.DUMMYFUNCTION("""COMPUTED_VALUE"""),4)</f>
        <v>4</v>
      </c>
      <c r="N38" s="179">
        <f ca="1">IFERROR(__xludf.DUMMYFUNCTION("""COMPUTED_VALUE"""),2)</f>
        <v>2</v>
      </c>
      <c r="O38" s="179" t="str">
        <f ca="1">IFERROR(__xludf.DUMMYFUNCTION("""COMPUTED_VALUE"""),"Growing market with a lot of funds going into trading. Many competitors in the space though. No paying customers, but have launched a pilot (11-50 customers).")</f>
        <v>Growing market with a lot of funds going into trading. Many competitors in the space though. No paying customers, but have launched a pilot (11-50 customers).</v>
      </c>
      <c r="P38" s="179">
        <f ca="1">IFERROR(__xludf.DUMMYFUNCTION("""COMPUTED_VALUE"""),4)</f>
        <v>4</v>
      </c>
      <c r="Q38" s="179">
        <f ca="1">IFERROR(__xludf.DUMMYFUNCTION("""COMPUTED_VALUE"""),4)</f>
        <v>4</v>
      </c>
      <c r="R38" s="179">
        <f ca="1">IFERROR(__xludf.DUMMYFUNCTION("""COMPUTED_VALUE"""),3)</f>
        <v>3</v>
      </c>
      <c r="S38" s="179" t="str">
        <f ca="1">IFERROR(__xludf.DUMMYFUNCTION("""COMPUTED_VALUE"""),"Founders have MBAs and should be knowledgeable in business &amp; strategy. For their product to be truly differentiated in this competitive market they likely need to build out an exceptional tech team.")</f>
        <v>Founders have MBAs and should be knowledgeable in business &amp; strategy. For their product to be truly differentiated in this competitive market they likely need to build out an exceptional tech team.</v>
      </c>
      <c r="T38" s="437">
        <f ca="1">IFERROR(__xludf.DUMMYFUNCTION("""COMPUTED_VALUE"""),1100000)</f>
        <v>1100000</v>
      </c>
      <c r="U38" s="179" t="str">
        <f ca="1">IFERROR(__xludf.DUMMYFUNCTION("""COMPUTED_VALUE"""),"&gt;$5M")</f>
        <v>&gt;$5M</v>
      </c>
      <c r="V38" s="179">
        <f ca="1">IFERROR(__xludf.DUMMYFUNCTION("""COMPUTED_VALUE"""),3)</f>
        <v>3</v>
      </c>
      <c r="W38" s="179" t="str">
        <f ca="1">IFERROR(__xludf.DUMMYFUNCTION("""COMPUTED_VALUE"""),"They claim to have an exceptional AI algorithm that can predict future stock prices and eventually predict discrete events.
There is not much concrete data in the application to support the technical differentiation above.")</f>
        <v>They claim to have an exceptional AI algorithm that can predict future stock prices and eventually predict discrete events.
There is not much concrete data in the application to support the technical differentiation above.</v>
      </c>
    </row>
    <row r="39" spans="1:23">
      <c r="A39" s="179" t="str">
        <f ca="1">IFERROR(__xludf.DUMMYFUNCTION("""COMPUTED_VALUE"""),"R")</f>
        <v>R</v>
      </c>
      <c r="B39" s="436">
        <f ca="1">IFERROR(__xludf.DUMMYFUNCTION("""COMPUTED_VALUE"""),44787.956715706)</f>
        <v>44787.956715706001</v>
      </c>
      <c r="C39" s="179" t="str">
        <f ca="1">IFERROR(__xludf.DUMMYFUNCTION("""COMPUTED_VALUE"""),"ahmed.bahgat@stern.nyu.edu")</f>
        <v>ahmed.bahgat@stern.nyu.edu</v>
      </c>
      <c r="D39" s="179" t="str">
        <f ca="1">IFERROR(__xludf.DUMMYFUNCTION("""COMPUTED_VALUE"""),"Ahmed Bahgat")</f>
        <v>Ahmed Bahgat</v>
      </c>
      <c r="E39" s="179" t="str">
        <f ca="1">IFERROR(__xludf.DUMMYFUNCTION("""COMPUTED_VALUE"""),"I have read and understand the confidentiality agreement for application reviewers.")</f>
        <v>I have read and understand the confidentiality agreement for application reviewers.</v>
      </c>
      <c r="F39" s="179" t="str">
        <f ca="1">IFERROR(__xludf.DUMMYFUNCTION("""COMPUTED_VALUE"""),"ROCSOLE")</f>
        <v>ROCSOLE</v>
      </c>
      <c r="G39" s="179" t="str">
        <f ca="1">IFERROR(__xludf.DUMMYFUNCTION("""COMPUTED_VALUE"""),"Process Imaging/Sensor Technology Company with 5 developed products for tank profiling, separator profiling, and pipeline monitoring. These products have multi-industry applications.  ")</f>
        <v xml:space="preserve">Process Imaging/Sensor Technology Company with 5 developed products for tank profiling, separator profiling, and pipeline monitoring. These products have multi-industry applications.  </v>
      </c>
      <c r="H39" s="179">
        <f ca="1">IFERROR(__xludf.DUMMYFUNCTION("""COMPUTED_VALUE"""),4)</f>
        <v>4</v>
      </c>
      <c r="I39" s="179">
        <f ca="1">IFERROR(__xludf.DUMMYFUNCTION("""COMPUTED_VALUE"""),4)</f>
        <v>4</v>
      </c>
      <c r="J39" s="179">
        <f ca="1">IFERROR(__xludf.DUMMYFUNCTION("""COMPUTED_VALUE"""),5)</f>
        <v>5</v>
      </c>
      <c r="K39" s="179">
        <f ca="1">IFERROR(__xludf.DUMMYFUNCTION("""COMPUTED_VALUE"""),4)</f>
        <v>4</v>
      </c>
      <c r="L39" s="179" t="str">
        <f ca="1">IFERROR(__xludf.DUMMYFUNCTION("""COMPUTED_VALUE"""),"This technology solution is one of several sensor based imaging and monitoring solutions offered across industries. It is not clear how this technology solution is advantageous as compared to other offering same solutions to the same industries (like oil "&amp;"&amp; gas, mining, chemicals, etc). ")</f>
        <v xml:space="preserve">This technology solution is one of several sensor based imaging and monitoring solutions offered across industries. It is not clear how this technology solution is advantageous as compared to other offering same solutions to the same industries (like oil &amp; gas, mining, chemicals, etc). </v>
      </c>
      <c r="M39" s="179">
        <f ca="1">IFERROR(__xludf.DUMMYFUNCTION("""COMPUTED_VALUE"""),2)</f>
        <v>2</v>
      </c>
      <c r="N39" s="179">
        <f ca="1">IFERROR(__xludf.DUMMYFUNCTION("""COMPUTED_VALUE"""),5)</f>
        <v>5</v>
      </c>
      <c r="O39" s="179" t="str">
        <f ca="1">IFERROR(__xludf.DUMMYFUNCTION("""COMPUTED_VALUE"""),"The addressable market is not clearly defined. Products are tailored per client across numerous industries. Target market seems to be defined as US Gulf of Mexico which has companies (industries not specified, I am guessing they are referring to oil &amp; gas"&amp;") that run into operational failures and frequent maintenance where this technology could be a potential solution.    ")</f>
        <v xml:space="preserve">The addressable market is not clearly defined. Products are tailored per client across numerous industries. Target market seems to be defined as US Gulf of Mexico which has companies (industries not specified, I am guessing they are referring to oil &amp; gas) that run into operational failures and frequent maintenance where this technology could be a potential solution.    </v>
      </c>
      <c r="P39" s="179">
        <f ca="1">IFERROR(__xludf.DUMMYFUNCTION("""COMPUTED_VALUE"""),2)</f>
        <v>2</v>
      </c>
      <c r="Q39" s="179">
        <f ca="1">IFERROR(__xludf.DUMMYFUNCTION("""COMPUTED_VALUE"""),2)</f>
        <v>2</v>
      </c>
      <c r="R39" s="179">
        <f ca="1">IFERROR(__xludf.DUMMYFUNCTION("""COMPUTED_VALUE"""),5)</f>
        <v>5</v>
      </c>
      <c r="S39" s="179" t="str">
        <f ca="1">IFERROR(__xludf.DUMMYFUNCTION("""COMPUTED_VALUE"""),"Strong team but vision is not clear and is inconsistent with product offering. Technology solution offered is designed for operational excellence (in many of the carbon emitting industries like oil &amp; gas and mining) and yet the vision is to make industria"&amp;"l processing sustainable. This vision would make more sense if their catering products only to sustainable industries such as renewables which is not the case here. ")</f>
        <v xml:space="preserve">Strong team but vision is not clear and is inconsistent with product offering. Technology solution offered is designed for operational excellence (in many of the carbon emitting industries like oil &amp; gas and mining) and yet the vision is to make industrial processing sustainable. This vision would make more sense if their catering products only to sustainable industries such as renewables which is not the case here. </v>
      </c>
      <c r="T39" s="179"/>
      <c r="U39" s="179" t="str">
        <f ca="1">IFERROR(__xludf.DUMMYFUNCTION("""COMPUTED_VALUE"""),"&gt;$5M")</f>
        <v>&gt;$5M</v>
      </c>
      <c r="V39" s="179">
        <f ca="1">IFERROR(__xludf.DUMMYFUNCTION("""COMPUTED_VALUE"""),4)</f>
        <v>4</v>
      </c>
      <c r="W39" s="179" t="str">
        <f ca="1">IFERROR(__xludf.DUMMYFUNCTION("""COMPUTED_VALUE"""),"Aligned with the right mentor and students, I see we can provide valuable guidance to this business with regards to refining their SOM/SAM/TAM, catering their technology solution to dominate a sub-sector rather than being spread too thin as they are now, "&amp;"and offering depth and insights to developing a strong vision to help propel their growth. ")</f>
        <v xml:space="preserve">Aligned with the right mentor and students, I see we can provide valuable guidance to this business with regards to refining their SOM/SAM/TAM, catering their technology solution to dominate a sub-sector rather than being spread too thin as they are now, and offering depth and insights to developing a strong vision to help propel their growth. </v>
      </c>
    </row>
    <row r="40" spans="1:23">
      <c r="A40" s="179" t="str">
        <f ca="1">IFERROR(__xludf.DUMMYFUNCTION("""COMPUTED_VALUE"""),"R")</f>
        <v>R</v>
      </c>
      <c r="B40" s="436">
        <f ca="1">IFERROR(__xludf.DUMMYFUNCTION("""COMPUTED_VALUE"""),44787.9587752199)</f>
        <v>44787.9587752199</v>
      </c>
      <c r="C40" s="179" t="str">
        <f ca="1">IFERROR(__xludf.DUMMYFUNCTION("""COMPUTED_VALUE"""),"jar10146@stern.nyu.edu")</f>
        <v>jar10146@stern.nyu.edu</v>
      </c>
      <c r="D40" s="179" t="str">
        <f ca="1">IFERROR(__xludf.DUMMYFUNCTION("""COMPUTED_VALUE"""),"Joshua Rubnitz")</f>
        <v>Joshua Rubnitz</v>
      </c>
      <c r="E40" s="179" t="str">
        <f ca="1">IFERROR(__xludf.DUMMYFUNCTION("""COMPUTED_VALUE"""),"I have read and understand the confidentiality agreement for application reviewers.")</f>
        <v>I have read and understand the confidentiality agreement for application reviewers.</v>
      </c>
      <c r="F40" s="179" t="str">
        <f ca="1">IFERROR(__xludf.DUMMYFUNCTION("""COMPUTED_VALUE"""),"Syntience Inc")</f>
        <v>Syntience Inc</v>
      </c>
      <c r="G40" s="179" t="str">
        <f ca="1">IFERROR(__xludf.DUMMYFUNCTION("""COMPUTED_VALUE"""),"Syntience belives that the future of computing will be defined by natural language understanding (NLU). We will command our computers to do something and they will do it. Syntience is using deep discrete neuron networks to understand language ""one millio"&amp;"n times faster and one million times cheaper"" than normal machine learning. Industry: computing, deep tech. Stage: pilot with customers. Have never raised funding. Planning to raise a round of convertible debt.")</f>
        <v>Syntience belives that the future of computing will be defined by natural language understanding (NLU). We will command our computers to do something and they will do it. Syntience is using deep discrete neuron networks to understand language "one million times faster and one million times cheaper" than normal machine learning. Industry: computing, deep tech. Stage: pilot with customers. Have never raised funding. Planning to raise a round of convertible debt.</v>
      </c>
      <c r="H40" s="179">
        <f ca="1">IFERROR(__xludf.DUMMYFUNCTION("""COMPUTED_VALUE"""),3)</f>
        <v>3</v>
      </c>
      <c r="I40" s="179">
        <f ca="1">IFERROR(__xludf.DUMMYFUNCTION("""COMPUTED_VALUE"""),5)</f>
        <v>5</v>
      </c>
      <c r="J40" s="179">
        <f ca="1">IFERROR(__xludf.DUMMYFUNCTION("""COMPUTED_VALUE"""),3)</f>
        <v>3</v>
      </c>
      <c r="K40" s="179">
        <f ca="1">IFERROR(__xludf.DUMMYFUNCTION("""COMPUTED_VALUE"""),3)</f>
        <v>3</v>
      </c>
      <c r="L40" s="179" t="str">
        <f ca="1">IFERROR(__xludf.DUMMYFUNCTION("""COMPUTED_VALUE"""),"The promise of the technology is huge. Under validation, the founder states that a test version can be downloaded from Github for us to validate. Seems to be a novel technology, but can possibly be imitated. No patents.  ")</f>
        <v xml:space="preserve">The promise of the technology is huge. Under validation, the founder states that a test version can be downloaded from Github for us to validate. Seems to be a novel technology, but can possibly be imitated. No patents.  </v>
      </c>
      <c r="M40" s="179">
        <f ca="1">IFERROR(__xludf.DUMMYFUNCTION("""COMPUTED_VALUE"""),4)</f>
        <v>4</v>
      </c>
      <c r="N40" s="179">
        <f ca="1">IFERROR(__xludf.DUMMYFUNCTION("""COMPUTED_VALUE"""),3)</f>
        <v>3</v>
      </c>
      <c r="O40" s="179" t="str">
        <f ca="1">IFERROR(__xludf.DUMMYFUNCTION("""COMPUTED_VALUE"""),"Has a pilot product and one paying customer that is employing the founder to build their NLU system.")</f>
        <v>Has a pilot product and one paying customer that is employing the founder to build their NLU system.</v>
      </c>
      <c r="P40" s="179">
        <f ca="1">IFERROR(__xludf.DUMMYFUNCTION("""COMPUTED_VALUE"""),4)</f>
        <v>4</v>
      </c>
      <c r="Q40" s="179">
        <f ca="1">IFERROR(__xludf.DUMMYFUNCTION("""COMPUTED_VALUE"""),4)</f>
        <v>4</v>
      </c>
      <c r="R40" s="179">
        <f ca="1">IFERROR(__xludf.DUMMYFUNCTION("""COMPUTED_VALUE"""),5)</f>
        <v>5</v>
      </c>
      <c r="S40" s="179" t="str">
        <f ca="1">IFERROR(__xludf.DUMMYFUNCTION("""COMPUTED_VALUE"""),"Monica Anderson has been working in ML for 2 decades. Does not have any business support.")</f>
        <v>Monica Anderson has been working in ML for 2 decades. Does not have any business support.</v>
      </c>
      <c r="T40" s="437">
        <f ca="1">IFERROR(__xludf.DUMMYFUNCTION("""COMPUTED_VALUE"""),0)</f>
        <v>0</v>
      </c>
      <c r="U40" s="179" t="str">
        <f ca="1">IFERROR(__xludf.DUMMYFUNCTION("""COMPUTED_VALUE"""),"$500K-$1M")</f>
        <v>$500K-$1M</v>
      </c>
      <c r="V40" s="179">
        <f ca="1">IFERROR(__xludf.DUMMYFUNCTION("""COMPUTED_VALUE"""),3)</f>
        <v>3</v>
      </c>
      <c r="W40" s="179" t="str">
        <f ca="1">IFERROR(__xludf.DUMMYFUNCTION("""COMPUTED_VALUE"""),"If the tech performs as advertised, it could be very powerful in bringing the NLU future that the founder believes will define computing.
There is very little business due diligence in this pitch and there are no numbers to validate performance of the te"&amp;"chnology.")</f>
        <v>If the tech performs as advertised, it could be very powerful in bringing the NLU future that the founder believes will define computing.
There is very little business due diligence in this pitch and there are no numbers to validate performance of the technology.</v>
      </c>
    </row>
    <row r="41" spans="1:23">
      <c r="A41" s="179" t="str">
        <f ca="1">IFERROR(__xludf.DUMMYFUNCTION("""COMPUTED_VALUE"""),"R")</f>
        <v>R</v>
      </c>
      <c r="B41" s="436">
        <f ca="1">IFERROR(__xludf.DUMMYFUNCTION("""COMPUTED_VALUE"""),44787.9749608101)</f>
        <v>44787.974960810097</v>
      </c>
      <c r="C41" s="179" t="str">
        <f ca="1">IFERROR(__xludf.DUMMYFUNCTION("""COMPUTED_VALUE"""),"jar10146@stern.nyu.edu")</f>
        <v>jar10146@stern.nyu.edu</v>
      </c>
      <c r="D41" s="179" t="str">
        <f ca="1">IFERROR(__xludf.DUMMYFUNCTION("""COMPUTED_VALUE"""),"Joshua Rubnitz")</f>
        <v>Joshua Rubnitz</v>
      </c>
      <c r="E41" s="179" t="str">
        <f ca="1">IFERROR(__xludf.DUMMYFUNCTION("""COMPUTED_VALUE"""),"I have read and understand the confidentiality agreement for application reviewers.")</f>
        <v>I have read and understand the confidentiality agreement for application reviewers.</v>
      </c>
      <c r="F41" s="179" t="str">
        <f ca="1">IFERROR(__xludf.DUMMYFUNCTION("""COMPUTED_VALUE"""),"Tactical Therapeutics, Inc")</f>
        <v>Tactical Therapeutics, Inc</v>
      </c>
      <c r="G41" s="179" t="str">
        <f ca="1">IFERROR(__xludf.DUMMYFUNCTION("""COMPUTED_VALUE"""),"Tactical Therapeutics is in the clinical stage of a drug for the treatment of malignant gliomas and solid cancers. Tactical believes they have invented the solution to curing patients of very difficult to treat cancers that big pharma has no answer for. I"&amp;"ndustry: healthcare/life sciences. Stage: clinical trial II. Have raised $20M series A, going to raise another series A.")</f>
        <v>Tactical Therapeutics is in the clinical stage of a drug for the treatment of malignant gliomas and solid cancers. Tactical believes they have invented the solution to curing patients of very difficult to treat cancers that big pharma has no answer for. Industry: healthcare/life sciences. Stage: clinical trial II. Have raised $20M series A, going to raise another series A.</v>
      </c>
      <c r="H41" s="179">
        <f ca="1">IFERROR(__xludf.DUMMYFUNCTION("""COMPUTED_VALUE"""),5)</f>
        <v>5</v>
      </c>
      <c r="I41" s="179">
        <f ca="1">IFERROR(__xludf.DUMMYFUNCTION("""COMPUTED_VALUE"""),4)</f>
        <v>4</v>
      </c>
      <c r="J41" s="179">
        <f ca="1">IFERROR(__xludf.DUMMYFUNCTION("""COMPUTED_VALUE"""),3)</f>
        <v>3</v>
      </c>
      <c r="K41" s="179">
        <f ca="1">IFERROR(__xludf.DUMMYFUNCTION("""COMPUTED_VALUE"""),5)</f>
        <v>5</v>
      </c>
      <c r="L41" s="179" t="str">
        <f ca="1">IFERROR(__xludf.DUMMYFUNCTION("""COMPUTED_VALUE"""),"The technology seems sound and the application claims 5 rounds of clinical I trials and moving onto clinical II, and the pitch provided at the bottom claims that the drug increased survival from 10 to 28+months. Patents granted.")</f>
        <v>The technology seems sound and the application claims 5 rounds of clinical I trials and moving onto clinical II, and the pitch provided at the bottom claims that the drug increased survival from 10 to 28+months. Patents granted.</v>
      </c>
      <c r="M41" s="179">
        <f ca="1">IFERROR(__xludf.DUMMYFUNCTION("""COMPUTED_VALUE"""),4)</f>
        <v>4</v>
      </c>
      <c r="N41" s="179">
        <f ca="1">IFERROR(__xludf.DUMMYFUNCTION("""COMPUTED_VALUE"""),1)</f>
        <v>1</v>
      </c>
      <c r="O41" s="179" t="str">
        <f ca="1">IFERROR(__xludf.DUMMYFUNCTION("""COMPUTED_VALUE"""),"Very large &gt;1B market, but a few years from revenue and testing customers. Plan to file NDA with FDA in 2024.")</f>
        <v>Very large &gt;1B market, but a few years from revenue and testing customers. Plan to file NDA with FDA in 2024.</v>
      </c>
      <c r="P41" s="179">
        <f ca="1">IFERROR(__xludf.DUMMYFUNCTION("""COMPUTED_VALUE"""),4)</f>
        <v>4</v>
      </c>
      <c r="Q41" s="179">
        <f ca="1">IFERROR(__xludf.DUMMYFUNCTION("""COMPUTED_VALUE"""),3)</f>
        <v>3</v>
      </c>
      <c r="R41" s="179">
        <f ca="1">IFERROR(__xludf.DUMMYFUNCTION("""COMPUTED_VALUE"""),4)</f>
        <v>4</v>
      </c>
      <c r="S41" s="179" t="str">
        <f ca="1">IFERROR(__xludf.DUMMYFUNCTION("""COMPUTED_VALUE"""),"Founder has a law degree, mba, PhD in biochem and has put together a long list of medical experts.")</f>
        <v>Founder has a law degree, mba, PhD in biochem and has put together a long list of medical experts.</v>
      </c>
      <c r="T41" s="437">
        <f ca="1">IFERROR(__xludf.DUMMYFUNCTION("""COMPUTED_VALUE"""),20000000)</f>
        <v>20000000</v>
      </c>
      <c r="U41" s="179" t="str">
        <f ca="1">IFERROR(__xludf.DUMMYFUNCTION("""COMPUTED_VALUE"""),"&gt;$5M")</f>
        <v>&gt;$5M</v>
      </c>
      <c r="V41" s="179">
        <f ca="1">IFERROR(__xludf.DUMMYFUNCTION("""COMPUTED_VALUE"""),4)</f>
        <v>4</v>
      </c>
      <c r="W41" s="179" t="str">
        <f ca="1">IFERROR(__xludf.DUMMYFUNCTION("""COMPUTED_VALUE"""),"The product has shown promising data toward recovery of some patients and longer expected survival after clinical I trials. There is currently no treatment for GBM.
The survival rate was still low, but better than no treatment.")</f>
        <v>The product has shown promising data toward recovery of some patients and longer expected survival after clinical I trials. There is currently no treatment for GBM.
The survival rate was still low, but better than no treatment.</v>
      </c>
    </row>
    <row r="42" spans="1:23">
      <c r="A42" s="179" t="str">
        <f ca="1">IFERROR(__xludf.DUMMYFUNCTION("""COMPUTED_VALUE"""),"R")</f>
        <v>R</v>
      </c>
      <c r="B42" s="436">
        <f ca="1">IFERROR(__xludf.DUMMYFUNCTION("""COMPUTED_VALUE"""),44787.9899399074)</f>
        <v>44787.989939907398</v>
      </c>
      <c r="C42" s="179" t="str">
        <f ca="1">IFERROR(__xludf.DUMMYFUNCTION("""COMPUTED_VALUE"""),"jar10146@stern.nyu.edu")</f>
        <v>jar10146@stern.nyu.edu</v>
      </c>
      <c r="D42" s="179" t="str">
        <f ca="1">IFERROR(__xludf.DUMMYFUNCTION("""COMPUTED_VALUE"""),"Joshua Rubnitz")</f>
        <v>Joshua Rubnitz</v>
      </c>
      <c r="E42" s="179" t="str">
        <f ca="1">IFERROR(__xludf.DUMMYFUNCTION("""COMPUTED_VALUE"""),"I have read and understand the confidentiality agreement for application reviewers.")</f>
        <v>I have read and understand the confidentiality agreement for application reviewers.</v>
      </c>
      <c r="F42" s="438" t="str">
        <f ca="1">IFERROR(__xludf.DUMMYFUNCTION("""COMPUTED_VALUE"""),"Taiyo.AI")</f>
        <v>Taiyo.AI</v>
      </c>
      <c r="G42" s="179" t="str">
        <f ca="1">IFERROR(__xludf.DUMMYFUNCTION("""COMPUTED_VALUE"""),"Taiyo.AI is the world's first infrastructure intelligence platform. They seek to make early stage diligence for infrastructure projects cheaper, quicker and lead to better decisions for all stakeholders. Industry: infrastructure/digital tech. Stage: have "&amp;"a product with 1-10 paying customers. Have raised an angel round. Going to raise another angel or seed. ")</f>
        <v xml:space="preserve">Taiyo.AI is the world's first infrastructure intelligence platform. They seek to make early stage diligence for infrastructure projects cheaper, quicker and lead to better decisions for all stakeholders. Industry: infrastructure/digital tech. Stage: have a product with 1-10 paying customers. Have raised an angel round. Going to raise another angel or seed. </v>
      </c>
      <c r="H42" s="179">
        <f ca="1">IFERROR(__xludf.DUMMYFUNCTION("""COMPUTED_VALUE"""),3)</f>
        <v>3</v>
      </c>
      <c r="I42" s="179">
        <f ca="1">IFERROR(__xludf.DUMMYFUNCTION("""COMPUTED_VALUE"""),3)</f>
        <v>3</v>
      </c>
      <c r="J42" s="179">
        <f ca="1">IFERROR(__xludf.DUMMYFUNCTION("""COMPUTED_VALUE"""),3)</f>
        <v>3</v>
      </c>
      <c r="K42" s="179">
        <f ca="1">IFERROR(__xludf.DUMMYFUNCTION("""COMPUTED_VALUE"""),3)</f>
        <v>3</v>
      </c>
      <c r="L42" s="179" t="str">
        <f ca="1">IFERROR(__xludf.DUMMYFUNCTION("""COMPUTED_VALUE"""),"The technology has apparently been validated, but there are no concrete numbers on the application. The tech is not protected by patents, but the founders would like to patent the tech.")</f>
        <v>The technology has apparently been validated, but there are no concrete numbers on the application. The tech is not protected by patents, but the founders would like to patent the tech.</v>
      </c>
      <c r="M42" s="179">
        <f ca="1">IFERROR(__xludf.DUMMYFUNCTION("""COMPUTED_VALUE"""),4)</f>
        <v>4</v>
      </c>
      <c r="N42" s="179">
        <f ca="1">IFERROR(__xludf.DUMMYFUNCTION("""COMPUTED_VALUE"""),4)</f>
        <v>4</v>
      </c>
      <c r="O42" s="179" t="str">
        <f ca="1">IFERROR(__xludf.DUMMYFUNCTION("""COMPUTED_VALUE"""),"Large market and expected huge spend on infrastructure in the near future. They have $135k in revenue and predict that they will reach 1M in revenue by Y/E 2022.")</f>
        <v>Large market and expected huge spend on infrastructure in the near future. They have $135k in revenue and predict that they will reach 1M in revenue by Y/E 2022.</v>
      </c>
      <c r="P42" s="179">
        <f ca="1">IFERROR(__xludf.DUMMYFUNCTION("""COMPUTED_VALUE"""),5)</f>
        <v>5</v>
      </c>
      <c r="Q42" s="179">
        <f ca="1">IFERROR(__xludf.DUMMYFUNCTION("""COMPUTED_VALUE"""),5)</f>
        <v>5</v>
      </c>
      <c r="R42" s="179">
        <f ca="1">IFERROR(__xludf.DUMMYFUNCTION("""COMPUTED_VALUE"""),5)</f>
        <v>5</v>
      </c>
      <c r="S42" s="179" t="str">
        <f ca="1">IFERROR(__xludf.DUMMYFUNCTION("""COMPUTED_VALUE"""),"The team is very effective with business and infrastructure leaders on board.")</f>
        <v>The team is very effective with business and infrastructure leaders on board.</v>
      </c>
      <c r="T42" s="437">
        <f ca="1">IFERROR(__xludf.DUMMYFUNCTION("""COMPUTED_VALUE"""),250000)</f>
        <v>250000</v>
      </c>
      <c r="U42" s="179" t="str">
        <f ca="1">IFERROR(__xludf.DUMMYFUNCTION("""COMPUTED_VALUE"""),"$1M-$5M")</f>
        <v>$1M-$5M</v>
      </c>
      <c r="V42" s="179">
        <f ca="1">IFERROR(__xludf.DUMMYFUNCTION("""COMPUTED_VALUE"""),3)</f>
        <v>3</v>
      </c>
      <c r="W42" s="179" t="str">
        <f ca="1">IFERROR(__xludf.DUMMYFUNCTION("""COMPUTED_VALUE"""),"Tech seems to be validated by customer revenue already generated. Could disrupt a stagnant market, but no new inimitable tech.
The team is very impressive and has formed a partnership with pwc. 
Large spend on infrastructure impending.")</f>
        <v>Tech seems to be validated by customer revenue already generated. Could disrupt a stagnant market, but no new inimitable tech.
The team is very impressive and has formed a partnership with pwc. 
Large spend on infrastructure impending.</v>
      </c>
    </row>
    <row r="43" spans="1:23">
      <c r="A43" s="179" t="str">
        <f ca="1">IFERROR(__xludf.DUMMYFUNCTION("""COMPUTED_VALUE"""),"R")</f>
        <v>R</v>
      </c>
      <c r="B43" s="436">
        <f ca="1">IFERROR(__xludf.DUMMYFUNCTION("""COMPUTED_VALUE"""),44788.0004279976)</f>
        <v>44788.000427997598</v>
      </c>
      <c r="C43" s="179" t="str">
        <f ca="1">IFERROR(__xludf.DUMMYFUNCTION("""COMPUTED_VALUE"""),"jar10146@stern.nyu.edu")</f>
        <v>jar10146@stern.nyu.edu</v>
      </c>
      <c r="D43" s="179" t="str">
        <f ca="1">IFERROR(__xludf.DUMMYFUNCTION("""COMPUTED_VALUE"""),"Joshua Rubnitz")</f>
        <v>Joshua Rubnitz</v>
      </c>
      <c r="E43" s="179" t="str">
        <f ca="1">IFERROR(__xludf.DUMMYFUNCTION("""COMPUTED_VALUE"""),"I have read and understand the confidentiality agreement for application reviewers.")</f>
        <v>I have read and understand the confidentiality agreement for application reviewers.</v>
      </c>
      <c r="F43" s="179" t="str">
        <f ca="1">IFERROR(__xludf.DUMMYFUNCTION("""COMPUTED_VALUE"""),"TakeOne")</f>
        <v>TakeOne</v>
      </c>
      <c r="G43" s="179" t="str">
        <f ca="1">IFERROR(__xludf.DUMMYFUNCTION("""COMPUTED_VALUE"""),"TakeOne can make any video shot on a phone camera look professional by using AI to improve the image and make recommendations on lighting, location, framing etc. The long term vision is to allow any business to make professional quality videos without pay"&amp;"ing high prices. Industry: advertising/digital tech. Have raised pre seed, will raise another pre seed.")</f>
        <v>TakeOne can make any video shot on a phone camera look professional by using AI to improve the image and make recommendations on lighting, location, framing etc. The long term vision is to allow any business to make professional quality videos without paying high prices. Industry: advertising/digital tech. Have raised pre seed, will raise another pre seed.</v>
      </c>
      <c r="H43" s="179">
        <f ca="1">IFERROR(__xludf.DUMMYFUNCTION("""COMPUTED_VALUE"""),4)</f>
        <v>4</v>
      </c>
      <c r="I43" s="179">
        <f ca="1">IFERROR(__xludf.DUMMYFUNCTION("""COMPUTED_VALUE"""),3)</f>
        <v>3</v>
      </c>
      <c r="J43" s="179">
        <f ca="1">IFERROR(__xludf.DUMMYFUNCTION("""COMPUTED_VALUE"""),4)</f>
        <v>4</v>
      </c>
      <c r="K43" s="179">
        <f ca="1">IFERROR(__xludf.DUMMYFUNCTION("""COMPUTED_VALUE"""),4)</f>
        <v>4</v>
      </c>
      <c r="L43" s="179" t="str">
        <f ca="1">IFERROR(__xludf.DUMMYFUNCTION("""COMPUTED_VALUE"""),"The tech of making videos better with AI is by no means proprietary to TakeOne, but the whole package that provides recommendations is. The team plans to file patents on their proprietary tech.")</f>
        <v>The tech of making videos better with AI is by no means proprietary to TakeOne, but the whole package that provides recommendations is. The team plans to file patents on their proprietary tech.</v>
      </c>
      <c r="M43" s="179">
        <f ca="1">IFERROR(__xludf.DUMMYFUNCTION("""COMPUTED_VALUE"""),5)</f>
        <v>5</v>
      </c>
      <c r="N43" s="179">
        <f ca="1">IFERROR(__xludf.DUMMYFUNCTION("""COMPUTED_VALUE"""),4)</f>
        <v>4</v>
      </c>
      <c r="O43" s="179" t="str">
        <f ca="1">IFERROR(__xludf.DUMMYFUNCTION("""COMPUTED_VALUE"""),"Good size market and growing. They are not even launched yet and are generating 100k in revenue. One issue: only 30% of customers return for repeat business so far.")</f>
        <v>Good size market and growing. They are not even launched yet and are generating 100k in revenue. One issue: only 30% of customers return for repeat business so far.</v>
      </c>
      <c r="P43" s="179">
        <f ca="1">IFERROR(__xludf.DUMMYFUNCTION("""COMPUTED_VALUE"""),4)</f>
        <v>4</v>
      </c>
      <c r="Q43" s="179">
        <f ca="1">IFERROR(__xludf.DUMMYFUNCTION("""COMPUTED_VALUE"""),5)</f>
        <v>5</v>
      </c>
      <c r="R43" s="179">
        <f ca="1">IFERROR(__xludf.DUMMYFUNCTION("""COMPUTED_VALUE"""),5)</f>
        <v>5</v>
      </c>
      <c r="S43" s="179" t="str">
        <f ca="1">IFERROR(__xludf.DUMMYFUNCTION("""COMPUTED_VALUE"""),"One founder with film experience and one founder with computer science experience. Could use more business expertise to properly position themselves.")</f>
        <v>One founder with film experience and one founder with computer science experience. Could use more business expertise to properly position themselves.</v>
      </c>
      <c r="T43" s="437">
        <f ca="1">IFERROR(__xludf.DUMMYFUNCTION("""COMPUTED_VALUE"""),150000)</f>
        <v>150000</v>
      </c>
      <c r="U43" s="179" t="str">
        <f ca="1">IFERROR(__xludf.DUMMYFUNCTION("""COMPUTED_VALUE"""),"$500K-$1M")</f>
        <v>$500K-$1M</v>
      </c>
      <c r="V43" s="179">
        <f ca="1">IFERROR(__xludf.DUMMYFUNCTION("""COMPUTED_VALUE"""),4)</f>
        <v>4</v>
      </c>
      <c r="W43" s="179" t="str">
        <f ca="1">IFERROR(__xludf.DUMMYFUNCTION("""COMPUTED_VALUE"""),"This is a product that should find market fit quickly. Customers clearly like it: they are generating revenue pre-launch. 
One gripe with the tech: they are not inventing any real, new, tech...they are just integrating and packaging it nicely. It is poss"&amp;"ible that their AI solution to make video look professional would be hard to imitate. ")</f>
        <v xml:space="preserve">This is a product that should find market fit quickly. Customers clearly like it: they are generating revenue pre-launch. 
One gripe with the tech: they are not inventing any real, new, tech...they are just integrating and packaging it nicely. It is possible that their AI solution to make video look professional would be hard to imitate. </v>
      </c>
    </row>
    <row r="44" spans="1:23">
      <c r="A44" s="179" t="str">
        <f ca="1">IFERROR(__xludf.DUMMYFUNCTION("""COMPUTED_VALUE"""),"R")</f>
        <v>R</v>
      </c>
      <c r="B44" s="436">
        <f ca="1">IFERROR(__xludf.DUMMYFUNCTION("""COMPUTED_VALUE"""),44788.3157576041)</f>
        <v>44788.315757604098</v>
      </c>
      <c r="C44" s="179" t="str">
        <f ca="1">IFERROR(__xludf.DUMMYFUNCTION("""COMPUTED_VALUE"""),"jar10146@stern.nyu.edu")</f>
        <v>jar10146@stern.nyu.edu</v>
      </c>
      <c r="D44" s="179" t="str">
        <f ca="1">IFERROR(__xludf.DUMMYFUNCTION("""COMPUTED_VALUE"""),"Joshua Rubnitz")</f>
        <v>Joshua Rubnitz</v>
      </c>
      <c r="E44" s="179" t="str">
        <f ca="1">IFERROR(__xludf.DUMMYFUNCTION("""COMPUTED_VALUE"""),"I have read and understand the confidentiality agreement for application reviewers.")</f>
        <v>I have read and understand the confidentiality agreement for application reviewers.</v>
      </c>
      <c r="F44" s="179" t="str">
        <f ca="1">IFERROR(__xludf.DUMMYFUNCTION("""COMPUTED_VALUE"""),"Tanél Heatlh")</f>
        <v>Tanél Heatlh</v>
      </c>
      <c r="G44" s="179" t="str">
        <f ca="1">IFERROR(__xludf.DUMMYFUNCTION("""COMPUTED_VALUE"""),"Tanel wants to be the dominant healthcare operating system for Africa. They are starting by building a software platform for pharmacies &amp; payers (insurance companies) to track inventory, log purchases etc. Healthcare/digital tech industry. They have a pil"&amp;"ot product with 11-50 customers generating $1,500/month revenue. Have raised part of a pre-seed, and want EFL's help to continue raising more.")</f>
        <v>Tanel wants to be the dominant healthcare operating system for Africa. They are starting by building a software platform for pharmacies &amp; payers (insurance companies) to track inventory, log purchases etc. Healthcare/digital tech industry. They have a pilot product with 11-50 customers generating $1,500/month revenue. Have raised part of a pre-seed, and want EFL's help to continue raising more.</v>
      </c>
      <c r="H44" s="179">
        <f ca="1">IFERROR(__xludf.DUMMYFUNCTION("""COMPUTED_VALUE"""),5)</f>
        <v>5</v>
      </c>
      <c r="I44" s="179">
        <f ca="1">IFERROR(__xludf.DUMMYFUNCTION("""COMPUTED_VALUE"""),2)</f>
        <v>2</v>
      </c>
      <c r="J44" s="179">
        <f ca="1">IFERROR(__xludf.DUMMYFUNCTION("""COMPUTED_VALUE"""),4)</f>
        <v>4</v>
      </c>
      <c r="K44" s="179">
        <f ca="1">IFERROR(__xludf.DUMMYFUNCTION("""COMPUTED_VALUE"""),2)</f>
        <v>2</v>
      </c>
      <c r="L44" s="179" t="str">
        <f ca="1">IFERROR(__xludf.DUMMYFUNCTION("""COMPUTED_VALUE"""),"There is little or no new technology here. The founders are just building a platform, but they are addressing a market that badly needs the solution as 97% of medical records in Africa are handwritten.")</f>
        <v>There is little or no new technology here. The founders are just building a platform, but they are addressing a market that badly needs the solution as 97% of medical records in Africa are handwritten.</v>
      </c>
      <c r="M44" s="179">
        <f ca="1">IFERROR(__xludf.DUMMYFUNCTION("""COMPUTED_VALUE"""),4)</f>
        <v>4</v>
      </c>
      <c r="N44" s="179">
        <f ca="1">IFERROR(__xludf.DUMMYFUNCTION("""COMPUTED_VALUE"""),5)</f>
        <v>5</v>
      </c>
      <c r="O44" s="179" t="str">
        <f ca="1">IFERROR(__xludf.DUMMYFUNCTION("""COMPUTED_VALUE"""),"Huge market with a ubiquitous need for solution. $1500 per month revenue.")</f>
        <v>Huge market with a ubiquitous need for solution. $1500 per month revenue.</v>
      </c>
      <c r="P44" s="179">
        <f ca="1">IFERROR(__xludf.DUMMYFUNCTION("""COMPUTED_VALUE"""),5)</f>
        <v>5</v>
      </c>
      <c r="Q44" s="179">
        <f ca="1">IFERROR(__xludf.DUMMYFUNCTION("""COMPUTED_VALUE"""),5)</f>
        <v>5</v>
      </c>
      <c r="R44" s="179">
        <f ca="1">IFERROR(__xludf.DUMMYFUNCTION("""COMPUTED_VALUE"""),5)</f>
        <v>5</v>
      </c>
      <c r="S44" s="179" t="str">
        <f ca="1">IFERROR(__xludf.DUMMYFUNCTION("""COMPUTED_VALUE"""),"Large, divers, impressive team with intimate knowledge of their target customers.")</f>
        <v>Large, divers, impressive team with intimate knowledge of their target customers.</v>
      </c>
      <c r="T44" s="437">
        <f ca="1">IFERROR(__xludf.DUMMYFUNCTION("""COMPUTED_VALUE"""),300000)</f>
        <v>300000</v>
      </c>
      <c r="U44" s="179" t="str">
        <f ca="1">IFERROR(__xludf.DUMMYFUNCTION("""COMPUTED_VALUE"""),"$1M-$5M")</f>
        <v>$1M-$5M</v>
      </c>
      <c r="V44" s="179">
        <f ca="1">IFERROR(__xludf.DUMMYFUNCTION("""COMPUTED_VALUE"""),2)</f>
        <v>2</v>
      </c>
      <c r="W44" s="179" t="str">
        <f ca="1">IFERROR(__xludf.DUMMYFUNCTION("""COMPUTED_VALUE"""),"Although this team is building a much needed product for a big market, and is already getting traction, there is little or no technical innovation. They are simply building a platform for pharma companies to log transactions and have no patents.
With tha"&amp;"t said, startup seems well positioned to succeed.")</f>
        <v>Although this team is building a much needed product for a big market, and is already getting traction, there is little or no technical innovation. They are simply building a platform for pharma companies to log transactions and have no patents.
With that said, startup seems well positioned to succeed.</v>
      </c>
    </row>
    <row r="45" spans="1:23">
      <c r="A45" s="179" t="str">
        <f ca="1">IFERROR(__xludf.DUMMYFUNCTION("""COMPUTED_VALUE"""),"R")</f>
        <v>R</v>
      </c>
      <c r="B45" s="436">
        <f ca="1">IFERROR(__xludf.DUMMYFUNCTION("""COMPUTED_VALUE"""),44788.3293638194)</f>
        <v>44788.329363819401</v>
      </c>
      <c r="C45" s="179" t="str">
        <f ca="1">IFERROR(__xludf.DUMMYFUNCTION("""COMPUTED_VALUE"""),"jar10146@stern.nyu.edu")</f>
        <v>jar10146@stern.nyu.edu</v>
      </c>
      <c r="D45" s="179" t="str">
        <f ca="1">IFERROR(__xludf.DUMMYFUNCTION("""COMPUTED_VALUE"""),"Joshua Rubnitz")</f>
        <v>Joshua Rubnitz</v>
      </c>
      <c r="E45" s="179" t="str">
        <f ca="1">IFERROR(__xludf.DUMMYFUNCTION("""COMPUTED_VALUE"""),"I have read and understand the confidentiality agreement for application reviewers.")</f>
        <v>I have read and understand the confidentiality agreement for application reviewers.</v>
      </c>
      <c r="F45" s="179" t="str">
        <f ca="1">IFERROR(__xludf.DUMMYFUNCTION("""COMPUTED_VALUE"""),"targo.digital UG (haftungsbeschraenkt)")</f>
        <v>targo.digital UG (haftungsbeschraenkt)</v>
      </c>
      <c r="G45" s="179" t="str">
        <f ca="1">IFERROR(__xludf.DUMMYFUNCTION("""COMPUTED_VALUE"""),"Targo.digital wants to create an educational computer game(s) for elementary school children in Germany &amp; Israel so that they can learn and interact with each other. Education/digital tech industry. Does not have a pilot product and has not begun raising "&amp;"funding outside of the investor's funds. Raising 20k-200k in grants soon.")</f>
        <v>Targo.digital wants to create an educational computer game(s) for elementary school children in Germany &amp; Israel so that they can learn and interact with each other. Education/digital tech industry. Does not have a pilot product and has not begun raising funding outside of the investor's funds. Raising 20k-200k in grants soon.</v>
      </c>
      <c r="H45" s="179">
        <f ca="1">IFERROR(__xludf.DUMMYFUNCTION("""COMPUTED_VALUE"""),3)</f>
        <v>3</v>
      </c>
      <c r="I45" s="179">
        <f ca="1">IFERROR(__xludf.DUMMYFUNCTION("""COMPUTED_VALUE"""),2)</f>
        <v>2</v>
      </c>
      <c r="J45" s="179">
        <f ca="1">IFERROR(__xludf.DUMMYFUNCTION("""COMPUTED_VALUE"""),1)</f>
        <v>1</v>
      </c>
      <c r="K45" s="179">
        <f ca="1">IFERROR(__xludf.DUMMYFUNCTION("""COMPUTED_VALUE"""),1)</f>
        <v>1</v>
      </c>
      <c r="L45" s="179" t="str">
        <f ca="1">IFERROR(__xludf.DUMMYFUNCTION("""COMPUTED_VALUE"""),"The technology does not exist yet. It is an idea of an educational metaverse like video game. It is differentiated because the game works for the kids, not the other way around. ")</f>
        <v xml:space="preserve">The technology does not exist yet. It is an idea of an educational metaverse like video game. It is differentiated because the game works for the kids, not the other way around. </v>
      </c>
      <c r="M45" s="179">
        <f ca="1">IFERROR(__xludf.DUMMYFUNCTION("""COMPUTED_VALUE"""),3)</f>
        <v>3</v>
      </c>
      <c r="N45" s="179">
        <f ca="1">IFERROR(__xludf.DUMMYFUNCTION("""COMPUTED_VALUE"""),1)</f>
        <v>1</v>
      </c>
      <c r="O45" s="179" t="str">
        <f ca="1">IFERROR(__xludf.DUMMYFUNCTION("""COMPUTED_VALUE"""),"Market is large, but did not put any $ amount on the market. No pilot product yet.")</f>
        <v>Market is large, but did not put any $ amount on the market. No pilot product yet.</v>
      </c>
      <c r="P45" s="179">
        <f ca="1">IFERROR(__xludf.DUMMYFUNCTION("""COMPUTED_VALUE"""),3)</f>
        <v>3</v>
      </c>
      <c r="Q45" s="179">
        <f ca="1">IFERROR(__xludf.DUMMYFUNCTION("""COMPUTED_VALUE"""),2)</f>
        <v>2</v>
      </c>
      <c r="R45" s="179">
        <f ca="1">IFERROR(__xludf.DUMMYFUNCTION("""COMPUTED_VALUE"""),2)</f>
        <v>2</v>
      </c>
      <c r="S45" s="179" t="str">
        <f ca="1">IFERROR(__xludf.DUMMYFUNCTION("""COMPUTED_VALUE"""),"Background of team not well defined in application. Has college degree.")</f>
        <v>Background of team not well defined in application. Has college degree.</v>
      </c>
      <c r="T45" s="437">
        <f ca="1">IFERROR(__xludf.DUMMYFUNCTION("""COMPUTED_VALUE"""),0)</f>
        <v>0</v>
      </c>
      <c r="U45" s="179" t="str">
        <f ca="1">IFERROR(__xludf.DUMMYFUNCTION("""COMPUTED_VALUE"""),"No")</f>
        <v>No</v>
      </c>
      <c r="V45" s="179">
        <f ca="1">IFERROR(__xludf.DUMMYFUNCTION("""COMPUTED_VALUE"""),1)</f>
        <v>1</v>
      </c>
      <c r="W45" s="179" t="str">
        <f ca="1">IFERROR(__xludf.DUMMYFUNCTION("""COMPUTED_VALUE"""),"The product is not built out yet and is not novel digital tech. 
Good goal of building educational metaverse for children.")</f>
        <v>The product is not built out yet and is not novel digital tech. 
Good goal of building educational metaverse for children.</v>
      </c>
    </row>
    <row r="46" spans="1:23">
      <c r="A46" s="179" t="str">
        <f ca="1">IFERROR(__xludf.DUMMYFUNCTION("""COMPUTED_VALUE"""),"R")</f>
        <v>R</v>
      </c>
      <c r="B46" s="436">
        <f ca="1">IFERROR(__xludf.DUMMYFUNCTION("""COMPUTED_VALUE"""),44788.3400301157)</f>
        <v>44788.340030115702</v>
      </c>
      <c r="C46" s="179" t="str">
        <f ca="1">IFERROR(__xludf.DUMMYFUNCTION("""COMPUTED_VALUE"""),"jar10146@stern.nyu.edu")</f>
        <v>jar10146@stern.nyu.edu</v>
      </c>
      <c r="D46" s="179" t="str">
        <f ca="1">IFERROR(__xludf.DUMMYFUNCTION("""COMPUTED_VALUE"""),"Joshua Rubnitz")</f>
        <v>Joshua Rubnitz</v>
      </c>
      <c r="E46" s="179" t="str">
        <f ca="1">IFERROR(__xludf.DUMMYFUNCTION("""COMPUTED_VALUE"""),"I have read and understand the confidentiality agreement for application reviewers.")</f>
        <v>I have read and understand the confidentiality agreement for application reviewers.</v>
      </c>
      <c r="F46" s="179" t="str">
        <f ca="1">IFERROR(__xludf.DUMMYFUNCTION("""COMPUTED_VALUE"""),"Tau Drones")</f>
        <v>Tau Drones</v>
      </c>
      <c r="G46" s="179" t="str">
        <f ca="1">IFERROR(__xludf.DUMMYFUNCTION("""COMPUTED_VALUE"""),"Tau Drones wants to create a platform for drone pilots in the US with drones capable of thermal and IR imaging to help public and private institutions to reduce operational costs by scanning their buildings for thermal leaks (wasted energy) and carbon emi"&amp;"ssions. Energy/infrastructure industry. They have a pilot product with no revenue and 1-10 customers. Have not yet raised funding.")</f>
        <v>Tau Drones wants to create a platform for drone pilots in the US with drones capable of thermal and IR imaging to help public and private institutions to reduce operational costs by scanning their buildings for thermal leaks (wasted energy) and carbon emissions. Energy/infrastructure industry. They have a pilot product with no revenue and 1-10 customers. Have not yet raised funding.</v>
      </c>
      <c r="H46" s="179">
        <f ca="1">IFERROR(__xludf.DUMMYFUNCTION("""COMPUTED_VALUE"""),4)</f>
        <v>4</v>
      </c>
      <c r="I46" s="179">
        <f ca="1">IFERROR(__xludf.DUMMYFUNCTION("""COMPUTED_VALUE"""),3)</f>
        <v>3</v>
      </c>
      <c r="J46" s="179">
        <f ca="1">IFERROR(__xludf.DUMMYFUNCTION("""COMPUTED_VALUE"""),4)</f>
        <v>4</v>
      </c>
      <c r="K46" s="179">
        <f ca="1">IFERROR(__xludf.DUMMYFUNCTION("""COMPUTED_VALUE"""),3)</f>
        <v>3</v>
      </c>
      <c r="L46" s="179" t="str">
        <f ca="1">IFERROR(__xludf.DUMMYFUNCTION("""COMPUTED_VALUE"""),"The technology has been validated by customers and University of North Dakota, but ultimate concrete results are not present in the application or deck. The technology is not patented and is just thermal/IR imaging combined with AI to analyze the data. A "&amp;"direct competitor exists in Canada. Other competitors are big climate control companies.")</f>
        <v>The technology has been validated by customers and University of North Dakota, but ultimate concrete results are not present in the application or deck. The technology is not patented and is just thermal/IR imaging combined with AI to analyze the data. A direct competitor exists in Canada. Other competitors are big climate control companies.</v>
      </c>
      <c r="M46" s="179">
        <f ca="1">IFERROR(__xludf.DUMMYFUNCTION("""COMPUTED_VALUE"""),4)</f>
        <v>4</v>
      </c>
      <c r="N46" s="179">
        <f ca="1">IFERROR(__xludf.DUMMYFUNCTION("""COMPUTED_VALUE"""),2)</f>
        <v>2</v>
      </c>
      <c r="O46" s="179" t="str">
        <f ca="1">IFERROR(__xludf.DUMMYFUNCTION("""COMPUTED_VALUE"""),"Market is large-much infrastructure needs this. And the market is growing along with global warming causing more of a focus on keeping buildings efficient.")</f>
        <v>Market is large-much infrastructure needs this. And the market is growing along with global warming causing more of a focus on keeping buildings efficient.</v>
      </c>
      <c r="P46" s="179">
        <f ca="1">IFERROR(__xludf.DUMMYFUNCTION("""COMPUTED_VALUE"""),4)</f>
        <v>4</v>
      </c>
      <c r="Q46" s="179">
        <f ca="1">IFERROR(__xludf.DUMMYFUNCTION("""COMPUTED_VALUE"""),4)</f>
        <v>4</v>
      </c>
      <c r="R46" s="179">
        <f ca="1">IFERROR(__xludf.DUMMYFUNCTION("""COMPUTED_VALUE"""),4)</f>
        <v>4</v>
      </c>
      <c r="S46" s="179" t="str">
        <f ca="1">IFERROR(__xludf.DUMMYFUNCTION("""COMPUTED_VALUE"""),"Founding team has 2 engineers and 1 applied economics masters level academics.")</f>
        <v>Founding team has 2 engineers and 1 applied economics masters level academics.</v>
      </c>
      <c r="T46" s="437">
        <f ca="1">IFERROR(__xludf.DUMMYFUNCTION("""COMPUTED_VALUE"""),0)</f>
        <v>0</v>
      </c>
      <c r="U46" s="179" t="str">
        <f ca="1">IFERROR(__xludf.DUMMYFUNCTION("""COMPUTED_VALUE"""),"$500K-$1M")</f>
        <v>$500K-$1M</v>
      </c>
      <c r="V46" s="179">
        <f ca="1">IFERROR(__xludf.DUMMYFUNCTION("""COMPUTED_VALUE"""),4)</f>
        <v>4</v>
      </c>
      <c r="W46" s="179" t="str">
        <f ca="1">IFERROR(__xludf.DUMMYFUNCTION("""COMPUTED_VALUE"""),"The tech is low cost and is very easily deployed and developed. Customer adoption could happen very quickly.
The team has not yet provided any numbers regarding $x amount that a customer could save per year by enrolling for their service, so it is hard to"&amp;" trust that the tech is ready for EFL.
Tech is not yet patent protected and seems to be drones with thermal/IR cameras and analytical software.")</f>
        <v>The tech is low cost and is very easily deployed and developed. Customer adoption could happen very quickly.
The team has not yet provided any numbers regarding $x amount that a customer could save per year by enrolling for their service, so it is hard to trust that the tech is ready for EFL.
Tech is not yet patent protected and seems to be drones with thermal/IR cameras and analytical software.</v>
      </c>
    </row>
    <row r="47" spans="1:23">
      <c r="A47" s="179" t="str">
        <f ca="1">IFERROR(__xludf.DUMMYFUNCTION("""COMPUTED_VALUE"""),"R")</f>
        <v>R</v>
      </c>
      <c r="B47" s="436">
        <f ca="1">IFERROR(__xludf.DUMMYFUNCTION("""COMPUTED_VALUE"""),44788.3450370717)</f>
        <v>44788.345037071696</v>
      </c>
      <c r="C47" s="179" t="str">
        <f ca="1">IFERROR(__xludf.DUMMYFUNCTION("""COMPUTED_VALUE"""),"jar10146@stern.nyu.edu")</f>
        <v>jar10146@stern.nyu.edu</v>
      </c>
      <c r="D47" s="179" t="str">
        <f ca="1">IFERROR(__xludf.DUMMYFUNCTION("""COMPUTED_VALUE"""),"Joshua Rubnitz")</f>
        <v>Joshua Rubnitz</v>
      </c>
      <c r="E47" s="179" t="str">
        <f ca="1">IFERROR(__xludf.DUMMYFUNCTION("""COMPUTED_VALUE"""),"I have read and understand the confidentiality agreement for application reviewers.")</f>
        <v>I have read and understand the confidentiality agreement for application reviewers.</v>
      </c>
      <c r="F47" s="179" t="str">
        <f ca="1">IFERROR(__xludf.DUMMYFUNCTION("""COMPUTED_VALUE"""),"Tawazon inc")</f>
        <v>Tawazon inc</v>
      </c>
      <c r="G47" s="179" t="str">
        <f ca="1">IFERROR(__xludf.DUMMYFUNCTION("""COMPUTED_VALUE"""),"1st and leading meditation app in Arabic. CEO wants to ""Uplift emotional intelligence for adults and kids by daily short scientific practices through advanced technology"". Industry: healthtech/life sciences. Have 501+ customers and MRR of $5k. Have rais"&amp;"ed seed, are now raising another seed.")</f>
        <v>1st and leading meditation app in Arabic. CEO wants to "Uplift emotional intelligence for adults and kids by daily short scientific practices through advanced technology". Industry: healthtech/life sciences. Have 501+ customers and MRR of $5k. Have raised seed, are now raising another seed.</v>
      </c>
      <c r="H47" s="179">
        <f ca="1">IFERROR(__xludf.DUMMYFUNCTION("""COMPUTED_VALUE"""),2)</f>
        <v>2</v>
      </c>
      <c r="I47" s="179">
        <f ca="1">IFERROR(__xludf.DUMMYFUNCTION("""COMPUTED_VALUE"""),2)</f>
        <v>2</v>
      </c>
      <c r="J47" s="179">
        <f ca="1">IFERROR(__xludf.DUMMYFUNCTION("""COMPUTED_VALUE"""),2)</f>
        <v>2</v>
      </c>
      <c r="K47" s="179">
        <f ca="1">IFERROR(__xludf.DUMMYFUNCTION("""COMPUTED_VALUE"""),2)</f>
        <v>2</v>
      </c>
      <c r="L47" s="179" t="str">
        <f ca="1">IFERROR(__xludf.DUMMYFUNCTION("""COMPUTED_VALUE"""),"The customer pain point is: Stress, anxiety, confusion,|Depression, sleep, self esteem, but no further information is provided. Not sure how product is differentiated beyond being in Arabic language.")</f>
        <v>The customer pain point is: Stress, anxiety, confusion,|Depression, sleep, self esteem, but no further information is provided. Not sure how product is differentiated beyond being in Arabic language.</v>
      </c>
      <c r="M47" s="179">
        <f ca="1">IFERROR(__xludf.DUMMYFUNCTION("""COMPUTED_VALUE"""),1)</f>
        <v>1</v>
      </c>
      <c r="N47" s="179">
        <f ca="1">IFERROR(__xludf.DUMMYFUNCTION("""COMPUTED_VALUE"""),3)</f>
        <v>3</v>
      </c>
      <c r="O47" s="179" t="str">
        <f ca="1">IFERROR(__xludf.DUMMYFUNCTION("""COMPUTED_VALUE"""),"TAM numbers not provided. They have $5K/month revenue.")</f>
        <v>TAM numbers not provided. They have $5K/month revenue.</v>
      </c>
      <c r="P47" s="179">
        <f ca="1">IFERROR(__xludf.DUMMYFUNCTION("""COMPUTED_VALUE"""),3)</f>
        <v>3</v>
      </c>
      <c r="Q47" s="179">
        <f ca="1">IFERROR(__xludf.DUMMYFUNCTION("""COMPUTED_VALUE"""),2)</f>
        <v>2</v>
      </c>
      <c r="R47" s="179">
        <f ca="1">IFERROR(__xludf.DUMMYFUNCTION("""COMPUTED_VALUE"""),2)</f>
        <v>2</v>
      </c>
      <c r="S47" s="179" t="str">
        <f ca="1">IFERROR(__xludf.DUMMYFUNCTION("""COMPUTED_VALUE"""),"CEO has a chemical engineering degree, is likely familiar with tech")</f>
        <v>CEO has a chemical engineering degree, is likely familiar with tech</v>
      </c>
      <c r="T47" s="437">
        <f ca="1">IFERROR(__xludf.DUMMYFUNCTION("""COMPUTED_VALUE"""),250000)</f>
        <v>250000</v>
      </c>
      <c r="U47" s="179" t="str">
        <f ca="1">IFERROR(__xludf.DUMMYFUNCTION("""COMPUTED_VALUE"""),"$500K-$1M")</f>
        <v>$500K-$1M</v>
      </c>
      <c r="V47" s="179">
        <f ca="1">IFERROR(__xludf.DUMMYFUNCTION("""COMPUTED_VALUE"""),2)</f>
        <v>2</v>
      </c>
      <c r="W47" s="179" t="str">
        <f ca="1">IFERROR(__xludf.DUMMYFUNCTION("""COMPUTED_VALUE"""),"The product is not differentiated from existing mindfulness apps beyond being in Arabic language.
Product &amp; market insights were not well laid out in the application.")</f>
        <v>The product is not differentiated from existing mindfulness apps beyond being in Arabic language.
Product &amp; market insights were not well laid out in the application.</v>
      </c>
    </row>
    <row r="48" spans="1:23">
      <c r="A48" s="179" t="str">
        <f ca="1">IFERROR(__xludf.DUMMYFUNCTION("""COMPUTED_VALUE"""),"R")</f>
        <v>R</v>
      </c>
      <c r="B48" s="436">
        <f ca="1">IFERROR(__xludf.DUMMYFUNCTION("""COMPUTED_VALUE"""),44788.4751019444)</f>
        <v>44788.475101944401</v>
      </c>
      <c r="C48" s="179" t="str">
        <f ca="1">IFERROR(__xludf.DUMMYFUNCTION("""COMPUTED_VALUE"""),"jar10146@stern.nyu.edu")</f>
        <v>jar10146@stern.nyu.edu</v>
      </c>
      <c r="D48" s="179" t="str">
        <f ca="1">IFERROR(__xludf.DUMMYFUNCTION("""COMPUTED_VALUE"""),"Joshua Rubnitz")</f>
        <v>Joshua Rubnitz</v>
      </c>
      <c r="E48" s="179" t="str">
        <f ca="1">IFERROR(__xludf.DUMMYFUNCTION("""COMPUTED_VALUE"""),"I have read and understand the confidentiality agreement for application reviewers.")</f>
        <v>I have read and understand the confidentiality agreement for application reviewers.</v>
      </c>
      <c r="F48" s="179" t="str">
        <f ca="1">IFERROR(__xludf.DUMMYFUNCTION("""COMPUTED_VALUE"""),"Tazah Technologies")</f>
        <v>Tazah Technologies</v>
      </c>
      <c r="G48" s="179" t="str">
        <f ca="1">IFERROR(__xludf.DUMMYFUNCTION("""COMPUTED_VALUE"""),"Tazah is an agri-tech startup based out of Pakistan that seeks to create a digital platform for farmers that cut out extra steps in the supply chain such as the trader/commissioner/distributor between the farmer and the shop/customer. Tazah plans to give "&amp;"farmers supply/demand insights, access to capital, and export suggestions so that farmers can increase margins and optimize their business. Agtech industry. They have 11-50 customers and 'MoM revenue is around 200k USD'. ")</f>
        <v xml:space="preserve">Tazah is an agri-tech startup based out of Pakistan that seeks to create a digital platform for farmers that cut out extra steps in the supply chain such as the trader/commissioner/distributor between the farmer and the shop/customer. Tazah plans to give farmers supply/demand insights, access to capital, and export suggestions so that farmers can increase margins and optimize their business. Agtech industry. They have 11-50 customers and 'MoM revenue is around 200k USD'. </v>
      </c>
      <c r="H48" s="179">
        <f ca="1">IFERROR(__xludf.DUMMYFUNCTION("""COMPUTED_VALUE"""),4)</f>
        <v>4</v>
      </c>
      <c r="I48" s="179">
        <f ca="1">IFERROR(__xludf.DUMMYFUNCTION("""COMPUTED_VALUE"""),2)</f>
        <v>2</v>
      </c>
      <c r="J48" s="179">
        <f ca="1">IFERROR(__xludf.DUMMYFUNCTION("""COMPUTED_VALUE"""),3)</f>
        <v>3</v>
      </c>
      <c r="K48" s="179">
        <f ca="1">IFERROR(__xludf.DUMMYFUNCTION("""COMPUTED_VALUE"""),2)</f>
        <v>2</v>
      </c>
      <c r="L48" s="179" t="str">
        <f ca="1">IFERROR(__xludf.DUMMYFUNCTION("""COMPUTED_VALUE"""),"Technology is not innovative, but is software tech to a new market. They are generating revenue so customers have validated the idea.")</f>
        <v>Technology is not innovative, but is software tech to a new market. They are generating revenue so customers have validated the idea.</v>
      </c>
      <c r="M48" s="179">
        <f ca="1">IFERROR(__xludf.DUMMYFUNCTION("""COMPUTED_VALUE"""),4)</f>
        <v>4</v>
      </c>
      <c r="N48" s="179">
        <f ca="1">IFERROR(__xludf.DUMMYFUNCTION("""COMPUTED_VALUE"""),4)</f>
        <v>4</v>
      </c>
      <c r="O48" s="179" t="str">
        <f ca="1">IFERROR(__xludf.DUMMYFUNCTION("""COMPUTED_VALUE"""),"They have picked a specific problem/market and are gaining traction and have a lot of room to grow in this large market.")</f>
        <v>They have picked a specific problem/market and are gaining traction and have a lot of room to grow in this large market.</v>
      </c>
      <c r="P48" s="179">
        <f ca="1">IFERROR(__xludf.DUMMYFUNCTION("""COMPUTED_VALUE"""),3)</f>
        <v>3</v>
      </c>
      <c r="Q48" s="179">
        <f ca="1">IFERROR(__xludf.DUMMYFUNCTION("""COMPUTED_VALUE"""),3)</f>
        <v>3</v>
      </c>
      <c r="R48" s="179">
        <f ca="1">IFERROR(__xludf.DUMMYFUNCTION("""COMPUTED_VALUE"""),3)</f>
        <v>3</v>
      </c>
      <c r="S48" s="179" t="str">
        <f ca="1">IFERROR(__xludf.DUMMYFUNCTION("""COMPUTED_VALUE"""),"Founders do not have background in comp sci or farming, but have a good business-focused background.")</f>
        <v>Founders do not have background in comp sci or farming, but have a good business-focused background.</v>
      </c>
      <c r="T48" s="437">
        <f ca="1">IFERROR(__xludf.DUMMYFUNCTION("""COMPUTED_VALUE"""),8000000)</f>
        <v>8000000</v>
      </c>
      <c r="U48" s="179" t="str">
        <f ca="1">IFERROR(__xludf.DUMMYFUNCTION("""COMPUTED_VALUE"""),"No")</f>
        <v>No</v>
      </c>
      <c r="V48" s="179">
        <f ca="1">IFERROR(__xludf.DUMMYFUNCTION("""COMPUTED_VALUE"""),3)</f>
        <v>3</v>
      </c>
      <c r="W48" s="179" t="str">
        <f ca="1">IFERROR(__xludf.DUMMYFUNCTION("""COMPUTED_VALUE"""),"The founders have picked a concise problem and are gaining market share.
They have built a platform for farmers to get insights on crop growing &amp; make data-driven decisions and ultimately cut out the middle steps in the supply chain between farmer and gr"&amp;"ocery store/consumer.
Not any inimitable tech.")</f>
        <v>The founders have picked a concise problem and are gaining market share.
They have built a platform for farmers to get insights on crop growing &amp; make data-driven decisions and ultimately cut out the middle steps in the supply chain between farmer and grocery store/consumer.
Not any inimitable tech.</v>
      </c>
    </row>
    <row r="49" spans="1:23">
      <c r="A49" s="179" t="str">
        <f ca="1">IFERROR(__xludf.DUMMYFUNCTION("""COMPUTED_VALUE"""),"R")</f>
        <v>R</v>
      </c>
      <c r="B49" s="436">
        <f ca="1">IFERROR(__xludf.DUMMYFUNCTION("""COMPUTED_VALUE"""),44788.6010409259)</f>
        <v>44788.601040925903</v>
      </c>
      <c r="C49" s="179" t="str">
        <f ca="1">IFERROR(__xludf.DUMMYFUNCTION("""COMPUTED_VALUE"""),"jar10146@stern.nyu.edu")</f>
        <v>jar10146@stern.nyu.edu</v>
      </c>
      <c r="D49" s="179" t="str">
        <f ca="1">IFERROR(__xludf.DUMMYFUNCTION("""COMPUTED_VALUE"""),"Joshua Rubnitz")</f>
        <v>Joshua Rubnitz</v>
      </c>
      <c r="E49" s="179" t="str">
        <f ca="1">IFERROR(__xludf.DUMMYFUNCTION("""COMPUTED_VALUE"""),"I have read and understand the confidentiality agreement for application reviewers.")</f>
        <v>I have read and understand the confidentiality agreement for application reviewers.</v>
      </c>
      <c r="F49" s="179" t="str">
        <f ca="1">IFERROR(__xludf.DUMMYFUNCTION("""COMPUTED_VALUE"""),"Tekuma ")</f>
        <v xml:space="preserve">Tekuma </v>
      </c>
      <c r="G49" s="179" t="str">
        <f ca="1">IFERROR(__xludf.DUMMYFUNCTION("""COMPUTED_VALUE"""),"Tekuma has developed a human to machine controller (think: drones) that has 6 degrees of freedom and can replace up to 3 joysticks on a rudimentary controller. Currently they are targeting applications in drone piloting, underwater vehicles, and military."&amp;" They are deep tech track, human-machine interface industry. The pilot was released in 2018 and they made $130k in revenue on the pilot product last year. They have raised 250k in grants and awards, but no funding. They believe they can continue to run wi"&amp;"thout funding, but if they do run they think they would need to raise 1M to make it worth it. ")</f>
        <v xml:space="preserve">Tekuma has developed a human to machine controller (think: drones) that has 6 degrees of freedom and can replace up to 3 joysticks on a rudimentary controller. Currently they are targeting applications in drone piloting, underwater vehicles, and military. They are deep tech track, human-machine interface industry. The pilot was released in 2018 and they made $130k in revenue on the pilot product last year. They have raised 250k in grants and awards, but no funding. They believe they can continue to run without funding, but if they do run they think they would need to raise 1M to make it worth it. </v>
      </c>
      <c r="H49" s="179">
        <f ca="1">IFERROR(__xludf.DUMMYFUNCTION("""COMPUTED_VALUE"""),4)</f>
        <v>4</v>
      </c>
      <c r="I49" s="179">
        <f ca="1">IFERROR(__xludf.DUMMYFUNCTION("""COMPUTED_VALUE"""),4)</f>
        <v>4</v>
      </c>
      <c r="J49" s="179">
        <f ca="1">IFERROR(__xludf.DUMMYFUNCTION("""COMPUTED_VALUE"""),5)</f>
        <v>5</v>
      </c>
      <c r="K49" s="179">
        <f ca="1">IFERROR(__xludf.DUMMYFUNCTION("""COMPUTED_VALUE"""),4)</f>
        <v>4</v>
      </c>
      <c r="L49" s="179" t="str">
        <f ca="1">IFERROR(__xludf.DUMMYFUNCTION("""COMPUTED_VALUE"""),"Human-machine interface is a rapidly growing industry and currently relies on experts that are intimately familiar with the machines they are operating. Tekuma's product is much easier to use, even for patients with motor disabilities. Competitors exist, "&amp;"but generally use fragile moving parts, (or do not work in space) . Tekuma has patented their technology.")</f>
        <v>Human-machine interface is a rapidly growing industry and currently relies on experts that are intimately familiar with the machines they are operating. Tekuma's product is much easier to use, even for patients with motor disabilities. Competitors exist, but generally use fragile moving parts, (or do not work in space) . Tekuma has patented their technology.</v>
      </c>
      <c r="M49" s="179">
        <f ca="1">IFERROR(__xludf.DUMMYFUNCTION("""COMPUTED_VALUE"""),5)</f>
        <v>5</v>
      </c>
      <c r="N49" s="179">
        <f ca="1">IFERROR(__xludf.DUMMYFUNCTION("""COMPUTED_VALUE"""),3)</f>
        <v>3</v>
      </c>
      <c r="O49" s="179" t="str">
        <f ca="1">IFERROR(__xludf.DUMMYFUNCTION("""COMPUTED_VALUE"""),"Large human-machine market and growing. Still mostly specialized applications. Although the pilot was launched in 2018, the startup has just started generating any revenue, and mostly through 1 contract.")</f>
        <v>Large human-machine market and growing. Still mostly specialized applications. Although the pilot was launched in 2018, the startup has just started generating any revenue, and mostly through 1 contract.</v>
      </c>
      <c r="P49" s="179">
        <f ca="1">IFERROR(__xludf.DUMMYFUNCTION("""COMPUTED_VALUE"""),4)</f>
        <v>4</v>
      </c>
      <c r="Q49" s="179">
        <f ca="1">IFERROR(__xludf.DUMMYFUNCTION("""COMPUTED_VALUE"""),3)</f>
        <v>3</v>
      </c>
      <c r="R49" s="179">
        <f ca="1">IFERROR(__xludf.DUMMYFUNCTION("""COMPUTED_VALUE"""),4)</f>
        <v>4</v>
      </c>
      <c r="S49" s="179" t="str">
        <f ca="1">IFERROR(__xludf.DUMMYFUNCTION("""COMPUTED_VALUE"""),"One founder has MBA and the other specialized in mechatronics. Relevant experience, but no startup experience.")</f>
        <v>One founder has MBA and the other specialized in mechatronics. Relevant experience, but no startup experience.</v>
      </c>
      <c r="T49" s="437">
        <f ca="1">IFERROR(__xludf.DUMMYFUNCTION("""COMPUTED_VALUE"""),0)</f>
        <v>0</v>
      </c>
      <c r="U49" s="179" t="str">
        <f ca="1">IFERROR(__xludf.DUMMYFUNCTION("""COMPUTED_VALUE"""),"$1M-$5M")</f>
        <v>$1M-$5M</v>
      </c>
      <c r="V49" s="179">
        <f ca="1">IFERROR(__xludf.DUMMYFUNCTION("""COMPUTED_VALUE"""),4)</f>
        <v>4</v>
      </c>
      <c r="W49" s="179" t="str">
        <f ca="1">IFERROR(__xludf.DUMMYFUNCTION("""COMPUTED_VALUE"""),"Good tech that is patent protected. Can help to bring human-machine interface to more applications and de-mystify the control of robots.
The whole pitch is very generalized. There is very little mention of specific, concrete pain points or problem solved"&amp;". The product has been around for 4 years and is just beginning to generate some revenue. EFL could be essential for accelerating their business.
Both founder are full-time.")</f>
        <v>Good tech that is patent protected. Can help to bring human-machine interface to more applications and de-mystify the control of robots.
The whole pitch is very generalized. There is very little mention of specific, concrete pain points or problem solved. The product has been around for 4 years and is just beginning to generate some revenue. EFL could be essential for accelerating their business.
Both founder are full-time.</v>
      </c>
    </row>
    <row r="50" spans="1:23">
      <c r="A50" s="179" t="str">
        <f ca="1">IFERROR(__xludf.DUMMYFUNCTION("""COMPUTED_VALUE"""),"R")</f>
        <v>R</v>
      </c>
      <c r="B50" s="436">
        <f ca="1">IFERROR(__xludf.DUMMYFUNCTION("""COMPUTED_VALUE"""),44788.6274590162)</f>
        <v>44788.627459016199</v>
      </c>
      <c r="C50" s="179" t="str">
        <f ca="1">IFERROR(__xludf.DUMMYFUNCTION("""COMPUTED_VALUE"""),"jar10146@stern.nyu.edu")</f>
        <v>jar10146@stern.nyu.edu</v>
      </c>
      <c r="D50" s="179" t="str">
        <f ca="1">IFERROR(__xludf.DUMMYFUNCTION("""COMPUTED_VALUE"""),"Joshua Rubnitz")</f>
        <v>Joshua Rubnitz</v>
      </c>
      <c r="E50" s="179" t="str">
        <f ca="1">IFERROR(__xludf.DUMMYFUNCTION("""COMPUTED_VALUE"""),"I have read and understand the confidentiality agreement for application reviewers.")</f>
        <v>I have read and understand the confidentiality agreement for application reviewers.</v>
      </c>
      <c r="F50" s="179" t="str">
        <f ca="1">IFERROR(__xludf.DUMMYFUNCTION("""COMPUTED_VALUE"""),"Terecircuits Corporation")</f>
        <v>Terecircuits Corporation</v>
      </c>
      <c r="G50" s="179" t="str">
        <f ca="1">IFERROR(__xludf.DUMMYFUNCTION("""COMPUTED_VALUE"""),"Terecircuits has invented a proprietary technology that allows them to replace traditional methods of 'pick and place' technology with chemically driven placement techniques for use in building microelectronics. Their technology increases the accuracy, sp"&amp;"eed, and yield of building modern semiconductor-enabled devices, such as micro-led TV's. Industry: semiconductors, deep tech. Have built a working pilot that can function to build some small devices. Have raised pre seed and seed and are working on anothe"&amp;"r seed round.")</f>
        <v>Terecircuits has invented a proprietary technology that allows them to replace traditional methods of 'pick and place' technology with chemically driven placement techniques for use in building microelectronics. Their technology increases the accuracy, speed, and yield of building modern semiconductor-enabled devices, such as micro-led TV's. Industry: semiconductors, deep tech. Have built a working pilot that can function to build some small devices. Have raised pre seed and seed and are working on another seed round.</v>
      </c>
      <c r="H50" s="179">
        <f ca="1">IFERROR(__xludf.DUMMYFUNCTION("""COMPUTED_VALUE"""),4)</f>
        <v>4</v>
      </c>
      <c r="I50" s="179">
        <f ca="1">IFERROR(__xludf.DUMMYFUNCTION("""COMPUTED_VALUE"""),4)</f>
        <v>4</v>
      </c>
      <c r="J50" s="179">
        <f ca="1">IFERROR(__xludf.DUMMYFUNCTION("""COMPUTED_VALUE"""),4)</f>
        <v>4</v>
      </c>
      <c r="K50" s="179">
        <f ca="1">IFERROR(__xludf.DUMMYFUNCTION("""COMPUTED_VALUE"""),5)</f>
        <v>5</v>
      </c>
      <c r="L50" s="179" t="str">
        <f ca="1">IFERROR(__xludf.DUMMYFUNCTION("""COMPUTED_VALUE"""),"The technology addresses a clear pain point for micro-led displays. 99% of semiconductor manufacturing processes are measured in seconds or minutes, but pick and place of micro-leds can take multiple days. Telecircuits's technology can bring this time dow"&amp;"n to seconds. The tech is protected by patents. Competitors do exist, but Terecircuits has identified weaknesses.")</f>
        <v>The technology addresses a clear pain point for micro-led displays. 99% of semiconductor manufacturing processes are measured in seconds or minutes, but pick and place of micro-leds can take multiple days. Telecircuits's technology can bring this time down to seconds. The tech is protected by patents. Competitors do exist, but Terecircuits has identified weaknesses.</v>
      </c>
      <c r="M50" s="179">
        <f ca="1">IFERROR(__xludf.DUMMYFUNCTION("""COMPUTED_VALUE"""),4)</f>
        <v>4</v>
      </c>
      <c r="N50" s="179">
        <f ca="1">IFERROR(__xludf.DUMMYFUNCTION("""COMPUTED_VALUE"""),2)</f>
        <v>2</v>
      </c>
      <c r="O50" s="179" t="str">
        <f ca="1">IFERROR(__xludf.DUMMYFUNCTION("""COMPUTED_VALUE"""),"The semiconductor market is booming and spend with go up with the CHIPS act. Terecircuits has no customers.")</f>
        <v>The semiconductor market is booming and spend with go up with the CHIPS act. Terecircuits has no customers.</v>
      </c>
      <c r="P50" s="179">
        <f ca="1">IFERROR(__xludf.DUMMYFUNCTION("""COMPUTED_VALUE"""),4)</f>
        <v>4</v>
      </c>
      <c r="Q50" s="179">
        <f ca="1">IFERROR(__xludf.DUMMYFUNCTION("""COMPUTED_VALUE"""),5)</f>
        <v>5</v>
      </c>
      <c r="R50" s="179">
        <f ca="1">IFERROR(__xludf.DUMMYFUNCTION("""COMPUTED_VALUE"""),5)</f>
        <v>5</v>
      </c>
      <c r="S50" s="179" t="str">
        <f ca="1">IFERROR(__xludf.DUMMYFUNCTION("""COMPUTED_VALUE"""),"The founders have picked a problem to start and know that to a certain point, they can expand their market share of back-end semi processes. The founders have decades of experience and PhD's in the field.")</f>
        <v>The founders have picked a problem to start and know that to a certain point, they can expand their market share of back-end semi processes. The founders have decades of experience and PhD's in the field.</v>
      </c>
      <c r="T50" s="437">
        <f ca="1">IFERROR(__xludf.DUMMYFUNCTION("""COMPUTED_VALUE"""),3400000)</f>
        <v>3400000</v>
      </c>
      <c r="U50" s="179" t="str">
        <f ca="1">IFERROR(__xludf.DUMMYFUNCTION("""COMPUTED_VALUE"""),"$1M-$5M")</f>
        <v>$1M-$5M</v>
      </c>
      <c r="V50" s="179">
        <f ca="1">IFERROR(__xludf.DUMMYFUNCTION("""COMPUTED_VALUE"""),5)</f>
        <v>5</v>
      </c>
      <c r="W50" s="179" t="str">
        <f ca="1">IFERROR(__xludf.DUMMYFUNCTION("""COMPUTED_VALUE"""),"Terecircuits has identified and addressed specific problems in back-end semi production and has room to grow to tangential applications. 
There are competitors (with some weaknesses) and this is an incredibly competitive industry in general. One competito"&amp;"r was acquired by Apple, but this may be a positive sign as that tech will now be exclusive to Apple.
Industry is growing because of recent events, but is very competitive. 
Founding team is (almost) entirely PhD level chemists, except for CEO. Could use "&amp;"EFL's network and guidance.")</f>
        <v>Terecircuits has identified and addressed specific problems in back-end semi production and has room to grow to tangential applications. 
There are competitors (with some weaknesses) and this is an incredibly competitive industry in general. One competitor was acquired by Apple, but this may be a positive sign as that tech will now be exclusive to Apple.
Industry is growing because of recent events, but is very competitive. 
Founding team is (almost) entirely PhD level chemists, except for CEO. Could use EFL's network and guidance.</v>
      </c>
    </row>
    <row r="51" spans="1:23">
      <c r="A51" s="179" t="str">
        <f ca="1">IFERROR(__xludf.DUMMYFUNCTION("""COMPUTED_VALUE"""),"R")</f>
        <v>R</v>
      </c>
      <c r="B51" s="436">
        <f ca="1">IFERROR(__xludf.DUMMYFUNCTION("""COMPUTED_VALUE"""),44788.6515763194)</f>
        <v>44788.651576319397</v>
      </c>
      <c r="C51" s="179" t="str">
        <f ca="1">IFERROR(__xludf.DUMMYFUNCTION("""COMPUTED_VALUE"""),"jar10146@stern.nyu.edu")</f>
        <v>jar10146@stern.nyu.edu</v>
      </c>
      <c r="D51" s="179" t="str">
        <f ca="1">IFERROR(__xludf.DUMMYFUNCTION("""COMPUTED_VALUE"""),"Joshua Rubnitz")</f>
        <v>Joshua Rubnitz</v>
      </c>
      <c r="E51" s="179" t="str">
        <f ca="1">IFERROR(__xludf.DUMMYFUNCTION("""COMPUTED_VALUE"""),"I have read and understand the confidentiality agreement for application reviewers.")</f>
        <v>I have read and understand the confidentiality agreement for application reviewers.</v>
      </c>
      <c r="F51" s="179" t="str">
        <f ca="1">IFERROR(__xludf.DUMMYFUNCTION("""COMPUTED_VALUE"""),"TerMir, Inc.")</f>
        <v>TerMir, Inc.</v>
      </c>
      <c r="G51" s="179" t="str">
        <f ca="1">IFERROR(__xludf.DUMMYFUNCTION("""COMPUTED_VALUE"""),"TerMir develops IP to help farmers that need to adopt more sustainable farming techniques without increased cost/acre. The flagship product allows farmers to transfer from Roundup/Glyphosate  based weed control to more sustainable, safer methods. Note: Ro"&amp;"undup/Glyphosate have been banned. TerMir leverages and implements industry trends such as precision agriculture to maintain costs. Industry: agtech. Stage: pilot product has shown great results in 3rd party testing. No released product or revenue. Stage:"&amp;" have raised 4.4M in 2 rounds. Raising a 2M round for TerMir and a 6-10M round for their product Harpe.")</f>
        <v>TerMir develops IP to help farmers that need to adopt more sustainable farming techniques without increased cost/acre. The flagship product allows farmers to transfer from Roundup/Glyphosate  based weed control to more sustainable, safer methods. Note: Roundup/Glyphosate have been banned. TerMir leverages and implements industry trends such as precision agriculture to maintain costs. Industry: agtech. Stage: pilot product has shown great results in 3rd party testing. No released product or revenue. Stage: have raised 4.4M in 2 rounds. Raising a 2M round for TerMir and a 6-10M round for their product Harpe.</v>
      </c>
      <c r="H51" s="179">
        <f ca="1">IFERROR(__xludf.DUMMYFUNCTION("""COMPUTED_VALUE"""),5)</f>
        <v>5</v>
      </c>
      <c r="I51" s="179">
        <f ca="1">IFERROR(__xludf.DUMMYFUNCTION("""COMPUTED_VALUE"""),4)</f>
        <v>4</v>
      </c>
      <c r="J51" s="179">
        <f ca="1">IFERROR(__xludf.DUMMYFUNCTION("""COMPUTED_VALUE"""),4)</f>
        <v>4</v>
      </c>
      <c r="K51" s="179">
        <f ca="1">IFERROR(__xludf.DUMMYFUNCTION("""COMPUTED_VALUE"""),4)</f>
        <v>4</v>
      </c>
      <c r="L51" s="179" t="str">
        <f ca="1">IFERROR(__xludf.DUMMYFUNCTION("""COMPUTED_VALUE"""),"Urgent problem. Many farmers face the balance of safe methods and still maintaining a good margin/profitability. TerMir is positioning itself with this product to address this paradigm via new tech and leveraging developing trends (precision ag).
The prod"&amp;"uct is still in development phase and has no customer validation, although the product is showing promise.
TerMir has identified weaknesses with almost all other competitors in the market.")</f>
        <v>Urgent problem. Many farmers face the balance of safe methods and still maintaining a good margin/profitability. TerMir is positioning itself with this product to address this paradigm via new tech and leveraging developing trends (precision ag).
The product is still in development phase and has no customer validation, although the product is showing promise.
TerMir has identified weaknesses with almost all other competitors in the market.</v>
      </c>
      <c r="M51" s="179">
        <f ca="1">IFERROR(__xludf.DUMMYFUNCTION("""COMPUTED_VALUE"""),4)</f>
        <v>4</v>
      </c>
      <c r="N51" s="179">
        <f ca="1">IFERROR(__xludf.DUMMYFUNCTION("""COMPUTED_VALUE"""),2)</f>
        <v>2</v>
      </c>
      <c r="O51" s="179" t="str">
        <f ca="1">IFERROR(__xludf.DUMMYFUNCTION("""COMPUTED_VALUE"""),"The product is still in development phase and has no customer validation, although the product is showing promise.
The team believes that their solution is easy to implement for customers and is an improved version of existing products that are unsafe or "&amp;"banned.")</f>
        <v>The product is still in development phase and has no customer validation, although the product is showing promise.
The team believes that their solution is easy to implement for customers and is an improved version of existing products that are unsafe or banned.</v>
      </c>
      <c r="P51" s="179">
        <f ca="1">IFERROR(__xludf.DUMMYFUNCTION("""COMPUTED_VALUE"""),4)</f>
        <v>4</v>
      </c>
      <c r="Q51" s="179">
        <f ca="1">IFERROR(__xludf.DUMMYFUNCTION("""COMPUTED_VALUE"""),5)</f>
        <v>5</v>
      </c>
      <c r="R51" s="179">
        <f ca="1">IFERROR(__xludf.DUMMYFUNCTION("""COMPUTED_VALUE"""),5)</f>
        <v>5</v>
      </c>
      <c r="S51" s="179" t="str">
        <f ca="1">IFERROR(__xludf.DUMMYFUNCTION("""COMPUTED_VALUE"""),"Team is very strong with a great balance of industry veterans, PhD level scientists on the board, and MBA level executives.")</f>
        <v>Team is very strong with a great balance of industry veterans, PhD level scientists on the board, and MBA level executives.</v>
      </c>
      <c r="T51" s="437">
        <f ca="1">IFERROR(__xludf.DUMMYFUNCTION("""COMPUTED_VALUE"""),4400000)</f>
        <v>4400000</v>
      </c>
      <c r="U51" s="179" t="str">
        <f ca="1">IFERROR(__xludf.DUMMYFUNCTION("""COMPUTED_VALUE"""),"&gt;$5M")</f>
        <v>&gt;$5M</v>
      </c>
      <c r="V51" s="179">
        <f ca="1">IFERROR(__xludf.DUMMYFUNCTION("""COMPUTED_VALUE"""),5)</f>
        <v>5</v>
      </c>
      <c r="W51" s="179" t="str">
        <f ca="1">IFERROR(__xludf.DUMMYFUNCTION("""COMPUTED_VALUE"""),"Exceptional team that has developed a promising product still in development that leverages industry regulation and precision agriculture trends. 
TerMir has identified weaknesses with almost all other competitors in the market. Could use EFL's guidance "&amp;"to get a product to market quickly.")</f>
        <v>Exceptional team that has developed a promising product still in development that leverages industry regulation and precision agriculture trends. 
TerMir has identified weaknesses with almost all other competitors in the market. Could use EFL's guidance to get a product to market quickly.</v>
      </c>
    </row>
    <row r="52" spans="1:23">
      <c r="A52" s="179" t="str">
        <f ca="1">IFERROR(__xludf.DUMMYFUNCTION("""COMPUTED_VALUE"""),"R")</f>
        <v>R</v>
      </c>
      <c r="B52" s="436">
        <f ca="1">IFERROR(__xludf.DUMMYFUNCTION("""COMPUTED_VALUE"""),44788.6621665162)</f>
        <v>44788.662166516202</v>
      </c>
      <c r="C52" s="179" t="str">
        <f ca="1">IFERROR(__xludf.DUMMYFUNCTION("""COMPUTED_VALUE"""),"jar10146@stern.nyu.edu")</f>
        <v>jar10146@stern.nyu.edu</v>
      </c>
      <c r="D52" s="179" t="str">
        <f ca="1">IFERROR(__xludf.DUMMYFUNCTION("""COMPUTED_VALUE"""),"Joshua Rubnitz")</f>
        <v>Joshua Rubnitz</v>
      </c>
      <c r="E52" s="179" t="str">
        <f ca="1">IFERROR(__xludf.DUMMYFUNCTION("""COMPUTED_VALUE"""),"I have read and understand the confidentiality agreement for application reviewers.")</f>
        <v>I have read and understand the confidentiality agreement for application reviewers.</v>
      </c>
      <c r="F52" s="179" t="str">
        <f ca="1">IFERROR(__xludf.DUMMYFUNCTION("""COMPUTED_VALUE"""),"Terra Bioworks")</f>
        <v>Terra Bioworks</v>
      </c>
      <c r="G52" s="179" t="str">
        <f ca="1">IFERROR(__xludf.DUMMYFUNCTION("""COMPUTED_VALUE"""),"Terra Bioworks has pioneered a synthetic biology engineering platform that is 100 times faster and more precise than Pharma methods to discover and over produce microbial natural product drugs at a fraction of the price.")</f>
        <v>Terra Bioworks has pioneered a synthetic biology engineering platform that is 100 times faster and more precise than Pharma methods to discover and over produce microbial natural product drugs at a fraction of the price.</v>
      </c>
      <c r="H52" s="179">
        <f ca="1">IFERROR(__xludf.DUMMYFUNCTION("""COMPUTED_VALUE"""),5)</f>
        <v>5</v>
      </c>
      <c r="I52" s="179">
        <f ca="1">IFERROR(__xludf.DUMMYFUNCTION("""COMPUTED_VALUE"""),5)</f>
        <v>5</v>
      </c>
      <c r="J52" s="179">
        <f ca="1">IFERROR(__xludf.DUMMYFUNCTION("""COMPUTED_VALUE"""),5)</f>
        <v>5</v>
      </c>
      <c r="K52" s="179">
        <f ca="1">IFERROR(__xludf.DUMMYFUNCTION("""COMPUTED_VALUE"""),5)</f>
        <v>5</v>
      </c>
      <c r="L52" s="179" t="str">
        <f ca="1">IFERROR(__xludf.DUMMYFUNCTION("""COMPUTED_VALUE"""),"The product is more capable than any competitors. Terra Bioworks has a vertical solution that capitalizes on data science, AI, genomics, metabolomics, and proprietary
synthetic biology tools to cause a paradigm shift in the efficiencies of their customers"&amp;".
Customers are 9 universities and 15 industrial clients, but revenue is still only 250k (launch was in 2017). Probably need to identify ways to make the product more profitable.")</f>
        <v>The product is more capable than any competitors. Terra Bioworks has a vertical solution that capitalizes on data science, AI, genomics, metabolomics, and proprietary
synthetic biology tools to cause a paradigm shift in the efficiencies of their customers.
Customers are 9 universities and 15 industrial clients, but revenue is still only 250k (launch was in 2017). Probably need to identify ways to make the product more profitable.</v>
      </c>
      <c r="M52" s="179">
        <f ca="1">IFERROR(__xludf.DUMMYFUNCTION("""COMPUTED_VALUE"""),5)</f>
        <v>5</v>
      </c>
      <c r="N52" s="179">
        <f ca="1">IFERROR(__xludf.DUMMYFUNCTION("""COMPUTED_VALUE"""),5)</f>
        <v>5</v>
      </c>
      <c r="O52" s="179" t="str">
        <f ca="1">IFERROR(__xludf.DUMMYFUNCTION("""COMPUTED_VALUE"""),"Company is generating 250k in revenue at 9 universities and 15 industrial clients. The value generation is in saving their customers cost of development in drugs. Need to figure out how to capture more of this value.")</f>
        <v>Company is generating 250k in revenue at 9 universities and 15 industrial clients. The value generation is in saving their customers cost of development in drugs. Need to figure out how to capture more of this value.</v>
      </c>
      <c r="P52" s="179">
        <f ca="1">IFERROR(__xludf.DUMMYFUNCTION("""COMPUTED_VALUE"""),5)</f>
        <v>5</v>
      </c>
      <c r="Q52" s="179">
        <f ca="1">IFERROR(__xludf.DUMMYFUNCTION("""COMPUTED_VALUE"""),5)</f>
        <v>5</v>
      </c>
      <c r="R52" s="179">
        <f ca="1">IFERROR(__xludf.DUMMYFUNCTION("""COMPUTED_VALUE"""),5)</f>
        <v>5</v>
      </c>
      <c r="S52" s="179" t="str">
        <f ca="1">IFERROR(__xludf.DUMMYFUNCTION("""COMPUTED_VALUE"""),"Good business and technical team with relevant experience building companies in this space before.")</f>
        <v>Good business and technical team with relevant experience building companies in this space before.</v>
      </c>
      <c r="T52" s="437">
        <f ca="1">IFERROR(__xludf.DUMMYFUNCTION("""COMPUTED_VALUE"""),2700000)</f>
        <v>2700000</v>
      </c>
      <c r="U52" s="179" t="str">
        <f ca="1">IFERROR(__xludf.DUMMYFUNCTION("""COMPUTED_VALUE"""),"$1M-$5M")</f>
        <v>$1M-$5M</v>
      </c>
      <c r="V52" s="179">
        <f ca="1">IFERROR(__xludf.DUMMYFUNCTION("""COMPUTED_VALUE"""),4)</f>
        <v>4</v>
      </c>
      <c r="W52" s="179" t="str">
        <f ca="1">IFERROR(__xludf.DUMMYFUNCTION("""COMPUTED_VALUE"""),"Terra Bioworks has developed a solution that reduces timeline of drug discovery by an order of magnitude. This saves huge costs for drug development companies.
The firm only generates 250k in revenue and has had a product since 2017, but sees multiple bi"&amp;"llion $$ in market opportunity. Needs to learn how to refine business model and/or scale faster.")</f>
        <v>Terra Bioworks has developed a solution that reduces timeline of drug discovery by an order of magnitude. This saves huge costs for drug development companies.
The firm only generates 250k in revenue and has had a product since 2017, but sees multiple billion $$ in market opportunity. Needs to learn how to refine business model and/or scale faster.</v>
      </c>
    </row>
    <row r="53" spans="1:23">
      <c r="A53" s="179" t="str">
        <f ca="1">IFERROR(__xludf.DUMMYFUNCTION("""COMPUTED_VALUE"""),"R")</f>
        <v>R</v>
      </c>
      <c r="B53" s="436">
        <f ca="1">IFERROR(__xludf.DUMMYFUNCTION("""COMPUTED_VALUE"""),44788.6840263657)</f>
        <v>44788.6840263657</v>
      </c>
      <c r="C53" s="179" t="str">
        <f ca="1">IFERROR(__xludf.DUMMYFUNCTION("""COMPUTED_VALUE"""),"jar10146@stern.nyu.ed")</f>
        <v>jar10146@stern.nyu.ed</v>
      </c>
      <c r="D53" s="179" t="str">
        <f ca="1">IFERROR(__xludf.DUMMYFUNCTION("""COMPUTED_VALUE"""),"Joshua Rubnitz")</f>
        <v>Joshua Rubnitz</v>
      </c>
      <c r="E53" s="179" t="str">
        <f ca="1">IFERROR(__xludf.DUMMYFUNCTION("""COMPUTED_VALUE"""),"I have read and understand the confidentiality agreement for application reviewers.")</f>
        <v>I have read and understand the confidentiality agreement for application reviewers.</v>
      </c>
      <c r="F53" s="179" t="str">
        <f ca="1">IFERROR(__xludf.DUMMYFUNCTION("""COMPUTED_VALUE"""),"Terra Carbon Development, Inc.")</f>
        <v>Terra Carbon Development, Inc.</v>
      </c>
      <c r="G53" s="179" t="str">
        <f ca="1">IFERROR(__xludf.DUMMYFUNCTION("""COMPUTED_VALUE"""),"Terra proposes a 'system of systems' to produce ""green"" pig iron and capture the waste CO2, converting the CO2 into fuel that can be sold for use on the open market. Terra does not have new tech involving the production of iron, but plans to capture the"&amp;" waste CO2 for upcycling. Manufacturing/energy industry crossover. Stage: validated product concept in tests, but have not begun building a pilot. Raised a $3.5M pre seed, now raising $5M series A")</f>
        <v>Terra proposes a 'system of systems' to produce "green" pig iron and capture the waste CO2, converting the CO2 into fuel that can be sold for use on the open market. Terra does not have new tech involving the production of iron, but plans to capture the waste CO2 for upcycling. Manufacturing/energy industry crossover. Stage: validated product concept in tests, but have not begun building a pilot. Raised a $3.5M pre seed, now raising $5M series A</v>
      </c>
      <c r="H53" s="179">
        <f ca="1">IFERROR(__xludf.DUMMYFUNCTION("""COMPUTED_VALUE"""),4)</f>
        <v>4</v>
      </c>
      <c r="I53" s="179">
        <f ca="1">IFERROR(__xludf.DUMMYFUNCTION("""COMPUTED_VALUE"""),3)</f>
        <v>3</v>
      </c>
      <c r="J53" s="179">
        <f ca="1">IFERROR(__xludf.DUMMYFUNCTION("""COMPUTED_VALUE"""),3)</f>
        <v>3</v>
      </c>
      <c r="K53" s="179">
        <f ca="1">IFERROR(__xludf.DUMMYFUNCTION("""COMPUTED_VALUE"""),4)</f>
        <v>4</v>
      </c>
      <c r="L53" s="179" t="str">
        <f ca="1">IFERROR(__xludf.DUMMYFUNCTION("""COMPUTED_VALUE"""),"Very important to modernize steel production as it contributes so much to greenhouse gas emissions. Current attempts by the steel industry cost 4x more than current steel. 
The tech is not the whole plant, but the application of CO2 capture and conversio"&amp;"n. Terra will keep the rights to the energy produced as a byproduct.")</f>
        <v>Very important to modernize steel production as it contributes so much to greenhouse gas emissions. Current attempts by the steel industry cost 4x more than current steel. 
The tech is not the whole plant, but the application of CO2 capture and conversion. Terra will keep the rights to the energy produced as a byproduct.</v>
      </c>
      <c r="M53" s="179">
        <f ca="1">IFERROR(__xludf.DUMMYFUNCTION("""COMPUTED_VALUE"""),3)</f>
        <v>3</v>
      </c>
      <c r="N53" s="179">
        <f ca="1">IFERROR(__xludf.DUMMYFUNCTION("""COMPUTED_VALUE"""),2)</f>
        <v>2</v>
      </c>
      <c r="O53" s="179" t="str">
        <f ca="1">IFERROR(__xludf.DUMMYFUNCTION("""COMPUTED_VALUE"""),"No paying customers yet. The market for steel is huge, but it is a very competitive industry where buyers will not overpay for steel or fuel. Cannot significantly increase costs, but also this may decrease costs.
Possible that this tech can decrease costs"&amp;", but not clear from the application.")</f>
        <v>No paying customers yet. The market for steel is huge, but it is a very competitive industry where buyers will not overpay for steel or fuel. Cannot significantly increase costs, but also this may decrease costs.
Possible that this tech can decrease costs, but not clear from the application.</v>
      </c>
      <c r="P53" s="179">
        <f ca="1">IFERROR(__xludf.DUMMYFUNCTION("""COMPUTED_VALUE"""),4)</f>
        <v>4</v>
      </c>
      <c r="Q53" s="179">
        <f ca="1">IFERROR(__xludf.DUMMYFUNCTION("""COMPUTED_VALUE"""),3)</f>
        <v>3</v>
      </c>
      <c r="R53" s="179">
        <f ca="1">IFERROR(__xludf.DUMMYFUNCTION("""COMPUTED_VALUE"""),3)</f>
        <v>3</v>
      </c>
      <c r="S53" s="179" t="str">
        <f ca="1">IFERROR(__xludf.DUMMYFUNCTION("""COMPUTED_VALUE"""),"Not much info on the team is provided.")</f>
        <v>Not much info on the team is provided.</v>
      </c>
      <c r="T53" s="437">
        <f ca="1">IFERROR(__xludf.DUMMYFUNCTION("""COMPUTED_VALUE"""),3500000)</f>
        <v>3500000</v>
      </c>
      <c r="U53" s="179" t="str">
        <f ca="1">IFERROR(__xludf.DUMMYFUNCTION("""COMPUTED_VALUE"""),"$1M-$5M")</f>
        <v>$1M-$5M</v>
      </c>
      <c r="V53" s="179">
        <f ca="1">IFERROR(__xludf.DUMMYFUNCTION("""COMPUTED_VALUE"""),3)</f>
        <v>3</v>
      </c>
      <c r="W53" s="179" t="str">
        <f ca="1">IFERROR(__xludf.DUMMYFUNCTION("""COMPUTED_VALUE"""),"Novel application of CO2 recycling technology that is already well documented. Business model is not very clear in the application.
Founder has zoned in on a particular customer pain point and applied a cutting edge, but already existing, technology. Try"&amp;"ing to patent the application of this tech.")</f>
        <v>Novel application of CO2 recycling technology that is already well documented. Business model is not very clear in the application.
Founder has zoned in on a particular customer pain point and applied a cutting edge, but already existing, technology. Trying to patent the application of this tech.</v>
      </c>
    </row>
    <row r="54" spans="1:23">
      <c r="A54" s="179" t="str">
        <f ca="1">IFERROR(__xludf.DUMMYFUNCTION("""COMPUTED_VALUE"""),"R")</f>
        <v>R</v>
      </c>
      <c r="B54" s="436">
        <f ca="1">IFERROR(__xludf.DUMMYFUNCTION("""COMPUTED_VALUE"""),44788.6869832291)</f>
        <v>44788.686983229098</v>
      </c>
      <c r="C54" s="179" t="str">
        <f ca="1">IFERROR(__xludf.DUMMYFUNCTION("""COMPUTED_VALUE"""),"ahmed.bahgat@stern.nyu.edu")</f>
        <v>ahmed.bahgat@stern.nyu.edu</v>
      </c>
      <c r="D54" s="179" t="str">
        <f ca="1">IFERROR(__xludf.DUMMYFUNCTION("""COMPUTED_VALUE"""),"Ahmed Bahgat")</f>
        <v>Ahmed Bahgat</v>
      </c>
      <c r="E54" s="179" t="str">
        <f ca="1">IFERROR(__xludf.DUMMYFUNCTION("""COMPUTED_VALUE"""),"I have read and understand the confidentiality agreement for application reviewers.")</f>
        <v>I have read and understand the confidentiality agreement for application reviewers.</v>
      </c>
      <c r="F54" s="179" t="str">
        <f ca="1">IFERROR(__xludf.DUMMYFUNCTION("""COMPUTED_VALUE"""),"Rollio")</f>
        <v>Rollio</v>
      </c>
      <c r="G54" s="179" t="str">
        <f ca="1">IFERROR(__xludf.DUMMYFUNCTION("""COMPUTED_VALUE"""),"AI-powered User Interface, using human conversation for data inputting for CRMs (specifically Salesforce). Interesting AI use-case in a growing and deeply fragmented industry.")</f>
        <v>AI-powered User Interface, using human conversation for data inputting for CRMs (specifically Salesforce). Interesting AI use-case in a growing and deeply fragmented industry.</v>
      </c>
      <c r="H54" s="179">
        <f ca="1">IFERROR(__xludf.DUMMYFUNCTION("""COMPUTED_VALUE"""),3)</f>
        <v>3</v>
      </c>
      <c r="I54" s="179">
        <f ca="1">IFERROR(__xludf.DUMMYFUNCTION("""COMPUTED_VALUE"""),4)</f>
        <v>4</v>
      </c>
      <c r="J54" s="179">
        <f ca="1">IFERROR(__xludf.DUMMYFUNCTION("""COMPUTED_VALUE"""),5)</f>
        <v>5</v>
      </c>
      <c r="K54" s="179">
        <f ca="1">IFERROR(__xludf.DUMMYFUNCTION("""COMPUTED_VALUE"""),3)</f>
        <v>3</v>
      </c>
      <c r="L54" s="179" t="str">
        <f ca="1">IFERROR(__xludf.DUMMYFUNCTION("""COMPUTED_VALUE"""),"Technology solution existed (NLP/NLU/NLG), but use case for it might be new.")</f>
        <v>Technology solution existed (NLP/NLU/NLG), but use case for it might be new.</v>
      </c>
      <c r="M54" s="179">
        <f ca="1">IFERROR(__xludf.DUMMYFUNCTION("""COMPUTED_VALUE"""),1)</f>
        <v>1</v>
      </c>
      <c r="N54" s="179">
        <f ca="1">IFERROR(__xludf.DUMMYFUNCTION("""COMPUTED_VALUE"""),4)</f>
        <v>4</v>
      </c>
      <c r="O54" s="179" t="str">
        <f ca="1">IFERROR(__xludf.DUMMYFUNCTION("""COMPUTED_VALUE"""),"Market is not defined except Salesforce users which seems very broad. Solution can be potentially used industries, but its not clear who needs it the most.")</f>
        <v>Market is not defined except Salesforce users which seems very broad. Solution can be potentially used industries, but its not clear who needs it the most.</v>
      </c>
      <c r="P54" s="179">
        <f ca="1">IFERROR(__xludf.DUMMYFUNCTION("""COMPUTED_VALUE"""),3)</f>
        <v>3</v>
      </c>
      <c r="Q54" s="179">
        <f ca="1">IFERROR(__xludf.DUMMYFUNCTION("""COMPUTED_VALUE"""),3)</f>
        <v>3</v>
      </c>
      <c r="R54" s="179">
        <f ca="1">IFERROR(__xludf.DUMMYFUNCTION("""COMPUTED_VALUE"""),2)</f>
        <v>2</v>
      </c>
      <c r="S54" s="179" t="str">
        <f ca="1">IFERROR(__xludf.DUMMYFUNCTION("""COMPUTED_VALUE"""),"Ambitious vision to be a solution provider to enterprise systems but I cannot tell if there is a clear business model here.")</f>
        <v>Ambitious vision to be a solution provider to enterprise systems but I cannot tell if there is a clear business model here.</v>
      </c>
      <c r="T54" s="179"/>
      <c r="U54" s="179" t="str">
        <f ca="1">IFERROR(__xludf.DUMMYFUNCTION("""COMPUTED_VALUE"""),"No")</f>
        <v>No</v>
      </c>
      <c r="V54" s="179">
        <f ca="1">IFERROR(__xludf.DUMMYFUNCTION("""COMPUTED_VALUE"""),3)</f>
        <v>3</v>
      </c>
      <c r="W54" s="179" t="str">
        <f ca="1">IFERROR(__xludf.DUMMYFUNCTION("""COMPUTED_VALUE"""),"Decent AI powered solution for specific use case, but needs a lot of guidance in developing a business model and understanding market. ")</f>
        <v xml:space="preserve">Decent AI powered solution for specific use case, but needs a lot of guidance in developing a business model and understanding market. </v>
      </c>
    </row>
    <row r="55" spans="1:23">
      <c r="A55" s="179" t="str">
        <f ca="1">IFERROR(__xludf.DUMMYFUNCTION("""COMPUTED_VALUE"""),"R")</f>
        <v>R</v>
      </c>
      <c r="B55" s="436">
        <f ca="1">IFERROR(__xludf.DUMMYFUNCTION("""COMPUTED_VALUE"""),44788.6941195601)</f>
        <v>44788.694119560103</v>
      </c>
      <c r="C55" s="179" t="str">
        <f ca="1">IFERROR(__xludf.DUMMYFUNCTION("""COMPUTED_VALUE"""),"jar10146@stern.nyu.edu")</f>
        <v>jar10146@stern.nyu.edu</v>
      </c>
      <c r="D55" s="179" t="str">
        <f ca="1">IFERROR(__xludf.DUMMYFUNCTION("""COMPUTED_VALUE"""),"Joshua Rubnitz")</f>
        <v>Joshua Rubnitz</v>
      </c>
      <c r="E55" s="179" t="str">
        <f ca="1">IFERROR(__xludf.DUMMYFUNCTION("""COMPUTED_VALUE"""),"I have read and understand the confidentiality agreement for application reviewers.")</f>
        <v>I have read and understand the confidentiality agreement for application reviewers.</v>
      </c>
      <c r="F55" s="179" t="str">
        <f ca="1">IFERROR(__xludf.DUMMYFUNCTION("""COMPUTED_VALUE"""),"Texelio AB")</f>
        <v>Texelio AB</v>
      </c>
      <c r="G55" s="179" t="str">
        <f ca="1">IFERROR(__xludf.DUMMYFUNCTION("""COMPUTED_VALUE"""),"Texelio has a trainable software that can source financial news and ESG topics into a simple platform for its customers. The platform can even parse audio files. Industry: media/finance. Stage: product with 1-10 paying customers &amp; 50k ARR. Have raised $60"&amp;"0k pre seed. Not raising but hope to use EFL to find ""PMF/ Talent acquisition/ fundraising(?)/ R&amp;D advice.")</f>
        <v>Texelio has a trainable software that can source financial news and ESG topics into a simple platform for its customers. The platform can even parse audio files. Industry: media/finance. Stage: product with 1-10 paying customers &amp; 50k ARR. Have raised $600k pre seed. Not raising but hope to use EFL to find "PMF/ Talent acquisition/ fundraising(?)/ R&amp;D advice.</v>
      </c>
      <c r="H55" s="179">
        <f ca="1">IFERROR(__xludf.DUMMYFUNCTION("""COMPUTED_VALUE"""),4)</f>
        <v>4</v>
      </c>
      <c r="I55" s="179">
        <f ca="1">IFERROR(__xludf.DUMMYFUNCTION("""COMPUTED_VALUE"""),2)</f>
        <v>2</v>
      </c>
      <c r="J55" s="179">
        <f ca="1">IFERROR(__xludf.DUMMYFUNCTION("""COMPUTED_VALUE"""),3)</f>
        <v>3</v>
      </c>
      <c r="K55" s="179">
        <f ca="1">IFERROR(__xludf.DUMMYFUNCTION("""COMPUTED_VALUE"""),2)</f>
        <v>2</v>
      </c>
      <c r="L55" s="179" t="str">
        <f ca="1">IFERROR(__xludf.DUMMYFUNCTION("""COMPUTED_VALUE"""),"Customer insights showed the founders that 52% of investors are dissatisfied with the financial newsfeed format.
There is little new tech here other than a trainable news sourcing platform. 
""Cannot be patented""")</f>
        <v>Customer insights showed the founders that 52% of investors are dissatisfied with the financial newsfeed format.
There is little new tech here other than a trainable news sourcing platform. 
"Cannot be patented"</v>
      </c>
      <c r="M55" s="179">
        <f ca="1">IFERROR(__xludf.DUMMYFUNCTION("""COMPUTED_VALUE"""),4)</f>
        <v>4</v>
      </c>
      <c r="N55" s="179">
        <f ca="1">IFERROR(__xludf.DUMMYFUNCTION("""COMPUTED_VALUE"""),3)</f>
        <v>3</v>
      </c>
      <c r="O55" s="179" t="str">
        <f ca="1">IFERROR(__xludf.DUMMYFUNCTION("""COMPUTED_VALUE"""),"1-10 customers with 50k ARR.  Estimated 'data augmentation' market of about 1bn in financial sector.")</f>
        <v>1-10 customers with 50k ARR.  Estimated 'data augmentation' market of about 1bn in financial sector.</v>
      </c>
      <c r="P55" s="179">
        <f ca="1">IFERROR(__xludf.DUMMYFUNCTION("""COMPUTED_VALUE"""),3)</f>
        <v>3</v>
      </c>
      <c r="Q55" s="179">
        <f ca="1">IFERROR(__xludf.DUMMYFUNCTION("""COMPUTED_VALUE"""),4)</f>
        <v>4</v>
      </c>
      <c r="R55" s="179">
        <f ca="1">IFERROR(__xludf.DUMMYFUNCTION("""COMPUTED_VALUE"""),5)</f>
        <v>5</v>
      </c>
      <c r="S55" s="179" t="str">
        <f ca="1">IFERROR(__xludf.DUMMYFUNCTION("""COMPUTED_VALUE"""),"Founders with relevant education and good backgrounds. First startup, but founder has started charitable organizations before with success.")</f>
        <v>Founders with relevant education and good backgrounds. First startup, but founder has started charitable organizations before with success.</v>
      </c>
      <c r="T55" s="437">
        <f ca="1">IFERROR(__xludf.DUMMYFUNCTION("""COMPUTED_VALUE"""),600000)</f>
        <v>600000</v>
      </c>
      <c r="U55" s="179" t="str">
        <f ca="1">IFERROR(__xludf.DUMMYFUNCTION("""COMPUTED_VALUE"""),"No")</f>
        <v>No</v>
      </c>
      <c r="V55" s="179">
        <f ca="1">IFERROR(__xludf.DUMMYFUNCTION("""COMPUTED_VALUE"""),3)</f>
        <v>3</v>
      </c>
      <c r="W55" s="179" t="str">
        <f ca="1">IFERROR(__xludf.DUMMYFUNCTION("""COMPUTED_VALUE"""),"Impressive team in a decent market, but not much inimitable tech. 
The data sourcing tool can be trained on a per-user basis so that customers are only seeing relevant, need-to-know information and possibly save time.")</f>
        <v>Impressive team in a decent market, but not much inimitable tech. 
The data sourcing tool can be trained on a per-user basis so that customers are only seeing relevant, need-to-know information and possibly save time.</v>
      </c>
    </row>
    <row r="56" spans="1:23">
      <c r="A56" s="179" t="str">
        <f ca="1">IFERROR(__xludf.DUMMYFUNCTION("""COMPUTED_VALUE"""),"R")</f>
        <v>R</v>
      </c>
      <c r="B56" s="436">
        <f ca="1">IFERROR(__xludf.DUMMYFUNCTION("""COMPUTED_VALUE"""),44788.7590618402)</f>
        <v>44788.759061840203</v>
      </c>
      <c r="C56" s="179" t="str">
        <f ca="1">IFERROR(__xludf.DUMMYFUNCTION("""COMPUTED_VALUE"""),"ahmed.bahgat@stern.nyu.edu")</f>
        <v>ahmed.bahgat@stern.nyu.edu</v>
      </c>
      <c r="D56" s="179" t="str">
        <f ca="1">IFERROR(__xludf.DUMMYFUNCTION("""COMPUTED_VALUE"""),"Ahmed Bahgat")</f>
        <v>Ahmed Bahgat</v>
      </c>
      <c r="E56" s="179" t="str">
        <f ca="1">IFERROR(__xludf.DUMMYFUNCTION("""COMPUTED_VALUE"""),"I have read and understand the confidentiality agreement for application reviewers.")</f>
        <v>I have read and understand the confidentiality agreement for application reviewers.</v>
      </c>
      <c r="F56" s="179" t="str">
        <f ca="1">IFERROR(__xludf.DUMMYFUNCTION("""COMPUTED_VALUE"""),"Roseon World")</f>
        <v>Roseon World</v>
      </c>
      <c r="G56" s="179" t="str">
        <f ca="1">IFERROR(__xludf.DUMMYFUNCTION("""COMPUTED_VALUE"""),"One-stop solution for Crypto needs offering crypto farming, metaverse access, crypto gaming, and NFT gallery access. This has been a growing and fragmented industry over the past few years. ")</f>
        <v xml:space="preserve">One-stop solution for Crypto needs offering crypto farming, metaverse access, crypto gaming, and NFT gallery access. This has been a growing and fragmented industry over the past few years. </v>
      </c>
      <c r="H56" s="179">
        <f ca="1">IFERROR(__xludf.DUMMYFUNCTION("""COMPUTED_VALUE"""),1)</f>
        <v>1</v>
      </c>
      <c r="I56" s="179">
        <f ca="1">IFERROR(__xludf.DUMMYFUNCTION("""COMPUTED_VALUE"""),2)</f>
        <v>2</v>
      </c>
      <c r="J56" s="179">
        <f ca="1">IFERROR(__xludf.DUMMYFUNCTION("""COMPUTED_VALUE"""),5)</f>
        <v>5</v>
      </c>
      <c r="K56" s="179">
        <f ca="1">IFERROR(__xludf.DUMMYFUNCTION("""COMPUTED_VALUE"""),1)</f>
        <v>1</v>
      </c>
      <c r="L56" s="179" t="str">
        <f ca="1">IFERROR(__xludf.DUMMYFUNCTION("""COMPUTED_VALUE"""),"The solutions provided by the app to access crypto exist in many forms by now, this solution does not provide any new added value")</f>
        <v>The solutions provided by the app to access crypto exist in many forms by now, this solution does not provide any new added value</v>
      </c>
      <c r="M56" s="179">
        <f ca="1">IFERROR(__xludf.DUMMYFUNCTION("""COMPUTED_VALUE"""),2)</f>
        <v>2</v>
      </c>
      <c r="N56" s="179">
        <f ca="1">IFERROR(__xludf.DUMMYFUNCTION("""COMPUTED_VALUE"""),5)</f>
        <v>5</v>
      </c>
      <c r="O56" s="179" t="str">
        <f ca="1">IFERROR(__xludf.DUMMYFUNCTION("""COMPUTED_VALUE"""),"Market not defined. Application specifies targeted countries but its not clear why that is. ")</f>
        <v xml:space="preserve">Market not defined. Application specifies targeted countries but its not clear why that is. </v>
      </c>
      <c r="P56" s="179">
        <f ca="1">IFERROR(__xludf.DUMMYFUNCTION("""COMPUTED_VALUE"""),1)</f>
        <v>1</v>
      </c>
      <c r="Q56" s="179">
        <f ca="1">IFERROR(__xludf.DUMMYFUNCTION("""COMPUTED_VALUE"""),1)</f>
        <v>1</v>
      </c>
      <c r="R56" s="179">
        <f ca="1">IFERROR(__xludf.DUMMYFUNCTION("""COMPUTED_VALUE"""),2)</f>
        <v>2</v>
      </c>
      <c r="S56" s="179" t="str">
        <f ca="1">IFERROR(__xludf.DUMMYFUNCTION("""COMPUTED_VALUE"""),"The team is replicating what many others are currently doing, not sure where the innovation or unique customer pain they are trying to solve.")</f>
        <v>The team is replicating what many others are currently doing, not sure where the innovation or unique customer pain they are trying to solve.</v>
      </c>
      <c r="T56" s="179"/>
      <c r="U56" s="179" t="str">
        <f ca="1">IFERROR(__xludf.DUMMYFUNCTION("""COMPUTED_VALUE"""),"No")</f>
        <v>No</v>
      </c>
      <c r="V56" s="179">
        <f ca="1">IFERROR(__xludf.DUMMYFUNCTION("""COMPUTED_VALUE"""),2)</f>
        <v>2</v>
      </c>
      <c r="W56" s="179" t="str">
        <f ca="1">IFERROR(__xludf.DUMMYFUNCTION("""COMPUTED_VALUE"""),"Replicating existing solutions to accessing crypto markets, no clear market defined hence no unique specific customer pain being addressed. ")</f>
        <v xml:space="preserve">Replicating existing solutions to accessing crypto markets, no clear market defined hence no unique specific customer pain being addressed. </v>
      </c>
    </row>
    <row r="57" spans="1:23">
      <c r="A57" s="179" t="str">
        <f ca="1">IFERROR(__xludf.DUMMYFUNCTION("""COMPUTED_VALUE"""),"R")</f>
        <v>R</v>
      </c>
      <c r="B57" s="436">
        <f ca="1">IFERROR(__xludf.DUMMYFUNCTION("""COMPUTED_VALUE"""),44788.9433571064)</f>
        <v>44788.9433571064</v>
      </c>
      <c r="C57" s="179" t="str">
        <f ca="1">IFERROR(__xludf.DUMMYFUNCTION("""COMPUTED_VALUE"""),"ahmed.bahgat@stern.nyu.edu")</f>
        <v>ahmed.bahgat@stern.nyu.edu</v>
      </c>
      <c r="D57" s="179" t="str">
        <f ca="1">IFERROR(__xludf.DUMMYFUNCTION("""COMPUTED_VALUE"""),"Ahmed Bahgat")</f>
        <v>Ahmed Bahgat</v>
      </c>
      <c r="E57" s="179" t="str">
        <f ca="1">IFERROR(__xludf.DUMMYFUNCTION("""COMPUTED_VALUE"""),"I have read and understand the confidentiality agreement for application reviewers.")</f>
        <v>I have read and understand the confidentiality agreement for application reviewers.</v>
      </c>
      <c r="F57" s="179" t="str">
        <f ca="1">IFERROR(__xludf.DUMMYFUNCTION("""COMPUTED_VALUE"""),"Rubato")</f>
        <v>Rubato</v>
      </c>
      <c r="G57" s="179" t="str">
        <f ca="1">IFERROR(__xludf.DUMMYFUNCTION("""COMPUTED_VALUE"""),"AI powered musical therapeutic app targeting Dementia patients. Health based music apps are not new but Rubato seeks to clinically test their product can be used to medically assist patients. ")</f>
        <v xml:space="preserve">AI powered musical therapeutic app targeting Dementia patients. Health based music apps are not new but Rubato seeks to clinically test their product can be used to medically assist patients. </v>
      </c>
      <c r="H57" s="179">
        <f ca="1">IFERROR(__xludf.DUMMYFUNCTION("""COMPUTED_VALUE"""),3)</f>
        <v>3</v>
      </c>
      <c r="I57" s="179">
        <f ca="1">IFERROR(__xludf.DUMMYFUNCTION("""COMPUTED_VALUE"""),2)</f>
        <v>2</v>
      </c>
      <c r="J57" s="179">
        <f ca="1">IFERROR(__xludf.DUMMYFUNCTION("""COMPUTED_VALUE"""),2)</f>
        <v>2</v>
      </c>
      <c r="K57" s="179">
        <f ca="1">IFERROR(__xludf.DUMMYFUNCTION("""COMPUTED_VALUE"""),2)</f>
        <v>2</v>
      </c>
      <c r="L57" s="179" t="str">
        <f ca="1">IFERROR(__xludf.DUMMYFUNCTION("""COMPUTED_VALUE"""),"Technology solution is not new but what this use case does is offer a service of more personalized music for Dementia patients. To prove the effectiveness of personalized music on Dementia patients, they are part of 2 clinical studies. The results of whic"&amp;"h will be available in 6 months. ")</f>
        <v xml:space="preserve">Technology solution is not new but what this use case does is offer a service of more personalized music for Dementia patients. To prove the effectiveness of personalized music on Dementia patients, they are part of 2 clinical studies. The results of which will be available in 6 months. </v>
      </c>
      <c r="M57" s="179">
        <f ca="1">IFERROR(__xludf.DUMMYFUNCTION("""COMPUTED_VALUE"""),4)</f>
        <v>4</v>
      </c>
      <c r="N57" s="179">
        <f ca="1">IFERROR(__xludf.DUMMYFUNCTION("""COMPUTED_VALUE"""),1)</f>
        <v>1</v>
      </c>
      <c r="O57" s="179" t="str">
        <f ca="1">IFERROR(__xludf.DUMMYFUNCTION("""COMPUTED_VALUE"""),"Target market is defined as Dementia patients in the US. While focused, the solutions efficacy is still in question.")</f>
        <v>Target market is defined as Dementia patients in the US. While focused, the solutions efficacy is still in question.</v>
      </c>
      <c r="P57" s="179">
        <f ca="1">IFERROR(__xludf.DUMMYFUNCTION("""COMPUTED_VALUE"""),4)</f>
        <v>4</v>
      </c>
      <c r="Q57" s="179">
        <f ca="1">IFERROR(__xludf.DUMMYFUNCTION("""COMPUTED_VALUE"""),3)</f>
        <v>3</v>
      </c>
      <c r="R57" s="179">
        <f ca="1">IFERROR(__xludf.DUMMYFUNCTION("""COMPUTED_VALUE"""),5)</f>
        <v>5</v>
      </c>
      <c r="S57" s="179" t="str">
        <f ca="1">IFERROR(__xludf.DUMMYFUNCTION("""COMPUTED_VALUE"""),"Strong team with strong advisors. Founding team don't all seem to be fully committed to this venture. I can only assume that's because clinical studies results testing solution efficacy are still pending.")</f>
        <v>Strong team with strong advisors. Founding team don't all seem to be fully committed to this venture. I can only assume that's because clinical studies results testing solution efficacy are still pending.</v>
      </c>
      <c r="T57" s="179"/>
      <c r="U57" s="179" t="str">
        <f ca="1">IFERROR(__xludf.DUMMYFUNCTION("""COMPUTED_VALUE"""),"$500K-$1M")</f>
        <v>$500K-$1M</v>
      </c>
      <c r="V57" s="179">
        <f ca="1">IFERROR(__xludf.DUMMYFUNCTION("""COMPUTED_VALUE"""),2)</f>
        <v>2</v>
      </c>
      <c r="W57" s="179" t="str">
        <f ca="1">IFERROR(__xludf.DUMMYFUNCTION("""COMPUTED_VALUE"""),"This AI powered solution targeting Dementia patients is heavily dependent on clinical trial success to prove solution efficacy. Only then is there a product to this business. ")</f>
        <v xml:space="preserve">This AI powered solution targeting Dementia patients is heavily dependent on clinical trial success to prove solution efficacy. Only then is there a product to this business. </v>
      </c>
    </row>
    <row r="58" spans="1:23">
      <c r="A58" s="179" t="str">
        <f ca="1">IFERROR(__xludf.DUMMYFUNCTION("""COMPUTED_VALUE"""),"R")</f>
        <v>R</v>
      </c>
      <c r="B58" s="436">
        <f ca="1">IFERROR(__xludf.DUMMYFUNCTION("""COMPUTED_VALUE"""),44789.004306493)</f>
        <v>44789.004306493</v>
      </c>
      <c r="C58" s="179" t="str">
        <f ca="1">IFERROR(__xludf.DUMMYFUNCTION("""COMPUTED_VALUE"""),"ahmed.bahgat@stern.nyu.edu")</f>
        <v>ahmed.bahgat@stern.nyu.edu</v>
      </c>
      <c r="D58" s="179" t="str">
        <f ca="1">IFERROR(__xludf.DUMMYFUNCTION("""COMPUTED_VALUE"""),"Ahmed Bahgat")</f>
        <v>Ahmed Bahgat</v>
      </c>
      <c r="E58" s="179" t="str">
        <f ca="1">IFERROR(__xludf.DUMMYFUNCTION("""COMPUTED_VALUE"""),"I have read and understand the confidentiality agreement for application reviewers.")</f>
        <v>I have read and understand the confidentiality agreement for application reviewers.</v>
      </c>
      <c r="F58" s="179" t="str">
        <f ca="1">IFERROR(__xludf.DUMMYFUNCTION("""COMPUTED_VALUE"""),"Rushnu")</f>
        <v>Rushnu</v>
      </c>
      <c r="G58" s="179" t="str">
        <f ca="1">IFERROR(__xludf.DUMMYFUNCTION("""COMPUTED_VALUE"""),"Decarbonization solution for heavy industries. Developed a virtual prototype using AI tools. Decarbonization seems to be a growing sector that is relatively fragmented and applicable to multiple industries.")</f>
        <v>Decarbonization solution for heavy industries. Developed a virtual prototype using AI tools. Decarbonization seems to be a growing sector that is relatively fragmented and applicable to multiple industries.</v>
      </c>
      <c r="H58" s="179">
        <f ca="1">IFERROR(__xludf.DUMMYFUNCTION("""COMPUTED_VALUE"""),2)</f>
        <v>2</v>
      </c>
      <c r="I58" s="179">
        <f ca="1">IFERROR(__xludf.DUMMYFUNCTION("""COMPUTED_VALUE"""),3)</f>
        <v>3</v>
      </c>
      <c r="J58" s="179">
        <f ca="1">IFERROR(__xludf.DUMMYFUNCTION("""COMPUTED_VALUE"""),1)</f>
        <v>1</v>
      </c>
      <c r="K58" s="179">
        <f ca="1">IFERROR(__xludf.DUMMYFUNCTION("""COMPUTED_VALUE"""),3)</f>
        <v>3</v>
      </c>
      <c r="L58" s="179" t="str">
        <f ca="1">IFERROR(__xludf.DUMMYFUNCTION("""COMPUTED_VALUE"""),"Technology solution seems to be similar to competitors offerings . We would need to better understand what makes this prototype address the particular customer pain.")</f>
        <v>Technology solution seems to be similar to competitors offerings . We would need to better understand what makes this prototype address the particular customer pain.</v>
      </c>
      <c r="M58" s="179">
        <f ca="1">IFERROR(__xludf.DUMMYFUNCTION("""COMPUTED_VALUE"""),4)</f>
        <v>4</v>
      </c>
      <c r="N58" s="179">
        <f ca="1">IFERROR(__xludf.DUMMYFUNCTION("""COMPUTED_VALUE"""),1)</f>
        <v>1</v>
      </c>
      <c r="O58" s="179" t="str">
        <f ca="1">IFERROR(__xludf.DUMMYFUNCTION("""COMPUTED_VALUE"""),"Target market is not clearly specified (all heavy industries?) and niche opportunity stated does not specify industry.")</f>
        <v>Target market is not clearly specified (all heavy industries?) and niche opportunity stated does not specify industry.</v>
      </c>
      <c r="P58" s="179">
        <f ca="1">IFERROR(__xludf.DUMMYFUNCTION("""COMPUTED_VALUE"""),1)</f>
        <v>1</v>
      </c>
      <c r="Q58" s="179">
        <f ca="1">IFERROR(__xludf.DUMMYFUNCTION("""COMPUTED_VALUE"""),1)</f>
        <v>1</v>
      </c>
      <c r="R58" s="179">
        <f ca="1">IFERROR(__xludf.DUMMYFUNCTION("""COMPUTED_VALUE"""),3)</f>
        <v>3</v>
      </c>
      <c r="S58" s="179" t="str">
        <f ca="1">IFERROR(__xludf.DUMMYFUNCTION("""COMPUTED_VALUE"""),"They seem to have strong backgrounds but technology solution is unrefined (maybe its just too early?) and vision is generic. ")</f>
        <v xml:space="preserve">They seem to have strong backgrounds but technology solution is unrefined (maybe its just too early?) and vision is generic. </v>
      </c>
      <c r="T58" s="437">
        <f ca="1">IFERROR(__xludf.DUMMYFUNCTION("""COMPUTED_VALUE"""),0)</f>
        <v>0</v>
      </c>
      <c r="U58" s="179" t="str">
        <f ca="1">IFERROR(__xludf.DUMMYFUNCTION("""COMPUTED_VALUE"""),"$1M-$5M")</f>
        <v>$1M-$5M</v>
      </c>
      <c r="V58" s="179">
        <f ca="1">IFERROR(__xludf.DUMMYFUNCTION("""COMPUTED_VALUE"""),1)</f>
        <v>1</v>
      </c>
      <c r="W58" s="179" t="str">
        <f ca="1">IFERROR(__xludf.DUMMYFUNCTION("""COMPUTED_VALUE"""),"Seeking seed capital to develop prototype. Technology solution seems unrefined because the business is at a very early stage. Target market is unspecified and from what I can tell their proposed technology solution seems to already be offered by competito"&amp;"rs. We'd need to better understand the technology solution and how its differentiated from competitors.")</f>
        <v>Seeking seed capital to develop prototype. Technology solution seems unrefined because the business is at a very early stage. Target market is unspecified and from what I can tell their proposed technology solution seems to already be offered by competitors. We'd need to better understand the technology solution and how its differentiated from competitors.</v>
      </c>
    </row>
    <row r="59" spans="1:23">
      <c r="A59" s="179" t="str">
        <f ca="1">IFERROR(__xludf.DUMMYFUNCTION("""COMPUTED_VALUE"""),"R")</f>
        <v>R</v>
      </c>
      <c r="B59" s="436">
        <f ca="1">IFERROR(__xludf.DUMMYFUNCTION("""COMPUTED_VALUE"""),44789.0491919328)</f>
        <v>44789.049191932798</v>
      </c>
      <c r="C59" s="179" t="str">
        <f ca="1">IFERROR(__xludf.DUMMYFUNCTION("""COMPUTED_VALUE"""),"ahmed.bahgat@stern.nyu.edu")</f>
        <v>ahmed.bahgat@stern.nyu.edu</v>
      </c>
      <c r="D59" s="179" t="str">
        <f ca="1">IFERROR(__xludf.DUMMYFUNCTION("""COMPUTED_VALUE"""),"Ahmed Bahgat")</f>
        <v>Ahmed Bahgat</v>
      </c>
      <c r="E59" s="179" t="str">
        <f ca="1">IFERROR(__xludf.DUMMYFUNCTION("""COMPUTED_VALUE"""),"I have read and understand the confidentiality agreement for application reviewers.")</f>
        <v>I have read and understand the confidentiality agreement for application reviewers.</v>
      </c>
      <c r="F59" s="179" t="str">
        <f ca="1">IFERROR(__xludf.DUMMYFUNCTION("""COMPUTED_VALUE"""),"Saathealth")</f>
        <v>Saathealth</v>
      </c>
      <c r="G59" s="179" t="str">
        <f ca="1">IFERROR(__xludf.DUMMYFUNCTION("""COMPUTED_VALUE"""),"AI powered personalized digital therapeutic platform addressing health needs post pandemic. This includes preventative health intervention providing recommended behavior changes with personalized care approach. Platform also provides personalized content "&amp;"journey, gamified learning, and access to health products and services. Realtime user activity tracked to be used by health systems for prevention insights. The preventative health care industry has been expeditiously growing since the pandemic facilitate"&amp;"d consumer digital health care tools adoption.     ")</f>
        <v xml:space="preserve">AI powered personalized digital therapeutic platform addressing health needs post pandemic. This includes preventative health intervention providing recommended behavior changes with personalized care approach. Platform also provides personalized content journey, gamified learning, and access to health products and services. Realtime user activity tracked to be used by health systems for prevention insights. The preventative health care industry has been expeditiously growing since the pandemic facilitated consumer digital health care tools adoption.     </v>
      </c>
      <c r="H59" s="179">
        <f ca="1">IFERROR(__xludf.DUMMYFUNCTION("""COMPUTED_VALUE"""),5)</f>
        <v>5</v>
      </c>
      <c r="I59" s="179">
        <f ca="1">IFERROR(__xludf.DUMMYFUNCTION("""COMPUTED_VALUE"""),2)</f>
        <v>2</v>
      </c>
      <c r="J59" s="179">
        <f ca="1">IFERROR(__xludf.DUMMYFUNCTION("""COMPUTED_VALUE"""),5)</f>
        <v>5</v>
      </c>
      <c r="K59" s="179">
        <f ca="1">IFERROR(__xludf.DUMMYFUNCTION("""COMPUTED_VALUE"""),4)</f>
        <v>4</v>
      </c>
      <c r="L59" s="179" t="str">
        <f ca="1">IFERROR(__xludf.DUMMYFUNCTION("""COMPUTED_VALUE"""),"Technology solution exists (strong competitors focused on developed nations) but this solution is being offered to developing nations (who need it most) with particular focus on India, SE Asia, and Africa. They also built up strong enough data over time t"&amp;"o feed their machine learning algo, maybe enough so to be a barrier of entry in this market.   ")</f>
        <v xml:space="preserve">Technology solution exists (strong competitors focused on developed nations) but this solution is being offered to developing nations (who need it most) with particular focus on India, SE Asia, and Africa. They also built up strong enough data over time to feed their machine learning algo, maybe enough so to be a barrier of entry in this market.   </v>
      </c>
      <c r="M59" s="179">
        <f ca="1">IFERROR(__xludf.DUMMYFUNCTION("""COMPUTED_VALUE"""),5)</f>
        <v>5</v>
      </c>
      <c r="N59" s="179">
        <f ca="1">IFERROR(__xludf.DUMMYFUNCTION("""COMPUTED_VALUE"""),5)</f>
        <v>5</v>
      </c>
      <c r="O59" s="179" t="str">
        <f ca="1">IFERROR(__xludf.DUMMYFUNCTION("""COMPUTED_VALUE"""),"Target market specified as customers across public health, pharma, health insurance, hospital systems and digital health in multiple geographies (India, SE Asia and Africa). Would probably need to differentiate obtainable vs available market.  ")</f>
        <v xml:space="preserve">Target market specified as customers across public health, pharma, health insurance, hospital systems and digital health in multiple geographies (India, SE Asia and Africa). Would probably need to differentiate obtainable vs available market.  </v>
      </c>
      <c r="P59" s="179">
        <f ca="1">IFERROR(__xludf.DUMMYFUNCTION("""COMPUTED_VALUE"""),4)</f>
        <v>4</v>
      </c>
      <c r="Q59" s="179">
        <f ca="1">IFERROR(__xludf.DUMMYFUNCTION("""COMPUTED_VALUE"""),4)</f>
        <v>4</v>
      </c>
      <c r="R59" s="179">
        <f ca="1">IFERROR(__xludf.DUMMYFUNCTION("""COMPUTED_VALUE"""),5)</f>
        <v>5</v>
      </c>
      <c r="S59" s="179" t="str">
        <f ca="1">IFERROR(__xludf.DUMMYFUNCTION("""COMPUTED_VALUE"""),"Strong team with solid experience. While lacking first mover advantage, they seem to be growing at a high pace.")</f>
        <v>Strong team with solid experience. While lacking first mover advantage, they seem to be growing at a high pace.</v>
      </c>
      <c r="T59" s="179"/>
      <c r="U59" s="179" t="str">
        <f ca="1">IFERROR(__xludf.DUMMYFUNCTION("""COMPUTED_VALUE"""),"$500K-$1M")</f>
        <v>$500K-$1M</v>
      </c>
      <c r="V59" s="179">
        <f ca="1">IFERROR(__xludf.DUMMYFUNCTION("""COMPUTED_VALUE"""),4)</f>
        <v>4</v>
      </c>
      <c r="W59" s="179" t="str">
        <f ca="1">IFERROR(__xludf.DUMMYFUNCTION("""COMPUTED_VALUE"""),"Strong business to advise noting that they are primarily seeking funding and their target market does not include the US. ")</f>
        <v xml:space="preserve">Strong business to advise noting that they are primarily seeking funding and their target market does not include the US. </v>
      </c>
    </row>
    <row r="60" spans="1:23">
      <c r="A60" s="179" t="str">
        <f ca="1">IFERROR(__xludf.DUMMYFUNCTION("""COMPUTED_VALUE"""),"R")</f>
        <v>R</v>
      </c>
      <c r="B60" s="436">
        <f ca="1">IFERROR(__xludf.DUMMYFUNCTION("""COMPUTED_VALUE"""),44789.8728613194)</f>
        <v>44789.872861319403</v>
      </c>
      <c r="C60" s="179" t="str">
        <f ca="1">IFERROR(__xludf.DUMMYFUNCTION("""COMPUTED_VALUE"""),"ahmed.bahgat@stern.nyu.edu")</f>
        <v>ahmed.bahgat@stern.nyu.edu</v>
      </c>
      <c r="D60" s="179" t="str">
        <f ca="1">IFERROR(__xludf.DUMMYFUNCTION("""COMPUTED_VALUE"""),"Ahmed Bahgat")</f>
        <v>Ahmed Bahgat</v>
      </c>
      <c r="E60" s="179" t="str">
        <f ca="1">IFERROR(__xludf.DUMMYFUNCTION("""COMPUTED_VALUE"""),"I have read and understand the confidentiality agreement for application reviewers.")</f>
        <v>I have read and understand the confidentiality agreement for application reviewers.</v>
      </c>
      <c r="F60" s="179" t="str">
        <f ca="1">IFERROR(__xludf.DUMMYFUNCTION("""COMPUTED_VALUE"""),"Sachi Bioworks Inc")</f>
        <v>Sachi Bioworks Inc</v>
      </c>
      <c r="G60" s="179" t="str">
        <f ca="1">IFERROR(__xludf.DUMMYFUNCTION("""COMPUTED_VALUE"""),"Genome therapy platform using proprietary Nanoligomer technology to provide personalized and space medicine. Platform is a proprietary bioinformatics and AI-based toolbox for the purpose of creating and precise and personal therapeutic assets. Gene therap"&amp;"y is currently only available as part of a clinical trial but the industry is expected to rapidly grow in the coming decade.")</f>
        <v>Genome therapy platform using proprietary Nanoligomer technology to provide personalized and space medicine. Platform is a proprietary bioinformatics and AI-based toolbox for the purpose of creating and precise and personal therapeutic assets. Gene therapy is currently only available as part of a clinical trial but the industry is expected to rapidly grow in the coming decade.</v>
      </c>
      <c r="H60" s="179">
        <f ca="1">IFERROR(__xludf.DUMMYFUNCTION("""COMPUTED_VALUE"""),5)</f>
        <v>5</v>
      </c>
      <c r="I60" s="179">
        <f ca="1">IFERROR(__xludf.DUMMYFUNCTION("""COMPUTED_VALUE"""),5)</f>
        <v>5</v>
      </c>
      <c r="J60" s="179">
        <f ca="1">IFERROR(__xludf.DUMMYFUNCTION("""COMPUTED_VALUE"""),2)</f>
        <v>2</v>
      </c>
      <c r="K60" s="179">
        <f ca="1">IFERROR(__xludf.DUMMYFUNCTION("""COMPUTED_VALUE"""),5)</f>
        <v>5</v>
      </c>
      <c r="L60" s="179" t="str">
        <f ca="1">IFERROR(__xludf.DUMMYFUNCTION("""COMPUTED_VALUE"""),"Nanoligomer™ platform seems to be at the forefront of the industry since genome therapy has only began clinical trails in the US.  ")</f>
        <v xml:space="preserve">Nanoligomer™ platform seems to be at the forefront of the industry since genome therapy has only began clinical trails in the US.  </v>
      </c>
      <c r="M60" s="179">
        <f ca="1">IFERROR(__xludf.DUMMYFUNCTION("""COMPUTED_VALUE"""),4)</f>
        <v>4</v>
      </c>
      <c r="N60" s="179">
        <f ca="1">IFERROR(__xludf.DUMMYFUNCTION("""COMPUTED_VALUE"""),4)</f>
        <v>4</v>
      </c>
      <c r="O60" s="179" t="str">
        <f ca="1">IFERROR(__xludf.DUMMYFUNCTION("""COMPUTED_VALUE"""),"Target market seems to be quite broadly defined in the deck from specific diseases such as Parkinson’s Disease and Prion Disease to space medicine to addressing mental health/Depression. Might need to better define target market for now and seek to domina"&amp;"te it rather than defining as many use cases as possible.  ")</f>
        <v xml:space="preserve">Target market seems to be quite broadly defined in the deck from specific diseases such as Parkinson’s Disease and Prion Disease to space medicine to addressing mental health/Depression. Might need to better define target market for now and seek to dominate it rather than defining as many use cases as possible.  </v>
      </c>
      <c r="P60" s="179">
        <f ca="1">IFERROR(__xludf.DUMMYFUNCTION("""COMPUTED_VALUE"""),5)</f>
        <v>5</v>
      </c>
      <c r="Q60" s="179">
        <f ca="1">IFERROR(__xludf.DUMMYFUNCTION("""COMPUTED_VALUE"""),5)</f>
        <v>5</v>
      </c>
      <c r="R60" s="179">
        <f ca="1">IFERROR(__xludf.DUMMYFUNCTION("""COMPUTED_VALUE"""),5)</f>
        <v>5</v>
      </c>
      <c r="S60" s="179" t="str">
        <f ca="1">IFERROR(__xludf.DUMMYFUNCTION("""COMPUTED_VALUE"""),"Strong team with a strong vision well positioned to be market innovators.")</f>
        <v>Strong team with a strong vision well positioned to be market innovators.</v>
      </c>
      <c r="T60" s="437">
        <f ca="1">IFERROR(__xludf.DUMMYFUNCTION("""COMPUTED_VALUE"""),0)</f>
        <v>0</v>
      </c>
      <c r="U60" s="179" t="str">
        <f ca="1">IFERROR(__xludf.DUMMYFUNCTION("""COMPUTED_VALUE"""),"$1M-$5M")</f>
        <v>$1M-$5M</v>
      </c>
      <c r="V60" s="179">
        <f ca="1">IFERROR(__xludf.DUMMYFUNCTION("""COMPUTED_VALUE"""),5)</f>
        <v>5</v>
      </c>
      <c r="W60" s="179" t="str">
        <f ca="1">IFERROR(__xludf.DUMMYFUNCTION("""COMPUTED_VALUE"""),"Great platform with a strong team. Aside from fund raising, they seek to refine their strategy, business plan, and pitch. They seem to be well-positioned to make the most from EFL.")</f>
        <v>Great platform with a strong team. Aside from fund raising, they seek to refine their strategy, business plan, and pitch. They seem to be well-positioned to make the most from EFL.</v>
      </c>
    </row>
    <row r="61" spans="1:23">
      <c r="A61" s="179" t="str">
        <f ca="1">IFERROR(__xludf.DUMMYFUNCTION("""COMPUTED_VALUE"""),"R")</f>
        <v>R</v>
      </c>
      <c r="B61" s="436">
        <f ca="1">IFERROR(__xludf.DUMMYFUNCTION("""COMPUTED_VALUE"""),44789.9137658217)</f>
        <v>44789.913765821701</v>
      </c>
      <c r="C61" s="179" t="str">
        <f ca="1">IFERROR(__xludf.DUMMYFUNCTION("""COMPUTED_VALUE"""),"ahmed.bahgat@stern.nyu.edu")</f>
        <v>ahmed.bahgat@stern.nyu.edu</v>
      </c>
      <c r="D61" s="179" t="str">
        <f ca="1">IFERROR(__xludf.DUMMYFUNCTION("""COMPUTED_VALUE"""),"Ahmed Bahgat")</f>
        <v>Ahmed Bahgat</v>
      </c>
      <c r="E61" s="179" t="str">
        <f ca="1">IFERROR(__xludf.DUMMYFUNCTION("""COMPUTED_VALUE"""),"I have read and understand the confidentiality agreement for application reviewers.")</f>
        <v>I have read and understand the confidentiality agreement for application reviewers.</v>
      </c>
      <c r="F61" s="179" t="str">
        <f ca="1">IFERROR(__xludf.DUMMYFUNCTION("""COMPUTED_VALUE"""),"Safety Arms Systems")</f>
        <v>Safety Arms Systems</v>
      </c>
      <c r="G61" s="179" t="str">
        <f ca="1">IFERROR(__xludf.DUMMYFUNCTION("""COMPUTED_VALUE"""),"Technology system to remotely lock firearms. Smart gun technology is not new however this seems to be a new use case. ")</f>
        <v xml:space="preserve">Technology system to remotely lock firearms. Smart gun technology is not new however this seems to be a new use case. </v>
      </c>
      <c r="H61" s="179">
        <f ca="1">IFERROR(__xludf.DUMMYFUNCTION("""COMPUTED_VALUE"""),4)</f>
        <v>4</v>
      </c>
      <c r="I61" s="179">
        <f ca="1">IFERROR(__xludf.DUMMYFUNCTION("""COMPUTED_VALUE"""),2)</f>
        <v>2</v>
      </c>
      <c r="J61" s="179">
        <f ca="1">IFERROR(__xludf.DUMMYFUNCTION("""COMPUTED_VALUE"""),2)</f>
        <v>2</v>
      </c>
      <c r="K61" s="179">
        <f ca="1">IFERROR(__xludf.DUMMYFUNCTION("""COMPUTED_VALUE"""),4)</f>
        <v>4</v>
      </c>
      <c r="L61" s="179" t="str">
        <f ca="1">IFERROR(__xludf.DUMMYFUNCTION("""COMPUTED_VALUE"""),"Using Wi-Fi/cellular/motor for remote locking mechanism. Technology is not new but use case is. Prototype has been developed and to be beta tested by potential customers/law enforcement agency. Competitors seem to use biometrics or Bluetooth for locking m"&amp;"echanism.")</f>
        <v>Using Wi-Fi/cellular/motor for remote locking mechanism. Technology is not new but use case is. Prototype has been developed and to be beta tested by potential customers/law enforcement agency. Competitors seem to use biometrics or Bluetooth for locking mechanism.</v>
      </c>
      <c r="M61" s="179">
        <f ca="1">IFERROR(__xludf.DUMMYFUNCTION("""COMPUTED_VALUE"""),4)</f>
        <v>4</v>
      </c>
      <c r="N61" s="179">
        <f ca="1">IFERROR(__xludf.DUMMYFUNCTION("""COMPUTED_VALUE"""),3)</f>
        <v>3</v>
      </c>
      <c r="O61" s="179" t="str">
        <f ca="1">IFERROR(__xludf.DUMMYFUNCTION("""COMPUTED_VALUE"""),"Target market defined as all gun owners and law enforcement agencies. Five law enforcement agencies are interested in beta testing, which needs building of 50 AR-15s.")</f>
        <v>Target market defined as all gun owners and law enforcement agencies. Five law enforcement agencies are interested in beta testing, which needs building of 50 AR-15s.</v>
      </c>
      <c r="P61" s="179">
        <f ca="1">IFERROR(__xludf.DUMMYFUNCTION("""COMPUTED_VALUE"""),3)</f>
        <v>3</v>
      </c>
      <c r="Q61" s="179">
        <f ca="1">IFERROR(__xludf.DUMMYFUNCTION("""COMPUTED_VALUE"""),2)</f>
        <v>2</v>
      </c>
      <c r="R61" s="179">
        <f ca="1">IFERROR(__xludf.DUMMYFUNCTION("""COMPUTED_VALUE"""),5)</f>
        <v>5</v>
      </c>
      <c r="S61" s="179" t="str">
        <f ca="1">IFERROR(__xludf.DUMMYFUNCTION("""COMPUTED_VALUE"""),"From what I can tell, team background is mostly Police. Team/Advisors list provided in application seem to be different than team on the business's official website.")</f>
        <v>From what I can tell, team background is mostly Police. Team/Advisors list provided in application seem to be different than team on the business's official website.</v>
      </c>
      <c r="T61" s="437">
        <f ca="1">IFERROR(__xludf.DUMMYFUNCTION("""COMPUTED_VALUE"""),0)</f>
        <v>0</v>
      </c>
      <c r="U61" s="179" t="str">
        <f ca="1">IFERROR(__xludf.DUMMYFUNCTION("""COMPUTED_VALUE"""),"&gt;$5M")</f>
        <v>&gt;$5M</v>
      </c>
      <c r="V61" s="179">
        <f ca="1">IFERROR(__xludf.DUMMYFUNCTION("""COMPUTED_VALUE"""),3)</f>
        <v>3</v>
      </c>
      <c r="W61" s="179" t="str">
        <f ca="1">IFERROR(__xludf.DUMMYFUNCTION("""COMPUTED_VALUE"""),"Primary need is funding for beta testing and looking to learn about finance, marketing, and product refinement. From what I can tell, business is at an early stage to make the best use of EFL.  ")</f>
        <v xml:space="preserve">Primary need is funding for beta testing and looking to learn about finance, marketing, and product refinement. From what I can tell, business is at an early stage to make the best use of EFL.  </v>
      </c>
    </row>
    <row r="62" spans="1:23">
      <c r="A62" s="179" t="str">
        <f ca="1">IFERROR(__xludf.DUMMYFUNCTION("""COMPUTED_VALUE"""),"R")</f>
        <v>R</v>
      </c>
      <c r="B62" s="436">
        <f ca="1">IFERROR(__xludf.DUMMYFUNCTION("""COMPUTED_VALUE"""),44790.11589853)</f>
        <v>44790.115898529999</v>
      </c>
      <c r="C62" s="179" t="str">
        <f ca="1">IFERROR(__xludf.DUMMYFUNCTION("""COMPUTED_VALUE"""),"ahmed.bahgat@stern.nyu.edu")</f>
        <v>ahmed.bahgat@stern.nyu.edu</v>
      </c>
      <c r="D62" s="179" t="str">
        <f ca="1">IFERROR(__xludf.DUMMYFUNCTION("""COMPUTED_VALUE"""),"Ahmed Bahgat")</f>
        <v>Ahmed Bahgat</v>
      </c>
      <c r="E62" s="179" t="str">
        <f ca="1">IFERROR(__xludf.DUMMYFUNCTION("""COMPUTED_VALUE"""),"I have read and understand the confidentiality agreement for application reviewers.")</f>
        <v>I have read and understand the confidentiality agreement for application reviewers.</v>
      </c>
      <c r="F62" s="179" t="str">
        <f ca="1">IFERROR(__xludf.DUMMYFUNCTION("""COMPUTED_VALUE"""),"SAGEFirst, Inc.")</f>
        <v>SAGEFirst, Inc.</v>
      </c>
      <c r="G62" s="179" t="str">
        <f ca="1">IFERROR(__xludf.DUMMYFUNCTION("""COMPUTED_VALUE"""),"Cyber Security solution for windows operating systems offering permanent protection against worms, viruses, trojan horses and ransomware. While Cyber security has been a growing industry, this particular solution seeks to address a flaw in the windows ope"&amp;"rating system. However, windows proprietary aspects might prevent the development of a prototype.")</f>
        <v>Cyber Security solution for windows operating systems offering permanent protection against worms, viruses, trojan horses and ransomware. While Cyber security has been a growing industry, this particular solution seeks to address a flaw in the windows operating system. However, windows proprietary aspects might prevent the development of a prototype.</v>
      </c>
      <c r="H62" s="179">
        <f ca="1">IFERROR(__xludf.DUMMYFUNCTION("""COMPUTED_VALUE"""),1)</f>
        <v>1</v>
      </c>
      <c r="I62" s="179">
        <f ca="1">IFERROR(__xludf.DUMMYFUNCTION("""COMPUTED_VALUE"""),2)</f>
        <v>2</v>
      </c>
      <c r="J62" s="179">
        <f ca="1">IFERROR(__xludf.DUMMYFUNCTION("""COMPUTED_VALUE"""),1)</f>
        <v>1</v>
      </c>
      <c r="K62" s="179">
        <f ca="1">IFERROR(__xludf.DUMMYFUNCTION("""COMPUTED_VALUE"""),3)</f>
        <v>3</v>
      </c>
      <c r="L62" s="179" t="str">
        <f ca="1">IFERROR(__xludf.DUMMYFUNCTION("""COMPUTED_VALUE"""),"The technology solution here is ""Process Based Security"" whereby system resources (CPU &amp; operating system) are limited to predetermined applications rather than authorized users. It is stated that this is a fundamental flaw in windows systems. It is als"&amp;"o stated that proprietary aspects of Windows operating systems might stand in the way of developing a working prototype i.e. there is no existing prototype and there might not be one.")</f>
        <v>The technology solution here is "Process Based Security" whereby system resources (CPU &amp; operating system) are limited to predetermined applications rather than authorized users. It is stated that this is a fundamental flaw in windows systems. It is also stated that proprietary aspects of Windows operating systems might stand in the way of developing a working prototype i.e. there is no existing prototype and there might not be one.</v>
      </c>
      <c r="M62" s="179">
        <f ca="1">IFERROR(__xludf.DUMMYFUNCTION("""COMPUTED_VALUE"""),1)</f>
        <v>1</v>
      </c>
      <c r="N62" s="179">
        <f ca="1">IFERROR(__xludf.DUMMYFUNCTION("""COMPUTED_VALUE"""),1)</f>
        <v>1</v>
      </c>
      <c r="O62" s="179" t="str">
        <f ca="1">IFERROR(__xludf.DUMMYFUNCTION("""COMPUTED_VALUE"""),"It is stated that ""the status quo suits the industry just fine"" i.e. there is no customer pain point that is being resolved, it is that users are not aware of ""Process Based Security""")</f>
        <v>It is stated that "the status quo suits the industry just fine" i.e. there is no customer pain point that is being resolved, it is that users are not aware of "Process Based Security"</v>
      </c>
      <c r="P62" s="179">
        <f ca="1">IFERROR(__xludf.DUMMYFUNCTION("""COMPUTED_VALUE"""),1)</f>
        <v>1</v>
      </c>
      <c r="Q62" s="179">
        <f ca="1">IFERROR(__xludf.DUMMYFUNCTION("""COMPUTED_VALUE"""),1)</f>
        <v>1</v>
      </c>
      <c r="R62" s="179">
        <f ca="1">IFERROR(__xludf.DUMMYFUNCTION("""COMPUTED_VALUE"""),2)</f>
        <v>2</v>
      </c>
      <c r="S62" s="179" t="str">
        <f ca="1">IFERROR(__xludf.DUMMYFUNCTION("""COMPUTED_VALUE"""),"There is no vision provided rather an objective to resolve a flaw with the Windows operating system using ""Process Based Security"". ")</f>
        <v xml:space="preserve">There is no vision provided rather an objective to resolve a flaw with the Windows operating system using "Process Based Security". </v>
      </c>
      <c r="T62" s="437">
        <f ca="1">IFERROR(__xludf.DUMMYFUNCTION("""COMPUTED_VALUE"""),0)</f>
        <v>0</v>
      </c>
      <c r="U62" s="179" t="str">
        <f ca="1">IFERROR(__xludf.DUMMYFUNCTION("""COMPUTED_VALUE"""),"&gt;$5M")</f>
        <v>&gt;$5M</v>
      </c>
      <c r="V62" s="179">
        <f ca="1">IFERROR(__xludf.DUMMYFUNCTION("""COMPUTED_VALUE"""),1)</f>
        <v>1</v>
      </c>
      <c r="W62" s="179" t="str">
        <f ca="1">IFERROR(__xludf.DUMMYFUNCTION("""COMPUTED_VALUE"""),"There is no product offering. It seems that proprietary Windows operating system prevents them from developing a prototype. Doesn't seem to be well-positioned for EFL. ")</f>
        <v xml:space="preserve">There is no product offering. It seems that proprietary Windows operating system prevents them from developing a prototype. Doesn't seem to be well-positioned for EFL. </v>
      </c>
    </row>
    <row r="63" spans="1:23">
      <c r="A63" s="179" t="str">
        <f ca="1">IFERROR(__xludf.DUMMYFUNCTION("""COMPUTED_VALUE"""),"R")</f>
        <v>R</v>
      </c>
      <c r="B63" s="436">
        <f ca="1">IFERROR(__xludf.DUMMYFUNCTION("""COMPUTED_VALUE"""),44790.6197654861)</f>
        <v>44790.619765486103</v>
      </c>
      <c r="C63" s="179" t="str">
        <f ca="1">IFERROR(__xludf.DUMMYFUNCTION("""COMPUTED_VALUE"""),"ahmed.bahgat@stern.nyu.edu")</f>
        <v>ahmed.bahgat@stern.nyu.edu</v>
      </c>
      <c r="D63" s="179" t="str">
        <f ca="1">IFERROR(__xludf.DUMMYFUNCTION("""COMPUTED_VALUE"""),"Ahmed Bahgat")</f>
        <v>Ahmed Bahgat</v>
      </c>
      <c r="E63" s="179" t="str">
        <f ca="1">IFERROR(__xludf.DUMMYFUNCTION("""COMPUTED_VALUE"""),"I have read and understand the confidentiality agreement for application reviewers.")</f>
        <v>I have read and understand the confidentiality agreement for application reviewers.</v>
      </c>
      <c r="F63" s="179" t="str">
        <f ca="1">IFERROR(__xludf.DUMMYFUNCTION("""COMPUTED_VALUE"""),"SAGEMEDIC CORP.")</f>
        <v>SAGEMEDIC CORP.</v>
      </c>
      <c r="G63" s="179" t="str">
        <f ca="1">IFERROR(__xludf.DUMMYFUNCTION("""COMPUTED_VALUE"""),"Cancer Diagnostic Platform targeting cancer therapy where genomic therapy is least effective. Solution uses a patient's live biopsy to create hundreds of 3D tumor replicates in our lab to identify the most effective treatment within just one week. ")</f>
        <v xml:space="preserve">Cancer Diagnostic Platform targeting cancer therapy where genomic therapy is least effective. Solution uses a patient's live biopsy to create hundreds of 3D tumor replicates in our lab to identify the most effective treatment within just one week. </v>
      </c>
      <c r="H63" s="179">
        <f ca="1">IFERROR(__xludf.DUMMYFUNCTION("""COMPUTED_VALUE"""),5)</f>
        <v>5</v>
      </c>
      <c r="I63" s="179">
        <f ca="1">IFERROR(__xludf.DUMMYFUNCTION("""COMPUTED_VALUE"""),4)</f>
        <v>4</v>
      </c>
      <c r="J63" s="179">
        <f ca="1">IFERROR(__xludf.DUMMYFUNCTION("""COMPUTED_VALUE"""),4)</f>
        <v>4</v>
      </c>
      <c r="K63" s="179">
        <f ca="1">IFERROR(__xludf.DUMMYFUNCTION("""COMPUTED_VALUE"""),5)</f>
        <v>5</v>
      </c>
      <c r="L63" s="179" t="str">
        <f ca="1">IFERROR(__xludf.DUMMYFUNCTION("""COMPUTED_VALUE"""),"Technology needs funding for clinical trials, however they began ""commercialization and
simultaneously use the successes for patient outcome to generate real-world data evidence"". But this means that thus will currently not be covered by insurance and i"&amp;"t will only be feasible for patients that are able to pay out of pocket.")</f>
        <v>Technology needs funding for clinical trials, however they began "commercialization and
simultaneously use the successes for patient outcome to generate real-world data evidence". But this means that thus will currently not be covered by insurance and it will only be feasible for patients that are able to pay out of pocket.</v>
      </c>
      <c r="M63" s="179">
        <f ca="1">IFERROR(__xludf.DUMMYFUNCTION("""COMPUTED_VALUE"""),4)</f>
        <v>4</v>
      </c>
      <c r="N63" s="179">
        <f ca="1">IFERROR(__xludf.DUMMYFUNCTION("""COMPUTED_VALUE"""),2)</f>
        <v>2</v>
      </c>
      <c r="O63" s="179" t="str">
        <f ca="1">IFERROR(__xludf.DUMMYFUNCTION("""COMPUTED_VALUE"""),"Defined market as US Cancer Dx. Not clear about how revenue will be generated from this target market as stated expected revenue generation seem to be from ancillary activities.")</f>
        <v>Defined market as US Cancer Dx. Not clear about how revenue will be generated from this target market as stated expected revenue generation seem to be from ancillary activities.</v>
      </c>
      <c r="P63" s="179">
        <f ca="1">IFERROR(__xludf.DUMMYFUNCTION("""COMPUTED_VALUE"""),5)</f>
        <v>5</v>
      </c>
      <c r="Q63" s="179">
        <f ca="1">IFERROR(__xludf.DUMMYFUNCTION("""COMPUTED_VALUE"""),5)</f>
        <v>5</v>
      </c>
      <c r="R63" s="179">
        <f ca="1">IFERROR(__xludf.DUMMYFUNCTION("""COMPUTED_VALUE"""),5)</f>
        <v>5</v>
      </c>
      <c r="S63" s="179" t="str">
        <f ca="1">IFERROR(__xludf.DUMMYFUNCTION("""COMPUTED_VALUE"""),"Solid Team with a wealth of experience and strong advisors.")</f>
        <v>Solid Team with a wealth of experience and strong advisors.</v>
      </c>
      <c r="T63" s="179"/>
      <c r="U63" s="179" t="str">
        <f ca="1">IFERROR(__xludf.DUMMYFUNCTION("""COMPUTED_VALUE"""),"&gt;$5M")</f>
        <v>&gt;$5M</v>
      </c>
      <c r="V63" s="179">
        <f ca="1">IFERROR(__xludf.DUMMYFUNCTION("""COMPUTED_VALUE"""),4)</f>
        <v>4</v>
      </c>
      <c r="W63" s="179" t="str">
        <f ca="1">IFERROR(__xludf.DUMMYFUNCTION("""COMPUTED_VALUE"""),"Well positioned to really benefit from EFL. ")</f>
        <v xml:space="preserve">Well positioned to really benefit from EFL. </v>
      </c>
    </row>
    <row r="64" spans="1:23">
      <c r="A64" s="179" t="str">
        <f ca="1">IFERROR(__xludf.DUMMYFUNCTION("""COMPUTED_VALUE"""),"R")</f>
        <v>R</v>
      </c>
      <c r="B64" s="436">
        <f ca="1">IFERROR(__xludf.DUMMYFUNCTION("""COMPUTED_VALUE"""),44790.6669410069)</f>
        <v>44790.666941006901</v>
      </c>
      <c r="C64" s="179" t="str">
        <f ca="1">IFERROR(__xludf.DUMMYFUNCTION("""COMPUTED_VALUE"""),"ahmed.bahgat@stern.nyu.edu")</f>
        <v>ahmed.bahgat@stern.nyu.edu</v>
      </c>
      <c r="D64" s="179" t="str">
        <f ca="1">IFERROR(__xludf.DUMMYFUNCTION("""COMPUTED_VALUE"""),"Ahmed Bahgat")</f>
        <v>Ahmed Bahgat</v>
      </c>
      <c r="E64" s="179" t="str">
        <f ca="1">IFERROR(__xludf.DUMMYFUNCTION("""COMPUTED_VALUE"""),"I have read and understand the confidentiality agreement for application reviewers.")</f>
        <v>I have read and understand the confidentiality agreement for application reviewers.</v>
      </c>
      <c r="F64" s="179" t="str">
        <f ca="1">IFERROR(__xludf.DUMMYFUNCTION("""COMPUTED_VALUE"""),"Sahara Cloud")</f>
        <v>Sahara Cloud</v>
      </c>
      <c r="G64" s="179" t="str">
        <f ca="1">IFERROR(__xludf.DUMMYFUNCTION("""COMPUTED_VALUE"""),"Virtualization platform for hardware R&amp;D allowing R&amp;D teams to run both hardware and software tests on the same system. This is a growing industry nearing maturity.")</f>
        <v>Virtualization platform for hardware R&amp;D allowing R&amp;D teams to run both hardware and software tests on the same system. This is a growing industry nearing maturity.</v>
      </c>
      <c r="H64" s="179">
        <f ca="1">IFERROR(__xludf.DUMMYFUNCTION("""COMPUTED_VALUE"""),4)</f>
        <v>4</v>
      </c>
      <c r="I64" s="179">
        <f ca="1">IFERROR(__xludf.DUMMYFUNCTION("""COMPUTED_VALUE"""),2)</f>
        <v>2</v>
      </c>
      <c r="J64" s="179">
        <f ca="1">IFERROR(__xludf.DUMMYFUNCTION("""COMPUTED_VALUE"""),2)</f>
        <v>2</v>
      </c>
      <c r="K64" s="179">
        <f ca="1">IFERROR(__xludf.DUMMYFUNCTION("""COMPUTED_VALUE"""),5)</f>
        <v>5</v>
      </c>
      <c r="L64" s="179" t="str">
        <f ca="1">IFERROR(__xludf.DUMMYFUNCTION("""COMPUTED_VALUE"""),"Various technology solutions available in market (listed as competitors in application), cannot tell how this solution is unique, addresses a unique pain point, or addresses a specific under-served sector.")</f>
        <v>Various technology solutions available in market (listed as competitors in application), cannot tell how this solution is unique, addresses a unique pain point, or addresses a specific under-served sector.</v>
      </c>
      <c r="M64" s="179">
        <f ca="1">IFERROR(__xludf.DUMMYFUNCTION("""COMPUTED_VALUE"""),2)</f>
        <v>2</v>
      </c>
      <c r="N64" s="179">
        <f ca="1">IFERROR(__xludf.DUMMYFUNCTION("""COMPUTED_VALUE"""),1)</f>
        <v>1</v>
      </c>
      <c r="O64" s="179" t="str">
        <f ca="1">IFERROR(__xludf.DUMMYFUNCTION("""COMPUTED_VALUE"""),"Target market defined as all Hardware R&amp;D Value Chain and Enterprise EDA. Cannot tell how this solution can be differentiated from already established providers. working MVP seems to be available but no reference to customers mentioned.")</f>
        <v>Target market defined as all Hardware R&amp;D Value Chain and Enterprise EDA. Cannot tell how this solution can be differentiated from already established providers. working MVP seems to be available but no reference to customers mentioned.</v>
      </c>
      <c r="P64" s="179">
        <f ca="1">IFERROR(__xludf.DUMMYFUNCTION("""COMPUTED_VALUE"""),3)</f>
        <v>3</v>
      </c>
      <c r="Q64" s="179">
        <f ca="1">IFERROR(__xludf.DUMMYFUNCTION("""COMPUTED_VALUE"""),2)</f>
        <v>2</v>
      </c>
      <c r="R64" s="179">
        <f ca="1">IFERROR(__xludf.DUMMYFUNCTION("""COMPUTED_VALUE"""),3)</f>
        <v>3</v>
      </c>
      <c r="S64" s="179" t="str">
        <f ca="1">IFERROR(__xludf.DUMMYFUNCTION("""COMPUTED_VALUE"""),"Team qualifications not specified on their website but gauging from application team seems to have the right experience to develop this solution but cannot gauge how strong they are.")</f>
        <v>Team qualifications not specified on their website but gauging from application team seems to have the right experience to develop this solution but cannot gauge how strong they are.</v>
      </c>
      <c r="T64" s="179"/>
      <c r="U64" s="179" t="str">
        <f ca="1">IFERROR(__xludf.DUMMYFUNCTION("""COMPUTED_VALUE"""),"$1M-$5M")</f>
        <v>$1M-$5M</v>
      </c>
      <c r="V64" s="179">
        <f ca="1">IFERROR(__xludf.DUMMYFUNCTION("""COMPUTED_VALUE"""),3)</f>
        <v>3</v>
      </c>
      <c r="W64" s="179" t="str">
        <f ca="1">IFERROR(__xludf.DUMMYFUNCTION("""COMPUTED_VALUE"""),"Difficult to gauge the efficacy or uniqueness of solution (working MVP but no customers have tested it) given competitors have an established presence. Maybe its too early for the business to take full advantage of EFL.")</f>
        <v>Difficult to gauge the efficacy or uniqueness of solution (working MVP but no customers have tested it) given competitors have an established presence. Maybe its too early for the business to take full advantage of EFL.</v>
      </c>
    </row>
    <row r="65" spans="1:23">
      <c r="A65" s="179" t="str">
        <f ca="1">IFERROR(__xludf.DUMMYFUNCTION("""COMPUTED_VALUE"""),"R")</f>
        <v>R</v>
      </c>
      <c r="B65" s="436">
        <f ca="1">IFERROR(__xludf.DUMMYFUNCTION("""COMPUTED_VALUE"""),44790.7131935763)</f>
        <v>44790.713193576303</v>
      </c>
      <c r="C65" s="179" t="str">
        <f ca="1">IFERROR(__xludf.DUMMYFUNCTION("""COMPUTED_VALUE"""),"cm6077@stern.nyu.edu")</f>
        <v>cm6077@stern.nyu.edu</v>
      </c>
      <c r="D65" s="179" t="str">
        <f ca="1">IFERROR(__xludf.DUMMYFUNCTION("""COMPUTED_VALUE"""),"Chris Millisits")</f>
        <v>Chris Millisits</v>
      </c>
      <c r="E65" s="179" t="str">
        <f ca="1">IFERROR(__xludf.DUMMYFUNCTION("""COMPUTED_VALUE"""),"I have read and understand the confidentiality agreement for application reviewers.")</f>
        <v>I have read and understand the confidentiality agreement for application reviewers.</v>
      </c>
      <c r="F65" s="179" t="str">
        <f ca="1">IFERROR(__xludf.DUMMYFUNCTION("""COMPUTED_VALUE"""),"Nat4Bio")</f>
        <v>Nat4Bio</v>
      </c>
      <c r="G65" s="179" t="str">
        <f ca="1">IFERROR(__xludf.DUMMYFUNCTION("""COMPUTED_VALUE"""),"Using a fermentation-based process to develop biological coatings to protect fruits and vegetables from spoilage and decay / Foodtech / Seed (pre-revenue, in pilot)")</f>
        <v>Using a fermentation-based process to develop biological coatings to protect fruits and vegetables from spoilage and decay / Foodtech / Seed (pre-revenue, in pilot)</v>
      </c>
      <c r="H65" s="179">
        <f ca="1">IFERROR(__xludf.DUMMYFUNCTION("""COMPUTED_VALUE"""),4)</f>
        <v>4</v>
      </c>
      <c r="I65" s="179">
        <f ca="1">IFERROR(__xludf.DUMMYFUNCTION("""COMPUTED_VALUE"""),3)</f>
        <v>3</v>
      </c>
      <c r="J65" s="179">
        <f ca="1">IFERROR(__xludf.DUMMYFUNCTION("""COMPUTED_VALUE"""),4)</f>
        <v>4</v>
      </c>
      <c r="K65" s="179">
        <f ca="1">IFERROR(__xludf.DUMMYFUNCTION("""COMPUTED_VALUE"""),4)</f>
        <v>4</v>
      </c>
      <c r="L65" s="179" t="str">
        <f ca="1">IFERROR(__xludf.DUMMYFUNCTION("""COMPUTED_VALUE"""),"Unsure of the novelty of the approach.")</f>
        <v>Unsure of the novelty of the approach.</v>
      </c>
      <c r="M65" s="179">
        <f ca="1">IFERROR(__xludf.DUMMYFUNCTION("""COMPUTED_VALUE"""),3)</f>
        <v>3</v>
      </c>
      <c r="N65" s="179">
        <f ca="1">IFERROR(__xludf.DUMMYFUNCTION("""COMPUTED_VALUE"""),2)</f>
        <v>2</v>
      </c>
      <c r="O65" s="179" t="str">
        <f ca="1">IFERROR(__xludf.DUMMYFUNCTION("""COMPUTED_VALUE"""),"$3.5b market, but competitors abound. Is the Nat4Bio formulation in the sweet spot that packers are looking for?")</f>
        <v>$3.5b market, but competitors abound. Is the Nat4Bio formulation in the sweet spot that packers are looking for?</v>
      </c>
      <c r="P65" s="179">
        <f ca="1">IFERROR(__xludf.DUMMYFUNCTION("""COMPUTED_VALUE"""),3)</f>
        <v>3</v>
      </c>
      <c r="Q65" s="179">
        <f ca="1">IFERROR(__xludf.DUMMYFUNCTION("""COMPUTED_VALUE"""),2)</f>
        <v>2</v>
      </c>
      <c r="R65" s="179">
        <f ca="1">IFERROR(__xludf.DUMMYFUNCTION("""COMPUTED_VALUE"""),3)</f>
        <v>3</v>
      </c>
      <c r="S65" s="179" t="str">
        <f ca="1">IFERROR(__xludf.DUMMYFUNCTION("""COMPUTED_VALUE"""),"Vision is shared by many competitors in the space (biological coatings versus synthetic). Founders have not started a startup before but have multiple PhDs in relevant industries (industrial engineering, biochemistry, biological sciences).")</f>
        <v>Vision is shared by many competitors in the space (biological coatings versus synthetic). Founders have not started a startup before but have multiple PhDs in relevant industries (industrial engineering, biochemistry, biological sciences).</v>
      </c>
      <c r="T65" s="437">
        <f ca="1">IFERROR(__xludf.DUMMYFUNCTION("""COMPUTED_VALUE"""),725000)</f>
        <v>725000</v>
      </c>
      <c r="U65" s="179" t="str">
        <f ca="1">IFERROR(__xludf.DUMMYFUNCTION("""COMPUTED_VALUE"""),"$1M-$5M")</f>
        <v>$1M-$5M</v>
      </c>
      <c r="V65" s="179">
        <f ca="1">IFERROR(__xludf.DUMMYFUNCTION("""COMPUTED_VALUE"""),3)</f>
        <v>3</v>
      </c>
      <c r="W65" s="179" t="str">
        <f ca="1">IFERROR(__xludf.DUMMYFUNCTION("""COMPUTED_VALUE"""),"There is a problem here, but the market is not huge and there are many competitors in the space. Doesn't seem to be revolutionary Deep Tech, seems that B2B sales to packers is the unlock here. The founding team has 3 PhDs but mostly research experience. W"&amp;"ould have like to see a better balance between scientists and businesspeople.")</f>
        <v>There is a problem here, but the market is not huge and there are many competitors in the space. Doesn't seem to be revolutionary Deep Tech, seems that B2B sales to packers is the unlock here. The founding team has 3 PhDs but mostly research experience. Would have like to see a better balance between scientists and businesspeople.</v>
      </c>
    </row>
    <row r="66" spans="1:23">
      <c r="A66" s="179" t="str">
        <f ca="1">IFERROR(__xludf.DUMMYFUNCTION("""COMPUTED_VALUE"""),"R")</f>
        <v>R</v>
      </c>
      <c r="B66" s="436">
        <f ca="1">IFERROR(__xludf.DUMMYFUNCTION("""COMPUTED_VALUE"""),44790.7239186226)</f>
        <v>44790.7239186226</v>
      </c>
      <c r="C66" s="179" t="str">
        <f ca="1">IFERROR(__xludf.DUMMYFUNCTION("""COMPUTED_VALUE"""),"cm6077@stern.nyu.edu")</f>
        <v>cm6077@stern.nyu.edu</v>
      </c>
      <c r="D66" s="179" t="str">
        <f ca="1">IFERROR(__xludf.DUMMYFUNCTION("""COMPUTED_VALUE"""),"Chris Millisits")</f>
        <v>Chris Millisits</v>
      </c>
      <c r="E66" s="179" t="str">
        <f ca="1">IFERROR(__xludf.DUMMYFUNCTION("""COMPUTED_VALUE"""),"I have read and understand the confidentiality agreement for application reviewers.")</f>
        <v>I have read and understand the confidentiality agreement for application reviewers.</v>
      </c>
      <c r="F66" s="179" t="str">
        <f ca="1">IFERROR(__xludf.DUMMYFUNCTION("""COMPUTED_VALUE"""),"Ndal Mfg Inc, Dba Ndal Biofilm Medical Group")</f>
        <v>Ndal Mfg Inc, Dba Ndal Biofilm Medical Group</v>
      </c>
      <c r="G66" s="179" t="str">
        <f ca="1">IFERROR(__xludf.DUMMYFUNCTION("""COMPUTED_VALUE"""),"A drug that can be added to antibiotics and allergy medicine to increase effectiveness by reducing biofilm / Pharma / Seed")</f>
        <v>A drug that can be added to antibiotics and allergy medicine to increase effectiveness by reducing biofilm / Pharma / Seed</v>
      </c>
      <c r="H66" s="179">
        <f ca="1">IFERROR(__xludf.DUMMYFUNCTION("""COMPUTED_VALUE"""),2)</f>
        <v>2</v>
      </c>
      <c r="I66" s="179">
        <f ca="1">IFERROR(__xludf.DUMMYFUNCTION("""COMPUTED_VALUE"""),2)</f>
        <v>2</v>
      </c>
      <c r="J66" s="179">
        <f ca="1">IFERROR(__xludf.DUMMYFUNCTION("""COMPUTED_VALUE"""),2)</f>
        <v>2</v>
      </c>
      <c r="K66" s="179">
        <f ca="1">IFERROR(__xludf.DUMMYFUNCTION("""COMPUTED_VALUE"""),3)</f>
        <v>3</v>
      </c>
      <c r="L66" s="179" t="str">
        <f ca="1">IFERROR(__xludf.DUMMYFUNCTION("""COMPUTED_VALUE"""),"The drug is cited as a solution for multiple ailments (see the ""What is your scientific or technological innovation?"" section). Use as a nasal spray, as an antibiotic, and to fight diabetes-related topical issues are mentioned.")</f>
        <v>The drug is cited as a solution for multiple ailments (see the "What is your scientific or technological innovation?" section). Use as a nasal spray, as an antibiotic, and to fight diabetes-related topical issues are mentioned.</v>
      </c>
      <c r="M66" s="179">
        <f ca="1">IFERROR(__xludf.DUMMYFUNCTION("""COMPUTED_VALUE"""),3)</f>
        <v>3</v>
      </c>
      <c r="N66" s="179">
        <f ca="1">IFERROR(__xludf.DUMMYFUNCTION("""COMPUTED_VALUE"""),3)</f>
        <v>3</v>
      </c>
      <c r="O66" s="179" t="str">
        <f ca="1">IFERROR(__xludf.DUMMYFUNCTION("""COMPUTED_VALUE"""),"500+ customers generating $8m revenue (but all in unregulated OTC markets). Expecting US commercialization in 2024-25")</f>
        <v>500+ customers generating $8m revenue (but all in unregulated OTC markets). Expecting US commercialization in 2024-25</v>
      </c>
      <c r="P66" s="179">
        <f ca="1">IFERROR(__xludf.DUMMYFUNCTION("""COMPUTED_VALUE"""),2)</f>
        <v>2</v>
      </c>
      <c r="Q66" s="179">
        <f ca="1">IFERROR(__xludf.DUMMYFUNCTION("""COMPUTED_VALUE"""),1)</f>
        <v>1</v>
      </c>
      <c r="R66" s="179">
        <f ca="1">IFERROR(__xludf.DUMMYFUNCTION("""COMPUTED_VALUE"""),1)</f>
        <v>1</v>
      </c>
      <c r="S66" s="179" t="str">
        <f ca="1">IFERROR(__xludf.DUMMYFUNCTION("""COMPUTED_VALUE"""),"Vision is unclear, covers a lot of bases. Both founders are self-taught in the study of sinuses and they provided no LinkedIn.")</f>
        <v>Vision is unclear, covers a lot of bases. Both founders are self-taught in the study of sinuses and they provided no LinkedIn.</v>
      </c>
      <c r="T66" s="437">
        <f ca="1">IFERROR(__xludf.DUMMYFUNCTION("""COMPUTED_VALUE"""),650000)</f>
        <v>650000</v>
      </c>
      <c r="U66" s="179" t="str">
        <f ca="1">IFERROR(__xludf.DUMMYFUNCTION("""COMPUTED_VALUE"""),"$1M-$5M")</f>
        <v>$1M-$5M</v>
      </c>
      <c r="V66" s="179">
        <f ca="1">IFERROR(__xludf.DUMMYFUNCTION("""COMPUTED_VALUE"""),1)</f>
        <v>1</v>
      </c>
      <c r="W66" s="179" t="str">
        <f ca="1">IFERROR(__xludf.DUMMYFUNCTION("""COMPUTED_VALUE"""),"Struggled to articulate what their product does. No formal medical background in the team. Cited many use cases for their drug, which highlights the generally unfocused nature of this company and application.")</f>
        <v>Struggled to articulate what their product does. No formal medical background in the team. Cited many use cases for their drug, which highlights the generally unfocused nature of this company and application.</v>
      </c>
    </row>
    <row r="67" spans="1:23">
      <c r="A67" s="179" t="str">
        <f ca="1">IFERROR(__xludf.DUMMYFUNCTION("""COMPUTED_VALUE"""),"R")</f>
        <v>R</v>
      </c>
      <c r="B67" s="436">
        <f ca="1">IFERROR(__xludf.DUMMYFUNCTION("""COMPUTED_VALUE"""),44790.7246621412)</f>
        <v>44790.724662141198</v>
      </c>
      <c r="C67" s="179" t="str">
        <f ca="1">IFERROR(__xludf.DUMMYFUNCTION("""COMPUTED_VALUE"""),"cm6077@stern.nyu.edu")</f>
        <v>cm6077@stern.nyu.edu</v>
      </c>
      <c r="D67" s="179" t="str">
        <f ca="1">IFERROR(__xludf.DUMMYFUNCTION("""COMPUTED_VALUE"""),"Chris Millisits")</f>
        <v>Chris Millisits</v>
      </c>
      <c r="E67" s="179" t="str">
        <f ca="1">IFERROR(__xludf.DUMMYFUNCTION("""COMPUTED_VALUE"""),"I have read and understand the confidentiality agreement for application reviewers.")</f>
        <v>I have read and understand the confidentiality agreement for application reviewers.</v>
      </c>
      <c r="F67" s="179" t="str">
        <f ca="1">IFERROR(__xludf.DUMMYFUNCTION("""COMPUTED_VALUE"""),"Ndal Mfg Inc., Biofilm Medical")</f>
        <v>Ndal Mfg Inc., Biofilm Medical</v>
      </c>
      <c r="G67" s="179" t="str">
        <f ca="1">IFERROR(__xludf.DUMMYFUNCTION("""COMPUTED_VALUE"""),"This is a duplicate")</f>
        <v>This is a duplicate</v>
      </c>
      <c r="H67" s="179">
        <f ca="1">IFERROR(__xludf.DUMMYFUNCTION("""COMPUTED_VALUE"""),1)</f>
        <v>1</v>
      </c>
      <c r="I67" s="179">
        <f ca="1">IFERROR(__xludf.DUMMYFUNCTION("""COMPUTED_VALUE"""),1)</f>
        <v>1</v>
      </c>
      <c r="J67" s="179">
        <f ca="1">IFERROR(__xludf.DUMMYFUNCTION("""COMPUTED_VALUE"""),1)</f>
        <v>1</v>
      </c>
      <c r="K67" s="179">
        <f ca="1">IFERROR(__xludf.DUMMYFUNCTION("""COMPUTED_VALUE"""),1)</f>
        <v>1</v>
      </c>
      <c r="L67" s="179"/>
      <c r="M67" s="179">
        <f ca="1">IFERROR(__xludf.DUMMYFUNCTION("""COMPUTED_VALUE"""),1)</f>
        <v>1</v>
      </c>
      <c r="N67" s="179">
        <f ca="1">IFERROR(__xludf.DUMMYFUNCTION("""COMPUTED_VALUE"""),1)</f>
        <v>1</v>
      </c>
      <c r="O67" s="179"/>
      <c r="P67" s="179">
        <f ca="1">IFERROR(__xludf.DUMMYFUNCTION("""COMPUTED_VALUE"""),1)</f>
        <v>1</v>
      </c>
      <c r="Q67" s="179">
        <f ca="1">IFERROR(__xludf.DUMMYFUNCTION("""COMPUTED_VALUE"""),1)</f>
        <v>1</v>
      </c>
      <c r="R67" s="179">
        <f ca="1">IFERROR(__xludf.DUMMYFUNCTION("""COMPUTED_VALUE"""),1)</f>
        <v>1</v>
      </c>
      <c r="S67" s="179"/>
      <c r="T67" s="179"/>
      <c r="U67" s="179" t="str">
        <f ca="1">IFERROR(__xludf.DUMMYFUNCTION("""COMPUTED_VALUE"""),"$0")</f>
        <v>$0</v>
      </c>
      <c r="V67" s="179">
        <f ca="1">IFERROR(__xludf.DUMMYFUNCTION("""COMPUTED_VALUE"""),1)</f>
        <v>1</v>
      </c>
      <c r="W67" s="179" t="str">
        <f ca="1">IFERROR(__xludf.DUMMYFUNCTION("""COMPUTED_VALUE"""),"Duplicate application with Ndal Mfg Inc, Dba Ndal Biofilm Medical Group")</f>
        <v>Duplicate application with Ndal Mfg Inc, Dba Ndal Biofilm Medical Group</v>
      </c>
    </row>
    <row r="68" spans="1:23">
      <c r="A68" s="179" t="str">
        <f ca="1">IFERROR(__xludf.DUMMYFUNCTION("""COMPUTED_VALUE"""),"R")</f>
        <v>R</v>
      </c>
      <c r="B68" s="436">
        <f ca="1">IFERROR(__xludf.DUMMYFUNCTION("""COMPUTED_VALUE"""),44790.7372437384)</f>
        <v>44790.737243738397</v>
      </c>
      <c r="C68" s="179" t="str">
        <f ca="1">IFERROR(__xludf.DUMMYFUNCTION("""COMPUTED_VALUE"""),"cm6077@stern.nyu.edu")</f>
        <v>cm6077@stern.nyu.edu</v>
      </c>
      <c r="D68" s="179" t="str">
        <f ca="1">IFERROR(__xludf.DUMMYFUNCTION("""COMPUTED_VALUE"""),"Chris Millisits")</f>
        <v>Chris Millisits</v>
      </c>
      <c r="E68" s="179" t="str">
        <f ca="1">IFERROR(__xludf.DUMMYFUNCTION("""COMPUTED_VALUE"""),"I have read and understand the confidentiality agreement for application reviewers.")</f>
        <v>I have read and understand the confidentiality agreement for application reviewers.</v>
      </c>
      <c r="F68" s="179" t="str">
        <f ca="1">IFERROR(__xludf.DUMMYFUNCTION("""COMPUTED_VALUE"""),"NEATCap Medical LLC")</f>
        <v>NEATCap Medical LLC</v>
      </c>
      <c r="G68" s="179" t="str">
        <f ca="1">IFERROR(__xludf.DUMMYFUNCTION("""COMPUTED_VALUE"""),"Providing advanced hearing protection for neonatal infants to improve their quality of sleep. Other use cases include medical transport and for children getting MRIs / Wearable / Seed")</f>
        <v>Providing advanced hearing protection for neonatal infants to improve their quality of sleep. Other use cases include medical transport and for children getting MRIs / Wearable / Seed</v>
      </c>
      <c r="H68" s="179">
        <f ca="1">IFERROR(__xludf.DUMMYFUNCTION("""COMPUTED_VALUE"""),3)</f>
        <v>3</v>
      </c>
      <c r="I68" s="179">
        <f ca="1">IFERROR(__xludf.DUMMYFUNCTION("""COMPUTED_VALUE"""),1)</f>
        <v>1</v>
      </c>
      <c r="J68" s="179">
        <f ca="1">IFERROR(__xludf.DUMMYFUNCTION("""COMPUTED_VALUE"""),3)</f>
        <v>3</v>
      </c>
      <c r="K68" s="179">
        <f ca="1">IFERROR(__xludf.DUMMYFUNCTION("""COMPUTED_VALUE"""),3)</f>
        <v>3</v>
      </c>
      <c r="L68" s="179" t="str">
        <f ca="1">IFERROR(__xludf.DUMMYFUNCTION("""COMPUTED_VALUE"""),"The technology is better earmuffs for babies. Does not seem particularly novel or defensible, despite patents pending.")</f>
        <v>The technology is better earmuffs for babies. Does not seem particularly novel or defensible, despite patents pending.</v>
      </c>
      <c r="M68" s="179">
        <f ca="1">IFERROR(__xludf.DUMMYFUNCTION("""COMPUTED_VALUE"""),2)</f>
        <v>2</v>
      </c>
      <c r="N68" s="179">
        <f ca="1">IFERROR(__xludf.DUMMYFUNCTION("""COMPUTED_VALUE"""),2)</f>
        <v>2</v>
      </c>
      <c r="O68" s="179" t="str">
        <f ca="1">IFERROR(__xludf.DUMMYFUNCTION("""COMPUTED_VALUE"""),"Approximately $5K/month in revenue pre-launch for the NICU and MRI products. Cites TAM as only $1B for the 3 products.")</f>
        <v>Approximately $5K/month in revenue pre-launch for the NICU and MRI products. Cites TAM as only $1B for the 3 products.</v>
      </c>
      <c r="P68" s="179">
        <f ca="1">IFERROR(__xludf.DUMMYFUNCTION("""COMPUTED_VALUE"""),3)</f>
        <v>3</v>
      </c>
      <c r="Q68" s="179">
        <f ca="1">IFERROR(__xludf.DUMMYFUNCTION("""COMPUTED_VALUE"""),2)</f>
        <v>2</v>
      </c>
      <c r="R68" s="179">
        <f ca="1">IFERROR(__xludf.DUMMYFUNCTION("""COMPUTED_VALUE"""),3)</f>
        <v>3</v>
      </c>
      <c r="S68" s="179" t="str">
        <f ca="1">IFERROR(__xludf.DUMMYFUNCTION("""COMPUTED_VALUE"""),"Didn't provide LinkedIn information, so relied on their self-supplied backgrounds and Google diligence. Good neonatal experience on the team. Previous exit by Managing Partner cited but hard to validate that it was a success. Other than that his experienc"&amp;"e is BD-heavy across many industries.")</f>
        <v>Didn't provide LinkedIn information, so relied on their self-supplied backgrounds and Google diligence. Good neonatal experience on the team. Previous exit by Managing Partner cited but hard to validate that it was a success. Other than that his experience is BD-heavy across many industries.</v>
      </c>
      <c r="T68" s="437">
        <f ca="1">IFERROR(__xludf.DUMMYFUNCTION("""COMPUTED_VALUE"""),500000)</f>
        <v>500000</v>
      </c>
      <c r="U68" s="179" t="str">
        <f ca="1">IFERROR(__xludf.DUMMYFUNCTION("""COMPUTED_VALUE"""),"$500K-$1M")</f>
        <v>$500K-$1M</v>
      </c>
      <c r="V68" s="179">
        <f ca="1">IFERROR(__xludf.DUMMYFUNCTION("""COMPUTED_VALUE"""),2)</f>
        <v>2</v>
      </c>
      <c r="W68" s="179" t="str">
        <f ca="1">IFERROR(__xludf.DUMMYFUNCTION("""COMPUTED_VALUE"""),"Largely worried about the defensibility of this tech. Some traction, but worried about lack of focus given 3 products producing only $5 revenue. Neonatal experience on the team, but limited business experience across the team.
Is it a concern this is sti"&amp;"ll an LLC?")</f>
        <v>Largely worried about the defensibility of this tech. Some traction, but worried about lack of focus given 3 products producing only $5 revenue. Neonatal experience on the team, but limited business experience across the team.
Is it a concern this is still an LLC?</v>
      </c>
    </row>
    <row r="69" spans="1:23">
      <c r="A69" s="179" t="str">
        <f ca="1">IFERROR(__xludf.DUMMYFUNCTION("""COMPUTED_VALUE"""),"R")</f>
        <v>R</v>
      </c>
      <c r="B69" s="436">
        <f ca="1">IFERROR(__xludf.DUMMYFUNCTION("""COMPUTED_VALUE"""),44790.7497634143)</f>
        <v>44790.7497634143</v>
      </c>
      <c r="C69" s="179" t="str">
        <f ca="1">IFERROR(__xludf.DUMMYFUNCTION("""COMPUTED_VALUE"""),"cm6077@stern.nyu.edu")</f>
        <v>cm6077@stern.nyu.edu</v>
      </c>
      <c r="D69" s="179" t="str">
        <f ca="1">IFERROR(__xludf.DUMMYFUNCTION("""COMPUTED_VALUE"""),"Chris Millisits")</f>
        <v>Chris Millisits</v>
      </c>
      <c r="E69" s="179" t="str">
        <f ca="1">IFERROR(__xludf.DUMMYFUNCTION("""COMPUTED_VALUE"""),"I have read and understand the confidentiality agreement for application reviewers.")</f>
        <v>I have read and understand the confidentiality agreement for application reviewers.</v>
      </c>
      <c r="F69" s="179" t="str">
        <f ca="1">IFERROR(__xludf.DUMMYFUNCTION("""COMPUTED_VALUE"""),"Nebula Accounting")</f>
        <v>Nebula Accounting</v>
      </c>
      <c r="G69" s="179" t="str">
        <f ca="1">IFERROR(__xludf.DUMMYFUNCTION("""COMPUTED_VALUE"""),"Accounting software for micro-businesses and self-employed by leveraging machine/deep learning, AI OCR and robotic process automation / SMB Finance /")</f>
        <v>Accounting software for micro-businesses and self-employed by leveraging machine/deep learning, AI OCR and robotic process automation / SMB Finance /</v>
      </c>
      <c r="H69" s="179">
        <f ca="1">IFERROR(__xludf.DUMMYFUNCTION("""COMPUTED_VALUE"""),3)</f>
        <v>3</v>
      </c>
      <c r="I69" s="179">
        <f ca="1">IFERROR(__xludf.DUMMYFUNCTION("""COMPUTED_VALUE"""),1)</f>
        <v>1</v>
      </c>
      <c r="J69" s="179">
        <f ca="1">IFERROR(__xludf.DUMMYFUNCTION("""COMPUTED_VALUE"""),2)</f>
        <v>2</v>
      </c>
      <c r="K69" s="179">
        <f ca="1">IFERROR(__xludf.DUMMYFUNCTION("""COMPUTED_VALUE"""),1)</f>
        <v>1</v>
      </c>
      <c r="L69" s="179" t="str">
        <f ca="1">IFERROR(__xludf.DUMMYFUNCTION("""COMPUTED_VALUE"""),"Using technology for accounting and using AI for business process automation are both well-worn paths. SMBs have plenty of great cloud accounting software options today.")</f>
        <v>Using technology for accounting and using AI for business process automation are both well-worn paths. SMBs have plenty of great cloud accounting software options today.</v>
      </c>
      <c r="M69" s="179">
        <f ca="1">IFERROR(__xludf.DUMMYFUNCTION("""COMPUTED_VALUE"""),4)</f>
        <v>4</v>
      </c>
      <c r="N69" s="179">
        <f ca="1">IFERROR(__xludf.DUMMYFUNCTION("""COMPUTED_VALUE"""),1)</f>
        <v>1</v>
      </c>
      <c r="O69" s="179" t="str">
        <f ca="1">IFERROR(__xludf.DUMMYFUNCTION("""COMPUTED_VALUE"""),"Pre-revenue, so no customer validation for their thesis, which is that businesses would prefer their AI-enabled solution to existing and well-adopted solutions..")</f>
        <v>Pre-revenue, so no customer validation for their thesis, which is that businesses would prefer their AI-enabled solution to existing and well-adopted solutions..</v>
      </c>
      <c r="P69" s="179">
        <f ca="1">IFERROR(__xludf.DUMMYFUNCTION("""COMPUTED_VALUE"""),2)</f>
        <v>2</v>
      </c>
      <c r="Q69" s="179">
        <f ca="1">IFERROR(__xludf.DUMMYFUNCTION("""COMPUTED_VALUE"""),1)</f>
        <v>1</v>
      </c>
      <c r="R69" s="179">
        <f ca="1">IFERROR(__xludf.DUMMYFUNCTION("""COMPUTED_VALUE"""),2)</f>
        <v>2</v>
      </c>
      <c r="S69" s="179" t="str">
        <f ca="1">IFERROR(__xludf.DUMMYFUNCTION("""COMPUTED_VALUE"""),"Accountant building an accounting platform. Doesn't seem to have relevant AI experience.")</f>
        <v>Accountant building an accounting platform. Doesn't seem to have relevant AI experience.</v>
      </c>
      <c r="T69" s="437">
        <f ca="1">IFERROR(__xludf.DUMMYFUNCTION("""COMPUTED_VALUE"""),0)</f>
        <v>0</v>
      </c>
      <c r="U69" s="179" t="str">
        <f ca="1">IFERROR(__xludf.DUMMYFUNCTION("""COMPUTED_VALUE"""),"&lt;$500K")</f>
        <v>&lt;$500K</v>
      </c>
      <c r="V69" s="179">
        <f ca="1">IFERROR(__xludf.DUMMYFUNCTION("""COMPUTED_VALUE"""),1)</f>
        <v>1</v>
      </c>
      <c r="W69" s="179" t="str">
        <f ca="1">IFERROR(__xludf.DUMMYFUNCTION("""COMPUTED_VALUE"""),"Hyper competitive industry. Founder has limited work experience, especially in AI.")</f>
        <v>Hyper competitive industry. Founder has limited work experience, especially in AI.</v>
      </c>
    </row>
    <row r="70" spans="1:23">
      <c r="A70" s="179" t="str">
        <f ca="1">IFERROR(__xludf.DUMMYFUNCTION("""COMPUTED_VALUE"""),"R")</f>
        <v>R</v>
      </c>
      <c r="B70" s="436">
        <f ca="1">IFERROR(__xludf.DUMMYFUNCTION("""COMPUTED_VALUE"""),44790.7654211921)</f>
        <v>44790.765421192104</v>
      </c>
      <c r="C70" s="179" t="str">
        <f ca="1">IFERROR(__xludf.DUMMYFUNCTION("""COMPUTED_VALUE"""),"cm6077@stern.nyu.edu")</f>
        <v>cm6077@stern.nyu.edu</v>
      </c>
      <c r="D70" s="179" t="str">
        <f ca="1">IFERROR(__xludf.DUMMYFUNCTION("""COMPUTED_VALUE"""),"Chris Millisits")</f>
        <v>Chris Millisits</v>
      </c>
      <c r="E70" s="179" t="str">
        <f ca="1">IFERROR(__xludf.DUMMYFUNCTION("""COMPUTED_VALUE"""),"I have read and understand the confidentiality agreement for application reviewers.")</f>
        <v>I have read and understand the confidentiality agreement for application reviewers.</v>
      </c>
      <c r="F70" s="179" t="str">
        <f ca="1">IFERROR(__xludf.DUMMYFUNCTION("""COMPUTED_VALUE"""),"NemaGen Discoveries, INC")</f>
        <v>NemaGen Discoveries, INC</v>
      </c>
      <c r="G70" s="179" t="str">
        <f ca="1">IFERROR(__xludf.DUMMYFUNCTION("""COMPUTED_VALUE"""),"NemaGen Discoveries is an early phase biotech company focused on advancing therapies for patients suffering from allergic inflammation and mast cell-related diseases / Biotech / ")</f>
        <v xml:space="preserve">NemaGen Discoveries is an early phase biotech company focused on advancing therapies for patients suffering from allergic inflammation and mast cell-related diseases / Biotech / </v>
      </c>
      <c r="H70" s="179">
        <f ca="1">IFERROR(__xludf.DUMMYFUNCTION("""COMPUTED_VALUE"""),4)</f>
        <v>4</v>
      </c>
      <c r="I70" s="179">
        <f ca="1">IFERROR(__xludf.DUMMYFUNCTION("""COMPUTED_VALUE"""),4)</f>
        <v>4</v>
      </c>
      <c r="J70" s="179">
        <f ca="1">IFERROR(__xludf.DUMMYFUNCTION("""COMPUTED_VALUE"""),5)</f>
        <v>5</v>
      </c>
      <c r="K70" s="179">
        <f ca="1">IFERROR(__xludf.DUMMYFUNCTION("""COMPUTED_VALUE"""),3)</f>
        <v>3</v>
      </c>
      <c r="L70" s="179" t="str">
        <f ca="1">IFERROR(__xludf.DUMMYFUNCTION("""COMPUTED_VALUE"""),"The company doesn't own the technology, it's a license from the current President of the company.")</f>
        <v>The company doesn't own the technology, it's a license from the current President of the company.</v>
      </c>
      <c r="M70" s="179">
        <f ca="1">IFERROR(__xludf.DUMMYFUNCTION("""COMPUTED_VALUE"""),4)</f>
        <v>4</v>
      </c>
      <c r="N70" s="179">
        <f ca="1">IFERROR(__xludf.DUMMYFUNCTION("""COMPUTED_VALUE"""),2)</f>
        <v>2</v>
      </c>
      <c r="O70" s="179" t="str">
        <f ca="1">IFERROR(__xludf.DUMMYFUNCTION("""COMPUTED_VALUE"""),"Initial beachhead market (cutaneous mastocytosis treatment) is $200m, but the goal would be to take some of the $19b allergy market.
No customers and not planning to commercialize anytime soon. Have mostly spoken to patients, not customers.")</f>
        <v>Initial beachhead market (cutaneous mastocytosis treatment) is $200m, but the goal would be to take some of the $19b allergy market.
No customers and not planning to commercialize anytime soon. Have mostly spoken to patients, not customers.</v>
      </c>
      <c r="P70" s="179">
        <f ca="1">IFERROR(__xludf.DUMMYFUNCTION("""COMPUTED_VALUE"""),3)</f>
        <v>3</v>
      </c>
      <c r="Q70" s="179">
        <f ca="1">IFERROR(__xludf.DUMMYFUNCTION("""COMPUTED_VALUE"""),4)</f>
        <v>4</v>
      </c>
      <c r="R70" s="179">
        <f ca="1">IFERROR(__xludf.DUMMYFUNCTION("""COMPUTED_VALUE"""),4)</f>
        <v>4</v>
      </c>
      <c r="S70" s="179" t="str">
        <f ca="1">IFERROR(__xludf.DUMMYFUNCTION("""COMPUTED_VALUE"""),"Two PhDs - one with business development background and the other who was a professor at Rutgers where he did research leading to this technology.")</f>
        <v>Two PhDs - one with business development background and the other who was a professor at Rutgers where he did research leading to this technology.</v>
      </c>
      <c r="T70" s="437">
        <f ca="1">IFERROR(__xludf.DUMMYFUNCTION("""COMPUTED_VALUE"""),1000000)</f>
        <v>1000000</v>
      </c>
      <c r="U70" s="179" t="str">
        <f ca="1">IFERROR(__xludf.DUMMYFUNCTION("""COMPUTED_VALUE"""),"$1M-$5M")</f>
        <v>$1M-$5M</v>
      </c>
      <c r="V70" s="179">
        <f ca="1">IFERROR(__xludf.DUMMYFUNCTION("""COMPUTED_VALUE"""),4)</f>
        <v>4</v>
      </c>
      <c r="W70" s="179" t="str">
        <f ca="1">IFERROR(__xludf.DUMMYFUNCTION("""COMPUTED_VALUE"""),"Good team mix for this problem. Novel and IP protected technology, though it's tied to the founder not the company (who is licensing the technology). It's questionable whether they will be able to move into their market adjacency (allergies).")</f>
        <v>Good team mix for this problem. Novel and IP protected technology, though it's tied to the founder not the company (who is licensing the technology). It's questionable whether they will be able to move into their market adjacency (allergies).</v>
      </c>
    </row>
    <row r="71" spans="1:23">
      <c r="A71" s="179" t="str">
        <f ca="1">IFERROR(__xludf.DUMMYFUNCTION("""COMPUTED_VALUE"""),"R")</f>
        <v>R</v>
      </c>
      <c r="B71" s="436">
        <f ca="1">IFERROR(__xludf.DUMMYFUNCTION("""COMPUTED_VALUE"""),44790.7776242592)</f>
        <v>44790.777624259201</v>
      </c>
      <c r="C71" s="179" t="str">
        <f ca="1">IFERROR(__xludf.DUMMYFUNCTION("""COMPUTED_VALUE"""),"cm6077@stern.nyu.edu")</f>
        <v>cm6077@stern.nyu.edu</v>
      </c>
      <c r="D71" s="179" t="str">
        <f ca="1">IFERROR(__xludf.DUMMYFUNCTION("""COMPUTED_VALUE"""),"Chris MIllisits")</f>
        <v>Chris MIllisits</v>
      </c>
      <c r="E71" s="179" t="str">
        <f ca="1">IFERROR(__xludf.DUMMYFUNCTION("""COMPUTED_VALUE"""),"I have read and understand the confidentiality agreement for application reviewers.")</f>
        <v>I have read and understand the confidentiality agreement for application reviewers.</v>
      </c>
      <c r="F71" s="179" t="str">
        <f ca="1">IFERROR(__xludf.DUMMYFUNCTION("""COMPUTED_VALUE"""),"Nemosia AG")</f>
        <v>Nemosia AG</v>
      </c>
      <c r="G71" s="179" t="str">
        <f ca="1">IFERROR(__xludf.DUMMYFUNCTION("""COMPUTED_VALUE"""),"Develops biomarkers for early diagnostics of neurodegenerative disorders such
as Alzheimer's disease / Biotech / Pre-seed")</f>
        <v>Develops biomarkers for early diagnostics of neurodegenerative disorders such
as Alzheimer's disease / Biotech / Pre-seed</v>
      </c>
      <c r="H71" s="179">
        <f ca="1">IFERROR(__xludf.DUMMYFUNCTION("""COMPUTED_VALUE"""),4)</f>
        <v>4</v>
      </c>
      <c r="I71" s="179">
        <f ca="1">IFERROR(__xludf.DUMMYFUNCTION("""COMPUTED_VALUE"""),4)</f>
        <v>4</v>
      </c>
      <c r="J71" s="179">
        <f ca="1">IFERROR(__xludf.DUMMYFUNCTION("""COMPUTED_VALUE"""),2)</f>
        <v>2</v>
      </c>
      <c r="K71" s="179">
        <f ca="1">IFERROR(__xludf.DUMMYFUNCTION("""COMPUTED_VALUE"""),2)</f>
        <v>2</v>
      </c>
      <c r="L71" s="179" t="str">
        <f ca="1">IFERROR(__xludf.DUMMYFUNCTION("""COMPUTED_VALUE"""),"Don't own technology, it's licensed (it's a spin-out of ETH Zurich). Some direct competitors in imaging approach, but looking at different biomarkers. Though this is a competitive space in general")</f>
        <v>Don't own technology, it's licensed (it's a spin-out of ETH Zurich). Some direct competitors in imaging approach, but looking at different biomarkers. Though this is a competitive space in general</v>
      </c>
      <c r="M71" s="179">
        <f ca="1">IFERROR(__xludf.DUMMYFUNCTION("""COMPUTED_VALUE"""),4)</f>
        <v>4</v>
      </c>
      <c r="N71" s="179">
        <f ca="1">IFERROR(__xludf.DUMMYFUNCTION("""COMPUTED_VALUE"""),2)</f>
        <v>2</v>
      </c>
      <c r="O71" s="179" t="str">
        <f ca="1">IFERROR(__xludf.DUMMYFUNCTION("""COMPUTED_VALUE"""),"Big unsolved problem")</f>
        <v>Big unsolved problem</v>
      </c>
      <c r="P71" s="179">
        <f ca="1">IFERROR(__xludf.DUMMYFUNCTION("""COMPUTED_VALUE"""),4)</f>
        <v>4</v>
      </c>
      <c r="Q71" s="179">
        <f ca="1">IFERROR(__xludf.DUMMYFUNCTION("""COMPUTED_VALUE"""),4)</f>
        <v>4</v>
      </c>
      <c r="R71" s="179">
        <f ca="1">IFERROR(__xludf.DUMMYFUNCTION("""COMPUTED_VALUE"""),4)</f>
        <v>4</v>
      </c>
      <c r="S71" s="179" t="str">
        <f ca="1">IFERROR(__xludf.DUMMYFUNCTION("""COMPUTED_VALUE"""),"Good mix of scientific and business experience on the team. Much of the team came over from ETH Zurich when Nemosia was spun out.")</f>
        <v>Good mix of scientific and business experience on the team. Much of the team came over from ETH Zurich when Nemosia was spun out.</v>
      </c>
      <c r="T71" s="437">
        <f ca="1">IFERROR(__xludf.DUMMYFUNCTION("""COMPUTED_VALUE"""),0)</f>
        <v>0</v>
      </c>
      <c r="U71" s="179" t="str">
        <f ca="1">IFERROR(__xludf.DUMMYFUNCTION("""COMPUTED_VALUE"""),"&gt;$5M")</f>
        <v>&gt;$5M</v>
      </c>
      <c r="V71" s="179">
        <f ca="1">IFERROR(__xludf.DUMMYFUNCTION("""COMPUTED_VALUE"""),4)</f>
        <v>4</v>
      </c>
      <c r="W71" s="179" t="str">
        <f ca="1">IFERROR(__xludf.DUMMYFUNCTION("""COMPUTED_VALUE"""),"Relevant team experience, somewhat novel approach. Large market opportunity. Ability to capture the market reliant on further research and efficacy of approach, which is still being validated (pre-clinical study).")</f>
        <v>Relevant team experience, somewhat novel approach. Large market opportunity. Ability to capture the market reliant on further research and efficacy of approach, which is still being validated (pre-clinical study).</v>
      </c>
    </row>
    <row r="72" spans="1:23">
      <c r="A72" s="179" t="str">
        <f ca="1">IFERROR(__xludf.DUMMYFUNCTION("""COMPUTED_VALUE"""),"R")</f>
        <v>R</v>
      </c>
      <c r="B72" s="436">
        <f ca="1">IFERROR(__xludf.DUMMYFUNCTION("""COMPUTED_VALUE"""),44790.7823293055)</f>
        <v>44790.782329305497</v>
      </c>
      <c r="C72" s="179" t="str">
        <f ca="1">IFERROR(__xludf.DUMMYFUNCTION("""COMPUTED_VALUE"""),"cm6077@stern.nyu.edu")</f>
        <v>cm6077@stern.nyu.edu</v>
      </c>
      <c r="D72" s="179" t="str">
        <f ca="1">IFERROR(__xludf.DUMMYFUNCTION("""COMPUTED_VALUE"""),"Chris Millisits")</f>
        <v>Chris Millisits</v>
      </c>
      <c r="E72" s="179" t="str">
        <f ca="1">IFERROR(__xludf.DUMMYFUNCTION("""COMPUTED_VALUE"""),"I have read and understand the confidentiality agreement for application reviewers.")</f>
        <v>I have read and understand the confidentiality agreement for application reviewers.</v>
      </c>
      <c r="F72" s="179" t="str">
        <f ca="1">IFERROR(__xludf.DUMMYFUNCTION("""COMPUTED_VALUE"""),"Neo Xenia Biotech")</f>
        <v>Neo Xenia Biotech</v>
      </c>
      <c r="G72" s="179" t="str">
        <f ca="1">IFERROR(__xludf.DUMMYFUNCTION("""COMPUTED_VALUE"""),"nX Biotech specializes in the curation of real relationships. nX curates and develops a range of services, products, and solutions to optimize the natural mechanisms of human connectivity / Social Media / Pre-seed")</f>
        <v>nX Biotech specializes in the curation of real relationships. nX curates and develops a range of services, products, and solutions to optimize the natural mechanisms of human connectivity / Social Media / Pre-seed</v>
      </c>
      <c r="H72" s="179">
        <f ca="1">IFERROR(__xludf.DUMMYFUNCTION("""COMPUTED_VALUE"""),1)</f>
        <v>1</v>
      </c>
      <c r="I72" s="179">
        <f ca="1">IFERROR(__xludf.DUMMYFUNCTION("""COMPUTED_VALUE"""),1)</f>
        <v>1</v>
      </c>
      <c r="J72" s="179">
        <f ca="1">IFERROR(__xludf.DUMMYFUNCTION("""COMPUTED_VALUE"""),1)</f>
        <v>1</v>
      </c>
      <c r="K72" s="179">
        <f ca="1">IFERROR(__xludf.DUMMYFUNCTION("""COMPUTED_VALUE"""),1)</f>
        <v>1</v>
      </c>
      <c r="L72" s="179"/>
      <c r="M72" s="179">
        <f ca="1">IFERROR(__xludf.DUMMYFUNCTION("""COMPUTED_VALUE"""),2)</f>
        <v>2</v>
      </c>
      <c r="N72" s="179">
        <f ca="1">IFERROR(__xludf.DUMMYFUNCTION("""COMPUTED_VALUE"""),1)</f>
        <v>1</v>
      </c>
      <c r="O72" s="179"/>
      <c r="P72" s="179">
        <f ca="1">IFERROR(__xludf.DUMMYFUNCTION("""COMPUTED_VALUE"""),2)</f>
        <v>2</v>
      </c>
      <c r="Q72" s="179">
        <f ca="1">IFERROR(__xludf.DUMMYFUNCTION("""COMPUTED_VALUE"""),2)</f>
        <v>2</v>
      </c>
      <c r="R72" s="179">
        <f ca="1">IFERROR(__xludf.DUMMYFUNCTION("""COMPUTED_VALUE"""),2)</f>
        <v>2</v>
      </c>
      <c r="S72" s="179" t="str">
        <f ca="1">IFERROR(__xludf.DUMMYFUNCTION("""COMPUTED_VALUE"""),"Social neuroscientist on the team. I guess technically he's got the experience to innovate here.")</f>
        <v>Social neuroscientist on the team. I guess technically he's got the experience to innovate here.</v>
      </c>
      <c r="T72" s="437">
        <f ca="1">IFERROR(__xludf.DUMMYFUNCTION("""COMPUTED_VALUE"""),0)</f>
        <v>0</v>
      </c>
      <c r="U72" s="179" t="str">
        <f ca="1">IFERROR(__xludf.DUMMYFUNCTION("""COMPUTED_VALUE"""),"$0")</f>
        <v>$0</v>
      </c>
      <c r="V72" s="179">
        <f ca="1">IFERROR(__xludf.DUMMYFUNCTION("""COMPUTED_VALUE"""),1)</f>
        <v>1</v>
      </c>
      <c r="W72" s="179" t="str">
        <f ca="1">IFERROR(__xludf.DUMMYFUNCTION("""COMPUTED_VALUE"""),"This one was misclassified as Life Sciences. They want to create a social network. As far as I know, that's outside the scope of EFL. Vague application overall, unsure as to what they're building but it's a ""better"" and ""more connected"" social media e"&amp;"xperience.")</f>
        <v>This one was misclassified as Life Sciences. They want to create a social network. As far as I know, that's outside the scope of EFL. Vague application overall, unsure as to what they're building but it's a "better" and "more connected" social media experience.</v>
      </c>
    </row>
    <row r="73" spans="1:23">
      <c r="A73" s="179" t="str">
        <f ca="1">IFERROR(__xludf.DUMMYFUNCTION("""COMPUTED_VALUE"""),"R")</f>
        <v>R</v>
      </c>
      <c r="B73" s="436">
        <f ca="1">IFERROR(__xludf.DUMMYFUNCTION("""COMPUTED_VALUE"""),44790.7902534027)</f>
        <v>44790.790253402702</v>
      </c>
      <c r="C73" s="179" t="str">
        <f ca="1">IFERROR(__xludf.DUMMYFUNCTION("""COMPUTED_VALUE"""),"cm6077@stern.nyu.edu")</f>
        <v>cm6077@stern.nyu.edu</v>
      </c>
      <c r="D73" s="179" t="str">
        <f ca="1">IFERROR(__xludf.DUMMYFUNCTION("""COMPUTED_VALUE"""),"Chris Millisits")</f>
        <v>Chris Millisits</v>
      </c>
      <c r="E73" s="179" t="str">
        <f ca="1">IFERROR(__xludf.DUMMYFUNCTION("""COMPUTED_VALUE"""),"I have read and understand the confidentiality agreement for application reviewers.")</f>
        <v>I have read and understand the confidentiality agreement for application reviewers.</v>
      </c>
      <c r="F73" s="179" t="str">
        <f ca="1">IFERROR(__xludf.DUMMYFUNCTION("""COMPUTED_VALUE"""),"NEOMICS PHARMACEUTICALS LLC")</f>
        <v>NEOMICS PHARMACEUTICALS LLC</v>
      </c>
      <c r="G73" s="179" t="str">
        <f ca="1">IFERROR(__xludf.DUMMYFUNCTION("""COMPUTED_VALUE"""),"Neomics is developing novel cell and DNA-based gene therapies to treat cancers and other genetic diseases / Biotech (Gene Therapy) / Seed")</f>
        <v>Neomics is developing novel cell and DNA-based gene therapies to treat cancers and other genetic diseases / Biotech (Gene Therapy) / Seed</v>
      </c>
      <c r="H73" s="179">
        <f ca="1">IFERROR(__xludf.DUMMYFUNCTION("""COMPUTED_VALUE"""),4)</f>
        <v>4</v>
      </c>
      <c r="I73" s="179">
        <f ca="1">IFERROR(__xludf.DUMMYFUNCTION("""COMPUTED_VALUE"""),4)</f>
        <v>4</v>
      </c>
      <c r="J73" s="179">
        <f ca="1">IFERROR(__xludf.DUMMYFUNCTION("""COMPUTED_VALUE"""),2)</f>
        <v>2</v>
      </c>
      <c r="K73" s="179">
        <f ca="1">IFERROR(__xludf.DUMMYFUNCTION("""COMPUTED_VALUE"""),5)</f>
        <v>5</v>
      </c>
      <c r="L73" s="179" t="str">
        <f ca="1">IFERROR(__xludf.DUMMYFUNCTION("""COMPUTED_VALUE"""),"Hoping to enable a safer and more effective CAR T therapy through highly functional third-generation chimeric co-stimulatory receptors in T cells.")</f>
        <v>Hoping to enable a safer and more effective CAR T therapy through highly functional third-generation chimeric co-stimulatory receptors in T cells.</v>
      </c>
      <c r="M73" s="179">
        <f ca="1">IFERROR(__xludf.DUMMYFUNCTION("""COMPUTED_VALUE"""),4)</f>
        <v>4</v>
      </c>
      <c r="N73" s="179">
        <f ca="1">IFERROR(__xludf.DUMMYFUNCTION("""COMPUTED_VALUE"""),1)</f>
        <v>1</v>
      </c>
      <c r="O73" s="179" t="str">
        <f ca="1">IFERROR(__xludf.DUMMYFUNCTION("""COMPUTED_VALUE"""),"Pre-clinical")</f>
        <v>Pre-clinical</v>
      </c>
      <c r="P73" s="179">
        <f ca="1">IFERROR(__xludf.DUMMYFUNCTION("""COMPUTED_VALUE"""),5)</f>
        <v>5</v>
      </c>
      <c r="Q73" s="179">
        <f ca="1">IFERROR(__xludf.DUMMYFUNCTION("""COMPUTED_VALUE"""),4)</f>
        <v>4</v>
      </c>
      <c r="R73" s="179">
        <f ca="1">IFERROR(__xludf.DUMMYFUNCTION("""COMPUTED_VALUE"""),4)</f>
        <v>4</v>
      </c>
      <c r="S73" s="179" t="str">
        <f ca="1">IFERROR(__xludf.DUMMYFUNCTION("""COMPUTED_VALUE"""),"Co-founder &amp; CEO's experience was hard to validate (especially around his previous startup), so take it with a grain of salt. Good history of drug development.")</f>
        <v>Co-founder &amp; CEO's experience was hard to validate (especially around his previous startup), so take it with a grain of salt. Good history of drug development.</v>
      </c>
      <c r="T73" s="437">
        <f ca="1">IFERROR(__xludf.DUMMYFUNCTION("""COMPUTED_VALUE"""),10300000)</f>
        <v>10300000</v>
      </c>
      <c r="U73" s="179" t="str">
        <f ca="1">IFERROR(__xludf.DUMMYFUNCTION("""COMPUTED_VALUE"""),"&gt;$5M")</f>
        <v>&gt;$5M</v>
      </c>
      <c r="V73" s="179">
        <f ca="1">IFERROR(__xludf.DUMMYFUNCTION("""COMPUTED_VALUE"""),4)</f>
        <v>4</v>
      </c>
      <c r="W73" s="179" t="str">
        <f ca="1">IFERROR(__xludf.DUMMYFUNCTION("""COMPUTED_VALUE"""),"Already raised $10m+, and raising $30m+ for their Series A. Already burning $500k / month. Pre-clinical. Somewhat novel, good team experience, history of drug development.")</f>
        <v>Already raised $10m+, and raising $30m+ for their Series A. Already burning $500k / month. Pre-clinical. Somewhat novel, good team experience, history of drug development.</v>
      </c>
    </row>
    <row r="74" spans="1:23">
      <c r="A74" s="179" t="str">
        <f ca="1">IFERROR(__xludf.DUMMYFUNCTION("""COMPUTED_VALUE"""),"R")</f>
        <v>R</v>
      </c>
      <c r="B74" s="436">
        <f ca="1">IFERROR(__xludf.DUMMYFUNCTION("""COMPUTED_VALUE"""),44790.799247118)</f>
        <v>44790.799247117997</v>
      </c>
      <c r="C74" s="179" t="str">
        <f ca="1">IFERROR(__xludf.DUMMYFUNCTION("""COMPUTED_VALUE"""),"cm6077@stern.nyu.edu")</f>
        <v>cm6077@stern.nyu.edu</v>
      </c>
      <c r="D74" s="179" t="str">
        <f ca="1">IFERROR(__xludf.DUMMYFUNCTION("""COMPUTED_VALUE"""),"Chris Millisits")</f>
        <v>Chris Millisits</v>
      </c>
      <c r="E74" s="179" t="str">
        <f ca="1">IFERROR(__xludf.DUMMYFUNCTION("""COMPUTED_VALUE"""),"I have read and understand the confidentiality agreement for application reviewers.")</f>
        <v>I have read and understand the confidentiality agreement for application reviewers.</v>
      </c>
      <c r="F74" s="179" t="str">
        <f ca="1">IFERROR(__xludf.DUMMYFUNCTION("""COMPUTED_VALUE"""),"Neon Wild, Inc.")</f>
        <v>Neon Wild, Inc.</v>
      </c>
      <c r="G74" s="179" t="str">
        <f ca="1">IFERROR(__xludf.DUMMYFUNCTION("""COMPUTED_VALUE"""),"Neon Wild is an inclusive storytelling platform for kids via personalized avatars / EdTech &amp; Entertainment / Pre-seed")</f>
        <v>Neon Wild is an inclusive storytelling platform for kids via personalized avatars / EdTech &amp; Entertainment / Pre-seed</v>
      </c>
      <c r="H74" s="179">
        <f ca="1">IFERROR(__xludf.DUMMYFUNCTION("""COMPUTED_VALUE"""),5)</f>
        <v>5</v>
      </c>
      <c r="I74" s="179">
        <f ca="1">IFERROR(__xludf.DUMMYFUNCTION("""COMPUTED_VALUE"""),4)</f>
        <v>4</v>
      </c>
      <c r="J74" s="179">
        <f ca="1">IFERROR(__xludf.DUMMYFUNCTION("""COMPUTED_VALUE"""),1)</f>
        <v>1</v>
      </c>
      <c r="K74" s="179">
        <f ca="1">IFERROR(__xludf.DUMMYFUNCTION("""COMPUTED_VALUE"""),1)</f>
        <v>1</v>
      </c>
      <c r="L74" s="179" t="str">
        <f ca="1">IFERROR(__xludf.DUMMYFUNCTION("""COMPUTED_VALUE"""),"At concept stage. A provisional patent related to custom character design won't provide much protection.")</f>
        <v>At concept stage. A provisional patent related to custom character design won't provide much protection.</v>
      </c>
      <c r="M74" s="179">
        <f ca="1">IFERROR(__xludf.DUMMYFUNCTION("""COMPUTED_VALUE"""),4)</f>
        <v>4</v>
      </c>
      <c r="N74" s="179">
        <f ca="1">IFERROR(__xludf.DUMMYFUNCTION("""COMPUTED_VALUE"""),2)</f>
        <v>2</v>
      </c>
      <c r="O74" s="179" t="str">
        <f ca="1">IFERROR(__xludf.DUMMYFUNCTION("""COMPUTED_VALUE"""),"Have been meeting with parents (the customer), but are pre-product")</f>
        <v>Have been meeting with parents (the customer), but are pre-product</v>
      </c>
      <c r="P74" s="179">
        <f ca="1">IFERROR(__xludf.DUMMYFUNCTION("""COMPUTED_VALUE"""),5)</f>
        <v>5</v>
      </c>
      <c r="Q74" s="179">
        <f ca="1">IFERROR(__xludf.DUMMYFUNCTION("""COMPUTED_VALUE"""),4)</f>
        <v>4</v>
      </c>
      <c r="R74" s="179">
        <f ca="1">IFERROR(__xludf.DUMMYFUNCTION("""COMPUTED_VALUE"""),4)</f>
        <v>4</v>
      </c>
      <c r="S74" s="179" t="str">
        <f ca="1">IFERROR(__xludf.DUMMYFUNCTION("""COMPUTED_VALUE"""),"Mix of engineers, brand/design and product experience. VR experience in product and brand on the team.")</f>
        <v>Mix of engineers, brand/design and product experience. VR experience in product and brand on the team.</v>
      </c>
      <c r="T74" s="437">
        <f ca="1">IFERROR(__xludf.DUMMYFUNCTION("""COMPUTED_VALUE"""),229000)</f>
        <v>229000</v>
      </c>
      <c r="U74" s="179" t="str">
        <f ca="1">IFERROR(__xludf.DUMMYFUNCTION("""COMPUTED_VALUE"""),"$1M-$5M")</f>
        <v>$1M-$5M</v>
      </c>
      <c r="V74" s="179">
        <f ca="1">IFERROR(__xludf.DUMMYFUNCTION("""COMPUTED_VALUE"""),4)</f>
        <v>4</v>
      </c>
      <c r="W74" s="179" t="str">
        <f ca="1">IFERROR(__xludf.DUMMYFUNCTION("""COMPUTED_VALUE"""),"Compelling vision and mission. Very early (pre-product), and would like to see more proof points. Team has good experience in the space, if not spectacular. B2C entertainment platform that is pre-product, so would be taking a leap of faith here based on t"&amp;"eam and mission.")</f>
        <v>Compelling vision and mission. Very early (pre-product), and would like to see more proof points. Team has good experience in the space, if not spectacular. B2C entertainment platform that is pre-product, so would be taking a leap of faith here based on team and mission.</v>
      </c>
    </row>
    <row r="75" spans="1:23">
      <c r="A75" s="179" t="str">
        <f ca="1">IFERROR(__xludf.DUMMYFUNCTION("""COMPUTED_VALUE"""),"R")</f>
        <v>R</v>
      </c>
      <c r="B75" s="436">
        <f ca="1">IFERROR(__xludf.DUMMYFUNCTION("""COMPUTED_VALUE"""),44791.1754748148)</f>
        <v>44791.175474814801</v>
      </c>
      <c r="C75" s="179" t="str">
        <f ca="1">IFERROR(__xludf.DUMMYFUNCTION("""COMPUTED_VALUE"""),"ahmed.bahgat@stern.nyu.edu")</f>
        <v>ahmed.bahgat@stern.nyu.edu</v>
      </c>
      <c r="D75" s="179" t="str">
        <f ca="1">IFERROR(__xludf.DUMMYFUNCTION("""COMPUTED_VALUE"""),"Ahmed Bahgat")</f>
        <v>Ahmed Bahgat</v>
      </c>
      <c r="E75" s="179" t="str">
        <f ca="1">IFERROR(__xludf.DUMMYFUNCTION("""COMPUTED_VALUE"""),"I have read and understand the confidentiality agreement for application reviewers.")</f>
        <v>I have read and understand the confidentiality agreement for application reviewers.</v>
      </c>
      <c r="F75" s="179" t="str">
        <f ca="1">IFERROR(__xludf.DUMMYFUNCTION("""COMPUTED_VALUE"""),"Salve Therapeutics")</f>
        <v>Salve Therapeutics</v>
      </c>
      <c r="G75" s="179" t="str">
        <f ca="1">IFERROR(__xludf.DUMMYFUNCTION("""COMPUTED_VALUE"""),"Bioengineering software platform called VirCAD© (Virus Computer-Aided Design) enabling researchers to design, model and test new viral biologics in silico for new cell and gene therapies, vaccines, oncolytics and antibiotics. The precision medicine sector"&amp;" of healthcare is expected to double in size in 6 years. ")</f>
        <v xml:space="preserve">Bioengineering software platform called VirCAD© (Virus Computer-Aided Design) enabling researchers to design, model and test new viral biologics in silico for new cell and gene therapies, vaccines, oncolytics and antibiotics. The precision medicine sector of healthcare is expected to double in size in 6 years. </v>
      </c>
      <c r="H75" s="179">
        <f ca="1">IFERROR(__xludf.DUMMYFUNCTION("""COMPUTED_VALUE"""),5)</f>
        <v>5</v>
      </c>
      <c r="I75" s="179">
        <f ca="1">IFERROR(__xludf.DUMMYFUNCTION("""COMPUTED_VALUE"""),4)</f>
        <v>4</v>
      </c>
      <c r="J75" s="179">
        <f ca="1">IFERROR(__xludf.DUMMYFUNCTION("""COMPUTED_VALUE"""),1)</f>
        <v>1</v>
      </c>
      <c r="K75" s="179">
        <f ca="1">IFERROR(__xludf.DUMMYFUNCTION("""COMPUTED_VALUE"""),3)</f>
        <v>3</v>
      </c>
      <c r="L75" s="179" t="str">
        <f ca="1">IFERROR(__xludf.DUMMYFUNCTION("""COMPUTED_VALUE"""),"Technology solution seeks to prototype new viral biologics for complex disease before wet lab production and clinical testing accelerating exploration of the viral therapeutic space to
develop new precision medicines for currently incurable diseases.")</f>
        <v>Technology solution seeks to prototype new viral biologics for complex disease before wet lab production and clinical testing accelerating exploration of the viral therapeutic space to
develop new precision medicines for currently incurable diseases.</v>
      </c>
      <c r="M75" s="179">
        <f ca="1">IFERROR(__xludf.DUMMYFUNCTION("""COMPUTED_VALUE"""),5)</f>
        <v>5</v>
      </c>
      <c r="N75" s="179">
        <f ca="1">IFERROR(__xludf.DUMMYFUNCTION("""COMPUTED_VALUE"""),1)</f>
        <v>1</v>
      </c>
      <c r="O75" s="179" t="str">
        <f ca="1">IFERROR(__xludf.DUMMYFUNCTION("""COMPUTED_VALUE"""),"Targeting gene therapy since it is not developing into a diversified pharmacopeia due to safety, cost and complexity concerns. Hence leaving patients suffering from debilitating inherited and/or terminal diseases with few options.")</f>
        <v>Targeting gene therapy since it is not developing into a diversified pharmacopeia due to safety, cost and complexity concerns. Hence leaving patients suffering from debilitating inherited and/or terminal diseases with few options.</v>
      </c>
      <c r="P75" s="179">
        <f ca="1">IFERROR(__xludf.DUMMYFUNCTION("""COMPUTED_VALUE"""),3)</f>
        <v>3</v>
      </c>
      <c r="Q75" s="179">
        <f ca="1">IFERROR(__xludf.DUMMYFUNCTION("""COMPUTED_VALUE"""),3)</f>
        <v>3</v>
      </c>
      <c r="R75" s="179">
        <f ca="1">IFERROR(__xludf.DUMMYFUNCTION("""COMPUTED_VALUE"""),4)</f>
        <v>4</v>
      </c>
      <c r="S75" s="179" t="str">
        <f ca="1">IFERROR(__xludf.DUMMYFUNCTION("""COMPUTED_VALUE"""),"Strong founder but would need advisors to guide development and better understand market needs and better defining target market  ")</f>
        <v xml:space="preserve">Strong founder but would need advisors to guide development and better understand market needs and better defining target market  </v>
      </c>
      <c r="T75" s="437">
        <f ca="1">IFERROR(__xludf.DUMMYFUNCTION("""COMPUTED_VALUE"""),0)</f>
        <v>0</v>
      </c>
      <c r="U75" s="179" t="str">
        <f ca="1">IFERROR(__xludf.DUMMYFUNCTION("""COMPUTED_VALUE"""),"$1M-$5M")</f>
        <v>$1M-$5M</v>
      </c>
      <c r="V75" s="179">
        <f ca="1">IFERROR(__xludf.DUMMYFUNCTION("""COMPUTED_VALUE"""),3)</f>
        <v>3</v>
      </c>
      <c r="W75" s="179" t="str">
        <f ca="1">IFERROR(__xludf.DUMMYFUNCTION("""COMPUTED_VALUE"""),"Business is still at concept design. While it is well positioned to benefit from EFL, I would question if its too early to make the most of it.")</f>
        <v>Business is still at concept design. While it is well positioned to benefit from EFL, I would question if its too early to make the most of it.</v>
      </c>
    </row>
    <row r="76" spans="1:23">
      <c r="A76" s="179" t="str">
        <f ca="1">IFERROR(__xludf.DUMMYFUNCTION("""COMPUTED_VALUE"""),"R")</f>
        <v>R</v>
      </c>
      <c r="B76" s="436">
        <f ca="1">IFERROR(__xludf.DUMMYFUNCTION("""COMPUTED_VALUE"""),44791.5202474537)</f>
        <v>44791.5202474537</v>
      </c>
      <c r="C76" s="179" t="str">
        <f ca="1">IFERROR(__xludf.DUMMYFUNCTION("""COMPUTED_VALUE"""),"cm6077@stern.nyu.edu")</f>
        <v>cm6077@stern.nyu.edu</v>
      </c>
      <c r="D76" s="179" t="str">
        <f ca="1">IFERROR(__xludf.DUMMYFUNCTION("""COMPUTED_VALUE"""),"Chris Millisits")</f>
        <v>Chris Millisits</v>
      </c>
      <c r="E76" s="179" t="str">
        <f ca="1">IFERROR(__xludf.DUMMYFUNCTION("""COMPUTED_VALUE"""),"I have read and understand the confidentiality agreement for application reviewers.")</f>
        <v>I have read and understand the confidentiality agreement for application reviewers.</v>
      </c>
      <c r="F76" s="179" t="str">
        <f ca="1">IFERROR(__xludf.DUMMYFUNCTION("""COMPUTED_VALUE"""),"Nerbio")</f>
        <v>Nerbio</v>
      </c>
      <c r="G76" s="179" t="str">
        <f ca="1">IFERROR(__xludf.DUMMYFUNCTION("""COMPUTED_VALUE"""),"Mobile device enabled quantitative monitor (iTOF) of Neuromuscular Blocking Agents (NMBAs) for patients on ventilators / Medical Devices / Pre-seed")</f>
        <v>Mobile device enabled quantitative monitor (iTOF) of Neuromuscular Blocking Agents (NMBAs) for patients on ventilators / Medical Devices / Pre-seed</v>
      </c>
      <c r="H76" s="179">
        <f ca="1">IFERROR(__xludf.DUMMYFUNCTION("""COMPUTED_VALUE"""),4)</f>
        <v>4</v>
      </c>
      <c r="I76" s="179">
        <f ca="1">IFERROR(__xludf.DUMMYFUNCTION("""COMPUTED_VALUE"""),3)</f>
        <v>3</v>
      </c>
      <c r="J76" s="179">
        <f ca="1">IFERROR(__xludf.DUMMYFUNCTION("""COMPUTED_VALUE"""),4)</f>
        <v>4</v>
      </c>
      <c r="K76" s="179">
        <f ca="1">IFERROR(__xludf.DUMMYFUNCTION("""COMPUTED_VALUE"""),2)</f>
        <v>2</v>
      </c>
      <c r="L76" s="179" t="str">
        <f ca="1">IFERROR(__xludf.DUMMYFUNCTION("""COMPUTED_VALUE"""),"There is a need for the product that has been exacerbated by the COVID-19 epidemic. Limited information provided around IP protection, but")</f>
        <v>There is a need for the product that has been exacerbated by the COVID-19 epidemic. Limited information provided around IP protection, but</v>
      </c>
      <c r="M76" s="179">
        <f ca="1">IFERROR(__xludf.DUMMYFUNCTION("""COMPUTED_VALUE"""),4)</f>
        <v>4</v>
      </c>
      <c r="N76" s="179">
        <f ca="1">IFERROR(__xludf.DUMMYFUNCTION("""COMPUTED_VALUE"""),3)</f>
        <v>3</v>
      </c>
      <c r="O76" s="179" t="str">
        <f ca="1">IFERROR(__xludf.DUMMYFUNCTION("""COMPUTED_VALUE"""),"$100k since launching the first product in July. Strong potential in LATAM and other developing markets.")</f>
        <v>$100k since launching the first product in July. Strong potential in LATAM and other developing markets.</v>
      </c>
      <c r="P76" s="179">
        <f ca="1">IFERROR(__xludf.DUMMYFUNCTION("""COMPUTED_VALUE"""),4)</f>
        <v>4</v>
      </c>
      <c r="Q76" s="179">
        <f ca="1">IFERROR(__xludf.DUMMYFUNCTION("""COMPUTED_VALUE"""),4)</f>
        <v>4</v>
      </c>
      <c r="R76" s="179">
        <f ca="1">IFERROR(__xludf.DUMMYFUNCTION("""COMPUTED_VALUE"""),4)</f>
        <v>4</v>
      </c>
      <c r="S76" s="179" t="str">
        <f ca="1">IFERROR(__xludf.DUMMYFUNCTION("""COMPUTED_VALUE"""),"Strong team background in application software and nanotechnology. History of founding startups by multiple founders. Vision for handheld monitoring beyond the current use case, and would make use of ubiquitous smartphone technology in target markets.")</f>
        <v>Strong team background in application software and nanotechnology. History of founding startups by multiple founders. Vision for handheld monitoring beyond the current use case, and would make use of ubiquitous smartphone technology in target markets.</v>
      </c>
      <c r="T76" s="437">
        <f ca="1">IFERROR(__xludf.DUMMYFUNCTION("""COMPUTED_VALUE"""),300000)</f>
        <v>300000</v>
      </c>
      <c r="U76" s="179" t="str">
        <f ca="1">IFERROR(__xludf.DUMMYFUNCTION("""COMPUTED_VALUE"""),"$500K-$1M")</f>
        <v>$500K-$1M</v>
      </c>
      <c r="V76" s="179">
        <f ca="1">IFERROR(__xludf.DUMMYFUNCTION("""COMPUTED_VALUE"""),4)</f>
        <v>4</v>
      </c>
      <c r="W76" s="179" t="str">
        <f ca="1">IFERROR(__xludf.DUMMYFUNCTION("""COMPUTED_VALUE"""),"Strong team with history of running successful startups. Biggest concern is around defensibility of their software/hardware-based solution.")</f>
        <v>Strong team with history of running successful startups. Biggest concern is around defensibility of their software/hardware-based solution.</v>
      </c>
    </row>
    <row r="77" spans="1:23">
      <c r="A77" s="179" t="str">
        <f ca="1">IFERROR(__xludf.DUMMYFUNCTION("""COMPUTED_VALUE"""),"R")</f>
        <v>R</v>
      </c>
      <c r="B77" s="436">
        <f ca="1">IFERROR(__xludf.DUMMYFUNCTION("""COMPUTED_VALUE"""),44791.535440625)</f>
        <v>44791.535440624997</v>
      </c>
      <c r="C77" s="179" t="str">
        <f ca="1">IFERROR(__xludf.DUMMYFUNCTION("""COMPUTED_VALUE"""),"cm6077@stern.nyu.edu")</f>
        <v>cm6077@stern.nyu.edu</v>
      </c>
      <c r="D77" s="179" t="str">
        <f ca="1">IFERROR(__xludf.DUMMYFUNCTION("""COMPUTED_VALUE"""),"Chris Millisits")</f>
        <v>Chris Millisits</v>
      </c>
      <c r="E77" s="179" t="str">
        <f ca="1">IFERROR(__xludf.DUMMYFUNCTION("""COMPUTED_VALUE"""),"I have read and understand the confidentiality agreement for application reviewers.")</f>
        <v>I have read and understand the confidentiality agreement for application reviewers.</v>
      </c>
      <c r="F77" s="179" t="str">
        <f ca="1">IFERROR(__xludf.DUMMYFUNCTION("""COMPUTED_VALUE"""),"NETTOYER AUTOMOTIVES PRIVATE LIMITED")</f>
        <v>NETTOYER AUTOMOTIVES PRIVATE LIMITED</v>
      </c>
      <c r="G77" s="179" t="str">
        <f ca="1">IFERROR(__xludf.DUMMYFUNCTION("""COMPUTED_VALUE"""),"Nettoyer Automotives manufactures and retrofits hybrid (HEV) powertrains for 2-wheeled vehicles (such as scooters) / Electric Vehicles / ")</f>
        <v xml:space="preserve">Nettoyer Automotives manufactures and retrofits hybrid (HEV) powertrains for 2-wheeled vehicles (such as scooters) / Electric Vehicles / </v>
      </c>
      <c r="H77" s="179">
        <f ca="1">IFERROR(__xludf.DUMMYFUNCTION("""COMPUTED_VALUE"""),3)</f>
        <v>3</v>
      </c>
      <c r="I77" s="179">
        <f ca="1">IFERROR(__xludf.DUMMYFUNCTION("""COMPUTED_VALUE"""),2)</f>
        <v>2</v>
      </c>
      <c r="J77" s="179">
        <f ca="1">IFERROR(__xludf.DUMMYFUNCTION("""COMPUTED_VALUE"""),3)</f>
        <v>3</v>
      </c>
      <c r="K77" s="179">
        <f ca="1">IFERROR(__xludf.DUMMYFUNCTION("""COMPUTED_VALUE"""),3)</f>
        <v>3</v>
      </c>
      <c r="L77" s="179" t="str">
        <f ca="1">IFERROR(__xludf.DUMMYFUNCTION("""COMPUTED_VALUE"""),"Some traction. Need is more of a societal need than a personal customer need - does the WTP exist for this product?")</f>
        <v>Some traction. Need is more of a societal need than a personal customer need - does the WTP exist for this product?</v>
      </c>
      <c r="M77" s="179">
        <f ca="1">IFERROR(__xludf.DUMMYFUNCTION("""COMPUTED_VALUE"""),4)</f>
        <v>4</v>
      </c>
      <c r="N77" s="179">
        <f ca="1">IFERROR(__xludf.DUMMYFUNCTION("""COMPUTED_VALUE"""),2)</f>
        <v>2</v>
      </c>
      <c r="O77" s="179" t="str">
        <f ca="1">IFERROR(__xludf.DUMMYFUNCTION("""COMPUTED_VALUE"""),"Large addressable market in India, Southeast Asia, Africa, LATAM, and Europe. Some traction, with 50 customers to date")</f>
        <v>Large addressable market in India, Southeast Asia, Africa, LATAM, and Europe. Some traction, with 50 customers to date</v>
      </c>
      <c r="P77" s="179">
        <f ca="1">IFERROR(__xludf.DUMMYFUNCTION("""COMPUTED_VALUE"""),3)</f>
        <v>3</v>
      </c>
      <c r="Q77" s="179">
        <f ca="1">IFERROR(__xludf.DUMMYFUNCTION("""COMPUTED_VALUE"""),2)</f>
        <v>2</v>
      </c>
      <c r="R77" s="179">
        <f ca="1">IFERROR(__xludf.DUMMYFUNCTION("""COMPUTED_VALUE"""),2)</f>
        <v>2</v>
      </c>
      <c r="S77" s="179" t="str">
        <f ca="1">IFERROR(__xludf.DUMMYFUNCTION("""COMPUTED_VALUE"""),"Young team, who have been working in mobility but with a limited track record")</f>
        <v>Young team, who have been working in mobility but with a limited track record</v>
      </c>
      <c r="T77" s="437">
        <f ca="1">IFERROR(__xludf.DUMMYFUNCTION("""COMPUTED_VALUE"""),0)</f>
        <v>0</v>
      </c>
      <c r="U77" s="179" t="str">
        <f ca="1">IFERROR(__xludf.DUMMYFUNCTION("""COMPUTED_VALUE"""),"&lt;$500K")</f>
        <v>&lt;$500K</v>
      </c>
      <c r="V77" s="179">
        <f ca="1">IFERROR(__xludf.DUMMYFUNCTION("""COMPUTED_VALUE"""),3)</f>
        <v>3</v>
      </c>
      <c r="W77" s="179" t="str">
        <f ca="1">IFERROR(__xludf.DUMMYFUNCTION("""COMPUTED_VALUE"""),"The company has (some) traction solving a large societal problem (transitioning to electric vehicles). The team is inexperienced, and the space is competitive, and the technology did not seem particularly novel.")</f>
        <v>The company has (some) traction solving a large societal problem (transitioning to electric vehicles). The team is inexperienced, and the space is competitive, and the technology did not seem particularly novel.</v>
      </c>
    </row>
    <row r="78" spans="1:23">
      <c r="A78" s="179" t="str">
        <f ca="1">IFERROR(__xludf.DUMMYFUNCTION("""COMPUTED_VALUE"""),"R")</f>
        <v>R</v>
      </c>
      <c r="B78" s="436">
        <f ca="1">IFERROR(__xludf.DUMMYFUNCTION("""COMPUTED_VALUE"""),44791.5362107638)</f>
        <v>44791.536210763799</v>
      </c>
      <c r="C78" s="179" t="str">
        <f ca="1">IFERROR(__xludf.DUMMYFUNCTION("""COMPUTED_VALUE"""),"cm6077@stern.nyu.edu")</f>
        <v>cm6077@stern.nyu.edu</v>
      </c>
      <c r="D78" s="179" t="str">
        <f ca="1">IFERROR(__xludf.DUMMYFUNCTION("""COMPUTED_VALUE"""),"Chris Millisits")</f>
        <v>Chris Millisits</v>
      </c>
      <c r="E78" s="179" t="str">
        <f ca="1">IFERROR(__xludf.DUMMYFUNCTION("""COMPUTED_VALUE"""),"I have read and understand the confidentiality agreement for application reviewers.")</f>
        <v>I have read and understand the confidentiality agreement for application reviewers.</v>
      </c>
      <c r="F78" s="179" t="str">
        <f ca="1">IFERROR(__xludf.DUMMYFUNCTION("""COMPUTED_VALUE"""),"Nettoyer Automotives PVT LTD")</f>
        <v>Nettoyer Automotives PVT LTD</v>
      </c>
      <c r="G78" s="179" t="str">
        <f ca="1">IFERROR(__xludf.DUMMYFUNCTION("""COMPUTED_VALUE"""),"Duplicate application with NETTOYER AUTOMOTIVES PRIVATE LIMITED")</f>
        <v>Duplicate application with NETTOYER AUTOMOTIVES PRIVATE LIMITED</v>
      </c>
      <c r="H78" s="179">
        <f ca="1">IFERROR(__xludf.DUMMYFUNCTION("""COMPUTED_VALUE"""),1)</f>
        <v>1</v>
      </c>
      <c r="I78" s="179">
        <f ca="1">IFERROR(__xludf.DUMMYFUNCTION("""COMPUTED_VALUE"""),1)</f>
        <v>1</v>
      </c>
      <c r="J78" s="179">
        <f ca="1">IFERROR(__xludf.DUMMYFUNCTION("""COMPUTED_VALUE"""),1)</f>
        <v>1</v>
      </c>
      <c r="K78" s="179">
        <f ca="1">IFERROR(__xludf.DUMMYFUNCTION("""COMPUTED_VALUE"""),1)</f>
        <v>1</v>
      </c>
      <c r="L78" s="179" t="str">
        <f ca="1">IFERROR(__xludf.DUMMYFUNCTION("""COMPUTED_VALUE"""),"Duplicate application with NETTOYER AUTOMOTIVES PRIVATE LIMITED")</f>
        <v>Duplicate application with NETTOYER AUTOMOTIVES PRIVATE LIMITED</v>
      </c>
      <c r="M78" s="179">
        <f ca="1">IFERROR(__xludf.DUMMYFUNCTION("""COMPUTED_VALUE"""),1)</f>
        <v>1</v>
      </c>
      <c r="N78" s="179">
        <f ca="1">IFERROR(__xludf.DUMMYFUNCTION("""COMPUTED_VALUE"""),1)</f>
        <v>1</v>
      </c>
      <c r="O78" s="179" t="str">
        <f ca="1">IFERROR(__xludf.DUMMYFUNCTION("""COMPUTED_VALUE"""),"Duplicate application with NETTOYER AUTOMOTIVES PRIVATE LIMITED")</f>
        <v>Duplicate application with NETTOYER AUTOMOTIVES PRIVATE LIMITED</v>
      </c>
      <c r="P78" s="179">
        <f ca="1">IFERROR(__xludf.DUMMYFUNCTION("""COMPUTED_VALUE"""),1)</f>
        <v>1</v>
      </c>
      <c r="Q78" s="179">
        <f ca="1">IFERROR(__xludf.DUMMYFUNCTION("""COMPUTED_VALUE"""),1)</f>
        <v>1</v>
      </c>
      <c r="R78" s="179">
        <f ca="1">IFERROR(__xludf.DUMMYFUNCTION("""COMPUTED_VALUE"""),1)</f>
        <v>1</v>
      </c>
      <c r="S78" s="179" t="str">
        <f ca="1">IFERROR(__xludf.DUMMYFUNCTION("""COMPUTED_VALUE"""),"Duplicate application with NETTOYER AUTOMOTIVES PRIVATE LIMITED")</f>
        <v>Duplicate application with NETTOYER AUTOMOTIVES PRIVATE LIMITED</v>
      </c>
      <c r="T78" s="437">
        <f ca="1">IFERROR(__xludf.DUMMYFUNCTION("""COMPUTED_VALUE"""),0)</f>
        <v>0</v>
      </c>
      <c r="U78" s="179" t="str">
        <f ca="1">IFERROR(__xludf.DUMMYFUNCTION("""COMPUTED_VALUE"""),"&lt;$500K")</f>
        <v>&lt;$500K</v>
      </c>
      <c r="V78" s="179">
        <f ca="1">IFERROR(__xludf.DUMMYFUNCTION("""COMPUTED_VALUE"""),1)</f>
        <v>1</v>
      </c>
      <c r="W78" s="179" t="str">
        <f ca="1">IFERROR(__xludf.DUMMYFUNCTION("""COMPUTED_VALUE"""),"Duplicate application with NETTOYER AUTOMOTIVES PRIVATE LIMITED")</f>
        <v>Duplicate application with NETTOYER AUTOMOTIVES PRIVATE LIMITED</v>
      </c>
    </row>
    <row r="79" spans="1:23">
      <c r="A79" s="179" t="str">
        <f ca="1">IFERROR(__xludf.DUMMYFUNCTION("""COMPUTED_VALUE"""),"R")</f>
        <v>R</v>
      </c>
      <c r="B79" s="436">
        <f ca="1">IFERROR(__xludf.DUMMYFUNCTION("""COMPUTED_VALUE"""),44791.5860105439)</f>
        <v>44791.586010543899</v>
      </c>
      <c r="C79" s="179" t="str">
        <f ca="1">IFERROR(__xludf.DUMMYFUNCTION("""COMPUTED_VALUE"""),"cm6077@stern.nyu.edu")</f>
        <v>cm6077@stern.nyu.edu</v>
      </c>
      <c r="D79" s="179" t="str">
        <f ca="1">IFERROR(__xludf.DUMMYFUNCTION("""COMPUTED_VALUE"""),"Chris Millisits")</f>
        <v>Chris Millisits</v>
      </c>
      <c r="E79" s="179" t="str">
        <f ca="1">IFERROR(__xludf.DUMMYFUNCTION("""COMPUTED_VALUE"""),"I have read and understand the confidentiality agreement for application reviewers.")</f>
        <v>I have read and understand the confidentiality agreement for application reviewers.</v>
      </c>
      <c r="F79" s="179" t="str">
        <f ca="1">IFERROR(__xludf.DUMMYFUNCTION("""COMPUTED_VALUE"""),"Neu Bio, Inc.")</f>
        <v>Neu Bio, Inc.</v>
      </c>
      <c r="G79" s="179" t="str">
        <f ca="1">IFERROR(__xludf.DUMMYFUNCTION("""COMPUTED_VALUE"""),"Early diagnostic testing for neurodegenerative diseases (PD, ALS and Alzheimer’s Disease) / Seed ")</f>
        <v xml:space="preserve">Early diagnostic testing for neurodegenerative diseases (PD, ALS and Alzheimer’s Disease) / Seed </v>
      </c>
      <c r="H79" s="179">
        <f ca="1">IFERROR(__xludf.DUMMYFUNCTION("""COMPUTED_VALUE"""),5)</f>
        <v>5</v>
      </c>
      <c r="I79" s="179">
        <f ca="1">IFERROR(__xludf.DUMMYFUNCTION("""COMPUTED_VALUE"""),2)</f>
        <v>2</v>
      </c>
      <c r="J79" s="179">
        <f ca="1">IFERROR(__xludf.DUMMYFUNCTION("""COMPUTED_VALUE"""),4)</f>
        <v>4</v>
      </c>
      <c r="K79" s="179">
        <f ca="1">IFERROR(__xludf.DUMMYFUNCTION("""COMPUTED_VALUE"""),4)</f>
        <v>4</v>
      </c>
      <c r="L79" s="179" t="str">
        <f ca="1">IFERROR(__xludf.DUMMYFUNCTION("""COMPUTED_VALUE"""),"Large IP portfolio for Parkinson's (51 biomarkers), validated across 6 NIH datasets.")</f>
        <v>Large IP portfolio for Parkinson's (51 biomarkers), validated across 6 NIH datasets.</v>
      </c>
      <c r="M79" s="179">
        <f ca="1">IFERROR(__xludf.DUMMYFUNCTION("""COMPUTED_VALUE"""),4)</f>
        <v>4</v>
      </c>
      <c r="N79" s="179">
        <f ca="1">IFERROR(__xludf.DUMMYFUNCTION("""COMPUTED_VALUE"""),1)</f>
        <v>1</v>
      </c>
      <c r="O79" s="179" t="str">
        <f ca="1">IFERROR(__xludf.DUMMYFUNCTION("""COMPUTED_VALUE"""),"Large market, no traction to date")</f>
        <v>Large market, no traction to date</v>
      </c>
      <c r="P79" s="179">
        <f ca="1">IFERROR(__xludf.DUMMYFUNCTION("""COMPUTED_VALUE"""),4)</f>
        <v>4</v>
      </c>
      <c r="Q79" s="179">
        <f ca="1">IFERROR(__xludf.DUMMYFUNCTION("""COMPUTED_VALUE"""),4)</f>
        <v>4</v>
      </c>
      <c r="R79" s="179">
        <f ca="1">IFERROR(__xludf.DUMMYFUNCTION("""COMPUTED_VALUE"""),4)</f>
        <v>4</v>
      </c>
      <c r="S79" s="179" t="str">
        <f ca="1">IFERROR(__xludf.DUMMYFUNCTION("""COMPUTED_VALUE"""),"CEO &amp; co-founder has strong track record of product development in medical devices. The other co-founders have less experience but there's a good mix across business disciplines despite the relative inexperience.")</f>
        <v>CEO &amp; co-founder has strong track record of product development in medical devices. The other co-founders have less experience but there's a good mix across business disciplines despite the relative inexperience.</v>
      </c>
      <c r="T79" s="437">
        <f ca="1">IFERROR(__xludf.DUMMYFUNCTION("""COMPUTED_VALUE"""),1250000)</f>
        <v>1250000</v>
      </c>
      <c r="U79" s="179" t="str">
        <f ca="1">IFERROR(__xludf.DUMMYFUNCTION("""COMPUTED_VALUE"""),"$1-$5M")</f>
        <v>$1-$5M</v>
      </c>
      <c r="V79" s="179">
        <f ca="1">IFERROR(__xludf.DUMMYFUNCTION("""COMPUTED_VALUE"""),4)</f>
        <v>4</v>
      </c>
      <c r="W79" s="179" t="str">
        <f ca="1">IFERROR(__xludf.DUMMYFUNCTION("""COMPUTED_VALUE"""),"CEO has a strong track record in medical devices. Broad IP portfolio. Some product validation, but limited traction to date. This is a crowded space (diagnostics for neurocognitive diseases) with a lot of new entrants.")</f>
        <v>CEO has a strong track record in medical devices. Broad IP portfolio. Some product validation, but limited traction to date. This is a crowded space (diagnostics for neurocognitive diseases) with a lot of new entrants.</v>
      </c>
    </row>
    <row r="80" spans="1:23">
      <c r="A80" s="179" t="str">
        <f ca="1">IFERROR(__xludf.DUMMYFUNCTION("""COMPUTED_VALUE"""),"R")</f>
        <v>R</v>
      </c>
      <c r="B80" s="436">
        <f ca="1">IFERROR(__xludf.DUMMYFUNCTION("""COMPUTED_VALUE"""),44791.6099463541)</f>
        <v>44791.609946354103</v>
      </c>
      <c r="C80" s="179" t="str">
        <f ca="1">IFERROR(__xludf.DUMMYFUNCTION("""COMPUTED_VALUE"""),"cm6077@stern.nyu.edu")</f>
        <v>cm6077@stern.nyu.edu</v>
      </c>
      <c r="D80" s="179" t="str">
        <f ca="1">IFERROR(__xludf.DUMMYFUNCTION("""COMPUTED_VALUE"""),"Chris Millisits")</f>
        <v>Chris Millisits</v>
      </c>
      <c r="E80" s="179" t="str">
        <f ca="1">IFERROR(__xludf.DUMMYFUNCTION("""COMPUTED_VALUE"""),"I have read and understand the confidentiality agreement for application reviewers.")</f>
        <v>I have read and understand the confidentiality agreement for application reviewers.</v>
      </c>
      <c r="F80" s="179" t="str">
        <f ca="1">IFERROR(__xludf.DUMMYFUNCTION("""COMPUTED_VALUE"""),"Neurohue")</f>
        <v>Neurohue</v>
      </c>
      <c r="G80" s="179" t="str">
        <f ca="1">IFERROR(__xludf.DUMMYFUNCTION("""COMPUTED_VALUE"""),"Through VR-based Mental Health Training for employees at Community-based Organizations / VR / Pre-seed")</f>
        <v>Through VR-based Mental Health Training for employees at Community-based Organizations / VR / Pre-seed</v>
      </c>
      <c r="H80" s="179">
        <f ca="1">IFERROR(__xludf.DUMMYFUNCTION("""COMPUTED_VALUE"""),3)</f>
        <v>3</v>
      </c>
      <c r="I80" s="179">
        <f ca="1">IFERROR(__xludf.DUMMYFUNCTION("""COMPUTED_VALUE"""),2)</f>
        <v>2</v>
      </c>
      <c r="J80" s="179">
        <f ca="1">IFERROR(__xludf.DUMMYFUNCTION("""COMPUTED_VALUE"""),2)</f>
        <v>2</v>
      </c>
      <c r="K80" s="179">
        <f ca="1">IFERROR(__xludf.DUMMYFUNCTION("""COMPUTED_VALUE"""),2)</f>
        <v>2</v>
      </c>
      <c r="L80" s="179" t="str">
        <f ca="1">IFERROR(__xludf.DUMMYFUNCTION("""COMPUTED_VALUE"""),"Training program is unlikely to be defensible. They hope to get IP protection around their findings, but don't think that prevents market entry of competitors.")</f>
        <v>Training program is unlikely to be defensible. They hope to get IP protection around their findings, but don't think that prevents market entry of competitors.</v>
      </c>
      <c r="M80" s="179">
        <f ca="1">IFERROR(__xludf.DUMMYFUNCTION("""COMPUTED_VALUE"""),2)</f>
        <v>2</v>
      </c>
      <c r="N80" s="179">
        <f ca="1">IFERROR(__xludf.DUMMYFUNCTION("""COMPUTED_VALUE"""),2)</f>
        <v>2</v>
      </c>
      <c r="O80" s="179" t="str">
        <f ca="1">IFERROR(__xludf.DUMMYFUNCTION("""COMPUTED_VALUE"""),"This is a non-profit serving Community-Based Organizations (CBOs). The bottoms-up TAM does not look very large, despite the overall size of the mental health market.")</f>
        <v>This is a non-profit serving Community-Based Organizations (CBOs). The bottoms-up TAM does not look very large, despite the overall size of the mental health market.</v>
      </c>
      <c r="P80" s="179">
        <f ca="1">IFERROR(__xludf.DUMMYFUNCTION("""COMPUTED_VALUE"""),3)</f>
        <v>3</v>
      </c>
      <c r="Q80" s="179">
        <f ca="1">IFERROR(__xludf.DUMMYFUNCTION("""COMPUTED_VALUE"""),2)</f>
        <v>2</v>
      </c>
      <c r="R80" s="179">
        <f ca="1">IFERROR(__xludf.DUMMYFUNCTION("""COMPUTED_VALUE"""),3)</f>
        <v>3</v>
      </c>
      <c r="S80" s="179" t="str">
        <f ca="1">IFERROR(__xludf.DUMMYFUNCTION("""COMPUTED_VALUE"""),"VR/XR experience for both cofounders. Not a lot of medical experience between the two. Highlighted some small projects, hinting at inexperience in larger scale enterprises.")</f>
        <v>VR/XR experience for both cofounders. Not a lot of medical experience between the two. Highlighted some small projects, hinting at inexperience in larger scale enterprises.</v>
      </c>
      <c r="T80" s="437">
        <f ca="1">IFERROR(__xludf.DUMMYFUNCTION("""COMPUTED_VALUE"""),0)</f>
        <v>0</v>
      </c>
      <c r="U80" s="179" t="str">
        <f ca="1">IFERROR(__xludf.DUMMYFUNCTION("""COMPUTED_VALUE"""),"&lt;$500K")</f>
        <v>&lt;$500K</v>
      </c>
      <c r="V80" s="179">
        <f ca="1">IFERROR(__xludf.DUMMYFUNCTION("""COMPUTED_VALUE"""),2)</f>
        <v>2</v>
      </c>
      <c r="W80" s="179" t="str">
        <f ca="1">IFERROR(__xludf.DUMMYFUNCTION("""COMPUTED_VALUE"""),"Small market size, limited ability to pay from ICP, and it's a non-profit. Additionally, training-based program is unlikely to serve as much of a moat, despite VR angle.")</f>
        <v>Small market size, limited ability to pay from ICP, and it's a non-profit. Additionally, training-based program is unlikely to serve as much of a moat, despite VR angle.</v>
      </c>
    </row>
    <row r="81" spans="1:23">
      <c r="A81" s="179" t="str">
        <f ca="1">IFERROR(__xludf.DUMMYFUNCTION("""COMPUTED_VALUE"""),"R")</f>
        <v>R</v>
      </c>
      <c r="B81" s="436">
        <f ca="1">IFERROR(__xludf.DUMMYFUNCTION("""COMPUTED_VALUE"""),44791.6229697685)</f>
        <v>44791.622969768498</v>
      </c>
      <c r="C81" s="179" t="str">
        <f ca="1">IFERROR(__xludf.DUMMYFUNCTION("""COMPUTED_VALUE"""),"cm6077@stern.nyu.edu")</f>
        <v>cm6077@stern.nyu.edu</v>
      </c>
      <c r="D81" s="179" t="str">
        <f ca="1">IFERROR(__xludf.DUMMYFUNCTION("""COMPUTED_VALUE"""),"Chris Millisits")</f>
        <v>Chris Millisits</v>
      </c>
      <c r="E81" s="179" t="str">
        <f ca="1">IFERROR(__xludf.DUMMYFUNCTION("""COMPUTED_VALUE"""),"I have read and understand the confidentiality agreement for application reviewers.")</f>
        <v>I have read and understand the confidentiality agreement for application reviewers.</v>
      </c>
      <c r="F81" s="179" t="str">
        <f ca="1">IFERROR(__xludf.DUMMYFUNCTION("""COMPUTED_VALUE"""),"Neurometry")</f>
        <v>Neurometry</v>
      </c>
      <c r="G81" s="179" t="str">
        <f ca="1">IFERROR(__xludf.DUMMYFUNCTION("""COMPUTED_VALUE"""),"Early diagnosis and management of patients with neurological
disorders through mobile games / Digital Health / Seed")</f>
        <v>Early diagnosis and management of patients with neurological
disorders through mobile games / Digital Health / Seed</v>
      </c>
      <c r="H81" s="179">
        <f ca="1">IFERROR(__xludf.DUMMYFUNCTION("""COMPUTED_VALUE"""),4)</f>
        <v>4</v>
      </c>
      <c r="I81" s="179">
        <f ca="1">IFERROR(__xludf.DUMMYFUNCTION("""COMPUTED_VALUE"""),2)</f>
        <v>2</v>
      </c>
      <c r="J81" s="179">
        <f ca="1">IFERROR(__xludf.DUMMYFUNCTION("""COMPUTED_VALUE"""),2)</f>
        <v>2</v>
      </c>
      <c r="K81" s="179">
        <f ca="1">IFERROR(__xludf.DUMMYFUNCTION("""COMPUTED_VALUE"""),2)</f>
        <v>2</v>
      </c>
      <c r="L81" s="179" t="str">
        <f ca="1">IFERROR(__xludf.DUMMYFUNCTION("""COMPUTED_VALUE"""),"Usability, feasibility and preclinical trial studies. Filing for patents, but at the end of the day is creating digital markers via mobile games. Common approach in the market right now.")</f>
        <v>Usability, feasibility and preclinical trial studies. Filing for patents, but at the end of the day is creating digital markers via mobile games. Common approach in the market right now.</v>
      </c>
      <c r="M81" s="179">
        <f ca="1">IFERROR(__xludf.DUMMYFUNCTION("""COMPUTED_VALUE"""),3)</f>
        <v>3</v>
      </c>
      <c r="N81" s="179">
        <f ca="1">IFERROR(__xludf.DUMMYFUNCTION("""COMPUTED_VALUE"""),1)</f>
        <v>1</v>
      </c>
      <c r="O81" s="179" t="str">
        <f ca="1">IFERROR(__xludf.DUMMYFUNCTION("""COMPUTED_VALUE"""),"No bottoms-up analysis, but making loose assumptions on pricing and ICP, this isn't a huge market (contrary to what was shown in the deck).")</f>
        <v>No bottoms-up analysis, but making loose assumptions on pricing and ICP, this isn't a huge market (contrary to what was shown in the deck).</v>
      </c>
      <c r="P81" s="179">
        <f ca="1">IFERROR(__xludf.DUMMYFUNCTION("""COMPUTED_VALUE"""),3)</f>
        <v>3</v>
      </c>
      <c r="Q81" s="179">
        <f ca="1">IFERROR(__xludf.DUMMYFUNCTION("""COMPUTED_VALUE"""),3)</f>
        <v>3</v>
      </c>
      <c r="R81" s="179">
        <f ca="1">IFERROR(__xludf.DUMMYFUNCTION("""COMPUTED_VALUE"""),3)</f>
        <v>3</v>
      </c>
      <c r="S81" s="179" t="str">
        <f ca="1">IFERROR(__xludf.DUMMYFUNCTION("""COMPUTED_VALUE"""),"CEO is a consultant, moved into biotech in 2018, has previous experience founding algorithmic trading firm. CSO has psychiatry research background and previous founding experience, but is still only part-time.")</f>
        <v>CEO is a consultant, moved into biotech in 2018, has previous experience founding algorithmic trading firm. CSO has psychiatry research background and previous founding experience, but is still only part-time.</v>
      </c>
      <c r="T81" s="437">
        <f ca="1">IFERROR(__xludf.DUMMYFUNCTION("""COMPUTED_VALUE"""),400000)</f>
        <v>400000</v>
      </c>
      <c r="U81" s="179" t="str">
        <f ca="1">IFERROR(__xludf.DUMMYFUNCTION("""COMPUTED_VALUE"""),"$500K-$1M")</f>
        <v>$500K-$1M</v>
      </c>
      <c r="V81" s="179">
        <f ca="1">IFERROR(__xludf.DUMMYFUNCTION("""COMPUTED_VALUE"""),2)</f>
        <v>2</v>
      </c>
      <c r="W81" s="179" t="str">
        <f ca="1">IFERROR(__xludf.DUMMYFUNCTION("""COMPUTED_VALUE"""),"Early diagnosis through mobile games is not a novel approach. Team has previous founding experience, and some of it directly relevant. Overall, not convinced that adoption will be to the extent to sustain many winners in this space.")</f>
        <v>Early diagnosis through mobile games is not a novel approach. Team has previous founding experience, and some of it directly relevant. Overall, not convinced that adoption will be to the extent to sustain many winners in this space.</v>
      </c>
    </row>
    <row r="82" spans="1:23">
      <c r="A82" s="179" t="str">
        <f ca="1">IFERROR(__xludf.DUMMYFUNCTION("""COMPUTED_VALUE"""),"R")</f>
        <v>R</v>
      </c>
      <c r="B82" s="436">
        <f ca="1">IFERROR(__xludf.DUMMYFUNCTION("""COMPUTED_VALUE"""),44791.6354826736)</f>
        <v>44791.635482673599</v>
      </c>
      <c r="C82" s="179" t="str">
        <f ca="1">IFERROR(__xludf.DUMMYFUNCTION("""COMPUTED_VALUE"""),"cm6077@stern.nyu.edu")</f>
        <v>cm6077@stern.nyu.edu</v>
      </c>
      <c r="D82" s="179" t="str">
        <f ca="1">IFERROR(__xludf.DUMMYFUNCTION("""COMPUTED_VALUE"""),"Chris Millisits")</f>
        <v>Chris Millisits</v>
      </c>
      <c r="E82" s="179" t="str">
        <f ca="1">IFERROR(__xludf.DUMMYFUNCTION("""COMPUTED_VALUE"""),"I have read and understand the confidentiality agreement for application reviewers.")</f>
        <v>I have read and understand the confidentiality agreement for application reviewers.</v>
      </c>
      <c r="F82" s="179" t="str">
        <f ca="1">IFERROR(__xludf.DUMMYFUNCTION("""COMPUTED_VALUE"""),"Neuropair, Inc")</f>
        <v>Neuropair, Inc</v>
      </c>
      <c r="G82" s="179" t="str">
        <f ca="1">IFERROR(__xludf.DUMMYFUNCTION("""COMPUTED_VALUE"""),"Early-stage therapeutic company aiming to regenerate and re-connect neurons after spinal cord injury, using an injectable gel formulation to create a fiber scaffold in the injury site / Biotech &amp; Nanotech / Seed")</f>
        <v>Early-stage therapeutic company aiming to regenerate and re-connect neurons after spinal cord injury, using an injectable gel formulation to create a fiber scaffold in the injury site / Biotech &amp; Nanotech / Seed</v>
      </c>
      <c r="H82" s="179">
        <f ca="1">IFERROR(__xludf.DUMMYFUNCTION("""COMPUTED_VALUE"""),4)</f>
        <v>4</v>
      </c>
      <c r="I82" s="179">
        <f ca="1">IFERROR(__xludf.DUMMYFUNCTION("""COMPUTED_VALUE"""),5)</f>
        <v>5</v>
      </c>
      <c r="J82" s="179">
        <f ca="1">IFERROR(__xludf.DUMMYFUNCTION("""COMPUTED_VALUE"""),3)</f>
        <v>3</v>
      </c>
      <c r="K82" s="179">
        <f ca="1">IFERROR(__xludf.DUMMYFUNCTION("""COMPUTED_VALUE"""),4)</f>
        <v>4</v>
      </c>
      <c r="L82" s="179" t="str">
        <f ca="1">IFERROR(__xludf.DUMMYFUNCTION("""COMPUTED_VALUE"""),"Novel approach, IP protection")</f>
        <v>Novel approach, IP protection</v>
      </c>
      <c r="M82" s="179">
        <f ca="1">IFERROR(__xludf.DUMMYFUNCTION("""COMPUTED_VALUE"""),4)</f>
        <v>4</v>
      </c>
      <c r="N82" s="179">
        <f ca="1">IFERROR(__xludf.DUMMYFUNCTION("""COMPUTED_VALUE"""),1)</f>
        <v>1</v>
      </c>
      <c r="O82" s="179" t="str">
        <f ca="1">IFERROR(__xludf.DUMMYFUNCTION("""COMPUTED_VALUE"""),"Medium-large market opportunity. Have no spoken to customers")</f>
        <v>Medium-large market opportunity. Have no spoken to customers</v>
      </c>
      <c r="P82" s="179">
        <f ca="1">IFERROR(__xludf.DUMMYFUNCTION("""COMPUTED_VALUE"""),4)</f>
        <v>4</v>
      </c>
      <c r="Q82" s="179">
        <f ca="1">IFERROR(__xludf.DUMMYFUNCTION("""COMPUTED_VALUE"""),4)</f>
        <v>4</v>
      </c>
      <c r="R82" s="179">
        <f ca="1">IFERROR(__xludf.DUMMYFUNCTION("""COMPUTED_VALUE"""),4)</f>
        <v>4</v>
      </c>
      <c r="S82" s="179" t="str">
        <f ca="1">IFERROR(__xludf.DUMMYFUNCTION("""COMPUTED_VALUE"""),"22 years running a genomic research firm, with many successfully generated products")</f>
        <v>22 years running a genomic research firm, with many successfully generated products</v>
      </c>
      <c r="T82" s="437">
        <f ca="1">IFERROR(__xludf.DUMMYFUNCTION("""COMPUTED_VALUE"""),195000)</f>
        <v>195000</v>
      </c>
      <c r="U82" s="179" t="str">
        <f ca="1">IFERROR(__xludf.DUMMYFUNCTION("""COMPUTED_VALUE"""),"$500K-$1M")</f>
        <v>$500K-$1M</v>
      </c>
      <c r="V82" s="179">
        <f ca="1">IFERROR(__xludf.DUMMYFUNCTION("""COMPUTED_VALUE"""),4)</f>
        <v>4</v>
      </c>
      <c r="W82" s="179" t="str">
        <f ca="1">IFERROR(__xludf.DUMMYFUNCTION("""COMPUTED_VALUE"""),"CEO has relevant experience, seems like a novel approach compared to competitors. Non-trivial market size.")</f>
        <v>CEO has relevant experience, seems like a novel approach compared to competitors. Non-trivial market size.</v>
      </c>
    </row>
    <row r="83" spans="1:23">
      <c r="A83" s="179" t="str">
        <f ca="1">IFERROR(__xludf.DUMMYFUNCTION("""COMPUTED_VALUE"""),"R")</f>
        <v>R</v>
      </c>
      <c r="B83" s="436">
        <f ca="1">IFERROR(__xludf.DUMMYFUNCTION("""COMPUTED_VALUE"""),44791.6410257986)</f>
        <v>44791.641025798599</v>
      </c>
      <c r="C83" s="179" t="str">
        <f ca="1">IFERROR(__xludf.DUMMYFUNCTION("""COMPUTED_VALUE"""),"cm6077@stern.nyu.edu")</f>
        <v>cm6077@stern.nyu.edu</v>
      </c>
      <c r="D83" s="179" t="str">
        <f ca="1">IFERROR(__xludf.DUMMYFUNCTION("""COMPUTED_VALUE"""),"Chris Millisits")</f>
        <v>Chris Millisits</v>
      </c>
      <c r="E83" s="179" t="str">
        <f ca="1">IFERROR(__xludf.DUMMYFUNCTION("""COMPUTED_VALUE"""),"I have read and understand the confidentiality agreement for application reviewers.")</f>
        <v>I have read and understand the confidentiality agreement for application reviewers.</v>
      </c>
      <c r="F83" s="179" t="str">
        <f ca="1">IFERROR(__xludf.DUMMYFUNCTION("""COMPUTED_VALUE"""),"New Age Hygienic Systems, Inc.")</f>
        <v>New Age Hygienic Systems, Inc.</v>
      </c>
      <c r="G83" s="179" t="str">
        <f ca="1">IFERROR(__xludf.DUMMYFUNCTION("""COMPUTED_VALUE"""),"Toilets that use a fraction of the water of existing solutions, using ""properties of water"" / CleanTech / Seed")</f>
        <v>Toilets that use a fraction of the water of existing solutions, using "properties of water" / CleanTech / Seed</v>
      </c>
      <c r="H83" s="179">
        <f ca="1">IFERROR(__xludf.DUMMYFUNCTION("""COMPUTED_VALUE"""),3)</f>
        <v>3</v>
      </c>
      <c r="I83" s="179">
        <f ca="1">IFERROR(__xludf.DUMMYFUNCTION("""COMPUTED_VALUE"""),3)</f>
        <v>3</v>
      </c>
      <c r="J83" s="179">
        <f ca="1">IFERROR(__xludf.DUMMYFUNCTION("""COMPUTED_VALUE"""),2)</f>
        <v>2</v>
      </c>
      <c r="K83" s="179">
        <f ca="1">IFERROR(__xludf.DUMMYFUNCTION("""COMPUTED_VALUE"""),3)</f>
        <v>3</v>
      </c>
      <c r="L83" s="179" t="str">
        <f ca="1">IFERROR(__xludf.DUMMYFUNCTION("""COMPUTED_VALUE"""),"Proof of concept prototype, patented")</f>
        <v>Proof of concept prototype, patented</v>
      </c>
      <c r="M83" s="179">
        <f ca="1">IFERROR(__xludf.DUMMYFUNCTION("""COMPUTED_VALUE"""),4)</f>
        <v>4</v>
      </c>
      <c r="N83" s="179">
        <f ca="1">IFERROR(__xludf.DUMMYFUNCTION("""COMPUTED_VALUE"""),3)</f>
        <v>3</v>
      </c>
      <c r="O83" s="179" t="str">
        <f ca="1">IFERROR(__xludf.DUMMYFUNCTION("""COMPUTED_VALUE"""),"Claims a long wait list of orders")</f>
        <v>Claims a long wait list of orders</v>
      </c>
      <c r="P83" s="179">
        <f ca="1">IFERROR(__xludf.DUMMYFUNCTION("""COMPUTED_VALUE"""),2)</f>
        <v>2</v>
      </c>
      <c r="Q83" s="179">
        <f ca="1">IFERROR(__xludf.DUMMYFUNCTION("""COMPUTED_VALUE"""),2)</f>
        <v>2</v>
      </c>
      <c r="R83" s="179">
        <f ca="1">IFERROR(__xludf.DUMMYFUNCTION("""COMPUTED_VALUE"""),2)</f>
        <v>2</v>
      </c>
      <c r="S83" s="179" t="str">
        <f ca="1">IFERROR(__xludf.DUMMYFUNCTION("""COMPUTED_VALUE"""),"Serial entrepreneur, other ventures run the gambit from high-end car dealership to movie production. Overall vision is more water efficient toilets.")</f>
        <v>Serial entrepreneur, other ventures run the gambit from high-end car dealership to movie production. Overall vision is more water efficient toilets.</v>
      </c>
      <c r="T83" s="437">
        <f ca="1">IFERROR(__xludf.DUMMYFUNCTION("""COMPUTED_VALUE"""),0)</f>
        <v>0</v>
      </c>
      <c r="U83" s="179" t="str">
        <f ca="1">IFERROR(__xludf.DUMMYFUNCTION("""COMPUTED_VALUE"""),"&gt;$5M")</f>
        <v>&gt;$5M</v>
      </c>
      <c r="V83" s="179">
        <f ca="1">IFERROR(__xludf.DUMMYFUNCTION("""COMPUTED_VALUE"""),2)</f>
        <v>2</v>
      </c>
      <c r="W83" s="179" t="str">
        <f ca="1">IFERROR(__xludf.DUMMYFUNCTION("""COMPUTED_VALUE"""),"Raising $15m and wants to immediately scale production. Not a lot of consideration about route to market other than low flow toilets often being subsidized by the US government. Generally, the founder did not take the application seriously and was flippan"&amp;"t with many of his answers.")</f>
        <v>Raising $15m and wants to immediately scale production. Not a lot of consideration about route to market other than low flow toilets often being subsidized by the US government. Generally, the founder did not take the application seriously and was flippant with many of his answers.</v>
      </c>
    </row>
    <row r="84" spans="1:23">
      <c r="A84" s="179" t="str">
        <f ca="1">IFERROR(__xludf.DUMMYFUNCTION("""COMPUTED_VALUE"""),"R")</f>
        <v>R</v>
      </c>
      <c r="B84" s="436">
        <f ca="1">IFERROR(__xludf.DUMMYFUNCTION("""COMPUTED_VALUE"""),44791.6482398958)</f>
        <v>44791.648239895803</v>
      </c>
      <c r="C84" s="179" t="str">
        <f ca="1">IFERROR(__xludf.DUMMYFUNCTION("""COMPUTED_VALUE"""),"cm6077@stern.nyu.edu")</f>
        <v>cm6077@stern.nyu.edu</v>
      </c>
      <c r="D84" s="179" t="str">
        <f ca="1">IFERROR(__xludf.DUMMYFUNCTION("""COMPUTED_VALUE"""),"Chris Millisits")</f>
        <v>Chris Millisits</v>
      </c>
      <c r="E84" s="179" t="str">
        <f ca="1">IFERROR(__xludf.DUMMYFUNCTION("""COMPUTED_VALUE"""),"I have read and understand the confidentiality agreement for application reviewers.")</f>
        <v>I have read and understand the confidentiality agreement for application reviewers.</v>
      </c>
      <c r="F84" s="179" t="str">
        <f ca="1">IFERROR(__xludf.DUMMYFUNCTION("""COMPUTED_VALUE"""),"NewYou /ThePeopleChain/notyet")</f>
        <v>NewYou /ThePeopleChain/notyet</v>
      </c>
      <c r="G84" s="179" t="str">
        <f ca="1">IFERROR(__xludf.DUMMYFUNCTION("""COMPUTED_VALUE"""),"Utilizing Blockchain for healthcare record system / Healthcare (EHR) / Idea")</f>
        <v>Utilizing Blockchain for healthcare record system / Healthcare (EHR) / Idea</v>
      </c>
      <c r="H84" s="179">
        <f ca="1">IFERROR(__xludf.DUMMYFUNCTION("""COMPUTED_VALUE"""),3)</f>
        <v>3</v>
      </c>
      <c r="I84" s="179">
        <f ca="1">IFERROR(__xludf.DUMMYFUNCTION("""COMPUTED_VALUE"""),1)</f>
        <v>1</v>
      </c>
      <c r="J84" s="179">
        <f ca="1">IFERROR(__xludf.DUMMYFUNCTION("""COMPUTED_VALUE"""),1)</f>
        <v>1</v>
      </c>
      <c r="K84" s="179">
        <f ca="1">IFERROR(__xludf.DUMMYFUNCTION("""COMPUTED_VALUE"""),1)</f>
        <v>1</v>
      </c>
      <c r="L84" s="179" t="str">
        <f ca="1">IFERROR(__xludf.DUMMYFUNCTION("""COMPUTED_VALUE"""),"Lots of people want to put EHR on the blockchain. No plans regarding IP.")</f>
        <v>Lots of people want to put EHR on the blockchain. No plans regarding IP.</v>
      </c>
      <c r="M84" s="179">
        <f ca="1">IFERROR(__xludf.DUMMYFUNCTION("""COMPUTED_VALUE"""),2)</f>
        <v>2</v>
      </c>
      <c r="N84" s="179">
        <f ca="1">IFERROR(__xludf.DUMMYFUNCTION("""COMPUTED_VALUE"""),1)</f>
        <v>1</v>
      </c>
      <c r="O84" s="179" t="str">
        <f ca="1">IFERROR(__xludf.DUMMYFUNCTION("""COMPUTED_VALUE"""),"Blockchain addressable market in EHR is small for the foreseeable future.")</f>
        <v>Blockchain addressable market in EHR is small for the foreseeable future.</v>
      </c>
      <c r="P84" s="179">
        <f ca="1">IFERROR(__xludf.DUMMYFUNCTION("""COMPUTED_VALUE"""),1)</f>
        <v>1</v>
      </c>
      <c r="Q84" s="179">
        <f ca="1">IFERROR(__xludf.DUMMYFUNCTION("""COMPUTED_VALUE"""),1)</f>
        <v>1</v>
      </c>
      <c r="R84" s="179">
        <f ca="1">IFERROR(__xludf.DUMMYFUNCTION("""COMPUTED_VALUE"""),1)</f>
        <v>1</v>
      </c>
      <c r="S84" s="179" t="str">
        <f ca="1">IFERROR(__xludf.DUMMYFUNCTION("""COMPUTED_VALUE"""),"Very young team. Doesn't convey much understanding in the deck or application about why healthcare record systems have been tough to crack. Didn't know how to answer the vision question, which reiterates inexperience of the team.")</f>
        <v>Very young team. Doesn't convey much understanding in the deck or application about why healthcare record systems have been tough to crack. Didn't know how to answer the vision question, which reiterates inexperience of the team.</v>
      </c>
      <c r="T84" s="437">
        <f ca="1">IFERROR(__xludf.DUMMYFUNCTION("""COMPUTED_VALUE"""),0)</f>
        <v>0</v>
      </c>
      <c r="U84" s="179" t="str">
        <f ca="1">IFERROR(__xludf.DUMMYFUNCTION("""COMPUTED_VALUE"""),"$1-$5M")</f>
        <v>$1-$5M</v>
      </c>
      <c r="V84" s="179">
        <f ca="1">IFERROR(__xludf.DUMMYFUNCTION("""COMPUTED_VALUE"""),1)</f>
        <v>1</v>
      </c>
      <c r="W84" s="179" t="str">
        <f ca="1">IFERROR(__xludf.DUMMYFUNCTION("""COMPUTED_VALUE"""),"Inexperienced team. Very much at concept phase. Missing some of the nuance you'd want to see in healthcare. Even if a market materializes, this is not the team to make this happen.")</f>
        <v>Inexperienced team. Very much at concept phase. Missing some of the nuance you'd want to see in healthcare. Even if a market materializes, this is not the team to make this happen.</v>
      </c>
    </row>
    <row r="85" spans="1:23">
      <c r="A85" s="179" t="str">
        <f ca="1">IFERROR(__xludf.DUMMYFUNCTION("""COMPUTED_VALUE"""),"R")</f>
        <v>R</v>
      </c>
      <c r="B85" s="436">
        <f ca="1">IFERROR(__xludf.DUMMYFUNCTION("""COMPUTED_VALUE"""),44791.65578375)</f>
        <v>44791.65578375</v>
      </c>
      <c r="C85" s="179" t="str">
        <f ca="1">IFERROR(__xludf.DUMMYFUNCTION("""COMPUTED_VALUE"""),"cm6077@stern.nyu.edu")</f>
        <v>cm6077@stern.nyu.edu</v>
      </c>
      <c r="D85" s="179" t="str">
        <f ca="1">IFERROR(__xludf.DUMMYFUNCTION("""COMPUTED_VALUE"""),"Chris Millisits")</f>
        <v>Chris Millisits</v>
      </c>
      <c r="E85" s="179" t="str">
        <f ca="1">IFERROR(__xludf.DUMMYFUNCTION("""COMPUTED_VALUE"""),"I have read and understand the confidentiality agreement for application reviewers.")</f>
        <v>I have read and understand the confidentiality agreement for application reviewers.</v>
      </c>
      <c r="F85" s="179" t="str">
        <f ca="1">IFERROR(__xludf.DUMMYFUNCTION("""COMPUTED_VALUE"""),"Niftron (Pvt) Ltd")</f>
        <v>Niftron (Pvt) Ltd</v>
      </c>
      <c r="G85" s="179" t="str">
        <f ca="1">IFERROR(__xludf.DUMMYFUNCTION("""COMPUTED_VALUE"""),"DePro allows users to host their individual profiles, company profiles, resumes, etc.on the blockchain / Blockchain / Seed")</f>
        <v>DePro allows users to host their individual profiles, company profiles, resumes, etc.on the blockchain / Blockchain / Seed</v>
      </c>
      <c r="H85" s="179">
        <f ca="1">IFERROR(__xludf.DUMMYFUNCTION("""COMPUTED_VALUE"""),3)</f>
        <v>3</v>
      </c>
      <c r="I85" s="179">
        <f ca="1">IFERROR(__xludf.DUMMYFUNCTION("""COMPUTED_VALUE"""),2)</f>
        <v>2</v>
      </c>
      <c r="J85" s="179">
        <f ca="1">IFERROR(__xludf.DUMMYFUNCTION("""COMPUTED_VALUE"""),2)</f>
        <v>2</v>
      </c>
      <c r="K85" s="179">
        <f ca="1">IFERROR(__xludf.DUMMYFUNCTION("""COMPUTED_VALUE"""),1)</f>
        <v>1</v>
      </c>
      <c r="L85" s="179" t="str">
        <f ca="1">IFERROR(__xludf.DUMMYFUNCTION("""COMPUTED_VALUE"""),"No plan regarding IP protection. Claims that their main innovation is business model based, but it's really just a marketplace.")</f>
        <v>No plan regarding IP protection. Claims that their main innovation is business model based, but it's really just a marketplace.</v>
      </c>
      <c r="M85" s="179">
        <f ca="1">IFERROR(__xludf.DUMMYFUNCTION("""COMPUTED_VALUE"""),3)</f>
        <v>3</v>
      </c>
      <c r="N85" s="179">
        <f ca="1">IFERROR(__xludf.DUMMYFUNCTION("""COMPUTED_VALUE"""),2)</f>
        <v>2</v>
      </c>
      <c r="O85" s="179" t="str">
        <f ca="1">IFERROR(__xludf.DUMMYFUNCTION("""COMPUTED_VALUE"""),"Has paying customers. Would be interesting to see the retention and usage numbers for this.")</f>
        <v>Has paying customers. Would be interesting to see the retention and usage numbers for this.</v>
      </c>
      <c r="P85" s="179">
        <f ca="1">IFERROR(__xludf.DUMMYFUNCTION("""COMPUTED_VALUE"""),3)</f>
        <v>3</v>
      </c>
      <c r="Q85" s="179">
        <f ca="1">IFERROR(__xludf.DUMMYFUNCTION("""COMPUTED_VALUE"""),2)</f>
        <v>2</v>
      </c>
      <c r="R85" s="179">
        <f ca="1">IFERROR(__xludf.DUMMYFUNCTION("""COMPUTED_VALUE"""),3)</f>
        <v>3</v>
      </c>
      <c r="S85" s="179" t="str">
        <f ca="1">IFERROR(__xludf.DUMMYFUNCTION("""COMPUTED_VALUE"""),"They've all got experience building on the blockchain. Would like to see more business acumen in the team. Young team though.")</f>
        <v>They've all got experience building on the blockchain. Would like to see more business acumen in the team. Young team though.</v>
      </c>
      <c r="T85" s="437">
        <f ca="1">IFERROR(__xludf.DUMMYFUNCTION("""COMPUTED_VALUE"""),100000)</f>
        <v>100000</v>
      </c>
      <c r="U85" s="179" t="str">
        <f ca="1">IFERROR(__xludf.DUMMYFUNCTION("""COMPUTED_VALUE"""),"$500K-$1M")</f>
        <v>$500K-$1M</v>
      </c>
      <c r="V85" s="179">
        <f ca="1">IFERROR(__xludf.DUMMYFUNCTION("""COMPUTED_VALUE"""),2)</f>
        <v>2</v>
      </c>
      <c r="W85" s="179" t="str">
        <f ca="1">IFERROR(__xludf.DUMMYFUNCTION("""COMPUTED_VALUE"""),"There's a lack of focus in this idea. It wants to be the source of truth middleman across many industries and use cases. An unspecialized marketplace model is tough to make work.")</f>
        <v>There's a lack of focus in this idea. It wants to be the source of truth middleman across many industries and use cases. An unspecialized marketplace model is tough to make work.</v>
      </c>
    </row>
    <row r="86" spans="1:23">
      <c r="A86" s="179" t="str">
        <f ca="1">IFERROR(__xludf.DUMMYFUNCTION("""COMPUTED_VALUE"""),"R")</f>
        <v>R</v>
      </c>
      <c r="B86" s="436">
        <f ca="1">IFERROR(__xludf.DUMMYFUNCTION("""COMPUTED_VALUE"""),44791.6637411574)</f>
        <v>44791.663741157397</v>
      </c>
      <c r="C86" s="179" t="str">
        <f ca="1">IFERROR(__xludf.DUMMYFUNCTION("""COMPUTED_VALUE"""),"cm6077@stern.nyu.edu")</f>
        <v>cm6077@stern.nyu.edu</v>
      </c>
      <c r="D86" s="179" t="str">
        <f ca="1">IFERROR(__xludf.DUMMYFUNCTION("""COMPUTED_VALUE"""),"Chris Millisits")</f>
        <v>Chris Millisits</v>
      </c>
      <c r="E86" s="179" t="str">
        <f ca="1">IFERROR(__xludf.DUMMYFUNCTION("""COMPUTED_VALUE"""),"I have read and understand the confidentiality agreement for application reviewers.")</f>
        <v>I have read and understand the confidentiality agreement for application reviewers.</v>
      </c>
      <c r="F86" s="179" t="str">
        <f ca="1">IFERROR(__xludf.DUMMYFUNCTION("""COMPUTED_VALUE"""),"Niura")</f>
        <v>Niura</v>
      </c>
      <c r="G86" s="179" t="str">
        <f ca="1">IFERROR(__xludf.DUMMYFUNCTION("""COMPUTED_VALUE"""),"In-ear headphones that use EEG and Brain Scanning to determine the mood of the listener to help with music discovery / Electronics / Pre-seed")</f>
        <v>In-ear headphones that use EEG and Brain Scanning to determine the mood of the listener to help with music discovery / Electronics / Pre-seed</v>
      </c>
      <c r="H86" s="179">
        <f ca="1">IFERROR(__xludf.DUMMYFUNCTION("""COMPUTED_VALUE"""),2)</f>
        <v>2</v>
      </c>
      <c r="I86" s="179">
        <f ca="1">IFERROR(__xludf.DUMMYFUNCTION("""COMPUTED_VALUE"""),2)</f>
        <v>2</v>
      </c>
      <c r="J86" s="179">
        <f ca="1">IFERROR(__xludf.DUMMYFUNCTION("""COMPUTED_VALUE"""),1)</f>
        <v>1</v>
      </c>
      <c r="K86" s="179">
        <f ca="1">IFERROR(__xludf.DUMMYFUNCTION("""COMPUTED_VALUE"""),3)</f>
        <v>3</v>
      </c>
      <c r="L86" s="179" t="str">
        <f ca="1">IFERROR(__xludf.DUMMYFUNCTION("""COMPUTED_VALUE"""),"Used other startups' ability to fundraise with similar concepts as validation of their tech. Provisional utility patents. Also, this isn't a pressing problem.")</f>
        <v>Used other startups' ability to fundraise with similar concepts as validation of their tech. Provisional utility patents. Also, this isn't a pressing problem.</v>
      </c>
      <c r="M86" s="179">
        <f ca="1">IFERROR(__xludf.DUMMYFUNCTION("""COMPUTED_VALUE"""),3)</f>
        <v>3</v>
      </c>
      <c r="N86" s="179">
        <f ca="1">IFERROR(__xludf.DUMMYFUNCTION("""COMPUTED_VALUE"""),1)</f>
        <v>1</v>
      </c>
      <c r="O86" s="179" t="str">
        <f ca="1">IFERROR(__xludf.DUMMYFUNCTION("""COMPUTED_VALUE"""),"Wants to be a low cost headphones, which is a crowded space with limited upside. Would need to move millions of units. No customers, just a market survey full of leading questions (see slide deck).")</f>
        <v>Wants to be a low cost headphones, which is a crowded space with limited upside. Would need to move millions of units. No customers, just a market survey full of leading questions (see slide deck).</v>
      </c>
      <c r="P86" s="179">
        <f ca="1">IFERROR(__xludf.DUMMYFUNCTION("""COMPUTED_VALUE"""),4)</f>
        <v>4</v>
      </c>
      <c r="Q86" s="179">
        <f ca="1">IFERROR(__xludf.DUMMYFUNCTION("""COMPUTED_VALUE"""),1)</f>
        <v>1</v>
      </c>
      <c r="R86" s="179">
        <f ca="1">IFERROR(__xludf.DUMMYFUNCTION("""COMPUTED_VALUE"""),1)</f>
        <v>1</v>
      </c>
      <c r="S86" s="179" t="str">
        <f ca="1">IFERROR(__xludf.DUMMYFUNCTION("""COMPUTED_VALUE"""),"The founder has 5 years of background in social science research. The rest of the team is very young (college freshmen).")</f>
        <v>The founder has 5 years of background in social science research. The rest of the team is very young (college freshmen).</v>
      </c>
      <c r="T86" s="437">
        <f ca="1">IFERROR(__xludf.DUMMYFUNCTION("""COMPUTED_VALUE"""),0)</f>
        <v>0</v>
      </c>
      <c r="U86" s="179" t="str">
        <f ca="1">IFERROR(__xludf.DUMMYFUNCTION("""COMPUTED_VALUE"""),"&lt;$500K")</f>
        <v>&lt;$500K</v>
      </c>
      <c r="V86" s="179">
        <f ca="1">IFERROR(__xludf.DUMMYFUNCTION("""COMPUTED_VALUE"""),1)</f>
        <v>1</v>
      </c>
      <c r="W86" s="179" t="str">
        <f ca="1">IFERROR(__xludf.DUMMYFUNCTION("""COMPUTED_VALUE"""),"Inexperienced team. Creating a low-cost headphone product, trying to win with a cool feature.")</f>
        <v>Inexperienced team. Creating a low-cost headphone product, trying to win with a cool feature.</v>
      </c>
    </row>
    <row r="87" spans="1:23">
      <c r="A87" s="179" t="str">
        <f ca="1">IFERROR(__xludf.DUMMYFUNCTION("""COMPUTED_VALUE"""),"R")</f>
        <v>R</v>
      </c>
      <c r="B87" s="436">
        <f ca="1">IFERROR(__xludf.DUMMYFUNCTION("""COMPUTED_VALUE"""),44791.6709381481)</f>
        <v>44791.670938148098</v>
      </c>
      <c r="C87" s="179" t="str">
        <f ca="1">IFERROR(__xludf.DUMMYFUNCTION("""COMPUTED_VALUE"""),"cm6077@stern.nyu.edu")</f>
        <v>cm6077@stern.nyu.edu</v>
      </c>
      <c r="D87" s="179" t="str">
        <f ca="1">IFERROR(__xludf.DUMMYFUNCTION("""COMPUTED_VALUE"""),"Chris Millisits")</f>
        <v>Chris Millisits</v>
      </c>
      <c r="E87" s="179" t="str">
        <f ca="1">IFERROR(__xludf.DUMMYFUNCTION("""COMPUTED_VALUE"""),"I have read and understand the confidentiality agreement for application reviewers.")</f>
        <v>I have read and understand the confidentiality agreement for application reviewers.</v>
      </c>
      <c r="F87" s="179" t="str">
        <f ca="1">IFERROR(__xludf.DUMMYFUNCTION("""COMPUTED_VALUE"""),"Nixtla")</f>
        <v>Nixtla</v>
      </c>
      <c r="G87" s="179" t="str">
        <f ca="1">IFERROR(__xludf.DUMMYFUNCTION("""COMPUTED_VALUE"""),"Data infrastructure tool to add ML &amp; deep learning into the data pipeline, specifically focused on time-series problems / AI &amp; ML / Seed")</f>
        <v>Data infrastructure tool to add ML &amp; deep learning into the data pipeline, specifically focused on time-series problems / AI &amp; ML / Seed</v>
      </c>
      <c r="H87" s="179">
        <f ca="1">IFERROR(__xludf.DUMMYFUNCTION("""COMPUTED_VALUE"""),4)</f>
        <v>4</v>
      </c>
      <c r="I87" s="179">
        <f ca="1">IFERROR(__xludf.DUMMYFUNCTION("""COMPUTED_VALUE"""),4)</f>
        <v>4</v>
      </c>
      <c r="J87" s="179">
        <f ca="1">IFERROR(__xludf.DUMMYFUNCTION("""COMPUTED_VALUE"""),2)</f>
        <v>2</v>
      </c>
      <c r="K87" s="179">
        <f ca="1">IFERROR(__xludf.DUMMYFUNCTION("""COMPUTED_VALUE"""),2)</f>
        <v>2</v>
      </c>
      <c r="L87" s="179" t="str">
        <f ca="1">IFERROR(__xludf.DUMMYFUNCTION("""COMPUTED_VALUE"""),"The time-series specific approach is pretty novel. ")</f>
        <v xml:space="preserve">The time-series specific approach is pretty novel. </v>
      </c>
      <c r="M87" s="179">
        <f ca="1">IFERROR(__xludf.DUMMYFUNCTION("""COMPUTED_VALUE"""),4)</f>
        <v>4</v>
      </c>
      <c r="N87" s="179">
        <f ca="1">IFERROR(__xludf.DUMMYFUNCTION("""COMPUTED_VALUE"""),3)</f>
        <v>3</v>
      </c>
      <c r="O87" s="179" t="str">
        <f ca="1">IFERROR(__xludf.DUMMYFUNCTION("""COMPUTED_VALUE"""),"$23k through pilots &amp; PoCs")</f>
        <v>$23k through pilots &amp; PoCs</v>
      </c>
      <c r="P87" s="179">
        <f ca="1">IFERROR(__xludf.DUMMYFUNCTION("""COMPUTED_VALUE"""),4)</f>
        <v>4</v>
      </c>
      <c r="Q87" s="179">
        <f ca="1">IFERROR(__xludf.DUMMYFUNCTION("""COMPUTED_VALUE"""),4)</f>
        <v>4</v>
      </c>
      <c r="R87" s="179">
        <f ca="1">IFERROR(__xludf.DUMMYFUNCTION("""COMPUTED_VALUE"""),4)</f>
        <v>4</v>
      </c>
      <c r="S87" s="179" t="str">
        <f ca="1">IFERROR(__xludf.DUMMYFUNCTION("""COMPUTED_VALUE"""),"Team has experience as founders previously. Strong data science and product building experience in the team.")</f>
        <v>Team has experience as founders previously. Strong data science and product building experience in the team.</v>
      </c>
      <c r="T87" s="437">
        <f ca="1">IFERROR(__xludf.DUMMYFUNCTION("""COMPUTED_VALUE"""),1100000)</f>
        <v>1100000</v>
      </c>
      <c r="U87" s="179" t="str">
        <f ca="1">IFERROR(__xludf.DUMMYFUNCTION("""COMPUTED_VALUE"""),"$1-$5M")</f>
        <v>$1-$5M</v>
      </c>
      <c r="V87" s="179">
        <f ca="1">IFERROR(__xludf.DUMMYFUNCTION("""COMPUTED_VALUE"""),4)</f>
        <v>4</v>
      </c>
      <c r="W87" s="179" t="str">
        <f ca="1">IFERROR(__xludf.DUMMYFUNCTION("""COMPUTED_VALUE"""),"Strong team with relevant experience. They've focused in on an area where they think they can drive meaningful business value from the outset, which is great to see. The focus on time-series will make it easier to sell into organizations.")</f>
        <v>Strong team with relevant experience. They've focused in on an area where they think they can drive meaningful business value from the outset, which is great to see. The focus on time-series will make it easier to sell into organizations.</v>
      </c>
    </row>
    <row r="88" spans="1:23">
      <c r="A88" s="179" t="str">
        <f ca="1">IFERROR(__xludf.DUMMYFUNCTION("""COMPUTED_VALUE"""),"R")</f>
        <v>R</v>
      </c>
      <c r="B88" s="436">
        <f ca="1">IFERROR(__xludf.DUMMYFUNCTION("""COMPUTED_VALUE"""),44791.6779029282)</f>
        <v>44791.677902928197</v>
      </c>
      <c r="C88" s="179" t="str">
        <f ca="1">IFERROR(__xludf.DUMMYFUNCTION("""COMPUTED_VALUE"""),"cm6077@stern.nyu.edu")</f>
        <v>cm6077@stern.nyu.edu</v>
      </c>
      <c r="D88" s="179" t="str">
        <f ca="1">IFERROR(__xludf.DUMMYFUNCTION("""COMPUTED_VALUE"""),"Chris Millisits")</f>
        <v>Chris Millisits</v>
      </c>
      <c r="E88" s="179" t="str">
        <f ca="1">IFERROR(__xludf.DUMMYFUNCTION("""COMPUTED_VALUE"""),"I have read and understand the confidentiality agreement for application reviewers.")</f>
        <v>I have read and understand the confidentiality agreement for application reviewers.</v>
      </c>
      <c r="F88" s="179" t="str">
        <f ca="1">IFERROR(__xludf.DUMMYFUNCTION("""COMPUTED_VALUE"""),"nmodes")</f>
        <v>nmodes</v>
      </c>
      <c r="G88" s="179" t="str">
        <f ca="1">IFERROR(__xludf.DUMMYFUNCTION("""COMPUTED_VALUE"""),"Self-service platform for onboarding and customer service, using conversational AI chatbot to drive engagement / AI &amp; ML (Conversational AI) / Seed")</f>
        <v>Self-service platform for onboarding and customer service, using conversational AI chatbot to drive engagement / AI &amp; ML (Conversational AI) / Seed</v>
      </c>
      <c r="H88" s="179">
        <f ca="1">IFERROR(__xludf.DUMMYFUNCTION("""COMPUTED_VALUE"""),4)</f>
        <v>4</v>
      </c>
      <c r="I88" s="179">
        <f ca="1">IFERROR(__xludf.DUMMYFUNCTION("""COMPUTED_VALUE"""),3)</f>
        <v>3</v>
      </c>
      <c r="J88" s="179">
        <f ca="1">IFERROR(__xludf.DUMMYFUNCTION("""COMPUTED_VALUE"""),3)</f>
        <v>3</v>
      </c>
      <c r="K88" s="179">
        <f ca="1">IFERROR(__xludf.DUMMYFUNCTION("""COMPUTED_VALUE"""),2)</f>
        <v>2</v>
      </c>
      <c r="L88" s="179" t="str">
        <f ca="1">IFERROR(__xludf.DUMMYFUNCTION("""COMPUTED_VALUE"""),"Many conversational AI chatbots out there, but many aren't trying to build something as ambitious as using machine learning to drive engagement through better chatbot answers.")</f>
        <v>Many conversational AI chatbots out there, but many aren't trying to build something as ambitious as using machine learning to drive engagement through better chatbot answers.</v>
      </c>
      <c r="M88" s="179">
        <f ca="1">IFERROR(__xludf.DUMMYFUNCTION("""COMPUTED_VALUE"""),4)</f>
        <v>4</v>
      </c>
      <c r="N88" s="179">
        <f ca="1">IFERROR(__xludf.DUMMYFUNCTION("""COMPUTED_VALUE"""),4)</f>
        <v>4</v>
      </c>
      <c r="O88" s="179" t="str">
        <f ca="1">IFERROR(__xludf.DUMMYFUNCTION("""COMPUTED_VALUE"""),"65 paying customers using in production today. $100k MRR")</f>
        <v>65 paying customers using in production today. $100k MRR</v>
      </c>
      <c r="P88" s="179">
        <f ca="1">IFERROR(__xludf.DUMMYFUNCTION("""COMPUTED_VALUE"""),4)</f>
        <v>4</v>
      </c>
      <c r="Q88" s="179">
        <f ca="1">IFERROR(__xludf.DUMMYFUNCTION("""COMPUTED_VALUE"""),3)</f>
        <v>3</v>
      </c>
      <c r="R88" s="179">
        <f ca="1">IFERROR(__xludf.DUMMYFUNCTION("""COMPUTED_VALUE"""),4)</f>
        <v>4</v>
      </c>
      <c r="S88" s="179" t="str">
        <f ca="1">IFERROR(__xludf.DUMMYFUNCTION("""COMPUTED_VALUE"""),"CEO is a leading conversational AI expert and an experienced business manager. CTO is
a system engineer. Good team setup for this.")</f>
        <v>CEO is a leading conversational AI expert and an experienced business manager. CTO is
a system engineer. Good team setup for this.</v>
      </c>
      <c r="T88" s="437">
        <f ca="1">IFERROR(__xludf.DUMMYFUNCTION("""COMPUTED_VALUE"""),150000)</f>
        <v>150000</v>
      </c>
      <c r="U88" s="179" t="str">
        <f ca="1">IFERROR(__xludf.DUMMYFUNCTION("""COMPUTED_VALUE"""),"$500K-$1M")</f>
        <v>$500K-$1M</v>
      </c>
      <c r="V88" s="179">
        <f ca="1">IFERROR(__xludf.DUMMYFUNCTION("""COMPUTED_VALUE"""),4)</f>
        <v>4</v>
      </c>
      <c r="W88" s="179" t="str">
        <f ca="1">IFERROR(__xludf.DUMMYFUNCTION("""COMPUTED_VALUE"""),"Compelling approach to a chatbot solution, being built by former IBM AI Consultant. Good traction.")</f>
        <v>Compelling approach to a chatbot solution, being built by former IBM AI Consultant. Good traction.</v>
      </c>
    </row>
    <row r="89" spans="1:23">
      <c r="A89" s="179" t="str">
        <f ca="1">IFERROR(__xludf.DUMMYFUNCTION("""COMPUTED_VALUE"""),"R")</f>
        <v>R</v>
      </c>
      <c r="B89" s="436">
        <f ca="1">IFERROR(__xludf.DUMMYFUNCTION("""COMPUTED_VALUE"""),44791.6874165393)</f>
        <v>44791.687416539302</v>
      </c>
      <c r="C89" s="179" t="str">
        <f ca="1">IFERROR(__xludf.DUMMYFUNCTION("""COMPUTED_VALUE"""),"cm6077@stern.nyu.edu")</f>
        <v>cm6077@stern.nyu.edu</v>
      </c>
      <c r="D89" s="179" t="str">
        <f ca="1">IFERROR(__xludf.DUMMYFUNCTION("""COMPUTED_VALUE"""),"Chris Millisits")</f>
        <v>Chris Millisits</v>
      </c>
      <c r="E89" s="179" t="str">
        <f ca="1">IFERROR(__xludf.DUMMYFUNCTION("""COMPUTED_VALUE"""),"I have read and understand the confidentiality agreement for application reviewers.")</f>
        <v>I have read and understand the confidentiality agreement for application reviewers.</v>
      </c>
      <c r="F89" s="179" t="str">
        <f ca="1">IFERROR(__xludf.DUMMYFUNCTION("""COMPUTED_VALUE"""),"Noala")</f>
        <v>Noala</v>
      </c>
      <c r="G89" s="179" t="str">
        <f ca="1">IFERROR(__xludf.DUMMYFUNCTION("""COMPUTED_VALUE"""),"Digital health solution for speech and language therapy / Digital Health / Series A")</f>
        <v>Digital health solution for speech and language therapy / Digital Health / Series A</v>
      </c>
      <c r="H89" s="179">
        <f ca="1">IFERROR(__xludf.DUMMYFUNCTION("""COMPUTED_VALUE"""),4)</f>
        <v>4</v>
      </c>
      <c r="I89" s="179">
        <f ca="1">IFERROR(__xludf.DUMMYFUNCTION("""COMPUTED_VALUE"""),2)</f>
        <v>2</v>
      </c>
      <c r="J89" s="179">
        <f ca="1">IFERROR(__xludf.DUMMYFUNCTION("""COMPUTED_VALUE"""),2)</f>
        <v>2</v>
      </c>
      <c r="K89" s="179">
        <f ca="1">IFERROR(__xludf.DUMMYFUNCTION("""COMPUTED_VALUE"""),1)</f>
        <v>1</v>
      </c>
      <c r="L89" s="179" t="str">
        <f ca="1">IFERROR(__xludf.DUMMYFUNCTION("""COMPUTED_VALUE"""),"Standard digital health motion, nothing very proprietary about the tech or process.")</f>
        <v>Standard digital health motion, nothing very proprietary about the tech or process.</v>
      </c>
      <c r="M89" s="179">
        <f ca="1">IFERROR(__xludf.DUMMYFUNCTION("""COMPUTED_VALUE"""),4)</f>
        <v>4</v>
      </c>
      <c r="N89" s="179">
        <f ca="1">IFERROR(__xludf.DUMMYFUNCTION("""COMPUTED_VALUE"""),2)</f>
        <v>2</v>
      </c>
      <c r="O89" s="179" t="str">
        <f ca="1">IFERROR(__xludf.DUMMYFUNCTION("""COMPUTED_VALUE"""),"Showing early traction. Waitlist on both sides of the marketplace and 18 paying customers.")</f>
        <v>Showing early traction. Waitlist on both sides of the marketplace and 18 paying customers.</v>
      </c>
      <c r="P89" s="179">
        <f ca="1">IFERROR(__xludf.DUMMYFUNCTION("""COMPUTED_VALUE"""),3)</f>
        <v>3</v>
      </c>
      <c r="Q89" s="179">
        <f ca="1">IFERROR(__xludf.DUMMYFUNCTION("""COMPUTED_VALUE"""),2)</f>
        <v>2</v>
      </c>
      <c r="R89" s="179">
        <f ca="1">IFERROR(__xludf.DUMMYFUNCTION("""COMPUTED_VALUE"""),3)</f>
        <v>3</v>
      </c>
      <c r="S89" s="179" t="str">
        <f ca="1">IFERROR(__xludf.DUMMYFUNCTION("""COMPUTED_VALUE"""),"Former VC, only one founder")</f>
        <v>Former VC, only one founder</v>
      </c>
      <c r="T89" s="437">
        <f ca="1">IFERROR(__xludf.DUMMYFUNCTION("""COMPUTED_VALUE"""),4136497)</f>
        <v>4136497</v>
      </c>
      <c r="U89" s="179" t="str">
        <f ca="1">IFERROR(__xludf.DUMMYFUNCTION("""COMPUTED_VALUE"""),"&gt;$5M")</f>
        <v>&gt;$5M</v>
      </c>
      <c r="V89" s="179">
        <f ca="1">IFERROR(__xludf.DUMMYFUNCTION("""COMPUTED_VALUE"""),3)</f>
        <v>3</v>
      </c>
      <c r="W89" s="179" t="str">
        <f ca="1">IFERROR(__xludf.DUMMYFUNCTION("""COMPUTED_VALUE"""),"Given the stage of the company, traction is less impressive. This is the classic Digital Health delivery model, but I haven't seen a direct competitor here yet, so that's a positive sign. Founder is a former VC and still a solo founder to date.")</f>
        <v>Given the stage of the company, traction is less impressive. This is the classic Digital Health delivery model, but I haven't seen a direct competitor here yet, so that's a positive sign. Founder is a former VC and still a solo founder to date.</v>
      </c>
    </row>
    <row r="90" spans="1:23">
      <c r="A90" s="179" t="str">
        <f ca="1">IFERROR(__xludf.DUMMYFUNCTION("""COMPUTED_VALUE"""),"R")</f>
        <v>R</v>
      </c>
      <c r="B90" s="436">
        <f ca="1">IFERROR(__xludf.DUMMYFUNCTION("""COMPUTED_VALUE"""),44791.6944355092)</f>
        <v>44791.694435509198</v>
      </c>
      <c r="C90" s="179" t="str">
        <f ca="1">IFERROR(__xludf.DUMMYFUNCTION("""COMPUTED_VALUE"""),"ahmed.bahgat@stern.nyu.edu")</f>
        <v>ahmed.bahgat@stern.nyu.edu</v>
      </c>
      <c r="D90" s="179" t="str">
        <f ca="1">IFERROR(__xludf.DUMMYFUNCTION("""COMPUTED_VALUE"""),"Ahmed Bahgat")</f>
        <v>Ahmed Bahgat</v>
      </c>
      <c r="E90" s="179" t="str">
        <f ca="1">IFERROR(__xludf.DUMMYFUNCTION("""COMPUTED_VALUE"""),"I have read and understand the confidentiality agreement for application reviewers.")</f>
        <v>I have read and understand the confidentiality agreement for application reviewers.</v>
      </c>
      <c r="F90" s="179" t="str">
        <f ca="1">IFERROR(__xludf.DUMMYFUNCTION("""COMPUTED_VALUE"""),"SanChip")</f>
        <v>SanChip</v>
      </c>
      <c r="G90" s="179" t="str">
        <f ca="1">IFERROR(__xludf.DUMMYFUNCTION("""COMPUTED_VALUE"""),"Lab on chip technology for real-time lubricant analysis/automated condition monitoring  enabling predictive maintenance for heavy industries but given particular focus on the oil condition monitoring market. Predictive maintenance is an aggressively growi"&amp;"ng sector.  ")</f>
        <v xml:space="preserve">Lab on chip technology for real-time lubricant analysis/automated condition monitoring  enabling predictive maintenance for heavy industries but given particular focus on the oil condition monitoring market. Predictive maintenance is an aggressively growing sector.  </v>
      </c>
      <c r="H90" s="179">
        <f ca="1">IFERROR(__xludf.DUMMYFUNCTION("""COMPUTED_VALUE"""),5)</f>
        <v>5</v>
      </c>
      <c r="I90" s="179">
        <f ca="1">IFERROR(__xludf.DUMMYFUNCTION("""COMPUTED_VALUE"""),5)</f>
        <v>5</v>
      </c>
      <c r="J90" s="179">
        <f ca="1">IFERROR(__xludf.DUMMYFUNCTION("""COMPUTED_VALUE"""),5)</f>
        <v>5</v>
      </c>
      <c r="K90" s="179">
        <f ca="1">IFERROR(__xludf.DUMMYFUNCTION("""COMPUTED_VALUE"""),5)</f>
        <v>5</v>
      </c>
      <c r="L90" s="179" t="str">
        <f ca="1">IFERROR(__xludf.DUMMYFUNCTION("""COMPUTED_VALUE"""),"Advanced technology solution for heavy industries and product pilot/testing is on-going. Certification and full commercialization to come next. ")</f>
        <v xml:space="preserve">Advanced technology solution for heavy industries and product pilot/testing is on-going. Certification and full commercialization to come next. </v>
      </c>
      <c r="M90" s="179">
        <f ca="1">IFERROR(__xludf.DUMMYFUNCTION("""COMPUTED_VALUE"""),5)</f>
        <v>5</v>
      </c>
      <c r="N90" s="179">
        <f ca="1">IFERROR(__xludf.DUMMYFUNCTION("""COMPUTED_VALUE"""),5)</f>
        <v>5</v>
      </c>
      <c r="O90" s="179" t="str">
        <f ca="1">IFERROR(__xludf.DUMMYFUNCTION("""COMPUTED_VALUE"""),"Target market seems to be the oil condition monitoring market for now. ")</f>
        <v xml:space="preserve">Target market seems to be the oil condition monitoring market for now. </v>
      </c>
      <c r="P90" s="179">
        <f ca="1">IFERROR(__xludf.DUMMYFUNCTION("""COMPUTED_VALUE"""),5)</f>
        <v>5</v>
      </c>
      <c r="Q90" s="179">
        <f ca="1">IFERROR(__xludf.DUMMYFUNCTION("""COMPUTED_VALUE"""),5)</f>
        <v>5</v>
      </c>
      <c r="R90" s="179">
        <f ca="1">IFERROR(__xludf.DUMMYFUNCTION("""COMPUTED_VALUE"""),5)</f>
        <v>5</v>
      </c>
      <c r="S90" s="179" t="str">
        <f ca="1">IFERROR(__xludf.DUMMYFUNCTION("""COMPUTED_VALUE"""),"Strong team who seem to have all the right resources to succeed. They maybe in need of some senior mentors for vision guidance and technology commercialization. ")</f>
        <v xml:space="preserve">Strong team who seem to have all the right resources to succeed. They maybe in need of some senior mentors for vision guidance and technology commercialization. </v>
      </c>
      <c r="T90" s="437">
        <f ca="1">IFERROR(__xludf.DUMMYFUNCTION("""COMPUTED_VALUE"""),0)</f>
        <v>0</v>
      </c>
      <c r="U90" s="179" t="str">
        <f ca="1">IFERROR(__xludf.DUMMYFUNCTION("""COMPUTED_VALUE"""),"$1-$5M")</f>
        <v>$1-$5M</v>
      </c>
      <c r="V90" s="179">
        <f ca="1">IFERROR(__xludf.DUMMYFUNCTION("""COMPUTED_VALUE"""),5)</f>
        <v>5</v>
      </c>
      <c r="W90" s="179" t="str">
        <f ca="1">IFERROR(__xludf.DUMMYFUNCTION("""COMPUTED_VALUE"""),"Solid team with a strong and novel technology solution for heavy industries focused on delivering on the needs of the oil condition monitoring market. They are well positioned to expedite their commercialization with EFL's help.")</f>
        <v>Solid team with a strong and novel technology solution for heavy industries focused on delivering on the needs of the oil condition monitoring market. They are well positioned to expedite their commercialization with EFL's help.</v>
      </c>
    </row>
    <row r="91" spans="1:23">
      <c r="A91" s="179" t="str">
        <f ca="1">IFERROR(__xludf.DUMMYFUNCTION("""COMPUTED_VALUE"""),"R")</f>
        <v>R</v>
      </c>
      <c r="B91" s="436">
        <f ca="1">IFERROR(__xludf.DUMMYFUNCTION("""COMPUTED_VALUE"""),44791.699861956)</f>
        <v>44791.699861956004</v>
      </c>
      <c r="C91" s="179" t="str">
        <f ca="1">IFERROR(__xludf.DUMMYFUNCTION("""COMPUTED_VALUE"""),"cm6077@stern.nyu.edu")</f>
        <v>cm6077@stern.nyu.edu</v>
      </c>
      <c r="D91" s="179" t="str">
        <f ca="1">IFERROR(__xludf.DUMMYFUNCTION("""COMPUTED_VALUE"""),"Chris Millisits")</f>
        <v>Chris Millisits</v>
      </c>
      <c r="E91" s="179" t="str">
        <f ca="1">IFERROR(__xludf.DUMMYFUNCTION("""COMPUTED_VALUE"""),"I have read and understand the confidentiality agreement for application reviewers.")</f>
        <v>I have read and understand the confidentiality agreement for application reviewers.</v>
      </c>
      <c r="F91" s="179" t="str">
        <f ca="1">IFERROR(__xludf.DUMMYFUNCTION("""COMPUTED_VALUE"""),"noktos")</f>
        <v>noktos</v>
      </c>
      <c r="G91" s="179" t="str">
        <f ca="1">IFERROR(__xludf.DUMMYFUNCTION("""COMPUTED_VALUE"""),"One-stop shop for travel booking specifically for business travelers, with fixed rather than dynamic pricing / Travel / Seed")</f>
        <v>One-stop shop for travel booking specifically for business travelers, with fixed rather than dynamic pricing / Travel / Seed</v>
      </c>
      <c r="H91" s="179">
        <f ca="1">IFERROR(__xludf.DUMMYFUNCTION("""COMPUTED_VALUE"""),3)</f>
        <v>3</v>
      </c>
      <c r="I91" s="179">
        <f ca="1">IFERROR(__xludf.DUMMYFUNCTION("""COMPUTED_VALUE"""),3)</f>
        <v>3</v>
      </c>
      <c r="J91" s="179">
        <f ca="1">IFERROR(__xludf.DUMMYFUNCTION("""COMPUTED_VALUE"""),3)</f>
        <v>3</v>
      </c>
      <c r="K91" s="179">
        <f ca="1">IFERROR(__xludf.DUMMYFUNCTION("""COMPUTED_VALUE"""),2)</f>
        <v>2</v>
      </c>
      <c r="L91" s="179" t="str">
        <f ca="1">IFERROR(__xludf.DUMMYFUNCTION("""COMPUTED_VALUE"""),"Validation through adoption by 1,000 customers. Technology not particularly defensible. Problem is felt on only one-side of the marketplace (corporates; the hotels are happy).")</f>
        <v>Validation through adoption by 1,000 customers. Technology not particularly defensible. Problem is felt on only one-side of the marketplace (corporates; the hotels are happy).</v>
      </c>
      <c r="M91" s="179">
        <f ca="1">IFERROR(__xludf.DUMMYFUNCTION("""COMPUTED_VALUE"""),4)</f>
        <v>4</v>
      </c>
      <c r="N91" s="179">
        <f ca="1">IFERROR(__xludf.DUMMYFUNCTION("""COMPUTED_VALUE"""),3)</f>
        <v>3</v>
      </c>
      <c r="O91" s="179" t="str">
        <f ca="1">IFERROR(__xludf.DUMMYFUNCTION("""COMPUTED_VALUE"""),"$50k MRR and growing across 1,000 corporate customers. Market is a % of all business travel, so quite large (they're able to take a 21% take rate today).")</f>
        <v>$50k MRR and growing across 1,000 corporate customers. Market is a % of all business travel, so quite large (they're able to take a 21% take rate today).</v>
      </c>
      <c r="P91" s="179">
        <f ca="1">IFERROR(__xludf.DUMMYFUNCTION("""COMPUTED_VALUE"""),4)</f>
        <v>4</v>
      </c>
      <c r="Q91" s="179">
        <f ca="1">IFERROR(__xludf.DUMMYFUNCTION("""COMPUTED_VALUE"""),4)</f>
        <v>4</v>
      </c>
      <c r="R91" s="179">
        <f ca="1">IFERROR(__xludf.DUMMYFUNCTION("""COMPUTED_VALUE"""),5)</f>
        <v>5</v>
      </c>
      <c r="S91" s="179" t="str">
        <f ca="1">IFERROR(__xludf.DUMMYFUNCTION("""COMPUTED_VALUE"""),"Serial founders, and CEO ran a business in the hotel industry for 12 years.")</f>
        <v>Serial founders, and CEO ran a business in the hotel industry for 12 years.</v>
      </c>
      <c r="T91" s="437">
        <f ca="1">IFERROR(__xludf.DUMMYFUNCTION("""COMPUTED_VALUE"""),400000)</f>
        <v>400000</v>
      </c>
      <c r="U91" s="179" t="str">
        <f ca="1">IFERROR(__xludf.DUMMYFUNCTION("""COMPUTED_VALUE"""),"$1-$5M")</f>
        <v>$1-$5M</v>
      </c>
      <c r="V91" s="179">
        <f ca="1">IFERROR(__xludf.DUMMYFUNCTION("""COMPUTED_VALUE"""),4)</f>
        <v>4</v>
      </c>
      <c r="W91" s="179" t="str">
        <f ca="1">IFERROR(__xludf.DUMMYFUNCTION("""COMPUTED_VALUE"""),"Strong team with repeat founder. Strong traction.
Biggest concern is that this idea rests on the notion that hotels want to move away from dynamic pricing for business travelers. The hypothesis would be that enough buildup of corporate demand for noktos "&amp;"would put pressure on hotels to offer fixed (but still premium) pricing.")</f>
        <v>Strong team with repeat founder. Strong traction.
Biggest concern is that this idea rests on the notion that hotels want to move away from dynamic pricing for business travelers. The hypothesis would be that enough buildup of corporate demand for noktos would put pressure on hotels to offer fixed (but still premium) pricing.</v>
      </c>
    </row>
    <row r="92" spans="1:23">
      <c r="A92" s="179" t="str">
        <f ca="1">IFERROR(__xludf.DUMMYFUNCTION("""COMPUTED_VALUE"""),"R")</f>
        <v>R</v>
      </c>
      <c r="B92" s="436">
        <f ca="1">IFERROR(__xludf.DUMMYFUNCTION("""COMPUTED_VALUE"""),44791.7069160069)</f>
        <v>44791.7069160069</v>
      </c>
      <c r="C92" s="179" t="str">
        <f ca="1">IFERROR(__xludf.DUMMYFUNCTION("""COMPUTED_VALUE"""),"cm6077@stern.nyu.edu")</f>
        <v>cm6077@stern.nyu.edu</v>
      </c>
      <c r="D92" s="179" t="str">
        <f ca="1">IFERROR(__xludf.DUMMYFUNCTION("""COMPUTED_VALUE"""),"Chris Millisits")</f>
        <v>Chris Millisits</v>
      </c>
      <c r="E92" s="179" t="str">
        <f ca="1">IFERROR(__xludf.DUMMYFUNCTION("""COMPUTED_VALUE"""),"I have read and understand the confidentiality agreement for application reviewers.")</f>
        <v>I have read and understand the confidentiality agreement for application reviewers.</v>
      </c>
      <c r="F92" s="179" t="str">
        <f ca="1">IFERROR(__xludf.DUMMYFUNCTION("""COMPUTED_VALUE"""),"Nomi Materials")</f>
        <v>Nomi Materials</v>
      </c>
      <c r="G92" s="179" t="str">
        <f ca="1">IFERROR(__xludf.DUMMYFUNCTION("""COMPUTED_VALUE"""),"Synthetic mucuses for use in skincare products / Beauty / Pre-seed")</f>
        <v>Synthetic mucuses for use in skincare products / Beauty / Pre-seed</v>
      </c>
      <c r="H92" s="179">
        <f ca="1">IFERROR(__xludf.DUMMYFUNCTION("""COMPUTED_VALUE"""),2)</f>
        <v>2</v>
      </c>
      <c r="I92" s="179">
        <f ca="1">IFERROR(__xludf.DUMMYFUNCTION("""COMPUTED_VALUE"""),5)</f>
        <v>5</v>
      </c>
      <c r="J92" s="179">
        <f ca="1">IFERROR(__xludf.DUMMYFUNCTION("""COMPUTED_VALUE"""),3)</f>
        <v>3</v>
      </c>
      <c r="K92" s="179">
        <f ca="1">IFERROR(__xludf.DUMMYFUNCTION("""COMPUTED_VALUE"""),3)</f>
        <v>3</v>
      </c>
      <c r="L92" s="179" t="str">
        <f ca="1">IFERROR(__xludf.DUMMYFUNCTION("""COMPUTED_VALUE"""),"Novel approach to tackle the vegan skincare market. Reasonable plans for expansion into adjacent markets using other animal products.")</f>
        <v>Novel approach to tackle the vegan skincare market. Reasonable plans for expansion into adjacent markets using other animal products.</v>
      </c>
      <c r="M92" s="179">
        <f ca="1">IFERROR(__xludf.DUMMYFUNCTION("""COMPUTED_VALUE"""),3)</f>
        <v>3</v>
      </c>
      <c r="N92" s="179">
        <f ca="1">IFERROR(__xludf.DUMMYFUNCTION("""COMPUTED_VALUE"""),3)</f>
        <v>3</v>
      </c>
      <c r="O92" s="179" t="str">
        <f ca="1">IFERROR(__xludf.DUMMYFUNCTION("""COMPUTED_VALUE"""),"More people use snail mucus products than I would have guessed - who knew? But this product will only be a partial replacement, so cutting down the AM by 90%. Has some customers and has been speaking to many customers.")</f>
        <v>More people use snail mucus products than I would have guessed - who knew? But this product will only be a partial replacement, so cutting down the AM by 90%. Has some customers and has been speaking to many customers.</v>
      </c>
      <c r="P92" s="179">
        <f ca="1">IFERROR(__xludf.DUMMYFUNCTION("""COMPUTED_VALUE"""),5)</f>
        <v>5</v>
      </c>
      <c r="Q92" s="179">
        <f ca="1">IFERROR(__xludf.DUMMYFUNCTION("""COMPUTED_VALUE"""),4)</f>
        <v>4</v>
      </c>
      <c r="R92" s="179">
        <f ca="1">IFERROR(__xludf.DUMMYFUNCTION("""COMPUTED_VALUE"""),3)</f>
        <v>3</v>
      </c>
      <c r="S92" s="179" t="str">
        <f ca="1">IFERROR(__xludf.DUMMYFUNCTION("""COMPUTED_VALUE"""),"Been working on the problem in the research lab for past 2 years, before the 3 spun out.")</f>
        <v>Been working on the problem in the research lab for past 2 years, before the 3 spun out.</v>
      </c>
      <c r="T92" s="437">
        <f ca="1">IFERROR(__xludf.DUMMYFUNCTION("""COMPUTED_VALUE"""),0)</f>
        <v>0</v>
      </c>
      <c r="U92" s="179" t="str">
        <f ca="1">IFERROR(__xludf.DUMMYFUNCTION("""COMPUTED_VALUE"""),"&lt;$500K")</f>
        <v>&lt;$500K</v>
      </c>
      <c r="V92" s="179">
        <f ca="1">IFERROR(__xludf.DUMMYFUNCTION("""COMPUTED_VALUE"""),3)</f>
        <v>3</v>
      </c>
      <c r="W92" s="179" t="str">
        <f ca="1">IFERROR(__xludf.DUMMYFUNCTION("""COMPUTED_VALUE"""),"Novel solution with expansion potential. Team has been working in the lab on the solution. Whether there is sufficient market demand is a question mark.")</f>
        <v>Novel solution with expansion potential. Team has been working in the lab on the solution. Whether there is sufficient market demand is a question mark.</v>
      </c>
    </row>
    <row r="93" spans="1:23">
      <c r="A93" s="179" t="str">
        <f ca="1">IFERROR(__xludf.DUMMYFUNCTION("""COMPUTED_VALUE"""),"R")</f>
        <v>R</v>
      </c>
      <c r="B93" s="436">
        <f ca="1">IFERROR(__xludf.DUMMYFUNCTION("""COMPUTED_VALUE"""),44791.7215802083)</f>
        <v>44791.721580208301</v>
      </c>
      <c r="C93" s="179" t="str">
        <f ca="1">IFERROR(__xludf.DUMMYFUNCTION("""COMPUTED_VALUE"""),"cm6077@stern.nyu.edu")</f>
        <v>cm6077@stern.nyu.edu</v>
      </c>
      <c r="D93" s="179" t="str">
        <f ca="1">IFERROR(__xludf.DUMMYFUNCTION("""COMPUTED_VALUE"""),"Chris Millisits")</f>
        <v>Chris Millisits</v>
      </c>
      <c r="E93" s="179" t="str">
        <f ca="1">IFERROR(__xludf.DUMMYFUNCTION("""COMPUTED_VALUE"""),"I have read and understand the confidentiality agreement for application reviewers.")</f>
        <v>I have read and understand the confidentiality agreement for application reviewers.</v>
      </c>
      <c r="F93" s="179" t="str">
        <f ca="1">IFERROR(__xludf.DUMMYFUNCTION("""COMPUTED_VALUE"""),"Nomitri")</f>
        <v>Nomitri</v>
      </c>
      <c r="G93" s="179" t="str">
        <f ca="1">IFERROR(__xludf.DUMMYFUNCTION("""COMPUTED_VALUE"""),"Hardware that enhances tablets and phones with visual AI capabilities for use on site in retail and warehouse locations / Retail / Series A")</f>
        <v>Hardware that enhances tablets and phones with visual AI capabilities for use on site in retail and warehouse locations / Retail / Series A</v>
      </c>
      <c r="H93" s="179">
        <f ca="1">IFERROR(__xludf.DUMMYFUNCTION("""COMPUTED_VALUE"""),4)</f>
        <v>4</v>
      </c>
      <c r="I93" s="179">
        <f ca="1">IFERROR(__xludf.DUMMYFUNCTION("""COMPUTED_VALUE"""),3)</f>
        <v>3</v>
      </c>
      <c r="J93" s="179">
        <f ca="1">IFERROR(__xludf.DUMMYFUNCTION("""COMPUTED_VALUE"""),3)</f>
        <v>3</v>
      </c>
      <c r="K93" s="179">
        <f ca="1">IFERROR(__xludf.DUMMYFUNCTION("""COMPUTED_VALUE"""),3)</f>
        <v>3</v>
      </c>
      <c r="L93" s="179" t="str">
        <f ca="1">IFERROR(__xludf.DUMMYFUNCTION("""COMPUTED_VALUE"""),"The combination of technology and use case is novel. Separately, neither is novel. Questions on whether this approach is better than the other solutions on the market, but it is the lowest capex commitment.")</f>
        <v>The combination of technology and use case is novel. Separately, neither is novel. Questions on whether this approach is better than the other solutions on the market, but it is the lowest capex commitment.</v>
      </c>
      <c r="M93" s="179">
        <f ca="1">IFERROR(__xludf.DUMMYFUNCTION("""COMPUTED_VALUE"""),4)</f>
        <v>4</v>
      </c>
      <c r="N93" s="179">
        <f ca="1">IFERROR(__xludf.DUMMYFUNCTION("""COMPUTED_VALUE"""),2)</f>
        <v>2</v>
      </c>
      <c r="O93" s="179" t="str">
        <f ca="1">IFERROR(__xludf.DUMMYFUNCTION("""COMPUTED_VALUE"""),"In pilot with customers")</f>
        <v>In pilot with customers</v>
      </c>
      <c r="P93" s="179">
        <f ca="1">IFERROR(__xludf.DUMMYFUNCTION("""COMPUTED_VALUE"""),3)</f>
        <v>3</v>
      </c>
      <c r="Q93" s="179">
        <f ca="1">IFERROR(__xludf.DUMMYFUNCTION("""COMPUTED_VALUE"""),3)</f>
        <v>3</v>
      </c>
      <c r="R93" s="179">
        <f ca="1">IFERROR(__xludf.DUMMYFUNCTION("""COMPUTED_VALUE"""),4)</f>
        <v>4</v>
      </c>
      <c r="S93" s="179" t="str">
        <f ca="1">IFERROR(__xludf.DUMMYFUNCTION("""COMPUTED_VALUE"""),"Experienced team. Strong business and technical backgrounds in relevant industries.")</f>
        <v>Experienced team. Strong business and technical backgrounds in relevant industries.</v>
      </c>
      <c r="T93" s="437">
        <f ca="1">IFERROR(__xludf.DUMMYFUNCTION("""COMPUTED_VALUE"""),4500000)</f>
        <v>4500000</v>
      </c>
      <c r="U93" s="179" t="str">
        <f ca="1">IFERROR(__xludf.DUMMYFUNCTION("""COMPUTED_VALUE"""),"&gt;$5M")</f>
        <v>&gt;$5M</v>
      </c>
      <c r="V93" s="179">
        <f ca="1">IFERROR(__xludf.DUMMYFUNCTION("""COMPUTED_VALUE"""),3)</f>
        <v>3</v>
      </c>
      <c r="W93" s="179" t="str">
        <f ca="1">IFERROR(__xludf.DUMMYFUNCTION("""COMPUTED_VALUE"""),"Strong team, but unsure of whether these solutions have staying power as others take more ambitious approaches to innovation in the space.")</f>
        <v>Strong team, but unsure of whether these solutions have staying power as others take more ambitious approaches to innovation in the space.</v>
      </c>
    </row>
    <row r="94" spans="1:23">
      <c r="A94" s="179" t="str">
        <f ca="1">IFERROR(__xludf.DUMMYFUNCTION("""COMPUTED_VALUE"""),"R")</f>
        <v>R</v>
      </c>
      <c r="B94" s="436">
        <f ca="1">IFERROR(__xludf.DUMMYFUNCTION("""COMPUTED_VALUE"""),44791.7330754398)</f>
        <v>44791.733075439799</v>
      </c>
      <c r="C94" s="179" t="str">
        <f ca="1">IFERROR(__xludf.DUMMYFUNCTION("""COMPUTED_VALUE"""),"cm6077@stern.nyu.edu")</f>
        <v>cm6077@stern.nyu.edu</v>
      </c>
      <c r="D94" s="179" t="str">
        <f ca="1">IFERROR(__xludf.DUMMYFUNCTION("""COMPUTED_VALUE"""),"Chris Millisits")</f>
        <v>Chris Millisits</v>
      </c>
      <c r="E94" s="179" t="str">
        <f ca="1">IFERROR(__xludf.DUMMYFUNCTION("""COMPUTED_VALUE"""),"I have read and understand the confidentiality agreement for application reviewers.")</f>
        <v>I have read and understand the confidentiality agreement for application reviewers.</v>
      </c>
      <c r="F94" s="179" t="str">
        <f ca="1">IFERROR(__xludf.DUMMYFUNCTION("""COMPUTED_VALUE"""),"Nordetect")</f>
        <v>Nordetect</v>
      </c>
      <c r="G94" s="179" t="str">
        <f ca="1">IFERROR(__xludf.DUMMYFUNCTION("""COMPUTED_VALUE"""),"On-site nutrient/fertilizer testing for farmers / AgTech / Seed")</f>
        <v>On-site nutrient/fertilizer testing for farmers / AgTech / Seed</v>
      </c>
      <c r="H94" s="179">
        <f ca="1">IFERROR(__xludf.DUMMYFUNCTION("""COMPUTED_VALUE"""),5)</f>
        <v>5</v>
      </c>
      <c r="I94" s="179">
        <f ca="1">IFERROR(__xludf.DUMMYFUNCTION("""COMPUTED_VALUE"""),5)</f>
        <v>5</v>
      </c>
      <c r="J94" s="179">
        <f ca="1">IFERROR(__xludf.DUMMYFUNCTION("""COMPUTED_VALUE"""),4)</f>
        <v>4</v>
      </c>
      <c r="K94" s="179">
        <f ca="1">IFERROR(__xludf.DUMMYFUNCTION("""COMPUTED_VALUE"""),4)</f>
        <v>4</v>
      </c>
      <c r="L94" s="179" t="str">
        <f ca="1">IFERROR(__xludf.DUMMYFUNCTION("""COMPUTED_VALUE"""),"Technology is novel - it's a similar concept to Theranos (other than the fraud and one-machine-for-all-tests claims). On-site testing, software for logging (that plugs into existing systems).")</f>
        <v>Technology is novel - it's a similar concept to Theranos (other than the fraud and one-machine-for-all-tests claims). On-site testing, software for logging (that plugs into existing systems).</v>
      </c>
      <c r="M94" s="179">
        <f ca="1">IFERROR(__xludf.DUMMYFUNCTION("""COMPUTED_VALUE"""),4)</f>
        <v>4</v>
      </c>
      <c r="N94" s="179">
        <f ca="1">IFERROR(__xludf.DUMMYFUNCTION("""COMPUTED_VALUE"""),3)</f>
        <v>3</v>
      </c>
      <c r="O94" s="179" t="str">
        <f ca="1">IFERROR(__xludf.DUMMYFUNCTION("""COMPUTED_VALUE"""),"Have 7 paying customers with $90k ACV")</f>
        <v>Have 7 paying customers with $90k ACV</v>
      </c>
      <c r="P94" s="179">
        <f ca="1">IFERROR(__xludf.DUMMYFUNCTION("""COMPUTED_VALUE"""),5)</f>
        <v>5</v>
      </c>
      <c r="Q94" s="179">
        <f ca="1">IFERROR(__xludf.DUMMYFUNCTION("""COMPUTED_VALUE"""),3)</f>
        <v>3</v>
      </c>
      <c r="R94" s="179">
        <f ca="1">IFERROR(__xludf.DUMMYFUNCTION("""COMPUTED_VALUE"""),4)</f>
        <v>4</v>
      </c>
      <c r="S94" s="179" t="str">
        <f ca="1">IFERROR(__xludf.DUMMYFUNCTION("""COMPUTED_VALUE"""),"Both founders have backgrounds in biotechnology, with the CEO having run a lab for 2 years. Vision is compelling.")</f>
        <v>Both founders have backgrounds in biotechnology, with the CEO having run a lab for 2 years. Vision is compelling.</v>
      </c>
      <c r="T94" s="437">
        <f ca="1">IFERROR(__xludf.DUMMYFUNCTION("""COMPUTED_VALUE"""),1850000)</f>
        <v>1850000</v>
      </c>
      <c r="U94" s="179" t="str">
        <f ca="1">IFERROR(__xludf.DUMMYFUNCTION("""COMPUTED_VALUE"""),"$1-$5M")</f>
        <v>$1-$5M</v>
      </c>
      <c r="V94" s="179">
        <f ca="1">IFERROR(__xludf.DUMMYFUNCTION("""COMPUTED_VALUE"""),4)</f>
        <v>4</v>
      </c>
      <c r="W94" s="179" t="str">
        <f ca="1">IFERROR(__xludf.DUMMYFUNCTION("""COMPUTED_VALUE"""),"The team here has good relevant experience, the product is compelling, and the long-term vision is revolutionary.
Has some traction, and the tech seems defensible.")</f>
        <v>The team here has good relevant experience, the product is compelling, and the long-term vision is revolutionary.
Has some traction, and the tech seems defensible.</v>
      </c>
    </row>
    <row r="95" spans="1:23">
      <c r="A95" s="179" t="str">
        <f ca="1">IFERROR(__xludf.DUMMYFUNCTION("""COMPUTED_VALUE"""),"R")</f>
        <v>R</v>
      </c>
      <c r="B95" s="436">
        <f ca="1">IFERROR(__xludf.DUMMYFUNCTION("""COMPUTED_VALUE"""),44791.7475773842)</f>
        <v>44791.747577384202</v>
      </c>
      <c r="C95" s="179" t="str">
        <f ca="1">IFERROR(__xludf.DUMMYFUNCTION("""COMPUTED_VALUE"""),"cm6077@stern.nyu.edu")</f>
        <v>cm6077@stern.nyu.edu</v>
      </c>
      <c r="D95" s="179" t="str">
        <f ca="1">IFERROR(__xludf.DUMMYFUNCTION("""COMPUTED_VALUE"""),"Chris Millisits")</f>
        <v>Chris Millisits</v>
      </c>
      <c r="E95" s="179" t="str">
        <f ca="1">IFERROR(__xludf.DUMMYFUNCTION("""COMPUTED_VALUE"""),"I have read and understand the confidentiality agreement for application reviewers.")</f>
        <v>I have read and understand the confidentiality agreement for application reviewers.</v>
      </c>
      <c r="F95" s="179" t="str">
        <f ca="1">IFERROR(__xludf.DUMMYFUNCTION("""COMPUTED_VALUE"""),"Nourish")</f>
        <v>Nourish</v>
      </c>
      <c r="G95" s="179" t="str">
        <f ca="1">IFERROR(__xludf.DUMMYFUNCTION("""COMPUTED_VALUE"""),"Using bioinformatics and machine learning to generate optimized solutions for medication, sold as SaaS / AI &amp; ML / Idea")</f>
        <v>Using bioinformatics and machine learning to generate optimized solutions for medication, sold as SaaS / AI &amp; ML / Idea</v>
      </c>
      <c r="H95" s="179">
        <f ca="1">IFERROR(__xludf.DUMMYFUNCTION("""COMPUTED_VALUE"""),3)</f>
        <v>3</v>
      </c>
      <c r="I95" s="179">
        <f ca="1">IFERROR(__xludf.DUMMYFUNCTION("""COMPUTED_VALUE"""),1)</f>
        <v>1</v>
      </c>
      <c r="J95" s="179">
        <f ca="1">IFERROR(__xludf.DUMMYFUNCTION("""COMPUTED_VALUE"""),1)</f>
        <v>1</v>
      </c>
      <c r="K95" s="179">
        <f ca="1">IFERROR(__xludf.DUMMYFUNCTION("""COMPUTED_VALUE"""),1)</f>
        <v>1</v>
      </c>
      <c r="L95" s="179" t="str">
        <f ca="1">IFERROR(__xludf.DUMMYFUNCTION("""COMPUTED_VALUE"""),"Just a concept today, and unclear what the technology would look like but it seems to be a AI &amp; ML model sold as a SaaS product.")</f>
        <v>Just a concept today, and unclear what the technology would look like but it seems to be a AI &amp; ML model sold as a SaaS product.</v>
      </c>
      <c r="M95" s="179">
        <f ca="1">IFERROR(__xludf.DUMMYFUNCTION("""COMPUTED_VALUE"""),2)</f>
        <v>2</v>
      </c>
      <c r="N95" s="179">
        <f ca="1">IFERROR(__xludf.DUMMYFUNCTION("""COMPUTED_VALUE"""),1)</f>
        <v>1</v>
      </c>
      <c r="O95" s="179" t="str">
        <f ca="1">IFERROR(__xludf.DUMMYFUNCTION("""COMPUTED_VALUE"""),"Use cases and target market not put forth. Just an idea.")</f>
        <v>Use cases and target market not put forth. Just an idea.</v>
      </c>
      <c r="P95" s="179">
        <f ca="1">IFERROR(__xludf.DUMMYFUNCTION("""COMPUTED_VALUE"""),1)</f>
        <v>1</v>
      </c>
      <c r="Q95" s="179">
        <f ca="1">IFERROR(__xludf.DUMMYFUNCTION("""COMPUTED_VALUE"""),1)</f>
        <v>1</v>
      </c>
      <c r="R95" s="179">
        <f ca="1">IFERROR(__xludf.DUMMYFUNCTION("""COMPUTED_VALUE"""),1)</f>
        <v>1</v>
      </c>
      <c r="S95" s="179" t="str">
        <f ca="1">IFERROR(__xludf.DUMMYFUNCTION("""COMPUTED_VALUE"""),"Very young team. Doesn't articulate a clear vision in their application. It's too vague.")</f>
        <v>Very young team. Doesn't articulate a clear vision in their application. It's too vague.</v>
      </c>
      <c r="T95" s="437">
        <f ca="1">IFERROR(__xludf.DUMMYFUNCTION("""COMPUTED_VALUE"""),0)</f>
        <v>0</v>
      </c>
      <c r="U95" s="179" t="str">
        <f ca="1">IFERROR(__xludf.DUMMYFUNCTION("""COMPUTED_VALUE"""),"&lt;$500K")</f>
        <v>&lt;$500K</v>
      </c>
      <c r="V95" s="179">
        <f ca="1">IFERROR(__xludf.DUMMYFUNCTION("""COMPUTED_VALUE"""),1)</f>
        <v>1</v>
      </c>
      <c r="W95" s="179" t="str">
        <f ca="1">IFERROR(__xludf.DUMMYFUNCTION("""COMPUTED_VALUE"""),"Unclear what they are building. They're very early in the ideation phase, and the team is very young (2nd year of college).")</f>
        <v>Unclear what they are building. They're very early in the ideation phase, and the team is very young (2nd year of college).</v>
      </c>
    </row>
    <row r="96" spans="1:23">
      <c r="A96" s="179" t="str">
        <f ca="1">IFERROR(__xludf.DUMMYFUNCTION("""COMPUTED_VALUE"""),"R")</f>
        <v>R</v>
      </c>
      <c r="B96" s="436">
        <f ca="1">IFERROR(__xludf.DUMMYFUNCTION("""COMPUTED_VALUE"""),44791.7579427314)</f>
        <v>44791.757942731398</v>
      </c>
      <c r="C96" s="179" t="str">
        <f ca="1">IFERROR(__xludf.DUMMYFUNCTION("""COMPUTED_VALUE"""),"cm6077@stern.nyu.edu")</f>
        <v>cm6077@stern.nyu.edu</v>
      </c>
      <c r="D96" s="179" t="str">
        <f ca="1">IFERROR(__xludf.DUMMYFUNCTION("""COMPUTED_VALUE"""),"Chris Millisits")</f>
        <v>Chris Millisits</v>
      </c>
      <c r="E96" s="179" t="str">
        <f ca="1">IFERROR(__xludf.DUMMYFUNCTION("""COMPUTED_VALUE"""),"I have read and understand the confidentiality agreement for application reviewers.")</f>
        <v>I have read and understand the confidentiality agreement for application reviewers.</v>
      </c>
      <c r="F96" s="179" t="str">
        <f ca="1">IFERROR(__xludf.DUMMYFUNCTION("""COMPUTED_VALUE"""),"Novac")</f>
        <v>Novac</v>
      </c>
      <c r="G96" s="179" t="str">
        <f ca="1">IFERROR(__xludf.DUMMYFUNCTION("""COMPUTED_VALUE"""),"Novac develops shapeable all-solid-state supercapacitors / Mobility / Pre-seed")</f>
        <v>Novac develops shapeable all-solid-state supercapacitors / Mobility / Pre-seed</v>
      </c>
      <c r="H96" s="179">
        <f ca="1">IFERROR(__xludf.DUMMYFUNCTION("""COMPUTED_VALUE"""),5)</f>
        <v>5</v>
      </c>
      <c r="I96" s="179">
        <f ca="1">IFERROR(__xludf.DUMMYFUNCTION("""COMPUTED_VALUE"""),3)</f>
        <v>3</v>
      </c>
      <c r="J96" s="179">
        <f ca="1">IFERROR(__xludf.DUMMYFUNCTION("""COMPUTED_VALUE"""),1)</f>
        <v>1</v>
      </c>
      <c r="K96" s="179">
        <f ca="1">IFERROR(__xludf.DUMMYFUNCTION("""COMPUTED_VALUE"""),1)</f>
        <v>1</v>
      </c>
      <c r="L96" s="179" t="str">
        <f ca="1">IFERROR(__xludf.DUMMYFUNCTION("""COMPUTED_VALUE"""),"Seems like a new technology that many universities are also trying to build.")</f>
        <v>Seems like a new technology that many universities are also trying to build.</v>
      </c>
      <c r="M96" s="179">
        <f ca="1">IFERROR(__xludf.DUMMYFUNCTION("""COMPUTED_VALUE"""),4)</f>
        <v>4</v>
      </c>
      <c r="N96" s="179">
        <f ca="1">IFERROR(__xludf.DUMMYFUNCTION("""COMPUTED_VALUE"""),1)</f>
        <v>1</v>
      </c>
      <c r="O96" s="179" t="str">
        <f ca="1">IFERROR(__xludf.DUMMYFUNCTION("""COMPUTED_VALUE"""),"Very early days")</f>
        <v>Very early days</v>
      </c>
      <c r="P96" s="179">
        <f ca="1">IFERROR(__xludf.DUMMYFUNCTION("""COMPUTED_VALUE"""),4)</f>
        <v>4</v>
      </c>
      <c r="Q96" s="179">
        <f ca="1">IFERROR(__xludf.DUMMYFUNCTION("""COMPUTED_VALUE"""),2)</f>
        <v>2</v>
      </c>
      <c r="R96" s="179">
        <f ca="1">IFERROR(__xludf.DUMMYFUNCTION("""COMPUTED_VALUE"""),4)</f>
        <v>4</v>
      </c>
      <c r="S96" s="179" t="str">
        <f ca="1">IFERROR(__xludf.DUMMYFUNCTION("""COMPUTED_VALUE"""),"4 founder - two mechanical engineers, one electronics engineer and one materials engineer. Met at a course training engineers to be startup founders in automotives.")</f>
        <v>4 founder - two mechanical engineers, one electronics engineer and one materials engineer. Met at a course training engineers to be startup founders in automotives.</v>
      </c>
      <c r="T96" s="437">
        <f ca="1">IFERROR(__xludf.DUMMYFUNCTION("""COMPUTED_VALUE"""),420)</f>
        <v>420</v>
      </c>
      <c r="U96" s="179" t="str">
        <f ca="1">IFERROR(__xludf.DUMMYFUNCTION("""COMPUTED_VALUE"""),"$500K-$1M")</f>
        <v>$500K-$1M</v>
      </c>
      <c r="V96" s="179">
        <f ca="1">IFERROR(__xludf.DUMMYFUNCTION("""COMPUTED_VALUE"""),3)</f>
        <v>3</v>
      </c>
      <c r="W96" s="179" t="str">
        <f ca="1">IFERROR(__xludf.DUMMYFUNCTION("""COMPUTED_VALUE"""),"Seems like a new technology that many universities are also trying to build. Founders have relevant experience, but unlikely to be innovators in the space because it's such an emerging technology and their backgrounds are as working engineers not research"&amp;"ers.
Many people on this, but it is very early days. This company also has no traction because they are pre-product.")</f>
        <v>Seems like a new technology that many universities are also trying to build. Founders have relevant experience, but unlikely to be innovators in the space because it's such an emerging technology and their backgrounds are as working engineers not researchers.
Many people on this, but it is very early days. This company also has no traction because they are pre-product.</v>
      </c>
    </row>
    <row r="97" spans="1:23">
      <c r="A97" s="179" t="str">
        <f ca="1">IFERROR(__xludf.DUMMYFUNCTION("""COMPUTED_VALUE"""),"R")</f>
        <v>R</v>
      </c>
      <c r="B97" s="436">
        <f ca="1">IFERROR(__xludf.DUMMYFUNCTION("""COMPUTED_VALUE"""),44791.8190695601)</f>
        <v>44791.819069560101</v>
      </c>
      <c r="C97" s="179" t="str">
        <f ca="1">IFERROR(__xludf.DUMMYFUNCTION("""COMPUTED_VALUE"""),"ahmed.bahgat@stern.nyu.edu")</f>
        <v>ahmed.bahgat@stern.nyu.edu</v>
      </c>
      <c r="D97" s="179" t="str">
        <f ca="1">IFERROR(__xludf.DUMMYFUNCTION("""COMPUTED_VALUE"""),"Ahmed Bahgat")</f>
        <v>Ahmed Bahgat</v>
      </c>
      <c r="E97" s="179" t="str">
        <f ca="1">IFERROR(__xludf.DUMMYFUNCTION("""COMPUTED_VALUE"""),"I have read and understand the confidentiality agreement for application reviewers.")</f>
        <v>I have read and understand the confidentiality agreement for application reviewers.</v>
      </c>
      <c r="F97" s="179" t="str">
        <f ca="1">IFERROR(__xludf.DUMMYFUNCTION("""COMPUTED_VALUE"""),"satis.ai ltd")</f>
        <v>satis.ai ltd</v>
      </c>
      <c r="G97" s="179" t="str">
        <f ca="1">IFERROR(__xludf.DUMMYFUNCTION("""COMPUTED_VALUE"""),"AI Powered Operational Platform for Kitchens whereby it assists staff with packing and assembly in real-time using cameras and interactive screens. This also beings ongoing, Dynamic, and bespoke optimization instead of one size fit all processes based on "&amp;"yearly observations.")</f>
        <v>AI Powered Operational Platform for Kitchens whereby it assists staff with packing and assembly in real-time using cameras and interactive screens. This also beings ongoing, Dynamic, and bespoke optimization instead of one size fit all processes based on yearly observations.</v>
      </c>
      <c r="H97" s="179">
        <f ca="1">IFERROR(__xludf.DUMMYFUNCTION("""COMPUTED_VALUE"""),5)</f>
        <v>5</v>
      </c>
      <c r="I97" s="179">
        <f ca="1">IFERROR(__xludf.DUMMYFUNCTION("""COMPUTED_VALUE"""),4)</f>
        <v>4</v>
      </c>
      <c r="J97" s="179">
        <f ca="1">IFERROR(__xludf.DUMMYFUNCTION("""COMPUTED_VALUE"""),5)</f>
        <v>5</v>
      </c>
      <c r="K97" s="179">
        <f ca="1">IFERROR(__xludf.DUMMYFUNCTION("""COMPUTED_VALUE"""),5)</f>
        <v>5</v>
      </c>
      <c r="L97" s="179" t="str">
        <f ca="1">IFERROR(__xludf.DUMMYFUNCTION("""COMPUTED_VALUE"""),"Technology solution seeks to expedite delivery speed, reduce mistakes and reduce labor idle time in quick service restaurant chains. It has been tested and shows that it enhances operations by 3-5% ebitda margin. Not clearly stated whether this is being b"&amp;"eta tested with select clients or if its fully commercialized yet. ")</f>
        <v xml:space="preserve">Technology solution seeks to expedite delivery speed, reduce mistakes and reduce labor idle time in quick service restaurant chains. It has been tested and shows that it enhances operations by 3-5% ebitda margin. Not clearly stated whether this is being beta tested with select clients or if its fully commercialized yet. </v>
      </c>
      <c r="M97" s="179">
        <f ca="1">IFERROR(__xludf.DUMMYFUNCTION("""COMPUTED_VALUE"""),3)</f>
        <v>3</v>
      </c>
      <c r="N97" s="179">
        <f ca="1">IFERROR(__xludf.DUMMYFUNCTION("""COMPUTED_VALUE"""),5)</f>
        <v>5</v>
      </c>
      <c r="O97" s="179" t="str">
        <f ca="1">IFERROR(__xludf.DUMMYFUNCTION("""COMPUTED_VALUE"""),"Target Market is not really defined but it is implied to be the quick service restaurant chains.")</f>
        <v>Target Market is not really defined but it is implied to be the quick service restaurant chains.</v>
      </c>
      <c r="P97" s="179">
        <f ca="1">IFERROR(__xludf.DUMMYFUNCTION("""COMPUTED_VALUE"""),5)</f>
        <v>5</v>
      </c>
      <c r="Q97" s="179">
        <f ca="1">IFERROR(__xludf.DUMMYFUNCTION("""COMPUTED_VALUE"""),5)</f>
        <v>5</v>
      </c>
      <c r="R97" s="179">
        <f ca="1">IFERROR(__xludf.DUMMYFUNCTION("""COMPUTED_VALUE"""),5)</f>
        <v>5</v>
      </c>
      <c r="S97" s="179" t="str">
        <f ca="1">IFERROR(__xludf.DUMMYFUNCTION("""COMPUTED_VALUE"""),"Strong vision with a solid team. Well positioned to be innovators in this field.")</f>
        <v>Strong vision with a solid team. Well positioned to be innovators in this field.</v>
      </c>
      <c r="T97" s="179"/>
      <c r="U97" s="179" t="str">
        <f ca="1">IFERROR(__xludf.DUMMYFUNCTION("""COMPUTED_VALUE"""),"$1-$5M")</f>
        <v>$1-$5M</v>
      </c>
      <c r="V97" s="179">
        <f ca="1">IFERROR(__xludf.DUMMYFUNCTION("""COMPUTED_VALUE"""),4)</f>
        <v>4</v>
      </c>
      <c r="W97" s="179" t="str">
        <f ca="1">IFERROR(__xludf.DUMMYFUNCTION("""COMPUTED_VALUE"""),"Great business with a strong team, primary goals are customer acquisition and fund raising. I believe they are well-positioned to get the most out of EFL, whether it be a strong marketing study or senior advisor guidance through commercialization.   ")</f>
        <v xml:space="preserve">Great business with a strong team, primary goals are customer acquisition and fund raising. I believe they are well-positioned to get the most out of EFL, whether it be a strong marketing study or senior advisor guidance through commercialization.   </v>
      </c>
    </row>
    <row r="98" spans="1:23">
      <c r="A98" s="179" t="str">
        <f ca="1">IFERROR(__xludf.DUMMYFUNCTION("""COMPUTED_VALUE"""),"R")</f>
        <v>R</v>
      </c>
      <c r="B98" s="436">
        <f ca="1">IFERROR(__xludf.DUMMYFUNCTION("""COMPUTED_VALUE"""),44791.838018449)</f>
        <v>44791.838018449002</v>
      </c>
      <c r="C98" s="179" t="str">
        <f ca="1">IFERROR(__xludf.DUMMYFUNCTION("""COMPUTED_VALUE"""),"ahmed.bahgat@stern.nyu.edu")</f>
        <v>ahmed.bahgat@stern.nyu.edu</v>
      </c>
      <c r="D98" s="179" t="str">
        <f ca="1">IFERROR(__xludf.DUMMYFUNCTION("""COMPUTED_VALUE"""),"Ahmed Bahgat")</f>
        <v>Ahmed Bahgat</v>
      </c>
      <c r="E98" s="179" t="str">
        <f ca="1">IFERROR(__xludf.DUMMYFUNCTION("""COMPUTED_VALUE"""),"I have read and understand the confidentiality agreement for application reviewers.")</f>
        <v>I have read and understand the confidentiality agreement for application reviewers.</v>
      </c>
      <c r="F98" s="179" t="str">
        <f ca="1">IFERROR(__xludf.DUMMYFUNCTION("""COMPUTED_VALUE"""),"Say Ha")</f>
        <v>Say Ha</v>
      </c>
      <c r="G98" s="179" t="str">
        <f ca="1">IFERROR(__xludf.DUMMYFUNCTION("""COMPUTED_VALUE"""),"Dental Offices providing 1. Cleaning teeth services, 2. Oral hygiene planning and maintenance, 3. Esthetic therapy, 4. Selling hygiene products. Aspiring to be the go-to-cleaning office.")</f>
        <v>Dental Offices providing 1. Cleaning teeth services, 2. Oral hygiene planning and maintenance, 3. Esthetic therapy, 4. Selling hygiene products. Aspiring to be the go-to-cleaning office.</v>
      </c>
      <c r="H98" s="179">
        <f ca="1">IFERROR(__xludf.DUMMYFUNCTION("""COMPUTED_VALUE"""),5)</f>
        <v>5</v>
      </c>
      <c r="I98" s="179">
        <f ca="1">IFERROR(__xludf.DUMMYFUNCTION("""COMPUTED_VALUE"""),1)</f>
        <v>1</v>
      </c>
      <c r="J98" s="179">
        <f ca="1">IFERROR(__xludf.DUMMYFUNCTION("""COMPUTED_VALUE"""),1)</f>
        <v>1</v>
      </c>
      <c r="K98" s="179">
        <f ca="1">IFERROR(__xludf.DUMMYFUNCTION("""COMPUTED_VALUE"""),1)</f>
        <v>1</v>
      </c>
      <c r="L98" s="179" t="str">
        <f ca="1">IFERROR(__xludf.DUMMYFUNCTION("""COMPUTED_VALUE"""),"There is no technology solution, Dental office focused on prevention rather than restorative care. Objective is to promote a more positive experience in oral hygiene services by segregating locations related to dental treatments and those for preventive c"&amp;"are.")</f>
        <v>There is no technology solution, Dental office focused on prevention rather than restorative care. Objective is to promote a more positive experience in oral hygiene services by segregating locations related to dental treatments and those for preventive care.</v>
      </c>
      <c r="M98" s="179">
        <f ca="1">IFERROR(__xludf.DUMMYFUNCTION("""COMPUTED_VALUE"""),1)</f>
        <v>1</v>
      </c>
      <c r="N98" s="179">
        <f ca="1">IFERROR(__xludf.DUMMYFUNCTION("""COMPUTED_VALUE"""),1)</f>
        <v>1</v>
      </c>
      <c r="O98" s="179" t="str">
        <f ca="1">IFERROR(__xludf.DUMMYFUNCTION("""COMPUTED_VALUE"""),"Target market not specified.")</f>
        <v>Target market not specified.</v>
      </c>
      <c r="P98" s="179">
        <f ca="1">IFERROR(__xludf.DUMMYFUNCTION("""COMPUTED_VALUE"""),3)</f>
        <v>3</v>
      </c>
      <c r="Q98" s="179">
        <f ca="1">IFERROR(__xludf.DUMMYFUNCTION("""COMPUTED_VALUE"""),4)</f>
        <v>4</v>
      </c>
      <c r="R98" s="179">
        <f ca="1">IFERROR(__xludf.DUMMYFUNCTION("""COMPUTED_VALUE"""),5)</f>
        <v>5</v>
      </c>
      <c r="S98" s="179" t="str">
        <f ca="1">IFERROR(__xludf.DUMMYFUNCTION("""COMPUTED_VALUE"""),"Strong Team with a partially formulated vision and hence no real business idea for implementation yet. ")</f>
        <v xml:space="preserve">Strong Team with a partially formulated vision and hence no real business idea for implementation yet. </v>
      </c>
      <c r="T98" s="437">
        <f ca="1">IFERROR(__xludf.DUMMYFUNCTION("""COMPUTED_VALUE"""),0)</f>
        <v>0</v>
      </c>
      <c r="U98" s="179" t="str">
        <f ca="1">IFERROR(__xludf.DUMMYFUNCTION("""COMPUTED_VALUE"""),"$1-$5M")</f>
        <v>$1-$5M</v>
      </c>
      <c r="V98" s="179">
        <f ca="1">IFERROR(__xludf.DUMMYFUNCTION("""COMPUTED_VALUE"""),2)</f>
        <v>2</v>
      </c>
      <c r="W98" s="179" t="str">
        <f ca="1">IFERROR(__xludf.DUMMYFUNCTION("""COMPUTED_VALUE"""),"Still in ideation stage, looking for EFL to refine the idea of how to break up dental treatments and preventive care. This does not seem to be a business yet, hence I do not believe the team is well positioned to make the most use of EFL. ")</f>
        <v xml:space="preserve">Still in ideation stage, looking for EFL to refine the idea of how to break up dental treatments and preventive care. This does not seem to be a business yet, hence I do not believe the team is well positioned to make the most use of EFL. </v>
      </c>
    </row>
    <row r="99" spans="1:23">
      <c r="A99" s="179" t="str">
        <f ca="1">IFERROR(__xludf.DUMMYFUNCTION("""COMPUTED_VALUE"""),"R")</f>
        <v>R</v>
      </c>
      <c r="B99" s="436">
        <f ca="1">IFERROR(__xludf.DUMMYFUNCTION("""COMPUTED_VALUE"""),44791.8554768634)</f>
        <v>44791.855476863399</v>
      </c>
      <c r="C99" s="179" t="str">
        <f ca="1">IFERROR(__xludf.DUMMYFUNCTION("""COMPUTED_VALUE"""),"ahmed.bahgat@stern.nyu.edu")</f>
        <v>ahmed.bahgat@stern.nyu.edu</v>
      </c>
      <c r="D99" s="179" t="str">
        <f ca="1">IFERROR(__xludf.DUMMYFUNCTION("""COMPUTED_VALUE"""),"Ahmed Bahgat")</f>
        <v>Ahmed Bahgat</v>
      </c>
      <c r="E99" s="179" t="str">
        <f ca="1">IFERROR(__xludf.DUMMYFUNCTION("""COMPUTED_VALUE"""),"I have read and understand the confidentiality agreement for application reviewers.")</f>
        <v>I have read and understand the confidentiality agreement for application reviewers.</v>
      </c>
      <c r="F99" s="179" t="str">
        <f ca="1">IFERROR(__xludf.DUMMYFUNCTION("""COMPUTED_VALUE"""),"SAYA Life")</f>
        <v>SAYA Life</v>
      </c>
      <c r="G99" s="179" t="str">
        <f ca="1">IFERROR(__xludf.DUMMYFUNCTION("""COMPUTED_VALUE"""),"Smart water management platform focused on sub-metering and leak detection segment by using AI to detect and prevent catastrophic leaks in real time and predict anomalies using to prevent water issues before they become costly and catastrophic using the b"&amp;"uilt-in shutoff valve to instantly limit the damage.
")</f>
        <v xml:space="preserve">Smart water management platform focused on sub-metering and leak detection segment by using AI to detect and prevent catastrophic leaks in real time and predict anomalies using to prevent water issues before they become costly and catastrophic using the built-in shutoff valve to instantly limit the damage.
</v>
      </c>
      <c r="H99" s="179">
        <f ca="1">IFERROR(__xludf.DUMMYFUNCTION("""COMPUTED_VALUE"""),5)</f>
        <v>5</v>
      </c>
      <c r="I99" s="179">
        <f ca="1">IFERROR(__xludf.DUMMYFUNCTION("""COMPUTED_VALUE"""),4)</f>
        <v>4</v>
      </c>
      <c r="J99" s="179">
        <f ca="1">IFERROR(__xludf.DUMMYFUNCTION("""COMPUTED_VALUE"""),5)</f>
        <v>5</v>
      </c>
      <c r="K99" s="179">
        <f ca="1">IFERROR(__xludf.DUMMYFUNCTION("""COMPUTED_VALUE"""),5)</f>
        <v>5</v>
      </c>
      <c r="L99" s="179" t="str">
        <f ca="1">IFERROR(__xludf.DUMMYFUNCTION("""COMPUTED_VALUE"""),"Innovative solution that seems to provide a lot more advanced functionality as compared to competitors in the sub-metering space, such as risk management through control and analytics &amp; manufacturers for fixture efficiency among others. ")</f>
        <v xml:space="preserve">Innovative solution that seems to provide a lot more advanced functionality as compared to competitors in the sub-metering space, such as risk management through control and analytics &amp; manufacturers for fixture efficiency among others. </v>
      </c>
      <c r="M99" s="179">
        <f ca="1">IFERROR(__xludf.DUMMYFUNCTION("""COMPUTED_VALUE"""),5)</f>
        <v>5</v>
      </c>
      <c r="N99" s="179">
        <f ca="1">IFERROR(__xludf.DUMMYFUNCTION("""COMPUTED_VALUE"""),5)</f>
        <v>5</v>
      </c>
      <c r="O99" s="179" t="str">
        <f ca="1">IFERROR(__xludf.DUMMYFUNCTION("""COMPUTED_VALUE"""),"Strong market analysis that helped identify their target segment - large multi-tenant properties. ")</f>
        <v xml:space="preserve">Strong market analysis that helped identify their target segment - large multi-tenant properties. </v>
      </c>
      <c r="P99" s="179">
        <f ca="1">IFERROR(__xludf.DUMMYFUNCTION("""COMPUTED_VALUE"""),5)</f>
        <v>5</v>
      </c>
      <c r="Q99" s="179">
        <f ca="1">IFERROR(__xludf.DUMMYFUNCTION("""COMPUTED_VALUE"""),5)</f>
        <v>5</v>
      </c>
      <c r="R99" s="179">
        <f ca="1">IFERROR(__xludf.DUMMYFUNCTION("""COMPUTED_VALUE"""),5)</f>
        <v>5</v>
      </c>
      <c r="S99" s="179" t="str">
        <f ca="1">IFERROR(__xludf.DUMMYFUNCTION("""COMPUTED_VALUE"""),"Great team with a strong vision to help America save millions of gallons of water while preventing building damage.")</f>
        <v>Great team with a strong vision to help America save millions of gallons of water while preventing building damage.</v>
      </c>
      <c r="T99" s="179"/>
      <c r="U99" s="179" t="str">
        <f ca="1">IFERROR(__xludf.DUMMYFUNCTION("""COMPUTED_VALUE"""),"$1-$5M")</f>
        <v>$1-$5M</v>
      </c>
      <c r="V99" s="179">
        <f ca="1">IFERROR(__xludf.DUMMYFUNCTION("""COMPUTED_VALUE"""),5)</f>
        <v>5</v>
      </c>
      <c r="W99" s="179" t="str">
        <f ca="1">IFERROR(__xludf.DUMMYFUNCTION("""COMPUTED_VALUE"""),"This is a good candidate for EFL in that the business has a product &amp; a growing customer base but is looking for how to scale.")</f>
        <v>This is a good candidate for EFL in that the business has a product &amp; a growing customer base but is looking for how to scale.</v>
      </c>
    </row>
    <row r="100" spans="1:23">
      <c r="A100" s="179" t="str">
        <f ca="1">IFERROR(__xludf.DUMMYFUNCTION("""COMPUTED_VALUE"""),"R")</f>
        <v>R</v>
      </c>
      <c r="B100" s="436">
        <f ca="1">IFERROR(__xludf.DUMMYFUNCTION("""COMPUTED_VALUE"""),44791.8898942592)</f>
        <v>44791.889894259199</v>
      </c>
      <c r="C100" s="179" t="str">
        <f ca="1">IFERROR(__xludf.DUMMYFUNCTION("""COMPUTED_VALUE"""),"ahmed.bahgat@stern.nyu.edu")</f>
        <v>ahmed.bahgat@stern.nyu.edu</v>
      </c>
      <c r="D100" s="179" t="str">
        <f ca="1">IFERROR(__xludf.DUMMYFUNCTION("""COMPUTED_VALUE"""),"Ahmed Bahgat")</f>
        <v>Ahmed Bahgat</v>
      </c>
      <c r="E100" s="179" t="str">
        <f ca="1">IFERROR(__xludf.DUMMYFUNCTION("""COMPUTED_VALUE"""),"I have read and understand the confidentiality agreement for application reviewers.")</f>
        <v>I have read and understand the confidentiality agreement for application reviewers.</v>
      </c>
      <c r="F100" s="179" t="str">
        <f ca="1">IFERROR(__xludf.DUMMYFUNCTION("""COMPUTED_VALUE"""),"Sayenza Biosciences")</f>
        <v>Sayenza Biosciences</v>
      </c>
      <c r="G100" s="179" t="str">
        <f ca="1">IFERROR(__xludf.DUMMYFUNCTION("""COMPUTED_VALUE"""),"Multifunctional automated fat processing device for point of care fat grafting &amp; stem cell therapeutics. This solution will be deployed in operating rooms or clinics.
Precision medicine is a growing industry.")</f>
        <v>Multifunctional automated fat processing device for point of care fat grafting &amp; stem cell therapeutics. This solution will be deployed in operating rooms or clinics.
Precision medicine is a growing industry.</v>
      </c>
      <c r="H100" s="179">
        <f ca="1">IFERROR(__xludf.DUMMYFUNCTION("""COMPUTED_VALUE"""),5)</f>
        <v>5</v>
      </c>
      <c r="I100" s="179">
        <f ca="1">IFERROR(__xludf.DUMMYFUNCTION("""COMPUTED_VALUE"""),5)</f>
        <v>5</v>
      </c>
      <c r="J100" s="179">
        <f ca="1">IFERROR(__xludf.DUMMYFUNCTION("""COMPUTED_VALUE"""),3)</f>
        <v>3</v>
      </c>
      <c r="K100" s="179">
        <f ca="1">IFERROR(__xludf.DUMMYFUNCTION("""COMPUTED_VALUE"""),5)</f>
        <v>5</v>
      </c>
      <c r="L100" s="179" t="str">
        <f ca="1">IFERROR(__xludf.DUMMYFUNCTION("""COMPUTED_VALUE"""),"Solution PoC near completion.  Solution is replacing a labor-intensive process that includes special technicians and expensive equipment to process fat and prepare it for fat grafting.
Plan to use razor-razorblade model with high margin single-use disposa"&amp;"ble cartridges.")</f>
        <v>Solution PoC near completion.  Solution is replacing a labor-intensive process that includes special technicians and expensive equipment to process fat and prepare it for fat grafting.
Plan to use razor-razorblade model with high margin single-use disposable cartridges.</v>
      </c>
      <c r="M100" s="179">
        <f ca="1">IFERROR(__xludf.DUMMYFUNCTION("""COMPUTED_VALUE"""),5)</f>
        <v>5</v>
      </c>
      <c r="N100" s="179">
        <f ca="1">IFERROR(__xludf.DUMMYFUNCTION("""COMPUTED_VALUE"""),3)</f>
        <v>3</v>
      </c>
      <c r="O100" s="179" t="str">
        <f ca="1">IFERROR(__xludf.DUMMYFUNCTION("""COMPUTED_VALUE"""),"Targeting aesthetics space as the initial go to market, specifically the fat transfer devices and injectables.")</f>
        <v>Targeting aesthetics space as the initial go to market, specifically the fat transfer devices and injectables.</v>
      </c>
      <c r="P100" s="179">
        <f ca="1">IFERROR(__xludf.DUMMYFUNCTION("""COMPUTED_VALUE"""),5)</f>
        <v>5</v>
      </c>
      <c r="Q100" s="179">
        <f ca="1">IFERROR(__xludf.DUMMYFUNCTION("""COMPUTED_VALUE"""),5)</f>
        <v>5</v>
      </c>
      <c r="R100" s="179">
        <f ca="1">IFERROR(__xludf.DUMMYFUNCTION("""COMPUTED_VALUE"""),5)</f>
        <v>5</v>
      </c>
      <c r="S100" s="179" t="str">
        <f ca="1">IFERROR(__xludf.DUMMYFUNCTION("""COMPUTED_VALUE"""),"Strong team with solid experience. Well-positioned to drive this product to commercialization.")</f>
        <v>Strong team with solid experience. Well-positioned to drive this product to commercialization.</v>
      </c>
      <c r="T100" s="437">
        <f ca="1">IFERROR(__xludf.DUMMYFUNCTION("""COMPUTED_VALUE"""),0)</f>
        <v>0</v>
      </c>
      <c r="U100" s="179" t="str">
        <f ca="1">IFERROR(__xludf.DUMMYFUNCTION("""COMPUTED_VALUE"""),"$500K-$1M")</f>
        <v>$500K-$1M</v>
      </c>
      <c r="V100" s="179">
        <f ca="1">IFERROR(__xludf.DUMMYFUNCTION("""COMPUTED_VALUE"""),5)</f>
        <v>5</v>
      </c>
      <c r="W100" s="179" t="str">
        <f ca="1">IFERROR(__xludf.DUMMYFUNCTION("""COMPUTED_VALUE"""),"Good candidate for EFL - have a great product with a target market and looking to refine their go-to-market strategy. ")</f>
        <v xml:space="preserve">Good candidate for EFL - have a great product with a target market and looking to refine their go-to-market strategy. </v>
      </c>
    </row>
    <row r="101" spans="1:23">
      <c r="A101" s="179" t="str">
        <f ca="1">IFERROR(__xludf.DUMMYFUNCTION("""COMPUTED_VALUE"""),"R")</f>
        <v>R</v>
      </c>
      <c r="B101" s="436">
        <f ca="1">IFERROR(__xludf.DUMMYFUNCTION("""COMPUTED_VALUE"""),44791.9448205671)</f>
        <v>44791.9448205671</v>
      </c>
      <c r="C101" s="179" t="str">
        <f ca="1">IFERROR(__xludf.DUMMYFUNCTION("""COMPUTED_VALUE"""),"ahmed.bahgat@stern.nyu.edu")</f>
        <v>ahmed.bahgat@stern.nyu.edu</v>
      </c>
      <c r="D101" s="179" t="str">
        <f ca="1">IFERROR(__xludf.DUMMYFUNCTION("""COMPUTED_VALUE"""),"Ahmed Bahgat")</f>
        <v>Ahmed Bahgat</v>
      </c>
      <c r="E101" s="179" t="str">
        <f ca="1">IFERROR(__xludf.DUMMYFUNCTION("""COMPUTED_VALUE"""),"I have read and understand the confidentiality agreement for application reviewers.")</f>
        <v>I have read and understand the confidentiality agreement for application reviewers.</v>
      </c>
      <c r="F101" s="179" t="str">
        <f ca="1">IFERROR(__xludf.DUMMYFUNCTION("""COMPUTED_VALUE"""),"Scale Biosciences, Inc")</f>
        <v>Scale Biosciences, Inc</v>
      </c>
      <c r="G101" s="179" t="str">
        <f ca="1">IFERROR(__xludf.DUMMYFUNCTION("""COMPUTED_VALUE"""),"Single cell profiling and analysis solutions company")</f>
        <v>Single cell profiling and analysis solutions company</v>
      </c>
      <c r="H101" s="179">
        <f ca="1">IFERROR(__xludf.DUMMYFUNCTION("""COMPUTED_VALUE"""),5)</f>
        <v>5</v>
      </c>
      <c r="I101" s="179">
        <f ca="1">IFERROR(__xludf.DUMMYFUNCTION("""COMPUTED_VALUE"""),5)</f>
        <v>5</v>
      </c>
      <c r="J101" s="179">
        <f ca="1">IFERROR(__xludf.DUMMYFUNCTION("""COMPUTED_VALUE"""),5)</f>
        <v>5</v>
      </c>
      <c r="K101" s="179">
        <f ca="1">IFERROR(__xludf.DUMMYFUNCTION("""COMPUTED_VALUE"""),5)</f>
        <v>5</v>
      </c>
      <c r="L101" s="179" t="str">
        <f ca="1">IFERROR(__xludf.DUMMYFUNCTION("""COMPUTED_VALUE"""),"Has ""exclusive licenses to earliest and broadest split-pool barcoding and combinatorial indexing “in situ” technology"".")</f>
        <v>Has "exclusive licenses to earliest and broadest split-pool barcoding and combinatorial indexing “in situ” technology".</v>
      </c>
      <c r="M101" s="179">
        <f ca="1">IFERROR(__xludf.DUMMYFUNCTION("""COMPUTED_VALUE"""),5)</f>
        <v>5</v>
      </c>
      <c r="N101" s="179">
        <f ca="1">IFERROR(__xludf.DUMMYFUNCTION("""COMPUTED_VALUE"""),5)</f>
        <v>5</v>
      </c>
      <c r="O101" s="179" t="str">
        <f ca="1">IFERROR(__xludf.DUMMYFUNCTION("""COMPUTED_VALUE"""),"Technology solution to be applied across genomics, spatial genomics, proteomics, mass spectrometry in phases and in that order.")</f>
        <v>Technology solution to be applied across genomics, spatial genomics, proteomics, mass spectrometry in phases and in that order.</v>
      </c>
      <c r="P101" s="179">
        <f ca="1">IFERROR(__xludf.DUMMYFUNCTION("""COMPUTED_VALUE"""),5)</f>
        <v>5</v>
      </c>
      <c r="Q101" s="179">
        <f ca="1">IFERROR(__xludf.DUMMYFUNCTION("""COMPUTED_VALUE"""),5)</f>
        <v>5</v>
      </c>
      <c r="R101" s="179">
        <f ca="1">IFERROR(__xludf.DUMMYFUNCTION("""COMPUTED_VALUE"""),5)</f>
        <v>5</v>
      </c>
      <c r="S101" s="179" t="str">
        <f ca="1">IFERROR(__xludf.DUMMYFUNCTION("""COMPUTED_VALUE"""),"Strong experienced team that are well positioned to innovate and lead this sector")</f>
        <v>Strong experienced team that are well positioned to innovate and lead this sector</v>
      </c>
      <c r="T101" s="179"/>
      <c r="U101" s="179" t="str">
        <f ca="1">IFERROR(__xludf.DUMMYFUNCTION("""COMPUTED_VALUE"""),"&gt;$5M")</f>
        <v>&gt;$5M</v>
      </c>
      <c r="V101" s="179">
        <f ca="1">IFERROR(__xludf.DUMMYFUNCTION("""COMPUTED_VALUE"""),5)</f>
        <v>5</v>
      </c>
      <c r="W101" s="179" t="str">
        <f ca="1">IFERROR(__xludf.DUMMYFUNCTION("""COMPUTED_VALUE"""),"Note my assessment above is based on a very limited comprehension of the technology provided as presented in the application and deck.
Application seems inconsistent with the link to the deck provided. MVP was done, validated with 20+ customers and comple"&amp;"ted 1st product sale. 
Business is well positioned to make use of EFL through market research and revisiting the existing business model.")</f>
        <v>Note my assessment above is based on a very limited comprehension of the technology provided as presented in the application and deck.
Application seems inconsistent with the link to the deck provided. MVP was done, validated with 20+ customers and completed 1st product sale. 
Business is well positioned to make use of EFL through market research and revisiting the existing business model.</v>
      </c>
    </row>
    <row r="102" spans="1:23">
      <c r="A102" s="179" t="str">
        <f ca="1">IFERROR(__xludf.DUMMYFUNCTION("""COMPUTED_VALUE"""),"R")</f>
        <v>R</v>
      </c>
      <c r="B102" s="436">
        <f ca="1">IFERROR(__xludf.DUMMYFUNCTION("""COMPUTED_VALUE"""),44791.974060324)</f>
        <v>44791.974060323999</v>
      </c>
      <c r="C102" s="179" t="str">
        <f ca="1">IFERROR(__xludf.DUMMYFUNCTION("""COMPUTED_VALUE"""),"ahmed.bahgat@stern.nyu.edu")</f>
        <v>ahmed.bahgat@stern.nyu.edu</v>
      </c>
      <c r="D102" s="179" t="str">
        <f ca="1">IFERROR(__xludf.DUMMYFUNCTION("""COMPUTED_VALUE"""),"Ahmed Bahgat")</f>
        <v>Ahmed Bahgat</v>
      </c>
      <c r="E102" s="179" t="str">
        <f ca="1">IFERROR(__xludf.DUMMYFUNCTION("""COMPUTED_VALUE"""),"I have read and understand the confidentiality agreement for application reviewers.")</f>
        <v>I have read and understand the confidentiality agreement for application reviewers.</v>
      </c>
      <c r="F102" s="179" t="str">
        <f ca="1">IFERROR(__xludf.DUMMYFUNCTION("""COMPUTED_VALUE"""),"Scholarship Advisors")</f>
        <v>Scholarship Advisors</v>
      </c>
      <c r="G102" s="179" t="str">
        <f ca="1">IFERROR(__xludf.DUMMYFUNCTION("""COMPUTED_VALUE"""),"College Counselling business, team of 10, serving the India student population (16-26) ~200. Looking to build an app for e-counselling to access to new markets and for ""effective cross movement of students"".")</f>
        <v>College Counselling business, team of 10, serving the India student population (16-26) ~200. Looking to build an app for e-counselling to access to new markets and for "effective cross movement of students".</v>
      </c>
      <c r="H102" s="179">
        <f ca="1">IFERROR(__xludf.DUMMYFUNCTION("""COMPUTED_VALUE"""),1)</f>
        <v>1</v>
      </c>
      <c r="I102" s="179">
        <f ca="1">IFERROR(__xludf.DUMMYFUNCTION("""COMPUTED_VALUE"""),1)</f>
        <v>1</v>
      </c>
      <c r="J102" s="179">
        <f ca="1">IFERROR(__xludf.DUMMYFUNCTION("""COMPUTED_VALUE"""),1)</f>
        <v>1</v>
      </c>
      <c r="K102" s="179">
        <f ca="1">IFERROR(__xludf.DUMMYFUNCTION("""COMPUTED_VALUE"""),1)</f>
        <v>1</v>
      </c>
      <c r="L102" s="179" t="str">
        <f ca="1">IFERROR(__xludf.DUMMYFUNCTION("""COMPUTED_VALUE"""),"There is no developed technology as of yet.  ")</f>
        <v xml:space="preserve">There is no developed technology as of yet.  </v>
      </c>
      <c r="M102" s="179">
        <f ca="1">IFERROR(__xludf.DUMMYFUNCTION("""COMPUTED_VALUE"""),2)</f>
        <v>2</v>
      </c>
      <c r="N102" s="179">
        <f ca="1">IFERROR(__xludf.DUMMYFUNCTION("""COMPUTED_VALUE"""),4)</f>
        <v>4</v>
      </c>
      <c r="O102" s="179" t="str">
        <f ca="1">IFERROR(__xludf.DUMMYFUNCTION("""COMPUTED_VALUE"""),"Market is not defined. application states an addressable global market of 10 Billion customers (note: there are 8 Billion people on earth) ")</f>
        <v xml:space="preserve">Market is not defined. application states an addressable global market of 10 Billion customers (note: there are 8 Billion people on earth) </v>
      </c>
      <c r="P102" s="179">
        <f ca="1">IFERROR(__xludf.DUMMYFUNCTION("""COMPUTED_VALUE"""),1)</f>
        <v>1</v>
      </c>
      <c r="Q102" s="179">
        <f ca="1">IFERROR(__xludf.DUMMYFUNCTION("""COMPUTED_VALUE"""),1)</f>
        <v>1</v>
      </c>
      <c r="R102" s="179">
        <f ca="1">IFERROR(__xludf.DUMMYFUNCTION("""COMPUTED_VALUE"""),1)</f>
        <v>1</v>
      </c>
      <c r="S102" s="179" t="str">
        <f ca="1">IFERROR(__xludf.DUMMYFUNCTION("""COMPUTED_VALUE"""),"Founders, advisors, or team members experience not provided in application or their website")</f>
        <v>Founders, advisors, or team members experience not provided in application or their website</v>
      </c>
      <c r="T102" s="179"/>
      <c r="U102" s="179" t="str">
        <f ca="1">IFERROR(__xludf.DUMMYFUNCTION("""COMPUTED_VALUE"""),"$1-$5M")</f>
        <v>$1-$5M</v>
      </c>
      <c r="V102" s="179">
        <f ca="1">IFERROR(__xludf.DUMMYFUNCTION("""COMPUTED_VALUE"""),1)</f>
        <v>1</v>
      </c>
      <c r="W102" s="179" t="str">
        <f ca="1">IFERROR(__xludf.DUMMYFUNCTION("""COMPUTED_VALUE"""),"There doesn't seem to be a technology solution here. Its a College Counselling business looking to build an app.")</f>
        <v>There doesn't seem to be a technology solution here. Its a College Counselling business looking to build an app.</v>
      </c>
    </row>
    <row r="103" spans="1:23">
      <c r="A103" s="179" t="str">
        <f ca="1">IFERROR(__xludf.DUMMYFUNCTION("""COMPUTED_VALUE"""),"R")</f>
        <v>R</v>
      </c>
      <c r="B103" s="436">
        <f ca="1">IFERROR(__xludf.DUMMYFUNCTION("""COMPUTED_VALUE"""),44792.0083734953)</f>
        <v>44792.0083734953</v>
      </c>
      <c r="C103" s="179" t="str">
        <f ca="1">IFERROR(__xludf.DUMMYFUNCTION("""COMPUTED_VALUE"""),"ahmed.bahgat@stern.nyu.edu")</f>
        <v>ahmed.bahgat@stern.nyu.edu</v>
      </c>
      <c r="D103" s="179" t="str">
        <f ca="1">IFERROR(__xludf.DUMMYFUNCTION("""COMPUTED_VALUE"""),"Ahmed Bahgat")</f>
        <v>Ahmed Bahgat</v>
      </c>
      <c r="E103" s="179" t="str">
        <f ca="1">IFERROR(__xludf.DUMMYFUNCTION("""COMPUTED_VALUE"""),"I have read and understand the confidentiality agreement for application reviewers.")</f>
        <v>I have read and understand the confidentiality agreement for application reviewers.</v>
      </c>
      <c r="F103" s="179" t="str">
        <f ca="1">IFERROR(__xludf.DUMMYFUNCTION("""COMPUTED_VALUE"""),"Scispot.io, Inc.")</f>
        <v>Scispot.io, Inc.</v>
      </c>
      <c r="G103" s="179" t="str">
        <f ca="1">IFERROR(__xludf.DUMMYFUNCTION("""COMPUTED_VALUE"""),"No-code digitalization and automation suite to life science companies empowering labs to create a personalized digital solution. ")</f>
        <v xml:space="preserve">No-code digitalization and automation suite to life science companies empowering labs to create a personalized digital solution. </v>
      </c>
      <c r="H103" s="179">
        <f ca="1">IFERROR(__xludf.DUMMYFUNCTION("""COMPUTED_VALUE"""),5)</f>
        <v>5</v>
      </c>
      <c r="I103" s="179">
        <f ca="1">IFERROR(__xludf.DUMMYFUNCTION("""COMPUTED_VALUE"""),5)</f>
        <v>5</v>
      </c>
      <c r="J103" s="179">
        <f ca="1">IFERROR(__xludf.DUMMYFUNCTION("""COMPUTED_VALUE"""),5)</f>
        <v>5</v>
      </c>
      <c r="K103" s="179">
        <f ca="1">IFERROR(__xludf.DUMMYFUNCTION("""COMPUTED_VALUE"""),2)</f>
        <v>2</v>
      </c>
      <c r="L103" s="179" t="str">
        <f ca="1">IFERROR(__xludf.DUMMYFUNCTION("""COMPUTED_VALUE"""),"No patent yet protecting the software.
Solution allows for building &amp; connecting ""labsheets"" to track inventory, samples, and to automate workflows and is integrated with 3rd-party apps and analysis on
experiment data to allow for better decisions on ex"&amp;"periments")</f>
        <v>No patent yet protecting the software.
Solution allows for building &amp; connecting "labsheets" to track inventory, samples, and to automate workflows and is integrated with 3rd-party apps and analysis on
experiment data to allow for better decisions on experiments</v>
      </c>
      <c r="M103" s="179">
        <f ca="1">IFERROR(__xludf.DUMMYFUNCTION("""COMPUTED_VALUE"""),2)</f>
        <v>2</v>
      </c>
      <c r="N103" s="179">
        <f ca="1">IFERROR(__xludf.DUMMYFUNCTION("""COMPUTED_VALUE"""),5)</f>
        <v>5</v>
      </c>
      <c r="O103" s="179" t="str">
        <f ca="1">IFERROR(__xludf.DUMMYFUNCTION("""COMPUTED_VALUE"""),"Target market defined as small businesses. SAM of $25.5M and SOM of $2.5M (numbers seem incorrect). ")</f>
        <v xml:space="preserve">Target market defined as small businesses. SAM of $25.5M and SOM of $2.5M (numbers seem incorrect). </v>
      </c>
      <c r="P103" s="179">
        <f ca="1">IFERROR(__xludf.DUMMYFUNCTION("""COMPUTED_VALUE"""),5)</f>
        <v>5</v>
      </c>
      <c r="Q103" s="179">
        <f ca="1">IFERROR(__xludf.DUMMYFUNCTION("""COMPUTED_VALUE"""),5)</f>
        <v>5</v>
      </c>
      <c r="R103" s="179">
        <f ca="1">IFERROR(__xludf.DUMMYFUNCTION("""COMPUTED_VALUE"""),5)</f>
        <v>5</v>
      </c>
      <c r="S103" s="179" t="str">
        <f ca="1">IFERROR(__xludf.DUMMYFUNCTION("""COMPUTED_VALUE"""),"Strong team executing a strong vision - make workflow automation possible for every life science lab on this planet. ")</f>
        <v xml:space="preserve">Strong team executing a strong vision - make workflow automation possible for every life science lab on this planet. </v>
      </c>
      <c r="T103" s="179"/>
      <c r="U103" s="179" t="str">
        <f ca="1">IFERROR(__xludf.DUMMYFUNCTION("""COMPUTED_VALUE"""),"$1-$5M")</f>
        <v>$1-$5M</v>
      </c>
      <c r="V103" s="179">
        <f ca="1">IFERROR(__xludf.DUMMYFUNCTION("""COMPUTED_VALUE"""),5)</f>
        <v>5</v>
      </c>
      <c r="W103" s="179" t="str">
        <f ca="1">IFERROR(__xludf.DUMMYFUNCTION("""COMPUTED_VALUE"""),"Well positioned to benefit from EFL - such as conducting market research and refining business model.")</f>
        <v>Well positioned to benefit from EFL - such as conducting market research and refining business model.</v>
      </c>
    </row>
    <row r="104" spans="1:23">
      <c r="A104" s="179" t="str">
        <f ca="1">IFERROR(__xludf.DUMMYFUNCTION("""COMPUTED_VALUE"""),"R")</f>
        <v>R</v>
      </c>
      <c r="B104" s="436">
        <f ca="1">IFERROR(__xludf.DUMMYFUNCTION("""COMPUTED_VALUE"""),44792.3685675694)</f>
        <v>44792.3685675694</v>
      </c>
      <c r="C104" s="179" t="str">
        <f ca="1">IFERROR(__xludf.DUMMYFUNCTION("""COMPUTED_VALUE"""),"cm6077@stern.nyu.edu")</f>
        <v>cm6077@stern.nyu.edu</v>
      </c>
      <c r="D104" s="179" t="str">
        <f ca="1">IFERROR(__xludf.DUMMYFUNCTION("""COMPUTED_VALUE"""),"Chris Millisits")</f>
        <v>Chris Millisits</v>
      </c>
      <c r="E104" s="179" t="str">
        <f ca="1">IFERROR(__xludf.DUMMYFUNCTION("""COMPUTED_VALUE"""),"I have read and understand the confidentiality agreement for application reviewers.")</f>
        <v>I have read and understand the confidentiality agreement for application reviewers.</v>
      </c>
      <c r="F104" s="179" t="str">
        <f ca="1">IFERROR(__xludf.DUMMYFUNCTION("""COMPUTED_VALUE"""),"Novamp Pharma Pack")</f>
        <v>Novamp Pharma Pack</v>
      </c>
      <c r="G104" s="179" t="str">
        <f ca="1">IFERROR(__xludf.DUMMYFUNCTION("""COMPUTED_VALUE"""),"A start-up working on advancing pharmaceutical packaging material,
especially small volume injectables / Packaging / Pre-seed")</f>
        <v>A start-up working on advancing pharmaceutical packaging material,
especially small volume injectables / Packaging / Pre-seed</v>
      </c>
      <c r="H104" s="179">
        <f ca="1">IFERROR(__xludf.DUMMYFUNCTION("""COMPUTED_VALUE"""),3)</f>
        <v>3</v>
      </c>
      <c r="I104" s="179">
        <f ca="1">IFERROR(__xludf.DUMMYFUNCTION("""COMPUTED_VALUE"""),3)</f>
        <v>3</v>
      </c>
      <c r="J104" s="179">
        <f ca="1">IFERROR(__xludf.DUMMYFUNCTION("""COMPUTED_VALUE"""),3)</f>
        <v>3</v>
      </c>
      <c r="K104" s="179">
        <f ca="1">IFERROR(__xludf.DUMMYFUNCTION("""COMPUTED_VALUE"""),4)</f>
        <v>4</v>
      </c>
      <c r="L104" s="179" t="str">
        <f ca="1">IFERROR(__xludf.DUMMYFUNCTION("""COMPUTED_VALUE"""),"Glass and rubber packing material")</f>
        <v>Glass and rubber packing material</v>
      </c>
      <c r="M104" s="179">
        <f ca="1">IFERROR(__xludf.DUMMYFUNCTION("""COMPUTED_VALUE"""),3)</f>
        <v>3</v>
      </c>
      <c r="N104" s="179">
        <f ca="1">IFERROR(__xludf.DUMMYFUNCTION("""COMPUTED_VALUE"""),2)</f>
        <v>2</v>
      </c>
      <c r="O104" s="179" t="str">
        <f ca="1">IFERROR(__xludf.DUMMYFUNCTION("""COMPUTED_VALUE"""),"Proof of concept, talking to experts, market survey. Didn't provide any detail on addressable market, but pharmaceutical packing seems to be a large market with sizable market leaders - just unsure of how much is addressable due to the lack of detail in t"&amp;"he application.")</f>
        <v>Proof of concept, talking to experts, market survey. Didn't provide any detail on addressable market, but pharmaceutical packing seems to be a large market with sizable market leaders - just unsure of how much is addressable due to the lack of detail in the application.</v>
      </c>
      <c r="P104" s="179">
        <f ca="1">IFERROR(__xludf.DUMMYFUNCTION("""COMPUTED_VALUE"""),3)</f>
        <v>3</v>
      </c>
      <c r="Q104" s="179">
        <f ca="1">IFERROR(__xludf.DUMMYFUNCTION("""COMPUTED_VALUE"""),3)</f>
        <v>3</v>
      </c>
      <c r="R104" s="179">
        <f ca="1">IFERROR(__xludf.DUMMYFUNCTION("""COMPUTED_VALUE"""),3)</f>
        <v>3</v>
      </c>
      <c r="S104" s="179" t="str">
        <f ca="1">IFERROR(__xludf.DUMMYFUNCTION("""COMPUTED_VALUE"""),"Previous experience as a pharmacist, and in packaging for pharma products.")</f>
        <v>Previous experience as a pharmacist, and in packaging for pharma products.</v>
      </c>
      <c r="T104" s="437">
        <f ca="1">IFERROR(__xludf.DUMMYFUNCTION("""COMPUTED_VALUE"""),0)</f>
        <v>0</v>
      </c>
      <c r="U104" s="179" t="str">
        <f ca="1">IFERROR(__xludf.DUMMYFUNCTION("""COMPUTED_VALUE"""),"&lt;$500K")</f>
        <v>&lt;$500K</v>
      </c>
      <c r="V104" s="179">
        <f ca="1">IFERROR(__xludf.DUMMYFUNCTION("""COMPUTED_VALUE"""),3)</f>
        <v>3</v>
      </c>
      <c r="W104" s="179" t="str">
        <f ca="1">IFERROR(__xludf.DUMMYFUNCTION("""COMPUTED_VALUE"""),"Unsure of market size. Founder has some relevant experience. Potentially defensible product. Application not complete.")</f>
        <v>Unsure of market size. Founder has some relevant experience. Potentially defensible product. Application not complete.</v>
      </c>
    </row>
    <row r="105" spans="1:23">
      <c r="A105" s="179" t="str">
        <f ca="1">IFERROR(__xludf.DUMMYFUNCTION("""COMPUTED_VALUE"""),"R")</f>
        <v>R</v>
      </c>
      <c r="B105" s="436">
        <f ca="1">IFERROR(__xludf.DUMMYFUNCTION("""COMPUTED_VALUE"""),44792.3755674537)</f>
        <v>44792.375567453702</v>
      </c>
      <c r="C105" s="179" t="str">
        <f ca="1">IFERROR(__xludf.DUMMYFUNCTION("""COMPUTED_VALUE"""),"cm6077@stern.nyu.edu")</f>
        <v>cm6077@stern.nyu.edu</v>
      </c>
      <c r="D105" s="179" t="str">
        <f ca="1">IFERROR(__xludf.DUMMYFUNCTION("""COMPUTED_VALUE"""),"Chris Millisits")</f>
        <v>Chris Millisits</v>
      </c>
      <c r="E105" s="179" t="str">
        <f ca="1">IFERROR(__xludf.DUMMYFUNCTION("""COMPUTED_VALUE"""),"I have read and understand the confidentiality agreement for application reviewers.")</f>
        <v>I have read and understand the confidentiality agreement for application reviewers.</v>
      </c>
      <c r="F105" s="179" t="str">
        <f ca="1">IFERROR(__xludf.DUMMYFUNCTION("""COMPUTED_VALUE"""),"Novel Farms")</f>
        <v>Novel Farms</v>
      </c>
      <c r="G105" s="179" t="str">
        <f ca="1">IFERROR(__xludf.DUMMYFUNCTION("""COMPUTED_VALUE"""),"Lab-grown whole cuts of premium pork and chicken / Lab-grown Meat / Seed")</f>
        <v>Lab-grown whole cuts of premium pork and chicken / Lab-grown Meat / Seed</v>
      </c>
      <c r="H105" s="179">
        <f ca="1">IFERROR(__xludf.DUMMYFUNCTION("""COMPUTED_VALUE"""),2)</f>
        <v>2</v>
      </c>
      <c r="I105" s="179">
        <f ca="1">IFERROR(__xludf.DUMMYFUNCTION("""COMPUTED_VALUE"""),4)</f>
        <v>4</v>
      </c>
      <c r="J105" s="179">
        <f ca="1">IFERROR(__xludf.DUMMYFUNCTION("""COMPUTED_VALUE"""),1)</f>
        <v>1</v>
      </c>
      <c r="K105" s="179">
        <f ca="1">IFERROR(__xludf.DUMMYFUNCTION("""COMPUTED_VALUE"""),3)</f>
        <v>3</v>
      </c>
      <c r="L105" s="179" t="str">
        <f ca="1">IFERROR(__xludf.DUMMYFUNCTION("""COMPUTED_VALUE"""),"Producing whole cuts of premium meat from cultures isn't exactly a pressing need. Novel IP that could sustain a cost advantage. Still working on taste, only have a prototype that can sustain the structure.")</f>
        <v>Producing whole cuts of premium meat from cultures isn't exactly a pressing need. Novel IP that could sustain a cost advantage. Still working on taste, only have a prototype that can sustain the structure.</v>
      </c>
      <c r="M105" s="179">
        <f ca="1">IFERROR(__xludf.DUMMYFUNCTION("""COMPUTED_VALUE"""),2)</f>
        <v>2</v>
      </c>
      <c r="N105" s="179">
        <f ca="1">IFERROR(__xludf.DUMMYFUNCTION("""COMPUTED_VALUE"""),1)</f>
        <v>1</v>
      </c>
      <c r="O105" s="179" t="str">
        <f ca="1">IFERROR(__xludf.DUMMYFUNCTION("""COMPUTED_VALUE"""),"Serviceable addressable market is not all whole cut pork loin, it's lab-grown. Huge difference between the market size and what the company claims in their application.")</f>
        <v>Serviceable addressable market is not all whole cut pork loin, it's lab-grown. Huge difference between the market size and what the company claims in their application.</v>
      </c>
      <c r="P105" s="179">
        <f ca="1">IFERROR(__xludf.DUMMYFUNCTION("""COMPUTED_VALUE"""),4)</f>
        <v>4</v>
      </c>
      <c r="Q105" s="179">
        <f ca="1">IFERROR(__xludf.DUMMYFUNCTION("""COMPUTED_VALUE"""),4)</f>
        <v>4</v>
      </c>
      <c r="R105" s="179">
        <f ca="1">IFERROR(__xludf.DUMMYFUNCTION("""COMPUTED_VALUE"""),4)</f>
        <v>4</v>
      </c>
      <c r="S105" s="179" t="str">
        <f ca="1">IFERROR(__xludf.DUMMYFUNCTION("""COMPUTED_VALUE"""),"The co-founders bring experience of over 30 years, with expertise in microbiology and strain engineering, mammalian tissue culture, stem cell biology, protein design and purification, and synthetic biology to the company.")</f>
        <v>The co-founders bring experience of over 30 years, with expertise in microbiology and strain engineering, mammalian tissue culture, stem cell biology, protein design and purification, and synthetic biology to the company.</v>
      </c>
      <c r="T105" s="437">
        <f ca="1">IFERROR(__xludf.DUMMYFUNCTION("""COMPUTED_VALUE"""),1407000)</f>
        <v>1407000</v>
      </c>
      <c r="U105" s="179" t="str">
        <f ca="1">IFERROR(__xludf.DUMMYFUNCTION("""COMPUTED_VALUE"""),"&gt;$5M")</f>
        <v>&gt;$5M</v>
      </c>
      <c r="V105" s="179">
        <f ca="1">IFERROR(__xludf.DUMMYFUNCTION("""COMPUTED_VALUE"""),3)</f>
        <v>3</v>
      </c>
      <c r="W105" s="179" t="str">
        <f ca="1">IFERROR(__xludf.DUMMYFUNCTION("""COMPUTED_VALUE"""),"Questions about size of market for this premium product. Vision is there, the team is there. The tech is a work in progress but sufficiently ambitious.")</f>
        <v>Questions about size of market for this premium product. Vision is there, the team is there. The tech is a work in progress but sufficiently ambitious.</v>
      </c>
    </row>
    <row r="106" spans="1:23">
      <c r="A106" s="179" t="str">
        <f ca="1">IFERROR(__xludf.DUMMYFUNCTION("""COMPUTED_VALUE"""),"R")</f>
        <v>R</v>
      </c>
      <c r="B106" s="436">
        <f ca="1">IFERROR(__xludf.DUMMYFUNCTION("""COMPUTED_VALUE"""),44792.3835215625)</f>
        <v>44792.3835215625</v>
      </c>
      <c r="C106" s="179" t="str">
        <f ca="1">IFERROR(__xludf.DUMMYFUNCTION("""COMPUTED_VALUE"""),"cm6077@stern.nyu.edu")</f>
        <v>cm6077@stern.nyu.edu</v>
      </c>
      <c r="D106" s="179" t="str">
        <f ca="1">IFERROR(__xludf.DUMMYFUNCTION("""COMPUTED_VALUE"""),"Chris Millisits")</f>
        <v>Chris Millisits</v>
      </c>
      <c r="E106" s="179" t="str">
        <f ca="1">IFERROR(__xludf.DUMMYFUNCTION("""COMPUTED_VALUE"""),"I have read and understand the confidentiality agreement for application reviewers.")</f>
        <v>I have read and understand the confidentiality agreement for application reviewers.</v>
      </c>
      <c r="F106" s="179" t="str">
        <f ca="1">IFERROR(__xludf.DUMMYFUNCTION("""COMPUTED_VALUE"""),"NTherma Corporation")</f>
        <v>NTherma Corporation</v>
      </c>
      <c r="G106" s="179" t="str">
        <f ca="1">IFERROR(__xludf.DUMMYFUNCTION("""COMPUTED_VALUE"""),"Produces a nanomaterial additive called that enables manufacturers of lithium ion batteries game-changing product improvements to density, charge rates, safety, and cycle-life / Nanomaterials / Series A")</f>
        <v>Produces a nanomaterial additive called that enables manufacturers of lithium ion batteries game-changing product improvements to density, charge rates, safety, and cycle-life / Nanomaterials / Series A</v>
      </c>
      <c r="H106" s="179">
        <f ca="1">IFERROR(__xludf.DUMMYFUNCTION("""COMPUTED_VALUE"""),4)</f>
        <v>4</v>
      </c>
      <c r="I106" s="179">
        <f ca="1">IFERROR(__xludf.DUMMYFUNCTION("""COMPUTED_VALUE"""),4)</f>
        <v>4</v>
      </c>
      <c r="J106" s="179">
        <f ca="1">IFERROR(__xludf.DUMMYFUNCTION("""COMPUTED_VALUE"""),3)</f>
        <v>3</v>
      </c>
      <c r="K106" s="179">
        <f ca="1">IFERROR(__xludf.DUMMYFUNCTION("""COMPUTED_VALUE"""),5)</f>
        <v>5</v>
      </c>
      <c r="L106" s="179" t="str">
        <f ca="1">IFERROR(__xludf.DUMMYFUNCTION("""COMPUTED_VALUE"""),"There's a few direct competitors in the space (ACS Materials, Strem Chemical). Performance has been tested, with noted performance improvements. 9 patents.")</f>
        <v>There's a few direct competitors in the space (ACS Materials, Strem Chemical). Performance has been tested, with noted performance improvements. 9 patents.</v>
      </c>
      <c r="M106" s="179">
        <f ca="1">IFERROR(__xludf.DUMMYFUNCTION("""COMPUTED_VALUE"""),4)</f>
        <v>4</v>
      </c>
      <c r="N106" s="179">
        <f ca="1">IFERROR(__xludf.DUMMYFUNCTION("""COMPUTED_VALUE"""),2)</f>
        <v>2</v>
      </c>
      <c r="O106" s="179" t="str">
        <f ca="1">IFERROR(__xludf.DUMMYFUNCTION("""COMPUTED_VALUE"""),"Market size &lt;= 1% of the $40b lithium-ion battery market, but still sizable. Has customers, but makes most of their money from their oil additive product.")</f>
        <v>Market size &lt;= 1% of the $40b lithium-ion battery market, but still sizable. Has customers, but makes most of their money from their oil additive product.</v>
      </c>
      <c r="P106" s="179">
        <f ca="1">IFERROR(__xludf.DUMMYFUNCTION("""COMPUTED_VALUE"""),3)</f>
        <v>3</v>
      </c>
      <c r="Q106" s="179">
        <f ca="1">IFERROR(__xludf.DUMMYFUNCTION("""COMPUTED_VALUE"""),3)</f>
        <v>3</v>
      </c>
      <c r="R106" s="179">
        <f ca="1">IFERROR(__xludf.DUMMYFUNCTION("""COMPUTED_VALUE"""),4)</f>
        <v>4</v>
      </c>
      <c r="S106" s="179" t="str">
        <f ca="1">IFERROR(__xludf.DUMMYFUNCTION("""COMPUTED_VALUE"""),"Repeat founders. CEO has previous launched an applied materials company.")</f>
        <v>Repeat founders. CEO has previous launched an applied materials company.</v>
      </c>
      <c r="T106" s="437">
        <f ca="1">IFERROR(__xludf.DUMMYFUNCTION("""COMPUTED_VALUE"""),6000000)</f>
        <v>6000000</v>
      </c>
      <c r="U106" s="179" t="str">
        <f ca="1">IFERROR(__xludf.DUMMYFUNCTION("""COMPUTED_VALUE"""),"&gt;$5M")</f>
        <v>&gt;$5M</v>
      </c>
      <c r="V106" s="179">
        <f ca="1">IFERROR(__xludf.DUMMYFUNCTION("""COMPUTED_VALUE"""),4)</f>
        <v>4</v>
      </c>
      <c r="W106" s="179" t="str">
        <f ca="1">IFERROR(__xludf.DUMMYFUNCTION("""COMPUTED_VALUE"""),"Raising $48m, so very late stage. Team has experience running companies in the space - CEO has biochemistry PhD and built an applied materials company previously. There are competitors, but this company's solution is well-defended by patents. Market shoul"&amp;"d be sizable, even as a fraction of the overall lithium-ion battery market.")</f>
        <v>Raising $48m, so very late stage. Team has experience running companies in the space - CEO has biochemistry PhD and built an applied materials company previously. There are competitors, but this company's solution is well-defended by patents. Market should be sizable, even as a fraction of the overall lithium-ion battery market.</v>
      </c>
    </row>
    <row r="107" spans="1:23">
      <c r="A107" s="179" t="str">
        <f ca="1">IFERROR(__xludf.DUMMYFUNCTION("""COMPUTED_VALUE"""),"R")</f>
        <v>R</v>
      </c>
      <c r="B107" s="436">
        <f ca="1">IFERROR(__xludf.DUMMYFUNCTION("""COMPUTED_VALUE"""),44792.3958682175)</f>
        <v>44792.3958682175</v>
      </c>
      <c r="C107" s="179" t="str">
        <f ca="1">IFERROR(__xludf.DUMMYFUNCTION("""COMPUTED_VALUE"""),"cm6077@stern.nyu.edu")</f>
        <v>cm6077@stern.nyu.edu</v>
      </c>
      <c r="D107" s="179" t="str">
        <f ca="1">IFERROR(__xludf.DUMMYFUNCTION("""COMPUTED_VALUE"""),"Chris Millisits")</f>
        <v>Chris Millisits</v>
      </c>
      <c r="E107" s="179" t="str">
        <f ca="1">IFERROR(__xludf.DUMMYFUNCTION("""COMPUTED_VALUE"""),"I have read and understand the confidentiality agreement for application reviewers.")</f>
        <v>I have read and understand the confidentiality agreement for application reviewers.</v>
      </c>
      <c r="F107" s="179" t="str">
        <f ca="1">IFERROR(__xludf.DUMMYFUNCTION("""COMPUTED_VALUE"""),"NUADA")</f>
        <v>NUADA</v>
      </c>
      <c r="G107" s="179" t="str">
        <f ca="1">IFERROR(__xludf.DUMMYFUNCTION("""COMPUTED_VALUE"""),"Soft exoskeleton glove for individuals with reduced hand strength, tremor or pain in their daily activities / Medical Devices / Seed")</f>
        <v>Soft exoskeleton glove for individuals with reduced hand strength, tremor or pain in their daily activities / Medical Devices / Seed</v>
      </c>
      <c r="H107" s="179">
        <f ca="1">IFERROR(__xludf.DUMMYFUNCTION("""COMPUTED_VALUE"""),4)</f>
        <v>4</v>
      </c>
      <c r="I107" s="179">
        <f ca="1">IFERROR(__xludf.DUMMYFUNCTION("""COMPUTED_VALUE"""),5)</f>
        <v>5</v>
      </c>
      <c r="J107" s="179">
        <f ca="1">IFERROR(__xludf.DUMMYFUNCTION("""COMPUTED_VALUE"""),2)</f>
        <v>2</v>
      </c>
      <c r="K107" s="179">
        <f ca="1">IFERROR(__xludf.DUMMYFUNCTION("""COMPUTED_VALUE"""),4)</f>
        <v>4</v>
      </c>
      <c r="L107" s="179" t="str">
        <f ca="1">IFERROR(__xludf.DUMMYFUNCTION("""COMPUTED_VALUE"""),"Different approach to the problem that should yield a more usable product. They're still developing the 2nd generation device, so validation is on the early working version only and not the finished product.")</f>
        <v>Different approach to the problem that should yield a more usable product. They're still developing the 2nd generation device, so validation is on the early working version only and not the finished product.</v>
      </c>
      <c r="M107" s="179">
        <f ca="1">IFERROR(__xludf.DUMMYFUNCTION("""COMPUTED_VALUE"""),4)</f>
        <v>4</v>
      </c>
      <c r="N107" s="179">
        <f ca="1">IFERROR(__xludf.DUMMYFUNCTION("""COMPUTED_VALUE"""),3)</f>
        <v>3</v>
      </c>
      <c r="O107" s="179" t="str">
        <f ca="1">IFERROR(__xludf.DUMMYFUNCTION("""COMPUTED_VALUE"""),"20k per month, with plenty of pre-orders. Market size is substantial, though I think they will struggle to expand past the medical usage (they want to be a tool for occupational workers, but at $1.5k per doctor/nurse/manufacturing employee, this would be "&amp;"a big cost for employers).")</f>
        <v>20k per month, with plenty of pre-orders. Market size is substantial, though I think they will struggle to expand past the medical usage (they want to be a tool for occupational workers, but at $1.5k per doctor/nurse/manufacturing employee, this would be a big cost for employers).</v>
      </c>
      <c r="P107" s="179">
        <f ca="1">IFERROR(__xludf.DUMMYFUNCTION("""COMPUTED_VALUE"""),3)</f>
        <v>3</v>
      </c>
      <c r="Q107" s="179">
        <f ca="1">IFERROR(__xludf.DUMMYFUNCTION("""COMPUTED_VALUE"""),4)</f>
        <v>4</v>
      </c>
      <c r="R107" s="179">
        <f ca="1">IFERROR(__xludf.DUMMYFUNCTION("""COMPUTED_VALUE"""),4)</f>
        <v>4</v>
      </c>
      <c r="S107" s="179" t="str">
        <f ca="1">IFERROR(__xludf.DUMMYFUNCTION("""COMPUTED_VALUE"""),"One founder runs a prototyping company, another a point-of-care diagnostic product provider, and the 3rd is a PhD in biomedicine.")</f>
        <v>One founder runs a prototyping company, another a point-of-care diagnostic product provider, and the 3rd is a PhD in biomedicine.</v>
      </c>
      <c r="T107" s="437">
        <f ca="1">IFERROR(__xludf.DUMMYFUNCTION("""COMPUTED_VALUE"""),3300000)</f>
        <v>3300000</v>
      </c>
      <c r="U107" s="179" t="str">
        <f ca="1">IFERROR(__xludf.DUMMYFUNCTION("""COMPUTED_VALUE"""),"$500K-$1M")</f>
        <v>$500K-$1M</v>
      </c>
      <c r="V107" s="179">
        <f ca="1">IFERROR(__xludf.DUMMYFUNCTION("""COMPUTED_VALUE"""),4)</f>
        <v>4</v>
      </c>
      <c r="W107" s="179" t="str">
        <f ca="1">IFERROR(__xludf.DUMMYFUNCTION("""COMPUTED_VALUE"""),"Strong team, product compares favorably with other solutions on the market. Getting good traction on pre-sales, and will be a very attractive product at that price point. Some more development needed to get to 2nd gen product and scale up manufacturing.")</f>
        <v>Strong team, product compares favorably with other solutions on the market. Getting good traction on pre-sales, and will be a very attractive product at that price point. Some more development needed to get to 2nd gen product and scale up manufacturing.</v>
      </c>
    </row>
    <row r="108" spans="1:23">
      <c r="A108" s="179" t="str">
        <f ca="1">IFERROR(__xludf.DUMMYFUNCTION("""COMPUTED_VALUE"""),"R")</f>
        <v>R</v>
      </c>
      <c r="B108" s="436">
        <f ca="1">IFERROR(__xludf.DUMMYFUNCTION("""COMPUTED_VALUE"""),44792.4035455208)</f>
        <v>44792.4035455208</v>
      </c>
      <c r="C108" s="179" t="str">
        <f ca="1">IFERROR(__xludf.DUMMYFUNCTION("""COMPUTED_VALUE"""),"cm6077@stern.nyu.edu")</f>
        <v>cm6077@stern.nyu.edu</v>
      </c>
      <c r="D108" s="179" t="str">
        <f ca="1">IFERROR(__xludf.DUMMYFUNCTION("""COMPUTED_VALUE"""),"Chris Millisits")</f>
        <v>Chris Millisits</v>
      </c>
      <c r="E108" s="179" t="str">
        <f ca="1">IFERROR(__xludf.DUMMYFUNCTION("""COMPUTED_VALUE"""),"I have read and understand the confidentiality agreement for application reviewers.")</f>
        <v>I have read and understand the confidentiality agreement for application reviewers.</v>
      </c>
      <c r="F108" s="179" t="str">
        <f ca="1">IFERROR(__xludf.DUMMYFUNCTION("""COMPUTED_VALUE"""),"nucleusRx")</f>
        <v>nucleusRx</v>
      </c>
      <c r="G108" s="179" t="str">
        <f ca="1">IFERROR(__xludf.DUMMYFUNCTION("""COMPUTED_VALUE"""),"At-home care solution for heart failure patients (pill dispenser, monitors, companion app &amp; dashboard) / Digital Health (and Medical Devices) / Pre-seed")</f>
        <v>At-home care solution for heart failure patients (pill dispenser, monitors, companion app &amp; dashboard) / Digital Health (and Medical Devices) / Pre-seed</v>
      </c>
      <c r="H108" s="179">
        <f ca="1">IFERROR(__xludf.DUMMYFUNCTION("""COMPUTED_VALUE"""),4)</f>
        <v>4</v>
      </c>
      <c r="I108" s="179">
        <f ca="1">IFERROR(__xludf.DUMMYFUNCTION("""COMPUTED_VALUE"""),3)</f>
        <v>3</v>
      </c>
      <c r="J108" s="179">
        <f ca="1">IFERROR(__xludf.DUMMYFUNCTION("""COMPUTED_VALUE"""),2)</f>
        <v>2</v>
      </c>
      <c r="K108" s="179">
        <f ca="1">IFERROR(__xludf.DUMMYFUNCTION("""COMPUTED_VALUE"""),3)</f>
        <v>3</v>
      </c>
      <c r="L108" s="179" t="str">
        <f ca="1">IFERROR(__xludf.DUMMYFUNCTION("""COMPUTED_VALUE"""),"Hardware and software elements. Have built the prototype, no customers.")</f>
        <v>Hardware and software elements. Have built the prototype, no customers.</v>
      </c>
      <c r="M108" s="179">
        <f ca="1">IFERROR(__xludf.DUMMYFUNCTION("""COMPUTED_VALUE"""),3)</f>
        <v>3</v>
      </c>
      <c r="N108" s="179">
        <f ca="1">IFERROR(__xludf.DUMMYFUNCTION("""COMPUTED_VALUE"""),1)</f>
        <v>1</v>
      </c>
      <c r="O108" s="179" t="str">
        <f ca="1">IFERROR(__xludf.DUMMYFUNCTION("""COMPUTED_VALUE"""),"No customers. Market size for heart failure is $330m.")</f>
        <v>No customers. Market size for heart failure is $330m.</v>
      </c>
      <c r="P108" s="179">
        <f ca="1">IFERROR(__xludf.DUMMYFUNCTION("""COMPUTED_VALUE"""),4)</f>
        <v>4</v>
      </c>
      <c r="Q108" s="179">
        <f ca="1">IFERROR(__xludf.DUMMYFUNCTION("""COMPUTED_VALUE"""),3)</f>
        <v>3</v>
      </c>
      <c r="R108" s="179">
        <f ca="1">IFERROR(__xludf.DUMMYFUNCTION("""COMPUTED_VALUE"""),4)</f>
        <v>4</v>
      </c>
      <c r="S108" s="179" t="str">
        <f ca="1">IFERROR(__xludf.DUMMYFUNCTION("""COMPUTED_VALUE"""),"One founder has extensive pharmacy and lab experience, the other a background in IoT.")</f>
        <v>One founder has extensive pharmacy and lab experience, the other a background in IoT.</v>
      </c>
      <c r="T108" s="437">
        <f ca="1">IFERROR(__xludf.DUMMYFUNCTION("""COMPUTED_VALUE"""),0)</f>
        <v>0</v>
      </c>
      <c r="U108" s="179" t="str">
        <f ca="1">IFERROR(__xludf.DUMMYFUNCTION("""COMPUTED_VALUE"""),"$1-$5M")</f>
        <v>$1-$5M</v>
      </c>
      <c r="V108" s="179">
        <f ca="1">IFERROR(__xludf.DUMMYFUNCTION("""COMPUTED_VALUE"""),3)</f>
        <v>3</v>
      </c>
      <c r="W108" s="179" t="str">
        <f ca="1">IFERROR(__xludf.DUMMYFUNCTION("""COMPUTED_VALUE"""),"Solution isn't terribly novel (hardware pill dispenser plus an app). It's a better Digital Health solution than many on the market, given it is an integrated solution for heart failure including the hardware elements. Team has good experience. Market size"&amp;" for heart failure is moderate, and expansion into other market segments will be difficult due to competition levels and need for specialized solutions by condition.")</f>
        <v>Solution isn't terribly novel (hardware pill dispenser plus an app). It's a better Digital Health solution than many on the market, given it is an integrated solution for heart failure including the hardware elements. Team has good experience. Market size for heart failure is moderate, and expansion into other market segments will be difficult due to competition levels and need for specialized solutions by condition.</v>
      </c>
    </row>
    <row r="109" spans="1:23">
      <c r="A109" s="179" t="str">
        <f ca="1">IFERROR(__xludf.DUMMYFUNCTION("""COMPUTED_VALUE"""),"R")</f>
        <v>R</v>
      </c>
      <c r="B109" s="436">
        <f ca="1">IFERROR(__xludf.DUMMYFUNCTION("""COMPUTED_VALUE"""),44792.4070583101)</f>
        <v>44792.407058310098</v>
      </c>
      <c r="C109" s="179" t="str">
        <f ca="1">IFERROR(__xludf.DUMMYFUNCTION("""COMPUTED_VALUE"""),"cm6077@stern.nyu.edu")</f>
        <v>cm6077@stern.nyu.edu</v>
      </c>
      <c r="D109" s="179" t="str">
        <f ca="1">IFERROR(__xludf.DUMMYFUNCTION("""COMPUTED_VALUE"""),"Chris Millisits")</f>
        <v>Chris Millisits</v>
      </c>
      <c r="E109" s="179" t="str">
        <f ca="1">IFERROR(__xludf.DUMMYFUNCTION("""COMPUTED_VALUE"""),"I have read and understand the confidentiality agreement for application reviewers.")</f>
        <v>I have read and understand the confidentiality agreement for application reviewers.</v>
      </c>
      <c r="F109" s="179" t="str">
        <f ca="1">IFERROR(__xludf.DUMMYFUNCTION("""COMPUTED_VALUE"""),"nume")</f>
        <v>nume</v>
      </c>
      <c r="G109" s="179" t="str">
        <f ca="1">IFERROR(__xludf.DUMMYFUNCTION("""COMPUTED_VALUE"""),"Digital health solution for birth control / Digital Health / ")</f>
        <v xml:space="preserve">Digital health solution for birth control / Digital Health / </v>
      </c>
      <c r="H109" s="179">
        <f ca="1">IFERROR(__xludf.DUMMYFUNCTION("""COMPUTED_VALUE"""),4)</f>
        <v>4</v>
      </c>
      <c r="I109" s="179">
        <f ca="1">IFERROR(__xludf.DUMMYFUNCTION("""COMPUTED_VALUE"""),1)</f>
        <v>1</v>
      </c>
      <c r="J109" s="179">
        <f ca="1">IFERROR(__xludf.DUMMYFUNCTION("""COMPUTED_VALUE"""),2)</f>
        <v>2</v>
      </c>
      <c r="K109" s="179">
        <f ca="1">IFERROR(__xludf.DUMMYFUNCTION("""COMPUTED_VALUE"""),1)</f>
        <v>1</v>
      </c>
      <c r="L109" s="179" t="str">
        <f ca="1">IFERROR(__xludf.DUMMYFUNCTION("""COMPUTED_VALUE"""),"Many competitors in this space. Tech is not very defensible, this market will be won by healthcare coverage and marketing expenses.")</f>
        <v>Many competitors in this space. Tech is not very defensible, this market will be won by healthcare coverage and marketing expenses.</v>
      </c>
      <c r="M109" s="179">
        <f ca="1">IFERROR(__xludf.DUMMYFUNCTION("""COMPUTED_VALUE"""),3)</f>
        <v>3</v>
      </c>
      <c r="N109" s="179">
        <f ca="1">IFERROR(__xludf.DUMMYFUNCTION("""COMPUTED_VALUE"""),2)</f>
        <v>2</v>
      </c>
      <c r="O109" s="179" t="str">
        <f ca="1">IFERROR(__xludf.DUMMYFUNCTION("""COMPUTED_VALUE"""),"Have some customers.")</f>
        <v>Have some customers.</v>
      </c>
      <c r="P109" s="179">
        <f ca="1">IFERROR(__xludf.DUMMYFUNCTION("""COMPUTED_VALUE"""),2)</f>
        <v>2</v>
      </c>
      <c r="Q109" s="179">
        <f ca="1">IFERROR(__xludf.DUMMYFUNCTION("""COMPUTED_VALUE"""),2)</f>
        <v>2</v>
      </c>
      <c r="R109" s="179">
        <f ca="1">IFERROR(__xludf.DUMMYFUNCTION("""COMPUTED_VALUE"""),3)</f>
        <v>3</v>
      </c>
      <c r="S109" s="179" t="str">
        <f ca="1">IFERROR(__xludf.DUMMYFUNCTION("""COMPUTED_VALUE"""),"Founders have previously worked together on a digital health solution. Medical backgrounds.")</f>
        <v>Founders have previously worked together on a digital health solution. Medical backgrounds.</v>
      </c>
      <c r="T109" s="437">
        <f ca="1">IFERROR(__xludf.DUMMYFUNCTION("""COMPUTED_VALUE"""),300000)</f>
        <v>300000</v>
      </c>
      <c r="U109" s="179" t="str">
        <f ca="1">IFERROR(__xludf.DUMMYFUNCTION("""COMPUTED_VALUE"""),"&lt;$500K")</f>
        <v>&lt;$500K</v>
      </c>
      <c r="V109" s="179">
        <f ca="1">IFERROR(__xludf.DUMMYFUNCTION("""COMPUTED_VALUE"""),2)</f>
        <v>2</v>
      </c>
      <c r="W109" s="179" t="str">
        <f ca="1">IFERROR(__xludf.DUMMYFUNCTION("""COMPUTED_VALUE"""),"Competitive space. Tech isn't defensible. Good founding team with previous experience on a startup together.")</f>
        <v>Competitive space. Tech isn't defensible. Good founding team with previous experience on a startup together.</v>
      </c>
    </row>
    <row r="110" spans="1:23">
      <c r="A110" s="179" t="str">
        <f ca="1">IFERROR(__xludf.DUMMYFUNCTION("""COMPUTED_VALUE"""),"R")</f>
        <v>R</v>
      </c>
      <c r="B110" s="436">
        <f ca="1">IFERROR(__xludf.DUMMYFUNCTION("""COMPUTED_VALUE"""),44792.4112474305)</f>
        <v>44792.4112474305</v>
      </c>
      <c r="C110" s="179" t="str">
        <f ca="1">IFERROR(__xludf.DUMMYFUNCTION("""COMPUTED_VALUE"""),"cm6077@stern.nyu.edu")</f>
        <v>cm6077@stern.nyu.edu</v>
      </c>
      <c r="D110" s="179" t="str">
        <f ca="1">IFERROR(__xludf.DUMMYFUNCTION("""COMPUTED_VALUE"""),"Chris Millisits")</f>
        <v>Chris Millisits</v>
      </c>
      <c r="E110" s="179" t="str">
        <f ca="1">IFERROR(__xludf.DUMMYFUNCTION("""COMPUTED_VALUE"""),"I have read and understand the confidentiality agreement for application reviewers.")</f>
        <v>I have read and understand the confidentiality agreement for application reviewers.</v>
      </c>
      <c r="F110" s="179" t="str">
        <f ca="1">IFERROR(__xludf.DUMMYFUNCTION("""COMPUTED_VALUE"""),"Nutrarte LLC, Nutrarte SAS")</f>
        <v>Nutrarte LLC, Nutrarte SAS</v>
      </c>
      <c r="G110" s="179" t="str">
        <f ca="1">IFERROR(__xludf.DUMMYFUNCTION("""COMPUTED_VALUE"""),"Nutrition advisory / Digital Health / Pre-seed")</f>
        <v>Nutrition advisory / Digital Health / Pre-seed</v>
      </c>
      <c r="H110" s="179">
        <f ca="1">IFERROR(__xludf.DUMMYFUNCTION("""COMPUTED_VALUE"""),3)</f>
        <v>3</v>
      </c>
      <c r="I110" s="179">
        <f ca="1">IFERROR(__xludf.DUMMYFUNCTION("""COMPUTED_VALUE"""),1)</f>
        <v>1</v>
      </c>
      <c r="J110" s="179">
        <f ca="1">IFERROR(__xludf.DUMMYFUNCTION("""COMPUTED_VALUE"""),2)</f>
        <v>2</v>
      </c>
      <c r="K110" s="179">
        <f ca="1">IFERROR(__xludf.DUMMYFUNCTION("""COMPUTED_VALUE"""),1)</f>
        <v>1</v>
      </c>
      <c r="L110" s="179" t="str">
        <f ca="1">IFERROR(__xludf.DUMMYFUNCTION("""COMPUTED_VALUE"""),"Consulting individuals around their nutrition")</f>
        <v>Consulting individuals around their nutrition</v>
      </c>
      <c r="M110" s="179">
        <f ca="1">IFERROR(__xludf.DUMMYFUNCTION("""COMPUTED_VALUE"""),3)</f>
        <v>3</v>
      </c>
      <c r="N110" s="179">
        <f ca="1">IFERROR(__xludf.DUMMYFUNCTION("""COMPUTED_VALUE"""),2)</f>
        <v>2</v>
      </c>
      <c r="O110" s="179" t="str">
        <f ca="1">IFERROR(__xludf.DUMMYFUNCTION("""COMPUTED_VALUE"""),"$192k in revenue, but no time period specified. Also might be for speaking engagements and consulting services.")</f>
        <v>$192k in revenue, but no time period specified. Also might be for speaking engagements and consulting services.</v>
      </c>
      <c r="P110" s="179">
        <f ca="1">IFERROR(__xludf.DUMMYFUNCTION("""COMPUTED_VALUE"""),2)</f>
        <v>2</v>
      </c>
      <c r="Q110" s="179">
        <f ca="1">IFERROR(__xludf.DUMMYFUNCTION("""COMPUTED_VALUE"""),1)</f>
        <v>1</v>
      </c>
      <c r="R110" s="179">
        <f ca="1">IFERROR(__xludf.DUMMYFUNCTION("""COMPUTED_VALUE"""),3)</f>
        <v>3</v>
      </c>
      <c r="S110" s="179" t="str">
        <f ca="1">IFERROR(__xludf.DUMMYFUNCTION("""COMPUTED_VALUE"""),"Background in nutrition at the UN and Kellogg")</f>
        <v>Background in nutrition at the UN and Kellogg</v>
      </c>
      <c r="T110" s="437">
        <f ca="1">IFERROR(__xludf.DUMMYFUNCTION("""COMPUTED_VALUE"""),0)</f>
        <v>0</v>
      </c>
      <c r="U110" s="179" t="str">
        <f ca="1">IFERROR(__xludf.DUMMYFUNCTION("""COMPUTED_VALUE"""),"&lt;$500K")</f>
        <v>&lt;$500K</v>
      </c>
      <c r="V110" s="179">
        <f ca="1">IFERROR(__xludf.DUMMYFUNCTION("""COMPUTED_VALUE"""),1)</f>
        <v>1</v>
      </c>
      <c r="W110" s="179" t="str">
        <f ca="1">IFERROR(__xludf.DUMMYFUNCTION("""COMPUTED_VALUE"""),"Nutrition consultancy. Revenue comes largely from that source. Not a VC-backable business, limited scientific component.")</f>
        <v>Nutrition consultancy. Revenue comes largely from that source. Not a VC-backable business, limited scientific component.</v>
      </c>
    </row>
    <row r="111" spans="1:23">
      <c r="A111" s="179" t="str">
        <f ca="1">IFERROR(__xludf.DUMMYFUNCTION("""COMPUTED_VALUE"""),"R")</f>
        <v>R</v>
      </c>
      <c r="B111" s="436">
        <f ca="1">IFERROR(__xludf.DUMMYFUNCTION("""COMPUTED_VALUE"""),44792.472334699)</f>
        <v>44792.472334698999</v>
      </c>
      <c r="C111" s="179" t="str">
        <f ca="1">IFERROR(__xludf.DUMMYFUNCTION("""COMPUTED_VALUE"""),"cm6077@stern.nyu.edu")</f>
        <v>cm6077@stern.nyu.edu</v>
      </c>
      <c r="D111" s="179" t="str">
        <f ca="1">IFERROR(__xludf.DUMMYFUNCTION("""COMPUTED_VALUE"""),"Chris Millisits")</f>
        <v>Chris Millisits</v>
      </c>
      <c r="E111" s="179" t="str">
        <f ca="1">IFERROR(__xludf.DUMMYFUNCTION("""COMPUTED_VALUE"""),"I have read and understand the confidentiality agreement for application reviewers.")</f>
        <v>I have read and understand the confidentiality agreement for application reviewers.</v>
      </c>
      <c r="F111" s="179" t="str">
        <f ca="1">IFERROR(__xludf.DUMMYFUNCTION("""COMPUTED_VALUE"""),"Nutrivide Inc.")</f>
        <v>Nutrivide Inc.</v>
      </c>
      <c r="G111" s="179" t="str">
        <f ca="1">IFERROR(__xludf.DUMMYFUNCTION("""COMPUTED_VALUE"""),"A medication dosing device for infants through a pacifier / Medical Devices / Pre-seed")</f>
        <v>A medication dosing device for infants through a pacifier / Medical Devices / Pre-seed</v>
      </c>
      <c r="H111" s="179">
        <f ca="1">IFERROR(__xludf.DUMMYFUNCTION("""COMPUTED_VALUE"""),3)</f>
        <v>3</v>
      </c>
      <c r="I111" s="179">
        <f ca="1">IFERROR(__xludf.DUMMYFUNCTION("""COMPUTED_VALUE"""),3)</f>
        <v>3</v>
      </c>
      <c r="J111" s="179">
        <f ca="1">IFERROR(__xludf.DUMMYFUNCTION("""COMPUTED_VALUE"""),2)</f>
        <v>2</v>
      </c>
      <c r="K111" s="179">
        <f ca="1">IFERROR(__xludf.DUMMYFUNCTION("""COMPUTED_VALUE"""),2)</f>
        <v>2</v>
      </c>
      <c r="L111" s="179" t="str">
        <f ca="1">IFERROR(__xludf.DUMMYFUNCTION("""COMPUTED_VALUE"""),"Non-final rejection on utility patent, being resubmitted. Many solutions in the infant dosing space, this is just a different approach so limited novelty. Feasibility testing.")</f>
        <v>Non-final rejection on utility patent, being resubmitted. Many solutions in the infant dosing space, this is just a different approach so limited novelty. Feasibility testing.</v>
      </c>
      <c r="M111" s="179">
        <f ca="1">IFERROR(__xludf.DUMMYFUNCTION("""COMPUTED_VALUE"""),3)</f>
        <v>3</v>
      </c>
      <c r="N111" s="179">
        <f ca="1">IFERROR(__xludf.DUMMYFUNCTION("""COMPUTED_VALUE"""),1)</f>
        <v>1</v>
      </c>
      <c r="O111" s="179" t="str">
        <f ca="1">IFERROR(__xludf.DUMMYFUNCTION("""COMPUTED_VALUE"""),"No customers, no mention of speaking to potential customers.")</f>
        <v>No customers, no mention of speaking to potential customers.</v>
      </c>
      <c r="P111" s="179">
        <f ca="1">IFERROR(__xludf.DUMMYFUNCTION("""COMPUTED_VALUE"""),3)</f>
        <v>3</v>
      </c>
      <c r="Q111" s="179">
        <f ca="1">IFERROR(__xludf.DUMMYFUNCTION("""COMPUTED_VALUE"""),2)</f>
        <v>2</v>
      </c>
      <c r="R111" s="179">
        <f ca="1">IFERROR(__xludf.DUMMYFUNCTION("""COMPUTED_VALUE"""),3)</f>
        <v>3</v>
      </c>
      <c r="S111" s="179" t="str">
        <f ca="1">IFERROR(__xludf.DUMMYFUNCTION("""COMPUTED_VALUE"""),"Young team, though co-founder has founded a water collection system company (as CTO).")</f>
        <v>Young team, though co-founder has founded a water collection system company (as CTO).</v>
      </c>
      <c r="T111" s="437">
        <f ca="1">IFERROR(__xludf.DUMMYFUNCTION("""COMPUTED_VALUE"""),0)</f>
        <v>0</v>
      </c>
      <c r="U111" s="179" t="str">
        <f ca="1">IFERROR(__xludf.DUMMYFUNCTION("""COMPUTED_VALUE"""),"&lt;$500K")</f>
        <v>&lt;$500K</v>
      </c>
      <c r="V111" s="179">
        <f ca="1">IFERROR(__xludf.DUMMYFUNCTION("""COMPUTED_VALUE"""),2)</f>
        <v>2</v>
      </c>
      <c r="W111" s="179" t="str">
        <f ca="1">IFERROR(__xludf.DUMMYFUNCTION("""COMPUTED_VALUE"""),"Young team with some relevant experience. No medical background though. Competitors in market, so claims on differentiation need to be proven out (but no validation from customers to date).")</f>
        <v>Young team with some relevant experience. No medical background though. Competitors in market, so claims on differentiation need to be proven out (but no validation from customers to date).</v>
      </c>
    </row>
    <row r="112" spans="1:23">
      <c r="A112" s="179" t="str">
        <f ca="1">IFERROR(__xludf.DUMMYFUNCTION("""COMPUTED_VALUE"""),"R")</f>
        <v>R</v>
      </c>
      <c r="B112" s="436">
        <f ca="1">IFERROR(__xludf.DUMMYFUNCTION("""COMPUTED_VALUE"""),44792.48949875)</f>
        <v>44792.489498750001</v>
      </c>
      <c r="C112" s="179" t="str">
        <f ca="1">IFERROR(__xludf.DUMMYFUNCTION("""COMPUTED_VALUE"""),"cm6077@stern.nyu.edu")</f>
        <v>cm6077@stern.nyu.edu</v>
      </c>
      <c r="D112" s="179" t="str">
        <f ca="1">IFERROR(__xludf.DUMMYFUNCTION("""COMPUTED_VALUE"""),"Chris Millisits")</f>
        <v>Chris Millisits</v>
      </c>
      <c r="E112" s="179" t="str">
        <f ca="1">IFERROR(__xludf.DUMMYFUNCTION("""COMPUTED_VALUE"""),"I have read and understand the confidentiality agreement for application reviewers.")</f>
        <v>I have read and understand the confidentiality agreement for application reviewers.</v>
      </c>
      <c r="F112" s="179" t="str">
        <f ca="1">IFERROR(__xludf.DUMMYFUNCTION("""COMPUTED_VALUE"""),"NXTSENS Microsystems Inc.")</f>
        <v>NXTSENS Microsystems Inc.</v>
      </c>
      <c r="G112" s="179" t="str">
        <f ca="1">IFERROR(__xludf.DUMMYFUNCTION("""COMPUTED_VALUE"""),"Develops custom microelectromechanical (MEMS)-based solutions for
non-invasive breath-based screening / Medical Devices / Seed")</f>
        <v>Develops custom microelectromechanical (MEMS)-based solutions for
non-invasive breath-based screening / Medical Devices / Seed</v>
      </c>
      <c r="H112" s="179">
        <f ca="1">IFERROR(__xludf.DUMMYFUNCTION("""COMPUTED_VALUE"""),3)</f>
        <v>3</v>
      </c>
      <c r="I112" s="179">
        <f ca="1">IFERROR(__xludf.DUMMYFUNCTION("""COMPUTED_VALUE"""),2)</f>
        <v>2</v>
      </c>
      <c r="J112" s="179">
        <f ca="1">IFERROR(__xludf.DUMMYFUNCTION("""COMPUTED_VALUE"""),3)</f>
        <v>3</v>
      </c>
      <c r="K112" s="179">
        <f ca="1">IFERROR(__xludf.DUMMYFUNCTION("""COMPUTED_VALUE"""),4)</f>
        <v>4</v>
      </c>
      <c r="L112" s="179" t="str">
        <f ca="1">IFERROR(__xludf.DUMMYFUNCTION("""COMPUTED_VALUE"""),"At least one direct competitor with similar tech (Owlstone Medical). Prototype developed and tested.")</f>
        <v>At least one direct competitor with similar tech (Owlstone Medical). Prototype developed and tested.</v>
      </c>
      <c r="M112" s="179">
        <f ca="1">IFERROR(__xludf.DUMMYFUNCTION("""COMPUTED_VALUE"""),3)</f>
        <v>3</v>
      </c>
      <c r="N112" s="179">
        <f ca="1">IFERROR(__xludf.DUMMYFUNCTION("""COMPUTED_VALUE"""),1)</f>
        <v>1</v>
      </c>
      <c r="O112" s="179" t="str">
        <f ca="1">IFERROR(__xludf.DUMMYFUNCTION("""COMPUTED_VALUE"""),"No customers, market size is moderate across the verticals covered.")</f>
        <v>No customers, market size is moderate across the verticals covered.</v>
      </c>
      <c r="P112" s="179">
        <f ca="1">IFERROR(__xludf.DUMMYFUNCTION("""COMPUTED_VALUE"""),4)</f>
        <v>4</v>
      </c>
      <c r="Q112" s="179">
        <f ca="1">IFERROR(__xludf.DUMMYFUNCTION("""COMPUTED_VALUE"""),4)</f>
        <v>4</v>
      </c>
      <c r="R112" s="179">
        <f ca="1">IFERROR(__xludf.DUMMYFUNCTION("""COMPUTED_VALUE"""),4)</f>
        <v>4</v>
      </c>
      <c r="S112" s="179" t="str">
        <f ca="1">IFERROR(__xludf.DUMMYFUNCTION("""COMPUTED_VALUE"""),"Team of surgeons. To date, the team has successfully launched two
MEMS-based technology startups with valuations exceeding $35M USD.")</f>
        <v>Team of surgeons. To date, the team has successfully launched two
MEMS-based technology startups with valuations exceeding $35M USD.</v>
      </c>
      <c r="T112" s="437">
        <f ca="1">IFERROR(__xludf.DUMMYFUNCTION("""COMPUTED_VALUE"""),0)</f>
        <v>0</v>
      </c>
      <c r="U112" s="179" t="str">
        <f ca="1">IFERROR(__xludf.DUMMYFUNCTION("""COMPUTED_VALUE"""),"&gt;$5M")</f>
        <v>&gt;$5M</v>
      </c>
      <c r="V112" s="179">
        <f ca="1">IFERROR(__xludf.DUMMYFUNCTION("""COMPUTED_VALUE"""),3)</f>
        <v>3</v>
      </c>
      <c r="W112" s="179" t="str">
        <f ca="1">IFERROR(__xludf.DUMMYFUNCTION("""COMPUTED_VALUE"""),"Strong team with successful founding experience in the space. Seems to be direct competition for this product. Market size is moderate, with applications in healthcare and military. Raising $10m seed round.")</f>
        <v>Strong team with successful founding experience in the space. Seems to be direct competition for this product. Market size is moderate, with applications in healthcare and military. Raising $10m seed round.</v>
      </c>
    </row>
    <row r="113" spans="1:23">
      <c r="A113" s="179" t="str">
        <f ca="1">IFERROR(__xludf.DUMMYFUNCTION("""COMPUTED_VALUE"""),"R")</f>
        <v>R</v>
      </c>
      <c r="B113" s="436">
        <f ca="1">IFERROR(__xludf.DUMMYFUNCTION("""COMPUTED_VALUE"""),44792.4991060879)</f>
        <v>44792.499106087897</v>
      </c>
      <c r="C113" s="179" t="str">
        <f ca="1">IFERROR(__xludf.DUMMYFUNCTION("""COMPUTED_VALUE"""),"cm6077@stern.nyu.edu")</f>
        <v>cm6077@stern.nyu.edu</v>
      </c>
      <c r="D113" s="179" t="str">
        <f ca="1">IFERROR(__xludf.DUMMYFUNCTION("""COMPUTED_VALUE"""),"Chris Millisits")</f>
        <v>Chris Millisits</v>
      </c>
      <c r="E113" s="179" t="str">
        <f ca="1">IFERROR(__xludf.DUMMYFUNCTION("""COMPUTED_VALUE"""),"I have read and understand the confidentiality agreement for application reviewers.")</f>
        <v>I have read and understand the confidentiality agreement for application reviewers.</v>
      </c>
      <c r="F113" s="179" t="str">
        <f ca="1">IFERROR(__xludf.DUMMYFUNCTION("""COMPUTED_VALUE"""),"Odqa Renewable Energy Technologies Limited")</f>
        <v>Odqa Renewable Energy Technologies Limited</v>
      </c>
      <c r="G113" s="179" t="str">
        <f ca="1">IFERROR(__xludf.DUMMYFUNCTION("""COMPUTED_VALUE"""),"Renewable heating powered by solar / Renewables / Series A")</f>
        <v>Renewable heating powered by solar / Renewables / Series A</v>
      </c>
      <c r="H113" s="179">
        <f ca="1">IFERROR(__xludf.DUMMYFUNCTION("""COMPUTED_VALUE"""),5)</f>
        <v>5</v>
      </c>
      <c r="I113" s="179">
        <f ca="1">IFERROR(__xludf.DUMMYFUNCTION("""COMPUTED_VALUE"""),4)</f>
        <v>4</v>
      </c>
      <c r="J113" s="179">
        <f ca="1">IFERROR(__xludf.DUMMYFUNCTION("""COMPUTED_VALUE"""),3)</f>
        <v>3</v>
      </c>
      <c r="K113" s="179">
        <f ca="1">IFERROR(__xludf.DUMMYFUNCTION("""COMPUTED_VALUE"""),4)</f>
        <v>4</v>
      </c>
      <c r="L113" s="179" t="str">
        <f ca="1">IFERROR(__xludf.DUMMYFUNCTION("""COMPUTED_VALUE"""),"Novel solution in a key area of need. Have a working prototype.")</f>
        <v>Novel solution in a key area of need. Have a working prototype.</v>
      </c>
      <c r="M113" s="179">
        <f ca="1">IFERROR(__xludf.DUMMYFUNCTION("""COMPUTED_VALUE"""),5)</f>
        <v>5</v>
      </c>
      <c r="N113" s="179">
        <f ca="1">IFERROR(__xludf.DUMMYFUNCTION("""COMPUTED_VALUE"""),2)</f>
        <v>2</v>
      </c>
      <c r="O113" s="179" t="str">
        <f ca="1">IFERROR(__xludf.DUMMYFUNCTION("""COMPUTED_VALUE"""),"Customers in pilot (18 month pilot)")</f>
        <v>Customers in pilot (18 month pilot)</v>
      </c>
      <c r="P113" s="179">
        <f ca="1">IFERROR(__xludf.DUMMYFUNCTION("""COMPUTED_VALUE"""),5)</f>
        <v>5</v>
      </c>
      <c r="Q113" s="179">
        <f ca="1">IFERROR(__xludf.DUMMYFUNCTION("""COMPUTED_VALUE"""),4)</f>
        <v>4</v>
      </c>
      <c r="R113" s="179">
        <f ca="1">IFERROR(__xludf.DUMMYFUNCTION("""COMPUTED_VALUE"""),4)</f>
        <v>4</v>
      </c>
      <c r="S113" s="179" t="str">
        <f ca="1">IFERROR(__xludf.DUMMYFUNCTION("""COMPUTED_VALUE"""),"Ambitious vision - wants to replace combustion-based solutions with solar-and-air-based solutions. Strong technical team, paired with a project manager / MBA.")</f>
        <v>Ambitious vision - wants to replace combustion-based solutions with solar-and-air-based solutions. Strong technical team, paired with a project manager / MBA.</v>
      </c>
      <c r="T113" s="437">
        <f ca="1">IFERROR(__xludf.DUMMYFUNCTION("""COMPUTED_VALUE"""),7000000)</f>
        <v>7000000</v>
      </c>
      <c r="U113" s="179" t="str">
        <f ca="1">IFERROR(__xludf.DUMMYFUNCTION("""COMPUTED_VALUE"""),"&gt;$5M")</f>
        <v>&gt;$5M</v>
      </c>
      <c r="V113" s="179">
        <f ca="1">IFERROR(__xludf.DUMMYFUNCTION("""COMPUTED_VALUE"""),4)</f>
        <v>4</v>
      </c>
      <c r="W113" s="179" t="str">
        <f ca="1">IFERROR(__xludf.DUMMYFUNCTION("""COMPUTED_VALUE"""),"Strong technical team. Trying to bring in a technology from jet engines into solar, big vision, opportunity for transformational and impactful technology. Market potential is large. Raising $20m Series A")</f>
        <v>Strong technical team. Trying to bring in a technology from jet engines into solar, big vision, opportunity for transformational and impactful technology. Market potential is large. Raising $20m Series A</v>
      </c>
    </row>
    <row r="114" spans="1:23">
      <c r="A114" s="179" t="str">
        <f ca="1">IFERROR(__xludf.DUMMYFUNCTION("""COMPUTED_VALUE"""),"R")</f>
        <v>R</v>
      </c>
      <c r="B114" s="436">
        <f ca="1">IFERROR(__xludf.DUMMYFUNCTION("""COMPUTED_VALUE"""),44792.5174018865)</f>
        <v>44792.5174018865</v>
      </c>
      <c r="C114" s="179" t="str">
        <f ca="1">IFERROR(__xludf.DUMMYFUNCTION("""COMPUTED_VALUE"""),"cm6077@stern.nyu.edu")</f>
        <v>cm6077@stern.nyu.edu</v>
      </c>
      <c r="D114" s="179" t="str">
        <f ca="1">IFERROR(__xludf.DUMMYFUNCTION("""COMPUTED_VALUE"""),"Chris Millisits")</f>
        <v>Chris Millisits</v>
      </c>
      <c r="E114" s="179" t="str">
        <f ca="1">IFERROR(__xludf.DUMMYFUNCTION("""COMPUTED_VALUE"""),"I have read and understand the confidentiality agreement for application reviewers.")</f>
        <v>I have read and understand the confidentiality agreement for application reviewers.</v>
      </c>
      <c r="F114" s="179" t="str">
        <f ca="1">IFERROR(__xludf.DUMMYFUNCTION("""COMPUTED_VALUE"""),"Oiler Equation")</f>
        <v>Oiler Equation</v>
      </c>
      <c r="G114" s="179" t="str">
        <f ca="1">IFERROR(__xludf.DUMMYFUNCTION("""COMPUTED_VALUE"""),"24/7 methane emissions monitoring and gas leak detection using optical gas imaging / Oil &amp; Gas / Seed")</f>
        <v>24/7 methane emissions monitoring and gas leak detection using optical gas imaging / Oil &amp; Gas / Seed</v>
      </c>
      <c r="H114" s="179">
        <f ca="1">IFERROR(__xludf.DUMMYFUNCTION("""COMPUTED_VALUE"""),4)</f>
        <v>4</v>
      </c>
      <c r="I114" s="179">
        <f ca="1">IFERROR(__xludf.DUMMYFUNCTION("""COMPUTED_VALUE"""),3)</f>
        <v>3</v>
      </c>
      <c r="J114" s="179">
        <f ca="1">IFERROR(__xludf.DUMMYFUNCTION("""COMPUTED_VALUE"""),3)</f>
        <v>3</v>
      </c>
      <c r="K114" s="179">
        <f ca="1">IFERROR(__xludf.DUMMYFUNCTION("""COMPUTED_VALUE"""),3)</f>
        <v>3</v>
      </c>
      <c r="L114" s="179" t="str">
        <f ca="1">IFERROR(__xludf.DUMMYFUNCTION("""COMPUTED_VALUE"""),"Prototype has been tested. Patent pending. Seems to be touting itself as a cheaper and better alternative to solutions on the market.")</f>
        <v>Prototype has been tested. Patent pending. Seems to be touting itself as a cheaper and better alternative to solutions on the market.</v>
      </c>
      <c r="M114" s="179">
        <f ca="1">IFERROR(__xludf.DUMMYFUNCTION("""COMPUTED_VALUE"""),3)</f>
        <v>3</v>
      </c>
      <c r="N114" s="179">
        <f ca="1">IFERROR(__xludf.DUMMYFUNCTION("""COMPUTED_VALUE"""),2)</f>
        <v>2</v>
      </c>
      <c r="O114" s="179" t="str">
        <f ca="1">IFERROR(__xludf.DUMMYFUNCTION("""COMPUTED_VALUE"""),"Customers in pilot, not paying. Market capture assumed at 50%, but even at lower share there is a decently sized market opportunity here.")</f>
        <v>Customers in pilot, not paying. Market capture assumed at 50%, but even at lower share there is a decently sized market opportunity here.</v>
      </c>
      <c r="P114" s="179">
        <f ca="1">IFERROR(__xludf.DUMMYFUNCTION("""COMPUTED_VALUE"""),3)</f>
        <v>3</v>
      </c>
      <c r="Q114" s="179">
        <f ca="1">IFERROR(__xludf.DUMMYFUNCTION("""COMPUTED_VALUE"""),4)</f>
        <v>4</v>
      </c>
      <c r="R114" s="179">
        <f ca="1">IFERROR(__xludf.DUMMYFUNCTION("""COMPUTED_VALUE"""),4)</f>
        <v>4</v>
      </c>
      <c r="S114" s="179" t="str">
        <f ca="1">IFERROR(__xludf.DUMMYFUNCTION("""COMPUTED_VALUE"""),"Strong oil &amp; gas background, expertise in optical gas imaging. Successful past exit. Long-term vision is trading emissions in the blockchain, which is a less inspired and very common vision.")</f>
        <v>Strong oil &amp; gas background, expertise in optical gas imaging. Successful past exit. Long-term vision is trading emissions in the blockchain, which is a less inspired and very common vision.</v>
      </c>
      <c r="T114" s="437">
        <f ca="1">IFERROR(__xludf.DUMMYFUNCTION("""COMPUTED_VALUE"""),200000)</f>
        <v>200000</v>
      </c>
      <c r="U114" s="179" t="str">
        <f ca="1">IFERROR(__xludf.DUMMYFUNCTION("""COMPUTED_VALUE"""),"$1-$5M")</f>
        <v>$1-$5M</v>
      </c>
      <c r="V114" s="179">
        <f ca="1">IFERROR(__xludf.DUMMYFUNCTION("""COMPUTED_VALUE"""),3)</f>
        <v>3</v>
      </c>
      <c r="W114" s="179" t="str">
        <f ca="1">IFERROR(__xludf.DUMMYFUNCTION("""COMPUTED_VALUE"""),"Good team to build this product. Seems to be a marginally improved product over the competition, so might not be as clean a path to market as the team thinks. In pilot, no paying customers yet.")</f>
        <v>Good team to build this product. Seems to be a marginally improved product over the competition, so might not be as clean a path to market as the team thinks. In pilot, no paying customers yet.</v>
      </c>
    </row>
    <row r="115" spans="1:23">
      <c r="A115" s="179" t="str">
        <f ca="1">IFERROR(__xludf.DUMMYFUNCTION("""COMPUTED_VALUE"""),"R")</f>
        <v>R</v>
      </c>
      <c r="B115" s="436">
        <f ca="1">IFERROR(__xludf.DUMMYFUNCTION("""COMPUTED_VALUE"""),44792.5391053356)</f>
        <v>44792.5391053356</v>
      </c>
      <c r="C115" s="179" t="str">
        <f ca="1">IFERROR(__xludf.DUMMYFUNCTION("""COMPUTED_VALUE"""),"cm6077@stern.nyu.edu")</f>
        <v>cm6077@stern.nyu.edu</v>
      </c>
      <c r="D115" s="179" t="str">
        <f ca="1">IFERROR(__xludf.DUMMYFUNCTION("""COMPUTED_VALUE"""),"Chris Millisits")</f>
        <v>Chris Millisits</v>
      </c>
      <c r="E115" s="179" t="str">
        <f ca="1">IFERROR(__xludf.DUMMYFUNCTION("""COMPUTED_VALUE"""),"I have read and understand the confidentiality agreement for application reviewers.")</f>
        <v>I have read and understand the confidentiality agreement for application reviewers.</v>
      </c>
      <c r="F115" s="179" t="str">
        <f ca="1">IFERROR(__xludf.DUMMYFUNCTION("""COMPUTED_VALUE"""),"Olokun Minerals")</f>
        <v>Olokun Minerals</v>
      </c>
      <c r="G115" s="179" t="str">
        <f ca="1">IFERROR(__xludf.DUMMYFUNCTION("""COMPUTED_VALUE"""),"Recycling minerals (Li and Mg) from brine wastewater through NREL chromatographic technology / Industrials / Pre-seed")</f>
        <v>Recycling minerals (Li and Mg) from brine wastewater through NREL chromatographic technology / Industrials / Pre-seed</v>
      </c>
      <c r="H115" s="179">
        <f ca="1">IFERROR(__xludf.DUMMYFUNCTION("""COMPUTED_VALUE"""),4)</f>
        <v>4</v>
      </c>
      <c r="I115" s="179">
        <f ca="1">IFERROR(__xludf.DUMMYFUNCTION("""COMPUTED_VALUE"""),3)</f>
        <v>3</v>
      </c>
      <c r="J115" s="179">
        <f ca="1">IFERROR(__xludf.DUMMYFUNCTION("""COMPUTED_VALUE"""),3)</f>
        <v>3</v>
      </c>
      <c r="K115" s="179">
        <f ca="1">IFERROR(__xludf.DUMMYFUNCTION("""COMPUTED_VALUE"""),2)</f>
        <v>2</v>
      </c>
      <c r="L115" s="179" t="str">
        <f ca="1">IFERROR(__xludf.DUMMYFUNCTION("""COMPUTED_VALUE"""),"IP is licensed, not owned.")</f>
        <v>IP is licensed, not owned.</v>
      </c>
      <c r="M115" s="179">
        <f ca="1">IFERROR(__xludf.DUMMYFUNCTION("""COMPUTED_VALUE"""),4)</f>
        <v>4</v>
      </c>
      <c r="N115" s="179">
        <f ca="1">IFERROR(__xludf.DUMMYFUNCTION("""COMPUTED_VALUE"""),2)</f>
        <v>2</v>
      </c>
      <c r="O115" s="179" t="str">
        <f ca="1">IFERROR(__xludf.DUMMYFUNCTION("""COMPUTED_VALUE"""),"Needs to service one large plant to hit $200m revenue. Piloting.")</f>
        <v>Needs to service one large plant to hit $200m revenue. Piloting.</v>
      </c>
      <c r="P115" s="179">
        <f ca="1">IFERROR(__xludf.DUMMYFUNCTION("""COMPUTED_VALUE"""),3)</f>
        <v>3</v>
      </c>
      <c r="Q115" s="179">
        <f ca="1">IFERROR(__xludf.DUMMYFUNCTION("""COMPUTED_VALUE"""),1)</f>
        <v>1</v>
      </c>
      <c r="R115" s="179">
        <f ca="1">IFERROR(__xludf.DUMMYFUNCTION("""COMPUTED_VALUE"""),3)</f>
        <v>3</v>
      </c>
      <c r="S115" s="179" t="str">
        <f ca="1">IFERROR(__xludf.DUMMYFUNCTION("""COMPUTED_VALUE"""),"CEO has a dual degree in Mathematics and Civil Engineering with a concentration in Water
Resources and Environmental Engineering and have worked for two water utilities in the
Southeast. Other members of the team have PhD in Chemistry and Oil &amp; Gas experi"&amp;"ence. The tech is licensed from a lab, so this business is about selling into major plants.")</f>
        <v>CEO has a dual degree in Mathematics and Civil Engineering with a concentration in Water
Resources and Environmental Engineering and have worked for two water utilities in the
Southeast. Other members of the team have PhD in Chemistry and Oil &amp; Gas experience. The tech is licensed from a lab, so this business is about selling into major plants.</v>
      </c>
      <c r="T115" s="437">
        <f ca="1">IFERROR(__xludf.DUMMYFUNCTION("""COMPUTED_VALUE"""),0)</f>
        <v>0</v>
      </c>
      <c r="U115" s="179" t="str">
        <f ca="1">IFERROR(__xludf.DUMMYFUNCTION("""COMPUTED_VALUE"""),"$500K-$1M")</f>
        <v>$500K-$1M</v>
      </c>
      <c r="V115" s="179">
        <f ca="1">IFERROR(__xludf.DUMMYFUNCTION("""COMPUTED_VALUE"""),3)</f>
        <v>3</v>
      </c>
      <c r="W115" s="179" t="str">
        <f ca="1">IFERROR(__xludf.DUMMYFUNCTION("""COMPUTED_VALUE"""),"Licensing the tech, so this business is about getting into large water utility plants. The team is a decent fit for the task, not exceptional. That said, selling into a single plant could produce enough revenue for a venture-scale outcome.")</f>
        <v>Licensing the tech, so this business is about getting into large water utility plants. The team is a decent fit for the task, not exceptional. That said, selling into a single plant could produce enough revenue for a venture-scale outcome.</v>
      </c>
    </row>
    <row r="116" spans="1:23">
      <c r="A116" s="179" t="str">
        <f ca="1">IFERROR(__xludf.DUMMYFUNCTION("""COMPUTED_VALUE"""),"R")</f>
        <v>R</v>
      </c>
      <c r="B116" s="436">
        <f ca="1">IFERROR(__xludf.DUMMYFUNCTION("""COMPUTED_VALUE"""),44792.545207662)</f>
        <v>44792.545207661999</v>
      </c>
      <c r="C116" s="179" t="str">
        <f ca="1">IFERROR(__xludf.DUMMYFUNCTION("""COMPUTED_VALUE"""),"cm6077@stern.nyu.edu")</f>
        <v>cm6077@stern.nyu.edu</v>
      </c>
      <c r="D116" s="179" t="str">
        <f ca="1">IFERROR(__xludf.DUMMYFUNCTION("""COMPUTED_VALUE"""),"Chris Millisits")</f>
        <v>Chris Millisits</v>
      </c>
      <c r="E116" s="179" t="str">
        <f ca="1">IFERROR(__xludf.DUMMYFUNCTION("""COMPUTED_VALUE"""),"I have read and understand the confidentiality agreement for application reviewers.")</f>
        <v>I have read and understand the confidentiality agreement for application reviewers.</v>
      </c>
      <c r="F116" s="179" t="str">
        <f ca="1">IFERROR(__xludf.DUMMYFUNCTION("""COMPUTED_VALUE"""),"Olympian Motors")</f>
        <v>Olympian Motors</v>
      </c>
      <c r="G116" s="179" t="str">
        <f ca="1">IFERROR(__xludf.DUMMYFUNCTION("""COMPUTED_VALUE"""),"EVs made partially from recycled materials with minimalistic classic design / Electric Vehicles / Seed")</f>
        <v>EVs made partially from recycled materials with minimalistic classic design / Electric Vehicles / Seed</v>
      </c>
      <c r="H116" s="179">
        <f ca="1">IFERROR(__xludf.DUMMYFUNCTION("""COMPUTED_VALUE"""),2)</f>
        <v>2</v>
      </c>
      <c r="I116" s="179">
        <f ca="1">IFERROR(__xludf.DUMMYFUNCTION("""COMPUTED_VALUE"""),2)</f>
        <v>2</v>
      </c>
      <c r="J116" s="179">
        <f ca="1">IFERROR(__xludf.DUMMYFUNCTION("""COMPUTED_VALUE"""),2)</f>
        <v>2</v>
      </c>
      <c r="K116" s="179">
        <f ca="1">IFERROR(__xludf.DUMMYFUNCTION("""COMPUTED_VALUE"""),2)</f>
        <v>2</v>
      </c>
      <c r="L116" s="179" t="str">
        <f ca="1">IFERROR(__xludf.DUMMYFUNCTION("""COMPUTED_VALUE"""),"Luxury product. Modularized production, software, and recycled materials as claimed differentiation - not very defensible. Still in pre-order.")</f>
        <v>Luxury product. Modularized production, software, and recycled materials as claimed differentiation - not very defensible. Still in pre-order.</v>
      </c>
      <c r="M116" s="179">
        <f ca="1">IFERROR(__xludf.DUMMYFUNCTION("""COMPUTED_VALUE"""),4)</f>
        <v>4</v>
      </c>
      <c r="N116" s="179">
        <f ca="1">IFERROR(__xludf.DUMMYFUNCTION("""COMPUTED_VALUE"""),4)</f>
        <v>4</v>
      </c>
      <c r="O116" s="179" t="str">
        <f ca="1">IFERROR(__xludf.DUMMYFUNCTION("""COMPUTED_VALUE"""),"174 pre-orders, constituting $16m revenue.")</f>
        <v>174 pre-orders, constituting $16m revenue.</v>
      </c>
      <c r="P116" s="179">
        <f ca="1">IFERROR(__xludf.DUMMYFUNCTION("""COMPUTED_VALUE"""),3)</f>
        <v>3</v>
      </c>
      <c r="Q116" s="179">
        <f ca="1">IFERROR(__xludf.DUMMYFUNCTION("""COMPUTED_VALUE"""),3)</f>
        <v>3</v>
      </c>
      <c r="R116" s="179">
        <f ca="1">IFERROR(__xludf.DUMMYFUNCTION("""COMPUTED_VALUE"""),3)</f>
        <v>3</v>
      </c>
      <c r="S116" s="179" t="str">
        <f ca="1">IFERROR(__xludf.DUMMYFUNCTION("""COMPUTED_VALUE"""),"Automotive consultant with 10+ years experience. Other founder did 2 years at Ford before going into venture capital. This is a marketing play, so innovation judged on that front. The tech itself isn't particularly innovative.")</f>
        <v>Automotive consultant with 10+ years experience. Other founder did 2 years at Ford before going into venture capital. This is a marketing play, so innovation judged on that front. The tech itself isn't particularly innovative.</v>
      </c>
      <c r="T116" s="437">
        <f ca="1">IFERROR(__xludf.DUMMYFUNCTION("""COMPUTED_VALUE"""),2900000)</f>
        <v>2900000</v>
      </c>
      <c r="U116" s="179" t="str">
        <f ca="1">IFERROR(__xludf.DUMMYFUNCTION("""COMPUTED_VALUE"""),"$1-$5M")</f>
        <v>$1-$5M</v>
      </c>
      <c r="V116" s="179">
        <f ca="1">IFERROR(__xludf.DUMMYFUNCTION("""COMPUTED_VALUE"""),3)</f>
        <v>3</v>
      </c>
      <c r="W116" s="179" t="str">
        <f ca="1">IFERROR(__xludf.DUMMYFUNCTION("""COMPUTED_VALUE"""),"Seems to have hit a nerve with the old school aesthetic on an EV, given the pre-orders. Moderate experience in automotive industry, but mostly as consultants (not much time on the inside). Could see growing pains with production - launching an auto manufa"&amp;"cturer isn't trivial.")</f>
        <v>Seems to have hit a nerve with the old school aesthetic on an EV, given the pre-orders. Moderate experience in automotive industry, but mostly as consultants (not much time on the inside). Could see growing pains with production - launching an auto manufacturer isn't trivial.</v>
      </c>
    </row>
    <row r="117" spans="1:23">
      <c r="A117" s="179" t="str">
        <f ca="1">IFERROR(__xludf.DUMMYFUNCTION("""COMPUTED_VALUE"""),"R")</f>
        <v>R</v>
      </c>
      <c r="B117" s="436">
        <f ca="1">IFERROR(__xludf.DUMMYFUNCTION("""COMPUTED_VALUE"""),44792.5545178703)</f>
        <v>44792.554517870303</v>
      </c>
      <c r="C117" s="179" t="str">
        <f ca="1">IFERROR(__xludf.DUMMYFUNCTION("""COMPUTED_VALUE"""),"cm6077@stern.nyu.edu")</f>
        <v>cm6077@stern.nyu.edu</v>
      </c>
      <c r="D117" s="179" t="str">
        <f ca="1">IFERROR(__xludf.DUMMYFUNCTION("""COMPUTED_VALUE"""),"Chris Millisits")</f>
        <v>Chris Millisits</v>
      </c>
      <c r="E117" s="179" t="str">
        <f ca="1">IFERROR(__xludf.DUMMYFUNCTION("""COMPUTED_VALUE"""),"I have read and understand the confidentiality agreement for application reviewers.")</f>
        <v>I have read and understand the confidentiality agreement for application reviewers.</v>
      </c>
      <c r="F117" s="179" t="str">
        <f ca="1">IFERROR(__xludf.DUMMYFUNCTION("""COMPUTED_VALUE"""),"OmicsChart")</f>
        <v>OmicsChart</v>
      </c>
      <c r="G117" s="179" t="str">
        <f ca="1">IFERROR(__xludf.DUMMYFUNCTION("""COMPUTED_VALUE"""),"Data collection of genomic data related to cancer, and analytics tool for use in clinical decision-making / Biotech / Idea")</f>
        <v>Data collection of genomic data related to cancer, and analytics tool for use in clinical decision-making / Biotech / Idea</v>
      </c>
      <c r="H117" s="179">
        <f ca="1">IFERROR(__xludf.DUMMYFUNCTION("""COMPUTED_VALUE"""),3)</f>
        <v>3</v>
      </c>
      <c r="I117" s="179">
        <f ca="1">IFERROR(__xludf.DUMMYFUNCTION("""COMPUTED_VALUE"""),3)</f>
        <v>3</v>
      </c>
      <c r="J117" s="179">
        <f ca="1">IFERROR(__xludf.DUMMYFUNCTION("""COMPUTED_VALUE"""),1)</f>
        <v>1</v>
      </c>
      <c r="K117" s="179">
        <f ca="1">IFERROR(__xludf.DUMMYFUNCTION("""COMPUTED_VALUE"""),2)</f>
        <v>2</v>
      </c>
      <c r="L117" s="179" t="str">
        <f ca="1">IFERROR(__xludf.DUMMYFUNCTION("""COMPUTED_VALUE"""),"Still an idea, but it will be a database of data from cancer patients, and data analytics capabilities for clinical researchers")</f>
        <v>Still an idea, but it will be a database of data from cancer patients, and data analytics capabilities for clinical researchers</v>
      </c>
      <c r="M117" s="179">
        <f ca="1">IFERROR(__xludf.DUMMYFUNCTION("""COMPUTED_VALUE"""),3)</f>
        <v>3</v>
      </c>
      <c r="N117" s="179">
        <f ca="1">IFERROR(__xludf.DUMMYFUNCTION("""COMPUTED_VALUE"""),1)</f>
        <v>1</v>
      </c>
      <c r="O117" s="179" t="str">
        <f ca="1">IFERROR(__xludf.DUMMYFUNCTION("""COMPUTED_VALUE"""),"Idea phase, no customers or mention of speaking to customers")</f>
        <v>Idea phase, no customers or mention of speaking to customers</v>
      </c>
      <c r="P117" s="179">
        <f ca="1">IFERROR(__xludf.DUMMYFUNCTION("""COMPUTED_VALUE"""),3)</f>
        <v>3</v>
      </c>
      <c r="Q117" s="179">
        <f ca="1">IFERROR(__xludf.DUMMYFUNCTION("""COMPUTED_VALUE"""),3)</f>
        <v>3</v>
      </c>
      <c r="R117" s="179">
        <f ca="1">IFERROR(__xludf.DUMMYFUNCTION("""COMPUTED_VALUE"""),4)</f>
        <v>4</v>
      </c>
      <c r="S117" s="179" t="str">
        <f ca="1">IFERROR(__xludf.DUMMYFUNCTION("""COMPUTED_VALUE"""),"Career researcher, in relevant fields")</f>
        <v>Career researcher, in relevant fields</v>
      </c>
      <c r="T117" s="437">
        <f ca="1">IFERROR(__xludf.DUMMYFUNCTION("""COMPUTED_VALUE"""),0)</f>
        <v>0</v>
      </c>
      <c r="U117" s="179" t="str">
        <f ca="1">IFERROR(__xludf.DUMMYFUNCTION("""COMPUTED_VALUE"""),"&lt;$500K")</f>
        <v>&lt;$500K</v>
      </c>
      <c r="V117" s="179">
        <f ca="1">IFERROR(__xludf.DUMMYFUNCTION("""COMPUTED_VALUE"""),2)</f>
        <v>2</v>
      </c>
      <c r="W117" s="179" t="str">
        <f ca="1">IFERROR(__xludf.DUMMYFUNCTION("""COMPUTED_VALUE"""),"Business model was a bit unclear from the application and their website, but seems to consist of building a database of cancer patient data, allowing patients and researchers alike the ability to get analytics on their data. Founder is a researcher, but h"&amp;"as not scaled a tech business like this before.")</f>
        <v>Business model was a bit unclear from the application and their website, but seems to consist of building a database of cancer patient data, allowing patients and researchers alike the ability to get analytics on their data. Founder is a researcher, but has not scaled a tech business like this before.</v>
      </c>
    </row>
    <row r="118" spans="1:23">
      <c r="A118" s="179" t="str">
        <f ca="1">IFERROR(__xludf.DUMMYFUNCTION("""COMPUTED_VALUE"""),"R")</f>
        <v>R</v>
      </c>
      <c r="B118" s="436">
        <f ca="1">IFERROR(__xludf.DUMMYFUNCTION("""COMPUTED_VALUE"""),44792.624606655)</f>
        <v>44792.624606655001</v>
      </c>
      <c r="C118" s="179" t="str">
        <f ca="1">IFERROR(__xludf.DUMMYFUNCTION("""COMPUTED_VALUE"""),"ahmed.bahgat@stern.nyu.edu")</f>
        <v>ahmed.bahgat@stern.nyu.edu</v>
      </c>
      <c r="D118" s="179" t="str">
        <f ca="1">IFERROR(__xludf.DUMMYFUNCTION("""COMPUTED_VALUE"""),"Ahmed Bahgat")</f>
        <v>Ahmed Bahgat</v>
      </c>
      <c r="E118" s="179" t="str">
        <f ca="1">IFERROR(__xludf.DUMMYFUNCTION("""COMPUTED_VALUE"""),"I have read and understand the confidentiality agreement for application reviewers.")</f>
        <v>I have read and understand the confidentiality agreement for application reviewers.</v>
      </c>
      <c r="F118" s="179" t="str">
        <f ca="1">IFERROR(__xludf.DUMMYFUNCTION("""COMPUTED_VALUE"""),"Scryper")</f>
        <v>Scryper</v>
      </c>
      <c r="G118" s="179" t="str">
        <f ca="1">IFERROR(__xludf.DUMMYFUNCTION("""COMPUTED_VALUE"""),"Develops hardware and software products to provide solutions to the IT and Transportation industries. 2 business solutions proposed: 1)Rail: VTOL  2)Kleen: Cleaning service app")</f>
        <v>Develops hardware and software products to provide solutions to the IT and Transportation industries. 2 business solutions proposed: 1)Rail: VTOL  2)Kleen: Cleaning service app</v>
      </c>
      <c r="H118" s="179">
        <f ca="1">IFERROR(__xludf.DUMMYFUNCTION("""COMPUTED_VALUE"""),3)</f>
        <v>3</v>
      </c>
      <c r="I118" s="179">
        <f ca="1">IFERROR(__xludf.DUMMYFUNCTION("""COMPUTED_VALUE"""),1)</f>
        <v>1</v>
      </c>
      <c r="J118" s="179">
        <f ca="1">IFERROR(__xludf.DUMMYFUNCTION("""COMPUTED_VALUE"""),2)</f>
        <v>2</v>
      </c>
      <c r="K118" s="179">
        <f ca="1">IFERROR(__xludf.DUMMYFUNCTION("""COMPUTED_VALUE"""),1)</f>
        <v>1</v>
      </c>
      <c r="L118" s="179" t="str">
        <f ca="1">IFERROR(__xludf.DUMMYFUNCTION("""COMPUTED_VALUE"""),"No patent submitted.
Kleen: Booking and payment system integration within the app which was validated
Rail:Autonomous aircraft")</f>
        <v>No patent submitted.
Kleen: Booking and payment system integration within the app which was validated
Rail:Autonomous aircraft</v>
      </c>
      <c r="M118" s="179">
        <f ca="1">IFERROR(__xludf.DUMMYFUNCTION("""COMPUTED_VALUE"""),1)</f>
        <v>1</v>
      </c>
      <c r="N118" s="179">
        <f ca="1">IFERROR(__xludf.DUMMYFUNCTION("""COMPUTED_VALUE"""),1)</f>
        <v>1</v>
      </c>
      <c r="O118" s="179" t="str">
        <f ca="1">IFERROR(__xludf.DUMMYFUNCTION("""COMPUTED_VALUE"""),"Target market for Rail is ""People who work in skyscrapers or buildings""
Target market for Kleen is ""New York City, Lima""
Doesn't seem like market research.")</f>
        <v>Target market for Rail is "People who work in skyscrapers or buildings"
Target market for Kleen is "New York City, Lima"
Doesn't seem like market research.</v>
      </c>
      <c r="P118" s="179">
        <f ca="1">IFERROR(__xludf.DUMMYFUNCTION("""COMPUTED_VALUE"""),1)</f>
        <v>1</v>
      </c>
      <c r="Q118" s="179">
        <f ca="1">IFERROR(__xludf.DUMMYFUNCTION("""COMPUTED_VALUE"""),1)</f>
        <v>1</v>
      </c>
      <c r="R118" s="179">
        <f ca="1">IFERROR(__xludf.DUMMYFUNCTION("""COMPUTED_VALUE"""),1)</f>
        <v>1</v>
      </c>
      <c r="S118" s="179" t="str">
        <f ca="1">IFERROR(__xludf.DUMMYFUNCTION("""COMPUTED_VALUE"""),"Vision - using technology to solve problems - needs to be refined.
Team's experience not provided.")</f>
        <v>Vision - using technology to solve problems - needs to be refined.
Team's experience not provided.</v>
      </c>
      <c r="T118" s="437">
        <f ca="1">IFERROR(__xludf.DUMMYFUNCTION("""COMPUTED_VALUE"""),0)</f>
        <v>0</v>
      </c>
      <c r="U118" s="179" t="str">
        <f ca="1">IFERROR(__xludf.DUMMYFUNCTION("""COMPUTED_VALUE"""),"&lt;$500K")</f>
        <v>&lt;$500K</v>
      </c>
      <c r="V118" s="179">
        <f ca="1">IFERROR(__xludf.DUMMYFUNCTION("""COMPUTED_VALUE"""),1)</f>
        <v>1</v>
      </c>
      <c r="W118" s="179" t="str">
        <f ca="1">IFERROR(__xludf.DUMMYFUNCTION("""COMPUTED_VALUE"""),"It seems the founders are looking to EFL for ideas for a business. There doesn't seem to be a solid business to help here.")</f>
        <v>It seems the founders are looking to EFL for ideas for a business. There doesn't seem to be a solid business to help here.</v>
      </c>
    </row>
    <row r="119" spans="1:23">
      <c r="A119" s="179" t="str">
        <f ca="1">IFERROR(__xludf.DUMMYFUNCTION("""COMPUTED_VALUE"""),"R")</f>
        <v>R</v>
      </c>
      <c r="B119" s="436">
        <f ca="1">IFERROR(__xludf.DUMMYFUNCTION("""COMPUTED_VALUE"""),44792.6425465509)</f>
        <v>44792.642546550902</v>
      </c>
      <c r="C119" s="179" t="str">
        <f ca="1">IFERROR(__xludf.DUMMYFUNCTION("""COMPUTED_VALUE"""),"cm6077@stern.nyu.edu")</f>
        <v>cm6077@stern.nyu.edu</v>
      </c>
      <c r="D119" s="179" t="str">
        <f ca="1">IFERROR(__xludf.DUMMYFUNCTION("""COMPUTED_VALUE"""),"Chris Millisits")</f>
        <v>Chris Millisits</v>
      </c>
      <c r="E119" s="179" t="str">
        <f ca="1">IFERROR(__xludf.DUMMYFUNCTION("""COMPUTED_VALUE"""),"I have read and understand the confidentiality agreement for application reviewers.")</f>
        <v>I have read and understand the confidentiality agreement for application reviewers.</v>
      </c>
      <c r="F119" s="179" t="str">
        <f ca="1">IFERROR(__xludf.DUMMYFUNCTION("""COMPUTED_VALUE"""),"OmniCyte, LLC")</f>
        <v>OmniCyte, LLC</v>
      </c>
      <c r="G119" s="179" t="str">
        <f ca="1">IFERROR(__xludf.DUMMYFUNCTION("""COMPUTED_VALUE"""),"OmniCyte is a preclinical stage, immunology based, biotechnology company creating treatments for cancer and infectious diseases / Biotech / Series A")</f>
        <v>OmniCyte is a preclinical stage, immunology based, biotechnology company creating treatments for cancer and infectious diseases / Biotech / Series A</v>
      </c>
      <c r="H119" s="179">
        <f ca="1">IFERROR(__xludf.DUMMYFUNCTION("""COMPUTED_VALUE"""),3)</f>
        <v>3</v>
      </c>
      <c r="I119" s="179">
        <f ca="1">IFERROR(__xludf.DUMMYFUNCTION("""COMPUTED_VALUE"""),3)</f>
        <v>3</v>
      </c>
      <c r="J119" s="179">
        <f ca="1">IFERROR(__xludf.DUMMYFUNCTION("""COMPUTED_VALUE"""),3)</f>
        <v>3</v>
      </c>
      <c r="K119" s="179">
        <f ca="1">IFERROR(__xludf.DUMMYFUNCTION("""COMPUTED_VALUE"""),4)</f>
        <v>4</v>
      </c>
      <c r="L119" s="179" t="str">
        <f ca="1">IFERROR(__xludf.DUMMYFUNCTION("""COMPUTED_VALUE""")," Biotech firm with 2 products. Have demonstrated in vivo efficacy for their vaccine and have shown immune activation against their cancer target in animals. ")</f>
        <v xml:space="preserve"> Biotech firm with 2 products. Have demonstrated in vivo efficacy for their vaccine and have shown immune activation against their cancer target in animals. </v>
      </c>
      <c r="M119" s="179">
        <f ca="1">IFERROR(__xludf.DUMMYFUNCTION("""COMPUTED_VALUE"""),4)</f>
        <v>4</v>
      </c>
      <c r="N119" s="179">
        <f ca="1">IFERROR(__xludf.DUMMYFUNCTION("""COMPUTED_VALUE"""),2)</f>
        <v>2</v>
      </c>
      <c r="O119" s="179" t="str">
        <f ca="1">IFERROR(__xludf.DUMMYFUNCTION("""COMPUTED_VALUE"""),"1-10 customers")</f>
        <v>1-10 customers</v>
      </c>
      <c r="P119" s="179">
        <f ca="1">IFERROR(__xludf.DUMMYFUNCTION("""COMPUTED_VALUE"""),3)</f>
        <v>3</v>
      </c>
      <c r="Q119" s="179">
        <f ca="1">IFERROR(__xludf.DUMMYFUNCTION("""COMPUTED_VALUE"""),4)</f>
        <v>4</v>
      </c>
      <c r="R119" s="179">
        <f ca="1">IFERROR(__xludf.DUMMYFUNCTION("""COMPUTED_VALUE"""),4)</f>
        <v>4</v>
      </c>
      <c r="S119" s="179" t="str">
        <f ca="1">IFERROR(__xludf.DUMMYFUNCTION("""COMPUTED_VALUE"""),"Previous biotech exit at $750m for founder. Vision is just to look for unmet needs in cancer and infectious diseases, but the founder has done biotech before. Founder bet.")</f>
        <v>Previous biotech exit at $750m for founder. Vision is just to look for unmet needs in cancer and infectious diseases, but the founder has done biotech before. Founder bet.</v>
      </c>
      <c r="T119" s="437">
        <f ca="1">IFERROR(__xludf.DUMMYFUNCTION("""COMPUTED_VALUE"""),750000)</f>
        <v>750000</v>
      </c>
      <c r="U119" s="179" t="str">
        <f ca="1">IFERROR(__xludf.DUMMYFUNCTION("""COMPUTED_VALUE"""),"&gt;$5M")</f>
        <v>&gt;$5M</v>
      </c>
      <c r="V119" s="179">
        <f ca="1">IFERROR(__xludf.DUMMYFUNCTION("""COMPUTED_VALUE"""),3)</f>
        <v>3</v>
      </c>
      <c r="W119" s="179" t="str">
        <f ca="1">IFERROR(__xludf.DUMMYFUNCTION("""COMPUTED_VALUE"""),"It's a biotech firm. Previous biotech exit at $750m for founder. Vision is just to look for unmet needs in cancer and infectious diseases, but the founder has done biotech before. Would be a founder bet.")</f>
        <v>It's a biotech firm. Previous biotech exit at $750m for founder. Vision is just to look for unmet needs in cancer and infectious diseases, but the founder has done biotech before. Would be a founder bet.</v>
      </c>
    </row>
    <row r="120" spans="1:23">
      <c r="A120" s="179" t="str">
        <f ca="1">IFERROR(__xludf.DUMMYFUNCTION("""COMPUTED_VALUE"""),"R")</f>
        <v>R</v>
      </c>
      <c r="B120" s="436">
        <f ca="1">IFERROR(__xludf.DUMMYFUNCTION("""COMPUTED_VALUE"""),44792.6481489583)</f>
        <v>44792.648148958302</v>
      </c>
      <c r="C120" s="179" t="str">
        <f ca="1">IFERROR(__xludf.DUMMYFUNCTION("""COMPUTED_VALUE"""),"cm6077@stern.nyu.edu")</f>
        <v>cm6077@stern.nyu.edu</v>
      </c>
      <c r="D120" s="179" t="str">
        <f ca="1">IFERROR(__xludf.DUMMYFUNCTION("""COMPUTED_VALUE"""),"Chris Millisits")</f>
        <v>Chris Millisits</v>
      </c>
      <c r="E120" s="179" t="str">
        <f ca="1">IFERROR(__xludf.DUMMYFUNCTION("""COMPUTED_VALUE"""),"I have read and understand the confidentiality agreement for application reviewers.")</f>
        <v>I have read and understand the confidentiality agreement for application reviewers.</v>
      </c>
      <c r="F120" s="179" t="str">
        <f ca="1">IFERROR(__xludf.DUMMYFUNCTION("""COMPUTED_VALUE"""),"Omnifia")</f>
        <v>Omnifia</v>
      </c>
      <c r="G120" s="179" t="str">
        <f ca="1">IFERROR(__xludf.DUMMYFUNCTION("""COMPUTED_VALUE"""),"A productivity app that uses AI-based search across tech stack / Productivity / Seed")</f>
        <v>A productivity app that uses AI-based search across tech stack / Productivity / Seed</v>
      </c>
      <c r="H120" s="179">
        <f ca="1">IFERROR(__xludf.DUMMYFUNCTION("""COMPUTED_VALUE"""),4)</f>
        <v>4</v>
      </c>
      <c r="I120" s="179">
        <f ca="1">IFERROR(__xludf.DUMMYFUNCTION("""COMPUTED_VALUE"""),2)</f>
        <v>2</v>
      </c>
      <c r="J120" s="179">
        <f ca="1">IFERROR(__xludf.DUMMYFUNCTION("""COMPUTED_VALUE"""),1)</f>
        <v>1</v>
      </c>
      <c r="K120" s="179">
        <f ca="1">IFERROR(__xludf.DUMMYFUNCTION("""COMPUTED_VALUE"""),2)</f>
        <v>2</v>
      </c>
      <c r="L120" s="179" t="str">
        <f ca="1">IFERROR(__xludf.DUMMYFUNCTION("""COMPUTED_VALUE"""),"Not the only productivity tool trying to use AI and NLP to power search across applications. Hard to determine whether the AI-based search is work defending with IP due to proliferation of solutions used in SaaS.")</f>
        <v>Not the only productivity tool trying to use AI and NLP to power search across applications. Hard to determine whether the AI-based search is work defending with IP due to proliferation of solutions used in SaaS.</v>
      </c>
      <c r="M120" s="179">
        <f ca="1">IFERROR(__xludf.DUMMYFUNCTION("""COMPUTED_VALUE"""),4)</f>
        <v>4</v>
      </c>
      <c r="N120" s="179">
        <f ca="1">IFERROR(__xludf.DUMMYFUNCTION("""COMPUTED_VALUE"""),3)</f>
        <v>3</v>
      </c>
      <c r="O120" s="179" t="str">
        <f ca="1">IFERROR(__xludf.DUMMYFUNCTION("""COMPUTED_VALUE"""),"Customers on free trial and waitlist. Will need validation that enterprises are willing to pay for this.")</f>
        <v>Customers on free trial and waitlist. Will need validation that enterprises are willing to pay for this.</v>
      </c>
      <c r="P120" s="179">
        <f ca="1">IFERROR(__xludf.DUMMYFUNCTION("""COMPUTED_VALUE"""),3)</f>
        <v>3</v>
      </c>
      <c r="Q120" s="179">
        <f ca="1">IFERROR(__xludf.DUMMYFUNCTION("""COMPUTED_VALUE"""),2)</f>
        <v>2</v>
      </c>
      <c r="R120" s="179">
        <f ca="1">IFERROR(__xludf.DUMMYFUNCTION("""COMPUTED_VALUE"""),3)</f>
        <v>3</v>
      </c>
      <c r="S120" s="179" t="str">
        <f ca="1">IFERROR(__xludf.DUMMYFUNCTION("""COMPUTED_VALUE"""),"Team has marketing and engineering experience, but no exceptional technical or business expertise that leads me to believe they have a better solution than competitors.")</f>
        <v>Team has marketing and engineering experience, but no exceptional technical or business expertise that leads me to believe they have a better solution than competitors.</v>
      </c>
      <c r="T120" s="437">
        <f ca="1">IFERROR(__xludf.DUMMYFUNCTION("""COMPUTED_VALUE"""),200000)</f>
        <v>200000</v>
      </c>
      <c r="U120" s="179" t="str">
        <f ca="1">IFERROR(__xludf.DUMMYFUNCTION("""COMPUTED_VALUE"""),"&lt;$500K")</f>
        <v>&lt;$500K</v>
      </c>
      <c r="V120" s="179">
        <f ca="1">IFERROR(__xludf.DUMMYFUNCTION("""COMPUTED_VALUE"""),2)</f>
        <v>2</v>
      </c>
      <c r="W120" s="179" t="str">
        <f ca="1">IFERROR(__xludf.DUMMYFUNCTION("""COMPUTED_VALUE"""),"Another productivity tool powered by AI. This is a crowded space and there is nothing in application materials or website to suggest that this team has the right to win in this space.")</f>
        <v>Another productivity tool powered by AI. This is a crowded space and there is nothing in application materials or website to suggest that this team has the right to win in this space.</v>
      </c>
    </row>
    <row r="121" spans="1:23">
      <c r="A121" s="179" t="str">
        <f ca="1">IFERROR(__xludf.DUMMYFUNCTION("""COMPUTED_VALUE"""),"R")</f>
        <v>R</v>
      </c>
      <c r="B121" s="436">
        <f ca="1">IFERROR(__xludf.DUMMYFUNCTION("""COMPUTED_VALUE"""),44792.6524483101)</f>
        <v>44792.652448310102</v>
      </c>
      <c r="C121" s="179" t="str">
        <f ca="1">IFERROR(__xludf.DUMMYFUNCTION("""COMPUTED_VALUE"""),"jm5201@stern.nyu.edu")</f>
        <v>jm5201@stern.nyu.edu</v>
      </c>
      <c r="D121" s="179" t="str">
        <f ca="1">IFERROR(__xludf.DUMMYFUNCTION("""COMPUTED_VALUE"""),"John McDonald")</f>
        <v>John McDonald</v>
      </c>
      <c r="E121" s="179" t="str">
        <f ca="1">IFERROR(__xludf.DUMMYFUNCTION("""COMPUTED_VALUE"""),"I have read and understand the confidentiality agreement for application reviewers.")</f>
        <v>I have read and understand the confidentiality agreement for application reviewers.</v>
      </c>
      <c r="F121" s="179" t="str">
        <f ca="1">IFERROR(__xludf.DUMMYFUNCTION("""COMPUTED_VALUE"""),"Cortina Health")</f>
        <v>Cortina Health</v>
      </c>
      <c r="G121" s="179" t="str">
        <f ca="1">IFERROR(__xludf.DUMMYFUNCTION("""COMPUTED_VALUE"""),"Healthcare Tech Company - AI Tele-dermatology")</f>
        <v>Healthcare Tech Company - AI Tele-dermatology</v>
      </c>
      <c r="H121" s="179">
        <f ca="1">IFERROR(__xludf.DUMMYFUNCTION("""COMPUTED_VALUE"""),4)</f>
        <v>4</v>
      </c>
      <c r="I121" s="179">
        <f ca="1">IFERROR(__xludf.DUMMYFUNCTION("""COMPUTED_VALUE"""),4)</f>
        <v>4</v>
      </c>
      <c r="J121" s="179">
        <f ca="1">IFERROR(__xludf.DUMMYFUNCTION("""COMPUTED_VALUE"""),4)</f>
        <v>4</v>
      </c>
      <c r="K121" s="179">
        <f ca="1">IFERROR(__xludf.DUMMYFUNCTION("""COMPUTED_VALUE"""),4)</f>
        <v>4</v>
      </c>
      <c r="L121" s="179" t="str">
        <f ca="1">IFERROR(__xludf.DUMMYFUNCTION("""COMPUTED_VALUE"""),"Peer is HIMS")</f>
        <v>Peer is HIMS</v>
      </c>
      <c r="M121" s="179">
        <f ca="1">IFERROR(__xludf.DUMMYFUNCTION("""COMPUTED_VALUE"""),5)</f>
        <v>5</v>
      </c>
      <c r="N121" s="179">
        <f ca="1">IFERROR(__xludf.DUMMYFUNCTION("""COMPUTED_VALUE"""),2)</f>
        <v>2</v>
      </c>
      <c r="O121" s="179"/>
      <c r="P121" s="179">
        <f ca="1">IFERROR(__xludf.DUMMYFUNCTION("""COMPUTED_VALUE"""),5)</f>
        <v>5</v>
      </c>
      <c r="Q121" s="179">
        <f ca="1">IFERROR(__xludf.DUMMYFUNCTION("""COMPUTED_VALUE"""),5)</f>
        <v>5</v>
      </c>
      <c r="R121" s="179">
        <f ca="1">IFERROR(__xludf.DUMMYFUNCTION("""COMPUTED_VALUE"""),5)</f>
        <v>5</v>
      </c>
      <c r="S121" s="179" t="str">
        <f ca="1">IFERROR(__xludf.DUMMYFUNCTION("""COMPUTED_VALUE"""),"Harvard/Cornell Medical Doctors Management team + co-host from Shark Tank on Advisor Board")</f>
        <v>Harvard/Cornell Medical Doctors Management team + co-host from Shark Tank on Advisor Board</v>
      </c>
      <c r="T121" s="179"/>
      <c r="U121" s="179" t="str">
        <f ca="1">IFERROR(__xludf.DUMMYFUNCTION("""COMPUTED_VALUE"""),"$1-$5M")</f>
        <v>$1-$5M</v>
      </c>
      <c r="V121" s="179">
        <f ca="1">IFERROR(__xludf.DUMMYFUNCTION("""COMPUTED_VALUE"""),5)</f>
        <v>5</v>
      </c>
      <c r="W121" s="179" t="str">
        <f ca="1">IFERROR(__xludf.DUMMYFUNCTION("""COMPUTED_VALUE"""),"Looks like a great company, with experienced management team of Doctors, millions of USD raised, actual recorded revenue, and hope to see them in the program.")</f>
        <v>Looks like a great company, with experienced management team of Doctors, millions of USD raised, actual recorded revenue, and hope to see them in the program.</v>
      </c>
    </row>
    <row r="122" spans="1:23">
      <c r="A122" s="179" t="str">
        <f ca="1">IFERROR(__xludf.DUMMYFUNCTION("""COMPUTED_VALUE"""),"R")</f>
        <v>R</v>
      </c>
      <c r="B122" s="436">
        <f ca="1">IFERROR(__xludf.DUMMYFUNCTION("""COMPUTED_VALUE"""),44792.6611472916)</f>
        <v>44792.661147291597</v>
      </c>
      <c r="C122" s="179" t="str">
        <f ca="1">IFERROR(__xludf.DUMMYFUNCTION("""COMPUTED_VALUE"""),"ahmed.bahgat@stern.nyu.edu")</f>
        <v>ahmed.bahgat@stern.nyu.edu</v>
      </c>
      <c r="D122" s="179" t="str">
        <f ca="1">IFERROR(__xludf.DUMMYFUNCTION("""COMPUTED_VALUE"""),"Ahmed Bahgat")</f>
        <v>Ahmed Bahgat</v>
      </c>
      <c r="E122" s="179" t="str">
        <f ca="1">IFERROR(__xludf.DUMMYFUNCTION("""COMPUTED_VALUE"""),"I have read and understand the confidentiality agreement for application reviewers.")</f>
        <v>I have read and understand the confidentiality agreement for application reviewers.</v>
      </c>
      <c r="F122" s="179" t="str">
        <f ca="1">IFERROR(__xludf.DUMMYFUNCTION("""COMPUTED_VALUE"""),"Sebb Inc")</f>
        <v>Sebb Inc</v>
      </c>
      <c r="G122" s="179" t="str">
        <f ca="1">IFERROR(__xludf.DUMMYFUNCTION("""COMPUTED_VALUE"""),"India' First Interest Dating App 'Ador' enabling relationships based on interest and passions. This seems to be a growing but overcrowded industry with many players competing.")</f>
        <v>India' First Interest Dating App 'Ador' enabling relationships based on interest and passions. This seems to be a growing but overcrowded industry with many players competing.</v>
      </c>
      <c r="H122" s="179">
        <f ca="1">IFERROR(__xludf.DUMMYFUNCTION("""COMPUTED_VALUE"""),4)</f>
        <v>4</v>
      </c>
      <c r="I122" s="179">
        <f ca="1">IFERROR(__xludf.DUMMYFUNCTION("""COMPUTED_VALUE"""),3)</f>
        <v>3</v>
      </c>
      <c r="J122" s="179">
        <f ca="1">IFERROR(__xludf.DUMMYFUNCTION("""COMPUTED_VALUE"""),5)</f>
        <v>5</v>
      </c>
      <c r="K122" s="179">
        <f ca="1">IFERROR(__xludf.DUMMYFUNCTION("""COMPUTED_VALUE"""),3)</f>
        <v>3</v>
      </c>
      <c r="L122" s="179" t="str">
        <f ca="1">IFERROR(__xludf.DUMMYFUNCTION("""COMPUTED_VALUE"""),"Technology solution is a ""Proprietary Algorithm enabling individuals express and explore based on Interests &amp; Passions"". Seems like a slightly differentiated product from competitors.")</f>
        <v>Technology solution is a "Proprietary Algorithm enabling individuals express and explore based on Interests &amp; Passions". Seems like a slightly differentiated product from competitors.</v>
      </c>
      <c r="M122" s="179">
        <f ca="1">IFERROR(__xludf.DUMMYFUNCTION("""COMPUTED_VALUE"""),1)</f>
        <v>1</v>
      </c>
      <c r="N122" s="179">
        <f ca="1">IFERROR(__xludf.DUMMYFUNCTION("""COMPUTED_VALUE"""),4)</f>
        <v>4</v>
      </c>
      <c r="O122" s="179" t="str">
        <f ca="1">IFERROR(__xludf.DUMMYFUNCTION("""COMPUTED_VALUE"""),"Target market is not defined.")</f>
        <v>Target market is not defined.</v>
      </c>
      <c r="P122" s="179">
        <f ca="1">IFERROR(__xludf.DUMMYFUNCTION("""COMPUTED_VALUE"""),2)</f>
        <v>2</v>
      </c>
      <c r="Q122" s="179">
        <f ca="1">IFERROR(__xludf.DUMMYFUNCTION("""COMPUTED_VALUE"""),3)</f>
        <v>3</v>
      </c>
      <c r="R122" s="179">
        <f ca="1">IFERROR(__xludf.DUMMYFUNCTION("""COMPUTED_VALUE"""),3)</f>
        <v>3</v>
      </c>
      <c r="S122" s="179" t="str">
        <f ca="1">IFERROR(__xludf.DUMMYFUNCTION("""COMPUTED_VALUE"""),"Good team but hard to have a differentiated vision in such a competitive market.")</f>
        <v>Good team but hard to have a differentiated vision in such a competitive market.</v>
      </c>
      <c r="T122" s="437">
        <f ca="1">IFERROR(__xludf.DUMMYFUNCTION("""COMPUTED_VALUE"""),20000)</f>
        <v>20000</v>
      </c>
      <c r="U122" s="179" t="str">
        <f ca="1">IFERROR(__xludf.DUMMYFUNCTION("""COMPUTED_VALUE"""),"$500K-$1M")</f>
        <v>$500K-$1M</v>
      </c>
      <c r="V122" s="179">
        <f ca="1">IFERROR(__xludf.DUMMYFUNCTION("""COMPUTED_VALUE"""),3)</f>
        <v>3</v>
      </c>
      <c r="W122" s="179" t="str">
        <f ca="1">IFERROR(__xludf.DUMMYFUNCTION("""COMPUTED_VALUE"""),"Good team with a slightly differentiated product in a very competitive market. Looking for EFL to conduct market research and for fundraising. ")</f>
        <v xml:space="preserve">Good team with a slightly differentiated product in a very competitive market. Looking for EFL to conduct market research and for fundraising. </v>
      </c>
    </row>
    <row r="123" spans="1:23">
      <c r="A123" s="179" t="str">
        <f ca="1">IFERROR(__xludf.DUMMYFUNCTION("""COMPUTED_VALUE"""),"R")</f>
        <v>R</v>
      </c>
      <c r="B123" s="436">
        <f ca="1">IFERROR(__xludf.DUMMYFUNCTION("""COMPUTED_VALUE"""),44792.6630017245)</f>
        <v>44792.663001724497</v>
      </c>
      <c r="C123" s="179" t="str">
        <f ca="1">IFERROR(__xludf.DUMMYFUNCTION("""COMPUTED_VALUE"""),"jm5201@stern.nyu.edu")</f>
        <v>jm5201@stern.nyu.edu</v>
      </c>
      <c r="D123" s="179" t="str">
        <f ca="1">IFERROR(__xludf.DUMMYFUNCTION("""COMPUTED_VALUE"""),"John McDonald")</f>
        <v>John McDonald</v>
      </c>
      <c r="E123" s="179" t="str">
        <f ca="1">IFERROR(__xludf.DUMMYFUNCTION("""COMPUTED_VALUE"""),"I have read and understand the confidentiality agreement for application reviewers.")</f>
        <v>I have read and understand the confidentiality agreement for application reviewers.</v>
      </c>
      <c r="F123" s="179" t="str">
        <f ca="1">IFERROR(__xludf.DUMMYFUNCTION("""COMPUTED_VALUE"""),"Countd")</f>
        <v>Countd</v>
      </c>
      <c r="G123" s="179" t="str">
        <f ca="1">IFERROR(__xludf.DUMMYFUNCTION("""COMPUTED_VALUE"""),"Health and Nutrition app - Diabetes meal subscription")</f>
        <v>Health and Nutrition app - Diabetes meal subscription</v>
      </c>
      <c r="H123" s="179">
        <f ca="1">IFERROR(__xludf.DUMMYFUNCTION("""COMPUTED_VALUE"""),3)</f>
        <v>3</v>
      </c>
      <c r="I123" s="179">
        <f ca="1">IFERROR(__xludf.DUMMYFUNCTION("""COMPUTED_VALUE"""),2)</f>
        <v>2</v>
      </c>
      <c r="J123" s="179">
        <f ca="1">IFERROR(__xludf.DUMMYFUNCTION("""COMPUTED_VALUE"""),4)</f>
        <v>4</v>
      </c>
      <c r="K123" s="179">
        <f ca="1">IFERROR(__xludf.DUMMYFUNCTION("""COMPUTED_VALUE"""),2)</f>
        <v>2</v>
      </c>
      <c r="L123" s="179"/>
      <c r="M123" s="179">
        <f ca="1">IFERROR(__xludf.DUMMYFUNCTION("""COMPUTED_VALUE"""),4)</f>
        <v>4</v>
      </c>
      <c r="N123" s="179">
        <f ca="1">IFERROR(__xludf.DUMMYFUNCTION("""COMPUTED_VALUE"""),4)</f>
        <v>4</v>
      </c>
      <c r="O123" s="179"/>
      <c r="P123" s="179">
        <f ca="1">IFERROR(__xludf.DUMMYFUNCTION("""COMPUTED_VALUE"""),3)</f>
        <v>3</v>
      </c>
      <c r="Q123" s="179">
        <f ca="1">IFERROR(__xludf.DUMMYFUNCTION("""COMPUTED_VALUE"""),3)</f>
        <v>3</v>
      </c>
      <c r="R123" s="179">
        <f ca="1">IFERROR(__xludf.DUMMYFUNCTION("""COMPUTED_VALUE"""),4)</f>
        <v>4</v>
      </c>
      <c r="S123" s="179"/>
      <c r="T123" s="179"/>
      <c r="U123" s="179" t="str">
        <f ca="1">IFERROR(__xludf.DUMMYFUNCTION("""COMPUTED_VALUE"""),"$1-$5M")</f>
        <v>$1-$5M</v>
      </c>
      <c r="V123" s="179">
        <f ca="1">IFERROR(__xludf.DUMMYFUNCTION("""COMPUTED_VALUE"""),3)</f>
        <v>3</v>
      </c>
      <c r="W123" s="179"/>
    </row>
    <row r="124" spans="1:23">
      <c r="A124" s="179" t="str">
        <f ca="1">IFERROR(__xludf.DUMMYFUNCTION("""COMPUTED_VALUE"""),"R")</f>
        <v>R</v>
      </c>
      <c r="B124" s="436">
        <f ca="1">IFERROR(__xludf.DUMMYFUNCTION("""COMPUTED_VALUE"""),44792.6652537384)</f>
        <v>44792.6652537384</v>
      </c>
      <c r="C124" s="179" t="str">
        <f ca="1">IFERROR(__xludf.DUMMYFUNCTION("""COMPUTED_VALUE"""),"jsy8879@stern.nyu.edu")</f>
        <v>jsy8879@stern.nyu.edu</v>
      </c>
      <c r="D124" s="179" t="str">
        <f ca="1">IFERROR(__xludf.DUMMYFUNCTION("""COMPUTED_VALUE"""),"Jason Yu")</f>
        <v>Jason Yu</v>
      </c>
      <c r="E124" s="179" t="str">
        <f ca="1">IFERROR(__xludf.DUMMYFUNCTION("""COMPUTED_VALUE"""),"I have read and understand the confidentiality agreement for application reviewers.")</f>
        <v>I have read and understand the confidentiality agreement for application reviewers.</v>
      </c>
      <c r="F124" s="179" t="str">
        <f ca="1">IFERROR(__xludf.DUMMYFUNCTION("""COMPUTED_VALUE"""),"3 Ridge Technologies")</f>
        <v>3 Ridge Technologies</v>
      </c>
      <c r="G124" s="179" t="str">
        <f ca="1">IFERROR(__xludf.DUMMYFUNCTION("""COMPUTED_VALUE"""),"Sustainable indoor farming / Agriculture / Pre-seed Grants")</f>
        <v>Sustainable indoor farming / Agriculture / Pre-seed Grants</v>
      </c>
      <c r="H124" s="179">
        <f ca="1">IFERROR(__xludf.DUMMYFUNCTION("""COMPUTED_VALUE"""),4)</f>
        <v>4</v>
      </c>
      <c r="I124" s="179">
        <f ca="1">IFERROR(__xludf.DUMMYFUNCTION("""COMPUTED_VALUE"""),2)</f>
        <v>2</v>
      </c>
      <c r="J124" s="179">
        <f ca="1">IFERROR(__xludf.DUMMYFUNCTION("""COMPUTED_VALUE"""),4)</f>
        <v>4</v>
      </c>
      <c r="K124" s="179">
        <f ca="1">IFERROR(__xludf.DUMMYFUNCTION("""COMPUTED_VALUE"""),2)</f>
        <v>2</v>
      </c>
      <c r="L124" s="179" t="str">
        <f ca="1">IFERROR(__xludf.DUMMYFUNCTION("""COMPUTED_VALUE"""),"Our system leverages a proprietary soil-like grow media, which we specially maintain and
manage as an ecosystem, to encourage microbial nutrient production and update by plants. This completely removes the need for synthetic fertilizer and pesticides, and"&amp;" produces plants so fresh they are as if grown in the wild. Ability to grow indoors i.e. anywhere.")</f>
        <v>Our system leverages a proprietary soil-like grow media, which we specially maintain and
manage as an ecosystem, to encourage microbial nutrient production and update by plants. This completely removes the need for synthetic fertilizer and pesticides, and produces plants so fresh they are as if grown in the wild. Ability to grow indoors i.e. anywhere.</v>
      </c>
      <c r="M124" s="179">
        <f ca="1">IFERROR(__xludf.DUMMYFUNCTION("""COMPUTED_VALUE"""),4)</f>
        <v>4</v>
      </c>
      <c r="N124" s="179">
        <f ca="1">IFERROR(__xludf.DUMMYFUNCTION("""COMPUTED_VALUE"""),1)</f>
        <v>1</v>
      </c>
      <c r="O124" s="179" t="str">
        <f ca="1">IFERROR(__xludf.DUMMYFUNCTION("""COMPUTED_VALUE"""),"1-10 ARR $250k")</f>
        <v>1-10 ARR $250k</v>
      </c>
      <c r="P124" s="179">
        <f ca="1">IFERROR(__xludf.DUMMYFUNCTION("""COMPUTED_VALUE"""),4)</f>
        <v>4</v>
      </c>
      <c r="Q124" s="179">
        <f ca="1">IFERROR(__xludf.DUMMYFUNCTION("""COMPUTED_VALUE"""),2)</f>
        <v>2</v>
      </c>
      <c r="R124" s="179">
        <f ca="1">IFERROR(__xludf.DUMMYFUNCTION("""COMPUTED_VALUE"""),1)</f>
        <v>1</v>
      </c>
      <c r="S124" s="179" t="str">
        <f ca="1">IFERROR(__xludf.DUMMYFUNCTION("""COMPUTED_VALUE"""),"Limited data on the founder. CEO worked in cybersecurity.")</f>
        <v>Limited data on the founder. CEO worked in cybersecurity.</v>
      </c>
      <c r="T124" s="437">
        <f ca="1">IFERROR(__xludf.DUMMYFUNCTION("""COMPUTED_VALUE"""),843000)</f>
        <v>843000</v>
      </c>
      <c r="U124" s="179" t="str">
        <f ca="1">IFERROR(__xludf.DUMMYFUNCTION("""COMPUTED_VALUE"""),"$1-$5M")</f>
        <v>$1-$5M</v>
      </c>
      <c r="V124" s="179">
        <f ca="1">IFERROR(__xludf.DUMMYFUNCTION("""COMPUTED_VALUE"""),3)</f>
        <v>3</v>
      </c>
      <c r="W124" s="179" t="str">
        <f ca="1">IFERROR(__xludf.DUMMYFUNCTION("""COMPUTED_VALUE"""),"Underlying technology is unclear.")</f>
        <v>Underlying technology is unclear.</v>
      </c>
    </row>
    <row r="125" spans="1:23">
      <c r="A125" s="179" t="str">
        <f ca="1">IFERROR(__xludf.DUMMYFUNCTION("""COMPUTED_VALUE"""),"R")</f>
        <v>R</v>
      </c>
      <c r="B125" s="436">
        <f ca="1">IFERROR(__xludf.DUMMYFUNCTION("""COMPUTED_VALUE"""),44792.6657194444)</f>
        <v>44792.665719444398</v>
      </c>
      <c r="C125" s="179" t="str">
        <f ca="1">IFERROR(__xludf.DUMMYFUNCTION("""COMPUTED_VALUE"""),"cm6077@stern.nyu.edu")</f>
        <v>cm6077@stern.nyu.edu</v>
      </c>
      <c r="D125" s="179" t="str">
        <f ca="1">IFERROR(__xludf.DUMMYFUNCTION("""COMPUTED_VALUE"""),"Chris Millisits")</f>
        <v>Chris Millisits</v>
      </c>
      <c r="E125" s="179" t="str">
        <f ca="1">IFERROR(__xludf.DUMMYFUNCTION("""COMPUTED_VALUE"""),"I have read and understand the confidentiality agreement for application reviewers.")</f>
        <v>I have read and understand the confidentiality agreement for application reviewers.</v>
      </c>
      <c r="F125" s="179" t="str">
        <f ca="1">IFERROR(__xludf.DUMMYFUNCTION("""COMPUTED_VALUE"""),"Oncoliq")</f>
        <v>Oncoliq</v>
      </c>
      <c r="G125" s="179" t="str">
        <f ca="1">IFERROR(__xludf.DUMMYFUNCTION("""COMPUTED_VALUE"""),"Early cancer detection through a small blood sample using microRNA and AI (optical biosensing) / Biotech (Diagnosis) / Series A")</f>
        <v>Early cancer detection through a small blood sample using microRNA and AI (optical biosensing) / Biotech (Diagnosis) / Series A</v>
      </c>
      <c r="H125" s="179">
        <f ca="1">IFERROR(__xludf.DUMMYFUNCTION("""COMPUTED_VALUE"""),5)</f>
        <v>5</v>
      </c>
      <c r="I125" s="179">
        <f ca="1">IFERROR(__xludf.DUMMYFUNCTION("""COMPUTED_VALUE"""),3)</f>
        <v>3</v>
      </c>
      <c r="J125" s="179">
        <f ca="1">IFERROR(__xludf.DUMMYFUNCTION("""COMPUTED_VALUE"""),1)</f>
        <v>1</v>
      </c>
      <c r="K125" s="179">
        <f ca="1">IFERROR(__xludf.DUMMYFUNCTION("""COMPUTED_VALUE"""),2)</f>
        <v>2</v>
      </c>
      <c r="L125" s="179" t="str">
        <f ca="1">IFERROR(__xludf.DUMMYFUNCTION("""COMPUTED_VALUE"""),"Currently testing their solution. A few competitors across the globe. Patent is licensed, not owned. All-in-one cancer screening (the vision), is not yet doable.")</f>
        <v>Currently testing their solution. A few competitors across the globe. Patent is licensed, not owned. All-in-one cancer screening (the vision), is not yet doable.</v>
      </c>
      <c r="M125" s="179">
        <f ca="1">IFERROR(__xludf.DUMMYFUNCTION("""COMPUTED_VALUE"""),5)</f>
        <v>5</v>
      </c>
      <c r="N125" s="179">
        <f ca="1">IFERROR(__xludf.DUMMYFUNCTION("""COMPUTED_VALUE"""),1)</f>
        <v>1</v>
      </c>
      <c r="O125" s="179" t="str">
        <f ca="1">IFERROR(__xludf.DUMMYFUNCTION("""COMPUTED_VALUE"""),"Still testing the solution in a pilot study. Huge market, and I think demand would be there.")</f>
        <v>Still testing the solution in a pilot study. Huge market, and I think demand would be there.</v>
      </c>
      <c r="P125" s="179">
        <f ca="1">IFERROR(__xludf.DUMMYFUNCTION("""COMPUTED_VALUE"""),4)</f>
        <v>4</v>
      </c>
      <c r="Q125" s="179">
        <f ca="1">IFERROR(__xludf.DUMMYFUNCTION("""COMPUTED_VALUE"""),4)</f>
        <v>4</v>
      </c>
      <c r="R125" s="179">
        <f ca="1">IFERROR(__xludf.DUMMYFUNCTION("""COMPUTED_VALUE"""),4)</f>
        <v>4</v>
      </c>
      <c r="S125" s="179" t="str">
        <f ca="1">IFERROR(__xludf.DUMMYFUNCTION("""COMPUTED_VALUE"""),"Founder team is made up of 3 scientists - 2 cancer biologists and a chemist. Strong research backgrounds, and CSO invented the method for discovering and validating biomarkers.")</f>
        <v>Founder team is made up of 3 scientists - 2 cancer biologists and a chemist. Strong research backgrounds, and CSO invented the method for discovering and validating biomarkers.</v>
      </c>
      <c r="T125" s="437">
        <f ca="1">IFERROR(__xludf.DUMMYFUNCTION("""COMPUTED_VALUE"""),300000)</f>
        <v>300000</v>
      </c>
      <c r="U125" s="179" t="str">
        <f ca="1">IFERROR(__xludf.DUMMYFUNCTION("""COMPUTED_VALUE"""),"&gt;$5M")</f>
        <v>&gt;$5M</v>
      </c>
      <c r="V125" s="179">
        <f ca="1">IFERROR(__xludf.DUMMYFUNCTION("""COMPUTED_VALUE"""),3)</f>
        <v>3</v>
      </c>
      <c r="W125" s="179" t="str">
        <f ca="1">IFERROR(__xludf.DUMMYFUNCTION("""COMPUTED_VALUE"""),"Strong team, but IP is licensed and the tech is not yet validated. It's just very early.")</f>
        <v>Strong team, but IP is licensed and the tech is not yet validated. It's just very early.</v>
      </c>
    </row>
    <row r="126" spans="1:23">
      <c r="A126" s="179" t="str">
        <f ca="1">IFERROR(__xludf.DUMMYFUNCTION("""COMPUTED_VALUE"""),"R")</f>
        <v>R</v>
      </c>
      <c r="B126" s="436">
        <f ca="1">IFERROR(__xludf.DUMMYFUNCTION("""COMPUTED_VALUE"""),44792.6695745254)</f>
        <v>44792.669574525396</v>
      </c>
      <c r="C126" s="179" t="str">
        <f ca="1">IFERROR(__xludf.DUMMYFUNCTION("""COMPUTED_VALUE"""),"jm5201@stern.nyu.edu")</f>
        <v>jm5201@stern.nyu.edu</v>
      </c>
      <c r="D126" s="179" t="str">
        <f ca="1">IFERROR(__xludf.DUMMYFUNCTION("""COMPUTED_VALUE"""),"John McDonald")</f>
        <v>John McDonald</v>
      </c>
      <c r="E126" s="179" t="str">
        <f ca="1">IFERROR(__xludf.DUMMYFUNCTION("""COMPUTED_VALUE"""),"I have read and understand the confidentiality agreement for application reviewers.")</f>
        <v>I have read and understand the confidentiality agreement for application reviewers.</v>
      </c>
      <c r="F126" s="179" t="str">
        <f ca="1">IFERROR(__xludf.DUMMYFUNCTION("""COMPUTED_VALUE"""),"Culina Health")</f>
        <v>Culina Health</v>
      </c>
      <c r="G126" s="179" t="str">
        <f ca="1">IFERROR(__xludf.DUMMYFUNCTION("""COMPUTED_VALUE"""),"Nutrition app - pre series A")</f>
        <v>Nutrition app - pre series A</v>
      </c>
      <c r="H126" s="179">
        <f ca="1">IFERROR(__xludf.DUMMYFUNCTION("""COMPUTED_VALUE"""),4)</f>
        <v>4</v>
      </c>
      <c r="I126" s="179">
        <f ca="1">IFERROR(__xludf.DUMMYFUNCTION("""COMPUTED_VALUE"""),3)</f>
        <v>3</v>
      </c>
      <c r="J126" s="179">
        <f ca="1">IFERROR(__xludf.DUMMYFUNCTION("""COMPUTED_VALUE"""),4)</f>
        <v>4</v>
      </c>
      <c r="K126" s="179">
        <f ca="1">IFERROR(__xludf.DUMMYFUNCTION("""COMPUTED_VALUE"""),3)</f>
        <v>3</v>
      </c>
      <c r="L126" s="179"/>
      <c r="M126" s="179">
        <f ca="1">IFERROR(__xludf.DUMMYFUNCTION("""COMPUTED_VALUE"""),4)</f>
        <v>4</v>
      </c>
      <c r="N126" s="179">
        <f ca="1">IFERROR(__xludf.DUMMYFUNCTION("""COMPUTED_VALUE"""),4)</f>
        <v>4</v>
      </c>
      <c r="O126" s="179"/>
      <c r="P126" s="179">
        <f ca="1">IFERROR(__xludf.DUMMYFUNCTION("""COMPUTED_VALUE"""),4)</f>
        <v>4</v>
      </c>
      <c r="Q126" s="179">
        <f ca="1">IFERROR(__xludf.DUMMYFUNCTION("""COMPUTED_VALUE"""),3)</f>
        <v>3</v>
      </c>
      <c r="R126" s="179">
        <f ca="1">IFERROR(__xludf.DUMMYFUNCTION("""COMPUTED_VALUE"""),3)</f>
        <v>3</v>
      </c>
      <c r="S126" s="179"/>
      <c r="T126" s="179"/>
      <c r="U126" s="179" t="str">
        <f ca="1">IFERROR(__xludf.DUMMYFUNCTION("""COMPUTED_VALUE"""),"$0")</f>
        <v>$0</v>
      </c>
      <c r="V126" s="179">
        <f ca="1">IFERROR(__xludf.DUMMYFUNCTION("""COMPUTED_VALUE"""),4)</f>
        <v>4</v>
      </c>
      <c r="W126" s="179"/>
    </row>
    <row r="127" spans="1:23">
      <c r="A127" s="179" t="str">
        <f ca="1">IFERROR(__xludf.DUMMYFUNCTION("""COMPUTED_VALUE"""),"R")</f>
        <v>R</v>
      </c>
      <c r="B127" s="436">
        <f ca="1">IFERROR(__xludf.DUMMYFUNCTION("""COMPUTED_VALUE"""),44792.6740963773)</f>
        <v>44792.674096377297</v>
      </c>
      <c r="C127" s="179" t="str">
        <f ca="1">IFERROR(__xludf.DUMMYFUNCTION("""COMPUTED_VALUE"""),"jsy8879@stern.nyu.edu")</f>
        <v>jsy8879@stern.nyu.edu</v>
      </c>
      <c r="D127" s="179" t="str">
        <f ca="1">IFERROR(__xludf.DUMMYFUNCTION("""COMPUTED_VALUE"""),"Jason Yu")</f>
        <v>Jason Yu</v>
      </c>
      <c r="E127" s="179" t="str">
        <f ca="1">IFERROR(__xludf.DUMMYFUNCTION("""COMPUTED_VALUE"""),"I have read and understand the confidentiality agreement for application reviewers.")</f>
        <v>I have read and understand the confidentiality agreement for application reviewers.</v>
      </c>
      <c r="F127" s="179" t="str">
        <f ca="1">IFERROR(__xludf.DUMMYFUNCTION("""COMPUTED_VALUE"""),"Accelerate Wind")</f>
        <v>Accelerate Wind</v>
      </c>
      <c r="G127" s="179" t="str">
        <f ca="1">IFERROR(__xludf.DUMMYFUNCTION("""COMPUTED_VALUE"""),"Affordable wind turbines for commercial buildings / Sustainable Building /  Pre-seeding")</f>
        <v>Affordable wind turbines for commercial buildings / Sustainable Building /  Pre-seeding</v>
      </c>
      <c r="H127" s="179">
        <f ca="1">IFERROR(__xludf.DUMMYFUNCTION("""COMPUTED_VALUE"""),2)</f>
        <v>2</v>
      </c>
      <c r="I127" s="179">
        <f ca="1">IFERROR(__xludf.DUMMYFUNCTION("""COMPUTED_VALUE"""),1)</f>
        <v>1</v>
      </c>
      <c r="J127" s="179">
        <f ca="1">IFERROR(__xludf.DUMMYFUNCTION("""COMPUTED_VALUE"""),2)</f>
        <v>2</v>
      </c>
      <c r="K127" s="179">
        <f ca="1">IFERROR(__xludf.DUMMYFUNCTION("""COMPUTED_VALUE"""),2)</f>
        <v>2</v>
      </c>
      <c r="L127" s="179" t="str">
        <f ca="1">IFERROR(__xludf.DUMMYFUNCTION("""COMPUTED_VALUE"""),"Redesigned wind turbine")</f>
        <v>Redesigned wind turbine</v>
      </c>
      <c r="M127" s="179">
        <f ca="1">IFERROR(__xludf.DUMMYFUNCTION("""COMPUTED_VALUE"""),2)</f>
        <v>2</v>
      </c>
      <c r="N127" s="179">
        <f ca="1">IFERROR(__xludf.DUMMYFUNCTION("""COMPUTED_VALUE"""),1)</f>
        <v>1</v>
      </c>
      <c r="O127" s="179" t="str">
        <f ca="1">IFERROR(__xludf.DUMMYFUNCTION("""COMPUTED_VALUE"""),"Several other rooftop wind startups with similar concepts.")</f>
        <v>Several other rooftop wind startups with similar concepts.</v>
      </c>
      <c r="P127" s="179">
        <f ca="1">IFERROR(__xludf.DUMMYFUNCTION("""COMPUTED_VALUE"""),3)</f>
        <v>3</v>
      </c>
      <c r="Q127" s="179">
        <f ca="1">IFERROR(__xludf.DUMMYFUNCTION("""COMPUTED_VALUE"""),4)</f>
        <v>4</v>
      </c>
      <c r="R127" s="179">
        <f ca="1">IFERROR(__xludf.DUMMYFUNCTION("""COMPUTED_VALUE"""),4)</f>
        <v>4</v>
      </c>
      <c r="S127" s="179" t="str">
        <f ca="1">IFERROR(__xludf.DUMMYFUNCTION("""COMPUTED_VALUE"""),"Former energy engineer and Freelance Sustainability and Engineering Consultant")</f>
        <v>Former energy engineer and Freelance Sustainability and Engineering Consultant</v>
      </c>
      <c r="T127" s="179"/>
      <c r="U127" s="179" t="str">
        <f ca="1">IFERROR(__xludf.DUMMYFUNCTION("""COMPUTED_VALUE"""),"$1-$5M")</f>
        <v>$1-$5M</v>
      </c>
      <c r="V127" s="179">
        <f ca="1">IFERROR(__xludf.DUMMYFUNCTION("""COMPUTED_VALUE"""),3)</f>
        <v>3</v>
      </c>
      <c r="W127" s="179" t="str">
        <f ca="1">IFERROR(__xludf.DUMMYFUNCTION("""COMPUTED_VALUE"""),"Technology may be easy to replicate and there are already competitors in the market. Team appears to have the necessary experience to develop the technology.")</f>
        <v>Technology may be easy to replicate and there are already competitors in the market. Team appears to have the necessary experience to develop the technology.</v>
      </c>
    </row>
    <row r="128" spans="1:23">
      <c r="A128" s="179" t="str">
        <f ca="1">IFERROR(__xludf.DUMMYFUNCTION("""COMPUTED_VALUE"""),"R")</f>
        <v>R</v>
      </c>
      <c r="B128" s="436">
        <f ca="1">IFERROR(__xludf.DUMMYFUNCTION("""COMPUTED_VALUE"""),44792.6752007407)</f>
        <v>44792.675200740698</v>
      </c>
      <c r="C128" s="179" t="str">
        <f ca="1">IFERROR(__xludf.DUMMYFUNCTION("""COMPUTED_VALUE"""),"jm5201@stern.nyu.edu")</f>
        <v>jm5201@stern.nyu.edu</v>
      </c>
      <c r="D128" s="179" t="str">
        <f ca="1">IFERROR(__xludf.DUMMYFUNCTION("""COMPUTED_VALUE"""),"John McDonald")</f>
        <v>John McDonald</v>
      </c>
      <c r="E128" s="179" t="str">
        <f ca="1">IFERROR(__xludf.DUMMYFUNCTION("""COMPUTED_VALUE"""),"I have read and understand the confidentiality agreement for application reviewers.")</f>
        <v>I have read and understand the confidentiality agreement for application reviewers.</v>
      </c>
      <c r="F128" s="179" t="str">
        <f ca="1">IFERROR(__xludf.DUMMYFUNCTION("""COMPUTED_VALUE"""),"Datirium, LLC")</f>
        <v>Datirium, LLC</v>
      </c>
      <c r="G128" s="179" t="str">
        <f ca="1">IFERROR(__xludf.DUMMYFUNCTION("""COMPUTED_VALUE"""),"Bioinformatics data analysis platform")</f>
        <v>Bioinformatics data analysis platform</v>
      </c>
      <c r="H128" s="179">
        <f ca="1">IFERROR(__xludf.DUMMYFUNCTION("""COMPUTED_VALUE"""),4)</f>
        <v>4</v>
      </c>
      <c r="I128" s="179">
        <f ca="1">IFERROR(__xludf.DUMMYFUNCTION("""COMPUTED_VALUE"""),4)</f>
        <v>4</v>
      </c>
      <c r="J128" s="179">
        <f ca="1">IFERROR(__xludf.DUMMYFUNCTION("""COMPUTED_VALUE"""),4)</f>
        <v>4</v>
      </c>
      <c r="K128" s="179">
        <f ca="1">IFERROR(__xludf.DUMMYFUNCTION("""COMPUTED_VALUE"""),3)</f>
        <v>3</v>
      </c>
      <c r="L128" s="179"/>
      <c r="M128" s="179">
        <f ca="1">IFERROR(__xludf.DUMMYFUNCTION("""COMPUTED_VALUE"""),4)</f>
        <v>4</v>
      </c>
      <c r="N128" s="179">
        <f ca="1">IFERROR(__xludf.DUMMYFUNCTION("""COMPUTED_VALUE"""),3)</f>
        <v>3</v>
      </c>
      <c r="O128" s="179"/>
      <c r="P128" s="179">
        <f ca="1">IFERROR(__xludf.DUMMYFUNCTION("""COMPUTED_VALUE"""),3)</f>
        <v>3</v>
      </c>
      <c r="Q128" s="179">
        <f ca="1">IFERROR(__xludf.DUMMYFUNCTION("""COMPUTED_VALUE"""),3)</f>
        <v>3</v>
      </c>
      <c r="R128" s="179">
        <f ca="1">IFERROR(__xludf.DUMMYFUNCTION("""COMPUTED_VALUE"""),3)</f>
        <v>3</v>
      </c>
      <c r="S128" s="179"/>
      <c r="T128" s="179"/>
      <c r="U128" s="179" t="str">
        <f ca="1">IFERROR(__xludf.DUMMYFUNCTION("""COMPUTED_VALUE"""),"$0")</f>
        <v>$0</v>
      </c>
      <c r="V128" s="179">
        <f ca="1">IFERROR(__xludf.DUMMYFUNCTION("""COMPUTED_VALUE"""),3)</f>
        <v>3</v>
      </c>
      <c r="W128" s="179" t="str">
        <f ca="1">IFERROR(__xludf.DUMMYFUNCTION("""COMPUTED_VALUE"""),"Wants to raise money but not sure how much/when.  Most money raised thus far from NIH Grants")</f>
        <v>Wants to raise money but not sure how much/when.  Most money raised thus far from NIH Grants</v>
      </c>
    </row>
    <row r="129" spans="1:23">
      <c r="A129" s="179" t="str">
        <f ca="1">IFERROR(__xludf.DUMMYFUNCTION("""COMPUTED_VALUE"""),"R")</f>
        <v>R</v>
      </c>
      <c r="B129" s="436">
        <f ca="1">IFERROR(__xludf.DUMMYFUNCTION("""COMPUTED_VALUE"""),44792.6870751157)</f>
        <v>44792.687075115697</v>
      </c>
      <c r="C129" s="179" t="str">
        <f ca="1">IFERROR(__xludf.DUMMYFUNCTION("""COMPUTED_VALUE"""),"jsy8879@stern.nyu.edu")</f>
        <v>jsy8879@stern.nyu.edu</v>
      </c>
      <c r="D129" s="179" t="str">
        <f ca="1">IFERROR(__xludf.DUMMYFUNCTION("""COMPUTED_VALUE"""),"Jason Yu")</f>
        <v>Jason Yu</v>
      </c>
      <c r="E129" s="179" t="str">
        <f ca="1">IFERROR(__xludf.DUMMYFUNCTION("""COMPUTED_VALUE"""),"I have read and understand the confidentiality agreement for application reviewers.")</f>
        <v>I have read and understand the confidentiality agreement for application reviewers.</v>
      </c>
      <c r="F129" s="179" t="str">
        <f ca="1">IFERROR(__xludf.DUMMYFUNCTION("""COMPUTED_VALUE"""),"Wei Sun")</f>
        <v>Wei Sun</v>
      </c>
      <c r="G129" s="179" t="str">
        <f ca="1">IFERROR(__xludf.DUMMYFUNCTION("""COMPUTED_VALUE"""),"Smart infrastructure for local government / Transportation / Seed planning for Series A")</f>
        <v>Smart infrastructure for local government / Transportation / Seed planning for Series A</v>
      </c>
      <c r="H129" s="179">
        <f ca="1">IFERROR(__xludf.DUMMYFUNCTION("""COMPUTED_VALUE"""),3)</f>
        <v>3</v>
      </c>
      <c r="I129" s="179">
        <f ca="1">IFERROR(__xludf.DUMMYFUNCTION("""COMPUTED_VALUE"""),2)</f>
        <v>2</v>
      </c>
      <c r="J129" s="179">
        <f ca="1">IFERROR(__xludf.DUMMYFUNCTION("""COMPUTED_VALUE"""),1)</f>
        <v>1</v>
      </c>
      <c r="K129" s="179">
        <f ca="1">IFERROR(__xludf.DUMMYFUNCTION("""COMPUTED_VALUE"""),3)</f>
        <v>3</v>
      </c>
      <c r="L129" s="179" t="str">
        <f ca="1">IFERROR(__xludf.DUMMYFUNCTION("""COMPUTED_VALUE"""),"Actual technology is unclear. ""Hardware: highly integrated connected vehicle technology with sensing, computation, and communication all in one unit. Software: AI-based algorithms for traffic sensing, events detection, smart transportation solutions.|""")</f>
        <v>Actual technology is unclear. "Hardware: highly integrated connected vehicle technology with sensing, computation, and communication all in one unit. Software: AI-based algorithms for traffic sensing, events detection, smart transportation solutions.|"</v>
      </c>
      <c r="M129" s="179">
        <f ca="1">IFERROR(__xludf.DUMMYFUNCTION("""COMPUTED_VALUE"""),4)</f>
        <v>4</v>
      </c>
      <c r="N129" s="179">
        <f ca="1">IFERROR(__xludf.DUMMYFUNCTION("""COMPUTED_VALUE"""),1)</f>
        <v>1</v>
      </c>
      <c r="O129" s="179" t="str">
        <f ca="1">IFERROR(__xludf.DUMMYFUNCTION("""COMPUTED_VALUE"""),"Does not have any current customers. Competing against larger companies. There is a large market for self-driving vehicle technology.")</f>
        <v>Does not have any current customers. Competing against larger companies. There is a large market for self-driving vehicle technology.</v>
      </c>
      <c r="P129" s="179">
        <f ca="1">IFERROR(__xludf.DUMMYFUNCTION("""COMPUTED_VALUE"""),3)</f>
        <v>3</v>
      </c>
      <c r="Q129" s="179">
        <f ca="1">IFERROR(__xludf.DUMMYFUNCTION("""COMPUTED_VALUE"""),4)</f>
        <v>4</v>
      </c>
      <c r="R129" s="179">
        <f ca="1">IFERROR(__xludf.DUMMYFUNCTION("""COMPUTED_VALUE"""),3)</f>
        <v>3</v>
      </c>
      <c r="S129" s="179" t="str">
        <f ca="1">IFERROR(__xludf.DUMMYFUNCTION("""COMPUTED_VALUE"""),"Founders are PhD level transportation and civil engineers. Yinhai Wang is a Professor at the University of Washington and Director of PacTrans. The team is small consisting of 5 people with limited experience.")</f>
        <v>Founders are PhD level transportation and civil engineers. Yinhai Wang is a Professor at the University of Washington and Director of PacTrans. The team is small consisting of 5 people with limited experience.</v>
      </c>
      <c r="T129" s="437">
        <f ca="1">IFERROR(__xludf.DUMMYFUNCTION("""COMPUTED_VALUE"""),325000)</f>
        <v>325000</v>
      </c>
      <c r="U129" s="179" t="str">
        <f ca="1">IFERROR(__xludf.DUMMYFUNCTION("""COMPUTED_VALUE"""),"$1-$5M")</f>
        <v>$1-$5M</v>
      </c>
      <c r="V129" s="179">
        <f ca="1">IFERROR(__xludf.DUMMYFUNCTION("""COMPUTED_VALUE"""),2)</f>
        <v>2</v>
      </c>
      <c r="W129" s="179" t="str">
        <f ca="1">IFERROR(__xludf.DUMMYFUNCTION("""COMPUTED_VALUE"""),"Founded in November 2021. The technology/first product is licensed from University of Washington. The company claims the technology has been tested and used by many transportation agencies. Unclear what the technology actually is.")</f>
        <v>Founded in November 2021. The technology/first product is licensed from University of Washington. The company claims the technology has been tested and used by many transportation agencies. Unclear what the technology actually is.</v>
      </c>
    </row>
    <row r="130" spans="1:23">
      <c r="A130" s="179" t="str">
        <f ca="1">IFERROR(__xludf.DUMMYFUNCTION("""COMPUTED_VALUE"""),"R")</f>
        <v>R</v>
      </c>
      <c r="B130" s="436">
        <f ca="1">IFERROR(__xludf.DUMMYFUNCTION("""COMPUTED_VALUE"""),44792.6963721296)</f>
        <v>44792.696372129598</v>
      </c>
      <c r="C130" s="179" t="str">
        <f ca="1">IFERROR(__xludf.DUMMYFUNCTION("""COMPUTED_VALUE"""),"jm5201@stern.nyu.edu")</f>
        <v>jm5201@stern.nyu.edu</v>
      </c>
      <c r="D130" s="179" t="str">
        <f ca="1">IFERROR(__xludf.DUMMYFUNCTION("""COMPUTED_VALUE"""),"John McDonald")</f>
        <v>John McDonald</v>
      </c>
      <c r="E130" s="179" t="str">
        <f ca="1">IFERROR(__xludf.DUMMYFUNCTION("""COMPUTED_VALUE"""),"I have read and understand the confidentiality agreement for application reviewers.")</f>
        <v>I have read and understand the confidentiality agreement for application reviewers.</v>
      </c>
      <c r="F130" s="179" t="str">
        <f ca="1">IFERROR(__xludf.DUMMYFUNCTION("""COMPUTED_VALUE"""),"Deriskly")</f>
        <v>Deriskly</v>
      </c>
      <c r="G130" s="179" t="str">
        <f ca="1">IFERROR(__xludf.DUMMYFUNCTION("""COMPUTED_VALUE"""),"AI Litigation Dispute Prevention Platform - Pre seed")</f>
        <v>AI Litigation Dispute Prevention Platform - Pre seed</v>
      </c>
      <c r="H130" s="179">
        <f ca="1">IFERROR(__xludf.DUMMYFUNCTION("""COMPUTED_VALUE"""),3)</f>
        <v>3</v>
      </c>
      <c r="I130" s="179">
        <f ca="1">IFERROR(__xludf.DUMMYFUNCTION("""COMPUTED_VALUE"""),3)</f>
        <v>3</v>
      </c>
      <c r="J130" s="179">
        <f ca="1">IFERROR(__xludf.DUMMYFUNCTION("""COMPUTED_VALUE"""),3)</f>
        <v>3</v>
      </c>
      <c r="K130" s="179">
        <f ca="1">IFERROR(__xludf.DUMMYFUNCTION("""COMPUTED_VALUE"""),3)</f>
        <v>3</v>
      </c>
      <c r="L130" s="179"/>
      <c r="M130" s="179">
        <f ca="1">IFERROR(__xludf.DUMMYFUNCTION("""COMPUTED_VALUE"""),3)</f>
        <v>3</v>
      </c>
      <c r="N130" s="179">
        <f ca="1">IFERROR(__xludf.DUMMYFUNCTION("""COMPUTED_VALUE"""),2)</f>
        <v>2</v>
      </c>
      <c r="O130" s="179"/>
      <c r="P130" s="179">
        <f ca="1">IFERROR(__xludf.DUMMYFUNCTION("""COMPUTED_VALUE"""),3)</f>
        <v>3</v>
      </c>
      <c r="Q130" s="179">
        <f ca="1">IFERROR(__xludf.DUMMYFUNCTION("""COMPUTED_VALUE"""),3)</f>
        <v>3</v>
      </c>
      <c r="R130" s="179">
        <f ca="1">IFERROR(__xludf.DUMMYFUNCTION("""COMPUTED_VALUE"""),2)</f>
        <v>2</v>
      </c>
      <c r="S130" s="179"/>
      <c r="T130" s="179"/>
      <c r="U130" s="179" t="str">
        <f ca="1">IFERROR(__xludf.DUMMYFUNCTION("""COMPUTED_VALUE"""),"$1-$5M")</f>
        <v>$1-$5M</v>
      </c>
      <c r="V130" s="179">
        <f ca="1">IFERROR(__xludf.DUMMYFUNCTION("""COMPUTED_VALUE"""),3)</f>
        <v>3</v>
      </c>
      <c r="W130" s="179"/>
    </row>
    <row r="131" spans="1:23">
      <c r="A131" s="179" t="str">
        <f ca="1">IFERROR(__xludf.DUMMYFUNCTION("""COMPUTED_VALUE"""),"R")</f>
        <v>R</v>
      </c>
      <c r="B131" s="436">
        <f ca="1">IFERROR(__xludf.DUMMYFUNCTION("""COMPUTED_VALUE"""),44792.7013390277)</f>
        <v>44792.701339027699</v>
      </c>
      <c r="C131" s="179" t="str">
        <f ca="1">IFERROR(__xludf.DUMMYFUNCTION("""COMPUTED_VALUE"""),"ahmed.bahgat@stern.nyu.edu")</f>
        <v>ahmed.bahgat@stern.nyu.edu</v>
      </c>
      <c r="D131" s="179" t="str">
        <f ca="1">IFERROR(__xludf.DUMMYFUNCTION("""COMPUTED_VALUE"""),"Ahmed Bahgat")</f>
        <v>Ahmed Bahgat</v>
      </c>
      <c r="E131" s="179" t="str">
        <f ca="1">IFERROR(__xludf.DUMMYFUNCTION("""COMPUTED_VALUE"""),"I have read and understand the confidentiality agreement for application reviewers.")</f>
        <v>I have read and understand the confidentiality agreement for application reviewers.</v>
      </c>
      <c r="F131" s="179" t="str">
        <f ca="1">IFERROR(__xludf.DUMMYFUNCTION("""COMPUTED_VALUE"""),"Seccuri")</f>
        <v>Seccuri</v>
      </c>
      <c r="G131" s="179" t="str">
        <f ca="1">IFERROR(__xludf.DUMMYFUNCTION("""COMPUTED_VALUE"""),"Cybersecurity Talent platform - smart matching between companies' required job positions and top cybersecurity talent using an AI algorithm and increases the cyber talent pool by providing access to training and certifications all in one place. AI solutio"&amp;"n to recruiting is not new but this use case specializing in cybersecurity can be.")</f>
        <v>Cybersecurity Talent platform - smart matching between companies' required job positions and top cybersecurity talent using an AI algorithm and increases the cyber talent pool by providing access to training and certifications all in one place. AI solution to recruiting is not new but this use case specializing in cybersecurity can be.</v>
      </c>
      <c r="H131" s="179">
        <f ca="1">IFERROR(__xludf.DUMMYFUNCTION("""COMPUTED_VALUE"""),4)</f>
        <v>4</v>
      </c>
      <c r="I131" s="179">
        <f ca="1">IFERROR(__xludf.DUMMYFUNCTION("""COMPUTED_VALUE"""),3)</f>
        <v>3</v>
      </c>
      <c r="J131" s="179">
        <f ca="1">IFERROR(__xludf.DUMMYFUNCTION("""COMPUTED_VALUE"""),5)</f>
        <v>5</v>
      </c>
      <c r="K131" s="179">
        <f ca="1">IFERROR(__xludf.DUMMYFUNCTION("""COMPUTED_VALUE"""),2)</f>
        <v>2</v>
      </c>
      <c r="L131" s="179" t="str">
        <f ca="1">IFERROR(__xludf.DUMMYFUNCTION("""COMPUTED_VALUE"""),"Technology solution is Subscription profile-based model. Differentiator is that its both smart matching of cybersecurity talent and expansion of the cybersecurity talent pool. That is its a cybersecurity ecosystem of talent, training, and job opportunitie"&amp;"s.
No Patent yet: will ""patent our ML/AI algorithm once we have all domains that feed the algorithm""")</f>
        <v>Technology solution is Subscription profile-based model. Differentiator is that its both smart matching of cybersecurity talent and expansion of the cybersecurity talent pool. That is its a cybersecurity ecosystem of talent, training, and job opportunities.
No Patent yet: will "patent our ML/AI algorithm once we have all domains that feed the algorithm"</v>
      </c>
      <c r="M131" s="179">
        <f ca="1">IFERROR(__xludf.DUMMYFUNCTION("""COMPUTED_VALUE"""),4)</f>
        <v>4</v>
      </c>
      <c r="N131" s="179">
        <f ca="1">IFERROR(__xludf.DUMMYFUNCTION("""COMPUTED_VALUE"""),5)</f>
        <v>5</v>
      </c>
      <c r="O131" s="179" t="str">
        <f ca="1">IFERROR(__xludf.DUMMYFUNCTION("""COMPUTED_VALUE"""),"Target market broadly defined ""SOM of $500k in the first year of operation; $5.5B SAM, of existing Cybersecurity talent placement and training, and a $20B TAM"". Further market research can be done to determine optimal cybersecurity customers (talent &amp; e"&amp;"mployers) for this solution.")</f>
        <v>Target market broadly defined "SOM of $500k in the first year of operation; $5.5B SAM, of existing Cybersecurity talent placement and training, and a $20B TAM". Further market research can be done to determine optimal cybersecurity customers (talent &amp; employers) for this solution.</v>
      </c>
      <c r="P131" s="179">
        <f ca="1">IFERROR(__xludf.DUMMYFUNCTION("""COMPUTED_VALUE"""),5)</f>
        <v>5</v>
      </c>
      <c r="Q131" s="179">
        <f ca="1">IFERROR(__xludf.DUMMYFUNCTION("""COMPUTED_VALUE"""),3)</f>
        <v>3</v>
      </c>
      <c r="R131" s="179">
        <f ca="1">IFERROR(__xludf.DUMMYFUNCTION("""COMPUTED_VALUE"""),5)</f>
        <v>5</v>
      </c>
      <c r="S131" s="179" t="str">
        <f ca="1">IFERROR(__xludf.DUMMYFUNCTION("""COMPUTED_VALUE"""),"Strong vision with a solid team in a very competitive market.")</f>
        <v>Strong vision with a solid team in a very competitive market.</v>
      </c>
      <c r="T131" s="179"/>
      <c r="U131" s="179" t="str">
        <f ca="1">IFERROR(__xludf.DUMMYFUNCTION("""COMPUTED_VALUE"""),"$1-$5M")</f>
        <v>$1-$5M</v>
      </c>
      <c r="V131" s="179">
        <f ca="1">IFERROR(__xludf.DUMMYFUNCTION("""COMPUTED_VALUE"""),4)</f>
        <v>4</v>
      </c>
      <c r="W131" s="179" t="str">
        <f ca="1">IFERROR(__xludf.DUMMYFUNCTION("""COMPUTED_VALUE"""),"Great team with a specialized product in a competitive market. Looking for help in acquiring customers (talent &amp; employers) to build a strong network effect. It seems well-positioned to benefit from EFL.")</f>
        <v>Great team with a specialized product in a competitive market. Looking for help in acquiring customers (talent &amp; employers) to build a strong network effect. It seems well-positioned to benefit from EFL.</v>
      </c>
    </row>
    <row r="132" spans="1:23">
      <c r="A132" s="179" t="str">
        <f ca="1">IFERROR(__xludf.DUMMYFUNCTION("""COMPUTED_VALUE"""),"R")</f>
        <v>R</v>
      </c>
      <c r="B132" s="436">
        <f ca="1">IFERROR(__xludf.DUMMYFUNCTION("""COMPUTED_VALUE"""),44792.701978449)</f>
        <v>44792.701978448997</v>
      </c>
      <c r="C132" s="179" t="str">
        <f ca="1">IFERROR(__xludf.DUMMYFUNCTION("""COMPUTED_VALUE"""),"jsy8879@stern.nyu.edu")</f>
        <v>jsy8879@stern.nyu.edu</v>
      </c>
      <c r="D132" s="179" t="str">
        <f ca="1">IFERROR(__xludf.DUMMYFUNCTION("""COMPUTED_VALUE"""),"Jason Yu")</f>
        <v>Jason Yu</v>
      </c>
      <c r="E132" s="179" t="str">
        <f ca="1">IFERROR(__xludf.DUMMYFUNCTION("""COMPUTED_VALUE"""),"I have read and understand the confidentiality agreement for application reviewers.")</f>
        <v>I have read and understand the confidentiality agreement for application reviewers.</v>
      </c>
      <c r="F132" s="179" t="str">
        <f ca="1">IFERROR(__xludf.DUMMYFUNCTION("""COMPUTED_VALUE"""),"AIXSCAN")</f>
        <v>AIXSCAN</v>
      </c>
      <c r="G132" s="179" t="str">
        <f ca="1">IFERROR(__xludf.DUMMYFUNCTION("""COMPUTED_VALUE"""),"Combines digital radiography and computerized tomography / Healthcare / Series A")</f>
        <v>Combines digital radiography and computerized tomography / Healthcare / Series A</v>
      </c>
      <c r="H132" s="179">
        <f ca="1">IFERROR(__xludf.DUMMYFUNCTION("""COMPUTED_VALUE"""),4)</f>
        <v>4</v>
      </c>
      <c r="I132" s="179">
        <f ca="1">IFERROR(__xludf.DUMMYFUNCTION("""COMPUTED_VALUE"""),4)</f>
        <v>4</v>
      </c>
      <c r="J132" s="179">
        <f ca="1">IFERROR(__xludf.DUMMYFUNCTION("""COMPUTED_VALUE"""),5)</f>
        <v>5</v>
      </c>
      <c r="K132" s="179">
        <f ca="1">IFERROR(__xludf.DUMMYFUNCTION("""COMPUTED_VALUE"""),5)</f>
        <v>5</v>
      </c>
      <c r="L132" s="179" t="str">
        <f ca="1">IFERROR(__xludf.DUMMYFUNCTION("""COMPUTED_VALUE"""),"Minimum Viable Product: Initial testing in our own lab - Chest Phantom N1 Lungman||Milestones achieved:|1. Proof of concept complete|2. Prototype imaging system complete|3. Prototype feature imaging system prototype complete|")</f>
        <v>Minimum Viable Product: Initial testing in our own lab - Chest Phantom N1 Lungman||Milestones achieved:|1. Proof of concept complete|2. Prototype imaging system complete|3. Prototype feature imaging system prototype complete|</v>
      </c>
      <c r="M132" s="179">
        <f ca="1">IFERROR(__xludf.DUMMYFUNCTION("""COMPUTED_VALUE"""),4)</f>
        <v>4</v>
      </c>
      <c r="N132" s="179">
        <f ca="1">IFERROR(__xludf.DUMMYFUNCTION("""COMPUTED_VALUE"""),1)</f>
        <v>1</v>
      </c>
      <c r="O132" s="179" t="str">
        <f ca="1">IFERROR(__xludf.DUMMYFUNCTION("""COMPUTED_VALUE"""),"Assuming the market would be hospitals and clinics.")</f>
        <v>Assuming the market would be hospitals and clinics.</v>
      </c>
      <c r="P132" s="179">
        <f ca="1">IFERROR(__xludf.DUMMYFUNCTION("""COMPUTED_VALUE"""),4)</f>
        <v>4</v>
      </c>
      <c r="Q132" s="179">
        <f ca="1">IFERROR(__xludf.DUMMYFUNCTION("""COMPUTED_VALUE"""),5)</f>
        <v>5</v>
      </c>
      <c r="R132" s="179">
        <f ca="1">IFERROR(__xludf.DUMMYFUNCTION("""COMPUTED_VALUE"""),5)</f>
        <v>5</v>
      </c>
      <c r="S132" s="179" t="str">
        <f ca="1">IFERROR(__xludf.DUMMYFUNCTION("""COMPUTED_VALUE"""),"First start up but experienced founding team")</f>
        <v>First start up but experienced founding team</v>
      </c>
      <c r="T132" s="437">
        <f ca="1">IFERROR(__xludf.DUMMYFUNCTION("""COMPUTED_VALUE"""),10200000)</f>
        <v>10200000</v>
      </c>
      <c r="U132" s="179" t="str">
        <f ca="1">IFERROR(__xludf.DUMMYFUNCTION("""COMPUTED_VALUE"""),"&gt;$5M")</f>
        <v>&gt;$5M</v>
      </c>
      <c r="V132" s="179">
        <f ca="1">IFERROR(__xludf.DUMMYFUNCTION("""COMPUTED_VALUE"""),5)</f>
        <v>5</v>
      </c>
      <c r="W132" s="179" t="str">
        <f ca="1">IFERROR(__xludf.DUMMYFUNCTION("""COMPUTED_VALUE"""),"Viable and proven product. Their current goal is following funding, build a batch of our imaging technology platform and sell them at a preferred rate to leading institutions.")</f>
        <v>Viable and proven product. Their current goal is following funding, build a batch of our imaging technology platform and sell them at a preferred rate to leading institutions.</v>
      </c>
    </row>
    <row r="133" spans="1:23">
      <c r="A133" s="179" t="str">
        <f ca="1">IFERROR(__xludf.DUMMYFUNCTION("""COMPUTED_VALUE"""),"R")</f>
        <v>R</v>
      </c>
      <c r="B133" s="436">
        <f ca="1">IFERROR(__xludf.DUMMYFUNCTION("""COMPUTED_VALUE"""),44792.7057538888)</f>
        <v>44792.705753888797</v>
      </c>
      <c r="C133" s="179" t="str">
        <f ca="1">IFERROR(__xludf.DUMMYFUNCTION("""COMPUTED_VALUE"""),"jsy8879@stern.nyu.edu")</f>
        <v>jsy8879@stern.nyu.edu</v>
      </c>
      <c r="D133" s="179" t="str">
        <f ca="1">IFERROR(__xludf.DUMMYFUNCTION("""COMPUTED_VALUE"""),"Jason Yu")</f>
        <v>Jason Yu</v>
      </c>
      <c r="E133" s="179" t="str">
        <f ca="1">IFERROR(__xludf.DUMMYFUNCTION("""COMPUTED_VALUE"""),"I have read and understand the confidentiality agreement for application reviewers.")</f>
        <v>I have read and understand the confidentiality agreement for application reviewers.</v>
      </c>
      <c r="F133" s="179" t="str">
        <f ca="1">IFERROR(__xludf.DUMMYFUNCTION("""COMPUTED_VALUE"""),"Alva Health, Inc.")</f>
        <v>Alva Health, Inc.</v>
      </c>
      <c r="G133" s="179" t="str">
        <f ca="1">IFERROR(__xludf.DUMMYFUNCTION("""COMPUTED_VALUE"""),"wearable neuromonitoring platform / Healthcare / Pre-seed Grants")</f>
        <v>wearable neuromonitoring platform / Healthcare / Pre-seed Grants</v>
      </c>
      <c r="H133" s="179">
        <f ca="1">IFERROR(__xludf.DUMMYFUNCTION("""COMPUTED_VALUE"""),4)</f>
        <v>4</v>
      </c>
      <c r="I133" s="179">
        <f ca="1">IFERROR(__xludf.DUMMYFUNCTION("""COMPUTED_VALUE"""),4)</f>
        <v>4</v>
      </c>
      <c r="J133" s="179">
        <f ca="1">IFERROR(__xludf.DUMMYFUNCTION("""COMPUTED_VALUE"""),5)</f>
        <v>5</v>
      </c>
      <c r="K133" s="179">
        <f ca="1">IFERROR(__xludf.DUMMYFUNCTION("""COMPUTED_VALUE"""),2)</f>
        <v>2</v>
      </c>
      <c r="L133" s="179" t="str">
        <f ca="1">IFERROR(__xludf.DUMMYFUNCTION("""COMPUTED_VALUE"""),"Yale University owns the core IP, and Alva Health has an exclusive license to the Intellectual
Property since 2021.")</f>
        <v>Yale University owns the core IP, and Alva Health has an exclusive license to the Intellectual
Property since 2021.</v>
      </c>
      <c r="M133" s="179">
        <f ca="1">IFERROR(__xludf.DUMMYFUNCTION("""COMPUTED_VALUE"""),5)</f>
        <v>5</v>
      </c>
      <c r="N133" s="179">
        <f ca="1">IFERROR(__xludf.DUMMYFUNCTION("""COMPUTED_VALUE"""),1)</f>
        <v>1</v>
      </c>
      <c r="O133" s="179" t="str">
        <f ca="1">IFERROR(__xludf.DUMMYFUNCTION("""COMPUTED_VALUE"""),"""We will pursue a dedicated CPT code for health insurance reimbursement. While the CPT work is underway, the company will pursue individual contracts with value-based health plans, Medicare Advantage plans and integrated delivery networks.""")</f>
        <v>"We will pursue a dedicated CPT code for health insurance reimbursement. While the CPT work is underway, the company will pursue individual contracts with value-based health plans, Medicare Advantage plans and integrated delivery networks."</v>
      </c>
      <c r="P133" s="179">
        <f ca="1">IFERROR(__xludf.DUMMYFUNCTION("""COMPUTED_VALUE"""),4)</f>
        <v>4</v>
      </c>
      <c r="Q133" s="179">
        <f ca="1">IFERROR(__xludf.DUMMYFUNCTION("""COMPUTED_VALUE"""),5)</f>
        <v>5</v>
      </c>
      <c r="R133" s="179">
        <f ca="1">IFERROR(__xludf.DUMMYFUNCTION("""COMPUTED_VALUE"""),5)</f>
        <v>5</v>
      </c>
      <c r="S133" s="179" t="str">
        <f ca="1">IFERROR(__xludf.DUMMYFUNCTION("""COMPUTED_VALUE"""),"First startup for all founders but very experienced in their fields.")</f>
        <v>First startup for all founders but very experienced in their fields.</v>
      </c>
      <c r="T133" s="437">
        <f ca="1">IFERROR(__xludf.DUMMYFUNCTION("""COMPUTED_VALUE"""),2700000)</f>
        <v>2700000</v>
      </c>
      <c r="U133" s="179" t="str">
        <f ca="1">IFERROR(__xludf.DUMMYFUNCTION("""COMPUTED_VALUE"""),"$1-$5M")</f>
        <v>$1-$5M</v>
      </c>
      <c r="V133" s="179">
        <f ca="1">IFERROR(__xludf.DUMMYFUNCTION("""COMPUTED_VALUE"""),5)</f>
        <v>5</v>
      </c>
      <c r="W133" s="179" t="str">
        <f ca="1">IFERROR(__xludf.DUMMYFUNCTION("""COMPUTED_VALUE"""),"Experienced founders. Affiliated with a number of other startup programs. Viable product. ""Currently, the biggest obstacle to our success is related to supply chain issues that could cause manufacturing delays, due to shortages in electronic components."&amp;"""")</f>
        <v>Experienced founders. Affiliated with a number of other startup programs. Viable product. "Currently, the biggest obstacle to our success is related to supply chain issues that could cause manufacturing delays, due to shortages in electronic components."</v>
      </c>
    </row>
    <row r="134" spans="1:23">
      <c r="A134" s="179" t="str">
        <f ca="1">IFERROR(__xludf.DUMMYFUNCTION("""COMPUTED_VALUE"""),"R")</f>
        <v>R</v>
      </c>
      <c r="B134" s="436">
        <f ca="1">IFERROR(__xludf.DUMMYFUNCTION("""COMPUTED_VALUE"""),44792.72173353)</f>
        <v>44792.721733530001</v>
      </c>
      <c r="C134" s="179" t="str">
        <f ca="1">IFERROR(__xludf.DUMMYFUNCTION("""COMPUTED_VALUE"""),"jsy8879@stern.nyu.edu")</f>
        <v>jsy8879@stern.nyu.edu</v>
      </c>
      <c r="D134" s="179" t="str">
        <f ca="1">IFERROR(__xludf.DUMMYFUNCTION("""COMPUTED_VALUE"""),"Jason Yu")</f>
        <v>Jason Yu</v>
      </c>
      <c r="E134" s="179" t="str">
        <f ca="1">IFERROR(__xludf.DUMMYFUNCTION("""COMPUTED_VALUE"""),"I have read and understand the confidentiality agreement for application reviewers.")</f>
        <v>I have read and understand the confidentiality agreement for application reviewers.</v>
      </c>
      <c r="F134" s="179" t="str">
        <f ca="1">IFERROR(__xludf.DUMMYFUNCTION("""COMPUTED_VALUE"""),"Beegol Corp")</f>
        <v>Beegol Corp</v>
      </c>
      <c r="G134" s="179" t="str">
        <f ca="1">IFERROR(__xludf.DUMMYFUNCTION("""COMPUTED_VALUE"""),"Telemetry agent for broadband internet providers / Network Monitoring / Series A")</f>
        <v>Telemetry agent for broadband internet providers / Network Monitoring / Series A</v>
      </c>
      <c r="H134" s="179">
        <f ca="1">IFERROR(__xludf.DUMMYFUNCTION("""COMPUTED_VALUE"""),4)</f>
        <v>4</v>
      </c>
      <c r="I134" s="179">
        <f ca="1">IFERROR(__xludf.DUMMYFUNCTION("""COMPUTED_VALUE"""),4)</f>
        <v>4</v>
      </c>
      <c r="J134" s="179">
        <f ca="1">IFERROR(__xludf.DUMMYFUNCTION("""COMPUTED_VALUE"""),4)</f>
        <v>4</v>
      </c>
      <c r="K134" s="179">
        <f ca="1">IFERROR(__xludf.DUMMYFUNCTION("""COMPUTED_VALUE"""),3)</f>
        <v>3</v>
      </c>
      <c r="L134" s="179" t="str">
        <f ca="1">IFERROR(__xludf.DUMMYFUNCTION("""COMPUTED_VALUE"""),"Tested it in real-world pilots with thousands of modems")</f>
        <v>Tested it in real-world pilots with thousands of modems</v>
      </c>
      <c r="M134" s="179">
        <f ca="1">IFERROR(__xludf.DUMMYFUNCTION("""COMPUTED_VALUE"""),4)</f>
        <v>4</v>
      </c>
      <c r="N134" s="179">
        <f ca="1">IFERROR(__xludf.DUMMYFUNCTION("""COMPUTED_VALUE"""),5)</f>
        <v>5</v>
      </c>
      <c r="O134" s="179" t="str">
        <f ca="1">IFERROR(__xludf.DUMMYFUNCTION("""COMPUTED_VALUE"""),"ARR $1,200,000 (MRR $100,000) consisting of recurring revenue contracts and one-shot contracts.")</f>
        <v>ARR $1,200,000 (MRR $100,000) consisting of recurring revenue contracts and one-shot contracts.</v>
      </c>
      <c r="P134" s="179">
        <f ca="1">IFERROR(__xludf.DUMMYFUNCTION("""COMPUTED_VALUE"""),3)</f>
        <v>3</v>
      </c>
      <c r="Q134" s="179">
        <f ca="1">IFERROR(__xludf.DUMMYFUNCTION("""COMPUTED_VALUE"""),4)</f>
        <v>4</v>
      </c>
      <c r="R134" s="179">
        <f ca="1">IFERROR(__xludf.DUMMYFUNCTION("""COMPUTED_VALUE"""),5)</f>
        <v>5</v>
      </c>
      <c r="S134" s="179" t="str">
        <f ca="1">IFERROR(__xludf.DUMMYFUNCTION("""COMPUTED_VALUE"""),"Experienced founders and C-suites team.")</f>
        <v>Experienced founders and C-suites team.</v>
      </c>
      <c r="T134" s="437">
        <f ca="1">IFERROR(__xludf.DUMMYFUNCTION("""COMPUTED_VALUE"""),2300000)</f>
        <v>2300000</v>
      </c>
      <c r="U134" s="179" t="str">
        <f ca="1">IFERROR(__xludf.DUMMYFUNCTION("""COMPUTED_VALUE"""),"&gt;$5M")</f>
        <v>&gt;$5M</v>
      </c>
      <c r="V134" s="179">
        <f ca="1">IFERROR(__xludf.DUMMYFUNCTION("""COMPUTED_VALUE"""),5)</f>
        <v>5</v>
      </c>
      <c r="W134" s="179" t="str">
        <f ca="1">IFERROR(__xludf.DUMMYFUNCTION("""COMPUTED_VALUE"""),"Tested product. The company is looking to scale. ""The main risk for our success is our capacity to deliver perfect execution if we engage too many clients at the same time.""")</f>
        <v>Tested product. The company is looking to scale. "The main risk for our success is our capacity to deliver perfect execution if we engage too many clients at the same time."</v>
      </c>
    </row>
    <row r="135" spans="1:23">
      <c r="A135" s="179" t="str">
        <f ca="1">IFERROR(__xludf.DUMMYFUNCTION("""COMPUTED_VALUE"""),"R")</f>
        <v>R</v>
      </c>
      <c r="B135" s="436">
        <f ca="1">IFERROR(__xludf.DUMMYFUNCTION("""COMPUTED_VALUE"""),44792.7283450231)</f>
        <v>44792.728345023097</v>
      </c>
      <c r="C135" s="179" t="str">
        <f ca="1">IFERROR(__xludf.DUMMYFUNCTION("""COMPUTED_VALUE"""),"jsy8879@stern.nyu.edu")</f>
        <v>jsy8879@stern.nyu.edu</v>
      </c>
      <c r="D135" s="179" t="str">
        <f ca="1">IFERROR(__xludf.DUMMYFUNCTION("""COMPUTED_VALUE"""),"Jason Yu")</f>
        <v>Jason Yu</v>
      </c>
      <c r="E135" s="179" t="str">
        <f ca="1">IFERROR(__xludf.DUMMYFUNCTION("""COMPUTED_VALUE"""),"I have read and understand the confidentiality agreement for application reviewers.")</f>
        <v>I have read and understand the confidentiality agreement for application reviewers.</v>
      </c>
      <c r="F135" s="179" t="str">
        <f ca="1">IFERROR(__xludf.DUMMYFUNCTION("""COMPUTED_VALUE"""),"Behamics")</f>
        <v>Behamics</v>
      </c>
      <c r="G135" s="179" t="str">
        <f ca="1">IFERROR(__xludf.DUMMYFUNCTION("""COMPUTED_VALUE"""),"prevents cart abandonment in online stores / ecommerce / Pre-Seed")</f>
        <v>prevents cart abandonment in online stores / ecommerce / Pre-Seed</v>
      </c>
      <c r="H135" s="179">
        <f ca="1">IFERROR(__xludf.DUMMYFUNCTION("""COMPUTED_VALUE"""),5)</f>
        <v>5</v>
      </c>
      <c r="I135" s="179">
        <f ca="1">IFERROR(__xludf.DUMMYFUNCTION("""COMPUTED_VALUE"""),2)</f>
        <v>2</v>
      </c>
      <c r="J135" s="179">
        <f ca="1">IFERROR(__xludf.DUMMYFUNCTION("""COMPUTED_VALUE"""),4)</f>
        <v>4</v>
      </c>
      <c r="K135" s="179">
        <f ca="1">IFERROR(__xludf.DUMMYFUNCTION("""COMPUTED_VALUE"""),2)</f>
        <v>2</v>
      </c>
      <c r="L135" s="179" t="str">
        <f ca="1">IFERROR(__xludf.DUMMYFUNCTION("""COMPUTED_VALUE"""),"Developing an AI that can explain why issues are happening for the individual consumer during the shopping experience.")</f>
        <v>Developing an AI that can explain why issues are happening for the individual consumer during the shopping experience.</v>
      </c>
      <c r="M135" s="179">
        <f ca="1">IFERROR(__xludf.DUMMYFUNCTION("""COMPUTED_VALUE"""),5)</f>
        <v>5</v>
      </c>
      <c r="N135" s="179">
        <f ca="1">IFERROR(__xludf.DUMMYFUNCTION("""COMPUTED_VALUE"""),5)</f>
        <v>5</v>
      </c>
      <c r="O135" s="179" t="str">
        <f ca="1">IFERROR(__xludf.DUMMYFUNCTION("""COMPUTED_VALUE"""),"+100k MRR in revenue and 51-200 customers. ")</f>
        <v xml:space="preserve">+100k MRR in revenue and 51-200 customers. </v>
      </c>
      <c r="P135" s="179">
        <f ca="1">IFERROR(__xludf.DUMMYFUNCTION("""COMPUTED_VALUE"""),4)</f>
        <v>4</v>
      </c>
      <c r="Q135" s="179">
        <f ca="1">IFERROR(__xludf.DUMMYFUNCTION("""COMPUTED_VALUE"""),5)</f>
        <v>5</v>
      </c>
      <c r="R135" s="179">
        <f ca="1">IFERROR(__xludf.DUMMYFUNCTION("""COMPUTED_VALUE"""),5)</f>
        <v>5</v>
      </c>
      <c r="S135" s="179" t="str">
        <f ca="1">IFERROR(__xludf.DUMMYFUNCTION("""COMPUTED_VALUE"""),"experienced founders with a 14 member team")</f>
        <v>experienced founders with a 14 member team</v>
      </c>
      <c r="T135" s="437">
        <f ca="1">IFERROR(__xludf.DUMMYFUNCTION("""COMPUTED_VALUE"""),450000)</f>
        <v>450000</v>
      </c>
      <c r="U135" s="179" t="str">
        <f ca="1">IFERROR(__xludf.DUMMYFUNCTION("""COMPUTED_VALUE"""),"$500K-$1M")</f>
        <v>$500K-$1M</v>
      </c>
      <c r="V135" s="179">
        <f ca="1">IFERROR(__xludf.DUMMYFUNCTION("""COMPUTED_VALUE"""),4)</f>
        <v>4</v>
      </c>
      <c r="W135" s="179" t="str">
        <f ca="1">IFERROR(__xludf.DUMMYFUNCTION("""COMPUTED_VALUE"""),"Appears to have a viable product and customers but there are a number of competitors in the space. ")</f>
        <v xml:space="preserve">Appears to have a viable product and customers but there are a number of competitors in the space. </v>
      </c>
    </row>
    <row r="136" spans="1:23">
      <c r="A136" s="179" t="str">
        <f ca="1">IFERROR(__xludf.DUMMYFUNCTION("""COMPUTED_VALUE"""),"R")</f>
        <v>R</v>
      </c>
      <c r="B136" s="436">
        <f ca="1">IFERROR(__xludf.DUMMYFUNCTION("""COMPUTED_VALUE"""),44792.731751331)</f>
        <v>44792.731751330997</v>
      </c>
      <c r="C136" s="179" t="str">
        <f ca="1">IFERROR(__xludf.DUMMYFUNCTION("""COMPUTED_VALUE"""),"jm5201@stern.nyu.edu")</f>
        <v>jm5201@stern.nyu.edu</v>
      </c>
      <c r="D136" s="179" t="str">
        <f ca="1">IFERROR(__xludf.DUMMYFUNCTION("""COMPUTED_VALUE"""),"John McDonald")</f>
        <v>John McDonald</v>
      </c>
      <c r="E136" s="179" t="str">
        <f ca="1">IFERROR(__xludf.DUMMYFUNCTION("""COMPUTED_VALUE"""),"I have read and understand the confidentiality agreement for application reviewers.")</f>
        <v>I have read and understand the confidentiality agreement for application reviewers.</v>
      </c>
      <c r="F136" s="179" t="str">
        <f ca="1">IFERROR(__xludf.DUMMYFUNCTION("""COMPUTED_VALUE"""),"EASEEbot")</f>
        <v>EASEEbot</v>
      </c>
      <c r="G136" s="179" t="str">
        <f ca="1">IFERROR(__xludf.DUMMYFUNCTION("""COMPUTED_VALUE"""),"Roof and Facade inspection scans")</f>
        <v>Roof and Facade inspection scans</v>
      </c>
      <c r="H136" s="179">
        <f ca="1">IFERROR(__xludf.DUMMYFUNCTION("""COMPUTED_VALUE"""),2)</f>
        <v>2</v>
      </c>
      <c r="I136" s="179">
        <f ca="1">IFERROR(__xludf.DUMMYFUNCTION("""COMPUTED_VALUE"""),2)</f>
        <v>2</v>
      </c>
      <c r="J136" s="179">
        <f ca="1">IFERROR(__xludf.DUMMYFUNCTION("""COMPUTED_VALUE"""),3)</f>
        <v>3</v>
      </c>
      <c r="K136" s="179">
        <f ca="1">IFERROR(__xludf.DUMMYFUNCTION("""COMPUTED_VALUE"""),3)</f>
        <v>3</v>
      </c>
      <c r="L136" s="179"/>
      <c r="M136" s="179">
        <f ca="1">IFERROR(__xludf.DUMMYFUNCTION("""COMPUTED_VALUE"""),4)</f>
        <v>4</v>
      </c>
      <c r="N136" s="179">
        <f ca="1">IFERROR(__xludf.DUMMYFUNCTION("""COMPUTED_VALUE"""),1)</f>
        <v>1</v>
      </c>
      <c r="O136" s="179"/>
      <c r="P136" s="179">
        <f ca="1">IFERROR(__xludf.DUMMYFUNCTION("""COMPUTED_VALUE"""),3)</f>
        <v>3</v>
      </c>
      <c r="Q136" s="179">
        <f ca="1">IFERROR(__xludf.DUMMYFUNCTION("""COMPUTED_VALUE"""),3)</f>
        <v>3</v>
      </c>
      <c r="R136" s="179">
        <f ca="1">IFERROR(__xludf.DUMMYFUNCTION("""COMPUTED_VALUE"""),3)</f>
        <v>3</v>
      </c>
      <c r="S136" s="179"/>
      <c r="T136" s="179"/>
      <c r="U136" s="179" t="str">
        <f ca="1">IFERROR(__xludf.DUMMYFUNCTION("""COMPUTED_VALUE"""),"$500K-$1M")</f>
        <v>$500K-$1M</v>
      </c>
      <c r="V136" s="179">
        <f ca="1">IFERROR(__xludf.DUMMYFUNCTION("""COMPUTED_VALUE"""),3)</f>
        <v>3</v>
      </c>
      <c r="W136" s="179"/>
    </row>
    <row r="137" spans="1:23">
      <c r="A137" s="179" t="str">
        <f ca="1">IFERROR(__xludf.DUMMYFUNCTION("""COMPUTED_VALUE"""),"R")</f>
        <v>R</v>
      </c>
      <c r="B137" s="436">
        <f ca="1">IFERROR(__xludf.DUMMYFUNCTION("""COMPUTED_VALUE"""),44792.7352942361)</f>
        <v>44792.735294236103</v>
      </c>
      <c r="C137" s="179" t="str">
        <f ca="1">IFERROR(__xludf.DUMMYFUNCTION("""COMPUTED_VALUE"""),"jm5201@stern.nyu.edu")</f>
        <v>jm5201@stern.nyu.edu</v>
      </c>
      <c r="D137" s="179" t="str">
        <f ca="1">IFERROR(__xludf.DUMMYFUNCTION("""COMPUTED_VALUE"""),"John McDonald")</f>
        <v>John McDonald</v>
      </c>
      <c r="E137" s="179" t="str">
        <f ca="1">IFERROR(__xludf.DUMMYFUNCTION("""COMPUTED_VALUE"""),"I have read and understand the confidentiality agreement for application reviewers.")</f>
        <v>I have read and understand the confidentiality agreement for application reviewers.</v>
      </c>
      <c r="F137" s="179" t="str">
        <f ca="1">IFERROR(__xludf.DUMMYFUNCTION("""COMPUTED_VALUE"""),"Emani trading as Colective Quotient Ltd")</f>
        <v>Emani trading as Colective Quotient Ltd</v>
      </c>
      <c r="G137" s="179" t="str">
        <f ca="1">IFERROR(__xludf.DUMMYFUNCTION("""COMPUTED_VALUE"""),"Digital Tech data crowdsourcing - pre seed")</f>
        <v>Digital Tech data crowdsourcing - pre seed</v>
      </c>
      <c r="H137" s="179">
        <f ca="1">IFERROR(__xludf.DUMMYFUNCTION("""COMPUTED_VALUE"""),2)</f>
        <v>2</v>
      </c>
      <c r="I137" s="179">
        <f ca="1">IFERROR(__xludf.DUMMYFUNCTION("""COMPUTED_VALUE"""),2)</f>
        <v>2</v>
      </c>
      <c r="J137" s="179">
        <f ca="1">IFERROR(__xludf.DUMMYFUNCTION("""COMPUTED_VALUE"""),3)</f>
        <v>3</v>
      </c>
      <c r="K137" s="179">
        <f ca="1">IFERROR(__xludf.DUMMYFUNCTION("""COMPUTED_VALUE"""),3)</f>
        <v>3</v>
      </c>
      <c r="L137" s="179"/>
      <c r="M137" s="179">
        <f ca="1">IFERROR(__xludf.DUMMYFUNCTION("""COMPUTED_VALUE"""),3)</f>
        <v>3</v>
      </c>
      <c r="N137" s="179">
        <f ca="1">IFERROR(__xludf.DUMMYFUNCTION("""COMPUTED_VALUE"""),3)</f>
        <v>3</v>
      </c>
      <c r="O137" s="179"/>
      <c r="P137" s="179">
        <f ca="1">IFERROR(__xludf.DUMMYFUNCTION("""COMPUTED_VALUE"""),3)</f>
        <v>3</v>
      </c>
      <c r="Q137" s="179">
        <f ca="1">IFERROR(__xludf.DUMMYFUNCTION("""COMPUTED_VALUE"""),2)</f>
        <v>2</v>
      </c>
      <c r="R137" s="179">
        <f ca="1">IFERROR(__xludf.DUMMYFUNCTION("""COMPUTED_VALUE"""),2)</f>
        <v>2</v>
      </c>
      <c r="S137" s="179"/>
      <c r="T137" s="179"/>
      <c r="U137" s="179" t="str">
        <f ca="1">IFERROR(__xludf.DUMMYFUNCTION("""COMPUTED_VALUE"""),"$500K-$1M")</f>
        <v>$500K-$1M</v>
      </c>
      <c r="V137" s="179">
        <f ca="1">IFERROR(__xludf.DUMMYFUNCTION("""COMPUTED_VALUE"""),2)</f>
        <v>2</v>
      </c>
      <c r="W137" s="179"/>
    </row>
    <row r="138" spans="1:23">
      <c r="A138" s="179" t="str">
        <f ca="1">IFERROR(__xludf.DUMMYFUNCTION("""COMPUTED_VALUE"""),"R")</f>
        <v>R</v>
      </c>
      <c r="B138" s="436">
        <f ca="1">IFERROR(__xludf.DUMMYFUNCTION("""COMPUTED_VALUE"""),44792.7405773032)</f>
        <v>44792.740577303201</v>
      </c>
      <c r="C138" s="179" t="str">
        <f ca="1">IFERROR(__xludf.DUMMYFUNCTION("""COMPUTED_VALUE"""),"jm5201@stern.nyu.edu")</f>
        <v>jm5201@stern.nyu.edu</v>
      </c>
      <c r="D138" s="179" t="str">
        <f ca="1">IFERROR(__xludf.DUMMYFUNCTION("""COMPUTED_VALUE"""),"John McDonald")</f>
        <v>John McDonald</v>
      </c>
      <c r="E138" s="179" t="str">
        <f ca="1">IFERROR(__xludf.DUMMYFUNCTION("""COMPUTED_VALUE"""),"I have read and understand the confidentiality agreement for application reviewers.")</f>
        <v>I have read and understand the confidentiality agreement for application reviewers.</v>
      </c>
      <c r="F138" s="179" t="str">
        <f ca="1">IFERROR(__xludf.DUMMYFUNCTION("""COMPUTED_VALUE"""),"Empiri")</f>
        <v>Empiri</v>
      </c>
      <c r="G138" s="179" t="str">
        <f ca="1">IFERROR(__xludf.DUMMYFUNCTION("""COMPUTED_VALUE"""),"Life Sciences - Cancer diagnostics company")</f>
        <v>Life Sciences - Cancer diagnostics company</v>
      </c>
      <c r="H138" s="179">
        <f ca="1">IFERROR(__xludf.DUMMYFUNCTION("""COMPUTED_VALUE"""),5)</f>
        <v>5</v>
      </c>
      <c r="I138" s="179">
        <f ca="1">IFERROR(__xludf.DUMMYFUNCTION("""COMPUTED_VALUE"""),4)</f>
        <v>4</v>
      </c>
      <c r="J138" s="179">
        <f ca="1">IFERROR(__xludf.DUMMYFUNCTION("""COMPUTED_VALUE"""),4)</f>
        <v>4</v>
      </c>
      <c r="K138" s="179">
        <f ca="1">IFERROR(__xludf.DUMMYFUNCTION("""COMPUTED_VALUE"""),4)</f>
        <v>4</v>
      </c>
      <c r="L138" s="179"/>
      <c r="M138" s="179">
        <f ca="1">IFERROR(__xludf.DUMMYFUNCTION("""COMPUTED_VALUE"""),5)</f>
        <v>5</v>
      </c>
      <c r="N138" s="179">
        <f ca="1">IFERROR(__xludf.DUMMYFUNCTION("""COMPUTED_VALUE"""),5)</f>
        <v>5</v>
      </c>
      <c r="O138" s="179"/>
      <c r="P138" s="179">
        <f ca="1">IFERROR(__xludf.DUMMYFUNCTION("""COMPUTED_VALUE"""),5)</f>
        <v>5</v>
      </c>
      <c r="Q138" s="179">
        <f ca="1">IFERROR(__xludf.DUMMYFUNCTION("""COMPUTED_VALUE"""),5)</f>
        <v>5</v>
      </c>
      <c r="R138" s="179">
        <f ca="1">IFERROR(__xludf.DUMMYFUNCTION("""COMPUTED_VALUE"""),5)</f>
        <v>5</v>
      </c>
      <c r="S138" s="179"/>
      <c r="T138" s="179"/>
      <c r="U138" s="179" t="str">
        <f ca="1">IFERROR(__xludf.DUMMYFUNCTION("""COMPUTED_VALUE"""),"$1-$5M")</f>
        <v>$1-$5M</v>
      </c>
      <c r="V138" s="179">
        <f ca="1">IFERROR(__xludf.DUMMYFUNCTION("""COMPUTED_VALUE"""),5)</f>
        <v>5</v>
      </c>
      <c r="W138" s="179"/>
    </row>
    <row r="139" spans="1:23">
      <c r="A139" s="179" t="str">
        <f ca="1">IFERROR(__xludf.DUMMYFUNCTION("""COMPUTED_VALUE"""),"R")</f>
        <v>R</v>
      </c>
      <c r="B139" s="436">
        <f ca="1">IFERROR(__xludf.DUMMYFUNCTION("""COMPUTED_VALUE"""),44792.7460870949)</f>
        <v>44792.7460870949</v>
      </c>
      <c r="C139" s="179" t="str">
        <f ca="1">IFERROR(__xludf.DUMMYFUNCTION("""COMPUTED_VALUE"""),"jsy8879@stern.nyu.edu")</f>
        <v>jsy8879@stern.nyu.edu</v>
      </c>
      <c r="D139" s="179" t="str">
        <f ca="1">IFERROR(__xludf.DUMMYFUNCTION("""COMPUTED_VALUE"""),"Jason Yu")</f>
        <v>Jason Yu</v>
      </c>
      <c r="E139" s="179" t="str">
        <f ca="1">IFERROR(__xludf.DUMMYFUNCTION("""COMPUTED_VALUE"""),"I have read and understand the confidentiality agreement for application reviewers.")</f>
        <v>I have read and understand the confidentiality agreement for application reviewers.</v>
      </c>
      <c r="F139" s="179" t="str">
        <f ca="1">IFERROR(__xludf.DUMMYFUNCTION("""COMPUTED_VALUE"""),"Bidmii")</f>
        <v>Bidmii</v>
      </c>
      <c r="G139" s="179" t="str">
        <f ca="1">IFERROR(__xludf.DUMMYFUNCTION("""COMPUTED_VALUE"""),"Hire contractors for home improvement / Construction / Pre-Seed")</f>
        <v>Hire contractors for home improvement / Construction / Pre-Seed</v>
      </c>
      <c r="H139" s="179">
        <f ca="1">IFERROR(__xludf.DUMMYFUNCTION("""COMPUTED_VALUE"""),4)</f>
        <v>4</v>
      </c>
      <c r="I139" s="179">
        <f ca="1">IFERROR(__xludf.DUMMYFUNCTION("""COMPUTED_VALUE"""),1)</f>
        <v>1</v>
      </c>
      <c r="J139" s="179">
        <f ca="1">IFERROR(__xludf.DUMMYFUNCTION("""COMPUTED_VALUE"""),3)</f>
        <v>3</v>
      </c>
      <c r="K139" s="179">
        <f ca="1">IFERROR(__xludf.DUMMYFUNCTION("""COMPUTED_VALUE"""),1)</f>
        <v>1</v>
      </c>
      <c r="L139" s="179" t="str">
        <f ca="1">IFERROR(__xludf.DUMMYFUNCTION("""COMPUTED_VALUE"""),"""We use proximity based logic and a number of other factors to effectively match contractors and homeowners and provide project curation.""")</f>
        <v>"We use proximity based logic and a number of other factors to effectively match contractors and homeowners and provide project curation."</v>
      </c>
      <c r="M139" s="179">
        <f ca="1">IFERROR(__xludf.DUMMYFUNCTION("""COMPUTED_VALUE"""),3)</f>
        <v>3</v>
      </c>
      <c r="N139" s="179">
        <f ca="1">IFERROR(__xludf.DUMMYFUNCTION("""COMPUTED_VALUE"""),4)</f>
        <v>4</v>
      </c>
      <c r="O139" s="179" t="str">
        <f ca="1">IFERROR(__xludf.DUMMYFUNCTION("""COMPUTED_VALUE"""),"501+ customers ")</f>
        <v xml:space="preserve">501+ customers </v>
      </c>
      <c r="P139" s="179">
        <f ca="1">IFERROR(__xludf.DUMMYFUNCTION("""COMPUTED_VALUE"""),3)</f>
        <v>3</v>
      </c>
      <c r="Q139" s="179">
        <f ca="1">IFERROR(__xludf.DUMMYFUNCTION("""COMPUTED_VALUE"""),3)</f>
        <v>3</v>
      </c>
      <c r="R139" s="179">
        <f ca="1">IFERROR(__xludf.DUMMYFUNCTION("""COMPUTED_VALUE"""),3)</f>
        <v>3</v>
      </c>
      <c r="S139" s="179" t="str">
        <f ca="1">IFERROR(__xludf.DUMMYFUNCTION("""COMPUTED_VALUE"""),"Small team with product development experience")</f>
        <v>Small team with product development experience</v>
      </c>
      <c r="T139" s="437">
        <f ca="1">IFERROR(__xludf.DUMMYFUNCTION("""COMPUTED_VALUE"""),1534336)</f>
        <v>1534336</v>
      </c>
      <c r="U139" s="179" t="str">
        <f ca="1">IFERROR(__xludf.DUMMYFUNCTION("""COMPUTED_VALUE"""),"$500K-$1M")</f>
        <v>$500K-$1M</v>
      </c>
      <c r="V139" s="179">
        <f ca="1">IFERROR(__xludf.DUMMYFUNCTION("""COMPUTED_VALUE"""),3)</f>
        <v>3</v>
      </c>
      <c r="W139" s="179" t="str">
        <f ca="1">IFERROR(__xludf.DUMMYFUNCTION("""COMPUTED_VALUE"""),"Have a viable product with a limited customer base.
""We want to gain a deeper understanding of the American marketplace and identify gaps in our current structure that will allow for a smooth transition south.""")</f>
        <v>Have a viable product with a limited customer base.
"We want to gain a deeper understanding of the American marketplace and identify gaps in our current structure that will allow for a smooth transition south."</v>
      </c>
    </row>
    <row r="140" spans="1:23">
      <c r="A140" s="179" t="str">
        <f ca="1">IFERROR(__xludf.DUMMYFUNCTION("""COMPUTED_VALUE"""),"R")</f>
        <v>R</v>
      </c>
      <c r="B140" s="436">
        <f ca="1">IFERROR(__xludf.DUMMYFUNCTION("""COMPUTED_VALUE"""),44792.8031642708)</f>
        <v>44792.803164270801</v>
      </c>
      <c r="C140" s="179" t="str">
        <f ca="1">IFERROR(__xludf.DUMMYFUNCTION("""COMPUTED_VALUE"""),"ahmed.bahgat@stern.nyu.edu")</f>
        <v>ahmed.bahgat@stern.nyu.edu</v>
      </c>
      <c r="D140" s="179" t="str">
        <f ca="1">IFERROR(__xludf.DUMMYFUNCTION("""COMPUTED_VALUE"""),"Ahmed Bahgat")</f>
        <v>Ahmed Bahgat</v>
      </c>
      <c r="E140" s="179" t="str">
        <f ca="1">IFERROR(__xludf.DUMMYFUNCTION("""COMPUTED_VALUE"""),"I have read and understand the confidentiality agreement for application reviewers.")</f>
        <v>I have read and understand the confidentiality agreement for application reviewers.</v>
      </c>
      <c r="F140" s="179" t="str">
        <f ca="1">IFERROR(__xludf.DUMMYFUNCTION("""COMPUTED_VALUE"""),"SecureCHEK AI, Inc.")</f>
        <v>SecureCHEK AI, Inc.</v>
      </c>
      <c r="G140" s="179" t="str">
        <f ca="1">IFERROR(__xludf.DUMMYFUNCTION("""COMPUTED_VALUE"""),"AI powered SaaS solution that transfers time-consuming, repetitive marketing tasks from humans to tech targeting to reshape the marketing process in the pharma industry (since it is heavily regulated). ")</f>
        <v xml:space="preserve">AI powered SaaS solution that transfers time-consuming, repetitive marketing tasks from humans to tech targeting to reshape the marketing process in the pharma industry (since it is heavily regulated). </v>
      </c>
      <c r="H140" s="179">
        <f ca="1">IFERROR(__xludf.DUMMYFUNCTION("""COMPUTED_VALUE"""),5)</f>
        <v>5</v>
      </c>
      <c r="I140" s="179">
        <f ca="1">IFERROR(__xludf.DUMMYFUNCTION("""COMPUTED_VALUE"""),4)</f>
        <v>4</v>
      </c>
      <c r="J140" s="179">
        <f ca="1">IFERROR(__xludf.DUMMYFUNCTION("""COMPUTED_VALUE"""),5)</f>
        <v>5</v>
      </c>
      <c r="K140" s="179">
        <f ca="1">IFERROR(__xludf.DUMMYFUNCTION("""COMPUTED_VALUE"""),3)</f>
        <v>3</v>
      </c>
      <c r="L140" s="179" t="str">
        <f ca="1">IFERROR(__xludf.DUMMYFUNCTION("""COMPUTED_VALUE"""),"Technology solution targeting the pharma industry that executes required regulatory checks.  Applies layers of business rules to ensure compliance with FDA requirements. The base technology can be applied to text, images, graphs and charts. The software c"&amp;"an significantly reduce the scope of regulatory review, increase the speed and implementation of promotional assets, thereby increasing profitability. Pilot was done in 2021.
""full patent with additional claims to be filed by end of September 2022""")</f>
        <v>Technology solution targeting the pharma industry that executes required regulatory checks.  Applies layers of business rules to ensure compliance with FDA requirements. The base technology can be applied to text, images, graphs and charts. The software can significantly reduce the scope of regulatory review, increase the speed and implementation of promotional assets, thereby increasing profitability. Pilot was done in 2021.
"full patent with additional claims to be filed by end of September 2022"</v>
      </c>
      <c r="M140" s="179">
        <f ca="1">IFERROR(__xludf.DUMMYFUNCTION("""COMPUTED_VALUE"""),3)</f>
        <v>3</v>
      </c>
      <c r="N140" s="179">
        <f ca="1">IFERROR(__xludf.DUMMYFUNCTION("""COMPUTED_VALUE"""),5)</f>
        <v>5</v>
      </c>
      <c r="O140" s="179" t="str">
        <f ca="1">IFERROR(__xludf.DUMMYFUNCTION("""COMPUTED_VALUE"""),"Target market is broadly defined US spend on brands but in deck it specifies the target pharma promotional spend.")</f>
        <v>Target market is broadly defined US spend on brands but in deck it specifies the target pharma promotional spend.</v>
      </c>
      <c r="P140" s="179">
        <f ca="1">IFERROR(__xludf.DUMMYFUNCTION("""COMPUTED_VALUE"""),2)</f>
        <v>2</v>
      </c>
      <c r="Q140" s="179">
        <f ca="1">IFERROR(__xludf.DUMMYFUNCTION("""COMPUTED_VALUE"""),5)</f>
        <v>5</v>
      </c>
      <c r="R140" s="179">
        <f ca="1">IFERROR(__xludf.DUMMYFUNCTION("""COMPUTED_VALUE"""),5)</f>
        <v>5</v>
      </c>
      <c r="S140" s="179" t="str">
        <f ca="1">IFERROR(__xludf.DUMMYFUNCTION("""COMPUTED_VALUE"""),"Solid team with a great product providing targeted solution to a specific market segment.
Vision not stated, mission is provided instead.")</f>
        <v>Solid team with a great product providing targeted solution to a specific market segment.
Vision not stated, mission is provided instead.</v>
      </c>
      <c r="T140" s="179"/>
      <c r="U140" s="179" t="str">
        <f ca="1">IFERROR(__xludf.DUMMYFUNCTION("""COMPUTED_VALUE"""),"$1-$5M")</f>
        <v>$1-$5M</v>
      </c>
      <c r="V140" s="179">
        <f ca="1">IFERROR(__xludf.DUMMYFUNCTION("""COMPUTED_VALUE"""),5)</f>
        <v>5</v>
      </c>
      <c r="W140" s="179" t="str">
        <f ca="1">IFERROR(__xludf.DUMMYFUNCTION("""COMPUTED_VALUE"""),"Well positioned to benefit from EFL through the need for a robust marketing plan/how to better market the strong technology offering and develop a scaling plan. ")</f>
        <v xml:space="preserve">Well positioned to benefit from EFL through the need for a robust marketing plan/how to better market the strong technology offering and develop a scaling plan. </v>
      </c>
    </row>
    <row r="141" spans="1:23">
      <c r="A141" s="179" t="str">
        <f ca="1">IFERROR(__xludf.DUMMYFUNCTION("""COMPUTED_VALUE"""),"R")</f>
        <v>R</v>
      </c>
      <c r="B141" s="436">
        <f ca="1">IFERROR(__xludf.DUMMYFUNCTION("""COMPUTED_VALUE"""),44792.8103317708)</f>
        <v>44792.810331770801</v>
      </c>
      <c r="C141" s="179" t="str">
        <f ca="1">IFERROR(__xludf.DUMMYFUNCTION("""COMPUTED_VALUE"""),"jm5201@stern.nyu.edu")</f>
        <v>jm5201@stern.nyu.edu</v>
      </c>
      <c r="D141" s="179" t="str">
        <f ca="1">IFERROR(__xludf.DUMMYFUNCTION("""COMPUTED_VALUE"""),"John McDonald")</f>
        <v>John McDonald</v>
      </c>
      <c r="E141" s="179" t="str">
        <f ca="1">IFERROR(__xludf.DUMMYFUNCTION("""COMPUTED_VALUE"""),"I have read and understand the confidentiality agreement for application reviewers.")</f>
        <v>I have read and understand the confidentiality agreement for application reviewers.</v>
      </c>
      <c r="F141" s="179" t="str">
        <f ca="1">IFERROR(__xludf.DUMMYFUNCTION("""COMPUTED_VALUE"""),"Emop Health")</f>
        <v>Emop Health</v>
      </c>
      <c r="G141" s="179" t="str">
        <f ca="1">IFERROR(__xludf.DUMMYFUNCTION("""COMPUTED_VALUE"""),"Life sciences - Remote Diabetic foot ulcers care")</f>
        <v>Life sciences - Remote Diabetic foot ulcers care</v>
      </c>
      <c r="H141" s="179">
        <f ca="1">IFERROR(__xludf.DUMMYFUNCTION("""COMPUTED_VALUE"""),4)</f>
        <v>4</v>
      </c>
      <c r="I141" s="179">
        <f ca="1">IFERROR(__xludf.DUMMYFUNCTION("""COMPUTED_VALUE"""),3)</f>
        <v>3</v>
      </c>
      <c r="J141" s="179">
        <f ca="1">IFERROR(__xludf.DUMMYFUNCTION("""COMPUTED_VALUE"""),4)</f>
        <v>4</v>
      </c>
      <c r="K141" s="179">
        <f ca="1">IFERROR(__xludf.DUMMYFUNCTION("""COMPUTED_VALUE"""),3)</f>
        <v>3</v>
      </c>
      <c r="L141" s="179"/>
      <c r="M141" s="179">
        <f ca="1">IFERROR(__xludf.DUMMYFUNCTION("""COMPUTED_VALUE"""),4)</f>
        <v>4</v>
      </c>
      <c r="N141" s="179">
        <f ca="1">IFERROR(__xludf.DUMMYFUNCTION("""COMPUTED_VALUE"""),2)</f>
        <v>2</v>
      </c>
      <c r="O141" s="179"/>
      <c r="P141" s="179">
        <f ca="1">IFERROR(__xludf.DUMMYFUNCTION("""COMPUTED_VALUE"""),4)</f>
        <v>4</v>
      </c>
      <c r="Q141" s="179">
        <f ca="1">IFERROR(__xludf.DUMMYFUNCTION("""COMPUTED_VALUE"""),4)</f>
        <v>4</v>
      </c>
      <c r="R141" s="179">
        <f ca="1">IFERROR(__xludf.DUMMYFUNCTION("""COMPUTED_VALUE"""),3)</f>
        <v>3</v>
      </c>
      <c r="S141" s="179"/>
      <c r="T141" s="179"/>
      <c r="U141" s="179" t="str">
        <f ca="1">IFERROR(__xludf.DUMMYFUNCTION("""COMPUTED_VALUE"""),"$1-$5M")</f>
        <v>$1-$5M</v>
      </c>
      <c r="V141" s="179">
        <f ca="1">IFERROR(__xludf.DUMMYFUNCTION("""COMPUTED_VALUE"""),4)</f>
        <v>4</v>
      </c>
      <c r="W141" s="179"/>
    </row>
    <row r="142" spans="1:23">
      <c r="A142" s="179" t="str">
        <f ca="1">IFERROR(__xludf.DUMMYFUNCTION("""COMPUTED_VALUE"""),"R")</f>
        <v>R</v>
      </c>
      <c r="B142" s="436">
        <f ca="1">IFERROR(__xludf.DUMMYFUNCTION("""COMPUTED_VALUE"""),44792.8149562847)</f>
        <v>44792.814956284703</v>
      </c>
      <c r="C142" s="179" t="str">
        <f ca="1">IFERROR(__xludf.DUMMYFUNCTION("""COMPUTED_VALUE"""),"jm5201@stern.nyu.edu")</f>
        <v>jm5201@stern.nyu.edu</v>
      </c>
      <c r="D142" s="179" t="str">
        <f ca="1">IFERROR(__xludf.DUMMYFUNCTION("""COMPUTED_VALUE"""),"John McDonald")</f>
        <v>John McDonald</v>
      </c>
      <c r="E142" s="179" t="str">
        <f ca="1">IFERROR(__xludf.DUMMYFUNCTION("""COMPUTED_VALUE"""),"I have read and understand the confidentiality agreement for application reviewers.")</f>
        <v>I have read and understand the confidentiality agreement for application reviewers.</v>
      </c>
      <c r="F142" s="179" t="str">
        <f ca="1">IFERROR(__xludf.DUMMYFUNCTION("""COMPUTED_VALUE"""),"Enteligent Inc.")</f>
        <v>Enteligent Inc.</v>
      </c>
      <c r="G142" s="179" t="str">
        <f ca="1">IFERROR(__xludf.DUMMYFUNCTION("""COMPUTED_VALUE"""),"Solar Power Charger")</f>
        <v>Solar Power Charger</v>
      </c>
      <c r="H142" s="179">
        <f ca="1">IFERROR(__xludf.DUMMYFUNCTION("""COMPUTED_VALUE"""),2)</f>
        <v>2</v>
      </c>
      <c r="I142" s="179">
        <f ca="1">IFERROR(__xludf.DUMMYFUNCTION("""COMPUTED_VALUE"""),3)</f>
        <v>3</v>
      </c>
      <c r="J142" s="179">
        <f ca="1">IFERROR(__xludf.DUMMYFUNCTION("""COMPUTED_VALUE"""),3)</f>
        <v>3</v>
      </c>
      <c r="K142" s="179">
        <f ca="1">IFERROR(__xludf.DUMMYFUNCTION("""COMPUTED_VALUE"""),2)</f>
        <v>2</v>
      </c>
      <c r="L142" s="179"/>
      <c r="M142" s="179">
        <f ca="1">IFERROR(__xludf.DUMMYFUNCTION("""COMPUTED_VALUE"""),3)</f>
        <v>3</v>
      </c>
      <c r="N142" s="179">
        <f ca="1">IFERROR(__xludf.DUMMYFUNCTION("""COMPUTED_VALUE"""),4)</f>
        <v>4</v>
      </c>
      <c r="O142" s="179"/>
      <c r="P142" s="179">
        <f ca="1">IFERROR(__xludf.DUMMYFUNCTION("""COMPUTED_VALUE"""),3)</f>
        <v>3</v>
      </c>
      <c r="Q142" s="179">
        <f ca="1">IFERROR(__xludf.DUMMYFUNCTION("""COMPUTED_VALUE"""),4)</f>
        <v>4</v>
      </c>
      <c r="R142" s="179">
        <f ca="1">IFERROR(__xludf.DUMMYFUNCTION("""COMPUTED_VALUE"""),4)</f>
        <v>4</v>
      </c>
      <c r="S142" s="179"/>
      <c r="T142" s="179"/>
      <c r="U142" s="179" t="str">
        <f ca="1">IFERROR(__xludf.DUMMYFUNCTION("""COMPUTED_VALUE"""),"&gt;$5M")</f>
        <v>&gt;$5M</v>
      </c>
      <c r="V142" s="179">
        <f ca="1">IFERROR(__xludf.DUMMYFUNCTION("""COMPUTED_VALUE"""),4)</f>
        <v>4</v>
      </c>
      <c r="W142" s="179"/>
    </row>
    <row r="143" spans="1:23">
      <c r="A143" s="179" t="str">
        <f ca="1">IFERROR(__xludf.DUMMYFUNCTION("""COMPUTED_VALUE"""),"R")</f>
        <v>R</v>
      </c>
      <c r="B143" s="436">
        <f ca="1">IFERROR(__xludf.DUMMYFUNCTION("""COMPUTED_VALUE"""),44792.8182525578)</f>
        <v>44792.818252557801</v>
      </c>
      <c r="C143" s="179" t="str">
        <f ca="1">IFERROR(__xludf.DUMMYFUNCTION("""COMPUTED_VALUE"""),"ahmed.bahgat@stern.nyu.edu")</f>
        <v>ahmed.bahgat@stern.nyu.edu</v>
      </c>
      <c r="D143" s="179" t="str">
        <f ca="1">IFERROR(__xludf.DUMMYFUNCTION("""COMPUTED_VALUE"""),"Ahmed Bahgat")</f>
        <v>Ahmed Bahgat</v>
      </c>
      <c r="E143" s="179" t="str">
        <f ca="1">IFERROR(__xludf.DUMMYFUNCTION("""COMPUTED_VALUE"""),"I have read and understand the confidentiality agreement for application reviewers.")</f>
        <v>I have read and understand the confidentiality agreement for application reviewers.</v>
      </c>
      <c r="F143" s="179" t="str">
        <f ca="1">IFERROR(__xludf.DUMMYFUNCTION("""COMPUTED_VALUE"""),"Selia")</f>
        <v>Selia</v>
      </c>
      <c r="G143" s="179" t="str">
        <f ca="1">IFERROR(__xludf.DUMMYFUNCTION("""COMPUTED_VALUE"""),"Pairs Spanish speakers around the globe with certified mental health professionals for
video and in-person consultations i.e. bringing online therapy to all people in LATAM.")</f>
        <v>Pairs Spanish speakers around the globe with certified mental health professionals for
video and in-person consultations i.e. bringing online therapy to all people in LATAM.</v>
      </c>
      <c r="H143" s="179">
        <f ca="1">IFERROR(__xludf.DUMMYFUNCTION("""COMPUTED_VALUE"""),5)</f>
        <v>5</v>
      </c>
      <c r="I143" s="179">
        <f ca="1">IFERROR(__xludf.DUMMYFUNCTION("""COMPUTED_VALUE"""),2)</f>
        <v>2</v>
      </c>
      <c r="J143" s="179">
        <f ca="1">IFERROR(__xludf.DUMMYFUNCTION("""COMPUTED_VALUE"""),5)</f>
        <v>5</v>
      </c>
      <c r="K143" s="179">
        <f ca="1">IFERROR(__xludf.DUMMYFUNCTION("""COMPUTED_VALUE"""),1)</f>
        <v>1</v>
      </c>
      <c r="L143" s="179" t="str">
        <f ca="1">IFERROR(__xludf.DUMMYFUNCTION("""COMPUTED_VALUE"""),"Platform that addresses pain points for therapy providers (specifically in LATAM) - digital, differing needs, Low usability due to cultural stigma, engrained social barriers prevent users from openly asking for therapy hence requiring a secure and confide"&amp;"ntial way to do it.")</f>
        <v>Platform that addresses pain points for therapy providers (specifically in LATAM) - digital, differing needs, Low usability due to cultural stigma, engrained social barriers prevent users from openly asking for therapy hence requiring a secure and confidential way to do it.</v>
      </c>
      <c r="M143" s="179">
        <f ca="1">IFERROR(__xludf.DUMMYFUNCTION("""COMPUTED_VALUE"""),5)</f>
        <v>5</v>
      </c>
      <c r="N143" s="179">
        <f ca="1">IFERROR(__xludf.DUMMYFUNCTION("""COMPUTED_VALUE"""),5)</f>
        <v>5</v>
      </c>
      <c r="O143" s="179" t="str">
        <f ca="1">IFERROR(__xludf.DUMMYFUNCTION("""COMPUTED_VALUE"""),"target market LATAM $19B behavioral health and wellness. Identified a true need/pain points to address in LATAM.")</f>
        <v>target market LATAM $19B behavioral health and wellness. Identified a true need/pain points to address in LATAM.</v>
      </c>
      <c r="P143" s="179">
        <f ca="1">IFERROR(__xludf.DUMMYFUNCTION("""COMPUTED_VALUE"""),5)</f>
        <v>5</v>
      </c>
      <c r="Q143" s="179">
        <f ca="1">IFERROR(__xludf.DUMMYFUNCTION("""COMPUTED_VALUE"""),5)</f>
        <v>5</v>
      </c>
      <c r="R143" s="179">
        <f ca="1">IFERROR(__xludf.DUMMYFUNCTION("""COMPUTED_VALUE"""),5)</f>
        <v>5</v>
      </c>
      <c r="S143" s="179" t="str">
        <f ca="1">IFERROR(__xludf.DUMMYFUNCTION("""COMPUTED_VALUE"""),"Solid team with the experience to execute their strong vision. ")</f>
        <v xml:space="preserve">Solid team with the experience to execute their strong vision. </v>
      </c>
      <c r="T143" s="179"/>
      <c r="U143" s="179" t="str">
        <f ca="1">IFERROR(__xludf.DUMMYFUNCTION("""COMPUTED_VALUE"""),"$1-$5M")</f>
        <v>$1-$5M</v>
      </c>
      <c r="V143" s="179">
        <f ca="1">IFERROR(__xludf.DUMMYFUNCTION("""COMPUTED_VALUE"""),5)</f>
        <v>5</v>
      </c>
      <c r="W143" s="179" t="str">
        <f ca="1">IFERROR(__xludf.DUMMYFUNCTION("""COMPUTED_VALUE"""),"Business is doing great and growing rapidly. They are scaling and have strong advisors to help them do so.  I question how EFL can support them at this stage given that they are scaling and have a strong set of advisors to help them do so. ")</f>
        <v xml:space="preserve">Business is doing great and growing rapidly. They are scaling and have strong advisors to help them do so.  I question how EFL can support them at this stage given that they are scaling and have a strong set of advisors to help them do so. </v>
      </c>
    </row>
    <row r="144" spans="1:23">
      <c r="A144" s="179" t="str">
        <f ca="1">IFERROR(__xludf.DUMMYFUNCTION("""COMPUTED_VALUE"""),"R")</f>
        <v>R</v>
      </c>
      <c r="B144" s="436">
        <f ca="1">IFERROR(__xludf.DUMMYFUNCTION("""COMPUTED_VALUE"""),44792.8483868055)</f>
        <v>44792.848386805497</v>
      </c>
      <c r="C144" s="179" t="str">
        <f ca="1">IFERROR(__xludf.DUMMYFUNCTION("""COMPUTED_VALUE"""),"ahmed.bahgat@stern.nyu.edu")</f>
        <v>ahmed.bahgat@stern.nyu.edu</v>
      </c>
      <c r="D144" s="179" t="str">
        <f ca="1">IFERROR(__xludf.DUMMYFUNCTION("""COMPUTED_VALUE"""),"Ahmed Bahgat")</f>
        <v>Ahmed Bahgat</v>
      </c>
      <c r="E144" s="179" t="str">
        <f ca="1">IFERROR(__xludf.DUMMYFUNCTION("""COMPUTED_VALUE"""),"I have read and understand the confidentiality agreement for application reviewers.")</f>
        <v>I have read and understand the confidentiality agreement for application reviewers.</v>
      </c>
      <c r="F144" s="179" t="str">
        <f ca="1">IFERROR(__xludf.DUMMYFUNCTION("""COMPUTED_VALUE"""),"Semeris")</f>
        <v>Semeris</v>
      </c>
      <c r="G144" s="179" t="str">
        <f ca="1">IFERROR(__xludf.DUMMYFUNCTION("""COMPUTED_VALUE"""),"Technology that analyzes legal documentation for the capital markets, using NLP, AI and analysts, to make it easier for investors, bankers and lawyers to read and understand complex legal documents. This seems to be a highly competitive industry with a lo"&amp;"t of opportunities for specialization.")</f>
        <v>Technology that analyzes legal documentation for the capital markets, using NLP, AI and analysts, to make it easier for investors, bankers and lawyers to read and understand complex legal documents. This seems to be a highly competitive industry with a lot of opportunities for specialization.</v>
      </c>
      <c r="H144" s="179">
        <f ca="1">IFERROR(__xludf.DUMMYFUNCTION("""COMPUTED_VALUE"""),5)</f>
        <v>5</v>
      </c>
      <c r="I144" s="179">
        <f ca="1">IFERROR(__xludf.DUMMYFUNCTION("""COMPUTED_VALUE"""),4)</f>
        <v>4</v>
      </c>
      <c r="J144" s="179">
        <f ca="1">IFERROR(__xludf.DUMMYFUNCTION("""COMPUTED_VALUE"""),5)</f>
        <v>5</v>
      </c>
      <c r="K144" s="179">
        <f ca="1">IFERROR(__xludf.DUMMYFUNCTION("""COMPUTED_VALUE"""),1)</f>
        <v>1</v>
      </c>
      <c r="L144" s="179" t="str">
        <f ca="1">IFERROR(__xludf.DUMMYFUNCTION("""COMPUTED_VALUE"""),"Technology solution based on 1)Automated AI/NLP data extraction, 2)Ongoing AI R&amp;D for summarization tools, 3)Proprietary tooling for fast human curation, and 4)Growing document corpus for machine learning
No protection on algo or anything as of yet and no"&amp;" plans to patent anything.")</f>
        <v>Technology solution based on 1)Automated AI/NLP data extraction, 2)Ongoing AI R&amp;D for summarization tools, 3)Proprietary tooling for fast human curation, and 4)Growing document corpus for machine learning
No protection on algo or anything as of yet and no plans to patent anything.</v>
      </c>
      <c r="M144" s="179">
        <f ca="1">IFERROR(__xludf.DUMMYFUNCTION("""COMPUTED_VALUE"""),5)</f>
        <v>5</v>
      </c>
      <c r="N144" s="179">
        <f ca="1">IFERROR(__xludf.DUMMYFUNCTION("""COMPUTED_VALUE"""),5)</f>
        <v>5</v>
      </c>
      <c r="O144" s="179" t="str">
        <f ca="1">IFERROR(__xludf.DUMMYFUNCTION("""COMPUTED_VALUE"""),"Selected niche market with less competition. Phase I European CLOs, Phase II US CLOs, Phase III other markets specified in deck")</f>
        <v>Selected niche market with less competition. Phase I European CLOs, Phase II US CLOs, Phase III other markets specified in deck</v>
      </c>
      <c r="P144" s="179">
        <f ca="1">IFERROR(__xludf.DUMMYFUNCTION("""COMPUTED_VALUE"""),4)</f>
        <v>4</v>
      </c>
      <c r="Q144" s="179">
        <f ca="1">IFERROR(__xludf.DUMMYFUNCTION("""COMPUTED_VALUE"""),4)</f>
        <v>4</v>
      </c>
      <c r="R144" s="179">
        <f ca="1">IFERROR(__xludf.DUMMYFUNCTION("""COMPUTED_VALUE"""),5)</f>
        <v>5</v>
      </c>
      <c r="S144" s="179" t="str">
        <f ca="1">IFERROR(__xludf.DUMMYFUNCTION("""COMPUTED_VALUE"""),"Solid team with a strong vision. They have shared a strong competition analysis to identify opportunities but it looks to be a highly competitive arena.")</f>
        <v>Solid team with a strong vision. They have shared a strong competition analysis to identify opportunities but it looks to be a highly competitive arena.</v>
      </c>
      <c r="T144" s="179"/>
      <c r="U144" s="179" t="str">
        <f ca="1">IFERROR(__xludf.DUMMYFUNCTION("""COMPUTED_VALUE"""),"$1-$5M")</f>
        <v>$1-$5M</v>
      </c>
      <c r="V144" s="179">
        <f ca="1">IFERROR(__xludf.DUMMYFUNCTION("""COMPUTED_VALUE"""),5)</f>
        <v>5</v>
      </c>
      <c r="W144" s="179" t="str">
        <f ca="1">IFERROR(__xludf.DUMMYFUNCTION("""COMPUTED_VALUE"""),"Solid business with a strong team to execute their vision. They are looking for EFL to help them scale, further market research and product development. They are well positioned to benefit from EFL. ")</f>
        <v xml:space="preserve">Solid business with a strong team to execute their vision. They are looking for EFL to help them scale, further market research and product development. They are well positioned to benefit from EFL. </v>
      </c>
    </row>
    <row r="145" spans="1:23">
      <c r="A145" s="179" t="str">
        <f ca="1">IFERROR(__xludf.DUMMYFUNCTION("""COMPUTED_VALUE"""),"R")</f>
        <v>R</v>
      </c>
      <c r="B145" s="436">
        <f ca="1">IFERROR(__xludf.DUMMYFUNCTION("""COMPUTED_VALUE"""),44792.9079342361)</f>
        <v>44792.9079342361</v>
      </c>
      <c r="C145" s="179" t="str">
        <f ca="1">IFERROR(__xludf.DUMMYFUNCTION("""COMPUTED_VALUE"""),"ns4976@stern.nyu.edu")</f>
        <v>ns4976@stern.nyu.edu</v>
      </c>
      <c r="D145" s="179" t="str">
        <f ca="1">IFERROR(__xludf.DUMMYFUNCTION("""COMPUTED_VALUE"""),"Nick Schmandt")</f>
        <v>Nick Schmandt</v>
      </c>
      <c r="E145" s="179" t="str">
        <f ca="1">IFERROR(__xludf.DUMMYFUNCTION("""COMPUTED_VALUE"""),"I have read and understand the confidentiality agreement for application reviewers.")</f>
        <v>I have read and understand the confidentiality agreement for application reviewers.</v>
      </c>
      <c r="F145" s="179" t="str">
        <f ca="1">IFERROR(__xludf.DUMMYFUNCTION("""COMPUTED_VALUE"""),"A&amp;K robotics")</f>
        <v>A&amp;K robotics</v>
      </c>
      <c r="G145" s="179" t="str">
        <f ca="1">IFERROR(__xludf.DUMMYFUNCTION("""COMPUTED_VALUE"""),"Pretty early stage")</f>
        <v>Pretty early stage</v>
      </c>
      <c r="H145" s="179">
        <f ca="1">IFERROR(__xludf.DUMMYFUNCTION("""COMPUTED_VALUE"""),2)</f>
        <v>2</v>
      </c>
      <c r="I145" s="179">
        <f ca="1">IFERROR(__xludf.DUMMYFUNCTION("""COMPUTED_VALUE"""),2)</f>
        <v>2</v>
      </c>
      <c r="J145" s="179">
        <f ca="1">IFERROR(__xludf.DUMMYFUNCTION("""COMPUTED_VALUE"""),2)</f>
        <v>2</v>
      </c>
      <c r="K145" s="179">
        <f ca="1">IFERROR(__xludf.DUMMYFUNCTION("""COMPUTED_VALUE"""),3)</f>
        <v>3</v>
      </c>
      <c r="L145" s="179" t="str">
        <f ca="1">IFERROR(__xludf.DUMMYFUNCTION("""COMPUTED_VALUE"""),"The tech seems redundant compared to what other AI startups can already do.")</f>
        <v>The tech seems redundant compared to what other AI startups can already do.</v>
      </c>
      <c r="M145" s="179">
        <f ca="1">IFERROR(__xludf.DUMMYFUNCTION("""COMPUTED_VALUE"""),1)</f>
        <v>1</v>
      </c>
      <c r="N145" s="179">
        <f ca="1">IFERROR(__xludf.DUMMYFUNCTION("""COMPUTED_VALUE"""),2)</f>
        <v>2</v>
      </c>
      <c r="O145" s="179" t="str">
        <f ca="1">IFERROR(__xludf.DUMMYFUNCTION("""COMPUTED_VALUE"""),"There is no way airports are paying as much as they claim to hire low-wage people to move the elderly around. There does not seem to be an application beyond airports.")</f>
        <v>There is no way airports are paying as much as they claim to hire low-wage people to move the elderly around. There does not seem to be an application beyond airports.</v>
      </c>
      <c r="P145" s="179">
        <f ca="1">IFERROR(__xludf.DUMMYFUNCTION("""COMPUTED_VALUE"""),1)</f>
        <v>1</v>
      </c>
      <c r="Q145" s="179">
        <f ca="1">IFERROR(__xludf.DUMMYFUNCTION("""COMPUTED_VALUE"""),1)</f>
        <v>1</v>
      </c>
      <c r="R145" s="179">
        <f ca="1">IFERROR(__xludf.DUMMYFUNCTION("""COMPUTED_VALUE"""),1)</f>
        <v>1</v>
      </c>
      <c r="S145" s="179" t="str">
        <f ca="1">IFERROR(__xludf.DUMMYFUNCTION("""COMPUTED_VALUE"""),"They seem extremely inexperienced.")</f>
        <v>They seem extremely inexperienced.</v>
      </c>
      <c r="T145" s="179"/>
      <c r="U145" s="179" t="str">
        <f ca="1">IFERROR(__xludf.DUMMYFUNCTION("""COMPUTED_VALUE"""),"$1-$5M")</f>
        <v>$1-$5M</v>
      </c>
      <c r="V145" s="179">
        <f ca="1">IFERROR(__xludf.DUMMYFUNCTION("""COMPUTED_VALUE"""),1)</f>
        <v>1</v>
      </c>
      <c r="W145" s="179" t="str">
        <f ca="1">IFERROR(__xludf.DUMMYFUNCTION("""COMPUTED_VALUE"""),"The addressable market seems grossly overstated, and there is no mention of simple regular electric wheelchairs, which would allow the elderly to steer themselves at a much lower cost. This proposal does not make any sense to me.")</f>
        <v>The addressable market seems grossly overstated, and there is no mention of simple regular electric wheelchairs, which would allow the elderly to steer themselves at a much lower cost. This proposal does not make any sense to me.</v>
      </c>
    </row>
    <row r="146" spans="1:23">
      <c r="A146" s="179" t="str">
        <f ca="1">IFERROR(__xludf.DUMMYFUNCTION("""COMPUTED_VALUE"""),"R")</f>
        <v>R</v>
      </c>
      <c r="B146" s="436">
        <f ca="1">IFERROR(__xludf.DUMMYFUNCTION("""COMPUTED_VALUE"""),44792.9263487615)</f>
        <v>44792.926348761503</v>
      </c>
      <c r="C146" s="179" t="str">
        <f ca="1">IFERROR(__xludf.DUMMYFUNCTION("""COMPUTED_VALUE"""),"jm5201@stern.nyu.edu")</f>
        <v>jm5201@stern.nyu.edu</v>
      </c>
      <c r="D146" s="179" t="str">
        <f ca="1">IFERROR(__xludf.DUMMYFUNCTION("""COMPUTED_VALUE"""),"John McDonald")</f>
        <v>John McDonald</v>
      </c>
      <c r="E146" s="179" t="str">
        <f ca="1">IFERROR(__xludf.DUMMYFUNCTION("""COMPUTED_VALUE"""),"I have read and understand the confidentiality agreement for application reviewers.")</f>
        <v>I have read and understand the confidentiality agreement for application reviewers.</v>
      </c>
      <c r="F146" s="179" t="str">
        <f ca="1">IFERROR(__xludf.DUMMYFUNCTION("""COMPUTED_VALUE"""),"Flying Ship Technologies, Corp.")</f>
        <v>Flying Ship Technologies, Corp.</v>
      </c>
      <c r="G146" s="179" t="str">
        <f ca="1">IFERROR(__xludf.DUMMYFUNCTION("""COMPUTED_VALUE"""),"Flying Drone Company (over ocean)")</f>
        <v>Flying Drone Company (over ocean)</v>
      </c>
      <c r="H146" s="179">
        <f ca="1">IFERROR(__xludf.DUMMYFUNCTION("""COMPUTED_VALUE"""),3)</f>
        <v>3</v>
      </c>
      <c r="I146" s="179">
        <f ca="1">IFERROR(__xludf.DUMMYFUNCTION("""COMPUTED_VALUE"""),2)</f>
        <v>2</v>
      </c>
      <c r="J146" s="179">
        <f ca="1">IFERROR(__xludf.DUMMYFUNCTION("""COMPUTED_VALUE"""),3)</f>
        <v>3</v>
      </c>
      <c r="K146" s="179">
        <f ca="1">IFERROR(__xludf.DUMMYFUNCTION("""COMPUTED_VALUE"""),2)</f>
        <v>2</v>
      </c>
      <c r="L146" s="179"/>
      <c r="M146" s="179">
        <f ca="1">IFERROR(__xludf.DUMMYFUNCTION("""COMPUTED_VALUE"""),3)</f>
        <v>3</v>
      </c>
      <c r="N146" s="179">
        <f ca="1">IFERROR(__xludf.DUMMYFUNCTION("""COMPUTED_VALUE"""),2)</f>
        <v>2</v>
      </c>
      <c r="O146" s="179"/>
      <c r="P146" s="179">
        <f ca="1">IFERROR(__xludf.DUMMYFUNCTION("""COMPUTED_VALUE"""),3)</f>
        <v>3</v>
      </c>
      <c r="Q146" s="179">
        <f ca="1">IFERROR(__xludf.DUMMYFUNCTION("""COMPUTED_VALUE"""),3)</f>
        <v>3</v>
      </c>
      <c r="R146" s="179">
        <f ca="1">IFERROR(__xludf.DUMMYFUNCTION("""COMPUTED_VALUE"""),2)</f>
        <v>2</v>
      </c>
      <c r="S146" s="179"/>
      <c r="T146" s="179"/>
      <c r="U146" s="179" t="str">
        <f ca="1">IFERROR(__xludf.DUMMYFUNCTION("""COMPUTED_VALUE"""),"$1-$5M")</f>
        <v>$1-$5M</v>
      </c>
      <c r="V146" s="179">
        <f ca="1">IFERROR(__xludf.DUMMYFUNCTION("""COMPUTED_VALUE"""),2)</f>
        <v>2</v>
      </c>
      <c r="W146" s="179"/>
    </row>
    <row r="147" spans="1:23">
      <c r="A147" s="179" t="str">
        <f ca="1">IFERROR(__xludf.DUMMYFUNCTION("""COMPUTED_VALUE"""),"R")</f>
        <v>R</v>
      </c>
      <c r="B147" s="436">
        <f ca="1">IFERROR(__xludf.DUMMYFUNCTION("""COMPUTED_VALUE"""),44792.9302035995)</f>
        <v>44792.930203599499</v>
      </c>
      <c r="C147" s="179" t="str">
        <f ca="1">IFERROR(__xludf.DUMMYFUNCTION("""COMPUTED_VALUE"""),"ns4976@stern.nyu.edu")</f>
        <v>ns4976@stern.nyu.edu</v>
      </c>
      <c r="D147" s="179" t="str">
        <f ca="1">IFERROR(__xludf.DUMMYFUNCTION("""COMPUTED_VALUE"""),"Nick Schmandt")</f>
        <v>Nick Schmandt</v>
      </c>
      <c r="E147" s="179" t="str">
        <f ca="1">IFERROR(__xludf.DUMMYFUNCTION("""COMPUTED_VALUE"""),"I have read and understand the confidentiality agreement for application reviewers.")</f>
        <v>I have read and understand the confidentiality agreement for application reviewers.</v>
      </c>
      <c r="F147" s="179" t="str">
        <f ca="1">IFERROR(__xludf.DUMMYFUNCTION("""COMPUTED_VALUE"""),"Aclid")</f>
        <v>Aclid</v>
      </c>
      <c r="G147" s="179" t="str">
        <f ca="1">IFERROR(__xludf.DUMMYFUNCTION("""COMPUTED_VALUE"""),"Looks like they have a good product, need to find more customers")</f>
        <v>Looks like they have a good product, need to find more customers</v>
      </c>
      <c r="H147" s="179">
        <f ca="1">IFERROR(__xludf.DUMMYFUNCTION("""COMPUTED_VALUE"""),3)</f>
        <v>3</v>
      </c>
      <c r="I147" s="179">
        <f ca="1">IFERROR(__xludf.DUMMYFUNCTION("""COMPUTED_VALUE"""),3)</f>
        <v>3</v>
      </c>
      <c r="J147" s="179">
        <f ca="1">IFERROR(__xludf.DUMMYFUNCTION("""COMPUTED_VALUE"""),4)</f>
        <v>4</v>
      </c>
      <c r="K147" s="179">
        <f ca="1">IFERROR(__xludf.DUMMYFUNCTION("""COMPUTED_VALUE"""),2)</f>
        <v>2</v>
      </c>
      <c r="L147" s="179" t="str">
        <f ca="1">IFERROR(__xludf.DUMMYFUNCTION("""COMPUTED_VALUE"""),"Seems to be a more efficient version of other pre-existing technology")</f>
        <v>Seems to be a more efficient version of other pre-existing technology</v>
      </c>
      <c r="M147" s="179">
        <f ca="1">IFERROR(__xludf.DUMMYFUNCTION("""COMPUTED_VALUE"""),3)</f>
        <v>3</v>
      </c>
      <c r="N147" s="179">
        <f ca="1">IFERROR(__xludf.DUMMYFUNCTION("""COMPUTED_VALUE"""),3)</f>
        <v>3</v>
      </c>
      <c r="O147" s="179" t="str">
        <f ca="1">IFERROR(__xludf.DUMMYFUNCTION("""COMPUTED_VALUE"""),"They don't say their progress in attracting customers")</f>
        <v>They don't say their progress in attracting customers</v>
      </c>
      <c r="P147" s="179">
        <f ca="1">IFERROR(__xludf.DUMMYFUNCTION("""COMPUTED_VALUE"""),4)</f>
        <v>4</v>
      </c>
      <c r="Q147" s="179">
        <f ca="1">IFERROR(__xludf.DUMMYFUNCTION("""COMPUTED_VALUE"""),4)</f>
        <v>4</v>
      </c>
      <c r="R147" s="179">
        <f ca="1">IFERROR(__xludf.DUMMYFUNCTION("""COMPUTED_VALUE"""),3)</f>
        <v>3</v>
      </c>
      <c r="S147" s="179" t="str">
        <f ca="1">IFERROR(__xludf.DUMMYFUNCTION("""COMPUTED_VALUE"""),"Only one team member really understands the science, the others don't really bring anything to the equation.")</f>
        <v>Only one team member really understands the science, the others don't really bring anything to the equation.</v>
      </c>
      <c r="T147" s="179"/>
      <c r="U147" s="179" t="str">
        <f ca="1">IFERROR(__xludf.DUMMYFUNCTION("""COMPUTED_VALUE"""),"&lt;$500K")</f>
        <v>&lt;$500K</v>
      </c>
      <c r="V147" s="179">
        <f ca="1">IFERROR(__xludf.DUMMYFUNCTION("""COMPUTED_VALUE"""),4)</f>
        <v>4</v>
      </c>
      <c r="W147" s="179" t="str">
        <f ca="1">IFERROR(__xludf.DUMMYFUNCTION("""COMPUTED_VALUE"""),"It's a good idea and they seem to have a good product, but the marketing strategy is unclear.")</f>
        <v>It's a good idea and they seem to have a good product, but the marketing strategy is unclear.</v>
      </c>
    </row>
    <row r="148" spans="1:23">
      <c r="A148" s="179" t="str">
        <f ca="1">IFERROR(__xludf.DUMMYFUNCTION("""COMPUTED_VALUE"""),"R")</f>
        <v>R</v>
      </c>
      <c r="B148" s="436">
        <f ca="1">IFERROR(__xludf.DUMMYFUNCTION("""COMPUTED_VALUE"""),44792.9368536458)</f>
        <v>44792.936853645799</v>
      </c>
      <c r="C148" s="179" t="str">
        <f ca="1">IFERROR(__xludf.DUMMYFUNCTION("""COMPUTED_VALUE"""),"ns4976@stern.nyu.edu")</f>
        <v>ns4976@stern.nyu.edu</v>
      </c>
      <c r="D148" s="179" t="str">
        <f ca="1">IFERROR(__xludf.DUMMYFUNCTION("""COMPUTED_VALUE"""),"Nick Schmandt")</f>
        <v>Nick Schmandt</v>
      </c>
      <c r="E148" s="179" t="str">
        <f ca="1">IFERROR(__xludf.DUMMYFUNCTION("""COMPUTED_VALUE"""),"I have read and understand the confidentiality agreement for application reviewers.")</f>
        <v>I have read and understand the confidentiality agreement for application reviewers.</v>
      </c>
      <c r="F148" s="179" t="str">
        <f ca="1">IFERROR(__xludf.DUMMYFUNCTION("""COMPUTED_VALUE"""),"Aerones")</f>
        <v>Aerones</v>
      </c>
      <c r="G148" s="179" t="str">
        <f ca="1">IFERROR(__xludf.DUMMYFUNCTION("""COMPUTED_VALUE"""),"Advanced")</f>
        <v>Advanced</v>
      </c>
      <c r="H148" s="179">
        <f ca="1">IFERROR(__xludf.DUMMYFUNCTION("""COMPUTED_VALUE"""),5)</f>
        <v>5</v>
      </c>
      <c r="I148" s="179">
        <f ca="1">IFERROR(__xludf.DUMMYFUNCTION("""COMPUTED_VALUE"""),4)</f>
        <v>4</v>
      </c>
      <c r="J148" s="179">
        <f ca="1">IFERROR(__xludf.DUMMYFUNCTION("""COMPUTED_VALUE"""),5)</f>
        <v>5</v>
      </c>
      <c r="K148" s="179">
        <f ca="1">IFERROR(__xludf.DUMMYFUNCTION("""COMPUTED_VALUE"""),3)</f>
        <v>3</v>
      </c>
      <c r="L148" s="179" t="str">
        <f ca="1">IFERROR(__xludf.DUMMYFUNCTION("""COMPUTED_VALUE"""),"Seems solid")</f>
        <v>Seems solid</v>
      </c>
      <c r="M148" s="179">
        <f ca="1">IFERROR(__xludf.DUMMYFUNCTION("""COMPUTED_VALUE"""),4)</f>
        <v>4</v>
      </c>
      <c r="N148" s="179">
        <f ca="1">IFERROR(__xludf.DUMMYFUNCTION("""COMPUTED_VALUE"""),5)</f>
        <v>5</v>
      </c>
      <c r="O148" s="179" t="str">
        <f ca="1">IFERROR(__xludf.DUMMYFUNCTION("""COMPUTED_VALUE"""),"Fast growing addressable market")</f>
        <v>Fast growing addressable market</v>
      </c>
      <c r="P148" s="179">
        <f ca="1">IFERROR(__xludf.DUMMYFUNCTION("""COMPUTED_VALUE"""),4)</f>
        <v>4</v>
      </c>
      <c r="Q148" s="179">
        <f ca="1">IFERROR(__xludf.DUMMYFUNCTION("""COMPUTED_VALUE"""),4)</f>
        <v>4</v>
      </c>
      <c r="R148" s="179">
        <f ca="1">IFERROR(__xludf.DUMMYFUNCTION("""COMPUTED_VALUE"""),5)</f>
        <v>5</v>
      </c>
      <c r="S148" s="179" t="str">
        <f ca="1">IFERROR(__xludf.DUMMYFUNCTION("""COMPUTED_VALUE"""),"Solid team, though relatively small")</f>
        <v>Solid team, though relatively small</v>
      </c>
      <c r="T148" s="179"/>
      <c r="U148" s="179" t="str">
        <f ca="1">IFERROR(__xludf.DUMMYFUNCTION("""COMPUTED_VALUE"""),"$0")</f>
        <v>$0</v>
      </c>
      <c r="V148" s="179">
        <f ca="1">IFERROR(__xludf.DUMMYFUNCTION("""COMPUTED_VALUE"""),5)</f>
        <v>5</v>
      </c>
      <c r="W148" s="179" t="str">
        <f ca="1">IFERROR(__xludf.DUMMYFUNCTION("""COMPUTED_VALUE"""),"Very solid revenue income")</f>
        <v>Very solid revenue income</v>
      </c>
    </row>
    <row r="149" spans="1:23">
      <c r="A149" s="179" t="str">
        <f ca="1">IFERROR(__xludf.DUMMYFUNCTION("""COMPUTED_VALUE"""),"R")</f>
        <v>R</v>
      </c>
      <c r="B149" s="436">
        <f ca="1">IFERROR(__xludf.DUMMYFUNCTION("""COMPUTED_VALUE"""),44793.0800873379)</f>
        <v>44793.080087337898</v>
      </c>
      <c r="C149" s="179" t="str">
        <f ca="1">IFERROR(__xludf.DUMMYFUNCTION("""COMPUTED_VALUE"""),"ahmed.bahgat@stern.nyu.edu")</f>
        <v>ahmed.bahgat@stern.nyu.edu</v>
      </c>
      <c r="D149" s="179" t="str">
        <f ca="1">IFERROR(__xludf.DUMMYFUNCTION("""COMPUTED_VALUE"""),"Ahmed Bahgat")</f>
        <v>Ahmed Bahgat</v>
      </c>
      <c r="E149" s="179" t="str">
        <f ca="1">IFERROR(__xludf.DUMMYFUNCTION("""COMPUTED_VALUE"""),"I have read and understand the confidentiality agreement for application reviewers.")</f>
        <v>I have read and understand the confidentiality agreement for application reviewers.</v>
      </c>
      <c r="F149" s="179" t="str">
        <f ca="1">IFERROR(__xludf.DUMMYFUNCTION("""COMPUTED_VALUE"""),"Sendit.Money Ltd")</f>
        <v>Sendit.Money Ltd</v>
      </c>
      <c r="G149" s="179" t="str">
        <f ca="1">IFERROR(__xludf.DUMMYFUNCTION("""COMPUTED_VALUE"""),"Blockchain based Mobile wallet providing an intuitive, secure and inexpensive way for the unbanked in the UK and Sub-Sahara Africa to send, receive and save money. Specialized solution in the highly competitive payments space. ")</f>
        <v xml:space="preserve">Blockchain based Mobile wallet providing an intuitive, secure and inexpensive way for the unbanked in the UK and Sub-Sahara Africa to send, receive and save money. Specialized solution in the highly competitive payments space. </v>
      </c>
      <c r="H149" s="179">
        <f ca="1">IFERROR(__xludf.DUMMYFUNCTION("""COMPUTED_VALUE"""),5)</f>
        <v>5</v>
      </c>
      <c r="I149" s="179">
        <f ca="1">IFERROR(__xludf.DUMMYFUNCTION("""COMPUTED_VALUE"""),5)</f>
        <v>5</v>
      </c>
      <c r="J149" s="179">
        <f ca="1">IFERROR(__xludf.DUMMYFUNCTION("""COMPUTED_VALUE"""),5)</f>
        <v>5</v>
      </c>
      <c r="K149" s="179">
        <f ca="1">IFERROR(__xludf.DUMMYFUNCTION("""COMPUTED_VALUE"""),2)</f>
        <v>2</v>
      </c>
      <c r="L149" s="179" t="str">
        <f ca="1">IFERROR(__xludf.DUMMYFUNCTION("""COMPUTED_VALUE"""),"Solving for cross-border payments by way of utilizing stablecoin on an affordable,
safe and secure platform solve the problem of expensive and time-consuming money transfer services in and out of emerging markets.")</f>
        <v>Solving for cross-border payments by way of utilizing stablecoin on an affordable,
safe and secure platform solve the problem of expensive and time-consuming money transfer services in and out of emerging markets.</v>
      </c>
      <c r="M149" s="179">
        <f ca="1">IFERROR(__xludf.DUMMYFUNCTION("""COMPUTED_VALUE"""),3)</f>
        <v>3</v>
      </c>
      <c r="N149" s="179">
        <f ca="1">IFERROR(__xludf.DUMMYFUNCTION("""COMPUTED_VALUE"""),3)</f>
        <v>3</v>
      </c>
      <c r="O149" s="179" t="str">
        <f ca="1">IFERROR(__xludf.DUMMYFUNCTION("""COMPUTED_VALUE"""),"Target market is broadly defined. 
Application says there are paying customers but also zero revenue.")</f>
        <v>Target market is broadly defined. 
Application says there are paying customers but also zero revenue.</v>
      </c>
      <c r="P149" s="179">
        <f ca="1">IFERROR(__xludf.DUMMYFUNCTION("""COMPUTED_VALUE"""),5)</f>
        <v>5</v>
      </c>
      <c r="Q149" s="179">
        <f ca="1">IFERROR(__xludf.DUMMYFUNCTION("""COMPUTED_VALUE"""),5)</f>
        <v>5</v>
      </c>
      <c r="R149" s="179">
        <f ca="1">IFERROR(__xludf.DUMMYFUNCTION("""COMPUTED_VALUE"""),5)</f>
        <v>5</v>
      </c>
      <c r="S149" s="179" t="str">
        <f ca="1">IFERROR(__xludf.DUMMYFUNCTION("""COMPUTED_VALUE"""),"Solid team with a strong vision - future of economic inclusion so that underrepresented communities are financially included in the global financial ecosystem.")</f>
        <v>Solid team with a strong vision - future of economic inclusion so that underrepresented communities are financially included in the global financial ecosystem.</v>
      </c>
      <c r="T149" s="179"/>
      <c r="U149" s="179" t="str">
        <f ca="1">IFERROR(__xludf.DUMMYFUNCTION("""COMPUTED_VALUE"""),"$1-$5M")</f>
        <v>$1-$5M</v>
      </c>
      <c r="V149" s="179">
        <f ca="1">IFERROR(__xludf.DUMMYFUNCTION("""COMPUTED_VALUE"""),4)</f>
        <v>4</v>
      </c>
      <c r="W149" s="179" t="str">
        <f ca="1">IFERROR(__xludf.DUMMYFUNCTION("""COMPUTED_VALUE"""),"Strong team executing a strong vision. While focused on fundraising, EFL can support with how best to scale through business model review and more in-depth market research to develop a refined target market. ")</f>
        <v xml:space="preserve">Strong team executing a strong vision. While focused on fundraising, EFL can support with how best to scale through business model review and more in-depth market research to develop a refined target market. </v>
      </c>
    </row>
    <row r="150" spans="1:23">
      <c r="A150" s="179" t="str">
        <f ca="1">IFERROR(__xludf.DUMMYFUNCTION("""COMPUTED_VALUE"""),"R")</f>
        <v>R</v>
      </c>
      <c r="B150" s="436">
        <f ca="1">IFERROR(__xludf.DUMMYFUNCTION("""COMPUTED_VALUE"""),44793.4147891666)</f>
        <v>44793.4147891666</v>
      </c>
      <c r="C150" s="179" t="str">
        <f ca="1">IFERROR(__xludf.DUMMYFUNCTION("""COMPUTED_VALUE"""),"jsy8879@stern.nyu.edu")</f>
        <v>jsy8879@stern.nyu.edu</v>
      </c>
      <c r="D150" s="179" t="str">
        <f ca="1">IFERROR(__xludf.DUMMYFUNCTION("""COMPUTED_VALUE"""),"Jason Yu")</f>
        <v>Jason Yu</v>
      </c>
      <c r="E150" s="179" t="str">
        <f ca="1">IFERROR(__xludf.DUMMYFUNCTION("""COMPUTED_VALUE"""),"I have read and understand the confidentiality agreement for application reviewers.")</f>
        <v>I have read and understand the confidentiality agreement for application reviewers.</v>
      </c>
      <c r="F150" s="179" t="str">
        <f ca="1">IFERROR(__xludf.DUMMYFUNCTION("""COMPUTED_VALUE"""),"Biodesign Innovation Labs")</f>
        <v>Biodesign Innovation Labs</v>
      </c>
      <c r="G150" s="179" t="str">
        <f ca="1">IFERROR(__xludf.DUMMYFUNCTION("""COMPUTED_VALUE"""),"Pneumatic ventilation system / Healthcare / Grants")</f>
        <v>Pneumatic ventilation system / Healthcare / Grants</v>
      </c>
      <c r="H150" s="179">
        <f ca="1">IFERROR(__xludf.DUMMYFUNCTION("""COMPUTED_VALUE"""),3)</f>
        <v>3</v>
      </c>
      <c r="I150" s="179">
        <f ca="1">IFERROR(__xludf.DUMMYFUNCTION("""COMPUTED_VALUE"""),2)</f>
        <v>2</v>
      </c>
      <c r="J150" s="179">
        <f ca="1">IFERROR(__xludf.DUMMYFUNCTION("""COMPUTED_VALUE"""),5)</f>
        <v>5</v>
      </c>
      <c r="K150" s="179">
        <f ca="1">IFERROR(__xludf.DUMMYFUNCTION("""COMPUTED_VALUE"""),3)</f>
        <v>3</v>
      </c>
      <c r="L150" s="179" t="str">
        <f ca="1">IFERROR(__xludf.DUMMYFUNCTION("""COMPUTED_VALUE"""),"The device is tested, certified and commercialized")</f>
        <v>The device is tested, certified and commercialized</v>
      </c>
      <c r="M150" s="179">
        <f ca="1">IFERROR(__xludf.DUMMYFUNCTION("""COMPUTED_VALUE"""),3)</f>
        <v>3</v>
      </c>
      <c r="N150" s="179">
        <f ca="1">IFERROR(__xludf.DUMMYFUNCTION("""COMPUTED_VALUE"""),4)</f>
        <v>4</v>
      </c>
      <c r="O150" s="179" t="str">
        <f ca="1">IFERROR(__xludf.DUMMYFUNCTION("""COMPUTED_VALUE"""),"Total Addressable Market (TAM) | (~US$ 26.67 Bn) - USA.||Serviceable Available Market
(SAM) - (US$ 8.67 Billion)||Serviceable Obtainable Market (SOM) i.e. within reach immediately (Massachusetts &amp; California) - |(US$ 4.31 Billion USD )|")</f>
        <v>Total Addressable Market (TAM) | (~US$ 26.67 Bn) - USA.||Serviceable Available Market
(SAM) - (US$ 8.67 Billion)||Serviceable Obtainable Market (SOM) i.e. within reach immediately (Massachusetts &amp; California) - |(US$ 4.31 Billion USD )|</v>
      </c>
      <c r="P150" s="179">
        <f ca="1">IFERROR(__xludf.DUMMYFUNCTION("""COMPUTED_VALUE"""),4)</f>
        <v>4</v>
      </c>
      <c r="Q150" s="179">
        <f ca="1">IFERROR(__xludf.DUMMYFUNCTION("""COMPUTED_VALUE"""),4)</f>
        <v>4</v>
      </c>
      <c r="R150" s="179">
        <f ca="1">IFERROR(__xludf.DUMMYFUNCTION("""COMPUTED_VALUE"""),4)</f>
        <v>4</v>
      </c>
      <c r="S150" s="179" t="str">
        <f ca="1">IFERROR(__xludf.DUMMYFUNCTION("""COMPUTED_VALUE"""),"Experienced founder that has been leading a team for the last 4 years.")</f>
        <v>Experienced founder that has been leading a team for the last 4 years.</v>
      </c>
      <c r="T150" s="437">
        <f ca="1">IFERROR(__xludf.DUMMYFUNCTION("""COMPUTED_VALUE"""),250000)</f>
        <v>250000</v>
      </c>
      <c r="U150" s="179" t="str">
        <f ca="1">IFERROR(__xludf.DUMMYFUNCTION("""COMPUTED_VALUE"""),"&gt;$5M")</f>
        <v>&gt;$5M</v>
      </c>
      <c r="V150" s="179">
        <f ca="1">IFERROR(__xludf.DUMMYFUNCTION("""COMPUTED_VALUE"""),4)</f>
        <v>4</v>
      </c>
      <c r="W150" s="179" t="str">
        <f ca="1">IFERROR(__xludf.DUMMYFUNCTION("""COMPUTED_VALUE"""),"Has a viable product. Current challenges: market conditions, product market fit, funding, cashflows etc.")</f>
        <v>Has a viable product. Current challenges: market conditions, product market fit, funding, cashflows etc.</v>
      </c>
    </row>
    <row r="151" spans="1:23">
      <c r="A151" s="179" t="str">
        <f ca="1">IFERROR(__xludf.DUMMYFUNCTION("""COMPUTED_VALUE"""),"R")</f>
        <v>R</v>
      </c>
      <c r="B151" s="436">
        <f ca="1">IFERROR(__xludf.DUMMYFUNCTION("""COMPUTED_VALUE"""),44793.4212672569)</f>
        <v>44793.421267256897</v>
      </c>
      <c r="C151" s="179" t="str">
        <f ca="1">IFERROR(__xludf.DUMMYFUNCTION("""COMPUTED_VALUE"""),"jsy8879@stern.nyu.edu")</f>
        <v>jsy8879@stern.nyu.edu</v>
      </c>
      <c r="D151" s="179" t="str">
        <f ca="1">IFERROR(__xludf.DUMMYFUNCTION("""COMPUTED_VALUE"""),"Jason Yu")</f>
        <v>Jason Yu</v>
      </c>
      <c r="E151" s="179" t="str">
        <f ca="1">IFERROR(__xludf.DUMMYFUNCTION("""COMPUTED_VALUE"""),"I have read and understand the confidentiality agreement for application reviewers.")</f>
        <v>I have read and understand the confidentiality agreement for application reviewers.</v>
      </c>
      <c r="F151" s="179" t="str">
        <f ca="1">IFERROR(__xludf.DUMMYFUNCTION("""COMPUTED_VALUE"""),"Chiefy")</f>
        <v>Chiefy</v>
      </c>
      <c r="G151" s="179" t="str">
        <f ca="1">IFERROR(__xludf.DUMMYFUNCTION("""COMPUTED_VALUE"""),"SaaS operating system for surgery / Healthcare / Pre-seed")</f>
        <v>SaaS operating system for surgery / Healthcare / Pre-seed</v>
      </c>
      <c r="H151" s="179">
        <f ca="1">IFERROR(__xludf.DUMMYFUNCTION("""COMPUTED_VALUE"""),3)</f>
        <v>3</v>
      </c>
      <c r="I151" s="179">
        <f ca="1">IFERROR(__xludf.DUMMYFUNCTION("""COMPUTED_VALUE"""),2)</f>
        <v>2</v>
      </c>
      <c r="J151" s="179">
        <f ca="1">IFERROR(__xludf.DUMMYFUNCTION("""COMPUTED_VALUE"""),2)</f>
        <v>2</v>
      </c>
      <c r="K151" s="179">
        <f ca="1">IFERROR(__xludf.DUMMYFUNCTION("""COMPUTED_VALUE"""),2)</f>
        <v>2</v>
      </c>
      <c r="L151" s="179" t="str">
        <f ca="1">IFERROR(__xludf.DUMMYFUNCTION("""COMPUTED_VALUE"""),"Essentially a communication and planning tool for surgeons and procedure specific planning.")</f>
        <v>Essentially a communication and planning tool for surgeons and procedure specific planning.</v>
      </c>
      <c r="M151" s="179">
        <f ca="1">IFERROR(__xludf.DUMMYFUNCTION("""COMPUTED_VALUE"""),2)</f>
        <v>2</v>
      </c>
      <c r="N151" s="179">
        <f ca="1">IFERROR(__xludf.DUMMYFUNCTION("""COMPUTED_VALUE"""),1)</f>
        <v>1</v>
      </c>
      <c r="O151" s="179" t="str">
        <f ca="1">IFERROR(__xludf.DUMMYFUNCTION("""COMPUTED_VALUE"""),"B2B2C model and no current customers")</f>
        <v>B2B2C model and no current customers</v>
      </c>
      <c r="P151" s="179">
        <f ca="1">IFERROR(__xludf.DUMMYFUNCTION("""COMPUTED_VALUE"""),3)</f>
        <v>3</v>
      </c>
      <c r="Q151" s="179">
        <f ca="1">IFERROR(__xludf.DUMMYFUNCTION("""COMPUTED_VALUE"""),4)</f>
        <v>4</v>
      </c>
      <c r="R151" s="179">
        <f ca="1">IFERROR(__xludf.DUMMYFUNCTION("""COMPUTED_VALUE"""),4)</f>
        <v>4</v>
      </c>
      <c r="S151" s="179"/>
      <c r="T151" s="437">
        <f ca="1">IFERROR(__xludf.DUMMYFUNCTION("""COMPUTED_VALUE"""),600000)</f>
        <v>600000</v>
      </c>
      <c r="U151" s="179" t="str">
        <f ca="1">IFERROR(__xludf.DUMMYFUNCTION("""COMPUTED_VALUE"""),"$1-$5M")</f>
        <v>$1-$5M</v>
      </c>
      <c r="V151" s="179">
        <f ca="1">IFERROR(__xludf.DUMMYFUNCTION("""COMPUTED_VALUE"""),3)</f>
        <v>3</v>
      </c>
      <c r="W151" s="179" t="str">
        <f ca="1">IFERROR(__xludf.DUMMYFUNCTION("""COMPUTED_VALUE"""),"No current customer base. Unclear what the demand for this software will be.")</f>
        <v>No current customer base. Unclear what the demand for this software will be.</v>
      </c>
    </row>
    <row r="152" spans="1:23">
      <c r="A152" s="179" t="str">
        <f ca="1">IFERROR(__xludf.DUMMYFUNCTION("""COMPUTED_VALUE"""),"R")</f>
        <v>R</v>
      </c>
      <c r="B152" s="436">
        <f ca="1">IFERROR(__xludf.DUMMYFUNCTION("""COMPUTED_VALUE"""),44793.4264025463)</f>
        <v>44793.426402546298</v>
      </c>
      <c r="C152" s="179" t="str">
        <f ca="1">IFERROR(__xludf.DUMMYFUNCTION("""COMPUTED_VALUE"""),"jsy8879@stern.nyu.edu")</f>
        <v>jsy8879@stern.nyu.edu</v>
      </c>
      <c r="D152" s="179" t="str">
        <f ca="1">IFERROR(__xludf.DUMMYFUNCTION("""COMPUTED_VALUE"""),"Jason Yu")</f>
        <v>Jason Yu</v>
      </c>
      <c r="E152" s="179" t="str">
        <f ca="1">IFERROR(__xludf.DUMMYFUNCTION("""COMPUTED_VALUE"""),"I have read and understand the confidentiality agreement for application reviewers.")</f>
        <v>I have read and understand the confidentiality agreement for application reviewers.</v>
      </c>
      <c r="F152" s="179" t="str">
        <f ca="1">IFERROR(__xludf.DUMMYFUNCTION("""COMPUTED_VALUE"""),"CRISP-HR Therapeutics")</f>
        <v>CRISP-HR Therapeutics</v>
      </c>
      <c r="G152" s="179" t="str">
        <f ca="1">IFERROR(__xludf.DUMMYFUNCTION("""COMPUTED_VALUE"""),"CRISPR therapeutics / Healthcare / Pre-seed")</f>
        <v>CRISPR therapeutics / Healthcare / Pre-seed</v>
      </c>
      <c r="H152" s="179">
        <f ca="1">IFERROR(__xludf.DUMMYFUNCTION("""COMPUTED_VALUE"""),4)</f>
        <v>4</v>
      </c>
      <c r="I152" s="179">
        <f ca="1">IFERROR(__xludf.DUMMYFUNCTION("""COMPUTED_VALUE"""),5)</f>
        <v>5</v>
      </c>
      <c r="J152" s="179">
        <f ca="1">IFERROR(__xludf.DUMMYFUNCTION("""COMPUTED_VALUE"""),4)</f>
        <v>4</v>
      </c>
      <c r="K152" s="179">
        <f ca="1">IFERROR(__xludf.DUMMYFUNCTION("""COMPUTED_VALUE"""),4)</f>
        <v>4</v>
      </c>
      <c r="L152" s="179" t="str">
        <f ca="1">IFERROR(__xludf.DUMMYFUNCTION("""COMPUTED_VALUE"""),"In the process of protecting the technology. ""We have been working with WSGR have filed extensive IP around our invention (WO2020146290A1) which is currently in national phase.""")</f>
        <v>In the process of protecting the technology. "We have been working with WSGR have filed extensive IP around our invention (WO2020146290A1) which is currently in national phase."</v>
      </c>
      <c r="M152" s="179">
        <f ca="1">IFERROR(__xludf.DUMMYFUNCTION("""COMPUTED_VALUE"""),4)</f>
        <v>4</v>
      </c>
      <c r="N152" s="179">
        <f ca="1">IFERROR(__xludf.DUMMYFUNCTION("""COMPUTED_VALUE"""),2)</f>
        <v>2</v>
      </c>
      <c r="O152" s="179" t="str">
        <f ca="1">IFERROR(__xludf.DUMMYFUNCTION("""COMPUTED_VALUE"""),"No current customers but Major pharmaceutical players-including Pfizer, Bayer, Regeneron, and others-have demonstrated their strong interest in CRISPR-based platforms.")</f>
        <v>No current customers but Major pharmaceutical players-including Pfizer, Bayer, Regeneron, and others-have demonstrated their strong interest in CRISPR-based platforms.</v>
      </c>
      <c r="P152" s="179">
        <f ca="1">IFERROR(__xludf.DUMMYFUNCTION("""COMPUTED_VALUE"""),4)</f>
        <v>4</v>
      </c>
      <c r="Q152" s="179">
        <f ca="1">IFERROR(__xludf.DUMMYFUNCTION("""COMPUTED_VALUE"""),4)</f>
        <v>4</v>
      </c>
      <c r="R152" s="179">
        <f ca="1">IFERROR(__xludf.DUMMYFUNCTION("""COMPUTED_VALUE"""),4)</f>
        <v>4</v>
      </c>
      <c r="S152" s="179" t="str">
        <f ca="1">IFERROR(__xludf.DUMMYFUNCTION("""COMPUTED_VALUE"""),"Research and Software development founder experience but first startup.")</f>
        <v>Research and Software development founder experience but first startup.</v>
      </c>
      <c r="T152" s="437">
        <f ca="1">IFERROR(__xludf.DUMMYFUNCTION("""COMPUTED_VALUE"""),1500000)</f>
        <v>1500000</v>
      </c>
      <c r="U152" s="179" t="str">
        <f ca="1">IFERROR(__xludf.DUMMYFUNCTION("""COMPUTED_VALUE"""),"$1-$5M")</f>
        <v>$1-$5M</v>
      </c>
      <c r="V152" s="179">
        <f ca="1">IFERROR(__xludf.DUMMYFUNCTION("""COMPUTED_VALUE"""),4)</f>
        <v>4</v>
      </c>
      <c r="W152" s="179" t="str">
        <f ca="1">IFERROR(__xludf.DUMMYFUNCTION("""COMPUTED_VALUE"""),"Minimum viable product and associated with another accelerator. They are currently lookint to improve network on east coast, feedback on indications and business model, recruiting and exposure.")</f>
        <v>Minimum viable product and associated with another accelerator. They are currently lookint to improve network on east coast, feedback on indications and business model, recruiting and exposure.</v>
      </c>
    </row>
    <row r="153" spans="1:23">
      <c r="A153" s="179" t="str">
        <f ca="1">IFERROR(__xludf.DUMMYFUNCTION("""COMPUTED_VALUE"""),"R")</f>
        <v>R</v>
      </c>
      <c r="B153" s="436">
        <f ca="1">IFERROR(__xludf.DUMMYFUNCTION("""COMPUTED_VALUE"""),44793.4320906018)</f>
        <v>44793.432090601797</v>
      </c>
      <c r="C153" s="179" t="str">
        <f ca="1">IFERROR(__xludf.DUMMYFUNCTION("""COMPUTED_VALUE"""),"jsy8879@stern.nyu.edu")</f>
        <v>jsy8879@stern.nyu.edu</v>
      </c>
      <c r="D153" s="179" t="str">
        <f ca="1">IFERROR(__xludf.DUMMYFUNCTION("""COMPUTED_VALUE"""),"Jason Yu")</f>
        <v>Jason Yu</v>
      </c>
      <c r="E153" s="179" t="str">
        <f ca="1">IFERROR(__xludf.DUMMYFUNCTION("""COMPUTED_VALUE"""),"I have read and understand the confidentiality agreement for application reviewers.")</f>
        <v>I have read and understand the confidentiality agreement for application reviewers.</v>
      </c>
      <c r="F153" s="438" t="str">
        <f ca="1">IFERROR(__xludf.DUMMYFUNCTION("""COMPUTED_VALUE"""),"DELIVERS.AI")</f>
        <v>DELIVERS.AI</v>
      </c>
      <c r="G153" s="179" t="str">
        <f ca="1">IFERROR(__xludf.DUMMYFUNCTION("""COMPUTED_VALUE"""),"Autonomous delivery technology / Supply Chain / Seed")</f>
        <v>Autonomous delivery technology / Supply Chain / Seed</v>
      </c>
      <c r="H153" s="179">
        <f ca="1">IFERROR(__xludf.DUMMYFUNCTION("""COMPUTED_VALUE"""),4)</f>
        <v>4</v>
      </c>
      <c r="I153" s="179">
        <f ca="1">IFERROR(__xludf.DUMMYFUNCTION("""COMPUTED_VALUE"""),3)</f>
        <v>3</v>
      </c>
      <c r="J153" s="179">
        <f ca="1">IFERROR(__xludf.DUMMYFUNCTION("""COMPUTED_VALUE"""),4)</f>
        <v>4</v>
      </c>
      <c r="K153" s="179">
        <f ca="1">IFERROR(__xludf.DUMMYFUNCTION("""COMPUTED_VALUE"""),2)</f>
        <v>2</v>
      </c>
      <c r="L153" s="179" t="str">
        <f ca="1">IFERROR(__xludf.DUMMYFUNCTION("""COMPUTED_VALUE"""),"Robot makes local delivery in a 1-mile radius ")</f>
        <v xml:space="preserve">Robot makes local delivery in a 1-mile radius </v>
      </c>
      <c r="M153" s="179">
        <f ca="1">IFERROR(__xludf.DUMMYFUNCTION("""COMPUTED_VALUE"""),4)</f>
        <v>4</v>
      </c>
      <c r="N153" s="179">
        <f ca="1">IFERROR(__xludf.DUMMYFUNCTION("""COMPUTED_VALUE"""),3)</f>
        <v>3</v>
      </c>
      <c r="O153" s="179" t="str">
        <f ca="1">IFERROR(__xludf.DUMMYFUNCTION("""COMPUTED_VALUE"""),"Currently, there are similar models in USA like Starship, Kiwibot, Serve Robotics and Coco Delivery.")</f>
        <v>Currently, there are similar models in USA like Starship, Kiwibot, Serve Robotics and Coco Delivery.</v>
      </c>
      <c r="P153" s="179">
        <f ca="1">IFERROR(__xludf.DUMMYFUNCTION("""COMPUTED_VALUE"""),3)</f>
        <v>3</v>
      </c>
      <c r="Q153" s="179">
        <f ca="1">IFERROR(__xludf.DUMMYFUNCTION("""COMPUTED_VALUE"""),4)</f>
        <v>4</v>
      </c>
      <c r="R153" s="179">
        <f ca="1">IFERROR(__xludf.DUMMYFUNCTION("""COMPUTED_VALUE"""),4)</f>
        <v>4</v>
      </c>
      <c r="S153" s="179" t="str">
        <f ca="1">IFERROR(__xludf.DUMMYFUNCTION("""COMPUTED_VALUE"""),"Founders with startup experience.")</f>
        <v>Founders with startup experience.</v>
      </c>
      <c r="T153" s="437">
        <f ca="1">IFERROR(__xludf.DUMMYFUNCTION("""COMPUTED_VALUE"""),1330000)</f>
        <v>1330000</v>
      </c>
      <c r="U153" s="179" t="str">
        <f ca="1">IFERROR(__xludf.DUMMYFUNCTION("""COMPUTED_VALUE"""),"&gt;$5M")</f>
        <v>&gt;$5M</v>
      </c>
      <c r="V153" s="179">
        <f ca="1">IFERROR(__xludf.DUMMYFUNCTION("""COMPUTED_VALUE"""),3)</f>
        <v>3</v>
      </c>
      <c r="W153" s="179" t="str">
        <f ca="1">IFERROR(__xludf.DUMMYFUNCTION("""COMPUTED_VALUE"""),"The biggest obstacle is the regulatory framework of the sidewalk delivery robots.")</f>
        <v>The biggest obstacle is the regulatory framework of the sidewalk delivery robots.</v>
      </c>
    </row>
    <row r="154" spans="1:23">
      <c r="A154" s="179" t="str">
        <f ca="1">IFERROR(__xludf.DUMMYFUNCTION("""COMPUTED_VALUE"""),"R")</f>
        <v>R</v>
      </c>
      <c r="B154" s="436">
        <f ca="1">IFERROR(__xludf.DUMMYFUNCTION("""COMPUTED_VALUE"""),44793.4379590856)</f>
        <v>44793.437959085597</v>
      </c>
      <c r="C154" s="179" t="str">
        <f ca="1">IFERROR(__xludf.DUMMYFUNCTION("""COMPUTED_VALUE"""),"jsy8879@stern.nyu.edu")</f>
        <v>jsy8879@stern.nyu.edu</v>
      </c>
      <c r="D154" s="179" t="str">
        <f ca="1">IFERROR(__xludf.DUMMYFUNCTION("""COMPUTED_VALUE"""),"Jason Yu")</f>
        <v>Jason Yu</v>
      </c>
      <c r="E154" s="179" t="str">
        <f ca="1">IFERROR(__xludf.DUMMYFUNCTION("""COMPUTED_VALUE"""),"I have read and understand the confidentiality agreement for application reviewers.")</f>
        <v>I have read and understand the confidentiality agreement for application reviewers.</v>
      </c>
      <c r="F154" s="179" t="str">
        <f ca="1">IFERROR(__xludf.DUMMYFUNCTION("""COMPUTED_VALUE"""),"Engage Labs")</f>
        <v>Engage Labs</v>
      </c>
      <c r="G154" s="179" t="str">
        <f ca="1">IFERROR(__xludf.DUMMYFUNCTION("""COMPUTED_VALUE"""),"Connect campaigns and voters for crypto donations / Political / Pre-seed")</f>
        <v>Connect campaigns and voters for crypto donations / Political / Pre-seed</v>
      </c>
      <c r="H154" s="179">
        <f ca="1">IFERROR(__xludf.DUMMYFUNCTION("""COMPUTED_VALUE"""),2)</f>
        <v>2</v>
      </c>
      <c r="I154" s="179">
        <f ca="1">IFERROR(__xludf.DUMMYFUNCTION("""COMPUTED_VALUE"""),3)</f>
        <v>3</v>
      </c>
      <c r="J154" s="179">
        <f ca="1">IFERROR(__xludf.DUMMYFUNCTION("""COMPUTED_VALUE"""),3)</f>
        <v>3</v>
      </c>
      <c r="K154" s="179">
        <f ca="1">IFERROR(__xludf.DUMMYFUNCTION("""COMPUTED_VALUE"""),2)</f>
        <v>2</v>
      </c>
      <c r="L154" s="179" t="str">
        <f ca="1">IFERROR(__xludf.DUMMYFUNCTION("""COMPUTED_VALUE"""),"Through our voter app, we could potentially (eventually) partner with the government on
election security matters.")</f>
        <v>Through our voter app, we could potentially (eventually) partner with the government on
election security matters.</v>
      </c>
      <c r="M154" s="179">
        <f ca="1">IFERROR(__xludf.DUMMYFUNCTION("""COMPUTED_VALUE"""),3)</f>
        <v>3</v>
      </c>
      <c r="N154" s="179">
        <f ca="1">IFERROR(__xludf.DUMMYFUNCTION("""COMPUTED_VALUE"""),1)</f>
        <v>1</v>
      </c>
      <c r="O154" s="179" t="str">
        <f ca="1">IFERROR(__xludf.DUMMYFUNCTION("""COMPUTED_VALUE"""),"$1b+ TAM in the US, $5b+ worldwide.")</f>
        <v>$1b+ TAM in the US, $5b+ worldwide.</v>
      </c>
      <c r="P154" s="179">
        <f ca="1">IFERROR(__xludf.DUMMYFUNCTION("""COMPUTED_VALUE"""),2)</f>
        <v>2</v>
      </c>
      <c r="Q154" s="179">
        <f ca="1">IFERROR(__xludf.DUMMYFUNCTION("""COMPUTED_VALUE"""),3)</f>
        <v>3</v>
      </c>
      <c r="R154" s="179">
        <f ca="1">IFERROR(__xludf.DUMMYFUNCTION("""COMPUTED_VALUE"""),4)</f>
        <v>4</v>
      </c>
      <c r="S154" s="179" t="str">
        <f ca="1">IFERROR(__xludf.DUMMYFUNCTION("""COMPUTED_VALUE"""),"Experience in crypto trading and software development")</f>
        <v>Experience in crypto trading and software development</v>
      </c>
      <c r="T154" s="437">
        <f ca="1">IFERROR(__xludf.DUMMYFUNCTION("""COMPUTED_VALUE"""),1000000)</f>
        <v>1000000</v>
      </c>
      <c r="U154" s="179" t="str">
        <f ca="1">IFERROR(__xludf.DUMMYFUNCTION("""COMPUTED_VALUE"""),"$1-$5M")</f>
        <v>$1-$5M</v>
      </c>
      <c r="V154" s="179">
        <f ca="1">IFERROR(__xludf.DUMMYFUNCTION("""COMPUTED_VALUE"""),3)</f>
        <v>3</v>
      </c>
      <c r="W154" s="179" t="str">
        <f ca="1">IFERROR(__xludf.DUMMYFUNCTION("""COMPUTED_VALUE"""),"Biggest risks are 1) PMF challenges with crypto political fundraising, and 2) lack of consumer interest in the voting app.")</f>
        <v>Biggest risks are 1) PMF challenges with crypto political fundraising, and 2) lack of consumer interest in the voting app.</v>
      </c>
    </row>
    <row r="155" spans="1:23">
      <c r="A155" s="179" t="str">
        <f ca="1">IFERROR(__xludf.DUMMYFUNCTION("""COMPUTED_VALUE"""),"R")</f>
        <v>R</v>
      </c>
      <c r="B155" s="436">
        <f ca="1">IFERROR(__xludf.DUMMYFUNCTION("""COMPUTED_VALUE"""),44793.4444789583)</f>
        <v>44793.444478958299</v>
      </c>
      <c r="C155" s="179" t="str">
        <f ca="1">IFERROR(__xludf.DUMMYFUNCTION("""COMPUTED_VALUE"""),"jsy8879@stern.nyu.edu")</f>
        <v>jsy8879@stern.nyu.edu</v>
      </c>
      <c r="D155" s="179" t="str">
        <f ca="1">IFERROR(__xludf.DUMMYFUNCTION("""COMPUTED_VALUE"""),"Jason Yu")</f>
        <v>Jason Yu</v>
      </c>
      <c r="E155" s="179" t="str">
        <f ca="1">IFERROR(__xludf.DUMMYFUNCTION("""COMPUTED_VALUE"""),"I have read and understand the confidentiality agreement for application reviewers.")</f>
        <v>I have read and understand the confidentiality agreement for application reviewers.</v>
      </c>
      <c r="F155" s="179" t="str">
        <f ca="1">IFERROR(__xludf.DUMMYFUNCTION("""COMPUTED_VALUE"""),"Entoprotech Ltd")</f>
        <v>Entoprotech Ltd</v>
      </c>
      <c r="G155" s="179" t="str">
        <f ca="1">IFERROR(__xludf.DUMMYFUNCTION("""COMPUTED_VALUE"""),"Circular economy company / Agriculture / Seed &amp; Bridge")</f>
        <v>Circular economy company / Agriculture / Seed &amp; Bridge</v>
      </c>
      <c r="H155" s="179">
        <f ca="1">IFERROR(__xludf.DUMMYFUNCTION("""COMPUTED_VALUE"""),4)</f>
        <v>4</v>
      </c>
      <c r="I155" s="179">
        <f ca="1">IFERROR(__xludf.DUMMYFUNCTION("""COMPUTED_VALUE"""),2)</f>
        <v>2</v>
      </c>
      <c r="J155" s="179">
        <f ca="1">IFERROR(__xludf.DUMMYFUNCTION("""COMPUTED_VALUE"""),5)</f>
        <v>5</v>
      </c>
      <c r="K155" s="179">
        <f ca="1">IFERROR(__xludf.DUMMYFUNCTION("""COMPUTED_VALUE"""),2)</f>
        <v>2</v>
      </c>
      <c r="L155" s="179"/>
      <c r="M155" s="179">
        <f ca="1">IFERROR(__xludf.DUMMYFUNCTION("""COMPUTED_VALUE"""),5)</f>
        <v>5</v>
      </c>
      <c r="N155" s="179">
        <f ca="1">IFERROR(__xludf.DUMMYFUNCTION("""COMPUTED_VALUE"""),4)</f>
        <v>4</v>
      </c>
      <c r="O155" s="179" t="str">
        <f ca="1">IFERROR(__xludf.DUMMYFUNCTION("""COMPUTED_VALUE"""),"In 2021, the revenue was ~ $800,000, from waste processing &amp; sales of products.")</f>
        <v>In 2021, the revenue was ~ $800,000, from waste processing &amp; sales of products.</v>
      </c>
      <c r="P155" s="179">
        <f ca="1">IFERROR(__xludf.DUMMYFUNCTION("""COMPUTED_VALUE"""),4)</f>
        <v>4</v>
      </c>
      <c r="Q155" s="179">
        <f ca="1">IFERROR(__xludf.DUMMYFUNCTION("""COMPUTED_VALUE"""),4)</f>
        <v>4</v>
      </c>
      <c r="R155" s="179">
        <f ca="1">IFERROR(__xludf.DUMMYFUNCTION("""COMPUTED_VALUE"""),4)</f>
        <v>4</v>
      </c>
      <c r="S155" s="179" t="str">
        <f ca="1">IFERROR(__xludf.DUMMYFUNCTION("""COMPUTED_VALUE"""),"First startup for all founders")</f>
        <v>First startup for all founders</v>
      </c>
      <c r="T155" s="437">
        <f ca="1">IFERROR(__xludf.DUMMYFUNCTION("""COMPUTED_VALUE"""),5000000)</f>
        <v>5000000</v>
      </c>
      <c r="U155" s="179" t="str">
        <f ca="1">IFERROR(__xludf.DUMMYFUNCTION("""COMPUTED_VALUE"""),"&gt;$5M")</f>
        <v>&gt;$5M</v>
      </c>
      <c r="V155" s="179">
        <f ca="1">IFERROR(__xludf.DUMMYFUNCTION("""COMPUTED_VALUE"""),4)</f>
        <v>4</v>
      </c>
      <c r="W155" s="179" t="str">
        <f ca="1">IFERROR(__xludf.DUMMYFUNCTION("""COMPUTED_VALUE"""),"We have technology developed and tested in real life environment and now we are capital
raising to fund production facilities building and to continue R&amp;D in the field of BSF bioactives. We have enough funds to continue our R&amp;D for another 12-14 month, ho"&amp;"wever capital for facilities is crucial for capacity building and commercialization of the technology.")</f>
        <v>We have technology developed and tested in real life environment and now we are capital
raising to fund production facilities building and to continue R&amp;D in the field of BSF bioactives. We have enough funds to continue our R&amp;D for another 12-14 month, however capital for facilities is crucial for capacity building and commercialization of the technology.</v>
      </c>
    </row>
    <row r="156" spans="1:23">
      <c r="A156" s="179" t="str">
        <f ca="1">IFERROR(__xludf.DUMMYFUNCTION("""COMPUTED_VALUE"""),"R")</f>
        <v>R</v>
      </c>
      <c r="B156" s="436">
        <f ca="1">IFERROR(__xludf.DUMMYFUNCTION("""COMPUTED_VALUE"""),44793.48891625)</f>
        <v>44793.488916249997</v>
      </c>
      <c r="C156" s="179" t="str">
        <f ca="1">IFERROR(__xludf.DUMMYFUNCTION("""COMPUTED_VALUE"""),"ns4976@stern.nyu.edu")</f>
        <v>ns4976@stern.nyu.edu</v>
      </c>
      <c r="D156" s="179" t="str">
        <f ca="1">IFERROR(__xludf.DUMMYFUNCTION("""COMPUTED_VALUE"""),"Nick Schmandt")</f>
        <v>Nick Schmandt</v>
      </c>
      <c r="E156" s="179" t="str">
        <f ca="1">IFERROR(__xludf.DUMMYFUNCTION("""COMPUTED_VALUE"""),"I have read and understand the confidentiality agreement for application reviewers.")</f>
        <v>I have read and understand the confidentiality agreement for application reviewers.</v>
      </c>
      <c r="F156" s="179" t="str">
        <f ca="1">IFERROR(__xludf.DUMMYFUNCTION("""COMPUTED_VALUE"""),"Allergy Butler")</f>
        <v>Allergy Butler</v>
      </c>
      <c r="G156" s="179" t="str">
        <f ca="1">IFERROR(__xludf.DUMMYFUNCTION("""COMPUTED_VALUE"""),"Advanced, they have a working product")</f>
        <v>Advanced, they have a working product</v>
      </c>
      <c r="H156" s="179">
        <f ca="1">IFERROR(__xludf.DUMMYFUNCTION("""COMPUTED_VALUE"""),5)</f>
        <v>5</v>
      </c>
      <c r="I156" s="179">
        <f ca="1">IFERROR(__xludf.DUMMYFUNCTION("""COMPUTED_VALUE"""),4)</f>
        <v>4</v>
      </c>
      <c r="J156" s="179">
        <f ca="1">IFERROR(__xludf.DUMMYFUNCTION("""COMPUTED_VALUE"""),5)</f>
        <v>5</v>
      </c>
      <c r="K156" s="179">
        <f ca="1">IFERROR(__xludf.DUMMYFUNCTION("""COMPUTED_VALUE"""),3)</f>
        <v>3</v>
      </c>
      <c r="L156" s="179" t="str">
        <f ca="1">IFERROR(__xludf.DUMMYFUNCTION("""COMPUTED_VALUE"""),"Seems a strange way of reducing allergies but it works")</f>
        <v>Seems a strange way of reducing allergies but it works</v>
      </c>
      <c r="M156" s="179">
        <f ca="1">IFERROR(__xludf.DUMMYFUNCTION("""COMPUTED_VALUE"""),5)</f>
        <v>5</v>
      </c>
      <c r="N156" s="179">
        <f ca="1">IFERROR(__xludf.DUMMYFUNCTION("""COMPUTED_VALUE"""),4)</f>
        <v>4</v>
      </c>
      <c r="O156" s="179" t="str">
        <f ca="1">IFERROR(__xludf.DUMMYFUNCTION("""COMPUTED_VALUE"""),"Seems like a very large addressable market, not clear why it's struggling")</f>
        <v>Seems like a very large addressable market, not clear why it's struggling</v>
      </c>
      <c r="P156" s="179">
        <f ca="1">IFERROR(__xludf.DUMMYFUNCTION("""COMPUTED_VALUE"""),5)</f>
        <v>5</v>
      </c>
      <c r="Q156" s="179">
        <f ca="1">IFERROR(__xludf.DUMMYFUNCTION("""COMPUTED_VALUE"""),4)</f>
        <v>4</v>
      </c>
      <c r="R156" s="179">
        <f ca="1">IFERROR(__xludf.DUMMYFUNCTION("""COMPUTED_VALUE"""),5)</f>
        <v>5</v>
      </c>
      <c r="S156" s="179" t="str">
        <f ca="1">IFERROR(__xludf.DUMMYFUNCTION("""COMPUTED_VALUE"""),"Team seems experienced, though a few do not even have the company on their LinkedIn profile")</f>
        <v>Team seems experienced, though a few do not even have the company on their LinkedIn profile</v>
      </c>
      <c r="T156" s="437">
        <f ca="1">IFERROR(__xludf.DUMMYFUNCTION("""COMPUTED_VALUE"""),100000)</f>
        <v>100000</v>
      </c>
      <c r="U156" s="179" t="str">
        <f ca="1">IFERROR(__xludf.DUMMYFUNCTION("""COMPUTED_VALUE"""),"$1-$5M")</f>
        <v>$1-$5M</v>
      </c>
      <c r="V156" s="179">
        <f ca="1">IFERROR(__xludf.DUMMYFUNCTION("""COMPUTED_VALUE"""),5)</f>
        <v>5</v>
      </c>
      <c r="W156" s="179" t="str">
        <f ca="1">IFERROR(__xludf.DUMMYFUNCTION("""COMPUTED_VALUE"""),"Seems like a great product, I'm unclear why they chose toothpaste as the delivery vector, instead of something like gum or other oral medication. But certainly looks promising.")</f>
        <v>Seems like a great product, I'm unclear why they chose toothpaste as the delivery vector, instead of something like gum or other oral medication. But certainly looks promising.</v>
      </c>
    </row>
    <row r="157" spans="1:23">
      <c r="A157" s="179" t="str">
        <f ca="1">IFERROR(__xludf.DUMMYFUNCTION("""COMPUTED_VALUE"""),"R")</f>
        <v>R</v>
      </c>
      <c r="B157" s="436">
        <f ca="1">IFERROR(__xludf.DUMMYFUNCTION("""COMPUTED_VALUE"""),44793.4913494791)</f>
        <v>44793.491349479104</v>
      </c>
      <c r="C157" s="179" t="str">
        <f ca="1">IFERROR(__xludf.DUMMYFUNCTION("""COMPUTED_VALUE"""),"jsy8879@stern.nyu.edu")</f>
        <v>jsy8879@stern.nyu.edu</v>
      </c>
      <c r="D157" s="179" t="str">
        <f ca="1">IFERROR(__xludf.DUMMYFUNCTION("""COMPUTED_VALUE"""),"Jason Yu")</f>
        <v>Jason Yu</v>
      </c>
      <c r="E157" s="179" t="str">
        <f ca="1">IFERROR(__xludf.DUMMYFUNCTION("""COMPUTED_VALUE"""),"I have read and understand the confidentiality agreement for application reviewers.")</f>
        <v>I have read and understand the confidentiality agreement for application reviewers.</v>
      </c>
      <c r="F157" s="179" t="str">
        <f ca="1">IFERROR(__xludf.DUMMYFUNCTION("""COMPUTED_VALUE"""),"Gardian Technologies Pty Ltd")</f>
        <v>Gardian Technologies Pty Ltd</v>
      </c>
      <c r="G157" s="179" t="str">
        <f ca="1">IFERROR(__xludf.DUMMYFUNCTION("""COMPUTED_VALUE"""),"Senior assistive technology / Helathcare / Pre-seed")</f>
        <v>Senior assistive technology / Helathcare / Pre-seed</v>
      </c>
      <c r="H157" s="179">
        <f ca="1">IFERROR(__xludf.DUMMYFUNCTION("""COMPUTED_VALUE"""),3)</f>
        <v>3</v>
      </c>
      <c r="I157" s="179">
        <f ca="1">IFERROR(__xludf.DUMMYFUNCTION("""COMPUTED_VALUE"""),2)</f>
        <v>2</v>
      </c>
      <c r="J157" s="179">
        <f ca="1">IFERROR(__xludf.DUMMYFUNCTION("""COMPUTED_VALUE"""),4)</f>
        <v>4</v>
      </c>
      <c r="K157" s="179">
        <f ca="1">IFERROR(__xludf.DUMMYFUNCTION("""COMPUTED_VALUE"""),2)</f>
        <v>2</v>
      </c>
      <c r="L157" s="179"/>
      <c r="M157" s="179">
        <f ca="1">IFERROR(__xludf.DUMMYFUNCTION("""COMPUTED_VALUE"""),3)</f>
        <v>3</v>
      </c>
      <c r="N157" s="179">
        <f ca="1">IFERROR(__xludf.DUMMYFUNCTION("""COMPUTED_VALUE"""),4)</f>
        <v>4</v>
      </c>
      <c r="O157" s="179"/>
      <c r="P157" s="179">
        <f ca="1">IFERROR(__xludf.DUMMYFUNCTION("""COMPUTED_VALUE"""),3)</f>
        <v>3</v>
      </c>
      <c r="Q157" s="179">
        <f ca="1">IFERROR(__xludf.DUMMYFUNCTION("""COMPUTED_VALUE"""),3)</f>
        <v>3</v>
      </c>
      <c r="R157" s="179">
        <f ca="1">IFERROR(__xludf.DUMMYFUNCTION("""COMPUTED_VALUE"""),4)</f>
        <v>4</v>
      </c>
      <c r="S157" s="179" t="str">
        <f ca="1">IFERROR(__xludf.DUMMYFUNCTION("""COMPUTED_VALUE"""),"Gardian has a team of 64, made up of permanent, contract and advisory board members.")</f>
        <v>Gardian has a team of 64, made up of permanent, contract and advisory board members.</v>
      </c>
      <c r="T157" s="437">
        <f ca="1">IFERROR(__xludf.DUMMYFUNCTION("""COMPUTED_VALUE"""),345000)</f>
        <v>345000</v>
      </c>
      <c r="U157" s="179" t="str">
        <f ca="1">IFERROR(__xludf.DUMMYFUNCTION("""COMPUTED_VALUE"""),"&gt;$5M")</f>
        <v>&gt;$5M</v>
      </c>
      <c r="V157" s="179">
        <f ca="1">IFERROR(__xludf.DUMMYFUNCTION("""COMPUTED_VALUE"""),4)</f>
        <v>4</v>
      </c>
      <c r="W157" s="179" t="str">
        <f ca="1">IFERROR(__xludf.DUMMYFUNCTION("""COMPUTED_VALUE"""),"They have customers and revenue the biggest obstacle is a delay in the launch of MVP 1 UAT based on financial constraints.")</f>
        <v>They have customers and revenue the biggest obstacle is a delay in the launch of MVP 1 UAT based on financial constraints.</v>
      </c>
    </row>
    <row r="158" spans="1:23">
      <c r="A158" s="179" t="str">
        <f ca="1">IFERROR(__xludf.DUMMYFUNCTION("""COMPUTED_VALUE"""),"R")</f>
        <v>R</v>
      </c>
      <c r="B158" s="436">
        <f ca="1">IFERROR(__xludf.DUMMYFUNCTION("""COMPUTED_VALUE"""),44793.4991121759)</f>
        <v>44793.499112175901</v>
      </c>
      <c r="C158" s="179" t="str">
        <f ca="1">IFERROR(__xludf.DUMMYFUNCTION("""COMPUTED_VALUE"""),"jm5201@stern.nyu.edu")</f>
        <v>jm5201@stern.nyu.edu</v>
      </c>
      <c r="D158" s="179" t="str">
        <f ca="1">IFERROR(__xludf.DUMMYFUNCTION("""COMPUTED_VALUE"""),"John McDonald")</f>
        <v>John McDonald</v>
      </c>
      <c r="E158" s="179" t="str">
        <f ca="1">IFERROR(__xludf.DUMMYFUNCTION("""COMPUTED_VALUE"""),"I have read and understand the confidentiality agreement for application reviewers.")</f>
        <v>I have read and understand the confidentiality agreement for application reviewers.</v>
      </c>
      <c r="F158" s="179" t="str">
        <f ca="1">IFERROR(__xludf.DUMMYFUNCTION("""COMPUTED_VALUE"""),"FlyX Technologies Inc")</f>
        <v>FlyX Technologies Inc</v>
      </c>
      <c r="G158" s="179" t="str">
        <f ca="1">IFERROR(__xludf.DUMMYFUNCTION("""COMPUTED_VALUE"""),"Wireless charging for drones")</f>
        <v>Wireless charging for drones</v>
      </c>
      <c r="H158" s="179">
        <f ca="1">IFERROR(__xludf.DUMMYFUNCTION("""COMPUTED_VALUE"""),2)</f>
        <v>2</v>
      </c>
      <c r="I158" s="179">
        <f ca="1">IFERROR(__xludf.DUMMYFUNCTION("""COMPUTED_VALUE"""),2)</f>
        <v>2</v>
      </c>
      <c r="J158" s="179">
        <f ca="1">IFERROR(__xludf.DUMMYFUNCTION("""COMPUTED_VALUE"""),2)</f>
        <v>2</v>
      </c>
      <c r="K158" s="179">
        <f ca="1">IFERROR(__xludf.DUMMYFUNCTION("""COMPUTED_VALUE"""),2)</f>
        <v>2</v>
      </c>
      <c r="L158" s="179"/>
      <c r="M158" s="179">
        <f ca="1">IFERROR(__xludf.DUMMYFUNCTION("""COMPUTED_VALUE"""),3)</f>
        <v>3</v>
      </c>
      <c r="N158" s="179">
        <f ca="1">IFERROR(__xludf.DUMMYFUNCTION("""COMPUTED_VALUE"""),2)</f>
        <v>2</v>
      </c>
      <c r="O158" s="179"/>
      <c r="P158" s="179">
        <f ca="1">IFERROR(__xludf.DUMMYFUNCTION("""COMPUTED_VALUE"""),2)</f>
        <v>2</v>
      </c>
      <c r="Q158" s="179">
        <f ca="1">IFERROR(__xludf.DUMMYFUNCTION("""COMPUTED_VALUE"""),2)</f>
        <v>2</v>
      </c>
      <c r="R158" s="179">
        <f ca="1">IFERROR(__xludf.DUMMYFUNCTION("""COMPUTED_VALUE"""),2)</f>
        <v>2</v>
      </c>
      <c r="S158" s="179"/>
      <c r="T158" s="437">
        <f ca="1">IFERROR(__xludf.DUMMYFUNCTION("""COMPUTED_VALUE"""),0)</f>
        <v>0</v>
      </c>
      <c r="U158" s="179" t="str">
        <f ca="1">IFERROR(__xludf.DUMMYFUNCTION("""COMPUTED_VALUE"""),"$1-$5M")</f>
        <v>$1-$5M</v>
      </c>
      <c r="V158" s="179">
        <f ca="1">IFERROR(__xludf.DUMMYFUNCTION("""COMPUTED_VALUE"""),2)</f>
        <v>2</v>
      </c>
      <c r="W158" s="179"/>
    </row>
    <row r="159" spans="1:23">
      <c r="A159" s="179" t="str">
        <f ca="1">IFERROR(__xludf.DUMMYFUNCTION("""COMPUTED_VALUE"""),"R")</f>
        <v>R</v>
      </c>
      <c r="B159" s="436">
        <f ca="1">IFERROR(__xludf.DUMMYFUNCTION("""COMPUTED_VALUE"""),44793.5032907175)</f>
        <v>44793.503290717497</v>
      </c>
      <c r="C159" s="179" t="str">
        <f ca="1">IFERROR(__xludf.DUMMYFUNCTION("""COMPUTED_VALUE"""),"ns4976@stern.nyu.edu")</f>
        <v>ns4976@stern.nyu.edu</v>
      </c>
      <c r="D159" s="179" t="str">
        <f ca="1">IFERROR(__xludf.DUMMYFUNCTION("""COMPUTED_VALUE"""),"Nick Schmandt")</f>
        <v>Nick Schmandt</v>
      </c>
      <c r="E159" s="179" t="str">
        <f ca="1">IFERROR(__xludf.DUMMYFUNCTION("""COMPUTED_VALUE"""),"I have read and understand the confidentiality agreement for application reviewers.")</f>
        <v>I have read and understand the confidentiality agreement for application reviewers.</v>
      </c>
      <c r="F159" s="179" t="str">
        <f ca="1">IFERROR(__xludf.DUMMYFUNCTION("""COMPUTED_VALUE"""),"ArgenTAG")</f>
        <v>ArgenTAG</v>
      </c>
      <c r="G159" s="179" t="str">
        <f ca="1">IFERROR(__xludf.DUMMYFUNCTION("""COMPUTED_VALUE"""),"Advanced, though they still have not figured out how to deliver their product")</f>
        <v>Advanced, though they still have not figured out how to deliver their product</v>
      </c>
      <c r="H159" s="179">
        <f ca="1">IFERROR(__xludf.DUMMYFUNCTION("""COMPUTED_VALUE"""),4)</f>
        <v>4</v>
      </c>
      <c r="I159" s="179">
        <f ca="1">IFERROR(__xludf.DUMMYFUNCTION("""COMPUTED_VALUE"""),3)</f>
        <v>3</v>
      </c>
      <c r="J159" s="179">
        <f ca="1">IFERROR(__xludf.DUMMYFUNCTION("""COMPUTED_VALUE"""),3)</f>
        <v>3</v>
      </c>
      <c r="K159" s="179">
        <f ca="1">IFERROR(__xludf.DUMMYFUNCTION("""COMPUTED_VALUE"""),3)</f>
        <v>3</v>
      </c>
      <c r="L159" s="179" t="str">
        <f ca="1">IFERROR(__xludf.DUMMYFUNCTION("""COMPUTED_VALUE"""),"Seems like it is definitely valuable, some details are unclear to me, however. What they are doing isn't super new but rather more specified to a single cell.")</f>
        <v>Seems like it is definitely valuable, some details are unclear to me, however. What they are doing isn't super new but rather more specified to a single cell.</v>
      </c>
      <c r="M159" s="179">
        <f ca="1">IFERROR(__xludf.DUMMYFUNCTION("""COMPUTED_VALUE"""),3)</f>
        <v>3</v>
      </c>
      <c r="N159" s="179">
        <f ca="1">IFERROR(__xludf.DUMMYFUNCTION("""COMPUTED_VALUE"""),2)</f>
        <v>2</v>
      </c>
      <c r="O159" s="179" t="str">
        <f ca="1">IFERROR(__xludf.DUMMYFUNCTION("""COMPUTED_VALUE"""),"Somewhat small, mostly academics and medical clinics.")</f>
        <v>Somewhat small, mostly academics and medical clinics.</v>
      </c>
      <c r="P159" s="179">
        <f ca="1">IFERROR(__xludf.DUMMYFUNCTION("""COMPUTED_VALUE"""),5)</f>
        <v>5</v>
      </c>
      <c r="Q159" s="179">
        <f ca="1">IFERROR(__xludf.DUMMYFUNCTION("""COMPUTED_VALUE"""),5)</f>
        <v>5</v>
      </c>
      <c r="R159" s="179">
        <f ca="1">IFERROR(__xludf.DUMMYFUNCTION("""COMPUTED_VALUE"""),5)</f>
        <v>5</v>
      </c>
      <c r="S159" s="179" t="str">
        <f ca="1">IFERROR(__xludf.DUMMYFUNCTION("""COMPUTED_VALUE"""),"Very smart and capable team. More scientific than business.")</f>
        <v>Very smart and capable team. More scientific than business.</v>
      </c>
      <c r="T159" s="437">
        <f ca="1">IFERROR(__xludf.DUMMYFUNCTION("""COMPUTED_VALUE"""),575000)</f>
        <v>575000</v>
      </c>
      <c r="U159" s="179" t="str">
        <f ca="1">IFERROR(__xludf.DUMMYFUNCTION("""COMPUTED_VALUE"""),"$1-$5M")</f>
        <v>$1-$5M</v>
      </c>
      <c r="V159" s="179">
        <f ca="1">IFERROR(__xludf.DUMMYFUNCTION("""COMPUTED_VALUE"""),4)</f>
        <v>4</v>
      </c>
      <c r="W159" s="179" t="str">
        <f ca="1">IFERROR(__xludf.DUMMYFUNCTION("""COMPUTED_VALUE"""),"I would like to know more details about the size of their addressable market. If this is robust and they have a strong number of use cases, the product is likely to have a bright future.")</f>
        <v>I would like to know more details about the size of their addressable market. If this is robust and they have a strong number of use cases, the product is likely to have a bright future.</v>
      </c>
    </row>
    <row r="160" spans="1:23">
      <c r="A160" s="179" t="str">
        <f ca="1">IFERROR(__xludf.DUMMYFUNCTION("""COMPUTED_VALUE"""),"R")</f>
        <v>R</v>
      </c>
      <c r="B160" s="436">
        <f ca="1">IFERROR(__xludf.DUMMYFUNCTION("""COMPUTED_VALUE"""),44793.5124932291)</f>
        <v>44793.5124932291</v>
      </c>
      <c r="C160" s="179" t="str">
        <f ca="1">IFERROR(__xludf.DUMMYFUNCTION("""COMPUTED_VALUE"""),"ns4976@stern.nyu.edu")</f>
        <v>ns4976@stern.nyu.edu</v>
      </c>
      <c r="D160" s="179" t="str">
        <f ca="1">IFERROR(__xludf.DUMMYFUNCTION("""COMPUTED_VALUE"""),"Nick Schmandt")</f>
        <v>Nick Schmandt</v>
      </c>
      <c r="E160" s="179" t="str">
        <f ca="1">IFERROR(__xludf.DUMMYFUNCTION("""COMPUTED_VALUE"""),"I have read and understand the confidentiality agreement for application reviewers.")</f>
        <v>I have read and understand the confidentiality agreement for application reviewers.</v>
      </c>
      <c r="F160" s="179" t="str">
        <f ca="1">IFERROR(__xludf.DUMMYFUNCTION("""COMPUTED_VALUE"""),"Aztec Diagnostics")</f>
        <v>Aztec Diagnostics</v>
      </c>
      <c r="G160" s="179" t="str">
        <f ca="1">IFERROR(__xludf.DUMMYFUNCTION("""COMPUTED_VALUE"""),"Getting FDA approval")</f>
        <v>Getting FDA approval</v>
      </c>
      <c r="H160" s="179">
        <f ca="1">IFERROR(__xludf.DUMMYFUNCTION("""COMPUTED_VALUE"""),5)</f>
        <v>5</v>
      </c>
      <c r="I160" s="179">
        <f ca="1">IFERROR(__xludf.DUMMYFUNCTION("""COMPUTED_VALUE"""),4)</f>
        <v>4</v>
      </c>
      <c r="J160" s="179">
        <f ca="1">IFERROR(__xludf.DUMMYFUNCTION("""COMPUTED_VALUE"""),4)</f>
        <v>4</v>
      </c>
      <c r="K160" s="179">
        <f ca="1">IFERROR(__xludf.DUMMYFUNCTION("""COMPUTED_VALUE"""),4)</f>
        <v>4</v>
      </c>
      <c r="L160" s="179" t="str">
        <f ca="1">IFERROR(__xludf.DUMMYFUNCTION("""COMPUTED_VALUE"""),"Seems like a great and simple product.")</f>
        <v>Seems like a great and simple product.</v>
      </c>
      <c r="M160" s="179">
        <f ca="1">IFERROR(__xludf.DUMMYFUNCTION("""COMPUTED_VALUE"""),4)</f>
        <v>4</v>
      </c>
      <c r="N160" s="179">
        <f ca="1">IFERROR(__xludf.DUMMYFUNCTION("""COMPUTED_VALUE"""),4)</f>
        <v>4</v>
      </c>
      <c r="O160" s="179" t="str">
        <f ca="1">IFERROR(__xludf.DUMMYFUNCTION("""COMPUTED_VALUE"""),"Addressable market will be somewhat small, though they have a highly competitive product")</f>
        <v>Addressable market will be somewhat small, though they have a highly competitive product</v>
      </c>
      <c r="P160" s="179">
        <f ca="1">IFERROR(__xludf.DUMMYFUNCTION("""COMPUTED_VALUE"""),5)</f>
        <v>5</v>
      </c>
      <c r="Q160" s="179">
        <f ca="1">IFERROR(__xludf.DUMMYFUNCTION("""COMPUTED_VALUE"""),4)</f>
        <v>4</v>
      </c>
      <c r="R160" s="179">
        <f ca="1">IFERROR(__xludf.DUMMYFUNCTION("""COMPUTED_VALUE"""),2)</f>
        <v>2</v>
      </c>
      <c r="S160" s="179" t="str">
        <f ca="1">IFERROR(__xludf.DUMMYFUNCTION("""COMPUTED_VALUE"""),"Both founders have most of their experience in academia or government jobs, very little private sector experience, let alone start-up experience.")</f>
        <v>Both founders have most of their experience in academia or government jobs, very little private sector experience, let alone start-up experience.</v>
      </c>
      <c r="T160" s="437">
        <f ca="1">IFERROR(__xludf.DUMMYFUNCTION("""COMPUTED_VALUE"""),1500000)</f>
        <v>1500000</v>
      </c>
      <c r="U160" s="179" t="str">
        <f ca="1">IFERROR(__xludf.DUMMYFUNCTION("""COMPUTED_VALUE"""),"$1-$5M")</f>
        <v>$1-$5M</v>
      </c>
      <c r="V160" s="179">
        <f ca="1">IFERROR(__xludf.DUMMYFUNCTION("""COMPUTED_VALUE"""),4)</f>
        <v>4</v>
      </c>
      <c r="W160" s="179" t="str">
        <f ca="1">IFERROR(__xludf.DUMMYFUNCTION("""COMPUTED_VALUE"""),"Great product, long road to marketability, and questionable team experience.")</f>
        <v>Great product, long road to marketability, and questionable team experience.</v>
      </c>
    </row>
    <row r="161" spans="1:23">
      <c r="A161" s="179" t="str">
        <f ca="1">IFERROR(__xludf.DUMMYFUNCTION("""COMPUTED_VALUE"""),"R")</f>
        <v>R</v>
      </c>
      <c r="B161" s="436">
        <f ca="1">IFERROR(__xludf.DUMMYFUNCTION("""COMPUTED_VALUE"""),44793.6346627777)</f>
        <v>44793.634662777702</v>
      </c>
      <c r="C161" s="179" t="str">
        <f ca="1">IFERROR(__xludf.DUMMYFUNCTION("""COMPUTED_VALUE"""),"jm5201@stern.nyu.edu")</f>
        <v>jm5201@stern.nyu.edu</v>
      </c>
      <c r="D161" s="179" t="str">
        <f ca="1">IFERROR(__xludf.DUMMYFUNCTION("""COMPUTED_VALUE"""),"John McDonald")</f>
        <v>John McDonald</v>
      </c>
      <c r="E161" s="179" t="str">
        <f ca="1">IFERROR(__xludf.DUMMYFUNCTION("""COMPUTED_VALUE"""),"I have read and understand the confidentiality agreement for application reviewers.")</f>
        <v>I have read and understand the confidentiality agreement for application reviewers.</v>
      </c>
      <c r="F161" s="179" t="str">
        <f ca="1">IFERROR(__xludf.DUMMYFUNCTION("""COMPUTED_VALUE"""),"Genomic Expression Inc")</f>
        <v>Genomic Expression Inc</v>
      </c>
      <c r="G161" s="179" t="str">
        <f ca="1">IFERROR(__xludf.DUMMYFUNCTION("""COMPUTED_VALUE"""),"Oncology detection")</f>
        <v>Oncology detection</v>
      </c>
      <c r="H161" s="179">
        <f ca="1">IFERROR(__xludf.DUMMYFUNCTION("""COMPUTED_VALUE"""),4)</f>
        <v>4</v>
      </c>
      <c r="I161" s="179">
        <f ca="1">IFERROR(__xludf.DUMMYFUNCTION("""COMPUTED_VALUE"""),4)</f>
        <v>4</v>
      </c>
      <c r="J161" s="179">
        <f ca="1">IFERROR(__xludf.DUMMYFUNCTION("""COMPUTED_VALUE"""),4)</f>
        <v>4</v>
      </c>
      <c r="K161" s="179">
        <f ca="1">IFERROR(__xludf.DUMMYFUNCTION("""COMPUTED_VALUE"""),4)</f>
        <v>4</v>
      </c>
      <c r="L161" s="179"/>
      <c r="M161" s="179">
        <f ca="1">IFERROR(__xludf.DUMMYFUNCTION("""COMPUTED_VALUE"""),4)</f>
        <v>4</v>
      </c>
      <c r="N161" s="179">
        <f ca="1">IFERROR(__xludf.DUMMYFUNCTION("""COMPUTED_VALUE"""),3)</f>
        <v>3</v>
      </c>
      <c r="O161" s="179"/>
      <c r="P161" s="179">
        <f ca="1">IFERROR(__xludf.DUMMYFUNCTION("""COMPUTED_VALUE"""),4)</f>
        <v>4</v>
      </c>
      <c r="Q161" s="179">
        <f ca="1">IFERROR(__xludf.DUMMYFUNCTION("""COMPUTED_VALUE"""),3)</f>
        <v>3</v>
      </c>
      <c r="R161" s="179">
        <f ca="1">IFERROR(__xludf.DUMMYFUNCTION("""COMPUTED_VALUE"""),4)</f>
        <v>4</v>
      </c>
      <c r="S161" s="179"/>
      <c r="T161" s="179"/>
      <c r="U161" s="179" t="str">
        <f ca="1">IFERROR(__xludf.DUMMYFUNCTION("""COMPUTED_VALUE"""),"&gt;$5M")</f>
        <v>&gt;$5M</v>
      </c>
      <c r="V161" s="179">
        <f ca="1">IFERROR(__xludf.DUMMYFUNCTION("""COMPUTED_VALUE"""),4)</f>
        <v>4</v>
      </c>
      <c r="W161" s="179"/>
    </row>
    <row r="162" spans="1:23">
      <c r="A162" s="179" t="str">
        <f ca="1">IFERROR(__xludf.DUMMYFUNCTION("""COMPUTED_VALUE"""),"R")</f>
        <v>R</v>
      </c>
      <c r="B162" s="436">
        <f ca="1">IFERROR(__xludf.DUMMYFUNCTION("""COMPUTED_VALUE"""),44793.6350172916)</f>
        <v>44793.635017291599</v>
      </c>
      <c r="C162" s="179" t="str">
        <f ca="1">IFERROR(__xludf.DUMMYFUNCTION("""COMPUTED_VALUE"""),"ahmed.bahgat@stern.nyu.edu")</f>
        <v>ahmed.bahgat@stern.nyu.edu</v>
      </c>
      <c r="D162" s="179" t="str">
        <f ca="1">IFERROR(__xludf.DUMMYFUNCTION("""COMPUTED_VALUE"""),"Ahmed Bahgat")</f>
        <v>Ahmed Bahgat</v>
      </c>
      <c r="E162" s="179" t="str">
        <f ca="1">IFERROR(__xludf.DUMMYFUNCTION("""COMPUTED_VALUE"""),"I have read and understand the confidentiality agreement for application reviewers.")</f>
        <v>I have read and understand the confidentiality agreement for application reviewers.</v>
      </c>
      <c r="F162" s="179" t="str">
        <f ca="1">IFERROR(__xludf.DUMMYFUNCTION("""COMPUTED_VALUE"""),"Senseidata, S.A.")</f>
        <v>Senseidata, S.A.</v>
      </c>
      <c r="G162" s="179" t="str">
        <f ca="1">IFERROR(__xludf.DUMMYFUNCTION("""COMPUTED_VALUE"""),"AI-powered solution for retailers to build efficient operations, offering an end-to-end solution to capture a wealth of store insights while simultaneously delivering a frictionless shopping experience to consumers specifically targeting the European mark"&amp;"et. ")</f>
        <v xml:space="preserve">AI-powered solution for retailers to build efficient operations, offering an end-to-end solution to capture a wealth of store insights while simultaneously delivering a frictionless shopping experience to consumers specifically targeting the European market. </v>
      </c>
      <c r="H162" s="179">
        <f ca="1">IFERROR(__xludf.DUMMYFUNCTION("""COMPUTED_VALUE"""),5)</f>
        <v>5</v>
      </c>
      <c r="I162" s="179">
        <f ca="1">IFERROR(__xludf.DUMMYFUNCTION("""COMPUTED_VALUE"""),4)</f>
        <v>4</v>
      </c>
      <c r="J162" s="179">
        <f ca="1">IFERROR(__xludf.DUMMYFUNCTION("""COMPUTED_VALUE"""),5)</f>
        <v>5</v>
      </c>
      <c r="K162" s="179">
        <f ca="1">IFERROR(__xludf.DUMMYFUNCTION("""COMPUTED_VALUE"""),2)</f>
        <v>2</v>
      </c>
      <c r="L162" s="179" t="str">
        <f ca="1">IFERROR(__xludf.DUMMYFUNCTION("""COMPUTED_VALUE"""),"Solution allows customers to shop and leave without checking out. Solution is to set up a  network of in-store cameras leveraged together with sensors and proprietary image recognition and algorithms to accurately recognize customer and detecting and trac"&amp;"king each picked/dropped product from the shelves. This solution has been tested with clients and is currently operational.
Patents to be submitted end of 2022.")</f>
        <v>Solution allows customers to shop and leave without checking out. Solution is to set up a  network of in-store cameras leveraged together with sensors and proprietary image recognition and algorithms to accurately recognize customer and detecting and tracking each picked/dropped product from the shelves. This solution has been tested with clients and is currently operational.
Patents to be submitted end of 2022.</v>
      </c>
      <c r="M162" s="179">
        <f ca="1">IFERROR(__xludf.DUMMYFUNCTION("""COMPUTED_VALUE"""),5)</f>
        <v>5</v>
      </c>
      <c r="N162" s="179">
        <f ca="1">IFERROR(__xludf.DUMMYFUNCTION("""COMPUTED_VALUE"""),5)</f>
        <v>5</v>
      </c>
      <c r="O162" s="179" t="str">
        <f ca="1">IFERROR(__xludf.DUMMYFUNCTION("""COMPUTED_VALUE"""),"Focused on European and LatAm markets which do not yet have this technology.")</f>
        <v>Focused on European and LatAm markets which do not yet have this technology.</v>
      </c>
      <c r="P162" s="179">
        <f ca="1">IFERROR(__xludf.DUMMYFUNCTION("""COMPUTED_VALUE"""),5)</f>
        <v>5</v>
      </c>
      <c r="Q162" s="179">
        <f ca="1">IFERROR(__xludf.DUMMYFUNCTION("""COMPUTED_VALUE"""),5)</f>
        <v>5</v>
      </c>
      <c r="R162" s="179">
        <f ca="1">IFERROR(__xludf.DUMMYFUNCTION("""COMPUTED_VALUE"""),5)</f>
        <v>5</v>
      </c>
      <c r="S162" s="179" t="str">
        <f ca="1">IFERROR(__xludf.DUMMYFUNCTION("""COMPUTED_VALUE"""),"Solid team with a strong vision. They seem to have done a lot of market research and have selected a market where they can be the market lead.")</f>
        <v>Solid team with a strong vision. They seem to have done a lot of market research and have selected a market where they can be the market lead.</v>
      </c>
      <c r="T162" s="179"/>
      <c r="U162" s="179" t="str">
        <f ca="1">IFERROR(__xludf.DUMMYFUNCTION("""COMPUTED_VALUE"""),"&gt;$5M")</f>
        <v>&gt;$5M</v>
      </c>
      <c r="V162" s="179">
        <f ca="1">IFERROR(__xludf.DUMMYFUNCTION("""COMPUTED_VALUE"""),5)</f>
        <v>5</v>
      </c>
      <c r="W162" s="179" t="str">
        <f ca="1">IFERROR(__xludf.DUMMYFUNCTION("""COMPUTED_VALUE"""),"Solid team executing a strong vision in a ripe target market. They have a strong product and a market fit and looking to figure out the best way to scale ")</f>
        <v xml:space="preserve">Solid team executing a strong vision in a ripe target market. They have a strong product and a market fit and looking to figure out the best way to scale </v>
      </c>
    </row>
    <row r="163" spans="1:23">
      <c r="A163" s="179" t="str">
        <f ca="1">IFERROR(__xludf.DUMMYFUNCTION("""COMPUTED_VALUE"""),"R")</f>
        <v>R</v>
      </c>
      <c r="B163" s="436">
        <f ca="1">IFERROR(__xludf.DUMMYFUNCTION("""COMPUTED_VALUE"""),44793.6387915162)</f>
        <v>44793.638791516198</v>
      </c>
      <c r="C163" s="179" t="str">
        <f ca="1">IFERROR(__xludf.DUMMYFUNCTION("""COMPUTED_VALUE"""),"jm5201@stern.nyu.edu")</f>
        <v>jm5201@stern.nyu.edu</v>
      </c>
      <c r="D163" s="179" t="str">
        <f ca="1">IFERROR(__xludf.DUMMYFUNCTION("""COMPUTED_VALUE"""),"John McDonald")</f>
        <v>John McDonald</v>
      </c>
      <c r="E163" s="179" t="str">
        <f ca="1">IFERROR(__xludf.DUMMYFUNCTION("""COMPUTED_VALUE"""),"I have read and understand the confidentiality agreement for application reviewers.")</f>
        <v>I have read and understand the confidentiality agreement for application reviewers.</v>
      </c>
      <c r="F163" s="179" t="str">
        <f ca="1">IFERROR(__xludf.DUMMYFUNCTION("""COMPUTED_VALUE"""),"GridMatrix")</f>
        <v>GridMatrix</v>
      </c>
      <c r="G163" s="179" t="str">
        <f ca="1">IFERROR(__xludf.DUMMYFUNCTION("""COMPUTED_VALUE"""),"City road sensor data")</f>
        <v>City road sensor data</v>
      </c>
      <c r="H163" s="179">
        <f ca="1">IFERROR(__xludf.DUMMYFUNCTION("""COMPUTED_VALUE"""),4)</f>
        <v>4</v>
      </c>
      <c r="I163" s="179">
        <f ca="1">IFERROR(__xludf.DUMMYFUNCTION("""COMPUTED_VALUE"""),4)</f>
        <v>4</v>
      </c>
      <c r="J163" s="179">
        <f ca="1">IFERROR(__xludf.DUMMYFUNCTION("""COMPUTED_VALUE"""),4)</f>
        <v>4</v>
      </c>
      <c r="K163" s="179">
        <f ca="1">IFERROR(__xludf.DUMMYFUNCTION("""COMPUTED_VALUE"""),3)</f>
        <v>3</v>
      </c>
      <c r="L163" s="179"/>
      <c r="M163" s="179">
        <f ca="1">IFERROR(__xludf.DUMMYFUNCTION("""COMPUTED_VALUE"""),4)</f>
        <v>4</v>
      </c>
      <c r="N163" s="179">
        <f ca="1">IFERROR(__xludf.DUMMYFUNCTION("""COMPUTED_VALUE"""),4)</f>
        <v>4</v>
      </c>
      <c r="O163" s="179"/>
      <c r="P163" s="179">
        <f ca="1">IFERROR(__xludf.DUMMYFUNCTION("""COMPUTED_VALUE"""),4)</f>
        <v>4</v>
      </c>
      <c r="Q163" s="179">
        <f ca="1">IFERROR(__xludf.DUMMYFUNCTION("""COMPUTED_VALUE"""),3)</f>
        <v>3</v>
      </c>
      <c r="R163" s="179">
        <f ca="1">IFERROR(__xludf.DUMMYFUNCTION("""COMPUTED_VALUE"""),3)</f>
        <v>3</v>
      </c>
      <c r="S163" s="179"/>
      <c r="T163" s="179"/>
      <c r="U163" s="179" t="str">
        <f ca="1">IFERROR(__xludf.DUMMYFUNCTION("""COMPUTED_VALUE"""),"$0")</f>
        <v>$0</v>
      </c>
      <c r="V163" s="179">
        <f ca="1">IFERROR(__xludf.DUMMYFUNCTION("""COMPUTED_VALUE"""),4)</f>
        <v>4</v>
      </c>
      <c r="W163" s="179"/>
    </row>
    <row r="164" spans="1:23">
      <c r="A164" s="179" t="str">
        <f ca="1">IFERROR(__xludf.DUMMYFUNCTION("""COMPUTED_VALUE"""),"R")</f>
        <v>R</v>
      </c>
      <c r="B164" s="436">
        <f ca="1">IFERROR(__xludf.DUMMYFUNCTION("""COMPUTED_VALUE"""),44793.7288419675)</f>
        <v>44793.728841967502</v>
      </c>
      <c r="C164" s="179" t="str">
        <f ca="1">IFERROR(__xludf.DUMMYFUNCTION("""COMPUTED_VALUE"""),"jm5201@stern.nyu.edu")</f>
        <v>jm5201@stern.nyu.edu</v>
      </c>
      <c r="D164" s="179" t="str">
        <f ca="1">IFERROR(__xludf.DUMMYFUNCTION("""COMPUTED_VALUE"""),"John McDonald")</f>
        <v>John McDonald</v>
      </c>
      <c r="E164" s="179" t="str">
        <f ca="1">IFERROR(__xludf.DUMMYFUNCTION("""COMPUTED_VALUE"""),"I have read and understand the confidentiality agreement for application reviewers.")</f>
        <v>I have read and understand the confidentiality agreement for application reviewers.</v>
      </c>
      <c r="F164" s="179" t="str">
        <f ca="1">IFERROR(__xludf.DUMMYFUNCTION("""COMPUTED_VALUE"""),"H Quest Vanguard, Inc.")</f>
        <v>H Quest Vanguard, Inc.</v>
      </c>
      <c r="G164" s="179" t="str">
        <f ca="1">IFERROR(__xludf.DUMMYFUNCTION("""COMPUTED_VALUE"""),"B2B Petrochemical company")</f>
        <v>B2B Petrochemical company</v>
      </c>
      <c r="H164" s="179">
        <f ca="1">IFERROR(__xludf.DUMMYFUNCTION("""COMPUTED_VALUE"""),4)</f>
        <v>4</v>
      </c>
      <c r="I164" s="179">
        <f ca="1">IFERROR(__xludf.DUMMYFUNCTION("""COMPUTED_VALUE"""),4)</f>
        <v>4</v>
      </c>
      <c r="J164" s="179">
        <f ca="1">IFERROR(__xludf.DUMMYFUNCTION("""COMPUTED_VALUE"""),4)</f>
        <v>4</v>
      </c>
      <c r="K164" s="179">
        <f ca="1">IFERROR(__xludf.DUMMYFUNCTION("""COMPUTED_VALUE"""),4)</f>
        <v>4</v>
      </c>
      <c r="L164" s="179"/>
      <c r="M164" s="179">
        <f ca="1">IFERROR(__xludf.DUMMYFUNCTION("""COMPUTED_VALUE"""),3)</f>
        <v>3</v>
      </c>
      <c r="N164" s="179">
        <f ca="1">IFERROR(__xludf.DUMMYFUNCTION("""COMPUTED_VALUE"""),3)</f>
        <v>3</v>
      </c>
      <c r="O164" s="179"/>
      <c r="P164" s="179">
        <f ca="1">IFERROR(__xludf.DUMMYFUNCTION("""COMPUTED_VALUE"""),3)</f>
        <v>3</v>
      </c>
      <c r="Q164" s="179">
        <f ca="1">IFERROR(__xludf.DUMMYFUNCTION("""COMPUTED_VALUE"""),3)</f>
        <v>3</v>
      </c>
      <c r="R164" s="179">
        <f ca="1">IFERROR(__xludf.DUMMYFUNCTION("""COMPUTED_VALUE"""),3)</f>
        <v>3</v>
      </c>
      <c r="S164" s="179"/>
      <c r="T164" s="179"/>
      <c r="U164" s="179" t="str">
        <f ca="1">IFERROR(__xludf.DUMMYFUNCTION("""COMPUTED_VALUE"""),"&gt;$5M")</f>
        <v>&gt;$5M</v>
      </c>
      <c r="V164" s="179">
        <f ca="1">IFERROR(__xludf.DUMMYFUNCTION("""COMPUTED_VALUE"""),4)</f>
        <v>4</v>
      </c>
      <c r="W164" s="179"/>
    </row>
    <row r="165" spans="1:23">
      <c r="A165" s="179" t="str">
        <f ca="1">IFERROR(__xludf.DUMMYFUNCTION("""COMPUTED_VALUE"""),"R")</f>
        <v>R</v>
      </c>
      <c r="B165" s="436">
        <f ca="1">IFERROR(__xludf.DUMMYFUNCTION("""COMPUTED_VALUE"""),44793.7331694675)</f>
        <v>44793.733169467501</v>
      </c>
      <c r="C165" s="179" t="str">
        <f ca="1">IFERROR(__xludf.DUMMYFUNCTION("""COMPUTED_VALUE"""),"jm5201@stern.nyu.edu")</f>
        <v>jm5201@stern.nyu.edu</v>
      </c>
      <c r="D165" s="179" t="str">
        <f ca="1">IFERROR(__xludf.DUMMYFUNCTION("""COMPUTED_VALUE"""),"John McDonald")</f>
        <v>John McDonald</v>
      </c>
      <c r="E165" s="179" t="str">
        <f ca="1">IFERROR(__xludf.DUMMYFUNCTION("""COMPUTED_VALUE"""),"I have read and understand the confidentiality agreement for application reviewers.")</f>
        <v>I have read and understand the confidentiality agreement for application reviewers.</v>
      </c>
      <c r="F165" s="179" t="str">
        <f ca="1">IFERROR(__xludf.DUMMYFUNCTION("""COMPUTED_VALUE"""),"Haystack Oncology")</f>
        <v>Haystack Oncology</v>
      </c>
      <c r="G165" s="179" t="str">
        <f ca="1">IFERROR(__xludf.DUMMYFUNCTION("""COMPUTED_VALUE"""),"Oncology diagnostics")</f>
        <v>Oncology diagnostics</v>
      </c>
      <c r="H165" s="179">
        <f ca="1">IFERROR(__xludf.DUMMYFUNCTION("""COMPUTED_VALUE"""),4)</f>
        <v>4</v>
      </c>
      <c r="I165" s="179">
        <f ca="1">IFERROR(__xludf.DUMMYFUNCTION("""COMPUTED_VALUE"""),4)</f>
        <v>4</v>
      </c>
      <c r="J165" s="179">
        <f ca="1">IFERROR(__xludf.DUMMYFUNCTION("""COMPUTED_VALUE"""),4)</f>
        <v>4</v>
      </c>
      <c r="K165" s="179">
        <f ca="1">IFERROR(__xludf.DUMMYFUNCTION("""COMPUTED_VALUE"""),4)</f>
        <v>4</v>
      </c>
      <c r="L165" s="179"/>
      <c r="M165" s="179">
        <f ca="1">IFERROR(__xludf.DUMMYFUNCTION("""COMPUTED_VALUE"""),4)</f>
        <v>4</v>
      </c>
      <c r="N165" s="179">
        <f ca="1">IFERROR(__xludf.DUMMYFUNCTION("""COMPUTED_VALUE"""),3)</f>
        <v>3</v>
      </c>
      <c r="O165" s="179"/>
      <c r="P165" s="179">
        <f ca="1">IFERROR(__xludf.DUMMYFUNCTION("""COMPUTED_VALUE"""),4)</f>
        <v>4</v>
      </c>
      <c r="Q165" s="179">
        <f ca="1">IFERROR(__xludf.DUMMYFUNCTION("""COMPUTED_VALUE"""),3)</f>
        <v>3</v>
      </c>
      <c r="R165" s="179">
        <f ca="1">IFERROR(__xludf.DUMMYFUNCTION("""COMPUTED_VALUE"""),3)</f>
        <v>3</v>
      </c>
      <c r="S165" s="179"/>
      <c r="T165" s="179"/>
      <c r="U165" s="179" t="str">
        <f ca="1">IFERROR(__xludf.DUMMYFUNCTION("""COMPUTED_VALUE"""),"&gt;$5M")</f>
        <v>&gt;$5M</v>
      </c>
      <c r="V165" s="179">
        <f ca="1">IFERROR(__xludf.DUMMYFUNCTION("""COMPUTED_VALUE"""),5)</f>
        <v>5</v>
      </c>
      <c r="W165" s="179"/>
    </row>
    <row r="166" spans="1:23">
      <c r="A166" s="179" t="str">
        <f ca="1">IFERROR(__xludf.DUMMYFUNCTION("""COMPUTED_VALUE"""),"R")</f>
        <v>R</v>
      </c>
      <c r="B166" s="436">
        <f ca="1">IFERROR(__xludf.DUMMYFUNCTION("""COMPUTED_VALUE"""),44793.7482283912)</f>
        <v>44793.748228391203</v>
      </c>
      <c r="C166" s="179" t="str">
        <f ca="1">IFERROR(__xludf.DUMMYFUNCTION("""COMPUTED_VALUE"""),"jm5201@stern.nyu.edu")</f>
        <v>jm5201@stern.nyu.edu</v>
      </c>
      <c r="D166" s="179" t="str">
        <f ca="1">IFERROR(__xludf.DUMMYFUNCTION("""COMPUTED_VALUE"""),"John McDonald")</f>
        <v>John McDonald</v>
      </c>
      <c r="E166" s="179" t="str">
        <f ca="1">IFERROR(__xludf.DUMMYFUNCTION("""COMPUTED_VALUE"""),"I have read and understand the confidentiality agreement for application reviewers.")</f>
        <v>I have read and understand the confidentiality agreement for application reviewers.</v>
      </c>
      <c r="F166" s="179" t="str">
        <f ca="1">IFERROR(__xludf.DUMMYFUNCTION("""COMPUTED_VALUE"""),"HPC-AI Technology Inc.")</f>
        <v>HPC-AI Technology Inc.</v>
      </c>
      <c r="G166" s="179" t="str">
        <f ca="1">IFERROR(__xludf.DUMMYFUNCTION("""COMPUTED_VALUE"""),"AI ML scale tech")</f>
        <v>AI ML scale tech</v>
      </c>
      <c r="H166" s="179">
        <f ca="1">IFERROR(__xludf.DUMMYFUNCTION("""COMPUTED_VALUE"""),5)</f>
        <v>5</v>
      </c>
      <c r="I166" s="179">
        <f ca="1">IFERROR(__xludf.DUMMYFUNCTION("""COMPUTED_VALUE"""),4)</f>
        <v>4</v>
      </c>
      <c r="J166" s="179">
        <f ca="1">IFERROR(__xludf.DUMMYFUNCTION("""COMPUTED_VALUE"""),4)</f>
        <v>4</v>
      </c>
      <c r="K166" s="179">
        <f ca="1">IFERROR(__xludf.DUMMYFUNCTION("""COMPUTED_VALUE"""),4)</f>
        <v>4</v>
      </c>
      <c r="L166" s="179"/>
      <c r="M166" s="179">
        <f ca="1">IFERROR(__xludf.DUMMYFUNCTION("""COMPUTED_VALUE"""),4)</f>
        <v>4</v>
      </c>
      <c r="N166" s="179">
        <f ca="1">IFERROR(__xludf.DUMMYFUNCTION("""COMPUTED_VALUE"""),4)</f>
        <v>4</v>
      </c>
      <c r="O166" s="179"/>
      <c r="P166" s="179">
        <f ca="1">IFERROR(__xludf.DUMMYFUNCTION("""COMPUTED_VALUE"""),4)</f>
        <v>4</v>
      </c>
      <c r="Q166" s="179">
        <f ca="1">IFERROR(__xludf.DUMMYFUNCTION("""COMPUTED_VALUE"""),3)</f>
        <v>3</v>
      </c>
      <c r="R166" s="179">
        <f ca="1">IFERROR(__xludf.DUMMYFUNCTION("""COMPUTED_VALUE"""),3)</f>
        <v>3</v>
      </c>
      <c r="S166" s="179"/>
      <c r="T166" s="179"/>
      <c r="U166" s="179" t="str">
        <f ca="1">IFERROR(__xludf.DUMMYFUNCTION("""COMPUTED_VALUE"""),"&gt;$5M")</f>
        <v>&gt;$5M</v>
      </c>
      <c r="V166" s="179">
        <f ca="1">IFERROR(__xludf.DUMMYFUNCTION("""COMPUTED_VALUE"""),4)</f>
        <v>4</v>
      </c>
      <c r="W166" s="179"/>
    </row>
    <row r="167" spans="1:23">
      <c r="A167" s="179" t="str">
        <f ca="1">IFERROR(__xludf.DUMMYFUNCTION("""COMPUTED_VALUE"""),"R")</f>
        <v>R</v>
      </c>
      <c r="B167" s="436">
        <f ca="1">IFERROR(__xludf.DUMMYFUNCTION("""COMPUTED_VALUE"""),44793.7930705555)</f>
        <v>44793.793070555497</v>
      </c>
      <c r="C167" s="179" t="str">
        <f ca="1">IFERROR(__xludf.DUMMYFUNCTION("""COMPUTED_VALUE"""),"ns4976@stern.nyu.edu")</f>
        <v>ns4976@stern.nyu.edu</v>
      </c>
      <c r="D167" s="179" t="str">
        <f ca="1">IFERROR(__xludf.DUMMYFUNCTION("""COMPUTED_VALUE"""),"Nick Schmandt")</f>
        <v>Nick Schmandt</v>
      </c>
      <c r="E167" s="179" t="str">
        <f ca="1">IFERROR(__xludf.DUMMYFUNCTION("""COMPUTED_VALUE"""),"I have read and understand the confidentiality agreement for application reviewers.")</f>
        <v>I have read and understand the confidentiality agreement for application reviewers.</v>
      </c>
      <c r="F167" s="179" t="str">
        <f ca="1">IFERROR(__xludf.DUMMYFUNCTION("""COMPUTED_VALUE"""),"Bankuish")</f>
        <v>Bankuish</v>
      </c>
      <c r="G167" s="179" t="str">
        <f ca="1">IFERROR(__xludf.DUMMYFUNCTION("""COMPUTED_VALUE"""),"Advanced")</f>
        <v>Advanced</v>
      </c>
      <c r="H167" s="179">
        <f ca="1">IFERROR(__xludf.DUMMYFUNCTION("""COMPUTED_VALUE"""),5)</f>
        <v>5</v>
      </c>
      <c r="I167" s="179">
        <f ca="1">IFERROR(__xludf.DUMMYFUNCTION("""COMPUTED_VALUE"""),4)</f>
        <v>4</v>
      </c>
      <c r="J167" s="179">
        <f ca="1">IFERROR(__xludf.DUMMYFUNCTION("""COMPUTED_VALUE"""),5)</f>
        <v>5</v>
      </c>
      <c r="K167" s="179">
        <f ca="1">IFERROR(__xludf.DUMMYFUNCTION("""COMPUTED_VALUE"""),3)</f>
        <v>3</v>
      </c>
      <c r="L167" s="179" t="str">
        <f ca="1">IFERROR(__xludf.DUMMYFUNCTION("""COMPUTED_VALUE"""),"Seems like a solid platform. It's not a radical idea so the tech isn't super important")</f>
        <v>Seems like a solid platform. It's not a radical idea so the tech isn't super important</v>
      </c>
      <c r="M167" s="179">
        <f ca="1">IFERROR(__xludf.DUMMYFUNCTION("""COMPUTED_VALUE"""),5)</f>
        <v>5</v>
      </c>
      <c r="N167" s="179">
        <f ca="1">IFERROR(__xludf.DUMMYFUNCTION("""COMPUTED_VALUE"""),5)</f>
        <v>5</v>
      </c>
      <c r="O167" s="179" t="str">
        <f ca="1">IFERROR(__xludf.DUMMYFUNCTION("""COMPUTED_VALUE"""),"Pretty large size and growing as gig economies become more prevalent")</f>
        <v>Pretty large size and growing as gig economies become more prevalent</v>
      </c>
      <c r="P167" s="179">
        <f ca="1">IFERROR(__xludf.DUMMYFUNCTION("""COMPUTED_VALUE"""),5)</f>
        <v>5</v>
      </c>
      <c r="Q167" s="179">
        <f ca="1">IFERROR(__xludf.DUMMYFUNCTION("""COMPUTED_VALUE"""),4)</f>
        <v>4</v>
      </c>
      <c r="R167" s="179">
        <f ca="1">IFERROR(__xludf.DUMMYFUNCTION("""COMPUTED_VALUE"""),5)</f>
        <v>5</v>
      </c>
      <c r="S167" s="179" t="str">
        <f ca="1">IFERROR(__xludf.DUMMYFUNCTION("""COMPUTED_VALUE"""),"Team appears to be very strong")</f>
        <v>Team appears to be very strong</v>
      </c>
      <c r="T167" s="437">
        <f ca="1">IFERROR(__xludf.DUMMYFUNCTION("""COMPUTED_VALUE"""),1300000)</f>
        <v>1300000</v>
      </c>
      <c r="U167" s="179" t="str">
        <f ca="1">IFERROR(__xludf.DUMMYFUNCTION("""COMPUTED_VALUE"""),"&gt;$5M")</f>
        <v>&gt;$5M</v>
      </c>
      <c r="V167" s="179">
        <f ca="1">IFERROR(__xludf.DUMMYFUNCTION("""COMPUTED_VALUE"""),5)</f>
        <v>5</v>
      </c>
      <c r="W167" s="179" t="str">
        <f ca="1">IFERROR(__xludf.DUMMYFUNCTION("""COMPUTED_VALUE"""),"I really like this group, they already have strong revenue growth and are definitely addressing a growing population segment and need.")</f>
        <v>I really like this group, they already have strong revenue growth and are definitely addressing a growing population segment and need.</v>
      </c>
    </row>
    <row r="168" spans="1:23">
      <c r="A168" s="179" t="str">
        <f ca="1">IFERROR(__xludf.DUMMYFUNCTION("""COMPUTED_VALUE"""),"R")</f>
        <v>R</v>
      </c>
      <c r="B168" s="436">
        <f ca="1">IFERROR(__xludf.DUMMYFUNCTION("""COMPUTED_VALUE"""),44793.8064869213)</f>
        <v>44793.806486921298</v>
      </c>
      <c r="C168" s="179" t="str">
        <f ca="1">IFERROR(__xludf.DUMMYFUNCTION("""COMPUTED_VALUE"""),"ns4976@stern.nyu.edu")</f>
        <v>ns4976@stern.nyu.edu</v>
      </c>
      <c r="D168" s="179" t="str">
        <f ca="1">IFERROR(__xludf.DUMMYFUNCTION("""COMPUTED_VALUE"""),"Nick Schmandt")</f>
        <v>Nick Schmandt</v>
      </c>
      <c r="E168" s="179" t="str">
        <f ca="1">IFERROR(__xludf.DUMMYFUNCTION("""COMPUTED_VALUE"""),"I have read and understand the confidentiality agreement for application reviewers.")</f>
        <v>I have read and understand the confidentiality agreement for application reviewers.</v>
      </c>
      <c r="F168" s="179" t="str">
        <f ca="1">IFERROR(__xludf.DUMMYFUNCTION("""COMPUTED_VALUE"""),"BitanGO")</f>
        <v>BitanGO</v>
      </c>
      <c r="G168" s="179" t="str">
        <f ca="1">IFERROR(__xludf.DUMMYFUNCTION("""COMPUTED_VALUE"""),"This is an Indoneasean creator space. They seem fairly advanced, their platform is running and generating revenue.")</f>
        <v>This is an Indoneasean creator space. They seem fairly advanced, their platform is running and generating revenue.</v>
      </c>
      <c r="H168" s="179">
        <f ca="1">IFERROR(__xludf.DUMMYFUNCTION("""COMPUTED_VALUE"""),4)</f>
        <v>4</v>
      </c>
      <c r="I168" s="179">
        <f ca="1">IFERROR(__xludf.DUMMYFUNCTION("""COMPUTED_VALUE"""),3)</f>
        <v>3</v>
      </c>
      <c r="J168" s="179">
        <f ca="1">IFERROR(__xludf.DUMMYFUNCTION("""COMPUTED_VALUE"""),4)</f>
        <v>4</v>
      </c>
      <c r="K168" s="179">
        <f ca="1">IFERROR(__xludf.DUMMYFUNCTION("""COMPUTED_VALUE"""),4)</f>
        <v>4</v>
      </c>
      <c r="L168" s="179" t="str">
        <f ca="1">IFERROR(__xludf.DUMMYFUNCTION("""COMPUTED_VALUE"""),"I don't think what they are building is revolutionary, but getting it to scale will be the challenging part. It seems to be functioning for the level they have so far.")</f>
        <v>I don't think what they are building is revolutionary, but getting it to scale will be the challenging part. It seems to be functioning for the level they have so far.</v>
      </c>
      <c r="M168" s="179">
        <f ca="1">IFERROR(__xludf.DUMMYFUNCTION("""COMPUTED_VALUE"""),5)</f>
        <v>5</v>
      </c>
      <c r="N168" s="179">
        <f ca="1">IFERROR(__xludf.DUMMYFUNCTION("""COMPUTED_VALUE"""),4)</f>
        <v>4</v>
      </c>
      <c r="O168" s="179" t="str">
        <f ca="1">IFERROR(__xludf.DUMMYFUNCTION("""COMPUTED_VALUE"""),"It's not clear to me why they chose Indonesia as their target, and why other creator spaces weren't in that space to begin with. I think they will face competition from other, larger social media platforms that can also curate creator content.")</f>
        <v>It's not clear to me why they chose Indonesia as their target, and why other creator spaces weren't in that space to begin with. I think they will face competition from other, larger social media platforms that can also curate creator content.</v>
      </c>
      <c r="P168" s="179">
        <f ca="1">IFERROR(__xludf.DUMMYFUNCTION("""COMPUTED_VALUE"""),4)</f>
        <v>4</v>
      </c>
      <c r="Q168" s="179">
        <f ca="1">IFERROR(__xludf.DUMMYFUNCTION("""COMPUTED_VALUE"""),4)</f>
        <v>4</v>
      </c>
      <c r="R168" s="179">
        <f ca="1">IFERROR(__xludf.DUMMYFUNCTION("""COMPUTED_VALUE"""),5)</f>
        <v>5</v>
      </c>
      <c r="S168" s="179" t="str">
        <f ca="1">IFERROR(__xludf.DUMMYFUNCTION("""COMPUTED_VALUE"""),"Team seems strong. Lots of prior startup experience, though no clear connection to Indonesia, which is odd.")</f>
        <v>Team seems strong. Lots of prior startup experience, though no clear connection to Indonesia, which is odd.</v>
      </c>
      <c r="T168" s="437">
        <f ca="1">IFERROR(__xludf.DUMMYFUNCTION("""COMPUTED_VALUE"""),2100000)</f>
        <v>2100000</v>
      </c>
      <c r="U168" s="179" t="str">
        <f ca="1">IFERROR(__xludf.DUMMYFUNCTION("""COMPUTED_VALUE"""),"$500K-$1M")</f>
        <v>$500K-$1M</v>
      </c>
      <c r="V168" s="179">
        <f ca="1">IFERROR(__xludf.DUMMYFUNCTION("""COMPUTED_VALUE"""),4)</f>
        <v>4</v>
      </c>
      <c r="W168" s="179" t="str">
        <f ca="1">IFERROR(__xludf.DUMMYFUNCTION("""COMPUTED_VALUE"""),"They are already generating pretty strong revenue and have raised an impressive amount of money and have good revenue. My only issue is it's really not clear why they are operating in Indonesia, and I think they are downplaying competition from regular so"&amp;"cial media, where creators can market content as well for less overhead. But overall I think they have a workable product with at least some size of addressable market.")</f>
        <v>They are already generating pretty strong revenue and have raised an impressive amount of money and have good revenue. My only issue is it's really not clear why they are operating in Indonesia, and I think they are downplaying competition from regular social media, where creators can market content as well for less overhead. But overall I think they have a workable product with at least some size of addressable market.</v>
      </c>
    </row>
    <row r="169" spans="1:23">
      <c r="A169" s="179" t="str">
        <f ca="1">IFERROR(__xludf.DUMMYFUNCTION("""COMPUTED_VALUE"""),"R")</f>
        <v>R</v>
      </c>
      <c r="B169" s="436">
        <f ca="1">IFERROR(__xludf.DUMMYFUNCTION("""COMPUTED_VALUE"""),44793.8529915972)</f>
        <v>44793.852991597203</v>
      </c>
      <c r="C169" s="179" t="str">
        <f ca="1">IFERROR(__xludf.DUMMYFUNCTION("""COMPUTED_VALUE"""),"jm5201@stern.nyu.edu")</f>
        <v>jm5201@stern.nyu.edu</v>
      </c>
      <c r="D169" s="179" t="str">
        <f ca="1">IFERROR(__xludf.DUMMYFUNCTION("""COMPUTED_VALUE"""),"John McDonald")</f>
        <v>John McDonald</v>
      </c>
      <c r="E169" s="179" t="str">
        <f ca="1">IFERROR(__xludf.DUMMYFUNCTION("""COMPUTED_VALUE"""),"I have read and understand the confidentiality agreement for application reviewers.")</f>
        <v>I have read and understand the confidentiality agreement for application reviewers.</v>
      </c>
      <c r="F169" s="179" t="str">
        <f ca="1">IFERROR(__xludf.DUMMYFUNCTION("""COMPUTED_VALUE"""),"Immersive Fox Ltd")</f>
        <v>Immersive Fox Ltd</v>
      </c>
      <c r="G169" s="179" t="str">
        <f ca="1">IFERROR(__xludf.DUMMYFUNCTION("""COMPUTED_VALUE"""),"Camera-less video tech")</f>
        <v>Camera-less video tech</v>
      </c>
      <c r="H169" s="179">
        <f ca="1">IFERROR(__xludf.DUMMYFUNCTION("""COMPUTED_VALUE"""),4)</f>
        <v>4</v>
      </c>
      <c r="I169" s="179">
        <f ca="1">IFERROR(__xludf.DUMMYFUNCTION("""COMPUTED_VALUE"""),4)</f>
        <v>4</v>
      </c>
      <c r="J169" s="179">
        <f ca="1">IFERROR(__xludf.DUMMYFUNCTION("""COMPUTED_VALUE"""),4)</f>
        <v>4</v>
      </c>
      <c r="K169" s="179">
        <f ca="1">IFERROR(__xludf.DUMMYFUNCTION("""COMPUTED_VALUE"""),3)</f>
        <v>3</v>
      </c>
      <c r="L169" s="179"/>
      <c r="M169" s="179">
        <f ca="1">IFERROR(__xludf.DUMMYFUNCTION("""COMPUTED_VALUE"""),4)</f>
        <v>4</v>
      </c>
      <c r="N169" s="179">
        <f ca="1">IFERROR(__xludf.DUMMYFUNCTION("""COMPUTED_VALUE"""),4)</f>
        <v>4</v>
      </c>
      <c r="O169" s="179"/>
      <c r="P169" s="179">
        <f ca="1">IFERROR(__xludf.DUMMYFUNCTION("""COMPUTED_VALUE"""),3)</f>
        <v>3</v>
      </c>
      <c r="Q169" s="179">
        <f ca="1">IFERROR(__xludf.DUMMYFUNCTION("""COMPUTED_VALUE"""),4)</f>
        <v>4</v>
      </c>
      <c r="R169" s="179">
        <f ca="1">IFERROR(__xludf.DUMMYFUNCTION("""COMPUTED_VALUE"""),4)</f>
        <v>4</v>
      </c>
      <c r="S169" s="179"/>
      <c r="T169" s="179"/>
      <c r="U169" s="179" t="str">
        <f ca="1">IFERROR(__xludf.DUMMYFUNCTION("""COMPUTED_VALUE"""),"$1-$5M")</f>
        <v>$1-$5M</v>
      </c>
      <c r="V169" s="179">
        <f ca="1">IFERROR(__xludf.DUMMYFUNCTION("""COMPUTED_VALUE"""),4)</f>
        <v>4</v>
      </c>
      <c r="W169" s="179"/>
    </row>
    <row r="170" spans="1:23">
      <c r="A170" s="179" t="str">
        <f ca="1">IFERROR(__xludf.DUMMYFUNCTION("""COMPUTED_VALUE"""),"R")</f>
        <v>R</v>
      </c>
      <c r="B170" s="436">
        <f ca="1">IFERROR(__xludf.DUMMYFUNCTION("""COMPUTED_VALUE"""),44793.8591764004)</f>
        <v>44793.859176400401</v>
      </c>
      <c r="C170" s="179" t="str">
        <f ca="1">IFERROR(__xludf.DUMMYFUNCTION("""COMPUTED_VALUE"""),"jm5201@stern.nyu.edu")</f>
        <v>jm5201@stern.nyu.edu</v>
      </c>
      <c r="D170" s="179" t="str">
        <f ca="1">IFERROR(__xludf.DUMMYFUNCTION("""COMPUTED_VALUE"""),"John McDonald")</f>
        <v>John McDonald</v>
      </c>
      <c r="E170" s="179" t="str">
        <f ca="1">IFERROR(__xludf.DUMMYFUNCTION("""COMPUTED_VALUE"""),"I have read and understand the confidentiality agreement for application reviewers.")</f>
        <v>I have read and understand the confidentiality agreement for application reviewers.</v>
      </c>
      <c r="F170" s="179" t="str">
        <f ca="1">IFERROR(__xludf.DUMMYFUNCTION("""COMPUTED_VALUE"""),"Impilo")</f>
        <v>Impilo</v>
      </c>
      <c r="G170" s="179" t="str">
        <f ca="1">IFERROR(__xludf.DUMMYFUNCTION("""COMPUTED_VALUE"""),"AI disease diagnosis")</f>
        <v>AI disease diagnosis</v>
      </c>
      <c r="H170" s="179">
        <f ca="1">IFERROR(__xludf.DUMMYFUNCTION("""COMPUTED_VALUE"""),3)</f>
        <v>3</v>
      </c>
      <c r="I170" s="179">
        <f ca="1">IFERROR(__xludf.DUMMYFUNCTION("""COMPUTED_VALUE"""),4)</f>
        <v>4</v>
      </c>
      <c r="J170" s="179">
        <f ca="1">IFERROR(__xludf.DUMMYFUNCTION("""COMPUTED_VALUE"""),3)</f>
        <v>3</v>
      </c>
      <c r="K170" s="179">
        <f ca="1">IFERROR(__xludf.DUMMYFUNCTION("""COMPUTED_VALUE"""),3)</f>
        <v>3</v>
      </c>
      <c r="L170" s="179"/>
      <c r="M170" s="179">
        <f ca="1">IFERROR(__xludf.DUMMYFUNCTION("""COMPUTED_VALUE"""),4)</f>
        <v>4</v>
      </c>
      <c r="N170" s="179">
        <f ca="1">IFERROR(__xludf.DUMMYFUNCTION("""COMPUTED_VALUE"""),1)</f>
        <v>1</v>
      </c>
      <c r="O170" s="179"/>
      <c r="P170" s="179">
        <f ca="1">IFERROR(__xludf.DUMMYFUNCTION("""COMPUTED_VALUE"""),3)</f>
        <v>3</v>
      </c>
      <c r="Q170" s="179">
        <f ca="1">IFERROR(__xludf.DUMMYFUNCTION("""COMPUTED_VALUE"""),2)</f>
        <v>2</v>
      </c>
      <c r="R170" s="179">
        <f ca="1">IFERROR(__xludf.DUMMYFUNCTION("""COMPUTED_VALUE"""),3)</f>
        <v>3</v>
      </c>
      <c r="S170" s="179"/>
      <c r="T170" s="179"/>
      <c r="U170" s="179" t="str">
        <f ca="1">IFERROR(__xludf.DUMMYFUNCTION("""COMPUTED_VALUE"""),"$1M-$5M")</f>
        <v>$1M-$5M</v>
      </c>
      <c r="V170" s="179">
        <f ca="1">IFERROR(__xludf.DUMMYFUNCTION("""COMPUTED_VALUE"""),2)</f>
        <v>2</v>
      </c>
      <c r="W170" s="179"/>
    </row>
    <row r="171" spans="1:23">
      <c r="A171" s="179" t="str">
        <f ca="1">IFERROR(__xludf.DUMMYFUNCTION("""COMPUTED_VALUE"""),"R")</f>
        <v>R</v>
      </c>
      <c r="B171" s="436">
        <f ca="1">IFERROR(__xludf.DUMMYFUNCTION("""COMPUTED_VALUE"""),44793.862773125)</f>
        <v>44793.862773125002</v>
      </c>
      <c r="C171" s="179" t="str">
        <f ca="1">IFERROR(__xludf.DUMMYFUNCTION("""COMPUTED_VALUE"""),"jm5201@stern.nyu.edu")</f>
        <v>jm5201@stern.nyu.edu</v>
      </c>
      <c r="D171" s="179" t="str">
        <f ca="1">IFERROR(__xludf.DUMMYFUNCTION("""COMPUTED_VALUE"""),"John McDonald")</f>
        <v>John McDonald</v>
      </c>
      <c r="E171" s="179" t="str">
        <f ca="1">IFERROR(__xludf.DUMMYFUNCTION("""COMPUTED_VALUE"""),"I have read and understand the confidentiality agreement for application reviewers.")</f>
        <v>I have read and understand the confidentiality agreement for application reviewers.</v>
      </c>
      <c r="F171" s="179" t="str">
        <f ca="1">IFERROR(__xludf.DUMMYFUNCTION("""COMPUTED_VALUE"""),"inHEART")</f>
        <v>inHEART</v>
      </c>
      <c r="G171" s="179" t="str">
        <f ca="1">IFERROR(__xludf.DUMMYFUNCTION("""COMPUTED_VALUE"""),"3D heart imaging tech")</f>
        <v>3D heart imaging tech</v>
      </c>
      <c r="H171" s="179">
        <f ca="1">IFERROR(__xludf.DUMMYFUNCTION("""COMPUTED_VALUE"""),4)</f>
        <v>4</v>
      </c>
      <c r="I171" s="179">
        <f ca="1">IFERROR(__xludf.DUMMYFUNCTION("""COMPUTED_VALUE"""),4)</f>
        <v>4</v>
      </c>
      <c r="J171" s="179">
        <f ca="1">IFERROR(__xludf.DUMMYFUNCTION("""COMPUTED_VALUE"""),4)</f>
        <v>4</v>
      </c>
      <c r="K171" s="179">
        <f ca="1">IFERROR(__xludf.DUMMYFUNCTION("""COMPUTED_VALUE"""),4)</f>
        <v>4</v>
      </c>
      <c r="L171" s="179"/>
      <c r="M171" s="179">
        <f ca="1">IFERROR(__xludf.DUMMYFUNCTION("""COMPUTED_VALUE"""),4)</f>
        <v>4</v>
      </c>
      <c r="N171" s="179">
        <f ca="1">IFERROR(__xludf.DUMMYFUNCTION("""COMPUTED_VALUE"""),4)</f>
        <v>4</v>
      </c>
      <c r="O171" s="179"/>
      <c r="P171" s="179">
        <f ca="1">IFERROR(__xludf.DUMMYFUNCTION("""COMPUTED_VALUE"""),3)</f>
        <v>3</v>
      </c>
      <c r="Q171" s="179">
        <f ca="1">IFERROR(__xludf.DUMMYFUNCTION("""COMPUTED_VALUE"""),4)</f>
        <v>4</v>
      </c>
      <c r="R171" s="179">
        <f ca="1">IFERROR(__xludf.DUMMYFUNCTION("""COMPUTED_VALUE"""),5)</f>
        <v>5</v>
      </c>
      <c r="S171" s="179"/>
      <c r="T171" s="179"/>
      <c r="U171" s="179" t="str">
        <f ca="1">IFERROR(__xludf.DUMMYFUNCTION("""COMPUTED_VALUE"""),"$1-$5M")</f>
        <v>$1-$5M</v>
      </c>
      <c r="V171" s="179">
        <f ca="1">IFERROR(__xludf.DUMMYFUNCTION("""COMPUTED_VALUE"""),4)</f>
        <v>4</v>
      </c>
      <c r="W171" s="179"/>
    </row>
    <row r="172" spans="1:23">
      <c r="A172" s="179" t="str">
        <f ca="1">IFERROR(__xludf.DUMMYFUNCTION("""COMPUTED_VALUE"""),"R")</f>
        <v>R</v>
      </c>
      <c r="B172" s="436">
        <f ca="1">IFERROR(__xludf.DUMMYFUNCTION("""COMPUTED_VALUE"""),44793.8690147453)</f>
        <v>44793.869014745302</v>
      </c>
      <c r="C172" s="179" t="str">
        <f ca="1">IFERROR(__xludf.DUMMYFUNCTION("""COMPUTED_VALUE"""),"jm5201@stern.nyu.edu")</f>
        <v>jm5201@stern.nyu.edu</v>
      </c>
      <c r="D172" s="179" t="str">
        <f ca="1">IFERROR(__xludf.DUMMYFUNCTION("""COMPUTED_VALUE"""),"John McDonald")</f>
        <v>John McDonald</v>
      </c>
      <c r="E172" s="179" t="str">
        <f ca="1">IFERROR(__xludf.DUMMYFUNCTION("""COMPUTED_VALUE"""),"I have read and understand the confidentiality agreement for application reviewers.")</f>
        <v>I have read and understand the confidentiality agreement for application reviewers.</v>
      </c>
      <c r="F172" s="179" t="str">
        <f ca="1">IFERROR(__xludf.DUMMYFUNCTION("""COMPUTED_VALUE"""),"Inso Biosciences Inc.")</f>
        <v>Inso Biosciences Inc.</v>
      </c>
      <c r="G172" s="179" t="str">
        <f ca="1">IFERROR(__xludf.DUMMYFUNCTION("""COMPUTED_VALUE"""),"Biotech hardware tools")</f>
        <v>Biotech hardware tools</v>
      </c>
      <c r="H172" s="179">
        <f ca="1">IFERROR(__xludf.DUMMYFUNCTION("""COMPUTED_VALUE"""),4)</f>
        <v>4</v>
      </c>
      <c r="I172" s="179">
        <f ca="1">IFERROR(__xludf.DUMMYFUNCTION("""COMPUTED_VALUE"""),4)</f>
        <v>4</v>
      </c>
      <c r="J172" s="179">
        <f ca="1">IFERROR(__xludf.DUMMYFUNCTION("""COMPUTED_VALUE"""),3)</f>
        <v>3</v>
      </c>
      <c r="K172" s="179">
        <f ca="1">IFERROR(__xludf.DUMMYFUNCTION("""COMPUTED_VALUE"""),4)</f>
        <v>4</v>
      </c>
      <c r="L172" s="179"/>
      <c r="M172" s="179">
        <f ca="1">IFERROR(__xludf.DUMMYFUNCTION("""COMPUTED_VALUE"""),4)</f>
        <v>4</v>
      </c>
      <c r="N172" s="179">
        <f ca="1">IFERROR(__xludf.DUMMYFUNCTION("""COMPUTED_VALUE"""),2)</f>
        <v>2</v>
      </c>
      <c r="O172" s="179"/>
      <c r="P172" s="179">
        <f ca="1">IFERROR(__xludf.DUMMYFUNCTION("""COMPUTED_VALUE"""),4)</f>
        <v>4</v>
      </c>
      <c r="Q172" s="179">
        <f ca="1">IFERROR(__xludf.DUMMYFUNCTION("""COMPUTED_VALUE"""),4)</f>
        <v>4</v>
      </c>
      <c r="R172" s="179">
        <f ca="1">IFERROR(__xludf.DUMMYFUNCTION("""COMPUTED_VALUE"""),4)</f>
        <v>4</v>
      </c>
      <c r="S172" s="179"/>
      <c r="T172" s="179"/>
      <c r="U172" s="179" t="str">
        <f ca="1">IFERROR(__xludf.DUMMYFUNCTION("""COMPUTED_VALUE"""),"$0")</f>
        <v>$0</v>
      </c>
      <c r="V172" s="179">
        <f ca="1">IFERROR(__xludf.DUMMYFUNCTION("""COMPUTED_VALUE"""),4)</f>
        <v>4</v>
      </c>
      <c r="W172" s="179"/>
    </row>
    <row r="173" spans="1:23">
      <c r="A173" s="179" t="str">
        <f ca="1">IFERROR(__xludf.DUMMYFUNCTION("""COMPUTED_VALUE"""),"R")</f>
        <v>R</v>
      </c>
      <c r="B173" s="436">
        <f ca="1">IFERROR(__xludf.DUMMYFUNCTION("""COMPUTED_VALUE"""),44793.8746724421)</f>
        <v>44793.8746724421</v>
      </c>
      <c r="C173" s="179" t="str">
        <f ca="1">IFERROR(__xludf.DUMMYFUNCTION("""COMPUTED_VALUE"""),"jm5201@stern.nyu.edu")</f>
        <v>jm5201@stern.nyu.edu</v>
      </c>
      <c r="D173" s="179" t="str">
        <f ca="1">IFERROR(__xludf.DUMMYFUNCTION("""COMPUTED_VALUE"""),"John McDonald")</f>
        <v>John McDonald</v>
      </c>
      <c r="E173" s="179" t="str">
        <f ca="1">IFERROR(__xludf.DUMMYFUNCTION("""COMPUTED_VALUE"""),"I have read and understand the confidentiality agreement for application reviewers.")</f>
        <v>I have read and understand the confidentiality agreement for application reviewers.</v>
      </c>
      <c r="F173" s="179" t="str">
        <f ca="1">IFERROR(__xludf.DUMMYFUNCTION("""COMPUTED_VALUE"""),"Insu Health Design, Inc")</f>
        <v>Insu Health Design, Inc</v>
      </c>
      <c r="G173" s="179" t="str">
        <f ca="1">IFERROR(__xludf.DUMMYFUNCTION("""COMPUTED_VALUE"""),"Smart portable cooling tech")</f>
        <v>Smart portable cooling tech</v>
      </c>
      <c r="H173" s="179">
        <f ca="1">IFERROR(__xludf.DUMMYFUNCTION("""COMPUTED_VALUE"""),4)</f>
        <v>4</v>
      </c>
      <c r="I173" s="179">
        <f ca="1">IFERROR(__xludf.DUMMYFUNCTION("""COMPUTED_VALUE"""),4)</f>
        <v>4</v>
      </c>
      <c r="J173" s="179">
        <f ca="1">IFERROR(__xludf.DUMMYFUNCTION("""COMPUTED_VALUE"""),3)</f>
        <v>3</v>
      </c>
      <c r="K173" s="179">
        <f ca="1">IFERROR(__xludf.DUMMYFUNCTION("""COMPUTED_VALUE"""),2)</f>
        <v>2</v>
      </c>
      <c r="L173" s="179"/>
      <c r="M173" s="179">
        <f ca="1">IFERROR(__xludf.DUMMYFUNCTION("""COMPUTED_VALUE"""),4)</f>
        <v>4</v>
      </c>
      <c r="N173" s="179">
        <f ca="1">IFERROR(__xludf.DUMMYFUNCTION("""COMPUTED_VALUE"""),2)</f>
        <v>2</v>
      </c>
      <c r="O173" s="179"/>
      <c r="P173" s="179">
        <f ca="1">IFERROR(__xludf.DUMMYFUNCTION("""COMPUTED_VALUE"""),4)</f>
        <v>4</v>
      </c>
      <c r="Q173" s="179">
        <f ca="1">IFERROR(__xludf.DUMMYFUNCTION("""COMPUTED_VALUE"""),4)</f>
        <v>4</v>
      </c>
      <c r="R173" s="179">
        <f ca="1">IFERROR(__xludf.DUMMYFUNCTION("""COMPUTED_VALUE"""),3)</f>
        <v>3</v>
      </c>
      <c r="S173" s="179"/>
      <c r="T173" s="179"/>
      <c r="U173" s="179" t="str">
        <f ca="1">IFERROR(__xludf.DUMMYFUNCTION("""COMPUTED_VALUE"""),"$500K-$1M")</f>
        <v>$500K-$1M</v>
      </c>
      <c r="V173" s="179">
        <f ca="1">IFERROR(__xludf.DUMMYFUNCTION("""COMPUTED_VALUE"""),3)</f>
        <v>3</v>
      </c>
      <c r="W173" s="179"/>
    </row>
    <row r="174" spans="1:23">
      <c r="A174" s="179" t="str">
        <f ca="1">IFERROR(__xludf.DUMMYFUNCTION("""COMPUTED_VALUE"""),"R")</f>
        <v>R</v>
      </c>
      <c r="B174" s="436">
        <f ca="1">IFERROR(__xludf.DUMMYFUNCTION("""COMPUTED_VALUE"""),44793.8769229745)</f>
        <v>44793.876922974501</v>
      </c>
      <c r="C174" s="179" t="str">
        <f ca="1">IFERROR(__xludf.DUMMYFUNCTION("""COMPUTED_VALUE"""),"jm5201@stern.nyu.edu")</f>
        <v>jm5201@stern.nyu.edu</v>
      </c>
      <c r="D174" s="179" t="str">
        <f ca="1">IFERROR(__xludf.DUMMYFUNCTION("""COMPUTED_VALUE"""),"John McDonald")</f>
        <v>John McDonald</v>
      </c>
      <c r="E174" s="179" t="str">
        <f ca="1">IFERROR(__xludf.DUMMYFUNCTION("""COMPUTED_VALUE"""),"I have read and understand the confidentiality agreement for application reviewers.")</f>
        <v>I have read and understand the confidentiality agreement for application reviewers.</v>
      </c>
      <c r="F174" s="179" t="str">
        <f ca="1">IFERROR(__xludf.DUMMYFUNCTION("""COMPUTED_VALUE"""),"Intelligent AI")</f>
        <v>Intelligent AI</v>
      </c>
      <c r="G174" s="179" t="str">
        <f ca="1">IFERROR(__xludf.DUMMYFUNCTION("""COMPUTED_VALUE"""),"AI Insurance risk providor")</f>
        <v>AI Insurance risk providor</v>
      </c>
      <c r="H174" s="179">
        <f ca="1">IFERROR(__xludf.DUMMYFUNCTION("""COMPUTED_VALUE"""),4)</f>
        <v>4</v>
      </c>
      <c r="I174" s="179">
        <f ca="1">IFERROR(__xludf.DUMMYFUNCTION("""COMPUTED_VALUE"""),4)</f>
        <v>4</v>
      </c>
      <c r="J174" s="179">
        <f ca="1">IFERROR(__xludf.DUMMYFUNCTION("""COMPUTED_VALUE"""),3)</f>
        <v>3</v>
      </c>
      <c r="K174" s="179">
        <f ca="1">IFERROR(__xludf.DUMMYFUNCTION("""COMPUTED_VALUE"""),3)</f>
        <v>3</v>
      </c>
      <c r="L174" s="179"/>
      <c r="M174" s="179">
        <f ca="1">IFERROR(__xludf.DUMMYFUNCTION("""COMPUTED_VALUE"""),4)</f>
        <v>4</v>
      </c>
      <c r="N174" s="179">
        <f ca="1">IFERROR(__xludf.DUMMYFUNCTION("""COMPUTED_VALUE"""),4)</f>
        <v>4</v>
      </c>
      <c r="O174" s="179"/>
      <c r="P174" s="179">
        <f ca="1">IFERROR(__xludf.DUMMYFUNCTION("""COMPUTED_VALUE"""),3)</f>
        <v>3</v>
      </c>
      <c r="Q174" s="179">
        <f ca="1">IFERROR(__xludf.DUMMYFUNCTION("""COMPUTED_VALUE"""),4)</f>
        <v>4</v>
      </c>
      <c r="R174" s="179">
        <f ca="1">IFERROR(__xludf.DUMMYFUNCTION("""COMPUTED_VALUE"""),4)</f>
        <v>4</v>
      </c>
      <c r="S174" s="179"/>
      <c r="T174" s="179"/>
      <c r="U174" s="179" t="str">
        <f ca="1">IFERROR(__xludf.DUMMYFUNCTION("""COMPUTED_VALUE"""),"$1-$5M")</f>
        <v>$1-$5M</v>
      </c>
      <c r="V174" s="179">
        <f ca="1">IFERROR(__xludf.DUMMYFUNCTION("""COMPUTED_VALUE"""),4)</f>
        <v>4</v>
      </c>
      <c r="W174" s="179"/>
    </row>
    <row r="175" spans="1:23">
      <c r="A175" s="179" t="str">
        <f ca="1">IFERROR(__xludf.DUMMYFUNCTION("""COMPUTED_VALUE"""),"R")</f>
        <v>R</v>
      </c>
      <c r="B175" s="436">
        <f ca="1">IFERROR(__xludf.DUMMYFUNCTION("""COMPUTED_VALUE"""),44793.8804364814)</f>
        <v>44793.880436481399</v>
      </c>
      <c r="C175" s="179" t="str">
        <f ca="1">IFERROR(__xludf.DUMMYFUNCTION("""COMPUTED_VALUE"""),"jm5201@stern.nyu.edu")</f>
        <v>jm5201@stern.nyu.edu</v>
      </c>
      <c r="D175" s="179" t="str">
        <f ca="1">IFERROR(__xludf.DUMMYFUNCTION("""COMPUTED_VALUE"""),"John McDonald")</f>
        <v>John McDonald</v>
      </c>
      <c r="E175" s="179" t="str">
        <f ca="1">IFERROR(__xludf.DUMMYFUNCTION("""COMPUTED_VALUE"""),"I have read and understand the confidentiality agreement for application reviewers.")</f>
        <v>I have read and understand the confidentiality agreement for application reviewers.</v>
      </c>
      <c r="F175" s="179" t="str">
        <f ca="1">IFERROR(__xludf.DUMMYFUNCTION("""COMPUTED_VALUE"""),"iQure Pharma Inc")</f>
        <v>iQure Pharma Inc</v>
      </c>
      <c r="G175" s="179" t="str">
        <f ca="1">IFERROR(__xludf.DUMMYFUNCTION("""COMPUTED_VALUE"""),"Pain therapeutics ")</f>
        <v xml:space="preserve">Pain therapeutics </v>
      </c>
      <c r="H175" s="179">
        <f ca="1">IFERROR(__xludf.DUMMYFUNCTION("""COMPUTED_VALUE"""),4)</f>
        <v>4</v>
      </c>
      <c r="I175" s="179">
        <f ca="1">IFERROR(__xludf.DUMMYFUNCTION("""COMPUTED_VALUE"""),3)</f>
        <v>3</v>
      </c>
      <c r="J175" s="179">
        <f ca="1">IFERROR(__xludf.DUMMYFUNCTION("""COMPUTED_VALUE"""),3)</f>
        <v>3</v>
      </c>
      <c r="K175" s="179">
        <f ca="1">IFERROR(__xludf.DUMMYFUNCTION("""COMPUTED_VALUE"""),3)</f>
        <v>3</v>
      </c>
      <c r="L175" s="179"/>
      <c r="M175" s="179">
        <f ca="1">IFERROR(__xludf.DUMMYFUNCTION("""COMPUTED_VALUE"""),4)</f>
        <v>4</v>
      </c>
      <c r="N175" s="179">
        <f ca="1">IFERROR(__xludf.DUMMYFUNCTION("""COMPUTED_VALUE"""),3)</f>
        <v>3</v>
      </c>
      <c r="O175" s="179"/>
      <c r="P175" s="179">
        <f ca="1">IFERROR(__xludf.DUMMYFUNCTION("""COMPUTED_VALUE"""),3)</f>
        <v>3</v>
      </c>
      <c r="Q175" s="179">
        <f ca="1">IFERROR(__xludf.DUMMYFUNCTION("""COMPUTED_VALUE"""),3)</f>
        <v>3</v>
      </c>
      <c r="R175" s="179">
        <f ca="1">IFERROR(__xludf.DUMMYFUNCTION("""COMPUTED_VALUE"""),3)</f>
        <v>3</v>
      </c>
      <c r="S175" s="179"/>
      <c r="T175" s="179"/>
      <c r="U175" s="179" t="str">
        <f ca="1">IFERROR(__xludf.DUMMYFUNCTION("""COMPUTED_VALUE"""),"$1-$5M")</f>
        <v>$1-$5M</v>
      </c>
      <c r="V175" s="179">
        <f ca="1">IFERROR(__xludf.DUMMYFUNCTION("""COMPUTED_VALUE"""),4)</f>
        <v>4</v>
      </c>
      <c r="W175" s="179"/>
    </row>
    <row r="176" spans="1:23">
      <c r="A176" s="179" t="str">
        <f ca="1">IFERROR(__xludf.DUMMYFUNCTION("""COMPUTED_VALUE"""),"R")</f>
        <v>R</v>
      </c>
      <c r="B176" s="436">
        <f ca="1">IFERROR(__xludf.DUMMYFUNCTION("""COMPUTED_VALUE"""),44793.884465949)</f>
        <v>44793.884465948999</v>
      </c>
      <c r="C176" s="179" t="str">
        <f ca="1">IFERROR(__xludf.DUMMYFUNCTION("""COMPUTED_VALUE"""),"jm5201@stern.nyu.edu")</f>
        <v>jm5201@stern.nyu.edu</v>
      </c>
      <c r="D176" s="179" t="str">
        <f ca="1">IFERROR(__xludf.DUMMYFUNCTION("""COMPUTED_VALUE"""),"John McDonald")</f>
        <v>John McDonald</v>
      </c>
      <c r="E176" s="179" t="str">
        <f ca="1">IFERROR(__xludf.DUMMYFUNCTION("""COMPUTED_VALUE"""),"I have read and understand the confidentiality agreement for application reviewers.")</f>
        <v>I have read and understand the confidentiality agreement for application reviewers.</v>
      </c>
      <c r="F176" s="179" t="str">
        <f ca="1">IFERROR(__xludf.DUMMYFUNCTION("""COMPUTED_VALUE"""),"Ischemia Care")</f>
        <v>Ischemia Care</v>
      </c>
      <c r="G176" s="179" t="str">
        <f ca="1">IFERROR(__xludf.DUMMYFUNCTION("""COMPUTED_VALUE"""),"Stroke diagnosis blood testing")</f>
        <v>Stroke diagnosis blood testing</v>
      </c>
      <c r="H176" s="179">
        <f ca="1">IFERROR(__xludf.DUMMYFUNCTION("""COMPUTED_VALUE"""),3)</f>
        <v>3</v>
      </c>
      <c r="I176" s="179">
        <f ca="1">IFERROR(__xludf.DUMMYFUNCTION("""COMPUTED_VALUE"""),3)</f>
        <v>3</v>
      </c>
      <c r="J176" s="179">
        <f ca="1">IFERROR(__xludf.DUMMYFUNCTION("""COMPUTED_VALUE"""),4)</f>
        <v>4</v>
      </c>
      <c r="K176" s="179">
        <f ca="1">IFERROR(__xludf.DUMMYFUNCTION("""COMPUTED_VALUE"""),2)</f>
        <v>2</v>
      </c>
      <c r="L176" s="179"/>
      <c r="M176" s="179">
        <f ca="1">IFERROR(__xludf.DUMMYFUNCTION("""COMPUTED_VALUE"""),3)</f>
        <v>3</v>
      </c>
      <c r="N176" s="179">
        <f ca="1">IFERROR(__xludf.DUMMYFUNCTION("""COMPUTED_VALUE"""),3)</f>
        <v>3</v>
      </c>
      <c r="O176" s="179"/>
      <c r="P176" s="179">
        <f ca="1">IFERROR(__xludf.DUMMYFUNCTION("""COMPUTED_VALUE"""),3)</f>
        <v>3</v>
      </c>
      <c r="Q176" s="179">
        <f ca="1">IFERROR(__xludf.DUMMYFUNCTION("""COMPUTED_VALUE"""),3)</f>
        <v>3</v>
      </c>
      <c r="R176" s="179">
        <f ca="1">IFERROR(__xludf.DUMMYFUNCTION("""COMPUTED_VALUE"""),4)</f>
        <v>4</v>
      </c>
      <c r="S176" s="179"/>
      <c r="T176" s="179"/>
      <c r="U176" s="179" t="str">
        <f ca="1">IFERROR(__xludf.DUMMYFUNCTION("""COMPUTED_VALUE"""),"&gt;$5M")</f>
        <v>&gt;$5M</v>
      </c>
      <c r="V176" s="179">
        <f ca="1">IFERROR(__xludf.DUMMYFUNCTION("""COMPUTED_VALUE"""),4)</f>
        <v>4</v>
      </c>
      <c r="W176" s="179"/>
    </row>
    <row r="177" spans="1:23">
      <c r="A177" s="179" t="str">
        <f ca="1">IFERROR(__xludf.DUMMYFUNCTION("""COMPUTED_VALUE"""),"R")</f>
        <v>R</v>
      </c>
      <c r="B177" s="436">
        <f ca="1">IFERROR(__xludf.DUMMYFUNCTION("""COMPUTED_VALUE"""),44793.8887335763)</f>
        <v>44793.888733576299</v>
      </c>
      <c r="C177" s="179" t="str">
        <f ca="1">IFERROR(__xludf.DUMMYFUNCTION("""COMPUTED_VALUE"""),"jm5201@stern.nyu.edu")</f>
        <v>jm5201@stern.nyu.edu</v>
      </c>
      <c r="D177" s="179" t="str">
        <f ca="1">IFERROR(__xludf.DUMMYFUNCTION("""COMPUTED_VALUE"""),"John McDonald")</f>
        <v>John McDonald</v>
      </c>
      <c r="E177" s="179" t="str">
        <f ca="1">IFERROR(__xludf.DUMMYFUNCTION("""COMPUTED_VALUE"""),"I have read and understand the confidentiality agreement for application reviewers.")</f>
        <v>I have read and understand the confidentiality agreement for application reviewers.</v>
      </c>
      <c r="F177" s="179" t="str">
        <f ca="1">IFERROR(__xludf.DUMMYFUNCTION("""COMPUTED_VALUE"""),"Kano Therapeutics")</f>
        <v>Kano Therapeutics</v>
      </c>
      <c r="G177" s="179" t="str">
        <f ca="1">IFERROR(__xludf.DUMMYFUNCTION("""COMPUTED_VALUE"""),"Cell and Gene therapy")</f>
        <v>Cell and Gene therapy</v>
      </c>
      <c r="H177" s="179">
        <f ca="1">IFERROR(__xludf.DUMMYFUNCTION("""COMPUTED_VALUE"""),4)</f>
        <v>4</v>
      </c>
      <c r="I177" s="179">
        <f ca="1">IFERROR(__xludf.DUMMYFUNCTION("""COMPUTED_VALUE"""),3)</f>
        <v>3</v>
      </c>
      <c r="J177" s="179">
        <f ca="1">IFERROR(__xludf.DUMMYFUNCTION("""COMPUTED_VALUE"""),3)</f>
        <v>3</v>
      </c>
      <c r="K177" s="179">
        <f ca="1">IFERROR(__xludf.DUMMYFUNCTION("""COMPUTED_VALUE"""),3)</f>
        <v>3</v>
      </c>
      <c r="L177" s="179"/>
      <c r="M177" s="179">
        <f ca="1">IFERROR(__xludf.DUMMYFUNCTION("""COMPUTED_VALUE"""),3)</f>
        <v>3</v>
      </c>
      <c r="N177" s="179">
        <f ca="1">IFERROR(__xludf.DUMMYFUNCTION("""COMPUTED_VALUE"""),2)</f>
        <v>2</v>
      </c>
      <c r="O177" s="179"/>
      <c r="P177" s="179">
        <f ca="1">IFERROR(__xludf.DUMMYFUNCTION("""COMPUTED_VALUE"""),3)</f>
        <v>3</v>
      </c>
      <c r="Q177" s="179">
        <f ca="1">IFERROR(__xludf.DUMMYFUNCTION("""COMPUTED_VALUE"""),3)</f>
        <v>3</v>
      </c>
      <c r="R177" s="179">
        <f ca="1">IFERROR(__xludf.DUMMYFUNCTION("""COMPUTED_VALUE"""),3)</f>
        <v>3</v>
      </c>
      <c r="S177" s="179"/>
      <c r="T177" s="179"/>
      <c r="U177" s="179" t="str">
        <f ca="1">IFERROR(__xludf.DUMMYFUNCTION("""COMPUTED_VALUE"""),"$1-$5M")</f>
        <v>$1-$5M</v>
      </c>
      <c r="V177" s="179">
        <f ca="1">IFERROR(__xludf.DUMMYFUNCTION("""COMPUTED_VALUE"""),5)</f>
        <v>5</v>
      </c>
      <c r="W177" s="179"/>
    </row>
    <row r="178" spans="1:23">
      <c r="A178" s="179" t="str">
        <f ca="1">IFERROR(__xludf.DUMMYFUNCTION("""COMPUTED_VALUE"""),"R")</f>
        <v>R</v>
      </c>
      <c r="B178" s="436">
        <f ca="1">IFERROR(__xludf.DUMMYFUNCTION("""COMPUTED_VALUE"""),44793.8891343518)</f>
        <v>44793.889134351797</v>
      </c>
      <c r="C178" s="179" t="str">
        <f ca="1">IFERROR(__xludf.DUMMYFUNCTION("""COMPUTED_VALUE"""),"jsy8879@stern.nyu.edu")</f>
        <v>jsy8879@stern.nyu.edu</v>
      </c>
      <c r="D178" s="179" t="str">
        <f ca="1">IFERROR(__xludf.DUMMYFUNCTION("""COMPUTED_VALUE"""),"Jason Yu")</f>
        <v>Jason Yu</v>
      </c>
      <c r="E178" s="179" t="str">
        <f ca="1">IFERROR(__xludf.DUMMYFUNCTION("""COMPUTED_VALUE"""),"I have read and understand the confidentiality agreement for application reviewers.")</f>
        <v>I have read and understand the confidentiality agreement for application reviewers.</v>
      </c>
      <c r="F178" s="179" t="str">
        <f ca="1">IFERROR(__xludf.DUMMYFUNCTION("""COMPUTED_VALUE"""),"Helex")</f>
        <v>Helex</v>
      </c>
      <c r="G178" s="179" t="str">
        <f ca="1">IFERROR(__xludf.DUMMYFUNCTION("""COMPUTED_VALUE"""),"Gene editing / Healthcare / Pre-seed")</f>
        <v>Gene editing / Healthcare / Pre-seed</v>
      </c>
      <c r="H178" s="179">
        <f ca="1">IFERROR(__xludf.DUMMYFUNCTION("""COMPUTED_VALUE"""),4)</f>
        <v>4</v>
      </c>
      <c r="I178" s="179">
        <f ca="1">IFERROR(__xludf.DUMMYFUNCTION("""COMPUTED_VALUE"""),4)</f>
        <v>4</v>
      </c>
      <c r="J178" s="179">
        <f ca="1">IFERROR(__xludf.DUMMYFUNCTION("""COMPUTED_VALUE"""),3)</f>
        <v>3</v>
      </c>
      <c r="K178" s="179">
        <f ca="1">IFERROR(__xludf.DUMMYFUNCTION("""COMPUTED_VALUE"""),5)</f>
        <v>5</v>
      </c>
      <c r="L178" s="179" t="str">
        <f ca="1">IFERROR(__xludf.DUMMYFUNCTION("""COMPUTED_VALUE"""),"Helex platform is an advanced 3-D model of the genome built to ensure highly targeted cell/
tissue specific editing, and estimate the impact of editing on the global genome, critical for safer therapeutics.")</f>
        <v>Helex platform is an advanced 3-D model of the genome built to ensure highly targeted cell/
tissue specific editing, and estimate the impact of editing on the global genome, critical for safer therapeutics.</v>
      </c>
      <c r="M178" s="179">
        <f ca="1">IFERROR(__xludf.DUMMYFUNCTION("""COMPUTED_VALUE"""),4)</f>
        <v>4</v>
      </c>
      <c r="N178" s="179">
        <f ca="1">IFERROR(__xludf.DUMMYFUNCTION("""COMPUTED_VALUE"""),4)</f>
        <v>4</v>
      </c>
      <c r="O178" s="179"/>
      <c r="P178" s="179">
        <f ca="1">IFERROR(__xludf.DUMMYFUNCTION("""COMPUTED_VALUE"""),4)</f>
        <v>4</v>
      </c>
      <c r="Q178" s="179">
        <f ca="1">IFERROR(__xludf.DUMMYFUNCTION("""COMPUTED_VALUE"""),4)</f>
        <v>4</v>
      </c>
      <c r="R178" s="179">
        <f ca="1">IFERROR(__xludf.DUMMYFUNCTION("""COMPUTED_VALUE"""),5)</f>
        <v>5</v>
      </c>
      <c r="S178" s="179" t="str">
        <f ca="1">IFERROR(__xludf.DUMMYFUNCTION("""COMPUTED_VALUE"""),"First start up but experienced team.")</f>
        <v>First start up but experienced team.</v>
      </c>
      <c r="T178" s="437">
        <f ca="1">IFERROR(__xludf.DUMMYFUNCTION("""COMPUTED_VALUE"""),1000000)</f>
        <v>1000000</v>
      </c>
      <c r="U178" s="179" t="str">
        <f ca="1">IFERROR(__xludf.DUMMYFUNCTION("""COMPUTED_VALUE"""),"$1-$5M")</f>
        <v>$1-$5M</v>
      </c>
      <c r="V178" s="179">
        <f ca="1">IFERROR(__xludf.DUMMYFUNCTION("""COMPUTED_VALUE"""),4)</f>
        <v>4</v>
      </c>
      <c r="W178" s="179" t="str">
        <f ca="1">IFERROR(__xludf.DUMMYFUNCTION("""COMPUTED_VALUE"""),"FDA approval/ regulatory risks")</f>
        <v>FDA approval/ regulatory risks</v>
      </c>
    </row>
    <row r="179" spans="1:23">
      <c r="A179" s="179" t="str">
        <f ca="1">IFERROR(__xludf.DUMMYFUNCTION("""COMPUTED_VALUE"""),"R")</f>
        <v>R</v>
      </c>
      <c r="B179" s="436">
        <f ca="1">IFERROR(__xludf.DUMMYFUNCTION("""COMPUTED_VALUE"""),44793.892927037)</f>
        <v>44793.892927036999</v>
      </c>
      <c r="C179" s="179" t="str">
        <f ca="1">IFERROR(__xludf.DUMMYFUNCTION("""COMPUTED_VALUE"""),"jm5201@stern.nyu.edu")</f>
        <v>jm5201@stern.nyu.edu</v>
      </c>
      <c r="D179" s="179" t="str">
        <f ca="1">IFERROR(__xludf.DUMMYFUNCTION("""COMPUTED_VALUE"""),"John McDonald")</f>
        <v>John McDonald</v>
      </c>
      <c r="E179" s="179" t="str">
        <f ca="1">IFERROR(__xludf.DUMMYFUNCTION("""COMPUTED_VALUE"""),"I have read and understand the confidentiality agreement for application reviewers.")</f>
        <v>I have read and understand the confidentiality agreement for application reviewers.</v>
      </c>
      <c r="F179" s="179" t="str">
        <f ca="1">IFERROR(__xludf.DUMMYFUNCTION("""COMPUTED_VALUE"""),"Labfront")</f>
        <v>Labfront</v>
      </c>
      <c r="G179" s="179" t="str">
        <f ca="1">IFERROR(__xludf.DUMMYFUNCTION("""COMPUTED_VALUE"""),"Digital Biomarkers")</f>
        <v>Digital Biomarkers</v>
      </c>
      <c r="H179" s="179">
        <f ca="1">IFERROR(__xludf.DUMMYFUNCTION("""COMPUTED_VALUE"""),3)</f>
        <v>3</v>
      </c>
      <c r="I179" s="179">
        <f ca="1">IFERROR(__xludf.DUMMYFUNCTION("""COMPUTED_VALUE"""),4)</f>
        <v>4</v>
      </c>
      <c r="J179" s="179">
        <f ca="1">IFERROR(__xludf.DUMMYFUNCTION("""COMPUTED_VALUE"""),3)</f>
        <v>3</v>
      </c>
      <c r="K179" s="179">
        <f ca="1">IFERROR(__xludf.DUMMYFUNCTION("""COMPUTED_VALUE"""),3)</f>
        <v>3</v>
      </c>
      <c r="L179" s="179"/>
      <c r="M179" s="179">
        <f ca="1">IFERROR(__xludf.DUMMYFUNCTION("""COMPUTED_VALUE"""),4)</f>
        <v>4</v>
      </c>
      <c r="N179" s="179">
        <f ca="1">IFERROR(__xludf.DUMMYFUNCTION("""COMPUTED_VALUE"""),5)</f>
        <v>5</v>
      </c>
      <c r="O179" s="179"/>
      <c r="P179" s="179">
        <f ca="1">IFERROR(__xludf.DUMMYFUNCTION("""COMPUTED_VALUE"""),3)</f>
        <v>3</v>
      </c>
      <c r="Q179" s="179">
        <f ca="1">IFERROR(__xludf.DUMMYFUNCTION("""COMPUTED_VALUE"""),4)</f>
        <v>4</v>
      </c>
      <c r="R179" s="179">
        <f ca="1">IFERROR(__xludf.DUMMYFUNCTION("""COMPUTED_VALUE"""),4)</f>
        <v>4</v>
      </c>
      <c r="S179" s="179"/>
      <c r="T179" s="179"/>
      <c r="U179" s="179" t="str">
        <f ca="1">IFERROR(__xludf.DUMMYFUNCTION("""COMPUTED_VALUE"""),"$1-$5M")</f>
        <v>$1-$5M</v>
      </c>
      <c r="V179" s="179">
        <f ca="1">IFERROR(__xludf.DUMMYFUNCTION("""COMPUTED_VALUE"""),5)</f>
        <v>5</v>
      </c>
      <c r="W179" s="179"/>
    </row>
    <row r="180" spans="1:23">
      <c r="A180" s="179" t="str">
        <f ca="1">IFERROR(__xludf.DUMMYFUNCTION("""COMPUTED_VALUE"""),"R")</f>
        <v>R</v>
      </c>
      <c r="B180" s="436">
        <f ca="1">IFERROR(__xludf.DUMMYFUNCTION("""COMPUTED_VALUE"""),44793.8962753935)</f>
        <v>44793.896275393497</v>
      </c>
      <c r="C180" s="179" t="str">
        <f ca="1">IFERROR(__xludf.DUMMYFUNCTION("""COMPUTED_VALUE"""),"jsy8879@stern.nyu.edu")</f>
        <v>jsy8879@stern.nyu.edu</v>
      </c>
      <c r="D180" s="179" t="str">
        <f ca="1">IFERROR(__xludf.DUMMYFUNCTION("""COMPUTED_VALUE"""),"Jason Yu")</f>
        <v>Jason Yu</v>
      </c>
      <c r="E180" s="179" t="str">
        <f ca="1">IFERROR(__xludf.DUMMYFUNCTION("""COMPUTED_VALUE"""),"I have read and understand the confidentiality agreement for application reviewers.")</f>
        <v>I have read and understand the confidentiality agreement for application reviewers.</v>
      </c>
      <c r="F180" s="438" t="str">
        <f ca="1">IFERROR(__xludf.DUMMYFUNCTION("""COMPUTED_VALUE"""),"iCardio.ai")</f>
        <v>iCardio.ai</v>
      </c>
      <c r="G180" s="179" t="str">
        <f ca="1">IFERROR(__xludf.DUMMYFUNCTION("""COMPUTED_VALUE"""),"Deep learning algorithms for ultrasound interpretation / Healthcare / Pre-seed")</f>
        <v>Deep learning algorithms for ultrasound interpretation / Healthcare / Pre-seed</v>
      </c>
      <c r="H180" s="179">
        <f ca="1">IFERROR(__xludf.DUMMYFUNCTION("""COMPUTED_VALUE"""),2)</f>
        <v>2</v>
      </c>
      <c r="I180" s="179">
        <f ca="1">IFERROR(__xludf.DUMMYFUNCTION("""COMPUTED_VALUE"""),3)</f>
        <v>3</v>
      </c>
      <c r="J180" s="179">
        <f ca="1">IFERROR(__xludf.DUMMYFUNCTION("""COMPUTED_VALUE"""),2)</f>
        <v>2</v>
      </c>
      <c r="K180" s="179">
        <f ca="1">IFERROR(__xludf.DUMMYFUNCTION("""COMPUTED_VALUE"""),4)</f>
        <v>4</v>
      </c>
      <c r="L180" s="179" t="str">
        <f ca="1">IFERROR(__xludf.DUMMYFUNCTION("""COMPUTED_VALUE"""),"Technology is not complete")</f>
        <v>Technology is not complete</v>
      </c>
      <c r="M180" s="179">
        <f ca="1">IFERROR(__xludf.DUMMYFUNCTION("""COMPUTED_VALUE"""),3)</f>
        <v>3</v>
      </c>
      <c r="N180" s="179">
        <f ca="1">IFERROR(__xludf.DUMMYFUNCTION("""COMPUTED_VALUE"""),2)</f>
        <v>2</v>
      </c>
      <c r="O180" s="179" t="str">
        <f ca="1">IFERROR(__xludf.DUMMYFUNCTION("""COMPUTED_VALUE"""),"TAM - Total Ultrasound Imaging Market &gt; $50B anually")</f>
        <v>TAM - Total Ultrasound Imaging Market &gt; $50B anually</v>
      </c>
      <c r="P180" s="179">
        <f ca="1">IFERROR(__xludf.DUMMYFUNCTION("""COMPUTED_VALUE"""),3)</f>
        <v>3</v>
      </c>
      <c r="Q180" s="179">
        <f ca="1">IFERROR(__xludf.DUMMYFUNCTION("""COMPUTED_VALUE"""),3)</f>
        <v>3</v>
      </c>
      <c r="R180" s="179">
        <f ca="1">IFERROR(__xludf.DUMMYFUNCTION("""COMPUTED_VALUE"""),4)</f>
        <v>4</v>
      </c>
      <c r="S180" s="179" t="str">
        <f ca="1">IFERROR(__xludf.DUMMYFUNCTION("""COMPUTED_VALUE"""),"Small team of 5 people")</f>
        <v>Small team of 5 people</v>
      </c>
      <c r="T180" s="437">
        <f ca="1">IFERROR(__xludf.DUMMYFUNCTION("""COMPUTED_VALUE"""),1170000)</f>
        <v>1170000</v>
      </c>
      <c r="U180" s="179" t="str">
        <f ca="1">IFERROR(__xludf.DUMMYFUNCTION("""COMPUTED_VALUE"""),"$1-$5M")</f>
        <v>$1-$5M</v>
      </c>
      <c r="V180" s="179">
        <f ca="1">IFERROR(__xludf.DUMMYFUNCTION("""COMPUTED_VALUE"""),3)</f>
        <v>3</v>
      </c>
      <c r="W180" s="179" t="str">
        <f ca="1">IFERROR(__xludf.DUMMYFUNCTION("""COMPUTED_VALUE"""),"FDA clearance is the biggest obstacle.")</f>
        <v>FDA clearance is the biggest obstacle.</v>
      </c>
    </row>
    <row r="181" spans="1:23">
      <c r="A181" s="179" t="str">
        <f ca="1">IFERROR(__xludf.DUMMYFUNCTION("""COMPUTED_VALUE"""),"R")</f>
        <v>R</v>
      </c>
      <c r="B181" s="436">
        <f ca="1">IFERROR(__xludf.DUMMYFUNCTION("""COMPUTED_VALUE"""),44793.9031736458)</f>
        <v>44793.903173645798</v>
      </c>
      <c r="C181" s="179" t="str">
        <f ca="1">IFERROR(__xludf.DUMMYFUNCTION("""COMPUTED_VALUE"""),"jsy8879@stern.nyu.edu")</f>
        <v>jsy8879@stern.nyu.edu</v>
      </c>
      <c r="D181" s="179" t="str">
        <f ca="1">IFERROR(__xludf.DUMMYFUNCTION("""COMPUTED_VALUE"""),"Jason Yu")</f>
        <v>Jason Yu</v>
      </c>
      <c r="E181" s="179" t="str">
        <f ca="1">IFERROR(__xludf.DUMMYFUNCTION("""COMPUTED_VALUE"""),"I have read and understand the confidentiality agreement for application reviewers.")</f>
        <v>I have read and understand the confidentiality agreement for application reviewers.</v>
      </c>
      <c r="F181" s="179" t="str">
        <f ca="1">IFERROR(__xludf.DUMMYFUNCTION("""COMPUTED_VALUE"""),"ImmunoMind")</f>
        <v>ImmunoMind</v>
      </c>
      <c r="G181" s="179" t="str">
        <f ca="1">IFERROR(__xludf.DUMMYFUNCTION("""COMPUTED_VALUE"""),"AI and multi-omics to optimize the persistence of cells / Healthcare / Pre-seed")</f>
        <v>AI and multi-omics to optimize the persistence of cells / Healthcare / Pre-seed</v>
      </c>
      <c r="H181" s="179">
        <f ca="1">IFERROR(__xludf.DUMMYFUNCTION("""COMPUTED_VALUE"""),4)</f>
        <v>4</v>
      </c>
      <c r="I181" s="179">
        <f ca="1">IFERROR(__xludf.DUMMYFUNCTION("""COMPUTED_VALUE"""),4)</f>
        <v>4</v>
      </c>
      <c r="J181" s="179">
        <f ca="1">IFERROR(__xludf.DUMMYFUNCTION("""COMPUTED_VALUE"""),2)</f>
        <v>2</v>
      </c>
      <c r="K181" s="179">
        <f ca="1">IFERROR(__xludf.DUMMYFUNCTION("""COMPUTED_VALUE"""),3)</f>
        <v>3</v>
      </c>
      <c r="L181" s="179" t="str">
        <f ca="1">IFERROR(__xludf.DUMMYFUNCTION("""COMPUTED_VALUE"""),"We will plan to present the results of our technologies application on large conferences later this year.")</f>
        <v>We will plan to present the results of our technologies application on large conferences later this year.</v>
      </c>
      <c r="M181" s="179">
        <f ca="1">IFERROR(__xludf.DUMMYFUNCTION("""COMPUTED_VALUE"""),3)</f>
        <v>3</v>
      </c>
      <c r="N181" s="179">
        <f ca="1">IFERROR(__xludf.DUMMYFUNCTION("""COMPUTED_VALUE"""),2)</f>
        <v>2</v>
      </c>
      <c r="O181" s="179" t="str">
        <f ca="1">IFERROR(__xludf.DUMMYFUNCTION("""COMPUTED_VALUE"""),"We are currently working with several partners on drug development")</f>
        <v>We are currently working with several partners on drug development</v>
      </c>
      <c r="P181" s="179">
        <f ca="1">IFERROR(__xludf.DUMMYFUNCTION("""COMPUTED_VALUE"""),4)</f>
        <v>4</v>
      </c>
      <c r="Q181" s="179">
        <f ca="1">IFERROR(__xludf.DUMMYFUNCTION("""COMPUTED_VALUE"""),4)</f>
        <v>4</v>
      </c>
      <c r="R181" s="179">
        <f ca="1">IFERROR(__xludf.DUMMYFUNCTION("""COMPUTED_VALUE"""),4)</f>
        <v>4</v>
      </c>
      <c r="S181" s="179"/>
      <c r="T181" s="437">
        <f ca="1">IFERROR(__xludf.DUMMYFUNCTION("""COMPUTED_VALUE"""),650000)</f>
        <v>650000</v>
      </c>
      <c r="U181" s="179" t="str">
        <f ca="1">IFERROR(__xludf.DUMMYFUNCTION("""COMPUTED_VALUE"""),"$1-$5M")</f>
        <v>$1-$5M</v>
      </c>
      <c r="V181" s="179">
        <f ca="1">IFERROR(__xludf.DUMMYFUNCTION("""COMPUTED_VALUE"""),3)</f>
        <v>3</v>
      </c>
      <c r="W181" s="179" t="str">
        <f ca="1">IFERROR(__xludf.DUMMYFUNCTION("""COMPUTED_VALUE"""),"Unclear how far along their technology is.")</f>
        <v>Unclear how far along their technology is.</v>
      </c>
    </row>
    <row r="182" spans="1:23">
      <c r="A182" s="179" t="str">
        <f ca="1">IFERROR(__xludf.DUMMYFUNCTION("""COMPUTED_VALUE"""),"R")</f>
        <v>R</v>
      </c>
      <c r="B182" s="436">
        <f ca="1">IFERROR(__xludf.DUMMYFUNCTION("""COMPUTED_VALUE"""),44793.907180324)</f>
        <v>44793.907180324</v>
      </c>
      <c r="C182" s="179" t="str">
        <f ca="1">IFERROR(__xludf.DUMMYFUNCTION("""COMPUTED_VALUE"""),"jsy8879@stern.nyu.edu")</f>
        <v>jsy8879@stern.nyu.edu</v>
      </c>
      <c r="D182" s="179" t="str">
        <f ca="1">IFERROR(__xludf.DUMMYFUNCTION("""COMPUTED_VALUE"""),"Jason Yu")</f>
        <v>Jason Yu</v>
      </c>
      <c r="E182" s="179" t="str">
        <f ca="1">IFERROR(__xludf.DUMMYFUNCTION("""COMPUTED_VALUE"""),"I have read and understand the confidentiality agreement for application reviewers.")</f>
        <v>I have read and understand the confidentiality agreement for application reviewers.</v>
      </c>
      <c r="F182" s="179" t="str">
        <f ca="1">IFERROR(__xludf.DUMMYFUNCTION("""COMPUTED_VALUE"""),"Iryss, Inc")</f>
        <v>Iryss, Inc</v>
      </c>
      <c r="G182" s="179" t="str">
        <f ca="1">IFERROR(__xludf.DUMMYFUNCTION("""COMPUTED_VALUE"""),"financial planning platform to help the chronically ill reduced financial stress/ Finance / Pre-seed")</f>
        <v>financial planning platform to help the chronically ill reduced financial stress/ Finance / Pre-seed</v>
      </c>
      <c r="H182" s="179">
        <f ca="1">IFERROR(__xludf.DUMMYFUNCTION("""COMPUTED_VALUE"""),3)</f>
        <v>3</v>
      </c>
      <c r="I182" s="179">
        <f ca="1">IFERROR(__xludf.DUMMYFUNCTION("""COMPUTED_VALUE"""),2)</f>
        <v>2</v>
      </c>
      <c r="J182" s="179">
        <f ca="1">IFERROR(__xludf.DUMMYFUNCTION("""COMPUTED_VALUE"""),4)</f>
        <v>4</v>
      </c>
      <c r="K182" s="179">
        <f ca="1">IFERROR(__xludf.DUMMYFUNCTION("""COMPUTED_VALUE"""),2)</f>
        <v>2</v>
      </c>
      <c r="L182" s="179" t="str">
        <f ca="1">IFERROR(__xludf.DUMMYFUNCTION("""COMPUTED_VALUE"""),"Disease specific models that outline the financial implications of diagnosis")</f>
        <v>Disease specific models that outline the financial implications of diagnosis</v>
      </c>
      <c r="M182" s="179">
        <f ca="1">IFERROR(__xludf.DUMMYFUNCTION("""COMPUTED_VALUE"""),2)</f>
        <v>2</v>
      </c>
      <c r="N182" s="179">
        <f ca="1">IFERROR(__xludf.DUMMYFUNCTION("""COMPUTED_VALUE"""),2)</f>
        <v>2</v>
      </c>
      <c r="O182" s="179" t="str">
        <f ca="1">IFERROR(__xludf.DUMMYFUNCTION("""COMPUTED_VALUE"""),"We have also surveyed over 100 autoimmune patients and found that over 70% of them people that Iryss could help people with chronic illness better prepare for their financial future")</f>
        <v>We have also surveyed over 100 autoimmune patients and found that over 70% of them people that Iryss could help people with chronic illness better prepare for their financial future</v>
      </c>
      <c r="P182" s="179">
        <f ca="1">IFERROR(__xludf.DUMMYFUNCTION("""COMPUTED_VALUE"""),3)</f>
        <v>3</v>
      </c>
      <c r="Q182" s="179">
        <f ca="1">IFERROR(__xludf.DUMMYFUNCTION("""COMPUTED_VALUE"""),3)</f>
        <v>3</v>
      </c>
      <c r="R182" s="179">
        <f ca="1">IFERROR(__xludf.DUMMYFUNCTION("""COMPUTED_VALUE"""),3)</f>
        <v>3</v>
      </c>
      <c r="S182" s="179" t="str">
        <f ca="1">IFERROR(__xludf.DUMMYFUNCTION("""COMPUTED_VALUE"""),"Lots of start up experience ")</f>
        <v xml:space="preserve">Lots of start up experience </v>
      </c>
      <c r="T182" s="437">
        <f ca="1">IFERROR(__xludf.DUMMYFUNCTION("""COMPUTED_VALUE"""),350000)</f>
        <v>350000</v>
      </c>
      <c r="U182" s="179" t="str">
        <f ca="1">IFERROR(__xludf.DUMMYFUNCTION("""COMPUTED_VALUE"""),"&lt;$500K")</f>
        <v>&lt;$500K</v>
      </c>
      <c r="V182" s="179">
        <f ca="1">IFERROR(__xludf.DUMMYFUNCTION("""COMPUTED_VALUE"""),3)</f>
        <v>3</v>
      </c>
      <c r="W182" s="179" t="str">
        <f ca="1">IFERROR(__xludf.DUMMYFUNCTION("""COMPUTED_VALUE"""),"Still gathering information to determine their target audience. The actual demand for their product is unclear.")</f>
        <v>Still gathering information to determine their target audience. The actual demand for their product is unclear.</v>
      </c>
    </row>
    <row r="183" spans="1:23">
      <c r="A183" s="179" t="str">
        <f ca="1">IFERROR(__xludf.DUMMYFUNCTION("""COMPUTED_VALUE"""),"R")</f>
        <v>R</v>
      </c>
      <c r="B183" s="436">
        <f ca="1">IFERROR(__xludf.DUMMYFUNCTION("""COMPUTED_VALUE"""),44793.915229375)</f>
        <v>44793.915229375001</v>
      </c>
      <c r="C183" s="179" t="str">
        <f ca="1">IFERROR(__xludf.DUMMYFUNCTION("""COMPUTED_VALUE"""),"jsy8879@stern.nyu.edu")</f>
        <v>jsy8879@stern.nyu.edu</v>
      </c>
      <c r="D183" s="179" t="str">
        <f ca="1">IFERROR(__xludf.DUMMYFUNCTION("""COMPUTED_VALUE"""),"Jason Yu")</f>
        <v>Jason Yu</v>
      </c>
      <c r="E183" s="179" t="str">
        <f ca="1">IFERROR(__xludf.DUMMYFUNCTION("""COMPUTED_VALUE"""),"I have read and understand the confidentiality agreement for application reviewers.")</f>
        <v>I have read and understand the confidentiality agreement for application reviewers.</v>
      </c>
      <c r="F183" s="179" t="str">
        <f ca="1">IFERROR(__xludf.DUMMYFUNCTION("""COMPUTED_VALUE"""),"Lifeline Robotics")</f>
        <v>Lifeline Robotics</v>
      </c>
      <c r="G183" s="179" t="str">
        <f ca="1">IFERROR(__xludf.DUMMYFUNCTION("""COMPUTED_VALUE"""),"Automatic throat pathogen sampling / Healthcare / Pre-seed")</f>
        <v>Automatic throat pathogen sampling / Healthcare / Pre-seed</v>
      </c>
      <c r="H183" s="179">
        <f ca="1">IFERROR(__xludf.DUMMYFUNCTION("""COMPUTED_VALUE"""),4)</f>
        <v>4</v>
      </c>
      <c r="I183" s="179">
        <f ca="1">IFERROR(__xludf.DUMMYFUNCTION("""COMPUTED_VALUE"""),3)</f>
        <v>3</v>
      </c>
      <c r="J183" s="179">
        <f ca="1">IFERROR(__xludf.DUMMYFUNCTION("""COMPUTED_VALUE"""),2)</f>
        <v>2</v>
      </c>
      <c r="K183" s="179">
        <f ca="1">IFERROR(__xludf.DUMMYFUNCTION("""COMPUTED_VALUE"""),2)</f>
        <v>2</v>
      </c>
      <c r="L183" s="179" t="str">
        <f ca="1">IFERROR(__xludf.DUMMYFUNCTION("""COMPUTED_VALUE"""),"Minimum Viable Product but limited testing so far and the innovation is still under development")</f>
        <v>Minimum Viable Product but limited testing so far and the innovation is still under development</v>
      </c>
      <c r="M183" s="179">
        <f ca="1">IFERROR(__xludf.DUMMYFUNCTION("""COMPUTED_VALUE"""),3)</f>
        <v>3</v>
      </c>
      <c r="N183" s="179">
        <f ca="1">IFERROR(__xludf.DUMMYFUNCTION("""COMPUTED_VALUE"""),1)</f>
        <v>1</v>
      </c>
      <c r="O183" s="179" t="str">
        <f ca="1">IFERROR(__xludf.DUMMYFUNCTION("""COMPUTED_VALUE"""),"Long-term target market is airports and airport security.")</f>
        <v>Long-term target market is airports and airport security.</v>
      </c>
      <c r="P183" s="179">
        <f ca="1">IFERROR(__xludf.DUMMYFUNCTION("""COMPUTED_VALUE"""),2)</f>
        <v>2</v>
      </c>
      <c r="Q183" s="179">
        <f ca="1">IFERROR(__xludf.DUMMYFUNCTION("""COMPUTED_VALUE"""),4)</f>
        <v>4</v>
      </c>
      <c r="R183" s="179">
        <f ca="1">IFERROR(__xludf.DUMMYFUNCTION("""COMPUTED_VALUE"""),4)</f>
        <v>4</v>
      </c>
      <c r="S183" s="179"/>
      <c r="T183" s="437">
        <f ca="1">IFERROR(__xludf.DUMMYFUNCTION("""COMPUTED_VALUE"""),900000)</f>
        <v>900000</v>
      </c>
      <c r="U183" s="179" t="str">
        <f ca="1">IFERROR(__xludf.DUMMYFUNCTION("""COMPUTED_VALUE"""),"$1-$5M")</f>
        <v>$1-$5M</v>
      </c>
      <c r="V183" s="179">
        <f ca="1">IFERROR(__xludf.DUMMYFUNCTION("""COMPUTED_VALUE"""),3)</f>
        <v>3</v>
      </c>
      <c r="W183" s="179" t="str">
        <f ca="1">IFERROR(__xludf.DUMMYFUNCTION("""COMPUTED_VALUE"""),"May need to rethink their target market of airports")</f>
        <v>May need to rethink their target market of airports</v>
      </c>
    </row>
    <row r="184" spans="1:23">
      <c r="A184" s="179" t="str">
        <f ca="1">IFERROR(__xludf.DUMMYFUNCTION("""COMPUTED_VALUE"""),"R")</f>
        <v>R</v>
      </c>
      <c r="B184" s="436">
        <f ca="1">IFERROR(__xludf.DUMMYFUNCTION("""COMPUTED_VALUE"""),44793.9188457986)</f>
        <v>44793.918845798602</v>
      </c>
      <c r="C184" s="179" t="str">
        <f ca="1">IFERROR(__xludf.DUMMYFUNCTION("""COMPUTED_VALUE"""),"jsy8879@stern.nyu.edu")</f>
        <v>jsy8879@stern.nyu.edu</v>
      </c>
      <c r="D184" s="179" t="str">
        <f ca="1">IFERROR(__xludf.DUMMYFUNCTION("""COMPUTED_VALUE"""),"Jason Yu")</f>
        <v>Jason Yu</v>
      </c>
      <c r="E184" s="179" t="str">
        <f ca="1">IFERROR(__xludf.DUMMYFUNCTION("""COMPUTED_VALUE"""),"I have read and understand the confidentiality agreement for application reviewers.")</f>
        <v>I have read and understand the confidentiality agreement for application reviewers.</v>
      </c>
      <c r="F184" s="179" t="str">
        <f ca="1">IFERROR(__xludf.DUMMYFUNCTION("""COMPUTED_VALUE"""),"Kleiner Device Labs")</f>
        <v>Kleiner Device Labs</v>
      </c>
      <c r="G184" s="179" t="str">
        <f ca="1">IFERROR(__xludf.DUMMYFUNCTION("""COMPUTED_VALUE"""),"SPINAL FUSION SURGERY / Healthcare / Seed")</f>
        <v>SPINAL FUSION SURGERY / Healthcare / Seed</v>
      </c>
      <c r="H184" s="179">
        <f ca="1">IFERROR(__xludf.DUMMYFUNCTION("""COMPUTED_VALUE"""),4)</f>
        <v>4</v>
      </c>
      <c r="I184" s="179">
        <f ca="1">IFERROR(__xludf.DUMMYFUNCTION("""COMPUTED_VALUE"""),4)</f>
        <v>4</v>
      </c>
      <c r="J184" s="179">
        <f ca="1">IFERROR(__xludf.DUMMYFUNCTION("""COMPUTED_VALUE"""),5)</f>
        <v>5</v>
      </c>
      <c r="K184" s="179">
        <f ca="1">IFERROR(__xludf.DUMMYFUNCTION("""COMPUTED_VALUE"""),5)</f>
        <v>5</v>
      </c>
      <c r="L184" s="179" t="str">
        <f ca="1">IFERROR(__xludf.DUMMYFUNCTION("""COMPUTED_VALUE"""),"FDA clearance, live surgical use in patients, peer reviewed long term clinical studies.")</f>
        <v>FDA clearance, live surgical use in patients, peer reviewed long term clinical studies.</v>
      </c>
      <c r="M184" s="179">
        <f ca="1">IFERROR(__xludf.DUMMYFUNCTION("""COMPUTED_VALUE"""),4)</f>
        <v>4</v>
      </c>
      <c r="N184" s="179">
        <f ca="1">IFERROR(__xludf.DUMMYFUNCTION("""COMPUTED_VALUE"""),5)</f>
        <v>5</v>
      </c>
      <c r="O184" s="179" t="str">
        <f ca="1">IFERROR(__xludf.DUMMYFUNCTION("""COMPUTED_VALUE"""),"$9.7 billion USD TAM, $350K in revenue using a third party distribution")</f>
        <v>$9.7 billion USD TAM, $350K in revenue using a third party distribution</v>
      </c>
      <c r="P184" s="179">
        <f ca="1">IFERROR(__xludf.DUMMYFUNCTION("""COMPUTED_VALUE"""),4)</f>
        <v>4</v>
      </c>
      <c r="Q184" s="179">
        <f ca="1">IFERROR(__xludf.DUMMYFUNCTION("""COMPUTED_VALUE"""),5)</f>
        <v>5</v>
      </c>
      <c r="R184" s="179">
        <f ca="1">IFERROR(__xludf.DUMMYFUNCTION("""COMPUTED_VALUE"""),5)</f>
        <v>5</v>
      </c>
      <c r="S184" s="179"/>
      <c r="T184" s="437">
        <f ca="1">IFERROR(__xludf.DUMMYFUNCTION("""COMPUTED_VALUE"""),6200000)</f>
        <v>6200000</v>
      </c>
      <c r="U184" s="179" t="str">
        <f ca="1">IFERROR(__xludf.DUMMYFUNCTION("""COMPUTED_VALUE"""),"&gt;$5M")</f>
        <v>&gt;$5M</v>
      </c>
      <c r="V184" s="179">
        <f ca="1">IFERROR(__xludf.DUMMYFUNCTION("""COMPUTED_VALUE"""),5)</f>
        <v>5</v>
      </c>
      <c r="W184" s="179" t="str">
        <f ca="1">IFERROR(__xludf.DUMMYFUNCTION("""COMPUTED_VALUE"""),"Viable product currently lacking financing to expand our sales and marketing efforts.")</f>
        <v>Viable product currently lacking financing to expand our sales and marketing efforts.</v>
      </c>
    </row>
    <row r="185" spans="1:23">
      <c r="A185" s="179" t="str">
        <f ca="1">IFERROR(__xludf.DUMMYFUNCTION("""COMPUTED_VALUE"""),"R")</f>
        <v>R</v>
      </c>
      <c r="B185" s="436">
        <f ca="1">IFERROR(__xludf.DUMMYFUNCTION("""COMPUTED_VALUE"""),44793.9250781481)</f>
        <v>44793.925078148102</v>
      </c>
      <c r="C185" s="179" t="str">
        <f ca="1">IFERROR(__xludf.DUMMYFUNCTION("""COMPUTED_VALUE"""),"jm5201@stern.nyu.edu")</f>
        <v>jm5201@stern.nyu.edu</v>
      </c>
      <c r="D185" s="179" t="str">
        <f ca="1">IFERROR(__xludf.DUMMYFUNCTION("""COMPUTED_VALUE"""),"John McDonald")</f>
        <v>John McDonald</v>
      </c>
      <c r="E185" s="179" t="str">
        <f ca="1">IFERROR(__xludf.DUMMYFUNCTION("""COMPUTED_VALUE"""),"I have read and understand the confidentiality agreement for application reviewers.")</f>
        <v>I have read and understand the confidentiality agreement for application reviewers.</v>
      </c>
      <c r="F185" s="179" t="str">
        <f ca="1">IFERROR(__xludf.DUMMYFUNCTION("""COMPUTED_VALUE"""),"LEVEL 42 AI")</f>
        <v>LEVEL 42 AI</v>
      </c>
      <c r="G185" s="179" t="str">
        <f ca="1">IFERROR(__xludf.DUMMYFUNCTION("""COMPUTED_VALUE"""),"Disease sensor detection")</f>
        <v>Disease sensor detection</v>
      </c>
      <c r="H185" s="179">
        <f ca="1">IFERROR(__xludf.DUMMYFUNCTION("""COMPUTED_VALUE"""),4)</f>
        <v>4</v>
      </c>
      <c r="I185" s="179">
        <f ca="1">IFERROR(__xludf.DUMMYFUNCTION("""COMPUTED_VALUE"""),4)</f>
        <v>4</v>
      </c>
      <c r="J185" s="179">
        <f ca="1">IFERROR(__xludf.DUMMYFUNCTION("""COMPUTED_VALUE"""),3)</f>
        <v>3</v>
      </c>
      <c r="K185" s="179">
        <f ca="1">IFERROR(__xludf.DUMMYFUNCTION("""COMPUTED_VALUE"""),3)</f>
        <v>3</v>
      </c>
      <c r="L185" s="179"/>
      <c r="M185" s="179">
        <f ca="1">IFERROR(__xludf.DUMMYFUNCTION("""COMPUTED_VALUE"""),3)</f>
        <v>3</v>
      </c>
      <c r="N185" s="179">
        <f ca="1">IFERROR(__xludf.DUMMYFUNCTION("""COMPUTED_VALUE"""),2)</f>
        <v>2</v>
      </c>
      <c r="O185" s="179"/>
      <c r="P185" s="179">
        <f ca="1">IFERROR(__xludf.DUMMYFUNCTION("""COMPUTED_VALUE"""),3)</f>
        <v>3</v>
      </c>
      <c r="Q185" s="179">
        <f ca="1">IFERROR(__xludf.DUMMYFUNCTION("""COMPUTED_VALUE"""),3)</f>
        <v>3</v>
      </c>
      <c r="R185" s="179">
        <f ca="1">IFERROR(__xludf.DUMMYFUNCTION("""COMPUTED_VALUE"""),4)</f>
        <v>4</v>
      </c>
      <c r="S185" s="179"/>
      <c r="T185" s="179"/>
      <c r="U185" s="179" t="str">
        <f ca="1">IFERROR(__xludf.DUMMYFUNCTION("""COMPUTED_VALUE"""),"&gt;$5M")</f>
        <v>&gt;$5M</v>
      </c>
      <c r="V185" s="179">
        <f ca="1">IFERROR(__xludf.DUMMYFUNCTION("""COMPUTED_VALUE"""),5)</f>
        <v>5</v>
      </c>
      <c r="W185" s="179"/>
    </row>
    <row r="186" spans="1:23">
      <c r="A186" s="179" t="str">
        <f ca="1">IFERROR(__xludf.DUMMYFUNCTION("""COMPUTED_VALUE"""),"R")</f>
        <v>R</v>
      </c>
      <c r="B186" s="436">
        <f ca="1">IFERROR(__xludf.DUMMYFUNCTION("""COMPUTED_VALUE"""),44793.9262814699)</f>
        <v>44793.926281469903</v>
      </c>
      <c r="C186" s="179" t="str">
        <f ca="1">IFERROR(__xludf.DUMMYFUNCTION("""COMPUTED_VALUE"""),"ns4976@stern.nyu.edu")</f>
        <v>ns4976@stern.nyu.edu</v>
      </c>
      <c r="D186" s="179" t="str">
        <f ca="1">IFERROR(__xludf.DUMMYFUNCTION("""COMPUTED_VALUE"""),"Nick Schmandt")</f>
        <v>Nick Schmandt</v>
      </c>
      <c r="E186" s="179" t="str">
        <f ca="1">IFERROR(__xludf.DUMMYFUNCTION("""COMPUTED_VALUE"""),"I have read and understand the confidentiality agreement for application reviewers.")</f>
        <v>I have read and understand the confidentiality agreement for application reviewers.</v>
      </c>
      <c r="F186" s="179" t="str">
        <f ca="1">IFERROR(__xludf.DUMMYFUNCTION("""COMPUTED_VALUE"""),"Blip Labs Technology")</f>
        <v>Blip Labs Technology</v>
      </c>
      <c r="G186" s="179" t="str">
        <f ca="1">IFERROR(__xludf.DUMMYFUNCTION("""COMPUTED_VALUE"""),"It is a completed product that is in early testing with customers. It's an interesting idea, but the value to the user is still not clear to me. They seem to get a nice layout of their expenses, and possibly some ads relevant to that, but I don't see any "&amp;"value beyond that. If Blip intends to help its users refinance through lenders competing to the ones that the access the data to, that is going to be an issue in the future.")</f>
        <v>It is a completed product that is in early testing with customers. It's an interesting idea, but the value to the user is still not clear to me. They seem to get a nice layout of their expenses, and possibly some ads relevant to that, but I don't see any value beyond that. If Blip intends to help its users refinance through lenders competing to the ones that the access the data to, that is going to be an issue in the future.</v>
      </c>
      <c r="H186" s="179">
        <f ca="1">IFERROR(__xludf.DUMMYFUNCTION("""COMPUTED_VALUE"""),3)</f>
        <v>3</v>
      </c>
      <c r="I186" s="179">
        <f ca="1">IFERROR(__xludf.DUMMYFUNCTION("""COMPUTED_VALUE"""),3)</f>
        <v>3</v>
      </c>
      <c r="J186" s="179">
        <f ca="1">IFERROR(__xludf.DUMMYFUNCTION("""COMPUTED_VALUE"""),4)</f>
        <v>4</v>
      </c>
      <c r="K186" s="179">
        <f ca="1">IFERROR(__xludf.DUMMYFUNCTION("""COMPUTED_VALUE"""),2)</f>
        <v>2</v>
      </c>
      <c r="L186" s="179" t="str">
        <f ca="1">IFERROR(__xludf.DUMMYFUNCTION("""COMPUTED_VALUE"""),"It seems to work fine, but again the exact value to the end user isn't clear to me.")</f>
        <v>It seems to work fine, but again the exact value to the end user isn't clear to me.</v>
      </c>
      <c r="M186" s="179">
        <f ca="1">IFERROR(__xludf.DUMMYFUNCTION("""COMPUTED_VALUE"""),4)</f>
        <v>4</v>
      </c>
      <c r="N186" s="179">
        <f ca="1">IFERROR(__xludf.DUMMYFUNCTION("""COMPUTED_VALUE"""),3)</f>
        <v>3</v>
      </c>
      <c r="O186" s="179" t="str">
        <f ca="1">IFERROR(__xludf.DUMMYFUNCTION("""COMPUTED_VALUE"""),"Potentially large, but it depends on what they actually do with the platform. If they could, for example, allow different institutions to bid on debt that the users had, that would make sense, but at this point it seems to just be an infographic")</f>
        <v>Potentially large, but it depends on what they actually do with the platform. If they could, for example, allow different institutions to bid on debt that the users had, that would make sense, but at this point it seems to just be an infographic</v>
      </c>
      <c r="P186" s="179">
        <f ca="1">IFERROR(__xludf.DUMMYFUNCTION("""COMPUTED_VALUE"""),3)</f>
        <v>3</v>
      </c>
      <c r="Q186" s="179">
        <f ca="1">IFERROR(__xludf.DUMMYFUNCTION("""COMPUTED_VALUE"""),4)</f>
        <v>4</v>
      </c>
      <c r="R186" s="179">
        <f ca="1">IFERROR(__xludf.DUMMYFUNCTION("""COMPUTED_VALUE"""),2)</f>
        <v>2</v>
      </c>
      <c r="S186" s="179" t="str">
        <f ca="1">IFERROR(__xludf.DUMMYFUNCTION("""COMPUTED_VALUE"""),"Unfortunately the team experience is not a strong point.")</f>
        <v>Unfortunately the team experience is not a strong point.</v>
      </c>
      <c r="T186" s="437">
        <f ca="1">IFERROR(__xludf.DUMMYFUNCTION("""COMPUTED_VALUE"""),2000000)</f>
        <v>2000000</v>
      </c>
      <c r="U186" s="179" t="str">
        <f ca="1">IFERROR(__xludf.DUMMYFUNCTION("""COMPUTED_VALUE"""),"&gt;$5M")</f>
        <v>&gt;$5M</v>
      </c>
      <c r="V186" s="179">
        <f ca="1">IFERROR(__xludf.DUMMYFUNCTION("""COMPUTED_VALUE"""),3)</f>
        <v>3</v>
      </c>
      <c r="W186" s="179" t="str">
        <f ca="1">IFERROR(__xludf.DUMMYFUNCTION("""COMPUTED_VALUE"""),"Again this would be stronger if the team was more experienced and if the value to the end user was more clear. Right now it seems that it still needs some work to truly identify a large addressable market.")</f>
        <v>Again this would be stronger if the team was more experienced and if the value to the end user was more clear. Right now it seems that it still needs some work to truly identify a large addressable market.</v>
      </c>
    </row>
    <row r="187" spans="1:23">
      <c r="A187" s="179" t="str">
        <f ca="1">IFERROR(__xludf.DUMMYFUNCTION("""COMPUTED_VALUE"""),"R")</f>
        <v>R</v>
      </c>
      <c r="B187" s="436">
        <f ca="1">IFERROR(__xludf.DUMMYFUNCTION("""COMPUTED_VALUE"""),44793.9300253356)</f>
        <v>44793.930025335598</v>
      </c>
      <c r="C187" s="179" t="str">
        <f ca="1">IFERROR(__xludf.DUMMYFUNCTION("""COMPUTED_VALUE"""),"jm5201@stern.nyu.edu")</f>
        <v>jm5201@stern.nyu.edu</v>
      </c>
      <c r="D187" s="179" t="str">
        <f ca="1">IFERROR(__xludf.DUMMYFUNCTION("""COMPUTED_VALUE"""),"John McDonald")</f>
        <v>John McDonald</v>
      </c>
      <c r="E187" s="179" t="str">
        <f ca="1">IFERROR(__xludf.DUMMYFUNCTION("""COMPUTED_VALUE"""),"I have read and understand the confidentiality agreement for application reviewers.")</f>
        <v>I have read and understand the confidentiality agreement for application reviewers.</v>
      </c>
      <c r="F187" s="179" t="str">
        <f ca="1">IFERROR(__xludf.DUMMYFUNCTION("""COMPUTED_VALUE"""),"LuftCar LLC")</f>
        <v>LuftCar LLC</v>
      </c>
      <c r="G187" s="179" t="str">
        <f ca="1">IFERROR(__xludf.DUMMYFUNCTION("""COMPUTED_VALUE"""),"Autonomous air/land vehicle")</f>
        <v>Autonomous air/land vehicle</v>
      </c>
      <c r="H187" s="179">
        <f ca="1">IFERROR(__xludf.DUMMYFUNCTION("""COMPUTED_VALUE"""),3)</f>
        <v>3</v>
      </c>
      <c r="I187" s="179">
        <f ca="1">IFERROR(__xludf.DUMMYFUNCTION("""COMPUTED_VALUE"""),3)</f>
        <v>3</v>
      </c>
      <c r="J187" s="179">
        <f ca="1">IFERROR(__xludf.DUMMYFUNCTION("""COMPUTED_VALUE"""),2)</f>
        <v>2</v>
      </c>
      <c r="K187" s="179">
        <f ca="1">IFERROR(__xludf.DUMMYFUNCTION("""COMPUTED_VALUE"""),2)</f>
        <v>2</v>
      </c>
      <c r="L187" s="179"/>
      <c r="M187" s="179">
        <f ca="1">IFERROR(__xludf.DUMMYFUNCTION("""COMPUTED_VALUE"""),3)</f>
        <v>3</v>
      </c>
      <c r="N187" s="179">
        <f ca="1">IFERROR(__xludf.DUMMYFUNCTION("""COMPUTED_VALUE"""),2)</f>
        <v>2</v>
      </c>
      <c r="O187" s="179"/>
      <c r="P187" s="179">
        <f ca="1">IFERROR(__xludf.DUMMYFUNCTION("""COMPUTED_VALUE"""),3)</f>
        <v>3</v>
      </c>
      <c r="Q187" s="179">
        <f ca="1">IFERROR(__xludf.DUMMYFUNCTION("""COMPUTED_VALUE"""),3)</f>
        <v>3</v>
      </c>
      <c r="R187" s="179">
        <f ca="1">IFERROR(__xludf.DUMMYFUNCTION("""COMPUTED_VALUE"""),3)</f>
        <v>3</v>
      </c>
      <c r="S187" s="179"/>
      <c r="T187" s="179"/>
      <c r="U187" s="179" t="str">
        <f ca="1">IFERROR(__xludf.DUMMYFUNCTION("""COMPUTED_VALUE"""),"&gt;$5M")</f>
        <v>&gt;$5M</v>
      </c>
      <c r="V187" s="179">
        <f ca="1">IFERROR(__xludf.DUMMYFUNCTION("""COMPUTED_VALUE"""),2)</f>
        <v>2</v>
      </c>
      <c r="W187" s="179"/>
    </row>
    <row r="188" spans="1:23">
      <c r="A188" s="179" t="str">
        <f ca="1">IFERROR(__xludf.DUMMYFUNCTION("""COMPUTED_VALUE"""),"R")</f>
        <v>R</v>
      </c>
      <c r="B188" s="436">
        <f ca="1">IFERROR(__xludf.DUMMYFUNCTION("""COMPUTED_VALUE"""),44793.9331570023)</f>
        <v>44793.933157002299</v>
      </c>
      <c r="C188" s="179" t="str">
        <f ca="1">IFERROR(__xludf.DUMMYFUNCTION("""COMPUTED_VALUE"""),"ns4976@stern.nyu.edu")</f>
        <v>ns4976@stern.nyu.edu</v>
      </c>
      <c r="D188" s="179" t="str">
        <f ca="1">IFERROR(__xludf.DUMMYFUNCTION("""COMPUTED_VALUE"""),"Nick Schmandt")</f>
        <v>Nick Schmandt</v>
      </c>
      <c r="E188" s="179" t="str">
        <f ca="1">IFERROR(__xludf.DUMMYFUNCTION("""COMPUTED_VALUE"""),"I have read and understand the confidentiality agreement for application reviewers.")</f>
        <v>I have read and understand the confidentiality agreement for application reviewers.</v>
      </c>
      <c r="F188" s="179" t="str">
        <f ca="1">IFERROR(__xludf.DUMMYFUNCTION("""COMPUTED_VALUE"""),"Carteav")</f>
        <v>Carteav</v>
      </c>
      <c r="G188" s="179" t="str">
        <f ca="1">IFERROR(__xludf.DUMMYFUNCTION("""COMPUTED_VALUE"""),"Working product but no customers")</f>
        <v>Working product but no customers</v>
      </c>
      <c r="H188" s="179">
        <f ca="1">IFERROR(__xludf.DUMMYFUNCTION("""COMPUTED_VALUE"""),5)</f>
        <v>5</v>
      </c>
      <c r="I188" s="179">
        <f ca="1">IFERROR(__xludf.DUMMYFUNCTION("""COMPUTED_VALUE"""),4)</f>
        <v>4</v>
      </c>
      <c r="J188" s="179">
        <f ca="1">IFERROR(__xludf.DUMMYFUNCTION("""COMPUTED_VALUE"""),5)</f>
        <v>5</v>
      </c>
      <c r="K188" s="179">
        <f ca="1">IFERROR(__xludf.DUMMYFUNCTION("""COMPUTED_VALUE"""),4)</f>
        <v>4</v>
      </c>
      <c r="L188" s="179" t="str">
        <f ca="1">IFERROR(__xludf.DUMMYFUNCTION("""COMPUTED_VALUE"""),"This seems like a safe area to explore, as it is simpler than the normal, more challenging autonomous driving questions.")</f>
        <v>This seems like a safe area to explore, as it is simpler than the normal, more challenging autonomous driving questions.</v>
      </c>
      <c r="M188" s="179">
        <f ca="1">IFERROR(__xludf.DUMMYFUNCTION("""COMPUTED_VALUE"""),4)</f>
        <v>4</v>
      </c>
      <c r="N188" s="179">
        <f ca="1">IFERROR(__xludf.DUMMYFUNCTION("""COMPUTED_VALUE"""),2)</f>
        <v>2</v>
      </c>
      <c r="O188" s="179" t="str">
        <f ca="1">IFERROR(__xludf.DUMMYFUNCTION("""COMPUTED_VALUE"""),"It's going to be hard to find starting customers, and prove value of the platform.")</f>
        <v>It's going to be hard to find starting customers, and prove value of the platform.</v>
      </c>
      <c r="P188" s="179">
        <f ca="1">IFERROR(__xludf.DUMMYFUNCTION("""COMPUTED_VALUE"""),4)</f>
        <v>4</v>
      </c>
      <c r="Q188" s="179">
        <f ca="1">IFERROR(__xludf.DUMMYFUNCTION("""COMPUTED_VALUE"""),5)</f>
        <v>5</v>
      </c>
      <c r="R188" s="179">
        <f ca="1">IFERROR(__xludf.DUMMYFUNCTION("""COMPUTED_VALUE"""),5)</f>
        <v>5</v>
      </c>
      <c r="S188" s="179" t="str">
        <f ca="1">IFERROR(__xludf.DUMMYFUNCTION("""COMPUTED_VALUE"""),"Team is well experienced, though not directly in this area.")</f>
        <v>Team is well experienced, though not directly in this area.</v>
      </c>
      <c r="T188" s="437">
        <f ca="1">IFERROR(__xludf.DUMMYFUNCTION("""COMPUTED_VALUE"""),2600000)</f>
        <v>2600000</v>
      </c>
      <c r="U188" s="179" t="str">
        <f ca="1">IFERROR(__xludf.DUMMYFUNCTION("""COMPUTED_VALUE"""),"$1-$5M")</f>
        <v>$1-$5M</v>
      </c>
      <c r="V188" s="179">
        <f ca="1">IFERROR(__xludf.DUMMYFUNCTION("""COMPUTED_VALUE"""),4)</f>
        <v>4</v>
      </c>
      <c r="W188" s="179" t="str">
        <f ca="1">IFERROR(__xludf.DUMMYFUNCTION("""COMPUTED_VALUE"""),"Product is solid and can likely be built completely from open source technology. Customers remain the major pain point and it is not clear that they have any as of yet.")</f>
        <v>Product is solid and can likely be built completely from open source technology. Customers remain the major pain point and it is not clear that they have any as of yet.</v>
      </c>
    </row>
    <row r="189" spans="1:23">
      <c r="A189" s="179" t="str">
        <f ca="1">IFERROR(__xludf.DUMMYFUNCTION("""COMPUTED_VALUE"""),"R")</f>
        <v>R</v>
      </c>
      <c r="B189" s="436">
        <f ca="1">IFERROR(__xludf.DUMMYFUNCTION("""COMPUTED_VALUE"""),44793.9353781712)</f>
        <v>44793.935378171198</v>
      </c>
      <c r="C189" s="179" t="str">
        <f ca="1">IFERROR(__xludf.DUMMYFUNCTION("""COMPUTED_VALUE"""),"jm5201@stern.nyu.edu")</f>
        <v>jm5201@stern.nyu.edu</v>
      </c>
      <c r="D189" s="179" t="str">
        <f ca="1">IFERROR(__xludf.DUMMYFUNCTION("""COMPUTED_VALUE"""),"John McDonald")</f>
        <v>John McDonald</v>
      </c>
      <c r="E189" s="179" t="str">
        <f ca="1">IFERROR(__xludf.DUMMYFUNCTION("""COMPUTED_VALUE"""),"I have read and understand the confidentiality agreement for application reviewers.")</f>
        <v>I have read and understand the confidentiality agreement for application reviewers.</v>
      </c>
      <c r="F189" s="179" t="str">
        <f ca="1">IFERROR(__xludf.DUMMYFUNCTION("""COMPUTED_VALUE"""),"LumosTech, Inc")</f>
        <v>LumosTech, Inc</v>
      </c>
      <c r="G189" s="179" t="str">
        <f ca="1">IFERROR(__xludf.DUMMYFUNCTION("""COMPUTED_VALUE"""),"Sleep mask device and app")</f>
        <v>Sleep mask device and app</v>
      </c>
      <c r="H189" s="179">
        <f ca="1">IFERROR(__xludf.DUMMYFUNCTION("""COMPUTED_VALUE"""),3)</f>
        <v>3</v>
      </c>
      <c r="I189" s="179">
        <f ca="1">IFERROR(__xludf.DUMMYFUNCTION("""COMPUTED_VALUE"""),3)</f>
        <v>3</v>
      </c>
      <c r="J189" s="179">
        <f ca="1">IFERROR(__xludf.DUMMYFUNCTION("""COMPUTED_VALUE"""),4)</f>
        <v>4</v>
      </c>
      <c r="K189" s="179">
        <f ca="1">IFERROR(__xludf.DUMMYFUNCTION("""COMPUTED_VALUE"""),3)</f>
        <v>3</v>
      </c>
      <c r="L189" s="179"/>
      <c r="M189" s="179">
        <f ca="1">IFERROR(__xludf.DUMMYFUNCTION("""COMPUTED_VALUE"""),3)</f>
        <v>3</v>
      </c>
      <c r="N189" s="179">
        <f ca="1">IFERROR(__xludf.DUMMYFUNCTION("""COMPUTED_VALUE"""),2)</f>
        <v>2</v>
      </c>
      <c r="O189" s="179"/>
      <c r="P189" s="179">
        <f ca="1">IFERROR(__xludf.DUMMYFUNCTION("""COMPUTED_VALUE"""),3)</f>
        <v>3</v>
      </c>
      <c r="Q189" s="179">
        <f ca="1">IFERROR(__xludf.DUMMYFUNCTION("""COMPUTED_VALUE"""),3)</f>
        <v>3</v>
      </c>
      <c r="R189" s="179">
        <f ca="1">IFERROR(__xludf.DUMMYFUNCTION("""COMPUTED_VALUE"""),4)</f>
        <v>4</v>
      </c>
      <c r="S189" s="179"/>
      <c r="T189" s="179"/>
      <c r="U189" s="179" t="str">
        <f ca="1">IFERROR(__xludf.DUMMYFUNCTION("""COMPUTED_VALUE"""),"&gt;$5M")</f>
        <v>&gt;$5M</v>
      </c>
      <c r="V189" s="179">
        <f ca="1">IFERROR(__xludf.DUMMYFUNCTION("""COMPUTED_VALUE"""),4)</f>
        <v>4</v>
      </c>
      <c r="W189" s="179"/>
    </row>
    <row r="190" spans="1:23">
      <c r="A190" s="179" t="str">
        <f ca="1">IFERROR(__xludf.DUMMYFUNCTION("""COMPUTED_VALUE"""),"R")</f>
        <v>R</v>
      </c>
      <c r="B190" s="436">
        <f ca="1">IFERROR(__xludf.DUMMYFUNCTION("""COMPUTED_VALUE"""),44793.942698206)</f>
        <v>44793.942698206003</v>
      </c>
      <c r="C190" s="179" t="str">
        <f ca="1">IFERROR(__xludf.DUMMYFUNCTION("""COMPUTED_VALUE"""),"ns4976@stern.nyu.edu")</f>
        <v>ns4976@stern.nyu.edu</v>
      </c>
      <c r="D190" s="179" t="str">
        <f ca="1">IFERROR(__xludf.DUMMYFUNCTION("""COMPUTED_VALUE"""),"Nick Schmandt")</f>
        <v>Nick Schmandt</v>
      </c>
      <c r="E190" s="179" t="str">
        <f ca="1">IFERROR(__xludf.DUMMYFUNCTION("""COMPUTED_VALUE"""),"I have read and understand the confidentiality agreement for application reviewers.")</f>
        <v>I have read and understand the confidentiality agreement for application reviewers.</v>
      </c>
      <c r="F190" s="179" t="str">
        <f ca="1">IFERROR(__xludf.DUMMYFUNCTION("""COMPUTED_VALUE"""),"Coflow Jet")</f>
        <v>Coflow Jet</v>
      </c>
      <c r="G190" s="179" t="str">
        <f ca="1">IFERROR(__xludf.DUMMYFUNCTION("""COMPUTED_VALUE"""),"Very early stage")</f>
        <v>Very early stage</v>
      </c>
      <c r="H190" s="179">
        <f ca="1">IFERROR(__xludf.DUMMYFUNCTION("""COMPUTED_VALUE"""),5)</f>
        <v>5</v>
      </c>
      <c r="I190" s="179">
        <f ca="1">IFERROR(__xludf.DUMMYFUNCTION("""COMPUTED_VALUE"""),5)</f>
        <v>5</v>
      </c>
      <c r="J190" s="179">
        <f ca="1">IFERROR(__xludf.DUMMYFUNCTION("""COMPUTED_VALUE"""),1)</f>
        <v>1</v>
      </c>
      <c r="K190" s="179">
        <f ca="1">IFERROR(__xludf.DUMMYFUNCTION("""COMPUTED_VALUE"""),3)</f>
        <v>3</v>
      </c>
      <c r="L190" s="179" t="str">
        <f ca="1">IFERROR(__xludf.DUMMYFUNCTION("""COMPUTED_VALUE"""),"Great idea, but their timelines are completely unrealistic given where they are. I did not see evidence for anything beyond wind tunnel testing, which is meaningless.")</f>
        <v>Great idea, but their timelines are completely unrealistic given where they are. I did not see evidence for anything beyond wind tunnel testing, which is meaningless.</v>
      </c>
      <c r="M190" s="179">
        <f ca="1">IFERROR(__xludf.DUMMYFUNCTION("""COMPUTED_VALUE"""),5)</f>
        <v>5</v>
      </c>
      <c r="N190" s="179">
        <f ca="1">IFERROR(__xludf.DUMMYFUNCTION("""COMPUTED_VALUE"""),1)</f>
        <v>1</v>
      </c>
      <c r="O190" s="179" t="str">
        <f ca="1">IFERROR(__xludf.DUMMYFUNCTION("""COMPUTED_VALUE"""),"This is entirely dependent on what the FAA will approve. They do not seem to have a plan for that yet.")</f>
        <v>This is entirely dependent on what the FAA will approve. They do not seem to have a plan for that yet.</v>
      </c>
      <c r="P190" s="179">
        <f ca="1">IFERROR(__xludf.DUMMYFUNCTION("""COMPUTED_VALUE"""),5)</f>
        <v>5</v>
      </c>
      <c r="Q190" s="179">
        <f ca="1">IFERROR(__xludf.DUMMYFUNCTION("""COMPUTED_VALUE"""),5)</f>
        <v>5</v>
      </c>
      <c r="R190" s="179">
        <f ca="1">IFERROR(__xludf.DUMMYFUNCTION("""COMPUTED_VALUE"""),2)</f>
        <v>2</v>
      </c>
      <c r="S190" s="179" t="str">
        <f ca="1">IFERROR(__xludf.DUMMYFUNCTION("""COMPUTED_VALUE"""),"While these look like great scientists, I seriously doubt they will get anywhere close to workable product in our lifetimes.")</f>
        <v>While these look like great scientists, I seriously doubt they will get anywhere close to workable product in our lifetimes.</v>
      </c>
      <c r="T190" s="437">
        <f ca="1">IFERROR(__xludf.DUMMYFUNCTION("""COMPUTED_VALUE"""),3000000)</f>
        <v>3000000</v>
      </c>
      <c r="U190" s="179" t="str">
        <f ca="1">IFERROR(__xludf.DUMMYFUNCTION("""COMPUTED_VALUE"""),"&gt;$5M")</f>
        <v>&gt;$5M</v>
      </c>
      <c r="V190" s="179">
        <f ca="1">IFERROR(__xludf.DUMMYFUNCTION("""COMPUTED_VALUE"""),1)</f>
        <v>1</v>
      </c>
      <c r="W190" s="179" t="str">
        <f ca="1">IFERROR(__xludf.DUMMYFUNCTION("""COMPUTED_VALUE"""),"This is a cool idea and it's great they have government funding, but they are not going to get anywhere near a working product any time soon.")</f>
        <v>This is a cool idea and it's great they have government funding, but they are not going to get anywhere near a working product any time soon.</v>
      </c>
    </row>
    <row r="191" spans="1:23">
      <c r="A191" s="179" t="str">
        <f ca="1">IFERROR(__xludf.DUMMYFUNCTION("""COMPUTED_VALUE"""),"R")</f>
        <v>R</v>
      </c>
      <c r="B191" s="436">
        <f ca="1">IFERROR(__xludf.DUMMYFUNCTION("""COMPUTED_VALUE"""),44793.9507189814)</f>
        <v>44793.950718981403</v>
      </c>
      <c r="C191" s="179" t="str">
        <f ca="1">IFERROR(__xludf.DUMMYFUNCTION("""COMPUTED_VALUE"""),"jm5201@stern.nyu.edu")</f>
        <v>jm5201@stern.nyu.edu</v>
      </c>
      <c r="D191" s="179" t="str">
        <f ca="1">IFERROR(__xludf.DUMMYFUNCTION("""COMPUTED_VALUE"""),"John McDonald")</f>
        <v>John McDonald</v>
      </c>
      <c r="E191" s="179" t="str">
        <f ca="1">IFERROR(__xludf.DUMMYFUNCTION("""COMPUTED_VALUE"""),"I have read and understand the confidentiality agreement for application reviewers.")</f>
        <v>I have read and understand the confidentiality agreement for application reviewers.</v>
      </c>
      <c r="F191" s="179" t="str">
        <f ca="1">IFERROR(__xludf.DUMMYFUNCTION("""COMPUTED_VALUE"""),"MindTrace")</f>
        <v>MindTrace</v>
      </c>
      <c r="G191" s="179" t="str">
        <f ca="1">IFERROR(__xludf.DUMMYFUNCTION("""COMPUTED_VALUE"""),"Cognitive issue mapping")</f>
        <v>Cognitive issue mapping</v>
      </c>
      <c r="H191" s="179">
        <f ca="1">IFERROR(__xludf.DUMMYFUNCTION("""COMPUTED_VALUE"""),3)</f>
        <v>3</v>
      </c>
      <c r="I191" s="179">
        <f ca="1">IFERROR(__xludf.DUMMYFUNCTION("""COMPUTED_VALUE"""),3)</f>
        <v>3</v>
      </c>
      <c r="J191" s="179">
        <f ca="1">IFERROR(__xludf.DUMMYFUNCTION("""COMPUTED_VALUE"""),4)</f>
        <v>4</v>
      </c>
      <c r="K191" s="179">
        <f ca="1">IFERROR(__xludf.DUMMYFUNCTION("""COMPUTED_VALUE"""),3)</f>
        <v>3</v>
      </c>
      <c r="L191" s="179"/>
      <c r="M191" s="179">
        <f ca="1">IFERROR(__xludf.DUMMYFUNCTION("""COMPUTED_VALUE"""),4)</f>
        <v>4</v>
      </c>
      <c r="N191" s="179">
        <f ca="1">IFERROR(__xludf.DUMMYFUNCTION("""COMPUTED_VALUE"""),2)</f>
        <v>2</v>
      </c>
      <c r="O191" s="179"/>
      <c r="P191" s="179">
        <f ca="1">IFERROR(__xludf.DUMMYFUNCTION("""COMPUTED_VALUE"""),3)</f>
        <v>3</v>
      </c>
      <c r="Q191" s="179">
        <f ca="1">IFERROR(__xludf.DUMMYFUNCTION("""COMPUTED_VALUE"""),4)</f>
        <v>4</v>
      </c>
      <c r="R191" s="179">
        <f ca="1">IFERROR(__xludf.DUMMYFUNCTION("""COMPUTED_VALUE"""),3)</f>
        <v>3</v>
      </c>
      <c r="S191" s="179"/>
      <c r="T191" s="179"/>
      <c r="U191" s="179" t="str">
        <f ca="1">IFERROR(__xludf.DUMMYFUNCTION("""COMPUTED_VALUE"""),"$500K-$1M")</f>
        <v>$500K-$1M</v>
      </c>
      <c r="V191" s="179">
        <f ca="1">IFERROR(__xludf.DUMMYFUNCTION("""COMPUTED_VALUE"""),4)</f>
        <v>4</v>
      </c>
      <c r="W191" s="179"/>
    </row>
    <row r="192" spans="1:23">
      <c r="A192" s="179" t="str">
        <f ca="1">IFERROR(__xludf.DUMMYFUNCTION("""COMPUTED_VALUE"""),"R")</f>
        <v>R</v>
      </c>
      <c r="B192" s="436">
        <f ca="1">IFERROR(__xludf.DUMMYFUNCTION("""COMPUTED_VALUE"""),44793.9547728703)</f>
        <v>44793.954772870296</v>
      </c>
      <c r="C192" s="179" t="str">
        <f ca="1">IFERROR(__xludf.DUMMYFUNCTION("""COMPUTED_VALUE"""),"ns4976@stern.nyu.edu")</f>
        <v>ns4976@stern.nyu.edu</v>
      </c>
      <c r="D192" s="179" t="str">
        <f ca="1">IFERROR(__xludf.DUMMYFUNCTION("""COMPUTED_VALUE"""),"Nick Schmandt")</f>
        <v>Nick Schmandt</v>
      </c>
      <c r="E192" s="179" t="str">
        <f ca="1">IFERROR(__xludf.DUMMYFUNCTION("""COMPUTED_VALUE"""),"I have read and understand the confidentiality agreement for application reviewers.")</f>
        <v>I have read and understand the confidentiality agreement for application reviewers.</v>
      </c>
      <c r="F192" s="179" t="str">
        <f ca="1">IFERROR(__xludf.DUMMYFUNCTION("""COMPUTED_VALUE"""),"Coinrule")</f>
        <v>Coinrule</v>
      </c>
      <c r="G192" s="179" t="str">
        <f ca="1">IFERROR(__xludf.DUMMYFUNCTION("""COMPUTED_VALUE"""),"Working tech")</f>
        <v>Working tech</v>
      </c>
      <c r="H192" s="179">
        <f ca="1">IFERROR(__xludf.DUMMYFUNCTION("""COMPUTED_VALUE"""),4)</f>
        <v>4</v>
      </c>
      <c r="I192" s="179">
        <f ca="1">IFERROR(__xludf.DUMMYFUNCTION("""COMPUTED_VALUE"""),3)</f>
        <v>3</v>
      </c>
      <c r="J192" s="179">
        <f ca="1">IFERROR(__xludf.DUMMYFUNCTION("""COMPUTED_VALUE"""),4)</f>
        <v>4</v>
      </c>
      <c r="K192" s="179">
        <f ca="1">IFERROR(__xludf.DUMMYFUNCTION("""COMPUTED_VALUE"""),3)</f>
        <v>3</v>
      </c>
      <c r="L192" s="179" t="str">
        <f ca="1">IFERROR(__xludf.DUMMYFUNCTION("""COMPUTED_VALUE"""),"It's a good idea, not a complicated product to build.")</f>
        <v>It's a good idea, not a complicated product to build.</v>
      </c>
      <c r="M192" s="179">
        <f ca="1">IFERROR(__xludf.DUMMYFUNCTION("""COMPUTED_VALUE"""),4)</f>
        <v>4</v>
      </c>
      <c r="N192" s="179">
        <f ca="1">IFERROR(__xludf.DUMMYFUNCTION("""COMPUTED_VALUE"""),5)</f>
        <v>5</v>
      </c>
      <c r="O192" s="179" t="str">
        <f ca="1">IFERROR(__xludf.DUMMYFUNCTION("""COMPUTED_VALUE"""),"People are definitely using it and the potential to expand into traditional assets is very alluring.")</f>
        <v>People are definitely using it and the potential to expand into traditional assets is very alluring.</v>
      </c>
      <c r="P192" s="179">
        <f ca="1">IFERROR(__xludf.DUMMYFUNCTION("""COMPUTED_VALUE"""),5)</f>
        <v>5</v>
      </c>
      <c r="Q192" s="179">
        <f ca="1">IFERROR(__xludf.DUMMYFUNCTION("""COMPUTED_VALUE"""),5)</f>
        <v>5</v>
      </c>
      <c r="R192" s="179">
        <f ca="1">IFERROR(__xludf.DUMMYFUNCTION("""COMPUTED_VALUE"""),4)</f>
        <v>4</v>
      </c>
      <c r="S192" s="179" t="str">
        <f ca="1">IFERROR(__xludf.DUMMYFUNCTION("""COMPUTED_VALUE"""),"Team is good, no major issues")</f>
        <v>Team is good, no major issues</v>
      </c>
      <c r="T192" s="437">
        <f ca="1">IFERROR(__xludf.DUMMYFUNCTION("""COMPUTED_VALUE"""),3250000)</f>
        <v>3250000</v>
      </c>
      <c r="U192" s="179" t="str">
        <f ca="1">IFERROR(__xludf.DUMMYFUNCTION("""COMPUTED_VALUE"""),"$1-$5M")</f>
        <v>$1-$5M</v>
      </c>
      <c r="V192" s="179">
        <f ca="1">IFERROR(__xludf.DUMMYFUNCTION("""COMPUTED_VALUE"""),4)</f>
        <v>4</v>
      </c>
      <c r="W192" s="179" t="str">
        <f ca="1">IFERROR(__xludf.DUMMYFUNCTION("""COMPUTED_VALUE"""),"I worked on something similar to this, helping people be able to code algos into financial markets for equities. I think there is definitely the potential for people to use it, but it's unfortunate they limited themselves to crypto, which is likely going "&amp;"to be a serious liability over the next few years. They need to expand to traditional assets as soon as possible, but the regulatory barriers are much higher there.")</f>
        <v>I worked on something similar to this, helping people be able to code algos into financial markets for equities. I think there is definitely the potential for people to use it, but it's unfortunate they limited themselves to crypto, which is likely going to be a serious liability over the next few years. They need to expand to traditional assets as soon as possible, but the regulatory barriers are much higher there.</v>
      </c>
    </row>
    <row r="193" spans="1:23">
      <c r="A193" s="179" t="str">
        <f ca="1">IFERROR(__xludf.DUMMYFUNCTION("""COMPUTED_VALUE"""),"R")</f>
        <v>R</v>
      </c>
      <c r="B193" s="436">
        <f ca="1">IFERROR(__xludf.DUMMYFUNCTION("""COMPUTED_VALUE"""),44793.9631937963)</f>
        <v>44793.963193796299</v>
      </c>
      <c r="C193" s="179" t="str">
        <f ca="1">IFERROR(__xludf.DUMMYFUNCTION("""COMPUTED_VALUE"""),"ns4976@stern.nyu.edu")</f>
        <v>ns4976@stern.nyu.edu</v>
      </c>
      <c r="D193" s="179" t="str">
        <f ca="1">IFERROR(__xludf.DUMMYFUNCTION("""COMPUTED_VALUE"""),"Nick Schmandt")</f>
        <v>Nick Schmandt</v>
      </c>
      <c r="E193" s="179" t="str">
        <f ca="1">IFERROR(__xludf.DUMMYFUNCTION("""COMPUTED_VALUE"""),"I have read and understand the confidentiality agreement for application reviewers.")</f>
        <v>I have read and understand the confidentiality agreement for application reviewers.</v>
      </c>
      <c r="F193" s="179" t="str">
        <f ca="1">IFERROR(__xludf.DUMMYFUNCTION("""COMPUTED_VALUE"""),"DataPrime")</f>
        <v>DataPrime</v>
      </c>
      <c r="G193" s="179" t="str">
        <f ca="1">IFERROR(__xludf.DUMMYFUNCTION("""COMPUTED_VALUE"""),"They seem to be in the early stages of adoption of their platform")</f>
        <v>They seem to be in the early stages of adoption of their platform</v>
      </c>
      <c r="H193" s="179">
        <f ca="1">IFERROR(__xludf.DUMMYFUNCTION("""COMPUTED_VALUE"""),4)</f>
        <v>4</v>
      </c>
      <c r="I193" s="179">
        <f ca="1">IFERROR(__xludf.DUMMYFUNCTION("""COMPUTED_VALUE"""),3)</f>
        <v>3</v>
      </c>
      <c r="J193" s="179">
        <f ca="1">IFERROR(__xludf.DUMMYFUNCTION("""COMPUTED_VALUE"""),4)</f>
        <v>4</v>
      </c>
      <c r="K193" s="179">
        <f ca="1">IFERROR(__xludf.DUMMYFUNCTION("""COMPUTED_VALUE"""),2)</f>
        <v>2</v>
      </c>
      <c r="L193" s="179" t="str">
        <f ca="1">IFERROR(__xludf.DUMMYFUNCTION("""COMPUTED_VALUE"""),"This is not novel and there are many competitors doing almost exactly the same thing. It is good they have focused on logistics and delivering value in that specific area.")</f>
        <v>This is not novel and there are many competitors doing almost exactly the same thing. It is good they have focused on logistics and delivering value in that specific area.</v>
      </c>
      <c r="M193" s="179">
        <f ca="1">IFERROR(__xludf.DUMMYFUNCTION("""COMPUTED_VALUE"""),4)</f>
        <v>4</v>
      </c>
      <c r="N193" s="179">
        <f ca="1">IFERROR(__xludf.DUMMYFUNCTION("""COMPUTED_VALUE"""),4)</f>
        <v>4</v>
      </c>
      <c r="O193" s="179" t="str">
        <f ca="1">IFERROR(__xludf.DUMMYFUNCTION("""COMPUTED_VALUE"""),"Could be large depending on how they get the word out.")</f>
        <v>Could be large depending on how they get the word out.</v>
      </c>
      <c r="P193" s="179">
        <f ca="1">IFERROR(__xludf.DUMMYFUNCTION("""COMPUTED_VALUE"""),4)</f>
        <v>4</v>
      </c>
      <c r="Q193" s="179">
        <f ca="1">IFERROR(__xludf.DUMMYFUNCTION("""COMPUTED_VALUE"""),4)</f>
        <v>4</v>
      </c>
      <c r="R193" s="179">
        <f ca="1">IFERROR(__xludf.DUMMYFUNCTION("""COMPUTED_VALUE"""),4)</f>
        <v>4</v>
      </c>
      <c r="S193" s="179" t="str">
        <f ca="1">IFERROR(__xludf.DUMMYFUNCTION("""COMPUTED_VALUE"""),"CEO has very little experience in this area.")</f>
        <v>CEO has very little experience in this area.</v>
      </c>
      <c r="T193" s="437">
        <f ca="1">IFERROR(__xludf.DUMMYFUNCTION("""COMPUTED_VALUE"""),2800000)</f>
        <v>2800000</v>
      </c>
      <c r="U193" s="179" t="str">
        <f ca="1">IFERROR(__xludf.DUMMYFUNCTION("""COMPUTED_VALUE"""),"$1-$5M")</f>
        <v>$1-$5M</v>
      </c>
      <c r="V193" s="179">
        <f ca="1">IFERROR(__xludf.DUMMYFUNCTION("""COMPUTED_VALUE"""),4)</f>
        <v>4</v>
      </c>
      <c r="W193" s="179" t="str">
        <f ca="1">IFERROR(__xludf.DUMMYFUNCTION("""COMPUTED_VALUE"""),"While this is a great idea with a huge addressable market, it is not at all novel and there are many very strong competitors. The competitive edge appears to be their focus on logistics, but it's not clear to me how much of an edge they really have.")</f>
        <v>While this is a great idea with a huge addressable market, it is not at all novel and there are many very strong competitors. The competitive edge appears to be their focus on logistics, but it's not clear to me how much of an edge they really have.</v>
      </c>
    </row>
    <row r="194" spans="1:23">
      <c r="A194" s="179" t="str">
        <f ca="1">IFERROR(__xludf.DUMMYFUNCTION("""COMPUTED_VALUE"""),"R")</f>
        <v>R</v>
      </c>
      <c r="B194" s="436">
        <f ca="1">IFERROR(__xludf.DUMMYFUNCTION("""COMPUTED_VALUE"""),44793.96684353)</f>
        <v>44793.966843529997</v>
      </c>
      <c r="C194" s="179" t="str">
        <f ca="1">IFERROR(__xludf.DUMMYFUNCTION("""COMPUTED_VALUE"""),"jm5201@stern.nyu.edu")</f>
        <v>jm5201@stern.nyu.edu</v>
      </c>
      <c r="D194" s="179" t="str">
        <f ca="1">IFERROR(__xludf.DUMMYFUNCTION("""COMPUTED_VALUE"""),"John McDonald")</f>
        <v>John McDonald</v>
      </c>
      <c r="E194" s="179" t="str">
        <f ca="1">IFERROR(__xludf.DUMMYFUNCTION("""COMPUTED_VALUE"""),"I have read and understand the confidentiality agreement for application reviewers.")</f>
        <v>I have read and understand the confidentiality agreement for application reviewers.</v>
      </c>
      <c r="F194" s="179" t="str">
        <f ca="1">IFERROR(__xludf.DUMMYFUNCTION("""COMPUTED_VALUE"""),"Nano RED")</f>
        <v>Nano RED</v>
      </c>
      <c r="G194" s="179" t="str">
        <f ca="1">IFERROR(__xludf.DUMMYFUNCTION("""COMPUTED_VALUE"""),"Genomic Medicine")</f>
        <v>Genomic Medicine</v>
      </c>
      <c r="H194" s="179">
        <f ca="1">IFERROR(__xludf.DUMMYFUNCTION("""COMPUTED_VALUE"""),4)</f>
        <v>4</v>
      </c>
      <c r="I194" s="179">
        <f ca="1">IFERROR(__xludf.DUMMYFUNCTION("""COMPUTED_VALUE"""),4)</f>
        <v>4</v>
      </c>
      <c r="J194" s="179">
        <f ca="1">IFERROR(__xludf.DUMMYFUNCTION("""COMPUTED_VALUE"""),3)</f>
        <v>3</v>
      </c>
      <c r="K194" s="179">
        <f ca="1">IFERROR(__xludf.DUMMYFUNCTION("""COMPUTED_VALUE"""),3)</f>
        <v>3</v>
      </c>
      <c r="L194" s="179"/>
      <c r="M194" s="179">
        <f ca="1">IFERROR(__xludf.DUMMYFUNCTION("""COMPUTED_VALUE"""),2)</f>
        <v>2</v>
      </c>
      <c r="N194" s="179">
        <f ca="1">IFERROR(__xludf.DUMMYFUNCTION("""COMPUTED_VALUE"""),1)</f>
        <v>1</v>
      </c>
      <c r="O194" s="179"/>
      <c r="P194" s="179">
        <f ca="1">IFERROR(__xludf.DUMMYFUNCTION("""COMPUTED_VALUE"""),3)</f>
        <v>3</v>
      </c>
      <c r="Q194" s="179">
        <f ca="1">IFERROR(__xludf.DUMMYFUNCTION("""COMPUTED_VALUE"""),2)</f>
        <v>2</v>
      </c>
      <c r="R194" s="179">
        <f ca="1">IFERROR(__xludf.DUMMYFUNCTION("""COMPUTED_VALUE"""),3)</f>
        <v>3</v>
      </c>
      <c r="S194" s="179"/>
      <c r="T194" s="179"/>
      <c r="U194" s="179" t="str">
        <f ca="1">IFERROR(__xludf.DUMMYFUNCTION("""COMPUTED_VALUE"""),"&gt;$5M")</f>
        <v>&gt;$5M</v>
      </c>
      <c r="V194" s="179">
        <f ca="1">IFERROR(__xludf.DUMMYFUNCTION("""COMPUTED_VALUE"""),2)</f>
        <v>2</v>
      </c>
      <c r="W194" s="179"/>
    </row>
    <row r="195" spans="1:23">
      <c r="A195" s="179" t="str">
        <f ca="1">IFERROR(__xludf.DUMMYFUNCTION("""COMPUTED_VALUE"""),"R")</f>
        <v>R</v>
      </c>
      <c r="B195" s="436">
        <f ca="1">IFERROR(__xludf.DUMMYFUNCTION("""COMPUTED_VALUE"""),44793.9758377083)</f>
        <v>44793.975837708298</v>
      </c>
      <c r="C195" s="179" t="str">
        <f ca="1">IFERROR(__xludf.DUMMYFUNCTION("""COMPUTED_VALUE"""),"ns4976@stern.nyu.edu")</f>
        <v>ns4976@stern.nyu.edu</v>
      </c>
      <c r="D195" s="179" t="str">
        <f ca="1">IFERROR(__xludf.DUMMYFUNCTION("""COMPUTED_VALUE"""),"Nick Schmandt")</f>
        <v>Nick Schmandt</v>
      </c>
      <c r="E195" s="179" t="str">
        <f ca="1">IFERROR(__xludf.DUMMYFUNCTION("""COMPUTED_VALUE"""),"I have read and understand the confidentiality agreement for application reviewers.")</f>
        <v>I have read and understand the confidentiality agreement for application reviewers.</v>
      </c>
      <c r="F195" s="179" t="str">
        <f ca="1">IFERROR(__xludf.DUMMYFUNCTION("""COMPUTED_VALUE"""),"DigiBuild")</f>
        <v>DigiBuild</v>
      </c>
      <c r="G195" s="179" t="str">
        <f ca="1">IFERROR(__xludf.DUMMYFUNCTION("""COMPUTED_VALUE"""),"Advanced, they have a working product")</f>
        <v>Advanced, they have a working product</v>
      </c>
      <c r="H195" s="179">
        <f ca="1">IFERROR(__xludf.DUMMYFUNCTION("""COMPUTED_VALUE"""),4)</f>
        <v>4</v>
      </c>
      <c r="I195" s="179">
        <f ca="1">IFERROR(__xludf.DUMMYFUNCTION("""COMPUTED_VALUE"""),3)</f>
        <v>3</v>
      </c>
      <c r="J195" s="179">
        <f ca="1">IFERROR(__xludf.DUMMYFUNCTION("""COMPUTED_VALUE"""),4)</f>
        <v>4</v>
      </c>
      <c r="K195" s="179">
        <f ca="1">IFERROR(__xludf.DUMMYFUNCTION("""COMPUTED_VALUE"""),3)</f>
        <v>3</v>
      </c>
      <c r="L195" s="179" t="str">
        <f ca="1">IFERROR(__xludf.DUMMYFUNCTION("""COMPUTED_VALUE"""),"Tech is not super complicated, it's more the business side that matters")</f>
        <v>Tech is not super complicated, it's more the business side that matters</v>
      </c>
      <c r="M195" s="179">
        <f ca="1">IFERROR(__xludf.DUMMYFUNCTION("""COMPUTED_VALUE"""),5)</f>
        <v>5</v>
      </c>
      <c r="N195" s="179">
        <f ca="1">IFERROR(__xludf.DUMMYFUNCTION("""COMPUTED_VALUE"""),4)</f>
        <v>4</v>
      </c>
      <c r="O195" s="179" t="str">
        <f ca="1">IFERROR(__xludf.DUMMYFUNCTION("""COMPUTED_VALUE"""),"If they can become the dominant supply chain manager it's a large addressable market.")</f>
        <v>If they can become the dominant supply chain manager it's a large addressable market.</v>
      </c>
      <c r="P195" s="179">
        <f ca="1">IFERROR(__xludf.DUMMYFUNCTION("""COMPUTED_VALUE"""),4)</f>
        <v>4</v>
      </c>
      <c r="Q195" s="179">
        <f ca="1">IFERROR(__xludf.DUMMYFUNCTION("""COMPUTED_VALUE"""),4)</f>
        <v>4</v>
      </c>
      <c r="R195" s="179">
        <f ca="1">IFERROR(__xludf.DUMMYFUNCTION("""COMPUTED_VALUE"""),4)</f>
        <v>4</v>
      </c>
      <c r="S195" s="179" t="str">
        <f ca="1">IFERROR(__xludf.DUMMYFUNCTION("""COMPUTED_VALUE"""),"I think they left out the other founders but the CEO certainly knows construction very well.")</f>
        <v>I think they left out the other founders but the CEO certainly knows construction very well.</v>
      </c>
      <c r="T195" s="437">
        <f ca="1">IFERROR(__xludf.DUMMYFUNCTION("""COMPUTED_VALUE"""),4000000)</f>
        <v>4000000</v>
      </c>
      <c r="U195" s="179" t="str">
        <f ca="1">IFERROR(__xludf.DUMMYFUNCTION("""COMPUTED_VALUE"""),"$500K-$1M")</f>
        <v>$500K-$1M</v>
      </c>
      <c r="V195" s="179">
        <f ca="1">IFERROR(__xludf.DUMMYFUNCTION("""COMPUTED_VALUE"""),4)</f>
        <v>4</v>
      </c>
      <c r="W195" s="179" t="str">
        <f ca="1">IFERROR(__xludf.DUMMYFUNCTION("""COMPUTED_VALUE"""),"I don't know construction very well but their cash flows look impressive so far, and the leadership appears to know this area very well, though some co-founders would be good.")</f>
        <v>I don't know construction very well but their cash flows look impressive so far, and the leadership appears to know this area very well, though some co-founders would be good.</v>
      </c>
    </row>
    <row r="196" spans="1:23">
      <c r="A196" s="179" t="str">
        <f ca="1">IFERROR(__xludf.DUMMYFUNCTION("""COMPUTED_VALUE"""),"R")</f>
        <v>R</v>
      </c>
      <c r="B196" s="436">
        <f ca="1">IFERROR(__xludf.DUMMYFUNCTION("""COMPUTED_VALUE"""),44794.396097662)</f>
        <v>44794.396097662</v>
      </c>
      <c r="C196" s="179" t="str">
        <f ca="1">IFERROR(__xludf.DUMMYFUNCTION("""COMPUTED_VALUE"""),"jsy8879@stern.nyu.edu")</f>
        <v>jsy8879@stern.nyu.edu</v>
      </c>
      <c r="D196" s="179" t="str">
        <f ca="1">IFERROR(__xludf.DUMMYFUNCTION("""COMPUTED_VALUE"""),"Jason Yu")</f>
        <v>Jason Yu</v>
      </c>
      <c r="E196" s="179" t="str">
        <f ca="1">IFERROR(__xludf.DUMMYFUNCTION("""COMPUTED_VALUE"""),"I have read and understand the confidentiality agreement for application reviewers.")</f>
        <v>I have read and understand the confidentiality agreement for application reviewers.</v>
      </c>
      <c r="F196" s="179" t="str">
        <f ca="1">IFERROR(__xludf.DUMMYFUNCTION("""COMPUTED_VALUE"""),"Lindus Health")</f>
        <v>Lindus Health</v>
      </c>
      <c r="G196" s="179" t="str">
        <f ca="1">IFERROR(__xludf.DUMMYFUNCTION("""COMPUTED_VALUE"""),"Tech platform for clinical trials / Biotech / Seed")</f>
        <v>Tech platform for clinical trials / Biotech / Seed</v>
      </c>
      <c r="H196" s="179">
        <f ca="1">IFERROR(__xludf.DUMMYFUNCTION("""COMPUTED_VALUE"""),3)</f>
        <v>3</v>
      </c>
      <c r="I196" s="179">
        <f ca="1">IFERROR(__xludf.DUMMYFUNCTION("""COMPUTED_VALUE"""),3)</f>
        <v>3</v>
      </c>
      <c r="J196" s="179">
        <f ca="1">IFERROR(__xludf.DUMMYFUNCTION("""COMPUTED_VALUE"""),4)</f>
        <v>4</v>
      </c>
      <c r="K196" s="179">
        <f ca="1">IFERROR(__xludf.DUMMYFUNCTION("""COMPUTED_VALUE"""),2)</f>
        <v>2</v>
      </c>
      <c r="L196" s="179" t="str">
        <f ca="1">IFERROR(__xludf.DUMMYFUNCTION("""COMPUTED_VALUE"""),"Our Citrus trial product streamlines all aspects of clinical trials from design, recruit to delivery.")</f>
        <v>Our Citrus trial product streamlines all aspects of clinical trials from design, recruit to delivery.</v>
      </c>
      <c r="M196" s="179">
        <f ca="1">IFERROR(__xludf.DUMMYFUNCTION("""COMPUTED_VALUE"""),4)</f>
        <v>4</v>
      </c>
      <c r="N196" s="179">
        <f ca="1">IFERROR(__xludf.DUMMYFUNCTION("""COMPUTED_VALUE"""),3)</f>
        <v>3</v>
      </c>
      <c r="O196" s="179" t="str">
        <f ca="1">IFERROR(__xludf.DUMMYFUNCTION("""COMPUTED_VALUE"""),"$50k p/m from ongoing trials. $44bn a year is spent on CROs. Targeting spend outside of major pharma.")</f>
        <v>$50k p/m from ongoing trials. $44bn a year is spent on CROs. Targeting spend outside of major pharma.</v>
      </c>
      <c r="P196" s="179">
        <f ca="1">IFERROR(__xludf.DUMMYFUNCTION("""COMPUTED_VALUE"""),4)</f>
        <v>4</v>
      </c>
      <c r="Q196" s="179">
        <f ca="1">IFERROR(__xludf.DUMMYFUNCTION("""COMPUTED_VALUE"""),5)</f>
        <v>5</v>
      </c>
      <c r="R196" s="179">
        <f ca="1">IFERROR(__xludf.DUMMYFUNCTION("""COMPUTED_VALUE"""),5)</f>
        <v>5</v>
      </c>
      <c r="S196" s="179"/>
      <c r="T196" s="437">
        <f ca="1">IFERROR(__xludf.DUMMYFUNCTION("""COMPUTED_VALUE"""),4500000)</f>
        <v>4500000</v>
      </c>
      <c r="U196" s="179" t="str">
        <f ca="1">IFERROR(__xludf.DUMMYFUNCTION("""COMPUTED_VALUE"""),"$1-$5M")</f>
        <v>$1-$5M</v>
      </c>
      <c r="V196" s="179">
        <f ca="1">IFERROR(__xludf.DUMMYFUNCTION("""COMPUTED_VALUE"""),4)</f>
        <v>4</v>
      </c>
      <c r="W196" s="179" t="str">
        <f ca="1">IFERROR(__xludf.DUMMYFUNCTION("""COMPUTED_VALUE"""),"Biggest obstacle is figuring out how to scale as efficiently as possible.")</f>
        <v>Biggest obstacle is figuring out how to scale as efficiently as possible.</v>
      </c>
    </row>
    <row r="197" spans="1:23">
      <c r="A197" s="179" t="str">
        <f ca="1">IFERROR(__xludf.DUMMYFUNCTION("""COMPUTED_VALUE"""),"R")</f>
        <v>R</v>
      </c>
      <c r="B197" s="436">
        <f ca="1">IFERROR(__xludf.DUMMYFUNCTION("""COMPUTED_VALUE"""),44794.4005626851)</f>
        <v>44794.400562685099</v>
      </c>
      <c r="C197" s="179" t="str">
        <f ca="1">IFERROR(__xludf.DUMMYFUNCTION("""COMPUTED_VALUE"""),"jsy8879@stern.nyu.edu")</f>
        <v>jsy8879@stern.nyu.edu</v>
      </c>
      <c r="D197" s="179" t="str">
        <f ca="1">IFERROR(__xludf.DUMMYFUNCTION("""COMPUTED_VALUE"""),"Jason Yu")</f>
        <v>Jason Yu</v>
      </c>
      <c r="E197" s="179" t="str">
        <f ca="1">IFERROR(__xludf.DUMMYFUNCTION("""COMPUTED_VALUE"""),"I have read and understand the confidentiality agreement for application reviewers.")</f>
        <v>I have read and understand the confidentiality agreement for application reviewers.</v>
      </c>
      <c r="F197" s="179" t="str">
        <f ca="1">IFERROR(__xludf.DUMMYFUNCTION("""COMPUTED_VALUE"""),"Lux Wind Power")</f>
        <v>Lux Wind Power</v>
      </c>
      <c r="G197" s="179" t="str">
        <f ca="1">IFERROR(__xludf.DUMMYFUNCTION("""COMPUTED_VALUE"""),"Vertical Axis Wind Turbines / Energy / Seed")</f>
        <v>Vertical Axis Wind Turbines / Energy / Seed</v>
      </c>
      <c r="H197" s="179">
        <f ca="1">IFERROR(__xludf.DUMMYFUNCTION("""COMPUTED_VALUE"""),3)</f>
        <v>3</v>
      </c>
      <c r="I197" s="179">
        <f ca="1">IFERROR(__xludf.DUMMYFUNCTION("""COMPUTED_VALUE"""),2)</f>
        <v>2</v>
      </c>
      <c r="J197" s="179">
        <f ca="1">IFERROR(__xludf.DUMMYFUNCTION("""COMPUTED_VALUE"""),4)</f>
        <v>4</v>
      </c>
      <c r="K197" s="179">
        <f ca="1">IFERROR(__xludf.DUMMYFUNCTION("""COMPUTED_VALUE"""),2)</f>
        <v>2</v>
      </c>
      <c r="L197" s="179" t="str">
        <f ca="1">IFERROR(__xludf.DUMMYFUNCTION("""COMPUTED_VALUE"""),"Vertical Axis Wind Turbines")</f>
        <v>Vertical Axis Wind Turbines</v>
      </c>
      <c r="M197" s="179">
        <f ca="1">IFERROR(__xludf.DUMMYFUNCTION("""COMPUTED_VALUE"""),2)</f>
        <v>2</v>
      </c>
      <c r="N197" s="179">
        <f ca="1">IFERROR(__xludf.DUMMYFUNCTION("""COMPUTED_VALUE"""),3)</f>
        <v>3</v>
      </c>
      <c r="O197" s="179" t="str">
        <f ca="1">IFERROR(__xludf.DUMMYFUNCTION("""COMPUTED_VALUE"""),"Our current 100 Kw prototype is connected to the grid and has been generating revenue from our local utility company for the past 10 months.")</f>
        <v>Our current 100 Kw prototype is connected to the grid and has been generating revenue from our local utility company for the past 10 months.</v>
      </c>
      <c r="P197" s="179">
        <f ca="1">IFERROR(__xludf.DUMMYFUNCTION("""COMPUTED_VALUE"""),3)</f>
        <v>3</v>
      </c>
      <c r="Q197" s="179">
        <f ca="1">IFERROR(__xludf.DUMMYFUNCTION("""COMPUTED_VALUE"""),4)</f>
        <v>4</v>
      </c>
      <c r="R197" s="179">
        <f ca="1">IFERROR(__xludf.DUMMYFUNCTION("""COMPUTED_VALUE"""),5)</f>
        <v>5</v>
      </c>
      <c r="S197" s="179" t="str">
        <f ca="1">IFERROR(__xludf.DUMMYFUNCTION("""COMPUTED_VALUE"""),"One person")</f>
        <v>One person</v>
      </c>
      <c r="T197" s="179"/>
      <c r="U197" s="179" t="str">
        <f ca="1">IFERROR(__xludf.DUMMYFUNCTION("""COMPUTED_VALUE"""),"$0")</f>
        <v>$0</v>
      </c>
      <c r="V197" s="179">
        <f ca="1">IFERROR(__xludf.DUMMYFUNCTION("""COMPUTED_VALUE"""),2)</f>
        <v>2</v>
      </c>
      <c r="W197" s="179" t="str">
        <f ca="1">IFERROR(__xludf.DUMMYFUNCTION("""COMPUTED_VALUE"""),"Current turbine design requires more engineering and investigation to become a commercial model.")</f>
        <v>Current turbine design requires more engineering and investigation to become a commercial model.</v>
      </c>
    </row>
    <row r="198" spans="1:23">
      <c r="A198" s="179" t="str">
        <f ca="1">IFERROR(__xludf.DUMMYFUNCTION("""COMPUTED_VALUE"""),"R")</f>
        <v>R</v>
      </c>
      <c r="B198" s="436">
        <f ca="1">IFERROR(__xludf.DUMMYFUNCTION("""COMPUTED_VALUE"""),44794.4084183912)</f>
        <v>44794.408418391198</v>
      </c>
      <c r="C198" s="179" t="str">
        <f ca="1">IFERROR(__xludf.DUMMYFUNCTION("""COMPUTED_VALUE"""),"jsy8879@stern.nyu.edu")</f>
        <v>jsy8879@stern.nyu.edu</v>
      </c>
      <c r="D198" s="179" t="str">
        <f ca="1">IFERROR(__xludf.DUMMYFUNCTION("""COMPUTED_VALUE"""),"Jason Yu")</f>
        <v>Jason Yu</v>
      </c>
      <c r="E198" s="179" t="str">
        <f ca="1">IFERROR(__xludf.DUMMYFUNCTION("""COMPUTED_VALUE"""),"I have read and understand the confidentiality agreement for application reviewers.")</f>
        <v>I have read and understand the confidentiality agreement for application reviewers.</v>
      </c>
      <c r="F198" s="179" t="str">
        <f ca="1">IFERROR(__xludf.DUMMYFUNCTION("""COMPUTED_VALUE"""),"Meili")</f>
        <v>Meili</v>
      </c>
      <c r="G198" s="179" t="str">
        <f ca="1">IFERROR(__xludf.DUMMYFUNCTION("""COMPUTED_VALUE"""),"Deep learning medical emergency detection system for vehicles / Transportation / Pre-seed")</f>
        <v>Deep learning medical emergency detection system for vehicles / Transportation / Pre-seed</v>
      </c>
      <c r="H198" s="179">
        <f ca="1">IFERROR(__xludf.DUMMYFUNCTION("""COMPUTED_VALUE"""),4)</f>
        <v>4</v>
      </c>
      <c r="I198" s="179">
        <f ca="1">IFERROR(__xludf.DUMMYFUNCTION("""COMPUTED_VALUE"""),2)</f>
        <v>2</v>
      </c>
      <c r="J198" s="179">
        <f ca="1">IFERROR(__xludf.DUMMYFUNCTION("""COMPUTED_VALUE"""),2)</f>
        <v>2</v>
      </c>
      <c r="K198" s="179">
        <f ca="1">IFERROR(__xludf.DUMMYFUNCTION("""COMPUTED_VALUE"""),2)</f>
        <v>2</v>
      </c>
      <c r="L198" s="179" t="str">
        <f ca="1">IFERROR(__xludf.DUMMYFUNCTION("""COMPUTED_VALUE"""),"Robust validation will occur after the data collection endeavors following our current round.")</f>
        <v>Robust validation will occur after the data collection endeavors following our current round.</v>
      </c>
      <c r="M198" s="179">
        <f ca="1">IFERROR(__xludf.DUMMYFUNCTION("""COMPUTED_VALUE"""),2)</f>
        <v>2</v>
      </c>
      <c r="N198" s="179">
        <f ca="1">IFERROR(__xludf.DUMMYFUNCTION("""COMPUTED_VALUE"""),1)</f>
        <v>1</v>
      </c>
      <c r="O198" s="179"/>
      <c r="P198" s="179">
        <f ca="1">IFERROR(__xludf.DUMMYFUNCTION("""COMPUTED_VALUE"""),3)</f>
        <v>3</v>
      </c>
      <c r="Q198" s="179">
        <f ca="1">IFERROR(__xludf.DUMMYFUNCTION("""COMPUTED_VALUE"""),4)</f>
        <v>4</v>
      </c>
      <c r="R198" s="179">
        <f ca="1">IFERROR(__xludf.DUMMYFUNCTION("""COMPUTED_VALUE"""),4)</f>
        <v>4</v>
      </c>
      <c r="S198" s="179" t="str">
        <f ca="1">IFERROR(__xludf.DUMMYFUNCTION("""COMPUTED_VALUE"""),"4 person team on LinkedIn ")</f>
        <v xml:space="preserve">4 person team on LinkedIn </v>
      </c>
      <c r="T198" s="437">
        <f ca="1">IFERROR(__xludf.DUMMYFUNCTION("""COMPUTED_VALUE"""),100000)</f>
        <v>100000</v>
      </c>
      <c r="U198" s="179" t="str">
        <f ca="1">IFERROR(__xludf.DUMMYFUNCTION("""COMPUTED_VALUE"""),"$1-$5M")</f>
        <v>$1-$5M</v>
      </c>
      <c r="V198" s="179">
        <f ca="1">IFERROR(__xludf.DUMMYFUNCTION("""COMPUTED_VALUE"""),2)</f>
        <v>2</v>
      </c>
      <c r="W198" s="179" t="str">
        <f ca="1">IFERROR(__xludf.DUMMYFUNCTION("""COMPUTED_VALUE"""),"A lack of a hardware moat and control in the sensing module itself")</f>
        <v>A lack of a hardware moat and control in the sensing module itself</v>
      </c>
    </row>
    <row r="199" spans="1:23">
      <c r="A199" s="179" t="str">
        <f ca="1">IFERROR(__xludf.DUMMYFUNCTION("""COMPUTED_VALUE"""),"R")</f>
        <v>R</v>
      </c>
      <c r="B199" s="436">
        <f ca="1">IFERROR(__xludf.DUMMYFUNCTION("""COMPUTED_VALUE"""),44794.4159459953)</f>
        <v>44794.415945995301</v>
      </c>
      <c r="C199" s="179" t="str">
        <f ca="1">IFERROR(__xludf.DUMMYFUNCTION("""COMPUTED_VALUE"""),"jsy8879@stern.nyu.edu")</f>
        <v>jsy8879@stern.nyu.edu</v>
      </c>
      <c r="D199" s="179" t="str">
        <f ca="1">IFERROR(__xludf.DUMMYFUNCTION("""COMPUTED_VALUE"""),"Jason Yu")</f>
        <v>Jason Yu</v>
      </c>
      <c r="E199" s="179" t="str">
        <f ca="1">IFERROR(__xludf.DUMMYFUNCTION("""COMPUTED_VALUE"""),"I have read and understand the confidentiality agreement for application reviewers.")</f>
        <v>I have read and understand the confidentiality agreement for application reviewers.</v>
      </c>
      <c r="F199" s="179" t="str">
        <f ca="1">IFERROR(__xludf.DUMMYFUNCTION("""COMPUTED_VALUE"""),"Pharmor")</f>
        <v>Pharmor</v>
      </c>
      <c r="G199" s="179" t="str">
        <f ca="1">IFERROR(__xludf.DUMMYFUNCTION("""COMPUTED_VALUE"""),"Nano-scale coating for microbes / Agriculture / Pre-Seed")</f>
        <v>Nano-scale coating for microbes / Agriculture / Pre-Seed</v>
      </c>
      <c r="H199" s="179">
        <f ca="1">IFERROR(__xludf.DUMMYFUNCTION("""COMPUTED_VALUE"""),4)</f>
        <v>4</v>
      </c>
      <c r="I199" s="179">
        <f ca="1">IFERROR(__xludf.DUMMYFUNCTION("""COMPUTED_VALUE"""),4)</f>
        <v>4</v>
      </c>
      <c r="J199" s="179">
        <f ca="1">IFERROR(__xludf.DUMMYFUNCTION("""COMPUTED_VALUE"""),3)</f>
        <v>3</v>
      </c>
      <c r="K199" s="179">
        <f ca="1">IFERROR(__xludf.DUMMYFUNCTION("""COMPUTED_VALUE"""),4)</f>
        <v>4</v>
      </c>
      <c r="L199" s="179" t="str">
        <f ca="1">IFERROR(__xludf.DUMMYFUNCTION("""COMPUTED_VALUE"""),"The technology is owned by MIT but developed by the founder of the startup; exclusive
licensing for Pharmor has already been discussed with the MIT TLO.")</f>
        <v>The technology is owned by MIT but developed by the founder of the startup; exclusive
licensing for Pharmor has already been discussed with the MIT TLO.</v>
      </c>
      <c r="M199" s="179">
        <f ca="1">IFERROR(__xludf.DUMMYFUNCTION("""COMPUTED_VALUE"""),4)</f>
        <v>4</v>
      </c>
      <c r="N199" s="179">
        <f ca="1">IFERROR(__xludf.DUMMYFUNCTION("""COMPUTED_VALUE"""),1)</f>
        <v>1</v>
      </c>
      <c r="O199" s="179" t="str">
        <f ca="1">IFERROR(__xludf.DUMMYFUNCTION("""COMPUTED_VALUE"""),"TAM- $180B total fertilizer market")</f>
        <v>TAM- $180B total fertilizer market</v>
      </c>
      <c r="P199" s="179">
        <f ca="1">IFERROR(__xludf.DUMMYFUNCTION("""COMPUTED_VALUE"""),4)</f>
        <v>4</v>
      </c>
      <c r="Q199" s="179">
        <f ca="1">IFERROR(__xludf.DUMMYFUNCTION("""COMPUTED_VALUE"""),5)</f>
        <v>5</v>
      </c>
      <c r="R199" s="179">
        <f ca="1">IFERROR(__xludf.DUMMYFUNCTION("""COMPUTED_VALUE"""),5)</f>
        <v>5</v>
      </c>
      <c r="S199" s="179"/>
      <c r="T199" s="437">
        <f ca="1">IFERROR(__xludf.DUMMYFUNCTION("""COMPUTED_VALUE"""),0)</f>
        <v>0</v>
      </c>
      <c r="U199" s="179" t="str">
        <f ca="1">IFERROR(__xludf.DUMMYFUNCTION("""COMPUTED_VALUE"""),"&lt;$500K")</f>
        <v>&lt;$500K</v>
      </c>
      <c r="V199" s="179">
        <f ca="1">IFERROR(__xludf.DUMMYFUNCTION("""COMPUTED_VALUE"""),3)</f>
        <v>3</v>
      </c>
      <c r="W199" s="179" t="str">
        <f ca="1">IFERROR(__xludf.DUMMYFUNCTION("""COMPUTED_VALUE"""),"Concerned with licensing rights from IP developed by the founder at MIT.")</f>
        <v>Concerned with licensing rights from IP developed by the founder at MIT.</v>
      </c>
    </row>
    <row r="200" spans="1:23">
      <c r="A200" s="179" t="str">
        <f ca="1">IFERROR(__xludf.DUMMYFUNCTION("""COMPUTED_VALUE"""),"R")</f>
        <v>R</v>
      </c>
      <c r="B200" s="436">
        <f ca="1">IFERROR(__xludf.DUMMYFUNCTION("""COMPUTED_VALUE"""),44794.43407603)</f>
        <v>44794.434076029997</v>
      </c>
      <c r="C200" s="179" t="str">
        <f ca="1">IFERROR(__xludf.DUMMYFUNCTION("""COMPUTED_VALUE"""),"jm5201@stern.nyu.edu")</f>
        <v>jm5201@stern.nyu.edu</v>
      </c>
      <c r="D200" s="179" t="str">
        <f ca="1">IFERROR(__xludf.DUMMYFUNCTION("""COMPUTED_VALUE"""),"John McDonald")</f>
        <v>John McDonald</v>
      </c>
      <c r="E200" s="179" t="str">
        <f ca="1">IFERROR(__xludf.DUMMYFUNCTION("""COMPUTED_VALUE"""),"I have read and understand the confidentiality agreement for application reviewers.")</f>
        <v>I have read and understand the confidentiality agreement for application reviewers.</v>
      </c>
      <c r="F200" s="179" t="str">
        <f ca="1">IFERROR(__xludf.DUMMYFUNCTION("""COMPUTED_VALUE"""),"Panakeia Technolgies Ltd")</f>
        <v>Panakeia Technolgies Ltd</v>
      </c>
      <c r="G200" s="179" t="str">
        <f ca="1">IFERROR(__xludf.DUMMYFUNCTION("""COMPUTED_VALUE"""),"Biomarker software oncology")</f>
        <v>Biomarker software oncology</v>
      </c>
      <c r="H200" s="179">
        <f ca="1">IFERROR(__xludf.DUMMYFUNCTION("""COMPUTED_VALUE"""),4)</f>
        <v>4</v>
      </c>
      <c r="I200" s="179">
        <f ca="1">IFERROR(__xludf.DUMMYFUNCTION("""COMPUTED_VALUE"""),3)</f>
        <v>3</v>
      </c>
      <c r="J200" s="179">
        <f ca="1">IFERROR(__xludf.DUMMYFUNCTION("""COMPUTED_VALUE"""),2)</f>
        <v>2</v>
      </c>
      <c r="K200" s="179">
        <f ca="1">IFERROR(__xludf.DUMMYFUNCTION("""COMPUTED_VALUE"""),3)</f>
        <v>3</v>
      </c>
      <c r="L200" s="179"/>
      <c r="M200" s="179">
        <f ca="1">IFERROR(__xludf.DUMMYFUNCTION("""COMPUTED_VALUE"""),3)</f>
        <v>3</v>
      </c>
      <c r="N200" s="179">
        <f ca="1">IFERROR(__xludf.DUMMYFUNCTION("""COMPUTED_VALUE"""),2)</f>
        <v>2</v>
      </c>
      <c r="O200" s="179"/>
      <c r="P200" s="179">
        <f ca="1">IFERROR(__xludf.DUMMYFUNCTION("""COMPUTED_VALUE"""),3)</f>
        <v>3</v>
      </c>
      <c r="Q200" s="179">
        <f ca="1">IFERROR(__xludf.DUMMYFUNCTION("""COMPUTED_VALUE"""),3)</f>
        <v>3</v>
      </c>
      <c r="R200" s="179">
        <f ca="1">IFERROR(__xludf.DUMMYFUNCTION("""COMPUTED_VALUE"""),4)</f>
        <v>4</v>
      </c>
      <c r="S200" s="179"/>
      <c r="T200" s="179"/>
      <c r="U200" s="179" t="str">
        <f ca="1">IFERROR(__xludf.DUMMYFUNCTION("""COMPUTED_VALUE"""),"&gt;$5M")</f>
        <v>&gt;$5M</v>
      </c>
      <c r="V200" s="179">
        <f ca="1">IFERROR(__xludf.DUMMYFUNCTION("""COMPUTED_VALUE"""),4)</f>
        <v>4</v>
      </c>
      <c r="W200" s="179"/>
    </row>
    <row r="201" spans="1:23">
      <c r="A201" s="179" t="str">
        <f ca="1">IFERROR(__xludf.DUMMYFUNCTION("""COMPUTED_VALUE"""),"R")</f>
        <v>R</v>
      </c>
      <c r="B201" s="436">
        <f ca="1">IFERROR(__xludf.DUMMYFUNCTION("""COMPUTED_VALUE"""),44794.435804537)</f>
        <v>44794.435804537003</v>
      </c>
      <c r="C201" s="179" t="str">
        <f ca="1">IFERROR(__xludf.DUMMYFUNCTION("""COMPUTED_VALUE"""),"jm5201@stern.nyu.edu")</f>
        <v>jm5201@stern.nyu.edu</v>
      </c>
      <c r="D201" s="179" t="str">
        <f ca="1">IFERROR(__xludf.DUMMYFUNCTION("""COMPUTED_VALUE"""),"John McDonald")</f>
        <v>John McDonald</v>
      </c>
      <c r="E201" s="179" t="str">
        <f ca="1">IFERROR(__xludf.DUMMYFUNCTION("""COMPUTED_VALUE"""),"I have read and understand the confidentiality agreement for application reviewers.")</f>
        <v>I have read and understand the confidentiality agreement for application reviewers.</v>
      </c>
      <c r="F201" s="179" t="str">
        <f ca="1">IFERROR(__xludf.DUMMYFUNCTION("""COMPUTED_VALUE"""),"Pannex Therapeutics")</f>
        <v>Pannex Therapeutics</v>
      </c>
      <c r="G201" s="179" t="str">
        <f ca="1">IFERROR(__xludf.DUMMYFUNCTION("""COMPUTED_VALUE"""),"Pain treatment drug development")</f>
        <v>Pain treatment drug development</v>
      </c>
      <c r="H201" s="179">
        <f ca="1">IFERROR(__xludf.DUMMYFUNCTION("""COMPUTED_VALUE"""),3)</f>
        <v>3</v>
      </c>
      <c r="I201" s="179">
        <f ca="1">IFERROR(__xludf.DUMMYFUNCTION("""COMPUTED_VALUE"""),3)</f>
        <v>3</v>
      </c>
      <c r="J201" s="179">
        <f ca="1">IFERROR(__xludf.DUMMYFUNCTION("""COMPUTED_VALUE"""),2)</f>
        <v>2</v>
      </c>
      <c r="K201" s="179">
        <f ca="1">IFERROR(__xludf.DUMMYFUNCTION("""COMPUTED_VALUE"""),3)</f>
        <v>3</v>
      </c>
      <c r="L201" s="179"/>
      <c r="M201" s="179">
        <f ca="1">IFERROR(__xludf.DUMMYFUNCTION("""COMPUTED_VALUE"""),4)</f>
        <v>4</v>
      </c>
      <c r="N201" s="179">
        <f ca="1">IFERROR(__xludf.DUMMYFUNCTION("""COMPUTED_VALUE"""),2)</f>
        <v>2</v>
      </c>
      <c r="O201" s="179"/>
      <c r="P201" s="179">
        <f ca="1">IFERROR(__xludf.DUMMYFUNCTION("""COMPUTED_VALUE"""),3)</f>
        <v>3</v>
      </c>
      <c r="Q201" s="179">
        <f ca="1">IFERROR(__xludf.DUMMYFUNCTION("""COMPUTED_VALUE"""),4)</f>
        <v>4</v>
      </c>
      <c r="R201" s="179">
        <f ca="1">IFERROR(__xludf.DUMMYFUNCTION("""COMPUTED_VALUE"""),3)</f>
        <v>3</v>
      </c>
      <c r="S201" s="179"/>
      <c r="T201" s="179"/>
      <c r="U201" s="179" t="str">
        <f ca="1">IFERROR(__xludf.DUMMYFUNCTION("""COMPUTED_VALUE"""),"&gt;$5M")</f>
        <v>&gt;$5M</v>
      </c>
      <c r="V201" s="179">
        <f ca="1">IFERROR(__xludf.DUMMYFUNCTION("""COMPUTED_VALUE"""),4)</f>
        <v>4</v>
      </c>
      <c r="W201" s="179"/>
    </row>
    <row r="202" spans="1:23">
      <c r="A202" s="179" t="str">
        <f ca="1">IFERROR(__xludf.DUMMYFUNCTION("""COMPUTED_VALUE"""),"R")</f>
        <v>R</v>
      </c>
      <c r="B202" s="436">
        <f ca="1">IFERROR(__xludf.DUMMYFUNCTION("""COMPUTED_VALUE"""),44794.4393919212)</f>
        <v>44794.439391921202</v>
      </c>
      <c r="C202" s="179" t="str">
        <f ca="1">IFERROR(__xludf.DUMMYFUNCTION("""COMPUTED_VALUE"""),"jm5201@stern.nyu.edu")</f>
        <v>jm5201@stern.nyu.edu</v>
      </c>
      <c r="D202" s="179" t="str">
        <f ca="1">IFERROR(__xludf.DUMMYFUNCTION("""COMPUTED_VALUE"""),"John McDonald")</f>
        <v>John McDonald</v>
      </c>
      <c r="E202" s="179" t="str">
        <f ca="1">IFERROR(__xludf.DUMMYFUNCTION("""COMPUTED_VALUE"""),"I have read and understand the confidentiality agreement for application reviewers.")</f>
        <v>I have read and understand the confidentiality agreement for application reviewers.</v>
      </c>
      <c r="F202" s="179" t="str">
        <f ca="1">IFERROR(__xludf.DUMMYFUNCTION("""COMPUTED_VALUE"""),"PeroLED")</f>
        <v>PeroLED</v>
      </c>
      <c r="G202" s="179" t="str">
        <f ca="1">IFERROR(__xludf.DUMMYFUNCTION("""COMPUTED_VALUE"""),"Low power Display LEDs / pre-series A")</f>
        <v>Low power Display LEDs / pre-series A</v>
      </c>
      <c r="H202" s="179">
        <f ca="1">IFERROR(__xludf.DUMMYFUNCTION("""COMPUTED_VALUE"""),3)</f>
        <v>3</v>
      </c>
      <c r="I202" s="179">
        <f ca="1">IFERROR(__xludf.DUMMYFUNCTION("""COMPUTED_VALUE"""),4)</f>
        <v>4</v>
      </c>
      <c r="J202" s="179">
        <f ca="1">IFERROR(__xludf.DUMMYFUNCTION("""COMPUTED_VALUE"""),3)</f>
        <v>3</v>
      </c>
      <c r="K202" s="179">
        <f ca="1">IFERROR(__xludf.DUMMYFUNCTION("""COMPUTED_VALUE"""),3)</f>
        <v>3</v>
      </c>
      <c r="L202" s="179"/>
      <c r="M202" s="179">
        <f ca="1">IFERROR(__xludf.DUMMYFUNCTION("""COMPUTED_VALUE"""),4)</f>
        <v>4</v>
      </c>
      <c r="N202" s="179">
        <f ca="1">IFERROR(__xludf.DUMMYFUNCTION("""COMPUTED_VALUE"""),2)</f>
        <v>2</v>
      </c>
      <c r="O202" s="179"/>
      <c r="P202" s="179">
        <f ca="1">IFERROR(__xludf.DUMMYFUNCTION("""COMPUTED_VALUE"""),3)</f>
        <v>3</v>
      </c>
      <c r="Q202" s="179">
        <f ca="1">IFERROR(__xludf.DUMMYFUNCTION("""COMPUTED_VALUE"""),4)</f>
        <v>4</v>
      </c>
      <c r="R202" s="179">
        <f ca="1">IFERROR(__xludf.DUMMYFUNCTION("""COMPUTED_VALUE"""),3)</f>
        <v>3</v>
      </c>
      <c r="S202" s="179"/>
      <c r="T202" s="179"/>
      <c r="U202" s="179" t="str">
        <f ca="1">IFERROR(__xludf.DUMMYFUNCTION("""COMPUTED_VALUE"""),"&gt;$5M")</f>
        <v>&gt;$5M</v>
      </c>
      <c r="V202" s="179">
        <f ca="1">IFERROR(__xludf.DUMMYFUNCTION("""COMPUTED_VALUE"""),4)</f>
        <v>4</v>
      </c>
      <c r="W202" s="179"/>
    </row>
    <row r="203" spans="1:23">
      <c r="A203" s="179" t="str">
        <f ca="1">IFERROR(__xludf.DUMMYFUNCTION("""COMPUTED_VALUE"""),"R")</f>
        <v>R</v>
      </c>
      <c r="B203" s="436">
        <f ca="1">IFERROR(__xludf.DUMMYFUNCTION("""COMPUTED_VALUE"""),44794.4411719675)</f>
        <v>44794.441171967497</v>
      </c>
      <c r="C203" s="179" t="str">
        <f ca="1">IFERROR(__xludf.DUMMYFUNCTION("""COMPUTED_VALUE"""),"jm5201@stern.nyu.edu")</f>
        <v>jm5201@stern.nyu.edu</v>
      </c>
      <c r="D203" s="179" t="str">
        <f ca="1">IFERROR(__xludf.DUMMYFUNCTION("""COMPUTED_VALUE"""),"John McDonald")</f>
        <v>John McDonald</v>
      </c>
      <c r="E203" s="179" t="str">
        <f ca="1">IFERROR(__xludf.DUMMYFUNCTION("""COMPUTED_VALUE"""),"I have read and understand the confidentiality agreement for application reviewers.")</f>
        <v>I have read and understand the confidentiality agreement for application reviewers.</v>
      </c>
      <c r="F203" s="179" t="str">
        <f ca="1">IFERROR(__xludf.DUMMYFUNCTION("""COMPUTED_VALUE"""),"PlantSwitch")</f>
        <v>PlantSwitch</v>
      </c>
      <c r="G203" s="179" t="str">
        <f ca="1">IFERROR(__xludf.DUMMYFUNCTION("""COMPUTED_VALUE"""),"Plant based Plastic")</f>
        <v>Plant based Plastic</v>
      </c>
      <c r="H203" s="179">
        <f ca="1">IFERROR(__xludf.DUMMYFUNCTION("""COMPUTED_VALUE"""),4)</f>
        <v>4</v>
      </c>
      <c r="I203" s="179">
        <f ca="1">IFERROR(__xludf.DUMMYFUNCTION("""COMPUTED_VALUE"""),4)</f>
        <v>4</v>
      </c>
      <c r="J203" s="179">
        <f ca="1">IFERROR(__xludf.DUMMYFUNCTION("""COMPUTED_VALUE"""),4)</f>
        <v>4</v>
      </c>
      <c r="K203" s="179">
        <f ca="1">IFERROR(__xludf.DUMMYFUNCTION("""COMPUTED_VALUE"""),3)</f>
        <v>3</v>
      </c>
      <c r="L203" s="179"/>
      <c r="M203" s="179">
        <f ca="1">IFERROR(__xludf.DUMMYFUNCTION("""COMPUTED_VALUE"""),4)</f>
        <v>4</v>
      </c>
      <c r="N203" s="179">
        <f ca="1">IFERROR(__xludf.DUMMYFUNCTION("""COMPUTED_VALUE"""),5)</f>
        <v>5</v>
      </c>
      <c r="O203" s="179"/>
      <c r="P203" s="179">
        <f ca="1">IFERROR(__xludf.DUMMYFUNCTION("""COMPUTED_VALUE"""),3)</f>
        <v>3</v>
      </c>
      <c r="Q203" s="179">
        <f ca="1">IFERROR(__xludf.DUMMYFUNCTION("""COMPUTED_VALUE"""),4)</f>
        <v>4</v>
      </c>
      <c r="R203" s="179">
        <f ca="1">IFERROR(__xludf.DUMMYFUNCTION("""COMPUTED_VALUE"""),4)</f>
        <v>4</v>
      </c>
      <c r="S203" s="179"/>
      <c r="T203" s="179"/>
      <c r="U203" s="179" t="str">
        <f ca="1">IFERROR(__xludf.DUMMYFUNCTION("""COMPUTED_VALUE"""),"&gt;$5M")</f>
        <v>&gt;$5M</v>
      </c>
      <c r="V203" s="179">
        <f ca="1">IFERROR(__xludf.DUMMYFUNCTION("""COMPUTED_VALUE"""),5)</f>
        <v>5</v>
      </c>
      <c r="W203" s="179"/>
    </row>
    <row r="204" spans="1:23">
      <c r="A204" s="179" t="str">
        <f ca="1">IFERROR(__xludf.DUMMYFUNCTION("""COMPUTED_VALUE"""),"R")</f>
        <v>R</v>
      </c>
      <c r="B204" s="436">
        <f ca="1">IFERROR(__xludf.DUMMYFUNCTION("""COMPUTED_VALUE"""),44794.442873287)</f>
        <v>44794.442873287</v>
      </c>
      <c r="C204" s="179" t="str">
        <f ca="1">IFERROR(__xludf.DUMMYFUNCTION("""COMPUTED_VALUE"""),"jm5201@stern.nyu.edu")</f>
        <v>jm5201@stern.nyu.edu</v>
      </c>
      <c r="D204" s="179" t="str">
        <f ca="1">IFERROR(__xludf.DUMMYFUNCTION("""COMPUTED_VALUE"""),"John McDonald")</f>
        <v>John McDonald</v>
      </c>
      <c r="E204" s="179" t="str">
        <f ca="1">IFERROR(__xludf.DUMMYFUNCTION("""COMPUTED_VALUE"""),"I have read and understand the confidentiality agreement for application reviewers.")</f>
        <v>I have read and understand the confidentiality agreement for application reviewers.</v>
      </c>
      <c r="F204" s="179" t="str">
        <f ca="1">IFERROR(__xludf.DUMMYFUNCTION("""COMPUTED_VALUE"""),"PONS")</f>
        <v>PONS</v>
      </c>
      <c r="G204" s="179" t="str">
        <f ca="1">IFERROR(__xludf.DUMMYFUNCTION("""COMPUTED_VALUE"""),"AI Ultrasound health risk detection / pre series A")</f>
        <v>AI Ultrasound health risk detection / pre series A</v>
      </c>
      <c r="H204" s="179">
        <f ca="1">IFERROR(__xludf.DUMMYFUNCTION("""COMPUTED_VALUE"""),3)</f>
        <v>3</v>
      </c>
      <c r="I204" s="179">
        <f ca="1">IFERROR(__xludf.DUMMYFUNCTION("""COMPUTED_VALUE"""),3)</f>
        <v>3</v>
      </c>
      <c r="J204" s="179">
        <f ca="1">IFERROR(__xludf.DUMMYFUNCTION("""COMPUTED_VALUE"""),2)</f>
        <v>2</v>
      </c>
      <c r="K204" s="179">
        <f ca="1">IFERROR(__xludf.DUMMYFUNCTION("""COMPUTED_VALUE"""),3)</f>
        <v>3</v>
      </c>
      <c r="L204" s="179"/>
      <c r="M204" s="179">
        <f ca="1">IFERROR(__xludf.DUMMYFUNCTION("""COMPUTED_VALUE"""),3)</f>
        <v>3</v>
      </c>
      <c r="N204" s="179">
        <f ca="1">IFERROR(__xludf.DUMMYFUNCTION("""COMPUTED_VALUE"""),2)</f>
        <v>2</v>
      </c>
      <c r="O204" s="179"/>
      <c r="P204" s="179">
        <f ca="1">IFERROR(__xludf.DUMMYFUNCTION("""COMPUTED_VALUE"""),3)</f>
        <v>3</v>
      </c>
      <c r="Q204" s="179">
        <f ca="1">IFERROR(__xludf.DUMMYFUNCTION("""COMPUTED_VALUE"""),3)</f>
        <v>3</v>
      </c>
      <c r="R204" s="179">
        <f ca="1">IFERROR(__xludf.DUMMYFUNCTION("""COMPUTED_VALUE"""),4)</f>
        <v>4</v>
      </c>
      <c r="S204" s="179"/>
      <c r="T204" s="179"/>
      <c r="U204" s="179" t="str">
        <f ca="1">IFERROR(__xludf.DUMMYFUNCTION("""COMPUTED_VALUE"""),"$1-$5M")</f>
        <v>$1-$5M</v>
      </c>
      <c r="V204" s="179">
        <f ca="1">IFERROR(__xludf.DUMMYFUNCTION("""COMPUTED_VALUE"""),3)</f>
        <v>3</v>
      </c>
      <c r="W204" s="179"/>
    </row>
    <row r="205" spans="1:23">
      <c r="A205" s="179" t="str">
        <f ca="1">IFERROR(__xludf.DUMMYFUNCTION("""COMPUTED_VALUE"""),"R")</f>
        <v>R</v>
      </c>
      <c r="B205" s="436">
        <f ca="1">IFERROR(__xludf.DUMMYFUNCTION("""COMPUTED_VALUE"""),44794.4451001388)</f>
        <v>44794.445100138801</v>
      </c>
      <c r="C205" s="179" t="str">
        <f ca="1">IFERROR(__xludf.DUMMYFUNCTION("""COMPUTED_VALUE"""),"jm5201@stern.nyu.edu")</f>
        <v>jm5201@stern.nyu.edu</v>
      </c>
      <c r="D205" s="179" t="str">
        <f ca="1">IFERROR(__xludf.DUMMYFUNCTION("""COMPUTED_VALUE"""),"John McDonald")</f>
        <v>John McDonald</v>
      </c>
      <c r="E205" s="179" t="str">
        <f ca="1">IFERROR(__xludf.DUMMYFUNCTION("""COMPUTED_VALUE"""),"I have read and understand the confidentiality agreement for application reviewers.")</f>
        <v>I have read and understand the confidentiality agreement for application reviewers.</v>
      </c>
      <c r="F205" s="438" t="str">
        <f ca="1">IFERROR(__xludf.DUMMYFUNCTION("""COMPUTED_VALUE"""),"pragyaa.ai")</f>
        <v>pragyaa.ai</v>
      </c>
      <c r="G205" s="179" t="str">
        <f ca="1">IFERROR(__xludf.DUMMYFUNCTION("""COMPUTED_VALUE"""),"Voice UI documentation")</f>
        <v>Voice UI documentation</v>
      </c>
      <c r="H205" s="179">
        <f ca="1">IFERROR(__xludf.DUMMYFUNCTION("""COMPUTED_VALUE"""),3)</f>
        <v>3</v>
      </c>
      <c r="I205" s="179">
        <f ca="1">IFERROR(__xludf.DUMMYFUNCTION("""COMPUTED_VALUE"""),2)</f>
        <v>2</v>
      </c>
      <c r="J205" s="179">
        <f ca="1">IFERROR(__xludf.DUMMYFUNCTION("""COMPUTED_VALUE"""),3)</f>
        <v>3</v>
      </c>
      <c r="K205" s="179">
        <f ca="1">IFERROR(__xludf.DUMMYFUNCTION("""COMPUTED_VALUE"""),3)</f>
        <v>3</v>
      </c>
      <c r="L205" s="179"/>
      <c r="M205" s="179">
        <f ca="1">IFERROR(__xludf.DUMMYFUNCTION("""COMPUTED_VALUE"""),4)</f>
        <v>4</v>
      </c>
      <c r="N205" s="179">
        <f ca="1">IFERROR(__xludf.DUMMYFUNCTION("""COMPUTED_VALUE"""),3)</f>
        <v>3</v>
      </c>
      <c r="O205" s="179"/>
      <c r="P205" s="179">
        <f ca="1">IFERROR(__xludf.DUMMYFUNCTION("""COMPUTED_VALUE"""),4)</f>
        <v>4</v>
      </c>
      <c r="Q205" s="179">
        <f ca="1">IFERROR(__xludf.DUMMYFUNCTION("""COMPUTED_VALUE"""),3)</f>
        <v>3</v>
      </c>
      <c r="R205" s="179">
        <f ca="1">IFERROR(__xludf.DUMMYFUNCTION("""COMPUTED_VALUE"""),3)</f>
        <v>3</v>
      </c>
      <c r="S205" s="179"/>
      <c r="T205" s="437">
        <f ca="1">IFERROR(__xludf.DUMMYFUNCTION("""COMPUTED_VALUE"""),0)</f>
        <v>0</v>
      </c>
      <c r="U205" s="179" t="str">
        <f ca="1">IFERROR(__xludf.DUMMYFUNCTION("""COMPUTED_VALUE"""),"$500K-$1M")</f>
        <v>$500K-$1M</v>
      </c>
      <c r="V205" s="179">
        <f ca="1">IFERROR(__xludf.DUMMYFUNCTION("""COMPUTED_VALUE"""),3)</f>
        <v>3</v>
      </c>
      <c r="W205" s="179"/>
    </row>
    <row r="206" spans="1:23">
      <c r="A206" s="179" t="str">
        <f ca="1">IFERROR(__xludf.DUMMYFUNCTION("""COMPUTED_VALUE"""),"R")</f>
        <v>R</v>
      </c>
      <c r="B206" s="436">
        <f ca="1">IFERROR(__xludf.DUMMYFUNCTION("""COMPUTED_VALUE"""),44794.4477484606)</f>
        <v>44794.447748460603</v>
      </c>
      <c r="C206" s="179" t="str">
        <f ca="1">IFERROR(__xludf.DUMMYFUNCTION("""COMPUTED_VALUE"""),"jsy8879@stern.nyu.edu")</f>
        <v>jsy8879@stern.nyu.edu</v>
      </c>
      <c r="D206" s="179" t="str">
        <f ca="1">IFERROR(__xludf.DUMMYFUNCTION("""COMPUTED_VALUE"""),"Jason Yu")</f>
        <v>Jason Yu</v>
      </c>
      <c r="E206" s="179" t="str">
        <f ca="1">IFERROR(__xludf.DUMMYFUNCTION("""COMPUTED_VALUE"""),"I have read and understand the confidentiality agreement for application reviewers.")</f>
        <v>I have read and understand the confidentiality agreement for application reviewers.</v>
      </c>
      <c r="F206" s="179" t="str">
        <f ca="1">IFERROR(__xludf.DUMMYFUNCTION("""COMPUTED_VALUE"""),"PhoneOptika Ltd.")</f>
        <v>PhoneOptika Ltd.</v>
      </c>
      <c r="G206" s="179" t="str">
        <f ca="1">IFERROR(__xludf.DUMMYFUNCTION("""COMPUTED_VALUE"""),"Screen Embedded Reading Glasses / Healthcare / Series A")</f>
        <v>Screen Embedded Reading Glasses / Healthcare / Series A</v>
      </c>
      <c r="H206" s="179">
        <f ca="1">IFERROR(__xludf.DUMMYFUNCTION("""COMPUTED_VALUE"""),4)</f>
        <v>4</v>
      </c>
      <c r="I206" s="179">
        <f ca="1">IFERROR(__xludf.DUMMYFUNCTION("""COMPUTED_VALUE"""),3)</f>
        <v>3</v>
      </c>
      <c r="J206" s="179">
        <f ca="1">IFERROR(__xludf.DUMMYFUNCTION("""COMPUTED_VALUE"""),2)</f>
        <v>2</v>
      </c>
      <c r="K206" s="179">
        <f ca="1">IFERROR(__xludf.DUMMYFUNCTION("""COMPUTED_VALUE"""),2)</f>
        <v>2</v>
      </c>
      <c r="L206" s="179" t="str">
        <f ca="1">IFERROR(__xludf.DUMMYFUNCTION("""COMPUTED_VALUE"""),"iGlass is a passive element that substitutes the reading glasses without sacrificing the
displayed image resolution, no image processing is needed, and it doesn't depend on the user's eyeglass prescription.")</f>
        <v>iGlass is a passive element that substitutes the reading glasses without sacrificing the
displayed image resolution, no image processing is needed, and it doesn't depend on the user's eyeglass prescription.</v>
      </c>
      <c r="M206" s="179">
        <f ca="1">IFERROR(__xludf.DUMMYFUNCTION("""COMPUTED_VALUE"""),4)</f>
        <v>4</v>
      </c>
      <c r="N206" s="179">
        <f ca="1">IFERROR(__xludf.DUMMYFUNCTION("""COMPUTED_VALUE"""),1)</f>
        <v>1</v>
      </c>
      <c r="O206" s="179" t="str">
        <f ca="1">IFERROR(__xludf.DUMMYFUNCTION("""COMPUTED_VALUE"""),"With an estimated 1.8 billion people affected by presbyopia worldwide. TAM of
€30B.")</f>
        <v>With an estimated 1.8 billion people affected by presbyopia worldwide. TAM of
€30B.</v>
      </c>
      <c r="P206" s="179">
        <f ca="1">IFERROR(__xludf.DUMMYFUNCTION("""COMPUTED_VALUE"""),3)</f>
        <v>3</v>
      </c>
      <c r="Q206" s="179">
        <f ca="1">IFERROR(__xludf.DUMMYFUNCTION("""COMPUTED_VALUE"""),4)</f>
        <v>4</v>
      </c>
      <c r="R206" s="179">
        <f ca="1">IFERROR(__xludf.DUMMYFUNCTION("""COMPUTED_VALUE"""),4)</f>
        <v>4</v>
      </c>
      <c r="S206" s="179"/>
      <c r="T206" s="437">
        <f ca="1">IFERROR(__xludf.DUMMYFUNCTION("""COMPUTED_VALUE"""),1350000)</f>
        <v>1350000</v>
      </c>
      <c r="U206" s="179" t="str">
        <f ca="1">IFERROR(__xludf.DUMMYFUNCTION("""COMPUTED_VALUE"""),"$1-$5M")</f>
        <v>$1-$5M</v>
      </c>
      <c r="V206" s="179">
        <f ca="1">IFERROR(__xludf.DUMMYFUNCTION("""COMPUTED_VALUE"""),3)</f>
        <v>3</v>
      </c>
      <c r="W206" s="179" t="str">
        <f ca="1">IFERROR(__xludf.DUMMYFUNCTION("""COMPUTED_VALUE"""),"The mass production will not be ready in the next 6 month. However, the biggest challenge is to meet the needed accuracy in the production of the unique film.")</f>
        <v>The mass production will not be ready in the next 6 month. However, the biggest challenge is to meet the needed accuracy in the production of the unique film.</v>
      </c>
    </row>
    <row r="207" spans="1:23">
      <c r="A207" s="179" t="str">
        <f ca="1">IFERROR(__xludf.DUMMYFUNCTION("""COMPUTED_VALUE"""),"R")</f>
        <v>R</v>
      </c>
      <c r="B207" s="436">
        <f ca="1">IFERROR(__xludf.DUMMYFUNCTION("""COMPUTED_VALUE"""),44794.4485123958)</f>
        <v>44794.4485123958</v>
      </c>
      <c r="C207" s="179" t="str">
        <f ca="1">IFERROR(__xludf.DUMMYFUNCTION("""COMPUTED_VALUE"""),"jm5201@stern.nyu.edu")</f>
        <v>jm5201@stern.nyu.edu</v>
      </c>
      <c r="D207" s="179" t="str">
        <f ca="1">IFERROR(__xludf.DUMMYFUNCTION("""COMPUTED_VALUE"""),"John McDonald")</f>
        <v>John McDonald</v>
      </c>
      <c r="E207" s="179" t="str">
        <f ca="1">IFERROR(__xludf.DUMMYFUNCTION("""COMPUTED_VALUE"""),"I have read and understand the confidentiality agreement for application reviewers.")</f>
        <v>I have read and understand the confidentiality agreement for application reviewers.</v>
      </c>
      <c r="F207" s="179" t="str">
        <f ca="1">IFERROR(__xludf.DUMMYFUNCTION("""COMPUTED_VALUE"""),"Pulsenics")</f>
        <v>Pulsenics</v>
      </c>
      <c r="G207" s="179" t="str">
        <f ca="1">IFERROR(__xludf.DUMMYFUNCTION("""COMPUTED_VALUE"""),"Electrochemical performance improvement")</f>
        <v>Electrochemical performance improvement</v>
      </c>
      <c r="H207" s="179">
        <f ca="1">IFERROR(__xludf.DUMMYFUNCTION("""COMPUTED_VALUE"""),4)</f>
        <v>4</v>
      </c>
      <c r="I207" s="179">
        <f ca="1">IFERROR(__xludf.DUMMYFUNCTION("""COMPUTED_VALUE"""),3)</f>
        <v>3</v>
      </c>
      <c r="J207" s="179">
        <f ca="1">IFERROR(__xludf.DUMMYFUNCTION("""COMPUTED_VALUE"""),4)</f>
        <v>4</v>
      </c>
      <c r="K207" s="179">
        <f ca="1">IFERROR(__xludf.DUMMYFUNCTION("""COMPUTED_VALUE"""),3)</f>
        <v>3</v>
      </c>
      <c r="L207" s="179"/>
      <c r="M207" s="179">
        <f ca="1">IFERROR(__xludf.DUMMYFUNCTION("""COMPUTED_VALUE"""),3)</f>
        <v>3</v>
      </c>
      <c r="N207" s="179">
        <f ca="1">IFERROR(__xludf.DUMMYFUNCTION("""COMPUTED_VALUE"""),4)</f>
        <v>4</v>
      </c>
      <c r="O207" s="179"/>
      <c r="P207" s="179">
        <f ca="1">IFERROR(__xludf.DUMMYFUNCTION("""COMPUTED_VALUE"""),3)</f>
        <v>3</v>
      </c>
      <c r="Q207" s="179">
        <f ca="1">IFERROR(__xludf.DUMMYFUNCTION("""COMPUTED_VALUE"""),4)</f>
        <v>4</v>
      </c>
      <c r="R207" s="179">
        <f ca="1">IFERROR(__xludf.DUMMYFUNCTION("""COMPUTED_VALUE"""),3)</f>
        <v>3</v>
      </c>
      <c r="S207" s="179"/>
      <c r="T207" s="179"/>
      <c r="U207" s="179" t="str">
        <f ca="1">IFERROR(__xludf.DUMMYFUNCTION("""COMPUTED_VALUE"""),"$1-$5M")</f>
        <v>$1-$5M</v>
      </c>
      <c r="V207" s="179">
        <f ca="1">IFERROR(__xludf.DUMMYFUNCTION("""COMPUTED_VALUE"""),4)</f>
        <v>4</v>
      </c>
      <c r="W207" s="179"/>
    </row>
    <row r="208" spans="1:23">
      <c r="A208" s="179" t="str">
        <f ca="1">IFERROR(__xludf.DUMMYFUNCTION("""COMPUTED_VALUE"""),"R")</f>
        <v>R</v>
      </c>
      <c r="B208" s="436">
        <f ca="1">IFERROR(__xludf.DUMMYFUNCTION("""COMPUTED_VALUE"""),44794.4511812037)</f>
        <v>44794.451181203702</v>
      </c>
      <c r="C208" s="179" t="str">
        <f ca="1">IFERROR(__xludf.DUMMYFUNCTION("""COMPUTED_VALUE"""),"jm5201@stern.nyu.edu")</f>
        <v>jm5201@stern.nyu.edu</v>
      </c>
      <c r="D208" s="179" t="str">
        <f ca="1">IFERROR(__xludf.DUMMYFUNCTION("""COMPUTED_VALUE"""),"John McDonald")</f>
        <v>John McDonald</v>
      </c>
      <c r="E208" s="179" t="str">
        <f ca="1">IFERROR(__xludf.DUMMYFUNCTION("""COMPUTED_VALUE"""),"I have read and understand the confidentiality agreement for application reviewers.")</f>
        <v>I have read and understand the confidentiality agreement for application reviewers.</v>
      </c>
      <c r="F208" s="179" t="str">
        <f ca="1">IFERROR(__xludf.DUMMYFUNCTION("""COMPUTED_VALUE"""),"Qlimate LLC")</f>
        <v>Qlimate LLC</v>
      </c>
      <c r="G208" s="179" t="str">
        <f ca="1">IFERROR(__xludf.DUMMYFUNCTION("""COMPUTED_VALUE"""),"Quantum computing climate tech")</f>
        <v>Quantum computing climate tech</v>
      </c>
      <c r="H208" s="179">
        <f ca="1">IFERROR(__xludf.DUMMYFUNCTION("""COMPUTED_VALUE"""),4)</f>
        <v>4</v>
      </c>
      <c r="I208" s="179">
        <f ca="1">IFERROR(__xludf.DUMMYFUNCTION("""COMPUTED_VALUE"""),4)</f>
        <v>4</v>
      </c>
      <c r="J208" s="179">
        <f ca="1">IFERROR(__xludf.DUMMYFUNCTION("""COMPUTED_VALUE"""),3)</f>
        <v>3</v>
      </c>
      <c r="K208" s="179">
        <f ca="1">IFERROR(__xludf.DUMMYFUNCTION("""COMPUTED_VALUE"""),3)</f>
        <v>3</v>
      </c>
      <c r="L208" s="179"/>
      <c r="M208" s="179">
        <f ca="1">IFERROR(__xludf.DUMMYFUNCTION("""COMPUTED_VALUE"""),4)</f>
        <v>4</v>
      </c>
      <c r="N208" s="179">
        <f ca="1">IFERROR(__xludf.DUMMYFUNCTION("""COMPUTED_VALUE"""),3)</f>
        <v>3</v>
      </c>
      <c r="O208" s="179"/>
      <c r="P208" s="179">
        <f ca="1">IFERROR(__xludf.DUMMYFUNCTION("""COMPUTED_VALUE"""),3)</f>
        <v>3</v>
      </c>
      <c r="Q208" s="179">
        <f ca="1">IFERROR(__xludf.DUMMYFUNCTION("""COMPUTED_VALUE"""),3)</f>
        <v>3</v>
      </c>
      <c r="R208" s="179">
        <f ca="1">IFERROR(__xludf.DUMMYFUNCTION("""COMPUTED_VALUE"""),4)</f>
        <v>4</v>
      </c>
      <c r="S208" s="179"/>
      <c r="T208" s="179"/>
      <c r="U208" s="179" t="str">
        <f ca="1">IFERROR(__xludf.DUMMYFUNCTION("""COMPUTED_VALUE"""),"$0")</f>
        <v>$0</v>
      </c>
      <c r="V208" s="179">
        <f ca="1">IFERROR(__xludf.DUMMYFUNCTION("""COMPUTED_VALUE"""),5)</f>
        <v>5</v>
      </c>
      <c r="W208" s="179" t="str">
        <f ca="1">IFERROR(__xludf.DUMMYFUNCTION("""COMPUTED_VALUE"""),"Had McKinsey consulting pro-bono support")</f>
        <v>Had McKinsey consulting pro-bono support</v>
      </c>
    </row>
    <row r="209" spans="1:23">
      <c r="A209" s="179" t="str">
        <f ca="1">IFERROR(__xludf.DUMMYFUNCTION("""COMPUTED_VALUE"""),"R")</f>
        <v>R</v>
      </c>
      <c r="B209" s="436">
        <f ca="1">IFERROR(__xludf.DUMMYFUNCTION("""COMPUTED_VALUE"""),44794.4530082638)</f>
        <v>44794.453008263801</v>
      </c>
      <c r="C209" s="179" t="str">
        <f ca="1">IFERROR(__xludf.DUMMYFUNCTION("""COMPUTED_VALUE"""),"jm5201@stern.nyu.edu")</f>
        <v>jm5201@stern.nyu.edu</v>
      </c>
      <c r="D209" s="179" t="str">
        <f ca="1">IFERROR(__xludf.DUMMYFUNCTION("""COMPUTED_VALUE"""),"John McDonald")</f>
        <v>John McDonald</v>
      </c>
      <c r="E209" s="179" t="str">
        <f ca="1">IFERROR(__xludf.DUMMYFUNCTION("""COMPUTED_VALUE"""),"I have read and understand the confidentiality agreement for application reviewers.")</f>
        <v>I have read and understand the confidentiality agreement for application reviewers.</v>
      </c>
      <c r="F209" s="179" t="str">
        <f ca="1">IFERROR(__xludf.DUMMYFUNCTION("""COMPUTED_VALUE"""),"QurCan Therapeutics Inc.")</f>
        <v>QurCan Therapeutics Inc.</v>
      </c>
      <c r="G209" s="179" t="str">
        <f ca="1">IFERROR(__xludf.DUMMYFUNCTION("""COMPUTED_VALUE"""),"Biotech nano-medicine for diseases - pre series A")</f>
        <v>Biotech nano-medicine for diseases - pre series A</v>
      </c>
      <c r="H209" s="179">
        <f ca="1">IFERROR(__xludf.DUMMYFUNCTION("""COMPUTED_VALUE"""),4)</f>
        <v>4</v>
      </c>
      <c r="I209" s="179">
        <f ca="1">IFERROR(__xludf.DUMMYFUNCTION("""COMPUTED_VALUE"""),4)</f>
        <v>4</v>
      </c>
      <c r="J209" s="179">
        <f ca="1">IFERROR(__xludf.DUMMYFUNCTION("""COMPUTED_VALUE"""),3)</f>
        <v>3</v>
      </c>
      <c r="K209" s="179">
        <f ca="1">IFERROR(__xludf.DUMMYFUNCTION("""COMPUTED_VALUE"""),3)</f>
        <v>3</v>
      </c>
      <c r="L209" s="179"/>
      <c r="M209" s="179">
        <f ca="1">IFERROR(__xludf.DUMMYFUNCTION("""COMPUTED_VALUE"""),4)</f>
        <v>4</v>
      </c>
      <c r="N209" s="179">
        <f ca="1">IFERROR(__xludf.DUMMYFUNCTION("""COMPUTED_VALUE"""),2)</f>
        <v>2</v>
      </c>
      <c r="O209" s="179"/>
      <c r="P209" s="179">
        <f ca="1">IFERROR(__xludf.DUMMYFUNCTION("""COMPUTED_VALUE"""),3)</f>
        <v>3</v>
      </c>
      <c r="Q209" s="179">
        <f ca="1">IFERROR(__xludf.DUMMYFUNCTION("""COMPUTED_VALUE"""),4)</f>
        <v>4</v>
      </c>
      <c r="R209" s="179">
        <f ca="1">IFERROR(__xludf.DUMMYFUNCTION("""COMPUTED_VALUE"""),3)</f>
        <v>3</v>
      </c>
      <c r="S209" s="179"/>
      <c r="T209" s="179"/>
      <c r="U209" s="179" t="str">
        <f ca="1">IFERROR(__xludf.DUMMYFUNCTION("""COMPUTED_VALUE"""),"&gt;$5M")</f>
        <v>&gt;$5M</v>
      </c>
      <c r="V209" s="179">
        <f ca="1">IFERROR(__xludf.DUMMYFUNCTION("""COMPUTED_VALUE"""),4)</f>
        <v>4</v>
      </c>
      <c r="W209" s="179"/>
    </row>
    <row r="210" spans="1:23">
      <c r="A210" s="179" t="str">
        <f ca="1">IFERROR(__xludf.DUMMYFUNCTION("""COMPUTED_VALUE"""),"R")</f>
        <v>R</v>
      </c>
      <c r="B210" s="436">
        <f ca="1">IFERROR(__xludf.DUMMYFUNCTION("""COMPUTED_VALUE"""),44794.4551562962)</f>
        <v>44794.455156296201</v>
      </c>
      <c r="C210" s="179" t="str">
        <f ca="1">IFERROR(__xludf.DUMMYFUNCTION("""COMPUTED_VALUE"""),"jm5201@stern.nyu.edu")</f>
        <v>jm5201@stern.nyu.edu</v>
      </c>
      <c r="D210" s="179" t="str">
        <f ca="1">IFERROR(__xludf.DUMMYFUNCTION("""COMPUTED_VALUE"""),"John McDonald")</f>
        <v>John McDonald</v>
      </c>
      <c r="E210" s="179" t="str">
        <f ca="1">IFERROR(__xludf.DUMMYFUNCTION("""COMPUTED_VALUE"""),"I have read and understand the confidentiality agreement for application reviewers.")</f>
        <v>I have read and understand the confidentiality agreement for application reviewers.</v>
      </c>
      <c r="F210" s="179" t="str">
        <f ca="1">IFERROR(__xludf.DUMMYFUNCTION("""COMPUTED_VALUE"""),"Regtick Ltd")</f>
        <v>Regtick Ltd</v>
      </c>
      <c r="G210" s="179" t="str">
        <f ca="1">IFERROR(__xludf.DUMMYFUNCTION("""COMPUTED_VALUE"""),"SaaS regulatory/compliance navigation software")</f>
        <v>SaaS regulatory/compliance navigation software</v>
      </c>
      <c r="H210" s="179">
        <f ca="1">IFERROR(__xludf.DUMMYFUNCTION("""COMPUTED_VALUE"""),3)</f>
        <v>3</v>
      </c>
      <c r="I210" s="179">
        <f ca="1">IFERROR(__xludf.DUMMYFUNCTION("""COMPUTED_VALUE"""),3)</f>
        <v>3</v>
      </c>
      <c r="J210" s="179">
        <f ca="1">IFERROR(__xludf.DUMMYFUNCTION("""COMPUTED_VALUE"""),2)</f>
        <v>2</v>
      </c>
      <c r="K210" s="179">
        <f ca="1">IFERROR(__xludf.DUMMYFUNCTION("""COMPUTED_VALUE"""),2)</f>
        <v>2</v>
      </c>
      <c r="L210" s="179"/>
      <c r="M210" s="179">
        <f ca="1">IFERROR(__xludf.DUMMYFUNCTION("""COMPUTED_VALUE"""),3)</f>
        <v>3</v>
      </c>
      <c r="N210" s="179">
        <f ca="1">IFERROR(__xludf.DUMMYFUNCTION("""COMPUTED_VALUE"""),1)</f>
        <v>1</v>
      </c>
      <c r="O210" s="179"/>
      <c r="P210" s="179">
        <f ca="1">IFERROR(__xludf.DUMMYFUNCTION("""COMPUTED_VALUE"""),3)</f>
        <v>3</v>
      </c>
      <c r="Q210" s="179">
        <f ca="1">IFERROR(__xludf.DUMMYFUNCTION("""COMPUTED_VALUE"""),3)</f>
        <v>3</v>
      </c>
      <c r="R210" s="179">
        <f ca="1">IFERROR(__xludf.DUMMYFUNCTION("""COMPUTED_VALUE"""),4)</f>
        <v>4</v>
      </c>
      <c r="S210" s="179"/>
      <c r="T210" s="179"/>
      <c r="U210" s="179" t="str">
        <f ca="1">IFERROR(__xludf.DUMMYFUNCTION("""COMPUTED_VALUE"""),"$0")</f>
        <v>$0</v>
      </c>
      <c r="V210" s="179">
        <f ca="1">IFERROR(__xludf.DUMMYFUNCTION("""COMPUTED_VALUE"""),4)</f>
        <v>4</v>
      </c>
      <c r="W210" s="179"/>
    </row>
    <row r="211" spans="1:23">
      <c r="A211" s="179" t="str">
        <f ca="1">IFERROR(__xludf.DUMMYFUNCTION("""COMPUTED_VALUE"""),"R")</f>
        <v>R</v>
      </c>
      <c r="B211" s="436">
        <f ca="1">IFERROR(__xludf.DUMMYFUNCTION("""COMPUTED_VALUE"""),44794.4578900694)</f>
        <v>44794.457890069403</v>
      </c>
      <c r="C211" s="179" t="str">
        <f ca="1">IFERROR(__xludf.DUMMYFUNCTION("""COMPUTED_VALUE"""),"jm5201@stern.nyu.edu")</f>
        <v>jm5201@stern.nyu.edu</v>
      </c>
      <c r="D211" s="179" t="str">
        <f ca="1">IFERROR(__xludf.DUMMYFUNCTION("""COMPUTED_VALUE"""),"John McDonald")</f>
        <v>John McDonald</v>
      </c>
      <c r="E211" s="179" t="str">
        <f ca="1">IFERROR(__xludf.DUMMYFUNCTION("""COMPUTED_VALUE"""),"I have read and understand the confidentiality agreement for application reviewers.")</f>
        <v>I have read and understand the confidentiality agreement for application reviewers.</v>
      </c>
      <c r="F211" s="179" t="str">
        <f ca="1">IFERROR(__xludf.DUMMYFUNCTION("""COMPUTED_VALUE"""),"RevivBio Inc")</f>
        <v>RevivBio Inc</v>
      </c>
      <c r="G211" s="179" t="str">
        <f ca="1">IFERROR(__xludf.DUMMYFUNCTION("""COMPUTED_VALUE"""),"Safe Bio crop and animal health modalities")</f>
        <v>Safe Bio crop and animal health modalities</v>
      </c>
      <c r="H211" s="179">
        <f ca="1">IFERROR(__xludf.DUMMYFUNCTION("""COMPUTED_VALUE"""),3)</f>
        <v>3</v>
      </c>
      <c r="I211" s="179">
        <f ca="1">IFERROR(__xludf.DUMMYFUNCTION("""COMPUTED_VALUE"""),4)</f>
        <v>4</v>
      </c>
      <c r="J211" s="179">
        <f ca="1">IFERROR(__xludf.DUMMYFUNCTION("""COMPUTED_VALUE"""),3)</f>
        <v>3</v>
      </c>
      <c r="K211" s="179">
        <f ca="1">IFERROR(__xludf.DUMMYFUNCTION("""COMPUTED_VALUE"""),3)</f>
        <v>3</v>
      </c>
      <c r="L211" s="179"/>
      <c r="M211" s="179">
        <f ca="1">IFERROR(__xludf.DUMMYFUNCTION("""COMPUTED_VALUE"""),3)</f>
        <v>3</v>
      </c>
      <c r="N211" s="179">
        <f ca="1">IFERROR(__xludf.DUMMYFUNCTION("""COMPUTED_VALUE"""),1)</f>
        <v>1</v>
      </c>
      <c r="O211" s="179"/>
      <c r="P211" s="179">
        <f ca="1">IFERROR(__xludf.DUMMYFUNCTION("""COMPUTED_VALUE"""),3)</f>
        <v>3</v>
      </c>
      <c r="Q211" s="179">
        <f ca="1">IFERROR(__xludf.DUMMYFUNCTION("""COMPUTED_VALUE"""),4)</f>
        <v>4</v>
      </c>
      <c r="R211" s="179">
        <f ca="1">IFERROR(__xludf.DUMMYFUNCTION("""COMPUTED_VALUE"""),4)</f>
        <v>4</v>
      </c>
      <c r="S211" s="179"/>
      <c r="T211" s="179"/>
      <c r="U211" s="179" t="str">
        <f ca="1">IFERROR(__xludf.DUMMYFUNCTION("""COMPUTED_VALUE"""),"$1-$5M")</f>
        <v>$1-$5M</v>
      </c>
      <c r="V211" s="179">
        <f ca="1">IFERROR(__xludf.DUMMYFUNCTION("""COMPUTED_VALUE"""),3)</f>
        <v>3</v>
      </c>
      <c r="W211" s="179"/>
    </row>
    <row r="212" spans="1:23">
      <c r="A212" s="179" t="str">
        <f ca="1">IFERROR(__xludf.DUMMYFUNCTION("""COMPUTED_VALUE"""),"R")</f>
        <v>R</v>
      </c>
      <c r="B212" s="436">
        <f ca="1">IFERROR(__xludf.DUMMYFUNCTION("""COMPUTED_VALUE"""),44794.459912824)</f>
        <v>44794.459912824001</v>
      </c>
      <c r="C212" s="179" t="str">
        <f ca="1">IFERROR(__xludf.DUMMYFUNCTION("""COMPUTED_VALUE"""),"jm5201@stern.nyu.edu")</f>
        <v>jm5201@stern.nyu.edu</v>
      </c>
      <c r="D212" s="179" t="str">
        <f ca="1">IFERROR(__xludf.DUMMYFUNCTION("""COMPUTED_VALUE"""),"John McDonald")</f>
        <v>John McDonald</v>
      </c>
      <c r="E212" s="179" t="str">
        <f ca="1">IFERROR(__xludf.DUMMYFUNCTION("""COMPUTED_VALUE"""),"I have read and understand the confidentiality agreement for application reviewers.")</f>
        <v>I have read and understand the confidentiality agreement for application reviewers.</v>
      </c>
      <c r="F212" s="179" t="str">
        <f ca="1">IFERROR(__xludf.DUMMYFUNCTION("""COMPUTED_VALUE"""),"Rocket VR Health")</f>
        <v>Rocket VR Health</v>
      </c>
      <c r="G212" s="179" t="str">
        <f ca="1">IFERROR(__xludf.DUMMYFUNCTION("""COMPUTED_VALUE"""),"VR mental health headset/app for cancer patients")</f>
        <v>VR mental health headset/app for cancer patients</v>
      </c>
      <c r="H212" s="179">
        <f ca="1">IFERROR(__xludf.DUMMYFUNCTION("""COMPUTED_VALUE"""),2)</f>
        <v>2</v>
      </c>
      <c r="I212" s="179">
        <f ca="1">IFERROR(__xludf.DUMMYFUNCTION("""COMPUTED_VALUE"""),3)</f>
        <v>3</v>
      </c>
      <c r="J212" s="179">
        <f ca="1">IFERROR(__xludf.DUMMYFUNCTION("""COMPUTED_VALUE"""),2)</f>
        <v>2</v>
      </c>
      <c r="K212" s="179">
        <f ca="1">IFERROR(__xludf.DUMMYFUNCTION("""COMPUTED_VALUE"""),2)</f>
        <v>2</v>
      </c>
      <c r="L212" s="179"/>
      <c r="M212" s="179">
        <f ca="1">IFERROR(__xludf.DUMMYFUNCTION("""COMPUTED_VALUE"""),3)</f>
        <v>3</v>
      </c>
      <c r="N212" s="179">
        <f ca="1">IFERROR(__xludf.DUMMYFUNCTION("""COMPUTED_VALUE"""),1)</f>
        <v>1</v>
      </c>
      <c r="O212" s="179"/>
      <c r="P212" s="179">
        <f ca="1">IFERROR(__xludf.DUMMYFUNCTION("""COMPUTED_VALUE"""),3)</f>
        <v>3</v>
      </c>
      <c r="Q212" s="179">
        <f ca="1">IFERROR(__xludf.DUMMYFUNCTION("""COMPUTED_VALUE"""),3)</f>
        <v>3</v>
      </c>
      <c r="R212" s="179">
        <f ca="1">IFERROR(__xludf.DUMMYFUNCTION("""COMPUTED_VALUE"""),3)</f>
        <v>3</v>
      </c>
      <c r="S212" s="179"/>
      <c r="T212" s="179"/>
      <c r="U212" s="179" t="str">
        <f ca="1">IFERROR(__xludf.DUMMYFUNCTION("""COMPUTED_VALUE"""),"$1-$5M")</f>
        <v>$1-$5M</v>
      </c>
      <c r="V212" s="179">
        <f ca="1">IFERROR(__xludf.DUMMYFUNCTION("""COMPUTED_VALUE"""),2)</f>
        <v>2</v>
      </c>
      <c r="W212" s="179"/>
    </row>
    <row r="213" spans="1:23">
      <c r="A213" s="179" t="str">
        <f ca="1">IFERROR(__xludf.DUMMYFUNCTION("""COMPUTED_VALUE"""),"R")</f>
        <v>R</v>
      </c>
      <c r="B213" s="436">
        <f ca="1">IFERROR(__xludf.DUMMYFUNCTION("""COMPUTED_VALUE"""),44794.4765221296)</f>
        <v>44794.476522129597</v>
      </c>
      <c r="C213" s="179" t="str">
        <f ca="1">IFERROR(__xludf.DUMMYFUNCTION("""COMPUTED_VALUE"""),"cm6077@stern.nyu.edu")</f>
        <v>cm6077@stern.nyu.edu</v>
      </c>
      <c r="D213" s="179" t="str">
        <f ca="1">IFERROR(__xludf.DUMMYFUNCTION("""COMPUTED_VALUE"""),"Chris Millisits")</f>
        <v>Chris Millisits</v>
      </c>
      <c r="E213" s="179" t="str">
        <f ca="1">IFERROR(__xludf.DUMMYFUNCTION("""COMPUTED_VALUE"""),"I have read and understand the confidentiality agreement for application reviewers.")</f>
        <v>I have read and understand the confidentiality agreement for application reviewers.</v>
      </c>
      <c r="F213" s="179" t="str">
        <f ca="1">IFERROR(__xludf.DUMMYFUNCTION("""COMPUTED_VALUE"""),"ONEKEY GmbH")</f>
        <v>ONEKEY GmbH</v>
      </c>
      <c r="G213" s="179" t="str">
        <f ca="1">IFERROR(__xludf.DUMMYFUNCTION("""COMPUTED_VALUE"""),"ONEKEY automates security &amp; compliance of vendors and buyers of connected smart devices / IoT, Cybersecurity / Series A")</f>
        <v>ONEKEY automates security &amp; compliance of vendors and buyers of connected smart devices / IoT, Cybersecurity / Series A</v>
      </c>
      <c r="H213" s="179">
        <f ca="1">IFERROR(__xludf.DUMMYFUNCTION("""COMPUTED_VALUE"""),4)</f>
        <v>4</v>
      </c>
      <c r="I213" s="179">
        <f ca="1">IFERROR(__xludf.DUMMYFUNCTION("""COMPUTED_VALUE"""),3)</f>
        <v>3</v>
      </c>
      <c r="J213" s="179">
        <f ca="1">IFERROR(__xludf.DUMMYFUNCTION("""COMPUTED_VALUE"""),3)</f>
        <v>3</v>
      </c>
      <c r="K213" s="179">
        <f ca="1">IFERROR(__xludf.DUMMYFUNCTION("""COMPUTED_VALUE"""),3)</f>
        <v>3</v>
      </c>
      <c r="L213" s="179" t="str">
        <f ca="1">IFERROR(__xludf.DUMMYFUNCTION("""COMPUTED_VALUE"""),"Patent pending.")</f>
        <v>Patent pending.</v>
      </c>
      <c r="M213" s="179">
        <f ca="1">IFERROR(__xludf.DUMMYFUNCTION("""COMPUTED_VALUE"""),4)</f>
        <v>4</v>
      </c>
      <c r="N213" s="179">
        <f ca="1">IFERROR(__xludf.DUMMYFUNCTION("""COMPUTED_VALUE"""),3)</f>
        <v>3</v>
      </c>
      <c r="O213" s="179" t="str">
        <f ca="1">IFERROR(__xludf.DUMMYFUNCTION("""COMPUTED_VALUE"""),"Has customers, but unclear if $300k ARR is booked or pipeline.")</f>
        <v>Has customers, but unclear if $300k ARR is booked or pipeline.</v>
      </c>
      <c r="P213" s="179">
        <f ca="1">IFERROR(__xludf.DUMMYFUNCTION("""COMPUTED_VALUE"""),3)</f>
        <v>3</v>
      </c>
      <c r="Q213" s="179">
        <f ca="1">IFERROR(__xludf.DUMMYFUNCTION("""COMPUTED_VALUE"""),3)</f>
        <v>3</v>
      </c>
      <c r="R213" s="179">
        <f ca="1">IFERROR(__xludf.DUMMYFUNCTION("""COMPUTED_VALUE"""),3)</f>
        <v>3</v>
      </c>
      <c r="S213" s="179" t="str">
        <f ca="1">IFERROR(__xludf.DUMMYFUNCTION("""COMPUTED_VALUE"""),"Team has relevant experience in IT security, and in IT consulting.")</f>
        <v>Team has relevant experience in IT security, and in IT consulting.</v>
      </c>
      <c r="T213" s="437">
        <f ca="1">IFERROR(__xludf.DUMMYFUNCTION("""COMPUTED_VALUE"""),4000000)</f>
        <v>4000000</v>
      </c>
      <c r="U213" s="179" t="str">
        <f ca="1">IFERROR(__xludf.DUMMYFUNCTION("""COMPUTED_VALUE"""),"&gt;$5M")</f>
        <v>&gt;$5M</v>
      </c>
      <c r="V213" s="179">
        <f ca="1">IFERROR(__xludf.DUMMYFUNCTION("""COMPUTED_VALUE"""),3)</f>
        <v>3</v>
      </c>
      <c r="W213" s="179" t="str">
        <f ca="1">IFERROR(__xludf.DUMMYFUNCTION("""COMPUTED_VALUE"""),"Team has moderate experience in the industry. Technology's potential is interesting, but the ability to deliver is in question - especially given the revenue split is 60% SaaS and 40% consulting work.")</f>
        <v>Team has moderate experience in the industry. Technology's potential is interesting, but the ability to deliver is in question - especially given the revenue split is 60% SaaS and 40% consulting work.</v>
      </c>
    </row>
    <row r="214" spans="1:23">
      <c r="A214" s="179" t="str">
        <f ca="1">IFERROR(__xludf.DUMMYFUNCTION("""COMPUTED_VALUE"""),"R")</f>
        <v>R</v>
      </c>
      <c r="B214" s="436">
        <f ca="1">IFERROR(__xludf.DUMMYFUNCTION("""COMPUTED_VALUE"""),44794.4791361342)</f>
        <v>44794.4791361342</v>
      </c>
      <c r="C214" s="179" t="str">
        <f ca="1">IFERROR(__xludf.DUMMYFUNCTION("""COMPUTED_VALUE"""),"jsy8879@stern.nyu.edu")</f>
        <v>jsy8879@stern.nyu.edu</v>
      </c>
      <c r="D214" s="179" t="str">
        <f ca="1">IFERROR(__xludf.DUMMYFUNCTION("""COMPUTED_VALUE"""),"Jason Yu")</f>
        <v>Jason Yu</v>
      </c>
      <c r="E214" s="179" t="str">
        <f ca="1">IFERROR(__xludf.DUMMYFUNCTION("""COMPUTED_VALUE"""),"I have read and understand the confidentiality agreement for application reviewers.")</f>
        <v>I have read and understand the confidentiality agreement for application reviewers.</v>
      </c>
      <c r="F214" s="438" t="str">
        <f ca="1">IFERROR(__xludf.DUMMYFUNCTION("""COMPUTED_VALUE"""),"PredictNow.ai")</f>
        <v>PredictNow.ai</v>
      </c>
      <c r="G214" s="179" t="str">
        <f ca="1">IFERROR(__xludf.DUMMYFUNCTION("""COMPUTED_VALUE"""),"Machine learning for business / Business / Pre-seed")</f>
        <v>Machine learning for business / Business / Pre-seed</v>
      </c>
      <c r="H214" s="179">
        <f ca="1">IFERROR(__xludf.DUMMYFUNCTION("""COMPUTED_VALUE"""),3)</f>
        <v>3</v>
      </c>
      <c r="I214" s="179">
        <f ca="1">IFERROR(__xludf.DUMMYFUNCTION("""COMPUTED_VALUE"""),2)</f>
        <v>2</v>
      </c>
      <c r="J214" s="179">
        <f ca="1">IFERROR(__xludf.DUMMYFUNCTION("""COMPUTED_VALUE"""),2)</f>
        <v>2</v>
      </c>
      <c r="K214" s="179">
        <f ca="1">IFERROR(__xludf.DUMMYFUNCTION("""COMPUTED_VALUE"""),2)</f>
        <v>2</v>
      </c>
      <c r="L214" s="179" t="str">
        <f ca="1">IFERROR(__xludf.DUMMYFUNCTION("""COMPUTED_VALUE"""),"AI more effective in correcting human decisions than making them from scratch
")</f>
        <v xml:space="preserve">AI more effective in correcting human decisions than making them from scratch
</v>
      </c>
      <c r="M214" s="179">
        <f ca="1">IFERROR(__xludf.DUMMYFUNCTION("""COMPUTED_VALUE"""),3)</f>
        <v>3</v>
      </c>
      <c r="N214" s="179">
        <f ca="1">IFERROR(__xludf.DUMMYFUNCTION("""COMPUTED_VALUE"""),4)</f>
        <v>4</v>
      </c>
      <c r="O214" s="179" t="str">
        <f ca="1">IFERROR(__xludf.DUMMYFUNCTION("""COMPUTED_VALUE"""),"TAM: $5-10 B MRR of 17K USD")</f>
        <v>TAM: $5-10 B MRR of 17K USD</v>
      </c>
      <c r="P214" s="179">
        <f ca="1">IFERROR(__xludf.DUMMYFUNCTION("""COMPUTED_VALUE"""),4)</f>
        <v>4</v>
      </c>
      <c r="Q214" s="179">
        <f ca="1">IFERROR(__xludf.DUMMYFUNCTION("""COMPUTED_VALUE"""),5)</f>
        <v>5</v>
      </c>
      <c r="R214" s="179">
        <f ca="1">IFERROR(__xludf.DUMMYFUNCTION("""COMPUTED_VALUE"""),5)</f>
        <v>5</v>
      </c>
      <c r="S214" s="179" t="str">
        <f ca="1">IFERROR(__xludf.DUMMYFUNCTION("""COMPUTED_VALUE"""),"Experienced founder but no start up experience")</f>
        <v>Experienced founder but no start up experience</v>
      </c>
      <c r="T214" s="437">
        <f ca="1">IFERROR(__xludf.DUMMYFUNCTION("""COMPUTED_VALUE"""),850000)</f>
        <v>850000</v>
      </c>
      <c r="U214" s="179" t="str">
        <f ca="1">IFERROR(__xludf.DUMMYFUNCTION("""COMPUTED_VALUE"""),"$1-$5M")</f>
        <v>$1-$5M</v>
      </c>
      <c r="V214" s="179">
        <f ca="1">IFERROR(__xludf.DUMMYFUNCTION("""COMPUTED_VALUE"""),4)</f>
        <v>4</v>
      </c>
      <c r="W214" s="179" t="str">
        <f ca="1">IFERROR(__xludf.DUMMYFUNCTION("""COMPUTED_VALUE"""),"Lack of fundraising and engineering bandwidth constraints.")</f>
        <v>Lack of fundraising and engineering bandwidth constraints.</v>
      </c>
    </row>
    <row r="215" spans="1:23">
      <c r="A215" s="179" t="str">
        <f ca="1">IFERROR(__xludf.DUMMYFUNCTION("""COMPUTED_VALUE"""),"R")</f>
        <v>R</v>
      </c>
      <c r="B215" s="436">
        <f ca="1">IFERROR(__xludf.DUMMYFUNCTION("""COMPUTED_VALUE"""),44794.4839950231)</f>
        <v>44794.483995023103</v>
      </c>
      <c r="C215" s="179" t="str">
        <f ca="1">IFERROR(__xludf.DUMMYFUNCTION("""COMPUTED_VALUE"""),"jsy8879@stern.nyu.edu")</f>
        <v>jsy8879@stern.nyu.edu</v>
      </c>
      <c r="D215" s="179" t="str">
        <f ca="1">IFERROR(__xludf.DUMMYFUNCTION("""COMPUTED_VALUE"""),"Jason Yu")</f>
        <v>Jason Yu</v>
      </c>
      <c r="E215" s="179" t="str">
        <f ca="1">IFERROR(__xludf.DUMMYFUNCTION("""COMPUTED_VALUE"""),"I have read and understand the confidentiality agreement for application reviewers.")</f>
        <v>I have read and understand the confidentiality agreement for application reviewers.</v>
      </c>
      <c r="F215" s="179" t="str">
        <f ca="1">IFERROR(__xludf.DUMMYFUNCTION("""COMPUTED_VALUE"""),"Promin Aerospace")</f>
        <v>Promin Aerospace</v>
      </c>
      <c r="G215" s="179" t="str">
        <f ca="1">IFERROR(__xludf.DUMMYFUNCTION("""COMPUTED_VALUE"""),"Self-burning rockets / Aerospace / Pre-seed and Grants")</f>
        <v>Self-burning rockets / Aerospace / Pre-seed and Grants</v>
      </c>
      <c r="H215" s="179">
        <f ca="1">IFERROR(__xludf.DUMMYFUNCTION("""COMPUTED_VALUE"""),3)</f>
        <v>3</v>
      </c>
      <c r="I215" s="179">
        <f ca="1">IFERROR(__xludf.DUMMYFUNCTION("""COMPUTED_VALUE"""),3)</f>
        <v>3</v>
      </c>
      <c r="J215" s="179">
        <f ca="1">IFERROR(__xludf.DUMMYFUNCTION("""COMPUTED_VALUE"""),2)</f>
        <v>2</v>
      </c>
      <c r="K215" s="179">
        <f ca="1">IFERROR(__xludf.DUMMYFUNCTION("""COMPUTED_VALUE"""),4)</f>
        <v>4</v>
      </c>
      <c r="L215" s="179" t="str">
        <f ca="1">IFERROR(__xludf.DUMMYFUNCTION("""COMPUTED_VALUE"""),"We are on the way to performing the first-ever flight of a self-burning rocket in the next 6 months.")</f>
        <v>We are on the way to performing the first-ever flight of a self-burning rocket in the next 6 months.</v>
      </c>
      <c r="M215" s="179">
        <f ca="1">IFERROR(__xludf.DUMMYFUNCTION("""COMPUTED_VALUE"""),4)</f>
        <v>4</v>
      </c>
      <c r="N215" s="179">
        <f ca="1">IFERROR(__xludf.DUMMYFUNCTION("""COMPUTED_VALUE"""),1)</f>
        <v>1</v>
      </c>
      <c r="O215" s="179" t="str">
        <f ca="1">IFERROR(__xludf.DUMMYFUNCTION("""COMPUTED_VALUE"""),"The total small satellite orbital launch market is estimated to be $5B")</f>
        <v>The total small satellite orbital launch market is estimated to be $5B</v>
      </c>
      <c r="P215" s="179">
        <f ca="1">IFERROR(__xludf.DUMMYFUNCTION("""COMPUTED_VALUE"""),3)</f>
        <v>3</v>
      </c>
      <c r="Q215" s="179">
        <f ca="1">IFERROR(__xludf.DUMMYFUNCTION("""COMPUTED_VALUE"""),4)</f>
        <v>4</v>
      </c>
      <c r="R215" s="179">
        <f ca="1">IFERROR(__xludf.DUMMYFUNCTION("""COMPUTED_VALUE"""),4)</f>
        <v>4</v>
      </c>
      <c r="S215" s="179" t="str">
        <f ca="1">IFERROR(__xludf.DUMMYFUNCTION("""COMPUTED_VALUE"""),"Engineering and rocketry background")</f>
        <v>Engineering and rocketry background</v>
      </c>
      <c r="T215" s="437">
        <f ca="1">IFERROR(__xludf.DUMMYFUNCTION("""COMPUTED_VALUE"""),506000)</f>
        <v>506000</v>
      </c>
      <c r="U215" s="179" t="str">
        <f ca="1">IFERROR(__xludf.DUMMYFUNCTION("""COMPUTED_VALUE"""),"$1-$5M")</f>
        <v>$1-$5M</v>
      </c>
      <c r="V215" s="179">
        <f ca="1">IFERROR(__xludf.DUMMYFUNCTION("""COMPUTED_VALUE"""),3)</f>
        <v>3</v>
      </c>
      <c r="W215" s="179"/>
    </row>
    <row r="216" spans="1:23">
      <c r="A216" s="179" t="str">
        <f ca="1">IFERROR(__xludf.DUMMYFUNCTION("""COMPUTED_VALUE"""),"R")</f>
        <v>R</v>
      </c>
      <c r="B216" s="436">
        <f ca="1">IFERROR(__xludf.DUMMYFUNCTION("""COMPUTED_VALUE"""),44794.4844872685)</f>
        <v>44794.484487268499</v>
      </c>
      <c r="C216" s="179" t="str">
        <f ca="1">IFERROR(__xludf.DUMMYFUNCTION("""COMPUTED_VALUE"""),"cm6077@stern.nyu.edu")</f>
        <v>cm6077@stern.nyu.edu</v>
      </c>
      <c r="D216" s="179" t="str">
        <f ca="1">IFERROR(__xludf.DUMMYFUNCTION("""COMPUTED_VALUE"""),"Chris Millisits")</f>
        <v>Chris Millisits</v>
      </c>
      <c r="E216" s="179" t="str">
        <f ca="1">IFERROR(__xludf.DUMMYFUNCTION("""COMPUTED_VALUE"""),"I have read and understand the confidentiality agreement for application reviewers.")</f>
        <v>I have read and understand the confidentiality agreement for application reviewers.</v>
      </c>
      <c r="F216" s="179" t="str">
        <f ca="1">IFERROR(__xludf.DUMMYFUNCTION("""COMPUTED_VALUE"""),"OnEx Medical")</f>
        <v>OnEx Medical</v>
      </c>
      <c r="G216" s="179" t="str">
        <f ca="1">IFERROR(__xludf.DUMMYFUNCTION("""COMPUTED_VALUE"""),"Marketplace for medical manufacturers to match with distributors internationally / Healthcare / Seed")</f>
        <v>Marketplace for medical manufacturers to match with distributors internationally / Healthcare / Seed</v>
      </c>
      <c r="H216" s="179">
        <f ca="1">IFERROR(__xludf.DUMMYFUNCTION("""COMPUTED_VALUE"""),3)</f>
        <v>3</v>
      </c>
      <c r="I216" s="179">
        <f ca="1">IFERROR(__xludf.DUMMYFUNCTION("""COMPUTED_VALUE"""),2)</f>
        <v>2</v>
      </c>
      <c r="J216" s="179">
        <f ca="1">IFERROR(__xludf.DUMMYFUNCTION("""COMPUTED_VALUE"""),3)</f>
        <v>3</v>
      </c>
      <c r="K216" s="179">
        <f ca="1">IFERROR(__xludf.DUMMYFUNCTION("""COMPUTED_VALUE"""),1)</f>
        <v>1</v>
      </c>
      <c r="L216" s="179" t="str">
        <f ca="1">IFERROR(__xludf.DUMMYFUNCTION("""COMPUTED_VALUE"""),"Technology is not terribly defensible.")</f>
        <v>Technology is not terribly defensible.</v>
      </c>
      <c r="M216" s="179">
        <f ca="1">IFERROR(__xludf.DUMMYFUNCTION("""COMPUTED_VALUE"""),3)</f>
        <v>3</v>
      </c>
      <c r="N216" s="179">
        <f ca="1">IFERROR(__xludf.DUMMYFUNCTION("""COMPUTED_VALUE"""),4)</f>
        <v>4</v>
      </c>
      <c r="O216" s="179" t="str">
        <f ca="1">IFERROR(__xludf.DUMMYFUNCTION("""COMPUTED_VALUE"""),"$320K ARR from 78 paying customers. Addressable market assumes $150k average ACV")</f>
        <v>$320K ARR from 78 paying customers. Addressable market assumes $150k average ACV</v>
      </c>
      <c r="P216" s="179">
        <f ca="1">IFERROR(__xludf.DUMMYFUNCTION("""COMPUTED_VALUE"""),3)</f>
        <v>3</v>
      </c>
      <c r="Q216" s="179">
        <f ca="1">IFERROR(__xludf.DUMMYFUNCTION("""COMPUTED_VALUE"""),3)</f>
        <v>3</v>
      </c>
      <c r="R216" s="179">
        <f ca="1">IFERROR(__xludf.DUMMYFUNCTION("""COMPUTED_VALUE"""),4)</f>
        <v>4</v>
      </c>
      <c r="S216" s="179" t="str">
        <f ca="1">IFERROR(__xludf.DUMMYFUNCTION("""COMPUTED_VALUE"""),"Founders have worked together and exited the company, which was a B2B marketplace for pharmacies. Sales and product backgrounds for 2 founders.")</f>
        <v>Founders have worked together and exited the company, which was a B2B marketplace for pharmacies. Sales and product backgrounds for 2 founders.</v>
      </c>
      <c r="T216" s="437">
        <f ca="1">IFERROR(__xludf.DUMMYFUNCTION("""COMPUTED_VALUE"""),600000)</f>
        <v>600000</v>
      </c>
      <c r="U216" s="179" t="str">
        <f ca="1">IFERROR(__xludf.DUMMYFUNCTION("""COMPUTED_VALUE"""),"&lt;$500K")</f>
        <v>&lt;$500K</v>
      </c>
      <c r="V216" s="179">
        <f ca="1">IFERROR(__xludf.DUMMYFUNCTION("""COMPUTED_VALUE"""),3)</f>
        <v>3</v>
      </c>
      <c r="W216" s="179" t="str">
        <f ca="1">IFERROR(__xludf.DUMMYFUNCTION("""COMPUTED_VALUE"""),"Not a novel technology, but founders have exited a similar company before. They have traction. Market size is a question with 30k addressable customers.")</f>
        <v>Not a novel technology, but founders have exited a similar company before. They have traction. Market size is a question with 30k addressable customers.</v>
      </c>
    </row>
    <row r="217" spans="1:23">
      <c r="A217" s="179" t="str">
        <f ca="1">IFERROR(__xludf.DUMMYFUNCTION("""COMPUTED_VALUE"""),"R")</f>
        <v>R</v>
      </c>
      <c r="B217" s="436">
        <f ca="1">IFERROR(__xludf.DUMMYFUNCTION("""COMPUTED_VALUE"""),44794.4900852199)</f>
        <v>44794.490085219899</v>
      </c>
      <c r="C217" s="179" t="str">
        <f ca="1">IFERROR(__xludf.DUMMYFUNCTION("""COMPUTED_VALUE"""),"cm6077@stern.nyu.edu")</f>
        <v>cm6077@stern.nyu.edu</v>
      </c>
      <c r="D217" s="179" t="str">
        <f ca="1">IFERROR(__xludf.DUMMYFUNCTION("""COMPUTED_VALUE"""),"Chris Millisits")</f>
        <v>Chris Millisits</v>
      </c>
      <c r="E217" s="179" t="str">
        <f ca="1">IFERROR(__xludf.DUMMYFUNCTION("""COMPUTED_VALUE"""),"I have read and understand the confidentiality agreement for application reviewers.")</f>
        <v>I have read and understand the confidentiality agreement for application reviewers.</v>
      </c>
      <c r="F217" s="179" t="str">
        <f ca="1">IFERROR(__xludf.DUMMYFUNCTION("""COMPUTED_VALUE"""),"OnMyGrad")</f>
        <v>OnMyGrad</v>
      </c>
      <c r="G217" s="179" t="str">
        <f ca="1">IFERROR(__xludf.DUMMYFUNCTION("""COMPUTED_VALUE"""),"Campus recruiting platform / HR Tech / Seed")</f>
        <v>Campus recruiting platform / HR Tech / Seed</v>
      </c>
      <c r="H217" s="179">
        <f ca="1">IFERROR(__xludf.DUMMYFUNCTION("""COMPUTED_VALUE"""),3)</f>
        <v>3</v>
      </c>
      <c r="I217" s="179">
        <f ca="1">IFERROR(__xludf.DUMMYFUNCTION("""COMPUTED_VALUE"""),2)</f>
        <v>2</v>
      </c>
      <c r="J217" s="179">
        <f ca="1">IFERROR(__xludf.DUMMYFUNCTION("""COMPUTED_VALUE"""),3)</f>
        <v>3</v>
      </c>
      <c r="K217" s="179">
        <f ca="1">IFERROR(__xludf.DUMMYFUNCTION("""COMPUTED_VALUE"""),2)</f>
        <v>2</v>
      </c>
      <c r="L217" s="179" t="str">
        <f ca="1">IFERROR(__xludf.DUMMYFUNCTION("""COMPUTED_VALUE"""),"Promising to be a better campus recruiting platform. It's a software platform, so the technology is not very defensible.")</f>
        <v>Promising to be a better campus recruiting platform. It's a software platform, so the technology is not very defensible.</v>
      </c>
      <c r="M217" s="179">
        <f ca="1">IFERROR(__xludf.DUMMYFUNCTION("""COMPUTED_VALUE"""),3)</f>
        <v>3</v>
      </c>
      <c r="N217" s="179">
        <f ca="1">IFERROR(__xludf.DUMMYFUNCTION("""COMPUTED_VALUE"""),3)</f>
        <v>3</v>
      </c>
      <c r="O217" s="179" t="str">
        <f ca="1">IFERROR(__xludf.DUMMYFUNCTION("""COMPUTED_VALUE"""),"$125k revenue to date (period unclear).")</f>
        <v>$125k revenue to date (period unclear).</v>
      </c>
      <c r="P217" s="179">
        <f ca="1">IFERROR(__xludf.DUMMYFUNCTION("""COMPUTED_VALUE"""),3)</f>
        <v>3</v>
      </c>
      <c r="Q217" s="179">
        <f ca="1">IFERROR(__xludf.DUMMYFUNCTION("""COMPUTED_VALUE"""),2)</f>
        <v>2</v>
      </c>
      <c r="R217" s="179">
        <f ca="1">IFERROR(__xludf.DUMMYFUNCTION("""COMPUTED_VALUE"""),2)</f>
        <v>2</v>
      </c>
      <c r="S217" s="179" t="str">
        <f ca="1">IFERROR(__xludf.DUMMYFUNCTION("""COMPUTED_VALUE"""),"Pivoted from content development startup. Relatively young team, ~4 years working experience each. Founders sound passionate about the concept, given their experiences with college recruiting.")</f>
        <v>Pivoted from content development startup. Relatively young team, ~4 years working experience each. Founders sound passionate about the concept, given their experiences with college recruiting.</v>
      </c>
      <c r="T217" s="437">
        <f ca="1">IFERROR(__xludf.DUMMYFUNCTION("""COMPUTED_VALUE"""),100000)</f>
        <v>100000</v>
      </c>
      <c r="U217" s="179" t="str">
        <f ca="1">IFERROR(__xludf.DUMMYFUNCTION("""COMPUTED_VALUE"""),"&lt;$500K")</f>
        <v>&lt;$500K</v>
      </c>
      <c r="V217" s="179">
        <f ca="1">IFERROR(__xludf.DUMMYFUNCTION("""COMPUTED_VALUE"""),3)</f>
        <v>3</v>
      </c>
      <c r="W217" s="179" t="str">
        <f ca="1">IFERROR(__xludf.DUMMYFUNCTION("""COMPUTED_VALUE"""),"Young team. Have good traction, especially given only $100k raised to date. WTP question on the part of campus recruiting teams, who traditionally do not have large tech spend.")</f>
        <v>Young team. Have good traction, especially given only $100k raised to date. WTP question on the part of campus recruiting teams, who traditionally do not have large tech spend.</v>
      </c>
    </row>
    <row r="218" spans="1:23">
      <c r="A218" s="179" t="str">
        <f ca="1">IFERROR(__xludf.DUMMYFUNCTION("""COMPUTED_VALUE"""),"R")</f>
        <v>R</v>
      </c>
      <c r="B218" s="436">
        <f ca="1">IFERROR(__xludf.DUMMYFUNCTION("""COMPUTED_VALUE"""),44794.4949241087)</f>
        <v>44794.494924108702</v>
      </c>
      <c r="C218" s="179" t="str">
        <f ca="1">IFERROR(__xludf.DUMMYFUNCTION("""COMPUTED_VALUE"""),"cm6077@stern.nyu.edu")</f>
        <v>cm6077@stern.nyu.edu</v>
      </c>
      <c r="D218" s="179" t="str">
        <f ca="1">IFERROR(__xludf.DUMMYFUNCTION("""COMPUTED_VALUE"""),"Chris Millisits")</f>
        <v>Chris Millisits</v>
      </c>
      <c r="E218" s="179" t="str">
        <f ca="1">IFERROR(__xludf.DUMMYFUNCTION("""COMPUTED_VALUE"""),"I have read and understand the confidentiality agreement for application reviewers.")</f>
        <v>I have read and understand the confidentiality agreement for application reviewers.</v>
      </c>
      <c r="F218" s="438" t="str">
        <f ca="1">IFERROR(__xludf.DUMMYFUNCTION("""COMPUTED_VALUE"""),"OpenPie.com")</f>
        <v>OpenPie.com</v>
      </c>
      <c r="G218" s="179" t="str">
        <f ca="1">IFERROR(__xludf.DUMMYFUNCTION("""COMPUTED_VALUE"""),"Data computing platform / Cloud computing / Series B")</f>
        <v>Data computing platform / Cloud computing / Series B</v>
      </c>
      <c r="H218" s="179">
        <f ca="1">IFERROR(__xludf.DUMMYFUNCTION("""COMPUTED_VALUE"""),5)</f>
        <v>5</v>
      </c>
      <c r="I218" s="179">
        <f ca="1">IFERROR(__xludf.DUMMYFUNCTION("""COMPUTED_VALUE"""),1)</f>
        <v>1</v>
      </c>
      <c r="J218" s="179">
        <f ca="1">IFERROR(__xludf.DUMMYFUNCTION("""COMPUTED_VALUE"""),1)</f>
        <v>1</v>
      </c>
      <c r="K218" s="179">
        <f ca="1">IFERROR(__xludf.DUMMYFUNCTION("""COMPUTED_VALUE"""),1)</f>
        <v>1</v>
      </c>
      <c r="L218" s="179" t="str">
        <f ca="1">IFERROR(__xludf.DUMMYFUNCTION("""COMPUTED_VALUE"""),"Snowflake competitor, provided no evidence towards validation of technology")</f>
        <v>Snowflake competitor, provided no evidence towards validation of technology</v>
      </c>
      <c r="M218" s="179">
        <f ca="1">IFERROR(__xludf.DUMMYFUNCTION("""COMPUTED_VALUE"""),4)</f>
        <v>4</v>
      </c>
      <c r="N218" s="179">
        <f ca="1">IFERROR(__xludf.DUMMYFUNCTION("""COMPUTED_VALUE"""),2)</f>
        <v>2</v>
      </c>
      <c r="O218" s="179" t="str">
        <f ca="1">IFERROR(__xludf.DUMMYFUNCTION("""COMPUTED_VALUE"""),"Has some customers. Large market, but competitive with large incumbents")</f>
        <v>Has some customers. Large market, but competitive with large incumbents</v>
      </c>
      <c r="P218" s="179">
        <f ca="1">IFERROR(__xludf.DUMMYFUNCTION("""COMPUTED_VALUE"""),3)</f>
        <v>3</v>
      </c>
      <c r="Q218" s="179">
        <f ca="1">IFERROR(__xludf.DUMMYFUNCTION("""COMPUTED_VALUE"""),2)</f>
        <v>2</v>
      </c>
      <c r="R218" s="179">
        <f ca="1">IFERROR(__xludf.DUMMYFUNCTION("""COMPUTED_VALUE"""),2)</f>
        <v>2</v>
      </c>
      <c r="S218" s="179" t="str">
        <f ca="1">IFERROR(__xludf.DUMMYFUNCTION("""COMPUTED_VALUE"""),"Previously founder of Pivotal. Has not provided much information in the application and I cannot find more information about him online.")</f>
        <v>Previously founder of Pivotal. Has not provided much information in the application and I cannot find more information about him online.</v>
      </c>
      <c r="T218" s="437">
        <f ca="1">IFERROR(__xludf.DUMMYFUNCTION("""COMPUTED_VALUE"""),50000000)</f>
        <v>50000000</v>
      </c>
      <c r="U218" s="179" t="str">
        <f ca="1">IFERROR(__xludf.DUMMYFUNCTION("""COMPUTED_VALUE"""),"$0")</f>
        <v>$0</v>
      </c>
      <c r="V218" s="179">
        <f ca="1">IFERROR(__xludf.DUMMYFUNCTION("""COMPUTED_VALUE"""),2)</f>
        <v>2</v>
      </c>
      <c r="W218" s="179" t="str">
        <f ca="1">IFERROR(__xludf.DUMMYFUNCTION("""COMPUTED_VALUE"""),"Limited information on the founder. Competitive market, wants to compete with Snowflake. Limited traction for size of previous rounds.")</f>
        <v>Limited information on the founder. Competitive market, wants to compete with Snowflake. Limited traction for size of previous rounds.</v>
      </c>
    </row>
    <row r="219" spans="1:23">
      <c r="A219" s="179" t="str">
        <f ca="1">IFERROR(__xludf.DUMMYFUNCTION("""COMPUTED_VALUE"""),"R")</f>
        <v>R</v>
      </c>
      <c r="B219" s="436">
        <f ca="1">IFERROR(__xludf.DUMMYFUNCTION("""COMPUTED_VALUE"""),44794.5031494791)</f>
        <v>44794.503149479096</v>
      </c>
      <c r="C219" s="179" t="str">
        <f ca="1">IFERROR(__xludf.DUMMYFUNCTION("""COMPUTED_VALUE"""),"cm6077@stern.nyu.edu")</f>
        <v>cm6077@stern.nyu.edu</v>
      </c>
      <c r="D219" s="179" t="str">
        <f ca="1">IFERROR(__xludf.DUMMYFUNCTION("""COMPUTED_VALUE"""),"Chris Millisits")</f>
        <v>Chris Millisits</v>
      </c>
      <c r="E219" s="179" t="str">
        <f ca="1">IFERROR(__xludf.DUMMYFUNCTION("""COMPUTED_VALUE"""),"I have read and understand the confidentiality agreement for application reviewers.")</f>
        <v>I have read and understand the confidentiality agreement for application reviewers.</v>
      </c>
      <c r="F219" s="179" t="str">
        <f ca="1">IFERROR(__xludf.DUMMYFUNCTION("""COMPUTED_VALUE"""),"OPTT Health")</f>
        <v>OPTT Health</v>
      </c>
      <c r="G219" s="179" t="str">
        <f ca="1">IFERROR(__xludf.DUMMYFUNCTION("""COMPUTED_VALUE"""),"Mental health AI algorithm using NLP - used for triage using keyword searching for their patients' diagnosis and triage / Healthcare, AI &amp; ML / Seed")</f>
        <v>Mental health AI algorithm using NLP - used for triage using keyword searching for their patients' diagnosis and triage / Healthcare, AI &amp; ML / Seed</v>
      </c>
      <c r="H219" s="179">
        <f ca="1">IFERROR(__xludf.DUMMYFUNCTION("""COMPUTED_VALUE"""),3)</f>
        <v>3</v>
      </c>
      <c r="I219" s="179">
        <f ca="1">IFERROR(__xludf.DUMMYFUNCTION("""COMPUTED_VALUE"""),2)</f>
        <v>2</v>
      </c>
      <c r="J219" s="179">
        <f ca="1">IFERROR(__xludf.DUMMYFUNCTION("""COMPUTED_VALUE"""),3)</f>
        <v>3</v>
      </c>
      <c r="K219" s="179">
        <f ca="1">IFERROR(__xludf.DUMMYFUNCTION("""COMPUTED_VALUE"""),3)</f>
        <v>3</v>
      </c>
      <c r="L219" s="179" t="str">
        <f ca="1">IFERROR(__xludf.DUMMYFUNCTION("""COMPUTED_VALUE"""),"Strong customer validation. AI / NLP technology can be protected but similar solutions can be spun up by other data scientist &amp; physician teams. Can this team produce a revolutionary technology?")</f>
        <v>Strong customer validation. AI / NLP technology can be protected but similar solutions can be spun up by other data scientist &amp; physician teams. Can this team produce a revolutionary technology?</v>
      </c>
      <c r="M219" s="179">
        <f ca="1">IFERROR(__xludf.DUMMYFUNCTION("""COMPUTED_VALUE"""),4)</f>
        <v>4</v>
      </c>
      <c r="N219" s="179">
        <f ca="1">IFERROR(__xludf.DUMMYFUNCTION("""COMPUTED_VALUE"""),3)</f>
        <v>3</v>
      </c>
      <c r="O219" s="179" t="str">
        <f ca="1">IFERROR(__xludf.DUMMYFUNCTION("""COMPUTED_VALUE"""),"$1.5m contract with Telus Health, and starting pilots with 3 additional customers")</f>
        <v>$1.5m contract with Telus Health, and starting pilots with 3 additional customers</v>
      </c>
      <c r="P219" s="179">
        <f ca="1">IFERROR(__xludf.DUMMYFUNCTION("""COMPUTED_VALUE"""),3)</f>
        <v>3</v>
      </c>
      <c r="Q219" s="179">
        <f ca="1">IFERROR(__xludf.DUMMYFUNCTION("""COMPUTED_VALUE"""),3)</f>
        <v>3</v>
      </c>
      <c r="R219" s="179">
        <f ca="1">IFERROR(__xludf.DUMMYFUNCTION("""COMPUTED_VALUE"""),4)</f>
        <v>4</v>
      </c>
      <c r="S219" s="179" t="str">
        <f ca="1">IFERROR(__xludf.DUMMYFUNCTION("""COMPUTED_VALUE"""),"Strong team backgrounds in data science and medicine across the 4 members of the team.")</f>
        <v>Strong team backgrounds in data science and medicine across the 4 members of the team.</v>
      </c>
      <c r="T219" s="437">
        <f ca="1">IFERROR(__xludf.DUMMYFUNCTION("""COMPUTED_VALUE"""),950000)</f>
        <v>950000</v>
      </c>
      <c r="U219" s="179" t="str">
        <f ca="1">IFERROR(__xludf.DUMMYFUNCTION("""COMPUTED_VALUE"""),"&gt;$5M")</f>
        <v>&gt;$5M</v>
      </c>
      <c r="V219" s="179">
        <f ca="1">IFERROR(__xludf.DUMMYFUNCTION("""COMPUTED_VALUE"""),3)</f>
        <v>3</v>
      </c>
      <c r="W219" s="179" t="str">
        <f ca="1">IFERROR(__xludf.DUMMYFUNCTION("""COMPUTED_VALUE"""),"Strong team backgrounds in data science and medicine across the 4 members of the team. Strong traction. But it is hard to build a revolutionary AI/ML solution that truly stands out.")</f>
        <v>Strong team backgrounds in data science and medicine across the 4 members of the team. Strong traction. But it is hard to build a revolutionary AI/ML solution that truly stands out.</v>
      </c>
    </row>
    <row r="220" spans="1:23">
      <c r="A220" s="179" t="str">
        <f ca="1">IFERROR(__xludf.DUMMYFUNCTION("""COMPUTED_VALUE"""),"R")</f>
        <v>R</v>
      </c>
      <c r="B220" s="436">
        <f ca="1">IFERROR(__xludf.DUMMYFUNCTION("""COMPUTED_VALUE"""),44794.5085900347)</f>
        <v>44794.508590034697</v>
      </c>
      <c r="C220" s="179" t="str">
        <f ca="1">IFERROR(__xludf.DUMMYFUNCTION("""COMPUTED_VALUE"""),"jsy8879@stern.nyu.edu")</f>
        <v>jsy8879@stern.nyu.edu</v>
      </c>
      <c r="D220" s="179" t="str">
        <f ca="1">IFERROR(__xludf.DUMMYFUNCTION("""COMPUTED_VALUE"""),"Jason Yu")</f>
        <v>Jason Yu</v>
      </c>
      <c r="E220" s="179" t="str">
        <f ca="1">IFERROR(__xludf.DUMMYFUNCTION("""COMPUTED_VALUE"""),"I have read and understand the confidentiality agreement for application reviewers.")</f>
        <v>I have read and understand the confidentiality agreement for application reviewers.</v>
      </c>
      <c r="F220" s="179" t="str">
        <f ca="1">IFERROR(__xludf.DUMMYFUNCTION("""COMPUTED_VALUE"""),"Propelle Therapeutics, Inc.")</f>
        <v>Propelle Therapeutics, Inc.</v>
      </c>
      <c r="G220" s="179" t="str">
        <f ca="1">IFERROR(__xludf.DUMMYFUNCTION("""COMPUTED_VALUE"""),"m-RNA based tumor-regressive / Healthcare / Pre-seed")</f>
        <v>m-RNA based tumor-regressive / Healthcare / Pre-seed</v>
      </c>
      <c r="H220" s="179">
        <f ca="1">IFERROR(__xludf.DUMMYFUNCTION("""COMPUTED_VALUE"""),5)</f>
        <v>5</v>
      </c>
      <c r="I220" s="179">
        <f ca="1">IFERROR(__xludf.DUMMYFUNCTION("""COMPUTED_VALUE"""),4)</f>
        <v>4</v>
      </c>
      <c r="J220" s="179">
        <f ca="1">IFERROR(__xludf.DUMMYFUNCTION("""COMPUTED_VALUE"""),4)</f>
        <v>4</v>
      </c>
      <c r="K220" s="179">
        <f ca="1">IFERROR(__xludf.DUMMYFUNCTION("""COMPUTED_VALUE"""),4)</f>
        <v>4</v>
      </c>
      <c r="L220" s="179" t="str">
        <f ca="1">IFERROR(__xludf.DUMMYFUNCTION("""COMPUTED_VALUE"""),"They have preclinical data to validate the technology.")</f>
        <v>They have preclinical data to validate the technology.</v>
      </c>
      <c r="M220" s="179">
        <f ca="1">IFERROR(__xludf.DUMMYFUNCTION("""COMPUTED_VALUE"""),4)</f>
        <v>4</v>
      </c>
      <c r="N220" s="179">
        <f ca="1">IFERROR(__xludf.DUMMYFUNCTION("""COMPUTED_VALUE"""),1)</f>
        <v>1</v>
      </c>
      <c r="O220" s="179" t="str">
        <f ca="1">IFERROR(__xludf.DUMMYFUNCTION("""COMPUTED_VALUE"""),"Looking for a M&amp;A exit.")</f>
        <v>Looking for a M&amp;A exit.</v>
      </c>
      <c r="P220" s="179">
        <f ca="1">IFERROR(__xludf.DUMMYFUNCTION("""COMPUTED_VALUE"""),4)</f>
        <v>4</v>
      </c>
      <c r="Q220" s="179">
        <f ca="1">IFERROR(__xludf.DUMMYFUNCTION("""COMPUTED_VALUE"""),5)</f>
        <v>5</v>
      </c>
      <c r="R220" s="179">
        <f ca="1">IFERROR(__xludf.DUMMYFUNCTION("""COMPUTED_VALUE"""),5)</f>
        <v>5</v>
      </c>
      <c r="S220" s="179"/>
      <c r="T220" s="437">
        <f ca="1">IFERROR(__xludf.DUMMYFUNCTION("""COMPUTED_VALUE"""),200000)</f>
        <v>200000</v>
      </c>
      <c r="U220" s="179" t="str">
        <f ca="1">IFERROR(__xludf.DUMMYFUNCTION("""COMPUTED_VALUE"""),"$1-$5M")</f>
        <v>$1-$5M</v>
      </c>
      <c r="V220" s="179">
        <f ca="1">IFERROR(__xludf.DUMMYFUNCTION("""COMPUTED_VALUE"""),4)</f>
        <v>4</v>
      </c>
      <c r="W220" s="179" t="str">
        <f ca="1">IFERROR(__xludf.DUMMYFUNCTION("""COMPUTED_VALUE"""),"Since we're a biotech, we will not have a """"product"""" in 6 months. However, our measure of
success in 6 months would be to successfully create the necessary array of antitumorigenic
mRNA molecules that we can take into preclinical studies in our colla"&amp;"boration with the National Cancer Institute.")</f>
        <v>Since we're a biotech, we will not have a ""product"" in 6 months. However, our measure of
success in 6 months would be to successfully create the necessary array of antitumorigenic
mRNA molecules that we can take into preclinical studies in our collaboration with the National Cancer Institute.</v>
      </c>
    </row>
    <row r="221" spans="1:23">
      <c r="A221" s="179" t="str">
        <f ca="1">IFERROR(__xludf.DUMMYFUNCTION("""COMPUTED_VALUE"""),"R")</f>
        <v>R</v>
      </c>
      <c r="B221" s="436">
        <f ca="1">IFERROR(__xludf.DUMMYFUNCTION("""COMPUTED_VALUE"""),44794.510319375)</f>
        <v>44794.510319374996</v>
      </c>
      <c r="C221" s="179" t="str">
        <f ca="1">IFERROR(__xludf.DUMMYFUNCTION("""COMPUTED_VALUE"""),"cm6077@stern.nyu.edu")</f>
        <v>cm6077@stern.nyu.edu</v>
      </c>
      <c r="D221" s="179" t="str">
        <f ca="1">IFERROR(__xludf.DUMMYFUNCTION("""COMPUTED_VALUE"""),"Chris Millisits")</f>
        <v>Chris Millisits</v>
      </c>
      <c r="E221" s="179" t="str">
        <f ca="1">IFERROR(__xludf.DUMMYFUNCTION("""COMPUTED_VALUE"""),"I have read and understand the confidentiality agreement for application reviewers.")</f>
        <v>I have read and understand the confidentiality agreement for application reviewers.</v>
      </c>
      <c r="F221" s="179" t="str">
        <f ca="1">IFERROR(__xludf.DUMMYFUNCTION("""COMPUTED_VALUE"""),"OR Link")</f>
        <v>OR Link</v>
      </c>
      <c r="G221" s="179" t="str">
        <f ca="1">IFERROR(__xludf.DUMMYFUNCTION("""COMPUTED_VALUE"""),"OR Link is a workflow management tool designed to replace current surgical preference card systems / Healthcare IT / Seed")</f>
        <v>OR Link is a workflow management tool designed to replace current surgical preference card systems / Healthcare IT / Seed</v>
      </c>
      <c r="H221" s="179">
        <f ca="1">IFERROR(__xludf.DUMMYFUNCTION("""COMPUTED_VALUE"""),3)</f>
        <v>3</v>
      </c>
      <c r="I221" s="179">
        <f ca="1">IFERROR(__xludf.DUMMYFUNCTION("""COMPUTED_VALUE"""),3)</f>
        <v>3</v>
      </c>
      <c r="J221" s="179">
        <f ca="1">IFERROR(__xludf.DUMMYFUNCTION("""COMPUTED_VALUE"""),3)</f>
        <v>3</v>
      </c>
      <c r="K221" s="179">
        <f ca="1">IFERROR(__xludf.DUMMYFUNCTION("""COMPUTED_VALUE"""),2)</f>
        <v>2</v>
      </c>
      <c r="L221" s="179" t="str">
        <f ca="1">IFERROR(__xludf.DUMMYFUNCTION("""COMPUTED_VALUE"""),"The technology is an alternative (and software-based) form that is more usable by nurses.")</f>
        <v>The technology is an alternative (and software-based) form that is more usable by nurses.</v>
      </c>
      <c r="M221" s="179">
        <f ca="1">IFERROR(__xludf.DUMMYFUNCTION("""COMPUTED_VALUE"""),4)</f>
        <v>4</v>
      </c>
      <c r="N221" s="179">
        <f ca="1">IFERROR(__xludf.DUMMYFUNCTION("""COMPUTED_VALUE"""),2)</f>
        <v>2</v>
      </c>
      <c r="O221" s="179" t="str">
        <f ca="1">IFERROR(__xludf.DUMMYFUNCTION("""COMPUTED_VALUE"""),"Beta test at a small hospital system to determine cost savings of the platform")</f>
        <v>Beta test at a small hospital system to determine cost savings of the platform</v>
      </c>
      <c r="P221" s="179">
        <f ca="1">IFERROR(__xludf.DUMMYFUNCTION("""COMPUTED_VALUE"""),3)</f>
        <v>3</v>
      </c>
      <c r="Q221" s="179">
        <f ca="1">IFERROR(__xludf.DUMMYFUNCTION("""COMPUTED_VALUE"""),3)</f>
        <v>3</v>
      </c>
      <c r="R221" s="179">
        <f ca="1">IFERROR(__xludf.DUMMYFUNCTION("""COMPUTED_VALUE"""),4)</f>
        <v>4</v>
      </c>
      <c r="S221" s="179" t="str">
        <f ca="1">IFERROR(__xludf.DUMMYFUNCTION("""COMPUTED_VALUE"""),"30 years surgical experience in ENT for one founder, and 15 year's experience as a minimally invasive laparoscopic surgeon for another. The remaining two founders are a cloud architect and a former hospital CEO, COO and CPA.")</f>
        <v>30 years surgical experience in ENT for one founder, and 15 year's experience as a minimally invasive laparoscopic surgeon for another. The remaining two founders are a cloud architect and a former hospital CEO, COO and CPA.</v>
      </c>
      <c r="T221" s="437">
        <f ca="1">IFERROR(__xludf.DUMMYFUNCTION("""COMPUTED_VALUE"""),1700000)</f>
        <v>1700000</v>
      </c>
      <c r="U221" s="179" t="str">
        <f ca="1">IFERROR(__xludf.DUMMYFUNCTION("""COMPUTED_VALUE"""),"$1-$5M")</f>
        <v>$1-$5M</v>
      </c>
      <c r="V221" s="179">
        <f ca="1">IFERROR(__xludf.DUMMYFUNCTION("""COMPUTED_VALUE"""),3)</f>
        <v>3</v>
      </c>
      <c r="W221" s="179" t="str">
        <f ca="1">IFERROR(__xludf.DUMMYFUNCTION("""COMPUTED_VALUE"""),"Good team background for this solution. Working closely with potential customers, but would like to see more validation of the solution. IP protection is questionable. Assumption is that the existing system can be replaced is a large assumption.")</f>
        <v>Good team background for this solution. Working closely with potential customers, but would like to see more validation of the solution. IP protection is questionable. Assumption is that the existing system can be replaced is a large assumption.</v>
      </c>
    </row>
    <row r="222" spans="1:23">
      <c r="A222" s="179" t="str">
        <f ca="1">IFERROR(__xludf.DUMMYFUNCTION("""COMPUTED_VALUE"""),"R")</f>
        <v>R</v>
      </c>
      <c r="B222" s="436">
        <f ca="1">IFERROR(__xludf.DUMMYFUNCTION("""COMPUTED_VALUE"""),44794.514679155)</f>
        <v>44794.514679155</v>
      </c>
      <c r="C222" s="179" t="str">
        <f ca="1">IFERROR(__xludf.DUMMYFUNCTION("""COMPUTED_VALUE"""),"jsy8879@stern.nyu.edu")</f>
        <v>jsy8879@stern.nyu.edu</v>
      </c>
      <c r="D222" s="179" t="str">
        <f ca="1">IFERROR(__xludf.DUMMYFUNCTION("""COMPUTED_VALUE"""),"Jason Yu")</f>
        <v>Jason Yu</v>
      </c>
      <c r="E222" s="179" t="str">
        <f ca="1">IFERROR(__xludf.DUMMYFUNCTION("""COMPUTED_VALUE"""),"I have read and understand the confidentiality agreement for application reviewers.")</f>
        <v>I have read and understand the confidentiality agreement for application reviewers.</v>
      </c>
      <c r="F222" s="179" t="str">
        <f ca="1">IFERROR(__xludf.DUMMYFUNCTION("""COMPUTED_VALUE"""),"Radiolife")</f>
        <v>Radiolife</v>
      </c>
      <c r="G222" s="179" t="str">
        <f ca="1">IFERROR(__xludf.DUMMYFUNCTION("""COMPUTED_VALUE"""),"Human Diagnostics / Healthcare / Pre-Seed")</f>
        <v>Human Diagnostics / Healthcare / Pre-Seed</v>
      </c>
      <c r="H222" s="179">
        <f ca="1">IFERROR(__xludf.DUMMYFUNCTION("""COMPUTED_VALUE"""),4)</f>
        <v>4</v>
      </c>
      <c r="I222" s="179">
        <f ca="1">IFERROR(__xludf.DUMMYFUNCTION("""COMPUTED_VALUE"""),4)</f>
        <v>4</v>
      </c>
      <c r="J222" s="179">
        <f ca="1">IFERROR(__xludf.DUMMYFUNCTION("""COMPUTED_VALUE"""),4)</f>
        <v>4</v>
      </c>
      <c r="K222" s="179">
        <f ca="1">IFERROR(__xludf.DUMMYFUNCTION("""COMPUTED_VALUE"""),4)</f>
        <v>4</v>
      </c>
      <c r="L222" s="179" t="str">
        <f ca="1">IFERROR(__xludf.DUMMYFUNCTION("""COMPUTED_VALUE"""),"Clinical study executed in Brazil")</f>
        <v>Clinical study executed in Brazil</v>
      </c>
      <c r="M222" s="179">
        <f ca="1">IFERROR(__xludf.DUMMYFUNCTION("""COMPUTED_VALUE"""),4)</f>
        <v>4</v>
      </c>
      <c r="N222" s="179">
        <f ca="1">IFERROR(__xludf.DUMMYFUNCTION("""COMPUTED_VALUE"""),2)</f>
        <v>2</v>
      </c>
      <c r="O222" s="179" t="str">
        <f ca="1">IFERROR(__xludf.DUMMYFUNCTION("""COMPUTED_VALUE"""),"TAM - $111.7B - Global IVD market as of 2021|SAM - $43.5B")</f>
        <v>TAM - $111.7B - Global IVD market as of 2021|SAM - $43.5B</v>
      </c>
      <c r="P222" s="179">
        <f ca="1">IFERROR(__xludf.DUMMYFUNCTION("""COMPUTED_VALUE"""),3)</f>
        <v>3</v>
      </c>
      <c r="Q222" s="179">
        <f ca="1">IFERROR(__xludf.DUMMYFUNCTION("""COMPUTED_VALUE"""),3)</f>
        <v>3</v>
      </c>
      <c r="R222" s="179">
        <f ca="1">IFERROR(__xludf.DUMMYFUNCTION("""COMPUTED_VALUE"""),2)</f>
        <v>2</v>
      </c>
      <c r="S222" s="179" t="str">
        <f ca="1">IFERROR(__xludf.DUMMYFUNCTION("""COMPUTED_VALUE"""),"Founder experiences are in different fields")</f>
        <v>Founder experiences are in different fields</v>
      </c>
      <c r="T222" s="437">
        <f ca="1">IFERROR(__xludf.DUMMYFUNCTION("""COMPUTED_VALUE"""),0)</f>
        <v>0</v>
      </c>
      <c r="U222" s="179" t="str">
        <f ca="1">IFERROR(__xludf.DUMMYFUNCTION("""COMPUTED_VALUE"""),"$0")</f>
        <v>$0</v>
      </c>
      <c r="V222" s="179">
        <f ca="1">IFERROR(__xludf.DUMMYFUNCTION("""COMPUTED_VALUE"""),3)</f>
        <v>3</v>
      </c>
      <c r="W222" s="179" t="str">
        <f ca="1">IFERROR(__xludf.DUMMYFUNCTION("""COMPUTED_VALUE"""),"Regulatory approval in Chile, we need to invest in selling at scale. Still need to run pilots at hospitals and laboratories.")</f>
        <v>Regulatory approval in Chile, we need to invest in selling at scale. Still need to run pilots at hospitals and laboratories.</v>
      </c>
    </row>
    <row r="223" spans="1:23">
      <c r="A223" s="179" t="str">
        <f ca="1">IFERROR(__xludf.DUMMYFUNCTION("""COMPUTED_VALUE"""),"R")</f>
        <v>R</v>
      </c>
      <c r="B223" s="436">
        <f ca="1">IFERROR(__xludf.DUMMYFUNCTION("""COMPUTED_VALUE"""),44794.5153441435)</f>
        <v>44794.515344143503</v>
      </c>
      <c r="C223" s="179" t="str">
        <f ca="1">IFERROR(__xludf.DUMMYFUNCTION("""COMPUTED_VALUE"""),"cm6077@stern.nyu.edu")</f>
        <v>cm6077@stern.nyu.edu</v>
      </c>
      <c r="D223" s="179" t="str">
        <f ca="1">IFERROR(__xludf.DUMMYFUNCTION("""COMPUTED_VALUE"""),"Chris Millisits")</f>
        <v>Chris Millisits</v>
      </c>
      <c r="E223" s="179" t="str">
        <f ca="1">IFERROR(__xludf.DUMMYFUNCTION("""COMPUTED_VALUE"""),"I have read and understand the confidentiality agreement for application reviewers.")</f>
        <v>I have read and understand the confidentiality agreement for application reviewers.</v>
      </c>
      <c r="F223" s="179" t="str">
        <f ca="1">IFERROR(__xludf.DUMMYFUNCTION("""COMPUTED_VALUE"""),"Orange Therapeutics")</f>
        <v>Orange Therapeutics</v>
      </c>
      <c r="G223" s="179" t="str">
        <f ca="1">IFERROR(__xludf.DUMMYFUNCTION("""COMPUTED_VALUE"""),"AI-based virtual humans to deliver cognitive behavioral therapy to augment therapy patients / Digital Health, Conversational AI / ")</f>
        <v xml:space="preserve">AI-based virtual humans to deliver cognitive behavioral therapy to augment therapy patients / Digital Health, Conversational AI / </v>
      </c>
      <c r="H223" s="179">
        <f ca="1">IFERROR(__xludf.DUMMYFUNCTION("""COMPUTED_VALUE"""),4)</f>
        <v>4</v>
      </c>
      <c r="I223" s="179">
        <f ca="1">IFERROR(__xludf.DUMMYFUNCTION("""COMPUTED_VALUE"""),2)</f>
        <v>2</v>
      </c>
      <c r="J223" s="179">
        <f ca="1">IFERROR(__xludf.DUMMYFUNCTION("""COMPUTED_VALUE"""),1)</f>
        <v>1</v>
      </c>
      <c r="K223" s="179">
        <f ca="1">IFERROR(__xludf.DUMMYFUNCTION("""COMPUTED_VALUE"""),3)</f>
        <v>3</v>
      </c>
      <c r="L223" s="179" t="str">
        <f ca="1">IFERROR(__xludf.DUMMYFUNCTION("""COMPUTED_VALUE"""),"Limited validation of technology. Technology isn't novel, but the use case of the technology is.")</f>
        <v>Limited validation of technology. Technology isn't novel, but the use case of the technology is.</v>
      </c>
      <c r="M223" s="179">
        <f ca="1">IFERROR(__xludf.DUMMYFUNCTION("""COMPUTED_VALUE"""),3)</f>
        <v>3</v>
      </c>
      <c r="N223" s="179">
        <f ca="1">IFERROR(__xludf.DUMMYFUNCTION("""COMPUTED_VALUE"""),1)</f>
        <v>1</v>
      </c>
      <c r="O223" s="179" t="str">
        <f ca="1">IFERROR(__xludf.DUMMYFUNCTION("""COMPUTED_VALUE"""),"Limited customer discovery to date")</f>
        <v>Limited customer discovery to date</v>
      </c>
      <c r="P223" s="179">
        <f ca="1">IFERROR(__xludf.DUMMYFUNCTION("""COMPUTED_VALUE"""),4)</f>
        <v>4</v>
      </c>
      <c r="Q223" s="179">
        <f ca="1">IFERROR(__xludf.DUMMYFUNCTION("""COMPUTED_VALUE"""),1)</f>
        <v>1</v>
      </c>
      <c r="R223" s="179">
        <f ca="1">IFERROR(__xludf.DUMMYFUNCTION("""COMPUTED_VALUE"""),3)</f>
        <v>3</v>
      </c>
      <c r="S223" s="179" t="str">
        <f ca="1">IFERROR(__xludf.DUMMYFUNCTION("""COMPUTED_VALUE"""),"Previous founding experience (neuroscience-based HR processes), but limited experience with conversational AI, which makes innovation unlikely.")</f>
        <v>Previous founding experience (neuroscience-based HR processes), but limited experience with conversational AI, which makes innovation unlikely.</v>
      </c>
      <c r="T223" s="437">
        <f ca="1">IFERROR(__xludf.DUMMYFUNCTION("""COMPUTED_VALUE"""),0)</f>
        <v>0</v>
      </c>
      <c r="U223" s="179" t="str">
        <f ca="1">IFERROR(__xludf.DUMMYFUNCTION("""COMPUTED_VALUE"""),"&gt;$5M")</f>
        <v>&gt;$5M</v>
      </c>
      <c r="V223" s="179">
        <f ca="1">IFERROR(__xludf.DUMMYFUNCTION("""COMPUTED_VALUE"""),2)</f>
        <v>2</v>
      </c>
      <c r="W223" s="179" t="str">
        <f ca="1">IFERROR(__xludf.DUMMYFUNCTION("""COMPUTED_VALUE"""),"Raising $40m. Limited customer discovery and no customers. Founding team doesn't have strong technical background. Overestimate of market opportunity, assumptions around growth of use of therapy if there was an AI option.")</f>
        <v>Raising $40m. Limited customer discovery and no customers. Founding team doesn't have strong technical background. Overestimate of market opportunity, assumptions around growth of use of therapy if there was an AI option.</v>
      </c>
    </row>
    <row r="224" spans="1:23">
      <c r="A224" s="179" t="str">
        <f ca="1">IFERROR(__xludf.DUMMYFUNCTION("""COMPUTED_VALUE"""),"R")</f>
        <v>R</v>
      </c>
      <c r="B224" s="436">
        <f ca="1">IFERROR(__xludf.DUMMYFUNCTION("""COMPUTED_VALUE"""),44794.5200855208)</f>
        <v>44794.520085520802</v>
      </c>
      <c r="C224" s="179" t="str">
        <f ca="1">IFERROR(__xludf.DUMMYFUNCTION("""COMPUTED_VALUE"""),"jsy8879@stern.nyu.edu")</f>
        <v>jsy8879@stern.nyu.edu</v>
      </c>
      <c r="D224" s="179" t="str">
        <f ca="1">IFERROR(__xludf.DUMMYFUNCTION("""COMPUTED_VALUE"""),"Jason Yu")</f>
        <v>Jason Yu</v>
      </c>
      <c r="E224" s="179" t="str">
        <f ca="1">IFERROR(__xludf.DUMMYFUNCTION("""COMPUTED_VALUE"""),"I have read and understand the confidentiality agreement for application reviewers.")</f>
        <v>I have read and understand the confidentiality agreement for application reviewers.</v>
      </c>
      <c r="F224" s="179" t="str">
        <f ca="1">IFERROR(__xludf.DUMMYFUNCTION("""COMPUTED_VALUE"""),"RaSpect")</f>
        <v>RaSpect</v>
      </c>
      <c r="G224" s="179" t="str">
        <f ca="1">IFERROR(__xludf.DUMMYFUNCTION("""COMPUTED_VALUE"""),"Monitoring the performance and structural integrity of buildings / Construction / Seed")</f>
        <v>Monitoring the performance and structural integrity of buildings / Construction / Seed</v>
      </c>
      <c r="H224" s="179">
        <f ca="1">IFERROR(__xludf.DUMMYFUNCTION("""COMPUTED_VALUE"""),4)</f>
        <v>4</v>
      </c>
      <c r="I224" s="179">
        <f ca="1">IFERROR(__xludf.DUMMYFUNCTION("""COMPUTED_VALUE"""),4)</f>
        <v>4</v>
      </c>
      <c r="J224" s="179">
        <f ca="1">IFERROR(__xludf.DUMMYFUNCTION("""COMPUTED_VALUE"""),4)</f>
        <v>4</v>
      </c>
      <c r="K224" s="179">
        <f ca="1">IFERROR(__xludf.DUMMYFUNCTION("""COMPUTED_VALUE"""),3)</f>
        <v>3</v>
      </c>
      <c r="L224" s="179" t="str">
        <f ca="1">IFERROR(__xludf.DUMMYFUNCTION("""COMPUTED_VALUE"""),"Underlying technology and innovation is unclear.")</f>
        <v>Underlying technology and innovation is unclear.</v>
      </c>
      <c r="M224" s="179">
        <f ca="1">IFERROR(__xludf.DUMMYFUNCTION("""COMPUTED_VALUE"""),4)</f>
        <v>4</v>
      </c>
      <c r="N224" s="179">
        <f ca="1">IFERROR(__xludf.DUMMYFUNCTION("""COMPUTED_VALUE"""),4)</f>
        <v>4</v>
      </c>
      <c r="O224" s="179" t="str">
        <f ca="1">IFERROR(__xludf.DUMMYFUNCTION("""COMPUTED_VALUE"""),"TAM in Building Inspection market = USD 19 Billion in 2021 Revenue in 2021 hit USD 832K.")</f>
        <v>TAM in Building Inspection market = USD 19 Billion in 2021 Revenue in 2021 hit USD 832K.</v>
      </c>
      <c r="P224" s="179">
        <f ca="1">IFERROR(__xludf.DUMMYFUNCTION("""COMPUTED_VALUE"""),3)</f>
        <v>3</v>
      </c>
      <c r="Q224" s="179">
        <f ca="1">IFERROR(__xludf.DUMMYFUNCTION("""COMPUTED_VALUE"""),3)</f>
        <v>3</v>
      </c>
      <c r="R224" s="179">
        <f ca="1">IFERROR(__xludf.DUMMYFUNCTION("""COMPUTED_VALUE"""),4)</f>
        <v>4</v>
      </c>
      <c r="S224" s="179" t="str">
        <f ca="1">IFERROR(__xludf.DUMMYFUNCTION("""COMPUTED_VALUE"""),"Startup experience")</f>
        <v>Startup experience</v>
      </c>
      <c r="T224" s="437">
        <f ca="1">IFERROR(__xludf.DUMMYFUNCTION("""COMPUTED_VALUE"""),2900000)</f>
        <v>2900000</v>
      </c>
      <c r="U224" s="179" t="str">
        <f ca="1">IFERROR(__xludf.DUMMYFUNCTION("""COMPUTED_VALUE"""),"$1-$5M")</f>
        <v>$1-$5M</v>
      </c>
      <c r="V224" s="179">
        <f ca="1">IFERROR(__xludf.DUMMYFUNCTION("""COMPUTED_VALUE"""),4)</f>
        <v>4</v>
      </c>
      <c r="W224" s="179" t="str">
        <f ca="1">IFERROR(__xludf.DUMMYFUNCTION("""COMPUTED_VALUE"""),"Product is out in the market with a customer base.")</f>
        <v>Product is out in the market with a customer base.</v>
      </c>
    </row>
    <row r="225" spans="1:23">
      <c r="A225" s="179" t="str">
        <f ca="1">IFERROR(__xludf.DUMMYFUNCTION("""COMPUTED_VALUE"""),"R")</f>
        <v>R</v>
      </c>
      <c r="B225" s="436">
        <f ca="1">IFERROR(__xludf.DUMMYFUNCTION("""COMPUTED_VALUE"""),44794.5218219444)</f>
        <v>44794.5218219444</v>
      </c>
      <c r="C225" s="179" t="str">
        <f ca="1">IFERROR(__xludf.DUMMYFUNCTION("""COMPUTED_VALUE"""),"cm6077@stern.nyu.edu")</f>
        <v>cm6077@stern.nyu.edu</v>
      </c>
      <c r="D225" s="179" t="str">
        <f ca="1">IFERROR(__xludf.DUMMYFUNCTION("""COMPUTED_VALUE"""),"Chris Millisits")</f>
        <v>Chris Millisits</v>
      </c>
      <c r="E225" s="179" t="str">
        <f ca="1">IFERROR(__xludf.DUMMYFUNCTION("""COMPUTED_VALUE"""),"I have read and understand the confidentiality agreement for application reviewers.")</f>
        <v>I have read and understand the confidentiality agreement for application reviewers.</v>
      </c>
      <c r="F225" s="179" t="str">
        <f ca="1">IFERROR(__xludf.DUMMYFUNCTION("""COMPUTED_VALUE"""),"Zr3i")</f>
        <v>Zr3i</v>
      </c>
      <c r="G225" s="179" t="str">
        <f ca="1">IFERROR(__xludf.DUMMYFUNCTION("""COMPUTED_VALUE"""),"Crop management software / AgTech / Pre-seed")</f>
        <v>Crop management software / AgTech / Pre-seed</v>
      </c>
      <c r="H225" s="179">
        <f ca="1">IFERROR(__xludf.DUMMYFUNCTION("""COMPUTED_VALUE"""),3)</f>
        <v>3</v>
      </c>
      <c r="I225" s="179">
        <f ca="1">IFERROR(__xludf.DUMMYFUNCTION("""COMPUTED_VALUE"""),2)</f>
        <v>2</v>
      </c>
      <c r="J225" s="179">
        <f ca="1">IFERROR(__xludf.DUMMYFUNCTION("""COMPUTED_VALUE"""),2)</f>
        <v>2</v>
      </c>
      <c r="K225" s="179">
        <f ca="1">IFERROR(__xludf.DUMMYFUNCTION("""COMPUTED_VALUE"""),2)</f>
        <v>2</v>
      </c>
      <c r="L225" s="179" t="str">
        <f ca="1">IFERROR(__xludf.DUMMYFUNCTION("""COMPUTED_VALUE"""),"WTP for a new technology is a question mark. SaaS platform not very defensible via IP.")</f>
        <v>WTP for a new technology is a question mark. SaaS platform not very defensible via IP.</v>
      </c>
      <c r="M225" s="179">
        <f ca="1">IFERROR(__xludf.DUMMYFUNCTION("""COMPUTED_VALUE"""),4)</f>
        <v>4</v>
      </c>
      <c r="N225" s="179">
        <f ca="1">IFERROR(__xludf.DUMMYFUNCTION("""COMPUTED_VALUE"""),2)</f>
        <v>2</v>
      </c>
      <c r="O225" s="179" t="str">
        <f ca="1">IFERROR(__xludf.DUMMYFUNCTION("""COMPUTED_VALUE"""),"A few customers")</f>
        <v>A few customers</v>
      </c>
      <c r="P225" s="179">
        <f ca="1">IFERROR(__xludf.DUMMYFUNCTION("""COMPUTED_VALUE"""),3)</f>
        <v>3</v>
      </c>
      <c r="Q225" s="179">
        <f ca="1">IFERROR(__xludf.DUMMYFUNCTION("""COMPUTED_VALUE"""),1)</f>
        <v>1</v>
      </c>
      <c r="R225" s="179">
        <f ca="1">IFERROR(__xludf.DUMMYFUNCTION("""COMPUTED_VALUE"""),2)</f>
        <v>2</v>
      </c>
      <c r="S225" s="179" t="str">
        <f ca="1">IFERROR(__xludf.DUMMYFUNCTION("""COMPUTED_VALUE"""),"Information only shown for 1 of the 2 founders. The 1 founder with information has experience mostly in sales, though in the relevant region to the startup.")</f>
        <v>Information only shown for 1 of the 2 founders. The 1 founder with information has experience mostly in sales, though in the relevant region to the startup.</v>
      </c>
      <c r="T225" s="437">
        <f ca="1">IFERROR(__xludf.DUMMYFUNCTION("""COMPUTED_VALUE"""),80000)</f>
        <v>80000</v>
      </c>
      <c r="U225" s="179" t="str">
        <f ca="1">IFERROR(__xludf.DUMMYFUNCTION("""COMPUTED_VALUE"""),"$0")</f>
        <v>$0</v>
      </c>
      <c r="V225" s="179">
        <f ca="1">IFERROR(__xludf.DUMMYFUNCTION("""COMPUTED_VALUE"""),2)</f>
        <v>2</v>
      </c>
      <c r="W225" s="179" t="str">
        <f ca="1">IFERROR(__xludf.DUMMYFUNCTION("""COMPUTED_VALUE"""),"Crop management software. Limited traction. Team experience is not exceptionally relevant to this solution. Limited WTP in this space.")</f>
        <v>Crop management software. Limited traction. Team experience is not exceptionally relevant to this solution. Limited WTP in this space.</v>
      </c>
    </row>
    <row r="226" spans="1:23">
      <c r="A226" s="179" t="str">
        <f ca="1">IFERROR(__xludf.DUMMYFUNCTION("""COMPUTED_VALUE"""),"R")</f>
        <v>R</v>
      </c>
      <c r="B226" s="436">
        <f ca="1">IFERROR(__xludf.DUMMYFUNCTION("""COMPUTED_VALUE"""),44794.5254798842)</f>
        <v>44794.5254798842</v>
      </c>
      <c r="C226" s="179" t="str">
        <f ca="1">IFERROR(__xludf.DUMMYFUNCTION("""COMPUTED_VALUE"""),"cm6077@stern.nyu.edu")</f>
        <v>cm6077@stern.nyu.edu</v>
      </c>
      <c r="D226" s="179" t="str">
        <f ca="1">IFERROR(__xludf.DUMMYFUNCTION("""COMPUTED_VALUE"""),"Chris Millisits")</f>
        <v>Chris Millisits</v>
      </c>
      <c r="E226" s="179" t="str">
        <f ca="1">IFERROR(__xludf.DUMMYFUNCTION("""COMPUTED_VALUE"""),"I have read and understand the confidentiality agreement for application reviewers.")</f>
        <v>I have read and understand the confidentiality agreement for application reviewers.</v>
      </c>
      <c r="F226" s="179" t="str">
        <f ca="1">IFERROR(__xludf.DUMMYFUNCTION("""COMPUTED_VALUE"""),"ZRC - AI-powered HVAC solutions")</f>
        <v>ZRC - AI-powered HVAC solutions</v>
      </c>
      <c r="G226" s="179" t="str">
        <f ca="1">IFERROR(__xludf.DUMMYFUNCTION("""COMPUTED_VALUE"""),"A device that monitors the refrigeration cycle in domestic heat pumps and air
conditioners (HVAC) / IoT / Pre-seed")</f>
        <v>A device that monitors the refrigeration cycle in domestic heat pumps and air
conditioners (HVAC) / IoT / Pre-seed</v>
      </c>
      <c r="H226" s="179">
        <f ca="1">IFERROR(__xludf.DUMMYFUNCTION("""COMPUTED_VALUE"""),2)</f>
        <v>2</v>
      </c>
      <c r="I226" s="179">
        <f ca="1">IFERROR(__xludf.DUMMYFUNCTION("""COMPUTED_VALUE"""),2)</f>
        <v>2</v>
      </c>
      <c r="J226" s="179">
        <f ca="1">IFERROR(__xludf.DUMMYFUNCTION("""COMPUTED_VALUE"""),1)</f>
        <v>1</v>
      </c>
      <c r="K226" s="179">
        <f ca="1">IFERROR(__xludf.DUMMYFUNCTION("""COMPUTED_VALUE"""),2)</f>
        <v>2</v>
      </c>
      <c r="L226" s="179" t="str">
        <f ca="1">IFERROR(__xludf.DUMMYFUNCTION("""COMPUTED_VALUE"""),"Known, but small problem. More of a product feature than a company. Has not validated technology.")</f>
        <v>Known, but small problem. More of a product feature than a company. Has not validated technology.</v>
      </c>
      <c r="M226" s="179">
        <f ca="1">IFERROR(__xludf.DUMMYFUNCTION("""COMPUTED_VALUE"""),3)</f>
        <v>3</v>
      </c>
      <c r="N226" s="179">
        <f ca="1">IFERROR(__xludf.DUMMYFUNCTION("""COMPUTED_VALUE"""),1)</f>
        <v>1</v>
      </c>
      <c r="O226" s="179" t="str">
        <f ca="1">IFERROR(__xludf.DUMMYFUNCTION("""COMPUTED_VALUE"""),"No customers, no mention of speaking to prospects")</f>
        <v>No customers, no mention of speaking to prospects</v>
      </c>
      <c r="P226" s="179">
        <f ca="1">IFERROR(__xludf.DUMMYFUNCTION("""COMPUTED_VALUE"""),2)</f>
        <v>2</v>
      </c>
      <c r="Q226" s="179">
        <f ca="1">IFERROR(__xludf.DUMMYFUNCTION("""COMPUTED_VALUE"""),2)</f>
        <v>2</v>
      </c>
      <c r="R226" s="179">
        <f ca="1">IFERROR(__xludf.DUMMYFUNCTION("""COMPUTED_VALUE"""),3)</f>
        <v>3</v>
      </c>
      <c r="S226" s="179" t="str">
        <f ca="1">IFERROR(__xludf.DUMMYFUNCTION("""COMPUTED_VALUE"""),"Team has relevant experience, but the vision / innovative potential is low here.")</f>
        <v>Team has relevant experience, but the vision / innovative potential is low here.</v>
      </c>
      <c r="T226" s="437">
        <f ca="1">IFERROR(__xludf.DUMMYFUNCTION("""COMPUTED_VALUE"""),0)</f>
        <v>0</v>
      </c>
      <c r="U226" s="179" t="str">
        <f ca="1">IFERROR(__xludf.DUMMYFUNCTION("""COMPUTED_VALUE"""),"$0")</f>
        <v>$0</v>
      </c>
      <c r="V226" s="179">
        <f ca="1">IFERROR(__xludf.DUMMYFUNCTION("""COMPUTED_VALUE"""),2)</f>
        <v>2</v>
      </c>
      <c r="W226" s="179" t="str">
        <f ca="1">IFERROR(__xludf.DUMMYFUNCTION("""COMPUTED_VALUE"""),"Vision is small (retrofitting HVAC monitoring devices). Unclear WTP, given that consumers are the one who are responsible for expenses out of warranty. Team has some relevant experience, but the scale of the solution is not venture-backable.")</f>
        <v>Vision is small (retrofitting HVAC monitoring devices). Unclear WTP, given that consumers are the one who are responsible for expenses out of warranty. Team has some relevant experience, but the scale of the solution is not venture-backable.</v>
      </c>
    </row>
    <row r="227" spans="1:23">
      <c r="A227" s="179" t="str">
        <f ca="1">IFERROR(__xludf.DUMMYFUNCTION("""COMPUTED_VALUE"""),"R")</f>
        <v>R</v>
      </c>
      <c r="B227" s="436">
        <f ca="1">IFERROR(__xludf.DUMMYFUNCTION("""COMPUTED_VALUE"""),44794.528418912)</f>
        <v>44794.528418911999</v>
      </c>
      <c r="C227" s="179" t="str">
        <f ca="1">IFERROR(__xludf.DUMMYFUNCTION("""COMPUTED_VALUE"""),"cm6077@stern.nyu.edu")</f>
        <v>cm6077@stern.nyu.edu</v>
      </c>
      <c r="D227" s="179" t="str">
        <f ca="1">IFERROR(__xludf.DUMMYFUNCTION("""COMPUTED_VALUE"""),"Chris Millisits")</f>
        <v>Chris Millisits</v>
      </c>
      <c r="E227" s="179" t="str">
        <f ca="1">IFERROR(__xludf.DUMMYFUNCTION("""COMPUTED_VALUE"""),"I have read and understand the confidentiality agreement for application reviewers.")</f>
        <v>I have read and understand the confidentiality agreement for application reviewers.</v>
      </c>
      <c r="F227" s="179" t="str">
        <f ca="1">IFERROR(__xludf.DUMMYFUNCTION("""COMPUTED_VALUE"""),"JelikaLite Corp")</f>
        <v>JelikaLite Corp</v>
      </c>
      <c r="G227" s="179" t="str">
        <f ca="1">IFERROR(__xludf.DUMMYFUNCTION("""COMPUTED_VALUE"""),"Cognilum is an intelligent wearable medical device, combining therapeutic non-invasive brain stimulation, EEG sensors and a personalization platform to reduce autism symptoms in children / Wearables / Seed")</f>
        <v>Cognilum is an intelligent wearable medical device, combining therapeutic non-invasive brain stimulation, EEG sensors and a personalization platform to reduce autism symptoms in children / Wearables / Seed</v>
      </c>
      <c r="H227" s="179">
        <f ca="1">IFERROR(__xludf.DUMMYFUNCTION("""COMPUTED_VALUE"""),4)</f>
        <v>4</v>
      </c>
      <c r="I227" s="179">
        <f ca="1">IFERROR(__xludf.DUMMYFUNCTION("""COMPUTED_VALUE"""),3)</f>
        <v>3</v>
      </c>
      <c r="J227" s="179">
        <f ca="1">IFERROR(__xludf.DUMMYFUNCTION("""COMPUTED_VALUE"""),2)</f>
        <v>2</v>
      </c>
      <c r="K227" s="179">
        <f ca="1">IFERROR(__xludf.DUMMYFUNCTION("""COMPUTED_VALUE"""),4)</f>
        <v>4</v>
      </c>
      <c r="L227" s="179" t="str">
        <f ca="1">IFERROR(__xludf.DUMMYFUNCTION("""COMPUTED_VALUE"""),"Feasibility trial showed promising signs. Innovative potential, though will depend on whether the technology works.")</f>
        <v>Feasibility trial showed promising signs. Innovative potential, though will depend on whether the technology works.</v>
      </c>
      <c r="M227" s="179">
        <f ca="1">IFERROR(__xludf.DUMMYFUNCTION("""COMPUTED_VALUE"""),4)</f>
        <v>4</v>
      </c>
      <c r="N227" s="179">
        <f ca="1">IFERROR(__xludf.DUMMYFUNCTION("""COMPUTED_VALUE"""),1)</f>
        <v>1</v>
      </c>
      <c r="O227" s="179" t="str">
        <f ca="1">IFERROR(__xludf.DUMMYFUNCTION("""COMPUTED_VALUE"""),"No customers, and have not spoken to customers (have only done the feasibility trial)")</f>
        <v>No customers, and have not spoken to customers (have only done the feasibility trial)</v>
      </c>
      <c r="P227" s="179">
        <f ca="1">IFERROR(__xludf.DUMMYFUNCTION("""COMPUTED_VALUE"""),4)</f>
        <v>4</v>
      </c>
      <c r="Q227" s="179">
        <f ca="1">IFERROR(__xludf.DUMMYFUNCTION("""COMPUTED_VALUE"""),4)</f>
        <v>4</v>
      </c>
      <c r="R227" s="179">
        <f ca="1">IFERROR(__xludf.DUMMYFUNCTION("""COMPUTED_VALUE"""),4)</f>
        <v>4</v>
      </c>
      <c r="S227" s="179" t="str">
        <f ca="1">IFERROR(__xludf.DUMMYFUNCTION("""COMPUTED_VALUE"""),"This is an experienced multidisciplinary team, with expertise in autism research, clinical
therapy, engineering and commercialization of medical devices, artificial intelligence, insurance reimbursement and project management.")</f>
        <v>This is an experienced multidisciplinary team, with expertise in autism research, clinical
therapy, engineering and commercialization of medical devices, artificial intelligence, insurance reimbursement and project management.</v>
      </c>
      <c r="T227" s="437">
        <f ca="1">IFERROR(__xludf.DUMMYFUNCTION("""COMPUTED_VALUE"""),1400000)</f>
        <v>1400000</v>
      </c>
      <c r="U227" s="179" t="str">
        <f ca="1">IFERROR(__xludf.DUMMYFUNCTION("""COMPUTED_VALUE"""),"$1-$5M")</f>
        <v>$1-$5M</v>
      </c>
      <c r="V227" s="179">
        <f ca="1">IFERROR(__xludf.DUMMYFUNCTION("""COMPUTED_VALUE"""),4)</f>
        <v>4</v>
      </c>
      <c r="W227" s="179" t="str">
        <f ca="1">IFERROR(__xludf.DUMMYFUNCTION("""COMPUTED_VALUE"""),"Strong team with relevant experience. If the technology can be validated, there is a huge market opportunity here. Defensible technology, assuming the science is sound.")</f>
        <v>Strong team with relevant experience. If the technology can be validated, there is a huge market opportunity here. Defensible technology, assuming the science is sound.</v>
      </c>
    </row>
    <row r="228" spans="1:23">
      <c r="A228" s="179" t="str">
        <f ca="1">IFERROR(__xludf.DUMMYFUNCTION("""COMPUTED_VALUE"""),"R")</f>
        <v>R</v>
      </c>
      <c r="B228" s="436">
        <f ca="1">IFERROR(__xludf.DUMMYFUNCTION("""COMPUTED_VALUE"""),44794.5287176157)</f>
        <v>44794.5287176157</v>
      </c>
      <c r="C228" s="179" t="str">
        <f ca="1">IFERROR(__xludf.DUMMYFUNCTION("""COMPUTED_VALUE"""),"jsy8879@stern.nyu.edu")</f>
        <v>jsy8879@stern.nyu.edu</v>
      </c>
      <c r="D228" s="179" t="str">
        <f ca="1">IFERROR(__xludf.DUMMYFUNCTION("""COMPUTED_VALUE"""),"Jason Yu")</f>
        <v>Jason Yu</v>
      </c>
      <c r="E228" s="179" t="str">
        <f ca="1">IFERROR(__xludf.DUMMYFUNCTION("""COMPUTED_VALUE"""),"I have read and understand the confidentiality agreement for application reviewers.")</f>
        <v>I have read and understand the confidentiality agreement for application reviewers.</v>
      </c>
      <c r="F228" s="179" t="str">
        <f ca="1">IFERROR(__xludf.DUMMYFUNCTION("""COMPUTED_VALUE"""),"REEV")</f>
        <v>REEV</v>
      </c>
      <c r="G228" s="179" t="str">
        <f ca="1">IFERROR(__xludf.DUMMYFUNCTION("""COMPUTED_VALUE"""),"Knee exoskeleton for patients / Healthcare / Grants")</f>
        <v>Knee exoskeleton for patients / Healthcare / Grants</v>
      </c>
      <c r="H228" s="179">
        <f ca="1">IFERROR(__xludf.DUMMYFUNCTION("""COMPUTED_VALUE"""),4)</f>
        <v>4</v>
      </c>
      <c r="I228" s="179">
        <f ca="1">IFERROR(__xludf.DUMMYFUNCTION("""COMPUTED_VALUE"""),3)</f>
        <v>3</v>
      </c>
      <c r="J228" s="179">
        <f ca="1">IFERROR(__xludf.DUMMYFUNCTION("""COMPUTED_VALUE"""),2)</f>
        <v>2</v>
      </c>
      <c r="K228" s="179">
        <f ca="1">IFERROR(__xludf.DUMMYFUNCTION("""COMPUTED_VALUE"""),2)</f>
        <v>2</v>
      </c>
      <c r="L228" s="179" t="str">
        <f ca="1">IFERROR(__xludf.DUMMYFUNCTION("""COMPUTED_VALUE"""),"Motorization is an electro-hydraulic mechatronical transmission and the assistive technology is AI based")</f>
        <v>Motorization is an electro-hydraulic mechatronical transmission and the assistive technology is AI based</v>
      </c>
      <c r="M228" s="179">
        <f ca="1">IFERROR(__xludf.DUMMYFUNCTION("""COMPUTED_VALUE"""),3)</f>
        <v>3</v>
      </c>
      <c r="N228" s="179">
        <f ca="1">IFERROR(__xludf.DUMMYFUNCTION("""COMPUTED_VALUE"""),1)</f>
        <v>1</v>
      </c>
      <c r="O228" s="179" t="str">
        <f ca="1">IFERROR(__xludf.DUMMYFUNCTION("""COMPUTED_VALUE"""),"This market is a blue ocean of $10 billion")</f>
        <v>This market is a blue ocean of $10 billion</v>
      </c>
      <c r="P228" s="179">
        <f ca="1">IFERROR(__xludf.DUMMYFUNCTION("""COMPUTED_VALUE"""),4)</f>
        <v>4</v>
      </c>
      <c r="Q228" s="179">
        <f ca="1">IFERROR(__xludf.DUMMYFUNCTION("""COMPUTED_VALUE"""),3)</f>
        <v>3</v>
      </c>
      <c r="R228" s="179">
        <f ca="1">IFERROR(__xludf.DUMMYFUNCTION("""COMPUTED_VALUE"""),4)</f>
        <v>4</v>
      </c>
      <c r="S228" s="179"/>
      <c r="T228" s="437">
        <f ca="1">IFERROR(__xludf.DUMMYFUNCTION("""COMPUTED_VALUE"""),1100000)</f>
        <v>1100000</v>
      </c>
      <c r="U228" s="179" t="str">
        <f ca="1">IFERROR(__xludf.DUMMYFUNCTION("""COMPUTED_VALUE"""),"$1-$5M")</f>
        <v>$1-$5M</v>
      </c>
      <c r="V228" s="179">
        <f ca="1">IFERROR(__xludf.DUMMYFUNCTION("""COMPUTED_VALUE"""),4)</f>
        <v>4</v>
      </c>
      <c r="W228" s="179" t="str">
        <f ca="1">IFERROR(__xludf.DUMMYFUNCTION("""COMPUTED_VALUE"""),"Has a Minimum Viable Product. Next milestones in 2023 and 2024 : certification, clinical studies and industrialization.")</f>
        <v>Has a Minimum Viable Product. Next milestones in 2023 and 2024 : certification, clinical studies and industrialization.</v>
      </c>
    </row>
    <row r="229" spans="1:23">
      <c r="A229" s="179" t="str">
        <f ca="1">IFERROR(__xludf.DUMMYFUNCTION("""COMPUTED_VALUE"""),"R")</f>
        <v>R</v>
      </c>
      <c r="B229" s="436">
        <f ca="1">IFERROR(__xludf.DUMMYFUNCTION("""COMPUTED_VALUE"""),44794.5667561689)</f>
        <v>44794.566756168897</v>
      </c>
      <c r="C229" s="179" t="str">
        <f ca="1">IFERROR(__xludf.DUMMYFUNCTION("""COMPUTED_VALUE"""),"jason.yu.1@stern.nyu.edu")</f>
        <v>jason.yu.1@stern.nyu.edu</v>
      </c>
      <c r="D229" s="179" t="str">
        <f ca="1">IFERROR(__xludf.DUMMYFUNCTION("""COMPUTED_VALUE"""),"Jason Yu")</f>
        <v>Jason Yu</v>
      </c>
      <c r="E229" s="179" t="str">
        <f ca="1">IFERROR(__xludf.DUMMYFUNCTION("""COMPUTED_VALUE"""),"I have read and understand the confidentiality agreement for application reviewers.")</f>
        <v>I have read and understand the confidentiality agreement for application reviewers.</v>
      </c>
      <c r="F229" s="179" t="str">
        <f ca="1">IFERROR(__xludf.DUMMYFUNCTION("""COMPUTED_VALUE"""),"Renew Risk")</f>
        <v>Renew Risk</v>
      </c>
      <c r="G229" s="179" t="str">
        <f ca="1">IFERROR(__xludf.DUMMYFUNCTION("""COMPUTED_VALUE"""),"Fintech SaaS solutions to drive financing &amp; insurance of new renewable
energy assets / Sustainability / Pre-seed and Grants")</f>
        <v>Fintech SaaS solutions to drive financing &amp; insurance of new renewable
energy assets / Sustainability / Pre-seed and Grants</v>
      </c>
      <c r="H229" s="179">
        <f ca="1">IFERROR(__xludf.DUMMYFUNCTION("""COMPUTED_VALUE"""),4)</f>
        <v>4</v>
      </c>
      <c r="I229" s="179">
        <f ca="1">IFERROR(__xludf.DUMMYFUNCTION("""COMPUTED_VALUE"""),2)</f>
        <v>2</v>
      </c>
      <c r="J229" s="179">
        <f ca="1">IFERROR(__xludf.DUMMYFUNCTION("""COMPUTED_VALUE"""),3)</f>
        <v>3</v>
      </c>
      <c r="K229" s="179">
        <f ca="1">IFERROR(__xludf.DUMMYFUNCTION("""COMPUTED_VALUE"""),2)</f>
        <v>2</v>
      </c>
      <c r="L229" s="179" t="str">
        <f ca="1">IFERROR(__xludf.DUMMYFUNCTION("""COMPUTED_VALUE"""),"Prototype shown to insurance broker MGP who agreed to be paid client ")</f>
        <v xml:space="preserve">Prototype shown to insurance broker MGP who agreed to be paid client </v>
      </c>
      <c r="M229" s="179">
        <f ca="1">IFERROR(__xludf.DUMMYFUNCTION("""COMPUTED_VALUE"""),2)</f>
        <v>2</v>
      </c>
      <c r="N229" s="179">
        <f ca="1">IFERROR(__xludf.DUMMYFUNCTION("""COMPUTED_VALUE"""),3)</f>
        <v>3</v>
      </c>
      <c r="O229" s="179" t="str">
        <f ca="1">IFERROR(__xludf.DUMMYFUNCTION("""COMPUTED_VALUE"""),"$100k ARR|Two clients - MGP and OIL SOM: $50-100m ARR market is possible.")</f>
        <v>$100k ARR|Two clients - MGP and OIL SOM: $50-100m ARR market is possible.</v>
      </c>
      <c r="P229" s="179">
        <f ca="1">IFERROR(__xludf.DUMMYFUNCTION("""COMPUTED_VALUE"""),4)</f>
        <v>4</v>
      </c>
      <c r="Q229" s="179">
        <f ca="1">IFERROR(__xludf.DUMMYFUNCTION("""COMPUTED_VALUE"""),4)</f>
        <v>4</v>
      </c>
      <c r="R229" s="179">
        <f ca="1">IFERROR(__xludf.DUMMYFUNCTION("""COMPUTED_VALUE"""),5)</f>
        <v>5</v>
      </c>
      <c r="S229" s="179"/>
      <c r="T229" s="437">
        <f ca="1">IFERROR(__xludf.DUMMYFUNCTION("""COMPUTED_VALUE"""),600000)</f>
        <v>600000</v>
      </c>
      <c r="U229" s="179" t="str">
        <f ca="1">IFERROR(__xludf.DUMMYFUNCTION("""COMPUTED_VALUE"""),"$500K-$1M")</f>
        <v>$500K-$1M</v>
      </c>
      <c r="V229" s="179">
        <f ca="1">IFERROR(__xludf.DUMMYFUNCTION("""COMPUTED_VALUE"""),3)</f>
        <v>3</v>
      </c>
      <c r="W229" s="179" t="str">
        <f ca="1">IFERROR(__xludf.DUMMYFUNCTION("""COMPUTED_VALUE"""),"Experienced team but the market is unclear.")</f>
        <v>Experienced team but the market is unclear.</v>
      </c>
    </row>
    <row r="230" spans="1:23">
      <c r="A230" s="179" t="str">
        <f ca="1">IFERROR(__xludf.DUMMYFUNCTION("""COMPUTED_VALUE"""),"R")</f>
        <v>R</v>
      </c>
      <c r="B230" s="436">
        <f ca="1">IFERROR(__xludf.DUMMYFUNCTION("""COMPUTED_VALUE"""),44794.5714446412)</f>
        <v>44794.571444641202</v>
      </c>
      <c r="C230" s="179" t="str">
        <f ca="1">IFERROR(__xludf.DUMMYFUNCTION("""COMPUTED_VALUE"""),"jsy8879@stern.nyu.edu")</f>
        <v>jsy8879@stern.nyu.edu</v>
      </c>
      <c r="D230" s="179" t="str">
        <f ca="1">IFERROR(__xludf.DUMMYFUNCTION("""COMPUTED_VALUE"""),"Jason Yu")</f>
        <v>Jason Yu</v>
      </c>
      <c r="E230" s="179" t="str">
        <f ca="1">IFERROR(__xludf.DUMMYFUNCTION("""COMPUTED_VALUE"""),"I have read and understand the confidentiality agreement for application reviewers.")</f>
        <v>I have read and understand the confidentiality agreement for application reviewers.</v>
      </c>
      <c r="F230" s="179" t="str">
        <f ca="1">IFERROR(__xludf.DUMMYFUNCTION("""COMPUTED_VALUE"""),"Rightbot Technologies, Inc.")</f>
        <v>Rightbot Technologies, Inc.</v>
      </c>
      <c r="G230" s="179" t="str">
        <f ca="1">IFERROR(__xludf.DUMMYFUNCTION("""COMPUTED_VALUE"""),"Warehouse automation / Supply Chain / Pre-seed and Seed")</f>
        <v>Warehouse automation / Supply Chain / Pre-seed and Seed</v>
      </c>
      <c r="H230" s="179">
        <f ca="1">IFERROR(__xludf.DUMMYFUNCTION("""COMPUTED_VALUE"""),3)</f>
        <v>3</v>
      </c>
      <c r="I230" s="179">
        <f ca="1">IFERROR(__xludf.DUMMYFUNCTION("""COMPUTED_VALUE"""),2)</f>
        <v>2</v>
      </c>
      <c r="J230" s="179">
        <f ca="1">IFERROR(__xludf.DUMMYFUNCTION("""COMPUTED_VALUE"""),4)</f>
        <v>4</v>
      </c>
      <c r="K230" s="179">
        <f ca="1">IFERROR(__xludf.DUMMYFUNCTION("""COMPUTED_VALUE"""),2)</f>
        <v>2</v>
      </c>
      <c r="L230" s="179" t="str">
        <f ca="1">IFERROR(__xludf.DUMMYFUNCTION("""COMPUTED_VALUE"""),"Sep/Oct 2022, our first robotic dark store will go live.")</f>
        <v>Sep/Oct 2022, our first robotic dark store will go live.</v>
      </c>
      <c r="M230" s="179">
        <f ca="1">IFERROR(__xludf.DUMMYFUNCTION("""COMPUTED_VALUE"""),4)</f>
        <v>4</v>
      </c>
      <c r="N230" s="179">
        <f ca="1">IFERROR(__xludf.DUMMYFUNCTION("""COMPUTED_VALUE"""),3)</f>
        <v>3</v>
      </c>
      <c r="O230" s="179" t="str">
        <f ca="1">IFERROR(__xludf.DUMMYFUNCTION("""COMPUTED_VALUE"""),"We have signed long term contracts with two of India's largest quick commerce players to
deploy a robotic dark store each for them. Combined ARR is USD 350K.")</f>
        <v>We have signed long term contracts with two of India's largest quick commerce players to
deploy a robotic dark store each for them. Combined ARR is USD 350K.</v>
      </c>
      <c r="P230" s="179">
        <f ca="1">IFERROR(__xludf.DUMMYFUNCTION("""COMPUTED_VALUE"""),4)</f>
        <v>4</v>
      </c>
      <c r="Q230" s="179">
        <f ca="1">IFERROR(__xludf.DUMMYFUNCTION("""COMPUTED_VALUE"""),3)</f>
        <v>3</v>
      </c>
      <c r="R230" s="179">
        <f ca="1">IFERROR(__xludf.DUMMYFUNCTION("""COMPUTED_VALUE"""),3)</f>
        <v>3</v>
      </c>
      <c r="S230" s="179" t="str">
        <f ca="1">IFERROR(__xludf.DUMMYFUNCTION("""COMPUTED_VALUE"""),"No startup experience ")</f>
        <v xml:space="preserve">No startup experience </v>
      </c>
      <c r="T230" s="437">
        <f ca="1">IFERROR(__xludf.DUMMYFUNCTION("""COMPUTED_VALUE"""),1090000)</f>
        <v>1090000</v>
      </c>
      <c r="U230" s="179" t="str">
        <f ca="1">IFERROR(__xludf.DUMMYFUNCTION("""COMPUTED_VALUE"""),"$1-$5M")</f>
        <v>$1-$5M</v>
      </c>
      <c r="V230" s="179">
        <f ca="1">IFERROR(__xludf.DUMMYFUNCTION("""COMPUTED_VALUE"""),3)</f>
        <v>3</v>
      </c>
      <c r="W230" s="179" t="str">
        <f ca="1">IFERROR(__xludf.DUMMYFUNCTION("""COMPUTED_VALUE"""),"Our primary customer segment, Quick Commerce, is facing massive headwinds in the current economic scenario. Therefore, their willingness to experiment/ adopt a disruptive technology is currently diminished.")</f>
        <v>Our primary customer segment, Quick Commerce, is facing massive headwinds in the current economic scenario. Therefore, their willingness to experiment/ adopt a disruptive technology is currently diminished.</v>
      </c>
    </row>
    <row r="231" spans="1:23">
      <c r="A231" s="179" t="str">
        <f ca="1">IFERROR(__xludf.DUMMYFUNCTION("""COMPUTED_VALUE"""),"R")</f>
        <v>R</v>
      </c>
      <c r="B231" s="436">
        <f ca="1">IFERROR(__xludf.DUMMYFUNCTION("""COMPUTED_VALUE"""),44794.5776641782)</f>
        <v>44794.577664178199</v>
      </c>
      <c r="C231" s="179" t="str">
        <f ca="1">IFERROR(__xludf.DUMMYFUNCTION("""COMPUTED_VALUE"""),"jason.yu.1@stern.nyu.edu")</f>
        <v>jason.yu.1@stern.nyu.edu</v>
      </c>
      <c r="D231" s="179" t="str">
        <f ca="1">IFERROR(__xludf.DUMMYFUNCTION("""COMPUTED_VALUE"""),"Jason Yu")</f>
        <v>Jason Yu</v>
      </c>
      <c r="E231" s="179" t="str">
        <f ca="1">IFERROR(__xludf.DUMMYFUNCTION("""COMPUTED_VALUE"""),"I have read and understand the confidentiality agreement for application reviewers.")</f>
        <v>I have read and understand the confidentiality agreement for application reviewers.</v>
      </c>
      <c r="F231" s="179" t="str">
        <f ca="1">IFERROR(__xludf.DUMMYFUNCTION("""COMPUTED_VALUE"""),"Rocket Propulsion Systems LLC")</f>
        <v>Rocket Propulsion Systems LLC</v>
      </c>
      <c r="G231" s="179" t="str">
        <f ca="1">IFERROR(__xludf.DUMMYFUNCTION("""COMPUTED_VALUE"""),"Hypersonic space plane to transport passengers to global destinations / Aerospace / Seed")</f>
        <v>Hypersonic space plane to transport passengers to global destinations / Aerospace / Seed</v>
      </c>
      <c r="H231" s="179">
        <f ca="1">IFERROR(__xludf.DUMMYFUNCTION("""COMPUTED_VALUE"""),4)</f>
        <v>4</v>
      </c>
      <c r="I231" s="179">
        <f ca="1">IFERROR(__xludf.DUMMYFUNCTION("""COMPUTED_VALUE"""),3)</f>
        <v>3</v>
      </c>
      <c r="J231" s="179">
        <f ca="1">IFERROR(__xludf.DUMMYFUNCTION("""COMPUTED_VALUE"""),1)</f>
        <v>1</v>
      </c>
      <c r="K231" s="179">
        <f ca="1">IFERROR(__xludf.DUMMYFUNCTION("""COMPUTED_VALUE"""),3)</f>
        <v>3</v>
      </c>
      <c r="L231" s="179" t="str">
        <f ca="1">IFERROR(__xludf.DUMMYFUNCTION("""COMPUTED_VALUE"""),"Minimum Viable Product we've accelerated the pace of building of the first engine prototype, to be completed by October 2022.")</f>
        <v>Minimum Viable Product we've accelerated the pace of building of the first engine prototype, to be completed by October 2022.</v>
      </c>
      <c r="M231" s="179">
        <f ca="1">IFERROR(__xludf.DUMMYFUNCTION("""COMPUTED_VALUE"""),4)</f>
        <v>4</v>
      </c>
      <c r="N231" s="179">
        <f ca="1">IFERROR(__xludf.DUMMYFUNCTION("""COMPUTED_VALUE"""),1)</f>
        <v>1</v>
      </c>
      <c r="O231" s="179" t="str">
        <f ca="1">IFERROR(__xludf.DUMMYFUNCTION("""COMPUTED_VALUE"""),"TAM = $19.7B, SAM=$592M, SOM=$118M Our revenue is primarily generated through small business innovative research (SBIR) federal grants.")</f>
        <v>TAM = $19.7B, SAM=$592M, SOM=$118M Our revenue is primarily generated through small business innovative research (SBIR) federal grants.</v>
      </c>
      <c r="P231" s="179">
        <f ca="1">IFERROR(__xludf.DUMMYFUNCTION("""COMPUTED_VALUE"""),4)</f>
        <v>4</v>
      </c>
      <c r="Q231" s="179">
        <f ca="1">IFERROR(__xludf.DUMMYFUNCTION("""COMPUTED_VALUE"""),5)</f>
        <v>5</v>
      </c>
      <c r="R231" s="179">
        <f ca="1">IFERROR(__xludf.DUMMYFUNCTION("""COMPUTED_VALUE"""),5)</f>
        <v>5</v>
      </c>
      <c r="S231" s="179"/>
      <c r="T231" s="437">
        <f ca="1">IFERROR(__xludf.DUMMYFUNCTION("""COMPUTED_VALUE"""),1204557)</f>
        <v>1204557</v>
      </c>
      <c r="U231" s="179" t="str">
        <f ca="1">IFERROR(__xludf.DUMMYFUNCTION("""COMPUTED_VALUE"""),"$1-$5M")</f>
        <v>$1-$5M</v>
      </c>
      <c r="V231" s="179">
        <f ca="1">IFERROR(__xludf.DUMMYFUNCTION("""COMPUTED_VALUE"""),2)</f>
        <v>2</v>
      </c>
      <c r="W231" s="179" t="str">
        <f ca="1">IFERROR(__xludf.DUMMYFUNCTION("""COMPUTED_VALUE"""),"Currently in the R&amp;D phase")</f>
        <v>Currently in the R&amp;D phase</v>
      </c>
    </row>
    <row r="232" spans="1:23">
      <c r="A232" s="179" t="str">
        <f ca="1">IFERROR(__xludf.DUMMYFUNCTION("""COMPUTED_VALUE"""),"R")</f>
        <v>R</v>
      </c>
      <c r="B232" s="436">
        <f ca="1">IFERROR(__xludf.DUMMYFUNCTION("""COMPUTED_VALUE"""),44794.5992975694)</f>
        <v>44794.599297569403</v>
      </c>
      <c r="C232" s="179" t="str">
        <f ca="1">IFERROR(__xludf.DUMMYFUNCTION("""COMPUTED_VALUE"""),"ahmed.bahgat@stern.nyu.edu")</f>
        <v>ahmed.bahgat@stern.nyu.edu</v>
      </c>
      <c r="D232" s="179" t="str">
        <f ca="1">IFERROR(__xludf.DUMMYFUNCTION("""COMPUTED_VALUE"""),"Ahmed Bahgat")</f>
        <v>Ahmed Bahgat</v>
      </c>
      <c r="E232" s="179" t="str">
        <f ca="1">IFERROR(__xludf.DUMMYFUNCTION("""COMPUTED_VALUE"""),"I have read and understand the confidentiality agreement for application reviewers.")</f>
        <v>I have read and understand the confidentiality agreement for application reviewers.</v>
      </c>
      <c r="F232" s="179" t="str">
        <f ca="1">IFERROR(__xludf.DUMMYFUNCTION("""COMPUTED_VALUE"""),"Sensible Biotechnologies")</f>
        <v>Sensible Biotechnologies</v>
      </c>
      <c r="G232" s="179" t="str">
        <f ca="1">IFERROR(__xludf.DUMMYFUNCTION("""COMPUTED_VALUE"""),"Platform that engineer cells to simply the production of mRNA, reduce the time and cost it takes, and provide higher quality. 
Biomanufacturing is a growing industry driven by the latest pandemic. ")</f>
        <v xml:space="preserve">Platform that engineer cells to simply the production of mRNA, reduce the time and cost it takes, and provide higher quality. 
Biomanufacturing is a growing industry driven by the latest pandemic. </v>
      </c>
      <c r="H232" s="179">
        <f ca="1">IFERROR(__xludf.DUMMYFUNCTION("""COMPUTED_VALUE"""),5)</f>
        <v>5</v>
      </c>
      <c r="I232" s="179">
        <f ca="1">IFERROR(__xludf.DUMMYFUNCTION("""COMPUTED_VALUE"""),4)</f>
        <v>4</v>
      </c>
      <c r="J232" s="179">
        <f ca="1">IFERROR(__xludf.DUMMYFUNCTION("""COMPUTED_VALUE"""),3)</f>
        <v>3</v>
      </c>
      <c r="K232" s="179">
        <f ca="1">IFERROR(__xludf.DUMMYFUNCTION("""COMPUTED_VALUE"""),3)</f>
        <v>3</v>
      </c>
      <c r="L232" s="179" t="str">
        <f ca="1">IFERROR(__xludf.DUMMYFUNCTION("""COMPUTED_VALUE"""),"Solution simplifies the mRNA synthesis step and its downstream purification and optimizes the yield, purity, and quality of produced mRNA via a combination of in-house high-throughput screening and computational methods. 
PoC experiments still running.
Pa"&amp;"tent filings in progress.")</f>
        <v>Solution simplifies the mRNA synthesis step and its downstream purification and optimizes the yield, purity, and quality of produced mRNA via a combination of in-house high-throughput screening and computational methods. 
PoC experiments still running.
Patent filings in progress.</v>
      </c>
      <c r="M232" s="179">
        <f ca="1">IFERROR(__xludf.DUMMYFUNCTION("""COMPUTED_VALUE"""),5)</f>
        <v>5</v>
      </c>
      <c r="N232" s="179">
        <f ca="1">IFERROR(__xludf.DUMMYFUNCTION("""COMPUTED_VALUE"""),5)</f>
        <v>5</v>
      </c>
      <c r="O232" s="179" t="str">
        <f ca="1">IFERROR(__xludf.DUMMYFUNCTION("""COMPUTED_VALUE"""),"Secured LoIs from companies that want to test the platform.
""We will serve both ends of the market. Low-end market is driven by lower costs in preventative vaccine development; our mRNA production platform can offer 10x lower production price. High-end m"&amp;"arket is driven by hard-to-produce mRNA in the areas such as immuno-oncology; we can uniquely produce mRNA with high purity and long mRNA""")</f>
        <v>Secured LoIs from companies that want to test the platform.
"We will serve both ends of the market. Low-end market is driven by lower costs in preventative vaccine development; our mRNA production platform can offer 10x lower production price. High-end market is driven by hard-to-produce mRNA in the areas such as immuno-oncology; we can uniquely produce mRNA with high purity and long mRNA"</v>
      </c>
      <c r="P232" s="179">
        <f ca="1">IFERROR(__xludf.DUMMYFUNCTION("""COMPUTED_VALUE"""),5)</f>
        <v>5</v>
      </c>
      <c r="Q232" s="179">
        <f ca="1">IFERROR(__xludf.DUMMYFUNCTION("""COMPUTED_VALUE"""),5)</f>
        <v>5</v>
      </c>
      <c r="R232" s="179">
        <f ca="1">IFERROR(__xludf.DUMMYFUNCTION("""COMPUTED_VALUE"""),5)</f>
        <v>5</v>
      </c>
      <c r="S232" s="179" t="str">
        <f ca="1">IFERROR(__xludf.DUMMYFUNCTION("""COMPUTED_VALUE"""),"Solid team with a strong vision to be the world's leading vendor of the world's best and most affordable mRNA.")</f>
        <v>Solid team with a strong vision to be the world's leading vendor of the world's best and most affordable mRNA.</v>
      </c>
      <c r="T232" s="179"/>
      <c r="U232" s="179" t="str">
        <f ca="1">IFERROR(__xludf.DUMMYFUNCTION("""COMPUTED_VALUE"""),"$1-$5M")</f>
        <v>$1-$5M</v>
      </c>
      <c r="V232" s="179">
        <f ca="1">IFERROR(__xludf.DUMMYFUNCTION("""COMPUTED_VALUE"""),5)</f>
        <v>5</v>
      </c>
      <c r="W232" s="179" t="str">
        <f ca="1">IFERROR(__xludf.DUMMYFUNCTION("""COMPUTED_VALUE"""),"Solid team with a strong PoC. Well positioned to benefit from EFL for mentorship to help scale their PoC.")</f>
        <v>Solid team with a strong PoC. Well positioned to benefit from EFL for mentorship to help scale their PoC.</v>
      </c>
    </row>
    <row r="233" spans="1:23">
      <c r="A233" s="179" t="str">
        <f ca="1">IFERROR(__xludf.DUMMYFUNCTION("""COMPUTED_VALUE"""),"R")</f>
        <v>R</v>
      </c>
      <c r="B233" s="436">
        <f ca="1">IFERROR(__xludf.DUMMYFUNCTION("""COMPUTED_VALUE"""),44794.6996987731)</f>
        <v>44794.699698773104</v>
      </c>
      <c r="C233" s="179" t="str">
        <f ca="1">IFERROR(__xludf.DUMMYFUNCTION("""COMPUTED_VALUE"""),"ns4976@stern.nyu.edu")</f>
        <v>ns4976@stern.nyu.edu</v>
      </c>
      <c r="D233" s="179" t="str">
        <f ca="1">IFERROR(__xludf.DUMMYFUNCTION("""COMPUTED_VALUE"""),"Nick Schmandt")</f>
        <v>Nick Schmandt</v>
      </c>
      <c r="E233" s="179" t="str">
        <f ca="1">IFERROR(__xludf.DUMMYFUNCTION("""COMPUTED_VALUE"""),"I have read and understand the confidentiality agreement for application reviewers.")</f>
        <v>I have read and understand the confidentiality agreement for application reviewers.</v>
      </c>
      <c r="F233" s="179" t="str">
        <f ca="1">IFERROR(__xludf.DUMMYFUNCTION("""COMPUTED_VALUE"""),"LightCode photonics")</f>
        <v>LightCode photonics</v>
      </c>
      <c r="G233" s="179" t="str">
        <f ca="1">IFERROR(__xludf.DUMMYFUNCTION("""COMPUTED_VALUE"""),"Advanced product (seems to be working) limited marketing")</f>
        <v>Advanced product (seems to be working) limited marketing</v>
      </c>
      <c r="H233" s="179">
        <f ca="1">IFERROR(__xludf.DUMMYFUNCTION("""COMPUTED_VALUE"""),5)</f>
        <v>5</v>
      </c>
      <c r="I233" s="179">
        <f ca="1">IFERROR(__xludf.DUMMYFUNCTION("""COMPUTED_VALUE"""),4)</f>
        <v>4</v>
      </c>
      <c r="J233" s="179">
        <f ca="1">IFERROR(__xludf.DUMMYFUNCTION("""COMPUTED_VALUE"""),4)</f>
        <v>4</v>
      </c>
      <c r="K233" s="179">
        <f ca="1">IFERROR(__xludf.DUMMYFUNCTION("""COMPUTED_VALUE"""),5)</f>
        <v>5</v>
      </c>
      <c r="L233" s="179" t="str">
        <f ca="1">IFERROR(__xludf.DUMMYFUNCTION("""COMPUTED_VALUE"""),"This appears to be a radically new technology, at least the way they present it. The fact that they do not have private partners so far is concerning, though, and could be a sign that they are struggling to penetrate into the private sector.")</f>
        <v>This appears to be a radically new technology, at least the way they present it. The fact that they do not have private partners so far is concerning, though, and could be a sign that they are struggling to penetrate into the private sector.</v>
      </c>
      <c r="M233" s="179">
        <f ca="1">IFERROR(__xludf.DUMMYFUNCTION("""COMPUTED_VALUE"""),5)</f>
        <v>5</v>
      </c>
      <c r="N233" s="179">
        <f ca="1">IFERROR(__xludf.DUMMYFUNCTION("""COMPUTED_VALUE"""),2)</f>
        <v>2</v>
      </c>
      <c r="O233" s="179" t="str">
        <f ca="1">IFERROR(__xludf.DUMMYFUNCTION("""COMPUTED_VALUE"""),"Addressable market is very high, but they have a very limited engagement with private enterprises so far. If the product were as novel as they say I feel that there should already be connections with these groups.")</f>
        <v>Addressable market is very high, but they have a very limited engagement with private enterprises so far. If the product were as novel as they say I feel that there should already be connections with these groups.</v>
      </c>
      <c r="P233" s="179">
        <f ca="1">IFERROR(__xludf.DUMMYFUNCTION("""COMPUTED_VALUE"""),5)</f>
        <v>5</v>
      </c>
      <c r="Q233" s="179">
        <f ca="1">IFERROR(__xludf.DUMMYFUNCTION("""COMPUTED_VALUE"""),5)</f>
        <v>5</v>
      </c>
      <c r="R233" s="179">
        <f ca="1">IFERROR(__xludf.DUMMYFUNCTION("""COMPUTED_VALUE"""),3)</f>
        <v>3</v>
      </c>
      <c r="S233" s="179" t="str">
        <f ca="1">IFERROR(__xludf.DUMMYFUNCTION("""COMPUTED_VALUE"""),"The team really knows there stuff about vision devices, but I worry that they are heavily academic and with very limited business understanding. That being said, they would likely benefit additionally from having a Stern MBA working with them.")</f>
        <v>The team really knows there stuff about vision devices, but I worry that they are heavily academic and with very limited business understanding. That being said, they would likely benefit additionally from having a Stern MBA working with them.</v>
      </c>
      <c r="T233" s="437">
        <f ca="1">IFERROR(__xludf.DUMMYFUNCTION("""COMPUTED_VALUE"""),1100000)</f>
        <v>1100000</v>
      </c>
      <c r="U233" s="179" t="str">
        <f ca="1">IFERROR(__xludf.DUMMYFUNCTION("""COMPUTED_VALUE"""),"$1-$5M")</f>
        <v>$1-$5M</v>
      </c>
      <c r="V233" s="179">
        <f ca="1">IFERROR(__xludf.DUMMYFUNCTION("""COMPUTED_VALUE"""),4)</f>
        <v>4</v>
      </c>
      <c r="W233" s="179" t="str">
        <f ca="1">IFERROR(__xludf.DUMMYFUNCTION("""COMPUTED_VALUE"""),"A really interesting idea, but some hurdles remain: why are there no paying customers already, if the price reduction is so dramatic? Also, they don't talk about reliability, using a low-resolution camera to make higher resolution images: are people reall"&amp;"y going to trust something like that for a self-driving car? Possible value here, but many questions.")</f>
        <v>A really interesting idea, but some hurdles remain: why are there no paying customers already, if the price reduction is so dramatic? Also, they don't talk about reliability, using a low-resolution camera to make higher resolution images: are people really going to trust something like that for a self-driving car? Possible value here, but many questions.</v>
      </c>
    </row>
    <row r="234" spans="1:23">
      <c r="A234" s="179" t="str">
        <f ca="1">IFERROR(__xludf.DUMMYFUNCTION("""COMPUTED_VALUE"""),"R")</f>
        <v>R</v>
      </c>
      <c r="B234" s="436">
        <f ca="1">IFERROR(__xludf.DUMMYFUNCTION("""COMPUTED_VALUE"""),44794.7200649537)</f>
        <v>44794.720064953697</v>
      </c>
      <c r="C234" s="179" t="str">
        <f ca="1">IFERROR(__xludf.DUMMYFUNCTION("""COMPUTED_VALUE"""),"ns4976@stern.nyu.edu")</f>
        <v>ns4976@stern.nyu.edu</v>
      </c>
      <c r="D234" s="179" t="str">
        <f ca="1">IFERROR(__xludf.DUMMYFUNCTION("""COMPUTED_VALUE"""),"Nick Schmandt")</f>
        <v>Nick Schmandt</v>
      </c>
      <c r="E234" s="179" t="str">
        <f ca="1">IFERROR(__xludf.DUMMYFUNCTION("""COMPUTED_VALUE"""),"I have read and understand the confidentiality agreement for application reviewers.")</f>
        <v>I have read and understand the confidentiality agreement for application reviewers.</v>
      </c>
      <c r="F234" s="179" t="str">
        <f ca="1">IFERROR(__xludf.DUMMYFUNCTION("""COMPUTED_VALUE"""),"Levi Diagnostics")</f>
        <v>Levi Diagnostics</v>
      </c>
      <c r="G234" s="179" t="str">
        <f ca="1">IFERROR(__xludf.DUMMYFUNCTION("""COMPUTED_VALUE"""),"This is a wearable drug-detecting band, that can detect various kinds of narcotics quickly and reliably. They have a working product that is currently in the process of getting approved, so they are still relatively early stage.")</f>
        <v>This is a wearable drug-detecting band, that can detect various kinds of narcotics quickly and reliably. They have a working product that is currently in the process of getting approved, so they are still relatively early stage.</v>
      </c>
      <c r="H234" s="179">
        <f ca="1">IFERROR(__xludf.DUMMYFUNCTION("""COMPUTED_VALUE"""),4)</f>
        <v>4</v>
      </c>
      <c r="I234" s="179">
        <f ca="1">IFERROR(__xludf.DUMMYFUNCTION("""COMPUTED_VALUE"""),5)</f>
        <v>5</v>
      </c>
      <c r="J234" s="179">
        <f ca="1">IFERROR(__xludf.DUMMYFUNCTION("""COMPUTED_VALUE"""),5)</f>
        <v>5</v>
      </c>
      <c r="K234" s="179">
        <f ca="1">IFERROR(__xludf.DUMMYFUNCTION("""COMPUTED_VALUE"""),4)</f>
        <v>4</v>
      </c>
      <c r="L234" s="179" t="str">
        <f ca="1">IFERROR(__xludf.DUMMYFUNCTION("""COMPUTED_VALUE"""),"Technology seems robust, though the approval remains a hurdle.")</f>
        <v>Technology seems robust, though the approval remains a hurdle.</v>
      </c>
      <c r="M234" s="179">
        <f ca="1">IFERROR(__xludf.DUMMYFUNCTION("""COMPUTED_VALUE"""),3)</f>
        <v>3</v>
      </c>
      <c r="N234" s="179">
        <f ca="1">IFERROR(__xludf.DUMMYFUNCTION("""COMPUTED_VALUE"""),3)</f>
        <v>3</v>
      </c>
      <c r="O234" s="179" t="str">
        <f ca="1">IFERROR(__xludf.DUMMYFUNCTION("""COMPUTED_VALUE"""),"They are in talks with different users but do not have firm commitments yet. The addressable market remains somewhat small.")</f>
        <v>They are in talks with different users but do not have firm commitments yet. The addressable market remains somewhat small.</v>
      </c>
      <c r="P234" s="179">
        <f ca="1">IFERROR(__xludf.DUMMYFUNCTION("""COMPUTED_VALUE"""),4)</f>
        <v>4</v>
      </c>
      <c r="Q234" s="179">
        <f ca="1">IFERROR(__xludf.DUMMYFUNCTION("""COMPUTED_VALUE"""),5)</f>
        <v>5</v>
      </c>
      <c r="R234" s="179">
        <f ca="1">IFERROR(__xludf.DUMMYFUNCTION("""COMPUTED_VALUE"""),4)</f>
        <v>4</v>
      </c>
      <c r="S234" s="179" t="str">
        <f ca="1">IFERROR(__xludf.DUMMYFUNCTION("""COMPUTED_VALUE"""),"Team is academics, unfortunately not a lot of business/startup experience.")</f>
        <v>Team is academics, unfortunately not a lot of business/startup experience.</v>
      </c>
      <c r="T234" s="437">
        <f ca="1">IFERROR(__xludf.DUMMYFUNCTION("""COMPUTED_VALUE"""),350000)</f>
        <v>350000</v>
      </c>
      <c r="U234" s="179" t="str">
        <f ca="1">IFERROR(__xludf.DUMMYFUNCTION("""COMPUTED_VALUE"""),"$1-$5M")</f>
        <v>$1-$5M</v>
      </c>
      <c r="V234" s="179">
        <f ca="1">IFERROR(__xludf.DUMMYFUNCTION("""COMPUTED_VALUE"""),4)</f>
        <v>4</v>
      </c>
      <c r="W234" s="179" t="str">
        <f ca="1">IFERROR(__xludf.DUMMYFUNCTION("""COMPUTED_VALUE"""),"It seems like they have a great product, but the lack of firm sponsorships and very low level of funds raised so far are problematic. This group will likely pick up speed once the device gets approval, and of course will fail completely if it doesn't, but"&amp;" it seems to already be far along in the process.")</f>
        <v>It seems like they have a great product, but the lack of firm sponsorships and very low level of funds raised so far are problematic. This group will likely pick up speed once the device gets approval, and of course will fail completely if it doesn't, but it seems to already be far along in the process.</v>
      </c>
    </row>
    <row r="235" spans="1:23">
      <c r="A235" s="179" t="str">
        <f ca="1">IFERROR(__xludf.DUMMYFUNCTION("""COMPUTED_VALUE"""),"R")</f>
        <v>R</v>
      </c>
      <c r="B235" s="436">
        <f ca="1">IFERROR(__xludf.DUMMYFUNCTION("""COMPUTED_VALUE"""),44794.7299983796)</f>
        <v>44794.729998379597</v>
      </c>
      <c r="C235" s="179" t="str">
        <f ca="1">IFERROR(__xludf.DUMMYFUNCTION("""COMPUTED_VALUE"""),"ns4976@stern.nyu.edu")</f>
        <v>ns4976@stern.nyu.edu</v>
      </c>
      <c r="D235" s="179" t="str">
        <f ca="1">IFERROR(__xludf.DUMMYFUNCTION("""COMPUTED_VALUE"""),"Nick Schmandt")</f>
        <v>Nick Schmandt</v>
      </c>
      <c r="E235" s="179" t="str">
        <f ca="1">IFERROR(__xludf.DUMMYFUNCTION("""COMPUTED_VALUE"""),"I have read and understand the confidentiality agreement for application reviewers.")</f>
        <v>I have read and understand the confidentiality agreement for application reviewers.</v>
      </c>
      <c r="F235" s="179" t="str">
        <f ca="1">IFERROR(__xludf.DUMMYFUNCTION("""COMPUTED_VALUE"""),"LevelFields")</f>
        <v>LevelFields</v>
      </c>
      <c r="G235" s="179" t="str">
        <f ca="1">IFERROR(__xludf.DUMMYFUNCTION("""COMPUTED_VALUE"""),"This is an automated investment research platform, using AI to parse news information into a digestable format and sophisticated interactive platform to allow users to program their trades and investment decisions.")</f>
        <v>This is an automated investment research platform, using AI to parse news information into a digestable format and sophisticated interactive platform to allow users to program their trades and investment decisions.</v>
      </c>
      <c r="H235" s="179">
        <f ca="1">IFERROR(__xludf.DUMMYFUNCTION("""COMPUTED_VALUE"""),5)</f>
        <v>5</v>
      </c>
      <c r="I235" s="179">
        <f ca="1">IFERROR(__xludf.DUMMYFUNCTION("""COMPUTED_VALUE"""),4)</f>
        <v>4</v>
      </c>
      <c r="J235" s="179">
        <f ca="1">IFERROR(__xludf.DUMMYFUNCTION("""COMPUTED_VALUE"""),3)</f>
        <v>3</v>
      </c>
      <c r="K235" s="179">
        <f ca="1">IFERROR(__xludf.DUMMYFUNCTION("""COMPUTED_VALUE"""),2)</f>
        <v>2</v>
      </c>
      <c r="L235" s="179" t="str">
        <f ca="1">IFERROR(__xludf.DUMMYFUNCTION("""COMPUTED_VALUE"""),"This is a nice platform but a very crowded field, with lots of fintech startups offering similar services.")</f>
        <v>This is a nice platform but a very crowded field, with lots of fintech startups offering similar services.</v>
      </c>
      <c r="M235" s="179">
        <f ca="1">IFERROR(__xludf.DUMMYFUNCTION("""COMPUTED_VALUE"""),5)</f>
        <v>5</v>
      </c>
      <c r="N235" s="179">
        <f ca="1">IFERROR(__xludf.DUMMYFUNCTION("""COMPUTED_VALUE"""),3)</f>
        <v>3</v>
      </c>
      <c r="O235" s="179" t="str">
        <f ca="1">IFERROR(__xludf.DUMMYFUNCTION("""COMPUTED_VALUE"""),"Addressable market is huge, but a lot of competition.")</f>
        <v>Addressable market is huge, but a lot of competition.</v>
      </c>
      <c r="P235" s="179">
        <f ca="1">IFERROR(__xludf.DUMMYFUNCTION("""COMPUTED_VALUE"""),5)</f>
        <v>5</v>
      </c>
      <c r="Q235" s="179">
        <f ca="1">IFERROR(__xludf.DUMMYFUNCTION("""COMPUTED_VALUE"""),4)</f>
        <v>4</v>
      </c>
      <c r="R235" s="179">
        <f ca="1">IFERROR(__xludf.DUMMYFUNCTION("""COMPUTED_VALUE"""),4)</f>
        <v>4</v>
      </c>
      <c r="S235" s="179" t="str">
        <f ca="1">IFERROR(__xludf.DUMMYFUNCTION("""COMPUTED_VALUE"""),"Not a lot of direct experience in the retail investment area and relatively few founders.")</f>
        <v>Not a lot of direct experience in the retail investment area and relatively few founders.</v>
      </c>
      <c r="T235" s="437">
        <f ca="1">IFERROR(__xludf.DUMMYFUNCTION("""COMPUTED_VALUE"""),480000)</f>
        <v>480000</v>
      </c>
      <c r="U235" s="179" t="str">
        <f ca="1">IFERROR(__xludf.DUMMYFUNCTION("""COMPUTED_VALUE"""),"$1-$5M")</f>
        <v>$1-$5M</v>
      </c>
      <c r="V235" s="179">
        <f ca="1">IFERROR(__xludf.DUMMYFUNCTION("""COMPUTED_VALUE"""),5)</f>
        <v>5</v>
      </c>
      <c r="W235" s="179" t="str">
        <f ca="1">IFERROR(__xludf.DUMMYFUNCTION("""COMPUTED_VALUE"""),"While there are some weaknesses in the background of the team members and the usability of the tech remains unclear, this is a very lucrative area where many other banks will be competing to offer superior products, making what they offer very valuable.")</f>
        <v>While there are some weaknesses in the background of the team members and the usability of the tech remains unclear, this is a very lucrative area where many other banks will be competing to offer superior products, making what they offer very valuable.</v>
      </c>
    </row>
    <row r="236" spans="1:23">
      <c r="A236" s="179" t="str">
        <f ca="1">IFERROR(__xludf.DUMMYFUNCTION("""COMPUTED_VALUE"""),"R")</f>
        <v>R</v>
      </c>
      <c r="B236" s="436">
        <f ca="1">IFERROR(__xludf.DUMMYFUNCTION("""COMPUTED_VALUE"""),44794.7654472916)</f>
        <v>44794.765447291597</v>
      </c>
      <c r="C236" s="179" t="str">
        <f ca="1">IFERROR(__xludf.DUMMYFUNCTION("""COMPUTED_VALUE"""),"ahmed.bahgat@stern.nyu.edu")</f>
        <v>ahmed.bahgat@stern.nyu.edu</v>
      </c>
      <c r="D236" s="179" t="str">
        <f ca="1">IFERROR(__xludf.DUMMYFUNCTION("""COMPUTED_VALUE"""),"Ahmed Bahgat")</f>
        <v>Ahmed Bahgat</v>
      </c>
      <c r="E236" s="179" t="str">
        <f ca="1">IFERROR(__xludf.DUMMYFUNCTION("""COMPUTED_VALUE"""),"I have read and understand the confidentiality agreement for application reviewers.")</f>
        <v>I have read and understand the confidentiality agreement for application reviewers.</v>
      </c>
      <c r="F236" s="179" t="str">
        <f ca="1">IFERROR(__xludf.DUMMYFUNCTION("""COMPUTED_VALUE"""),"Sensifree")</f>
        <v>Sensifree</v>
      </c>
      <c r="G236" s="179" t="str">
        <f ca="1">IFERROR(__xludf.DUMMYFUNCTION("""COMPUTED_VALUE"""),"Developed an innovative device for patient monitoring. It provides advanced, continuous hemodynamic monitoring to solve inadequate patient monitoring, providing improved patient safety, reducing complications and mortality in hospital inpatients.")</f>
        <v>Developed an innovative device for patient monitoring. It provides advanced, continuous hemodynamic monitoring to solve inadequate patient monitoring, providing improved patient safety, reducing complications and mortality in hospital inpatients.</v>
      </c>
      <c r="H236" s="179">
        <f ca="1">IFERROR(__xludf.DUMMYFUNCTION("""COMPUTED_VALUE"""),5)</f>
        <v>5</v>
      </c>
      <c r="I236" s="179">
        <f ca="1">IFERROR(__xludf.DUMMYFUNCTION("""COMPUTED_VALUE"""),5)</f>
        <v>5</v>
      </c>
      <c r="J236" s="179">
        <f ca="1">IFERROR(__xludf.DUMMYFUNCTION("""COMPUTED_VALUE"""),4)</f>
        <v>4</v>
      </c>
      <c r="K236" s="179">
        <f ca="1">IFERROR(__xludf.DUMMYFUNCTION("""COMPUTED_VALUE"""),4)</f>
        <v>4</v>
      </c>
      <c r="L236" s="179" t="str">
        <f ca="1">IFERROR(__xludf.DUMMYFUNCTION("""COMPUTED_VALUE"""),"
BP is monitored only intermittently using a cuff thus missing important events and
trends. This is important because BP is a modifiable vital sign, so clinicians can intervene as
necessary. Continuous monitoring is available, but it requires the use of a"&amp;"rterial catheter and
therefore limited in use, Very few non invasive solutions exist, however these are very
expensive and complex to use. Hence, Sensifree developed the world's first PPG (using optical sensor) based continuous BP monitoring for hospital "&amp;"use.
Regulatory clearance still pending. 
Patents pending.")</f>
        <v xml:space="preserve">
BP is monitored only intermittently using a cuff thus missing important events and
trends. This is important because BP is a modifiable vital sign, so clinicians can intervene as
necessary. Continuous monitoring is available, but it requires the use of arterial catheter and
therefore limited in use, Very few non invasive solutions exist, however these are very
expensive and complex to use. Hence, Sensifree developed the world's first PPG (using optical sensor) based continuous BP monitoring for hospital use.
Regulatory clearance still pending. 
Patents pending.</v>
      </c>
      <c r="M236" s="179">
        <f ca="1">IFERROR(__xludf.DUMMYFUNCTION("""COMPUTED_VALUE"""),5)</f>
        <v>5</v>
      </c>
      <c r="N236" s="179">
        <f ca="1">IFERROR(__xludf.DUMMYFUNCTION("""COMPUTED_VALUE"""),4)</f>
        <v>4</v>
      </c>
      <c r="O236" s="179" t="str">
        <f ca="1">IFERROR(__xludf.DUMMYFUNCTION("""COMPUTED_VALUE"""),"Running pilots with customers.")</f>
        <v>Running pilots with customers.</v>
      </c>
      <c r="P236" s="179">
        <f ca="1">IFERROR(__xludf.DUMMYFUNCTION("""COMPUTED_VALUE"""),5)</f>
        <v>5</v>
      </c>
      <c r="Q236" s="179">
        <f ca="1">IFERROR(__xludf.DUMMYFUNCTION("""COMPUTED_VALUE"""),5)</f>
        <v>5</v>
      </c>
      <c r="R236" s="179">
        <f ca="1">IFERROR(__xludf.DUMMYFUNCTION("""COMPUTED_VALUE"""),5)</f>
        <v>5</v>
      </c>
      <c r="S236" s="179" t="str">
        <f ca="1">IFERROR(__xludf.DUMMYFUNCTION("""COMPUTED_VALUE"""),"Strong team with a solid product offering. ")</f>
        <v xml:space="preserve">Strong team with a solid product offering. </v>
      </c>
      <c r="T236" s="179"/>
      <c r="U236" s="179" t="str">
        <f ca="1">IFERROR(__xludf.DUMMYFUNCTION("""COMPUTED_VALUE"""),"&gt;$5M")</f>
        <v>&gt;$5M</v>
      </c>
      <c r="V236" s="179">
        <f ca="1">IFERROR(__xludf.DUMMYFUNCTION("""COMPUTED_VALUE"""),5)</f>
        <v>5</v>
      </c>
      <c r="W236" s="179" t="str">
        <f ca="1">IFERROR(__xludf.DUMMYFUNCTION("""COMPUTED_VALUE"""),"Well positioned to benefit from EFL through refining their business model/go-to-market strategy and how best to scale once product pilot is complete.")</f>
        <v>Well positioned to benefit from EFL through refining their business model/go-to-market strategy and how best to scale once product pilot is complete.</v>
      </c>
    </row>
    <row r="237" spans="1:23">
      <c r="A237" s="179" t="str">
        <f ca="1">IFERROR(__xludf.DUMMYFUNCTION("""COMPUTED_VALUE"""),"R")</f>
        <v>R</v>
      </c>
      <c r="B237" s="436">
        <f ca="1">IFERROR(__xludf.DUMMYFUNCTION("""COMPUTED_VALUE"""),44794.9364086689)</f>
        <v>44794.936408668902</v>
      </c>
      <c r="C237" s="179" t="str">
        <f ca="1">IFERROR(__xludf.DUMMYFUNCTION("""COMPUTED_VALUE"""),"ns4976@stern.nyu.edu")</f>
        <v>ns4976@stern.nyu.edu</v>
      </c>
      <c r="D237" s="179" t="str">
        <f ca="1">IFERROR(__xludf.DUMMYFUNCTION("""COMPUTED_VALUE"""),"Nick Schmandt")</f>
        <v>Nick Schmandt</v>
      </c>
      <c r="E237" s="179" t="str">
        <f ca="1">IFERROR(__xludf.DUMMYFUNCTION("""COMPUTED_VALUE"""),"I have read and understand the confidentiality agreement for application reviewers.")</f>
        <v>I have read and understand the confidentiality agreement for application reviewers.</v>
      </c>
      <c r="F237" s="179" t="str">
        <f ca="1">IFERROR(__xludf.DUMMYFUNCTION("""COMPUTED_VALUE"""),"IX Swap")</f>
        <v>IX Swap</v>
      </c>
      <c r="G237" s="179" t="str">
        <f ca="1">IFERROR(__xludf.DUMMYFUNCTION("""COMPUTED_VALUE"""),"This is designed to manage investments in crypto and NFT products, with the advantage of investing in high-return but also highly liquid financial products.")</f>
        <v>This is designed to manage investments in crypto and NFT products, with the advantage of investing in high-return but also highly liquid financial products.</v>
      </c>
      <c r="H237" s="179">
        <f ca="1">IFERROR(__xludf.DUMMYFUNCTION("""COMPUTED_VALUE"""),3)</f>
        <v>3</v>
      </c>
      <c r="I237" s="179">
        <f ca="1">IFERROR(__xludf.DUMMYFUNCTION("""COMPUTED_VALUE"""),3)</f>
        <v>3</v>
      </c>
      <c r="J237" s="179">
        <f ca="1">IFERROR(__xludf.DUMMYFUNCTION("""COMPUTED_VALUE"""),5)</f>
        <v>5</v>
      </c>
      <c r="K237" s="179">
        <f ca="1">IFERROR(__xludf.DUMMYFUNCTION("""COMPUTED_VALUE"""),3)</f>
        <v>3</v>
      </c>
      <c r="L237" s="179" t="str">
        <f ca="1">IFERROR(__xludf.DUMMYFUNCTION("""COMPUTED_VALUE"""),"Their platform works but there are many competitors.")</f>
        <v>Their platform works but there are many competitors.</v>
      </c>
      <c r="M237" s="179">
        <f ca="1">IFERROR(__xludf.DUMMYFUNCTION("""COMPUTED_VALUE"""),4)</f>
        <v>4</v>
      </c>
      <c r="N237" s="179">
        <f ca="1">IFERROR(__xludf.DUMMYFUNCTION("""COMPUTED_VALUE"""),3)</f>
        <v>3</v>
      </c>
      <c r="O237" s="179" t="str">
        <f ca="1">IFERROR(__xludf.DUMMYFUNCTION("""COMPUTED_VALUE"""),"Potentially large but they will struggle in a bear market.")</f>
        <v>Potentially large but they will struggle in a bear market.</v>
      </c>
      <c r="P237" s="179">
        <f ca="1">IFERROR(__xludf.DUMMYFUNCTION("""COMPUTED_VALUE"""),4)</f>
        <v>4</v>
      </c>
      <c r="Q237" s="179">
        <f ca="1">IFERROR(__xludf.DUMMYFUNCTION("""COMPUTED_VALUE"""),3)</f>
        <v>3</v>
      </c>
      <c r="R237" s="179">
        <f ca="1">IFERROR(__xludf.DUMMYFUNCTION("""COMPUTED_VALUE"""),4)</f>
        <v>4</v>
      </c>
      <c r="S237" s="179" t="str">
        <f ca="1">IFERROR(__xludf.DUMMYFUNCTION("""COMPUTED_VALUE"""),"Team has plenty of blockchain experience")</f>
        <v>Team has plenty of blockchain experience</v>
      </c>
      <c r="T237" s="437">
        <f ca="1">IFERROR(__xludf.DUMMYFUNCTION("""COMPUTED_VALUE"""),2750000)</f>
        <v>2750000</v>
      </c>
      <c r="U237" s="179" t="str">
        <f ca="1">IFERROR(__xludf.DUMMYFUNCTION("""COMPUTED_VALUE"""),"$1-$5M")</f>
        <v>$1-$5M</v>
      </c>
      <c r="V237" s="179">
        <f ca="1">IFERROR(__xludf.DUMMYFUNCTION("""COMPUTED_VALUE"""),3)</f>
        <v>3</v>
      </c>
      <c r="W237" s="179" t="str">
        <f ca="1">IFERROR(__xludf.DUMMYFUNCTION("""COMPUTED_VALUE"""),"Cool product, but intensively competitive area and will likely struggle to maintain growth over the next year as markets go down.")</f>
        <v>Cool product, but intensively competitive area and will likely struggle to maintain growth over the next year as markets go down.</v>
      </c>
    </row>
    <row r="238" spans="1:23">
      <c r="A238" s="179" t="str">
        <f ca="1">IFERROR(__xludf.DUMMYFUNCTION("""COMPUTED_VALUE"""),"R")</f>
        <v>R</v>
      </c>
      <c r="B238" s="436">
        <f ca="1">IFERROR(__xludf.DUMMYFUNCTION("""COMPUTED_VALUE"""),44794.9447722337)</f>
        <v>44794.944772233699</v>
      </c>
      <c r="C238" s="179" t="str">
        <f ca="1">IFERROR(__xludf.DUMMYFUNCTION("""COMPUTED_VALUE"""),"ns4976@stern.nyu.edu")</f>
        <v>ns4976@stern.nyu.edu</v>
      </c>
      <c r="D238" s="179" t="str">
        <f ca="1">IFERROR(__xludf.DUMMYFUNCTION("""COMPUTED_VALUE"""),"Nick Schmandt")</f>
        <v>Nick Schmandt</v>
      </c>
      <c r="E238" s="179" t="str">
        <f ca="1">IFERROR(__xludf.DUMMYFUNCTION("""COMPUTED_VALUE"""),"I have read and understand the confidentiality agreement for application reviewers.")</f>
        <v>I have read and understand the confidentiality agreement for application reviewers.</v>
      </c>
      <c r="F238" s="179" t="str">
        <f ca="1">IFERROR(__xludf.DUMMYFUNCTION("""COMPUTED_VALUE"""),"invVax")</f>
        <v>invVax</v>
      </c>
      <c r="G238" s="179" t="str">
        <f ca="1">IFERROR(__xludf.DUMMYFUNCTION("""COMPUTED_VALUE"""),"They claim to have a platform that can predict viral mutations and therefore identify the ones that are immutable and target those with a vaccine. It's a good idea, but they are very early on in the process, and have not begun phase 1 trials yet.")</f>
        <v>They claim to have a platform that can predict viral mutations and therefore identify the ones that are immutable and target those with a vaccine. It's a good idea, but they are very early on in the process, and have not begun phase 1 trials yet.</v>
      </c>
      <c r="H238" s="179">
        <f ca="1">IFERROR(__xludf.DUMMYFUNCTION("""COMPUTED_VALUE"""),5)</f>
        <v>5</v>
      </c>
      <c r="I238" s="179">
        <f ca="1">IFERROR(__xludf.DUMMYFUNCTION("""COMPUTED_VALUE"""),5)</f>
        <v>5</v>
      </c>
      <c r="J238" s="179">
        <f ca="1">IFERROR(__xludf.DUMMYFUNCTION("""COMPUTED_VALUE"""),3)</f>
        <v>3</v>
      </c>
      <c r="K238" s="179">
        <f ca="1">IFERROR(__xludf.DUMMYFUNCTION("""COMPUTED_VALUE"""),5)</f>
        <v>5</v>
      </c>
      <c r="L238" s="179" t="str">
        <f ca="1">IFERROR(__xludf.DUMMYFUNCTION("""COMPUTED_VALUE"""),"It is early in the clinical trial process.")</f>
        <v>It is early in the clinical trial process.</v>
      </c>
      <c r="M238" s="179">
        <f ca="1">IFERROR(__xludf.DUMMYFUNCTION("""COMPUTED_VALUE"""),4)</f>
        <v>4</v>
      </c>
      <c r="N238" s="179">
        <f ca="1">IFERROR(__xludf.DUMMYFUNCTION("""COMPUTED_VALUE"""),1)</f>
        <v>1</v>
      </c>
      <c r="O238" s="179" t="str">
        <f ca="1">IFERROR(__xludf.DUMMYFUNCTION("""COMPUTED_VALUE"""),"Again, it's all about the clinical trials")</f>
        <v>Again, it's all about the clinical trials</v>
      </c>
      <c r="P238" s="179">
        <f ca="1">IFERROR(__xludf.DUMMYFUNCTION("""COMPUTED_VALUE"""),5)</f>
        <v>5</v>
      </c>
      <c r="Q238" s="179">
        <f ca="1">IFERROR(__xludf.DUMMYFUNCTION("""COMPUTED_VALUE"""),5)</f>
        <v>5</v>
      </c>
      <c r="R238" s="179">
        <f ca="1">IFERROR(__xludf.DUMMYFUNCTION("""COMPUTED_VALUE"""),3)</f>
        <v>3</v>
      </c>
      <c r="S238" s="179" t="str">
        <f ca="1">IFERROR(__xludf.DUMMYFUNCTION("""COMPUTED_VALUE"""),"CEO has no experience outside academia.")</f>
        <v>CEO has no experience outside academia.</v>
      </c>
      <c r="T238" s="437">
        <f ca="1">IFERROR(__xludf.DUMMYFUNCTION("""COMPUTED_VALUE"""),3450000)</f>
        <v>3450000</v>
      </c>
      <c r="U238" s="179" t="str">
        <f ca="1">IFERROR(__xludf.DUMMYFUNCTION("""COMPUTED_VALUE"""),"&gt;$5M")</f>
        <v>&gt;$5M</v>
      </c>
      <c r="V238" s="179">
        <f ca="1">IFERROR(__xludf.DUMMYFUNCTION("""COMPUTED_VALUE"""),4)</f>
        <v>4</v>
      </c>
      <c r="W238" s="179" t="str">
        <f ca="1">IFERROR(__xludf.DUMMYFUNCTION("""COMPUTED_VALUE"""),"This could be a groundbreaking way to make more effective vaccines, but it will have to survive clinical trials.")</f>
        <v>This could be a groundbreaking way to make more effective vaccines, but it will have to survive clinical trials.</v>
      </c>
    </row>
    <row r="239" spans="1:23">
      <c r="A239" s="179" t="str">
        <f ca="1">IFERROR(__xludf.DUMMYFUNCTION("""COMPUTED_VALUE"""),"R")</f>
        <v>R</v>
      </c>
      <c r="B239" s="436">
        <f ca="1">IFERROR(__xludf.DUMMYFUNCTION("""COMPUTED_VALUE"""),44794.9622900347)</f>
        <v>44794.962290034702</v>
      </c>
      <c r="C239" s="179" t="str">
        <f ca="1">IFERROR(__xludf.DUMMYFUNCTION("""COMPUTED_VALUE"""),"ns4976@stern.nyu.edu")</f>
        <v>ns4976@stern.nyu.edu</v>
      </c>
      <c r="D239" s="179" t="str">
        <f ca="1">IFERROR(__xludf.DUMMYFUNCTION("""COMPUTED_VALUE"""),"Nick Schmandt")</f>
        <v>Nick Schmandt</v>
      </c>
      <c r="E239" s="179" t="str">
        <f ca="1">IFERROR(__xludf.DUMMYFUNCTION("""COMPUTED_VALUE"""),"I have read and understand the confidentiality agreement for application reviewers.")</f>
        <v>I have read and understand the confidentiality agreement for application reviewers.</v>
      </c>
      <c r="F239" s="179" t="str">
        <f ca="1">IFERROR(__xludf.DUMMYFUNCTION("""COMPUTED_VALUE"""),"Ingenii")</f>
        <v>Ingenii</v>
      </c>
      <c r="G239" s="179" t="str">
        <f ca="1">IFERROR(__xludf.DUMMYFUNCTION("""COMPUTED_VALUE"""),"They have a platform up and running, seems to work well and be truly innovative.")</f>
        <v>They have a platform up and running, seems to work well and be truly innovative.</v>
      </c>
      <c r="H239" s="179">
        <f ca="1">IFERROR(__xludf.DUMMYFUNCTION("""COMPUTED_VALUE"""),3)</f>
        <v>3</v>
      </c>
      <c r="I239" s="179">
        <f ca="1">IFERROR(__xludf.DUMMYFUNCTION("""COMPUTED_VALUE"""),5)</f>
        <v>5</v>
      </c>
      <c r="J239" s="179">
        <f ca="1">IFERROR(__xludf.DUMMYFUNCTION("""COMPUTED_VALUE"""),4)</f>
        <v>4</v>
      </c>
      <c r="K239" s="179">
        <f ca="1">IFERROR(__xludf.DUMMYFUNCTION("""COMPUTED_VALUE"""),4)</f>
        <v>4</v>
      </c>
      <c r="L239" s="179" t="str">
        <f ca="1">IFERROR(__xludf.DUMMYFUNCTION("""COMPUTED_VALUE"""),"Cool idea, but I don't understand why they are limiting themselves to biology, unless either this tech is readily available to other sectors.")</f>
        <v>Cool idea, but I don't understand why they are limiting themselves to biology, unless either this tech is readily available to other sectors.</v>
      </c>
      <c r="M239" s="179">
        <f ca="1">IFERROR(__xludf.DUMMYFUNCTION("""COMPUTED_VALUE"""),2)</f>
        <v>2</v>
      </c>
      <c r="N239" s="179">
        <f ca="1">IFERROR(__xludf.DUMMYFUNCTION("""COMPUTED_VALUE"""),3)</f>
        <v>3</v>
      </c>
      <c r="O239" s="179" t="str">
        <f ca="1">IFERROR(__xludf.DUMMYFUNCTION("""COMPUTED_VALUE"""),"Limiting themselves to biology greatly limits the available market for quantum computing.")</f>
        <v>Limiting themselves to biology greatly limits the available market for quantum computing.</v>
      </c>
      <c r="P239" s="179">
        <f ca="1">IFERROR(__xludf.DUMMYFUNCTION("""COMPUTED_VALUE"""),3)</f>
        <v>3</v>
      </c>
      <c r="Q239" s="179">
        <f ca="1">IFERROR(__xludf.DUMMYFUNCTION("""COMPUTED_VALUE"""),5)</f>
        <v>5</v>
      </c>
      <c r="R239" s="179">
        <f ca="1">IFERROR(__xludf.DUMMYFUNCTION("""COMPUTED_VALUE"""),2)</f>
        <v>2</v>
      </c>
      <c r="S239" s="179" t="str">
        <f ca="1">IFERROR(__xludf.DUMMYFUNCTION("""COMPUTED_VALUE"""),"Neither has experience directly in this area. Also, the two founders are in a relationship.")</f>
        <v>Neither has experience directly in this area. Also, the two founders are in a relationship.</v>
      </c>
      <c r="T239" s="437">
        <f ca="1">IFERROR(__xludf.DUMMYFUNCTION("""COMPUTED_VALUE"""),115000)</f>
        <v>115000</v>
      </c>
      <c r="U239" s="179" t="str">
        <f ca="1">IFERROR(__xludf.DUMMYFUNCTION("""COMPUTED_VALUE"""),"$1-$5M")</f>
        <v>$1-$5M</v>
      </c>
      <c r="V239" s="179">
        <f ca="1">IFERROR(__xludf.DUMMYFUNCTION("""COMPUTED_VALUE"""),2)</f>
        <v>2</v>
      </c>
      <c r="W239" s="179" t="str">
        <f ca="1">IFERROR(__xludf.DUMMYFUNCTION("""COMPUTED_VALUE"""),"Adressable market is very limited, and the entire team is two people who are in a relationship.")</f>
        <v>Adressable market is very limited, and the entire team is two people who are in a relationship.</v>
      </c>
    </row>
    <row r="240" spans="1:23">
      <c r="A240" s="179" t="str">
        <f ca="1">IFERROR(__xludf.DUMMYFUNCTION("""COMPUTED_VALUE"""),"R")</f>
        <v>R</v>
      </c>
      <c r="B240" s="436">
        <f ca="1">IFERROR(__xludf.DUMMYFUNCTION("""COMPUTED_VALUE"""),44794.969714155)</f>
        <v>44794.969714154999</v>
      </c>
      <c r="C240" s="179" t="str">
        <f ca="1">IFERROR(__xludf.DUMMYFUNCTION("""COMPUTED_VALUE"""),"jason.yu.1@stern.nyu.edu")</f>
        <v>jason.yu.1@stern.nyu.edu</v>
      </c>
      <c r="D240" s="179" t="str">
        <f ca="1">IFERROR(__xludf.DUMMYFUNCTION("""COMPUTED_VALUE"""),"Jason Yu")</f>
        <v>Jason Yu</v>
      </c>
      <c r="E240" s="179" t="str">
        <f ca="1">IFERROR(__xludf.DUMMYFUNCTION("""COMPUTED_VALUE"""),"I have read and understand the confidentiality agreement for application reviewers.")</f>
        <v>I have read and understand the confidentiality agreement for application reviewers.</v>
      </c>
      <c r="F240" s="179" t="str">
        <f ca="1">IFERROR(__xludf.DUMMYFUNCTION("""COMPUTED_VALUE"""),"Rockland Technimed limited")</f>
        <v>Rockland Technimed limited</v>
      </c>
      <c r="G240" s="179" t="str">
        <f ca="1">IFERROR(__xludf.DUMMYFUNCTION("""COMPUTED_VALUE"""),"Early diagnosis and treatment of hypoxia or ischemia injury through Oxy17FusionTM / Healthcare / ")</f>
        <v xml:space="preserve">Early diagnosis and treatment of hypoxia or ischemia injury through Oxy17FusionTM / Healthcare / </v>
      </c>
      <c r="H240" s="179">
        <f ca="1">IFERROR(__xludf.DUMMYFUNCTION("""COMPUTED_VALUE"""),4)</f>
        <v>4</v>
      </c>
      <c r="I240" s="179">
        <f ca="1">IFERROR(__xludf.DUMMYFUNCTION("""COMPUTED_VALUE"""),4)</f>
        <v>4</v>
      </c>
      <c r="J240" s="179">
        <f ca="1">IFERROR(__xludf.DUMMYFUNCTION("""COMPUTED_VALUE"""),4)</f>
        <v>4</v>
      </c>
      <c r="K240" s="179">
        <f ca="1">IFERROR(__xludf.DUMMYFUNCTION("""COMPUTED_VALUE"""),4)</f>
        <v>4</v>
      </c>
      <c r="L240" s="179" t="str">
        <f ca="1">IFERROR(__xludf.DUMMYFUNCTION("""COMPUTED_VALUE"""),"About to begin their Clinical Development program.")</f>
        <v>About to begin their Clinical Development program.</v>
      </c>
      <c r="M240" s="179">
        <f ca="1">IFERROR(__xludf.DUMMYFUNCTION("""COMPUTED_VALUE"""),4)</f>
        <v>4</v>
      </c>
      <c r="N240" s="179">
        <f ca="1">IFERROR(__xludf.DUMMYFUNCTION("""COMPUTED_VALUE"""),1)</f>
        <v>1</v>
      </c>
      <c r="O240" s="179" t="str">
        <f ca="1">IFERROR(__xludf.DUMMYFUNCTION("""COMPUTED_VALUE"""),"Total Market (TM) [US-only] |A $1.1B opportunity |(+$550M undiagnosed)")</f>
        <v>Total Market (TM) [US-only] |A $1.1B opportunity |(+$550M undiagnosed)</v>
      </c>
      <c r="P240" s="179">
        <f ca="1">IFERROR(__xludf.DUMMYFUNCTION("""COMPUTED_VALUE"""),3)</f>
        <v>3</v>
      </c>
      <c r="Q240" s="179">
        <f ca="1">IFERROR(__xludf.DUMMYFUNCTION("""COMPUTED_VALUE"""),4)</f>
        <v>4</v>
      </c>
      <c r="R240" s="179">
        <f ca="1">IFERROR(__xludf.DUMMYFUNCTION("""COMPUTED_VALUE"""),4)</f>
        <v>4</v>
      </c>
      <c r="S240" s="179"/>
      <c r="T240" s="437">
        <f ca="1">IFERROR(__xludf.DUMMYFUNCTION("""COMPUTED_VALUE"""),3730000)</f>
        <v>3730000</v>
      </c>
      <c r="U240" s="179" t="str">
        <f ca="1">IFERROR(__xludf.DUMMYFUNCTION("""COMPUTED_VALUE"""),"&gt;$5M")</f>
        <v>&gt;$5M</v>
      </c>
      <c r="V240" s="179">
        <f ca="1">IFERROR(__xludf.DUMMYFUNCTION("""COMPUTED_VALUE"""),4)</f>
        <v>4</v>
      </c>
      <c r="W240" s="179" t="str">
        <f ca="1">IFERROR(__xludf.DUMMYFUNCTION("""COMPUTED_VALUE"""),"There is only PET or nuclear-based metabolic assessment available today. This limits the
availability of the assessment in a timely manner due to logistics and radiation risk.|By using an already installed MRI scanner and our Oxy17Fusion medium we can do "&amp;"two things|1. Rapid assessment of the location and status of tissue status|2. Simultaneously provide the needed Oxygen to Oxygen starved tissue due to the episode")</f>
        <v>There is only PET or nuclear-based metabolic assessment available today. This limits the
availability of the assessment in a timely manner due to logistics and radiation risk.|By using an already installed MRI scanner and our Oxy17Fusion medium we can do two things|1. Rapid assessment of the location and status of tissue status|2. Simultaneously provide the needed Oxygen to Oxygen starved tissue due to the episode</v>
      </c>
    </row>
    <row r="241" spans="1:23">
      <c r="A241" s="179" t="str">
        <f ca="1">IFERROR(__xludf.DUMMYFUNCTION("""COMPUTED_VALUE"""),"R")</f>
        <v>R</v>
      </c>
      <c r="B241" s="436">
        <f ca="1">IFERROR(__xludf.DUMMYFUNCTION("""COMPUTED_VALUE"""),44794.9744377314)</f>
        <v>44794.974437731398</v>
      </c>
      <c r="C241" s="179" t="str">
        <f ca="1">IFERROR(__xludf.DUMMYFUNCTION("""COMPUTED_VALUE"""),"jason.yu.1@stern.nyu.edu")</f>
        <v>jason.yu.1@stern.nyu.edu</v>
      </c>
      <c r="D241" s="179" t="str">
        <f ca="1">IFERROR(__xludf.DUMMYFUNCTION("""COMPUTED_VALUE"""),"Jason Yu")</f>
        <v>Jason Yu</v>
      </c>
      <c r="E241" s="179" t="str">
        <f ca="1">IFERROR(__xludf.DUMMYFUNCTION("""COMPUTED_VALUE"""),"I have read and understand the confidentiality agreement for application reviewers.")</f>
        <v>I have read and understand the confidentiality agreement for application reviewers.</v>
      </c>
      <c r="F241" s="179" t="str">
        <f ca="1">IFERROR(__xludf.DUMMYFUNCTION("""COMPUTED_VALUE"""),"Veyond Metaverse, Inc")</f>
        <v>Veyond Metaverse, Inc</v>
      </c>
      <c r="G241" s="179" t="str">
        <f ca="1">IFERROR(__xludf.DUMMYFUNCTION("""COMPUTED_VALUE"""),"Fully immersive real-time metaverse communication platform / Healthcare / Seed")</f>
        <v>Fully immersive real-time metaverse communication platform / Healthcare / Seed</v>
      </c>
      <c r="H241" s="179">
        <f ca="1">IFERROR(__xludf.DUMMYFUNCTION("""COMPUTED_VALUE"""),3)</f>
        <v>3</v>
      </c>
      <c r="I241" s="179">
        <f ca="1">IFERROR(__xludf.DUMMYFUNCTION("""COMPUTED_VALUE"""),2)</f>
        <v>2</v>
      </c>
      <c r="J241" s="179">
        <f ca="1">IFERROR(__xludf.DUMMYFUNCTION("""COMPUTED_VALUE"""),3)</f>
        <v>3</v>
      </c>
      <c r="K241" s="179">
        <f ca="1">IFERROR(__xludf.DUMMYFUNCTION("""COMPUTED_VALUE"""),2)</f>
        <v>2</v>
      </c>
      <c r="L241" s="179"/>
      <c r="M241" s="179">
        <f ca="1">IFERROR(__xludf.DUMMYFUNCTION("""COMPUTED_VALUE"""),3)</f>
        <v>3</v>
      </c>
      <c r="N241" s="179">
        <f ca="1">IFERROR(__xludf.DUMMYFUNCTION("""COMPUTED_VALUE"""),1)</f>
        <v>1</v>
      </c>
      <c r="O241" s="179"/>
      <c r="P241" s="179">
        <f ca="1">IFERROR(__xludf.DUMMYFUNCTION("""COMPUTED_VALUE"""),2)</f>
        <v>2</v>
      </c>
      <c r="Q241" s="179">
        <f ca="1">IFERROR(__xludf.DUMMYFUNCTION("""COMPUTED_VALUE"""),4)</f>
        <v>4</v>
      </c>
      <c r="R241" s="179">
        <f ca="1">IFERROR(__xludf.DUMMYFUNCTION("""COMPUTED_VALUE"""),4)</f>
        <v>4</v>
      </c>
      <c r="S241" s="179"/>
      <c r="T241" s="437">
        <f ca="1">IFERROR(__xludf.DUMMYFUNCTION("""COMPUTED_VALUE"""),3000000)</f>
        <v>3000000</v>
      </c>
      <c r="U241" s="179" t="str">
        <f ca="1">IFERROR(__xludf.DUMMYFUNCTION("""COMPUTED_VALUE"""),"&gt;$5M")</f>
        <v>&gt;$5M</v>
      </c>
      <c r="V241" s="179">
        <f ca="1">IFERROR(__xludf.DUMMYFUNCTION("""COMPUTED_VALUE"""),2)</f>
        <v>2</v>
      </c>
      <c r="W241" s="179" t="str">
        <f ca="1">IFERROR(__xludf.DUMMYFUNCTION("""COMPUTED_VALUE"""),"Application was unclear")</f>
        <v>Application was unclear</v>
      </c>
    </row>
    <row r="242" spans="1:23">
      <c r="A242" s="179" t="str">
        <f ca="1">IFERROR(__xludf.DUMMYFUNCTION("""COMPUTED_VALUE"""),"R")</f>
        <v>R</v>
      </c>
      <c r="B242" s="436">
        <f ca="1">IFERROR(__xludf.DUMMYFUNCTION("""COMPUTED_VALUE"""),44794.9771323263)</f>
        <v>44794.977132326298</v>
      </c>
      <c r="C242" s="179" t="str">
        <f ca="1">IFERROR(__xludf.DUMMYFUNCTION("""COMPUTED_VALUE"""),"jason.yu.1@stern.nyu.edu")</f>
        <v>jason.yu.1@stern.nyu.edu</v>
      </c>
      <c r="D242" s="179" t="str">
        <f ca="1">IFERROR(__xludf.DUMMYFUNCTION("""COMPUTED_VALUE"""),"Jason Yu")</f>
        <v>Jason Yu</v>
      </c>
      <c r="E242" s="179" t="str">
        <f ca="1">IFERROR(__xludf.DUMMYFUNCTION("""COMPUTED_VALUE"""),"I have read and understand the confidentiality agreement for application reviewers.")</f>
        <v>I have read and understand the confidentiality agreement for application reviewers.</v>
      </c>
      <c r="F242" s="179" t="str">
        <f ca="1">IFERROR(__xludf.DUMMYFUNCTION("""COMPUTED_VALUE"""),"Viridian Space Corporation")</f>
        <v>Viridian Space Corporation</v>
      </c>
      <c r="G242" s="179" t="str">
        <f ca="1">IFERROR(__xludf.DUMMYFUNCTION("""COMPUTED_VALUE"""),"Reusable satellites / Aerospace / Pre-seed")</f>
        <v>Reusable satellites / Aerospace / Pre-seed</v>
      </c>
      <c r="H242" s="179">
        <f ca="1">IFERROR(__xludf.DUMMYFUNCTION("""COMPUTED_VALUE"""),4)</f>
        <v>4</v>
      </c>
      <c r="I242" s="179">
        <f ca="1">IFERROR(__xludf.DUMMYFUNCTION("""COMPUTED_VALUE"""),4)</f>
        <v>4</v>
      </c>
      <c r="J242" s="179">
        <f ca="1">IFERROR(__xludf.DUMMYFUNCTION("""COMPUTED_VALUE"""),2)</f>
        <v>2</v>
      </c>
      <c r="K242" s="179">
        <f ca="1">IFERROR(__xludf.DUMMYFUNCTION("""COMPUTED_VALUE"""),3)</f>
        <v>3</v>
      </c>
      <c r="L242" s="179" t="str">
        <f ca="1">IFERROR(__xludf.DUMMYFUNCTION("""COMPUTED_VALUE"""),"Full patent is progress. Only analytical and numerical simulations of the system.")</f>
        <v>Full patent is progress. Only analytical and numerical simulations of the system.</v>
      </c>
      <c r="M242" s="179">
        <f ca="1">IFERROR(__xludf.DUMMYFUNCTION("""COMPUTED_VALUE"""),4)</f>
        <v>4</v>
      </c>
      <c r="N242" s="179">
        <f ca="1">IFERROR(__xludf.DUMMYFUNCTION("""COMPUTED_VALUE"""),2)</f>
        <v>2</v>
      </c>
      <c r="O242" s="179"/>
      <c r="P242" s="179">
        <f ca="1">IFERROR(__xludf.DUMMYFUNCTION("""COMPUTED_VALUE"""),4)</f>
        <v>4</v>
      </c>
      <c r="Q242" s="179">
        <f ca="1">IFERROR(__xludf.DUMMYFUNCTION("""COMPUTED_VALUE"""),4)</f>
        <v>4</v>
      </c>
      <c r="R242" s="179">
        <f ca="1">IFERROR(__xludf.DUMMYFUNCTION("""COMPUTED_VALUE"""),5)</f>
        <v>5</v>
      </c>
      <c r="S242" s="179"/>
      <c r="T242" s="437">
        <f ca="1">IFERROR(__xludf.DUMMYFUNCTION("""COMPUTED_VALUE"""),2000000)</f>
        <v>2000000</v>
      </c>
      <c r="U242" s="179" t="str">
        <f ca="1">IFERROR(__xludf.DUMMYFUNCTION("""COMPUTED_VALUE"""),"&gt;$5M")</f>
        <v>&gt;$5M</v>
      </c>
      <c r="V242" s="179">
        <f ca="1">IFERROR(__xludf.DUMMYFUNCTION("""COMPUTED_VALUE"""),3)</f>
        <v>3</v>
      </c>
      <c r="W242" s="179" t="str">
        <f ca="1">IFERROR(__xludf.DUMMYFUNCTION("""COMPUTED_VALUE"""),"The biggest obstacle is technical. No one has demonstrated a successful version of this
technology.")</f>
        <v>The biggest obstacle is technical. No one has demonstrated a successful version of this
technology.</v>
      </c>
    </row>
    <row r="243" spans="1:23">
      <c r="A243" s="179" t="str">
        <f ca="1">IFERROR(__xludf.DUMMYFUNCTION("""COMPUTED_VALUE"""),"R")</f>
        <v>R</v>
      </c>
      <c r="B243" s="436">
        <f ca="1">IFERROR(__xludf.DUMMYFUNCTION("""COMPUTED_VALUE"""),44794.9800701967)</f>
        <v>44794.980070196703</v>
      </c>
      <c r="C243" s="179" t="str">
        <f ca="1">IFERROR(__xludf.DUMMYFUNCTION("""COMPUTED_VALUE"""),"jason.yu.1@stern.nyu.edu")</f>
        <v>jason.yu.1@stern.nyu.edu</v>
      </c>
      <c r="D243" s="179" t="str">
        <f ca="1">IFERROR(__xludf.DUMMYFUNCTION("""COMPUTED_VALUE"""),"Jason Yu")</f>
        <v>Jason Yu</v>
      </c>
      <c r="E243" s="179" t="str">
        <f ca="1">IFERROR(__xludf.DUMMYFUNCTION("""COMPUTED_VALUE"""),"I have read and understand the confidentiality agreement for application reviewers.")</f>
        <v>I have read and understand the confidentiality agreement for application reviewers.</v>
      </c>
      <c r="F243" s="179" t="str">
        <f ca="1">IFERROR(__xludf.DUMMYFUNCTION("""COMPUTED_VALUE"""),"White Rock Therapeutics")</f>
        <v>White Rock Therapeutics</v>
      </c>
      <c r="G243" s="179" t="str">
        <f ca="1">IFERROR(__xludf.DUMMYFUNCTION("""COMPUTED_VALUE"""),"Inhalable pan-coronavirus prophylactic / Healthcare / Pre-seed")</f>
        <v>Inhalable pan-coronavirus prophylactic / Healthcare / Pre-seed</v>
      </c>
      <c r="H243" s="179">
        <f ca="1">IFERROR(__xludf.DUMMYFUNCTION("""COMPUTED_VALUE"""),5)</f>
        <v>5</v>
      </c>
      <c r="I243" s="179">
        <f ca="1">IFERROR(__xludf.DUMMYFUNCTION("""COMPUTED_VALUE"""),4)</f>
        <v>4</v>
      </c>
      <c r="J243" s="179">
        <f ca="1">IFERROR(__xludf.DUMMYFUNCTION("""COMPUTED_VALUE"""),3)</f>
        <v>3</v>
      </c>
      <c r="K243" s="179">
        <f ca="1">IFERROR(__xludf.DUMMYFUNCTION("""COMPUTED_VALUE"""),4)</f>
        <v>4</v>
      </c>
      <c r="L243" s="179" t="str">
        <f ca="1">IFERROR(__xludf.DUMMYFUNCTION("""COMPUTED_VALUE"""),"Validated the efficacy of our decoy receptor in virus challenge experiments in a mouse model of infection.")</f>
        <v>Validated the efficacy of our decoy receptor in virus challenge experiments in a mouse model of infection.</v>
      </c>
      <c r="M243" s="179">
        <f ca="1">IFERROR(__xludf.DUMMYFUNCTION("""COMPUTED_VALUE"""),5)</f>
        <v>5</v>
      </c>
      <c r="N243" s="179">
        <f ca="1">IFERROR(__xludf.DUMMYFUNCTION("""COMPUTED_VALUE"""),1)</f>
        <v>1</v>
      </c>
      <c r="O243" s="179"/>
      <c r="P243" s="179">
        <f ca="1">IFERROR(__xludf.DUMMYFUNCTION("""COMPUTED_VALUE"""),3)</f>
        <v>3</v>
      </c>
      <c r="Q243" s="179">
        <f ca="1">IFERROR(__xludf.DUMMYFUNCTION("""COMPUTED_VALUE"""),5)</f>
        <v>5</v>
      </c>
      <c r="R243" s="179">
        <f ca="1">IFERROR(__xludf.DUMMYFUNCTION("""COMPUTED_VALUE"""),5)</f>
        <v>5</v>
      </c>
      <c r="S243" s="179"/>
      <c r="T243" s="437">
        <f ca="1">IFERROR(__xludf.DUMMYFUNCTION("""COMPUTED_VALUE"""),256000)</f>
        <v>256000</v>
      </c>
      <c r="U243" s="179" t="str">
        <f ca="1">IFERROR(__xludf.DUMMYFUNCTION("""COMPUTED_VALUE"""),"&lt;$500K")</f>
        <v>&lt;$500K</v>
      </c>
      <c r="V243" s="179">
        <f ca="1">IFERROR(__xludf.DUMMYFUNCTION("""COMPUTED_VALUE"""),3)</f>
        <v>3</v>
      </c>
      <c r="W243" s="179" t="str">
        <f ca="1">IFERROR(__xludf.DUMMYFUNCTION("""COMPUTED_VALUE"""),"Biggest obstacle is currently is the possibility of negative preclinical data")</f>
        <v>Biggest obstacle is currently is the possibility of negative preclinical data</v>
      </c>
    </row>
    <row r="244" spans="1:23">
      <c r="A244" s="179" t="str">
        <f ca="1">IFERROR(__xludf.DUMMYFUNCTION("""COMPUTED_VALUE"""),"R")</f>
        <v>R</v>
      </c>
      <c r="B244" s="436">
        <f ca="1">IFERROR(__xludf.DUMMYFUNCTION("""COMPUTED_VALUE"""),44794.9833259606)</f>
        <v>44794.983325960602</v>
      </c>
      <c r="C244" s="179" t="str">
        <f ca="1">IFERROR(__xludf.DUMMYFUNCTION("""COMPUTED_VALUE"""),"jason.yu.1@stern.nyu.edu")</f>
        <v>jason.yu.1@stern.nyu.edu</v>
      </c>
      <c r="D244" s="179" t="str">
        <f ca="1">IFERROR(__xludf.DUMMYFUNCTION("""COMPUTED_VALUE"""),"Jason Yu")</f>
        <v>Jason Yu</v>
      </c>
      <c r="E244" s="179" t="str">
        <f ca="1">IFERROR(__xludf.DUMMYFUNCTION("""COMPUTED_VALUE"""),"I have read and understand the confidentiality agreement for application reviewers.")</f>
        <v>I have read and understand the confidentiality agreement for application reviewers.</v>
      </c>
      <c r="F244" s="179" t="str">
        <f ca="1">IFERROR(__xludf.DUMMYFUNCTION("""COMPUTED_VALUE"""),"Xtellix, Inc")</f>
        <v>Xtellix, Inc</v>
      </c>
      <c r="G244" s="179" t="str">
        <f ca="1">IFERROR(__xludf.DUMMYFUNCTION("""COMPUTED_VALUE"""),"Quantum-brain-inspired algorithm for optimization / Technology / Pre-seed")</f>
        <v>Quantum-brain-inspired algorithm for optimization / Technology / Pre-seed</v>
      </c>
      <c r="H244" s="179">
        <f ca="1">IFERROR(__xludf.DUMMYFUNCTION("""COMPUTED_VALUE"""),4)</f>
        <v>4</v>
      </c>
      <c r="I244" s="179">
        <f ca="1">IFERROR(__xludf.DUMMYFUNCTION("""COMPUTED_VALUE"""),3)</f>
        <v>3</v>
      </c>
      <c r="J244" s="179">
        <f ca="1">IFERROR(__xludf.DUMMYFUNCTION("""COMPUTED_VALUE"""),4)</f>
        <v>4</v>
      </c>
      <c r="K244" s="179">
        <f ca="1">IFERROR(__xludf.DUMMYFUNCTION("""COMPUTED_VALUE"""),3)</f>
        <v>3</v>
      </c>
      <c r="L244" s="179" t="str">
        <f ca="1">IFERROR(__xludf.DUMMYFUNCTION("""COMPUTED_VALUE"""),"Our novel and efficient optimization algorithm platform and APIs can speed up complex
computations up to 200,000X faster on normal PCs, laptops and mobile phones. We have piloted our algorithm with various scientific benchmark cases and currently working
"&amp;"with clients in the finance sector for piloting on investment valuations.")</f>
        <v>Our novel and efficient optimization algorithm platform and APIs can speed up complex
computations up to 200,000X faster on normal PCs, laptops and mobile phones. We have piloted our algorithm with various scientific benchmark cases and currently working
with clients in the finance sector for piloting on investment valuations.</v>
      </c>
      <c r="M244" s="179">
        <f ca="1">IFERROR(__xludf.DUMMYFUNCTION("""COMPUTED_VALUE"""),4)</f>
        <v>4</v>
      </c>
      <c r="N244" s="179">
        <f ca="1">IFERROR(__xludf.DUMMYFUNCTION("""COMPUTED_VALUE"""),1)</f>
        <v>1</v>
      </c>
      <c r="O244" s="179"/>
      <c r="P244" s="179">
        <f ca="1">IFERROR(__xludf.DUMMYFUNCTION("""COMPUTED_VALUE"""),4)</f>
        <v>4</v>
      </c>
      <c r="Q244" s="179">
        <f ca="1">IFERROR(__xludf.DUMMYFUNCTION("""COMPUTED_VALUE"""),3)</f>
        <v>3</v>
      </c>
      <c r="R244" s="179">
        <f ca="1">IFERROR(__xludf.DUMMYFUNCTION("""COMPUTED_VALUE"""),3)</f>
        <v>3</v>
      </c>
      <c r="S244" s="179"/>
      <c r="T244" s="437">
        <f ca="1">IFERROR(__xludf.DUMMYFUNCTION("""COMPUTED_VALUE"""),30000)</f>
        <v>30000</v>
      </c>
      <c r="U244" s="179" t="str">
        <f ca="1">IFERROR(__xludf.DUMMYFUNCTION("""COMPUTED_VALUE"""),"$1-$5M")</f>
        <v>$1-$5M</v>
      </c>
      <c r="V244" s="179">
        <f ca="1">IFERROR(__xludf.DUMMYFUNCTION("""COMPUTED_VALUE"""),3)</f>
        <v>3</v>
      </c>
      <c r="W244" s="179"/>
    </row>
    <row r="245" spans="1:23">
      <c r="A245" s="179" t="str">
        <f ca="1">IFERROR(__xludf.DUMMYFUNCTION("""COMPUTED_VALUE"""),"R")</f>
        <v>R</v>
      </c>
      <c r="B245" s="436">
        <f ca="1">IFERROR(__xludf.DUMMYFUNCTION("""COMPUTED_VALUE"""),44794.986678287)</f>
        <v>44794.986678287001</v>
      </c>
      <c r="C245" s="179" t="str">
        <f ca="1">IFERROR(__xludf.DUMMYFUNCTION("""COMPUTED_VALUE"""),"jason.yu.1@stern.nyu.edu")</f>
        <v>jason.yu.1@stern.nyu.edu</v>
      </c>
      <c r="D245" s="179" t="str">
        <f ca="1">IFERROR(__xludf.DUMMYFUNCTION("""COMPUTED_VALUE"""),"Jason Yu")</f>
        <v>Jason Yu</v>
      </c>
      <c r="E245" s="179" t="str">
        <f ca="1">IFERROR(__xludf.DUMMYFUNCTION("""COMPUTED_VALUE"""),"I have read and understand the confidentiality agreement for application reviewers.")</f>
        <v>I have read and understand the confidentiality agreement for application reviewers.</v>
      </c>
      <c r="F245" s="179" t="str">
        <f ca="1">IFERROR(__xludf.DUMMYFUNCTION("""COMPUTED_VALUE"""),"YouthBio Therapeutics Inc.")</f>
        <v>YouthBio Therapeutics Inc.</v>
      </c>
      <c r="G245" s="179" t="str">
        <f ca="1">IFERROR(__xludf.DUMMYFUNCTION("""COMPUTED_VALUE"""),"Prevent age-related diseases and greatly extend lifespan / Healthcare / Pre-seed")</f>
        <v>Prevent age-related diseases and greatly extend lifespan / Healthcare / Pre-seed</v>
      </c>
      <c r="H245" s="179">
        <f ca="1">IFERROR(__xludf.DUMMYFUNCTION("""COMPUTED_VALUE"""),5)</f>
        <v>5</v>
      </c>
      <c r="I245" s="179">
        <f ca="1">IFERROR(__xludf.DUMMYFUNCTION("""COMPUTED_VALUE"""),4)</f>
        <v>4</v>
      </c>
      <c r="J245" s="179">
        <f ca="1">IFERROR(__xludf.DUMMYFUNCTION("""COMPUTED_VALUE"""),2)</f>
        <v>2</v>
      </c>
      <c r="K245" s="179">
        <f ca="1">IFERROR(__xludf.DUMMYFUNCTION("""COMPUTED_VALUE"""),3)</f>
        <v>3</v>
      </c>
      <c r="L245" s="179" t="str">
        <f ca="1">IFERROR(__xludf.DUMMYFUNCTION("""COMPUTED_VALUE"""),"We have completed a POC animal study for our brain-specific partial reprogramming gene
therapy, and have since initiated 3 more animal studies in various disease models")</f>
        <v>We have completed a POC animal study for our brain-specific partial reprogramming gene
therapy, and have since initiated 3 more animal studies in various disease models</v>
      </c>
      <c r="M245" s="179">
        <f ca="1">IFERROR(__xludf.DUMMYFUNCTION("""COMPUTED_VALUE"""),5)</f>
        <v>5</v>
      </c>
      <c r="N245" s="179">
        <f ca="1">IFERROR(__xludf.DUMMYFUNCTION("""COMPUTED_VALUE"""),1)</f>
        <v>1</v>
      </c>
      <c r="O245" s="179"/>
      <c r="P245" s="179">
        <f ca="1">IFERROR(__xludf.DUMMYFUNCTION("""COMPUTED_VALUE"""),5)</f>
        <v>5</v>
      </c>
      <c r="Q245" s="179">
        <f ca="1">IFERROR(__xludf.DUMMYFUNCTION("""COMPUTED_VALUE"""),3)</f>
        <v>3</v>
      </c>
      <c r="R245" s="179">
        <f ca="1">IFERROR(__xludf.DUMMYFUNCTION("""COMPUTED_VALUE"""),4)</f>
        <v>4</v>
      </c>
      <c r="S245" s="179"/>
      <c r="T245" s="437">
        <f ca="1">IFERROR(__xludf.DUMMYFUNCTION("""COMPUTED_VALUE"""),465000)</f>
        <v>465000</v>
      </c>
      <c r="U245" s="179" t="str">
        <f ca="1">IFERROR(__xludf.DUMMYFUNCTION("""COMPUTED_VALUE"""),"&gt;$5M")</f>
        <v>&gt;$5M</v>
      </c>
      <c r="V245" s="179">
        <f ca="1">IFERROR(__xludf.DUMMYFUNCTION("""COMPUTED_VALUE"""),3)</f>
        <v>3</v>
      </c>
      <c r="W245" s="179" t="str">
        <f ca="1">IFERROR(__xludf.DUMMYFUNCTION("""COMPUTED_VALUE"""),"Biggest obstacle is if animal studies do not produce positive therapeutic results.")</f>
        <v>Biggest obstacle is if animal studies do not produce positive therapeutic results.</v>
      </c>
    </row>
    <row r="246" spans="1:23">
      <c r="A246" s="179" t="str">
        <f ca="1">IFERROR(__xludf.DUMMYFUNCTION("""COMPUTED_VALUE"""),"R")</f>
        <v>R</v>
      </c>
      <c r="B246" s="436">
        <f ca="1">IFERROR(__xludf.DUMMYFUNCTION("""COMPUTED_VALUE"""),44794.9886608217)</f>
        <v>44794.988660821698</v>
      </c>
      <c r="C246" s="179" t="str">
        <f ca="1">IFERROR(__xludf.DUMMYFUNCTION("""COMPUTED_VALUE"""),"ns4976@stern.nyu.edu")</f>
        <v>ns4976@stern.nyu.edu</v>
      </c>
      <c r="D246" s="179" t="str">
        <f ca="1">IFERROR(__xludf.DUMMYFUNCTION("""COMPUTED_VALUE"""),"Nick Schmandt")</f>
        <v>Nick Schmandt</v>
      </c>
      <c r="E246" s="179" t="str">
        <f ca="1">IFERROR(__xludf.DUMMYFUNCTION("""COMPUTED_VALUE"""),"I have read and understand the confidentiality agreement for application reviewers.")</f>
        <v>I have read and understand the confidentiality agreement for application reviewers.</v>
      </c>
      <c r="F246" s="179" t="str">
        <f ca="1">IFERROR(__xludf.DUMMYFUNCTION("""COMPUTED_VALUE"""),"Infinity Games")</f>
        <v>Infinity Games</v>
      </c>
      <c r="G246" s="179" t="str">
        <f ca="1">IFERROR(__xludf.DUMMYFUNCTION("""COMPUTED_VALUE"""),"They are working to be a gaming media platform for Latin America. They already have a working platform and have hosted numerous events, their revenue is primarily through sponsorships.")</f>
        <v>They are working to be a gaming media platform for Latin America. They already have a working platform and have hosted numerous events, their revenue is primarily through sponsorships.</v>
      </c>
      <c r="H246" s="179">
        <f ca="1">IFERROR(__xludf.DUMMYFUNCTION("""COMPUTED_VALUE"""),5)</f>
        <v>5</v>
      </c>
      <c r="I246" s="179">
        <f ca="1">IFERROR(__xludf.DUMMYFUNCTION("""COMPUTED_VALUE"""),3)</f>
        <v>3</v>
      </c>
      <c r="J246" s="179">
        <f ca="1">IFERROR(__xludf.DUMMYFUNCTION("""COMPUTED_VALUE"""),4)</f>
        <v>4</v>
      </c>
      <c r="K246" s="179">
        <f ca="1">IFERROR(__xludf.DUMMYFUNCTION("""COMPUTED_VALUE"""),2)</f>
        <v>2</v>
      </c>
      <c r="L246" s="179" t="str">
        <f ca="1">IFERROR(__xludf.DUMMYFUNCTION("""COMPUTED_VALUE"""),"Platform seems to work fine, that's not a huge component of the company.")</f>
        <v>Platform seems to work fine, that's not a huge component of the company.</v>
      </c>
      <c r="M246" s="179">
        <f ca="1">IFERROR(__xludf.DUMMYFUNCTION("""COMPUTED_VALUE"""),5)</f>
        <v>5</v>
      </c>
      <c r="N246" s="179">
        <f ca="1">IFERROR(__xludf.DUMMYFUNCTION("""COMPUTED_VALUE"""),5)</f>
        <v>5</v>
      </c>
      <c r="O246" s="179" t="str">
        <f ca="1">IFERROR(__xludf.DUMMYFUNCTION("""COMPUTED_VALUE"""),"Huge market, already doing well with revenue and customers.")</f>
        <v>Huge market, already doing well with revenue and customers.</v>
      </c>
      <c r="P246" s="179">
        <f ca="1">IFERROR(__xludf.DUMMYFUNCTION("""COMPUTED_VALUE"""),5)</f>
        <v>5</v>
      </c>
      <c r="Q246" s="179">
        <f ca="1">IFERROR(__xludf.DUMMYFUNCTION("""COMPUTED_VALUE"""),5)</f>
        <v>5</v>
      </c>
      <c r="R246" s="179">
        <f ca="1">IFERROR(__xludf.DUMMYFUNCTION("""COMPUTED_VALUE"""),5)</f>
        <v>5</v>
      </c>
      <c r="S246" s="179" t="str">
        <f ca="1">IFERROR(__xludf.DUMMYFUNCTION("""COMPUTED_VALUE"""),"Team is quite strong, with a lot of fairly powerful founders as well.")</f>
        <v>Team is quite strong, with a lot of fairly powerful founders as well.</v>
      </c>
      <c r="T246" s="437">
        <f ca="1">IFERROR(__xludf.DUMMYFUNCTION("""COMPUTED_VALUE"""),3000000)</f>
        <v>3000000</v>
      </c>
      <c r="U246" s="179" t="str">
        <f ca="1">IFERROR(__xludf.DUMMYFUNCTION("""COMPUTED_VALUE"""),"$1-$5M")</f>
        <v>$1-$5M</v>
      </c>
      <c r="V246" s="179">
        <f ca="1">IFERROR(__xludf.DUMMYFUNCTION("""COMPUTED_VALUE"""),5)</f>
        <v>5</v>
      </c>
      <c r="W246" s="179" t="str">
        <f ca="1">IFERROR(__xludf.DUMMYFUNCTION("""COMPUTED_VALUE"""),"Pretty impressive revenue and growth potential, in a lucrative and fast-growing market. This seems very solid.")</f>
        <v>Pretty impressive revenue and growth potential, in a lucrative and fast-growing market. This seems very solid.</v>
      </c>
    </row>
    <row r="247" spans="1:23">
      <c r="A247" s="179" t="str">
        <f ca="1">IFERROR(__xludf.DUMMYFUNCTION("""COMPUTED_VALUE"""),"R")</f>
        <v>R</v>
      </c>
      <c r="B247" s="436">
        <f ca="1">IFERROR(__xludf.DUMMYFUNCTION("""COMPUTED_VALUE"""),44795.0049029513)</f>
        <v>44795.004902951303</v>
      </c>
      <c r="C247" s="179" t="str">
        <f ca="1">IFERROR(__xludf.DUMMYFUNCTION("""COMPUTED_VALUE"""),"ns4976@stern.nyu.edu")</f>
        <v>ns4976@stern.nyu.edu</v>
      </c>
      <c r="D247" s="179" t="str">
        <f ca="1">IFERROR(__xludf.DUMMYFUNCTION("""COMPUTED_VALUE"""),"Nick Schmandt")</f>
        <v>Nick Schmandt</v>
      </c>
      <c r="E247" s="179" t="str">
        <f ca="1">IFERROR(__xludf.DUMMYFUNCTION("""COMPUTED_VALUE"""),"I have read and understand the confidentiality agreement for application reviewers.")</f>
        <v>I have read and understand the confidentiality agreement for application reviewers.</v>
      </c>
      <c r="F247" s="179" t="str">
        <f ca="1">IFERROR(__xludf.DUMMYFUNCTION("""COMPUTED_VALUE"""),"Hummingbirds AI")</f>
        <v>Hummingbirds AI</v>
      </c>
      <c r="G247" s="179" t="str">
        <f ca="1">IFERROR(__xludf.DUMMYFUNCTION("""COMPUTED_VALUE"""),"They have incorporated facial recognition into computer access. Since this tech already exists in phones, it does not seem that revolutionary.")</f>
        <v>They have incorporated facial recognition into computer access. Since this tech already exists in phones, it does not seem that revolutionary.</v>
      </c>
      <c r="H247" s="179">
        <f ca="1">IFERROR(__xludf.DUMMYFUNCTION("""COMPUTED_VALUE"""),2)</f>
        <v>2</v>
      </c>
      <c r="I247" s="179">
        <f ca="1">IFERROR(__xludf.DUMMYFUNCTION("""COMPUTED_VALUE"""),2)</f>
        <v>2</v>
      </c>
      <c r="J247" s="179">
        <f ca="1">IFERROR(__xludf.DUMMYFUNCTION("""COMPUTED_VALUE"""),3)</f>
        <v>3</v>
      </c>
      <c r="K247" s="179">
        <f ca="1">IFERROR(__xludf.DUMMYFUNCTION("""COMPUTED_VALUE"""),1)</f>
        <v>1</v>
      </c>
      <c r="L247" s="179" t="str">
        <f ca="1">IFERROR(__xludf.DUMMYFUNCTION("""COMPUTED_VALUE"""),"This is not a revolutionary device, and I'd be very surprised if other platforms didn't offer it soon if they don't already.")</f>
        <v>This is not a revolutionary device, and I'd be very surprised if other platforms didn't offer it soon if they don't already.</v>
      </c>
      <c r="M247" s="179">
        <f ca="1">IFERROR(__xludf.DUMMYFUNCTION("""COMPUTED_VALUE"""),4)</f>
        <v>4</v>
      </c>
      <c r="N247" s="179">
        <f ca="1">IFERROR(__xludf.DUMMYFUNCTION("""COMPUTED_VALUE"""),2)</f>
        <v>2</v>
      </c>
      <c r="O247" s="179" t="str">
        <f ca="1">IFERROR(__xludf.DUMMYFUNCTION("""COMPUTED_VALUE"""),"It's a large market but not clear if people will pay for it or how much it really improves workstreams.")</f>
        <v>It's a large market but not clear if people will pay for it or how much it really improves workstreams.</v>
      </c>
      <c r="P247" s="179">
        <f ca="1">IFERROR(__xludf.DUMMYFUNCTION("""COMPUTED_VALUE"""),3)</f>
        <v>3</v>
      </c>
      <c r="Q247" s="179">
        <f ca="1">IFERROR(__xludf.DUMMYFUNCTION("""COMPUTED_VALUE"""),2)</f>
        <v>2</v>
      </c>
      <c r="R247" s="179">
        <f ca="1">IFERROR(__xludf.DUMMYFUNCTION("""COMPUTED_VALUE"""),5)</f>
        <v>5</v>
      </c>
      <c r="S247" s="179" t="str">
        <f ca="1">IFERROR(__xludf.DUMMYFUNCTION("""COMPUTED_VALUE"""),"Team seems good, a lot of experience in startup and security space.")</f>
        <v>Team seems good, a lot of experience in startup and security space.</v>
      </c>
      <c r="T247" s="437">
        <f ca="1">IFERROR(__xludf.DUMMYFUNCTION("""COMPUTED_VALUE"""),1000000)</f>
        <v>1000000</v>
      </c>
      <c r="U247" s="179" t="str">
        <f ca="1">IFERROR(__xludf.DUMMYFUNCTION("""COMPUTED_VALUE"""),"$1-$5M")</f>
        <v>$1-$5M</v>
      </c>
      <c r="V247" s="179">
        <f ca="1">IFERROR(__xludf.DUMMYFUNCTION("""COMPUTED_VALUE"""),2)</f>
        <v>2</v>
      </c>
      <c r="W247" s="179" t="str">
        <f ca="1">IFERROR(__xludf.DUMMYFUNCTION("""COMPUTED_VALUE"""),"This technology is just not new enough, and I don't see companies paying a lot for it. Also, I didn't see validation that it would protect against things like a printout of someone's face, or how reliable the tech is.")</f>
        <v>This technology is just not new enough, and I don't see companies paying a lot for it. Also, I didn't see validation that it would protect against things like a printout of someone's face, or how reliable the tech is.</v>
      </c>
    </row>
    <row r="248" spans="1:23">
      <c r="A248" s="179" t="str">
        <f ca="1">IFERROR(__xludf.DUMMYFUNCTION("""COMPUTED_VALUE"""),"R")</f>
        <v>R</v>
      </c>
      <c r="B248" s="436">
        <f ca="1">IFERROR(__xludf.DUMMYFUNCTION("""COMPUTED_VALUE"""),44795.4796998263)</f>
        <v>44795.479699826297</v>
      </c>
      <c r="C248" s="179" t="str">
        <f ca="1">IFERROR(__xludf.DUMMYFUNCTION("""COMPUTED_VALUE"""),"jm5201@stern.nyu.edu")</f>
        <v>jm5201@stern.nyu.edu</v>
      </c>
      <c r="D248" s="179" t="str">
        <f ca="1">IFERROR(__xludf.DUMMYFUNCTION("""COMPUTED_VALUE"""),"John McDonald")</f>
        <v>John McDonald</v>
      </c>
      <c r="E248" s="179" t="str">
        <f ca="1">IFERROR(__xludf.DUMMYFUNCTION("""COMPUTED_VALUE"""),"I have read and understand the confidentiality agreement for application reviewers.")</f>
        <v>I have read and understand the confidentiality agreement for application reviewers.</v>
      </c>
      <c r="F248" s="179" t="str">
        <f ca="1">IFERROR(__xludf.DUMMYFUNCTION("""COMPUTED_VALUE"""),"TimberFish Technologies")</f>
        <v>TimberFish Technologies</v>
      </c>
      <c r="G248" s="179" t="str">
        <f ca="1">IFERROR(__xludf.DUMMYFUNCTION("""COMPUTED_VALUE"""),"Locally produced seafood")</f>
        <v>Locally produced seafood</v>
      </c>
      <c r="H248" s="179">
        <f ca="1">IFERROR(__xludf.DUMMYFUNCTION("""COMPUTED_VALUE"""),3)</f>
        <v>3</v>
      </c>
      <c r="I248" s="179">
        <f ca="1">IFERROR(__xludf.DUMMYFUNCTION("""COMPUTED_VALUE"""),3)</f>
        <v>3</v>
      </c>
      <c r="J248" s="179">
        <f ca="1">IFERROR(__xludf.DUMMYFUNCTION("""COMPUTED_VALUE"""),2)</f>
        <v>2</v>
      </c>
      <c r="K248" s="179">
        <f ca="1">IFERROR(__xludf.DUMMYFUNCTION("""COMPUTED_VALUE"""),2)</f>
        <v>2</v>
      </c>
      <c r="L248" s="179"/>
      <c r="M248" s="179">
        <f ca="1">IFERROR(__xludf.DUMMYFUNCTION("""COMPUTED_VALUE"""),3)</f>
        <v>3</v>
      </c>
      <c r="N248" s="179">
        <f ca="1">IFERROR(__xludf.DUMMYFUNCTION("""COMPUTED_VALUE"""),2)</f>
        <v>2</v>
      </c>
      <c r="O248" s="179"/>
      <c r="P248" s="179">
        <f ca="1">IFERROR(__xludf.DUMMYFUNCTION("""COMPUTED_VALUE"""),3)</f>
        <v>3</v>
      </c>
      <c r="Q248" s="179">
        <f ca="1">IFERROR(__xludf.DUMMYFUNCTION("""COMPUTED_VALUE"""),4)</f>
        <v>4</v>
      </c>
      <c r="R248" s="179">
        <f ca="1">IFERROR(__xludf.DUMMYFUNCTION("""COMPUTED_VALUE"""),3)</f>
        <v>3</v>
      </c>
      <c r="S248" s="179"/>
      <c r="T248" s="179"/>
      <c r="U248" s="179" t="str">
        <f ca="1">IFERROR(__xludf.DUMMYFUNCTION("""COMPUTED_VALUE"""),"$1-$5M")</f>
        <v>$1-$5M</v>
      </c>
      <c r="V248" s="179">
        <f ca="1">IFERROR(__xludf.DUMMYFUNCTION("""COMPUTED_VALUE"""),3)</f>
        <v>3</v>
      </c>
      <c r="W248" s="179"/>
    </row>
    <row r="249" spans="1:23">
      <c r="A249" s="179" t="str">
        <f ca="1">IFERROR(__xludf.DUMMYFUNCTION("""COMPUTED_VALUE"""),"R")</f>
        <v>R</v>
      </c>
      <c r="B249" s="436">
        <f ca="1">IFERROR(__xludf.DUMMYFUNCTION("""COMPUTED_VALUE"""),44795.4814151388)</f>
        <v>44795.481415138798</v>
      </c>
      <c r="C249" s="179" t="str">
        <f ca="1">IFERROR(__xludf.DUMMYFUNCTION("""COMPUTED_VALUE"""),"jm5201@stern.nyu.edu")</f>
        <v>jm5201@stern.nyu.edu</v>
      </c>
      <c r="D249" s="179" t="str">
        <f ca="1">IFERROR(__xludf.DUMMYFUNCTION("""COMPUTED_VALUE"""),"John McDonald")</f>
        <v>John McDonald</v>
      </c>
      <c r="E249" s="179" t="str">
        <f ca="1">IFERROR(__xludf.DUMMYFUNCTION("""COMPUTED_VALUE"""),"I have read and understand the confidentiality agreement for application reviewers.")</f>
        <v>I have read and understand the confidentiality agreement for application reviewers.</v>
      </c>
      <c r="F249" s="179" t="str">
        <f ca="1">IFERROR(__xludf.DUMMYFUNCTION("""COMPUTED_VALUE"""),"TOMi.digital")</f>
        <v>TOMi.digital</v>
      </c>
      <c r="G249" s="179" t="str">
        <f ca="1">IFERROR(__xludf.DUMMYFUNCTION("""COMPUTED_VALUE"""),"Edtech Teachers content repository")</f>
        <v>Edtech Teachers content repository</v>
      </c>
      <c r="H249" s="179">
        <f ca="1">IFERROR(__xludf.DUMMYFUNCTION("""COMPUTED_VALUE"""),4)</f>
        <v>4</v>
      </c>
      <c r="I249" s="179">
        <f ca="1">IFERROR(__xludf.DUMMYFUNCTION("""COMPUTED_VALUE"""),4)</f>
        <v>4</v>
      </c>
      <c r="J249" s="179">
        <f ca="1">IFERROR(__xludf.DUMMYFUNCTION("""COMPUTED_VALUE"""),4)</f>
        <v>4</v>
      </c>
      <c r="K249" s="179">
        <f ca="1">IFERROR(__xludf.DUMMYFUNCTION("""COMPUTED_VALUE"""),3)</f>
        <v>3</v>
      </c>
      <c r="L249" s="179"/>
      <c r="M249" s="179">
        <f ca="1">IFERROR(__xludf.DUMMYFUNCTION("""COMPUTED_VALUE"""),4)</f>
        <v>4</v>
      </c>
      <c r="N249" s="179">
        <f ca="1">IFERROR(__xludf.DUMMYFUNCTION("""COMPUTED_VALUE"""),5)</f>
        <v>5</v>
      </c>
      <c r="O249" s="179"/>
      <c r="P249" s="179">
        <f ca="1">IFERROR(__xludf.DUMMYFUNCTION("""COMPUTED_VALUE"""),3)</f>
        <v>3</v>
      </c>
      <c r="Q249" s="179">
        <f ca="1">IFERROR(__xludf.DUMMYFUNCTION("""COMPUTED_VALUE"""),4)</f>
        <v>4</v>
      </c>
      <c r="R249" s="179">
        <f ca="1">IFERROR(__xludf.DUMMYFUNCTION("""COMPUTED_VALUE"""),4)</f>
        <v>4</v>
      </c>
      <c r="S249" s="179"/>
      <c r="T249" s="179"/>
      <c r="U249" s="179" t="str">
        <f ca="1">IFERROR(__xludf.DUMMYFUNCTION("""COMPUTED_VALUE"""),"$1-$5M")</f>
        <v>$1-$5M</v>
      </c>
      <c r="V249" s="179">
        <f ca="1">IFERROR(__xludf.DUMMYFUNCTION("""COMPUTED_VALUE"""),5)</f>
        <v>5</v>
      </c>
      <c r="W249" s="179"/>
    </row>
    <row r="250" spans="1:23">
      <c r="A250" s="179" t="str">
        <f ca="1">IFERROR(__xludf.DUMMYFUNCTION("""COMPUTED_VALUE"""),"R")</f>
        <v>R</v>
      </c>
      <c r="B250" s="436">
        <f ca="1">IFERROR(__xludf.DUMMYFUNCTION("""COMPUTED_VALUE"""),44795.4833606944)</f>
        <v>44795.483360694401</v>
      </c>
      <c r="C250" s="179" t="str">
        <f ca="1">IFERROR(__xludf.DUMMYFUNCTION("""COMPUTED_VALUE"""),"jm5201@stern.nyu.edu")</f>
        <v>jm5201@stern.nyu.edu</v>
      </c>
      <c r="D250" s="179" t="str">
        <f ca="1">IFERROR(__xludf.DUMMYFUNCTION("""COMPUTED_VALUE"""),"John McDonald")</f>
        <v>John McDonald</v>
      </c>
      <c r="E250" s="179" t="str">
        <f ca="1">IFERROR(__xludf.DUMMYFUNCTION("""COMPUTED_VALUE"""),"I have read and understand the confidentiality agreement for application reviewers.")</f>
        <v>I have read and understand the confidentiality agreement for application reviewers.</v>
      </c>
      <c r="F250" s="179" t="str">
        <f ca="1">IFERROR(__xludf.DUMMYFUNCTION("""COMPUTED_VALUE"""),"TriAltus Bioscience")</f>
        <v>TriAltus Bioscience</v>
      </c>
      <c r="G250" s="179" t="str">
        <f ca="1">IFERROR(__xludf.DUMMYFUNCTION("""COMPUTED_VALUE"""),"Life sciences purification proteins")</f>
        <v>Life sciences purification proteins</v>
      </c>
      <c r="H250" s="179">
        <f ca="1">IFERROR(__xludf.DUMMYFUNCTION("""COMPUTED_VALUE"""),4)</f>
        <v>4</v>
      </c>
      <c r="I250" s="179">
        <f ca="1">IFERROR(__xludf.DUMMYFUNCTION("""COMPUTED_VALUE"""),4)</f>
        <v>4</v>
      </c>
      <c r="J250" s="179">
        <f ca="1">IFERROR(__xludf.DUMMYFUNCTION("""COMPUTED_VALUE"""),3)</f>
        <v>3</v>
      </c>
      <c r="K250" s="179">
        <f ca="1">IFERROR(__xludf.DUMMYFUNCTION("""COMPUTED_VALUE"""),3)</f>
        <v>3</v>
      </c>
      <c r="L250" s="179"/>
      <c r="M250" s="179">
        <f ca="1">IFERROR(__xludf.DUMMYFUNCTION("""COMPUTED_VALUE"""),3)</f>
        <v>3</v>
      </c>
      <c r="N250" s="179">
        <f ca="1">IFERROR(__xludf.DUMMYFUNCTION("""COMPUTED_VALUE"""),4)</f>
        <v>4</v>
      </c>
      <c r="O250" s="179"/>
      <c r="P250" s="179">
        <f ca="1">IFERROR(__xludf.DUMMYFUNCTION("""COMPUTED_VALUE"""),3)</f>
        <v>3</v>
      </c>
      <c r="Q250" s="179">
        <f ca="1">IFERROR(__xludf.DUMMYFUNCTION("""COMPUTED_VALUE"""),4)</f>
        <v>4</v>
      </c>
      <c r="R250" s="179">
        <f ca="1">IFERROR(__xludf.DUMMYFUNCTION("""COMPUTED_VALUE"""),3)</f>
        <v>3</v>
      </c>
      <c r="S250" s="179"/>
      <c r="T250" s="179"/>
      <c r="U250" s="179" t="str">
        <f ca="1">IFERROR(__xludf.DUMMYFUNCTION("""COMPUTED_VALUE"""),"$1-$5M")</f>
        <v>$1-$5M</v>
      </c>
      <c r="V250" s="179">
        <f ca="1">IFERROR(__xludf.DUMMYFUNCTION("""COMPUTED_VALUE"""),4)</f>
        <v>4</v>
      </c>
      <c r="W250" s="179"/>
    </row>
    <row r="251" spans="1:23">
      <c r="A251" s="179" t="str">
        <f ca="1">IFERROR(__xludf.DUMMYFUNCTION("""COMPUTED_VALUE"""),"R")</f>
        <v>R</v>
      </c>
      <c r="B251" s="436">
        <f ca="1">IFERROR(__xludf.DUMMYFUNCTION("""COMPUTED_VALUE"""),44795.4856797569)</f>
        <v>44795.485679756901</v>
      </c>
      <c r="C251" s="179" t="str">
        <f ca="1">IFERROR(__xludf.DUMMYFUNCTION("""COMPUTED_VALUE"""),"jm5201@stern.nyu.edu")</f>
        <v>jm5201@stern.nyu.edu</v>
      </c>
      <c r="D251" s="179" t="str">
        <f ca="1">IFERROR(__xludf.DUMMYFUNCTION("""COMPUTED_VALUE"""),"John McDonald")</f>
        <v>John McDonald</v>
      </c>
      <c r="E251" s="179" t="str">
        <f ca="1">IFERROR(__xludf.DUMMYFUNCTION("""COMPUTED_VALUE"""),"I have read and understand the confidentiality agreement for application reviewers.")</f>
        <v>I have read and understand the confidentiality agreement for application reviewers.</v>
      </c>
      <c r="F251" s="179" t="str">
        <f ca="1">IFERROR(__xludf.DUMMYFUNCTION("""COMPUTED_VALUE"""),"TrustPoint, Inc.")</f>
        <v>TrustPoint, Inc.</v>
      </c>
      <c r="G251" s="179" t="str">
        <f ca="1">IFERROR(__xludf.DUMMYFUNCTION("""COMPUTED_VALUE"""),"GPS tech self driving vehicles/drones")</f>
        <v>GPS tech self driving vehicles/drones</v>
      </c>
      <c r="H251" s="179">
        <f ca="1">IFERROR(__xludf.DUMMYFUNCTION("""COMPUTED_VALUE"""),4)</f>
        <v>4</v>
      </c>
      <c r="I251" s="179">
        <f ca="1">IFERROR(__xludf.DUMMYFUNCTION("""COMPUTED_VALUE"""),3)</f>
        <v>3</v>
      </c>
      <c r="J251" s="179">
        <f ca="1">IFERROR(__xludf.DUMMYFUNCTION("""COMPUTED_VALUE"""),4)</f>
        <v>4</v>
      </c>
      <c r="K251" s="179">
        <f ca="1">IFERROR(__xludf.DUMMYFUNCTION("""COMPUTED_VALUE"""),3)</f>
        <v>3</v>
      </c>
      <c r="L251" s="179"/>
      <c r="M251" s="179">
        <f ca="1">IFERROR(__xludf.DUMMYFUNCTION("""COMPUTED_VALUE"""),3)</f>
        <v>3</v>
      </c>
      <c r="N251" s="179">
        <f ca="1">IFERROR(__xludf.DUMMYFUNCTION("""COMPUTED_VALUE"""),4)</f>
        <v>4</v>
      </c>
      <c r="O251" s="179"/>
      <c r="P251" s="179">
        <f ca="1">IFERROR(__xludf.DUMMYFUNCTION("""COMPUTED_VALUE"""),3)</f>
        <v>3</v>
      </c>
      <c r="Q251" s="179">
        <f ca="1">IFERROR(__xludf.DUMMYFUNCTION("""COMPUTED_VALUE"""),4)</f>
        <v>4</v>
      </c>
      <c r="R251" s="179">
        <f ca="1">IFERROR(__xludf.DUMMYFUNCTION("""COMPUTED_VALUE"""),4)</f>
        <v>4</v>
      </c>
      <c r="S251" s="179"/>
      <c r="T251" s="179"/>
      <c r="U251" s="179" t="str">
        <f ca="1">IFERROR(__xludf.DUMMYFUNCTION("""COMPUTED_VALUE"""),"&gt;$5M")</f>
        <v>&gt;$5M</v>
      </c>
      <c r="V251" s="179">
        <f ca="1">IFERROR(__xludf.DUMMYFUNCTION("""COMPUTED_VALUE"""),4)</f>
        <v>4</v>
      </c>
      <c r="W251" s="179"/>
    </row>
    <row r="252" spans="1:23">
      <c r="A252" s="179" t="str">
        <f ca="1">IFERROR(__xludf.DUMMYFUNCTION("""COMPUTED_VALUE"""),"R")</f>
        <v>R</v>
      </c>
      <c r="B252" s="436">
        <f ca="1">IFERROR(__xludf.DUMMYFUNCTION("""COMPUTED_VALUE"""),44795.4876555902)</f>
        <v>44795.487655590201</v>
      </c>
      <c r="C252" s="179" t="str">
        <f ca="1">IFERROR(__xludf.DUMMYFUNCTION("""COMPUTED_VALUE"""),"jm5201@stern.nyu.edu")</f>
        <v>jm5201@stern.nyu.edu</v>
      </c>
      <c r="D252" s="179" t="str">
        <f ca="1">IFERROR(__xludf.DUMMYFUNCTION("""COMPUTED_VALUE"""),"John McDonald")</f>
        <v>John McDonald</v>
      </c>
      <c r="E252" s="179" t="str">
        <f ca="1">IFERROR(__xludf.DUMMYFUNCTION("""COMPUTED_VALUE"""),"I have read and understand the confidentiality agreement for application reviewers.")</f>
        <v>I have read and understand the confidentiality agreement for application reviewers.</v>
      </c>
      <c r="F252" s="179" t="str">
        <f ca="1">IFERROR(__xludf.DUMMYFUNCTION("""COMPUTED_VALUE"""),"UpBeing Inc.")</f>
        <v>UpBeing Inc.</v>
      </c>
      <c r="G252" s="179" t="str">
        <f ca="1">IFERROR(__xludf.DUMMYFUNCTION("""COMPUTED_VALUE"""),"Emotion reader tech")</f>
        <v>Emotion reader tech</v>
      </c>
      <c r="H252" s="179">
        <f ca="1">IFERROR(__xludf.DUMMYFUNCTION("""COMPUTED_VALUE"""),3)</f>
        <v>3</v>
      </c>
      <c r="I252" s="179">
        <f ca="1">IFERROR(__xludf.DUMMYFUNCTION("""COMPUTED_VALUE"""),3)</f>
        <v>3</v>
      </c>
      <c r="J252" s="179">
        <f ca="1">IFERROR(__xludf.DUMMYFUNCTION("""COMPUTED_VALUE"""),4)</f>
        <v>4</v>
      </c>
      <c r="K252" s="179">
        <f ca="1">IFERROR(__xludf.DUMMYFUNCTION("""COMPUTED_VALUE"""),3)</f>
        <v>3</v>
      </c>
      <c r="L252" s="179"/>
      <c r="M252" s="179">
        <f ca="1">IFERROR(__xludf.DUMMYFUNCTION("""COMPUTED_VALUE"""),3)</f>
        <v>3</v>
      </c>
      <c r="N252" s="179">
        <f ca="1">IFERROR(__xludf.DUMMYFUNCTION("""COMPUTED_VALUE"""),2)</f>
        <v>2</v>
      </c>
      <c r="O252" s="179"/>
      <c r="P252" s="179">
        <f ca="1">IFERROR(__xludf.DUMMYFUNCTION("""COMPUTED_VALUE"""),3)</f>
        <v>3</v>
      </c>
      <c r="Q252" s="179">
        <f ca="1">IFERROR(__xludf.DUMMYFUNCTION("""COMPUTED_VALUE"""),4)</f>
        <v>4</v>
      </c>
      <c r="R252" s="179">
        <f ca="1">IFERROR(__xludf.DUMMYFUNCTION("""COMPUTED_VALUE"""),3)</f>
        <v>3</v>
      </c>
      <c r="S252" s="179"/>
      <c r="T252" s="179"/>
      <c r="U252" s="179" t="str">
        <f ca="1">IFERROR(__xludf.DUMMYFUNCTION("""COMPUTED_VALUE"""),"$0")</f>
        <v>$0</v>
      </c>
      <c r="V252" s="179">
        <f ca="1">IFERROR(__xludf.DUMMYFUNCTION("""COMPUTED_VALUE"""),3)</f>
        <v>3</v>
      </c>
      <c r="W252" s="179"/>
    </row>
    <row r="253" spans="1:23">
      <c r="A253" s="179" t="str">
        <f ca="1">IFERROR(__xludf.DUMMYFUNCTION("""COMPUTED_VALUE"""),"R")</f>
        <v>R</v>
      </c>
      <c r="B253" s="436">
        <f ca="1">IFERROR(__xludf.DUMMYFUNCTION("""COMPUTED_VALUE"""),44795.5114343634)</f>
        <v>44795.511434363398</v>
      </c>
      <c r="C253" s="179" t="str">
        <f ca="1">IFERROR(__xludf.DUMMYFUNCTION("""COMPUTED_VALUE"""),"ahmed.bahgat@stern.nyu.edu")</f>
        <v>ahmed.bahgat@stern.nyu.edu</v>
      </c>
      <c r="D253" s="179" t="str">
        <f ca="1">IFERROR(__xludf.DUMMYFUNCTION("""COMPUTED_VALUE"""),"Ahmed Bahgat")</f>
        <v>Ahmed Bahgat</v>
      </c>
      <c r="E253" s="179" t="str">
        <f ca="1">IFERROR(__xludf.DUMMYFUNCTION("""COMPUTED_VALUE"""),"I have read and understand the confidentiality agreement for application reviewers.")</f>
        <v>I have read and understand the confidentiality agreement for application reviewers.</v>
      </c>
      <c r="F253" s="179" t="str">
        <f ca="1">IFERROR(__xludf.DUMMYFUNCTION("""COMPUTED_VALUE"""),"Sentinel Occupational Safety")</f>
        <v>Sentinel Occupational Safety</v>
      </c>
      <c r="G253" s="179" t="str">
        <f ca="1">IFERROR(__xludf.DUMMYFUNCTION("""COMPUTED_VALUE"""),"It is a guardian platform that leverages wearables, AI-based analytics, and an intuitive mobile app to assess and protect individuals working on risk-laden tasks and in
dangerous environments.
Environmental safety SaaS industry is a young and growing indu"&amp;"stry.")</f>
        <v>It is a guardian platform that leverages wearables, AI-based analytics, and an intuitive mobile app to assess and protect individuals working on risk-laden tasks and in
dangerous environments.
Environmental safety SaaS industry is a young and growing industry.</v>
      </c>
      <c r="H253" s="179">
        <f ca="1">IFERROR(__xludf.DUMMYFUNCTION("""COMPUTED_VALUE"""),5)</f>
        <v>5</v>
      </c>
      <c r="I253" s="179">
        <f ca="1">IFERROR(__xludf.DUMMYFUNCTION("""COMPUTED_VALUE"""),5)</f>
        <v>5</v>
      </c>
      <c r="J253" s="179">
        <f ca="1">IFERROR(__xludf.DUMMYFUNCTION("""COMPUTED_VALUE"""),5)</f>
        <v>5</v>
      </c>
      <c r="K253" s="179">
        <f ca="1">IFERROR(__xludf.DUMMYFUNCTION("""COMPUTED_VALUE"""),5)</f>
        <v>5</v>
      </c>
      <c r="L253" s="179" t="str">
        <f ca="1">IFERROR(__xludf.DUMMYFUNCTION("""COMPUTED_VALUE"""),"Solution addresses occupational fatalities via intelligent guardian IoT offering for workers in risk-laden operational environments. flexible and sensor-agnostic IoT architecture allows for plug-and-play of various wearable sensing solutions. Customizable"&amp;" mobile and desktop dashboards for a myriad of use cases are available.
FDA clearance in progress. Multiple patents secured.")</f>
        <v>Solution addresses occupational fatalities via intelligent guardian IoT offering for workers in risk-laden operational environments. flexible and sensor-agnostic IoT architecture allows for plug-and-play of various wearable sensing solutions. Customizable mobile and desktop dashboards for a myriad of use cases are available.
FDA clearance in progress. Multiple patents secured.</v>
      </c>
      <c r="M253" s="179">
        <f ca="1">IFERROR(__xludf.DUMMYFUNCTION("""COMPUTED_VALUE"""),5)</f>
        <v>5</v>
      </c>
      <c r="N253" s="179">
        <f ca="1">IFERROR(__xludf.DUMMYFUNCTION("""COMPUTED_VALUE"""),5)</f>
        <v>5</v>
      </c>
      <c r="O253" s="179" t="str">
        <f ca="1">IFERROR(__xludf.DUMMYFUNCTION("""COMPUTED_VALUE"""),"Product sits in the cross section of multiple industries such as human-wearable sensors, remote monitoring and use of advanced analytics.
This is in addition to government/military application.")</f>
        <v>Product sits in the cross section of multiple industries such as human-wearable sensors, remote monitoring and use of advanced analytics.
This is in addition to government/military application.</v>
      </c>
      <c r="P253" s="179">
        <f ca="1">IFERROR(__xludf.DUMMYFUNCTION("""COMPUTED_VALUE"""),5)</f>
        <v>5</v>
      </c>
      <c r="Q253" s="179">
        <f ca="1">IFERROR(__xludf.DUMMYFUNCTION("""COMPUTED_VALUE"""),5)</f>
        <v>5</v>
      </c>
      <c r="R253" s="179">
        <f ca="1">IFERROR(__xludf.DUMMYFUNCTION("""COMPUTED_VALUE"""),5)</f>
        <v>5</v>
      </c>
      <c r="S253" s="179" t="str">
        <f ca="1">IFERROR(__xludf.DUMMYFUNCTION("""COMPUTED_VALUE"""),"Solid team with strong experience.")</f>
        <v>Solid team with strong experience.</v>
      </c>
      <c r="T253" s="179"/>
      <c r="U253" s="179" t="str">
        <f ca="1">IFERROR(__xludf.DUMMYFUNCTION("""COMPUTED_VALUE"""),"&gt;$5M")</f>
        <v>&gt;$5M</v>
      </c>
      <c r="V253" s="179">
        <f ca="1">IFERROR(__xludf.DUMMYFUNCTION("""COMPUTED_VALUE"""),5)</f>
        <v>5</v>
      </c>
      <c r="W253" s="179" t="str">
        <f ca="1">IFERROR(__xludf.DUMMYFUNCTION("""COMPUTED_VALUE"""),"Business is well positioned to grow/scale in the coming months. They are primarily looking to add mentors to better help them scale.   ")</f>
        <v xml:space="preserve">Business is well positioned to grow/scale in the coming months. They are primarily looking to add mentors to better help them scale.   </v>
      </c>
    </row>
    <row r="254" spans="1:23">
      <c r="A254" s="179" t="str">
        <f ca="1">IFERROR(__xludf.DUMMYFUNCTION("""COMPUTED_VALUE"""),"R")</f>
        <v>R</v>
      </c>
      <c r="B254" s="436">
        <f ca="1">IFERROR(__xludf.DUMMYFUNCTION("""COMPUTED_VALUE"""),44795.5123191782)</f>
        <v>44795.512319178197</v>
      </c>
      <c r="C254" s="179" t="str">
        <f ca="1">IFERROR(__xludf.DUMMYFUNCTION("""COMPUTED_VALUE"""),"ahmed.bahgat@stern.nyu.edu")</f>
        <v>ahmed.bahgat@stern.nyu.edu</v>
      </c>
      <c r="D254" s="179" t="str">
        <f ca="1">IFERROR(__xludf.DUMMYFUNCTION("""COMPUTED_VALUE"""),"Ahmed Bahgat")</f>
        <v>Ahmed Bahgat</v>
      </c>
      <c r="E254" s="179" t="str">
        <f ca="1">IFERROR(__xludf.DUMMYFUNCTION("""COMPUTED_VALUE"""),"I have read and understand the confidentiality agreement for application reviewers.")</f>
        <v>I have read and understand the confidentiality agreement for application reviewers.</v>
      </c>
      <c r="F254" s="179" t="str">
        <f ca="1">IFERROR(__xludf.DUMMYFUNCTION("""COMPUTED_VALUE"""),"Serenity Bioworks")</f>
        <v>Serenity Bioworks</v>
      </c>
      <c r="G254" s="179" t="str">
        <f ca="1">IFERROR(__xludf.DUMMYFUNCTION("""COMPUTED_VALUE"""),"Developing therapies for severe autoimmune diseases by focusing on myeloid cell biology.
Focused on lupus nephritis which has shown positive effects on preserving kidney function
While a highly competitive market sector as depicted by slide 10 in the deck"&amp;", Serenity has key differentiators.")</f>
        <v>Developing therapies for severe autoimmune diseases by focusing on myeloid cell biology.
Focused on lupus nephritis which has shown positive effects on preserving kidney function
While a highly competitive market sector as depicted by slide 10 in the deck, Serenity has key differentiators.</v>
      </c>
      <c r="H254" s="179">
        <f ca="1">IFERROR(__xludf.DUMMYFUNCTION("""COMPUTED_VALUE"""),5)</f>
        <v>5</v>
      </c>
      <c r="I254" s="179">
        <f ca="1">IFERROR(__xludf.DUMMYFUNCTION("""COMPUTED_VALUE"""),5)</f>
        <v>5</v>
      </c>
      <c r="J254" s="179">
        <f ca="1">IFERROR(__xludf.DUMMYFUNCTION("""COMPUTED_VALUE"""),3)</f>
        <v>3</v>
      </c>
      <c r="K254" s="179">
        <f ca="1">IFERROR(__xludf.DUMMYFUNCTION("""COMPUTED_VALUE"""),2)</f>
        <v>2</v>
      </c>
      <c r="L254" s="179" t="str">
        <f ca="1">IFERROR(__xludf.DUMMYFUNCTION("""COMPUTED_VALUE"""),"Unique and potentially critical treatment for lupus patients.")</f>
        <v>Unique and potentially critical treatment for lupus patients.</v>
      </c>
      <c r="M254" s="179">
        <f ca="1">IFERROR(__xludf.DUMMYFUNCTION("""COMPUTED_VALUE"""),3)</f>
        <v>3</v>
      </c>
      <c r="N254" s="179">
        <f ca="1">IFERROR(__xludf.DUMMYFUNCTION("""COMPUTED_VALUE"""),1)</f>
        <v>1</v>
      </c>
      <c r="O254" s="179" t="str">
        <f ca="1">IFERROR(__xludf.DUMMYFUNCTION("""COMPUTED_VALUE"""),"Target Market not clealy defined/broken out anywhere hence TAM, SAM, SOM breakdown provided is not clear")</f>
        <v>Target Market not clealy defined/broken out anywhere hence TAM, SAM, SOM breakdown provided is not clear</v>
      </c>
      <c r="P254" s="179">
        <f ca="1">IFERROR(__xludf.DUMMYFUNCTION("""COMPUTED_VALUE"""),3)</f>
        <v>3</v>
      </c>
      <c r="Q254" s="179">
        <f ca="1">IFERROR(__xludf.DUMMYFUNCTION("""COMPUTED_VALUE"""),5)</f>
        <v>5</v>
      </c>
      <c r="R254" s="179">
        <f ca="1">IFERROR(__xludf.DUMMYFUNCTION("""COMPUTED_VALUE"""),5)</f>
        <v>5</v>
      </c>
      <c r="S254" s="179" t="str">
        <f ca="1">IFERROR(__xludf.DUMMYFUNCTION("""COMPUTED_VALUE"""),"Solid team with a strong board of advisors.")</f>
        <v>Solid team with a strong board of advisors.</v>
      </c>
      <c r="T254" s="179"/>
      <c r="U254" s="179" t="str">
        <f ca="1">IFERROR(__xludf.DUMMYFUNCTION("""COMPUTED_VALUE"""),"&gt;$5M")</f>
        <v>&gt;$5M</v>
      </c>
      <c r="V254" s="179">
        <f ca="1">IFERROR(__xludf.DUMMYFUNCTION("""COMPUTED_VALUE"""),4)</f>
        <v>4</v>
      </c>
      <c r="W254" s="179" t="str">
        <f ca="1">IFERROR(__xludf.DUMMYFUNCTION("""COMPUTED_VALUE"""),"It seems that phase II trials are the next phase for testing this treatment with funding being the biggest obstacle to get there. Aside from seeking funding, it does not seem that they are particularly looking for mentors/advisors or business plan refinem"&amp;"ent, hence
they might not be optimally positioned to reap what EFL has to offer.")</f>
        <v>It seems that phase II trials are the next phase for testing this treatment with funding being the biggest obstacle to get there. Aside from seeking funding, it does not seem that they are particularly looking for mentors/advisors or business plan refinement, hence
they might not be optimally positioned to reap what EFL has to offer.</v>
      </c>
    </row>
    <row r="255" spans="1:23">
      <c r="A255" s="179" t="str">
        <f ca="1">IFERROR(__xludf.DUMMYFUNCTION("""COMPUTED_VALUE"""),"R")</f>
        <v>R</v>
      </c>
      <c r="B255" s="436">
        <f ca="1">IFERROR(__xludf.DUMMYFUNCTION("""COMPUTED_VALUE"""),44795.513426493)</f>
        <v>44795.513426493002</v>
      </c>
      <c r="C255" s="179" t="str">
        <f ca="1">IFERROR(__xludf.DUMMYFUNCTION("""COMPUTED_VALUE"""),"ahmed.bahgat@stern.nyu.edu")</f>
        <v>ahmed.bahgat@stern.nyu.edu</v>
      </c>
      <c r="D255" s="179" t="str">
        <f ca="1">IFERROR(__xludf.DUMMYFUNCTION("""COMPUTED_VALUE"""),"Ahmed Bahgat")</f>
        <v>Ahmed Bahgat</v>
      </c>
      <c r="E255" s="179" t="str">
        <f ca="1">IFERROR(__xludf.DUMMYFUNCTION("""COMPUTED_VALUE"""),"I have read and understand the confidentiality agreement for application reviewers.")</f>
        <v>I have read and understand the confidentiality agreement for application reviewers.</v>
      </c>
      <c r="F255" s="179" t="str">
        <f ca="1">IFERROR(__xludf.DUMMYFUNCTION("""COMPUTED_VALUE"""),"ShanX Medtech BV")</f>
        <v>ShanX Medtech BV</v>
      </c>
      <c r="G255" s="179" t="str">
        <f ca="1">IFERROR(__xludf.DUMMYFUNCTION("""COMPUTED_VALUE"""),"Provides doctors with Antibiotic Efficiency Testing mechanism to properly treat Urinary Tract Infections. This mechanism supersedes existing options as it is universal, faster, and convenient. Proof of concept currently being tested with samples.")</f>
        <v>Provides doctors with Antibiotic Efficiency Testing mechanism to properly treat Urinary Tract Infections. This mechanism supersedes existing options as it is universal, faster, and convenient. Proof of concept currently being tested with samples.</v>
      </c>
      <c r="H255" s="179">
        <f ca="1">IFERROR(__xludf.DUMMYFUNCTION("""COMPUTED_VALUE"""),5)</f>
        <v>5</v>
      </c>
      <c r="I255" s="179">
        <f ca="1">IFERROR(__xludf.DUMMYFUNCTION("""COMPUTED_VALUE"""),5)</f>
        <v>5</v>
      </c>
      <c r="J255" s="179">
        <f ca="1">IFERROR(__xludf.DUMMYFUNCTION("""COMPUTED_VALUE"""),4)</f>
        <v>4</v>
      </c>
      <c r="K255" s="179">
        <f ca="1">IFERROR(__xludf.DUMMYFUNCTION("""COMPUTED_VALUE"""),5)</f>
        <v>5</v>
      </c>
      <c r="L255" s="179" t="str">
        <f ca="1">IFERROR(__xludf.DUMMYFUNCTION("""COMPUTED_VALUE"""),"Technology is based on the environmental monitoring of bacterial metabolic changes in the presence of a specific antibiotic.  Using microfluidic technologies, an analyzing system detects the sensor changes and translates them into a readout with a digital"&amp;" output.")</f>
        <v>Technology is based on the environmental monitoring of bacterial metabolic changes in the presence of a specific antibiotic.  Using microfluidic technologies, an analyzing system detects the sensor changes and translates them into a readout with a digital output.</v>
      </c>
      <c r="M255" s="179">
        <f ca="1">IFERROR(__xludf.DUMMYFUNCTION("""COMPUTED_VALUE"""),5)</f>
        <v>5</v>
      </c>
      <c r="N255" s="179">
        <f ca="1">IFERROR(__xludf.DUMMYFUNCTION("""COMPUTED_VALUE"""),1)</f>
        <v>1</v>
      </c>
      <c r="O255" s="179" t="str">
        <f ca="1">IFERROR(__xludf.DUMMYFUNCTION("""COMPUTED_VALUE"""),"Targeting patients with UTI symptoms that need to get tested for antibiotic efficiency testing.")</f>
        <v>Targeting patients with UTI symptoms that need to get tested for antibiotic efficiency testing.</v>
      </c>
      <c r="P255" s="179">
        <f ca="1">IFERROR(__xludf.DUMMYFUNCTION("""COMPUTED_VALUE"""),3)</f>
        <v>3</v>
      </c>
      <c r="Q255" s="179">
        <f ca="1">IFERROR(__xludf.DUMMYFUNCTION("""COMPUTED_VALUE"""),5)</f>
        <v>5</v>
      </c>
      <c r="R255" s="179">
        <f ca="1">IFERROR(__xludf.DUMMYFUNCTION("""COMPUTED_VALUE"""),5)</f>
        <v>5</v>
      </c>
      <c r="S255" s="179" t="str">
        <f ca="1">IFERROR(__xludf.DUMMYFUNCTION("""COMPUTED_VALUE"""),"Strong team with experienced mentors. ")</f>
        <v xml:space="preserve">Strong team with experienced mentors. </v>
      </c>
      <c r="T255" s="179"/>
      <c r="U255" s="179" t="str">
        <f ca="1">IFERROR(__xludf.DUMMYFUNCTION("""COMPUTED_VALUE"""),"$500K-$1M")</f>
        <v>$500K-$1M</v>
      </c>
      <c r="V255" s="179">
        <f ca="1">IFERROR(__xludf.DUMMYFUNCTION("""COMPUTED_VALUE"""),5)</f>
        <v>5</v>
      </c>
      <c r="W255" s="179" t="str">
        <f ca="1">IFERROR(__xludf.DUMMYFUNCTION("""COMPUTED_VALUE"""),"Business is Dutch-focused and looking to expand to the US market and is looking to EFL to do so. They clearly articulate list of prioritized issues they are looking to work on during EFL, which tells me they are well positioned and looking to make the mos"&amp;"t from EFL.")</f>
        <v>Business is Dutch-focused and looking to expand to the US market and is looking to EFL to do so. They clearly articulate list of prioritized issues they are looking to work on during EFL, which tells me they are well positioned and looking to make the most from EFL.</v>
      </c>
    </row>
    <row r="256" spans="1:23">
      <c r="A256" s="179" t="str">
        <f ca="1">IFERROR(__xludf.DUMMYFUNCTION("""COMPUTED_VALUE"""),"R")</f>
        <v>R</v>
      </c>
      <c r="B256" s="436">
        <f ca="1">IFERROR(__xludf.DUMMYFUNCTION("""COMPUTED_VALUE"""),44795.5147018055)</f>
        <v>44795.514701805499</v>
      </c>
      <c r="C256" s="179" t="str">
        <f ca="1">IFERROR(__xludf.DUMMYFUNCTION("""COMPUTED_VALUE"""),"ahmed.bahgat@stern.nyu.edu")</f>
        <v>ahmed.bahgat@stern.nyu.edu</v>
      </c>
      <c r="D256" s="179" t="str">
        <f ca="1">IFERROR(__xludf.DUMMYFUNCTION("""COMPUTED_VALUE"""),"Ahmed Bahgat")</f>
        <v>Ahmed Bahgat</v>
      </c>
      <c r="E256" s="179" t="str">
        <f ca="1">IFERROR(__xludf.DUMMYFUNCTION("""COMPUTED_VALUE"""),"I have read and understand the confidentiality agreement for application reviewers.")</f>
        <v>I have read and understand the confidentiality agreement for application reviewers.</v>
      </c>
      <c r="F256" s="179" t="str">
        <f ca="1">IFERROR(__xludf.DUMMYFUNCTION("""COMPUTED_VALUE"""),"ShareID")</f>
        <v>ShareID</v>
      </c>
      <c r="G256" s="179" t="str">
        <f ca="1">IFERROR(__xludf.DUMMYFUNCTION("""COMPUTED_VALUE"""),"Authentication as a service solution by issuing a reusable digital identity enabling business to trigger on-demand and in real time an ID verification without storing the user's personal data.")</f>
        <v>Authentication as a service solution by issuing a reusable digital identity enabling business to trigger on-demand and in real time an ID verification without storing the user's personal data.</v>
      </c>
      <c r="H256" s="179">
        <f ca="1">IFERROR(__xludf.DUMMYFUNCTION("""COMPUTED_VALUE"""),5)</f>
        <v>5</v>
      </c>
      <c r="I256" s="179">
        <f ca="1">IFERROR(__xludf.DUMMYFUNCTION("""COMPUTED_VALUE"""),5)</f>
        <v>5</v>
      </c>
      <c r="J256" s="179">
        <f ca="1">IFERROR(__xludf.DUMMYFUNCTION("""COMPUTED_VALUE"""),5)</f>
        <v>5</v>
      </c>
      <c r="K256" s="179">
        <f ca="1">IFERROR(__xludf.DUMMYFUNCTION("""COMPUTED_VALUE"""),5)</f>
        <v>5</v>
      </c>
      <c r="L256" s="179" t="str">
        <f ca="1">IFERROR(__xludf.DUMMYFUNCTION("""COMPUTED_VALUE"""),"Technology solution seeks to address recurrent Identity verification without storing personal data.")</f>
        <v>Technology solution seeks to address recurrent Identity verification without storing personal data.</v>
      </c>
      <c r="M256" s="179">
        <f ca="1">IFERROR(__xludf.DUMMYFUNCTION("""COMPUTED_VALUE"""),3)</f>
        <v>3</v>
      </c>
      <c r="N256" s="179">
        <f ca="1">IFERROR(__xludf.DUMMYFUNCTION("""COMPUTED_VALUE"""),5)</f>
        <v>5</v>
      </c>
      <c r="O256" s="179" t="str">
        <f ca="1">IFERROR(__xludf.DUMMYFUNCTION("""COMPUTED_VALUE"""),"Target Market is not clearly defined or broken out but tries to reflect how big of an opportunity the digital market identity is.")</f>
        <v>Target Market is not clearly defined or broken out but tries to reflect how big of an opportunity the digital market identity is.</v>
      </c>
      <c r="P256" s="179">
        <f ca="1">IFERROR(__xludf.DUMMYFUNCTION("""COMPUTED_VALUE"""),5)</f>
        <v>5</v>
      </c>
      <c r="Q256" s="179">
        <f ca="1">IFERROR(__xludf.DUMMYFUNCTION("""COMPUTED_VALUE"""),5)</f>
        <v>5</v>
      </c>
      <c r="R256" s="179">
        <f ca="1">IFERROR(__xludf.DUMMYFUNCTION("""COMPUTED_VALUE"""),5)</f>
        <v>5</v>
      </c>
      <c r="S256" s="179" t="str">
        <f ca="1">IFERROR(__xludf.DUMMYFUNCTION("""COMPUTED_VALUE"""),"Solid team with strong advisors to help execute on a strong vision.")</f>
        <v>Solid team with strong advisors to help execute on a strong vision.</v>
      </c>
      <c r="T256" s="179"/>
      <c r="U256" s="179" t="str">
        <f ca="1">IFERROR(__xludf.DUMMYFUNCTION("""COMPUTED_VALUE"""),"$0")</f>
        <v>$0</v>
      </c>
      <c r="V256" s="179">
        <f ca="1">IFERROR(__xludf.DUMMYFUNCTION("""COMPUTED_VALUE"""),5)</f>
        <v>5</v>
      </c>
      <c r="W256" s="179" t="str">
        <f ca="1">IFERROR(__xludf.DUMMYFUNCTION("""COMPUTED_VALUE"""),"Business was launched in Europe and looking to expand in the US. They seem to be very well positioned to benefit from everything EFL offers such as mentoring, local market knowledge, product/market fit, etc.")</f>
        <v>Business was launched in Europe and looking to expand in the US. They seem to be very well positioned to benefit from everything EFL offers such as mentoring, local market knowledge, product/market fit, etc.</v>
      </c>
    </row>
    <row r="257" spans="1:23">
      <c r="A257" s="179" t="str">
        <f ca="1">IFERROR(__xludf.DUMMYFUNCTION("""COMPUTED_VALUE"""),"R")</f>
        <v>R</v>
      </c>
      <c r="B257" s="436">
        <f ca="1">IFERROR(__xludf.DUMMYFUNCTION("""COMPUTED_VALUE"""),44795.6668136805)</f>
        <v>44795.666813680502</v>
      </c>
      <c r="C257" s="179" t="str">
        <f ca="1">IFERROR(__xludf.DUMMYFUNCTION("""COMPUTED_VALUE"""),"ahmed.bahgat@stern.nyu.edu")</f>
        <v>ahmed.bahgat@stern.nyu.edu</v>
      </c>
      <c r="D257" s="179" t="str">
        <f ca="1">IFERROR(__xludf.DUMMYFUNCTION("""COMPUTED_VALUE"""),"Ahmed Bahgat")</f>
        <v>Ahmed Bahgat</v>
      </c>
      <c r="E257" s="179" t="str">
        <f ca="1">IFERROR(__xludf.DUMMYFUNCTION("""COMPUTED_VALUE"""),"I have read and understand the confidentiality agreement for application reviewers.")</f>
        <v>I have read and understand the confidentiality agreement for application reviewers.</v>
      </c>
      <c r="F257" s="179" t="str">
        <f ca="1">IFERROR(__xludf.DUMMYFUNCTION("""COMPUTED_VALUE"""),"Shipturtle Apps Pvt Ltd")</f>
        <v>Shipturtle Apps Pvt Ltd</v>
      </c>
      <c r="G257" s="179" t="str">
        <f ca="1">IFERROR(__xludf.DUMMYFUNCTION("""COMPUTED_VALUE"""),"SaaS helping ecommerce stores building their own digital Brand by creating their own customized vertical marketplaces instead of relying on Amazon.")</f>
        <v>SaaS helping ecommerce stores building their own digital Brand by creating their own customized vertical marketplaces instead of relying on Amazon.</v>
      </c>
      <c r="H257" s="179">
        <f ca="1">IFERROR(__xludf.DUMMYFUNCTION("""COMPUTED_VALUE"""),5)</f>
        <v>5</v>
      </c>
      <c r="I257" s="179">
        <f ca="1">IFERROR(__xludf.DUMMYFUNCTION("""COMPUTED_VALUE"""),4)</f>
        <v>4</v>
      </c>
      <c r="J257" s="179">
        <f ca="1">IFERROR(__xludf.DUMMYFUNCTION("""COMPUTED_VALUE"""),5)</f>
        <v>5</v>
      </c>
      <c r="K257" s="179">
        <f ca="1">IFERROR(__xludf.DUMMYFUNCTION("""COMPUTED_VALUE"""),1)</f>
        <v>1</v>
      </c>
      <c r="L257" s="179" t="str">
        <f ca="1">IFERROR(__xludf.DUMMYFUNCTION("""COMPUTED_VALUE"""),"Solution allows for creating your own specialized marketplace instead of relying on amazon. It offers integration with platforms (Shopify, Magento, Woocommerce etc.), UI / UX, built integrations with Shippers, Payments, Chat tools, customization and
scala"&amp;"bility for Enterprise clients, Support and Service with a pay as per scale model.")</f>
        <v>Solution allows for creating your own specialized marketplace instead of relying on amazon. It offers integration with platforms (Shopify, Magento, Woocommerce etc.), UI / UX, built integrations with Shippers, Payments, Chat tools, customization and
scalability for Enterprise clients, Support and Service with a pay as per scale model.</v>
      </c>
      <c r="M257" s="179">
        <f ca="1">IFERROR(__xludf.DUMMYFUNCTION("""COMPUTED_VALUE"""),5)</f>
        <v>5</v>
      </c>
      <c r="N257" s="179">
        <f ca="1">IFERROR(__xludf.DUMMYFUNCTION("""COMPUTED_VALUE"""),4)</f>
        <v>4</v>
      </c>
      <c r="O257" s="179" t="str">
        <f ca="1">IFERROR(__xludf.DUMMYFUNCTION("""COMPUTED_VALUE"""),"SAM is defined as 15% of stores that have &gt;250 products listed and are potential customers for our app and SOM is to capture 10% of this market after adjusting for competition and
stores which do not scale. It does not seem clear to me why SAM is so narro"&amp;"wly defined but it maybe because the solution best addresses this segment.")</f>
        <v>SAM is defined as 15% of stores that have &gt;250 products listed and are potential customers for our app and SOM is to capture 10% of this market after adjusting for competition and
stores which do not scale. It does not seem clear to me why SAM is so narrowly defined but it maybe because the solution best addresses this segment.</v>
      </c>
      <c r="P257" s="179">
        <f ca="1">IFERROR(__xludf.DUMMYFUNCTION("""COMPUTED_VALUE"""),5)</f>
        <v>5</v>
      </c>
      <c r="Q257" s="179">
        <f ca="1">IFERROR(__xludf.DUMMYFUNCTION("""COMPUTED_VALUE"""),5)</f>
        <v>5</v>
      </c>
      <c r="R257" s="179">
        <f ca="1">IFERROR(__xludf.DUMMYFUNCTION("""COMPUTED_VALUE"""),3)</f>
        <v>3</v>
      </c>
      <c r="S257" s="179" t="str">
        <f ca="1">IFERROR(__xludf.DUMMYFUNCTION("""COMPUTED_VALUE"""),"Strong vision - To democratize Marketplaces and help brands offer a wider range of products on their website by building digital Partnerships.
No mention of advisors in application or deck.")</f>
        <v>Strong vision - To democratize Marketplaces and help brands offer a wider range of products on their website by building digital Partnerships.
No mention of advisors in application or deck.</v>
      </c>
      <c r="T257" s="437">
        <f ca="1">IFERROR(__xludf.DUMMYFUNCTION("""COMPUTED_VALUE"""),0)</f>
        <v>0</v>
      </c>
      <c r="U257" s="179" t="str">
        <f ca="1">IFERROR(__xludf.DUMMYFUNCTION("""COMPUTED_VALUE"""),"&lt;$500K")</f>
        <v>&lt;$500K</v>
      </c>
      <c r="V257" s="179">
        <f ca="1">IFERROR(__xludf.DUMMYFUNCTION("""COMPUTED_VALUE"""),5)</f>
        <v>5</v>
      </c>
      <c r="W257" s="179" t="str">
        <f ca="1">IFERROR(__xludf.DUMMYFUNCTION("""COMPUTED_VALUE"""),"Solid business that is well positioned to benefit from EFL as they are looking for mentors/advisors, and potentially business model refinement and market research. ")</f>
        <v xml:space="preserve">Solid business that is well positioned to benefit from EFL as they are looking for mentors/advisors, and potentially business model refinement and market research. </v>
      </c>
    </row>
    <row r="258" spans="1:23">
      <c r="A258" s="179" t="str">
        <f ca="1">IFERROR(__xludf.DUMMYFUNCTION("""COMPUTED_VALUE"""),"R")</f>
        <v>R</v>
      </c>
      <c r="B258" s="436">
        <f ca="1">IFERROR(__xludf.DUMMYFUNCTION("""COMPUTED_VALUE"""),44795.7051545601)</f>
        <v>44795.705154560099</v>
      </c>
      <c r="C258" s="179" t="str">
        <f ca="1">IFERROR(__xludf.DUMMYFUNCTION("""COMPUTED_VALUE"""),"jm5201@stern.nyu.edu")</f>
        <v>jm5201@stern.nyu.edu</v>
      </c>
      <c r="D258" s="179" t="str">
        <f ca="1">IFERROR(__xludf.DUMMYFUNCTION("""COMPUTED_VALUE"""),"John McDonald")</f>
        <v>John McDonald</v>
      </c>
      <c r="E258" s="179" t="str">
        <f ca="1">IFERROR(__xludf.DUMMYFUNCTION("""COMPUTED_VALUE"""),"I have read and understand the confidentiality agreement for application reviewers.")</f>
        <v>I have read and understand the confidentiality agreement for application reviewers.</v>
      </c>
      <c r="F258" s="179" t="str">
        <f ca="1">IFERROR(__xludf.DUMMYFUNCTION("""COMPUTED_VALUE"""),"VLP Plus LLC")</f>
        <v>VLP Plus LLC</v>
      </c>
      <c r="G258" s="179" t="str">
        <f ca="1">IFERROR(__xludf.DUMMYFUNCTION("""COMPUTED_VALUE"""),"Life sciences cancer treatment")</f>
        <v>Life sciences cancer treatment</v>
      </c>
      <c r="H258" s="179">
        <f ca="1">IFERROR(__xludf.DUMMYFUNCTION("""COMPUTED_VALUE"""),3)</f>
        <v>3</v>
      </c>
      <c r="I258" s="179">
        <f ca="1">IFERROR(__xludf.DUMMYFUNCTION("""COMPUTED_VALUE"""),3)</f>
        <v>3</v>
      </c>
      <c r="J258" s="179">
        <f ca="1">IFERROR(__xludf.DUMMYFUNCTION("""COMPUTED_VALUE"""),2)</f>
        <v>2</v>
      </c>
      <c r="K258" s="179">
        <f ca="1">IFERROR(__xludf.DUMMYFUNCTION("""COMPUTED_VALUE"""),2)</f>
        <v>2</v>
      </c>
      <c r="L258" s="179"/>
      <c r="M258" s="179">
        <f ca="1">IFERROR(__xludf.DUMMYFUNCTION("""COMPUTED_VALUE"""),3)</f>
        <v>3</v>
      </c>
      <c r="N258" s="179">
        <f ca="1">IFERROR(__xludf.DUMMYFUNCTION("""COMPUTED_VALUE"""),2)</f>
        <v>2</v>
      </c>
      <c r="O258" s="179"/>
      <c r="P258" s="179">
        <f ca="1">IFERROR(__xludf.DUMMYFUNCTION("""COMPUTED_VALUE"""),2)</f>
        <v>2</v>
      </c>
      <c r="Q258" s="179">
        <f ca="1">IFERROR(__xludf.DUMMYFUNCTION("""COMPUTED_VALUE"""),3)</f>
        <v>3</v>
      </c>
      <c r="R258" s="179">
        <f ca="1">IFERROR(__xludf.DUMMYFUNCTION("""COMPUTED_VALUE"""),3)</f>
        <v>3</v>
      </c>
      <c r="S258" s="179"/>
      <c r="T258" s="437">
        <f ca="1">IFERROR(__xludf.DUMMYFUNCTION("""COMPUTED_VALUE"""),0)</f>
        <v>0</v>
      </c>
      <c r="U258" s="179" t="str">
        <f ca="1">IFERROR(__xludf.DUMMYFUNCTION("""COMPUTED_VALUE"""),"$1-$5M")</f>
        <v>$1-$5M</v>
      </c>
      <c r="V258" s="179">
        <f ca="1">IFERROR(__xludf.DUMMYFUNCTION("""COMPUTED_VALUE"""),2)</f>
        <v>2</v>
      </c>
      <c r="W258" s="179"/>
    </row>
    <row r="259" spans="1:23">
      <c r="A259" s="179" t="str">
        <f ca="1">IFERROR(__xludf.DUMMYFUNCTION("""COMPUTED_VALUE"""),"R")</f>
        <v>R</v>
      </c>
      <c r="B259" s="436">
        <f ca="1">IFERROR(__xludf.DUMMYFUNCTION("""COMPUTED_VALUE"""),44795.7062859722)</f>
        <v>44795.706285972199</v>
      </c>
      <c r="C259" s="179" t="str">
        <f ca="1">IFERROR(__xludf.DUMMYFUNCTION("""COMPUTED_VALUE"""),"jm5201@stern.nyu.edu")</f>
        <v>jm5201@stern.nyu.edu</v>
      </c>
      <c r="D259" s="179" t="str">
        <f ca="1">IFERROR(__xludf.DUMMYFUNCTION("""COMPUTED_VALUE"""),"John McDonald")</f>
        <v>John McDonald</v>
      </c>
      <c r="E259" s="179" t="str">
        <f ca="1">IFERROR(__xludf.DUMMYFUNCTION("""COMPUTED_VALUE"""),"I have read and understand the confidentiality agreement for application reviewers.")</f>
        <v>I have read and understand the confidentiality agreement for application reviewers.</v>
      </c>
      <c r="F259" s="179" t="str">
        <f ca="1">IFERROR(__xludf.DUMMYFUNCTION("""COMPUTED_VALUE"""),"Voltela")</f>
        <v>Voltela</v>
      </c>
      <c r="G259" s="179" t="str">
        <f ca="1">IFERROR(__xludf.DUMMYFUNCTION("""COMPUTED_VALUE"""),"Drone connectivity")</f>
        <v>Drone connectivity</v>
      </c>
      <c r="H259" s="179">
        <f ca="1">IFERROR(__xludf.DUMMYFUNCTION("""COMPUTED_VALUE"""),2)</f>
        <v>2</v>
      </c>
      <c r="I259" s="179">
        <f ca="1">IFERROR(__xludf.DUMMYFUNCTION("""COMPUTED_VALUE"""),3)</f>
        <v>3</v>
      </c>
      <c r="J259" s="179">
        <f ca="1">IFERROR(__xludf.DUMMYFUNCTION("""COMPUTED_VALUE"""),3)</f>
        <v>3</v>
      </c>
      <c r="K259" s="179">
        <f ca="1">IFERROR(__xludf.DUMMYFUNCTION("""COMPUTED_VALUE"""),3)</f>
        <v>3</v>
      </c>
      <c r="L259" s="179"/>
      <c r="M259" s="179">
        <f ca="1">IFERROR(__xludf.DUMMYFUNCTION("""COMPUTED_VALUE"""),4)</f>
        <v>4</v>
      </c>
      <c r="N259" s="179">
        <f ca="1">IFERROR(__xludf.DUMMYFUNCTION("""COMPUTED_VALUE"""),2)</f>
        <v>2</v>
      </c>
      <c r="O259" s="179"/>
      <c r="P259" s="179">
        <f ca="1">IFERROR(__xludf.DUMMYFUNCTION("""COMPUTED_VALUE"""),3)</f>
        <v>3</v>
      </c>
      <c r="Q259" s="179">
        <f ca="1">IFERROR(__xludf.DUMMYFUNCTION("""COMPUTED_VALUE"""),3)</f>
        <v>3</v>
      </c>
      <c r="R259" s="179">
        <f ca="1">IFERROR(__xludf.DUMMYFUNCTION("""COMPUTED_VALUE"""),4)</f>
        <v>4</v>
      </c>
      <c r="S259" s="179"/>
      <c r="T259" s="179"/>
      <c r="U259" s="179" t="str">
        <f ca="1">IFERROR(__xludf.DUMMYFUNCTION("""COMPUTED_VALUE"""),"$500K-$1M")</f>
        <v>$500K-$1M</v>
      </c>
      <c r="V259" s="179">
        <f ca="1">IFERROR(__xludf.DUMMYFUNCTION("""COMPUTED_VALUE"""),3)</f>
        <v>3</v>
      </c>
      <c r="W259" s="179"/>
    </row>
    <row r="260" spans="1:23">
      <c r="A260" s="179" t="str">
        <f ca="1">IFERROR(__xludf.DUMMYFUNCTION("""COMPUTED_VALUE"""),"R")</f>
        <v>R</v>
      </c>
      <c r="B260" s="436">
        <f ca="1">IFERROR(__xludf.DUMMYFUNCTION("""COMPUTED_VALUE"""),44795.7081393287)</f>
        <v>44795.708139328701</v>
      </c>
      <c r="C260" s="179" t="str">
        <f ca="1">IFERROR(__xludf.DUMMYFUNCTION("""COMPUTED_VALUE"""),"jm5201@stern.nyu.edu")</f>
        <v>jm5201@stern.nyu.edu</v>
      </c>
      <c r="D260" s="179" t="str">
        <f ca="1">IFERROR(__xludf.DUMMYFUNCTION("""COMPUTED_VALUE"""),"John McDonald")</f>
        <v>John McDonald</v>
      </c>
      <c r="E260" s="179" t="str">
        <f ca="1">IFERROR(__xludf.DUMMYFUNCTION("""COMPUTED_VALUE"""),"I have read and understand the confidentiality agreement for application reviewers.")</f>
        <v>I have read and understand the confidentiality agreement for application reviewers.</v>
      </c>
      <c r="F260" s="179" t="str">
        <f ca="1">IFERROR(__xludf.DUMMYFUNCTION("""COMPUTED_VALUE"""),"Vyv")</f>
        <v>Vyv</v>
      </c>
      <c r="G260" s="179" t="str">
        <f ca="1">IFERROR(__xludf.DUMMYFUNCTION("""COMPUTED_VALUE"""),"Life sciences antimicrobial light - pre series B")</f>
        <v>Life sciences antimicrobial light - pre series B</v>
      </c>
      <c r="H260" s="179">
        <f ca="1">IFERROR(__xludf.DUMMYFUNCTION("""COMPUTED_VALUE"""),4)</f>
        <v>4</v>
      </c>
      <c r="I260" s="179">
        <f ca="1">IFERROR(__xludf.DUMMYFUNCTION("""COMPUTED_VALUE"""),4)</f>
        <v>4</v>
      </c>
      <c r="J260" s="179">
        <f ca="1">IFERROR(__xludf.DUMMYFUNCTION("""COMPUTED_VALUE"""),4)</f>
        <v>4</v>
      </c>
      <c r="K260" s="179">
        <f ca="1">IFERROR(__xludf.DUMMYFUNCTION("""COMPUTED_VALUE"""),3)</f>
        <v>3</v>
      </c>
      <c r="L260" s="179"/>
      <c r="M260" s="179">
        <f ca="1">IFERROR(__xludf.DUMMYFUNCTION("""COMPUTED_VALUE"""),4)</f>
        <v>4</v>
      </c>
      <c r="N260" s="179">
        <f ca="1">IFERROR(__xludf.DUMMYFUNCTION("""COMPUTED_VALUE"""),5)</f>
        <v>5</v>
      </c>
      <c r="O260" s="179"/>
      <c r="P260" s="179">
        <f ca="1">IFERROR(__xludf.DUMMYFUNCTION("""COMPUTED_VALUE"""),4)</f>
        <v>4</v>
      </c>
      <c r="Q260" s="179">
        <f ca="1">IFERROR(__xludf.DUMMYFUNCTION("""COMPUTED_VALUE"""),3)</f>
        <v>3</v>
      </c>
      <c r="R260" s="179">
        <f ca="1">IFERROR(__xludf.DUMMYFUNCTION("""COMPUTED_VALUE"""),4)</f>
        <v>4</v>
      </c>
      <c r="S260" s="179"/>
      <c r="T260" s="179"/>
      <c r="U260" s="179" t="str">
        <f ca="1">IFERROR(__xludf.DUMMYFUNCTION("""COMPUTED_VALUE"""),"&gt;$5M")</f>
        <v>&gt;$5M</v>
      </c>
      <c r="V260" s="179">
        <f ca="1">IFERROR(__xludf.DUMMYFUNCTION("""COMPUTED_VALUE"""),5)</f>
        <v>5</v>
      </c>
      <c r="W260" s="179"/>
    </row>
    <row r="261" spans="1:23">
      <c r="A261" s="179" t="str">
        <f ca="1">IFERROR(__xludf.DUMMYFUNCTION("""COMPUTED_VALUE"""),"R")</f>
        <v>R</v>
      </c>
      <c r="B261" s="436">
        <f ca="1">IFERROR(__xludf.DUMMYFUNCTION("""COMPUTED_VALUE"""),44795.7125797453)</f>
        <v>44795.712579745297</v>
      </c>
      <c r="C261" s="179" t="str">
        <f ca="1">IFERROR(__xludf.DUMMYFUNCTION("""COMPUTED_VALUE"""),"ahmed.bahgat@stern.nyu.edu")</f>
        <v>ahmed.bahgat@stern.nyu.edu</v>
      </c>
      <c r="D261" s="179" t="str">
        <f ca="1">IFERROR(__xludf.DUMMYFUNCTION("""COMPUTED_VALUE"""),"Ahmed Bahgat")</f>
        <v>Ahmed Bahgat</v>
      </c>
      <c r="E261" s="179" t="str">
        <f ca="1">IFERROR(__xludf.DUMMYFUNCTION("""COMPUTED_VALUE"""),"I have read and understand the confidentiality agreement for application reviewers.")</f>
        <v>I have read and understand the confidentiality agreement for application reviewers.</v>
      </c>
      <c r="F261" s="179" t="str">
        <f ca="1">IFERROR(__xludf.DUMMYFUNCTION("""COMPUTED_VALUE"""),"Shortcut Robotics, Inc.")</f>
        <v>Shortcut Robotics, Inc.</v>
      </c>
      <c r="G261" s="179" t="str">
        <f ca="1">IFERROR(__xludf.DUMMYFUNCTION("""COMPUTED_VALUE"""),"Telepresence robot manufacturer/Seller/Rental provider. The growth in this industry is driven by the need for it in the healthcare industry. ")</f>
        <v xml:space="preserve">Telepresence robot manufacturer/Seller/Rental provider. The growth in this industry is driven by the need for it in the healthcare industry. </v>
      </c>
      <c r="H261" s="179">
        <f ca="1">IFERROR(__xludf.DUMMYFUNCTION("""COMPUTED_VALUE"""),5)</f>
        <v>5</v>
      </c>
      <c r="I261" s="179">
        <f ca="1">IFERROR(__xludf.DUMMYFUNCTION("""COMPUTED_VALUE"""),2)</f>
        <v>2</v>
      </c>
      <c r="J261" s="179">
        <f ca="1">IFERROR(__xludf.DUMMYFUNCTION("""COMPUTED_VALUE"""),5)</f>
        <v>5</v>
      </c>
      <c r="K261" s="179">
        <f ca="1">IFERROR(__xludf.DUMMYFUNCTION("""COMPUTED_VALUE"""),1)</f>
        <v>1</v>
      </c>
      <c r="L261" s="179" t="str">
        <f ca="1">IFERROR(__xludf.DUMMYFUNCTION("""COMPUTED_VALUE"""),"No patents - this presents an issue as this product already seems to exist in the market (and at possibly cheaper prices)")</f>
        <v>No patents - this presents an issue as this product already seems to exist in the market (and at possibly cheaper prices)</v>
      </c>
      <c r="M261" s="179">
        <f ca="1">IFERROR(__xludf.DUMMYFUNCTION("""COMPUTED_VALUE"""),3)</f>
        <v>3</v>
      </c>
      <c r="N261" s="179">
        <f ca="1">IFERROR(__xludf.DUMMYFUNCTION("""COMPUTED_VALUE"""),1)</f>
        <v>1</v>
      </c>
      <c r="O261" s="179" t="str">
        <f ca="1">IFERROR(__xludf.DUMMYFUNCTION("""COMPUTED_VALUE"""),"Broadly targeting the Healthcare and Events Industries. Need more in-depth market research to determine the type of customers that need this product as compared to others available.   ")</f>
        <v xml:space="preserve">Broadly targeting the Healthcare and Events Industries. Need more in-depth market research to determine the type of customers that need this product as compared to others available.   </v>
      </c>
      <c r="P261" s="179">
        <f ca="1">IFERROR(__xludf.DUMMYFUNCTION("""COMPUTED_VALUE"""),3)</f>
        <v>3</v>
      </c>
      <c r="Q261" s="179">
        <f ca="1">IFERROR(__xludf.DUMMYFUNCTION("""COMPUTED_VALUE"""),2)</f>
        <v>2</v>
      </c>
      <c r="R261" s="179">
        <f ca="1">IFERROR(__xludf.DUMMYFUNCTION("""COMPUTED_VALUE"""),2)</f>
        <v>2</v>
      </c>
      <c r="S261" s="179" t="str">
        <f ca="1">IFERROR(__xludf.DUMMYFUNCTION("""COMPUTED_VALUE"""),"Vision is to become the """"world's first teleportation company,"""" eventually creating a robot and rental system so seamless that it feels like teleporting your body anywhere in the world for any duration at the click of a button.
Team does not seem to "&amp;"have a lot of experience and do not have advisors that can help fill for that experience gap. ")</f>
        <v xml:space="preserve">Vision is to become the ""world's first teleportation company,"" eventually creating a robot and rental system so seamless that it feels like teleporting your body anywhere in the world for any duration at the click of a button.
Team does not seem to have a lot of experience and do not have advisors that can help fill for that experience gap. </v>
      </c>
      <c r="T261" s="179"/>
      <c r="U261" s="179" t="str">
        <f ca="1">IFERROR(__xludf.DUMMYFUNCTION("""COMPUTED_VALUE"""),"$0")</f>
        <v>$0</v>
      </c>
      <c r="V261" s="179">
        <f ca="1">IFERROR(__xludf.DUMMYFUNCTION("""COMPUTED_VALUE"""),2)</f>
        <v>2</v>
      </c>
      <c r="W261" s="179" t="str">
        <f ca="1">IFERROR(__xludf.DUMMYFUNCTION("""COMPUTED_VALUE"""),"Team looking to commercialize a technology that seems to be already available in the market and do not a clear idea of the specific target market (pain point) that their product seeks to address.")</f>
        <v>Team looking to commercialize a technology that seems to be already available in the market and do not a clear idea of the specific target market (pain point) that their product seeks to address.</v>
      </c>
    </row>
    <row r="262" spans="1:23">
      <c r="A262" s="179" t="str">
        <f ca="1">IFERROR(__xludf.DUMMYFUNCTION("""COMPUTED_VALUE"""),"R")</f>
        <v>R</v>
      </c>
      <c r="B262" s="436">
        <f ca="1">IFERROR(__xludf.DUMMYFUNCTION("""COMPUTED_VALUE"""),44795.7137879745)</f>
        <v>44795.713787974499</v>
      </c>
      <c r="C262" s="179" t="str">
        <f ca="1">IFERROR(__xludf.DUMMYFUNCTION("""COMPUTED_VALUE"""),"jm5201@stern.nyu.edu")</f>
        <v>jm5201@stern.nyu.edu</v>
      </c>
      <c r="D262" s="179" t="str">
        <f ca="1">IFERROR(__xludf.DUMMYFUNCTION("""COMPUTED_VALUE"""),"John McDonald")</f>
        <v>John McDonald</v>
      </c>
      <c r="E262" s="179" t="str">
        <f ca="1">IFERROR(__xludf.DUMMYFUNCTION("""COMPUTED_VALUE"""),"I have read and understand the confidentiality agreement for application reviewers.")</f>
        <v>I have read and understand the confidentiality agreement for application reviewers.</v>
      </c>
      <c r="F262" s="179" t="str">
        <f ca="1">IFERROR(__xludf.DUMMYFUNCTION("""COMPUTED_VALUE"""),"Wootzano Limited")</f>
        <v>Wootzano Limited</v>
      </c>
      <c r="G262" s="179" t="str">
        <f ca="1">IFERROR(__xludf.DUMMYFUNCTION("""COMPUTED_VALUE"""),"Robotics system food waste")</f>
        <v>Robotics system food waste</v>
      </c>
      <c r="H262" s="179">
        <f ca="1">IFERROR(__xludf.DUMMYFUNCTION("""COMPUTED_VALUE"""),3)</f>
        <v>3</v>
      </c>
      <c r="I262" s="179">
        <f ca="1">IFERROR(__xludf.DUMMYFUNCTION("""COMPUTED_VALUE"""),3)</f>
        <v>3</v>
      </c>
      <c r="J262" s="179">
        <f ca="1">IFERROR(__xludf.DUMMYFUNCTION("""COMPUTED_VALUE"""),4)</f>
        <v>4</v>
      </c>
      <c r="K262" s="179">
        <f ca="1">IFERROR(__xludf.DUMMYFUNCTION("""COMPUTED_VALUE"""),3)</f>
        <v>3</v>
      </c>
      <c r="L262" s="179"/>
      <c r="M262" s="179">
        <f ca="1">IFERROR(__xludf.DUMMYFUNCTION("""COMPUTED_VALUE"""),4)</f>
        <v>4</v>
      </c>
      <c r="N262" s="179">
        <f ca="1">IFERROR(__xludf.DUMMYFUNCTION("""COMPUTED_VALUE"""),4)</f>
        <v>4</v>
      </c>
      <c r="O262" s="179"/>
      <c r="P262" s="179">
        <f ca="1">IFERROR(__xludf.DUMMYFUNCTION("""COMPUTED_VALUE"""),3)</f>
        <v>3</v>
      </c>
      <c r="Q262" s="179">
        <f ca="1">IFERROR(__xludf.DUMMYFUNCTION("""COMPUTED_VALUE"""),3)</f>
        <v>3</v>
      </c>
      <c r="R262" s="179">
        <f ca="1">IFERROR(__xludf.DUMMYFUNCTION("""COMPUTED_VALUE"""),4)</f>
        <v>4</v>
      </c>
      <c r="S262" s="179"/>
      <c r="T262" s="179"/>
      <c r="U262" s="179" t="str">
        <f ca="1">IFERROR(__xludf.DUMMYFUNCTION("""COMPUTED_VALUE"""),"$500K-$1M")</f>
        <v>$500K-$1M</v>
      </c>
      <c r="V262" s="179">
        <f ca="1">IFERROR(__xludf.DUMMYFUNCTION("""COMPUTED_VALUE"""),4)</f>
        <v>4</v>
      </c>
      <c r="W262" s="179"/>
    </row>
    <row r="263" spans="1:23">
      <c r="A263" s="179" t="str">
        <f ca="1">IFERROR(__xludf.DUMMYFUNCTION("""COMPUTED_VALUE"""),"R")</f>
        <v>R</v>
      </c>
      <c r="B263" s="436">
        <f ca="1">IFERROR(__xludf.DUMMYFUNCTION("""COMPUTED_VALUE"""),44795.7159056597)</f>
        <v>44795.715905659701</v>
      </c>
      <c r="C263" s="179" t="str">
        <f ca="1">IFERROR(__xludf.DUMMYFUNCTION("""COMPUTED_VALUE"""),"jm5201@stern.nyu.edu")</f>
        <v>jm5201@stern.nyu.edu</v>
      </c>
      <c r="D263" s="179" t="str">
        <f ca="1">IFERROR(__xludf.DUMMYFUNCTION("""COMPUTED_VALUE"""),"John McDonald")</f>
        <v>John McDonald</v>
      </c>
      <c r="E263" s="179" t="str">
        <f ca="1">IFERROR(__xludf.DUMMYFUNCTION("""COMPUTED_VALUE"""),"I have read and understand the confidentiality agreement for application reviewers.")</f>
        <v>I have read and understand the confidentiality agreement for application reviewers.</v>
      </c>
      <c r="F263" s="179" t="str">
        <f ca="1">IFERROR(__xludf.DUMMYFUNCTION("""COMPUTED_VALUE"""),"Zoomrin")</f>
        <v>Zoomrin</v>
      </c>
      <c r="G263" s="179" t="str">
        <f ca="1">IFERROR(__xludf.DUMMYFUNCTION("""COMPUTED_VALUE"""),"MR imaging")</f>
        <v>MR imaging</v>
      </c>
      <c r="H263" s="179">
        <f ca="1">IFERROR(__xludf.DUMMYFUNCTION("""COMPUTED_VALUE"""),3)</f>
        <v>3</v>
      </c>
      <c r="I263" s="179">
        <f ca="1">IFERROR(__xludf.DUMMYFUNCTION("""COMPUTED_VALUE"""),2)</f>
        <v>2</v>
      </c>
      <c r="J263" s="179">
        <f ca="1">IFERROR(__xludf.DUMMYFUNCTION("""COMPUTED_VALUE"""),2)</f>
        <v>2</v>
      </c>
      <c r="K263" s="179">
        <f ca="1">IFERROR(__xludf.DUMMYFUNCTION("""COMPUTED_VALUE"""),2)</f>
        <v>2</v>
      </c>
      <c r="L263" s="179"/>
      <c r="M263" s="179">
        <f ca="1">IFERROR(__xludf.DUMMYFUNCTION("""COMPUTED_VALUE"""),3)</f>
        <v>3</v>
      </c>
      <c r="N263" s="179">
        <f ca="1">IFERROR(__xludf.DUMMYFUNCTION("""COMPUTED_VALUE"""),2)</f>
        <v>2</v>
      </c>
      <c r="O263" s="179"/>
      <c r="P263" s="179">
        <f ca="1">IFERROR(__xludf.DUMMYFUNCTION("""COMPUTED_VALUE"""),3)</f>
        <v>3</v>
      </c>
      <c r="Q263" s="179">
        <f ca="1">IFERROR(__xludf.DUMMYFUNCTION("""COMPUTED_VALUE"""),3)</f>
        <v>3</v>
      </c>
      <c r="R263" s="179">
        <f ca="1">IFERROR(__xludf.DUMMYFUNCTION("""COMPUTED_VALUE"""),2)</f>
        <v>2</v>
      </c>
      <c r="S263" s="179"/>
      <c r="T263" s="437">
        <f ca="1">IFERROR(__xludf.DUMMYFUNCTION("""COMPUTED_VALUE"""),0)</f>
        <v>0</v>
      </c>
      <c r="U263" s="179" t="str">
        <f ca="1">IFERROR(__xludf.DUMMYFUNCTION("""COMPUTED_VALUE"""),"$500K-$1M")</f>
        <v>$500K-$1M</v>
      </c>
      <c r="V263" s="179">
        <f ca="1">IFERROR(__xludf.DUMMYFUNCTION("""COMPUTED_VALUE"""),2)</f>
        <v>2</v>
      </c>
      <c r="W263" s="179"/>
    </row>
    <row r="264" spans="1:23">
      <c r="A264" s="179" t="str">
        <f ca="1">IFERROR(__xludf.DUMMYFUNCTION("""COMPUTED_VALUE"""),"R")</f>
        <v>R</v>
      </c>
      <c r="B264" s="436">
        <f ca="1">IFERROR(__xludf.DUMMYFUNCTION("""COMPUTED_VALUE"""),44795.7445247453)</f>
        <v>44795.7445247453</v>
      </c>
      <c r="C264" s="179" t="str">
        <f ca="1">IFERROR(__xludf.DUMMYFUNCTION("""COMPUTED_VALUE"""),"ahmed.bahgat@stern.nyu.edu")</f>
        <v>ahmed.bahgat@stern.nyu.edu</v>
      </c>
      <c r="D264" s="179" t="str">
        <f ca="1">IFERROR(__xludf.DUMMYFUNCTION("""COMPUTED_VALUE"""),"Ahmed Bahgat")</f>
        <v>Ahmed Bahgat</v>
      </c>
      <c r="E264" s="179" t="str">
        <f ca="1">IFERROR(__xludf.DUMMYFUNCTION("""COMPUTED_VALUE"""),"I have read and understand the confidentiality agreement for application reviewers.")</f>
        <v>I have read and understand the confidentiality agreement for application reviewers.</v>
      </c>
      <c r="F264" s="179" t="str">
        <f ca="1">IFERROR(__xludf.DUMMYFUNCTION("""COMPUTED_VALUE"""),"SignPost Cancer Dx Inc.")</f>
        <v>SignPost Cancer Dx Inc.</v>
      </c>
      <c r="G264" s="179" t="str">
        <f ca="1">IFERROR(__xludf.DUMMYFUNCTION("""COMPUTED_VALUE"""),"Provides ""at home"" diagnostic blood tests for cancer. The first test will be an early screen for breast cancer, which addresses a real market need due to the current painful, costly and inaccurate breast cancer testing process.")</f>
        <v>Provides "at home" diagnostic blood tests for cancer. The first test will be an early screen for breast cancer, which addresses a real market need due to the current painful, costly and inaccurate breast cancer testing process.</v>
      </c>
      <c r="H264" s="179">
        <f ca="1">IFERROR(__xludf.DUMMYFUNCTION("""COMPUTED_VALUE"""),5)</f>
        <v>5</v>
      </c>
      <c r="I264" s="179">
        <f ca="1">IFERROR(__xludf.DUMMYFUNCTION("""COMPUTED_VALUE"""),5)</f>
        <v>5</v>
      </c>
      <c r="J264" s="179">
        <f ca="1">IFERROR(__xludf.DUMMYFUNCTION("""COMPUTED_VALUE"""),3)</f>
        <v>3</v>
      </c>
      <c r="K264" s="179">
        <f ca="1">IFERROR(__xludf.DUMMYFUNCTION("""COMPUTED_VALUE"""),4)</f>
        <v>4</v>
      </c>
      <c r="L264" s="179" t="str">
        <f ca="1">IFERROR(__xludf.DUMMYFUNCTION("""COMPUTED_VALUE"""),"Existing tests focus on identifying cancer subtypes and response to therapy. This product answers a more fundamental question in the clinical pathway. Is this invasive cancer or a benign lesion?|Existing molecular tests are not accurate enough to be used "&amp;"as a screen.
It has successfully demonstrated the ability to identify the presence of these markers in cancer tissue samples. It is expected to take 12 - 18 months to complete commercialization. No MVP will be developed.
Provisional patent application i"&amp;"n the works.")</f>
        <v>Existing tests focus on identifying cancer subtypes and response to therapy. This product answers a more fundamental question in the clinical pathway. Is this invasive cancer or a benign lesion?|Existing molecular tests are not accurate enough to be used as a screen.
It has successfully demonstrated the ability to identify the presence of these markers in cancer tissue samples. It is expected to take 12 - 18 months to complete commercialization. No MVP will be developed.
Provisional patent application in the works.</v>
      </c>
      <c r="M264" s="179">
        <f ca="1">IFERROR(__xludf.DUMMYFUNCTION("""COMPUTED_VALUE"""),5)</f>
        <v>5</v>
      </c>
      <c r="N264" s="179">
        <f ca="1">IFERROR(__xludf.DUMMYFUNCTION("""COMPUTED_VALUE"""),2)</f>
        <v>2</v>
      </c>
      <c r="O264" s="179" t="str">
        <f ca="1">IFERROR(__xludf.DUMMYFUNCTION("""COMPUTED_VALUE"""),"Target markets clearly defined as the global cancer survivor market and the screening market. Initially it will be sold as a wellness test and not a substitute for traditional health care evaluation until data validation to support expanded health claims")</f>
        <v>Target markets clearly defined as the global cancer survivor market and the screening market. Initially it will be sold as a wellness test and not a substitute for traditional health care evaluation until data validation to support expanded health claims</v>
      </c>
      <c r="P264" s="179">
        <f ca="1">IFERROR(__xludf.DUMMYFUNCTION("""COMPUTED_VALUE"""),5)</f>
        <v>5</v>
      </c>
      <c r="Q264" s="179">
        <f ca="1">IFERROR(__xludf.DUMMYFUNCTION("""COMPUTED_VALUE"""),4)</f>
        <v>4</v>
      </c>
      <c r="R264" s="179">
        <f ca="1">IFERROR(__xludf.DUMMYFUNCTION("""COMPUTED_VALUE"""),4)</f>
        <v>4</v>
      </c>
      <c r="S264" s="179" t="str">
        <f ca="1">IFERROR(__xludf.DUMMYFUNCTION("""COMPUTED_VALUE"""),"Solid team executing a strong vision - aiming to be a globally dominant player in the emerging Direct to Consumer market for cancer diagnostics by offering the most accurate, simple to use, and affordable tests.")</f>
        <v>Solid team executing a strong vision - aiming to be a globally dominant player in the emerging Direct to Consumer market for cancer diagnostics by offering the most accurate, simple to use, and affordable tests.</v>
      </c>
      <c r="T264" s="179"/>
      <c r="U264" s="179" t="str">
        <f ca="1">IFERROR(__xludf.DUMMYFUNCTION("""COMPUTED_VALUE"""),"&gt;$5M")</f>
        <v>&gt;$5M</v>
      </c>
      <c r="V264" s="179">
        <f ca="1">IFERROR(__xludf.DUMMYFUNCTION("""COMPUTED_VALUE"""),4)</f>
        <v>4</v>
      </c>
      <c r="W264" s="179" t="str">
        <f ca="1">IFERROR(__xludf.DUMMYFUNCTION("""COMPUTED_VALUE"""),"Strong team looking to EFL for mentorship and partnerships in cancer diagnostics. They listed issues that they believe EFL could help them with including product market fit refinement, business model refinement, among others. Overall, well positioned to b"&amp;"enefit from EFL.  ")</f>
        <v xml:space="preserve">Strong team looking to EFL for mentorship and partnerships in cancer diagnostics. They listed issues that they believe EFL could help them with including product market fit refinement, business model refinement, among others. Overall, well positioned to benefit from EFL.  </v>
      </c>
    </row>
    <row r="265" spans="1:23">
      <c r="A265" s="179" t="str">
        <f ca="1">IFERROR(__xludf.DUMMYFUNCTION("""COMPUTED_VALUE"""),"R")</f>
        <v>R</v>
      </c>
      <c r="B265" s="436">
        <f ca="1">IFERROR(__xludf.DUMMYFUNCTION("""COMPUTED_VALUE"""),44795.8206491666)</f>
        <v>44795.820649166599</v>
      </c>
      <c r="C265" s="179" t="str">
        <f ca="1">IFERROR(__xludf.DUMMYFUNCTION("""COMPUTED_VALUE"""),"ns4976@stern.nyu.edu")</f>
        <v>ns4976@stern.nyu.edu</v>
      </c>
      <c r="D265" s="179" t="str">
        <f ca="1">IFERROR(__xludf.DUMMYFUNCTION("""COMPUTED_VALUE"""),"Nick Schmandt")</f>
        <v>Nick Schmandt</v>
      </c>
      <c r="E265" s="179" t="str">
        <f ca="1">IFERROR(__xludf.DUMMYFUNCTION("""COMPUTED_VALUE"""),"I have read and understand the confidentiality agreement for application reviewers.")</f>
        <v>I have read and understand the confidentiality agreement for application reviewers.</v>
      </c>
      <c r="F265" s="179" t="str">
        <f ca="1">IFERROR(__xludf.DUMMYFUNCTION("""COMPUTED_VALUE"""),"Mars Charge")</f>
        <v>Mars Charge</v>
      </c>
      <c r="G265" s="179" t="str">
        <f ca="1">IFERROR(__xludf.DUMMYFUNCTION("""COMPUTED_VALUE"""),"This is a mobile charging platform, that they claim can also be plugged into the electrical grid and manage power intake and potentially outtake when the grid needs it. They have a working portable charger, but I don't see the home system demoed.")</f>
        <v>This is a mobile charging platform, that they claim can also be plugged into the electrical grid and manage power intake and potentially outtake when the grid needs it. They have a working portable charger, but I don't see the home system demoed.</v>
      </c>
      <c r="H265" s="179">
        <f ca="1">IFERROR(__xludf.DUMMYFUNCTION("""COMPUTED_VALUE"""),5)</f>
        <v>5</v>
      </c>
      <c r="I265" s="179">
        <f ca="1">IFERROR(__xludf.DUMMYFUNCTION("""COMPUTED_VALUE"""),4)</f>
        <v>4</v>
      </c>
      <c r="J265" s="179">
        <f ca="1">IFERROR(__xludf.DUMMYFUNCTION("""COMPUTED_VALUE"""),3)</f>
        <v>3</v>
      </c>
      <c r="K265" s="179">
        <f ca="1">IFERROR(__xludf.DUMMYFUNCTION("""COMPUTED_VALUE"""),3)</f>
        <v>3</v>
      </c>
      <c r="L265" s="179" t="str">
        <f ca="1">IFERROR(__xludf.DUMMYFUNCTION("""COMPUTED_VALUE"""),"It's a good idea but it's also talked about a lot. Also, while the mobile charger is a great idea, the component of managing a home's energy intake and outtake is a completely different product.")</f>
        <v>It's a good idea but it's also talked about a lot. Also, while the mobile charger is a great idea, the component of managing a home's energy intake and outtake is a completely different product.</v>
      </c>
      <c r="M265" s="179">
        <f ca="1">IFERROR(__xludf.DUMMYFUNCTION("""COMPUTED_VALUE"""),5)</f>
        <v>5</v>
      </c>
      <c r="N265" s="179">
        <f ca="1">IFERROR(__xludf.DUMMYFUNCTION("""COMPUTED_VALUE"""),2)</f>
        <v>2</v>
      </c>
      <c r="O265" s="179" t="str">
        <f ca="1">IFERROR(__xludf.DUMMYFUNCTION("""COMPUTED_VALUE"""),"They should be able to get paying customers if what they are describing works.")</f>
        <v>They should be able to get paying customers if what they are describing works.</v>
      </c>
      <c r="P265" s="179">
        <f ca="1">IFERROR(__xludf.DUMMYFUNCTION("""COMPUTED_VALUE"""),5)</f>
        <v>5</v>
      </c>
      <c r="Q265" s="179">
        <f ca="1">IFERROR(__xludf.DUMMYFUNCTION("""COMPUTED_VALUE"""),5)</f>
        <v>5</v>
      </c>
      <c r="R265" s="179">
        <f ca="1">IFERROR(__xludf.DUMMYFUNCTION("""COMPUTED_VALUE"""),3)</f>
        <v>3</v>
      </c>
      <c r="S265" s="179" t="str">
        <f ca="1">IFERROR(__xludf.DUMMYFUNCTION("""COMPUTED_VALUE"""),"CEO is very inexperienced.")</f>
        <v>CEO is very inexperienced.</v>
      </c>
      <c r="T265" s="437">
        <f ca="1">IFERROR(__xludf.DUMMYFUNCTION("""COMPUTED_VALUE"""),300000)</f>
        <v>300000</v>
      </c>
      <c r="U265" s="179" t="str">
        <f ca="1">IFERROR(__xludf.DUMMYFUNCTION("""COMPUTED_VALUE"""),"&gt;$5M")</f>
        <v>&gt;$5M</v>
      </c>
      <c r="V265" s="179">
        <f ca="1">IFERROR(__xludf.DUMMYFUNCTION("""COMPUTED_VALUE"""),3)</f>
        <v>3</v>
      </c>
      <c r="W265" s="179" t="str">
        <f ca="1">IFERROR(__xludf.DUMMYFUNCTION("""COMPUTED_VALUE"""),"I wish I could rate this higher, but the CEO is inexperienced and he is describing a deliverable that is not what he is demoing. I believe the process of hooking up an electrical vehicle to the grid and having it take in/push out electricity is more compl"&amp;"icated than they describe and not all electrical grids can handle it.")</f>
        <v>I wish I could rate this higher, but the CEO is inexperienced and he is describing a deliverable that is not what he is demoing. I believe the process of hooking up an electrical vehicle to the grid and having it take in/push out electricity is more complicated than they describe and not all electrical grids can handle it.</v>
      </c>
    </row>
    <row r="266" spans="1:23">
      <c r="A266" s="179" t="str">
        <f ca="1">IFERROR(__xludf.DUMMYFUNCTION("""COMPUTED_VALUE"""),"R")</f>
        <v>R</v>
      </c>
      <c r="B266" s="436">
        <f ca="1">IFERROR(__xludf.DUMMYFUNCTION("""COMPUTED_VALUE"""),44795.8504188425)</f>
        <v>44795.850418842499</v>
      </c>
      <c r="C266" s="179" t="str">
        <f ca="1">IFERROR(__xludf.DUMMYFUNCTION("""COMPUTED_VALUE"""),"ns4976@stern.nyu.edu")</f>
        <v>ns4976@stern.nyu.edu</v>
      </c>
      <c r="D266" s="179" t="str">
        <f ca="1">IFERROR(__xludf.DUMMYFUNCTION("""COMPUTED_VALUE"""),"Nick Schmandt")</f>
        <v>Nick Schmandt</v>
      </c>
      <c r="E266" s="179" t="str">
        <f ca="1">IFERROR(__xludf.DUMMYFUNCTION("""COMPUTED_VALUE"""),"I have read and understand the confidentiality agreement for application reviewers.")</f>
        <v>I have read and understand the confidentiality agreement for application reviewers.</v>
      </c>
      <c r="F266" s="179" t="str">
        <f ca="1">IFERROR(__xludf.DUMMYFUNCTION("""COMPUTED_VALUE"""),"Lisa Insuretech")</f>
        <v>Lisa Insuretech</v>
      </c>
      <c r="G266" s="179" t="str">
        <f ca="1">IFERROR(__xludf.DUMMYFUNCTION("""COMPUTED_VALUE"""),"This is a company that automates the claims adjucation process to save time and resources.")</f>
        <v>This is a company that automates the claims adjucation process to save time and resources.</v>
      </c>
      <c r="H266" s="179">
        <f ca="1">IFERROR(__xludf.DUMMYFUNCTION("""COMPUTED_VALUE"""),4)</f>
        <v>4</v>
      </c>
      <c r="I266" s="179">
        <f ca="1">IFERROR(__xludf.DUMMYFUNCTION("""COMPUTED_VALUE"""),3)</f>
        <v>3</v>
      </c>
      <c r="J266" s="179">
        <f ca="1">IFERROR(__xludf.DUMMYFUNCTION("""COMPUTED_VALUE"""),5)</f>
        <v>5</v>
      </c>
      <c r="K266" s="179">
        <f ca="1">IFERROR(__xludf.DUMMYFUNCTION("""COMPUTED_VALUE"""),3)</f>
        <v>3</v>
      </c>
      <c r="L266" s="179" t="str">
        <f ca="1">IFERROR(__xludf.DUMMYFUNCTION("""COMPUTED_VALUE"""),"This is a common issue, and many insurance companies have worked to add automation to the processing of claims. The fact that their tech is already working with clients is encouraging.")</f>
        <v>This is a common issue, and many insurance companies have worked to add automation to the processing of claims. The fact that their tech is already working with clients is encouraging.</v>
      </c>
      <c r="M266" s="179">
        <f ca="1">IFERROR(__xludf.DUMMYFUNCTION("""COMPUTED_VALUE"""),4)</f>
        <v>4</v>
      </c>
      <c r="N266" s="179">
        <f ca="1">IFERROR(__xludf.DUMMYFUNCTION("""COMPUTED_VALUE"""),5)</f>
        <v>5</v>
      </c>
      <c r="O266" s="179" t="str">
        <f ca="1">IFERROR(__xludf.DUMMYFUNCTION("""COMPUTED_VALUE"""),"Lots of companies will do this in-house, but the addressable market is very large.")</f>
        <v>Lots of companies will do this in-house, but the addressable market is very large.</v>
      </c>
      <c r="P266" s="179">
        <f ca="1">IFERROR(__xludf.DUMMYFUNCTION("""COMPUTED_VALUE"""),5)</f>
        <v>5</v>
      </c>
      <c r="Q266" s="179">
        <f ca="1">IFERROR(__xludf.DUMMYFUNCTION("""COMPUTED_VALUE"""),3)</f>
        <v>3</v>
      </c>
      <c r="R266" s="179">
        <f ca="1">IFERROR(__xludf.DUMMYFUNCTION("""COMPUTED_VALUE"""),4)</f>
        <v>4</v>
      </c>
      <c r="S266" s="179" t="str">
        <f ca="1">IFERROR(__xludf.DUMMYFUNCTION("""COMPUTED_VALUE"""),"Team is experienced, though not a lot of insurance experience.")</f>
        <v>Team is experienced, though not a lot of insurance experience.</v>
      </c>
      <c r="T266" s="437">
        <f ca="1">IFERROR(__xludf.DUMMYFUNCTION("""COMPUTED_VALUE"""),2800000)</f>
        <v>2800000</v>
      </c>
      <c r="U266" s="179" t="str">
        <f ca="1">IFERROR(__xludf.DUMMYFUNCTION("""COMPUTED_VALUE"""),"$1-$5M")</f>
        <v>$1-$5M</v>
      </c>
      <c r="V266" s="179">
        <f ca="1">IFERROR(__xludf.DUMMYFUNCTION("""COMPUTED_VALUE"""),4)</f>
        <v>4</v>
      </c>
      <c r="W266" s="179" t="str">
        <f ca="1">IFERROR(__xludf.DUMMYFUNCTION("""COMPUTED_VALUE"""),"The strength of this application is their number of paying customers and revenue. If they can continue to grow this, they will be very successful. I think they will have a hard time getting larger insurance companies to use their system, though.")</f>
        <v>The strength of this application is their number of paying customers and revenue. If they can continue to grow this, they will be very successful. I think they will have a hard time getting larger insurance companies to use their system, though.</v>
      </c>
    </row>
    <row r="267" spans="1:23">
      <c r="A267" s="179" t="str">
        <f ca="1">IFERROR(__xludf.DUMMYFUNCTION("""COMPUTED_VALUE"""),"R")</f>
        <v>R</v>
      </c>
      <c r="B267" s="436">
        <f ca="1">IFERROR(__xludf.DUMMYFUNCTION("""COMPUTED_VALUE"""),44795.9286276736)</f>
        <v>44795.928627673602</v>
      </c>
      <c r="C267" s="179" t="str">
        <f ca="1">IFERROR(__xludf.DUMMYFUNCTION("""COMPUTED_VALUE"""),"ns4976@stern.nyu.edu")</f>
        <v>ns4976@stern.nyu.edu</v>
      </c>
      <c r="D267" s="179" t="str">
        <f ca="1">IFERROR(__xludf.DUMMYFUNCTION("""COMPUTED_VALUE"""),"Nick Schmandt")</f>
        <v>Nick Schmandt</v>
      </c>
      <c r="E267" s="179" t="str">
        <f ca="1">IFERROR(__xludf.DUMMYFUNCTION("""COMPUTED_VALUE"""),"I have read and understand the confidentiality agreement for application reviewers.")</f>
        <v>I have read and understand the confidentiality agreement for application reviewers.</v>
      </c>
      <c r="F267" s="179" t="str">
        <f ca="1">IFERROR(__xludf.DUMMYFUNCTION("""COMPUTED_VALUE"""),"Health Cost IQ")</f>
        <v>Health Cost IQ</v>
      </c>
      <c r="G267" s="179" t="str">
        <f ca="1">IFERROR(__xludf.DUMMYFUNCTION("""COMPUTED_VALUE"""),"They have a platform to help cut healthcare-related waste")</f>
        <v>They have a platform to help cut healthcare-related waste</v>
      </c>
      <c r="H267" s="179">
        <f ca="1">IFERROR(__xludf.DUMMYFUNCTION("""COMPUTED_VALUE"""),5)</f>
        <v>5</v>
      </c>
      <c r="I267" s="179">
        <f ca="1">IFERROR(__xludf.DUMMYFUNCTION("""COMPUTED_VALUE"""),3)</f>
        <v>3</v>
      </c>
      <c r="J267" s="179">
        <f ca="1">IFERROR(__xludf.DUMMYFUNCTION("""COMPUTED_VALUE"""),4)</f>
        <v>4</v>
      </c>
      <c r="K267" s="179">
        <f ca="1">IFERROR(__xludf.DUMMYFUNCTION("""COMPUTED_VALUE"""),3)</f>
        <v>3</v>
      </c>
      <c r="L267" s="179" t="str">
        <f ca="1">IFERROR(__xludf.DUMMYFUNCTION("""COMPUTED_VALUE"""),"Healthcare waste is a huge problem. But, there are a lot of different ways to approach this and I'm not clear on what the advantages of their platform are. Also, none of them have ML/AI experience, so someone else built this platform for them.")</f>
        <v>Healthcare waste is a huge problem. But, there are a lot of different ways to approach this and I'm not clear on what the advantages of their platform are. Also, none of them have ML/AI experience, so someone else built this platform for them.</v>
      </c>
      <c r="M267" s="179">
        <f ca="1">IFERROR(__xludf.DUMMYFUNCTION("""COMPUTED_VALUE"""),5)</f>
        <v>5</v>
      </c>
      <c r="N267" s="179">
        <f ca="1">IFERROR(__xludf.DUMMYFUNCTION("""COMPUTED_VALUE"""),4)</f>
        <v>4</v>
      </c>
      <c r="O267" s="179" t="str">
        <f ca="1">IFERROR(__xludf.DUMMYFUNCTION("""COMPUTED_VALUE"""),"Huge addressable market, but still a lot of hurdles to get there.")</f>
        <v>Huge addressable market, but still a lot of hurdles to get there.</v>
      </c>
      <c r="P267" s="179">
        <f ca="1">IFERROR(__xludf.DUMMYFUNCTION("""COMPUTED_VALUE"""),4)</f>
        <v>4</v>
      </c>
      <c r="Q267" s="179">
        <f ca="1">IFERROR(__xludf.DUMMYFUNCTION("""COMPUTED_VALUE"""),3)</f>
        <v>3</v>
      </c>
      <c r="R267" s="179">
        <f ca="1">IFERROR(__xludf.DUMMYFUNCTION("""COMPUTED_VALUE"""),4)</f>
        <v>4</v>
      </c>
      <c r="S267" s="179" t="str">
        <f ca="1">IFERROR(__xludf.DUMMYFUNCTION("""COMPUTED_VALUE"""),"The team has some healthcare experience but not a lot, and very little ML/AI experience.")</f>
        <v>The team has some healthcare experience but not a lot, and very little ML/AI experience.</v>
      </c>
      <c r="T267" s="437">
        <f ca="1">IFERROR(__xludf.DUMMYFUNCTION("""COMPUTED_VALUE"""),309000)</f>
        <v>309000</v>
      </c>
      <c r="U267" s="179" t="str">
        <f ca="1">IFERROR(__xludf.DUMMYFUNCTION("""COMPUTED_VALUE"""),"$1-$5M")</f>
        <v>$1-$5M</v>
      </c>
      <c r="V267" s="179">
        <f ca="1">IFERROR(__xludf.DUMMYFUNCTION("""COMPUTED_VALUE"""),3)</f>
        <v>3</v>
      </c>
      <c r="W267" s="179" t="str">
        <f ca="1">IFERROR(__xludf.DUMMYFUNCTION("""COMPUTED_VALUE"""),"It's a good idea, but they have very little money and I'm not sure they have the ability to grow the product further. Also this is a very competitive space.")</f>
        <v>It's a good idea, but they have very little money and I'm not sure they have the ability to grow the product further. Also this is a very competitive space.</v>
      </c>
    </row>
    <row r="268" spans="1:23">
      <c r="A268" s="179" t="str">
        <f ca="1">IFERROR(__xludf.DUMMYFUNCTION("""COMPUTED_VALUE"""),"R")</f>
        <v>R</v>
      </c>
      <c r="B268" s="436">
        <f ca="1">IFERROR(__xludf.DUMMYFUNCTION("""COMPUTED_VALUE"""),44795.9462243171)</f>
        <v>44795.9462243171</v>
      </c>
      <c r="C268" s="179" t="str">
        <f ca="1">IFERROR(__xludf.DUMMYFUNCTION("""COMPUTED_VALUE"""),"ns4976@stern.nyu.edu")</f>
        <v>ns4976@stern.nyu.edu</v>
      </c>
      <c r="D268" s="179" t="str">
        <f ca="1">IFERROR(__xludf.DUMMYFUNCTION("""COMPUTED_VALUE"""),"Nick Schmandt")</f>
        <v>Nick Schmandt</v>
      </c>
      <c r="E268" s="179" t="str">
        <f ca="1">IFERROR(__xludf.DUMMYFUNCTION("""COMPUTED_VALUE"""),"I have read and understand the confidentiality agreement for application reviewers.")</f>
        <v>I have read and understand the confidentiality agreement for application reviewers.</v>
      </c>
      <c r="F268" s="179" t="str">
        <f ca="1">IFERROR(__xludf.DUMMYFUNCTION("""COMPUTED_VALUE"""),"HDAX therapeutics")</f>
        <v>HDAX therapeutics</v>
      </c>
      <c r="G268" s="179" t="str">
        <f ca="1">IFERROR(__xludf.DUMMYFUNCTION("""COMPUTED_VALUE"""),"This is a company trying to develop a drug for a particular type of neurodegenerative disorder. They are attacking a particular protein, but they do not have clinical data to show efficacy for this approach.")</f>
        <v>This is a company trying to develop a drug for a particular type of neurodegenerative disorder. They are attacking a particular protein, but they do not have clinical data to show efficacy for this approach.</v>
      </c>
      <c r="H268" s="179">
        <f ca="1">IFERROR(__xludf.DUMMYFUNCTION("""COMPUTED_VALUE"""),5)</f>
        <v>5</v>
      </c>
      <c r="I268" s="179">
        <f ca="1">IFERROR(__xludf.DUMMYFUNCTION("""COMPUTED_VALUE"""),3)</f>
        <v>3</v>
      </c>
      <c r="J268" s="179">
        <f ca="1">IFERROR(__xludf.DUMMYFUNCTION("""COMPUTED_VALUE"""),1)</f>
        <v>1</v>
      </c>
      <c r="K268" s="179">
        <f ca="1">IFERROR(__xludf.DUMMYFUNCTION("""COMPUTED_VALUE"""),4)</f>
        <v>4</v>
      </c>
      <c r="L268" s="179" t="str">
        <f ca="1">IFERROR(__xludf.DUMMYFUNCTION("""COMPUTED_VALUE"""),"They are still early in the animal trial stage of validating their drug.")</f>
        <v>They are still early in the animal trial stage of validating their drug.</v>
      </c>
      <c r="M268" s="179">
        <f ca="1">IFERROR(__xludf.DUMMYFUNCTION("""COMPUTED_VALUE"""),3)</f>
        <v>3</v>
      </c>
      <c r="N268" s="179">
        <f ca="1">IFERROR(__xludf.DUMMYFUNCTION("""COMPUTED_VALUE"""),1)</f>
        <v>1</v>
      </c>
      <c r="O268" s="179" t="str">
        <f ca="1">IFERROR(__xludf.DUMMYFUNCTION("""COMPUTED_VALUE"""),"The adressable market is relatively small, as this is a less common disease. However there will be plenty of profit if there drug works.")</f>
        <v>The adressable market is relatively small, as this is a less common disease. However there will be plenty of profit if there drug works.</v>
      </c>
      <c r="P268" s="179">
        <f ca="1">IFERROR(__xludf.DUMMYFUNCTION("""COMPUTED_VALUE"""),3)</f>
        <v>3</v>
      </c>
      <c r="Q268" s="179">
        <f ca="1">IFERROR(__xludf.DUMMYFUNCTION("""COMPUTED_VALUE"""),4)</f>
        <v>4</v>
      </c>
      <c r="R268" s="179">
        <f ca="1">IFERROR(__xludf.DUMMYFUNCTION("""COMPUTED_VALUE"""),2)</f>
        <v>2</v>
      </c>
      <c r="S268" s="179" t="str">
        <f ca="1">IFERROR(__xludf.DUMMYFUNCTION("""COMPUTED_VALUE"""),"Team is almost entirely academics.")</f>
        <v>Team is almost entirely academics.</v>
      </c>
      <c r="T268" s="437">
        <f ca="1">IFERROR(__xludf.DUMMYFUNCTION("""COMPUTED_VALUE"""),308000)</f>
        <v>308000</v>
      </c>
      <c r="U268" s="179" t="str">
        <f ca="1">IFERROR(__xludf.DUMMYFUNCTION("""COMPUTED_VALUE"""),"$1-$5M")</f>
        <v>$1-$5M</v>
      </c>
      <c r="V268" s="179">
        <f ca="1">IFERROR(__xludf.DUMMYFUNCTION("""COMPUTED_VALUE"""),2)</f>
        <v>2</v>
      </c>
      <c r="W268" s="179" t="str">
        <f ca="1">IFERROR(__xludf.DUMMYFUNCTION("""COMPUTED_VALUE"""),"This drug is a long way from human trials, though it might get spun off before then. The very low amounts of funds raised so far is also a red flag that they have not started doing serious testing of their proposed drug.")</f>
        <v>This drug is a long way from human trials, though it might get spun off before then. The very low amounts of funds raised so far is also a red flag that they have not started doing serious testing of their proposed drug.</v>
      </c>
    </row>
    <row r="269" spans="1:23">
      <c r="A269" s="179" t="str">
        <f ca="1">IFERROR(__xludf.DUMMYFUNCTION("""COMPUTED_VALUE"""),"R")</f>
        <v>R</v>
      </c>
      <c r="B269" s="436">
        <f ca="1">IFERROR(__xludf.DUMMYFUNCTION("""COMPUTED_VALUE"""),44795.972967662)</f>
        <v>44795.972967661997</v>
      </c>
      <c r="C269" s="179" t="str">
        <f ca="1">IFERROR(__xludf.DUMMYFUNCTION("""COMPUTED_VALUE"""),"ns4976@stern.nyu.edu")</f>
        <v>ns4976@stern.nyu.edu</v>
      </c>
      <c r="D269" s="179" t="str">
        <f ca="1">IFERROR(__xludf.DUMMYFUNCTION("""COMPUTED_VALUE"""),"Nick Schmandt")</f>
        <v>Nick Schmandt</v>
      </c>
      <c r="E269" s="179" t="str">
        <f ca="1">IFERROR(__xludf.DUMMYFUNCTION("""COMPUTED_VALUE"""),"I have read and understand the confidentiality agreement for application reviewers.")</f>
        <v>I have read and understand the confidentiality agreement for application reviewers.</v>
      </c>
      <c r="F269" s="179" t="str">
        <f ca="1">IFERROR(__xludf.DUMMYFUNCTION("""COMPUTED_VALUE"""),"Genflow Biosciences")</f>
        <v>Genflow Biosciences</v>
      </c>
      <c r="G269" s="179" t="str">
        <f ca="1">IFERROR(__xludf.DUMMYFUNCTION("""COMPUTED_VALUE"""),"They are developing a life-extending drug that will supposedly slow the aging process. If successful, it will be a major breakthrough.")</f>
        <v>They are developing a life-extending drug that will supposedly slow the aging process. If successful, it will be a major breakthrough.</v>
      </c>
      <c r="H269" s="179">
        <f ca="1">IFERROR(__xludf.DUMMYFUNCTION("""COMPUTED_VALUE"""),5)</f>
        <v>5</v>
      </c>
      <c r="I269" s="179">
        <f ca="1">IFERROR(__xludf.DUMMYFUNCTION("""COMPUTED_VALUE"""),5)</f>
        <v>5</v>
      </c>
      <c r="J269" s="179">
        <f ca="1">IFERROR(__xludf.DUMMYFUNCTION("""COMPUTED_VALUE"""),2)</f>
        <v>2</v>
      </c>
      <c r="K269" s="179">
        <f ca="1">IFERROR(__xludf.DUMMYFUNCTION("""COMPUTED_VALUE"""),5)</f>
        <v>5</v>
      </c>
      <c r="L269" s="179" t="str">
        <f ca="1">IFERROR(__xludf.DUMMYFUNCTION("""COMPUTED_VALUE"""),"They are early in the drug testing process. While this is a very promising drug, there is still a lot that can go wrong.")</f>
        <v>They are early in the drug testing process. While this is a very promising drug, there is still a lot that can go wrong.</v>
      </c>
      <c r="M269" s="179">
        <f ca="1">IFERROR(__xludf.DUMMYFUNCTION("""COMPUTED_VALUE"""),5)</f>
        <v>5</v>
      </c>
      <c r="N269" s="179">
        <f ca="1">IFERROR(__xludf.DUMMYFUNCTION("""COMPUTED_VALUE"""),1)</f>
        <v>1</v>
      </c>
      <c r="O269" s="179" t="str">
        <f ca="1">IFERROR(__xludf.DUMMYFUNCTION("""COMPUTED_VALUE"""),"Again, they have a long way to go before they can start to talk about selling this drug.")</f>
        <v>Again, they have a long way to go before they can start to talk about selling this drug.</v>
      </c>
      <c r="P269" s="179">
        <f ca="1">IFERROR(__xludf.DUMMYFUNCTION("""COMPUTED_VALUE"""),5)</f>
        <v>5</v>
      </c>
      <c r="Q269" s="179">
        <f ca="1">IFERROR(__xludf.DUMMYFUNCTION("""COMPUTED_VALUE"""),5)</f>
        <v>5</v>
      </c>
      <c r="R269" s="179">
        <f ca="1">IFERROR(__xludf.DUMMYFUNCTION("""COMPUTED_VALUE"""),4)</f>
        <v>4</v>
      </c>
      <c r="S269" s="179" t="str">
        <f ca="1">IFERROR(__xludf.DUMMYFUNCTION("""COMPUTED_VALUE"""),"They are highly academic, though they do have experience with delivering drugs before.")</f>
        <v>They are highly academic, though they do have experience with delivering drugs before.</v>
      </c>
      <c r="T269" s="437">
        <f ca="1">IFERROR(__xludf.DUMMYFUNCTION("""COMPUTED_VALUE"""),4000000)</f>
        <v>4000000</v>
      </c>
      <c r="U269" s="179" t="str">
        <f ca="1">IFERROR(__xludf.DUMMYFUNCTION("""COMPUTED_VALUE"""),"$1-$5M")</f>
        <v>$1-$5M</v>
      </c>
      <c r="V269" s="179">
        <f ca="1">IFERROR(__xludf.DUMMYFUNCTION("""COMPUTED_VALUE"""),4)</f>
        <v>4</v>
      </c>
      <c r="W269" s="179" t="str">
        <f ca="1">IFERROR(__xludf.DUMMYFUNCTION("""COMPUTED_VALUE"""),"The team is experienced and the drug looks promising, but again, it's in the early stages so it's very high risk. I like the idea of using it on dogs as well, as this could be a diverse source of revenue if one outcome fails.")</f>
        <v>The team is experienced and the drug looks promising, but again, it's in the early stages so it's very high risk. I like the idea of using it on dogs as well, as this could be a diverse source of revenue if one outcome fails.</v>
      </c>
    </row>
    <row r="270" spans="1:23">
      <c r="A270" s="179" t="str">
        <f ca="1">IFERROR(__xludf.DUMMYFUNCTION("""COMPUTED_VALUE"""),"R")</f>
        <v>R</v>
      </c>
      <c r="B270" s="436">
        <f ca="1">IFERROR(__xludf.DUMMYFUNCTION("""COMPUTED_VALUE"""),44795.9777879629)</f>
        <v>44795.977787962896</v>
      </c>
      <c r="C270" s="179" t="str">
        <f ca="1">IFERROR(__xludf.DUMMYFUNCTION("""COMPUTED_VALUE"""),"ns4976@stern.nyu.edu")</f>
        <v>ns4976@stern.nyu.edu</v>
      </c>
      <c r="D270" s="179" t="str">
        <f ca="1">IFERROR(__xludf.DUMMYFUNCTION("""COMPUTED_VALUE"""),"Nick Schmandt")</f>
        <v>Nick Schmandt</v>
      </c>
      <c r="E270" s="179" t="str">
        <f ca="1">IFERROR(__xludf.DUMMYFUNCTION("""COMPUTED_VALUE"""),"I have read and understand the confidentiality agreement for application reviewers.")</f>
        <v>I have read and understand the confidentiality agreement for application reviewers.</v>
      </c>
      <c r="F270" s="179" t="str">
        <f ca="1">IFERROR(__xludf.DUMMYFUNCTION("""COMPUTED_VALUE"""),"GeneSkin")</f>
        <v>GeneSkin</v>
      </c>
      <c r="G270" s="179" t="str">
        <f ca="1">IFERROR(__xludf.DUMMYFUNCTION("""COMPUTED_VALUE"""),"They are proposing a way to personalize skin treatment through predictive algorithms to personalize your skin care")</f>
        <v>They are proposing a way to personalize skin treatment through predictive algorithms to personalize your skin care</v>
      </c>
      <c r="H270" s="179">
        <f ca="1">IFERROR(__xludf.DUMMYFUNCTION("""COMPUTED_VALUE"""),5)</f>
        <v>5</v>
      </c>
      <c r="I270" s="179">
        <f ca="1">IFERROR(__xludf.DUMMYFUNCTION("""COMPUTED_VALUE"""),3)</f>
        <v>3</v>
      </c>
      <c r="J270" s="179">
        <f ca="1">IFERROR(__xludf.DUMMYFUNCTION("""COMPUTED_VALUE"""),1)</f>
        <v>1</v>
      </c>
      <c r="K270" s="179">
        <f ca="1">IFERROR(__xludf.DUMMYFUNCTION("""COMPUTED_VALUE"""),3)</f>
        <v>3</v>
      </c>
      <c r="L270" s="179" t="str">
        <f ca="1">IFERROR(__xludf.DUMMYFUNCTION("""COMPUTED_VALUE"""),"This tech is in early stages of animal testing and remains unproven.")</f>
        <v>This tech is in early stages of animal testing and remains unproven.</v>
      </c>
      <c r="M270" s="179">
        <f ca="1">IFERROR(__xludf.DUMMYFUNCTION("""COMPUTED_VALUE"""),5)</f>
        <v>5</v>
      </c>
      <c r="N270" s="179">
        <f ca="1">IFERROR(__xludf.DUMMYFUNCTION("""COMPUTED_VALUE"""),3)</f>
        <v>3</v>
      </c>
      <c r="O270" s="179" t="str">
        <f ca="1">IFERROR(__xludf.DUMMYFUNCTION("""COMPUTED_VALUE"""),"They say they have revenue from skin care companies, but I didn't see any values for revenue or funding.")</f>
        <v>They say they have revenue from skin care companies, but I didn't see any values for revenue or funding.</v>
      </c>
      <c r="P270" s="179">
        <f ca="1">IFERROR(__xludf.DUMMYFUNCTION("""COMPUTED_VALUE"""),3)</f>
        <v>3</v>
      </c>
      <c r="Q270" s="179">
        <f ca="1">IFERROR(__xludf.DUMMYFUNCTION("""COMPUTED_VALUE"""),4)</f>
        <v>4</v>
      </c>
      <c r="R270" s="179">
        <f ca="1">IFERROR(__xludf.DUMMYFUNCTION("""COMPUTED_VALUE"""),2)</f>
        <v>2</v>
      </c>
      <c r="S270" s="179" t="str">
        <f ca="1">IFERROR(__xludf.DUMMYFUNCTION("""COMPUTED_VALUE"""),"The team is very inexperienced and knows little about startups or the omics personalization they are saying they will use.")</f>
        <v>The team is very inexperienced and knows little about startups or the omics personalization they are saying they will use.</v>
      </c>
      <c r="T270" s="437">
        <f ca="1">IFERROR(__xludf.DUMMYFUNCTION("""COMPUTED_VALUE"""),800000)</f>
        <v>800000</v>
      </c>
      <c r="U270" s="179" t="str">
        <f ca="1">IFERROR(__xludf.DUMMYFUNCTION("""COMPUTED_VALUE"""),"$1-$5M")</f>
        <v>$1-$5M</v>
      </c>
      <c r="V270" s="179">
        <f ca="1">IFERROR(__xludf.DUMMYFUNCTION("""COMPUTED_VALUE"""),2)</f>
        <v>2</v>
      </c>
      <c r="W270" s="179" t="str">
        <f ca="1">IFERROR(__xludf.DUMMYFUNCTION("""COMPUTED_VALUE"""),"Very unproven technology, inexperienced team. ")</f>
        <v xml:space="preserve">Very unproven technology, inexperienced team. </v>
      </c>
    </row>
    <row r="271" spans="1:23">
      <c r="A271" s="179" t="str">
        <f ca="1">IFERROR(__xludf.DUMMYFUNCTION("""COMPUTED_VALUE"""),"R")</f>
        <v>R</v>
      </c>
      <c r="B271" s="436">
        <f ca="1">IFERROR(__xludf.DUMMYFUNCTION("""COMPUTED_VALUE"""),44795.9924912962)</f>
        <v>44795.992491296201</v>
      </c>
      <c r="C271" s="179" t="str">
        <f ca="1">IFERROR(__xludf.DUMMYFUNCTION("""COMPUTED_VALUE"""),"ns4976@stern.nyu.edu")</f>
        <v>ns4976@stern.nyu.edu</v>
      </c>
      <c r="D271" s="179" t="str">
        <f ca="1">IFERROR(__xludf.DUMMYFUNCTION("""COMPUTED_VALUE"""),"Nick Schmandt")</f>
        <v>Nick Schmandt</v>
      </c>
      <c r="E271" s="179" t="str">
        <f ca="1">IFERROR(__xludf.DUMMYFUNCTION("""COMPUTED_VALUE"""),"I have read and understand the confidentiality agreement for application reviewers.")</f>
        <v>I have read and understand the confidentiality agreement for application reviewers.</v>
      </c>
      <c r="F271" s="179" t="str">
        <f ca="1">IFERROR(__xludf.DUMMYFUNCTION("""COMPUTED_VALUE"""),"EndObetes")</f>
        <v>EndObetes</v>
      </c>
      <c r="G271" s="179" t="str">
        <f ca="1">IFERROR(__xludf.DUMMYFUNCTION("""COMPUTED_VALUE"""),"This is a device that performs a similar function to a gastric bypass but without the complicated surgery. It essentially allows food to bypass the stomach helping with weight loss.")</f>
        <v>This is a device that performs a similar function to a gastric bypass but without the complicated surgery. It essentially allows food to bypass the stomach helping with weight loss.</v>
      </c>
      <c r="H271" s="179">
        <f ca="1">IFERROR(__xludf.DUMMYFUNCTION("""COMPUTED_VALUE"""),5)</f>
        <v>5</v>
      </c>
      <c r="I271" s="179">
        <f ca="1">IFERROR(__xludf.DUMMYFUNCTION("""COMPUTED_VALUE"""),5)</f>
        <v>5</v>
      </c>
      <c r="J271" s="179">
        <f ca="1">IFERROR(__xludf.DUMMYFUNCTION("""COMPUTED_VALUE"""),4)</f>
        <v>4</v>
      </c>
      <c r="K271" s="179">
        <f ca="1">IFERROR(__xludf.DUMMYFUNCTION("""COMPUTED_VALUE"""),4)</f>
        <v>4</v>
      </c>
      <c r="L271" s="179" t="str">
        <f ca="1">IFERROR(__xludf.DUMMYFUNCTION("""COMPUTED_VALUE"""),"This is a very innovative technology that seems likely to work.")</f>
        <v>This is a very innovative technology that seems likely to work.</v>
      </c>
      <c r="M271" s="179">
        <f ca="1">IFERROR(__xludf.DUMMYFUNCTION("""COMPUTED_VALUE"""),5)</f>
        <v>5</v>
      </c>
      <c r="N271" s="179">
        <f ca="1">IFERROR(__xludf.DUMMYFUNCTION("""COMPUTED_VALUE"""),3)</f>
        <v>3</v>
      </c>
      <c r="O271" s="179" t="str">
        <f ca="1">IFERROR(__xludf.DUMMYFUNCTION("""COMPUTED_VALUE"""),"Still in testing with the FDA")</f>
        <v>Still in testing with the FDA</v>
      </c>
      <c r="P271" s="179">
        <f ca="1">IFERROR(__xludf.DUMMYFUNCTION("""COMPUTED_VALUE"""),3)</f>
        <v>3</v>
      </c>
      <c r="Q271" s="179">
        <f ca="1">IFERROR(__xludf.DUMMYFUNCTION("""COMPUTED_VALUE"""),4)</f>
        <v>4</v>
      </c>
      <c r="R271" s="179">
        <f ca="1">IFERROR(__xludf.DUMMYFUNCTION("""COMPUTED_VALUE"""),3)</f>
        <v>3</v>
      </c>
      <c r="S271" s="179" t="str">
        <f ca="1">IFERROR(__xludf.DUMMYFUNCTION("""COMPUTED_VALUE"""),"Unclear how much experience the founder has. It seems to just be him, without any cofounders, which is not a good sign.")</f>
        <v>Unclear how much experience the founder has. It seems to just be him, without any cofounders, which is not a good sign.</v>
      </c>
      <c r="T271" s="437">
        <f ca="1">IFERROR(__xludf.DUMMYFUNCTION("""COMPUTED_VALUE"""),350000)</f>
        <v>350000</v>
      </c>
      <c r="U271" s="179" t="str">
        <f ca="1">IFERROR(__xludf.DUMMYFUNCTION("""COMPUTED_VALUE"""),"$1-$5M")</f>
        <v>$1-$5M</v>
      </c>
      <c r="V271" s="179">
        <f ca="1">IFERROR(__xludf.DUMMYFUNCTION("""COMPUTED_VALUE"""),2)</f>
        <v>2</v>
      </c>
      <c r="W271" s="179" t="str">
        <f ca="1">IFERROR(__xludf.DUMMYFUNCTION("""COMPUTED_VALUE"""),"It seems like a great idea, but it's not clear if the founder is really serious about it. He has not built a team and has only raised a very small sum of money. He will need more efficacy data to get the product to raise serious money.")</f>
        <v>It seems like a great idea, but it's not clear if the founder is really serious about it. He has not built a team and has only raised a very small sum of money. He will need more efficacy data to get the product to raise serious money.</v>
      </c>
    </row>
    <row r="272" spans="1:23">
      <c r="A272" s="179" t="str">
        <f ca="1">IFERROR(__xludf.DUMMYFUNCTION("""COMPUTED_VALUE"""),"R")</f>
        <v>R</v>
      </c>
      <c r="B272" s="436">
        <f ca="1">IFERROR(__xludf.DUMMYFUNCTION("""COMPUTED_VALUE"""),44796.0152061458)</f>
        <v>44796.015206145799</v>
      </c>
      <c r="C272" s="179" t="str">
        <f ca="1">IFERROR(__xludf.DUMMYFUNCTION("""COMPUTED_VALUE"""),"ns4976@stern.nyu.edu")</f>
        <v>ns4976@stern.nyu.edu</v>
      </c>
      <c r="D272" s="179" t="str">
        <f ca="1">IFERROR(__xludf.DUMMYFUNCTION("""COMPUTED_VALUE"""),"Nick Schmandt")</f>
        <v>Nick Schmandt</v>
      </c>
      <c r="E272" s="179" t="str">
        <f ca="1">IFERROR(__xludf.DUMMYFUNCTION("""COMPUTED_VALUE"""),"I have read and understand the confidentiality agreement for application reviewers.")</f>
        <v>I have read and understand the confidentiality agreement for application reviewers.</v>
      </c>
      <c r="F272" s="179" t="str">
        <f ca="1">IFERROR(__xludf.DUMMYFUNCTION("""COMPUTED_VALUE"""),"EllieGrid")</f>
        <v>EllieGrid</v>
      </c>
      <c r="G272" s="179" t="str">
        <f ca="1">IFERROR(__xludf.DUMMYFUNCTION("""COMPUTED_VALUE"""),"This is a tech-enabled device to help with medication adherence")</f>
        <v>This is a tech-enabled device to help with medication adherence</v>
      </c>
      <c r="H272" s="179">
        <f ca="1">IFERROR(__xludf.DUMMYFUNCTION("""COMPUTED_VALUE"""),5)</f>
        <v>5</v>
      </c>
      <c r="I272" s="179">
        <f ca="1">IFERROR(__xludf.DUMMYFUNCTION("""COMPUTED_VALUE"""),3)</f>
        <v>3</v>
      </c>
      <c r="J272" s="179">
        <f ca="1">IFERROR(__xludf.DUMMYFUNCTION("""COMPUTED_VALUE"""),5)</f>
        <v>5</v>
      </c>
      <c r="K272" s="179">
        <f ca="1">IFERROR(__xludf.DUMMYFUNCTION("""COMPUTED_VALUE"""),3)</f>
        <v>3</v>
      </c>
      <c r="L272" s="179" t="str">
        <f ca="1">IFERROR(__xludf.DUMMYFUNCTION("""COMPUTED_VALUE"""),"This is a neat device, it is simple, but may not be simple enough for seniors.")</f>
        <v>This is a neat device, it is simple, but may not be simple enough for seniors.</v>
      </c>
      <c r="M272" s="179">
        <f ca="1">IFERROR(__xludf.DUMMYFUNCTION("""COMPUTED_VALUE"""),5)</f>
        <v>5</v>
      </c>
      <c r="N272" s="179">
        <f ca="1">IFERROR(__xludf.DUMMYFUNCTION("""COMPUTED_VALUE"""),5)</f>
        <v>5</v>
      </c>
      <c r="O272" s="179" t="str">
        <f ca="1">IFERROR(__xludf.DUMMYFUNCTION("""COMPUTED_VALUE"""),"They have a good niche and plenty of room to grow. The only concern is if seniors will be able to use their device or if it's too complicated for them.")</f>
        <v>They have a good niche and plenty of room to grow. The only concern is if seniors will be able to use their device or if it's too complicated for them.</v>
      </c>
      <c r="P272" s="179">
        <f ca="1">IFERROR(__xludf.DUMMYFUNCTION("""COMPUTED_VALUE"""),5)</f>
        <v>5</v>
      </c>
      <c r="Q272" s="179">
        <f ca="1">IFERROR(__xludf.DUMMYFUNCTION("""COMPUTED_VALUE"""),3)</f>
        <v>3</v>
      </c>
      <c r="R272" s="179">
        <f ca="1">IFERROR(__xludf.DUMMYFUNCTION("""COMPUTED_VALUE"""),3)</f>
        <v>3</v>
      </c>
      <c r="S272" s="179" t="str">
        <f ca="1">IFERROR(__xludf.DUMMYFUNCTION("""COMPUTED_VALUE"""),"Team is inexperienced, but they are far enough along it doesn't matter.")</f>
        <v>Team is inexperienced, but they are far enough along it doesn't matter.</v>
      </c>
      <c r="T272" s="437">
        <f ca="1">IFERROR(__xludf.DUMMYFUNCTION("""COMPUTED_VALUE"""),800000)</f>
        <v>800000</v>
      </c>
      <c r="U272" s="179" t="str">
        <f ca="1">IFERROR(__xludf.DUMMYFUNCTION("""COMPUTED_VALUE"""),"&lt;$500K")</f>
        <v>&lt;$500K</v>
      </c>
      <c r="V272" s="179">
        <f ca="1">IFERROR(__xludf.DUMMYFUNCTION("""COMPUTED_VALUE"""),4)</f>
        <v>4</v>
      </c>
      <c r="W272" s="179" t="str">
        <f ca="1">IFERROR(__xludf.DUMMYFUNCTION("""COMPUTED_VALUE"""),"They have great revenue and customer retention, however they seem to be small scale, and it may be challenging to ramp up in such a competitive marketspace. Also potentially an issue for elderly to use a device like this.")</f>
        <v>They have great revenue and customer retention, however they seem to be small scale, and it may be challenging to ramp up in such a competitive marketspace. Also potentially an issue for elderly to use a device like this.</v>
      </c>
    </row>
    <row r="273" spans="1:23">
      <c r="A273" s="179" t="str">
        <f ca="1">IFERROR(__xludf.DUMMYFUNCTION("""COMPUTED_VALUE"""),"R")</f>
        <v>R</v>
      </c>
      <c r="B273" s="436">
        <f ca="1">IFERROR(__xludf.DUMMYFUNCTION("""COMPUTED_VALUE"""),44796.5277739004)</f>
        <v>44796.527773900401</v>
      </c>
      <c r="C273" s="179" t="str">
        <f ca="1">IFERROR(__xludf.DUMMYFUNCTION("""COMPUTED_VALUE"""),"ns4976@stern.nyu.edu")</f>
        <v>ns4976@stern.nyu.edu</v>
      </c>
      <c r="D273" s="179" t="str">
        <f ca="1">IFERROR(__xludf.DUMMYFUNCTION("""COMPUTED_VALUE"""),"Nick Schmandt")</f>
        <v>Nick Schmandt</v>
      </c>
      <c r="E273" s="179" t="str">
        <f ca="1">IFERROR(__xludf.DUMMYFUNCTION("""COMPUTED_VALUE"""),"I have read and understand the confidentiality agreement for application reviewers.")</f>
        <v>I have read and understand the confidentiality agreement for application reviewers.</v>
      </c>
      <c r="F273" s="179" t="str">
        <f ca="1">IFERROR(__xludf.DUMMYFUNCTION("""COMPUTED_VALUE"""),"PentaBind")</f>
        <v>PentaBind</v>
      </c>
      <c r="G273" s="179" t="str">
        <f ca="1">IFERROR(__xludf.DUMMYFUNCTION("""COMPUTED_VALUE"""),"They have a technology that reports toxicity or allergic response to different potential toxins relatively quickly.")</f>
        <v>They have a technology that reports toxicity or allergic response to different potential toxins relatively quickly.</v>
      </c>
      <c r="H273" s="179">
        <f ca="1">IFERROR(__xludf.DUMMYFUNCTION("""COMPUTED_VALUE"""),5)</f>
        <v>5</v>
      </c>
      <c r="I273" s="179">
        <f ca="1">IFERROR(__xludf.DUMMYFUNCTION("""COMPUTED_VALUE"""),4)</f>
        <v>4</v>
      </c>
      <c r="J273" s="179">
        <f ca="1">IFERROR(__xludf.DUMMYFUNCTION("""COMPUTED_VALUE"""),3)</f>
        <v>3</v>
      </c>
      <c r="K273" s="179">
        <f ca="1">IFERROR(__xludf.DUMMYFUNCTION("""COMPUTED_VALUE"""),3)</f>
        <v>3</v>
      </c>
      <c r="L273" s="179" t="str">
        <f ca="1">IFERROR(__xludf.DUMMYFUNCTION("""COMPUTED_VALUE"""),"They don't offer any information about whether their product is working or what validation they have done.")</f>
        <v>They don't offer any information about whether their product is working or what validation they have done.</v>
      </c>
      <c r="M273" s="179">
        <f ca="1">IFERROR(__xludf.DUMMYFUNCTION("""COMPUTED_VALUE"""),5)</f>
        <v>5</v>
      </c>
      <c r="N273" s="179">
        <f ca="1">IFERROR(__xludf.DUMMYFUNCTION("""COMPUTED_VALUE"""),1)</f>
        <v>1</v>
      </c>
      <c r="O273" s="179" t="str">
        <f ca="1">IFERROR(__xludf.DUMMYFUNCTION("""COMPUTED_VALUE"""),"Large addressable market, but no customers yet.")</f>
        <v>Large addressable market, but no customers yet.</v>
      </c>
      <c r="P273" s="179">
        <f ca="1">IFERROR(__xludf.DUMMYFUNCTION("""COMPUTED_VALUE"""),3)</f>
        <v>3</v>
      </c>
      <c r="Q273" s="179">
        <f ca="1">IFERROR(__xludf.DUMMYFUNCTION("""COMPUTED_VALUE"""),5)</f>
        <v>5</v>
      </c>
      <c r="R273" s="179">
        <f ca="1">IFERROR(__xludf.DUMMYFUNCTION("""COMPUTED_VALUE"""),3)</f>
        <v>3</v>
      </c>
      <c r="S273" s="179" t="str">
        <f ca="1">IFERROR(__xludf.DUMMYFUNCTION("""COMPUTED_VALUE"""),"Heavily academic, though more industry experience than some")</f>
        <v>Heavily academic, though more industry experience than some</v>
      </c>
      <c r="T273" s="437">
        <f ca="1">IFERROR(__xludf.DUMMYFUNCTION("""COMPUTED_VALUE"""),145000)</f>
        <v>145000</v>
      </c>
      <c r="U273" s="179" t="str">
        <f ca="1">IFERROR(__xludf.DUMMYFUNCTION("""COMPUTED_VALUE"""),"$1-$5M")</f>
        <v>$1-$5M</v>
      </c>
      <c r="V273" s="179">
        <f ca="1">IFERROR(__xludf.DUMMYFUNCTION("""COMPUTED_VALUE"""),2)</f>
        <v>2</v>
      </c>
      <c r="W273" s="179" t="str">
        <f ca="1">IFERROR(__xludf.DUMMYFUNCTION("""COMPUTED_VALUE"""),"This is a very promising product, but they have no deck and no information about its validation. The amount of money they have so far is not enough to get the technology evaluated.")</f>
        <v>This is a very promising product, but they have no deck and no information about its validation. The amount of money they have so far is not enough to get the technology evaluated.</v>
      </c>
    </row>
    <row r="274" spans="1:23">
      <c r="A274" s="179" t="str">
        <f ca="1">IFERROR(__xludf.DUMMYFUNCTION("""COMPUTED_VALUE"""),"R")</f>
        <v>R</v>
      </c>
      <c r="B274" s="436">
        <f ca="1">IFERROR(__xludf.DUMMYFUNCTION("""COMPUTED_VALUE"""),44796.549888993)</f>
        <v>44796.549888993002</v>
      </c>
      <c r="C274" s="179" t="str">
        <f ca="1">IFERROR(__xludf.DUMMYFUNCTION("""COMPUTED_VALUE"""),"ns4976@stern.nyu.edu")</f>
        <v>ns4976@stern.nyu.edu</v>
      </c>
      <c r="D274" s="179" t="str">
        <f ca="1">IFERROR(__xludf.DUMMYFUNCTION("""COMPUTED_VALUE"""),"Nick Schmandt")</f>
        <v>Nick Schmandt</v>
      </c>
      <c r="E274" s="179" t="str">
        <f ca="1">IFERROR(__xludf.DUMMYFUNCTION("""COMPUTED_VALUE"""),"I have read and understand the confidentiality agreement for application reviewers.")</f>
        <v>I have read and understand the confidentiality agreement for application reviewers.</v>
      </c>
      <c r="F274" s="179" t="str">
        <f ca="1">IFERROR(__xludf.DUMMYFUNCTION("""COMPUTED_VALUE"""),"Ossiform")</f>
        <v>Ossiform</v>
      </c>
      <c r="G274" s="179" t="str">
        <f ca="1">IFERROR(__xludf.DUMMYFUNCTION("""COMPUTED_VALUE"""),"They are designing 3D printed bone implants for reconstructive surgery. They have completed testing in mice and pigs.")</f>
        <v>They are designing 3D printed bone implants for reconstructive surgery. They have completed testing in mice and pigs.</v>
      </c>
      <c r="H274" s="179">
        <f ca="1">IFERROR(__xludf.DUMMYFUNCTION("""COMPUTED_VALUE"""),5)</f>
        <v>5</v>
      </c>
      <c r="I274" s="179">
        <f ca="1">IFERROR(__xludf.DUMMYFUNCTION("""COMPUTED_VALUE"""),5)</f>
        <v>5</v>
      </c>
      <c r="J274" s="179">
        <f ca="1">IFERROR(__xludf.DUMMYFUNCTION("""COMPUTED_VALUE"""),5)</f>
        <v>5</v>
      </c>
      <c r="K274" s="179">
        <f ca="1">IFERROR(__xludf.DUMMYFUNCTION("""COMPUTED_VALUE"""),5)</f>
        <v>5</v>
      </c>
      <c r="L274" s="179" t="str">
        <f ca="1">IFERROR(__xludf.DUMMYFUNCTION("""COMPUTED_VALUE"""),"Their animal results are promising. This is not likely to have complications in the jump to human studies, they are close to FDA approval.")</f>
        <v>Their animal results are promising. This is not likely to have complications in the jump to human studies, they are close to FDA approval.</v>
      </c>
      <c r="M274" s="179">
        <f ca="1">IFERROR(__xludf.DUMMYFUNCTION("""COMPUTED_VALUE"""),5)</f>
        <v>5</v>
      </c>
      <c r="N274" s="179">
        <f ca="1">IFERROR(__xludf.DUMMYFUNCTION("""COMPUTED_VALUE"""),3)</f>
        <v>3</v>
      </c>
      <c r="O274" s="179" t="str">
        <f ca="1">IFERROR(__xludf.DUMMYFUNCTION("""COMPUTED_VALUE"""),"They will likely get customers quickly once they have FDA approval.")</f>
        <v>They will likely get customers quickly once they have FDA approval.</v>
      </c>
      <c r="P274" s="179">
        <f ca="1">IFERROR(__xludf.DUMMYFUNCTION("""COMPUTED_VALUE"""),5)</f>
        <v>5</v>
      </c>
      <c r="Q274" s="179">
        <f ca="1">IFERROR(__xludf.DUMMYFUNCTION("""COMPUTED_VALUE"""),5)</f>
        <v>5</v>
      </c>
      <c r="R274" s="179">
        <f ca="1">IFERROR(__xludf.DUMMYFUNCTION("""COMPUTED_VALUE"""),4)</f>
        <v>4</v>
      </c>
      <c r="S274" s="179" t="str">
        <f ca="1">IFERROR(__xludf.DUMMYFUNCTION("""COMPUTED_VALUE"""),"They are academic heavy, but they are experienced.")</f>
        <v>They are academic heavy, but they are experienced.</v>
      </c>
      <c r="T274" s="437">
        <f ca="1">IFERROR(__xludf.DUMMYFUNCTION("""COMPUTED_VALUE"""),4800000)</f>
        <v>4800000</v>
      </c>
      <c r="U274" s="179" t="str">
        <f ca="1">IFERROR(__xludf.DUMMYFUNCTION("""COMPUTED_VALUE"""),"&gt;$5M")</f>
        <v>&gt;$5M</v>
      </c>
      <c r="V274" s="179">
        <f ca="1">IFERROR(__xludf.DUMMYFUNCTION("""COMPUTED_VALUE"""),5)</f>
        <v>5</v>
      </c>
      <c r="W274" s="179" t="str">
        <f ca="1">IFERROR(__xludf.DUMMYFUNCTION("""COMPUTED_VALUE"""),"Looks rock solid. The tech is definitely useful and has done very well in animal studies. It's not a drug, not going to have widely different outcomes in human trials. The team is academic but they are clearly successful at raising funds. ")</f>
        <v xml:space="preserve">Looks rock solid. The tech is definitely useful and has done very well in animal studies. It's not a drug, not going to have widely different outcomes in human trials. The team is academic but they are clearly successful at raising funds. </v>
      </c>
    </row>
    <row r="275" spans="1:23">
      <c r="A275" s="179" t="str">
        <f ca="1">IFERROR(__xludf.DUMMYFUNCTION("""COMPUTED_VALUE"""),"R")</f>
        <v>R</v>
      </c>
      <c r="B275" s="436">
        <f ca="1">IFERROR(__xludf.DUMMYFUNCTION("""COMPUTED_VALUE"""),44796.7374868171)</f>
        <v>44796.737486817103</v>
      </c>
      <c r="C275" s="179" t="str">
        <f ca="1">IFERROR(__xludf.DUMMYFUNCTION("""COMPUTED_VALUE"""),"ns4976@stern.nyu.edu")</f>
        <v>ns4976@stern.nyu.edu</v>
      </c>
      <c r="D275" s="179" t="str">
        <f ca="1">IFERROR(__xludf.DUMMYFUNCTION("""COMPUTED_VALUE"""),"Nick Schmandt")</f>
        <v>Nick Schmandt</v>
      </c>
      <c r="E275" s="179" t="str">
        <f ca="1">IFERROR(__xludf.DUMMYFUNCTION("""COMPUTED_VALUE"""),"I have read and understand the confidentiality agreement for application reviewers.")</f>
        <v>I have read and understand the confidentiality agreement for application reviewers.</v>
      </c>
      <c r="F275" s="179" t="str">
        <f ca="1">IFERROR(__xludf.DUMMYFUNCTION("""COMPUTED_VALUE"""),"MetalMark")</f>
        <v>MetalMark</v>
      </c>
      <c r="G275" s="179" t="str">
        <f ca="1">IFERROR(__xludf.DUMMYFUNCTION("""COMPUTED_VALUE"""),"This is an air purification system that is superior and lower cost to their competitors.")</f>
        <v>This is an air purification system that is superior and lower cost to their competitors.</v>
      </c>
      <c r="H275" s="179">
        <f ca="1">IFERROR(__xludf.DUMMYFUNCTION("""COMPUTED_VALUE"""),4)</f>
        <v>4</v>
      </c>
      <c r="I275" s="179">
        <f ca="1">IFERROR(__xludf.DUMMYFUNCTION("""COMPUTED_VALUE"""),5)</f>
        <v>5</v>
      </c>
      <c r="J275" s="179">
        <f ca="1">IFERROR(__xludf.DUMMYFUNCTION("""COMPUTED_VALUE"""),3)</f>
        <v>3</v>
      </c>
      <c r="K275" s="179">
        <f ca="1">IFERROR(__xludf.DUMMYFUNCTION("""COMPUTED_VALUE"""),3)</f>
        <v>3</v>
      </c>
      <c r="L275" s="179" t="str">
        <f ca="1">IFERROR(__xludf.DUMMYFUNCTION("""COMPUTED_VALUE"""),"More concrete validation of how it works would be great")</f>
        <v>More concrete validation of how it works would be great</v>
      </c>
      <c r="M275" s="179">
        <f ca="1">IFERROR(__xludf.DUMMYFUNCTION("""COMPUTED_VALUE"""),4)</f>
        <v>4</v>
      </c>
      <c r="N275" s="179">
        <f ca="1">IFERROR(__xludf.DUMMYFUNCTION("""COMPUTED_VALUE"""),2)</f>
        <v>2</v>
      </c>
      <c r="O275" s="179" t="str">
        <f ca="1">IFERROR(__xludf.DUMMYFUNCTION("""COMPUTED_VALUE"""),"It should not be hard to recruit customers given how simple a product this is.")</f>
        <v>It should not be hard to recruit customers given how simple a product this is.</v>
      </c>
      <c r="P275" s="179">
        <f ca="1">IFERROR(__xludf.DUMMYFUNCTION("""COMPUTED_VALUE"""),3)</f>
        <v>3</v>
      </c>
      <c r="Q275" s="179">
        <f ca="1">IFERROR(__xludf.DUMMYFUNCTION("""COMPUTED_VALUE"""),4)</f>
        <v>4</v>
      </c>
      <c r="R275" s="179">
        <f ca="1">IFERROR(__xludf.DUMMYFUNCTION("""COMPUTED_VALUE"""),3)</f>
        <v>3</v>
      </c>
      <c r="S275" s="179" t="str">
        <f ca="1">IFERROR(__xludf.DUMMYFUNCTION("""COMPUTED_VALUE"""),"Very academic team, should have more business expertise.")</f>
        <v>Very academic team, should have more business expertise.</v>
      </c>
      <c r="T275" s="437">
        <f ca="1">IFERROR(__xludf.DUMMYFUNCTION("""COMPUTED_VALUE"""),3000000)</f>
        <v>3000000</v>
      </c>
      <c r="U275" s="179" t="str">
        <f ca="1">IFERROR(__xludf.DUMMYFUNCTION("""COMPUTED_VALUE"""),"&gt;$5M")</f>
        <v>&gt;$5M</v>
      </c>
      <c r="V275" s="179">
        <f ca="1">IFERROR(__xludf.DUMMYFUNCTION("""COMPUTED_VALUE"""),4)</f>
        <v>4</v>
      </c>
      <c r="W275" s="179" t="str">
        <f ca="1">IFERROR(__xludf.DUMMYFUNCTION("""COMPUTED_VALUE"""),"It's a great product with a very addressable market that should be easy to enter with a lower-cost item. More concrete validation of how the product works and a team that is less academic would be helpful, but as they have already raised so much money the"&amp;"y are likely doing something right.")</f>
        <v>It's a great product with a very addressable market that should be easy to enter with a lower-cost item. More concrete validation of how the product works and a team that is less academic would be helpful, but as they have already raised so much money they are likely doing something right.</v>
      </c>
    </row>
    <row r="276" spans="1:23">
      <c r="A276" s="179" t="str">
        <f ca="1">IFERROR(__xludf.DUMMYFUNCTION("""COMPUTED_VALUE"""),"R")</f>
        <v>R</v>
      </c>
      <c r="B276" s="436">
        <f ca="1">IFERROR(__xludf.DUMMYFUNCTION("""COMPUTED_VALUE"""),44796.7520460648)</f>
        <v>44796.752046064801</v>
      </c>
      <c r="C276" s="179" t="str">
        <f ca="1">IFERROR(__xludf.DUMMYFUNCTION("""COMPUTED_VALUE"""),"ns4976@stern.nyu.edu")</f>
        <v>ns4976@stern.nyu.edu</v>
      </c>
      <c r="D276" s="179" t="str">
        <f ca="1">IFERROR(__xludf.DUMMYFUNCTION("""COMPUTED_VALUE"""),"Nick Schmandt")</f>
        <v>Nick Schmandt</v>
      </c>
      <c r="E276" s="179" t="str">
        <f ca="1">IFERROR(__xludf.DUMMYFUNCTION("""COMPUTED_VALUE"""),"I have read and understand the confidentiality agreement for application reviewers.")</f>
        <v>I have read and understand the confidentiality agreement for application reviewers.</v>
      </c>
      <c r="F276" s="179" t="str">
        <f ca="1">IFERROR(__xludf.DUMMYFUNCTION("""COMPUTED_VALUE"""),"Efani")</f>
        <v>Efani</v>
      </c>
      <c r="G276" s="179" t="str">
        <f ca="1">IFERROR(__xludf.DUMMYFUNCTION("""COMPUTED_VALUE"""),"This is a VIP form of high-security phone. It prevents others from performing various hacks against your phone, which could be a serious issue for high net worth individuals.")</f>
        <v>This is a VIP form of high-security phone. It prevents others from performing various hacks against your phone, which could be a serious issue for high net worth individuals.</v>
      </c>
      <c r="H276" s="179">
        <f ca="1">IFERROR(__xludf.DUMMYFUNCTION("""COMPUTED_VALUE"""),3)</f>
        <v>3</v>
      </c>
      <c r="I276" s="179">
        <f ca="1">IFERROR(__xludf.DUMMYFUNCTION("""COMPUTED_VALUE"""),4)</f>
        <v>4</v>
      </c>
      <c r="J276" s="179">
        <f ca="1">IFERROR(__xludf.DUMMYFUNCTION("""COMPUTED_VALUE"""),5)</f>
        <v>5</v>
      </c>
      <c r="K276" s="179">
        <f ca="1">IFERROR(__xludf.DUMMYFUNCTION("""COMPUTED_VALUE"""),3)</f>
        <v>3</v>
      </c>
      <c r="L276" s="179" t="str">
        <f ca="1">IFERROR(__xludf.DUMMYFUNCTION("""COMPUTED_VALUE"""),"This does not seem to be highly sophisticated, but it prevents most common kinds of attacks.")</f>
        <v>This does not seem to be highly sophisticated, but it prevents most common kinds of attacks.</v>
      </c>
      <c r="M276" s="179">
        <f ca="1">IFERROR(__xludf.DUMMYFUNCTION("""COMPUTED_VALUE"""),3)</f>
        <v>3</v>
      </c>
      <c r="N276" s="179">
        <f ca="1">IFERROR(__xludf.DUMMYFUNCTION("""COMPUTED_VALUE"""),5)</f>
        <v>5</v>
      </c>
      <c r="O276" s="179" t="str">
        <f ca="1">IFERROR(__xludf.DUMMYFUNCTION("""COMPUTED_VALUE"""),"They have great revenues, hopefully no scalability issues.")</f>
        <v>They have great revenues, hopefully no scalability issues.</v>
      </c>
      <c r="P276" s="179">
        <f ca="1">IFERROR(__xludf.DUMMYFUNCTION("""COMPUTED_VALUE"""),3)</f>
        <v>3</v>
      </c>
      <c r="Q276" s="179">
        <f ca="1">IFERROR(__xludf.DUMMYFUNCTION("""COMPUTED_VALUE"""),3)</f>
        <v>3</v>
      </c>
      <c r="R276" s="179">
        <f ca="1">IFERROR(__xludf.DUMMYFUNCTION("""COMPUTED_VALUE"""),3)</f>
        <v>3</v>
      </c>
      <c r="S276" s="179" t="str">
        <f ca="1">IFERROR(__xludf.DUMMYFUNCTION("""COMPUTED_VALUE"""),"The team is a little small, the tech is not super innovative.")</f>
        <v>The team is a little small, the tech is not super innovative.</v>
      </c>
      <c r="T276" s="437">
        <f ca="1">IFERROR(__xludf.DUMMYFUNCTION("""COMPUTED_VALUE"""),2600000)</f>
        <v>2600000</v>
      </c>
      <c r="U276" s="179" t="str">
        <f ca="1">IFERROR(__xludf.DUMMYFUNCTION("""COMPUTED_VALUE"""),"$1-$5M")</f>
        <v>$1-$5M</v>
      </c>
      <c r="V276" s="179">
        <f ca="1">IFERROR(__xludf.DUMMYFUNCTION("""COMPUTED_VALUE"""),4)</f>
        <v>4</v>
      </c>
      <c r="W276" s="179" t="str">
        <f ca="1">IFERROR(__xludf.DUMMYFUNCTION("""COMPUTED_VALUE"""),"I want to give them a five, they are already turning in 2.6M in revenue, likely with plenty of room to expand. However, the team is small, though reasonably experienced, and its not clear how sophisticated this tech really is.")</f>
        <v>I want to give them a five, they are already turning in 2.6M in revenue, likely with plenty of room to expand. However, the team is small, though reasonably experienced, and its not clear how sophisticated this tech really is.</v>
      </c>
    </row>
    <row r="277" spans="1:23">
      <c r="A277" s="179" t="str">
        <f ca="1">IFERROR(__xludf.DUMMYFUNCTION("""COMPUTED_VALUE"""),"R")</f>
        <v>R</v>
      </c>
      <c r="B277" s="436">
        <f ca="1">IFERROR(__xludf.DUMMYFUNCTION("""COMPUTED_VALUE"""),44796.7571789467)</f>
        <v>44796.757178946697</v>
      </c>
      <c r="C277" s="179" t="str">
        <f ca="1">IFERROR(__xludf.DUMMYFUNCTION("""COMPUTED_VALUE"""),"ns4976@stern.nyu.edu")</f>
        <v>ns4976@stern.nyu.edu</v>
      </c>
      <c r="D277" s="179" t="str">
        <f ca="1">IFERROR(__xludf.DUMMYFUNCTION("""COMPUTED_VALUE"""),"Nick Schmandt")</f>
        <v>Nick Schmandt</v>
      </c>
      <c r="E277" s="179" t="str">
        <f ca="1">IFERROR(__xludf.DUMMYFUNCTION("""COMPUTED_VALUE"""),"I have read and understand the confidentiality agreement for application reviewers.")</f>
        <v>I have read and understand the confidentiality agreement for application reviewers.</v>
      </c>
      <c r="F277" s="179" t="str">
        <f ca="1">IFERROR(__xludf.DUMMYFUNCTION("""COMPUTED_VALUE"""),"Edupay")</f>
        <v>Edupay</v>
      </c>
      <c r="G277" s="179" t="str">
        <f ca="1">IFERROR(__xludf.DUMMYFUNCTION("""COMPUTED_VALUE"""),"This is a method to digitize the financing process for education in Egypt. They allow those applying to schools to get loans.")</f>
        <v>This is a method to digitize the financing process for education in Egypt. They allow those applying to schools to get loans.</v>
      </c>
      <c r="H277" s="179">
        <f ca="1">IFERROR(__xludf.DUMMYFUNCTION("""COMPUTED_VALUE"""),4)</f>
        <v>4</v>
      </c>
      <c r="I277" s="179">
        <f ca="1">IFERROR(__xludf.DUMMYFUNCTION("""COMPUTED_VALUE"""),3)</f>
        <v>3</v>
      </c>
      <c r="J277" s="179">
        <f ca="1">IFERROR(__xludf.DUMMYFUNCTION("""COMPUTED_VALUE"""),4)</f>
        <v>4</v>
      </c>
      <c r="K277" s="179">
        <f ca="1">IFERROR(__xludf.DUMMYFUNCTION("""COMPUTED_VALUE"""),2)</f>
        <v>2</v>
      </c>
      <c r="L277" s="179" t="str">
        <f ca="1">IFERROR(__xludf.DUMMYFUNCTION("""COMPUTED_VALUE"""),"This is not a novel technology, but rather pursuing a niche market.")</f>
        <v>This is not a novel technology, but rather pursuing a niche market.</v>
      </c>
      <c r="M277" s="179">
        <f ca="1">IFERROR(__xludf.DUMMYFUNCTION("""COMPUTED_VALUE"""),3)</f>
        <v>3</v>
      </c>
      <c r="N277" s="179">
        <f ca="1">IFERROR(__xludf.DUMMYFUNCTION("""COMPUTED_VALUE"""),3)</f>
        <v>3</v>
      </c>
      <c r="O277" s="179" t="str">
        <f ca="1">IFERROR(__xludf.DUMMYFUNCTION("""COMPUTED_VALUE"""),"Addressable market is reasonable, especially if they expand into other areas of financing in Egypt.")</f>
        <v>Addressable market is reasonable, especially if they expand into other areas of financing in Egypt.</v>
      </c>
      <c r="P277" s="179">
        <f ca="1">IFERROR(__xludf.DUMMYFUNCTION("""COMPUTED_VALUE"""),3)</f>
        <v>3</v>
      </c>
      <c r="Q277" s="179">
        <f ca="1">IFERROR(__xludf.DUMMYFUNCTION("""COMPUTED_VALUE"""),3)</f>
        <v>3</v>
      </c>
      <c r="R277" s="179">
        <f ca="1">IFERROR(__xludf.DUMMYFUNCTION("""COMPUTED_VALUE"""),3)</f>
        <v>3</v>
      </c>
      <c r="S277" s="179" t="str">
        <f ca="1">IFERROR(__xludf.DUMMYFUNCTION("""COMPUTED_VALUE"""),"Team does not have a lot of experience in this area, and the tech is not novel.")</f>
        <v>Team does not have a lot of experience in this area, and the tech is not novel.</v>
      </c>
      <c r="T277" s="437">
        <f ca="1">IFERROR(__xludf.DUMMYFUNCTION("""COMPUTED_VALUE"""),100000)</f>
        <v>100000</v>
      </c>
      <c r="U277" s="179" t="str">
        <f ca="1">IFERROR(__xludf.DUMMYFUNCTION("""COMPUTED_VALUE"""),"$1-$5M")</f>
        <v>$1-$5M</v>
      </c>
      <c r="V277" s="179">
        <f ca="1">IFERROR(__xludf.DUMMYFUNCTION("""COMPUTED_VALUE"""),2)</f>
        <v>2</v>
      </c>
      <c r="W277" s="179" t="str">
        <f ca="1">IFERROR(__xludf.DUMMYFUNCTION("""COMPUTED_VALUE"""),"Love the idea, but they have only raised a very small amount of money so far, and this is a highly risky area as they will have a lot of loans and may have an issue with defaults in the future. It's not clear what they have done to prepare for this. Team "&amp;"experience in banking/education is somewhat weak.")</f>
        <v>Love the idea, but they have only raised a very small amount of money so far, and this is a highly risky area as they will have a lot of loans and may have an issue with defaults in the future. It's not clear what they have done to prepare for this. Team experience in banking/education is somewhat weak.</v>
      </c>
    </row>
    <row r="278" spans="1:23">
      <c r="A278" s="179" t="str">
        <f ca="1">IFERROR(__xludf.DUMMYFUNCTION("""COMPUTED_VALUE"""),"R")</f>
        <v>R</v>
      </c>
      <c r="B278" s="436">
        <f ca="1">IFERROR(__xludf.DUMMYFUNCTION("""COMPUTED_VALUE"""),44796.7829459837)</f>
        <v>44796.782945983701</v>
      </c>
      <c r="C278" s="179" t="str">
        <f ca="1">IFERROR(__xludf.DUMMYFUNCTION("""COMPUTED_VALUE"""),"ns4976@stern.nyu.edu")</f>
        <v>ns4976@stern.nyu.edu</v>
      </c>
      <c r="D278" s="179" t="str">
        <f ca="1">IFERROR(__xludf.DUMMYFUNCTION("""COMPUTED_VALUE"""),"Nick Schmandt")</f>
        <v>Nick Schmandt</v>
      </c>
      <c r="E278" s="179" t="str">
        <f ca="1">IFERROR(__xludf.DUMMYFUNCTION("""COMPUTED_VALUE"""),"I have read and understand the confidentiality agreement for application reviewers.")</f>
        <v>I have read and understand the confidentiality agreement for application reviewers.</v>
      </c>
      <c r="F278" s="179" t="str">
        <f ca="1">IFERROR(__xludf.DUMMYFUNCTION("""COMPUTED_VALUE"""),"Dryad")</f>
        <v>Dryad</v>
      </c>
      <c r="G278" s="179" t="str">
        <f ca="1">IFERROR(__xludf.DUMMYFUNCTION("""COMPUTED_VALUE"""),"This is a remote fire detection system that can be placed in the forest to give early warning of forest fires and allow prevention before they get out of control.")</f>
        <v>This is a remote fire detection system that can be placed in the forest to give early warning of forest fires and allow prevention before they get out of control.</v>
      </c>
      <c r="H278" s="179">
        <f ca="1">IFERROR(__xludf.DUMMYFUNCTION("""COMPUTED_VALUE"""),5)</f>
        <v>5</v>
      </c>
      <c r="I278" s="179">
        <f ca="1">IFERROR(__xludf.DUMMYFUNCTION("""COMPUTED_VALUE"""),4)</f>
        <v>4</v>
      </c>
      <c r="J278" s="179">
        <f ca="1">IFERROR(__xludf.DUMMYFUNCTION("""COMPUTED_VALUE"""),3)</f>
        <v>3</v>
      </c>
      <c r="K278" s="179">
        <f ca="1">IFERROR(__xludf.DUMMYFUNCTION("""COMPUTED_VALUE"""),3)</f>
        <v>3</v>
      </c>
      <c r="L278" s="179" t="str">
        <f ca="1">IFERROR(__xludf.DUMMYFUNCTION("""COMPUTED_VALUE"""),"This seems like a relatively simple system.")</f>
        <v>This seems like a relatively simple system.</v>
      </c>
      <c r="M278" s="179">
        <f ca="1">IFERROR(__xludf.DUMMYFUNCTION("""COMPUTED_VALUE"""),3)</f>
        <v>3</v>
      </c>
      <c r="N278" s="179">
        <f ca="1">IFERROR(__xludf.DUMMYFUNCTION("""COMPUTED_VALUE"""),3)</f>
        <v>3</v>
      </c>
      <c r="O278" s="179" t="str">
        <f ca="1">IFERROR(__xludf.DUMMYFUNCTION("""COMPUTED_VALUE"""),"Unclear what the source of their current revenue is.")</f>
        <v>Unclear what the source of their current revenue is.</v>
      </c>
      <c r="P278" s="179">
        <f ca="1">IFERROR(__xludf.DUMMYFUNCTION("""COMPUTED_VALUE"""),3)</f>
        <v>3</v>
      </c>
      <c r="Q278" s="179">
        <f ca="1">IFERROR(__xludf.DUMMYFUNCTION("""COMPUTED_VALUE"""),3)</f>
        <v>3</v>
      </c>
      <c r="R278" s="179">
        <f ca="1">IFERROR(__xludf.DUMMYFUNCTION("""COMPUTED_VALUE"""),5)</f>
        <v>5</v>
      </c>
      <c r="S278" s="179" t="str">
        <f ca="1">IFERROR(__xludf.DUMMYFUNCTION("""COMPUTED_VALUE"""),"Excellent team, very large amount of experience")</f>
        <v>Excellent team, very large amount of experience</v>
      </c>
      <c r="T278" s="437">
        <f ca="1">IFERROR(__xludf.DUMMYFUNCTION("""COMPUTED_VALUE"""),3400000)</f>
        <v>3400000</v>
      </c>
      <c r="U278" s="179" t="str">
        <f ca="1">IFERROR(__xludf.DUMMYFUNCTION("""COMPUTED_VALUE"""),"&gt;$5M")</f>
        <v>&gt;$5M</v>
      </c>
      <c r="V278" s="179">
        <f ca="1">IFERROR(__xludf.DUMMYFUNCTION("""COMPUTED_VALUE"""),4)</f>
        <v>4</v>
      </c>
      <c r="W278" s="179" t="str">
        <f ca="1">IFERROR(__xludf.DUMMYFUNCTION("""COMPUTED_VALUE"""),"The team is extremely strong, that is likely why they have so much money on a relatively unproven technology. Though, the technology is not extremely complex and should work reliably, it does not seem they have actually deployed it and detected wildfires."&amp;" They must have thought of this, but isn't over controlling wildfires actually worse for forests, leading to uncontrolled burning? Also what if the fire is so remote that the fire fighters cannot reach the area? But, the amount of money they have raised s"&amp;"peaks for itself.")</f>
        <v>The team is extremely strong, that is likely why they have so much money on a relatively unproven technology. Though, the technology is not extremely complex and should work reliably, it does not seem they have actually deployed it and detected wildfires. They must have thought of this, but isn't over controlling wildfires actually worse for forests, leading to uncontrolled burning? Also what if the fire is so remote that the fire fighters cannot reach the area? But, the amount of money they have raised speaks for itself.</v>
      </c>
    </row>
    <row r="279" spans="1:23">
      <c r="A279" s="179" t="str">
        <f ca="1">IFERROR(__xludf.DUMMYFUNCTION("""COMPUTED_VALUE"""),"R")</f>
        <v>R</v>
      </c>
      <c r="B279" s="436">
        <f ca="1">IFERROR(__xludf.DUMMYFUNCTION("""COMPUTED_VALUE"""),44796.8017994444)</f>
        <v>44796.801799444402</v>
      </c>
      <c r="C279" s="179" t="str">
        <f ca="1">IFERROR(__xludf.DUMMYFUNCTION("""COMPUTED_VALUE"""),"ns4976@stern.nyu.edu")</f>
        <v>ns4976@stern.nyu.edu</v>
      </c>
      <c r="D279" s="179" t="str">
        <f ca="1">IFERROR(__xludf.DUMMYFUNCTION("""COMPUTED_VALUE"""),"Nick Schmandt")</f>
        <v>Nick Schmandt</v>
      </c>
      <c r="E279" s="179" t="str">
        <f ca="1">IFERROR(__xludf.DUMMYFUNCTION("""COMPUTED_VALUE"""),"I have read and understand the confidentiality agreement for application reviewers.")</f>
        <v>I have read and understand the confidentiality agreement for application reviewers.</v>
      </c>
      <c r="F279" s="179" t="str">
        <f ca="1">IFERROR(__xludf.DUMMYFUNCTION("""COMPUTED_VALUE"""),"Eachday")</f>
        <v>Eachday</v>
      </c>
      <c r="G279" s="179" t="str">
        <f ca="1">IFERROR(__xludf.DUMMYFUNCTION("""COMPUTED_VALUE"""),"This is a digital way to manage ADHD symptoms. Potentially very powerful, but it's not clear what stage their product is in. It's not even clear they have completed the product.")</f>
        <v>This is a digital way to manage ADHD symptoms. Potentially very powerful, but it's not clear what stage their product is in. It's not even clear they have completed the product.</v>
      </c>
      <c r="H279" s="179">
        <f ca="1">IFERROR(__xludf.DUMMYFUNCTION("""COMPUTED_VALUE"""),5)</f>
        <v>5</v>
      </c>
      <c r="I279" s="179">
        <f ca="1">IFERROR(__xludf.DUMMYFUNCTION("""COMPUTED_VALUE"""),5)</f>
        <v>5</v>
      </c>
      <c r="J279" s="179">
        <f ca="1">IFERROR(__xludf.DUMMYFUNCTION("""COMPUTED_VALUE"""),2)</f>
        <v>2</v>
      </c>
      <c r="K279" s="179">
        <f ca="1">IFERROR(__xludf.DUMMYFUNCTION("""COMPUTED_VALUE"""),4)</f>
        <v>4</v>
      </c>
      <c r="L279" s="179" t="str">
        <f ca="1">IFERROR(__xludf.DUMMYFUNCTION("""COMPUTED_VALUE"""),"Again, it's a great idea and should not be that hard to build, but it's not clear where they are in the process. Is it complete but untested, or have they not built it yet?")</f>
        <v>Again, it's a great idea and should not be that hard to build, but it's not clear where they are in the process. Is it complete but untested, or have they not built it yet?</v>
      </c>
      <c r="M279" s="179">
        <f ca="1">IFERROR(__xludf.DUMMYFUNCTION("""COMPUTED_VALUE"""),5)</f>
        <v>5</v>
      </c>
      <c r="N279" s="179">
        <f ca="1">IFERROR(__xludf.DUMMYFUNCTION("""COMPUTED_VALUE"""),2)</f>
        <v>2</v>
      </c>
      <c r="O279" s="179" t="str">
        <f ca="1">IFERROR(__xludf.DUMMYFUNCTION("""COMPUTED_VALUE"""),"Addressable market is large, but they have no customers yet.")</f>
        <v>Addressable market is large, but they have no customers yet.</v>
      </c>
      <c r="P279" s="179">
        <f ca="1">IFERROR(__xludf.DUMMYFUNCTION("""COMPUTED_VALUE"""),5)</f>
        <v>5</v>
      </c>
      <c r="Q279" s="179">
        <f ca="1">IFERROR(__xludf.DUMMYFUNCTION("""COMPUTED_VALUE"""),5)</f>
        <v>5</v>
      </c>
      <c r="R279" s="179">
        <f ca="1">IFERROR(__xludf.DUMMYFUNCTION("""COMPUTED_VALUE"""),4)</f>
        <v>4</v>
      </c>
      <c r="S279" s="179" t="str">
        <f ca="1">IFERROR(__xludf.DUMMYFUNCTION("""COMPUTED_VALUE"""),"They have a diverse set of experiences.")</f>
        <v>They have a diverse set of experiences.</v>
      </c>
      <c r="T279" s="437">
        <f ca="1">IFERROR(__xludf.DUMMYFUNCTION("""COMPUTED_VALUE"""),225000)</f>
        <v>225000</v>
      </c>
      <c r="U279" s="179" t="str">
        <f ca="1">IFERROR(__xludf.DUMMYFUNCTION("""COMPUTED_VALUE"""),"$1-$5M")</f>
        <v>$1-$5M</v>
      </c>
      <c r="V279" s="179">
        <f ca="1">IFERROR(__xludf.DUMMYFUNCTION("""COMPUTED_VALUE"""),3)</f>
        <v>3</v>
      </c>
      <c r="W279" s="179" t="str">
        <f ca="1">IFERROR(__xludf.DUMMYFUNCTION("""COMPUTED_VALUE"""),"I want to rank these guys higher, it's a very sexy product with potentially massive returns, but my biggest issue is that it's not clear what stage the product is in, if it's finished or when it will be finished, and how they will prove it works. It's pos"&amp;"sible it ultimately fails, though they could presumably simply adjust the software, but that will take time and they don't seem to have thought about that. They may not have enough funds to get the product to market.")</f>
        <v>I want to rank these guys higher, it's a very sexy product with potentially massive returns, but my biggest issue is that it's not clear what stage the product is in, if it's finished or when it will be finished, and how they will prove it works. It's possible it ultimately fails, though they could presumably simply adjust the software, but that will take time and they don't seem to have thought about that. They may not have enough funds to get the product to market.</v>
      </c>
    </row>
    <row r="280" spans="1:23">
      <c r="A280" s="179" t="str">
        <f ca="1">IFERROR(__xludf.DUMMYFUNCTION("""COMPUTED_VALUE"""),"R")</f>
        <v>R</v>
      </c>
      <c r="B280" s="436">
        <f ca="1">IFERROR(__xludf.DUMMYFUNCTION("""COMPUTED_VALUE"""),44796.8092989467)</f>
        <v>44796.809298946697</v>
      </c>
      <c r="C280" s="179" t="str">
        <f ca="1">IFERROR(__xludf.DUMMYFUNCTION("""COMPUTED_VALUE"""),"ns4976@stern.nyu.edu")</f>
        <v>ns4976@stern.nyu.edu</v>
      </c>
      <c r="D280" s="179" t="str">
        <f ca="1">IFERROR(__xludf.DUMMYFUNCTION("""COMPUTED_VALUE"""),"Nick Schmandt")</f>
        <v>Nick Schmandt</v>
      </c>
      <c r="E280" s="179" t="str">
        <f ca="1">IFERROR(__xludf.DUMMYFUNCTION("""COMPUTED_VALUE"""),"I have read and understand the confidentiality agreement for application reviewers.")</f>
        <v>I have read and understand the confidentiality agreement for application reviewers.</v>
      </c>
      <c r="F280" s="179" t="str">
        <f ca="1">IFERROR(__xludf.DUMMYFUNCTION("""COMPUTED_VALUE"""),"Photon Vault")</f>
        <v>Photon Vault</v>
      </c>
      <c r="G280" s="179" t="str">
        <f ca="1">IFERROR(__xludf.DUMMYFUNCTION("""COMPUTED_VALUE"""),"This is a way of cheaply storing energy to sell back to the grid later. I am not completely clear exactly how it works but they claim they have completed the first version.")</f>
        <v>This is a way of cheaply storing energy to sell back to the grid later. I am not completely clear exactly how it works but they claim they have completed the first version.</v>
      </c>
      <c r="H280" s="179">
        <f ca="1">IFERROR(__xludf.DUMMYFUNCTION("""COMPUTED_VALUE"""),5)</f>
        <v>5</v>
      </c>
      <c r="I280" s="179">
        <f ca="1">IFERROR(__xludf.DUMMYFUNCTION("""COMPUTED_VALUE"""),5)</f>
        <v>5</v>
      </c>
      <c r="J280" s="179">
        <f ca="1">IFERROR(__xludf.DUMMYFUNCTION("""COMPUTED_VALUE"""),3)</f>
        <v>3</v>
      </c>
      <c r="K280" s="179">
        <f ca="1">IFERROR(__xludf.DUMMYFUNCTION("""COMPUTED_VALUE"""),4)</f>
        <v>4</v>
      </c>
      <c r="L280" s="179" t="str">
        <f ca="1">IFERROR(__xludf.DUMMYFUNCTION("""COMPUTED_VALUE"""),"It would be nice to see data from the completed prototype")</f>
        <v>It would be nice to see data from the completed prototype</v>
      </c>
      <c r="M280" s="179">
        <f ca="1">IFERROR(__xludf.DUMMYFUNCTION("""COMPUTED_VALUE"""),5)</f>
        <v>5</v>
      </c>
      <c r="N280" s="179">
        <f ca="1">IFERROR(__xludf.DUMMYFUNCTION("""COMPUTED_VALUE"""),3)</f>
        <v>3</v>
      </c>
      <c r="O280" s="179" t="str">
        <f ca="1">IFERROR(__xludf.DUMMYFUNCTION("""COMPUTED_VALUE"""),"Massive addressable market")</f>
        <v>Massive addressable market</v>
      </c>
      <c r="P280" s="179">
        <f ca="1">IFERROR(__xludf.DUMMYFUNCTION("""COMPUTED_VALUE"""),5)</f>
        <v>5</v>
      </c>
      <c r="Q280" s="179">
        <f ca="1">IFERROR(__xludf.DUMMYFUNCTION("""COMPUTED_VALUE"""),5)</f>
        <v>5</v>
      </c>
      <c r="R280" s="179">
        <f ca="1">IFERROR(__xludf.DUMMYFUNCTION("""COMPUTED_VALUE"""),4)</f>
        <v>4</v>
      </c>
      <c r="S280" s="179" t="str">
        <f ca="1">IFERROR(__xludf.DUMMYFUNCTION("""COMPUTED_VALUE"""),"Great scientific expertise, not a lot of startup/business expertise")</f>
        <v>Great scientific expertise, not a lot of startup/business expertise</v>
      </c>
      <c r="T280" s="437">
        <f ca="1">IFERROR(__xludf.DUMMYFUNCTION("""COMPUTED_VALUE"""),0)</f>
        <v>0</v>
      </c>
      <c r="U280" s="179" t="str">
        <f ca="1">IFERROR(__xludf.DUMMYFUNCTION("""COMPUTED_VALUE"""),"$1-$5M")</f>
        <v>$1-$5M</v>
      </c>
      <c r="V280" s="179">
        <f ca="1">IFERROR(__xludf.DUMMYFUNCTION("""COMPUTED_VALUE"""),3)</f>
        <v>3</v>
      </c>
      <c r="W280" s="179" t="str">
        <f ca="1">IFERROR(__xludf.DUMMYFUNCTION("""COMPUTED_VALUE"""),"This is such a great idea! I don't understand why more energy storage innovators don't just start building prototypes and profiting off the arbitrage. I wish I could rank them higher, but the major red flag here is the fact that they have raised zero fund"&amp;"s. This means that someone is self-funding the prototype, and that is not sustainable. Also, I worry that they don't have the business knowledge to drive this product to market. I believe these guys have an amazing product, but without business acumen, th"&amp;"at's worthless, hence the lower ranking.")</f>
        <v>This is such a great idea! I don't understand why more energy storage innovators don't just start building prototypes and profiting off the arbitrage. I wish I could rank them higher, but the major red flag here is the fact that they have raised zero funds. This means that someone is self-funding the prototype, and that is not sustainable. Also, I worry that they don't have the business knowledge to drive this product to market. I believe these guys have an amazing product, but without business acumen, that's worthless, hence the lower ranking.</v>
      </c>
    </row>
    <row r="281" spans="1:23">
      <c r="A281" s="179" t="str">
        <f ca="1">IFERROR(__xludf.DUMMYFUNCTION("""COMPUTED_VALUE"""),"R")</f>
        <v>R</v>
      </c>
      <c r="B281" s="436">
        <f ca="1">IFERROR(__xludf.DUMMYFUNCTION("""COMPUTED_VALUE"""),44796.9650495717)</f>
        <v>44796.9650495717</v>
      </c>
      <c r="C281" s="179" t="str">
        <f ca="1">IFERROR(__xludf.DUMMYFUNCTION("""COMPUTED_VALUE"""),"ns4976@stern.nyu.edu")</f>
        <v>ns4976@stern.nyu.edu</v>
      </c>
      <c r="D281" s="179" t="str">
        <f ca="1">IFERROR(__xludf.DUMMYFUNCTION("""COMPUTED_VALUE"""),"Nick Schmandt")</f>
        <v>Nick Schmandt</v>
      </c>
      <c r="E281" s="179" t="str">
        <f ca="1">IFERROR(__xludf.DUMMYFUNCTION("""COMPUTED_VALUE"""),"I have read and understand the confidentiality agreement for application reviewers.")</f>
        <v>I have read and understand the confidentiality agreement for application reviewers.</v>
      </c>
      <c r="F281" s="179" t="str">
        <f ca="1">IFERROR(__xludf.DUMMYFUNCTION("""COMPUTED_VALUE"""),"Plant an App")</f>
        <v>Plant an App</v>
      </c>
      <c r="G281" s="179" t="str">
        <f ca="1">IFERROR(__xludf.DUMMYFUNCTION("""COMPUTED_VALUE"""),"They have a working project. It seems to be more oriented towards CRM but it appears to be a useful tool.")</f>
        <v>They have a working project. It seems to be more oriented towards CRM but it appears to be a useful tool.</v>
      </c>
      <c r="H281" s="179">
        <f ca="1">IFERROR(__xludf.DUMMYFUNCTION("""COMPUTED_VALUE"""),5)</f>
        <v>5</v>
      </c>
      <c r="I281" s="179">
        <f ca="1">IFERROR(__xludf.DUMMYFUNCTION("""COMPUTED_VALUE"""),3)</f>
        <v>3</v>
      </c>
      <c r="J281" s="179">
        <f ca="1">IFERROR(__xludf.DUMMYFUNCTION("""COMPUTED_VALUE"""),4)</f>
        <v>4</v>
      </c>
      <c r="K281" s="179">
        <f ca="1">IFERROR(__xludf.DUMMYFUNCTION("""COMPUTED_VALUE"""),3)</f>
        <v>3</v>
      </c>
      <c r="L281" s="179" t="str">
        <f ca="1">IFERROR(__xludf.DUMMYFUNCTION("""COMPUTED_VALUE"""),"I'm sure it took a lot of effort to get this to where it is today. It depends on how the market responds to this particular flavor of coding-support software.")</f>
        <v>I'm sure it took a lot of effort to get this to where it is today. It depends on how the market responds to this particular flavor of coding-support software.</v>
      </c>
      <c r="M281" s="179">
        <f ca="1">IFERROR(__xludf.DUMMYFUNCTION("""COMPUTED_VALUE"""),5)</f>
        <v>5</v>
      </c>
      <c r="N281" s="179">
        <f ca="1">IFERROR(__xludf.DUMMYFUNCTION("""COMPUTED_VALUE"""),5)</f>
        <v>5</v>
      </c>
      <c r="O281" s="179" t="str">
        <f ca="1">IFERROR(__xludf.DUMMYFUNCTION("""COMPUTED_VALUE"""),"They appear to have several credible customers, but it will be challenging to bring in more.")</f>
        <v>They appear to have several credible customers, but it will be challenging to bring in more.</v>
      </c>
      <c r="P281" s="179">
        <f ca="1">IFERROR(__xludf.DUMMYFUNCTION("""COMPUTED_VALUE"""),5)</f>
        <v>5</v>
      </c>
      <c r="Q281" s="179">
        <f ca="1">IFERROR(__xludf.DUMMYFUNCTION("""COMPUTED_VALUE"""),5)</f>
        <v>5</v>
      </c>
      <c r="R281" s="179">
        <f ca="1">IFERROR(__xludf.DUMMYFUNCTION("""COMPUTED_VALUE"""),5)</f>
        <v>5</v>
      </c>
      <c r="S281" s="179" t="str">
        <f ca="1">IFERROR(__xludf.DUMMYFUNCTION("""COMPUTED_VALUE"""),"The founder has a significant amount of startup experience.")</f>
        <v>The founder has a significant amount of startup experience.</v>
      </c>
      <c r="T281" s="437">
        <f ca="1">IFERROR(__xludf.DUMMYFUNCTION("""COMPUTED_VALUE"""),1100000)</f>
        <v>1100000</v>
      </c>
      <c r="U281" s="179" t="str">
        <f ca="1">IFERROR(__xludf.DUMMYFUNCTION("""COMPUTED_VALUE"""),"$1-$5M")</f>
        <v>$1-$5M</v>
      </c>
      <c r="V281" s="179">
        <f ca="1">IFERROR(__xludf.DUMMYFUNCTION("""COMPUTED_VALUE"""),4)</f>
        <v>4</v>
      </c>
      <c r="W281" s="179" t="str">
        <f ca="1">IFERROR(__xludf.DUMMYFUNCTION("""COMPUTED_VALUE"""),"The strong point is their founder experience and revenues. I am not sure how easy it will be for them to grow beyond this, as the SaaS field is incredibly competitive. From the demo this seems to be a CRM-oriented software, which is also a very crowded sp"&amp;"ace. But, they have gotten this far with strong revenue, but it remains to be seen if they can continue to grow.")</f>
        <v>The strong point is their founder experience and revenues. I am not sure how easy it will be for them to grow beyond this, as the SaaS field is incredibly competitive. From the demo this seems to be a CRM-oriented software, which is also a very crowded space. But, they have gotten this far with strong revenue, but it remains to be seen if they can continue to grow.</v>
      </c>
    </row>
    <row r="282" spans="1:23">
      <c r="A282" s="179" t="str">
        <f ca="1">IFERROR(__xludf.DUMMYFUNCTION("""COMPUTED_VALUE"""),"R")</f>
        <v>R</v>
      </c>
      <c r="B282" s="436">
        <f ca="1">IFERROR(__xludf.DUMMYFUNCTION("""COMPUTED_VALUE"""),44796.9847566782)</f>
        <v>44796.984756678197</v>
      </c>
      <c r="C282" s="179" t="str">
        <f ca="1">IFERROR(__xludf.DUMMYFUNCTION("""COMPUTED_VALUE"""),"ns4976@stern.nyu.edu")</f>
        <v>ns4976@stern.nyu.edu</v>
      </c>
      <c r="D282" s="179" t="str">
        <f ca="1">IFERROR(__xludf.DUMMYFUNCTION("""COMPUTED_VALUE"""),"Nick Schmandt")</f>
        <v>Nick Schmandt</v>
      </c>
      <c r="E282" s="179" t="str">
        <f ca="1">IFERROR(__xludf.DUMMYFUNCTION("""COMPUTED_VALUE"""),"I have read and understand the confidentiality agreement for application reviewers.")</f>
        <v>I have read and understand the confidentiality agreement for application reviewers.</v>
      </c>
      <c r="F282" s="179" t="str">
        <f ca="1">IFERROR(__xludf.DUMMYFUNCTION("""COMPUTED_VALUE"""),"PRP concepts")</f>
        <v>PRP concepts</v>
      </c>
      <c r="G282" s="179" t="str">
        <f ca="1">IFERROR(__xludf.DUMMYFUNCTION("""COMPUTED_VALUE"""),"This is a membrane constructed from the patient's own blood cells that is then placed over a wound to encourage healing. They have several tests on the product but they are not exhaustive and do not offer direct comparisons to their competitors.")</f>
        <v>This is a membrane constructed from the patient's own blood cells that is then placed over a wound to encourage healing. They have several tests on the product but they are not exhaustive and do not offer direct comparisons to their competitors.</v>
      </c>
      <c r="H282" s="179">
        <f ca="1">IFERROR(__xludf.DUMMYFUNCTION("""COMPUTED_VALUE"""),4)</f>
        <v>4</v>
      </c>
      <c r="I282" s="179">
        <f ca="1">IFERROR(__xludf.DUMMYFUNCTION("""COMPUTED_VALUE"""),3)</f>
        <v>3</v>
      </c>
      <c r="J282" s="179">
        <f ca="1">IFERROR(__xludf.DUMMYFUNCTION("""COMPUTED_VALUE"""),3)</f>
        <v>3</v>
      </c>
      <c r="K282" s="179">
        <f ca="1">IFERROR(__xludf.DUMMYFUNCTION("""COMPUTED_VALUE"""),3)</f>
        <v>3</v>
      </c>
      <c r="L282" s="179" t="str">
        <f ca="1">IFERROR(__xludf.DUMMYFUNCTION("""COMPUTED_VALUE"""),"This technology is only slightly new and distinctive from competitors")</f>
        <v>This technology is only slightly new and distinctive from competitors</v>
      </c>
      <c r="M282" s="179">
        <f ca="1">IFERROR(__xludf.DUMMYFUNCTION("""COMPUTED_VALUE"""),4)</f>
        <v>4</v>
      </c>
      <c r="N282" s="179">
        <f ca="1">IFERROR(__xludf.DUMMYFUNCTION("""COMPUTED_VALUE"""),3)</f>
        <v>3</v>
      </c>
      <c r="O282" s="179" t="str">
        <f ca="1">IFERROR(__xludf.DUMMYFUNCTION("""COMPUTED_VALUE"""),"It would be great to see paying revenue from the product, especially given the testing that had already been done.")</f>
        <v>It would be great to see paying revenue from the product, especially given the testing that had already been done.</v>
      </c>
      <c r="P282" s="179">
        <f ca="1">IFERROR(__xludf.DUMMYFUNCTION("""COMPUTED_VALUE"""),3)</f>
        <v>3</v>
      </c>
      <c r="Q282" s="179">
        <f ca="1">IFERROR(__xludf.DUMMYFUNCTION("""COMPUTED_VALUE"""),3)</f>
        <v>3</v>
      </c>
      <c r="R282" s="179">
        <f ca="1">IFERROR(__xludf.DUMMYFUNCTION("""COMPUTED_VALUE"""),4)</f>
        <v>4</v>
      </c>
      <c r="S282" s="179" t="str">
        <f ca="1">IFERROR(__xludf.DUMMYFUNCTION("""COMPUTED_VALUE"""),"No one has linked in profiles? I guess I just have to take their word that they are qualified. They do seem to have a lot of academics.")</f>
        <v>No one has linked in profiles? I guess I just have to take their word that they are qualified. They do seem to have a lot of academics.</v>
      </c>
      <c r="T282" s="437">
        <f ca="1">IFERROR(__xludf.DUMMYFUNCTION("""COMPUTED_VALUE"""),2800000)</f>
        <v>2800000</v>
      </c>
      <c r="U282" s="179" t="str">
        <f ca="1">IFERROR(__xludf.DUMMYFUNCTION("""COMPUTED_VALUE"""),"&gt;$5M")</f>
        <v>&gt;$5M</v>
      </c>
      <c r="V282" s="179">
        <f ca="1">IFERROR(__xludf.DUMMYFUNCTION("""COMPUTED_VALUE"""),4)</f>
        <v>4</v>
      </c>
      <c r="W282" s="179" t="str">
        <f ca="1">IFERROR(__xludf.DUMMYFUNCTION("""COMPUTED_VALUE"""),"This looks like an amazing product. I think they are in a very competitive space, and there is not a huge differential between their competitors. Also, while they have great data so far, they don't seem to be making large inroads into clients. Some form o"&amp;"f revenue would go a long way towards their tractability. But the product seems innovative and potentially disruptive.")</f>
        <v>This looks like an amazing product. I think they are in a very competitive space, and there is not a huge differential between their competitors. Also, while they have great data so far, they don't seem to be making large inroads into clients. Some form of revenue would go a long way towards their tractability. But the product seems innovative and potentially disruptive.</v>
      </c>
    </row>
    <row r="283" spans="1:23">
      <c r="A283" s="179" t="str">
        <f ca="1">IFERROR(__xludf.DUMMYFUNCTION("""COMPUTED_VALUE"""),"R")</f>
        <v>R</v>
      </c>
      <c r="B283" s="436">
        <f ca="1">IFERROR(__xludf.DUMMYFUNCTION("""COMPUTED_VALUE"""),44797.0036502083)</f>
        <v>44797.003650208302</v>
      </c>
      <c r="C283" s="179" t="str">
        <f ca="1">IFERROR(__xludf.DUMMYFUNCTION("""COMPUTED_VALUE"""),"ns4976@stern.nyu.edu")</f>
        <v>ns4976@stern.nyu.edu</v>
      </c>
      <c r="D283" s="179" t="str">
        <f ca="1">IFERROR(__xludf.DUMMYFUNCTION("""COMPUTED_VALUE"""),"Nick Schmandt")</f>
        <v>Nick Schmandt</v>
      </c>
      <c r="E283" s="179" t="str">
        <f ca="1">IFERROR(__xludf.DUMMYFUNCTION("""COMPUTED_VALUE"""),"I have read and understand the confidentiality agreement for application reviewers.")</f>
        <v>I have read and understand the confidentiality agreement for application reviewers.</v>
      </c>
      <c r="F283" s="179" t="str">
        <f ca="1">IFERROR(__xludf.DUMMYFUNCTION("""COMPUTED_VALUE"""),"Seek AI")</f>
        <v>Seek AI</v>
      </c>
      <c r="G283" s="179" t="str">
        <f ca="1">IFERROR(__xludf.DUMMYFUNCTION("""COMPUTED_VALUE"""),"This essentially translates human questions directly into SQL. It makes sense, but it's not clear if it will be able to actually replace human data scientists, or at least alleviate their workload.")</f>
        <v>This essentially translates human questions directly into SQL. It makes sense, but it's not clear if it will be able to actually replace human data scientists, or at least alleviate their workload.</v>
      </c>
      <c r="H283" s="179">
        <f ca="1">IFERROR(__xludf.DUMMYFUNCTION("""COMPUTED_VALUE"""),4)</f>
        <v>4</v>
      </c>
      <c r="I283" s="179">
        <f ca="1">IFERROR(__xludf.DUMMYFUNCTION("""COMPUTED_VALUE"""),5)</f>
        <v>5</v>
      </c>
      <c r="J283" s="179">
        <f ca="1">IFERROR(__xludf.DUMMYFUNCTION("""COMPUTED_VALUE"""),3)</f>
        <v>3</v>
      </c>
      <c r="K283" s="179">
        <f ca="1">IFERROR(__xludf.DUMMYFUNCTION("""COMPUTED_VALUE"""),3)</f>
        <v>3</v>
      </c>
      <c r="L283" s="179" t="str">
        <f ca="1">IFERROR(__xludf.DUMMYFUNCTION("""COMPUTED_VALUE"""),"It's a good idea but there are likely a lot of people working on this. Also the devil will be in the details of how well it works with human speech.")</f>
        <v>It's a good idea but there are likely a lot of people working on this. Also the devil will be in the details of how well it works with human speech.</v>
      </c>
      <c r="M283" s="179">
        <f ca="1">IFERROR(__xludf.DUMMYFUNCTION("""COMPUTED_VALUE"""),5)</f>
        <v>5</v>
      </c>
      <c r="N283" s="179">
        <f ca="1">IFERROR(__xludf.DUMMYFUNCTION("""COMPUTED_VALUE"""),3)</f>
        <v>3</v>
      </c>
      <c r="O283" s="179" t="str">
        <f ca="1">IFERROR(__xludf.DUMMYFUNCTION("""COMPUTED_VALUE"""),"The addressable market is large but competitive.")</f>
        <v>The addressable market is large but competitive.</v>
      </c>
      <c r="P283" s="179">
        <f ca="1">IFERROR(__xludf.DUMMYFUNCTION("""COMPUTED_VALUE"""),3)</f>
        <v>3</v>
      </c>
      <c r="Q283" s="179">
        <f ca="1">IFERROR(__xludf.DUMMYFUNCTION("""COMPUTED_VALUE"""),4)</f>
        <v>4</v>
      </c>
      <c r="R283" s="179">
        <f ca="1">IFERROR(__xludf.DUMMYFUNCTION("""COMPUTED_VALUE"""),4)</f>
        <v>4</v>
      </c>
      <c r="S283" s="179" t="str">
        <f ca="1">IFERROR(__xludf.DUMMYFUNCTION("""COMPUTED_VALUE"""),"team is good with a diverse set of backgrounds.")</f>
        <v>team is good with a diverse set of backgrounds.</v>
      </c>
      <c r="T283" s="437">
        <f ca="1">IFERROR(__xludf.DUMMYFUNCTION("""COMPUTED_VALUE"""),1500000)</f>
        <v>1500000</v>
      </c>
      <c r="U283" s="179" t="str">
        <f ca="1">IFERROR(__xludf.DUMMYFUNCTION("""COMPUTED_VALUE"""),"$1-$5M")</f>
        <v>$1-$5M</v>
      </c>
      <c r="V283" s="179">
        <f ca="1">IFERROR(__xludf.DUMMYFUNCTION("""COMPUTED_VALUE"""),4)</f>
        <v>4</v>
      </c>
      <c r="W283" s="179" t="str">
        <f ca="1">IFERROR(__xludf.DUMMYFUNCTION("""COMPUTED_VALUE"""),"This is a very promising technology, but the devil will be in the details of how it can successfully integrate in human conversations or respond to human commands. It will likely work much better for smaller organizations. The fact that they have at least"&amp;" a good starting revenue is encouraging.")</f>
        <v>This is a very promising technology, but the devil will be in the details of how it can successfully integrate in human conversations or respond to human commands. It will likely work much better for smaller organizations. The fact that they have at least a good starting revenue is encouraging.</v>
      </c>
    </row>
    <row r="284" spans="1:23">
      <c r="A284" s="179" t="str">
        <f ca="1">IFERROR(__xludf.DUMMYFUNCTION("""COMPUTED_VALUE"""),"R")</f>
        <v>R</v>
      </c>
      <c r="B284" s="436">
        <f ca="1">IFERROR(__xludf.DUMMYFUNCTION("""COMPUTED_VALUE"""),44797.0165366319)</f>
        <v>44797.016536631898</v>
      </c>
      <c r="C284" s="179" t="str">
        <f ca="1">IFERROR(__xludf.DUMMYFUNCTION("""COMPUTED_VALUE"""),"ns4976@stern.nyu.edu")</f>
        <v>ns4976@stern.nyu.edu</v>
      </c>
      <c r="D284" s="179" t="str">
        <f ca="1">IFERROR(__xludf.DUMMYFUNCTION("""COMPUTED_VALUE"""),"Nick Schmandt")</f>
        <v>Nick Schmandt</v>
      </c>
      <c r="E284" s="179" t="str">
        <f ca="1">IFERROR(__xludf.DUMMYFUNCTION("""COMPUTED_VALUE"""),"I have read and understand the confidentiality agreement for application reviewers.")</f>
        <v>I have read and understand the confidentiality agreement for application reviewers.</v>
      </c>
      <c r="F284" s="179" t="str">
        <f ca="1">IFERROR(__xludf.DUMMYFUNCTION("""COMPUTED_VALUE"""),"Solaires Enterprise")</f>
        <v>Solaires Enterprise</v>
      </c>
      <c r="G284" s="179" t="str">
        <f ca="1">IFERROR(__xludf.DUMMYFUNCTION("""COMPUTED_VALUE"""),"They claim to have a viable product, but a quick check on the web shows that the material they are advertising is known for being unstable and not lasting nearly as long as conventional solar panels. They do not explicitly address this so I assume this is"&amp;"sue has not been resolved.")</f>
        <v>They claim to have a viable product, but a quick check on the web shows that the material they are advertising is known for being unstable and not lasting nearly as long as conventional solar panels. They do not explicitly address this so I assume this issue has not been resolved.</v>
      </c>
      <c r="H284" s="179">
        <f ca="1">IFERROR(__xludf.DUMMYFUNCTION("""COMPUTED_VALUE"""),5)</f>
        <v>5</v>
      </c>
      <c r="I284" s="179">
        <f ca="1">IFERROR(__xludf.DUMMYFUNCTION("""COMPUTED_VALUE"""),5)</f>
        <v>5</v>
      </c>
      <c r="J284" s="179">
        <f ca="1">IFERROR(__xludf.DUMMYFUNCTION("""COMPUTED_VALUE"""),2)</f>
        <v>2</v>
      </c>
      <c r="K284" s="179">
        <f ca="1">IFERROR(__xludf.DUMMYFUNCTION("""COMPUTED_VALUE"""),3)</f>
        <v>3</v>
      </c>
      <c r="L284" s="179" t="str">
        <f ca="1">IFERROR(__xludf.DUMMYFUNCTION("""COMPUTED_VALUE"""),"Again, the problem with their material is its lack of stability. I did not see data that shows they have stabilized it to the point of industrial use.")</f>
        <v>Again, the problem with their material is its lack of stability. I did not see data that shows they have stabilized it to the point of industrial use.</v>
      </c>
      <c r="M284" s="179">
        <f ca="1">IFERROR(__xludf.DUMMYFUNCTION("""COMPUTED_VALUE"""),5)</f>
        <v>5</v>
      </c>
      <c r="N284" s="179">
        <f ca="1">IFERROR(__xludf.DUMMYFUNCTION("""COMPUTED_VALUE"""),2)</f>
        <v>2</v>
      </c>
      <c r="O284" s="179" t="str">
        <f ca="1">IFERROR(__xludf.DUMMYFUNCTION("""COMPUTED_VALUE"""),"If they can make a working product the addressable market is very large.")</f>
        <v>If they can make a working product the addressable market is very large.</v>
      </c>
      <c r="P284" s="179">
        <f ca="1">IFERROR(__xludf.DUMMYFUNCTION("""COMPUTED_VALUE"""),5)</f>
        <v>5</v>
      </c>
      <c r="Q284" s="179">
        <f ca="1">IFERROR(__xludf.DUMMYFUNCTION("""COMPUTED_VALUE"""),5)</f>
        <v>5</v>
      </c>
      <c r="R284" s="179">
        <f ca="1">IFERROR(__xludf.DUMMYFUNCTION("""COMPUTED_VALUE"""),3)</f>
        <v>3</v>
      </c>
      <c r="S284" s="179" t="str">
        <f ca="1">IFERROR(__xludf.DUMMYFUNCTION("""COMPUTED_VALUE"""),"Team is academic and does not have a large amount of business experience")</f>
        <v>Team is academic and does not have a large amount of business experience</v>
      </c>
      <c r="T284" s="437">
        <f ca="1">IFERROR(__xludf.DUMMYFUNCTION("""COMPUTED_VALUE"""),4000000)</f>
        <v>4000000</v>
      </c>
      <c r="U284" s="179" t="str">
        <f ca="1">IFERROR(__xludf.DUMMYFUNCTION("""COMPUTED_VALUE"""),"$1-$5M")</f>
        <v>$1-$5M</v>
      </c>
      <c r="V284" s="179">
        <f ca="1">IFERROR(__xludf.DUMMYFUNCTION("""COMPUTED_VALUE"""),4)</f>
        <v>4</v>
      </c>
      <c r="W284" s="179" t="str">
        <f ca="1">IFERROR(__xludf.DUMMYFUNCTION("""COMPUTED_VALUE"""),"While this is a very innovative product, they do not address the fundamental issue behind the material, namely its instability. They have raised a lot of money, but a lot of it is from grants, not normal seed funding. While the team is highly competent, t"&amp;"hey are heavily academic. This one is a tough call.")</f>
        <v>While this is a very innovative product, they do not address the fundamental issue behind the material, namely its instability. They have raised a lot of money, but a lot of it is from grants, not normal seed funding. While the team is highly competent, they are heavily academic. This one is a tough call.</v>
      </c>
    </row>
    <row r="285" spans="1:23">
      <c r="A285" s="179" t="str">
        <f ca="1">IFERROR(__xludf.DUMMYFUNCTION("""COMPUTED_VALUE"""),"R")</f>
        <v>R</v>
      </c>
      <c r="B285" s="436">
        <f ca="1">IFERROR(__xludf.DUMMYFUNCTION("""COMPUTED_VALUE"""),44797.0275969791)</f>
        <v>44797.027596979096</v>
      </c>
      <c r="C285" s="179" t="str">
        <f ca="1">IFERROR(__xludf.DUMMYFUNCTION("""COMPUTED_VALUE"""),"ns4976@stern.nyu.edu")</f>
        <v>ns4976@stern.nyu.edu</v>
      </c>
      <c r="D285" s="179" t="str">
        <f ca="1">IFERROR(__xludf.DUMMYFUNCTION("""COMPUTED_VALUE"""),"Nick Schmandt")</f>
        <v>Nick Schmandt</v>
      </c>
      <c r="E285" s="179" t="str">
        <f ca="1">IFERROR(__xludf.DUMMYFUNCTION("""COMPUTED_VALUE"""),"I have read and understand the confidentiality agreement for application reviewers.")</f>
        <v>I have read and understand the confidentiality agreement for application reviewers.</v>
      </c>
      <c r="F285" s="179" t="str">
        <f ca="1">IFERROR(__xludf.DUMMYFUNCTION("""COMPUTED_VALUE"""),"Undesert")</f>
        <v>Undesert</v>
      </c>
      <c r="G285" s="179" t="str">
        <f ca="1">IFERROR(__xludf.DUMMYFUNCTION("""COMPUTED_VALUE"""),"Their product is simply solar desalinization combined with growing plants from prior unusable land. I am not sure why they don't use this technology in areas experiencing water loss such as Texas or California.")</f>
        <v>Their product is simply solar desalinization combined with growing plants from prior unusable land. I am not sure why they don't use this technology in areas experiencing water loss such as Texas or California.</v>
      </c>
      <c r="H285" s="179">
        <f ca="1">IFERROR(__xludf.DUMMYFUNCTION("""COMPUTED_VALUE"""),4)</f>
        <v>4</v>
      </c>
      <c r="I285" s="179">
        <f ca="1">IFERROR(__xludf.DUMMYFUNCTION("""COMPUTED_VALUE"""),2)</f>
        <v>2</v>
      </c>
      <c r="J285" s="179">
        <f ca="1">IFERROR(__xludf.DUMMYFUNCTION("""COMPUTED_VALUE"""),5)</f>
        <v>5</v>
      </c>
      <c r="K285" s="179">
        <f ca="1">IFERROR(__xludf.DUMMYFUNCTION("""COMPUTED_VALUE"""),2)</f>
        <v>2</v>
      </c>
      <c r="L285" s="179" t="str">
        <f ca="1">IFERROR(__xludf.DUMMYFUNCTION("""COMPUTED_VALUE"""),"This is not really very revolutionary, though it is a cool idea.")</f>
        <v>This is not really very revolutionary, though it is a cool idea.</v>
      </c>
      <c r="M285" s="179">
        <f ca="1">IFERROR(__xludf.DUMMYFUNCTION("""COMPUTED_VALUE"""),3)</f>
        <v>3</v>
      </c>
      <c r="N285" s="179">
        <f ca="1">IFERROR(__xludf.DUMMYFUNCTION("""COMPUTED_VALUE"""),1)</f>
        <v>1</v>
      </c>
      <c r="O285" s="179" t="str">
        <f ca="1">IFERROR(__xludf.DUMMYFUNCTION("""COMPUTED_VALUE"""),"Only one corporation is producing revenue")</f>
        <v>Only one corporation is producing revenue</v>
      </c>
      <c r="P285" s="179">
        <f ca="1">IFERROR(__xludf.DUMMYFUNCTION("""COMPUTED_VALUE"""),4)</f>
        <v>4</v>
      </c>
      <c r="Q285" s="179">
        <f ca="1">IFERROR(__xludf.DUMMYFUNCTION("""COMPUTED_VALUE"""),2)</f>
        <v>2</v>
      </c>
      <c r="R285" s="179">
        <f ca="1">IFERROR(__xludf.DUMMYFUNCTION("""COMPUTED_VALUE"""),3)</f>
        <v>3</v>
      </c>
      <c r="S285" s="179" t="str">
        <f ca="1">IFERROR(__xludf.DUMMYFUNCTION("""COMPUTED_VALUE"""),"Team is small but suitable for this role")</f>
        <v>Team is small but suitable for this role</v>
      </c>
      <c r="T285" s="437">
        <f ca="1">IFERROR(__xludf.DUMMYFUNCTION("""COMPUTED_VALUE"""),50000)</f>
        <v>50000</v>
      </c>
      <c r="U285" s="179" t="str">
        <f ca="1">IFERROR(__xludf.DUMMYFUNCTION("""COMPUTED_VALUE"""),"$1-$5M")</f>
        <v>$1-$5M</v>
      </c>
      <c r="V285" s="179">
        <f ca="1">IFERROR(__xludf.DUMMYFUNCTION("""COMPUTED_VALUE"""),2)</f>
        <v>2</v>
      </c>
      <c r="W285" s="179" t="str">
        <f ca="1">IFERROR(__xludf.DUMMYFUNCTION("""COMPUTED_VALUE"""),"It's a great idea, but I just don't see the market for something like this to go large scale anytime soon. The lack of funding thus far reflects that. If other industry sponsors could be obtained, that would certainly help.")</f>
        <v>It's a great idea, but I just don't see the market for something like this to go large scale anytime soon. The lack of funding thus far reflects that. If other industry sponsors could be obtained, that would certainly help.</v>
      </c>
    </row>
    <row r="286" spans="1:23">
      <c r="A286" s="179" t="str">
        <f ca="1">IFERROR(__xludf.DUMMYFUNCTION("""COMPUTED_VALUE"""),"R")</f>
        <v>R</v>
      </c>
      <c r="B286" s="436">
        <f ca="1">IFERROR(__xludf.DUMMYFUNCTION("""COMPUTED_VALUE"""),44797.046049699)</f>
        <v>44797.046049698998</v>
      </c>
      <c r="C286" s="179" t="str">
        <f ca="1">IFERROR(__xludf.DUMMYFUNCTION("""COMPUTED_VALUE"""),"ns4976@stern.nyu.edu")</f>
        <v>ns4976@stern.nyu.edu</v>
      </c>
      <c r="D286" s="179" t="str">
        <f ca="1">IFERROR(__xludf.DUMMYFUNCTION("""COMPUTED_VALUE"""),"Nick Schmandt")</f>
        <v>Nick Schmandt</v>
      </c>
      <c r="E286" s="179" t="str">
        <f ca="1">IFERROR(__xludf.DUMMYFUNCTION("""COMPUTED_VALUE"""),"I have read and understand the confidentiality agreement for application reviewers.")</f>
        <v>I have read and understand the confidentiality agreement for application reviewers.</v>
      </c>
      <c r="F286" s="179" t="str">
        <f ca="1">IFERROR(__xludf.DUMMYFUNCTION("""COMPUTED_VALUE"""),"vadimUS")</f>
        <v>vadimUS</v>
      </c>
      <c r="G286" s="179" t="str">
        <f ca="1">IFERROR(__xludf.DUMMYFUNCTION("""COMPUTED_VALUE"""),"They are able to install renewable sources of power and batteries on a building to allow it to function off of the grid and maintain its own energy.")</f>
        <v>They are able to install renewable sources of power and batteries on a building to allow it to function off of the grid and maintain its own energy.</v>
      </c>
      <c r="H286" s="179">
        <f ca="1">IFERROR(__xludf.DUMMYFUNCTION("""COMPUTED_VALUE"""),3)</f>
        <v>3</v>
      </c>
      <c r="I286" s="179">
        <f ca="1">IFERROR(__xludf.DUMMYFUNCTION("""COMPUTED_VALUE"""),3)</f>
        <v>3</v>
      </c>
      <c r="J286" s="179">
        <f ca="1">IFERROR(__xludf.DUMMYFUNCTION("""COMPUTED_VALUE"""),5)</f>
        <v>5</v>
      </c>
      <c r="K286" s="179">
        <f ca="1">IFERROR(__xludf.DUMMYFUNCTION("""COMPUTED_VALUE"""),3)</f>
        <v>3</v>
      </c>
      <c r="L286" s="179" t="str">
        <f ca="1">IFERROR(__xludf.DUMMYFUNCTION("""COMPUTED_VALUE"""),"This isn't radically new, it is just applied in a new way.")</f>
        <v>This isn't radically new, it is just applied in a new way.</v>
      </c>
      <c r="M286" s="179">
        <f ca="1">IFERROR(__xludf.DUMMYFUNCTION("""COMPUTED_VALUE"""),3)</f>
        <v>3</v>
      </c>
      <c r="N286" s="179">
        <f ca="1">IFERROR(__xludf.DUMMYFUNCTION("""COMPUTED_VALUE"""),2)</f>
        <v>2</v>
      </c>
      <c r="O286" s="179" t="str">
        <f ca="1">IFERROR(__xludf.DUMMYFUNCTION("""COMPUTED_VALUE"""),"Potentially a very large addressable market, but they will need to demonstrate value to the mainstream building operators.")</f>
        <v>Potentially a very large addressable market, but they will need to demonstrate value to the mainstream building operators.</v>
      </c>
      <c r="P286" s="179">
        <f ca="1">IFERROR(__xludf.DUMMYFUNCTION("""COMPUTED_VALUE"""),3)</f>
        <v>3</v>
      </c>
      <c r="Q286" s="179">
        <f ca="1">IFERROR(__xludf.DUMMYFUNCTION("""COMPUTED_VALUE"""),4)</f>
        <v>4</v>
      </c>
      <c r="R286" s="179">
        <f ca="1">IFERROR(__xludf.DUMMYFUNCTION("""COMPUTED_VALUE"""),4)</f>
        <v>4</v>
      </c>
      <c r="S286" s="179" t="str">
        <f ca="1">IFERROR(__xludf.DUMMYFUNCTION("""COMPUTED_VALUE"""),"Team seems knowledgeable enough.")</f>
        <v>Team seems knowledgeable enough.</v>
      </c>
      <c r="T286" s="437">
        <f ca="1">IFERROR(__xludf.DUMMYFUNCTION("""COMPUTED_VALUE"""),3200000)</f>
        <v>3200000</v>
      </c>
      <c r="U286" s="179" t="str">
        <f ca="1">IFERROR(__xludf.DUMMYFUNCTION("""COMPUTED_VALUE"""),"$1-$5M")</f>
        <v>$1-$5M</v>
      </c>
      <c r="V286" s="179">
        <f ca="1">IFERROR(__xludf.DUMMYFUNCTION("""COMPUTED_VALUE"""),3)</f>
        <v>3</v>
      </c>
      <c r="W286" s="179" t="str">
        <f ca="1">IFERROR(__xludf.DUMMYFUNCTION("""COMPUTED_VALUE"""),"This is a great idea, but I'm not sure they will be able to deliver enough value to capture large market share. It seems they are only able to break into very specialized markets that already need battery power or are otherwise very eager to become climat"&amp;"e-conscious. For the amount that they've raised and the relatively easy nature with which this should be applicable, they should have higher revenues at this point.")</f>
        <v>This is a great idea, but I'm not sure they will be able to deliver enough value to capture large market share. It seems they are only able to break into very specialized markets that already need battery power or are otherwise very eager to become climate-conscious. For the amount that they've raised and the relatively easy nature with which this should be applicable, they should have higher revenues at this point.</v>
      </c>
    </row>
    <row r="287" spans="1:23">
      <c r="A287" s="179" t="str">
        <f ca="1">IFERROR(__xludf.DUMMYFUNCTION("""COMPUTED_VALUE"""),"R")</f>
        <v>R</v>
      </c>
      <c r="B287" s="436">
        <f ca="1">IFERROR(__xludf.DUMMYFUNCTION("""COMPUTED_VALUE"""),44797.4131921296)</f>
        <v>44797.413192129599</v>
      </c>
      <c r="C287" s="179" t="str">
        <f ca="1">IFERROR(__xludf.DUMMYFUNCTION("""COMPUTED_VALUE"""),"ns4976@stern.nyu.edu")</f>
        <v>ns4976@stern.nyu.edu</v>
      </c>
      <c r="D287" s="179" t="str">
        <f ca="1">IFERROR(__xludf.DUMMYFUNCTION("""COMPUTED_VALUE"""),"Nick Schmandt")</f>
        <v>Nick Schmandt</v>
      </c>
      <c r="E287" s="179" t="str">
        <f ca="1">IFERROR(__xludf.DUMMYFUNCTION("""COMPUTED_VALUE"""),"I have read and understand the confidentiality agreement for application reviewers.")</f>
        <v>I have read and understand the confidentiality agreement for application reviewers.</v>
      </c>
      <c r="F287" s="438" t="str">
        <f ca="1">IFERROR(__xludf.DUMMYFUNCTION("""COMPUTED_VALUE"""),"Blings.io")</f>
        <v>Blings.io</v>
      </c>
      <c r="G287" s="179" t="str">
        <f ca="1">IFERROR(__xludf.DUMMYFUNCTION("""COMPUTED_VALUE"""),"This is software to make more interactive videos. It's a good idea, and there does seem to be demand for the product.")</f>
        <v>This is software to make more interactive videos. It's a good idea, and there does seem to be demand for the product.</v>
      </c>
      <c r="H287" s="179">
        <f ca="1">IFERROR(__xludf.DUMMYFUNCTION("""COMPUTED_VALUE"""),3)</f>
        <v>3</v>
      </c>
      <c r="I287" s="179">
        <f ca="1">IFERROR(__xludf.DUMMYFUNCTION("""COMPUTED_VALUE"""),3)</f>
        <v>3</v>
      </c>
      <c r="J287" s="179">
        <f ca="1">IFERROR(__xludf.DUMMYFUNCTION("""COMPUTED_VALUE"""),5)</f>
        <v>5</v>
      </c>
      <c r="K287" s="179">
        <f ca="1">IFERROR(__xludf.DUMMYFUNCTION("""COMPUTED_VALUE"""),3)</f>
        <v>3</v>
      </c>
      <c r="L287" s="179" t="str">
        <f ca="1">IFERROR(__xludf.DUMMYFUNCTION("""COMPUTED_VALUE"""),"The tech isn't that revolutionary, and I wouldn't say this is a know problem per-say")</f>
        <v>The tech isn't that revolutionary, and I wouldn't say this is a know problem per-say</v>
      </c>
      <c r="M287" s="179">
        <f ca="1">IFERROR(__xludf.DUMMYFUNCTION("""COMPUTED_VALUE"""),5)</f>
        <v>5</v>
      </c>
      <c r="N287" s="179">
        <f ca="1">IFERROR(__xludf.DUMMYFUNCTION("""COMPUTED_VALUE"""),4)</f>
        <v>4</v>
      </c>
      <c r="O287" s="179" t="str">
        <f ca="1">IFERROR(__xludf.DUMMYFUNCTION("""COMPUTED_VALUE"""),"Revenue is still a little low but it's encouraging that they have some already.")</f>
        <v>Revenue is still a little low but it's encouraging that they have some already.</v>
      </c>
      <c r="P287" s="179">
        <f ca="1">IFERROR(__xludf.DUMMYFUNCTION("""COMPUTED_VALUE"""),4)</f>
        <v>4</v>
      </c>
      <c r="Q287" s="179">
        <f ca="1">IFERROR(__xludf.DUMMYFUNCTION("""COMPUTED_VALUE"""),5)</f>
        <v>5</v>
      </c>
      <c r="R287" s="179">
        <f ca="1">IFERROR(__xludf.DUMMYFUNCTION("""COMPUTED_VALUE"""),4)</f>
        <v>4</v>
      </c>
      <c r="S287" s="179" t="str">
        <f ca="1">IFERROR(__xludf.DUMMYFUNCTION("""COMPUTED_VALUE"""),"The team experience is good but not great, a few only have a year or so startup experience.")</f>
        <v>The team experience is good but not great, a few only have a year or so startup experience.</v>
      </c>
      <c r="T287" s="437">
        <f ca="1">IFERROR(__xludf.DUMMYFUNCTION("""COMPUTED_VALUE"""),4200000)</f>
        <v>4200000</v>
      </c>
      <c r="U287" s="179" t="str">
        <f ca="1">IFERROR(__xludf.DUMMYFUNCTION("""COMPUTED_VALUE"""),"$1-$5M")</f>
        <v>$1-$5M</v>
      </c>
      <c r="V287" s="179">
        <f ca="1">IFERROR(__xludf.DUMMYFUNCTION("""COMPUTED_VALUE"""),4)</f>
        <v>4</v>
      </c>
      <c r="W287" s="179" t="str">
        <f ca="1">IFERROR(__xludf.DUMMYFUNCTION("""COMPUTED_VALUE"""),"I don't see them filling a huge need, but the tech could prove its worth to advertisers. The fact that they already have some revenue is encouraging, but I think they will face hurdles to larger scale adoption, as this is not the way people normally inter"&amp;"act with advertisements and some companies may be skeptical initially.")</f>
        <v>I don't see them filling a huge need, but the tech could prove its worth to advertisers. The fact that they already have some revenue is encouraging, but I think they will face hurdles to larger scale adoption, as this is not the way people normally interact with advertisements and some companies may be skeptical initially.</v>
      </c>
    </row>
    <row r="288" spans="1:23">
      <c r="A288" s="179" t="str">
        <f ca="1">IFERROR(__xludf.DUMMYFUNCTION("""COMPUTED_VALUE"""),"R")</f>
        <v>R</v>
      </c>
      <c r="B288" s="436">
        <f ca="1">IFERROR(__xludf.DUMMYFUNCTION("""COMPUTED_VALUE"""),44797.4346036805)</f>
        <v>44797.4346036805</v>
      </c>
      <c r="C288" s="179" t="str">
        <f ca="1">IFERROR(__xludf.DUMMYFUNCTION("""COMPUTED_VALUE"""),"ns4976@stern.nyu.edu")</f>
        <v>ns4976@stern.nyu.edu</v>
      </c>
      <c r="D288" s="179" t="str">
        <f ca="1">IFERROR(__xludf.DUMMYFUNCTION("""COMPUTED_VALUE"""),"Nick Schmandt")</f>
        <v>Nick Schmandt</v>
      </c>
      <c r="E288" s="179" t="str">
        <f ca="1">IFERROR(__xludf.DUMMYFUNCTION("""COMPUTED_VALUE"""),"I have read and understand the confidentiality agreement for application reviewers.")</f>
        <v>I have read and understand the confidentiality agreement for application reviewers.</v>
      </c>
      <c r="F288" s="179" t="str">
        <f ca="1">IFERROR(__xludf.DUMMYFUNCTION("""COMPUTED_VALUE"""),"BetterData")</f>
        <v>BetterData</v>
      </c>
      <c r="G288" s="179" t="str">
        <f ca="1">IFERROR(__xludf.DUMMYFUNCTION("""COMPUTED_VALUE"""),"This is a company that generates synthetic customer data for users. While this is great, its success will depend on how well they can actually capture relevant trends in their synthetic data.")</f>
        <v>This is a company that generates synthetic customer data for users. While this is great, its success will depend on how well they can actually capture relevant trends in their synthetic data.</v>
      </c>
      <c r="H288" s="179">
        <f ca="1">IFERROR(__xludf.DUMMYFUNCTION("""COMPUTED_VALUE"""),4)</f>
        <v>4</v>
      </c>
      <c r="I288" s="179">
        <f ca="1">IFERROR(__xludf.DUMMYFUNCTION("""COMPUTED_VALUE"""),2)</f>
        <v>2</v>
      </c>
      <c r="J288" s="179">
        <f ca="1">IFERROR(__xludf.DUMMYFUNCTION("""COMPUTED_VALUE"""),3)</f>
        <v>3</v>
      </c>
      <c r="K288" s="179">
        <f ca="1">IFERROR(__xludf.DUMMYFUNCTION("""COMPUTED_VALUE"""),2)</f>
        <v>2</v>
      </c>
      <c r="L288" s="179" t="str">
        <f ca="1">IFERROR(__xludf.DUMMYFUNCTION("""COMPUTED_VALUE"""),"This is a very competitive field, I would get emails from companies like this on a weekly basis when I worked in health insurance.")</f>
        <v>This is a very competitive field, I would get emails from companies like this on a weekly basis when I worked in health insurance.</v>
      </c>
      <c r="M288" s="179">
        <f ca="1">IFERROR(__xludf.DUMMYFUNCTION("""COMPUTED_VALUE"""),5)</f>
        <v>5</v>
      </c>
      <c r="N288" s="179">
        <f ca="1">IFERROR(__xludf.DUMMYFUNCTION("""COMPUTED_VALUE"""),1)</f>
        <v>1</v>
      </c>
      <c r="O288" s="179" t="str">
        <f ca="1">IFERROR(__xludf.DUMMYFUNCTION("""COMPUTED_VALUE"""),"The lack of revenue is concerning, especially since they claim to be able to make this data already.")</f>
        <v>The lack of revenue is concerning, especially since they claim to be able to make this data already.</v>
      </c>
      <c r="P288" s="179">
        <f ca="1">IFERROR(__xludf.DUMMYFUNCTION("""COMPUTED_VALUE"""),3)</f>
        <v>3</v>
      </c>
      <c r="Q288" s="179">
        <f ca="1">IFERROR(__xludf.DUMMYFUNCTION("""COMPUTED_VALUE"""),3)</f>
        <v>3</v>
      </c>
      <c r="R288" s="179">
        <f ca="1">IFERROR(__xludf.DUMMYFUNCTION("""COMPUTED_VALUE"""),2)</f>
        <v>2</v>
      </c>
      <c r="S288" s="179" t="str">
        <f ca="1">IFERROR(__xludf.DUMMYFUNCTION("""COMPUTED_VALUE"""),"Founders experience is weak, they are relatively recent grads with minimal experience in the data or startup field")</f>
        <v>Founders experience is weak, they are relatively recent grads with minimal experience in the data or startup field</v>
      </c>
      <c r="T288" s="437">
        <f ca="1">IFERROR(__xludf.DUMMYFUNCTION("""COMPUTED_VALUE"""),750000)</f>
        <v>750000</v>
      </c>
      <c r="U288" s="179" t="str">
        <f ca="1">IFERROR(__xludf.DUMMYFUNCTION("""COMPUTED_VALUE"""),"$1-$5M")</f>
        <v>$1-$5M</v>
      </c>
      <c r="V288" s="179">
        <f ca="1">IFERROR(__xludf.DUMMYFUNCTION("""COMPUTED_VALUE"""),2)</f>
        <v>2</v>
      </c>
      <c r="W288" s="179" t="str">
        <f ca="1">IFERROR(__xludf.DUMMYFUNCTION("""COMPUTED_VALUE"""),"I don't see anything to make them stand out from the extremely competitive synthetic data crowd. The fact that they have zero revenue is concerning, they should be able to have at least some at this point. They have raised money but most of it is a grant "&amp;"from NUS. ")</f>
        <v xml:space="preserve">I don't see anything to make them stand out from the extremely competitive synthetic data crowd. The fact that they have zero revenue is concerning, they should be able to have at least some at this point. They have raised money but most of it is a grant from NUS. </v>
      </c>
    </row>
    <row r="289" spans="1:23">
      <c r="A289" s="179" t="str">
        <f ca="1">IFERROR(__xludf.DUMMYFUNCTION("""COMPUTED_VALUE"""),"R")</f>
        <v>R</v>
      </c>
      <c r="B289" s="436">
        <f ca="1">IFERROR(__xludf.DUMMYFUNCTION("""COMPUTED_VALUE"""),44797.442733993)</f>
        <v>44797.442733992997</v>
      </c>
      <c r="C289" s="179" t="str">
        <f ca="1">IFERROR(__xludf.DUMMYFUNCTION("""COMPUTED_VALUE"""),"ns4976@stern.nyu.edu")</f>
        <v>ns4976@stern.nyu.edu</v>
      </c>
      <c r="D289" s="179" t="str">
        <f ca="1">IFERROR(__xludf.DUMMYFUNCTION("""COMPUTED_VALUE"""),"Nick Schmandt")</f>
        <v>Nick Schmandt</v>
      </c>
      <c r="E289" s="179" t="str">
        <f ca="1">IFERROR(__xludf.DUMMYFUNCTION("""COMPUTED_VALUE"""),"I have read and understand the confidentiality agreement for application reviewers.")</f>
        <v>I have read and understand the confidentiality agreement for application reviewers.</v>
      </c>
      <c r="F289" s="179" t="str">
        <f ca="1">IFERROR(__xludf.DUMMYFUNCTION("""COMPUTED_VALUE"""),"Beowulf Network")</f>
        <v>Beowulf Network</v>
      </c>
      <c r="G289" s="179" t="str">
        <f ca="1">IFERROR(__xludf.DUMMYFUNCTION("""COMPUTED_VALUE"""),"This is an upgraded security network. I cannot honestly figure out what this does that the current internet does not do, beyond increased security.")</f>
        <v>This is an upgraded security network. I cannot honestly figure out what this does that the current internet does not do, beyond increased security.</v>
      </c>
      <c r="H289" s="179">
        <f ca="1">IFERROR(__xludf.DUMMYFUNCTION("""COMPUTED_VALUE"""),2)</f>
        <v>2</v>
      </c>
      <c r="I289" s="179">
        <f ca="1">IFERROR(__xludf.DUMMYFUNCTION("""COMPUTED_VALUE"""),3)</f>
        <v>3</v>
      </c>
      <c r="J289" s="179">
        <f ca="1">IFERROR(__xludf.DUMMYFUNCTION("""COMPUTED_VALUE"""),2)</f>
        <v>2</v>
      </c>
      <c r="K289" s="179">
        <f ca="1">IFERROR(__xludf.DUMMYFUNCTION("""COMPUTED_VALUE"""),3)</f>
        <v>3</v>
      </c>
      <c r="L289" s="179" t="str">
        <f ca="1">IFERROR(__xludf.DUMMYFUNCTION("""COMPUTED_VALUE"""),"I cannot figure out what it actually does, beyond decentralization...")</f>
        <v>I cannot figure out what it actually does, beyond decentralization...</v>
      </c>
      <c r="M289" s="179">
        <f ca="1">IFERROR(__xludf.DUMMYFUNCTION("""COMPUTED_VALUE"""),5)</f>
        <v>5</v>
      </c>
      <c r="N289" s="179">
        <f ca="1">IFERROR(__xludf.DUMMYFUNCTION("""COMPUTED_VALUE"""),3)</f>
        <v>3</v>
      </c>
      <c r="O289" s="179" t="str">
        <f ca="1">IFERROR(__xludf.DUMMYFUNCTION("""COMPUTED_VALUE"""),"Their is a potentially very large addressable market, current revenues are encouraging.")</f>
        <v>Their is a potentially very large addressable market, current revenues are encouraging.</v>
      </c>
      <c r="P289" s="179">
        <f ca="1">IFERROR(__xludf.DUMMYFUNCTION("""COMPUTED_VALUE"""),5)</f>
        <v>5</v>
      </c>
      <c r="Q289" s="179">
        <f ca="1">IFERROR(__xludf.DUMMYFUNCTION("""COMPUTED_VALUE"""),5)</f>
        <v>5</v>
      </c>
      <c r="R289" s="179">
        <f ca="1">IFERROR(__xludf.DUMMYFUNCTION("""COMPUTED_VALUE"""),3)</f>
        <v>3</v>
      </c>
      <c r="S289" s="179" t="str">
        <f ca="1">IFERROR(__xludf.DUMMYFUNCTION("""COMPUTED_VALUE"""),"There seems to only be one founder self-funding the company. He does have relevant experience.")</f>
        <v>There seems to only be one founder self-funding the company. He does have relevant experience.</v>
      </c>
      <c r="T289" s="437">
        <f ca="1">IFERROR(__xludf.DUMMYFUNCTION("""COMPUTED_VALUE"""),0)</f>
        <v>0</v>
      </c>
      <c r="U289" s="179" t="str">
        <f ca="1">IFERROR(__xludf.DUMMYFUNCTION("""COMPUTED_VALUE"""),"&gt;$5M")</f>
        <v>&gt;$5M</v>
      </c>
      <c r="V289" s="179">
        <f ca="1">IFERROR(__xludf.DUMMYFUNCTION("""COMPUTED_VALUE"""),3)</f>
        <v>3</v>
      </c>
      <c r="W289" s="179" t="str">
        <f ca="1">IFERROR(__xludf.DUMMYFUNCTION("""COMPUTED_VALUE"""),"The biggest plus is that there are already users and revenue. But, this seems to be a solution searching for a problem, I cannot tell what it really delivers that the current internet does not. Also there is only one founder who has self-funded the projec"&amp;"t so far, this is not scalable.")</f>
        <v>The biggest plus is that there are already users and revenue. But, this seems to be a solution searching for a problem, I cannot tell what it really delivers that the current internet does not. Also there is only one founder who has self-funded the project so far, this is not scalable.</v>
      </c>
    </row>
    <row r="290" spans="1:23">
      <c r="A290" s="179" t="str">
        <f ca="1">IFERROR(__xludf.DUMMYFUNCTION("""COMPUTED_VALUE"""),"R")</f>
        <v>R</v>
      </c>
      <c r="B290" s="436">
        <f ca="1">IFERROR(__xludf.DUMMYFUNCTION("""COMPUTED_VALUE"""),44797.4503531134)</f>
        <v>44797.450353113403</v>
      </c>
      <c r="C290" s="179" t="str">
        <f ca="1">IFERROR(__xludf.DUMMYFUNCTION("""COMPUTED_VALUE"""),"ns4976@stern.nyu.edu")</f>
        <v>ns4976@stern.nyu.edu</v>
      </c>
      <c r="D290" s="179" t="str">
        <f ca="1">IFERROR(__xludf.DUMMYFUNCTION("""COMPUTED_VALUE"""),"Nick Schmandt")</f>
        <v>Nick Schmandt</v>
      </c>
      <c r="E290" s="179" t="str">
        <f ca="1">IFERROR(__xludf.DUMMYFUNCTION("""COMPUTED_VALUE"""),"I have read and understand the confidentiality agreement for application reviewers.")</f>
        <v>I have read and understand the confidentiality agreement for application reviewers.</v>
      </c>
      <c r="F290" s="179" t="str">
        <f ca="1">IFERROR(__xludf.DUMMYFUNCTION("""COMPUTED_VALUE"""),"ConConnect")</f>
        <v>ConConnect</v>
      </c>
      <c r="G290" s="179" t="str">
        <f ca="1">IFERROR(__xludf.DUMMYFUNCTION("""COMPUTED_VALUE"""),"This is a platform to connect the formerly incarcerated to jobs and services.")</f>
        <v>This is a platform to connect the formerly incarcerated to jobs and services.</v>
      </c>
      <c r="H290" s="179">
        <f ca="1">IFERROR(__xludf.DUMMYFUNCTION("""COMPUTED_VALUE"""),5)</f>
        <v>5</v>
      </c>
      <c r="I290" s="179">
        <f ca="1">IFERROR(__xludf.DUMMYFUNCTION("""COMPUTED_VALUE"""),4)</f>
        <v>4</v>
      </c>
      <c r="J290" s="179">
        <f ca="1">IFERROR(__xludf.DUMMYFUNCTION("""COMPUTED_VALUE"""),5)</f>
        <v>5</v>
      </c>
      <c r="K290" s="179">
        <f ca="1">IFERROR(__xludf.DUMMYFUNCTION("""COMPUTED_VALUE"""),2)</f>
        <v>2</v>
      </c>
      <c r="L290" s="179" t="str">
        <f ca="1">IFERROR(__xludf.DUMMYFUNCTION("""COMPUTED_VALUE"""),"The tech is not simple, but rather the domain knowledge and niche market are what distinguishes them.")</f>
        <v>The tech is not simple, but rather the domain knowledge and niche market are what distinguishes them.</v>
      </c>
      <c r="M290" s="179">
        <f ca="1">IFERROR(__xludf.DUMMYFUNCTION("""COMPUTED_VALUE"""),2)</f>
        <v>2</v>
      </c>
      <c r="N290" s="179">
        <f ca="1">IFERROR(__xludf.DUMMYFUNCTION("""COMPUTED_VALUE"""),5)</f>
        <v>5</v>
      </c>
      <c r="O290" s="179" t="str">
        <f ca="1">IFERROR(__xludf.DUMMYFUNCTION("""COMPUTED_VALUE"""),"While the addressable market is limited they are not likely to face competition in such a small niche market.")</f>
        <v>While the addressable market is limited they are not likely to face competition in such a small niche market.</v>
      </c>
      <c r="P290" s="179">
        <f ca="1">IFERROR(__xludf.DUMMYFUNCTION("""COMPUTED_VALUE"""),3)</f>
        <v>3</v>
      </c>
      <c r="Q290" s="179">
        <f ca="1">IFERROR(__xludf.DUMMYFUNCTION("""COMPUTED_VALUE"""),4)</f>
        <v>4</v>
      </c>
      <c r="R290" s="179">
        <f ca="1">IFERROR(__xludf.DUMMYFUNCTION("""COMPUTED_VALUE"""),5)</f>
        <v>5</v>
      </c>
      <c r="S290" s="179" t="str">
        <f ca="1">IFERROR(__xludf.DUMMYFUNCTION("""COMPUTED_VALUE"""),"Team seems passionate and well-suited to the role")</f>
        <v>Team seems passionate and well-suited to the role</v>
      </c>
      <c r="T290" s="437">
        <f ca="1">IFERROR(__xludf.DUMMYFUNCTION("""COMPUTED_VALUE"""),600000)</f>
        <v>600000</v>
      </c>
      <c r="U290" s="179" t="str">
        <f ca="1">IFERROR(__xludf.DUMMYFUNCTION("""COMPUTED_VALUE"""),"$1-$5M")</f>
        <v>$1-$5M</v>
      </c>
      <c r="V290" s="179">
        <f ca="1">IFERROR(__xludf.DUMMYFUNCTION("""COMPUTED_VALUE"""),4)</f>
        <v>4</v>
      </c>
      <c r="W290" s="179" t="str">
        <f ca="1">IFERROR(__xludf.DUMMYFUNCTION("""COMPUTED_VALUE"""),"Great product, very inspiring niche market. Founders are passionate about the area but it would be great to get someone on the team with more direct start-up experience, right now they are weak in that area. Market is limited but straightforward, with not"&amp;" a lot of competition. Revenues are still small.")</f>
        <v>Great product, very inspiring niche market. Founders are passionate about the area but it would be great to get someone on the team with more direct start-up experience, right now they are weak in that area. Market is limited but straightforward, with not a lot of competition. Revenues are still small.</v>
      </c>
    </row>
    <row r="291" spans="1:23">
      <c r="A291" s="179" t="str">
        <f ca="1">IFERROR(__xludf.DUMMYFUNCTION("""COMPUTED_VALUE"""),"R")</f>
        <v>R</v>
      </c>
      <c r="B291" s="436">
        <f ca="1">IFERROR(__xludf.DUMMYFUNCTION("""COMPUTED_VALUE"""),44797.4579795254)</f>
        <v>44797.457979525403</v>
      </c>
      <c r="C291" s="179" t="str">
        <f ca="1">IFERROR(__xludf.DUMMYFUNCTION("""COMPUTED_VALUE"""),"ns4976@stern.nyu.edu")</f>
        <v>ns4976@stern.nyu.edu</v>
      </c>
      <c r="D291" s="179" t="str">
        <f ca="1">IFERROR(__xludf.DUMMYFUNCTION("""COMPUTED_VALUE"""),"Nick Schmandt")</f>
        <v>Nick Schmandt</v>
      </c>
      <c r="E291" s="179" t="str">
        <f ca="1">IFERROR(__xludf.DUMMYFUNCTION("""COMPUTED_VALUE"""),"I have read and understand the confidentiality agreement for application reviewers.")</f>
        <v>I have read and understand the confidentiality agreement for application reviewers.</v>
      </c>
      <c r="F291" s="179" t="str">
        <f ca="1">IFERROR(__xludf.DUMMYFUNCTION("""COMPUTED_VALUE"""),"Cohesive Robotics")</f>
        <v>Cohesive Robotics</v>
      </c>
      <c r="G291" s="179" t="str">
        <f ca="1">IFERROR(__xludf.DUMMYFUNCTION("""COMPUTED_VALUE"""),"A robotic process that does not require coding to set up. Can perform simple tasks relatively quickly, they emphasize the finishing process as a good start.")</f>
        <v>A robotic process that does not require coding to set up. Can perform simple tasks relatively quickly, they emphasize the finishing process as a good start.</v>
      </c>
      <c r="H291" s="179">
        <f ca="1">IFERROR(__xludf.DUMMYFUNCTION("""COMPUTED_VALUE"""),4)</f>
        <v>4</v>
      </c>
      <c r="I291" s="179">
        <f ca="1">IFERROR(__xludf.DUMMYFUNCTION("""COMPUTED_VALUE"""),4)</f>
        <v>4</v>
      </c>
      <c r="J291" s="179">
        <f ca="1">IFERROR(__xludf.DUMMYFUNCTION("""COMPUTED_VALUE"""),3)</f>
        <v>3</v>
      </c>
      <c r="K291" s="179">
        <f ca="1">IFERROR(__xludf.DUMMYFUNCTION("""COMPUTED_VALUE"""),3)</f>
        <v>3</v>
      </c>
      <c r="L291" s="179" t="str">
        <f ca="1">IFERROR(__xludf.DUMMYFUNCTION("""COMPUTED_VALUE"""),"This is a huge area, being able to set up manufacturing line robots without coding or heavy human involvement. It's not clear how well their system works since they do not have customers yet.")</f>
        <v>This is a huge area, being able to set up manufacturing line robots without coding or heavy human involvement. It's not clear how well their system works since they do not have customers yet.</v>
      </c>
      <c r="M291" s="179">
        <f ca="1">IFERROR(__xludf.DUMMYFUNCTION("""COMPUTED_VALUE"""),5)</f>
        <v>5</v>
      </c>
      <c r="N291" s="179">
        <f ca="1">IFERROR(__xludf.DUMMYFUNCTION("""COMPUTED_VALUE"""),1)</f>
        <v>1</v>
      </c>
      <c r="O291" s="179" t="str">
        <f ca="1">IFERROR(__xludf.DUMMYFUNCTION("""COMPUTED_VALUE"""),"The addressable market is massive, but the lack of customers is a concern.")</f>
        <v>The addressable market is massive, but the lack of customers is a concern.</v>
      </c>
      <c r="P291" s="179">
        <f ca="1">IFERROR(__xludf.DUMMYFUNCTION("""COMPUTED_VALUE"""),4)</f>
        <v>4</v>
      </c>
      <c r="Q291" s="179">
        <f ca="1">IFERROR(__xludf.DUMMYFUNCTION("""COMPUTED_VALUE"""),5)</f>
        <v>5</v>
      </c>
      <c r="R291" s="179">
        <f ca="1">IFERROR(__xludf.DUMMYFUNCTION("""COMPUTED_VALUE"""),3)</f>
        <v>3</v>
      </c>
      <c r="S291" s="179" t="str">
        <f ca="1">IFERROR(__xludf.DUMMYFUNCTION("""COMPUTED_VALUE"""),"Seems to only be a founder so far, who does have robotic experience but less so startup experience.")</f>
        <v>Seems to only be a founder so far, who does have robotic experience but less so startup experience.</v>
      </c>
      <c r="T291" s="437">
        <f ca="1">IFERROR(__xludf.DUMMYFUNCTION("""COMPUTED_VALUE"""),50000)</f>
        <v>50000</v>
      </c>
      <c r="U291" s="179" t="str">
        <f ca="1">IFERROR(__xludf.DUMMYFUNCTION("""COMPUTED_VALUE"""),"$1-$5M")</f>
        <v>$1-$5M</v>
      </c>
      <c r="V291" s="179">
        <f ca="1">IFERROR(__xludf.DUMMYFUNCTION("""COMPUTED_VALUE"""),2)</f>
        <v>2</v>
      </c>
      <c r="W291" s="179" t="str">
        <f ca="1">IFERROR(__xludf.DUMMYFUNCTION("""COMPUTED_VALUE"""),"Great idea, but the tech is very unproven, with no current customers. There is only one founder on the team, and the amount of funds raised so far is very small. Would really want to see more founders/advisors working on this, stronger record of fundraisi"&amp;"ng, and at least a few paying clients. Otherwise, it's very high risk.")</f>
        <v>Great idea, but the tech is very unproven, with no current customers. There is only one founder on the team, and the amount of funds raised so far is very small. Would really want to see more founders/advisors working on this, stronger record of fundraising, and at least a few paying clients. Otherwise, it's very high risk.</v>
      </c>
    </row>
    <row r="292" spans="1:23">
      <c r="A292" s="179" t="str">
        <f ca="1">IFERROR(__xludf.DUMMYFUNCTION("""COMPUTED_VALUE"""),"R")</f>
        <v>R</v>
      </c>
      <c r="B292" s="436">
        <f ca="1">IFERROR(__xludf.DUMMYFUNCTION("""COMPUTED_VALUE"""),44797.4657590856)</f>
        <v>44797.4657590856</v>
      </c>
      <c r="C292" s="179" t="str">
        <f ca="1">IFERROR(__xludf.DUMMYFUNCTION("""COMPUTED_VALUE"""),"ns4976@stern.nyu.edu")</f>
        <v>ns4976@stern.nyu.edu</v>
      </c>
      <c r="D292" s="179" t="str">
        <f ca="1">IFERROR(__xludf.DUMMYFUNCTION("""COMPUTED_VALUE"""),"Nick Schmandt")</f>
        <v>Nick Schmandt</v>
      </c>
      <c r="E292" s="179" t="str">
        <f ca="1">IFERROR(__xludf.DUMMYFUNCTION("""COMPUTED_VALUE"""),"I have read and understand the confidentiality agreement for application reviewers.")</f>
        <v>I have read and understand the confidentiality agreement for application reviewers.</v>
      </c>
      <c r="F292" s="179" t="str">
        <f ca="1">IFERROR(__xludf.DUMMYFUNCTION("""COMPUTED_VALUE"""),"California Cultured")</f>
        <v>California Cultured</v>
      </c>
      <c r="G292" s="179" t="str">
        <f ca="1">IFERROR(__xludf.DUMMYFUNCTION("""COMPUTED_VALUE"""),"This is a way of growing chocolate in a lab rather than harvesting it the traditional ways.")</f>
        <v>This is a way of growing chocolate in a lab rather than harvesting it the traditional ways.</v>
      </c>
      <c r="H292" s="179">
        <f ca="1">IFERROR(__xludf.DUMMYFUNCTION("""COMPUTED_VALUE"""),3)</f>
        <v>3</v>
      </c>
      <c r="I292" s="179">
        <f ca="1">IFERROR(__xludf.DUMMYFUNCTION("""COMPUTED_VALUE"""),4)</f>
        <v>4</v>
      </c>
      <c r="J292" s="179">
        <f ca="1">IFERROR(__xludf.DUMMYFUNCTION("""COMPUTED_VALUE"""),4)</f>
        <v>4</v>
      </c>
      <c r="K292" s="179">
        <f ca="1">IFERROR(__xludf.DUMMYFUNCTION("""COMPUTED_VALUE"""),5)</f>
        <v>5</v>
      </c>
      <c r="L292" s="179" t="str">
        <f ca="1">IFERROR(__xludf.DUMMYFUNCTION("""COMPUTED_VALUE"""),"Their process is good but expensive. Their entire pitch so far has simply been for the environmentally friendly nature of what they are building, the costs are still significantly higher.")</f>
        <v>Their process is good but expensive. Their entire pitch so far has simply been for the environmentally friendly nature of what they are building, the costs are still significantly higher.</v>
      </c>
      <c r="M292" s="179">
        <f ca="1">IFERROR(__xludf.DUMMYFUNCTION("""COMPUTED_VALUE"""),4)</f>
        <v>4</v>
      </c>
      <c r="N292" s="179">
        <f ca="1">IFERROR(__xludf.DUMMYFUNCTION("""COMPUTED_VALUE"""),2)</f>
        <v>2</v>
      </c>
      <c r="O292" s="179" t="str">
        <f ca="1">IFERROR(__xludf.DUMMYFUNCTION("""COMPUTED_VALUE"""),"It's a large market, but they have a long way to go to reach price competitiveness.")</f>
        <v>It's a large market, but they have a long way to go to reach price competitiveness.</v>
      </c>
      <c r="P292" s="179">
        <f ca="1">IFERROR(__xludf.DUMMYFUNCTION("""COMPUTED_VALUE"""),5)</f>
        <v>5</v>
      </c>
      <c r="Q292" s="179">
        <f ca="1">IFERROR(__xludf.DUMMYFUNCTION("""COMPUTED_VALUE"""),5)</f>
        <v>5</v>
      </c>
      <c r="R292" s="179">
        <f ca="1">IFERROR(__xludf.DUMMYFUNCTION("""COMPUTED_VALUE"""),4)</f>
        <v>4</v>
      </c>
      <c r="S292" s="179" t="str">
        <f ca="1">IFERROR(__xludf.DUMMYFUNCTION("""COMPUTED_VALUE"""),"Team is a little small but definitely has relevant experience.")</f>
        <v>Team is a little small but definitely has relevant experience.</v>
      </c>
      <c r="T292" s="437">
        <f ca="1">IFERROR(__xludf.DUMMYFUNCTION("""COMPUTED_VALUE"""),5000000)</f>
        <v>5000000</v>
      </c>
      <c r="U292" s="179" t="str">
        <f ca="1">IFERROR(__xludf.DUMMYFUNCTION("""COMPUTED_VALUE"""),"&gt;$5M")</f>
        <v>&gt;$5M</v>
      </c>
      <c r="V292" s="179">
        <f ca="1">IFERROR(__xludf.DUMMYFUNCTION("""COMPUTED_VALUE"""),4)</f>
        <v>4</v>
      </c>
      <c r="W292" s="179" t="str">
        <f ca="1">IFERROR(__xludf.DUMMYFUNCTION("""COMPUTED_VALUE"""),"Great idea, and the strong fundraising track is very encouraging. They definitely need to get their price point down for the product to be viable in the general market, but beyond that they are likely to experience strong growth.")</f>
        <v>Great idea, and the strong fundraising track is very encouraging. They definitely need to get their price point down for the product to be viable in the general market, but beyond that they are likely to experience strong growth.</v>
      </c>
    </row>
    <row r="293" spans="1:23">
      <c r="A293" s="179"/>
      <c r="B293" s="179"/>
      <c r="C293" s="179"/>
      <c r="D293" s="179"/>
      <c r="E293" s="179"/>
      <c r="F293" s="179"/>
      <c r="G293" s="179"/>
      <c r="H293" s="179"/>
      <c r="I293" s="179"/>
      <c r="J293" s="179"/>
      <c r="K293" s="179"/>
      <c r="L293" s="179"/>
      <c r="M293" s="179"/>
      <c r="N293" s="179"/>
      <c r="O293" s="179"/>
      <c r="P293" s="179"/>
      <c r="Q293" s="179"/>
      <c r="R293" s="179"/>
      <c r="S293" s="179"/>
      <c r="T293" s="179"/>
      <c r="U293" s="179"/>
      <c r="V293" s="179"/>
      <c r="W293" s="179"/>
    </row>
    <row r="294" spans="1:23">
      <c r="A294" s="179"/>
      <c r="B294" s="179"/>
      <c r="C294" s="179"/>
      <c r="D294" s="179"/>
      <c r="E294" s="179"/>
      <c r="F294" s="179"/>
      <c r="G294" s="179"/>
      <c r="H294" s="179"/>
      <c r="I294" s="179"/>
      <c r="J294" s="179"/>
      <c r="K294" s="179"/>
      <c r="L294" s="179"/>
      <c r="M294" s="179"/>
      <c r="N294" s="179"/>
      <c r="O294" s="179"/>
      <c r="P294" s="179"/>
      <c r="Q294" s="179"/>
      <c r="R294" s="179"/>
      <c r="S294" s="179"/>
      <c r="T294" s="179"/>
      <c r="U294" s="179"/>
      <c r="V294" s="179"/>
      <c r="W294" s="179"/>
    </row>
    <row r="295" spans="1:23">
      <c r="A295" s="179"/>
      <c r="B295" s="179"/>
      <c r="C295" s="179"/>
      <c r="D295" s="179"/>
      <c r="E295" s="179"/>
      <c r="F295" s="179"/>
      <c r="G295" s="179"/>
      <c r="H295" s="179"/>
      <c r="I295" s="179"/>
      <c r="J295" s="179"/>
      <c r="K295" s="179"/>
      <c r="L295" s="179"/>
      <c r="M295" s="179"/>
      <c r="N295" s="179"/>
      <c r="O295" s="179"/>
      <c r="P295" s="179"/>
      <c r="Q295" s="179"/>
      <c r="R295" s="179"/>
      <c r="S295" s="179"/>
      <c r="T295" s="179"/>
      <c r="U295" s="179"/>
      <c r="V295" s="179"/>
      <c r="W295" s="179"/>
    </row>
    <row r="296" spans="1:23">
      <c r="A296" s="179"/>
      <c r="B296" s="179"/>
      <c r="C296" s="179"/>
      <c r="D296" s="179"/>
      <c r="E296" s="179"/>
      <c r="F296" s="179"/>
      <c r="G296" s="179"/>
      <c r="H296" s="179"/>
      <c r="I296" s="179"/>
      <c r="J296" s="179"/>
      <c r="K296" s="179"/>
      <c r="L296" s="179"/>
      <c r="M296" s="179"/>
      <c r="N296" s="179"/>
      <c r="O296" s="179"/>
      <c r="P296" s="179"/>
      <c r="Q296" s="179"/>
      <c r="R296" s="179"/>
      <c r="S296" s="179"/>
      <c r="T296" s="179"/>
      <c r="U296" s="179"/>
      <c r="V296" s="179"/>
      <c r="W296" s="179"/>
    </row>
    <row r="297" spans="1:23">
      <c r="A297" s="179"/>
      <c r="B297" s="179"/>
      <c r="C297" s="179"/>
      <c r="D297" s="179"/>
      <c r="E297" s="179"/>
      <c r="F297" s="179"/>
      <c r="G297" s="179"/>
      <c r="H297" s="179"/>
      <c r="I297" s="179"/>
      <c r="J297" s="179"/>
      <c r="K297" s="179"/>
      <c r="L297" s="179"/>
      <c r="M297" s="179"/>
      <c r="N297" s="179"/>
      <c r="O297" s="179"/>
      <c r="P297" s="179"/>
      <c r="Q297" s="179"/>
      <c r="R297" s="179"/>
      <c r="S297" s="179"/>
      <c r="T297" s="179"/>
      <c r="U297" s="179"/>
      <c r="V297" s="179"/>
      <c r="W297" s="179"/>
    </row>
    <row r="298" spans="1:23">
      <c r="A298" s="179"/>
      <c r="B298" s="179"/>
      <c r="C298" s="179"/>
      <c r="D298" s="179"/>
      <c r="E298" s="179"/>
      <c r="F298" s="179"/>
      <c r="G298" s="179"/>
      <c r="H298" s="179"/>
      <c r="I298" s="179"/>
      <c r="J298" s="179"/>
      <c r="K298" s="179"/>
      <c r="L298" s="179"/>
      <c r="M298" s="179"/>
      <c r="N298" s="179"/>
      <c r="O298" s="179"/>
      <c r="P298" s="179"/>
      <c r="Q298" s="179"/>
      <c r="R298" s="179"/>
      <c r="S298" s="179"/>
      <c r="T298" s="179"/>
      <c r="U298" s="179"/>
      <c r="V298" s="179"/>
      <c r="W298" s="179"/>
    </row>
    <row r="299" spans="1:23">
      <c r="A299" s="179"/>
      <c r="B299" s="179"/>
      <c r="C299" s="179"/>
      <c r="D299" s="179"/>
      <c r="E299" s="179"/>
      <c r="F299" s="179"/>
      <c r="G299" s="179"/>
      <c r="H299" s="179"/>
      <c r="I299" s="179"/>
      <c r="J299" s="179"/>
      <c r="K299" s="179"/>
      <c r="L299" s="179"/>
      <c r="M299" s="179"/>
      <c r="N299" s="179"/>
      <c r="O299" s="179"/>
      <c r="P299" s="179"/>
      <c r="Q299" s="179"/>
      <c r="R299" s="179"/>
      <c r="S299" s="179"/>
      <c r="T299" s="179"/>
      <c r="U299" s="179"/>
      <c r="V299" s="179"/>
      <c r="W299" s="179"/>
    </row>
    <row r="300" spans="1:23">
      <c r="A300" s="179"/>
      <c r="B300" s="179"/>
      <c r="C300" s="179"/>
      <c r="D300" s="179"/>
      <c r="E300" s="179"/>
      <c r="F300" s="179"/>
      <c r="G300" s="179"/>
      <c r="H300" s="179"/>
      <c r="I300" s="179"/>
      <c r="J300" s="179"/>
      <c r="K300" s="179"/>
      <c r="L300" s="179"/>
      <c r="M300" s="179"/>
      <c r="N300" s="179"/>
      <c r="O300" s="179"/>
      <c r="P300" s="179"/>
      <c r="Q300" s="179"/>
      <c r="R300" s="179"/>
      <c r="S300" s="179"/>
      <c r="T300" s="179"/>
      <c r="U300" s="179"/>
      <c r="V300" s="179"/>
      <c r="W300" s="179"/>
    </row>
    <row r="301" spans="1:23">
      <c r="A301" s="179"/>
      <c r="B301" s="179"/>
      <c r="C301" s="179"/>
      <c r="D301" s="179"/>
      <c r="E301" s="179"/>
      <c r="F301" s="179"/>
      <c r="G301" s="179"/>
      <c r="H301" s="179"/>
      <c r="I301" s="179"/>
      <c r="J301" s="179"/>
      <c r="K301" s="179"/>
      <c r="L301" s="179"/>
      <c r="M301" s="179"/>
      <c r="N301" s="179"/>
      <c r="O301" s="179"/>
      <c r="P301" s="179"/>
      <c r="Q301" s="179"/>
      <c r="R301" s="179"/>
      <c r="S301" s="179"/>
      <c r="T301" s="179"/>
      <c r="U301" s="179"/>
      <c r="V301" s="179"/>
      <c r="W301" s="179"/>
    </row>
    <row r="302" spans="1:23">
      <c r="A302" s="179"/>
      <c r="B302" s="179"/>
      <c r="C302" s="179"/>
      <c r="D302" s="179"/>
      <c r="E302" s="179"/>
      <c r="F302" s="179"/>
      <c r="G302" s="179"/>
      <c r="H302" s="179"/>
      <c r="I302" s="179"/>
      <c r="J302" s="179"/>
      <c r="K302" s="179"/>
      <c r="L302" s="179"/>
      <c r="M302" s="179"/>
      <c r="N302" s="179"/>
      <c r="O302" s="179"/>
      <c r="P302" s="179"/>
      <c r="Q302" s="179"/>
      <c r="R302" s="179"/>
      <c r="S302" s="179"/>
      <c r="T302" s="179"/>
      <c r="U302" s="179"/>
      <c r="V302" s="179"/>
      <c r="W302" s="179"/>
    </row>
    <row r="303" spans="1:23">
      <c r="A303" s="179"/>
      <c r="B303" s="179"/>
      <c r="C303" s="179"/>
      <c r="D303" s="179"/>
      <c r="E303" s="179"/>
      <c r="F303" s="179"/>
      <c r="G303" s="179"/>
      <c r="H303" s="179"/>
      <c r="I303" s="179"/>
      <c r="J303" s="179"/>
      <c r="K303" s="179"/>
      <c r="L303" s="179"/>
      <c r="M303" s="179"/>
      <c r="N303" s="179"/>
      <c r="O303" s="179"/>
      <c r="P303" s="179"/>
      <c r="Q303" s="179"/>
      <c r="R303" s="179"/>
      <c r="S303" s="179"/>
      <c r="T303" s="179"/>
      <c r="U303" s="179"/>
      <c r="V303" s="179"/>
      <c r="W303" s="179"/>
    </row>
    <row r="304" spans="1:23">
      <c r="A304" s="179"/>
      <c r="B304" s="179"/>
      <c r="C304" s="179"/>
      <c r="D304" s="179"/>
      <c r="E304" s="179"/>
      <c r="F304" s="179"/>
      <c r="G304" s="179"/>
      <c r="H304" s="179"/>
      <c r="I304" s="179"/>
      <c r="J304" s="179"/>
      <c r="K304" s="179"/>
      <c r="L304" s="179"/>
      <c r="M304" s="179"/>
      <c r="N304" s="179"/>
      <c r="O304" s="179"/>
      <c r="P304" s="179"/>
      <c r="Q304" s="179"/>
      <c r="R304" s="179"/>
      <c r="S304" s="179"/>
      <c r="T304" s="179"/>
      <c r="U304" s="179"/>
      <c r="V304" s="179"/>
      <c r="W304" s="179"/>
    </row>
    <row r="305" spans="1:23">
      <c r="A305" s="179"/>
      <c r="B305" s="179"/>
      <c r="C305" s="179"/>
      <c r="D305" s="179"/>
      <c r="E305" s="179"/>
      <c r="F305" s="179"/>
      <c r="G305" s="179"/>
      <c r="H305" s="179"/>
      <c r="I305" s="179"/>
      <c r="J305" s="179"/>
      <c r="K305" s="179"/>
      <c r="L305" s="179"/>
      <c r="M305" s="179"/>
      <c r="N305" s="179"/>
      <c r="O305" s="179"/>
      <c r="P305" s="179"/>
      <c r="Q305" s="179"/>
      <c r="R305" s="179"/>
      <c r="S305" s="179"/>
      <c r="T305" s="179"/>
      <c r="U305" s="179"/>
      <c r="V305" s="179"/>
      <c r="W305" s="179"/>
    </row>
    <row r="306" spans="1:23">
      <c r="A306" s="179"/>
      <c r="B306" s="179"/>
      <c r="C306" s="179"/>
      <c r="D306" s="179"/>
      <c r="E306" s="179"/>
      <c r="F306" s="179"/>
      <c r="G306" s="179"/>
      <c r="H306" s="179"/>
      <c r="I306" s="179"/>
      <c r="J306" s="179"/>
      <c r="K306" s="179"/>
      <c r="L306" s="179"/>
      <c r="M306" s="179"/>
      <c r="N306" s="179"/>
      <c r="O306" s="179"/>
      <c r="P306" s="179"/>
      <c r="Q306" s="179"/>
      <c r="R306" s="179"/>
      <c r="S306" s="179"/>
      <c r="T306" s="179"/>
      <c r="U306" s="179"/>
      <c r="V306" s="179"/>
      <c r="W306" s="179"/>
    </row>
    <row r="307" spans="1:23">
      <c r="A307" s="179"/>
      <c r="B307" s="179"/>
      <c r="C307" s="179"/>
      <c r="D307" s="179"/>
      <c r="E307" s="179"/>
      <c r="F307" s="179"/>
      <c r="G307" s="179"/>
      <c r="H307" s="179"/>
      <c r="I307" s="179"/>
      <c r="J307" s="179"/>
      <c r="K307" s="179"/>
      <c r="L307" s="179"/>
      <c r="M307" s="179"/>
      <c r="N307" s="179"/>
      <c r="O307" s="179"/>
      <c r="P307" s="179"/>
      <c r="Q307" s="179"/>
      <c r="R307" s="179"/>
      <c r="S307" s="179"/>
      <c r="T307" s="179"/>
      <c r="U307" s="179"/>
      <c r="V307" s="179"/>
      <c r="W307" s="179"/>
    </row>
    <row r="308" spans="1:23">
      <c r="A308" s="179"/>
      <c r="B308" s="179"/>
      <c r="C308" s="179"/>
      <c r="D308" s="179"/>
      <c r="E308" s="179"/>
      <c r="F308" s="179"/>
      <c r="G308" s="179"/>
      <c r="H308" s="179"/>
      <c r="I308" s="179"/>
      <c r="J308" s="179"/>
      <c r="K308" s="179"/>
      <c r="L308" s="179"/>
      <c r="M308" s="179"/>
      <c r="N308" s="179"/>
      <c r="O308" s="179"/>
      <c r="P308" s="179"/>
      <c r="Q308" s="179"/>
      <c r="R308" s="179"/>
      <c r="S308" s="179"/>
      <c r="T308" s="179"/>
      <c r="U308" s="179"/>
      <c r="V308" s="179"/>
      <c r="W308" s="179"/>
    </row>
    <row r="309" spans="1:23">
      <c r="A309" s="179"/>
      <c r="B309" s="179"/>
      <c r="C309" s="179"/>
      <c r="D309" s="179"/>
      <c r="E309" s="179"/>
      <c r="F309" s="179"/>
      <c r="G309" s="179"/>
      <c r="H309" s="179"/>
      <c r="I309" s="179"/>
      <c r="J309" s="179"/>
      <c r="K309" s="179"/>
      <c r="L309" s="179"/>
      <c r="M309" s="179"/>
      <c r="N309" s="179"/>
      <c r="O309" s="179"/>
      <c r="P309" s="179"/>
      <c r="Q309" s="179"/>
      <c r="R309" s="179"/>
      <c r="S309" s="179"/>
      <c r="T309" s="179"/>
      <c r="U309" s="179"/>
      <c r="V309" s="179"/>
      <c r="W309" s="179"/>
    </row>
    <row r="310" spans="1:23">
      <c r="A310" s="179"/>
      <c r="B310" s="179"/>
      <c r="C310" s="179"/>
      <c r="D310" s="179"/>
      <c r="E310" s="179"/>
      <c r="F310" s="179"/>
      <c r="G310" s="179"/>
      <c r="H310" s="179"/>
      <c r="I310" s="179"/>
      <c r="J310" s="179"/>
      <c r="K310" s="179"/>
      <c r="L310" s="179"/>
      <c r="M310" s="179"/>
      <c r="N310" s="179"/>
      <c r="O310" s="179"/>
      <c r="P310" s="179"/>
      <c r="Q310" s="179"/>
      <c r="R310" s="179"/>
      <c r="S310" s="179"/>
      <c r="T310" s="179"/>
      <c r="U310" s="179"/>
      <c r="V310" s="179"/>
      <c r="W310" s="179"/>
    </row>
    <row r="311" spans="1:23">
      <c r="A311" s="179"/>
      <c r="B311" s="179"/>
      <c r="C311" s="179"/>
      <c r="D311" s="179"/>
      <c r="E311" s="179"/>
      <c r="F311" s="179"/>
      <c r="G311" s="179"/>
      <c r="H311" s="179"/>
      <c r="I311" s="179"/>
      <c r="J311" s="179"/>
      <c r="K311" s="179"/>
      <c r="L311" s="179"/>
      <c r="M311" s="179"/>
      <c r="N311" s="179"/>
      <c r="O311" s="179"/>
      <c r="P311" s="179"/>
      <c r="Q311" s="179"/>
      <c r="R311" s="179"/>
      <c r="S311" s="179"/>
      <c r="T311" s="179"/>
      <c r="U311" s="179"/>
      <c r="V311" s="179"/>
      <c r="W311" s="179"/>
    </row>
    <row r="312" spans="1:23">
      <c r="A312" s="179"/>
      <c r="B312" s="179"/>
      <c r="C312" s="179"/>
      <c r="D312" s="179"/>
      <c r="E312" s="179"/>
      <c r="F312" s="179"/>
      <c r="G312" s="179"/>
      <c r="H312" s="179"/>
      <c r="I312" s="179"/>
      <c r="J312" s="179"/>
      <c r="K312" s="179"/>
      <c r="L312" s="179"/>
      <c r="M312" s="179"/>
      <c r="N312" s="179"/>
      <c r="O312" s="179"/>
      <c r="P312" s="179"/>
      <c r="Q312" s="179"/>
      <c r="R312" s="179"/>
      <c r="S312" s="179"/>
      <c r="T312" s="179"/>
      <c r="U312" s="179"/>
      <c r="V312" s="179"/>
      <c r="W312" s="179"/>
    </row>
    <row r="313" spans="1:23">
      <c r="A313" s="179"/>
      <c r="B313" s="179"/>
      <c r="C313" s="179"/>
      <c r="D313" s="179"/>
      <c r="E313" s="179"/>
      <c r="F313" s="179"/>
      <c r="G313" s="179"/>
      <c r="H313" s="179"/>
      <c r="I313" s="179"/>
      <c r="J313" s="179"/>
      <c r="K313" s="179"/>
      <c r="L313" s="179"/>
      <c r="M313" s="179"/>
      <c r="N313" s="179"/>
      <c r="O313" s="179"/>
      <c r="P313" s="179"/>
      <c r="Q313" s="179"/>
      <c r="R313" s="179"/>
      <c r="S313" s="179"/>
      <c r="T313" s="179"/>
      <c r="U313" s="179"/>
      <c r="V313" s="179"/>
      <c r="W313" s="179"/>
    </row>
    <row r="314" spans="1:23">
      <c r="A314" s="179"/>
      <c r="B314" s="179"/>
      <c r="C314" s="179"/>
      <c r="D314" s="179"/>
      <c r="E314" s="179"/>
      <c r="F314" s="179"/>
      <c r="G314" s="179"/>
      <c r="H314" s="179"/>
      <c r="I314" s="179"/>
      <c r="J314" s="179"/>
      <c r="K314" s="179"/>
      <c r="L314" s="179"/>
      <c r="M314" s="179"/>
      <c r="N314" s="179"/>
      <c r="O314" s="179"/>
      <c r="P314" s="179"/>
      <c r="Q314" s="179"/>
      <c r="R314" s="179"/>
      <c r="S314" s="179"/>
      <c r="T314" s="179"/>
      <c r="U314" s="179"/>
      <c r="V314" s="179"/>
      <c r="W314" s="179"/>
    </row>
    <row r="315" spans="1:23">
      <c r="A315" s="179"/>
      <c r="B315" s="179"/>
      <c r="C315" s="179"/>
      <c r="D315" s="179"/>
      <c r="E315" s="179"/>
      <c r="F315" s="179"/>
      <c r="G315" s="179"/>
      <c r="H315" s="179"/>
      <c r="I315" s="179"/>
      <c r="J315" s="179"/>
      <c r="K315" s="179"/>
      <c r="L315" s="179"/>
      <c r="M315" s="179"/>
      <c r="N315" s="179"/>
      <c r="O315" s="179"/>
      <c r="P315" s="179"/>
      <c r="Q315" s="179"/>
      <c r="R315" s="179"/>
      <c r="S315" s="179"/>
      <c r="T315" s="179"/>
      <c r="U315" s="179"/>
      <c r="V315" s="179"/>
      <c r="W315" s="179"/>
    </row>
    <row r="316" spans="1:23">
      <c r="A316" s="179"/>
      <c r="B316" s="179"/>
      <c r="C316" s="179"/>
      <c r="D316" s="179"/>
      <c r="E316" s="179"/>
      <c r="F316" s="179"/>
      <c r="G316" s="179"/>
      <c r="H316" s="179"/>
      <c r="I316" s="179"/>
      <c r="J316" s="179"/>
      <c r="K316" s="179"/>
      <c r="L316" s="179"/>
      <c r="M316" s="179"/>
      <c r="N316" s="179"/>
      <c r="O316" s="179"/>
      <c r="P316" s="179"/>
      <c r="Q316" s="179"/>
      <c r="R316" s="179"/>
      <c r="S316" s="179"/>
      <c r="T316" s="179"/>
      <c r="U316" s="179"/>
      <c r="V316" s="179"/>
      <c r="W316" s="179"/>
    </row>
    <row r="317" spans="1:23">
      <c r="A317" s="179"/>
      <c r="B317" s="179"/>
      <c r="C317" s="179"/>
      <c r="D317" s="179"/>
      <c r="E317" s="179"/>
      <c r="F317" s="179"/>
      <c r="G317" s="179"/>
      <c r="H317" s="179"/>
      <c r="I317" s="179"/>
      <c r="J317" s="179"/>
      <c r="K317" s="179"/>
      <c r="L317" s="179"/>
      <c r="M317" s="179"/>
      <c r="N317" s="179"/>
      <c r="O317" s="179"/>
      <c r="P317" s="179"/>
      <c r="Q317" s="179"/>
      <c r="R317" s="179"/>
      <c r="S317" s="179"/>
      <c r="T317" s="179"/>
      <c r="U317" s="179"/>
      <c r="V317" s="179"/>
      <c r="W317" s="179"/>
    </row>
    <row r="318" spans="1:23">
      <c r="A318" s="179"/>
      <c r="B318" s="179"/>
      <c r="C318" s="179"/>
      <c r="D318" s="179"/>
      <c r="E318" s="179"/>
      <c r="F318" s="179"/>
      <c r="G318" s="179"/>
      <c r="H318" s="179"/>
      <c r="I318" s="179"/>
      <c r="J318" s="179"/>
      <c r="K318" s="179"/>
      <c r="L318" s="179"/>
      <c r="M318" s="179"/>
      <c r="N318" s="179"/>
      <c r="O318" s="179"/>
      <c r="P318" s="179"/>
      <c r="Q318" s="179"/>
      <c r="R318" s="179"/>
      <c r="S318" s="179"/>
      <c r="T318" s="179"/>
      <c r="U318" s="179"/>
      <c r="V318" s="179"/>
      <c r="W318" s="179"/>
    </row>
    <row r="319" spans="1:23">
      <c r="A319" s="179"/>
      <c r="B319" s="179"/>
      <c r="C319" s="179"/>
      <c r="D319" s="179"/>
      <c r="E319" s="179"/>
      <c r="F319" s="179"/>
      <c r="G319" s="179"/>
      <c r="H319" s="179"/>
      <c r="I319" s="179"/>
      <c r="J319" s="179"/>
      <c r="K319" s="179"/>
      <c r="L319" s="179"/>
      <c r="M319" s="179"/>
      <c r="N319" s="179"/>
      <c r="O319" s="179"/>
      <c r="P319" s="179"/>
      <c r="Q319" s="179"/>
      <c r="R319" s="179"/>
      <c r="S319" s="179"/>
      <c r="T319" s="179"/>
      <c r="U319" s="179"/>
      <c r="V319" s="179"/>
      <c r="W319" s="179"/>
    </row>
    <row r="320" spans="1:23">
      <c r="A320" s="179"/>
      <c r="B320" s="179"/>
      <c r="C320" s="179"/>
      <c r="D320" s="179"/>
      <c r="E320" s="179"/>
      <c r="F320" s="179"/>
      <c r="G320" s="179"/>
      <c r="H320" s="179"/>
      <c r="I320" s="179"/>
      <c r="J320" s="179"/>
      <c r="K320" s="179"/>
      <c r="L320" s="179"/>
      <c r="M320" s="179"/>
      <c r="N320" s="179"/>
      <c r="O320" s="179"/>
      <c r="P320" s="179"/>
      <c r="Q320" s="179"/>
      <c r="R320" s="179"/>
      <c r="S320" s="179"/>
      <c r="T320" s="179"/>
      <c r="U320" s="179"/>
      <c r="V320" s="179"/>
      <c r="W320" s="179"/>
    </row>
    <row r="321" spans="1:23">
      <c r="A321" s="179"/>
      <c r="B321" s="179"/>
      <c r="C321" s="179"/>
      <c r="D321" s="179"/>
      <c r="E321" s="179"/>
      <c r="F321" s="179"/>
      <c r="G321" s="179"/>
      <c r="H321" s="179"/>
      <c r="I321" s="179"/>
      <c r="J321" s="179"/>
      <c r="K321" s="179"/>
      <c r="L321" s="179"/>
      <c r="M321" s="179"/>
      <c r="N321" s="179"/>
      <c r="O321" s="179"/>
      <c r="P321" s="179"/>
      <c r="Q321" s="179"/>
      <c r="R321" s="179"/>
      <c r="S321" s="179"/>
      <c r="T321" s="179"/>
      <c r="U321" s="179"/>
      <c r="V321" s="179"/>
      <c r="W321" s="179"/>
    </row>
    <row r="322" spans="1:23">
      <c r="A322" s="179"/>
      <c r="B322" s="179"/>
      <c r="C322" s="179"/>
      <c r="D322" s="179"/>
      <c r="E322" s="179"/>
      <c r="F322" s="179"/>
      <c r="G322" s="179"/>
      <c r="H322" s="179"/>
      <c r="I322" s="179"/>
      <c r="J322" s="179"/>
      <c r="K322" s="179"/>
      <c r="L322" s="179"/>
      <c r="M322" s="179"/>
      <c r="N322" s="179"/>
      <c r="O322" s="179"/>
      <c r="P322" s="179"/>
      <c r="Q322" s="179"/>
      <c r="R322" s="179"/>
      <c r="S322" s="179"/>
      <c r="T322" s="179"/>
      <c r="U322" s="179"/>
      <c r="V322" s="179"/>
      <c r="W322" s="179"/>
    </row>
    <row r="323" spans="1:23">
      <c r="A323" s="179"/>
      <c r="B323" s="179"/>
      <c r="C323" s="179"/>
      <c r="D323" s="179"/>
      <c r="E323" s="179"/>
      <c r="F323" s="179"/>
      <c r="G323" s="179"/>
      <c r="H323" s="179"/>
      <c r="I323" s="179"/>
      <c r="J323" s="179"/>
      <c r="K323" s="179"/>
      <c r="L323" s="179"/>
      <c r="M323" s="179"/>
      <c r="N323" s="179"/>
      <c r="O323" s="179"/>
      <c r="P323" s="179"/>
      <c r="Q323" s="179"/>
      <c r="R323" s="179"/>
      <c r="S323" s="179"/>
      <c r="T323" s="179"/>
      <c r="U323" s="179"/>
      <c r="V323" s="179"/>
      <c r="W323" s="179"/>
    </row>
    <row r="324" spans="1:23">
      <c r="A324" s="179"/>
      <c r="B324" s="179"/>
      <c r="C324" s="179"/>
      <c r="D324" s="179"/>
      <c r="E324" s="179"/>
      <c r="F324" s="179"/>
      <c r="G324" s="179"/>
      <c r="H324" s="179"/>
      <c r="I324" s="179"/>
      <c r="J324" s="179"/>
      <c r="K324" s="179"/>
      <c r="L324" s="179"/>
      <c r="M324" s="179"/>
      <c r="N324" s="179"/>
      <c r="O324" s="179"/>
      <c r="P324" s="179"/>
      <c r="Q324" s="179"/>
      <c r="R324" s="179"/>
      <c r="S324" s="179"/>
      <c r="T324" s="179"/>
      <c r="U324" s="179"/>
      <c r="V324" s="179"/>
      <c r="W324" s="179"/>
    </row>
    <row r="325" spans="1:23">
      <c r="A325" s="179"/>
      <c r="B325" s="179"/>
      <c r="C325" s="179"/>
      <c r="D325" s="179"/>
      <c r="E325" s="179"/>
      <c r="F325" s="179"/>
      <c r="G325" s="179"/>
      <c r="H325" s="179"/>
      <c r="I325" s="179"/>
      <c r="J325" s="179"/>
      <c r="K325" s="179"/>
      <c r="L325" s="179"/>
      <c r="M325" s="179"/>
      <c r="N325" s="179"/>
      <c r="O325" s="179"/>
      <c r="P325" s="179"/>
      <c r="Q325" s="179"/>
      <c r="R325" s="179"/>
      <c r="S325" s="179"/>
      <c r="T325" s="179"/>
      <c r="U325" s="179"/>
      <c r="V325" s="179"/>
      <c r="W325" s="179"/>
    </row>
    <row r="326" spans="1:23">
      <c r="A326" s="179"/>
      <c r="B326" s="179"/>
      <c r="C326" s="179"/>
      <c r="D326" s="179"/>
      <c r="E326" s="179"/>
      <c r="F326" s="179"/>
      <c r="G326" s="179"/>
      <c r="H326" s="179"/>
      <c r="I326" s="179"/>
      <c r="J326" s="179"/>
      <c r="K326" s="179"/>
      <c r="L326" s="179"/>
      <c r="M326" s="179"/>
      <c r="N326" s="179"/>
      <c r="O326" s="179"/>
      <c r="P326" s="179"/>
      <c r="Q326" s="179"/>
      <c r="R326" s="179"/>
      <c r="S326" s="179"/>
      <c r="T326" s="179"/>
      <c r="U326" s="179"/>
      <c r="V326" s="179"/>
      <c r="W326" s="179"/>
    </row>
    <row r="327" spans="1:23">
      <c r="A327" s="179"/>
      <c r="B327" s="179"/>
      <c r="C327" s="179"/>
      <c r="D327" s="179"/>
      <c r="E327" s="179"/>
      <c r="F327" s="179"/>
      <c r="G327" s="179"/>
      <c r="H327" s="179"/>
      <c r="I327" s="179"/>
      <c r="J327" s="179"/>
      <c r="K327" s="179"/>
      <c r="L327" s="179"/>
      <c r="M327" s="179"/>
      <c r="N327" s="179"/>
      <c r="O327" s="179"/>
      <c r="P327" s="179"/>
      <c r="Q327" s="179"/>
      <c r="R327" s="179"/>
      <c r="S327" s="179"/>
      <c r="T327" s="179"/>
      <c r="U327" s="179"/>
      <c r="V327" s="179"/>
      <c r="W327" s="179"/>
    </row>
    <row r="328" spans="1:23">
      <c r="A328" s="179"/>
      <c r="B328" s="179"/>
      <c r="C328" s="179"/>
      <c r="D328" s="179"/>
      <c r="E328" s="179"/>
      <c r="F328" s="179"/>
      <c r="G328" s="179"/>
      <c r="H328" s="179"/>
      <c r="I328" s="179"/>
      <c r="J328" s="179"/>
      <c r="K328" s="179"/>
      <c r="L328" s="179"/>
      <c r="M328" s="179"/>
      <c r="N328" s="179"/>
      <c r="O328" s="179"/>
      <c r="P328" s="179"/>
      <c r="Q328" s="179"/>
      <c r="R328" s="179"/>
      <c r="S328" s="179"/>
      <c r="T328" s="179"/>
      <c r="U328" s="179"/>
      <c r="V328" s="179"/>
      <c r="W328" s="179"/>
    </row>
    <row r="329" spans="1:23">
      <c r="A329" s="179"/>
      <c r="B329" s="179"/>
      <c r="C329" s="179"/>
      <c r="D329" s="179"/>
      <c r="E329" s="179"/>
      <c r="F329" s="179"/>
      <c r="G329" s="179"/>
      <c r="H329" s="179"/>
      <c r="I329" s="179"/>
      <c r="J329" s="179"/>
      <c r="K329" s="179"/>
      <c r="L329" s="179"/>
      <c r="M329" s="179"/>
      <c r="N329" s="179"/>
      <c r="O329" s="179"/>
      <c r="P329" s="179"/>
      <c r="Q329" s="179"/>
      <c r="R329" s="179"/>
      <c r="S329" s="179"/>
      <c r="T329" s="179"/>
      <c r="U329" s="179"/>
      <c r="V329" s="179"/>
      <c r="W329" s="179"/>
    </row>
    <row r="330" spans="1:23">
      <c r="A330" s="179"/>
      <c r="B330" s="179"/>
      <c r="C330" s="179"/>
      <c r="D330" s="179"/>
      <c r="E330" s="179"/>
      <c r="F330" s="179"/>
      <c r="G330" s="179"/>
      <c r="H330" s="179"/>
      <c r="I330" s="179"/>
      <c r="J330" s="179"/>
      <c r="K330" s="179"/>
      <c r="L330" s="179"/>
      <c r="M330" s="179"/>
      <c r="N330" s="179"/>
      <c r="O330" s="179"/>
      <c r="P330" s="179"/>
      <c r="Q330" s="179"/>
      <c r="R330" s="179"/>
      <c r="S330" s="179"/>
      <c r="T330" s="179"/>
      <c r="U330" s="179"/>
      <c r="V330" s="179"/>
      <c r="W330" s="179"/>
    </row>
    <row r="331" spans="1:23">
      <c r="A331" s="179"/>
      <c r="B331" s="179"/>
      <c r="C331" s="179"/>
      <c r="D331" s="179"/>
      <c r="E331" s="179"/>
      <c r="F331" s="179"/>
      <c r="G331" s="179"/>
      <c r="H331" s="179"/>
      <c r="I331" s="179"/>
      <c r="J331" s="179"/>
      <c r="K331" s="179"/>
      <c r="L331" s="179"/>
      <c r="M331" s="179"/>
      <c r="N331" s="179"/>
      <c r="O331" s="179"/>
      <c r="P331" s="179"/>
      <c r="Q331" s="179"/>
      <c r="R331" s="179"/>
      <c r="S331" s="179"/>
      <c r="T331" s="179"/>
      <c r="U331" s="179"/>
      <c r="V331" s="179"/>
      <c r="W331" s="179"/>
    </row>
    <row r="332" spans="1:23">
      <c r="A332" s="179"/>
      <c r="B332" s="179"/>
      <c r="C332" s="179"/>
      <c r="D332" s="179"/>
      <c r="E332" s="179"/>
      <c r="F332" s="179"/>
      <c r="G332" s="179"/>
      <c r="H332" s="179"/>
      <c r="I332" s="179"/>
      <c r="J332" s="179"/>
      <c r="K332" s="179"/>
      <c r="L332" s="179"/>
      <c r="M332" s="179"/>
      <c r="N332" s="179"/>
      <c r="O332" s="179"/>
      <c r="P332" s="179"/>
      <c r="Q332" s="179"/>
      <c r="R332" s="179"/>
      <c r="S332" s="179"/>
      <c r="T332" s="179"/>
      <c r="U332" s="179"/>
      <c r="V332" s="179"/>
      <c r="W332" s="179"/>
    </row>
    <row r="333" spans="1:23">
      <c r="A333" s="179"/>
      <c r="B333" s="179"/>
      <c r="C333" s="179"/>
      <c r="D333" s="179"/>
      <c r="E333" s="179"/>
      <c r="F333" s="179"/>
      <c r="G333" s="179"/>
      <c r="H333" s="179"/>
      <c r="I333" s="179"/>
      <c r="J333" s="179"/>
      <c r="K333" s="179"/>
      <c r="L333" s="179"/>
      <c r="M333" s="179"/>
      <c r="N333" s="179"/>
      <c r="O333" s="179"/>
      <c r="P333" s="179"/>
      <c r="Q333" s="179"/>
      <c r="R333" s="179"/>
      <c r="S333" s="179"/>
      <c r="T333" s="179"/>
      <c r="U333" s="179"/>
      <c r="V333" s="179"/>
      <c r="W333" s="179"/>
    </row>
    <row r="334" spans="1:23">
      <c r="A334" s="179"/>
      <c r="B334" s="179"/>
      <c r="C334" s="179"/>
      <c r="D334" s="179"/>
      <c r="E334" s="179"/>
      <c r="F334" s="179"/>
      <c r="G334" s="179"/>
      <c r="H334" s="179"/>
      <c r="I334" s="179"/>
      <c r="J334" s="179"/>
      <c r="K334" s="179"/>
      <c r="L334" s="179"/>
      <c r="M334" s="179"/>
      <c r="N334" s="179"/>
      <c r="O334" s="179"/>
      <c r="P334" s="179"/>
      <c r="Q334" s="179"/>
      <c r="R334" s="179"/>
      <c r="S334" s="179"/>
      <c r="T334" s="179"/>
      <c r="U334" s="179"/>
      <c r="V334" s="179"/>
      <c r="W334" s="179"/>
    </row>
    <row r="335" spans="1:23">
      <c r="A335" s="179"/>
      <c r="B335" s="179"/>
      <c r="C335" s="179"/>
      <c r="D335" s="179"/>
      <c r="E335" s="179"/>
      <c r="F335" s="179"/>
      <c r="G335" s="179"/>
      <c r="H335" s="179"/>
      <c r="I335" s="179"/>
      <c r="J335" s="179"/>
      <c r="K335" s="179"/>
      <c r="L335" s="179"/>
      <c r="M335" s="179"/>
      <c r="N335" s="179"/>
      <c r="O335" s="179"/>
      <c r="P335" s="179"/>
      <c r="Q335" s="179"/>
      <c r="R335" s="179"/>
      <c r="S335" s="179"/>
      <c r="T335" s="179"/>
      <c r="U335" s="179"/>
      <c r="V335" s="179"/>
      <c r="W335" s="179"/>
    </row>
    <row r="336" spans="1:23">
      <c r="A336" s="179"/>
      <c r="B336" s="179"/>
      <c r="C336" s="179"/>
      <c r="D336" s="179"/>
      <c r="E336" s="179"/>
      <c r="F336" s="179"/>
      <c r="G336" s="179"/>
      <c r="H336" s="179"/>
      <c r="I336" s="179"/>
      <c r="J336" s="179"/>
      <c r="K336" s="179"/>
      <c r="L336" s="179"/>
      <c r="M336" s="179"/>
      <c r="N336" s="179"/>
      <c r="O336" s="179"/>
      <c r="P336" s="179"/>
      <c r="Q336" s="179"/>
      <c r="R336" s="179"/>
      <c r="S336" s="179"/>
      <c r="T336" s="179"/>
      <c r="U336" s="179"/>
      <c r="V336" s="179"/>
      <c r="W336" s="179"/>
    </row>
    <row r="337" spans="1:23">
      <c r="A337" s="179"/>
      <c r="B337" s="179"/>
      <c r="C337" s="179"/>
      <c r="D337" s="179"/>
      <c r="E337" s="179"/>
      <c r="F337" s="179"/>
      <c r="G337" s="179"/>
      <c r="H337" s="179"/>
      <c r="I337" s="179"/>
      <c r="J337" s="179"/>
      <c r="K337" s="179"/>
      <c r="L337" s="179"/>
      <c r="M337" s="179"/>
      <c r="N337" s="179"/>
      <c r="O337" s="179"/>
      <c r="P337" s="179"/>
      <c r="Q337" s="179"/>
      <c r="R337" s="179"/>
      <c r="S337" s="179"/>
      <c r="T337" s="179"/>
      <c r="U337" s="179"/>
      <c r="V337" s="179"/>
      <c r="W337" s="179"/>
    </row>
    <row r="338" spans="1:23">
      <c r="A338" s="179"/>
      <c r="B338" s="179"/>
      <c r="C338" s="179"/>
      <c r="D338" s="179"/>
      <c r="E338" s="179"/>
      <c r="F338" s="179"/>
      <c r="G338" s="179"/>
      <c r="H338" s="179"/>
      <c r="I338" s="179"/>
      <c r="J338" s="179"/>
      <c r="K338" s="179"/>
      <c r="L338" s="179"/>
      <c r="M338" s="179"/>
      <c r="N338" s="179"/>
      <c r="O338" s="179"/>
      <c r="P338" s="179"/>
      <c r="Q338" s="179"/>
      <c r="R338" s="179"/>
      <c r="S338" s="179"/>
      <c r="T338" s="179"/>
      <c r="U338" s="179"/>
      <c r="V338" s="179"/>
      <c r="W338" s="179"/>
    </row>
    <row r="339" spans="1:23">
      <c r="A339" s="179"/>
      <c r="B339" s="179"/>
      <c r="C339" s="179"/>
      <c r="D339" s="179"/>
      <c r="E339" s="179"/>
      <c r="F339" s="179"/>
      <c r="G339" s="179"/>
      <c r="H339" s="179"/>
      <c r="I339" s="179"/>
      <c r="J339" s="179"/>
      <c r="K339" s="179"/>
      <c r="L339" s="179"/>
      <c r="M339" s="179"/>
      <c r="N339" s="179"/>
      <c r="O339" s="179"/>
      <c r="P339" s="179"/>
      <c r="Q339" s="179"/>
      <c r="R339" s="179"/>
      <c r="S339" s="179"/>
      <c r="T339" s="179"/>
      <c r="U339" s="179"/>
      <c r="V339" s="179"/>
      <c r="W339" s="179"/>
    </row>
    <row r="340" spans="1:23">
      <c r="A340" s="179"/>
      <c r="B340" s="179"/>
      <c r="C340" s="179"/>
      <c r="D340" s="179"/>
      <c r="E340" s="179"/>
      <c r="F340" s="179"/>
      <c r="G340" s="179"/>
      <c r="H340" s="179"/>
      <c r="I340" s="179"/>
      <c r="J340" s="179"/>
      <c r="K340" s="179"/>
      <c r="L340" s="179"/>
      <c r="M340" s="179"/>
      <c r="N340" s="179"/>
      <c r="O340" s="179"/>
      <c r="P340" s="179"/>
      <c r="Q340" s="179"/>
      <c r="R340" s="179"/>
      <c r="S340" s="179"/>
      <c r="T340" s="179"/>
      <c r="U340" s="179"/>
      <c r="V340" s="179"/>
      <c r="W340" s="179"/>
    </row>
    <row r="341" spans="1:23">
      <c r="A341" s="179"/>
      <c r="B341" s="179"/>
      <c r="C341" s="179"/>
      <c r="D341" s="179"/>
      <c r="E341" s="179"/>
      <c r="F341" s="179"/>
      <c r="G341" s="179"/>
      <c r="H341" s="179"/>
      <c r="I341" s="179"/>
      <c r="J341" s="179"/>
      <c r="K341" s="179"/>
      <c r="L341" s="179"/>
      <c r="M341" s="179"/>
      <c r="N341" s="179"/>
      <c r="O341" s="179"/>
      <c r="P341" s="179"/>
      <c r="Q341" s="179"/>
      <c r="R341" s="179"/>
      <c r="S341" s="179"/>
      <c r="T341" s="179"/>
      <c r="U341" s="179"/>
      <c r="V341" s="179"/>
      <c r="W341" s="179"/>
    </row>
    <row r="342" spans="1:23">
      <c r="A342" s="179"/>
      <c r="B342" s="179"/>
      <c r="C342" s="179"/>
      <c r="D342" s="179"/>
      <c r="E342" s="179"/>
      <c r="F342" s="179"/>
      <c r="G342" s="179"/>
      <c r="H342" s="179"/>
      <c r="I342" s="179"/>
      <c r="J342" s="179"/>
      <c r="K342" s="179"/>
      <c r="L342" s="179"/>
      <c r="M342" s="179"/>
      <c r="N342" s="179"/>
      <c r="O342" s="179"/>
      <c r="P342" s="179"/>
      <c r="Q342" s="179"/>
      <c r="R342" s="179"/>
      <c r="S342" s="179"/>
      <c r="T342" s="179"/>
      <c r="U342" s="179"/>
      <c r="V342" s="179"/>
      <c r="W342" s="179"/>
    </row>
    <row r="343" spans="1:23">
      <c r="A343" s="179"/>
      <c r="B343" s="179"/>
      <c r="C343" s="179"/>
      <c r="D343" s="179"/>
      <c r="E343" s="179"/>
      <c r="F343" s="179"/>
      <c r="G343" s="179"/>
      <c r="H343" s="179"/>
      <c r="I343" s="179"/>
      <c r="J343" s="179"/>
      <c r="K343" s="179"/>
      <c r="L343" s="179"/>
      <c r="M343" s="179"/>
      <c r="N343" s="179"/>
      <c r="O343" s="179"/>
      <c r="P343" s="179"/>
      <c r="Q343" s="179"/>
      <c r="R343" s="179"/>
      <c r="S343" s="179"/>
      <c r="T343" s="179"/>
      <c r="U343" s="179"/>
      <c r="V343" s="179"/>
      <c r="W343" s="179"/>
    </row>
    <row r="344" spans="1:23">
      <c r="A344" s="179"/>
      <c r="B344" s="179"/>
      <c r="C344" s="179"/>
      <c r="D344" s="179"/>
      <c r="E344" s="179"/>
      <c r="F344" s="179"/>
      <c r="G344" s="179"/>
      <c r="H344" s="179"/>
      <c r="I344" s="179"/>
      <c r="J344" s="179"/>
      <c r="K344" s="179"/>
      <c r="L344" s="179"/>
      <c r="M344" s="179"/>
      <c r="N344" s="179"/>
      <c r="O344" s="179"/>
      <c r="P344" s="179"/>
      <c r="Q344" s="179"/>
      <c r="R344" s="179"/>
      <c r="S344" s="179"/>
      <c r="T344" s="179"/>
      <c r="U344" s="179"/>
      <c r="V344" s="179"/>
      <c r="W344" s="179"/>
    </row>
    <row r="345" spans="1:23">
      <c r="A345" s="179"/>
      <c r="B345" s="179"/>
      <c r="C345" s="179"/>
      <c r="D345" s="179"/>
      <c r="E345" s="179"/>
      <c r="F345" s="179"/>
      <c r="G345" s="179"/>
      <c r="H345" s="179"/>
      <c r="I345" s="179"/>
      <c r="J345" s="179"/>
      <c r="K345" s="179"/>
      <c r="L345" s="179"/>
      <c r="M345" s="179"/>
      <c r="N345" s="179"/>
      <c r="O345" s="179"/>
      <c r="P345" s="179"/>
      <c r="Q345" s="179"/>
      <c r="R345" s="179"/>
      <c r="S345" s="179"/>
      <c r="T345" s="179"/>
      <c r="U345" s="179"/>
      <c r="V345" s="179"/>
      <c r="W345" s="179"/>
    </row>
    <row r="346" spans="1:23">
      <c r="A346" s="179"/>
      <c r="B346" s="179"/>
      <c r="C346" s="179"/>
      <c r="D346" s="179"/>
      <c r="E346" s="179"/>
      <c r="F346" s="179"/>
      <c r="G346" s="179"/>
      <c r="H346" s="179"/>
      <c r="I346" s="179"/>
      <c r="J346" s="179"/>
      <c r="K346" s="179"/>
      <c r="L346" s="179"/>
      <c r="M346" s="179"/>
      <c r="N346" s="179"/>
      <c r="O346" s="179"/>
      <c r="P346" s="179"/>
      <c r="Q346" s="179"/>
      <c r="R346" s="179"/>
      <c r="S346" s="179"/>
      <c r="T346" s="179"/>
      <c r="U346" s="179"/>
      <c r="V346" s="179"/>
      <c r="W346" s="179"/>
    </row>
    <row r="347" spans="1:23">
      <c r="A347" s="179"/>
      <c r="B347" s="179"/>
      <c r="C347" s="179"/>
      <c r="D347" s="179"/>
      <c r="E347" s="179"/>
      <c r="F347" s="179"/>
      <c r="G347" s="179"/>
      <c r="H347" s="179"/>
      <c r="I347" s="179"/>
      <c r="J347" s="179"/>
      <c r="K347" s="179"/>
      <c r="L347" s="179"/>
      <c r="M347" s="179"/>
      <c r="N347" s="179"/>
      <c r="O347" s="179"/>
      <c r="P347" s="179"/>
      <c r="Q347" s="179"/>
      <c r="R347" s="179"/>
      <c r="S347" s="179"/>
      <c r="T347" s="179"/>
      <c r="U347" s="179"/>
      <c r="V347" s="179"/>
      <c r="W347" s="179"/>
    </row>
    <row r="348" spans="1:23">
      <c r="A348" s="179"/>
      <c r="B348" s="179"/>
      <c r="C348" s="179"/>
      <c r="D348" s="179"/>
      <c r="E348" s="179"/>
      <c r="F348" s="179"/>
      <c r="G348" s="179"/>
      <c r="H348" s="179"/>
      <c r="I348" s="179"/>
      <c r="J348" s="179"/>
      <c r="K348" s="179"/>
      <c r="L348" s="179"/>
      <c r="M348" s="179"/>
      <c r="N348" s="179"/>
      <c r="O348" s="179"/>
      <c r="P348" s="179"/>
      <c r="Q348" s="179"/>
      <c r="R348" s="179"/>
      <c r="S348" s="179"/>
      <c r="T348" s="179"/>
      <c r="U348" s="179"/>
      <c r="V348" s="179"/>
      <c r="W348" s="179"/>
    </row>
    <row r="349" spans="1:23">
      <c r="A349" s="179"/>
      <c r="B349" s="179"/>
      <c r="C349" s="179"/>
      <c r="D349" s="179"/>
      <c r="E349" s="179"/>
      <c r="F349" s="179"/>
      <c r="G349" s="179"/>
      <c r="H349" s="179"/>
      <c r="I349" s="179"/>
      <c r="J349" s="179"/>
      <c r="K349" s="179"/>
      <c r="L349" s="179"/>
      <c r="M349" s="179"/>
      <c r="N349" s="179"/>
      <c r="O349" s="179"/>
      <c r="P349" s="179"/>
      <c r="Q349" s="179"/>
      <c r="R349" s="179"/>
      <c r="S349" s="179"/>
      <c r="T349" s="179"/>
      <c r="U349" s="179"/>
      <c r="V349" s="179"/>
      <c r="W349" s="179"/>
    </row>
    <row r="350" spans="1:23">
      <c r="A350" s="179"/>
      <c r="B350" s="179"/>
      <c r="C350" s="179"/>
      <c r="D350" s="179"/>
      <c r="E350" s="179"/>
      <c r="F350" s="179"/>
      <c r="G350" s="179"/>
      <c r="H350" s="179"/>
      <c r="I350" s="179"/>
      <c r="J350" s="179"/>
      <c r="K350" s="179"/>
      <c r="L350" s="179"/>
      <c r="M350" s="179"/>
      <c r="N350" s="179"/>
      <c r="O350" s="179"/>
      <c r="P350" s="179"/>
      <c r="Q350" s="179"/>
      <c r="R350" s="179"/>
      <c r="S350" s="179"/>
      <c r="T350" s="179"/>
      <c r="U350" s="179"/>
      <c r="V350" s="179"/>
      <c r="W350" s="179"/>
    </row>
    <row r="351" spans="1:23">
      <c r="A351" s="179"/>
      <c r="B351" s="179"/>
      <c r="C351" s="179"/>
      <c r="D351" s="179"/>
      <c r="E351" s="179"/>
      <c r="F351" s="179"/>
      <c r="G351" s="179"/>
      <c r="H351" s="179"/>
      <c r="I351" s="179"/>
      <c r="J351" s="179"/>
      <c r="K351" s="179"/>
      <c r="L351" s="179"/>
      <c r="M351" s="179"/>
      <c r="N351" s="179"/>
      <c r="O351" s="179"/>
      <c r="P351" s="179"/>
      <c r="Q351" s="179"/>
      <c r="R351" s="179"/>
      <c r="S351" s="179"/>
      <c r="T351" s="179"/>
      <c r="U351" s="179"/>
      <c r="V351" s="179"/>
      <c r="W351" s="179"/>
    </row>
    <row r="352" spans="1:23">
      <c r="A352" s="179"/>
      <c r="B352" s="179"/>
      <c r="C352" s="179"/>
      <c r="D352" s="179"/>
      <c r="E352" s="179"/>
      <c r="F352" s="179"/>
      <c r="G352" s="179"/>
      <c r="H352" s="179"/>
      <c r="I352" s="179"/>
      <c r="J352" s="179"/>
      <c r="K352" s="179"/>
      <c r="L352" s="179"/>
      <c r="M352" s="179"/>
      <c r="N352" s="179"/>
      <c r="O352" s="179"/>
      <c r="P352" s="179"/>
      <c r="Q352" s="179"/>
      <c r="R352" s="179"/>
      <c r="S352" s="179"/>
      <c r="T352" s="179"/>
      <c r="U352" s="179"/>
      <c r="V352" s="179"/>
      <c r="W352" s="179"/>
    </row>
    <row r="353" spans="1:23">
      <c r="A353" s="179"/>
      <c r="B353" s="179"/>
      <c r="C353" s="179"/>
      <c r="D353" s="179"/>
      <c r="E353" s="179"/>
      <c r="F353" s="179"/>
      <c r="G353" s="179"/>
      <c r="H353" s="179"/>
      <c r="I353" s="179"/>
      <c r="J353" s="179"/>
      <c r="K353" s="179"/>
      <c r="L353" s="179"/>
      <c r="M353" s="179"/>
      <c r="N353" s="179"/>
      <c r="O353" s="179"/>
      <c r="P353" s="179"/>
      <c r="Q353" s="179"/>
      <c r="R353" s="179"/>
      <c r="S353" s="179"/>
      <c r="T353" s="179"/>
      <c r="U353" s="179"/>
      <c r="V353" s="179"/>
      <c r="W353" s="179"/>
    </row>
    <row r="354" spans="1:23">
      <c r="A354" s="179"/>
      <c r="B354" s="179"/>
      <c r="C354" s="179"/>
      <c r="D354" s="179"/>
      <c r="E354" s="179"/>
      <c r="F354" s="179"/>
      <c r="G354" s="179"/>
      <c r="H354" s="179"/>
      <c r="I354" s="179"/>
      <c r="J354" s="179"/>
      <c r="K354" s="179"/>
      <c r="L354" s="179"/>
      <c r="M354" s="179"/>
      <c r="N354" s="179"/>
      <c r="O354" s="179"/>
      <c r="P354" s="179"/>
      <c r="Q354" s="179"/>
      <c r="R354" s="179"/>
      <c r="S354" s="179"/>
      <c r="T354" s="179"/>
      <c r="U354" s="179"/>
      <c r="V354" s="179"/>
      <c r="W354" s="179"/>
    </row>
    <row r="355" spans="1:23">
      <c r="A355" s="179"/>
      <c r="B355" s="179"/>
      <c r="C355" s="179"/>
      <c r="D355" s="179"/>
      <c r="E355" s="179"/>
      <c r="F355" s="179"/>
      <c r="G355" s="179"/>
      <c r="H355" s="179"/>
      <c r="I355" s="179"/>
      <c r="J355" s="179"/>
      <c r="K355" s="179"/>
      <c r="L355" s="179"/>
      <c r="M355" s="179"/>
      <c r="N355" s="179"/>
      <c r="O355" s="179"/>
      <c r="P355" s="179"/>
      <c r="Q355" s="179"/>
      <c r="R355" s="179"/>
      <c r="S355" s="179"/>
      <c r="T355" s="179"/>
      <c r="U355" s="179"/>
      <c r="V355" s="179"/>
      <c r="W355" s="179"/>
    </row>
    <row r="356" spans="1:23">
      <c r="A356" s="179"/>
      <c r="B356" s="179"/>
      <c r="C356" s="179"/>
      <c r="D356" s="179"/>
      <c r="E356" s="179"/>
      <c r="F356" s="179"/>
      <c r="G356" s="179"/>
      <c r="H356" s="179"/>
      <c r="I356" s="179"/>
      <c r="J356" s="179"/>
      <c r="K356" s="179"/>
      <c r="L356" s="179"/>
      <c r="M356" s="179"/>
      <c r="N356" s="179"/>
      <c r="O356" s="179"/>
      <c r="P356" s="179"/>
      <c r="Q356" s="179"/>
      <c r="R356" s="179"/>
      <c r="S356" s="179"/>
      <c r="T356" s="179"/>
      <c r="U356" s="179"/>
      <c r="V356" s="179"/>
      <c r="W356" s="179"/>
    </row>
    <row r="357" spans="1:23">
      <c r="A357" s="179"/>
      <c r="B357" s="179"/>
      <c r="C357" s="179"/>
      <c r="D357" s="179"/>
      <c r="E357" s="179"/>
      <c r="F357" s="179"/>
      <c r="G357" s="179"/>
      <c r="H357" s="179"/>
      <c r="I357" s="179"/>
      <c r="J357" s="179"/>
      <c r="K357" s="179"/>
      <c r="L357" s="179"/>
      <c r="M357" s="179"/>
      <c r="N357" s="179"/>
      <c r="O357" s="179"/>
      <c r="P357" s="179"/>
      <c r="Q357" s="179"/>
      <c r="R357" s="179"/>
      <c r="S357" s="179"/>
      <c r="T357" s="179"/>
      <c r="U357" s="179"/>
      <c r="V357" s="179"/>
      <c r="W357" s="179"/>
    </row>
    <row r="358" spans="1:23">
      <c r="A358" s="179"/>
      <c r="B358" s="179"/>
      <c r="C358" s="179"/>
      <c r="D358" s="179"/>
      <c r="E358" s="179"/>
      <c r="F358" s="179"/>
      <c r="G358" s="179"/>
      <c r="H358" s="179"/>
      <c r="I358" s="179"/>
      <c r="J358" s="179"/>
      <c r="K358" s="179"/>
      <c r="L358" s="179"/>
      <c r="M358" s="179"/>
      <c r="N358" s="179"/>
      <c r="O358" s="179"/>
      <c r="P358" s="179"/>
      <c r="Q358" s="179"/>
      <c r="R358" s="179"/>
      <c r="S358" s="179"/>
      <c r="T358" s="179"/>
      <c r="U358" s="179"/>
      <c r="V358" s="179"/>
      <c r="W358" s="179"/>
    </row>
    <row r="359" spans="1:23">
      <c r="A359" s="179"/>
      <c r="B359" s="179"/>
      <c r="C359" s="179"/>
      <c r="D359" s="179"/>
      <c r="E359" s="179"/>
      <c r="F359" s="179"/>
      <c r="G359" s="179"/>
      <c r="H359" s="179"/>
      <c r="I359" s="179"/>
      <c r="J359" s="179"/>
      <c r="K359" s="179"/>
      <c r="L359" s="179"/>
      <c r="M359" s="179"/>
      <c r="N359" s="179"/>
      <c r="O359" s="179"/>
      <c r="P359" s="179"/>
      <c r="Q359" s="179"/>
      <c r="R359" s="179"/>
      <c r="S359" s="179"/>
      <c r="T359" s="179"/>
      <c r="U359" s="179"/>
      <c r="V359" s="179"/>
      <c r="W359" s="179"/>
    </row>
    <row r="360" spans="1:23">
      <c r="A360" s="179"/>
      <c r="B360" s="179"/>
      <c r="C360" s="179"/>
      <c r="D360" s="179"/>
      <c r="E360" s="179"/>
      <c r="F360" s="179"/>
      <c r="G360" s="179"/>
      <c r="H360" s="179"/>
      <c r="I360" s="179"/>
      <c r="J360" s="179"/>
      <c r="K360" s="179"/>
      <c r="L360" s="179"/>
      <c r="M360" s="179"/>
      <c r="N360" s="179"/>
      <c r="O360" s="179"/>
      <c r="P360" s="179"/>
      <c r="Q360" s="179"/>
      <c r="R360" s="179"/>
      <c r="S360" s="179"/>
      <c r="T360" s="179"/>
      <c r="U360" s="179"/>
      <c r="V360" s="179"/>
      <c r="W360" s="179"/>
    </row>
    <row r="361" spans="1:23">
      <c r="A361" s="179"/>
      <c r="B361" s="179"/>
      <c r="C361" s="179"/>
      <c r="D361" s="179"/>
      <c r="E361" s="179"/>
      <c r="F361" s="179"/>
      <c r="G361" s="179"/>
      <c r="H361" s="179"/>
      <c r="I361" s="179"/>
      <c r="J361" s="179"/>
      <c r="K361" s="179"/>
      <c r="L361" s="179"/>
      <c r="M361" s="179"/>
      <c r="N361" s="179"/>
      <c r="O361" s="179"/>
      <c r="P361" s="179"/>
      <c r="Q361" s="179"/>
      <c r="R361" s="179"/>
      <c r="S361" s="179"/>
      <c r="T361" s="179"/>
      <c r="U361" s="179"/>
      <c r="V361" s="179"/>
      <c r="W361" s="179"/>
    </row>
    <row r="362" spans="1:23">
      <c r="A362" s="179"/>
      <c r="B362" s="179"/>
      <c r="C362" s="179"/>
      <c r="D362" s="179"/>
      <c r="E362" s="179"/>
      <c r="F362" s="179"/>
      <c r="G362" s="179"/>
      <c r="H362" s="179"/>
      <c r="I362" s="179"/>
      <c r="J362" s="179"/>
      <c r="K362" s="179"/>
      <c r="L362" s="179"/>
      <c r="M362" s="179"/>
      <c r="N362" s="179"/>
      <c r="O362" s="179"/>
      <c r="P362" s="179"/>
      <c r="Q362" s="179"/>
      <c r="R362" s="179"/>
      <c r="S362" s="179"/>
      <c r="T362" s="179"/>
      <c r="U362" s="179"/>
      <c r="V362" s="179"/>
      <c r="W362" s="179"/>
    </row>
    <row r="363" spans="1:23">
      <c r="A363" s="179"/>
      <c r="B363" s="179"/>
      <c r="C363" s="179"/>
      <c r="D363" s="179"/>
      <c r="E363" s="179"/>
      <c r="F363" s="179"/>
      <c r="G363" s="179"/>
      <c r="H363" s="179"/>
      <c r="I363" s="179"/>
      <c r="J363" s="179"/>
      <c r="K363" s="179"/>
      <c r="L363" s="179"/>
      <c r="M363" s="179"/>
      <c r="N363" s="179"/>
      <c r="O363" s="179"/>
      <c r="P363" s="179"/>
      <c r="Q363" s="179"/>
      <c r="R363" s="179"/>
      <c r="S363" s="179"/>
      <c r="T363" s="179"/>
      <c r="U363" s="179"/>
      <c r="V363" s="179"/>
      <c r="W363" s="179"/>
    </row>
    <row r="364" spans="1:23">
      <c r="A364" s="179"/>
      <c r="B364" s="179"/>
      <c r="C364" s="179"/>
      <c r="D364" s="179"/>
      <c r="E364" s="179"/>
      <c r="F364" s="179"/>
      <c r="G364" s="179"/>
      <c r="H364" s="179"/>
      <c r="I364" s="179"/>
      <c r="J364" s="179"/>
      <c r="K364" s="179"/>
      <c r="L364" s="179"/>
      <c r="M364" s="179"/>
      <c r="N364" s="179"/>
      <c r="O364" s="179"/>
      <c r="P364" s="179"/>
      <c r="Q364" s="179"/>
      <c r="R364" s="179"/>
      <c r="S364" s="179"/>
      <c r="T364" s="179"/>
      <c r="U364" s="179"/>
      <c r="V364" s="179"/>
      <c r="W364" s="179"/>
    </row>
    <row r="365" spans="1:23">
      <c r="A365" s="179"/>
      <c r="B365" s="179"/>
      <c r="C365" s="179"/>
      <c r="D365" s="179"/>
      <c r="E365" s="179"/>
      <c r="F365" s="179"/>
      <c r="G365" s="179"/>
      <c r="H365" s="179"/>
      <c r="I365" s="179"/>
      <c r="J365" s="179"/>
      <c r="K365" s="179"/>
      <c r="L365" s="179"/>
      <c r="M365" s="179"/>
      <c r="N365" s="179"/>
      <c r="O365" s="179"/>
      <c r="P365" s="179"/>
      <c r="Q365" s="179"/>
      <c r="R365" s="179"/>
      <c r="S365" s="179"/>
      <c r="T365" s="179"/>
      <c r="U365" s="179"/>
      <c r="V365" s="179"/>
      <c r="W365" s="179"/>
    </row>
    <row r="366" spans="1:23">
      <c r="A366" s="179"/>
      <c r="B366" s="179"/>
      <c r="C366" s="179"/>
      <c r="D366" s="179"/>
      <c r="E366" s="179"/>
      <c r="F366" s="179"/>
      <c r="G366" s="179"/>
      <c r="H366" s="179"/>
      <c r="I366" s="179"/>
      <c r="J366" s="179"/>
      <c r="K366" s="179"/>
      <c r="L366" s="179"/>
      <c r="M366" s="179"/>
      <c r="N366" s="179"/>
      <c r="O366" s="179"/>
      <c r="P366" s="179"/>
      <c r="Q366" s="179"/>
      <c r="R366" s="179"/>
      <c r="S366" s="179"/>
      <c r="T366" s="179"/>
      <c r="U366" s="179"/>
      <c r="V366" s="179"/>
      <c r="W366" s="179"/>
    </row>
    <row r="367" spans="1:23">
      <c r="A367" s="179"/>
      <c r="B367" s="179"/>
      <c r="C367" s="179"/>
      <c r="D367" s="179"/>
      <c r="E367" s="179"/>
      <c r="F367" s="179"/>
      <c r="G367" s="179"/>
      <c r="H367" s="179"/>
      <c r="I367" s="179"/>
      <c r="J367" s="179"/>
      <c r="K367" s="179"/>
      <c r="L367" s="179"/>
      <c r="M367" s="179"/>
      <c r="N367" s="179"/>
      <c r="O367" s="179"/>
      <c r="P367" s="179"/>
      <c r="Q367" s="179"/>
      <c r="R367" s="179"/>
      <c r="S367" s="179"/>
      <c r="T367" s="179"/>
      <c r="U367" s="179"/>
      <c r="V367" s="179"/>
      <c r="W367" s="179"/>
    </row>
    <row r="368" spans="1:23">
      <c r="A368" s="179"/>
      <c r="B368" s="179"/>
      <c r="C368" s="179"/>
      <c r="D368" s="179"/>
      <c r="E368" s="179"/>
      <c r="F368" s="179"/>
      <c r="G368" s="179"/>
      <c r="H368" s="179"/>
      <c r="I368" s="179"/>
      <c r="J368" s="179"/>
      <c r="K368" s="179"/>
      <c r="L368" s="179"/>
      <c r="M368" s="179"/>
      <c r="N368" s="179"/>
      <c r="O368" s="179"/>
      <c r="P368" s="179"/>
      <c r="Q368" s="179"/>
      <c r="R368" s="179"/>
      <c r="S368" s="179"/>
      <c r="T368" s="179"/>
      <c r="U368" s="179"/>
      <c r="V368" s="179"/>
      <c r="W368" s="179"/>
    </row>
    <row r="369" spans="1:23">
      <c r="A369" s="179"/>
      <c r="B369" s="179"/>
      <c r="C369" s="179"/>
      <c r="D369" s="179"/>
      <c r="E369" s="179"/>
      <c r="F369" s="179"/>
      <c r="G369" s="179"/>
      <c r="H369" s="179"/>
      <c r="I369" s="179"/>
      <c r="J369" s="179"/>
      <c r="K369" s="179"/>
      <c r="L369" s="179"/>
      <c r="M369" s="179"/>
      <c r="N369" s="179"/>
      <c r="O369" s="179"/>
      <c r="P369" s="179"/>
      <c r="Q369" s="179"/>
      <c r="R369" s="179"/>
      <c r="S369" s="179"/>
      <c r="T369" s="179"/>
      <c r="U369" s="179"/>
      <c r="V369" s="179"/>
      <c r="W369" s="179"/>
    </row>
    <row r="370" spans="1:23">
      <c r="A370" s="179"/>
      <c r="B370" s="179"/>
      <c r="C370" s="179"/>
      <c r="D370" s="179"/>
      <c r="E370" s="179"/>
      <c r="F370" s="179"/>
      <c r="G370" s="179"/>
      <c r="H370" s="179"/>
      <c r="I370" s="179"/>
      <c r="J370" s="179"/>
      <c r="K370" s="179"/>
      <c r="L370" s="179"/>
      <c r="M370" s="179"/>
      <c r="N370" s="179"/>
      <c r="O370" s="179"/>
      <c r="P370" s="179"/>
      <c r="Q370" s="179"/>
      <c r="R370" s="179"/>
      <c r="S370" s="179"/>
      <c r="T370" s="179"/>
      <c r="U370" s="179"/>
      <c r="V370" s="179"/>
      <c r="W370" s="179"/>
    </row>
    <row r="371" spans="1:23">
      <c r="A371" s="179"/>
      <c r="B371" s="179"/>
      <c r="C371" s="179"/>
      <c r="D371" s="179"/>
      <c r="E371" s="179"/>
      <c r="F371" s="179"/>
      <c r="G371" s="179"/>
      <c r="H371" s="179"/>
      <c r="I371" s="179"/>
      <c r="J371" s="179"/>
      <c r="K371" s="179"/>
      <c r="L371" s="179"/>
      <c r="M371" s="179"/>
      <c r="N371" s="179"/>
      <c r="O371" s="179"/>
      <c r="P371" s="179"/>
      <c r="Q371" s="179"/>
      <c r="R371" s="179"/>
      <c r="S371" s="179"/>
      <c r="T371" s="179"/>
      <c r="U371" s="179"/>
      <c r="V371" s="179"/>
      <c r="W371" s="179"/>
    </row>
    <row r="372" spans="1:23">
      <c r="A372" s="179"/>
      <c r="B372" s="179"/>
      <c r="C372" s="179"/>
      <c r="D372" s="179"/>
      <c r="E372" s="179"/>
      <c r="F372" s="179"/>
      <c r="G372" s="179"/>
      <c r="H372" s="179"/>
      <c r="I372" s="179"/>
      <c r="J372" s="179"/>
      <c r="K372" s="179"/>
      <c r="L372" s="179"/>
      <c r="M372" s="179"/>
      <c r="N372" s="179"/>
      <c r="O372" s="179"/>
      <c r="P372" s="179"/>
      <c r="Q372" s="179"/>
      <c r="R372" s="179"/>
      <c r="S372" s="179"/>
      <c r="T372" s="179"/>
      <c r="U372" s="179"/>
      <c r="V372" s="179"/>
      <c r="W372" s="179"/>
    </row>
    <row r="373" spans="1:23">
      <c r="A373" s="179"/>
      <c r="B373" s="179"/>
      <c r="C373" s="179"/>
      <c r="D373" s="179"/>
      <c r="E373" s="179"/>
      <c r="F373" s="179"/>
      <c r="G373" s="179"/>
      <c r="H373" s="179"/>
      <c r="I373" s="179"/>
      <c r="J373" s="179"/>
      <c r="K373" s="179"/>
      <c r="L373" s="179"/>
      <c r="M373" s="179"/>
      <c r="N373" s="179"/>
      <c r="O373" s="179"/>
      <c r="P373" s="179"/>
      <c r="Q373" s="179"/>
      <c r="R373" s="179"/>
      <c r="S373" s="179"/>
      <c r="T373" s="179"/>
      <c r="U373" s="179"/>
      <c r="V373" s="179"/>
      <c r="W373" s="179"/>
    </row>
    <row r="374" spans="1:23">
      <c r="A374" s="179"/>
      <c r="B374" s="179"/>
      <c r="C374" s="179"/>
      <c r="D374" s="179"/>
      <c r="E374" s="179"/>
      <c r="F374" s="179"/>
      <c r="G374" s="179"/>
      <c r="H374" s="179"/>
      <c r="I374" s="179"/>
      <c r="J374" s="179"/>
      <c r="K374" s="179"/>
      <c r="L374" s="179"/>
      <c r="M374" s="179"/>
      <c r="N374" s="179"/>
      <c r="O374" s="179"/>
      <c r="P374" s="179"/>
      <c r="Q374" s="179"/>
      <c r="R374" s="179"/>
      <c r="S374" s="179"/>
      <c r="T374" s="179"/>
      <c r="U374" s="179"/>
      <c r="V374" s="179"/>
      <c r="W374" s="179"/>
    </row>
    <row r="375" spans="1:23">
      <c r="A375" s="179"/>
      <c r="B375" s="179"/>
      <c r="C375" s="179"/>
      <c r="D375" s="179"/>
      <c r="E375" s="179"/>
      <c r="F375" s="179"/>
      <c r="G375" s="179"/>
      <c r="H375" s="179"/>
      <c r="I375" s="179"/>
      <c r="J375" s="179"/>
      <c r="K375" s="179"/>
      <c r="L375" s="179"/>
      <c r="M375" s="179"/>
      <c r="N375" s="179"/>
      <c r="O375" s="179"/>
      <c r="P375" s="179"/>
      <c r="Q375" s="179"/>
      <c r="R375" s="179"/>
      <c r="S375" s="179"/>
      <c r="T375" s="179"/>
      <c r="U375" s="179"/>
      <c r="V375" s="179"/>
      <c r="W375" s="179"/>
    </row>
    <row r="376" spans="1:23">
      <c r="A376" s="179"/>
      <c r="B376" s="179"/>
      <c r="C376" s="179"/>
      <c r="D376" s="179"/>
      <c r="E376" s="179"/>
      <c r="F376" s="179"/>
      <c r="G376" s="179"/>
      <c r="H376" s="179"/>
      <c r="I376" s="179"/>
      <c r="J376" s="179"/>
      <c r="K376" s="179"/>
      <c r="L376" s="179"/>
      <c r="M376" s="179"/>
      <c r="N376" s="179"/>
      <c r="O376" s="179"/>
      <c r="P376" s="179"/>
      <c r="Q376" s="179"/>
      <c r="R376" s="179"/>
      <c r="S376" s="179"/>
      <c r="T376" s="179"/>
      <c r="U376" s="179"/>
      <c r="V376" s="179"/>
      <c r="W376" s="179"/>
    </row>
    <row r="377" spans="1:23">
      <c r="A377" s="179"/>
      <c r="B377" s="179"/>
      <c r="C377" s="179"/>
      <c r="D377" s="179"/>
      <c r="E377" s="179"/>
      <c r="F377" s="179"/>
      <c r="G377" s="179"/>
      <c r="H377" s="179"/>
      <c r="I377" s="179"/>
      <c r="J377" s="179"/>
      <c r="K377" s="179"/>
      <c r="L377" s="179"/>
      <c r="M377" s="179"/>
      <c r="N377" s="179"/>
      <c r="O377" s="179"/>
      <c r="P377" s="179"/>
      <c r="Q377" s="179"/>
      <c r="R377" s="179"/>
      <c r="S377" s="179"/>
      <c r="T377" s="179"/>
      <c r="U377" s="179"/>
      <c r="V377" s="179"/>
      <c r="W377" s="179"/>
    </row>
    <row r="378" spans="1:23">
      <c r="A378" s="179"/>
      <c r="B378" s="179"/>
      <c r="C378" s="179"/>
      <c r="D378" s="179"/>
      <c r="E378" s="179"/>
      <c r="F378" s="179"/>
      <c r="G378" s="179"/>
      <c r="H378" s="179"/>
      <c r="I378" s="179"/>
      <c r="J378" s="179"/>
      <c r="K378" s="179"/>
      <c r="L378" s="179"/>
      <c r="M378" s="179"/>
      <c r="N378" s="179"/>
      <c r="O378" s="179"/>
      <c r="P378" s="179"/>
      <c r="Q378" s="179"/>
      <c r="R378" s="179"/>
      <c r="S378" s="179"/>
      <c r="T378" s="179"/>
      <c r="U378" s="179"/>
      <c r="V378" s="179"/>
      <c r="W378" s="179"/>
    </row>
    <row r="379" spans="1:23">
      <c r="A379" s="179"/>
      <c r="B379" s="179"/>
      <c r="C379" s="179"/>
      <c r="D379" s="179"/>
      <c r="E379" s="179"/>
      <c r="F379" s="179"/>
      <c r="G379" s="179"/>
      <c r="H379" s="179"/>
      <c r="I379" s="179"/>
      <c r="J379" s="179"/>
      <c r="K379" s="179"/>
      <c r="L379" s="179"/>
      <c r="M379" s="179"/>
      <c r="N379" s="179"/>
      <c r="O379" s="179"/>
      <c r="P379" s="179"/>
      <c r="Q379" s="179"/>
      <c r="R379" s="179"/>
      <c r="S379" s="179"/>
      <c r="T379" s="179"/>
      <c r="U379" s="179"/>
      <c r="V379" s="179"/>
      <c r="W379" s="179"/>
    </row>
    <row r="380" spans="1:23">
      <c r="A380" s="179"/>
      <c r="B380" s="179"/>
      <c r="C380" s="179"/>
      <c r="D380" s="179"/>
      <c r="E380" s="179"/>
      <c r="F380" s="179"/>
      <c r="G380" s="179"/>
      <c r="H380" s="179"/>
      <c r="I380" s="179"/>
      <c r="J380" s="179"/>
      <c r="K380" s="179"/>
      <c r="L380" s="179"/>
      <c r="M380" s="179"/>
      <c r="N380" s="179"/>
      <c r="O380" s="179"/>
      <c r="P380" s="179"/>
      <c r="Q380" s="179"/>
      <c r="R380" s="179"/>
      <c r="S380" s="179"/>
      <c r="T380" s="179"/>
      <c r="U380" s="179"/>
      <c r="V380" s="179"/>
      <c r="W380" s="179"/>
    </row>
    <row r="381" spans="1:23">
      <c r="A381" s="179"/>
      <c r="B381" s="179"/>
      <c r="C381" s="179"/>
      <c r="D381" s="179"/>
      <c r="E381" s="179"/>
      <c r="F381" s="179"/>
      <c r="G381" s="179"/>
      <c r="H381" s="179"/>
      <c r="I381" s="179"/>
      <c r="J381" s="179"/>
      <c r="K381" s="179"/>
      <c r="L381" s="179"/>
      <c r="M381" s="179"/>
      <c r="N381" s="179"/>
      <c r="O381" s="179"/>
      <c r="P381" s="179"/>
      <c r="Q381" s="179"/>
      <c r="R381" s="179"/>
      <c r="S381" s="179"/>
      <c r="T381" s="179"/>
      <c r="U381" s="179"/>
      <c r="V381" s="179"/>
      <c r="W381" s="179"/>
    </row>
    <row r="382" spans="1:23">
      <c r="A382" s="179"/>
      <c r="B382" s="179"/>
      <c r="C382" s="179"/>
      <c r="D382" s="179"/>
      <c r="E382" s="179"/>
      <c r="F382" s="179"/>
      <c r="G382" s="179"/>
      <c r="H382" s="179"/>
      <c r="I382" s="179"/>
      <c r="J382" s="179"/>
      <c r="K382" s="179"/>
      <c r="L382" s="179"/>
      <c r="M382" s="179"/>
      <c r="N382" s="179"/>
      <c r="O382" s="179"/>
      <c r="P382" s="179"/>
      <c r="Q382" s="179"/>
      <c r="R382" s="179"/>
      <c r="S382" s="179"/>
      <c r="T382" s="179"/>
      <c r="U382" s="179"/>
      <c r="V382" s="179"/>
      <c r="W382" s="179"/>
    </row>
    <row r="383" spans="1:23">
      <c r="A383" s="179"/>
      <c r="B383" s="179"/>
      <c r="C383" s="179"/>
      <c r="D383" s="179"/>
      <c r="E383" s="179"/>
      <c r="F383" s="179"/>
      <c r="G383" s="179"/>
      <c r="H383" s="179"/>
      <c r="I383" s="179"/>
      <c r="J383" s="179"/>
      <c r="K383" s="179"/>
      <c r="L383" s="179"/>
      <c r="M383" s="179"/>
      <c r="N383" s="179"/>
      <c r="O383" s="179"/>
      <c r="P383" s="179"/>
      <c r="Q383" s="179"/>
      <c r="R383" s="179"/>
      <c r="S383" s="179"/>
      <c r="T383" s="179"/>
      <c r="U383" s="179"/>
      <c r="V383" s="179"/>
      <c r="W383" s="179"/>
    </row>
    <row r="384" spans="1:23">
      <c r="A384" s="179"/>
      <c r="B384" s="179"/>
      <c r="C384" s="179"/>
      <c r="D384" s="179"/>
      <c r="E384" s="179"/>
      <c r="F384" s="179"/>
      <c r="G384" s="179"/>
      <c r="H384" s="179"/>
      <c r="I384" s="179"/>
      <c r="J384" s="179"/>
      <c r="K384" s="179"/>
      <c r="L384" s="179"/>
      <c r="M384" s="179"/>
      <c r="N384" s="179"/>
      <c r="O384" s="179"/>
      <c r="P384" s="179"/>
      <c r="Q384" s="179"/>
      <c r="R384" s="179"/>
      <c r="S384" s="179"/>
      <c r="T384" s="179"/>
      <c r="U384" s="179"/>
      <c r="V384" s="179"/>
      <c r="W384" s="179"/>
    </row>
    <row r="385" spans="1:23">
      <c r="A385" s="179"/>
      <c r="B385" s="179"/>
      <c r="C385" s="179"/>
      <c r="D385" s="179"/>
      <c r="E385" s="179"/>
      <c r="F385" s="179"/>
      <c r="G385" s="179"/>
      <c r="H385" s="179"/>
      <c r="I385" s="179"/>
      <c r="J385" s="179"/>
      <c r="K385" s="179"/>
      <c r="L385" s="179"/>
      <c r="M385" s="179"/>
      <c r="N385" s="179"/>
      <c r="O385" s="179"/>
      <c r="P385" s="179"/>
      <c r="Q385" s="179"/>
      <c r="R385" s="179"/>
      <c r="S385" s="179"/>
      <c r="T385" s="179"/>
      <c r="U385" s="179"/>
      <c r="V385" s="179"/>
      <c r="W385" s="179"/>
    </row>
    <row r="386" spans="1:23">
      <c r="A386" s="179"/>
      <c r="B386" s="179"/>
      <c r="C386" s="179"/>
      <c r="D386" s="179"/>
      <c r="E386" s="179"/>
      <c r="F386" s="179"/>
      <c r="G386" s="179"/>
      <c r="H386" s="179"/>
      <c r="I386" s="179"/>
      <c r="J386" s="179"/>
      <c r="K386" s="179"/>
      <c r="L386" s="179"/>
      <c r="M386" s="179"/>
      <c r="N386" s="179"/>
      <c r="O386" s="179"/>
      <c r="P386" s="179"/>
      <c r="Q386" s="179"/>
      <c r="R386" s="179"/>
      <c r="S386" s="179"/>
      <c r="T386" s="179"/>
      <c r="U386" s="179"/>
      <c r="V386" s="179"/>
      <c r="W386" s="179"/>
    </row>
    <row r="387" spans="1:23">
      <c r="A387" s="179"/>
      <c r="B387" s="179"/>
      <c r="C387" s="179"/>
      <c r="D387" s="179"/>
      <c r="E387" s="179"/>
      <c r="F387" s="179"/>
      <c r="G387" s="179"/>
      <c r="H387" s="179"/>
      <c r="I387" s="179"/>
      <c r="J387" s="179"/>
      <c r="K387" s="179"/>
      <c r="L387" s="179"/>
      <c r="M387" s="179"/>
      <c r="N387" s="179"/>
      <c r="O387" s="179"/>
      <c r="P387" s="179"/>
      <c r="Q387" s="179"/>
      <c r="R387" s="179"/>
      <c r="S387" s="179"/>
      <c r="T387" s="179"/>
      <c r="U387" s="179"/>
      <c r="V387" s="179"/>
      <c r="W387" s="179"/>
    </row>
    <row r="388" spans="1:23">
      <c r="A388" s="179"/>
      <c r="B388" s="179"/>
      <c r="C388" s="179"/>
      <c r="D388" s="179"/>
      <c r="E388" s="179"/>
      <c r="F388" s="179"/>
      <c r="G388" s="179"/>
      <c r="H388" s="179"/>
      <c r="I388" s="179"/>
      <c r="J388" s="179"/>
      <c r="K388" s="179"/>
      <c r="L388" s="179"/>
      <c r="M388" s="179"/>
      <c r="N388" s="179"/>
      <c r="O388" s="179"/>
      <c r="P388" s="179"/>
      <c r="Q388" s="179"/>
      <c r="R388" s="179"/>
      <c r="S388" s="179"/>
      <c r="T388" s="179"/>
      <c r="U388" s="179"/>
      <c r="V388" s="179"/>
      <c r="W388" s="179"/>
    </row>
    <row r="389" spans="1:23">
      <c r="A389" s="179"/>
      <c r="B389" s="179"/>
      <c r="C389" s="179"/>
      <c r="D389" s="179"/>
      <c r="E389" s="179"/>
      <c r="F389" s="179"/>
      <c r="G389" s="179"/>
      <c r="H389" s="179"/>
      <c r="I389" s="179"/>
      <c r="J389" s="179"/>
      <c r="K389" s="179"/>
      <c r="L389" s="179"/>
      <c r="M389" s="179"/>
      <c r="N389" s="179"/>
      <c r="O389" s="179"/>
      <c r="P389" s="179"/>
      <c r="Q389" s="179"/>
      <c r="R389" s="179"/>
      <c r="S389" s="179"/>
      <c r="T389" s="179"/>
      <c r="U389" s="179"/>
      <c r="V389" s="179"/>
      <c r="W389" s="179"/>
    </row>
    <row r="390" spans="1:23">
      <c r="A390" s="179"/>
      <c r="B390" s="179"/>
      <c r="C390" s="179"/>
      <c r="D390" s="179"/>
      <c r="E390" s="179"/>
      <c r="F390" s="179"/>
      <c r="G390" s="179"/>
      <c r="H390" s="179"/>
      <c r="I390" s="179"/>
      <c r="J390" s="179"/>
      <c r="K390" s="179"/>
      <c r="L390" s="179"/>
      <c r="M390" s="179"/>
      <c r="N390" s="179"/>
      <c r="O390" s="179"/>
      <c r="P390" s="179"/>
      <c r="Q390" s="179"/>
      <c r="R390" s="179"/>
      <c r="S390" s="179"/>
      <c r="T390" s="179"/>
      <c r="U390" s="179"/>
      <c r="V390" s="179"/>
      <c r="W390" s="179"/>
    </row>
    <row r="391" spans="1:23">
      <c r="A391" s="179"/>
      <c r="B391" s="179"/>
      <c r="C391" s="179"/>
      <c r="D391" s="179"/>
      <c r="E391" s="179"/>
      <c r="F391" s="179"/>
      <c r="G391" s="179"/>
      <c r="H391" s="179"/>
      <c r="I391" s="179"/>
      <c r="J391" s="179"/>
      <c r="K391" s="179"/>
      <c r="L391" s="179"/>
      <c r="M391" s="179"/>
      <c r="N391" s="179"/>
      <c r="O391" s="179"/>
      <c r="P391" s="179"/>
      <c r="Q391" s="179"/>
      <c r="R391" s="179"/>
      <c r="S391" s="179"/>
      <c r="T391" s="179"/>
      <c r="U391" s="179"/>
      <c r="V391" s="179"/>
      <c r="W391" s="179"/>
    </row>
    <row r="392" spans="1:23">
      <c r="A392" s="179"/>
      <c r="B392" s="179"/>
      <c r="C392" s="179"/>
      <c r="D392" s="179"/>
      <c r="E392" s="179"/>
      <c r="F392" s="179"/>
      <c r="G392" s="179"/>
      <c r="H392" s="179"/>
      <c r="I392" s="179"/>
      <c r="J392" s="179"/>
      <c r="K392" s="179"/>
      <c r="L392" s="179"/>
      <c r="M392" s="179"/>
      <c r="N392" s="179"/>
      <c r="O392" s="179"/>
      <c r="P392" s="179"/>
      <c r="Q392" s="179"/>
      <c r="R392" s="179"/>
      <c r="S392" s="179"/>
      <c r="T392" s="179"/>
      <c r="U392" s="179"/>
      <c r="V392" s="179"/>
      <c r="W392" s="179"/>
    </row>
    <row r="393" spans="1:23">
      <c r="A393" s="179"/>
      <c r="B393" s="179"/>
      <c r="C393" s="179"/>
      <c r="D393" s="179"/>
      <c r="E393" s="179"/>
      <c r="F393" s="179"/>
      <c r="G393" s="179"/>
      <c r="H393" s="179"/>
      <c r="I393" s="179"/>
      <c r="J393" s="179"/>
      <c r="K393" s="179"/>
      <c r="L393" s="179"/>
      <c r="M393" s="179"/>
      <c r="N393" s="179"/>
      <c r="O393" s="179"/>
      <c r="P393" s="179"/>
      <c r="Q393" s="179"/>
      <c r="R393" s="179"/>
      <c r="S393" s="179"/>
      <c r="T393" s="179"/>
      <c r="U393" s="179"/>
      <c r="V393" s="179"/>
      <c r="W393" s="179"/>
    </row>
    <row r="394" spans="1:23">
      <c r="A394" s="179"/>
      <c r="B394" s="179"/>
      <c r="C394" s="179"/>
      <c r="D394" s="179"/>
      <c r="E394" s="179"/>
      <c r="F394" s="179"/>
      <c r="G394" s="179"/>
      <c r="H394" s="179"/>
      <c r="I394" s="179"/>
      <c r="J394" s="179"/>
      <c r="K394" s="179"/>
      <c r="L394" s="179"/>
      <c r="M394" s="179"/>
      <c r="N394" s="179"/>
      <c r="O394" s="179"/>
      <c r="P394" s="179"/>
      <c r="Q394" s="179"/>
      <c r="R394" s="179"/>
      <c r="S394" s="179"/>
      <c r="T394" s="179"/>
      <c r="U394" s="179"/>
      <c r="V394" s="179"/>
      <c r="W394" s="179"/>
    </row>
    <row r="395" spans="1:23">
      <c r="A395" s="179"/>
      <c r="B395" s="179"/>
      <c r="C395" s="179"/>
      <c r="D395" s="179"/>
      <c r="E395" s="179"/>
      <c r="F395" s="179"/>
      <c r="G395" s="179"/>
      <c r="H395" s="179"/>
      <c r="I395" s="179"/>
      <c r="J395" s="179"/>
      <c r="K395" s="179"/>
      <c r="L395" s="179"/>
      <c r="M395" s="179"/>
      <c r="N395" s="179"/>
      <c r="O395" s="179"/>
      <c r="P395" s="179"/>
      <c r="Q395" s="179"/>
      <c r="R395" s="179"/>
      <c r="S395" s="179"/>
      <c r="T395" s="179"/>
      <c r="U395" s="179"/>
      <c r="V395" s="179"/>
      <c r="W395" s="179"/>
    </row>
    <row r="396" spans="1:23">
      <c r="A396" s="179"/>
      <c r="B396" s="179"/>
      <c r="C396" s="179"/>
      <c r="D396" s="179"/>
      <c r="E396" s="179"/>
      <c r="F396" s="179"/>
      <c r="G396" s="179"/>
      <c r="H396" s="179"/>
      <c r="I396" s="179"/>
      <c r="J396" s="179"/>
      <c r="K396" s="179"/>
      <c r="L396" s="179"/>
      <c r="M396" s="179"/>
      <c r="N396" s="179"/>
      <c r="O396" s="179"/>
      <c r="P396" s="179"/>
      <c r="Q396" s="179"/>
      <c r="R396" s="179"/>
      <c r="S396" s="179"/>
      <c r="T396" s="179"/>
      <c r="U396" s="179"/>
      <c r="V396" s="179"/>
      <c r="W396" s="179"/>
    </row>
    <row r="397" spans="1:23">
      <c r="A397" s="179"/>
      <c r="B397" s="179"/>
      <c r="C397" s="179"/>
      <c r="D397" s="179"/>
      <c r="E397" s="179"/>
      <c r="F397" s="179"/>
      <c r="G397" s="179"/>
      <c r="H397" s="179"/>
      <c r="I397" s="179"/>
      <c r="J397" s="179"/>
      <c r="K397" s="179"/>
      <c r="L397" s="179"/>
      <c r="M397" s="179"/>
      <c r="N397" s="179"/>
      <c r="O397" s="179"/>
      <c r="P397" s="179"/>
      <c r="Q397" s="179"/>
      <c r="R397" s="179"/>
      <c r="S397" s="179"/>
      <c r="T397" s="179"/>
      <c r="U397" s="179"/>
      <c r="V397" s="179"/>
      <c r="W397" s="179"/>
    </row>
    <row r="398" spans="1:23">
      <c r="A398" s="179"/>
      <c r="B398" s="179"/>
      <c r="C398" s="179"/>
      <c r="D398" s="179"/>
      <c r="E398" s="179"/>
      <c r="F398" s="179"/>
      <c r="G398" s="179"/>
      <c r="H398" s="179"/>
      <c r="I398" s="179"/>
      <c r="J398" s="179"/>
      <c r="K398" s="179"/>
      <c r="L398" s="179"/>
      <c r="M398" s="179"/>
      <c r="N398" s="179"/>
      <c r="O398" s="179"/>
      <c r="P398" s="179"/>
      <c r="Q398" s="179"/>
      <c r="R398" s="179"/>
      <c r="S398" s="179"/>
      <c r="T398" s="179"/>
      <c r="U398" s="179"/>
      <c r="V398" s="179"/>
      <c r="W398" s="179"/>
    </row>
    <row r="399" spans="1:23">
      <c r="A399" s="179"/>
      <c r="B399" s="179"/>
      <c r="C399" s="179"/>
      <c r="D399" s="179"/>
      <c r="E399" s="179"/>
      <c r="F399" s="179"/>
      <c r="G399" s="179"/>
      <c r="H399" s="179"/>
      <c r="I399" s="179"/>
      <c r="J399" s="179"/>
      <c r="K399" s="179"/>
      <c r="L399" s="179"/>
      <c r="M399" s="179"/>
      <c r="N399" s="179"/>
      <c r="O399" s="179"/>
      <c r="P399" s="179"/>
      <c r="Q399" s="179"/>
      <c r="R399" s="179"/>
      <c r="S399" s="179"/>
      <c r="T399" s="179"/>
      <c r="U399" s="179"/>
      <c r="V399" s="179"/>
      <c r="W399" s="179"/>
    </row>
    <row r="400" spans="1:23">
      <c r="A400" s="179"/>
      <c r="B400" s="179"/>
      <c r="C400" s="179"/>
      <c r="D400" s="179"/>
      <c r="E400" s="179"/>
      <c r="F400" s="179"/>
      <c r="G400" s="179"/>
      <c r="H400" s="179"/>
      <c r="I400" s="179"/>
      <c r="J400" s="179"/>
      <c r="K400" s="179"/>
      <c r="L400" s="179"/>
      <c r="M400" s="179"/>
      <c r="N400" s="179"/>
      <c r="O400" s="179"/>
      <c r="P400" s="179"/>
      <c r="Q400" s="179"/>
      <c r="R400" s="179"/>
      <c r="S400" s="179"/>
      <c r="T400" s="179"/>
      <c r="U400" s="179"/>
      <c r="V400" s="179"/>
      <c r="W400" s="179"/>
    </row>
    <row r="401" spans="1:23">
      <c r="A401" s="179"/>
      <c r="B401" s="179"/>
      <c r="C401" s="179"/>
      <c r="D401" s="179"/>
      <c r="E401" s="179"/>
      <c r="F401" s="179"/>
      <c r="G401" s="179"/>
      <c r="H401" s="179"/>
      <c r="I401" s="179"/>
      <c r="J401" s="179"/>
      <c r="K401" s="179"/>
      <c r="L401" s="179"/>
      <c r="M401" s="179"/>
      <c r="N401" s="179"/>
      <c r="O401" s="179"/>
      <c r="P401" s="179"/>
      <c r="Q401" s="179"/>
      <c r="R401" s="179"/>
      <c r="S401" s="179"/>
      <c r="T401" s="179"/>
      <c r="U401" s="179"/>
      <c r="V401" s="179"/>
      <c r="W401" s="179"/>
    </row>
    <row r="402" spans="1:23">
      <c r="A402" s="179"/>
      <c r="B402" s="179"/>
      <c r="C402" s="179"/>
      <c r="D402" s="179"/>
      <c r="E402" s="179"/>
      <c r="F402" s="179"/>
      <c r="G402" s="179"/>
      <c r="H402" s="179"/>
      <c r="I402" s="179"/>
      <c r="J402" s="179"/>
      <c r="K402" s="179"/>
      <c r="L402" s="179"/>
      <c r="M402" s="179"/>
      <c r="N402" s="179"/>
      <c r="O402" s="179"/>
      <c r="P402" s="179"/>
      <c r="Q402" s="179"/>
      <c r="R402" s="179"/>
      <c r="S402" s="179"/>
      <c r="T402" s="179"/>
      <c r="U402" s="179"/>
      <c r="V402" s="179"/>
      <c r="W402" s="179"/>
    </row>
    <row r="403" spans="1:23">
      <c r="A403" s="179"/>
      <c r="B403" s="179"/>
      <c r="C403" s="179"/>
      <c r="D403" s="179"/>
      <c r="E403" s="179"/>
      <c r="F403" s="179"/>
      <c r="G403" s="179"/>
      <c r="H403" s="179"/>
      <c r="I403" s="179"/>
      <c r="J403" s="179"/>
      <c r="K403" s="179"/>
      <c r="L403" s="179"/>
      <c r="M403" s="179"/>
      <c r="N403" s="179"/>
      <c r="O403" s="179"/>
      <c r="P403" s="179"/>
      <c r="Q403" s="179"/>
      <c r="R403" s="179"/>
      <c r="S403" s="179"/>
      <c r="T403" s="179"/>
      <c r="U403" s="179"/>
      <c r="V403" s="179"/>
      <c r="W403" s="179"/>
    </row>
    <row r="404" spans="1:23">
      <c r="A404" s="179"/>
      <c r="B404" s="179"/>
      <c r="C404" s="179"/>
      <c r="D404" s="179"/>
      <c r="E404" s="179"/>
      <c r="F404" s="179"/>
      <c r="G404" s="179"/>
      <c r="H404" s="179"/>
      <c r="I404" s="179"/>
      <c r="J404" s="179"/>
      <c r="K404" s="179"/>
      <c r="L404" s="179"/>
      <c r="M404" s="179"/>
      <c r="N404" s="179"/>
      <c r="O404" s="179"/>
      <c r="P404" s="179"/>
      <c r="Q404" s="179"/>
      <c r="R404" s="179"/>
      <c r="S404" s="179"/>
      <c r="T404" s="179"/>
      <c r="U404" s="179"/>
      <c r="V404" s="179"/>
      <c r="W404" s="179"/>
    </row>
    <row r="405" spans="1:23">
      <c r="A405" s="179"/>
      <c r="B405" s="179"/>
      <c r="C405" s="179"/>
      <c r="D405" s="179"/>
      <c r="E405" s="179"/>
      <c r="F405" s="179"/>
      <c r="G405" s="179"/>
      <c r="H405" s="179"/>
      <c r="I405" s="179"/>
      <c r="J405" s="179"/>
      <c r="K405" s="179"/>
      <c r="L405" s="179"/>
      <c r="M405" s="179"/>
      <c r="N405" s="179"/>
      <c r="O405" s="179"/>
      <c r="P405" s="179"/>
      <c r="Q405" s="179"/>
      <c r="R405" s="179"/>
      <c r="S405" s="179"/>
      <c r="T405" s="179"/>
      <c r="U405" s="179"/>
      <c r="V405" s="179"/>
      <c r="W405" s="179"/>
    </row>
    <row r="406" spans="1:23">
      <c r="A406" s="179"/>
      <c r="B406" s="179"/>
      <c r="C406" s="179"/>
      <c r="D406" s="179"/>
      <c r="E406" s="179"/>
      <c r="F406" s="179"/>
      <c r="G406" s="179"/>
      <c r="H406" s="179"/>
      <c r="I406" s="179"/>
      <c r="J406" s="179"/>
      <c r="K406" s="179"/>
      <c r="L406" s="179"/>
      <c r="M406" s="179"/>
      <c r="N406" s="179"/>
      <c r="O406" s="179"/>
      <c r="P406" s="179"/>
      <c r="Q406" s="179"/>
      <c r="R406" s="179"/>
      <c r="S406" s="179"/>
      <c r="T406" s="179"/>
      <c r="U406" s="179"/>
      <c r="V406" s="179"/>
      <c r="W406" s="179"/>
    </row>
    <row r="407" spans="1:23">
      <c r="A407" s="179"/>
      <c r="B407" s="179"/>
      <c r="C407" s="179"/>
      <c r="D407" s="179"/>
      <c r="E407" s="179"/>
      <c r="F407" s="179"/>
      <c r="G407" s="179"/>
      <c r="H407" s="179"/>
      <c r="I407" s="179"/>
      <c r="J407" s="179"/>
      <c r="K407" s="179"/>
      <c r="L407" s="179"/>
      <c r="M407" s="179"/>
      <c r="N407" s="179"/>
      <c r="O407" s="179"/>
      <c r="P407" s="179"/>
      <c r="Q407" s="179"/>
      <c r="R407" s="179"/>
      <c r="S407" s="179"/>
      <c r="T407" s="179"/>
      <c r="U407" s="179"/>
      <c r="V407" s="179"/>
      <c r="W407" s="179"/>
    </row>
    <row r="408" spans="1:23">
      <c r="A408" s="179"/>
      <c r="B408" s="179"/>
      <c r="C408" s="179"/>
      <c r="D408" s="179"/>
      <c r="E408" s="179"/>
      <c r="F408" s="179"/>
      <c r="G408" s="179"/>
      <c r="H408" s="179"/>
      <c r="I408" s="179"/>
      <c r="J408" s="179"/>
      <c r="K408" s="179"/>
      <c r="L408" s="179"/>
      <c r="M408" s="179"/>
      <c r="N408" s="179"/>
      <c r="O408" s="179"/>
      <c r="P408" s="179"/>
      <c r="Q408" s="179"/>
      <c r="R408" s="179"/>
      <c r="S408" s="179"/>
      <c r="T408" s="179"/>
      <c r="U408" s="179"/>
      <c r="V408" s="179"/>
      <c r="W408" s="179"/>
    </row>
    <row r="409" spans="1:23">
      <c r="A409" s="179"/>
      <c r="B409" s="179"/>
      <c r="C409" s="179"/>
      <c r="D409" s="179"/>
      <c r="E409" s="179"/>
      <c r="F409" s="179"/>
      <c r="G409" s="179"/>
      <c r="H409" s="179"/>
      <c r="I409" s="179"/>
      <c r="J409" s="179"/>
      <c r="K409" s="179"/>
      <c r="L409" s="179"/>
      <c r="M409" s="179"/>
      <c r="N409" s="179"/>
      <c r="O409" s="179"/>
      <c r="P409" s="179"/>
      <c r="Q409" s="179"/>
      <c r="R409" s="179"/>
      <c r="S409" s="179"/>
      <c r="T409" s="179"/>
      <c r="U409" s="179"/>
      <c r="V409" s="179"/>
      <c r="W409" s="179"/>
    </row>
    <row r="410" spans="1:23">
      <c r="A410" s="179"/>
      <c r="B410" s="179"/>
      <c r="C410" s="179"/>
      <c r="D410" s="179"/>
      <c r="E410" s="179"/>
      <c r="F410" s="179"/>
      <c r="G410" s="179"/>
      <c r="H410" s="179"/>
      <c r="I410" s="179"/>
      <c r="J410" s="179"/>
      <c r="K410" s="179"/>
      <c r="L410" s="179"/>
      <c r="M410" s="179"/>
      <c r="N410" s="179"/>
      <c r="O410" s="179"/>
      <c r="P410" s="179"/>
      <c r="Q410" s="179"/>
      <c r="R410" s="179"/>
      <c r="S410" s="179"/>
      <c r="T410" s="179"/>
      <c r="U410" s="179"/>
      <c r="V410" s="179"/>
      <c r="W410" s="179"/>
    </row>
    <row r="411" spans="1:23">
      <c r="A411" s="179"/>
      <c r="B411" s="179"/>
      <c r="C411" s="179"/>
      <c r="D411" s="179"/>
      <c r="E411" s="179"/>
      <c r="F411" s="179"/>
      <c r="G411" s="179"/>
      <c r="H411" s="179"/>
      <c r="I411" s="179"/>
      <c r="J411" s="179"/>
      <c r="K411" s="179"/>
      <c r="L411" s="179"/>
      <c r="M411" s="179"/>
      <c r="N411" s="179"/>
      <c r="O411" s="179"/>
      <c r="P411" s="179"/>
      <c r="Q411" s="179"/>
      <c r="R411" s="179"/>
      <c r="S411" s="179"/>
      <c r="T411" s="179"/>
      <c r="U411" s="179"/>
      <c r="V411" s="179"/>
      <c r="W411" s="179"/>
    </row>
    <row r="412" spans="1:23">
      <c r="A412" s="179"/>
      <c r="B412" s="179"/>
      <c r="C412" s="179"/>
      <c r="D412" s="179"/>
      <c r="E412" s="179"/>
      <c r="F412" s="179"/>
      <c r="G412" s="179"/>
      <c r="H412" s="179"/>
      <c r="I412" s="179"/>
      <c r="J412" s="179"/>
      <c r="K412" s="179"/>
      <c r="L412" s="179"/>
      <c r="M412" s="179"/>
      <c r="N412" s="179"/>
      <c r="O412" s="179"/>
      <c r="P412" s="179"/>
      <c r="Q412" s="179"/>
      <c r="R412" s="179"/>
      <c r="S412" s="179"/>
      <c r="T412" s="179"/>
      <c r="U412" s="179"/>
      <c r="V412" s="179"/>
      <c r="W412" s="179"/>
    </row>
    <row r="413" spans="1:23">
      <c r="A413" s="179"/>
      <c r="B413" s="179"/>
      <c r="C413" s="179"/>
      <c r="D413" s="179"/>
      <c r="E413" s="179"/>
      <c r="F413" s="179"/>
      <c r="G413" s="179"/>
      <c r="H413" s="179"/>
      <c r="I413" s="179"/>
      <c r="J413" s="179"/>
      <c r="K413" s="179"/>
      <c r="L413" s="179"/>
      <c r="M413" s="179"/>
      <c r="N413" s="179"/>
      <c r="O413" s="179"/>
      <c r="P413" s="179"/>
      <c r="Q413" s="179"/>
      <c r="R413" s="179"/>
      <c r="S413" s="179"/>
      <c r="T413" s="179"/>
      <c r="U413" s="179"/>
      <c r="V413" s="179"/>
      <c r="W413" s="179"/>
    </row>
    <row r="414" spans="1:23">
      <c r="A414" s="179"/>
      <c r="B414" s="179"/>
      <c r="C414" s="179"/>
      <c r="D414" s="179"/>
      <c r="E414" s="179"/>
      <c r="F414" s="179"/>
      <c r="G414" s="179"/>
      <c r="H414" s="179"/>
      <c r="I414" s="179"/>
      <c r="J414" s="179"/>
      <c r="K414" s="179"/>
      <c r="L414" s="179"/>
      <c r="M414" s="179"/>
      <c r="N414" s="179"/>
      <c r="O414" s="179"/>
      <c r="P414" s="179"/>
      <c r="Q414" s="179"/>
      <c r="R414" s="179"/>
      <c r="S414" s="179"/>
      <c r="T414" s="179"/>
      <c r="U414" s="179"/>
      <c r="V414" s="179"/>
      <c r="W414" s="179"/>
    </row>
    <row r="415" spans="1:23">
      <c r="A415" s="179"/>
      <c r="B415" s="179"/>
      <c r="C415" s="179"/>
      <c r="D415" s="179"/>
      <c r="E415" s="179"/>
      <c r="F415" s="179"/>
      <c r="G415" s="179"/>
      <c r="H415" s="179"/>
      <c r="I415" s="179"/>
      <c r="J415" s="179"/>
      <c r="K415" s="179"/>
      <c r="L415" s="179"/>
      <c r="M415" s="179"/>
      <c r="N415" s="179"/>
      <c r="O415" s="179"/>
      <c r="P415" s="179"/>
      <c r="Q415" s="179"/>
      <c r="R415" s="179"/>
      <c r="S415" s="179"/>
      <c r="T415" s="179"/>
      <c r="U415" s="179"/>
      <c r="V415" s="179"/>
      <c r="W415" s="179"/>
    </row>
    <row r="416" spans="1:23">
      <c r="A416" s="179"/>
      <c r="B416" s="179"/>
      <c r="C416" s="179"/>
      <c r="D416" s="179"/>
      <c r="E416" s="179"/>
      <c r="F416" s="179"/>
      <c r="G416" s="179"/>
      <c r="H416" s="179"/>
      <c r="I416" s="179"/>
      <c r="J416" s="179"/>
      <c r="K416" s="179"/>
      <c r="L416" s="179"/>
      <c r="M416" s="179"/>
      <c r="N416" s="179"/>
      <c r="O416" s="179"/>
      <c r="P416" s="179"/>
      <c r="Q416" s="179"/>
      <c r="R416" s="179"/>
      <c r="S416" s="179"/>
      <c r="T416" s="179"/>
      <c r="U416" s="179"/>
      <c r="V416" s="179"/>
      <c r="W416" s="179"/>
    </row>
    <row r="417" spans="1:23">
      <c r="A417" s="179"/>
      <c r="B417" s="179"/>
      <c r="C417" s="179"/>
      <c r="D417" s="179"/>
      <c r="E417" s="179"/>
      <c r="F417" s="179"/>
      <c r="G417" s="179"/>
      <c r="H417" s="179"/>
      <c r="I417" s="179"/>
      <c r="J417" s="179"/>
      <c r="K417" s="179"/>
      <c r="L417" s="179"/>
      <c r="M417" s="179"/>
      <c r="N417" s="179"/>
      <c r="O417" s="179"/>
      <c r="P417" s="179"/>
      <c r="Q417" s="179"/>
      <c r="R417" s="179"/>
      <c r="S417" s="179"/>
      <c r="T417" s="179"/>
      <c r="U417" s="179"/>
      <c r="V417" s="179"/>
      <c r="W417" s="179"/>
    </row>
    <row r="418" spans="1:23">
      <c r="A418" s="179"/>
      <c r="B418" s="179"/>
      <c r="C418" s="179"/>
      <c r="D418" s="179"/>
      <c r="E418" s="179"/>
      <c r="F418" s="179"/>
      <c r="G418" s="179"/>
      <c r="H418" s="179"/>
      <c r="I418" s="179"/>
      <c r="J418" s="179"/>
      <c r="K418" s="179"/>
      <c r="L418" s="179"/>
      <c r="M418" s="179"/>
      <c r="N418" s="179"/>
      <c r="O418" s="179"/>
      <c r="P418" s="179"/>
      <c r="Q418" s="179"/>
      <c r="R418" s="179"/>
      <c r="S418" s="179"/>
      <c r="T418" s="179"/>
      <c r="U418" s="179"/>
      <c r="V418" s="179"/>
      <c r="W418" s="179"/>
    </row>
    <row r="419" spans="1:23">
      <c r="A419" s="179"/>
      <c r="B419" s="179"/>
      <c r="C419" s="179"/>
      <c r="D419" s="179"/>
      <c r="E419" s="179"/>
      <c r="F419" s="179"/>
      <c r="G419" s="179"/>
      <c r="H419" s="179"/>
      <c r="I419" s="179"/>
      <c r="J419" s="179"/>
      <c r="K419" s="179"/>
      <c r="L419" s="179"/>
      <c r="M419" s="179"/>
      <c r="N419" s="179"/>
      <c r="O419" s="179"/>
      <c r="P419" s="179"/>
      <c r="Q419" s="179"/>
      <c r="R419" s="179"/>
      <c r="S419" s="179"/>
      <c r="T419" s="179"/>
      <c r="U419" s="179"/>
      <c r="V419" s="179"/>
      <c r="W419" s="179"/>
    </row>
    <row r="420" spans="1:23">
      <c r="A420" s="179"/>
      <c r="B420" s="179"/>
      <c r="C420" s="179"/>
      <c r="D420" s="179"/>
      <c r="E420" s="179"/>
      <c r="F420" s="179"/>
      <c r="G420" s="179"/>
      <c r="H420" s="179"/>
      <c r="I420" s="179"/>
      <c r="J420" s="179"/>
      <c r="K420" s="179"/>
      <c r="L420" s="179"/>
      <c r="M420" s="179"/>
      <c r="N420" s="179"/>
      <c r="O420" s="179"/>
      <c r="P420" s="179"/>
      <c r="Q420" s="179"/>
      <c r="R420" s="179"/>
      <c r="S420" s="179"/>
      <c r="T420" s="179"/>
      <c r="U420" s="179"/>
      <c r="V420" s="179"/>
      <c r="W420" s="179"/>
    </row>
    <row r="421" spans="1:23">
      <c r="A421" s="179"/>
      <c r="B421" s="179"/>
      <c r="C421" s="179"/>
      <c r="D421" s="179"/>
      <c r="E421" s="179"/>
      <c r="F421" s="179"/>
      <c r="G421" s="179"/>
      <c r="H421" s="179"/>
      <c r="I421" s="179"/>
      <c r="J421" s="179"/>
      <c r="K421" s="179"/>
      <c r="L421" s="179"/>
      <c r="M421" s="179"/>
      <c r="N421" s="179"/>
      <c r="O421" s="179"/>
      <c r="P421" s="179"/>
      <c r="Q421" s="179"/>
      <c r="R421" s="179"/>
      <c r="S421" s="179"/>
      <c r="T421" s="179"/>
      <c r="U421" s="179"/>
      <c r="V421" s="179"/>
      <c r="W421" s="179"/>
    </row>
    <row r="422" spans="1:23">
      <c r="A422" s="179"/>
      <c r="B422" s="179"/>
      <c r="C422" s="179"/>
      <c r="D422" s="179"/>
      <c r="E422" s="179"/>
      <c r="F422" s="179"/>
      <c r="G422" s="179"/>
      <c r="H422" s="179"/>
      <c r="I422" s="179"/>
      <c r="J422" s="179"/>
      <c r="K422" s="179"/>
      <c r="L422" s="179"/>
      <c r="M422" s="179"/>
      <c r="N422" s="179"/>
      <c r="O422" s="179"/>
      <c r="P422" s="179"/>
      <c r="Q422" s="179"/>
      <c r="R422" s="179"/>
      <c r="S422" s="179"/>
      <c r="T422" s="179"/>
      <c r="U422" s="179"/>
      <c r="V422" s="179"/>
      <c r="W422" s="179"/>
    </row>
    <row r="423" spans="1:23">
      <c r="A423" s="179"/>
      <c r="B423" s="179"/>
      <c r="C423" s="179"/>
      <c r="D423" s="179"/>
      <c r="E423" s="179"/>
      <c r="F423" s="179"/>
      <c r="G423" s="179"/>
      <c r="H423" s="179"/>
      <c r="I423" s="179"/>
      <c r="J423" s="179"/>
      <c r="K423" s="179"/>
      <c r="L423" s="179"/>
      <c r="M423" s="179"/>
      <c r="N423" s="179"/>
      <c r="O423" s="179"/>
      <c r="P423" s="179"/>
      <c r="Q423" s="179"/>
      <c r="R423" s="179"/>
      <c r="S423" s="179"/>
      <c r="T423" s="179"/>
      <c r="U423" s="179"/>
      <c r="V423" s="179"/>
      <c r="W423" s="179"/>
    </row>
    <row r="424" spans="1:23">
      <c r="A424" s="179"/>
      <c r="B424" s="179"/>
      <c r="C424" s="179"/>
      <c r="D424" s="179"/>
      <c r="E424" s="179"/>
      <c r="F424" s="179"/>
      <c r="G424" s="179"/>
      <c r="H424" s="179"/>
      <c r="I424" s="179"/>
      <c r="J424" s="179"/>
      <c r="K424" s="179"/>
      <c r="L424" s="179"/>
      <c r="M424" s="179"/>
      <c r="N424" s="179"/>
      <c r="O424" s="179"/>
      <c r="P424" s="179"/>
      <c r="Q424" s="179"/>
      <c r="R424" s="179"/>
      <c r="S424" s="179"/>
      <c r="T424" s="179"/>
      <c r="U424" s="179"/>
      <c r="V424" s="179"/>
      <c r="W424" s="179"/>
    </row>
    <row r="425" spans="1:23">
      <c r="A425" s="179"/>
      <c r="B425" s="179"/>
      <c r="C425" s="179"/>
      <c r="D425" s="179"/>
      <c r="E425" s="179"/>
      <c r="F425" s="179"/>
      <c r="G425" s="179"/>
      <c r="H425" s="179"/>
      <c r="I425" s="179"/>
      <c r="J425" s="179"/>
      <c r="K425" s="179"/>
      <c r="L425" s="179"/>
      <c r="M425" s="179"/>
      <c r="N425" s="179"/>
      <c r="O425" s="179"/>
      <c r="P425" s="179"/>
      <c r="Q425" s="179"/>
      <c r="R425" s="179"/>
      <c r="S425" s="179"/>
      <c r="T425" s="179"/>
      <c r="U425" s="179"/>
      <c r="V425" s="179"/>
      <c r="W425" s="179"/>
    </row>
    <row r="426" spans="1:23">
      <c r="A426" s="179"/>
      <c r="B426" s="179"/>
      <c r="C426" s="179"/>
      <c r="D426" s="179"/>
      <c r="E426" s="179"/>
      <c r="F426" s="179"/>
      <c r="G426" s="179"/>
      <c r="H426" s="179"/>
      <c r="I426" s="179"/>
      <c r="J426" s="179"/>
      <c r="K426" s="179"/>
      <c r="L426" s="179"/>
      <c r="M426" s="179"/>
      <c r="N426" s="179"/>
      <c r="O426" s="179"/>
      <c r="P426" s="179"/>
      <c r="Q426" s="179"/>
      <c r="R426" s="179"/>
      <c r="S426" s="179"/>
      <c r="T426" s="179"/>
      <c r="U426" s="179"/>
      <c r="V426" s="179"/>
      <c r="W426" s="179"/>
    </row>
    <row r="427" spans="1:23">
      <c r="A427" s="179"/>
      <c r="B427" s="179"/>
      <c r="C427" s="179"/>
      <c r="D427" s="179"/>
      <c r="E427" s="179"/>
      <c r="F427" s="179"/>
      <c r="G427" s="179"/>
      <c r="H427" s="179"/>
      <c r="I427" s="179"/>
      <c r="J427" s="179"/>
      <c r="K427" s="179"/>
      <c r="L427" s="179"/>
      <c r="M427" s="179"/>
      <c r="N427" s="179"/>
      <c r="O427" s="179"/>
      <c r="P427" s="179"/>
      <c r="Q427" s="179"/>
      <c r="R427" s="179"/>
      <c r="S427" s="179"/>
      <c r="T427" s="179"/>
      <c r="U427" s="179"/>
      <c r="V427" s="179"/>
      <c r="W427" s="179"/>
    </row>
    <row r="428" spans="1:23">
      <c r="A428" s="179"/>
      <c r="B428" s="179"/>
      <c r="C428" s="179"/>
      <c r="D428" s="179"/>
      <c r="E428" s="179"/>
      <c r="F428" s="179"/>
      <c r="G428" s="179"/>
      <c r="H428" s="179"/>
      <c r="I428" s="179"/>
      <c r="J428" s="179"/>
      <c r="K428" s="179"/>
      <c r="L428" s="179"/>
      <c r="M428" s="179"/>
      <c r="N428" s="179"/>
      <c r="O428" s="179"/>
      <c r="P428" s="179"/>
      <c r="Q428" s="179"/>
      <c r="R428" s="179"/>
      <c r="S428" s="179"/>
      <c r="T428" s="179"/>
      <c r="U428" s="179"/>
      <c r="V428" s="179"/>
      <c r="W428" s="179"/>
    </row>
    <row r="429" spans="1:23">
      <c r="A429" s="179"/>
      <c r="B429" s="179"/>
      <c r="C429" s="179"/>
      <c r="D429" s="179"/>
      <c r="E429" s="179"/>
      <c r="F429" s="179"/>
      <c r="G429" s="179"/>
      <c r="H429" s="179"/>
      <c r="I429" s="179"/>
      <c r="J429" s="179"/>
      <c r="K429" s="179"/>
      <c r="L429" s="179"/>
      <c r="M429" s="179"/>
      <c r="N429" s="179"/>
      <c r="O429" s="179"/>
      <c r="P429" s="179"/>
      <c r="Q429" s="179"/>
      <c r="R429" s="179"/>
      <c r="S429" s="179"/>
      <c r="T429" s="179"/>
      <c r="U429" s="179"/>
      <c r="V429" s="179"/>
      <c r="W429" s="179"/>
    </row>
    <row r="430" spans="1:23">
      <c r="A430" s="179"/>
      <c r="B430" s="179"/>
      <c r="C430" s="179"/>
      <c r="D430" s="179"/>
      <c r="E430" s="179"/>
      <c r="F430" s="179"/>
      <c r="G430" s="179"/>
      <c r="H430" s="179"/>
      <c r="I430" s="179"/>
      <c r="J430" s="179"/>
      <c r="K430" s="179"/>
      <c r="L430" s="179"/>
      <c r="M430" s="179"/>
      <c r="N430" s="179"/>
      <c r="O430" s="179"/>
      <c r="P430" s="179"/>
      <c r="Q430" s="179"/>
      <c r="R430" s="179"/>
      <c r="S430" s="179"/>
      <c r="T430" s="179"/>
      <c r="U430" s="179"/>
      <c r="V430" s="179"/>
      <c r="W430" s="179"/>
    </row>
    <row r="431" spans="1:23">
      <c r="A431" s="179"/>
      <c r="B431" s="179"/>
      <c r="C431" s="179"/>
      <c r="D431" s="179"/>
      <c r="E431" s="179"/>
      <c r="F431" s="179"/>
      <c r="G431" s="179"/>
      <c r="H431" s="179"/>
      <c r="I431" s="179"/>
      <c r="J431" s="179"/>
      <c r="K431" s="179"/>
      <c r="L431" s="179"/>
      <c r="M431" s="179"/>
      <c r="N431" s="179"/>
      <c r="O431" s="179"/>
      <c r="P431" s="179"/>
      <c r="Q431" s="179"/>
      <c r="R431" s="179"/>
      <c r="S431" s="179"/>
      <c r="T431" s="179"/>
      <c r="U431" s="179"/>
      <c r="V431" s="179"/>
      <c r="W431" s="179"/>
    </row>
    <row r="432" spans="1:23">
      <c r="A432" s="179"/>
      <c r="B432" s="179"/>
      <c r="C432" s="179"/>
      <c r="D432" s="179"/>
      <c r="E432" s="179"/>
      <c r="F432" s="179"/>
      <c r="G432" s="179"/>
      <c r="H432" s="179"/>
      <c r="I432" s="179"/>
      <c r="J432" s="179"/>
      <c r="K432" s="179"/>
      <c r="L432" s="179"/>
      <c r="M432" s="179"/>
      <c r="N432" s="179"/>
      <c r="O432" s="179"/>
      <c r="P432" s="179"/>
      <c r="Q432" s="179"/>
      <c r="R432" s="179"/>
      <c r="S432" s="179"/>
      <c r="T432" s="179"/>
      <c r="U432" s="179"/>
      <c r="V432" s="179"/>
      <c r="W432" s="179"/>
    </row>
    <row r="433" spans="1:23">
      <c r="A433" s="179"/>
      <c r="B433" s="179"/>
      <c r="C433" s="179"/>
      <c r="D433" s="179"/>
      <c r="E433" s="179"/>
      <c r="F433" s="179"/>
      <c r="G433" s="179"/>
      <c r="H433" s="179"/>
      <c r="I433" s="179"/>
      <c r="J433" s="179"/>
      <c r="K433" s="179"/>
      <c r="L433" s="179"/>
      <c r="M433" s="179"/>
      <c r="N433" s="179"/>
      <c r="O433" s="179"/>
      <c r="P433" s="179"/>
      <c r="Q433" s="179"/>
      <c r="R433" s="179"/>
      <c r="S433" s="179"/>
      <c r="T433" s="179"/>
      <c r="U433" s="179"/>
      <c r="V433" s="179"/>
      <c r="W433" s="179"/>
    </row>
    <row r="434" spans="1:23">
      <c r="A434" s="179"/>
      <c r="B434" s="179"/>
      <c r="C434" s="179"/>
      <c r="D434" s="179"/>
      <c r="E434" s="179"/>
      <c r="F434" s="179"/>
      <c r="G434" s="179"/>
      <c r="H434" s="179"/>
      <c r="I434" s="179"/>
      <c r="J434" s="179"/>
      <c r="K434" s="179"/>
      <c r="L434" s="179"/>
      <c r="M434" s="179"/>
      <c r="N434" s="179"/>
      <c r="O434" s="179"/>
      <c r="P434" s="179"/>
      <c r="Q434" s="179"/>
      <c r="R434" s="179"/>
      <c r="S434" s="179"/>
      <c r="T434" s="179"/>
      <c r="U434" s="179"/>
      <c r="V434" s="179"/>
      <c r="W434" s="179"/>
    </row>
    <row r="435" spans="1:23">
      <c r="A435" s="179"/>
      <c r="B435" s="179"/>
      <c r="C435" s="179"/>
      <c r="D435" s="179"/>
      <c r="E435" s="179"/>
      <c r="F435" s="179"/>
      <c r="G435" s="179"/>
      <c r="H435" s="179"/>
      <c r="I435" s="179"/>
      <c r="J435" s="179"/>
      <c r="K435" s="179"/>
      <c r="L435" s="179"/>
      <c r="M435" s="179"/>
      <c r="N435" s="179"/>
      <c r="O435" s="179"/>
      <c r="P435" s="179"/>
      <c r="Q435" s="179"/>
      <c r="R435" s="179"/>
      <c r="S435" s="179"/>
      <c r="T435" s="179"/>
      <c r="U435" s="179"/>
      <c r="V435" s="179"/>
      <c r="W435" s="179"/>
    </row>
    <row r="436" spans="1:23">
      <c r="A436" s="179"/>
      <c r="B436" s="179"/>
      <c r="C436" s="179"/>
      <c r="D436" s="179"/>
      <c r="E436" s="179"/>
      <c r="F436" s="179"/>
      <c r="G436" s="179"/>
      <c r="H436" s="179"/>
      <c r="I436" s="179"/>
      <c r="J436" s="179"/>
      <c r="K436" s="179"/>
      <c r="L436" s="179"/>
      <c r="M436" s="179"/>
      <c r="N436" s="179"/>
      <c r="O436" s="179"/>
      <c r="P436" s="179"/>
      <c r="Q436" s="179"/>
      <c r="R436" s="179"/>
      <c r="S436" s="179"/>
      <c r="T436" s="179"/>
      <c r="U436" s="179"/>
      <c r="V436" s="179"/>
      <c r="W436" s="179"/>
    </row>
    <row r="437" spans="1:23">
      <c r="A437" s="179"/>
      <c r="B437" s="179"/>
      <c r="C437" s="179"/>
      <c r="D437" s="179"/>
      <c r="E437" s="179"/>
      <c r="F437" s="179"/>
      <c r="G437" s="179"/>
      <c r="H437" s="179"/>
      <c r="I437" s="179"/>
      <c r="J437" s="179"/>
      <c r="K437" s="179"/>
      <c r="L437" s="179"/>
      <c r="M437" s="179"/>
      <c r="N437" s="179"/>
      <c r="O437" s="179"/>
      <c r="P437" s="179"/>
      <c r="Q437" s="179"/>
      <c r="R437" s="179"/>
      <c r="S437" s="179"/>
      <c r="T437" s="179"/>
      <c r="U437" s="179"/>
      <c r="V437" s="179"/>
      <c r="W437" s="179"/>
    </row>
    <row r="438" spans="1:23">
      <c r="A438" s="179"/>
      <c r="B438" s="179"/>
      <c r="C438" s="179"/>
      <c r="D438" s="179"/>
      <c r="E438" s="179"/>
      <c r="F438" s="179"/>
      <c r="G438" s="179"/>
      <c r="H438" s="179"/>
      <c r="I438" s="179"/>
      <c r="J438" s="179"/>
      <c r="K438" s="179"/>
      <c r="L438" s="179"/>
      <c r="M438" s="179"/>
      <c r="N438" s="179"/>
      <c r="O438" s="179"/>
      <c r="P438" s="179"/>
      <c r="Q438" s="179"/>
      <c r="R438" s="179"/>
      <c r="S438" s="179"/>
      <c r="T438" s="179"/>
      <c r="U438" s="179"/>
      <c r="V438" s="179"/>
      <c r="W438" s="179"/>
    </row>
    <row r="439" spans="1:23">
      <c r="A439" s="179"/>
      <c r="B439" s="179"/>
      <c r="C439" s="179"/>
      <c r="D439" s="179"/>
      <c r="E439" s="179"/>
      <c r="F439" s="179"/>
      <c r="G439" s="179"/>
      <c r="H439" s="179"/>
      <c r="I439" s="179"/>
      <c r="J439" s="179"/>
      <c r="K439" s="179"/>
      <c r="L439" s="179"/>
      <c r="M439" s="179"/>
      <c r="N439" s="179"/>
      <c r="O439" s="179"/>
      <c r="P439" s="179"/>
      <c r="Q439" s="179"/>
      <c r="R439" s="179"/>
      <c r="S439" s="179"/>
      <c r="T439" s="179"/>
      <c r="U439" s="179"/>
      <c r="V439" s="179"/>
      <c r="W439" s="179"/>
    </row>
    <row r="440" spans="1:23">
      <c r="A440" s="179"/>
      <c r="B440" s="179"/>
      <c r="C440" s="179"/>
      <c r="D440" s="179"/>
      <c r="E440" s="179"/>
      <c r="F440" s="179"/>
      <c r="G440" s="179"/>
      <c r="H440" s="179"/>
      <c r="I440" s="179"/>
      <c r="J440" s="179"/>
      <c r="K440" s="179"/>
      <c r="L440" s="179"/>
      <c r="M440" s="179"/>
      <c r="N440" s="179"/>
      <c r="O440" s="179"/>
      <c r="P440" s="179"/>
      <c r="Q440" s="179"/>
      <c r="R440" s="179"/>
      <c r="S440" s="179"/>
      <c r="T440" s="179"/>
      <c r="U440" s="179"/>
      <c r="V440" s="179"/>
      <c r="W440" s="179"/>
    </row>
    <row r="441" spans="1:23">
      <c r="A441" s="179"/>
      <c r="B441" s="179"/>
      <c r="C441" s="179"/>
      <c r="D441" s="179"/>
      <c r="E441" s="179"/>
      <c r="F441" s="179"/>
      <c r="G441" s="179"/>
      <c r="H441" s="179"/>
      <c r="I441" s="179"/>
      <c r="J441" s="179"/>
      <c r="K441" s="179"/>
      <c r="L441" s="179"/>
      <c r="M441" s="179"/>
      <c r="N441" s="179"/>
      <c r="O441" s="179"/>
      <c r="P441" s="179"/>
      <c r="Q441" s="179"/>
      <c r="R441" s="179"/>
      <c r="S441" s="179"/>
      <c r="T441" s="179"/>
      <c r="U441" s="179"/>
      <c r="V441" s="179"/>
      <c r="W441" s="179"/>
    </row>
    <row r="442" spans="1:23">
      <c r="A442" s="179"/>
      <c r="B442" s="179"/>
      <c r="C442" s="179"/>
      <c r="D442" s="179"/>
      <c r="E442" s="179"/>
      <c r="F442" s="179"/>
      <c r="G442" s="179"/>
      <c r="H442" s="179"/>
      <c r="I442" s="179"/>
      <c r="J442" s="179"/>
      <c r="K442" s="179"/>
      <c r="L442" s="179"/>
      <c r="M442" s="179"/>
      <c r="N442" s="179"/>
      <c r="O442" s="179"/>
      <c r="P442" s="179"/>
      <c r="Q442" s="179"/>
      <c r="R442" s="179"/>
      <c r="S442" s="179"/>
      <c r="T442" s="179"/>
      <c r="U442" s="179"/>
      <c r="V442" s="179"/>
      <c r="W442" s="179"/>
    </row>
    <row r="443" spans="1:23">
      <c r="A443" s="179"/>
      <c r="B443" s="179"/>
      <c r="C443" s="179"/>
      <c r="D443" s="179"/>
      <c r="E443" s="179"/>
      <c r="F443" s="179"/>
      <c r="G443" s="179"/>
      <c r="H443" s="179"/>
      <c r="I443" s="179"/>
      <c r="J443" s="179"/>
      <c r="K443" s="179"/>
      <c r="L443" s="179"/>
      <c r="M443" s="179"/>
      <c r="N443" s="179"/>
      <c r="O443" s="179"/>
      <c r="P443" s="179"/>
      <c r="Q443" s="179"/>
      <c r="R443" s="179"/>
      <c r="S443" s="179"/>
      <c r="T443" s="179"/>
      <c r="U443" s="179"/>
      <c r="V443" s="179"/>
      <c r="W443" s="179"/>
    </row>
    <row r="444" spans="1:23">
      <c r="A444" s="179"/>
      <c r="B444" s="179"/>
      <c r="C444" s="179"/>
      <c r="D444" s="179"/>
      <c r="E444" s="179"/>
      <c r="F444" s="179"/>
      <c r="G444" s="179"/>
      <c r="H444" s="179"/>
      <c r="I444" s="179"/>
      <c r="J444" s="179"/>
      <c r="K444" s="179"/>
      <c r="L444" s="179"/>
      <c r="M444" s="179"/>
      <c r="N444" s="179"/>
      <c r="O444" s="179"/>
      <c r="P444" s="179"/>
      <c r="Q444" s="179"/>
      <c r="R444" s="179"/>
      <c r="S444" s="179"/>
      <c r="T444" s="179"/>
      <c r="U444" s="179"/>
      <c r="V444" s="179"/>
      <c r="W444" s="179"/>
    </row>
    <row r="445" spans="1:23">
      <c r="A445" s="179"/>
      <c r="B445" s="179"/>
      <c r="C445" s="179"/>
      <c r="D445" s="179"/>
      <c r="E445" s="179"/>
      <c r="F445" s="179"/>
      <c r="G445" s="179"/>
      <c r="H445" s="179"/>
      <c r="I445" s="179"/>
      <c r="J445" s="179"/>
      <c r="K445" s="179"/>
      <c r="L445" s="179"/>
      <c r="M445" s="179"/>
      <c r="N445" s="179"/>
      <c r="O445" s="179"/>
      <c r="P445" s="179"/>
      <c r="Q445" s="179"/>
      <c r="R445" s="179"/>
      <c r="S445" s="179"/>
      <c r="T445" s="179"/>
      <c r="U445" s="179"/>
      <c r="V445" s="179"/>
      <c r="W445" s="179"/>
    </row>
    <row r="446" spans="1:23">
      <c r="A446" s="179"/>
      <c r="B446" s="179"/>
      <c r="C446" s="179"/>
      <c r="D446" s="179"/>
      <c r="E446" s="179"/>
      <c r="F446" s="179"/>
      <c r="G446" s="179"/>
      <c r="H446" s="179"/>
      <c r="I446" s="179"/>
      <c r="J446" s="179"/>
      <c r="K446" s="179"/>
      <c r="L446" s="179"/>
      <c r="M446" s="179"/>
      <c r="N446" s="179"/>
      <c r="O446" s="179"/>
      <c r="P446" s="179"/>
      <c r="Q446" s="179"/>
      <c r="R446" s="179"/>
      <c r="S446" s="179"/>
      <c r="T446" s="179"/>
      <c r="U446" s="179"/>
      <c r="V446" s="179"/>
      <c r="W446" s="179"/>
    </row>
    <row r="447" spans="1:23">
      <c r="A447" s="179"/>
      <c r="B447" s="179"/>
      <c r="C447" s="179"/>
      <c r="D447" s="179"/>
      <c r="E447" s="179"/>
      <c r="F447" s="179"/>
      <c r="G447" s="179"/>
      <c r="H447" s="179"/>
      <c r="I447" s="179"/>
      <c r="J447" s="179"/>
      <c r="K447" s="179"/>
      <c r="L447" s="179"/>
      <c r="M447" s="179"/>
      <c r="N447" s="179"/>
      <c r="O447" s="179"/>
      <c r="P447" s="179"/>
      <c r="Q447" s="179"/>
      <c r="R447" s="179"/>
      <c r="S447" s="179"/>
      <c r="T447" s="179"/>
      <c r="U447" s="179"/>
      <c r="V447" s="179"/>
      <c r="W447" s="179"/>
    </row>
    <row r="448" spans="1:23">
      <c r="A448" s="179"/>
      <c r="B448" s="179"/>
      <c r="C448" s="179"/>
      <c r="D448" s="179"/>
      <c r="E448" s="179"/>
      <c r="F448" s="179"/>
      <c r="G448" s="179"/>
      <c r="H448" s="179"/>
      <c r="I448" s="179"/>
      <c r="J448" s="179"/>
      <c r="K448" s="179"/>
      <c r="L448" s="179"/>
      <c r="M448" s="179"/>
      <c r="N448" s="179"/>
      <c r="O448" s="179"/>
      <c r="P448" s="179"/>
      <c r="Q448" s="179"/>
      <c r="R448" s="179"/>
      <c r="S448" s="179"/>
      <c r="T448" s="179"/>
      <c r="U448" s="179"/>
      <c r="V448" s="179"/>
      <c r="W448" s="179"/>
    </row>
    <row r="449" spans="1:23">
      <c r="A449" s="179"/>
      <c r="B449" s="179"/>
      <c r="C449" s="179"/>
      <c r="D449" s="179"/>
      <c r="E449" s="179"/>
      <c r="F449" s="179"/>
      <c r="G449" s="179"/>
      <c r="H449" s="179"/>
      <c r="I449" s="179"/>
      <c r="J449" s="179"/>
      <c r="K449" s="179"/>
      <c r="L449" s="179"/>
      <c r="M449" s="179"/>
      <c r="N449" s="179"/>
      <c r="O449" s="179"/>
      <c r="P449" s="179"/>
      <c r="Q449" s="179"/>
      <c r="R449" s="179"/>
      <c r="S449" s="179"/>
      <c r="T449" s="179"/>
      <c r="U449" s="179"/>
      <c r="V449" s="179"/>
      <c r="W449" s="179"/>
    </row>
    <row r="450" spans="1:23">
      <c r="A450" s="179"/>
      <c r="B450" s="179"/>
      <c r="C450" s="179"/>
      <c r="D450" s="179"/>
      <c r="E450" s="179"/>
      <c r="F450" s="179"/>
      <c r="G450" s="179"/>
      <c r="H450" s="179"/>
      <c r="I450" s="179"/>
      <c r="J450" s="179"/>
      <c r="K450" s="179"/>
      <c r="L450" s="179"/>
      <c r="M450" s="179"/>
      <c r="N450" s="179"/>
      <c r="O450" s="179"/>
      <c r="P450" s="179"/>
      <c r="Q450" s="179"/>
      <c r="R450" s="179"/>
      <c r="S450" s="179"/>
      <c r="T450" s="179"/>
      <c r="U450" s="179"/>
      <c r="V450" s="179"/>
      <c r="W450" s="179"/>
    </row>
    <row r="451" spans="1:23">
      <c r="A451" s="179"/>
      <c r="B451" s="179"/>
      <c r="C451" s="179"/>
      <c r="D451" s="179"/>
      <c r="E451" s="179"/>
      <c r="F451" s="179"/>
      <c r="G451" s="179"/>
      <c r="H451" s="179"/>
      <c r="I451" s="179"/>
      <c r="J451" s="179"/>
      <c r="K451" s="179"/>
      <c r="L451" s="179"/>
      <c r="M451" s="179"/>
      <c r="N451" s="179"/>
      <c r="O451" s="179"/>
      <c r="P451" s="179"/>
      <c r="Q451" s="179"/>
      <c r="R451" s="179"/>
      <c r="S451" s="179"/>
      <c r="T451" s="179"/>
      <c r="U451" s="179"/>
      <c r="V451" s="179"/>
      <c r="W451" s="179"/>
    </row>
    <row r="452" spans="1:23">
      <c r="A452" s="179"/>
      <c r="B452" s="179"/>
      <c r="C452" s="179"/>
      <c r="D452" s="179"/>
      <c r="E452" s="179"/>
      <c r="F452" s="179"/>
      <c r="G452" s="179"/>
      <c r="H452" s="179"/>
      <c r="I452" s="179"/>
      <c r="J452" s="179"/>
      <c r="K452" s="179"/>
      <c r="L452" s="179"/>
      <c r="M452" s="179"/>
      <c r="N452" s="179"/>
      <c r="O452" s="179"/>
      <c r="P452" s="179"/>
      <c r="Q452" s="179"/>
      <c r="R452" s="179"/>
      <c r="S452" s="179"/>
      <c r="T452" s="179"/>
      <c r="U452" s="179"/>
      <c r="V452" s="179"/>
      <c r="W452" s="179"/>
    </row>
    <row r="453" spans="1:23">
      <c r="A453" s="179"/>
      <c r="B453" s="179"/>
      <c r="C453" s="179"/>
      <c r="D453" s="179"/>
      <c r="E453" s="179"/>
      <c r="F453" s="179"/>
      <c r="G453" s="179"/>
      <c r="H453" s="179"/>
      <c r="I453" s="179"/>
      <c r="J453" s="179"/>
      <c r="K453" s="179"/>
      <c r="L453" s="179"/>
      <c r="M453" s="179"/>
      <c r="N453" s="179"/>
      <c r="O453" s="179"/>
      <c r="P453" s="179"/>
      <c r="Q453" s="179"/>
      <c r="R453" s="179"/>
      <c r="S453" s="179"/>
      <c r="T453" s="179"/>
      <c r="U453" s="179"/>
      <c r="V453" s="179"/>
      <c r="W453" s="179"/>
    </row>
    <row r="454" spans="1:23">
      <c r="A454" s="179"/>
      <c r="B454" s="179"/>
      <c r="C454" s="179"/>
      <c r="D454" s="179"/>
      <c r="E454" s="179"/>
      <c r="F454" s="179"/>
      <c r="G454" s="179"/>
      <c r="H454" s="179"/>
      <c r="I454" s="179"/>
      <c r="J454" s="179"/>
      <c r="K454" s="179"/>
      <c r="L454" s="179"/>
      <c r="M454" s="179"/>
      <c r="N454" s="179"/>
      <c r="O454" s="179"/>
      <c r="P454" s="179"/>
      <c r="Q454" s="179"/>
      <c r="R454" s="179"/>
      <c r="S454" s="179"/>
      <c r="T454" s="179"/>
      <c r="U454" s="179"/>
      <c r="V454" s="179"/>
      <c r="W454" s="179"/>
    </row>
    <row r="455" spans="1:23">
      <c r="A455" s="179"/>
      <c r="B455" s="179"/>
      <c r="C455" s="179"/>
      <c r="D455" s="179"/>
      <c r="E455" s="179"/>
      <c r="F455" s="179"/>
      <c r="G455" s="179"/>
      <c r="H455" s="179"/>
      <c r="I455" s="179"/>
      <c r="J455" s="179"/>
      <c r="K455" s="179"/>
      <c r="L455" s="179"/>
      <c r="M455" s="179"/>
      <c r="N455" s="179"/>
      <c r="O455" s="179"/>
      <c r="P455" s="179"/>
      <c r="Q455" s="179"/>
      <c r="R455" s="179"/>
      <c r="S455" s="179"/>
      <c r="T455" s="179"/>
      <c r="U455" s="179"/>
      <c r="V455" s="179"/>
      <c r="W455" s="179"/>
    </row>
    <row r="456" spans="1:23">
      <c r="A456" s="179"/>
      <c r="B456" s="179"/>
      <c r="C456" s="179"/>
      <c r="D456" s="179"/>
      <c r="E456" s="179"/>
      <c r="F456" s="179"/>
      <c r="G456" s="179"/>
      <c r="H456" s="179"/>
      <c r="I456" s="179"/>
      <c r="J456" s="179"/>
      <c r="K456" s="179"/>
      <c r="L456" s="179"/>
      <c r="M456" s="179"/>
      <c r="N456" s="179"/>
      <c r="O456" s="179"/>
      <c r="P456" s="179"/>
      <c r="Q456" s="179"/>
      <c r="R456" s="179"/>
      <c r="S456" s="179"/>
      <c r="T456" s="179"/>
      <c r="U456" s="179"/>
      <c r="V456" s="179"/>
      <c r="W456" s="179"/>
    </row>
    <row r="457" spans="1:23">
      <c r="A457" s="179"/>
      <c r="B457" s="179"/>
      <c r="C457" s="179"/>
      <c r="D457" s="179"/>
      <c r="E457" s="179"/>
      <c r="F457" s="179"/>
      <c r="G457" s="179"/>
      <c r="H457" s="179"/>
      <c r="I457" s="179"/>
      <c r="J457" s="179"/>
      <c r="K457" s="179"/>
      <c r="L457" s="179"/>
      <c r="M457" s="179"/>
      <c r="N457" s="179"/>
      <c r="O457" s="179"/>
      <c r="P457" s="179"/>
      <c r="Q457" s="179"/>
      <c r="R457" s="179"/>
      <c r="S457" s="179"/>
      <c r="T457" s="179"/>
      <c r="U457" s="179"/>
      <c r="V457" s="179"/>
      <c r="W457" s="179"/>
    </row>
    <row r="458" spans="1:23">
      <c r="A458" s="179"/>
      <c r="B458" s="179"/>
      <c r="C458" s="179"/>
      <c r="D458" s="179"/>
      <c r="E458" s="179"/>
      <c r="F458" s="179"/>
      <c r="G458" s="179"/>
      <c r="H458" s="179"/>
      <c r="I458" s="179"/>
      <c r="J458" s="179"/>
      <c r="K458" s="179"/>
      <c r="L458" s="179"/>
      <c r="M458" s="179"/>
      <c r="N458" s="179"/>
      <c r="O458" s="179"/>
      <c r="P458" s="179"/>
      <c r="Q458" s="179"/>
      <c r="R458" s="179"/>
      <c r="S458" s="179"/>
      <c r="T458" s="179"/>
      <c r="U458" s="179"/>
      <c r="V458" s="179"/>
      <c r="W458" s="179"/>
    </row>
    <row r="459" spans="1:23">
      <c r="A459" s="179"/>
      <c r="B459" s="179"/>
      <c r="C459" s="179"/>
      <c r="D459" s="179"/>
      <c r="E459" s="179"/>
      <c r="F459" s="179"/>
      <c r="G459" s="179"/>
      <c r="H459" s="179"/>
      <c r="I459" s="179"/>
      <c r="J459" s="179"/>
      <c r="K459" s="179"/>
      <c r="L459" s="179"/>
      <c r="M459" s="179"/>
      <c r="N459" s="179"/>
      <c r="O459" s="179"/>
      <c r="P459" s="179"/>
      <c r="Q459" s="179"/>
      <c r="R459" s="179"/>
      <c r="S459" s="179"/>
      <c r="T459" s="179"/>
      <c r="U459" s="179"/>
      <c r="V459" s="179"/>
      <c r="W459" s="179"/>
    </row>
    <row r="460" spans="1:23">
      <c r="A460" s="179"/>
      <c r="B460" s="179"/>
      <c r="C460" s="179"/>
      <c r="D460" s="179"/>
      <c r="E460" s="179"/>
      <c r="F460" s="179"/>
      <c r="G460" s="179"/>
      <c r="H460" s="179"/>
      <c r="I460" s="179"/>
      <c r="J460" s="179"/>
      <c r="K460" s="179"/>
      <c r="L460" s="179"/>
      <c r="M460" s="179"/>
      <c r="N460" s="179"/>
      <c r="O460" s="179"/>
      <c r="P460" s="179"/>
      <c r="Q460" s="179"/>
      <c r="R460" s="179"/>
      <c r="S460" s="179"/>
      <c r="T460" s="179"/>
      <c r="U460" s="179"/>
      <c r="V460" s="179"/>
      <c r="W460" s="179"/>
    </row>
    <row r="461" spans="1:23">
      <c r="A461" s="179"/>
      <c r="B461" s="179"/>
      <c r="C461" s="179"/>
      <c r="D461" s="179"/>
      <c r="E461" s="179"/>
      <c r="F461" s="179"/>
      <c r="G461" s="179"/>
      <c r="H461" s="179"/>
      <c r="I461" s="179"/>
      <c r="J461" s="179"/>
      <c r="K461" s="179"/>
      <c r="L461" s="179"/>
      <c r="M461" s="179"/>
      <c r="N461" s="179"/>
      <c r="O461" s="179"/>
      <c r="P461" s="179"/>
      <c r="Q461" s="179"/>
      <c r="R461" s="179"/>
      <c r="S461" s="179"/>
      <c r="T461" s="179"/>
      <c r="U461" s="179"/>
      <c r="V461" s="179"/>
      <c r="W461" s="179"/>
    </row>
    <row r="462" spans="1:23">
      <c r="A462" s="179"/>
      <c r="B462" s="179"/>
      <c r="C462" s="179"/>
      <c r="D462" s="179"/>
      <c r="E462" s="179"/>
      <c r="F462" s="179"/>
      <c r="G462" s="179"/>
      <c r="H462" s="179"/>
      <c r="I462" s="179"/>
      <c r="J462" s="179"/>
      <c r="K462" s="179"/>
      <c r="L462" s="179"/>
      <c r="M462" s="179"/>
      <c r="N462" s="179"/>
      <c r="O462" s="179"/>
      <c r="P462" s="179"/>
      <c r="Q462" s="179"/>
      <c r="R462" s="179"/>
      <c r="S462" s="179"/>
      <c r="T462" s="179"/>
      <c r="U462" s="179"/>
      <c r="V462" s="179"/>
      <c r="W462" s="179"/>
    </row>
    <row r="463" spans="1:23">
      <c r="A463" s="179"/>
      <c r="B463" s="179"/>
      <c r="C463" s="179"/>
      <c r="D463" s="179"/>
      <c r="E463" s="179"/>
      <c r="F463" s="179"/>
      <c r="G463" s="179"/>
      <c r="H463" s="179"/>
      <c r="I463" s="179"/>
      <c r="J463" s="179"/>
      <c r="K463" s="179"/>
      <c r="L463" s="179"/>
      <c r="M463" s="179"/>
      <c r="N463" s="179"/>
      <c r="O463" s="179"/>
      <c r="P463" s="179"/>
      <c r="Q463" s="179"/>
      <c r="R463" s="179"/>
      <c r="S463" s="179"/>
      <c r="T463" s="179"/>
      <c r="U463" s="179"/>
      <c r="V463" s="179"/>
      <c r="W463" s="179"/>
    </row>
    <row r="464" spans="1:23">
      <c r="A464" s="179"/>
      <c r="B464" s="179"/>
      <c r="C464" s="179"/>
      <c r="D464" s="179"/>
      <c r="E464" s="179"/>
      <c r="F464" s="179"/>
      <c r="G464" s="179"/>
      <c r="H464" s="179"/>
      <c r="I464" s="179"/>
      <c r="J464" s="179"/>
      <c r="K464" s="179"/>
      <c r="L464" s="179"/>
      <c r="M464" s="179"/>
      <c r="N464" s="179"/>
      <c r="O464" s="179"/>
      <c r="P464" s="179"/>
      <c r="Q464" s="179"/>
      <c r="R464" s="179"/>
      <c r="S464" s="179"/>
      <c r="T464" s="179"/>
      <c r="U464" s="179"/>
      <c r="V464" s="179"/>
      <c r="W464" s="179"/>
    </row>
    <row r="465" spans="1:23">
      <c r="A465" s="179"/>
      <c r="B465" s="179"/>
      <c r="C465" s="179"/>
      <c r="D465" s="179"/>
      <c r="E465" s="179"/>
      <c r="F465" s="179"/>
      <c r="G465" s="179"/>
      <c r="H465" s="179"/>
      <c r="I465" s="179"/>
      <c r="J465" s="179"/>
      <c r="K465" s="179"/>
      <c r="L465" s="179"/>
      <c r="M465" s="179"/>
      <c r="N465" s="179"/>
      <c r="O465" s="179"/>
      <c r="P465" s="179"/>
      <c r="Q465" s="179"/>
      <c r="R465" s="179"/>
      <c r="S465" s="179"/>
      <c r="T465" s="179"/>
      <c r="U465" s="179"/>
      <c r="V465" s="179"/>
      <c r="W465" s="179"/>
    </row>
    <row r="466" spans="1:23">
      <c r="A466" s="179"/>
      <c r="B466" s="179"/>
      <c r="C466" s="179"/>
      <c r="D466" s="179"/>
      <c r="E466" s="179"/>
      <c r="F466" s="179"/>
      <c r="G466" s="179"/>
      <c r="H466" s="179"/>
      <c r="I466" s="179"/>
      <c r="J466" s="179"/>
      <c r="K466" s="179"/>
      <c r="L466" s="179"/>
      <c r="M466" s="179"/>
      <c r="N466" s="179"/>
      <c r="O466" s="179"/>
      <c r="P466" s="179"/>
      <c r="Q466" s="179"/>
      <c r="R466" s="179"/>
      <c r="S466" s="179"/>
      <c r="T466" s="179"/>
      <c r="U466" s="179"/>
      <c r="V466" s="179"/>
      <c r="W466" s="179"/>
    </row>
    <row r="467" spans="1:23">
      <c r="A467" s="179"/>
      <c r="B467" s="179"/>
      <c r="C467" s="179"/>
      <c r="D467" s="179"/>
      <c r="E467" s="179"/>
      <c r="F467" s="179"/>
      <c r="G467" s="179"/>
      <c r="H467" s="179"/>
      <c r="I467" s="179"/>
      <c r="J467" s="179"/>
      <c r="K467" s="179"/>
      <c r="L467" s="179"/>
      <c r="M467" s="179"/>
      <c r="N467" s="179"/>
      <c r="O467" s="179"/>
      <c r="P467" s="179"/>
      <c r="Q467" s="179"/>
      <c r="R467" s="179"/>
      <c r="S467" s="179"/>
      <c r="T467" s="179"/>
      <c r="U467" s="179"/>
      <c r="V467" s="179"/>
      <c r="W467" s="179"/>
    </row>
    <row r="468" spans="1:23">
      <c r="A468" s="179"/>
      <c r="B468" s="179"/>
      <c r="C468" s="179"/>
      <c r="D468" s="179"/>
      <c r="E468" s="179"/>
      <c r="F468" s="179"/>
      <c r="G468" s="179"/>
      <c r="H468" s="179"/>
      <c r="I468" s="179"/>
      <c r="J468" s="179"/>
      <c r="K468" s="179"/>
      <c r="L468" s="179"/>
      <c r="M468" s="179"/>
      <c r="N468" s="179"/>
      <c r="O468" s="179"/>
      <c r="P468" s="179"/>
      <c r="Q468" s="179"/>
      <c r="R468" s="179"/>
      <c r="S468" s="179"/>
      <c r="T468" s="179"/>
      <c r="U468" s="179"/>
      <c r="V468" s="179"/>
      <c r="W468" s="179"/>
    </row>
    <row r="469" spans="1:23">
      <c r="A469" s="179"/>
      <c r="B469" s="179"/>
      <c r="C469" s="179"/>
      <c r="D469" s="179"/>
      <c r="E469" s="179"/>
      <c r="F469" s="179"/>
      <c r="G469" s="179"/>
      <c r="H469" s="179"/>
      <c r="I469" s="179"/>
      <c r="J469" s="179"/>
      <c r="K469" s="179"/>
      <c r="L469" s="179"/>
      <c r="M469" s="179"/>
      <c r="N469" s="179"/>
      <c r="O469" s="179"/>
      <c r="P469" s="179"/>
      <c r="Q469" s="179"/>
      <c r="R469" s="179"/>
      <c r="S469" s="179"/>
      <c r="T469" s="179"/>
      <c r="U469" s="179"/>
      <c r="V469" s="179"/>
      <c r="W469" s="179"/>
    </row>
    <row r="470" spans="1:23">
      <c r="A470" s="179"/>
      <c r="B470" s="179"/>
      <c r="C470" s="179"/>
      <c r="D470" s="179"/>
      <c r="E470" s="179"/>
      <c r="F470" s="179"/>
      <c r="G470" s="179"/>
      <c r="H470" s="179"/>
      <c r="I470" s="179"/>
      <c r="J470" s="179"/>
      <c r="K470" s="179"/>
      <c r="L470" s="179"/>
      <c r="M470" s="179"/>
      <c r="N470" s="179"/>
      <c r="O470" s="179"/>
      <c r="P470" s="179"/>
      <c r="Q470" s="179"/>
      <c r="R470" s="179"/>
      <c r="S470" s="179"/>
      <c r="T470" s="179"/>
      <c r="U470" s="179"/>
      <c r="V470" s="179"/>
      <c r="W470" s="179"/>
    </row>
    <row r="471" spans="1:23">
      <c r="A471" s="179"/>
      <c r="B471" s="179"/>
      <c r="C471" s="179"/>
      <c r="D471" s="179"/>
      <c r="E471" s="179"/>
      <c r="F471" s="179"/>
      <c r="G471" s="179"/>
      <c r="H471" s="179"/>
      <c r="I471" s="179"/>
      <c r="J471" s="179"/>
      <c r="K471" s="179"/>
      <c r="L471" s="179"/>
      <c r="M471" s="179"/>
      <c r="N471" s="179"/>
      <c r="O471" s="179"/>
      <c r="P471" s="179"/>
      <c r="Q471" s="179"/>
      <c r="R471" s="179"/>
      <c r="S471" s="179"/>
      <c r="T471" s="179"/>
      <c r="U471" s="179"/>
      <c r="V471" s="179"/>
      <c r="W471" s="179"/>
    </row>
    <row r="472" spans="1:23">
      <c r="A472" s="179"/>
      <c r="B472" s="179"/>
      <c r="C472" s="179"/>
      <c r="D472" s="179"/>
      <c r="E472" s="179"/>
      <c r="F472" s="179"/>
      <c r="G472" s="179"/>
      <c r="H472" s="179"/>
      <c r="I472" s="179"/>
      <c r="J472" s="179"/>
      <c r="K472" s="179"/>
      <c r="L472" s="179"/>
      <c r="M472" s="179"/>
      <c r="N472" s="179"/>
      <c r="O472" s="179"/>
      <c r="P472" s="179"/>
      <c r="Q472" s="179"/>
      <c r="R472" s="179"/>
      <c r="S472" s="179"/>
      <c r="T472" s="179"/>
      <c r="U472" s="179"/>
      <c r="V472" s="179"/>
      <c r="W472" s="179"/>
    </row>
    <row r="473" spans="1:23">
      <c r="A473" s="179"/>
      <c r="B473" s="179"/>
      <c r="C473" s="179"/>
      <c r="D473" s="179"/>
      <c r="E473" s="179"/>
      <c r="F473" s="179"/>
      <c r="G473" s="179"/>
      <c r="H473" s="179"/>
      <c r="I473" s="179"/>
      <c r="J473" s="179"/>
      <c r="K473" s="179"/>
      <c r="L473" s="179"/>
      <c r="M473" s="179"/>
      <c r="N473" s="179"/>
      <c r="O473" s="179"/>
      <c r="P473" s="179"/>
      <c r="Q473" s="179"/>
      <c r="R473" s="179"/>
      <c r="S473" s="179"/>
      <c r="T473" s="179"/>
      <c r="U473" s="179"/>
      <c r="V473" s="179"/>
      <c r="W473" s="179"/>
    </row>
    <row r="474" spans="1:23">
      <c r="A474" s="179"/>
      <c r="B474" s="179"/>
      <c r="C474" s="179"/>
      <c r="D474" s="179"/>
      <c r="E474" s="179"/>
      <c r="F474" s="179"/>
      <c r="G474" s="179"/>
      <c r="H474" s="179"/>
      <c r="I474" s="179"/>
      <c r="J474" s="179"/>
      <c r="K474" s="179"/>
      <c r="L474" s="179"/>
      <c r="M474" s="179"/>
      <c r="N474" s="179"/>
      <c r="O474" s="179"/>
      <c r="P474" s="179"/>
      <c r="Q474" s="179"/>
      <c r="R474" s="179"/>
      <c r="S474" s="179"/>
      <c r="T474" s="179"/>
      <c r="U474" s="179"/>
      <c r="V474" s="179"/>
      <c r="W474" s="179"/>
    </row>
    <row r="475" spans="1:23">
      <c r="A475" s="179"/>
      <c r="B475" s="179"/>
      <c r="C475" s="179"/>
      <c r="D475" s="179"/>
      <c r="E475" s="179"/>
      <c r="F475" s="179"/>
      <c r="G475" s="179"/>
      <c r="H475" s="179"/>
      <c r="I475" s="179"/>
      <c r="J475" s="179"/>
      <c r="K475" s="179"/>
      <c r="L475" s="179"/>
      <c r="M475" s="179"/>
      <c r="N475" s="179"/>
      <c r="O475" s="179"/>
      <c r="P475" s="179"/>
      <c r="Q475" s="179"/>
      <c r="R475" s="179"/>
      <c r="S475" s="179"/>
      <c r="T475" s="179"/>
      <c r="U475" s="179"/>
      <c r="V475" s="179"/>
      <c r="W475" s="179"/>
    </row>
    <row r="476" spans="1:23">
      <c r="A476" s="179"/>
      <c r="B476" s="179"/>
      <c r="C476" s="179"/>
      <c r="D476" s="179"/>
      <c r="E476" s="179"/>
      <c r="F476" s="179"/>
      <c r="G476" s="179"/>
      <c r="H476" s="179"/>
      <c r="I476" s="179"/>
      <c r="J476" s="179"/>
      <c r="K476" s="179"/>
      <c r="L476" s="179"/>
      <c r="M476" s="179"/>
      <c r="N476" s="179"/>
      <c r="O476" s="179"/>
      <c r="P476" s="179"/>
      <c r="Q476" s="179"/>
      <c r="R476" s="179"/>
      <c r="S476" s="179"/>
      <c r="T476" s="179"/>
      <c r="U476" s="179"/>
      <c r="V476" s="179"/>
      <c r="W476" s="179"/>
    </row>
    <row r="477" spans="1:23">
      <c r="A477" s="179"/>
      <c r="B477" s="179"/>
      <c r="C477" s="179"/>
      <c r="D477" s="179"/>
      <c r="E477" s="179"/>
      <c r="F477" s="179"/>
      <c r="G477" s="179"/>
      <c r="H477" s="179"/>
      <c r="I477" s="179"/>
      <c r="J477" s="179"/>
      <c r="K477" s="179"/>
      <c r="L477" s="179"/>
      <c r="M477" s="179"/>
      <c r="N477" s="179"/>
      <c r="O477" s="179"/>
      <c r="P477" s="179"/>
      <c r="Q477" s="179"/>
      <c r="R477" s="179"/>
      <c r="S477" s="179"/>
      <c r="T477" s="179"/>
      <c r="U477" s="179"/>
      <c r="V477" s="179"/>
      <c r="W477" s="179"/>
    </row>
    <row r="478" spans="1:23">
      <c r="A478" s="179"/>
      <c r="B478" s="179"/>
      <c r="C478" s="179"/>
      <c r="D478" s="179"/>
      <c r="E478" s="179"/>
      <c r="F478" s="179"/>
      <c r="G478" s="179"/>
      <c r="H478" s="179"/>
      <c r="I478" s="179"/>
      <c r="J478" s="179"/>
      <c r="K478" s="179"/>
      <c r="L478" s="179"/>
      <c r="M478" s="179"/>
      <c r="N478" s="179"/>
      <c r="O478" s="179"/>
      <c r="P478" s="179"/>
      <c r="Q478" s="179"/>
      <c r="R478" s="179"/>
      <c r="S478" s="179"/>
      <c r="T478" s="179"/>
      <c r="U478" s="179"/>
      <c r="V478" s="179"/>
      <c r="W478" s="179"/>
    </row>
    <row r="479" spans="1:23">
      <c r="A479" s="179"/>
      <c r="B479" s="179"/>
      <c r="C479" s="179"/>
      <c r="D479" s="179"/>
      <c r="E479" s="179"/>
      <c r="F479" s="179"/>
      <c r="G479" s="179"/>
      <c r="H479" s="179"/>
      <c r="I479" s="179"/>
      <c r="J479" s="179"/>
      <c r="K479" s="179"/>
      <c r="L479" s="179"/>
      <c r="M479" s="179"/>
      <c r="N479" s="179"/>
      <c r="O479" s="179"/>
      <c r="P479" s="179"/>
      <c r="Q479" s="179"/>
      <c r="R479" s="179"/>
      <c r="S479" s="179"/>
      <c r="T479" s="179"/>
      <c r="U479" s="179"/>
      <c r="V479" s="179"/>
      <c r="W479" s="179"/>
    </row>
    <row r="480" spans="1:23">
      <c r="A480" s="179"/>
      <c r="B480" s="179"/>
      <c r="C480" s="179"/>
      <c r="D480" s="179"/>
      <c r="E480" s="179"/>
      <c r="F480" s="179"/>
      <c r="G480" s="179"/>
      <c r="H480" s="179"/>
      <c r="I480" s="179"/>
      <c r="J480" s="179"/>
      <c r="K480" s="179"/>
      <c r="L480" s="179"/>
      <c r="M480" s="179"/>
      <c r="N480" s="179"/>
      <c r="O480" s="179"/>
      <c r="P480" s="179"/>
      <c r="Q480" s="179"/>
      <c r="R480" s="179"/>
      <c r="S480" s="179"/>
      <c r="T480" s="179"/>
      <c r="U480" s="179"/>
      <c r="V480" s="179"/>
      <c r="W480" s="179"/>
    </row>
    <row r="481" spans="1:23">
      <c r="A481" s="179"/>
      <c r="B481" s="179"/>
      <c r="C481" s="179"/>
      <c r="D481" s="179"/>
      <c r="E481" s="179"/>
      <c r="F481" s="179"/>
      <c r="G481" s="179"/>
      <c r="H481" s="179"/>
      <c r="I481" s="179"/>
      <c r="J481" s="179"/>
      <c r="K481" s="179"/>
      <c r="L481" s="179"/>
      <c r="M481" s="179"/>
      <c r="N481" s="179"/>
      <c r="O481" s="179"/>
      <c r="P481" s="179"/>
      <c r="Q481" s="179"/>
      <c r="R481" s="179"/>
      <c r="S481" s="179"/>
      <c r="T481" s="179"/>
      <c r="U481" s="179"/>
      <c r="V481" s="179"/>
      <c r="W481" s="179"/>
    </row>
    <row r="482" spans="1:23">
      <c r="A482" s="179"/>
      <c r="B482" s="179"/>
      <c r="C482" s="179"/>
      <c r="D482" s="179"/>
      <c r="E482" s="179"/>
      <c r="F482" s="179"/>
      <c r="G482" s="179"/>
      <c r="H482" s="179"/>
      <c r="I482" s="179"/>
      <c r="J482" s="179"/>
      <c r="K482" s="179"/>
      <c r="L482" s="179"/>
      <c r="M482" s="179"/>
      <c r="N482" s="179"/>
      <c r="O482" s="179"/>
      <c r="P482" s="179"/>
      <c r="Q482" s="179"/>
      <c r="R482" s="179"/>
      <c r="S482" s="179"/>
      <c r="T482" s="179"/>
      <c r="U482" s="179"/>
      <c r="V482" s="179"/>
      <c r="W482" s="179"/>
    </row>
    <row r="483" spans="1:23">
      <c r="A483" s="179"/>
      <c r="B483" s="179"/>
      <c r="C483" s="179"/>
      <c r="D483" s="179"/>
      <c r="E483" s="179"/>
      <c r="F483" s="179"/>
      <c r="G483" s="179"/>
      <c r="H483" s="179"/>
      <c r="I483" s="179"/>
      <c r="J483" s="179"/>
      <c r="K483" s="179"/>
      <c r="L483" s="179"/>
      <c r="M483" s="179"/>
      <c r="N483" s="179"/>
      <c r="O483" s="179"/>
      <c r="P483" s="179"/>
      <c r="Q483" s="179"/>
      <c r="R483" s="179"/>
      <c r="S483" s="179"/>
      <c r="T483" s="179"/>
      <c r="U483" s="179"/>
      <c r="V483" s="179"/>
      <c r="W483" s="179"/>
    </row>
    <row r="484" spans="1:23">
      <c r="A484" s="179"/>
      <c r="B484" s="179"/>
      <c r="C484" s="179"/>
      <c r="D484" s="179"/>
      <c r="E484" s="179"/>
      <c r="F484" s="179"/>
      <c r="G484" s="179"/>
      <c r="H484" s="179"/>
      <c r="I484" s="179"/>
      <c r="J484" s="179"/>
      <c r="K484" s="179"/>
      <c r="L484" s="179"/>
      <c r="M484" s="179"/>
      <c r="N484" s="179"/>
      <c r="O484" s="179"/>
      <c r="P484" s="179"/>
      <c r="Q484" s="179"/>
      <c r="R484" s="179"/>
      <c r="S484" s="179"/>
      <c r="T484" s="179"/>
      <c r="U484" s="179"/>
      <c r="V484" s="179"/>
      <c r="W484" s="179"/>
    </row>
    <row r="485" spans="1:23">
      <c r="A485" s="179"/>
      <c r="B485" s="179"/>
      <c r="C485" s="179"/>
      <c r="D485" s="179"/>
      <c r="E485" s="179"/>
      <c r="F485" s="179"/>
      <c r="G485" s="179"/>
      <c r="H485" s="179"/>
      <c r="I485" s="179"/>
      <c r="J485" s="179"/>
      <c r="K485" s="179"/>
      <c r="L485" s="179"/>
      <c r="M485" s="179"/>
      <c r="N485" s="179"/>
      <c r="O485" s="179"/>
      <c r="P485" s="179"/>
      <c r="Q485" s="179"/>
      <c r="R485" s="179"/>
      <c r="S485" s="179"/>
      <c r="T485" s="179"/>
      <c r="U485" s="179"/>
      <c r="V485" s="179"/>
      <c r="W485" s="179"/>
    </row>
    <row r="486" spans="1:23">
      <c r="A486" s="179"/>
      <c r="B486" s="179"/>
      <c r="C486" s="179"/>
      <c r="D486" s="179"/>
      <c r="E486" s="179"/>
      <c r="F486" s="179"/>
      <c r="G486" s="179"/>
      <c r="H486" s="179"/>
      <c r="I486" s="179"/>
      <c r="J486" s="179"/>
      <c r="K486" s="179"/>
      <c r="L486" s="179"/>
      <c r="M486" s="179"/>
      <c r="N486" s="179"/>
      <c r="O486" s="179"/>
      <c r="P486" s="179"/>
      <c r="Q486" s="179"/>
      <c r="R486" s="179"/>
      <c r="S486" s="179"/>
      <c r="T486" s="179"/>
      <c r="U486" s="179"/>
      <c r="V486" s="179"/>
      <c r="W486" s="179"/>
    </row>
    <row r="487" spans="1:23">
      <c r="A487" s="179"/>
      <c r="B487" s="179"/>
      <c r="C487" s="179"/>
      <c r="D487" s="179"/>
      <c r="E487" s="179"/>
      <c r="F487" s="179"/>
      <c r="G487" s="179"/>
      <c r="H487" s="179"/>
      <c r="I487" s="179"/>
      <c r="J487" s="179"/>
      <c r="K487" s="179"/>
      <c r="L487" s="179"/>
      <c r="M487" s="179"/>
      <c r="N487" s="179"/>
      <c r="O487" s="179"/>
      <c r="P487" s="179"/>
      <c r="Q487" s="179"/>
      <c r="R487" s="179"/>
      <c r="S487" s="179"/>
      <c r="T487" s="179"/>
      <c r="U487" s="179"/>
      <c r="V487" s="179"/>
      <c r="W487" s="179"/>
    </row>
    <row r="488" spans="1:23">
      <c r="A488" s="179"/>
      <c r="B488" s="179"/>
      <c r="C488" s="179"/>
      <c r="D488" s="179"/>
      <c r="E488" s="179"/>
      <c r="F488" s="179"/>
      <c r="G488" s="179"/>
      <c r="H488" s="179"/>
      <c r="I488" s="179"/>
      <c r="J488" s="179"/>
      <c r="K488" s="179"/>
      <c r="L488" s="179"/>
      <c r="M488" s="179"/>
      <c r="N488" s="179"/>
      <c r="O488" s="179"/>
      <c r="P488" s="179"/>
      <c r="Q488" s="179"/>
      <c r="R488" s="179"/>
      <c r="S488" s="179"/>
      <c r="T488" s="179"/>
      <c r="U488" s="179"/>
      <c r="V488" s="179"/>
      <c r="W488" s="179"/>
    </row>
    <row r="489" spans="1:23">
      <c r="A489" s="179"/>
      <c r="B489" s="179"/>
      <c r="C489" s="179"/>
      <c r="D489" s="179"/>
      <c r="E489" s="179"/>
      <c r="F489" s="179"/>
      <c r="G489" s="179"/>
      <c r="H489" s="179"/>
      <c r="I489" s="179"/>
      <c r="J489" s="179"/>
      <c r="K489" s="179"/>
      <c r="L489" s="179"/>
      <c r="M489" s="179"/>
      <c r="N489" s="179"/>
      <c r="O489" s="179"/>
      <c r="P489" s="179"/>
      <c r="Q489" s="179"/>
      <c r="R489" s="179"/>
      <c r="S489" s="179"/>
      <c r="T489" s="179"/>
      <c r="U489" s="179"/>
      <c r="V489" s="179"/>
      <c r="W489" s="179"/>
    </row>
    <row r="490" spans="1:23">
      <c r="A490" s="179"/>
      <c r="B490" s="179"/>
      <c r="C490" s="179"/>
      <c r="D490" s="179"/>
      <c r="E490" s="179"/>
      <c r="F490" s="179"/>
      <c r="G490" s="179"/>
      <c r="H490" s="179"/>
      <c r="I490" s="179"/>
      <c r="J490" s="179"/>
      <c r="K490" s="179"/>
      <c r="L490" s="179"/>
      <c r="M490" s="179"/>
      <c r="N490" s="179"/>
      <c r="O490" s="179"/>
      <c r="P490" s="179"/>
      <c r="Q490" s="179"/>
      <c r="R490" s="179"/>
      <c r="S490" s="179"/>
      <c r="T490" s="179"/>
      <c r="U490" s="179"/>
      <c r="V490" s="179"/>
      <c r="W490" s="179"/>
    </row>
    <row r="491" spans="1:23">
      <c r="A491" s="179"/>
      <c r="B491" s="179"/>
      <c r="C491" s="179"/>
      <c r="D491" s="179"/>
      <c r="E491" s="179"/>
      <c r="F491" s="179"/>
      <c r="G491" s="179"/>
      <c r="H491" s="179"/>
      <c r="I491" s="179"/>
      <c r="J491" s="179"/>
      <c r="K491" s="179"/>
      <c r="L491" s="179"/>
      <c r="M491" s="179"/>
      <c r="N491" s="179"/>
      <c r="O491" s="179"/>
      <c r="P491" s="179"/>
      <c r="Q491" s="179"/>
      <c r="R491" s="179"/>
      <c r="S491" s="179"/>
      <c r="T491" s="179"/>
      <c r="U491" s="179"/>
      <c r="V491" s="179"/>
      <c r="W491" s="179"/>
    </row>
    <row r="492" spans="1:23">
      <c r="A492" s="179"/>
      <c r="B492" s="179"/>
      <c r="C492" s="179"/>
      <c r="D492" s="179"/>
      <c r="E492" s="179"/>
      <c r="F492" s="179"/>
      <c r="G492" s="179"/>
      <c r="H492" s="179"/>
      <c r="I492" s="179"/>
      <c r="J492" s="179"/>
      <c r="K492" s="179"/>
      <c r="L492" s="179"/>
      <c r="M492" s="179"/>
      <c r="N492" s="179"/>
      <c r="O492" s="179"/>
      <c r="P492" s="179"/>
      <c r="Q492" s="179"/>
      <c r="R492" s="179"/>
      <c r="S492" s="179"/>
      <c r="T492" s="179"/>
      <c r="U492" s="179"/>
      <c r="V492" s="179"/>
      <c r="W492" s="179"/>
    </row>
    <row r="493" spans="1:23">
      <c r="A493" s="179"/>
      <c r="B493" s="179"/>
      <c r="C493" s="179"/>
      <c r="D493" s="179"/>
      <c r="E493" s="179"/>
      <c r="F493" s="179"/>
      <c r="G493" s="179"/>
      <c r="H493" s="179"/>
      <c r="I493" s="179"/>
      <c r="J493" s="179"/>
      <c r="K493" s="179"/>
      <c r="L493" s="179"/>
      <c r="M493" s="179"/>
      <c r="N493" s="179"/>
      <c r="O493" s="179"/>
      <c r="P493" s="179"/>
      <c r="Q493" s="179"/>
      <c r="R493" s="179"/>
      <c r="S493" s="179"/>
      <c r="T493" s="179"/>
      <c r="U493" s="179"/>
      <c r="V493" s="179"/>
      <c r="W493" s="179"/>
    </row>
    <row r="494" spans="1:23">
      <c r="A494" s="179"/>
      <c r="B494" s="179"/>
      <c r="C494" s="179"/>
      <c r="D494" s="179"/>
      <c r="E494" s="179"/>
      <c r="F494" s="179"/>
      <c r="G494" s="179"/>
      <c r="H494" s="179"/>
      <c r="I494" s="179"/>
      <c r="J494" s="179"/>
      <c r="K494" s="179"/>
      <c r="L494" s="179"/>
      <c r="M494" s="179"/>
      <c r="N494" s="179"/>
      <c r="O494" s="179"/>
      <c r="P494" s="179"/>
      <c r="Q494" s="179"/>
      <c r="R494" s="179"/>
      <c r="S494" s="179"/>
      <c r="T494" s="179"/>
      <c r="U494" s="179"/>
      <c r="V494" s="179"/>
      <c r="W494" s="179"/>
    </row>
    <row r="495" spans="1:23">
      <c r="A495" s="179"/>
      <c r="B495" s="179"/>
      <c r="C495" s="179"/>
      <c r="D495" s="179"/>
      <c r="E495" s="179"/>
      <c r="F495" s="179"/>
      <c r="G495" s="179"/>
      <c r="H495" s="179"/>
      <c r="I495" s="179"/>
      <c r="J495" s="179"/>
      <c r="K495" s="179"/>
      <c r="L495" s="179"/>
      <c r="M495" s="179"/>
      <c r="N495" s="179"/>
      <c r="O495" s="179"/>
      <c r="P495" s="179"/>
      <c r="Q495" s="179"/>
      <c r="R495" s="179"/>
      <c r="S495" s="179"/>
      <c r="T495" s="179"/>
      <c r="U495" s="179"/>
      <c r="V495" s="179"/>
      <c r="W495" s="179"/>
    </row>
    <row r="496" spans="1:23">
      <c r="A496" s="179"/>
      <c r="B496" s="179"/>
      <c r="C496" s="179"/>
      <c r="D496" s="179"/>
      <c r="E496" s="179"/>
      <c r="F496" s="179"/>
      <c r="G496" s="179"/>
      <c r="H496" s="179"/>
      <c r="I496" s="179"/>
      <c r="J496" s="179"/>
      <c r="K496" s="179"/>
      <c r="L496" s="179"/>
      <c r="M496" s="179"/>
      <c r="N496" s="179"/>
      <c r="O496" s="179"/>
      <c r="P496" s="179"/>
      <c r="Q496" s="179"/>
      <c r="R496" s="179"/>
      <c r="S496" s="179"/>
      <c r="T496" s="179"/>
      <c r="U496" s="179"/>
      <c r="V496" s="179"/>
      <c r="W496" s="179"/>
    </row>
    <row r="497" spans="1:23">
      <c r="A497" s="179"/>
      <c r="B497" s="179"/>
      <c r="C497" s="179"/>
      <c r="D497" s="179"/>
      <c r="E497" s="179"/>
      <c r="F497" s="179"/>
      <c r="G497" s="179"/>
      <c r="H497" s="179"/>
      <c r="I497" s="179"/>
      <c r="J497" s="179"/>
      <c r="K497" s="179"/>
      <c r="L497" s="179"/>
      <c r="M497" s="179"/>
      <c r="N497" s="179"/>
      <c r="O497" s="179"/>
      <c r="P497" s="179"/>
      <c r="Q497" s="179"/>
      <c r="R497" s="179"/>
      <c r="S497" s="179"/>
      <c r="T497" s="179"/>
      <c r="U497" s="179"/>
      <c r="V497" s="179"/>
      <c r="W497" s="179"/>
    </row>
    <row r="498" spans="1:23">
      <c r="A498" s="179"/>
      <c r="B498" s="179"/>
      <c r="C498" s="179"/>
      <c r="D498" s="179"/>
      <c r="E498" s="179"/>
      <c r="F498" s="179"/>
      <c r="G498" s="179"/>
      <c r="H498" s="179"/>
      <c r="I498" s="179"/>
      <c r="J498" s="179"/>
      <c r="K498" s="179"/>
      <c r="L498" s="179"/>
      <c r="M498" s="179"/>
      <c r="N498" s="179"/>
      <c r="O498" s="179"/>
      <c r="P498" s="179"/>
      <c r="Q498" s="179"/>
      <c r="R498" s="179"/>
      <c r="S498" s="179"/>
      <c r="T498" s="179"/>
      <c r="U498" s="179"/>
      <c r="V498" s="179"/>
      <c r="W498" s="179"/>
    </row>
    <row r="499" spans="1:23">
      <c r="A499" s="179"/>
      <c r="B499" s="179"/>
      <c r="C499" s="179"/>
      <c r="D499" s="179"/>
      <c r="E499" s="179"/>
      <c r="F499" s="179"/>
      <c r="G499" s="179"/>
      <c r="H499" s="179"/>
      <c r="I499" s="179"/>
      <c r="J499" s="179"/>
      <c r="K499" s="179"/>
      <c r="L499" s="179"/>
      <c r="M499" s="179"/>
      <c r="N499" s="179"/>
      <c r="O499" s="179"/>
      <c r="P499" s="179"/>
      <c r="Q499" s="179"/>
      <c r="R499" s="179"/>
      <c r="S499" s="179"/>
      <c r="T499" s="179"/>
      <c r="U499" s="179"/>
      <c r="V499" s="179"/>
      <c r="W499" s="179"/>
    </row>
    <row r="500" spans="1:23">
      <c r="A500" s="179"/>
      <c r="B500" s="179"/>
      <c r="C500" s="179"/>
      <c r="D500" s="179"/>
      <c r="E500" s="179"/>
      <c r="F500" s="179"/>
      <c r="G500" s="179"/>
      <c r="H500" s="179"/>
      <c r="I500" s="179"/>
      <c r="J500" s="179"/>
      <c r="K500" s="179"/>
      <c r="L500" s="179"/>
      <c r="M500" s="179"/>
      <c r="N500" s="179"/>
      <c r="O500" s="179"/>
      <c r="P500" s="179"/>
      <c r="Q500" s="179"/>
      <c r="R500" s="179"/>
      <c r="S500" s="179"/>
      <c r="T500" s="179"/>
      <c r="U500" s="179"/>
      <c r="V500" s="179"/>
      <c r="W500" s="179"/>
    </row>
    <row r="501" spans="1:23">
      <c r="A501" s="179"/>
      <c r="B501" s="179"/>
      <c r="C501" s="179"/>
      <c r="D501" s="179"/>
      <c r="E501" s="179"/>
      <c r="F501" s="179"/>
      <c r="G501" s="179"/>
      <c r="H501" s="179"/>
      <c r="I501" s="179"/>
      <c r="J501" s="179"/>
      <c r="K501" s="179"/>
      <c r="L501" s="179"/>
      <c r="M501" s="179"/>
      <c r="N501" s="179"/>
      <c r="O501" s="179"/>
      <c r="P501" s="179"/>
      <c r="Q501" s="179"/>
      <c r="R501" s="179"/>
      <c r="S501" s="179"/>
      <c r="T501" s="179"/>
      <c r="U501" s="179"/>
      <c r="V501" s="179"/>
      <c r="W501" s="179"/>
    </row>
    <row r="502" spans="1:23">
      <c r="A502" s="179"/>
      <c r="B502" s="179"/>
      <c r="C502" s="179"/>
      <c r="D502" s="179"/>
      <c r="E502" s="179"/>
      <c r="F502" s="179"/>
      <c r="G502" s="179"/>
      <c r="H502" s="179"/>
      <c r="I502" s="179"/>
      <c r="J502" s="179"/>
      <c r="K502" s="179"/>
      <c r="L502" s="179"/>
      <c r="M502" s="179"/>
      <c r="N502" s="179"/>
      <c r="O502" s="179"/>
      <c r="P502" s="179"/>
      <c r="Q502" s="179"/>
      <c r="R502" s="179"/>
      <c r="S502" s="179"/>
      <c r="T502" s="179"/>
      <c r="U502" s="179"/>
      <c r="V502" s="179"/>
      <c r="W502" s="179"/>
    </row>
    <row r="503" spans="1:23">
      <c r="A503" s="179"/>
      <c r="B503" s="179"/>
      <c r="C503" s="179"/>
      <c r="D503" s="179"/>
      <c r="E503" s="179"/>
      <c r="F503" s="179"/>
      <c r="G503" s="179"/>
      <c r="H503" s="179"/>
      <c r="I503" s="179"/>
      <c r="J503" s="179"/>
      <c r="K503" s="179"/>
      <c r="L503" s="179"/>
      <c r="M503" s="179"/>
      <c r="N503" s="179"/>
      <c r="O503" s="179"/>
      <c r="P503" s="179"/>
      <c r="Q503" s="179"/>
      <c r="R503" s="179"/>
      <c r="S503" s="179"/>
      <c r="T503" s="179"/>
      <c r="U503" s="179"/>
      <c r="V503" s="179"/>
      <c r="W503" s="179"/>
    </row>
    <row r="504" spans="1:23">
      <c r="A504" s="179"/>
      <c r="B504" s="179"/>
      <c r="C504" s="179"/>
      <c r="D504" s="179"/>
      <c r="E504" s="179"/>
      <c r="F504" s="179"/>
      <c r="G504" s="179"/>
      <c r="H504" s="179"/>
      <c r="I504" s="179"/>
      <c r="J504" s="179"/>
      <c r="K504" s="179"/>
      <c r="L504" s="179"/>
      <c r="M504" s="179"/>
      <c r="N504" s="179"/>
      <c r="O504" s="179"/>
      <c r="P504" s="179"/>
      <c r="Q504" s="179"/>
      <c r="R504" s="179"/>
      <c r="S504" s="179"/>
      <c r="T504" s="179"/>
      <c r="U504" s="179"/>
      <c r="V504" s="179"/>
      <c r="W504" s="179"/>
    </row>
    <row r="505" spans="1:23">
      <c r="A505" s="179"/>
      <c r="B505" s="179"/>
      <c r="C505" s="179"/>
      <c r="D505" s="179"/>
      <c r="E505" s="179"/>
      <c r="F505" s="179"/>
      <c r="G505" s="179"/>
      <c r="H505" s="179"/>
      <c r="I505" s="179"/>
      <c r="J505" s="179"/>
      <c r="K505" s="179"/>
      <c r="L505" s="179"/>
      <c r="M505" s="179"/>
      <c r="N505" s="179"/>
      <c r="O505" s="179"/>
      <c r="P505" s="179"/>
      <c r="Q505" s="179"/>
      <c r="R505" s="179"/>
      <c r="S505" s="179"/>
      <c r="T505" s="179"/>
      <c r="U505" s="179"/>
      <c r="V505" s="179"/>
      <c r="W505" s="179"/>
    </row>
    <row r="506" spans="1:23">
      <c r="A506" s="179"/>
      <c r="B506" s="179"/>
      <c r="C506" s="179"/>
      <c r="D506" s="179"/>
      <c r="E506" s="179"/>
      <c r="F506" s="179"/>
      <c r="G506" s="179"/>
      <c r="H506" s="179"/>
      <c r="I506" s="179"/>
      <c r="J506" s="179"/>
      <c r="K506" s="179"/>
      <c r="L506" s="179"/>
      <c r="M506" s="179"/>
      <c r="N506" s="179"/>
      <c r="O506" s="179"/>
      <c r="P506" s="179"/>
      <c r="Q506" s="179"/>
      <c r="R506" s="179"/>
      <c r="S506" s="179"/>
      <c r="T506" s="179"/>
      <c r="U506" s="179"/>
      <c r="V506" s="179"/>
      <c r="W506" s="179"/>
    </row>
    <row r="507" spans="1:23">
      <c r="A507" s="179"/>
      <c r="B507" s="179"/>
      <c r="C507" s="179"/>
      <c r="D507" s="179"/>
      <c r="E507" s="179"/>
      <c r="F507" s="179"/>
      <c r="G507" s="179"/>
      <c r="H507" s="179"/>
      <c r="I507" s="179"/>
      <c r="J507" s="179"/>
      <c r="K507" s="179"/>
      <c r="L507" s="179"/>
      <c r="M507" s="179"/>
      <c r="N507" s="179"/>
      <c r="O507" s="179"/>
      <c r="P507" s="179"/>
      <c r="Q507" s="179"/>
      <c r="R507" s="179"/>
      <c r="S507" s="179"/>
      <c r="T507" s="179"/>
      <c r="U507" s="179"/>
      <c r="V507" s="179"/>
      <c r="W507" s="179"/>
    </row>
    <row r="508" spans="1:23">
      <c r="A508" s="179"/>
      <c r="B508" s="179"/>
      <c r="C508" s="179"/>
      <c r="D508" s="179"/>
      <c r="E508" s="179"/>
      <c r="F508" s="179"/>
      <c r="G508" s="179"/>
      <c r="H508" s="179"/>
      <c r="I508" s="179"/>
      <c r="J508" s="179"/>
      <c r="K508" s="179"/>
      <c r="L508" s="179"/>
      <c r="M508" s="179"/>
      <c r="N508" s="179"/>
      <c r="O508" s="179"/>
      <c r="P508" s="179"/>
      <c r="Q508" s="179"/>
      <c r="R508" s="179"/>
      <c r="S508" s="179"/>
      <c r="T508" s="179"/>
      <c r="U508" s="179"/>
      <c r="V508" s="179"/>
      <c r="W508" s="179"/>
    </row>
    <row r="509" spans="1:23">
      <c r="A509" s="179"/>
      <c r="B509" s="179"/>
      <c r="C509" s="179"/>
      <c r="D509" s="179"/>
      <c r="E509" s="179"/>
      <c r="F509" s="179"/>
      <c r="G509" s="179"/>
      <c r="H509" s="179"/>
      <c r="I509" s="179"/>
      <c r="J509" s="179"/>
      <c r="K509" s="179"/>
      <c r="L509" s="179"/>
      <c r="M509" s="179"/>
      <c r="N509" s="179"/>
      <c r="O509" s="179"/>
      <c r="P509" s="179"/>
      <c r="Q509" s="179"/>
      <c r="R509" s="179"/>
      <c r="S509" s="179"/>
      <c r="T509" s="179"/>
      <c r="U509" s="179"/>
      <c r="V509" s="179"/>
      <c r="W509" s="179"/>
    </row>
    <row r="510" spans="1:23">
      <c r="A510" s="179"/>
      <c r="B510" s="179"/>
      <c r="C510" s="179"/>
      <c r="D510" s="179"/>
      <c r="E510" s="179"/>
      <c r="F510" s="179"/>
      <c r="G510" s="179"/>
      <c r="H510" s="179"/>
      <c r="I510" s="179"/>
      <c r="J510" s="179"/>
      <c r="K510" s="179"/>
      <c r="L510" s="179"/>
      <c r="M510" s="179"/>
      <c r="N510" s="179"/>
      <c r="O510" s="179"/>
      <c r="P510" s="179"/>
      <c r="Q510" s="179"/>
      <c r="R510" s="179"/>
      <c r="S510" s="179"/>
      <c r="T510" s="179"/>
      <c r="U510" s="179"/>
      <c r="V510" s="179"/>
      <c r="W510" s="179"/>
    </row>
    <row r="511" spans="1:23">
      <c r="A511" s="179"/>
      <c r="B511" s="179"/>
      <c r="C511" s="179"/>
      <c r="D511" s="179"/>
      <c r="E511" s="179"/>
      <c r="F511" s="179"/>
      <c r="G511" s="179"/>
      <c r="H511" s="179"/>
      <c r="I511" s="179"/>
      <c r="J511" s="179"/>
      <c r="K511" s="179"/>
      <c r="L511" s="179"/>
      <c r="M511" s="179"/>
      <c r="N511" s="179"/>
      <c r="O511" s="179"/>
      <c r="P511" s="179"/>
      <c r="Q511" s="179"/>
      <c r="R511" s="179"/>
      <c r="S511" s="179"/>
      <c r="T511" s="179"/>
      <c r="U511" s="179"/>
      <c r="V511" s="179"/>
      <c r="W511" s="179"/>
    </row>
    <row r="512" spans="1:23">
      <c r="A512" s="179"/>
      <c r="B512" s="179"/>
      <c r="C512" s="179"/>
      <c r="D512" s="179"/>
      <c r="E512" s="179"/>
      <c r="F512" s="179"/>
      <c r="G512" s="179"/>
      <c r="H512" s="179"/>
      <c r="I512" s="179"/>
      <c r="J512" s="179"/>
      <c r="K512" s="179"/>
      <c r="L512" s="179"/>
      <c r="M512" s="179"/>
      <c r="N512" s="179"/>
      <c r="O512" s="179"/>
      <c r="P512" s="179"/>
      <c r="Q512" s="179"/>
      <c r="R512" s="179"/>
      <c r="S512" s="179"/>
      <c r="T512" s="179"/>
      <c r="U512" s="179"/>
      <c r="V512" s="179"/>
      <c r="W512" s="179"/>
    </row>
    <row r="513" spans="1:23">
      <c r="A513" s="179"/>
      <c r="B513" s="179"/>
      <c r="C513" s="179"/>
      <c r="D513" s="179"/>
      <c r="E513" s="179"/>
      <c r="F513" s="179"/>
      <c r="G513" s="179"/>
      <c r="H513" s="179"/>
      <c r="I513" s="179"/>
      <c r="J513" s="179"/>
      <c r="K513" s="179"/>
      <c r="L513" s="179"/>
      <c r="M513" s="179"/>
      <c r="N513" s="179"/>
      <c r="O513" s="179"/>
      <c r="P513" s="179"/>
      <c r="Q513" s="179"/>
      <c r="R513" s="179"/>
      <c r="S513" s="179"/>
      <c r="T513" s="179"/>
      <c r="U513" s="179"/>
      <c r="V513" s="179"/>
      <c r="W513" s="179"/>
    </row>
    <row r="514" spans="1:23">
      <c r="A514" s="179"/>
      <c r="B514" s="179"/>
      <c r="C514" s="179"/>
      <c r="D514" s="179"/>
      <c r="E514" s="179"/>
      <c r="F514" s="179"/>
      <c r="G514" s="179"/>
      <c r="H514" s="179"/>
      <c r="I514" s="179"/>
      <c r="J514" s="179"/>
      <c r="K514" s="179"/>
      <c r="L514" s="179"/>
      <c r="M514" s="179"/>
      <c r="N514" s="179"/>
      <c r="O514" s="179"/>
      <c r="P514" s="179"/>
      <c r="Q514" s="179"/>
      <c r="R514" s="179"/>
      <c r="S514" s="179"/>
      <c r="T514" s="179"/>
      <c r="U514" s="179"/>
      <c r="V514" s="179"/>
      <c r="W514" s="179"/>
    </row>
    <row r="515" spans="1:23">
      <c r="A515" s="179"/>
      <c r="B515" s="179"/>
      <c r="C515" s="179"/>
      <c r="D515" s="179"/>
      <c r="E515" s="179"/>
      <c r="F515" s="179"/>
      <c r="G515" s="179"/>
      <c r="H515" s="179"/>
      <c r="I515" s="179"/>
      <c r="J515" s="179"/>
      <c r="K515" s="179"/>
      <c r="L515" s="179"/>
      <c r="M515" s="179"/>
      <c r="N515" s="179"/>
      <c r="O515" s="179"/>
      <c r="P515" s="179"/>
      <c r="Q515" s="179"/>
      <c r="R515" s="179"/>
      <c r="S515" s="179"/>
      <c r="T515" s="179"/>
      <c r="U515" s="179"/>
      <c r="V515" s="179"/>
      <c r="W515" s="179"/>
    </row>
    <row r="516" spans="1:23">
      <c r="A516" s="179"/>
      <c r="B516" s="179"/>
      <c r="C516" s="179"/>
      <c r="D516" s="179"/>
      <c r="E516" s="179"/>
      <c r="F516" s="179"/>
      <c r="G516" s="179"/>
      <c r="H516" s="179"/>
      <c r="I516" s="179"/>
      <c r="J516" s="179"/>
      <c r="K516" s="179"/>
      <c r="L516" s="179"/>
      <c r="M516" s="179"/>
      <c r="N516" s="179"/>
      <c r="O516" s="179"/>
      <c r="P516" s="179"/>
      <c r="Q516" s="179"/>
      <c r="R516" s="179"/>
      <c r="S516" s="179"/>
      <c r="T516" s="179"/>
      <c r="U516" s="179"/>
      <c r="V516" s="179"/>
      <c r="W516" s="179"/>
    </row>
    <row r="517" spans="1:23">
      <c r="A517" s="179"/>
      <c r="B517" s="179"/>
      <c r="C517" s="179"/>
      <c r="D517" s="179"/>
      <c r="E517" s="179"/>
      <c r="F517" s="179"/>
      <c r="G517" s="179"/>
      <c r="H517" s="179"/>
      <c r="I517" s="179"/>
      <c r="J517" s="179"/>
      <c r="K517" s="179"/>
      <c r="L517" s="179"/>
      <c r="M517" s="179"/>
      <c r="N517" s="179"/>
      <c r="O517" s="179"/>
      <c r="P517" s="179"/>
      <c r="Q517" s="179"/>
      <c r="R517" s="179"/>
      <c r="S517" s="179"/>
      <c r="T517" s="179"/>
      <c r="U517" s="179"/>
      <c r="V517" s="179"/>
      <c r="W517" s="179"/>
    </row>
    <row r="518" spans="1:23">
      <c r="A518" s="179"/>
      <c r="B518" s="179"/>
      <c r="C518" s="179"/>
      <c r="D518" s="179"/>
      <c r="E518" s="179"/>
      <c r="F518" s="179"/>
      <c r="G518" s="179"/>
      <c r="H518" s="179"/>
      <c r="I518" s="179"/>
      <c r="J518" s="179"/>
      <c r="K518" s="179"/>
      <c r="L518" s="179"/>
      <c r="M518" s="179"/>
      <c r="N518" s="179"/>
      <c r="O518" s="179"/>
      <c r="P518" s="179"/>
      <c r="Q518" s="179"/>
      <c r="R518" s="179"/>
      <c r="S518" s="179"/>
      <c r="T518" s="179"/>
      <c r="U518" s="179"/>
      <c r="V518" s="179"/>
      <c r="W518" s="179"/>
    </row>
    <row r="519" spans="1:23">
      <c r="A519" s="179"/>
      <c r="B519" s="179"/>
      <c r="C519" s="179"/>
      <c r="D519" s="179"/>
      <c r="E519" s="179"/>
      <c r="F519" s="179"/>
      <c r="G519" s="179"/>
      <c r="H519" s="179"/>
      <c r="I519" s="179"/>
      <c r="J519" s="179"/>
      <c r="K519" s="179"/>
      <c r="L519" s="179"/>
      <c r="M519" s="179"/>
      <c r="N519" s="179"/>
      <c r="O519" s="179"/>
      <c r="P519" s="179"/>
      <c r="Q519" s="179"/>
      <c r="R519" s="179"/>
      <c r="S519" s="179"/>
      <c r="T519" s="179"/>
      <c r="U519" s="179"/>
      <c r="V519" s="179"/>
      <c r="W519" s="179"/>
    </row>
    <row r="520" spans="1:23">
      <c r="A520" s="179"/>
      <c r="B520" s="179"/>
      <c r="C520" s="179"/>
      <c r="D520" s="179"/>
      <c r="E520" s="179"/>
      <c r="F520" s="179"/>
      <c r="G520" s="179"/>
      <c r="H520" s="179"/>
      <c r="I520" s="179"/>
      <c r="J520" s="179"/>
      <c r="K520" s="179"/>
      <c r="L520" s="179"/>
      <c r="M520" s="179"/>
      <c r="N520" s="179"/>
      <c r="O520" s="179"/>
      <c r="P520" s="179"/>
      <c r="Q520" s="179"/>
      <c r="R520" s="179"/>
      <c r="S520" s="179"/>
      <c r="T520" s="179"/>
      <c r="U520" s="179"/>
      <c r="V520" s="179"/>
      <c r="W520" s="179"/>
    </row>
    <row r="521" spans="1:23">
      <c r="A521" s="179"/>
      <c r="B521" s="179"/>
      <c r="C521" s="179"/>
      <c r="D521" s="179"/>
      <c r="E521" s="179"/>
      <c r="F521" s="179"/>
      <c r="G521" s="179"/>
      <c r="H521" s="179"/>
      <c r="I521" s="179"/>
      <c r="J521" s="179"/>
      <c r="K521" s="179"/>
      <c r="L521" s="179"/>
      <c r="M521" s="179"/>
      <c r="N521" s="179"/>
      <c r="O521" s="179"/>
      <c r="P521" s="179"/>
      <c r="Q521" s="179"/>
      <c r="R521" s="179"/>
      <c r="S521" s="179"/>
      <c r="T521" s="179"/>
      <c r="U521" s="179"/>
      <c r="V521" s="179"/>
      <c r="W521" s="179"/>
    </row>
    <row r="522" spans="1:23">
      <c r="A522" s="179"/>
      <c r="B522" s="179"/>
      <c r="C522" s="179"/>
      <c r="D522" s="179"/>
      <c r="E522" s="179"/>
      <c r="F522" s="179"/>
      <c r="G522" s="179"/>
      <c r="H522" s="179"/>
      <c r="I522" s="179"/>
      <c r="J522" s="179"/>
      <c r="K522" s="179"/>
      <c r="L522" s="179"/>
      <c r="M522" s="179"/>
      <c r="N522" s="179"/>
      <c r="O522" s="179"/>
      <c r="P522" s="179"/>
      <c r="Q522" s="179"/>
      <c r="R522" s="179"/>
      <c r="S522" s="179"/>
      <c r="T522" s="179"/>
      <c r="U522" s="179"/>
      <c r="V522" s="179"/>
      <c r="W522" s="179"/>
    </row>
    <row r="523" spans="1:23">
      <c r="A523" s="179"/>
      <c r="B523" s="179"/>
      <c r="C523" s="179"/>
      <c r="D523" s="179"/>
      <c r="E523" s="179"/>
      <c r="F523" s="179"/>
      <c r="G523" s="179"/>
      <c r="H523" s="179"/>
      <c r="I523" s="179"/>
      <c r="J523" s="179"/>
      <c r="K523" s="179"/>
      <c r="L523" s="179"/>
      <c r="M523" s="179"/>
      <c r="N523" s="179"/>
      <c r="O523" s="179"/>
      <c r="P523" s="179"/>
      <c r="Q523" s="179"/>
      <c r="R523" s="179"/>
      <c r="S523" s="179"/>
      <c r="T523" s="179"/>
      <c r="U523" s="179"/>
      <c r="V523" s="179"/>
      <c r="W523" s="179"/>
    </row>
    <row r="524" spans="1:23">
      <c r="A524" s="179"/>
      <c r="B524" s="179"/>
      <c r="C524" s="179"/>
      <c r="D524" s="179"/>
      <c r="E524" s="179"/>
      <c r="F524" s="179"/>
      <c r="G524" s="179"/>
      <c r="H524" s="179"/>
      <c r="I524" s="179"/>
      <c r="J524" s="179"/>
      <c r="K524" s="179"/>
      <c r="L524" s="179"/>
      <c r="M524" s="179"/>
      <c r="N524" s="179"/>
      <c r="O524" s="179"/>
      <c r="P524" s="179"/>
      <c r="Q524" s="179"/>
      <c r="R524" s="179"/>
      <c r="S524" s="179"/>
      <c r="T524" s="179"/>
      <c r="U524" s="179"/>
      <c r="V524" s="179"/>
      <c r="W524" s="179"/>
    </row>
    <row r="525" spans="1:23">
      <c r="A525" s="179"/>
      <c r="B525" s="179"/>
      <c r="C525" s="179"/>
      <c r="D525" s="179"/>
      <c r="E525" s="179"/>
      <c r="F525" s="179"/>
      <c r="G525" s="179"/>
      <c r="H525" s="179"/>
      <c r="I525" s="179"/>
      <c r="J525" s="179"/>
      <c r="K525" s="179"/>
      <c r="L525" s="179"/>
      <c r="M525" s="179"/>
      <c r="N525" s="179"/>
      <c r="O525" s="179"/>
      <c r="P525" s="179"/>
      <c r="Q525" s="179"/>
      <c r="R525" s="179"/>
      <c r="S525" s="179"/>
      <c r="T525" s="179"/>
      <c r="U525" s="179"/>
      <c r="V525" s="179"/>
      <c r="W525" s="179"/>
    </row>
    <row r="526" spans="1:23">
      <c r="A526" s="179"/>
      <c r="B526" s="179"/>
      <c r="C526" s="179"/>
      <c r="D526" s="179"/>
      <c r="E526" s="179"/>
      <c r="F526" s="179"/>
      <c r="G526" s="179"/>
      <c r="H526" s="179"/>
      <c r="I526" s="179"/>
      <c r="J526" s="179"/>
      <c r="K526" s="179"/>
      <c r="L526" s="179"/>
      <c r="M526" s="179"/>
      <c r="N526" s="179"/>
      <c r="O526" s="179"/>
      <c r="P526" s="179"/>
      <c r="Q526" s="179"/>
      <c r="R526" s="179"/>
      <c r="S526" s="179"/>
      <c r="T526" s="179"/>
      <c r="U526" s="179"/>
      <c r="V526" s="179"/>
      <c r="W526" s="179"/>
    </row>
    <row r="527" spans="1:23">
      <c r="A527" s="179"/>
      <c r="B527" s="179"/>
      <c r="C527" s="179"/>
      <c r="D527" s="179"/>
      <c r="E527" s="179"/>
      <c r="F527" s="179"/>
      <c r="G527" s="179"/>
      <c r="H527" s="179"/>
      <c r="I527" s="179"/>
      <c r="J527" s="179"/>
      <c r="K527" s="179"/>
      <c r="L527" s="179"/>
      <c r="M527" s="179"/>
      <c r="N527" s="179"/>
      <c r="O527" s="179"/>
      <c r="P527" s="179"/>
      <c r="Q527" s="179"/>
      <c r="R527" s="179"/>
      <c r="S527" s="179"/>
      <c r="T527" s="179"/>
      <c r="U527" s="179"/>
      <c r="V527" s="179"/>
      <c r="W527" s="179"/>
    </row>
    <row r="528" spans="1:23">
      <c r="A528" s="179"/>
      <c r="B528" s="179"/>
      <c r="C528" s="179"/>
      <c r="D528" s="179"/>
      <c r="E528" s="179"/>
      <c r="F528" s="179"/>
      <c r="G528" s="179"/>
      <c r="H528" s="179"/>
      <c r="I528" s="179"/>
      <c r="J528" s="179"/>
      <c r="K528" s="179"/>
      <c r="L528" s="179"/>
      <c r="M528" s="179"/>
      <c r="N528" s="179"/>
      <c r="O528" s="179"/>
      <c r="P528" s="179"/>
      <c r="Q528" s="179"/>
      <c r="R528" s="179"/>
      <c r="S528" s="179"/>
      <c r="T528" s="179"/>
      <c r="U528" s="179"/>
      <c r="V528" s="179"/>
      <c r="W528" s="179"/>
    </row>
    <row r="529" spans="1:23">
      <c r="A529" s="179"/>
      <c r="B529" s="179"/>
      <c r="C529" s="179"/>
      <c r="D529" s="179"/>
      <c r="E529" s="179"/>
      <c r="F529" s="179"/>
      <c r="G529" s="179"/>
      <c r="H529" s="179"/>
      <c r="I529" s="179"/>
      <c r="J529" s="179"/>
      <c r="K529" s="179"/>
      <c r="L529" s="179"/>
      <c r="M529" s="179"/>
      <c r="N529" s="179"/>
      <c r="O529" s="179"/>
      <c r="P529" s="179"/>
      <c r="Q529" s="179"/>
      <c r="R529" s="179"/>
      <c r="S529" s="179"/>
      <c r="T529" s="179"/>
      <c r="U529" s="179"/>
      <c r="V529" s="179"/>
      <c r="W529" s="179"/>
    </row>
    <row r="530" spans="1:23">
      <c r="A530" s="179"/>
      <c r="B530" s="179"/>
      <c r="C530" s="179"/>
      <c r="D530" s="179"/>
      <c r="E530" s="179"/>
      <c r="F530" s="179"/>
      <c r="G530" s="179"/>
      <c r="H530" s="179"/>
      <c r="I530" s="179"/>
      <c r="J530" s="179"/>
      <c r="K530" s="179"/>
      <c r="L530" s="179"/>
      <c r="M530" s="179"/>
      <c r="N530" s="179"/>
      <c r="O530" s="179"/>
      <c r="P530" s="179"/>
      <c r="Q530" s="179"/>
      <c r="R530" s="179"/>
      <c r="S530" s="179"/>
      <c r="T530" s="179"/>
      <c r="U530" s="179"/>
      <c r="V530" s="179"/>
      <c r="W530" s="179"/>
    </row>
    <row r="531" spans="1:23">
      <c r="A531" s="179"/>
      <c r="B531" s="179"/>
      <c r="C531" s="179"/>
      <c r="D531" s="179"/>
      <c r="E531" s="179"/>
      <c r="F531" s="179"/>
      <c r="G531" s="179"/>
      <c r="H531" s="179"/>
      <c r="I531" s="179"/>
      <c r="J531" s="179"/>
      <c r="K531" s="179"/>
      <c r="L531" s="179"/>
      <c r="M531" s="179"/>
      <c r="N531" s="179"/>
      <c r="O531" s="179"/>
      <c r="P531" s="179"/>
      <c r="Q531" s="179"/>
      <c r="R531" s="179"/>
      <c r="S531" s="179"/>
      <c r="T531" s="179"/>
      <c r="U531" s="179"/>
      <c r="V531" s="179"/>
      <c r="W531" s="179"/>
    </row>
    <row r="532" spans="1:23">
      <c r="A532" s="179"/>
      <c r="B532" s="179"/>
      <c r="C532" s="179"/>
      <c r="D532" s="179"/>
      <c r="E532" s="179"/>
      <c r="F532" s="179"/>
      <c r="G532" s="179"/>
      <c r="H532" s="179"/>
      <c r="I532" s="179"/>
      <c r="J532" s="179"/>
      <c r="K532" s="179"/>
      <c r="L532" s="179"/>
      <c r="M532" s="179"/>
      <c r="N532" s="179"/>
      <c r="O532" s="179"/>
      <c r="P532" s="179"/>
      <c r="Q532" s="179"/>
      <c r="R532" s="179"/>
      <c r="S532" s="179"/>
      <c r="T532" s="179"/>
      <c r="U532" s="179"/>
      <c r="V532" s="179"/>
      <c r="W532" s="179"/>
    </row>
    <row r="533" spans="1:23">
      <c r="A533" s="179"/>
      <c r="B533" s="179"/>
      <c r="C533" s="179"/>
      <c r="D533" s="179"/>
      <c r="E533" s="179"/>
      <c r="F533" s="179"/>
      <c r="G533" s="179"/>
      <c r="H533" s="179"/>
      <c r="I533" s="179"/>
      <c r="J533" s="179"/>
      <c r="K533" s="179"/>
      <c r="L533" s="179"/>
      <c r="M533" s="179"/>
      <c r="N533" s="179"/>
      <c r="O533" s="179"/>
      <c r="P533" s="179"/>
      <c r="Q533" s="179"/>
      <c r="R533" s="179"/>
      <c r="S533" s="179"/>
      <c r="T533" s="179"/>
      <c r="U533" s="179"/>
      <c r="V533" s="179"/>
      <c r="W533" s="179"/>
    </row>
    <row r="534" spans="1:23">
      <c r="A534" s="179"/>
      <c r="B534" s="179"/>
      <c r="C534" s="179"/>
      <c r="D534" s="179"/>
      <c r="E534" s="179"/>
      <c r="F534" s="179"/>
      <c r="G534" s="179"/>
      <c r="H534" s="179"/>
      <c r="I534" s="179"/>
      <c r="J534" s="179"/>
      <c r="K534" s="179"/>
      <c r="L534" s="179"/>
      <c r="M534" s="179"/>
      <c r="N534" s="179"/>
      <c r="O534" s="179"/>
      <c r="P534" s="179"/>
      <c r="Q534" s="179"/>
      <c r="R534" s="179"/>
      <c r="S534" s="179"/>
      <c r="T534" s="179"/>
      <c r="U534" s="179"/>
      <c r="V534" s="179"/>
      <c r="W534" s="179"/>
    </row>
    <row r="535" spans="1:23">
      <c r="A535" s="179"/>
      <c r="B535" s="179"/>
      <c r="C535" s="179"/>
      <c r="D535" s="179"/>
      <c r="E535" s="179"/>
      <c r="F535" s="179"/>
      <c r="G535" s="179"/>
      <c r="H535" s="179"/>
      <c r="I535" s="179"/>
      <c r="J535" s="179"/>
      <c r="K535" s="179"/>
      <c r="L535" s="179"/>
      <c r="M535" s="179"/>
      <c r="N535" s="179"/>
      <c r="O535" s="179"/>
      <c r="P535" s="179"/>
      <c r="Q535" s="179"/>
      <c r="R535" s="179"/>
      <c r="S535" s="179"/>
      <c r="T535" s="179"/>
      <c r="U535" s="179"/>
      <c r="V535" s="179"/>
      <c r="W535" s="179"/>
    </row>
    <row r="536" spans="1:23">
      <c r="A536" s="179"/>
      <c r="B536" s="179"/>
      <c r="C536" s="179"/>
      <c r="D536" s="179"/>
      <c r="E536" s="179"/>
      <c r="F536" s="179"/>
      <c r="G536" s="179"/>
      <c r="H536" s="179"/>
      <c r="I536" s="179"/>
      <c r="J536" s="179"/>
      <c r="K536" s="179"/>
      <c r="L536" s="179"/>
      <c r="M536" s="179"/>
      <c r="N536" s="179"/>
      <c r="O536" s="179"/>
      <c r="P536" s="179"/>
      <c r="Q536" s="179"/>
      <c r="R536" s="179"/>
      <c r="S536" s="179"/>
      <c r="T536" s="179"/>
      <c r="U536" s="179"/>
      <c r="V536" s="179"/>
      <c r="W536" s="179"/>
    </row>
    <row r="537" spans="1:23">
      <c r="A537" s="179"/>
      <c r="B537" s="179"/>
      <c r="C537" s="179"/>
      <c r="D537" s="179"/>
      <c r="E537" s="179"/>
      <c r="F537" s="179"/>
      <c r="G537" s="179"/>
      <c r="H537" s="179"/>
      <c r="I537" s="179"/>
      <c r="J537" s="179"/>
      <c r="K537" s="179"/>
      <c r="L537" s="179"/>
      <c r="M537" s="179"/>
      <c r="N537" s="179"/>
      <c r="O537" s="179"/>
      <c r="P537" s="179"/>
      <c r="Q537" s="179"/>
      <c r="R537" s="179"/>
      <c r="S537" s="179"/>
      <c r="T537" s="179"/>
      <c r="U537" s="179"/>
      <c r="V537" s="179"/>
      <c r="W537" s="179"/>
    </row>
    <row r="538" spans="1:23">
      <c r="A538" s="179"/>
      <c r="B538" s="179"/>
      <c r="C538" s="179"/>
      <c r="D538" s="179"/>
      <c r="E538" s="179"/>
      <c r="F538" s="179"/>
      <c r="G538" s="179"/>
      <c r="H538" s="179"/>
      <c r="I538" s="179"/>
      <c r="J538" s="179"/>
      <c r="K538" s="179"/>
      <c r="L538" s="179"/>
      <c r="M538" s="179"/>
      <c r="N538" s="179"/>
      <c r="O538" s="179"/>
      <c r="P538" s="179"/>
      <c r="Q538" s="179"/>
      <c r="R538" s="179"/>
      <c r="S538" s="179"/>
      <c r="T538" s="179"/>
      <c r="U538" s="179"/>
      <c r="V538" s="179"/>
      <c r="W538" s="179"/>
    </row>
    <row r="539" spans="1:23">
      <c r="A539" s="179"/>
      <c r="B539" s="179"/>
      <c r="C539" s="179"/>
      <c r="D539" s="179"/>
      <c r="E539" s="179"/>
      <c r="F539" s="179"/>
      <c r="G539" s="179"/>
      <c r="H539" s="179"/>
      <c r="I539" s="179"/>
      <c r="J539" s="179"/>
      <c r="K539" s="179"/>
      <c r="L539" s="179"/>
      <c r="M539" s="179"/>
      <c r="N539" s="179"/>
      <c r="O539" s="179"/>
      <c r="P539" s="179"/>
      <c r="Q539" s="179"/>
      <c r="R539" s="179"/>
      <c r="S539" s="179"/>
      <c r="T539" s="179"/>
      <c r="U539" s="179"/>
      <c r="V539" s="179"/>
      <c r="W539" s="179"/>
    </row>
    <row r="540" spans="1:23">
      <c r="A540" s="179"/>
      <c r="B540" s="179"/>
      <c r="C540" s="179"/>
      <c r="D540" s="179"/>
      <c r="E540" s="179"/>
      <c r="F540" s="179"/>
      <c r="G540" s="179"/>
      <c r="H540" s="179"/>
      <c r="I540" s="179"/>
      <c r="J540" s="179"/>
      <c r="K540" s="179"/>
      <c r="L540" s="179"/>
      <c r="M540" s="179"/>
      <c r="N540" s="179"/>
      <c r="O540" s="179"/>
      <c r="P540" s="179"/>
      <c r="Q540" s="179"/>
      <c r="R540" s="179"/>
      <c r="S540" s="179"/>
      <c r="T540" s="179"/>
      <c r="U540" s="179"/>
      <c r="V540" s="179"/>
      <c r="W540" s="179"/>
    </row>
    <row r="541" spans="1:23">
      <c r="A541" s="179"/>
      <c r="B541" s="179"/>
      <c r="C541" s="179"/>
      <c r="D541" s="179"/>
      <c r="E541" s="179"/>
      <c r="F541" s="179"/>
      <c r="G541" s="179"/>
      <c r="H541" s="179"/>
      <c r="I541" s="179"/>
      <c r="J541" s="179"/>
      <c r="K541" s="179"/>
      <c r="L541" s="179"/>
      <c r="M541" s="179"/>
      <c r="N541" s="179"/>
      <c r="O541" s="179"/>
      <c r="P541" s="179"/>
      <c r="Q541" s="179"/>
      <c r="R541" s="179"/>
      <c r="S541" s="179"/>
      <c r="T541" s="179"/>
      <c r="U541" s="179"/>
      <c r="V541" s="179"/>
      <c r="W541" s="179"/>
    </row>
    <row r="542" spans="1:23">
      <c r="A542" s="179"/>
      <c r="B542" s="179"/>
      <c r="C542" s="179"/>
      <c r="D542" s="179"/>
      <c r="E542" s="179"/>
      <c r="F542" s="179"/>
      <c r="G542" s="179"/>
      <c r="H542" s="179"/>
      <c r="I542" s="179"/>
      <c r="J542" s="179"/>
      <c r="K542" s="179"/>
      <c r="L542" s="179"/>
      <c r="M542" s="179"/>
      <c r="N542" s="179"/>
      <c r="O542" s="179"/>
      <c r="P542" s="179"/>
      <c r="Q542" s="179"/>
      <c r="R542" s="179"/>
      <c r="S542" s="179"/>
      <c r="T542" s="179"/>
      <c r="U542" s="179"/>
      <c r="V542" s="179"/>
      <c r="W542" s="179"/>
    </row>
    <row r="543" spans="1:23">
      <c r="A543" s="179"/>
      <c r="B543" s="179"/>
      <c r="C543" s="179"/>
      <c r="D543" s="179"/>
      <c r="E543" s="179"/>
      <c r="F543" s="179"/>
      <c r="G543" s="179"/>
      <c r="H543" s="179"/>
      <c r="I543" s="179"/>
      <c r="J543" s="179"/>
      <c r="K543" s="179"/>
      <c r="L543" s="179"/>
      <c r="M543" s="179"/>
      <c r="N543" s="179"/>
      <c r="O543" s="179"/>
      <c r="P543" s="179"/>
      <c r="Q543" s="179"/>
      <c r="R543" s="179"/>
      <c r="S543" s="179"/>
      <c r="T543" s="179"/>
      <c r="U543" s="179"/>
      <c r="V543" s="179"/>
      <c r="W543" s="179"/>
    </row>
    <row r="544" spans="1:23">
      <c r="A544" s="179"/>
      <c r="B544" s="179"/>
      <c r="C544" s="179"/>
      <c r="D544" s="179"/>
      <c r="E544" s="179"/>
      <c r="F544" s="179"/>
      <c r="G544" s="179"/>
      <c r="H544" s="179"/>
      <c r="I544" s="179"/>
      <c r="J544" s="179"/>
      <c r="K544" s="179"/>
      <c r="L544" s="179"/>
      <c r="M544" s="179"/>
      <c r="N544" s="179"/>
      <c r="O544" s="179"/>
      <c r="P544" s="179"/>
      <c r="Q544" s="179"/>
      <c r="R544" s="179"/>
      <c r="S544" s="179"/>
      <c r="T544" s="179"/>
      <c r="U544" s="179"/>
      <c r="V544" s="179"/>
      <c r="W544" s="179"/>
    </row>
    <row r="545" spans="1:23">
      <c r="A545" s="179"/>
      <c r="B545" s="179"/>
      <c r="C545" s="179"/>
      <c r="D545" s="179"/>
      <c r="E545" s="179"/>
      <c r="F545" s="179"/>
      <c r="G545" s="179"/>
      <c r="H545" s="179"/>
      <c r="I545" s="179"/>
      <c r="J545" s="179"/>
      <c r="K545" s="179"/>
      <c r="L545" s="179"/>
      <c r="M545" s="179"/>
      <c r="N545" s="179"/>
      <c r="O545" s="179"/>
      <c r="P545" s="179"/>
      <c r="Q545" s="179"/>
      <c r="R545" s="179"/>
      <c r="S545" s="179"/>
      <c r="T545" s="179"/>
      <c r="U545" s="179"/>
      <c r="V545" s="179"/>
      <c r="W545" s="179"/>
    </row>
    <row r="546" spans="1:23">
      <c r="A546" s="179"/>
      <c r="B546" s="179"/>
      <c r="C546" s="179"/>
      <c r="D546" s="179"/>
      <c r="E546" s="179"/>
      <c r="F546" s="179"/>
      <c r="G546" s="179"/>
      <c r="H546" s="179"/>
      <c r="I546" s="179"/>
      <c r="J546" s="179"/>
      <c r="K546" s="179"/>
      <c r="L546" s="179"/>
      <c r="M546" s="179"/>
      <c r="N546" s="179"/>
      <c r="O546" s="179"/>
      <c r="P546" s="179"/>
      <c r="Q546" s="179"/>
      <c r="R546" s="179"/>
      <c r="S546" s="179"/>
      <c r="T546" s="179"/>
      <c r="U546" s="179"/>
      <c r="V546" s="179"/>
      <c r="W546" s="179"/>
    </row>
    <row r="547" spans="1:23">
      <c r="A547" s="179"/>
      <c r="B547" s="179"/>
      <c r="C547" s="179"/>
      <c r="D547" s="179"/>
      <c r="E547" s="179"/>
      <c r="F547" s="179"/>
      <c r="G547" s="179"/>
      <c r="H547" s="179"/>
      <c r="I547" s="179"/>
      <c r="J547" s="179"/>
      <c r="K547" s="179"/>
      <c r="L547" s="179"/>
      <c r="M547" s="179"/>
      <c r="N547" s="179"/>
      <c r="O547" s="179"/>
      <c r="P547" s="179"/>
      <c r="Q547" s="179"/>
      <c r="R547" s="179"/>
      <c r="S547" s="179"/>
      <c r="T547" s="179"/>
      <c r="U547" s="179"/>
      <c r="V547" s="179"/>
      <c r="W547" s="179"/>
    </row>
    <row r="548" spans="1:23">
      <c r="A548" s="179"/>
      <c r="B548" s="179"/>
      <c r="C548" s="179"/>
      <c r="D548" s="179"/>
      <c r="E548" s="179"/>
      <c r="F548" s="179"/>
      <c r="G548" s="179"/>
      <c r="H548" s="179"/>
      <c r="I548" s="179"/>
      <c r="J548" s="179"/>
      <c r="K548" s="179"/>
      <c r="L548" s="179"/>
      <c r="M548" s="179"/>
      <c r="N548" s="179"/>
      <c r="O548" s="179"/>
      <c r="P548" s="179"/>
      <c r="Q548" s="179"/>
      <c r="R548" s="179"/>
      <c r="S548" s="179"/>
      <c r="T548" s="179"/>
      <c r="U548" s="179"/>
      <c r="V548" s="179"/>
      <c r="W548" s="179"/>
    </row>
    <row r="549" spans="1:23">
      <c r="A549" s="179"/>
      <c r="B549" s="179"/>
      <c r="C549" s="179"/>
      <c r="D549" s="179"/>
      <c r="E549" s="179"/>
      <c r="F549" s="179"/>
      <c r="G549" s="179"/>
      <c r="H549" s="179"/>
      <c r="I549" s="179"/>
      <c r="J549" s="179"/>
      <c r="K549" s="179"/>
      <c r="L549" s="179"/>
      <c r="M549" s="179"/>
      <c r="N549" s="179"/>
      <c r="O549" s="179"/>
      <c r="P549" s="179"/>
      <c r="Q549" s="179"/>
      <c r="R549" s="179"/>
      <c r="S549" s="179"/>
      <c r="T549" s="179"/>
      <c r="U549" s="179"/>
      <c r="V549" s="179"/>
      <c r="W549" s="179"/>
    </row>
    <row r="550" spans="1:23">
      <c r="A550" s="179"/>
      <c r="B550" s="179"/>
      <c r="C550" s="179"/>
      <c r="D550" s="179"/>
      <c r="E550" s="179"/>
      <c r="F550" s="179"/>
      <c r="G550" s="179"/>
      <c r="H550" s="179"/>
      <c r="I550" s="179"/>
      <c r="J550" s="179"/>
      <c r="K550" s="179"/>
      <c r="L550" s="179"/>
      <c r="M550" s="179"/>
      <c r="N550" s="179"/>
      <c r="O550" s="179"/>
      <c r="P550" s="179"/>
      <c r="Q550" s="179"/>
      <c r="R550" s="179"/>
      <c r="S550" s="179"/>
      <c r="T550" s="179"/>
      <c r="U550" s="179"/>
      <c r="V550" s="179"/>
      <c r="W550" s="179"/>
    </row>
    <row r="551" spans="1:23">
      <c r="A551" s="179"/>
      <c r="B551" s="179"/>
      <c r="C551" s="179"/>
      <c r="D551" s="179"/>
      <c r="E551" s="179"/>
      <c r="F551" s="179"/>
      <c r="G551" s="179"/>
      <c r="H551" s="179"/>
      <c r="I551" s="179"/>
      <c r="J551" s="179"/>
      <c r="K551" s="179"/>
      <c r="L551" s="179"/>
      <c r="M551" s="179"/>
      <c r="N551" s="179"/>
      <c r="O551" s="179"/>
      <c r="P551" s="179"/>
      <c r="Q551" s="179"/>
      <c r="R551" s="179"/>
      <c r="S551" s="179"/>
      <c r="T551" s="179"/>
      <c r="U551" s="179"/>
      <c r="V551" s="179"/>
      <c r="W551" s="179"/>
    </row>
    <row r="552" spans="1:23">
      <c r="A552" s="179"/>
      <c r="B552" s="179"/>
      <c r="C552" s="179"/>
      <c r="D552" s="179"/>
      <c r="E552" s="179"/>
      <c r="F552" s="179"/>
      <c r="G552" s="179"/>
      <c r="H552" s="179"/>
      <c r="I552" s="179"/>
      <c r="J552" s="179"/>
      <c r="K552" s="179"/>
      <c r="L552" s="179"/>
      <c r="M552" s="179"/>
      <c r="N552" s="179"/>
      <c r="O552" s="179"/>
      <c r="P552" s="179"/>
      <c r="Q552" s="179"/>
      <c r="R552" s="179"/>
      <c r="S552" s="179"/>
      <c r="T552" s="179"/>
      <c r="U552" s="179"/>
      <c r="V552" s="179"/>
      <c r="W552" s="179"/>
    </row>
    <row r="553" spans="1:23">
      <c r="A553" s="179"/>
      <c r="B553" s="179"/>
      <c r="C553" s="179"/>
      <c r="D553" s="179"/>
      <c r="E553" s="179"/>
      <c r="F553" s="179"/>
      <c r="G553" s="179"/>
      <c r="H553" s="179"/>
      <c r="I553" s="179"/>
      <c r="J553" s="179"/>
      <c r="K553" s="179"/>
      <c r="L553" s="179"/>
      <c r="M553" s="179"/>
      <c r="N553" s="179"/>
      <c r="O553" s="179"/>
      <c r="P553" s="179"/>
      <c r="Q553" s="179"/>
      <c r="R553" s="179"/>
      <c r="S553" s="179"/>
      <c r="T553" s="179"/>
      <c r="U553" s="179"/>
      <c r="V553" s="179"/>
      <c r="W553" s="179"/>
    </row>
    <row r="554" spans="1:23">
      <c r="A554" s="179"/>
      <c r="B554" s="179"/>
      <c r="C554" s="179"/>
      <c r="D554" s="179"/>
      <c r="E554" s="179"/>
      <c r="F554" s="179"/>
      <c r="G554" s="179"/>
      <c r="H554" s="179"/>
      <c r="I554" s="179"/>
      <c r="J554" s="179"/>
      <c r="K554" s="179"/>
      <c r="L554" s="179"/>
      <c r="M554" s="179"/>
      <c r="N554" s="179"/>
      <c r="O554" s="179"/>
      <c r="P554" s="179"/>
      <c r="Q554" s="179"/>
      <c r="R554" s="179"/>
      <c r="S554" s="179"/>
      <c r="T554" s="179"/>
      <c r="U554" s="179"/>
      <c r="V554" s="179"/>
      <c r="W554" s="179"/>
    </row>
    <row r="555" spans="1:23">
      <c r="A555" s="179"/>
      <c r="B555" s="179"/>
      <c r="C555" s="179"/>
      <c r="D555" s="179"/>
      <c r="E555" s="179"/>
      <c r="F555" s="179"/>
      <c r="G555" s="179"/>
      <c r="H555" s="179"/>
      <c r="I555" s="179"/>
      <c r="J555" s="179"/>
      <c r="K555" s="179"/>
      <c r="L555" s="179"/>
      <c r="M555" s="179"/>
      <c r="N555" s="179"/>
      <c r="O555" s="179"/>
      <c r="P555" s="179"/>
      <c r="Q555" s="179"/>
      <c r="R555" s="179"/>
      <c r="S555" s="179"/>
      <c r="T555" s="179"/>
      <c r="U555" s="179"/>
      <c r="V555" s="179"/>
      <c r="W555" s="179"/>
    </row>
    <row r="556" spans="1:23">
      <c r="A556" s="179"/>
      <c r="B556" s="179"/>
      <c r="C556" s="179"/>
      <c r="D556" s="179"/>
      <c r="E556" s="179"/>
      <c r="F556" s="179"/>
      <c r="G556" s="179"/>
      <c r="H556" s="179"/>
      <c r="I556" s="179"/>
      <c r="J556" s="179"/>
      <c r="K556" s="179"/>
      <c r="L556" s="179"/>
      <c r="M556" s="179"/>
      <c r="N556" s="179"/>
      <c r="O556" s="179"/>
      <c r="P556" s="179"/>
      <c r="Q556" s="179"/>
      <c r="R556" s="179"/>
      <c r="S556" s="179"/>
      <c r="T556" s="179"/>
      <c r="U556" s="179"/>
      <c r="V556" s="179"/>
      <c r="W556" s="179"/>
    </row>
    <row r="557" spans="1:23">
      <c r="A557" s="179"/>
      <c r="B557" s="179"/>
      <c r="C557" s="179"/>
      <c r="D557" s="179"/>
      <c r="E557" s="179"/>
      <c r="F557" s="179"/>
      <c r="G557" s="179"/>
      <c r="H557" s="179"/>
      <c r="I557" s="179"/>
      <c r="J557" s="179"/>
      <c r="K557" s="179"/>
      <c r="L557" s="179"/>
      <c r="M557" s="179"/>
      <c r="N557" s="179"/>
      <c r="O557" s="179"/>
      <c r="P557" s="179"/>
      <c r="Q557" s="179"/>
      <c r="R557" s="179"/>
      <c r="S557" s="179"/>
      <c r="T557" s="179"/>
      <c r="U557" s="179"/>
      <c r="V557" s="179"/>
      <c r="W557" s="179"/>
    </row>
    <row r="558" spans="1:23">
      <c r="A558" s="179"/>
      <c r="B558" s="179"/>
      <c r="C558" s="179"/>
      <c r="D558" s="179"/>
      <c r="E558" s="179"/>
      <c r="F558" s="179"/>
      <c r="G558" s="179"/>
      <c r="H558" s="179"/>
      <c r="I558" s="179"/>
      <c r="J558" s="179"/>
      <c r="K558" s="179"/>
      <c r="L558" s="179"/>
      <c r="M558" s="179"/>
      <c r="N558" s="179"/>
      <c r="O558" s="179"/>
      <c r="P558" s="179"/>
      <c r="Q558" s="179"/>
      <c r="R558" s="179"/>
      <c r="S558" s="179"/>
      <c r="T558" s="179"/>
      <c r="U558" s="179"/>
      <c r="V558" s="179"/>
      <c r="W558" s="179"/>
    </row>
    <row r="559" spans="1:23">
      <c r="A559" s="179"/>
      <c r="B559" s="179"/>
      <c r="C559" s="179"/>
      <c r="D559" s="179"/>
      <c r="E559" s="179"/>
      <c r="F559" s="179"/>
      <c r="G559" s="179"/>
      <c r="H559" s="179"/>
      <c r="I559" s="179"/>
      <c r="J559" s="179"/>
      <c r="K559" s="179"/>
      <c r="L559" s="179"/>
      <c r="M559" s="179"/>
      <c r="N559" s="179"/>
      <c r="O559" s="179"/>
      <c r="P559" s="179"/>
      <c r="Q559" s="179"/>
      <c r="R559" s="179"/>
      <c r="S559" s="179"/>
      <c r="T559" s="179"/>
      <c r="U559" s="179"/>
      <c r="V559" s="179"/>
      <c r="W559" s="179"/>
    </row>
    <row r="560" spans="1:23">
      <c r="A560" s="179"/>
      <c r="B560" s="179"/>
      <c r="C560" s="179"/>
      <c r="D560" s="179"/>
      <c r="E560" s="179"/>
      <c r="F560" s="179"/>
      <c r="G560" s="179"/>
      <c r="H560" s="179"/>
      <c r="I560" s="179"/>
      <c r="J560" s="179"/>
      <c r="K560" s="179"/>
      <c r="L560" s="179"/>
      <c r="M560" s="179"/>
      <c r="N560" s="179"/>
      <c r="O560" s="179"/>
      <c r="P560" s="179"/>
      <c r="Q560" s="179"/>
      <c r="R560" s="179"/>
      <c r="S560" s="179"/>
      <c r="T560" s="179"/>
      <c r="U560" s="179"/>
      <c r="V560" s="179"/>
      <c r="W560" s="179"/>
    </row>
    <row r="561" spans="1:23">
      <c r="A561" s="179"/>
      <c r="B561" s="179"/>
      <c r="C561" s="179"/>
      <c r="D561" s="179"/>
      <c r="E561" s="179"/>
      <c r="F561" s="179"/>
      <c r="G561" s="179"/>
      <c r="H561" s="179"/>
      <c r="I561" s="179"/>
      <c r="J561" s="179"/>
      <c r="K561" s="179"/>
      <c r="L561" s="179"/>
      <c r="M561" s="179"/>
      <c r="N561" s="179"/>
      <c r="O561" s="179"/>
      <c r="P561" s="179"/>
      <c r="Q561" s="179"/>
      <c r="R561" s="179"/>
      <c r="S561" s="179"/>
      <c r="T561" s="179"/>
      <c r="U561" s="179"/>
      <c r="V561" s="179"/>
      <c r="W561" s="179"/>
    </row>
    <row r="562" spans="1:23">
      <c r="A562" s="179"/>
      <c r="B562" s="179"/>
      <c r="C562" s="179"/>
      <c r="D562" s="179"/>
      <c r="E562" s="179"/>
      <c r="F562" s="179"/>
      <c r="G562" s="179"/>
      <c r="H562" s="179"/>
      <c r="I562" s="179"/>
      <c r="J562" s="179"/>
      <c r="K562" s="179"/>
      <c r="L562" s="179"/>
      <c r="M562" s="179"/>
      <c r="N562" s="179"/>
      <c r="O562" s="179"/>
      <c r="P562" s="179"/>
      <c r="Q562" s="179"/>
      <c r="R562" s="179"/>
      <c r="S562" s="179"/>
      <c r="T562" s="179"/>
      <c r="U562" s="179"/>
      <c r="V562" s="179"/>
      <c r="W562" s="179"/>
    </row>
    <row r="563" spans="1:23">
      <c r="A563" s="179"/>
      <c r="B563" s="179"/>
      <c r="C563" s="179"/>
      <c r="D563" s="179"/>
      <c r="E563" s="179"/>
      <c r="F563" s="179"/>
      <c r="G563" s="179"/>
      <c r="H563" s="179"/>
      <c r="I563" s="179"/>
      <c r="J563" s="179"/>
      <c r="K563" s="179"/>
      <c r="L563" s="179"/>
      <c r="M563" s="179"/>
      <c r="N563" s="179"/>
      <c r="O563" s="179"/>
      <c r="P563" s="179"/>
      <c r="Q563" s="179"/>
      <c r="R563" s="179"/>
      <c r="S563" s="179"/>
      <c r="T563" s="179"/>
      <c r="U563" s="179"/>
      <c r="V563" s="179"/>
      <c r="W563" s="179"/>
    </row>
    <row r="564" spans="1:23">
      <c r="A564" s="179"/>
      <c r="B564" s="179"/>
      <c r="C564" s="179"/>
      <c r="D564" s="179"/>
      <c r="E564" s="179"/>
      <c r="F564" s="179"/>
      <c r="G564" s="179"/>
      <c r="H564" s="179"/>
      <c r="I564" s="179"/>
      <c r="J564" s="179"/>
      <c r="K564" s="179"/>
      <c r="L564" s="179"/>
      <c r="M564" s="179"/>
      <c r="N564" s="179"/>
      <c r="O564" s="179"/>
      <c r="P564" s="179"/>
      <c r="Q564" s="179"/>
      <c r="R564" s="179"/>
      <c r="S564" s="179"/>
      <c r="T564" s="179"/>
      <c r="U564" s="179"/>
      <c r="V564" s="179"/>
      <c r="W564" s="179"/>
    </row>
    <row r="565" spans="1:23">
      <c r="A565" s="179"/>
      <c r="B565" s="179"/>
      <c r="C565" s="179"/>
      <c r="D565" s="179"/>
      <c r="E565" s="179"/>
      <c r="F565" s="179"/>
      <c r="G565" s="179"/>
      <c r="H565" s="179"/>
      <c r="I565" s="179"/>
      <c r="J565" s="179"/>
      <c r="K565" s="179"/>
      <c r="L565" s="179"/>
      <c r="M565" s="179"/>
      <c r="N565" s="179"/>
      <c r="O565" s="179"/>
      <c r="P565" s="179"/>
      <c r="Q565" s="179"/>
      <c r="R565" s="179"/>
      <c r="S565" s="179"/>
      <c r="T565" s="179"/>
      <c r="U565" s="179"/>
      <c r="V565" s="179"/>
      <c r="W565" s="179"/>
    </row>
    <row r="566" spans="1:23">
      <c r="A566" s="179"/>
      <c r="B566" s="179"/>
      <c r="C566" s="179"/>
      <c r="D566" s="179"/>
      <c r="E566" s="179"/>
      <c r="F566" s="179"/>
      <c r="G566" s="179"/>
      <c r="H566" s="179"/>
      <c r="I566" s="179"/>
      <c r="J566" s="179"/>
      <c r="K566" s="179"/>
      <c r="L566" s="179"/>
      <c r="M566" s="179"/>
      <c r="N566" s="179"/>
      <c r="O566" s="179"/>
      <c r="P566" s="179"/>
      <c r="Q566" s="179"/>
      <c r="R566" s="179"/>
      <c r="S566" s="179"/>
      <c r="T566" s="179"/>
      <c r="U566" s="179"/>
      <c r="V566" s="179"/>
      <c r="W566" s="179"/>
    </row>
    <row r="567" spans="1:23">
      <c r="A567" s="179"/>
      <c r="B567" s="179"/>
      <c r="C567" s="179"/>
      <c r="D567" s="179"/>
      <c r="E567" s="179"/>
      <c r="F567" s="179"/>
      <c r="G567" s="179"/>
      <c r="H567" s="179"/>
      <c r="I567" s="179"/>
      <c r="J567" s="179"/>
      <c r="K567" s="179"/>
      <c r="L567" s="179"/>
      <c r="M567" s="179"/>
      <c r="N567" s="179"/>
      <c r="O567" s="179"/>
      <c r="P567" s="179"/>
      <c r="Q567" s="179"/>
      <c r="R567" s="179"/>
      <c r="S567" s="179"/>
      <c r="T567" s="179"/>
      <c r="U567" s="179"/>
      <c r="V567" s="179"/>
      <c r="W567" s="179"/>
    </row>
    <row r="568" spans="1:23">
      <c r="A568" s="179"/>
      <c r="B568" s="179"/>
      <c r="C568" s="179"/>
      <c r="D568" s="179"/>
      <c r="E568" s="179"/>
      <c r="F568" s="179"/>
      <c r="G568" s="179"/>
      <c r="H568" s="179"/>
      <c r="I568" s="179"/>
      <c r="J568" s="179"/>
      <c r="K568" s="179"/>
      <c r="L568" s="179"/>
      <c r="M568" s="179"/>
      <c r="N568" s="179"/>
      <c r="O568" s="179"/>
      <c r="P568" s="179"/>
      <c r="Q568" s="179"/>
      <c r="R568" s="179"/>
      <c r="S568" s="179"/>
      <c r="T568" s="179"/>
      <c r="U568" s="179"/>
      <c r="V568" s="179"/>
      <c r="W568" s="179"/>
    </row>
    <row r="569" spans="1:23">
      <c r="A569" s="179"/>
      <c r="B569" s="179"/>
      <c r="C569" s="179"/>
      <c r="D569" s="179"/>
      <c r="E569" s="179"/>
      <c r="F569" s="179"/>
      <c r="G569" s="179"/>
      <c r="H569" s="179"/>
      <c r="I569" s="179"/>
      <c r="J569" s="179"/>
      <c r="K569" s="179"/>
      <c r="L569" s="179"/>
      <c r="M569" s="179"/>
      <c r="N569" s="179"/>
      <c r="O569" s="179"/>
      <c r="P569" s="179"/>
      <c r="Q569" s="179"/>
      <c r="R569" s="179"/>
      <c r="S569" s="179"/>
      <c r="T569" s="179"/>
      <c r="U569" s="179"/>
      <c r="V569" s="179"/>
      <c r="W569" s="179"/>
    </row>
    <row r="570" spans="1:23">
      <c r="A570" s="179"/>
      <c r="B570" s="179"/>
      <c r="C570" s="179"/>
      <c r="D570" s="179"/>
      <c r="E570" s="179"/>
      <c r="F570" s="179"/>
      <c r="G570" s="179"/>
      <c r="H570" s="179"/>
      <c r="I570" s="179"/>
      <c r="J570" s="179"/>
      <c r="K570" s="179"/>
      <c r="L570" s="179"/>
      <c r="M570" s="179"/>
      <c r="N570" s="179"/>
      <c r="O570" s="179"/>
      <c r="P570" s="179"/>
      <c r="Q570" s="179"/>
      <c r="R570" s="179"/>
      <c r="S570" s="179"/>
      <c r="T570" s="179"/>
      <c r="U570" s="179"/>
      <c r="V570" s="179"/>
      <c r="W570" s="179"/>
    </row>
    <row r="571" spans="1:23">
      <c r="A571" s="179"/>
      <c r="B571" s="179"/>
      <c r="C571" s="179"/>
      <c r="D571" s="179"/>
      <c r="E571" s="179"/>
      <c r="F571" s="179"/>
      <c r="G571" s="179"/>
      <c r="H571" s="179"/>
      <c r="I571" s="179"/>
      <c r="J571" s="179"/>
      <c r="K571" s="179"/>
      <c r="L571" s="179"/>
      <c r="M571" s="179"/>
      <c r="N571" s="179"/>
      <c r="O571" s="179"/>
      <c r="P571" s="179"/>
      <c r="Q571" s="179"/>
      <c r="R571" s="179"/>
      <c r="S571" s="179"/>
      <c r="T571" s="179"/>
      <c r="U571" s="179"/>
      <c r="V571" s="179"/>
      <c r="W571" s="179"/>
    </row>
    <row r="572" spans="1:23">
      <c r="A572" s="179"/>
      <c r="B572" s="179"/>
      <c r="C572" s="179"/>
      <c r="D572" s="179"/>
      <c r="E572" s="179"/>
      <c r="F572" s="179"/>
      <c r="G572" s="179"/>
      <c r="H572" s="179"/>
      <c r="I572" s="179"/>
      <c r="J572" s="179"/>
      <c r="K572" s="179"/>
      <c r="L572" s="179"/>
      <c r="M572" s="179"/>
      <c r="N572" s="179"/>
      <c r="O572" s="179"/>
      <c r="P572" s="179"/>
      <c r="Q572" s="179"/>
      <c r="R572" s="179"/>
      <c r="S572" s="179"/>
      <c r="T572" s="179"/>
      <c r="U572" s="179"/>
      <c r="V572" s="179"/>
      <c r="W572" s="179"/>
    </row>
    <row r="573" spans="1:23">
      <c r="A573" s="179"/>
      <c r="B573" s="179"/>
      <c r="C573" s="179"/>
      <c r="D573" s="179"/>
      <c r="E573" s="179"/>
      <c r="F573" s="179"/>
      <c r="G573" s="179"/>
      <c r="H573" s="179"/>
      <c r="I573" s="179"/>
      <c r="J573" s="179"/>
      <c r="K573" s="179"/>
      <c r="L573" s="179"/>
      <c r="M573" s="179"/>
      <c r="N573" s="179"/>
      <c r="O573" s="179"/>
      <c r="P573" s="179"/>
      <c r="Q573" s="179"/>
      <c r="R573" s="179"/>
      <c r="S573" s="179"/>
      <c r="T573" s="179"/>
      <c r="U573" s="179"/>
      <c r="V573" s="179"/>
      <c r="W573" s="179"/>
    </row>
    <row r="574" spans="1:23">
      <c r="A574" s="179"/>
      <c r="B574" s="179"/>
      <c r="C574" s="179"/>
      <c r="D574" s="179"/>
      <c r="E574" s="179"/>
      <c r="F574" s="179"/>
      <c r="G574" s="179"/>
      <c r="H574" s="179"/>
      <c r="I574" s="179"/>
      <c r="J574" s="179"/>
      <c r="K574" s="179"/>
      <c r="L574" s="179"/>
      <c r="M574" s="179"/>
      <c r="N574" s="179"/>
      <c r="O574" s="179"/>
      <c r="P574" s="179"/>
      <c r="Q574" s="179"/>
      <c r="R574" s="179"/>
      <c r="S574" s="179"/>
      <c r="T574" s="179"/>
      <c r="U574" s="179"/>
      <c r="V574" s="179"/>
      <c r="W574" s="179"/>
    </row>
    <row r="575" spans="1:23">
      <c r="A575" s="179"/>
      <c r="B575" s="179"/>
      <c r="C575" s="179"/>
      <c r="D575" s="179"/>
      <c r="E575" s="179"/>
      <c r="F575" s="179"/>
      <c r="G575" s="179"/>
      <c r="H575" s="179"/>
      <c r="I575" s="179"/>
      <c r="J575" s="179"/>
      <c r="K575" s="179"/>
      <c r="L575" s="179"/>
      <c r="M575" s="179"/>
      <c r="N575" s="179"/>
      <c r="O575" s="179"/>
      <c r="P575" s="179"/>
      <c r="Q575" s="179"/>
      <c r="R575" s="179"/>
      <c r="S575" s="179"/>
      <c r="T575" s="179"/>
      <c r="U575" s="179"/>
      <c r="V575" s="179"/>
      <c r="W575" s="179"/>
    </row>
    <row r="576" spans="1:23">
      <c r="A576" s="179"/>
      <c r="B576" s="179"/>
      <c r="C576" s="179"/>
      <c r="D576" s="179"/>
      <c r="E576" s="179"/>
      <c r="F576" s="179"/>
      <c r="G576" s="179"/>
      <c r="H576" s="179"/>
      <c r="I576" s="179"/>
      <c r="J576" s="179"/>
      <c r="K576" s="179"/>
      <c r="L576" s="179"/>
      <c r="M576" s="179"/>
      <c r="N576" s="179"/>
      <c r="O576" s="179"/>
      <c r="P576" s="179"/>
      <c r="Q576" s="179"/>
      <c r="R576" s="179"/>
      <c r="S576" s="179"/>
      <c r="T576" s="179"/>
      <c r="U576" s="179"/>
      <c r="V576" s="179"/>
      <c r="W576" s="179"/>
    </row>
    <row r="577" spans="1:23">
      <c r="A577" s="179"/>
      <c r="B577" s="179"/>
      <c r="C577" s="179"/>
      <c r="D577" s="179"/>
      <c r="E577" s="179"/>
      <c r="F577" s="179"/>
      <c r="G577" s="179"/>
      <c r="H577" s="179"/>
      <c r="I577" s="179"/>
      <c r="J577" s="179"/>
      <c r="K577" s="179"/>
      <c r="L577" s="179"/>
      <c r="M577" s="179"/>
      <c r="N577" s="179"/>
      <c r="O577" s="179"/>
      <c r="P577" s="179"/>
      <c r="Q577" s="179"/>
      <c r="R577" s="179"/>
      <c r="S577" s="179"/>
      <c r="T577" s="179"/>
      <c r="U577" s="179"/>
      <c r="V577" s="179"/>
      <c r="W577" s="179"/>
    </row>
    <row r="578" spans="1:23">
      <c r="A578" s="179"/>
      <c r="B578" s="179"/>
      <c r="C578" s="179"/>
      <c r="D578" s="179"/>
      <c r="E578" s="179"/>
      <c r="F578" s="179"/>
      <c r="G578" s="179"/>
      <c r="H578" s="179"/>
      <c r="I578" s="179"/>
      <c r="J578" s="179"/>
      <c r="K578" s="179"/>
      <c r="L578" s="179"/>
      <c r="M578" s="179"/>
      <c r="N578" s="179"/>
      <c r="O578" s="179"/>
      <c r="P578" s="179"/>
      <c r="Q578" s="179"/>
      <c r="R578" s="179"/>
      <c r="S578" s="179"/>
      <c r="T578" s="179"/>
      <c r="U578" s="179"/>
      <c r="V578" s="179"/>
      <c r="W578" s="179"/>
    </row>
    <row r="579" spans="1:23">
      <c r="A579" s="179"/>
      <c r="B579" s="179"/>
      <c r="C579" s="179"/>
      <c r="D579" s="179"/>
      <c r="E579" s="179"/>
      <c r="F579" s="179"/>
      <c r="G579" s="179"/>
      <c r="H579" s="179"/>
      <c r="I579" s="179"/>
      <c r="J579" s="179"/>
      <c r="K579" s="179"/>
      <c r="L579" s="179"/>
      <c r="M579" s="179"/>
      <c r="N579" s="179"/>
      <c r="O579" s="179"/>
      <c r="P579" s="179"/>
      <c r="Q579" s="179"/>
      <c r="R579" s="179"/>
      <c r="S579" s="179"/>
      <c r="T579" s="179"/>
      <c r="U579" s="179"/>
      <c r="V579" s="179"/>
      <c r="W579" s="179"/>
    </row>
    <row r="580" spans="1:23">
      <c r="A580" s="179"/>
      <c r="B580" s="179"/>
      <c r="C580" s="179"/>
      <c r="D580" s="179"/>
      <c r="E580" s="179"/>
      <c r="F580" s="179"/>
      <c r="G580" s="179"/>
      <c r="H580" s="179"/>
      <c r="I580" s="179"/>
      <c r="J580" s="179"/>
      <c r="K580" s="179"/>
      <c r="L580" s="179"/>
      <c r="M580" s="179"/>
      <c r="N580" s="179"/>
      <c r="O580" s="179"/>
      <c r="P580" s="179"/>
      <c r="Q580" s="179"/>
      <c r="R580" s="179"/>
      <c r="S580" s="179"/>
      <c r="T580" s="179"/>
      <c r="U580" s="179"/>
      <c r="V580" s="179"/>
      <c r="W580" s="179"/>
    </row>
    <row r="581" spans="1:23">
      <c r="A581" s="179"/>
      <c r="B581" s="179"/>
      <c r="C581" s="179"/>
      <c r="D581" s="179"/>
      <c r="E581" s="179"/>
      <c r="F581" s="179"/>
      <c r="G581" s="179"/>
      <c r="H581" s="179"/>
      <c r="I581" s="179"/>
      <c r="J581" s="179"/>
      <c r="K581" s="179"/>
      <c r="L581" s="179"/>
      <c r="M581" s="179"/>
      <c r="N581" s="179"/>
      <c r="O581" s="179"/>
      <c r="P581" s="179"/>
      <c r="Q581" s="179"/>
      <c r="R581" s="179"/>
      <c r="S581" s="179"/>
      <c r="T581" s="179"/>
      <c r="U581" s="179"/>
      <c r="V581" s="179"/>
      <c r="W581" s="179"/>
    </row>
    <row r="582" spans="1:23">
      <c r="A582" s="179"/>
      <c r="B582" s="179"/>
      <c r="C582" s="179"/>
      <c r="D582" s="179"/>
      <c r="E582" s="179"/>
      <c r="F582" s="179"/>
      <c r="G582" s="179"/>
      <c r="H582" s="179"/>
      <c r="I582" s="179"/>
      <c r="J582" s="179"/>
      <c r="K582" s="179"/>
      <c r="L582" s="179"/>
      <c r="M582" s="179"/>
      <c r="N582" s="179"/>
      <c r="O582" s="179"/>
      <c r="P582" s="179"/>
      <c r="Q582" s="179"/>
      <c r="R582" s="179"/>
      <c r="S582" s="179"/>
      <c r="T582" s="179"/>
      <c r="U582" s="179"/>
      <c r="V582" s="179"/>
      <c r="W582" s="179"/>
    </row>
    <row r="583" spans="1:23">
      <c r="A583" s="179"/>
      <c r="B583" s="179"/>
      <c r="C583" s="179"/>
      <c r="D583" s="179"/>
      <c r="E583" s="179"/>
      <c r="F583" s="179"/>
      <c r="G583" s="179"/>
      <c r="H583" s="179"/>
      <c r="I583" s="179"/>
      <c r="J583" s="179"/>
      <c r="K583" s="179"/>
      <c r="L583" s="179"/>
      <c r="M583" s="179"/>
      <c r="N583" s="179"/>
      <c r="O583" s="179"/>
      <c r="P583" s="179"/>
      <c r="Q583" s="179"/>
      <c r="R583" s="179"/>
      <c r="S583" s="179"/>
      <c r="T583" s="179"/>
      <c r="U583" s="179"/>
      <c r="V583" s="179"/>
      <c r="W583" s="179"/>
    </row>
    <row r="584" spans="1:23">
      <c r="A584" s="179"/>
      <c r="B584" s="179"/>
      <c r="C584" s="179"/>
      <c r="D584" s="179"/>
      <c r="E584" s="179"/>
      <c r="F584" s="179"/>
      <c r="G584" s="179"/>
      <c r="H584" s="179"/>
      <c r="I584" s="179"/>
      <c r="J584" s="179"/>
      <c r="K584" s="179"/>
      <c r="L584" s="179"/>
      <c r="M584" s="179"/>
      <c r="N584" s="179"/>
      <c r="O584" s="179"/>
      <c r="P584" s="179"/>
      <c r="Q584" s="179"/>
      <c r="R584" s="179"/>
      <c r="S584" s="179"/>
      <c r="T584" s="179"/>
      <c r="U584" s="179"/>
      <c r="V584" s="179"/>
      <c r="W584" s="179"/>
    </row>
    <row r="585" spans="1:23">
      <c r="A585" s="179"/>
      <c r="B585" s="179"/>
      <c r="C585" s="179"/>
      <c r="D585" s="179"/>
      <c r="E585" s="179"/>
      <c r="F585" s="179"/>
      <c r="G585" s="179"/>
      <c r="H585" s="179"/>
      <c r="I585" s="179"/>
      <c r="J585" s="179"/>
      <c r="K585" s="179"/>
      <c r="L585" s="179"/>
      <c r="M585" s="179"/>
      <c r="N585" s="179"/>
      <c r="O585" s="179"/>
      <c r="P585" s="179"/>
      <c r="Q585" s="179"/>
      <c r="R585" s="179"/>
      <c r="S585" s="179"/>
      <c r="T585" s="179"/>
      <c r="U585" s="179"/>
      <c r="V585" s="179"/>
      <c r="W585" s="179"/>
    </row>
    <row r="586" spans="1:23">
      <c r="A586" s="179"/>
      <c r="B586" s="179"/>
      <c r="C586" s="179"/>
      <c r="D586" s="179"/>
      <c r="E586" s="179"/>
      <c r="F586" s="179"/>
      <c r="G586" s="179"/>
      <c r="H586" s="179"/>
      <c r="I586" s="179"/>
      <c r="J586" s="179"/>
      <c r="K586" s="179"/>
      <c r="L586" s="179"/>
      <c r="M586" s="179"/>
      <c r="N586" s="179"/>
      <c r="O586" s="179"/>
      <c r="P586" s="179"/>
      <c r="Q586" s="179"/>
      <c r="R586" s="179"/>
      <c r="S586" s="179"/>
      <c r="T586" s="179"/>
      <c r="U586" s="179"/>
      <c r="V586" s="179"/>
      <c r="W586" s="179"/>
    </row>
    <row r="587" spans="1:23">
      <c r="A587" s="179"/>
      <c r="B587" s="179"/>
      <c r="C587" s="179"/>
      <c r="D587" s="179"/>
      <c r="E587" s="179"/>
      <c r="F587" s="179"/>
      <c r="G587" s="179"/>
      <c r="H587" s="179"/>
      <c r="I587" s="179"/>
      <c r="J587" s="179"/>
      <c r="K587" s="179"/>
      <c r="L587" s="179"/>
      <c r="M587" s="179"/>
      <c r="N587" s="179"/>
      <c r="O587" s="179"/>
      <c r="P587" s="179"/>
      <c r="Q587" s="179"/>
      <c r="R587" s="179"/>
      <c r="S587" s="179"/>
      <c r="T587" s="179"/>
      <c r="U587" s="179"/>
      <c r="V587" s="179"/>
      <c r="W587" s="179"/>
    </row>
    <row r="588" spans="1:23">
      <c r="A588" s="179"/>
      <c r="B588" s="179"/>
      <c r="C588" s="179"/>
      <c r="D588" s="179"/>
      <c r="E588" s="179"/>
      <c r="F588" s="179"/>
      <c r="G588" s="179"/>
      <c r="H588" s="179"/>
      <c r="I588" s="179"/>
      <c r="J588" s="179"/>
      <c r="K588" s="179"/>
      <c r="L588" s="179"/>
      <c r="M588" s="179"/>
      <c r="N588" s="179"/>
      <c r="O588" s="179"/>
      <c r="P588" s="179"/>
      <c r="Q588" s="179"/>
      <c r="R588" s="179"/>
      <c r="S588" s="179"/>
      <c r="T588" s="179"/>
      <c r="U588" s="179"/>
      <c r="V588" s="179"/>
      <c r="W588" s="179"/>
    </row>
    <row r="589" spans="1:23">
      <c r="A589" s="179"/>
      <c r="B589" s="179"/>
      <c r="C589" s="179"/>
      <c r="D589" s="179"/>
      <c r="E589" s="179"/>
      <c r="F589" s="179"/>
      <c r="G589" s="179"/>
      <c r="H589" s="179"/>
      <c r="I589" s="179"/>
      <c r="J589" s="179"/>
      <c r="K589" s="179"/>
      <c r="L589" s="179"/>
      <c r="M589" s="179"/>
      <c r="N589" s="179"/>
      <c r="O589" s="179"/>
      <c r="P589" s="179"/>
      <c r="Q589" s="179"/>
      <c r="R589" s="179"/>
      <c r="S589" s="179"/>
      <c r="T589" s="179"/>
      <c r="U589" s="179"/>
      <c r="V589" s="179"/>
      <c r="W589" s="179"/>
    </row>
    <row r="590" spans="1:23">
      <c r="A590" s="179"/>
      <c r="B590" s="179"/>
      <c r="C590" s="179"/>
      <c r="D590" s="179"/>
      <c r="E590" s="179"/>
      <c r="F590" s="179"/>
      <c r="G590" s="179"/>
      <c r="H590" s="179"/>
      <c r="I590" s="179"/>
      <c r="J590" s="179"/>
      <c r="K590" s="179"/>
      <c r="L590" s="179"/>
      <c r="M590" s="179"/>
      <c r="N590" s="179"/>
      <c r="O590" s="179"/>
      <c r="P590" s="179"/>
      <c r="Q590" s="179"/>
      <c r="R590" s="179"/>
      <c r="S590" s="179"/>
      <c r="T590" s="179"/>
      <c r="U590" s="179"/>
      <c r="V590" s="179"/>
      <c r="W590" s="179"/>
    </row>
    <row r="591" spans="1:23">
      <c r="A591" s="179"/>
      <c r="B591" s="179"/>
      <c r="C591" s="179"/>
      <c r="D591" s="179"/>
      <c r="E591" s="179"/>
      <c r="F591" s="179"/>
      <c r="G591" s="179"/>
      <c r="H591" s="179"/>
      <c r="I591" s="179"/>
      <c r="J591" s="179"/>
      <c r="K591" s="179"/>
      <c r="L591" s="179"/>
      <c r="M591" s="179"/>
      <c r="N591" s="179"/>
      <c r="O591" s="179"/>
      <c r="P591" s="179"/>
      <c r="Q591" s="179"/>
      <c r="R591" s="179"/>
      <c r="S591" s="179"/>
      <c r="T591" s="179"/>
      <c r="U591" s="179"/>
      <c r="V591" s="179"/>
      <c r="W591" s="179"/>
    </row>
    <row r="592" spans="1:23">
      <c r="A592" s="179"/>
      <c r="B592" s="179"/>
      <c r="C592" s="179"/>
      <c r="D592" s="179"/>
      <c r="E592" s="179"/>
      <c r="F592" s="179"/>
      <c r="G592" s="179"/>
      <c r="H592" s="179"/>
      <c r="I592" s="179"/>
      <c r="J592" s="179"/>
      <c r="K592" s="179"/>
      <c r="L592" s="179"/>
      <c r="M592" s="179"/>
      <c r="N592" s="179"/>
      <c r="O592" s="179"/>
      <c r="P592" s="179"/>
      <c r="Q592" s="179"/>
      <c r="R592" s="179"/>
      <c r="S592" s="179"/>
      <c r="T592" s="179"/>
      <c r="U592" s="179"/>
      <c r="V592" s="179"/>
      <c r="W592" s="179"/>
    </row>
    <row r="593" spans="1:23">
      <c r="A593" s="179"/>
      <c r="B593" s="179"/>
      <c r="C593" s="179"/>
      <c r="D593" s="179"/>
      <c r="E593" s="179"/>
      <c r="F593" s="179"/>
      <c r="G593" s="179"/>
      <c r="H593" s="179"/>
      <c r="I593" s="179"/>
      <c r="J593" s="179"/>
      <c r="K593" s="179"/>
      <c r="L593" s="179"/>
      <c r="M593" s="179"/>
      <c r="N593" s="179"/>
      <c r="O593" s="179"/>
      <c r="P593" s="179"/>
      <c r="Q593" s="179"/>
      <c r="R593" s="179"/>
      <c r="S593" s="179"/>
      <c r="T593" s="179"/>
      <c r="U593" s="179"/>
      <c r="V593" s="179"/>
      <c r="W593" s="179"/>
    </row>
    <row r="594" spans="1:23">
      <c r="A594" s="179"/>
      <c r="B594" s="179"/>
      <c r="C594" s="179"/>
      <c r="D594" s="179"/>
      <c r="E594" s="179"/>
      <c r="F594" s="179"/>
      <c r="G594" s="179"/>
      <c r="H594" s="179"/>
      <c r="I594" s="179"/>
      <c r="J594" s="179"/>
      <c r="K594" s="179"/>
      <c r="L594" s="179"/>
      <c r="M594" s="179"/>
      <c r="N594" s="179"/>
      <c r="O594" s="179"/>
      <c r="P594" s="179"/>
      <c r="Q594" s="179"/>
      <c r="R594" s="179"/>
      <c r="S594" s="179"/>
      <c r="T594" s="179"/>
      <c r="U594" s="179"/>
      <c r="V594" s="179"/>
      <c r="W594" s="179"/>
    </row>
    <row r="595" spans="1:23">
      <c r="A595" s="179"/>
      <c r="B595" s="179"/>
      <c r="C595" s="179"/>
      <c r="D595" s="179"/>
      <c r="E595" s="179"/>
      <c r="F595" s="179"/>
      <c r="G595" s="179"/>
      <c r="H595" s="179"/>
      <c r="I595" s="179"/>
      <c r="J595" s="179"/>
      <c r="K595" s="179"/>
      <c r="L595" s="179"/>
      <c r="M595" s="179"/>
      <c r="N595" s="179"/>
      <c r="O595" s="179"/>
      <c r="P595" s="179"/>
      <c r="Q595" s="179"/>
      <c r="R595" s="179"/>
      <c r="S595" s="179"/>
      <c r="T595" s="179"/>
      <c r="U595" s="179"/>
      <c r="V595" s="179"/>
      <c r="W595" s="179"/>
    </row>
    <row r="596" spans="1:23">
      <c r="A596" s="179"/>
      <c r="B596" s="179"/>
      <c r="C596" s="179"/>
      <c r="D596" s="179"/>
      <c r="E596" s="179"/>
      <c r="F596" s="179"/>
      <c r="G596" s="179"/>
      <c r="H596" s="179"/>
      <c r="I596" s="179"/>
      <c r="J596" s="179"/>
      <c r="K596" s="179"/>
      <c r="L596" s="179"/>
      <c r="M596" s="179"/>
      <c r="N596" s="179"/>
      <c r="O596" s="179"/>
      <c r="P596" s="179"/>
      <c r="Q596" s="179"/>
      <c r="R596" s="179"/>
      <c r="S596" s="179"/>
      <c r="T596" s="179"/>
      <c r="U596" s="179"/>
      <c r="V596" s="179"/>
      <c r="W596" s="179"/>
    </row>
    <row r="597" spans="1:23">
      <c r="A597" s="179"/>
      <c r="B597" s="179"/>
      <c r="C597" s="179"/>
      <c r="D597" s="179"/>
      <c r="E597" s="179"/>
      <c r="F597" s="179"/>
      <c r="G597" s="179"/>
      <c r="H597" s="179"/>
      <c r="I597" s="179"/>
      <c r="J597" s="179"/>
      <c r="K597" s="179"/>
      <c r="L597" s="179"/>
      <c r="M597" s="179"/>
      <c r="N597" s="179"/>
      <c r="O597" s="179"/>
      <c r="P597" s="179"/>
      <c r="Q597" s="179"/>
      <c r="R597" s="179"/>
      <c r="S597" s="179"/>
      <c r="T597" s="179"/>
      <c r="U597" s="179"/>
      <c r="V597" s="179"/>
      <c r="W597" s="179"/>
    </row>
    <row r="598" spans="1:23">
      <c r="A598" s="179"/>
      <c r="B598" s="179"/>
      <c r="C598" s="179"/>
      <c r="D598" s="179"/>
      <c r="E598" s="179"/>
      <c r="F598" s="179"/>
      <c r="G598" s="179"/>
      <c r="H598" s="179"/>
      <c r="I598" s="179"/>
      <c r="J598" s="179"/>
      <c r="K598" s="179"/>
      <c r="L598" s="179"/>
      <c r="M598" s="179"/>
      <c r="N598" s="179"/>
      <c r="O598" s="179"/>
      <c r="P598" s="179"/>
      <c r="Q598" s="179"/>
      <c r="R598" s="179"/>
      <c r="S598" s="179"/>
      <c r="T598" s="179"/>
      <c r="U598" s="179"/>
      <c r="V598" s="179"/>
      <c r="W598" s="179"/>
    </row>
    <row r="599" spans="1:23">
      <c r="A599" s="179"/>
      <c r="B599" s="179"/>
      <c r="C599" s="179"/>
      <c r="D599" s="179"/>
      <c r="E599" s="179"/>
      <c r="F599" s="179"/>
      <c r="G599" s="179"/>
      <c r="H599" s="179"/>
      <c r="I599" s="179"/>
      <c r="J599" s="179"/>
      <c r="K599" s="179"/>
      <c r="L599" s="179"/>
      <c r="M599" s="179"/>
      <c r="N599" s="179"/>
      <c r="O599" s="179"/>
      <c r="P599" s="179"/>
      <c r="Q599" s="179"/>
      <c r="R599" s="179"/>
      <c r="S599" s="179"/>
      <c r="T599" s="179"/>
      <c r="U599" s="179"/>
      <c r="V599" s="179"/>
      <c r="W599" s="179"/>
    </row>
    <row r="600" spans="1:23">
      <c r="A600" s="179"/>
      <c r="B600" s="179"/>
      <c r="C600" s="179"/>
      <c r="D600" s="179"/>
      <c r="E600" s="179"/>
      <c r="F600" s="179"/>
      <c r="G600" s="179"/>
      <c r="H600" s="179"/>
      <c r="I600" s="179"/>
      <c r="J600" s="179"/>
      <c r="K600" s="179"/>
      <c r="L600" s="179"/>
      <c r="M600" s="179"/>
      <c r="N600" s="179"/>
      <c r="O600" s="179"/>
      <c r="P600" s="179"/>
      <c r="Q600" s="179"/>
      <c r="R600" s="179"/>
      <c r="S600" s="179"/>
      <c r="T600" s="179"/>
      <c r="U600" s="179"/>
      <c r="V600" s="179"/>
      <c r="W600" s="179"/>
    </row>
    <row r="601" spans="1:23">
      <c r="A601" s="179"/>
      <c r="B601" s="179"/>
      <c r="C601" s="179"/>
      <c r="D601" s="179"/>
      <c r="E601" s="179"/>
      <c r="F601" s="179"/>
      <c r="G601" s="179"/>
      <c r="H601" s="179"/>
      <c r="I601" s="179"/>
      <c r="J601" s="179"/>
      <c r="K601" s="179"/>
      <c r="L601" s="179"/>
      <c r="M601" s="179"/>
      <c r="N601" s="179"/>
      <c r="O601" s="179"/>
      <c r="P601" s="179"/>
      <c r="Q601" s="179"/>
      <c r="R601" s="179"/>
      <c r="S601" s="179"/>
      <c r="T601" s="179"/>
      <c r="U601" s="179"/>
      <c r="V601" s="179"/>
      <c r="W601" s="179"/>
    </row>
    <row r="602" spans="1:23">
      <c r="A602" s="179"/>
      <c r="B602" s="179"/>
      <c r="C602" s="179"/>
      <c r="D602" s="179"/>
      <c r="E602" s="179"/>
      <c r="F602" s="179"/>
      <c r="G602" s="179"/>
      <c r="H602" s="179"/>
      <c r="I602" s="179"/>
      <c r="J602" s="179"/>
      <c r="K602" s="179"/>
      <c r="L602" s="179"/>
      <c r="M602" s="179"/>
      <c r="N602" s="179"/>
      <c r="O602" s="179"/>
      <c r="P602" s="179"/>
      <c r="Q602" s="179"/>
      <c r="R602" s="179"/>
      <c r="S602" s="179"/>
      <c r="T602" s="179"/>
      <c r="U602" s="179"/>
      <c r="V602" s="179"/>
      <c r="W602" s="179"/>
    </row>
    <row r="603" spans="1:23">
      <c r="A603" s="179"/>
      <c r="B603" s="179"/>
      <c r="C603" s="179"/>
      <c r="D603" s="179"/>
      <c r="E603" s="179"/>
      <c r="F603" s="179"/>
      <c r="G603" s="179"/>
      <c r="H603" s="179"/>
      <c r="I603" s="179"/>
      <c r="J603" s="179"/>
      <c r="K603" s="179"/>
      <c r="L603" s="179"/>
      <c r="M603" s="179"/>
      <c r="N603" s="179"/>
      <c r="O603" s="179"/>
      <c r="P603" s="179"/>
      <c r="Q603" s="179"/>
      <c r="R603" s="179"/>
      <c r="S603" s="179"/>
      <c r="T603" s="179"/>
      <c r="U603" s="179"/>
      <c r="V603" s="179"/>
      <c r="W603" s="179"/>
    </row>
    <row r="604" spans="1:23">
      <c r="A604" s="179"/>
      <c r="B604" s="179"/>
      <c r="C604" s="179"/>
      <c r="D604" s="179"/>
      <c r="E604" s="179"/>
      <c r="F604" s="179"/>
      <c r="G604" s="179"/>
      <c r="H604" s="179"/>
      <c r="I604" s="179"/>
      <c r="J604" s="179"/>
      <c r="K604" s="179"/>
      <c r="L604" s="179"/>
      <c r="M604" s="179"/>
      <c r="N604" s="179"/>
      <c r="O604" s="179"/>
      <c r="P604" s="179"/>
      <c r="Q604" s="179"/>
      <c r="R604" s="179"/>
      <c r="S604" s="179"/>
      <c r="T604" s="179"/>
      <c r="U604" s="179"/>
      <c r="V604" s="179"/>
      <c r="W604" s="179"/>
    </row>
    <row r="605" spans="1:23">
      <c r="A605" s="179"/>
      <c r="B605" s="179"/>
      <c r="C605" s="179"/>
      <c r="D605" s="179"/>
      <c r="E605" s="179"/>
      <c r="F605" s="179"/>
      <c r="G605" s="179"/>
      <c r="H605" s="179"/>
      <c r="I605" s="179"/>
      <c r="J605" s="179"/>
      <c r="K605" s="179"/>
      <c r="L605" s="179"/>
      <c r="M605" s="179"/>
      <c r="N605" s="179"/>
      <c r="O605" s="179"/>
      <c r="P605" s="179"/>
      <c r="Q605" s="179"/>
      <c r="R605" s="179"/>
      <c r="S605" s="179"/>
      <c r="T605" s="179"/>
      <c r="U605" s="179"/>
      <c r="V605" s="179"/>
      <c r="W605" s="179"/>
    </row>
    <row r="606" spans="1:23">
      <c r="A606" s="179"/>
      <c r="B606" s="179"/>
      <c r="C606" s="179"/>
      <c r="D606" s="179"/>
      <c r="E606" s="179"/>
      <c r="F606" s="179"/>
      <c r="G606" s="179"/>
      <c r="H606" s="179"/>
      <c r="I606" s="179"/>
      <c r="J606" s="179"/>
      <c r="K606" s="179"/>
      <c r="L606" s="179"/>
      <c r="M606" s="179"/>
      <c r="N606" s="179"/>
      <c r="O606" s="179"/>
      <c r="P606" s="179"/>
      <c r="Q606" s="179"/>
      <c r="R606" s="179"/>
      <c r="S606" s="179"/>
      <c r="T606" s="179"/>
      <c r="U606" s="179"/>
      <c r="V606" s="179"/>
      <c r="W606" s="179"/>
    </row>
    <row r="607" spans="1:23">
      <c r="A607" s="179"/>
      <c r="B607" s="179"/>
      <c r="C607" s="179"/>
      <c r="D607" s="179"/>
      <c r="E607" s="179"/>
      <c r="F607" s="179"/>
      <c r="G607" s="179"/>
      <c r="H607" s="179"/>
      <c r="I607" s="179"/>
      <c r="J607" s="179"/>
      <c r="K607" s="179"/>
      <c r="L607" s="179"/>
      <c r="M607" s="179"/>
      <c r="N607" s="179"/>
      <c r="O607" s="179"/>
      <c r="P607" s="179"/>
      <c r="Q607" s="179"/>
      <c r="R607" s="179"/>
      <c r="S607" s="179"/>
      <c r="T607" s="179"/>
      <c r="U607" s="179"/>
      <c r="V607" s="179"/>
      <c r="W607" s="179"/>
    </row>
    <row r="608" spans="1:23">
      <c r="A608" s="179"/>
      <c r="B608" s="179"/>
      <c r="C608" s="179"/>
      <c r="D608" s="179"/>
      <c r="E608" s="179"/>
      <c r="F608" s="179"/>
      <c r="G608" s="179"/>
      <c r="H608" s="179"/>
      <c r="I608" s="179"/>
      <c r="J608" s="179"/>
      <c r="K608" s="179"/>
      <c r="L608" s="179"/>
      <c r="M608" s="179"/>
      <c r="N608" s="179"/>
      <c r="O608" s="179"/>
      <c r="P608" s="179"/>
      <c r="Q608" s="179"/>
      <c r="R608" s="179"/>
      <c r="S608" s="179"/>
      <c r="T608" s="179"/>
      <c r="U608" s="179"/>
      <c r="V608" s="179"/>
      <c r="W608" s="179"/>
    </row>
    <row r="609" spans="1:23">
      <c r="A609" s="179"/>
      <c r="B609" s="179"/>
      <c r="C609" s="179"/>
      <c r="D609" s="179"/>
      <c r="E609" s="179"/>
      <c r="F609" s="179"/>
      <c r="G609" s="179"/>
      <c r="H609" s="179"/>
      <c r="I609" s="179"/>
      <c r="J609" s="179"/>
      <c r="K609" s="179"/>
      <c r="L609" s="179"/>
      <c r="M609" s="179"/>
      <c r="N609" s="179"/>
      <c r="O609" s="179"/>
      <c r="P609" s="179"/>
      <c r="Q609" s="179"/>
      <c r="R609" s="179"/>
      <c r="S609" s="179"/>
      <c r="T609" s="179"/>
      <c r="U609" s="179"/>
      <c r="V609" s="179"/>
      <c r="W609" s="179"/>
    </row>
    <row r="610" spans="1:23">
      <c r="A610" s="179"/>
      <c r="B610" s="179"/>
      <c r="C610" s="179"/>
      <c r="D610" s="179"/>
      <c r="E610" s="179"/>
      <c r="F610" s="179"/>
      <c r="G610" s="179"/>
      <c r="H610" s="179"/>
      <c r="I610" s="179"/>
      <c r="J610" s="179"/>
      <c r="K610" s="179"/>
      <c r="L610" s="179"/>
      <c r="M610" s="179"/>
      <c r="N610" s="179"/>
      <c r="O610" s="179"/>
      <c r="P610" s="179"/>
      <c r="Q610" s="179"/>
      <c r="R610" s="179"/>
      <c r="S610" s="179"/>
      <c r="T610" s="179"/>
      <c r="U610" s="179"/>
      <c r="V610" s="179"/>
      <c r="W610" s="179"/>
    </row>
    <row r="611" spans="1:23">
      <c r="A611" s="179"/>
      <c r="B611" s="179"/>
      <c r="C611" s="179"/>
      <c r="D611" s="179"/>
      <c r="E611" s="179"/>
      <c r="F611" s="179"/>
      <c r="G611" s="179"/>
      <c r="H611" s="179"/>
      <c r="I611" s="179"/>
      <c r="J611" s="179"/>
      <c r="K611" s="179"/>
      <c r="L611" s="179"/>
      <c r="M611" s="179"/>
      <c r="N611" s="179"/>
      <c r="O611" s="179"/>
      <c r="P611" s="179"/>
      <c r="Q611" s="179"/>
      <c r="R611" s="179"/>
      <c r="S611" s="179"/>
      <c r="T611" s="179"/>
      <c r="U611" s="179"/>
      <c r="V611" s="179"/>
      <c r="W611" s="179"/>
    </row>
    <row r="612" spans="1:23">
      <c r="A612" s="179"/>
      <c r="B612" s="179"/>
      <c r="C612" s="179"/>
      <c r="D612" s="179"/>
      <c r="E612" s="179"/>
      <c r="F612" s="179"/>
      <c r="G612" s="179"/>
      <c r="H612" s="179"/>
      <c r="I612" s="179"/>
      <c r="J612" s="179"/>
      <c r="K612" s="179"/>
      <c r="L612" s="179"/>
      <c r="M612" s="179"/>
      <c r="N612" s="179"/>
      <c r="O612" s="179"/>
      <c r="P612" s="179"/>
      <c r="Q612" s="179"/>
      <c r="R612" s="179"/>
      <c r="S612" s="179"/>
      <c r="T612" s="179"/>
      <c r="U612" s="179"/>
      <c r="V612" s="179"/>
      <c r="W612" s="179"/>
    </row>
    <row r="613" spans="1:23">
      <c r="A613" s="179"/>
      <c r="B613" s="179"/>
      <c r="C613" s="179"/>
      <c r="D613" s="179"/>
      <c r="E613" s="179"/>
      <c r="F613" s="179"/>
      <c r="G613" s="179"/>
      <c r="H613" s="179"/>
      <c r="I613" s="179"/>
      <c r="J613" s="179"/>
      <c r="K613" s="179"/>
      <c r="L613" s="179"/>
      <c r="M613" s="179"/>
      <c r="N613" s="179"/>
      <c r="O613" s="179"/>
      <c r="P613" s="179"/>
      <c r="Q613" s="179"/>
      <c r="R613" s="179"/>
      <c r="S613" s="179"/>
      <c r="T613" s="179"/>
      <c r="U613" s="179"/>
      <c r="V613" s="179"/>
      <c r="W613" s="179"/>
    </row>
    <row r="614" spans="1:23">
      <c r="A614" s="179"/>
      <c r="B614" s="179"/>
      <c r="C614" s="179"/>
      <c r="D614" s="179"/>
      <c r="E614" s="179"/>
      <c r="F614" s="179"/>
      <c r="G614" s="179"/>
      <c r="H614" s="179"/>
      <c r="I614" s="179"/>
      <c r="J614" s="179"/>
      <c r="K614" s="179"/>
      <c r="L614" s="179"/>
      <c r="M614" s="179"/>
      <c r="N614" s="179"/>
      <c r="O614" s="179"/>
      <c r="P614" s="179"/>
      <c r="Q614" s="179"/>
      <c r="R614" s="179"/>
      <c r="S614" s="179"/>
      <c r="T614" s="179"/>
      <c r="U614" s="179"/>
      <c r="V614" s="179"/>
      <c r="W614" s="179"/>
    </row>
    <row r="615" spans="1:23">
      <c r="A615" s="179"/>
      <c r="B615" s="179"/>
      <c r="C615" s="179"/>
      <c r="D615" s="179"/>
      <c r="E615" s="179"/>
      <c r="F615" s="179"/>
      <c r="G615" s="179"/>
      <c r="H615" s="179"/>
      <c r="I615" s="179"/>
      <c r="J615" s="179"/>
      <c r="K615" s="179"/>
      <c r="L615" s="179"/>
      <c r="M615" s="179"/>
      <c r="N615" s="179"/>
      <c r="O615" s="179"/>
      <c r="P615" s="179"/>
      <c r="Q615" s="179"/>
      <c r="R615" s="179"/>
      <c r="S615" s="179"/>
      <c r="T615" s="179"/>
      <c r="U615" s="179"/>
      <c r="V615" s="179"/>
      <c r="W615" s="179"/>
    </row>
    <row r="616" spans="1:23">
      <c r="A616" s="179"/>
      <c r="B616" s="179"/>
      <c r="C616" s="179"/>
      <c r="D616" s="179"/>
      <c r="E616" s="179"/>
      <c r="F616" s="179"/>
      <c r="G616" s="179"/>
      <c r="H616" s="179"/>
      <c r="I616" s="179"/>
      <c r="J616" s="179"/>
      <c r="K616" s="179"/>
      <c r="L616" s="179"/>
      <c r="M616" s="179"/>
      <c r="N616" s="179"/>
      <c r="O616" s="179"/>
      <c r="P616" s="179"/>
      <c r="Q616" s="179"/>
      <c r="R616" s="179"/>
      <c r="S616" s="179"/>
      <c r="T616" s="179"/>
      <c r="U616" s="179"/>
      <c r="V616" s="179"/>
      <c r="W616" s="179"/>
    </row>
    <row r="617" spans="1:23">
      <c r="A617" s="179"/>
      <c r="B617" s="179"/>
      <c r="C617" s="179"/>
      <c r="D617" s="179"/>
      <c r="E617" s="179"/>
      <c r="F617" s="179"/>
      <c r="G617" s="179"/>
      <c r="H617" s="179"/>
      <c r="I617" s="179"/>
      <c r="J617" s="179"/>
      <c r="K617" s="179"/>
      <c r="L617" s="179"/>
      <c r="M617" s="179"/>
      <c r="N617" s="179"/>
      <c r="O617" s="179"/>
      <c r="P617" s="179"/>
      <c r="Q617" s="179"/>
      <c r="R617" s="179"/>
      <c r="S617" s="179"/>
      <c r="T617" s="179"/>
      <c r="U617" s="179"/>
      <c r="V617" s="179"/>
      <c r="W617" s="179"/>
    </row>
    <row r="618" spans="1:23">
      <c r="A618" s="179"/>
      <c r="B618" s="179"/>
      <c r="C618" s="179"/>
      <c r="D618" s="179"/>
      <c r="E618" s="179"/>
      <c r="F618" s="179"/>
      <c r="G618" s="179"/>
      <c r="H618" s="179"/>
      <c r="I618" s="179"/>
      <c r="J618" s="179"/>
      <c r="K618" s="179"/>
      <c r="L618" s="179"/>
      <c r="M618" s="179"/>
      <c r="N618" s="179"/>
      <c r="O618" s="179"/>
      <c r="P618" s="179"/>
      <c r="Q618" s="179"/>
      <c r="R618" s="179"/>
      <c r="S618" s="179"/>
      <c r="T618" s="179"/>
      <c r="U618" s="179"/>
      <c r="V618" s="179"/>
      <c r="W618" s="179"/>
    </row>
    <row r="619" spans="1:23">
      <c r="A619" s="179"/>
      <c r="B619" s="179"/>
      <c r="C619" s="179"/>
      <c r="D619" s="179"/>
      <c r="E619" s="179"/>
      <c r="F619" s="179"/>
      <c r="G619" s="179"/>
      <c r="H619" s="179"/>
      <c r="I619" s="179"/>
      <c r="J619" s="179"/>
      <c r="K619" s="179"/>
      <c r="L619" s="179"/>
      <c r="M619" s="179"/>
      <c r="N619" s="179"/>
      <c r="O619" s="179"/>
      <c r="P619" s="179"/>
      <c r="Q619" s="179"/>
      <c r="R619" s="179"/>
      <c r="S619" s="179"/>
      <c r="T619" s="179"/>
      <c r="U619" s="179"/>
      <c r="V619" s="179"/>
      <c r="W619" s="179"/>
    </row>
    <row r="620" spans="1:23">
      <c r="A620" s="179"/>
      <c r="B620" s="179"/>
      <c r="C620" s="179"/>
      <c r="D620" s="179"/>
      <c r="E620" s="179"/>
      <c r="F620" s="179"/>
      <c r="G620" s="179"/>
      <c r="H620" s="179"/>
      <c r="I620" s="179"/>
      <c r="J620" s="179"/>
      <c r="K620" s="179"/>
      <c r="L620" s="179"/>
      <c r="M620" s="179"/>
      <c r="N620" s="179"/>
      <c r="O620" s="179"/>
      <c r="P620" s="179"/>
      <c r="Q620" s="179"/>
      <c r="R620" s="179"/>
      <c r="S620" s="179"/>
      <c r="T620" s="179"/>
      <c r="U620" s="179"/>
      <c r="V620" s="179"/>
      <c r="W620" s="179"/>
    </row>
    <row r="621" spans="1:23">
      <c r="A621" s="179"/>
      <c r="B621" s="179"/>
      <c r="C621" s="179"/>
      <c r="D621" s="179"/>
      <c r="E621" s="179"/>
      <c r="F621" s="179"/>
      <c r="G621" s="179"/>
      <c r="H621" s="179"/>
      <c r="I621" s="179"/>
      <c r="J621" s="179"/>
      <c r="K621" s="179"/>
      <c r="L621" s="179"/>
      <c r="M621" s="179"/>
      <c r="N621" s="179"/>
      <c r="O621" s="179"/>
      <c r="P621" s="179"/>
      <c r="Q621" s="179"/>
      <c r="R621" s="179"/>
      <c r="S621" s="179"/>
      <c r="T621" s="179"/>
      <c r="U621" s="179"/>
      <c r="V621" s="179"/>
      <c r="W621" s="179"/>
    </row>
    <row r="622" spans="1:23">
      <c r="A622" s="179"/>
      <c r="B622" s="179"/>
      <c r="C622" s="179"/>
      <c r="D622" s="179"/>
      <c r="E622" s="179"/>
      <c r="F622" s="179"/>
      <c r="G622" s="179"/>
      <c r="H622" s="179"/>
      <c r="I622" s="179"/>
      <c r="J622" s="179"/>
      <c r="K622" s="179"/>
      <c r="L622" s="179"/>
      <c r="M622" s="179"/>
      <c r="N622" s="179"/>
      <c r="O622" s="179"/>
      <c r="P622" s="179"/>
      <c r="Q622" s="179"/>
      <c r="R622" s="179"/>
      <c r="S622" s="179"/>
      <c r="T622" s="179"/>
      <c r="U622" s="179"/>
      <c r="V622" s="179"/>
      <c r="W622" s="179"/>
    </row>
    <row r="623" spans="1:23">
      <c r="A623" s="179"/>
      <c r="B623" s="179"/>
      <c r="C623" s="179"/>
      <c r="D623" s="179"/>
      <c r="E623" s="179"/>
      <c r="F623" s="179"/>
      <c r="G623" s="179"/>
      <c r="H623" s="179"/>
      <c r="I623" s="179"/>
      <c r="J623" s="179"/>
      <c r="K623" s="179"/>
      <c r="L623" s="179"/>
      <c r="M623" s="179"/>
      <c r="N623" s="179"/>
      <c r="O623" s="179"/>
      <c r="P623" s="179"/>
      <c r="Q623" s="179"/>
      <c r="R623" s="179"/>
      <c r="S623" s="179"/>
      <c r="T623" s="179"/>
      <c r="U623" s="179"/>
      <c r="V623" s="179"/>
      <c r="W623" s="179"/>
    </row>
    <row r="624" spans="1:23">
      <c r="A624" s="179"/>
      <c r="B624" s="179"/>
      <c r="C624" s="179"/>
      <c r="D624" s="179"/>
      <c r="E624" s="179"/>
      <c r="F624" s="179"/>
      <c r="G624" s="179"/>
      <c r="H624" s="179"/>
      <c r="I624" s="179"/>
      <c r="J624" s="179"/>
      <c r="K624" s="179"/>
      <c r="L624" s="179"/>
      <c r="M624" s="179"/>
      <c r="N624" s="179"/>
      <c r="O624" s="179"/>
      <c r="P624" s="179"/>
      <c r="Q624" s="179"/>
      <c r="R624" s="179"/>
      <c r="S624" s="179"/>
      <c r="T624" s="179"/>
      <c r="U624" s="179"/>
      <c r="V624" s="179"/>
      <c r="W624" s="179"/>
    </row>
    <row r="625" spans="1:23">
      <c r="A625" s="179"/>
      <c r="B625" s="179"/>
      <c r="C625" s="179"/>
      <c r="D625" s="179"/>
      <c r="E625" s="179"/>
      <c r="F625" s="179"/>
      <c r="G625" s="179"/>
      <c r="H625" s="179"/>
      <c r="I625" s="179"/>
      <c r="J625" s="179"/>
      <c r="K625" s="179"/>
      <c r="L625" s="179"/>
      <c r="M625" s="179"/>
      <c r="N625" s="179"/>
      <c r="O625" s="179"/>
      <c r="P625" s="179"/>
      <c r="Q625" s="179"/>
      <c r="R625" s="179"/>
      <c r="S625" s="179"/>
      <c r="T625" s="179"/>
      <c r="U625" s="179"/>
      <c r="V625" s="179"/>
      <c r="W625" s="179"/>
    </row>
    <row r="626" spans="1:23">
      <c r="A626" s="179"/>
      <c r="B626" s="179"/>
      <c r="C626" s="179"/>
      <c r="D626" s="179"/>
      <c r="E626" s="179"/>
      <c r="F626" s="179"/>
      <c r="G626" s="179"/>
      <c r="H626" s="179"/>
      <c r="I626" s="179"/>
      <c r="J626" s="179"/>
      <c r="K626" s="179"/>
      <c r="L626" s="179"/>
      <c r="M626" s="179"/>
      <c r="N626" s="179"/>
      <c r="O626" s="179"/>
      <c r="P626" s="179"/>
      <c r="Q626" s="179"/>
      <c r="R626" s="179"/>
      <c r="S626" s="179"/>
      <c r="T626" s="179"/>
      <c r="U626" s="179"/>
      <c r="V626" s="179"/>
      <c r="W626" s="179"/>
    </row>
    <row r="627" spans="1:23">
      <c r="A627" s="179"/>
      <c r="B627" s="179"/>
      <c r="C627" s="179"/>
      <c r="D627" s="179"/>
      <c r="E627" s="179"/>
      <c r="F627" s="179"/>
      <c r="G627" s="179"/>
      <c r="H627" s="179"/>
      <c r="I627" s="179"/>
      <c r="J627" s="179"/>
      <c r="K627" s="179"/>
      <c r="L627" s="179"/>
      <c r="M627" s="179"/>
      <c r="N627" s="179"/>
      <c r="O627" s="179"/>
      <c r="P627" s="179"/>
      <c r="Q627" s="179"/>
      <c r="R627" s="179"/>
      <c r="S627" s="179"/>
      <c r="T627" s="179"/>
      <c r="U627" s="179"/>
      <c r="V627" s="179"/>
      <c r="W627" s="179"/>
    </row>
    <row r="628" spans="1:23">
      <c r="A628" s="179"/>
      <c r="B628" s="179"/>
      <c r="C628" s="179"/>
      <c r="D628" s="179"/>
      <c r="E628" s="179"/>
      <c r="F628" s="179"/>
      <c r="G628" s="179"/>
      <c r="H628" s="179"/>
      <c r="I628" s="179"/>
      <c r="J628" s="179"/>
      <c r="K628" s="179"/>
      <c r="L628" s="179"/>
      <c r="M628" s="179"/>
      <c r="N628" s="179"/>
      <c r="O628" s="179"/>
      <c r="P628" s="179"/>
      <c r="Q628" s="179"/>
      <c r="R628" s="179"/>
      <c r="S628" s="179"/>
      <c r="T628" s="179"/>
      <c r="U628" s="179"/>
      <c r="V628" s="179"/>
      <c r="W628" s="179"/>
    </row>
    <row r="629" spans="1:23">
      <c r="A629" s="179"/>
      <c r="B629" s="179"/>
      <c r="C629" s="179"/>
      <c r="D629" s="179"/>
      <c r="E629" s="179"/>
      <c r="F629" s="179"/>
      <c r="G629" s="179"/>
      <c r="H629" s="179"/>
      <c r="I629" s="179"/>
      <c r="J629" s="179"/>
      <c r="K629" s="179"/>
      <c r="L629" s="179"/>
      <c r="M629" s="179"/>
      <c r="N629" s="179"/>
      <c r="O629" s="179"/>
      <c r="P629" s="179"/>
      <c r="Q629" s="179"/>
      <c r="R629" s="179"/>
      <c r="S629" s="179"/>
      <c r="T629" s="179"/>
      <c r="U629" s="179"/>
      <c r="V629" s="179"/>
      <c r="W629" s="179"/>
    </row>
    <row r="630" spans="1:23">
      <c r="A630" s="179"/>
      <c r="B630" s="179"/>
      <c r="C630" s="179"/>
      <c r="D630" s="179"/>
      <c r="E630" s="179"/>
      <c r="F630" s="179"/>
      <c r="G630" s="179"/>
      <c r="H630" s="179"/>
      <c r="I630" s="179"/>
      <c r="J630" s="179"/>
      <c r="K630" s="179"/>
      <c r="L630" s="179"/>
      <c r="M630" s="179"/>
      <c r="N630" s="179"/>
      <c r="O630" s="179"/>
      <c r="P630" s="179"/>
      <c r="Q630" s="179"/>
      <c r="R630" s="179"/>
      <c r="S630" s="179"/>
      <c r="T630" s="179"/>
      <c r="U630" s="179"/>
      <c r="V630" s="179"/>
      <c r="W630" s="179"/>
    </row>
    <row r="631" spans="1:23">
      <c r="A631" s="179"/>
      <c r="B631" s="179"/>
      <c r="C631" s="179"/>
      <c r="D631" s="179"/>
      <c r="E631" s="179"/>
      <c r="F631" s="179"/>
      <c r="G631" s="179"/>
      <c r="H631" s="179"/>
      <c r="I631" s="179"/>
      <c r="J631" s="179"/>
      <c r="K631" s="179"/>
      <c r="L631" s="179"/>
      <c r="M631" s="179"/>
      <c r="N631" s="179"/>
      <c r="O631" s="179"/>
      <c r="P631" s="179"/>
      <c r="Q631" s="179"/>
      <c r="R631" s="179"/>
      <c r="S631" s="179"/>
      <c r="T631" s="179"/>
      <c r="U631" s="179"/>
      <c r="V631" s="179"/>
      <c r="W631" s="179"/>
    </row>
    <row r="632" spans="1:23">
      <c r="A632" s="179"/>
      <c r="B632" s="179"/>
      <c r="C632" s="179"/>
      <c r="D632" s="179"/>
      <c r="E632" s="179"/>
      <c r="F632" s="179"/>
      <c r="G632" s="179"/>
      <c r="H632" s="179"/>
      <c r="I632" s="179"/>
      <c r="J632" s="179"/>
      <c r="K632" s="179"/>
      <c r="L632" s="179"/>
      <c r="M632" s="179"/>
      <c r="N632" s="179"/>
      <c r="O632" s="179"/>
      <c r="P632" s="179"/>
      <c r="Q632" s="179"/>
      <c r="R632" s="179"/>
      <c r="S632" s="179"/>
      <c r="T632" s="179"/>
      <c r="U632" s="179"/>
      <c r="V632" s="179"/>
      <c r="W632" s="179"/>
    </row>
    <row r="633" spans="1:23">
      <c r="A633" s="179"/>
      <c r="B633" s="179"/>
      <c r="C633" s="179"/>
      <c r="D633" s="179"/>
      <c r="E633" s="179"/>
      <c r="F633" s="179"/>
      <c r="G633" s="179"/>
      <c r="H633" s="179"/>
      <c r="I633" s="179"/>
      <c r="J633" s="179"/>
      <c r="K633" s="179"/>
      <c r="L633" s="179"/>
      <c r="M633" s="179"/>
      <c r="N633" s="179"/>
      <c r="O633" s="179"/>
      <c r="P633" s="179"/>
      <c r="Q633" s="179"/>
      <c r="R633" s="179"/>
      <c r="S633" s="179"/>
      <c r="T633" s="179"/>
      <c r="U633" s="179"/>
      <c r="V633" s="179"/>
      <c r="W633" s="179"/>
    </row>
    <row r="634" spans="1:23">
      <c r="A634" s="179"/>
      <c r="B634" s="179"/>
      <c r="C634" s="179"/>
      <c r="D634" s="179"/>
      <c r="E634" s="179"/>
      <c r="F634" s="179"/>
      <c r="G634" s="179"/>
      <c r="H634" s="179"/>
      <c r="I634" s="179"/>
      <c r="J634" s="179"/>
      <c r="K634" s="179"/>
      <c r="L634" s="179"/>
      <c r="M634" s="179"/>
      <c r="N634" s="179"/>
      <c r="O634" s="179"/>
      <c r="P634" s="179"/>
      <c r="Q634" s="179"/>
      <c r="R634" s="179"/>
      <c r="S634" s="179"/>
      <c r="T634" s="179"/>
      <c r="U634" s="179"/>
      <c r="V634" s="179"/>
      <c r="W634" s="179"/>
    </row>
    <row r="635" spans="1:23">
      <c r="A635" s="179"/>
      <c r="B635" s="179"/>
      <c r="C635" s="179"/>
      <c r="D635" s="179"/>
      <c r="E635" s="179"/>
      <c r="F635" s="179"/>
      <c r="G635" s="179"/>
      <c r="H635" s="179"/>
      <c r="I635" s="179"/>
      <c r="J635" s="179"/>
      <c r="K635" s="179"/>
      <c r="L635" s="179"/>
      <c r="M635" s="179"/>
      <c r="N635" s="179"/>
      <c r="O635" s="179"/>
      <c r="P635" s="179"/>
      <c r="Q635" s="179"/>
      <c r="R635" s="179"/>
      <c r="S635" s="179"/>
      <c r="T635" s="179"/>
      <c r="U635" s="179"/>
      <c r="V635" s="179"/>
      <c r="W635" s="179"/>
    </row>
    <row r="636" spans="1:23">
      <c r="A636" s="179"/>
      <c r="B636" s="179"/>
      <c r="C636" s="179"/>
      <c r="D636" s="179"/>
      <c r="E636" s="179"/>
      <c r="F636" s="179"/>
      <c r="G636" s="179"/>
      <c r="H636" s="179"/>
      <c r="I636" s="179"/>
      <c r="J636" s="179"/>
      <c r="K636" s="179"/>
      <c r="L636" s="179"/>
      <c r="M636" s="179"/>
      <c r="N636" s="179"/>
      <c r="O636" s="179"/>
      <c r="P636" s="179"/>
      <c r="Q636" s="179"/>
      <c r="R636" s="179"/>
      <c r="S636" s="179"/>
      <c r="T636" s="179"/>
      <c r="U636" s="179"/>
      <c r="V636" s="179"/>
      <c r="W636" s="179"/>
    </row>
    <row r="637" spans="1:23">
      <c r="A637" s="179"/>
      <c r="B637" s="179"/>
      <c r="C637" s="179"/>
      <c r="D637" s="179"/>
      <c r="E637" s="179"/>
      <c r="F637" s="179"/>
      <c r="G637" s="179"/>
      <c r="H637" s="179"/>
      <c r="I637" s="179"/>
      <c r="J637" s="179"/>
      <c r="K637" s="179"/>
      <c r="L637" s="179"/>
      <c r="M637" s="179"/>
      <c r="N637" s="179"/>
      <c r="O637" s="179"/>
      <c r="P637" s="179"/>
      <c r="Q637" s="179"/>
      <c r="R637" s="179"/>
      <c r="S637" s="179"/>
      <c r="T637" s="179"/>
      <c r="U637" s="179"/>
      <c r="V637" s="179"/>
      <c r="W637" s="179"/>
    </row>
    <row r="638" spans="1:23">
      <c r="A638" s="179"/>
      <c r="B638" s="179"/>
      <c r="C638" s="179"/>
      <c r="D638" s="179"/>
      <c r="E638" s="179"/>
      <c r="F638" s="179"/>
      <c r="G638" s="179"/>
      <c r="H638" s="179"/>
      <c r="I638" s="179"/>
      <c r="J638" s="179"/>
      <c r="K638" s="179"/>
      <c r="L638" s="179"/>
      <c r="M638" s="179"/>
      <c r="N638" s="179"/>
      <c r="O638" s="179"/>
      <c r="P638" s="179"/>
      <c r="Q638" s="179"/>
      <c r="R638" s="179"/>
      <c r="S638" s="179"/>
      <c r="T638" s="179"/>
      <c r="U638" s="179"/>
      <c r="V638" s="179"/>
      <c r="W638" s="179"/>
    </row>
    <row r="639" spans="1:23">
      <c r="A639" s="179"/>
      <c r="B639" s="179"/>
      <c r="C639" s="179"/>
      <c r="D639" s="179"/>
      <c r="E639" s="179"/>
      <c r="F639" s="179"/>
      <c r="G639" s="179"/>
      <c r="H639" s="179"/>
      <c r="I639" s="179"/>
      <c r="J639" s="179"/>
      <c r="K639" s="179"/>
      <c r="L639" s="179"/>
      <c r="M639" s="179"/>
      <c r="N639" s="179"/>
      <c r="O639" s="179"/>
      <c r="P639" s="179"/>
      <c r="Q639" s="179"/>
      <c r="R639" s="179"/>
      <c r="S639" s="179"/>
      <c r="T639" s="179"/>
      <c r="U639" s="179"/>
      <c r="V639" s="179"/>
      <c r="W639" s="179"/>
    </row>
    <row r="640" spans="1:23">
      <c r="A640" s="179"/>
      <c r="B640" s="179"/>
      <c r="C640" s="179"/>
      <c r="D640" s="179"/>
      <c r="E640" s="179"/>
      <c r="F640" s="179"/>
      <c r="G640" s="179"/>
      <c r="H640" s="179"/>
      <c r="I640" s="179"/>
      <c r="J640" s="179"/>
      <c r="K640" s="179"/>
      <c r="L640" s="179"/>
      <c r="M640" s="179"/>
      <c r="N640" s="179"/>
      <c r="O640" s="179"/>
      <c r="P640" s="179"/>
      <c r="Q640" s="179"/>
      <c r="R640" s="179"/>
      <c r="S640" s="179"/>
      <c r="T640" s="179"/>
      <c r="U640" s="179"/>
      <c r="V640" s="179"/>
      <c r="W640" s="179"/>
    </row>
    <row r="641" spans="1:23">
      <c r="A641" s="179"/>
      <c r="B641" s="179"/>
      <c r="C641" s="179"/>
      <c r="D641" s="179"/>
      <c r="E641" s="179"/>
      <c r="F641" s="179"/>
      <c r="G641" s="179"/>
      <c r="H641" s="179"/>
      <c r="I641" s="179"/>
      <c r="J641" s="179"/>
      <c r="K641" s="179"/>
      <c r="L641" s="179"/>
      <c r="M641" s="179"/>
      <c r="N641" s="179"/>
      <c r="O641" s="179"/>
      <c r="P641" s="179"/>
      <c r="Q641" s="179"/>
      <c r="R641" s="179"/>
      <c r="S641" s="179"/>
      <c r="T641" s="179"/>
      <c r="U641" s="179"/>
      <c r="V641" s="179"/>
      <c r="W641" s="179"/>
    </row>
    <row r="642" spans="1:23">
      <c r="A642" s="179"/>
      <c r="B642" s="179"/>
      <c r="C642" s="179"/>
      <c r="D642" s="179"/>
      <c r="E642" s="179"/>
      <c r="F642" s="179"/>
      <c r="G642" s="179"/>
      <c r="H642" s="179"/>
      <c r="I642" s="179"/>
      <c r="J642" s="179"/>
      <c r="K642" s="179"/>
      <c r="L642" s="179"/>
      <c r="M642" s="179"/>
      <c r="N642" s="179"/>
      <c r="O642" s="179"/>
      <c r="P642" s="179"/>
      <c r="Q642" s="179"/>
      <c r="R642" s="179"/>
      <c r="S642" s="179"/>
      <c r="T642" s="179"/>
      <c r="U642" s="179"/>
      <c r="V642" s="179"/>
      <c r="W642" s="179"/>
    </row>
    <row r="643" spans="1:23">
      <c r="A643" s="179"/>
      <c r="B643" s="179"/>
      <c r="C643" s="179"/>
      <c r="D643" s="179"/>
      <c r="E643" s="179"/>
      <c r="F643" s="179"/>
      <c r="G643" s="179"/>
      <c r="H643" s="179"/>
      <c r="I643" s="179"/>
      <c r="J643" s="179"/>
      <c r="K643" s="179"/>
      <c r="L643" s="179"/>
      <c r="M643" s="179"/>
      <c r="N643" s="179"/>
      <c r="O643" s="179"/>
      <c r="P643" s="179"/>
      <c r="Q643" s="179"/>
      <c r="R643" s="179"/>
      <c r="S643" s="179"/>
      <c r="T643" s="179"/>
      <c r="U643" s="179"/>
      <c r="V643" s="179"/>
      <c r="W643" s="179"/>
    </row>
    <row r="644" spans="1:23">
      <c r="A644" s="179"/>
      <c r="B644" s="179"/>
      <c r="C644" s="179"/>
      <c r="D644" s="179"/>
      <c r="E644" s="179"/>
      <c r="F644" s="179"/>
      <c r="G644" s="179"/>
      <c r="H644" s="179"/>
      <c r="I644" s="179"/>
      <c r="J644" s="179"/>
      <c r="K644" s="179"/>
      <c r="L644" s="179"/>
      <c r="M644" s="179"/>
      <c r="N644" s="179"/>
      <c r="O644" s="179"/>
      <c r="P644" s="179"/>
      <c r="Q644" s="179"/>
      <c r="R644" s="179"/>
      <c r="S644" s="179"/>
      <c r="T644" s="179"/>
      <c r="U644" s="179"/>
      <c r="V644" s="179"/>
      <c r="W644" s="179"/>
    </row>
    <row r="645" spans="1:23">
      <c r="A645" s="179"/>
      <c r="B645" s="179"/>
      <c r="C645" s="179"/>
      <c r="D645" s="179"/>
      <c r="E645" s="179"/>
      <c r="F645" s="179"/>
      <c r="G645" s="179"/>
      <c r="H645" s="179"/>
      <c r="I645" s="179"/>
      <c r="J645" s="179"/>
      <c r="K645" s="179"/>
      <c r="L645" s="179"/>
      <c r="M645" s="179"/>
      <c r="N645" s="179"/>
      <c r="O645" s="179"/>
      <c r="P645" s="179"/>
      <c r="Q645" s="179"/>
      <c r="R645" s="179"/>
      <c r="S645" s="179"/>
      <c r="T645" s="179"/>
      <c r="U645" s="179"/>
      <c r="V645" s="179"/>
      <c r="W645" s="179"/>
    </row>
    <row r="646" spans="1:23">
      <c r="A646" s="179"/>
      <c r="B646" s="179"/>
      <c r="C646" s="179"/>
      <c r="D646" s="179"/>
      <c r="E646" s="179"/>
      <c r="F646" s="179"/>
      <c r="G646" s="179"/>
      <c r="H646" s="179"/>
      <c r="I646" s="179"/>
      <c r="J646" s="179"/>
      <c r="K646" s="179"/>
      <c r="L646" s="179"/>
      <c r="M646" s="179"/>
      <c r="N646" s="179"/>
      <c r="O646" s="179"/>
      <c r="P646" s="179"/>
      <c r="Q646" s="179"/>
      <c r="R646" s="179"/>
      <c r="S646" s="179"/>
      <c r="T646" s="179"/>
      <c r="U646" s="179"/>
      <c r="V646" s="179"/>
      <c r="W646" s="179"/>
    </row>
    <row r="647" spans="1:23">
      <c r="A647" s="179"/>
      <c r="B647" s="179"/>
      <c r="C647" s="179"/>
      <c r="D647" s="179"/>
      <c r="E647" s="179"/>
      <c r="F647" s="179"/>
      <c r="G647" s="179"/>
      <c r="H647" s="179"/>
      <c r="I647" s="179"/>
      <c r="J647" s="179"/>
      <c r="K647" s="179"/>
      <c r="L647" s="179"/>
      <c r="M647" s="179"/>
      <c r="N647" s="179"/>
      <c r="O647" s="179"/>
      <c r="P647" s="179"/>
      <c r="Q647" s="179"/>
      <c r="R647" s="179"/>
      <c r="S647" s="179"/>
      <c r="T647" s="179"/>
      <c r="U647" s="179"/>
      <c r="V647" s="179"/>
      <c r="W647" s="179"/>
    </row>
    <row r="648" spans="1:23">
      <c r="A648" s="179"/>
      <c r="B648" s="179"/>
      <c r="C648" s="179"/>
      <c r="D648" s="179"/>
      <c r="E648" s="179"/>
      <c r="F648" s="179"/>
      <c r="G648" s="179"/>
      <c r="H648" s="179"/>
      <c r="I648" s="179"/>
      <c r="J648" s="179"/>
      <c r="K648" s="179"/>
      <c r="L648" s="179"/>
      <c r="M648" s="179"/>
      <c r="N648" s="179"/>
      <c r="O648" s="179"/>
      <c r="P648" s="179"/>
      <c r="Q648" s="179"/>
      <c r="R648" s="179"/>
      <c r="S648" s="179"/>
      <c r="T648" s="179"/>
      <c r="U648" s="179"/>
      <c r="V648" s="179"/>
      <c r="W648" s="179"/>
    </row>
    <row r="649" spans="1:23">
      <c r="A649" s="179"/>
      <c r="B649" s="179"/>
      <c r="C649" s="179"/>
      <c r="D649" s="179"/>
      <c r="E649" s="179"/>
      <c r="F649" s="179"/>
      <c r="G649" s="179"/>
      <c r="H649" s="179"/>
      <c r="I649" s="179"/>
      <c r="J649" s="179"/>
      <c r="K649" s="179"/>
      <c r="L649" s="179"/>
      <c r="M649" s="179"/>
      <c r="N649" s="179"/>
      <c r="O649" s="179"/>
      <c r="P649" s="179"/>
      <c r="Q649" s="179"/>
      <c r="R649" s="179"/>
      <c r="S649" s="179"/>
      <c r="T649" s="179"/>
      <c r="U649" s="179"/>
      <c r="V649" s="179"/>
      <c r="W649" s="179"/>
    </row>
    <row r="650" spans="1:23">
      <c r="A650" s="179"/>
      <c r="B650" s="179"/>
      <c r="C650" s="179"/>
      <c r="D650" s="179"/>
      <c r="E650" s="179"/>
      <c r="F650" s="179"/>
      <c r="G650" s="179"/>
      <c r="H650" s="179"/>
      <c r="I650" s="179"/>
      <c r="J650" s="179"/>
      <c r="K650" s="179"/>
      <c r="L650" s="179"/>
      <c r="M650" s="179"/>
      <c r="N650" s="179"/>
      <c r="O650" s="179"/>
      <c r="P650" s="179"/>
      <c r="Q650" s="179"/>
      <c r="R650" s="179"/>
      <c r="S650" s="179"/>
      <c r="T650" s="179"/>
      <c r="U650" s="179"/>
      <c r="V650" s="179"/>
      <c r="W650" s="179"/>
    </row>
    <row r="651" spans="1:23">
      <c r="A651" s="179"/>
      <c r="B651" s="179"/>
      <c r="C651" s="179"/>
      <c r="D651" s="179"/>
      <c r="E651" s="179"/>
      <c r="F651" s="179"/>
      <c r="G651" s="179"/>
      <c r="H651" s="179"/>
      <c r="I651" s="179"/>
      <c r="J651" s="179"/>
      <c r="K651" s="179"/>
      <c r="L651" s="179"/>
      <c r="M651" s="179"/>
      <c r="N651" s="179"/>
      <c r="O651" s="179"/>
      <c r="P651" s="179"/>
      <c r="Q651" s="179"/>
      <c r="R651" s="179"/>
      <c r="S651" s="179"/>
      <c r="T651" s="179"/>
      <c r="U651" s="179"/>
      <c r="V651" s="179"/>
      <c r="W651" s="179"/>
    </row>
    <row r="652" spans="1:23">
      <c r="A652" s="179"/>
      <c r="B652" s="179"/>
      <c r="C652" s="179"/>
      <c r="D652" s="179"/>
      <c r="E652" s="179"/>
      <c r="F652" s="179"/>
      <c r="G652" s="179"/>
      <c r="H652" s="179"/>
      <c r="I652" s="179"/>
      <c r="J652" s="179"/>
      <c r="K652" s="179"/>
      <c r="L652" s="179"/>
      <c r="M652" s="179"/>
      <c r="N652" s="179"/>
      <c r="O652" s="179"/>
      <c r="P652" s="179"/>
      <c r="Q652" s="179"/>
      <c r="R652" s="179"/>
      <c r="S652" s="179"/>
      <c r="T652" s="179"/>
      <c r="U652" s="179"/>
      <c r="V652" s="179"/>
      <c r="W652" s="179"/>
    </row>
    <row r="653" spans="1:23">
      <c r="A653" s="179"/>
      <c r="B653" s="179"/>
      <c r="C653" s="179"/>
      <c r="D653" s="179"/>
      <c r="E653" s="179"/>
      <c r="F653" s="179"/>
      <c r="G653" s="179"/>
      <c r="H653" s="179"/>
      <c r="I653" s="179"/>
      <c r="J653" s="179"/>
      <c r="K653" s="179"/>
      <c r="L653" s="179"/>
      <c r="M653" s="179"/>
      <c r="N653" s="179"/>
      <c r="O653" s="179"/>
      <c r="P653" s="179"/>
      <c r="Q653" s="179"/>
      <c r="R653" s="179"/>
      <c r="S653" s="179"/>
      <c r="T653" s="179"/>
      <c r="U653" s="179"/>
      <c r="V653" s="179"/>
      <c r="W653" s="179"/>
    </row>
    <row r="654" spans="1:23">
      <c r="A654" s="179"/>
      <c r="B654" s="179"/>
      <c r="C654" s="179"/>
      <c r="D654" s="179"/>
      <c r="E654" s="179"/>
      <c r="F654" s="179"/>
      <c r="G654" s="179"/>
      <c r="H654" s="179"/>
      <c r="I654" s="179"/>
      <c r="J654" s="179"/>
      <c r="K654" s="179"/>
      <c r="L654" s="179"/>
      <c r="M654" s="179"/>
      <c r="N654" s="179"/>
      <c r="O654" s="179"/>
      <c r="P654" s="179"/>
      <c r="Q654" s="179"/>
      <c r="R654" s="179"/>
      <c r="S654" s="179"/>
      <c r="T654" s="179"/>
      <c r="U654" s="179"/>
      <c r="V654" s="179"/>
      <c r="W654" s="179"/>
    </row>
    <row r="655" spans="1:23">
      <c r="A655" s="179"/>
      <c r="B655" s="179"/>
      <c r="C655" s="179"/>
      <c r="D655" s="179"/>
      <c r="E655" s="179"/>
      <c r="F655" s="179"/>
      <c r="G655" s="179"/>
      <c r="H655" s="179"/>
      <c r="I655" s="179"/>
      <c r="J655" s="179"/>
      <c r="K655" s="179"/>
      <c r="L655" s="179"/>
      <c r="M655" s="179"/>
      <c r="N655" s="179"/>
      <c r="O655" s="179"/>
      <c r="P655" s="179"/>
      <c r="Q655" s="179"/>
      <c r="R655" s="179"/>
      <c r="S655" s="179"/>
      <c r="T655" s="179"/>
      <c r="U655" s="179"/>
      <c r="V655" s="179"/>
      <c r="W655" s="179"/>
    </row>
    <row r="656" spans="1:23">
      <c r="A656" s="179"/>
      <c r="B656" s="179"/>
      <c r="C656" s="179"/>
      <c r="D656" s="179"/>
      <c r="E656" s="179"/>
      <c r="F656" s="179"/>
      <c r="G656" s="179"/>
      <c r="H656" s="179"/>
      <c r="I656" s="179"/>
      <c r="J656" s="179"/>
      <c r="K656" s="179"/>
      <c r="L656" s="179"/>
      <c r="M656" s="179"/>
      <c r="N656" s="179"/>
      <c r="O656" s="179"/>
      <c r="P656" s="179"/>
      <c r="Q656" s="179"/>
      <c r="R656" s="179"/>
      <c r="S656" s="179"/>
      <c r="T656" s="179"/>
      <c r="U656" s="179"/>
      <c r="V656" s="179"/>
      <c r="W656" s="179"/>
    </row>
    <row r="657" spans="1:23">
      <c r="A657" s="179"/>
      <c r="B657" s="179"/>
      <c r="C657" s="179"/>
      <c r="D657" s="179"/>
      <c r="E657" s="179"/>
      <c r="F657" s="179"/>
      <c r="G657" s="179"/>
      <c r="H657" s="179"/>
      <c r="I657" s="179"/>
      <c r="J657" s="179"/>
      <c r="K657" s="179"/>
      <c r="L657" s="179"/>
      <c r="M657" s="179"/>
      <c r="N657" s="179"/>
      <c r="O657" s="179"/>
      <c r="P657" s="179"/>
      <c r="Q657" s="179"/>
      <c r="R657" s="179"/>
      <c r="S657" s="179"/>
      <c r="T657" s="179"/>
      <c r="U657" s="179"/>
      <c r="V657" s="179"/>
      <c r="W657" s="179"/>
    </row>
    <row r="658" spans="1:23">
      <c r="A658" s="179"/>
      <c r="B658" s="179"/>
      <c r="C658" s="179"/>
      <c r="D658" s="179"/>
      <c r="E658" s="179"/>
      <c r="F658" s="179"/>
      <c r="G658" s="179"/>
      <c r="H658" s="179"/>
      <c r="I658" s="179"/>
      <c r="J658" s="179"/>
      <c r="K658" s="179"/>
      <c r="L658" s="179"/>
      <c r="M658" s="179"/>
      <c r="N658" s="179"/>
      <c r="O658" s="179"/>
      <c r="P658" s="179"/>
      <c r="Q658" s="179"/>
      <c r="R658" s="179"/>
      <c r="S658" s="179"/>
      <c r="T658" s="179"/>
      <c r="U658" s="179"/>
      <c r="V658" s="179"/>
      <c r="W658" s="179"/>
    </row>
    <row r="659" spans="1:23">
      <c r="A659" s="179"/>
      <c r="B659" s="179"/>
      <c r="C659" s="179"/>
      <c r="D659" s="179"/>
      <c r="E659" s="179"/>
      <c r="F659" s="179"/>
      <c r="G659" s="179"/>
      <c r="H659" s="179"/>
      <c r="I659" s="179"/>
      <c r="J659" s="179"/>
      <c r="K659" s="179"/>
      <c r="L659" s="179"/>
      <c r="M659" s="179"/>
      <c r="N659" s="179"/>
      <c r="O659" s="179"/>
      <c r="P659" s="179"/>
      <c r="Q659" s="179"/>
      <c r="R659" s="179"/>
      <c r="S659" s="179"/>
      <c r="T659" s="179"/>
      <c r="U659" s="179"/>
      <c r="V659" s="179"/>
      <c r="W659" s="179"/>
    </row>
    <row r="660" spans="1:23">
      <c r="A660" s="179"/>
      <c r="B660" s="179"/>
      <c r="C660" s="179"/>
      <c r="D660" s="179"/>
      <c r="E660" s="179"/>
      <c r="F660" s="179"/>
      <c r="G660" s="179"/>
      <c r="H660" s="179"/>
      <c r="I660" s="179"/>
      <c r="J660" s="179"/>
      <c r="K660" s="179"/>
      <c r="L660" s="179"/>
      <c r="M660" s="179"/>
      <c r="N660" s="179"/>
      <c r="O660" s="179"/>
      <c r="P660" s="179"/>
      <c r="Q660" s="179"/>
      <c r="R660" s="179"/>
      <c r="S660" s="179"/>
      <c r="T660" s="179"/>
      <c r="U660" s="179"/>
      <c r="V660" s="179"/>
      <c r="W660" s="179"/>
    </row>
    <row r="661" spans="1:23">
      <c r="A661" s="179"/>
      <c r="B661" s="179"/>
      <c r="C661" s="179"/>
      <c r="D661" s="179"/>
      <c r="E661" s="179"/>
      <c r="F661" s="179"/>
      <c r="G661" s="179"/>
      <c r="H661" s="179"/>
      <c r="I661" s="179"/>
      <c r="J661" s="179"/>
      <c r="K661" s="179"/>
      <c r="L661" s="179"/>
      <c r="M661" s="179"/>
      <c r="N661" s="179"/>
      <c r="O661" s="179"/>
      <c r="P661" s="179"/>
      <c r="Q661" s="179"/>
      <c r="R661" s="179"/>
      <c r="S661" s="179"/>
      <c r="T661" s="179"/>
      <c r="U661" s="179"/>
      <c r="V661" s="179"/>
      <c r="W661" s="179"/>
    </row>
    <row r="662" spans="1:23">
      <c r="A662" s="179"/>
      <c r="B662" s="179"/>
      <c r="C662" s="179"/>
      <c r="D662" s="179"/>
      <c r="E662" s="179"/>
      <c r="F662" s="179"/>
      <c r="G662" s="179"/>
      <c r="H662" s="179"/>
      <c r="I662" s="179"/>
      <c r="J662" s="179"/>
      <c r="K662" s="179"/>
      <c r="L662" s="179"/>
      <c r="M662" s="179"/>
      <c r="N662" s="179"/>
      <c r="O662" s="179"/>
      <c r="P662" s="179"/>
      <c r="Q662" s="179"/>
      <c r="R662" s="179"/>
      <c r="S662" s="179"/>
      <c r="T662" s="179"/>
      <c r="U662" s="179"/>
      <c r="V662" s="179"/>
      <c r="W662" s="179"/>
    </row>
    <row r="663" spans="1:23">
      <c r="A663" s="179"/>
      <c r="B663" s="179"/>
      <c r="C663" s="179"/>
      <c r="D663" s="179"/>
      <c r="E663" s="179"/>
      <c r="F663" s="179"/>
      <c r="G663" s="179"/>
      <c r="H663" s="179"/>
      <c r="I663" s="179"/>
      <c r="J663" s="179"/>
      <c r="K663" s="179"/>
      <c r="L663" s="179"/>
      <c r="M663" s="179"/>
      <c r="N663" s="179"/>
      <c r="O663" s="179"/>
      <c r="P663" s="179"/>
      <c r="Q663" s="179"/>
      <c r="R663" s="179"/>
      <c r="S663" s="179"/>
      <c r="T663" s="179"/>
      <c r="U663" s="179"/>
      <c r="V663" s="179"/>
      <c r="W663" s="179"/>
    </row>
    <row r="664" spans="1:23">
      <c r="A664" s="179"/>
      <c r="B664" s="179"/>
      <c r="C664" s="179"/>
      <c r="D664" s="179"/>
      <c r="E664" s="179"/>
      <c r="F664" s="179"/>
      <c r="G664" s="179"/>
      <c r="H664" s="179"/>
      <c r="I664" s="179"/>
      <c r="J664" s="179"/>
      <c r="K664" s="179"/>
      <c r="L664" s="179"/>
      <c r="M664" s="179"/>
      <c r="N664" s="179"/>
      <c r="O664" s="179"/>
      <c r="P664" s="179"/>
      <c r="Q664" s="179"/>
      <c r="R664" s="179"/>
      <c r="S664" s="179"/>
      <c r="T664" s="179"/>
      <c r="U664" s="179"/>
      <c r="V664" s="179"/>
      <c r="W664" s="179"/>
    </row>
    <row r="665" spans="1:23">
      <c r="A665" s="179"/>
      <c r="B665" s="179"/>
      <c r="C665" s="179"/>
      <c r="D665" s="179"/>
      <c r="E665" s="179"/>
      <c r="F665" s="179"/>
      <c r="G665" s="179"/>
      <c r="H665" s="179"/>
      <c r="I665" s="179"/>
      <c r="J665" s="179"/>
      <c r="K665" s="179"/>
      <c r="L665" s="179"/>
      <c r="M665" s="179"/>
      <c r="N665" s="179"/>
      <c r="O665" s="179"/>
      <c r="P665" s="179"/>
      <c r="Q665" s="179"/>
      <c r="R665" s="179"/>
      <c r="S665" s="179"/>
      <c r="T665" s="179"/>
      <c r="U665" s="179"/>
      <c r="V665" s="179"/>
      <c r="W665" s="179"/>
    </row>
    <row r="666" spans="1:23">
      <c r="A666" s="179"/>
      <c r="B666" s="179"/>
      <c r="C666" s="179"/>
      <c r="D666" s="179"/>
      <c r="E666" s="179"/>
      <c r="F666" s="179"/>
      <c r="G666" s="179"/>
      <c r="H666" s="179"/>
      <c r="I666" s="179"/>
      <c r="J666" s="179"/>
      <c r="K666" s="179"/>
      <c r="L666" s="179"/>
      <c r="M666" s="179"/>
      <c r="N666" s="179"/>
      <c r="O666" s="179"/>
      <c r="P666" s="179"/>
      <c r="Q666" s="179"/>
      <c r="R666" s="179"/>
      <c r="S666" s="179"/>
      <c r="T666" s="179"/>
      <c r="U666" s="179"/>
      <c r="V666" s="179"/>
      <c r="W666" s="179"/>
    </row>
    <row r="667" spans="1:23">
      <c r="A667" s="179"/>
      <c r="B667" s="179"/>
      <c r="C667" s="179"/>
      <c r="D667" s="179"/>
      <c r="E667" s="179"/>
      <c r="F667" s="179"/>
      <c r="G667" s="179"/>
      <c r="H667" s="179"/>
      <c r="I667" s="179"/>
      <c r="J667" s="179"/>
      <c r="K667" s="179"/>
      <c r="L667" s="179"/>
      <c r="M667" s="179"/>
      <c r="N667" s="179"/>
      <c r="O667" s="179"/>
      <c r="P667" s="179"/>
      <c r="Q667" s="179"/>
      <c r="R667" s="179"/>
      <c r="S667" s="179"/>
      <c r="T667" s="179"/>
      <c r="U667" s="179"/>
      <c r="V667" s="179"/>
      <c r="W667" s="179"/>
    </row>
    <row r="668" spans="1:23">
      <c r="A668" s="179"/>
      <c r="B668" s="179"/>
      <c r="C668" s="179"/>
      <c r="D668" s="179"/>
      <c r="E668" s="179"/>
      <c r="F668" s="179"/>
      <c r="G668" s="179"/>
      <c r="H668" s="179"/>
      <c r="I668" s="179"/>
      <c r="J668" s="179"/>
      <c r="K668" s="179"/>
      <c r="L668" s="179"/>
      <c r="M668" s="179"/>
      <c r="N668" s="179"/>
      <c r="O668" s="179"/>
      <c r="P668" s="179"/>
      <c r="Q668" s="179"/>
      <c r="R668" s="179"/>
      <c r="S668" s="179"/>
      <c r="T668" s="179"/>
      <c r="U668" s="179"/>
      <c r="V668" s="179"/>
      <c r="W668" s="179"/>
    </row>
    <row r="669" spans="1:23">
      <c r="A669" s="179"/>
      <c r="B669" s="179"/>
      <c r="C669" s="179"/>
      <c r="D669" s="179"/>
      <c r="E669" s="179"/>
      <c r="F669" s="179"/>
      <c r="G669" s="179"/>
      <c r="H669" s="179"/>
      <c r="I669" s="179"/>
      <c r="J669" s="179"/>
      <c r="K669" s="179"/>
      <c r="L669" s="179"/>
      <c r="M669" s="179"/>
      <c r="N669" s="179"/>
      <c r="O669" s="179"/>
      <c r="P669" s="179"/>
      <c r="Q669" s="179"/>
      <c r="R669" s="179"/>
      <c r="S669" s="179"/>
      <c r="T669" s="179"/>
      <c r="U669" s="179"/>
      <c r="V669" s="179"/>
      <c r="W669" s="179"/>
    </row>
    <row r="670" spans="1:23">
      <c r="A670" s="179"/>
      <c r="B670" s="179"/>
      <c r="C670" s="179"/>
      <c r="D670" s="179"/>
      <c r="E670" s="179"/>
      <c r="F670" s="179"/>
      <c r="G670" s="179"/>
      <c r="H670" s="179"/>
      <c r="I670" s="179"/>
      <c r="J670" s="179"/>
      <c r="K670" s="179"/>
      <c r="L670" s="179"/>
      <c r="M670" s="179"/>
      <c r="N670" s="179"/>
      <c r="O670" s="179"/>
      <c r="P670" s="179"/>
      <c r="Q670" s="179"/>
      <c r="R670" s="179"/>
      <c r="S670" s="179"/>
      <c r="T670" s="179"/>
      <c r="U670" s="179"/>
      <c r="V670" s="179"/>
      <c r="W670" s="179"/>
    </row>
    <row r="671" spans="1:23">
      <c r="A671" s="179"/>
      <c r="B671" s="179"/>
      <c r="C671" s="179"/>
      <c r="D671" s="179"/>
      <c r="E671" s="179"/>
      <c r="F671" s="179"/>
      <c r="G671" s="179"/>
      <c r="H671" s="179"/>
      <c r="I671" s="179"/>
      <c r="J671" s="179"/>
      <c r="K671" s="179"/>
      <c r="L671" s="179"/>
      <c r="M671" s="179"/>
      <c r="N671" s="179"/>
      <c r="O671" s="179"/>
      <c r="P671" s="179"/>
      <c r="Q671" s="179"/>
      <c r="R671" s="179"/>
      <c r="S671" s="179"/>
      <c r="T671" s="179"/>
      <c r="U671" s="179"/>
      <c r="V671" s="179"/>
      <c r="W671" s="179"/>
    </row>
    <row r="672" spans="1:23">
      <c r="A672" s="179"/>
      <c r="B672" s="179"/>
      <c r="C672" s="179"/>
      <c r="D672" s="179"/>
      <c r="E672" s="179"/>
      <c r="F672" s="179"/>
      <c r="G672" s="179"/>
      <c r="H672" s="179"/>
      <c r="I672" s="179"/>
      <c r="J672" s="179"/>
      <c r="K672" s="179"/>
      <c r="L672" s="179"/>
      <c r="M672" s="179"/>
      <c r="N672" s="179"/>
      <c r="O672" s="179"/>
      <c r="P672" s="179"/>
      <c r="Q672" s="179"/>
      <c r="R672" s="179"/>
      <c r="S672" s="179"/>
      <c r="T672" s="179"/>
      <c r="U672" s="179"/>
      <c r="V672" s="179"/>
      <c r="W672" s="179"/>
    </row>
    <row r="673" spans="1:23">
      <c r="A673" s="179"/>
      <c r="B673" s="179"/>
      <c r="C673" s="179"/>
      <c r="D673" s="179"/>
      <c r="E673" s="179"/>
      <c r="F673" s="179"/>
      <c r="G673" s="179"/>
      <c r="H673" s="179"/>
      <c r="I673" s="179"/>
      <c r="J673" s="179"/>
      <c r="K673" s="179"/>
      <c r="L673" s="179"/>
      <c r="M673" s="179"/>
      <c r="N673" s="179"/>
      <c r="O673" s="179"/>
      <c r="P673" s="179"/>
      <c r="Q673" s="179"/>
      <c r="R673" s="179"/>
      <c r="S673" s="179"/>
      <c r="T673" s="179"/>
      <c r="U673" s="179"/>
      <c r="V673" s="179"/>
      <c r="W673" s="179"/>
    </row>
    <row r="674" spans="1:23">
      <c r="A674" s="179"/>
      <c r="B674" s="179"/>
      <c r="C674" s="179"/>
      <c r="D674" s="179"/>
      <c r="E674" s="179"/>
      <c r="F674" s="179"/>
      <c r="G674" s="179"/>
      <c r="H674" s="179"/>
      <c r="I674" s="179"/>
      <c r="J674" s="179"/>
      <c r="K674" s="179"/>
      <c r="L674" s="179"/>
      <c r="M674" s="179"/>
      <c r="N674" s="179"/>
      <c r="O674" s="179"/>
      <c r="P674" s="179"/>
      <c r="Q674" s="179"/>
      <c r="R674" s="179"/>
      <c r="S674" s="179"/>
      <c r="T674" s="179"/>
      <c r="U674" s="179"/>
      <c r="V674" s="179"/>
      <c r="W674" s="179"/>
    </row>
    <row r="675" spans="1:23">
      <c r="A675" s="179"/>
      <c r="B675" s="179"/>
      <c r="C675" s="179"/>
      <c r="D675" s="179"/>
      <c r="E675" s="179"/>
      <c r="F675" s="179"/>
      <c r="G675" s="179"/>
      <c r="H675" s="179"/>
      <c r="I675" s="179"/>
      <c r="J675" s="179"/>
      <c r="K675" s="179"/>
      <c r="L675" s="179"/>
      <c r="M675" s="179"/>
      <c r="N675" s="179"/>
      <c r="O675" s="179"/>
      <c r="P675" s="179"/>
      <c r="Q675" s="179"/>
      <c r="R675" s="179"/>
      <c r="S675" s="179"/>
      <c r="T675" s="179"/>
      <c r="U675" s="179"/>
      <c r="V675" s="179"/>
      <c r="W675" s="179"/>
    </row>
    <row r="676" spans="1:23">
      <c r="A676" s="179"/>
      <c r="B676" s="179"/>
      <c r="C676" s="179"/>
      <c r="D676" s="179"/>
      <c r="E676" s="179"/>
      <c r="F676" s="179"/>
      <c r="G676" s="179"/>
      <c r="H676" s="179"/>
      <c r="I676" s="179"/>
      <c r="J676" s="179"/>
      <c r="K676" s="179"/>
      <c r="L676" s="179"/>
      <c r="M676" s="179"/>
      <c r="N676" s="179"/>
      <c r="O676" s="179"/>
      <c r="P676" s="179"/>
      <c r="Q676" s="179"/>
      <c r="R676" s="179"/>
      <c r="S676" s="179"/>
      <c r="T676" s="179"/>
      <c r="U676" s="179"/>
      <c r="V676" s="179"/>
      <c r="W676" s="179"/>
    </row>
    <row r="677" spans="1:23">
      <c r="A677" s="179"/>
      <c r="B677" s="179"/>
      <c r="C677" s="179"/>
      <c r="D677" s="179"/>
      <c r="E677" s="179"/>
      <c r="F677" s="179"/>
      <c r="G677" s="179"/>
      <c r="H677" s="179"/>
      <c r="I677" s="179"/>
      <c r="J677" s="179"/>
      <c r="K677" s="179"/>
      <c r="L677" s="179"/>
      <c r="M677" s="179"/>
      <c r="N677" s="179"/>
      <c r="O677" s="179"/>
      <c r="P677" s="179"/>
      <c r="Q677" s="179"/>
      <c r="R677" s="179"/>
      <c r="S677" s="179"/>
      <c r="T677" s="179"/>
      <c r="U677" s="179"/>
      <c r="V677" s="179"/>
      <c r="W677" s="179"/>
    </row>
    <row r="678" spans="1:23">
      <c r="A678" s="179"/>
      <c r="B678" s="179"/>
      <c r="C678" s="179"/>
      <c r="D678" s="179"/>
      <c r="E678" s="179"/>
      <c r="F678" s="179"/>
      <c r="G678" s="179"/>
      <c r="H678" s="179"/>
      <c r="I678" s="179"/>
      <c r="J678" s="179"/>
      <c r="K678" s="179"/>
      <c r="L678" s="179"/>
      <c r="M678" s="179"/>
      <c r="N678" s="179"/>
      <c r="O678" s="179"/>
      <c r="P678" s="179"/>
      <c r="Q678" s="179"/>
      <c r="R678" s="179"/>
      <c r="S678" s="179"/>
      <c r="T678" s="179"/>
      <c r="U678" s="179"/>
      <c r="V678" s="179"/>
      <c r="W678" s="179"/>
    </row>
    <row r="679" spans="1:23">
      <c r="A679" s="179"/>
      <c r="B679" s="179"/>
      <c r="C679" s="179"/>
      <c r="D679" s="179"/>
      <c r="E679" s="179"/>
      <c r="F679" s="179"/>
      <c r="G679" s="179"/>
      <c r="H679" s="179"/>
      <c r="I679" s="179"/>
      <c r="J679" s="179"/>
      <c r="K679" s="179"/>
      <c r="L679" s="179"/>
      <c r="M679" s="179"/>
      <c r="N679" s="179"/>
      <c r="O679" s="179"/>
      <c r="P679" s="179"/>
      <c r="Q679" s="179"/>
      <c r="R679" s="179"/>
      <c r="S679" s="179"/>
      <c r="T679" s="179"/>
      <c r="U679" s="179"/>
      <c r="V679" s="179"/>
      <c r="W679" s="179"/>
    </row>
    <row r="680" spans="1:23">
      <c r="A680" s="179"/>
      <c r="B680" s="179"/>
      <c r="C680" s="179"/>
      <c r="D680" s="179"/>
      <c r="E680" s="179"/>
      <c r="F680" s="179"/>
      <c r="G680" s="179"/>
      <c r="H680" s="179"/>
      <c r="I680" s="179"/>
      <c r="J680" s="179"/>
      <c r="K680" s="179"/>
      <c r="L680" s="179"/>
      <c r="M680" s="179"/>
      <c r="N680" s="179"/>
      <c r="O680" s="179"/>
      <c r="P680" s="179"/>
      <c r="Q680" s="179"/>
      <c r="R680" s="179"/>
      <c r="S680" s="179"/>
      <c r="T680" s="179"/>
      <c r="U680" s="179"/>
      <c r="V680" s="179"/>
      <c r="W680" s="179"/>
    </row>
    <row r="681" spans="1:23">
      <c r="A681" s="179"/>
      <c r="B681" s="179"/>
      <c r="C681" s="179"/>
      <c r="D681" s="179"/>
      <c r="E681" s="179"/>
      <c r="F681" s="179"/>
      <c r="G681" s="179"/>
      <c r="H681" s="179"/>
      <c r="I681" s="179"/>
      <c r="J681" s="179"/>
      <c r="K681" s="179"/>
      <c r="L681" s="179"/>
      <c r="M681" s="179"/>
      <c r="N681" s="179"/>
      <c r="O681" s="179"/>
      <c r="P681" s="179"/>
      <c r="Q681" s="179"/>
      <c r="R681" s="179"/>
      <c r="S681" s="179"/>
      <c r="T681" s="179"/>
      <c r="U681" s="179"/>
      <c r="V681" s="179"/>
      <c r="W681" s="179"/>
    </row>
    <row r="682" spans="1:23">
      <c r="A682" s="179"/>
      <c r="B682" s="179"/>
      <c r="C682" s="179"/>
      <c r="D682" s="179"/>
      <c r="E682" s="179"/>
      <c r="F682" s="179"/>
      <c r="G682" s="179"/>
      <c r="H682" s="179"/>
      <c r="I682" s="179"/>
      <c r="J682" s="179"/>
      <c r="K682" s="179"/>
      <c r="L682" s="179"/>
      <c r="M682" s="179"/>
      <c r="N682" s="179"/>
      <c r="O682" s="179"/>
      <c r="P682" s="179"/>
      <c r="Q682" s="179"/>
      <c r="R682" s="179"/>
      <c r="S682" s="179"/>
      <c r="T682" s="179"/>
      <c r="U682" s="179"/>
      <c r="V682" s="179"/>
      <c r="W682" s="179"/>
    </row>
    <row r="683" spans="1:23">
      <c r="A683" s="179"/>
      <c r="B683" s="179"/>
      <c r="C683" s="179"/>
      <c r="D683" s="179"/>
      <c r="E683" s="179"/>
      <c r="F683" s="179"/>
      <c r="G683" s="179"/>
      <c r="H683" s="179"/>
      <c r="I683" s="179"/>
      <c r="J683" s="179"/>
      <c r="K683" s="179"/>
      <c r="L683" s="179"/>
      <c r="M683" s="179"/>
      <c r="N683" s="179"/>
      <c r="O683" s="179"/>
      <c r="P683" s="179"/>
      <c r="Q683" s="179"/>
      <c r="R683" s="179"/>
      <c r="S683" s="179"/>
      <c r="T683" s="179"/>
      <c r="U683" s="179"/>
      <c r="V683" s="179"/>
      <c r="W683" s="179"/>
    </row>
    <row r="684" spans="1:23">
      <c r="A684" s="179"/>
      <c r="B684" s="179"/>
      <c r="C684" s="179"/>
      <c r="D684" s="179"/>
      <c r="E684" s="179"/>
      <c r="F684" s="179"/>
      <c r="G684" s="179"/>
      <c r="H684" s="179"/>
      <c r="I684" s="179"/>
      <c r="J684" s="179"/>
      <c r="K684" s="179"/>
      <c r="L684" s="179"/>
      <c r="M684" s="179"/>
      <c r="N684" s="179"/>
      <c r="O684" s="179"/>
      <c r="P684" s="179"/>
      <c r="Q684" s="179"/>
      <c r="R684" s="179"/>
      <c r="S684" s="179"/>
      <c r="T684" s="179"/>
      <c r="U684" s="179"/>
      <c r="V684" s="179"/>
      <c r="W684" s="179"/>
    </row>
    <row r="685" spans="1:23">
      <c r="A685" s="179"/>
      <c r="B685" s="179"/>
      <c r="C685" s="179"/>
      <c r="D685" s="179"/>
      <c r="E685" s="179"/>
      <c r="F685" s="179"/>
      <c r="G685" s="179"/>
      <c r="H685" s="179"/>
      <c r="I685" s="179"/>
      <c r="J685" s="179"/>
      <c r="K685" s="179"/>
      <c r="L685" s="179"/>
      <c r="M685" s="179"/>
      <c r="N685" s="179"/>
      <c r="O685" s="179"/>
      <c r="P685" s="179"/>
      <c r="Q685" s="179"/>
      <c r="R685" s="179"/>
      <c r="S685" s="179"/>
      <c r="T685" s="179"/>
      <c r="U685" s="179"/>
      <c r="V685" s="179"/>
      <c r="W685" s="179"/>
    </row>
    <row r="686" spans="1:23">
      <c r="A686" s="179"/>
      <c r="B686" s="179"/>
      <c r="C686" s="179"/>
      <c r="D686" s="179"/>
      <c r="E686" s="179"/>
      <c r="F686" s="179"/>
      <c r="G686" s="179"/>
      <c r="H686" s="179"/>
      <c r="I686" s="179"/>
      <c r="J686" s="179"/>
      <c r="K686" s="179"/>
      <c r="L686" s="179"/>
      <c r="M686" s="179"/>
      <c r="N686" s="179"/>
      <c r="O686" s="179"/>
      <c r="P686" s="179"/>
      <c r="Q686" s="179"/>
      <c r="R686" s="179"/>
      <c r="S686" s="179"/>
      <c r="T686" s="179"/>
      <c r="U686" s="179"/>
      <c r="V686" s="179"/>
      <c r="W686" s="179"/>
    </row>
    <row r="687" spans="1:23">
      <c r="A687" s="179"/>
      <c r="B687" s="179"/>
      <c r="C687" s="179"/>
      <c r="D687" s="179"/>
      <c r="E687" s="179"/>
      <c r="F687" s="179"/>
      <c r="G687" s="179"/>
      <c r="H687" s="179"/>
      <c r="I687" s="179"/>
      <c r="J687" s="179"/>
      <c r="K687" s="179"/>
      <c r="L687" s="179"/>
      <c r="M687" s="179"/>
      <c r="N687" s="179"/>
      <c r="O687" s="179"/>
      <c r="P687" s="179"/>
      <c r="Q687" s="179"/>
      <c r="R687" s="179"/>
      <c r="S687" s="179"/>
      <c r="T687" s="179"/>
      <c r="U687" s="179"/>
      <c r="V687" s="179"/>
      <c r="W687" s="179"/>
    </row>
    <row r="688" spans="1:23">
      <c r="A688" s="179"/>
      <c r="B688" s="179"/>
      <c r="C688" s="179"/>
      <c r="D688" s="179"/>
      <c r="E688" s="179"/>
      <c r="F688" s="179"/>
      <c r="G688" s="179"/>
      <c r="H688" s="179"/>
      <c r="I688" s="179"/>
      <c r="J688" s="179"/>
      <c r="K688" s="179"/>
      <c r="L688" s="179"/>
      <c r="M688" s="179"/>
      <c r="N688" s="179"/>
      <c r="O688" s="179"/>
      <c r="P688" s="179"/>
      <c r="Q688" s="179"/>
      <c r="R688" s="179"/>
      <c r="S688" s="179"/>
      <c r="T688" s="179"/>
      <c r="U688" s="179"/>
      <c r="V688" s="179"/>
      <c r="W688" s="179"/>
    </row>
    <row r="689" spans="1:23">
      <c r="A689" s="179"/>
      <c r="B689" s="179"/>
      <c r="C689" s="179"/>
      <c r="D689" s="179"/>
      <c r="E689" s="179"/>
      <c r="F689" s="179"/>
      <c r="G689" s="179"/>
      <c r="H689" s="179"/>
      <c r="I689" s="179"/>
      <c r="J689" s="179"/>
      <c r="K689" s="179"/>
      <c r="L689" s="179"/>
      <c r="M689" s="179"/>
      <c r="N689" s="179"/>
      <c r="O689" s="179"/>
      <c r="P689" s="179"/>
      <c r="Q689" s="179"/>
      <c r="R689" s="179"/>
      <c r="S689" s="179"/>
      <c r="T689" s="179"/>
      <c r="U689" s="179"/>
      <c r="V689" s="179"/>
      <c r="W689" s="179"/>
    </row>
    <row r="690" spans="1:23">
      <c r="A690" s="179"/>
      <c r="B690" s="179"/>
      <c r="C690" s="179"/>
      <c r="D690" s="179"/>
      <c r="E690" s="179"/>
      <c r="F690" s="179"/>
      <c r="G690" s="179"/>
      <c r="H690" s="179"/>
      <c r="I690" s="179"/>
      <c r="J690" s="179"/>
      <c r="K690" s="179"/>
      <c r="L690" s="179"/>
      <c r="M690" s="179"/>
      <c r="N690" s="179"/>
      <c r="O690" s="179"/>
      <c r="P690" s="179"/>
      <c r="Q690" s="179"/>
      <c r="R690" s="179"/>
      <c r="S690" s="179"/>
      <c r="T690" s="179"/>
      <c r="U690" s="179"/>
      <c r="V690" s="179"/>
      <c r="W690" s="179"/>
    </row>
    <row r="691" spans="1:23">
      <c r="A691" s="179"/>
      <c r="B691" s="179"/>
      <c r="C691" s="179"/>
      <c r="D691" s="179"/>
      <c r="E691" s="179"/>
      <c r="F691" s="179"/>
      <c r="G691" s="179"/>
      <c r="H691" s="179"/>
      <c r="I691" s="179"/>
      <c r="J691" s="179"/>
      <c r="K691" s="179"/>
      <c r="L691" s="179"/>
      <c r="M691" s="179"/>
      <c r="N691" s="179"/>
      <c r="O691" s="179"/>
      <c r="P691" s="179"/>
      <c r="Q691" s="179"/>
      <c r="R691" s="179"/>
      <c r="S691" s="179"/>
      <c r="T691" s="179"/>
      <c r="U691" s="179"/>
      <c r="V691" s="179"/>
      <c r="W691" s="179"/>
    </row>
    <row r="692" spans="1:23">
      <c r="A692" s="179"/>
      <c r="B692" s="179"/>
      <c r="C692" s="179"/>
      <c r="D692" s="179"/>
      <c r="E692" s="179"/>
      <c r="F692" s="179"/>
      <c r="G692" s="179"/>
      <c r="H692" s="179"/>
      <c r="I692" s="179"/>
      <c r="J692" s="179"/>
      <c r="K692" s="179"/>
      <c r="L692" s="179"/>
      <c r="M692" s="179"/>
      <c r="N692" s="179"/>
      <c r="O692" s="179"/>
      <c r="P692" s="179"/>
      <c r="Q692" s="179"/>
      <c r="R692" s="179"/>
      <c r="S692" s="179"/>
      <c r="T692" s="179"/>
      <c r="U692" s="179"/>
      <c r="V692" s="179"/>
      <c r="W692" s="179"/>
    </row>
    <row r="693" spans="1:23">
      <c r="A693" s="179"/>
      <c r="B693" s="179"/>
      <c r="C693" s="179"/>
      <c r="D693" s="179"/>
      <c r="E693" s="179"/>
      <c r="F693" s="179"/>
      <c r="G693" s="179"/>
      <c r="H693" s="179"/>
      <c r="I693" s="179"/>
      <c r="J693" s="179"/>
      <c r="K693" s="179"/>
      <c r="L693" s="179"/>
      <c r="M693" s="179"/>
      <c r="N693" s="179"/>
      <c r="O693" s="179"/>
      <c r="P693" s="179"/>
      <c r="Q693" s="179"/>
      <c r="R693" s="179"/>
      <c r="S693" s="179"/>
      <c r="T693" s="179"/>
      <c r="U693" s="179"/>
      <c r="V693" s="179"/>
      <c r="W693" s="179"/>
    </row>
    <row r="694" spans="1:23">
      <c r="A694" s="179"/>
      <c r="B694" s="179"/>
      <c r="C694" s="179"/>
      <c r="D694" s="179"/>
      <c r="E694" s="179"/>
      <c r="F694" s="179"/>
      <c r="G694" s="179"/>
      <c r="H694" s="179"/>
      <c r="I694" s="179"/>
      <c r="J694" s="179"/>
      <c r="K694" s="179"/>
      <c r="L694" s="179"/>
      <c r="M694" s="179"/>
      <c r="N694" s="179"/>
      <c r="O694" s="179"/>
      <c r="P694" s="179"/>
      <c r="Q694" s="179"/>
      <c r="R694" s="179"/>
      <c r="S694" s="179"/>
      <c r="T694" s="179"/>
      <c r="U694" s="179"/>
      <c r="V694" s="179"/>
      <c r="W694" s="179"/>
    </row>
    <row r="695" spans="1:23">
      <c r="A695" s="179"/>
      <c r="B695" s="179"/>
      <c r="C695" s="179"/>
      <c r="D695" s="179"/>
      <c r="E695" s="179"/>
      <c r="F695" s="179"/>
      <c r="G695" s="179"/>
      <c r="H695" s="179"/>
      <c r="I695" s="179"/>
      <c r="J695" s="179"/>
      <c r="K695" s="179"/>
      <c r="L695" s="179"/>
      <c r="M695" s="179"/>
      <c r="N695" s="179"/>
      <c r="O695" s="179"/>
      <c r="P695" s="179"/>
      <c r="Q695" s="179"/>
      <c r="R695" s="179"/>
      <c r="S695" s="179"/>
      <c r="T695" s="179"/>
      <c r="U695" s="179"/>
      <c r="V695" s="179"/>
      <c r="W695" s="179"/>
    </row>
    <row r="696" spans="1:23">
      <c r="A696" s="179"/>
      <c r="B696" s="179"/>
      <c r="C696" s="179"/>
      <c r="D696" s="179"/>
      <c r="E696" s="179"/>
      <c r="F696" s="179"/>
      <c r="G696" s="179"/>
      <c r="H696" s="179"/>
      <c r="I696" s="179"/>
      <c r="J696" s="179"/>
      <c r="K696" s="179"/>
      <c r="L696" s="179"/>
      <c r="M696" s="179"/>
      <c r="N696" s="179"/>
      <c r="O696" s="179"/>
      <c r="P696" s="179"/>
      <c r="Q696" s="179"/>
      <c r="R696" s="179"/>
      <c r="S696" s="179"/>
      <c r="T696" s="179"/>
      <c r="U696" s="179"/>
      <c r="V696" s="179"/>
      <c r="W696" s="179"/>
    </row>
    <row r="697" spans="1:23">
      <c r="A697" s="179"/>
      <c r="B697" s="179"/>
      <c r="C697" s="179"/>
      <c r="D697" s="179"/>
      <c r="E697" s="179"/>
      <c r="F697" s="179"/>
      <c r="G697" s="179"/>
      <c r="H697" s="179"/>
      <c r="I697" s="179"/>
      <c r="J697" s="179"/>
      <c r="K697" s="179"/>
      <c r="L697" s="179"/>
      <c r="M697" s="179"/>
      <c r="N697" s="179"/>
      <c r="O697" s="179"/>
      <c r="P697" s="179"/>
      <c r="Q697" s="179"/>
      <c r="R697" s="179"/>
      <c r="S697" s="179"/>
      <c r="T697" s="179"/>
      <c r="U697" s="179"/>
      <c r="V697" s="179"/>
      <c r="W697" s="179"/>
    </row>
    <row r="698" spans="1:23">
      <c r="A698" s="179"/>
      <c r="B698" s="179"/>
      <c r="C698" s="179"/>
      <c r="D698" s="179"/>
      <c r="E698" s="179"/>
      <c r="F698" s="179"/>
      <c r="G698" s="179"/>
      <c r="H698" s="179"/>
      <c r="I698" s="179"/>
      <c r="J698" s="179"/>
      <c r="K698" s="179"/>
      <c r="L698" s="179"/>
      <c r="M698" s="179"/>
      <c r="N698" s="179"/>
      <c r="O698" s="179"/>
      <c r="P698" s="179"/>
      <c r="Q698" s="179"/>
      <c r="R698" s="179"/>
      <c r="S698" s="179"/>
      <c r="T698" s="179"/>
      <c r="U698" s="179"/>
      <c r="V698" s="179"/>
      <c r="W698" s="179"/>
    </row>
    <row r="699" spans="1:23">
      <c r="A699" s="179"/>
      <c r="B699" s="179"/>
      <c r="C699" s="179"/>
      <c r="D699" s="179"/>
      <c r="E699" s="179"/>
      <c r="F699" s="179"/>
      <c r="G699" s="179"/>
      <c r="H699" s="179"/>
      <c r="I699" s="179"/>
      <c r="J699" s="179"/>
      <c r="K699" s="179"/>
      <c r="L699" s="179"/>
      <c r="M699" s="179"/>
      <c r="N699" s="179"/>
      <c r="O699" s="179"/>
      <c r="P699" s="179"/>
      <c r="Q699" s="179"/>
      <c r="R699" s="179"/>
      <c r="S699" s="179"/>
      <c r="T699" s="179"/>
      <c r="U699" s="179"/>
      <c r="V699" s="179"/>
      <c r="W699" s="179"/>
    </row>
    <row r="700" spans="1:23">
      <c r="A700" s="179"/>
      <c r="B700" s="179"/>
      <c r="C700" s="179"/>
      <c r="D700" s="179"/>
      <c r="E700" s="179"/>
      <c r="F700" s="179"/>
      <c r="G700" s="179"/>
      <c r="H700" s="179"/>
      <c r="I700" s="179"/>
      <c r="J700" s="179"/>
      <c r="K700" s="179"/>
      <c r="L700" s="179"/>
      <c r="M700" s="179"/>
      <c r="N700" s="179"/>
      <c r="O700" s="179"/>
      <c r="P700" s="179"/>
      <c r="Q700" s="179"/>
      <c r="R700" s="179"/>
      <c r="S700" s="179"/>
      <c r="T700" s="179"/>
      <c r="U700" s="179"/>
      <c r="V700" s="179"/>
      <c r="W700" s="179"/>
    </row>
    <row r="701" spans="1:23">
      <c r="A701" s="179"/>
      <c r="B701" s="179"/>
      <c r="C701" s="179"/>
      <c r="D701" s="179"/>
      <c r="E701" s="179"/>
      <c r="F701" s="179"/>
      <c r="G701" s="179"/>
      <c r="H701" s="179"/>
      <c r="I701" s="179"/>
      <c r="J701" s="179"/>
      <c r="K701" s="179"/>
      <c r="L701" s="179"/>
      <c r="M701" s="179"/>
      <c r="N701" s="179"/>
      <c r="O701" s="179"/>
      <c r="P701" s="179"/>
      <c r="Q701" s="179"/>
      <c r="R701" s="179"/>
      <c r="S701" s="179"/>
      <c r="T701" s="179"/>
      <c r="U701" s="179"/>
      <c r="V701" s="179"/>
      <c r="W701" s="179"/>
    </row>
    <row r="702" spans="1:23">
      <c r="A702" s="179"/>
      <c r="B702" s="179"/>
      <c r="C702" s="179"/>
      <c r="D702" s="179"/>
      <c r="E702" s="179"/>
      <c r="F702" s="179"/>
      <c r="G702" s="179"/>
      <c r="H702" s="179"/>
      <c r="I702" s="179"/>
      <c r="J702" s="179"/>
      <c r="K702" s="179"/>
      <c r="L702" s="179"/>
      <c r="M702" s="179"/>
      <c r="N702" s="179"/>
      <c r="O702" s="179"/>
      <c r="P702" s="179"/>
      <c r="Q702" s="179"/>
      <c r="R702" s="179"/>
      <c r="S702" s="179"/>
      <c r="T702" s="179"/>
      <c r="U702" s="179"/>
      <c r="V702" s="179"/>
      <c r="W702" s="179"/>
    </row>
    <row r="703" spans="1:23">
      <c r="A703" s="179"/>
      <c r="B703" s="179"/>
      <c r="C703" s="179"/>
      <c r="D703" s="179"/>
      <c r="E703" s="179"/>
      <c r="F703" s="179"/>
      <c r="G703" s="179"/>
      <c r="H703" s="179"/>
      <c r="I703" s="179"/>
      <c r="J703" s="179"/>
      <c r="K703" s="179"/>
      <c r="L703" s="179"/>
      <c r="M703" s="179"/>
      <c r="N703" s="179"/>
      <c r="O703" s="179"/>
      <c r="P703" s="179"/>
      <c r="Q703" s="179"/>
      <c r="R703" s="179"/>
      <c r="S703" s="179"/>
      <c r="T703" s="179"/>
      <c r="U703" s="179"/>
      <c r="V703" s="179"/>
      <c r="W703" s="179"/>
    </row>
    <row r="704" spans="1:23">
      <c r="A704" s="179"/>
      <c r="B704" s="179"/>
      <c r="C704" s="179"/>
      <c r="D704" s="179"/>
      <c r="E704" s="179"/>
      <c r="F704" s="179"/>
      <c r="G704" s="179"/>
      <c r="H704" s="179"/>
      <c r="I704" s="179"/>
      <c r="J704" s="179"/>
      <c r="K704" s="179"/>
      <c r="L704" s="179"/>
      <c r="M704" s="179"/>
      <c r="N704" s="179"/>
      <c r="O704" s="179"/>
      <c r="P704" s="179"/>
      <c r="Q704" s="179"/>
      <c r="R704" s="179"/>
      <c r="S704" s="179"/>
      <c r="T704" s="179"/>
      <c r="U704" s="179"/>
      <c r="V704" s="179"/>
      <c r="W704" s="179"/>
    </row>
    <row r="705" spans="1:23">
      <c r="A705" s="179"/>
      <c r="B705" s="179"/>
      <c r="C705" s="179"/>
      <c r="D705" s="179"/>
      <c r="E705" s="179"/>
      <c r="F705" s="179"/>
      <c r="G705" s="179"/>
      <c r="H705" s="179"/>
      <c r="I705" s="179"/>
      <c r="J705" s="179"/>
      <c r="K705" s="179"/>
      <c r="L705" s="179"/>
      <c r="M705" s="179"/>
      <c r="N705" s="179"/>
      <c r="O705" s="179"/>
      <c r="P705" s="179"/>
      <c r="Q705" s="179"/>
      <c r="R705" s="179"/>
      <c r="S705" s="179"/>
      <c r="T705" s="179"/>
      <c r="U705" s="179"/>
      <c r="V705" s="179"/>
      <c r="W705" s="179"/>
    </row>
    <row r="706" spans="1:23">
      <c r="A706" s="179"/>
      <c r="B706" s="179"/>
      <c r="C706" s="179"/>
      <c r="D706" s="179"/>
      <c r="E706" s="179"/>
      <c r="F706" s="179"/>
      <c r="G706" s="179"/>
      <c r="H706" s="179"/>
      <c r="I706" s="179"/>
      <c r="J706" s="179"/>
      <c r="K706" s="179"/>
      <c r="L706" s="179"/>
      <c r="M706" s="179"/>
      <c r="N706" s="179"/>
      <c r="O706" s="179"/>
      <c r="P706" s="179"/>
      <c r="Q706" s="179"/>
      <c r="R706" s="179"/>
      <c r="S706" s="179"/>
      <c r="T706" s="179"/>
      <c r="U706" s="179"/>
      <c r="V706" s="179"/>
      <c r="W706" s="179"/>
    </row>
    <row r="707" spans="1:23">
      <c r="A707" s="179"/>
      <c r="B707" s="179"/>
      <c r="C707" s="179"/>
      <c r="D707" s="179"/>
      <c r="E707" s="179"/>
      <c r="F707" s="179"/>
      <c r="G707" s="179"/>
      <c r="H707" s="179"/>
      <c r="I707" s="179"/>
      <c r="J707" s="179"/>
      <c r="K707" s="179"/>
      <c r="L707" s="179"/>
      <c r="M707" s="179"/>
      <c r="N707" s="179"/>
      <c r="O707" s="179"/>
      <c r="P707" s="179"/>
      <c r="Q707" s="179"/>
      <c r="R707" s="179"/>
      <c r="S707" s="179"/>
      <c r="T707" s="179"/>
      <c r="U707" s="179"/>
      <c r="V707" s="179"/>
      <c r="W707" s="179"/>
    </row>
    <row r="708" spans="1:23">
      <c r="A708" s="179"/>
      <c r="B708" s="179"/>
      <c r="C708" s="179"/>
      <c r="D708" s="179"/>
      <c r="E708" s="179"/>
      <c r="F708" s="179"/>
      <c r="G708" s="179"/>
      <c r="H708" s="179"/>
      <c r="I708" s="179"/>
      <c r="J708" s="179"/>
      <c r="K708" s="179"/>
      <c r="L708" s="179"/>
      <c r="M708" s="179"/>
      <c r="N708" s="179"/>
      <c r="O708" s="179"/>
      <c r="P708" s="179"/>
      <c r="Q708" s="179"/>
      <c r="R708" s="179"/>
      <c r="S708" s="179"/>
      <c r="T708" s="179"/>
      <c r="U708" s="179"/>
      <c r="V708" s="179"/>
      <c r="W708" s="179"/>
    </row>
    <row r="709" spans="1:23">
      <c r="A709" s="179"/>
      <c r="B709" s="179"/>
      <c r="C709" s="179"/>
      <c r="D709" s="179"/>
      <c r="E709" s="179"/>
      <c r="F709" s="179"/>
      <c r="G709" s="179"/>
      <c r="H709" s="179"/>
      <c r="I709" s="179"/>
      <c r="J709" s="179"/>
      <c r="K709" s="179"/>
      <c r="L709" s="179"/>
      <c r="M709" s="179"/>
      <c r="N709" s="179"/>
      <c r="O709" s="179"/>
      <c r="P709" s="179"/>
      <c r="Q709" s="179"/>
      <c r="R709" s="179"/>
      <c r="S709" s="179"/>
      <c r="T709" s="179"/>
      <c r="U709" s="179"/>
      <c r="V709" s="179"/>
      <c r="W709" s="179"/>
    </row>
    <row r="710" spans="1:23">
      <c r="A710" s="179"/>
      <c r="B710" s="179"/>
      <c r="C710" s="179"/>
      <c r="D710" s="179"/>
      <c r="E710" s="179"/>
      <c r="F710" s="179"/>
      <c r="G710" s="179"/>
      <c r="H710" s="179"/>
      <c r="I710" s="179"/>
      <c r="J710" s="179"/>
      <c r="K710" s="179"/>
      <c r="L710" s="179"/>
      <c r="M710" s="179"/>
      <c r="N710" s="179"/>
      <c r="O710" s="179"/>
      <c r="P710" s="179"/>
      <c r="Q710" s="179"/>
      <c r="R710" s="179"/>
      <c r="S710" s="179"/>
      <c r="T710" s="179"/>
      <c r="U710" s="179"/>
      <c r="V710" s="179"/>
      <c r="W710" s="179"/>
    </row>
    <row r="711" spans="1:23">
      <c r="A711" s="179"/>
      <c r="B711" s="179"/>
      <c r="C711" s="179"/>
      <c r="D711" s="179"/>
      <c r="E711" s="179"/>
      <c r="F711" s="179"/>
      <c r="G711" s="179"/>
      <c r="H711" s="179"/>
      <c r="I711" s="179"/>
      <c r="J711" s="179"/>
      <c r="K711" s="179"/>
      <c r="L711" s="179"/>
      <c r="M711" s="179"/>
      <c r="N711" s="179"/>
      <c r="O711" s="179"/>
      <c r="P711" s="179"/>
      <c r="Q711" s="179"/>
      <c r="R711" s="179"/>
      <c r="S711" s="179"/>
      <c r="T711" s="179"/>
      <c r="U711" s="179"/>
      <c r="V711" s="179"/>
      <c r="W711" s="179"/>
    </row>
    <row r="712" spans="1:23">
      <c r="A712" s="179"/>
      <c r="B712" s="179"/>
      <c r="C712" s="179"/>
      <c r="D712" s="179"/>
      <c r="E712" s="179"/>
      <c r="F712" s="179"/>
      <c r="G712" s="179"/>
      <c r="H712" s="179"/>
      <c r="I712" s="179"/>
      <c r="J712" s="179"/>
      <c r="K712" s="179"/>
      <c r="L712" s="179"/>
      <c r="M712" s="179"/>
      <c r="N712" s="179"/>
      <c r="O712" s="179"/>
      <c r="P712" s="179"/>
      <c r="Q712" s="179"/>
      <c r="R712" s="179"/>
      <c r="S712" s="179"/>
      <c r="T712" s="179"/>
      <c r="U712" s="179"/>
      <c r="V712" s="179"/>
      <c r="W712" s="179"/>
    </row>
    <row r="713" spans="1:23">
      <c r="A713" s="179"/>
      <c r="B713" s="179"/>
      <c r="C713" s="179"/>
      <c r="D713" s="179"/>
      <c r="E713" s="179"/>
      <c r="F713" s="179"/>
      <c r="G713" s="179"/>
      <c r="H713" s="179"/>
      <c r="I713" s="179"/>
      <c r="J713" s="179"/>
      <c r="K713" s="179"/>
      <c r="L713" s="179"/>
      <c r="M713" s="179"/>
      <c r="N713" s="179"/>
      <c r="O713" s="179"/>
      <c r="P713" s="179"/>
      <c r="Q713" s="179"/>
      <c r="R713" s="179"/>
      <c r="S713" s="179"/>
      <c r="T713" s="179"/>
      <c r="U713" s="179"/>
      <c r="V713" s="179"/>
      <c r="W713" s="179"/>
    </row>
    <row r="714" spans="1:23">
      <c r="A714" s="179"/>
      <c r="B714" s="179"/>
      <c r="C714" s="179"/>
      <c r="D714" s="179"/>
      <c r="E714" s="179"/>
      <c r="F714" s="179"/>
      <c r="G714" s="179"/>
      <c r="H714" s="179"/>
      <c r="I714" s="179"/>
      <c r="J714" s="179"/>
      <c r="K714" s="179"/>
      <c r="L714" s="179"/>
      <c r="M714" s="179"/>
      <c r="N714" s="179"/>
      <c r="O714" s="179"/>
      <c r="P714" s="179"/>
      <c r="Q714" s="179"/>
      <c r="R714" s="179"/>
      <c r="S714" s="179"/>
      <c r="T714" s="179"/>
      <c r="U714" s="179"/>
      <c r="V714" s="179"/>
      <c r="W714" s="179"/>
    </row>
    <row r="715" spans="1:23">
      <c r="A715" s="179"/>
      <c r="B715" s="179"/>
      <c r="C715" s="179"/>
      <c r="D715" s="179"/>
      <c r="E715" s="179"/>
      <c r="F715" s="179"/>
      <c r="G715" s="179"/>
      <c r="H715" s="179"/>
      <c r="I715" s="179"/>
      <c r="J715" s="179"/>
      <c r="K715" s="179"/>
      <c r="L715" s="179"/>
      <c r="M715" s="179"/>
      <c r="N715" s="179"/>
      <c r="O715" s="179"/>
      <c r="P715" s="179"/>
      <c r="Q715" s="179"/>
      <c r="R715" s="179"/>
      <c r="S715" s="179"/>
      <c r="T715" s="179"/>
      <c r="U715" s="179"/>
      <c r="V715" s="179"/>
      <c r="W715" s="179"/>
    </row>
    <row r="716" spans="1:23">
      <c r="A716" s="179"/>
      <c r="B716" s="179"/>
      <c r="C716" s="179"/>
      <c r="D716" s="179"/>
      <c r="E716" s="179"/>
      <c r="F716" s="179"/>
      <c r="G716" s="179"/>
      <c r="H716" s="179"/>
      <c r="I716" s="179"/>
      <c r="J716" s="179"/>
      <c r="K716" s="179"/>
      <c r="L716" s="179"/>
      <c r="M716" s="179"/>
      <c r="N716" s="179"/>
      <c r="O716" s="179"/>
      <c r="P716" s="179"/>
      <c r="Q716" s="179"/>
      <c r="R716" s="179"/>
      <c r="S716" s="179"/>
      <c r="T716" s="179"/>
      <c r="U716" s="179"/>
      <c r="V716" s="179"/>
      <c r="W716" s="179"/>
    </row>
    <row r="717" spans="1:23">
      <c r="A717" s="179"/>
      <c r="B717" s="179"/>
      <c r="C717" s="179"/>
      <c r="D717" s="179"/>
      <c r="E717" s="179"/>
      <c r="F717" s="179"/>
      <c r="G717" s="179"/>
      <c r="H717" s="179"/>
      <c r="I717" s="179"/>
      <c r="J717" s="179"/>
      <c r="K717" s="179"/>
      <c r="L717" s="179"/>
      <c r="M717" s="179"/>
      <c r="N717" s="179"/>
      <c r="O717" s="179"/>
      <c r="P717" s="179"/>
      <c r="Q717" s="179"/>
      <c r="R717" s="179"/>
      <c r="S717" s="179"/>
      <c r="T717" s="179"/>
      <c r="U717" s="179"/>
      <c r="V717" s="179"/>
      <c r="W717" s="179"/>
    </row>
    <row r="718" spans="1:23">
      <c r="A718" s="179"/>
      <c r="B718" s="179"/>
      <c r="C718" s="179"/>
      <c r="D718" s="179"/>
      <c r="E718" s="179"/>
      <c r="F718" s="179"/>
      <c r="G718" s="179"/>
      <c r="H718" s="179"/>
      <c r="I718" s="179"/>
      <c r="J718" s="179"/>
      <c r="K718" s="179"/>
      <c r="L718" s="179"/>
      <c r="M718" s="179"/>
      <c r="N718" s="179"/>
      <c r="O718" s="179"/>
      <c r="P718" s="179"/>
      <c r="Q718" s="179"/>
      <c r="R718" s="179"/>
      <c r="S718" s="179"/>
      <c r="T718" s="179"/>
      <c r="U718" s="179"/>
      <c r="V718" s="179"/>
      <c r="W718" s="179"/>
    </row>
    <row r="719" spans="1:23">
      <c r="A719" s="179"/>
      <c r="B719" s="179"/>
      <c r="C719" s="179"/>
      <c r="D719" s="179"/>
      <c r="E719" s="179"/>
      <c r="F719" s="179"/>
      <c r="G719" s="179"/>
      <c r="H719" s="179"/>
      <c r="I719" s="179"/>
      <c r="J719" s="179"/>
      <c r="K719" s="179"/>
      <c r="L719" s="179"/>
      <c r="M719" s="179"/>
      <c r="N719" s="179"/>
      <c r="O719" s="179"/>
      <c r="P719" s="179"/>
      <c r="Q719" s="179"/>
      <c r="R719" s="179"/>
      <c r="S719" s="179"/>
      <c r="T719" s="179"/>
      <c r="U719" s="179"/>
      <c r="V719" s="179"/>
      <c r="W719" s="179"/>
    </row>
    <row r="720" spans="1:23">
      <c r="A720" s="179"/>
      <c r="B720" s="179"/>
      <c r="C720" s="179"/>
      <c r="D720" s="179"/>
      <c r="E720" s="179"/>
      <c r="F720" s="179"/>
      <c r="G720" s="179"/>
      <c r="H720" s="179"/>
      <c r="I720" s="179"/>
      <c r="J720" s="179"/>
      <c r="K720" s="179"/>
      <c r="L720" s="179"/>
      <c r="M720" s="179"/>
      <c r="N720" s="179"/>
      <c r="O720" s="179"/>
      <c r="P720" s="179"/>
      <c r="Q720" s="179"/>
      <c r="R720" s="179"/>
      <c r="S720" s="179"/>
      <c r="T720" s="179"/>
      <c r="U720" s="179"/>
      <c r="V720" s="179"/>
      <c r="W720" s="179"/>
    </row>
    <row r="721" spans="1:23">
      <c r="A721" s="179"/>
      <c r="B721" s="179"/>
      <c r="C721" s="179"/>
      <c r="D721" s="179"/>
      <c r="E721" s="179"/>
      <c r="F721" s="179"/>
      <c r="G721" s="179"/>
      <c r="H721" s="179"/>
      <c r="I721" s="179"/>
      <c r="J721" s="179"/>
      <c r="K721" s="179"/>
      <c r="L721" s="179"/>
      <c r="M721" s="179"/>
      <c r="N721" s="179"/>
      <c r="O721" s="179"/>
      <c r="P721" s="179"/>
      <c r="Q721" s="179"/>
      <c r="R721" s="179"/>
      <c r="S721" s="179"/>
      <c r="T721" s="179"/>
      <c r="U721" s="179"/>
      <c r="V721" s="179"/>
      <c r="W721" s="179"/>
    </row>
    <row r="722" spans="1:23">
      <c r="A722" s="179"/>
      <c r="B722" s="179"/>
      <c r="C722" s="179"/>
      <c r="D722" s="179"/>
      <c r="E722" s="179"/>
      <c r="F722" s="179"/>
      <c r="G722" s="179"/>
      <c r="H722" s="179"/>
      <c r="I722" s="179"/>
      <c r="J722" s="179"/>
      <c r="K722" s="179"/>
      <c r="L722" s="179"/>
      <c r="M722" s="179"/>
      <c r="N722" s="179"/>
      <c r="O722" s="179"/>
      <c r="P722" s="179"/>
      <c r="Q722" s="179"/>
      <c r="R722" s="179"/>
      <c r="S722" s="179"/>
      <c r="T722" s="179"/>
      <c r="U722" s="179"/>
      <c r="V722" s="179"/>
      <c r="W722" s="179"/>
    </row>
    <row r="723" spans="1:23">
      <c r="A723" s="179"/>
      <c r="B723" s="179"/>
      <c r="C723" s="179"/>
      <c r="D723" s="179"/>
      <c r="E723" s="179"/>
      <c r="F723" s="179"/>
      <c r="G723" s="179"/>
      <c r="H723" s="179"/>
      <c r="I723" s="179"/>
      <c r="J723" s="179"/>
      <c r="K723" s="179"/>
      <c r="L723" s="179"/>
      <c r="M723" s="179"/>
      <c r="N723" s="179"/>
      <c r="O723" s="179"/>
      <c r="P723" s="179"/>
      <c r="Q723" s="179"/>
      <c r="R723" s="179"/>
      <c r="S723" s="179"/>
      <c r="T723" s="179"/>
      <c r="U723" s="179"/>
      <c r="V723" s="179"/>
      <c r="W723" s="179"/>
    </row>
    <row r="724" spans="1:23">
      <c r="A724" s="179"/>
      <c r="B724" s="179"/>
      <c r="C724" s="179"/>
      <c r="D724" s="179"/>
      <c r="E724" s="179"/>
      <c r="F724" s="179"/>
      <c r="G724" s="179"/>
      <c r="H724" s="179"/>
      <c r="I724" s="179"/>
      <c r="J724" s="179"/>
      <c r="K724" s="179"/>
      <c r="L724" s="179"/>
      <c r="M724" s="179"/>
      <c r="N724" s="179"/>
      <c r="O724" s="179"/>
      <c r="P724" s="179"/>
      <c r="Q724" s="179"/>
      <c r="R724" s="179"/>
      <c r="S724" s="179"/>
      <c r="T724" s="179"/>
      <c r="U724" s="179"/>
      <c r="V724" s="179"/>
      <c r="W724" s="179"/>
    </row>
    <row r="725" spans="1:23">
      <c r="A725" s="179"/>
      <c r="B725" s="179"/>
      <c r="C725" s="179"/>
      <c r="D725" s="179"/>
      <c r="E725" s="179"/>
      <c r="F725" s="179"/>
      <c r="G725" s="179"/>
      <c r="H725" s="179"/>
      <c r="I725" s="179"/>
      <c r="J725" s="179"/>
      <c r="K725" s="179"/>
      <c r="L725" s="179"/>
      <c r="M725" s="179"/>
      <c r="N725" s="179"/>
      <c r="O725" s="179"/>
      <c r="P725" s="179"/>
      <c r="Q725" s="179"/>
      <c r="R725" s="179"/>
      <c r="S725" s="179"/>
      <c r="T725" s="179"/>
      <c r="U725" s="179"/>
      <c r="V725" s="179"/>
      <c r="W725" s="179"/>
    </row>
    <row r="726" spans="1:23">
      <c r="A726" s="179"/>
      <c r="B726" s="179"/>
      <c r="C726" s="179"/>
      <c r="D726" s="179"/>
      <c r="E726" s="179"/>
      <c r="F726" s="179"/>
      <c r="G726" s="179"/>
      <c r="H726" s="179"/>
      <c r="I726" s="179"/>
      <c r="J726" s="179"/>
      <c r="K726" s="179"/>
      <c r="L726" s="179"/>
      <c r="M726" s="179"/>
      <c r="N726" s="179"/>
      <c r="O726" s="179"/>
      <c r="P726" s="179"/>
      <c r="Q726" s="179"/>
      <c r="R726" s="179"/>
      <c r="S726" s="179"/>
      <c r="T726" s="179"/>
      <c r="U726" s="179"/>
      <c r="V726" s="179"/>
      <c r="W726" s="179"/>
    </row>
    <row r="727" spans="1:23">
      <c r="A727" s="179"/>
      <c r="B727" s="179"/>
      <c r="C727" s="179"/>
      <c r="D727" s="179"/>
      <c r="E727" s="179"/>
      <c r="F727" s="179"/>
      <c r="G727" s="179"/>
      <c r="H727" s="179"/>
      <c r="I727" s="179"/>
      <c r="J727" s="179"/>
      <c r="K727" s="179"/>
      <c r="L727" s="179"/>
      <c r="M727" s="179"/>
      <c r="N727" s="179"/>
      <c r="O727" s="179"/>
      <c r="P727" s="179"/>
      <c r="Q727" s="179"/>
      <c r="R727" s="179"/>
      <c r="S727" s="179"/>
      <c r="T727" s="179"/>
      <c r="U727" s="179"/>
      <c r="V727" s="179"/>
      <c r="W727" s="179"/>
    </row>
    <row r="728" spans="1:23">
      <c r="A728" s="179"/>
      <c r="B728" s="179"/>
      <c r="C728" s="179"/>
      <c r="D728" s="179"/>
      <c r="E728" s="179"/>
      <c r="F728" s="179"/>
      <c r="G728" s="179"/>
      <c r="H728" s="179"/>
      <c r="I728" s="179"/>
      <c r="J728" s="179"/>
      <c r="K728" s="179"/>
      <c r="L728" s="179"/>
      <c r="M728" s="179"/>
      <c r="N728" s="179"/>
      <c r="O728" s="179"/>
      <c r="P728" s="179"/>
      <c r="Q728" s="179"/>
      <c r="R728" s="179"/>
      <c r="S728" s="179"/>
      <c r="T728" s="179"/>
      <c r="U728" s="179"/>
      <c r="V728" s="179"/>
      <c r="W728" s="179"/>
    </row>
    <row r="729" spans="1:23">
      <c r="A729" s="179"/>
      <c r="B729" s="179"/>
      <c r="C729" s="179"/>
      <c r="D729" s="179"/>
      <c r="E729" s="179"/>
      <c r="F729" s="179"/>
      <c r="G729" s="179"/>
      <c r="H729" s="179"/>
      <c r="I729" s="179"/>
      <c r="J729" s="179"/>
      <c r="K729" s="179"/>
      <c r="L729" s="179"/>
      <c r="M729" s="179"/>
      <c r="N729" s="179"/>
      <c r="O729" s="179"/>
      <c r="P729" s="179"/>
      <c r="Q729" s="179"/>
      <c r="R729" s="179"/>
      <c r="S729" s="179"/>
      <c r="T729" s="179"/>
      <c r="U729" s="179"/>
      <c r="V729" s="179"/>
      <c r="W729" s="179"/>
    </row>
    <row r="730" spans="1:23">
      <c r="A730" s="179"/>
      <c r="B730" s="179"/>
      <c r="C730" s="179"/>
      <c r="D730" s="179"/>
      <c r="E730" s="179"/>
      <c r="F730" s="179"/>
      <c r="G730" s="179"/>
      <c r="H730" s="179"/>
      <c r="I730" s="179"/>
      <c r="J730" s="179"/>
      <c r="K730" s="179"/>
      <c r="L730" s="179"/>
      <c r="M730" s="179"/>
      <c r="N730" s="179"/>
      <c r="O730" s="179"/>
      <c r="P730" s="179"/>
      <c r="Q730" s="179"/>
      <c r="R730" s="179"/>
      <c r="S730" s="179"/>
      <c r="T730" s="179"/>
      <c r="U730" s="179"/>
      <c r="V730" s="179"/>
      <c r="W730" s="179"/>
    </row>
    <row r="731" spans="1:23">
      <c r="A731" s="179"/>
      <c r="B731" s="179"/>
      <c r="C731" s="179"/>
      <c r="D731" s="179"/>
      <c r="E731" s="179"/>
      <c r="F731" s="179"/>
      <c r="G731" s="179"/>
      <c r="H731" s="179"/>
      <c r="I731" s="179"/>
      <c r="J731" s="179"/>
      <c r="K731" s="179"/>
      <c r="L731" s="179"/>
      <c r="M731" s="179"/>
      <c r="N731" s="179"/>
      <c r="O731" s="179"/>
      <c r="P731" s="179"/>
      <c r="Q731" s="179"/>
      <c r="R731" s="179"/>
      <c r="S731" s="179"/>
      <c r="T731" s="179"/>
      <c r="U731" s="179"/>
      <c r="V731" s="179"/>
      <c r="W731" s="179"/>
    </row>
    <row r="732" spans="1:23">
      <c r="A732" s="179"/>
      <c r="B732" s="179"/>
      <c r="C732" s="179"/>
      <c r="D732" s="179"/>
      <c r="E732" s="179"/>
      <c r="F732" s="179"/>
      <c r="G732" s="179"/>
      <c r="H732" s="179"/>
      <c r="I732" s="179"/>
      <c r="J732" s="179"/>
      <c r="K732" s="179"/>
      <c r="L732" s="179"/>
      <c r="M732" s="179"/>
      <c r="N732" s="179"/>
      <c r="O732" s="179"/>
      <c r="P732" s="179"/>
      <c r="Q732" s="179"/>
      <c r="R732" s="179"/>
      <c r="S732" s="179"/>
      <c r="T732" s="179"/>
      <c r="U732" s="179"/>
      <c r="V732" s="179"/>
      <c r="W732" s="179"/>
    </row>
    <row r="733" spans="1:23">
      <c r="A733" s="179"/>
      <c r="B733" s="179"/>
      <c r="C733" s="179"/>
      <c r="D733" s="179"/>
      <c r="E733" s="179"/>
      <c r="F733" s="179"/>
      <c r="G733" s="179"/>
      <c r="H733" s="179"/>
      <c r="I733" s="179"/>
      <c r="J733" s="179"/>
      <c r="K733" s="179"/>
      <c r="L733" s="179"/>
      <c r="M733" s="179"/>
      <c r="N733" s="179"/>
      <c r="O733" s="179"/>
      <c r="P733" s="179"/>
      <c r="Q733" s="179"/>
      <c r="R733" s="179"/>
      <c r="S733" s="179"/>
      <c r="T733" s="179"/>
      <c r="U733" s="179"/>
      <c r="V733" s="179"/>
      <c r="W733" s="179"/>
    </row>
    <row r="734" spans="1:23">
      <c r="A734" s="179"/>
      <c r="B734" s="179"/>
      <c r="C734" s="179"/>
      <c r="D734" s="179"/>
      <c r="E734" s="179"/>
      <c r="F734" s="179"/>
      <c r="G734" s="179"/>
      <c r="H734" s="179"/>
      <c r="I734" s="179"/>
      <c r="J734" s="179"/>
      <c r="K734" s="179"/>
      <c r="L734" s="179"/>
      <c r="M734" s="179"/>
      <c r="N734" s="179"/>
      <c r="O734" s="179"/>
      <c r="P734" s="179"/>
      <c r="Q734" s="179"/>
      <c r="R734" s="179"/>
      <c r="S734" s="179"/>
      <c r="T734" s="179"/>
      <c r="U734" s="179"/>
      <c r="V734" s="179"/>
      <c r="W734" s="179"/>
    </row>
    <row r="735" spans="1:23">
      <c r="A735" s="179"/>
      <c r="B735" s="179"/>
      <c r="C735" s="179"/>
      <c r="D735" s="179"/>
      <c r="E735" s="179"/>
      <c r="F735" s="179"/>
      <c r="G735" s="179"/>
      <c r="H735" s="179"/>
      <c r="I735" s="179"/>
      <c r="J735" s="179"/>
      <c r="K735" s="179"/>
      <c r="L735" s="179"/>
      <c r="M735" s="179"/>
      <c r="N735" s="179"/>
      <c r="O735" s="179"/>
      <c r="P735" s="179"/>
      <c r="Q735" s="179"/>
      <c r="R735" s="179"/>
      <c r="S735" s="179"/>
      <c r="T735" s="179"/>
      <c r="U735" s="179"/>
      <c r="V735" s="179"/>
      <c r="W735" s="179"/>
    </row>
    <row r="736" spans="1:23">
      <c r="A736" s="179"/>
      <c r="B736" s="179"/>
      <c r="C736" s="179"/>
      <c r="D736" s="179"/>
      <c r="E736" s="179"/>
      <c r="F736" s="179"/>
      <c r="G736" s="179"/>
      <c r="H736" s="179"/>
      <c r="I736" s="179"/>
      <c r="J736" s="179"/>
      <c r="K736" s="179"/>
      <c r="L736" s="179"/>
      <c r="M736" s="179"/>
      <c r="N736" s="179"/>
      <c r="O736" s="179"/>
      <c r="P736" s="179"/>
      <c r="Q736" s="179"/>
      <c r="R736" s="179"/>
      <c r="S736" s="179"/>
      <c r="T736" s="179"/>
      <c r="U736" s="179"/>
      <c r="V736" s="179"/>
      <c r="W736" s="179"/>
    </row>
    <row r="737" spans="1:23">
      <c r="A737" s="179"/>
      <c r="B737" s="179"/>
      <c r="C737" s="179"/>
      <c r="D737" s="179"/>
      <c r="E737" s="179"/>
      <c r="F737" s="179"/>
      <c r="G737" s="179"/>
      <c r="H737" s="179"/>
      <c r="I737" s="179"/>
      <c r="J737" s="179"/>
      <c r="K737" s="179"/>
      <c r="L737" s="179"/>
      <c r="M737" s="179"/>
      <c r="N737" s="179"/>
      <c r="O737" s="179"/>
      <c r="P737" s="179"/>
      <c r="Q737" s="179"/>
      <c r="R737" s="179"/>
      <c r="S737" s="179"/>
      <c r="T737" s="179"/>
      <c r="U737" s="179"/>
      <c r="V737" s="179"/>
      <c r="W737" s="179"/>
    </row>
    <row r="738" spans="1:23">
      <c r="A738" s="179"/>
      <c r="B738" s="179"/>
      <c r="C738" s="179"/>
      <c r="D738" s="179"/>
      <c r="E738" s="179"/>
      <c r="F738" s="179"/>
      <c r="G738" s="179"/>
      <c r="H738" s="179"/>
      <c r="I738" s="179"/>
      <c r="J738" s="179"/>
      <c r="K738" s="179"/>
      <c r="L738" s="179"/>
      <c r="M738" s="179"/>
      <c r="N738" s="179"/>
      <c r="O738" s="179"/>
      <c r="P738" s="179"/>
      <c r="Q738" s="179"/>
      <c r="R738" s="179"/>
      <c r="S738" s="179"/>
      <c r="T738" s="179"/>
      <c r="U738" s="179"/>
      <c r="V738" s="179"/>
      <c r="W738" s="179"/>
    </row>
    <row r="739" spans="1:23">
      <c r="A739" s="179"/>
      <c r="B739" s="179"/>
      <c r="C739" s="179"/>
      <c r="D739" s="179"/>
      <c r="E739" s="179"/>
      <c r="F739" s="179"/>
      <c r="G739" s="179"/>
      <c r="H739" s="179"/>
      <c r="I739" s="179"/>
      <c r="J739" s="179"/>
      <c r="K739" s="179"/>
      <c r="L739" s="179"/>
      <c r="M739" s="179"/>
      <c r="N739" s="179"/>
      <c r="O739" s="179"/>
      <c r="P739" s="179"/>
      <c r="Q739" s="179"/>
      <c r="R739" s="179"/>
      <c r="S739" s="179"/>
      <c r="T739" s="179"/>
      <c r="U739" s="179"/>
      <c r="V739" s="179"/>
      <c r="W739" s="179"/>
    </row>
    <row r="740" spans="1:23">
      <c r="A740" s="179"/>
      <c r="B740" s="179"/>
      <c r="C740" s="179"/>
      <c r="D740" s="179"/>
      <c r="E740" s="179"/>
      <c r="F740" s="179"/>
      <c r="G740" s="179"/>
      <c r="H740" s="179"/>
      <c r="I740" s="179"/>
      <c r="J740" s="179"/>
      <c r="K740" s="179"/>
      <c r="L740" s="179"/>
      <c r="M740" s="179"/>
      <c r="N740" s="179"/>
      <c r="O740" s="179"/>
      <c r="P740" s="179"/>
      <c r="Q740" s="179"/>
      <c r="R740" s="179"/>
      <c r="S740" s="179"/>
      <c r="T740" s="179"/>
      <c r="U740" s="179"/>
      <c r="V740" s="179"/>
      <c r="W740" s="179"/>
    </row>
    <row r="741" spans="1:23">
      <c r="A741" s="179"/>
      <c r="B741" s="179"/>
      <c r="C741" s="179"/>
      <c r="D741" s="179"/>
      <c r="E741" s="179"/>
      <c r="F741" s="179"/>
      <c r="G741" s="179"/>
      <c r="H741" s="179"/>
      <c r="I741" s="179"/>
      <c r="J741" s="179"/>
      <c r="K741" s="179"/>
      <c r="L741" s="179"/>
      <c r="M741" s="179"/>
      <c r="N741" s="179"/>
      <c r="O741" s="179"/>
      <c r="P741" s="179"/>
      <c r="Q741" s="179"/>
      <c r="R741" s="179"/>
      <c r="S741" s="179"/>
      <c r="T741" s="179"/>
      <c r="U741" s="179"/>
      <c r="V741" s="179"/>
      <c r="W741" s="179"/>
    </row>
    <row r="742" spans="1:23">
      <c r="A742" s="179"/>
      <c r="B742" s="179"/>
      <c r="C742" s="179"/>
      <c r="D742" s="179"/>
      <c r="E742" s="179"/>
      <c r="F742" s="179"/>
      <c r="G742" s="179"/>
      <c r="H742" s="179"/>
      <c r="I742" s="179"/>
      <c r="J742" s="179"/>
      <c r="K742" s="179"/>
      <c r="L742" s="179"/>
      <c r="M742" s="179"/>
      <c r="N742" s="179"/>
      <c r="O742" s="179"/>
      <c r="P742" s="179"/>
      <c r="Q742" s="179"/>
      <c r="R742" s="179"/>
      <c r="S742" s="179"/>
      <c r="T742" s="179"/>
      <c r="U742" s="179"/>
      <c r="V742" s="179"/>
      <c r="W742" s="179"/>
    </row>
    <row r="743" spans="1:23">
      <c r="A743" s="179"/>
      <c r="B743" s="179"/>
      <c r="C743" s="179"/>
      <c r="D743" s="179"/>
      <c r="E743" s="179"/>
      <c r="F743" s="179"/>
      <c r="G743" s="179"/>
      <c r="H743" s="179"/>
      <c r="I743" s="179"/>
      <c r="J743" s="179"/>
      <c r="K743" s="179"/>
      <c r="L743" s="179"/>
      <c r="M743" s="179"/>
      <c r="N743" s="179"/>
      <c r="O743" s="179"/>
      <c r="P743" s="179"/>
      <c r="Q743" s="179"/>
      <c r="R743" s="179"/>
      <c r="S743" s="179"/>
      <c r="T743" s="179"/>
      <c r="U743" s="179"/>
      <c r="V743" s="179"/>
      <c r="W743" s="179"/>
    </row>
    <row r="744" spans="1:23">
      <c r="A744" s="179"/>
      <c r="B744" s="179"/>
      <c r="C744" s="179"/>
      <c r="D744" s="179"/>
      <c r="E744" s="179"/>
      <c r="F744" s="179"/>
      <c r="G744" s="179"/>
      <c r="H744" s="179"/>
      <c r="I744" s="179"/>
      <c r="J744" s="179"/>
      <c r="K744" s="179"/>
      <c r="L744" s="179"/>
      <c r="M744" s="179"/>
      <c r="N744" s="179"/>
      <c r="O744" s="179"/>
      <c r="P744" s="179"/>
      <c r="Q744" s="179"/>
      <c r="R744" s="179"/>
      <c r="S744" s="179"/>
      <c r="T744" s="179"/>
      <c r="U744" s="179"/>
      <c r="V744" s="179"/>
      <c r="W744" s="179"/>
    </row>
    <row r="745" spans="1:23">
      <c r="A745" s="179"/>
      <c r="B745" s="179"/>
      <c r="C745" s="179"/>
      <c r="D745" s="179"/>
      <c r="E745" s="179"/>
      <c r="F745" s="179"/>
      <c r="G745" s="179"/>
      <c r="H745" s="179"/>
      <c r="I745" s="179"/>
      <c r="J745" s="179"/>
      <c r="K745" s="179"/>
      <c r="L745" s="179"/>
      <c r="M745" s="179"/>
      <c r="N745" s="179"/>
      <c r="O745" s="179"/>
      <c r="P745" s="179"/>
      <c r="Q745" s="179"/>
      <c r="R745" s="179"/>
      <c r="S745" s="179"/>
      <c r="T745" s="179"/>
      <c r="U745" s="179"/>
      <c r="V745" s="179"/>
      <c r="W745" s="179"/>
    </row>
    <row r="746" spans="1:23">
      <c r="A746" s="179"/>
      <c r="B746" s="179"/>
      <c r="C746" s="179"/>
      <c r="D746" s="179"/>
      <c r="E746" s="179"/>
      <c r="F746" s="179"/>
      <c r="G746" s="179"/>
      <c r="H746" s="179"/>
      <c r="I746" s="179"/>
      <c r="J746" s="179"/>
      <c r="K746" s="179"/>
      <c r="L746" s="179"/>
      <c r="M746" s="179"/>
      <c r="N746" s="179"/>
      <c r="O746" s="179"/>
      <c r="P746" s="179"/>
      <c r="Q746" s="179"/>
      <c r="R746" s="179"/>
      <c r="S746" s="179"/>
      <c r="T746" s="179"/>
      <c r="U746" s="179"/>
      <c r="V746" s="179"/>
      <c r="W746" s="179"/>
    </row>
    <row r="747" spans="1:23">
      <c r="A747" s="179"/>
      <c r="B747" s="179"/>
      <c r="C747" s="179"/>
      <c r="D747" s="179"/>
      <c r="E747" s="179"/>
      <c r="F747" s="179"/>
      <c r="G747" s="179"/>
      <c r="H747" s="179"/>
      <c r="I747" s="179"/>
      <c r="J747" s="179"/>
      <c r="K747" s="179"/>
      <c r="L747" s="179"/>
      <c r="M747" s="179"/>
      <c r="N747" s="179"/>
      <c r="O747" s="179"/>
      <c r="P747" s="179"/>
      <c r="Q747" s="179"/>
      <c r="R747" s="179"/>
      <c r="S747" s="179"/>
      <c r="T747" s="179"/>
      <c r="U747" s="179"/>
      <c r="V747" s="179"/>
      <c r="W747" s="179"/>
    </row>
    <row r="748" spans="1:23">
      <c r="A748" s="179"/>
      <c r="B748" s="179"/>
      <c r="C748" s="179"/>
      <c r="D748" s="179"/>
      <c r="E748" s="179"/>
      <c r="F748" s="179"/>
      <c r="G748" s="179"/>
      <c r="H748" s="179"/>
      <c r="I748" s="179"/>
      <c r="J748" s="179"/>
      <c r="K748" s="179"/>
      <c r="L748" s="179"/>
      <c r="M748" s="179"/>
      <c r="N748" s="179"/>
      <c r="O748" s="179"/>
      <c r="P748" s="179"/>
      <c r="Q748" s="179"/>
      <c r="R748" s="179"/>
      <c r="S748" s="179"/>
      <c r="T748" s="179"/>
      <c r="U748" s="179"/>
      <c r="V748" s="179"/>
      <c r="W748" s="179"/>
    </row>
    <row r="749" spans="1:23">
      <c r="A749" s="179"/>
      <c r="B749" s="179"/>
      <c r="C749" s="179"/>
      <c r="D749" s="179"/>
      <c r="E749" s="179"/>
      <c r="F749" s="179"/>
      <c r="G749" s="179"/>
      <c r="H749" s="179"/>
      <c r="I749" s="179"/>
      <c r="J749" s="179"/>
      <c r="K749" s="179"/>
      <c r="L749" s="179"/>
      <c r="M749" s="179"/>
      <c r="N749" s="179"/>
      <c r="O749" s="179"/>
      <c r="P749" s="179"/>
      <c r="Q749" s="179"/>
      <c r="R749" s="179"/>
      <c r="S749" s="179"/>
      <c r="T749" s="179"/>
      <c r="U749" s="179"/>
      <c r="V749" s="179"/>
      <c r="W749" s="179"/>
    </row>
    <row r="750" spans="1:23">
      <c r="A750" s="179"/>
      <c r="B750" s="179"/>
      <c r="C750" s="179"/>
      <c r="D750" s="179"/>
      <c r="E750" s="179"/>
      <c r="F750" s="179"/>
      <c r="G750" s="179"/>
      <c r="H750" s="179"/>
      <c r="I750" s="179"/>
      <c r="J750" s="179"/>
      <c r="K750" s="179"/>
      <c r="L750" s="179"/>
      <c r="M750" s="179"/>
      <c r="N750" s="179"/>
      <c r="O750" s="179"/>
      <c r="P750" s="179"/>
      <c r="Q750" s="179"/>
      <c r="R750" s="179"/>
      <c r="S750" s="179"/>
      <c r="T750" s="179"/>
      <c r="U750" s="179"/>
      <c r="V750" s="179"/>
      <c r="W750" s="179"/>
    </row>
    <row r="751" spans="1:23">
      <c r="A751" s="179"/>
      <c r="B751" s="179"/>
      <c r="C751" s="179"/>
      <c r="D751" s="179"/>
      <c r="E751" s="179"/>
      <c r="F751" s="179"/>
      <c r="G751" s="179"/>
      <c r="H751" s="179"/>
      <c r="I751" s="179"/>
      <c r="J751" s="179"/>
      <c r="K751" s="179"/>
      <c r="L751" s="179"/>
      <c r="M751" s="179"/>
      <c r="N751" s="179"/>
      <c r="O751" s="179"/>
      <c r="P751" s="179"/>
      <c r="Q751" s="179"/>
      <c r="R751" s="179"/>
      <c r="S751" s="179"/>
      <c r="T751" s="179"/>
      <c r="U751" s="179"/>
      <c r="V751" s="179"/>
      <c r="W751" s="179"/>
    </row>
    <row r="752" spans="1:23">
      <c r="A752" s="179"/>
      <c r="B752" s="179"/>
      <c r="C752" s="179"/>
      <c r="D752" s="179"/>
      <c r="E752" s="179"/>
      <c r="F752" s="179"/>
      <c r="G752" s="179"/>
      <c r="H752" s="179"/>
      <c r="I752" s="179"/>
      <c r="J752" s="179"/>
      <c r="K752" s="179"/>
      <c r="L752" s="179"/>
      <c r="M752" s="179"/>
      <c r="N752" s="179"/>
      <c r="O752" s="179"/>
      <c r="P752" s="179"/>
      <c r="Q752" s="179"/>
      <c r="R752" s="179"/>
      <c r="S752" s="179"/>
      <c r="T752" s="179"/>
      <c r="U752" s="179"/>
      <c r="V752" s="179"/>
      <c r="W752" s="179"/>
    </row>
    <row r="753" spans="1:23">
      <c r="A753" s="179"/>
      <c r="B753" s="179"/>
      <c r="C753" s="179"/>
      <c r="D753" s="179"/>
      <c r="E753" s="179"/>
      <c r="F753" s="179"/>
      <c r="G753" s="179"/>
      <c r="H753" s="179"/>
      <c r="I753" s="179"/>
      <c r="J753" s="179"/>
      <c r="K753" s="179"/>
      <c r="L753" s="179"/>
      <c r="M753" s="179"/>
      <c r="N753" s="179"/>
      <c r="O753" s="179"/>
      <c r="P753" s="179"/>
      <c r="Q753" s="179"/>
      <c r="R753" s="179"/>
      <c r="S753" s="179"/>
      <c r="T753" s="179"/>
      <c r="U753" s="179"/>
      <c r="V753" s="179"/>
      <c r="W753" s="179"/>
    </row>
    <row r="754" spans="1:23">
      <c r="A754" s="179"/>
      <c r="B754" s="179"/>
      <c r="C754" s="179"/>
      <c r="D754" s="179"/>
      <c r="E754" s="179"/>
      <c r="F754" s="179"/>
      <c r="G754" s="179"/>
      <c r="H754" s="179"/>
      <c r="I754" s="179"/>
      <c r="J754" s="179"/>
      <c r="K754" s="179"/>
      <c r="L754" s="179"/>
      <c r="M754" s="179"/>
      <c r="N754" s="179"/>
      <c r="O754" s="179"/>
      <c r="P754" s="179"/>
      <c r="Q754" s="179"/>
      <c r="R754" s="179"/>
      <c r="S754" s="179"/>
      <c r="T754" s="179"/>
      <c r="U754" s="179"/>
      <c r="V754" s="179"/>
      <c r="W754" s="179"/>
    </row>
    <row r="755" spans="1:23">
      <c r="A755" s="179"/>
      <c r="B755" s="179"/>
      <c r="C755" s="179"/>
      <c r="D755" s="179"/>
      <c r="E755" s="179"/>
      <c r="F755" s="179"/>
      <c r="G755" s="179"/>
      <c r="H755" s="179"/>
      <c r="I755" s="179"/>
      <c r="J755" s="179"/>
      <c r="K755" s="179"/>
      <c r="L755" s="179"/>
      <c r="M755" s="179"/>
      <c r="N755" s="179"/>
      <c r="O755" s="179"/>
      <c r="P755" s="179"/>
      <c r="Q755" s="179"/>
      <c r="R755" s="179"/>
      <c r="S755" s="179"/>
      <c r="T755" s="179"/>
      <c r="U755" s="179"/>
      <c r="V755" s="179"/>
      <c r="W755" s="179"/>
    </row>
    <row r="756" spans="1:23">
      <c r="A756" s="179"/>
      <c r="B756" s="179"/>
      <c r="C756" s="179"/>
      <c r="D756" s="179"/>
      <c r="E756" s="179"/>
      <c r="F756" s="179"/>
      <c r="G756" s="179"/>
      <c r="H756" s="179"/>
      <c r="I756" s="179"/>
      <c r="J756" s="179"/>
      <c r="K756" s="179"/>
      <c r="L756" s="179"/>
      <c r="M756" s="179"/>
      <c r="N756" s="179"/>
      <c r="O756" s="179"/>
      <c r="P756" s="179"/>
      <c r="Q756" s="179"/>
      <c r="R756" s="179"/>
      <c r="S756" s="179"/>
      <c r="T756" s="179"/>
      <c r="U756" s="179"/>
      <c r="V756" s="179"/>
      <c r="W756" s="179"/>
    </row>
    <row r="757" spans="1:23">
      <c r="A757" s="179"/>
      <c r="B757" s="179"/>
      <c r="C757" s="179"/>
      <c r="D757" s="179"/>
      <c r="E757" s="179"/>
      <c r="F757" s="179"/>
      <c r="G757" s="179"/>
      <c r="H757" s="179"/>
      <c r="I757" s="179"/>
      <c r="J757" s="179"/>
      <c r="K757" s="179"/>
      <c r="L757" s="179"/>
      <c r="M757" s="179"/>
      <c r="N757" s="179"/>
      <c r="O757" s="179"/>
      <c r="P757" s="179"/>
      <c r="Q757" s="179"/>
      <c r="R757" s="179"/>
      <c r="S757" s="179"/>
      <c r="T757" s="179"/>
      <c r="U757" s="179"/>
      <c r="V757" s="179"/>
      <c r="W757" s="179"/>
    </row>
    <row r="758" spans="1:23">
      <c r="A758" s="179"/>
      <c r="B758" s="179"/>
      <c r="C758" s="179"/>
      <c r="D758" s="179"/>
      <c r="E758" s="179"/>
      <c r="F758" s="179"/>
      <c r="G758" s="179"/>
      <c r="H758" s="179"/>
      <c r="I758" s="179"/>
      <c r="J758" s="179"/>
      <c r="K758" s="179"/>
      <c r="L758" s="179"/>
      <c r="M758" s="179"/>
      <c r="N758" s="179"/>
      <c r="O758" s="179"/>
      <c r="P758" s="179"/>
      <c r="Q758" s="179"/>
      <c r="R758" s="179"/>
      <c r="S758" s="179"/>
      <c r="T758" s="179"/>
      <c r="U758" s="179"/>
      <c r="V758" s="179"/>
      <c r="W758" s="179"/>
    </row>
    <row r="759" spans="1:23">
      <c r="A759" s="179"/>
      <c r="B759" s="179"/>
      <c r="C759" s="179"/>
      <c r="D759" s="179"/>
      <c r="E759" s="179"/>
      <c r="F759" s="179"/>
      <c r="G759" s="179"/>
      <c r="H759" s="179"/>
      <c r="I759" s="179"/>
      <c r="J759" s="179"/>
      <c r="K759" s="179"/>
      <c r="L759" s="179"/>
      <c r="M759" s="179"/>
      <c r="N759" s="179"/>
      <c r="O759" s="179"/>
      <c r="P759" s="179"/>
      <c r="Q759" s="179"/>
      <c r="R759" s="179"/>
      <c r="S759" s="179"/>
      <c r="T759" s="179"/>
      <c r="U759" s="179"/>
      <c r="V759" s="179"/>
      <c r="W759" s="179"/>
    </row>
    <row r="760" spans="1:23">
      <c r="A760" s="179"/>
      <c r="B760" s="179"/>
      <c r="C760" s="179"/>
      <c r="D760" s="179"/>
      <c r="E760" s="179"/>
      <c r="F760" s="179"/>
      <c r="G760" s="179"/>
      <c r="H760" s="179"/>
      <c r="I760" s="179"/>
      <c r="J760" s="179"/>
      <c r="K760" s="179"/>
      <c r="L760" s="179"/>
      <c r="M760" s="179"/>
      <c r="N760" s="179"/>
      <c r="O760" s="179"/>
      <c r="P760" s="179"/>
      <c r="Q760" s="179"/>
      <c r="R760" s="179"/>
      <c r="S760" s="179"/>
      <c r="T760" s="179"/>
      <c r="U760" s="179"/>
      <c r="V760" s="179"/>
      <c r="W760" s="179"/>
    </row>
    <row r="761" spans="1:23">
      <c r="A761" s="179"/>
      <c r="B761" s="179"/>
      <c r="C761" s="179"/>
      <c r="D761" s="179"/>
      <c r="E761" s="179"/>
      <c r="F761" s="179"/>
      <c r="G761" s="179"/>
      <c r="H761" s="179"/>
      <c r="I761" s="179"/>
      <c r="J761" s="179"/>
      <c r="K761" s="179"/>
      <c r="L761" s="179"/>
      <c r="M761" s="179"/>
      <c r="N761" s="179"/>
      <c r="O761" s="179"/>
      <c r="P761" s="179"/>
      <c r="Q761" s="179"/>
      <c r="R761" s="179"/>
      <c r="S761" s="179"/>
      <c r="T761" s="179"/>
      <c r="U761" s="179"/>
      <c r="V761" s="179"/>
      <c r="W761" s="179"/>
    </row>
    <row r="762" spans="1:23">
      <c r="A762" s="179"/>
      <c r="B762" s="179"/>
      <c r="C762" s="179"/>
      <c r="D762" s="179"/>
      <c r="E762" s="179"/>
      <c r="F762" s="179"/>
      <c r="G762" s="179"/>
      <c r="H762" s="179"/>
      <c r="I762" s="179"/>
      <c r="J762" s="179"/>
      <c r="K762" s="179"/>
      <c r="L762" s="179"/>
      <c r="M762" s="179"/>
      <c r="N762" s="179"/>
      <c r="O762" s="179"/>
      <c r="P762" s="179"/>
      <c r="Q762" s="179"/>
      <c r="R762" s="179"/>
      <c r="S762" s="179"/>
      <c r="T762" s="179"/>
      <c r="U762" s="179"/>
      <c r="V762" s="179"/>
      <c r="W762" s="179"/>
    </row>
    <row r="763" spans="1:23">
      <c r="A763" s="179"/>
      <c r="B763" s="179"/>
      <c r="C763" s="179"/>
      <c r="D763" s="179"/>
      <c r="E763" s="179"/>
      <c r="F763" s="179"/>
      <c r="G763" s="179"/>
      <c r="H763" s="179"/>
      <c r="I763" s="179"/>
      <c r="J763" s="179"/>
      <c r="K763" s="179"/>
      <c r="L763" s="179"/>
      <c r="M763" s="179"/>
      <c r="N763" s="179"/>
      <c r="O763" s="179"/>
      <c r="P763" s="179"/>
      <c r="Q763" s="179"/>
      <c r="R763" s="179"/>
      <c r="S763" s="179"/>
      <c r="T763" s="179"/>
      <c r="U763" s="179"/>
      <c r="V763" s="179"/>
      <c r="W763" s="179"/>
    </row>
    <row r="764" spans="1:23">
      <c r="A764" s="179"/>
      <c r="B764" s="179"/>
      <c r="C764" s="179"/>
      <c r="D764" s="179"/>
      <c r="E764" s="179"/>
      <c r="F764" s="179"/>
      <c r="G764" s="179"/>
      <c r="H764" s="179"/>
      <c r="I764" s="179"/>
      <c r="J764" s="179"/>
      <c r="K764" s="179"/>
      <c r="L764" s="179"/>
      <c r="M764" s="179"/>
      <c r="N764" s="179"/>
      <c r="O764" s="179"/>
      <c r="P764" s="179"/>
      <c r="Q764" s="179"/>
      <c r="R764" s="179"/>
      <c r="S764" s="179"/>
      <c r="T764" s="179"/>
      <c r="U764" s="179"/>
      <c r="V764" s="179"/>
      <c r="W764" s="179"/>
    </row>
    <row r="765" spans="1:23">
      <c r="A765" s="179"/>
      <c r="B765" s="179"/>
      <c r="C765" s="179"/>
      <c r="D765" s="179"/>
      <c r="E765" s="179"/>
      <c r="F765" s="179"/>
      <c r="G765" s="179"/>
      <c r="H765" s="179"/>
      <c r="I765" s="179"/>
      <c r="J765" s="179"/>
      <c r="K765" s="179"/>
      <c r="L765" s="179"/>
      <c r="M765" s="179"/>
      <c r="N765" s="179"/>
      <c r="O765" s="179"/>
      <c r="P765" s="179"/>
      <c r="Q765" s="179"/>
      <c r="R765" s="179"/>
      <c r="S765" s="179"/>
      <c r="T765" s="179"/>
      <c r="U765" s="179"/>
      <c r="V765" s="179"/>
      <c r="W765" s="179"/>
    </row>
    <row r="766" spans="1:23">
      <c r="A766" s="179"/>
      <c r="B766" s="179"/>
      <c r="C766" s="179"/>
      <c r="D766" s="179"/>
      <c r="E766" s="179"/>
      <c r="F766" s="179"/>
      <c r="G766" s="179"/>
      <c r="H766" s="179"/>
      <c r="I766" s="179"/>
      <c r="J766" s="179"/>
      <c r="K766" s="179"/>
      <c r="L766" s="179"/>
      <c r="M766" s="179"/>
      <c r="N766" s="179"/>
      <c r="O766" s="179"/>
      <c r="P766" s="179"/>
      <c r="Q766" s="179"/>
      <c r="R766" s="179"/>
      <c r="S766" s="179"/>
      <c r="T766" s="179"/>
      <c r="U766" s="179"/>
      <c r="V766" s="179"/>
      <c r="W766" s="179"/>
    </row>
    <row r="767" spans="1:23">
      <c r="A767" s="179"/>
      <c r="B767" s="179"/>
      <c r="C767" s="179"/>
      <c r="D767" s="179"/>
      <c r="E767" s="179"/>
      <c r="F767" s="179"/>
      <c r="G767" s="179"/>
      <c r="H767" s="179"/>
      <c r="I767" s="179"/>
      <c r="J767" s="179"/>
      <c r="K767" s="179"/>
      <c r="L767" s="179"/>
      <c r="M767" s="179"/>
      <c r="N767" s="179"/>
      <c r="O767" s="179"/>
      <c r="P767" s="179"/>
      <c r="Q767" s="179"/>
      <c r="R767" s="179"/>
      <c r="S767" s="179"/>
      <c r="T767" s="179"/>
      <c r="U767" s="179"/>
      <c r="V767" s="179"/>
      <c r="W767" s="179"/>
    </row>
    <row r="768" spans="1:23">
      <c r="A768" s="179"/>
      <c r="B768" s="179"/>
      <c r="C768" s="179"/>
      <c r="D768" s="179"/>
      <c r="E768" s="179"/>
      <c r="F768" s="179"/>
      <c r="G768" s="179"/>
      <c r="H768" s="179"/>
      <c r="I768" s="179"/>
      <c r="J768" s="179"/>
      <c r="K768" s="179"/>
      <c r="L768" s="179"/>
      <c r="M768" s="179"/>
      <c r="N768" s="179"/>
      <c r="O768" s="179"/>
      <c r="P768" s="179"/>
      <c r="Q768" s="179"/>
      <c r="R768" s="179"/>
      <c r="S768" s="179"/>
      <c r="T768" s="179"/>
      <c r="U768" s="179"/>
      <c r="V768" s="179"/>
      <c r="W768" s="179"/>
    </row>
    <row r="769" spans="1:23">
      <c r="A769" s="179"/>
      <c r="B769" s="179"/>
      <c r="C769" s="179"/>
      <c r="D769" s="179"/>
      <c r="E769" s="179"/>
      <c r="F769" s="179"/>
      <c r="G769" s="179"/>
      <c r="H769" s="179"/>
      <c r="I769" s="179"/>
      <c r="J769" s="179"/>
      <c r="K769" s="179"/>
      <c r="L769" s="179"/>
      <c r="M769" s="179"/>
      <c r="N769" s="179"/>
      <c r="O769" s="179"/>
      <c r="P769" s="179"/>
      <c r="Q769" s="179"/>
      <c r="R769" s="179"/>
      <c r="S769" s="179"/>
      <c r="T769" s="179"/>
      <c r="U769" s="179"/>
      <c r="V769" s="179"/>
      <c r="W769" s="179"/>
    </row>
    <row r="770" spans="1:23">
      <c r="A770" s="179"/>
      <c r="B770" s="179"/>
      <c r="C770" s="179"/>
      <c r="D770" s="179"/>
      <c r="E770" s="179"/>
      <c r="F770" s="179"/>
      <c r="G770" s="179"/>
      <c r="H770" s="179"/>
      <c r="I770" s="179"/>
      <c r="J770" s="179"/>
      <c r="K770" s="179"/>
      <c r="L770" s="179"/>
      <c r="M770" s="179"/>
      <c r="N770" s="179"/>
      <c r="O770" s="179"/>
      <c r="P770" s="179"/>
      <c r="Q770" s="179"/>
      <c r="R770" s="179"/>
      <c r="S770" s="179"/>
      <c r="T770" s="179"/>
      <c r="U770" s="179"/>
      <c r="V770" s="179"/>
      <c r="W770" s="179"/>
    </row>
    <row r="771" spans="1:23">
      <c r="A771" s="179"/>
      <c r="B771" s="179"/>
      <c r="C771" s="179"/>
      <c r="D771" s="179"/>
      <c r="E771" s="179"/>
      <c r="F771" s="179"/>
      <c r="G771" s="179"/>
      <c r="H771" s="179"/>
      <c r="I771" s="179"/>
      <c r="J771" s="179"/>
      <c r="K771" s="179"/>
      <c r="L771" s="179"/>
      <c r="M771" s="179"/>
      <c r="N771" s="179"/>
      <c r="O771" s="179"/>
      <c r="P771" s="179"/>
      <c r="Q771" s="179"/>
      <c r="R771" s="179"/>
      <c r="S771" s="179"/>
      <c r="T771" s="179"/>
      <c r="U771" s="179"/>
      <c r="V771" s="179"/>
      <c r="W771" s="179"/>
    </row>
    <row r="772" spans="1:23">
      <c r="A772" s="179"/>
      <c r="B772" s="179"/>
      <c r="C772" s="179"/>
      <c r="D772" s="179"/>
      <c r="E772" s="179"/>
      <c r="F772" s="179"/>
      <c r="G772" s="179"/>
      <c r="H772" s="179"/>
      <c r="I772" s="179"/>
      <c r="J772" s="179"/>
      <c r="K772" s="179"/>
      <c r="L772" s="179"/>
      <c r="M772" s="179"/>
      <c r="N772" s="179"/>
      <c r="O772" s="179"/>
      <c r="P772" s="179"/>
      <c r="Q772" s="179"/>
      <c r="R772" s="179"/>
      <c r="S772" s="179"/>
      <c r="T772" s="179"/>
      <c r="U772" s="179"/>
      <c r="V772" s="179"/>
      <c r="W772" s="179"/>
    </row>
    <row r="773" spans="1:23">
      <c r="A773" s="179"/>
      <c r="B773" s="179"/>
      <c r="C773" s="179"/>
      <c r="D773" s="179"/>
      <c r="E773" s="179"/>
      <c r="F773" s="179"/>
      <c r="G773" s="179"/>
      <c r="H773" s="179"/>
      <c r="I773" s="179"/>
      <c r="J773" s="179"/>
      <c r="K773" s="179"/>
      <c r="L773" s="179"/>
      <c r="M773" s="179"/>
      <c r="N773" s="179"/>
      <c r="O773" s="179"/>
      <c r="P773" s="179"/>
      <c r="Q773" s="179"/>
      <c r="R773" s="179"/>
      <c r="S773" s="179"/>
      <c r="T773" s="179"/>
      <c r="U773" s="179"/>
      <c r="V773" s="179"/>
      <c r="W773" s="179"/>
    </row>
    <row r="774" spans="1:23">
      <c r="A774" s="179"/>
      <c r="B774" s="179"/>
      <c r="C774" s="179"/>
      <c r="D774" s="179"/>
      <c r="E774" s="179"/>
      <c r="F774" s="179"/>
      <c r="G774" s="179"/>
      <c r="H774" s="179"/>
      <c r="I774" s="179"/>
      <c r="J774" s="179"/>
      <c r="K774" s="179"/>
      <c r="L774" s="179"/>
      <c r="M774" s="179"/>
      <c r="N774" s="179"/>
      <c r="O774" s="179"/>
      <c r="P774" s="179"/>
      <c r="Q774" s="179"/>
      <c r="R774" s="179"/>
      <c r="S774" s="179"/>
      <c r="T774" s="179"/>
      <c r="U774" s="179"/>
      <c r="V774" s="179"/>
      <c r="W774" s="179"/>
    </row>
    <row r="775" spans="1:23">
      <c r="A775" s="179"/>
      <c r="B775" s="179"/>
      <c r="C775" s="179"/>
      <c r="D775" s="179"/>
      <c r="E775" s="179"/>
      <c r="F775" s="179"/>
      <c r="G775" s="179"/>
      <c r="H775" s="179"/>
      <c r="I775" s="179"/>
      <c r="J775" s="179"/>
      <c r="K775" s="179"/>
      <c r="L775" s="179"/>
      <c r="M775" s="179"/>
      <c r="N775" s="179"/>
      <c r="O775" s="179"/>
      <c r="P775" s="179"/>
      <c r="Q775" s="179"/>
      <c r="R775" s="179"/>
      <c r="S775" s="179"/>
      <c r="T775" s="179"/>
      <c r="U775" s="179"/>
      <c r="V775" s="179"/>
      <c r="W775" s="179"/>
    </row>
    <row r="776" spans="1:23">
      <c r="A776" s="179"/>
      <c r="B776" s="179"/>
      <c r="C776" s="179"/>
      <c r="D776" s="179"/>
      <c r="E776" s="179"/>
      <c r="F776" s="179"/>
      <c r="G776" s="179"/>
      <c r="H776" s="179"/>
      <c r="I776" s="179"/>
      <c r="J776" s="179"/>
      <c r="K776" s="179"/>
      <c r="L776" s="179"/>
      <c r="M776" s="179"/>
      <c r="N776" s="179"/>
      <c r="O776" s="179"/>
      <c r="P776" s="179"/>
      <c r="Q776" s="179"/>
      <c r="R776" s="179"/>
      <c r="S776" s="179"/>
      <c r="T776" s="179"/>
      <c r="U776" s="179"/>
      <c r="V776" s="179"/>
      <c r="W776" s="179"/>
    </row>
    <row r="777" spans="1:23">
      <c r="A777" s="179"/>
      <c r="B777" s="179"/>
      <c r="C777" s="179"/>
      <c r="D777" s="179"/>
      <c r="E777" s="179"/>
      <c r="F777" s="179"/>
      <c r="G777" s="179"/>
      <c r="H777" s="179"/>
      <c r="I777" s="179"/>
      <c r="J777" s="179"/>
      <c r="K777" s="179"/>
      <c r="L777" s="179"/>
      <c r="M777" s="179"/>
      <c r="N777" s="179"/>
      <c r="O777" s="179"/>
      <c r="P777" s="179"/>
      <c r="Q777" s="179"/>
      <c r="R777" s="179"/>
      <c r="S777" s="179"/>
      <c r="T777" s="179"/>
      <c r="U777" s="179"/>
      <c r="V777" s="179"/>
      <c r="W777" s="179"/>
    </row>
    <row r="778" spans="1:23">
      <c r="A778" s="179"/>
      <c r="B778" s="179"/>
      <c r="C778" s="179"/>
      <c r="D778" s="179"/>
      <c r="E778" s="179"/>
      <c r="F778" s="179"/>
      <c r="G778" s="179"/>
      <c r="H778" s="179"/>
      <c r="I778" s="179"/>
      <c r="J778" s="179"/>
      <c r="K778" s="179"/>
      <c r="L778" s="179"/>
      <c r="M778" s="179"/>
      <c r="N778" s="179"/>
      <c r="O778" s="179"/>
      <c r="P778" s="179"/>
      <c r="Q778" s="179"/>
      <c r="R778" s="179"/>
      <c r="S778" s="179"/>
      <c r="T778" s="179"/>
      <c r="U778" s="179"/>
      <c r="V778" s="179"/>
      <c r="W778" s="179"/>
    </row>
    <row r="779" spans="1:23">
      <c r="A779" s="179"/>
      <c r="B779" s="179"/>
      <c r="C779" s="179"/>
      <c r="D779" s="179"/>
      <c r="E779" s="179"/>
      <c r="F779" s="179"/>
      <c r="G779" s="179"/>
      <c r="H779" s="179"/>
      <c r="I779" s="179"/>
      <c r="J779" s="179"/>
      <c r="K779" s="179"/>
      <c r="L779" s="179"/>
      <c r="M779" s="179"/>
      <c r="N779" s="179"/>
      <c r="O779" s="179"/>
      <c r="P779" s="179"/>
      <c r="Q779" s="179"/>
      <c r="R779" s="179"/>
      <c r="S779" s="179"/>
      <c r="T779" s="179"/>
      <c r="U779" s="179"/>
      <c r="V779" s="179"/>
      <c r="W779" s="179"/>
    </row>
    <row r="780" spans="1:23">
      <c r="A780" s="179"/>
      <c r="B780" s="179"/>
      <c r="C780" s="179"/>
      <c r="D780" s="179"/>
      <c r="E780" s="179"/>
      <c r="F780" s="179"/>
      <c r="G780" s="179"/>
      <c r="H780" s="179"/>
      <c r="I780" s="179"/>
      <c r="J780" s="179"/>
      <c r="K780" s="179"/>
      <c r="L780" s="179"/>
      <c r="M780" s="179"/>
      <c r="N780" s="179"/>
      <c r="O780" s="179"/>
      <c r="P780" s="179"/>
      <c r="Q780" s="179"/>
      <c r="R780" s="179"/>
      <c r="S780" s="179"/>
      <c r="T780" s="179"/>
      <c r="U780" s="179"/>
      <c r="V780" s="179"/>
      <c r="W780" s="179"/>
    </row>
    <row r="781" spans="1:23">
      <c r="A781" s="179"/>
      <c r="B781" s="179"/>
      <c r="C781" s="179"/>
      <c r="D781" s="179"/>
      <c r="E781" s="179"/>
      <c r="F781" s="179"/>
      <c r="G781" s="179"/>
      <c r="H781" s="179"/>
      <c r="I781" s="179"/>
      <c r="J781" s="179"/>
      <c r="K781" s="179"/>
      <c r="L781" s="179"/>
      <c r="M781" s="179"/>
      <c r="N781" s="179"/>
      <c r="O781" s="179"/>
      <c r="P781" s="179"/>
      <c r="Q781" s="179"/>
      <c r="R781" s="179"/>
      <c r="S781" s="179"/>
      <c r="T781" s="179"/>
      <c r="U781" s="179"/>
      <c r="V781" s="179"/>
      <c r="W781" s="179"/>
    </row>
    <row r="782" spans="1:23">
      <c r="A782" s="179"/>
      <c r="B782" s="179"/>
      <c r="C782" s="179"/>
      <c r="D782" s="179"/>
      <c r="E782" s="179"/>
      <c r="F782" s="179"/>
      <c r="G782" s="179"/>
      <c r="H782" s="179"/>
      <c r="I782" s="179"/>
      <c r="J782" s="179"/>
      <c r="K782" s="179"/>
      <c r="L782" s="179"/>
      <c r="M782" s="179"/>
      <c r="N782" s="179"/>
      <c r="O782" s="179"/>
      <c r="P782" s="179"/>
      <c r="Q782" s="179"/>
      <c r="R782" s="179"/>
      <c r="S782" s="179"/>
      <c r="T782" s="179"/>
      <c r="U782" s="179"/>
      <c r="V782" s="179"/>
      <c r="W782" s="179"/>
    </row>
    <row r="783" spans="1:23">
      <c r="A783" s="179"/>
      <c r="B783" s="179"/>
      <c r="C783" s="179"/>
      <c r="D783" s="179"/>
      <c r="E783" s="179"/>
      <c r="F783" s="179"/>
      <c r="G783" s="179"/>
      <c r="H783" s="179"/>
      <c r="I783" s="179"/>
      <c r="J783" s="179"/>
      <c r="K783" s="179"/>
      <c r="L783" s="179"/>
      <c r="M783" s="179"/>
      <c r="N783" s="179"/>
      <c r="O783" s="179"/>
      <c r="P783" s="179"/>
      <c r="Q783" s="179"/>
      <c r="R783" s="179"/>
      <c r="S783" s="179"/>
      <c r="T783" s="179"/>
      <c r="U783" s="179"/>
      <c r="V783" s="179"/>
      <c r="W783" s="179"/>
    </row>
    <row r="784" spans="1:23">
      <c r="A784" s="179"/>
      <c r="B784" s="179"/>
      <c r="C784" s="179"/>
      <c r="D784" s="179"/>
      <c r="E784" s="179"/>
      <c r="F784" s="179"/>
      <c r="G784" s="179"/>
      <c r="H784" s="179"/>
      <c r="I784" s="179"/>
      <c r="J784" s="179"/>
      <c r="K784" s="179"/>
      <c r="L784" s="179"/>
      <c r="M784" s="179"/>
      <c r="N784" s="179"/>
      <c r="O784" s="179"/>
      <c r="P784" s="179"/>
      <c r="Q784" s="179"/>
      <c r="R784" s="179"/>
      <c r="S784" s="179"/>
      <c r="T784" s="179"/>
      <c r="U784" s="179"/>
      <c r="V784" s="179"/>
      <c r="W784" s="179"/>
    </row>
    <row r="785" spans="1:23">
      <c r="A785" s="179"/>
      <c r="B785" s="179"/>
      <c r="C785" s="179"/>
      <c r="D785" s="179"/>
      <c r="E785" s="179"/>
      <c r="F785" s="179"/>
      <c r="G785" s="179"/>
      <c r="H785" s="179"/>
      <c r="I785" s="179"/>
      <c r="J785" s="179"/>
      <c r="K785" s="179"/>
      <c r="L785" s="179"/>
      <c r="M785" s="179"/>
      <c r="N785" s="179"/>
      <c r="O785" s="179"/>
      <c r="P785" s="179"/>
      <c r="Q785" s="179"/>
      <c r="R785" s="179"/>
      <c r="S785" s="179"/>
      <c r="T785" s="179"/>
      <c r="U785" s="179"/>
      <c r="V785" s="179"/>
      <c r="W785" s="179"/>
    </row>
    <row r="786" spans="1:23">
      <c r="A786" s="179"/>
      <c r="B786" s="179"/>
      <c r="C786" s="179"/>
      <c r="D786" s="179"/>
      <c r="E786" s="179"/>
      <c r="F786" s="179"/>
      <c r="G786" s="179"/>
      <c r="H786" s="179"/>
      <c r="I786" s="179"/>
      <c r="J786" s="179"/>
      <c r="K786" s="179"/>
      <c r="L786" s="179"/>
      <c r="M786" s="179"/>
      <c r="N786" s="179"/>
      <c r="O786" s="179"/>
      <c r="P786" s="179"/>
      <c r="Q786" s="179"/>
      <c r="R786" s="179"/>
      <c r="S786" s="179"/>
      <c r="T786" s="179"/>
      <c r="U786" s="179"/>
      <c r="V786" s="179"/>
      <c r="W786" s="179"/>
    </row>
    <row r="787" spans="1:23">
      <c r="A787" s="179"/>
      <c r="B787" s="179"/>
      <c r="C787" s="179"/>
      <c r="D787" s="179"/>
      <c r="E787" s="179"/>
      <c r="F787" s="179"/>
      <c r="G787" s="179"/>
      <c r="H787" s="179"/>
      <c r="I787" s="179"/>
      <c r="J787" s="179"/>
      <c r="K787" s="179"/>
      <c r="L787" s="179"/>
      <c r="M787" s="179"/>
      <c r="N787" s="179"/>
      <c r="O787" s="179"/>
      <c r="P787" s="179"/>
      <c r="Q787" s="179"/>
      <c r="R787" s="179"/>
      <c r="S787" s="179"/>
      <c r="T787" s="179"/>
      <c r="U787" s="179"/>
      <c r="V787" s="179"/>
      <c r="W787" s="179"/>
    </row>
    <row r="788" spans="1:23">
      <c r="A788" s="179"/>
      <c r="B788" s="179"/>
      <c r="C788" s="179"/>
      <c r="D788" s="179"/>
      <c r="E788" s="179"/>
      <c r="F788" s="179"/>
      <c r="G788" s="179"/>
      <c r="H788" s="179"/>
      <c r="I788" s="179"/>
      <c r="J788" s="179"/>
      <c r="K788" s="179"/>
      <c r="L788" s="179"/>
      <c r="M788" s="179"/>
      <c r="N788" s="179"/>
      <c r="O788" s="179"/>
      <c r="P788" s="179"/>
      <c r="Q788" s="179"/>
      <c r="R788" s="179"/>
      <c r="S788" s="179"/>
      <c r="T788" s="179"/>
      <c r="U788" s="179"/>
      <c r="V788" s="179"/>
      <c r="W788" s="179"/>
    </row>
    <row r="789" spans="1:23">
      <c r="A789" s="179"/>
      <c r="B789" s="179"/>
      <c r="C789" s="179"/>
      <c r="D789" s="179"/>
      <c r="E789" s="179"/>
      <c r="F789" s="179"/>
      <c r="G789" s="179"/>
      <c r="H789" s="179"/>
      <c r="I789" s="179"/>
      <c r="J789" s="179"/>
      <c r="K789" s="179"/>
      <c r="L789" s="179"/>
      <c r="M789" s="179"/>
      <c r="N789" s="179"/>
      <c r="O789" s="179"/>
      <c r="P789" s="179"/>
      <c r="Q789" s="179"/>
      <c r="R789" s="179"/>
      <c r="S789" s="179"/>
      <c r="T789" s="179"/>
      <c r="U789" s="179"/>
      <c r="V789" s="179"/>
      <c r="W789" s="179"/>
    </row>
    <row r="790" spans="1:23">
      <c r="A790" s="179"/>
      <c r="B790" s="179"/>
      <c r="C790" s="179"/>
      <c r="D790" s="179"/>
      <c r="E790" s="179"/>
      <c r="F790" s="179"/>
      <c r="G790" s="179"/>
      <c r="H790" s="179"/>
      <c r="I790" s="179"/>
      <c r="J790" s="179"/>
      <c r="K790" s="179"/>
      <c r="L790" s="179"/>
      <c r="M790" s="179"/>
      <c r="N790" s="179"/>
      <c r="O790" s="179"/>
      <c r="P790" s="179"/>
      <c r="Q790" s="179"/>
      <c r="R790" s="179"/>
      <c r="S790" s="179"/>
      <c r="T790" s="179"/>
      <c r="U790" s="179"/>
      <c r="V790" s="179"/>
      <c r="W790" s="179"/>
    </row>
    <row r="791" spans="1:23">
      <c r="A791" s="179"/>
      <c r="B791" s="179"/>
      <c r="C791" s="179"/>
      <c r="D791" s="179"/>
      <c r="E791" s="179"/>
      <c r="F791" s="179"/>
      <c r="G791" s="179"/>
      <c r="H791" s="179"/>
      <c r="I791" s="179"/>
      <c r="J791" s="179"/>
      <c r="K791" s="179"/>
      <c r="L791" s="179"/>
      <c r="M791" s="179"/>
      <c r="N791" s="179"/>
      <c r="O791" s="179"/>
      <c r="P791" s="179"/>
      <c r="Q791" s="179"/>
      <c r="R791" s="179"/>
      <c r="S791" s="179"/>
      <c r="T791" s="179"/>
      <c r="U791" s="179"/>
      <c r="V791" s="179"/>
      <c r="W791" s="179"/>
    </row>
    <row r="792" spans="1:23">
      <c r="A792" s="179"/>
      <c r="B792" s="179"/>
      <c r="C792" s="179"/>
      <c r="D792" s="179"/>
      <c r="E792" s="179"/>
      <c r="F792" s="179"/>
      <c r="G792" s="179"/>
      <c r="H792" s="179"/>
      <c r="I792" s="179"/>
      <c r="J792" s="179"/>
      <c r="K792" s="179"/>
      <c r="L792" s="179"/>
      <c r="M792" s="179"/>
      <c r="N792" s="179"/>
      <c r="O792" s="179"/>
      <c r="P792" s="179"/>
      <c r="Q792" s="179"/>
      <c r="R792" s="179"/>
      <c r="S792" s="179"/>
      <c r="T792" s="179"/>
      <c r="U792" s="179"/>
      <c r="V792" s="179"/>
      <c r="W792" s="179"/>
    </row>
    <row r="793" spans="1:23">
      <c r="A793" s="179"/>
      <c r="B793" s="179"/>
      <c r="C793" s="179"/>
      <c r="D793" s="179"/>
      <c r="E793" s="179"/>
      <c r="F793" s="179"/>
      <c r="G793" s="179"/>
      <c r="H793" s="179"/>
      <c r="I793" s="179"/>
      <c r="J793" s="179"/>
      <c r="K793" s="179"/>
      <c r="L793" s="179"/>
      <c r="M793" s="179"/>
      <c r="N793" s="179"/>
      <c r="O793" s="179"/>
      <c r="P793" s="179"/>
      <c r="Q793" s="179"/>
      <c r="R793" s="179"/>
      <c r="S793" s="179"/>
      <c r="T793" s="179"/>
      <c r="U793" s="179"/>
      <c r="V793" s="179"/>
      <c r="W793" s="179"/>
    </row>
    <row r="794" spans="1:23">
      <c r="A794" s="179"/>
      <c r="B794" s="179"/>
      <c r="C794" s="179"/>
      <c r="D794" s="179"/>
      <c r="E794" s="179"/>
      <c r="F794" s="179"/>
      <c r="G794" s="179"/>
      <c r="H794" s="179"/>
      <c r="I794" s="179"/>
      <c r="J794" s="179"/>
      <c r="K794" s="179"/>
      <c r="L794" s="179"/>
      <c r="M794" s="179"/>
      <c r="N794" s="179"/>
      <c r="O794" s="179"/>
      <c r="P794" s="179"/>
      <c r="Q794" s="179"/>
      <c r="R794" s="179"/>
      <c r="S794" s="179"/>
      <c r="T794" s="179"/>
      <c r="U794" s="179"/>
      <c r="V794" s="179"/>
      <c r="W794" s="179"/>
    </row>
    <row r="795" spans="1:23">
      <c r="A795" s="179"/>
      <c r="B795" s="179"/>
      <c r="C795" s="179"/>
      <c r="D795" s="179"/>
      <c r="E795" s="179"/>
      <c r="F795" s="179"/>
      <c r="G795" s="179"/>
      <c r="H795" s="179"/>
      <c r="I795" s="179"/>
      <c r="J795" s="179"/>
      <c r="K795" s="179"/>
      <c r="L795" s="179"/>
      <c r="M795" s="179"/>
      <c r="N795" s="179"/>
      <c r="O795" s="179"/>
      <c r="P795" s="179"/>
      <c r="Q795" s="179"/>
      <c r="R795" s="179"/>
      <c r="S795" s="179"/>
      <c r="T795" s="179"/>
      <c r="U795" s="179"/>
      <c r="V795" s="179"/>
      <c r="W795" s="179"/>
    </row>
    <row r="796" spans="1:23">
      <c r="A796" s="179"/>
      <c r="B796" s="179"/>
      <c r="C796" s="179"/>
      <c r="D796" s="179"/>
      <c r="E796" s="179"/>
      <c r="F796" s="179"/>
      <c r="G796" s="179"/>
      <c r="H796" s="179"/>
      <c r="I796" s="179"/>
      <c r="J796" s="179"/>
      <c r="K796" s="179"/>
      <c r="L796" s="179"/>
      <c r="M796" s="179"/>
      <c r="N796" s="179"/>
      <c r="O796" s="179"/>
      <c r="P796" s="179"/>
      <c r="Q796" s="179"/>
      <c r="R796" s="179"/>
      <c r="S796" s="179"/>
      <c r="T796" s="179"/>
      <c r="U796" s="179"/>
      <c r="V796" s="179"/>
      <c r="W796" s="179"/>
    </row>
    <row r="797" spans="1:23">
      <c r="A797" s="179"/>
      <c r="B797" s="179"/>
      <c r="C797" s="179"/>
      <c r="D797" s="179"/>
      <c r="E797" s="179"/>
      <c r="F797" s="179"/>
      <c r="G797" s="179"/>
      <c r="H797" s="179"/>
      <c r="I797" s="179"/>
      <c r="J797" s="179"/>
      <c r="K797" s="179"/>
      <c r="L797" s="179"/>
      <c r="M797" s="179"/>
      <c r="N797" s="179"/>
      <c r="O797" s="179"/>
      <c r="P797" s="179"/>
      <c r="Q797" s="179"/>
      <c r="R797" s="179"/>
      <c r="S797" s="179"/>
      <c r="T797" s="179"/>
      <c r="U797" s="179"/>
      <c r="V797" s="179"/>
      <c r="W797" s="179"/>
    </row>
    <row r="798" spans="1:23">
      <c r="A798" s="179"/>
      <c r="B798" s="179"/>
      <c r="C798" s="179"/>
      <c r="D798" s="179"/>
      <c r="E798" s="179"/>
      <c r="F798" s="179"/>
      <c r="G798" s="179"/>
      <c r="H798" s="179"/>
      <c r="I798" s="179"/>
      <c r="J798" s="179"/>
      <c r="K798" s="179"/>
      <c r="L798" s="179"/>
      <c r="M798" s="179"/>
      <c r="N798" s="179"/>
      <c r="O798" s="179"/>
      <c r="P798" s="179"/>
      <c r="Q798" s="179"/>
      <c r="R798" s="179"/>
      <c r="S798" s="179"/>
      <c r="T798" s="179"/>
      <c r="U798" s="179"/>
      <c r="V798" s="179"/>
      <c r="W798" s="179"/>
    </row>
    <row r="799" spans="1:23">
      <c r="A799" s="179"/>
      <c r="B799" s="179"/>
      <c r="C799" s="179"/>
      <c r="D799" s="179"/>
      <c r="E799" s="179"/>
      <c r="F799" s="179"/>
      <c r="G799" s="179"/>
      <c r="H799" s="179"/>
      <c r="I799" s="179"/>
      <c r="J799" s="179"/>
      <c r="K799" s="179"/>
      <c r="L799" s="179"/>
      <c r="M799" s="179"/>
      <c r="N799" s="179"/>
      <c r="O799" s="179"/>
      <c r="P799" s="179"/>
      <c r="Q799" s="179"/>
      <c r="R799" s="179"/>
      <c r="S799" s="179"/>
      <c r="T799" s="179"/>
      <c r="U799" s="179"/>
      <c r="V799" s="179"/>
      <c r="W799" s="179"/>
    </row>
    <row r="800" spans="1:23">
      <c r="A800" s="179"/>
      <c r="B800" s="179"/>
      <c r="C800" s="179"/>
      <c r="D800" s="179"/>
      <c r="E800" s="179"/>
      <c r="F800" s="179"/>
      <c r="G800" s="179"/>
      <c r="H800" s="179"/>
      <c r="I800" s="179"/>
      <c r="J800" s="179"/>
      <c r="K800" s="179"/>
      <c r="L800" s="179"/>
      <c r="M800" s="179"/>
      <c r="N800" s="179"/>
      <c r="O800" s="179"/>
      <c r="P800" s="179"/>
      <c r="Q800" s="179"/>
      <c r="R800" s="179"/>
      <c r="S800" s="179"/>
      <c r="T800" s="179"/>
      <c r="U800" s="179"/>
      <c r="V800" s="179"/>
      <c r="W800" s="179"/>
    </row>
    <row r="801" spans="1:23">
      <c r="A801" s="179"/>
      <c r="B801" s="179"/>
      <c r="C801" s="179"/>
      <c r="D801" s="179"/>
      <c r="E801" s="179"/>
      <c r="F801" s="179"/>
      <c r="G801" s="179"/>
      <c r="H801" s="179"/>
      <c r="I801" s="179"/>
      <c r="J801" s="179"/>
      <c r="K801" s="179"/>
      <c r="L801" s="179"/>
      <c r="M801" s="179"/>
      <c r="N801" s="179"/>
      <c r="O801" s="179"/>
      <c r="P801" s="179"/>
      <c r="Q801" s="179"/>
      <c r="R801" s="179"/>
      <c r="S801" s="179"/>
      <c r="T801" s="179"/>
      <c r="U801" s="179"/>
      <c r="V801" s="179"/>
      <c r="W801" s="179"/>
    </row>
    <row r="802" spans="1:23">
      <c r="A802" s="179"/>
      <c r="B802" s="179"/>
      <c r="C802" s="179"/>
      <c r="D802" s="179"/>
      <c r="E802" s="179"/>
      <c r="F802" s="179"/>
      <c r="G802" s="179"/>
      <c r="H802" s="179"/>
      <c r="I802" s="179"/>
      <c r="J802" s="179"/>
      <c r="K802" s="179"/>
      <c r="L802" s="179"/>
      <c r="M802" s="179"/>
      <c r="N802" s="179"/>
      <c r="O802" s="179"/>
      <c r="P802" s="179"/>
      <c r="Q802" s="179"/>
      <c r="R802" s="179"/>
      <c r="S802" s="179"/>
      <c r="T802" s="179"/>
      <c r="U802" s="179"/>
      <c r="V802" s="179"/>
      <c r="W802" s="179"/>
    </row>
    <row r="803" spans="1:23">
      <c r="A803" s="179"/>
      <c r="B803" s="179"/>
      <c r="C803" s="179"/>
      <c r="D803" s="179"/>
      <c r="E803" s="179"/>
      <c r="F803" s="179"/>
      <c r="G803" s="179"/>
      <c r="H803" s="179"/>
      <c r="I803" s="179"/>
      <c r="J803" s="179"/>
      <c r="K803" s="179"/>
      <c r="L803" s="179"/>
      <c r="M803" s="179"/>
      <c r="N803" s="179"/>
      <c r="O803" s="179"/>
      <c r="P803" s="179"/>
      <c r="Q803" s="179"/>
      <c r="R803" s="179"/>
      <c r="S803" s="179"/>
      <c r="T803" s="179"/>
      <c r="U803" s="179"/>
      <c r="V803" s="179"/>
      <c r="W803" s="179"/>
    </row>
    <row r="804" spans="1:23">
      <c r="A804" s="179"/>
      <c r="B804" s="179"/>
      <c r="C804" s="179"/>
      <c r="D804" s="179"/>
      <c r="E804" s="179"/>
      <c r="F804" s="179"/>
      <c r="G804" s="179"/>
      <c r="H804" s="179"/>
      <c r="I804" s="179"/>
      <c r="J804" s="179"/>
      <c r="K804" s="179"/>
      <c r="L804" s="179"/>
      <c r="M804" s="179"/>
      <c r="N804" s="179"/>
      <c r="O804" s="179"/>
      <c r="P804" s="179"/>
      <c r="Q804" s="179"/>
      <c r="R804" s="179"/>
      <c r="S804" s="179"/>
      <c r="T804" s="179"/>
      <c r="U804" s="179"/>
      <c r="V804" s="179"/>
      <c r="W804" s="179"/>
    </row>
    <row r="805" spans="1:23">
      <c r="A805" s="179"/>
      <c r="B805" s="179"/>
      <c r="C805" s="179"/>
      <c r="D805" s="179"/>
      <c r="E805" s="179"/>
      <c r="F805" s="179"/>
      <c r="G805" s="179"/>
      <c r="H805" s="179"/>
      <c r="I805" s="179"/>
      <c r="J805" s="179"/>
      <c r="K805" s="179"/>
      <c r="L805" s="179"/>
      <c r="M805" s="179"/>
      <c r="N805" s="179"/>
      <c r="O805" s="179"/>
      <c r="P805" s="179"/>
      <c r="Q805" s="179"/>
      <c r="R805" s="179"/>
      <c r="S805" s="179"/>
      <c r="T805" s="179"/>
      <c r="U805" s="179"/>
      <c r="V805" s="179"/>
      <c r="W805" s="179"/>
    </row>
    <row r="806" spans="1:23">
      <c r="A806" s="179"/>
      <c r="B806" s="179"/>
      <c r="C806" s="179"/>
      <c r="D806" s="179"/>
      <c r="E806" s="179"/>
      <c r="F806" s="179"/>
      <c r="G806" s="179"/>
      <c r="H806" s="179"/>
      <c r="I806" s="179"/>
      <c r="J806" s="179"/>
      <c r="K806" s="179"/>
      <c r="L806" s="179"/>
      <c r="M806" s="179"/>
      <c r="N806" s="179"/>
      <c r="O806" s="179"/>
      <c r="P806" s="179"/>
      <c r="Q806" s="179"/>
      <c r="R806" s="179"/>
      <c r="S806" s="179"/>
      <c r="T806" s="179"/>
      <c r="U806" s="179"/>
      <c r="V806" s="179"/>
      <c r="W806" s="179"/>
    </row>
    <row r="807" spans="1:23">
      <c r="A807" s="179"/>
      <c r="B807" s="179"/>
      <c r="C807" s="179"/>
      <c r="D807" s="179"/>
      <c r="E807" s="179"/>
      <c r="F807" s="179"/>
      <c r="G807" s="179"/>
      <c r="H807" s="179"/>
      <c r="I807" s="179"/>
      <c r="J807" s="179"/>
      <c r="K807" s="179"/>
      <c r="L807" s="179"/>
      <c r="M807" s="179"/>
      <c r="N807" s="179"/>
      <c r="O807" s="179"/>
      <c r="P807" s="179"/>
      <c r="Q807" s="179"/>
      <c r="R807" s="179"/>
      <c r="S807" s="179"/>
      <c r="T807" s="179"/>
      <c r="U807" s="179"/>
      <c r="V807" s="179"/>
      <c r="W807" s="179"/>
    </row>
    <row r="808" spans="1:23">
      <c r="A808" s="179"/>
      <c r="B808" s="179"/>
      <c r="C808" s="179"/>
      <c r="D808" s="179"/>
      <c r="E808" s="179"/>
      <c r="F808" s="179"/>
      <c r="G808" s="179"/>
      <c r="H808" s="179"/>
      <c r="I808" s="179"/>
      <c r="J808" s="179"/>
      <c r="K808" s="179"/>
      <c r="L808" s="179"/>
      <c r="M808" s="179"/>
      <c r="N808" s="179"/>
      <c r="O808" s="179"/>
      <c r="P808" s="179"/>
      <c r="Q808" s="179"/>
      <c r="R808" s="179"/>
      <c r="S808" s="179"/>
      <c r="T808" s="179"/>
      <c r="U808" s="179"/>
      <c r="V808" s="179"/>
      <c r="W808" s="179"/>
    </row>
    <row r="809" spans="1:23">
      <c r="A809" s="179"/>
      <c r="B809" s="179"/>
      <c r="C809" s="179"/>
      <c r="D809" s="179"/>
      <c r="E809" s="179"/>
      <c r="F809" s="179"/>
      <c r="G809" s="179"/>
      <c r="H809" s="179"/>
      <c r="I809" s="179"/>
      <c r="J809" s="179"/>
      <c r="K809" s="179"/>
      <c r="L809" s="179"/>
      <c r="M809" s="179"/>
      <c r="N809" s="179"/>
      <c r="O809" s="179"/>
      <c r="P809" s="179"/>
      <c r="Q809" s="179"/>
      <c r="R809" s="179"/>
      <c r="S809" s="179"/>
      <c r="T809" s="179"/>
      <c r="U809" s="179"/>
      <c r="V809" s="179"/>
      <c r="W809" s="179"/>
    </row>
    <row r="810" spans="1:23">
      <c r="A810" s="179"/>
      <c r="B810" s="179"/>
      <c r="C810" s="179"/>
      <c r="D810" s="179"/>
      <c r="E810" s="179"/>
      <c r="F810" s="179"/>
      <c r="G810" s="179"/>
      <c r="H810" s="179"/>
      <c r="I810" s="179"/>
      <c r="J810" s="179"/>
      <c r="K810" s="179"/>
      <c r="L810" s="179"/>
      <c r="M810" s="179"/>
      <c r="N810" s="179"/>
      <c r="O810" s="179"/>
      <c r="P810" s="179"/>
      <c r="Q810" s="179"/>
      <c r="R810" s="179"/>
      <c r="S810" s="179"/>
      <c r="T810" s="179"/>
      <c r="U810" s="179"/>
      <c r="V810" s="179"/>
      <c r="W810" s="179"/>
    </row>
    <row r="811" spans="1:23">
      <c r="A811" s="179"/>
      <c r="B811" s="179"/>
      <c r="C811" s="179"/>
      <c r="D811" s="179"/>
      <c r="E811" s="179"/>
      <c r="F811" s="179"/>
      <c r="G811" s="179"/>
      <c r="H811" s="179"/>
      <c r="I811" s="179"/>
      <c r="J811" s="179"/>
      <c r="K811" s="179"/>
      <c r="L811" s="179"/>
      <c r="M811" s="179"/>
      <c r="N811" s="179"/>
      <c r="O811" s="179"/>
      <c r="P811" s="179"/>
      <c r="Q811" s="179"/>
      <c r="R811" s="179"/>
      <c r="S811" s="179"/>
      <c r="T811" s="179"/>
      <c r="U811" s="179"/>
      <c r="V811" s="179"/>
      <c r="W811" s="179"/>
    </row>
    <row r="812" spans="1:23">
      <c r="A812" s="179"/>
      <c r="B812" s="179"/>
      <c r="C812" s="179"/>
      <c r="D812" s="179"/>
      <c r="E812" s="179"/>
      <c r="F812" s="179"/>
      <c r="G812" s="179"/>
      <c r="H812" s="179"/>
      <c r="I812" s="179"/>
      <c r="J812" s="179"/>
      <c r="K812" s="179"/>
      <c r="L812" s="179"/>
      <c r="M812" s="179"/>
      <c r="N812" s="179"/>
      <c r="O812" s="179"/>
      <c r="P812" s="179"/>
      <c r="Q812" s="179"/>
      <c r="R812" s="179"/>
      <c r="S812" s="179"/>
      <c r="T812" s="179"/>
      <c r="U812" s="179"/>
      <c r="V812" s="179"/>
      <c r="W812" s="179"/>
    </row>
    <row r="813" spans="1:23">
      <c r="A813" s="179"/>
      <c r="B813" s="179"/>
      <c r="C813" s="179"/>
      <c r="D813" s="179"/>
      <c r="E813" s="179"/>
      <c r="F813" s="179"/>
      <c r="G813" s="179"/>
      <c r="H813" s="179"/>
      <c r="I813" s="179"/>
      <c r="J813" s="179"/>
      <c r="K813" s="179"/>
      <c r="L813" s="179"/>
      <c r="M813" s="179"/>
      <c r="N813" s="179"/>
      <c r="O813" s="179"/>
      <c r="P813" s="179"/>
      <c r="Q813" s="179"/>
      <c r="R813" s="179"/>
      <c r="S813" s="179"/>
      <c r="T813" s="179"/>
      <c r="U813" s="179"/>
      <c r="V813" s="179"/>
      <c r="W813" s="179"/>
    </row>
    <row r="814" spans="1:23">
      <c r="A814" s="179"/>
      <c r="B814" s="179"/>
      <c r="C814" s="179"/>
      <c r="D814" s="179"/>
      <c r="E814" s="179"/>
      <c r="F814" s="179"/>
      <c r="G814" s="179"/>
      <c r="H814" s="179"/>
      <c r="I814" s="179"/>
      <c r="J814" s="179"/>
      <c r="K814" s="179"/>
      <c r="L814" s="179"/>
      <c r="M814" s="179"/>
      <c r="N814" s="179"/>
      <c r="O814" s="179"/>
      <c r="P814" s="179"/>
      <c r="Q814" s="179"/>
      <c r="R814" s="179"/>
      <c r="S814" s="179"/>
      <c r="T814" s="179"/>
      <c r="U814" s="179"/>
      <c r="V814" s="179"/>
      <c r="W814" s="179"/>
    </row>
    <row r="815" spans="1:23">
      <c r="A815" s="179"/>
      <c r="B815" s="179"/>
      <c r="C815" s="179"/>
      <c r="D815" s="179"/>
      <c r="E815" s="179"/>
      <c r="F815" s="179"/>
      <c r="G815" s="179"/>
      <c r="H815" s="179"/>
      <c r="I815" s="179"/>
      <c r="J815" s="179"/>
      <c r="K815" s="179"/>
      <c r="L815" s="179"/>
      <c r="M815" s="179"/>
      <c r="N815" s="179"/>
      <c r="O815" s="179"/>
      <c r="P815" s="179"/>
      <c r="Q815" s="179"/>
      <c r="R815" s="179"/>
      <c r="S815" s="179"/>
      <c r="T815" s="179"/>
      <c r="U815" s="179"/>
      <c r="V815" s="179"/>
      <c r="W815" s="179"/>
    </row>
    <row r="816" spans="1:23">
      <c r="A816" s="179"/>
      <c r="B816" s="179"/>
      <c r="C816" s="179"/>
      <c r="D816" s="179"/>
      <c r="E816" s="179"/>
      <c r="F816" s="179"/>
      <c r="G816" s="179"/>
      <c r="H816" s="179"/>
      <c r="I816" s="179"/>
      <c r="J816" s="179"/>
      <c r="K816" s="179"/>
      <c r="L816" s="179"/>
      <c r="M816" s="179"/>
      <c r="N816" s="179"/>
      <c r="O816" s="179"/>
      <c r="P816" s="179"/>
      <c r="Q816" s="179"/>
      <c r="R816" s="179"/>
      <c r="S816" s="179"/>
      <c r="T816" s="179"/>
      <c r="U816" s="179"/>
      <c r="V816" s="179"/>
      <c r="W816" s="179"/>
    </row>
    <row r="817" spans="1:23">
      <c r="A817" s="179"/>
      <c r="B817" s="179"/>
      <c r="C817" s="179"/>
      <c r="D817" s="179"/>
      <c r="E817" s="179"/>
      <c r="F817" s="179"/>
      <c r="G817" s="179"/>
      <c r="H817" s="179"/>
      <c r="I817" s="179"/>
      <c r="J817" s="179"/>
      <c r="K817" s="179"/>
      <c r="L817" s="179"/>
      <c r="M817" s="179"/>
      <c r="N817" s="179"/>
      <c r="O817" s="179"/>
      <c r="P817" s="179"/>
      <c r="Q817" s="179"/>
      <c r="R817" s="179"/>
      <c r="S817" s="179"/>
      <c r="T817" s="179"/>
      <c r="U817" s="179"/>
      <c r="V817" s="179"/>
      <c r="W817" s="179"/>
    </row>
    <row r="818" spans="1:23">
      <c r="A818" s="179"/>
      <c r="B818" s="179"/>
      <c r="C818" s="179"/>
      <c r="D818" s="179"/>
      <c r="E818" s="179"/>
      <c r="F818" s="179"/>
      <c r="G818" s="179"/>
      <c r="H818" s="179"/>
      <c r="I818" s="179"/>
      <c r="J818" s="179"/>
      <c r="K818" s="179"/>
      <c r="L818" s="179"/>
      <c r="M818" s="179"/>
      <c r="N818" s="179"/>
      <c r="O818" s="179"/>
      <c r="P818" s="179"/>
      <c r="Q818" s="179"/>
      <c r="R818" s="179"/>
      <c r="S818" s="179"/>
      <c r="T818" s="179"/>
      <c r="U818" s="179"/>
      <c r="V818" s="179"/>
      <c r="W818" s="179"/>
    </row>
    <row r="819" spans="1:23">
      <c r="A819" s="179"/>
      <c r="B819" s="179"/>
      <c r="C819" s="179"/>
      <c r="D819" s="179"/>
      <c r="E819" s="179"/>
      <c r="F819" s="179"/>
      <c r="G819" s="179"/>
      <c r="H819" s="179"/>
      <c r="I819" s="179"/>
      <c r="J819" s="179"/>
      <c r="K819" s="179"/>
      <c r="L819" s="179"/>
      <c r="M819" s="179"/>
      <c r="N819" s="179"/>
      <c r="O819" s="179"/>
      <c r="P819" s="179"/>
      <c r="Q819" s="179"/>
      <c r="R819" s="179"/>
      <c r="S819" s="179"/>
      <c r="T819" s="179"/>
      <c r="U819" s="179"/>
      <c r="V819" s="179"/>
      <c r="W819" s="179"/>
    </row>
    <row r="820" spans="1:23">
      <c r="A820" s="179"/>
      <c r="B820" s="179"/>
      <c r="C820" s="179"/>
      <c r="D820" s="179"/>
      <c r="E820" s="179"/>
      <c r="F820" s="179"/>
      <c r="G820" s="179"/>
      <c r="H820" s="179"/>
      <c r="I820" s="179"/>
      <c r="J820" s="179"/>
      <c r="K820" s="179"/>
      <c r="L820" s="179"/>
      <c r="M820" s="179"/>
      <c r="N820" s="179"/>
      <c r="O820" s="179"/>
      <c r="P820" s="179"/>
      <c r="Q820" s="179"/>
      <c r="R820" s="179"/>
      <c r="S820" s="179"/>
      <c r="T820" s="179"/>
      <c r="U820" s="179"/>
      <c r="V820" s="179"/>
      <c r="W820" s="179"/>
    </row>
    <row r="821" spans="1:23">
      <c r="A821" s="179"/>
      <c r="B821" s="179"/>
      <c r="C821" s="179"/>
      <c r="D821" s="179"/>
      <c r="E821" s="179"/>
      <c r="F821" s="179"/>
      <c r="G821" s="179"/>
      <c r="H821" s="179"/>
      <c r="I821" s="179"/>
      <c r="J821" s="179"/>
      <c r="K821" s="179"/>
      <c r="L821" s="179"/>
      <c r="M821" s="179"/>
      <c r="N821" s="179"/>
      <c r="O821" s="179"/>
      <c r="P821" s="179"/>
      <c r="Q821" s="179"/>
      <c r="R821" s="179"/>
      <c r="S821" s="179"/>
      <c r="T821" s="179"/>
      <c r="U821" s="179"/>
      <c r="V821" s="179"/>
      <c r="W821" s="179"/>
    </row>
    <row r="822" spans="1:23">
      <c r="A822" s="179"/>
      <c r="B822" s="179"/>
      <c r="C822" s="179"/>
      <c r="D822" s="179"/>
      <c r="E822" s="179"/>
      <c r="F822" s="179"/>
      <c r="G822" s="179"/>
      <c r="H822" s="179"/>
      <c r="I822" s="179"/>
      <c r="J822" s="179"/>
      <c r="K822" s="179"/>
      <c r="L822" s="179"/>
      <c r="M822" s="179"/>
      <c r="N822" s="179"/>
      <c r="O822" s="179"/>
      <c r="P822" s="179"/>
      <c r="Q822" s="179"/>
      <c r="R822" s="179"/>
      <c r="S822" s="179"/>
      <c r="T822" s="179"/>
      <c r="U822" s="179"/>
      <c r="V822" s="179"/>
      <c r="W822" s="179"/>
    </row>
    <row r="823" spans="1:23">
      <c r="A823" s="179"/>
      <c r="B823" s="179"/>
      <c r="C823" s="179"/>
      <c r="D823" s="179"/>
      <c r="E823" s="179"/>
      <c r="F823" s="179"/>
      <c r="G823" s="179"/>
      <c r="H823" s="179"/>
      <c r="I823" s="179"/>
      <c r="J823" s="179"/>
      <c r="K823" s="179"/>
      <c r="L823" s="179"/>
      <c r="M823" s="179"/>
      <c r="N823" s="179"/>
      <c r="O823" s="179"/>
      <c r="P823" s="179"/>
      <c r="Q823" s="179"/>
      <c r="R823" s="179"/>
      <c r="S823" s="179"/>
      <c r="T823" s="179"/>
      <c r="U823" s="179"/>
      <c r="V823" s="179"/>
      <c r="W823" s="179"/>
    </row>
    <row r="824" spans="1:23">
      <c r="A824" s="179"/>
      <c r="B824" s="179"/>
      <c r="C824" s="179"/>
      <c r="D824" s="179"/>
      <c r="E824" s="179"/>
      <c r="F824" s="179"/>
      <c r="G824" s="179"/>
      <c r="H824" s="179"/>
      <c r="I824" s="179"/>
      <c r="J824" s="179"/>
      <c r="K824" s="179"/>
      <c r="L824" s="179"/>
      <c r="M824" s="179"/>
      <c r="N824" s="179"/>
      <c r="O824" s="179"/>
      <c r="P824" s="179"/>
      <c r="Q824" s="179"/>
      <c r="R824" s="179"/>
      <c r="S824" s="179"/>
      <c r="T824" s="179"/>
      <c r="U824" s="179"/>
      <c r="V824" s="179"/>
      <c r="W824" s="179"/>
    </row>
    <row r="825" spans="1:23">
      <c r="A825" s="179"/>
      <c r="B825" s="179"/>
      <c r="C825" s="179"/>
      <c r="D825" s="179"/>
      <c r="E825" s="179"/>
      <c r="F825" s="179"/>
      <c r="G825" s="179"/>
      <c r="H825" s="179"/>
      <c r="I825" s="179"/>
      <c r="J825" s="179"/>
      <c r="K825" s="179"/>
      <c r="L825" s="179"/>
      <c r="M825" s="179"/>
      <c r="N825" s="179"/>
      <c r="O825" s="179"/>
      <c r="P825" s="179"/>
      <c r="Q825" s="179"/>
      <c r="R825" s="179"/>
      <c r="S825" s="179"/>
      <c r="T825" s="179"/>
      <c r="U825" s="179"/>
      <c r="V825" s="179"/>
      <c r="W825" s="179"/>
    </row>
    <row r="826" spans="1:23">
      <c r="A826" s="179"/>
      <c r="B826" s="179"/>
      <c r="C826" s="179"/>
      <c r="D826" s="179"/>
      <c r="E826" s="179"/>
      <c r="F826" s="179"/>
      <c r="G826" s="179"/>
      <c r="H826" s="179"/>
      <c r="I826" s="179"/>
      <c r="J826" s="179"/>
      <c r="K826" s="179"/>
      <c r="L826" s="179"/>
      <c r="M826" s="179"/>
      <c r="N826" s="179"/>
      <c r="O826" s="179"/>
      <c r="P826" s="179"/>
      <c r="Q826" s="179"/>
      <c r="R826" s="179"/>
      <c r="S826" s="179"/>
      <c r="T826" s="179"/>
      <c r="U826" s="179"/>
      <c r="V826" s="179"/>
      <c r="W826" s="179"/>
    </row>
    <row r="827" spans="1:23">
      <c r="A827" s="179"/>
      <c r="B827" s="179"/>
      <c r="C827" s="179"/>
      <c r="D827" s="179"/>
      <c r="E827" s="179"/>
      <c r="F827" s="179"/>
      <c r="G827" s="179"/>
      <c r="H827" s="179"/>
      <c r="I827" s="179"/>
      <c r="J827" s="179"/>
      <c r="K827" s="179"/>
      <c r="L827" s="179"/>
      <c r="M827" s="179"/>
      <c r="N827" s="179"/>
      <c r="O827" s="179"/>
      <c r="P827" s="179"/>
      <c r="Q827" s="179"/>
      <c r="R827" s="179"/>
      <c r="S827" s="179"/>
      <c r="T827" s="179"/>
      <c r="U827" s="179"/>
      <c r="V827" s="179"/>
      <c r="W827" s="179"/>
    </row>
    <row r="828" spans="1:23">
      <c r="A828" s="179"/>
      <c r="B828" s="179"/>
      <c r="C828" s="179"/>
      <c r="D828" s="179"/>
      <c r="E828" s="179"/>
      <c r="F828" s="179"/>
      <c r="G828" s="179"/>
      <c r="H828" s="179"/>
      <c r="I828" s="179"/>
      <c r="J828" s="179"/>
      <c r="K828" s="179"/>
      <c r="L828" s="179"/>
      <c r="M828" s="179"/>
      <c r="N828" s="179"/>
      <c r="O828" s="179"/>
      <c r="P828" s="179"/>
      <c r="Q828" s="179"/>
      <c r="R828" s="179"/>
      <c r="S828" s="179"/>
      <c r="T828" s="179"/>
      <c r="U828" s="179"/>
      <c r="V828" s="179"/>
      <c r="W828" s="179"/>
    </row>
    <row r="829" spans="1:23">
      <c r="A829" s="179"/>
      <c r="B829" s="179"/>
      <c r="C829" s="179"/>
      <c r="D829" s="179"/>
      <c r="E829" s="179"/>
      <c r="F829" s="179"/>
      <c r="G829" s="179"/>
      <c r="H829" s="179"/>
      <c r="I829" s="179"/>
      <c r="J829" s="179"/>
      <c r="K829" s="179"/>
      <c r="L829" s="179"/>
      <c r="M829" s="179"/>
      <c r="N829" s="179"/>
      <c r="O829" s="179"/>
      <c r="P829" s="179"/>
      <c r="Q829" s="179"/>
      <c r="R829" s="179"/>
      <c r="S829" s="179"/>
      <c r="T829" s="179"/>
      <c r="U829" s="179"/>
      <c r="V829" s="179"/>
      <c r="W829" s="179"/>
    </row>
    <row r="830" spans="1:23">
      <c r="A830" s="179"/>
      <c r="B830" s="179"/>
      <c r="C830" s="179"/>
      <c r="D830" s="179"/>
      <c r="E830" s="179"/>
      <c r="F830" s="179"/>
      <c r="G830" s="179"/>
      <c r="H830" s="179"/>
      <c r="I830" s="179"/>
      <c r="J830" s="179"/>
      <c r="K830" s="179"/>
      <c r="L830" s="179"/>
      <c r="M830" s="179"/>
      <c r="N830" s="179"/>
      <c r="O830" s="179"/>
      <c r="P830" s="179"/>
      <c r="Q830" s="179"/>
      <c r="R830" s="179"/>
      <c r="S830" s="179"/>
      <c r="T830" s="179"/>
      <c r="U830" s="179"/>
      <c r="V830" s="179"/>
      <c r="W830" s="179"/>
    </row>
    <row r="831" spans="1:23">
      <c r="A831" s="179"/>
      <c r="B831" s="179"/>
      <c r="C831" s="179"/>
      <c r="D831" s="179"/>
      <c r="E831" s="179"/>
      <c r="F831" s="179"/>
      <c r="G831" s="179"/>
      <c r="H831" s="179"/>
      <c r="I831" s="179"/>
      <c r="J831" s="179"/>
      <c r="K831" s="179"/>
      <c r="L831" s="179"/>
      <c r="M831" s="179"/>
      <c r="N831" s="179"/>
      <c r="O831" s="179"/>
      <c r="P831" s="179"/>
      <c r="Q831" s="179"/>
      <c r="R831" s="179"/>
      <c r="S831" s="179"/>
      <c r="T831" s="179"/>
      <c r="U831" s="179"/>
      <c r="V831" s="179"/>
      <c r="W831" s="179"/>
    </row>
    <row r="832" spans="1:23">
      <c r="A832" s="179"/>
      <c r="B832" s="179"/>
      <c r="C832" s="179"/>
      <c r="D832" s="179"/>
      <c r="E832" s="179"/>
      <c r="F832" s="179"/>
      <c r="G832" s="179"/>
      <c r="H832" s="179"/>
      <c r="I832" s="179"/>
      <c r="J832" s="179"/>
      <c r="K832" s="179"/>
      <c r="L832" s="179"/>
      <c r="M832" s="179"/>
      <c r="N832" s="179"/>
      <c r="O832" s="179"/>
      <c r="P832" s="179"/>
      <c r="Q832" s="179"/>
      <c r="R832" s="179"/>
      <c r="S832" s="179"/>
      <c r="T832" s="179"/>
      <c r="U832" s="179"/>
      <c r="V832" s="179"/>
      <c r="W832" s="179"/>
    </row>
    <row r="833" spans="1:23">
      <c r="A833" s="179"/>
      <c r="B833" s="179"/>
      <c r="C833" s="179"/>
      <c r="D833" s="179"/>
      <c r="E833" s="179"/>
      <c r="F833" s="179"/>
      <c r="G833" s="179"/>
      <c r="H833" s="179"/>
      <c r="I833" s="179"/>
      <c r="J833" s="179"/>
      <c r="K833" s="179"/>
      <c r="L833" s="179"/>
      <c r="M833" s="179"/>
      <c r="N833" s="179"/>
      <c r="O833" s="179"/>
      <c r="P833" s="179"/>
      <c r="Q833" s="179"/>
      <c r="R833" s="179"/>
      <c r="S833" s="179"/>
      <c r="T833" s="179"/>
      <c r="U833" s="179"/>
      <c r="V833" s="179"/>
      <c r="W833" s="179"/>
    </row>
    <row r="834" spans="1:23">
      <c r="A834" s="179"/>
      <c r="B834" s="179"/>
      <c r="C834" s="179"/>
      <c r="D834" s="179"/>
      <c r="E834" s="179"/>
      <c r="F834" s="179"/>
      <c r="G834" s="179"/>
      <c r="H834" s="179"/>
      <c r="I834" s="179"/>
      <c r="J834" s="179"/>
      <c r="K834" s="179"/>
      <c r="L834" s="179"/>
      <c r="M834" s="179"/>
      <c r="N834" s="179"/>
      <c r="O834" s="179"/>
      <c r="P834" s="179"/>
      <c r="Q834" s="179"/>
      <c r="R834" s="179"/>
      <c r="S834" s="179"/>
      <c r="T834" s="179"/>
      <c r="U834" s="179"/>
      <c r="V834" s="179"/>
      <c r="W834" s="179"/>
    </row>
    <row r="835" spans="1:23">
      <c r="A835" s="179"/>
      <c r="B835" s="179"/>
      <c r="C835" s="179"/>
      <c r="D835" s="179"/>
      <c r="E835" s="179"/>
      <c r="F835" s="179"/>
      <c r="G835" s="179"/>
      <c r="H835" s="179"/>
      <c r="I835" s="179"/>
      <c r="J835" s="179"/>
      <c r="K835" s="179"/>
      <c r="L835" s="179"/>
      <c r="M835" s="179"/>
      <c r="N835" s="179"/>
      <c r="O835" s="179"/>
      <c r="P835" s="179"/>
      <c r="Q835" s="179"/>
      <c r="R835" s="179"/>
      <c r="S835" s="179"/>
      <c r="T835" s="179"/>
      <c r="U835" s="179"/>
      <c r="V835" s="179"/>
      <c r="W835" s="179"/>
    </row>
    <row r="836" spans="1:23">
      <c r="A836" s="179"/>
      <c r="B836" s="179"/>
      <c r="C836" s="179"/>
      <c r="D836" s="179"/>
      <c r="E836" s="179"/>
      <c r="F836" s="179"/>
      <c r="G836" s="179"/>
      <c r="H836" s="179"/>
      <c r="I836" s="179"/>
      <c r="J836" s="179"/>
      <c r="K836" s="179"/>
      <c r="L836" s="179"/>
      <c r="M836" s="179"/>
      <c r="N836" s="179"/>
      <c r="O836" s="179"/>
      <c r="P836" s="179"/>
      <c r="Q836" s="179"/>
      <c r="R836" s="179"/>
      <c r="S836" s="179"/>
      <c r="T836" s="179"/>
      <c r="U836" s="179"/>
      <c r="V836" s="179"/>
      <c r="W836" s="179"/>
    </row>
    <row r="837" spans="1:23">
      <c r="A837" s="179"/>
      <c r="B837" s="179"/>
      <c r="C837" s="179"/>
      <c r="D837" s="179"/>
      <c r="E837" s="179"/>
      <c r="F837" s="179"/>
      <c r="G837" s="179"/>
      <c r="H837" s="179"/>
      <c r="I837" s="179"/>
      <c r="J837" s="179"/>
      <c r="K837" s="179"/>
      <c r="L837" s="179"/>
      <c r="M837" s="179"/>
      <c r="N837" s="179"/>
      <c r="O837" s="179"/>
      <c r="P837" s="179"/>
      <c r="Q837" s="179"/>
      <c r="R837" s="179"/>
      <c r="S837" s="179"/>
      <c r="T837" s="179"/>
      <c r="U837" s="179"/>
      <c r="V837" s="179"/>
      <c r="W837" s="179"/>
    </row>
    <row r="838" spans="1:23">
      <c r="A838" s="179"/>
      <c r="B838" s="179"/>
      <c r="C838" s="179"/>
      <c r="D838" s="179"/>
      <c r="E838" s="179"/>
      <c r="F838" s="179"/>
      <c r="G838" s="179"/>
      <c r="H838" s="179"/>
      <c r="I838" s="179"/>
      <c r="J838" s="179"/>
      <c r="K838" s="179"/>
      <c r="L838" s="179"/>
      <c r="M838" s="179"/>
      <c r="N838" s="179"/>
      <c r="O838" s="179"/>
      <c r="P838" s="179"/>
      <c r="Q838" s="179"/>
      <c r="R838" s="179"/>
      <c r="S838" s="179"/>
      <c r="T838" s="179"/>
      <c r="U838" s="179"/>
      <c r="V838" s="179"/>
      <c r="W838" s="179"/>
    </row>
    <row r="839" spans="1:23">
      <c r="A839" s="179"/>
      <c r="B839" s="179"/>
      <c r="C839" s="179"/>
      <c r="D839" s="179"/>
      <c r="E839" s="179"/>
      <c r="F839" s="179"/>
      <c r="G839" s="179"/>
      <c r="H839" s="179"/>
      <c r="I839" s="179"/>
      <c r="J839" s="179"/>
      <c r="K839" s="179"/>
      <c r="L839" s="179"/>
      <c r="M839" s="179"/>
      <c r="N839" s="179"/>
      <c r="O839" s="179"/>
      <c r="P839" s="179"/>
      <c r="Q839" s="179"/>
      <c r="R839" s="179"/>
      <c r="S839" s="179"/>
      <c r="T839" s="179"/>
      <c r="U839" s="179"/>
      <c r="V839" s="179"/>
      <c r="W839" s="179"/>
    </row>
    <row r="840" spans="1:23">
      <c r="A840" s="179"/>
      <c r="B840" s="179"/>
      <c r="C840" s="179"/>
      <c r="D840" s="179"/>
      <c r="E840" s="179"/>
      <c r="F840" s="179"/>
      <c r="G840" s="179"/>
      <c r="H840" s="179"/>
      <c r="I840" s="179"/>
      <c r="J840" s="179"/>
      <c r="K840" s="179"/>
      <c r="L840" s="179"/>
      <c r="M840" s="179"/>
      <c r="N840" s="179"/>
      <c r="O840" s="179"/>
      <c r="P840" s="179"/>
      <c r="Q840" s="179"/>
      <c r="R840" s="179"/>
      <c r="S840" s="179"/>
      <c r="T840" s="179"/>
      <c r="U840" s="179"/>
      <c r="V840" s="179"/>
      <c r="W840" s="179"/>
    </row>
    <row r="841" spans="1:23">
      <c r="A841" s="179"/>
      <c r="B841" s="179"/>
      <c r="C841" s="179"/>
      <c r="D841" s="179"/>
      <c r="E841" s="179"/>
      <c r="F841" s="179"/>
      <c r="G841" s="179"/>
      <c r="H841" s="179"/>
      <c r="I841" s="179"/>
      <c r="J841" s="179"/>
      <c r="K841" s="179"/>
      <c r="L841" s="179"/>
      <c r="M841" s="179"/>
      <c r="N841" s="179"/>
      <c r="O841" s="179"/>
      <c r="P841" s="179"/>
      <c r="Q841" s="179"/>
      <c r="R841" s="179"/>
      <c r="S841" s="179"/>
      <c r="T841" s="179"/>
      <c r="U841" s="179"/>
      <c r="V841" s="179"/>
      <c r="W841" s="179"/>
    </row>
    <row r="842" spans="1:23">
      <c r="A842" s="179"/>
      <c r="B842" s="179"/>
      <c r="C842" s="179"/>
      <c r="D842" s="179"/>
      <c r="E842" s="179"/>
      <c r="F842" s="179"/>
      <c r="G842" s="179"/>
      <c r="H842" s="179"/>
      <c r="I842" s="179"/>
      <c r="J842" s="179"/>
      <c r="K842" s="179"/>
      <c r="L842" s="179"/>
      <c r="M842" s="179"/>
      <c r="N842" s="179"/>
      <c r="O842" s="179"/>
      <c r="P842" s="179"/>
      <c r="Q842" s="179"/>
      <c r="R842" s="179"/>
      <c r="S842" s="179"/>
      <c r="T842" s="179"/>
      <c r="U842" s="179"/>
      <c r="V842" s="179"/>
      <c r="W842" s="179"/>
    </row>
    <row r="843" spans="1:23">
      <c r="A843" s="179"/>
      <c r="B843" s="179"/>
      <c r="C843" s="179"/>
      <c r="D843" s="179"/>
      <c r="E843" s="179"/>
      <c r="F843" s="179"/>
      <c r="G843" s="179"/>
      <c r="H843" s="179"/>
      <c r="I843" s="179"/>
      <c r="J843" s="179"/>
      <c r="K843" s="179"/>
      <c r="L843" s="179"/>
      <c r="M843" s="179"/>
      <c r="N843" s="179"/>
      <c r="O843" s="179"/>
      <c r="P843" s="179"/>
      <c r="Q843" s="179"/>
      <c r="R843" s="179"/>
      <c r="S843" s="179"/>
      <c r="T843" s="179"/>
      <c r="U843" s="179"/>
      <c r="V843" s="179"/>
      <c r="W843" s="179"/>
    </row>
    <row r="844" spans="1:23">
      <c r="A844" s="179"/>
      <c r="B844" s="179"/>
      <c r="C844" s="179"/>
      <c r="D844" s="179"/>
      <c r="E844" s="179"/>
      <c r="F844" s="179"/>
      <c r="G844" s="179"/>
      <c r="H844" s="179"/>
      <c r="I844" s="179"/>
      <c r="J844" s="179"/>
      <c r="K844" s="179"/>
      <c r="L844" s="179"/>
      <c r="M844" s="179"/>
      <c r="N844" s="179"/>
      <c r="O844" s="179"/>
      <c r="P844" s="179"/>
      <c r="Q844" s="179"/>
      <c r="R844" s="179"/>
      <c r="S844" s="179"/>
      <c r="T844" s="179"/>
      <c r="U844" s="179"/>
      <c r="V844" s="179"/>
      <c r="W844" s="179"/>
    </row>
    <row r="845" spans="1:23">
      <c r="A845" s="179"/>
      <c r="B845" s="179"/>
      <c r="C845" s="179"/>
      <c r="D845" s="179"/>
      <c r="E845" s="179"/>
      <c r="F845" s="179"/>
      <c r="G845" s="179"/>
      <c r="H845" s="179"/>
      <c r="I845" s="179"/>
      <c r="J845" s="179"/>
      <c r="K845" s="179"/>
      <c r="L845" s="179"/>
      <c r="M845" s="179"/>
      <c r="N845" s="179"/>
      <c r="O845" s="179"/>
      <c r="P845" s="179"/>
      <c r="Q845" s="179"/>
      <c r="R845" s="179"/>
      <c r="S845" s="179"/>
      <c r="T845" s="179"/>
      <c r="U845" s="179"/>
      <c r="V845" s="179"/>
      <c r="W845" s="179"/>
    </row>
    <row r="846" spans="1:23">
      <c r="A846" s="179"/>
      <c r="B846" s="179"/>
      <c r="C846" s="179"/>
      <c r="D846" s="179"/>
      <c r="E846" s="179"/>
      <c r="F846" s="179"/>
      <c r="G846" s="179"/>
      <c r="H846" s="179"/>
      <c r="I846" s="179"/>
      <c r="J846" s="179"/>
      <c r="K846" s="179"/>
      <c r="L846" s="179"/>
      <c r="M846" s="179"/>
      <c r="N846" s="179"/>
      <c r="O846" s="179"/>
      <c r="P846" s="179"/>
      <c r="Q846" s="179"/>
      <c r="R846" s="179"/>
      <c r="S846" s="179"/>
      <c r="T846" s="179"/>
      <c r="U846" s="179"/>
      <c r="V846" s="179"/>
      <c r="W846" s="179"/>
    </row>
    <row r="847" spans="1:23">
      <c r="A847" s="179"/>
      <c r="B847" s="179"/>
      <c r="C847" s="179"/>
      <c r="D847" s="179"/>
      <c r="E847" s="179"/>
      <c r="F847" s="179"/>
      <c r="G847" s="179"/>
      <c r="H847" s="179"/>
      <c r="I847" s="179"/>
      <c r="J847" s="179"/>
      <c r="K847" s="179"/>
      <c r="L847" s="179"/>
      <c r="M847" s="179"/>
      <c r="N847" s="179"/>
      <c r="O847" s="179"/>
      <c r="P847" s="179"/>
      <c r="Q847" s="179"/>
      <c r="R847" s="179"/>
      <c r="S847" s="179"/>
      <c r="T847" s="179"/>
      <c r="U847" s="179"/>
      <c r="V847" s="179"/>
      <c r="W847" s="179"/>
    </row>
    <row r="848" spans="1:23">
      <c r="A848" s="179"/>
      <c r="B848" s="179"/>
      <c r="C848" s="179"/>
      <c r="D848" s="179"/>
      <c r="E848" s="179"/>
      <c r="F848" s="179"/>
      <c r="G848" s="179"/>
      <c r="H848" s="179"/>
      <c r="I848" s="179"/>
      <c r="J848" s="179"/>
      <c r="K848" s="179"/>
      <c r="L848" s="179"/>
      <c r="M848" s="179"/>
      <c r="N848" s="179"/>
      <c r="O848" s="179"/>
      <c r="P848" s="179"/>
      <c r="Q848" s="179"/>
      <c r="R848" s="179"/>
      <c r="S848" s="179"/>
      <c r="T848" s="179"/>
      <c r="U848" s="179"/>
      <c r="V848" s="179"/>
      <c r="W848" s="179"/>
    </row>
    <row r="849" spans="1:23">
      <c r="A849" s="179"/>
      <c r="B849" s="179"/>
      <c r="C849" s="179"/>
      <c r="D849" s="179"/>
      <c r="E849" s="179"/>
      <c r="F849" s="179"/>
      <c r="G849" s="179"/>
      <c r="H849" s="179"/>
      <c r="I849" s="179"/>
      <c r="J849" s="179"/>
      <c r="K849" s="179"/>
      <c r="L849" s="179"/>
      <c r="M849" s="179"/>
      <c r="N849" s="179"/>
      <c r="O849" s="179"/>
      <c r="P849" s="179"/>
      <c r="Q849" s="179"/>
      <c r="R849" s="179"/>
      <c r="S849" s="179"/>
      <c r="T849" s="179"/>
      <c r="U849" s="179"/>
      <c r="V849" s="179"/>
      <c r="W849" s="179"/>
    </row>
    <row r="850" spans="1:23">
      <c r="A850" s="179"/>
      <c r="B850" s="179"/>
      <c r="C850" s="179"/>
      <c r="D850" s="179"/>
      <c r="E850" s="179"/>
      <c r="F850" s="179"/>
      <c r="G850" s="179"/>
      <c r="H850" s="179"/>
      <c r="I850" s="179"/>
      <c r="J850" s="179"/>
      <c r="K850" s="179"/>
      <c r="L850" s="179"/>
      <c r="M850" s="179"/>
      <c r="N850" s="179"/>
      <c r="O850" s="179"/>
      <c r="P850" s="179"/>
      <c r="Q850" s="179"/>
      <c r="R850" s="179"/>
      <c r="S850" s="179"/>
      <c r="T850" s="179"/>
      <c r="U850" s="179"/>
      <c r="V850" s="179"/>
      <c r="W850" s="179"/>
    </row>
    <row r="851" spans="1:23">
      <c r="A851" s="179"/>
      <c r="B851" s="179"/>
      <c r="C851" s="179"/>
      <c r="D851" s="179"/>
      <c r="E851" s="179"/>
      <c r="F851" s="179"/>
      <c r="G851" s="179"/>
      <c r="H851" s="179"/>
      <c r="I851" s="179"/>
      <c r="J851" s="179"/>
      <c r="K851" s="179"/>
      <c r="L851" s="179"/>
      <c r="M851" s="179"/>
      <c r="N851" s="179"/>
      <c r="O851" s="179"/>
      <c r="P851" s="179"/>
      <c r="Q851" s="179"/>
      <c r="R851" s="179"/>
      <c r="S851" s="179"/>
      <c r="T851" s="179"/>
      <c r="U851" s="179"/>
      <c r="V851" s="179"/>
      <c r="W851" s="179"/>
    </row>
    <row r="852" spans="1:23">
      <c r="A852" s="179"/>
      <c r="B852" s="179"/>
      <c r="C852" s="179"/>
      <c r="D852" s="179"/>
      <c r="E852" s="179"/>
      <c r="F852" s="179"/>
      <c r="G852" s="179"/>
      <c r="H852" s="179"/>
      <c r="I852" s="179"/>
      <c r="J852" s="179"/>
      <c r="K852" s="179"/>
      <c r="L852" s="179"/>
      <c r="M852" s="179"/>
      <c r="N852" s="179"/>
      <c r="O852" s="179"/>
      <c r="P852" s="179"/>
      <c r="Q852" s="179"/>
      <c r="R852" s="179"/>
      <c r="S852" s="179"/>
      <c r="T852" s="179"/>
      <c r="U852" s="179"/>
      <c r="V852" s="179"/>
      <c r="W852" s="179"/>
    </row>
    <row r="853" spans="1:23">
      <c r="A853" s="179"/>
      <c r="B853" s="179"/>
      <c r="C853" s="179"/>
      <c r="D853" s="179"/>
      <c r="E853" s="179"/>
      <c r="F853" s="179"/>
      <c r="G853" s="179"/>
      <c r="H853" s="179"/>
      <c r="I853" s="179"/>
      <c r="J853" s="179"/>
      <c r="K853" s="179"/>
      <c r="L853" s="179"/>
      <c r="M853" s="179"/>
      <c r="N853" s="179"/>
      <c r="O853" s="179"/>
      <c r="P853" s="179"/>
      <c r="Q853" s="179"/>
      <c r="R853" s="179"/>
      <c r="S853" s="179"/>
      <c r="T853" s="179"/>
      <c r="U853" s="179"/>
      <c r="V853" s="179"/>
      <c r="W853" s="179"/>
    </row>
    <row r="854" spans="1:23">
      <c r="A854" s="179"/>
      <c r="B854" s="179"/>
      <c r="C854" s="179"/>
      <c r="D854" s="179"/>
      <c r="E854" s="179"/>
      <c r="F854" s="179"/>
      <c r="G854" s="179"/>
      <c r="H854" s="179"/>
      <c r="I854" s="179"/>
      <c r="J854" s="179"/>
      <c r="K854" s="179"/>
      <c r="L854" s="179"/>
      <c r="M854" s="179"/>
      <c r="N854" s="179"/>
      <c r="O854" s="179"/>
      <c r="P854" s="179"/>
      <c r="Q854" s="179"/>
      <c r="R854" s="179"/>
      <c r="S854" s="179"/>
      <c r="T854" s="179"/>
      <c r="U854" s="179"/>
      <c r="V854" s="179"/>
      <c r="W854" s="179"/>
    </row>
    <row r="855" spans="1:23">
      <c r="A855" s="179"/>
      <c r="B855" s="179"/>
      <c r="C855" s="179"/>
      <c r="D855" s="179"/>
      <c r="E855" s="179"/>
      <c r="F855" s="179"/>
      <c r="G855" s="179"/>
      <c r="H855" s="179"/>
      <c r="I855" s="179"/>
      <c r="J855" s="179"/>
      <c r="K855" s="179"/>
      <c r="L855" s="179"/>
      <c r="M855" s="179"/>
      <c r="N855" s="179"/>
      <c r="O855" s="179"/>
      <c r="P855" s="179"/>
      <c r="Q855" s="179"/>
      <c r="R855" s="179"/>
      <c r="S855" s="179"/>
      <c r="T855" s="179"/>
      <c r="U855" s="179"/>
      <c r="V855" s="179"/>
      <c r="W855" s="179"/>
    </row>
    <row r="856" spans="1:23">
      <c r="A856" s="179"/>
      <c r="B856" s="179"/>
      <c r="C856" s="179"/>
      <c r="D856" s="179"/>
      <c r="E856" s="179"/>
      <c r="F856" s="179"/>
      <c r="G856" s="179"/>
      <c r="H856" s="179"/>
      <c r="I856" s="179"/>
      <c r="J856" s="179"/>
      <c r="K856" s="179"/>
      <c r="L856" s="179"/>
      <c r="M856" s="179"/>
      <c r="N856" s="179"/>
      <c r="O856" s="179"/>
      <c r="P856" s="179"/>
      <c r="Q856" s="179"/>
      <c r="R856" s="179"/>
      <c r="S856" s="179"/>
      <c r="T856" s="179"/>
      <c r="U856" s="179"/>
      <c r="V856" s="179"/>
      <c r="W856" s="179"/>
    </row>
    <row r="857" spans="1:23">
      <c r="A857" s="179"/>
      <c r="B857" s="179"/>
      <c r="C857" s="179"/>
      <c r="D857" s="179"/>
      <c r="E857" s="179"/>
      <c r="F857" s="179"/>
      <c r="G857" s="179"/>
      <c r="H857" s="179"/>
      <c r="I857" s="179"/>
      <c r="J857" s="179"/>
      <c r="K857" s="179"/>
      <c r="L857" s="179"/>
      <c r="M857" s="179"/>
      <c r="N857" s="179"/>
      <c r="O857" s="179"/>
      <c r="P857" s="179"/>
      <c r="Q857" s="179"/>
      <c r="R857" s="179"/>
      <c r="S857" s="179"/>
      <c r="T857" s="179"/>
      <c r="U857" s="179"/>
      <c r="V857" s="179"/>
      <c r="W857" s="179"/>
    </row>
    <row r="858" spans="1:23">
      <c r="A858" s="179"/>
      <c r="B858" s="179"/>
      <c r="C858" s="179"/>
      <c r="D858" s="179"/>
      <c r="E858" s="179"/>
      <c r="F858" s="179"/>
      <c r="G858" s="179"/>
      <c r="H858" s="179"/>
      <c r="I858" s="179"/>
      <c r="J858" s="179"/>
      <c r="K858" s="179"/>
      <c r="L858" s="179"/>
      <c r="M858" s="179"/>
      <c r="N858" s="179"/>
      <c r="O858" s="179"/>
      <c r="P858" s="179"/>
      <c r="Q858" s="179"/>
      <c r="R858" s="179"/>
      <c r="S858" s="179"/>
      <c r="T858" s="179"/>
      <c r="U858" s="179"/>
      <c r="V858" s="179"/>
      <c r="W858" s="179"/>
    </row>
    <row r="859" spans="1:23">
      <c r="A859" s="179"/>
      <c r="B859" s="179"/>
      <c r="C859" s="179"/>
      <c r="D859" s="179"/>
      <c r="E859" s="179"/>
      <c r="F859" s="179"/>
      <c r="G859" s="179"/>
      <c r="H859" s="179"/>
      <c r="I859" s="179"/>
      <c r="J859" s="179"/>
      <c r="K859" s="179"/>
      <c r="L859" s="179"/>
      <c r="M859" s="179"/>
      <c r="N859" s="179"/>
      <c r="O859" s="179"/>
      <c r="P859" s="179"/>
      <c r="Q859" s="179"/>
      <c r="R859" s="179"/>
      <c r="S859" s="179"/>
      <c r="T859" s="179"/>
      <c r="U859" s="179"/>
      <c r="V859" s="179"/>
      <c r="W859" s="179"/>
    </row>
    <row r="860" spans="1:23">
      <c r="A860" s="179"/>
      <c r="B860" s="179"/>
      <c r="C860" s="179"/>
      <c r="D860" s="179"/>
      <c r="E860" s="179"/>
      <c r="F860" s="179"/>
      <c r="G860" s="179"/>
      <c r="H860" s="179"/>
      <c r="I860" s="179"/>
      <c r="J860" s="179"/>
      <c r="K860" s="179"/>
      <c r="L860" s="179"/>
      <c r="M860" s="179"/>
      <c r="N860" s="179"/>
      <c r="O860" s="179"/>
      <c r="P860" s="179"/>
      <c r="Q860" s="179"/>
      <c r="R860" s="179"/>
      <c r="S860" s="179"/>
      <c r="T860" s="179"/>
      <c r="U860" s="179"/>
      <c r="V860" s="179"/>
      <c r="W860" s="179"/>
    </row>
    <row r="861" spans="1:23">
      <c r="A861" s="179"/>
      <c r="B861" s="179"/>
      <c r="C861" s="179"/>
      <c r="D861" s="179"/>
      <c r="E861" s="179"/>
      <c r="F861" s="179"/>
      <c r="G861" s="179"/>
      <c r="H861" s="179"/>
      <c r="I861" s="179"/>
      <c r="J861" s="179"/>
      <c r="K861" s="179"/>
      <c r="L861" s="179"/>
      <c r="M861" s="179"/>
      <c r="N861" s="179"/>
      <c r="O861" s="179"/>
      <c r="P861" s="179"/>
      <c r="Q861" s="179"/>
      <c r="R861" s="179"/>
      <c r="S861" s="179"/>
      <c r="T861" s="179"/>
      <c r="U861" s="179"/>
      <c r="V861" s="179"/>
      <c r="W861" s="179"/>
    </row>
    <row r="862" spans="1:23">
      <c r="A862" s="179"/>
      <c r="B862" s="179"/>
      <c r="C862" s="179"/>
      <c r="D862" s="179"/>
      <c r="E862" s="179"/>
      <c r="F862" s="179"/>
      <c r="G862" s="179"/>
      <c r="H862" s="179"/>
      <c r="I862" s="179"/>
      <c r="J862" s="179"/>
      <c r="K862" s="179"/>
      <c r="L862" s="179"/>
      <c r="M862" s="179"/>
      <c r="N862" s="179"/>
      <c r="O862" s="179"/>
      <c r="P862" s="179"/>
      <c r="Q862" s="179"/>
      <c r="R862" s="179"/>
      <c r="S862" s="179"/>
      <c r="T862" s="179"/>
      <c r="U862" s="179"/>
      <c r="V862" s="179"/>
      <c r="W862" s="179"/>
    </row>
    <row r="863" spans="1:23">
      <c r="A863" s="179"/>
      <c r="B863" s="179"/>
      <c r="C863" s="179"/>
      <c r="D863" s="179"/>
      <c r="E863" s="179"/>
      <c r="F863" s="179"/>
      <c r="G863" s="179"/>
      <c r="H863" s="179"/>
      <c r="I863" s="179"/>
      <c r="J863" s="179"/>
      <c r="K863" s="179"/>
      <c r="L863" s="179"/>
      <c r="M863" s="179"/>
      <c r="N863" s="179"/>
      <c r="O863" s="179"/>
      <c r="P863" s="179"/>
      <c r="Q863" s="179"/>
      <c r="R863" s="179"/>
      <c r="S863" s="179"/>
      <c r="T863" s="179"/>
      <c r="U863" s="179"/>
      <c r="V863" s="179"/>
      <c r="W863" s="179"/>
    </row>
    <row r="864" spans="1:23">
      <c r="A864" s="179"/>
      <c r="B864" s="179"/>
      <c r="C864" s="179"/>
      <c r="D864" s="179"/>
      <c r="E864" s="179"/>
      <c r="F864" s="179"/>
      <c r="G864" s="179"/>
      <c r="H864" s="179"/>
      <c r="I864" s="179"/>
      <c r="J864" s="179"/>
      <c r="K864" s="179"/>
      <c r="L864" s="179"/>
      <c r="M864" s="179"/>
      <c r="N864" s="179"/>
      <c r="O864" s="179"/>
      <c r="P864" s="179"/>
      <c r="Q864" s="179"/>
      <c r="R864" s="179"/>
      <c r="S864" s="179"/>
      <c r="T864" s="179"/>
      <c r="U864" s="179"/>
      <c r="V864" s="179"/>
      <c r="W864" s="179"/>
    </row>
    <row r="865" spans="1:23">
      <c r="A865" s="179"/>
      <c r="B865" s="179"/>
      <c r="C865" s="179"/>
      <c r="D865" s="179"/>
      <c r="E865" s="179"/>
      <c r="F865" s="179"/>
      <c r="G865" s="179"/>
      <c r="H865" s="179"/>
      <c r="I865" s="179"/>
      <c r="J865" s="179"/>
      <c r="K865" s="179"/>
      <c r="L865" s="179"/>
      <c r="M865" s="179"/>
      <c r="N865" s="179"/>
      <c r="O865" s="179"/>
      <c r="P865" s="179"/>
      <c r="Q865" s="179"/>
      <c r="R865" s="179"/>
      <c r="S865" s="179"/>
      <c r="T865" s="179"/>
      <c r="U865" s="179"/>
      <c r="V865" s="179"/>
      <c r="W865" s="179"/>
    </row>
    <row r="866" spans="1:23">
      <c r="A866" s="179"/>
      <c r="B866" s="179"/>
      <c r="C866" s="179"/>
      <c r="D866" s="179"/>
      <c r="E866" s="179"/>
      <c r="F866" s="179"/>
      <c r="G866" s="179"/>
      <c r="H866" s="179"/>
      <c r="I866" s="179"/>
      <c r="J866" s="179"/>
      <c r="K866" s="179"/>
      <c r="L866" s="179"/>
      <c r="M866" s="179"/>
      <c r="N866" s="179"/>
      <c r="O866" s="179"/>
      <c r="P866" s="179"/>
      <c r="Q866" s="179"/>
      <c r="R866" s="179"/>
      <c r="S866" s="179"/>
      <c r="T866" s="179"/>
      <c r="U866" s="179"/>
      <c r="V866" s="179"/>
      <c r="W866" s="179"/>
    </row>
    <row r="867" spans="1:23">
      <c r="A867" s="179"/>
      <c r="B867" s="179"/>
      <c r="C867" s="179"/>
      <c r="D867" s="179"/>
      <c r="E867" s="179"/>
      <c r="F867" s="179"/>
      <c r="G867" s="179"/>
      <c r="H867" s="179"/>
      <c r="I867" s="179"/>
      <c r="J867" s="179"/>
      <c r="K867" s="179"/>
      <c r="L867" s="179"/>
      <c r="M867" s="179"/>
      <c r="N867" s="179"/>
      <c r="O867" s="179"/>
      <c r="P867" s="179"/>
      <c r="Q867" s="179"/>
      <c r="R867" s="179"/>
      <c r="S867" s="179"/>
      <c r="T867" s="179"/>
      <c r="U867" s="179"/>
      <c r="V867" s="179"/>
      <c r="W867" s="179"/>
    </row>
    <row r="868" spans="1:23">
      <c r="A868" s="179"/>
      <c r="B868" s="179"/>
      <c r="C868" s="179"/>
      <c r="D868" s="179"/>
      <c r="E868" s="179"/>
      <c r="F868" s="179"/>
      <c r="G868" s="179"/>
      <c r="H868" s="179"/>
      <c r="I868" s="179"/>
      <c r="J868" s="179"/>
      <c r="K868" s="179"/>
      <c r="L868" s="179"/>
      <c r="M868" s="179"/>
      <c r="N868" s="179"/>
      <c r="O868" s="179"/>
      <c r="P868" s="179"/>
      <c r="Q868" s="179"/>
      <c r="R868" s="179"/>
      <c r="S868" s="179"/>
      <c r="T868" s="179"/>
      <c r="U868" s="179"/>
      <c r="V868" s="179"/>
      <c r="W868" s="179"/>
    </row>
    <row r="869" spans="1:23">
      <c r="A869" s="179"/>
      <c r="B869" s="179"/>
      <c r="C869" s="179"/>
      <c r="D869" s="179"/>
      <c r="E869" s="179"/>
      <c r="F869" s="179"/>
      <c r="G869" s="179"/>
      <c r="H869" s="179"/>
      <c r="I869" s="179"/>
      <c r="J869" s="179"/>
      <c r="K869" s="179"/>
      <c r="L869" s="179"/>
      <c r="M869" s="179"/>
      <c r="N869" s="179"/>
      <c r="O869" s="179"/>
      <c r="P869" s="179"/>
      <c r="Q869" s="179"/>
      <c r="R869" s="179"/>
      <c r="S869" s="179"/>
      <c r="T869" s="179"/>
      <c r="U869" s="179"/>
      <c r="V869" s="179"/>
      <c r="W869" s="179"/>
    </row>
    <row r="870" spans="1:23">
      <c r="A870" s="179"/>
      <c r="B870" s="179"/>
      <c r="C870" s="179"/>
      <c r="D870" s="179"/>
      <c r="E870" s="179"/>
      <c r="F870" s="179"/>
      <c r="G870" s="179"/>
      <c r="H870" s="179"/>
      <c r="I870" s="179"/>
      <c r="J870" s="179"/>
      <c r="K870" s="179"/>
      <c r="L870" s="179"/>
      <c r="M870" s="179"/>
      <c r="N870" s="179"/>
      <c r="O870" s="179"/>
      <c r="P870" s="179"/>
      <c r="Q870" s="179"/>
      <c r="R870" s="179"/>
      <c r="S870" s="179"/>
      <c r="T870" s="179"/>
      <c r="U870" s="179"/>
      <c r="V870" s="179"/>
      <c r="W870" s="179"/>
    </row>
    <row r="871" spans="1:23">
      <c r="A871" s="179"/>
      <c r="B871" s="179"/>
      <c r="C871" s="179"/>
      <c r="D871" s="179"/>
      <c r="E871" s="179"/>
      <c r="F871" s="179"/>
      <c r="G871" s="179"/>
      <c r="H871" s="179"/>
      <c r="I871" s="179"/>
      <c r="J871" s="179"/>
      <c r="K871" s="179"/>
      <c r="L871" s="179"/>
      <c r="M871" s="179"/>
      <c r="N871" s="179"/>
      <c r="O871" s="179"/>
      <c r="P871" s="179"/>
      <c r="Q871" s="179"/>
      <c r="R871" s="179"/>
      <c r="S871" s="179"/>
      <c r="T871" s="179"/>
      <c r="U871" s="179"/>
      <c r="V871" s="179"/>
      <c r="W871" s="179"/>
    </row>
    <row r="872" spans="1:23">
      <c r="A872" s="179"/>
      <c r="B872" s="179"/>
      <c r="C872" s="179"/>
      <c r="D872" s="179"/>
      <c r="E872" s="179"/>
      <c r="F872" s="179"/>
      <c r="G872" s="179"/>
      <c r="H872" s="179"/>
      <c r="I872" s="179"/>
      <c r="J872" s="179"/>
      <c r="K872" s="179"/>
      <c r="L872" s="179"/>
      <c r="M872" s="179"/>
      <c r="N872" s="179"/>
      <c r="O872" s="179"/>
      <c r="P872" s="179"/>
      <c r="Q872" s="179"/>
      <c r="R872" s="179"/>
      <c r="S872" s="179"/>
      <c r="T872" s="179"/>
      <c r="U872" s="179"/>
      <c r="V872" s="179"/>
      <c r="W872" s="179"/>
    </row>
    <row r="873" spans="1:23">
      <c r="A873" s="179"/>
      <c r="B873" s="179"/>
      <c r="C873" s="179"/>
      <c r="D873" s="179"/>
      <c r="E873" s="179"/>
      <c r="F873" s="179"/>
      <c r="G873" s="179"/>
      <c r="H873" s="179"/>
      <c r="I873" s="179"/>
      <c r="J873" s="179"/>
      <c r="K873" s="179"/>
      <c r="L873" s="179"/>
      <c r="M873" s="179"/>
      <c r="N873" s="179"/>
      <c r="O873" s="179"/>
      <c r="P873" s="179"/>
      <c r="Q873" s="179"/>
      <c r="R873" s="179"/>
      <c r="S873" s="179"/>
      <c r="T873" s="179"/>
      <c r="U873" s="179"/>
      <c r="V873" s="179"/>
      <c r="W873" s="179"/>
    </row>
    <row r="874" spans="1:23">
      <c r="A874" s="179"/>
      <c r="B874" s="179"/>
      <c r="C874" s="179"/>
      <c r="D874" s="179"/>
      <c r="E874" s="179"/>
      <c r="F874" s="179"/>
      <c r="G874" s="179"/>
      <c r="H874" s="179"/>
      <c r="I874" s="179"/>
      <c r="J874" s="179"/>
      <c r="K874" s="179"/>
      <c r="L874" s="179"/>
      <c r="M874" s="179"/>
      <c r="N874" s="179"/>
      <c r="O874" s="179"/>
      <c r="P874" s="179"/>
      <c r="Q874" s="179"/>
      <c r="R874" s="179"/>
      <c r="S874" s="179"/>
      <c r="T874" s="179"/>
      <c r="U874" s="179"/>
      <c r="V874" s="179"/>
      <c r="W874" s="179"/>
    </row>
    <row r="875" spans="1:23">
      <c r="A875" s="179"/>
      <c r="B875" s="179"/>
      <c r="C875" s="179"/>
      <c r="D875" s="179"/>
      <c r="E875" s="179"/>
      <c r="F875" s="179"/>
      <c r="G875" s="179"/>
      <c r="H875" s="179"/>
      <c r="I875" s="179"/>
      <c r="J875" s="179"/>
      <c r="K875" s="179"/>
      <c r="L875" s="179"/>
      <c r="M875" s="179"/>
      <c r="N875" s="179"/>
      <c r="O875" s="179"/>
      <c r="P875" s="179"/>
      <c r="Q875" s="179"/>
      <c r="R875" s="179"/>
      <c r="S875" s="179"/>
      <c r="T875" s="179"/>
      <c r="U875" s="179"/>
      <c r="V875" s="179"/>
      <c r="W875" s="179"/>
    </row>
    <row r="876" spans="1:23">
      <c r="A876" s="179"/>
      <c r="B876" s="179"/>
      <c r="C876" s="179"/>
      <c r="D876" s="179"/>
      <c r="E876" s="179"/>
      <c r="F876" s="179"/>
      <c r="G876" s="179"/>
      <c r="H876" s="179"/>
      <c r="I876" s="179"/>
      <c r="J876" s="179"/>
      <c r="K876" s="179"/>
      <c r="L876" s="179"/>
      <c r="M876" s="179"/>
      <c r="N876" s="179"/>
      <c r="O876" s="179"/>
      <c r="P876" s="179"/>
      <c r="Q876" s="179"/>
      <c r="R876" s="179"/>
      <c r="S876" s="179"/>
      <c r="T876" s="179"/>
      <c r="U876" s="179"/>
      <c r="V876" s="179"/>
      <c r="W876" s="179"/>
    </row>
    <row r="877" spans="1:23">
      <c r="A877" s="179"/>
      <c r="B877" s="179"/>
      <c r="C877" s="179"/>
      <c r="D877" s="179"/>
      <c r="E877" s="179"/>
      <c r="F877" s="179"/>
      <c r="G877" s="179"/>
      <c r="H877" s="179"/>
      <c r="I877" s="179"/>
      <c r="J877" s="179"/>
      <c r="K877" s="179"/>
      <c r="L877" s="179"/>
      <c r="M877" s="179"/>
      <c r="N877" s="179"/>
      <c r="O877" s="179"/>
      <c r="P877" s="179"/>
      <c r="Q877" s="179"/>
      <c r="R877" s="179"/>
      <c r="S877" s="179"/>
      <c r="T877" s="179"/>
      <c r="U877" s="179"/>
      <c r="V877" s="179"/>
      <c r="W877" s="179"/>
    </row>
    <row r="878" spans="1:23">
      <c r="A878" s="179"/>
      <c r="B878" s="179"/>
      <c r="C878" s="179"/>
      <c r="D878" s="179"/>
      <c r="E878" s="179"/>
      <c r="F878" s="179"/>
      <c r="G878" s="179"/>
      <c r="H878" s="179"/>
      <c r="I878" s="179"/>
      <c r="J878" s="179"/>
      <c r="K878" s="179"/>
      <c r="L878" s="179"/>
      <c r="M878" s="179"/>
      <c r="N878" s="179"/>
      <c r="O878" s="179"/>
      <c r="P878" s="179"/>
      <c r="Q878" s="179"/>
      <c r="R878" s="179"/>
      <c r="S878" s="179"/>
      <c r="T878" s="179"/>
      <c r="U878" s="179"/>
      <c r="V878" s="179"/>
      <c r="W878" s="179"/>
    </row>
    <row r="879" spans="1:23">
      <c r="A879" s="179"/>
      <c r="B879" s="179"/>
      <c r="C879" s="179"/>
      <c r="D879" s="179"/>
      <c r="E879" s="179"/>
      <c r="F879" s="179"/>
      <c r="G879" s="179"/>
      <c r="H879" s="179"/>
      <c r="I879" s="179"/>
      <c r="J879" s="179"/>
      <c r="K879" s="179"/>
      <c r="L879" s="179"/>
      <c r="M879" s="179"/>
      <c r="N879" s="179"/>
      <c r="O879" s="179"/>
      <c r="P879" s="179"/>
      <c r="Q879" s="179"/>
      <c r="R879" s="179"/>
      <c r="S879" s="179"/>
      <c r="T879" s="179"/>
      <c r="U879" s="179"/>
      <c r="V879" s="179"/>
      <c r="W879" s="179"/>
    </row>
    <row r="880" spans="1:23">
      <c r="A880" s="179"/>
      <c r="B880" s="179"/>
      <c r="C880" s="179"/>
      <c r="D880" s="179"/>
      <c r="E880" s="179"/>
      <c r="F880" s="179"/>
      <c r="G880" s="179"/>
      <c r="H880" s="179"/>
      <c r="I880" s="179"/>
      <c r="J880" s="179"/>
      <c r="K880" s="179"/>
      <c r="L880" s="179"/>
      <c r="M880" s="179"/>
      <c r="N880" s="179"/>
      <c r="O880" s="179"/>
      <c r="P880" s="179"/>
      <c r="Q880" s="179"/>
      <c r="R880" s="179"/>
      <c r="S880" s="179"/>
      <c r="T880" s="179"/>
      <c r="U880" s="179"/>
      <c r="V880" s="179"/>
      <c r="W880" s="179"/>
    </row>
    <row r="881" spans="1:23">
      <c r="A881" s="179"/>
      <c r="B881" s="179"/>
      <c r="C881" s="179"/>
      <c r="D881" s="179"/>
      <c r="E881" s="179"/>
      <c r="F881" s="179"/>
      <c r="G881" s="179"/>
      <c r="H881" s="179"/>
      <c r="I881" s="179"/>
      <c r="J881" s="179"/>
      <c r="K881" s="179"/>
      <c r="L881" s="179"/>
      <c r="M881" s="179"/>
      <c r="N881" s="179"/>
      <c r="O881" s="179"/>
      <c r="P881" s="179"/>
      <c r="Q881" s="179"/>
      <c r="R881" s="179"/>
      <c r="S881" s="179"/>
      <c r="T881" s="179"/>
      <c r="U881" s="179"/>
      <c r="V881" s="179"/>
      <c r="W881" s="179"/>
    </row>
    <row r="882" spans="1:23">
      <c r="A882" s="179"/>
      <c r="B882" s="179"/>
      <c r="C882" s="179"/>
      <c r="D882" s="179"/>
      <c r="E882" s="179"/>
      <c r="F882" s="179"/>
      <c r="G882" s="179"/>
      <c r="H882" s="179"/>
      <c r="I882" s="179"/>
      <c r="J882" s="179"/>
      <c r="K882" s="179"/>
      <c r="L882" s="179"/>
      <c r="M882" s="179"/>
      <c r="N882" s="179"/>
      <c r="O882" s="179"/>
      <c r="P882" s="179"/>
      <c r="Q882" s="179"/>
      <c r="R882" s="179"/>
      <c r="S882" s="179"/>
      <c r="T882" s="179"/>
      <c r="U882" s="179"/>
      <c r="V882" s="179"/>
      <c r="W882" s="179"/>
    </row>
    <row r="883" spans="1:23">
      <c r="A883" s="179"/>
      <c r="B883" s="179"/>
      <c r="C883" s="179"/>
      <c r="D883" s="179"/>
      <c r="E883" s="179"/>
      <c r="F883" s="179"/>
      <c r="G883" s="179"/>
      <c r="H883" s="179"/>
      <c r="I883" s="179"/>
      <c r="J883" s="179"/>
      <c r="K883" s="179"/>
      <c r="L883" s="179"/>
      <c r="M883" s="179"/>
      <c r="N883" s="179"/>
      <c r="O883" s="179"/>
      <c r="P883" s="179"/>
      <c r="Q883" s="179"/>
      <c r="R883" s="179"/>
      <c r="S883" s="179"/>
      <c r="T883" s="179"/>
      <c r="U883" s="179"/>
      <c r="V883" s="179"/>
      <c r="W883" s="179"/>
    </row>
    <row r="884" spans="1:23">
      <c r="A884" s="179"/>
      <c r="B884" s="179"/>
      <c r="C884" s="179"/>
      <c r="D884" s="179"/>
      <c r="E884" s="179"/>
      <c r="F884" s="179"/>
      <c r="G884" s="179"/>
      <c r="H884" s="179"/>
      <c r="I884" s="179"/>
      <c r="J884" s="179"/>
      <c r="K884" s="179"/>
      <c r="L884" s="179"/>
      <c r="M884" s="179"/>
      <c r="N884" s="179"/>
      <c r="O884" s="179"/>
      <c r="P884" s="179"/>
      <c r="Q884" s="179"/>
      <c r="R884" s="179"/>
      <c r="S884" s="179"/>
      <c r="T884" s="179"/>
      <c r="U884" s="179"/>
      <c r="V884" s="179"/>
      <c r="W884" s="179"/>
    </row>
    <row r="885" spans="1:23">
      <c r="A885" s="179"/>
      <c r="B885" s="179"/>
      <c r="C885" s="179"/>
      <c r="D885" s="179"/>
      <c r="E885" s="179"/>
      <c r="F885" s="179"/>
      <c r="G885" s="179"/>
      <c r="H885" s="179"/>
      <c r="I885" s="179"/>
      <c r="J885" s="179"/>
      <c r="K885" s="179"/>
      <c r="L885" s="179"/>
      <c r="M885" s="179"/>
      <c r="N885" s="179"/>
      <c r="O885" s="179"/>
      <c r="P885" s="179"/>
      <c r="Q885" s="179"/>
      <c r="R885" s="179"/>
      <c r="S885" s="179"/>
      <c r="T885" s="179"/>
      <c r="U885" s="179"/>
      <c r="V885" s="179"/>
      <c r="W885" s="179"/>
    </row>
    <row r="886" spans="1:23">
      <c r="A886" s="179"/>
      <c r="B886" s="179"/>
      <c r="C886" s="179"/>
      <c r="D886" s="179"/>
      <c r="E886" s="179"/>
      <c r="F886" s="179"/>
      <c r="G886" s="179"/>
      <c r="H886" s="179"/>
      <c r="I886" s="179"/>
      <c r="J886" s="179"/>
      <c r="K886" s="179"/>
      <c r="L886" s="179"/>
      <c r="M886" s="179"/>
      <c r="N886" s="179"/>
      <c r="O886" s="179"/>
      <c r="P886" s="179"/>
      <c r="Q886" s="179"/>
      <c r="R886" s="179"/>
      <c r="S886" s="179"/>
      <c r="T886" s="179"/>
      <c r="U886" s="179"/>
      <c r="V886" s="179"/>
      <c r="W886" s="179"/>
    </row>
    <row r="887" spans="1:23">
      <c r="A887" s="179"/>
      <c r="B887" s="179"/>
      <c r="C887" s="179"/>
      <c r="D887" s="179"/>
      <c r="E887" s="179"/>
      <c r="F887" s="179"/>
      <c r="G887" s="179"/>
      <c r="H887" s="179"/>
      <c r="I887" s="179"/>
      <c r="J887" s="179"/>
      <c r="K887" s="179"/>
      <c r="L887" s="179"/>
      <c r="M887" s="179"/>
      <c r="N887" s="179"/>
      <c r="O887" s="179"/>
      <c r="P887" s="179"/>
      <c r="Q887" s="179"/>
      <c r="R887" s="179"/>
      <c r="S887" s="179"/>
      <c r="T887" s="179"/>
      <c r="U887" s="179"/>
      <c r="V887" s="179"/>
      <c r="W887" s="179"/>
    </row>
    <row r="888" spans="1:23">
      <c r="A888" s="179"/>
      <c r="B888" s="179"/>
      <c r="C888" s="179"/>
      <c r="D888" s="179"/>
      <c r="E888" s="179"/>
      <c r="F888" s="179"/>
      <c r="G888" s="179"/>
      <c r="H888" s="179"/>
      <c r="I888" s="179"/>
      <c r="J888" s="179"/>
      <c r="K888" s="179"/>
      <c r="L888" s="179"/>
      <c r="M888" s="179"/>
      <c r="N888" s="179"/>
      <c r="O888" s="179"/>
      <c r="P888" s="179"/>
      <c r="Q888" s="179"/>
      <c r="R888" s="179"/>
      <c r="S888" s="179"/>
      <c r="T888" s="179"/>
      <c r="U888" s="179"/>
      <c r="V888" s="179"/>
      <c r="W888" s="179"/>
    </row>
    <row r="889" spans="1:23">
      <c r="A889" s="179"/>
      <c r="B889" s="179"/>
      <c r="C889" s="179"/>
      <c r="D889" s="179"/>
      <c r="E889" s="179"/>
      <c r="F889" s="179"/>
      <c r="G889" s="179"/>
      <c r="H889" s="179"/>
      <c r="I889" s="179"/>
      <c r="J889" s="179"/>
      <c r="K889" s="179"/>
      <c r="L889" s="179"/>
      <c r="M889" s="179"/>
      <c r="N889" s="179"/>
      <c r="O889" s="179"/>
      <c r="P889" s="179"/>
      <c r="Q889" s="179"/>
      <c r="R889" s="179"/>
      <c r="S889" s="179"/>
      <c r="T889" s="179"/>
      <c r="U889" s="179"/>
      <c r="V889" s="179"/>
      <c r="W889" s="179"/>
    </row>
    <row r="890" spans="1:23">
      <c r="A890" s="179"/>
      <c r="B890" s="179"/>
      <c r="C890" s="179"/>
      <c r="D890" s="179"/>
      <c r="E890" s="179"/>
      <c r="F890" s="179"/>
      <c r="G890" s="179"/>
      <c r="H890" s="179"/>
      <c r="I890" s="179"/>
      <c r="J890" s="179"/>
      <c r="K890" s="179"/>
      <c r="L890" s="179"/>
      <c r="M890" s="179"/>
      <c r="N890" s="179"/>
      <c r="O890" s="179"/>
      <c r="P890" s="179"/>
      <c r="Q890" s="179"/>
      <c r="R890" s="179"/>
      <c r="S890" s="179"/>
      <c r="T890" s="179"/>
      <c r="U890" s="179"/>
      <c r="V890" s="179"/>
      <c r="W890" s="179"/>
    </row>
    <row r="891" spans="1:23">
      <c r="A891" s="179"/>
      <c r="B891" s="179"/>
      <c r="C891" s="179"/>
      <c r="D891" s="179"/>
      <c r="E891" s="179"/>
      <c r="F891" s="179"/>
      <c r="G891" s="179"/>
      <c r="H891" s="179"/>
      <c r="I891" s="179"/>
      <c r="J891" s="179"/>
      <c r="K891" s="179"/>
      <c r="L891" s="179"/>
      <c r="M891" s="179"/>
      <c r="N891" s="179"/>
      <c r="O891" s="179"/>
      <c r="P891" s="179"/>
      <c r="Q891" s="179"/>
      <c r="R891" s="179"/>
      <c r="S891" s="179"/>
      <c r="T891" s="179"/>
      <c r="U891" s="179"/>
      <c r="V891" s="179"/>
      <c r="W891" s="179"/>
    </row>
    <row r="892" spans="1:23">
      <c r="A892" s="179"/>
      <c r="B892" s="179"/>
      <c r="C892" s="179"/>
      <c r="D892" s="179"/>
      <c r="E892" s="179"/>
      <c r="F892" s="179"/>
      <c r="G892" s="179"/>
      <c r="H892" s="179"/>
      <c r="I892" s="179"/>
      <c r="J892" s="179"/>
      <c r="K892" s="179"/>
      <c r="L892" s="179"/>
      <c r="M892" s="179"/>
      <c r="N892" s="179"/>
      <c r="O892" s="179"/>
      <c r="P892" s="179"/>
      <c r="Q892" s="179"/>
      <c r="R892" s="179"/>
      <c r="S892" s="179"/>
      <c r="T892" s="179"/>
      <c r="U892" s="179"/>
      <c r="V892" s="179"/>
      <c r="W892" s="179"/>
    </row>
    <row r="893" spans="1:23">
      <c r="A893" s="179"/>
      <c r="B893" s="179"/>
      <c r="C893" s="179"/>
      <c r="D893" s="179"/>
      <c r="E893" s="179"/>
      <c r="F893" s="179"/>
      <c r="G893" s="179"/>
      <c r="H893" s="179"/>
      <c r="I893" s="179"/>
      <c r="J893" s="179"/>
      <c r="K893" s="179"/>
      <c r="L893" s="179"/>
      <c r="M893" s="179"/>
      <c r="N893" s="179"/>
      <c r="O893" s="179"/>
      <c r="P893" s="179"/>
      <c r="Q893" s="179"/>
      <c r="R893" s="179"/>
      <c r="S893" s="179"/>
      <c r="T893" s="179"/>
      <c r="U893" s="179"/>
      <c r="V893" s="179"/>
      <c r="W893" s="179"/>
    </row>
    <row r="894" spans="1:23">
      <c r="A894" s="179"/>
      <c r="B894" s="179"/>
      <c r="C894" s="179"/>
      <c r="D894" s="179"/>
      <c r="E894" s="179"/>
      <c r="F894" s="179"/>
      <c r="G894" s="179"/>
      <c r="H894" s="179"/>
      <c r="I894" s="179"/>
      <c r="J894" s="179"/>
      <c r="K894" s="179"/>
      <c r="L894" s="179"/>
      <c r="M894" s="179"/>
      <c r="N894" s="179"/>
      <c r="O894" s="179"/>
      <c r="P894" s="179"/>
      <c r="Q894" s="179"/>
      <c r="R894" s="179"/>
      <c r="S894" s="179"/>
      <c r="T894" s="179"/>
      <c r="U894" s="179"/>
      <c r="V894" s="179"/>
      <c r="W894" s="179"/>
    </row>
    <row r="895" spans="1:23">
      <c r="A895" s="179"/>
      <c r="B895" s="179"/>
      <c r="C895" s="179"/>
      <c r="D895" s="179"/>
      <c r="E895" s="179"/>
      <c r="F895" s="179"/>
      <c r="G895" s="179"/>
      <c r="H895" s="179"/>
      <c r="I895" s="179"/>
      <c r="J895" s="179"/>
      <c r="K895" s="179"/>
      <c r="L895" s="179"/>
      <c r="M895" s="179"/>
      <c r="N895" s="179"/>
      <c r="O895" s="179"/>
      <c r="P895" s="179"/>
      <c r="Q895" s="179"/>
      <c r="R895" s="179"/>
      <c r="S895" s="179"/>
      <c r="T895" s="179"/>
      <c r="U895" s="179"/>
      <c r="V895" s="179"/>
      <c r="W895" s="179"/>
    </row>
    <row r="896" spans="1:23">
      <c r="A896" s="179"/>
      <c r="B896" s="179"/>
      <c r="C896" s="179"/>
      <c r="D896" s="179"/>
      <c r="E896" s="179"/>
      <c r="F896" s="179"/>
      <c r="G896" s="179"/>
      <c r="H896" s="179"/>
      <c r="I896" s="179"/>
      <c r="J896" s="179"/>
      <c r="K896" s="179"/>
      <c r="L896" s="179"/>
      <c r="M896" s="179"/>
      <c r="N896" s="179"/>
      <c r="O896" s="179"/>
      <c r="P896" s="179"/>
      <c r="Q896" s="179"/>
      <c r="R896" s="179"/>
      <c r="S896" s="179"/>
      <c r="T896" s="179"/>
      <c r="U896" s="179"/>
      <c r="V896" s="179"/>
      <c r="W896" s="179"/>
    </row>
    <row r="897" spans="1:23">
      <c r="A897" s="179"/>
      <c r="B897" s="179"/>
      <c r="C897" s="179"/>
      <c r="D897" s="179"/>
      <c r="E897" s="179"/>
      <c r="F897" s="179"/>
      <c r="G897" s="179"/>
      <c r="H897" s="179"/>
      <c r="I897" s="179"/>
      <c r="J897" s="179"/>
      <c r="K897" s="179"/>
      <c r="L897" s="179"/>
      <c r="M897" s="179"/>
      <c r="N897" s="179"/>
      <c r="O897" s="179"/>
      <c r="P897" s="179"/>
      <c r="Q897" s="179"/>
      <c r="R897" s="179"/>
      <c r="S897" s="179"/>
      <c r="T897" s="179"/>
      <c r="U897" s="179"/>
      <c r="V897" s="179"/>
      <c r="W897" s="179"/>
    </row>
    <row r="898" spans="1:23">
      <c r="A898" s="179"/>
      <c r="B898" s="179"/>
      <c r="C898" s="179"/>
      <c r="D898" s="179"/>
      <c r="E898" s="179"/>
      <c r="F898" s="179"/>
      <c r="G898" s="179"/>
      <c r="H898" s="179"/>
      <c r="I898" s="179"/>
      <c r="J898" s="179"/>
      <c r="K898" s="179"/>
      <c r="L898" s="179"/>
      <c r="M898" s="179"/>
      <c r="N898" s="179"/>
      <c r="O898" s="179"/>
      <c r="P898" s="179"/>
      <c r="Q898" s="179"/>
      <c r="R898" s="179"/>
      <c r="S898" s="179"/>
      <c r="T898" s="179"/>
      <c r="U898" s="179"/>
      <c r="V898" s="179"/>
      <c r="W898" s="179"/>
    </row>
    <row r="899" spans="1:23">
      <c r="A899" s="179"/>
      <c r="B899" s="179"/>
      <c r="C899" s="179"/>
      <c r="D899" s="179"/>
      <c r="E899" s="179"/>
      <c r="F899" s="179"/>
      <c r="G899" s="179"/>
      <c r="H899" s="179"/>
      <c r="I899" s="179"/>
      <c r="J899" s="179"/>
      <c r="K899" s="179"/>
      <c r="L899" s="179"/>
      <c r="M899" s="179"/>
      <c r="N899" s="179"/>
      <c r="O899" s="179"/>
      <c r="P899" s="179"/>
      <c r="Q899" s="179"/>
      <c r="R899" s="179"/>
      <c r="S899" s="179"/>
      <c r="T899" s="179"/>
      <c r="U899" s="179"/>
      <c r="V899" s="179"/>
      <c r="W899" s="179"/>
    </row>
    <row r="900" spans="1:23">
      <c r="A900" s="179"/>
      <c r="B900" s="179"/>
      <c r="C900" s="179"/>
      <c r="D900" s="179"/>
      <c r="E900" s="179"/>
      <c r="F900" s="179"/>
      <c r="G900" s="179"/>
      <c r="H900" s="179"/>
      <c r="I900" s="179"/>
      <c r="J900" s="179"/>
      <c r="K900" s="179"/>
      <c r="L900" s="179"/>
      <c r="M900" s="179"/>
      <c r="N900" s="179"/>
      <c r="O900" s="179"/>
      <c r="P900" s="179"/>
      <c r="Q900" s="179"/>
      <c r="R900" s="179"/>
      <c r="S900" s="179"/>
      <c r="T900" s="179"/>
      <c r="U900" s="179"/>
      <c r="V900" s="179"/>
      <c r="W900" s="179"/>
    </row>
    <row r="901" spans="1:23">
      <c r="A901" s="179"/>
      <c r="B901" s="179"/>
      <c r="C901" s="179"/>
      <c r="D901" s="179"/>
      <c r="E901" s="179"/>
      <c r="F901" s="179"/>
      <c r="G901" s="179"/>
      <c r="H901" s="179"/>
      <c r="I901" s="179"/>
      <c r="J901" s="179"/>
      <c r="K901" s="179"/>
      <c r="L901" s="179"/>
      <c r="M901" s="179"/>
      <c r="N901" s="179"/>
      <c r="O901" s="179"/>
      <c r="P901" s="179"/>
      <c r="Q901" s="179"/>
      <c r="R901" s="179"/>
      <c r="S901" s="179"/>
      <c r="T901" s="179"/>
      <c r="U901" s="179"/>
      <c r="V901" s="179"/>
      <c r="W901" s="179"/>
    </row>
    <row r="902" spans="1:23">
      <c r="A902" s="179"/>
      <c r="B902" s="179"/>
      <c r="C902" s="179"/>
      <c r="D902" s="179"/>
      <c r="E902" s="179"/>
      <c r="F902" s="179"/>
      <c r="G902" s="179"/>
      <c r="H902" s="179"/>
      <c r="I902" s="179"/>
      <c r="J902" s="179"/>
      <c r="K902" s="179"/>
      <c r="L902" s="179"/>
      <c r="M902" s="179"/>
      <c r="N902" s="179"/>
      <c r="O902" s="179"/>
      <c r="P902" s="179"/>
      <c r="Q902" s="179"/>
      <c r="R902" s="179"/>
      <c r="S902" s="179"/>
      <c r="T902" s="179"/>
      <c r="U902" s="179"/>
      <c r="V902" s="179"/>
      <c r="W902" s="179"/>
    </row>
    <row r="903" spans="1:23">
      <c r="A903" s="179"/>
      <c r="B903" s="179"/>
      <c r="C903" s="179"/>
      <c r="D903" s="179"/>
      <c r="E903" s="179"/>
      <c r="F903" s="179"/>
      <c r="G903" s="179"/>
      <c r="H903" s="179"/>
      <c r="I903" s="179"/>
      <c r="J903" s="179"/>
      <c r="K903" s="179"/>
      <c r="L903" s="179"/>
      <c r="M903" s="179"/>
      <c r="N903" s="179"/>
      <c r="O903" s="179"/>
      <c r="P903" s="179"/>
      <c r="Q903" s="179"/>
      <c r="R903" s="179"/>
      <c r="S903" s="179"/>
      <c r="T903" s="179"/>
      <c r="U903" s="179"/>
      <c r="V903" s="179"/>
      <c r="W903" s="179"/>
    </row>
    <row r="904" spans="1:23">
      <c r="A904" s="179"/>
      <c r="B904" s="179"/>
      <c r="C904" s="179"/>
      <c r="D904" s="179"/>
      <c r="E904" s="179"/>
      <c r="F904" s="179"/>
      <c r="G904" s="179"/>
      <c r="H904" s="179"/>
      <c r="I904" s="179"/>
      <c r="J904" s="179"/>
      <c r="K904" s="179"/>
      <c r="L904" s="179"/>
      <c r="M904" s="179"/>
      <c r="N904" s="179"/>
      <c r="O904" s="179"/>
      <c r="P904" s="179"/>
      <c r="Q904" s="179"/>
      <c r="R904" s="179"/>
      <c r="S904" s="179"/>
      <c r="T904" s="179"/>
      <c r="U904" s="179"/>
      <c r="V904" s="179"/>
      <c r="W904" s="179"/>
    </row>
    <row r="905" spans="1:23">
      <c r="A905" s="179"/>
      <c r="B905" s="179"/>
      <c r="C905" s="179"/>
      <c r="D905" s="179"/>
      <c r="E905" s="179"/>
      <c r="F905" s="179"/>
      <c r="G905" s="179"/>
      <c r="H905" s="179"/>
      <c r="I905" s="179"/>
      <c r="J905" s="179"/>
      <c r="K905" s="179"/>
      <c r="L905" s="179"/>
      <c r="M905" s="179"/>
      <c r="N905" s="179"/>
      <c r="O905" s="179"/>
      <c r="P905" s="179"/>
      <c r="Q905" s="179"/>
      <c r="R905" s="179"/>
      <c r="S905" s="179"/>
      <c r="T905" s="179"/>
      <c r="U905" s="179"/>
      <c r="V905" s="179"/>
      <c r="W905" s="179"/>
    </row>
    <row r="906" spans="1:23">
      <c r="A906" s="179"/>
      <c r="B906" s="179"/>
      <c r="C906" s="179"/>
      <c r="D906" s="179"/>
      <c r="E906" s="179"/>
      <c r="F906" s="179"/>
      <c r="G906" s="179"/>
      <c r="H906" s="179"/>
      <c r="I906" s="179"/>
      <c r="J906" s="179"/>
      <c r="K906" s="179"/>
      <c r="L906" s="179"/>
      <c r="M906" s="179"/>
      <c r="N906" s="179"/>
      <c r="O906" s="179"/>
      <c r="P906" s="179"/>
      <c r="Q906" s="179"/>
      <c r="R906" s="179"/>
      <c r="S906" s="179"/>
      <c r="T906" s="179"/>
      <c r="U906" s="179"/>
      <c r="V906" s="179"/>
      <c r="W906" s="179"/>
    </row>
    <row r="907" spans="1:23">
      <c r="A907" s="179"/>
      <c r="B907" s="179"/>
      <c r="C907" s="179"/>
      <c r="D907" s="179"/>
      <c r="E907" s="179"/>
      <c r="F907" s="179"/>
      <c r="G907" s="179"/>
      <c r="H907" s="179"/>
      <c r="I907" s="179"/>
      <c r="J907" s="179"/>
      <c r="K907" s="179"/>
      <c r="L907" s="179"/>
      <c r="M907" s="179"/>
      <c r="N907" s="179"/>
      <c r="O907" s="179"/>
      <c r="P907" s="179"/>
      <c r="Q907" s="179"/>
      <c r="R907" s="179"/>
      <c r="S907" s="179"/>
      <c r="T907" s="179"/>
      <c r="U907" s="179"/>
      <c r="V907" s="179"/>
      <c r="W907" s="179"/>
    </row>
    <row r="908" spans="1:23">
      <c r="A908" s="179"/>
      <c r="B908" s="179"/>
      <c r="C908" s="179"/>
      <c r="D908" s="179"/>
      <c r="E908" s="179"/>
      <c r="F908" s="179"/>
      <c r="G908" s="179"/>
      <c r="H908" s="179"/>
      <c r="I908" s="179"/>
      <c r="J908" s="179"/>
      <c r="K908" s="179"/>
      <c r="L908" s="179"/>
      <c r="M908" s="179"/>
      <c r="N908" s="179"/>
      <c r="O908" s="179"/>
      <c r="P908" s="179"/>
      <c r="Q908" s="179"/>
      <c r="R908" s="179"/>
      <c r="S908" s="179"/>
      <c r="T908" s="179"/>
      <c r="U908" s="179"/>
      <c r="V908" s="179"/>
      <c r="W908" s="179"/>
    </row>
    <row r="909" spans="1:23">
      <c r="A909" s="179"/>
      <c r="B909" s="179"/>
      <c r="C909" s="179"/>
      <c r="D909" s="179"/>
      <c r="E909" s="179"/>
      <c r="F909" s="179"/>
      <c r="G909" s="179"/>
      <c r="H909" s="179"/>
      <c r="I909" s="179"/>
      <c r="J909" s="179"/>
      <c r="K909" s="179"/>
      <c r="L909" s="179"/>
      <c r="M909" s="179"/>
      <c r="N909" s="179"/>
      <c r="O909" s="179"/>
      <c r="P909" s="179"/>
      <c r="Q909" s="179"/>
      <c r="R909" s="179"/>
      <c r="S909" s="179"/>
      <c r="T909" s="179"/>
      <c r="U909" s="179"/>
      <c r="V909" s="179"/>
      <c r="W909" s="179"/>
    </row>
    <row r="910" spans="1:23">
      <c r="A910" s="179"/>
      <c r="B910" s="179"/>
      <c r="C910" s="179"/>
      <c r="D910" s="179"/>
      <c r="E910" s="179"/>
      <c r="F910" s="179"/>
      <c r="G910" s="179"/>
      <c r="H910" s="179"/>
      <c r="I910" s="179"/>
      <c r="J910" s="179"/>
      <c r="K910" s="179"/>
      <c r="L910" s="179"/>
      <c r="M910" s="179"/>
      <c r="N910" s="179"/>
      <c r="O910" s="179"/>
      <c r="P910" s="179"/>
      <c r="Q910" s="179"/>
      <c r="R910" s="179"/>
      <c r="S910" s="179"/>
      <c r="T910" s="179"/>
      <c r="U910" s="179"/>
      <c r="V910" s="179"/>
      <c r="W910" s="179"/>
    </row>
    <row r="911" spans="1:23">
      <c r="A911" s="179"/>
      <c r="B911" s="179"/>
      <c r="C911" s="179"/>
      <c r="D911" s="179"/>
      <c r="E911" s="179"/>
      <c r="F911" s="179"/>
      <c r="G911" s="179"/>
      <c r="H911" s="179"/>
      <c r="I911" s="179"/>
      <c r="J911" s="179"/>
      <c r="K911" s="179"/>
      <c r="L911" s="179"/>
      <c r="M911" s="179"/>
      <c r="N911" s="179"/>
      <c r="O911" s="179"/>
      <c r="P911" s="179"/>
      <c r="Q911" s="179"/>
      <c r="R911" s="179"/>
      <c r="S911" s="179"/>
      <c r="T911" s="179"/>
      <c r="U911" s="179"/>
      <c r="V911" s="179"/>
      <c r="W911" s="179"/>
    </row>
    <row r="912" spans="1:23">
      <c r="A912" s="179"/>
      <c r="B912" s="179"/>
      <c r="C912" s="179"/>
      <c r="D912" s="179"/>
      <c r="E912" s="179"/>
      <c r="F912" s="179"/>
      <c r="G912" s="179"/>
      <c r="H912" s="179"/>
      <c r="I912" s="179"/>
      <c r="J912" s="179"/>
      <c r="K912" s="179"/>
      <c r="L912" s="179"/>
      <c r="M912" s="179"/>
      <c r="N912" s="179"/>
      <c r="O912" s="179"/>
      <c r="P912" s="179"/>
      <c r="Q912" s="179"/>
      <c r="R912" s="179"/>
      <c r="S912" s="179"/>
      <c r="T912" s="179"/>
      <c r="U912" s="179"/>
      <c r="V912" s="179"/>
      <c r="W912" s="179"/>
    </row>
    <row r="913" spans="1:23">
      <c r="A913" s="179"/>
      <c r="B913" s="179"/>
      <c r="C913" s="179"/>
      <c r="D913" s="179"/>
      <c r="E913" s="179"/>
      <c r="F913" s="179"/>
      <c r="G913" s="179"/>
      <c r="H913" s="179"/>
      <c r="I913" s="179"/>
      <c r="J913" s="179"/>
      <c r="K913" s="179"/>
      <c r="L913" s="179"/>
      <c r="M913" s="179"/>
      <c r="N913" s="179"/>
      <c r="O913" s="179"/>
      <c r="P913" s="179"/>
      <c r="Q913" s="179"/>
      <c r="R913" s="179"/>
      <c r="S913" s="179"/>
      <c r="T913" s="179"/>
      <c r="U913" s="179"/>
      <c r="V913" s="179"/>
      <c r="W913" s="179"/>
    </row>
    <row r="914" spans="1:23">
      <c r="A914" s="179"/>
      <c r="B914" s="179"/>
      <c r="C914" s="179"/>
      <c r="D914" s="179"/>
      <c r="E914" s="179"/>
      <c r="F914" s="179"/>
      <c r="G914" s="179"/>
      <c r="H914" s="179"/>
      <c r="I914" s="179"/>
      <c r="J914" s="179"/>
      <c r="K914" s="179"/>
      <c r="L914" s="179"/>
      <c r="M914" s="179"/>
      <c r="N914" s="179"/>
      <c r="O914" s="179"/>
      <c r="P914" s="179"/>
      <c r="Q914" s="179"/>
      <c r="R914" s="179"/>
      <c r="S914" s="179"/>
      <c r="T914" s="179"/>
      <c r="U914" s="179"/>
      <c r="V914" s="179"/>
      <c r="W914" s="179"/>
    </row>
    <row r="915" spans="1:23">
      <c r="A915" s="179"/>
      <c r="B915" s="179"/>
      <c r="C915" s="179"/>
      <c r="D915" s="179"/>
      <c r="E915" s="179"/>
      <c r="F915" s="179"/>
      <c r="G915" s="179"/>
      <c r="H915" s="179"/>
      <c r="I915" s="179"/>
      <c r="J915" s="179"/>
      <c r="K915" s="179"/>
      <c r="L915" s="179"/>
      <c r="M915" s="179"/>
      <c r="N915" s="179"/>
      <c r="O915" s="179"/>
      <c r="P915" s="179"/>
      <c r="Q915" s="179"/>
      <c r="R915" s="179"/>
      <c r="S915" s="179"/>
      <c r="T915" s="179"/>
      <c r="U915" s="179"/>
      <c r="V915" s="179"/>
      <c r="W915" s="179"/>
    </row>
    <row r="916" spans="1:23">
      <c r="A916" s="179"/>
      <c r="B916" s="179"/>
      <c r="C916" s="179"/>
      <c r="D916" s="179"/>
      <c r="E916" s="179"/>
      <c r="F916" s="179"/>
      <c r="G916" s="179"/>
      <c r="H916" s="179"/>
      <c r="I916" s="179"/>
      <c r="J916" s="179"/>
      <c r="K916" s="179"/>
      <c r="L916" s="179"/>
      <c r="M916" s="179"/>
      <c r="N916" s="179"/>
      <c r="O916" s="179"/>
      <c r="P916" s="179"/>
      <c r="Q916" s="179"/>
      <c r="R916" s="179"/>
      <c r="S916" s="179"/>
      <c r="T916" s="179"/>
      <c r="U916" s="179"/>
      <c r="V916" s="179"/>
      <c r="W916" s="179"/>
    </row>
    <row r="917" spans="1:23">
      <c r="A917" s="179"/>
      <c r="B917" s="179"/>
      <c r="C917" s="179"/>
      <c r="D917" s="179"/>
      <c r="E917" s="179"/>
      <c r="F917" s="179"/>
      <c r="G917" s="179"/>
      <c r="H917" s="179"/>
      <c r="I917" s="179"/>
      <c r="J917" s="179"/>
      <c r="K917" s="179"/>
      <c r="L917" s="179"/>
      <c r="M917" s="179"/>
      <c r="N917" s="179"/>
      <c r="O917" s="179"/>
      <c r="P917" s="179"/>
      <c r="Q917" s="179"/>
      <c r="R917" s="179"/>
      <c r="S917" s="179"/>
      <c r="T917" s="179"/>
      <c r="U917" s="179"/>
      <c r="V917" s="179"/>
      <c r="W917" s="179"/>
    </row>
    <row r="918" spans="1:23">
      <c r="A918" s="179"/>
      <c r="B918" s="179"/>
      <c r="C918" s="179"/>
      <c r="D918" s="179"/>
      <c r="E918" s="179"/>
      <c r="F918" s="179"/>
      <c r="G918" s="179"/>
      <c r="H918" s="179"/>
      <c r="I918" s="179"/>
      <c r="J918" s="179"/>
      <c r="K918" s="179"/>
      <c r="L918" s="179"/>
      <c r="M918" s="179"/>
      <c r="N918" s="179"/>
      <c r="O918" s="179"/>
      <c r="P918" s="179"/>
      <c r="Q918" s="179"/>
      <c r="R918" s="179"/>
      <c r="S918" s="179"/>
      <c r="T918" s="179"/>
      <c r="U918" s="179"/>
      <c r="V918" s="179"/>
      <c r="W918" s="179"/>
    </row>
    <row r="919" spans="1:23">
      <c r="A919" s="179"/>
      <c r="B919" s="179"/>
      <c r="C919" s="179"/>
      <c r="D919" s="179"/>
      <c r="E919" s="179"/>
      <c r="F919" s="179"/>
      <c r="G919" s="179"/>
      <c r="H919" s="179"/>
      <c r="I919" s="179"/>
      <c r="J919" s="179"/>
      <c r="K919" s="179"/>
      <c r="L919" s="179"/>
      <c r="M919" s="179"/>
      <c r="N919" s="179"/>
      <c r="O919" s="179"/>
      <c r="P919" s="179"/>
      <c r="Q919" s="179"/>
      <c r="R919" s="179"/>
      <c r="S919" s="179"/>
      <c r="T919" s="179"/>
      <c r="U919" s="179"/>
      <c r="V919" s="179"/>
      <c r="W919" s="179"/>
    </row>
    <row r="920" spans="1:23">
      <c r="A920" s="179"/>
      <c r="B920" s="179"/>
      <c r="C920" s="179"/>
      <c r="D920" s="179"/>
      <c r="E920" s="179"/>
      <c r="F920" s="179"/>
      <c r="G920" s="179"/>
      <c r="H920" s="179"/>
      <c r="I920" s="179"/>
      <c r="J920" s="179"/>
      <c r="K920" s="179"/>
      <c r="L920" s="179"/>
      <c r="M920" s="179"/>
      <c r="N920" s="179"/>
      <c r="O920" s="179"/>
      <c r="P920" s="179"/>
      <c r="Q920" s="179"/>
      <c r="R920" s="179"/>
      <c r="S920" s="179"/>
      <c r="T920" s="179"/>
      <c r="U920" s="179"/>
      <c r="V920" s="179"/>
      <c r="W920" s="179"/>
    </row>
    <row r="921" spans="1:23">
      <c r="A921" s="179"/>
      <c r="B921" s="179"/>
      <c r="C921" s="179"/>
      <c r="D921" s="179"/>
      <c r="E921" s="179"/>
      <c r="F921" s="179"/>
      <c r="G921" s="179"/>
      <c r="H921" s="179"/>
      <c r="I921" s="179"/>
      <c r="J921" s="179"/>
      <c r="K921" s="179"/>
      <c r="L921" s="179"/>
      <c r="M921" s="179"/>
      <c r="N921" s="179"/>
      <c r="O921" s="179"/>
      <c r="P921" s="179"/>
      <c r="Q921" s="179"/>
      <c r="R921" s="179"/>
      <c r="S921" s="179"/>
      <c r="T921" s="179"/>
      <c r="U921" s="179"/>
      <c r="V921" s="179"/>
      <c r="W921" s="179"/>
    </row>
    <row r="922" spans="1:23">
      <c r="A922" s="179"/>
      <c r="B922" s="179"/>
      <c r="C922" s="179"/>
      <c r="D922" s="179"/>
      <c r="E922" s="179"/>
      <c r="F922" s="179"/>
      <c r="G922" s="179"/>
      <c r="H922" s="179"/>
      <c r="I922" s="179"/>
      <c r="J922" s="179"/>
      <c r="K922" s="179"/>
      <c r="L922" s="179"/>
      <c r="M922" s="179"/>
      <c r="N922" s="179"/>
      <c r="O922" s="179"/>
      <c r="P922" s="179"/>
      <c r="Q922" s="179"/>
      <c r="R922" s="179"/>
      <c r="S922" s="179"/>
      <c r="T922" s="179"/>
      <c r="U922" s="179"/>
      <c r="V922" s="179"/>
      <c r="W922" s="179"/>
    </row>
    <row r="923" spans="1:23">
      <c r="A923" s="179"/>
      <c r="B923" s="179"/>
      <c r="C923" s="179"/>
      <c r="D923" s="179"/>
      <c r="E923" s="179"/>
      <c r="F923" s="179"/>
      <c r="G923" s="179"/>
      <c r="H923" s="179"/>
      <c r="I923" s="179"/>
      <c r="J923" s="179"/>
      <c r="K923" s="179"/>
      <c r="L923" s="179"/>
      <c r="M923" s="179"/>
      <c r="N923" s="179"/>
      <c r="O923" s="179"/>
      <c r="P923" s="179"/>
      <c r="Q923" s="179"/>
      <c r="R923" s="179"/>
      <c r="S923" s="179"/>
      <c r="T923" s="179"/>
      <c r="U923" s="179"/>
      <c r="V923" s="179"/>
      <c r="W923" s="179"/>
    </row>
    <row r="924" spans="1:23">
      <c r="A924" s="179"/>
      <c r="B924" s="179"/>
      <c r="C924" s="179"/>
      <c r="D924" s="179"/>
      <c r="E924" s="179"/>
      <c r="F924" s="179"/>
      <c r="G924" s="179"/>
      <c r="H924" s="179"/>
      <c r="I924" s="179"/>
      <c r="J924" s="179"/>
      <c r="K924" s="179"/>
      <c r="L924" s="179"/>
      <c r="M924" s="179"/>
      <c r="N924" s="179"/>
      <c r="O924" s="179"/>
      <c r="P924" s="179"/>
      <c r="Q924" s="179"/>
      <c r="R924" s="179"/>
      <c r="S924" s="179"/>
      <c r="T924" s="179"/>
      <c r="U924" s="179"/>
      <c r="V924" s="179"/>
      <c r="W924" s="179"/>
    </row>
    <row r="925" spans="1:23">
      <c r="A925" s="179"/>
      <c r="B925" s="179"/>
      <c r="C925" s="179"/>
      <c r="D925" s="179"/>
      <c r="E925" s="179"/>
      <c r="F925" s="179"/>
      <c r="G925" s="179"/>
      <c r="H925" s="179"/>
      <c r="I925" s="179"/>
      <c r="J925" s="179"/>
      <c r="K925" s="179"/>
      <c r="L925" s="179"/>
      <c r="M925" s="179"/>
      <c r="N925" s="179"/>
      <c r="O925" s="179"/>
      <c r="P925" s="179"/>
      <c r="Q925" s="179"/>
      <c r="R925" s="179"/>
      <c r="S925" s="179"/>
      <c r="T925" s="179"/>
      <c r="U925" s="179"/>
      <c r="V925" s="179"/>
      <c r="W925" s="179"/>
    </row>
    <row r="926" spans="1:23">
      <c r="A926" s="179"/>
      <c r="B926" s="179"/>
      <c r="C926" s="179"/>
      <c r="D926" s="179"/>
      <c r="E926" s="179"/>
      <c r="F926" s="179"/>
      <c r="G926" s="179"/>
      <c r="H926" s="179"/>
      <c r="I926" s="179"/>
      <c r="J926" s="179"/>
      <c r="K926" s="179"/>
      <c r="L926" s="179"/>
      <c r="M926" s="179"/>
      <c r="N926" s="179"/>
      <c r="O926" s="179"/>
      <c r="P926" s="179"/>
      <c r="Q926" s="179"/>
      <c r="R926" s="179"/>
      <c r="S926" s="179"/>
      <c r="T926" s="179"/>
      <c r="U926" s="179"/>
      <c r="V926" s="179"/>
      <c r="W926" s="179"/>
    </row>
    <row r="927" spans="1:23">
      <c r="A927" s="179"/>
      <c r="B927" s="179"/>
      <c r="C927" s="179"/>
      <c r="D927" s="179"/>
      <c r="E927" s="179"/>
      <c r="F927" s="179"/>
      <c r="G927" s="179"/>
      <c r="H927" s="179"/>
      <c r="I927" s="179"/>
      <c r="J927" s="179"/>
      <c r="K927" s="179"/>
      <c r="L927" s="179"/>
      <c r="M927" s="179"/>
      <c r="N927" s="179"/>
      <c r="O927" s="179"/>
      <c r="P927" s="179"/>
      <c r="Q927" s="179"/>
      <c r="R927" s="179"/>
      <c r="S927" s="179"/>
      <c r="T927" s="179"/>
      <c r="U927" s="179"/>
      <c r="V927" s="179"/>
      <c r="W927" s="179"/>
    </row>
    <row r="928" spans="1:23">
      <c r="A928" s="179"/>
      <c r="B928" s="179"/>
      <c r="C928" s="179"/>
      <c r="D928" s="179"/>
      <c r="E928" s="179"/>
      <c r="F928" s="179"/>
      <c r="G928" s="179"/>
      <c r="H928" s="179"/>
      <c r="I928" s="179"/>
      <c r="J928" s="179"/>
      <c r="K928" s="179"/>
      <c r="L928" s="179"/>
      <c r="M928" s="179"/>
      <c r="N928" s="179"/>
      <c r="O928" s="179"/>
      <c r="P928" s="179"/>
      <c r="Q928" s="179"/>
      <c r="R928" s="179"/>
      <c r="S928" s="179"/>
      <c r="T928" s="179"/>
      <c r="U928" s="179"/>
      <c r="V928" s="179"/>
      <c r="W928" s="179"/>
    </row>
    <row r="929" spans="1:23">
      <c r="A929" s="179"/>
      <c r="B929" s="179"/>
      <c r="C929" s="179"/>
      <c r="D929" s="179"/>
      <c r="E929" s="179"/>
      <c r="F929" s="179"/>
      <c r="G929" s="179"/>
      <c r="H929" s="179"/>
      <c r="I929" s="179"/>
      <c r="J929" s="179"/>
      <c r="K929" s="179"/>
      <c r="L929" s="179"/>
      <c r="M929" s="179"/>
      <c r="N929" s="179"/>
      <c r="O929" s="179"/>
      <c r="P929" s="179"/>
      <c r="Q929" s="179"/>
      <c r="R929" s="179"/>
      <c r="S929" s="179"/>
      <c r="T929" s="179"/>
      <c r="U929" s="179"/>
      <c r="V929" s="179"/>
      <c r="W929" s="179"/>
    </row>
    <row r="930" spans="1:23">
      <c r="A930" s="179"/>
      <c r="B930" s="179"/>
      <c r="C930" s="179"/>
      <c r="D930" s="179"/>
      <c r="E930" s="179"/>
      <c r="F930" s="179"/>
      <c r="G930" s="179"/>
      <c r="H930" s="179"/>
      <c r="I930" s="179"/>
      <c r="J930" s="179"/>
      <c r="K930" s="179"/>
      <c r="L930" s="179"/>
      <c r="M930" s="179"/>
      <c r="N930" s="179"/>
      <c r="O930" s="179"/>
      <c r="P930" s="179"/>
      <c r="Q930" s="179"/>
      <c r="R930" s="179"/>
      <c r="S930" s="179"/>
      <c r="T930" s="179"/>
      <c r="U930" s="179"/>
      <c r="V930" s="179"/>
      <c r="W930" s="179"/>
    </row>
    <row r="931" spans="1:23">
      <c r="A931" s="179"/>
      <c r="B931" s="179"/>
      <c r="C931" s="179"/>
      <c r="D931" s="179"/>
      <c r="E931" s="179"/>
      <c r="F931" s="179"/>
      <c r="G931" s="179"/>
      <c r="H931" s="179"/>
      <c r="I931" s="179"/>
      <c r="J931" s="179"/>
      <c r="K931" s="179"/>
      <c r="L931" s="179"/>
      <c r="M931" s="179"/>
      <c r="N931" s="179"/>
      <c r="O931" s="179"/>
      <c r="P931" s="179"/>
      <c r="Q931" s="179"/>
      <c r="R931" s="179"/>
      <c r="S931" s="179"/>
      <c r="T931" s="179"/>
      <c r="U931" s="179"/>
      <c r="V931" s="179"/>
      <c r="W931" s="179"/>
    </row>
    <row r="932" spans="1:23">
      <c r="A932" s="179"/>
      <c r="B932" s="179"/>
      <c r="C932" s="179"/>
      <c r="D932" s="179"/>
      <c r="E932" s="179"/>
      <c r="F932" s="179"/>
      <c r="G932" s="179"/>
      <c r="H932" s="179"/>
      <c r="I932" s="179"/>
      <c r="J932" s="179"/>
      <c r="K932" s="179"/>
      <c r="L932" s="179"/>
      <c r="M932" s="179"/>
      <c r="N932" s="179"/>
      <c r="O932" s="179"/>
      <c r="P932" s="179"/>
      <c r="Q932" s="179"/>
      <c r="R932" s="179"/>
      <c r="S932" s="179"/>
      <c r="T932" s="179"/>
      <c r="U932" s="179"/>
      <c r="V932" s="179"/>
      <c r="W932" s="179"/>
    </row>
    <row r="933" spans="1:23">
      <c r="A933" s="179"/>
      <c r="B933" s="179"/>
      <c r="C933" s="179"/>
      <c r="D933" s="179"/>
      <c r="E933" s="179"/>
      <c r="F933" s="179"/>
      <c r="G933" s="179"/>
      <c r="H933" s="179"/>
      <c r="I933" s="179"/>
      <c r="J933" s="179"/>
      <c r="K933" s="179"/>
      <c r="L933" s="179"/>
      <c r="M933" s="179"/>
      <c r="N933" s="179"/>
      <c r="O933" s="179"/>
      <c r="P933" s="179"/>
      <c r="Q933" s="179"/>
      <c r="R933" s="179"/>
      <c r="S933" s="179"/>
      <c r="T933" s="179"/>
      <c r="U933" s="179"/>
      <c r="V933" s="179"/>
      <c r="W933" s="179"/>
    </row>
    <row r="934" spans="1:23">
      <c r="A934" s="179"/>
      <c r="B934" s="179"/>
      <c r="C934" s="179"/>
      <c r="D934" s="179"/>
      <c r="E934" s="179"/>
      <c r="F934" s="179"/>
      <c r="G934" s="179"/>
      <c r="H934" s="179"/>
      <c r="I934" s="179"/>
      <c r="J934" s="179"/>
      <c r="K934" s="179"/>
      <c r="L934" s="179"/>
      <c r="M934" s="179"/>
      <c r="N934" s="179"/>
      <c r="O934" s="179"/>
      <c r="P934" s="179"/>
      <c r="Q934" s="179"/>
      <c r="R934" s="179"/>
      <c r="S934" s="179"/>
      <c r="T934" s="179"/>
      <c r="U934" s="179"/>
      <c r="V934" s="179"/>
      <c r="W934" s="179"/>
    </row>
    <row r="935" spans="1:23">
      <c r="A935" s="179"/>
      <c r="B935" s="179"/>
      <c r="C935" s="179"/>
      <c r="D935" s="179"/>
      <c r="E935" s="179"/>
      <c r="F935" s="179"/>
      <c r="G935" s="179"/>
      <c r="H935" s="179"/>
      <c r="I935" s="179"/>
      <c r="J935" s="179"/>
      <c r="K935" s="179"/>
      <c r="L935" s="179"/>
      <c r="M935" s="179"/>
      <c r="N935" s="179"/>
      <c r="O935" s="179"/>
      <c r="P935" s="179"/>
      <c r="Q935" s="179"/>
      <c r="R935" s="179"/>
      <c r="S935" s="179"/>
      <c r="T935" s="179"/>
      <c r="U935" s="179"/>
      <c r="V935" s="179"/>
      <c r="W935" s="179"/>
    </row>
    <row r="936" spans="1:23">
      <c r="A936" s="179"/>
      <c r="B936" s="179"/>
      <c r="C936" s="179"/>
      <c r="D936" s="179"/>
      <c r="E936" s="179"/>
      <c r="F936" s="179"/>
      <c r="G936" s="179"/>
      <c r="H936" s="179"/>
      <c r="I936" s="179"/>
      <c r="J936" s="179"/>
      <c r="K936" s="179"/>
      <c r="L936" s="179"/>
      <c r="M936" s="179"/>
      <c r="N936" s="179"/>
      <c r="O936" s="179"/>
      <c r="P936" s="179"/>
      <c r="Q936" s="179"/>
      <c r="R936" s="179"/>
      <c r="S936" s="179"/>
      <c r="T936" s="179"/>
      <c r="U936" s="179"/>
      <c r="V936" s="179"/>
      <c r="W936" s="179"/>
    </row>
    <row r="937" spans="1:23">
      <c r="A937" s="179"/>
      <c r="B937" s="179"/>
      <c r="C937" s="179"/>
      <c r="D937" s="179"/>
      <c r="E937" s="179"/>
      <c r="F937" s="179"/>
      <c r="G937" s="179"/>
      <c r="H937" s="179"/>
      <c r="I937" s="179"/>
      <c r="J937" s="179"/>
      <c r="K937" s="179"/>
      <c r="L937" s="179"/>
      <c r="M937" s="179"/>
      <c r="N937" s="179"/>
      <c r="O937" s="179"/>
      <c r="P937" s="179"/>
      <c r="Q937" s="179"/>
      <c r="R937" s="179"/>
      <c r="S937" s="179"/>
      <c r="T937" s="179"/>
      <c r="U937" s="179"/>
      <c r="V937" s="179"/>
      <c r="W937" s="179"/>
    </row>
    <row r="938" spans="1:23">
      <c r="A938" s="179"/>
      <c r="B938" s="179"/>
      <c r="C938" s="179"/>
      <c r="D938" s="179"/>
      <c r="E938" s="179"/>
      <c r="F938" s="179"/>
      <c r="G938" s="179"/>
      <c r="H938" s="179"/>
      <c r="I938" s="179"/>
      <c r="J938" s="179"/>
      <c r="K938" s="179"/>
      <c r="L938" s="179"/>
      <c r="M938" s="179"/>
      <c r="N938" s="179"/>
      <c r="O938" s="179"/>
      <c r="P938" s="179"/>
      <c r="Q938" s="179"/>
      <c r="R938" s="179"/>
      <c r="S938" s="179"/>
      <c r="T938" s="179"/>
      <c r="U938" s="179"/>
      <c r="V938" s="179"/>
      <c r="W938" s="179"/>
    </row>
    <row r="939" spans="1:23">
      <c r="A939" s="179"/>
      <c r="B939" s="179"/>
      <c r="C939" s="179"/>
      <c r="D939" s="179"/>
      <c r="E939" s="179"/>
      <c r="F939" s="179"/>
      <c r="G939" s="179"/>
      <c r="H939" s="179"/>
      <c r="I939" s="179"/>
      <c r="J939" s="179"/>
      <c r="K939" s="179"/>
      <c r="L939" s="179"/>
      <c r="M939" s="179"/>
      <c r="N939" s="179"/>
      <c r="O939" s="179"/>
      <c r="P939" s="179"/>
      <c r="Q939" s="179"/>
      <c r="R939" s="179"/>
      <c r="S939" s="179"/>
      <c r="T939" s="179"/>
      <c r="U939" s="179"/>
      <c r="V939" s="179"/>
      <c r="W939" s="179"/>
    </row>
    <row r="940" spans="1:23">
      <c r="A940" s="179"/>
      <c r="B940" s="179"/>
      <c r="C940" s="179"/>
      <c r="D940" s="179"/>
      <c r="E940" s="179"/>
      <c r="F940" s="179"/>
      <c r="G940" s="179"/>
      <c r="H940" s="179"/>
      <c r="I940" s="179"/>
      <c r="J940" s="179"/>
      <c r="K940" s="179"/>
      <c r="L940" s="179"/>
      <c r="M940" s="179"/>
      <c r="N940" s="179"/>
      <c r="O940" s="179"/>
      <c r="P940" s="179"/>
      <c r="Q940" s="179"/>
      <c r="R940" s="179"/>
      <c r="S940" s="179"/>
      <c r="T940" s="179"/>
      <c r="U940" s="179"/>
      <c r="V940" s="179"/>
      <c r="W940" s="179"/>
    </row>
    <row r="941" spans="1:23">
      <c r="A941" s="179"/>
      <c r="B941" s="179"/>
      <c r="C941" s="179"/>
      <c r="D941" s="179"/>
      <c r="E941" s="179"/>
      <c r="F941" s="179"/>
      <c r="G941" s="179"/>
      <c r="H941" s="179"/>
      <c r="I941" s="179"/>
      <c r="J941" s="179"/>
      <c r="K941" s="179"/>
      <c r="L941" s="179"/>
      <c r="M941" s="179"/>
      <c r="N941" s="179"/>
      <c r="O941" s="179"/>
      <c r="P941" s="179"/>
      <c r="Q941" s="179"/>
      <c r="R941" s="179"/>
      <c r="S941" s="179"/>
      <c r="T941" s="179"/>
      <c r="U941" s="179"/>
      <c r="V941" s="179"/>
      <c r="W941" s="179"/>
    </row>
    <row r="942" spans="1:23">
      <c r="A942" s="179"/>
      <c r="B942" s="179"/>
      <c r="C942" s="179"/>
      <c r="D942" s="179"/>
      <c r="E942" s="179"/>
      <c r="F942" s="179"/>
      <c r="G942" s="179"/>
      <c r="H942" s="179"/>
      <c r="I942" s="179"/>
      <c r="J942" s="179"/>
      <c r="K942" s="179"/>
      <c r="L942" s="179"/>
      <c r="M942" s="179"/>
      <c r="N942" s="179"/>
      <c r="O942" s="179"/>
      <c r="P942" s="179"/>
      <c r="Q942" s="179"/>
      <c r="R942" s="179"/>
      <c r="S942" s="179"/>
      <c r="T942" s="179"/>
      <c r="U942" s="179"/>
      <c r="V942" s="179"/>
      <c r="W942" s="179"/>
    </row>
    <row r="943" spans="1:23">
      <c r="A943" s="179"/>
      <c r="B943" s="179"/>
      <c r="C943" s="179"/>
      <c r="D943" s="179"/>
      <c r="E943" s="179"/>
      <c r="F943" s="179"/>
      <c r="G943" s="179"/>
      <c r="H943" s="179"/>
      <c r="I943" s="179"/>
      <c r="J943" s="179"/>
      <c r="K943" s="179"/>
      <c r="L943" s="179"/>
      <c r="M943" s="179"/>
      <c r="N943" s="179"/>
      <c r="O943" s="179"/>
      <c r="P943" s="179"/>
      <c r="Q943" s="179"/>
      <c r="R943" s="179"/>
      <c r="S943" s="179"/>
      <c r="T943" s="179"/>
      <c r="U943" s="179"/>
      <c r="V943" s="179"/>
      <c r="W943" s="179"/>
    </row>
    <row r="944" spans="1:23">
      <c r="A944" s="179"/>
      <c r="B944" s="179"/>
      <c r="C944" s="179"/>
      <c r="D944" s="179"/>
      <c r="E944" s="179"/>
      <c r="F944" s="179"/>
      <c r="G944" s="179"/>
      <c r="H944" s="179"/>
      <c r="I944" s="179"/>
      <c r="J944" s="179"/>
      <c r="K944" s="179"/>
      <c r="L944" s="179"/>
      <c r="M944" s="179"/>
      <c r="N944" s="179"/>
      <c r="O944" s="179"/>
      <c r="P944" s="179"/>
      <c r="Q944" s="179"/>
      <c r="R944" s="179"/>
      <c r="S944" s="179"/>
      <c r="T944" s="179"/>
      <c r="U944" s="179"/>
      <c r="V944" s="179"/>
      <c r="W944" s="179"/>
    </row>
    <row r="945" spans="1:23">
      <c r="A945" s="179"/>
      <c r="B945" s="179"/>
      <c r="C945" s="179"/>
      <c r="D945" s="179"/>
      <c r="E945" s="179"/>
      <c r="F945" s="179"/>
      <c r="G945" s="179"/>
      <c r="H945" s="179"/>
      <c r="I945" s="179"/>
      <c r="J945" s="179"/>
      <c r="K945" s="179"/>
      <c r="L945" s="179"/>
      <c r="M945" s="179"/>
      <c r="N945" s="179"/>
      <c r="O945" s="179"/>
      <c r="P945" s="179"/>
      <c r="Q945" s="179"/>
      <c r="R945" s="179"/>
      <c r="S945" s="179"/>
      <c r="T945" s="179"/>
      <c r="U945" s="179"/>
      <c r="V945" s="179"/>
      <c r="W945" s="179"/>
    </row>
    <row r="946" spans="1:23">
      <c r="A946" s="179"/>
      <c r="B946" s="179"/>
      <c r="C946" s="179"/>
      <c r="D946" s="179"/>
      <c r="E946" s="179"/>
      <c r="F946" s="179"/>
      <c r="G946" s="179"/>
      <c r="H946" s="179"/>
      <c r="I946" s="179"/>
      <c r="J946" s="179"/>
      <c r="K946" s="179"/>
      <c r="L946" s="179"/>
      <c r="M946" s="179"/>
      <c r="N946" s="179"/>
      <c r="O946" s="179"/>
      <c r="P946" s="179"/>
      <c r="Q946" s="179"/>
      <c r="R946" s="179"/>
      <c r="S946" s="179"/>
      <c r="T946" s="179"/>
      <c r="U946" s="179"/>
      <c r="V946" s="179"/>
      <c r="W946" s="179"/>
    </row>
    <row r="947" spans="1:23">
      <c r="A947" s="179"/>
      <c r="B947" s="179"/>
      <c r="C947" s="179"/>
      <c r="D947" s="179"/>
      <c r="E947" s="179"/>
      <c r="F947" s="179"/>
      <c r="G947" s="179"/>
      <c r="H947" s="179"/>
      <c r="I947" s="179"/>
      <c r="J947" s="179"/>
      <c r="K947" s="179"/>
      <c r="L947" s="179"/>
      <c r="M947" s="179"/>
      <c r="N947" s="179"/>
      <c r="O947" s="179"/>
      <c r="P947" s="179"/>
      <c r="Q947" s="179"/>
      <c r="R947" s="179"/>
      <c r="S947" s="179"/>
      <c r="T947" s="179"/>
      <c r="U947" s="179"/>
      <c r="V947" s="179"/>
      <c r="W947" s="179"/>
    </row>
    <row r="948" spans="1:23">
      <c r="A948" s="179"/>
      <c r="B948" s="179"/>
      <c r="C948" s="179"/>
      <c r="D948" s="179"/>
      <c r="E948" s="179"/>
      <c r="F948" s="179"/>
      <c r="G948" s="179"/>
      <c r="H948" s="179"/>
      <c r="I948" s="179"/>
      <c r="J948" s="179"/>
      <c r="K948" s="179"/>
      <c r="L948" s="179"/>
      <c r="M948" s="179"/>
      <c r="N948" s="179"/>
      <c r="O948" s="179"/>
      <c r="P948" s="179"/>
      <c r="Q948" s="179"/>
      <c r="R948" s="179"/>
      <c r="S948" s="179"/>
      <c r="T948" s="179"/>
      <c r="U948" s="179"/>
      <c r="V948" s="179"/>
      <c r="W948" s="179"/>
    </row>
    <row r="949" spans="1:23">
      <c r="A949" s="179"/>
      <c r="B949" s="179"/>
      <c r="C949" s="179"/>
      <c r="D949" s="179"/>
      <c r="E949" s="179"/>
      <c r="F949" s="179"/>
      <c r="G949" s="179"/>
      <c r="H949" s="179"/>
      <c r="I949" s="179"/>
      <c r="J949" s="179"/>
      <c r="K949" s="179"/>
      <c r="L949" s="179"/>
      <c r="M949" s="179"/>
      <c r="N949" s="179"/>
      <c r="O949" s="179"/>
      <c r="P949" s="179"/>
      <c r="Q949" s="179"/>
      <c r="R949" s="179"/>
      <c r="S949" s="179"/>
      <c r="T949" s="179"/>
      <c r="U949" s="179"/>
      <c r="V949" s="179"/>
      <c r="W949" s="179"/>
    </row>
    <row r="950" spans="1:23">
      <c r="A950" s="179"/>
      <c r="B950" s="179"/>
      <c r="C950" s="179"/>
      <c r="D950" s="179"/>
      <c r="E950" s="179"/>
      <c r="F950" s="179"/>
      <c r="G950" s="179"/>
      <c r="H950" s="179"/>
      <c r="I950" s="179"/>
      <c r="J950" s="179"/>
      <c r="K950" s="179"/>
      <c r="L950" s="179"/>
      <c r="M950" s="179"/>
      <c r="N950" s="179"/>
      <c r="O950" s="179"/>
      <c r="P950" s="179"/>
      <c r="Q950" s="179"/>
      <c r="R950" s="179"/>
      <c r="S950" s="179"/>
      <c r="T950" s="179"/>
      <c r="U950" s="179"/>
      <c r="V950" s="179"/>
      <c r="W950" s="179"/>
    </row>
    <row r="951" spans="1:23">
      <c r="A951" s="179"/>
      <c r="B951" s="179"/>
      <c r="C951" s="179"/>
      <c r="D951" s="179"/>
      <c r="E951" s="179"/>
      <c r="F951" s="179"/>
      <c r="G951" s="179"/>
      <c r="H951" s="179"/>
      <c r="I951" s="179"/>
      <c r="J951" s="179"/>
      <c r="K951" s="179"/>
      <c r="L951" s="179"/>
      <c r="M951" s="179"/>
      <c r="N951" s="179"/>
      <c r="O951" s="179"/>
      <c r="P951" s="179"/>
      <c r="Q951" s="179"/>
      <c r="R951" s="179"/>
      <c r="S951" s="179"/>
      <c r="T951" s="179"/>
      <c r="U951" s="179"/>
      <c r="V951" s="179"/>
      <c r="W951" s="179"/>
    </row>
    <row r="952" spans="1:23">
      <c r="A952" s="179"/>
      <c r="B952" s="179"/>
      <c r="C952" s="179"/>
      <c r="D952" s="179"/>
      <c r="E952" s="179"/>
      <c r="F952" s="179"/>
      <c r="G952" s="179"/>
      <c r="H952" s="179"/>
      <c r="I952" s="179"/>
      <c r="J952" s="179"/>
      <c r="K952" s="179"/>
      <c r="L952" s="179"/>
      <c r="M952" s="179"/>
      <c r="N952" s="179"/>
      <c r="O952" s="179"/>
      <c r="P952" s="179"/>
      <c r="Q952" s="179"/>
      <c r="R952" s="179"/>
      <c r="S952" s="179"/>
      <c r="T952" s="179"/>
      <c r="U952" s="179"/>
      <c r="V952" s="179"/>
      <c r="W952" s="179"/>
    </row>
    <row r="953" spans="1:23">
      <c r="A953" s="179"/>
      <c r="B953" s="179"/>
      <c r="C953" s="179"/>
      <c r="D953" s="179"/>
      <c r="E953" s="179"/>
      <c r="F953" s="179"/>
      <c r="G953" s="179"/>
      <c r="H953" s="179"/>
      <c r="I953" s="179"/>
      <c r="J953" s="179"/>
      <c r="K953" s="179"/>
      <c r="L953" s="179"/>
      <c r="M953" s="179"/>
      <c r="N953" s="179"/>
      <c r="O953" s="179"/>
      <c r="P953" s="179"/>
      <c r="Q953" s="179"/>
      <c r="R953" s="179"/>
      <c r="S953" s="179"/>
      <c r="T953" s="179"/>
      <c r="U953" s="179"/>
      <c r="V953" s="179"/>
      <c r="W953" s="179"/>
    </row>
    <row r="954" spans="1:23">
      <c r="A954" s="179"/>
      <c r="B954" s="179"/>
      <c r="C954" s="179"/>
      <c r="D954" s="179"/>
      <c r="E954" s="179"/>
      <c r="F954" s="179"/>
      <c r="G954" s="179"/>
      <c r="H954" s="179"/>
      <c r="I954" s="179"/>
      <c r="J954" s="179"/>
      <c r="K954" s="179"/>
      <c r="L954" s="179"/>
      <c r="M954" s="179"/>
      <c r="N954" s="179"/>
      <c r="O954" s="179"/>
      <c r="P954" s="179"/>
      <c r="Q954" s="179"/>
      <c r="R954" s="179"/>
      <c r="S954" s="179"/>
      <c r="T954" s="179"/>
      <c r="U954" s="179"/>
      <c r="V954" s="179"/>
      <c r="W954" s="179"/>
    </row>
    <row r="955" spans="1:23">
      <c r="A955" s="179"/>
      <c r="B955" s="179"/>
      <c r="C955" s="179"/>
      <c r="D955" s="179"/>
      <c r="E955" s="179"/>
      <c r="F955" s="179"/>
      <c r="G955" s="179"/>
      <c r="H955" s="179"/>
      <c r="I955" s="179"/>
      <c r="J955" s="179"/>
      <c r="K955" s="179"/>
      <c r="L955" s="179"/>
      <c r="M955" s="179"/>
      <c r="N955" s="179"/>
      <c r="O955" s="179"/>
      <c r="P955" s="179"/>
      <c r="Q955" s="179"/>
      <c r="R955" s="179"/>
      <c r="S955" s="179"/>
      <c r="T955" s="179"/>
      <c r="U955" s="179"/>
      <c r="V955" s="179"/>
      <c r="W955" s="179"/>
    </row>
    <row r="956" spans="1:23">
      <c r="A956" s="179"/>
      <c r="B956" s="179"/>
      <c r="C956" s="179"/>
      <c r="D956" s="179"/>
      <c r="E956" s="179"/>
      <c r="F956" s="179"/>
      <c r="G956" s="179"/>
      <c r="H956" s="179"/>
      <c r="I956" s="179"/>
      <c r="J956" s="179"/>
      <c r="K956" s="179"/>
      <c r="L956" s="179"/>
      <c r="M956" s="179"/>
      <c r="N956" s="179"/>
      <c r="O956" s="179"/>
      <c r="P956" s="179"/>
      <c r="Q956" s="179"/>
      <c r="R956" s="179"/>
      <c r="S956" s="179"/>
      <c r="T956" s="179"/>
      <c r="U956" s="179"/>
      <c r="V956" s="179"/>
      <c r="W956" s="179"/>
    </row>
    <row r="957" spans="1:23">
      <c r="A957" s="179"/>
      <c r="B957" s="179"/>
      <c r="C957" s="179"/>
      <c r="D957" s="179"/>
      <c r="E957" s="179"/>
      <c r="F957" s="179"/>
      <c r="G957" s="179"/>
      <c r="H957" s="179"/>
      <c r="I957" s="179"/>
      <c r="J957" s="179"/>
      <c r="K957" s="179"/>
      <c r="L957" s="179"/>
      <c r="M957" s="179"/>
      <c r="N957" s="179"/>
      <c r="O957" s="179"/>
      <c r="P957" s="179"/>
      <c r="Q957" s="179"/>
      <c r="R957" s="179"/>
      <c r="S957" s="179"/>
      <c r="T957" s="179"/>
      <c r="U957" s="179"/>
      <c r="V957" s="179"/>
      <c r="W957" s="179"/>
    </row>
    <row r="958" spans="1:23">
      <c r="A958" s="179"/>
      <c r="B958" s="179"/>
      <c r="C958" s="179"/>
      <c r="D958" s="179"/>
      <c r="E958" s="179"/>
      <c r="F958" s="179"/>
      <c r="G958" s="179"/>
      <c r="H958" s="179"/>
      <c r="I958" s="179"/>
      <c r="J958" s="179"/>
      <c r="K958" s="179"/>
      <c r="L958" s="179"/>
      <c r="M958" s="179"/>
      <c r="N958" s="179"/>
      <c r="O958" s="179"/>
      <c r="P958" s="179"/>
      <c r="Q958" s="179"/>
      <c r="R958" s="179"/>
      <c r="S958" s="179"/>
      <c r="T958" s="179"/>
      <c r="U958" s="179"/>
      <c r="V958" s="179"/>
      <c r="W958" s="179"/>
    </row>
    <row r="959" spans="1:23">
      <c r="A959" s="179"/>
      <c r="B959" s="179"/>
      <c r="C959" s="179"/>
      <c r="D959" s="179"/>
      <c r="E959" s="179"/>
      <c r="F959" s="179"/>
      <c r="G959" s="179"/>
      <c r="H959" s="179"/>
      <c r="I959" s="179"/>
      <c r="J959" s="179"/>
      <c r="K959" s="179"/>
      <c r="L959" s="179"/>
      <c r="M959" s="179"/>
      <c r="N959" s="179"/>
      <c r="O959" s="179"/>
      <c r="P959" s="179"/>
      <c r="Q959" s="179"/>
      <c r="R959" s="179"/>
      <c r="S959" s="179"/>
      <c r="T959" s="179"/>
      <c r="U959" s="179"/>
      <c r="V959" s="179"/>
      <c r="W959" s="179"/>
    </row>
    <row r="960" spans="1:23">
      <c r="A960" s="179"/>
      <c r="B960" s="179"/>
      <c r="C960" s="179"/>
      <c r="D960" s="179"/>
      <c r="E960" s="179"/>
      <c r="F960" s="179"/>
      <c r="G960" s="179"/>
      <c r="H960" s="179"/>
      <c r="I960" s="179"/>
      <c r="J960" s="179"/>
      <c r="K960" s="179"/>
      <c r="L960" s="179"/>
      <c r="M960" s="179"/>
      <c r="N960" s="179"/>
      <c r="O960" s="179"/>
      <c r="P960" s="179"/>
      <c r="Q960" s="179"/>
      <c r="R960" s="179"/>
      <c r="S960" s="179"/>
      <c r="T960" s="179"/>
      <c r="U960" s="179"/>
      <c r="V960" s="179"/>
      <c r="W960" s="179"/>
    </row>
    <row r="961" spans="1:23">
      <c r="A961" s="179"/>
      <c r="B961" s="179"/>
      <c r="C961" s="179"/>
      <c r="D961" s="179"/>
      <c r="E961" s="179"/>
      <c r="F961" s="179"/>
      <c r="G961" s="179"/>
      <c r="H961" s="179"/>
      <c r="I961" s="179"/>
      <c r="J961" s="179"/>
      <c r="K961" s="179"/>
      <c r="L961" s="179"/>
      <c r="M961" s="179"/>
      <c r="N961" s="179"/>
      <c r="O961" s="179"/>
      <c r="P961" s="179"/>
      <c r="Q961" s="179"/>
      <c r="R961" s="179"/>
      <c r="S961" s="179"/>
      <c r="T961" s="179"/>
      <c r="U961" s="179"/>
      <c r="V961" s="179"/>
      <c r="W961" s="179"/>
    </row>
    <row r="962" spans="1:23">
      <c r="A962" s="179"/>
      <c r="B962" s="179"/>
      <c r="C962" s="179"/>
      <c r="D962" s="179"/>
      <c r="E962" s="179"/>
      <c r="F962" s="179"/>
      <c r="G962" s="179"/>
      <c r="H962" s="179"/>
      <c r="I962" s="179"/>
      <c r="J962" s="179"/>
      <c r="K962" s="179"/>
      <c r="L962" s="179"/>
      <c r="M962" s="179"/>
      <c r="N962" s="179"/>
      <c r="O962" s="179"/>
      <c r="P962" s="179"/>
      <c r="Q962" s="179"/>
      <c r="R962" s="179"/>
      <c r="S962" s="179"/>
      <c r="T962" s="179"/>
      <c r="U962" s="179"/>
      <c r="V962" s="179"/>
      <c r="W962" s="179"/>
    </row>
    <row r="963" spans="1:23">
      <c r="A963" s="179"/>
      <c r="B963" s="179"/>
      <c r="C963" s="179"/>
      <c r="D963" s="179"/>
      <c r="E963" s="179"/>
      <c r="F963" s="179"/>
      <c r="G963" s="179"/>
      <c r="H963" s="179"/>
      <c r="I963" s="179"/>
      <c r="J963" s="179"/>
      <c r="K963" s="179"/>
      <c r="L963" s="179"/>
      <c r="M963" s="179"/>
      <c r="N963" s="179"/>
      <c r="O963" s="179"/>
      <c r="P963" s="179"/>
      <c r="Q963" s="179"/>
      <c r="R963" s="179"/>
      <c r="S963" s="179"/>
      <c r="T963" s="179"/>
      <c r="U963" s="179"/>
      <c r="V963" s="179"/>
      <c r="W963" s="179"/>
    </row>
    <row r="964" spans="1:23">
      <c r="A964" s="179"/>
      <c r="B964" s="179"/>
      <c r="C964" s="179"/>
      <c r="D964" s="179"/>
      <c r="E964" s="179"/>
      <c r="F964" s="179"/>
      <c r="G964" s="179"/>
      <c r="H964" s="179"/>
      <c r="I964" s="179"/>
      <c r="J964" s="179"/>
      <c r="K964" s="179"/>
      <c r="L964" s="179"/>
      <c r="M964" s="179"/>
      <c r="N964" s="179"/>
      <c r="O964" s="179"/>
      <c r="P964" s="179"/>
      <c r="Q964" s="179"/>
      <c r="R964" s="179"/>
      <c r="S964" s="179"/>
      <c r="T964" s="179"/>
      <c r="U964" s="179"/>
      <c r="V964" s="179"/>
      <c r="W964" s="179"/>
    </row>
    <row r="965" spans="1:23">
      <c r="A965" s="179"/>
      <c r="B965" s="179"/>
      <c r="C965" s="179"/>
      <c r="D965" s="179"/>
      <c r="E965" s="179"/>
      <c r="F965" s="179"/>
      <c r="G965" s="179"/>
      <c r="H965" s="179"/>
      <c r="I965" s="179"/>
      <c r="J965" s="179"/>
      <c r="K965" s="179"/>
      <c r="L965" s="179"/>
      <c r="M965" s="179"/>
      <c r="N965" s="179"/>
      <c r="O965" s="179"/>
      <c r="P965" s="179"/>
      <c r="Q965" s="179"/>
      <c r="R965" s="179"/>
      <c r="S965" s="179"/>
      <c r="T965" s="179"/>
      <c r="U965" s="179"/>
      <c r="V965" s="179"/>
      <c r="W965" s="179"/>
    </row>
    <row r="966" spans="1:23">
      <c r="A966" s="179"/>
      <c r="B966" s="179"/>
      <c r="C966" s="179"/>
      <c r="D966" s="179"/>
      <c r="E966" s="179"/>
      <c r="F966" s="179"/>
      <c r="G966" s="179"/>
      <c r="H966" s="179"/>
      <c r="I966" s="179"/>
      <c r="J966" s="179"/>
      <c r="K966" s="179"/>
      <c r="L966" s="179"/>
      <c r="M966" s="179"/>
      <c r="N966" s="179"/>
      <c r="O966" s="179"/>
      <c r="P966" s="179"/>
      <c r="Q966" s="179"/>
      <c r="R966" s="179"/>
      <c r="S966" s="179"/>
      <c r="T966" s="179"/>
      <c r="U966" s="179"/>
      <c r="V966" s="179"/>
      <c r="W966" s="179"/>
    </row>
    <row r="967" spans="1:23">
      <c r="A967" s="179"/>
      <c r="B967" s="179"/>
      <c r="C967" s="179"/>
      <c r="D967" s="179"/>
      <c r="E967" s="179"/>
      <c r="F967" s="179"/>
      <c r="G967" s="179"/>
      <c r="H967" s="179"/>
      <c r="I967" s="179"/>
      <c r="J967" s="179"/>
      <c r="K967" s="179"/>
      <c r="L967" s="179"/>
      <c r="M967" s="179"/>
      <c r="N967" s="179"/>
      <c r="O967" s="179"/>
      <c r="P967" s="179"/>
      <c r="Q967" s="179"/>
      <c r="R967" s="179"/>
      <c r="S967" s="179"/>
      <c r="T967" s="179"/>
      <c r="U967" s="179"/>
      <c r="V967" s="179"/>
      <c r="W967" s="179"/>
    </row>
    <row r="968" spans="1:23">
      <c r="A968" s="179"/>
      <c r="B968" s="179"/>
      <c r="C968" s="179"/>
      <c r="D968" s="179"/>
      <c r="E968" s="179"/>
      <c r="F968" s="179"/>
      <c r="G968" s="179"/>
      <c r="H968" s="179"/>
      <c r="I968" s="179"/>
      <c r="J968" s="179"/>
      <c r="K968" s="179"/>
      <c r="L968" s="179"/>
      <c r="M968" s="179"/>
      <c r="N968" s="179"/>
      <c r="O968" s="179"/>
      <c r="P968" s="179"/>
      <c r="Q968" s="179"/>
      <c r="R968" s="179"/>
      <c r="S968" s="179"/>
      <c r="T968" s="179"/>
      <c r="U968" s="179"/>
      <c r="V968" s="179"/>
      <c r="W968" s="179"/>
    </row>
    <row r="969" spans="1:23">
      <c r="A969" s="179"/>
      <c r="B969" s="179"/>
      <c r="C969" s="179"/>
      <c r="D969" s="179"/>
      <c r="E969" s="179"/>
      <c r="F969" s="179"/>
      <c r="G969" s="179"/>
      <c r="H969" s="179"/>
      <c r="I969" s="179"/>
      <c r="J969" s="179"/>
      <c r="K969" s="179"/>
      <c r="L969" s="179"/>
      <c r="M969" s="179"/>
      <c r="N969" s="179"/>
      <c r="O969" s="179"/>
      <c r="P969" s="179"/>
      <c r="Q969" s="179"/>
      <c r="R969" s="179"/>
      <c r="S969" s="179"/>
      <c r="T969" s="179"/>
      <c r="U969" s="179"/>
      <c r="V969" s="179"/>
      <c r="W969" s="179"/>
    </row>
    <row r="970" spans="1:23">
      <c r="A970" s="179"/>
      <c r="B970" s="179"/>
      <c r="C970" s="179"/>
      <c r="D970" s="179"/>
      <c r="E970" s="179"/>
      <c r="F970" s="179"/>
      <c r="G970" s="179"/>
      <c r="H970" s="179"/>
      <c r="I970" s="179"/>
      <c r="J970" s="179"/>
      <c r="K970" s="179"/>
      <c r="L970" s="179"/>
      <c r="M970" s="179"/>
      <c r="N970" s="179"/>
      <c r="O970" s="179"/>
      <c r="P970" s="179"/>
      <c r="Q970" s="179"/>
      <c r="R970" s="179"/>
      <c r="S970" s="179"/>
      <c r="T970" s="179"/>
      <c r="U970" s="179"/>
      <c r="V970" s="179"/>
      <c r="W970" s="179"/>
    </row>
    <row r="971" spans="1:23">
      <c r="A971" s="179"/>
      <c r="B971" s="179"/>
      <c r="C971" s="179"/>
      <c r="D971" s="179"/>
      <c r="E971" s="179"/>
      <c r="F971" s="179"/>
      <c r="G971" s="179"/>
      <c r="H971" s="179"/>
      <c r="I971" s="179"/>
      <c r="J971" s="179"/>
      <c r="K971" s="179"/>
      <c r="L971" s="179"/>
      <c r="M971" s="179"/>
      <c r="N971" s="179"/>
      <c r="O971" s="179"/>
      <c r="P971" s="179"/>
      <c r="Q971" s="179"/>
      <c r="R971" s="179"/>
      <c r="S971" s="179"/>
      <c r="T971" s="179"/>
      <c r="U971" s="179"/>
      <c r="V971" s="179"/>
      <c r="W971" s="179"/>
    </row>
    <row r="972" spans="1:23">
      <c r="A972" s="179"/>
      <c r="B972" s="179"/>
      <c r="C972" s="179"/>
      <c r="D972" s="179"/>
      <c r="E972" s="179"/>
      <c r="F972" s="179"/>
      <c r="G972" s="179"/>
      <c r="H972" s="179"/>
      <c r="I972" s="179"/>
      <c r="J972" s="179"/>
      <c r="K972" s="179"/>
      <c r="L972" s="179"/>
      <c r="M972" s="179"/>
      <c r="N972" s="179"/>
      <c r="O972" s="179"/>
      <c r="P972" s="179"/>
      <c r="Q972" s="179"/>
      <c r="R972" s="179"/>
      <c r="S972" s="179"/>
      <c r="T972" s="179"/>
      <c r="U972" s="179"/>
      <c r="V972" s="179"/>
      <c r="W972" s="179"/>
    </row>
    <row r="973" spans="1:23">
      <c r="A973" s="179"/>
      <c r="B973" s="179"/>
      <c r="C973" s="179"/>
      <c r="D973" s="179"/>
      <c r="E973" s="179"/>
      <c r="F973" s="179"/>
      <c r="G973" s="179"/>
      <c r="H973" s="179"/>
      <c r="I973" s="179"/>
      <c r="J973" s="179"/>
      <c r="K973" s="179"/>
      <c r="L973" s="179"/>
      <c r="M973" s="179"/>
      <c r="N973" s="179"/>
      <c r="O973" s="179"/>
      <c r="P973" s="179"/>
      <c r="Q973" s="179"/>
      <c r="R973" s="179"/>
      <c r="S973" s="179"/>
      <c r="T973" s="179"/>
      <c r="U973" s="179"/>
      <c r="V973" s="179"/>
      <c r="W973" s="179"/>
    </row>
    <row r="974" spans="1:23">
      <c r="A974" s="179"/>
      <c r="B974" s="179"/>
      <c r="C974" s="179"/>
      <c r="D974" s="179"/>
      <c r="E974" s="179"/>
      <c r="F974" s="179"/>
      <c r="G974" s="179"/>
      <c r="H974" s="179"/>
      <c r="I974" s="179"/>
      <c r="J974" s="179"/>
      <c r="K974" s="179"/>
      <c r="L974" s="179"/>
      <c r="M974" s="179"/>
      <c r="N974" s="179"/>
      <c r="O974" s="179"/>
      <c r="P974" s="179"/>
      <c r="Q974" s="179"/>
      <c r="R974" s="179"/>
      <c r="S974" s="179"/>
      <c r="T974" s="179"/>
      <c r="U974" s="179"/>
      <c r="V974" s="179"/>
      <c r="W974" s="179"/>
    </row>
    <row r="975" spans="1:23">
      <c r="A975" s="179"/>
      <c r="B975" s="179"/>
      <c r="C975" s="179"/>
      <c r="D975" s="179"/>
      <c r="E975" s="179"/>
      <c r="F975" s="179"/>
      <c r="G975" s="179"/>
      <c r="H975" s="179"/>
      <c r="I975" s="179"/>
      <c r="J975" s="179"/>
      <c r="K975" s="179"/>
      <c r="L975" s="179"/>
      <c r="M975" s="179"/>
      <c r="N975" s="179"/>
      <c r="O975" s="179"/>
      <c r="P975" s="179"/>
      <c r="Q975" s="179"/>
      <c r="R975" s="179"/>
      <c r="S975" s="179"/>
      <c r="T975" s="179"/>
      <c r="U975" s="179"/>
      <c r="V975" s="179"/>
      <c r="W975" s="179"/>
    </row>
    <row r="976" spans="1:23">
      <c r="A976" s="179"/>
      <c r="B976" s="179"/>
      <c r="C976" s="179"/>
      <c r="D976" s="179"/>
      <c r="E976" s="179"/>
      <c r="F976" s="179"/>
      <c r="G976" s="179"/>
      <c r="H976" s="179"/>
      <c r="I976" s="179"/>
      <c r="J976" s="179"/>
      <c r="K976" s="179"/>
      <c r="L976" s="179"/>
      <c r="M976" s="179"/>
      <c r="N976" s="179"/>
      <c r="O976" s="179"/>
      <c r="P976" s="179"/>
      <c r="Q976" s="179"/>
      <c r="R976" s="179"/>
      <c r="S976" s="179"/>
      <c r="T976" s="179"/>
      <c r="U976" s="179"/>
      <c r="V976" s="179"/>
      <c r="W976" s="179"/>
    </row>
    <row r="977" spans="1:23">
      <c r="A977" s="179"/>
      <c r="B977" s="179"/>
      <c r="C977" s="179"/>
      <c r="D977" s="179"/>
      <c r="E977" s="179"/>
      <c r="F977" s="179"/>
      <c r="G977" s="179"/>
      <c r="H977" s="179"/>
      <c r="I977" s="179"/>
      <c r="J977" s="179"/>
      <c r="K977" s="179"/>
      <c r="L977" s="179"/>
      <c r="M977" s="179"/>
      <c r="N977" s="179"/>
      <c r="O977" s="179"/>
      <c r="P977" s="179"/>
      <c r="Q977" s="179"/>
      <c r="R977" s="179"/>
      <c r="S977" s="179"/>
      <c r="T977" s="179"/>
      <c r="U977" s="179"/>
      <c r="V977" s="179"/>
      <c r="W977" s="179"/>
    </row>
    <row r="978" spans="1:23">
      <c r="A978" s="179"/>
      <c r="B978" s="179"/>
      <c r="C978" s="179"/>
      <c r="D978" s="179"/>
      <c r="E978" s="179"/>
      <c r="F978" s="179"/>
      <c r="G978" s="179"/>
      <c r="H978" s="179"/>
      <c r="I978" s="179"/>
      <c r="J978" s="179"/>
      <c r="K978" s="179"/>
      <c r="L978" s="179"/>
      <c r="M978" s="179"/>
      <c r="N978" s="179"/>
      <c r="O978" s="179"/>
      <c r="P978" s="179"/>
      <c r="Q978" s="179"/>
      <c r="R978" s="179"/>
      <c r="S978" s="179"/>
      <c r="T978" s="179"/>
      <c r="U978" s="179"/>
      <c r="V978" s="179"/>
      <c r="W978" s="179"/>
    </row>
    <row r="979" spans="1:23">
      <c r="A979" s="179"/>
      <c r="B979" s="179"/>
      <c r="C979" s="179"/>
      <c r="D979" s="179"/>
      <c r="E979" s="179"/>
      <c r="F979" s="179"/>
      <c r="G979" s="179"/>
      <c r="H979" s="179"/>
      <c r="I979" s="179"/>
      <c r="J979" s="179"/>
      <c r="K979" s="179"/>
      <c r="L979" s="179"/>
      <c r="M979" s="179"/>
      <c r="N979" s="179"/>
      <c r="O979" s="179"/>
      <c r="P979" s="179"/>
      <c r="Q979" s="179"/>
      <c r="R979" s="179"/>
      <c r="S979" s="179"/>
      <c r="T979" s="179"/>
      <c r="U979" s="179"/>
      <c r="V979" s="179"/>
      <c r="W979" s="179"/>
    </row>
    <row r="980" spans="1:23">
      <c r="A980" s="179"/>
      <c r="B980" s="179"/>
      <c r="C980" s="179"/>
      <c r="D980" s="179"/>
      <c r="E980" s="179"/>
      <c r="F980" s="179"/>
      <c r="G980" s="179"/>
      <c r="H980" s="179"/>
      <c r="I980" s="179"/>
      <c r="J980" s="179"/>
      <c r="K980" s="179"/>
      <c r="L980" s="179"/>
      <c r="M980" s="179"/>
      <c r="N980" s="179"/>
      <c r="O980" s="179"/>
      <c r="P980" s="179"/>
      <c r="Q980" s="179"/>
      <c r="R980" s="179"/>
      <c r="S980" s="179"/>
      <c r="T980" s="179"/>
      <c r="U980" s="179"/>
      <c r="V980" s="179"/>
      <c r="W980" s="179"/>
    </row>
    <row r="981" spans="1:23">
      <c r="A981" s="179"/>
      <c r="B981" s="179"/>
      <c r="C981" s="179"/>
      <c r="D981" s="179"/>
      <c r="E981" s="179"/>
      <c r="F981" s="179"/>
      <c r="G981" s="179"/>
      <c r="H981" s="179"/>
      <c r="I981" s="179"/>
      <c r="J981" s="179"/>
      <c r="K981" s="179"/>
      <c r="L981" s="179"/>
      <c r="M981" s="179"/>
      <c r="N981" s="179"/>
      <c r="O981" s="179"/>
      <c r="P981" s="179"/>
      <c r="Q981" s="179"/>
      <c r="R981" s="179"/>
      <c r="S981" s="179"/>
      <c r="T981" s="179"/>
      <c r="U981" s="179"/>
      <c r="V981" s="179"/>
      <c r="W981" s="179"/>
    </row>
    <row r="982" spans="1:23">
      <c r="A982" s="179"/>
      <c r="B982" s="179"/>
      <c r="C982" s="179"/>
      <c r="D982" s="179"/>
      <c r="E982" s="179"/>
      <c r="F982" s="179"/>
      <c r="G982" s="179"/>
      <c r="H982" s="179"/>
      <c r="I982" s="179"/>
      <c r="J982" s="179"/>
      <c r="K982" s="179"/>
      <c r="L982" s="179"/>
      <c r="M982" s="179"/>
      <c r="N982" s="179"/>
      <c r="O982" s="179"/>
      <c r="P982" s="179"/>
      <c r="Q982" s="179"/>
      <c r="R982" s="179"/>
      <c r="S982" s="179"/>
      <c r="T982" s="179"/>
      <c r="U982" s="179"/>
      <c r="V982" s="179"/>
      <c r="W982" s="179"/>
    </row>
    <row r="983" spans="1:23">
      <c r="A983" s="179"/>
      <c r="B983" s="179"/>
      <c r="C983" s="179"/>
      <c r="D983" s="179"/>
      <c r="E983" s="179"/>
      <c r="F983" s="179"/>
      <c r="G983" s="179"/>
      <c r="H983" s="179"/>
      <c r="I983" s="179"/>
      <c r="J983" s="179"/>
      <c r="K983" s="179"/>
      <c r="L983" s="179"/>
      <c r="M983" s="179"/>
      <c r="N983" s="179"/>
      <c r="O983" s="179"/>
      <c r="P983" s="179"/>
      <c r="Q983" s="179"/>
      <c r="R983" s="179"/>
      <c r="S983" s="179"/>
      <c r="T983" s="179"/>
      <c r="U983" s="179"/>
      <c r="V983" s="179"/>
      <c r="W983" s="179"/>
    </row>
    <row r="984" spans="1:23">
      <c r="A984" s="179"/>
      <c r="B984" s="179"/>
      <c r="C984" s="179"/>
      <c r="D984" s="179"/>
      <c r="E984" s="179"/>
      <c r="F984" s="179"/>
      <c r="G984" s="179"/>
      <c r="H984" s="179"/>
      <c r="I984" s="179"/>
      <c r="J984" s="179"/>
      <c r="K984" s="179"/>
      <c r="L984" s="179"/>
      <c r="M984" s="179"/>
      <c r="N984" s="179"/>
      <c r="O984" s="179"/>
      <c r="P984" s="179"/>
      <c r="Q984" s="179"/>
      <c r="R984" s="179"/>
      <c r="S984" s="179"/>
      <c r="T984" s="179"/>
      <c r="U984" s="179"/>
      <c r="V984" s="179"/>
      <c r="W984" s="179"/>
    </row>
    <row r="985" spans="1:23">
      <c r="A985" s="179"/>
      <c r="B985" s="179"/>
      <c r="C985" s="179"/>
      <c r="D985" s="179"/>
      <c r="E985" s="179"/>
      <c r="F985" s="179"/>
      <c r="G985" s="179"/>
      <c r="H985" s="179"/>
      <c r="I985" s="179"/>
      <c r="J985" s="179"/>
      <c r="K985" s="179"/>
      <c r="L985" s="179"/>
      <c r="M985" s="179"/>
      <c r="N985" s="179"/>
      <c r="O985" s="179"/>
      <c r="P985" s="179"/>
      <c r="Q985" s="179"/>
      <c r="R985" s="179"/>
      <c r="S985" s="179"/>
      <c r="T985" s="179"/>
      <c r="U985" s="179"/>
      <c r="V985" s="179"/>
      <c r="W985" s="179"/>
    </row>
    <row r="986" spans="1:23">
      <c r="A986" s="179"/>
      <c r="B986" s="179"/>
      <c r="C986" s="179"/>
      <c r="D986" s="179"/>
      <c r="E986" s="179"/>
      <c r="F986" s="179"/>
      <c r="G986" s="179"/>
      <c r="H986" s="179"/>
      <c r="I986" s="179"/>
      <c r="J986" s="179"/>
      <c r="K986" s="179"/>
      <c r="L986" s="179"/>
      <c r="M986" s="179"/>
      <c r="N986" s="179"/>
      <c r="O986" s="179"/>
      <c r="P986" s="179"/>
      <c r="Q986" s="179"/>
      <c r="R986" s="179"/>
      <c r="S986" s="179"/>
      <c r="T986" s="179"/>
      <c r="U986" s="179"/>
      <c r="V986" s="179"/>
      <c r="W986" s="179"/>
    </row>
    <row r="987" spans="1:23">
      <c r="A987" s="179"/>
      <c r="B987" s="179"/>
      <c r="C987" s="179"/>
      <c r="D987" s="179"/>
      <c r="E987" s="179"/>
      <c r="F987" s="179"/>
      <c r="G987" s="179"/>
      <c r="H987" s="179"/>
      <c r="I987" s="179"/>
      <c r="J987" s="179"/>
      <c r="K987" s="179"/>
      <c r="L987" s="179"/>
      <c r="M987" s="179"/>
      <c r="N987" s="179"/>
      <c r="O987" s="179"/>
      <c r="P987" s="179"/>
      <c r="Q987" s="179"/>
      <c r="R987" s="179"/>
      <c r="S987" s="179"/>
      <c r="T987" s="179"/>
      <c r="U987" s="179"/>
      <c r="V987" s="179"/>
      <c r="W987" s="179"/>
    </row>
    <row r="988" spans="1:23">
      <c r="A988" s="179"/>
      <c r="B988" s="179"/>
      <c r="C988" s="179"/>
      <c r="D988" s="179"/>
      <c r="E988" s="179"/>
      <c r="F988" s="179"/>
      <c r="G988" s="179"/>
      <c r="H988" s="179"/>
      <c r="I988" s="179"/>
      <c r="J988" s="179"/>
      <c r="K988" s="179"/>
      <c r="L988" s="179"/>
      <c r="M988" s="179"/>
      <c r="N988" s="179"/>
      <c r="O988" s="179"/>
      <c r="P988" s="179"/>
      <c r="Q988" s="179"/>
      <c r="R988" s="179"/>
      <c r="S988" s="179"/>
      <c r="T988" s="179"/>
      <c r="U988" s="179"/>
      <c r="V988" s="179"/>
      <c r="W988" s="179"/>
    </row>
    <row r="989" spans="1:23">
      <c r="A989" s="179"/>
      <c r="B989" s="179"/>
      <c r="C989" s="179"/>
      <c r="D989" s="179"/>
      <c r="E989" s="179"/>
      <c r="F989" s="179"/>
      <c r="G989" s="179"/>
      <c r="H989" s="179"/>
      <c r="I989" s="179"/>
      <c r="J989" s="179"/>
      <c r="K989" s="179"/>
      <c r="L989" s="179"/>
      <c r="M989" s="179"/>
      <c r="N989" s="179"/>
      <c r="O989" s="179"/>
      <c r="P989" s="179"/>
      <c r="Q989" s="179"/>
      <c r="R989" s="179"/>
      <c r="S989" s="179"/>
      <c r="T989" s="179"/>
      <c r="U989" s="179"/>
      <c r="V989" s="179"/>
      <c r="W989" s="179"/>
    </row>
    <row r="990" spans="1:23">
      <c r="A990" s="179"/>
      <c r="B990" s="179"/>
      <c r="C990" s="179"/>
      <c r="D990" s="179"/>
      <c r="E990" s="179"/>
      <c r="F990" s="179"/>
      <c r="G990" s="179"/>
      <c r="H990" s="179"/>
      <c r="I990" s="179"/>
      <c r="J990" s="179"/>
      <c r="K990" s="179"/>
      <c r="L990" s="179"/>
      <c r="M990" s="179"/>
      <c r="N990" s="179"/>
      <c r="O990" s="179"/>
      <c r="P990" s="179"/>
      <c r="Q990" s="179"/>
      <c r="R990" s="179"/>
      <c r="S990" s="179"/>
      <c r="T990" s="179"/>
      <c r="U990" s="179"/>
      <c r="V990" s="179"/>
      <c r="W990" s="179"/>
    </row>
    <row r="991" spans="1:23">
      <c r="A991" s="179"/>
      <c r="B991" s="179"/>
      <c r="C991" s="179"/>
      <c r="D991" s="179"/>
      <c r="E991" s="179"/>
      <c r="F991" s="179"/>
      <c r="G991" s="179"/>
      <c r="H991" s="179"/>
      <c r="I991" s="179"/>
      <c r="J991" s="179"/>
      <c r="K991" s="179"/>
      <c r="L991" s="179"/>
      <c r="M991" s="179"/>
      <c r="N991" s="179"/>
      <c r="O991" s="179"/>
      <c r="P991" s="179"/>
      <c r="Q991" s="179"/>
      <c r="R991" s="179"/>
      <c r="S991" s="179"/>
      <c r="T991" s="179"/>
      <c r="U991" s="179"/>
      <c r="V991" s="179"/>
      <c r="W991" s="179"/>
    </row>
    <row r="992" spans="1:23">
      <c r="A992" s="179"/>
      <c r="B992" s="179"/>
      <c r="C992" s="179"/>
      <c r="D992" s="179"/>
      <c r="E992" s="179"/>
      <c r="F992" s="179"/>
      <c r="G992" s="179"/>
      <c r="H992" s="179"/>
      <c r="I992" s="179"/>
      <c r="J992" s="179"/>
      <c r="K992" s="179"/>
      <c r="L992" s="179"/>
      <c r="M992" s="179"/>
      <c r="N992" s="179"/>
      <c r="O992" s="179"/>
      <c r="P992" s="179"/>
      <c r="Q992" s="179"/>
      <c r="R992" s="179"/>
      <c r="S992" s="179"/>
      <c r="T992" s="179"/>
      <c r="U992" s="179"/>
      <c r="V992" s="179"/>
      <c r="W992" s="179"/>
    </row>
    <row r="993" spans="1:23">
      <c r="A993" s="179"/>
      <c r="B993" s="179"/>
      <c r="C993" s="179"/>
      <c r="D993" s="179"/>
      <c r="E993" s="179"/>
      <c r="F993" s="179"/>
      <c r="G993" s="179"/>
      <c r="H993" s="179"/>
      <c r="I993" s="179"/>
      <c r="J993" s="179"/>
      <c r="K993" s="179"/>
      <c r="L993" s="179"/>
      <c r="M993" s="179"/>
      <c r="N993" s="179"/>
      <c r="O993" s="179"/>
      <c r="P993" s="179"/>
      <c r="Q993" s="179"/>
      <c r="R993" s="179"/>
      <c r="S993" s="179"/>
      <c r="T993" s="179"/>
      <c r="U993" s="179"/>
      <c r="V993" s="179"/>
      <c r="W993" s="179"/>
    </row>
    <row r="994" spans="1:23">
      <c r="A994" s="179"/>
      <c r="B994" s="179"/>
      <c r="C994" s="179"/>
      <c r="D994" s="179"/>
      <c r="E994" s="179"/>
      <c r="F994" s="179"/>
      <c r="G994" s="179"/>
      <c r="H994" s="179"/>
      <c r="I994" s="179"/>
      <c r="J994" s="179"/>
      <c r="K994" s="179"/>
      <c r="L994" s="179"/>
      <c r="M994" s="179"/>
      <c r="N994" s="179"/>
      <c r="O994" s="179"/>
      <c r="P994" s="179"/>
      <c r="Q994" s="179"/>
      <c r="R994" s="179"/>
      <c r="S994" s="179"/>
      <c r="T994" s="179"/>
      <c r="U994" s="179"/>
      <c r="V994" s="179"/>
      <c r="W994" s="179"/>
    </row>
    <row r="995" spans="1:23">
      <c r="A995" s="179"/>
      <c r="B995" s="179"/>
      <c r="C995" s="179"/>
      <c r="D995" s="179"/>
      <c r="E995" s="179"/>
      <c r="F995" s="179"/>
      <c r="G995" s="179"/>
      <c r="H995" s="179"/>
      <c r="I995" s="179"/>
      <c r="J995" s="179"/>
      <c r="K995" s="179"/>
      <c r="L995" s="179"/>
      <c r="M995" s="179"/>
      <c r="N995" s="179"/>
      <c r="O995" s="179"/>
      <c r="P995" s="179"/>
      <c r="Q995" s="179"/>
      <c r="R995" s="179"/>
      <c r="S995" s="179"/>
      <c r="T995" s="179"/>
      <c r="U995" s="179"/>
      <c r="V995" s="179"/>
      <c r="W995" s="179"/>
    </row>
    <row r="996" spans="1:23">
      <c r="A996" s="179"/>
      <c r="B996" s="179"/>
      <c r="C996" s="179"/>
      <c r="D996" s="179"/>
      <c r="E996" s="179"/>
      <c r="F996" s="179"/>
      <c r="G996" s="179"/>
      <c r="H996" s="179"/>
      <c r="I996" s="179"/>
      <c r="J996" s="179"/>
      <c r="K996" s="179"/>
      <c r="L996" s="179"/>
      <c r="M996" s="179"/>
      <c r="N996" s="179"/>
      <c r="O996" s="179"/>
      <c r="P996" s="179"/>
      <c r="Q996" s="179"/>
      <c r="R996" s="179"/>
      <c r="S996" s="179"/>
      <c r="T996" s="179"/>
      <c r="U996" s="179"/>
      <c r="V996" s="179"/>
      <c r="W996" s="179"/>
    </row>
    <row r="997" spans="1:23">
      <c r="A997" s="179"/>
      <c r="B997" s="179"/>
      <c r="C997" s="179"/>
      <c r="D997" s="179"/>
      <c r="E997" s="179"/>
      <c r="F997" s="179"/>
      <c r="G997" s="179"/>
      <c r="H997" s="179"/>
      <c r="I997" s="179"/>
      <c r="J997" s="179"/>
      <c r="K997" s="179"/>
      <c r="L997" s="179"/>
      <c r="M997" s="179"/>
      <c r="N997" s="179"/>
      <c r="O997" s="179"/>
      <c r="P997" s="179"/>
      <c r="Q997" s="179"/>
      <c r="R997" s="179"/>
      <c r="S997" s="179"/>
      <c r="T997" s="179"/>
      <c r="U997" s="179"/>
      <c r="V997" s="179"/>
      <c r="W997" s="179"/>
    </row>
    <row r="998" spans="1:23">
      <c r="A998" s="179"/>
      <c r="B998" s="179"/>
      <c r="C998" s="179"/>
      <c r="D998" s="179"/>
      <c r="E998" s="179"/>
      <c r="F998" s="179"/>
      <c r="G998" s="179"/>
      <c r="H998" s="179"/>
      <c r="I998" s="179"/>
      <c r="J998" s="179"/>
      <c r="K998" s="179"/>
      <c r="L998" s="179"/>
      <c r="M998" s="179"/>
      <c r="N998" s="179"/>
      <c r="O998" s="179"/>
      <c r="P998" s="179"/>
      <c r="Q998" s="179"/>
      <c r="R998" s="179"/>
      <c r="S998" s="179"/>
      <c r="T998" s="179"/>
      <c r="U998" s="179"/>
      <c r="V998" s="179"/>
      <c r="W998" s="179"/>
    </row>
    <row r="999" spans="1:23">
      <c r="A999" s="179"/>
      <c r="B999" s="179"/>
      <c r="C999" s="179"/>
      <c r="D999" s="179"/>
      <c r="E999" s="179"/>
      <c r="F999" s="179"/>
      <c r="G999" s="179"/>
      <c r="H999" s="179"/>
      <c r="I999" s="179"/>
      <c r="J999" s="179"/>
      <c r="K999" s="179"/>
      <c r="L999" s="179"/>
      <c r="M999" s="179"/>
      <c r="N999" s="179"/>
      <c r="O999" s="179"/>
      <c r="P999" s="179"/>
      <c r="Q999" s="179"/>
      <c r="R999" s="179"/>
      <c r="S999" s="179"/>
      <c r="T999" s="179"/>
      <c r="U999" s="179"/>
      <c r="V999" s="179"/>
      <c r="W999" s="179"/>
    </row>
    <row r="1000" spans="1:23">
      <c r="A1000" s="179"/>
      <c r="B1000" s="179"/>
      <c r="C1000" s="179"/>
      <c r="D1000" s="179"/>
      <c r="E1000" s="179"/>
      <c r="F1000" s="179"/>
      <c r="G1000" s="179"/>
      <c r="H1000" s="179"/>
      <c r="I1000" s="179"/>
      <c r="J1000" s="179"/>
      <c r="K1000" s="179"/>
      <c r="L1000" s="179"/>
      <c r="M1000" s="179"/>
      <c r="N1000" s="179"/>
      <c r="O1000" s="179"/>
      <c r="P1000" s="179"/>
      <c r="Q1000" s="179"/>
      <c r="R1000" s="179"/>
      <c r="S1000" s="179"/>
      <c r="T1000" s="179"/>
      <c r="U1000" s="179"/>
      <c r="V1000" s="179"/>
      <c r="W1000" s="179"/>
    </row>
  </sheetData>
  <hyperlinks>
    <hyperlink ref="F6" r:id="rId1" display="http://spiky.ai/" xr:uid="{00000000-0004-0000-1100-000000000000}"/>
    <hyperlink ref="F11" r:id="rId2" display="http://steg.ai/" xr:uid="{00000000-0004-0000-1100-000001000000}"/>
    <hyperlink ref="F42" r:id="rId3" display="http://taiyo.ai/" xr:uid="{00000000-0004-0000-1100-000002000000}"/>
    <hyperlink ref="F153" r:id="rId4" display="http://delivers.ai/" xr:uid="{00000000-0004-0000-1100-000003000000}"/>
    <hyperlink ref="F180" r:id="rId5" display="http://icardio.ai/" xr:uid="{00000000-0004-0000-1100-000004000000}"/>
    <hyperlink ref="F205" r:id="rId6" display="http://pragyaa.ai/" xr:uid="{00000000-0004-0000-1100-000005000000}"/>
    <hyperlink ref="F214" r:id="rId7" display="http://predictnow.ai/" xr:uid="{00000000-0004-0000-1100-000006000000}"/>
    <hyperlink ref="F218" r:id="rId8" display="http://openpie.com/" xr:uid="{00000000-0004-0000-1100-000007000000}"/>
    <hyperlink ref="F287" r:id="rId9" display="http://blings.io/" xr:uid="{00000000-0004-0000-1100-000008000000}"/>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Z144"/>
  <sheetViews>
    <sheetView workbookViewId="0">
      <pane xSplit="3" ySplit="1" topLeftCell="D2" activePane="bottomRight" state="frozen"/>
      <selection pane="topRight" activeCell="D1" sqref="D1"/>
      <selection pane="bottomLeft" activeCell="A2" sqref="A2"/>
      <selection pane="bottomRight" activeCell="D2" sqref="D2"/>
    </sheetView>
  </sheetViews>
  <sheetFormatPr baseColWidth="10" defaultColWidth="14.5" defaultRowHeight="15" customHeight="1" outlineLevelCol="1"/>
  <cols>
    <col min="1" max="1" width="14.1640625" customWidth="1"/>
    <col min="2" max="2" width="31.1640625" customWidth="1"/>
    <col min="3" max="3" width="20.6640625" customWidth="1"/>
    <col min="4" max="4" width="60.6640625" customWidth="1"/>
    <col min="5" max="5" width="12.83203125" customWidth="1"/>
    <col min="6" max="6" width="14.5" customWidth="1"/>
    <col min="7" max="7" width="33.1640625" customWidth="1" outlineLevel="1"/>
    <col min="8" max="8" width="20.1640625" customWidth="1"/>
    <col min="9" max="9" width="31.1640625" customWidth="1"/>
    <col min="10" max="10" width="31.1640625" customWidth="1" outlineLevel="1"/>
    <col min="11" max="11" width="20.1640625" customWidth="1"/>
    <col min="12" max="12" width="21.6640625" customWidth="1"/>
    <col min="13" max="13" width="22.1640625" customWidth="1"/>
    <col min="14" max="14" width="22.5" customWidth="1"/>
    <col min="15" max="15" width="33.6640625" customWidth="1"/>
    <col min="16" max="17" width="31.1640625" customWidth="1"/>
    <col min="18" max="18" width="66.6640625" customWidth="1"/>
    <col min="19" max="21" width="31.1640625" hidden="1" customWidth="1"/>
    <col min="22" max="26" width="11.5" hidden="1" customWidth="1"/>
  </cols>
  <sheetData>
    <row r="1" spans="1:26" ht="34">
      <c r="A1" s="201" t="s">
        <v>419</v>
      </c>
      <c r="B1" s="201" t="s">
        <v>420</v>
      </c>
      <c r="C1" s="439" t="s">
        <v>424</v>
      </c>
      <c r="D1" s="201" t="s">
        <v>423</v>
      </c>
      <c r="E1" s="439" t="s">
        <v>39</v>
      </c>
      <c r="F1" s="201" t="s">
        <v>42</v>
      </c>
      <c r="G1" s="201" t="s">
        <v>426</v>
      </c>
      <c r="H1" s="201" t="s">
        <v>427</v>
      </c>
      <c r="I1" s="201" t="s">
        <v>43</v>
      </c>
      <c r="J1" s="201" t="s">
        <v>428</v>
      </c>
      <c r="K1" s="201" t="s">
        <v>429</v>
      </c>
      <c r="L1" s="201" t="s">
        <v>430</v>
      </c>
      <c r="M1" s="201" t="s">
        <v>431</v>
      </c>
      <c r="N1" s="201" t="s">
        <v>432</v>
      </c>
      <c r="O1" s="440" t="s">
        <v>433</v>
      </c>
      <c r="P1" s="441" t="s">
        <v>434</v>
      </c>
      <c r="Q1" s="439" t="s">
        <v>425</v>
      </c>
      <c r="R1" s="439" t="s">
        <v>435</v>
      </c>
      <c r="S1" s="442" t="s">
        <v>10170</v>
      </c>
      <c r="T1" s="442" t="s">
        <v>10171</v>
      </c>
      <c r="U1" s="442" t="s">
        <v>10172</v>
      </c>
      <c r="V1" s="443"/>
      <c r="W1" s="443"/>
      <c r="X1" s="443"/>
      <c r="Y1" s="443"/>
      <c r="Z1" s="443"/>
    </row>
    <row r="2" spans="1:26" ht="15.75" customHeight="1">
      <c r="A2" s="444">
        <v>44782</v>
      </c>
      <c r="B2" s="386" t="s">
        <v>285</v>
      </c>
      <c r="C2" s="386">
        <v>5</v>
      </c>
      <c r="D2" s="386" t="s">
        <v>1626</v>
      </c>
      <c r="E2" s="390" t="s">
        <v>3</v>
      </c>
      <c r="F2" s="386" t="s">
        <v>460</v>
      </c>
      <c r="G2" s="386" t="s">
        <v>10208</v>
      </c>
      <c r="H2" s="386">
        <v>5</v>
      </c>
      <c r="I2" s="386" t="s">
        <v>488</v>
      </c>
      <c r="J2" s="386"/>
      <c r="K2" s="386">
        <v>5</v>
      </c>
      <c r="L2" s="386"/>
      <c r="M2" s="386">
        <v>15000000</v>
      </c>
      <c r="N2" s="386" t="s">
        <v>452</v>
      </c>
      <c r="O2" s="386" t="s">
        <v>575</v>
      </c>
      <c r="P2" s="386"/>
      <c r="Q2" s="434" t="s">
        <v>18</v>
      </c>
      <c r="R2" s="445"/>
      <c r="S2" s="446"/>
      <c r="T2" s="446"/>
      <c r="U2" s="446"/>
      <c r="V2" s="386"/>
      <c r="W2" s="386"/>
      <c r="X2" s="386"/>
      <c r="Y2" s="386"/>
      <c r="Z2" s="386"/>
    </row>
    <row r="3" spans="1:26" ht="15.75" customHeight="1">
      <c r="A3" s="447">
        <v>44782</v>
      </c>
      <c r="B3" s="448" t="s">
        <v>327</v>
      </c>
      <c r="C3" s="448">
        <v>5</v>
      </c>
      <c r="D3" s="448" t="s">
        <v>1825</v>
      </c>
      <c r="E3" s="390" t="s">
        <v>3</v>
      </c>
      <c r="F3" s="448" t="s">
        <v>460</v>
      </c>
      <c r="G3" s="448" t="s">
        <v>1826</v>
      </c>
      <c r="H3" s="448">
        <v>5</v>
      </c>
      <c r="I3" s="448" t="s">
        <v>941</v>
      </c>
      <c r="J3" s="448"/>
      <c r="K3" s="448">
        <v>5</v>
      </c>
      <c r="L3" s="448" t="s">
        <v>478</v>
      </c>
      <c r="M3" s="448">
        <v>20000000</v>
      </c>
      <c r="N3" s="448" t="s">
        <v>465</v>
      </c>
      <c r="O3" s="448" t="s">
        <v>1827</v>
      </c>
      <c r="P3" s="448"/>
      <c r="Q3" s="448" t="s">
        <v>18</v>
      </c>
      <c r="R3" s="449"/>
      <c r="S3" s="446"/>
      <c r="T3" s="446"/>
      <c r="U3" s="446"/>
      <c r="V3" s="448"/>
      <c r="W3" s="448"/>
      <c r="X3" s="448"/>
      <c r="Y3" s="448"/>
      <c r="Z3" s="448"/>
    </row>
    <row r="4" spans="1:26" ht="15.75" customHeight="1">
      <c r="A4" s="450">
        <v>44782</v>
      </c>
      <c r="B4" s="451" t="s">
        <v>92</v>
      </c>
      <c r="C4" s="451">
        <v>5</v>
      </c>
      <c r="D4" s="451" t="s">
        <v>655</v>
      </c>
      <c r="E4" s="451" t="s">
        <v>5</v>
      </c>
      <c r="F4" s="451" t="s">
        <v>460</v>
      </c>
      <c r="G4" s="451" t="s">
        <v>656</v>
      </c>
      <c r="H4" s="451">
        <v>5</v>
      </c>
      <c r="I4" s="451" t="s">
        <v>462</v>
      </c>
      <c r="J4" s="451"/>
      <c r="K4" s="451">
        <v>5</v>
      </c>
      <c r="L4" s="451" t="s">
        <v>451</v>
      </c>
      <c r="M4" s="451">
        <v>3000000</v>
      </c>
      <c r="N4" s="451" t="s">
        <v>452</v>
      </c>
      <c r="O4" s="451" t="s">
        <v>10395</v>
      </c>
      <c r="P4" s="451"/>
      <c r="Q4" s="451" t="s">
        <v>18</v>
      </c>
      <c r="R4" s="452" t="s">
        <v>658</v>
      </c>
      <c r="S4" s="451"/>
      <c r="T4" s="451"/>
      <c r="U4" s="451"/>
      <c r="V4" s="451"/>
      <c r="W4" s="451"/>
      <c r="X4" s="451"/>
      <c r="Y4" s="451"/>
      <c r="Z4" s="451"/>
    </row>
    <row r="5" spans="1:26" ht="15.75" customHeight="1">
      <c r="A5" s="447">
        <v>44782</v>
      </c>
      <c r="B5" s="448" t="s">
        <v>298</v>
      </c>
      <c r="C5" s="448">
        <v>5</v>
      </c>
      <c r="D5" s="448" t="s">
        <v>1670</v>
      </c>
      <c r="E5" s="390" t="s">
        <v>3</v>
      </c>
      <c r="F5" s="448" t="s">
        <v>460</v>
      </c>
      <c r="G5" s="448" t="s">
        <v>10453</v>
      </c>
      <c r="H5" s="448">
        <v>5</v>
      </c>
      <c r="I5" s="448" t="s">
        <v>462</v>
      </c>
      <c r="J5" s="448"/>
      <c r="K5" s="448">
        <v>5</v>
      </c>
      <c r="L5" s="448" t="s">
        <v>451</v>
      </c>
      <c r="M5" s="448">
        <v>2000000</v>
      </c>
      <c r="N5" s="448" t="s">
        <v>452</v>
      </c>
      <c r="O5" s="448" t="s">
        <v>452</v>
      </c>
      <c r="P5" s="448"/>
      <c r="Q5" s="448" t="s">
        <v>18</v>
      </c>
      <c r="R5" s="449"/>
      <c r="S5" s="446"/>
      <c r="T5" s="446"/>
      <c r="U5" s="446"/>
      <c r="V5" s="448"/>
      <c r="W5" s="448"/>
      <c r="X5" s="448"/>
      <c r="Y5" s="448"/>
      <c r="Z5" s="448"/>
    </row>
    <row r="6" spans="1:26" ht="15.75" customHeight="1">
      <c r="A6" s="444">
        <v>44782</v>
      </c>
      <c r="B6" s="386" t="s">
        <v>311</v>
      </c>
      <c r="C6" s="386">
        <v>5</v>
      </c>
      <c r="D6" s="386" t="s">
        <v>1709</v>
      </c>
      <c r="E6" s="390" t="s">
        <v>3</v>
      </c>
      <c r="F6" s="386" t="s">
        <v>460</v>
      </c>
      <c r="G6" s="386" t="s">
        <v>1710</v>
      </c>
      <c r="H6" s="386">
        <v>5</v>
      </c>
      <c r="I6" s="386" t="s">
        <v>488</v>
      </c>
      <c r="J6" s="386" t="s">
        <v>11413</v>
      </c>
      <c r="K6" s="386">
        <v>5</v>
      </c>
      <c r="L6" s="386" t="s">
        <v>478</v>
      </c>
      <c r="M6" s="386">
        <v>30000000</v>
      </c>
      <c r="N6" s="386" t="s">
        <v>465</v>
      </c>
      <c r="O6" s="386" t="s">
        <v>452</v>
      </c>
      <c r="P6" s="386" t="s">
        <v>1713</v>
      </c>
      <c r="Q6" s="386" t="s">
        <v>18</v>
      </c>
      <c r="R6" s="445"/>
      <c r="S6" s="446"/>
      <c r="T6" s="446"/>
      <c r="U6" s="446"/>
      <c r="V6" s="386"/>
      <c r="W6" s="386"/>
      <c r="X6" s="386"/>
      <c r="Y6" s="386"/>
      <c r="Z6" s="386"/>
    </row>
    <row r="7" spans="1:26" ht="15.75" customHeight="1">
      <c r="A7" s="447">
        <v>44782</v>
      </c>
      <c r="B7" s="448" t="s">
        <v>313</v>
      </c>
      <c r="C7" s="448">
        <v>4.75</v>
      </c>
      <c r="D7" s="448" t="s">
        <v>1718</v>
      </c>
      <c r="E7" s="390" t="s">
        <v>3</v>
      </c>
      <c r="F7" s="448" t="s">
        <v>460</v>
      </c>
      <c r="G7" s="448" t="s">
        <v>1719</v>
      </c>
      <c r="H7" s="448">
        <v>5</v>
      </c>
      <c r="I7" s="448" t="s">
        <v>462</v>
      </c>
      <c r="J7" s="448" t="s">
        <v>1720</v>
      </c>
      <c r="K7" s="448">
        <v>4.5</v>
      </c>
      <c r="L7" s="448" t="s">
        <v>478</v>
      </c>
      <c r="M7" s="448">
        <v>6000000</v>
      </c>
      <c r="N7" s="448" t="s">
        <v>452</v>
      </c>
      <c r="O7" s="448" t="s">
        <v>1721</v>
      </c>
      <c r="P7" s="448"/>
      <c r="Q7" s="453" t="s">
        <v>18</v>
      </c>
      <c r="R7" s="449"/>
      <c r="S7" s="446"/>
      <c r="T7" s="446"/>
      <c r="U7" s="446"/>
      <c r="V7" s="448"/>
      <c r="W7" s="448"/>
      <c r="X7" s="448"/>
      <c r="Y7" s="448"/>
      <c r="Z7" s="448"/>
    </row>
    <row r="8" spans="1:26" ht="15.75" customHeight="1">
      <c r="A8" s="444">
        <v>44782</v>
      </c>
      <c r="B8" s="386" t="s">
        <v>98</v>
      </c>
      <c r="C8" s="386">
        <v>4.75</v>
      </c>
      <c r="D8" s="386" t="s">
        <v>11522</v>
      </c>
      <c r="E8" s="390" t="s">
        <v>5</v>
      </c>
      <c r="F8" s="386" t="s">
        <v>447</v>
      </c>
      <c r="G8" s="386" t="s">
        <v>717</v>
      </c>
      <c r="H8" s="386">
        <v>4.5</v>
      </c>
      <c r="I8" s="386" t="s">
        <v>449</v>
      </c>
      <c r="J8" s="386" t="s">
        <v>13400</v>
      </c>
      <c r="K8" s="386">
        <v>5</v>
      </c>
      <c r="L8" s="386" t="s">
        <v>451</v>
      </c>
      <c r="M8" s="386">
        <v>6000000</v>
      </c>
      <c r="N8" s="386" t="s">
        <v>454</v>
      </c>
      <c r="O8" s="386" t="s">
        <v>452</v>
      </c>
      <c r="P8" s="386"/>
      <c r="Q8" s="386" t="s">
        <v>18</v>
      </c>
      <c r="R8" s="445" t="s">
        <v>11523</v>
      </c>
      <c r="S8" s="446"/>
      <c r="T8" s="446"/>
      <c r="U8" s="446"/>
      <c r="V8" s="386"/>
      <c r="W8" s="386"/>
      <c r="X8" s="386"/>
      <c r="Y8" s="386"/>
      <c r="Z8" s="386"/>
    </row>
    <row r="9" spans="1:26" ht="15.75" customHeight="1">
      <c r="A9" s="447">
        <v>44782</v>
      </c>
      <c r="B9" s="448" t="s">
        <v>149</v>
      </c>
      <c r="C9" s="448">
        <v>4.5</v>
      </c>
      <c r="D9" s="448" t="s">
        <v>1006</v>
      </c>
      <c r="E9" s="390" t="s">
        <v>4</v>
      </c>
      <c r="F9" s="448" t="s">
        <v>602</v>
      </c>
      <c r="G9" s="448" t="s">
        <v>10233</v>
      </c>
      <c r="H9" s="448">
        <v>4.5</v>
      </c>
      <c r="I9" s="448" t="s">
        <v>727</v>
      </c>
      <c r="J9" s="448" t="s">
        <v>10234</v>
      </c>
      <c r="K9" s="448">
        <v>4.5</v>
      </c>
      <c r="L9" s="448"/>
      <c r="M9" s="448"/>
      <c r="N9" s="448" t="s">
        <v>452</v>
      </c>
      <c r="O9" s="448" t="s">
        <v>10235</v>
      </c>
      <c r="P9" s="448"/>
      <c r="Q9" s="453" t="s">
        <v>18</v>
      </c>
      <c r="R9" s="449" t="s">
        <v>1010</v>
      </c>
      <c r="S9" s="446"/>
      <c r="T9" s="446"/>
      <c r="U9" s="446"/>
      <c r="V9" s="448"/>
      <c r="W9" s="448"/>
      <c r="X9" s="448"/>
      <c r="Y9" s="448"/>
      <c r="Z9" s="448"/>
    </row>
    <row r="10" spans="1:26" ht="15.75" customHeight="1">
      <c r="A10" s="444">
        <v>44782</v>
      </c>
      <c r="B10" s="386" t="s">
        <v>316</v>
      </c>
      <c r="C10" s="386">
        <v>4.5</v>
      </c>
      <c r="D10" s="386" t="s">
        <v>1744</v>
      </c>
      <c r="E10" s="390" t="s">
        <v>3</v>
      </c>
      <c r="F10" s="386" t="s">
        <v>460</v>
      </c>
      <c r="G10" s="386" t="s">
        <v>11524</v>
      </c>
      <c r="H10" s="386">
        <v>4.5</v>
      </c>
      <c r="I10" s="386" t="s">
        <v>462</v>
      </c>
      <c r="J10" s="386" t="s">
        <v>1746</v>
      </c>
      <c r="K10" s="386">
        <v>4.5</v>
      </c>
      <c r="L10" s="386" t="s">
        <v>478</v>
      </c>
      <c r="M10" s="386">
        <v>20000000</v>
      </c>
      <c r="N10" s="386" t="s">
        <v>454</v>
      </c>
      <c r="O10" s="386" t="s">
        <v>1747</v>
      </c>
      <c r="P10" s="386"/>
      <c r="Q10" s="386" t="s">
        <v>18</v>
      </c>
      <c r="R10" s="445"/>
      <c r="S10" s="446"/>
      <c r="T10" s="446"/>
      <c r="U10" s="446"/>
      <c r="V10" s="386"/>
      <c r="W10" s="386"/>
      <c r="X10" s="386"/>
      <c r="Y10" s="386"/>
      <c r="Z10" s="386"/>
    </row>
    <row r="11" spans="1:26" ht="15.75" customHeight="1">
      <c r="A11" s="447">
        <v>44782</v>
      </c>
      <c r="B11" s="448" t="s">
        <v>333</v>
      </c>
      <c r="C11" s="448">
        <v>4.5</v>
      </c>
      <c r="D11" s="448" t="s">
        <v>1867</v>
      </c>
      <c r="E11" s="390" t="s">
        <v>3</v>
      </c>
      <c r="F11" s="448" t="s">
        <v>460</v>
      </c>
      <c r="G11" s="448" t="s">
        <v>1868</v>
      </c>
      <c r="H11" s="448">
        <v>4.5</v>
      </c>
      <c r="I11" s="448" t="s">
        <v>462</v>
      </c>
      <c r="J11" s="448" t="s">
        <v>1869</v>
      </c>
      <c r="K11" s="448">
        <v>4.5</v>
      </c>
      <c r="L11" s="448"/>
      <c r="M11" s="448"/>
      <c r="N11" s="448" t="s">
        <v>452</v>
      </c>
      <c r="O11" s="448" t="s">
        <v>452</v>
      </c>
      <c r="P11" s="448"/>
      <c r="Q11" s="448" t="s">
        <v>18</v>
      </c>
      <c r="R11" s="449"/>
      <c r="S11" s="446"/>
      <c r="T11" s="446"/>
      <c r="U11" s="446"/>
      <c r="V11" s="448"/>
      <c r="W11" s="448"/>
      <c r="X11" s="448"/>
      <c r="Y11" s="448"/>
      <c r="Z11" s="448"/>
    </row>
    <row r="12" spans="1:26" ht="15.75" customHeight="1">
      <c r="A12" s="454">
        <v>44782</v>
      </c>
      <c r="B12" s="455" t="s">
        <v>416</v>
      </c>
      <c r="C12" s="455">
        <v>4.5</v>
      </c>
      <c r="D12" s="455" t="s">
        <v>1219</v>
      </c>
      <c r="E12" s="455" t="s">
        <v>5</v>
      </c>
      <c r="F12" s="455" t="s">
        <v>447</v>
      </c>
      <c r="G12" s="455" t="s">
        <v>11525</v>
      </c>
      <c r="H12" s="455">
        <v>4</v>
      </c>
      <c r="I12" s="455" t="s">
        <v>449</v>
      </c>
      <c r="J12" s="455" t="s">
        <v>13400</v>
      </c>
      <c r="K12" s="455">
        <v>5</v>
      </c>
      <c r="L12" s="455" t="s">
        <v>478</v>
      </c>
      <c r="M12" s="455">
        <v>15000000</v>
      </c>
      <c r="N12" s="455" t="s">
        <v>454</v>
      </c>
      <c r="O12" s="455" t="s">
        <v>1221</v>
      </c>
      <c r="P12" s="455"/>
      <c r="Q12" s="455" t="s">
        <v>18</v>
      </c>
      <c r="R12" s="456" t="s">
        <v>1222</v>
      </c>
      <c r="S12" s="455"/>
      <c r="T12" s="455"/>
      <c r="U12" s="455"/>
      <c r="V12" s="455"/>
      <c r="W12" s="455"/>
      <c r="X12" s="455"/>
      <c r="Y12" s="455"/>
      <c r="Z12" s="455"/>
    </row>
    <row r="13" spans="1:26" ht="15.75" customHeight="1">
      <c r="A13" s="447">
        <v>44782</v>
      </c>
      <c r="B13" s="448" t="s">
        <v>125</v>
      </c>
      <c r="C13" s="448">
        <v>4.25</v>
      </c>
      <c r="D13" s="448" t="s">
        <v>892</v>
      </c>
      <c r="E13" s="390" t="s">
        <v>5</v>
      </c>
      <c r="F13" s="448" t="s">
        <v>447</v>
      </c>
      <c r="G13" s="448" t="s">
        <v>10251</v>
      </c>
      <c r="H13" s="448">
        <v>4</v>
      </c>
      <c r="I13" s="448" t="s">
        <v>543</v>
      </c>
      <c r="J13" s="448" t="s">
        <v>894</v>
      </c>
      <c r="K13" s="448">
        <v>4.5</v>
      </c>
      <c r="L13" s="448" t="s">
        <v>478</v>
      </c>
      <c r="M13" s="448">
        <v>3000000</v>
      </c>
      <c r="N13" s="448" t="s">
        <v>452</v>
      </c>
      <c r="O13" s="448" t="s">
        <v>895</v>
      </c>
      <c r="P13" s="448"/>
      <c r="Q13" s="453" t="s">
        <v>18</v>
      </c>
      <c r="R13" s="449" t="s">
        <v>896</v>
      </c>
      <c r="S13" s="446"/>
      <c r="T13" s="446"/>
      <c r="U13" s="446"/>
      <c r="V13" s="448"/>
      <c r="W13" s="448"/>
      <c r="X13" s="448"/>
      <c r="Y13" s="448"/>
      <c r="Z13" s="448"/>
    </row>
    <row r="14" spans="1:26" ht="15.75" customHeight="1">
      <c r="A14" s="444">
        <v>44782</v>
      </c>
      <c r="B14" s="386" t="s">
        <v>291</v>
      </c>
      <c r="C14" s="386">
        <v>4.25</v>
      </c>
      <c r="D14" s="386" t="s">
        <v>10303</v>
      </c>
      <c r="E14" s="390" t="s">
        <v>3</v>
      </c>
      <c r="F14" s="386" t="s">
        <v>460</v>
      </c>
      <c r="G14" s="386" t="s">
        <v>1648</v>
      </c>
      <c r="H14" s="386">
        <v>4.5</v>
      </c>
      <c r="I14" s="386" t="s">
        <v>941</v>
      </c>
      <c r="J14" s="386"/>
      <c r="K14" s="386">
        <v>4</v>
      </c>
      <c r="L14" s="386"/>
      <c r="M14" s="386"/>
      <c r="N14" s="386" t="s">
        <v>452</v>
      </c>
      <c r="O14" s="386" t="s">
        <v>1119</v>
      </c>
      <c r="P14" s="386" t="s">
        <v>1649</v>
      </c>
      <c r="Q14" s="386" t="s">
        <v>18</v>
      </c>
      <c r="R14" s="445"/>
      <c r="S14" s="446"/>
      <c r="T14" s="446"/>
      <c r="U14" s="446"/>
      <c r="V14" s="386"/>
      <c r="W14" s="386"/>
      <c r="X14" s="386"/>
      <c r="Y14" s="386"/>
      <c r="Z14" s="386"/>
    </row>
    <row r="15" spans="1:26" ht="15.75" customHeight="1">
      <c r="A15" s="447">
        <v>44782</v>
      </c>
      <c r="B15" s="448" t="s">
        <v>65</v>
      </c>
      <c r="C15" s="448">
        <v>4.25</v>
      </c>
      <c r="D15" s="448" t="s">
        <v>474</v>
      </c>
      <c r="E15" s="390" t="s">
        <v>5</v>
      </c>
      <c r="F15" s="448" t="s">
        <v>447</v>
      </c>
      <c r="G15" s="448" t="s">
        <v>10420</v>
      </c>
      <c r="H15" s="448">
        <v>4.5</v>
      </c>
      <c r="I15" s="448" t="s">
        <v>476</v>
      </c>
      <c r="J15" s="448" t="s">
        <v>13400</v>
      </c>
      <c r="K15" s="448">
        <v>4</v>
      </c>
      <c r="L15" s="448" t="s">
        <v>478</v>
      </c>
      <c r="M15" s="448" t="s">
        <v>479</v>
      </c>
      <c r="N15" s="448" t="s">
        <v>452</v>
      </c>
      <c r="O15" s="448" t="s">
        <v>480</v>
      </c>
      <c r="P15" s="448"/>
      <c r="Q15" s="448" t="s">
        <v>18</v>
      </c>
      <c r="R15" s="449"/>
      <c r="S15" s="446"/>
      <c r="T15" s="446"/>
      <c r="U15" s="446"/>
      <c r="V15" s="448"/>
      <c r="W15" s="448"/>
      <c r="X15" s="448"/>
      <c r="Y15" s="448"/>
      <c r="Z15" s="448"/>
    </row>
    <row r="16" spans="1:26" ht="15.75" customHeight="1">
      <c r="A16" s="444">
        <v>44782</v>
      </c>
      <c r="B16" s="386" t="s">
        <v>414</v>
      </c>
      <c r="C16" s="386">
        <v>4.25</v>
      </c>
      <c r="D16" s="386" t="s">
        <v>10440</v>
      </c>
      <c r="E16" s="390" t="s">
        <v>3</v>
      </c>
      <c r="F16" s="386" t="s">
        <v>460</v>
      </c>
      <c r="G16" s="386" t="s">
        <v>10441</v>
      </c>
      <c r="H16" s="386">
        <v>4.5</v>
      </c>
      <c r="I16" s="386" t="s">
        <v>941</v>
      </c>
      <c r="J16" s="386"/>
      <c r="K16" s="386">
        <v>4</v>
      </c>
      <c r="L16" s="386" t="s">
        <v>478</v>
      </c>
      <c r="M16" s="386">
        <v>10000000</v>
      </c>
      <c r="N16" s="386" t="s">
        <v>452</v>
      </c>
      <c r="O16" s="386" t="s">
        <v>452</v>
      </c>
      <c r="P16" s="386"/>
      <c r="Q16" s="386" t="s">
        <v>18</v>
      </c>
      <c r="R16" s="445"/>
      <c r="S16" s="446"/>
      <c r="T16" s="446"/>
      <c r="U16" s="446"/>
      <c r="V16" s="386"/>
      <c r="W16" s="386"/>
      <c r="X16" s="386"/>
      <c r="Y16" s="386"/>
      <c r="Z16" s="386"/>
    </row>
    <row r="17" spans="1:26" ht="15.75" customHeight="1">
      <c r="A17" s="447">
        <v>44782</v>
      </c>
      <c r="B17" s="448" t="s">
        <v>119</v>
      </c>
      <c r="C17" s="448">
        <v>4.25</v>
      </c>
      <c r="D17" s="448" t="s">
        <v>855</v>
      </c>
      <c r="E17" s="390" t="s">
        <v>5</v>
      </c>
      <c r="F17" s="448" t="s">
        <v>447</v>
      </c>
      <c r="G17" s="448" t="s">
        <v>10635</v>
      </c>
      <c r="H17" s="448">
        <v>4.5</v>
      </c>
      <c r="I17" s="448" t="s">
        <v>543</v>
      </c>
      <c r="J17" s="448" t="s">
        <v>13400</v>
      </c>
      <c r="K17" s="448">
        <v>4</v>
      </c>
      <c r="L17" s="448" t="s">
        <v>451</v>
      </c>
      <c r="M17" s="448">
        <v>2000000</v>
      </c>
      <c r="N17" s="448" t="s">
        <v>452</v>
      </c>
      <c r="O17" s="448" t="s">
        <v>858</v>
      </c>
      <c r="P17" s="448" t="s">
        <v>859</v>
      </c>
      <c r="Q17" s="448" t="s">
        <v>18</v>
      </c>
      <c r="R17" s="449"/>
      <c r="S17" s="446"/>
      <c r="T17" s="446"/>
      <c r="U17" s="446"/>
      <c r="V17" s="448"/>
      <c r="W17" s="448"/>
      <c r="X17" s="448"/>
      <c r="Y17" s="448"/>
      <c r="Z17" s="448"/>
    </row>
    <row r="18" spans="1:26" ht="15.75" customHeight="1">
      <c r="A18" s="444">
        <v>44782</v>
      </c>
      <c r="B18" s="386" t="s">
        <v>349</v>
      </c>
      <c r="C18" s="386">
        <v>4.25</v>
      </c>
      <c r="D18" s="386" t="s">
        <v>2008</v>
      </c>
      <c r="E18" s="390" t="s">
        <v>3</v>
      </c>
      <c r="F18" s="386" t="s">
        <v>460</v>
      </c>
      <c r="G18" s="386" t="s">
        <v>2009</v>
      </c>
      <c r="H18" s="386">
        <v>4.5</v>
      </c>
      <c r="I18" s="386" t="s">
        <v>941</v>
      </c>
      <c r="J18" s="386"/>
      <c r="K18" s="386">
        <v>4</v>
      </c>
      <c r="L18" s="386" t="s">
        <v>451</v>
      </c>
      <c r="M18" s="386" t="s">
        <v>2010</v>
      </c>
      <c r="N18" s="386" t="s">
        <v>452</v>
      </c>
      <c r="O18" s="386" t="s">
        <v>452</v>
      </c>
      <c r="P18" s="386"/>
      <c r="Q18" s="386" t="s">
        <v>18</v>
      </c>
      <c r="R18" s="445"/>
      <c r="S18" s="446"/>
      <c r="T18" s="446"/>
      <c r="U18" s="446"/>
      <c r="V18" s="386"/>
      <c r="W18" s="386"/>
      <c r="X18" s="386"/>
      <c r="Y18" s="386"/>
      <c r="Z18" s="386"/>
    </row>
    <row r="19" spans="1:26" ht="15.75" customHeight="1">
      <c r="A19" s="447">
        <v>44782</v>
      </c>
      <c r="B19" s="448" t="s">
        <v>336</v>
      </c>
      <c r="C19" s="448">
        <v>4.25</v>
      </c>
      <c r="D19" s="448" t="s">
        <v>1899</v>
      </c>
      <c r="E19" s="390" t="s">
        <v>3</v>
      </c>
      <c r="F19" s="448" t="s">
        <v>460</v>
      </c>
      <c r="G19" s="448" t="s">
        <v>1900</v>
      </c>
      <c r="H19" s="448">
        <v>4.5</v>
      </c>
      <c r="I19" s="448" t="s">
        <v>941</v>
      </c>
      <c r="J19" s="448"/>
      <c r="K19" s="448">
        <v>4</v>
      </c>
      <c r="L19" s="448" t="s">
        <v>451</v>
      </c>
      <c r="M19" s="448" t="s">
        <v>1901</v>
      </c>
      <c r="N19" s="448" t="s">
        <v>452</v>
      </c>
      <c r="O19" s="448" t="s">
        <v>452</v>
      </c>
      <c r="P19" s="448"/>
      <c r="Q19" s="448" t="s">
        <v>18</v>
      </c>
      <c r="R19" s="449"/>
      <c r="S19" s="446"/>
      <c r="T19" s="446"/>
      <c r="U19" s="446"/>
      <c r="V19" s="448"/>
      <c r="W19" s="448"/>
      <c r="X19" s="448"/>
      <c r="Y19" s="448"/>
      <c r="Z19" s="448"/>
    </row>
    <row r="20" spans="1:26" ht="15.75" customHeight="1">
      <c r="A20" s="450">
        <v>44782</v>
      </c>
      <c r="B20" s="451" t="s">
        <v>173</v>
      </c>
      <c r="C20" s="451">
        <v>4.25</v>
      </c>
      <c r="D20" s="451" t="s">
        <v>10368</v>
      </c>
      <c r="E20" s="451" t="s">
        <v>3</v>
      </c>
      <c r="F20" s="451" t="s">
        <v>460</v>
      </c>
      <c r="G20" s="451" t="s">
        <v>1127</v>
      </c>
      <c r="H20" s="451">
        <v>4.5</v>
      </c>
      <c r="I20" s="451" t="s">
        <v>462</v>
      </c>
      <c r="J20" s="451" t="s">
        <v>1128</v>
      </c>
      <c r="K20" s="451">
        <v>4</v>
      </c>
      <c r="L20" s="451" t="s">
        <v>451</v>
      </c>
      <c r="M20" s="451">
        <v>2000000</v>
      </c>
      <c r="N20" s="451" t="s">
        <v>452</v>
      </c>
      <c r="O20" s="451" t="s">
        <v>1129</v>
      </c>
      <c r="P20" s="451"/>
      <c r="Q20" s="451" t="s">
        <v>18</v>
      </c>
      <c r="R20" s="452" t="s">
        <v>1130</v>
      </c>
      <c r="S20" s="451"/>
      <c r="T20" s="451"/>
      <c r="U20" s="451"/>
      <c r="V20" s="451"/>
      <c r="W20" s="451"/>
      <c r="X20" s="451"/>
      <c r="Y20" s="451"/>
      <c r="Z20" s="451"/>
    </row>
    <row r="21" spans="1:26" ht="15.75" customHeight="1">
      <c r="A21" s="447">
        <v>44782</v>
      </c>
      <c r="B21" s="448" t="s">
        <v>320</v>
      </c>
      <c r="C21" s="448">
        <v>4.25</v>
      </c>
      <c r="D21" s="448" t="s">
        <v>1768</v>
      </c>
      <c r="E21" s="390" t="s">
        <v>3</v>
      </c>
      <c r="F21" s="448" t="s">
        <v>460</v>
      </c>
      <c r="G21" s="448" t="s">
        <v>1769</v>
      </c>
      <c r="H21" s="448">
        <v>4</v>
      </c>
      <c r="I21" s="448" t="s">
        <v>462</v>
      </c>
      <c r="J21" s="448" t="s">
        <v>1770</v>
      </c>
      <c r="K21" s="448">
        <v>4.5</v>
      </c>
      <c r="L21" s="448" t="s">
        <v>451</v>
      </c>
      <c r="M21" s="448">
        <v>2000000</v>
      </c>
      <c r="N21" s="448" t="s">
        <v>465</v>
      </c>
      <c r="O21" s="448" t="s">
        <v>1771</v>
      </c>
      <c r="P21" s="448"/>
      <c r="Q21" s="448" t="s">
        <v>18</v>
      </c>
      <c r="R21" s="449"/>
      <c r="S21" s="446"/>
      <c r="T21" s="446"/>
      <c r="U21" s="446"/>
      <c r="V21" s="448"/>
      <c r="W21" s="448"/>
      <c r="X21" s="448"/>
      <c r="Y21" s="448"/>
      <c r="Z21" s="448"/>
    </row>
    <row r="22" spans="1:26" ht="15.75" customHeight="1">
      <c r="A22" s="444">
        <v>44782</v>
      </c>
      <c r="B22" s="386" t="s">
        <v>151</v>
      </c>
      <c r="C22" s="386">
        <v>4</v>
      </c>
      <c r="D22" s="386" t="s">
        <v>1015</v>
      </c>
      <c r="E22" s="390" t="s">
        <v>4</v>
      </c>
      <c r="F22" s="386" t="s">
        <v>727</v>
      </c>
      <c r="G22" s="386" t="s">
        <v>1016</v>
      </c>
      <c r="H22" s="386">
        <v>4</v>
      </c>
      <c r="I22" s="386" t="s">
        <v>476</v>
      </c>
      <c r="J22" s="386" t="s">
        <v>13400</v>
      </c>
      <c r="K22" s="386">
        <v>4</v>
      </c>
      <c r="L22" s="386" t="s">
        <v>451</v>
      </c>
      <c r="M22" s="386">
        <v>14000000</v>
      </c>
      <c r="N22" s="386" t="s">
        <v>452</v>
      </c>
      <c r="O22" s="386" t="s">
        <v>10194</v>
      </c>
      <c r="P22" s="386"/>
      <c r="Q22" s="434" t="s">
        <v>18</v>
      </c>
      <c r="R22" s="445" t="s">
        <v>1019</v>
      </c>
      <c r="S22" s="446"/>
      <c r="T22" s="446"/>
      <c r="U22" s="446"/>
      <c r="V22" s="386"/>
      <c r="W22" s="386"/>
      <c r="X22" s="386"/>
      <c r="Y22" s="386"/>
      <c r="Z22" s="386"/>
    </row>
    <row r="23" spans="1:26" ht="15.75" customHeight="1">
      <c r="A23" s="447">
        <v>44782</v>
      </c>
      <c r="B23" s="448" t="s">
        <v>397</v>
      </c>
      <c r="C23" s="448">
        <v>4</v>
      </c>
      <c r="D23" s="448" t="s">
        <v>9955</v>
      </c>
      <c r="E23" s="390" t="s">
        <v>3</v>
      </c>
      <c r="F23" s="448" t="s">
        <v>460</v>
      </c>
      <c r="G23" s="448" t="s">
        <v>9956</v>
      </c>
      <c r="H23" s="448">
        <v>4</v>
      </c>
      <c r="I23" s="448" t="s">
        <v>462</v>
      </c>
      <c r="J23" s="448" t="s">
        <v>9957</v>
      </c>
      <c r="K23" s="448">
        <v>4</v>
      </c>
      <c r="L23" s="448" t="s">
        <v>451</v>
      </c>
      <c r="M23" s="448">
        <v>10000000</v>
      </c>
      <c r="N23" s="448" t="s">
        <v>452</v>
      </c>
      <c r="O23" s="448" t="s">
        <v>10210</v>
      </c>
      <c r="P23" s="448"/>
      <c r="Q23" s="453" t="s">
        <v>18</v>
      </c>
      <c r="R23" s="449"/>
      <c r="S23" s="446"/>
      <c r="T23" s="446"/>
      <c r="U23" s="446"/>
      <c r="V23" s="448"/>
      <c r="W23" s="448"/>
      <c r="X23" s="448"/>
      <c r="Y23" s="448"/>
      <c r="Z23" s="448"/>
    </row>
    <row r="24" spans="1:26" ht="15.75" customHeight="1">
      <c r="A24" s="444">
        <v>44782</v>
      </c>
      <c r="B24" s="386" t="s">
        <v>129</v>
      </c>
      <c r="C24" s="386">
        <v>4</v>
      </c>
      <c r="D24" s="386" t="s">
        <v>10363</v>
      </c>
      <c r="E24" s="390" t="s">
        <v>5</v>
      </c>
      <c r="F24" s="386" t="s">
        <v>447</v>
      </c>
      <c r="G24" s="386" t="s">
        <v>931</v>
      </c>
      <c r="H24" s="386">
        <v>4</v>
      </c>
      <c r="I24" s="386" t="s">
        <v>449</v>
      </c>
      <c r="J24" s="386" t="s">
        <v>13400</v>
      </c>
      <c r="K24" s="386">
        <v>4</v>
      </c>
      <c r="L24" s="386" t="s">
        <v>478</v>
      </c>
      <c r="M24" s="386">
        <v>5000000</v>
      </c>
      <c r="N24" s="386" t="s">
        <v>452</v>
      </c>
      <c r="O24" s="386" t="s">
        <v>933</v>
      </c>
      <c r="P24" s="386" t="s">
        <v>934</v>
      </c>
      <c r="Q24" s="386" t="s">
        <v>18</v>
      </c>
      <c r="R24" s="445"/>
      <c r="S24" s="446"/>
      <c r="T24" s="446"/>
      <c r="U24" s="446"/>
      <c r="V24" s="386"/>
      <c r="W24" s="386"/>
      <c r="X24" s="386"/>
      <c r="Y24" s="386"/>
      <c r="Z24" s="386"/>
    </row>
    <row r="25" spans="1:26" ht="15.75" customHeight="1">
      <c r="A25" s="454">
        <v>44782</v>
      </c>
      <c r="B25" s="455" t="s">
        <v>70</v>
      </c>
      <c r="C25" s="455">
        <v>4</v>
      </c>
      <c r="D25" s="455" t="s">
        <v>2247</v>
      </c>
      <c r="E25" s="455" t="s">
        <v>5</v>
      </c>
      <c r="F25" s="455" t="s">
        <v>460</v>
      </c>
      <c r="G25" s="455" t="s">
        <v>2248</v>
      </c>
      <c r="H25" s="455">
        <v>4</v>
      </c>
      <c r="I25" s="455" t="s">
        <v>941</v>
      </c>
      <c r="J25" s="455"/>
      <c r="K25" s="455">
        <v>4</v>
      </c>
      <c r="L25" s="455"/>
      <c r="M25" s="455"/>
      <c r="N25" s="455" t="s">
        <v>452</v>
      </c>
      <c r="O25" s="455" t="s">
        <v>2249</v>
      </c>
      <c r="P25" s="455"/>
      <c r="Q25" s="455" t="s">
        <v>18</v>
      </c>
      <c r="R25" s="456" t="s">
        <v>2250</v>
      </c>
      <c r="S25" s="455"/>
      <c r="T25" s="455"/>
      <c r="U25" s="455"/>
      <c r="V25" s="455"/>
      <c r="W25" s="455"/>
      <c r="X25" s="455"/>
      <c r="Y25" s="455"/>
      <c r="Z25" s="455"/>
    </row>
    <row r="26" spans="1:26" ht="15.75" customHeight="1">
      <c r="A26" s="444">
        <v>44782</v>
      </c>
      <c r="B26" s="386" t="s">
        <v>230</v>
      </c>
      <c r="C26" s="386">
        <v>4</v>
      </c>
      <c r="D26" s="386" t="s">
        <v>3962</v>
      </c>
      <c r="E26" s="390" t="s">
        <v>4</v>
      </c>
      <c r="F26" s="386" t="s">
        <v>727</v>
      </c>
      <c r="G26" s="386" t="s">
        <v>10428</v>
      </c>
      <c r="H26" s="386">
        <v>4</v>
      </c>
      <c r="I26" s="386" t="s">
        <v>941</v>
      </c>
      <c r="J26" s="386" t="s">
        <v>3964</v>
      </c>
      <c r="K26" s="386">
        <v>4</v>
      </c>
      <c r="L26" s="386"/>
      <c r="M26" s="386"/>
      <c r="N26" s="386" t="s">
        <v>452</v>
      </c>
      <c r="O26" s="386" t="s">
        <v>11526</v>
      </c>
      <c r="P26" s="386" t="s">
        <v>3966</v>
      </c>
      <c r="Q26" s="386" t="s">
        <v>18</v>
      </c>
      <c r="R26" s="445"/>
      <c r="S26" s="446"/>
      <c r="T26" s="446"/>
      <c r="U26" s="446"/>
      <c r="V26" s="386"/>
      <c r="W26" s="386"/>
      <c r="X26" s="386"/>
      <c r="Y26" s="386"/>
      <c r="Z26" s="386"/>
    </row>
    <row r="27" spans="1:26" ht="15.75" customHeight="1">
      <c r="A27" s="447">
        <v>44782</v>
      </c>
      <c r="B27" s="448" t="s">
        <v>68</v>
      </c>
      <c r="C27" s="448">
        <v>4</v>
      </c>
      <c r="D27" s="448" t="s">
        <v>497</v>
      </c>
      <c r="E27" s="390" t="s">
        <v>5</v>
      </c>
      <c r="F27" s="448" t="s">
        <v>447</v>
      </c>
      <c r="G27" s="448" t="s">
        <v>10503</v>
      </c>
      <c r="H27" s="448">
        <v>4.5</v>
      </c>
      <c r="I27" s="448" t="s">
        <v>449</v>
      </c>
      <c r="J27" s="448" t="s">
        <v>13400</v>
      </c>
      <c r="K27" s="448">
        <v>3.5</v>
      </c>
      <c r="L27" s="448" t="s">
        <v>451</v>
      </c>
      <c r="M27" s="448">
        <v>2000000</v>
      </c>
      <c r="N27" s="448" t="s">
        <v>452</v>
      </c>
      <c r="O27" s="448" t="s">
        <v>500</v>
      </c>
      <c r="P27" s="448"/>
      <c r="Q27" s="448" t="s">
        <v>18</v>
      </c>
      <c r="R27" s="449"/>
      <c r="S27" s="446"/>
      <c r="T27" s="446"/>
      <c r="U27" s="446"/>
      <c r="V27" s="448"/>
      <c r="W27" s="448"/>
      <c r="X27" s="448"/>
      <c r="Y27" s="448"/>
      <c r="Z27" s="448"/>
    </row>
    <row r="28" spans="1:26" ht="15.75" customHeight="1">
      <c r="A28" s="444">
        <v>44782</v>
      </c>
      <c r="B28" s="386" t="s">
        <v>382</v>
      </c>
      <c r="C28" s="386">
        <v>4</v>
      </c>
      <c r="D28" s="386" t="s">
        <v>10047</v>
      </c>
      <c r="E28" s="390" t="s">
        <v>5</v>
      </c>
      <c r="F28" s="386" t="s">
        <v>447</v>
      </c>
      <c r="G28" s="386" t="s">
        <v>10509</v>
      </c>
      <c r="H28" s="386">
        <v>4</v>
      </c>
      <c r="I28" s="386" t="s">
        <v>543</v>
      </c>
      <c r="J28" s="386"/>
      <c r="K28" s="386">
        <v>4</v>
      </c>
      <c r="L28" s="386" t="s">
        <v>784</v>
      </c>
      <c r="M28" s="386">
        <v>1200000</v>
      </c>
      <c r="N28" s="386" t="s">
        <v>452</v>
      </c>
      <c r="O28" s="386" t="s">
        <v>10049</v>
      </c>
      <c r="P28" s="386" t="s">
        <v>10050</v>
      </c>
      <c r="Q28" s="386" t="s">
        <v>18</v>
      </c>
      <c r="R28" s="445"/>
      <c r="S28" s="446"/>
      <c r="T28" s="446"/>
      <c r="U28" s="446"/>
      <c r="V28" s="386"/>
      <c r="W28" s="386"/>
      <c r="X28" s="386"/>
      <c r="Y28" s="386"/>
      <c r="Z28" s="386"/>
    </row>
    <row r="29" spans="1:26" ht="15.75" customHeight="1">
      <c r="A29" s="447">
        <v>44782</v>
      </c>
      <c r="B29" s="448" t="s">
        <v>113</v>
      </c>
      <c r="C29" s="448">
        <v>4</v>
      </c>
      <c r="D29" s="448" t="s">
        <v>814</v>
      </c>
      <c r="E29" s="390" t="s">
        <v>5</v>
      </c>
      <c r="F29" s="448" t="s">
        <v>447</v>
      </c>
      <c r="G29" s="448" t="s">
        <v>10521</v>
      </c>
      <c r="H29" s="448">
        <v>4</v>
      </c>
      <c r="I29" s="448" t="s">
        <v>449</v>
      </c>
      <c r="J29" s="448" t="s">
        <v>13400</v>
      </c>
      <c r="K29" s="448">
        <v>4</v>
      </c>
      <c r="L29" s="448" t="s">
        <v>451</v>
      </c>
      <c r="M29" s="448">
        <v>2000000</v>
      </c>
      <c r="N29" s="448" t="s">
        <v>454</v>
      </c>
      <c r="O29" s="448" t="s">
        <v>452</v>
      </c>
      <c r="P29" s="448"/>
      <c r="Q29" s="448" t="s">
        <v>18</v>
      </c>
      <c r="R29" s="449" t="s">
        <v>817</v>
      </c>
      <c r="S29" s="446"/>
      <c r="T29" s="446"/>
      <c r="U29" s="446"/>
      <c r="V29" s="448"/>
      <c r="W29" s="448"/>
      <c r="X29" s="448"/>
      <c r="Y29" s="448"/>
      <c r="Z29" s="448"/>
    </row>
    <row r="30" spans="1:26" ht="15.75" customHeight="1">
      <c r="A30" s="444">
        <v>44782</v>
      </c>
      <c r="B30" s="386" t="s">
        <v>88</v>
      </c>
      <c r="C30" s="386">
        <v>4</v>
      </c>
      <c r="D30" s="386" t="s">
        <v>620</v>
      </c>
      <c r="E30" s="390" t="s">
        <v>5</v>
      </c>
      <c r="F30" s="386" t="s">
        <v>447</v>
      </c>
      <c r="G30" s="386" t="s">
        <v>10697</v>
      </c>
      <c r="H30" s="386">
        <v>4</v>
      </c>
      <c r="I30" s="386" t="s">
        <v>622</v>
      </c>
      <c r="J30" s="386" t="s">
        <v>13400</v>
      </c>
      <c r="K30" s="386">
        <v>4</v>
      </c>
      <c r="L30" s="386" t="s">
        <v>478</v>
      </c>
      <c r="M30" s="386">
        <v>3000000</v>
      </c>
      <c r="N30" s="386" t="s">
        <v>452</v>
      </c>
      <c r="O30" s="386" t="s">
        <v>452</v>
      </c>
      <c r="P30" s="386"/>
      <c r="Q30" s="386" t="s">
        <v>18</v>
      </c>
      <c r="R30" s="445" t="s">
        <v>624</v>
      </c>
      <c r="S30" s="446"/>
      <c r="T30" s="446"/>
      <c r="U30" s="446"/>
      <c r="V30" s="386"/>
      <c r="W30" s="386"/>
      <c r="X30" s="386"/>
      <c r="Y30" s="386"/>
      <c r="Z30" s="386"/>
    </row>
    <row r="31" spans="1:26" ht="15.75" customHeight="1">
      <c r="A31" s="454">
        <v>44782</v>
      </c>
      <c r="B31" s="455" t="s">
        <v>391</v>
      </c>
      <c r="C31" s="455">
        <v>4</v>
      </c>
      <c r="D31" s="455" t="s">
        <v>10090</v>
      </c>
      <c r="E31" s="455" t="s">
        <v>3</v>
      </c>
      <c r="F31" s="455" t="s">
        <v>460</v>
      </c>
      <c r="G31" s="455" t="s">
        <v>11385</v>
      </c>
      <c r="H31" s="455">
        <v>4</v>
      </c>
      <c r="I31" s="455" t="s">
        <v>941</v>
      </c>
      <c r="J31" s="455"/>
      <c r="K31" s="455">
        <v>4</v>
      </c>
      <c r="L31" s="455" t="s">
        <v>478</v>
      </c>
      <c r="M31" s="455" t="s">
        <v>4966</v>
      </c>
      <c r="N31" s="455" t="s">
        <v>452</v>
      </c>
      <c r="O31" s="455" t="s">
        <v>10092</v>
      </c>
      <c r="P31" s="455"/>
      <c r="Q31" s="455" t="s">
        <v>19</v>
      </c>
      <c r="R31" s="456" t="s">
        <v>10093</v>
      </c>
      <c r="S31" s="455"/>
      <c r="T31" s="455"/>
      <c r="U31" s="455"/>
      <c r="V31" s="455"/>
      <c r="W31" s="455"/>
      <c r="X31" s="455"/>
      <c r="Y31" s="455"/>
      <c r="Z31" s="455"/>
    </row>
    <row r="32" spans="1:26" ht="15.75" customHeight="1">
      <c r="A32" s="454">
        <v>44782</v>
      </c>
      <c r="B32" s="455" t="s">
        <v>208</v>
      </c>
      <c r="C32" s="455">
        <v>4</v>
      </c>
      <c r="D32" s="455" t="s">
        <v>3843</v>
      </c>
      <c r="E32" s="455" t="s">
        <v>4</v>
      </c>
      <c r="F32" s="455" t="s">
        <v>602</v>
      </c>
      <c r="G32" s="455" t="s">
        <v>3844</v>
      </c>
      <c r="H32" s="455">
        <v>4</v>
      </c>
      <c r="I32" s="455" t="s">
        <v>1054</v>
      </c>
      <c r="J32" s="455" t="s">
        <v>3845</v>
      </c>
      <c r="K32" s="455">
        <v>4</v>
      </c>
      <c r="L32" s="455" t="s">
        <v>451</v>
      </c>
      <c r="M32" s="455">
        <v>2000000</v>
      </c>
      <c r="N32" s="455" t="s">
        <v>452</v>
      </c>
      <c r="O32" s="455" t="s">
        <v>3846</v>
      </c>
      <c r="P32" s="455" t="s">
        <v>727</v>
      </c>
      <c r="Q32" s="455" t="s">
        <v>18</v>
      </c>
      <c r="R32" s="456" t="s">
        <v>3847</v>
      </c>
      <c r="S32" s="455"/>
      <c r="T32" s="455"/>
      <c r="U32" s="455"/>
      <c r="V32" s="455"/>
      <c r="W32" s="455"/>
      <c r="X32" s="455"/>
      <c r="Y32" s="455"/>
      <c r="Z32" s="455"/>
    </row>
    <row r="33" spans="1:26" ht="15.75" customHeight="1">
      <c r="A33" s="447">
        <v>44782</v>
      </c>
      <c r="B33" s="448" t="s">
        <v>198</v>
      </c>
      <c r="C33" s="448">
        <v>4</v>
      </c>
      <c r="D33" s="448" t="s">
        <v>11415</v>
      </c>
      <c r="E33" s="390" t="s">
        <v>4</v>
      </c>
      <c r="F33" s="448" t="s">
        <v>727</v>
      </c>
      <c r="G33" s="448" t="s">
        <v>11416</v>
      </c>
      <c r="H33" s="448">
        <v>4.5</v>
      </c>
      <c r="I33" s="448" t="s">
        <v>1054</v>
      </c>
      <c r="J33" s="448" t="s">
        <v>11417</v>
      </c>
      <c r="K33" s="448">
        <v>3.5</v>
      </c>
      <c r="L33" s="448"/>
      <c r="M33" s="448" t="s">
        <v>3555</v>
      </c>
      <c r="N33" s="448" t="s">
        <v>454</v>
      </c>
      <c r="O33" s="448" t="s">
        <v>11527</v>
      </c>
      <c r="P33" s="448"/>
      <c r="Q33" s="448" t="s">
        <v>18</v>
      </c>
      <c r="R33" s="449"/>
      <c r="S33" s="446"/>
      <c r="T33" s="446"/>
      <c r="U33" s="446"/>
      <c r="V33" s="448"/>
      <c r="W33" s="448"/>
      <c r="X33" s="448"/>
      <c r="Y33" s="448"/>
      <c r="Z33" s="448"/>
    </row>
    <row r="34" spans="1:26" ht="15.75" customHeight="1">
      <c r="A34" s="444">
        <v>44782</v>
      </c>
      <c r="B34" s="386" t="s">
        <v>221</v>
      </c>
      <c r="C34" s="386">
        <v>4</v>
      </c>
      <c r="D34" s="386" t="s">
        <v>3914</v>
      </c>
      <c r="E34" s="390" t="s">
        <v>4</v>
      </c>
      <c r="F34" s="386" t="s">
        <v>727</v>
      </c>
      <c r="G34" s="386" t="s">
        <v>10366</v>
      </c>
      <c r="H34" s="386">
        <v>4</v>
      </c>
      <c r="I34" s="386" t="s">
        <v>1054</v>
      </c>
      <c r="J34" s="386" t="s">
        <v>3916</v>
      </c>
      <c r="K34" s="386">
        <v>4</v>
      </c>
      <c r="L34" s="386" t="s">
        <v>451</v>
      </c>
      <c r="M34" s="386" t="s">
        <v>3917</v>
      </c>
      <c r="N34" s="386" t="s">
        <v>452</v>
      </c>
      <c r="O34" s="386" t="s">
        <v>452</v>
      </c>
      <c r="P34" s="386"/>
      <c r="Q34" s="386" t="s">
        <v>18</v>
      </c>
      <c r="R34" s="445"/>
      <c r="S34" s="446"/>
      <c r="T34" s="446"/>
      <c r="U34" s="446"/>
      <c r="V34" s="386"/>
      <c r="W34" s="386"/>
      <c r="X34" s="386"/>
      <c r="Y34" s="386"/>
      <c r="Z34" s="386"/>
    </row>
    <row r="35" spans="1:26" ht="15.75" customHeight="1">
      <c r="A35" s="454">
        <v>44782</v>
      </c>
      <c r="B35" s="455" t="s">
        <v>194</v>
      </c>
      <c r="C35" s="455">
        <v>3.88</v>
      </c>
      <c r="D35" s="455" t="s">
        <v>1210</v>
      </c>
      <c r="E35" s="455" t="s">
        <v>4</v>
      </c>
      <c r="F35" s="455" t="s">
        <v>602</v>
      </c>
      <c r="G35" s="455" t="s">
        <v>10191</v>
      </c>
      <c r="H35" s="455">
        <v>4</v>
      </c>
      <c r="I35" s="455" t="s">
        <v>1054</v>
      </c>
      <c r="J35" s="455" t="s">
        <v>1212</v>
      </c>
      <c r="K35" s="455">
        <v>3.75</v>
      </c>
      <c r="L35" s="455" t="s">
        <v>478</v>
      </c>
      <c r="M35" s="455">
        <v>3000000</v>
      </c>
      <c r="N35" s="455" t="s">
        <v>465</v>
      </c>
      <c r="O35" s="455" t="s">
        <v>1213</v>
      </c>
      <c r="P35" s="455"/>
      <c r="Q35" s="457" t="s">
        <v>18</v>
      </c>
      <c r="R35" s="456" t="s">
        <v>1214</v>
      </c>
      <c r="S35" s="446"/>
      <c r="T35" s="446"/>
      <c r="U35" s="446"/>
      <c r="V35" s="448"/>
      <c r="W35" s="448"/>
      <c r="X35" s="448"/>
      <c r="Y35" s="448"/>
      <c r="Z35" s="448"/>
    </row>
    <row r="36" spans="1:26" ht="15.75" customHeight="1">
      <c r="A36" s="454">
        <v>44782</v>
      </c>
      <c r="B36" s="455" t="s">
        <v>273</v>
      </c>
      <c r="C36" s="455">
        <v>3.88</v>
      </c>
      <c r="D36" s="455" t="s">
        <v>9508</v>
      </c>
      <c r="E36" s="455" t="s">
        <v>4</v>
      </c>
      <c r="F36" s="455" t="s">
        <v>727</v>
      </c>
      <c r="G36" s="455" t="s">
        <v>9509</v>
      </c>
      <c r="H36" s="455">
        <v>3.75</v>
      </c>
      <c r="I36" s="455" t="s">
        <v>1054</v>
      </c>
      <c r="J36" s="455" t="s">
        <v>11528</v>
      </c>
      <c r="K36" s="455">
        <v>4</v>
      </c>
      <c r="L36" s="455"/>
      <c r="M36" s="455"/>
      <c r="N36" s="455" t="s">
        <v>452</v>
      </c>
      <c r="O36" s="455" t="s">
        <v>452</v>
      </c>
      <c r="P36" s="455"/>
      <c r="Q36" s="457" t="s">
        <v>20</v>
      </c>
      <c r="R36" s="456" t="s">
        <v>9511</v>
      </c>
      <c r="S36" s="455"/>
      <c r="T36" s="455"/>
      <c r="U36" s="455"/>
      <c r="V36" s="455"/>
      <c r="W36" s="455"/>
      <c r="X36" s="455"/>
      <c r="Y36" s="455"/>
      <c r="Z36" s="455"/>
    </row>
    <row r="37" spans="1:26" ht="15.75" customHeight="1">
      <c r="A37" s="454">
        <v>44782</v>
      </c>
      <c r="B37" s="455" t="s">
        <v>2473</v>
      </c>
      <c r="C37" s="455">
        <v>3.75</v>
      </c>
      <c r="D37" s="455" t="s">
        <v>2476</v>
      </c>
      <c r="E37" s="455" t="s">
        <v>5</v>
      </c>
      <c r="F37" s="455" t="s">
        <v>447</v>
      </c>
      <c r="G37" s="455" t="s">
        <v>10217</v>
      </c>
      <c r="H37" s="455">
        <v>3.5</v>
      </c>
      <c r="I37" s="455" t="s">
        <v>622</v>
      </c>
      <c r="J37" s="455" t="s">
        <v>2478</v>
      </c>
      <c r="K37" s="455">
        <v>4</v>
      </c>
      <c r="L37" s="455" t="s">
        <v>451</v>
      </c>
      <c r="M37" s="455" t="s">
        <v>3555</v>
      </c>
      <c r="N37" s="455" t="s">
        <v>452</v>
      </c>
      <c r="O37" s="455" t="s">
        <v>452</v>
      </c>
      <c r="P37" s="455" t="s">
        <v>447</v>
      </c>
      <c r="Q37" s="457" t="s">
        <v>24</v>
      </c>
      <c r="R37" s="456" t="s">
        <v>2479</v>
      </c>
      <c r="S37" s="455"/>
      <c r="T37" s="455"/>
      <c r="U37" s="455"/>
      <c r="V37" s="455"/>
      <c r="W37" s="455"/>
      <c r="X37" s="455"/>
      <c r="Y37" s="455"/>
      <c r="Z37" s="455"/>
    </row>
    <row r="38" spans="1:26" ht="53.25" customHeight="1">
      <c r="A38" s="454">
        <v>44782</v>
      </c>
      <c r="B38" s="455" t="s">
        <v>81</v>
      </c>
      <c r="C38" s="455">
        <v>3.75</v>
      </c>
      <c r="D38" s="455" t="s">
        <v>581</v>
      </c>
      <c r="E38" s="455" t="s">
        <v>5</v>
      </c>
      <c r="F38" s="455" t="s">
        <v>447</v>
      </c>
      <c r="G38" s="455" t="s">
        <v>582</v>
      </c>
      <c r="H38" s="455">
        <v>3.5</v>
      </c>
      <c r="I38" s="455" t="s">
        <v>543</v>
      </c>
      <c r="J38" s="455" t="s">
        <v>13400</v>
      </c>
      <c r="K38" s="455">
        <v>4</v>
      </c>
      <c r="L38" s="455" t="s">
        <v>478</v>
      </c>
      <c r="M38" s="455">
        <v>8500000</v>
      </c>
      <c r="N38" s="455" t="s">
        <v>452</v>
      </c>
      <c r="O38" s="458" t="s">
        <v>13175</v>
      </c>
      <c r="P38" s="455" t="s">
        <v>585</v>
      </c>
      <c r="Q38" s="457" t="s">
        <v>20</v>
      </c>
      <c r="R38" s="456" t="s">
        <v>11530</v>
      </c>
      <c r="S38" s="455"/>
      <c r="T38" s="455"/>
      <c r="U38" s="455"/>
      <c r="V38" s="455"/>
      <c r="W38" s="455"/>
      <c r="X38" s="455"/>
      <c r="Y38" s="455"/>
      <c r="Z38" s="455"/>
    </row>
    <row r="39" spans="1:26" ht="15.75" customHeight="1">
      <c r="A39" s="454">
        <v>44782</v>
      </c>
      <c r="B39" s="455" t="s">
        <v>134</v>
      </c>
      <c r="C39" s="455">
        <v>3.75</v>
      </c>
      <c r="D39" s="455" t="s">
        <v>9369</v>
      </c>
      <c r="E39" s="455" t="s">
        <v>5</v>
      </c>
      <c r="F39" s="455" t="s">
        <v>447</v>
      </c>
      <c r="G39" s="455" t="s">
        <v>9370</v>
      </c>
      <c r="H39" s="455">
        <v>4</v>
      </c>
      <c r="I39" s="455" t="s">
        <v>476</v>
      </c>
      <c r="J39" s="455" t="s">
        <v>13400</v>
      </c>
      <c r="K39" s="455">
        <v>3.5</v>
      </c>
      <c r="L39" s="455" t="s">
        <v>451</v>
      </c>
      <c r="M39" s="455">
        <v>1000000</v>
      </c>
      <c r="N39" s="455" t="s">
        <v>454</v>
      </c>
      <c r="O39" s="455" t="s">
        <v>452</v>
      </c>
      <c r="P39" s="455"/>
      <c r="Q39" s="455" t="s">
        <v>19</v>
      </c>
      <c r="R39" s="456" t="s">
        <v>9372</v>
      </c>
      <c r="S39" s="455"/>
      <c r="T39" s="455"/>
      <c r="U39" s="455"/>
      <c r="V39" s="455"/>
      <c r="W39" s="455"/>
      <c r="X39" s="455"/>
      <c r="Y39" s="455"/>
      <c r="Z39" s="455"/>
    </row>
    <row r="40" spans="1:26" ht="15.75" customHeight="1">
      <c r="A40" s="444">
        <v>44782</v>
      </c>
      <c r="B40" s="386" t="s">
        <v>384</v>
      </c>
      <c r="C40" s="386">
        <v>3.75</v>
      </c>
      <c r="D40" s="386" t="s">
        <v>10054</v>
      </c>
      <c r="E40" s="390" t="s">
        <v>5</v>
      </c>
      <c r="F40" s="386" t="s">
        <v>447</v>
      </c>
      <c r="G40" s="386" t="s">
        <v>10055</v>
      </c>
      <c r="H40" s="386">
        <v>3.5</v>
      </c>
      <c r="I40" s="386" t="s">
        <v>622</v>
      </c>
      <c r="J40" s="386" t="s">
        <v>10056</v>
      </c>
      <c r="K40" s="386">
        <v>4</v>
      </c>
      <c r="L40" s="386" t="s">
        <v>451</v>
      </c>
      <c r="M40" s="386">
        <v>5000000</v>
      </c>
      <c r="N40" s="386" t="s">
        <v>452</v>
      </c>
      <c r="O40" s="386" t="s">
        <v>10057</v>
      </c>
      <c r="P40" s="386" t="s">
        <v>725</v>
      </c>
      <c r="Q40" s="386" t="s">
        <v>20</v>
      </c>
      <c r="R40" s="445" t="s">
        <v>10058</v>
      </c>
      <c r="S40" s="446"/>
      <c r="T40" s="446"/>
      <c r="U40" s="446"/>
      <c r="V40" s="386"/>
      <c r="W40" s="386"/>
      <c r="X40" s="386"/>
      <c r="Y40" s="386"/>
      <c r="Z40" s="386"/>
    </row>
    <row r="41" spans="1:26" ht="15.75" customHeight="1">
      <c r="A41" s="450">
        <v>44782</v>
      </c>
      <c r="B41" s="451" t="s">
        <v>131</v>
      </c>
      <c r="C41" s="451">
        <v>3.75</v>
      </c>
      <c r="D41" s="451" t="s">
        <v>9362</v>
      </c>
      <c r="E41" s="451" t="s">
        <v>5</v>
      </c>
      <c r="F41" s="451" t="s">
        <v>447</v>
      </c>
      <c r="G41" s="451" t="s">
        <v>9363</v>
      </c>
      <c r="H41" s="451">
        <v>3.5</v>
      </c>
      <c r="I41" s="451" t="s">
        <v>543</v>
      </c>
      <c r="J41" s="451" t="s">
        <v>13400</v>
      </c>
      <c r="K41" s="451">
        <v>4</v>
      </c>
      <c r="L41" s="451" t="s">
        <v>478</v>
      </c>
      <c r="M41" s="451" t="s">
        <v>4956</v>
      </c>
      <c r="N41" s="451" t="s">
        <v>452</v>
      </c>
      <c r="O41" s="451" t="s">
        <v>9365</v>
      </c>
      <c r="P41" s="451"/>
      <c r="Q41" s="451" t="s">
        <v>19</v>
      </c>
      <c r="R41" s="452" t="s">
        <v>1334</v>
      </c>
      <c r="S41" s="451"/>
      <c r="T41" s="451"/>
      <c r="U41" s="451"/>
      <c r="V41" s="451"/>
      <c r="W41" s="451"/>
      <c r="X41" s="451"/>
      <c r="Y41" s="451"/>
      <c r="Z41" s="451"/>
    </row>
    <row r="42" spans="1:26" ht="15.75" customHeight="1">
      <c r="A42" s="454">
        <v>44782</v>
      </c>
      <c r="B42" s="455" t="s">
        <v>120</v>
      </c>
      <c r="C42" s="455">
        <v>3.75</v>
      </c>
      <c r="D42" s="455" t="s">
        <v>864</v>
      </c>
      <c r="E42" s="455" t="s">
        <v>5</v>
      </c>
      <c r="F42" s="455" t="s">
        <v>447</v>
      </c>
      <c r="G42" s="455" t="s">
        <v>10457</v>
      </c>
      <c r="H42" s="455">
        <v>3.5</v>
      </c>
      <c r="I42" s="455" t="s">
        <v>543</v>
      </c>
      <c r="J42" s="455" t="s">
        <v>866</v>
      </c>
      <c r="K42" s="455">
        <v>4</v>
      </c>
      <c r="L42" s="455"/>
      <c r="M42" s="455"/>
      <c r="N42" s="455" t="s">
        <v>452</v>
      </c>
      <c r="O42" s="455" t="s">
        <v>452</v>
      </c>
      <c r="P42" s="455"/>
      <c r="Q42" s="455" t="s">
        <v>18</v>
      </c>
      <c r="R42" s="456" t="s">
        <v>867</v>
      </c>
      <c r="S42" s="455"/>
      <c r="T42" s="455"/>
      <c r="U42" s="455"/>
      <c r="V42" s="455"/>
      <c r="W42" s="455"/>
      <c r="X42" s="455"/>
      <c r="Y42" s="455"/>
      <c r="Z42" s="455"/>
    </row>
    <row r="43" spans="1:26" ht="15.75" customHeight="1">
      <c r="A43" s="450">
        <v>44782</v>
      </c>
      <c r="B43" s="451" t="s">
        <v>146</v>
      </c>
      <c r="C43" s="451">
        <v>3.75</v>
      </c>
      <c r="D43" s="451" t="s">
        <v>9383</v>
      </c>
      <c r="E43" s="451" t="s">
        <v>5</v>
      </c>
      <c r="F43" s="451" t="s">
        <v>447</v>
      </c>
      <c r="G43" s="451" t="s">
        <v>10475</v>
      </c>
      <c r="H43" s="451">
        <v>3.5</v>
      </c>
      <c r="I43" s="451" t="s">
        <v>449</v>
      </c>
      <c r="J43" s="451" t="s">
        <v>13400</v>
      </c>
      <c r="K43" s="451">
        <v>4</v>
      </c>
      <c r="L43" s="451" t="s">
        <v>784</v>
      </c>
      <c r="M43" s="451">
        <v>250000</v>
      </c>
      <c r="N43" s="451" t="s">
        <v>454</v>
      </c>
      <c r="O43" s="451" t="s">
        <v>9386</v>
      </c>
      <c r="P43" s="451"/>
      <c r="Q43" s="451" t="s">
        <v>19</v>
      </c>
      <c r="R43" s="452" t="s">
        <v>1334</v>
      </c>
      <c r="S43" s="451"/>
      <c r="T43" s="451"/>
      <c r="U43" s="451"/>
      <c r="V43" s="451"/>
      <c r="W43" s="451"/>
      <c r="X43" s="451"/>
      <c r="Y43" s="451"/>
      <c r="Z43" s="451"/>
    </row>
    <row r="44" spans="1:26" ht="15.75" customHeight="1">
      <c r="A44" s="454">
        <v>44782</v>
      </c>
      <c r="B44" s="455" t="s">
        <v>132</v>
      </c>
      <c r="C44" s="455">
        <v>3.75</v>
      </c>
      <c r="D44" s="455" t="s">
        <v>10518</v>
      </c>
      <c r="E44" s="455" t="s">
        <v>5</v>
      </c>
      <c r="F44" s="455" t="s">
        <v>447</v>
      </c>
      <c r="G44" s="455" t="s">
        <v>10519</v>
      </c>
      <c r="H44" s="455">
        <v>3.5</v>
      </c>
      <c r="I44" s="455" t="s">
        <v>543</v>
      </c>
      <c r="J44" s="455" t="s">
        <v>13400</v>
      </c>
      <c r="K44" s="455">
        <v>4</v>
      </c>
      <c r="L44" s="455" t="s">
        <v>478</v>
      </c>
      <c r="M44" s="455" t="s">
        <v>3191</v>
      </c>
      <c r="N44" s="455" t="s">
        <v>452</v>
      </c>
      <c r="O44" s="455" t="s">
        <v>3192</v>
      </c>
      <c r="P44" s="455"/>
      <c r="Q44" s="455" t="s">
        <v>20</v>
      </c>
      <c r="R44" s="456" t="s">
        <v>3193</v>
      </c>
      <c r="S44" s="455"/>
      <c r="T44" s="455"/>
      <c r="U44" s="455"/>
      <c r="V44" s="455"/>
      <c r="W44" s="455"/>
      <c r="X44" s="455"/>
      <c r="Y44" s="455"/>
      <c r="Z44" s="455"/>
    </row>
    <row r="45" spans="1:26" ht="15.75" customHeight="1">
      <c r="A45" s="454">
        <v>44782</v>
      </c>
      <c r="B45" s="455" t="s">
        <v>9872</v>
      </c>
      <c r="C45" s="455">
        <v>3.75</v>
      </c>
      <c r="D45" s="455" t="s">
        <v>9875</v>
      </c>
      <c r="E45" s="455" t="s">
        <v>3</v>
      </c>
      <c r="F45" s="455" t="s">
        <v>460</v>
      </c>
      <c r="G45" s="455" t="s">
        <v>9876</v>
      </c>
      <c r="H45" s="455">
        <v>3.5</v>
      </c>
      <c r="I45" s="455" t="s">
        <v>488</v>
      </c>
      <c r="J45" s="455" t="s">
        <v>9877</v>
      </c>
      <c r="K45" s="455">
        <v>4</v>
      </c>
      <c r="L45" s="455" t="s">
        <v>451</v>
      </c>
      <c r="M45" s="455">
        <v>1000000</v>
      </c>
      <c r="N45" s="455" t="s">
        <v>452</v>
      </c>
      <c r="O45" s="455" t="s">
        <v>452</v>
      </c>
      <c r="P45" s="455" t="s">
        <v>11386</v>
      </c>
      <c r="Q45" s="455" t="s">
        <v>23</v>
      </c>
      <c r="R45" s="456" t="s">
        <v>9879</v>
      </c>
      <c r="S45" s="455"/>
      <c r="T45" s="455"/>
      <c r="U45" s="455"/>
      <c r="V45" s="455"/>
      <c r="W45" s="455"/>
      <c r="X45" s="455"/>
      <c r="Y45" s="455"/>
      <c r="Z45" s="455"/>
    </row>
    <row r="46" spans="1:26" ht="15.75" customHeight="1">
      <c r="A46" s="454">
        <v>44782</v>
      </c>
      <c r="B46" s="455" t="s">
        <v>280</v>
      </c>
      <c r="C46" s="455">
        <v>3.75</v>
      </c>
      <c r="D46" s="455" t="s">
        <v>9516</v>
      </c>
      <c r="E46" s="455" t="s">
        <v>4</v>
      </c>
      <c r="F46" s="455" t="s">
        <v>727</v>
      </c>
      <c r="G46" s="455" t="s">
        <v>11406</v>
      </c>
      <c r="H46" s="455">
        <v>4.5</v>
      </c>
      <c r="I46" s="455" t="s">
        <v>476</v>
      </c>
      <c r="J46" s="455" t="s">
        <v>9518</v>
      </c>
      <c r="K46" s="455">
        <v>3</v>
      </c>
      <c r="L46" s="455" t="s">
        <v>784</v>
      </c>
      <c r="M46" s="455">
        <v>250000</v>
      </c>
      <c r="N46" s="455" t="s">
        <v>454</v>
      </c>
      <c r="O46" s="455" t="s">
        <v>9519</v>
      </c>
      <c r="P46" s="455" t="s">
        <v>9520</v>
      </c>
      <c r="Q46" s="455" t="s">
        <v>20</v>
      </c>
      <c r="R46" s="456" t="s">
        <v>11531</v>
      </c>
      <c r="S46" s="455"/>
      <c r="T46" s="455"/>
      <c r="U46" s="455"/>
      <c r="V46" s="455"/>
      <c r="W46" s="455"/>
      <c r="X46" s="455"/>
      <c r="Y46" s="455"/>
      <c r="Z46" s="455"/>
    </row>
    <row r="47" spans="1:26" ht="15.75" customHeight="1">
      <c r="A47" s="454">
        <v>44782</v>
      </c>
      <c r="B47" s="455" t="s">
        <v>292</v>
      </c>
      <c r="C47" s="455">
        <v>3.63</v>
      </c>
      <c r="D47" s="455" t="s">
        <v>11215</v>
      </c>
      <c r="E47" s="455" t="s">
        <v>4</v>
      </c>
      <c r="F47" s="455" t="s">
        <v>727</v>
      </c>
      <c r="G47" s="455" t="s">
        <v>11216</v>
      </c>
      <c r="H47" s="455">
        <v>3.75</v>
      </c>
      <c r="I47" s="455" t="s">
        <v>1054</v>
      </c>
      <c r="J47" s="455" t="s">
        <v>11217</v>
      </c>
      <c r="K47" s="455">
        <v>3.5</v>
      </c>
      <c r="L47" s="455" t="s">
        <v>451</v>
      </c>
      <c r="M47" s="455">
        <v>750000</v>
      </c>
      <c r="N47" s="455" t="s">
        <v>452</v>
      </c>
      <c r="O47" s="455" t="s">
        <v>11532</v>
      </c>
      <c r="P47" s="455"/>
      <c r="Q47" s="455" t="s">
        <v>18</v>
      </c>
      <c r="R47" s="456" t="s">
        <v>4463</v>
      </c>
      <c r="S47" s="455"/>
      <c r="T47" s="455"/>
      <c r="U47" s="455"/>
      <c r="V47" s="455"/>
      <c r="W47" s="455"/>
      <c r="X47" s="455"/>
      <c r="Y47" s="455"/>
      <c r="Z47" s="455"/>
    </row>
    <row r="48" spans="1:26" ht="15.75" customHeight="1">
      <c r="A48" s="450">
        <v>44782</v>
      </c>
      <c r="B48" s="451" t="s">
        <v>1327</v>
      </c>
      <c r="C48" s="451">
        <v>3.5</v>
      </c>
      <c r="D48" s="451" t="s">
        <v>1330</v>
      </c>
      <c r="E48" s="451" t="s">
        <v>5</v>
      </c>
      <c r="F48" s="451" t="s">
        <v>447</v>
      </c>
      <c r="G48" s="451" t="s">
        <v>10325</v>
      </c>
      <c r="H48" s="451">
        <v>3.5</v>
      </c>
      <c r="I48" s="451" t="s">
        <v>543</v>
      </c>
      <c r="J48" s="451" t="s">
        <v>1332</v>
      </c>
      <c r="K48" s="451">
        <v>3.5</v>
      </c>
      <c r="L48" s="451"/>
      <c r="M48" s="451"/>
      <c r="N48" s="451" t="s">
        <v>452</v>
      </c>
      <c r="O48" s="451" t="s">
        <v>10326</v>
      </c>
      <c r="P48" s="451"/>
      <c r="Q48" s="451" t="s">
        <v>19</v>
      </c>
      <c r="R48" s="452" t="s">
        <v>1334</v>
      </c>
      <c r="S48" s="451"/>
      <c r="T48" s="451"/>
      <c r="U48" s="451"/>
      <c r="V48" s="451"/>
      <c r="W48" s="451"/>
      <c r="X48" s="451"/>
      <c r="Y48" s="451"/>
      <c r="Z48" s="451"/>
    </row>
    <row r="49" spans="1:26" ht="15.75" customHeight="1">
      <c r="A49" s="454">
        <v>44782</v>
      </c>
      <c r="B49" s="455" t="s">
        <v>227</v>
      </c>
      <c r="C49" s="455">
        <v>3.5</v>
      </c>
      <c r="D49" s="455" t="s">
        <v>1358</v>
      </c>
      <c r="E49" s="455" t="s">
        <v>4</v>
      </c>
      <c r="F49" s="455" t="s">
        <v>602</v>
      </c>
      <c r="G49" s="455" t="s">
        <v>1359</v>
      </c>
      <c r="H49" s="455">
        <v>4</v>
      </c>
      <c r="I49" s="455" t="s">
        <v>476</v>
      </c>
      <c r="J49" s="455" t="s">
        <v>13400</v>
      </c>
      <c r="K49" s="455">
        <v>3</v>
      </c>
      <c r="L49" s="455" t="s">
        <v>1361</v>
      </c>
      <c r="M49" s="455" t="s">
        <v>1362</v>
      </c>
      <c r="N49" s="455" t="s">
        <v>465</v>
      </c>
      <c r="O49" s="455" t="s">
        <v>1363</v>
      </c>
      <c r="P49" s="455"/>
      <c r="Q49" s="455" t="s">
        <v>18</v>
      </c>
      <c r="R49" s="456" t="s">
        <v>1364</v>
      </c>
      <c r="S49" s="446"/>
      <c r="T49" s="446"/>
      <c r="U49" s="446"/>
      <c r="V49" s="448"/>
      <c r="W49" s="448"/>
      <c r="X49" s="448"/>
      <c r="Y49" s="448"/>
      <c r="Z49" s="448"/>
    </row>
    <row r="50" spans="1:26" ht="15.75" customHeight="1">
      <c r="A50" s="454">
        <v>44782</v>
      </c>
      <c r="B50" s="455" t="s">
        <v>250</v>
      </c>
      <c r="C50" s="455">
        <v>3.5</v>
      </c>
      <c r="D50" s="455" t="s">
        <v>1446</v>
      </c>
      <c r="E50" s="455" t="s">
        <v>5</v>
      </c>
      <c r="F50" s="455" t="s">
        <v>447</v>
      </c>
      <c r="G50" s="455" t="s">
        <v>11533</v>
      </c>
      <c r="H50" s="455">
        <v>4</v>
      </c>
      <c r="I50" s="455" t="s">
        <v>622</v>
      </c>
      <c r="J50" s="455" t="s">
        <v>1448</v>
      </c>
      <c r="K50" s="455">
        <v>3</v>
      </c>
      <c r="L50" s="455" t="s">
        <v>973</v>
      </c>
      <c r="M50" s="455">
        <v>30000000</v>
      </c>
      <c r="N50" s="455" t="s">
        <v>452</v>
      </c>
      <c r="O50" s="455" t="s">
        <v>10412</v>
      </c>
      <c r="P50" s="455" t="s">
        <v>447</v>
      </c>
      <c r="Q50" s="455" t="s">
        <v>18</v>
      </c>
      <c r="R50" s="456" t="s">
        <v>1450</v>
      </c>
      <c r="S50" s="455"/>
      <c r="T50" s="455"/>
      <c r="U50" s="455"/>
      <c r="V50" s="455"/>
      <c r="W50" s="455"/>
      <c r="X50" s="455"/>
      <c r="Y50" s="455"/>
      <c r="Z50" s="455"/>
    </row>
    <row r="51" spans="1:26" ht="15.75" customHeight="1">
      <c r="A51" s="450">
        <v>44782</v>
      </c>
      <c r="B51" s="451" t="s">
        <v>141</v>
      </c>
      <c r="C51" s="451">
        <v>3.5</v>
      </c>
      <c r="D51" s="451" t="s">
        <v>11534</v>
      </c>
      <c r="E51" s="451" t="s">
        <v>5</v>
      </c>
      <c r="F51" s="451" t="s">
        <v>447</v>
      </c>
      <c r="G51" s="451" t="s">
        <v>10438</v>
      </c>
      <c r="H51" s="451">
        <v>3</v>
      </c>
      <c r="I51" s="451" t="s">
        <v>449</v>
      </c>
      <c r="J51" s="451" t="s">
        <v>13400</v>
      </c>
      <c r="K51" s="451">
        <v>4</v>
      </c>
      <c r="L51" s="451" t="s">
        <v>451</v>
      </c>
      <c r="M51" s="451">
        <v>1500000</v>
      </c>
      <c r="N51" s="451" t="s">
        <v>452</v>
      </c>
      <c r="O51" s="451" t="s">
        <v>9485</v>
      </c>
      <c r="P51" s="451"/>
      <c r="Q51" s="451" t="s">
        <v>20</v>
      </c>
      <c r="R51" s="452" t="s">
        <v>9486</v>
      </c>
      <c r="S51" s="451"/>
      <c r="T51" s="451"/>
      <c r="U51" s="451"/>
      <c r="V51" s="451"/>
      <c r="W51" s="451"/>
      <c r="X51" s="451"/>
      <c r="Y51" s="451"/>
      <c r="Z51" s="451"/>
    </row>
    <row r="52" spans="1:26" ht="15.75" customHeight="1">
      <c r="A52" s="444">
        <v>44782</v>
      </c>
      <c r="B52" s="386" t="s">
        <v>4735</v>
      </c>
      <c r="C52" s="386">
        <v>3.5</v>
      </c>
      <c r="D52" s="386" t="s">
        <v>4738</v>
      </c>
      <c r="E52" s="390" t="s">
        <v>4</v>
      </c>
      <c r="F52" s="386" t="s">
        <v>727</v>
      </c>
      <c r="G52" s="386" t="s">
        <v>4739</v>
      </c>
      <c r="H52" s="386">
        <v>4</v>
      </c>
      <c r="I52" s="386" t="s">
        <v>1054</v>
      </c>
      <c r="J52" s="386" t="s">
        <v>10445</v>
      </c>
      <c r="K52" s="386">
        <v>3</v>
      </c>
      <c r="L52" s="386" t="s">
        <v>451</v>
      </c>
      <c r="M52" s="386">
        <v>3000000</v>
      </c>
      <c r="N52" s="386" t="s">
        <v>465</v>
      </c>
      <c r="O52" s="386" t="s">
        <v>452</v>
      </c>
      <c r="P52" s="386" t="s">
        <v>710</v>
      </c>
      <c r="Q52" s="386" t="s">
        <v>24</v>
      </c>
      <c r="R52" s="445"/>
      <c r="S52" s="446"/>
      <c r="T52" s="446"/>
      <c r="U52" s="446"/>
      <c r="V52" s="386"/>
      <c r="W52" s="386"/>
      <c r="X52" s="386"/>
      <c r="Y52" s="386"/>
      <c r="Z52" s="386"/>
    </row>
    <row r="53" spans="1:26" ht="15.75" customHeight="1">
      <c r="A53" s="450">
        <v>44782</v>
      </c>
      <c r="B53" s="451" t="s">
        <v>299</v>
      </c>
      <c r="C53" s="451">
        <v>3.5</v>
      </c>
      <c r="D53" s="451" t="s">
        <v>4665</v>
      </c>
      <c r="E53" s="451" t="s">
        <v>3</v>
      </c>
      <c r="F53" s="451" t="s">
        <v>460</v>
      </c>
      <c r="G53" s="451" t="s">
        <v>4666</v>
      </c>
      <c r="H53" s="451">
        <v>4</v>
      </c>
      <c r="I53" s="451" t="s">
        <v>462</v>
      </c>
      <c r="J53" s="451"/>
      <c r="K53" s="451">
        <v>3</v>
      </c>
      <c r="L53" s="451" t="s">
        <v>478</v>
      </c>
      <c r="M53" s="451" t="s">
        <v>4667</v>
      </c>
      <c r="N53" s="451" t="s">
        <v>452</v>
      </c>
      <c r="O53" s="451" t="s">
        <v>452</v>
      </c>
      <c r="P53" s="451"/>
      <c r="Q53" s="451" t="s">
        <v>20</v>
      </c>
      <c r="R53" s="452" t="s">
        <v>4668</v>
      </c>
      <c r="S53" s="451"/>
      <c r="T53" s="451"/>
      <c r="U53" s="451"/>
      <c r="V53" s="451"/>
      <c r="W53" s="451"/>
      <c r="X53" s="451"/>
      <c r="Y53" s="451"/>
      <c r="Z53" s="451"/>
    </row>
    <row r="54" spans="1:26" ht="15.75" customHeight="1">
      <c r="A54" s="454">
        <v>44782</v>
      </c>
      <c r="B54" s="455" t="s">
        <v>2965</v>
      </c>
      <c r="C54" s="455">
        <v>3.5</v>
      </c>
      <c r="D54" s="455" t="s">
        <v>2968</v>
      </c>
      <c r="E54" s="455" t="s">
        <v>5</v>
      </c>
      <c r="F54" s="455" t="s">
        <v>447</v>
      </c>
      <c r="G54" s="455" t="s">
        <v>11171</v>
      </c>
      <c r="H54" s="455">
        <v>3.5</v>
      </c>
      <c r="I54" s="455" t="s">
        <v>543</v>
      </c>
      <c r="J54" s="455">
        <v>3.5</v>
      </c>
      <c r="K54" s="455">
        <v>3.5</v>
      </c>
      <c r="L54" s="455" t="s">
        <v>784</v>
      </c>
      <c r="M54" s="455" t="s">
        <v>2527</v>
      </c>
      <c r="N54" s="455" t="s">
        <v>452</v>
      </c>
      <c r="O54" s="455" t="s">
        <v>452</v>
      </c>
      <c r="P54" s="455" t="s">
        <v>727</v>
      </c>
      <c r="Q54" s="455" t="s">
        <v>24</v>
      </c>
      <c r="R54" s="456" t="s">
        <v>11173</v>
      </c>
      <c r="S54" s="455"/>
      <c r="T54" s="455"/>
      <c r="U54" s="455"/>
      <c r="V54" s="455"/>
      <c r="W54" s="455"/>
      <c r="X54" s="455"/>
      <c r="Y54" s="455"/>
      <c r="Z54" s="455"/>
    </row>
    <row r="55" spans="1:26" ht="15.75" customHeight="1">
      <c r="A55" s="447">
        <v>44782</v>
      </c>
      <c r="B55" s="448" t="s">
        <v>375</v>
      </c>
      <c r="C55" s="448">
        <v>3.5</v>
      </c>
      <c r="D55" s="448" t="s">
        <v>10012</v>
      </c>
      <c r="E55" s="390" t="s">
        <v>5</v>
      </c>
      <c r="F55" s="448" t="s">
        <v>447</v>
      </c>
      <c r="G55" s="448" t="s">
        <v>11201</v>
      </c>
      <c r="H55" s="448">
        <v>4</v>
      </c>
      <c r="I55" s="448" t="s">
        <v>449</v>
      </c>
      <c r="J55" s="448" t="s">
        <v>13400</v>
      </c>
      <c r="K55" s="448">
        <v>3</v>
      </c>
      <c r="L55" s="448" t="s">
        <v>451</v>
      </c>
      <c r="M55" s="448">
        <v>5000000</v>
      </c>
      <c r="N55" s="448" t="s">
        <v>452</v>
      </c>
      <c r="O55" s="448" t="s">
        <v>452</v>
      </c>
      <c r="P55" s="448" t="s">
        <v>447</v>
      </c>
      <c r="Q55" s="448" t="s">
        <v>18</v>
      </c>
      <c r="R55" s="449"/>
      <c r="S55" s="446"/>
      <c r="T55" s="446"/>
      <c r="U55" s="446"/>
      <c r="V55" s="448"/>
      <c r="W55" s="448"/>
      <c r="X55" s="448"/>
      <c r="Y55" s="448"/>
      <c r="Z55" s="448"/>
    </row>
    <row r="56" spans="1:26" ht="15.75" customHeight="1">
      <c r="A56" s="454">
        <v>44782</v>
      </c>
      <c r="B56" s="455" t="s">
        <v>8859</v>
      </c>
      <c r="C56" s="455">
        <v>3.5</v>
      </c>
      <c r="D56" s="455" t="s">
        <v>11221</v>
      </c>
      <c r="E56" s="455" t="s">
        <v>3</v>
      </c>
      <c r="F56" s="455" t="s">
        <v>460</v>
      </c>
      <c r="G56" s="455" t="s">
        <v>8863</v>
      </c>
      <c r="H56" s="455">
        <v>3</v>
      </c>
      <c r="I56" s="455" t="s">
        <v>462</v>
      </c>
      <c r="J56" s="455" t="s">
        <v>11222</v>
      </c>
      <c r="K56" s="455">
        <v>4</v>
      </c>
      <c r="L56" s="455" t="s">
        <v>451</v>
      </c>
      <c r="M56" s="455">
        <v>1000000</v>
      </c>
      <c r="N56" s="455" t="s">
        <v>454</v>
      </c>
      <c r="O56" s="455" t="s">
        <v>8865</v>
      </c>
      <c r="P56" s="455"/>
      <c r="Q56" s="455" t="s">
        <v>24</v>
      </c>
      <c r="R56" s="456" t="s">
        <v>8866</v>
      </c>
      <c r="S56" s="455"/>
      <c r="T56" s="455"/>
      <c r="U56" s="455"/>
      <c r="V56" s="455"/>
      <c r="W56" s="455"/>
      <c r="X56" s="455"/>
      <c r="Y56" s="455"/>
      <c r="Z56" s="455"/>
    </row>
    <row r="57" spans="1:26" ht="15.75" customHeight="1">
      <c r="A57" s="447">
        <v>44782</v>
      </c>
      <c r="B57" s="448" t="s">
        <v>4822</v>
      </c>
      <c r="C57" s="448">
        <v>3.5</v>
      </c>
      <c r="D57" s="448" t="s">
        <v>4825</v>
      </c>
      <c r="E57" s="390" t="s">
        <v>4</v>
      </c>
      <c r="F57" s="448" t="s">
        <v>727</v>
      </c>
      <c r="G57" s="448" t="s">
        <v>11388</v>
      </c>
      <c r="H57" s="448">
        <v>3</v>
      </c>
      <c r="I57" s="448" t="s">
        <v>476</v>
      </c>
      <c r="J57" s="448" t="s">
        <v>13400</v>
      </c>
      <c r="K57" s="448">
        <v>4</v>
      </c>
      <c r="L57" s="448" t="s">
        <v>451</v>
      </c>
      <c r="M57" s="448" t="s">
        <v>4828</v>
      </c>
      <c r="N57" s="448" t="s">
        <v>452</v>
      </c>
      <c r="O57" s="448" t="s">
        <v>4829</v>
      </c>
      <c r="P57" s="448"/>
      <c r="Q57" s="448" t="s">
        <v>24</v>
      </c>
      <c r="R57" s="449"/>
      <c r="S57" s="446"/>
      <c r="T57" s="446"/>
      <c r="U57" s="446"/>
      <c r="V57" s="448"/>
      <c r="W57" s="448"/>
      <c r="X57" s="448"/>
      <c r="Y57" s="448"/>
      <c r="Z57" s="448"/>
    </row>
    <row r="58" spans="1:26" ht="15.75" customHeight="1">
      <c r="A58" s="454">
        <v>44782</v>
      </c>
      <c r="B58" s="455" t="s">
        <v>66</v>
      </c>
      <c r="C58" s="455">
        <v>3.5</v>
      </c>
      <c r="D58" s="455" t="s">
        <v>9458</v>
      </c>
      <c r="E58" s="455" t="s">
        <v>3</v>
      </c>
      <c r="F58" s="455" t="s">
        <v>460</v>
      </c>
      <c r="G58" s="455" t="s">
        <v>9459</v>
      </c>
      <c r="H58" s="455">
        <v>3</v>
      </c>
      <c r="I58" s="455" t="s">
        <v>462</v>
      </c>
      <c r="J58" s="455" t="s">
        <v>9460</v>
      </c>
      <c r="K58" s="455">
        <v>4</v>
      </c>
      <c r="L58" s="455" t="s">
        <v>478</v>
      </c>
      <c r="M58" s="455">
        <v>20000000</v>
      </c>
      <c r="N58" s="455" t="s">
        <v>452</v>
      </c>
      <c r="O58" s="455" t="s">
        <v>452</v>
      </c>
      <c r="P58" s="455"/>
      <c r="Q58" s="455" t="s">
        <v>20</v>
      </c>
      <c r="R58" s="456" t="s">
        <v>11535</v>
      </c>
      <c r="S58" s="455"/>
      <c r="T58" s="455"/>
      <c r="U58" s="455"/>
      <c r="V58" s="455"/>
      <c r="W58" s="455"/>
      <c r="X58" s="455"/>
      <c r="Y58" s="455"/>
      <c r="Z58" s="455"/>
    </row>
    <row r="59" spans="1:26" ht="15.75" customHeight="1">
      <c r="A59" s="447">
        <v>44782</v>
      </c>
      <c r="B59" s="448" t="s">
        <v>2931</v>
      </c>
      <c r="C59" s="448">
        <v>3.5</v>
      </c>
      <c r="D59" s="448" t="s">
        <v>2934</v>
      </c>
      <c r="E59" s="390" t="s">
        <v>5</v>
      </c>
      <c r="F59" s="448" t="s">
        <v>447</v>
      </c>
      <c r="G59" s="448" t="s">
        <v>11174</v>
      </c>
      <c r="H59" s="448">
        <v>4</v>
      </c>
      <c r="I59" s="448" t="s">
        <v>622</v>
      </c>
      <c r="J59" s="448" t="s">
        <v>11536</v>
      </c>
      <c r="K59" s="448">
        <v>3</v>
      </c>
      <c r="L59" s="448" t="s">
        <v>451</v>
      </c>
      <c r="M59" s="448">
        <v>1500000</v>
      </c>
      <c r="N59" s="448" t="s">
        <v>452</v>
      </c>
      <c r="O59" s="448" t="s">
        <v>2937</v>
      </c>
      <c r="P59" s="448"/>
      <c r="Q59" s="448" t="s">
        <v>24</v>
      </c>
      <c r="R59" s="449"/>
      <c r="S59" s="446"/>
      <c r="T59" s="446"/>
      <c r="U59" s="446"/>
      <c r="V59" s="448"/>
      <c r="W59" s="448"/>
      <c r="X59" s="448"/>
      <c r="Y59" s="448"/>
      <c r="Z59" s="448"/>
    </row>
    <row r="60" spans="1:26" ht="15.75" customHeight="1">
      <c r="A60" s="444">
        <v>44782</v>
      </c>
      <c r="B60" s="386" t="s">
        <v>4942</v>
      </c>
      <c r="C60" s="386">
        <v>3.38</v>
      </c>
      <c r="D60" s="386" t="s">
        <v>4945</v>
      </c>
      <c r="E60" s="390" t="s">
        <v>4</v>
      </c>
      <c r="F60" s="386" t="s">
        <v>727</v>
      </c>
      <c r="G60" s="386" t="s">
        <v>4946</v>
      </c>
      <c r="H60" s="386">
        <v>3.75</v>
      </c>
      <c r="I60" s="386" t="s">
        <v>1054</v>
      </c>
      <c r="J60" s="386"/>
      <c r="K60" s="386">
        <v>3</v>
      </c>
      <c r="L60" s="386" t="s">
        <v>451</v>
      </c>
      <c r="M60" s="386">
        <v>345000</v>
      </c>
      <c r="N60" s="386" t="s">
        <v>452</v>
      </c>
      <c r="O60" s="386" t="s">
        <v>4947</v>
      </c>
      <c r="P60" s="386"/>
      <c r="Q60" s="386" t="s">
        <v>24</v>
      </c>
      <c r="R60" s="445"/>
      <c r="S60" s="446"/>
      <c r="T60" s="446"/>
      <c r="U60" s="446"/>
      <c r="V60" s="386"/>
      <c r="W60" s="386"/>
      <c r="X60" s="386"/>
      <c r="Y60" s="386"/>
      <c r="Z60" s="386"/>
    </row>
    <row r="61" spans="1:26" ht="15.75" customHeight="1">
      <c r="A61" s="447">
        <v>44782</v>
      </c>
      <c r="B61" s="448" t="s">
        <v>5235</v>
      </c>
      <c r="C61" s="448">
        <v>3.25</v>
      </c>
      <c r="D61" s="448" t="s">
        <v>5238</v>
      </c>
      <c r="E61" s="390" t="s">
        <v>4</v>
      </c>
      <c r="F61" s="448" t="s">
        <v>727</v>
      </c>
      <c r="G61" s="448" t="s">
        <v>5239</v>
      </c>
      <c r="H61" s="448">
        <v>3.5</v>
      </c>
      <c r="I61" s="448" t="s">
        <v>476</v>
      </c>
      <c r="J61" s="448" t="s">
        <v>13400</v>
      </c>
      <c r="K61" s="448">
        <v>3</v>
      </c>
      <c r="L61" s="448"/>
      <c r="M61" s="448"/>
      <c r="N61" s="448" t="s">
        <v>452</v>
      </c>
      <c r="O61" s="448" t="s">
        <v>5241</v>
      </c>
      <c r="P61" s="448" t="s">
        <v>447</v>
      </c>
      <c r="Q61" s="448" t="s">
        <v>24</v>
      </c>
      <c r="R61" s="449"/>
      <c r="S61" s="446"/>
      <c r="T61" s="446"/>
      <c r="U61" s="446"/>
      <c r="V61" s="448"/>
      <c r="W61" s="448"/>
      <c r="X61" s="448"/>
      <c r="Y61" s="448"/>
      <c r="Z61" s="448"/>
    </row>
    <row r="62" spans="1:26" ht="15.75" customHeight="1">
      <c r="A62" s="444">
        <v>44782</v>
      </c>
      <c r="B62" s="386" t="s">
        <v>9210</v>
      </c>
      <c r="C62" s="386">
        <v>3.25</v>
      </c>
      <c r="D62" s="386" t="s">
        <v>9213</v>
      </c>
      <c r="E62" s="390" t="s">
        <v>3</v>
      </c>
      <c r="F62" s="386" t="s">
        <v>727</v>
      </c>
      <c r="G62" s="386" t="s">
        <v>10271</v>
      </c>
      <c r="H62" s="386">
        <v>3</v>
      </c>
      <c r="I62" s="386" t="s">
        <v>1054</v>
      </c>
      <c r="J62" s="386"/>
      <c r="K62" s="386">
        <v>3.5</v>
      </c>
      <c r="L62" s="386" t="s">
        <v>478</v>
      </c>
      <c r="M62" s="386" t="s">
        <v>9215</v>
      </c>
      <c r="N62" s="386" t="s">
        <v>452</v>
      </c>
      <c r="O62" s="386" t="s">
        <v>9216</v>
      </c>
      <c r="P62" s="386"/>
      <c r="Q62" s="386" t="s">
        <v>24</v>
      </c>
      <c r="R62" s="445"/>
      <c r="S62" s="446"/>
      <c r="T62" s="446"/>
      <c r="U62" s="446"/>
      <c r="V62" s="386"/>
      <c r="W62" s="386"/>
      <c r="X62" s="386"/>
      <c r="Y62" s="386"/>
      <c r="Z62" s="386"/>
    </row>
    <row r="63" spans="1:26" ht="15.75" customHeight="1">
      <c r="A63" s="454">
        <v>44782</v>
      </c>
      <c r="B63" s="455" t="s">
        <v>74</v>
      </c>
      <c r="C63" s="455">
        <v>3.25</v>
      </c>
      <c r="D63" s="455" t="s">
        <v>9569</v>
      </c>
      <c r="E63" s="455" t="s">
        <v>3</v>
      </c>
      <c r="F63" s="455" t="s">
        <v>460</v>
      </c>
      <c r="G63" s="455" t="s">
        <v>9570</v>
      </c>
      <c r="H63" s="455">
        <v>3.5</v>
      </c>
      <c r="I63" s="455" t="s">
        <v>941</v>
      </c>
      <c r="J63" s="455"/>
      <c r="K63" s="455">
        <v>3</v>
      </c>
      <c r="L63" s="455" t="s">
        <v>478</v>
      </c>
      <c r="M63" s="455">
        <v>5000000</v>
      </c>
      <c r="N63" s="455" t="s">
        <v>452</v>
      </c>
      <c r="O63" s="455" t="s">
        <v>9571</v>
      </c>
      <c r="P63" s="455" t="s">
        <v>9572</v>
      </c>
      <c r="Q63" s="455" t="s">
        <v>20</v>
      </c>
      <c r="R63" s="456" t="s">
        <v>9573</v>
      </c>
      <c r="S63" s="455"/>
      <c r="T63" s="455"/>
      <c r="U63" s="455"/>
      <c r="V63" s="455"/>
      <c r="W63" s="455"/>
      <c r="X63" s="455"/>
      <c r="Y63" s="455"/>
      <c r="Z63" s="455"/>
    </row>
    <row r="64" spans="1:26" ht="15.75" customHeight="1">
      <c r="A64" s="444">
        <v>44782</v>
      </c>
      <c r="B64" s="386" t="s">
        <v>3377</v>
      </c>
      <c r="C64" s="386">
        <v>3.25</v>
      </c>
      <c r="D64" s="386" t="s">
        <v>10391</v>
      </c>
      <c r="E64" s="390" t="s">
        <v>5</v>
      </c>
      <c r="F64" s="386" t="s">
        <v>447</v>
      </c>
      <c r="G64" s="386" t="s">
        <v>10392</v>
      </c>
      <c r="H64" s="386">
        <v>3.5</v>
      </c>
      <c r="I64" s="386" t="s">
        <v>476</v>
      </c>
      <c r="J64" s="386" t="s">
        <v>13400</v>
      </c>
      <c r="K64" s="386">
        <v>3</v>
      </c>
      <c r="L64" s="386" t="s">
        <v>478</v>
      </c>
      <c r="M64" s="386">
        <v>5000000</v>
      </c>
      <c r="N64" s="386" t="s">
        <v>3383</v>
      </c>
      <c r="O64" s="386" t="s">
        <v>10394</v>
      </c>
      <c r="P64" s="386"/>
      <c r="Q64" s="386" t="s">
        <v>24</v>
      </c>
      <c r="R64" s="445"/>
      <c r="S64" s="446"/>
      <c r="T64" s="446"/>
      <c r="U64" s="446"/>
      <c r="V64" s="386"/>
      <c r="W64" s="386"/>
      <c r="X64" s="386"/>
      <c r="Y64" s="386"/>
      <c r="Z64" s="386"/>
    </row>
    <row r="65" spans="1:26" ht="15.75" customHeight="1">
      <c r="A65" s="447">
        <v>44782</v>
      </c>
      <c r="B65" s="448" t="s">
        <v>2090</v>
      </c>
      <c r="C65" s="448">
        <v>3.25</v>
      </c>
      <c r="D65" s="448" t="s">
        <v>2093</v>
      </c>
      <c r="E65" s="390" t="s">
        <v>5</v>
      </c>
      <c r="F65" s="448" t="s">
        <v>447</v>
      </c>
      <c r="G65" s="448" t="s">
        <v>10401</v>
      </c>
      <c r="H65" s="448">
        <v>3.5</v>
      </c>
      <c r="I65" s="448" t="s">
        <v>449</v>
      </c>
      <c r="J65" s="448" t="s">
        <v>13400</v>
      </c>
      <c r="K65" s="448">
        <v>3</v>
      </c>
      <c r="L65" s="448" t="s">
        <v>451</v>
      </c>
      <c r="M65" s="448">
        <v>2500000</v>
      </c>
      <c r="N65" s="448" t="s">
        <v>465</v>
      </c>
      <c r="O65" s="448" t="s">
        <v>2096</v>
      </c>
      <c r="P65" s="448"/>
      <c r="Q65" s="448" t="s">
        <v>24</v>
      </c>
      <c r="R65" s="449"/>
      <c r="S65" s="446"/>
      <c r="T65" s="446"/>
      <c r="U65" s="446"/>
      <c r="V65" s="448"/>
      <c r="W65" s="448"/>
      <c r="X65" s="448"/>
      <c r="Y65" s="448"/>
      <c r="Z65" s="448"/>
    </row>
    <row r="66" spans="1:26" ht="15.75" customHeight="1">
      <c r="A66" s="450">
        <v>44782</v>
      </c>
      <c r="B66" s="451" t="s">
        <v>102</v>
      </c>
      <c r="C66" s="451">
        <v>3.25</v>
      </c>
      <c r="D66" s="451" t="s">
        <v>9450</v>
      </c>
      <c r="E66" s="451" t="s">
        <v>3</v>
      </c>
      <c r="F66" s="451" t="s">
        <v>460</v>
      </c>
      <c r="G66" s="451" t="s">
        <v>9451</v>
      </c>
      <c r="H66" s="451">
        <v>3</v>
      </c>
      <c r="I66" s="451" t="s">
        <v>941</v>
      </c>
      <c r="J66" s="451"/>
      <c r="K66" s="451">
        <v>3.5</v>
      </c>
      <c r="L66" s="451" t="s">
        <v>451</v>
      </c>
      <c r="M66" s="451">
        <v>1000000</v>
      </c>
      <c r="N66" s="451" t="s">
        <v>452</v>
      </c>
      <c r="O66" s="451" t="s">
        <v>11537</v>
      </c>
      <c r="P66" s="451"/>
      <c r="Q66" s="451" t="s">
        <v>19</v>
      </c>
      <c r="R66" s="452" t="s">
        <v>9453</v>
      </c>
      <c r="S66" s="451"/>
      <c r="T66" s="451"/>
      <c r="U66" s="451"/>
      <c r="V66" s="451"/>
      <c r="W66" s="451"/>
      <c r="X66" s="451"/>
      <c r="Y66" s="451"/>
      <c r="Z66" s="451"/>
    </row>
    <row r="67" spans="1:26" ht="15.75" customHeight="1">
      <c r="A67" s="450">
        <v>44782</v>
      </c>
      <c r="B67" s="451" t="s">
        <v>155</v>
      </c>
      <c r="C67" s="451">
        <v>3.25</v>
      </c>
      <c r="D67" s="451" t="s">
        <v>10478</v>
      </c>
      <c r="E67" s="451" t="s">
        <v>5</v>
      </c>
      <c r="F67" s="451" t="s">
        <v>447</v>
      </c>
      <c r="G67" s="451" t="s">
        <v>10479</v>
      </c>
      <c r="H67" s="451">
        <v>3.5</v>
      </c>
      <c r="I67" s="451" t="s">
        <v>543</v>
      </c>
      <c r="J67" s="451" t="s">
        <v>10480</v>
      </c>
      <c r="K67" s="451">
        <v>3</v>
      </c>
      <c r="L67" s="451" t="s">
        <v>478</v>
      </c>
      <c r="M67" s="451" t="s">
        <v>9403</v>
      </c>
      <c r="N67" s="451" t="s">
        <v>452</v>
      </c>
      <c r="O67" s="451" t="s">
        <v>452</v>
      </c>
      <c r="P67" s="451"/>
      <c r="Q67" s="451" t="s">
        <v>19</v>
      </c>
      <c r="R67" s="452" t="s">
        <v>2260</v>
      </c>
      <c r="S67" s="451"/>
      <c r="T67" s="451"/>
      <c r="U67" s="451"/>
      <c r="V67" s="451"/>
      <c r="W67" s="451"/>
      <c r="X67" s="451"/>
      <c r="Y67" s="451"/>
      <c r="Z67" s="451"/>
    </row>
    <row r="68" spans="1:26" ht="15.75" customHeight="1">
      <c r="A68" s="444">
        <v>44782</v>
      </c>
      <c r="B68" s="386" t="s">
        <v>2301</v>
      </c>
      <c r="C68" s="386">
        <v>3.25</v>
      </c>
      <c r="D68" s="386" t="s">
        <v>10482</v>
      </c>
      <c r="E68" s="390" t="s">
        <v>5</v>
      </c>
      <c r="F68" s="386" t="s">
        <v>447</v>
      </c>
      <c r="G68" s="386" t="s">
        <v>10483</v>
      </c>
      <c r="H68" s="386">
        <v>3</v>
      </c>
      <c r="I68" s="386" t="s">
        <v>543</v>
      </c>
      <c r="J68" s="386"/>
      <c r="K68" s="386">
        <v>3.5</v>
      </c>
      <c r="L68" s="386" t="s">
        <v>451</v>
      </c>
      <c r="M68" s="386" t="s">
        <v>2306</v>
      </c>
      <c r="N68" s="386" t="s">
        <v>452</v>
      </c>
      <c r="O68" s="386" t="s">
        <v>575</v>
      </c>
      <c r="P68" s="386"/>
      <c r="Q68" s="386" t="s">
        <v>24</v>
      </c>
      <c r="R68" s="445"/>
      <c r="S68" s="446"/>
      <c r="T68" s="446"/>
      <c r="U68" s="446"/>
      <c r="V68" s="386"/>
      <c r="W68" s="386"/>
      <c r="X68" s="386"/>
      <c r="Y68" s="386"/>
      <c r="Z68" s="386"/>
    </row>
    <row r="69" spans="1:26" ht="15.75" customHeight="1">
      <c r="A69" s="447">
        <v>44782</v>
      </c>
      <c r="B69" s="448" t="s">
        <v>5011</v>
      </c>
      <c r="C69" s="448">
        <v>3.25</v>
      </c>
      <c r="D69" s="448" t="s">
        <v>5014</v>
      </c>
      <c r="E69" s="390" t="s">
        <v>4</v>
      </c>
      <c r="F69" s="448" t="s">
        <v>602</v>
      </c>
      <c r="G69" s="448" t="s">
        <v>5015</v>
      </c>
      <c r="H69" s="448">
        <v>3.5</v>
      </c>
      <c r="I69" s="448" t="s">
        <v>1054</v>
      </c>
      <c r="J69" s="448" t="s">
        <v>5016</v>
      </c>
      <c r="K69" s="448">
        <v>3</v>
      </c>
      <c r="L69" s="448" t="s">
        <v>784</v>
      </c>
      <c r="M69" s="448">
        <v>500000</v>
      </c>
      <c r="N69" s="448" t="s">
        <v>452</v>
      </c>
      <c r="O69" s="448" t="s">
        <v>1119</v>
      </c>
      <c r="P69" s="448"/>
      <c r="Q69" s="448" t="s">
        <v>24</v>
      </c>
      <c r="R69" s="449"/>
      <c r="S69" s="446"/>
      <c r="T69" s="446"/>
      <c r="U69" s="446"/>
      <c r="V69" s="448"/>
      <c r="W69" s="448"/>
      <c r="X69" s="448"/>
      <c r="Y69" s="448"/>
      <c r="Z69" s="448"/>
    </row>
    <row r="70" spans="1:26" ht="15.75" customHeight="1">
      <c r="A70" s="450">
        <v>44782</v>
      </c>
      <c r="B70" s="451" t="s">
        <v>147</v>
      </c>
      <c r="C70" s="451">
        <v>3.25</v>
      </c>
      <c r="D70" s="451" t="s">
        <v>9391</v>
      </c>
      <c r="E70" s="451" t="s">
        <v>5</v>
      </c>
      <c r="F70" s="451" t="s">
        <v>447</v>
      </c>
      <c r="G70" s="451" t="s">
        <v>11205</v>
      </c>
      <c r="H70" s="451">
        <v>3</v>
      </c>
      <c r="I70" s="451" t="s">
        <v>543</v>
      </c>
      <c r="J70" s="451" t="s">
        <v>13400</v>
      </c>
      <c r="K70" s="451">
        <v>3.5</v>
      </c>
      <c r="L70" s="451" t="s">
        <v>478</v>
      </c>
      <c r="M70" s="451">
        <v>3000000</v>
      </c>
      <c r="N70" s="451" t="s">
        <v>465</v>
      </c>
      <c r="O70" s="451" t="s">
        <v>11206</v>
      </c>
      <c r="P70" s="451"/>
      <c r="Q70" s="451" t="s">
        <v>19</v>
      </c>
      <c r="R70" s="452" t="s">
        <v>9395</v>
      </c>
      <c r="S70" s="451"/>
      <c r="T70" s="451"/>
      <c r="U70" s="451"/>
      <c r="V70" s="451"/>
      <c r="W70" s="451"/>
      <c r="X70" s="451"/>
      <c r="Y70" s="451"/>
      <c r="Z70" s="451"/>
    </row>
    <row r="71" spans="1:26" ht="15.75" customHeight="1">
      <c r="A71" s="454">
        <v>44782</v>
      </c>
      <c r="B71" s="455" t="s">
        <v>3167</v>
      </c>
      <c r="C71" s="455">
        <v>3.25</v>
      </c>
      <c r="D71" s="455" t="s">
        <v>3170</v>
      </c>
      <c r="E71" s="455" t="s">
        <v>5</v>
      </c>
      <c r="F71" s="455" t="s">
        <v>447</v>
      </c>
      <c r="G71" s="455" t="s">
        <v>11207</v>
      </c>
      <c r="H71" s="455">
        <v>3</v>
      </c>
      <c r="I71" s="455" t="s">
        <v>543</v>
      </c>
      <c r="J71" s="455" t="s">
        <v>3172</v>
      </c>
      <c r="K71" s="455">
        <v>3.5</v>
      </c>
      <c r="L71" s="455" t="s">
        <v>923</v>
      </c>
      <c r="M71" s="455">
        <v>10000000</v>
      </c>
      <c r="N71" s="455" t="s">
        <v>452</v>
      </c>
      <c r="O71" s="455" t="s">
        <v>3173</v>
      </c>
      <c r="P71" s="455"/>
      <c r="Q71" s="455" t="s">
        <v>24</v>
      </c>
      <c r="R71" s="456" t="s">
        <v>3174</v>
      </c>
      <c r="S71" s="455"/>
      <c r="T71" s="455"/>
      <c r="U71" s="455"/>
      <c r="V71" s="455"/>
      <c r="W71" s="455"/>
      <c r="X71" s="455"/>
      <c r="Y71" s="455"/>
      <c r="Z71" s="455"/>
    </row>
    <row r="72" spans="1:26" ht="15.75" customHeight="1">
      <c r="A72" s="444">
        <v>44782</v>
      </c>
      <c r="B72" s="386" t="s">
        <v>4978</v>
      </c>
      <c r="C72" s="386">
        <v>3.25</v>
      </c>
      <c r="D72" s="386" t="s">
        <v>4981</v>
      </c>
      <c r="E72" s="390" t="s">
        <v>4</v>
      </c>
      <c r="F72" s="386" t="s">
        <v>727</v>
      </c>
      <c r="G72" s="386" t="s">
        <v>11474</v>
      </c>
      <c r="H72" s="386">
        <v>3</v>
      </c>
      <c r="I72" s="386" t="s">
        <v>1054</v>
      </c>
      <c r="J72" s="386" t="s">
        <v>4983</v>
      </c>
      <c r="K72" s="386">
        <v>3.5</v>
      </c>
      <c r="L72" s="386" t="s">
        <v>451</v>
      </c>
      <c r="M72" s="386">
        <v>1500000</v>
      </c>
      <c r="N72" s="386" t="s">
        <v>465</v>
      </c>
      <c r="O72" s="386" t="s">
        <v>4984</v>
      </c>
      <c r="P72" s="386"/>
      <c r="Q72" s="386" t="s">
        <v>24</v>
      </c>
      <c r="R72" s="445"/>
      <c r="S72" s="446"/>
      <c r="T72" s="446"/>
      <c r="U72" s="446"/>
      <c r="V72" s="386"/>
      <c r="W72" s="386"/>
      <c r="X72" s="386"/>
      <c r="Y72" s="386"/>
      <c r="Z72" s="386"/>
    </row>
    <row r="73" spans="1:26" ht="15.75" customHeight="1">
      <c r="A73" s="447">
        <v>44782</v>
      </c>
      <c r="B73" s="448" t="s">
        <v>5616</v>
      </c>
      <c r="C73" s="448">
        <v>3</v>
      </c>
      <c r="D73" s="448" t="s">
        <v>5619</v>
      </c>
      <c r="E73" s="390" t="s">
        <v>4</v>
      </c>
      <c r="F73" s="448" t="s">
        <v>602</v>
      </c>
      <c r="G73" s="448" t="s">
        <v>5620</v>
      </c>
      <c r="H73" s="448">
        <v>3</v>
      </c>
      <c r="I73" s="448" t="s">
        <v>1054</v>
      </c>
      <c r="J73" s="448" t="s">
        <v>5621</v>
      </c>
      <c r="K73" s="448">
        <v>3</v>
      </c>
      <c r="L73" s="448" t="s">
        <v>784</v>
      </c>
      <c r="M73" s="448">
        <v>1500000</v>
      </c>
      <c r="N73" s="448" t="s">
        <v>465</v>
      </c>
      <c r="O73" s="448" t="s">
        <v>5622</v>
      </c>
      <c r="P73" s="448" t="s">
        <v>5623</v>
      </c>
      <c r="Q73" s="448" t="s">
        <v>24</v>
      </c>
      <c r="R73" s="449"/>
      <c r="S73" s="446"/>
      <c r="T73" s="446"/>
      <c r="U73" s="446"/>
      <c r="V73" s="448"/>
      <c r="W73" s="448"/>
      <c r="X73" s="448"/>
      <c r="Y73" s="448"/>
      <c r="Z73" s="448"/>
    </row>
    <row r="74" spans="1:26" ht="15.75" customHeight="1">
      <c r="A74" s="450">
        <v>44782</v>
      </c>
      <c r="B74" s="451" t="s">
        <v>2904</v>
      </c>
      <c r="C74" s="451">
        <v>3</v>
      </c>
      <c r="D74" s="451" t="s">
        <v>2907</v>
      </c>
      <c r="E74" s="451" t="s">
        <v>5</v>
      </c>
      <c r="F74" s="451" t="s">
        <v>447</v>
      </c>
      <c r="G74" s="451" t="s">
        <v>2908</v>
      </c>
      <c r="H74" s="451">
        <v>3</v>
      </c>
      <c r="I74" s="451" t="s">
        <v>476</v>
      </c>
      <c r="J74" s="451" t="s">
        <v>13400</v>
      </c>
      <c r="K74" s="451">
        <v>3</v>
      </c>
      <c r="L74" s="451" t="s">
        <v>451</v>
      </c>
      <c r="M74" s="451">
        <v>3500000</v>
      </c>
      <c r="N74" s="451" t="s">
        <v>454</v>
      </c>
      <c r="O74" s="451" t="s">
        <v>2910</v>
      </c>
      <c r="P74" s="451" t="s">
        <v>725</v>
      </c>
      <c r="Q74" s="459"/>
      <c r="R74" s="452" t="s">
        <v>2911</v>
      </c>
      <c r="S74" s="451"/>
      <c r="T74" s="451"/>
      <c r="U74" s="451"/>
      <c r="V74" s="451"/>
      <c r="W74" s="451"/>
      <c r="X74" s="451"/>
      <c r="Y74" s="451"/>
      <c r="Z74" s="451"/>
    </row>
    <row r="75" spans="1:26" ht="15.75" customHeight="1">
      <c r="A75" s="450">
        <v>44782</v>
      </c>
      <c r="B75" s="451" t="s">
        <v>2263</v>
      </c>
      <c r="C75" s="451">
        <v>3</v>
      </c>
      <c r="D75" s="451" t="s">
        <v>2266</v>
      </c>
      <c r="E75" s="451" t="s">
        <v>3</v>
      </c>
      <c r="F75" s="451" t="s">
        <v>460</v>
      </c>
      <c r="G75" s="451" t="s">
        <v>2267</v>
      </c>
      <c r="H75" s="451">
        <v>3</v>
      </c>
      <c r="I75" s="451" t="s">
        <v>1054</v>
      </c>
      <c r="J75" s="451" t="s">
        <v>2268</v>
      </c>
      <c r="K75" s="451">
        <v>3</v>
      </c>
      <c r="L75" s="451" t="s">
        <v>451</v>
      </c>
      <c r="M75" s="451">
        <v>1300000</v>
      </c>
      <c r="N75" s="451" t="s">
        <v>465</v>
      </c>
      <c r="O75" s="451" t="s">
        <v>2269</v>
      </c>
      <c r="P75" s="451"/>
      <c r="Q75" s="451" t="s">
        <v>24</v>
      </c>
      <c r="R75" s="452" t="s">
        <v>2270</v>
      </c>
      <c r="S75" s="451"/>
      <c r="T75" s="451"/>
      <c r="U75" s="451"/>
      <c r="V75" s="451"/>
      <c r="W75" s="451"/>
      <c r="X75" s="451"/>
      <c r="Y75" s="451"/>
      <c r="Z75" s="451"/>
    </row>
    <row r="76" spans="1:26" ht="15.75" customHeight="1">
      <c r="A76" s="444">
        <v>44782</v>
      </c>
      <c r="B76" s="386" t="s">
        <v>2507</v>
      </c>
      <c r="C76" s="386">
        <v>3</v>
      </c>
      <c r="D76" s="386" t="s">
        <v>2510</v>
      </c>
      <c r="E76" s="390" t="s">
        <v>5</v>
      </c>
      <c r="F76" s="386" t="s">
        <v>447</v>
      </c>
      <c r="G76" s="386" t="s">
        <v>10331</v>
      </c>
      <c r="H76" s="386">
        <v>4</v>
      </c>
      <c r="I76" s="386" t="s">
        <v>622</v>
      </c>
      <c r="J76" s="386"/>
      <c r="K76" s="386">
        <v>2</v>
      </c>
      <c r="L76" s="386"/>
      <c r="M76" s="386"/>
      <c r="N76" s="386" t="s">
        <v>452</v>
      </c>
      <c r="O76" s="386" t="s">
        <v>2512</v>
      </c>
      <c r="P76" s="386"/>
      <c r="Q76" s="386" t="s">
        <v>24</v>
      </c>
      <c r="R76" s="445"/>
      <c r="S76" s="446"/>
      <c r="T76" s="446"/>
      <c r="U76" s="446"/>
      <c r="V76" s="386"/>
      <c r="W76" s="386"/>
      <c r="X76" s="386"/>
      <c r="Y76" s="386"/>
      <c r="Z76" s="386"/>
    </row>
    <row r="77" spans="1:26" ht="15.75" customHeight="1">
      <c r="A77" s="447">
        <v>44782</v>
      </c>
      <c r="B77" s="448" t="s">
        <v>9630</v>
      </c>
      <c r="C77" s="448">
        <v>3</v>
      </c>
      <c r="D77" s="448" t="s">
        <v>9633</v>
      </c>
      <c r="E77" s="390" t="s">
        <v>4</v>
      </c>
      <c r="F77" s="448" t="s">
        <v>727</v>
      </c>
      <c r="G77" s="448" t="s">
        <v>10378</v>
      </c>
      <c r="H77" s="448">
        <v>3</v>
      </c>
      <c r="I77" s="448" t="s">
        <v>447</v>
      </c>
      <c r="J77" s="448" t="s">
        <v>10379</v>
      </c>
      <c r="K77" s="448">
        <v>3</v>
      </c>
      <c r="L77" s="448" t="s">
        <v>451</v>
      </c>
      <c r="M77" s="448" t="s">
        <v>4444</v>
      </c>
      <c r="N77" s="448" t="s">
        <v>452</v>
      </c>
      <c r="O77" s="448" t="s">
        <v>9636</v>
      </c>
      <c r="P77" s="448"/>
      <c r="Q77" s="448" t="s">
        <v>24</v>
      </c>
      <c r="R77" s="449"/>
      <c r="S77" s="446"/>
      <c r="T77" s="446"/>
      <c r="U77" s="446"/>
      <c r="V77" s="448"/>
      <c r="W77" s="448"/>
      <c r="X77" s="448"/>
      <c r="Y77" s="448"/>
      <c r="Z77" s="448"/>
    </row>
    <row r="78" spans="1:26" ht="15.75" customHeight="1">
      <c r="A78" s="444">
        <v>44782</v>
      </c>
      <c r="B78" s="386" t="s">
        <v>5757</v>
      </c>
      <c r="C78" s="386">
        <v>3</v>
      </c>
      <c r="D78" s="386" t="s">
        <v>5760</v>
      </c>
      <c r="E78" s="390" t="s">
        <v>4</v>
      </c>
      <c r="F78" s="386" t="s">
        <v>602</v>
      </c>
      <c r="G78" s="386" t="s">
        <v>10403</v>
      </c>
      <c r="H78" s="386">
        <v>4</v>
      </c>
      <c r="I78" s="386" t="s">
        <v>476</v>
      </c>
      <c r="J78" s="386" t="s">
        <v>13400</v>
      </c>
      <c r="K78" s="386">
        <v>2</v>
      </c>
      <c r="L78" s="386" t="s">
        <v>451</v>
      </c>
      <c r="M78" s="386">
        <v>5000000</v>
      </c>
      <c r="N78" s="386" t="s">
        <v>452</v>
      </c>
      <c r="O78" s="386" t="s">
        <v>5763</v>
      </c>
      <c r="P78" s="386"/>
      <c r="Q78" s="386" t="s">
        <v>24</v>
      </c>
      <c r="R78" s="445"/>
      <c r="S78" s="386"/>
      <c r="T78" s="386"/>
      <c r="U78" s="386"/>
      <c r="V78" s="386"/>
      <c r="W78" s="386"/>
      <c r="X78" s="386"/>
      <c r="Y78" s="386"/>
      <c r="Z78" s="386"/>
    </row>
    <row r="79" spans="1:26" ht="15.75" customHeight="1">
      <c r="A79" s="447">
        <v>44782</v>
      </c>
      <c r="B79" s="448" t="s">
        <v>3052</v>
      </c>
      <c r="C79" s="448">
        <v>3</v>
      </c>
      <c r="D79" s="448" t="s">
        <v>3055</v>
      </c>
      <c r="E79" s="390" t="s">
        <v>5</v>
      </c>
      <c r="F79" s="448" t="s">
        <v>447</v>
      </c>
      <c r="G79" s="448" t="s">
        <v>11203</v>
      </c>
      <c r="H79" s="448">
        <v>3</v>
      </c>
      <c r="I79" s="448" t="s">
        <v>622</v>
      </c>
      <c r="J79" s="448" t="s">
        <v>3057</v>
      </c>
      <c r="K79" s="448">
        <v>3</v>
      </c>
      <c r="L79" s="448"/>
      <c r="M79" s="448"/>
      <c r="N79" s="448" t="s">
        <v>452</v>
      </c>
      <c r="O79" s="448" t="s">
        <v>452</v>
      </c>
      <c r="P79" s="448"/>
      <c r="Q79" s="448" t="s">
        <v>24</v>
      </c>
      <c r="R79" s="449"/>
      <c r="S79" s="446"/>
      <c r="T79" s="446"/>
      <c r="U79" s="446"/>
      <c r="V79" s="448"/>
      <c r="W79" s="448"/>
      <c r="X79" s="448"/>
      <c r="Y79" s="448"/>
      <c r="Z79" s="448"/>
    </row>
    <row r="80" spans="1:26" ht="15.75" customHeight="1">
      <c r="A80" s="454">
        <v>44782</v>
      </c>
      <c r="B80" s="455" t="s">
        <v>9031</v>
      </c>
      <c r="C80" s="455">
        <v>3</v>
      </c>
      <c r="D80" s="455" t="s">
        <v>9034</v>
      </c>
      <c r="E80" s="455" t="s">
        <v>3</v>
      </c>
      <c r="F80" s="455" t="s">
        <v>460</v>
      </c>
      <c r="G80" s="455" t="s">
        <v>9035</v>
      </c>
      <c r="H80" s="455">
        <v>3</v>
      </c>
      <c r="I80" s="455" t="s">
        <v>488</v>
      </c>
      <c r="J80" s="455"/>
      <c r="K80" s="455">
        <v>3</v>
      </c>
      <c r="L80" s="455" t="s">
        <v>784</v>
      </c>
      <c r="M80" s="455" t="s">
        <v>4444</v>
      </c>
      <c r="N80" s="455" t="s">
        <v>452</v>
      </c>
      <c r="O80" s="455" t="s">
        <v>11219</v>
      </c>
      <c r="P80" s="455" t="s">
        <v>9037</v>
      </c>
      <c r="Q80" s="455" t="s">
        <v>24</v>
      </c>
      <c r="R80" s="456" t="s">
        <v>11220</v>
      </c>
      <c r="S80" s="455"/>
      <c r="T80" s="455"/>
      <c r="U80" s="455"/>
      <c r="V80" s="455"/>
      <c r="W80" s="455"/>
      <c r="X80" s="455"/>
      <c r="Y80" s="455"/>
      <c r="Z80" s="455"/>
    </row>
    <row r="81" spans="1:26" ht="15.75" customHeight="1">
      <c r="A81" s="454">
        <v>44782</v>
      </c>
      <c r="B81" s="455" t="s">
        <v>308</v>
      </c>
      <c r="C81" s="455">
        <v>3</v>
      </c>
      <c r="D81" s="455" t="s">
        <v>11405</v>
      </c>
      <c r="E81" s="455" t="s">
        <v>3</v>
      </c>
      <c r="F81" s="455" t="s">
        <v>460</v>
      </c>
      <c r="G81" s="455" t="s">
        <v>9653</v>
      </c>
      <c r="H81" s="455">
        <v>3</v>
      </c>
      <c r="I81" s="455" t="s">
        <v>462</v>
      </c>
      <c r="J81" s="455" t="s">
        <v>9654</v>
      </c>
      <c r="K81" s="455">
        <v>3</v>
      </c>
      <c r="L81" s="455"/>
      <c r="M81" s="455">
        <v>1000000</v>
      </c>
      <c r="N81" s="455" t="s">
        <v>452</v>
      </c>
      <c r="O81" s="455" t="s">
        <v>452</v>
      </c>
      <c r="P81" s="455" t="s">
        <v>9655</v>
      </c>
      <c r="Q81" s="455" t="s">
        <v>20</v>
      </c>
      <c r="R81" s="456" t="s">
        <v>9656</v>
      </c>
      <c r="S81" s="455"/>
      <c r="T81" s="455"/>
      <c r="U81" s="455"/>
      <c r="V81" s="455"/>
      <c r="W81" s="455"/>
      <c r="X81" s="455"/>
      <c r="Y81" s="455"/>
      <c r="Z81" s="455"/>
    </row>
    <row r="82" spans="1:26" ht="15.75" customHeight="1">
      <c r="A82" s="454">
        <v>44782</v>
      </c>
      <c r="B82" s="455" t="s">
        <v>374</v>
      </c>
      <c r="C82" s="455">
        <v>3</v>
      </c>
      <c r="D82" s="455" t="s">
        <v>9837</v>
      </c>
      <c r="E82" s="455" t="s">
        <v>3</v>
      </c>
      <c r="F82" s="455" t="s">
        <v>460</v>
      </c>
      <c r="G82" s="455" t="s">
        <v>9838</v>
      </c>
      <c r="H82" s="455">
        <v>2</v>
      </c>
      <c r="I82" s="455" t="s">
        <v>462</v>
      </c>
      <c r="J82" s="455" t="s">
        <v>11422</v>
      </c>
      <c r="K82" s="455">
        <v>4</v>
      </c>
      <c r="L82" s="455"/>
      <c r="M82" s="455">
        <v>5000000</v>
      </c>
      <c r="N82" s="455" t="s">
        <v>452</v>
      </c>
      <c r="O82" s="455" t="s">
        <v>11423</v>
      </c>
      <c r="P82" s="455"/>
      <c r="Q82" s="455" t="s">
        <v>19</v>
      </c>
      <c r="R82" s="456" t="s">
        <v>9841</v>
      </c>
      <c r="S82" s="455"/>
      <c r="T82" s="455"/>
      <c r="U82" s="455"/>
      <c r="V82" s="455"/>
      <c r="W82" s="455"/>
      <c r="X82" s="455"/>
      <c r="Y82" s="455"/>
      <c r="Z82" s="455"/>
    </row>
    <row r="83" spans="1:26" ht="15.75" customHeight="1">
      <c r="A83" s="454">
        <v>44782</v>
      </c>
      <c r="B83" s="455" t="s">
        <v>9776</v>
      </c>
      <c r="C83" s="455">
        <v>3</v>
      </c>
      <c r="D83" s="455" t="s">
        <v>9779</v>
      </c>
      <c r="E83" s="455" t="s">
        <v>3</v>
      </c>
      <c r="F83" s="455" t="s">
        <v>460</v>
      </c>
      <c r="G83" s="455" t="s">
        <v>11426</v>
      </c>
      <c r="H83" s="455">
        <v>3</v>
      </c>
      <c r="I83" s="455" t="s">
        <v>462</v>
      </c>
      <c r="J83" s="455" t="s">
        <v>11427</v>
      </c>
      <c r="K83" s="455">
        <v>3</v>
      </c>
      <c r="L83" s="455" t="s">
        <v>451</v>
      </c>
      <c r="M83" s="455">
        <v>10000000</v>
      </c>
      <c r="N83" s="455" t="s">
        <v>452</v>
      </c>
      <c r="O83" s="455" t="s">
        <v>452</v>
      </c>
      <c r="P83" s="455" t="s">
        <v>9782</v>
      </c>
      <c r="Q83" s="455" t="s">
        <v>23</v>
      </c>
      <c r="R83" s="456" t="s">
        <v>9783</v>
      </c>
      <c r="S83" s="455"/>
      <c r="T83" s="455"/>
      <c r="U83" s="455"/>
      <c r="V83" s="455"/>
      <c r="W83" s="455"/>
      <c r="X83" s="455"/>
      <c r="Y83" s="455"/>
      <c r="Z83" s="455"/>
    </row>
    <row r="84" spans="1:26" ht="15.75" customHeight="1">
      <c r="A84" s="444">
        <v>44782</v>
      </c>
      <c r="B84" s="386" t="s">
        <v>2788</v>
      </c>
      <c r="C84" s="386">
        <v>2.75</v>
      </c>
      <c r="D84" s="386" t="s">
        <v>2791</v>
      </c>
      <c r="E84" s="390" t="s">
        <v>5</v>
      </c>
      <c r="F84" s="386" t="s">
        <v>447</v>
      </c>
      <c r="G84" s="386" t="s">
        <v>2792</v>
      </c>
      <c r="H84" s="386">
        <v>3</v>
      </c>
      <c r="I84" s="386" t="s">
        <v>622</v>
      </c>
      <c r="J84" s="386" t="s">
        <v>2793</v>
      </c>
      <c r="K84" s="386">
        <v>2.5</v>
      </c>
      <c r="L84" s="386" t="s">
        <v>451</v>
      </c>
      <c r="M84" s="386">
        <v>3000000</v>
      </c>
      <c r="N84" s="386" t="s">
        <v>452</v>
      </c>
      <c r="O84" s="386" t="s">
        <v>2794</v>
      </c>
      <c r="P84" s="386"/>
      <c r="Q84" s="386" t="s">
        <v>24</v>
      </c>
      <c r="R84" s="445"/>
      <c r="S84" s="446"/>
      <c r="T84" s="446"/>
      <c r="U84" s="446"/>
      <c r="V84" s="386"/>
      <c r="W84" s="386"/>
      <c r="X84" s="386"/>
      <c r="Y84" s="386"/>
      <c r="Z84" s="386"/>
    </row>
    <row r="85" spans="1:26" ht="15.75" customHeight="1">
      <c r="A85" s="447">
        <v>44782</v>
      </c>
      <c r="B85" s="448" t="s">
        <v>5969</v>
      </c>
      <c r="C85" s="448">
        <v>2.75</v>
      </c>
      <c r="D85" s="448" t="s">
        <v>5972</v>
      </c>
      <c r="E85" s="390" t="s">
        <v>4</v>
      </c>
      <c r="F85" s="448" t="s">
        <v>602</v>
      </c>
      <c r="G85" s="448" t="s">
        <v>10273</v>
      </c>
      <c r="H85" s="448">
        <v>2</v>
      </c>
      <c r="I85" s="448" t="s">
        <v>727</v>
      </c>
      <c r="J85" s="448" t="s">
        <v>10274</v>
      </c>
      <c r="K85" s="448">
        <v>3.5</v>
      </c>
      <c r="L85" s="448" t="s">
        <v>451</v>
      </c>
      <c r="M85" s="448">
        <v>1500000</v>
      </c>
      <c r="N85" s="448" t="s">
        <v>465</v>
      </c>
      <c r="O85" s="448" t="s">
        <v>5975</v>
      </c>
      <c r="P85" s="448"/>
      <c r="Q85" s="448" t="s">
        <v>24</v>
      </c>
      <c r="R85" s="449"/>
      <c r="S85" s="446"/>
      <c r="T85" s="446"/>
      <c r="U85" s="446"/>
      <c r="V85" s="448"/>
      <c r="W85" s="448"/>
      <c r="X85" s="448"/>
      <c r="Y85" s="448"/>
      <c r="Z85" s="448"/>
    </row>
    <row r="86" spans="1:26" ht="15.75" customHeight="1">
      <c r="A86" s="444">
        <v>44782</v>
      </c>
      <c r="B86" s="386" t="s">
        <v>5919</v>
      </c>
      <c r="C86" s="386">
        <v>2.75</v>
      </c>
      <c r="D86" s="386" t="s">
        <v>10458</v>
      </c>
      <c r="E86" s="390" t="s">
        <v>4</v>
      </c>
      <c r="F86" s="386" t="s">
        <v>602</v>
      </c>
      <c r="G86" s="386" t="s">
        <v>5923</v>
      </c>
      <c r="H86" s="386">
        <v>2</v>
      </c>
      <c r="I86" s="386" t="s">
        <v>1054</v>
      </c>
      <c r="J86" s="386" t="s">
        <v>5924</v>
      </c>
      <c r="K86" s="386">
        <v>3.5</v>
      </c>
      <c r="L86" s="386" t="s">
        <v>451</v>
      </c>
      <c r="M86" s="386">
        <v>5000000</v>
      </c>
      <c r="N86" s="386" t="s">
        <v>452</v>
      </c>
      <c r="O86" s="386" t="s">
        <v>452</v>
      </c>
      <c r="P86" s="386"/>
      <c r="Q86" s="386" t="s">
        <v>24</v>
      </c>
      <c r="R86" s="445"/>
      <c r="S86" s="446"/>
      <c r="T86" s="446"/>
      <c r="U86" s="446"/>
      <c r="V86" s="386"/>
      <c r="W86" s="386"/>
      <c r="X86" s="386"/>
      <c r="Y86" s="386"/>
      <c r="Z86" s="386"/>
    </row>
    <row r="87" spans="1:26" ht="15.75" customHeight="1">
      <c r="A87" s="447">
        <v>44782</v>
      </c>
      <c r="B87" s="448" t="s">
        <v>2706</v>
      </c>
      <c r="C87" s="448">
        <v>2.75</v>
      </c>
      <c r="D87" s="448" t="s">
        <v>10472</v>
      </c>
      <c r="E87" s="390" t="s">
        <v>5</v>
      </c>
      <c r="F87" s="448" t="s">
        <v>447</v>
      </c>
      <c r="G87" s="448" t="s">
        <v>2710</v>
      </c>
      <c r="H87" s="448">
        <v>2.5</v>
      </c>
      <c r="I87" s="448" t="s">
        <v>543</v>
      </c>
      <c r="J87" s="448" t="s">
        <v>2711</v>
      </c>
      <c r="K87" s="448">
        <v>3</v>
      </c>
      <c r="L87" s="448" t="s">
        <v>451</v>
      </c>
      <c r="M87" s="448" t="s">
        <v>2712</v>
      </c>
      <c r="N87" s="448" t="s">
        <v>452</v>
      </c>
      <c r="O87" s="448" t="s">
        <v>452</v>
      </c>
      <c r="P87" s="448"/>
      <c r="Q87" s="448" t="s">
        <v>24</v>
      </c>
      <c r="R87" s="449"/>
      <c r="S87" s="446"/>
      <c r="T87" s="446"/>
      <c r="U87" s="446"/>
      <c r="V87" s="448"/>
      <c r="W87" s="448"/>
      <c r="X87" s="448"/>
      <c r="Y87" s="448"/>
      <c r="Z87" s="448"/>
    </row>
    <row r="88" spans="1:26" ht="15.75" customHeight="1">
      <c r="A88" s="444">
        <v>44782</v>
      </c>
      <c r="B88" s="386" t="s">
        <v>2733</v>
      </c>
      <c r="C88" s="386">
        <v>2.75</v>
      </c>
      <c r="D88" s="386" t="s">
        <v>2736</v>
      </c>
      <c r="E88" s="390" t="s">
        <v>5</v>
      </c>
      <c r="F88" s="386" t="s">
        <v>447</v>
      </c>
      <c r="G88" s="386" t="s">
        <v>10650</v>
      </c>
      <c r="H88" s="386">
        <v>3</v>
      </c>
      <c r="I88" s="386" t="s">
        <v>622</v>
      </c>
      <c r="J88" s="386" t="s">
        <v>13400</v>
      </c>
      <c r="K88" s="386">
        <v>2.5</v>
      </c>
      <c r="L88" s="386" t="s">
        <v>451</v>
      </c>
      <c r="M88" s="386">
        <v>2250000</v>
      </c>
      <c r="N88" s="386" t="s">
        <v>454</v>
      </c>
      <c r="O88" s="386" t="s">
        <v>2739</v>
      </c>
      <c r="P88" s="386"/>
      <c r="Q88" s="386" t="s">
        <v>24</v>
      </c>
      <c r="R88" s="445"/>
      <c r="S88" s="446"/>
      <c r="T88" s="446"/>
      <c r="U88" s="446"/>
      <c r="V88" s="386"/>
      <c r="W88" s="386"/>
      <c r="X88" s="386"/>
      <c r="Y88" s="386"/>
      <c r="Z88" s="386"/>
    </row>
    <row r="89" spans="1:26" ht="15.75" customHeight="1">
      <c r="A89" s="447">
        <v>44782</v>
      </c>
      <c r="B89" s="448" t="s">
        <v>3294</v>
      </c>
      <c r="C89" s="448">
        <v>2.75</v>
      </c>
      <c r="D89" s="448" t="s">
        <v>3297</v>
      </c>
      <c r="E89" s="390" t="s">
        <v>5</v>
      </c>
      <c r="F89" s="448" t="s">
        <v>447</v>
      </c>
      <c r="G89" s="448" t="s">
        <v>11183</v>
      </c>
      <c r="H89" s="448">
        <v>3</v>
      </c>
      <c r="I89" s="448" t="s">
        <v>622</v>
      </c>
      <c r="J89" s="448" t="s">
        <v>11538</v>
      </c>
      <c r="K89" s="448">
        <v>2.5</v>
      </c>
      <c r="L89" s="448" t="s">
        <v>784</v>
      </c>
      <c r="M89" s="448">
        <v>500000</v>
      </c>
      <c r="N89" s="448" t="s">
        <v>452</v>
      </c>
      <c r="O89" s="448" t="s">
        <v>3300</v>
      </c>
      <c r="P89" s="448"/>
      <c r="Q89" s="448" t="s">
        <v>24</v>
      </c>
      <c r="R89" s="449"/>
      <c r="S89" s="446"/>
      <c r="T89" s="446"/>
      <c r="U89" s="446"/>
      <c r="V89" s="448"/>
      <c r="W89" s="448"/>
      <c r="X89" s="448"/>
      <c r="Y89" s="448"/>
      <c r="Z89" s="448"/>
    </row>
    <row r="90" spans="1:26" ht="15.75" customHeight="1">
      <c r="A90" s="460">
        <v>44782</v>
      </c>
      <c r="B90" s="461" t="s">
        <v>8485</v>
      </c>
      <c r="C90" s="461">
        <v>2.75</v>
      </c>
      <c r="D90" s="461" t="s">
        <v>8488</v>
      </c>
      <c r="E90" s="461" t="s">
        <v>3</v>
      </c>
      <c r="F90" s="461" t="s">
        <v>460</v>
      </c>
      <c r="G90" s="461" t="s">
        <v>8489</v>
      </c>
      <c r="H90" s="461">
        <v>2.5</v>
      </c>
      <c r="I90" s="461" t="s">
        <v>462</v>
      </c>
      <c r="J90" s="461" t="s">
        <v>8490</v>
      </c>
      <c r="K90" s="461">
        <v>3</v>
      </c>
      <c r="L90" s="461" t="s">
        <v>451</v>
      </c>
      <c r="M90" s="461">
        <v>2500000</v>
      </c>
      <c r="N90" s="461" t="s">
        <v>452</v>
      </c>
      <c r="O90" s="461" t="s">
        <v>8491</v>
      </c>
      <c r="P90" s="461"/>
      <c r="Q90" s="461" t="s">
        <v>24</v>
      </c>
      <c r="R90" s="462" t="s">
        <v>11539</v>
      </c>
      <c r="S90" s="461"/>
      <c r="T90" s="461"/>
      <c r="U90" s="461"/>
      <c r="V90" s="461"/>
      <c r="W90" s="461"/>
      <c r="X90" s="461"/>
      <c r="Y90" s="461"/>
      <c r="Z90" s="461"/>
    </row>
    <row r="91" spans="1:26" ht="15.75" customHeight="1">
      <c r="A91" s="447">
        <v>44782</v>
      </c>
      <c r="B91" s="448" t="s">
        <v>6069</v>
      </c>
      <c r="C91" s="448">
        <v>2.75</v>
      </c>
      <c r="D91" s="448" t="s">
        <v>11540</v>
      </c>
      <c r="E91" s="390" t="s">
        <v>4</v>
      </c>
      <c r="F91" s="448" t="s">
        <v>602</v>
      </c>
      <c r="G91" s="448" t="s">
        <v>6073</v>
      </c>
      <c r="H91" s="448">
        <v>2</v>
      </c>
      <c r="I91" s="448" t="s">
        <v>1054</v>
      </c>
      <c r="J91" s="448" t="s">
        <v>11430</v>
      </c>
      <c r="K91" s="448">
        <v>3.5</v>
      </c>
      <c r="L91" s="448"/>
      <c r="M91" s="448"/>
      <c r="N91" s="448" t="s">
        <v>452</v>
      </c>
      <c r="O91" s="448" t="s">
        <v>11431</v>
      </c>
      <c r="P91" s="448"/>
      <c r="Q91" s="448" t="s">
        <v>24</v>
      </c>
      <c r="R91" s="449"/>
      <c r="S91" s="446"/>
      <c r="T91" s="446"/>
      <c r="U91" s="446"/>
      <c r="V91" s="448"/>
      <c r="W91" s="448"/>
      <c r="X91" s="448"/>
      <c r="Y91" s="448"/>
      <c r="Z91" s="448"/>
    </row>
    <row r="92" spans="1:26" ht="15.75" customHeight="1">
      <c r="A92" s="454">
        <v>44782</v>
      </c>
      <c r="B92" s="455" t="s">
        <v>3196</v>
      </c>
      <c r="C92" s="455">
        <v>2.5</v>
      </c>
      <c r="D92" s="455" t="s">
        <v>3199</v>
      </c>
      <c r="E92" s="455" t="s">
        <v>5</v>
      </c>
      <c r="F92" s="455" t="s">
        <v>447</v>
      </c>
      <c r="G92" s="455" t="s">
        <v>10289</v>
      </c>
      <c r="H92" s="455">
        <v>3</v>
      </c>
      <c r="I92" s="455" t="s">
        <v>449</v>
      </c>
      <c r="J92" s="455" t="s">
        <v>13400</v>
      </c>
      <c r="K92" s="455">
        <v>2</v>
      </c>
      <c r="L92" s="455"/>
      <c r="M92" s="455"/>
      <c r="N92" s="455" t="s">
        <v>465</v>
      </c>
      <c r="O92" s="455" t="s">
        <v>3202</v>
      </c>
      <c r="P92" s="455"/>
      <c r="Q92" s="457" t="s">
        <v>24</v>
      </c>
      <c r="R92" s="456" t="s">
        <v>3203</v>
      </c>
      <c r="S92" s="455"/>
      <c r="T92" s="455"/>
      <c r="U92" s="455"/>
      <c r="V92" s="455"/>
      <c r="W92" s="455"/>
      <c r="X92" s="455"/>
      <c r="Y92" s="455"/>
      <c r="Z92" s="455"/>
    </row>
    <row r="93" spans="1:26" ht="15.75" customHeight="1">
      <c r="A93" s="447">
        <v>44782</v>
      </c>
      <c r="B93" s="448" t="s">
        <v>6390</v>
      </c>
      <c r="C93" s="448">
        <v>2.5</v>
      </c>
      <c r="D93" s="448" t="s">
        <v>6393</v>
      </c>
      <c r="E93" s="390" t="s">
        <v>4</v>
      </c>
      <c r="F93" s="448" t="s">
        <v>602</v>
      </c>
      <c r="G93" s="448" t="s">
        <v>6394</v>
      </c>
      <c r="H93" s="448">
        <v>3</v>
      </c>
      <c r="I93" s="448" t="s">
        <v>476</v>
      </c>
      <c r="J93" s="448" t="s">
        <v>10389</v>
      </c>
      <c r="K93" s="448">
        <v>2</v>
      </c>
      <c r="L93" s="448"/>
      <c r="M93" s="448"/>
      <c r="N93" s="448" t="s">
        <v>452</v>
      </c>
      <c r="O93" s="448" t="s">
        <v>6396</v>
      </c>
      <c r="P93" s="448"/>
      <c r="Q93" s="448" t="s">
        <v>24</v>
      </c>
      <c r="R93" s="449"/>
      <c r="S93" s="446"/>
      <c r="T93" s="446"/>
      <c r="U93" s="446"/>
      <c r="V93" s="448"/>
      <c r="W93" s="448"/>
      <c r="X93" s="448"/>
      <c r="Y93" s="448"/>
      <c r="Z93" s="448"/>
    </row>
    <row r="94" spans="1:26" ht="15.75" customHeight="1">
      <c r="A94" s="444">
        <v>44782</v>
      </c>
      <c r="B94" s="386" t="s">
        <v>6607</v>
      </c>
      <c r="C94" s="386">
        <v>2.5</v>
      </c>
      <c r="D94" s="386" t="s">
        <v>6610</v>
      </c>
      <c r="E94" s="390" t="s">
        <v>4</v>
      </c>
      <c r="F94" s="386" t="s">
        <v>602</v>
      </c>
      <c r="G94" s="386" t="s">
        <v>6611</v>
      </c>
      <c r="H94" s="386">
        <v>2</v>
      </c>
      <c r="I94" s="386" t="s">
        <v>1054</v>
      </c>
      <c r="J94" s="386" t="s">
        <v>6612</v>
      </c>
      <c r="K94" s="386">
        <v>3</v>
      </c>
      <c r="L94" s="386" t="s">
        <v>451</v>
      </c>
      <c r="M94" s="386">
        <v>2000000</v>
      </c>
      <c r="N94" s="386" t="s">
        <v>452</v>
      </c>
      <c r="O94" s="386" t="s">
        <v>452</v>
      </c>
      <c r="P94" s="386"/>
      <c r="Q94" s="386" t="s">
        <v>24</v>
      </c>
      <c r="R94" s="445"/>
      <c r="S94" s="446"/>
      <c r="T94" s="446"/>
      <c r="U94" s="446"/>
      <c r="V94" s="386"/>
      <c r="W94" s="386"/>
      <c r="X94" s="386"/>
      <c r="Y94" s="386"/>
      <c r="Z94" s="386"/>
    </row>
    <row r="95" spans="1:26" ht="15.75" customHeight="1">
      <c r="A95" s="450">
        <v>44782</v>
      </c>
      <c r="B95" s="451" t="s">
        <v>164</v>
      </c>
      <c r="C95" s="451">
        <v>2.5</v>
      </c>
      <c r="D95" s="451" t="s">
        <v>9491</v>
      </c>
      <c r="E95" s="451" t="s">
        <v>5</v>
      </c>
      <c r="F95" s="451" t="s">
        <v>447</v>
      </c>
      <c r="G95" s="451" t="s">
        <v>11140</v>
      </c>
      <c r="H95" s="451">
        <v>3</v>
      </c>
      <c r="I95" s="451" t="s">
        <v>449</v>
      </c>
      <c r="J95" s="451" t="s">
        <v>13400</v>
      </c>
      <c r="K95" s="451">
        <v>2</v>
      </c>
      <c r="L95" s="451"/>
      <c r="M95" s="451"/>
      <c r="N95" s="451" t="s">
        <v>452</v>
      </c>
      <c r="O95" s="451" t="s">
        <v>9494</v>
      </c>
      <c r="P95" s="451"/>
      <c r="Q95" s="451" t="s">
        <v>20</v>
      </c>
      <c r="R95" s="452" t="s">
        <v>9495</v>
      </c>
      <c r="S95" s="451"/>
      <c r="T95" s="451"/>
      <c r="U95" s="451"/>
      <c r="V95" s="451"/>
      <c r="W95" s="451"/>
      <c r="X95" s="451"/>
      <c r="Y95" s="451"/>
      <c r="Z95" s="451"/>
    </row>
    <row r="96" spans="1:26" ht="15.75" customHeight="1">
      <c r="A96" s="454">
        <v>44782</v>
      </c>
      <c r="B96" s="455" t="s">
        <v>9285</v>
      </c>
      <c r="C96" s="455">
        <v>2.5</v>
      </c>
      <c r="D96" s="455" t="s">
        <v>9288</v>
      </c>
      <c r="E96" s="455" t="s">
        <v>3</v>
      </c>
      <c r="F96" s="455" t="s">
        <v>460</v>
      </c>
      <c r="G96" s="455" t="s">
        <v>9289</v>
      </c>
      <c r="H96" s="455">
        <v>2</v>
      </c>
      <c r="I96" s="455" t="s">
        <v>941</v>
      </c>
      <c r="J96" s="455"/>
      <c r="K96" s="455">
        <v>3</v>
      </c>
      <c r="L96" s="455" t="s">
        <v>784</v>
      </c>
      <c r="M96" s="455">
        <v>1600000</v>
      </c>
      <c r="N96" s="455" t="s">
        <v>452</v>
      </c>
      <c r="O96" s="455" t="s">
        <v>11414</v>
      </c>
      <c r="P96" s="455" t="s">
        <v>9291</v>
      </c>
      <c r="Q96" s="455" t="s">
        <v>24</v>
      </c>
      <c r="R96" s="456" t="s">
        <v>9292</v>
      </c>
      <c r="S96" s="455"/>
      <c r="T96" s="455"/>
      <c r="U96" s="455"/>
      <c r="V96" s="455"/>
      <c r="W96" s="455"/>
      <c r="X96" s="455"/>
      <c r="Y96" s="455"/>
      <c r="Z96" s="455"/>
    </row>
    <row r="97" spans="1:26" ht="15.75" customHeight="1">
      <c r="A97" s="454">
        <v>44782</v>
      </c>
      <c r="B97" s="455" t="s">
        <v>9151</v>
      </c>
      <c r="C97" s="455">
        <v>2.5</v>
      </c>
      <c r="D97" s="455" t="s">
        <v>9154</v>
      </c>
      <c r="E97" s="455" t="s">
        <v>3</v>
      </c>
      <c r="F97" s="455" t="s">
        <v>460</v>
      </c>
      <c r="G97" s="455" t="s">
        <v>9155</v>
      </c>
      <c r="H97" s="455">
        <v>2</v>
      </c>
      <c r="I97" s="455" t="s">
        <v>488</v>
      </c>
      <c r="J97" s="455" t="s">
        <v>11428</v>
      </c>
      <c r="K97" s="455">
        <v>3</v>
      </c>
      <c r="L97" s="455" t="s">
        <v>973</v>
      </c>
      <c r="M97" s="455">
        <v>7500000</v>
      </c>
      <c r="N97" s="455" t="s">
        <v>452</v>
      </c>
      <c r="O97" s="455" t="s">
        <v>1119</v>
      </c>
      <c r="P97" s="455"/>
      <c r="Q97" s="455" t="s">
        <v>24</v>
      </c>
      <c r="R97" s="456" t="s">
        <v>9157</v>
      </c>
      <c r="S97" s="455"/>
      <c r="T97" s="455"/>
      <c r="U97" s="455"/>
      <c r="V97" s="455"/>
      <c r="W97" s="455"/>
      <c r="X97" s="455"/>
      <c r="Y97" s="455"/>
      <c r="Z97" s="455"/>
    </row>
    <row r="98" spans="1:26" ht="15.75" customHeight="1">
      <c r="A98" s="444">
        <v>44782</v>
      </c>
      <c r="B98" s="386" t="s">
        <v>6502</v>
      </c>
      <c r="C98" s="386">
        <v>2.5</v>
      </c>
      <c r="D98" s="386" t="s">
        <v>11541</v>
      </c>
      <c r="E98" s="390" t="s">
        <v>4</v>
      </c>
      <c r="F98" s="386" t="s">
        <v>602</v>
      </c>
      <c r="G98" s="386" t="s">
        <v>6506</v>
      </c>
      <c r="H98" s="386">
        <v>2</v>
      </c>
      <c r="I98" s="386" t="s">
        <v>1054</v>
      </c>
      <c r="J98" s="386" t="s">
        <v>6507</v>
      </c>
      <c r="K98" s="386">
        <v>3</v>
      </c>
      <c r="L98" s="386" t="s">
        <v>451</v>
      </c>
      <c r="M98" s="386">
        <v>1000000</v>
      </c>
      <c r="N98" s="386" t="s">
        <v>452</v>
      </c>
      <c r="O98" s="386" t="s">
        <v>6508</v>
      </c>
      <c r="P98" s="386" t="s">
        <v>6509</v>
      </c>
      <c r="Q98" s="386" t="s">
        <v>24</v>
      </c>
      <c r="R98" s="445"/>
      <c r="S98" s="446"/>
      <c r="T98" s="446"/>
      <c r="U98" s="446"/>
      <c r="V98" s="386"/>
      <c r="W98" s="386"/>
      <c r="X98" s="386"/>
      <c r="Y98" s="386"/>
      <c r="Z98" s="386"/>
    </row>
    <row r="99" spans="1:26" ht="15.75" customHeight="1">
      <c r="A99" s="447">
        <v>44782</v>
      </c>
      <c r="B99" s="448" t="s">
        <v>6720</v>
      </c>
      <c r="C99" s="448">
        <v>2.25</v>
      </c>
      <c r="D99" s="448" t="s">
        <v>6723</v>
      </c>
      <c r="E99" s="390" t="s">
        <v>4</v>
      </c>
      <c r="F99" s="448" t="s">
        <v>727</v>
      </c>
      <c r="G99" s="448" t="s">
        <v>6724</v>
      </c>
      <c r="H99" s="448">
        <v>2.5</v>
      </c>
      <c r="I99" s="448" t="s">
        <v>1054</v>
      </c>
      <c r="J99" s="448" t="s">
        <v>6725</v>
      </c>
      <c r="K99" s="448">
        <v>2</v>
      </c>
      <c r="L99" s="448"/>
      <c r="M99" s="448"/>
      <c r="N99" s="448" t="s">
        <v>452</v>
      </c>
      <c r="O99" s="448" t="s">
        <v>11542</v>
      </c>
      <c r="P99" s="448"/>
      <c r="Q99" s="448" t="s">
        <v>24</v>
      </c>
      <c r="R99" s="449"/>
      <c r="S99" s="446"/>
      <c r="T99" s="446"/>
      <c r="U99" s="446"/>
      <c r="V99" s="448"/>
      <c r="W99" s="448"/>
      <c r="X99" s="448"/>
      <c r="Y99" s="448"/>
      <c r="Z99" s="448"/>
    </row>
    <row r="100" spans="1:26" ht="15.75" customHeight="1">
      <c r="A100" s="444">
        <v>44782</v>
      </c>
      <c r="B100" s="386" t="s">
        <v>3060</v>
      </c>
      <c r="C100" s="386">
        <v>2.25</v>
      </c>
      <c r="D100" s="386" t="s">
        <v>3063</v>
      </c>
      <c r="E100" s="390" t="s">
        <v>5</v>
      </c>
      <c r="F100" s="386" t="s">
        <v>447</v>
      </c>
      <c r="G100" s="386" t="s">
        <v>10399</v>
      </c>
      <c r="H100" s="386">
        <v>2.5</v>
      </c>
      <c r="I100" s="386" t="s">
        <v>476</v>
      </c>
      <c r="J100" s="386" t="s">
        <v>10400</v>
      </c>
      <c r="K100" s="386">
        <v>2</v>
      </c>
      <c r="L100" s="386"/>
      <c r="M100" s="386"/>
      <c r="N100" s="386" t="s">
        <v>452</v>
      </c>
      <c r="O100" s="386" t="s">
        <v>452</v>
      </c>
      <c r="P100" s="386"/>
      <c r="Q100" s="386" t="s">
        <v>24</v>
      </c>
      <c r="R100" s="445"/>
      <c r="S100" s="446"/>
      <c r="T100" s="446"/>
      <c r="U100" s="446"/>
      <c r="V100" s="386"/>
      <c r="W100" s="386"/>
      <c r="X100" s="386"/>
      <c r="Y100" s="386"/>
      <c r="Z100" s="386"/>
    </row>
    <row r="101" spans="1:26" ht="15.75" customHeight="1">
      <c r="A101" s="447">
        <v>44782</v>
      </c>
      <c r="B101" s="448" t="s">
        <v>6681</v>
      </c>
      <c r="C101" s="448">
        <v>2.25</v>
      </c>
      <c r="D101" s="448" t="s">
        <v>6684</v>
      </c>
      <c r="E101" s="390" t="s">
        <v>4</v>
      </c>
      <c r="F101" s="448" t="s">
        <v>602</v>
      </c>
      <c r="G101" s="448"/>
      <c r="H101" s="448">
        <v>2</v>
      </c>
      <c r="I101" s="448" t="s">
        <v>476</v>
      </c>
      <c r="J101" s="448" t="s">
        <v>13400</v>
      </c>
      <c r="K101" s="448">
        <v>2.5</v>
      </c>
      <c r="L101" s="448" t="s">
        <v>451</v>
      </c>
      <c r="M101" s="448">
        <v>120000</v>
      </c>
      <c r="N101" s="448" t="s">
        <v>454</v>
      </c>
      <c r="O101" s="448" t="s">
        <v>6686</v>
      </c>
      <c r="P101" s="448" t="s">
        <v>6687</v>
      </c>
      <c r="Q101" s="448" t="s">
        <v>24</v>
      </c>
      <c r="R101" s="449"/>
      <c r="S101" s="446"/>
      <c r="T101" s="446"/>
      <c r="U101" s="446"/>
      <c r="V101" s="448"/>
      <c r="W101" s="448"/>
      <c r="X101" s="448"/>
      <c r="Y101" s="448"/>
      <c r="Z101" s="448"/>
    </row>
    <row r="102" spans="1:26" ht="15.75" customHeight="1">
      <c r="A102" s="444">
        <v>44782</v>
      </c>
      <c r="B102" s="386" t="s">
        <v>3441</v>
      </c>
      <c r="C102" s="386">
        <v>2.25</v>
      </c>
      <c r="D102" s="386" t="s">
        <v>3444</v>
      </c>
      <c r="E102" s="390" t="s">
        <v>5</v>
      </c>
      <c r="F102" s="386" t="s">
        <v>447</v>
      </c>
      <c r="G102" s="386" t="s">
        <v>10465</v>
      </c>
      <c r="H102" s="386">
        <v>2</v>
      </c>
      <c r="I102" s="386" t="s">
        <v>476</v>
      </c>
      <c r="J102" s="386" t="s">
        <v>13400</v>
      </c>
      <c r="K102" s="386">
        <v>2.5</v>
      </c>
      <c r="L102" s="386"/>
      <c r="M102" s="386"/>
      <c r="N102" s="386" t="s">
        <v>452</v>
      </c>
      <c r="O102" s="386" t="s">
        <v>3447</v>
      </c>
      <c r="P102" s="386"/>
      <c r="Q102" s="386" t="s">
        <v>24</v>
      </c>
      <c r="R102" s="445"/>
      <c r="S102" s="446"/>
      <c r="T102" s="446"/>
      <c r="U102" s="446"/>
      <c r="V102" s="386"/>
      <c r="W102" s="386"/>
      <c r="X102" s="386"/>
      <c r="Y102" s="386"/>
      <c r="Z102" s="386"/>
    </row>
    <row r="103" spans="1:26" ht="15.75" customHeight="1">
      <c r="A103" s="447">
        <v>44782</v>
      </c>
      <c r="B103" s="448" t="s">
        <v>6841</v>
      </c>
      <c r="C103" s="448">
        <v>2.25</v>
      </c>
      <c r="D103" s="448" t="s">
        <v>10468</v>
      </c>
      <c r="E103" s="390" t="s">
        <v>4</v>
      </c>
      <c r="F103" s="448" t="s">
        <v>727</v>
      </c>
      <c r="G103" s="448" t="s">
        <v>6845</v>
      </c>
      <c r="H103" s="448">
        <v>2.5</v>
      </c>
      <c r="I103" s="448" t="s">
        <v>1054</v>
      </c>
      <c r="J103" s="448" t="s">
        <v>6846</v>
      </c>
      <c r="K103" s="448">
        <v>2</v>
      </c>
      <c r="L103" s="448" t="s">
        <v>451</v>
      </c>
      <c r="M103" s="448">
        <v>2000000</v>
      </c>
      <c r="N103" s="448" t="s">
        <v>452</v>
      </c>
      <c r="O103" s="448" t="s">
        <v>10469</v>
      </c>
      <c r="P103" s="448"/>
      <c r="Q103" s="448" t="s">
        <v>24</v>
      </c>
      <c r="R103" s="449"/>
      <c r="S103" s="446"/>
      <c r="T103" s="446"/>
      <c r="U103" s="446"/>
      <c r="V103" s="448"/>
      <c r="W103" s="448"/>
      <c r="X103" s="448"/>
      <c r="Y103" s="448"/>
      <c r="Z103" s="448"/>
    </row>
    <row r="104" spans="1:26" ht="15.75" customHeight="1">
      <c r="A104" s="444">
        <v>44782</v>
      </c>
      <c r="B104" s="386" t="s">
        <v>2549</v>
      </c>
      <c r="C104" s="386">
        <v>2.25</v>
      </c>
      <c r="D104" s="386" t="s">
        <v>2552</v>
      </c>
      <c r="E104" s="390" t="s">
        <v>5</v>
      </c>
      <c r="F104" s="386" t="s">
        <v>447</v>
      </c>
      <c r="G104" s="386" t="s">
        <v>10537</v>
      </c>
      <c r="H104" s="386">
        <v>2.5</v>
      </c>
      <c r="I104" s="386" t="s">
        <v>449</v>
      </c>
      <c r="J104" s="386" t="s">
        <v>13400</v>
      </c>
      <c r="K104" s="386">
        <v>2</v>
      </c>
      <c r="L104" s="386" t="s">
        <v>784</v>
      </c>
      <c r="M104" s="386">
        <v>5000000</v>
      </c>
      <c r="N104" s="386" t="s">
        <v>454</v>
      </c>
      <c r="O104" s="386" t="s">
        <v>452</v>
      </c>
      <c r="P104" s="386"/>
      <c r="Q104" s="386" t="s">
        <v>24</v>
      </c>
      <c r="R104" s="445"/>
      <c r="S104" s="446"/>
      <c r="T104" s="446"/>
      <c r="U104" s="446"/>
      <c r="V104" s="386"/>
      <c r="W104" s="386"/>
      <c r="X104" s="386"/>
      <c r="Y104" s="386"/>
      <c r="Z104" s="386"/>
    </row>
    <row r="105" spans="1:26" ht="15.75" customHeight="1">
      <c r="A105" s="447">
        <v>44782</v>
      </c>
      <c r="B105" s="448" t="s">
        <v>2715</v>
      </c>
      <c r="C105" s="448">
        <v>2.25</v>
      </c>
      <c r="D105" s="448" t="s">
        <v>10595</v>
      </c>
      <c r="E105" s="390" t="s">
        <v>5</v>
      </c>
      <c r="F105" s="448" t="s">
        <v>447</v>
      </c>
      <c r="G105" s="448" t="s">
        <v>2719</v>
      </c>
      <c r="H105" s="448">
        <v>2.5</v>
      </c>
      <c r="I105" s="448" t="s">
        <v>622</v>
      </c>
      <c r="J105" s="448" t="s">
        <v>11543</v>
      </c>
      <c r="K105" s="448">
        <v>2</v>
      </c>
      <c r="L105" s="448" t="s">
        <v>451</v>
      </c>
      <c r="M105" s="448">
        <v>1000000</v>
      </c>
      <c r="N105" s="448" t="s">
        <v>452</v>
      </c>
      <c r="O105" s="448" t="s">
        <v>10597</v>
      </c>
      <c r="P105" s="448"/>
      <c r="Q105" s="448" t="s">
        <v>24</v>
      </c>
      <c r="R105" s="449"/>
      <c r="S105" s="446"/>
      <c r="T105" s="446"/>
      <c r="U105" s="446"/>
      <c r="V105" s="448"/>
      <c r="W105" s="448"/>
      <c r="X105" s="448"/>
      <c r="Y105" s="448"/>
      <c r="Z105" s="448"/>
    </row>
    <row r="106" spans="1:26" ht="15.75" customHeight="1">
      <c r="A106" s="444">
        <v>44782</v>
      </c>
      <c r="B106" s="386" t="s">
        <v>6656</v>
      </c>
      <c r="C106" s="386">
        <v>2.25</v>
      </c>
      <c r="D106" s="386" t="s">
        <v>11382</v>
      </c>
      <c r="E106" s="390" t="s">
        <v>4</v>
      </c>
      <c r="F106" s="386" t="s">
        <v>602</v>
      </c>
      <c r="G106" s="386" t="s">
        <v>11383</v>
      </c>
      <c r="H106" s="386">
        <v>2</v>
      </c>
      <c r="I106" s="386" t="s">
        <v>727</v>
      </c>
      <c r="J106" s="386" t="s">
        <v>6661</v>
      </c>
      <c r="K106" s="386">
        <v>2.5</v>
      </c>
      <c r="L106" s="386" t="s">
        <v>451</v>
      </c>
      <c r="M106" s="386">
        <v>1376390</v>
      </c>
      <c r="N106" s="386" t="s">
        <v>452</v>
      </c>
      <c r="O106" s="386" t="s">
        <v>452</v>
      </c>
      <c r="P106" s="386"/>
      <c r="Q106" s="386" t="s">
        <v>24</v>
      </c>
      <c r="R106" s="445"/>
      <c r="S106" s="446"/>
      <c r="T106" s="446"/>
      <c r="U106" s="446"/>
      <c r="V106" s="386"/>
      <c r="W106" s="386"/>
      <c r="X106" s="386"/>
      <c r="Y106" s="386"/>
      <c r="Z106" s="386"/>
    </row>
    <row r="107" spans="1:26" ht="15.75" customHeight="1">
      <c r="A107" s="447">
        <v>44782</v>
      </c>
      <c r="B107" s="453" t="s">
        <v>7485</v>
      </c>
      <c r="C107" s="453">
        <v>2</v>
      </c>
      <c r="D107" s="453" t="s">
        <v>10189</v>
      </c>
      <c r="E107" s="463" t="s">
        <v>4</v>
      </c>
      <c r="F107" s="453" t="s">
        <v>602</v>
      </c>
      <c r="G107" s="453"/>
      <c r="H107" s="453">
        <v>2</v>
      </c>
      <c r="I107" s="453" t="s">
        <v>727</v>
      </c>
      <c r="J107" s="453" t="s">
        <v>7489</v>
      </c>
      <c r="K107" s="453">
        <v>2</v>
      </c>
      <c r="L107" s="453" t="s">
        <v>478</v>
      </c>
      <c r="M107" s="453">
        <v>2000000</v>
      </c>
      <c r="N107" s="453" t="s">
        <v>452</v>
      </c>
      <c r="O107" s="453" t="s">
        <v>452</v>
      </c>
      <c r="P107" s="453"/>
      <c r="Q107" s="448" t="s">
        <v>24</v>
      </c>
      <c r="R107" s="464"/>
      <c r="S107" s="465"/>
      <c r="T107" s="465"/>
      <c r="U107" s="465"/>
      <c r="V107" s="448"/>
      <c r="W107" s="448"/>
      <c r="X107" s="448"/>
      <c r="Y107" s="448"/>
      <c r="Z107" s="448"/>
    </row>
    <row r="108" spans="1:26" ht="15.75" customHeight="1">
      <c r="A108" s="444">
        <v>44782</v>
      </c>
      <c r="B108" s="386" t="s">
        <v>7478</v>
      </c>
      <c r="C108" s="386">
        <v>2</v>
      </c>
      <c r="D108" s="386" t="s">
        <v>7481</v>
      </c>
      <c r="E108" s="390" t="s">
        <v>4</v>
      </c>
      <c r="F108" s="386" t="s">
        <v>602</v>
      </c>
      <c r="G108" s="386"/>
      <c r="H108" s="386">
        <v>2</v>
      </c>
      <c r="I108" s="386" t="s">
        <v>1054</v>
      </c>
      <c r="J108" s="386" t="s">
        <v>7482</v>
      </c>
      <c r="K108" s="386">
        <v>2</v>
      </c>
      <c r="L108" s="386"/>
      <c r="M108" s="386"/>
      <c r="N108" s="386" t="s">
        <v>452</v>
      </c>
      <c r="O108" s="386" t="s">
        <v>3420</v>
      </c>
      <c r="P108" s="386" t="s">
        <v>7483</v>
      </c>
      <c r="Q108" s="386" t="s">
        <v>24</v>
      </c>
      <c r="R108" s="445"/>
      <c r="S108" s="446"/>
      <c r="T108" s="446"/>
      <c r="U108" s="446"/>
      <c r="V108" s="386"/>
      <c r="W108" s="386"/>
      <c r="X108" s="386"/>
      <c r="Y108" s="386"/>
      <c r="Z108" s="386"/>
    </row>
    <row r="109" spans="1:26" ht="15.75" customHeight="1">
      <c r="A109" s="454">
        <v>44782</v>
      </c>
      <c r="B109" s="455" t="s">
        <v>149</v>
      </c>
      <c r="C109" s="455">
        <v>2</v>
      </c>
      <c r="D109" s="455" t="s">
        <v>8554</v>
      </c>
      <c r="E109" s="455" t="s">
        <v>3</v>
      </c>
      <c r="F109" s="455" t="s">
        <v>460</v>
      </c>
      <c r="G109" s="455" t="s">
        <v>8555</v>
      </c>
      <c r="H109" s="455">
        <v>2</v>
      </c>
      <c r="I109" s="455" t="s">
        <v>462</v>
      </c>
      <c r="J109" s="455" t="s">
        <v>8556</v>
      </c>
      <c r="K109" s="455">
        <v>2</v>
      </c>
      <c r="L109" s="455"/>
      <c r="M109" s="455"/>
      <c r="N109" s="455" t="s">
        <v>452</v>
      </c>
      <c r="O109" s="455" t="s">
        <v>8557</v>
      </c>
      <c r="P109" s="455" t="s">
        <v>8558</v>
      </c>
      <c r="Q109" s="457" t="s">
        <v>24</v>
      </c>
      <c r="R109" s="456" t="s">
        <v>8559</v>
      </c>
      <c r="S109" s="455"/>
      <c r="T109" s="455"/>
      <c r="U109" s="455"/>
      <c r="V109" s="455"/>
      <c r="W109" s="455"/>
      <c r="X109" s="455"/>
      <c r="Y109" s="455"/>
      <c r="Z109" s="455"/>
    </row>
    <row r="110" spans="1:26" ht="15.75" customHeight="1">
      <c r="A110" s="444">
        <v>44782</v>
      </c>
      <c r="B110" s="386" t="s">
        <v>7092</v>
      </c>
      <c r="C110" s="386">
        <v>2</v>
      </c>
      <c r="D110" s="386" t="s">
        <v>7095</v>
      </c>
      <c r="E110" s="390" t="s">
        <v>4</v>
      </c>
      <c r="F110" s="386" t="s">
        <v>602</v>
      </c>
      <c r="G110" s="386" t="s">
        <v>10454</v>
      </c>
      <c r="H110" s="386">
        <v>2</v>
      </c>
      <c r="I110" s="386" t="s">
        <v>476</v>
      </c>
      <c r="J110" s="386" t="s">
        <v>10455</v>
      </c>
      <c r="K110" s="386">
        <v>2</v>
      </c>
      <c r="L110" s="386" t="s">
        <v>451</v>
      </c>
      <c r="M110" s="386" t="s">
        <v>7098</v>
      </c>
      <c r="N110" s="386" t="s">
        <v>452</v>
      </c>
      <c r="O110" s="386" t="s">
        <v>11544</v>
      </c>
      <c r="P110" s="386"/>
      <c r="Q110" s="386" t="s">
        <v>24</v>
      </c>
      <c r="R110" s="445"/>
      <c r="S110" s="446"/>
      <c r="T110" s="446"/>
      <c r="U110" s="446"/>
      <c r="V110" s="386"/>
      <c r="W110" s="386"/>
      <c r="X110" s="386"/>
      <c r="Y110" s="386"/>
      <c r="Z110" s="386"/>
    </row>
    <row r="111" spans="1:26" ht="15.75" customHeight="1">
      <c r="A111" s="447">
        <v>44782</v>
      </c>
      <c r="B111" s="448" t="s">
        <v>7634</v>
      </c>
      <c r="C111" s="448">
        <v>2</v>
      </c>
      <c r="D111" s="448" t="s">
        <v>7637</v>
      </c>
      <c r="E111" s="390" t="s">
        <v>4</v>
      </c>
      <c r="F111" s="448" t="s">
        <v>602</v>
      </c>
      <c r="G111" s="448" t="s">
        <v>7638</v>
      </c>
      <c r="H111" s="448">
        <v>2</v>
      </c>
      <c r="I111" s="448" t="s">
        <v>1054</v>
      </c>
      <c r="J111" s="448" t="s">
        <v>7639</v>
      </c>
      <c r="K111" s="448">
        <v>2</v>
      </c>
      <c r="L111" s="448"/>
      <c r="M111" s="448"/>
      <c r="N111" s="448" t="s">
        <v>452</v>
      </c>
      <c r="O111" s="448" t="s">
        <v>7640</v>
      </c>
      <c r="P111" s="448"/>
      <c r="Q111" s="448" t="s">
        <v>24</v>
      </c>
      <c r="R111" s="449"/>
      <c r="S111" s="446"/>
      <c r="T111" s="446"/>
      <c r="U111" s="446"/>
      <c r="V111" s="448"/>
      <c r="W111" s="448"/>
      <c r="X111" s="448"/>
      <c r="Y111" s="448"/>
      <c r="Z111" s="448"/>
    </row>
    <row r="112" spans="1:26" ht="15.75" customHeight="1">
      <c r="A112" s="444">
        <v>44782</v>
      </c>
      <c r="B112" s="386" t="s">
        <v>11384</v>
      </c>
      <c r="C112" s="386">
        <v>2</v>
      </c>
      <c r="D112" s="386" t="s">
        <v>7526</v>
      </c>
      <c r="E112" s="390" t="s">
        <v>4</v>
      </c>
      <c r="F112" s="386" t="s">
        <v>602</v>
      </c>
      <c r="G112" s="386" t="s">
        <v>7527</v>
      </c>
      <c r="H112" s="386">
        <v>2</v>
      </c>
      <c r="I112" s="386" t="s">
        <v>727</v>
      </c>
      <c r="J112" s="386" t="s">
        <v>7528</v>
      </c>
      <c r="K112" s="386">
        <v>2</v>
      </c>
      <c r="L112" s="386" t="s">
        <v>451</v>
      </c>
      <c r="M112" s="386">
        <v>250000</v>
      </c>
      <c r="N112" s="386" t="s">
        <v>452</v>
      </c>
      <c r="O112" s="386" t="s">
        <v>452</v>
      </c>
      <c r="P112" s="386"/>
      <c r="Q112" s="386" t="s">
        <v>24</v>
      </c>
      <c r="R112" s="445"/>
      <c r="S112" s="446"/>
      <c r="T112" s="446"/>
      <c r="U112" s="446"/>
      <c r="V112" s="386"/>
      <c r="W112" s="386"/>
      <c r="X112" s="386"/>
      <c r="Y112" s="386"/>
      <c r="Z112" s="386"/>
    </row>
    <row r="113" spans="1:26" ht="15.75" customHeight="1">
      <c r="A113" s="447">
        <v>44782</v>
      </c>
      <c r="B113" s="448" t="s">
        <v>6932</v>
      </c>
      <c r="C113" s="448">
        <v>2</v>
      </c>
      <c r="D113" s="448" t="s">
        <v>6935</v>
      </c>
      <c r="E113" s="390" t="s">
        <v>4</v>
      </c>
      <c r="F113" s="448" t="s">
        <v>602</v>
      </c>
      <c r="G113" s="448" t="s">
        <v>6936</v>
      </c>
      <c r="H113" s="448">
        <v>2</v>
      </c>
      <c r="I113" s="448" t="s">
        <v>1054</v>
      </c>
      <c r="J113" s="448"/>
      <c r="K113" s="448">
        <v>2</v>
      </c>
      <c r="L113" s="448" t="s">
        <v>784</v>
      </c>
      <c r="M113" s="448">
        <v>300000</v>
      </c>
      <c r="N113" s="448" t="s">
        <v>452</v>
      </c>
      <c r="O113" s="448" t="s">
        <v>6937</v>
      </c>
      <c r="P113" s="448"/>
      <c r="Q113" s="448" t="s">
        <v>24</v>
      </c>
      <c r="R113" s="449"/>
      <c r="S113" s="446"/>
      <c r="T113" s="446"/>
      <c r="U113" s="446"/>
      <c r="V113" s="448"/>
      <c r="W113" s="448"/>
      <c r="X113" s="448"/>
      <c r="Y113" s="448"/>
      <c r="Z113" s="448"/>
    </row>
    <row r="114" spans="1:26" ht="15.75" customHeight="1">
      <c r="A114" s="444">
        <v>44782</v>
      </c>
      <c r="B114" s="386" t="s">
        <v>7717</v>
      </c>
      <c r="C114" s="386">
        <v>1.75</v>
      </c>
      <c r="D114" s="386" t="s">
        <v>11470</v>
      </c>
      <c r="E114" s="390" t="s">
        <v>4</v>
      </c>
      <c r="F114" s="386" t="s">
        <v>602</v>
      </c>
      <c r="G114" s="386" t="s">
        <v>11471</v>
      </c>
      <c r="H114" s="386">
        <v>2.5</v>
      </c>
      <c r="I114" s="386" t="s">
        <v>1054</v>
      </c>
      <c r="J114" s="386" t="s">
        <v>7722</v>
      </c>
      <c r="K114" s="386">
        <v>1</v>
      </c>
      <c r="L114" s="386"/>
      <c r="M114" s="386"/>
      <c r="N114" s="386" t="s">
        <v>452</v>
      </c>
      <c r="O114" s="386" t="s">
        <v>452</v>
      </c>
      <c r="P114" s="386"/>
      <c r="Q114" s="386" t="s">
        <v>24</v>
      </c>
      <c r="R114" s="445"/>
      <c r="S114" s="446"/>
      <c r="T114" s="446"/>
      <c r="U114" s="446"/>
      <c r="V114" s="386"/>
      <c r="W114" s="386"/>
      <c r="X114" s="386"/>
      <c r="Y114" s="386"/>
      <c r="Z114" s="386"/>
    </row>
    <row r="115" spans="1:26" ht="15.75" customHeight="1">
      <c r="A115" s="447">
        <v>44782</v>
      </c>
      <c r="B115" s="448" t="s">
        <v>2309</v>
      </c>
      <c r="C115" s="448">
        <v>1.5</v>
      </c>
      <c r="D115" s="448" t="s">
        <v>2312</v>
      </c>
      <c r="E115" s="390" t="s">
        <v>5</v>
      </c>
      <c r="F115" s="448" t="s">
        <v>447</v>
      </c>
      <c r="G115" s="448" t="s">
        <v>10299</v>
      </c>
      <c r="H115" s="448">
        <v>1</v>
      </c>
      <c r="I115" s="448" t="s">
        <v>543</v>
      </c>
      <c r="J115" s="448" t="s">
        <v>13400</v>
      </c>
      <c r="K115" s="448">
        <v>2</v>
      </c>
      <c r="L115" s="448" t="s">
        <v>451</v>
      </c>
      <c r="M115" s="448">
        <v>1000000</v>
      </c>
      <c r="N115" s="448" t="s">
        <v>465</v>
      </c>
      <c r="O115" s="448" t="s">
        <v>2315</v>
      </c>
      <c r="P115" s="448"/>
      <c r="Q115" s="448" t="s">
        <v>24</v>
      </c>
      <c r="R115" s="449"/>
      <c r="S115" s="446"/>
      <c r="T115" s="446"/>
      <c r="U115" s="446"/>
      <c r="V115" s="448"/>
      <c r="W115" s="448"/>
      <c r="X115" s="448"/>
      <c r="Y115" s="448"/>
      <c r="Z115" s="448"/>
    </row>
    <row r="116" spans="1:26" ht="15.75" customHeight="1">
      <c r="A116" s="444">
        <v>44782</v>
      </c>
      <c r="B116" s="386" t="s">
        <v>7751</v>
      </c>
      <c r="C116" s="386">
        <v>1.5</v>
      </c>
      <c r="D116" s="386" t="s">
        <v>10481</v>
      </c>
      <c r="E116" s="390" t="s">
        <v>4</v>
      </c>
      <c r="F116" s="386" t="s">
        <v>602</v>
      </c>
      <c r="G116" s="386" t="s">
        <v>7755</v>
      </c>
      <c r="H116" s="386">
        <v>2</v>
      </c>
      <c r="I116" s="386" t="s">
        <v>1054</v>
      </c>
      <c r="J116" s="386"/>
      <c r="K116" s="386">
        <v>1</v>
      </c>
      <c r="L116" s="386" t="s">
        <v>451</v>
      </c>
      <c r="M116" s="386">
        <v>1000000</v>
      </c>
      <c r="N116" s="386" t="s">
        <v>452</v>
      </c>
      <c r="O116" s="386" t="s">
        <v>452</v>
      </c>
      <c r="P116" s="386"/>
      <c r="Q116" s="386" t="s">
        <v>24</v>
      </c>
      <c r="R116" s="445"/>
      <c r="S116" s="446"/>
      <c r="T116" s="446"/>
      <c r="U116" s="446"/>
      <c r="V116" s="386"/>
      <c r="W116" s="386"/>
      <c r="X116" s="386"/>
      <c r="Y116" s="386"/>
      <c r="Z116" s="386"/>
    </row>
    <row r="117" spans="1:26" ht="15.75" customHeight="1">
      <c r="A117" s="447">
        <v>44782</v>
      </c>
      <c r="B117" s="448" t="s">
        <v>7918</v>
      </c>
      <c r="C117" s="448">
        <v>1.5</v>
      </c>
      <c r="D117" s="448" t="s">
        <v>7921</v>
      </c>
      <c r="E117" s="390" t="s">
        <v>4</v>
      </c>
      <c r="F117" s="448" t="s">
        <v>602</v>
      </c>
      <c r="G117" s="448" t="s">
        <v>7922</v>
      </c>
      <c r="H117" s="448">
        <v>2</v>
      </c>
      <c r="I117" s="448" t="s">
        <v>1054</v>
      </c>
      <c r="J117" s="448" t="s">
        <v>7923</v>
      </c>
      <c r="K117" s="448">
        <v>1</v>
      </c>
      <c r="L117" s="448" t="s">
        <v>451</v>
      </c>
      <c r="M117" s="448">
        <v>3000000</v>
      </c>
      <c r="N117" s="448" t="s">
        <v>465</v>
      </c>
      <c r="O117" s="448" t="s">
        <v>452</v>
      </c>
      <c r="P117" s="448"/>
      <c r="Q117" s="448" t="s">
        <v>24</v>
      </c>
      <c r="R117" s="449"/>
      <c r="S117" s="446"/>
      <c r="T117" s="446"/>
      <c r="U117" s="446"/>
      <c r="V117" s="448"/>
      <c r="W117" s="448"/>
      <c r="X117" s="448"/>
      <c r="Y117" s="448"/>
      <c r="Z117" s="448"/>
    </row>
    <row r="118" spans="1:26" ht="15.75" customHeight="1">
      <c r="A118" s="444">
        <v>44782</v>
      </c>
      <c r="B118" s="386" t="s">
        <v>8966</v>
      </c>
      <c r="C118" s="386">
        <v>1</v>
      </c>
      <c r="D118" s="386" t="s">
        <v>8969</v>
      </c>
      <c r="E118" s="390" t="s">
        <v>3</v>
      </c>
      <c r="F118" s="386" t="s">
        <v>460</v>
      </c>
      <c r="G118" s="386"/>
      <c r="H118" s="386">
        <v>1</v>
      </c>
      <c r="I118" s="386" t="s">
        <v>941</v>
      </c>
      <c r="J118" s="386"/>
      <c r="K118" s="386">
        <v>1</v>
      </c>
      <c r="L118" s="386"/>
      <c r="M118" s="386"/>
      <c r="N118" s="386" t="s">
        <v>452</v>
      </c>
      <c r="O118" s="386" t="s">
        <v>452</v>
      </c>
      <c r="P118" s="386"/>
      <c r="Q118" s="386" t="s">
        <v>24</v>
      </c>
      <c r="R118" s="445"/>
      <c r="S118" s="446"/>
      <c r="T118" s="446"/>
      <c r="U118" s="446"/>
      <c r="V118" s="386"/>
      <c r="W118" s="386"/>
      <c r="X118" s="386"/>
      <c r="Y118" s="386"/>
      <c r="Z118" s="386"/>
    </row>
    <row r="119" spans="1:26" ht="15.75" customHeight="1">
      <c r="A119" s="447">
        <v>44782</v>
      </c>
      <c r="B119" s="448" t="s">
        <v>8150</v>
      </c>
      <c r="C119" s="448">
        <v>1</v>
      </c>
      <c r="D119" s="448" t="s">
        <v>8153</v>
      </c>
      <c r="E119" s="390" t="s">
        <v>4</v>
      </c>
      <c r="F119" s="448" t="s">
        <v>727</v>
      </c>
      <c r="G119" s="448" t="s">
        <v>8154</v>
      </c>
      <c r="H119" s="448">
        <v>1</v>
      </c>
      <c r="I119" s="448" t="s">
        <v>476</v>
      </c>
      <c r="J119" s="448" t="s">
        <v>10372</v>
      </c>
      <c r="K119" s="448">
        <v>1</v>
      </c>
      <c r="L119" s="448" t="s">
        <v>784</v>
      </c>
      <c r="M119" s="448">
        <v>600000</v>
      </c>
      <c r="N119" s="448" t="s">
        <v>452</v>
      </c>
      <c r="O119" s="448" t="s">
        <v>452</v>
      </c>
      <c r="P119" s="448"/>
      <c r="Q119" s="448" t="s">
        <v>24</v>
      </c>
      <c r="R119" s="449"/>
      <c r="S119" s="446"/>
      <c r="T119" s="446"/>
      <c r="U119" s="446"/>
      <c r="V119" s="448"/>
      <c r="W119" s="448"/>
      <c r="X119" s="448"/>
      <c r="Y119" s="448"/>
      <c r="Z119" s="448"/>
    </row>
    <row r="120" spans="1:26" ht="15.75" customHeight="1">
      <c r="A120" s="444">
        <v>44782</v>
      </c>
      <c r="B120" s="386" t="s">
        <v>9015</v>
      </c>
      <c r="C120" s="386">
        <v>1</v>
      </c>
      <c r="D120" s="386" t="s">
        <v>9018</v>
      </c>
      <c r="E120" s="390" t="s">
        <v>3</v>
      </c>
      <c r="F120" s="386" t="s">
        <v>460</v>
      </c>
      <c r="G120" s="386" t="s">
        <v>9019</v>
      </c>
      <c r="H120" s="386">
        <v>1</v>
      </c>
      <c r="I120" s="386" t="s">
        <v>941</v>
      </c>
      <c r="J120" s="386"/>
      <c r="K120" s="386">
        <v>1</v>
      </c>
      <c r="L120" s="386"/>
      <c r="M120" s="386"/>
      <c r="N120" s="386" t="s">
        <v>452</v>
      </c>
      <c r="O120" s="386" t="s">
        <v>452</v>
      </c>
      <c r="P120" s="386"/>
      <c r="Q120" s="386" t="s">
        <v>24</v>
      </c>
      <c r="R120" s="445"/>
      <c r="S120" s="446"/>
      <c r="T120" s="446"/>
      <c r="U120" s="446"/>
      <c r="V120" s="386"/>
      <c r="W120" s="386"/>
      <c r="X120" s="386"/>
      <c r="Y120" s="386"/>
      <c r="Z120" s="386"/>
    </row>
    <row r="121" spans="1:26" ht="15.75" customHeight="1">
      <c r="A121" s="447">
        <v>44782</v>
      </c>
      <c r="B121" s="448" t="s">
        <v>8448</v>
      </c>
      <c r="C121" s="448">
        <v>1</v>
      </c>
      <c r="D121" s="448" t="s">
        <v>8451</v>
      </c>
      <c r="E121" s="390" t="s">
        <v>3</v>
      </c>
      <c r="F121" s="448" t="s">
        <v>460</v>
      </c>
      <c r="G121" s="448" t="s">
        <v>8452</v>
      </c>
      <c r="H121" s="448">
        <v>1</v>
      </c>
      <c r="I121" s="448" t="s">
        <v>488</v>
      </c>
      <c r="J121" s="448"/>
      <c r="K121" s="448">
        <v>1</v>
      </c>
      <c r="L121" s="448" t="s">
        <v>8453</v>
      </c>
      <c r="M121" s="448" t="s">
        <v>8454</v>
      </c>
      <c r="N121" s="448" t="s">
        <v>465</v>
      </c>
      <c r="O121" s="448" t="s">
        <v>8455</v>
      </c>
      <c r="P121" s="448"/>
      <c r="Q121" s="448" t="s">
        <v>24</v>
      </c>
      <c r="R121" s="449"/>
      <c r="S121" s="446"/>
      <c r="T121" s="446"/>
      <c r="U121" s="446"/>
      <c r="V121" s="448"/>
      <c r="W121" s="448"/>
      <c r="X121" s="448"/>
      <c r="Y121" s="448"/>
      <c r="Z121" s="448"/>
    </row>
    <row r="122" spans="1:26" ht="15.75" customHeight="1">
      <c r="A122" s="466">
        <v>44784</v>
      </c>
      <c r="B122" s="467" t="s">
        <v>257</v>
      </c>
      <c r="C122" s="467"/>
      <c r="D122" s="467" t="s">
        <v>1482</v>
      </c>
      <c r="E122" s="467" t="s">
        <v>4</v>
      </c>
      <c r="F122" s="467" t="s">
        <v>602</v>
      </c>
      <c r="G122" s="467" t="s">
        <v>1483</v>
      </c>
      <c r="H122" s="467">
        <v>4</v>
      </c>
      <c r="I122" s="467" t="s">
        <v>1054</v>
      </c>
      <c r="J122" s="467"/>
      <c r="K122" s="467"/>
      <c r="L122" s="467" t="s">
        <v>784</v>
      </c>
      <c r="M122" s="467">
        <v>682000</v>
      </c>
      <c r="N122" s="467" t="s">
        <v>465</v>
      </c>
      <c r="O122" s="467" t="s">
        <v>1485</v>
      </c>
      <c r="P122" s="467" t="s">
        <v>1486</v>
      </c>
      <c r="Q122" s="468"/>
      <c r="R122" s="469"/>
      <c r="S122" s="467"/>
      <c r="T122" s="467"/>
      <c r="U122" s="467"/>
      <c r="V122" s="467"/>
      <c r="W122" s="467"/>
      <c r="X122" s="467"/>
      <c r="Y122" s="467"/>
      <c r="Z122" s="467"/>
    </row>
    <row r="123" spans="1:26" ht="15.75" customHeight="1">
      <c r="A123" s="466">
        <v>44784</v>
      </c>
      <c r="B123" s="467" t="s">
        <v>9258</v>
      </c>
      <c r="C123" s="467"/>
      <c r="D123" s="467" t="s">
        <v>11603</v>
      </c>
      <c r="E123" s="467" t="s">
        <v>3</v>
      </c>
      <c r="F123" s="467" t="s">
        <v>460</v>
      </c>
      <c r="G123" s="467" t="s">
        <v>9262</v>
      </c>
      <c r="H123" s="467">
        <v>2</v>
      </c>
      <c r="I123" s="467" t="s">
        <v>488</v>
      </c>
      <c r="J123" s="467"/>
      <c r="K123" s="467"/>
      <c r="L123" s="467"/>
      <c r="M123" s="467"/>
      <c r="N123" s="467" t="s">
        <v>465</v>
      </c>
      <c r="O123" s="467" t="s">
        <v>452</v>
      </c>
      <c r="P123" s="467"/>
      <c r="Q123" s="468"/>
      <c r="R123" s="469"/>
      <c r="S123" s="467"/>
      <c r="T123" s="467"/>
      <c r="U123" s="467"/>
      <c r="V123" s="467"/>
      <c r="W123" s="467"/>
      <c r="X123" s="467"/>
      <c r="Y123" s="467"/>
      <c r="Z123" s="467"/>
    </row>
    <row r="124" spans="1:26" ht="15.75" customHeight="1">
      <c r="A124" s="466">
        <v>44784</v>
      </c>
      <c r="B124" s="467" t="s">
        <v>6763</v>
      </c>
      <c r="C124" s="467"/>
      <c r="D124" s="467" t="s">
        <v>6766</v>
      </c>
      <c r="E124" s="467" t="s">
        <v>4</v>
      </c>
      <c r="F124" s="467" t="s">
        <v>727</v>
      </c>
      <c r="G124" s="467" t="s">
        <v>10280</v>
      </c>
      <c r="H124" s="467">
        <v>2.5</v>
      </c>
      <c r="I124" s="467" t="s">
        <v>602</v>
      </c>
      <c r="J124" s="467"/>
      <c r="K124" s="467"/>
      <c r="L124" s="467" t="s">
        <v>478</v>
      </c>
      <c r="M124" s="467">
        <v>5000000</v>
      </c>
      <c r="N124" s="467" t="s">
        <v>465</v>
      </c>
      <c r="O124" s="467" t="s">
        <v>6769</v>
      </c>
      <c r="P124" s="467"/>
      <c r="Q124" s="468"/>
      <c r="R124" s="469"/>
      <c r="S124" s="467"/>
      <c r="T124" s="467"/>
      <c r="U124" s="467"/>
      <c r="V124" s="467"/>
      <c r="W124" s="467"/>
      <c r="X124" s="467"/>
      <c r="Y124" s="467"/>
      <c r="Z124" s="467"/>
    </row>
    <row r="125" spans="1:26" ht="15.75" customHeight="1">
      <c r="A125" s="466">
        <v>44784</v>
      </c>
      <c r="B125" s="467" t="s">
        <v>8705</v>
      </c>
      <c r="C125" s="467"/>
      <c r="D125" s="467" t="s">
        <v>8708</v>
      </c>
      <c r="E125" s="467" t="s">
        <v>3</v>
      </c>
      <c r="F125" s="467" t="s">
        <v>460</v>
      </c>
      <c r="G125" s="467" t="s">
        <v>8709</v>
      </c>
      <c r="H125" s="467">
        <v>2.5</v>
      </c>
      <c r="I125" s="467" t="s">
        <v>488</v>
      </c>
      <c r="J125" s="467"/>
      <c r="K125" s="467"/>
      <c r="L125" s="467" t="s">
        <v>451</v>
      </c>
      <c r="M125" s="467">
        <v>1800000</v>
      </c>
      <c r="N125" s="467" t="s">
        <v>452</v>
      </c>
      <c r="O125" s="467" t="s">
        <v>8711</v>
      </c>
      <c r="P125" s="467"/>
      <c r="Q125" s="468"/>
      <c r="R125" s="469"/>
      <c r="S125" s="467"/>
      <c r="T125" s="467"/>
      <c r="U125" s="467"/>
      <c r="V125" s="467"/>
      <c r="W125" s="467"/>
      <c r="X125" s="467"/>
      <c r="Y125" s="467"/>
      <c r="Z125" s="467"/>
    </row>
    <row r="126" spans="1:26" ht="15.75" customHeight="1">
      <c r="A126" s="466">
        <v>44784</v>
      </c>
      <c r="B126" s="467" t="s">
        <v>130</v>
      </c>
      <c r="C126" s="467"/>
      <c r="D126" s="467" t="s">
        <v>3179</v>
      </c>
      <c r="E126" s="467" t="s">
        <v>3</v>
      </c>
      <c r="F126" s="467" t="s">
        <v>460</v>
      </c>
      <c r="G126" s="467" t="s">
        <v>3180</v>
      </c>
      <c r="H126" s="467">
        <v>3</v>
      </c>
      <c r="I126" s="467" t="s">
        <v>488</v>
      </c>
      <c r="J126" s="467"/>
      <c r="K126" s="467"/>
      <c r="L126" s="467" t="s">
        <v>784</v>
      </c>
      <c r="M126" s="467">
        <v>3000000</v>
      </c>
      <c r="N126" s="467" t="s">
        <v>452</v>
      </c>
      <c r="O126" s="467" t="s">
        <v>3182</v>
      </c>
      <c r="P126" s="467"/>
      <c r="Q126" s="468"/>
      <c r="R126" s="469"/>
      <c r="S126" s="467"/>
      <c r="T126" s="467"/>
      <c r="U126" s="467"/>
      <c r="V126" s="467"/>
      <c r="W126" s="467"/>
      <c r="X126" s="467"/>
      <c r="Y126" s="467"/>
      <c r="Z126" s="467"/>
    </row>
    <row r="127" spans="1:26" ht="15.75" customHeight="1">
      <c r="A127" s="466">
        <v>44784</v>
      </c>
      <c r="B127" s="467" t="s">
        <v>693</v>
      </c>
      <c r="C127" s="467"/>
      <c r="D127" s="467" t="s">
        <v>696</v>
      </c>
      <c r="E127" s="467" t="s">
        <v>5</v>
      </c>
      <c r="F127" s="467" t="s">
        <v>447</v>
      </c>
      <c r="G127" s="467" t="s">
        <v>10301</v>
      </c>
      <c r="H127" s="467">
        <v>4</v>
      </c>
      <c r="I127" s="467" t="s">
        <v>622</v>
      </c>
      <c r="J127" s="467"/>
      <c r="K127" s="467"/>
      <c r="L127" s="467" t="s">
        <v>451</v>
      </c>
      <c r="M127" s="467">
        <v>3000000</v>
      </c>
      <c r="N127" s="467" t="s">
        <v>452</v>
      </c>
      <c r="O127" s="467" t="s">
        <v>699</v>
      </c>
      <c r="P127" s="467" t="s">
        <v>700</v>
      </c>
      <c r="Q127" s="468"/>
      <c r="R127" s="469"/>
      <c r="S127" s="467"/>
      <c r="T127" s="467"/>
      <c r="U127" s="467"/>
      <c r="V127" s="467"/>
      <c r="W127" s="467"/>
      <c r="X127" s="467"/>
      <c r="Y127" s="467"/>
      <c r="Z127" s="467"/>
    </row>
    <row r="128" spans="1:26" ht="15.75" customHeight="1">
      <c r="A128" s="466">
        <v>44784</v>
      </c>
      <c r="B128" s="467" t="s">
        <v>368</v>
      </c>
      <c r="C128" s="467"/>
      <c r="D128" s="467" t="s">
        <v>2064</v>
      </c>
      <c r="E128" s="467" t="s">
        <v>3</v>
      </c>
      <c r="F128" s="467" t="s">
        <v>460</v>
      </c>
      <c r="G128" s="467" t="s">
        <v>2065</v>
      </c>
      <c r="H128" s="467">
        <v>5</v>
      </c>
      <c r="I128" s="467" t="s">
        <v>488</v>
      </c>
      <c r="J128" s="467"/>
      <c r="K128" s="467"/>
      <c r="L128" s="467" t="s">
        <v>973</v>
      </c>
      <c r="M128" s="467" t="s">
        <v>2067</v>
      </c>
      <c r="N128" s="467" t="s">
        <v>465</v>
      </c>
      <c r="O128" s="467" t="s">
        <v>2068</v>
      </c>
      <c r="P128" s="467"/>
      <c r="Q128" s="467"/>
      <c r="R128" s="469"/>
      <c r="S128" s="467"/>
      <c r="T128" s="467"/>
      <c r="U128" s="467"/>
      <c r="V128" s="467"/>
      <c r="W128" s="467"/>
      <c r="X128" s="467"/>
      <c r="Y128" s="467"/>
      <c r="Z128" s="467"/>
    </row>
    <row r="129" spans="1:26" ht="15.75" customHeight="1">
      <c r="A129" s="466">
        <v>44784</v>
      </c>
      <c r="B129" s="467" t="s">
        <v>403</v>
      </c>
      <c r="C129" s="467"/>
      <c r="D129" s="467" t="s">
        <v>10123</v>
      </c>
      <c r="E129" s="467" t="s">
        <v>3</v>
      </c>
      <c r="F129" s="467" t="s">
        <v>460</v>
      </c>
      <c r="G129" s="467" t="s">
        <v>10124</v>
      </c>
      <c r="H129" s="467">
        <v>4</v>
      </c>
      <c r="I129" s="467" t="s">
        <v>488</v>
      </c>
      <c r="J129" s="467"/>
      <c r="K129" s="467"/>
      <c r="L129" s="467" t="s">
        <v>451</v>
      </c>
      <c r="M129" s="467" t="s">
        <v>2604</v>
      </c>
      <c r="N129" s="467" t="s">
        <v>454</v>
      </c>
      <c r="O129" s="467" t="s">
        <v>10126</v>
      </c>
      <c r="P129" s="467" t="s">
        <v>460</v>
      </c>
      <c r="Q129" s="467"/>
      <c r="R129" s="469"/>
      <c r="S129" s="467"/>
      <c r="T129" s="467"/>
      <c r="U129" s="467"/>
      <c r="V129" s="467"/>
      <c r="W129" s="467"/>
      <c r="X129" s="467"/>
      <c r="Y129" s="467"/>
      <c r="Z129" s="467"/>
    </row>
    <row r="130" spans="1:26" ht="15.75" customHeight="1">
      <c r="A130" s="466">
        <v>44784</v>
      </c>
      <c r="B130" s="467" t="s">
        <v>386</v>
      </c>
      <c r="C130" s="467"/>
      <c r="D130" s="467" t="s">
        <v>10063</v>
      </c>
      <c r="E130" s="467" t="s">
        <v>5</v>
      </c>
      <c r="F130" s="467" t="s">
        <v>447</v>
      </c>
      <c r="G130" s="467" t="s">
        <v>10380</v>
      </c>
      <c r="H130" s="467">
        <v>3.5</v>
      </c>
      <c r="I130" s="467" t="s">
        <v>622</v>
      </c>
      <c r="J130" s="467"/>
      <c r="K130" s="467"/>
      <c r="L130" s="467" t="s">
        <v>478</v>
      </c>
      <c r="M130" s="467" t="s">
        <v>10066</v>
      </c>
      <c r="N130" s="467" t="s">
        <v>452</v>
      </c>
      <c r="O130" s="467" t="s">
        <v>10381</v>
      </c>
      <c r="P130" s="467"/>
      <c r="Q130" s="467"/>
      <c r="R130" s="469"/>
      <c r="S130" s="467"/>
      <c r="T130" s="467"/>
      <c r="U130" s="467"/>
      <c r="V130" s="467"/>
      <c r="W130" s="467"/>
      <c r="X130" s="467"/>
      <c r="Y130" s="467"/>
      <c r="Z130" s="467"/>
    </row>
    <row r="131" spans="1:26" ht="15.75" customHeight="1">
      <c r="A131" s="466">
        <v>44784</v>
      </c>
      <c r="B131" s="467" t="s">
        <v>9816</v>
      </c>
      <c r="C131" s="467"/>
      <c r="D131" s="467" t="s">
        <v>9819</v>
      </c>
      <c r="E131" s="467" t="s">
        <v>3</v>
      </c>
      <c r="F131" s="467" t="s">
        <v>460</v>
      </c>
      <c r="G131" s="467" t="s">
        <v>9820</v>
      </c>
      <c r="H131" s="467">
        <v>3</v>
      </c>
      <c r="I131" s="467" t="s">
        <v>488</v>
      </c>
      <c r="J131" s="467"/>
      <c r="K131" s="467"/>
      <c r="L131" s="467"/>
      <c r="M131" s="467"/>
      <c r="N131" s="467" t="s">
        <v>454</v>
      </c>
      <c r="O131" s="467" t="s">
        <v>452</v>
      </c>
      <c r="P131" s="467"/>
      <c r="Q131" s="467"/>
      <c r="R131" s="469"/>
      <c r="S131" s="467"/>
      <c r="T131" s="467"/>
      <c r="U131" s="467"/>
      <c r="V131" s="467"/>
      <c r="W131" s="467"/>
      <c r="X131" s="467"/>
      <c r="Y131" s="467"/>
      <c r="Z131" s="467"/>
    </row>
    <row r="132" spans="1:26" ht="15.75" customHeight="1">
      <c r="A132" s="466">
        <v>44784</v>
      </c>
      <c r="B132" s="467" t="s">
        <v>3019</v>
      </c>
      <c r="C132" s="467"/>
      <c r="D132" s="467" t="s">
        <v>10396</v>
      </c>
      <c r="E132" s="467" t="s">
        <v>5</v>
      </c>
      <c r="F132" s="467" t="s">
        <v>447</v>
      </c>
      <c r="G132" s="467" t="s">
        <v>10397</v>
      </c>
      <c r="H132" s="467">
        <v>3</v>
      </c>
      <c r="I132" s="467" t="s">
        <v>622</v>
      </c>
      <c r="J132" s="467"/>
      <c r="K132" s="467"/>
      <c r="L132" s="467" t="s">
        <v>784</v>
      </c>
      <c r="M132" s="467">
        <v>1000000</v>
      </c>
      <c r="N132" s="467" t="s">
        <v>452</v>
      </c>
      <c r="O132" s="467" t="s">
        <v>3025</v>
      </c>
      <c r="P132" s="467" t="s">
        <v>447</v>
      </c>
      <c r="Q132" s="467"/>
      <c r="R132" s="469"/>
      <c r="S132" s="467"/>
      <c r="T132" s="467"/>
      <c r="U132" s="467"/>
      <c r="V132" s="467"/>
      <c r="W132" s="467"/>
      <c r="X132" s="467"/>
      <c r="Y132" s="467"/>
      <c r="Z132" s="467"/>
    </row>
    <row r="133" spans="1:26" ht="15.75" customHeight="1">
      <c r="A133" s="466">
        <v>44784</v>
      </c>
      <c r="B133" s="467" t="s">
        <v>85</v>
      </c>
      <c r="C133" s="467"/>
      <c r="D133" s="467" t="s">
        <v>9345</v>
      </c>
      <c r="E133" s="467" t="s">
        <v>5</v>
      </c>
      <c r="F133" s="467" t="s">
        <v>447</v>
      </c>
      <c r="G133" s="467" t="s">
        <v>10406</v>
      </c>
      <c r="H133" s="467">
        <v>3.5</v>
      </c>
      <c r="I133" s="467" t="s">
        <v>622</v>
      </c>
      <c r="J133" s="467"/>
      <c r="K133" s="467"/>
      <c r="L133" s="467" t="s">
        <v>478</v>
      </c>
      <c r="M133" s="467" t="s">
        <v>9348</v>
      </c>
      <c r="N133" s="467" t="s">
        <v>452</v>
      </c>
      <c r="O133" s="467" t="s">
        <v>11576</v>
      </c>
      <c r="P133" s="467" t="s">
        <v>1862</v>
      </c>
      <c r="Q133" s="467"/>
      <c r="R133" s="469"/>
      <c r="S133" s="467"/>
      <c r="T133" s="467"/>
      <c r="U133" s="467"/>
      <c r="V133" s="467"/>
      <c r="W133" s="467"/>
      <c r="X133" s="467"/>
      <c r="Y133" s="467"/>
      <c r="Z133" s="467"/>
    </row>
    <row r="134" spans="1:26" ht="15.75" customHeight="1">
      <c r="A134" s="466">
        <v>44784</v>
      </c>
      <c r="B134" s="467" t="s">
        <v>2566</v>
      </c>
      <c r="C134" s="467"/>
      <c r="D134" s="467" t="s">
        <v>2569</v>
      </c>
      <c r="E134" s="467" t="s">
        <v>5</v>
      </c>
      <c r="F134" s="467" t="s">
        <v>447</v>
      </c>
      <c r="G134" s="467" t="s">
        <v>10417</v>
      </c>
      <c r="H134" s="467">
        <v>3</v>
      </c>
      <c r="I134" s="467" t="s">
        <v>622</v>
      </c>
      <c r="J134" s="467"/>
      <c r="K134" s="467"/>
      <c r="L134" s="467" t="s">
        <v>451</v>
      </c>
      <c r="M134" s="467">
        <v>760000</v>
      </c>
      <c r="N134" s="467" t="s">
        <v>465</v>
      </c>
      <c r="O134" s="467" t="s">
        <v>11594</v>
      </c>
      <c r="P134" s="467"/>
      <c r="Q134" s="467"/>
      <c r="R134" s="469"/>
      <c r="S134" s="467"/>
      <c r="T134" s="467"/>
      <c r="U134" s="467"/>
      <c r="V134" s="467"/>
      <c r="W134" s="467"/>
      <c r="X134" s="467"/>
      <c r="Y134" s="467"/>
      <c r="Z134" s="467"/>
    </row>
    <row r="135" spans="1:26" ht="15.75" customHeight="1">
      <c r="A135" s="466">
        <v>44784</v>
      </c>
      <c r="B135" s="467" t="s">
        <v>8877</v>
      </c>
      <c r="C135" s="467"/>
      <c r="D135" s="467" t="s">
        <v>10449</v>
      </c>
      <c r="E135" s="467" t="s">
        <v>3</v>
      </c>
      <c r="F135" s="467" t="s">
        <v>460</v>
      </c>
      <c r="G135" s="467" t="s">
        <v>8881</v>
      </c>
      <c r="H135" s="467">
        <v>3</v>
      </c>
      <c r="I135" s="467" t="s">
        <v>488</v>
      </c>
      <c r="J135" s="467"/>
      <c r="K135" s="467"/>
      <c r="L135" s="467"/>
      <c r="M135" s="467"/>
      <c r="N135" s="467" t="s">
        <v>465</v>
      </c>
      <c r="O135" s="467" t="s">
        <v>8883</v>
      </c>
      <c r="P135" s="467"/>
      <c r="Q135" s="467"/>
      <c r="R135" s="469"/>
      <c r="S135" s="467"/>
      <c r="T135" s="467"/>
      <c r="U135" s="467"/>
      <c r="V135" s="467"/>
      <c r="W135" s="467"/>
      <c r="X135" s="467"/>
      <c r="Y135" s="467"/>
      <c r="Z135" s="467"/>
    </row>
    <row r="136" spans="1:26" ht="15.75" customHeight="1">
      <c r="A136" s="466">
        <v>44784</v>
      </c>
      <c r="B136" s="467" t="s">
        <v>8672</v>
      </c>
      <c r="C136" s="467"/>
      <c r="D136" s="467" t="s">
        <v>8675</v>
      </c>
      <c r="E136" s="467" t="s">
        <v>3</v>
      </c>
      <c r="F136" s="467" t="s">
        <v>460</v>
      </c>
      <c r="G136" s="467" t="s">
        <v>10470</v>
      </c>
      <c r="H136" s="467">
        <v>2</v>
      </c>
      <c r="I136" s="467" t="s">
        <v>488</v>
      </c>
      <c r="J136" s="467"/>
      <c r="K136" s="467"/>
      <c r="L136" s="467" t="s">
        <v>451</v>
      </c>
      <c r="M136" s="467">
        <v>500000</v>
      </c>
      <c r="N136" s="467" t="s">
        <v>465</v>
      </c>
      <c r="O136" s="467" t="s">
        <v>575</v>
      </c>
      <c r="P136" s="467"/>
      <c r="Q136" s="467"/>
      <c r="R136" s="469"/>
      <c r="S136" s="467"/>
      <c r="T136" s="467"/>
      <c r="U136" s="467"/>
      <c r="V136" s="467"/>
      <c r="W136" s="467"/>
      <c r="X136" s="467"/>
      <c r="Y136" s="467"/>
      <c r="Z136" s="467"/>
    </row>
    <row r="137" spans="1:26" ht="15.75" customHeight="1">
      <c r="A137" s="466">
        <v>44784</v>
      </c>
      <c r="B137" s="467" t="s">
        <v>5005</v>
      </c>
      <c r="C137" s="467"/>
      <c r="D137" s="467" t="s">
        <v>10508</v>
      </c>
      <c r="E137" s="467" t="s">
        <v>4</v>
      </c>
      <c r="F137" s="467" t="s">
        <v>727</v>
      </c>
      <c r="G137" s="467" t="s">
        <v>5009</v>
      </c>
      <c r="H137" s="467">
        <v>3</v>
      </c>
      <c r="I137" s="467" t="s">
        <v>622</v>
      </c>
      <c r="J137" s="467"/>
      <c r="K137" s="467"/>
      <c r="L137" s="467"/>
      <c r="M137" s="467"/>
      <c r="N137" s="467" t="s">
        <v>452</v>
      </c>
      <c r="O137" s="467" t="s">
        <v>452</v>
      </c>
      <c r="P137" s="467"/>
      <c r="Q137" s="467"/>
      <c r="R137" s="469"/>
      <c r="S137" s="467"/>
      <c r="T137" s="467"/>
      <c r="U137" s="467"/>
      <c r="V137" s="467"/>
      <c r="W137" s="467"/>
      <c r="X137" s="467"/>
      <c r="Y137" s="467"/>
      <c r="Z137" s="467"/>
    </row>
    <row r="138" spans="1:26" ht="15.75" customHeight="1">
      <c r="A138" s="466">
        <v>44784</v>
      </c>
      <c r="B138" s="467" t="s">
        <v>411</v>
      </c>
      <c r="C138" s="467"/>
      <c r="D138" s="467" t="s">
        <v>10140</v>
      </c>
      <c r="E138" s="467" t="s">
        <v>3</v>
      </c>
      <c r="F138" s="467" t="s">
        <v>460</v>
      </c>
      <c r="G138" s="467" t="s">
        <v>10141</v>
      </c>
      <c r="H138" s="467">
        <v>4</v>
      </c>
      <c r="I138" s="467" t="s">
        <v>488</v>
      </c>
      <c r="J138" s="467"/>
      <c r="K138" s="467"/>
      <c r="L138" s="467" t="s">
        <v>478</v>
      </c>
      <c r="M138" s="467">
        <v>8000000</v>
      </c>
      <c r="N138" s="467" t="s">
        <v>452</v>
      </c>
      <c r="O138" s="467" t="s">
        <v>10143</v>
      </c>
      <c r="P138" s="467"/>
      <c r="Q138" s="467"/>
      <c r="R138" s="469"/>
      <c r="S138" s="467"/>
      <c r="T138" s="467"/>
      <c r="U138" s="467"/>
      <c r="V138" s="467"/>
      <c r="W138" s="467"/>
      <c r="X138" s="467"/>
      <c r="Y138" s="467"/>
      <c r="Z138" s="467"/>
    </row>
    <row r="139" spans="1:26" ht="15.75" customHeight="1">
      <c r="A139" s="466">
        <v>44784</v>
      </c>
      <c r="B139" s="467" t="s">
        <v>10631</v>
      </c>
      <c r="C139" s="467"/>
      <c r="D139" s="467" t="s">
        <v>13176</v>
      </c>
      <c r="E139" s="467" t="s">
        <v>5</v>
      </c>
      <c r="F139" s="467" t="s">
        <v>447</v>
      </c>
      <c r="G139" s="467" t="s">
        <v>10633</v>
      </c>
      <c r="H139" s="467">
        <v>3</v>
      </c>
      <c r="I139" s="467" t="s">
        <v>622</v>
      </c>
      <c r="J139" s="467"/>
      <c r="K139" s="467"/>
      <c r="L139" s="467"/>
      <c r="M139" s="467"/>
      <c r="N139" s="467" t="s">
        <v>452</v>
      </c>
      <c r="O139" s="467" t="s">
        <v>1119</v>
      </c>
      <c r="P139" s="467" t="s">
        <v>3463</v>
      </c>
      <c r="Q139" s="467"/>
      <c r="R139" s="469"/>
      <c r="S139" s="467"/>
      <c r="T139" s="467"/>
      <c r="U139" s="467"/>
      <c r="V139" s="467"/>
      <c r="W139" s="467"/>
      <c r="X139" s="467"/>
      <c r="Y139" s="467"/>
      <c r="Z139" s="467"/>
    </row>
    <row r="140" spans="1:26" ht="15.75" customHeight="1">
      <c r="A140" s="466">
        <v>44784</v>
      </c>
      <c r="B140" s="467" t="s">
        <v>4848</v>
      </c>
      <c r="C140" s="467"/>
      <c r="D140" s="467" t="s">
        <v>4851</v>
      </c>
      <c r="E140" s="467" t="s">
        <v>4</v>
      </c>
      <c r="F140" s="467" t="s">
        <v>727</v>
      </c>
      <c r="G140" s="467" t="s">
        <v>11387</v>
      </c>
      <c r="H140" s="467">
        <v>3.5</v>
      </c>
      <c r="I140" s="467" t="s">
        <v>602</v>
      </c>
      <c r="J140" s="467"/>
      <c r="K140" s="467"/>
      <c r="L140" s="467"/>
      <c r="M140" s="467"/>
      <c r="N140" s="467" t="s">
        <v>452</v>
      </c>
      <c r="O140" s="467" t="s">
        <v>575</v>
      </c>
      <c r="P140" s="467"/>
      <c r="Q140" s="467"/>
      <c r="R140" s="469"/>
      <c r="S140" s="467"/>
      <c r="T140" s="467"/>
      <c r="U140" s="467"/>
      <c r="V140" s="467"/>
      <c r="W140" s="467"/>
      <c r="X140" s="467"/>
      <c r="Y140" s="467"/>
      <c r="Z140" s="467"/>
    </row>
    <row r="141" spans="1:26" ht="15.75" customHeight="1">
      <c r="A141" s="466">
        <v>44784</v>
      </c>
      <c r="B141" s="467" t="s">
        <v>13177</v>
      </c>
      <c r="C141" s="467"/>
      <c r="D141" s="467" t="s">
        <v>6454</v>
      </c>
      <c r="E141" s="467" t="s">
        <v>4</v>
      </c>
      <c r="F141" s="467" t="s">
        <v>727</v>
      </c>
      <c r="G141" s="467" t="s">
        <v>6455</v>
      </c>
      <c r="H141" s="467">
        <v>2.5</v>
      </c>
      <c r="I141" s="467" t="s">
        <v>602</v>
      </c>
      <c r="J141" s="467"/>
      <c r="K141" s="467"/>
      <c r="L141" s="467" t="s">
        <v>784</v>
      </c>
      <c r="M141" s="467">
        <v>1200000</v>
      </c>
      <c r="N141" s="467" t="s">
        <v>452</v>
      </c>
      <c r="O141" s="467" t="s">
        <v>1119</v>
      </c>
      <c r="P141" s="467"/>
      <c r="Q141" s="467"/>
      <c r="R141" s="469"/>
      <c r="S141" s="467"/>
      <c r="T141" s="467"/>
      <c r="U141" s="467"/>
      <c r="V141" s="467"/>
      <c r="W141" s="467"/>
      <c r="X141" s="467"/>
      <c r="Y141" s="467"/>
      <c r="Z141" s="467"/>
    </row>
    <row r="142" spans="1:26" ht="15.75" customHeight="1">
      <c r="A142" s="466">
        <v>44784</v>
      </c>
      <c r="B142" s="467" t="s">
        <v>6673</v>
      </c>
      <c r="C142" s="467"/>
      <c r="D142" s="467" t="s">
        <v>6676</v>
      </c>
      <c r="E142" s="467" t="s">
        <v>4</v>
      </c>
      <c r="F142" s="467" t="s">
        <v>727</v>
      </c>
      <c r="G142" s="467" t="s">
        <v>6677</v>
      </c>
      <c r="H142" s="467">
        <v>2.5</v>
      </c>
      <c r="I142" s="467" t="s">
        <v>602</v>
      </c>
      <c r="J142" s="467"/>
      <c r="K142" s="467"/>
      <c r="L142" s="467" t="s">
        <v>451</v>
      </c>
      <c r="M142" s="467">
        <v>2800000</v>
      </c>
      <c r="N142" s="467" t="s">
        <v>452</v>
      </c>
      <c r="O142" s="467" t="s">
        <v>6679</v>
      </c>
      <c r="P142" s="467"/>
      <c r="Q142" s="467"/>
      <c r="R142" s="469"/>
      <c r="S142" s="467"/>
      <c r="T142" s="467"/>
      <c r="U142" s="467"/>
      <c r="V142" s="467"/>
      <c r="W142" s="467"/>
      <c r="X142" s="467"/>
      <c r="Y142" s="467"/>
      <c r="Z142" s="467"/>
    </row>
    <row r="143" spans="1:26" ht="15.75" customHeight="1">
      <c r="A143" s="448"/>
      <c r="B143" s="448"/>
      <c r="C143" s="448"/>
      <c r="D143" s="448"/>
      <c r="E143" s="390"/>
      <c r="F143" s="448"/>
      <c r="G143" s="448"/>
      <c r="H143" s="448"/>
      <c r="I143" s="448"/>
      <c r="J143" s="448"/>
      <c r="K143" s="448"/>
      <c r="L143" s="448"/>
      <c r="M143" s="448"/>
      <c r="N143" s="448"/>
      <c r="O143" s="448"/>
      <c r="P143" s="448"/>
      <c r="Q143" s="448"/>
      <c r="R143" s="449"/>
      <c r="S143" s="446"/>
      <c r="T143" s="446"/>
      <c r="U143" s="446"/>
      <c r="V143" s="448"/>
      <c r="W143" s="448"/>
      <c r="X143" s="448"/>
      <c r="Y143" s="448"/>
      <c r="Z143" s="448"/>
    </row>
    <row r="144" spans="1:26" ht="15.75" customHeight="1">
      <c r="A144" s="386"/>
      <c r="B144" s="386"/>
      <c r="C144" s="386"/>
      <c r="D144" s="386"/>
      <c r="E144" s="390"/>
      <c r="F144" s="386"/>
      <c r="G144" s="386"/>
      <c r="H144" s="386"/>
      <c r="I144" s="386"/>
      <c r="J144" s="386"/>
      <c r="K144" s="386"/>
      <c r="L144" s="386"/>
      <c r="M144" s="386"/>
      <c r="N144" s="386"/>
      <c r="O144" s="386"/>
      <c r="P144" s="386"/>
      <c r="Q144" s="386"/>
      <c r="R144" s="445"/>
      <c r="S144" s="446"/>
      <c r="T144" s="446"/>
      <c r="U144" s="446"/>
      <c r="V144" s="386"/>
      <c r="W144" s="386"/>
      <c r="X144" s="386"/>
      <c r="Y144" s="386"/>
      <c r="Z144" s="386"/>
    </row>
  </sheetData>
  <autoFilter ref="A1:V144" xr:uid="{00000000-0009-0000-0000-000012000000}"/>
  <dataValidations count="1">
    <dataValidation type="list" allowBlank="1" sqref="Q2:Q144" xr:uid="{00000000-0002-0000-1200-000000000000}">
      <formula1>"Invite,Reject,Revisit,Special Reject,Invite Next Year,Revisit/ Cluster,"</formula1>
    </dataValidation>
  </dataValidations>
  <hyperlinks>
    <hyperlink ref="O38" r:id="rId1" xr:uid="{00000000-0004-0000-1200-000000000000}"/>
  </hyperlinks>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L998"/>
  <sheetViews>
    <sheetView workbookViewId="0"/>
  </sheetViews>
  <sheetFormatPr baseColWidth="10" defaultColWidth="14.5" defaultRowHeight="15" customHeight="1"/>
  <cols>
    <col min="1" max="1" width="24.33203125" customWidth="1"/>
    <col min="2" max="2" width="5.5" customWidth="1"/>
    <col min="3" max="3" width="6.5" customWidth="1"/>
    <col min="4" max="4" width="18.1640625" customWidth="1"/>
    <col min="5" max="5" width="6.1640625" customWidth="1"/>
    <col min="6" max="6" width="17.5" customWidth="1"/>
    <col min="7" max="7" width="7.83203125" hidden="1" customWidth="1"/>
    <col min="8" max="8" width="7.83203125" customWidth="1"/>
    <col min="9" max="9" width="11.33203125" customWidth="1"/>
    <col min="10" max="10" width="8.33203125" hidden="1" customWidth="1"/>
  </cols>
  <sheetData>
    <row r="1" spans="1:12">
      <c r="D1" s="587" t="s">
        <v>13178</v>
      </c>
      <c r="E1" s="573"/>
      <c r="F1" s="573"/>
      <c r="G1" s="573"/>
      <c r="H1" s="573"/>
      <c r="I1" s="573"/>
    </row>
    <row r="2" spans="1:12" ht="15" customHeight="1">
      <c r="D2" s="573"/>
      <c r="E2" s="573"/>
      <c r="F2" s="573"/>
      <c r="G2" s="573"/>
      <c r="H2" s="573"/>
      <c r="I2" s="573"/>
    </row>
    <row r="3" spans="1:12">
      <c r="D3" s="573"/>
      <c r="E3" s="573"/>
      <c r="F3" s="573"/>
      <c r="G3" s="573"/>
      <c r="H3" s="573"/>
      <c r="I3" s="573"/>
      <c r="K3" s="6" t="s">
        <v>13179</v>
      </c>
    </row>
    <row r="4" spans="1:12">
      <c r="A4" s="470" t="s">
        <v>13180</v>
      </c>
      <c r="B4" s="471">
        <f>COUNTIF(Import!D:D,"")</f>
        <v>1047453</v>
      </c>
      <c r="D4" s="6" t="s">
        <v>42</v>
      </c>
      <c r="E4" s="472" t="s">
        <v>2</v>
      </c>
      <c r="F4" s="6" t="s">
        <v>13181</v>
      </c>
      <c r="G4" s="473">
        <v>44791</v>
      </c>
      <c r="H4" s="473">
        <v>44796</v>
      </c>
      <c r="I4" s="472" t="s">
        <v>13182</v>
      </c>
      <c r="J4" s="6" t="s">
        <v>13183</v>
      </c>
      <c r="K4" s="6" t="s">
        <v>13184</v>
      </c>
      <c r="L4" s="6" t="s">
        <v>13185</v>
      </c>
    </row>
    <row r="5" spans="1:12">
      <c r="A5" s="474" t="s">
        <v>3</v>
      </c>
      <c r="B5" s="6">
        <f>COUNTIFS(Import!D:D,"",Import!F:F,A5)</f>
        <v>0</v>
      </c>
      <c r="D5" s="6" t="s">
        <v>460</v>
      </c>
      <c r="E5" s="472">
        <f>COUNTIFS(Import!D:D,"",Import!G:G,D5)</f>
        <v>0</v>
      </c>
      <c r="F5" s="6" t="str">
        <f t="shared" ref="F5:F11" si="0">CONCATENATE(IF(COUNTIFS(Score,"",Reviewer1,D5,Track,"Life Sciences")=0,"",CONCATENATE("LS: ",COUNTIFS(Score,"",Reviewer1,D5,Track,"Life Sciences")," ")),
IF(COUNTIFS(Score,"",Reviewer1,D5,Track,"Digital Tech")=0,"",CONCATENATE("DiT: ",COUNTIFS(Score,"",Reviewer1,D5,Track,"Digital Tech")," ")),
IF(COUNTIFS(Score,"",Reviewer1,D5,Track,"Deep Tech")=0,"",CONCATENATE("DT: ",COUNTIFS(Score,"",Reviewer1,D5,Track,"Deep Tech"))))</f>
        <v/>
      </c>
      <c r="G5" s="472">
        <f t="shared" ref="G5:H11" si="1">COUNTIFS(Score,"",Reviewer1,$D5,Date,G$4)</f>
        <v>0</v>
      </c>
      <c r="H5" s="472">
        <f t="shared" si="1"/>
        <v>0</v>
      </c>
      <c r="I5" s="472">
        <f t="shared" ref="I5:I11" si="2">COUNTIFS(Score,"",Reviewer1,$D5,Date,"&lt;8/16/2022")</f>
        <v>0</v>
      </c>
      <c r="J5" s="6" t="str">
        <f ca="1">IFERROR(__xludf.DUMMYFUNCTION("TEXTJOIN("", "",1,FILTER(Name,Score="""",Reviewer1=$D5,Date=DATE(2022,8,23)))"),"#N/A")</f>
        <v>#N/A</v>
      </c>
      <c r="K5" s="6">
        <v>0</v>
      </c>
      <c r="L5" s="6">
        <v>29</v>
      </c>
    </row>
    <row r="6" spans="1:12">
      <c r="A6" s="474" t="s">
        <v>4</v>
      </c>
      <c r="B6" s="6">
        <f>COUNTIFS(Import!D:D,"",Import!F:F,A6)</f>
        <v>0</v>
      </c>
      <c r="D6" s="6" t="s">
        <v>488</v>
      </c>
      <c r="E6" s="472">
        <f>COUNTIFS(Import!D:D,"",Import!G:G,D6)</f>
        <v>0</v>
      </c>
      <c r="F6" s="6" t="str">
        <f t="shared" si="0"/>
        <v/>
      </c>
      <c r="G6" s="472">
        <f t="shared" si="1"/>
        <v>0</v>
      </c>
      <c r="H6" s="472">
        <f t="shared" si="1"/>
        <v>0</v>
      </c>
      <c r="I6" s="472">
        <f t="shared" si="2"/>
        <v>0</v>
      </c>
      <c r="J6" s="6" t="str">
        <f ca="1">IFERROR(__xludf.DUMMYFUNCTION("TEXTJOIN("", "",1,FILTER(Name,Score="""",Reviewer1=$D6,Date=DATE(2022,8,23)))"),"#N/A")</f>
        <v>#N/A</v>
      </c>
      <c r="K6" s="6">
        <v>0</v>
      </c>
      <c r="L6" s="6">
        <v>27</v>
      </c>
    </row>
    <row r="7" spans="1:12">
      <c r="A7" s="474" t="s">
        <v>5</v>
      </c>
      <c r="B7" s="6">
        <f>COUNTIFS(Import!D:D,"",Import!F:F,A7)</f>
        <v>0</v>
      </c>
      <c r="D7" s="6" t="s">
        <v>727</v>
      </c>
      <c r="E7" s="472">
        <f>COUNTIFS(Import!D:D,"",Import!G:G,D7)</f>
        <v>0</v>
      </c>
      <c r="F7" s="6" t="str">
        <f t="shared" si="0"/>
        <v/>
      </c>
      <c r="G7" s="472">
        <f t="shared" si="1"/>
        <v>0</v>
      </c>
      <c r="H7" s="472">
        <f t="shared" si="1"/>
        <v>0</v>
      </c>
      <c r="I7" s="472">
        <f t="shared" si="2"/>
        <v>0</v>
      </c>
      <c r="J7" s="6" t="str">
        <f ca="1">IFERROR(__xludf.DUMMYFUNCTION("TEXTJOIN("", "",1,FILTER(Name,Score="""",Reviewer1=$D7,Date=DATE(2022,8,23)))"),"#N/A")</f>
        <v>#N/A</v>
      </c>
      <c r="K7" s="6">
        <v>0</v>
      </c>
      <c r="L7" s="6">
        <v>48</v>
      </c>
    </row>
    <row r="8" spans="1:12">
      <c r="D8" s="6" t="s">
        <v>602</v>
      </c>
      <c r="E8" s="472">
        <f>COUNTIFS(Import!D:D,"",Import!G:G,D8)</f>
        <v>0</v>
      </c>
      <c r="F8" s="6" t="str">
        <f t="shared" si="0"/>
        <v/>
      </c>
      <c r="G8" s="472">
        <f t="shared" si="1"/>
        <v>0</v>
      </c>
      <c r="H8" s="472">
        <f t="shared" si="1"/>
        <v>0</v>
      </c>
      <c r="I8" s="472">
        <f t="shared" si="2"/>
        <v>0</v>
      </c>
      <c r="J8" s="6" t="str">
        <f ca="1">IFERROR(__xludf.DUMMYFUNCTION("TEXTJOIN("", "",1,FILTER(Name,Score="""",Reviewer1=$D8,Date=DATE(2022,8,23)))"),"#N/A")</f>
        <v>#N/A</v>
      </c>
      <c r="K8" s="6">
        <v>0</v>
      </c>
      <c r="L8" s="6">
        <v>17</v>
      </c>
    </row>
    <row r="9" spans="1:12">
      <c r="D9" s="6" t="s">
        <v>1045</v>
      </c>
      <c r="E9" s="472">
        <f>COUNTIFS(Import!D:D,"",Import!G:G,D9)</f>
        <v>0</v>
      </c>
      <c r="F9" s="6" t="str">
        <f t="shared" si="0"/>
        <v/>
      </c>
      <c r="G9" s="472">
        <f t="shared" si="1"/>
        <v>0</v>
      </c>
      <c r="H9" s="472">
        <f t="shared" si="1"/>
        <v>0</v>
      </c>
      <c r="I9" s="472">
        <f t="shared" si="2"/>
        <v>0</v>
      </c>
      <c r="J9" s="6" t="str">
        <f ca="1">IFERROR(__xludf.DUMMYFUNCTION("TEXTJOIN("", "",1,FILTER(Name,Score="""",Reviewer1=$D9,Date=DATE(2022,8,23)))"),"#N/A")</f>
        <v>#N/A</v>
      </c>
      <c r="K9" s="6">
        <v>0</v>
      </c>
      <c r="L9" s="6">
        <v>15</v>
      </c>
    </row>
    <row r="10" spans="1:12">
      <c r="D10" s="6" t="s">
        <v>447</v>
      </c>
      <c r="E10" s="472">
        <f>COUNTIFS(Import!D:D,"",Import!G:G,D10)</f>
        <v>0</v>
      </c>
      <c r="F10" s="6" t="str">
        <f t="shared" si="0"/>
        <v/>
      </c>
      <c r="G10" s="472">
        <f t="shared" si="1"/>
        <v>0</v>
      </c>
      <c r="H10" s="472">
        <f t="shared" si="1"/>
        <v>0</v>
      </c>
      <c r="I10" s="472">
        <f t="shared" si="2"/>
        <v>0</v>
      </c>
      <c r="J10" s="6" t="str">
        <f ca="1">IFERROR(__xludf.DUMMYFUNCTION("TEXTJOIN("", "",1,FILTER(Name,Score="""",Reviewer1=$D10,Date=DATE(2022,8,23)))"),"#N/A")</f>
        <v>#N/A</v>
      </c>
      <c r="K10" s="6">
        <v>0</v>
      </c>
      <c r="L10" s="6">
        <v>47</v>
      </c>
    </row>
    <row r="11" spans="1:12">
      <c r="D11" s="6" t="s">
        <v>725</v>
      </c>
      <c r="E11" s="472">
        <f>COUNTIFS(Import!D:D,"",Import!G:G,D11)</f>
        <v>0</v>
      </c>
      <c r="F11" s="6" t="str">
        <f t="shared" si="0"/>
        <v/>
      </c>
      <c r="G11" s="472">
        <f t="shared" si="1"/>
        <v>0</v>
      </c>
      <c r="H11" s="472">
        <f t="shared" si="1"/>
        <v>0</v>
      </c>
      <c r="I11" s="472">
        <f t="shared" si="2"/>
        <v>0</v>
      </c>
      <c r="J11" s="6" t="str">
        <f ca="1">IFERROR(__xludf.DUMMYFUNCTION("TEXTJOIN("", "",1,FILTER(Name,Score="""",Reviewer1=$D11,Date=DATE(2022,8,23)))"),"#N/A")</f>
        <v>#N/A</v>
      </c>
      <c r="K11" s="6">
        <v>0</v>
      </c>
      <c r="L11" s="6">
        <v>108</v>
      </c>
    </row>
    <row r="12" spans="1:12">
      <c r="D12" s="6" t="s">
        <v>13186</v>
      </c>
      <c r="E12" s="472">
        <f>COUNTIFS(Import!D:D,"",Import!G:G,"")</f>
        <v>1047453</v>
      </c>
      <c r="F12" s="6" t="str">
        <f>CONCATENATE(IF(COUNTIFS(Score,"",Reviewer1,"",Track,"Life Sciences")=0,"",CONCATENATE("LS: ",COUNTIFS(Score,"",Reviewer1,"",Track,"Life Sciences")," ")),
IF(COUNTIFS(Score,"",Reviewer1,"",Track,"Digital Tech")=0,"",CONCATENATE("DiT: ",COUNTIFS(Score,"",Reviewer1,"",Track,"Digital Tech")," ")),
IF(COUNTIFS(Score,"",Reviewer1,"",Track,"Deep Tech")=0,"",CONCATENATE("DT: ",COUNTIFS(Score,"",Reviewer1,"",Track,"Deep Tech"))))</f>
        <v/>
      </c>
      <c r="G12" s="472"/>
      <c r="H12" s="472"/>
      <c r="I12" s="472"/>
      <c r="J12" s="6" t="str">
        <f ca="1">IFERROR(__xludf.DUMMYFUNCTION("TEXTJOIN("", "",1,FILTER(Name,Score="""",Reviewer1=$D12,Date=DATE(2022,8,23)))"),"#N/A")</f>
        <v>#N/A</v>
      </c>
    </row>
    <row r="13" spans="1:12">
      <c r="E13" s="472"/>
      <c r="G13" s="472"/>
      <c r="H13" s="472"/>
      <c r="I13" s="472"/>
    </row>
    <row r="14" spans="1:12">
      <c r="D14" s="6" t="s">
        <v>43</v>
      </c>
      <c r="E14" s="472"/>
      <c r="G14" s="472"/>
      <c r="H14" s="472"/>
      <c r="I14" s="472"/>
    </row>
    <row r="15" spans="1:12">
      <c r="D15" s="6" t="s">
        <v>488</v>
      </c>
      <c r="E15" s="472">
        <f>COUNTIFS(Import!D:D,"",Import!J:J,D15)</f>
        <v>0</v>
      </c>
      <c r="F15" s="6" t="str">
        <f t="shared" ref="F15:F25" si="3">CONCATENATE(IF(COUNTIFS(Score,"",Reviewer2,D15,Track,"Life Sciences")=0,"",CONCATENATE("LS: ",COUNTIFS(Score,"",Reviewer2,D15,Track,"Life Sciences")," ")),
IF(COUNTIFS(Score,"",Reviewer2,D15,Track,"Digital Tech")=0,"",CONCATENATE("DiT: ",COUNTIFS(Score,"",Reviewer2,D15,Track,"Digital Tech")," ")),
IF(COUNTIFS(Score,"",Reviewer2,D15,Track,"Deep Tech")=0,"",CONCATENATE("DT: ",COUNTIFS(Score,"",Reviewer2,D15,Track,"Deep Tech"))))</f>
        <v/>
      </c>
      <c r="G15" s="472">
        <f t="shared" ref="G15:H26" si="4">COUNTIFS(Score,"",Reviewer2,$D15,Date,G$4)</f>
        <v>0</v>
      </c>
      <c r="H15" s="472">
        <f t="shared" si="4"/>
        <v>0</v>
      </c>
      <c r="I15" s="472">
        <f t="shared" ref="I15:I26" si="5">COUNTIFS(Score,"",Reviewer2,$D15,Date,"&lt;8/16/2022")</f>
        <v>0</v>
      </c>
      <c r="K15" s="6">
        <v>0</v>
      </c>
      <c r="L15" s="6">
        <v>0</v>
      </c>
    </row>
    <row r="16" spans="1:12">
      <c r="D16" s="6" t="s">
        <v>462</v>
      </c>
      <c r="E16" s="472">
        <f>COUNTIFS(Import!D:D,"",Import!J:J,D16)</f>
        <v>0</v>
      </c>
      <c r="F16" s="6" t="str">
        <f t="shared" si="3"/>
        <v/>
      </c>
      <c r="G16" s="472">
        <f t="shared" si="4"/>
        <v>0</v>
      </c>
      <c r="H16" s="472">
        <f t="shared" si="4"/>
        <v>0</v>
      </c>
      <c r="I16" s="472">
        <f t="shared" si="5"/>
        <v>0</v>
      </c>
      <c r="K16" s="6">
        <v>0</v>
      </c>
      <c r="L16" s="6">
        <v>39</v>
      </c>
    </row>
    <row r="17" spans="4:12">
      <c r="D17" s="6" t="s">
        <v>941</v>
      </c>
      <c r="E17" s="472">
        <f>COUNTIFS(Import!D:D,"",Import!J:J,D17)</f>
        <v>0</v>
      </c>
      <c r="F17" s="6" t="str">
        <f t="shared" si="3"/>
        <v/>
      </c>
      <c r="G17" s="472">
        <f t="shared" si="4"/>
        <v>0</v>
      </c>
      <c r="H17" s="472">
        <f t="shared" si="4"/>
        <v>0</v>
      </c>
      <c r="I17" s="472">
        <f t="shared" si="5"/>
        <v>0</v>
      </c>
      <c r="K17" s="6">
        <v>0</v>
      </c>
      <c r="L17" s="6">
        <v>29</v>
      </c>
    </row>
    <row r="18" spans="4:12">
      <c r="D18" s="6" t="s">
        <v>727</v>
      </c>
      <c r="E18" s="472">
        <f>COUNTIFS(Import!D:D,"",Import!J:J,D18)</f>
        <v>0</v>
      </c>
      <c r="F18" s="6" t="str">
        <f t="shared" si="3"/>
        <v/>
      </c>
      <c r="G18" s="472">
        <f t="shared" si="4"/>
        <v>0</v>
      </c>
      <c r="H18" s="472">
        <f t="shared" si="4"/>
        <v>0</v>
      </c>
      <c r="I18" s="472">
        <f t="shared" si="5"/>
        <v>0</v>
      </c>
      <c r="K18" s="6">
        <v>0</v>
      </c>
      <c r="L18" s="6">
        <v>0</v>
      </c>
    </row>
    <row r="19" spans="4:12">
      <c r="D19" s="6" t="s">
        <v>1045</v>
      </c>
      <c r="E19" s="472">
        <f>COUNTIFS(Import!D:D,"",Import!J:J,D19)</f>
        <v>0</v>
      </c>
      <c r="F19" s="6" t="str">
        <f t="shared" si="3"/>
        <v/>
      </c>
      <c r="G19" s="472">
        <f t="shared" si="4"/>
        <v>0</v>
      </c>
      <c r="H19" s="472">
        <f t="shared" si="4"/>
        <v>0</v>
      </c>
      <c r="I19" s="472">
        <f t="shared" si="5"/>
        <v>0</v>
      </c>
      <c r="K19" s="6">
        <v>0</v>
      </c>
      <c r="L19" s="6">
        <v>34</v>
      </c>
    </row>
    <row r="20" spans="4:12">
      <c r="D20" s="6" t="s">
        <v>1054</v>
      </c>
      <c r="E20" s="472">
        <f>COUNTIFS(Import!D:D,"",Import!J:J,D20)</f>
        <v>0</v>
      </c>
      <c r="F20" s="6" t="str">
        <f t="shared" si="3"/>
        <v/>
      </c>
      <c r="G20" s="472">
        <f t="shared" si="4"/>
        <v>0</v>
      </c>
      <c r="H20" s="472">
        <f t="shared" si="4"/>
        <v>0</v>
      </c>
      <c r="I20" s="472">
        <f t="shared" si="5"/>
        <v>0</v>
      </c>
      <c r="K20" s="6">
        <v>0</v>
      </c>
      <c r="L20" s="6">
        <v>4</v>
      </c>
    </row>
    <row r="21" spans="4:12">
      <c r="D21" s="6" t="s">
        <v>476</v>
      </c>
      <c r="E21" s="472">
        <f>COUNTIFS(Import!D:D,"",Import!J:J,D21)</f>
        <v>0</v>
      </c>
      <c r="F21" s="6" t="str">
        <f t="shared" si="3"/>
        <v/>
      </c>
      <c r="G21" s="472">
        <f t="shared" si="4"/>
        <v>0</v>
      </c>
      <c r="H21" s="472">
        <f t="shared" si="4"/>
        <v>0</v>
      </c>
      <c r="I21" s="472">
        <f t="shared" si="5"/>
        <v>0</v>
      </c>
      <c r="K21" s="6">
        <v>0</v>
      </c>
      <c r="L21" s="6">
        <v>11</v>
      </c>
    </row>
    <row r="22" spans="4:12">
      <c r="D22" s="6" t="s">
        <v>543</v>
      </c>
      <c r="E22" s="472">
        <f>COUNTIFS(Import!D:D,"",Import!J:J,D22)</f>
        <v>0</v>
      </c>
      <c r="F22" s="6" t="str">
        <f t="shared" si="3"/>
        <v/>
      </c>
      <c r="G22" s="472">
        <f t="shared" si="4"/>
        <v>0</v>
      </c>
      <c r="H22" s="472">
        <f t="shared" si="4"/>
        <v>0</v>
      </c>
      <c r="I22" s="472">
        <f t="shared" si="5"/>
        <v>0</v>
      </c>
      <c r="K22" s="6">
        <v>0</v>
      </c>
      <c r="L22" s="6">
        <v>11</v>
      </c>
    </row>
    <row r="23" spans="4:12">
      <c r="D23" s="6" t="s">
        <v>449</v>
      </c>
      <c r="E23" s="472">
        <f>COUNTIFS(Import!D:D,"",Import!J:J,D23)</f>
        <v>0</v>
      </c>
      <c r="F23" s="6" t="str">
        <f t="shared" si="3"/>
        <v/>
      </c>
      <c r="G23" s="472">
        <f t="shared" si="4"/>
        <v>0</v>
      </c>
      <c r="H23" s="472">
        <f t="shared" si="4"/>
        <v>0</v>
      </c>
      <c r="I23" s="472">
        <f t="shared" si="5"/>
        <v>0</v>
      </c>
      <c r="K23" s="6">
        <v>0</v>
      </c>
      <c r="L23" s="6">
        <v>12</v>
      </c>
    </row>
    <row r="24" spans="4:12">
      <c r="D24" s="6" t="s">
        <v>622</v>
      </c>
      <c r="E24" s="472">
        <f>COUNTIFS(Import!D:D,"",Import!J:J,D24)</f>
        <v>0</v>
      </c>
      <c r="F24" s="6" t="str">
        <f t="shared" si="3"/>
        <v/>
      </c>
      <c r="G24" s="472">
        <f t="shared" si="4"/>
        <v>0</v>
      </c>
      <c r="H24" s="472">
        <f t="shared" si="4"/>
        <v>0</v>
      </c>
      <c r="I24" s="472">
        <f t="shared" si="5"/>
        <v>0</v>
      </c>
      <c r="J24" s="6" t="str">
        <f ca="1">IFERROR(__xludf.DUMMYFUNCTION("TEXTJOIN("", "",1,FILTER(Name,Score="""",Reviewer2=$D24,Date=DATE(2022,8,23)))"),"#N/A")</f>
        <v>#N/A</v>
      </c>
      <c r="K24" s="6">
        <v>0</v>
      </c>
      <c r="L24" s="6">
        <v>12</v>
      </c>
    </row>
    <row r="25" spans="4:12">
      <c r="D25" s="6" t="s">
        <v>13187</v>
      </c>
      <c r="E25" s="472">
        <f>COUNTIFS(Import!D:D,"",Import!J:J,D25)</f>
        <v>0</v>
      </c>
      <c r="F25" s="6" t="str">
        <f t="shared" si="3"/>
        <v/>
      </c>
      <c r="G25" s="472">
        <f t="shared" si="4"/>
        <v>0</v>
      </c>
      <c r="H25" s="472">
        <f t="shared" si="4"/>
        <v>0</v>
      </c>
      <c r="I25" s="472">
        <f t="shared" si="5"/>
        <v>0</v>
      </c>
      <c r="K25" s="6">
        <v>0</v>
      </c>
      <c r="L25" s="6">
        <v>0</v>
      </c>
    </row>
    <row r="26" spans="4:12">
      <c r="D26" s="6" t="s">
        <v>13186</v>
      </c>
      <c r="E26" s="472">
        <f>COUNTIFS(Import!D:D,"",Import!J:J,"")</f>
        <v>1047453</v>
      </c>
      <c r="F26" s="6" t="str">
        <f>CONCATENATE(IF(COUNTIFS(Score,"",Reviewer2,"",Track,"Life Sciences")=0,"",CONCATENATE("LS: ",COUNTIFS(Score,"",Reviewer2,"",Track,"Life Sciences")," ")),
IF(COUNTIFS(Score,"",Reviewer2,"",Track,"Digital Tech")=0,"",CONCATENATE("DiT: ",COUNTIFS(Score,"",Reviewer2,"",Track,"Digital Tech")," ")),
IF(COUNTIFS(Score,"",Reviewer2,"",Track,"Deep Tech")=0,"",CONCATENATE("DT: ",COUNTIFS(Score,"",Reviewer2,"",Track,"Deep Tech"))))</f>
        <v/>
      </c>
      <c r="G26" s="472">
        <f t="shared" si="4"/>
        <v>0</v>
      </c>
      <c r="H26" s="472">
        <f t="shared" si="4"/>
        <v>0</v>
      </c>
      <c r="I26" s="472">
        <f t="shared" si="5"/>
        <v>0</v>
      </c>
      <c r="K26" s="6">
        <v>0</v>
      </c>
      <c r="L26" s="6">
        <v>0</v>
      </c>
    </row>
    <row r="27" spans="4:12">
      <c r="E27" s="472"/>
      <c r="G27" s="472"/>
      <c r="H27" s="472"/>
      <c r="I27" s="472"/>
    </row>
    <row r="28" spans="4:12">
      <c r="E28" s="472"/>
      <c r="G28" s="472"/>
      <c r="H28" s="472"/>
      <c r="I28" s="472"/>
    </row>
    <row r="29" spans="4:12">
      <c r="E29" s="472"/>
      <c r="G29" s="472"/>
      <c r="H29" s="472"/>
      <c r="I29" s="472"/>
    </row>
    <row r="30" spans="4:12">
      <c r="E30" s="472"/>
      <c r="G30" s="472"/>
      <c r="H30" s="472"/>
      <c r="I30" s="472"/>
    </row>
    <row r="31" spans="4:12">
      <c r="E31" s="472"/>
      <c r="G31" s="472"/>
      <c r="H31" s="472"/>
      <c r="I31" s="472"/>
    </row>
    <row r="32" spans="4:12">
      <c r="E32" s="472"/>
      <c r="G32" s="472"/>
      <c r="H32" s="472"/>
      <c r="I32" s="472"/>
    </row>
    <row r="33" spans="5:9">
      <c r="E33" s="472"/>
      <c r="G33" s="472"/>
      <c r="H33" s="472"/>
      <c r="I33" s="472"/>
    </row>
    <row r="34" spans="5:9">
      <c r="E34" s="472"/>
      <c r="G34" s="472"/>
      <c r="H34" s="472"/>
      <c r="I34" s="472"/>
    </row>
    <row r="35" spans="5:9">
      <c r="E35" s="472"/>
      <c r="G35" s="472"/>
      <c r="H35" s="472"/>
      <c r="I35" s="472"/>
    </row>
    <row r="36" spans="5:9">
      <c r="E36" s="472"/>
      <c r="G36" s="472"/>
      <c r="H36" s="472"/>
      <c r="I36" s="472"/>
    </row>
    <row r="37" spans="5:9">
      <c r="E37" s="472"/>
      <c r="G37" s="472"/>
      <c r="H37" s="472"/>
      <c r="I37" s="472"/>
    </row>
    <row r="38" spans="5:9">
      <c r="E38" s="472"/>
      <c r="G38" s="472"/>
      <c r="H38" s="472"/>
      <c r="I38" s="472"/>
    </row>
    <row r="39" spans="5:9">
      <c r="E39" s="472"/>
      <c r="G39" s="472"/>
      <c r="H39" s="472"/>
      <c r="I39" s="472"/>
    </row>
    <row r="40" spans="5:9">
      <c r="E40" s="472"/>
      <c r="G40" s="472"/>
      <c r="H40" s="472"/>
      <c r="I40" s="472"/>
    </row>
    <row r="41" spans="5:9">
      <c r="E41" s="472"/>
      <c r="G41" s="472"/>
      <c r="H41" s="472"/>
      <c r="I41" s="472"/>
    </row>
    <row r="42" spans="5:9">
      <c r="E42" s="472"/>
      <c r="G42" s="472"/>
      <c r="H42" s="472"/>
      <c r="I42" s="472"/>
    </row>
    <row r="43" spans="5:9">
      <c r="E43" s="472"/>
      <c r="G43" s="472"/>
      <c r="H43" s="472"/>
      <c r="I43" s="472"/>
    </row>
    <row r="44" spans="5:9">
      <c r="E44" s="472"/>
      <c r="G44" s="472"/>
      <c r="H44" s="472"/>
      <c r="I44" s="472"/>
    </row>
    <row r="45" spans="5:9">
      <c r="E45" s="472"/>
      <c r="G45" s="472"/>
      <c r="H45" s="472"/>
      <c r="I45" s="472"/>
    </row>
    <row r="46" spans="5:9">
      <c r="E46" s="472"/>
      <c r="G46" s="472"/>
      <c r="H46" s="472"/>
      <c r="I46" s="472"/>
    </row>
    <row r="47" spans="5:9">
      <c r="E47" s="472"/>
      <c r="G47" s="472"/>
      <c r="H47" s="472"/>
      <c r="I47" s="472"/>
    </row>
    <row r="48" spans="5:9">
      <c r="E48" s="472"/>
      <c r="G48" s="472"/>
      <c r="H48" s="472"/>
      <c r="I48" s="472"/>
    </row>
    <row r="49" spans="5:9">
      <c r="E49" s="472"/>
      <c r="G49" s="472"/>
      <c r="H49" s="472"/>
      <c r="I49" s="472"/>
    </row>
    <row r="50" spans="5:9">
      <c r="E50" s="472"/>
      <c r="G50" s="472"/>
      <c r="H50" s="472"/>
      <c r="I50" s="472"/>
    </row>
    <row r="51" spans="5:9">
      <c r="E51" s="472"/>
      <c r="G51" s="472"/>
      <c r="H51" s="472"/>
      <c r="I51" s="472"/>
    </row>
    <row r="52" spans="5:9">
      <c r="E52" s="472"/>
      <c r="G52" s="472"/>
      <c r="H52" s="472"/>
      <c r="I52" s="472"/>
    </row>
    <row r="53" spans="5:9">
      <c r="E53" s="472"/>
      <c r="G53" s="472"/>
      <c r="H53" s="472"/>
      <c r="I53" s="472"/>
    </row>
    <row r="54" spans="5:9">
      <c r="E54" s="472"/>
      <c r="G54" s="472"/>
      <c r="H54" s="472"/>
      <c r="I54" s="472"/>
    </row>
    <row r="55" spans="5:9">
      <c r="E55" s="472"/>
      <c r="G55" s="472"/>
      <c r="H55" s="472"/>
      <c r="I55" s="472"/>
    </row>
    <row r="56" spans="5:9">
      <c r="E56" s="472"/>
      <c r="G56" s="472"/>
      <c r="H56" s="472"/>
      <c r="I56" s="472"/>
    </row>
    <row r="57" spans="5:9">
      <c r="E57" s="472"/>
      <c r="G57" s="472"/>
      <c r="H57" s="472"/>
      <c r="I57" s="472"/>
    </row>
    <row r="58" spans="5:9">
      <c r="E58" s="472"/>
      <c r="G58" s="472"/>
      <c r="H58" s="472"/>
      <c r="I58" s="472"/>
    </row>
    <row r="59" spans="5:9">
      <c r="E59" s="472"/>
      <c r="G59" s="472"/>
      <c r="H59" s="472"/>
      <c r="I59" s="472"/>
    </row>
    <row r="60" spans="5:9">
      <c r="E60" s="472"/>
      <c r="G60" s="472"/>
      <c r="H60" s="472"/>
      <c r="I60" s="472"/>
    </row>
    <row r="61" spans="5:9">
      <c r="E61" s="472"/>
      <c r="G61" s="472"/>
      <c r="H61" s="472"/>
      <c r="I61" s="472"/>
    </row>
    <row r="62" spans="5:9">
      <c r="E62" s="472"/>
      <c r="G62" s="472"/>
      <c r="H62" s="472"/>
      <c r="I62" s="472"/>
    </row>
    <row r="63" spans="5:9">
      <c r="E63" s="472"/>
      <c r="G63" s="472"/>
      <c r="H63" s="472"/>
      <c r="I63" s="472"/>
    </row>
    <row r="64" spans="5:9">
      <c r="E64" s="472"/>
      <c r="G64" s="472"/>
      <c r="H64" s="472"/>
      <c r="I64" s="472"/>
    </row>
    <row r="65" spans="5:9">
      <c r="E65" s="472"/>
      <c r="G65" s="472"/>
      <c r="H65" s="472"/>
      <c r="I65" s="472"/>
    </row>
    <row r="66" spans="5:9">
      <c r="E66" s="472"/>
      <c r="G66" s="472"/>
      <c r="H66" s="472"/>
      <c r="I66" s="472"/>
    </row>
    <row r="67" spans="5:9">
      <c r="E67" s="472"/>
      <c r="G67" s="472"/>
      <c r="H67" s="472"/>
      <c r="I67" s="472"/>
    </row>
    <row r="68" spans="5:9">
      <c r="E68" s="472"/>
      <c r="G68" s="472"/>
      <c r="H68" s="472"/>
      <c r="I68" s="472"/>
    </row>
    <row r="69" spans="5:9">
      <c r="E69" s="472"/>
      <c r="G69" s="472"/>
      <c r="H69" s="472"/>
      <c r="I69" s="472"/>
    </row>
    <row r="70" spans="5:9">
      <c r="E70" s="472"/>
      <c r="G70" s="472"/>
      <c r="H70" s="472"/>
      <c r="I70" s="472"/>
    </row>
    <row r="71" spans="5:9">
      <c r="E71" s="472"/>
      <c r="G71" s="472"/>
      <c r="H71" s="472"/>
      <c r="I71" s="472"/>
    </row>
    <row r="72" spans="5:9">
      <c r="E72" s="472"/>
      <c r="G72" s="472"/>
      <c r="H72" s="472"/>
      <c r="I72" s="472"/>
    </row>
    <row r="73" spans="5:9">
      <c r="E73" s="472"/>
      <c r="G73" s="472"/>
      <c r="H73" s="472"/>
      <c r="I73" s="472"/>
    </row>
    <row r="74" spans="5:9">
      <c r="E74" s="472"/>
      <c r="G74" s="472"/>
      <c r="H74" s="472"/>
      <c r="I74" s="472"/>
    </row>
    <row r="75" spans="5:9">
      <c r="E75" s="472"/>
      <c r="G75" s="472"/>
      <c r="H75" s="472"/>
      <c r="I75" s="472"/>
    </row>
    <row r="76" spans="5:9">
      <c r="E76" s="472"/>
      <c r="G76" s="472"/>
      <c r="H76" s="472"/>
      <c r="I76" s="472"/>
    </row>
    <row r="77" spans="5:9">
      <c r="E77" s="472"/>
      <c r="G77" s="472"/>
      <c r="H77" s="472"/>
      <c r="I77" s="472"/>
    </row>
    <row r="78" spans="5:9">
      <c r="E78" s="472"/>
      <c r="G78" s="472"/>
      <c r="H78" s="472"/>
      <c r="I78" s="472"/>
    </row>
    <row r="79" spans="5:9">
      <c r="E79" s="472"/>
      <c r="G79" s="472"/>
      <c r="H79" s="472"/>
      <c r="I79" s="472"/>
    </row>
    <row r="80" spans="5:9">
      <c r="E80" s="472"/>
      <c r="G80" s="472"/>
      <c r="H80" s="472"/>
      <c r="I80" s="472"/>
    </row>
    <row r="81" spans="5:9">
      <c r="E81" s="472"/>
      <c r="G81" s="472"/>
      <c r="H81" s="472"/>
      <c r="I81" s="472"/>
    </row>
    <row r="82" spans="5:9">
      <c r="E82" s="472"/>
      <c r="G82" s="472"/>
      <c r="H82" s="472"/>
      <c r="I82" s="472"/>
    </row>
    <row r="83" spans="5:9">
      <c r="E83" s="472"/>
      <c r="G83" s="472"/>
      <c r="H83" s="472"/>
      <c r="I83" s="472"/>
    </row>
    <row r="84" spans="5:9">
      <c r="E84" s="472"/>
      <c r="G84" s="472"/>
      <c r="H84" s="472"/>
      <c r="I84" s="472"/>
    </row>
    <row r="85" spans="5:9">
      <c r="E85" s="472"/>
      <c r="G85" s="472"/>
      <c r="H85" s="472"/>
      <c r="I85" s="472"/>
    </row>
    <row r="86" spans="5:9">
      <c r="E86" s="472"/>
      <c r="G86" s="472"/>
      <c r="H86" s="472"/>
      <c r="I86" s="472"/>
    </row>
    <row r="87" spans="5:9">
      <c r="E87" s="472"/>
      <c r="G87" s="472"/>
      <c r="H87" s="472"/>
      <c r="I87" s="472"/>
    </row>
    <row r="88" spans="5:9">
      <c r="E88" s="472"/>
      <c r="G88" s="472"/>
      <c r="H88" s="472"/>
      <c r="I88" s="472"/>
    </row>
    <row r="89" spans="5:9">
      <c r="E89" s="472"/>
      <c r="G89" s="472"/>
      <c r="H89" s="472"/>
      <c r="I89" s="472"/>
    </row>
    <row r="90" spans="5:9">
      <c r="E90" s="472"/>
      <c r="G90" s="472"/>
      <c r="H90" s="472"/>
      <c r="I90" s="472"/>
    </row>
    <row r="91" spans="5:9">
      <c r="E91" s="472"/>
      <c r="G91" s="472"/>
      <c r="H91" s="472"/>
      <c r="I91" s="472"/>
    </row>
    <row r="92" spans="5:9">
      <c r="E92" s="472"/>
      <c r="G92" s="472"/>
      <c r="H92" s="472"/>
      <c r="I92" s="472"/>
    </row>
    <row r="93" spans="5:9">
      <c r="E93" s="472"/>
      <c r="G93" s="472"/>
      <c r="H93" s="472"/>
      <c r="I93" s="472"/>
    </row>
    <row r="94" spans="5:9">
      <c r="E94" s="472"/>
      <c r="G94" s="472"/>
      <c r="H94" s="472"/>
      <c r="I94" s="472"/>
    </row>
    <row r="95" spans="5:9">
      <c r="E95" s="472"/>
      <c r="G95" s="472"/>
      <c r="H95" s="472"/>
      <c r="I95" s="472"/>
    </row>
    <row r="96" spans="5:9">
      <c r="E96" s="472"/>
      <c r="G96" s="472"/>
      <c r="H96" s="472"/>
      <c r="I96" s="472"/>
    </row>
    <row r="97" spans="5:9">
      <c r="E97" s="472"/>
      <c r="G97" s="472"/>
      <c r="H97" s="472"/>
      <c r="I97" s="472"/>
    </row>
    <row r="98" spans="5:9">
      <c r="E98" s="472"/>
      <c r="G98" s="472"/>
      <c r="H98" s="472"/>
      <c r="I98" s="472"/>
    </row>
    <row r="99" spans="5:9">
      <c r="E99" s="472"/>
      <c r="G99" s="472"/>
      <c r="H99" s="472"/>
      <c r="I99" s="472"/>
    </row>
    <row r="100" spans="5:9">
      <c r="E100" s="472"/>
      <c r="G100" s="472"/>
      <c r="H100" s="472"/>
      <c r="I100" s="472"/>
    </row>
    <row r="101" spans="5:9">
      <c r="E101" s="472"/>
      <c r="G101" s="472"/>
      <c r="H101" s="472"/>
      <c r="I101" s="472"/>
    </row>
    <row r="102" spans="5:9">
      <c r="E102" s="472"/>
      <c r="G102" s="472"/>
      <c r="H102" s="472"/>
      <c r="I102" s="472"/>
    </row>
    <row r="103" spans="5:9">
      <c r="E103" s="472"/>
      <c r="G103" s="472"/>
      <c r="H103" s="472"/>
      <c r="I103" s="472"/>
    </row>
    <row r="104" spans="5:9">
      <c r="E104" s="472"/>
      <c r="G104" s="472"/>
      <c r="H104" s="472"/>
      <c r="I104" s="472"/>
    </row>
    <row r="105" spans="5:9">
      <c r="E105" s="472"/>
      <c r="G105" s="472"/>
      <c r="H105" s="472"/>
      <c r="I105" s="472"/>
    </row>
    <row r="106" spans="5:9">
      <c r="E106" s="472"/>
      <c r="G106" s="472"/>
      <c r="H106" s="472"/>
      <c r="I106" s="472"/>
    </row>
    <row r="107" spans="5:9">
      <c r="E107" s="472"/>
      <c r="G107" s="472"/>
      <c r="H107" s="472"/>
      <c r="I107" s="472"/>
    </row>
    <row r="108" spans="5:9">
      <c r="E108" s="472"/>
      <c r="G108" s="472"/>
      <c r="H108" s="472"/>
      <c r="I108" s="472"/>
    </row>
    <row r="109" spans="5:9">
      <c r="E109" s="472"/>
      <c r="G109" s="472"/>
      <c r="H109" s="472"/>
      <c r="I109" s="472"/>
    </row>
    <row r="110" spans="5:9">
      <c r="E110" s="472"/>
      <c r="G110" s="472"/>
      <c r="H110" s="472"/>
      <c r="I110" s="472"/>
    </row>
    <row r="111" spans="5:9">
      <c r="E111" s="472"/>
      <c r="G111" s="472"/>
      <c r="H111" s="472"/>
      <c r="I111" s="472"/>
    </row>
    <row r="112" spans="5:9">
      <c r="E112" s="472"/>
      <c r="G112" s="472"/>
      <c r="H112" s="472"/>
      <c r="I112" s="472"/>
    </row>
    <row r="113" spans="5:9">
      <c r="E113" s="472"/>
      <c r="G113" s="472"/>
      <c r="H113" s="472"/>
      <c r="I113" s="472"/>
    </row>
    <row r="114" spans="5:9">
      <c r="E114" s="472"/>
      <c r="G114" s="472"/>
      <c r="H114" s="472"/>
      <c r="I114" s="472"/>
    </row>
    <row r="115" spans="5:9">
      <c r="E115" s="472"/>
      <c r="G115" s="472"/>
      <c r="H115" s="472"/>
      <c r="I115" s="472"/>
    </row>
    <row r="116" spans="5:9">
      <c r="E116" s="472"/>
      <c r="G116" s="472"/>
      <c r="H116" s="472"/>
      <c r="I116" s="472"/>
    </row>
    <row r="117" spans="5:9">
      <c r="E117" s="472"/>
      <c r="G117" s="472"/>
      <c r="H117" s="472"/>
      <c r="I117" s="472"/>
    </row>
    <row r="118" spans="5:9">
      <c r="E118" s="472"/>
      <c r="G118" s="472"/>
      <c r="H118" s="472"/>
      <c r="I118" s="472"/>
    </row>
    <row r="119" spans="5:9">
      <c r="E119" s="472"/>
      <c r="G119" s="472"/>
      <c r="H119" s="472"/>
      <c r="I119" s="472"/>
    </row>
    <row r="120" spans="5:9">
      <c r="E120" s="472"/>
      <c r="G120" s="472"/>
      <c r="H120" s="472"/>
      <c r="I120" s="472"/>
    </row>
    <row r="121" spans="5:9">
      <c r="E121" s="472"/>
      <c r="G121" s="472"/>
      <c r="H121" s="472"/>
      <c r="I121" s="472"/>
    </row>
    <row r="122" spans="5:9">
      <c r="E122" s="472"/>
      <c r="G122" s="472"/>
      <c r="H122" s="472"/>
      <c r="I122" s="472"/>
    </row>
    <row r="123" spans="5:9">
      <c r="E123" s="472"/>
      <c r="G123" s="472"/>
      <c r="H123" s="472"/>
      <c r="I123" s="472"/>
    </row>
    <row r="124" spans="5:9">
      <c r="E124" s="472"/>
      <c r="G124" s="472"/>
      <c r="H124" s="472"/>
      <c r="I124" s="472"/>
    </row>
    <row r="125" spans="5:9">
      <c r="E125" s="472"/>
      <c r="G125" s="472"/>
      <c r="H125" s="472"/>
      <c r="I125" s="472"/>
    </row>
    <row r="126" spans="5:9">
      <c r="E126" s="472"/>
      <c r="G126" s="472"/>
      <c r="H126" s="472"/>
      <c r="I126" s="472"/>
    </row>
    <row r="127" spans="5:9">
      <c r="E127" s="472"/>
      <c r="G127" s="472"/>
      <c r="H127" s="472"/>
      <c r="I127" s="472"/>
    </row>
    <row r="128" spans="5:9">
      <c r="E128" s="472"/>
      <c r="G128" s="472"/>
      <c r="H128" s="472"/>
      <c r="I128" s="472"/>
    </row>
    <row r="129" spans="5:9">
      <c r="E129" s="472"/>
      <c r="G129" s="472"/>
      <c r="H129" s="472"/>
      <c r="I129" s="472"/>
    </row>
    <row r="130" spans="5:9">
      <c r="E130" s="472"/>
      <c r="G130" s="472"/>
      <c r="H130" s="472"/>
      <c r="I130" s="472"/>
    </row>
    <row r="131" spans="5:9">
      <c r="E131" s="472"/>
      <c r="G131" s="472"/>
      <c r="H131" s="472"/>
      <c r="I131" s="472"/>
    </row>
    <row r="132" spans="5:9">
      <c r="E132" s="472"/>
      <c r="G132" s="472"/>
      <c r="H132" s="472"/>
      <c r="I132" s="472"/>
    </row>
    <row r="133" spans="5:9">
      <c r="E133" s="472"/>
      <c r="G133" s="472"/>
      <c r="H133" s="472"/>
      <c r="I133" s="472"/>
    </row>
    <row r="134" spans="5:9">
      <c r="E134" s="472"/>
      <c r="G134" s="472"/>
      <c r="H134" s="472"/>
      <c r="I134" s="472"/>
    </row>
    <row r="135" spans="5:9">
      <c r="E135" s="472"/>
      <c r="G135" s="472"/>
      <c r="H135" s="472"/>
      <c r="I135" s="472"/>
    </row>
    <row r="136" spans="5:9">
      <c r="E136" s="472"/>
      <c r="G136" s="472"/>
      <c r="H136" s="472"/>
      <c r="I136" s="472"/>
    </row>
    <row r="137" spans="5:9">
      <c r="E137" s="472"/>
      <c r="G137" s="472"/>
      <c r="H137" s="472"/>
      <c r="I137" s="472"/>
    </row>
    <row r="138" spans="5:9">
      <c r="E138" s="472"/>
      <c r="G138" s="472"/>
      <c r="H138" s="472"/>
      <c r="I138" s="472"/>
    </row>
    <row r="139" spans="5:9">
      <c r="E139" s="472"/>
      <c r="G139" s="472"/>
      <c r="H139" s="472"/>
      <c r="I139" s="472"/>
    </row>
    <row r="140" spans="5:9">
      <c r="E140" s="472"/>
      <c r="G140" s="472"/>
      <c r="H140" s="472"/>
      <c r="I140" s="472"/>
    </row>
    <row r="141" spans="5:9">
      <c r="E141" s="472"/>
      <c r="G141" s="472"/>
      <c r="H141" s="472"/>
      <c r="I141" s="472"/>
    </row>
    <row r="142" spans="5:9">
      <c r="E142" s="472"/>
      <c r="G142" s="472"/>
      <c r="H142" s="472"/>
      <c r="I142" s="472"/>
    </row>
    <row r="143" spans="5:9">
      <c r="E143" s="472"/>
      <c r="G143" s="472"/>
      <c r="H143" s="472"/>
      <c r="I143" s="472"/>
    </row>
    <row r="144" spans="5:9">
      <c r="E144" s="472"/>
      <c r="G144" s="472"/>
      <c r="H144" s="472"/>
      <c r="I144" s="472"/>
    </row>
    <row r="145" spans="5:9">
      <c r="E145" s="472"/>
      <c r="G145" s="472"/>
      <c r="H145" s="472"/>
      <c r="I145" s="472"/>
    </row>
    <row r="146" spans="5:9">
      <c r="E146" s="472"/>
      <c r="G146" s="472"/>
      <c r="H146" s="472"/>
      <c r="I146" s="472"/>
    </row>
    <row r="147" spans="5:9">
      <c r="E147" s="472"/>
      <c r="G147" s="472"/>
      <c r="H147" s="472"/>
      <c r="I147" s="472"/>
    </row>
    <row r="148" spans="5:9">
      <c r="E148" s="472"/>
      <c r="G148" s="472"/>
      <c r="H148" s="472"/>
      <c r="I148" s="472"/>
    </row>
    <row r="149" spans="5:9">
      <c r="E149" s="472"/>
      <c r="G149" s="472"/>
      <c r="H149" s="472"/>
      <c r="I149" s="472"/>
    </row>
    <row r="150" spans="5:9">
      <c r="E150" s="472"/>
      <c r="G150" s="472"/>
      <c r="H150" s="472"/>
      <c r="I150" s="472"/>
    </row>
    <row r="151" spans="5:9">
      <c r="E151" s="472"/>
      <c r="G151" s="472"/>
      <c r="H151" s="472"/>
      <c r="I151" s="472"/>
    </row>
    <row r="152" spans="5:9">
      <c r="E152" s="472"/>
      <c r="G152" s="472"/>
      <c r="H152" s="472"/>
      <c r="I152" s="472"/>
    </row>
    <row r="153" spans="5:9">
      <c r="E153" s="472"/>
      <c r="G153" s="472"/>
      <c r="H153" s="472"/>
      <c r="I153" s="472"/>
    </row>
    <row r="154" spans="5:9">
      <c r="E154" s="472"/>
      <c r="G154" s="472"/>
      <c r="H154" s="472"/>
      <c r="I154" s="472"/>
    </row>
    <row r="155" spans="5:9">
      <c r="E155" s="472"/>
      <c r="G155" s="472"/>
      <c r="H155" s="472"/>
      <c r="I155" s="472"/>
    </row>
    <row r="156" spans="5:9">
      <c r="E156" s="472"/>
      <c r="G156" s="472"/>
      <c r="H156" s="472"/>
      <c r="I156" s="472"/>
    </row>
    <row r="157" spans="5:9">
      <c r="E157" s="472"/>
      <c r="G157" s="472"/>
      <c r="H157" s="472"/>
      <c r="I157" s="472"/>
    </row>
    <row r="158" spans="5:9">
      <c r="E158" s="472"/>
      <c r="G158" s="472"/>
      <c r="H158" s="472"/>
      <c r="I158" s="472"/>
    </row>
    <row r="159" spans="5:9">
      <c r="E159" s="472"/>
      <c r="G159" s="472"/>
      <c r="H159" s="472"/>
      <c r="I159" s="472"/>
    </row>
    <row r="160" spans="5:9">
      <c r="E160" s="472"/>
      <c r="G160" s="472"/>
      <c r="H160" s="472"/>
      <c r="I160" s="472"/>
    </row>
    <row r="161" spans="5:9">
      <c r="E161" s="472"/>
      <c r="G161" s="472"/>
      <c r="H161" s="472"/>
      <c r="I161" s="472"/>
    </row>
    <row r="162" spans="5:9">
      <c r="E162" s="472"/>
      <c r="G162" s="472"/>
      <c r="H162" s="472"/>
      <c r="I162" s="472"/>
    </row>
    <row r="163" spans="5:9">
      <c r="E163" s="472"/>
      <c r="G163" s="472"/>
      <c r="H163" s="472"/>
      <c r="I163" s="472"/>
    </row>
    <row r="164" spans="5:9">
      <c r="E164" s="472"/>
      <c r="G164" s="472"/>
      <c r="H164" s="472"/>
      <c r="I164" s="472"/>
    </row>
    <row r="165" spans="5:9">
      <c r="E165" s="472"/>
      <c r="G165" s="472"/>
      <c r="H165" s="472"/>
      <c r="I165" s="472"/>
    </row>
    <row r="166" spans="5:9">
      <c r="E166" s="472"/>
      <c r="G166" s="472"/>
      <c r="H166" s="472"/>
      <c r="I166" s="472"/>
    </row>
    <row r="167" spans="5:9">
      <c r="E167" s="472"/>
      <c r="G167" s="472"/>
      <c r="H167" s="472"/>
      <c r="I167" s="472"/>
    </row>
    <row r="168" spans="5:9">
      <c r="E168" s="472"/>
      <c r="G168" s="472"/>
      <c r="H168" s="472"/>
      <c r="I168" s="472"/>
    </row>
    <row r="169" spans="5:9">
      <c r="E169" s="472"/>
      <c r="G169" s="472"/>
      <c r="H169" s="472"/>
      <c r="I169" s="472"/>
    </row>
    <row r="170" spans="5:9">
      <c r="E170" s="472"/>
      <c r="G170" s="472"/>
      <c r="H170" s="472"/>
      <c r="I170" s="472"/>
    </row>
    <row r="171" spans="5:9">
      <c r="E171" s="472"/>
      <c r="G171" s="472"/>
      <c r="H171" s="472"/>
      <c r="I171" s="472"/>
    </row>
    <row r="172" spans="5:9">
      <c r="E172" s="472"/>
      <c r="G172" s="472"/>
      <c r="H172" s="472"/>
      <c r="I172" s="472"/>
    </row>
    <row r="173" spans="5:9">
      <c r="E173" s="472"/>
      <c r="G173" s="472"/>
      <c r="H173" s="472"/>
      <c r="I173" s="472"/>
    </row>
    <row r="174" spans="5:9">
      <c r="E174" s="472"/>
      <c r="G174" s="472"/>
      <c r="H174" s="472"/>
      <c r="I174" s="472"/>
    </row>
    <row r="175" spans="5:9">
      <c r="E175" s="472"/>
      <c r="G175" s="472"/>
      <c r="H175" s="472"/>
      <c r="I175" s="472"/>
    </row>
    <row r="176" spans="5:9">
      <c r="E176" s="472"/>
      <c r="G176" s="472"/>
      <c r="H176" s="472"/>
      <c r="I176" s="472"/>
    </row>
    <row r="177" spans="5:9">
      <c r="E177" s="472"/>
      <c r="G177" s="472"/>
      <c r="H177" s="472"/>
      <c r="I177" s="472"/>
    </row>
    <row r="178" spans="5:9">
      <c r="E178" s="472"/>
      <c r="G178" s="472"/>
      <c r="H178" s="472"/>
      <c r="I178" s="472"/>
    </row>
    <row r="179" spans="5:9">
      <c r="E179" s="472"/>
      <c r="G179" s="472"/>
      <c r="H179" s="472"/>
      <c r="I179" s="472"/>
    </row>
    <row r="180" spans="5:9">
      <c r="E180" s="472"/>
      <c r="G180" s="472"/>
      <c r="H180" s="472"/>
      <c r="I180" s="472"/>
    </row>
    <row r="181" spans="5:9">
      <c r="E181" s="472"/>
      <c r="G181" s="472"/>
      <c r="H181" s="472"/>
      <c r="I181" s="472"/>
    </row>
    <row r="182" spans="5:9">
      <c r="E182" s="472"/>
      <c r="G182" s="472"/>
      <c r="H182" s="472"/>
      <c r="I182" s="472"/>
    </row>
    <row r="183" spans="5:9">
      <c r="E183" s="472"/>
      <c r="G183" s="472"/>
      <c r="H183" s="472"/>
      <c r="I183" s="472"/>
    </row>
    <row r="184" spans="5:9">
      <c r="E184" s="472"/>
      <c r="G184" s="472"/>
      <c r="H184" s="472"/>
      <c r="I184" s="472"/>
    </row>
    <row r="185" spans="5:9">
      <c r="E185" s="472"/>
      <c r="G185" s="472"/>
      <c r="H185" s="472"/>
      <c r="I185" s="472"/>
    </row>
    <row r="186" spans="5:9">
      <c r="E186" s="472"/>
      <c r="G186" s="472"/>
      <c r="H186" s="472"/>
      <c r="I186" s="472"/>
    </row>
    <row r="187" spans="5:9">
      <c r="E187" s="472"/>
      <c r="G187" s="472"/>
      <c r="H187" s="472"/>
      <c r="I187" s="472"/>
    </row>
    <row r="188" spans="5:9">
      <c r="E188" s="472"/>
      <c r="G188" s="472"/>
      <c r="H188" s="472"/>
      <c r="I188" s="472"/>
    </row>
    <row r="189" spans="5:9">
      <c r="E189" s="472"/>
      <c r="G189" s="472"/>
      <c r="H189" s="472"/>
      <c r="I189" s="472"/>
    </row>
    <row r="190" spans="5:9">
      <c r="E190" s="472"/>
      <c r="G190" s="472"/>
      <c r="H190" s="472"/>
      <c r="I190" s="472"/>
    </row>
    <row r="191" spans="5:9">
      <c r="E191" s="472"/>
      <c r="G191" s="472"/>
      <c r="H191" s="472"/>
      <c r="I191" s="472"/>
    </row>
    <row r="192" spans="5:9">
      <c r="E192" s="472"/>
      <c r="G192" s="472"/>
      <c r="H192" s="472"/>
      <c r="I192" s="472"/>
    </row>
    <row r="193" spans="5:9">
      <c r="E193" s="472"/>
      <c r="G193" s="472"/>
      <c r="H193" s="472"/>
      <c r="I193" s="472"/>
    </row>
    <row r="194" spans="5:9">
      <c r="E194" s="472"/>
      <c r="G194" s="472"/>
      <c r="H194" s="472"/>
      <c r="I194" s="472"/>
    </row>
    <row r="195" spans="5:9">
      <c r="E195" s="472"/>
      <c r="G195" s="472"/>
      <c r="H195" s="472"/>
      <c r="I195" s="472"/>
    </row>
    <row r="196" spans="5:9">
      <c r="E196" s="472"/>
      <c r="G196" s="472"/>
      <c r="H196" s="472"/>
      <c r="I196" s="472"/>
    </row>
    <row r="197" spans="5:9">
      <c r="E197" s="472"/>
      <c r="G197" s="472"/>
      <c r="H197" s="472"/>
      <c r="I197" s="472"/>
    </row>
    <row r="198" spans="5:9">
      <c r="E198" s="472"/>
      <c r="G198" s="472"/>
      <c r="H198" s="472"/>
      <c r="I198" s="472"/>
    </row>
    <row r="199" spans="5:9">
      <c r="E199" s="472"/>
      <c r="G199" s="472"/>
      <c r="H199" s="472"/>
      <c r="I199" s="472"/>
    </row>
    <row r="200" spans="5:9">
      <c r="E200" s="472"/>
      <c r="G200" s="472"/>
      <c r="H200" s="472"/>
      <c r="I200" s="472"/>
    </row>
    <row r="201" spans="5:9">
      <c r="E201" s="472"/>
      <c r="G201" s="472"/>
      <c r="H201" s="472"/>
      <c r="I201" s="472"/>
    </row>
    <row r="202" spans="5:9">
      <c r="E202" s="472"/>
      <c r="G202" s="472"/>
      <c r="H202" s="472"/>
      <c r="I202" s="472"/>
    </row>
    <row r="203" spans="5:9">
      <c r="E203" s="472"/>
      <c r="G203" s="472"/>
      <c r="H203" s="472"/>
      <c r="I203" s="472"/>
    </row>
    <row r="204" spans="5:9">
      <c r="E204" s="472"/>
      <c r="G204" s="472"/>
      <c r="H204" s="472"/>
      <c r="I204" s="472"/>
    </row>
    <row r="205" spans="5:9">
      <c r="E205" s="472"/>
      <c r="G205" s="472"/>
      <c r="H205" s="472"/>
      <c r="I205" s="472"/>
    </row>
    <row r="206" spans="5:9">
      <c r="E206" s="472"/>
      <c r="G206" s="472"/>
      <c r="H206" s="472"/>
      <c r="I206" s="472"/>
    </row>
    <row r="207" spans="5:9">
      <c r="E207" s="472"/>
      <c r="G207" s="472"/>
      <c r="H207" s="472"/>
      <c r="I207" s="472"/>
    </row>
    <row r="208" spans="5:9">
      <c r="E208" s="472"/>
      <c r="G208" s="472"/>
      <c r="H208" s="472"/>
      <c r="I208" s="472"/>
    </row>
    <row r="209" spans="5:9">
      <c r="E209" s="472"/>
      <c r="G209" s="472"/>
      <c r="H209" s="472"/>
      <c r="I209" s="472"/>
    </row>
    <row r="210" spans="5:9">
      <c r="E210" s="472"/>
      <c r="G210" s="472"/>
      <c r="H210" s="472"/>
      <c r="I210" s="472"/>
    </row>
    <row r="211" spans="5:9">
      <c r="E211" s="472"/>
      <c r="G211" s="472"/>
      <c r="H211" s="472"/>
      <c r="I211" s="472"/>
    </row>
    <row r="212" spans="5:9">
      <c r="E212" s="472"/>
      <c r="G212" s="472"/>
      <c r="H212" s="472"/>
      <c r="I212" s="472"/>
    </row>
    <row r="213" spans="5:9">
      <c r="E213" s="472"/>
      <c r="G213" s="472"/>
      <c r="H213" s="472"/>
      <c r="I213" s="472"/>
    </row>
    <row r="214" spans="5:9">
      <c r="E214" s="472"/>
      <c r="G214" s="472"/>
      <c r="H214" s="472"/>
      <c r="I214" s="472"/>
    </row>
    <row r="215" spans="5:9">
      <c r="E215" s="472"/>
      <c r="G215" s="472"/>
      <c r="H215" s="472"/>
      <c r="I215" s="472"/>
    </row>
    <row r="216" spans="5:9">
      <c r="E216" s="472"/>
      <c r="G216" s="472"/>
      <c r="H216" s="472"/>
      <c r="I216" s="472"/>
    </row>
    <row r="217" spans="5:9">
      <c r="E217" s="472"/>
      <c r="G217" s="472"/>
      <c r="H217" s="472"/>
      <c r="I217" s="472"/>
    </row>
    <row r="218" spans="5:9">
      <c r="E218" s="472"/>
      <c r="G218" s="472"/>
      <c r="H218" s="472"/>
      <c r="I218" s="472"/>
    </row>
    <row r="219" spans="5:9">
      <c r="E219" s="472"/>
      <c r="G219" s="472"/>
      <c r="H219" s="472"/>
      <c r="I219" s="472"/>
    </row>
    <row r="220" spans="5:9">
      <c r="E220" s="472"/>
      <c r="G220" s="472"/>
      <c r="H220" s="472"/>
      <c r="I220" s="472"/>
    </row>
    <row r="221" spans="5:9">
      <c r="E221" s="472"/>
      <c r="G221" s="472"/>
      <c r="H221" s="472"/>
      <c r="I221" s="472"/>
    </row>
    <row r="222" spans="5:9">
      <c r="E222" s="472"/>
      <c r="G222" s="472"/>
      <c r="H222" s="472"/>
      <c r="I222" s="472"/>
    </row>
    <row r="223" spans="5:9">
      <c r="E223" s="472"/>
      <c r="G223" s="472"/>
      <c r="H223" s="472"/>
      <c r="I223" s="472"/>
    </row>
    <row r="224" spans="5:9">
      <c r="E224" s="472"/>
      <c r="G224" s="472"/>
      <c r="H224" s="472"/>
      <c r="I224" s="472"/>
    </row>
    <row r="225" spans="5:9">
      <c r="E225" s="472"/>
      <c r="G225" s="472"/>
      <c r="H225" s="472"/>
      <c r="I225" s="472"/>
    </row>
    <row r="226" spans="5:9">
      <c r="E226" s="472"/>
      <c r="G226" s="472"/>
      <c r="H226" s="472"/>
      <c r="I226" s="472"/>
    </row>
    <row r="227" spans="5:9">
      <c r="E227" s="472"/>
      <c r="G227" s="472"/>
      <c r="H227" s="472"/>
      <c r="I227" s="472"/>
    </row>
    <row r="228" spans="5:9">
      <c r="E228" s="472"/>
      <c r="G228" s="472"/>
      <c r="H228" s="472"/>
      <c r="I228" s="472"/>
    </row>
    <row r="229" spans="5:9">
      <c r="E229" s="472"/>
      <c r="G229" s="472"/>
      <c r="H229" s="472"/>
      <c r="I229" s="472"/>
    </row>
    <row r="230" spans="5:9">
      <c r="E230" s="472"/>
      <c r="G230" s="472"/>
      <c r="H230" s="472"/>
      <c r="I230" s="472"/>
    </row>
    <row r="231" spans="5:9">
      <c r="E231" s="472"/>
      <c r="G231" s="472"/>
      <c r="H231" s="472"/>
      <c r="I231" s="472"/>
    </row>
    <row r="232" spans="5:9">
      <c r="E232" s="472"/>
      <c r="G232" s="472"/>
      <c r="H232" s="472"/>
      <c r="I232" s="472"/>
    </row>
    <row r="233" spans="5:9">
      <c r="E233" s="472"/>
      <c r="G233" s="472"/>
      <c r="H233" s="472"/>
      <c r="I233" s="472"/>
    </row>
    <row r="234" spans="5:9">
      <c r="E234" s="472"/>
      <c r="G234" s="472"/>
      <c r="H234" s="472"/>
      <c r="I234" s="472"/>
    </row>
    <row r="235" spans="5:9">
      <c r="E235" s="472"/>
      <c r="G235" s="472"/>
      <c r="H235" s="472"/>
      <c r="I235" s="472"/>
    </row>
    <row r="236" spans="5:9">
      <c r="E236" s="472"/>
      <c r="G236" s="472"/>
      <c r="H236" s="472"/>
      <c r="I236" s="472"/>
    </row>
    <row r="237" spans="5:9">
      <c r="E237" s="472"/>
      <c r="G237" s="472"/>
      <c r="H237" s="472"/>
      <c r="I237" s="472"/>
    </row>
    <row r="238" spans="5:9">
      <c r="E238" s="472"/>
      <c r="G238" s="472"/>
      <c r="H238" s="472"/>
      <c r="I238" s="472"/>
    </row>
    <row r="239" spans="5:9">
      <c r="E239" s="472"/>
      <c r="G239" s="472"/>
      <c r="H239" s="472"/>
      <c r="I239" s="472"/>
    </row>
    <row r="240" spans="5:9">
      <c r="E240" s="472"/>
      <c r="G240" s="472"/>
      <c r="H240" s="472"/>
      <c r="I240" s="472"/>
    </row>
    <row r="241" spans="5:9">
      <c r="E241" s="472"/>
      <c r="G241" s="472"/>
      <c r="H241" s="472"/>
      <c r="I241" s="472"/>
    </row>
    <row r="242" spans="5:9">
      <c r="E242" s="472"/>
      <c r="G242" s="472"/>
      <c r="H242" s="472"/>
      <c r="I242" s="472"/>
    </row>
    <row r="243" spans="5:9">
      <c r="E243" s="472"/>
      <c r="G243" s="472"/>
      <c r="H243" s="472"/>
      <c r="I243" s="472"/>
    </row>
    <row r="244" spans="5:9">
      <c r="E244" s="472"/>
      <c r="G244" s="472"/>
      <c r="H244" s="472"/>
      <c r="I244" s="472"/>
    </row>
    <row r="245" spans="5:9">
      <c r="E245" s="472"/>
      <c r="G245" s="472"/>
      <c r="H245" s="472"/>
      <c r="I245" s="472"/>
    </row>
    <row r="246" spans="5:9">
      <c r="E246" s="472"/>
      <c r="G246" s="472"/>
      <c r="H246" s="472"/>
      <c r="I246" s="472"/>
    </row>
    <row r="247" spans="5:9">
      <c r="E247" s="472"/>
      <c r="G247" s="472"/>
      <c r="H247" s="472"/>
      <c r="I247" s="472"/>
    </row>
    <row r="248" spans="5:9">
      <c r="E248" s="472"/>
      <c r="G248" s="472"/>
      <c r="H248" s="472"/>
      <c r="I248" s="472"/>
    </row>
    <row r="249" spans="5:9">
      <c r="E249" s="472"/>
      <c r="G249" s="472"/>
      <c r="H249" s="472"/>
      <c r="I249" s="472"/>
    </row>
    <row r="250" spans="5:9">
      <c r="E250" s="472"/>
      <c r="G250" s="472"/>
      <c r="H250" s="472"/>
      <c r="I250" s="472"/>
    </row>
    <row r="251" spans="5:9">
      <c r="E251" s="472"/>
      <c r="G251" s="472"/>
      <c r="H251" s="472"/>
      <c r="I251" s="472"/>
    </row>
    <row r="252" spans="5:9">
      <c r="E252" s="472"/>
      <c r="G252" s="472"/>
      <c r="H252" s="472"/>
      <c r="I252" s="472"/>
    </row>
    <row r="253" spans="5:9">
      <c r="E253" s="472"/>
      <c r="G253" s="472"/>
      <c r="H253" s="472"/>
      <c r="I253" s="472"/>
    </row>
    <row r="254" spans="5:9">
      <c r="E254" s="472"/>
      <c r="G254" s="472"/>
      <c r="H254" s="472"/>
      <c r="I254" s="472"/>
    </row>
    <row r="255" spans="5:9">
      <c r="E255" s="472"/>
      <c r="G255" s="472"/>
      <c r="H255" s="472"/>
      <c r="I255" s="472"/>
    </row>
    <row r="256" spans="5:9">
      <c r="E256" s="472"/>
      <c r="G256" s="472"/>
      <c r="H256" s="472"/>
      <c r="I256" s="472"/>
    </row>
    <row r="257" spans="5:9">
      <c r="E257" s="472"/>
      <c r="G257" s="472"/>
      <c r="H257" s="472"/>
      <c r="I257" s="472"/>
    </row>
    <row r="258" spans="5:9">
      <c r="E258" s="472"/>
      <c r="G258" s="472"/>
      <c r="H258" s="472"/>
      <c r="I258" s="472"/>
    </row>
    <row r="259" spans="5:9">
      <c r="E259" s="472"/>
      <c r="G259" s="472"/>
      <c r="H259" s="472"/>
      <c r="I259" s="472"/>
    </row>
    <row r="260" spans="5:9">
      <c r="E260" s="472"/>
      <c r="G260" s="472"/>
      <c r="H260" s="472"/>
      <c r="I260" s="472"/>
    </row>
    <row r="261" spans="5:9">
      <c r="E261" s="472"/>
      <c r="G261" s="472"/>
      <c r="H261" s="472"/>
      <c r="I261" s="472"/>
    </row>
    <row r="262" spans="5:9">
      <c r="E262" s="472"/>
      <c r="G262" s="472"/>
      <c r="H262" s="472"/>
      <c r="I262" s="472"/>
    </row>
    <row r="263" spans="5:9">
      <c r="E263" s="472"/>
      <c r="G263" s="472"/>
      <c r="H263" s="472"/>
      <c r="I263" s="472"/>
    </row>
    <row r="264" spans="5:9">
      <c r="E264" s="472"/>
      <c r="G264" s="472"/>
      <c r="H264" s="472"/>
      <c r="I264" s="472"/>
    </row>
    <row r="265" spans="5:9">
      <c r="E265" s="472"/>
      <c r="G265" s="472"/>
      <c r="H265" s="472"/>
      <c r="I265" s="472"/>
    </row>
    <row r="266" spans="5:9">
      <c r="E266" s="472"/>
      <c r="G266" s="472"/>
      <c r="H266" s="472"/>
      <c r="I266" s="472"/>
    </row>
    <row r="267" spans="5:9">
      <c r="E267" s="472"/>
      <c r="G267" s="472"/>
      <c r="H267" s="472"/>
      <c r="I267" s="472"/>
    </row>
    <row r="268" spans="5:9">
      <c r="E268" s="472"/>
      <c r="G268" s="472"/>
      <c r="H268" s="472"/>
      <c r="I268" s="472"/>
    </row>
    <row r="269" spans="5:9">
      <c r="E269" s="472"/>
      <c r="G269" s="472"/>
      <c r="H269" s="472"/>
      <c r="I269" s="472"/>
    </row>
    <row r="270" spans="5:9">
      <c r="E270" s="472"/>
      <c r="G270" s="472"/>
      <c r="H270" s="472"/>
      <c r="I270" s="472"/>
    </row>
    <row r="271" spans="5:9">
      <c r="E271" s="472"/>
      <c r="G271" s="472"/>
      <c r="H271" s="472"/>
      <c r="I271" s="472"/>
    </row>
    <row r="272" spans="5:9">
      <c r="E272" s="472"/>
      <c r="G272" s="472"/>
      <c r="H272" s="472"/>
      <c r="I272" s="472"/>
    </row>
    <row r="273" spans="5:9">
      <c r="E273" s="472"/>
      <c r="G273" s="472"/>
      <c r="H273" s="472"/>
      <c r="I273" s="472"/>
    </row>
    <row r="274" spans="5:9">
      <c r="E274" s="472"/>
      <c r="G274" s="472"/>
      <c r="H274" s="472"/>
      <c r="I274" s="472"/>
    </row>
    <row r="275" spans="5:9">
      <c r="E275" s="472"/>
      <c r="G275" s="472"/>
      <c r="H275" s="472"/>
      <c r="I275" s="472"/>
    </row>
    <row r="276" spans="5:9">
      <c r="E276" s="472"/>
      <c r="G276" s="472"/>
      <c r="H276" s="472"/>
      <c r="I276" s="472"/>
    </row>
    <row r="277" spans="5:9">
      <c r="E277" s="472"/>
      <c r="G277" s="472"/>
      <c r="H277" s="472"/>
      <c r="I277" s="472"/>
    </row>
    <row r="278" spans="5:9">
      <c r="E278" s="472"/>
      <c r="G278" s="472"/>
      <c r="H278" s="472"/>
      <c r="I278" s="472"/>
    </row>
    <row r="279" spans="5:9">
      <c r="E279" s="472"/>
      <c r="G279" s="472"/>
      <c r="H279" s="472"/>
      <c r="I279" s="472"/>
    </row>
    <row r="280" spans="5:9">
      <c r="E280" s="472"/>
      <c r="G280" s="472"/>
      <c r="H280" s="472"/>
      <c r="I280" s="472"/>
    </row>
    <row r="281" spans="5:9">
      <c r="E281" s="472"/>
      <c r="G281" s="472"/>
      <c r="H281" s="472"/>
      <c r="I281" s="472"/>
    </row>
    <row r="282" spans="5:9">
      <c r="E282" s="472"/>
      <c r="G282" s="472"/>
      <c r="H282" s="472"/>
      <c r="I282" s="472"/>
    </row>
    <row r="283" spans="5:9">
      <c r="E283" s="472"/>
      <c r="G283" s="472"/>
      <c r="H283" s="472"/>
      <c r="I283" s="472"/>
    </row>
    <row r="284" spans="5:9">
      <c r="E284" s="472"/>
      <c r="G284" s="472"/>
      <c r="H284" s="472"/>
      <c r="I284" s="472"/>
    </row>
    <row r="285" spans="5:9">
      <c r="E285" s="472"/>
      <c r="G285" s="472"/>
      <c r="H285" s="472"/>
      <c r="I285" s="472"/>
    </row>
    <row r="286" spans="5:9">
      <c r="E286" s="472"/>
      <c r="G286" s="472"/>
      <c r="H286" s="472"/>
      <c r="I286" s="472"/>
    </row>
    <row r="287" spans="5:9">
      <c r="E287" s="472"/>
      <c r="G287" s="472"/>
      <c r="H287" s="472"/>
      <c r="I287" s="472"/>
    </row>
    <row r="288" spans="5:9">
      <c r="E288" s="472"/>
      <c r="G288" s="472"/>
      <c r="H288" s="472"/>
      <c r="I288" s="472"/>
    </row>
    <row r="289" spans="5:9">
      <c r="E289" s="472"/>
      <c r="G289" s="472"/>
      <c r="H289" s="472"/>
      <c r="I289" s="472"/>
    </row>
    <row r="290" spans="5:9">
      <c r="E290" s="472"/>
      <c r="G290" s="472"/>
      <c r="H290" s="472"/>
      <c r="I290" s="472"/>
    </row>
    <row r="291" spans="5:9">
      <c r="E291" s="472"/>
      <c r="G291" s="472"/>
      <c r="H291" s="472"/>
      <c r="I291" s="472"/>
    </row>
    <row r="292" spans="5:9">
      <c r="E292" s="472"/>
      <c r="G292" s="472"/>
      <c r="H292" s="472"/>
      <c r="I292" s="472"/>
    </row>
    <row r="293" spans="5:9">
      <c r="E293" s="472"/>
      <c r="G293" s="472"/>
      <c r="H293" s="472"/>
      <c r="I293" s="472"/>
    </row>
    <row r="294" spans="5:9">
      <c r="E294" s="472"/>
      <c r="G294" s="472"/>
      <c r="H294" s="472"/>
      <c r="I294" s="472"/>
    </row>
    <row r="295" spans="5:9">
      <c r="E295" s="472"/>
      <c r="G295" s="472"/>
      <c r="H295" s="472"/>
      <c r="I295" s="472"/>
    </row>
    <row r="296" spans="5:9">
      <c r="E296" s="472"/>
      <c r="G296" s="472"/>
      <c r="H296" s="472"/>
      <c r="I296" s="472"/>
    </row>
    <row r="297" spans="5:9">
      <c r="E297" s="472"/>
      <c r="G297" s="472"/>
      <c r="H297" s="472"/>
      <c r="I297" s="472"/>
    </row>
    <row r="298" spans="5:9">
      <c r="E298" s="472"/>
      <c r="G298" s="472"/>
      <c r="H298" s="472"/>
      <c r="I298" s="472"/>
    </row>
    <row r="299" spans="5:9">
      <c r="E299" s="472"/>
      <c r="G299" s="472"/>
      <c r="H299" s="472"/>
      <c r="I299" s="472"/>
    </row>
    <row r="300" spans="5:9">
      <c r="E300" s="472"/>
      <c r="G300" s="472"/>
      <c r="H300" s="472"/>
      <c r="I300" s="472"/>
    </row>
    <row r="301" spans="5:9">
      <c r="E301" s="472"/>
      <c r="G301" s="472"/>
      <c r="H301" s="472"/>
      <c r="I301" s="472"/>
    </row>
    <row r="302" spans="5:9">
      <c r="E302" s="472"/>
      <c r="G302" s="472"/>
      <c r="H302" s="472"/>
      <c r="I302" s="472"/>
    </row>
    <row r="303" spans="5:9">
      <c r="E303" s="472"/>
      <c r="G303" s="472"/>
      <c r="H303" s="472"/>
      <c r="I303" s="472"/>
    </row>
    <row r="304" spans="5:9">
      <c r="E304" s="472"/>
      <c r="G304" s="472"/>
      <c r="H304" s="472"/>
      <c r="I304" s="472"/>
    </row>
    <row r="305" spans="5:9">
      <c r="E305" s="472"/>
      <c r="G305" s="472"/>
      <c r="H305" s="472"/>
      <c r="I305" s="472"/>
    </row>
    <row r="306" spans="5:9">
      <c r="E306" s="472"/>
      <c r="G306" s="472"/>
      <c r="H306" s="472"/>
      <c r="I306" s="472"/>
    </row>
    <row r="307" spans="5:9">
      <c r="E307" s="472"/>
      <c r="G307" s="472"/>
      <c r="H307" s="472"/>
      <c r="I307" s="472"/>
    </row>
    <row r="308" spans="5:9">
      <c r="E308" s="472"/>
      <c r="G308" s="472"/>
      <c r="H308" s="472"/>
      <c r="I308" s="472"/>
    </row>
    <row r="309" spans="5:9">
      <c r="E309" s="472"/>
      <c r="G309" s="472"/>
      <c r="H309" s="472"/>
      <c r="I309" s="472"/>
    </row>
    <row r="310" spans="5:9">
      <c r="E310" s="472"/>
      <c r="G310" s="472"/>
      <c r="H310" s="472"/>
      <c r="I310" s="472"/>
    </row>
    <row r="311" spans="5:9">
      <c r="E311" s="472"/>
      <c r="G311" s="472"/>
      <c r="H311" s="472"/>
      <c r="I311" s="472"/>
    </row>
    <row r="312" spans="5:9">
      <c r="E312" s="472"/>
      <c r="G312" s="472"/>
      <c r="H312" s="472"/>
      <c r="I312" s="472"/>
    </row>
    <row r="313" spans="5:9">
      <c r="E313" s="472"/>
      <c r="G313" s="472"/>
      <c r="H313" s="472"/>
      <c r="I313" s="472"/>
    </row>
    <row r="314" spans="5:9">
      <c r="E314" s="472"/>
      <c r="G314" s="472"/>
      <c r="H314" s="472"/>
      <c r="I314" s="472"/>
    </row>
    <row r="315" spans="5:9">
      <c r="E315" s="472"/>
      <c r="G315" s="472"/>
      <c r="H315" s="472"/>
      <c r="I315" s="472"/>
    </row>
    <row r="316" spans="5:9">
      <c r="E316" s="472"/>
      <c r="G316" s="472"/>
      <c r="H316" s="472"/>
      <c r="I316" s="472"/>
    </row>
    <row r="317" spans="5:9">
      <c r="E317" s="472"/>
      <c r="G317" s="472"/>
      <c r="H317" s="472"/>
      <c r="I317" s="472"/>
    </row>
    <row r="318" spans="5:9">
      <c r="E318" s="472"/>
      <c r="G318" s="472"/>
      <c r="H318" s="472"/>
      <c r="I318" s="472"/>
    </row>
    <row r="319" spans="5:9">
      <c r="E319" s="472"/>
      <c r="G319" s="472"/>
      <c r="H319" s="472"/>
      <c r="I319" s="472"/>
    </row>
    <row r="320" spans="5:9">
      <c r="E320" s="472"/>
      <c r="G320" s="472"/>
      <c r="H320" s="472"/>
      <c r="I320" s="472"/>
    </row>
    <row r="321" spans="5:9">
      <c r="E321" s="472"/>
      <c r="G321" s="472"/>
      <c r="H321" s="472"/>
      <c r="I321" s="472"/>
    </row>
    <row r="322" spans="5:9">
      <c r="E322" s="472"/>
      <c r="G322" s="472"/>
      <c r="H322" s="472"/>
      <c r="I322" s="472"/>
    </row>
    <row r="323" spans="5:9">
      <c r="E323" s="472"/>
      <c r="G323" s="472"/>
      <c r="H323" s="472"/>
      <c r="I323" s="472"/>
    </row>
    <row r="324" spans="5:9">
      <c r="E324" s="472"/>
      <c r="G324" s="472"/>
      <c r="H324" s="472"/>
      <c r="I324" s="472"/>
    </row>
    <row r="325" spans="5:9">
      <c r="E325" s="472"/>
      <c r="G325" s="472"/>
      <c r="H325" s="472"/>
      <c r="I325" s="472"/>
    </row>
    <row r="326" spans="5:9">
      <c r="E326" s="472"/>
      <c r="G326" s="472"/>
      <c r="H326" s="472"/>
      <c r="I326" s="472"/>
    </row>
    <row r="327" spans="5:9">
      <c r="E327" s="472"/>
      <c r="G327" s="472"/>
      <c r="H327" s="472"/>
      <c r="I327" s="472"/>
    </row>
    <row r="328" spans="5:9">
      <c r="E328" s="472"/>
      <c r="G328" s="472"/>
      <c r="H328" s="472"/>
      <c r="I328" s="472"/>
    </row>
    <row r="329" spans="5:9">
      <c r="E329" s="472"/>
      <c r="G329" s="472"/>
      <c r="H329" s="472"/>
      <c r="I329" s="472"/>
    </row>
    <row r="330" spans="5:9">
      <c r="E330" s="472"/>
      <c r="G330" s="472"/>
      <c r="H330" s="472"/>
      <c r="I330" s="472"/>
    </row>
    <row r="331" spans="5:9">
      <c r="E331" s="472"/>
      <c r="G331" s="472"/>
      <c r="H331" s="472"/>
      <c r="I331" s="472"/>
    </row>
    <row r="332" spans="5:9">
      <c r="E332" s="472"/>
      <c r="G332" s="472"/>
      <c r="H332" s="472"/>
      <c r="I332" s="472"/>
    </row>
    <row r="333" spans="5:9">
      <c r="E333" s="472"/>
      <c r="G333" s="472"/>
      <c r="H333" s="472"/>
      <c r="I333" s="472"/>
    </row>
    <row r="334" spans="5:9">
      <c r="E334" s="472"/>
      <c r="G334" s="472"/>
      <c r="H334" s="472"/>
      <c r="I334" s="472"/>
    </row>
    <row r="335" spans="5:9">
      <c r="E335" s="472"/>
      <c r="G335" s="472"/>
      <c r="H335" s="472"/>
      <c r="I335" s="472"/>
    </row>
    <row r="336" spans="5:9">
      <c r="E336" s="472"/>
      <c r="G336" s="472"/>
      <c r="H336" s="472"/>
      <c r="I336" s="472"/>
    </row>
    <row r="337" spans="5:9">
      <c r="E337" s="472"/>
      <c r="G337" s="472"/>
      <c r="H337" s="472"/>
      <c r="I337" s="472"/>
    </row>
    <row r="338" spans="5:9">
      <c r="E338" s="472"/>
      <c r="G338" s="472"/>
      <c r="H338" s="472"/>
      <c r="I338" s="472"/>
    </row>
    <row r="339" spans="5:9">
      <c r="E339" s="472"/>
      <c r="G339" s="472"/>
      <c r="H339" s="472"/>
      <c r="I339" s="472"/>
    </row>
    <row r="340" spans="5:9">
      <c r="E340" s="472"/>
      <c r="G340" s="472"/>
      <c r="H340" s="472"/>
      <c r="I340" s="472"/>
    </row>
    <row r="341" spans="5:9">
      <c r="E341" s="472"/>
      <c r="G341" s="472"/>
      <c r="H341" s="472"/>
      <c r="I341" s="472"/>
    </row>
    <row r="342" spans="5:9">
      <c r="E342" s="472"/>
      <c r="G342" s="472"/>
      <c r="H342" s="472"/>
      <c r="I342" s="472"/>
    </row>
    <row r="343" spans="5:9">
      <c r="E343" s="472"/>
      <c r="G343" s="472"/>
      <c r="H343" s="472"/>
      <c r="I343" s="472"/>
    </row>
    <row r="344" spans="5:9">
      <c r="E344" s="472"/>
      <c r="G344" s="472"/>
      <c r="H344" s="472"/>
      <c r="I344" s="472"/>
    </row>
    <row r="345" spans="5:9">
      <c r="E345" s="472"/>
      <c r="G345" s="472"/>
      <c r="H345" s="472"/>
      <c r="I345" s="472"/>
    </row>
    <row r="346" spans="5:9">
      <c r="E346" s="472"/>
      <c r="G346" s="472"/>
      <c r="H346" s="472"/>
      <c r="I346" s="472"/>
    </row>
    <row r="347" spans="5:9">
      <c r="E347" s="472"/>
      <c r="G347" s="472"/>
      <c r="H347" s="472"/>
      <c r="I347" s="472"/>
    </row>
    <row r="348" spans="5:9">
      <c r="E348" s="472"/>
      <c r="G348" s="472"/>
      <c r="H348" s="472"/>
      <c r="I348" s="472"/>
    </row>
    <row r="349" spans="5:9">
      <c r="E349" s="472"/>
      <c r="G349" s="472"/>
      <c r="H349" s="472"/>
      <c r="I349" s="472"/>
    </row>
    <row r="350" spans="5:9">
      <c r="E350" s="472"/>
      <c r="G350" s="472"/>
      <c r="H350" s="472"/>
      <c r="I350" s="472"/>
    </row>
    <row r="351" spans="5:9">
      <c r="E351" s="472"/>
      <c r="G351" s="472"/>
      <c r="H351" s="472"/>
      <c r="I351" s="472"/>
    </row>
    <row r="352" spans="5:9">
      <c r="E352" s="472"/>
      <c r="G352" s="472"/>
      <c r="H352" s="472"/>
      <c r="I352" s="472"/>
    </row>
    <row r="353" spans="5:9">
      <c r="E353" s="472"/>
      <c r="G353" s="472"/>
      <c r="H353" s="472"/>
      <c r="I353" s="472"/>
    </row>
    <row r="354" spans="5:9">
      <c r="E354" s="472"/>
      <c r="G354" s="472"/>
      <c r="H354" s="472"/>
      <c r="I354" s="472"/>
    </row>
    <row r="355" spans="5:9">
      <c r="E355" s="472"/>
      <c r="G355" s="472"/>
      <c r="H355" s="472"/>
      <c r="I355" s="472"/>
    </row>
    <row r="356" spans="5:9">
      <c r="E356" s="472"/>
      <c r="G356" s="472"/>
      <c r="H356" s="472"/>
      <c r="I356" s="472"/>
    </row>
    <row r="357" spans="5:9">
      <c r="E357" s="472"/>
      <c r="G357" s="472"/>
      <c r="H357" s="472"/>
      <c r="I357" s="472"/>
    </row>
    <row r="358" spans="5:9">
      <c r="E358" s="472"/>
      <c r="G358" s="472"/>
      <c r="H358" s="472"/>
      <c r="I358" s="472"/>
    </row>
    <row r="359" spans="5:9">
      <c r="E359" s="472"/>
      <c r="G359" s="472"/>
      <c r="H359" s="472"/>
      <c r="I359" s="472"/>
    </row>
    <row r="360" spans="5:9">
      <c r="E360" s="472"/>
      <c r="G360" s="472"/>
      <c r="H360" s="472"/>
      <c r="I360" s="472"/>
    </row>
    <row r="361" spans="5:9">
      <c r="E361" s="472"/>
      <c r="G361" s="472"/>
      <c r="H361" s="472"/>
      <c r="I361" s="472"/>
    </row>
    <row r="362" spans="5:9">
      <c r="E362" s="472"/>
      <c r="G362" s="472"/>
      <c r="H362" s="472"/>
      <c r="I362" s="472"/>
    </row>
    <row r="363" spans="5:9">
      <c r="E363" s="472"/>
      <c r="G363" s="472"/>
      <c r="H363" s="472"/>
      <c r="I363" s="472"/>
    </row>
    <row r="364" spans="5:9">
      <c r="E364" s="472"/>
      <c r="G364" s="472"/>
      <c r="H364" s="472"/>
      <c r="I364" s="472"/>
    </row>
    <row r="365" spans="5:9">
      <c r="E365" s="472"/>
      <c r="G365" s="472"/>
      <c r="H365" s="472"/>
      <c r="I365" s="472"/>
    </row>
    <row r="366" spans="5:9">
      <c r="E366" s="472"/>
      <c r="G366" s="472"/>
      <c r="H366" s="472"/>
      <c r="I366" s="472"/>
    </row>
    <row r="367" spans="5:9">
      <c r="E367" s="472"/>
      <c r="G367" s="472"/>
      <c r="H367" s="472"/>
      <c r="I367" s="472"/>
    </row>
    <row r="368" spans="5:9">
      <c r="E368" s="472"/>
      <c r="G368" s="472"/>
      <c r="H368" s="472"/>
      <c r="I368" s="472"/>
    </row>
    <row r="369" spans="5:9">
      <c r="E369" s="472"/>
      <c r="G369" s="472"/>
      <c r="H369" s="472"/>
      <c r="I369" s="472"/>
    </row>
    <row r="370" spans="5:9">
      <c r="E370" s="472"/>
      <c r="G370" s="472"/>
      <c r="H370" s="472"/>
      <c r="I370" s="472"/>
    </row>
    <row r="371" spans="5:9">
      <c r="E371" s="472"/>
      <c r="G371" s="472"/>
      <c r="H371" s="472"/>
      <c r="I371" s="472"/>
    </row>
    <row r="372" spans="5:9">
      <c r="E372" s="472"/>
      <c r="G372" s="472"/>
      <c r="H372" s="472"/>
      <c r="I372" s="472"/>
    </row>
    <row r="373" spans="5:9">
      <c r="E373" s="472"/>
      <c r="G373" s="472"/>
      <c r="H373" s="472"/>
      <c r="I373" s="472"/>
    </row>
    <row r="374" spans="5:9">
      <c r="E374" s="472"/>
      <c r="G374" s="472"/>
      <c r="H374" s="472"/>
      <c r="I374" s="472"/>
    </row>
    <row r="375" spans="5:9">
      <c r="E375" s="472"/>
      <c r="G375" s="472"/>
      <c r="H375" s="472"/>
      <c r="I375" s="472"/>
    </row>
    <row r="376" spans="5:9">
      <c r="E376" s="472"/>
      <c r="G376" s="472"/>
      <c r="H376" s="472"/>
      <c r="I376" s="472"/>
    </row>
    <row r="377" spans="5:9">
      <c r="E377" s="472"/>
      <c r="G377" s="472"/>
      <c r="H377" s="472"/>
      <c r="I377" s="472"/>
    </row>
    <row r="378" spans="5:9">
      <c r="E378" s="472"/>
      <c r="G378" s="472"/>
      <c r="H378" s="472"/>
      <c r="I378" s="472"/>
    </row>
    <row r="379" spans="5:9">
      <c r="E379" s="472"/>
      <c r="G379" s="472"/>
      <c r="H379" s="472"/>
      <c r="I379" s="472"/>
    </row>
    <row r="380" spans="5:9">
      <c r="E380" s="472"/>
      <c r="G380" s="472"/>
      <c r="H380" s="472"/>
      <c r="I380" s="472"/>
    </row>
    <row r="381" spans="5:9">
      <c r="E381" s="472"/>
      <c r="G381" s="472"/>
      <c r="H381" s="472"/>
      <c r="I381" s="472"/>
    </row>
    <row r="382" spans="5:9">
      <c r="E382" s="472"/>
      <c r="G382" s="472"/>
      <c r="H382" s="472"/>
      <c r="I382" s="472"/>
    </row>
    <row r="383" spans="5:9">
      <c r="E383" s="472"/>
      <c r="G383" s="472"/>
      <c r="H383" s="472"/>
      <c r="I383" s="472"/>
    </row>
    <row r="384" spans="5:9">
      <c r="E384" s="472"/>
      <c r="G384" s="472"/>
      <c r="H384" s="472"/>
      <c r="I384" s="472"/>
    </row>
    <row r="385" spans="5:9">
      <c r="E385" s="472"/>
      <c r="G385" s="472"/>
      <c r="H385" s="472"/>
      <c r="I385" s="472"/>
    </row>
    <row r="386" spans="5:9">
      <c r="E386" s="472"/>
      <c r="G386" s="472"/>
      <c r="H386" s="472"/>
      <c r="I386" s="472"/>
    </row>
    <row r="387" spans="5:9">
      <c r="E387" s="472"/>
      <c r="G387" s="472"/>
      <c r="H387" s="472"/>
      <c r="I387" s="472"/>
    </row>
    <row r="388" spans="5:9">
      <c r="E388" s="472"/>
      <c r="G388" s="472"/>
      <c r="H388" s="472"/>
      <c r="I388" s="472"/>
    </row>
    <row r="389" spans="5:9">
      <c r="E389" s="472"/>
      <c r="G389" s="472"/>
      <c r="H389" s="472"/>
      <c r="I389" s="472"/>
    </row>
    <row r="390" spans="5:9">
      <c r="E390" s="472"/>
      <c r="G390" s="472"/>
      <c r="H390" s="472"/>
      <c r="I390" s="472"/>
    </row>
    <row r="391" spans="5:9">
      <c r="E391" s="472"/>
      <c r="G391" s="472"/>
      <c r="H391" s="472"/>
      <c r="I391" s="472"/>
    </row>
    <row r="392" spans="5:9">
      <c r="E392" s="472"/>
      <c r="G392" s="472"/>
      <c r="H392" s="472"/>
      <c r="I392" s="472"/>
    </row>
    <row r="393" spans="5:9">
      <c r="E393" s="472"/>
      <c r="G393" s="472"/>
      <c r="H393" s="472"/>
      <c r="I393" s="472"/>
    </row>
    <row r="394" spans="5:9">
      <c r="E394" s="472"/>
      <c r="G394" s="472"/>
      <c r="H394" s="472"/>
      <c r="I394" s="472"/>
    </row>
    <row r="395" spans="5:9">
      <c r="E395" s="472"/>
      <c r="G395" s="472"/>
      <c r="H395" s="472"/>
      <c r="I395" s="472"/>
    </row>
    <row r="396" spans="5:9">
      <c r="E396" s="472"/>
      <c r="G396" s="472"/>
      <c r="H396" s="472"/>
      <c r="I396" s="472"/>
    </row>
    <row r="397" spans="5:9">
      <c r="E397" s="472"/>
      <c r="G397" s="472"/>
      <c r="H397" s="472"/>
      <c r="I397" s="472"/>
    </row>
    <row r="398" spans="5:9">
      <c r="E398" s="472"/>
      <c r="G398" s="472"/>
      <c r="H398" s="472"/>
      <c r="I398" s="472"/>
    </row>
    <row r="399" spans="5:9">
      <c r="E399" s="472"/>
      <c r="G399" s="472"/>
      <c r="H399" s="472"/>
      <c r="I399" s="472"/>
    </row>
    <row r="400" spans="5:9">
      <c r="E400" s="472"/>
      <c r="G400" s="472"/>
      <c r="H400" s="472"/>
      <c r="I400" s="472"/>
    </row>
    <row r="401" spans="5:9">
      <c r="E401" s="472"/>
      <c r="G401" s="472"/>
      <c r="H401" s="472"/>
      <c r="I401" s="472"/>
    </row>
    <row r="402" spans="5:9">
      <c r="E402" s="472"/>
      <c r="G402" s="472"/>
      <c r="H402" s="472"/>
      <c r="I402" s="472"/>
    </row>
    <row r="403" spans="5:9">
      <c r="E403" s="472"/>
      <c r="G403" s="472"/>
      <c r="H403" s="472"/>
      <c r="I403" s="472"/>
    </row>
    <row r="404" spans="5:9">
      <c r="E404" s="472"/>
      <c r="G404" s="472"/>
      <c r="H404" s="472"/>
      <c r="I404" s="472"/>
    </row>
    <row r="405" spans="5:9">
      <c r="E405" s="472"/>
      <c r="G405" s="472"/>
      <c r="H405" s="472"/>
      <c r="I405" s="472"/>
    </row>
    <row r="406" spans="5:9">
      <c r="E406" s="472"/>
      <c r="G406" s="472"/>
      <c r="H406" s="472"/>
      <c r="I406" s="472"/>
    </row>
    <row r="407" spans="5:9">
      <c r="E407" s="472"/>
      <c r="G407" s="472"/>
      <c r="H407" s="472"/>
      <c r="I407" s="472"/>
    </row>
    <row r="408" spans="5:9">
      <c r="E408" s="472"/>
      <c r="G408" s="472"/>
      <c r="H408" s="472"/>
      <c r="I408" s="472"/>
    </row>
    <row r="409" spans="5:9">
      <c r="E409" s="472"/>
      <c r="G409" s="472"/>
      <c r="H409" s="472"/>
      <c r="I409" s="472"/>
    </row>
    <row r="410" spans="5:9">
      <c r="E410" s="472"/>
      <c r="G410" s="472"/>
      <c r="H410" s="472"/>
      <c r="I410" s="472"/>
    </row>
    <row r="411" spans="5:9">
      <c r="E411" s="472"/>
      <c r="G411" s="472"/>
      <c r="H411" s="472"/>
      <c r="I411" s="472"/>
    </row>
    <row r="412" spans="5:9">
      <c r="E412" s="472"/>
      <c r="G412" s="472"/>
      <c r="H412" s="472"/>
      <c r="I412" s="472"/>
    </row>
    <row r="413" spans="5:9">
      <c r="E413" s="472"/>
      <c r="G413" s="472"/>
      <c r="H413" s="472"/>
      <c r="I413" s="472"/>
    </row>
    <row r="414" spans="5:9">
      <c r="E414" s="472"/>
      <c r="G414" s="472"/>
      <c r="H414" s="472"/>
      <c r="I414" s="472"/>
    </row>
    <row r="415" spans="5:9">
      <c r="E415" s="472"/>
      <c r="G415" s="472"/>
      <c r="H415" s="472"/>
      <c r="I415" s="472"/>
    </row>
    <row r="416" spans="5:9">
      <c r="E416" s="472"/>
      <c r="G416" s="472"/>
      <c r="H416" s="472"/>
      <c r="I416" s="472"/>
    </row>
    <row r="417" spans="5:9">
      <c r="E417" s="472"/>
      <c r="G417" s="472"/>
      <c r="H417" s="472"/>
      <c r="I417" s="472"/>
    </row>
    <row r="418" spans="5:9">
      <c r="E418" s="472"/>
      <c r="G418" s="472"/>
      <c r="H418" s="472"/>
      <c r="I418" s="472"/>
    </row>
    <row r="419" spans="5:9">
      <c r="E419" s="472"/>
      <c r="G419" s="472"/>
      <c r="H419" s="472"/>
      <c r="I419" s="472"/>
    </row>
    <row r="420" spans="5:9">
      <c r="E420" s="472"/>
      <c r="G420" s="472"/>
      <c r="H420" s="472"/>
      <c r="I420" s="472"/>
    </row>
    <row r="421" spans="5:9">
      <c r="E421" s="472"/>
      <c r="G421" s="472"/>
      <c r="H421" s="472"/>
      <c r="I421" s="472"/>
    </row>
    <row r="422" spans="5:9">
      <c r="E422" s="472"/>
      <c r="G422" s="472"/>
      <c r="H422" s="472"/>
      <c r="I422" s="472"/>
    </row>
    <row r="423" spans="5:9">
      <c r="E423" s="472"/>
      <c r="G423" s="472"/>
      <c r="H423" s="472"/>
      <c r="I423" s="472"/>
    </row>
    <row r="424" spans="5:9">
      <c r="E424" s="472"/>
      <c r="G424" s="472"/>
      <c r="H424" s="472"/>
      <c r="I424" s="472"/>
    </row>
    <row r="425" spans="5:9">
      <c r="E425" s="472"/>
      <c r="G425" s="472"/>
      <c r="H425" s="472"/>
      <c r="I425" s="472"/>
    </row>
    <row r="426" spans="5:9">
      <c r="E426" s="472"/>
      <c r="G426" s="472"/>
      <c r="H426" s="472"/>
      <c r="I426" s="472"/>
    </row>
    <row r="427" spans="5:9">
      <c r="E427" s="472"/>
      <c r="G427" s="472"/>
      <c r="H427" s="472"/>
      <c r="I427" s="472"/>
    </row>
    <row r="428" spans="5:9">
      <c r="E428" s="472"/>
      <c r="G428" s="472"/>
      <c r="H428" s="472"/>
      <c r="I428" s="472"/>
    </row>
    <row r="429" spans="5:9">
      <c r="E429" s="472"/>
      <c r="G429" s="472"/>
      <c r="H429" s="472"/>
      <c r="I429" s="472"/>
    </row>
    <row r="430" spans="5:9">
      <c r="E430" s="472"/>
      <c r="G430" s="472"/>
      <c r="H430" s="472"/>
      <c r="I430" s="472"/>
    </row>
    <row r="431" spans="5:9">
      <c r="E431" s="472"/>
      <c r="G431" s="472"/>
      <c r="H431" s="472"/>
      <c r="I431" s="472"/>
    </row>
    <row r="432" spans="5:9">
      <c r="E432" s="472"/>
      <c r="G432" s="472"/>
      <c r="H432" s="472"/>
      <c r="I432" s="472"/>
    </row>
    <row r="433" spans="5:9">
      <c r="E433" s="472"/>
      <c r="G433" s="472"/>
      <c r="H433" s="472"/>
      <c r="I433" s="472"/>
    </row>
    <row r="434" spans="5:9">
      <c r="E434" s="472"/>
      <c r="G434" s="472"/>
      <c r="H434" s="472"/>
      <c r="I434" s="472"/>
    </row>
    <row r="435" spans="5:9">
      <c r="E435" s="472"/>
      <c r="G435" s="472"/>
      <c r="H435" s="472"/>
      <c r="I435" s="472"/>
    </row>
    <row r="436" spans="5:9">
      <c r="E436" s="472"/>
      <c r="G436" s="472"/>
      <c r="H436" s="472"/>
      <c r="I436" s="472"/>
    </row>
    <row r="437" spans="5:9">
      <c r="E437" s="472"/>
      <c r="G437" s="472"/>
      <c r="H437" s="472"/>
      <c r="I437" s="472"/>
    </row>
    <row r="438" spans="5:9">
      <c r="E438" s="472"/>
      <c r="G438" s="472"/>
      <c r="H438" s="472"/>
      <c r="I438" s="472"/>
    </row>
    <row r="439" spans="5:9">
      <c r="E439" s="472"/>
      <c r="G439" s="472"/>
      <c r="H439" s="472"/>
      <c r="I439" s="472"/>
    </row>
    <row r="440" spans="5:9">
      <c r="E440" s="472"/>
      <c r="G440" s="472"/>
      <c r="H440" s="472"/>
      <c r="I440" s="472"/>
    </row>
    <row r="441" spans="5:9">
      <c r="E441" s="472"/>
      <c r="G441" s="472"/>
      <c r="H441" s="472"/>
      <c r="I441" s="472"/>
    </row>
    <row r="442" spans="5:9">
      <c r="E442" s="472"/>
      <c r="G442" s="472"/>
      <c r="H442" s="472"/>
      <c r="I442" s="472"/>
    </row>
    <row r="443" spans="5:9">
      <c r="E443" s="472"/>
      <c r="G443" s="472"/>
      <c r="H443" s="472"/>
      <c r="I443" s="472"/>
    </row>
    <row r="444" spans="5:9">
      <c r="E444" s="472"/>
      <c r="G444" s="472"/>
      <c r="H444" s="472"/>
      <c r="I444" s="472"/>
    </row>
    <row r="445" spans="5:9">
      <c r="E445" s="472"/>
      <c r="G445" s="472"/>
      <c r="H445" s="472"/>
      <c r="I445" s="472"/>
    </row>
    <row r="446" spans="5:9">
      <c r="E446" s="472"/>
      <c r="G446" s="472"/>
      <c r="H446" s="472"/>
      <c r="I446" s="472"/>
    </row>
    <row r="447" spans="5:9">
      <c r="E447" s="472"/>
      <c r="G447" s="472"/>
      <c r="H447" s="472"/>
      <c r="I447" s="472"/>
    </row>
    <row r="448" spans="5:9">
      <c r="E448" s="472"/>
      <c r="G448" s="472"/>
      <c r="H448" s="472"/>
      <c r="I448" s="472"/>
    </row>
    <row r="449" spans="5:9">
      <c r="E449" s="472"/>
      <c r="G449" s="472"/>
      <c r="H449" s="472"/>
      <c r="I449" s="472"/>
    </row>
    <row r="450" spans="5:9">
      <c r="E450" s="472"/>
      <c r="G450" s="472"/>
      <c r="H450" s="472"/>
      <c r="I450" s="472"/>
    </row>
    <row r="451" spans="5:9">
      <c r="E451" s="472"/>
      <c r="G451" s="472"/>
      <c r="H451" s="472"/>
      <c r="I451" s="472"/>
    </row>
    <row r="452" spans="5:9">
      <c r="E452" s="472"/>
      <c r="G452" s="472"/>
      <c r="H452" s="472"/>
      <c r="I452" s="472"/>
    </row>
    <row r="453" spans="5:9">
      <c r="E453" s="472"/>
      <c r="G453" s="472"/>
      <c r="H453" s="472"/>
      <c r="I453" s="472"/>
    </row>
    <row r="454" spans="5:9">
      <c r="E454" s="472"/>
      <c r="G454" s="472"/>
      <c r="H454" s="472"/>
      <c r="I454" s="472"/>
    </row>
    <row r="455" spans="5:9">
      <c r="E455" s="472"/>
      <c r="G455" s="472"/>
      <c r="H455" s="472"/>
      <c r="I455" s="472"/>
    </row>
    <row r="456" spans="5:9">
      <c r="E456" s="472"/>
      <c r="G456" s="472"/>
      <c r="H456" s="472"/>
      <c r="I456" s="472"/>
    </row>
    <row r="457" spans="5:9">
      <c r="E457" s="472"/>
      <c r="G457" s="472"/>
      <c r="H457" s="472"/>
      <c r="I457" s="472"/>
    </row>
    <row r="458" spans="5:9">
      <c r="E458" s="472"/>
      <c r="G458" s="472"/>
      <c r="H458" s="472"/>
      <c r="I458" s="472"/>
    </row>
    <row r="459" spans="5:9">
      <c r="E459" s="472"/>
      <c r="G459" s="472"/>
      <c r="H459" s="472"/>
      <c r="I459" s="472"/>
    </row>
    <row r="460" spans="5:9">
      <c r="E460" s="472"/>
      <c r="G460" s="472"/>
      <c r="H460" s="472"/>
      <c r="I460" s="472"/>
    </row>
    <row r="461" spans="5:9">
      <c r="E461" s="472"/>
      <c r="G461" s="472"/>
      <c r="H461" s="472"/>
      <c r="I461" s="472"/>
    </row>
    <row r="462" spans="5:9">
      <c r="E462" s="472"/>
      <c r="G462" s="472"/>
      <c r="H462" s="472"/>
      <c r="I462" s="472"/>
    </row>
    <row r="463" spans="5:9">
      <c r="E463" s="472"/>
      <c r="G463" s="472"/>
      <c r="H463" s="472"/>
      <c r="I463" s="472"/>
    </row>
    <row r="464" spans="5:9">
      <c r="E464" s="472"/>
      <c r="G464" s="472"/>
      <c r="H464" s="472"/>
      <c r="I464" s="472"/>
    </row>
    <row r="465" spans="5:9">
      <c r="E465" s="472"/>
      <c r="G465" s="472"/>
      <c r="H465" s="472"/>
      <c r="I465" s="472"/>
    </row>
    <row r="466" spans="5:9">
      <c r="E466" s="472"/>
      <c r="G466" s="472"/>
      <c r="H466" s="472"/>
      <c r="I466" s="472"/>
    </row>
    <row r="467" spans="5:9">
      <c r="E467" s="472"/>
      <c r="G467" s="472"/>
      <c r="H467" s="472"/>
      <c r="I467" s="472"/>
    </row>
    <row r="468" spans="5:9">
      <c r="E468" s="472"/>
      <c r="G468" s="472"/>
      <c r="H468" s="472"/>
      <c r="I468" s="472"/>
    </row>
    <row r="469" spans="5:9">
      <c r="E469" s="472"/>
      <c r="G469" s="472"/>
      <c r="H469" s="472"/>
      <c r="I469" s="472"/>
    </row>
    <row r="470" spans="5:9">
      <c r="E470" s="472"/>
      <c r="G470" s="472"/>
      <c r="H470" s="472"/>
      <c r="I470" s="472"/>
    </row>
    <row r="471" spans="5:9">
      <c r="E471" s="472"/>
      <c r="G471" s="472"/>
      <c r="H471" s="472"/>
      <c r="I471" s="472"/>
    </row>
    <row r="472" spans="5:9">
      <c r="E472" s="472"/>
      <c r="G472" s="472"/>
      <c r="H472" s="472"/>
      <c r="I472" s="472"/>
    </row>
    <row r="473" spans="5:9">
      <c r="E473" s="472"/>
      <c r="G473" s="472"/>
      <c r="H473" s="472"/>
      <c r="I473" s="472"/>
    </row>
    <row r="474" spans="5:9">
      <c r="E474" s="472"/>
      <c r="G474" s="472"/>
      <c r="H474" s="472"/>
      <c r="I474" s="472"/>
    </row>
    <row r="475" spans="5:9">
      <c r="E475" s="472"/>
      <c r="G475" s="472"/>
      <c r="H475" s="472"/>
      <c r="I475" s="472"/>
    </row>
    <row r="476" spans="5:9">
      <c r="E476" s="472"/>
      <c r="G476" s="472"/>
      <c r="H476" s="472"/>
      <c r="I476" s="472"/>
    </row>
    <row r="477" spans="5:9">
      <c r="E477" s="472"/>
      <c r="G477" s="472"/>
      <c r="H477" s="472"/>
      <c r="I477" s="472"/>
    </row>
    <row r="478" spans="5:9">
      <c r="E478" s="472"/>
      <c r="G478" s="472"/>
      <c r="H478" s="472"/>
      <c r="I478" s="472"/>
    </row>
    <row r="479" spans="5:9">
      <c r="E479" s="472"/>
      <c r="G479" s="472"/>
      <c r="H479" s="472"/>
      <c r="I479" s="472"/>
    </row>
    <row r="480" spans="5:9">
      <c r="E480" s="472"/>
      <c r="G480" s="472"/>
      <c r="H480" s="472"/>
      <c r="I480" s="472"/>
    </row>
    <row r="481" spans="5:9">
      <c r="E481" s="472"/>
      <c r="G481" s="472"/>
      <c r="H481" s="472"/>
      <c r="I481" s="472"/>
    </row>
    <row r="482" spans="5:9">
      <c r="E482" s="472"/>
      <c r="G482" s="472"/>
      <c r="H482" s="472"/>
      <c r="I482" s="472"/>
    </row>
    <row r="483" spans="5:9">
      <c r="E483" s="472"/>
      <c r="G483" s="472"/>
      <c r="H483" s="472"/>
      <c r="I483" s="472"/>
    </row>
    <row r="484" spans="5:9">
      <c r="E484" s="472"/>
      <c r="G484" s="472"/>
      <c r="H484" s="472"/>
      <c r="I484" s="472"/>
    </row>
    <row r="485" spans="5:9">
      <c r="E485" s="472"/>
      <c r="G485" s="472"/>
      <c r="H485" s="472"/>
      <c r="I485" s="472"/>
    </row>
    <row r="486" spans="5:9">
      <c r="E486" s="472"/>
      <c r="G486" s="472"/>
      <c r="H486" s="472"/>
      <c r="I486" s="472"/>
    </row>
    <row r="487" spans="5:9">
      <c r="E487" s="472"/>
      <c r="G487" s="472"/>
      <c r="H487" s="472"/>
      <c r="I487" s="472"/>
    </row>
    <row r="488" spans="5:9">
      <c r="E488" s="472"/>
      <c r="G488" s="472"/>
      <c r="H488" s="472"/>
      <c r="I488" s="472"/>
    </row>
    <row r="489" spans="5:9">
      <c r="E489" s="472"/>
      <c r="G489" s="472"/>
      <c r="H489" s="472"/>
      <c r="I489" s="472"/>
    </row>
    <row r="490" spans="5:9">
      <c r="E490" s="472"/>
      <c r="G490" s="472"/>
      <c r="H490" s="472"/>
      <c r="I490" s="472"/>
    </row>
    <row r="491" spans="5:9">
      <c r="E491" s="472"/>
      <c r="G491" s="472"/>
      <c r="H491" s="472"/>
      <c r="I491" s="472"/>
    </row>
    <row r="492" spans="5:9">
      <c r="E492" s="472"/>
      <c r="G492" s="472"/>
      <c r="H492" s="472"/>
      <c r="I492" s="472"/>
    </row>
    <row r="493" spans="5:9">
      <c r="E493" s="472"/>
      <c r="G493" s="472"/>
      <c r="H493" s="472"/>
      <c r="I493" s="472"/>
    </row>
    <row r="494" spans="5:9">
      <c r="E494" s="472"/>
      <c r="G494" s="472"/>
      <c r="H494" s="472"/>
      <c r="I494" s="472"/>
    </row>
    <row r="495" spans="5:9">
      <c r="E495" s="472"/>
      <c r="G495" s="472"/>
      <c r="H495" s="472"/>
      <c r="I495" s="472"/>
    </row>
    <row r="496" spans="5:9">
      <c r="E496" s="472"/>
      <c r="G496" s="472"/>
      <c r="H496" s="472"/>
      <c r="I496" s="472"/>
    </row>
    <row r="497" spans="5:9">
      <c r="E497" s="472"/>
      <c r="G497" s="472"/>
      <c r="H497" s="472"/>
      <c r="I497" s="472"/>
    </row>
    <row r="498" spans="5:9">
      <c r="E498" s="472"/>
      <c r="G498" s="472"/>
      <c r="H498" s="472"/>
      <c r="I498" s="472"/>
    </row>
    <row r="499" spans="5:9">
      <c r="E499" s="472"/>
      <c r="G499" s="472"/>
      <c r="H499" s="472"/>
      <c r="I499" s="472"/>
    </row>
    <row r="500" spans="5:9">
      <c r="E500" s="472"/>
      <c r="G500" s="472"/>
      <c r="H500" s="472"/>
      <c r="I500" s="472"/>
    </row>
    <row r="501" spans="5:9">
      <c r="E501" s="472"/>
      <c r="G501" s="472"/>
      <c r="H501" s="472"/>
      <c r="I501" s="472"/>
    </row>
    <row r="502" spans="5:9">
      <c r="E502" s="472"/>
      <c r="G502" s="472"/>
      <c r="H502" s="472"/>
      <c r="I502" s="472"/>
    </row>
    <row r="503" spans="5:9">
      <c r="E503" s="472"/>
      <c r="G503" s="472"/>
      <c r="H503" s="472"/>
      <c r="I503" s="472"/>
    </row>
    <row r="504" spans="5:9">
      <c r="E504" s="472"/>
      <c r="G504" s="472"/>
      <c r="H504" s="472"/>
      <c r="I504" s="472"/>
    </row>
    <row r="505" spans="5:9">
      <c r="E505" s="472"/>
      <c r="G505" s="472"/>
      <c r="H505" s="472"/>
      <c r="I505" s="472"/>
    </row>
    <row r="506" spans="5:9">
      <c r="E506" s="472"/>
      <c r="G506" s="472"/>
      <c r="H506" s="472"/>
      <c r="I506" s="472"/>
    </row>
    <row r="507" spans="5:9">
      <c r="E507" s="472"/>
      <c r="G507" s="472"/>
      <c r="H507" s="472"/>
      <c r="I507" s="472"/>
    </row>
    <row r="508" spans="5:9">
      <c r="E508" s="472"/>
      <c r="G508" s="472"/>
      <c r="H508" s="472"/>
      <c r="I508" s="472"/>
    </row>
    <row r="509" spans="5:9">
      <c r="E509" s="472"/>
      <c r="G509" s="472"/>
      <c r="H509" s="472"/>
      <c r="I509" s="472"/>
    </row>
    <row r="510" spans="5:9">
      <c r="E510" s="472"/>
      <c r="G510" s="472"/>
      <c r="H510" s="472"/>
      <c r="I510" s="472"/>
    </row>
    <row r="511" spans="5:9">
      <c r="E511" s="472"/>
      <c r="G511" s="472"/>
      <c r="H511" s="472"/>
      <c r="I511" s="472"/>
    </row>
    <row r="512" spans="5:9">
      <c r="E512" s="472"/>
      <c r="G512" s="472"/>
      <c r="H512" s="472"/>
      <c r="I512" s="472"/>
    </row>
    <row r="513" spans="5:9">
      <c r="E513" s="472"/>
      <c r="G513" s="472"/>
      <c r="H513" s="472"/>
      <c r="I513" s="472"/>
    </row>
    <row r="514" spans="5:9">
      <c r="E514" s="472"/>
      <c r="G514" s="472"/>
      <c r="H514" s="472"/>
      <c r="I514" s="472"/>
    </row>
    <row r="515" spans="5:9">
      <c r="E515" s="472"/>
      <c r="G515" s="472"/>
      <c r="H515" s="472"/>
      <c r="I515" s="472"/>
    </row>
    <row r="516" spans="5:9">
      <c r="E516" s="472"/>
      <c r="G516" s="472"/>
      <c r="H516" s="472"/>
      <c r="I516" s="472"/>
    </row>
    <row r="517" spans="5:9">
      <c r="E517" s="472"/>
      <c r="G517" s="472"/>
      <c r="H517" s="472"/>
      <c r="I517" s="472"/>
    </row>
    <row r="518" spans="5:9">
      <c r="E518" s="472"/>
      <c r="G518" s="472"/>
      <c r="H518" s="472"/>
      <c r="I518" s="472"/>
    </row>
    <row r="519" spans="5:9">
      <c r="E519" s="472"/>
      <c r="G519" s="472"/>
      <c r="H519" s="472"/>
      <c r="I519" s="472"/>
    </row>
    <row r="520" spans="5:9">
      <c r="E520" s="472"/>
      <c r="G520" s="472"/>
      <c r="H520" s="472"/>
      <c r="I520" s="472"/>
    </row>
    <row r="521" spans="5:9">
      <c r="E521" s="472"/>
      <c r="G521" s="472"/>
      <c r="H521" s="472"/>
      <c r="I521" s="472"/>
    </row>
    <row r="522" spans="5:9">
      <c r="E522" s="472"/>
      <c r="G522" s="472"/>
      <c r="H522" s="472"/>
      <c r="I522" s="472"/>
    </row>
    <row r="523" spans="5:9">
      <c r="E523" s="472"/>
      <c r="G523" s="472"/>
      <c r="H523" s="472"/>
      <c r="I523" s="472"/>
    </row>
    <row r="524" spans="5:9">
      <c r="E524" s="472"/>
      <c r="G524" s="472"/>
      <c r="H524" s="472"/>
      <c r="I524" s="472"/>
    </row>
    <row r="525" spans="5:9">
      <c r="E525" s="472"/>
      <c r="G525" s="472"/>
      <c r="H525" s="472"/>
      <c r="I525" s="472"/>
    </row>
    <row r="526" spans="5:9">
      <c r="E526" s="472"/>
      <c r="G526" s="472"/>
      <c r="H526" s="472"/>
      <c r="I526" s="472"/>
    </row>
    <row r="527" spans="5:9">
      <c r="E527" s="472"/>
      <c r="G527" s="472"/>
      <c r="H527" s="472"/>
      <c r="I527" s="472"/>
    </row>
    <row r="528" spans="5:9">
      <c r="E528" s="472"/>
      <c r="G528" s="472"/>
      <c r="H528" s="472"/>
      <c r="I528" s="472"/>
    </row>
    <row r="529" spans="5:9">
      <c r="E529" s="472"/>
      <c r="G529" s="472"/>
      <c r="H529" s="472"/>
      <c r="I529" s="472"/>
    </row>
    <row r="530" spans="5:9">
      <c r="E530" s="472"/>
      <c r="G530" s="472"/>
      <c r="H530" s="472"/>
      <c r="I530" s="472"/>
    </row>
    <row r="531" spans="5:9">
      <c r="E531" s="472"/>
      <c r="G531" s="472"/>
      <c r="H531" s="472"/>
      <c r="I531" s="472"/>
    </row>
    <row r="532" spans="5:9">
      <c r="E532" s="472"/>
      <c r="G532" s="472"/>
      <c r="H532" s="472"/>
      <c r="I532" s="472"/>
    </row>
    <row r="533" spans="5:9">
      <c r="E533" s="472"/>
      <c r="G533" s="472"/>
      <c r="H533" s="472"/>
      <c r="I533" s="472"/>
    </row>
    <row r="534" spans="5:9">
      <c r="E534" s="472"/>
      <c r="G534" s="472"/>
      <c r="H534" s="472"/>
      <c r="I534" s="472"/>
    </row>
    <row r="535" spans="5:9">
      <c r="E535" s="472"/>
      <c r="G535" s="472"/>
      <c r="H535" s="472"/>
      <c r="I535" s="472"/>
    </row>
    <row r="536" spans="5:9">
      <c r="E536" s="472"/>
      <c r="G536" s="472"/>
      <c r="H536" s="472"/>
      <c r="I536" s="472"/>
    </row>
    <row r="537" spans="5:9">
      <c r="E537" s="472"/>
      <c r="G537" s="472"/>
      <c r="H537" s="472"/>
      <c r="I537" s="472"/>
    </row>
    <row r="538" spans="5:9">
      <c r="E538" s="472"/>
      <c r="G538" s="472"/>
      <c r="H538" s="472"/>
      <c r="I538" s="472"/>
    </row>
    <row r="539" spans="5:9">
      <c r="E539" s="472"/>
      <c r="G539" s="472"/>
      <c r="H539" s="472"/>
      <c r="I539" s="472"/>
    </row>
    <row r="540" spans="5:9">
      <c r="E540" s="472"/>
      <c r="G540" s="472"/>
      <c r="H540" s="472"/>
      <c r="I540" s="472"/>
    </row>
    <row r="541" spans="5:9">
      <c r="E541" s="472"/>
      <c r="G541" s="472"/>
      <c r="H541" s="472"/>
      <c r="I541" s="472"/>
    </row>
    <row r="542" spans="5:9">
      <c r="E542" s="472"/>
      <c r="G542" s="472"/>
      <c r="H542" s="472"/>
      <c r="I542" s="472"/>
    </row>
    <row r="543" spans="5:9">
      <c r="E543" s="472"/>
      <c r="G543" s="472"/>
      <c r="H543" s="472"/>
      <c r="I543" s="472"/>
    </row>
    <row r="544" spans="5:9">
      <c r="E544" s="472"/>
      <c r="G544" s="472"/>
      <c r="H544" s="472"/>
      <c r="I544" s="472"/>
    </row>
    <row r="545" spans="5:9">
      <c r="E545" s="472"/>
      <c r="G545" s="472"/>
      <c r="H545" s="472"/>
      <c r="I545" s="472"/>
    </row>
    <row r="546" spans="5:9">
      <c r="E546" s="472"/>
      <c r="G546" s="472"/>
      <c r="H546" s="472"/>
      <c r="I546" s="472"/>
    </row>
    <row r="547" spans="5:9">
      <c r="E547" s="472"/>
      <c r="G547" s="472"/>
      <c r="H547" s="472"/>
      <c r="I547" s="472"/>
    </row>
    <row r="548" spans="5:9">
      <c r="E548" s="472"/>
      <c r="G548" s="472"/>
      <c r="H548" s="472"/>
      <c r="I548" s="472"/>
    </row>
    <row r="549" spans="5:9">
      <c r="E549" s="472"/>
      <c r="G549" s="472"/>
      <c r="H549" s="472"/>
      <c r="I549" s="472"/>
    </row>
    <row r="550" spans="5:9">
      <c r="E550" s="472"/>
      <c r="G550" s="472"/>
      <c r="H550" s="472"/>
      <c r="I550" s="472"/>
    </row>
    <row r="551" spans="5:9">
      <c r="E551" s="472"/>
      <c r="G551" s="472"/>
      <c r="H551" s="472"/>
      <c r="I551" s="472"/>
    </row>
    <row r="552" spans="5:9">
      <c r="E552" s="472"/>
      <c r="G552" s="472"/>
      <c r="H552" s="472"/>
      <c r="I552" s="472"/>
    </row>
    <row r="553" spans="5:9">
      <c r="E553" s="472"/>
      <c r="G553" s="472"/>
      <c r="H553" s="472"/>
      <c r="I553" s="472"/>
    </row>
    <row r="554" spans="5:9">
      <c r="E554" s="472"/>
      <c r="G554" s="472"/>
      <c r="H554" s="472"/>
      <c r="I554" s="472"/>
    </row>
    <row r="555" spans="5:9">
      <c r="E555" s="472"/>
      <c r="G555" s="472"/>
      <c r="H555" s="472"/>
      <c r="I555" s="472"/>
    </row>
    <row r="556" spans="5:9">
      <c r="E556" s="472"/>
      <c r="G556" s="472"/>
      <c r="H556" s="472"/>
      <c r="I556" s="472"/>
    </row>
    <row r="557" spans="5:9">
      <c r="E557" s="472"/>
      <c r="G557" s="472"/>
      <c r="H557" s="472"/>
      <c r="I557" s="472"/>
    </row>
    <row r="558" spans="5:9">
      <c r="E558" s="472"/>
      <c r="G558" s="472"/>
      <c r="H558" s="472"/>
      <c r="I558" s="472"/>
    </row>
    <row r="559" spans="5:9">
      <c r="E559" s="472"/>
      <c r="G559" s="472"/>
      <c r="H559" s="472"/>
      <c r="I559" s="472"/>
    </row>
    <row r="560" spans="5:9">
      <c r="E560" s="472"/>
      <c r="G560" s="472"/>
      <c r="H560" s="472"/>
      <c r="I560" s="472"/>
    </row>
    <row r="561" spans="5:9">
      <c r="E561" s="472"/>
      <c r="G561" s="472"/>
      <c r="H561" s="472"/>
      <c r="I561" s="472"/>
    </row>
    <row r="562" spans="5:9">
      <c r="E562" s="472"/>
      <c r="G562" s="472"/>
      <c r="H562" s="472"/>
      <c r="I562" s="472"/>
    </row>
    <row r="563" spans="5:9">
      <c r="E563" s="472"/>
      <c r="G563" s="472"/>
      <c r="H563" s="472"/>
      <c r="I563" s="472"/>
    </row>
    <row r="564" spans="5:9">
      <c r="E564" s="472"/>
      <c r="G564" s="472"/>
      <c r="H564" s="472"/>
      <c r="I564" s="472"/>
    </row>
    <row r="565" spans="5:9">
      <c r="E565" s="472"/>
      <c r="G565" s="472"/>
      <c r="H565" s="472"/>
      <c r="I565" s="472"/>
    </row>
    <row r="566" spans="5:9">
      <c r="E566" s="472"/>
      <c r="G566" s="472"/>
      <c r="H566" s="472"/>
      <c r="I566" s="472"/>
    </row>
    <row r="567" spans="5:9">
      <c r="E567" s="472"/>
      <c r="G567" s="472"/>
      <c r="H567" s="472"/>
      <c r="I567" s="472"/>
    </row>
    <row r="568" spans="5:9">
      <c r="E568" s="472"/>
      <c r="G568" s="472"/>
      <c r="H568" s="472"/>
      <c r="I568" s="472"/>
    </row>
    <row r="569" spans="5:9">
      <c r="E569" s="472"/>
      <c r="G569" s="472"/>
      <c r="H569" s="472"/>
      <c r="I569" s="472"/>
    </row>
    <row r="570" spans="5:9">
      <c r="E570" s="472"/>
      <c r="G570" s="472"/>
      <c r="H570" s="472"/>
      <c r="I570" s="472"/>
    </row>
    <row r="571" spans="5:9">
      <c r="E571" s="472"/>
      <c r="G571" s="472"/>
      <c r="H571" s="472"/>
      <c r="I571" s="472"/>
    </row>
    <row r="572" spans="5:9">
      <c r="E572" s="472"/>
      <c r="G572" s="472"/>
      <c r="H572" s="472"/>
      <c r="I572" s="472"/>
    </row>
    <row r="573" spans="5:9">
      <c r="E573" s="472"/>
      <c r="G573" s="472"/>
      <c r="H573" s="472"/>
      <c r="I573" s="472"/>
    </row>
    <row r="574" spans="5:9">
      <c r="E574" s="472"/>
      <c r="G574" s="472"/>
      <c r="H574" s="472"/>
      <c r="I574" s="472"/>
    </row>
    <row r="575" spans="5:9">
      <c r="E575" s="472"/>
      <c r="G575" s="472"/>
      <c r="H575" s="472"/>
      <c r="I575" s="472"/>
    </row>
    <row r="576" spans="5:9">
      <c r="E576" s="472"/>
      <c r="G576" s="472"/>
      <c r="H576" s="472"/>
      <c r="I576" s="472"/>
    </row>
    <row r="577" spans="5:9">
      <c r="E577" s="472"/>
      <c r="G577" s="472"/>
      <c r="H577" s="472"/>
      <c r="I577" s="472"/>
    </row>
    <row r="578" spans="5:9">
      <c r="E578" s="472"/>
      <c r="G578" s="472"/>
      <c r="H578" s="472"/>
      <c r="I578" s="472"/>
    </row>
    <row r="579" spans="5:9">
      <c r="E579" s="472"/>
      <c r="G579" s="472"/>
      <c r="H579" s="472"/>
      <c r="I579" s="472"/>
    </row>
    <row r="580" spans="5:9">
      <c r="E580" s="472"/>
      <c r="G580" s="472"/>
      <c r="H580" s="472"/>
      <c r="I580" s="472"/>
    </row>
    <row r="581" spans="5:9">
      <c r="E581" s="472"/>
      <c r="G581" s="472"/>
      <c r="H581" s="472"/>
      <c r="I581" s="472"/>
    </row>
    <row r="582" spans="5:9">
      <c r="E582" s="472"/>
      <c r="G582" s="472"/>
      <c r="H582" s="472"/>
      <c r="I582" s="472"/>
    </row>
    <row r="583" spans="5:9">
      <c r="E583" s="472"/>
      <c r="G583" s="472"/>
      <c r="H583" s="472"/>
      <c r="I583" s="472"/>
    </row>
    <row r="584" spans="5:9">
      <c r="E584" s="472"/>
      <c r="G584" s="472"/>
      <c r="H584" s="472"/>
      <c r="I584" s="472"/>
    </row>
    <row r="585" spans="5:9">
      <c r="E585" s="472"/>
      <c r="G585" s="472"/>
      <c r="H585" s="472"/>
      <c r="I585" s="472"/>
    </row>
    <row r="586" spans="5:9">
      <c r="E586" s="472"/>
      <c r="G586" s="472"/>
      <c r="H586" s="472"/>
      <c r="I586" s="472"/>
    </row>
    <row r="587" spans="5:9">
      <c r="E587" s="472"/>
      <c r="G587" s="472"/>
      <c r="H587" s="472"/>
      <c r="I587" s="472"/>
    </row>
    <row r="588" spans="5:9">
      <c r="E588" s="472"/>
      <c r="G588" s="472"/>
      <c r="H588" s="472"/>
      <c r="I588" s="472"/>
    </row>
    <row r="589" spans="5:9">
      <c r="E589" s="472"/>
      <c r="G589" s="472"/>
      <c r="H589" s="472"/>
      <c r="I589" s="472"/>
    </row>
    <row r="590" spans="5:9">
      <c r="E590" s="472"/>
      <c r="G590" s="472"/>
      <c r="H590" s="472"/>
      <c r="I590" s="472"/>
    </row>
    <row r="591" spans="5:9">
      <c r="E591" s="472"/>
      <c r="G591" s="472"/>
      <c r="H591" s="472"/>
      <c r="I591" s="472"/>
    </row>
    <row r="592" spans="5:9">
      <c r="E592" s="472"/>
      <c r="G592" s="472"/>
      <c r="H592" s="472"/>
      <c r="I592" s="472"/>
    </row>
    <row r="593" spans="5:9">
      <c r="E593" s="472"/>
      <c r="G593" s="472"/>
      <c r="H593" s="472"/>
      <c r="I593" s="472"/>
    </row>
    <row r="594" spans="5:9">
      <c r="E594" s="472"/>
      <c r="G594" s="472"/>
      <c r="H594" s="472"/>
      <c r="I594" s="472"/>
    </row>
    <row r="595" spans="5:9">
      <c r="E595" s="472"/>
      <c r="G595" s="472"/>
      <c r="H595" s="472"/>
      <c r="I595" s="472"/>
    </row>
    <row r="596" spans="5:9">
      <c r="E596" s="472"/>
      <c r="G596" s="472"/>
      <c r="H596" s="472"/>
      <c r="I596" s="472"/>
    </row>
    <row r="597" spans="5:9">
      <c r="E597" s="472"/>
      <c r="G597" s="472"/>
      <c r="H597" s="472"/>
      <c r="I597" s="472"/>
    </row>
    <row r="598" spans="5:9">
      <c r="E598" s="472"/>
      <c r="G598" s="472"/>
      <c r="H598" s="472"/>
      <c r="I598" s="472"/>
    </row>
    <row r="599" spans="5:9">
      <c r="E599" s="472"/>
      <c r="G599" s="472"/>
      <c r="H599" s="472"/>
      <c r="I599" s="472"/>
    </row>
    <row r="600" spans="5:9">
      <c r="E600" s="472"/>
      <c r="G600" s="472"/>
      <c r="H600" s="472"/>
      <c r="I600" s="472"/>
    </row>
    <row r="601" spans="5:9">
      <c r="E601" s="472"/>
      <c r="G601" s="472"/>
      <c r="H601" s="472"/>
      <c r="I601" s="472"/>
    </row>
    <row r="602" spans="5:9">
      <c r="E602" s="472"/>
      <c r="G602" s="472"/>
      <c r="H602" s="472"/>
      <c r="I602" s="472"/>
    </row>
    <row r="603" spans="5:9">
      <c r="E603" s="472"/>
      <c r="G603" s="472"/>
      <c r="H603" s="472"/>
      <c r="I603" s="472"/>
    </row>
    <row r="604" spans="5:9">
      <c r="E604" s="472"/>
      <c r="G604" s="472"/>
      <c r="H604" s="472"/>
      <c r="I604" s="472"/>
    </row>
    <row r="605" spans="5:9">
      <c r="E605" s="472"/>
      <c r="G605" s="472"/>
      <c r="H605" s="472"/>
      <c r="I605" s="472"/>
    </row>
    <row r="606" spans="5:9">
      <c r="E606" s="472"/>
      <c r="G606" s="472"/>
      <c r="H606" s="472"/>
      <c r="I606" s="472"/>
    </row>
    <row r="607" spans="5:9">
      <c r="E607" s="472"/>
      <c r="G607" s="472"/>
      <c r="H607" s="472"/>
      <c r="I607" s="472"/>
    </row>
    <row r="608" spans="5:9">
      <c r="E608" s="472"/>
      <c r="G608" s="472"/>
      <c r="H608" s="472"/>
      <c r="I608" s="472"/>
    </row>
    <row r="609" spans="5:9">
      <c r="E609" s="472"/>
      <c r="G609" s="472"/>
      <c r="H609" s="472"/>
      <c r="I609" s="472"/>
    </row>
    <row r="610" spans="5:9">
      <c r="E610" s="472"/>
      <c r="G610" s="472"/>
      <c r="H610" s="472"/>
      <c r="I610" s="472"/>
    </row>
    <row r="611" spans="5:9">
      <c r="E611" s="472"/>
      <c r="G611" s="472"/>
      <c r="H611" s="472"/>
      <c r="I611" s="472"/>
    </row>
    <row r="612" spans="5:9">
      <c r="E612" s="472"/>
      <c r="G612" s="472"/>
      <c r="H612" s="472"/>
      <c r="I612" s="472"/>
    </row>
    <row r="613" spans="5:9">
      <c r="E613" s="472"/>
      <c r="G613" s="472"/>
      <c r="H613" s="472"/>
      <c r="I613" s="472"/>
    </row>
    <row r="614" spans="5:9">
      <c r="E614" s="472"/>
      <c r="G614" s="472"/>
      <c r="H614" s="472"/>
      <c r="I614" s="472"/>
    </row>
    <row r="615" spans="5:9">
      <c r="E615" s="472"/>
      <c r="G615" s="472"/>
      <c r="H615" s="472"/>
      <c r="I615" s="472"/>
    </row>
    <row r="616" spans="5:9">
      <c r="E616" s="472"/>
      <c r="G616" s="472"/>
      <c r="H616" s="472"/>
      <c r="I616" s="472"/>
    </row>
    <row r="617" spans="5:9">
      <c r="E617" s="472"/>
      <c r="G617" s="472"/>
      <c r="H617" s="472"/>
      <c r="I617" s="472"/>
    </row>
    <row r="618" spans="5:9">
      <c r="E618" s="472"/>
      <c r="G618" s="472"/>
      <c r="H618" s="472"/>
      <c r="I618" s="472"/>
    </row>
    <row r="619" spans="5:9">
      <c r="E619" s="472"/>
      <c r="G619" s="472"/>
      <c r="H619" s="472"/>
      <c r="I619" s="472"/>
    </row>
    <row r="620" spans="5:9">
      <c r="E620" s="472"/>
      <c r="G620" s="472"/>
      <c r="H620" s="472"/>
      <c r="I620" s="472"/>
    </row>
    <row r="621" spans="5:9">
      <c r="E621" s="472"/>
      <c r="G621" s="472"/>
      <c r="H621" s="472"/>
      <c r="I621" s="472"/>
    </row>
    <row r="622" spans="5:9">
      <c r="E622" s="472"/>
      <c r="G622" s="472"/>
      <c r="H622" s="472"/>
      <c r="I622" s="472"/>
    </row>
    <row r="623" spans="5:9">
      <c r="E623" s="472"/>
      <c r="G623" s="472"/>
      <c r="H623" s="472"/>
      <c r="I623" s="472"/>
    </row>
    <row r="624" spans="5:9">
      <c r="E624" s="472"/>
      <c r="G624" s="472"/>
      <c r="H624" s="472"/>
      <c r="I624" s="472"/>
    </row>
    <row r="625" spans="5:9">
      <c r="E625" s="472"/>
      <c r="G625" s="472"/>
      <c r="H625" s="472"/>
      <c r="I625" s="472"/>
    </row>
    <row r="626" spans="5:9">
      <c r="E626" s="472"/>
      <c r="G626" s="472"/>
      <c r="H626" s="472"/>
      <c r="I626" s="472"/>
    </row>
    <row r="627" spans="5:9">
      <c r="E627" s="472"/>
      <c r="G627" s="472"/>
      <c r="H627" s="472"/>
      <c r="I627" s="472"/>
    </row>
    <row r="628" spans="5:9">
      <c r="E628" s="472"/>
      <c r="G628" s="472"/>
      <c r="H628" s="472"/>
      <c r="I628" s="472"/>
    </row>
    <row r="629" spans="5:9">
      <c r="E629" s="472"/>
      <c r="G629" s="472"/>
      <c r="H629" s="472"/>
      <c r="I629" s="472"/>
    </row>
    <row r="630" spans="5:9">
      <c r="E630" s="472"/>
      <c r="G630" s="472"/>
      <c r="H630" s="472"/>
      <c r="I630" s="472"/>
    </row>
    <row r="631" spans="5:9">
      <c r="E631" s="472"/>
      <c r="G631" s="472"/>
      <c r="H631" s="472"/>
      <c r="I631" s="472"/>
    </row>
    <row r="632" spans="5:9">
      <c r="E632" s="472"/>
      <c r="G632" s="472"/>
      <c r="H632" s="472"/>
      <c r="I632" s="472"/>
    </row>
    <row r="633" spans="5:9">
      <c r="E633" s="472"/>
      <c r="G633" s="472"/>
      <c r="H633" s="472"/>
      <c r="I633" s="472"/>
    </row>
    <row r="634" spans="5:9">
      <c r="E634" s="472"/>
      <c r="G634" s="472"/>
      <c r="H634" s="472"/>
      <c r="I634" s="472"/>
    </row>
    <row r="635" spans="5:9">
      <c r="E635" s="472"/>
      <c r="G635" s="472"/>
      <c r="H635" s="472"/>
      <c r="I635" s="472"/>
    </row>
    <row r="636" spans="5:9">
      <c r="E636" s="472"/>
      <c r="G636" s="472"/>
      <c r="H636" s="472"/>
      <c r="I636" s="472"/>
    </row>
    <row r="637" spans="5:9">
      <c r="E637" s="472"/>
      <c r="G637" s="472"/>
      <c r="H637" s="472"/>
      <c r="I637" s="472"/>
    </row>
    <row r="638" spans="5:9">
      <c r="E638" s="472"/>
      <c r="G638" s="472"/>
      <c r="H638" s="472"/>
      <c r="I638" s="472"/>
    </row>
    <row r="639" spans="5:9">
      <c r="E639" s="472"/>
      <c r="G639" s="472"/>
      <c r="H639" s="472"/>
      <c r="I639" s="472"/>
    </row>
    <row r="640" spans="5:9">
      <c r="E640" s="472"/>
      <c r="G640" s="472"/>
      <c r="H640" s="472"/>
      <c r="I640" s="472"/>
    </row>
    <row r="641" spans="5:9">
      <c r="E641" s="472"/>
      <c r="G641" s="472"/>
      <c r="H641" s="472"/>
      <c r="I641" s="472"/>
    </row>
    <row r="642" spans="5:9">
      <c r="E642" s="472"/>
      <c r="G642" s="472"/>
      <c r="H642" s="472"/>
      <c r="I642" s="472"/>
    </row>
    <row r="643" spans="5:9">
      <c r="E643" s="472"/>
      <c r="G643" s="472"/>
      <c r="H643" s="472"/>
      <c r="I643" s="472"/>
    </row>
    <row r="644" spans="5:9">
      <c r="E644" s="472"/>
      <c r="G644" s="472"/>
      <c r="H644" s="472"/>
      <c r="I644" s="472"/>
    </row>
    <row r="645" spans="5:9">
      <c r="E645" s="472"/>
      <c r="G645" s="472"/>
      <c r="H645" s="472"/>
      <c r="I645" s="472"/>
    </row>
    <row r="646" spans="5:9">
      <c r="E646" s="472"/>
      <c r="G646" s="472"/>
      <c r="H646" s="472"/>
      <c r="I646" s="472"/>
    </row>
    <row r="647" spans="5:9">
      <c r="E647" s="472"/>
      <c r="G647" s="472"/>
      <c r="H647" s="472"/>
      <c r="I647" s="472"/>
    </row>
    <row r="648" spans="5:9">
      <c r="E648" s="472"/>
      <c r="G648" s="472"/>
      <c r="H648" s="472"/>
      <c r="I648" s="472"/>
    </row>
    <row r="649" spans="5:9">
      <c r="E649" s="472"/>
      <c r="G649" s="472"/>
      <c r="H649" s="472"/>
      <c r="I649" s="472"/>
    </row>
    <row r="650" spans="5:9">
      <c r="E650" s="472"/>
      <c r="G650" s="472"/>
      <c r="H650" s="472"/>
      <c r="I650" s="472"/>
    </row>
    <row r="651" spans="5:9">
      <c r="E651" s="472"/>
      <c r="G651" s="472"/>
      <c r="H651" s="472"/>
      <c r="I651" s="472"/>
    </row>
    <row r="652" spans="5:9">
      <c r="E652" s="472"/>
      <c r="G652" s="472"/>
      <c r="H652" s="472"/>
      <c r="I652" s="472"/>
    </row>
    <row r="653" spans="5:9">
      <c r="E653" s="472"/>
      <c r="G653" s="472"/>
      <c r="H653" s="472"/>
      <c r="I653" s="472"/>
    </row>
    <row r="654" spans="5:9">
      <c r="E654" s="472"/>
      <c r="G654" s="472"/>
      <c r="H654" s="472"/>
      <c r="I654" s="472"/>
    </row>
    <row r="655" spans="5:9">
      <c r="E655" s="472"/>
      <c r="G655" s="472"/>
      <c r="H655" s="472"/>
      <c r="I655" s="472"/>
    </row>
    <row r="656" spans="5:9">
      <c r="E656" s="472"/>
      <c r="G656" s="472"/>
      <c r="H656" s="472"/>
      <c r="I656" s="472"/>
    </row>
    <row r="657" spans="5:9">
      <c r="E657" s="472"/>
      <c r="G657" s="472"/>
      <c r="H657" s="472"/>
      <c r="I657" s="472"/>
    </row>
    <row r="658" spans="5:9">
      <c r="E658" s="472"/>
      <c r="G658" s="472"/>
      <c r="H658" s="472"/>
      <c r="I658" s="472"/>
    </row>
    <row r="659" spans="5:9">
      <c r="E659" s="472"/>
      <c r="G659" s="472"/>
      <c r="H659" s="472"/>
      <c r="I659" s="472"/>
    </row>
    <row r="660" spans="5:9">
      <c r="E660" s="472"/>
      <c r="G660" s="472"/>
      <c r="H660" s="472"/>
      <c r="I660" s="472"/>
    </row>
    <row r="661" spans="5:9">
      <c r="E661" s="472"/>
      <c r="G661" s="472"/>
      <c r="H661" s="472"/>
      <c r="I661" s="472"/>
    </row>
    <row r="662" spans="5:9">
      <c r="E662" s="472"/>
      <c r="G662" s="472"/>
      <c r="H662" s="472"/>
      <c r="I662" s="472"/>
    </row>
    <row r="663" spans="5:9">
      <c r="E663" s="472"/>
      <c r="G663" s="472"/>
      <c r="H663" s="472"/>
      <c r="I663" s="472"/>
    </row>
    <row r="664" spans="5:9">
      <c r="E664" s="472"/>
      <c r="G664" s="472"/>
      <c r="H664" s="472"/>
      <c r="I664" s="472"/>
    </row>
    <row r="665" spans="5:9">
      <c r="E665" s="472"/>
      <c r="G665" s="472"/>
      <c r="H665" s="472"/>
      <c r="I665" s="472"/>
    </row>
    <row r="666" spans="5:9">
      <c r="E666" s="472"/>
      <c r="G666" s="472"/>
      <c r="H666" s="472"/>
      <c r="I666" s="472"/>
    </row>
    <row r="667" spans="5:9">
      <c r="E667" s="472"/>
      <c r="G667" s="472"/>
      <c r="H667" s="472"/>
      <c r="I667" s="472"/>
    </row>
    <row r="668" spans="5:9">
      <c r="E668" s="472"/>
      <c r="G668" s="472"/>
      <c r="H668" s="472"/>
      <c r="I668" s="472"/>
    </row>
    <row r="669" spans="5:9">
      <c r="E669" s="472"/>
      <c r="G669" s="472"/>
      <c r="H669" s="472"/>
      <c r="I669" s="472"/>
    </row>
    <row r="670" spans="5:9">
      <c r="E670" s="472"/>
      <c r="G670" s="472"/>
      <c r="H670" s="472"/>
      <c r="I670" s="472"/>
    </row>
    <row r="671" spans="5:9">
      <c r="E671" s="472"/>
      <c r="G671" s="472"/>
      <c r="H671" s="472"/>
      <c r="I671" s="472"/>
    </row>
    <row r="672" spans="5:9">
      <c r="E672" s="472"/>
      <c r="G672" s="472"/>
      <c r="H672" s="472"/>
      <c r="I672" s="472"/>
    </row>
    <row r="673" spans="5:9">
      <c r="E673" s="472"/>
      <c r="G673" s="472"/>
      <c r="H673" s="472"/>
      <c r="I673" s="472"/>
    </row>
    <row r="674" spans="5:9">
      <c r="E674" s="472"/>
      <c r="G674" s="472"/>
      <c r="H674" s="472"/>
      <c r="I674" s="472"/>
    </row>
    <row r="675" spans="5:9">
      <c r="E675" s="472"/>
      <c r="G675" s="472"/>
      <c r="H675" s="472"/>
      <c r="I675" s="472"/>
    </row>
    <row r="676" spans="5:9">
      <c r="E676" s="472"/>
      <c r="G676" s="472"/>
      <c r="H676" s="472"/>
      <c r="I676" s="472"/>
    </row>
    <row r="677" spans="5:9">
      <c r="E677" s="472"/>
      <c r="G677" s="472"/>
      <c r="H677" s="472"/>
      <c r="I677" s="472"/>
    </row>
    <row r="678" spans="5:9">
      <c r="E678" s="472"/>
      <c r="G678" s="472"/>
      <c r="H678" s="472"/>
      <c r="I678" s="472"/>
    </row>
    <row r="679" spans="5:9">
      <c r="E679" s="472"/>
      <c r="G679" s="472"/>
      <c r="H679" s="472"/>
      <c r="I679" s="472"/>
    </row>
    <row r="680" spans="5:9">
      <c r="E680" s="472"/>
      <c r="G680" s="472"/>
      <c r="H680" s="472"/>
      <c r="I680" s="472"/>
    </row>
    <row r="681" spans="5:9">
      <c r="E681" s="472"/>
      <c r="G681" s="472"/>
      <c r="H681" s="472"/>
      <c r="I681" s="472"/>
    </row>
    <row r="682" spans="5:9">
      <c r="E682" s="472"/>
      <c r="G682" s="472"/>
      <c r="H682" s="472"/>
      <c r="I682" s="472"/>
    </row>
    <row r="683" spans="5:9">
      <c r="E683" s="472"/>
      <c r="G683" s="472"/>
      <c r="H683" s="472"/>
      <c r="I683" s="472"/>
    </row>
    <row r="684" spans="5:9">
      <c r="E684" s="472"/>
      <c r="G684" s="472"/>
      <c r="H684" s="472"/>
      <c r="I684" s="472"/>
    </row>
    <row r="685" spans="5:9">
      <c r="E685" s="472"/>
      <c r="G685" s="472"/>
      <c r="H685" s="472"/>
      <c r="I685" s="472"/>
    </row>
    <row r="686" spans="5:9">
      <c r="E686" s="472"/>
      <c r="G686" s="472"/>
      <c r="H686" s="472"/>
      <c r="I686" s="472"/>
    </row>
    <row r="687" spans="5:9">
      <c r="E687" s="472"/>
      <c r="G687" s="472"/>
      <c r="H687" s="472"/>
      <c r="I687" s="472"/>
    </row>
    <row r="688" spans="5:9">
      <c r="E688" s="472"/>
      <c r="G688" s="472"/>
      <c r="H688" s="472"/>
      <c r="I688" s="472"/>
    </row>
    <row r="689" spans="5:9">
      <c r="E689" s="472"/>
      <c r="G689" s="472"/>
      <c r="H689" s="472"/>
      <c r="I689" s="472"/>
    </row>
    <row r="690" spans="5:9">
      <c r="E690" s="472"/>
      <c r="G690" s="472"/>
      <c r="H690" s="472"/>
      <c r="I690" s="472"/>
    </row>
    <row r="691" spans="5:9">
      <c r="E691" s="472"/>
      <c r="G691" s="472"/>
      <c r="H691" s="472"/>
      <c r="I691" s="472"/>
    </row>
    <row r="692" spans="5:9">
      <c r="E692" s="472"/>
      <c r="G692" s="472"/>
      <c r="H692" s="472"/>
      <c r="I692" s="472"/>
    </row>
    <row r="693" spans="5:9">
      <c r="E693" s="472"/>
      <c r="G693" s="472"/>
      <c r="H693" s="472"/>
      <c r="I693" s="472"/>
    </row>
    <row r="694" spans="5:9">
      <c r="E694" s="472"/>
      <c r="G694" s="472"/>
      <c r="H694" s="472"/>
      <c r="I694" s="472"/>
    </row>
    <row r="695" spans="5:9">
      <c r="E695" s="472"/>
      <c r="G695" s="472"/>
      <c r="H695" s="472"/>
      <c r="I695" s="472"/>
    </row>
    <row r="696" spans="5:9">
      <c r="E696" s="472"/>
      <c r="G696" s="472"/>
      <c r="H696" s="472"/>
      <c r="I696" s="472"/>
    </row>
    <row r="697" spans="5:9">
      <c r="E697" s="472"/>
      <c r="G697" s="472"/>
      <c r="H697" s="472"/>
      <c r="I697" s="472"/>
    </row>
    <row r="698" spans="5:9">
      <c r="E698" s="472"/>
      <c r="G698" s="472"/>
      <c r="H698" s="472"/>
      <c r="I698" s="472"/>
    </row>
    <row r="699" spans="5:9">
      <c r="E699" s="472"/>
      <c r="G699" s="472"/>
      <c r="H699" s="472"/>
      <c r="I699" s="472"/>
    </row>
    <row r="700" spans="5:9">
      <c r="E700" s="472"/>
      <c r="G700" s="472"/>
      <c r="H700" s="472"/>
      <c r="I700" s="472"/>
    </row>
    <row r="701" spans="5:9">
      <c r="E701" s="472"/>
      <c r="G701" s="472"/>
      <c r="H701" s="472"/>
      <c r="I701" s="472"/>
    </row>
    <row r="702" spans="5:9">
      <c r="E702" s="472"/>
      <c r="G702" s="472"/>
      <c r="H702" s="472"/>
      <c r="I702" s="472"/>
    </row>
    <row r="703" spans="5:9">
      <c r="E703" s="472"/>
      <c r="G703" s="472"/>
      <c r="H703" s="472"/>
      <c r="I703" s="472"/>
    </row>
    <row r="704" spans="5:9">
      <c r="E704" s="472"/>
      <c r="G704" s="472"/>
      <c r="H704" s="472"/>
      <c r="I704" s="472"/>
    </row>
    <row r="705" spans="5:9">
      <c r="E705" s="472"/>
      <c r="G705" s="472"/>
      <c r="H705" s="472"/>
      <c r="I705" s="472"/>
    </row>
    <row r="706" spans="5:9">
      <c r="E706" s="472"/>
      <c r="G706" s="472"/>
      <c r="H706" s="472"/>
      <c r="I706" s="472"/>
    </row>
    <row r="707" spans="5:9">
      <c r="E707" s="472"/>
      <c r="G707" s="472"/>
      <c r="H707" s="472"/>
      <c r="I707" s="472"/>
    </row>
    <row r="708" spans="5:9">
      <c r="E708" s="472"/>
      <c r="G708" s="472"/>
      <c r="H708" s="472"/>
      <c r="I708" s="472"/>
    </row>
    <row r="709" spans="5:9">
      <c r="E709" s="472"/>
      <c r="G709" s="472"/>
      <c r="H709" s="472"/>
      <c r="I709" s="472"/>
    </row>
    <row r="710" spans="5:9">
      <c r="E710" s="472"/>
      <c r="G710" s="472"/>
      <c r="H710" s="472"/>
      <c r="I710" s="472"/>
    </row>
    <row r="711" spans="5:9">
      <c r="E711" s="472"/>
      <c r="G711" s="472"/>
      <c r="H711" s="472"/>
      <c r="I711" s="472"/>
    </row>
    <row r="712" spans="5:9">
      <c r="E712" s="472"/>
      <c r="G712" s="472"/>
      <c r="H712" s="472"/>
      <c r="I712" s="472"/>
    </row>
    <row r="713" spans="5:9">
      <c r="E713" s="472"/>
      <c r="G713" s="472"/>
      <c r="H713" s="472"/>
      <c r="I713" s="472"/>
    </row>
    <row r="714" spans="5:9">
      <c r="E714" s="472"/>
      <c r="G714" s="472"/>
      <c r="H714" s="472"/>
      <c r="I714" s="472"/>
    </row>
    <row r="715" spans="5:9">
      <c r="E715" s="472"/>
      <c r="G715" s="472"/>
      <c r="H715" s="472"/>
      <c r="I715" s="472"/>
    </row>
    <row r="716" spans="5:9">
      <c r="E716" s="472"/>
      <c r="G716" s="472"/>
      <c r="H716" s="472"/>
      <c r="I716" s="472"/>
    </row>
    <row r="717" spans="5:9">
      <c r="E717" s="472"/>
      <c r="G717" s="472"/>
      <c r="H717" s="472"/>
      <c r="I717" s="472"/>
    </row>
    <row r="718" spans="5:9">
      <c r="E718" s="472"/>
      <c r="G718" s="472"/>
      <c r="H718" s="472"/>
      <c r="I718" s="472"/>
    </row>
    <row r="719" spans="5:9">
      <c r="E719" s="472"/>
      <c r="G719" s="472"/>
      <c r="H719" s="472"/>
      <c r="I719" s="472"/>
    </row>
    <row r="720" spans="5:9">
      <c r="E720" s="472"/>
      <c r="G720" s="472"/>
      <c r="H720" s="472"/>
      <c r="I720" s="472"/>
    </row>
    <row r="721" spans="5:9">
      <c r="E721" s="472"/>
      <c r="G721" s="472"/>
      <c r="H721" s="472"/>
      <c r="I721" s="472"/>
    </row>
    <row r="722" spans="5:9">
      <c r="E722" s="472"/>
      <c r="G722" s="472"/>
      <c r="H722" s="472"/>
      <c r="I722" s="472"/>
    </row>
    <row r="723" spans="5:9">
      <c r="E723" s="472"/>
      <c r="G723" s="472"/>
      <c r="H723" s="472"/>
      <c r="I723" s="472"/>
    </row>
    <row r="724" spans="5:9">
      <c r="E724" s="472"/>
      <c r="G724" s="472"/>
      <c r="H724" s="472"/>
      <c r="I724" s="472"/>
    </row>
    <row r="725" spans="5:9">
      <c r="E725" s="472"/>
      <c r="G725" s="472"/>
      <c r="H725" s="472"/>
      <c r="I725" s="472"/>
    </row>
    <row r="726" spans="5:9">
      <c r="E726" s="472"/>
      <c r="G726" s="472"/>
      <c r="H726" s="472"/>
      <c r="I726" s="472"/>
    </row>
    <row r="727" spans="5:9">
      <c r="E727" s="472"/>
      <c r="G727" s="472"/>
      <c r="H727" s="472"/>
      <c r="I727" s="472"/>
    </row>
    <row r="728" spans="5:9">
      <c r="E728" s="472"/>
      <c r="G728" s="472"/>
      <c r="H728" s="472"/>
      <c r="I728" s="472"/>
    </row>
    <row r="729" spans="5:9">
      <c r="E729" s="472"/>
      <c r="G729" s="472"/>
      <c r="H729" s="472"/>
      <c r="I729" s="472"/>
    </row>
    <row r="730" spans="5:9">
      <c r="E730" s="472"/>
      <c r="G730" s="472"/>
      <c r="H730" s="472"/>
      <c r="I730" s="472"/>
    </row>
    <row r="731" spans="5:9">
      <c r="E731" s="472"/>
      <c r="G731" s="472"/>
      <c r="H731" s="472"/>
      <c r="I731" s="472"/>
    </row>
    <row r="732" spans="5:9">
      <c r="E732" s="472"/>
      <c r="G732" s="472"/>
      <c r="H732" s="472"/>
      <c r="I732" s="472"/>
    </row>
    <row r="733" spans="5:9">
      <c r="E733" s="472"/>
      <c r="G733" s="472"/>
      <c r="H733" s="472"/>
      <c r="I733" s="472"/>
    </row>
    <row r="734" spans="5:9">
      <c r="E734" s="472"/>
      <c r="G734" s="472"/>
      <c r="H734" s="472"/>
      <c r="I734" s="472"/>
    </row>
    <row r="735" spans="5:9">
      <c r="E735" s="472"/>
      <c r="G735" s="472"/>
      <c r="H735" s="472"/>
      <c r="I735" s="472"/>
    </row>
    <row r="736" spans="5:9">
      <c r="E736" s="472"/>
      <c r="G736" s="472"/>
      <c r="H736" s="472"/>
      <c r="I736" s="472"/>
    </row>
    <row r="737" spans="5:9">
      <c r="E737" s="472"/>
      <c r="G737" s="472"/>
      <c r="H737" s="472"/>
      <c r="I737" s="472"/>
    </row>
    <row r="738" spans="5:9">
      <c r="E738" s="472"/>
      <c r="G738" s="472"/>
      <c r="H738" s="472"/>
      <c r="I738" s="472"/>
    </row>
    <row r="739" spans="5:9">
      <c r="E739" s="472"/>
      <c r="G739" s="472"/>
      <c r="H739" s="472"/>
      <c r="I739" s="472"/>
    </row>
    <row r="740" spans="5:9">
      <c r="E740" s="472"/>
      <c r="G740" s="472"/>
      <c r="H740" s="472"/>
      <c r="I740" s="472"/>
    </row>
    <row r="741" spans="5:9">
      <c r="E741" s="472"/>
      <c r="G741" s="472"/>
      <c r="H741" s="472"/>
      <c r="I741" s="472"/>
    </row>
    <row r="742" spans="5:9">
      <c r="E742" s="472"/>
      <c r="G742" s="472"/>
      <c r="H742" s="472"/>
      <c r="I742" s="472"/>
    </row>
    <row r="743" spans="5:9">
      <c r="E743" s="472"/>
      <c r="G743" s="472"/>
      <c r="H743" s="472"/>
      <c r="I743" s="472"/>
    </row>
    <row r="744" spans="5:9">
      <c r="E744" s="472"/>
      <c r="G744" s="472"/>
      <c r="H744" s="472"/>
      <c r="I744" s="472"/>
    </row>
    <row r="745" spans="5:9">
      <c r="E745" s="472"/>
      <c r="G745" s="472"/>
      <c r="H745" s="472"/>
      <c r="I745" s="472"/>
    </row>
    <row r="746" spans="5:9">
      <c r="E746" s="472"/>
      <c r="G746" s="472"/>
      <c r="H746" s="472"/>
      <c r="I746" s="472"/>
    </row>
    <row r="747" spans="5:9">
      <c r="E747" s="472"/>
      <c r="G747" s="472"/>
      <c r="H747" s="472"/>
      <c r="I747" s="472"/>
    </row>
    <row r="748" spans="5:9">
      <c r="E748" s="472"/>
      <c r="G748" s="472"/>
      <c r="H748" s="472"/>
      <c r="I748" s="472"/>
    </row>
    <row r="749" spans="5:9">
      <c r="E749" s="472"/>
      <c r="G749" s="472"/>
      <c r="H749" s="472"/>
      <c r="I749" s="472"/>
    </row>
    <row r="750" spans="5:9">
      <c r="E750" s="472"/>
      <c r="G750" s="472"/>
      <c r="H750" s="472"/>
      <c r="I750" s="472"/>
    </row>
    <row r="751" spans="5:9">
      <c r="E751" s="472"/>
      <c r="G751" s="472"/>
      <c r="H751" s="472"/>
      <c r="I751" s="472"/>
    </row>
    <row r="752" spans="5:9">
      <c r="E752" s="472"/>
      <c r="G752" s="472"/>
      <c r="H752" s="472"/>
      <c r="I752" s="472"/>
    </row>
    <row r="753" spans="5:9">
      <c r="E753" s="472"/>
      <c r="G753" s="472"/>
      <c r="H753" s="472"/>
      <c r="I753" s="472"/>
    </row>
    <row r="754" spans="5:9">
      <c r="E754" s="472"/>
      <c r="G754" s="472"/>
      <c r="H754" s="472"/>
      <c r="I754" s="472"/>
    </row>
    <row r="755" spans="5:9">
      <c r="E755" s="472"/>
      <c r="G755" s="472"/>
      <c r="H755" s="472"/>
      <c r="I755" s="472"/>
    </row>
    <row r="756" spans="5:9">
      <c r="E756" s="472"/>
      <c r="G756" s="472"/>
      <c r="H756" s="472"/>
      <c r="I756" s="472"/>
    </row>
    <row r="757" spans="5:9">
      <c r="E757" s="472"/>
      <c r="G757" s="472"/>
      <c r="H757" s="472"/>
      <c r="I757" s="472"/>
    </row>
    <row r="758" spans="5:9">
      <c r="E758" s="472"/>
      <c r="G758" s="472"/>
      <c r="H758" s="472"/>
      <c r="I758" s="472"/>
    </row>
    <row r="759" spans="5:9">
      <c r="E759" s="472"/>
      <c r="G759" s="472"/>
      <c r="H759" s="472"/>
      <c r="I759" s="472"/>
    </row>
    <row r="760" spans="5:9">
      <c r="E760" s="472"/>
      <c r="G760" s="472"/>
      <c r="H760" s="472"/>
      <c r="I760" s="472"/>
    </row>
    <row r="761" spans="5:9">
      <c r="E761" s="472"/>
      <c r="G761" s="472"/>
      <c r="H761" s="472"/>
      <c r="I761" s="472"/>
    </row>
    <row r="762" spans="5:9">
      <c r="E762" s="472"/>
      <c r="G762" s="472"/>
      <c r="H762" s="472"/>
      <c r="I762" s="472"/>
    </row>
    <row r="763" spans="5:9">
      <c r="E763" s="472"/>
      <c r="G763" s="472"/>
      <c r="H763" s="472"/>
      <c r="I763" s="472"/>
    </row>
    <row r="764" spans="5:9">
      <c r="E764" s="472"/>
      <c r="G764" s="472"/>
      <c r="H764" s="472"/>
      <c r="I764" s="472"/>
    </row>
    <row r="765" spans="5:9">
      <c r="E765" s="472"/>
      <c r="G765" s="472"/>
      <c r="H765" s="472"/>
      <c r="I765" s="472"/>
    </row>
    <row r="766" spans="5:9">
      <c r="E766" s="472"/>
      <c r="G766" s="472"/>
      <c r="H766" s="472"/>
      <c r="I766" s="472"/>
    </row>
    <row r="767" spans="5:9">
      <c r="E767" s="472"/>
      <c r="G767" s="472"/>
      <c r="H767" s="472"/>
      <c r="I767" s="472"/>
    </row>
    <row r="768" spans="5:9">
      <c r="E768" s="472"/>
      <c r="G768" s="472"/>
      <c r="H768" s="472"/>
      <c r="I768" s="472"/>
    </row>
    <row r="769" spans="5:9">
      <c r="E769" s="472"/>
      <c r="G769" s="472"/>
      <c r="H769" s="472"/>
      <c r="I769" s="472"/>
    </row>
    <row r="770" spans="5:9">
      <c r="E770" s="472"/>
      <c r="G770" s="472"/>
      <c r="H770" s="472"/>
      <c r="I770" s="472"/>
    </row>
    <row r="771" spans="5:9">
      <c r="E771" s="472"/>
      <c r="G771" s="472"/>
      <c r="H771" s="472"/>
      <c r="I771" s="472"/>
    </row>
    <row r="772" spans="5:9">
      <c r="E772" s="472"/>
      <c r="G772" s="472"/>
      <c r="H772" s="472"/>
      <c r="I772" s="472"/>
    </row>
    <row r="773" spans="5:9">
      <c r="E773" s="472"/>
      <c r="G773" s="472"/>
      <c r="H773" s="472"/>
      <c r="I773" s="472"/>
    </row>
    <row r="774" spans="5:9">
      <c r="E774" s="472"/>
      <c r="G774" s="472"/>
      <c r="H774" s="472"/>
      <c r="I774" s="472"/>
    </row>
    <row r="775" spans="5:9">
      <c r="E775" s="472"/>
      <c r="G775" s="472"/>
      <c r="H775" s="472"/>
      <c r="I775" s="472"/>
    </row>
    <row r="776" spans="5:9">
      <c r="E776" s="472"/>
      <c r="G776" s="472"/>
      <c r="H776" s="472"/>
      <c r="I776" s="472"/>
    </row>
    <row r="777" spans="5:9">
      <c r="E777" s="472"/>
      <c r="G777" s="472"/>
      <c r="H777" s="472"/>
      <c r="I777" s="472"/>
    </row>
    <row r="778" spans="5:9">
      <c r="E778" s="472"/>
      <c r="G778" s="472"/>
      <c r="H778" s="472"/>
      <c r="I778" s="472"/>
    </row>
    <row r="779" spans="5:9">
      <c r="E779" s="472"/>
      <c r="G779" s="472"/>
      <c r="H779" s="472"/>
      <c r="I779" s="472"/>
    </row>
    <row r="780" spans="5:9">
      <c r="E780" s="472"/>
      <c r="G780" s="472"/>
      <c r="H780" s="472"/>
      <c r="I780" s="472"/>
    </row>
    <row r="781" spans="5:9">
      <c r="E781" s="472"/>
      <c r="G781" s="472"/>
      <c r="H781" s="472"/>
      <c r="I781" s="472"/>
    </row>
    <row r="782" spans="5:9">
      <c r="E782" s="472"/>
      <c r="G782" s="472"/>
      <c r="H782" s="472"/>
      <c r="I782" s="472"/>
    </row>
    <row r="783" spans="5:9">
      <c r="E783" s="472"/>
      <c r="G783" s="472"/>
      <c r="H783" s="472"/>
      <c r="I783" s="472"/>
    </row>
    <row r="784" spans="5:9">
      <c r="E784" s="472"/>
      <c r="G784" s="472"/>
      <c r="H784" s="472"/>
      <c r="I784" s="472"/>
    </row>
    <row r="785" spans="5:9">
      <c r="E785" s="472"/>
      <c r="G785" s="472"/>
      <c r="H785" s="472"/>
      <c r="I785" s="472"/>
    </row>
    <row r="786" spans="5:9">
      <c r="E786" s="472"/>
      <c r="G786" s="472"/>
      <c r="H786" s="472"/>
      <c r="I786" s="472"/>
    </row>
    <row r="787" spans="5:9">
      <c r="E787" s="472"/>
      <c r="G787" s="472"/>
      <c r="H787" s="472"/>
      <c r="I787" s="472"/>
    </row>
    <row r="788" spans="5:9">
      <c r="E788" s="472"/>
      <c r="G788" s="472"/>
      <c r="H788" s="472"/>
      <c r="I788" s="472"/>
    </row>
    <row r="789" spans="5:9">
      <c r="E789" s="472"/>
      <c r="G789" s="472"/>
      <c r="H789" s="472"/>
      <c r="I789" s="472"/>
    </row>
    <row r="790" spans="5:9">
      <c r="E790" s="472"/>
      <c r="G790" s="472"/>
      <c r="H790" s="472"/>
      <c r="I790" s="472"/>
    </row>
    <row r="791" spans="5:9">
      <c r="E791" s="472"/>
      <c r="G791" s="472"/>
      <c r="H791" s="472"/>
      <c r="I791" s="472"/>
    </row>
    <row r="792" spans="5:9">
      <c r="E792" s="472"/>
      <c r="G792" s="472"/>
      <c r="H792" s="472"/>
      <c r="I792" s="472"/>
    </row>
    <row r="793" spans="5:9">
      <c r="E793" s="472"/>
      <c r="G793" s="472"/>
      <c r="H793" s="472"/>
      <c r="I793" s="472"/>
    </row>
    <row r="794" spans="5:9">
      <c r="E794" s="472"/>
      <c r="G794" s="472"/>
      <c r="H794" s="472"/>
      <c r="I794" s="472"/>
    </row>
    <row r="795" spans="5:9">
      <c r="E795" s="472"/>
      <c r="G795" s="472"/>
      <c r="H795" s="472"/>
      <c r="I795" s="472"/>
    </row>
    <row r="796" spans="5:9">
      <c r="E796" s="472"/>
      <c r="G796" s="472"/>
      <c r="H796" s="472"/>
      <c r="I796" s="472"/>
    </row>
    <row r="797" spans="5:9">
      <c r="E797" s="472"/>
      <c r="G797" s="472"/>
      <c r="H797" s="472"/>
      <c r="I797" s="472"/>
    </row>
    <row r="798" spans="5:9">
      <c r="E798" s="472"/>
      <c r="G798" s="472"/>
      <c r="H798" s="472"/>
      <c r="I798" s="472"/>
    </row>
    <row r="799" spans="5:9">
      <c r="E799" s="472"/>
      <c r="G799" s="472"/>
      <c r="H799" s="472"/>
      <c r="I799" s="472"/>
    </row>
    <row r="800" spans="5:9">
      <c r="E800" s="472"/>
      <c r="G800" s="472"/>
      <c r="H800" s="472"/>
      <c r="I800" s="472"/>
    </row>
    <row r="801" spans="5:9">
      <c r="E801" s="472"/>
      <c r="G801" s="472"/>
      <c r="H801" s="472"/>
      <c r="I801" s="472"/>
    </row>
    <row r="802" spans="5:9">
      <c r="E802" s="472"/>
      <c r="G802" s="472"/>
      <c r="H802" s="472"/>
      <c r="I802" s="472"/>
    </row>
    <row r="803" spans="5:9">
      <c r="E803" s="472"/>
      <c r="G803" s="472"/>
      <c r="H803" s="472"/>
      <c r="I803" s="472"/>
    </row>
    <row r="804" spans="5:9">
      <c r="E804" s="472"/>
      <c r="G804" s="472"/>
      <c r="H804" s="472"/>
      <c r="I804" s="472"/>
    </row>
    <row r="805" spans="5:9">
      <c r="E805" s="472"/>
      <c r="G805" s="472"/>
      <c r="H805" s="472"/>
      <c r="I805" s="472"/>
    </row>
    <row r="806" spans="5:9">
      <c r="E806" s="472"/>
      <c r="G806" s="472"/>
      <c r="H806" s="472"/>
      <c r="I806" s="472"/>
    </row>
    <row r="807" spans="5:9">
      <c r="E807" s="472"/>
      <c r="G807" s="472"/>
      <c r="H807" s="472"/>
      <c r="I807" s="472"/>
    </row>
    <row r="808" spans="5:9">
      <c r="E808" s="472"/>
      <c r="G808" s="472"/>
      <c r="H808" s="472"/>
      <c r="I808" s="472"/>
    </row>
    <row r="809" spans="5:9">
      <c r="E809" s="472"/>
      <c r="G809" s="472"/>
      <c r="H809" s="472"/>
      <c r="I809" s="472"/>
    </row>
    <row r="810" spans="5:9">
      <c r="E810" s="472"/>
      <c r="G810" s="472"/>
      <c r="H810" s="472"/>
      <c r="I810" s="472"/>
    </row>
    <row r="811" spans="5:9">
      <c r="E811" s="472"/>
      <c r="G811" s="472"/>
      <c r="H811" s="472"/>
      <c r="I811" s="472"/>
    </row>
    <row r="812" spans="5:9">
      <c r="E812" s="472"/>
      <c r="G812" s="472"/>
      <c r="H812" s="472"/>
      <c r="I812" s="472"/>
    </row>
    <row r="813" spans="5:9">
      <c r="E813" s="472"/>
      <c r="G813" s="472"/>
      <c r="H813" s="472"/>
      <c r="I813" s="472"/>
    </row>
    <row r="814" spans="5:9">
      <c r="E814" s="472"/>
      <c r="G814" s="472"/>
      <c r="H814" s="472"/>
      <c r="I814" s="472"/>
    </row>
    <row r="815" spans="5:9">
      <c r="E815" s="472"/>
      <c r="G815" s="472"/>
      <c r="H815" s="472"/>
      <c r="I815" s="472"/>
    </row>
    <row r="816" spans="5:9">
      <c r="E816" s="472"/>
      <c r="G816" s="472"/>
      <c r="H816" s="472"/>
      <c r="I816" s="472"/>
    </row>
    <row r="817" spans="5:9">
      <c r="E817" s="472"/>
      <c r="G817" s="472"/>
      <c r="H817" s="472"/>
      <c r="I817" s="472"/>
    </row>
    <row r="818" spans="5:9">
      <c r="E818" s="472"/>
      <c r="G818" s="472"/>
      <c r="H818" s="472"/>
      <c r="I818" s="472"/>
    </row>
    <row r="819" spans="5:9">
      <c r="E819" s="472"/>
      <c r="G819" s="472"/>
      <c r="H819" s="472"/>
      <c r="I819" s="472"/>
    </row>
    <row r="820" spans="5:9">
      <c r="E820" s="472"/>
      <c r="G820" s="472"/>
      <c r="H820" s="472"/>
      <c r="I820" s="472"/>
    </row>
    <row r="821" spans="5:9">
      <c r="E821" s="472"/>
      <c r="G821" s="472"/>
      <c r="H821" s="472"/>
      <c r="I821" s="472"/>
    </row>
    <row r="822" spans="5:9">
      <c r="E822" s="472"/>
      <c r="G822" s="472"/>
      <c r="H822" s="472"/>
      <c r="I822" s="472"/>
    </row>
    <row r="823" spans="5:9">
      <c r="E823" s="472"/>
      <c r="G823" s="472"/>
      <c r="H823" s="472"/>
      <c r="I823" s="472"/>
    </row>
    <row r="824" spans="5:9">
      <c r="E824" s="472"/>
      <c r="G824" s="472"/>
      <c r="H824" s="472"/>
      <c r="I824" s="472"/>
    </row>
    <row r="825" spans="5:9">
      <c r="E825" s="472"/>
      <c r="G825" s="472"/>
      <c r="H825" s="472"/>
      <c r="I825" s="472"/>
    </row>
    <row r="826" spans="5:9">
      <c r="E826" s="472"/>
      <c r="G826" s="472"/>
      <c r="H826" s="472"/>
      <c r="I826" s="472"/>
    </row>
    <row r="827" spans="5:9">
      <c r="E827" s="472"/>
      <c r="G827" s="472"/>
      <c r="H827" s="472"/>
      <c r="I827" s="472"/>
    </row>
    <row r="828" spans="5:9">
      <c r="E828" s="472"/>
      <c r="G828" s="472"/>
      <c r="H828" s="472"/>
      <c r="I828" s="472"/>
    </row>
    <row r="829" spans="5:9">
      <c r="E829" s="472"/>
      <c r="G829" s="472"/>
      <c r="H829" s="472"/>
      <c r="I829" s="472"/>
    </row>
    <row r="830" spans="5:9">
      <c r="E830" s="472"/>
      <c r="G830" s="472"/>
      <c r="H830" s="472"/>
      <c r="I830" s="472"/>
    </row>
    <row r="831" spans="5:9">
      <c r="E831" s="472"/>
      <c r="G831" s="472"/>
      <c r="H831" s="472"/>
      <c r="I831" s="472"/>
    </row>
    <row r="832" spans="5:9">
      <c r="E832" s="472"/>
      <c r="G832" s="472"/>
      <c r="H832" s="472"/>
      <c r="I832" s="472"/>
    </row>
    <row r="833" spans="5:9">
      <c r="E833" s="472"/>
      <c r="G833" s="472"/>
      <c r="H833" s="472"/>
      <c r="I833" s="472"/>
    </row>
    <row r="834" spans="5:9">
      <c r="E834" s="472"/>
      <c r="G834" s="472"/>
      <c r="H834" s="472"/>
      <c r="I834" s="472"/>
    </row>
    <row r="835" spans="5:9">
      <c r="E835" s="472"/>
      <c r="G835" s="472"/>
      <c r="H835" s="472"/>
      <c r="I835" s="472"/>
    </row>
    <row r="836" spans="5:9">
      <c r="E836" s="472"/>
      <c r="G836" s="472"/>
      <c r="H836" s="472"/>
      <c r="I836" s="472"/>
    </row>
    <row r="837" spans="5:9">
      <c r="E837" s="472"/>
      <c r="G837" s="472"/>
      <c r="H837" s="472"/>
      <c r="I837" s="472"/>
    </row>
    <row r="838" spans="5:9">
      <c r="E838" s="472"/>
      <c r="G838" s="472"/>
      <c r="H838" s="472"/>
      <c r="I838" s="472"/>
    </row>
    <row r="839" spans="5:9">
      <c r="E839" s="472"/>
      <c r="G839" s="472"/>
      <c r="H839" s="472"/>
      <c r="I839" s="472"/>
    </row>
    <row r="840" spans="5:9">
      <c r="E840" s="472"/>
      <c r="G840" s="472"/>
      <c r="H840" s="472"/>
      <c r="I840" s="472"/>
    </row>
    <row r="841" spans="5:9">
      <c r="E841" s="472"/>
      <c r="G841" s="472"/>
      <c r="H841" s="472"/>
      <c r="I841" s="472"/>
    </row>
    <row r="842" spans="5:9">
      <c r="E842" s="472"/>
      <c r="G842" s="472"/>
      <c r="H842" s="472"/>
      <c r="I842" s="472"/>
    </row>
    <row r="843" spans="5:9">
      <c r="E843" s="472"/>
      <c r="G843" s="472"/>
      <c r="H843" s="472"/>
      <c r="I843" s="472"/>
    </row>
    <row r="844" spans="5:9">
      <c r="E844" s="472"/>
      <c r="G844" s="472"/>
      <c r="H844" s="472"/>
      <c r="I844" s="472"/>
    </row>
    <row r="845" spans="5:9">
      <c r="E845" s="472"/>
      <c r="G845" s="472"/>
      <c r="H845" s="472"/>
      <c r="I845" s="472"/>
    </row>
    <row r="846" spans="5:9">
      <c r="E846" s="472"/>
      <c r="G846" s="472"/>
      <c r="H846" s="472"/>
      <c r="I846" s="472"/>
    </row>
    <row r="847" spans="5:9">
      <c r="E847" s="472"/>
      <c r="G847" s="472"/>
      <c r="H847" s="472"/>
      <c r="I847" s="472"/>
    </row>
    <row r="848" spans="5:9">
      <c r="E848" s="472"/>
      <c r="G848" s="472"/>
      <c r="H848" s="472"/>
      <c r="I848" s="472"/>
    </row>
    <row r="849" spans="5:9">
      <c r="E849" s="472"/>
      <c r="G849" s="472"/>
      <c r="H849" s="472"/>
      <c r="I849" s="472"/>
    </row>
    <row r="850" spans="5:9">
      <c r="E850" s="472"/>
      <c r="G850" s="472"/>
      <c r="H850" s="472"/>
      <c r="I850" s="472"/>
    </row>
    <row r="851" spans="5:9">
      <c r="E851" s="472"/>
      <c r="G851" s="472"/>
      <c r="H851" s="472"/>
      <c r="I851" s="472"/>
    </row>
    <row r="852" spans="5:9">
      <c r="E852" s="472"/>
      <c r="G852" s="472"/>
      <c r="H852" s="472"/>
      <c r="I852" s="472"/>
    </row>
    <row r="853" spans="5:9">
      <c r="E853" s="472"/>
      <c r="G853" s="472"/>
      <c r="H853" s="472"/>
      <c r="I853" s="472"/>
    </row>
    <row r="854" spans="5:9">
      <c r="E854" s="472"/>
      <c r="G854" s="472"/>
      <c r="H854" s="472"/>
      <c r="I854" s="472"/>
    </row>
    <row r="855" spans="5:9">
      <c r="E855" s="472"/>
      <c r="G855" s="472"/>
      <c r="H855" s="472"/>
      <c r="I855" s="472"/>
    </row>
    <row r="856" spans="5:9">
      <c r="E856" s="472"/>
      <c r="G856" s="472"/>
      <c r="H856" s="472"/>
      <c r="I856" s="472"/>
    </row>
    <row r="857" spans="5:9">
      <c r="E857" s="472"/>
      <c r="G857" s="472"/>
      <c r="H857" s="472"/>
      <c r="I857" s="472"/>
    </row>
    <row r="858" spans="5:9">
      <c r="E858" s="472"/>
      <c r="G858" s="472"/>
      <c r="H858" s="472"/>
      <c r="I858" s="472"/>
    </row>
    <row r="859" spans="5:9">
      <c r="E859" s="472"/>
      <c r="G859" s="472"/>
      <c r="H859" s="472"/>
      <c r="I859" s="472"/>
    </row>
    <row r="860" spans="5:9">
      <c r="E860" s="472"/>
      <c r="G860" s="472"/>
      <c r="H860" s="472"/>
      <c r="I860" s="472"/>
    </row>
    <row r="861" spans="5:9">
      <c r="E861" s="472"/>
      <c r="G861" s="472"/>
      <c r="H861" s="472"/>
      <c r="I861" s="472"/>
    </row>
    <row r="862" spans="5:9">
      <c r="E862" s="472"/>
      <c r="G862" s="472"/>
      <c r="H862" s="472"/>
      <c r="I862" s="472"/>
    </row>
    <row r="863" spans="5:9">
      <c r="E863" s="472"/>
      <c r="G863" s="472"/>
      <c r="H863" s="472"/>
      <c r="I863" s="472"/>
    </row>
    <row r="864" spans="5:9">
      <c r="E864" s="472"/>
      <c r="G864" s="472"/>
      <c r="H864" s="472"/>
      <c r="I864" s="472"/>
    </row>
    <row r="865" spans="5:9">
      <c r="E865" s="472"/>
      <c r="G865" s="472"/>
      <c r="H865" s="472"/>
      <c r="I865" s="472"/>
    </row>
    <row r="866" spans="5:9">
      <c r="E866" s="472"/>
      <c r="G866" s="472"/>
      <c r="H866" s="472"/>
      <c r="I866" s="472"/>
    </row>
    <row r="867" spans="5:9">
      <c r="E867" s="472"/>
      <c r="G867" s="472"/>
      <c r="H867" s="472"/>
      <c r="I867" s="472"/>
    </row>
    <row r="868" spans="5:9">
      <c r="E868" s="472"/>
      <c r="G868" s="472"/>
      <c r="H868" s="472"/>
      <c r="I868" s="472"/>
    </row>
    <row r="869" spans="5:9">
      <c r="E869" s="472"/>
      <c r="G869" s="472"/>
      <c r="H869" s="472"/>
      <c r="I869" s="472"/>
    </row>
    <row r="870" spans="5:9">
      <c r="E870" s="472"/>
      <c r="G870" s="472"/>
      <c r="H870" s="472"/>
      <c r="I870" s="472"/>
    </row>
    <row r="871" spans="5:9">
      <c r="E871" s="472"/>
      <c r="G871" s="472"/>
      <c r="H871" s="472"/>
      <c r="I871" s="472"/>
    </row>
    <row r="872" spans="5:9">
      <c r="E872" s="472"/>
      <c r="G872" s="472"/>
      <c r="H872" s="472"/>
      <c r="I872" s="472"/>
    </row>
    <row r="873" spans="5:9">
      <c r="E873" s="472"/>
      <c r="G873" s="472"/>
      <c r="H873" s="472"/>
      <c r="I873" s="472"/>
    </row>
    <row r="874" spans="5:9">
      <c r="E874" s="472"/>
      <c r="G874" s="472"/>
      <c r="H874" s="472"/>
      <c r="I874" s="472"/>
    </row>
    <row r="875" spans="5:9">
      <c r="E875" s="472"/>
      <c r="G875" s="472"/>
      <c r="H875" s="472"/>
      <c r="I875" s="472"/>
    </row>
    <row r="876" spans="5:9">
      <c r="E876" s="472"/>
      <c r="G876" s="472"/>
      <c r="H876" s="472"/>
      <c r="I876" s="472"/>
    </row>
    <row r="877" spans="5:9">
      <c r="E877" s="472"/>
      <c r="G877" s="472"/>
      <c r="H877" s="472"/>
      <c r="I877" s="472"/>
    </row>
    <row r="878" spans="5:9">
      <c r="E878" s="472"/>
      <c r="G878" s="472"/>
      <c r="H878" s="472"/>
      <c r="I878" s="472"/>
    </row>
    <row r="879" spans="5:9">
      <c r="E879" s="472"/>
      <c r="G879" s="472"/>
      <c r="H879" s="472"/>
      <c r="I879" s="472"/>
    </row>
    <row r="880" spans="5:9">
      <c r="E880" s="472"/>
      <c r="G880" s="472"/>
      <c r="H880" s="472"/>
      <c r="I880" s="472"/>
    </row>
    <row r="881" spans="5:9">
      <c r="E881" s="472"/>
      <c r="G881" s="472"/>
      <c r="H881" s="472"/>
      <c r="I881" s="472"/>
    </row>
    <row r="882" spans="5:9">
      <c r="E882" s="472"/>
      <c r="G882" s="472"/>
      <c r="H882" s="472"/>
      <c r="I882" s="472"/>
    </row>
    <row r="883" spans="5:9">
      <c r="E883" s="472"/>
      <c r="G883" s="472"/>
      <c r="H883" s="472"/>
      <c r="I883" s="472"/>
    </row>
    <row r="884" spans="5:9">
      <c r="E884" s="472"/>
      <c r="G884" s="472"/>
      <c r="H884" s="472"/>
      <c r="I884" s="472"/>
    </row>
    <row r="885" spans="5:9">
      <c r="E885" s="472"/>
      <c r="G885" s="472"/>
      <c r="H885" s="472"/>
      <c r="I885" s="472"/>
    </row>
    <row r="886" spans="5:9">
      <c r="E886" s="472"/>
      <c r="G886" s="472"/>
      <c r="H886" s="472"/>
      <c r="I886" s="472"/>
    </row>
    <row r="887" spans="5:9">
      <c r="E887" s="472"/>
      <c r="G887" s="472"/>
      <c r="H887" s="472"/>
      <c r="I887" s="472"/>
    </row>
    <row r="888" spans="5:9">
      <c r="E888" s="472"/>
      <c r="G888" s="472"/>
      <c r="H888" s="472"/>
      <c r="I888" s="472"/>
    </row>
    <row r="889" spans="5:9">
      <c r="E889" s="472"/>
      <c r="G889" s="472"/>
      <c r="H889" s="472"/>
      <c r="I889" s="472"/>
    </row>
    <row r="890" spans="5:9">
      <c r="E890" s="472"/>
      <c r="G890" s="472"/>
      <c r="H890" s="472"/>
      <c r="I890" s="472"/>
    </row>
    <row r="891" spans="5:9">
      <c r="E891" s="472"/>
      <c r="G891" s="472"/>
      <c r="H891" s="472"/>
      <c r="I891" s="472"/>
    </row>
    <row r="892" spans="5:9">
      <c r="E892" s="472"/>
      <c r="G892" s="472"/>
      <c r="H892" s="472"/>
      <c r="I892" s="472"/>
    </row>
    <row r="893" spans="5:9">
      <c r="E893" s="472"/>
      <c r="G893" s="472"/>
      <c r="H893" s="472"/>
      <c r="I893" s="472"/>
    </row>
    <row r="894" spans="5:9">
      <c r="E894" s="472"/>
      <c r="G894" s="472"/>
      <c r="H894" s="472"/>
      <c r="I894" s="472"/>
    </row>
    <row r="895" spans="5:9">
      <c r="E895" s="472"/>
      <c r="G895" s="472"/>
      <c r="H895" s="472"/>
      <c r="I895" s="472"/>
    </row>
    <row r="896" spans="5:9">
      <c r="E896" s="472"/>
      <c r="G896" s="472"/>
      <c r="H896" s="472"/>
      <c r="I896" s="472"/>
    </row>
    <row r="897" spans="5:9">
      <c r="E897" s="472"/>
      <c r="G897" s="472"/>
      <c r="H897" s="472"/>
      <c r="I897" s="472"/>
    </row>
    <row r="898" spans="5:9">
      <c r="E898" s="472"/>
      <c r="G898" s="472"/>
      <c r="H898" s="472"/>
      <c r="I898" s="472"/>
    </row>
    <row r="899" spans="5:9">
      <c r="E899" s="472"/>
      <c r="G899" s="472"/>
      <c r="H899" s="472"/>
      <c r="I899" s="472"/>
    </row>
    <row r="900" spans="5:9">
      <c r="E900" s="472"/>
      <c r="G900" s="472"/>
      <c r="H900" s="472"/>
      <c r="I900" s="472"/>
    </row>
    <row r="901" spans="5:9">
      <c r="E901" s="472"/>
      <c r="G901" s="472"/>
      <c r="H901" s="472"/>
      <c r="I901" s="472"/>
    </row>
    <row r="902" spans="5:9">
      <c r="E902" s="472"/>
      <c r="G902" s="472"/>
      <c r="H902" s="472"/>
      <c r="I902" s="472"/>
    </row>
    <row r="903" spans="5:9">
      <c r="E903" s="472"/>
      <c r="G903" s="472"/>
      <c r="H903" s="472"/>
      <c r="I903" s="472"/>
    </row>
    <row r="904" spans="5:9">
      <c r="E904" s="472"/>
      <c r="G904" s="472"/>
      <c r="H904" s="472"/>
      <c r="I904" s="472"/>
    </row>
    <row r="905" spans="5:9">
      <c r="E905" s="472"/>
      <c r="G905" s="472"/>
      <c r="H905" s="472"/>
      <c r="I905" s="472"/>
    </row>
    <row r="906" spans="5:9">
      <c r="E906" s="472"/>
      <c r="G906" s="472"/>
      <c r="H906" s="472"/>
      <c r="I906" s="472"/>
    </row>
    <row r="907" spans="5:9">
      <c r="E907" s="472"/>
      <c r="G907" s="472"/>
      <c r="H907" s="472"/>
      <c r="I907" s="472"/>
    </row>
    <row r="908" spans="5:9">
      <c r="E908" s="472"/>
      <c r="G908" s="472"/>
      <c r="H908" s="472"/>
      <c r="I908" s="472"/>
    </row>
    <row r="909" spans="5:9">
      <c r="E909" s="472"/>
      <c r="G909" s="472"/>
      <c r="H909" s="472"/>
      <c r="I909" s="472"/>
    </row>
    <row r="910" spans="5:9">
      <c r="E910" s="472"/>
      <c r="G910" s="472"/>
      <c r="H910" s="472"/>
      <c r="I910" s="472"/>
    </row>
    <row r="911" spans="5:9">
      <c r="E911" s="472"/>
      <c r="G911" s="472"/>
      <c r="H911" s="472"/>
      <c r="I911" s="472"/>
    </row>
    <row r="912" spans="5:9">
      <c r="E912" s="472"/>
      <c r="G912" s="472"/>
      <c r="H912" s="472"/>
      <c r="I912" s="472"/>
    </row>
    <row r="913" spans="5:9">
      <c r="E913" s="472"/>
      <c r="G913" s="472"/>
      <c r="H913" s="472"/>
      <c r="I913" s="472"/>
    </row>
    <row r="914" spans="5:9">
      <c r="E914" s="472"/>
      <c r="G914" s="472"/>
      <c r="H914" s="472"/>
      <c r="I914" s="472"/>
    </row>
    <row r="915" spans="5:9">
      <c r="E915" s="472"/>
      <c r="G915" s="472"/>
      <c r="H915" s="472"/>
      <c r="I915" s="472"/>
    </row>
    <row r="916" spans="5:9">
      <c r="E916" s="472"/>
      <c r="G916" s="472"/>
      <c r="H916" s="472"/>
      <c r="I916" s="472"/>
    </row>
    <row r="917" spans="5:9">
      <c r="E917" s="472"/>
      <c r="G917" s="472"/>
      <c r="H917" s="472"/>
      <c r="I917" s="472"/>
    </row>
    <row r="918" spans="5:9">
      <c r="E918" s="472"/>
      <c r="G918" s="472"/>
      <c r="H918" s="472"/>
      <c r="I918" s="472"/>
    </row>
    <row r="919" spans="5:9">
      <c r="E919" s="472"/>
      <c r="G919" s="472"/>
      <c r="H919" s="472"/>
      <c r="I919" s="472"/>
    </row>
    <row r="920" spans="5:9">
      <c r="E920" s="472"/>
      <c r="G920" s="472"/>
      <c r="H920" s="472"/>
      <c r="I920" s="472"/>
    </row>
    <row r="921" spans="5:9">
      <c r="E921" s="472"/>
      <c r="G921" s="472"/>
      <c r="H921" s="472"/>
      <c r="I921" s="472"/>
    </row>
    <row r="922" spans="5:9">
      <c r="E922" s="472"/>
      <c r="G922" s="472"/>
      <c r="H922" s="472"/>
      <c r="I922" s="472"/>
    </row>
    <row r="923" spans="5:9">
      <c r="E923" s="472"/>
      <c r="G923" s="472"/>
      <c r="H923" s="472"/>
      <c r="I923" s="472"/>
    </row>
    <row r="924" spans="5:9">
      <c r="E924" s="472"/>
      <c r="G924" s="472"/>
      <c r="H924" s="472"/>
      <c r="I924" s="472"/>
    </row>
    <row r="925" spans="5:9">
      <c r="E925" s="472"/>
      <c r="G925" s="472"/>
      <c r="H925" s="472"/>
      <c r="I925" s="472"/>
    </row>
    <row r="926" spans="5:9">
      <c r="E926" s="472"/>
      <c r="G926" s="472"/>
      <c r="H926" s="472"/>
      <c r="I926" s="472"/>
    </row>
    <row r="927" spans="5:9">
      <c r="E927" s="472"/>
      <c r="G927" s="472"/>
      <c r="H927" s="472"/>
      <c r="I927" s="472"/>
    </row>
    <row r="928" spans="5:9">
      <c r="E928" s="472"/>
      <c r="G928" s="472"/>
      <c r="H928" s="472"/>
      <c r="I928" s="472"/>
    </row>
    <row r="929" spans="5:9">
      <c r="E929" s="472"/>
      <c r="G929" s="472"/>
      <c r="H929" s="472"/>
      <c r="I929" s="472"/>
    </row>
    <row r="930" spans="5:9">
      <c r="E930" s="472"/>
      <c r="G930" s="472"/>
      <c r="H930" s="472"/>
      <c r="I930" s="472"/>
    </row>
    <row r="931" spans="5:9">
      <c r="E931" s="472"/>
      <c r="G931" s="472"/>
      <c r="H931" s="472"/>
      <c r="I931" s="472"/>
    </row>
    <row r="932" spans="5:9">
      <c r="E932" s="472"/>
      <c r="G932" s="472"/>
      <c r="H932" s="472"/>
      <c r="I932" s="472"/>
    </row>
    <row r="933" spans="5:9">
      <c r="E933" s="472"/>
      <c r="G933" s="472"/>
      <c r="H933" s="472"/>
      <c r="I933" s="472"/>
    </row>
    <row r="934" spans="5:9">
      <c r="E934" s="472"/>
      <c r="G934" s="472"/>
      <c r="H934" s="472"/>
      <c r="I934" s="472"/>
    </row>
    <row r="935" spans="5:9">
      <c r="E935" s="472"/>
      <c r="G935" s="472"/>
      <c r="H935" s="472"/>
      <c r="I935" s="472"/>
    </row>
    <row r="936" spans="5:9">
      <c r="E936" s="472"/>
      <c r="G936" s="472"/>
      <c r="H936" s="472"/>
      <c r="I936" s="472"/>
    </row>
    <row r="937" spans="5:9">
      <c r="E937" s="472"/>
      <c r="G937" s="472"/>
      <c r="H937" s="472"/>
      <c r="I937" s="472"/>
    </row>
    <row r="938" spans="5:9">
      <c r="E938" s="472"/>
      <c r="G938" s="472"/>
      <c r="H938" s="472"/>
      <c r="I938" s="472"/>
    </row>
    <row r="939" spans="5:9">
      <c r="E939" s="472"/>
      <c r="G939" s="472"/>
      <c r="H939" s="472"/>
      <c r="I939" s="472"/>
    </row>
    <row r="940" spans="5:9">
      <c r="E940" s="472"/>
      <c r="G940" s="472"/>
      <c r="H940" s="472"/>
      <c r="I940" s="472"/>
    </row>
    <row r="941" spans="5:9">
      <c r="E941" s="472"/>
      <c r="G941" s="472"/>
      <c r="H941" s="472"/>
      <c r="I941" s="472"/>
    </row>
    <row r="942" spans="5:9">
      <c r="E942" s="472"/>
      <c r="G942" s="472"/>
      <c r="H942" s="472"/>
      <c r="I942" s="472"/>
    </row>
    <row r="943" spans="5:9">
      <c r="E943" s="472"/>
      <c r="G943" s="472"/>
      <c r="H943" s="472"/>
      <c r="I943" s="472"/>
    </row>
    <row r="944" spans="5:9">
      <c r="E944" s="472"/>
      <c r="G944" s="472"/>
      <c r="H944" s="472"/>
      <c r="I944" s="472"/>
    </row>
    <row r="945" spans="5:9">
      <c r="E945" s="472"/>
      <c r="G945" s="472"/>
      <c r="H945" s="472"/>
      <c r="I945" s="472"/>
    </row>
    <row r="946" spans="5:9">
      <c r="E946" s="472"/>
      <c r="G946" s="472"/>
      <c r="H946" s="472"/>
      <c r="I946" s="472"/>
    </row>
    <row r="947" spans="5:9">
      <c r="E947" s="472"/>
      <c r="G947" s="472"/>
      <c r="H947" s="472"/>
      <c r="I947" s="472"/>
    </row>
    <row r="948" spans="5:9">
      <c r="E948" s="472"/>
      <c r="G948" s="472"/>
      <c r="H948" s="472"/>
      <c r="I948" s="472"/>
    </row>
    <row r="949" spans="5:9">
      <c r="E949" s="472"/>
      <c r="G949" s="472"/>
      <c r="H949" s="472"/>
      <c r="I949" s="472"/>
    </row>
    <row r="950" spans="5:9">
      <c r="E950" s="472"/>
      <c r="G950" s="472"/>
      <c r="H950" s="472"/>
      <c r="I950" s="472"/>
    </row>
    <row r="951" spans="5:9">
      <c r="E951" s="472"/>
      <c r="G951" s="472"/>
      <c r="H951" s="472"/>
      <c r="I951" s="472"/>
    </row>
    <row r="952" spans="5:9">
      <c r="E952" s="472"/>
      <c r="G952" s="472"/>
      <c r="H952" s="472"/>
      <c r="I952" s="472"/>
    </row>
    <row r="953" spans="5:9">
      <c r="E953" s="472"/>
      <c r="G953" s="472"/>
      <c r="H953" s="472"/>
      <c r="I953" s="472"/>
    </row>
    <row r="954" spans="5:9">
      <c r="E954" s="472"/>
      <c r="G954" s="472"/>
      <c r="H954" s="472"/>
      <c r="I954" s="472"/>
    </row>
    <row r="955" spans="5:9">
      <c r="E955" s="472"/>
      <c r="G955" s="472"/>
      <c r="H955" s="472"/>
      <c r="I955" s="472"/>
    </row>
    <row r="956" spans="5:9">
      <c r="E956" s="472"/>
      <c r="G956" s="472"/>
      <c r="H956" s="472"/>
      <c r="I956" s="472"/>
    </row>
    <row r="957" spans="5:9">
      <c r="E957" s="472"/>
      <c r="G957" s="472"/>
      <c r="H957" s="472"/>
      <c r="I957" s="472"/>
    </row>
    <row r="958" spans="5:9">
      <c r="E958" s="472"/>
      <c r="G958" s="472"/>
      <c r="H958" s="472"/>
      <c r="I958" s="472"/>
    </row>
    <row r="959" spans="5:9">
      <c r="E959" s="472"/>
      <c r="G959" s="472"/>
      <c r="H959" s="472"/>
      <c r="I959" s="472"/>
    </row>
    <row r="960" spans="5:9">
      <c r="E960" s="472"/>
      <c r="G960" s="472"/>
      <c r="H960" s="472"/>
      <c r="I960" s="472"/>
    </row>
    <row r="961" spans="5:9">
      <c r="E961" s="472"/>
      <c r="G961" s="472"/>
      <c r="H961" s="472"/>
      <c r="I961" s="472"/>
    </row>
    <row r="962" spans="5:9">
      <c r="E962" s="472"/>
      <c r="G962" s="472"/>
      <c r="H962" s="472"/>
      <c r="I962" s="472"/>
    </row>
    <row r="963" spans="5:9">
      <c r="E963" s="472"/>
      <c r="G963" s="472"/>
      <c r="H963" s="472"/>
      <c r="I963" s="472"/>
    </row>
    <row r="964" spans="5:9">
      <c r="E964" s="472"/>
      <c r="G964" s="472"/>
      <c r="H964" s="472"/>
      <c r="I964" s="472"/>
    </row>
    <row r="965" spans="5:9">
      <c r="E965" s="472"/>
      <c r="G965" s="472"/>
      <c r="H965" s="472"/>
      <c r="I965" s="472"/>
    </row>
    <row r="966" spans="5:9">
      <c r="E966" s="472"/>
      <c r="G966" s="472"/>
      <c r="H966" s="472"/>
      <c r="I966" s="472"/>
    </row>
    <row r="967" spans="5:9">
      <c r="E967" s="472"/>
      <c r="G967" s="472"/>
      <c r="H967" s="472"/>
      <c r="I967" s="472"/>
    </row>
    <row r="968" spans="5:9">
      <c r="E968" s="472"/>
      <c r="G968" s="472"/>
      <c r="H968" s="472"/>
      <c r="I968" s="472"/>
    </row>
    <row r="969" spans="5:9">
      <c r="E969" s="472"/>
      <c r="G969" s="472"/>
      <c r="H969" s="472"/>
      <c r="I969" s="472"/>
    </row>
    <row r="970" spans="5:9">
      <c r="E970" s="472"/>
      <c r="G970" s="472"/>
      <c r="H970" s="472"/>
      <c r="I970" s="472"/>
    </row>
    <row r="971" spans="5:9">
      <c r="E971" s="472"/>
      <c r="G971" s="472"/>
      <c r="H971" s="472"/>
      <c r="I971" s="472"/>
    </row>
    <row r="972" spans="5:9">
      <c r="E972" s="472"/>
      <c r="G972" s="472"/>
      <c r="H972" s="472"/>
      <c r="I972" s="472"/>
    </row>
    <row r="973" spans="5:9">
      <c r="E973" s="472"/>
      <c r="G973" s="472"/>
      <c r="H973" s="472"/>
      <c r="I973" s="472"/>
    </row>
    <row r="974" spans="5:9">
      <c r="E974" s="472"/>
      <c r="G974" s="472"/>
      <c r="H974" s="472"/>
      <c r="I974" s="472"/>
    </row>
    <row r="975" spans="5:9">
      <c r="E975" s="472"/>
      <c r="G975" s="472"/>
      <c r="H975" s="472"/>
      <c r="I975" s="472"/>
    </row>
    <row r="976" spans="5:9">
      <c r="E976" s="472"/>
      <c r="G976" s="472"/>
      <c r="H976" s="472"/>
      <c r="I976" s="472"/>
    </row>
    <row r="977" spans="5:9">
      <c r="E977" s="472"/>
      <c r="G977" s="472"/>
      <c r="H977" s="472"/>
      <c r="I977" s="472"/>
    </row>
    <row r="978" spans="5:9">
      <c r="E978" s="472"/>
      <c r="G978" s="472"/>
      <c r="H978" s="472"/>
      <c r="I978" s="472"/>
    </row>
    <row r="979" spans="5:9">
      <c r="E979" s="472"/>
      <c r="G979" s="472"/>
      <c r="H979" s="472"/>
      <c r="I979" s="472"/>
    </row>
    <row r="980" spans="5:9">
      <c r="E980" s="472"/>
      <c r="G980" s="472"/>
      <c r="H980" s="472"/>
      <c r="I980" s="472"/>
    </row>
    <row r="981" spans="5:9">
      <c r="E981" s="472"/>
      <c r="G981" s="472"/>
      <c r="H981" s="472"/>
      <c r="I981" s="472"/>
    </row>
    <row r="982" spans="5:9">
      <c r="E982" s="472"/>
      <c r="G982" s="472"/>
      <c r="H982" s="472"/>
      <c r="I982" s="472"/>
    </row>
    <row r="983" spans="5:9">
      <c r="E983" s="472"/>
      <c r="G983" s="472"/>
      <c r="H983" s="472"/>
      <c r="I983" s="472"/>
    </row>
    <row r="984" spans="5:9">
      <c r="E984" s="472"/>
      <c r="G984" s="472"/>
      <c r="H984" s="472"/>
      <c r="I984" s="472"/>
    </row>
    <row r="985" spans="5:9">
      <c r="E985" s="472"/>
      <c r="G985" s="472"/>
      <c r="H985" s="472"/>
      <c r="I985" s="472"/>
    </row>
    <row r="986" spans="5:9">
      <c r="E986" s="472"/>
      <c r="G986" s="472"/>
      <c r="H986" s="472"/>
      <c r="I986" s="472"/>
    </row>
    <row r="987" spans="5:9">
      <c r="E987" s="472"/>
      <c r="G987" s="472"/>
      <c r="H987" s="472"/>
      <c r="I987" s="472"/>
    </row>
    <row r="988" spans="5:9">
      <c r="E988" s="472"/>
      <c r="G988" s="472"/>
      <c r="H988" s="472"/>
      <c r="I988" s="472"/>
    </row>
    <row r="989" spans="5:9">
      <c r="E989" s="472"/>
      <c r="G989" s="472"/>
      <c r="H989" s="472"/>
      <c r="I989" s="472"/>
    </row>
    <row r="990" spans="5:9">
      <c r="E990" s="472"/>
      <c r="G990" s="472"/>
      <c r="H990" s="472"/>
      <c r="I990" s="472"/>
    </row>
    <row r="991" spans="5:9">
      <c r="E991" s="472"/>
      <c r="G991" s="472"/>
      <c r="H991" s="472"/>
      <c r="I991" s="472"/>
    </row>
    <row r="992" spans="5:9">
      <c r="E992" s="472"/>
      <c r="G992" s="472"/>
      <c r="H992" s="472"/>
      <c r="I992" s="472"/>
    </row>
    <row r="993" spans="5:9">
      <c r="E993" s="472"/>
      <c r="G993" s="472"/>
      <c r="H993" s="472"/>
      <c r="I993" s="472"/>
    </row>
    <row r="994" spans="5:9">
      <c r="E994" s="472"/>
      <c r="G994" s="472"/>
      <c r="H994" s="472"/>
      <c r="I994" s="472"/>
    </row>
    <row r="995" spans="5:9">
      <c r="E995" s="472"/>
      <c r="G995" s="472"/>
      <c r="H995" s="472"/>
      <c r="I995" s="472"/>
    </row>
    <row r="996" spans="5:9">
      <c r="E996" s="472"/>
      <c r="G996" s="472"/>
      <c r="H996" s="472"/>
      <c r="I996" s="472"/>
    </row>
    <row r="997" spans="5:9">
      <c r="E997" s="472"/>
      <c r="G997" s="472"/>
      <c r="H997" s="472"/>
      <c r="I997" s="472"/>
    </row>
    <row r="998" spans="5:9">
      <c r="E998" s="472"/>
      <c r="G998" s="472"/>
      <c r="H998" s="472"/>
      <c r="I998" s="472"/>
    </row>
  </sheetData>
  <mergeCells count="1">
    <mergeCell ref="D1:I3"/>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filterMode="1"/>
  <dimension ref="A1:AB1446"/>
  <sheetViews>
    <sheetView workbookViewId="0">
      <pane xSplit="3" ySplit="1" topLeftCell="D2" activePane="bottomRight" state="frozen"/>
      <selection pane="topRight" activeCell="D1" sqref="D1"/>
      <selection pane="bottomLeft" activeCell="A2" sqref="A2"/>
      <selection pane="bottomRight" activeCell="D2" sqref="D2"/>
    </sheetView>
  </sheetViews>
  <sheetFormatPr baseColWidth="10" defaultColWidth="14.5" defaultRowHeight="15" customHeight="1" outlineLevelCol="1"/>
  <cols>
    <col min="1" max="1" width="14.1640625" customWidth="1"/>
    <col min="2" max="2" width="38.6640625" customWidth="1"/>
    <col min="3" max="4" width="20.6640625" customWidth="1"/>
    <col min="5" max="5" width="64.1640625" customWidth="1"/>
    <col min="6" max="6" width="16.1640625" customWidth="1"/>
    <col min="7" max="7" width="14.5" customWidth="1"/>
    <col min="8" max="8" width="41.5" customWidth="1" outlineLevel="1"/>
    <col min="9" max="9" width="20.1640625" customWidth="1"/>
    <col min="10" max="10" width="31.1640625" customWidth="1"/>
    <col min="11" max="11" width="37.33203125" hidden="1" customWidth="1" outlineLevel="1"/>
    <col min="12" max="12" width="20.1640625" customWidth="1" collapsed="1"/>
    <col min="13" max="13" width="21.6640625" customWidth="1"/>
    <col min="14" max="14" width="22.1640625" customWidth="1"/>
    <col min="15" max="15" width="22.5" customWidth="1"/>
    <col min="16" max="16" width="33.6640625" hidden="1" customWidth="1"/>
    <col min="17" max="18" width="31.1640625" customWidth="1"/>
    <col min="19" max="19" width="39.1640625" customWidth="1"/>
    <col min="20" max="20" width="41" customWidth="1"/>
    <col min="21" max="23" width="31.1640625" hidden="1" customWidth="1"/>
    <col min="24" max="28" width="11.5" hidden="1" customWidth="1"/>
  </cols>
  <sheetData>
    <row r="1" spans="1:28">
      <c r="A1" s="475" t="s">
        <v>419</v>
      </c>
      <c r="B1" s="476" t="s">
        <v>420</v>
      </c>
      <c r="C1" s="476" t="s">
        <v>424</v>
      </c>
      <c r="D1" s="476" t="s">
        <v>11762</v>
      </c>
      <c r="E1" s="476" t="s">
        <v>423</v>
      </c>
      <c r="F1" s="476" t="s">
        <v>39</v>
      </c>
      <c r="G1" s="476" t="s">
        <v>42</v>
      </c>
      <c r="H1" s="476" t="s">
        <v>426</v>
      </c>
      <c r="I1" s="476" t="s">
        <v>427</v>
      </c>
      <c r="J1" s="476" t="s">
        <v>43</v>
      </c>
      <c r="K1" s="476" t="s">
        <v>428</v>
      </c>
      <c r="L1" s="476" t="s">
        <v>429</v>
      </c>
      <c r="M1" s="476" t="s">
        <v>430</v>
      </c>
      <c r="N1" s="476" t="s">
        <v>431</v>
      </c>
      <c r="O1" s="476" t="s">
        <v>432</v>
      </c>
      <c r="P1" s="476" t="s">
        <v>433</v>
      </c>
      <c r="Q1" s="477" t="s">
        <v>434</v>
      </c>
      <c r="R1" s="476" t="s">
        <v>425</v>
      </c>
      <c r="S1" s="476" t="s">
        <v>435</v>
      </c>
      <c r="T1" s="476" t="s">
        <v>11764</v>
      </c>
      <c r="U1" s="476" t="s">
        <v>10170</v>
      </c>
      <c r="V1" s="476" t="s">
        <v>10171</v>
      </c>
      <c r="W1" s="476" t="s">
        <v>10172</v>
      </c>
      <c r="X1" s="478"/>
      <c r="Y1" s="478"/>
      <c r="Z1" s="478"/>
      <c r="AA1" s="478"/>
      <c r="AB1" s="478"/>
    </row>
    <row r="2" spans="1:28" ht="30" hidden="1">
      <c r="A2" s="212">
        <v>44776</v>
      </c>
      <c r="B2" s="213" t="s">
        <v>287</v>
      </c>
      <c r="C2" s="214">
        <v>5</v>
      </c>
      <c r="D2" s="214"/>
      <c r="E2" s="213" t="s">
        <v>1640</v>
      </c>
      <c r="F2" s="215" t="s">
        <v>3</v>
      </c>
      <c r="G2" s="213" t="s">
        <v>460</v>
      </c>
      <c r="H2" s="213"/>
      <c r="I2" s="213">
        <v>5</v>
      </c>
      <c r="J2" s="213" t="s">
        <v>488</v>
      </c>
      <c r="K2" s="213"/>
      <c r="L2" s="213">
        <v>5</v>
      </c>
      <c r="M2" s="213" t="s">
        <v>478</v>
      </c>
      <c r="N2" s="216">
        <v>16000000</v>
      </c>
      <c r="O2" s="213" t="s">
        <v>452</v>
      </c>
      <c r="P2" s="213" t="s">
        <v>575</v>
      </c>
      <c r="Q2" s="143"/>
      <c r="R2" s="213" t="str">
        <f t="array" ref="R2">INDEX(Notes!B:B,MATCH($B2,Notes!$A:$A,0))</f>
        <v>Invite</v>
      </c>
      <c r="S2" s="226" t="s">
        <v>1641</v>
      </c>
      <c r="T2" s="217"/>
      <c r="U2" s="218"/>
      <c r="V2" s="218"/>
      <c r="W2" s="218"/>
      <c r="X2" s="219"/>
      <c r="Y2" s="219"/>
      <c r="Z2" s="219"/>
      <c r="AA2" s="219"/>
      <c r="AB2" s="219"/>
    </row>
    <row r="3" spans="1:28">
      <c r="A3" s="253">
        <v>44782</v>
      </c>
      <c r="B3" s="224" t="s">
        <v>92</v>
      </c>
      <c r="C3" s="224">
        <v>5</v>
      </c>
      <c r="D3" s="250" t="str">
        <f ca="1">IFERROR(VLOOKUP(B3,'2022-2023 Third Reviews'!$C:$S,9,FALSE),"")</f>
        <v>John McDonald
5</v>
      </c>
      <c r="E3" s="224" t="s">
        <v>655</v>
      </c>
      <c r="F3" s="224" t="s">
        <v>5</v>
      </c>
      <c r="G3" s="224" t="s">
        <v>460</v>
      </c>
      <c r="H3" s="224" t="s">
        <v>656</v>
      </c>
      <c r="I3" s="224">
        <v>5</v>
      </c>
      <c r="J3" s="224" t="s">
        <v>462</v>
      </c>
      <c r="K3" s="224"/>
      <c r="L3" s="224">
        <v>5</v>
      </c>
      <c r="M3" s="224" t="s">
        <v>451</v>
      </c>
      <c r="N3" s="224">
        <v>3000000</v>
      </c>
      <c r="O3" s="224" t="s">
        <v>452</v>
      </c>
      <c r="P3" s="224" t="s">
        <v>10395</v>
      </c>
      <c r="Q3" s="224"/>
      <c r="R3" s="224" t="s">
        <v>18</v>
      </c>
      <c r="S3" s="224" t="s">
        <v>658</v>
      </c>
      <c r="T3" s="224" t="s">
        <v>11788</v>
      </c>
      <c r="U3" s="224"/>
      <c r="V3" s="224"/>
      <c r="W3" s="224"/>
      <c r="X3" s="224"/>
      <c r="Y3" s="224"/>
      <c r="Z3" s="224"/>
      <c r="AA3" s="224"/>
      <c r="AB3" s="224"/>
    </row>
    <row r="4" spans="1:28" hidden="1">
      <c r="A4" s="212">
        <v>44776</v>
      </c>
      <c r="B4" s="213" t="s">
        <v>334</v>
      </c>
      <c r="C4" s="214">
        <v>5</v>
      </c>
      <c r="D4" s="214"/>
      <c r="E4" s="213" t="s">
        <v>1874</v>
      </c>
      <c r="F4" s="215" t="s">
        <v>3</v>
      </c>
      <c r="G4" s="213" t="s">
        <v>460</v>
      </c>
      <c r="H4" s="213" t="s">
        <v>1875</v>
      </c>
      <c r="I4" s="213">
        <v>5</v>
      </c>
      <c r="J4" s="213" t="s">
        <v>941</v>
      </c>
      <c r="K4" s="213"/>
      <c r="L4" s="213">
        <v>5</v>
      </c>
      <c r="M4" s="213" t="s">
        <v>451</v>
      </c>
      <c r="N4" s="225">
        <v>2000000</v>
      </c>
      <c r="O4" s="213" t="s">
        <v>452</v>
      </c>
      <c r="P4" s="213" t="s">
        <v>1876</v>
      </c>
      <c r="Q4" s="143"/>
      <c r="R4" s="213" t="str">
        <f t="array" ref="R4">INDEX(Notes!B:B,MATCH($B4,Notes!$A:$A,0))</f>
        <v>Invite</v>
      </c>
      <c r="S4" s="226">
        <f t="array" ref="S4">INDEX(Notes!C:C,MATCH($B4,Notes!$A:$A,0))</f>
        <v>0</v>
      </c>
      <c r="T4" s="226"/>
      <c r="U4" s="218"/>
      <c r="V4" s="218"/>
      <c r="W4" s="218"/>
      <c r="X4" s="219"/>
      <c r="Y4" s="219"/>
      <c r="Z4" s="219"/>
      <c r="AA4" s="219"/>
      <c r="AB4" s="219"/>
    </row>
    <row r="5" spans="1:28">
      <c r="A5" s="479">
        <v>44784</v>
      </c>
      <c r="B5" s="358" t="s">
        <v>150</v>
      </c>
      <c r="C5" s="358">
        <v>4.5</v>
      </c>
      <c r="D5" s="250" t="str">
        <f ca="1">IFERROR(VLOOKUP(B5,'2022-2023 Third Reviews'!$C:$S,9,FALSE),"")</f>
        <v>Chris Millisits
2</v>
      </c>
      <c r="E5" s="358" t="s">
        <v>3406</v>
      </c>
      <c r="F5" s="358" t="s">
        <v>5</v>
      </c>
      <c r="G5" s="358" t="s">
        <v>460</v>
      </c>
      <c r="H5" s="358" t="s">
        <v>10278</v>
      </c>
      <c r="I5" s="358">
        <v>4.5</v>
      </c>
      <c r="J5" s="358" t="s">
        <v>462</v>
      </c>
      <c r="K5" s="358" t="s">
        <v>3408</v>
      </c>
      <c r="L5" s="358">
        <v>4.5</v>
      </c>
      <c r="M5" s="358"/>
      <c r="N5" s="358"/>
      <c r="O5" s="358" t="s">
        <v>452</v>
      </c>
      <c r="P5" s="358" t="s">
        <v>10279</v>
      </c>
      <c r="Q5" s="358"/>
      <c r="R5" s="480" t="s">
        <v>24</v>
      </c>
      <c r="S5" s="358" t="s">
        <v>3410</v>
      </c>
      <c r="T5" s="358" t="s">
        <v>11852</v>
      </c>
      <c r="U5" s="358"/>
      <c r="V5" s="358"/>
      <c r="W5" s="358"/>
      <c r="X5" s="358"/>
      <c r="Y5" s="358"/>
      <c r="Z5" s="306"/>
      <c r="AA5" s="306"/>
      <c r="AB5" s="306"/>
    </row>
    <row r="6" spans="1:28" hidden="1">
      <c r="A6" s="248">
        <v>44782</v>
      </c>
      <c r="B6" s="219" t="s">
        <v>285</v>
      </c>
      <c r="C6" s="249">
        <v>5</v>
      </c>
      <c r="D6" s="249"/>
      <c r="E6" s="219" t="s">
        <v>1626</v>
      </c>
      <c r="F6" s="250" t="s">
        <v>3</v>
      </c>
      <c r="G6" s="219" t="s">
        <v>460</v>
      </c>
      <c r="H6" s="219" t="s">
        <v>10208</v>
      </c>
      <c r="I6" s="219">
        <v>5</v>
      </c>
      <c r="J6" s="219" t="s">
        <v>488</v>
      </c>
      <c r="K6" s="219"/>
      <c r="L6" s="219">
        <v>5</v>
      </c>
      <c r="M6" s="219"/>
      <c r="N6" s="219">
        <v>15000000</v>
      </c>
      <c r="O6" s="219" t="s">
        <v>452</v>
      </c>
      <c r="P6" s="219" t="s">
        <v>575</v>
      </c>
      <c r="Q6" s="219"/>
      <c r="R6" s="213" t="s">
        <v>18</v>
      </c>
      <c r="S6" s="251"/>
      <c r="T6" s="251"/>
      <c r="U6" s="252"/>
      <c r="V6" s="252"/>
      <c r="W6" s="252"/>
      <c r="X6" s="219"/>
      <c r="Y6" s="219"/>
      <c r="Z6" s="219"/>
      <c r="AA6" s="219"/>
      <c r="AB6" s="219"/>
    </row>
    <row r="7" spans="1:28" hidden="1">
      <c r="A7" s="253">
        <v>44782</v>
      </c>
      <c r="B7" s="224" t="s">
        <v>327</v>
      </c>
      <c r="C7" s="249">
        <v>5</v>
      </c>
      <c r="D7" s="249"/>
      <c r="E7" s="224" t="s">
        <v>1825</v>
      </c>
      <c r="F7" s="250" t="s">
        <v>3</v>
      </c>
      <c r="G7" s="224" t="s">
        <v>460</v>
      </c>
      <c r="H7" s="224" t="s">
        <v>1826</v>
      </c>
      <c r="I7" s="224">
        <v>5</v>
      </c>
      <c r="J7" s="224" t="s">
        <v>941</v>
      </c>
      <c r="K7" s="224"/>
      <c r="L7" s="224">
        <v>5</v>
      </c>
      <c r="M7" s="224" t="s">
        <v>478</v>
      </c>
      <c r="N7" s="224">
        <v>20000000</v>
      </c>
      <c r="O7" s="224" t="s">
        <v>465</v>
      </c>
      <c r="P7" s="224" t="s">
        <v>1827</v>
      </c>
      <c r="Q7" s="224"/>
      <c r="R7" s="224" t="s">
        <v>18</v>
      </c>
      <c r="S7" s="254"/>
      <c r="T7" s="254"/>
      <c r="U7" s="252"/>
      <c r="V7" s="252"/>
      <c r="W7" s="252"/>
      <c r="X7" s="224"/>
      <c r="Y7" s="224"/>
      <c r="Z7" s="224"/>
      <c r="AA7" s="224"/>
      <c r="AB7" s="224"/>
    </row>
    <row r="8" spans="1:28">
      <c r="A8" s="255">
        <v>44791</v>
      </c>
      <c r="B8" s="239" t="s">
        <v>84</v>
      </c>
      <c r="C8" s="239">
        <v>4.5</v>
      </c>
      <c r="D8" s="250" t="str">
        <f ca="1">IFERROR(VLOOKUP(B8,'2022-2023 Third Reviews'!$C:$S,9,FALSE),"")</f>
        <v>John McDonald
4</v>
      </c>
      <c r="E8" s="239" t="s">
        <v>11790</v>
      </c>
      <c r="F8" s="239" t="s">
        <v>5</v>
      </c>
      <c r="G8" s="239" t="s">
        <v>602</v>
      </c>
      <c r="H8" s="239" t="s">
        <v>603</v>
      </c>
      <c r="I8" s="239">
        <v>4</v>
      </c>
      <c r="J8" s="239" t="s">
        <v>604</v>
      </c>
      <c r="K8" s="239" t="s">
        <v>11104</v>
      </c>
      <c r="L8" s="239">
        <v>5</v>
      </c>
      <c r="M8" s="239"/>
      <c r="N8" s="239"/>
      <c r="O8" s="239" t="s">
        <v>465</v>
      </c>
      <c r="P8" s="239" t="s">
        <v>452</v>
      </c>
      <c r="Q8" s="239"/>
      <c r="R8" s="239" t="s">
        <v>18</v>
      </c>
      <c r="S8" s="239" t="s">
        <v>11645</v>
      </c>
      <c r="T8" s="239" t="s">
        <v>11783</v>
      </c>
      <c r="U8" s="239"/>
      <c r="V8" s="239"/>
      <c r="W8" s="239"/>
      <c r="X8" s="239"/>
      <c r="Y8" s="239"/>
      <c r="Z8" s="239"/>
      <c r="AA8" s="239"/>
      <c r="AB8" s="239"/>
    </row>
    <row r="9" spans="1:28" hidden="1">
      <c r="A9" s="253">
        <v>44782</v>
      </c>
      <c r="B9" s="224" t="s">
        <v>298</v>
      </c>
      <c r="C9" s="249">
        <v>5</v>
      </c>
      <c r="D9" s="249"/>
      <c r="E9" s="224" t="s">
        <v>1670</v>
      </c>
      <c r="F9" s="250" t="s">
        <v>3</v>
      </c>
      <c r="G9" s="224" t="s">
        <v>460</v>
      </c>
      <c r="H9" s="224" t="s">
        <v>10453</v>
      </c>
      <c r="I9" s="224">
        <v>5</v>
      </c>
      <c r="J9" s="224" t="s">
        <v>462</v>
      </c>
      <c r="K9" s="224"/>
      <c r="L9" s="224">
        <v>5</v>
      </c>
      <c r="M9" s="224" t="s">
        <v>451</v>
      </c>
      <c r="N9" s="224">
        <v>2000000</v>
      </c>
      <c r="O9" s="224" t="s">
        <v>452</v>
      </c>
      <c r="P9" s="224" t="s">
        <v>452</v>
      </c>
      <c r="Q9" s="224"/>
      <c r="R9" s="224" t="s">
        <v>18</v>
      </c>
      <c r="S9" s="254"/>
      <c r="T9" s="254"/>
      <c r="U9" s="252"/>
      <c r="V9" s="252"/>
      <c r="W9" s="252"/>
      <c r="X9" s="224"/>
      <c r="Y9" s="224"/>
      <c r="Z9" s="224"/>
      <c r="AA9" s="224"/>
      <c r="AB9" s="224"/>
    </row>
    <row r="10" spans="1:28" hidden="1">
      <c r="A10" s="248">
        <v>44782</v>
      </c>
      <c r="B10" s="219" t="s">
        <v>311</v>
      </c>
      <c r="C10" s="249">
        <v>5</v>
      </c>
      <c r="D10" s="249"/>
      <c r="E10" s="219" t="s">
        <v>1709</v>
      </c>
      <c r="F10" s="250" t="s">
        <v>3</v>
      </c>
      <c r="G10" s="219" t="s">
        <v>460</v>
      </c>
      <c r="H10" s="219" t="s">
        <v>1710</v>
      </c>
      <c r="I10" s="219">
        <v>5</v>
      </c>
      <c r="J10" s="219" t="s">
        <v>488</v>
      </c>
      <c r="K10" s="219" t="s">
        <v>11413</v>
      </c>
      <c r="L10" s="219">
        <v>5</v>
      </c>
      <c r="M10" s="219" t="s">
        <v>478</v>
      </c>
      <c r="N10" s="219">
        <v>30000000</v>
      </c>
      <c r="O10" s="219" t="s">
        <v>465</v>
      </c>
      <c r="P10" s="219" t="s">
        <v>452</v>
      </c>
      <c r="Q10" s="219" t="s">
        <v>1713</v>
      </c>
      <c r="R10" s="219" t="s">
        <v>18</v>
      </c>
      <c r="S10" s="251"/>
      <c r="T10" s="251"/>
      <c r="U10" s="252"/>
      <c r="V10" s="252"/>
      <c r="W10" s="252"/>
      <c r="X10" s="219"/>
      <c r="Y10" s="219"/>
      <c r="Z10" s="219"/>
      <c r="AA10" s="219"/>
      <c r="AB10" s="219"/>
    </row>
    <row r="11" spans="1:28" hidden="1">
      <c r="A11" s="267">
        <v>44784</v>
      </c>
      <c r="B11" s="272" t="s">
        <v>368</v>
      </c>
      <c r="C11" s="269">
        <v>5</v>
      </c>
      <c r="D11" s="269"/>
      <c r="E11" s="272" t="s">
        <v>2064</v>
      </c>
      <c r="F11" s="270" t="s">
        <v>3</v>
      </c>
      <c r="G11" s="272" t="s">
        <v>460</v>
      </c>
      <c r="H11" s="272" t="s">
        <v>2065</v>
      </c>
      <c r="I11" s="272">
        <v>5</v>
      </c>
      <c r="J11" s="272" t="s">
        <v>488</v>
      </c>
      <c r="K11" s="272" t="s">
        <v>2066</v>
      </c>
      <c r="L11" s="272">
        <v>5</v>
      </c>
      <c r="M11" s="272" t="s">
        <v>973</v>
      </c>
      <c r="N11" s="272" t="s">
        <v>2067</v>
      </c>
      <c r="O11" s="272" t="s">
        <v>465</v>
      </c>
      <c r="P11" s="272" t="s">
        <v>2068</v>
      </c>
      <c r="Q11" s="272"/>
      <c r="R11" s="272" t="s">
        <v>18</v>
      </c>
      <c r="S11" s="274" t="s">
        <v>2069</v>
      </c>
      <c r="T11" s="274"/>
      <c r="U11" s="272"/>
      <c r="V11" s="272"/>
      <c r="W11" s="272"/>
      <c r="X11" s="272"/>
      <c r="Y11" s="272"/>
      <c r="Z11" s="224"/>
      <c r="AA11" s="224"/>
      <c r="AB11" s="224"/>
    </row>
    <row r="12" spans="1:28" ht="15.75" customHeight="1">
      <c r="A12" s="257">
        <v>44796</v>
      </c>
      <c r="B12" s="258" t="s">
        <v>76</v>
      </c>
      <c r="C12" s="258">
        <v>3.5</v>
      </c>
      <c r="D12" s="250" t="str">
        <f>IFERROR(VLOOKUP(B12,'2022-2023 Third Reviews'!$C:$S,9,FALSE),"")</f>
        <v/>
      </c>
      <c r="E12" s="258" t="s">
        <v>532</v>
      </c>
      <c r="F12" s="258" t="s">
        <v>5</v>
      </c>
      <c r="G12" s="258" t="s">
        <v>447</v>
      </c>
      <c r="H12" s="258" t="s">
        <v>11134</v>
      </c>
      <c r="I12" s="258">
        <v>3</v>
      </c>
      <c r="J12" s="258" t="s">
        <v>449</v>
      </c>
      <c r="K12" s="258" t="s">
        <v>11731</v>
      </c>
      <c r="L12" s="258">
        <v>4</v>
      </c>
      <c r="M12" s="258" t="s">
        <v>451</v>
      </c>
      <c r="N12" s="328">
        <v>6500000</v>
      </c>
      <c r="O12" s="258" t="s">
        <v>452</v>
      </c>
      <c r="P12" s="258" t="s">
        <v>535</v>
      </c>
      <c r="Q12" s="258"/>
      <c r="R12" s="258" t="s">
        <v>19</v>
      </c>
      <c r="S12" s="258" t="s">
        <v>536</v>
      </c>
      <c r="T12" s="258" t="s">
        <v>11779</v>
      </c>
      <c r="U12" s="258"/>
      <c r="V12" s="258"/>
      <c r="W12" s="258"/>
      <c r="X12" s="258"/>
      <c r="Y12" s="258"/>
      <c r="Z12" s="258"/>
      <c r="AA12" s="258"/>
      <c r="AB12" s="258"/>
    </row>
    <row r="13" spans="1:28" ht="15.75" hidden="1" customHeight="1">
      <c r="A13" s="267">
        <v>44784</v>
      </c>
      <c r="B13" s="272" t="s">
        <v>360</v>
      </c>
      <c r="C13" s="269">
        <v>5</v>
      </c>
      <c r="D13" s="269"/>
      <c r="E13" s="272" t="s">
        <v>2032</v>
      </c>
      <c r="F13" s="270" t="s">
        <v>3</v>
      </c>
      <c r="G13" s="272" t="s">
        <v>460</v>
      </c>
      <c r="H13" s="272" t="s">
        <v>2033</v>
      </c>
      <c r="I13" s="272">
        <v>5</v>
      </c>
      <c r="J13" s="272" t="s">
        <v>462</v>
      </c>
      <c r="K13" s="272" t="s">
        <v>2034</v>
      </c>
      <c r="L13" s="272">
        <v>5</v>
      </c>
      <c r="M13" s="272" t="s">
        <v>478</v>
      </c>
      <c r="N13" s="284">
        <v>3000000</v>
      </c>
      <c r="O13" s="272" t="s">
        <v>465</v>
      </c>
      <c r="P13" s="284" t="s">
        <v>452</v>
      </c>
      <c r="Q13" s="272"/>
      <c r="R13" s="272" t="s">
        <v>18</v>
      </c>
      <c r="S13" s="274" t="s">
        <v>2035</v>
      </c>
      <c r="T13" s="274"/>
      <c r="U13" s="272"/>
      <c r="V13" s="272"/>
      <c r="W13" s="272"/>
      <c r="X13" s="272"/>
      <c r="Y13" s="272"/>
      <c r="Z13" s="224"/>
      <c r="AA13" s="224"/>
      <c r="AB13" s="224"/>
    </row>
    <row r="14" spans="1:28" ht="15.75" hidden="1" customHeight="1">
      <c r="A14" s="267">
        <v>44784</v>
      </c>
      <c r="B14" s="268" t="s">
        <v>301</v>
      </c>
      <c r="C14" s="269">
        <v>5</v>
      </c>
      <c r="D14" s="269"/>
      <c r="E14" s="268" t="s">
        <v>1684</v>
      </c>
      <c r="F14" s="270" t="s">
        <v>3</v>
      </c>
      <c r="G14" s="268" t="s">
        <v>460</v>
      </c>
      <c r="H14" s="268" t="s">
        <v>1685</v>
      </c>
      <c r="I14" s="268">
        <v>5</v>
      </c>
      <c r="J14" s="268" t="s">
        <v>941</v>
      </c>
      <c r="K14" s="268" t="s">
        <v>1686</v>
      </c>
      <c r="L14" s="268">
        <v>5</v>
      </c>
      <c r="M14" s="268"/>
      <c r="N14" s="268"/>
      <c r="O14" s="268" t="s">
        <v>452</v>
      </c>
      <c r="P14" s="268" t="s">
        <v>1687</v>
      </c>
      <c r="Q14" s="268" t="s">
        <v>725</v>
      </c>
      <c r="R14" s="268" t="s">
        <v>18</v>
      </c>
      <c r="S14" s="271" t="s">
        <v>1688</v>
      </c>
      <c r="T14" s="271"/>
      <c r="U14" s="268"/>
      <c r="V14" s="268"/>
      <c r="W14" s="268"/>
      <c r="X14" s="268"/>
      <c r="Y14" s="268"/>
      <c r="Z14" s="219"/>
      <c r="AA14" s="219"/>
      <c r="AB14" s="219"/>
    </row>
    <row r="15" spans="1:28" ht="15.75" hidden="1" customHeight="1">
      <c r="A15" s="253">
        <v>44789</v>
      </c>
      <c r="B15" s="224" t="s">
        <v>331</v>
      </c>
      <c r="C15" s="249">
        <v>5</v>
      </c>
      <c r="D15" s="249"/>
      <c r="E15" s="224" t="s">
        <v>1849</v>
      </c>
      <c r="F15" s="250" t="s">
        <v>3</v>
      </c>
      <c r="G15" s="224" t="s">
        <v>460</v>
      </c>
      <c r="H15" s="224" t="s">
        <v>10216</v>
      </c>
      <c r="I15" s="224">
        <v>5</v>
      </c>
      <c r="J15" s="224" t="s">
        <v>462</v>
      </c>
      <c r="K15" s="224" t="s">
        <v>1851</v>
      </c>
      <c r="L15" s="224">
        <v>5</v>
      </c>
      <c r="M15" s="224" t="s">
        <v>478</v>
      </c>
      <c r="N15" s="307" t="s">
        <v>1852</v>
      </c>
      <c r="O15" s="224" t="s">
        <v>454</v>
      </c>
      <c r="P15" s="224" t="s">
        <v>1853</v>
      </c>
      <c r="Q15" s="224" t="s">
        <v>460</v>
      </c>
      <c r="R15" s="224" t="s">
        <v>18</v>
      </c>
      <c r="S15" s="254"/>
      <c r="T15" s="254"/>
      <c r="U15" s="252"/>
      <c r="V15" s="252"/>
      <c r="W15" s="252"/>
      <c r="X15" s="224"/>
      <c r="Y15" s="224"/>
      <c r="Z15" s="224"/>
      <c r="AA15" s="224"/>
      <c r="AB15" s="224"/>
    </row>
    <row r="16" spans="1:28" ht="15.75" hidden="1" customHeight="1">
      <c r="A16" s="255">
        <v>44789</v>
      </c>
      <c r="B16" s="239" t="s">
        <v>256</v>
      </c>
      <c r="C16" s="262">
        <v>5</v>
      </c>
      <c r="D16" s="262"/>
      <c r="E16" s="239" t="s">
        <v>1471</v>
      </c>
      <c r="F16" s="239" t="s">
        <v>4</v>
      </c>
      <c r="G16" s="239" t="s">
        <v>447</v>
      </c>
      <c r="H16" s="239" t="s">
        <v>10820</v>
      </c>
      <c r="I16" s="239">
        <v>5</v>
      </c>
      <c r="J16" s="239" t="s">
        <v>449</v>
      </c>
      <c r="K16" s="239" t="s">
        <v>13400</v>
      </c>
      <c r="L16" s="239">
        <v>5</v>
      </c>
      <c r="M16" s="239" t="s">
        <v>478</v>
      </c>
      <c r="N16" s="239" t="s">
        <v>1474</v>
      </c>
      <c r="O16" s="239" t="s">
        <v>452</v>
      </c>
      <c r="P16" s="239" t="s">
        <v>1475</v>
      </c>
      <c r="Q16" s="239" t="s">
        <v>1476</v>
      </c>
      <c r="R16" s="239" t="s">
        <v>18</v>
      </c>
      <c r="S16" s="256" t="s">
        <v>11608</v>
      </c>
      <c r="T16" s="256"/>
      <c r="U16" s="239"/>
      <c r="V16" s="239"/>
      <c r="W16" s="239"/>
      <c r="X16" s="239"/>
      <c r="Y16" s="239"/>
      <c r="Z16" s="239"/>
      <c r="AA16" s="239"/>
      <c r="AB16" s="239"/>
    </row>
    <row r="17" spans="1:28" ht="15.75" customHeight="1">
      <c r="A17" s="398">
        <v>44784</v>
      </c>
      <c r="B17" s="481" t="s">
        <v>128</v>
      </c>
      <c r="C17" s="482">
        <v>5</v>
      </c>
      <c r="D17" s="250" t="str">
        <f>IFERROR(VLOOKUP(B17,'2022-2023 Third Reviews'!$C:$S,9,FALSE),"")</f>
        <v/>
      </c>
      <c r="E17" s="481" t="s">
        <v>920</v>
      </c>
      <c r="F17" s="482" t="s">
        <v>5</v>
      </c>
      <c r="G17" s="481" t="s">
        <v>447</v>
      </c>
      <c r="H17" s="481" t="s">
        <v>10430</v>
      </c>
      <c r="I17" s="481">
        <v>5</v>
      </c>
      <c r="J17" s="481" t="s">
        <v>543</v>
      </c>
      <c r="K17" s="481" t="s">
        <v>11545</v>
      </c>
      <c r="L17" s="481">
        <v>5</v>
      </c>
      <c r="M17" s="481" t="s">
        <v>923</v>
      </c>
      <c r="N17" s="483">
        <v>3000000</v>
      </c>
      <c r="O17" s="481" t="s">
        <v>452</v>
      </c>
      <c r="P17" s="483" t="s">
        <v>924</v>
      </c>
      <c r="Q17" s="481"/>
      <c r="R17" s="481" t="s">
        <v>18</v>
      </c>
      <c r="S17" s="481" t="s">
        <v>925</v>
      </c>
      <c r="T17" s="481" t="s">
        <v>11824</v>
      </c>
      <c r="U17" s="481"/>
      <c r="V17" s="481"/>
      <c r="W17" s="481"/>
      <c r="X17" s="481"/>
      <c r="Y17" s="481"/>
      <c r="Z17" s="224"/>
      <c r="AA17" s="224"/>
      <c r="AB17" s="224"/>
    </row>
    <row r="18" spans="1:28" ht="15.75" hidden="1" customHeight="1">
      <c r="A18" s="248">
        <v>44789</v>
      </c>
      <c r="B18" s="219" t="s">
        <v>338</v>
      </c>
      <c r="C18" s="249">
        <v>5</v>
      </c>
      <c r="D18" s="249"/>
      <c r="E18" s="219" t="s">
        <v>1917</v>
      </c>
      <c r="F18" s="250" t="s">
        <v>3</v>
      </c>
      <c r="G18" s="219" t="s">
        <v>460</v>
      </c>
      <c r="H18" s="219" t="s">
        <v>1918</v>
      </c>
      <c r="I18" s="219">
        <v>5</v>
      </c>
      <c r="J18" s="219" t="s">
        <v>941</v>
      </c>
      <c r="K18" s="219" t="s">
        <v>1919</v>
      </c>
      <c r="L18" s="219">
        <v>5</v>
      </c>
      <c r="M18" s="219" t="s">
        <v>1920</v>
      </c>
      <c r="N18" s="219" t="s">
        <v>1921</v>
      </c>
      <c r="O18" s="219" t="s">
        <v>452</v>
      </c>
      <c r="P18" s="219" t="s">
        <v>10980</v>
      </c>
      <c r="Q18" s="219" t="s">
        <v>1924</v>
      </c>
      <c r="R18" s="219" t="s">
        <v>18</v>
      </c>
      <c r="S18" s="251"/>
      <c r="T18" s="251"/>
      <c r="U18" s="252"/>
      <c r="V18" s="252"/>
      <c r="W18" s="252"/>
      <c r="X18" s="219"/>
      <c r="Y18" s="219"/>
      <c r="Z18" s="219"/>
      <c r="AA18" s="219"/>
      <c r="AB18" s="219"/>
    </row>
    <row r="19" spans="1:28" ht="15.75" hidden="1" customHeight="1">
      <c r="A19" s="257">
        <v>44791</v>
      </c>
      <c r="B19" s="258" t="s">
        <v>314</v>
      </c>
      <c r="C19" s="263">
        <v>5</v>
      </c>
      <c r="D19" s="263"/>
      <c r="E19" s="258" t="s">
        <v>1726</v>
      </c>
      <c r="F19" s="258" t="s">
        <v>3</v>
      </c>
      <c r="G19" s="258" t="s">
        <v>725</v>
      </c>
      <c r="H19" s="258" t="s">
        <v>10523</v>
      </c>
      <c r="I19" s="258">
        <v>5</v>
      </c>
      <c r="J19" s="258" t="s">
        <v>462</v>
      </c>
      <c r="K19" s="258" t="s">
        <v>1728</v>
      </c>
      <c r="L19" s="258">
        <v>5</v>
      </c>
      <c r="M19" s="258" t="s">
        <v>478</v>
      </c>
      <c r="N19" s="309">
        <v>15000000</v>
      </c>
      <c r="O19" s="258" t="s">
        <v>465</v>
      </c>
      <c r="P19" s="258" t="s">
        <v>1729</v>
      </c>
      <c r="Q19" s="258"/>
      <c r="R19" s="258" t="s">
        <v>18</v>
      </c>
      <c r="S19" s="259" t="s">
        <v>11640</v>
      </c>
      <c r="T19" s="259"/>
      <c r="U19" s="258"/>
      <c r="V19" s="258"/>
      <c r="W19" s="258"/>
      <c r="X19" s="258"/>
      <c r="Y19" s="258"/>
      <c r="Z19" s="258"/>
      <c r="AA19" s="258"/>
      <c r="AB19" s="258"/>
    </row>
    <row r="20" spans="1:28" ht="15.75" hidden="1" customHeight="1">
      <c r="A20" s="248">
        <v>44791</v>
      </c>
      <c r="B20" s="219" t="s">
        <v>231</v>
      </c>
      <c r="C20" s="315">
        <v>5</v>
      </c>
      <c r="D20" s="315"/>
      <c r="E20" s="219" t="s">
        <v>1369</v>
      </c>
      <c r="F20" s="219" t="s">
        <v>4</v>
      </c>
      <c r="G20" s="219" t="s">
        <v>727</v>
      </c>
      <c r="H20" s="219" t="s">
        <v>10502</v>
      </c>
      <c r="I20" s="219">
        <v>5</v>
      </c>
      <c r="J20" s="219" t="s">
        <v>1371</v>
      </c>
      <c r="K20" s="219" t="s">
        <v>1372</v>
      </c>
      <c r="L20" s="219">
        <v>5</v>
      </c>
      <c r="M20" s="219" t="s">
        <v>478</v>
      </c>
      <c r="N20" s="219" t="s">
        <v>1373</v>
      </c>
      <c r="O20" s="219" t="s">
        <v>465</v>
      </c>
      <c r="P20" s="219" t="s">
        <v>1374</v>
      </c>
      <c r="Q20" s="219" t="s">
        <v>1375</v>
      </c>
      <c r="R20" s="219" t="s">
        <v>18</v>
      </c>
      <c r="S20" s="251" t="s">
        <v>1376</v>
      </c>
      <c r="T20" s="251"/>
      <c r="U20" s="219"/>
      <c r="V20" s="219"/>
      <c r="W20" s="219"/>
      <c r="X20" s="219"/>
      <c r="Y20" s="219"/>
      <c r="Z20" s="219"/>
      <c r="AA20" s="219"/>
      <c r="AB20" s="219"/>
    </row>
    <row r="21" spans="1:28" ht="15.75" hidden="1" customHeight="1">
      <c r="A21" s="253">
        <v>44782</v>
      </c>
      <c r="B21" s="224" t="s">
        <v>313</v>
      </c>
      <c r="C21" s="249">
        <v>4.75</v>
      </c>
      <c r="D21" s="249"/>
      <c r="E21" s="224" t="s">
        <v>1718</v>
      </c>
      <c r="F21" s="250" t="s">
        <v>3</v>
      </c>
      <c r="G21" s="224" t="s">
        <v>460</v>
      </c>
      <c r="H21" s="224" t="s">
        <v>1719</v>
      </c>
      <c r="I21" s="224">
        <v>5</v>
      </c>
      <c r="J21" s="224" t="s">
        <v>462</v>
      </c>
      <c r="K21" s="224" t="s">
        <v>1720</v>
      </c>
      <c r="L21" s="224">
        <v>4.5</v>
      </c>
      <c r="M21" s="224" t="s">
        <v>478</v>
      </c>
      <c r="N21" s="224">
        <v>6000000</v>
      </c>
      <c r="O21" s="224" t="s">
        <v>452</v>
      </c>
      <c r="P21" s="224" t="s">
        <v>1721</v>
      </c>
      <c r="Q21" s="224"/>
      <c r="R21" s="221" t="s">
        <v>18</v>
      </c>
      <c r="S21" s="254"/>
      <c r="T21" s="254"/>
      <c r="U21" s="252"/>
      <c r="V21" s="252"/>
      <c r="W21" s="252"/>
      <c r="X21" s="224"/>
      <c r="Y21" s="224"/>
      <c r="Z21" s="224"/>
      <c r="AA21" s="224"/>
      <c r="AB21" s="224"/>
    </row>
    <row r="22" spans="1:28" ht="15.75" customHeight="1">
      <c r="A22" s="257">
        <v>44796</v>
      </c>
      <c r="B22" s="258" t="s">
        <v>104</v>
      </c>
      <c r="C22" s="258">
        <v>4.5</v>
      </c>
      <c r="D22" s="250" t="str">
        <f ca="1">IFERROR(VLOOKUP(B22,'2022-2023 Third Reviews'!$C:$S,9,FALSE),"")</f>
        <v>Ahmed Bahgat
2</v>
      </c>
      <c r="E22" s="258" t="s">
        <v>11803</v>
      </c>
      <c r="F22" s="258" t="s">
        <v>5</v>
      </c>
      <c r="G22" s="258" t="s">
        <v>447</v>
      </c>
      <c r="H22" s="258" t="s">
        <v>11297</v>
      </c>
      <c r="I22" s="258">
        <v>4.5</v>
      </c>
      <c r="J22" s="258" t="s">
        <v>449</v>
      </c>
      <c r="K22" s="258" t="s">
        <v>11298</v>
      </c>
      <c r="L22" s="258">
        <v>4.5</v>
      </c>
      <c r="M22" s="258" t="s">
        <v>768</v>
      </c>
      <c r="N22" s="328">
        <v>48500000</v>
      </c>
      <c r="O22" s="258" t="s">
        <v>452</v>
      </c>
      <c r="P22" s="258" t="s">
        <v>452</v>
      </c>
      <c r="Q22" s="258"/>
      <c r="R22" s="258" t="s">
        <v>18</v>
      </c>
      <c r="S22" s="258"/>
      <c r="T22" s="258" t="s">
        <v>11804</v>
      </c>
      <c r="U22" s="258"/>
      <c r="V22" s="258"/>
      <c r="W22" s="258"/>
      <c r="X22" s="258"/>
      <c r="Y22" s="258"/>
      <c r="Z22" s="258"/>
      <c r="AA22" s="258"/>
      <c r="AB22" s="258"/>
    </row>
    <row r="23" spans="1:28" ht="15.75" customHeight="1">
      <c r="A23" s="484">
        <v>44789</v>
      </c>
      <c r="B23" s="250" t="s">
        <v>115</v>
      </c>
      <c r="C23" s="250">
        <v>4.5</v>
      </c>
      <c r="D23" s="250" t="str">
        <f ca="1">IFERROR(VLOOKUP(B23,'2022-2023 Third Reviews'!$C:$S,9,FALSE),"")</f>
        <v>Ahmed Bahgat
5</v>
      </c>
      <c r="E23" s="250" t="s">
        <v>829</v>
      </c>
      <c r="F23" s="250" t="s">
        <v>5</v>
      </c>
      <c r="G23" s="250" t="s">
        <v>447</v>
      </c>
      <c r="H23" s="250" t="s">
        <v>10769</v>
      </c>
      <c r="I23" s="250">
        <v>4</v>
      </c>
      <c r="J23" s="250" t="s">
        <v>449</v>
      </c>
      <c r="K23" s="250" t="e">
        <f>+Credible and passionate Team
+Compiling vision and roadmap
+Novel and propriety Tech
+MVP and trials with hospital
+Large potential market</f>
        <v>#NAME?</v>
      </c>
      <c r="L23" s="250">
        <v>5</v>
      </c>
      <c r="M23" s="250" t="s">
        <v>451</v>
      </c>
      <c r="N23" s="250">
        <v>2000000</v>
      </c>
      <c r="O23" s="250" t="s">
        <v>452</v>
      </c>
      <c r="P23" s="250" t="s">
        <v>832</v>
      </c>
      <c r="Q23" s="250"/>
      <c r="R23" s="480" t="s">
        <v>24</v>
      </c>
      <c r="S23" s="250" t="s">
        <v>11613</v>
      </c>
      <c r="T23" s="250" t="s">
        <v>11788</v>
      </c>
      <c r="U23" s="250"/>
      <c r="V23" s="250"/>
      <c r="W23" s="250"/>
      <c r="X23" s="250"/>
      <c r="Y23" s="250"/>
      <c r="Z23" s="250"/>
      <c r="AA23" s="250"/>
      <c r="AB23" s="250"/>
    </row>
    <row r="24" spans="1:28" ht="15.75" customHeight="1">
      <c r="A24" s="227">
        <v>44776</v>
      </c>
      <c r="B24" s="228" t="s">
        <v>91</v>
      </c>
      <c r="C24" s="215">
        <v>3.5</v>
      </c>
      <c r="D24" s="250" t="str">
        <f>IFERROR(VLOOKUP(B24,'2022-2023 Third Reviews'!$C:$S,9,FALSE),"")</f>
        <v/>
      </c>
      <c r="E24" s="228" t="s">
        <v>646</v>
      </c>
      <c r="F24" s="215" t="s">
        <v>5</v>
      </c>
      <c r="G24" s="228" t="s">
        <v>447</v>
      </c>
      <c r="H24" s="228" t="s">
        <v>647</v>
      </c>
      <c r="I24" s="228">
        <v>4</v>
      </c>
      <c r="J24" s="228" t="s">
        <v>543</v>
      </c>
      <c r="K24" s="228" t="s">
        <v>11479</v>
      </c>
      <c r="L24" s="228">
        <v>3</v>
      </c>
      <c r="M24" s="228" t="s">
        <v>451</v>
      </c>
      <c r="N24" s="228">
        <v>4000000</v>
      </c>
      <c r="O24" s="228" t="s">
        <v>465</v>
      </c>
      <c r="P24" s="228" t="s">
        <v>649</v>
      </c>
      <c r="Q24" s="228"/>
      <c r="R24" s="228" t="s">
        <v>18</v>
      </c>
      <c r="S24" s="228" t="s">
        <v>650</v>
      </c>
      <c r="T24" s="228" t="s">
        <v>11794</v>
      </c>
      <c r="U24" s="228"/>
      <c r="V24" s="228"/>
      <c r="W24" s="228"/>
      <c r="X24" s="219"/>
      <c r="Y24" s="219"/>
      <c r="Z24" s="219"/>
      <c r="AA24" s="219"/>
      <c r="AB24" s="219"/>
    </row>
    <row r="25" spans="1:28" ht="15.75" hidden="1" customHeight="1">
      <c r="A25" s="257">
        <v>44789</v>
      </c>
      <c r="B25" s="258" t="s">
        <v>165</v>
      </c>
      <c r="C25" s="263">
        <v>4.75</v>
      </c>
      <c r="D25" s="263"/>
      <c r="E25" s="258" t="s">
        <v>3642</v>
      </c>
      <c r="F25" s="258" t="s">
        <v>4</v>
      </c>
      <c r="G25" s="258" t="s">
        <v>727</v>
      </c>
      <c r="H25" s="258" t="s">
        <v>10249</v>
      </c>
      <c r="I25" s="258">
        <v>4.5</v>
      </c>
      <c r="J25" s="258" t="s">
        <v>1045</v>
      </c>
      <c r="K25" s="258" t="s">
        <v>3644</v>
      </c>
      <c r="L25" s="258">
        <v>5</v>
      </c>
      <c r="M25" s="258" t="s">
        <v>451</v>
      </c>
      <c r="N25" s="309">
        <v>4000000</v>
      </c>
      <c r="O25" s="258" t="s">
        <v>452</v>
      </c>
      <c r="P25" s="258" t="s">
        <v>452</v>
      </c>
      <c r="Q25" s="258"/>
      <c r="R25" s="258" t="s">
        <v>18</v>
      </c>
      <c r="S25" s="259" t="s">
        <v>11611</v>
      </c>
      <c r="T25" s="259"/>
      <c r="U25" s="258"/>
      <c r="V25" s="258"/>
      <c r="W25" s="258"/>
      <c r="X25" s="258"/>
      <c r="Y25" s="258"/>
      <c r="Z25" s="258"/>
      <c r="AA25" s="258"/>
      <c r="AB25" s="258"/>
    </row>
    <row r="26" spans="1:28" ht="15.75" hidden="1" customHeight="1">
      <c r="A26" s="248">
        <v>44789</v>
      </c>
      <c r="B26" s="219" t="s">
        <v>277</v>
      </c>
      <c r="C26" s="249">
        <v>4.75</v>
      </c>
      <c r="D26" s="249"/>
      <c r="E26" s="219" t="s">
        <v>10859</v>
      </c>
      <c r="F26" s="250" t="s">
        <v>3</v>
      </c>
      <c r="G26" s="219" t="s">
        <v>460</v>
      </c>
      <c r="H26" s="219" t="s">
        <v>10860</v>
      </c>
      <c r="I26" s="219">
        <v>4.5</v>
      </c>
      <c r="J26" s="219" t="s">
        <v>462</v>
      </c>
      <c r="K26" s="219" t="s">
        <v>1603</v>
      </c>
      <c r="L26" s="219">
        <v>5</v>
      </c>
      <c r="M26" s="219"/>
      <c r="N26" s="219"/>
      <c r="O26" s="219" t="s">
        <v>452</v>
      </c>
      <c r="P26" s="219" t="s">
        <v>1604</v>
      </c>
      <c r="Q26" s="219"/>
      <c r="R26" s="219" t="s">
        <v>18</v>
      </c>
      <c r="S26" s="251"/>
      <c r="T26" s="251"/>
      <c r="U26" s="252"/>
      <c r="V26" s="252"/>
      <c r="W26" s="252"/>
      <c r="X26" s="219"/>
      <c r="Y26" s="219"/>
      <c r="Z26" s="219"/>
      <c r="AA26" s="219"/>
      <c r="AB26" s="219"/>
    </row>
    <row r="27" spans="1:28" ht="15.75" hidden="1" customHeight="1">
      <c r="A27" s="257">
        <v>44789</v>
      </c>
      <c r="B27" s="258" t="s">
        <v>309</v>
      </c>
      <c r="C27" s="263">
        <v>4.75</v>
      </c>
      <c r="D27" s="263"/>
      <c r="E27" s="258" t="s">
        <v>1593</v>
      </c>
      <c r="F27" s="258" t="s">
        <v>4</v>
      </c>
      <c r="G27" s="258" t="s">
        <v>727</v>
      </c>
      <c r="H27" s="258" t="s">
        <v>11460</v>
      </c>
      <c r="I27" s="258">
        <v>5</v>
      </c>
      <c r="J27" s="258" t="s">
        <v>1045</v>
      </c>
      <c r="K27" s="258" t="s">
        <v>1595</v>
      </c>
      <c r="L27" s="258">
        <v>4.5</v>
      </c>
      <c r="M27" s="258" t="s">
        <v>451</v>
      </c>
      <c r="N27" s="258">
        <v>1500000</v>
      </c>
      <c r="O27" s="258" t="s">
        <v>452</v>
      </c>
      <c r="P27" s="258" t="s">
        <v>1119</v>
      </c>
      <c r="Q27" s="258"/>
      <c r="R27" s="258" t="s">
        <v>18</v>
      </c>
      <c r="S27" s="259" t="s">
        <v>1596</v>
      </c>
      <c r="T27" s="259"/>
      <c r="U27" s="258"/>
      <c r="V27" s="258"/>
      <c r="W27" s="258"/>
      <c r="X27" s="258"/>
      <c r="Y27" s="258"/>
      <c r="Z27" s="258"/>
      <c r="AA27" s="258"/>
      <c r="AB27" s="258"/>
    </row>
    <row r="28" spans="1:28" ht="15.75" hidden="1" customHeight="1">
      <c r="A28" s="248">
        <v>44791</v>
      </c>
      <c r="B28" s="219" t="s">
        <v>345</v>
      </c>
      <c r="C28" s="315">
        <v>4.75</v>
      </c>
      <c r="D28" s="315"/>
      <c r="E28" s="219" t="s">
        <v>1972</v>
      </c>
      <c r="F28" s="219" t="s">
        <v>3</v>
      </c>
      <c r="G28" s="219" t="s">
        <v>460</v>
      </c>
      <c r="H28" s="219" t="s">
        <v>1973</v>
      </c>
      <c r="I28" s="219">
        <v>4.5</v>
      </c>
      <c r="J28" s="219" t="s">
        <v>462</v>
      </c>
      <c r="K28" s="219" t="s">
        <v>1974</v>
      </c>
      <c r="L28" s="219">
        <v>5</v>
      </c>
      <c r="M28" s="219" t="s">
        <v>478</v>
      </c>
      <c r="N28" s="219" t="s">
        <v>1975</v>
      </c>
      <c r="O28" s="219" t="s">
        <v>452</v>
      </c>
      <c r="P28" s="219" t="s">
        <v>1976</v>
      </c>
      <c r="Q28" s="219" t="s">
        <v>725</v>
      </c>
      <c r="R28" s="219" t="s">
        <v>18</v>
      </c>
      <c r="S28" s="251" t="s">
        <v>1977</v>
      </c>
      <c r="T28" s="251"/>
      <c r="U28" s="219"/>
      <c r="V28" s="219"/>
      <c r="W28" s="219"/>
      <c r="X28" s="219"/>
      <c r="Y28" s="219"/>
      <c r="Z28" s="219"/>
      <c r="AA28" s="219"/>
      <c r="AB28" s="219"/>
    </row>
    <row r="29" spans="1:28" ht="15.75" customHeight="1">
      <c r="A29" s="257">
        <v>44789</v>
      </c>
      <c r="B29" s="258" t="s">
        <v>77</v>
      </c>
      <c r="C29" s="258">
        <v>4</v>
      </c>
      <c r="D29" s="250" t="str">
        <f>IFERROR(VLOOKUP(B29,'2022-2023 Third Reviews'!$C:$S,9,FALSE),"")</f>
        <v/>
      </c>
      <c r="E29" s="258" t="s">
        <v>552</v>
      </c>
      <c r="F29" s="258" t="s">
        <v>5</v>
      </c>
      <c r="G29" s="258" t="s">
        <v>447</v>
      </c>
      <c r="H29" s="258" t="s">
        <v>10782</v>
      </c>
      <c r="I29" s="258">
        <v>4</v>
      </c>
      <c r="J29" s="258" t="s">
        <v>543</v>
      </c>
      <c r="K29" s="258" t="s">
        <v>11616</v>
      </c>
      <c r="L29" s="258">
        <v>4</v>
      </c>
      <c r="M29" s="258" t="s">
        <v>451</v>
      </c>
      <c r="N29" s="309">
        <v>11000000</v>
      </c>
      <c r="O29" s="258" t="s">
        <v>454</v>
      </c>
      <c r="P29" s="258" t="s">
        <v>555</v>
      </c>
      <c r="Q29" s="258"/>
      <c r="R29" s="258" t="s">
        <v>18</v>
      </c>
      <c r="S29" s="258" t="s">
        <v>556</v>
      </c>
      <c r="T29" s="258" t="s">
        <v>11782</v>
      </c>
      <c r="U29" s="258"/>
      <c r="V29" s="258"/>
      <c r="W29" s="258"/>
      <c r="X29" s="258"/>
      <c r="Y29" s="258"/>
      <c r="Z29" s="258"/>
      <c r="AA29" s="258"/>
      <c r="AB29" s="258"/>
    </row>
    <row r="30" spans="1:28" ht="15.75" hidden="1" customHeight="1">
      <c r="A30" s="257">
        <v>44791</v>
      </c>
      <c r="B30" s="258" t="s">
        <v>145</v>
      </c>
      <c r="C30" s="263">
        <v>4.75</v>
      </c>
      <c r="D30" s="263"/>
      <c r="E30" s="258" t="s">
        <v>988</v>
      </c>
      <c r="F30" s="258" t="s">
        <v>4</v>
      </c>
      <c r="G30" s="258" t="s">
        <v>602</v>
      </c>
      <c r="H30" s="258" t="s">
        <v>989</v>
      </c>
      <c r="I30" s="258">
        <v>4.5</v>
      </c>
      <c r="J30" s="258" t="s">
        <v>990</v>
      </c>
      <c r="K30" s="258" t="s">
        <v>991</v>
      </c>
      <c r="L30" s="258">
        <v>5</v>
      </c>
      <c r="M30" s="258"/>
      <c r="N30" s="309"/>
      <c r="O30" s="258" t="s">
        <v>452</v>
      </c>
      <c r="P30" s="258" t="s">
        <v>452</v>
      </c>
      <c r="Q30" s="258"/>
      <c r="R30" s="258" t="s">
        <v>18</v>
      </c>
      <c r="S30" s="259" t="s">
        <v>992</v>
      </c>
      <c r="T30" s="259"/>
      <c r="U30" s="258"/>
      <c r="V30" s="258"/>
      <c r="W30" s="258"/>
      <c r="X30" s="258"/>
      <c r="Y30" s="258"/>
      <c r="Z30" s="258"/>
      <c r="AA30" s="258"/>
      <c r="AB30" s="258"/>
    </row>
    <row r="31" spans="1:28" ht="15.75" hidden="1" customHeight="1">
      <c r="A31" s="257">
        <v>44796</v>
      </c>
      <c r="B31" s="258" t="s">
        <v>300</v>
      </c>
      <c r="C31" s="263">
        <v>4.75</v>
      </c>
      <c r="D31" s="263"/>
      <c r="E31" s="258" t="s">
        <v>1675</v>
      </c>
      <c r="F31" s="258" t="s">
        <v>3</v>
      </c>
      <c r="G31" s="258" t="s">
        <v>460</v>
      </c>
      <c r="H31" s="258" t="s">
        <v>1676</v>
      </c>
      <c r="I31" s="258">
        <v>4.5</v>
      </c>
      <c r="J31" s="258" t="s">
        <v>462</v>
      </c>
      <c r="K31" s="258" t="s">
        <v>1677</v>
      </c>
      <c r="L31" s="258">
        <v>5</v>
      </c>
      <c r="M31" s="258" t="s">
        <v>451</v>
      </c>
      <c r="N31" s="258">
        <v>10000000</v>
      </c>
      <c r="O31" s="258" t="s">
        <v>452</v>
      </c>
      <c r="P31" s="258" t="s">
        <v>1678</v>
      </c>
      <c r="Q31" s="258"/>
      <c r="R31" s="258" t="s">
        <v>18</v>
      </c>
      <c r="S31" s="259" t="s">
        <v>1679</v>
      </c>
      <c r="T31" s="259"/>
      <c r="U31" s="258"/>
      <c r="V31" s="258"/>
      <c r="W31" s="258"/>
      <c r="X31" s="258"/>
      <c r="Y31" s="258"/>
      <c r="Z31" s="258"/>
      <c r="AA31" s="258"/>
      <c r="AB31" s="258"/>
    </row>
    <row r="32" spans="1:28" ht="15.75" hidden="1" customHeight="1">
      <c r="A32" s="257">
        <v>44796</v>
      </c>
      <c r="B32" s="258" t="s">
        <v>237</v>
      </c>
      <c r="C32" s="263">
        <v>4.75</v>
      </c>
      <c r="D32" s="263"/>
      <c r="E32" s="258" t="s">
        <v>1390</v>
      </c>
      <c r="F32" s="258" t="s">
        <v>4</v>
      </c>
      <c r="G32" s="258" t="s">
        <v>727</v>
      </c>
      <c r="H32" s="258" t="s">
        <v>10575</v>
      </c>
      <c r="I32" s="258">
        <v>4.5</v>
      </c>
      <c r="J32" s="258" t="s">
        <v>1371</v>
      </c>
      <c r="K32" s="258" t="s">
        <v>1392</v>
      </c>
      <c r="L32" s="258">
        <v>5</v>
      </c>
      <c r="M32" s="258" t="s">
        <v>478</v>
      </c>
      <c r="N32" s="258">
        <v>8000000</v>
      </c>
      <c r="O32" s="258" t="s">
        <v>452</v>
      </c>
      <c r="P32" s="258" t="s">
        <v>10576</v>
      </c>
      <c r="Q32" s="258"/>
      <c r="R32" s="258" t="s">
        <v>18</v>
      </c>
      <c r="S32" s="259" t="s">
        <v>1394</v>
      </c>
      <c r="T32" s="259"/>
      <c r="U32" s="258"/>
      <c r="V32" s="258"/>
      <c r="W32" s="258"/>
      <c r="X32" s="258"/>
      <c r="Y32" s="258"/>
      <c r="Z32" s="258"/>
      <c r="AA32" s="258"/>
      <c r="AB32" s="258"/>
    </row>
    <row r="33" spans="1:28" ht="15.75" hidden="1" customHeight="1">
      <c r="A33" s="257">
        <v>44796</v>
      </c>
      <c r="B33" s="258" t="s">
        <v>148</v>
      </c>
      <c r="C33" s="263">
        <v>4.75</v>
      </c>
      <c r="D33" s="263"/>
      <c r="E33" s="258" t="s">
        <v>997</v>
      </c>
      <c r="F33" s="258" t="s">
        <v>4</v>
      </c>
      <c r="G33" s="258" t="s">
        <v>725</v>
      </c>
      <c r="H33" s="258" t="s">
        <v>10764</v>
      </c>
      <c r="I33" s="258">
        <v>4.5</v>
      </c>
      <c r="J33" s="258" t="s">
        <v>990</v>
      </c>
      <c r="K33" s="258" t="s">
        <v>999</v>
      </c>
      <c r="L33" s="258">
        <v>5</v>
      </c>
      <c r="M33" s="258" t="s">
        <v>451</v>
      </c>
      <c r="N33" s="328">
        <v>5000000</v>
      </c>
      <c r="O33" s="258" t="s">
        <v>452</v>
      </c>
      <c r="P33" s="258" t="s">
        <v>1000</v>
      </c>
      <c r="Q33" s="258"/>
      <c r="R33" s="258" t="s">
        <v>18</v>
      </c>
      <c r="S33" s="259" t="s">
        <v>1001</v>
      </c>
      <c r="T33" s="259"/>
      <c r="U33" s="258"/>
      <c r="V33" s="258"/>
      <c r="W33" s="258"/>
      <c r="X33" s="258"/>
      <c r="Y33" s="258"/>
      <c r="Z33" s="258"/>
      <c r="AA33" s="258"/>
      <c r="AB33" s="258"/>
    </row>
    <row r="34" spans="1:28" ht="15.75" hidden="1" customHeight="1">
      <c r="A34" s="257">
        <v>44796</v>
      </c>
      <c r="B34" s="258" t="s">
        <v>361</v>
      </c>
      <c r="C34" s="263">
        <v>4.75</v>
      </c>
      <c r="D34" s="263"/>
      <c r="E34" s="258" t="s">
        <v>10832</v>
      </c>
      <c r="F34" s="258" t="s">
        <v>3</v>
      </c>
      <c r="G34" s="258" t="s">
        <v>725</v>
      </c>
      <c r="H34" s="258" t="s">
        <v>2041</v>
      </c>
      <c r="I34" s="258">
        <v>5</v>
      </c>
      <c r="J34" s="258" t="s">
        <v>941</v>
      </c>
      <c r="K34" s="258" t="s">
        <v>2042</v>
      </c>
      <c r="L34" s="258">
        <v>4.5</v>
      </c>
      <c r="M34" s="258" t="s">
        <v>451</v>
      </c>
      <c r="N34" s="328">
        <v>15000000</v>
      </c>
      <c r="O34" s="258" t="s">
        <v>452</v>
      </c>
      <c r="P34" s="258" t="s">
        <v>452</v>
      </c>
      <c r="Q34" s="258" t="s">
        <v>2043</v>
      </c>
      <c r="R34" s="258" t="s">
        <v>18</v>
      </c>
      <c r="S34" s="259" t="s">
        <v>2044</v>
      </c>
      <c r="T34" s="259"/>
      <c r="U34" s="258"/>
      <c r="V34" s="258"/>
      <c r="W34" s="258"/>
      <c r="X34" s="258"/>
      <c r="Y34" s="258"/>
      <c r="Z34" s="258"/>
      <c r="AA34" s="258"/>
      <c r="AB34" s="258"/>
    </row>
    <row r="35" spans="1:28" ht="15.75" customHeight="1">
      <c r="A35" s="485">
        <v>44796</v>
      </c>
      <c r="B35" s="486" t="s">
        <v>123</v>
      </c>
      <c r="C35" s="486">
        <v>4</v>
      </c>
      <c r="D35" s="250" t="str">
        <f>IFERROR(VLOOKUP(B35,'2022-2023 Third Reviews'!$C:$S,9,FALSE),"")</f>
        <v/>
      </c>
      <c r="E35" s="486" t="s">
        <v>9473</v>
      </c>
      <c r="F35" s="486" t="s">
        <v>5</v>
      </c>
      <c r="G35" s="486" t="s">
        <v>488</v>
      </c>
      <c r="H35" s="486" t="s">
        <v>9474</v>
      </c>
      <c r="I35" s="486">
        <v>4</v>
      </c>
      <c r="J35" s="486" t="s">
        <v>941</v>
      </c>
      <c r="K35" s="486" t="s">
        <v>9475</v>
      </c>
      <c r="L35" s="486">
        <v>4</v>
      </c>
      <c r="M35" s="486"/>
      <c r="N35" s="486"/>
      <c r="O35" s="486" t="s">
        <v>452</v>
      </c>
      <c r="P35" s="486" t="s">
        <v>9476</v>
      </c>
      <c r="Q35" s="486"/>
      <c r="R35" s="486" t="s">
        <v>20</v>
      </c>
      <c r="S35" s="486" t="s">
        <v>9477</v>
      </c>
      <c r="T35" s="486" t="s">
        <v>11793</v>
      </c>
      <c r="U35" s="486"/>
      <c r="V35" s="486"/>
      <c r="W35" s="486"/>
      <c r="X35" s="486"/>
      <c r="Y35" s="486"/>
      <c r="Z35" s="486"/>
      <c r="AA35" s="486"/>
      <c r="AB35" s="486"/>
    </row>
    <row r="36" spans="1:28" ht="15.75" hidden="1" customHeight="1">
      <c r="A36" s="257">
        <v>44796</v>
      </c>
      <c r="B36" s="258" t="s">
        <v>369</v>
      </c>
      <c r="C36" s="263">
        <v>4.75</v>
      </c>
      <c r="D36" s="263"/>
      <c r="E36" s="258" t="s">
        <v>2074</v>
      </c>
      <c r="F36" s="258" t="s">
        <v>3</v>
      </c>
      <c r="G36" s="258" t="s">
        <v>488</v>
      </c>
      <c r="H36" s="258" t="s">
        <v>2075</v>
      </c>
      <c r="I36" s="258">
        <v>5</v>
      </c>
      <c r="J36" s="258" t="s">
        <v>462</v>
      </c>
      <c r="K36" s="258" t="s">
        <v>2076</v>
      </c>
      <c r="L36" s="258">
        <v>4.5</v>
      </c>
      <c r="M36" s="258" t="s">
        <v>478</v>
      </c>
      <c r="N36" s="258" t="s">
        <v>2077</v>
      </c>
      <c r="O36" s="258" t="s">
        <v>452</v>
      </c>
      <c r="P36" s="258" t="s">
        <v>2078</v>
      </c>
      <c r="Q36" s="258"/>
      <c r="R36" s="258" t="s">
        <v>18</v>
      </c>
      <c r="S36" s="259" t="s">
        <v>2079</v>
      </c>
      <c r="T36" s="259"/>
      <c r="U36" s="258"/>
      <c r="V36" s="258"/>
      <c r="W36" s="258"/>
      <c r="X36" s="258"/>
      <c r="Y36" s="258"/>
      <c r="Z36" s="258"/>
      <c r="AA36" s="258"/>
      <c r="AB36" s="258"/>
    </row>
    <row r="37" spans="1:28" ht="15.75" hidden="1" customHeight="1">
      <c r="A37" s="253">
        <v>44796</v>
      </c>
      <c r="B37" s="224" t="s">
        <v>179</v>
      </c>
      <c r="C37" s="316">
        <v>4.75</v>
      </c>
      <c r="D37" s="316"/>
      <c r="E37" s="224" t="s">
        <v>1143</v>
      </c>
      <c r="F37" s="224" t="s">
        <v>4</v>
      </c>
      <c r="G37" s="224" t="s">
        <v>725</v>
      </c>
      <c r="H37" s="224"/>
      <c r="I37" s="224">
        <v>4.5</v>
      </c>
      <c r="J37" s="224" t="s">
        <v>604</v>
      </c>
      <c r="K37" s="224" t="s">
        <v>10995</v>
      </c>
      <c r="L37" s="224">
        <v>5</v>
      </c>
      <c r="M37" s="224"/>
      <c r="N37" s="224"/>
      <c r="O37" s="224" t="s">
        <v>454</v>
      </c>
      <c r="P37" s="224" t="s">
        <v>10996</v>
      </c>
      <c r="Q37" s="224"/>
      <c r="R37" s="224" t="s">
        <v>18</v>
      </c>
      <c r="S37" s="254"/>
      <c r="T37" s="254"/>
      <c r="U37" s="224"/>
      <c r="V37" s="224"/>
      <c r="W37" s="224"/>
      <c r="X37" s="224"/>
      <c r="Y37" s="224"/>
      <c r="Z37" s="224"/>
      <c r="AA37" s="224"/>
      <c r="AB37" s="224"/>
    </row>
    <row r="38" spans="1:28" ht="15.75" hidden="1" customHeight="1">
      <c r="A38" s="257">
        <v>44789</v>
      </c>
      <c r="B38" s="258" t="s">
        <v>321</v>
      </c>
      <c r="C38" s="263">
        <v>4.63</v>
      </c>
      <c r="D38" s="263"/>
      <c r="E38" s="258" t="s">
        <v>1776</v>
      </c>
      <c r="F38" s="258" t="s">
        <v>3</v>
      </c>
      <c r="G38" s="258" t="s">
        <v>488</v>
      </c>
      <c r="H38" s="258"/>
      <c r="I38" s="258">
        <v>4.5</v>
      </c>
      <c r="J38" s="258" t="s">
        <v>941</v>
      </c>
      <c r="K38" s="258"/>
      <c r="L38" s="258">
        <v>4.75</v>
      </c>
      <c r="M38" s="258" t="s">
        <v>451</v>
      </c>
      <c r="N38" s="309">
        <v>10000000</v>
      </c>
      <c r="O38" s="258" t="s">
        <v>452</v>
      </c>
      <c r="P38" s="258" t="s">
        <v>575</v>
      </c>
      <c r="Q38" s="258" t="s">
        <v>1777</v>
      </c>
      <c r="R38" s="258" t="s">
        <v>18</v>
      </c>
      <c r="S38" s="259" t="s">
        <v>1778</v>
      </c>
      <c r="T38" s="259"/>
      <c r="U38" s="258"/>
      <c r="V38" s="258"/>
      <c r="W38" s="258"/>
      <c r="X38" s="258"/>
      <c r="Y38" s="258"/>
      <c r="Z38" s="258"/>
      <c r="AA38" s="258"/>
      <c r="AB38" s="258"/>
    </row>
    <row r="39" spans="1:28" ht="15.75" hidden="1" customHeight="1">
      <c r="A39" s="253">
        <v>44796</v>
      </c>
      <c r="B39" s="224" t="s">
        <v>163</v>
      </c>
      <c r="C39" s="316">
        <v>4.63</v>
      </c>
      <c r="D39" s="316"/>
      <c r="E39" s="224" t="s">
        <v>1085</v>
      </c>
      <c r="F39" s="224" t="s">
        <v>4</v>
      </c>
      <c r="G39" s="224" t="s">
        <v>725</v>
      </c>
      <c r="H39" s="224" t="s">
        <v>1086</v>
      </c>
      <c r="I39" s="224">
        <v>4.25</v>
      </c>
      <c r="J39" s="224" t="s">
        <v>1073</v>
      </c>
      <c r="K39" s="224" t="s">
        <v>1087</v>
      </c>
      <c r="L39" s="224">
        <v>5</v>
      </c>
      <c r="M39" s="224" t="s">
        <v>784</v>
      </c>
      <c r="N39" s="224">
        <v>500000</v>
      </c>
      <c r="O39" s="224" t="s">
        <v>452</v>
      </c>
      <c r="P39" s="224" t="s">
        <v>1088</v>
      </c>
      <c r="Q39" s="224"/>
      <c r="R39" s="224" t="s">
        <v>18</v>
      </c>
      <c r="S39" s="254"/>
      <c r="T39" s="254"/>
      <c r="U39" s="224"/>
      <c r="V39" s="224"/>
      <c r="W39" s="224"/>
      <c r="X39" s="224"/>
      <c r="Y39" s="224"/>
      <c r="Z39" s="224"/>
      <c r="AA39" s="224"/>
      <c r="AB39" s="224"/>
    </row>
    <row r="40" spans="1:28" ht="15.75" hidden="1" customHeight="1">
      <c r="A40" s="212">
        <v>44776</v>
      </c>
      <c r="B40" s="213" t="s">
        <v>172</v>
      </c>
      <c r="C40" s="214">
        <v>4.5</v>
      </c>
      <c r="D40" s="214"/>
      <c r="E40" s="213" t="s">
        <v>1108</v>
      </c>
      <c r="F40" s="215" t="s">
        <v>4</v>
      </c>
      <c r="G40" s="213" t="s">
        <v>602</v>
      </c>
      <c r="H40" s="213" t="s">
        <v>1109</v>
      </c>
      <c r="I40" s="213">
        <v>4.5</v>
      </c>
      <c r="J40" s="213" t="s">
        <v>727</v>
      </c>
      <c r="K40" s="213" t="s">
        <v>1110</v>
      </c>
      <c r="L40" s="213">
        <v>4.5</v>
      </c>
      <c r="M40" s="213"/>
      <c r="N40" s="213"/>
      <c r="O40" s="213" t="s">
        <v>465</v>
      </c>
      <c r="P40" s="213" t="s">
        <v>452</v>
      </c>
      <c r="Q40" s="143"/>
      <c r="R40" s="213" t="str">
        <f t="array" ref="R40">INDEX(Notes!B:B,MATCH($B40,Notes!$A:$A,0))</f>
        <v>Invite</v>
      </c>
      <c r="S40" s="226" t="s">
        <v>1111</v>
      </c>
      <c r="T40" s="226"/>
      <c r="U40" s="218"/>
      <c r="V40" s="218"/>
      <c r="W40" s="218"/>
      <c r="X40" s="219"/>
      <c r="Y40" s="219"/>
      <c r="Z40" s="219"/>
      <c r="AA40" s="219"/>
      <c r="AB40" s="219"/>
    </row>
    <row r="41" spans="1:28" ht="15.75" hidden="1" customHeight="1">
      <c r="A41" s="220">
        <v>44776</v>
      </c>
      <c r="B41" s="221" t="s">
        <v>363</v>
      </c>
      <c r="C41" s="214">
        <v>4.5</v>
      </c>
      <c r="D41" s="214"/>
      <c r="E41" s="221" t="s">
        <v>2056</v>
      </c>
      <c r="F41" s="215" t="s">
        <v>3</v>
      </c>
      <c r="G41" s="221" t="s">
        <v>460</v>
      </c>
      <c r="H41" s="221" t="s">
        <v>2057</v>
      </c>
      <c r="I41" s="221">
        <v>4</v>
      </c>
      <c r="J41" s="221" t="s">
        <v>941</v>
      </c>
      <c r="K41" s="221"/>
      <c r="L41" s="221">
        <v>5</v>
      </c>
      <c r="M41" s="221" t="s">
        <v>784</v>
      </c>
      <c r="N41" s="221" t="s">
        <v>11510</v>
      </c>
      <c r="O41" s="221" t="s">
        <v>452</v>
      </c>
      <c r="P41" s="221" t="s">
        <v>452</v>
      </c>
      <c r="Q41" s="145" t="s">
        <v>2059</v>
      </c>
      <c r="R41" s="221" t="str">
        <f t="array" ref="R41">INDEX(Notes!B:B,MATCH($B41,Notes!$A:$A,0))</f>
        <v>Invite</v>
      </c>
      <c r="S41" s="223">
        <f t="array" ref="S41">INDEX(Notes!C:C,MATCH($B41,Notes!$A:$A,0))</f>
        <v>0</v>
      </c>
      <c r="T41" s="223"/>
      <c r="U41" s="218"/>
      <c r="V41" s="218"/>
      <c r="W41" s="218"/>
      <c r="X41" s="224"/>
      <c r="Y41" s="224"/>
      <c r="Z41" s="224"/>
      <c r="AA41" s="224"/>
      <c r="AB41" s="224"/>
    </row>
    <row r="42" spans="1:28" ht="15.75" hidden="1" customHeight="1">
      <c r="A42" s="212">
        <v>44776</v>
      </c>
      <c r="B42" s="213" t="s">
        <v>260</v>
      </c>
      <c r="C42" s="214">
        <v>4.5</v>
      </c>
      <c r="D42" s="214"/>
      <c r="E42" s="213" t="s">
        <v>1510</v>
      </c>
      <c r="F42" s="215" t="s">
        <v>4</v>
      </c>
      <c r="G42" s="213" t="s">
        <v>602</v>
      </c>
      <c r="H42" s="213" t="s">
        <v>11419</v>
      </c>
      <c r="I42" s="213">
        <v>4.5</v>
      </c>
      <c r="J42" s="213" t="s">
        <v>1054</v>
      </c>
      <c r="K42" s="213" t="s">
        <v>11420</v>
      </c>
      <c r="L42" s="213">
        <v>4.5</v>
      </c>
      <c r="M42" s="213" t="s">
        <v>451</v>
      </c>
      <c r="N42" s="225">
        <v>3000000</v>
      </c>
      <c r="O42" s="213" t="s">
        <v>454</v>
      </c>
      <c r="P42" s="213" t="s">
        <v>11421</v>
      </c>
      <c r="Q42" s="143"/>
      <c r="R42" s="213" t="str">
        <f t="array" ref="R42">INDEX(Notes!B:B,MATCH($B42,Notes!$A:$A,0))</f>
        <v>Invite</v>
      </c>
      <c r="S42" s="226">
        <f t="array" ref="S42">INDEX(Notes!C:C,MATCH($B42,Notes!$A:$A,0))</f>
        <v>0</v>
      </c>
      <c r="T42" s="226"/>
      <c r="U42" s="218"/>
      <c r="V42" s="218"/>
      <c r="W42" s="218"/>
      <c r="X42" s="219"/>
      <c r="Y42" s="219"/>
      <c r="Z42" s="219"/>
      <c r="AA42" s="219"/>
      <c r="AB42" s="219"/>
    </row>
    <row r="43" spans="1:28" ht="15.75" hidden="1" customHeight="1">
      <c r="A43" s="253">
        <v>44782</v>
      </c>
      <c r="B43" s="224" t="s">
        <v>149</v>
      </c>
      <c r="C43" s="249">
        <v>4.5</v>
      </c>
      <c r="D43" s="249"/>
      <c r="E43" s="224" t="s">
        <v>1006</v>
      </c>
      <c r="F43" s="250" t="s">
        <v>4</v>
      </c>
      <c r="G43" s="224" t="s">
        <v>602</v>
      </c>
      <c r="H43" s="224" t="s">
        <v>10233</v>
      </c>
      <c r="I43" s="224">
        <v>4.5</v>
      </c>
      <c r="J43" s="224" t="s">
        <v>727</v>
      </c>
      <c r="K43" s="224" t="s">
        <v>10234</v>
      </c>
      <c r="L43" s="224">
        <v>4.5</v>
      </c>
      <c r="M43" s="224"/>
      <c r="N43" s="224"/>
      <c r="O43" s="224" t="s">
        <v>452</v>
      </c>
      <c r="P43" s="224" t="s">
        <v>10235</v>
      </c>
      <c r="Q43" s="224"/>
      <c r="R43" s="221" t="s">
        <v>18</v>
      </c>
      <c r="S43" s="254" t="s">
        <v>1010</v>
      </c>
      <c r="T43" s="254"/>
      <c r="U43" s="252"/>
      <c r="V43" s="252"/>
      <c r="W43" s="252"/>
      <c r="X43" s="224"/>
      <c r="Y43" s="224"/>
      <c r="Z43" s="224"/>
      <c r="AA43" s="224"/>
      <c r="AB43" s="224"/>
    </row>
    <row r="44" spans="1:28" ht="15.75" hidden="1" customHeight="1">
      <c r="A44" s="248">
        <v>44782</v>
      </c>
      <c r="B44" s="219" t="s">
        <v>316</v>
      </c>
      <c r="C44" s="249">
        <v>4.5</v>
      </c>
      <c r="D44" s="249"/>
      <c r="E44" s="219" t="s">
        <v>1744</v>
      </c>
      <c r="F44" s="250" t="s">
        <v>3</v>
      </c>
      <c r="G44" s="219" t="s">
        <v>460</v>
      </c>
      <c r="H44" s="219" t="s">
        <v>11524</v>
      </c>
      <c r="I44" s="219">
        <v>4.5</v>
      </c>
      <c r="J44" s="219" t="s">
        <v>462</v>
      </c>
      <c r="K44" s="219" t="s">
        <v>1746</v>
      </c>
      <c r="L44" s="219">
        <v>4.5</v>
      </c>
      <c r="M44" s="219" t="s">
        <v>478</v>
      </c>
      <c r="N44" s="219">
        <v>20000000</v>
      </c>
      <c r="O44" s="219" t="s">
        <v>454</v>
      </c>
      <c r="P44" s="219" t="s">
        <v>1747</v>
      </c>
      <c r="Q44" s="219"/>
      <c r="R44" s="219" t="s">
        <v>18</v>
      </c>
      <c r="S44" s="251"/>
      <c r="T44" s="251"/>
      <c r="U44" s="252"/>
      <c r="V44" s="252"/>
      <c r="W44" s="252"/>
      <c r="X44" s="219"/>
      <c r="Y44" s="219"/>
      <c r="Z44" s="219"/>
      <c r="AA44" s="219"/>
      <c r="AB44" s="219"/>
    </row>
    <row r="45" spans="1:28" ht="15.75" hidden="1" customHeight="1">
      <c r="A45" s="253">
        <v>44782</v>
      </c>
      <c r="B45" s="224" t="s">
        <v>333</v>
      </c>
      <c r="C45" s="249">
        <v>4.5</v>
      </c>
      <c r="D45" s="249"/>
      <c r="E45" s="224" t="s">
        <v>1867</v>
      </c>
      <c r="F45" s="250" t="s">
        <v>3</v>
      </c>
      <c r="G45" s="224" t="s">
        <v>460</v>
      </c>
      <c r="H45" s="224" t="s">
        <v>1868</v>
      </c>
      <c r="I45" s="224">
        <v>4.5</v>
      </c>
      <c r="J45" s="224" t="s">
        <v>462</v>
      </c>
      <c r="K45" s="224" t="s">
        <v>1869</v>
      </c>
      <c r="L45" s="224">
        <v>4.5</v>
      </c>
      <c r="M45" s="224"/>
      <c r="N45" s="224"/>
      <c r="O45" s="224" t="s">
        <v>452</v>
      </c>
      <c r="P45" s="224" t="s">
        <v>452</v>
      </c>
      <c r="Q45" s="224"/>
      <c r="R45" s="224" t="s">
        <v>18</v>
      </c>
      <c r="S45" s="254"/>
      <c r="T45" s="254"/>
      <c r="U45" s="252"/>
      <c r="V45" s="252"/>
      <c r="W45" s="252"/>
      <c r="X45" s="224"/>
      <c r="Y45" s="224"/>
      <c r="Z45" s="224"/>
      <c r="AA45" s="224"/>
      <c r="AB45" s="224"/>
    </row>
    <row r="46" spans="1:28" ht="15.75" hidden="1" customHeight="1">
      <c r="A46" s="255">
        <v>44782</v>
      </c>
      <c r="B46" s="239" t="s">
        <v>416</v>
      </c>
      <c r="C46" s="262">
        <v>4.5</v>
      </c>
      <c r="D46" s="262"/>
      <c r="E46" s="239" t="s">
        <v>1219</v>
      </c>
      <c r="F46" s="239" t="s">
        <v>4</v>
      </c>
      <c r="G46" s="239" t="s">
        <v>447</v>
      </c>
      <c r="H46" s="239" t="s">
        <v>11525</v>
      </c>
      <c r="I46" s="239">
        <v>4</v>
      </c>
      <c r="J46" s="239" t="s">
        <v>449</v>
      </c>
      <c r="K46" s="239" t="s">
        <v>13400</v>
      </c>
      <c r="L46" s="239">
        <v>5</v>
      </c>
      <c r="M46" s="239" t="s">
        <v>478</v>
      </c>
      <c r="N46" s="239">
        <v>15000000</v>
      </c>
      <c r="O46" s="239" t="s">
        <v>454</v>
      </c>
      <c r="P46" s="239" t="s">
        <v>1221</v>
      </c>
      <c r="Q46" s="239"/>
      <c r="R46" s="239" t="s">
        <v>18</v>
      </c>
      <c r="S46" s="256" t="s">
        <v>1222</v>
      </c>
      <c r="T46" s="256"/>
      <c r="U46" s="239"/>
      <c r="V46" s="239"/>
      <c r="W46" s="239"/>
      <c r="X46" s="239"/>
      <c r="Y46" s="239"/>
      <c r="Z46" s="239"/>
      <c r="AA46" s="239"/>
      <c r="AB46" s="239"/>
    </row>
    <row r="47" spans="1:28" ht="15.75" customHeight="1">
      <c r="A47" s="487">
        <v>44784</v>
      </c>
      <c r="B47" s="488" t="s">
        <v>90</v>
      </c>
      <c r="C47" s="488">
        <v>3.75</v>
      </c>
      <c r="D47" s="250" t="str">
        <f>IFERROR(VLOOKUP(B47,'2022-2023 Third Reviews'!$C:$S,9,FALSE),"")</f>
        <v/>
      </c>
      <c r="E47" s="488" t="s">
        <v>638</v>
      </c>
      <c r="F47" s="488" t="s">
        <v>5</v>
      </c>
      <c r="G47" s="488" t="s">
        <v>447</v>
      </c>
      <c r="H47" s="488" t="s">
        <v>10569</v>
      </c>
      <c r="I47" s="488">
        <v>3.5</v>
      </c>
      <c r="J47" s="488" t="s">
        <v>622</v>
      </c>
      <c r="K47" s="488"/>
      <c r="L47" s="488">
        <v>4</v>
      </c>
      <c r="M47" s="488"/>
      <c r="N47" s="488"/>
      <c r="O47" s="488" t="s">
        <v>452</v>
      </c>
      <c r="P47" s="488" t="s">
        <v>575</v>
      </c>
      <c r="Q47" s="488" t="s">
        <v>640</v>
      </c>
      <c r="R47" s="488" t="s">
        <v>18</v>
      </c>
      <c r="S47" s="488" t="s">
        <v>641</v>
      </c>
      <c r="T47" s="488" t="s">
        <v>11793</v>
      </c>
      <c r="U47" s="488"/>
      <c r="V47" s="488"/>
      <c r="W47" s="488"/>
      <c r="X47" s="488"/>
      <c r="Y47" s="488"/>
      <c r="Z47" s="489"/>
      <c r="AA47" s="489"/>
      <c r="AB47" s="489"/>
    </row>
    <row r="48" spans="1:28" ht="15.75" customHeight="1">
      <c r="A48" s="484">
        <v>44791</v>
      </c>
      <c r="B48" s="250" t="s">
        <v>94</v>
      </c>
      <c r="C48" s="250">
        <v>4.5</v>
      </c>
      <c r="D48" s="250" t="str">
        <f ca="1">IFERROR(VLOOKUP(B48,'2022-2023 Third Reviews'!$C:$S,9,FALSE),"")</f>
        <v>Nick Schmandt
5</v>
      </c>
      <c r="E48" s="250" t="s">
        <v>685</v>
      </c>
      <c r="F48" s="250" t="s">
        <v>5</v>
      </c>
      <c r="G48" s="250" t="s">
        <v>447</v>
      </c>
      <c r="H48" s="250" t="s">
        <v>11795</v>
      </c>
      <c r="I48" s="250">
        <v>5</v>
      </c>
      <c r="J48" s="250" t="s">
        <v>449</v>
      </c>
      <c r="K48" s="250" t="s">
        <v>11643</v>
      </c>
      <c r="L48" s="250">
        <v>4</v>
      </c>
      <c r="M48" s="250" t="s">
        <v>478</v>
      </c>
      <c r="N48" s="490">
        <v>12000000</v>
      </c>
      <c r="O48" s="250" t="s">
        <v>452</v>
      </c>
      <c r="P48" s="250" t="s">
        <v>688</v>
      </c>
      <c r="Q48" s="250" t="s">
        <v>689</v>
      </c>
      <c r="R48" s="250" t="s">
        <v>18</v>
      </c>
      <c r="S48" s="250" t="s">
        <v>11644</v>
      </c>
      <c r="T48" s="250" t="s">
        <v>11788</v>
      </c>
      <c r="U48" s="250"/>
      <c r="V48" s="250"/>
      <c r="W48" s="250"/>
      <c r="X48" s="250"/>
      <c r="Y48" s="250"/>
      <c r="Z48" s="250"/>
      <c r="AA48" s="250"/>
      <c r="AB48" s="250"/>
    </row>
    <row r="49" spans="1:28" ht="15.75" customHeight="1">
      <c r="A49" s="491">
        <v>44784</v>
      </c>
      <c r="B49" s="488" t="s">
        <v>97</v>
      </c>
      <c r="C49" s="488">
        <v>4.5</v>
      </c>
      <c r="D49" s="250" t="str">
        <f ca="1">IFERROR(VLOOKUP(B49,'2022-2023 Third Reviews'!$C:$S,9,FALSE),"")</f>
        <v>John McDonald
4</v>
      </c>
      <c r="E49" s="488" t="s">
        <v>705</v>
      </c>
      <c r="F49" s="488" t="s">
        <v>5</v>
      </c>
      <c r="G49" s="488" t="s">
        <v>447</v>
      </c>
      <c r="H49" s="488" t="s">
        <v>10446</v>
      </c>
      <c r="I49" s="488">
        <v>5</v>
      </c>
      <c r="J49" s="488" t="s">
        <v>622</v>
      </c>
      <c r="K49" s="488" t="s">
        <v>707</v>
      </c>
      <c r="L49" s="488">
        <v>4</v>
      </c>
      <c r="M49" s="488" t="s">
        <v>451</v>
      </c>
      <c r="N49" s="488" t="s">
        <v>708</v>
      </c>
      <c r="O49" s="488" t="s">
        <v>452</v>
      </c>
      <c r="P49" s="488" t="s">
        <v>709</v>
      </c>
      <c r="Q49" s="488" t="s">
        <v>710</v>
      </c>
      <c r="R49" s="488" t="s">
        <v>18</v>
      </c>
      <c r="S49" s="488" t="s">
        <v>711</v>
      </c>
      <c r="T49" s="488" t="s">
        <v>11787</v>
      </c>
      <c r="U49" s="488"/>
      <c r="V49" s="488"/>
      <c r="W49" s="488"/>
      <c r="X49" s="488"/>
      <c r="Y49" s="488"/>
      <c r="Z49" s="258"/>
      <c r="AA49" s="258"/>
      <c r="AB49" s="258"/>
    </row>
    <row r="50" spans="1:28" ht="15.75" hidden="1" customHeight="1">
      <c r="A50" s="267">
        <v>44784</v>
      </c>
      <c r="B50" s="268" t="s">
        <v>167</v>
      </c>
      <c r="C50" s="269">
        <v>4.5</v>
      </c>
      <c r="D50" s="269"/>
      <c r="E50" s="268" t="s">
        <v>1093</v>
      </c>
      <c r="F50" s="270" t="s">
        <v>4</v>
      </c>
      <c r="G50" s="268" t="s">
        <v>727</v>
      </c>
      <c r="H50" s="268" t="s">
        <v>10760</v>
      </c>
      <c r="I50" s="268">
        <v>5</v>
      </c>
      <c r="J50" s="268" t="s">
        <v>1054</v>
      </c>
      <c r="K50" s="268" t="s">
        <v>1095</v>
      </c>
      <c r="L50" s="268">
        <v>4</v>
      </c>
      <c r="M50" s="268" t="s">
        <v>451</v>
      </c>
      <c r="N50" s="275">
        <v>7000000</v>
      </c>
      <c r="O50" s="268" t="s">
        <v>452</v>
      </c>
      <c r="P50" s="275" t="s">
        <v>452</v>
      </c>
      <c r="Q50" s="268" t="s">
        <v>1096</v>
      </c>
      <c r="R50" s="268" t="s">
        <v>18</v>
      </c>
      <c r="S50" s="271"/>
      <c r="T50" s="271"/>
      <c r="U50" s="268"/>
      <c r="V50" s="268"/>
      <c r="W50" s="268"/>
      <c r="X50" s="268"/>
      <c r="Y50" s="268"/>
      <c r="Z50" s="219"/>
      <c r="AA50" s="219"/>
      <c r="AB50" s="219"/>
    </row>
    <row r="51" spans="1:28" ht="15.75" hidden="1" customHeight="1">
      <c r="A51" s="276">
        <v>44784</v>
      </c>
      <c r="B51" s="277" t="s">
        <v>258</v>
      </c>
      <c r="C51" s="278">
        <v>4.5</v>
      </c>
      <c r="D51" s="278"/>
      <c r="E51" s="277" t="s">
        <v>1492</v>
      </c>
      <c r="F51" s="277" t="s">
        <v>4</v>
      </c>
      <c r="G51" s="277" t="s">
        <v>447</v>
      </c>
      <c r="H51" s="277" t="s">
        <v>11364</v>
      </c>
      <c r="I51" s="277">
        <v>5</v>
      </c>
      <c r="J51" s="277" t="s">
        <v>449</v>
      </c>
      <c r="K51" s="277" t="s">
        <v>11548</v>
      </c>
      <c r="L51" s="277">
        <v>4</v>
      </c>
      <c r="M51" s="277" t="s">
        <v>478</v>
      </c>
      <c r="N51" s="277" t="s">
        <v>1495</v>
      </c>
      <c r="O51" s="277" t="s">
        <v>454</v>
      </c>
      <c r="P51" s="277" t="s">
        <v>452</v>
      </c>
      <c r="Q51" s="277" t="s">
        <v>447</v>
      </c>
      <c r="R51" s="277" t="s">
        <v>18</v>
      </c>
      <c r="S51" s="279" t="s">
        <v>1496</v>
      </c>
      <c r="T51" s="279"/>
      <c r="U51" s="277"/>
      <c r="V51" s="277"/>
      <c r="W51" s="277"/>
      <c r="X51" s="277"/>
      <c r="Y51" s="277"/>
      <c r="Z51" s="239"/>
      <c r="AA51" s="239"/>
      <c r="AB51" s="239"/>
    </row>
    <row r="52" spans="1:28" ht="15.75" hidden="1" customHeight="1">
      <c r="A52" s="257">
        <v>44789</v>
      </c>
      <c r="B52" s="258" t="s">
        <v>329</v>
      </c>
      <c r="C52" s="263">
        <v>4.5</v>
      </c>
      <c r="D52" s="263"/>
      <c r="E52" s="258" t="s">
        <v>1840</v>
      </c>
      <c r="F52" s="258" t="s">
        <v>3</v>
      </c>
      <c r="G52" s="258" t="s">
        <v>488</v>
      </c>
      <c r="H52" s="258" t="s">
        <v>10624</v>
      </c>
      <c r="I52" s="258">
        <v>4.5</v>
      </c>
      <c r="J52" s="258" t="s">
        <v>941</v>
      </c>
      <c r="K52" s="258" t="s">
        <v>1842</v>
      </c>
      <c r="L52" s="258">
        <v>4.5</v>
      </c>
      <c r="M52" s="258"/>
      <c r="N52" s="258"/>
      <c r="O52" s="258" t="s">
        <v>465</v>
      </c>
      <c r="P52" s="258" t="s">
        <v>1843</v>
      </c>
      <c r="Q52" s="258"/>
      <c r="R52" s="258" t="s">
        <v>18</v>
      </c>
      <c r="S52" s="259" t="s">
        <v>13188</v>
      </c>
      <c r="T52" s="259"/>
      <c r="U52" s="258"/>
      <c r="V52" s="258"/>
      <c r="W52" s="258"/>
      <c r="X52" s="258"/>
      <c r="Y52" s="258"/>
      <c r="Z52" s="258"/>
      <c r="AA52" s="258"/>
      <c r="AB52" s="258"/>
    </row>
    <row r="53" spans="1:28" ht="15.75" customHeight="1">
      <c r="A53" s="399">
        <v>44784</v>
      </c>
      <c r="B53" s="492" t="s">
        <v>99</v>
      </c>
      <c r="C53" s="492">
        <v>4.5</v>
      </c>
      <c r="D53" s="250" t="str">
        <f ca="1">IFERROR(VLOOKUP(B53,'2022-2023 Third Reviews'!$C:$S,9,FALSE),"")</f>
        <v>Jason Yu
2</v>
      </c>
      <c r="E53" s="492" t="s">
        <v>724</v>
      </c>
      <c r="F53" s="492" t="s">
        <v>5</v>
      </c>
      <c r="G53" s="492" t="s">
        <v>725</v>
      </c>
      <c r="H53" s="492" t="s">
        <v>10323</v>
      </c>
      <c r="I53" s="492">
        <v>5</v>
      </c>
      <c r="J53" s="492" t="s">
        <v>727</v>
      </c>
      <c r="K53" s="492" t="s">
        <v>10324</v>
      </c>
      <c r="L53" s="492">
        <v>4</v>
      </c>
      <c r="M53" s="492" t="s">
        <v>451</v>
      </c>
      <c r="N53" s="492" t="s">
        <v>729</v>
      </c>
      <c r="O53" s="492" t="s">
        <v>452</v>
      </c>
      <c r="P53" s="492" t="s">
        <v>730</v>
      </c>
      <c r="Q53" s="492"/>
      <c r="R53" s="492" t="s">
        <v>18</v>
      </c>
      <c r="S53" s="492" t="s">
        <v>731</v>
      </c>
      <c r="T53" s="492" t="s">
        <v>11798</v>
      </c>
      <c r="U53" s="492"/>
      <c r="V53" s="492"/>
      <c r="W53" s="492"/>
      <c r="X53" s="492"/>
      <c r="Y53" s="492"/>
      <c r="Z53" s="239"/>
      <c r="AA53" s="239"/>
      <c r="AB53" s="239"/>
    </row>
    <row r="54" spans="1:28" ht="15.75" hidden="1" customHeight="1">
      <c r="A54" s="248">
        <v>44789</v>
      </c>
      <c r="B54" s="219" t="s">
        <v>193</v>
      </c>
      <c r="C54" s="249">
        <v>4.5</v>
      </c>
      <c r="D54" s="249"/>
      <c r="E54" s="219" t="s">
        <v>1202</v>
      </c>
      <c r="F54" s="250" t="s">
        <v>4</v>
      </c>
      <c r="G54" s="219" t="s">
        <v>602</v>
      </c>
      <c r="H54" s="219" t="s">
        <v>1203</v>
      </c>
      <c r="I54" s="219">
        <v>4.5</v>
      </c>
      <c r="J54" s="219" t="s">
        <v>1054</v>
      </c>
      <c r="K54" s="219" t="s">
        <v>1204</v>
      </c>
      <c r="L54" s="219">
        <v>4.5</v>
      </c>
      <c r="M54" s="219"/>
      <c r="N54" s="219"/>
      <c r="O54" s="219" t="s">
        <v>452</v>
      </c>
      <c r="P54" s="219" t="s">
        <v>1205</v>
      </c>
      <c r="Q54" s="219"/>
      <c r="R54" s="219" t="s">
        <v>18</v>
      </c>
      <c r="S54" s="251"/>
      <c r="T54" s="251"/>
      <c r="U54" s="252"/>
      <c r="V54" s="252"/>
      <c r="W54" s="252"/>
      <c r="X54" s="219"/>
      <c r="Y54" s="219"/>
      <c r="Z54" s="219"/>
      <c r="AA54" s="219"/>
      <c r="AB54" s="219"/>
    </row>
    <row r="55" spans="1:28" ht="15.75" hidden="1" customHeight="1">
      <c r="A55" s="253">
        <v>44789</v>
      </c>
      <c r="B55" s="224" t="s">
        <v>286</v>
      </c>
      <c r="C55" s="249">
        <v>4.5</v>
      </c>
      <c r="D55" s="249"/>
      <c r="E55" s="224" t="s">
        <v>1632</v>
      </c>
      <c r="F55" s="250" t="s">
        <v>3</v>
      </c>
      <c r="G55" s="224" t="s">
        <v>460</v>
      </c>
      <c r="H55" s="224" t="s">
        <v>1633</v>
      </c>
      <c r="I55" s="224">
        <v>4.5</v>
      </c>
      <c r="J55" s="224" t="s">
        <v>462</v>
      </c>
      <c r="K55" s="224" t="s">
        <v>1634</v>
      </c>
      <c r="L55" s="224">
        <v>4.5</v>
      </c>
      <c r="M55" s="224" t="s">
        <v>478</v>
      </c>
      <c r="N55" s="311">
        <v>6000000</v>
      </c>
      <c r="O55" s="224" t="s">
        <v>452</v>
      </c>
      <c r="P55" s="224" t="s">
        <v>11081</v>
      </c>
      <c r="Q55" s="224"/>
      <c r="R55" s="224" t="s">
        <v>18</v>
      </c>
      <c r="S55" s="254"/>
      <c r="T55" s="254"/>
      <c r="U55" s="252"/>
      <c r="V55" s="252"/>
      <c r="W55" s="252"/>
      <c r="X55" s="224"/>
      <c r="Y55" s="224"/>
      <c r="Z55" s="224"/>
      <c r="AA55" s="224"/>
      <c r="AB55" s="224"/>
    </row>
    <row r="56" spans="1:28" ht="15.75" hidden="1" customHeight="1">
      <c r="A56" s="248">
        <v>44789</v>
      </c>
      <c r="B56" s="219" t="s">
        <v>310</v>
      </c>
      <c r="C56" s="249">
        <v>4.5</v>
      </c>
      <c r="D56" s="249"/>
      <c r="E56" s="219" t="s">
        <v>1701</v>
      </c>
      <c r="F56" s="250" t="s">
        <v>3</v>
      </c>
      <c r="G56" s="219" t="s">
        <v>460</v>
      </c>
      <c r="H56" s="219" t="s">
        <v>1702</v>
      </c>
      <c r="I56" s="219">
        <v>4.5</v>
      </c>
      <c r="J56" s="219" t="s">
        <v>462</v>
      </c>
      <c r="K56" s="219" t="s">
        <v>1703</v>
      </c>
      <c r="L56" s="219">
        <v>4.5</v>
      </c>
      <c r="M56" s="219" t="s">
        <v>451</v>
      </c>
      <c r="N56" s="310">
        <v>4000000</v>
      </c>
      <c r="O56" s="219" t="s">
        <v>452</v>
      </c>
      <c r="P56" s="219" t="s">
        <v>11169</v>
      </c>
      <c r="Q56" s="219"/>
      <c r="R56" s="219" t="s">
        <v>18</v>
      </c>
      <c r="S56" s="251"/>
      <c r="T56" s="251"/>
      <c r="U56" s="252"/>
      <c r="V56" s="252"/>
      <c r="W56" s="252"/>
      <c r="X56" s="219"/>
      <c r="Y56" s="219"/>
      <c r="Z56" s="219"/>
      <c r="AA56" s="219"/>
      <c r="AB56" s="219"/>
    </row>
    <row r="57" spans="1:28" ht="15.75" hidden="1" customHeight="1">
      <c r="A57" s="257">
        <v>44789</v>
      </c>
      <c r="B57" s="258" t="s">
        <v>202</v>
      </c>
      <c r="C57" s="263">
        <v>4.5</v>
      </c>
      <c r="D57" s="263"/>
      <c r="E57" s="258" t="s">
        <v>1269</v>
      </c>
      <c r="F57" s="258" t="s">
        <v>4</v>
      </c>
      <c r="G57" s="258" t="s">
        <v>602</v>
      </c>
      <c r="H57" s="258" t="s">
        <v>1270</v>
      </c>
      <c r="I57" s="258">
        <v>4.5</v>
      </c>
      <c r="J57" s="258" t="s">
        <v>476</v>
      </c>
      <c r="K57" s="258" t="s">
        <v>13400</v>
      </c>
      <c r="L57" s="258">
        <v>4.5</v>
      </c>
      <c r="M57" s="258"/>
      <c r="N57" s="258"/>
      <c r="O57" s="258" t="s">
        <v>454</v>
      </c>
      <c r="P57" s="258" t="s">
        <v>11050</v>
      </c>
      <c r="Q57" s="258" t="s">
        <v>1273</v>
      </c>
      <c r="R57" s="258" t="s">
        <v>18</v>
      </c>
      <c r="S57" s="259" t="s">
        <v>1274</v>
      </c>
      <c r="T57" s="259"/>
      <c r="U57" s="258"/>
      <c r="V57" s="258"/>
      <c r="W57" s="258"/>
      <c r="X57" s="258"/>
      <c r="Y57" s="258"/>
      <c r="Z57" s="258"/>
      <c r="AA57" s="258"/>
      <c r="AB57" s="258"/>
    </row>
    <row r="58" spans="1:28" ht="15.75" hidden="1" customHeight="1">
      <c r="A58" s="248">
        <v>44791</v>
      </c>
      <c r="B58" s="219" t="s">
        <v>328</v>
      </c>
      <c r="C58" s="315">
        <v>4.5</v>
      </c>
      <c r="D58" s="315"/>
      <c r="E58" s="219" t="s">
        <v>1832</v>
      </c>
      <c r="F58" s="219" t="s">
        <v>3</v>
      </c>
      <c r="G58" s="219" t="s">
        <v>460</v>
      </c>
      <c r="H58" s="219" t="s">
        <v>1833</v>
      </c>
      <c r="I58" s="219">
        <v>4.5</v>
      </c>
      <c r="J58" s="219" t="s">
        <v>462</v>
      </c>
      <c r="K58" s="219" t="s">
        <v>10638</v>
      </c>
      <c r="L58" s="219">
        <v>4.5</v>
      </c>
      <c r="M58" s="219" t="s">
        <v>478</v>
      </c>
      <c r="N58" s="219" t="s">
        <v>1835</v>
      </c>
      <c r="O58" s="219" t="s">
        <v>452</v>
      </c>
      <c r="P58" s="219" t="s">
        <v>452</v>
      </c>
      <c r="Q58" s="219"/>
      <c r="R58" s="219" t="s">
        <v>18</v>
      </c>
      <c r="S58" s="251"/>
      <c r="T58" s="251"/>
      <c r="U58" s="219"/>
      <c r="V58" s="219"/>
      <c r="W58" s="219"/>
      <c r="X58" s="219"/>
      <c r="Y58" s="219"/>
      <c r="Z58" s="219"/>
      <c r="AA58" s="219"/>
      <c r="AB58" s="219"/>
    </row>
    <row r="59" spans="1:28" ht="15.75" hidden="1" customHeight="1">
      <c r="A59" s="253">
        <v>44791</v>
      </c>
      <c r="B59" s="224" t="s">
        <v>325</v>
      </c>
      <c r="C59" s="316">
        <v>4.5</v>
      </c>
      <c r="D59" s="316"/>
      <c r="E59" s="224" t="s">
        <v>1809</v>
      </c>
      <c r="F59" s="224" t="s">
        <v>3</v>
      </c>
      <c r="G59" s="224" t="s">
        <v>460</v>
      </c>
      <c r="H59" s="224" t="s">
        <v>1810</v>
      </c>
      <c r="I59" s="224">
        <v>4.5</v>
      </c>
      <c r="J59" s="224" t="s">
        <v>941</v>
      </c>
      <c r="K59" s="224"/>
      <c r="L59" s="224">
        <v>4.5</v>
      </c>
      <c r="M59" s="224" t="s">
        <v>478</v>
      </c>
      <c r="N59" s="224" t="s">
        <v>1811</v>
      </c>
      <c r="O59" s="224" t="s">
        <v>452</v>
      </c>
      <c r="P59" s="224" t="s">
        <v>1812</v>
      </c>
      <c r="Q59" s="224"/>
      <c r="R59" s="224" t="s">
        <v>18</v>
      </c>
      <c r="S59" s="254"/>
      <c r="T59" s="254"/>
      <c r="U59" s="224"/>
      <c r="V59" s="224"/>
      <c r="W59" s="224"/>
      <c r="X59" s="224"/>
      <c r="Y59" s="224"/>
      <c r="Z59" s="224"/>
      <c r="AA59" s="224"/>
      <c r="AB59" s="224"/>
    </row>
    <row r="60" spans="1:28" ht="15.75" customHeight="1">
      <c r="A60" s="248">
        <v>44782</v>
      </c>
      <c r="B60" s="219" t="s">
        <v>125</v>
      </c>
      <c r="C60" s="250">
        <v>4.25</v>
      </c>
      <c r="D60" s="250" t="str">
        <f ca="1">IFERROR(VLOOKUP(B60,'2022-2023 Third Reviews'!$C:$S,9,FALSE),"")</f>
        <v>Chris Millisits
2</v>
      </c>
      <c r="E60" s="219" t="s">
        <v>892</v>
      </c>
      <c r="F60" s="250" t="s">
        <v>5</v>
      </c>
      <c r="G60" s="219" t="s">
        <v>447</v>
      </c>
      <c r="H60" s="219" t="s">
        <v>10251</v>
      </c>
      <c r="I60" s="219">
        <v>4</v>
      </c>
      <c r="J60" s="219" t="s">
        <v>543</v>
      </c>
      <c r="K60" s="219" t="s">
        <v>894</v>
      </c>
      <c r="L60" s="219">
        <v>4.5</v>
      </c>
      <c r="M60" s="219" t="s">
        <v>478</v>
      </c>
      <c r="N60" s="219">
        <v>3000000</v>
      </c>
      <c r="O60" s="219" t="s">
        <v>452</v>
      </c>
      <c r="P60" s="219" t="s">
        <v>895</v>
      </c>
      <c r="Q60" s="219"/>
      <c r="R60" s="213" t="s">
        <v>18</v>
      </c>
      <c r="S60" s="219" t="s">
        <v>896</v>
      </c>
      <c r="T60" s="219" t="s">
        <v>11822</v>
      </c>
      <c r="U60" s="252"/>
      <c r="V60" s="252"/>
      <c r="W60" s="252"/>
      <c r="X60" s="219"/>
      <c r="Y60" s="219"/>
      <c r="Z60" s="219"/>
      <c r="AA60" s="219"/>
      <c r="AB60" s="219"/>
    </row>
    <row r="61" spans="1:28" ht="15.75" hidden="1" customHeight="1">
      <c r="A61" s="253">
        <v>44791</v>
      </c>
      <c r="B61" s="224" t="s">
        <v>213</v>
      </c>
      <c r="C61" s="316">
        <v>4.5</v>
      </c>
      <c r="D61" s="316"/>
      <c r="E61" s="224" t="s">
        <v>1296</v>
      </c>
      <c r="F61" s="224" t="s">
        <v>4</v>
      </c>
      <c r="G61" s="224" t="s">
        <v>727</v>
      </c>
      <c r="H61" s="224" t="s">
        <v>11466</v>
      </c>
      <c r="I61" s="224">
        <v>5</v>
      </c>
      <c r="J61" s="224" t="s">
        <v>1298</v>
      </c>
      <c r="K61" s="224" t="s">
        <v>11467</v>
      </c>
      <c r="L61" s="224">
        <v>4</v>
      </c>
      <c r="M61" s="224" t="s">
        <v>973</v>
      </c>
      <c r="N61" s="307">
        <v>40000000</v>
      </c>
      <c r="O61" s="224" t="s">
        <v>465</v>
      </c>
      <c r="P61" s="224" t="s">
        <v>452</v>
      </c>
      <c r="Q61" s="224"/>
      <c r="R61" s="224" t="s">
        <v>18</v>
      </c>
      <c r="S61" s="254"/>
      <c r="T61" s="254"/>
      <c r="U61" s="224"/>
      <c r="V61" s="224"/>
      <c r="W61" s="224"/>
      <c r="X61" s="224"/>
      <c r="Y61" s="224"/>
      <c r="Z61" s="224"/>
      <c r="AA61" s="224"/>
      <c r="AB61" s="224"/>
    </row>
    <row r="62" spans="1:28" ht="15.75" hidden="1" customHeight="1">
      <c r="A62" s="248">
        <v>44791</v>
      </c>
      <c r="B62" s="219" t="s">
        <v>344</v>
      </c>
      <c r="C62" s="315">
        <v>4.5</v>
      </c>
      <c r="D62" s="315"/>
      <c r="E62" s="219" t="s">
        <v>1964</v>
      </c>
      <c r="F62" s="219" t="s">
        <v>3</v>
      </c>
      <c r="G62" s="219" t="s">
        <v>725</v>
      </c>
      <c r="H62" s="219" t="s">
        <v>10607</v>
      </c>
      <c r="I62" s="219">
        <v>4.5</v>
      </c>
      <c r="J62" s="219" t="s">
        <v>462</v>
      </c>
      <c r="K62" s="219" t="s">
        <v>1966</v>
      </c>
      <c r="L62" s="219">
        <v>4.5</v>
      </c>
      <c r="M62" s="219" t="s">
        <v>478</v>
      </c>
      <c r="N62" s="310">
        <v>10000000</v>
      </c>
      <c r="O62" s="219" t="s">
        <v>452</v>
      </c>
      <c r="P62" s="219" t="s">
        <v>10608</v>
      </c>
      <c r="Q62" s="219"/>
      <c r="R62" s="219" t="s">
        <v>18</v>
      </c>
      <c r="S62" s="251"/>
      <c r="T62" s="251"/>
      <c r="U62" s="219"/>
      <c r="V62" s="219"/>
      <c r="W62" s="219"/>
      <c r="X62" s="219"/>
      <c r="Y62" s="219"/>
      <c r="Z62" s="219"/>
      <c r="AA62" s="219"/>
      <c r="AB62" s="219"/>
    </row>
    <row r="63" spans="1:28" ht="15.75" customHeight="1">
      <c r="A63" s="253">
        <v>44782</v>
      </c>
      <c r="B63" s="224" t="s">
        <v>98</v>
      </c>
      <c r="C63" s="250">
        <v>4.75</v>
      </c>
      <c r="D63" s="250" t="str">
        <f>IFERROR(VLOOKUP(B63,'2022-2023 Third Reviews'!$C:$S,9,FALSE),"")</f>
        <v/>
      </c>
      <c r="E63" s="224" t="s">
        <v>11796</v>
      </c>
      <c r="F63" s="250" t="s">
        <v>5</v>
      </c>
      <c r="G63" s="224" t="s">
        <v>447</v>
      </c>
      <c r="H63" s="224" t="s">
        <v>717</v>
      </c>
      <c r="I63" s="224">
        <v>4.5</v>
      </c>
      <c r="J63" s="224" t="s">
        <v>449</v>
      </c>
      <c r="K63" s="224" t="s">
        <v>13400</v>
      </c>
      <c r="L63" s="224">
        <v>5</v>
      </c>
      <c r="M63" s="224" t="s">
        <v>451</v>
      </c>
      <c r="N63" s="224">
        <v>6000000</v>
      </c>
      <c r="O63" s="224" t="s">
        <v>454</v>
      </c>
      <c r="P63" s="224" t="s">
        <v>452</v>
      </c>
      <c r="Q63" s="224"/>
      <c r="R63" s="224" t="s">
        <v>18</v>
      </c>
      <c r="S63" s="224" t="s">
        <v>11523</v>
      </c>
      <c r="T63" s="224" t="s">
        <v>11797</v>
      </c>
      <c r="U63" s="252"/>
      <c r="V63" s="252"/>
      <c r="W63" s="252"/>
      <c r="X63" s="224"/>
      <c r="Y63" s="224"/>
      <c r="Z63" s="224"/>
      <c r="AA63" s="224"/>
      <c r="AB63" s="224"/>
    </row>
    <row r="64" spans="1:28" ht="15.75" customHeight="1">
      <c r="A64" s="491">
        <v>44784</v>
      </c>
      <c r="B64" s="488" t="s">
        <v>381</v>
      </c>
      <c r="C64" s="488">
        <v>3.75</v>
      </c>
      <c r="D64" s="250" t="str">
        <f>IFERROR(VLOOKUP(B64,'2022-2023 Third Reviews'!$C:$S,9,FALSE),"")</f>
        <v/>
      </c>
      <c r="E64" s="488" t="s">
        <v>10038</v>
      </c>
      <c r="F64" s="488" t="s">
        <v>5</v>
      </c>
      <c r="G64" s="488" t="s">
        <v>447</v>
      </c>
      <c r="H64" s="488" t="s">
        <v>10699</v>
      </c>
      <c r="I64" s="488">
        <v>3.5</v>
      </c>
      <c r="J64" s="488" t="s">
        <v>449</v>
      </c>
      <c r="K64" s="488" t="s">
        <v>11567</v>
      </c>
      <c r="L64" s="488">
        <v>4</v>
      </c>
      <c r="M64" s="488" t="s">
        <v>451</v>
      </c>
      <c r="N64" s="493">
        <v>800</v>
      </c>
      <c r="O64" s="488" t="s">
        <v>465</v>
      </c>
      <c r="P64" s="493" t="s">
        <v>10701</v>
      </c>
      <c r="Q64" s="488"/>
      <c r="R64" s="488" t="s">
        <v>18</v>
      </c>
      <c r="S64" s="488" t="s">
        <v>10042</v>
      </c>
      <c r="T64" s="488" t="s">
        <v>13189</v>
      </c>
      <c r="U64" s="488"/>
      <c r="V64" s="488"/>
      <c r="W64" s="488"/>
      <c r="X64" s="488"/>
      <c r="Y64" s="488"/>
      <c r="Z64" s="258"/>
      <c r="AA64" s="258"/>
      <c r="AB64" s="258"/>
    </row>
    <row r="65" spans="1:28" ht="15.75" hidden="1" customHeight="1">
      <c r="A65" s="253">
        <v>44796</v>
      </c>
      <c r="B65" s="224" t="s">
        <v>219</v>
      </c>
      <c r="C65" s="316">
        <v>4.5</v>
      </c>
      <c r="D65" s="316"/>
      <c r="E65" s="224" t="s">
        <v>1313</v>
      </c>
      <c r="F65" s="224" t="s">
        <v>4</v>
      </c>
      <c r="G65" s="224" t="s">
        <v>727</v>
      </c>
      <c r="H65" s="224" t="s">
        <v>11056</v>
      </c>
      <c r="I65" s="224">
        <v>4.5</v>
      </c>
      <c r="J65" s="224" t="s">
        <v>1045</v>
      </c>
      <c r="K65" s="224" t="s">
        <v>1315</v>
      </c>
      <c r="L65" s="224">
        <v>4.5</v>
      </c>
      <c r="M65" s="224" t="s">
        <v>478</v>
      </c>
      <c r="N65" s="224">
        <v>8000000</v>
      </c>
      <c r="O65" s="224" t="s">
        <v>452</v>
      </c>
      <c r="P65" s="224" t="s">
        <v>452</v>
      </c>
      <c r="Q65" s="224"/>
      <c r="R65" s="224" t="s">
        <v>18</v>
      </c>
      <c r="S65" s="254"/>
      <c r="T65" s="254"/>
      <c r="U65" s="224"/>
      <c r="V65" s="224"/>
      <c r="W65" s="224"/>
      <c r="X65" s="224"/>
      <c r="Y65" s="224"/>
      <c r="Z65" s="224"/>
      <c r="AA65" s="224"/>
      <c r="AB65" s="224"/>
    </row>
    <row r="66" spans="1:28" ht="15.75" hidden="1" customHeight="1">
      <c r="A66" s="248">
        <v>44796</v>
      </c>
      <c r="B66" s="219" t="s">
        <v>294</v>
      </c>
      <c r="C66" s="315">
        <v>4.5</v>
      </c>
      <c r="D66" s="315"/>
      <c r="E66" s="219"/>
      <c r="F66" s="219" t="s">
        <v>3</v>
      </c>
      <c r="G66" s="219" t="s">
        <v>460</v>
      </c>
      <c r="H66" s="219" t="s">
        <v>1654</v>
      </c>
      <c r="I66" s="219">
        <v>4.5</v>
      </c>
      <c r="J66" s="219" t="s">
        <v>941</v>
      </c>
      <c r="K66" s="219" t="s">
        <v>1655</v>
      </c>
      <c r="L66" s="219">
        <v>4.5</v>
      </c>
      <c r="M66" s="219" t="s">
        <v>1656</v>
      </c>
      <c r="N66" s="331">
        <v>10000000</v>
      </c>
      <c r="O66" s="219" t="s">
        <v>454</v>
      </c>
      <c r="P66" s="219" t="s">
        <v>1657</v>
      </c>
      <c r="Q66" s="219"/>
      <c r="R66" s="219" t="s">
        <v>18</v>
      </c>
      <c r="S66" s="251"/>
      <c r="T66" s="251"/>
      <c r="U66" s="219"/>
      <c r="V66" s="219"/>
      <c r="W66" s="219"/>
      <c r="X66" s="219"/>
      <c r="Y66" s="219"/>
      <c r="Z66" s="219"/>
      <c r="AA66" s="219"/>
      <c r="AB66" s="219"/>
    </row>
    <row r="67" spans="1:28" ht="15.75" customHeight="1">
      <c r="A67" s="220">
        <v>44776</v>
      </c>
      <c r="B67" s="221" t="s">
        <v>143</v>
      </c>
      <c r="C67" s="215">
        <v>4</v>
      </c>
      <c r="D67" s="250" t="str">
        <f>IFERROR(VLOOKUP(B67,'2022-2023 Third Reviews'!$C:$S,9,FALSE),"")</f>
        <v/>
      </c>
      <c r="E67" s="221" t="s">
        <v>979</v>
      </c>
      <c r="F67" s="215" t="s">
        <v>5</v>
      </c>
      <c r="G67" s="221" t="s">
        <v>447</v>
      </c>
      <c r="H67" s="221" t="s">
        <v>13400</v>
      </c>
      <c r="I67" s="221">
        <v>4</v>
      </c>
      <c r="J67" s="221" t="s">
        <v>476</v>
      </c>
      <c r="K67" s="221" t="s">
        <v>11831</v>
      </c>
      <c r="L67" s="221">
        <v>4</v>
      </c>
      <c r="M67" s="221" t="s">
        <v>451</v>
      </c>
      <c r="N67" s="221" t="s">
        <v>982</v>
      </c>
      <c r="O67" s="221" t="s">
        <v>452</v>
      </c>
      <c r="P67" s="221" t="s">
        <v>983</v>
      </c>
      <c r="Q67" s="221"/>
      <c r="R67" s="221" t="s">
        <v>18</v>
      </c>
      <c r="S67" s="221">
        <f t="array" ref="S67">INDEX(Notes!C:C,MATCH($B67,Notes!$A:$A,0))</f>
        <v>0</v>
      </c>
      <c r="T67" s="221" t="s">
        <v>11832</v>
      </c>
      <c r="U67" s="218"/>
      <c r="V67" s="218"/>
      <c r="W67" s="218"/>
      <c r="X67" s="224"/>
      <c r="Y67" s="224"/>
      <c r="Z67" s="224"/>
      <c r="AA67" s="224"/>
      <c r="AB67" s="224"/>
    </row>
    <row r="68" spans="1:28" ht="15.75" customHeight="1">
      <c r="A68" s="333">
        <v>44789</v>
      </c>
      <c r="B68" s="334" t="s">
        <v>64</v>
      </c>
      <c r="C68" s="334">
        <v>5</v>
      </c>
      <c r="D68" s="250" t="str">
        <f>IFERROR(VLOOKUP(B68,'2022-2023 Third Reviews'!$C:$S,9,FALSE),"")</f>
        <v/>
      </c>
      <c r="E68" s="334" t="s">
        <v>459</v>
      </c>
      <c r="F68" s="334" t="s">
        <v>5</v>
      </c>
      <c r="G68" s="334" t="s">
        <v>460</v>
      </c>
      <c r="H68" s="334" t="s">
        <v>11609</v>
      </c>
      <c r="I68" s="334">
        <v>5</v>
      </c>
      <c r="J68" s="334" t="s">
        <v>462</v>
      </c>
      <c r="K68" s="334" t="s">
        <v>463</v>
      </c>
      <c r="L68" s="334">
        <v>5</v>
      </c>
      <c r="M68" s="334" t="s">
        <v>451</v>
      </c>
      <c r="N68" s="494" t="s">
        <v>464</v>
      </c>
      <c r="O68" s="334" t="s">
        <v>465</v>
      </c>
      <c r="P68" s="334" t="s">
        <v>466</v>
      </c>
      <c r="Q68" s="334" t="s">
        <v>467</v>
      </c>
      <c r="R68" s="334" t="s">
        <v>18</v>
      </c>
      <c r="S68" s="334" t="s">
        <v>13190</v>
      </c>
      <c r="T68" s="334" t="s">
        <v>11769</v>
      </c>
      <c r="U68" s="334"/>
      <c r="V68" s="334"/>
      <c r="W68" s="334"/>
      <c r="X68" s="334"/>
      <c r="Y68" s="334"/>
      <c r="Z68" s="334"/>
      <c r="AA68" s="334"/>
      <c r="AB68" s="334"/>
    </row>
    <row r="69" spans="1:28" ht="15.75" hidden="1" customHeight="1">
      <c r="A69" s="267">
        <v>44784</v>
      </c>
      <c r="B69" s="272" t="s">
        <v>223</v>
      </c>
      <c r="C69" s="269">
        <v>4.38</v>
      </c>
      <c r="D69" s="269"/>
      <c r="E69" s="272" t="s">
        <v>1339</v>
      </c>
      <c r="F69" s="270" t="s">
        <v>4</v>
      </c>
      <c r="G69" s="272" t="s">
        <v>725</v>
      </c>
      <c r="H69" s="272" t="s">
        <v>1340</v>
      </c>
      <c r="I69" s="272">
        <v>4</v>
      </c>
      <c r="J69" s="272" t="s">
        <v>727</v>
      </c>
      <c r="K69" s="272" t="s">
        <v>11549</v>
      </c>
      <c r="L69" s="272">
        <v>4.75</v>
      </c>
      <c r="M69" s="272" t="s">
        <v>451</v>
      </c>
      <c r="N69" s="272">
        <v>5000000</v>
      </c>
      <c r="O69" s="272" t="s">
        <v>452</v>
      </c>
      <c r="P69" s="272" t="s">
        <v>11425</v>
      </c>
      <c r="Q69" s="272" t="s">
        <v>1343</v>
      </c>
      <c r="R69" s="272" t="s">
        <v>18</v>
      </c>
      <c r="S69" s="274"/>
      <c r="T69" s="274"/>
      <c r="U69" s="272"/>
      <c r="V69" s="272"/>
      <c r="W69" s="272"/>
      <c r="X69" s="272"/>
      <c r="Y69" s="272"/>
      <c r="Z69" s="224"/>
      <c r="AA69" s="224"/>
      <c r="AB69" s="224"/>
    </row>
    <row r="70" spans="1:28" ht="15.75" hidden="1" customHeight="1">
      <c r="A70" s="248">
        <v>44796</v>
      </c>
      <c r="B70" s="219" t="s">
        <v>323</v>
      </c>
      <c r="C70" s="315">
        <v>4.38</v>
      </c>
      <c r="D70" s="315"/>
      <c r="E70" s="219" t="s">
        <v>10268</v>
      </c>
      <c r="F70" s="219" t="s">
        <v>3</v>
      </c>
      <c r="G70" s="219" t="s">
        <v>488</v>
      </c>
      <c r="H70" s="219" t="s">
        <v>1792</v>
      </c>
      <c r="I70" s="219">
        <v>4</v>
      </c>
      <c r="J70" s="219" t="s">
        <v>941</v>
      </c>
      <c r="K70" s="219" t="s">
        <v>1793</v>
      </c>
      <c r="L70" s="219">
        <v>4.75</v>
      </c>
      <c r="M70" s="219" t="s">
        <v>451</v>
      </c>
      <c r="N70" s="331">
        <v>500000</v>
      </c>
      <c r="O70" s="219" t="s">
        <v>452</v>
      </c>
      <c r="P70" s="219" t="s">
        <v>10269</v>
      </c>
      <c r="Q70" s="219" t="s">
        <v>1795</v>
      </c>
      <c r="R70" s="219" t="s">
        <v>18</v>
      </c>
      <c r="S70" s="251"/>
      <c r="T70" s="251"/>
      <c r="U70" s="219"/>
      <c r="V70" s="219"/>
      <c r="W70" s="219"/>
      <c r="X70" s="219"/>
      <c r="Y70" s="219"/>
      <c r="Z70" s="219"/>
      <c r="AA70" s="219"/>
      <c r="AB70" s="219"/>
    </row>
    <row r="71" spans="1:28" ht="15.75" hidden="1" customHeight="1">
      <c r="A71" s="220">
        <v>44776</v>
      </c>
      <c r="B71" s="221" t="s">
        <v>156</v>
      </c>
      <c r="C71" s="214">
        <v>4.25</v>
      </c>
      <c r="D71" s="214"/>
      <c r="E71" s="221" t="s">
        <v>1052</v>
      </c>
      <c r="F71" s="215" t="s">
        <v>4</v>
      </c>
      <c r="G71" s="221" t="s">
        <v>602</v>
      </c>
      <c r="H71" s="221" t="s">
        <v>11390</v>
      </c>
      <c r="I71" s="221">
        <v>4.5</v>
      </c>
      <c r="J71" s="221" t="s">
        <v>1054</v>
      </c>
      <c r="K71" s="221"/>
      <c r="L71" s="221">
        <v>4</v>
      </c>
      <c r="M71" s="221" t="s">
        <v>451</v>
      </c>
      <c r="N71" s="221">
        <v>4000000</v>
      </c>
      <c r="O71" s="221" t="s">
        <v>465</v>
      </c>
      <c r="P71" s="221" t="s">
        <v>1055</v>
      </c>
      <c r="Q71" s="145" t="s">
        <v>1120</v>
      </c>
      <c r="R71" s="221" t="str">
        <f t="array" ref="R71">INDEX(Notes!B:B,MATCH($B71,Notes!$A:$A,0))</f>
        <v>Invite</v>
      </c>
      <c r="S71" s="223">
        <f t="array" ref="S71">INDEX(Notes!C:C,MATCH($B71,Notes!$A:$A,0))</f>
        <v>0</v>
      </c>
      <c r="T71" s="223"/>
      <c r="U71" s="218"/>
      <c r="V71" s="218"/>
      <c r="W71" s="218"/>
      <c r="X71" s="224"/>
      <c r="Y71" s="224"/>
      <c r="Z71" s="224"/>
      <c r="AA71" s="224"/>
      <c r="AB71" s="224"/>
    </row>
    <row r="72" spans="1:28" ht="15.75" hidden="1" customHeight="1">
      <c r="A72" s="233">
        <v>44776</v>
      </c>
      <c r="B72" s="234" t="s">
        <v>83</v>
      </c>
      <c r="C72" s="235">
        <v>4.25</v>
      </c>
      <c r="D72" s="235"/>
      <c r="E72" s="234" t="s">
        <v>1116</v>
      </c>
      <c r="F72" s="234" t="s">
        <v>4</v>
      </c>
      <c r="G72" s="234" t="s">
        <v>447</v>
      </c>
      <c r="H72" s="234" t="s">
        <v>1117</v>
      </c>
      <c r="I72" s="234">
        <v>4.5</v>
      </c>
      <c r="J72" s="234" t="s">
        <v>449</v>
      </c>
      <c r="K72" s="234" t="s">
        <v>13400</v>
      </c>
      <c r="L72" s="234">
        <v>4</v>
      </c>
      <c r="M72" s="234" t="s">
        <v>451</v>
      </c>
      <c r="N72" s="236">
        <v>3500000</v>
      </c>
      <c r="O72" s="234" t="s">
        <v>452</v>
      </c>
      <c r="P72" s="234" t="s">
        <v>1119</v>
      </c>
      <c r="Q72" s="237"/>
      <c r="R72" s="234" t="str">
        <f t="array" ref="R72">INDEX(Notes!B:B,MATCH($B72,Notes!$A:$A,0))</f>
        <v>Invite</v>
      </c>
      <c r="S72" s="238" t="str">
        <f t="array" ref="S72">INDEX(Notes!C:C,MATCH($B72,Notes!$A:$A,0))</f>
        <v xml:space="preserve">Potential change to Digital tech; </v>
      </c>
      <c r="T72" s="238"/>
      <c r="U72" s="234"/>
      <c r="V72" s="234"/>
      <c r="W72" s="234"/>
      <c r="X72" s="239"/>
      <c r="Y72" s="239"/>
      <c r="Z72" s="239"/>
      <c r="AA72" s="239"/>
      <c r="AB72" s="239"/>
    </row>
    <row r="73" spans="1:28" ht="15.75" customHeight="1">
      <c r="A73" s="253">
        <v>44782</v>
      </c>
      <c r="B73" s="224" t="s">
        <v>119</v>
      </c>
      <c r="C73" s="250">
        <v>4.25</v>
      </c>
      <c r="D73" s="250" t="str">
        <f ca="1">IFERROR(VLOOKUP(B73,'2022-2023 Third Reviews'!$C:$S,9,FALSE),"")</f>
        <v>Joshua Rubnitz
4</v>
      </c>
      <c r="E73" s="224" t="s">
        <v>855</v>
      </c>
      <c r="F73" s="250" t="s">
        <v>5</v>
      </c>
      <c r="G73" s="224" t="s">
        <v>447</v>
      </c>
      <c r="H73" s="224" t="s">
        <v>10635</v>
      </c>
      <c r="I73" s="224">
        <v>4.5</v>
      </c>
      <c r="J73" s="224" t="s">
        <v>543</v>
      </c>
      <c r="K73" s="224" t="s">
        <v>13400</v>
      </c>
      <c r="L73" s="224">
        <v>4</v>
      </c>
      <c r="M73" s="224" t="s">
        <v>451</v>
      </c>
      <c r="N73" s="224">
        <v>2000000</v>
      </c>
      <c r="O73" s="224" t="s">
        <v>452</v>
      </c>
      <c r="P73" s="224" t="s">
        <v>858</v>
      </c>
      <c r="Q73" s="224" t="s">
        <v>859</v>
      </c>
      <c r="R73" s="224" t="s">
        <v>18</v>
      </c>
      <c r="S73" s="224"/>
      <c r="T73" s="224" t="s">
        <v>11769</v>
      </c>
      <c r="U73" s="252"/>
      <c r="V73" s="252"/>
      <c r="W73" s="252"/>
      <c r="X73" s="224"/>
      <c r="Y73" s="224"/>
      <c r="Z73" s="224"/>
      <c r="AA73" s="224"/>
      <c r="AB73" s="224"/>
    </row>
    <row r="74" spans="1:28" ht="15.75" hidden="1" customHeight="1">
      <c r="A74" s="248">
        <v>44782</v>
      </c>
      <c r="B74" s="219" t="s">
        <v>291</v>
      </c>
      <c r="C74" s="249">
        <v>4.25</v>
      </c>
      <c r="D74" s="249"/>
      <c r="E74" s="219" t="s">
        <v>10303</v>
      </c>
      <c r="F74" s="250" t="s">
        <v>3</v>
      </c>
      <c r="G74" s="219" t="s">
        <v>460</v>
      </c>
      <c r="H74" s="219" t="s">
        <v>1648</v>
      </c>
      <c r="I74" s="219">
        <v>4.5</v>
      </c>
      <c r="J74" s="219" t="s">
        <v>941</v>
      </c>
      <c r="K74" s="219"/>
      <c r="L74" s="219">
        <v>4</v>
      </c>
      <c r="M74" s="219"/>
      <c r="N74" s="219"/>
      <c r="O74" s="219" t="s">
        <v>452</v>
      </c>
      <c r="P74" s="219" t="s">
        <v>1119</v>
      </c>
      <c r="Q74" s="219" t="s">
        <v>1649</v>
      </c>
      <c r="R74" s="219" t="s">
        <v>18</v>
      </c>
      <c r="S74" s="251"/>
      <c r="T74" s="251"/>
      <c r="U74" s="252"/>
      <c r="V74" s="252"/>
      <c r="W74" s="252"/>
      <c r="X74" s="219"/>
      <c r="Y74" s="219"/>
      <c r="Z74" s="219"/>
      <c r="AA74" s="219"/>
      <c r="AB74" s="219"/>
    </row>
    <row r="75" spans="1:28" ht="15.75" customHeight="1">
      <c r="A75" s="253">
        <v>44791</v>
      </c>
      <c r="B75" s="224" t="s">
        <v>101</v>
      </c>
      <c r="C75" s="224">
        <v>4.25</v>
      </c>
      <c r="D75" s="250" t="str">
        <f ca="1">IFERROR(VLOOKUP(B75,'2022-2023 Third Reviews'!$C:$S,9,FALSE),"")</f>
        <v>John McDonald
4</v>
      </c>
      <c r="E75" s="224" t="s">
        <v>747</v>
      </c>
      <c r="F75" s="224" t="s">
        <v>5</v>
      </c>
      <c r="G75" s="224" t="s">
        <v>447</v>
      </c>
      <c r="H75" s="224" t="s">
        <v>10286</v>
      </c>
      <c r="I75" s="224">
        <v>4.5</v>
      </c>
      <c r="J75" s="224" t="s">
        <v>622</v>
      </c>
      <c r="K75" s="224" t="s">
        <v>749</v>
      </c>
      <c r="L75" s="224">
        <v>4</v>
      </c>
      <c r="M75" s="224"/>
      <c r="N75" s="224"/>
      <c r="O75" s="224" t="s">
        <v>452</v>
      </c>
      <c r="P75" s="224" t="s">
        <v>10287</v>
      </c>
      <c r="Q75" s="224" t="s">
        <v>751</v>
      </c>
      <c r="R75" s="224" t="s">
        <v>18</v>
      </c>
      <c r="S75" s="224"/>
      <c r="T75" s="224" t="s">
        <v>11800</v>
      </c>
      <c r="U75" s="224"/>
      <c r="V75" s="224"/>
      <c r="W75" s="224"/>
      <c r="X75" s="224"/>
      <c r="Y75" s="224"/>
      <c r="Z75" s="224"/>
      <c r="AA75" s="224"/>
      <c r="AB75" s="224"/>
    </row>
    <row r="76" spans="1:28" ht="15.75" hidden="1" customHeight="1">
      <c r="A76" s="248">
        <v>44782</v>
      </c>
      <c r="B76" s="219" t="s">
        <v>414</v>
      </c>
      <c r="C76" s="249">
        <v>4.25</v>
      </c>
      <c r="D76" s="249"/>
      <c r="E76" s="219" t="s">
        <v>10440</v>
      </c>
      <c r="F76" s="250" t="s">
        <v>3</v>
      </c>
      <c r="G76" s="219" t="s">
        <v>460</v>
      </c>
      <c r="H76" s="219" t="s">
        <v>10441</v>
      </c>
      <c r="I76" s="219">
        <v>4.5</v>
      </c>
      <c r="J76" s="219" t="s">
        <v>941</v>
      </c>
      <c r="K76" s="219"/>
      <c r="L76" s="219">
        <v>4</v>
      </c>
      <c r="M76" s="219" t="s">
        <v>478</v>
      </c>
      <c r="N76" s="219">
        <v>10000000</v>
      </c>
      <c r="O76" s="219" t="s">
        <v>452</v>
      </c>
      <c r="P76" s="219" t="s">
        <v>452</v>
      </c>
      <c r="Q76" s="219"/>
      <c r="R76" s="219" t="s">
        <v>18</v>
      </c>
      <c r="S76" s="251"/>
      <c r="T76" s="251"/>
      <c r="U76" s="252"/>
      <c r="V76" s="252"/>
      <c r="W76" s="252"/>
      <c r="X76" s="219"/>
      <c r="Y76" s="219"/>
      <c r="Z76" s="219"/>
      <c r="AA76" s="219"/>
      <c r="AB76" s="219"/>
    </row>
    <row r="77" spans="1:28" ht="15.75" customHeight="1">
      <c r="A77" s="255">
        <v>44796</v>
      </c>
      <c r="B77" s="239" t="s">
        <v>138</v>
      </c>
      <c r="C77" s="239">
        <v>4.5</v>
      </c>
      <c r="D77" s="250" t="str">
        <f>IFERROR(VLOOKUP(B77,'2022-2023 Third Reviews'!$C:$S,9,FALSE),"")</f>
        <v/>
      </c>
      <c r="E77" s="239" t="s">
        <v>961</v>
      </c>
      <c r="F77" s="239" t="s">
        <v>5</v>
      </c>
      <c r="G77" s="239" t="s">
        <v>725</v>
      </c>
      <c r="H77" s="239" t="s">
        <v>11491</v>
      </c>
      <c r="I77" s="239">
        <v>4.5</v>
      </c>
      <c r="J77" s="239" t="s">
        <v>462</v>
      </c>
      <c r="K77" s="239" t="s">
        <v>963</v>
      </c>
      <c r="L77" s="239">
        <v>4.5</v>
      </c>
      <c r="M77" s="239"/>
      <c r="N77" s="239"/>
      <c r="O77" s="239" t="s">
        <v>452</v>
      </c>
      <c r="P77" s="239" t="s">
        <v>964</v>
      </c>
      <c r="Q77" s="239"/>
      <c r="R77" s="239" t="s">
        <v>18</v>
      </c>
      <c r="S77" s="239" t="s">
        <v>965</v>
      </c>
      <c r="T77" s="239" t="s">
        <v>11800</v>
      </c>
      <c r="U77" s="239"/>
      <c r="V77" s="239"/>
      <c r="W77" s="239"/>
      <c r="X77" s="239"/>
      <c r="Y77" s="239"/>
      <c r="Z77" s="239"/>
      <c r="AA77" s="239"/>
      <c r="AB77" s="239"/>
    </row>
    <row r="78" spans="1:28" ht="15.75" hidden="1" customHeight="1">
      <c r="A78" s="248">
        <v>44782</v>
      </c>
      <c r="B78" s="219" t="s">
        <v>349</v>
      </c>
      <c r="C78" s="249">
        <v>4.25</v>
      </c>
      <c r="D78" s="249"/>
      <c r="E78" s="219" t="s">
        <v>2008</v>
      </c>
      <c r="F78" s="250" t="s">
        <v>3</v>
      </c>
      <c r="G78" s="219" t="s">
        <v>460</v>
      </c>
      <c r="H78" s="219" t="s">
        <v>2009</v>
      </c>
      <c r="I78" s="219">
        <v>4.5</v>
      </c>
      <c r="J78" s="219" t="s">
        <v>941</v>
      </c>
      <c r="K78" s="219"/>
      <c r="L78" s="219">
        <v>4</v>
      </c>
      <c r="M78" s="219" t="s">
        <v>451</v>
      </c>
      <c r="N78" s="219" t="s">
        <v>2010</v>
      </c>
      <c r="O78" s="219" t="s">
        <v>452</v>
      </c>
      <c r="P78" s="219" t="s">
        <v>452</v>
      </c>
      <c r="Q78" s="219"/>
      <c r="R78" s="219" t="s">
        <v>18</v>
      </c>
      <c r="S78" s="251"/>
      <c r="T78" s="251"/>
      <c r="U78" s="252"/>
      <c r="V78" s="252"/>
      <c r="W78" s="252"/>
      <c r="X78" s="219"/>
      <c r="Y78" s="219"/>
      <c r="Z78" s="219"/>
      <c r="AA78" s="219"/>
      <c r="AB78" s="219"/>
    </row>
    <row r="79" spans="1:28" ht="15.75" hidden="1" customHeight="1">
      <c r="A79" s="253">
        <v>44782</v>
      </c>
      <c r="B79" s="224" t="s">
        <v>336</v>
      </c>
      <c r="C79" s="249">
        <v>4.25</v>
      </c>
      <c r="D79" s="249"/>
      <c r="E79" s="224" t="s">
        <v>1899</v>
      </c>
      <c r="F79" s="250" t="s">
        <v>3</v>
      </c>
      <c r="G79" s="224" t="s">
        <v>460</v>
      </c>
      <c r="H79" s="224" t="s">
        <v>1900</v>
      </c>
      <c r="I79" s="224">
        <v>4.5</v>
      </c>
      <c r="J79" s="224" t="s">
        <v>941</v>
      </c>
      <c r="K79" s="224"/>
      <c r="L79" s="224">
        <v>4</v>
      </c>
      <c r="M79" s="224" t="s">
        <v>451</v>
      </c>
      <c r="N79" s="224" t="s">
        <v>1901</v>
      </c>
      <c r="O79" s="224" t="s">
        <v>452</v>
      </c>
      <c r="P79" s="224" t="s">
        <v>452</v>
      </c>
      <c r="Q79" s="224"/>
      <c r="R79" s="224" t="s">
        <v>18</v>
      </c>
      <c r="S79" s="254"/>
      <c r="T79" s="254"/>
      <c r="U79" s="252"/>
      <c r="V79" s="252"/>
      <c r="W79" s="252"/>
      <c r="X79" s="224"/>
      <c r="Y79" s="224"/>
      <c r="Z79" s="224"/>
      <c r="AA79" s="224"/>
      <c r="AB79" s="224"/>
    </row>
    <row r="80" spans="1:28" ht="15.75" hidden="1" customHeight="1">
      <c r="A80" s="255">
        <v>44782</v>
      </c>
      <c r="B80" s="239" t="s">
        <v>173</v>
      </c>
      <c r="C80" s="249">
        <v>4.25</v>
      </c>
      <c r="D80" s="249"/>
      <c r="E80" s="239" t="s">
        <v>10368</v>
      </c>
      <c r="F80" s="250" t="s">
        <v>3</v>
      </c>
      <c r="G80" s="239" t="s">
        <v>460</v>
      </c>
      <c r="H80" s="239" t="s">
        <v>1127</v>
      </c>
      <c r="I80" s="239">
        <v>4.5</v>
      </c>
      <c r="J80" s="239" t="s">
        <v>462</v>
      </c>
      <c r="K80" s="239" t="s">
        <v>1128</v>
      </c>
      <c r="L80" s="239">
        <v>4</v>
      </c>
      <c r="M80" s="239" t="s">
        <v>451</v>
      </c>
      <c r="N80" s="239">
        <v>2000000</v>
      </c>
      <c r="O80" s="239" t="s">
        <v>452</v>
      </c>
      <c r="P80" s="239" t="s">
        <v>1129</v>
      </c>
      <c r="Q80" s="239"/>
      <c r="R80" s="239" t="s">
        <v>18</v>
      </c>
      <c r="S80" s="256" t="s">
        <v>1130</v>
      </c>
      <c r="T80" s="256"/>
      <c r="U80" s="239"/>
      <c r="V80" s="239"/>
      <c r="W80" s="239"/>
      <c r="X80" s="239"/>
      <c r="Y80" s="239"/>
      <c r="Z80" s="239"/>
      <c r="AA80" s="239"/>
      <c r="AB80" s="239"/>
    </row>
    <row r="81" spans="1:28" ht="15.75" hidden="1" customHeight="1">
      <c r="A81" s="253">
        <v>44782</v>
      </c>
      <c r="B81" s="224" t="s">
        <v>320</v>
      </c>
      <c r="C81" s="249">
        <v>4.25</v>
      </c>
      <c r="D81" s="249"/>
      <c r="E81" s="224" t="s">
        <v>1768</v>
      </c>
      <c r="F81" s="250" t="s">
        <v>3</v>
      </c>
      <c r="G81" s="224" t="s">
        <v>460</v>
      </c>
      <c r="H81" s="224" t="s">
        <v>1769</v>
      </c>
      <c r="I81" s="224">
        <v>4</v>
      </c>
      <c r="J81" s="224" t="s">
        <v>462</v>
      </c>
      <c r="K81" s="224" t="s">
        <v>1770</v>
      </c>
      <c r="L81" s="224">
        <v>4.5</v>
      </c>
      <c r="M81" s="224" t="s">
        <v>451</v>
      </c>
      <c r="N81" s="224">
        <v>2000000</v>
      </c>
      <c r="O81" s="224" t="s">
        <v>465</v>
      </c>
      <c r="P81" s="224" t="s">
        <v>1771</v>
      </c>
      <c r="Q81" s="224"/>
      <c r="R81" s="224" t="s">
        <v>18</v>
      </c>
      <c r="S81" s="254"/>
      <c r="T81" s="254"/>
      <c r="U81" s="252"/>
      <c r="V81" s="252"/>
      <c r="W81" s="252"/>
      <c r="X81" s="224"/>
      <c r="Y81" s="224"/>
      <c r="Z81" s="224"/>
      <c r="AA81" s="224"/>
      <c r="AB81" s="224"/>
    </row>
    <row r="82" spans="1:28" ht="15.75" hidden="1" customHeight="1">
      <c r="A82" s="267">
        <v>44784</v>
      </c>
      <c r="B82" s="268" t="s">
        <v>266</v>
      </c>
      <c r="C82" s="269">
        <v>4.25</v>
      </c>
      <c r="D82" s="269"/>
      <c r="E82" s="268" t="s">
        <v>10174</v>
      </c>
      <c r="F82" s="270" t="s">
        <v>4</v>
      </c>
      <c r="G82" s="268" t="s">
        <v>602</v>
      </c>
      <c r="H82" s="268" t="s">
        <v>1534</v>
      </c>
      <c r="I82" s="268">
        <v>4</v>
      </c>
      <c r="J82" s="268" t="s">
        <v>1054</v>
      </c>
      <c r="K82" s="268"/>
      <c r="L82" s="268">
        <v>4.5</v>
      </c>
      <c r="M82" s="268" t="s">
        <v>451</v>
      </c>
      <c r="N82" s="285">
        <v>2000000</v>
      </c>
      <c r="O82" s="268" t="s">
        <v>454</v>
      </c>
      <c r="P82" s="285" t="s">
        <v>11550</v>
      </c>
      <c r="Q82" s="268" t="s">
        <v>1536</v>
      </c>
      <c r="R82" s="268" t="s">
        <v>18</v>
      </c>
      <c r="S82" s="271" t="s">
        <v>1537</v>
      </c>
      <c r="T82" s="271"/>
      <c r="U82" s="268"/>
      <c r="V82" s="268"/>
      <c r="W82" s="268"/>
      <c r="X82" s="268"/>
      <c r="Y82" s="268"/>
      <c r="Z82" s="219"/>
      <c r="AA82" s="219"/>
      <c r="AB82" s="219"/>
    </row>
    <row r="83" spans="1:28" ht="15.75" hidden="1" customHeight="1">
      <c r="A83" s="276">
        <v>44784</v>
      </c>
      <c r="B83" s="277" t="s">
        <v>171</v>
      </c>
      <c r="C83" s="278">
        <v>4.25</v>
      </c>
      <c r="D83" s="278"/>
      <c r="E83" s="277" t="s">
        <v>3676</v>
      </c>
      <c r="F83" s="277" t="s">
        <v>4</v>
      </c>
      <c r="G83" s="277" t="s">
        <v>460</v>
      </c>
      <c r="H83" s="277" t="s">
        <v>3677</v>
      </c>
      <c r="I83" s="277">
        <v>4</v>
      </c>
      <c r="J83" s="277" t="s">
        <v>462</v>
      </c>
      <c r="K83" s="277" t="s">
        <v>3678</v>
      </c>
      <c r="L83" s="277">
        <v>4.5</v>
      </c>
      <c r="M83" s="277" t="s">
        <v>451</v>
      </c>
      <c r="N83" s="277">
        <v>2000000</v>
      </c>
      <c r="O83" s="277" t="s">
        <v>452</v>
      </c>
      <c r="P83" s="277" t="s">
        <v>10285</v>
      </c>
      <c r="Q83" s="277" t="s">
        <v>3680</v>
      </c>
      <c r="R83" s="277" t="s">
        <v>18</v>
      </c>
      <c r="S83" s="279" t="s">
        <v>11551</v>
      </c>
      <c r="T83" s="279"/>
      <c r="U83" s="277"/>
      <c r="V83" s="277"/>
      <c r="W83" s="277"/>
      <c r="X83" s="277"/>
      <c r="Y83" s="277"/>
      <c r="Z83" s="239"/>
      <c r="AA83" s="239"/>
      <c r="AB83" s="239"/>
    </row>
    <row r="84" spans="1:28" ht="15.75" hidden="1" customHeight="1">
      <c r="A84" s="267">
        <v>44784</v>
      </c>
      <c r="B84" s="268" t="s">
        <v>275</v>
      </c>
      <c r="C84" s="269">
        <v>4.25</v>
      </c>
      <c r="D84" s="269"/>
      <c r="E84" s="268" t="s">
        <v>1585</v>
      </c>
      <c r="F84" s="270" t="s">
        <v>4</v>
      </c>
      <c r="G84" s="268" t="s">
        <v>602</v>
      </c>
      <c r="H84" s="268" t="s">
        <v>1586</v>
      </c>
      <c r="I84" s="268">
        <v>4</v>
      </c>
      <c r="J84" s="268" t="s">
        <v>727</v>
      </c>
      <c r="K84" s="268" t="s">
        <v>10318</v>
      </c>
      <c r="L84" s="268">
        <v>4.5</v>
      </c>
      <c r="M84" s="268" t="s">
        <v>478</v>
      </c>
      <c r="N84" s="268">
        <v>4000000</v>
      </c>
      <c r="O84" s="268" t="s">
        <v>465</v>
      </c>
      <c r="P84" s="268" t="s">
        <v>1588</v>
      </c>
      <c r="Q84" s="268"/>
      <c r="R84" s="268" t="s">
        <v>18</v>
      </c>
      <c r="S84" s="271"/>
      <c r="T84" s="271"/>
      <c r="U84" s="268"/>
      <c r="V84" s="268"/>
      <c r="W84" s="268"/>
      <c r="X84" s="268"/>
      <c r="Y84" s="268"/>
      <c r="Z84" s="219"/>
      <c r="AA84" s="219"/>
      <c r="AB84" s="219"/>
    </row>
    <row r="85" spans="1:28" ht="15.75" hidden="1" customHeight="1">
      <c r="A85" s="267">
        <v>44784</v>
      </c>
      <c r="B85" s="272" t="s">
        <v>200</v>
      </c>
      <c r="C85" s="269">
        <v>4.25</v>
      </c>
      <c r="D85" s="269"/>
      <c r="E85" s="272" t="s">
        <v>1262</v>
      </c>
      <c r="F85" s="270" t="s">
        <v>4</v>
      </c>
      <c r="G85" s="272" t="s">
        <v>727</v>
      </c>
      <c r="H85" s="286" t="s">
        <v>10383</v>
      </c>
      <c r="I85" s="272">
        <v>4.5</v>
      </c>
      <c r="J85" s="272" t="s">
        <v>1054</v>
      </c>
      <c r="K85" s="272" t="s">
        <v>11552</v>
      </c>
      <c r="L85" s="272">
        <v>4</v>
      </c>
      <c r="M85" s="272" t="s">
        <v>451</v>
      </c>
      <c r="N85" s="273">
        <v>2000000</v>
      </c>
      <c r="O85" s="272" t="s">
        <v>465</v>
      </c>
      <c r="P85" s="273" t="s">
        <v>452</v>
      </c>
      <c r="Q85" s="272"/>
      <c r="R85" s="272" t="s">
        <v>18</v>
      </c>
      <c r="S85" s="274"/>
      <c r="T85" s="274"/>
      <c r="U85" s="272"/>
      <c r="V85" s="272"/>
      <c r="W85" s="272"/>
      <c r="X85" s="272"/>
      <c r="Y85" s="272"/>
      <c r="Z85" s="224"/>
      <c r="AA85" s="224"/>
      <c r="AB85" s="224"/>
    </row>
    <row r="86" spans="1:28" ht="15.75" hidden="1" customHeight="1">
      <c r="A86" s="267">
        <v>44784</v>
      </c>
      <c r="B86" s="268" t="s">
        <v>241</v>
      </c>
      <c r="C86" s="269">
        <v>4.25</v>
      </c>
      <c r="D86" s="269"/>
      <c r="E86" s="268" t="s">
        <v>11456</v>
      </c>
      <c r="F86" s="270" t="s">
        <v>4</v>
      </c>
      <c r="G86" s="268" t="s">
        <v>602</v>
      </c>
      <c r="H86" s="268" t="s">
        <v>1418</v>
      </c>
      <c r="I86" s="268">
        <v>4</v>
      </c>
      <c r="J86" s="268" t="s">
        <v>727</v>
      </c>
      <c r="K86" s="268" t="s">
        <v>11457</v>
      </c>
      <c r="L86" s="268">
        <v>4.5</v>
      </c>
      <c r="M86" s="268" t="s">
        <v>478</v>
      </c>
      <c r="N86" s="268" t="s">
        <v>1420</v>
      </c>
      <c r="O86" s="268" t="s">
        <v>454</v>
      </c>
      <c r="P86" s="268" t="s">
        <v>1421</v>
      </c>
      <c r="Q86" s="268" t="s">
        <v>1422</v>
      </c>
      <c r="R86" s="268" t="s">
        <v>18</v>
      </c>
      <c r="S86" s="271" t="s">
        <v>1423</v>
      </c>
      <c r="T86" s="271"/>
      <c r="U86" s="268"/>
      <c r="V86" s="268"/>
      <c r="W86" s="268"/>
      <c r="X86" s="268"/>
      <c r="Y86" s="268"/>
      <c r="Z86" s="219"/>
      <c r="AA86" s="219"/>
      <c r="AB86" s="219"/>
    </row>
    <row r="87" spans="1:28" ht="15.75" customHeight="1">
      <c r="A87" s="495">
        <v>44791</v>
      </c>
      <c r="B87" s="354" t="s">
        <v>159</v>
      </c>
      <c r="C87" s="354">
        <v>4.25</v>
      </c>
      <c r="D87" s="250" t="str">
        <f ca="1">IFERROR(VLOOKUP(B87,'2022-2023 Third Reviews'!$C:$S,9,FALSE),"")</f>
        <v>Chris Millisits
3</v>
      </c>
      <c r="E87" s="354" t="s">
        <v>3552</v>
      </c>
      <c r="F87" s="354" t="s">
        <v>5</v>
      </c>
      <c r="G87" s="354" t="s">
        <v>460</v>
      </c>
      <c r="H87" s="354" t="s">
        <v>3553</v>
      </c>
      <c r="I87" s="354">
        <v>4</v>
      </c>
      <c r="J87" s="354" t="s">
        <v>462</v>
      </c>
      <c r="K87" s="354" t="s">
        <v>10948</v>
      </c>
      <c r="L87" s="354">
        <v>4.5</v>
      </c>
      <c r="M87" s="354" t="s">
        <v>923</v>
      </c>
      <c r="N87" s="496" t="s">
        <v>3555</v>
      </c>
      <c r="O87" s="354" t="s">
        <v>454</v>
      </c>
      <c r="P87" s="354" t="s">
        <v>10949</v>
      </c>
      <c r="Q87" s="354"/>
      <c r="R87" s="480" t="s">
        <v>24</v>
      </c>
      <c r="S87" s="354" t="s">
        <v>3557</v>
      </c>
      <c r="T87" s="224" t="s">
        <v>11855</v>
      </c>
      <c r="U87" s="354"/>
      <c r="V87" s="354"/>
      <c r="W87" s="354"/>
      <c r="X87" s="354"/>
      <c r="Y87" s="354"/>
      <c r="Z87" s="354"/>
      <c r="AA87" s="354"/>
      <c r="AB87" s="354"/>
    </row>
    <row r="88" spans="1:28" ht="15.75" hidden="1" customHeight="1">
      <c r="A88" s="257">
        <v>44789</v>
      </c>
      <c r="B88" s="258" t="s">
        <v>358</v>
      </c>
      <c r="C88" s="263">
        <v>4.25</v>
      </c>
      <c r="D88" s="263"/>
      <c r="E88" s="258" t="s">
        <v>10548</v>
      </c>
      <c r="F88" s="258" t="s">
        <v>3</v>
      </c>
      <c r="G88" s="258" t="s">
        <v>725</v>
      </c>
      <c r="H88" s="258" t="s">
        <v>10549</v>
      </c>
      <c r="I88" s="258">
        <v>4.5</v>
      </c>
      <c r="J88" s="258" t="s">
        <v>941</v>
      </c>
      <c r="K88" s="258" t="s">
        <v>2025</v>
      </c>
      <c r="L88" s="258">
        <v>4</v>
      </c>
      <c r="M88" s="258" t="s">
        <v>478</v>
      </c>
      <c r="N88" s="258" t="s">
        <v>2026</v>
      </c>
      <c r="O88" s="258" t="s">
        <v>452</v>
      </c>
      <c r="P88" s="258" t="s">
        <v>452</v>
      </c>
      <c r="Q88" s="258"/>
      <c r="R88" s="258" t="s">
        <v>18</v>
      </c>
      <c r="S88" s="259" t="s">
        <v>2027</v>
      </c>
      <c r="T88" s="259"/>
      <c r="U88" s="258"/>
      <c r="V88" s="258"/>
      <c r="W88" s="258"/>
      <c r="X88" s="258"/>
      <c r="Y88" s="258"/>
      <c r="Z88" s="258"/>
      <c r="AA88" s="258"/>
      <c r="AB88" s="258"/>
    </row>
    <row r="89" spans="1:28" ht="15.75" hidden="1" customHeight="1">
      <c r="A89" s="253">
        <v>44789</v>
      </c>
      <c r="B89" s="224" t="s">
        <v>233</v>
      </c>
      <c r="C89" s="249">
        <v>4.25</v>
      </c>
      <c r="D89" s="249"/>
      <c r="E89" s="224" t="s">
        <v>1381</v>
      </c>
      <c r="F89" s="250" t="s">
        <v>4</v>
      </c>
      <c r="G89" s="224" t="s">
        <v>727</v>
      </c>
      <c r="H89" s="224" t="s">
        <v>10749</v>
      </c>
      <c r="I89" s="224">
        <v>4.5</v>
      </c>
      <c r="J89" s="224" t="s">
        <v>1045</v>
      </c>
      <c r="K89" s="224" t="s">
        <v>1383</v>
      </c>
      <c r="L89" s="224">
        <v>4</v>
      </c>
      <c r="M89" s="224" t="s">
        <v>451</v>
      </c>
      <c r="N89" s="224" t="s">
        <v>1384</v>
      </c>
      <c r="O89" s="224" t="s">
        <v>452</v>
      </c>
      <c r="P89" s="224" t="s">
        <v>1385</v>
      </c>
      <c r="Q89" s="224" t="s">
        <v>725</v>
      </c>
      <c r="R89" s="224" t="s">
        <v>18</v>
      </c>
      <c r="S89" s="254"/>
      <c r="T89" s="254"/>
      <c r="U89" s="252"/>
      <c r="V89" s="252"/>
      <c r="W89" s="252"/>
      <c r="X89" s="224"/>
      <c r="Y89" s="224"/>
      <c r="Z89" s="224"/>
      <c r="AA89" s="224"/>
      <c r="AB89" s="224"/>
    </row>
    <row r="90" spans="1:28" ht="15.75" customHeight="1">
      <c r="A90" s="485">
        <v>44796</v>
      </c>
      <c r="B90" s="486" t="s">
        <v>379</v>
      </c>
      <c r="C90" s="486">
        <v>4</v>
      </c>
      <c r="D90" s="250" t="str">
        <f>IFERROR(VLOOKUP(B90,'2022-2023 Third Reviews'!$C:$S,9,FALSE),"")</f>
        <v/>
      </c>
      <c r="E90" s="486" t="s">
        <v>10028</v>
      </c>
      <c r="F90" s="486" t="s">
        <v>5</v>
      </c>
      <c r="G90" s="486" t="s">
        <v>460</v>
      </c>
      <c r="H90" s="486" t="s">
        <v>10029</v>
      </c>
      <c r="I90" s="486">
        <v>4</v>
      </c>
      <c r="J90" s="486" t="s">
        <v>462</v>
      </c>
      <c r="K90" s="486" t="s">
        <v>10030</v>
      </c>
      <c r="L90" s="486">
        <v>4</v>
      </c>
      <c r="M90" s="486" t="s">
        <v>973</v>
      </c>
      <c r="N90" s="486" t="s">
        <v>10031</v>
      </c>
      <c r="O90" s="486" t="s">
        <v>452</v>
      </c>
      <c r="P90" s="486" t="s">
        <v>10869</v>
      </c>
      <c r="Q90" s="486"/>
      <c r="R90" s="486" t="s">
        <v>20</v>
      </c>
      <c r="S90" s="486" t="s">
        <v>11711</v>
      </c>
      <c r="T90" s="486" t="s">
        <v>11800</v>
      </c>
      <c r="U90" s="486"/>
      <c r="V90" s="486"/>
      <c r="W90" s="486"/>
      <c r="X90" s="486"/>
      <c r="Y90" s="486"/>
      <c r="Z90" s="486"/>
      <c r="AA90" s="486"/>
      <c r="AB90" s="486"/>
    </row>
    <row r="91" spans="1:28" ht="15.75" hidden="1" customHeight="1">
      <c r="A91" s="253">
        <v>44789</v>
      </c>
      <c r="B91" s="224" t="s">
        <v>339</v>
      </c>
      <c r="C91" s="249">
        <v>4.25</v>
      </c>
      <c r="D91" s="249"/>
      <c r="E91" s="224" t="s">
        <v>1929</v>
      </c>
      <c r="F91" s="250" t="s">
        <v>3</v>
      </c>
      <c r="G91" s="224" t="s">
        <v>460</v>
      </c>
      <c r="H91" s="224" t="s">
        <v>1930</v>
      </c>
      <c r="I91" s="224">
        <v>4.5</v>
      </c>
      <c r="J91" s="224" t="s">
        <v>941</v>
      </c>
      <c r="K91" s="224" t="s">
        <v>11018</v>
      </c>
      <c r="L91" s="224">
        <v>4</v>
      </c>
      <c r="M91" s="224" t="s">
        <v>451</v>
      </c>
      <c r="N91" s="307">
        <v>8000000</v>
      </c>
      <c r="O91" s="224" t="s">
        <v>465</v>
      </c>
      <c r="P91" s="224" t="s">
        <v>1932</v>
      </c>
      <c r="Q91" s="224"/>
      <c r="R91" s="224" t="s">
        <v>18</v>
      </c>
      <c r="S91" s="254"/>
      <c r="T91" s="254"/>
      <c r="U91" s="252"/>
      <c r="V91" s="252"/>
      <c r="W91" s="252"/>
      <c r="X91" s="224"/>
      <c r="Y91" s="224"/>
      <c r="Z91" s="224"/>
      <c r="AA91" s="224"/>
      <c r="AB91" s="224"/>
    </row>
    <row r="92" spans="1:28" ht="15.75" customHeight="1">
      <c r="A92" s="248">
        <v>44789</v>
      </c>
      <c r="B92" s="219" t="s">
        <v>89</v>
      </c>
      <c r="C92" s="250">
        <v>4.25</v>
      </c>
      <c r="D92" s="250" t="str">
        <f ca="1">IFERROR(VLOOKUP(B92,'2022-2023 Third Reviews'!$C:$S,9,FALSE),"")</f>
        <v>John McDonald
4</v>
      </c>
      <c r="E92" s="219" t="s">
        <v>629</v>
      </c>
      <c r="F92" s="250" t="s">
        <v>5</v>
      </c>
      <c r="G92" s="219" t="s">
        <v>447</v>
      </c>
      <c r="H92" s="219" t="s">
        <v>11488</v>
      </c>
      <c r="I92" s="219">
        <v>4</v>
      </c>
      <c r="J92" s="219" t="s">
        <v>543</v>
      </c>
      <c r="K92" s="219" t="s">
        <v>13400</v>
      </c>
      <c r="L92" s="219">
        <v>4.5</v>
      </c>
      <c r="M92" s="219" t="s">
        <v>478</v>
      </c>
      <c r="N92" s="312">
        <v>15000000</v>
      </c>
      <c r="O92" s="219" t="s">
        <v>452</v>
      </c>
      <c r="P92" s="219" t="s">
        <v>632</v>
      </c>
      <c r="Q92" s="219"/>
      <c r="R92" s="219" t="s">
        <v>18</v>
      </c>
      <c r="S92" s="219"/>
      <c r="T92" s="219" t="s">
        <v>11777</v>
      </c>
      <c r="U92" s="252"/>
      <c r="V92" s="252"/>
      <c r="W92" s="252"/>
      <c r="X92" s="219"/>
      <c r="Y92" s="219"/>
      <c r="Z92" s="219"/>
      <c r="AA92" s="219"/>
      <c r="AB92" s="219"/>
    </row>
    <row r="93" spans="1:28" ht="15.75" hidden="1" customHeight="1">
      <c r="A93" s="253">
        <v>44789</v>
      </c>
      <c r="B93" s="224" t="s">
        <v>317</v>
      </c>
      <c r="C93" s="249">
        <v>4.25</v>
      </c>
      <c r="D93" s="249"/>
      <c r="E93" s="224" t="s">
        <v>1752</v>
      </c>
      <c r="F93" s="250" t="s">
        <v>3</v>
      </c>
      <c r="G93" s="224" t="s">
        <v>460</v>
      </c>
      <c r="H93" s="224" t="s">
        <v>1753</v>
      </c>
      <c r="I93" s="224">
        <v>4.5</v>
      </c>
      <c r="J93" s="224" t="s">
        <v>462</v>
      </c>
      <c r="K93" s="224" t="s">
        <v>1754</v>
      </c>
      <c r="L93" s="224">
        <v>4</v>
      </c>
      <c r="M93" s="224" t="s">
        <v>451</v>
      </c>
      <c r="N93" s="307">
        <v>4000000</v>
      </c>
      <c r="O93" s="224" t="s">
        <v>452</v>
      </c>
      <c r="P93" s="224" t="s">
        <v>1755</v>
      </c>
      <c r="Q93" s="224" t="s">
        <v>1756</v>
      </c>
      <c r="R93" s="224" t="s">
        <v>18</v>
      </c>
      <c r="S93" s="254"/>
      <c r="T93" s="254"/>
      <c r="U93" s="252"/>
      <c r="V93" s="252"/>
      <c r="W93" s="252"/>
      <c r="X93" s="224"/>
      <c r="Y93" s="224"/>
      <c r="Z93" s="224"/>
      <c r="AA93" s="224"/>
      <c r="AB93" s="224"/>
    </row>
    <row r="94" spans="1:28" ht="15.75" customHeight="1">
      <c r="A94" s="248">
        <v>44789</v>
      </c>
      <c r="B94" s="219" t="s">
        <v>62</v>
      </c>
      <c r="C94" s="250">
        <v>4.25</v>
      </c>
      <c r="D94" s="250" t="str">
        <f ca="1">IFERROR(VLOOKUP(B94,'2022-2023 Third Reviews'!$C:$S,9,FALSE),"")</f>
        <v>Nick Schmandt
1</v>
      </c>
      <c r="E94" s="219" t="s">
        <v>446</v>
      </c>
      <c r="F94" s="250" t="s">
        <v>5</v>
      </c>
      <c r="G94" s="219" t="s">
        <v>447</v>
      </c>
      <c r="H94" s="219" t="s">
        <v>10311</v>
      </c>
      <c r="I94" s="219">
        <v>4.5</v>
      </c>
      <c r="J94" s="219" t="s">
        <v>449</v>
      </c>
      <c r="K94" s="219" t="s">
        <v>11766</v>
      </c>
      <c r="L94" s="219">
        <v>4</v>
      </c>
      <c r="M94" s="219" t="s">
        <v>451</v>
      </c>
      <c r="N94" s="312">
        <v>3000000</v>
      </c>
      <c r="O94" s="219" t="s">
        <v>452</v>
      </c>
      <c r="P94" s="219" t="s">
        <v>453</v>
      </c>
      <c r="Q94" s="219"/>
      <c r="R94" s="219" t="s">
        <v>18</v>
      </c>
      <c r="S94" s="219"/>
      <c r="T94" s="219" t="s">
        <v>11767</v>
      </c>
      <c r="U94" s="252"/>
      <c r="V94" s="252"/>
      <c r="W94" s="252"/>
      <c r="X94" s="219"/>
      <c r="Y94" s="219"/>
      <c r="Z94" s="219"/>
      <c r="AA94" s="219"/>
      <c r="AB94" s="219"/>
    </row>
    <row r="95" spans="1:28" ht="15.75" hidden="1" customHeight="1">
      <c r="A95" s="253">
        <v>44791</v>
      </c>
      <c r="B95" s="224" t="s">
        <v>354</v>
      </c>
      <c r="C95" s="316">
        <v>4.25</v>
      </c>
      <c r="D95" s="316"/>
      <c r="E95" s="224" t="s">
        <v>10546</v>
      </c>
      <c r="F95" s="224" t="s">
        <v>3</v>
      </c>
      <c r="G95" s="224" t="s">
        <v>725</v>
      </c>
      <c r="H95" s="224" t="s">
        <v>10547</v>
      </c>
      <c r="I95" s="224">
        <v>4</v>
      </c>
      <c r="J95" s="224" t="s">
        <v>941</v>
      </c>
      <c r="K95" s="224"/>
      <c r="L95" s="224">
        <v>4.5</v>
      </c>
      <c r="M95" s="224"/>
      <c r="N95" s="307"/>
      <c r="O95" s="224" t="s">
        <v>452</v>
      </c>
      <c r="P95" s="224" t="s">
        <v>452</v>
      </c>
      <c r="Q95" s="224"/>
      <c r="R95" s="224" t="s">
        <v>18</v>
      </c>
      <c r="S95" s="254"/>
      <c r="T95" s="254"/>
      <c r="U95" s="224"/>
      <c r="V95" s="224"/>
      <c r="W95" s="224"/>
      <c r="X95" s="224"/>
      <c r="Y95" s="224"/>
      <c r="Z95" s="224"/>
      <c r="AA95" s="224"/>
      <c r="AB95" s="224"/>
    </row>
    <row r="96" spans="1:28" ht="15.75" hidden="1" customHeight="1">
      <c r="A96" s="257">
        <v>44791</v>
      </c>
      <c r="B96" s="258" t="s">
        <v>337</v>
      </c>
      <c r="C96" s="263">
        <v>4.25</v>
      </c>
      <c r="D96" s="263"/>
      <c r="E96" s="258" t="s">
        <v>1906</v>
      </c>
      <c r="F96" s="258" t="s">
        <v>3</v>
      </c>
      <c r="G96" s="258" t="s">
        <v>460</v>
      </c>
      <c r="H96" s="258" t="s">
        <v>10938</v>
      </c>
      <c r="I96" s="258">
        <v>4</v>
      </c>
      <c r="J96" s="258" t="s">
        <v>462</v>
      </c>
      <c r="K96" s="258" t="s">
        <v>10939</v>
      </c>
      <c r="L96" s="258">
        <v>4.5</v>
      </c>
      <c r="M96" s="258" t="s">
        <v>451</v>
      </c>
      <c r="N96" s="309" t="s">
        <v>1909</v>
      </c>
      <c r="O96" s="258" t="s">
        <v>452</v>
      </c>
      <c r="P96" s="258" t="s">
        <v>10940</v>
      </c>
      <c r="Q96" s="258" t="s">
        <v>1911</v>
      </c>
      <c r="R96" s="258" t="s">
        <v>18</v>
      </c>
      <c r="S96" s="259" t="s">
        <v>11646</v>
      </c>
      <c r="T96" s="259"/>
      <c r="U96" s="258"/>
      <c r="V96" s="258"/>
      <c r="W96" s="258"/>
      <c r="X96" s="258"/>
      <c r="Y96" s="258"/>
      <c r="Z96" s="258"/>
      <c r="AA96" s="258"/>
      <c r="AB96" s="258"/>
    </row>
    <row r="97" spans="1:28" ht="15.75" customHeight="1">
      <c r="A97" s="253">
        <v>44782</v>
      </c>
      <c r="B97" s="224" t="s">
        <v>65</v>
      </c>
      <c r="C97" s="250">
        <v>4.25</v>
      </c>
      <c r="D97" s="250" t="str">
        <f ca="1">IFERROR(VLOOKUP(B97,'2022-2023 Third Reviews'!$C:$S,9,FALSE),"")</f>
        <v>Nick Schmandt
5</v>
      </c>
      <c r="E97" s="224" t="s">
        <v>474</v>
      </c>
      <c r="F97" s="250" t="s">
        <v>5</v>
      </c>
      <c r="G97" s="224" t="s">
        <v>447</v>
      </c>
      <c r="H97" s="224" t="s">
        <v>10420</v>
      </c>
      <c r="I97" s="224">
        <v>4.5</v>
      </c>
      <c r="J97" s="224" t="s">
        <v>476</v>
      </c>
      <c r="K97" s="224" t="s">
        <v>13400</v>
      </c>
      <c r="L97" s="224">
        <v>4</v>
      </c>
      <c r="M97" s="224" t="s">
        <v>478</v>
      </c>
      <c r="N97" s="224" t="s">
        <v>479</v>
      </c>
      <c r="O97" s="224" t="s">
        <v>452</v>
      </c>
      <c r="P97" s="224" t="s">
        <v>480</v>
      </c>
      <c r="Q97" s="224"/>
      <c r="R97" s="224" t="s">
        <v>18</v>
      </c>
      <c r="S97" s="224"/>
      <c r="T97" s="224" t="s">
        <v>11770</v>
      </c>
      <c r="U97" s="252"/>
      <c r="V97" s="252"/>
      <c r="W97" s="252"/>
      <c r="X97" s="224"/>
      <c r="Y97" s="224"/>
      <c r="Z97" s="224"/>
      <c r="AA97" s="224"/>
      <c r="AB97" s="224"/>
    </row>
    <row r="98" spans="1:28" ht="15.75" hidden="1" customHeight="1">
      <c r="A98" s="257">
        <v>44791</v>
      </c>
      <c r="B98" s="258" t="s">
        <v>282</v>
      </c>
      <c r="C98" s="263">
        <v>4.25</v>
      </c>
      <c r="D98" s="263"/>
      <c r="E98" s="258" t="s">
        <v>1609</v>
      </c>
      <c r="F98" s="258" t="s">
        <v>3</v>
      </c>
      <c r="G98" s="258" t="s">
        <v>460</v>
      </c>
      <c r="H98" s="258" t="s">
        <v>1610</v>
      </c>
      <c r="I98" s="258">
        <v>4</v>
      </c>
      <c r="J98" s="258" t="s">
        <v>462</v>
      </c>
      <c r="K98" s="258" t="s">
        <v>10989</v>
      </c>
      <c r="L98" s="258">
        <v>4.5</v>
      </c>
      <c r="M98" s="258" t="s">
        <v>451</v>
      </c>
      <c r="N98" s="309">
        <v>2500000</v>
      </c>
      <c r="O98" s="258" t="s">
        <v>452</v>
      </c>
      <c r="P98" s="258" t="s">
        <v>452</v>
      </c>
      <c r="Q98" s="258" t="s">
        <v>1612</v>
      </c>
      <c r="R98" s="258" t="s">
        <v>18</v>
      </c>
      <c r="S98" s="259" t="s">
        <v>11647</v>
      </c>
      <c r="T98" s="259"/>
      <c r="U98" s="258"/>
      <c r="V98" s="258"/>
      <c r="W98" s="258"/>
      <c r="X98" s="258"/>
      <c r="Y98" s="258"/>
      <c r="Z98" s="258"/>
      <c r="AA98" s="258"/>
      <c r="AB98" s="258"/>
    </row>
    <row r="99" spans="1:28" ht="15.75" hidden="1" customHeight="1">
      <c r="A99" s="255">
        <v>44791</v>
      </c>
      <c r="B99" s="239" t="s">
        <v>152</v>
      </c>
      <c r="C99" s="262">
        <v>4.25</v>
      </c>
      <c r="D99" s="262"/>
      <c r="E99" s="239" t="s">
        <v>1024</v>
      </c>
      <c r="F99" s="239" t="s">
        <v>4</v>
      </c>
      <c r="G99" s="239" t="s">
        <v>447</v>
      </c>
      <c r="H99" s="239" t="s">
        <v>11648</v>
      </c>
      <c r="I99" s="239">
        <v>4.5</v>
      </c>
      <c r="J99" s="239" t="s">
        <v>543</v>
      </c>
      <c r="K99" s="239" t="s">
        <v>11649</v>
      </c>
      <c r="L99" s="239">
        <v>4</v>
      </c>
      <c r="M99" s="239" t="s">
        <v>478</v>
      </c>
      <c r="N99" s="239" t="s">
        <v>1027</v>
      </c>
      <c r="O99" s="239" t="s">
        <v>452</v>
      </c>
      <c r="P99" s="239" t="s">
        <v>1028</v>
      </c>
      <c r="Q99" s="239"/>
      <c r="R99" s="239" t="s">
        <v>18</v>
      </c>
      <c r="S99" s="256" t="s">
        <v>1029</v>
      </c>
      <c r="T99" s="256"/>
      <c r="U99" s="239"/>
      <c r="V99" s="239"/>
      <c r="W99" s="239"/>
      <c r="X99" s="239"/>
      <c r="Y99" s="239"/>
      <c r="Z99" s="239"/>
      <c r="AA99" s="239"/>
      <c r="AB99" s="239"/>
    </row>
    <row r="100" spans="1:28" ht="15.75" hidden="1" customHeight="1">
      <c r="A100" s="248">
        <v>44791</v>
      </c>
      <c r="B100" s="219" t="s">
        <v>324</v>
      </c>
      <c r="C100" s="315">
        <v>4.25</v>
      </c>
      <c r="D100" s="315"/>
      <c r="E100" s="219" t="s">
        <v>1800</v>
      </c>
      <c r="F100" s="219" t="s">
        <v>3</v>
      </c>
      <c r="G100" s="219" t="s">
        <v>460</v>
      </c>
      <c r="H100" s="219" t="s">
        <v>1801</v>
      </c>
      <c r="I100" s="219">
        <v>4.5</v>
      </c>
      <c r="J100" s="219" t="s">
        <v>941</v>
      </c>
      <c r="K100" s="219" t="s">
        <v>1802</v>
      </c>
      <c r="L100" s="219">
        <v>4</v>
      </c>
      <c r="M100" s="219"/>
      <c r="N100" s="312"/>
      <c r="O100" s="219" t="s">
        <v>452</v>
      </c>
      <c r="P100" s="219" t="s">
        <v>1803</v>
      </c>
      <c r="Q100" s="219" t="s">
        <v>1804</v>
      </c>
      <c r="R100" s="219" t="s">
        <v>18</v>
      </c>
      <c r="S100" s="251"/>
      <c r="T100" s="251"/>
      <c r="U100" s="219"/>
      <c r="V100" s="219"/>
      <c r="W100" s="219"/>
      <c r="X100" s="219"/>
      <c r="Y100" s="219"/>
      <c r="Z100" s="219"/>
      <c r="AA100" s="219"/>
      <c r="AB100" s="219"/>
    </row>
    <row r="101" spans="1:28" ht="15.75" customHeight="1">
      <c r="A101" s="253">
        <v>44789</v>
      </c>
      <c r="B101" s="224" t="s">
        <v>693</v>
      </c>
      <c r="C101" s="250">
        <v>4</v>
      </c>
      <c r="D101" s="250" t="str">
        <f ca="1">IFERROR(VLOOKUP(B101,'2022-2023 Third Reviews'!$C:$S,9,FALSE),"")</f>
        <v>Jason Yu
4</v>
      </c>
      <c r="E101" s="224" t="s">
        <v>696</v>
      </c>
      <c r="F101" s="250" t="s">
        <v>5</v>
      </c>
      <c r="G101" s="224" t="s">
        <v>447</v>
      </c>
      <c r="H101" s="224" t="s">
        <v>10301</v>
      </c>
      <c r="I101" s="224">
        <v>4</v>
      </c>
      <c r="J101" s="224" t="s">
        <v>543</v>
      </c>
      <c r="K101" s="224" t="s">
        <v>11620</v>
      </c>
      <c r="L101" s="224">
        <v>4</v>
      </c>
      <c r="M101" s="224" t="s">
        <v>451</v>
      </c>
      <c r="N101" s="224">
        <v>3000000</v>
      </c>
      <c r="O101" s="224" t="s">
        <v>452</v>
      </c>
      <c r="P101" s="224" t="s">
        <v>699</v>
      </c>
      <c r="Q101" s="224" t="s">
        <v>700</v>
      </c>
      <c r="R101" s="224" t="s">
        <v>18</v>
      </c>
      <c r="S101" s="224"/>
      <c r="T101" s="224" t="s">
        <v>13191</v>
      </c>
      <c r="U101" s="252"/>
      <c r="V101" s="252"/>
      <c r="W101" s="252"/>
      <c r="X101" s="224"/>
      <c r="Y101" s="224"/>
      <c r="Z101" s="224"/>
      <c r="AA101" s="224"/>
      <c r="AB101" s="224"/>
    </row>
    <row r="102" spans="1:28" ht="15.75" customHeight="1">
      <c r="A102" s="497">
        <v>44782</v>
      </c>
      <c r="B102" s="489" t="s">
        <v>132</v>
      </c>
      <c r="C102" s="489">
        <v>3.75</v>
      </c>
      <c r="D102" s="250" t="str">
        <f>IFERROR(VLOOKUP(B102,'2022-2023 Third Reviews'!$C:$S,9,FALSE),"")</f>
        <v/>
      </c>
      <c r="E102" s="489" t="s">
        <v>3188</v>
      </c>
      <c r="F102" s="489" t="s">
        <v>5</v>
      </c>
      <c r="G102" s="489" t="s">
        <v>447</v>
      </c>
      <c r="H102" s="489" t="s">
        <v>10519</v>
      </c>
      <c r="I102" s="489">
        <v>3.5</v>
      </c>
      <c r="J102" s="489" t="s">
        <v>543</v>
      </c>
      <c r="K102" s="489" t="s">
        <v>13400</v>
      </c>
      <c r="L102" s="489">
        <v>4</v>
      </c>
      <c r="M102" s="489" t="s">
        <v>478</v>
      </c>
      <c r="N102" s="489" t="s">
        <v>3191</v>
      </c>
      <c r="O102" s="489" t="s">
        <v>452</v>
      </c>
      <c r="P102" s="489" t="s">
        <v>3192</v>
      </c>
      <c r="Q102" s="489"/>
      <c r="R102" s="480" t="s">
        <v>24</v>
      </c>
      <c r="S102" s="489" t="s">
        <v>3193</v>
      </c>
      <c r="T102" s="489" t="s">
        <v>11844</v>
      </c>
      <c r="U102" s="489"/>
      <c r="V102" s="489"/>
      <c r="W102" s="489"/>
      <c r="X102" s="489"/>
      <c r="Y102" s="489"/>
      <c r="Z102" s="489"/>
      <c r="AA102" s="489"/>
      <c r="AB102" s="489"/>
    </row>
    <row r="103" spans="1:28" ht="15.75" hidden="1" customHeight="1">
      <c r="A103" s="255">
        <v>44796</v>
      </c>
      <c r="B103" s="239" t="s">
        <v>268</v>
      </c>
      <c r="C103" s="262">
        <v>4.25</v>
      </c>
      <c r="D103" s="262"/>
      <c r="E103" s="239" t="s">
        <v>1550</v>
      </c>
      <c r="F103" s="239" t="s">
        <v>4</v>
      </c>
      <c r="G103" s="239" t="s">
        <v>460</v>
      </c>
      <c r="H103" s="239" t="s">
        <v>10357</v>
      </c>
      <c r="I103" s="239">
        <v>4</v>
      </c>
      <c r="J103" s="239" t="s">
        <v>462</v>
      </c>
      <c r="K103" s="239" t="s">
        <v>1552</v>
      </c>
      <c r="L103" s="239">
        <v>4.5</v>
      </c>
      <c r="M103" s="239" t="s">
        <v>478</v>
      </c>
      <c r="N103" s="329">
        <v>6000000</v>
      </c>
      <c r="O103" s="239" t="s">
        <v>452</v>
      </c>
      <c r="P103" s="239" t="s">
        <v>10358</v>
      </c>
      <c r="Q103" s="239"/>
      <c r="R103" s="239" t="s">
        <v>20</v>
      </c>
      <c r="S103" s="256" t="s">
        <v>1554</v>
      </c>
      <c r="T103" s="256"/>
      <c r="U103" s="239"/>
      <c r="V103" s="239"/>
      <c r="W103" s="239"/>
      <c r="X103" s="239"/>
      <c r="Y103" s="239"/>
      <c r="Z103" s="239"/>
      <c r="AA103" s="239"/>
      <c r="AB103" s="239"/>
    </row>
    <row r="104" spans="1:28" ht="15.75" hidden="1" customHeight="1">
      <c r="A104" s="248">
        <v>44796</v>
      </c>
      <c r="B104" s="219" t="s">
        <v>169</v>
      </c>
      <c r="C104" s="315">
        <v>4.25</v>
      </c>
      <c r="D104" s="315"/>
      <c r="E104" s="219" t="s">
        <v>3669</v>
      </c>
      <c r="F104" s="219" t="s">
        <v>4</v>
      </c>
      <c r="G104" s="219" t="s">
        <v>725</v>
      </c>
      <c r="H104" s="219" t="s">
        <v>10620</v>
      </c>
      <c r="I104" s="219">
        <v>4.5</v>
      </c>
      <c r="J104" s="219" t="s">
        <v>604</v>
      </c>
      <c r="K104" s="219" t="s">
        <v>10621</v>
      </c>
      <c r="L104" s="219">
        <v>4</v>
      </c>
      <c r="M104" s="219" t="s">
        <v>784</v>
      </c>
      <c r="N104" s="331">
        <v>2500000</v>
      </c>
      <c r="O104" s="219" t="s">
        <v>452</v>
      </c>
      <c r="P104" s="219" t="s">
        <v>452</v>
      </c>
      <c r="Q104" s="219"/>
      <c r="R104" s="219" t="s">
        <v>18</v>
      </c>
      <c r="S104" s="251"/>
      <c r="T104" s="251"/>
      <c r="U104" s="219"/>
      <c r="V104" s="219"/>
      <c r="W104" s="219"/>
      <c r="X104" s="219"/>
      <c r="Y104" s="219"/>
      <c r="Z104" s="219"/>
      <c r="AA104" s="219"/>
      <c r="AB104" s="219"/>
    </row>
    <row r="105" spans="1:28" ht="15.75" hidden="1" customHeight="1">
      <c r="A105" s="253">
        <v>44796</v>
      </c>
      <c r="B105" s="224" t="s">
        <v>356</v>
      </c>
      <c r="C105" s="316">
        <v>4.25</v>
      </c>
      <c r="D105" s="316"/>
      <c r="E105" s="224" t="s">
        <v>10667</v>
      </c>
      <c r="F105" s="224" t="s">
        <v>3</v>
      </c>
      <c r="G105" s="224" t="s">
        <v>460</v>
      </c>
      <c r="H105" s="224" t="s">
        <v>2016</v>
      </c>
      <c r="I105" s="224">
        <v>4.5</v>
      </c>
      <c r="J105" s="224" t="s">
        <v>462</v>
      </c>
      <c r="K105" s="224" t="s">
        <v>2017</v>
      </c>
      <c r="L105" s="224">
        <v>4</v>
      </c>
      <c r="M105" s="224" t="s">
        <v>451</v>
      </c>
      <c r="N105" s="224" t="s">
        <v>2018</v>
      </c>
      <c r="O105" s="224" t="s">
        <v>452</v>
      </c>
      <c r="P105" s="224" t="s">
        <v>575</v>
      </c>
      <c r="Q105" s="224" t="s">
        <v>1187</v>
      </c>
      <c r="R105" s="224" t="s">
        <v>18</v>
      </c>
      <c r="S105" s="254"/>
      <c r="T105" s="254"/>
      <c r="U105" s="224"/>
      <c r="V105" s="224"/>
      <c r="W105" s="224"/>
      <c r="X105" s="224"/>
      <c r="Y105" s="224"/>
      <c r="Z105" s="224"/>
      <c r="AA105" s="224"/>
      <c r="AB105" s="224"/>
    </row>
    <row r="106" spans="1:28" ht="15.75" hidden="1" customHeight="1">
      <c r="A106" s="257">
        <v>44796</v>
      </c>
      <c r="B106" s="258" t="s">
        <v>174</v>
      </c>
      <c r="C106" s="263">
        <v>4.25</v>
      </c>
      <c r="D106" s="263"/>
      <c r="E106" s="258" t="s">
        <v>3686</v>
      </c>
      <c r="F106" s="258" t="s">
        <v>4</v>
      </c>
      <c r="G106" s="258" t="s">
        <v>1045</v>
      </c>
      <c r="H106" s="258" t="s">
        <v>3687</v>
      </c>
      <c r="I106" s="258">
        <v>4.5</v>
      </c>
      <c r="J106" s="258" t="s">
        <v>1298</v>
      </c>
      <c r="K106" s="258" t="s">
        <v>3688</v>
      </c>
      <c r="L106" s="258">
        <v>4</v>
      </c>
      <c r="M106" s="258" t="s">
        <v>784</v>
      </c>
      <c r="N106" s="309">
        <v>1000000</v>
      </c>
      <c r="O106" s="258" t="s">
        <v>452</v>
      </c>
      <c r="P106" s="258" t="s">
        <v>3689</v>
      </c>
      <c r="Q106" s="258"/>
      <c r="R106" s="258" t="s">
        <v>18</v>
      </c>
      <c r="S106" s="259" t="s">
        <v>3690</v>
      </c>
      <c r="T106" s="259"/>
      <c r="U106" s="258"/>
      <c r="V106" s="258"/>
      <c r="W106" s="258"/>
      <c r="X106" s="258"/>
      <c r="Y106" s="258"/>
      <c r="Z106" s="258"/>
      <c r="AA106" s="258"/>
      <c r="AB106" s="258"/>
    </row>
    <row r="107" spans="1:28" ht="15.75" customHeight="1">
      <c r="A107" s="498">
        <v>44784</v>
      </c>
      <c r="B107" s="348" t="s">
        <v>112</v>
      </c>
      <c r="C107" s="348">
        <v>4</v>
      </c>
      <c r="D107" s="250" t="str">
        <f ca="1">IFERROR(VLOOKUP(B107,'2022-2023 Third Reviews'!$C:$S,9,FALSE),"")</f>
        <v>Ahmed Bahgat
5</v>
      </c>
      <c r="E107" s="348" t="s">
        <v>806</v>
      </c>
      <c r="F107" s="348" t="s">
        <v>5</v>
      </c>
      <c r="G107" s="348" t="s">
        <v>602</v>
      </c>
      <c r="H107" s="348" t="s">
        <v>807</v>
      </c>
      <c r="I107" s="348">
        <v>4.5</v>
      </c>
      <c r="J107" s="348" t="s">
        <v>449</v>
      </c>
      <c r="K107" s="348" t="s">
        <v>11561</v>
      </c>
      <c r="L107" s="348">
        <v>3.5</v>
      </c>
      <c r="M107" s="348"/>
      <c r="N107" s="348"/>
      <c r="O107" s="348" t="s">
        <v>452</v>
      </c>
      <c r="P107" s="348" t="s">
        <v>809</v>
      </c>
      <c r="Q107" s="348" t="s">
        <v>602</v>
      </c>
      <c r="R107" s="348" t="s">
        <v>24</v>
      </c>
      <c r="S107" s="348" t="s">
        <v>810</v>
      </c>
      <c r="T107" s="348" t="s">
        <v>11791</v>
      </c>
      <c r="U107" s="348"/>
      <c r="V107" s="348"/>
      <c r="W107" s="348"/>
      <c r="X107" s="348"/>
      <c r="Y107" s="348"/>
      <c r="Z107" s="343"/>
      <c r="AA107" s="343"/>
      <c r="AB107" s="343"/>
    </row>
    <row r="108" spans="1:28" ht="15.75" hidden="1" customHeight="1">
      <c r="A108" s="248">
        <v>44796</v>
      </c>
      <c r="B108" s="219" t="s">
        <v>206</v>
      </c>
      <c r="C108" s="315">
        <v>4.25</v>
      </c>
      <c r="D108" s="315"/>
      <c r="E108" s="219" t="s">
        <v>1279</v>
      </c>
      <c r="F108" s="219" t="s">
        <v>4</v>
      </c>
      <c r="G108" s="219" t="s">
        <v>725</v>
      </c>
      <c r="H108" s="219" t="s">
        <v>11707</v>
      </c>
      <c r="I108" s="219">
        <v>4.5</v>
      </c>
      <c r="J108" s="219" t="s">
        <v>1281</v>
      </c>
      <c r="K108" s="219" t="s">
        <v>1282</v>
      </c>
      <c r="L108" s="219">
        <v>4</v>
      </c>
      <c r="M108" s="219" t="s">
        <v>451</v>
      </c>
      <c r="N108" s="310">
        <v>350000</v>
      </c>
      <c r="O108" s="219" t="s">
        <v>452</v>
      </c>
      <c r="P108" s="219" t="s">
        <v>1283</v>
      </c>
      <c r="Q108" s="219"/>
      <c r="R108" s="219" t="s">
        <v>18</v>
      </c>
      <c r="S108" s="251"/>
      <c r="T108" s="251"/>
      <c r="U108" s="219"/>
      <c r="V108" s="219"/>
      <c r="W108" s="219"/>
      <c r="X108" s="219"/>
      <c r="Y108" s="219"/>
      <c r="Z108" s="219"/>
      <c r="AA108" s="219"/>
      <c r="AB108" s="219"/>
    </row>
    <row r="109" spans="1:28" ht="15.75" hidden="1" customHeight="1">
      <c r="A109" s="257">
        <v>44796</v>
      </c>
      <c r="B109" s="258" t="s">
        <v>184</v>
      </c>
      <c r="C109" s="263">
        <v>4.25</v>
      </c>
      <c r="D109" s="263"/>
      <c r="E109" s="258" t="s">
        <v>11708</v>
      </c>
      <c r="F109" s="258" t="s">
        <v>4</v>
      </c>
      <c r="G109" s="258" t="s">
        <v>725</v>
      </c>
      <c r="H109" s="258" t="s">
        <v>11243</v>
      </c>
      <c r="I109" s="258">
        <v>4.5</v>
      </c>
      <c r="J109" s="258" t="s">
        <v>604</v>
      </c>
      <c r="K109" s="258" t="s">
        <v>1169</v>
      </c>
      <c r="L109" s="258">
        <v>4</v>
      </c>
      <c r="M109" s="258" t="s">
        <v>451</v>
      </c>
      <c r="N109" s="258">
        <v>3000000</v>
      </c>
      <c r="O109" s="258" t="s">
        <v>452</v>
      </c>
      <c r="P109" s="258" t="s">
        <v>1170</v>
      </c>
      <c r="Q109" s="258"/>
      <c r="R109" s="258" t="s">
        <v>18</v>
      </c>
      <c r="S109" s="259" t="s">
        <v>1171</v>
      </c>
      <c r="T109" s="259"/>
      <c r="U109" s="258"/>
      <c r="V109" s="258"/>
      <c r="W109" s="258"/>
      <c r="X109" s="258"/>
      <c r="Y109" s="258"/>
      <c r="Z109" s="258"/>
      <c r="AA109" s="258"/>
      <c r="AB109" s="258"/>
    </row>
    <row r="110" spans="1:28" ht="15.75" hidden="1" customHeight="1">
      <c r="A110" s="248">
        <v>44796</v>
      </c>
      <c r="B110" s="219" t="s">
        <v>160</v>
      </c>
      <c r="C110" s="315">
        <v>4.25</v>
      </c>
      <c r="D110" s="315"/>
      <c r="E110" s="219" t="s">
        <v>1071</v>
      </c>
      <c r="F110" s="219" t="s">
        <v>4</v>
      </c>
      <c r="G110" s="219" t="s">
        <v>725</v>
      </c>
      <c r="H110" s="219" t="s">
        <v>11255</v>
      </c>
      <c r="I110" s="219">
        <v>4.5</v>
      </c>
      <c r="J110" s="219" t="s">
        <v>1073</v>
      </c>
      <c r="K110" s="219"/>
      <c r="L110" s="219">
        <v>4</v>
      </c>
      <c r="M110" s="219" t="s">
        <v>1074</v>
      </c>
      <c r="N110" s="331">
        <v>20000000</v>
      </c>
      <c r="O110" s="219" t="s">
        <v>452</v>
      </c>
      <c r="P110" s="219" t="s">
        <v>452</v>
      </c>
      <c r="Q110" s="219"/>
      <c r="R110" s="219" t="s">
        <v>18</v>
      </c>
      <c r="S110" s="251"/>
      <c r="T110" s="251"/>
      <c r="U110" s="219"/>
      <c r="V110" s="219"/>
      <c r="W110" s="219"/>
      <c r="X110" s="219"/>
      <c r="Y110" s="219"/>
      <c r="Z110" s="219"/>
      <c r="AA110" s="219"/>
      <c r="AB110" s="219"/>
    </row>
    <row r="111" spans="1:28" ht="15.75" hidden="1" customHeight="1">
      <c r="A111" s="253">
        <v>44796</v>
      </c>
      <c r="B111" s="224" t="s">
        <v>187</v>
      </c>
      <c r="C111" s="316">
        <v>4.25</v>
      </c>
      <c r="D111" s="316"/>
      <c r="E111" s="224" t="s">
        <v>1185</v>
      </c>
      <c r="F111" s="224" t="s">
        <v>4</v>
      </c>
      <c r="G111" s="224" t="s">
        <v>725</v>
      </c>
      <c r="H111" s="224" t="s">
        <v>11273</v>
      </c>
      <c r="I111" s="224">
        <v>4.5</v>
      </c>
      <c r="J111" s="224" t="s">
        <v>1187</v>
      </c>
      <c r="K111" s="224" t="s">
        <v>1188</v>
      </c>
      <c r="L111" s="224">
        <v>4</v>
      </c>
      <c r="M111" s="224" t="s">
        <v>451</v>
      </c>
      <c r="N111" s="224">
        <v>4000000</v>
      </c>
      <c r="O111" s="224" t="s">
        <v>452</v>
      </c>
      <c r="P111" s="224" t="s">
        <v>452</v>
      </c>
      <c r="Q111" s="224" t="s">
        <v>1189</v>
      </c>
      <c r="R111" s="224" t="s">
        <v>18</v>
      </c>
      <c r="S111" s="254"/>
      <c r="T111" s="254"/>
      <c r="U111" s="224"/>
      <c r="V111" s="224"/>
      <c r="W111" s="224"/>
      <c r="X111" s="224"/>
      <c r="Y111" s="224"/>
      <c r="Z111" s="224"/>
      <c r="AA111" s="224"/>
      <c r="AB111" s="224"/>
    </row>
    <row r="112" spans="1:28" ht="53.25" hidden="1" customHeight="1">
      <c r="A112" s="402">
        <v>44796</v>
      </c>
      <c r="B112" s="403" t="s">
        <v>168</v>
      </c>
      <c r="C112" s="404">
        <v>4.25</v>
      </c>
      <c r="D112" s="404"/>
      <c r="E112" s="403" t="s">
        <v>3659</v>
      </c>
      <c r="F112" s="403" t="s">
        <v>4</v>
      </c>
      <c r="G112" s="403" t="s">
        <v>725</v>
      </c>
      <c r="H112" s="403" t="s">
        <v>11275</v>
      </c>
      <c r="I112" s="403">
        <v>3.5</v>
      </c>
      <c r="J112" s="403" t="s">
        <v>990</v>
      </c>
      <c r="K112" s="403" t="s">
        <v>3661</v>
      </c>
      <c r="L112" s="403">
        <v>5</v>
      </c>
      <c r="M112" s="403" t="s">
        <v>451</v>
      </c>
      <c r="N112" s="403" t="s">
        <v>11276</v>
      </c>
      <c r="O112" s="403" t="s">
        <v>452</v>
      </c>
      <c r="P112" s="403" t="s">
        <v>3663</v>
      </c>
      <c r="Q112" s="403"/>
      <c r="R112" s="403" t="s">
        <v>20</v>
      </c>
      <c r="S112" s="499" t="s">
        <v>3664</v>
      </c>
      <c r="T112" s="499"/>
      <c r="U112" s="403"/>
      <c r="V112" s="403"/>
      <c r="W112" s="403"/>
      <c r="X112" s="403"/>
      <c r="Y112" s="403"/>
      <c r="Z112" s="403"/>
      <c r="AA112" s="403"/>
      <c r="AB112" s="403"/>
    </row>
    <row r="113" spans="1:28" ht="15.75" hidden="1" customHeight="1">
      <c r="A113" s="253">
        <v>44796</v>
      </c>
      <c r="B113" s="224" t="s">
        <v>303</v>
      </c>
      <c r="C113" s="316">
        <v>4.25</v>
      </c>
      <c r="D113" s="316"/>
      <c r="E113" s="224" t="s">
        <v>1693</v>
      </c>
      <c r="F113" s="224" t="s">
        <v>3</v>
      </c>
      <c r="G113" s="224" t="s">
        <v>460</v>
      </c>
      <c r="H113" s="224" t="s">
        <v>10705</v>
      </c>
      <c r="I113" s="224">
        <v>4.5</v>
      </c>
      <c r="J113" s="224" t="s">
        <v>462</v>
      </c>
      <c r="K113" s="224" t="s">
        <v>10706</v>
      </c>
      <c r="L113" s="224">
        <v>4</v>
      </c>
      <c r="M113" s="224" t="s">
        <v>451</v>
      </c>
      <c r="N113" s="224" t="s">
        <v>1696</v>
      </c>
      <c r="O113" s="224" t="s">
        <v>452</v>
      </c>
      <c r="P113" s="224" t="s">
        <v>452</v>
      </c>
      <c r="Q113" s="224"/>
      <c r="R113" s="224" t="s">
        <v>18</v>
      </c>
      <c r="S113" s="254"/>
      <c r="T113" s="254"/>
      <c r="U113" s="224"/>
      <c r="V113" s="224"/>
      <c r="W113" s="224"/>
      <c r="X113" s="224"/>
      <c r="Y113" s="224"/>
      <c r="Z113" s="224"/>
      <c r="AA113" s="224"/>
      <c r="AB113" s="224"/>
    </row>
    <row r="114" spans="1:28" ht="15.75" hidden="1" customHeight="1">
      <c r="A114" s="248">
        <v>44791</v>
      </c>
      <c r="B114" s="219" t="s">
        <v>197</v>
      </c>
      <c r="C114" s="315">
        <v>4.13</v>
      </c>
      <c r="D114" s="315"/>
      <c r="E114" s="219" t="s">
        <v>1245</v>
      </c>
      <c r="F114" s="219" t="s">
        <v>4</v>
      </c>
      <c r="G114" s="219" t="s">
        <v>602</v>
      </c>
      <c r="H114" s="219" t="s">
        <v>1246</v>
      </c>
      <c r="I114" s="219">
        <v>4.25</v>
      </c>
      <c r="J114" s="219" t="s">
        <v>1045</v>
      </c>
      <c r="K114" s="219" t="s">
        <v>1247</v>
      </c>
      <c r="L114" s="219">
        <v>4</v>
      </c>
      <c r="M114" s="219" t="s">
        <v>478</v>
      </c>
      <c r="N114" s="310">
        <v>3500000</v>
      </c>
      <c r="O114" s="219" t="s">
        <v>452</v>
      </c>
      <c r="P114" s="219" t="s">
        <v>452</v>
      </c>
      <c r="Q114" s="219" t="s">
        <v>460</v>
      </c>
      <c r="R114" s="219" t="s">
        <v>18</v>
      </c>
      <c r="S114" s="251"/>
      <c r="T114" s="251"/>
      <c r="U114" s="219"/>
      <c r="V114" s="219"/>
      <c r="W114" s="219"/>
      <c r="X114" s="219"/>
      <c r="Y114" s="219"/>
      <c r="Z114" s="219"/>
      <c r="AA114" s="219"/>
      <c r="AB114" s="219"/>
    </row>
    <row r="115" spans="1:28" ht="15.75" customHeight="1">
      <c r="A115" s="500">
        <v>44789</v>
      </c>
      <c r="B115" s="343" t="s">
        <v>86</v>
      </c>
      <c r="C115" s="343">
        <v>4</v>
      </c>
      <c r="D115" s="250" t="str">
        <f ca="1">IFERROR(VLOOKUP(B115,'2022-2023 Third Reviews'!$C:$S,9,FALSE),"")</f>
        <v>Jason Yu
4</v>
      </c>
      <c r="E115" s="343" t="s">
        <v>611</v>
      </c>
      <c r="F115" s="343" t="s">
        <v>5</v>
      </c>
      <c r="G115" s="343" t="s">
        <v>460</v>
      </c>
      <c r="H115" s="343" t="s">
        <v>612</v>
      </c>
      <c r="I115" s="343">
        <v>4</v>
      </c>
      <c r="J115" s="343" t="s">
        <v>462</v>
      </c>
      <c r="K115" s="343" t="s">
        <v>613</v>
      </c>
      <c r="L115" s="343">
        <v>4</v>
      </c>
      <c r="M115" s="343" t="s">
        <v>478</v>
      </c>
      <c r="N115" s="343" t="s">
        <v>614</v>
      </c>
      <c r="O115" s="343" t="s">
        <v>452</v>
      </c>
      <c r="P115" s="343" t="s">
        <v>452</v>
      </c>
      <c r="Q115" s="343"/>
      <c r="R115" s="343" t="s">
        <v>18</v>
      </c>
      <c r="S115" s="343" t="s">
        <v>11619</v>
      </c>
      <c r="T115" s="343" t="s">
        <v>11791</v>
      </c>
      <c r="U115" s="343"/>
      <c r="V115" s="343"/>
      <c r="W115" s="343"/>
      <c r="X115" s="343"/>
      <c r="Y115" s="343"/>
      <c r="Z115" s="343"/>
      <c r="AA115" s="343"/>
      <c r="AB115" s="343"/>
    </row>
    <row r="116" spans="1:28" ht="15.75" hidden="1" customHeight="1">
      <c r="A116" s="227">
        <v>44776</v>
      </c>
      <c r="B116" s="228" t="s">
        <v>385</v>
      </c>
      <c r="C116" s="214">
        <v>4</v>
      </c>
      <c r="D116" s="214"/>
      <c r="E116" s="228" t="s">
        <v>9919</v>
      </c>
      <c r="F116" s="215" t="s">
        <v>3</v>
      </c>
      <c r="G116" s="228" t="s">
        <v>460</v>
      </c>
      <c r="H116" s="228" t="s">
        <v>9920</v>
      </c>
      <c r="I116" s="228">
        <v>4</v>
      </c>
      <c r="J116" s="228" t="s">
        <v>941</v>
      </c>
      <c r="K116" s="228" t="s">
        <v>9921</v>
      </c>
      <c r="L116" s="228">
        <v>4</v>
      </c>
      <c r="M116" s="228" t="s">
        <v>784</v>
      </c>
      <c r="N116" s="232">
        <v>2000000</v>
      </c>
      <c r="O116" s="228" t="s">
        <v>452</v>
      </c>
      <c r="P116" s="228" t="s">
        <v>9922</v>
      </c>
      <c r="Q116" s="230"/>
      <c r="R116" s="228" t="s">
        <v>18</v>
      </c>
      <c r="S116" s="231" t="str">
        <f t="array" ref="S116">INDEX(Notes!C:C,MATCH($B116,Notes!$A:$A,0))</f>
        <v>Fully integrated lab data system; nyu and Columbia have similar systems that dominate market, but this company is still pulling in 15k/month despite this. Track change to digital tech</v>
      </c>
      <c r="T116" s="231"/>
      <c r="U116" s="228"/>
      <c r="V116" s="228"/>
      <c r="W116" s="228"/>
      <c r="X116" s="219"/>
      <c r="Y116" s="219"/>
      <c r="Z116" s="219"/>
      <c r="AA116" s="219"/>
      <c r="AB116" s="219"/>
    </row>
    <row r="117" spans="1:28" ht="15.75" hidden="1" customHeight="1">
      <c r="A117" s="220">
        <v>44776</v>
      </c>
      <c r="B117" s="221" t="s">
        <v>394</v>
      </c>
      <c r="C117" s="214">
        <v>4</v>
      </c>
      <c r="D117" s="214"/>
      <c r="E117" s="221" t="s">
        <v>9947</v>
      </c>
      <c r="F117" s="215" t="s">
        <v>3</v>
      </c>
      <c r="G117" s="221" t="s">
        <v>460</v>
      </c>
      <c r="H117" s="221" t="s">
        <v>9948</v>
      </c>
      <c r="I117" s="221">
        <v>4</v>
      </c>
      <c r="J117" s="221" t="s">
        <v>941</v>
      </c>
      <c r="K117" s="221"/>
      <c r="L117" s="221">
        <v>4</v>
      </c>
      <c r="M117" s="221" t="s">
        <v>478</v>
      </c>
      <c r="N117" s="221" t="s">
        <v>9949</v>
      </c>
      <c r="O117" s="221" t="s">
        <v>454</v>
      </c>
      <c r="P117" s="221" t="s">
        <v>9950</v>
      </c>
      <c r="Q117" s="145"/>
      <c r="R117" s="221" t="s">
        <v>18</v>
      </c>
      <c r="S117" s="223">
        <f t="array" ref="S117">INDEX(Notes!C:C,MATCH($B117,Notes!$A:$A,0))</f>
        <v>0</v>
      </c>
      <c r="T117" s="223"/>
      <c r="U117" s="218"/>
      <c r="V117" s="218"/>
      <c r="W117" s="218"/>
      <c r="X117" s="224"/>
      <c r="Y117" s="224"/>
      <c r="Z117" s="224"/>
      <c r="AA117" s="224"/>
      <c r="AB117" s="224"/>
    </row>
    <row r="118" spans="1:28" ht="15.75" customHeight="1">
      <c r="A118" s="227">
        <v>44776</v>
      </c>
      <c r="B118" s="228" t="s">
        <v>372</v>
      </c>
      <c r="C118" s="215">
        <v>4</v>
      </c>
      <c r="D118" s="250" t="str">
        <f ca="1">IFERROR(VLOOKUP(B118,'2022-2023 Third Reviews'!$C:$S,9,FALSE),"")</f>
        <v>Nick Schmandt
1</v>
      </c>
      <c r="E118" s="228" t="s">
        <v>11860</v>
      </c>
      <c r="F118" s="215" t="s">
        <v>5</v>
      </c>
      <c r="G118" s="228" t="s">
        <v>447</v>
      </c>
      <c r="H118" s="228" t="s">
        <v>9995</v>
      </c>
      <c r="I118" s="228">
        <v>4</v>
      </c>
      <c r="J118" s="228" t="s">
        <v>622</v>
      </c>
      <c r="K118" s="228" t="s">
        <v>10178</v>
      </c>
      <c r="L118" s="228">
        <v>4</v>
      </c>
      <c r="M118" s="228"/>
      <c r="N118" s="228" t="s">
        <v>9997</v>
      </c>
      <c r="O118" s="228" t="s">
        <v>452</v>
      </c>
      <c r="P118" s="228" t="s">
        <v>10179</v>
      </c>
      <c r="Q118" s="228"/>
      <c r="R118" s="228" t="s">
        <v>18</v>
      </c>
      <c r="S118" s="228" t="str">
        <f t="array" ref="S118">INDEX(Notes!C:C,MATCH($B118,Notes!$A:$A,0))</f>
        <v>Potentially remove from interview list; very comparable to other companies</v>
      </c>
      <c r="T118" s="228" t="s">
        <v>11861</v>
      </c>
      <c r="U118" s="228"/>
      <c r="V118" s="228"/>
      <c r="W118" s="228"/>
      <c r="X118" s="219"/>
      <c r="Y118" s="219"/>
      <c r="Z118" s="219"/>
      <c r="AA118" s="219"/>
      <c r="AB118" s="219"/>
    </row>
    <row r="119" spans="1:28" ht="15.75" hidden="1" customHeight="1">
      <c r="A119" s="220">
        <v>44776</v>
      </c>
      <c r="B119" s="221" t="s">
        <v>284</v>
      </c>
      <c r="C119" s="214">
        <v>4</v>
      </c>
      <c r="D119" s="214"/>
      <c r="E119" s="221" t="s">
        <v>1618</v>
      </c>
      <c r="F119" s="215" t="s">
        <v>3</v>
      </c>
      <c r="G119" s="221" t="s">
        <v>460</v>
      </c>
      <c r="H119" s="221" t="s">
        <v>1619</v>
      </c>
      <c r="I119" s="221">
        <v>4</v>
      </c>
      <c r="J119" s="221" t="s">
        <v>941</v>
      </c>
      <c r="K119" s="221" t="s">
        <v>1620</v>
      </c>
      <c r="L119" s="221">
        <v>4</v>
      </c>
      <c r="M119" s="221"/>
      <c r="N119" s="221"/>
      <c r="O119" s="221" t="s">
        <v>452</v>
      </c>
      <c r="P119" s="221" t="s">
        <v>1621</v>
      </c>
      <c r="Q119" s="145"/>
      <c r="R119" s="221" t="s">
        <v>18</v>
      </c>
      <c r="S119" s="223">
        <f t="array" ref="S119">INDEX(Notes!C:C,MATCH($B119,Notes!$A:$A,0))</f>
        <v>0</v>
      </c>
      <c r="T119" s="223"/>
      <c r="U119" s="218"/>
      <c r="V119" s="218"/>
      <c r="W119" s="218"/>
      <c r="X119" s="224"/>
      <c r="Y119" s="224"/>
      <c r="Z119" s="224"/>
      <c r="AA119" s="224"/>
      <c r="AB119" s="224"/>
    </row>
    <row r="120" spans="1:28" ht="15.75" hidden="1" customHeight="1">
      <c r="A120" s="227">
        <v>44776</v>
      </c>
      <c r="B120" s="228" t="s">
        <v>262</v>
      </c>
      <c r="C120" s="214">
        <v>4</v>
      </c>
      <c r="D120" s="214"/>
      <c r="E120" s="228" t="s">
        <v>1525</v>
      </c>
      <c r="F120" s="215" t="s">
        <v>4</v>
      </c>
      <c r="G120" s="228" t="s">
        <v>727</v>
      </c>
      <c r="H120" s="228" t="s">
        <v>1526</v>
      </c>
      <c r="I120" s="228">
        <v>4</v>
      </c>
      <c r="J120" s="228" t="s">
        <v>1054</v>
      </c>
      <c r="K120" s="228" t="s">
        <v>1527</v>
      </c>
      <c r="L120" s="228">
        <v>4</v>
      </c>
      <c r="M120" s="228"/>
      <c r="N120" s="228"/>
      <c r="O120" s="228" t="s">
        <v>452</v>
      </c>
      <c r="P120" s="228" t="s">
        <v>452</v>
      </c>
      <c r="Q120" s="230"/>
      <c r="R120" s="228" t="str">
        <f t="array" ref="R120">INDEX(Notes!B:B,MATCH($B120,Notes!$A:$A,0))</f>
        <v>Invite</v>
      </c>
      <c r="S120" s="231" t="s">
        <v>1528</v>
      </c>
      <c r="T120" s="231"/>
      <c r="U120" s="228"/>
      <c r="V120" s="228"/>
      <c r="W120" s="228"/>
      <c r="X120" s="219"/>
      <c r="Y120" s="219"/>
      <c r="Z120" s="219"/>
      <c r="AA120" s="219"/>
      <c r="AB120" s="219"/>
    </row>
    <row r="121" spans="1:28" ht="15.75" hidden="1" customHeight="1">
      <c r="A121" s="501">
        <v>44776</v>
      </c>
      <c r="B121" s="492" t="s">
        <v>73</v>
      </c>
      <c r="C121" s="502">
        <v>4</v>
      </c>
      <c r="D121" s="502"/>
      <c r="E121" s="492" t="s">
        <v>9466</v>
      </c>
      <c r="F121" s="492" t="s">
        <v>4</v>
      </c>
      <c r="G121" s="492" t="s">
        <v>447</v>
      </c>
      <c r="H121" s="492" t="s">
        <v>13192</v>
      </c>
      <c r="I121" s="492">
        <v>4</v>
      </c>
      <c r="J121" s="492" t="s">
        <v>543</v>
      </c>
      <c r="K121" s="492" t="s">
        <v>13193</v>
      </c>
      <c r="L121" s="492">
        <v>4</v>
      </c>
      <c r="M121" s="492"/>
      <c r="N121" s="492"/>
      <c r="O121" s="492" t="s">
        <v>452</v>
      </c>
      <c r="P121" s="492" t="s">
        <v>452</v>
      </c>
      <c r="Q121" s="492"/>
      <c r="R121" s="492" t="s">
        <v>20</v>
      </c>
      <c r="S121" s="503" t="s">
        <v>9468</v>
      </c>
      <c r="T121" s="503"/>
      <c r="U121" s="492"/>
      <c r="V121" s="492"/>
      <c r="W121" s="492"/>
      <c r="X121" s="504"/>
      <c r="Y121" s="504"/>
      <c r="Z121" s="504"/>
      <c r="AA121" s="504"/>
      <c r="AB121" s="504"/>
    </row>
    <row r="122" spans="1:28" ht="15.75" customHeight="1">
      <c r="A122" s="248">
        <v>44782</v>
      </c>
      <c r="B122" s="219" t="s">
        <v>129</v>
      </c>
      <c r="C122" s="250">
        <v>4</v>
      </c>
      <c r="D122" s="250" t="str">
        <f ca="1">IFERROR(VLOOKUP(B122,'2022-2023 Third Reviews'!$C:$S,9,FALSE),"")</f>
        <v>Chris Millisits
3</v>
      </c>
      <c r="E122" s="219" t="s">
        <v>10363</v>
      </c>
      <c r="F122" s="250" t="s">
        <v>5</v>
      </c>
      <c r="G122" s="219" t="s">
        <v>447</v>
      </c>
      <c r="H122" s="219" t="s">
        <v>931</v>
      </c>
      <c r="I122" s="219">
        <v>4</v>
      </c>
      <c r="J122" s="219" t="s">
        <v>449</v>
      </c>
      <c r="K122" s="219" t="s">
        <v>13400</v>
      </c>
      <c r="L122" s="219">
        <v>4</v>
      </c>
      <c r="M122" s="219" t="s">
        <v>478</v>
      </c>
      <c r="N122" s="219">
        <v>5000000</v>
      </c>
      <c r="O122" s="219" t="s">
        <v>452</v>
      </c>
      <c r="P122" s="219" t="s">
        <v>933</v>
      </c>
      <c r="Q122" s="219" t="s">
        <v>934</v>
      </c>
      <c r="R122" s="219" t="s">
        <v>18</v>
      </c>
      <c r="S122" s="219"/>
      <c r="T122" s="219" t="s">
        <v>13194</v>
      </c>
      <c r="U122" s="252"/>
      <c r="V122" s="252"/>
      <c r="W122" s="252"/>
      <c r="X122" s="219"/>
      <c r="Y122" s="219"/>
      <c r="Z122" s="219"/>
      <c r="AA122" s="219"/>
      <c r="AB122" s="219"/>
    </row>
    <row r="123" spans="1:28" ht="15.75" customHeight="1">
      <c r="A123" s="257">
        <v>44789</v>
      </c>
      <c r="B123" s="258" t="s">
        <v>122</v>
      </c>
      <c r="C123" s="258">
        <v>4.25</v>
      </c>
      <c r="D123" s="250" t="str">
        <f>IFERROR(VLOOKUP(B123,'2022-2023 Third Reviews'!$C:$S,9,FALSE),"")</f>
        <v/>
      </c>
      <c r="E123" s="258" t="s">
        <v>872</v>
      </c>
      <c r="F123" s="258" t="s">
        <v>5</v>
      </c>
      <c r="G123" s="258" t="s">
        <v>447</v>
      </c>
      <c r="H123" s="258" t="s">
        <v>11614</v>
      </c>
      <c r="I123" s="258">
        <v>4</v>
      </c>
      <c r="J123" s="258" t="s">
        <v>543</v>
      </c>
      <c r="K123" s="258" t="s">
        <v>11819</v>
      </c>
      <c r="L123" s="258">
        <v>4.5</v>
      </c>
      <c r="M123" s="258" t="s">
        <v>451</v>
      </c>
      <c r="N123" s="258" t="s">
        <v>874</v>
      </c>
      <c r="O123" s="258" t="s">
        <v>452</v>
      </c>
      <c r="P123" s="258" t="s">
        <v>875</v>
      </c>
      <c r="Q123" s="258" t="s">
        <v>876</v>
      </c>
      <c r="R123" s="258" t="s">
        <v>18</v>
      </c>
      <c r="S123" s="258" t="s">
        <v>877</v>
      </c>
      <c r="T123" s="258" t="s">
        <v>11777</v>
      </c>
      <c r="U123" s="258"/>
      <c r="V123" s="258"/>
      <c r="W123" s="258"/>
      <c r="X123" s="258"/>
      <c r="Y123" s="258"/>
      <c r="Z123" s="258"/>
      <c r="AA123" s="258"/>
      <c r="AB123" s="258"/>
    </row>
    <row r="124" spans="1:28" ht="15.75" hidden="1" customHeight="1">
      <c r="A124" s="212">
        <v>44776</v>
      </c>
      <c r="B124" s="213" t="s">
        <v>341</v>
      </c>
      <c r="C124" s="214">
        <v>4</v>
      </c>
      <c r="D124" s="214"/>
      <c r="E124" s="213" t="s">
        <v>9714</v>
      </c>
      <c r="F124" s="215" t="s">
        <v>3</v>
      </c>
      <c r="G124" s="213" t="s">
        <v>460</v>
      </c>
      <c r="H124" s="213" t="s">
        <v>9715</v>
      </c>
      <c r="I124" s="213">
        <v>4</v>
      </c>
      <c r="J124" s="213" t="s">
        <v>488</v>
      </c>
      <c r="K124" s="213" t="s">
        <v>9716</v>
      </c>
      <c r="L124" s="213">
        <v>4</v>
      </c>
      <c r="M124" s="213" t="s">
        <v>451</v>
      </c>
      <c r="N124" s="225">
        <v>5000000</v>
      </c>
      <c r="O124" s="213" t="s">
        <v>452</v>
      </c>
      <c r="P124" s="213" t="s">
        <v>11392</v>
      </c>
      <c r="Q124" s="143" t="s">
        <v>9718</v>
      </c>
      <c r="R124" s="213" t="s">
        <v>18</v>
      </c>
      <c r="S124" s="226">
        <f t="array" ref="S124">INDEX(Notes!C:C,MATCH($B124,Notes!$A:$A,0))</f>
        <v>0</v>
      </c>
      <c r="T124" s="226"/>
      <c r="U124" s="218"/>
      <c r="V124" s="218"/>
      <c r="W124" s="218"/>
      <c r="X124" s="219"/>
      <c r="Y124" s="219"/>
      <c r="Z124" s="219"/>
      <c r="AA124" s="219"/>
      <c r="AB124" s="219"/>
    </row>
    <row r="125" spans="1:28" ht="15.75" hidden="1" customHeight="1">
      <c r="A125" s="233">
        <v>44776</v>
      </c>
      <c r="B125" s="234" t="s">
        <v>190</v>
      </c>
      <c r="C125" s="241">
        <v>4</v>
      </c>
      <c r="D125" s="241"/>
      <c r="E125" s="234" t="s">
        <v>3769</v>
      </c>
      <c r="F125" s="242" t="s">
        <v>4</v>
      </c>
      <c r="G125" s="234" t="s">
        <v>602</v>
      </c>
      <c r="H125" s="234" t="s">
        <v>11408</v>
      </c>
      <c r="I125" s="234">
        <v>4</v>
      </c>
      <c r="J125" s="234" t="s">
        <v>1054</v>
      </c>
      <c r="K125" s="234" t="s">
        <v>3771</v>
      </c>
      <c r="L125" s="234">
        <v>4</v>
      </c>
      <c r="M125" s="234" t="s">
        <v>451</v>
      </c>
      <c r="N125" s="234" t="s">
        <v>3473</v>
      </c>
      <c r="O125" s="234" t="s">
        <v>454</v>
      </c>
      <c r="P125" s="234" t="s">
        <v>3773</v>
      </c>
      <c r="Q125" s="237"/>
      <c r="R125" s="234" t="str">
        <f t="array" ref="R125">INDEX(Notes!B:B,MATCH($B125,Notes!$A:$A,0))</f>
        <v>Revisit/ Cluster</v>
      </c>
      <c r="S125" s="238" t="s">
        <v>3774</v>
      </c>
      <c r="T125" s="238"/>
      <c r="U125" s="234"/>
      <c r="V125" s="234"/>
      <c r="W125" s="234"/>
      <c r="X125" s="239"/>
      <c r="Y125" s="239"/>
      <c r="Z125" s="239"/>
      <c r="AA125" s="239"/>
      <c r="AB125" s="239"/>
    </row>
    <row r="126" spans="1:28" ht="15.75" customHeight="1">
      <c r="A126" s="248">
        <v>44791</v>
      </c>
      <c r="B126" s="219" t="s">
        <v>109</v>
      </c>
      <c r="C126" s="219">
        <v>4</v>
      </c>
      <c r="D126" s="250" t="str">
        <f ca="1">IFERROR(VLOOKUP(B126,'2022-2023 Third Reviews'!$C:$S,9,FALSE),"")</f>
        <v>Ahmed Bahgat
5</v>
      </c>
      <c r="E126" s="219" t="s">
        <v>799</v>
      </c>
      <c r="F126" s="219" t="s">
        <v>5</v>
      </c>
      <c r="G126" s="219" t="s">
        <v>447</v>
      </c>
      <c r="H126" s="219" t="s">
        <v>11152</v>
      </c>
      <c r="I126" s="219">
        <v>4</v>
      </c>
      <c r="J126" s="219" t="s">
        <v>449</v>
      </c>
      <c r="K126" s="219" t="s">
        <v>11661</v>
      </c>
      <c r="L126" s="219">
        <v>4</v>
      </c>
      <c r="M126" s="219" t="s">
        <v>478</v>
      </c>
      <c r="N126" s="312">
        <v>12000000</v>
      </c>
      <c r="O126" s="219" t="s">
        <v>452</v>
      </c>
      <c r="P126" s="219" t="s">
        <v>452</v>
      </c>
      <c r="Q126" s="219"/>
      <c r="R126" s="219" t="s">
        <v>18</v>
      </c>
      <c r="S126" s="219"/>
      <c r="T126" s="219" t="s">
        <v>11809</v>
      </c>
      <c r="U126" s="219"/>
      <c r="V126" s="219"/>
      <c r="W126" s="219"/>
      <c r="X126" s="219"/>
      <c r="Y126" s="219"/>
      <c r="Z126" s="219"/>
      <c r="AA126" s="219"/>
      <c r="AB126" s="219"/>
    </row>
    <row r="127" spans="1:28" ht="15.75" customHeight="1">
      <c r="A127" s="220">
        <v>44776</v>
      </c>
      <c r="B127" s="221" t="s">
        <v>71</v>
      </c>
      <c r="C127" s="215">
        <v>4</v>
      </c>
      <c r="D127" s="250" t="str">
        <f>IFERROR(VLOOKUP(B127,'2022-2023 Third Reviews'!$C:$S,9,FALSE),"")</f>
        <v/>
      </c>
      <c r="E127" s="221" t="s">
        <v>514</v>
      </c>
      <c r="F127" s="215" t="s">
        <v>5</v>
      </c>
      <c r="G127" s="221" t="s">
        <v>447</v>
      </c>
      <c r="H127" s="221" t="s">
        <v>515</v>
      </c>
      <c r="I127" s="221">
        <v>4</v>
      </c>
      <c r="J127" s="221" t="s">
        <v>476</v>
      </c>
      <c r="K127" s="221" t="s">
        <v>11451</v>
      </c>
      <c r="L127" s="221">
        <v>4</v>
      </c>
      <c r="M127" s="221"/>
      <c r="N127" s="221"/>
      <c r="O127" s="221" t="s">
        <v>452</v>
      </c>
      <c r="P127" s="221" t="s">
        <v>452</v>
      </c>
      <c r="Q127" s="221"/>
      <c r="R127" s="221" t="s">
        <v>18</v>
      </c>
      <c r="S127" s="221">
        <f t="array" ref="S127">INDEX(Notes!C:C,MATCH($B127,Notes!$A:$A,0))</f>
        <v>0</v>
      </c>
      <c r="T127" s="221" t="s">
        <v>11777</v>
      </c>
      <c r="U127" s="218"/>
      <c r="V127" s="218"/>
      <c r="W127" s="218"/>
      <c r="X127" s="224"/>
      <c r="Y127" s="224"/>
      <c r="Z127" s="224"/>
      <c r="AA127" s="224"/>
      <c r="AB127" s="224"/>
    </row>
    <row r="128" spans="1:28" ht="15.75" hidden="1" customHeight="1">
      <c r="A128" s="227">
        <v>44776</v>
      </c>
      <c r="B128" s="228" t="s">
        <v>355</v>
      </c>
      <c r="C128" s="214">
        <v>4</v>
      </c>
      <c r="D128" s="214"/>
      <c r="E128" s="228" t="s">
        <v>9764</v>
      </c>
      <c r="F128" s="215" t="s">
        <v>3</v>
      </c>
      <c r="G128" s="228" t="s">
        <v>460</v>
      </c>
      <c r="H128" s="228" t="s">
        <v>9765</v>
      </c>
      <c r="I128" s="228">
        <v>4</v>
      </c>
      <c r="J128" s="228" t="s">
        <v>462</v>
      </c>
      <c r="K128" s="228" t="s">
        <v>9766</v>
      </c>
      <c r="L128" s="228">
        <v>4</v>
      </c>
      <c r="M128" s="228" t="s">
        <v>784</v>
      </c>
      <c r="N128" s="228">
        <v>3000000</v>
      </c>
      <c r="O128" s="228" t="s">
        <v>452</v>
      </c>
      <c r="P128" s="228" t="s">
        <v>555</v>
      </c>
      <c r="Q128" s="230" t="s">
        <v>1281</v>
      </c>
      <c r="R128" s="228" t="str">
        <f t="array" ref="R128">INDEX(Notes!B:B,MATCH($B128,Notes!$A:$A,0))</f>
        <v>Invite</v>
      </c>
      <c r="S128" s="231" t="s">
        <v>11393</v>
      </c>
      <c r="T128" s="231"/>
      <c r="U128" s="228"/>
      <c r="V128" s="228"/>
      <c r="W128" s="228"/>
      <c r="X128" s="219"/>
      <c r="Y128" s="219"/>
      <c r="Z128" s="219"/>
      <c r="AA128" s="219"/>
      <c r="AB128" s="219"/>
    </row>
    <row r="129" spans="1:28" ht="15.75" hidden="1" customHeight="1">
      <c r="A129" s="220">
        <v>44776</v>
      </c>
      <c r="B129" s="221" t="s">
        <v>395</v>
      </c>
      <c r="C129" s="214">
        <v>4</v>
      </c>
      <c r="D129" s="214"/>
      <c r="E129" s="221" t="s">
        <v>10098</v>
      </c>
      <c r="F129" s="215" t="s">
        <v>3</v>
      </c>
      <c r="G129" s="221" t="s">
        <v>460</v>
      </c>
      <c r="H129" s="221" t="s">
        <v>10099</v>
      </c>
      <c r="I129" s="221">
        <v>4</v>
      </c>
      <c r="J129" s="221" t="s">
        <v>488</v>
      </c>
      <c r="K129" s="221" t="s">
        <v>11411</v>
      </c>
      <c r="L129" s="221">
        <v>4</v>
      </c>
      <c r="M129" s="221" t="s">
        <v>451</v>
      </c>
      <c r="N129" s="221" t="s">
        <v>10101</v>
      </c>
      <c r="O129" s="221" t="s">
        <v>452</v>
      </c>
      <c r="P129" s="221" t="s">
        <v>11412</v>
      </c>
      <c r="Q129" s="145" t="s">
        <v>10103</v>
      </c>
      <c r="R129" s="221" t="str">
        <f t="array" ref="R129">INDEX(Notes!B:B,MATCH($B129,Notes!$A:$A,0))</f>
        <v>Invite</v>
      </c>
      <c r="S129" s="223">
        <f t="array" ref="S129">INDEX(Notes!C:C,MATCH($B129,Notes!$A:$A,0))</f>
        <v>0</v>
      </c>
      <c r="T129" s="223"/>
      <c r="U129" s="218"/>
      <c r="V129" s="218"/>
      <c r="W129" s="218"/>
      <c r="X129" s="224"/>
      <c r="Y129" s="224"/>
      <c r="Z129" s="224"/>
      <c r="AA129" s="224"/>
      <c r="AB129" s="224"/>
    </row>
    <row r="130" spans="1:28" ht="15.75" hidden="1" customHeight="1">
      <c r="A130" s="248">
        <v>44782</v>
      </c>
      <c r="B130" s="219" t="s">
        <v>151</v>
      </c>
      <c r="C130" s="249">
        <v>4</v>
      </c>
      <c r="D130" s="249"/>
      <c r="E130" s="219" t="s">
        <v>1015</v>
      </c>
      <c r="F130" s="250" t="s">
        <v>4</v>
      </c>
      <c r="G130" s="219" t="s">
        <v>727</v>
      </c>
      <c r="H130" s="219" t="s">
        <v>1016</v>
      </c>
      <c r="I130" s="219">
        <v>4</v>
      </c>
      <c r="J130" s="219" t="s">
        <v>476</v>
      </c>
      <c r="K130" s="219" t="s">
        <v>13400</v>
      </c>
      <c r="L130" s="219">
        <v>4</v>
      </c>
      <c r="M130" s="219" t="s">
        <v>451</v>
      </c>
      <c r="N130" s="219">
        <v>14000000</v>
      </c>
      <c r="O130" s="219" t="s">
        <v>452</v>
      </c>
      <c r="P130" s="219" t="s">
        <v>10194</v>
      </c>
      <c r="Q130" s="219"/>
      <c r="R130" s="213" t="s">
        <v>18</v>
      </c>
      <c r="S130" s="251" t="s">
        <v>1019</v>
      </c>
      <c r="T130" s="251"/>
      <c r="U130" s="252"/>
      <c r="V130" s="252"/>
      <c r="W130" s="252"/>
      <c r="X130" s="219"/>
      <c r="Y130" s="219"/>
      <c r="Z130" s="219"/>
      <c r="AA130" s="219"/>
      <c r="AB130" s="219"/>
    </row>
    <row r="131" spans="1:28" ht="15.75" hidden="1" customHeight="1">
      <c r="A131" s="253">
        <v>44782</v>
      </c>
      <c r="B131" s="224" t="s">
        <v>397</v>
      </c>
      <c r="C131" s="249">
        <v>4</v>
      </c>
      <c r="D131" s="249"/>
      <c r="E131" s="224" t="s">
        <v>9955</v>
      </c>
      <c r="F131" s="250" t="s">
        <v>3</v>
      </c>
      <c r="G131" s="224" t="s">
        <v>460</v>
      </c>
      <c r="H131" s="224" t="s">
        <v>9956</v>
      </c>
      <c r="I131" s="224">
        <v>4</v>
      </c>
      <c r="J131" s="224" t="s">
        <v>462</v>
      </c>
      <c r="K131" s="224" t="s">
        <v>9957</v>
      </c>
      <c r="L131" s="224">
        <v>4</v>
      </c>
      <c r="M131" s="224" t="s">
        <v>451</v>
      </c>
      <c r="N131" s="224">
        <v>10000000</v>
      </c>
      <c r="O131" s="224" t="s">
        <v>452</v>
      </c>
      <c r="P131" s="224" t="s">
        <v>10210</v>
      </c>
      <c r="Q131" s="224"/>
      <c r="R131" s="221" t="s">
        <v>18</v>
      </c>
      <c r="S131" s="254"/>
      <c r="T131" s="254"/>
      <c r="U131" s="252"/>
      <c r="V131" s="252"/>
      <c r="W131" s="252"/>
      <c r="X131" s="224"/>
      <c r="Y131" s="224"/>
      <c r="Z131" s="224"/>
      <c r="AA131" s="224"/>
      <c r="AB131" s="224"/>
    </row>
    <row r="132" spans="1:28" ht="15.75" customHeight="1">
      <c r="A132" s="248">
        <v>44782</v>
      </c>
      <c r="B132" s="219" t="s">
        <v>88</v>
      </c>
      <c r="C132" s="250">
        <v>4</v>
      </c>
      <c r="D132" s="250" t="str">
        <f ca="1">IFERROR(VLOOKUP(B132,'2022-2023 Third Reviews'!$C:$S,9,FALSE),"")</f>
        <v>John McDonald
2</v>
      </c>
      <c r="E132" s="219" t="s">
        <v>620</v>
      </c>
      <c r="F132" s="250" t="s">
        <v>5</v>
      </c>
      <c r="G132" s="219" t="s">
        <v>447</v>
      </c>
      <c r="H132" s="219" t="s">
        <v>10697</v>
      </c>
      <c r="I132" s="219">
        <v>4</v>
      </c>
      <c r="J132" s="219" t="s">
        <v>622</v>
      </c>
      <c r="K132" s="219" t="s">
        <v>13400</v>
      </c>
      <c r="L132" s="219">
        <v>4</v>
      </c>
      <c r="M132" s="219" t="s">
        <v>478</v>
      </c>
      <c r="N132" s="219">
        <v>3000000</v>
      </c>
      <c r="O132" s="219" t="s">
        <v>452</v>
      </c>
      <c r="P132" s="219" t="s">
        <v>452</v>
      </c>
      <c r="Q132" s="219"/>
      <c r="R132" s="219" t="s">
        <v>18</v>
      </c>
      <c r="S132" s="219" t="s">
        <v>624</v>
      </c>
      <c r="T132" s="219" t="s">
        <v>11792</v>
      </c>
      <c r="U132" s="252"/>
      <c r="V132" s="252"/>
      <c r="W132" s="252"/>
      <c r="X132" s="219"/>
      <c r="Y132" s="219"/>
      <c r="Z132" s="219"/>
      <c r="AA132" s="219"/>
      <c r="AB132" s="219"/>
    </row>
    <row r="133" spans="1:28" ht="15.75" customHeight="1">
      <c r="A133" s="253">
        <v>44791</v>
      </c>
      <c r="B133" s="224" t="s">
        <v>116</v>
      </c>
      <c r="C133" s="224">
        <v>4</v>
      </c>
      <c r="D133" s="250" t="str">
        <f ca="1">IFERROR(VLOOKUP(B133,'2022-2023 Third Reviews'!$C:$S,9,FALSE),"")</f>
        <v>Joshua Rubnitz
2</v>
      </c>
      <c r="E133" s="224" t="s">
        <v>1399</v>
      </c>
      <c r="F133" s="224" t="s">
        <v>5</v>
      </c>
      <c r="G133" s="224" t="s">
        <v>447</v>
      </c>
      <c r="H133" s="224" t="s">
        <v>10881</v>
      </c>
      <c r="I133" s="224">
        <v>4</v>
      </c>
      <c r="J133" s="224" t="s">
        <v>449</v>
      </c>
      <c r="K133" s="224" t="s">
        <v>11658</v>
      </c>
      <c r="L133" s="224">
        <v>4</v>
      </c>
      <c r="M133" s="224" t="s">
        <v>451</v>
      </c>
      <c r="N133" s="311">
        <v>5000000</v>
      </c>
      <c r="O133" s="224" t="s">
        <v>452</v>
      </c>
      <c r="P133" s="224" t="s">
        <v>1402</v>
      </c>
      <c r="Q133" s="224"/>
      <c r="R133" s="224" t="s">
        <v>18</v>
      </c>
      <c r="S133" s="224"/>
      <c r="T133" s="224" t="s">
        <v>11813</v>
      </c>
      <c r="U133" s="224"/>
      <c r="V133" s="224"/>
      <c r="W133" s="224"/>
      <c r="X133" s="224"/>
      <c r="Y133" s="224"/>
      <c r="Z133" s="224"/>
      <c r="AA133" s="224"/>
      <c r="AB133" s="224"/>
    </row>
    <row r="134" spans="1:28" ht="15.75" hidden="1" customHeight="1">
      <c r="A134" s="248">
        <v>44782</v>
      </c>
      <c r="B134" s="219" t="s">
        <v>230</v>
      </c>
      <c r="C134" s="249">
        <v>4</v>
      </c>
      <c r="D134" s="249"/>
      <c r="E134" s="219" t="s">
        <v>3962</v>
      </c>
      <c r="F134" s="250" t="s">
        <v>4</v>
      </c>
      <c r="G134" s="219" t="s">
        <v>727</v>
      </c>
      <c r="H134" s="219" t="s">
        <v>10428</v>
      </c>
      <c r="I134" s="219">
        <v>4</v>
      </c>
      <c r="J134" s="219" t="s">
        <v>941</v>
      </c>
      <c r="K134" s="219" t="s">
        <v>3964</v>
      </c>
      <c r="L134" s="219">
        <v>4</v>
      </c>
      <c r="M134" s="219"/>
      <c r="N134" s="219"/>
      <c r="O134" s="219" t="s">
        <v>452</v>
      </c>
      <c r="P134" s="219" t="s">
        <v>11526</v>
      </c>
      <c r="Q134" s="219" t="s">
        <v>3966</v>
      </c>
      <c r="R134" s="219" t="s">
        <v>18</v>
      </c>
      <c r="S134" s="251"/>
      <c r="T134" s="251"/>
      <c r="U134" s="252"/>
      <c r="V134" s="252"/>
      <c r="W134" s="252"/>
      <c r="X134" s="219"/>
      <c r="Y134" s="219"/>
      <c r="Z134" s="219"/>
      <c r="AA134" s="219"/>
      <c r="AB134" s="219"/>
    </row>
    <row r="135" spans="1:28" ht="15.75" customHeight="1">
      <c r="A135" s="398">
        <v>44784</v>
      </c>
      <c r="B135" s="481" t="s">
        <v>124</v>
      </c>
      <c r="C135" s="482">
        <v>4</v>
      </c>
      <c r="D135" s="250" t="str">
        <f ca="1">IFERROR(VLOOKUP(B135,'2022-2023 Third Reviews'!$C:$S,9,FALSE),"")</f>
        <v>John McDonald
3</v>
      </c>
      <c r="E135" s="481" t="s">
        <v>882</v>
      </c>
      <c r="F135" s="482" t="s">
        <v>5</v>
      </c>
      <c r="G135" s="481" t="s">
        <v>447</v>
      </c>
      <c r="H135" s="481" t="s">
        <v>10553</v>
      </c>
      <c r="I135" s="481">
        <v>4</v>
      </c>
      <c r="J135" s="481" t="s">
        <v>449</v>
      </c>
      <c r="K135" s="481" t="s">
        <v>11554</v>
      </c>
      <c r="L135" s="481">
        <v>4</v>
      </c>
      <c r="M135" s="481" t="s">
        <v>885</v>
      </c>
      <c r="N135" s="481" t="s">
        <v>886</v>
      </c>
      <c r="O135" s="481" t="s">
        <v>452</v>
      </c>
      <c r="P135" s="481" t="s">
        <v>10555</v>
      </c>
      <c r="Q135" s="481"/>
      <c r="R135" s="481" t="s">
        <v>18</v>
      </c>
      <c r="S135" s="481"/>
      <c r="T135" s="481" t="s">
        <v>11820</v>
      </c>
      <c r="U135" s="481"/>
      <c r="V135" s="481"/>
      <c r="W135" s="481"/>
      <c r="X135" s="481"/>
      <c r="Y135" s="481"/>
      <c r="Z135" s="224"/>
      <c r="AA135" s="224"/>
      <c r="AB135" s="224"/>
    </row>
    <row r="136" spans="1:28" ht="15.75" customHeight="1">
      <c r="A136" s="398">
        <v>44784</v>
      </c>
      <c r="B136" s="505" t="s">
        <v>80</v>
      </c>
      <c r="C136" s="482">
        <v>4.75</v>
      </c>
      <c r="D136" s="250" t="str">
        <f>IFERROR(VLOOKUP(B136,'2022-2023 Third Reviews'!$C:$S,9,FALSE),"")</f>
        <v/>
      </c>
      <c r="E136" s="505" t="s">
        <v>572</v>
      </c>
      <c r="F136" s="482" t="s">
        <v>5</v>
      </c>
      <c r="G136" s="505" t="s">
        <v>447</v>
      </c>
      <c r="H136" s="505" t="s">
        <v>10410</v>
      </c>
      <c r="I136" s="505">
        <v>4.5</v>
      </c>
      <c r="J136" s="505" t="s">
        <v>449</v>
      </c>
      <c r="K136" s="505" t="s">
        <v>11546</v>
      </c>
      <c r="L136" s="505">
        <v>5</v>
      </c>
      <c r="M136" s="505" t="s">
        <v>451</v>
      </c>
      <c r="N136" s="506">
        <v>5000000</v>
      </c>
      <c r="O136" s="505" t="s">
        <v>465</v>
      </c>
      <c r="P136" s="506" t="s">
        <v>575</v>
      </c>
      <c r="Q136" s="505"/>
      <c r="R136" s="505" t="s">
        <v>18</v>
      </c>
      <c r="S136" s="505" t="s">
        <v>576</v>
      </c>
      <c r="T136" s="505" t="s">
        <v>11783</v>
      </c>
      <c r="U136" s="505"/>
      <c r="V136" s="505"/>
      <c r="W136" s="505"/>
      <c r="X136" s="505"/>
      <c r="Y136" s="505"/>
      <c r="Z136" s="219"/>
      <c r="AA136" s="219"/>
      <c r="AB136" s="219"/>
    </row>
    <row r="137" spans="1:28" ht="15.75" customHeight="1">
      <c r="A137" s="257">
        <v>44796</v>
      </c>
      <c r="B137" s="258" t="s">
        <v>78</v>
      </c>
      <c r="C137" s="258">
        <v>4.75</v>
      </c>
      <c r="D137" s="250" t="str">
        <f>IFERROR(VLOOKUP(B137,'2022-2023 Third Reviews'!$C:$S,9,FALSE),"")</f>
        <v/>
      </c>
      <c r="E137" s="258" t="s">
        <v>562</v>
      </c>
      <c r="F137" s="258" t="s">
        <v>5</v>
      </c>
      <c r="G137" s="258" t="s">
        <v>447</v>
      </c>
      <c r="H137" s="258" t="s">
        <v>10857</v>
      </c>
      <c r="I137" s="258">
        <v>5</v>
      </c>
      <c r="J137" s="258" t="s">
        <v>543</v>
      </c>
      <c r="K137" s="258" t="s">
        <v>11703</v>
      </c>
      <c r="L137" s="258">
        <v>4.5</v>
      </c>
      <c r="M137" s="258" t="s">
        <v>478</v>
      </c>
      <c r="N137" s="258" t="s">
        <v>565</v>
      </c>
      <c r="O137" s="258" t="s">
        <v>452</v>
      </c>
      <c r="P137" s="258" t="s">
        <v>566</v>
      </c>
      <c r="Q137" s="258"/>
      <c r="R137" s="258" t="s">
        <v>18</v>
      </c>
      <c r="S137" s="258" t="s">
        <v>567</v>
      </c>
      <c r="T137" s="258" t="s">
        <v>11783</v>
      </c>
      <c r="U137" s="258"/>
      <c r="V137" s="258"/>
      <c r="W137" s="258"/>
      <c r="X137" s="258"/>
      <c r="Y137" s="258"/>
      <c r="Z137" s="258"/>
      <c r="AA137" s="258"/>
      <c r="AB137" s="258"/>
    </row>
    <row r="138" spans="1:28" ht="15.75" customHeight="1">
      <c r="A138" s="248">
        <v>44782</v>
      </c>
      <c r="B138" s="219" t="s">
        <v>113</v>
      </c>
      <c r="C138" s="250">
        <v>4</v>
      </c>
      <c r="D138" s="250" t="str">
        <f ca="1">IFERROR(VLOOKUP(B138,'2022-2023 Third Reviews'!$C:$S,9,FALSE),"")</f>
        <v>Ahmed Bahgat
5</v>
      </c>
      <c r="E138" s="219" t="s">
        <v>814</v>
      </c>
      <c r="F138" s="250" t="s">
        <v>5</v>
      </c>
      <c r="G138" s="219" t="s">
        <v>447</v>
      </c>
      <c r="H138" s="219" t="s">
        <v>10521</v>
      </c>
      <c r="I138" s="219">
        <v>4</v>
      </c>
      <c r="J138" s="219" t="s">
        <v>449</v>
      </c>
      <c r="K138" s="219" t="s">
        <v>13400</v>
      </c>
      <c r="L138" s="219">
        <v>4</v>
      </c>
      <c r="M138" s="219" t="s">
        <v>451</v>
      </c>
      <c r="N138" s="219">
        <v>2000000</v>
      </c>
      <c r="O138" s="219" t="s">
        <v>454</v>
      </c>
      <c r="P138" s="219" t="s">
        <v>452</v>
      </c>
      <c r="Q138" s="219"/>
      <c r="R138" s="219" t="s">
        <v>18</v>
      </c>
      <c r="S138" s="219" t="s">
        <v>817</v>
      </c>
      <c r="T138" s="219" t="s">
        <v>11810</v>
      </c>
      <c r="U138" s="252"/>
      <c r="V138" s="252"/>
      <c r="W138" s="252"/>
      <c r="X138" s="219"/>
      <c r="Y138" s="219"/>
      <c r="Z138" s="219"/>
      <c r="AA138" s="219"/>
      <c r="AB138" s="219"/>
    </row>
    <row r="139" spans="1:28" ht="15.75" hidden="1" customHeight="1">
      <c r="A139" s="257">
        <v>44782</v>
      </c>
      <c r="B139" s="258" t="s">
        <v>391</v>
      </c>
      <c r="C139" s="249">
        <v>4</v>
      </c>
      <c r="D139" s="249"/>
      <c r="E139" s="258" t="s">
        <v>10090</v>
      </c>
      <c r="F139" s="250" t="s">
        <v>3</v>
      </c>
      <c r="G139" s="258" t="s">
        <v>460</v>
      </c>
      <c r="H139" s="258" t="s">
        <v>11385</v>
      </c>
      <c r="I139" s="258">
        <v>4</v>
      </c>
      <c r="J139" s="258" t="s">
        <v>941</v>
      </c>
      <c r="K139" s="258"/>
      <c r="L139" s="258">
        <v>4</v>
      </c>
      <c r="M139" s="258" t="s">
        <v>478</v>
      </c>
      <c r="N139" s="258" t="s">
        <v>4966</v>
      </c>
      <c r="O139" s="258" t="s">
        <v>452</v>
      </c>
      <c r="P139" s="258" t="s">
        <v>10092</v>
      </c>
      <c r="Q139" s="258"/>
      <c r="R139" s="258" t="s">
        <v>19</v>
      </c>
      <c r="S139" s="259" t="s">
        <v>10093</v>
      </c>
      <c r="T139" s="259"/>
      <c r="U139" s="258"/>
      <c r="V139" s="258"/>
      <c r="W139" s="258"/>
      <c r="X139" s="258"/>
      <c r="Y139" s="258"/>
      <c r="Z139" s="258"/>
      <c r="AA139" s="258"/>
      <c r="AB139" s="258"/>
    </row>
    <row r="140" spans="1:28" ht="15.75" hidden="1" customHeight="1">
      <c r="A140" s="257">
        <v>44782</v>
      </c>
      <c r="B140" s="258" t="s">
        <v>208</v>
      </c>
      <c r="C140" s="249">
        <v>4</v>
      </c>
      <c r="D140" s="249"/>
      <c r="E140" s="258" t="s">
        <v>3843</v>
      </c>
      <c r="F140" s="250" t="s">
        <v>4</v>
      </c>
      <c r="G140" s="258" t="s">
        <v>602</v>
      </c>
      <c r="H140" s="258" t="s">
        <v>3844</v>
      </c>
      <c r="I140" s="258">
        <v>4</v>
      </c>
      <c r="J140" s="258" t="s">
        <v>1054</v>
      </c>
      <c r="K140" s="258" t="s">
        <v>3845</v>
      </c>
      <c r="L140" s="258">
        <v>4</v>
      </c>
      <c r="M140" s="258" t="s">
        <v>451</v>
      </c>
      <c r="N140" s="258">
        <v>2000000</v>
      </c>
      <c r="O140" s="258" t="s">
        <v>452</v>
      </c>
      <c r="P140" s="258" t="s">
        <v>3846</v>
      </c>
      <c r="Q140" s="258" t="s">
        <v>727</v>
      </c>
      <c r="R140" s="258" t="s">
        <v>18</v>
      </c>
      <c r="S140" s="259" t="s">
        <v>3847</v>
      </c>
      <c r="T140" s="259"/>
      <c r="U140" s="258"/>
      <c r="V140" s="258"/>
      <c r="W140" s="258"/>
      <c r="X140" s="258"/>
      <c r="Y140" s="258"/>
      <c r="Z140" s="258"/>
      <c r="AA140" s="258"/>
      <c r="AB140" s="258"/>
    </row>
    <row r="141" spans="1:28" ht="15.75" hidden="1" customHeight="1">
      <c r="A141" s="253">
        <v>44782</v>
      </c>
      <c r="B141" s="224" t="s">
        <v>198</v>
      </c>
      <c r="C141" s="249">
        <v>4</v>
      </c>
      <c r="D141" s="249"/>
      <c r="E141" s="224" t="s">
        <v>11415</v>
      </c>
      <c r="F141" s="250" t="s">
        <v>4</v>
      </c>
      <c r="G141" s="224" t="s">
        <v>727</v>
      </c>
      <c r="H141" s="224" t="s">
        <v>11416</v>
      </c>
      <c r="I141" s="224">
        <v>4.5</v>
      </c>
      <c r="J141" s="224" t="s">
        <v>1054</v>
      </c>
      <c r="K141" s="224" t="s">
        <v>11417</v>
      </c>
      <c r="L141" s="224">
        <v>3.5</v>
      </c>
      <c r="M141" s="224"/>
      <c r="N141" s="224" t="s">
        <v>3555</v>
      </c>
      <c r="O141" s="224" t="s">
        <v>454</v>
      </c>
      <c r="P141" s="224" t="s">
        <v>11527</v>
      </c>
      <c r="Q141" s="224"/>
      <c r="R141" s="224" t="s">
        <v>18</v>
      </c>
      <c r="S141" s="254"/>
      <c r="T141" s="254"/>
      <c r="U141" s="252"/>
      <c r="V141" s="252"/>
      <c r="W141" s="252"/>
      <c r="X141" s="224"/>
      <c r="Y141" s="224"/>
      <c r="Z141" s="224"/>
      <c r="AA141" s="224"/>
      <c r="AB141" s="224"/>
    </row>
    <row r="142" spans="1:28" ht="15.75" hidden="1" customHeight="1">
      <c r="A142" s="248">
        <v>44782</v>
      </c>
      <c r="B142" s="219" t="s">
        <v>221</v>
      </c>
      <c r="C142" s="249">
        <v>4</v>
      </c>
      <c r="D142" s="249"/>
      <c r="E142" s="219" t="s">
        <v>3914</v>
      </c>
      <c r="F142" s="250" t="s">
        <v>4</v>
      </c>
      <c r="G142" s="219" t="s">
        <v>727</v>
      </c>
      <c r="H142" s="219" t="s">
        <v>10366</v>
      </c>
      <c r="I142" s="219">
        <v>4</v>
      </c>
      <c r="J142" s="219" t="s">
        <v>1054</v>
      </c>
      <c r="K142" s="219" t="s">
        <v>3916</v>
      </c>
      <c r="L142" s="219">
        <v>4</v>
      </c>
      <c r="M142" s="219" t="s">
        <v>451</v>
      </c>
      <c r="N142" s="219" t="s">
        <v>3917</v>
      </c>
      <c r="O142" s="219" t="s">
        <v>452</v>
      </c>
      <c r="P142" s="219" t="s">
        <v>452</v>
      </c>
      <c r="Q142" s="219"/>
      <c r="R142" s="219" t="s">
        <v>18</v>
      </c>
      <c r="S142" s="251"/>
      <c r="T142" s="251"/>
      <c r="U142" s="252"/>
      <c r="V142" s="252"/>
      <c r="W142" s="252"/>
      <c r="X142" s="219"/>
      <c r="Y142" s="219"/>
      <c r="Z142" s="219"/>
      <c r="AA142" s="219"/>
      <c r="AB142" s="219"/>
    </row>
    <row r="143" spans="1:28" ht="15.75" hidden="1" customHeight="1">
      <c r="A143" s="267">
        <v>44784</v>
      </c>
      <c r="B143" s="272" t="s">
        <v>215</v>
      </c>
      <c r="C143" s="269">
        <v>4</v>
      </c>
      <c r="D143" s="269"/>
      <c r="E143" s="272" t="s">
        <v>3891</v>
      </c>
      <c r="F143" s="270" t="s">
        <v>4</v>
      </c>
      <c r="G143" s="272" t="s">
        <v>602</v>
      </c>
      <c r="H143" s="272" t="s">
        <v>3892</v>
      </c>
      <c r="I143" s="272">
        <v>4</v>
      </c>
      <c r="J143" s="272" t="s">
        <v>1054</v>
      </c>
      <c r="K143" s="272" t="s">
        <v>3893</v>
      </c>
      <c r="L143" s="272">
        <v>4</v>
      </c>
      <c r="M143" s="272"/>
      <c r="N143" s="272"/>
      <c r="O143" s="272" t="s">
        <v>452</v>
      </c>
      <c r="P143" s="272" t="s">
        <v>10365</v>
      </c>
      <c r="Q143" s="272"/>
      <c r="R143" s="272" t="s">
        <v>18</v>
      </c>
      <c r="S143" s="274"/>
      <c r="T143" s="274"/>
      <c r="U143" s="272"/>
      <c r="V143" s="272"/>
      <c r="W143" s="272"/>
      <c r="X143" s="272"/>
      <c r="Y143" s="272"/>
      <c r="Z143" s="224"/>
      <c r="AA143" s="224"/>
      <c r="AB143" s="224"/>
    </row>
    <row r="144" spans="1:28" ht="15.75" hidden="1" customHeight="1">
      <c r="A144" s="276">
        <v>44784</v>
      </c>
      <c r="B144" s="277" t="s">
        <v>181</v>
      </c>
      <c r="C144" s="278">
        <v>4</v>
      </c>
      <c r="D144" s="278"/>
      <c r="E144" s="277" t="s">
        <v>1150</v>
      </c>
      <c r="F144" s="277" t="s">
        <v>4</v>
      </c>
      <c r="G144" s="277" t="s">
        <v>447</v>
      </c>
      <c r="H144" s="277" t="s">
        <v>10459</v>
      </c>
      <c r="I144" s="277">
        <v>4</v>
      </c>
      <c r="J144" s="277" t="s">
        <v>543</v>
      </c>
      <c r="K144" s="277" t="s">
        <v>11553</v>
      </c>
      <c r="L144" s="277">
        <v>4</v>
      </c>
      <c r="M144" s="277" t="s">
        <v>478</v>
      </c>
      <c r="N144" s="287">
        <v>10000000</v>
      </c>
      <c r="O144" s="277" t="s">
        <v>452</v>
      </c>
      <c r="P144" s="287" t="s">
        <v>1153</v>
      </c>
      <c r="Q144" s="277"/>
      <c r="R144" s="277" t="s">
        <v>18</v>
      </c>
      <c r="S144" s="279" t="s">
        <v>1154</v>
      </c>
      <c r="T144" s="279"/>
      <c r="U144" s="277"/>
      <c r="V144" s="277"/>
      <c r="W144" s="277"/>
      <c r="X144" s="277"/>
      <c r="Y144" s="277"/>
      <c r="Z144" s="239"/>
      <c r="AA144" s="239"/>
      <c r="AB144" s="239"/>
    </row>
    <row r="145" spans="1:28" ht="15.75" hidden="1" customHeight="1">
      <c r="A145" s="280">
        <v>44784</v>
      </c>
      <c r="B145" s="281" t="s">
        <v>411</v>
      </c>
      <c r="C145" s="282">
        <v>4</v>
      </c>
      <c r="D145" s="282"/>
      <c r="E145" s="281" t="s">
        <v>10140</v>
      </c>
      <c r="F145" s="281" t="s">
        <v>3</v>
      </c>
      <c r="G145" s="281" t="s">
        <v>460</v>
      </c>
      <c r="H145" s="281" t="s">
        <v>10141</v>
      </c>
      <c r="I145" s="281">
        <v>4</v>
      </c>
      <c r="J145" s="281" t="s">
        <v>488</v>
      </c>
      <c r="K145" s="281" t="s">
        <v>10142</v>
      </c>
      <c r="L145" s="281">
        <v>4</v>
      </c>
      <c r="M145" s="281" t="s">
        <v>478</v>
      </c>
      <c r="N145" s="288">
        <v>8000000</v>
      </c>
      <c r="O145" s="281" t="s">
        <v>452</v>
      </c>
      <c r="P145" s="288" t="s">
        <v>10143</v>
      </c>
      <c r="Q145" s="281"/>
      <c r="R145" s="281" t="s">
        <v>18</v>
      </c>
      <c r="S145" s="283"/>
      <c r="T145" s="283"/>
      <c r="U145" s="281"/>
      <c r="V145" s="281"/>
      <c r="W145" s="281"/>
      <c r="X145" s="281"/>
      <c r="Y145" s="281"/>
      <c r="Z145" s="258"/>
      <c r="AA145" s="258"/>
      <c r="AB145" s="258"/>
    </row>
    <row r="146" spans="1:28" ht="15.75" customHeight="1">
      <c r="A146" s="212">
        <v>44776</v>
      </c>
      <c r="B146" s="213" t="s">
        <v>108</v>
      </c>
      <c r="C146" s="215">
        <v>5</v>
      </c>
      <c r="D146" s="250" t="str">
        <f>IFERROR(VLOOKUP(B146,'2022-2023 Third Reviews'!$C:$S,9,FALSE),"")</f>
        <v/>
      </c>
      <c r="E146" s="213" t="s">
        <v>791</v>
      </c>
      <c r="F146" s="215" t="s">
        <v>5</v>
      </c>
      <c r="G146" s="213" t="s">
        <v>447</v>
      </c>
      <c r="H146" s="213" t="s">
        <v>792</v>
      </c>
      <c r="I146" s="213">
        <v>5</v>
      </c>
      <c r="J146" s="213" t="s">
        <v>543</v>
      </c>
      <c r="K146" s="213" t="s">
        <v>11399</v>
      </c>
      <c r="L146" s="213">
        <v>5</v>
      </c>
      <c r="M146" s="213" t="s">
        <v>478</v>
      </c>
      <c r="N146" s="216">
        <v>30000000</v>
      </c>
      <c r="O146" s="213" t="s">
        <v>452</v>
      </c>
      <c r="P146" s="213" t="s">
        <v>794</v>
      </c>
      <c r="Q146" s="213"/>
      <c r="R146" s="213" t="str">
        <f t="array" ref="R146">INDEX(Notes!B:B,MATCH($B146,Notes!$A:$A,0))</f>
        <v>Invite</v>
      </c>
      <c r="S146" s="213">
        <f t="array" ref="S146">INDEX(Notes!C:C,MATCH($B146,Notes!$A:$A,0))</f>
        <v>0</v>
      </c>
      <c r="T146" s="213" t="s">
        <v>11808</v>
      </c>
      <c r="U146" s="218"/>
      <c r="V146" s="218"/>
      <c r="W146" s="218"/>
      <c r="X146" s="219"/>
      <c r="Y146" s="219"/>
      <c r="Z146" s="219"/>
      <c r="AA146" s="219"/>
      <c r="AB146" s="219"/>
    </row>
    <row r="147" spans="1:28" ht="15.75" hidden="1" customHeight="1">
      <c r="A147" s="276">
        <v>44784</v>
      </c>
      <c r="B147" s="277" t="s">
        <v>232</v>
      </c>
      <c r="C147" s="278">
        <v>4</v>
      </c>
      <c r="D147" s="278"/>
      <c r="E147" s="277" t="s">
        <v>3971</v>
      </c>
      <c r="F147" s="277" t="s">
        <v>4</v>
      </c>
      <c r="G147" s="277" t="s">
        <v>447</v>
      </c>
      <c r="H147" s="277" t="s">
        <v>10580</v>
      </c>
      <c r="I147" s="277">
        <v>4</v>
      </c>
      <c r="J147" s="277" t="s">
        <v>476</v>
      </c>
      <c r="K147" s="277" t="s">
        <v>11555</v>
      </c>
      <c r="L147" s="277">
        <v>4</v>
      </c>
      <c r="M147" s="277" t="s">
        <v>3974</v>
      </c>
      <c r="N147" s="289">
        <v>5000000</v>
      </c>
      <c r="O147" s="277" t="s">
        <v>452</v>
      </c>
      <c r="P147" s="289" t="s">
        <v>3420</v>
      </c>
      <c r="Q147" s="277"/>
      <c r="R147" s="277" t="s">
        <v>18</v>
      </c>
      <c r="S147" s="279" t="s">
        <v>3975</v>
      </c>
      <c r="T147" s="279"/>
      <c r="U147" s="277"/>
      <c r="V147" s="277"/>
      <c r="W147" s="277"/>
      <c r="X147" s="277"/>
      <c r="Y147" s="277"/>
      <c r="Z147" s="239"/>
      <c r="AA147" s="239"/>
      <c r="AB147" s="239"/>
    </row>
    <row r="148" spans="1:28" ht="15.75" customHeight="1">
      <c r="A148" s="248">
        <v>44791</v>
      </c>
      <c r="B148" s="219" t="s">
        <v>387</v>
      </c>
      <c r="C148" s="219">
        <v>4</v>
      </c>
      <c r="D148" s="250" t="str">
        <f ca="1">IFERROR(VLOOKUP(B148,'2022-2023 Third Reviews'!$C:$S,9,FALSE),"")</f>
        <v>Chris Millisits
3</v>
      </c>
      <c r="E148" s="219" t="s">
        <v>10073</v>
      </c>
      <c r="F148" s="219" t="s">
        <v>5</v>
      </c>
      <c r="G148" s="219" t="s">
        <v>447</v>
      </c>
      <c r="H148" s="219" t="s">
        <v>10877</v>
      </c>
      <c r="I148" s="219">
        <v>4</v>
      </c>
      <c r="J148" s="219" t="s">
        <v>449</v>
      </c>
      <c r="K148" s="219" t="s">
        <v>11652</v>
      </c>
      <c r="L148" s="219">
        <v>4</v>
      </c>
      <c r="M148" s="219" t="s">
        <v>10076</v>
      </c>
      <c r="N148" s="312">
        <v>8000000</v>
      </c>
      <c r="O148" s="219" t="s">
        <v>452</v>
      </c>
      <c r="P148" s="219" t="s">
        <v>10077</v>
      </c>
      <c r="Q148" s="219"/>
      <c r="R148" s="219" t="s">
        <v>18</v>
      </c>
      <c r="S148" s="219"/>
      <c r="T148" s="219" t="s">
        <v>11851</v>
      </c>
      <c r="U148" s="219"/>
      <c r="V148" s="219"/>
      <c r="W148" s="219"/>
      <c r="X148" s="219"/>
      <c r="Y148" s="219"/>
      <c r="Z148" s="219"/>
      <c r="AA148" s="219"/>
      <c r="AB148" s="219"/>
    </row>
    <row r="149" spans="1:28" ht="15.75" hidden="1" customHeight="1">
      <c r="A149" s="276">
        <v>44784</v>
      </c>
      <c r="B149" s="277" t="s">
        <v>216</v>
      </c>
      <c r="C149" s="278">
        <v>4</v>
      </c>
      <c r="D149" s="278"/>
      <c r="E149" s="277" t="s">
        <v>3899</v>
      </c>
      <c r="F149" s="277" t="s">
        <v>4</v>
      </c>
      <c r="G149" s="277" t="s">
        <v>447</v>
      </c>
      <c r="H149" s="277" t="s">
        <v>11557</v>
      </c>
      <c r="I149" s="277">
        <v>4</v>
      </c>
      <c r="J149" s="277" t="s">
        <v>543</v>
      </c>
      <c r="K149" s="277" t="s">
        <v>11558</v>
      </c>
      <c r="L149" s="277">
        <v>4</v>
      </c>
      <c r="M149" s="277" t="s">
        <v>451</v>
      </c>
      <c r="N149" s="289">
        <v>3600000</v>
      </c>
      <c r="O149" s="277" t="s">
        <v>452</v>
      </c>
      <c r="P149" s="289" t="s">
        <v>3901</v>
      </c>
      <c r="Q149" s="277" t="s">
        <v>725</v>
      </c>
      <c r="R149" s="277" t="s">
        <v>18</v>
      </c>
      <c r="S149" s="279" t="s">
        <v>11559</v>
      </c>
      <c r="T149" s="279"/>
      <c r="U149" s="277"/>
      <c r="V149" s="277"/>
      <c r="W149" s="277"/>
      <c r="X149" s="277"/>
      <c r="Y149" s="277"/>
      <c r="Z149" s="239"/>
      <c r="AA149" s="239"/>
      <c r="AB149" s="239"/>
    </row>
    <row r="150" spans="1:28" ht="15.75" hidden="1" customHeight="1">
      <c r="A150" s="267">
        <v>44784</v>
      </c>
      <c r="B150" s="290" t="s">
        <v>186</v>
      </c>
      <c r="C150" s="269">
        <v>4</v>
      </c>
      <c r="D150" s="269"/>
      <c r="E150" s="268" t="s">
        <v>3744</v>
      </c>
      <c r="F150" s="270" t="s">
        <v>4</v>
      </c>
      <c r="G150" s="268" t="s">
        <v>727</v>
      </c>
      <c r="H150" s="268" t="s">
        <v>10721</v>
      </c>
      <c r="I150" s="268">
        <v>4</v>
      </c>
      <c r="J150" s="268" t="s">
        <v>1054</v>
      </c>
      <c r="K150" s="268" t="s">
        <v>3746</v>
      </c>
      <c r="L150" s="268">
        <v>4</v>
      </c>
      <c r="M150" s="268" t="s">
        <v>923</v>
      </c>
      <c r="N150" s="268" t="s">
        <v>3747</v>
      </c>
      <c r="O150" s="268" t="s">
        <v>452</v>
      </c>
      <c r="P150" s="268" t="s">
        <v>10722</v>
      </c>
      <c r="Q150" s="268"/>
      <c r="R150" s="268" t="s">
        <v>18</v>
      </c>
      <c r="S150" s="271"/>
      <c r="T150" s="271"/>
      <c r="U150" s="268"/>
      <c r="V150" s="268"/>
      <c r="W150" s="268"/>
      <c r="X150" s="268"/>
      <c r="Y150" s="268"/>
      <c r="Z150" s="219"/>
      <c r="AA150" s="219"/>
      <c r="AB150" s="219"/>
    </row>
    <row r="151" spans="1:28" ht="15.75" hidden="1" customHeight="1">
      <c r="A151" s="267">
        <v>44784</v>
      </c>
      <c r="B151" s="272" t="s">
        <v>239</v>
      </c>
      <c r="C151" s="269">
        <v>4</v>
      </c>
      <c r="D151" s="269"/>
      <c r="E151" s="272" t="s">
        <v>4011</v>
      </c>
      <c r="F151" s="270" t="s">
        <v>4</v>
      </c>
      <c r="G151" s="272" t="s">
        <v>727</v>
      </c>
      <c r="H151" s="272" t="s">
        <v>10732</v>
      </c>
      <c r="I151" s="272">
        <v>4</v>
      </c>
      <c r="J151" s="272" t="s">
        <v>1054</v>
      </c>
      <c r="K151" s="272" t="s">
        <v>10733</v>
      </c>
      <c r="L151" s="272">
        <v>4</v>
      </c>
      <c r="M151" s="272" t="s">
        <v>451</v>
      </c>
      <c r="N151" s="272" t="s">
        <v>4014</v>
      </c>
      <c r="O151" s="272" t="s">
        <v>465</v>
      </c>
      <c r="P151" s="272" t="s">
        <v>4015</v>
      </c>
      <c r="Q151" s="272"/>
      <c r="R151" s="272" t="s">
        <v>18</v>
      </c>
      <c r="S151" s="274"/>
      <c r="T151" s="274"/>
      <c r="U151" s="272"/>
      <c r="V151" s="272"/>
      <c r="W151" s="272"/>
      <c r="X151" s="272"/>
      <c r="Y151" s="272"/>
      <c r="Z151" s="224"/>
      <c r="AA151" s="224"/>
      <c r="AB151" s="224"/>
    </row>
    <row r="152" spans="1:28" ht="15.75" customHeight="1">
      <c r="A152" s="248">
        <v>44791</v>
      </c>
      <c r="B152" s="219" t="s">
        <v>142</v>
      </c>
      <c r="C152" s="219">
        <v>4</v>
      </c>
      <c r="D152" s="250" t="str">
        <f>IFERROR(VLOOKUP(B152,'2022-2023 Third Reviews'!$C:$S,9,FALSE),"")</f>
        <v/>
      </c>
      <c r="E152" s="219" t="s">
        <v>970</v>
      </c>
      <c r="F152" s="219" t="s">
        <v>5</v>
      </c>
      <c r="G152" s="219" t="s">
        <v>447</v>
      </c>
      <c r="H152" s="219" t="s">
        <v>11346</v>
      </c>
      <c r="I152" s="219">
        <v>4</v>
      </c>
      <c r="J152" s="219" t="s">
        <v>449</v>
      </c>
      <c r="K152" s="219" t="s">
        <v>11657</v>
      </c>
      <c r="L152" s="219">
        <v>4</v>
      </c>
      <c r="M152" s="219" t="s">
        <v>973</v>
      </c>
      <c r="N152" s="312" t="s">
        <v>708</v>
      </c>
      <c r="O152" s="219" t="s">
        <v>452</v>
      </c>
      <c r="P152" s="219" t="s">
        <v>974</v>
      </c>
      <c r="Q152" s="219"/>
      <c r="R152" s="219" t="s">
        <v>18</v>
      </c>
      <c r="S152" s="219"/>
      <c r="T152" s="219" t="s">
        <v>11829</v>
      </c>
      <c r="U152" s="219"/>
      <c r="V152" s="219"/>
      <c r="W152" s="219"/>
      <c r="X152" s="219"/>
      <c r="Y152" s="219"/>
      <c r="Z152" s="219"/>
      <c r="AA152" s="219"/>
      <c r="AB152" s="219"/>
    </row>
    <row r="153" spans="1:28" ht="15.75" hidden="1" customHeight="1">
      <c r="A153" s="267">
        <v>44784</v>
      </c>
      <c r="B153" s="272" t="s">
        <v>182</v>
      </c>
      <c r="C153" s="269">
        <v>4</v>
      </c>
      <c r="D153" s="269"/>
      <c r="E153" s="272" t="s">
        <v>3736</v>
      </c>
      <c r="F153" s="270" t="s">
        <v>4</v>
      </c>
      <c r="G153" s="272" t="s">
        <v>602</v>
      </c>
      <c r="H153" s="272" t="s">
        <v>3737</v>
      </c>
      <c r="I153" s="272">
        <v>4</v>
      </c>
      <c r="J153" s="272" t="s">
        <v>476</v>
      </c>
      <c r="K153" s="272" t="s">
        <v>11560</v>
      </c>
      <c r="L153" s="272">
        <v>4</v>
      </c>
      <c r="M153" s="272" t="s">
        <v>451</v>
      </c>
      <c r="N153" s="272">
        <v>3500000</v>
      </c>
      <c r="O153" s="272" t="s">
        <v>452</v>
      </c>
      <c r="P153" s="272" t="s">
        <v>3739</v>
      </c>
      <c r="Q153" s="272"/>
      <c r="R153" s="272" t="s">
        <v>18</v>
      </c>
      <c r="S153" s="274"/>
      <c r="T153" s="274"/>
      <c r="U153" s="272"/>
      <c r="V153" s="272"/>
      <c r="W153" s="272"/>
      <c r="X153" s="272"/>
      <c r="Y153" s="272"/>
      <c r="Z153" s="224"/>
      <c r="AA153" s="224"/>
      <c r="AB153" s="224"/>
    </row>
    <row r="154" spans="1:28" ht="15.75" customHeight="1">
      <c r="A154" s="248">
        <v>44796</v>
      </c>
      <c r="B154" s="219" t="s">
        <v>114</v>
      </c>
      <c r="C154" s="219">
        <v>4</v>
      </c>
      <c r="D154" s="250" t="str">
        <f ca="1">IFERROR(VLOOKUP(B154,'2022-2023 Third Reviews'!$C:$S,9,FALSE),"")</f>
        <v>Ahmed Bahgat
5</v>
      </c>
      <c r="E154" s="219" t="s">
        <v>822</v>
      </c>
      <c r="F154" s="219" t="s">
        <v>5</v>
      </c>
      <c r="G154" s="219" t="s">
        <v>447</v>
      </c>
      <c r="H154" s="219" t="s">
        <v>11492</v>
      </c>
      <c r="I154" s="219">
        <v>4.5</v>
      </c>
      <c r="J154" s="219" t="s">
        <v>622</v>
      </c>
      <c r="K154" s="219" t="s">
        <v>11712</v>
      </c>
      <c r="L154" s="219">
        <v>3.5</v>
      </c>
      <c r="M154" s="219" t="s">
        <v>478</v>
      </c>
      <c r="N154" s="331">
        <v>15000000</v>
      </c>
      <c r="O154" s="219" t="s">
        <v>452</v>
      </c>
      <c r="P154" s="219" t="s">
        <v>825</v>
      </c>
      <c r="Q154" s="219"/>
      <c r="R154" s="219" t="s">
        <v>18</v>
      </c>
      <c r="S154" s="219"/>
      <c r="T154" s="219" t="s">
        <v>11811</v>
      </c>
      <c r="U154" s="219"/>
      <c r="V154" s="219"/>
      <c r="W154" s="219"/>
      <c r="X154" s="219"/>
      <c r="Y154" s="219"/>
      <c r="Z154" s="219"/>
      <c r="AA154" s="219"/>
      <c r="AB154" s="219"/>
    </row>
    <row r="155" spans="1:28" ht="15.75" hidden="1" customHeight="1">
      <c r="A155" s="267">
        <v>44784</v>
      </c>
      <c r="B155" s="272" t="s">
        <v>203</v>
      </c>
      <c r="C155" s="269">
        <v>4</v>
      </c>
      <c r="D155" s="269"/>
      <c r="E155" s="272" t="s">
        <v>11562</v>
      </c>
      <c r="F155" s="270" t="s">
        <v>4</v>
      </c>
      <c r="G155" s="272" t="s">
        <v>602</v>
      </c>
      <c r="H155" s="272" t="s">
        <v>11473</v>
      </c>
      <c r="I155" s="272">
        <v>4</v>
      </c>
      <c r="J155" s="272" t="s">
        <v>1054</v>
      </c>
      <c r="K155" s="272" t="s">
        <v>3813</v>
      </c>
      <c r="L155" s="272">
        <v>4</v>
      </c>
      <c r="M155" s="272"/>
      <c r="N155" s="272"/>
      <c r="O155" s="272" t="s">
        <v>452</v>
      </c>
      <c r="P155" s="272" t="s">
        <v>3814</v>
      </c>
      <c r="Q155" s="272"/>
      <c r="R155" s="272" t="s">
        <v>18</v>
      </c>
      <c r="S155" s="274"/>
      <c r="T155" s="274"/>
      <c r="U155" s="272"/>
      <c r="V155" s="272"/>
      <c r="W155" s="272"/>
      <c r="X155" s="272"/>
      <c r="Y155" s="272"/>
      <c r="Z155" s="224"/>
      <c r="AA155" s="224"/>
      <c r="AB155" s="224"/>
    </row>
    <row r="156" spans="1:28" ht="15.75" hidden="1" customHeight="1">
      <c r="A156" s="280">
        <v>44784</v>
      </c>
      <c r="B156" s="281" t="s">
        <v>353</v>
      </c>
      <c r="C156" s="282">
        <v>4</v>
      </c>
      <c r="D156" s="282"/>
      <c r="E156" s="281" t="s">
        <v>9739</v>
      </c>
      <c r="F156" s="281" t="s">
        <v>3</v>
      </c>
      <c r="G156" s="281" t="s">
        <v>460</v>
      </c>
      <c r="H156" s="281" t="s">
        <v>9740</v>
      </c>
      <c r="I156" s="281">
        <v>4</v>
      </c>
      <c r="J156" s="281" t="s">
        <v>462</v>
      </c>
      <c r="K156" s="281" t="s">
        <v>9741</v>
      </c>
      <c r="L156" s="281">
        <v>4</v>
      </c>
      <c r="M156" s="281" t="s">
        <v>478</v>
      </c>
      <c r="N156" s="291">
        <v>10000000</v>
      </c>
      <c r="O156" s="281" t="s">
        <v>465</v>
      </c>
      <c r="P156" s="291" t="s">
        <v>452</v>
      </c>
      <c r="Q156" s="281"/>
      <c r="R156" s="281" t="s">
        <v>20</v>
      </c>
      <c r="S156" s="283" t="s">
        <v>9742</v>
      </c>
      <c r="T156" s="283"/>
      <c r="U156" s="281"/>
      <c r="V156" s="281"/>
      <c r="W156" s="281"/>
      <c r="X156" s="281"/>
      <c r="Y156" s="281"/>
      <c r="Z156" s="258"/>
      <c r="AA156" s="258"/>
      <c r="AB156" s="258"/>
    </row>
    <row r="157" spans="1:28" ht="15.75" hidden="1" customHeight="1">
      <c r="A157" s="253">
        <v>44789</v>
      </c>
      <c r="B157" s="224" t="s">
        <v>178</v>
      </c>
      <c r="C157" s="249">
        <v>4</v>
      </c>
      <c r="D157" s="249"/>
      <c r="E157" s="224" t="s">
        <v>3710</v>
      </c>
      <c r="F157" s="250" t="s">
        <v>4</v>
      </c>
      <c r="G157" s="224" t="s">
        <v>727</v>
      </c>
      <c r="H157" s="224" t="s">
        <v>10228</v>
      </c>
      <c r="I157" s="224">
        <v>4</v>
      </c>
      <c r="J157" s="224" t="s">
        <v>1045</v>
      </c>
      <c r="K157" s="224" t="s">
        <v>3712</v>
      </c>
      <c r="L157" s="224">
        <v>4</v>
      </c>
      <c r="M157" s="224" t="s">
        <v>784</v>
      </c>
      <c r="N157" s="224" t="s">
        <v>3713</v>
      </c>
      <c r="O157" s="224" t="s">
        <v>452</v>
      </c>
      <c r="P157" s="224" t="s">
        <v>3714</v>
      </c>
      <c r="Q157" s="224" t="s">
        <v>3715</v>
      </c>
      <c r="R157" s="224" t="s">
        <v>18</v>
      </c>
      <c r="S157" s="254"/>
      <c r="T157" s="254"/>
      <c r="U157" s="252"/>
      <c r="V157" s="252"/>
      <c r="W157" s="252"/>
      <c r="X157" s="224"/>
      <c r="Y157" s="224"/>
      <c r="Z157" s="224"/>
      <c r="AA157" s="224"/>
      <c r="AB157" s="224"/>
    </row>
    <row r="158" spans="1:28" ht="15.75" hidden="1" customHeight="1">
      <c r="A158" s="248">
        <v>44789</v>
      </c>
      <c r="B158" s="219" t="s">
        <v>326</v>
      </c>
      <c r="C158" s="249">
        <v>4</v>
      </c>
      <c r="D158" s="249"/>
      <c r="E158" s="219" t="s">
        <v>1817</v>
      </c>
      <c r="F158" s="250" t="s">
        <v>3</v>
      </c>
      <c r="G158" s="219" t="s">
        <v>460</v>
      </c>
      <c r="H158" s="219" t="s">
        <v>1818</v>
      </c>
      <c r="I158" s="219">
        <v>4</v>
      </c>
      <c r="J158" s="219" t="s">
        <v>941</v>
      </c>
      <c r="K158" s="219" t="s">
        <v>1819</v>
      </c>
      <c r="L158" s="219">
        <v>4</v>
      </c>
      <c r="M158" s="219" t="s">
        <v>478</v>
      </c>
      <c r="N158" s="312">
        <v>25000000</v>
      </c>
      <c r="O158" s="219" t="s">
        <v>452</v>
      </c>
      <c r="P158" s="219" t="s">
        <v>10232</v>
      </c>
      <c r="Q158" s="219"/>
      <c r="R158" s="219" t="s">
        <v>18</v>
      </c>
      <c r="S158" s="251"/>
      <c r="T158" s="251"/>
      <c r="U158" s="252"/>
      <c r="V158" s="252"/>
      <c r="W158" s="252"/>
      <c r="X158" s="219"/>
      <c r="Y158" s="219"/>
      <c r="Z158" s="219"/>
      <c r="AA158" s="219"/>
      <c r="AB158" s="219"/>
    </row>
    <row r="159" spans="1:28" ht="15.75" hidden="1" customHeight="1">
      <c r="A159" s="253">
        <v>44789</v>
      </c>
      <c r="B159" s="224" t="s">
        <v>154</v>
      </c>
      <c r="C159" s="249">
        <v>4</v>
      </c>
      <c r="D159" s="249"/>
      <c r="E159" s="224" t="s">
        <v>1043</v>
      </c>
      <c r="F159" s="250" t="s">
        <v>4</v>
      </c>
      <c r="G159" s="224" t="s">
        <v>727</v>
      </c>
      <c r="H159" s="224" t="s">
        <v>10248</v>
      </c>
      <c r="I159" s="224">
        <v>4</v>
      </c>
      <c r="J159" s="224" t="s">
        <v>1045</v>
      </c>
      <c r="K159" s="224" t="s">
        <v>1046</v>
      </c>
      <c r="L159" s="224">
        <v>4</v>
      </c>
      <c r="M159" s="224"/>
      <c r="N159" s="224"/>
      <c r="O159" s="224" t="s">
        <v>454</v>
      </c>
      <c r="P159" s="224" t="s">
        <v>1047</v>
      </c>
      <c r="Q159" s="224" t="s">
        <v>725</v>
      </c>
      <c r="R159" s="224" t="s">
        <v>18</v>
      </c>
      <c r="S159" s="254"/>
      <c r="T159" s="254"/>
      <c r="U159" s="252"/>
      <c r="V159" s="252"/>
      <c r="W159" s="252"/>
      <c r="X159" s="224"/>
      <c r="Y159" s="224"/>
      <c r="Z159" s="224"/>
      <c r="AA159" s="224"/>
      <c r="AB159" s="224"/>
    </row>
    <row r="160" spans="1:28" ht="15.75" hidden="1" customHeight="1">
      <c r="A160" s="248">
        <v>44789</v>
      </c>
      <c r="B160" s="219" t="s">
        <v>350</v>
      </c>
      <c r="C160" s="249">
        <v>4</v>
      </c>
      <c r="D160" s="249"/>
      <c r="E160" s="219" t="s">
        <v>9723</v>
      </c>
      <c r="F160" s="250" t="s">
        <v>3</v>
      </c>
      <c r="G160" s="219" t="s">
        <v>460</v>
      </c>
      <c r="H160" s="219" t="s">
        <v>9724</v>
      </c>
      <c r="I160" s="219">
        <v>4</v>
      </c>
      <c r="J160" s="219" t="s">
        <v>462</v>
      </c>
      <c r="K160" s="219" t="s">
        <v>9725</v>
      </c>
      <c r="L160" s="219">
        <v>4</v>
      </c>
      <c r="M160" s="219" t="s">
        <v>478</v>
      </c>
      <c r="N160" s="312">
        <v>10000000</v>
      </c>
      <c r="O160" s="219" t="s">
        <v>452</v>
      </c>
      <c r="P160" s="219" t="s">
        <v>9726</v>
      </c>
      <c r="Q160" s="219"/>
      <c r="R160" s="219" t="s">
        <v>18</v>
      </c>
      <c r="S160" s="251"/>
      <c r="T160" s="251"/>
      <c r="U160" s="252"/>
      <c r="V160" s="252"/>
      <c r="W160" s="252"/>
      <c r="X160" s="219"/>
      <c r="Y160" s="219"/>
      <c r="Z160" s="219"/>
      <c r="AA160" s="219"/>
      <c r="AB160" s="219"/>
    </row>
    <row r="161" spans="1:28" ht="15.75" hidden="1" customHeight="1">
      <c r="A161" s="253">
        <v>44789</v>
      </c>
      <c r="B161" s="224" t="s">
        <v>207</v>
      </c>
      <c r="C161" s="249">
        <v>4</v>
      </c>
      <c r="D161" s="249"/>
      <c r="E161" s="224" t="s">
        <v>3836</v>
      </c>
      <c r="F161" s="250" t="s">
        <v>4</v>
      </c>
      <c r="G161" s="224" t="s">
        <v>727</v>
      </c>
      <c r="H161" s="224" t="s">
        <v>10665</v>
      </c>
      <c r="I161" s="224">
        <v>4</v>
      </c>
      <c r="J161" s="224" t="s">
        <v>1045</v>
      </c>
      <c r="K161" s="224"/>
      <c r="L161" s="224">
        <v>4</v>
      </c>
      <c r="M161" s="224"/>
      <c r="N161" s="307"/>
      <c r="O161" s="224" t="s">
        <v>452</v>
      </c>
      <c r="P161" s="224" t="s">
        <v>10666</v>
      </c>
      <c r="Q161" s="224"/>
      <c r="R161" s="224" t="s">
        <v>18</v>
      </c>
      <c r="S161" s="254"/>
      <c r="T161" s="254"/>
      <c r="U161" s="252"/>
      <c r="V161" s="252"/>
      <c r="W161" s="252"/>
      <c r="X161" s="224"/>
      <c r="Y161" s="224"/>
      <c r="Z161" s="224"/>
      <c r="AA161" s="224"/>
      <c r="AB161" s="224"/>
    </row>
    <row r="162" spans="1:28" ht="15.75" hidden="1" customHeight="1">
      <c r="A162" s="248">
        <v>44789</v>
      </c>
      <c r="B162" s="219" t="s">
        <v>238</v>
      </c>
      <c r="C162" s="249">
        <v>4</v>
      </c>
      <c r="D162" s="249"/>
      <c r="E162" s="219" t="s">
        <v>10668</v>
      </c>
      <c r="F162" s="250" t="s">
        <v>4</v>
      </c>
      <c r="G162" s="219" t="s">
        <v>727</v>
      </c>
      <c r="H162" s="219" t="s">
        <v>11615</v>
      </c>
      <c r="I162" s="219">
        <v>4</v>
      </c>
      <c r="J162" s="219" t="s">
        <v>1045</v>
      </c>
      <c r="K162" s="219" t="s">
        <v>4004</v>
      </c>
      <c r="L162" s="219">
        <v>4</v>
      </c>
      <c r="M162" s="219" t="s">
        <v>451</v>
      </c>
      <c r="N162" s="219" t="s">
        <v>4005</v>
      </c>
      <c r="O162" s="219" t="s">
        <v>454</v>
      </c>
      <c r="P162" s="219" t="s">
        <v>4006</v>
      </c>
      <c r="Q162" s="219"/>
      <c r="R162" s="219" t="s">
        <v>18</v>
      </c>
      <c r="S162" s="251"/>
      <c r="T162" s="251"/>
      <c r="U162" s="252"/>
      <c r="V162" s="252"/>
      <c r="W162" s="252"/>
      <c r="X162" s="219"/>
      <c r="Y162" s="219"/>
      <c r="Z162" s="219"/>
      <c r="AA162" s="219"/>
      <c r="AB162" s="219"/>
    </row>
    <row r="163" spans="1:28" ht="15.75" hidden="1" customHeight="1">
      <c r="A163" s="253">
        <v>44789</v>
      </c>
      <c r="B163" s="224" t="s">
        <v>201</v>
      </c>
      <c r="C163" s="249">
        <v>4</v>
      </c>
      <c r="D163" s="249"/>
      <c r="E163" s="224" t="s">
        <v>3803</v>
      </c>
      <c r="F163" s="250" t="s">
        <v>4</v>
      </c>
      <c r="G163" s="224" t="s">
        <v>727</v>
      </c>
      <c r="H163" s="224" t="s">
        <v>10671</v>
      </c>
      <c r="I163" s="224">
        <v>4</v>
      </c>
      <c r="J163" s="224" t="s">
        <v>1045</v>
      </c>
      <c r="K163" s="224" t="s">
        <v>3805</v>
      </c>
      <c r="L163" s="224">
        <v>4</v>
      </c>
      <c r="M163" s="224"/>
      <c r="N163" s="224"/>
      <c r="O163" s="224" t="s">
        <v>452</v>
      </c>
      <c r="P163" s="224" t="s">
        <v>10672</v>
      </c>
      <c r="Q163" s="224"/>
      <c r="R163" s="224" t="s">
        <v>18</v>
      </c>
      <c r="S163" s="254"/>
      <c r="T163" s="254"/>
      <c r="U163" s="252"/>
      <c r="V163" s="252"/>
      <c r="W163" s="252"/>
      <c r="X163" s="224"/>
      <c r="Y163" s="224"/>
      <c r="Z163" s="224"/>
      <c r="AA163" s="224"/>
      <c r="AB163" s="224"/>
    </row>
    <row r="164" spans="1:28" ht="15.75" hidden="1" customHeight="1">
      <c r="A164" s="248">
        <v>44789</v>
      </c>
      <c r="B164" s="219" t="s">
        <v>235</v>
      </c>
      <c r="C164" s="249">
        <v>4</v>
      </c>
      <c r="D164" s="249"/>
      <c r="E164" s="219" t="s">
        <v>3987</v>
      </c>
      <c r="F164" s="250" t="s">
        <v>4</v>
      </c>
      <c r="G164" s="219" t="s">
        <v>727</v>
      </c>
      <c r="H164" s="219" t="s">
        <v>10676</v>
      </c>
      <c r="I164" s="219">
        <v>4</v>
      </c>
      <c r="J164" s="219" t="s">
        <v>1045</v>
      </c>
      <c r="K164" s="219" t="s">
        <v>3989</v>
      </c>
      <c r="L164" s="219">
        <v>4</v>
      </c>
      <c r="M164" s="219"/>
      <c r="N164" s="219"/>
      <c r="O164" s="219" t="s">
        <v>452</v>
      </c>
      <c r="P164" s="219" t="s">
        <v>3990</v>
      </c>
      <c r="Q164" s="219"/>
      <c r="R164" s="219" t="s">
        <v>18</v>
      </c>
      <c r="S164" s="251"/>
      <c r="T164" s="251"/>
      <c r="U164" s="252"/>
      <c r="V164" s="252"/>
      <c r="W164" s="252"/>
      <c r="X164" s="219"/>
      <c r="Y164" s="219"/>
      <c r="Z164" s="219"/>
      <c r="AA164" s="219"/>
      <c r="AB164" s="219"/>
    </row>
    <row r="165" spans="1:28" ht="15.75" hidden="1" customHeight="1">
      <c r="A165" s="253">
        <v>44789</v>
      </c>
      <c r="B165" s="224" t="s">
        <v>249</v>
      </c>
      <c r="C165" s="249">
        <v>4</v>
      </c>
      <c r="D165" s="249"/>
      <c r="E165" s="224" t="s">
        <v>4063</v>
      </c>
      <c r="F165" s="250" t="s">
        <v>4</v>
      </c>
      <c r="G165" s="224" t="s">
        <v>727</v>
      </c>
      <c r="H165" s="224" t="s">
        <v>10719</v>
      </c>
      <c r="I165" s="224">
        <v>4</v>
      </c>
      <c r="J165" s="224" t="s">
        <v>1045</v>
      </c>
      <c r="K165" s="224" t="s">
        <v>4065</v>
      </c>
      <c r="L165" s="224">
        <v>4</v>
      </c>
      <c r="M165" s="224" t="s">
        <v>451</v>
      </c>
      <c r="N165" s="224" t="s">
        <v>4066</v>
      </c>
      <c r="O165" s="224" t="s">
        <v>452</v>
      </c>
      <c r="P165" s="224" t="s">
        <v>4067</v>
      </c>
      <c r="Q165" s="224"/>
      <c r="R165" s="224" t="s">
        <v>18</v>
      </c>
      <c r="S165" s="254"/>
      <c r="T165" s="254"/>
      <c r="U165" s="252"/>
      <c r="V165" s="252"/>
      <c r="W165" s="252"/>
      <c r="X165" s="224"/>
      <c r="Y165" s="224"/>
      <c r="Z165" s="224"/>
      <c r="AA165" s="224"/>
      <c r="AB165" s="224"/>
    </row>
    <row r="166" spans="1:28" ht="15.75" customHeight="1">
      <c r="A166" s="507">
        <v>44784</v>
      </c>
      <c r="B166" s="358" t="s">
        <v>144</v>
      </c>
      <c r="C166" s="358">
        <v>3.75</v>
      </c>
      <c r="D166" s="250" t="str">
        <f>IFERROR(VLOOKUP(B166,'2022-2023 Third Reviews'!$C:$S,9,FALSE),"")</f>
        <v/>
      </c>
      <c r="E166" s="358" t="s">
        <v>3287</v>
      </c>
      <c r="F166" s="358" t="s">
        <v>5</v>
      </c>
      <c r="G166" s="358" t="s">
        <v>447</v>
      </c>
      <c r="H166" s="358" t="s">
        <v>10433</v>
      </c>
      <c r="I166" s="358">
        <v>3.5</v>
      </c>
      <c r="J166" s="358" t="s">
        <v>449</v>
      </c>
      <c r="K166" s="358" t="s">
        <v>11565</v>
      </c>
      <c r="L166" s="358">
        <v>4</v>
      </c>
      <c r="M166" s="358"/>
      <c r="N166" s="358"/>
      <c r="O166" s="358" t="s">
        <v>452</v>
      </c>
      <c r="P166" s="358" t="s">
        <v>3290</v>
      </c>
      <c r="Q166" s="358"/>
      <c r="R166" s="480" t="s">
        <v>24</v>
      </c>
      <c r="S166" s="358" t="s">
        <v>3291</v>
      </c>
      <c r="T166" s="354" t="s">
        <v>11851</v>
      </c>
      <c r="U166" s="358"/>
      <c r="V166" s="358"/>
      <c r="W166" s="358"/>
      <c r="X166" s="358"/>
      <c r="Y166" s="358"/>
      <c r="Z166" s="354"/>
      <c r="AA166" s="354"/>
      <c r="AB166" s="354"/>
    </row>
    <row r="167" spans="1:28" ht="15.75" customHeight="1">
      <c r="A167" s="253">
        <v>44782</v>
      </c>
      <c r="B167" s="224" t="s">
        <v>68</v>
      </c>
      <c r="C167" s="250">
        <v>4</v>
      </c>
      <c r="D167" s="250" t="str">
        <f ca="1">IFERROR(VLOOKUP(B167,'2022-2023 Third Reviews'!$C:$S,9,FALSE),"")</f>
        <v>Nick Schmandt
4</v>
      </c>
      <c r="E167" s="224" t="s">
        <v>497</v>
      </c>
      <c r="F167" s="250" t="s">
        <v>5</v>
      </c>
      <c r="G167" s="224" t="s">
        <v>447</v>
      </c>
      <c r="H167" s="224" t="s">
        <v>10503</v>
      </c>
      <c r="I167" s="224">
        <v>4.5</v>
      </c>
      <c r="J167" s="224" t="s">
        <v>449</v>
      </c>
      <c r="K167" s="224" t="s">
        <v>13400</v>
      </c>
      <c r="L167" s="224">
        <v>3.5</v>
      </c>
      <c r="M167" s="224" t="s">
        <v>451</v>
      </c>
      <c r="N167" s="224">
        <v>2000000</v>
      </c>
      <c r="O167" s="224" t="s">
        <v>452</v>
      </c>
      <c r="P167" s="224" t="s">
        <v>500</v>
      </c>
      <c r="Q167" s="224"/>
      <c r="R167" s="224" t="s">
        <v>18</v>
      </c>
      <c r="S167" s="224"/>
      <c r="T167" s="224" t="s">
        <v>11773</v>
      </c>
      <c r="U167" s="252"/>
      <c r="V167" s="252"/>
      <c r="W167" s="252"/>
      <c r="X167" s="224"/>
      <c r="Y167" s="224"/>
      <c r="Z167" s="224"/>
      <c r="AA167" s="224"/>
      <c r="AB167" s="224"/>
    </row>
    <row r="168" spans="1:28" ht="15.75" hidden="1" customHeight="1">
      <c r="A168" s="257">
        <v>44789</v>
      </c>
      <c r="B168" s="258" t="s">
        <v>264</v>
      </c>
      <c r="C168" s="263">
        <v>4</v>
      </c>
      <c r="D168" s="263"/>
      <c r="E168" s="258" t="s">
        <v>4116</v>
      </c>
      <c r="F168" s="258" t="s">
        <v>4</v>
      </c>
      <c r="G168" s="258" t="s">
        <v>602</v>
      </c>
      <c r="H168" s="258" t="s">
        <v>4117</v>
      </c>
      <c r="I168" s="258">
        <v>4</v>
      </c>
      <c r="J168" s="258" t="s">
        <v>476</v>
      </c>
      <c r="K168" s="258" t="s">
        <v>11618</v>
      </c>
      <c r="L168" s="258">
        <v>4</v>
      </c>
      <c r="M168" s="258" t="s">
        <v>451</v>
      </c>
      <c r="N168" s="258">
        <v>700000</v>
      </c>
      <c r="O168" s="258" t="s">
        <v>452</v>
      </c>
      <c r="P168" s="258" t="s">
        <v>4119</v>
      </c>
      <c r="Q168" s="258" t="s">
        <v>4120</v>
      </c>
      <c r="R168" s="258" t="s">
        <v>18</v>
      </c>
      <c r="S168" s="259" t="s">
        <v>4121</v>
      </c>
      <c r="T168" s="259"/>
      <c r="U168" s="258"/>
      <c r="V168" s="258"/>
      <c r="W168" s="258"/>
      <c r="X168" s="258"/>
      <c r="Y168" s="258"/>
      <c r="Z168" s="258"/>
      <c r="AA168" s="258"/>
      <c r="AB168" s="258"/>
    </row>
    <row r="169" spans="1:28" ht="15.75" hidden="1" customHeight="1">
      <c r="A169" s="253">
        <v>44789</v>
      </c>
      <c r="B169" s="224" t="s">
        <v>157</v>
      </c>
      <c r="C169" s="249">
        <v>4</v>
      </c>
      <c r="D169" s="249"/>
      <c r="E169" s="224" t="s">
        <v>1060</v>
      </c>
      <c r="F169" s="250" t="s">
        <v>4</v>
      </c>
      <c r="G169" s="224" t="s">
        <v>602</v>
      </c>
      <c r="H169" s="224" t="s">
        <v>1061</v>
      </c>
      <c r="I169" s="224">
        <v>4</v>
      </c>
      <c r="J169" s="224" t="s">
        <v>1054</v>
      </c>
      <c r="K169" s="224" t="s">
        <v>10906</v>
      </c>
      <c r="L169" s="224">
        <v>4</v>
      </c>
      <c r="M169" s="224" t="s">
        <v>1063</v>
      </c>
      <c r="N169" s="224" t="s">
        <v>1064</v>
      </c>
      <c r="O169" s="224" t="s">
        <v>452</v>
      </c>
      <c r="P169" s="224" t="s">
        <v>10907</v>
      </c>
      <c r="Q169" s="224" t="s">
        <v>1066</v>
      </c>
      <c r="R169" s="224" t="s">
        <v>18</v>
      </c>
      <c r="S169" s="254"/>
      <c r="T169" s="254"/>
      <c r="U169" s="252"/>
      <c r="V169" s="252"/>
      <c r="W169" s="252"/>
      <c r="X169" s="224"/>
      <c r="Y169" s="224"/>
      <c r="Z169" s="224"/>
      <c r="AA169" s="224"/>
      <c r="AB169" s="224"/>
    </row>
    <row r="170" spans="1:28" ht="15.75" hidden="1" customHeight="1">
      <c r="A170" s="248">
        <v>44789</v>
      </c>
      <c r="B170" s="219" t="s">
        <v>319</v>
      </c>
      <c r="C170" s="249">
        <v>4</v>
      </c>
      <c r="D170" s="249"/>
      <c r="E170" s="219" t="s">
        <v>11015</v>
      </c>
      <c r="F170" s="250" t="s">
        <v>3</v>
      </c>
      <c r="G170" s="219" t="s">
        <v>460</v>
      </c>
      <c r="H170" s="219" t="s">
        <v>1761</v>
      </c>
      <c r="I170" s="219">
        <v>4</v>
      </c>
      <c r="J170" s="219" t="s">
        <v>941</v>
      </c>
      <c r="K170" s="219" t="s">
        <v>1762</v>
      </c>
      <c r="L170" s="219">
        <v>4</v>
      </c>
      <c r="M170" s="219" t="s">
        <v>478</v>
      </c>
      <c r="N170" s="219" t="s">
        <v>1763</v>
      </c>
      <c r="O170" s="219" t="s">
        <v>452</v>
      </c>
      <c r="P170" s="219" t="s">
        <v>452</v>
      </c>
      <c r="Q170" s="219"/>
      <c r="R170" s="219" t="s">
        <v>18</v>
      </c>
      <c r="S170" s="251"/>
      <c r="T170" s="251"/>
      <c r="U170" s="252"/>
      <c r="V170" s="252"/>
      <c r="W170" s="252"/>
      <c r="X170" s="219"/>
      <c r="Y170" s="219"/>
      <c r="Z170" s="219"/>
      <c r="AA170" s="219"/>
      <c r="AB170" s="219"/>
    </row>
    <row r="171" spans="1:28" ht="15.75" hidden="1" customHeight="1">
      <c r="A171" s="255">
        <v>44791</v>
      </c>
      <c r="B171" s="239" t="s">
        <v>110</v>
      </c>
      <c r="C171" s="239">
        <v>4.25</v>
      </c>
      <c r="D171" s="239"/>
      <c r="E171" s="239" t="s">
        <v>1859</v>
      </c>
      <c r="F171" s="239" t="s">
        <v>3</v>
      </c>
      <c r="G171" s="239" t="s">
        <v>447</v>
      </c>
      <c r="H171" s="239" t="s">
        <v>13195</v>
      </c>
      <c r="I171" s="239">
        <v>4.5</v>
      </c>
      <c r="J171" s="239" t="s">
        <v>543</v>
      </c>
      <c r="K171" s="239" t="s">
        <v>11651</v>
      </c>
      <c r="L171" s="239">
        <v>4</v>
      </c>
      <c r="M171" s="239" t="s">
        <v>973</v>
      </c>
      <c r="N171" s="239" t="s">
        <v>1862</v>
      </c>
      <c r="O171" s="239" t="s">
        <v>452</v>
      </c>
      <c r="P171" s="239" t="s">
        <v>1119</v>
      </c>
      <c r="Q171" s="239"/>
      <c r="R171" s="239" t="s">
        <v>18</v>
      </c>
      <c r="S171" s="239"/>
      <c r="T171" s="239" t="s">
        <v>13196</v>
      </c>
      <c r="U171" s="239"/>
      <c r="V171" s="239"/>
      <c r="W171" s="239"/>
      <c r="X171" s="239"/>
      <c r="Y171" s="239"/>
      <c r="Z171" s="239"/>
      <c r="AA171" s="239"/>
      <c r="AB171" s="239"/>
    </row>
    <row r="172" spans="1:28" ht="15.75" hidden="1" customHeight="1">
      <c r="A172" s="248">
        <v>44789</v>
      </c>
      <c r="B172" s="219" t="s">
        <v>220</v>
      </c>
      <c r="C172" s="249">
        <v>4</v>
      </c>
      <c r="D172" s="249"/>
      <c r="E172" s="219" t="s">
        <v>11445</v>
      </c>
      <c r="F172" s="250" t="s">
        <v>4</v>
      </c>
      <c r="G172" s="219" t="s">
        <v>727</v>
      </c>
      <c r="H172" s="219" t="s">
        <v>11446</v>
      </c>
      <c r="I172" s="219">
        <v>4</v>
      </c>
      <c r="J172" s="219" t="s">
        <v>1045</v>
      </c>
      <c r="K172" s="219" t="s">
        <v>1322</v>
      </c>
      <c r="L172" s="219">
        <v>4</v>
      </c>
      <c r="M172" s="219" t="s">
        <v>451</v>
      </c>
      <c r="N172" s="312" t="s">
        <v>1323</v>
      </c>
      <c r="O172" s="219" t="s">
        <v>454</v>
      </c>
      <c r="P172" s="219" t="s">
        <v>452</v>
      </c>
      <c r="Q172" s="219" t="s">
        <v>1324</v>
      </c>
      <c r="R172" s="219" t="s">
        <v>18</v>
      </c>
      <c r="S172" s="251"/>
      <c r="T172" s="251"/>
      <c r="U172" s="252"/>
      <c r="V172" s="252"/>
      <c r="W172" s="252"/>
      <c r="X172" s="219"/>
      <c r="Y172" s="219"/>
      <c r="Z172" s="219"/>
      <c r="AA172" s="219"/>
      <c r="AB172" s="219"/>
    </row>
    <row r="173" spans="1:28" ht="15.75" hidden="1" customHeight="1">
      <c r="A173" s="253">
        <v>44789</v>
      </c>
      <c r="B173" s="224" t="s">
        <v>183</v>
      </c>
      <c r="C173" s="249">
        <v>4</v>
      </c>
      <c r="D173" s="249"/>
      <c r="E173" s="224" t="s">
        <v>1159</v>
      </c>
      <c r="F173" s="250" t="s">
        <v>4</v>
      </c>
      <c r="G173" s="224" t="s">
        <v>727</v>
      </c>
      <c r="H173" s="224" t="s">
        <v>11464</v>
      </c>
      <c r="I173" s="224">
        <v>4</v>
      </c>
      <c r="J173" s="224" t="s">
        <v>1045</v>
      </c>
      <c r="K173" s="224" t="s">
        <v>1161</v>
      </c>
      <c r="L173" s="224">
        <v>4</v>
      </c>
      <c r="M173" s="224"/>
      <c r="N173" s="224"/>
      <c r="O173" s="224"/>
      <c r="P173" s="224" t="s">
        <v>1162</v>
      </c>
      <c r="Q173" s="224"/>
      <c r="R173" s="224" t="s">
        <v>18</v>
      </c>
      <c r="S173" s="254"/>
      <c r="T173" s="254"/>
      <c r="U173" s="252"/>
      <c r="V173" s="252"/>
      <c r="W173" s="252"/>
      <c r="X173" s="224"/>
      <c r="Y173" s="224"/>
      <c r="Z173" s="224"/>
      <c r="AA173" s="224"/>
      <c r="AB173" s="224"/>
    </row>
    <row r="174" spans="1:28" ht="15.75" customHeight="1">
      <c r="A174" s="255">
        <v>44782</v>
      </c>
      <c r="B174" s="239" t="s">
        <v>382</v>
      </c>
      <c r="C174" s="239">
        <v>4</v>
      </c>
      <c r="D174" s="250" t="str">
        <f ca="1">IFERROR(VLOOKUP(B174,'2022-2023 Third Reviews'!$C:$S,9,FALSE),"")</f>
        <v>Ahmed Bahgat
4</v>
      </c>
      <c r="E174" s="239" t="s">
        <v>10047</v>
      </c>
      <c r="F174" s="239" t="s">
        <v>5</v>
      </c>
      <c r="G174" s="239" t="s">
        <v>447</v>
      </c>
      <c r="H174" s="239" t="s">
        <v>10509</v>
      </c>
      <c r="I174" s="239">
        <v>4</v>
      </c>
      <c r="J174" s="239" t="s">
        <v>543</v>
      </c>
      <c r="K174" s="239"/>
      <c r="L174" s="239">
        <v>4</v>
      </c>
      <c r="M174" s="239" t="s">
        <v>784</v>
      </c>
      <c r="N174" s="239">
        <v>1200000</v>
      </c>
      <c r="O174" s="239" t="s">
        <v>452</v>
      </c>
      <c r="P174" s="239" t="s">
        <v>10049</v>
      </c>
      <c r="Q174" s="239" t="s">
        <v>10050</v>
      </c>
      <c r="R174" s="480" t="s">
        <v>24</v>
      </c>
      <c r="S174" s="239"/>
      <c r="T174" s="239" t="s">
        <v>11867</v>
      </c>
      <c r="U174" s="239"/>
      <c r="V174" s="239"/>
      <c r="W174" s="239"/>
      <c r="X174" s="239"/>
      <c r="Y174" s="239"/>
      <c r="Z174" s="239"/>
      <c r="AA174" s="239"/>
      <c r="AB174" s="239"/>
    </row>
    <row r="175" spans="1:28" ht="15.75" hidden="1" customHeight="1">
      <c r="A175" s="253">
        <v>44789</v>
      </c>
      <c r="B175" s="224" t="s">
        <v>315</v>
      </c>
      <c r="C175" s="249">
        <v>4</v>
      </c>
      <c r="D175" s="249"/>
      <c r="E175" s="224" t="s">
        <v>1735</v>
      </c>
      <c r="F175" s="250" t="s">
        <v>3</v>
      </c>
      <c r="G175" s="224" t="s">
        <v>460</v>
      </c>
      <c r="H175" s="224" t="s">
        <v>1736</v>
      </c>
      <c r="I175" s="224">
        <v>4</v>
      </c>
      <c r="J175" s="224" t="s">
        <v>462</v>
      </c>
      <c r="K175" s="224" t="s">
        <v>1737</v>
      </c>
      <c r="L175" s="224">
        <v>4</v>
      </c>
      <c r="M175" s="224"/>
      <c r="N175" s="224"/>
      <c r="O175" s="224" t="s">
        <v>452</v>
      </c>
      <c r="P175" s="224" t="s">
        <v>1738</v>
      </c>
      <c r="Q175" s="224" t="s">
        <v>1739</v>
      </c>
      <c r="R175" s="224" t="s">
        <v>18</v>
      </c>
      <c r="S175" s="254"/>
      <c r="T175" s="254"/>
      <c r="U175" s="252"/>
      <c r="V175" s="252"/>
      <c r="W175" s="252"/>
      <c r="X175" s="224"/>
      <c r="Y175" s="224"/>
      <c r="Z175" s="224"/>
      <c r="AA175" s="224"/>
      <c r="AB175" s="224"/>
    </row>
    <row r="176" spans="1:28" ht="15.75" hidden="1" customHeight="1">
      <c r="A176" s="248">
        <v>44789</v>
      </c>
      <c r="B176" s="219" t="s">
        <v>255</v>
      </c>
      <c r="C176" s="249">
        <v>4</v>
      </c>
      <c r="D176" s="249"/>
      <c r="E176" s="219" t="s">
        <v>10861</v>
      </c>
      <c r="F176" s="250" t="s">
        <v>4</v>
      </c>
      <c r="G176" s="219" t="s">
        <v>602</v>
      </c>
      <c r="H176" s="219"/>
      <c r="I176" s="219">
        <v>4</v>
      </c>
      <c r="J176" s="219" t="s">
        <v>1054</v>
      </c>
      <c r="K176" s="219" t="s">
        <v>10862</v>
      </c>
      <c r="L176" s="219">
        <v>4</v>
      </c>
      <c r="M176" s="219"/>
      <c r="N176" s="219"/>
      <c r="O176" s="219" t="s">
        <v>465</v>
      </c>
      <c r="P176" s="219" t="s">
        <v>4102</v>
      </c>
      <c r="Q176" s="219"/>
      <c r="R176" s="219" t="s">
        <v>18</v>
      </c>
      <c r="S176" s="251"/>
      <c r="T176" s="251"/>
      <c r="U176" s="252"/>
      <c r="V176" s="252"/>
      <c r="W176" s="252"/>
      <c r="X176" s="219"/>
      <c r="Y176" s="219"/>
      <c r="Z176" s="219"/>
      <c r="AA176" s="219"/>
      <c r="AB176" s="219"/>
    </row>
    <row r="177" spans="1:28" ht="15.75" customHeight="1">
      <c r="A177" s="485">
        <v>44791</v>
      </c>
      <c r="B177" s="486" t="s">
        <v>87</v>
      </c>
      <c r="C177" s="486">
        <v>4</v>
      </c>
      <c r="D177" s="250" t="str">
        <f ca="1">IFERROR(VLOOKUP(B177,'2022-2023 Third Reviews'!$C:$S,9,FALSE),"")</f>
        <v>John McDonald
4</v>
      </c>
      <c r="E177" s="486" t="s">
        <v>2578</v>
      </c>
      <c r="F177" s="486" t="s">
        <v>5</v>
      </c>
      <c r="G177" s="486" t="s">
        <v>460</v>
      </c>
      <c r="H177" s="486" t="s">
        <v>2579</v>
      </c>
      <c r="I177" s="486">
        <v>4</v>
      </c>
      <c r="J177" s="486" t="s">
        <v>462</v>
      </c>
      <c r="K177" s="486" t="s">
        <v>2580</v>
      </c>
      <c r="L177" s="486">
        <v>4</v>
      </c>
      <c r="M177" s="486" t="s">
        <v>2581</v>
      </c>
      <c r="N177" s="508">
        <v>2500000</v>
      </c>
      <c r="O177" s="486" t="s">
        <v>452</v>
      </c>
      <c r="P177" s="486" t="s">
        <v>2582</v>
      </c>
      <c r="Q177" s="486" t="s">
        <v>2583</v>
      </c>
      <c r="R177" s="480" t="s">
        <v>24</v>
      </c>
      <c r="S177" s="486" t="s">
        <v>11653</v>
      </c>
      <c r="T177" s="486" t="s">
        <v>11837</v>
      </c>
      <c r="U177" s="486"/>
      <c r="V177" s="486"/>
      <c r="W177" s="486"/>
      <c r="X177" s="486"/>
      <c r="Y177" s="486"/>
      <c r="Z177" s="486"/>
      <c r="AA177" s="486"/>
      <c r="AB177" s="486"/>
    </row>
    <row r="178" spans="1:28" ht="15.75" hidden="1" customHeight="1">
      <c r="A178" s="248">
        <v>44789</v>
      </c>
      <c r="B178" s="219" t="s">
        <v>399</v>
      </c>
      <c r="C178" s="249">
        <v>4</v>
      </c>
      <c r="D178" s="249"/>
      <c r="E178" s="219" t="s">
        <v>11189</v>
      </c>
      <c r="F178" s="250" t="s">
        <v>3</v>
      </c>
      <c r="G178" s="219" t="s">
        <v>460</v>
      </c>
      <c r="H178" s="219" t="s">
        <v>10108</v>
      </c>
      <c r="I178" s="219">
        <v>4</v>
      </c>
      <c r="J178" s="219" t="s">
        <v>462</v>
      </c>
      <c r="K178" s="219" t="s">
        <v>10109</v>
      </c>
      <c r="L178" s="219">
        <v>4</v>
      </c>
      <c r="M178" s="219" t="s">
        <v>478</v>
      </c>
      <c r="N178" s="312">
        <v>25000000</v>
      </c>
      <c r="O178" s="219" t="s">
        <v>452</v>
      </c>
      <c r="P178" s="219" t="s">
        <v>11190</v>
      </c>
      <c r="Q178" s="219"/>
      <c r="R178" s="219" t="s">
        <v>18</v>
      </c>
      <c r="S178" s="251"/>
      <c r="T178" s="251"/>
      <c r="U178" s="252"/>
      <c r="V178" s="252"/>
      <c r="W178" s="252"/>
      <c r="X178" s="219"/>
      <c r="Y178" s="219"/>
      <c r="Z178" s="219"/>
      <c r="AA178" s="219"/>
      <c r="AB178" s="219"/>
    </row>
    <row r="179" spans="1:28" ht="15.75" hidden="1" customHeight="1">
      <c r="A179" s="253">
        <v>44789</v>
      </c>
      <c r="B179" s="224" t="s">
        <v>343</v>
      </c>
      <c r="C179" s="249">
        <v>4</v>
      </c>
      <c r="D179" s="249"/>
      <c r="E179" s="224" t="s">
        <v>11338</v>
      </c>
      <c r="F179" s="250" t="s">
        <v>3</v>
      </c>
      <c r="G179" s="224" t="s">
        <v>488</v>
      </c>
      <c r="H179" s="224" t="s">
        <v>11339</v>
      </c>
      <c r="I179" s="224">
        <v>4</v>
      </c>
      <c r="J179" s="224" t="s">
        <v>941</v>
      </c>
      <c r="K179" s="224" t="s">
        <v>1957</v>
      </c>
      <c r="L179" s="224">
        <v>4</v>
      </c>
      <c r="M179" s="224" t="s">
        <v>923</v>
      </c>
      <c r="N179" s="224" t="s">
        <v>1958</v>
      </c>
      <c r="O179" s="224" t="s">
        <v>452</v>
      </c>
      <c r="P179" s="224" t="s">
        <v>575</v>
      </c>
      <c r="Q179" s="224" t="s">
        <v>1959</v>
      </c>
      <c r="R179" s="224" t="s">
        <v>18</v>
      </c>
      <c r="S179" s="254"/>
      <c r="T179" s="254"/>
      <c r="U179" s="252"/>
      <c r="V179" s="252"/>
      <c r="W179" s="252"/>
      <c r="X179" s="224"/>
      <c r="Y179" s="224"/>
      <c r="Z179" s="224"/>
      <c r="AA179" s="224"/>
      <c r="AB179" s="224"/>
    </row>
    <row r="180" spans="1:28" ht="15.75" hidden="1" customHeight="1">
      <c r="A180" s="257">
        <v>44791</v>
      </c>
      <c r="B180" s="258" t="s">
        <v>377</v>
      </c>
      <c r="C180" s="263">
        <v>4</v>
      </c>
      <c r="D180" s="263"/>
      <c r="E180" s="258" t="s">
        <v>9855</v>
      </c>
      <c r="F180" s="258" t="s">
        <v>3</v>
      </c>
      <c r="G180" s="258" t="s">
        <v>488</v>
      </c>
      <c r="H180" s="258" t="s">
        <v>10265</v>
      </c>
      <c r="I180" s="258">
        <v>4</v>
      </c>
      <c r="J180" s="258" t="s">
        <v>941</v>
      </c>
      <c r="K180" s="258" t="s">
        <v>9857</v>
      </c>
      <c r="L180" s="258">
        <v>4</v>
      </c>
      <c r="M180" s="258" t="s">
        <v>478</v>
      </c>
      <c r="N180" s="309">
        <v>9400000</v>
      </c>
      <c r="O180" s="258" t="s">
        <v>452</v>
      </c>
      <c r="P180" s="258" t="s">
        <v>1119</v>
      </c>
      <c r="Q180" s="258" t="s">
        <v>9858</v>
      </c>
      <c r="R180" s="258" t="s">
        <v>19</v>
      </c>
      <c r="S180" s="259" t="s">
        <v>9859</v>
      </c>
      <c r="T180" s="259"/>
      <c r="U180" s="258"/>
      <c r="V180" s="258"/>
      <c r="W180" s="258"/>
      <c r="X180" s="258"/>
      <c r="Y180" s="258"/>
      <c r="Z180" s="258"/>
      <c r="AA180" s="258"/>
      <c r="AB180" s="258"/>
    </row>
    <row r="181" spans="1:28" ht="15.75" hidden="1" customHeight="1">
      <c r="A181" s="253">
        <v>44791</v>
      </c>
      <c r="B181" s="224" t="s">
        <v>212</v>
      </c>
      <c r="C181" s="316">
        <v>4</v>
      </c>
      <c r="D181" s="316"/>
      <c r="E181" s="224" t="s">
        <v>1288</v>
      </c>
      <c r="F181" s="224" t="s">
        <v>4</v>
      </c>
      <c r="G181" s="224" t="s">
        <v>725</v>
      </c>
      <c r="H181" s="224" t="s">
        <v>1289</v>
      </c>
      <c r="I181" s="224">
        <v>4</v>
      </c>
      <c r="J181" s="224" t="s">
        <v>1045</v>
      </c>
      <c r="K181" s="224" t="s">
        <v>1290</v>
      </c>
      <c r="L181" s="224">
        <v>4</v>
      </c>
      <c r="M181" s="224" t="s">
        <v>923</v>
      </c>
      <c r="N181" s="224" t="s">
        <v>1291</v>
      </c>
      <c r="O181" s="224" t="s">
        <v>452</v>
      </c>
      <c r="P181" s="224" t="s">
        <v>1292</v>
      </c>
      <c r="Q181" s="224"/>
      <c r="R181" s="224" t="s">
        <v>18</v>
      </c>
      <c r="S181" s="254"/>
      <c r="T181" s="254"/>
      <c r="U181" s="224"/>
      <c r="V181" s="224"/>
      <c r="W181" s="224"/>
      <c r="X181" s="224"/>
      <c r="Y181" s="224"/>
      <c r="Z181" s="224"/>
      <c r="AA181" s="224"/>
      <c r="AB181" s="224"/>
    </row>
    <row r="182" spans="1:28" ht="15.75" hidden="1" customHeight="1">
      <c r="A182" s="257">
        <v>44791</v>
      </c>
      <c r="B182" s="258" t="s">
        <v>242</v>
      </c>
      <c r="C182" s="263">
        <v>4</v>
      </c>
      <c r="D182" s="263"/>
      <c r="E182" s="258" t="s">
        <v>4020</v>
      </c>
      <c r="F182" s="258" t="s">
        <v>4</v>
      </c>
      <c r="G182" s="258" t="s">
        <v>725</v>
      </c>
      <c r="H182" s="258" t="s">
        <v>10352</v>
      </c>
      <c r="I182" s="258">
        <v>4</v>
      </c>
      <c r="J182" s="258" t="s">
        <v>1045</v>
      </c>
      <c r="K182" s="258" t="s">
        <v>4022</v>
      </c>
      <c r="L182" s="258">
        <v>4</v>
      </c>
      <c r="M182" s="258"/>
      <c r="N182" s="258"/>
      <c r="O182" s="258" t="s">
        <v>465</v>
      </c>
      <c r="P182" s="258" t="s">
        <v>452</v>
      </c>
      <c r="Q182" s="258"/>
      <c r="R182" s="258" t="s">
        <v>20</v>
      </c>
      <c r="S182" s="259" t="s">
        <v>10353</v>
      </c>
      <c r="T182" s="259"/>
      <c r="U182" s="258"/>
      <c r="V182" s="258"/>
      <c r="W182" s="258"/>
      <c r="X182" s="258"/>
      <c r="Y182" s="258"/>
      <c r="Z182" s="258"/>
      <c r="AA182" s="258"/>
      <c r="AB182" s="258"/>
    </row>
    <row r="183" spans="1:28" ht="15.75" hidden="1" customHeight="1">
      <c r="A183" s="253">
        <v>44791</v>
      </c>
      <c r="B183" s="224" t="s">
        <v>332</v>
      </c>
      <c r="C183" s="316">
        <v>4</v>
      </c>
      <c r="D183" s="316"/>
      <c r="E183" s="224" t="s">
        <v>9695</v>
      </c>
      <c r="F183" s="224" t="s">
        <v>3</v>
      </c>
      <c r="G183" s="224" t="s">
        <v>725</v>
      </c>
      <c r="H183" s="224" t="s">
        <v>10528</v>
      </c>
      <c r="I183" s="224">
        <v>4</v>
      </c>
      <c r="J183" s="224" t="s">
        <v>488</v>
      </c>
      <c r="K183" s="224"/>
      <c r="L183" s="224">
        <v>4</v>
      </c>
      <c r="M183" s="224"/>
      <c r="N183" s="224"/>
      <c r="O183" s="224" t="s">
        <v>452</v>
      </c>
      <c r="P183" s="224" t="s">
        <v>9697</v>
      </c>
      <c r="Q183" s="224" t="s">
        <v>9698</v>
      </c>
      <c r="R183" s="224" t="s">
        <v>18</v>
      </c>
      <c r="S183" s="254"/>
      <c r="T183" s="254"/>
      <c r="U183" s="224"/>
      <c r="V183" s="224"/>
      <c r="W183" s="224"/>
      <c r="X183" s="224"/>
      <c r="Y183" s="224"/>
      <c r="Z183" s="224"/>
      <c r="AA183" s="224"/>
      <c r="AB183" s="224"/>
    </row>
    <row r="184" spans="1:28" ht="15.75" customHeight="1">
      <c r="A184" s="212">
        <v>44776</v>
      </c>
      <c r="B184" s="213" t="s">
        <v>75</v>
      </c>
      <c r="C184" s="215">
        <v>4</v>
      </c>
      <c r="D184" s="250" t="str">
        <f>IFERROR(VLOOKUP(B184,'2022-2023 Third Reviews'!$C:$S,9,FALSE),"")</f>
        <v/>
      </c>
      <c r="E184" s="213" t="s">
        <v>541</v>
      </c>
      <c r="F184" s="215" t="s">
        <v>5</v>
      </c>
      <c r="G184" s="213" t="s">
        <v>447</v>
      </c>
      <c r="H184" s="213" t="s">
        <v>542</v>
      </c>
      <c r="I184" s="213">
        <v>4.5</v>
      </c>
      <c r="J184" s="213" t="s">
        <v>543</v>
      </c>
      <c r="K184" s="213" t="s">
        <v>11780</v>
      </c>
      <c r="L184" s="213">
        <v>3.5</v>
      </c>
      <c r="M184" s="213" t="s">
        <v>545</v>
      </c>
      <c r="N184" s="213" t="s">
        <v>546</v>
      </c>
      <c r="O184" s="213" t="s">
        <v>452</v>
      </c>
      <c r="P184" s="213" t="s">
        <v>11433</v>
      </c>
      <c r="Q184" s="213"/>
      <c r="R184" s="213" t="s">
        <v>18</v>
      </c>
      <c r="S184" s="213">
        <f t="array" ref="S184">INDEX(Notes!C:C,MATCH($B184,Notes!$A:$A,0))</f>
        <v>0</v>
      </c>
      <c r="T184" s="213" t="s">
        <v>11781</v>
      </c>
      <c r="U184" s="218"/>
      <c r="V184" s="218"/>
      <c r="W184" s="218"/>
      <c r="X184" s="219"/>
      <c r="Y184" s="219"/>
      <c r="Z184" s="219"/>
      <c r="AA184" s="219"/>
      <c r="AB184" s="219"/>
    </row>
    <row r="185" spans="1:28" ht="15.75" customHeight="1">
      <c r="A185" s="257">
        <v>44791</v>
      </c>
      <c r="B185" s="258" t="s">
        <v>93</v>
      </c>
      <c r="C185" s="258">
        <v>4</v>
      </c>
      <c r="D185" s="250" t="str">
        <f>IFERROR(VLOOKUP(B185,'2022-2023 Third Reviews'!$C:$S,9,FALSE),"")</f>
        <v/>
      </c>
      <c r="E185" s="258" t="s">
        <v>674</v>
      </c>
      <c r="F185" s="258" t="s">
        <v>5</v>
      </c>
      <c r="G185" s="258" t="s">
        <v>447</v>
      </c>
      <c r="H185" s="258" t="s">
        <v>11280</v>
      </c>
      <c r="I185" s="258">
        <v>4</v>
      </c>
      <c r="J185" s="258" t="s">
        <v>449</v>
      </c>
      <c r="K185" s="258" t="s">
        <v>11662</v>
      </c>
      <c r="L185" s="258">
        <v>4</v>
      </c>
      <c r="M185" s="258" t="s">
        <v>677</v>
      </c>
      <c r="N185" s="258" t="s">
        <v>678</v>
      </c>
      <c r="O185" s="258" t="s">
        <v>452</v>
      </c>
      <c r="P185" s="258" t="s">
        <v>679</v>
      </c>
      <c r="Q185" s="258"/>
      <c r="R185" s="258" t="s">
        <v>18</v>
      </c>
      <c r="S185" s="258" t="s">
        <v>11663</v>
      </c>
      <c r="T185" s="258" t="s">
        <v>11781</v>
      </c>
      <c r="U185" s="258"/>
      <c r="V185" s="258"/>
      <c r="W185" s="258"/>
      <c r="X185" s="258"/>
      <c r="Y185" s="258"/>
      <c r="Z185" s="258"/>
      <c r="AA185" s="258"/>
      <c r="AB185" s="258"/>
    </row>
    <row r="186" spans="1:28" ht="15.75" hidden="1" customHeight="1">
      <c r="A186" s="248">
        <v>44791</v>
      </c>
      <c r="B186" s="219" t="s">
        <v>408</v>
      </c>
      <c r="C186" s="315">
        <v>4</v>
      </c>
      <c r="D186" s="315"/>
      <c r="E186" s="219" t="s">
        <v>1881</v>
      </c>
      <c r="F186" s="219" t="s">
        <v>3</v>
      </c>
      <c r="G186" s="219" t="s">
        <v>460</v>
      </c>
      <c r="H186" s="219" t="s">
        <v>1882</v>
      </c>
      <c r="I186" s="219">
        <v>4</v>
      </c>
      <c r="J186" s="219" t="s">
        <v>462</v>
      </c>
      <c r="K186" s="219" t="s">
        <v>1883</v>
      </c>
      <c r="L186" s="219">
        <v>4</v>
      </c>
      <c r="M186" s="219"/>
      <c r="N186" s="219"/>
      <c r="O186" s="219" t="s">
        <v>452</v>
      </c>
      <c r="P186" s="219" t="s">
        <v>1884</v>
      </c>
      <c r="Q186" s="219" t="s">
        <v>1885</v>
      </c>
      <c r="R186" s="219" t="s">
        <v>18</v>
      </c>
      <c r="S186" s="251"/>
      <c r="T186" s="251"/>
      <c r="U186" s="219"/>
      <c r="V186" s="219"/>
      <c r="W186" s="219"/>
      <c r="X186" s="219"/>
      <c r="Y186" s="219"/>
      <c r="Z186" s="219"/>
      <c r="AA186" s="219"/>
      <c r="AB186" s="219"/>
    </row>
    <row r="187" spans="1:28" ht="15.75" hidden="1" customHeight="1">
      <c r="A187" s="253">
        <v>44791</v>
      </c>
      <c r="B187" s="224" t="s">
        <v>176</v>
      </c>
      <c r="C187" s="316">
        <v>4</v>
      </c>
      <c r="D187" s="316"/>
      <c r="E187" s="224" t="s">
        <v>1135</v>
      </c>
      <c r="F187" s="224" t="s">
        <v>4</v>
      </c>
      <c r="G187" s="224" t="s">
        <v>602</v>
      </c>
      <c r="H187" s="224" t="s">
        <v>1136</v>
      </c>
      <c r="I187" s="224">
        <v>4</v>
      </c>
      <c r="J187" s="224" t="s">
        <v>604</v>
      </c>
      <c r="K187" s="224" t="s">
        <v>11040</v>
      </c>
      <c r="L187" s="224">
        <v>4</v>
      </c>
      <c r="M187" s="224" t="s">
        <v>451</v>
      </c>
      <c r="N187" s="311">
        <v>1500000</v>
      </c>
      <c r="O187" s="224" t="s">
        <v>452</v>
      </c>
      <c r="P187" s="224" t="s">
        <v>11041</v>
      </c>
      <c r="Q187" s="224"/>
      <c r="R187" s="224" t="s">
        <v>18</v>
      </c>
      <c r="S187" s="254"/>
      <c r="T187" s="254"/>
      <c r="U187" s="224"/>
      <c r="V187" s="224"/>
      <c r="W187" s="224"/>
      <c r="X187" s="224"/>
      <c r="Y187" s="224"/>
      <c r="Z187" s="224"/>
      <c r="AA187" s="224"/>
      <c r="AB187" s="224"/>
    </row>
    <row r="188" spans="1:28" ht="15.75" hidden="1" customHeight="1">
      <c r="A188" s="255">
        <v>44791</v>
      </c>
      <c r="B188" s="239" t="s">
        <v>245</v>
      </c>
      <c r="C188" s="262">
        <v>4</v>
      </c>
      <c r="D188" s="262"/>
      <c r="E188" s="239" t="s">
        <v>1428</v>
      </c>
      <c r="F188" s="239" t="s">
        <v>4</v>
      </c>
      <c r="G188" s="239" t="s">
        <v>447</v>
      </c>
      <c r="H188" s="319" t="s">
        <v>13197</v>
      </c>
      <c r="I188" s="239">
        <v>4</v>
      </c>
      <c r="J188" s="239" t="s">
        <v>449</v>
      </c>
      <c r="K188" s="239" t="s">
        <v>11655</v>
      </c>
      <c r="L188" s="239">
        <v>4</v>
      </c>
      <c r="M188" s="239"/>
      <c r="N188" s="239"/>
      <c r="O188" s="239" t="s">
        <v>465</v>
      </c>
      <c r="P188" s="239" t="s">
        <v>1431</v>
      </c>
      <c r="Q188" s="239"/>
      <c r="R188" s="239" t="s">
        <v>19</v>
      </c>
      <c r="S188" s="256" t="s">
        <v>11656</v>
      </c>
      <c r="T188" s="256"/>
      <c r="U188" s="239"/>
      <c r="V188" s="239"/>
      <c r="W188" s="239"/>
      <c r="X188" s="239"/>
      <c r="Y188" s="239"/>
      <c r="Z188" s="239"/>
      <c r="AA188" s="239"/>
      <c r="AB188" s="239"/>
    </row>
    <row r="189" spans="1:28" ht="15.75" customHeight="1">
      <c r="A189" s="257">
        <v>44782</v>
      </c>
      <c r="B189" s="258" t="s">
        <v>70</v>
      </c>
      <c r="C189" s="250">
        <v>4</v>
      </c>
      <c r="D189" s="250" t="str">
        <f ca="1">IFERROR(VLOOKUP(B189,'2022-2023 Third Reviews'!$C:$S,9,FALSE),"")</f>
        <v>Nick Schmandt
4</v>
      </c>
      <c r="E189" s="258" t="s">
        <v>2247</v>
      </c>
      <c r="F189" s="250" t="s">
        <v>5</v>
      </c>
      <c r="G189" s="258" t="s">
        <v>460</v>
      </c>
      <c r="H189" s="258" t="s">
        <v>2248</v>
      </c>
      <c r="I189" s="258">
        <v>4</v>
      </c>
      <c r="J189" s="258" t="s">
        <v>941</v>
      </c>
      <c r="K189" s="258"/>
      <c r="L189" s="258">
        <v>4</v>
      </c>
      <c r="M189" s="258"/>
      <c r="N189" s="258"/>
      <c r="O189" s="258" t="s">
        <v>452</v>
      </c>
      <c r="P189" s="258" t="s">
        <v>2249</v>
      </c>
      <c r="Q189" s="258"/>
      <c r="R189" s="480" t="s">
        <v>24</v>
      </c>
      <c r="S189" s="258" t="s">
        <v>2250</v>
      </c>
      <c r="T189" s="258" t="s">
        <v>11772</v>
      </c>
      <c r="U189" s="258"/>
      <c r="V189" s="258"/>
      <c r="W189" s="258"/>
      <c r="X189" s="258"/>
      <c r="Y189" s="258"/>
      <c r="Z189" s="258"/>
      <c r="AA189" s="258"/>
      <c r="AB189" s="258"/>
    </row>
    <row r="190" spans="1:28" ht="15.75" hidden="1" customHeight="1">
      <c r="A190" s="248">
        <v>44791</v>
      </c>
      <c r="B190" s="219" t="s">
        <v>222</v>
      </c>
      <c r="C190" s="315">
        <v>4</v>
      </c>
      <c r="D190" s="315"/>
      <c r="E190" s="219" t="s">
        <v>3922</v>
      </c>
      <c r="F190" s="219" t="s">
        <v>4</v>
      </c>
      <c r="G190" s="219" t="s">
        <v>727</v>
      </c>
      <c r="H190" s="219" t="s">
        <v>11397</v>
      </c>
      <c r="I190" s="219">
        <v>4</v>
      </c>
      <c r="J190" s="219" t="s">
        <v>1237</v>
      </c>
      <c r="K190" s="219"/>
      <c r="L190" s="219">
        <v>4</v>
      </c>
      <c r="M190" s="219" t="s">
        <v>451</v>
      </c>
      <c r="N190" s="219">
        <v>1500000</v>
      </c>
      <c r="O190" s="219" t="s">
        <v>452</v>
      </c>
      <c r="P190" s="219" t="s">
        <v>3924</v>
      </c>
      <c r="Q190" s="219"/>
      <c r="R190" s="219" t="s">
        <v>18</v>
      </c>
      <c r="S190" s="251"/>
      <c r="T190" s="251"/>
      <c r="U190" s="219"/>
      <c r="V190" s="219"/>
      <c r="W190" s="219"/>
      <c r="X190" s="219"/>
      <c r="Y190" s="219"/>
      <c r="Z190" s="219"/>
      <c r="AA190" s="219"/>
      <c r="AB190" s="219"/>
    </row>
    <row r="191" spans="1:28" ht="15.75" hidden="1" customHeight="1">
      <c r="A191" s="257">
        <v>44791</v>
      </c>
      <c r="B191" s="258" t="s">
        <v>196</v>
      </c>
      <c r="C191" s="263">
        <v>4</v>
      </c>
      <c r="D191" s="263"/>
      <c r="E191" s="258" t="s">
        <v>3786</v>
      </c>
      <c r="F191" s="258" t="s">
        <v>4</v>
      </c>
      <c r="G191" s="258" t="s">
        <v>727</v>
      </c>
      <c r="H191" s="258" t="s">
        <v>10497</v>
      </c>
      <c r="I191" s="258">
        <v>4</v>
      </c>
      <c r="J191" s="258" t="s">
        <v>1073</v>
      </c>
      <c r="K191" s="258"/>
      <c r="L191" s="258">
        <v>4</v>
      </c>
      <c r="M191" s="258"/>
      <c r="N191" s="258"/>
      <c r="O191" s="258" t="s">
        <v>465</v>
      </c>
      <c r="P191" s="258" t="s">
        <v>10498</v>
      </c>
      <c r="Q191" s="258"/>
      <c r="R191" s="258" t="s">
        <v>20</v>
      </c>
      <c r="S191" s="259" t="s">
        <v>3789</v>
      </c>
      <c r="T191" s="259"/>
      <c r="U191" s="258"/>
      <c r="V191" s="258"/>
      <c r="W191" s="258"/>
      <c r="X191" s="258"/>
      <c r="Y191" s="258"/>
      <c r="Z191" s="258"/>
      <c r="AA191" s="258"/>
      <c r="AB191" s="258"/>
    </row>
    <row r="192" spans="1:28" ht="15.75" customHeight="1">
      <c r="A192" s="498">
        <v>44784</v>
      </c>
      <c r="B192" s="348" t="s">
        <v>67</v>
      </c>
      <c r="C192" s="348">
        <v>4</v>
      </c>
      <c r="D192" s="250" t="str">
        <f ca="1">IFERROR(VLOOKUP(B192,'2022-2023 Third Reviews'!$C:$S,9,FALSE),"")</f>
        <v>Jason Yu
5</v>
      </c>
      <c r="E192" s="348" t="s">
        <v>487</v>
      </c>
      <c r="F192" s="348" t="s">
        <v>5</v>
      </c>
      <c r="G192" s="348" t="s">
        <v>488</v>
      </c>
      <c r="H192" s="348" t="s">
        <v>489</v>
      </c>
      <c r="I192" s="348">
        <v>4</v>
      </c>
      <c r="J192" s="348" t="s">
        <v>462</v>
      </c>
      <c r="K192" s="348" t="s">
        <v>490</v>
      </c>
      <c r="L192" s="348">
        <v>4</v>
      </c>
      <c r="M192" s="348"/>
      <c r="N192" s="348"/>
      <c r="O192" s="348" t="s">
        <v>452</v>
      </c>
      <c r="P192" s="348" t="s">
        <v>10993</v>
      </c>
      <c r="Q192" s="348"/>
      <c r="R192" s="480" t="s">
        <v>24</v>
      </c>
      <c r="S192" s="348" t="s">
        <v>492</v>
      </c>
      <c r="T192" s="348" t="s">
        <v>11772</v>
      </c>
      <c r="U192" s="348"/>
      <c r="V192" s="348"/>
      <c r="W192" s="348"/>
      <c r="X192" s="348"/>
      <c r="Y192" s="348"/>
      <c r="Z192" s="343"/>
      <c r="AA192" s="343"/>
      <c r="AB192" s="343"/>
    </row>
    <row r="193" spans="1:28" ht="15.75" hidden="1" customHeight="1">
      <c r="A193" s="257">
        <v>44791</v>
      </c>
      <c r="B193" s="258" t="s">
        <v>401</v>
      </c>
      <c r="C193" s="263">
        <v>4</v>
      </c>
      <c r="D193" s="263"/>
      <c r="E193" s="258" t="s">
        <v>10115</v>
      </c>
      <c r="F193" s="258" t="s">
        <v>3</v>
      </c>
      <c r="G193" s="258" t="s">
        <v>488</v>
      </c>
      <c r="H193" s="258" t="s">
        <v>10116</v>
      </c>
      <c r="I193" s="258">
        <v>4</v>
      </c>
      <c r="J193" s="258" t="s">
        <v>462</v>
      </c>
      <c r="K193" s="258" t="s">
        <v>10994</v>
      </c>
      <c r="L193" s="258">
        <v>4</v>
      </c>
      <c r="M193" s="258" t="s">
        <v>451</v>
      </c>
      <c r="N193" s="309">
        <v>3000000</v>
      </c>
      <c r="O193" s="258" t="s">
        <v>465</v>
      </c>
      <c r="P193" s="258" t="s">
        <v>10118</v>
      </c>
      <c r="Q193" s="258"/>
      <c r="R193" s="258" t="s">
        <v>20</v>
      </c>
      <c r="S193" s="259" t="s">
        <v>10119</v>
      </c>
      <c r="T193" s="259"/>
      <c r="U193" s="258"/>
      <c r="V193" s="258"/>
      <c r="W193" s="258"/>
      <c r="X193" s="258"/>
      <c r="Y193" s="258"/>
      <c r="Z193" s="258"/>
      <c r="AA193" s="258"/>
      <c r="AB193" s="258"/>
    </row>
    <row r="194" spans="1:28" ht="15.75" hidden="1" customHeight="1">
      <c r="A194" s="255">
        <v>44791</v>
      </c>
      <c r="B194" s="239" t="s">
        <v>246</v>
      </c>
      <c r="C194" s="262">
        <v>4</v>
      </c>
      <c r="D194" s="262"/>
      <c r="E194" s="239" t="s">
        <v>1437</v>
      </c>
      <c r="F194" s="239" t="s">
        <v>4</v>
      </c>
      <c r="G194" s="239" t="s">
        <v>460</v>
      </c>
      <c r="H194" s="239" t="s">
        <v>1438</v>
      </c>
      <c r="I194" s="239">
        <v>4</v>
      </c>
      <c r="J194" s="239" t="s">
        <v>462</v>
      </c>
      <c r="K194" s="239" t="s">
        <v>1439</v>
      </c>
      <c r="L194" s="239">
        <v>4</v>
      </c>
      <c r="M194" s="239" t="s">
        <v>451</v>
      </c>
      <c r="N194" s="239">
        <v>2000000</v>
      </c>
      <c r="O194" s="239" t="s">
        <v>452</v>
      </c>
      <c r="P194" s="239" t="s">
        <v>1440</v>
      </c>
      <c r="Q194" s="239"/>
      <c r="R194" s="239" t="s">
        <v>18</v>
      </c>
      <c r="S194" s="256" t="s">
        <v>11659</v>
      </c>
      <c r="T194" s="256"/>
      <c r="U194" s="239"/>
      <c r="V194" s="239"/>
      <c r="W194" s="239"/>
      <c r="X194" s="239"/>
      <c r="Y194" s="239"/>
      <c r="Z194" s="239"/>
      <c r="AA194" s="239"/>
      <c r="AB194" s="239"/>
    </row>
    <row r="195" spans="1:28" ht="15.75" hidden="1" customHeight="1">
      <c r="A195" s="253">
        <v>44791</v>
      </c>
      <c r="B195" s="224" t="s">
        <v>243</v>
      </c>
      <c r="C195" s="316">
        <v>4</v>
      </c>
      <c r="D195" s="316"/>
      <c r="E195" s="224" t="s">
        <v>4028</v>
      </c>
      <c r="F195" s="224" t="s">
        <v>4</v>
      </c>
      <c r="G195" s="224" t="s">
        <v>602</v>
      </c>
      <c r="H195" s="224" t="s">
        <v>4029</v>
      </c>
      <c r="I195" s="224">
        <v>4</v>
      </c>
      <c r="J195" s="224" t="s">
        <v>476</v>
      </c>
      <c r="K195" s="224" t="s">
        <v>11660</v>
      </c>
      <c r="L195" s="224">
        <v>4</v>
      </c>
      <c r="M195" s="224"/>
      <c r="N195" s="307"/>
      <c r="O195" s="224" t="s">
        <v>452</v>
      </c>
      <c r="P195" s="224" t="s">
        <v>4031</v>
      </c>
      <c r="Q195" s="224"/>
      <c r="R195" s="224" t="s">
        <v>18</v>
      </c>
      <c r="S195" s="254"/>
      <c r="T195" s="254"/>
      <c r="U195" s="224"/>
      <c r="V195" s="224"/>
      <c r="W195" s="224"/>
      <c r="X195" s="224"/>
      <c r="Y195" s="224"/>
      <c r="Z195" s="224"/>
      <c r="AA195" s="224"/>
      <c r="AB195" s="224"/>
    </row>
    <row r="196" spans="1:28" ht="15.75" customHeight="1">
      <c r="A196" s="227">
        <v>44776</v>
      </c>
      <c r="B196" s="228" t="s">
        <v>376</v>
      </c>
      <c r="C196" s="215">
        <v>4</v>
      </c>
      <c r="D196" s="250" t="str">
        <f ca="1">IFERROR(VLOOKUP(B196,'2022-2023 Third Reviews'!$C:$S,9,FALSE),"")</f>
        <v>Nick Schmandt
2</v>
      </c>
      <c r="E196" s="228" t="s">
        <v>10019</v>
      </c>
      <c r="F196" s="215" t="s">
        <v>5</v>
      </c>
      <c r="G196" s="228" t="s">
        <v>447</v>
      </c>
      <c r="H196" s="228" t="s">
        <v>10020</v>
      </c>
      <c r="I196" s="228">
        <v>4</v>
      </c>
      <c r="J196" s="228" t="s">
        <v>543</v>
      </c>
      <c r="K196" s="228" t="s">
        <v>11864</v>
      </c>
      <c r="L196" s="228">
        <v>4</v>
      </c>
      <c r="M196" s="228" t="s">
        <v>784</v>
      </c>
      <c r="N196" s="228">
        <v>500000</v>
      </c>
      <c r="O196" s="228" t="s">
        <v>452</v>
      </c>
      <c r="P196" s="228" t="s">
        <v>452</v>
      </c>
      <c r="Q196" s="228" t="s">
        <v>10022</v>
      </c>
      <c r="R196" s="228" t="s">
        <v>18</v>
      </c>
      <c r="S196" s="228" t="str">
        <f t="array" ref="S196">INDEX(Notes!C:C,MATCH($B196,Notes!$A:$A,0))</f>
        <v>Move to dit khoa will f/u with ads</v>
      </c>
      <c r="T196" s="228" t="s">
        <v>11865</v>
      </c>
      <c r="U196" s="228"/>
      <c r="V196" s="228"/>
      <c r="W196" s="228"/>
      <c r="X196" s="219"/>
      <c r="Y196" s="219"/>
      <c r="Z196" s="219"/>
      <c r="AA196" s="219"/>
      <c r="AB196" s="219"/>
    </row>
    <row r="197" spans="1:28" ht="15.75" customHeight="1">
      <c r="A197" s="253">
        <v>44791</v>
      </c>
      <c r="B197" s="224" t="s">
        <v>133</v>
      </c>
      <c r="C197" s="224">
        <v>4.75</v>
      </c>
      <c r="D197" s="250" t="str">
        <f>IFERROR(VLOOKUP(B197,'2022-2023 Third Reviews'!$C:$S,9,FALSE),"")</f>
        <v/>
      </c>
      <c r="E197" s="224" t="s">
        <v>939</v>
      </c>
      <c r="F197" s="224" t="s">
        <v>5</v>
      </c>
      <c r="G197" s="224" t="s">
        <v>460</v>
      </c>
      <c r="H197" s="224" t="s">
        <v>11641</v>
      </c>
      <c r="I197" s="224">
        <v>4.5</v>
      </c>
      <c r="J197" s="224" t="s">
        <v>941</v>
      </c>
      <c r="K197" s="224" t="s">
        <v>11827</v>
      </c>
      <c r="L197" s="224">
        <v>5</v>
      </c>
      <c r="M197" s="224" t="s">
        <v>923</v>
      </c>
      <c r="N197" s="224" t="s">
        <v>943</v>
      </c>
      <c r="O197" s="224" t="s">
        <v>454</v>
      </c>
      <c r="P197" s="224" t="s">
        <v>11038</v>
      </c>
      <c r="Q197" s="224" t="s">
        <v>945</v>
      </c>
      <c r="R197" s="224" t="s">
        <v>18</v>
      </c>
      <c r="S197" s="224" t="s">
        <v>946</v>
      </c>
      <c r="T197" s="224" t="s">
        <v>11788</v>
      </c>
      <c r="U197" s="224"/>
      <c r="V197" s="224"/>
      <c r="W197" s="224"/>
      <c r="X197" s="224"/>
      <c r="Y197" s="224"/>
      <c r="Z197" s="224"/>
      <c r="AA197" s="224"/>
      <c r="AB197" s="224"/>
    </row>
    <row r="198" spans="1:28" ht="15.75" hidden="1" customHeight="1">
      <c r="A198" s="248">
        <v>44796</v>
      </c>
      <c r="B198" s="219" t="s">
        <v>205</v>
      </c>
      <c r="C198" s="315">
        <v>4</v>
      </c>
      <c r="D198" s="315"/>
      <c r="E198" s="219" t="s">
        <v>3828</v>
      </c>
      <c r="F198" s="219" t="s">
        <v>4</v>
      </c>
      <c r="G198" s="219" t="s">
        <v>1045</v>
      </c>
      <c r="H198" s="219" t="s">
        <v>3829</v>
      </c>
      <c r="I198" s="219">
        <v>4</v>
      </c>
      <c r="J198" s="219" t="s">
        <v>604</v>
      </c>
      <c r="K198" s="219" t="s">
        <v>10180</v>
      </c>
      <c r="L198" s="219">
        <v>4</v>
      </c>
      <c r="M198" s="219"/>
      <c r="N198" s="219"/>
      <c r="O198" s="219" t="s">
        <v>452</v>
      </c>
      <c r="P198" s="219" t="s">
        <v>10181</v>
      </c>
      <c r="Q198" s="219" t="s">
        <v>3832</v>
      </c>
      <c r="R198" s="219" t="s">
        <v>18</v>
      </c>
      <c r="S198" s="251"/>
      <c r="T198" s="251"/>
      <c r="U198" s="219"/>
      <c r="V198" s="219"/>
      <c r="W198" s="219"/>
      <c r="X198" s="219"/>
      <c r="Y198" s="219"/>
      <c r="Z198" s="219"/>
      <c r="AA198" s="219"/>
      <c r="AB198" s="219"/>
    </row>
    <row r="199" spans="1:28" ht="15.75" hidden="1" customHeight="1">
      <c r="A199" s="253">
        <v>44796</v>
      </c>
      <c r="B199" s="224" t="s">
        <v>252</v>
      </c>
      <c r="C199" s="316">
        <v>4</v>
      </c>
      <c r="D199" s="316"/>
      <c r="E199" s="224" t="s">
        <v>1464</v>
      </c>
      <c r="F199" s="224" t="s">
        <v>4</v>
      </c>
      <c r="G199" s="224" t="s">
        <v>1045</v>
      </c>
      <c r="H199" s="224" t="s">
        <v>1465</v>
      </c>
      <c r="I199" s="224">
        <v>4</v>
      </c>
      <c r="J199" s="224" t="s">
        <v>1457</v>
      </c>
      <c r="K199" s="224" t="s">
        <v>1466</v>
      </c>
      <c r="L199" s="224">
        <v>4</v>
      </c>
      <c r="M199" s="224"/>
      <c r="N199" s="224"/>
      <c r="O199" s="224" t="s">
        <v>454</v>
      </c>
      <c r="P199" s="224" t="s">
        <v>1119</v>
      </c>
      <c r="Q199" s="224"/>
      <c r="R199" s="224" t="s">
        <v>18</v>
      </c>
      <c r="S199" s="254"/>
      <c r="T199" s="254"/>
      <c r="U199" s="224"/>
      <c r="V199" s="224"/>
      <c r="W199" s="224"/>
      <c r="X199" s="224"/>
      <c r="Y199" s="224"/>
      <c r="Z199" s="224"/>
      <c r="AA199" s="224"/>
      <c r="AB199" s="224"/>
    </row>
    <row r="200" spans="1:28" ht="15.75" hidden="1" customHeight="1">
      <c r="A200" s="248">
        <v>44796</v>
      </c>
      <c r="B200" s="219" t="s">
        <v>265</v>
      </c>
      <c r="C200" s="315">
        <v>4</v>
      </c>
      <c r="D200" s="315"/>
      <c r="E200" s="219" t="s">
        <v>4125</v>
      </c>
      <c r="F200" s="219" t="s">
        <v>4</v>
      </c>
      <c r="G200" s="219" t="s">
        <v>725</v>
      </c>
      <c r="H200" s="219" t="s">
        <v>10266</v>
      </c>
      <c r="I200" s="219">
        <v>4</v>
      </c>
      <c r="J200" s="219" t="s">
        <v>1045</v>
      </c>
      <c r="K200" s="219" t="s">
        <v>4127</v>
      </c>
      <c r="L200" s="219">
        <v>4</v>
      </c>
      <c r="M200" s="219" t="s">
        <v>451</v>
      </c>
      <c r="N200" s="219" t="s">
        <v>4128</v>
      </c>
      <c r="O200" s="219" t="s">
        <v>454</v>
      </c>
      <c r="P200" s="219" t="s">
        <v>4129</v>
      </c>
      <c r="Q200" s="219" t="s">
        <v>727</v>
      </c>
      <c r="R200" s="219" t="s">
        <v>18</v>
      </c>
      <c r="S200" s="251"/>
      <c r="T200" s="251"/>
      <c r="U200" s="219"/>
      <c r="V200" s="219"/>
      <c r="W200" s="219"/>
      <c r="X200" s="219"/>
      <c r="Y200" s="219"/>
      <c r="Z200" s="219"/>
      <c r="AA200" s="219"/>
      <c r="AB200" s="219"/>
    </row>
    <row r="201" spans="1:28" ht="15.75" hidden="1" customHeight="1">
      <c r="A201" s="253">
        <v>44796</v>
      </c>
      <c r="B201" s="224" t="s">
        <v>229</v>
      </c>
      <c r="C201" s="316">
        <v>4</v>
      </c>
      <c r="D201" s="316"/>
      <c r="E201" s="224" t="s">
        <v>10405</v>
      </c>
      <c r="F201" s="224" t="s">
        <v>4</v>
      </c>
      <c r="G201" s="224" t="s">
        <v>1045</v>
      </c>
      <c r="H201" s="224" t="s">
        <v>3955</v>
      </c>
      <c r="I201" s="224">
        <v>4</v>
      </c>
      <c r="J201" s="224" t="s">
        <v>1298</v>
      </c>
      <c r="K201" s="224" t="s">
        <v>3956</v>
      </c>
      <c r="L201" s="224">
        <v>4</v>
      </c>
      <c r="M201" s="224" t="s">
        <v>451</v>
      </c>
      <c r="N201" s="330">
        <v>2000000</v>
      </c>
      <c r="O201" s="224" t="s">
        <v>454</v>
      </c>
      <c r="P201" s="224" t="s">
        <v>452</v>
      </c>
      <c r="Q201" s="224" t="s">
        <v>3957</v>
      </c>
      <c r="R201" s="224" t="s">
        <v>18</v>
      </c>
      <c r="S201" s="254"/>
      <c r="T201" s="254"/>
      <c r="U201" s="224"/>
      <c r="V201" s="224"/>
      <c r="W201" s="224"/>
      <c r="X201" s="224"/>
      <c r="Y201" s="224"/>
      <c r="Z201" s="224"/>
      <c r="AA201" s="224"/>
      <c r="AB201" s="224"/>
    </row>
    <row r="202" spans="1:28" ht="15.75" hidden="1" customHeight="1">
      <c r="A202" s="248">
        <v>44796</v>
      </c>
      <c r="B202" s="219" t="s">
        <v>225</v>
      </c>
      <c r="C202" s="315">
        <v>4</v>
      </c>
      <c r="D202" s="315"/>
      <c r="E202" s="219" t="s">
        <v>3929</v>
      </c>
      <c r="F202" s="219" t="s">
        <v>4</v>
      </c>
      <c r="G202" s="219" t="s">
        <v>1045</v>
      </c>
      <c r="H202" s="219" t="s">
        <v>3930</v>
      </c>
      <c r="I202" s="219">
        <v>4</v>
      </c>
      <c r="J202" s="219" t="s">
        <v>1281</v>
      </c>
      <c r="K202" s="219" t="s">
        <v>3931</v>
      </c>
      <c r="L202" s="219">
        <v>4</v>
      </c>
      <c r="M202" s="219" t="s">
        <v>478</v>
      </c>
      <c r="N202" s="310">
        <v>11000000</v>
      </c>
      <c r="O202" s="219" t="s">
        <v>465</v>
      </c>
      <c r="P202" s="219" t="s">
        <v>10477</v>
      </c>
      <c r="Q202" s="219"/>
      <c r="R202" s="219" t="s">
        <v>18</v>
      </c>
      <c r="S202" s="251"/>
      <c r="T202" s="251"/>
      <c r="U202" s="219"/>
      <c r="V202" s="219"/>
      <c r="W202" s="219"/>
      <c r="X202" s="219"/>
      <c r="Y202" s="219"/>
      <c r="Z202" s="219"/>
      <c r="AA202" s="219"/>
      <c r="AB202" s="219"/>
    </row>
    <row r="203" spans="1:28" ht="15.75" hidden="1" customHeight="1">
      <c r="A203" s="253">
        <v>44796</v>
      </c>
      <c r="B203" s="224" t="s">
        <v>177</v>
      </c>
      <c r="C203" s="316">
        <v>4</v>
      </c>
      <c r="D203" s="316"/>
      <c r="E203" s="224" t="s">
        <v>3701</v>
      </c>
      <c r="F203" s="224" t="s">
        <v>4</v>
      </c>
      <c r="G203" s="224" t="s">
        <v>727</v>
      </c>
      <c r="H203" s="224" t="s">
        <v>10488</v>
      </c>
      <c r="I203" s="224">
        <v>4</v>
      </c>
      <c r="J203" s="224" t="s">
        <v>990</v>
      </c>
      <c r="K203" s="224" t="s">
        <v>3703</v>
      </c>
      <c r="L203" s="224">
        <v>4</v>
      </c>
      <c r="M203" s="224" t="s">
        <v>451</v>
      </c>
      <c r="N203" s="224" t="s">
        <v>3704</v>
      </c>
      <c r="O203" s="224" t="s">
        <v>452</v>
      </c>
      <c r="P203" s="224" t="s">
        <v>3705</v>
      </c>
      <c r="Q203" s="224"/>
      <c r="R203" s="224" t="s">
        <v>18</v>
      </c>
      <c r="S203" s="254"/>
      <c r="T203" s="254"/>
      <c r="U203" s="224"/>
      <c r="V203" s="224"/>
      <c r="W203" s="224"/>
      <c r="X203" s="224"/>
      <c r="Y203" s="224"/>
      <c r="Z203" s="224"/>
      <c r="AA203" s="224"/>
      <c r="AB203" s="224"/>
    </row>
    <row r="204" spans="1:28" ht="15.75" hidden="1" customHeight="1">
      <c r="A204" s="248">
        <v>44796</v>
      </c>
      <c r="B204" s="219" t="s">
        <v>214</v>
      </c>
      <c r="C204" s="315">
        <v>4</v>
      </c>
      <c r="D204" s="315"/>
      <c r="E204" s="219" t="s">
        <v>3875</v>
      </c>
      <c r="F204" s="219" t="s">
        <v>4</v>
      </c>
      <c r="G204" s="219" t="s">
        <v>727</v>
      </c>
      <c r="H204" s="219" t="s">
        <v>10517</v>
      </c>
      <c r="I204" s="219">
        <v>4</v>
      </c>
      <c r="J204" s="219" t="s">
        <v>1187</v>
      </c>
      <c r="K204" s="219" t="s">
        <v>3877</v>
      </c>
      <c r="L204" s="219">
        <v>4</v>
      </c>
      <c r="M204" s="219" t="s">
        <v>923</v>
      </c>
      <c r="N204" s="219" t="s">
        <v>729</v>
      </c>
      <c r="O204" s="219" t="s">
        <v>452</v>
      </c>
      <c r="P204" s="219" t="s">
        <v>452</v>
      </c>
      <c r="Q204" s="219"/>
      <c r="R204" s="219" t="s">
        <v>18</v>
      </c>
      <c r="S204" s="251"/>
      <c r="T204" s="251"/>
      <c r="U204" s="219"/>
      <c r="V204" s="219"/>
      <c r="W204" s="219"/>
      <c r="X204" s="219"/>
      <c r="Y204" s="219"/>
      <c r="Z204" s="219"/>
      <c r="AA204" s="219"/>
      <c r="AB204" s="219"/>
    </row>
    <row r="205" spans="1:28" ht="15.75" hidden="1" customHeight="1">
      <c r="A205" s="253">
        <v>44796</v>
      </c>
      <c r="B205" s="224" t="s">
        <v>236</v>
      </c>
      <c r="C205" s="316">
        <v>4</v>
      </c>
      <c r="D205" s="316"/>
      <c r="E205" s="224" t="s">
        <v>10539</v>
      </c>
      <c r="F205" s="224" t="s">
        <v>4</v>
      </c>
      <c r="G205" s="224" t="s">
        <v>727</v>
      </c>
      <c r="H205" s="224" t="s">
        <v>10540</v>
      </c>
      <c r="I205" s="224">
        <v>4</v>
      </c>
      <c r="J205" s="224" t="s">
        <v>1371</v>
      </c>
      <c r="K205" s="224" t="s">
        <v>3997</v>
      </c>
      <c r="L205" s="224">
        <v>4</v>
      </c>
      <c r="M205" s="224"/>
      <c r="N205" s="224"/>
      <c r="O205" s="224" t="s">
        <v>452</v>
      </c>
      <c r="P205" s="224" t="s">
        <v>3998</v>
      </c>
      <c r="Q205" s="224"/>
      <c r="R205" s="224" t="s">
        <v>18</v>
      </c>
      <c r="S205" s="254"/>
      <c r="T205" s="254"/>
      <c r="U205" s="224"/>
      <c r="V205" s="224"/>
      <c r="W205" s="224"/>
      <c r="X205" s="224"/>
      <c r="Y205" s="224"/>
      <c r="Z205" s="224"/>
      <c r="AA205" s="224"/>
      <c r="AB205" s="224"/>
    </row>
    <row r="206" spans="1:28" ht="15.75" hidden="1" customHeight="1">
      <c r="A206" s="248">
        <v>44796</v>
      </c>
      <c r="B206" s="219" t="s">
        <v>398</v>
      </c>
      <c r="C206" s="315">
        <v>4</v>
      </c>
      <c r="D206" s="315"/>
      <c r="E206" s="219" t="s">
        <v>9963</v>
      </c>
      <c r="F206" s="219" t="s">
        <v>3</v>
      </c>
      <c r="G206" s="219" t="s">
        <v>460</v>
      </c>
      <c r="H206" s="219" t="s">
        <v>9964</v>
      </c>
      <c r="I206" s="219">
        <v>4</v>
      </c>
      <c r="J206" s="219" t="s">
        <v>462</v>
      </c>
      <c r="K206" s="219" t="s">
        <v>10556</v>
      </c>
      <c r="L206" s="219">
        <v>4</v>
      </c>
      <c r="M206" s="219" t="s">
        <v>451</v>
      </c>
      <c r="N206" s="219">
        <v>2000000</v>
      </c>
      <c r="O206" s="219" t="s">
        <v>452</v>
      </c>
      <c r="P206" s="219" t="s">
        <v>9966</v>
      </c>
      <c r="Q206" s="219"/>
      <c r="R206" s="219" t="s">
        <v>18</v>
      </c>
      <c r="S206" s="251"/>
      <c r="T206" s="251"/>
      <c r="U206" s="219"/>
      <c r="V206" s="219"/>
      <c r="W206" s="219"/>
      <c r="X206" s="219"/>
      <c r="Y206" s="219"/>
      <c r="Z206" s="219"/>
      <c r="AA206" s="219"/>
      <c r="AB206" s="219"/>
    </row>
    <row r="207" spans="1:28" ht="15.75" hidden="1" customHeight="1">
      <c r="A207" s="253">
        <v>44796</v>
      </c>
      <c r="B207" s="224" t="s">
        <v>351</v>
      </c>
      <c r="C207" s="316">
        <v>4</v>
      </c>
      <c r="D207" s="316"/>
      <c r="E207" s="224" t="s">
        <v>10567</v>
      </c>
      <c r="F207" s="224" t="s">
        <v>3</v>
      </c>
      <c r="G207" s="224" t="s">
        <v>460</v>
      </c>
      <c r="H207" s="224" t="s">
        <v>9732</v>
      </c>
      <c r="I207" s="224">
        <v>4</v>
      </c>
      <c r="J207" s="224" t="s">
        <v>462</v>
      </c>
      <c r="K207" s="224" t="s">
        <v>9733</v>
      </c>
      <c r="L207" s="224">
        <v>4</v>
      </c>
      <c r="M207" s="224"/>
      <c r="N207" s="224"/>
      <c r="O207" s="224" t="s">
        <v>465</v>
      </c>
      <c r="P207" s="224" t="s">
        <v>9734</v>
      </c>
      <c r="Q207" s="224"/>
      <c r="R207" s="224" t="s">
        <v>18</v>
      </c>
      <c r="S207" s="254"/>
      <c r="T207" s="254"/>
      <c r="U207" s="224"/>
      <c r="V207" s="224"/>
      <c r="W207" s="224"/>
      <c r="X207" s="224"/>
      <c r="Y207" s="224"/>
      <c r="Z207" s="224"/>
      <c r="AA207" s="224"/>
      <c r="AB207" s="224"/>
    </row>
    <row r="208" spans="1:28" ht="15.75" customHeight="1">
      <c r="A208" s="248">
        <v>44789</v>
      </c>
      <c r="B208" s="219" t="s">
        <v>105</v>
      </c>
      <c r="C208" s="250">
        <v>4</v>
      </c>
      <c r="D208" s="250" t="str">
        <f ca="1">IFERROR(VLOOKUP(B208,'2022-2023 Third Reviews'!$C:$S,9,FALSE),"")</f>
        <v>Ahmed Bahgat
4</v>
      </c>
      <c r="E208" s="219" t="s">
        <v>773</v>
      </c>
      <c r="F208" s="250" t="s">
        <v>5</v>
      </c>
      <c r="G208" s="219" t="s">
        <v>447</v>
      </c>
      <c r="H208" s="219" t="s">
        <v>10997</v>
      </c>
      <c r="I208" s="219">
        <v>4</v>
      </c>
      <c r="J208" s="219" t="s">
        <v>449</v>
      </c>
      <c r="K208" s="219" t="s">
        <v>11805</v>
      </c>
      <c r="L208" s="219">
        <v>4</v>
      </c>
      <c r="M208" s="219" t="s">
        <v>478</v>
      </c>
      <c r="N208" s="310">
        <v>20000000</v>
      </c>
      <c r="O208" s="219" t="s">
        <v>452</v>
      </c>
      <c r="P208" s="219" t="s">
        <v>776</v>
      </c>
      <c r="Q208" s="219"/>
      <c r="R208" s="219" t="s">
        <v>18</v>
      </c>
      <c r="S208" s="219"/>
      <c r="T208" s="219" t="s">
        <v>11806</v>
      </c>
      <c r="U208" s="252"/>
      <c r="V208" s="252"/>
      <c r="W208" s="252"/>
      <c r="X208" s="219"/>
      <c r="Y208" s="219"/>
      <c r="Z208" s="219"/>
      <c r="AA208" s="219"/>
      <c r="AB208" s="219"/>
    </row>
    <row r="209" spans="1:28" ht="15.75" hidden="1" customHeight="1">
      <c r="A209" s="253">
        <v>44796</v>
      </c>
      <c r="B209" s="224" t="s">
        <v>365</v>
      </c>
      <c r="C209" s="316">
        <v>4</v>
      </c>
      <c r="D209" s="316"/>
      <c r="E209" s="224" t="s">
        <v>9802</v>
      </c>
      <c r="F209" s="224" t="s">
        <v>3</v>
      </c>
      <c r="G209" s="224" t="s">
        <v>488</v>
      </c>
      <c r="H209" s="224" t="s">
        <v>9803</v>
      </c>
      <c r="I209" s="224">
        <v>4</v>
      </c>
      <c r="J209" s="224" t="s">
        <v>941</v>
      </c>
      <c r="K209" s="224" t="s">
        <v>9804</v>
      </c>
      <c r="L209" s="224">
        <v>4</v>
      </c>
      <c r="M209" s="224" t="s">
        <v>478</v>
      </c>
      <c r="N209" s="224">
        <v>12000000</v>
      </c>
      <c r="O209" s="224" t="s">
        <v>454</v>
      </c>
      <c r="P209" s="224" t="s">
        <v>575</v>
      </c>
      <c r="Q209" s="224"/>
      <c r="R209" s="224" t="s">
        <v>18</v>
      </c>
      <c r="S209" s="254"/>
      <c r="T209" s="254"/>
      <c r="U209" s="224"/>
      <c r="V209" s="224"/>
      <c r="W209" s="224"/>
      <c r="X209" s="224"/>
      <c r="Y209" s="224"/>
      <c r="Z209" s="224"/>
      <c r="AA209" s="224"/>
      <c r="AB209" s="224"/>
    </row>
    <row r="210" spans="1:28" ht="15.75" hidden="1" customHeight="1">
      <c r="A210" s="248">
        <v>44796</v>
      </c>
      <c r="B210" s="219" t="s">
        <v>204</v>
      </c>
      <c r="C210" s="315">
        <v>4</v>
      </c>
      <c r="D210" s="315"/>
      <c r="E210" s="219" t="s">
        <v>3819</v>
      </c>
      <c r="F210" s="219" t="s">
        <v>4</v>
      </c>
      <c r="G210" s="219" t="s">
        <v>725</v>
      </c>
      <c r="H210" s="219" t="s">
        <v>3820</v>
      </c>
      <c r="I210" s="219">
        <v>4</v>
      </c>
      <c r="J210" s="219" t="s">
        <v>604</v>
      </c>
      <c r="K210" s="219" t="s">
        <v>10768</v>
      </c>
      <c r="L210" s="219">
        <v>4</v>
      </c>
      <c r="M210" s="219" t="s">
        <v>3822</v>
      </c>
      <c r="N210" s="219">
        <v>1800000</v>
      </c>
      <c r="O210" s="219" t="s">
        <v>452</v>
      </c>
      <c r="P210" s="219" t="s">
        <v>3823</v>
      </c>
      <c r="Q210" s="219"/>
      <c r="R210" s="219" t="s">
        <v>18</v>
      </c>
      <c r="S210" s="251"/>
      <c r="T210" s="251"/>
      <c r="U210" s="219"/>
      <c r="V210" s="219"/>
      <c r="W210" s="219"/>
      <c r="X210" s="219"/>
      <c r="Y210" s="219"/>
      <c r="Z210" s="219"/>
      <c r="AA210" s="219"/>
      <c r="AB210" s="219"/>
    </row>
    <row r="211" spans="1:28" ht="15.75" hidden="1" customHeight="1">
      <c r="A211" s="253">
        <v>44796</v>
      </c>
      <c r="B211" s="224" t="s">
        <v>380</v>
      </c>
      <c r="C211" s="316">
        <v>4</v>
      </c>
      <c r="D211" s="316"/>
      <c r="E211" s="224" t="s">
        <v>9894</v>
      </c>
      <c r="F211" s="224" t="s">
        <v>3</v>
      </c>
      <c r="G211" s="224" t="s">
        <v>725</v>
      </c>
      <c r="H211" s="224" t="s">
        <v>10784</v>
      </c>
      <c r="I211" s="224">
        <v>4</v>
      </c>
      <c r="J211" s="224" t="s">
        <v>941</v>
      </c>
      <c r="K211" s="224" t="s">
        <v>9896</v>
      </c>
      <c r="L211" s="224">
        <v>4</v>
      </c>
      <c r="M211" s="224" t="s">
        <v>451</v>
      </c>
      <c r="N211" s="330">
        <v>1500000</v>
      </c>
      <c r="O211" s="224" t="s">
        <v>452</v>
      </c>
      <c r="P211" s="224" t="s">
        <v>452</v>
      </c>
      <c r="Q211" s="224"/>
      <c r="R211" s="224" t="s">
        <v>18</v>
      </c>
      <c r="S211" s="254"/>
      <c r="T211" s="254"/>
      <c r="U211" s="224"/>
      <c r="V211" s="224"/>
      <c r="W211" s="224"/>
      <c r="X211" s="224"/>
      <c r="Y211" s="224"/>
      <c r="Z211" s="224"/>
      <c r="AA211" s="224"/>
      <c r="AB211" s="224"/>
    </row>
    <row r="212" spans="1:28" ht="15.75" hidden="1" customHeight="1">
      <c r="A212" s="248">
        <v>44796</v>
      </c>
      <c r="B212" s="219" t="s">
        <v>412</v>
      </c>
      <c r="C212" s="315">
        <v>4</v>
      </c>
      <c r="D212" s="315"/>
      <c r="E212" s="219" t="s">
        <v>10149</v>
      </c>
      <c r="F212" s="219" t="s">
        <v>3</v>
      </c>
      <c r="G212" s="219" t="s">
        <v>725</v>
      </c>
      <c r="H212" s="219" t="s">
        <v>10798</v>
      </c>
      <c r="I212" s="219">
        <v>4</v>
      </c>
      <c r="J212" s="219" t="s">
        <v>941</v>
      </c>
      <c r="K212" s="219" t="s">
        <v>10151</v>
      </c>
      <c r="L212" s="219">
        <v>4</v>
      </c>
      <c r="M212" s="219" t="s">
        <v>478</v>
      </c>
      <c r="N212" s="219" t="s">
        <v>10152</v>
      </c>
      <c r="O212" s="219" t="s">
        <v>452</v>
      </c>
      <c r="P212" s="219" t="s">
        <v>10153</v>
      </c>
      <c r="Q212" s="219" t="s">
        <v>10154</v>
      </c>
      <c r="R212" s="219" t="s">
        <v>18</v>
      </c>
      <c r="S212" s="251"/>
      <c r="T212" s="251"/>
      <c r="U212" s="219"/>
      <c r="V212" s="219"/>
      <c r="W212" s="219"/>
      <c r="X212" s="219"/>
      <c r="Y212" s="219"/>
      <c r="Z212" s="219"/>
      <c r="AA212" s="219"/>
      <c r="AB212" s="219"/>
    </row>
    <row r="213" spans="1:28" ht="15.75" hidden="1" customHeight="1">
      <c r="A213" s="253">
        <v>44796</v>
      </c>
      <c r="B213" s="224" t="s">
        <v>210</v>
      </c>
      <c r="C213" s="316">
        <v>4</v>
      </c>
      <c r="D213" s="316"/>
      <c r="E213" s="224" t="s">
        <v>3860</v>
      </c>
      <c r="F213" s="224" t="s">
        <v>4</v>
      </c>
      <c r="G213" s="224" t="s">
        <v>725</v>
      </c>
      <c r="H213" s="224" t="s">
        <v>11490</v>
      </c>
      <c r="I213" s="224">
        <v>4</v>
      </c>
      <c r="J213" s="224" t="s">
        <v>1187</v>
      </c>
      <c r="K213" s="224" t="s">
        <v>3862</v>
      </c>
      <c r="L213" s="224">
        <v>4</v>
      </c>
      <c r="M213" s="224"/>
      <c r="N213" s="224"/>
      <c r="O213" s="224" t="s">
        <v>452</v>
      </c>
      <c r="P213" s="224" t="s">
        <v>3863</v>
      </c>
      <c r="Q213" s="224"/>
      <c r="R213" s="224" t="s">
        <v>18</v>
      </c>
      <c r="S213" s="254"/>
      <c r="T213" s="254"/>
      <c r="U213" s="224"/>
      <c r="V213" s="224"/>
      <c r="W213" s="224"/>
      <c r="X213" s="224"/>
      <c r="Y213" s="224"/>
      <c r="Z213" s="224"/>
      <c r="AA213" s="224"/>
      <c r="AB213" s="224"/>
    </row>
    <row r="214" spans="1:28" ht="15.75" hidden="1" customHeight="1">
      <c r="A214" s="257">
        <v>44796</v>
      </c>
      <c r="B214" s="258" t="s">
        <v>9701</v>
      </c>
      <c r="C214" s="263">
        <v>4</v>
      </c>
      <c r="D214" s="263"/>
      <c r="E214" s="258" t="s">
        <v>9704</v>
      </c>
      <c r="F214" s="258" t="s">
        <v>3</v>
      </c>
      <c r="G214" s="258" t="s">
        <v>725</v>
      </c>
      <c r="H214" s="258" t="s">
        <v>10837</v>
      </c>
      <c r="I214" s="258">
        <v>4.5</v>
      </c>
      <c r="J214" s="258" t="s">
        <v>462</v>
      </c>
      <c r="K214" s="258" t="s">
        <v>9706</v>
      </c>
      <c r="L214" s="258">
        <v>3.5</v>
      </c>
      <c r="M214" s="258" t="s">
        <v>451</v>
      </c>
      <c r="N214" s="328">
        <v>3000000</v>
      </c>
      <c r="O214" s="258" t="s">
        <v>454</v>
      </c>
      <c r="P214" s="258" t="s">
        <v>9707</v>
      </c>
      <c r="Q214" s="258" t="s">
        <v>9708</v>
      </c>
      <c r="R214" s="258" t="s">
        <v>23</v>
      </c>
      <c r="S214" s="259" t="s">
        <v>10838</v>
      </c>
      <c r="T214" s="259"/>
      <c r="U214" s="258"/>
      <c r="V214" s="258"/>
      <c r="W214" s="258"/>
      <c r="X214" s="258"/>
      <c r="Y214" s="258"/>
      <c r="Z214" s="258"/>
      <c r="AA214" s="258"/>
      <c r="AB214" s="258"/>
    </row>
    <row r="215" spans="1:28" ht="15.75" hidden="1" customHeight="1">
      <c r="A215" s="257">
        <v>44796</v>
      </c>
      <c r="B215" s="258" t="s">
        <v>3880</v>
      </c>
      <c r="C215" s="263">
        <v>4</v>
      </c>
      <c r="D215" s="263"/>
      <c r="E215" s="258" t="s">
        <v>10841</v>
      </c>
      <c r="F215" s="258" t="s">
        <v>4</v>
      </c>
      <c r="G215" s="258" t="s">
        <v>725</v>
      </c>
      <c r="H215" s="258" t="s">
        <v>3884</v>
      </c>
      <c r="I215" s="258">
        <v>3</v>
      </c>
      <c r="J215" s="258" t="s">
        <v>1187</v>
      </c>
      <c r="K215" s="258" t="s">
        <v>3885</v>
      </c>
      <c r="L215" s="258">
        <v>5</v>
      </c>
      <c r="M215" s="258" t="s">
        <v>478</v>
      </c>
      <c r="N215" s="258">
        <v>700000</v>
      </c>
      <c r="O215" s="258" t="s">
        <v>452</v>
      </c>
      <c r="P215" s="258" t="s">
        <v>452</v>
      </c>
      <c r="Q215" s="258"/>
      <c r="R215" s="258" t="s">
        <v>24</v>
      </c>
      <c r="S215" s="259" t="s">
        <v>11710</v>
      </c>
      <c r="T215" s="259"/>
      <c r="U215" s="258"/>
      <c r="V215" s="258"/>
      <c r="W215" s="258"/>
      <c r="X215" s="258"/>
      <c r="Y215" s="258"/>
      <c r="Z215" s="258"/>
      <c r="AA215" s="258"/>
      <c r="AB215" s="258"/>
    </row>
    <row r="216" spans="1:28" ht="15.75" hidden="1" customHeight="1">
      <c r="A216" s="248">
        <v>44796</v>
      </c>
      <c r="B216" s="219" t="s">
        <v>218</v>
      </c>
      <c r="C216" s="315">
        <v>4</v>
      </c>
      <c r="D216" s="315"/>
      <c r="E216" s="219" t="s">
        <v>1303</v>
      </c>
      <c r="F216" s="219" t="s">
        <v>4</v>
      </c>
      <c r="G216" s="219" t="s">
        <v>725</v>
      </c>
      <c r="H216" s="219" t="e">
        <f>+ Various government grants and ecosystem partners
+ Credible Team
+ Could Enhance authenticity of convenient home-based tests and help better pandemic management
- crowded space
- tamper proof?
- who pays for test hardware and cartridges
                                                                                                                                                                                                                                                                Interview to find out more?  Could be for Deep Tech.</f>
        <v>#NAME?</v>
      </c>
      <c r="I216" s="219">
        <v>4.5</v>
      </c>
      <c r="J216" s="219" t="s">
        <v>1045</v>
      </c>
      <c r="K216" s="219" t="s">
        <v>1305</v>
      </c>
      <c r="L216" s="219">
        <v>3.5</v>
      </c>
      <c r="M216" s="219" t="s">
        <v>451</v>
      </c>
      <c r="N216" s="219" t="s">
        <v>1306</v>
      </c>
      <c r="O216" s="219" t="s">
        <v>452</v>
      </c>
      <c r="P216" s="219" t="s">
        <v>1307</v>
      </c>
      <c r="Q216" s="219" t="s">
        <v>1308</v>
      </c>
      <c r="R216" s="219" t="s">
        <v>18</v>
      </c>
      <c r="S216" s="251"/>
      <c r="T216" s="251"/>
      <c r="U216" s="219"/>
      <c r="V216" s="219"/>
      <c r="W216" s="219"/>
      <c r="X216" s="219"/>
      <c r="Y216" s="219"/>
      <c r="Z216" s="219"/>
      <c r="AA216" s="219"/>
      <c r="AB216" s="219"/>
    </row>
    <row r="217" spans="1:28" ht="15.75" customHeight="1">
      <c r="A217" s="257">
        <v>44789</v>
      </c>
      <c r="B217" s="258" t="s">
        <v>162</v>
      </c>
      <c r="C217" s="258">
        <v>4</v>
      </c>
      <c r="D217" s="250" t="str">
        <f ca="1">IFERROR(VLOOKUP(B217,'2022-2023 Third Reviews'!$C:$S,9,FALSE),"")</f>
        <v>Chris Millisits
3</v>
      </c>
      <c r="E217" s="258" t="s">
        <v>9596</v>
      </c>
      <c r="F217" s="258" t="s">
        <v>5</v>
      </c>
      <c r="G217" s="258" t="s">
        <v>447</v>
      </c>
      <c r="H217" s="258" t="s">
        <v>10803</v>
      </c>
      <c r="I217" s="258">
        <v>3</v>
      </c>
      <c r="J217" s="258" t="s">
        <v>449</v>
      </c>
      <c r="K217" s="258" t="s">
        <v>11617</v>
      </c>
      <c r="L217" s="258">
        <v>5</v>
      </c>
      <c r="M217" s="258" t="s">
        <v>9599</v>
      </c>
      <c r="N217" s="258">
        <v>909783</v>
      </c>
      <c r="O217" s="258" t="s">
        <v>452</v>
      </c>
      <c r="P217" s="258" t="s">
        <v>9600</v>
      </c>
      <c r="Q217" s="258"/>
      <c r="R217" s="258" t="s">
        <v>18</v>
      </c>
      <c r="S217" s="258" t="s">
        <v>9601</v>
      </c>
      <c r="T217" s="258" t="s">
        <v>11858</v>
      </c>
      <c r="U217" s="258"/>
      <c r="V217" s="258"/>
      <c r="W217" s="258"/>
      <c r="X217" s="258"/>
      <c r="Y217" s="258"/>
      <c r="Z217" s="258"/>
      <c r="AA217" s="258"/>
      <c r="AB217" s="258"/>
    </row>
    <row r="218" spans="1:28" ht="15.75" customHeight="1">
      <c r="A218" s="333">
        <v>44796</v>
      </c>
      <c r="B218" s="334" t="s">
        <v>82</v>
      </c>
      <c r="C218" s="334">
        <v>4.5</v>
      </c>
      <c r="D218" s="250" t="str">
        <f>IFERROR(VLOOKUP(B218,'2022-2023 Third Reviews'!$C:$S,9,FALSE),"")</f>
        <v/>
      </c>
      <c r="E218" s="334" t="s">
        <v>591</v>
      </c>
      <c r="F218" s="334" t="s">
        <v>5</v>
      </c>
      <c r="G218" s="334" t="s">
        <v>460</v>
      </c>
      <c r="H218" s="334" t="s">
        <v>592</v>
      </c>
      <c r="I218" s="334">
        <v>4.5</v>
      </c>
      <c r="J218" s="334" t="s">
        <v>462</v>
      </c>
      <c r="K218" s="334" t="s">
        <v>593</v>
      </c>
      <c r="L218" s="334">
        <v>4.5</v>
      </c>
      <c r="M218" s="334" t="s">
        <v>451</v>
      </c>
      <c r="N218" s="509">
        <v>3000000</v>
      </c>
      <c r="O218" s="334" t="s">
        <v>452</v>
      </c>
      <c r="P218" s="334" t="s">
        <v>10644</v>
      </c>
      <c r="Q218" s="334"/>
      <c r="R218" s="334" t="s">
        <v>18</v>
      </c>
      <c r="S218" s="334" t="s">
        <v>595</v>
      </c>
      <c r="T218" s="334" t="s">
        <v>11788</v>
      </c>
      <c r="U218" s="334"/>
      <c r="V218" s="334"/>
      <c r="W218" s="334"/>
      <c r="X218" s="334"/>
      <c r="Y218" s="334"/>
      <c r="Z218" s="334"/>
      <c r="AA218" s="334"/>
      <c r="AB218" s="334"/>
    </row>
    <row r="219" spans="1:28" ht="15.75" hidden="1" customHeight="1">
      <c r="A219" s="253">
        <v>44796</v>
      </c>
      <c r="B219" s="224" t="s">
        <v>228</v>
      </c>
      <c r="C219" s="316">
        <v>4</v>
      </c>
      <c r="D219" s="316"/>
      <c r="E219" s="224" t="s">
        <v>3945</v>
      </c>
      <c r="F219" s="224" t="s">
        <v>4</v>
      </c>
      <c r="G219" s="224" t="s">
        <v>725</v>
      </c>
      <c r="H219" s="224" t="s">
        <v>10923</v>
      </c>
      <c r="I219" s="224">
        <v>4</v>
      </c>
      <c r="J219" s="224" t="s">
        <v>1281</v>
      </c>
      <c r="K219" s="224" t="s">
        <v>3947</v>
      </c>
      <c r="L219" s="224">
        <v>4</v>
      </c>
      <c r="M219" s="224" t="s">
        <v>3948</v>
      </c>
      <c r="N219" s="224" t="s">
        <v>3949</v>
      </c>
      <c r="O219" s="224" t="s">
        <v>452</v>
      </c>
      <c r="P219" s="224" t="s">
        <v>452</v>
      </c>
      <c r="Q219" s="224"/>
      <c r="R219" s="224" t="s">
        <v>18</v>
      </c>
      <c r="S219" s="254"/>
      <c r="T219" s="254"/>
      <c r="U219" s="224"/>
      <c r="V219" s="224"/>
      <c r="W219" s="224"/>
      <c r="X219" s="224"/>
      <c r="Y219" s="224"/>
      <c r="Z219" s="224"/>
      <c r="AA219" s="224"/>
      <c r="AB219" s="224"/>
    </row>
    <row r="220" spans="1:28" ht="15.75" hidden="1" customHeight="1">
      <c r="A220" s="255">
        <v>44796</v>
      </c>
      <c r="B220" s="239" t="s">
        <v>246</v>
      </c>
      <c r="C220" s="262">
        <v>4</v>
      </c>
      <c r="D220" s="262"/>
      <c r="E220" s="239" t="s">
        <v>1437</v>
      </c>
      <c r="F220" s="239" t="s">
        <v>4</v>
      </c>
      <c r="G220" s="239" t="s">
        <v>460</v>
      </c>
      <c r="H220" s="239" t="s">
        <v>1438</v>
      </c>
      <c r="I220" s="239">
        <v>4</v>
      </c>
      <c r="J220" s="239" t="s">
        <v>462</v>
      </c>
      <c r="K220" s="239" t="s">
        <v>1439</v>
      </c>
      <c r="L220" s="239">
        <v>4</v>
      </c>
      <c r="M220" s="239" t="s">
        <v>451</v>
      </c>
      <c r="N220" s="239">
        <v>2000000</v>
      </c>
      <c r="O220" s="239" t="s">
        <v>452</v>
      </c>
      <c r="P220" s="239" t="s">
        <v>1440</v>
      </c>
      <c r="Q220" s="239"/>
      <c r="R220" s="239" t="s">
        <v>19</v>
      </c>
      <c r="S220" s="256" t="s">
        <v>1441</v>
      </c>
      <c r="T220" s="256"/>
      <c r="U220" s="239"/>
      <c r="V220" s="239"/>
      <c r="W220" s="239"/>
      <c r="X220" s="239"/>
      <c r="Y220" s="239"/>
      <c r="Z220" s="239"/>
      <c r="AA220" s="239"/>
      <c r="AB220" s="239"/>
    </row>
    <row r="221" spans="1:28" ht="15.75" hidden="1" customHeight="1">
      <c r="A221" s="253">
        <v>44796</v>
      </c>
      <c r="B221" s="224" t="s">
        <v>263</v>
      </c>
      <c r="C221" s="316">
        <v>4</v>
      </c>
      <c r="D221" s="316"/>
      <c r="E221" s="224" t="s">
        <v>4106</v>
      </c>
      <c r="F221" s="224" t="s">
        <v>4</v>
      </c>
      <c r="G221" s="224" t="s">
        <v>725</v>
      </c>
      <c r="H221" s="224" t="s">
        <v>11090</v>
      </c>
      <c r="I221" s="224">
        <v>4</v>
      </c>
      <c r="J221" s="224" t="s">
        <v>1045</v>
      </c>
      <c r="K221" s="224" t="s">
        <v>4108</v>
      </c>
      <c r="L221" s="224">
        <v>4</v>
      </c>
      <c r="M221" s="224" t="s">
        <v>478</v>
      </c>
      <c r="N221" s="224" t="s">
        <v>4109</v>
      </c>
      <c r="O221" s="224" t="s">
        <v>452</v>
      </c>
      <c r="P221" s="224" t="s">
        <v>11091</v>
      </c>
      <c r="Q221" s="224" t="s">
        <v>4111</v>
      </c>
      <c r="R221" s="224" t="s">
        <v>18</v>
      </c>
      <c r="S221" s="254"/>
      <c r="T221" s="254"/>
      <c r="U221" s="224"/>
      <c r="V221" s="224"/>
      <c r="W221" s="224"/>
      <c r="X221" s="224"/>
      <c r="Y221" s="224"/>
      <c r="Z221" s="224"/>
      <c r="AA221" s="224"/>
      <c r="AB221" s="224"/>
    </row>
    <row r="222" spans="1:28" ht="15.75" hidden="1" customHeight="1">
      <c r="A222" s="248">
        <v>44796</v>
      </c>
      <c r="B222" s="219" t="s">
        <v>192</v>
      </c>
      <c r="C222" s="315">
        <v>4</v>
      </c>
      <c r="D222" s="315"/>
      <c r="E222" s="219" t="s">
        <v>3778</v>
      </c>
      <c r="F222" s="219" t="s">
        <v>4</v>
      </c>
      <c r="G222" s="219" t="s">
        <v>725</v>
      </c>
      <c r="H222" s="219" t="s">
        <v>11099</v>
      </c>
      <c r="I222" s="219">
        <v>4.5</v>
      </c>
      <c r="J222" s="219" t="s">
        <v>476</v>
      </c>
      <c r="K222" s="219" t="s">
        <v>13400</v>
      </c>
      <c r="L222" s="219">
        <v>3.5</v>
      </c>
      <c r="M222" s="219" t="s">
        <v>451</v>
      </c>
      <c r="N222" s="331">
        <v>2500000</v>
      </c>
      <c r="O222" s="219" t="s">
        <v>452</v>
      </c>
      <c r="P222" s="219" t="s">
        <v>3781</v>
      </c>
      <c r="Q222" s="219"/>
      <c r="R222" s="219" t="s">
        <v>18</v>
      </c>
      <c r="S222" s="251"/>
      <c r="T222" s="251"/>
      <c r="U222" s="219"/>
      <c r="V222" s="219"/>
      <c r="W222" s="219"/>
      <c r="X222" s="219"/>
      <c r="Y222" s="219"/>
      <c r="Z222" s="219"/>
      <c r="AA222" s="219"/>
      <c r="AB222" s="219"/>
    </row>
    <row r="223" spans="1:28" ht="15.75" hidden="1" customHeight="1">
      <c r="A223" s="253">
        <v>44796</v>
      </c>
      <c r="B223" s="224" t="s">
        <v>248</v>
      </c>
      <c r="C223" s="316">
        <v>4</v>
      </c>
      <c r="D223" s="316"/>
      <c r="E223" s="224" t="s">
        <v>4052</v>
      </c>
      <c r="F223" s="224" t="s">
        <v>4</v>
      </c>
      <c r="G223" s="224" t="s">
        <v>725</v>
      </c>
      <c r="H223" s="224" t="s">
        <v>11713</v>
      </c>
      <c r="I223" s="224">
        <v>4</v>
      </c>
      <c r="J223" s="224" t="s">
        <v>4054</v>
      </c>
      <c r="K223" s="224" t="s">
        <v>4055</v>
      </c>
      <c r="L223" s="224">
        <v>4</v>
      </c>
      <c r="M223" s="224" t="s">
        <v>4056</v>
      </c>
      <c r="N223" s="224" t="s">
        <v>4057</v>
      </c>
      <c r="O223" s="224" t="s">
        <v>465</v>
      </c>
      <c r="P223" s="224" t="s">
        <v>4058</v>
      </c>
      <c r="Q223" s="224"/>
      <c r="R223" s="224" t="s">
        <v>18</v>
      </c>
      <c r="S223" s="254"/>
      <c r="T223" s="254"/>
      <c r="U223" s="224"/>
      <c r="V223" s="224"/>
      <c r="W223" s="224"/>
      <c r="X223" s="224"/>
      <c r="Y223" s="224"/>
      <c r="Z223" s="224"/>
      <c r="AA223" s="224"/>
      <c r="AB223" s="224"/>
    </row>
    <row r="224" spans="1:28" ht="15.75" hidden="1" customHeight="1">
      <c r="A224" s="248">
        <v>44796</v>
      </c>
      <c r="B224" s="219" t="s">
        <v>209</v>
      </c>
      <c r="C224" s="315">
        <v>4</v>
      </c>
      <c r="D224" s="315"/>
      <c r="E224" s="219" t="s">
        <v>3852</v>
      </c>
      <c r="F224" s="219" t="s">
        <v>4</v>
      </c>
      <c r="G224" s="219" t="s">
        <v>447</v>
      </c>
      <c r="H224" s="219" t="s">
        <v>11241</v>
      </c>
      <c r="I224" s="219">
        <v>4</v>
      </c>
      <c r="J224" s="219" t="s">
        <v>1187</v>
      </c>
      <c r="K224" s="219" t="s">
        <v>3854</v>
      </c>
      <c r="L224" s="219">
        <v>4</v>
      </c>
      <c r="M224" s="219" t="s">
        <v>784</v>
      </c>
      <c r="N224" s="331">
        <v>500000</v>
      </c>
      <c r="O224" s="219" t="s">
        <v>452</v>
      </c>
      <c r="P224" s="219" t="s">
        <v>3855</v>
      </c>
      <c r="Q224" s="219"/>
      <c r="R224" s="219" t="s">
        <v>18</v>
      </c>
      <c r="S224" s="251"/>
      <c r="T224" s="251"/>
      <c r="U224" s="219"/>
      <c r="V224" s="219"/>
      <c r="W224" s="219"/>
      <c r="X224" s="219"/>
      <c r="Y224" s="219"/>
      <c r="Z224" s="219"/>
      <c r="AA224" s="219"/>
      <c r="AB224" s="219"/>
    </row>
    <row r="225" spans="1:28" ht="15.75" hidden="1" customHeight="1">
      <c r="A225" s="257">
        <v>44796</v>
      </c>
      <c r="B225" s="258" t="s">
        <v>296</v>
      </c>
      <c r="C225" s="263">
        <v>4</v>
      </c>
      <c r="D225" s="263"/>
      <c r="E225" s="258" t="s">
        <v>1662</v>
      </c>
      <c r="F225" s="258" t="s">
        <v>3</v>
      </c>
      <c r="G225" s="258" t="s">
        <v>488</v>
      </c>
      <c r="H225" s="258" t="s">
        <v>11250</v>
      </c>
      <c r="I225" s="258">
        <v>3.99</v>
      </c>
      <c r="J225" s="258" t="s">
        <v>941</v>
      </c>
      <c r="K225" s="258" t="s">
        <v>1664</v>
      </c>
      <c r="L225" s="258">
        <v>4</v>
      </c>
      <c r="M225" s="258"/>
      <c r="N225" s="258"/>
      <c r="O225" s="258" t="s">
        <v>452</v>
      </c>
      <c r="P225" s="258" t="s">
        <v>452</v>
      </c>
      <c r="Q225" s="258" t="s">
        <v>1665</v>
      </c>
      <c r="R225" s="258" t="s">
        <v>20</v>
      </c>
      <c r="S225" s="259" t="s">
        <v>11714</v>
      </c>
      <c r="T225" s="259"/>
      <c r="U225" s="258"/>
      <c r="V225" s="258"/>
      <c r="W225" s="258"/>
      <c r="X225" s="258"/>
      <c r="Y225" s="258"/>
      <c r="Z225" s="258"/>
      <c r="AA225" s="258"/>
      <c r="AB225" s="258"/>
    </row>
    <row r="226" spans="1:28" ht="15.75" hidden="1" customHeight="1">
      <c r="A226" s="248">
        <v>44796</v>
      </c>
      <c r="B226" s="219" t="s">
        <v>407</v>
      </c>
      <c r="C226" s="315">
        <v>4</v>
      </c>
      <c r="D226" s="315"/>
      <c r="E226" s="219" t="s">
        <v>9970</v>
      </c>
      <c r="F226" s="219" t="s">
        <v>3</v>
      </c>
      <c r="G226" s="219" t="s">
        <v>725</v>
      </c>
      <c r="H226" s="219" t="s">
        <v>9971</v>
      </c>
      <c r="I226" s="219">
        <v>4</v>
      </c>
      <c r="J226" s="219" t="s">
        <v>941</v>
      </c>
      <c r="K226" s="219" t="s">
        <v>9972</v>
      </c>
      <c r="L226" s="219">
        <v>4</v>
      </c>
      <c r="M226" s="219" t="s">
        <v>478</v>
      </c>
      <c r="N226" s="326">
        <v>20000000</v>
      </c>
      <c r="O226" s="219" t="s">
        <v>465</v>
      </c>
      <c r="P226" s="219" t="s">
        <v>6922</v>
      </c>
      <c r="Q226" s="219"/>
      <c r="R226" s="219" t="s">
        <v>18</v>
      </c>
      <c r="S226" s="251"/>
      <c r="T226" s="251"/>
      <c r="U226" s="219"/>
      <c r="V226" s="219"/>
      <c r="W226" s="219"/>
      <c r="X226" s="219"/>
      <c r="Y226" s="219"/>
      <c r="Z226" s="219"/>
      <c r="AA226" s="219"/>
      <c r="AB226" s="219"/>
    </row>
    <row r="227" spans="1:28" ht="15.75" hidden="1" customHeight="1">
      <c r="A227" s="257">
        <v>44796</v>
      </c>
      <c r="B227" s="258" t="s">
        <v>188</v>
      </c>
      <c r="C227" s="263">
        <v>4</v>
      </c>
      <c r="D227" s="263"/>
      <c r="E227" s="258" t="s">
        <v>3753</v>
      </c>
      <c r="F227" s="258" t="s">
        <v>4</v>
      </c>
      <c r="G227" s="258" t="s">
        <v>727</v>
      </c>
      <c r="H227" s="258" t="s">
        <v>11499</v>
      </c>
      <c r="I227" s="258">
        <v>4</v>
      </c>
      <c r="J227" s="258" t="s">
        <v>1036</v>
      </c>
      <c r="K227" s="258" t="s">
        <v>3755</v>
      </c>
      <c r="L227" s="258">
        <v>4</v>
      </c>
      <c r="M227" s="258"/>
      <c r="N227" s="258"/>
      <c r="O227" s="258" t="s">
        <v>454</v>
      </c>
      <c r="P227" s="258" t="s">
        <v>3756</v>
      </c>
      <c r="Q227" s="258" t="s">
        <v>3757</v>
      </c>
      <c r="R227" s="258" t="s">
        <v>20</v>
      </c>
      <c r="S227" s="259" t="s">
        <v>3758</v>
      </c>
      <c r="T227" s="259"/>
      <c r="U227" s="258"/>
      <c r="V227" s="258"/>
      <c r="W227" s="258"/>
      <c r="X227" s="258"/>
      <c r="Y227" s="258"/>
      <c r="Z227" s="258"/>
      <c r="AA227" s="258"/>
      <c r="AB227" s="258"/>
    </row>
    <row r="228" spans="1:28" ht="15.75" hidden="1" customHeight="1">
      <c r="A228" s="248">
        <v>44796</v>
      </c>
      <c r="B228" s="219" t="s">
        <v>180</v>
      </c>
      <c r="C228" s="315">
        <v>4</v>
      </c>
      <c r="D228" s="315"/>
      <c r="E228" s="219"/>
      <c r="F228" s="219" t="s">
        <v>4</v>
      </c>
      <c r="G228" s="219" t="s">
        <v>725</v>
      </c>
      <c r="H228" s="219" t="s">
        <v>11342</v>
      </c>
      <c r="I228" s="219">
        <v>4</v>
      </c>
      <c r="J228" s="219" t="s">
        <v>990</v>
      </c>
      <c r="K228" s="219" t="s">
        <v>3721</v>
      </c>
      <c r="L228" s="219">
        <v>4</v>
      </c>
      <c r="M228" s="219" t="s">
        <v>913</v>
      </c>
      <c r="N228" s="219">
        <v>1500000</v>
      </c>
      <c r="O228" s="219" t="s">
        <v>465</v>
      </c>
      <c r="P228" s="219" t="s">
        <v>452</v>
      </c>
      <c r="Q228" s="219"/>
      <c r="R228" s="219" t="s">
        <v>18</v>
      </c>
      <c r="S228" s="251"/>
      <c r="T228" s="251"/>
      <c r="U228" s="219"/>
      <c r="V228" s="219"/>
      <c r="W228" s="219"/>
      <c r="X228" s="219"/>
      <c r="Y228" s="219"/>
      <c r="Z228" s="219"/>
      <c r="AA228" s="219"/>
      <c r="AB228" s="219"/>
    </row>
    <row r="229" spans="1:28" ht="15.75" hidden="1" customHeight="1">
      <c r="A229" s="253">
        <v>44796</v>
      </c>
      <c r="B229" s="224" t="s">
        <v>217</v>
      </c>
      <c r="C229" s="316">
        <v>4</v>
      </c>
      <c r="D229" s="316"/>
      <c r="E229" s="224" t="s">
        <v>3907</v>
      </c>
      <c r="F229" s="224" t="s">
        <v>4</v>
      </c>
      <c r="G229" s="224" t="s">
        <v>447</v>
      </c>
      <c r="H229" s="224" t="s">
        <v>11343</v>
      </c>
      <c r="I229" s="224">
        <v>4</v>
      </c>
      <c r="J229" s="224" t="s">
        <v>1237</v>
      </c>
      <c r="K229" s="224"/>
      <c r="L229" s="224">
        <v>4</v>
      </c>
      <c r="M229" s="224" t="s">
        <v>451</v>
      </c>
      <c r="N229" s="311">
        <v>4000000</v>
      </c>
      <c r="O229" s="224" t="s">
        <v>452</v>
      </c>
      <c r="P229" s="224" t="s">
        <v>11344</v>
      </c>
      <c r="Q229" s="224"/>
      <c r="R229" s="224" t="s">
        <v>18</v>
      </c>
      <c r="S229" s="254"/>
      <c r="T229" s="254"/>
      <c r="U229" s="224"/>
      <c r="V229" s="224"/>
      <c r="W229" s="224"/>
      <c r="X229" s="224"/>
      <c r="Y229" s="224"/>
      <c r="Z229" s="224"/>
      <c r="AA229" s="224"/>
      <c r="AB229" s="224"/>
    </row>
    <row r="230" spans="1:28" ht="15.75" customHeight="1">
      <c r="A230" s="510">
        <v>44791</v>
      </c>
      <c r="B230" s="366" t="s">
        <v>371</v>
      </c>
      <c r="C230" s="366">
        <v>4.25</v>
      </c>
      <c r="D230" s="250" t="str">
        <f>IFERROR(VLOOKUP(B230,'2022-2023 Third Reviews'!$C:$S,9,FALSE),"")</f>
        <v/>
      </c>
      <c r="E230" s="366" t="s">
        <v>9985</v>
      </c>
      <c r="F230" s="366" t="s">
        <v>5</v>
      </c>
      <c r="G230" s="366" t="s">
        <v>447</v>
      </c>
      <c r="H230" s="366" t="s">
        <v>11859</v>
      </c>
      <c r="I230" s="366">
        <v>4</v>
      </c>
      <c r="J230" s="366" t="s">
        <v>543</v>
      </c>
      <c r="K230" s="366" t="s">
        <v>11650</v>
      </c>
      <c r="L230" s="366">
        <v>4.5</v>
      </c>
      <c r="M230" s="366" t="s">
        <v>451</v>
      </c>
      <c r="N230" s="511">
        <v>2000000</v>
      </c>
      <c r="O230" s="366" t="s">
        <v>452</v>
      </c>
      <c r="P230" s="366" t="s">
        <v>9988</v>
      </c>
      <c r="Q230" s="366" t="s">
        <v>9989</v>
      </c>
      <c r="R230" s="366" t="s">
        <v>35</v>
      </c>
      <c r="S230" s="366"/>
      <c r="T230" s="366" t="s">
        <v>11788</v>
      </c>
      <c r="U230" s="366"/>
      <c r="V230" s="366"/>
      <c r="W230" s="366"/>
      <c r="X230" s="366"/>
      <c r="Y230" s="366"/>
      <c r="Z230" s="366"/>
      <c r="AA230" s="366"/>
      <c r="AB230" s="366"/>
    </row>
    <row r="231" spans="1:28" ht="15.75" hidden="1" customHeight="1">
      <c r="A231" s="253">
        <v>44796</v>
      </c>
      <c r="B231" s="224" t="s">
        <v>318</v>
      </c>
      <c r="C231" s="316">
        <v>4</v>
      </c>
      <c r="D231" s="316"/>
      <c r="E231" s="224" t="s">
        <v>11378</v>
      </c>
      <c r="F231" s="224" t="s">
        <v>3</v>
      </c>
      <c r="G231" s="224" t="s">
        <v>725</v>
      </c>
      <c r="H231" s="224" t="s">
        <v>11379</v>
      </c>
      <c r="I231" s="224">
        <v>4</v>
      </c>
      <c r="J231" s="224" t="s">
        <v>941</v>
      </c>
      <c r="K231" s="224" t="s">
        <v>9681</v>
      </c>
      <c r="L231" s="224">
        <v>4</v>
      </c>
      <c r="M231" s="224" t="s">
        <v>451</v>
      </c>
      <c r="N231" s="307">
        <v>6000000</v>
      </c>
      <c r="O231" s="224" t="s">
        <v>452</v>
      </c>
      <c r="P231" s="224" t="s">
        <v>9682</v>
      </c>
      <c r="Q231" s="224"/>
      <c r="R231" s="224" t="s">
        <v>18</v>
      </c>
      <c r="S231" s="254"/>
      <c r="T231" s="254"/>
      <c r="U231" s="224"/>
      <c r="V231" s="224"/>
      <c r="W231" s="224"/>
      <c r="X231" s="224"/>
      <c r="Y231" s="224"/>
      <c r="Z231" s="224"/>
      <c r="AA231" s="224"/>
      <c r="AB231" s="224"/>
    </row>
    <row r="232" spans="1:28" ht="15.75" hidden="1" customHeight="1">
      <c r="A232" s="257">
        <v>44782</v>
      </c>
      <c r="B232" s="258" t="s">
        <v>194</v>
      </c>
      <c r="C232" s="249">
        <v>3.88</v>
      </c>
      <c r="D232" s="249"/>
      <c r="E232" s="258" t="s">
        <v>1210</v>
      </c>
      <c r="F232" s="250" t="s">
        <v>4</v>
      </c>
      <c r="G232" s="258" t="s">
        <v>602</v>
      </c>
      <c r="H232" s="258" t="s">
        <v>10191</v>
      </c>
      <c r="I232" s="258">
        <v>4</v>
      </c>
      <c r="J232" s="258" t="s">
        <v>1054</v>
      </c>
      <c r="K232" s="258" t="s">
        <v>1212</v>
      </c>
      <c r="L232" s="258">
        <v>3.75</v>
      </c>
      <c r="M232" s="258" t="s">
        <v>478</v>
      </c>
      <c r="N232" s="258">
        <v>3000000</v>
      </c>
      <c r="O232" s="258" t="s">
        <v>465</v>
      </c>
      <c r="P232" s="258" t="s">
        <v>1213</v>
      </c>
      <c r="Q232" s="258"/>
      <c r="R232" s="228" t="s">
        <v>18</v>
      </c>
      <c r="S232" s="259" t="s">
        <v>1214</v>
      </c>
      <c r="T232" s="259"/>
      <c r="U232" s="252"/>
      <c r="V232" s="252"/>
      <c r="W232" s="252"/>
      <c r="X232" s="219"/>
      <c r="Y232" s="219"/>
      <c r="Z232" s="219"/>
      <c r="AA232" s="219"/>
      <c r="AB232" s="219"/>
    </row>
    <row r="233" spans="1:28" ht="15.75" hidden="1" customHeight="1">
      <c r="A233" s="257">
        <v>44782</v>
      </c>
      <c r="B233" s="258" t="s">
        <v>273</v>
      </c>
      <c r="C233" s="249">
        <v>3.88</v>
      </c>
      <c r="D233" s="249"/>
      <c r="E233" s="258" t="s">
        <v>9508</v>
      </c>
      <c r="F233" s="250" t="s">
        <v>4</v>
      </c>
      <c r="G233" s="258" t="s">
        <v>727</v>
      </c>
      <c r="H233" s="258" t="s">
        <v>9509</v>
      </c>
      <c r="I233" s="258">
        <v>3.75</v>
      </c>
      <c r="J233" s="258" t="s">
        <v>1054</v>
      </c>
      <c r="K233" s="258" t="s">
        <v>11528</v>
      </c>
      <c r="L233" s="258">
        <v>4</v>
      </c>
      <c r="M233" s="258"/>
      <c r="N233" s="258"/>
      <c r="O233" s="258" t="s">
        <v>452</v>
      </c>
      <c r="P233" s="258" t="s">
        <v>452</v>
      </c>
      <c r="Q233" s="258"/>
      <c r="R233" s="228" t="s">
        <v>20</v>
      </c>
      <c r="S233" s="259" t="s">
        <v>9511</v>
      </c>
      <c r="T233" s="259"/>
      <c r="U233" s="258"/>
      <c r="V233" s="258"/>
      <c r="W233" s="258"/>
      <c r="X233" s="258"/>
      <c r="Y233" s="258"/>
      <c r="Z233" s="258"/>
      <c r="AA233" s="258"/>
      <c r="AB233" s="258"/>
    </row>
    <row r="234" spans="1:28" ht="15.75" hidden="1" customHeight="1">
      <c r="A234" s="257">
        <v>44789</v>
      </c>
      <c r="B234" s="258" t="s">
        <v>195</v>
      </c>
      <c r="C234" s="263">
        <v>3.88</v>
      </c>
      <c r="D234" s="263"/>
      <c r="E234" s="258" t="s">
        <v>1227</v>
      </c>
      <c r="F234" s="258" t="s">
        <v>4</v>
      </c>
      <c r="G234" s="258" t="s">
        <v>727</v>
      </c>
      <c r="H234" s="258" t="s">
        <v>10652</v>
      </c>
      <c r="I234" s="258">
        <v>4.5</v>
      </c>
      <c r="J234" s="258" t="s">
        <v>1045</v>
      </c>
      <c r="K234" s="258" t="s">
        <v>1229</v>
      </c>
      <c r="L234" s="258">
        <v>3.25</v>
      </c>
      <c r="M234" s="258" t="s">
        <v>784</v>
      </c>
      <c r="N234" s="309">
        <v>1500000</v>
      </c>
      <c r="O234" s="258" t="s">
        <v>452</v>
      </c>
      <c r="P234" s="258" t="s">
        <v>452</v>
      </c>
      <c r="Q234" s="258"/>
      <c r="R234" s="258" t="s">
        <v>18</v>
      </c>
      <c r="S234" s="259" t="s">
        <v>1230</v>
      </c>
      <c r="T234" s="259"/>
      <c r="U234" s="258"/>
      <c r="V234" s="258"/>
      <c r="W234" s="258"/>
      <c r="X234" s="258"/>
      <c r="Y234" s="258"/>
      <c r="Z234" s="258"/>
      <c r="AA234" s="258"/>
      <c r="AB234" s="258"/>
    </row>
    <row r="235" spans="1:28" ht="15.75" hidden="1" customHeight="1">
      <c r="A235" s="253">
        <v>44789</v>
      </c>
      <c r="B235" s="224" t="s">
        <v>4151</v>
      </c>
      <c r="C235" s="249">
        <v>3.88</v>
      </c>
      <c r="D235" s="249"/>
      <c r="E235" s="224" t="s">
        <v>4154</v>
      </c>
      <c r="F235" s="250" t="s">
        <v>4</v>
      </c>
      <c r="G235" s="224" t="s">
        <v>727</v>
      </c>
      <c r="H235" s="224" t="s">
        <v>10675</v>
      </c>
      <c r="I235" s="224">
        <v>4</v>
      </c>
      <c r="J235" s="224" t="s">
        <v>1045</v>
      </c>
      <c r="K235" s="224" t="s">
        <v>4156</v>
      </c>
      <c r="L235" s="224">
        <v>3.75</v>
      </c>
      <c r="M235" s="224" t="s">
        <v>451</v>
      </c>
      <c r="N235" s="307" t="s">
        <v>4157</v>
      </c>
      <c r="O235" s="224" t="s">
        <v>452</v>
      </c>
      <c r="P235" s="224" t="s">
        <v>4158</v>
      </c>
      <c r="Q235" s="224"/>
      <c r="R235" s="224" t="s">
        <v>24</v>
      </c>
      <c r="S235" s="254" t="s">
        <v>4159</v>
      </c>
      <c r="T235" s="254"/>
      <c r="U235" s="252"/>
      <c r="V235" s="252"/>
      <c r="W235" s="252"/>
      <c r="X235" s="224"/>
      <c r="Y235" s="224"/>
      <c r="Z235" s="224"/>
      <c r="AA235" s="224"/>
      <c r="AB235" s="224"/>
    </row>
    <row r="236" spans="1:28" ht="15.75" hidden="1" customHeight="1">
      <c r="A236" s="257">
        <v>44789</v>
      </c>
      <c r="B236" s="258" t="s">
        <v>271</v>
      </c>
      <c r="C236" s="263">
        <v>3.88</v>
      </c>
      <c r="D236" s="263"/>
      <c r="E236" s="258" t="s">
        <v>4144</v>
      </c>
      <c r="F236" s="258" t="s">
        <v>4</v>
      </c>
      <c r="G236" s="258" t="s">
        <v>602</v>
      </c>
      <c r="H236" s="258" t="s">
        <v>4145</v>
      </c>
      <c r="I236" s="258">
        <v>4</v>
      </c>
      <c r="J236" s="258" t="s">
        <v>1045</v>
      </c>
      <c r="K236" s="258" t="s">
        <v>4146</v>
      </c>
      <c r="L236" s="258">
        <v>3.75</v>
      </c>
      <c r="M236" s="258"/>
      <c r="N236" s="258"/>
      <c r="O236" s="258" t="s">
        <v>452</v>
      </c>
      <c r="P236" s="258" t="s">
        <v>11019</v>
      </c>
      <c r="Q236" s="258"/>
      <c r="R236" s="258" t="s">
        <v>18</v>
      </c>
      <c r="S236" s="259" t="s">
        <v>4148</v>
      </c>
      <c r="T236" s="259"/>
      <c r="U236" s="252"/>
      <c r="V236" s="252"/>
      <c r="W236" s="252"/>
      <c r="X236" s="219"/>
      <c r="Y236" s="219"/>
      <c r="Z236" s="219"/>
      <c r="AA236" s="219"/>
      <c r="AB236" s="219"/>
    </row>
    <row r="237" spans="1:28" ht="15.75" hidden="1" customHeight="1">
      <c r="A237" s="257">
        <v>44791</v>
      </c>
      <c r="B237" s="258" t="s">
        <v>9141</v>
      </c>
      <c r="C237" s="263">
        <v>3.88</v>
      </c>
      <c r="D237" s="263"/>
      <c r="E237" s="258" t="s">
        <v>9144</v>
      </c>
      <c r="F237" s="258" t="s">
        <v>3</v>
      </c>
      <c r="G237" s="258" t="s">
        <v>488</v>
      </c>
      <c r="H237" s="258" t="s">
        <v>11664</v>
      </c>
      <c r="I237" s="258">
        <v>3.75</v>
      </c>
      <c r="J237" s="258" t="s">
        <v>941</v>
      </c>
      <c r="K237" s="258" t="s">
        <v>9146</v>
      </c>
      <c r="L237" s="258">
        <v>4</v>
      </c>
      <c r="M237" s="258"/>
      <c r="N237" s="258"/>
      <c r="O237" s="258"/>
      <c r="P237" s="258"/>
      <c r="Q237" s="258"/>
      <c r="R237" s="258" t="s">
        <v>24</v>
      </c>
      <c r="S237" s="259" t="s">
        <v>9148</v>
      </c>
      <c r="T237" s="259"/>
      <c r="U237" s="258"/>
      <c r="V237" s="258"/>
      <c r="W237" s="258"/>
      <c r="X237" s="258"/>
      <c r="Y237" s="258"/>
      <c r="Z237" s="258"/>
      <c r="AA237" s="258"/>
      <c r="AB237" s="258"/>
    </row>
    <row r="238" spans="1:28" ht="15.75" hidden="1" customHeight="1">
      <c r="A238" s="257">
        <v>44796</v>
      </c>
      <c r="B238" s="258" t="s">
        <v>4132</v>
      </c>
      <c r="C238" s="263">
        <v>3.88</v>
      </c>
      <c r="D238" s="263"/>
      <c r="E238" s="258" t="s">
        <v>4135</v>
      </c>
      <c r="F238" s="258" t="s">
        <v>4</v>
      </c>
      <c r="G238" s="258" t="s">
        <v>725</v>
      </c>
      <c r="H238" s="258" t="s">
        <v>11181</v>
      </c>
      <c r="I238" s="258">
        <v>3.75</v>
      </c>
      <c r="J238" s="258" t="s">
        <v>476</v>
      </c>
      <c r="K238" s="258" t="s">
        <v>11715</v>
      </c>
      <c r="L238" s="258">
        <v>4</v>
      </c>
      <c r="M238" s="258"/>
      <c r="N238" s="258"/>
      <c r="O238" s="258" t="s">
        <v>452</v>
      </c>
      <c r="P238" s="258" t="s">
        <v>4138</v>
      </c>
      <c r="Q238" s="258"/>
      <c r="R238" s="258" t="s">
        <v>24</v>
      </c>
      <c r="S238" s="259" t="s">
        <v>4139</v>
      </c>
      <c r="T238" s="259"/>
      <c r="U238" s="258"/>
      <c r="V238" s="258"/>
      <c r="W238" s="258"/>
      <c r="X238" s="258"/>
      <c r="Y238" s="258"/>
      <c r="Z238" s="258"/>
      <c r="AA238" s="258"/>
      <c r="AB238" s="258"/>
    </row>
    <row r="239" spans="1:28" ht="15.75" hidden="1" customHeight="1">
      <c r="A239" s="233">
        <v>44776</v>
      </c>
      <c r="B239" s="234" t="s">
        <v>288</v>
      </c>
      <c r="C239" s="241">
        <v>3.75</v>
      </c>
      <c r="D239" s="241"/>
      <c r="E239" s="234" t="s">
        <v>9550</v>
      </c>
      <c r="F239" s="242" t="s">
        <v>4</v>
      </c>
      <c r="G239" s="234" t="s">
        <v>447</v>
      </c>
      <c r="H239" s="234" t="s">
        <v>9551</v>
      </c>
      <c r="I239" s="234">
        <v>3.5</v>
      </c>
      <c r="J239" s="234" t="s">
        <v>543</v>
      </c>
      <c r="K239" s="234" t="s">
        <v>13400</v>
      </c>
      <c r="L239" s="234">
        <v>4</v>
      </c>
      <c r="M239" s="234" t="s">
        <v>9553</v>
      </c>
      <c r="N239" s="234">
        <v>1500000</v>
      </c>
      <c r="O239" s="234" t="s">
        <v>465</v>
      </c>
      <c r="P239" s="234" t="s">
        <v>9554</v>
      </c>
      <c r="Q239" s="237"/>
      <c r="R239" s="234" t="s">
        <v>20</v>
      </c>
      <c r="S239" s="238" t="s">
        <v>9555</v>
      </c>
      <c r="T239" s="238"/>
      <c r="U239" s="234"/>
      <c r="V239" s="234"/>
      <c r="W239" s="234"/>
      <c r="X239" s="239"/>
      <c r="Y239" s="239"/>
      <c r="Z239" s="239"/>
      <c r="AA239" s="239"/>
      <c r="AB239" s="239"/>
    </row>
    <row r="240" spans="1:28" ht="15.75" hidden="1" customHeight="1">
      <c r="A240" s="233">
        <v>44776</v>
      </c>
      <c r="B240" s="234" t="s">
        <v>259</v>
      </c>
      <c r="C240" s="241">
        <v>3.75</v>
      </c>
      <c r="D240" s="241"/>
      <c r="E240" s="234" t="s">
        <v>1501</v>
      </c>
      <c r="F240" s="242" t="s">
        <v>4</v>
      </c>
      <c r="G240" s="234" t="s">
        <v>447</v>
      </c>
      <c r="H240" s="234" t="s">
        <v>11514</v>
      </c>
      <c r="I240" s="234">
        <v>3.5</v>
      </c>
      <c r="J240" s="234" t="s">
        <v>449</v>
      </c>
      <c r="K240" s="234" t="s">
        <v>13400</v>
      </c>
      <c r="L240" s="234">
        <v>4</v>
      </c>
      <c r="M240" s="234"/>
      <c r="N240" s="234">
        <v>500000</v>
      </c>
      <c r="O240" s="234" t="s">
        <v>452</v>
      </c>
      <c r="P240" s="234" t="s">
        <v>11476</v>
      </c>
      <c r="Q240" s="237" t="s">
        <v>1505</v>
      </c>
      <c r="R240" s="234" t="s">
        <v>19</v>
      </c>
      <c r="S240" s="238" t="s">
        <v>1506</v>
      </c>
      <c r="T240" s="238"/>
      <c r="U240" s="234"/>
      <c r="V240" s="234"/>
      <c r="W240" s="234"/>
      <c r="X240" s="239"/>
      <c r="Y240" s="239"/>
      <c r="Z240" s="239"/>
      <c r="AA240" s="239"/>
      <c r="AB240" s="239"/>
    </row>
    <row r="241" spans="1:28" ht="15.75" hidden="1" customHeight="1">
      <c r="A241" s="220">
        <v>44776</v>
      </c>
      <c r="B241" s="221" t="s">
        <v>4281</v>
      </c>
      <c r="C241" s="214">
        <v>3.75</v>
      </c>
      <c r="D241" s="214"/>
      <c r="E241" s="221" t="s">
        <v>4284</v>
      </c>
      <c r="F241" s="215" t="s">
        <v>4</v>
      </c>
      <c r="G241" s="221" t="s">
        <v>727</v>
      </c>
      <c r="H241" s="221" t="s">
        <v>4285</v>
      </c>
      <c r="I241" s="221">
        <v>3.5</v>
      </c>
      <c r="J241" s="221" t="s">
        <v>1054</v>
      </c>
      <c r="K241" s="221"/>
      <c r="L241" s="221">
        <v>4</v>
      </c>
      <c r="M241" s="221" t="s">
        <v>451</v>
      </c>
      <c r="N241" s="512">
        <v>500000</v>
      </c>
      <c r="O241" s="221" t="s">
        <v>465</v>
      </c>
      <c r="P241" s="221" t="s">
        <v>4286</v>
      </c>
      <c r="Q241" s="145"/>
      <c r="R241" s="221" t="s">
        <v>24</v>
      </c>
      <c r="S241" s="223">
        <f t="array" ref="S241">INDEX(Notes!C:C,MATCH($B241,Notes!$A:$A,0))</f>
        <v>0</v>
      </c>
      <c r="T241" s="223"/>
      <c r="U241" s="218"/>
      <c r="V241" s="218"/>
      <c r="W241" s="218"/>
      <c r="X241" s="224"/>
      <c r="Y241" s="224"/>
      <c r="Z241" s="224"/>
      <c r="AA241" s="224"/>
      <c r="AB241" s="224"/>
    </row>
    <row r="242" spans="1:28" ht="15.75" customHeight="1">
      <c r="A242" s="257">
        <v>44782</v>
      </c>
      <c r="B242" s="258" t="s">
        <v>2473</v>
      </c>
      <c r="C242" s="250">
        <v>3.75</v>
      </c>
      <c r="D242" s="250"/>
      <c r="E242" s="258" t="s">
        <v>2476</v>
      </c>
      <c r="F242" s="250" t="s">
        <v>5</v>
      </c>
      <c r="G242" s="258" t="s">
        <v>447</v>
      </c>
      <c r="H242" s="258" t="s">
        <v>10217</v>
      </c>
      <c r="I242" s="258">
        <v>3.5</v>
      </c>
      <c r="J242" s="258" t="s">
        <v>622</v>
      </c>
      <c r="K242" s="258" t="s">
        <v>2478</v>
      </c>
      <c r="L242" s="258">
        <v>4</v>
      </c>
      <c r="M242" s="258" t="s">
        <v>451</v>
      </c>
      <c r="N242" s="258" t="s">
        <v>3555</v>
      </c>
      <c r="O242" s="258" t="s">
        <v>452</v>
      </c>
      <c r="P242" s="258" t="s">
        <v>452</v>
      </c>
      <c r="Q242" s="258" t="s">
        <v>447</v>
      </c>
      <c r="R242" s="228" t="s">
        <v>24</v>
      </c>
      <c r="S242" s="258" t="s">
        <v>2479</v>
      </c>
      <c r="T242" s="258" t="s">
        <v>13198</v>
      </c>
      <c r="U242" s="258"/>
      <c r="V242" s="258"/>
      <c r="W242" s="258"/>
      <c r="X242" s="258"/>
      <c r="Y242" s="258"/>
      <c r="Z242" s="258"/>
      <c r="AA242" s="258"/>
      <c r="AB242" s="258"/>
    </row>
    <row r="243" spans="1:28" ht="15.75" customHeight="1">
      <c r="A243" s="513">
        <v>44776</v>
      </c>
      <c r="B243" s="514" t="s">
        <v>389</v>
      </c>
      <c r="C243" s="514">
        <v>4</v>
      </c>
      <c r="D243" s="250" t="str">
        <f>IFERROR(VLOOKUP(B243,'2022-2023 Third Reviews'!$C:$S,9,FALSE),"")</f>
        <v/>
      </c>
      <c r="E243" s="514" t="s">
        <v>10082</v>
      </c>
      <c r="F243" s="514" t="s">
        <v>5</v>
      </c>
      <c r="G243" s="514" t="s">
        <v>460</v>
      </c>
      <c r="H243" s="514"/>
      <c r="I243" s="514">
        <v>4</v>
      </c>
      <c r="J243" s="514" t="s">
        <v>488</v>
      </c>
      <c r="K243" s="514" t="s">
        <v>10083</v>
      </c>
      <c r="L243" s="514">
        <v>4</v>
      </c>
      <c r="M243" s="514" t="s">
        <v>923</v>
      </c>
      <c r="N243" s="515">
        <v>1000000</v>
      </c>
      <c r="O243" s="514" t="s">
        <v>452</v>
      </c>
      <c r="P243" s="514" t="s">
        <v>1119</v>
      </c>
      <c r="Q243" s="514"/>
      <c r="R243" s="366" t="s">
        <v>35</v>
      </c>
      <c r="S243" s="514" t="s">
        <v>10084</v>
      </c>
      <c r="T243" s="514" t="s">
        <v>11870</v>
      </c>
      <c r="U243" s="514"/>
      <c r="V243" s="514"/>
      <c r="W243" s="514"/>
      <c r="X243" s="366"/>
      <c r="Y243" s="366"/>
      <c r="Z243" s="366"/>
      <c r="AA243" s="366"/>
      <c r="AB243" s="366"/>
    </row>
    <row r="244" spans="1:28" ht="15.75" hidden="1" customHeight="1">
      <c r="A244" s="516">
        <v>44782</v>
      </c>
      <c r="B244" s="504" t="s">
        <v>134</v>
      </c>
      <c r="C244" s="504">
        <v>3.75</v>
      </c>
      <c r="D244" s="504"/>
      <c r="E244" s="504" t="s">
        <v>9369</v>
      </c>
      <c r="F244" s="504" t="s">
        <v>4</v>
      </c>
      <c r="G244" s="504" t="s">
        <v>447</v>
      </c>
      <c r="H244" s="504" t="s">
        <v>9370</v>
      </c>
      <c r="I244" s="504">
        <v>4</v>
      </c>
      <c r="J244" s="504" t="s">
        <v>476</v>
      </c>
      <c r="K244" s="504" t="s">
        <v>13199</v>
      </c>
      <c r="L244" s="504">
        <v>3.5</v>
      </c>
      <c r="M244" s="504" t="s">
        <v>451</v>
      </c>
      <c r="N244" s="504">
        <v>1000000</v>
      </c>
      <c r="O244" s="504" t="s">
        <v>454</v>
      </c>
      <c r="P244" s="504" t="s">
        <v>452</v>
      </c>
      <c r="Q244" s="504"/>
      <c r="R244" s="504" t="s">
        <v>19</v>
      </c>
      <c r="S244" s="517" t="s">
        <v>9372</v>
      </c>
      <c r="T244" s="517"/>
      <c r="U244" s="504"/>
      <c r="V244" s="504"/>
      <c r="W244" s="504"/>
      <c r="X244" s="504"/>
      <c r="Y244" s="504"/>
      <c r="Z244" s="504"/>
      <c r="AA244" s="504"/>
      <c r="AB244" s="504"/>
    </row>
    <row r="245" spans="1:28" ht="15.75" customHeight="1">
      <c r="A245" s="491">
        <v>44784</v>
      </c>
      <c r="B245" s="488" t="s">
        <v>127</v>
      </c>
      <c r="C245" s="488">
        <v>4</v>
      </c>
      <c r="D245" s="250" t="str">
        <f ca="1">IFERROR(VLOOKUP(B245,'2022-2023 Third Reviews'!$C:$S,9,FALSE),"")</f>
        <v>Chris Millisits
4</v>
      </c>
      <c r="E245" s="488" t="s">
        <v>901</v>
      </c>
      <c r="F245" s="488" t="s">
        <v>5</v>
      </c>
      <c r="G245" s="488" t="s">
        <v>447</v>
      </c>
      <c r="H245" s="488" t="s">
        <v>10588</v>
      </c>
      <c r="I245" s="488">
        <v>4</v>
      </c>
      <c r="J245" s="488" t="s">
        <v>449</v>
      </c>
      <c r="K245" s="488" t="s">
        <v>11556</v>
      </c>
      <c r="L245" s="488">
        <v>4</v>
      </c>
      <c r="M245" s="488" t="s">
        <v>451</v>
      </c>
      <c r="N245" s="493">
        <v>4000000</v>
      </c>
      <c r="O245" s="488" t="s">
        <v>452</v>
      </c>
      <c r="P245" s="493" t="s">
        <v>904</v>
      </c>
      <c r="Q245" s="488"/>
      <c r="R245" s="488" t="s">
        <v>18</v>
      </c>
      <c r="S245" s="488"/>
      <c r="T245" s="488" t="s">
        <v>11823</v>
      </c>
      <c r="U245" s="488"/>
      <c r="V245" s="488"/>
      <c r="W245" s="488"/>
      <c r="X245" s="488"/>
      <c r="Y245" s="488"/>
      <c r="Z245" s="258"/>
      <c r="AA245" s="258"/>
      <c r="AB245" s="258"/>
    </row>
    <row r="246" spans="1:28" ht="15.75" hidden="1" customHeight="1">
      <c r="A246" s="516">
        <v>44782</v>
      </c>
      <c r="B246" s="504" t="s">
        <v>131</v>
      </c>
      <c r="C246" s="504">
        <v>3.75</v>
      </c>
      <c r="D246" s="504"/>
      <c r="E246" s="504" t="s">
        <v>9362</v>
      </c>
      <c r="F246" s="504" t="s">
        <v>4</v>
      </c>
      <c r="G246" s="504" t="s">
        <v>447</v>
      </c>
      <c r="H246" s="504" t="s">
        <v>9363</v>
      </c>
      <c r="I246" s="504">
        <v>3.5</v>
      </c>
      <c r="J246" s="504" t="s">
        <v>543</v>
      </c>
      <c r="K246" s="504" t="s">
        <v>13400</v>
      </c>
      <c r="L246" s="504">
        <v>4</v>
      </c>
      <c r="M246" s="504" t="s">
        <v>478</v>
      </c>
      <c r="N246" s="504" t="s">
        <v>4956</v>
      </c>
      <c r="O246" s="504" t="s">
        <v>452</v>
      </c>
      <c r="P246" s="504" t="s">
        <v>9365</v>
      </c>
      <c r="Q246" s="504"/>
      <c r="R246" s="504" t="s">
        <v>19</v>
      </c>
      <c r="S246" s="517" t="s">
        <v>1334</v>
      </c>
      <c r="T246" s="517"/>
      <c r="U246" s="504"/>
      <c r="V246" s="504"/>
      <c r="W246" s="504"/>
      <c r="X246" s="504"/>
      <c r="Y246" s="504"/>
      <c r="Z246" s="504"/>
      <c r="AA246" s="504"/>
      <c r="AB246" s="504"/>
    </row>
    <row r="247" spans="1:28" ht="15.75" customHeight="1">
      <c r="A247" s="497">
        <v>44782</v>
      </c>
      <c r="B247" s="489" t="s">
        <v>384</v>
      </c>
      <c r="C247" s="489">
        <v>3.75</v>
      </c>
      <c r="D247" s="250" t="str">
        <f ca="1">IFERROR(VLOOKUP(B247,'2022-2023 Third Reviews'!$C:$S,9,FALSE),"")</f>
        <v>Ahmed Bahgat
4</v>
      </c>
      <c r="E247" s="489" t="s">
        <v>10054</v>
      </c>
      <c r="F247" s="489" t="s">
        <v>5</v>
      </c>
      <c r="G247" s="489" t="s">
        <v>447</v>
      </c>
      <c r="H247" s="489" t="s">
        <v>10055</v>
      </c>
      <c r="I247" s="489">
        <v>3.5</v>
      </c>
      <c r="J247" s="489" t="s">
        <v>622</v>
      </c>
      <c r="K247" s="489" t="s">
        <v>10056</v>
      </c>
      <c r="L247" s="489">
        <v>4</v>
      </c>
      <c r="M247" s="489" t="s">
        <v>451</v>
      </c>
      <c r="N247" s="489">
        <v>5000000</v>
      </c>
      <c r="O247" s="489" t="s">
        <v>452</v>
      </c>
      <c r="P247" s="489" t="s">
        <v>10057</v>
      </c>
      <c r="Q247" s="489" t="s">
        <v>725</v>
      </c>
      <c r="R247" s="489" t="s">
        <v>24</v>
      </c>
      <c r="S247" s="489" t="s">
        <v>10058</v>
      </c>
      <c r="T247" s="489" t="s">
        <v>11868</v>
      </c>
      <c r="U247" s="489"/>
      <c r="V247" s="489"/>
      <c r="W247" s="489"/>
      <c r="X247" s="489"/>
      <c r="Y247" s="489"/>
      <c r="Z247" s="489"/>
      <c r="AA247" s="489"/>
      <c r="AB247" s="489"/>
    </row>
    <row r="248" spans="1:28" ht="15.75" hidden="1" customHeight="1">
      <c r="A248" s="516">
        <v>44782</v>
      </c>
      <c r="B248" s="504" t="s">
        <v>146</v>
      </c>
      <c r="C248" s="504">
        <v>3.75</v>
      </c>
      <c r="D248" s="504"/>
      <c r="E248" s="504" t="s">
        <v>9383</v>
      </c>
      <c r="F248" s="504" t="s">
        <v>4</v>
      </c>
      <c r="G248" s="504" t="s">
        <v>447</v>
      </c>
      <c r="H248" s="504" t="s">
        <v>10475</v>
      </c>
      <c r="I248" s="504">
        <v>3.5</v>
      </c>
      <c r="J248" s="504" t="s">
        <v>449</v>
      </c>
      <c r="K248" s="504" t="s">
        <v>13400</v>
      </c>
      <c r="L248" s="504">
        <v>4</v>
      </c>
      <c r="M248" s="504" t="s">
        <v>784</v>
      </c>
      <c r="N248" s="504">
        <v>250000</v>
      </c>
      <c r="O248" s="504" t="s">
        <v>454</v>
      </c>
      <c r="P248" s="504" t="s">
        <v>9386</v>
      </c>
      <c r="Q248" s="504"/>
      <c r="R248" s="504" t="s">
        <v>19</v>
      </c>
      <c r="S248" s="517" t="s">
        <v>1334</v>
      </c>
      <c r="T248" s="517"/>
      <c r="U248" s="504"/>
      <c r="V248" s="504"/>
      <c r="W248" s="504"/>
      <c r="X248" s="504"/>
      <c r="Y248" s="504"/>
      <c r="Z248" s="504"/>
      <c r="AA248" s="504"/>
      <c r="AB248" s="504"/>
    </row>
    <row r="249" spans="1:28" ht="15.75" customHeight="1">
      <c r="A249" s="507">
        <v>44784</v>
      </c>
      <c r="B249" s="358" t="s">
        <v>139</v>
      </c>
      <c r="C249" s="358">
        <v>3.75</v>
      </c>
      <c r="D249" s="250" t="str">
        <f ca="1">IFERROR(VLOOKUP(B249,'2022-2023 Third Reviews'!$C:$S,9,FALSE),"")</f>
        <v>Joshua Rubnitz
2</v>
      </c>
      <c r="E249" s="358" t="s">
        <v>10333</v>
      </c>
      <c r="F249" s="358" t="s">
        <v>5</v>
      </c>
      <c r="G249" s="358" t="s">
        <v>727</v>
      </c>
      <c r="H249" s="358" t="s">
        <v>10334</v>
      </c>
      <c r="I249" s="358">
        <v>3.5</v>
      </c>
      <c r="J249" s="358" t="s">
        <v>1054</v>
      </c>
      <c r="K249" s="358" t="s">
        <v>3263</v>
      </c>
      <c r="L249" s="358">
        <v>4</v>
      </c>
      <c r="M249" s="358" t="s">
        <v>451</v>
      </c>
      <c r="N249" s="358" t="s">
        <v>3264</v>
      </c>
      <c r="O249" s="358" t="s">
        <v>452</v>
      </c>
      <c r="P249" s="358" t="s">
        <v>452</v>
      </c>
      <c r="Q249" s="358" t="s">
        <v>460</v>
      </c>
      <c r="R249" s="480" t="s">
        <v>24</v>
      </c>
      <c r="S249" s="358" t="s">
        <v>3265</v>
      </c>
      <c r="T249" s="358" t="s">
        <v>11850</v>
      </c>
      <c r="U249" s="358"/>
      <c r="V249" s="358"/>
      <c r="W249" s="358"/>
      <c r="X249" s="358"/>
      <c r="Y249" s="358"/>
      <c r="Z249" s="354"/>
      <c r="AA249" s="354"/>
      <c r="AB249" s="354"/>
    </row>
    <row r="250" spans="1:28" ht="15.75" hidden="1" customHeight="1">
      <c r="A250" s="257">
        <v>44782</v>
      </c>
      <c r="B250" s="258" t="s">
        <v>9872</v>
      </c>
      <c r="C250" s="249">
        <v>3.75</v>
      </c>
      <c r="D250" s="249"/>
      <c r="E250" s="258" t="s">
        <v>9875</v>
      </c>
      <c r="F250" s="250" t="s">
        <v>3</v>
      </c>
      <c r="G250" s="258" t="s">
        <v>460</v>
      </c>
      <c r="H250" s="258" t="s">
        <v>9876</v>
      </c>
      <c r="I250" s="258">
        <v>3.5</v>
      </c>
      <c r="J250" s="258" t="s">
        <v>488</v>
      </c>
      <c r="K250" s="258" t="s">
        <v>9877</v>
      </c>
      <c r="L250" s="258">
        <v>4</v>
      </c>
      <c r="M250" s="258" t="s">
        <v>451</v>
      </c>
      <c r="N250" s="258">
        <v>1000000</v>
      </c>
      <c r="O250" s="258" t="s">
        <v>452</v>
      </c>
      <c r="P250" s="258" t="s">
        <v>452</v>
      </c>
      <c r="Q250" s="258" t="s">
        <v>11386</v>
      </c>
      <c r="R250" s="258" t="s">
        <v>23</v>
      </c>
      <c r="S250" s="259" t="s">
        <v>9879</v>
      </c>
      <c r="T250" s="259"/>
      <c r="U250" s="258"/>
      <c r="V250" s="258"/>
      <c r="W250" s="258"/>
      <c r="X250" s="258"/>
      <c r="Y250" s="258"/>
      <c r="Z250" s="258"/>
      <c r="AA250" s="258"/>
      <c r="AB250" s="258"/>
    </row>
    <row r="251" spans="1:28" ht="15.75" hidden="1" customHeight="1">
      <c r="A251" s="257">
        <v>44782</v>
      </c>
      <c r="B251" s="258" t="s">
        <v>280</v>
      </c>
      <c r="C251" s="249">
        <v>3.75</v>
      </c>
      <c r="D251" s="249"/>
      <c r="E251" s="258" t="s">
        <v>9516</v>
      </c>
      <c r="F251" s="250" t="s">
        <v>4</v>
      </c>
      <c r="G251" s="258" t="s">
        <v>727</v>
      </c>
      <c r="H251" s="258" t="s">
        <v>11406</v>
      </c>
      <c r="I251" s="258">
        <v>4.5</v>
      </c>
      <c r="J251" s="258" t="s">
        <v>476</v>
      </c>
      <c r="K251" s="258" t="s">
        <v>9518</v>
      </c>
      <c r="L251" s="258">
        <v>3</v>
      </c>
      <c r="M251" s="258" t="s">
        <v>784</v>
      </c>
      <c r="N251" s="258">
        <v>250000</v>
      </c>
      <c r="O251" s="258" t="s">
        <v>454</v>
      </c>
      <c r="P251" s="258" t="s">
        <v>9519</v>
      </c>
      <c r="Q251" s="258" t="s">
        <v>9520</v>
      </c>
      <c r="R251" s="258" t="s">
        <v>20</v>
      </c>
      <c r="S251" s="259" t="s">
        <v>11531</v>
      </c>
      <c r="T251" s="259"/>
      <c r="U251" s="258"/>
      <c r="V251" s="258"/>
      <c r="W251" s="258"/>
      <c r="X251" s="258"/>
      <c r="Y251" s="258"/>
      <c r="Z251" s="258"/>
      <c r="AA251" s="258"/>
      <c r="AB251" s="258"/>
    </row>
    <row r="252" spans="1:28" ht="15.75" customHeight="1">
      <c r="A252" s="507">
        <v>44784</v>
      </c>
      <c r="B252" s="358" t="s">
        <v>118</v>
      </c>
      <c r="C252" s="358">
        <v>3.75</v>
      </c>
      <c r="D252" s="250" t="str">
        <f ca="1">IFERROR(VLOOKUP(B252,'2022-2023 Third Reviews'!$C:$S,9,FALSE),"")</f>
        <v>Joshua Rubnitz
5</v>
      </c>
      <c r="E252" s="358" t="s">
        <v>846</v>
      </c>
      <c r="F252" s="358" t="s">
        <v>5</v>
      </c>
      <c r="G252" s="358" t="s">
        <v>460</v>
      </c>
      <c r="H252" s="358" t="s">
        <v>847</v>
      </c>
      <c r="I252" s="358">
        <v>4</v>
      </c>
      <c r="J252" s="358" t="s">
        <v>488</v>
      </c>
      <c r="K252" s="358" t="s">
        <v>848</v>
      </c>
      <c r="L252" s="358">
        <v>3.5</v>
      </c>
      <c r="M252" s="358" t="s">
        <v>451</v>
      </c>
      <c r="N252" s="359">
        <v>3000000</v>
      </c>
      <c r="O252" s="358" t="s">
        <v>452</v>
      </c>
      <c r="P252" s="359" t="s">
        <v>11564</v>
      </c>
      <c r="Q252" s="358"/>
      <c r="R252" s="480" t="s">
        <v>24</v>
      </c>
      <c r="S252" s="358" t="s">
        <v>850</v>
      </c>
      <c r="T252" s="358" t="s">
        <v>11817</v>
      </c>
      <c r="U252" s="358"/>
      <c r="V252" s="358"/>
      <c r="W252" s="358"/>
      <c r="X252" s="358"/>
      <c r="Y252" s="358"/>
      <c r="Z252" s="354"/>
      <c r="AA252" s="354"/>
      <c r="AB252" s="354"/>
    </row>
    <row r="253" spans="1:28" ht="15.75" hidden="1" customHeight="1">
      <c r="A253" s="280">
        <v>44784</v>
      </c>
      <c r="B253" s="281" t="s">
        <v>4313</v>
      </c>
      <c r="C253" s="282">
        <v>3.75</v>
      </c>
      <c r="D253" s="282"/>
      <c r="E253" s="281" t="s">
        <v>4316</v>
      </c>
      <c r="F253" s="281" t="s">
        <v>4</v>
      </c>
      <c r="G253" s="281" t="s">
        <v>725</v>
      </c>
      <c r="H253" s="281" t="s">
        <v>10327</v>
      </c>
      <c r="I253" s="281">
        <v>3.5</v>
      </c>
      <c r="J253" s="281" t="s">
        <v>1054</v>
      </c>
      <c r="K253" s="281" t="s">
        <v>4318</v>
      </c>
      <c r="L253" s="281">
        <v>4</v>
      </c>
      <c r="M253" s="281"/>
      <c r="N253" s="281"/>
      <c r="O253" s="281" t="s">
        <v>452</v>
      </c>
      <c r="P253" s="292" t="s">
        <v>10328</v>
      </c>
      <c r="Q253" s="281"/>
      <c r="R253" s="281" t="s">
        <v>24</v>
      </c>
      <c r="S253" s="283" t="s">
        <v>4320</v>
      </c>
      <c r="T253" s="283"/>
      <c r="U253" s="281"/>
      <c r="V253" s="281"/>
      <c r="W253" s="281"/>
      <c r="X253" s="281"/>
      <c r="Y253" s="281"/>
      <c r="Z253" s="258"/>
      <c r="AA253" s="258"/>
      <c r="AB253" s="258"/>
    </row>
    <row r="254" spans="1:28" ht="15.75" customHeight="1">
      <c r="A254" s="518">
        <v>44796</v>
      </c>
      <c r="B254" s="519" t="s">
        <v>79</v>
      </c>
      <c r="C254" s="519">
        <v>3.75</v>
      </c>
      <c r="D254" s="250" t="str">
        <f>IFERROR(VLOOKUP(B254,'2022-2023 Third Reviews'!$C:$S,9,FALSE),"")</f>
        <v/>
      </c>
      <c r="E254" s="519" t="s">
        <v>2382</v>
      </c>
      <c r="F254" s="519" t="s">
        <v>5</v>
      </c>
      <c r="G254" s="519" t="s">
        <v>460</v>
      </c>
      <c r="H254" s="519" t="s">
        <v>2383</v>
      </c>
      <c r="I254" s="519">
        <v>4</v>
      </c>
      <c r="J254" s="519" t="s">
        <v>462</v>
      </c>
      <c r="K254" s="519" t="s">
        <v>2384</v>
      </c>
      <c r="L254" s="519">
        <v>3.5</v>
      </c>
      <c r="M254" s="519" t="s">
        <v>451</v>
      </c>
      <c r="N254" s="519" t="s">
        <v>2385</v>
      </c>
      <c r="O254" s="519" t="s">
        <v>452</v>
      </c>
      <c r="P254" s="519" t="s">
        <v>10561</v>
      </c>
      <c r="Q254" s="519"/>
      <c r="R254" s="480" t="s">
        <v>24</v>
      </c>
      <c r="S254" s="519" t="s">
        <v>2387</v>
      </c>
      <c r="T254" s="519" t="s">
        <v>11835</v>
      </c>
      <c r="U254" s="519"/>
      <c r="V254" s="519"/>
      <c r="W254" s="519"/>
      <c r="X254" s="519"/>
      <c r="Y254" s="519"/>
      <c r="Z254" s="519"/>
      <c r="AA254" s="519"/>
      <c r="AB254" s="519"/>
    </row>
    <row r="255" spans="1:28" ht="15.75" hidden="1" customHeight="1">
      <c r="A255" s="280">
        <v>44784</v>
      </c>
      <c r="B255" s="281" t="s">
        <v>281</v>
      </c>
      <c r="C255" s="282">
        <v>3.75</v>
      </c>
      <c r="D255" s="282"/>
      <c r="E255" s="281" t="s">
        <v>4307</v>
      </c>
      <c r="F255" s="281" t="s">
        <v>4</v>
      </c>
      <c r="G255" s="281" t="s">
        <v>727</v>
      </c>
      <c r="H255" s="281" t="s">
        <v>10339</v>
      </c>
      <c r="I255" s="281">
        <v>4</v>
      </c>
      <c r="J255" s="281" t="s">
        <v>1054</v>
      </c>
      <c r="K255" s="281" t="s">
        <v>4309</v>
      </c>
      <c r="L255" s="281">
        <v>3.5</v>
      </c>
      <c r="M255" s="281"/>
      <c r="N255" s="281"/>
      <c r="O255" s="281" t="s">
        <v>452</v>
      </c>
      <c r="P255" s="281" t="s">
        <v>452</v>
      </c>
      <c r="Q255" s="281"/>
      <c r="R255" s="281" t="s">
        <v>18</v>
      </c>
      <c r="S255" s="283" t="s">
        <v>4310</v>
      </c>
      <c r="T255" s="283"/>
      <c r="U255" s="281"/>
      <c r="V255" s="281"/>
      <c r="W255" s="281"/>
      <c r="X255" s="281"/>
      <c r="Y255" s="281"/>
      <c r="Z255" s="258"/>
      <c r="AA255" s="258"/>
      <c r="AB255" s="258"/>
    </row>
    <row r="256" spans="1:28" ht="15.75" hidden="1" customHeight="1">
      <c r="A256" s="280">
        <v>44784</v>
      </c>
      <c r="B256" s="281" t="s">
        <v>403</v>
      </c>
      <c r="C256" s="282">
        <v>3.75</v>
      </c>
      <c r="D256" s="282"/>
      <c r="E256" s="281" t="s">
        <v>10123</v>
      </c>
      <c r="F256" s="281" t="s">
        <v>3</v>
      </c>
      <c r="G256" s="281" t="s">
        <v>460</v>
      </c>
      <c r="H256" s="281" t="s">
        <v>10124</v>
      </c>
      <c r="I256" s="281">
        <v>4</v>
      </c>
      <c r="J256" s="281" t="s">
        <v>488</v>
      </c>
      <c r="K256" s="281" t="s">
        <v>10367</v>
      </c>
      <c r="L256" s="281">
        <v>3.5</v>
      </c>
      <c r="M256" s="281" t="s">
        <v>451</v>
      </c>
      <c r="N256" s="281" t="s">
        <v>2604</v>
      </c>
      <c r="O256" s="281" t="s">
        <v>454</v>
      </c>
      <c r="P256" s="281" t="s">
        <v>10126</v>
      </c>
      <c r="Q256" s="281" t="s">
        <v>460</v>
      </c>
      <c r="R256" s="281" t="s">
        <v>20</v>
      </c>
      <c r="S256" s="283" t="s">
        <v>10127</v>
      </c>
      <c r="T256" s="283"/>
      <c r="U256" s="281"/>
      <c r="V256" s="281"/>
      <c r="W256" s="281"/>
      <c r="X256" s="281"/>
      <c r="Y256" s="281"/>
      <c r="Z256" s="258"/>
      <c r="AA256" s="258"/>
      <c r="AB256" s="258"/>
    </row>
    <row r="257" spans="1:28" ht="15.75" customHeight="1">
      <c r="A257" s="520">
        <v>44796</v>
      </c>
      <c r="B257" s="521" t="s">
        <v>352</v>
      </c>
      <c r="C257" s="521">
        <v>4</v>
      </c>
      <c r="D257" s="250" t="str">
        <f>IFERROR(VLOOKUP(B257,'2022-2023 Third Reviews'!$C:$S,9,FALSE),"")</f>
        <v/>
      </c>
      <c r="E257" s="521" t="s">
        <v>3608</v>
      </c>
      <c r="F257" s="521" t="s">
        <v>5</v>
      </c>
      <c r="G257" s="521" t="s">
        <v>460</v>
      </c>
      <c r="H257" s="521" t="s">
        <v>10570</v>
      </c>
      <c r="I257" s="521">
        <v>4</v>
      </c>
      <c r="J257" s="521" t="s">
        <v>462</v>
      </c>
      <c r="K257" s="521" t="s">
        <v>3610</v>
      </c>
      <c r="L257" s="521">
        <v>4</v>
      </c>
      <c r="M257" s="521"/>
      <c r="N257" s="521"/>
      <c r="O257" s="521" t="s">
        <v>452</v>
      </c>
      <c r="P257" s="521" t="s">
        <v>3611</v>
      </c>
      <c r="Q257" s="521"/>
      <c r="R257" s="521" t="s">
        <v>18</v>
      </c>
      <c r="S257" s="521" t="s">
        <v>11709</v>
      </c>
      <c r="T257" s="521" t="s">
        <v>11833</v>
      </c>
      <c r="U257" s="521"/>
      <c r="V257" s="521"/>
      <c r="W257" s="521"/>
      <c r="X257" s="521"/>
      <c r="Y257" s="521"/>
      <c r="Z257" s="521"/>
      <c r="AA257" s="521"/>
      <c r="AB257" s="521"/>
    </row>
    <row r="258" spans="1:28" ht="15.75" customHeight="1">
      <c r="A258" s="491">
        <v>44784</v>
      </c>
      <c r="B258" s="488" t="s">
        <v>103</v>
      </c>
      <c r="C258" s="488">
        <v>3.75</v>
      </c>
      <c r="D258" s="250" t="str">
        <f ca="1">IFERROR(VLOOKUP(B258,'2022-2023 Third Reviews'!$C:$S,9,FALSE),"")</f>
        <v>Jason Yu
4</v>
      </c>
      <c r="E258" s="488" t="s">
        <v>756</v>
      </c>
      <c r="F258" s="488" t="s">
        <v>5</v>
      </c>
      <c r="G258" s="488" t="s">
        <v>447</v>
      </c>
      <c r="H258" s="488" t="s">
        <v>10750</v>
      </c>
      <c r="I258" s="488">
        <v>4</v>
      </c>
      <c r="J258" s="488" t="s">
        <v>543</v>
      </c>
      <c r="K258" s="488" t="s">
        <v>11569</v>
      </c>
      <c r="L258" s="488">
        <v>3.5</v>
      </c>
      <c r="M258" s="488"/>
      <c r="N258" s="488"/>
      <c r="O258" s="488" t="s">
        <v>452</v>
      </c>
      <c r="P258" s="488" t="s">
        <v>759</v>
      </c>
      <c r="Q258" s="488"/>
      <c r="R258" s="488" t="s">
        <v>18</v>
      </c>
      <c r="S258" s="488" t="s">
        <v>760</v>
      </c>
      <c r="T258" s="488" t="s">
        <v>11801</v>
      </c>
      <c r="U258" s="488"/>
      <c r="V258" s="488"/>
      <c r="W258" s="488"/>
      <c r="X258" s="488"/>
      <c r="Y258" s="488"/>
      <c r="Z258" s="258"/>
      <c r="AA258" s="258"/>
      <c r="AB258" s="258"/>
    </row>
    <row r="259" spans="1:28" ht="15.75" customHeight="1">
      <c r="A259" s="510">
        <v>44784</v>
      </c>
      <c r="B259" s="366" t="s">
        <v>386</v>
      </c>
      <c r="C259" s="366">
        <v>3.75</v>
      </c>
      <c r="D259" s="250" t="str">
        <f ca="1">IFERROR(VLOOKUP(B259,'2022-2023 Third Reviews'!$C:$S,9,FALSE),"")</f>
        <v>Joshua Rubnitz
5</v>
      </c>
      <c r="E259" s="366" t="s">
        <v>10063</v>
      </c>
      <c r="F259" s="366" t="s">
        <v>5</v>
      </c>
      <c r="G259" s="366" t="s">
        <v>447</v>
      </c>
      <c r="H259" s="366" t="s">
        <v>10380</v>
      </c>
      <c r="I259" s="366">
        <v>3.5</v>
      </c>
      <c r="J259" s="366" t="s">
        <v>622</v>
      </c>
      <c r="K259" s="366" t="s">
        <v>10065</v>
      </c>
      <c r="L259" s="366">
        <v>4</v>
      </c>
      <c r="M259" s="366" t="s">
        <v>478</v>
      </c>
      <c r="N259" s="511" t="s">
        <v>10066</v>
      </c>
      <c r="O259" s="366" t="s">
        <v>452</v>
      </c>
      <c r="P259" s="366" t="s">
        <v>10381</v>
      </c>
      <c r="Q259" s="366"/>
      <c r="R259" s="366" t="s">
        <v>35</v>
      </c>
      <c r="S259" s="366" t="s">
        <v>10068</v>
      </c>
      <c r="T259" s="366" t="s">
        <v>11869</v>
      </c>
      <c r="U259" s="366"/>
      <c r="V259" s="366"/>
      <c r="W259" s="366"/>
      <c r="X259" s="366"/>
      <c r="Y259" s="366"/>
      <c r="Z259" s="366"/>
      <c r="AA259" s="366"/>
      <c r="AB259" s="366"/>
    </row>
    <row r="260" spans="1:28" ht="15.75" hidden="1" customHeight="1">
      <c r="A260" s="293">
        <v>44784</v>
      </c>
      <c r="B260" s="294" t="s">
        <v>274</v>
      </c>
      <c r="C260" s="295">
        <v>3.75</v>
      </c>
      <c r="D260" s="295"/>
      <c r="E260" s="294" t="s">
        <v>9408</v>
      </c>
      <c r="F260" s="294" t="s">
        <v>4</v>
      </c>
      <c r="G260" s="294" t="s">
        <v>447</v>
      </c>
      <c r="H260" s="294" t="s">
        <v>10642</v>
      </c>
      <c r="I260" s="294">
        <v>3</v>
      </c>
      <c r="J260" s="294" t="s">
        <v>449</v>
      </c>
      <c r="K260" s="294" t="s">
        <v>11566</v>
      </c>
      <c r="L260" s="294">
        <v>4.5</v>
      </c>
      <c r="M260" s="294"/>
      <c r="N260" s="294"/>
      <c r="O260" s="294" t="s">
        <v>452</v>
      </c>
      <c r="P260" s="296" t="s">
        <v>9411</v>
      </c>
      <c r="Q260" s="294"/>
      <c r="R260" s="294" t="s">
        <v>19</v>
      </c>
      <c r="S260" s="297" t="s">
        <v>9412</v>
      </c>
      <c r="T260" s="297"/>
      <c r="U260" s="294"/>
      <c r="V260" s="294"/>
      <c r="W260" s="294"/>
      <c r="X260" s="294"/>
      <c r="Y260" s="294"/>
      <c r="Z260" s="265"/>
      <c r="AA260" s="265"/>
      <c r="AB260" s="265"/>
    </row>
    <row r="261" spans="1:28" ht="15.75" customHeight="1">
      <c r="A261" s="495">
        <v>44789</v>
      </c>
      <c r="B261" s="354" t="s">
        <v>107</v>
      </c>
      <c r="C261" s="354">
        <v>3.75</v>
      </c>
      <c r="D261" s="250" t="str">
        <f ca="1">IFERROR(VLOOKUP(B261,'2022-2023 Third Reviews'!$C:$S,9,FALSE),"")</f>
        <v>Nick Schmandt
3</v>
      </c>
      <c r="E261" s="354" t="s">
        <v>10253</v>
      </c>
      <c r="F261" s="354" t="s">
        <v>5</v>
      </c>
      <c r="G261" s="354" t="s">
        <v>447</v>
      </c>
      <c r="H261" s="354" t="s">
        <v>10254</v>
      </c>
      <c r="I261" s="354">
        <v>3.5</v>
      </c>
      <c r="J261" s="354" t="s">
        <v>543</v>
      </c>
      <c r="K261" s="354" t="s">
        <v>11840</v>
      </c>
      <c r="L261" s="354">
        <v>4</v>
      </c>
      <c r="M261" s="354"/>
      <c r="N261" s="354"/>
      <c r="O261" s="354" t="s">
        <v>452</v>
      </c>
      <c r="P261" s="354" t="s">
        <v>452</v>
      </c>
      <c r="Q261" s="354"/>
      <c r="R261" s="354" t="s">
        <v>24</v>
      </c>
      <c r="S261" s="354" t="s">
        <v>2865</v>
      </c>
      <c r="T261" s="354" t="s">
        <v>11841</v>
      </c>
      <c r="U261" s="354"/>
      <c r="V261" s="354"/>
      <c r="W261" s="354"/>
      <c r="X261" s="354"/>
      <c r="Y261" s="354"/>
      <c r="Z261" s="354"/>
      <c r="AA261" s="354"/>
      <c r="AB261" s="354"/>
    </row>
    <row r="262" spans="1:28" ht="15.75" hidden="1" customHeight="1">
      <c r="A262" s="280">
        <v>44784</v>
      </c>
      <c r="B262" s="281" t="s">
        <v>289</v>
      </c>
      <c r="C262" s="282">
        <v>3.75</v>
      </c>
      <c r="D262" s="282"/>
      <c r="E262" s="281" t="s">
        <v>4413</v>
      </c>
      <c r="F262" s="281" t="s">
        <v>4</v>
      </c>
      <c r="G262" s="281" t="s">
        <v>727</v>
      </c>
      <c r="H262" s="281" t="s">
        <v>10737</v>
      </c>
      <c r="I262" s="281">
        <v>4</v>
      </c>
      <c r="J262" s="281" t="s">
        <v>476</v>
      </c>
      <c r="K262" s="281" t="s">
        <v>11568</v>
      </c>
      <c r="L262" s="281">
        <v>3.5</v>
      </c>
      <c r="M262" s="281" t="s">
        <v>4416</v>
      </c>
      <c r="N262" s="288">
        <v>3500000</v>
      </c>
      <c r="O262" s="281" t="s">
        <v>452</v>
      </c>
      <c r="P262" s="288" t="s">
        <v>10739</v>
      </c>
      <c r="Q262" s="281"/>
      <c r="R262" s="281" t="s">
        <v>18</v>
      </c>
      <c r="S262" s="283" t="s">
        <v>4418</v>
      </c>
      <c r="T262" s="283"/>
      <c r="U262" s="281"/>
      <c r="V262" s="281"/>
      <c r="W262" s="281"/>
      <c r="X262" s="281"/>
      <c r="Y262" s="281"/>
      <c r="Z262" s="258"/>
      <c r="AA262" s="258"/>
      <c r="AB262" s="258"/>
    </row>
    <row r="263" spans="1:28" ht="15.75" customHeight="1">
      <c r="A263" s="520">
        <v>44782</v>
      </c>
      <c r="B263" s="522" t="s">
        <v>13200</v>
      </c>
      <c r="C263" s="521">
        <v>3.75</v>
      </c>
      <c r="D263" s="250" t="str">
        <f ca="1">IFERROR(VLOOKUP(B263,'2022-2023 Third Reviews'!$C:$S,9,FALSE),"")</f>
        <v>Jason Yu
3</v>
      </c>
      <c r="E263" s="522" t="s">
        <v>13201</v>
      </c>
      <c r="F263" s="521" t="s">
        <v>5</v>
      </c>
      <c r="G263" s="521" t="s">
        <v>447</v>
      </c>
      <c r="H263" s="521" t="s">
        <v>582</v>
      </c>
      <c r="I263" s="521">
        <v>3.5</v>
      </c>
      <c r="J263" s="521" t="s">
        <v>543</v>
      </c>
      <c r="K263" s="521" t="s">
        <v>13400</v>
      </c>
      <c r="L263" s="521">
        <v>4</v>
      </c>
      <c r="M263" s="521" t="s">
        <v>478</v>
      </c>
      <c r="N263" s="523">
        <v>8500000</v>
      </c>
      <c r="O263" s="521" t="s">
        <v>452</v>
      </c>
      <c r="P263" s="522" t="s">
        <v>13202</v>
      </c>
      <c r="Q263" s="521" t="s">
        <v>585</v>
      </c>
      <c r="R263" s="481" t="s">
        <v>18</v>
      </c>
      <c r="S263" s="521" t="s">
        <v>11530</v>
      </c>
      <c r="T263" s="521" t="s">
        <v>11787</v>
      </c>
      <c r="U263" s="521"/>
      <c r="V263" s="521"/>
      <c r="W263" s="521"/>
      <c r="X263" s="521"/>
      <c r="Y263" s="521"/>
      <c r="Z263" s="521"/>
      <c r="AA263" s="521"/>
      <c r="AB263" s="521"/>
    </row>
    <row r="264" spans="1:28" ht="15.75" hidden="1" customHeight="1">
      <c r="A264" s="267">
        <v>44784</v>
      </c>
      <c r="B264" s="268" t="s">
        <v>4218</v>
      </c>
      <c r="C264" s="269">
        <v>3.75</v>
      </c>
      <c r="D264" s="269"/>
      <c r="E264" s="268" t="s">
        <v>4221</v>
      </c>
      <c r="F264" s="270" t="s">
        <v>4</v>
      </c>
      <c r="G264" s="268" t="s">
        <v>727</v>
      </c>
      <c r="H264" s="268" t="s">
        <v>10752</v>
      </c>
      <c r="I264" s="268">
        <v>3.5</v>
      </c>
      <c r="J264" s="268" t="s">
        <v>476</v>
      </c>
      <c r="K264" s="268" t="s">
        <v>11570</v>
      </c>
      <c r="L264" s="268">
        <v>4</v>
      </c>
      <c r="M264" s="268" t="s">
        <v>451</v>
      </c>
      <c r="N264" s="268">
        <v>3000000</v>
      </c>
      <c r="O264" s="268" t="s">
        <v>452</v>
      </c>
      <c r="P264" s="268" t="s">
        <v>4224</v>
      </c>
      <c r="Q264" s="268"/>
      <c r="R264" s="268" t="s">
        <v>24</v>
      </c>
      <c r="S264" s="271"/>
      <c r="T264" s="271"/>
      <c r="U264" s="268"/>
      <c r="V264" s="268"/>
      <c r="W264" s="268"/>
      <c r="X264" s="268"/>
      <c r="Y264" s="268"/>
      <c r="Z264" s="219"/>
      <c r="AA264" s="219"/>
      <c r="AB264" s="219"/>
    </row>
    <row r="265" spans="1:28" ht="15.75" hidden="1" customHeight="1">
      <c r="A265" s="267">
        <v>44784</v>
      </c>
      <c r="B265" s="272" t="s">
        <v>4255</v>
      </c>
      <c r="C265" s="269">
        <v>3.75</v>
      </c>
      <c r="D265" s="269"/>
      <c r="E265" s="272" t="s">
        <v>10886</v>
      </c>
      <c r="F265" s="270" t="s">
        <v>4</v>
      </c>
      <c r="G265" s="272" t="s">
        <v>602</v>
      </c>
      <c r="H265" s="272" t="s">
        <v>10887</v>
      </c>
      <c r="I265" s="272">
        <v>4</v>
      </c>
      <c r="J265" s="272" t="s">
        <v>476</v>
      </c>
      <c r="K265" s="272" t="s">
        <v>11571</v>
      </c>
      <c r="L265" s="272">
        <v>3.5</v>
      </c>
      <c r="M265" s="272" t="s">
        <v>784</v>
      </c>
      <c r="N265" s="272">
        <v>600000</v>
      </c>
      <c r="O265" s="272" t="s">
        <v>465</v>
      </c>
      <c r="P265" s="272" t="s">
        <v>575</v>
      </c>
      <c r="Q265" s="272" t="s">
        <v>4261</v>
      </c>
      <c r="R265" s="272" t="s">
        <v>24</v>
      </c>
      <c r="S265" s="274"/>
      <c r="T265" s="274"/>
      <c r="U265" s="272"/>
      <c r="V265" s="272"/>
      <c r="W265" s="272"/>
      <c r="X265" s="272"/>
      <c r="Y265" s="272"/>
      <c r="Z265" s="224"/>
      <c r="AA265" s="224"/>
      <c r="AB265" s="224"/>
    </row>
    <row r="266" spans="1:28" ht="15.75" hidden="1" customHeight="1">
      <c r="A266" s="267">
        <v>44784</v>
      </c>
      <c r="B266" s="268" t="s">
        <v>4385</v>
      </c>
      <c r="C266" s="269">
        <v>3.75</v>
      </c>
      <c r="D266" s="269"/>
      <c r="E266" s="268" t="s">
        <v>4388</v>
      </c>
      <c r="F266" s="270" t="s">
        <v>4</v>
      </c>
      <c r="G266" s="268" t="s">
        <v>602</v>
      </c>
      <c r="H266" s="268" t="s">
        <v>11572</v>
      </c>
      <c r="I266" s="268">
        <v>4</v>
      </c>
      <c r="J266" s="268" t="s">
        <v>476</v>
      </c>
      <c r="K266" s="268" t="s">
        <v>11573</v>
      </c>
      <c r="L266" s="268">
        <v>3.5</v>
      </c>
      <c r="M266" s="268"/>
      <c r="N266" s="268"/>
      <c r="O266" s="268" t="s">
        <v>452</v>
      </c>
      <c r="P266" s="268" t="s">
        <v>11009</v>
      </c>
      <c r="Q266" s="268"/>
      <c r="R266" s="268" t="s">
        <v>24</v>
      </c>
      <c r="S266" s="271"/>
      <c r="T266" s="271"/>
      <c r="U266" s="268"/>
      <c r="V266" s="268"/>
      <c r="W266" s="268"/>
      <c r="X266" s="268"/>
      <c r="Y266" s="268"/>
      <c r="Z266" s="219"/>
      <c r="AA266" s="219"/>
      <c r="AB266" s="219"/>
    </row>
    <row r="267" spans="1:28" ht="15.75" hidden="1" customHeight="1">
      <c r="A267" s="280">
        <v>44784</v>
      </c>
      <c r="B267" s="281" t="s">
        <v>370</v>
      </c>
      <c r="C267" s="282">
        <v>3.75</v>
      </c>
      <c r="D267" s="282"/>
      <c r="E267" s="281" t="s">
        <v>2084</v>
      </c>
      <c r="F267" s="281" t="s">
        <v>3</v>
      </c>
      <c r="G267" s="281" t="s">
        <v>460</v>
      </c>
      <c r="H267" s="281" t="s">
        <v>2085</v>
      </c>
      <c r="I267" s="281">
        <v>4</v>
      </c>
      <c r="J267" s="281" t="s">
        <v>941</v>
      </c>
      <c r="K267" s="281" t="s">
        <v>2086</v>
      </c>
      <c r="L267" s="281">
        <v>3.5</v>
      </c>
      <c r="M267" s="281" t="s">
        <v>451</v>
      </c>
      <c r="N267" s="288">
        <v>7500000</v>
      </c>
      <c r="O267" s="281" t="s">
        <v>465</v>
      </c>
      <c r="P267" s="288" t="s">
        <v>452</v>
      </c>
      <c r="Q267" s="281"/>
      <c r="R267" s="281" t="s">
        <v>20</v>
      </c>
      <c r="S267" s="283" t="s">
        <v>2087</v>
      </c>
      <c r="T267" s="283"/>
      <c r="U267" s="281"/>
      <c r="V267" s="281"/>
      <c r="W267" s="281"/>
      <c r="X267" s="281"/>
      <c r="Y267" s="281"/>
      <c r="Z267" s="258"/>
      <c r="AA267" s="258"/>
      <c r="AB267" s="258"/>
    </row>
    <row r="268" spans="1:28" ht="15.75" hidden="1" customHeight="1">
      <c r="A268" s="267">
        <v>44784</v>
      </c>
      <c r="B268" s="268" t="s">
        <v>4341</v>
      </c>
      <c r="C268" s="269">
        <v>3.75</v>
      </c>
      <c r="D268" s="269"/>
      <c r="E268" s="268" t="s">
        <v>4344</v>
      </c>
      <c r="F268" s="270" t="s">
        <v>4</v>
      </c>
      <c r="G268" s="268" t="s">
        <v>727</v>
      </c>
      <c r="H268" s="268" t="s">
        <v>10486</v>
      </c>
      <c r="I268" s="268">
        <v>4</v>
      </c>
      <c r="J268" s="268" t="s">
        <v>476</v>
      </c>
      <c r="K268" s="268" t="s">
        <v>13400</v>
      </c>
      <c r="L268" s="268">
        <v>3.5</v>
      </c>
      <c r="M268" s="268" t="s">
        <v>923</v>
      </c>
      <c r="N268" s="285">
        <v>1000000</v>
      </c>
      <c r="O268" s="268" t="s">
        <v>452</v>
      </c>
      <c r="P268" s="285" t="s">
        <v>575</v>
      </c>
      <c r="Q268" s="268"/>
      <c r="R268" s="268" t="s">
        <v>24</v>
      </c>
      <c r="S268" s="271"/>
      <c r="T268" s="271"/>
      <c r="U268" s="268"/>
      <c r="V268" s="268"/>
      <c r="W268" s="268"/>
      <c r="X268" s="268"/>
      <c r="Y268" s="268"/>
      <c r="Z268" s="219"/>
      <c r="AA268" s="219"/>
      <c r="AB268" s="219"/>
    </row>
    <row r="269" spans="1:28" ht="15.75" customHeight="1">
      <c r="A269" s="398">
        <v>44784</v>
      </c>
      <c r="B269" s="481" t="s">
        <v>72</v>
      </c>
      <c r="C269" s="482">
        <v>4.75</v>
      </c>
      <c r="D269" s="250" t="str">
        <f>IFERROR(VLOOKUP(B269,'2022-2023 Third Reviews'!$C:$S,9,FALSE),"")</f>
        <v/>
      </c>
      <c r="E269" s="481" t="s">
        <v>521</v>
      </c>
      <c r="F269" s="482" t="s">
        <v>5</v>
      </c>
      <c r="G269" s="481" t="s">
        <v>447</v>
      </c>
      <c r="H269" s="481" t="s">
        <v>11266</v>
      </c>
      <c r="I269" s="481">
        <v>4.5</v>
      </c>
      <c r="J269" s="481" t="s">
        <v>449</v>
      </c>
      <c r="K269" s="481" t="s">
        <v>11547</v>
      </c>
      <c r="L269" s="481">
        <v>5</v>
      </c>
      <c r="M269" s="481" t="s">
        <v>478</v>
      </c>
      <c r="N269" s="483">
        <v>16000000</v>
      </c>
      <c r="O269" s="481" t="s">
        <v>452</v>
      </c>
      <c r="P269" s="483" t="s">
        <v>11268</v>
      </c>
      <c r="Q269" s="481" t="s">
        <v>525</v>
      </c>
      <c r="R269" s="481" t="s">
        <v>18</v>
      </c>
      <c r="S269" s="481" t="s">
        <v>526</v>
      </c>
      <c r="T269" s="481" t="s">
        <v>11778</v>
      </c>
      <c r="U269" s="481"/>
      <c r="V269" s="481"/>
      <c r="W269" s="481"/>
      <c r="X269" s="481"/>
      <c r="Y269" s="481"/>
      <c r="Z269" s="224"/>
      <c r="AA269" s="224"/>
      <c r="AB269" s="224"/>
    </row>
    <row r="270" spans="1:28" ht="15.75" hidden="1" customHeight="1">
      <c r="A270" s="257">
        <v>44789</v>
      </c>
      <c r="B270" s="258" t="s">
        <v>405</v>
      </c>
      <c r="C270" s="263">
        <v>3.75</v>
      </c>
      <c r="D270" s="263"/>
      <c r="E270" s="258" t="s">
        <v>10132</v>
      </c>
      <c r="F270" s="258" t="s">
        <v>3</v>
      </c>
      <c r="G270" s="258" t="s">
        <v>460</v>
      </c>
      <c r="H270" s="258" t="s">
        <v>10133</v>
      </c>
      <c r="I270" s="258">
        <v>4</v>
      </c>
      <c r="J270" s="258" t="s">
        <v>488</v>
      </c>
      <c r="K270" s="258" t="s">
        <v>10491</v>
      </c>
      <c r="L270" s="258">
        <v>3.5</v>
      </c>
      <c r="M270" s="258" t="s">
        <v>784</v>
      </c>
      <c r="N270" s="258">
        <v>2000000</v>
      </c>
      <c r="O270" s="258" t="s">
        <v>452</v>
      </c>
      <c r="P270" s="258" t="s">
        <v>10135</v>
      </c>
      <c r="Q270" s="258" t="s">
        <v>460</v>
      </c>
      <c r="R270" s="258" t="s">
        <v>20</v>
      </c>
      <c r="S270" s="259" t="s">
        <v>10136</v>
      </c>
      <c r="T270" s="259"/>
      <c r="U270" s="258"/>
      <c r="V270" s="258"/>
      <c r="W270" s="258"/>
      <c r="X270" s="258"/>
      <c r="Y270" s="258"/>
      <c r="Z270" s="258"/>
      <c r="AA270" s="258"/>
      <c r="AB270" s="258"/>
    </row>
    <row r="271" spans="1:28" ht="15.75" hidden="1" customHeight="1">
      <c r="A271" s="257">
        <v>44789</v>
      </c>
      <c r="B271" s="258" t="s">
        <v>364</v>
      </c>
      <c r="C271" s="263">
        <v>3.75</v>
      </c>
      <c r="D271" s="263"/>
      <c r="E271" s="258" t="s">
        <v>9794</v>
      </c>
      <c r="F271" s="258" t="s">
        <v>3</v>
      </c>
      <c r="G271" s="258" t="s">
        <v>460</v>
      </c>
      <c r="H271" s="258" t="s">
        <v>9795</v>
      </c>
      <c r="I271" s="258">
        <v>3.5</v>
      </c>
      <c r="J271" s="258" t="s">
        <v>941</v>
      </c>
      <c r="K271" s="258"/>
      <c r="L271" s="258">
        <v>4</v>
      </c>
      <c r="M271" s="258"/>
      <c r="N271" s="258"/>
      <c r="O271" s="258" t="s">
        <v>452</v>
      </c>
      <c r="P271" s="258" t="s">
        <v>452</v>
      </c>
      <c r="Q271" s="258" t="s">
        <v>9796</v>
      </c>
      <c r="R271" s="258" t="s">
        <v>20</v>
      </c>
      <c r="S271" s="259" t="s">
        <v>9797</v>
      </c>
      <c r="T271" s="259"/>
      <c r="U271" s="258"/>
      <c r="V271" s="258"/>
      <c r="W271" s="258"/>
      <c r="X271" s="258"/>
      <c r="Y271" s="258"/>
      <c r="Z271" s="258"/>
      <c r="AA271" s="258"/>
      <c r="AB271" s="258"/>
    </row>
    <row r="272" spans="1:28" ht="15.75" hidden="1" customHeight="1">
      <c r="A272" s="257">
        <v>44789</v>
      </c>
      <c r="B272" s="258" t="s">
        <v>4189</v>
      </c>
      <c r="C272" s="263">
        <v>3.75</v>
      </c>
      <c r="D272" s="263"/>
      <c r="E272" s="258" t="s">
        <v>4192</v>
      </c>
      <c r="F272" s="258" t="s">
        <v>4</v>
      </c>
      <c r="G272" s="258" t="s">
        <v>602</v>
      </c>
      <c r="H272" s="258" t="s">
        <v>4193</v>
      </c>
      <c r="I272" s="258">
        <v>4</v>
      </c>
      <c r="J272" s="258" t="s">
        <v>1054</v>
      </c>
      <c r="K272" s="258" t="s">
        <v>4194</v>
      </c>
      <c r="L272" s="258">
        <v>3.5</v>
      </c>
      <c r="M272" s="258" t="s">
        <v>478</v>
      </c>
      <c r="N272" s="258" t="s">
        <v>3870</v>
      </c>
      <c r="O272" s="258" t="s">
        <v>452</v>
      </c>
      <c r="P272" s="258" t="s">
        <v>4195</v>
      </c>
      <c r="Q272" s="258"/>
      <c r="R272" s="258" t="s">
        <v>24</v>
      </c>
      <c r="S272" s="259" t="s">
        <v>11621</v>
      </c>
      <c r="T272" s="259"/>
      <c r="U272" s="252"/>
      <c r="V272" s="252"/>
      <c r="W272" s="252"/>
      <c r="X272" s="219"/>
      <c r="Y272" s="219"/>
      <c r="Z272" s="219"/>
      <c r="AA272" s="219"/>
      <c r="AB272" s="219"/>
    </row>
    <row r="273" spans="1:28" ht="15.75" hidden="1" customHeight="1">
      <c r="A273" s="257">
        <v>44789</v>
      </c>
      <c r="B273" s="258" t="s">
        <v>199</v>
      </c>
      <c r="C273" s="263">
        <v>3.75</v>
      </c>
      <c r="D273" s="263"/>
      <c r="E273" s="258" t="s">
        <v>1253</v>
      </c>
      <c r="F273" s="258" t="s">
        <v>4</v>
      </c>
      <c r="G273" s="258" t="s">
        <v>602</v>
      </c>
      <c r="H273" s="258" t="s">
        <v>1254</v>
      </c>
      <c r="I273" s="258">
        <v>4</v>
      </c>
      <c r="J273" s="258" t="s">
        <v>1054</v>
      </c>
      <c r="K273" s="258" t="s">
        <v>11622</v>
      </c>
      <c r="L273" s="258">
        <v>3.5</v>
      </c>
      <c r="M273" s="258" t="s">
        <v>451</v>
      </c>
      <c r="N273" s="309">
        <v>2000000</v>
      </c>
      <c r="O273" s="258" t="s">
        <v>465</v>
      </c>
      <c r="P273" s="258" t="s">
        <v>1256</v>
      </c>
      <c r="Q273" s="258"/>
      <c r="R273" s="258" t="s">
        <v>18</v>
      </c>
      <c r="S273" s="259" t="s">
        <v>11623</v>
      </c>
      <c r="T273" s="259"/>
      <c r="U273" s="258"/>
      <c r="V273" s="258"/>
      <c r="W273" s="258"/>
      <c r="X273" s="258"/>
      <c r="Y273" s="258"/>
      <c r="Z273" s="258"/>
      <c r="AA273" s="258"/>
      <c r="AB273" s="258"/>
    </row>
    <row r="274" spans="1:28" ht="15.75" hidden="1" customHeight="1">
      <c r="A274" s="257">
        <v>44789</v>
      </c>
      <c r="B274" s="258" t="s">
        <v>4331</v>
      </c>
      <c r="C274" s="263">
        <v>3.75</v>
      </c>
      <c r="D274" s="263"/>
      <c r="E274" s="258" t="s">
        <v>4334</v>
      </c>
      <c r="F274" s="258" t="s">
        <v>4</v>
      </c>
      <c r="G274" s="258" t="s">
        <v>602</v>
      </c>
      <c r="H274" s="258" t="s">
        <v>4335</v>
      </c>
      <c r="I274" s="258">
        <v>3.5</v>
      </c>
      <c r="J274" s="258" t="s">
        <v>476</v>
      </c>
      <c r="K274" s="258" t="s">
        <v>13400</v>
      </c>
      <c r="L274" s="258">
        <v>4</v>
      </c>
      <c r="M274" s="258" t="s">
        <v>451</v>
      </c>
      <c r="N274" s="258">
        <v>500</v>
      </c>
      <c r="O274" s="258" t="s">
        <v>452</v>
      </c>
      <c r="P274" s="258" t="s">
        <v>4337</v>
      </c>
      <c r="Q274" s="258"/>
      <c r="R274" s="258" t="s">
        <v>24</v>
      </c>
      <c r="S274" s="259" t="s">
        <v>4338</v>
      </c>
      <c r="T274" s="259"/>
      <c r="U274" s="258"/>
      <c r="V274" s="258"/>
      <c r="W274" s="258"/>
      <c r="X274" s="258"/>
      <c r="Y274" s="258"/>
      <c r="Z274" s="258"/>
      <c r="AA274" s="258"/>
      <c r="AB274" s="258"/>
    </row>
    <row r="275" spans="1:28" ht="15.75" hidden="1" customHeight="1">
      <c r="A275" s="257">
        <v>44789</v>
      </c>
      <c r="B275" s="258" t="s">
        <v>322</v>
      </c>
      <c r="C275" s="263">
        <v>3.75</v>
      </c>
      <c r="D275" s="263"/>
      <c r="E275" s="258" t="s">
        <v>1782</v>
      </c>
      <c r="F275" s="258" t="s">
        <v>3</v>
      </c>
      <c r="G275" s="258" t="s">
        <v>460</v>
      </c>
      <c r="H275" s="258" t="s">
        <v>1783</v>
      </c>
      <c r="I275" s="258">
        <v>4</v>
      </c>
      <c r="J275" s="258" t="s">
        <v>462</v>
      </c>
      <c r="K275" s="258" t="s">
        <v>1784</v>
      </c>
      <c r="L275" s="258">
        <v>3.5</v>
      </c>
      <c r="M275" s="258" t="s">
        <v>451</v>
      </c>
      <c r="N275" s="309">
        <v>3000000</v>
      </c>
      <c r="O275" s="258" t="s">
        <v>452</v>
      </c>
      <c r="P275" s="258" t="s">
        <v>1785</v>
      </c>
      <c r="Q275" s="258"/>
      <c r="R275" s="258" t="s">
        <v>20</v>
      </c>
      <c r="S275" s="259" t="s">
        <v>1786</v>
      </c>
      <c r="T275" s="259"/>
      <c r="U275" s="258"/>
      <c r="V275" s="258"/>
      <c r="W275" s="258"/>
      <c r="X275" s="258"/>
      <c r="Y275" s="258"/>
      <c r="Z275" s="258"/>
      <c r="AA275" s="258"/>
      <c r="AB275" s="258"/>
    </row>
    <row r="276" spans="1:28" ht="15.75" hidden="1" customHeight="1">
      <c r="A276" s="248">
        <v>44789</v>
      </c>
      <c r="B276" s="219" t="s">
        <v>4394</v>
      </c>
      <c r="C276" s="249">
        <v>3.75</v>
      </c>
      <c r="D276" s="249"/>
      <c r="E276" s="219" t="s">
        <v>4397</v>
      </c>
      <c r="F276" s="250" t="s">
        <v>4</v>
      </c>
      <c r="G276" s="219" t="s">
        <v>602</v>
      </c>
      <c r="H276" s="219" t="s">
        <v>11073</v>
      </c>
      <c r="I276" s="219">
        <v>4</v>
      </c>
      <c r="J276" s="219" t="s">
        <v>1054</v>
      </c>
      <c r="K276" s="219" t="s">
        <v>4399</v>
      </c>
      <c r="L276" s="219">
        <v>3.5</v>
      </c>
      <c r="M276" s="219" t="s">
        <v>451</v>
      </c>
      <c r="N276" s="312">
        <v>2000000</v>
      </c>
      <c r="O276" s="219" t="s">
        <v>452</v>
      </c>
      <c r="P276" s="524" t="s">
        <v>4400</v>
      </c>
      <c r="Q276" s="219" t="s">
        <v>585</v>
      </c>
      <c r="R276" s="219" t="s">
        <v>24</v>
      </c>
      <c r="S276" s="251"/>
      <c r="T276" s="251"/>
      <c r="U276" s="252"/>
      <c r="V276" s="252"/>
      <c r="W276" s="252"/>
      <c r="X276" s="219"/>
      <c r="Y276" s="219"/>
      <c r="Z276" s="219"/>
      <c r="AA276" s="219"/>
      <c r="AB276" s="219"/>
    </row>
    <row r="277" spans="1:28" ht="15.75" hidden="1" customHeight="1">
      <c r="A277" s="257">
        <v>44789</v>
      </c>
      <c r="B277" s="258" t="s">
        <v>267</v>
      </c>
      <c r="C277" s="263">
        <v>3.75</v>
      </c>
      <c r="D277" s="263"/>
      <c r="E277" s="258" t="s">
        <v>1542</v>
      </c>
      <c r="F277" s="258" t="s">
        <v>4</v>
      </c>
      <c r="G277" s="258" t="s">
        <v>602</v>
      </c>
      <c r="H277" s="258" t="s">
        <v>1543</v>
      </c>
      <c r="I277" s="258">
        <v>3.5</v>
      </c>
      <c r="J277" s="258" t="s">
        <v>727</v>
      </c>
      <c r="K277" s="258" t="s">
        <v>10742</v>
      </c>
      <c r="L277" s="258">
        <v>4</v>
      </c>
      <c r="M277" s="258" t="s">
        <v>784</v>
      </c>
      <c r="N277" s="309">
        <v>550000</v>
      </c>
      <c r="O277" s="258" t="s">
        <v>454</v>
      </c>
      <c r="P277" s="258" t="s">
        <v>452</v>
      </c>
      <c r="Q277" s="258" t="s">
        <v>447</v>
      </c>
      <c r="R277" s="258" t="s">
        <v>18</v>
      </c>
      <c r="S277" s="259" t="s">
        <v>1545</v>
      </c>
      <c r="T277" s="259"/>
      <c r="U277" s="258"/>
      <c r="V277" s="258"/>
      <c r="W277" s="258"/>
      <c r="X277" s="258"/>
      <c r="Y277" s="258"/>
      <c r="Z277" s="258"/>
      <c r="AA277" s="258"/>
      <c r="AB277" s="258"/>
    </row>
    <row r="278" spans="1:28" ht="15.75" hidden="1" customHeight="1">
      <c r="A278" s="257">
        <v>44789</v>
      </c>
      <c r="B278" s="258" t="s">
        <v>8474</v>
      </c>
      <c r="C278" s="263">
        <v>3.75</v>
      </c>
      <c r="D278" s="263"/>
      <c r="E278" s="258" t="s">
        <v>8477</v>
      </c>
      <c r="F278" s="258" t="s">
        <v>3</v>
      </c>
      <c r="G278" s="258" t="s">
        <v>488</v>
      </c>
      <c r="H278" s="258" t="s">
        <v>8478</v>
      </c>
      <c r="I278" s="258">
        <v>3.5</v>
      </c>
      <c r="J278" s="258" t="s">
        <v>462</v>
      </c>
      <c r="K278" s="258" t="s">
        <v>8479</v>
      </c>
      <c r="L278" s="258">
        <v>4</v>
      </c>
      <c r="M278" s="258" t="s">
        <v>478</v>
      </c>
      <c r="N278" s="258" t="s">
        <v>8480</v>
      </c>
      <c r="O278" s="258" t="s">
        <v>452</v>
      </c>
      <c r="P278" s="258" t="s">
        <v>8481</v>
      </c>
      <c r="Q278" s="258"/>
      <c r="R278" s="258" t="s">
        <v>24</v>
      </c>
      <c r="S278" s="259" t="s">
        <v>8482</v>
      </c>
      <c r="T278" s="259"/>
      <c r="U278" s="258"/>
      <c r="V278" s="258"/>
      <c r="W278" s="258"/>
      <c r="X278" s="258"/>
      <c r="Y278" s="258"/>
      <c r="Z278" s="258"/>
      <c r="AA278" s="258"/>
      <c r="AB278" s="258"/>
    </row>
    <row r="279" spans="1:28" ht="15.75" hidden="1" customHeight="1">
      <c r="A279" s="257">
        <v>44789</v>
      </c>
      <c r="B279" s="258" t="s">
        <v>410</v>
      </c>
      <c r="C279" s="263">
        <v>3.75</v>
      </c>
      <c r="D279" s="263"/>
      <c r="E279" s="258" t="s">
        <v>9977</v>
      </c>
      <c r="F279" s="258" t="s">
        <v>3</v>
      </c>
      <c r="G279" s="258" t="s">
        <v>460</v>
      </c>
      <c r="H279" s="258" t="s">
        <v>9978</v>
      </c>
      <c r="I279" s="258">
        <v>4</v>
      </c>
      <c r="J279" s="258" t="s">
        <v>462</v>
      </c>
      <c r="K279" s="258" t="s">
        <v>9979</v>
      </c>
      <c r="L279" s="258">
        <v>3.5</v>
      </c>
      <c r="M279" s="258" t="s">
        <v>784</v>
      </c>
      <c r="N279" s="309">
        <v>500000</v>
      </c>
      <c r="O279" s="258" t="s">
        <v>452</v>
      </c>
      <c r="P279" s="258" t="s">
        <v>452</v>
      </c>
      <c r="Q279" s="258" t="s">
        <v>9980</v>
      </c>
      <c r="R279" s="258" t="s">
        <v>20</v>
      </c>
      <c r="S279" s="259" t="s">
        <v>9981</v>
      </c>
      <c r="T279" s="259"/>
      <c r="U279" s="258"/>
      <c r="V279" s="258"/>
      <c r="W279" s="258"/>
      <c r="X279" s="258"/>
      <c r="Y279" s="258"/>
      <c r="Z279" s="258"/>
      <c r="AA279" s="258"/>
      <c r="AB279" s="258"/>
    </row>
    <row r="280" spans="1:28" ht="15.75" hidden="1" customHeight="1">
      <c r="A280" s="257">
        <v>44791</v>
      </c>
      <c r="B280" s="258" t="s">
        <v>312</v>
      </c>
      <c r="C280" s="263">
        <v>3.75</v>
      </c>
      <c r="D280" s="263"/>
      <c r="E280" s="258" t="s">
        <v>9661</v>
      </c>
      <c r="F280" s="258" t="s">
        <v>3</v>
      </c>
      <c r="G280" s="258" t="s">
        <v>460</v>
      </c>
      <c r="H280" s="258" t="s">
        <v>9662</v>
      </c>
      <c r="I280" s="258">
        <v>3.5</v>
      </c>
      <c r="J280" s="258" t="s">
        <v>462</v>
      </c>
      <c r="K280" s="258" t="s">
        <v>9663</v>
      </c>
      <c r="L280" s="258">
        <v>4</v>
      </c>
      <c r="M280" s="258" t="s">
        <v>451</v>
      </c>
      <c r="N280" s="261">
        <v>3000000</v>
      </c>
      <c r="O280" s="258" t="s">
        <v>452</v>
      </c>
      <c r="P280" s="258" t="s">
        <v>575</v>
      </c>
      <c r="Q280" s="258" t="s">
        <v>460</v>
      </c>
      <c r="R280" s="258" t="s">
        <v>18</v>
      </c>
      <c r="S280" s="259" t="s">
        <v>9664</v>
      </c>
      <c r="T280" s="259"/>
      <c r="U280" s="258"/>
      <c r="V280" s="258"/>
      <c r="W280" s="258"/>
      <c r="X280" s="258"/>
      <c r="Y280" s="258"/>
      <c r="Z280" s="258"/>
      <c r="AA280" s="258"/>
      <c r="AB280" s="258"/>
    </row>
    <row r="281" spans="1:28" ht="15.75" hidden="1" customHeight="1">
      <c r="A281" s="257">
        <v>44791</v>
      </c>
      <c r="B281" s="258" t="s">
        <v>9769</v>
      </c>
      <c r="C281" s="263">
        <v>3.75</v>
      </c>
      <c r="D281" s="263"/>
      <c r="E281" s="258" t="s">
        <v>9772</v>
      </c>
      <c r="F281" s="258" t="s">
        <v>3</v>
      </c>
      <c r="G281" s="258" t="s">
        <v>460</v>
      </c>
      <c r="H281" s="258" t="s">
        <v>11665</v>
      </c>
      <c r="I281" s="258">
        <v>3.5</v>
      </c>
      <c r="J281" s="258" t="s">
        <v>941</v>
      </c>
      <c r="K281" s="258" t="s">
        <v>9773</v>
      </c>
      <c r="L281" s="258">
        <v>4</v>
      </c>
      <c r="M281" s="258" t="s">
        <v>784</v>
      </c>
      <c r="N281" s="309">
        <v>300000</v>
      </c>
      <c r="O281" s="258" t="s">
        <v>452</v>
      </c>
      <c r="P281" s="258" t="s">
        <v>452</v>
      </c>
      <c r="Q281" s="258"/>
      <c r="R281" s="258" t="s">
        <v>23</v>
      </c>
      <c r="S281" s="259" t="s">
        <v>9774</v>
      </c>
      <c r="T281" s="259"/>
      <c r="U281" s="258"/>
      <c r="V281" s="258"/>
      <c r="W281" s="258"/>
      <c r="X281" s="258"/>
      <c r="Y281" s="258"/>
      <c r="Z281" s="258"/>
      <c r="AA281" s="258"/>
      <c r="AB281" s="258"/>
    </row>
    <row r="282" spans="1:28" ht="15.75" hidden="1" customHeight="1">
      <c r="A282" s="248">
        <v>44791</v>
      </c>
      <c r="B282" s="219" t="s">
        <v>4296</v>
      </c>
      <c r="C282" s="315">
        <v>3.75</v>
      </c>
      <c r="D282" s="315"/>
      <c r="E282" s="219" t="s">
        <v>4299</v>
      </c>
      <c r="F282" s="219" t="s">
        <v>4</v>
      </c>
      <c r="G282" s="219" t="s">
        <v>727</v>
      </c>
      <c r="H282" s="219" t="s">
        <v>10496</v>
      </c>
      <c r="I282" s="219">
        <v>3.5</v>
      </c>
      <c r="J282" s="219" t="s">
        <v>1281</v>
      </c>
      <c r="K282" s="219" t="s">
        <v>4301</v>
      </c>
      <c r="L282" s="219">
        <v>4</v>
      </c>
      <c r="M282" s="219"/>
      <c r="N282" s="312"/>
      <c r="O282" s="219" t="s">
        <v>452</v>
      </c>
      <c r="P282" s="219" t="s">
        <v>4302</v>
      </c>
      <c r="Q282" s="219"/>
      <c r="R282" s="219" t="s">
        <v>24</v>
      </c>
      <c r="S282" s="251"/>
      <c r="T282" s="251"/>
      <c r="U282" s="219"/>
      <c r="V282" s="219"/>
      <c r="W282" s="219"/>
      <c r="X282" s="219"/>
      <c r="Y282" s="219"/>
      <c r="Z282" s="219"/>
      <c r="AA282" s="219"/>
      <c r="AB282" s="219"/>
    </row>
    <row r="283" spans="1:28" ht="15.75" hidden="1" customHeight="1">
      <c r="A283" s="253">
        <v>44791</v>
      </c>
      <c r="B283" s="224" t="s">
        <v>4236</v>
      </c>
      <c r="C283" s="316">
        <v>3.75</v>
      </c>
      <c r="D283" s="316"/>
      <c r="E283" s="224" t="s">
        <v>4239</v>
      </c>
      <c r="F283" s="224" t="s">
        <v>4</v>
      </c>
      <c r="G283" s="224" t="s">
        <v>727</v>
      </c>
      <c r="H283" s="224" t="s">
        <v>10505</v>
      </c>
      <c r="I283" s="224">
        <v>3.5</v>
      </c>
      <c r="J283" s="224" t="s">
        <v>1187</v>
      </c>
      <c r="K283" s="224" t="s">
        <v>4241</v>
      </c>
      <c r="L283" s="224">
        <v>4</v>
      </c>
      <c r="M283" s="224" t="s">
        <v>451</v>
      </c>
      <c r="N283" s="224" t="s">
        <v>4242</v>
      </c>
      <c r="O283" s="224" t="s">
        <v>452</v>
      </c>
      <c r="P283" s="224" t="s">
        <v>452</v>
      </c>
      <c r="Q283" s="224"/>
      <c r="R283" s="224" t="s">
        <v>24</v>
      </c>
      <c r="S283" s="254"/>
      <c r="T283" s="254"/>
      <c r="U283" s="224"/>
      <c r="V283" s="224"/>
      <c r="W283" s="224"/>
      <c r="X283" s="224"/>
      <c r="Y283" s="224"/>
      <c r="Z283" s="224"/>
      <c r="AA283" s="224"/>
      <c r="AB283" s="224"/>
    </row>
    <row r="284" spans="1:28" ht="15.75" hidden="1" customHeight="1">
      <c r="A284" s="248">
        <v>44791</v>
      </c>
      <c r="B284" s="219" t="s">
        <v>4322</v>
      </c>
      <c r="C284" s="315">
        <v>3.75</v>
      </c>
      <c r="D284" s="315"/>
      <c r="E284" s="219" t="s">
        <v>10571</v>
      </c>
      <c r="F284" s="219" t="s">
        <v>4</v>
      </c>
      <c r="G284" s="219" t="s">
        <v>727</v>
      </c>
      <c r="H284" s="219" t="s">
        <v>10572</v>
      </c>
      <c r="I284" s="219">
        <v>3.5</v>
      </c>
      <c r="J284" s="219" t="s">
        <v>1298</v>
      </c>
      <c r="K284" s="219" t="s">
        <v>4327</v>
      </c>
      <c r="L284" s="219">
        <v>4</v>
      </c>
      <c r="M284" s="219" t="s">
        <v>451</v>
      </c>
      <c r="N284" s="219" t="s">
        <v>943</v>
      </c>
      <c r="O284" s="219" t="s">
        <v>452</v>
      </c>
      <c r="P284" s="219" t="s">
        <v>4328</v>
      </c>
      <c r="Q284" s="219"/>
      <c r="R284" s="219" t="s">
        <v>24</v>
      </c>
      <c r="S284" s="251"/>
      <c r="T284" s="251"/>
      <c r="U284" s="219"/>
      <c r="V284" s="219"/>
      <c r="W284" s="219"/>
      <c r="X284" s="219"/>
      <c r="Y284" s="219"/>
      <c r="Z284" s="219"/>
      <c r="AA284" s="219"/>
      <c r="AB284" s="219"/>
    </row>
    <row r="285" spans="1:28" ht="15.75" hidden="1" customHeight="1">
      <c r="A285" s="253">
        <v>44791</v>
      </c>
      <c r="B285" s="224" t="s">
        <v>8850</v>
      </c>
      <c r="C285" s="316">
        <v>3.75</v>
      </c>
      <c r="D285" s="316"/>
      <c r="E285" s="224" t="s">
        <v>8853</v>
      </c>
      <c r="F285" s="224" t="s">
        <v>3</v>
      </c>
      <c r="G285" s="224" t="s">
        <v>725</v>
      </c>
      <c r="H285" s="224" t="s">
        <v>10579</v>
      </c>
      <c r="I285" s="224">
        <v>3.5</v>
      </c>
      <c r="J285" s="224" t="s">
        <v>462</v>
      </c>
      <c r="K285" s="224" t="s">
        <v>8855</v>
      </c>
      <c r="L285" s="224">
        <v>4</v>
      </c>
      <c r="M285" s="224" t="s">
        <v>478</v>
      </c>
      <c r="N285" s="224">
        <v>20000000</v>
      </c>
      <c r="O285" s="224" t="s">
        <v>452</v>
      </c>
      <c r="P285" s="224" t="s">
        <v>8856</v>
      </c>
      <c r="Q285" s="224"/>
      <c r="R285" s="224" t="s">
        <v>24</v>
      </c>
      <c r="S285" s="254"/>
      <c r="T285" s="254"/>
      <c r="U285" s="224"/>
      <c r="V285" s="224"/>
      <c r="W285" s="224"/>
      <c r="X285" s="224"/>
      <c r="Y285" s="224"/>
      <c r="Z285" s="224"/>
      <c r="AA285" s="224"/>
      <c r="AB285" s="224"/>
    </row>
    <row r="286" spans="1:28" ht="15.75" customHeight="1">
      <c r="A286" s="255">
        <v>44791</v>
      </c>
      <c r="B286" s="239" t="s">
        <v>2750</v>
      </c>
      <c r="C286" s="239">
        <v>3.75</v>
      </c>
      <c r="D286" s="239"/>
      <c r="E286" s="239" t="s">
        <v>2753</v>
      </c>
      <c r="F286" s="239" t="s">
        <v>5</v>
      </c>
      <c r="G286" s="239" t="s">
        <v>488</v>
      </c>
      <c r="H286" s="239" t="s">
        <v>11666</v>
      </c>
      <c r="I286" s="239">
        <v>3.5</v>
      </c>
      <c r="J286" s="239" t="s">
        <v>941</v>
      </c>
      <c r="K286" s="239"/>
      <c r="L286" s="239">
        <v>4</v>
      </c>
      <c r="M286" s="239" t="s">
        <v>451</v>
      </c>
      <c r="N286" s="239" t="s">
        <v>2755</v>
      </c>
      <c r="O286" s="239" t="s">
        <v>452</v>
      </c>
      <c r="P286" s="239" t="s">
        <v>2756</v>
      </c>
      <c r="Q286" s="239"/>
      <c r="R286" s="239" t="s">
        <v>24</v>
      </c>
      <c r="S286" s="239" t="s">
        <v>11667</v>
      </c>
      <c r="T286" s="239"/>
      <c r="U286" s="239"/>
      <c r="V286" s="239"/>
      <c r="W286" s="239"/>
      <c r="X286" s="239"/>
      <c r="Y286" s="239"/>
      <c r="Z286" s="239"/>
      <c r="AA286" s="239"/>
      <c r="AB286" s="239"/>
    </row>
    <row r="287" spans="1:28" ht="15.75" hidden="1" customHeight="1">
      <c r="A287" s="257">
        <v>44791</v>
      </c>
      <c r="B287" s="258" t="s">
        <v>276</v>
      </c>
      <c r="C287" s="263">
        <v>3.75</v>
      </c>
      <c r="D287" s="263"/>
      <c r="E287" s="258" t="s">
        <v>4173</v>
      </c>
      <c r="F287" s="258" t="s">
        <v>4</v>
      </c>
      <c r="G287" s="258" t="s">
        <v>602</v>
      </c>
      <c r="H287" s="258" t="s">
        <v>4174</v>
      </c>
      <c r="I287" s="258">
        <v>4</v>
      </c>
      <c r="J287" s="258" t="s">
        <v>1045</v>
      </c>
      <c r="K287" s="258" t="s">
        <v>4175</v>
      </c>
      <c r="L287" s="258">
        <v>3.5</v>
      </c>
      <c r="M287" s="258" t="s">
        <v>923</v>
      </c>
      <c r="N287" s="309">
        <v>500000</v>
      </c>
      <c r="O287" s="258" t="s">
        <v>452</v>
      </c>
      <c r="P287" s="258" t="s">
        <v>4176</v>
      </c>
      <c r="Q287" s="258" t="s">
        <v>4177</v>
      </c>
      <c r="R287" s="258" t="s">
        <v>20</v>
      </c>
      <c r="S287" s="259" t="s">
        <v>11668</v>
      </c>
      <c r="T287" s="259"/>
      <c r="U287" s="258"/>
      <c r="V287" s="258"/>
      <c r="W287" s="258"/>
      <c r="X287" s="258"/>
      <c r="Y287" s="258"/>
      <c r="Z287" s="258"/>
      <c r="AA287" s="258"/>
      <c r="AB287" s="258"/>
    </row>
    <row r="288" spans="1:28" ht="15.75" customHeight="1">
      <c r="A288" s="264">
        <v>44791</v>
      </c>
      <c r="B288" s="265" t="s">
        <v>2490</v>
      </c>
      <c r="C288" s="265">
        <v>3.75</v>
      </c>
      <c r="D288" s="265"/>
      <c r="E288" s="265" t="s">
        <v>2493</v>
      </c>
      <c r="F288" s="265" t="s">
        <v>5</v>
      </c>
      <c r="G288" s="265" t="s">
        <v>460</v>
      </c>
      <c r="H288" s="265" t="s">
        <v>2494</v>
      </c>
      <c r="I288" s="265">
        <v>3</v>
      </c>
      <c r="J288" s="265" t="s">
        <v>462</v>
      </c>
      <c r="K288" s="265" t="s">
        <v>2495</v>
      </c>
      <c r="L288" s="265">
        <v>4.5</v>
      </c>
      <c r="M288" s="265" t="s">
        <v>478</v>
      </c>
      <c r="N288" s="320">
        <v>4000000</v>
      </c>
      <c r="O288" s="265" t="s">
        <v>452</v>
      </c>
      <c r="P288" s="265" t="s">
        <v>2496</v>
      </c>
      <c r="Q288" s="265"/>
      <c r="R288" s="265" t="s">
        <v>24</v>
      </c>
      <c r="S288" s="265" t="s">
        <v>2242</v>
      </c>
      <c r="T288" s="265"/>
      <c r="U288" s="265"/>
      <c r="V288" s="265"/>
      <c r="W288" s="265"/>
      <c r="X288" s="265"/>
      <c r="Y288" s="265"/>
      <c r="Z288" s="265"/>
      <c r="AA288" s="265"/>
      <c r="AB288" s="265"/>
    </row>
    <row r="289" spans="1:28" ht="15.75" hidden="1" customHeight="1">
      <c r="A289" s="255">
        <v>44791</v>
      </c>
      <c r="B289" s="239" t="s">
        <v>278</v>
      </c>
      <c r="C289" s="262">
        <v>3.75</v>
      </c>
      <c r="D289" s="262"/>
      <c r="E289" s="239" t="s">
        <v>9416</v>
      </c>
      <c r="F289" s="239" t="s">
        <v>4</v>
      </c>
      <c r="G289" s="239" t="s">
        <v>447</v>
      </c>
      <c r="H289" s="239" t="s">
        <v>11669</v>
      </c>
      <c r="I289" s="239">
        <v>3.5</v>
      </c>
      <c r="J289" s="239" t="s">
        <v>622</v>
      </c>
      <c r="K289" s="239" t="s">
        <v>11670</v>
      </c>
      <c r="L289" s="239">
        <v>4</v>
      </c>
      <c r="M289" s="239" t="s">
        <v>478</v>
      </c>
      <c r="N289" s="308">
        <v>6000000</v>
      </c>
      <c r="O289" s="239" t="s">
        <v>465</v>
      </c>
      <c r="P289" s="239" t="s">
        <v>452</v>
      </c>
      <c r="Q289" s="239"/>
      <c r="R289" s="239" t="s">
        <v>19</v>
      </c>
      <c r="S289" s="256" t="s">
        <v>9419</v>
      </c>
      <c r="T289" s="256"/>
      <c r="U289" s="239"/>
      <c r="V289" s="239"/>
      <c r="W289" s="239"/>
      <c r="X289" s="239"/>
      <c r="Y289" s="239"/>
      <c r="Z289" s="239"/>
      <c r="AA289" s="239"/>
      <c r="AB289" s="239"/>
    </row>
    <row r="290" spans="1:28" ht="15.75" hidden="1" customHeight="1">
      <c r="A290" s="257">
        <v>44791</v>
      </c>
      <c r="B290" s="258" t="s">
        <v>4374</v>
      </c>
      <c r="C290" s="263">
        <v>3.75</v>
      </c>
      <c r="D290" s="263"/>
      <c r="E290" s="258" t="s">
        <v>4377</v>
      </c>
      <c r="F290" s="258" t="s">
        <v>4</v>
      </c>
      <c r="G290" s="258" t="s">
        <v>602</v>
      </c>
      <c r="H290" s="258" t="s">
        <v>4378</v>
      </c>
      <c r="I290" s="258">
        <v>4</v>
      </c>
      <c r="J290" s="258" t="s">
        <v>1045</v>
      </c>
      <c r="K290" s="258" t="s">
        <v>4379</v>
      </c>
      <c r="L290" s="258">
        <v>3.5</v>
      </c>
      <c r="M290" s="258" t="s">
        <v>784</v>
      </c>
      <c r="N290" s="309">
        <v>500000</v>
      </c>
      <c r="O290" s="258" t="s">
        <v>465</v>
      </c>
      <c r="P290" s="258" t="s">
        <v>4380</v>
      </c>
      <c r="Q290" s="258" t="s">
        <v>4381</v>
      </c>
      <c r="R290" s="258" t="s">
        <v>24</v>
      </c>
      <c r="S290" s="259" t="s">
        <v>10856</v>
      </c>
      <c r="T290" s="259"/>
      <c r="U290" s="219"/>
      <c r="V290" s="219"/>
      <c r="W290" s="219"/>
      <c r="X290" s="219"/>
      <c r="Y290" s="219"/>
      <c r="Z290" s="219"/>
      <c r="AA290" s="219"/>
      <c r="AB290" s="219"/>
    </row>
    <row r="291" spans="1:28" ht="15.75" hidden="1" customHeight="1">
      <c r="A291" s="257">
        <v>44796</v>
      </c>
      <c r="B291" s="258" t="s">
        <v>9087</v>
      </c>
      <c r="C291" s="263">
        <v>3.75</v>
      </c>
      <c r="D291" s="263"/>
      <c r="E291" s="258" t="s">
        <v>9090</v>
      </c>
      <c r="F291" s="258" t="s">
        <v>3</v>
      </c>
      <c r="G291" s="258" t="s">
        <v>460</v>
      </c>
      <c r="H291" s="258" t="s">
        <v>9091</v>
      </c>
      <c r="I291" s="258">
        <v>3.5</v>
      </c>
      <c r="J291" s="258" t="s">
        <v>462</v>
      </c>
      <c r="K291" s="258" t="s">
        <v>9092</v>
      </c>
      <c r="L291" s="258">
        <v>4</v>
      </c>
      <c r="M291" s="258" t="s">
        <v>478</v>
      </c>
      <c r="N291" s="328">
        <v>10000000</v>
      </c>
      <c r="O291" s="258" t="s">
        <v>452</v>
      </c>
      <c r="P291" s="258" t="s">
        <v>1119</v>
      </c>
      <c r="Q291" s="258"/>
      <c r="R291" s="258" t="s">
        <v>24</v>
      </c>
      <c r="S291" s="259" t="s">
        <v>11716</v>
      </c>
      <c r="T291" s="259"/>
      <c r="U291" s="258"/>
      <c r="V291" s="258"/>
      <c r="W291" s="258"/>
      <c r="X291" s="258"/>
      <c r="Y291" s="258"/>
      <c r="Z291" s="258"/>
      <c r="AA291" s="258"/>
      <c r="AB291" s="258"/>
    </row>
    <row r="292" spans="1:28" ht="15.75" hidden="1" customHeight="1">
      <c r="A292" s="257">
        <v>44796</v>
      </c>
      <c r="B292" s="258" t="s">
        <v>4208</v>
      </c>
      <c r="C292" s="263">
        <v>3.75</v>
      </c>
      <c r="D292" s="263"/>
      <c r="E292" s="258" t="s">
        <v>4211</v>
      </c>
      <c r="F292" s="258" t="s">
        <v>4</v>
      </c>
      <c r="G292" s="258" t="s">
        <v>727</v>
      </c>
      <c r="H292" s="258" t="s">
        <v>10474</v>
      </c>
      <c r="I292" s="258">
        <v>3.5</v>
      </c>
      <c r="J292" s="258" t="s">
        <v>1073</v>
      </c>
      <c r="K292" s="258" t="s">
        <v>4213</v>
      </c>
      <c r="L292" s="258">
        <v>4</v>
      </c>
      <c r="M292" s="258" t="s">
        <v>478</v>
      </c>
      <c r="N292" s="258" t="s">
        <v>4214</v>
      </c>
      <c r="O292" s="258" t="s">
        <v>465</v>
      </c>
      <c r="P292" s="258" t="s">
        <v>452</v>
      </c>
      <c r="Q292" s="258"/>
      <c r="R292" s="258" t="s">
        <v>24</v>
      </c>
      <c r="S292" s="259" t="s">
        <v>4215</v>
      </c>
      <c r="T292" s="259"/>
      <c r="U292" s="258"/>
      <c r="V292" s="258"/>
      <c r="W292" s="258"/>
      <c r="X292" s="258"/>
      <c r="Y292" s="258"/>
      <c r="Z292" s="258"/>
      <c r="AA292" s="258"/>
      <c r="AB292" s="258"/>
    </row>
    <row r="293" spans="1:28" ht="15.75" hidden="1" customHeight="1">
      <c r="A293" s="253">
        <v>44796</v>
      </c>
      <c r="B293" s="224" t="s">
        <v>4348</v>
      </c>
      <c r="C293" s="316">
        <v>3.75</v>
      </c>
      <c r="D293" s="316"/>
      <c r="E293" s="224" t="s">
        <v>4351</v>
      </c>
      <c r="F293" s="224" t="s">
        <v>4</v>
      </c>
      <c r="G293" s="224" t="s">
        <v>727</v>
      </c>
      <c r="H293" s="224" t="s">
        <v>10499</v>
      </c>
      <c r="I293" s="224">
        <v>3.5</v>
      </c>
      <c r="J293" s="224" t="s">
        <v>1350</v>
      </c>
      <c r="K293" s="224" t="s">
        <v>4353</v>
      </c>
      <c r="L293" s="224">
        <v>4</v>
      </c>
      <c r="M293" s="224"/>
      <c r="N293" s="224"/>
      <c r="O293" s="224" t="s">
        <v>452</v>
      </c>
      <c r="P293" s="224" t="s">
        <v>10500</v>
      </c>
      <c r="Q293" s="224"/>
      <c r="R293" s="224" t="s">
        <v>24</v>
      </c>
      <c r="S293" s="254"/>
      <c r="T293" s="254"/>
      <c r="U293" s="224"/>
      <c r="V293" s="224"/>
      <c r="W293" s="224"/>
      <c r="X293" s="224"/>
      <c r="Y293" s="224"/>
      <c r="Z293" s="224"/>
      <c r="AA293" s="224"/>
      <c r="AB293" s="224"/>
    </row>
    <row r="294" spans="1:28" ht="15.75" customHeight="1">
      <c r="A294" s="507">
        <v>44776</v>
      </c>
      <c r="B294" s="358" t="s">
        <v>137</v>
      </c>
      <c r="C294" s="525">
        <v>3.5</v>
      </c>
      <c r="D294" s="250" t="str">
        <f ca="1">IFERROR(VLOOKUP(B294,'2022-2023 Third Reviews'!$C:$S,9,FALSE),"")</f>
        <v>Joshua Rubnitz
3</v>
      </c>
      <c r="E294" s="358" t="s">
        <v>11846</v>
      </c>
      <c r="F294" s="525" t="s">
        <v>5</v>
      </c>
      <c r="G294" s="358" t="s">
        <v>622</v>
      </c>
      <c r="H294" s="358" t="s">
        <v>11847</v>
      </c>
      <c r="I294" s="358">
        <v>3</v>
      </c>
      <c r="J294" s="358" t="s">
        <v>449</v>
      </c>
      <c r="K294" s="358" t="s">
        <v>11848</v>
      </c>
      <c r="L294" s="358">
        <v>4</v>
      </c>
      <c r="M294" s="358" t="s">
        <v>478</v>
      </c>
      <c r="N294" s="361">
        <v>2000000</v>
      </c>
      <c r="O294" s="358" t="s">
        <v>465</v>
      </c>
      <c r="P294" s="358" t="s">
        <v>3247</v>
      </c>
      <c r="Q294" s="358"/>
      <c r="R294" s="358" t="s">
        <v>24</v>
      </c>
      <c r="S294" s="358" t="s">
        <v>2747</v>
      </c>
      <c r="T294" s="358" t="s">
        <v>11849</v>
      </c>
      <c r="U294" s="358"/>
      <c r="V294" s="358"/>
      <c r="W294" s="358"/>
      <c r="X294" s="354"/>
      <c r="Y294" s="354"/>
      <c r="Z294" s="354"/>
      <c r="AA294" s="354"/>
      <c r="AB294" s="354"/>
    </row>
    <row r="295" spans="1:28" ht="15.75" hidden="1" customHeight="1">
      <c r="A295" s="253">
        <v>44796</v>
      </c>
      <c r="B295" s="224" t="s">
        <v>4364</v>
      </c>
      <c r="C295" s="316">
        <v>3.75</v>
      </c>
      <c r="D295" s="316"/>
      <c r="E295" s="224" t="s">
        <v>4367</v>
      </c>
      <c r="F295" s="224" t="s">
        <v>4</v>
      </c>
      <c r="G295" s="224" t="s">
        <v>727</v>
      </c>
      <c r="H295" s="224" t="s">
        <v>10590</v>
      </c>
      <c r="I295" s="224">
        <v>3.5</v>
      </c>
      <c r="J295" s="224" t="s">
        <v>1350</v>
      </c>
      <c r="K295" s="224" t="s">
        <v>4369</v>
      </c>
      <c r="L295" s="224">
        <v>4</v>
      </c>
      <c r="M295" s="224" t="s">
        <v>451</v>
      </c>
      <c r="N295" s="224" t="s">
        <v>4370</v>
      </c>
      <c r="O295" s="224" t="s">
        <v>452</v>
      </c>
      <c r="P295" s="224" t="s">
        <v>10591</v>
      </c>
      <c r="Q295" s="224"/>
      <c r="R295" s="224" t="s">
        <v>24</v>
      </c>
      <c r="S295" s="254"/>
      <c r="T295" s="254"/>
      <c r="U295" s="224"/>
      <c r="V295" s="224"/>
      <c r="W295" s="224"/>
      <c r="X295" s="224"/>
      <c r="Y295" s="224"/>
      <c r="Z295" s="224"/>
      <c r="AA295" s="224"/>
      <c r="AB295" s="224"/>
    </row>
    <row r="296" spans="1:28" ht="15.75" hidden="1" customHeight="1">
      <c r="A296" s="248">
        <v>44796</v>
      </c>
      <c r="B296" s="219" t="s">
        <v>4161</v>
      </c>
      <c r="C296" s="315">
        <v>3.75</v>
      </c>
      <c r="D296" s="315"/>
      <c r="E296" s="219" t="s">
        <v>4164</v>
      </c>
      <c r="F296" s="219" t="s">
        <v>4</v>
      </c>
      <c r="G296" s="219" t="s">
        <v>725</v>
      </c>
      <c r="H296" s="219" t="s">
        <v>10618</v>
      </c>
      <c r="I296" s="219">
        <v>3.5</v>
      </c>
      <c r="J296" s="219" t="s">
        <v>990</v>
      </c>
      <c r="K296" s="219" t="s">
        <v>4166</v>
      </c>
      <c r="L296" s="219">
        <v>4</v>
      </c>
      <c r="M296" s="219" t="s">
        <v>451</v>
      </c>
      <c r="N296" s="219" t="s">
        <v>4167</v>
      </c>
      <c r="O296" s="219" t="s">
        <v>452</v>
      </c>
      <c r="P296" s="219" t="s">
        <v>4168</v>
      </c>
      <c r="Q296" s="219"/>
      <c r="R296" s="219" t="s">
        <v>24</v>
      </c>
      <c r="S296" s="251"/>
      <c r="T296" s="251"/>
      <c r="U296" s="219"/>
      <c r="V296" s="219"/>
      <c r="W296" s="219"/>
      <c r="X296" s="219"/>
      <c r="Y296" s="219"/>
      <c r="Z296" s="219"/>
      <c r="AA296" s="219"/>
      <c r="AB296" s="219"/>
    </row>
    <row r="297" spans="1:28" ht="15.75" hidden="1" customHeight="1">
      <c r="A297" s="253">
        <v>44796</v>
      </c>
      <c r="B297" s="224" t="s">
        <v>4430</v>
      </c>
      <c r="C297" s="316">
        <v>3.75</v>
      </c>
      <c r="D297" s="316"/>
      <c r="E297" s="224" t="s">
        <v>4433</v>
      </c>
      <c r="F297" s="224" t="s">
        <v>4</v>
      </c>
      <c r="G297" s="224" t="s">
        <v>727</v>
      </c>
      <c r="H297" s="224" t="s">
        <v>10654</v>
      </c>
      <c r="I297" s="224">
        <v>3.5</v>
      </c>
      <c r="J297" s="224" t="s">
        <v>1045</v>
      </c>
      <c r="K297" s="224" t="s">
        <v>4435</v>
      </c>
      <c r="L297" s="224">
        <v>4</v>
      </c>
      <c r="M297" s="224" t="s">
        <v>784</v>
      </c>
      <c r="N297" s="224">
        <v>1000000</v>
      </c>
      <c r="O297" s="224" t="s">
        <v>465</v>
      </c>
      <c r="P297" s="224" t="s">
        <v>575</v>
      </c>
      <c r="Q297" s="224"/>
      <c r="R297" s="224" t="s">
        <v>24</v>
      </c>
      <c r="S297" s="254"/>
      <c r="T297" s="254"/>
      <c r="U297" s="224"/>
      <c r="V297" s="224"/>
      <c r="W297" s="224"/>
      <c r="X297" s="224"/>
      <c r="Y297" s="224"/>
      <c r="Z297" s="224"/>
      <c r="AA297" s="224"/>
      <c r="AB297" s="224"/>
    </row>
    <row r="298" spans="1:28" ht="15.75" hidden="1" customHeight="1">
      <c r="A298" s="248">
        <v>44796</v>
      </c>
      <c r="B298" s="219" t="s">
        <v>4227</v>
      </c>
      <c r="C298" s="315">
        <v>3.75</v>
      </c>
      <c r="D298" s="315"/>
      <c r="E298" s="219" t="s">
        <v>4230</v>
      </c>
      <c r="F298" s="219" t="s">
        <v>4</v>
      </c>
      <c r="G298" s="219" t="s">
        <v>725</v>
      </c>
      <c r="H298" s="219"/>
      <c r="I298" s="219">
        <v>3.5</v>
      </c>
      <c r="J298" s="219" t="s">
        <v>1187</v>
      </c>
      <c r="K298" s="219" t="s">
        <v>4231</v>
      </c>
      <c r="L298" s="219">
        <v>4</v>
      </c>
      <c r="M298" s="219" t="s">
        <v>451</v>
      </c>
      <c r="N298" s="219" t="s">
        <v>4232</v>
      </c>
      <c r="O298" s="219" t="s">
        <v>452</v>
      </c>
      <c r="P298" s="219" t="s">
        <v>4233</v>
      </c>
      <c r="Q298" s="219"/>
      <c r="R298" s="219" t="s">
        <v>24</v>
      </c>
      <c r="S298" s="251"/>
      <c r="T298" s="251"/>
      <c r="U298" s="219"/>
      <c r="V298" s="219"/>
      <c r="W298" s="219"/>
      <c r="X298" s="219"/>
      <c r="Y298" s="219"/>
      <c r="Z298" s="219"/>
      <c r="AA298" s="219"/>
      <c r="AB298" s="219"/>
    </row>
    <row r="299" spans="1:28" ht="15.75" hidden="1" customHeight="1">
      <c r="A299" s="253">
        <v>44796</v>
      </c>
      <c r="B299" s="224" t="s">
        <v>4263</v>
      </c>
      <c r="C299" s="316">
        <v>3.75</v>
      </c>
      <c r="D299" s="316"/>
      <c r="E299" s="224" t="s">
        <v>4266</v>
      </c>
      <c r="F299" s="224" t="s">
        <v>4</v>
      </c>
      <c r="G299" s="224" t="s">
        <v>725</v>
      </c>
      <c r="H299" s="224" t="s">
        <v>10979</v>
      </c>
      <c r="I299" s="224">
        <v>3.5</v>
      </c>
      <c r="J299" s="224" t="s">
        <v>1237</v>
      </c>
      <c r="K299" s="224"/>
      <c r="L299" s="224">
        <v>4</v>
      </c>
      <c r="M299" s="224"/>
      <c r="N299" s="224"/>
      <c r="O299" s="224" t="s">
        <v>452</v>
      </c>
      <c r="P299" s="224" t="s">
        <v>452</v>
      </c>
      <c r="Q299" s="224"/>
      <c r="R299" s="224" t="s">
        <v>24</v>
      </c>
      <c r="S299" s="254"/>
      <c r="T299" s="254"/>
      <c r="U299" s="224"/>
      <c r="V299" s="224"/>
      <c r="W299" s="224"/>
      <c r="X299" s="224"/>
      <c r="Y299" s="224"/>
      <c r="Z299" s="224"/>
      <c r="AA299" s="224"/>
      <c r="AB299" s="224"/>
    </row>
    <row r="300" spans="1:28" ht="15.75" hidden="1" customHeight="1">
      <c r="A300" s="248">
        <v>44796</v>
      </c>
      <c r="B300" s="219" t="s">
        <v>4356</v>
      </c>
      <c r="C300" s="315">
        <v>3.75</v>
      </c>
      <c r="D300" s="315"/>
      <c r="E300" s="219" t="s">
        <v>4359</v>
      </c>
      <c r="F300" s="219" t="s">
        <v>4</v>
      </c>
      <c r="G300" s="219" t="s">
        <v>725</v>
      </c>
      <c r="H300" s="219" t="s">
        <v>4360</v>
      </c>
      <c r="I300" s="219">
        <v>3.5</v>
      </c>
      <c r="J300" s="219" t="s">
        <v>1350</v>
      </c>
      <c r="K300" s="219" t="s">
        <v>4361</v>
      </c>
      <c r="L300" s="219">
        <v>4</v>
      </c>
      <c r="M300" s="219" t="s">
        <v>478</v>
      </c>
      <c r="N300" s="331">
        <v>10000000</v>
      </c>
      <c r="O300" s="219" t="s">
        <v>454</v>
      </c>
      <c r="P300" s="219" t="s">
        <v>1119</v>
      </c>
      <c r="Q300" s="219"/>
      <c r="R300" s="219" t="s">
        <v>24</v>
      </c>
      <c r="S300" s="251"/>
      <c r="T300" s="251"/>
      <c r="U300" s="219"/>
      <c r="V300" s="219"/>
      <c r="W300" s="219"/>
      <c r="X300" s="219"/>
      <c r="Y300" s="219"/>
      <c r="Z300" s="219"/>
      <c r="AA300" s="219"/>
      <c r="AB300" s="219"/>
    </row>
    <row r="301" spans="1:28" ht="15.75" customHeight="1">
      <c r="A301" s="253">
        <v>44796</v>
      </c>
      <c r="B301" s="224" t="s">
        <v>2515</v>
      </c>
      <c r="C301" s="224">
        <v>3.75</v>
      </c>
      <c r="D301" s="224"/>
      <c r="E301" s="224" t="s">
        <v>2518</v>
      </c>
      <c r="F301" s="224" t="s">
        <v>5</v>
      </c>
      <c r="G301" s="224" t="s">
        <v>447</v>
      </c>
      <c r="H301" s="224" t="s">
        <v>11068</v>
      </c>
      <c r="I301" s="224">
        <v>3.5</v>
      </c>
      <c r="J301" s="224" t="s">
        <v>622</v>
      </c>
      <c r="K301" s="224" t="s">
        <v>2520</v>
      </c>
      <c r="L301" s="224">
        <v>4</v>
      </c>
      <c r="M301" s="224" t="s">
        <v>451</v>
      </c>
      <c r="N301" s="311">
        <v>1000000</v>
      </c>
      <c r="O301" s="224" t="s">
        <v>454</v>
      </c>
      <c r="P301" s="224" t="s">
        <v>2521</v>
      </c>
      <c r="Q301" s="224"/>
      <c r="R301" s="224" t="s">
        <v>24</v>
      </c>
      <c r="S301" s="224"/>
      <c r="T301" s="224"/>
      <c r="U301" s="224"/>
      <c r="V301" s="224"/>
      <c r="W301" s="224"/>
      <c r="X301" s="224"/>
      <c r="Y301" s="224"/>
      <c r="Z301" s="224"/>
      <c r="AA301" s="224"/>
      <c r="AB301" s="224"/>
    </row>
    <row r="302" spans="1:28" ht="15.75" hidden="1" customHeight="1">
      <c r="A302" s="248">
        <v>44796</v>
      </c>
      <c r="B302" s="219" t="s">
        <v>4438</v>
      </c>
      <c r="C302" s="315">
        <v>3.75</v>
      </c>
      <c r="D302" s="315"/>
      <c r="E302" s="219" t="s">
        <v>11123</v>
      </c>
      <c r="F302" s="219" t="s">
        <v>4</v>
      </c>
      <c r="G302" s="219" t="s">
        <v>725</v>
      </c>
      <c r="H302" s="219" t="s">
        <v>11124</v>
      </c>
      <c r="I302" s="219">
        <v>4</v>
      </c>
      <c r="J302" s="219" t="s">
        <v>1045</v>
      </c>
      <c r="K302" s="219" t="s">
        <v>4443</v>
      </c>
      <c r="L302" s="219">
        <v>3.5</v>
      </c>
      <c r="M302" s="219" t="s">
        <v>451</v>
      </c>
      <c r="N302" s="219" t="s">
        <v>4444</v>
      </c>
      <c r="O302" s="219" t="s">
        <v>452</v>
      </c>
      <c r="P302" s="219" t="s">
        <v>4445</v>
      </c>
      <c r="Q302" s="219"/>
      <c r="R302" s="219" t="s">
        <v>24</v>
      </c>
      <c r="S302" s="251"/>
      <c r="T302" s="251"/>
      <c r="U302" s="219"/>
      <c r="V302" s="219"/>
      <c r="W302" s="219"/>
      <c r="X302" s="219"/>
      <c r="Y302" s="219"/>
      <c r="Z302" s="219"/>
      <c r="AA302" s="219"/>
      <c r="AB302" s="219"/>
    </row>
    <row r="303" spans="1:28" ht="15.75" hidden="1" customHeight="1">
      <c r="A303" s="257">
        <v>44796</v>
      </c>
      <c r="B303" s="258" t="s">
        <v>185</v>
      </c>
      <c r="C303" s="263">
        <v>3.75</v>
      </c>
      <c r="D303" s="263"/>
      <c r="E303" s="258" t="s">
        <v>1176</v>
      </c>
      <c r="F303" s="258" t="s">
        <v>4</v>
      </c>
      <c r="G303" s="258" t="s">
        <v>725</v>
      </c>
      <c r="H303" s="258" t="s">
        <v>11717</v>
      </c>
      <c r="I303" s="258">
        <v>4</v>
      </c>
      <c r="J303" s="258" t="s">
        <v>1045</v>
      </c>
      <c r="K303" s="258" t="s">
        <v>1178</v>
      </c>
      <c r="L303" s="258">
        <v>3.5</v>
      </c>
      <c r="M303" s="258"/>
      <c r="N303" s="258"/>
      <c r="O303" s="258" t="s">
        <v>452</v>
      </c>
      <c r="P303" s="258" t="s">
        <v>11133</v>
      </c>
      <c r="Q303" s="258"/>
      <c r="R303" s="258" t="s">
        <v>18</v>
      </c>
      <c r="S303" s="259" t="s">
        <v>11718</v>
      </c>
      <c r="T303" s="259"/>
      <c r="U303" s="258"/>
      <c r="V303" s="258"/>
      <c r="W303" s="258"/>
      <c r="X303" s="258"/>
      <c r="Y303" s="258"/>
      <c r="Z303" s="258"/>
      <c r="AA303" s="258"/>
      <c r="AB303" s="258"/>
    </row>
    <row r="304" spans="1:28" ht="15.75" hidden="1" customHeight="1">
      <c r="A304" s="248">
        <v>44796</v>
      </c>
      <c r="B304" s="219" t="s">
        <v>4289</v>
      </c>
      <c r="C304" s="315">
        <v>3.75</v>
      </c>
      <c r="D304" s="315"/>
      <c r="E304" s="219" t="s">
        <v>4292</v>
      </c>
      <c r="F304" s="219" t="s">
        <v>4</v>
      </c>
      <c r="G304" s="219" t="s">
        <v>725</v>
      </c>
      <c r="H304" s="219" t="s">
        <v>11204</v>
      </c>
      <c r="I304" s="219">
        <v>3.5</v>
      </c>
      <c r="J304" s="219" t="s">
        <v>1237</v>
      </c>
      <c r="K304" s="219"/>
      <c r="L304" s="219">
        <v>4</v>
      </c>
      <c r="M304" s="219"/>
      <c r="N304" s="219"/>
      <c r="O304" s="219" t="s">
        <v>452</v>
      </c>
      <c r="P304" s="219" t="s">
        <v>454</v>
      </c>
      <c r="Q304" s="219"/>
      <c r="R304" s="219" t="s">
        <v>24</v>
      </c>
      <c r="S304" s="251"/>
      <c r="T304" s="251"/>
      <c r="U304" s="219"/>
      <c r="V304" s="219"/>
      <c r="W304" s="219"/>
      <c r="X304" s="219"/>
      <c r="Y304" s="219"/>
      <c r="Z304" s="219"/>
      <c r="AA304" s="219"/>
      <c r="AB304" s="219"/>
    </row>
    <row r="305" spans="1:28" ht="15.75" hidden="1" customHeight="1">
      <c r="A305" s="257">
        <v>44796</v>
      </c>
      <c r="B305" s="258" t="s">
        <v>4403</v>
      </c>
      <c r="C305" s="263">
        <v>3.75</v>
      </c>
      <c r="D305" s="263"/>
      <c r="E305" s="258" t="s">
        <v>4406</v>
      </c>
      <c r="F305" s="258" t="s">
        <v>4</v>
      </c>
      <c r="G305" s="258" t="s">
        <v>447</v>
      </c>
      <c r="H305" s="258" t="s">
        <v>11224</v>
      </c>
      <c r="I305" s="258">
        <v>2.5</v>
      </c>
      <c r="J305" s="258" t="s">
        <v>4054</v>
      </c>
      <c r="K305" s="258"/>
      <c r="L305" s="258">
        <v>5</v>
      </c>
      <c r="M305" s="258" t="s">
        <v>923</v>
      </c>
      <c r="N305" s="258" t="s">
        <v>4408</v>
      </c>
      <c r="O305" s="258" t="s">
        <v>452</v>
      </c>
      <c r="P305" s="258" t="s">
        <v>452</v>
      </c>
      <c r="Q305" s="258"/>
      <c r="R305" s="258" t="s">
        <v>24</v>
      </c>
      <c r="S305" s="259"/>
      <c r="T305" s="259"/>
      <c r="U305" s="258"/>
      <c r="V305" s="258"/>
      <c r="W305" s="258"/>
      <c r="X305" s="258"/>
      <c r="Y305" s="258"/>
      <c r="Z305" s="258"/>
      <c r="AA305" s="258"/>
      <c r="AB305" s="258"/>
    </row>
    <row r="306" spans="1:28" ht="15.75" customHeight="1">
      <c r="A306" s="257">
        <v>44796</v>
      </c>
      <c r="B306" s="258" t="s">
        <v>661</v>
      </c>
      <c r="C306" s="258">
        <v>3.75</v>
      </c>
      <c r="D306" s="258"/>
      <c r="E306" s="258" t="s">
        <v>664</v>
      </c>
      <c r="F306" s="258" t="s">
        <v>5</v>
      </c>
      <c r="G306" s="258" t="s">
        <v>447</v>
      </c>
      <c r="H306" s="258" t="s">
        <v>11301</v>
      </c>
      <c r="I306" s="258">
        <v>3.5</v>
      </c>
      <c r="J306" s="258" t="s">
        <v>543</v>
      </c>
      <c r="K306" s="258" t="s">
        <v>11719</v>
      </c>
      <c r="L306" s="258">
        <v>4</v>
      </c>
      <c r="M306" s="258" t="s">
        <v>451</v>
      </c>
      <c r="N306" s="261">
        <v>2500000</v>
      </c>
      <c r="O306" s="258" t="s">
        <v>452</v>
      </c>
      <c r="P306" s="258" t="s">
        <v>667</v>
      </c>
      <c r="Q306" s="258" t="s">
        <v>668</v>
      </c>
      <c r="R306" s="258" t="s">
        <v>24</v>
      </c>
      <c r="S306" s="258" t="s">
        <v>669</v>
      </c>
      <c r="T306" s="258"/>
      <c r="U306" s="258"/>
      <c r="V306" s="258"/>
      <c r="W306" s="258"/>
      <c r="X306" s="258"/>
      <c r="Y306" s="258"/>
      <c r="Z306" s="258"/>
      <c r="AA306" s="258"/>
      <c r="AB306" s="258"/>
    </row>
    <row r="307" spans="1:28" ht="15.75" hidden="1" customHeight="1">
      <c r="A307" s="257">
        <v>44796</v>
      </c>
      <c r="B307" s="258" t="s">
        <v>4270</v>
      </c>
      <c r="C307" s="263">
        <v>3.75</v>
      </c>
      <c r="D307" s="263"/>
      <c r="E307" s="258" t="s">
        <v>4273</v>
      </c>
      <c r="F307" s="258" t="s">
        <v>4</v>
      </c>
      <c r="G307" s="258" t="s">
        <v>447</v>
      </c>
      <c r="H307" s="258" t="s">
        <v>11310</v>
      </c>
      <c r="I307" s="258">
        <v>2.5</v>
      </c>
      <c r="J307" s="258" t="s">
        <v>1237</v>
      </c>
      <c r="K307" s="258"/>
      <c r="L307" s="258">
        <v>5</v>
      </c>
      <c r="M307" s="258" t="s">
        <v>451</v>
      </c>
      <c r="N307" s="258" t="s">
        <v>4275</v>
      </c>
      <c r="O307" s="258" t="s">
        <v>452</v>
      </c>
      <c r="P307" s="258" t="s">
        <v>4276</v>
      </c>
      <c r="Q307" s="258" t="s">
        <v>4277</v>
      </c>
      <c r="R307" s="258" t="s">
        <v>24</v>
      </c>
      <c r="S307" s="259" t="s">
        <v>11720</v>
      </c>
      <c r="T307" s="259"/>
      <c r="U307" s="258"/>
      <c r="V307" s="258"/>
      <c r="W307" s="258"/>
      <c r="X307" s="258"/>
      <c r="Y307" s="258"/>
      <c r="Z307" s="258"/>
      <c r="AA307" s="258"/>
      <c r="AB307" s="258"/>
    </row>
    <row r="308" spans="1:28" ht="15.75" hidden="1" customHeight="1">
      <c r="A308" s="257">
        <v>44796</v>
      </c>
      <c r="B308" s="258" t="s">
        <v>8386</v>
      </c>
      <c r="C308" s="263">
        <v>3.75</v>
      </c>
      <c r="D308" s="263"/>
      <c r="E308" s="258" t="s">
        <v>8389</v>
      </c>
      <c r="F308" s="258" t="s">
        <v>3</v>
      </c>
      <c r="G308" s="258" t="s">
        <v>488</v>
      </c>
      <c r="H308" s="258" t="s">
        <v>11322</v>
      </c>
      <c r="I308" s="258">
        <v>3.5</v>
      </c>
      <c r="J308" s="258" t="s">
        <v>941</v>
      </c>
      <c r="K308" s="258" t="s">
        <v>8391</v>
      </c>
      <c r="L308" s="258">
        <v>4</v>
      </c>
      <c r="M308" s="258" t="s">
        <v>451</v>
      </c>
      <c r="N308" s="261">
        <v>1500000</v>
      </c>
      <c r="O308" s="258" t="s">
        <v>452</v>
      </c>
      <c r="P308" s="258" t="s">
        <v>8392</v>
      </c>
      <c r="Q308" s="258"/>
      <c r="R308" s="258" t="s">
        <v>24</v>
      </c>
      <c r="S308" s="259" t="s">
        <v>11721</v>
      </c>
      <c r="T308" s="259"/>
      <c r="U308" s="258"/>
      <c r="V308" s="258"/>
      <c r="W308" s="258"/>
      <c r="X308" s="258"/>
      <c r="Y308" s="258"/>
      <c r="Z308" s="258"/>
      <c r="AA308" s="258"/>
      <c r="AB308" s="258"/>
    </row>
    <row r="309" spans="1:28" ht="15.75" hidden="1" customHeight="1">
      <c r="A309" s="257">
        <v>44796</v>
      </c>
      <c r="B309" s="258" t="s">
        <v>279</v>
      </c>
      <c r="C309" s="263">
        <v>3.75</v>
      </c>
      <c r="D309" s="263"/>
      <c r="E309" s="258" t="s">
        <v>11722</v>
      </c>
      <c r="F309" s="258" t="s">
        <v>4</v>
      </c>
      <c r="G309" s="258" t="s">
        <v>460</v>
      </c>
      <c r="H309" s="258" t="s">
        <v>1236</v>
      </c>
      <c r="I309" s="258">
        <v>4.5</v>
      </c>
      <c r="J309" s="258" t="s">
        <v>1237</v>
      </c>
      <c r="K309" s="258"/>
      <c r="L309" s="258">
        <v>3</v>
      </c>
      <c r="M309" s="258"/>
      <c r="N309" s="258"/>
      <c r="O309" s="258" t="s">
        <v>465</v>
      </c>
      <c r="P309" s="258" t="s">
        <v>11326</v>
      </c>
      <c r="Q309" s="258" t="s">
        <v>1239</v>
      </c>
      <c r="R309" s="258" t="s">
        <v>18</v>
      </c>
      <c r="S309" s="259" t="s">
        <v>1240</v>
      </c>
      <c r="T309" s="259"/>
      <c r="U309" s="258"/>
      <c r="V309" s="258"/>
      <c r="W309" s="258"/>
      <c r="X309" s="258"/>
      <c r="Y309" s="258"/>
      <c r="Z309" s="258"/>
      <c r="AA309" s="258"/>
      <c r="AB309" s="258"/>
    </row>
    <row r="310" spans="1:28" ht="15.75" hidden="1" customHeight="1">
      <c r="A310" s="257">
        <v>44796</v>
      </c>
      <c r="B310" s="258" t="s">
        <v>8662</v>
      </c>
      <c r="C310" s="263">
        <v>3.75</v>
      </c>
      <c r="D310" s="263"/>
      <c r="E310" s="258" t="s">
        <v>8665</v>
      </c>
      <c r="F310" s="258" t="s">
        <v>3</v>
      </c>
      <c r="G310" s="258" t="s">
        <v>488</v>
      </c>
      <c r="H310" s="258" t="s">
        <v>11345</v>
      </c>
      <c r="I310" s="258">
        <v>3.5</v>
      </c>
      <c r="J310" s="258" t="s">
        <v>941</v>
      </c>
      <c r="K310" s="258" t="s">
        <v>8667</v>
      </c>
      <c r="L310" s="258">
        <v>4</v>
      </c>
      <c r="M310" s="258" t="s">
        <v>478</v>
      </c>
      <c r="N310" s="309">
        <v>3000000</v>
      </c>
      <c r="O310" s="258" t="s">
        <v>452</v>
      </c>
      <c r="P310" s="258" t="s">
        <v>8668</v>
      </c>
      <c r="Q310" s="258"/>
      <c r="R310" s="258" t="s">
        <v>24</v>
      </c>
      <c r="S310" s="259" t="s">
        <v>8669</v>
      </c>
      <c r="T310" s="259"/>
      <c r="U310" s="258"/>
      <c r="V310" s="258"/>
      <c r="W310" s="258"/>
      <c r="X310" s="258"/>
      <c r="Y310" s="258"/>
      <c r="Z310" s="258"/>
      <c r="AA310" s="258"/>
      <c r="AB310" s="258"/>
    </row>
    <row r="311" spans="1:28" ht="15.75" hidden="1" customHeight="1">
      <c r="A311" s="253">
        <v>44796</v>
      </c>
      <c r="B311" s="224" t="s">
        <v>4199</v>
      </c>
      <c r="C311" s="316">
        <v>3.75</v>
      </c>
      <c r="D311" s="316"/>
      <c r="E311" s="224" t="s">
        <v>4202</v>
      </c>
      <c r="F311" s="224" t="s">
        <v>4</v>
      </c>
      <c r="G311" s="224" t="s">
        <v>725</v>
      </c>
      <c r="H311" s="224"/>
      <c r="I311" s="224">
        <v>3.5</v>
      </c>
      <c r="J311" s="224" t="s">
        <v>1036</v>
      </c>
      <c r="K311" s="224" t="s">
        <v>4203</v>
      </c>
      <c r="L311" s="224">
        <v>4</v>
      </c>
      <c r="M311" s="224" t="s">
        <v>784</v>
      </c>
      <c r="N311" s="224" t="s">
        <v>4204</v>
      </c>
      <c r="O311" s="224" t="s">
        <v>465</v>
      </c>
      <c r="P311" s="224" t="s">
        <v>4205</v>
      </c>
      <c r="Q311" s="224" t="s">
        <v>4206</v>
      </c>
      <c r="R311" s="224"/>
      <c r="S311" s="254"/>
      <c r="T311" s="254"/>
      <c r="U311" s="224"/>
      <c r="V311" s="224"/>
      <c r="W311" s="224"/>
      <c r="X311" s="224"/>
      <c r="Y311" s="224"/>
      <c r="Z311" s="224"/>
      <c r="AA311" s="224"/>
      <c r="AB311" s="224"/>
    </row>
    <row r="312" spans="1:28" ht="15.75" hidden="1" customHeight="1">
      <c r="A312" s="257">
        <v>44796</v>
      </c>
      <c r="B312" s="258" t="s">
        <v>9899</v>
      </c>
      <c r="C312" s="263">
        <v>3.75</v>
      </c>
      <c r="D312" s="263"/>
      <c r="E312" s="258" t="s">
        <v>9902</v>
      </c>
      <c r="F312" s="258" t="s">
        <v>3</v>
      </c>
      <c r="G312" s="258" t="s">
        <v>460</v>
      </c>
      <c r="H312" s="258" t="s">
        <v>9903</v>
      </c>
      <c r="I312" s="258">
        <v>3.5</v>
      </c>
      <c r="J312" s="258" t="s">
        <v>462</v>
      </c>
      <c r="K312" s="258" t="s">
        <v>9904</v>
      </c>
      <c r="L312" s="258">
        <v>4</v>
      </c>
      <c r="M312" s="258" t="s">
        <v>478</v>
      </c>
      <c r="N312" s="258" t="s">
        <v>4966</v>
      </c>
      <c r="O312" s="258" t="s">
        <v>465</v>
      </c>
      <c r="P312" s="258" t="s">
        <v>9905</v>
      </c>
      <c r="Q312" s="258" t="s">
        <v>9906</v>
      </c>
      <c r="R312" s="258" t="s">
        <v>23</v>
      </c>
      <c r="S312" s="259" t="s">
        <v>9907</v>
      </c>
      <c r="T312" s="259"/>
      <c r="U312" s="258"/>
      <c r="V312" s="258"/>
      <c r="W312" s="258"/>
      <c r="X312" s="258"/>
      <c r="Y312" s="258"/>
      <c r="Z312" s="258"/>
      <c r="AA312" s="258"/>
      <c r="AB312" s="258"/>
    </row>
    <row r="313" spans="1:28" ht="15.75" hidden="1" customHeight="1">
      <c r="A313" s="257">
        <v>44796</v>
      </c>
      <c r="B313" s="258" t="s">
        <v>9186</v>
      </c>
      <c r="C313" s="263">
        <v>3.75</v>
      </c>
      <c r="D313" s="263"/>
      <c r="E313" s="258" t="s">
        <v>9189</v>
      </c>
      <c r="F313" s="258" t="s">
        <v>3</v>
      </c>
      <c r="G313" s="258" t="s">
        <v>725</v>
      </c>
      <c r="H313" s="258" t="s">
        <v>9190</v>
      </c>
      <c r="I313" s="258">
        <v>3.5</v>
      </c>
      <c r="J313" s="258" t="s">
        <v>462</v>
      </c>
      <c r="K313" s="258" t="s">
        <v>10822</v>
      </c>
      <c r="L313" s="258">
        <v>4</v>
      </c>
      <c r="M313" s="258"/>
      <c r="N313" s="258"/>
      <c r="O313" s="258" t="s">
        <v>452</v>
      </c>
      <c r="P313" s="258" t="s">
        <v>1119</v>
      </c>
      <c r="Q313" s="258"/>
      <c r="R313" s="258" t="s">
        <v>24</v>
      </c>
      <c r="S313" s="259" t="s">
        <v>11723</v>
      </c>
      <c r="T313" s="259"/>
      <c r="U313" s="258"/>
      <c r="V313" s="258"/>
      <c r="W313" s="258"/>
      <c r="X313" s="258"/>
      <c r="Y313" s="258"/>
      <c r="Z313" s="258"/>
      <c r="AA313" s="258"/>
      <c r="AB313" s="258"/>
    </row>
    <row r="314" spans="1:28" ht="15.75" hidden="1" customHeight="1">
      <c r="A314" s="255">
        <v>44796</v>
      </c>
      <c r="B314" s="239" t="s">
        <v>290</v>
      </c>
      <c r="C314" s="262">
        <v>3.75</v>
      </c>
      <c r="D314" s="262"/>
      <c r="E314" s="239" t="s">
        <v>9441</v>
      </c>
      <c r="F314" s="239" t="s">
        <v>4</v>
      </c>
      <c r="G314" s="239" t="s">
        <v>447</v>
      </c>
      <c r="H314" s="239" t="s">
        <v>11494</v>
      </c>
      <c r="I314" s="239">
        <v>4</v>
      </c>
      <c r="J314" s="239" t="s">
        <v>622</v>
      </c>
      <c r="K314" s="239" t="s">
        <v>9443</v>
      </c>
      <c r="L314" s="239">
        <v>3.5</v>
      </c>
      <c r="M314" s="239" t="s">
        <v>478</v>
      </c>
      <c r="N314" s="314">
        <v>10000000</v>
      </c>
      <c r="O314" s="239" t="s">
        <v>452</v>
      </c>
      <c r="P314" s="239" t="s">
        <v>9444</v>
      </c>
      <c r="Q314" s="239"/>
      <c r="R314" s="239" t="s">
        <v>19</v>
      </c>
      <c r="S314" s="256" t="s">
        <v>9445</v>
      </c>
      <c r="T314" s="256"/>
      <c r="U314" s="239"/>
      <c r="V314" s="239"/>
      <c r="W314" s="239"/>
      <c r="X314" s="239"/>
      <c r="Y314" s="239"/>
      <c r="Z314" s="239"/>
      <c r="AA314" s="239"/>
      <c r="AB314" s="239"/>
    </row>
    <row r="315" spans="1:28" ht="15.75" hidden="1" customHeight="1">
      <c r="A315" s="253">
        <v>44796</v>
      </c>
      <c r="B315" s="224" t="s">
        <v>4181</v>
      </c>
      <c r="C315" s="316">
        <v>3.75</v>
      </c>
      <c r="D315" s="316"/>
      <c r="E315" s="224" t="s">
        <v>4184</v>
      </c>
      <c r="F315" s="224" t="s">
        <v>4</v>
      </c>
      <c r="G315" s="224" t="s">
        <v>725</v>
      </c>
      <c r="H315" s="224" t="s">
        <v>11127</v>
      </c>
      <c r="I315" s="224">
        <v>4</v>
      </c>
      <c r="J315" s="224" t="s">
        <v>1045</v>
      </c>
      <c r="K315" s="224" t="s">
        <v>4186</v>
      </c>
      <c r="L315" s="224">
        <v>3.5</v>
      </c>
      <c r="M315" s="224" t="s">
        <v>451</v>
      </c>
      <c r="N315" s="330">
        <v>1600000</v>
      </c>
      <c r="O315" s="224" t="s">
        <v>452</v>
      </c>
      <c r="P315" s="224" t="s">
        <v>1119</v>
      </c>
      <c r="Q315" s="224"/>
      <c r="R315" s="224" t="s">
        <v>24</v>
      </c>
      <c r="S315" s="254"/>
      <c r="T315" s="254"/>
      <c r="U315" s="224"/>
      <c r="V315" s="224"/>
      <c r="W315" s="224"/>
      <c r="X315" s="224"/>
      <c r="Y315" s="224"/>
      <c r="Z315" s="224"/>
      <c r="AA315" s="224"/>
      <c r="AB315" s="224"/>
    </row>
    <row r="316" spans="1:28" ht="15.75" hidden="1" customHeight="1">
      <c r="A316" s="257">
        <v>44796</v>
      </c>
      <c r="B316" s="258" t="s">
        <v>8910</v>
      </c>
      <c r="C316" s="263">
        <v>3.75</v>
      </c>
      <c r="D316" s="263"/>
      <c r="E316" s="258" t="s">
        <v>11724</v>
      </c>
      <c r="F316" s="258" t="s">
        <v>3</v>
      </c>
      <c r="G316" s="258" t="s">
        <v>488</v>
      </c>
      <c r="H316" s="258"/>
      <c r="I316" s="258">
        <v>3.5</v>
      </c>
      <c r="J316" s="258" t="s">
        <v>462</v>
      </c>
      <c r="K316" s="258" t="s">
        <v>8913</v>
      </c>
      <c r="L316" s="258">
        <v>4</v>
      </c>
      <c r="M316" s="258" t="s">
        <v>8914</v>
      </c>
      <c r="N316" s="258">
        <v>5000000</v>
      </c>
      <c r="O316" s="258" t="s">
        <v>452</v>
      </c>
      <c r="P316" s="258" t="s">
        <v>8915</v>
      </c>
      <c r="Q316" s="258"/>
      <c r="R316" s="258" t="s">
        <v>24</v>
      </c>
      <c r="S316" s="259" t="s">
        <v>8916</v>
      </c>
      <c r="T316" s="259"/>
      <c r="U316" s="258"/>
      <c r="V316" s="258"/>
      <c r="W316" s="258"/>
      <c r="X316" s="258"/>
      <c r="Y316" s="258"/>
      <c r="Z316" s="258"/>
      <c r="AA316" s="258"/>
      <c r="AB316" s="258"/>
    </row>
    <row r="317" spans="1:28" ht="15.75" hidden="1" customHeight="1">
      <c r="A317" s="257">
        <v>44782</v>
      </c>
      <c r="B317" s="258" t="s">
        <v>292</v>
      </c>
      <c r="C317" s="249">
        <v>3.63</v>
      </c>
      <c r="D317" s="249"/>
      <c r="E317" s="258" t="s">
        <v>11215</v>
      </c>
      <c r="F317" s="250" t="s">
        <v>4</v>
      </c>
      <c r="G317" s="258" t="s">
        <v>727</v>
      </c>
      <c r="H317" s="258" t="s">
        <v>11216</v>
      </c>
      <c r="I317" s="258">
        <v>3.75</v>
      </c>
      <c r="J317" s="258" t="s">
        <v>1054</v>
      </c>
      <c r="K317" s="258" t="s">
        <v>11217</v>
      </c>
      <c r="L317" s="258">
        <v>3.5</v>
      </c>
      <c r="M317" s="258" t="s">
        <v>451</v>
      </c>
      <c r="N317" s="258">
        <v>750000</v>
      </c>
      <c r="O317" s="258" t="s">
        <v>452</v>
      </c>
      <c r="P317" s="258" t="s">
        <v>11532</v>
      </c>
      <c r="Q317" s="258"/>
      <c r="R317" s="258" t="s">
        <v>18</v>
      </c>
      <c r="S317" s="259" t="s">
        <v>4463</v>
      </c>
      <c r="T317" s="259"/>
      <c r="U317" s="258"/>
      <c r="V317" s="258"/>
      <c r="W317" s="258"/>
      <c r="X317" s="258"/>
      <c r="Y317" s="258"/>
      <c r="Z317" s="258"/>
      <c r="AA317" s="258"/>
      <c r="AB317" s="258"/>
    </row>
    <row r="318" spans="1:28" ht="15.75" hidden="1" customHeight="1">
      <c r="A318" s="257">
        <v>44789</v>
      </c>
      <c r="B318" s="258" t="s">
        <v>4447</v>
      </c>
      <c r="C318" s="263">
        <v>3.63</v>
      </c>
      <c r="D318" s="263"/>
      <c r="E318" s="258" t="s">
        <v>4450</v>
      </c>
      <c r="F318" s="258" t="s">
        <v>4</v>
      </c>
      <c r="G318" s="258" t="s">
        <v>727</v>
      </c>
      <c r="H318" s="258" t="s">
        <v>10252</v>
      </c>
      <c r="I318" s="258">
        <v>3.75</v>
      </c>
      <c r="J318" s="258" t="s">
        <v>1045</v>
      </c>
      <c r="K318" s="258" t="s">
        <v>4452</v>
      </c>
      <c r="L318" s="258">
        <v>3.5</v>
      </c>
      <c r="M318" s="258"/>
      <c r="N318" s="258"/>
      <c r="O318" s="258" t="s">
        <v>454</v>
      </c>
      <c r="P318" s="258" t="s">
        <v>452</v>
      </c>
      <c r="Q318" s="258" t="s">
        <v>4453</v>
      </c>
      <c r="R318" s="258" t="s">
        <v>24</v>
      </c>
      <c r="S318" s="259" t="s">
        <v>4454</v>
      </c>
      <c r="T318" s="259"/>
      <c r="U318" s="258"/>
      <c r="V318" s="258"/>
      <c r="W318" s="258"/>
      <c r="X318" s="258"/>
      <c r="Y318" s="258"/>
      <c r="Z318" s="258"/>
      <c r="AA318" s="258"/>
      <c r="AB318" s="258"/>
    </row>
    <row r="319" spans="1:28" ht="15.75" hidden="1" customHeight="1">
      <c r="A319" s="253">
        <v>44789</v>
      </c>
      <c r="B319" s="224" t="s">
        <v>4466</v>
      </c>
      <c r="C319" s="249">
        <v>3.63</v>
      </c>
      <c r="D319" s="249"/>
      <c r="E319" s="224" t="s">
        <v>4469</v>
      </c>
      <c r="F319" s="250" t="s">
        <v>4</v>
      </c>
      <c r="G319" s="224" t="s">
        <v>727</v>
      </c>
      <c r="H319" s="224" t="s">
        <v>10258</v>
      </c>
      <c r="I319" s="224">
        <v>3.75</v>
      </c>
      <c r="J319" s="224" t="s">
        <v>1045</v>
      </c>
      <c r="K319" s="224" t="s">
        <v>4471</v>
      </c>
      <c r="L319" s="224">
        <v>3.5</v>
      </c>
      <c r="M319" s="224"/>
      <c r="N319" s="307"/>
      <c r="O319" s="224" t="s">
        <v>452</v>
      </c>
      <c r="P319" s="224" t="s">
        <v>4472</v>
      </c>
      <c r="Q319" s="224"/>
      <c r="R319" s="224" t="s">
        <v>24</v>
      </c>
      <c r="S319" s="254" t="s">
        <v>4473</v>
      </c>
      <c r="T319" s="254"/>
      <c r="U319" s="252"/>
      <c r="V319" s="252"/>
      <c r="W319" s="252"/>
      <c r="X319" s="224"/>
      <c r="Y319" s="224"/>
      <c r="Z319" s="224"/>
      <c r="AA319" s="224"/>
      <c r="AB319" s="224"/>
    </row>
    <row r="320" spans="1:28" ht="15.75" hidden="1" customHeight="1">
      <c r="A320" s="257">
        <v>44789</v>
      </c>
      <c r="B320" s="258" t="s">
        <v>293</v>
      </c>
      <c r="C320" s="263">
        <v>3.63</v>
      </c>
      <c r="D320" s="263"/>
      <c r="E320" s="258" t="s">
        <v>4495</v>
      </c>
      <c r="F320" s="258" t="s">
        <v>4</v>
      </c>
      <c r="G320" s="258" t="s">
        <v>727</v>
      </c>
      <c r="H320" s="258" t="s">
        <v>10704</v>
      </c>
      <c r="I320" s="258">
        <v>3.75</v>
      </c>
      <c r="J320" s="258" t="s">
        <v>1045</v>
      </c>
      <c r="K320" s="258" t="s">
        <v>4497</v>
      </c>
      <c r="L320" s="258">
        <v>3.5</v>
      </c>
      <c r="M320" s="258"/>
      <c r="N320" s="309"/>
      <c r="O320" s="258" t="s">
        <v>452</v>
      </c>
      <c r="P320" s="258" t="s">
        <v>452</v>
      </c>
      <c r="Q320" s="258"/>
      <c r="R320" s="258" t="s">
        <v>18</v>
      </c>
      <c r="S320" s="259" t="s">
        <v>13203</v>
      </c>
      <c r="T320" s="259"/>
      <c r="U320" s="258"/>
      <c r="V320" s="258"/>
      <c r="W320" s="258"/>
      <c r="X320" s="258"/>
      <c r="Y320" s="258"/>
      <c r="Z320" s="258"/>
      <c r="AA320" s="258"/>
      <c r="AB320" s="258"/>
    </row>
    <row r="321" spans="1:28" ht="15.75" hidden="1" customHeight="1">
      <c r="A321" s="253">
        <v>44789</v>
      </c>
      <c r="B321" s="224" t="s">
        <v>4475</v>
      </c>
      <c r="C321" s="249">
        <v>3.63</v>
      </c>
      <c r="D321" s="249"/>
      <c r="E321" s="224" t="s">
        <v>4478</v>
      </c>
      <c r="F321" s="250" t="s">
        <v>4</v>
      </c>
      <c r="G321" s="224" t="s">
        <v>727</v>
      </c>
      <c r="H321" s="224" t="s">
        <v>10707</v>
      </c>
      <c r="I321" s="224">
        <v>3.75</v>
      </c>
      <c r="J321" s="224" t="s">
        <v>1045</v>
      </c>
      <c r="K321" s="224" t="s">
        <v>4480</v>
      </c>
      <c r="L321" s="224">
        <v>3.5</v>
      </c>
      <c r="M321" s="224" t="s">
        <v>784</v>
      </c>
      <c r="N321" s="311">
        <v>500000</v>
      </c>
      <c r="O321" s="224" t="s">
        <v>452</v>
      </c>
      <c r="P321" s="224" t="s">
        <v>4481</v>
      </c>
      <c r="Q321" s="224"/>
      <c r="R321" s="224" t="s">
        <v>24</v>
      </c>
      <c r="S321" s="254"/>
      <c r="T321" s="254"/>
      <c r="U321" s="252"/>
      <c r="V321" s="252"/>
      <c r="W321" s="252"/>
      <c r="X321" s="224"/>
      <c r="Y321" s="224"/>
      <c r="Z321" s="224"/>
      <c r="AA321" s="224"/>
      <c r="AB321" s="224"/>
    </row>
    <row r="322" spans="1:28" ht="15.75" hidden="1" customHeight="1">
      <c r="A322" s="257">
        <v>44789</v>
      </c>
      <c r="B322" s="258" t="s">
        <v>295</v>
      </c>
      <c r="C322" s="263">
        <v>3.63</v>
      </c>
      <c r="D322" s="263"/>
      <c r="E322" s="258" t="s">
        <v>4502</v>
      </c>
      <c r="F322" s="258" t="s">
        <v>4</v>
      </c>
      <c r="G322" s="258" t="s">
        <v>727</v>
      </c>
      <c r="H322" s="258" t="s">
        <v>10896</v>
      </c>
      <c r="I322" s="258">
        <v>3.75</v>
      </c>
      <c r="J322" s="258" t="s">
        <v>476</v>
      </c>
      <c r="K322" s="258" t="s">
        <v>11625</v>
      </c>
      <c r="L322" s="258">
        <v>3.5</v>
      </c>
      <c r="M322" s="258"/>
      <c r="N322" s="258"/>
      <c r="O322" s="258" t="s">
        <v>452</v>
      </c>
      <c r="P322" s="258" t="s">
        <v>10898</v>
      </c>
      <c r="Q322" s="258"/>
      <c r="R322" s="258" t="s">
        <v>18</v>
      </c>
      <c r="S322" s="259" t="s">
        <v>4506</v>
      </c>
      <c r="T322" s="259"/>
      <c r="U322" s="258"/>
      <c r="V322" s="258"/>
      <c r="W322" s="258"/>
      <c r="X322" s="258"/>
      <c r="Y322" s="258"/>
      <c r="Z322" s="258"/>
      <c r="AA322" s="258"/>
      <c r="AB322" s="258"/>
    </row>
    <row r="323" spans="1:28" ht="15.75" hidden="1" customHeight="1">
      <c r="A323" s="257">
        <v>44791</v>
      </c>
      <c r="B323" s="258" t="s">
        <v>4484</v>
      </c>
      <c r="C323" s="263">
        <v>3.63</v>
      </c>
      <c r="D323" s="263"/>
      <c r="E323" s="258" t="s">
        <v>10369</v>
      </c>
      <c r="F323" s="258" t="s">
        <v>4</v>
      </c>
      <c r="G323" s="258" t="s">
        <v>725</v>
      </c>
      <c r="H323" s="258" t="s">
        <v>10370</v>
      </c>
      <c r="I323" s="258">
        <v>3.5</v>
      </c>
      <c r="J323" s="258" t="s">
        <v>727</v>
      </c>
      <c r="K323" s="258" t="s">
        <v>10371</v>
      </c>
      <c r="L323" s="258">
        <v>3.75</v>
      </c>
      <c r="M323" s="258" t="s">
        <v>784</v>
      </c>
      <c r="N323" s="261">
        <v>300000</v>
      </c>
      <c r="O323" s="258" t="s">
        <v>465</v>
      </c>
      <c r="P323" s="258" t="s">
        <v>452</v>
      </c>
      <c r="Q323" s="258"/>
      <c r="R323" s="258" t="s">
        <v>24</v>
      </c>
      <c r="S323" s="259" t="s">
        <v>11671</v>
      </c>
      <c r="T323" s="259"/>
      <c r="U323" s="258"/>
      <c r="V323" s="258"/>
      <c r="W323" s="258"/>
      <c r="X323" s="258"/>
      <c r="Y323" s="258"/>
      <c r="Z323" s="258"/>
      <c r="AA323" s="258"/>
      <c r="AB323" s="258"/>
    </row>
    <row r="324" spans="1:28" ht="15.75" hidden="1" customHeight="1">
      <c r="A324" s="257">
        <v>44796</v>
      </c>
      <c r="B324" s="258" t="s">
        <v>153</v>
      </c>
      <c r="C324" s="263">
        <v>3.63</v>
      </c>
      <c r="D324" s="263"/>
      <c r="E324" s="258" t="s">
        <v>1034</v>
      </c>
      <c r="F324" s="258" t="s">
        <v>4</v>
      </c>
      <c r="G324" s="258" t="s">
        <v>727</v>
      </c>
      <c r="H324" s="258" t="s">
        <v>10452</v>
      </c>
      <c r="I324" s="258">
        <v>4.25</v>
      </c>
      <c r="J324" s="258" t="s">
        <v>1036</v>
      </c>
      <c r="K324" s="258" t="s">
        <v>1037</v>
      </c>
      <c r="L324" s="258">
        <v>3</v>
      </c>
      <c r="M324" s="258" t="s">
        <v>451</v>
      </c>
      <c r="N324" s="258">
        <v>1000000</v>
      </c>
      <c r="O324" s="258" t="s">
        <v>452</v>
      </c>
      <c r="P324" s="258" t="s">
        <v>452</v>
      </c>
      <c r="Q324" s="258"/>
      <c r="R324" s="258" t="s">
        <v>18</v>
      </c>
      <c r="S324" s="259" t="s">
        <v>11725</v>
      </c>
      <c r="T324" s="259"/>
      <c r="U324" s="258"/>
      <c r="V324" s="258"/>
      <c r="W324" s="258"/>
      <c r="X324" s="258"/>
      <c r="Y324" s="258"/>
      <c r="Z324" s="258"/>
      <c r="AA324" s="258"/>
      <c r="AB324" s="258"/>
    </row>
    <row r="325" spans="1:28" ht="15.75" hidden="1" customHeight="1">
      <c r="A325" s="227">
        <v>44776</v>
      </c>
      <c r="B325" s="228" t="s">
        <v>297</v>
      </c>
      <c r="C325" s="240">
        <v>3.5</v>
      </c>
      <c r="D325" s="240"/>
      <c r="E325" s="228" t="s">
        <v>4570</v>
      </c>
      <c r="F325" s="244" t="s">
        <v>4</v>
      </c>
      <c r="G325" s="228" t="s">
        <v>602</v>
      </c>
      <c r="H325" s="228" t="s">
        <v>10185</v>
      </c>
      <c r="I325" s="228">
        <v>4</v>
      </c>
      <c r="J325" s="228" t="s">
        <v>1054</v>
      </c>
      <c r="K325" s="228" t="s">
        <v>4572</v>
      </c>
      <c r="L325" s="228">
        <v>3</v>
      </c>
      <c r="M325" s="228"/>
      <c r="N325" s="228"/>
      <c r="O325" s="228" t="s">
        <v>452</v>
      </c>
      <c r="P325" s="228" t="s">
        <v>10186</v>
      </c>
      <c r="Q325" s="230"/>
      <c r="R325" s="228" t="str">
        <f t="array" ref="R325">INDEX(Notes!B:B,MATCH($B325,Notes!$A:$A,0))</f>
        <v>Revisit</v>
      </c>
      <c r="S325" s="231" t="s">
        <v>4574</v>
      </c>
      <c r="T325" s="231"/>
      <c r="U325" s="228"/>
      <c r="V325" s="228"/>
      <c r="W325" s="228"/>
      <c r="X325" s="224"/>
      <c r="Y325" s="224"/>
      <c r="Z325" s="224"/>
      <c r="AA325" s="224"/>
      <c r="AB325" s="224"/>
    </row>
    <row r="326" spans="1:28" ht="15.75" customHeight="1">
      <c r="A326" s="248">
        <v>44782</v>
      </c>
      <c r="B326" s="219" t="s">
        <v>375</v>
      </c>
      <c r="C326" s="250">
        <v>3.5</v>
      </c>
      <c r="D326" s="250" t="str">
        <f ca="1">IFERROR(VLOOKUP(B326,'2022-2023 Third Reviews'!$C:$S,9,FALSE),"")</f>
        <v>John McDonald
2</v>
      </c>
      <c r="E326" s="219" t="s">
        <v>10012</v>
      </c>
      <c r="F326" s="250" t="s">
        <v>5</v>
      </c>
      <c r="G326" s="219" t="s">
        <v>447</v>
      </c>
      <c r="H326" s="219" t="s">
        <v>11201</v>
      </c>
      <c r="I326" s="219">
        <v>4</v>
      </c>
      <c r="J326" s="219" t="s">
        <v>449</v>
      </c>
      <c r="K326" s="219" t="s">
        <v>13400</v>
      </c>
      <c r="L326" s="219">
        <v>3</v>
      </c>
      <c r="M326" s="219" t="s">
        <v>451</v>
      </c>
      <c r="N326" s="219">
        <v>5000000</v>
      </c>
      <c r="O326" s="219" t="s">
        <v>452</v>
      </c>
      <c r="P326" s="219" t="s">
        <v>452</v>
      </c>
      <c r="Q326" s="219" t="s">
        <v>447</v>
      </c>
      <c r="R326" s="219" t="s">
        <v>18</v>
      </c>
      <c r="S326" s="219"/>
      <c r="T326" s="219" t="s">
        <v>11863</v>
      </c>
      <c r="U326" s="252"/>
      <c r="V326" s="252"/>
      <c r="W326" s="252"/>
      <c r="X326" s="219"/>
      <c r="Y326" s="219"/>
      <c r="Z326" s="219"/>
      <c r="AA326" s="219"/>
      <c r="AB326" s="219"/>
    </row>
    <row r="327" spans="1:28" ht="15.75" customHeight="1">
      <c r="A327" s="491">
        <v>44784</v>
      </c>
      <c r="B327" s="488" t="s">
        <v>100</v>
      </c>
      <c r="C327" s="488">
        <v>3.5</v>
      </c>
      <c r="D327" s="250" t="str">
        <f ca="1">IFERROR(VLOOKUP(B327,'2022-2023 Third Reviews'!$C:$S,9,FALSE),"")</f>
        <v>Nick Schmandt
4</v>
      </c>
      <c r="E327" s="488" t="s">
        <v>736</v>
      </c>
      <c r="F327" s="488" t="s">
        <v>5</v>
      </c>
      <c r="G327" s="488" t="s">
        <v>447</v>
      </c>
      <c r="H327" s="488" t="s">
        <v>10551</v>
      </c>
      <c r="I327" s="488">
        <v>3</v>
      </c>
      <c r="J327" s="488" t="s">
        <v>449</v>
      </c>
      <c r="K327" s="488" t="s">
        <v>11574</v>
      </c>
      <c r="L327" s="488">
        <v>4</v>
      </c>
      <c r="M327" s="488" t="s">
        <v>451</v>
      </c>
      <c r="N327" s="493">
        <v>5750000</v>
      </c>
      <c r="O327" s="488" t="s">
        <v>454</v>
      </c>
      <c r="P327" s="493" t="s">
        <v>739</v>
      </c>
      <c r="Q327" s="488" t="s">
        <v>740</v>
      </c>
      <c r="R327" s="488" t="s">
        <v>18</v>
      </c>
      <c r="S327" s="488" t="s">
        <v>741</v>
      </c>
      <c r="T327" s="488" t="s">
        <v>11799</v>
      </c>
      <c r="U327" s="488"/>
      <c r="V327" s="488"/>
      <c r="W327" s="488"/>
      <c r="X327" s="488"/>
      <c r="Y327" s="488"/>
      <c r="Z327" s="258"/>
      <c r="AA327" s="258"/>
      <c r="AB327" s="258"/>
    </row>
    <row r="328" spans="1:28" ht="15.75" hidden="1" customHeight="1">
      <c r="A328" s="233">
        <v>44776</v>
      </c>
      <c r="B328" s="245" t="s">
        <v>13204</v>
      </c>
      <c r="C328" s="241">
        <v>3.5</v>
      </c>
      <c r="D328" s="241"/>
      <c r="E328" s="234" t="s">
        <v>9560</v>
      </c>
      <c r="F328" s="242" t="s">
        <v>4</v>
      </c>
      <c r="G328" s="234" t="s">
        <v>447</v>
      </c>
      <c r="H328" s="234" t="s">
        <v>9561</v>
      </c>
      <c r="I328" s="234">
        <v>3</v>
      </c>
      <c r="J328" s="234" t="s">
        <v>449</v>
      </c>
      <c r="K328" s="234" t="e">
        <f>+the Team seems Credible
+Revenue and interest from Large companies proves the products value
+the product seems well developed</f>
        <v>#NAME?</v>
      </c>
      <c r="L328" s="234">
        <v>4</v>
      </c>
      <c r="M328" s="234" t="s">
        <v>451</v>
      </c>
      <c r="N328" s="234" t="s">
        <v>2018</v>
      </c>
      <c r="O328" s="234" t="s">
        <v>465</v>
      </c>
      <c r="P328" s="234" t="s">
        <v>9563</v>
      </c>
      <c r="Q328" s="237"/>
      <c r="R328" s="234" t="s">
        <v>20</v>
      </c>
      <c r="S328" s="238" t="s">
        <v>9564</v>
      </c>
      <c r="T328" s="238"/>
      <c r="U328" s="234"/>
      <c r="V328" s="234"/>
      <c r="W328" s="234"/>
      <c r="X328" s="239"/>
      <c r="Y328" s="239"/>
      <c r="Z328" s="239"/>
      <c r="AA328" s="239"/>
      <c r="AB328" s="239"/>
    </row>
    <row r="329" spans="1:28" ht="15.75" customHeight="1">
      <c r="A329" s="520">
        <v>44791</v>
      </c>
      <c r="B329" s="521" t="s">
        <v>393</v>
      </c>
      <c r="C329" s="521">
        <v>3.5</v>
      </c>
      <c r="D329" s="250" t="str">
        <f ca="1">IFERROR(VLOOKUP(B329,'2022-2023 Third Reviews'!$C:$S,9,FALSE),"")</f>
        <v>Chris Millisits
2</v>
      </c>
      <c r="E329" s="521" t="s">
        <v>11070</v>
      </c>
      <c r="F329" s="521" t="s">
        <v>5</v>
      </c>
      <c r="G329" s="521" t="s">
        <v>488</v>
      </c>
      <c r="H329" s="521" t="s">
        <v>11856</v>
      </c>
      <c r="I329" s="521">
        <v>3</v>
      </c>
      <c r="J329" s="521" t="s">
        <v>462</v>
      </c>
      <c r="K329" s="521" t="s">
        <v>3626</v>
      </c>
      <c r="L329" s="521">
        <v>4</v>
      </c>
      <c r="M329" s="521"/>
      <c r="N329" s="521"/>
      <c r="O329" s="521" t="s">
        <v>452</v>
      </c>
      <c r="P329" s="521" t="s">
        <v>11072</v>
      </c>
      <c r="Q329" s="521"/>
      <c r="R329" s="521" t="s">
        <v>24</v>
      </c>
      <c r="S329" s="521" t="s">
        <v>11674</v>
      </c>
      <c r="T329" s="521" t="s">
        <v>11857</v>
      </c>
      <c r="U329" s="521"/>
      <c r="V329" s="521"/>
      <c r="W329" s="521"/>
      <c r="X329" s="521"/>
      <c r="Y329" s="521"/>
      <c r="Z329" s="521"/>
      <c r="AA329" s="521"/>
      <c r="AB329" s="521"/>
    </row>
    <row r="330" spans="1:28" ht="15.75" customHeight="1">
      <c r="A330" s="507">
        <v>44776</v>
      </c>
      <c r="B330" s="360" t="s">
        <v>13205</v>
      </c>
      <c r="C330" s="525">
        <v>3.5</v>
      </c>
      <c r="D330" s="250" t="str">
        <f ca="1">IFERROR(VLOOKUP(B330,'2022-2023 Third Reviews'!$C:$S,9,FALSE),"")</f>
        <v>Jason Yu
3</v>
      </c>
      <c r="E330" s="358" t="s">
        <v>2744</v>
      </c>
      <c r="F330" s="525" t="s">
        <v>5</v>
      </c>
      <c r="G330" s="358" t="s">
        <v>447</v>
      </c>
      <c r="H330" s="358" t="s">
        <v>2745</v>
      </c>
      <c r="I330" s="358">
        <v>3.5</v>
      </c>
      <c r="J330" s="358" t="s">
        <v>622</v>
      </c>
      <c r="K330" s="358" t="s">
        <v>2746</v>
      </c>
      <c r="L330" s="358">
        <v>3.5</v>
      </c>
      <c r="M330" s="358" t="s">
        <v>451</v>
      </c>
      <c r="N330" s="361">
        <v>3000000</v>
      </c>
      <c r="O330" s="358" t="s">
        <v>452</v>
      </c>
      <c r="P330" s="358" t="s">
        <v>452</v>
      </c>
      <c r="Q330" s="358"/>
      <c r="R330" s="358" t="s">
        <v>24</v>
      </c>
      <c r="S330" s="358" t="s">
        <v>2747</v>
      </c>
      <c r="T330" s="358" t="s">
        <v>11839</v>
      </c>
      <c r="U330" s="358"/>
      <c r="V330" s="358"/>
      <c r="W330" s="358"/>
      <c r="X330" s="354"/>
      <c r="Y330" s="354"/>
      <c r="Z330" s="354"/>
      <c r="AA330" s="354"/>
      <c r="AB330" s="354"/>
    </row>
    <row r="331" spans="1:28" ht="15.75" hidden="1" customHeight="1">
      <c r="A331" s="516">
        <v>44782</v>
      </c>
      <c r="B331" s="504" t="s">
        <v>1327</v>
      </c>
      <c r="C331" s="504">
        <v>3.5</v>
      </c>
      <c r="D331" s="504"/>
      <c r="E331" s="504" t="s">
        <v>1330</v>
      </c>
      <c r="F331" s="504" t="s">
        <v>4</v>
      </c>
      <c r="G331" s="504" t="s">
        <v>447</v>
      </c>
      <c r="H331" s="504" t="s">
        <v>10325</v>
      </c>
      <c r="I331" s="504">
        <v>3.5</v>
      </c>
      <c r="J331" s="504" t="s">
        <v>543</v>
      </c>
      <c r="K331" s="504" t="s">
        <v>1332</v>
      </c>
      <c r="L331" s="504">
        <v>3.5</v>
      </c>
      <c r="M331" s="504"/>
      <c r="N331" s="504"/>
      <c r="O331" s="504" t="s">
        <v>452</v>
      </c>
      <c r="P331" s="504" t="s">
        <v>10326</v>
      </c>
      <c r="Q331" s="504"/>
      <c r="R331" s="504" t="s">
        <v>19</v>
      </c>
      <c r="S331" s="517" t="s">
        <v>1334</v>
      </c>
      <c r="T331" s="517"/>
      <c r="U331" s="504"/>
      <c r="V331" s="504"/>
      <c r="W331" s="504"/>
      <c r="X331" s="504"/>
      <c r="Y331" s="504"/>
      <c r="Z331" s="504"/>
      <c r="AA331" s="504"/>
      <c r="AB331" s="504"/>
    </row>
    <row r="332" spans="1:28" ht="15.75" hidden="1" customHeight="1">
      <c r="A332" s="257">
        <v>44782</v>
      </c>
      <c r="B332" s="258" t="s">
        <v>227</v>
      </c>
      <c r="C332" s="249">
        <v>3.5</v>
      </c>
      <c r="D332" s="249"/>
      <c r="E332" s="258" t="s">
        <v>1358</v>
      </c>
      <c r="F332" s="250" t="s">
        <v>4</v>
      </c>
      <c r="G332" s="258" t="s">
        <v>602</v>
      </c>
      <c r="H332" s="258" t="s">
        <v>1359</v>
      </c>
      <c r="I332" s="258">
        <v>4</v>
      </c>
      <c r="J332" s="258" t="s">
        <v>476</v>
      </c>
      <c r="K332" s="258" t="s">
        <v>13400</v>
      </c>
      <c r="L332" s="258">
        <v>3</v>
      </c>
      <c r="M332" s="258" t="s">
        <v>1361</v>
      </c>
      <c r="N332" s="258" t="s">
        <v>1362</v>
      </c>
      <c r="O332" s="258" t="s">
        <v>465</v>
      </c>
      <c r="P332" s="258" t="s">
        <v>1363</v>
      </c>
      <c r="Q332" s="258"/>
      <c r="R332" s="258" t="s">
        <v>18</v>
      </c>
      <c r="S332" s="259" t="s">
        <v>1364</v>
      </c>
      <c r="T332" s="259"/>
      <c r="U332" s="252"/>
      <c r="V332" s="252"/>
      <c r="W332" s="252"/>
      <c r="X332" s="219"/>
      <c r="Y332" s="219"/>
      <c r="Z332" s="219"/>
      <c r="AA332" s="219"/>
      <c r="AB332" s="219"/>
    </row>
    <row r="333" spans="1:28" ht="15.75" hidden="1" customHeight="1">
      <c r="A333" s="255">
        <v>44782</v>
      </c>
      <c r="B333" s="239" t="s">
        <v>250</v>
      </c>
      <c r="C333" s="249">
        <v>3.5</v>
      </c>
      <c r="D333" s="249"/>
      <c r="E333" s="239" t="s">
        <v>1446</v>
      </c>
      <c r="F333" s="250" t="s">
        <v>4</v>
      </c>
      <c r="G333" s="239" t="s">
        <v>447</v>
      </c>
      <c r="H333" s="239" t="s">
        <v>11533</v>
      </c>
      <c r="I333" s="239">
        <v>4</v>
      </c>
      <c r="J333" s="239" t="s">
        <v>622</v>
      </c>
      <c r="K333" s="239" t="s">
        <v>1448</v>
      </c>
      <c r="L333" s="239">
        <v>3</v>
      </c>
      <c r="M333" s="239" t="s">
        <v>973</v>
      </c>
      <c r="N333" s="239">
        <v>30000000</v>
      </c>
      <c r="O333" s="239" t="s">
        <v>452</v>
      </c>
      <c r="P333" s="239" t="s">
        <v>10412</v>
      </c>
      <c r="Q333" s="239" t="s">
        <v>447</v>
      </c>
      <c r="R333" s="239" t="s">
        <v>18</v>
      </c>
      <c r="S333" s="256" t="s">
        <v>1450</v>
      </c>
      <c r="T333" s="256"/>
      <c r="U333" s="239"/>
      <c r="V333" s="239"/>
      <c r="W333" s="239"/>
      <c r="X333" s="239"/>
      <c r="Y333" s="239"/>
      <c r="Z333" s="239"/>
      <c r="AA333" s="239"/>
      <c r="AB333" s="239"/>
    </row>
    <row r="334" spans="1:28" ht="15.75" hidden="1" customHeight="1">
      <c r="A334" s="516">
        <v>44782</v>
      </c>
      <c r="B334" s="504" t="s">
        <v>141</v>
      </c>
      <c r="C334" s="504">
        <v>3.5</v>
      </c>
      <c r="D334" s="504"/>
      <c r="E334" s="504" t="s">
        <v>11534</v>
      </c>
      <c r="F334" s="504" t="s">
        <v>4</v>
      </c>
      <c r="G334" s="504" t="s">
        <v>447</v>
      </c>
      <c r="H334" s="504" t="s">
        <v>10438</v>
      </c>
      <c r="I334" s="504">
        <v>3</v>
      </c>
      <c r="J334" s="504" t="s">
        <v>449</v>
      </c>
      <c r="K334" s="504" t="s">
        <v>13400</v>
      </c>
      <c r="L334" s="504">
        <v>4</v>
      </c>
      <c r="M334" s="504" t="s">
        <v>451</v>
      </c>
      <c r="N334" s="504">
        <v>1500000</v>
      </c>
      <c r="O334" s="504" t="s">
        <v>452</v>
      </c>
      <c r="P334" s="504" t="s">
        <v>9485</v>
      </c>
      <c r="Q334" s="504"/>
      <c r="R334" s="504" t="s">
        <v>20</v>
      </c>
      <c r="S334" s="517" t="s">
        <v>9486</v>
      </c>
      <c r="T334" s="517"/>
      <c r="U334" s="504"/>
      <c r="V334" s="504"/>
      <c r="W334" s="504"/>
      <c r="X334" s="504"/>
      <c r="Y334" s="504"/>
      <c r="Z334" s="504"/>
      <c r="AA334" s="504"/>
      <c r="AB334" s="504"/>
    </row>
    <row r="335" spans="1:28" ht="15.75" hidden="1" customHeight="1">
      <c r="A335" s="253">
        <v>44782</v>
      </c>
      <c r="B335" s="224" t="s">
        <v>4735</v>
      </c>
      <c r="C335" s="249">
        <v>3.5</v>
      </c>
      <c r="D335" s="249"/>
      <c r="E335" s="224" t="s">
        <v>4738</v>
      </c>
      <c r="F335" s="250" t="s">
        <v>4</v>
      </c>
      <c r="G335" s="224" t="s">
        <v>727</v>
      </c>
      <c r="H335" s="224" t="s">
        <v>4739</v>
      </c>
      <c r="I335" s="224">
        <v>4</v>
      </c>
      <c r="J335" s="224" t="s">
        <v>1054</v>
      </c>
      <c r="K335" s="224" t="s">
        <v>10445</v>
      </c>
      <c r="L335" s="224">
        <v>3</v>
      </c>
      <c r="M335" s="224" t="s">
        <v>451</v>
      </c>
      <c r="N335" s="224">
        <v>3000000</v>
      </c>
      <c r="O335" s="224" t="s">
        <v>465</v>
      </c>
      <c r="P335" s="224" t="s">
        <v>452</v>
      </c>
      <c r="Q335" s="224" t="s">
        <v>710</v>
      </c>
      <c r="R335" s="224" t="s">
        <v>24</v>
      </c>
      <c r="S335" s="254"/>
      <c r="T335" s="254"/>
      <c r="U335" s="252"/>
      <c r="V335" s="252"/>
      <c r="W335" s="252"/>
      <c r="X335" s="224"/>
      <c r="Y335" s="224"/>
      <c r="Z335" s="224"/>
      <c r="AA335" s="224"/>
      <c r="AB335" s="224"/>
    </row>
    <row r="336" spans="1:28" ht="15.75" hidden="1" customHeight="1">
      <c r="A336" s="255">
        <v>44782</v>
      </c>
      <c r="B336" s="239" t="s">
        <v>299</v>
      </c>
      <c r="C336" s="249">
        <v>3.5</v>
      </c>
      <c r="D336" s="249"/>
      <c r="E336" s="239" t="s">
        <v>4665</v>
      </c>
      <c r="F336" s="250" t="s">
        <v>4</v>
      </c>
      <c r="G336" s="239" t="s">
        <v>460</v>
      </c>
      <c r="H336" s="239" t="s">
        <v>4666</v>
      </c>
      <c r="I336" s="239">
        <v>4</v>
      </c>
      <c r="J336" s="239" t="s">
        <v>462</v>
      </c>
      <c r="K336" s="239"/>
      <c r="L336" s="239">
        <v>3</v>
      </c>
      <c r="M336" s="239" t="s">
        <v>478</v>
      </c>
      <c r="N336" s="239" t="s">
        <v>4667</v>
      </c>
      <c r="O336" s="239" t="s">
        <v>452</v>
      </c>
      <c r="P336" s="239" t="s">
        <v>452</v>
      </c>
      <c r="Q336" s="239"/>
      <c r="R336" s="239" t="s">
        <v>20</v>
      </c>
      <c r="S336" s="256" t="s">
        <v>4668</v>
      </c>
      <c r="T336" s="256"/>
      <c r="U336" s="239"/>
      <c r="V336" s="239"/>
      <c r="W336" s="239"/>
      <c r="X336" s="239"/>
      <c r="Y336" s="239"/>
      <c r="Z336" s="239"/>
      <c r="AA336" s="239"/>
      <c r="AB336" s="239"/>
    </row>
    <row r="337" spans="1:28" ht="15.75" customHeight="1">
      <c r="A337" s="257">
        <v>44782</v>
      </c>
      <c r="B337" s="258" t="s">
        <v>2965</v>
      </c>
      <c r="C337" s="250">
        <v>3.5</v>
      </c>
      <c r="D337" s="250"/>
      <c r="E337" s="258" t="s">
        <v>2968</v>
      </c>
      <c r="F337" s="250" t="s">
        <v>5</v>
      </c>
      <c r="G337" s="258" t="s">
        <v>447</v>
      </c>
      <c r="H337" s="258" t="s">
        <v>11171</v>
      </c>
      <c r="I337" s="258">
        <v>3.5</v>
      </c>
      <c r="J337" s="258" t="s">
        <v>543</v>
      </c>
      <c r="K337" s="258">
        <v>3.5</v>
      </c>
      <c r="L337" s="258">
        <v>3.5</v>
      </c>
      <c r="M337" s="258" t="s">
        <v>784</v>
      </c>
      <c r="N337" s="258" t="s">
        <v>2527</v>
      </c>
      <c r="O337" s="258" t="s">
        <v>452</v>
      </c>
      <c r="P337" s="258" t="s">
        <v>452</v>
      </c>
      <c r="Q337" s="258" t="s">
        <v>727</v>
      </c>
      <c r="R337" s="258" t="s">
        <v>24</v>
      </c>
      <c r="S337" s="258" t="s">
        <v>11173</v>
      </c>
      <c r="T337" s="258"/>
      <c r="U337" s="258"/>
      <c r="V337" s="258"/>
      <c r="W337" s="258"/>
      <c r="X337" s="258"/>
      <c r="Y337" s="258"/>
      <c r="Z337" s="258"/>
      <c r="AA337" s="258"/>
      <c r="AB337" s="258"/>
    </row>
    <row r="338" spans="1:28" ht="15.75" customHeight="1">
      <c r="A338" s="495">
        <v>44789</v>
      </c>
      <c r="B338" s="354" t="s">
        <v>63</v>
      </c>
      <c r="C338" s="354">
        <v>3.5</v>
      </c>
      <c r="D338" s="250" t="str">
        <f ca="1">IFERROR(VLOOKUP(B338,'2022-2023 Third Reviews'!$C:$S,9,FALSE),"")</f>
        <v>Jason Yu
3</v>
      </c>
      <c r="E338" s="354" t="s">
        <v>2101</v>
      </c>
      <c r="F338" s="354" t="s">
        <v>5</v>
      </c>
      <c r="G338" s="354" t="s">
        <v>447</v>
      </c>
      <c r="H338" s="354" t="s">
        <v>10818</v>
      </c>
      <c r="I338" s="354">
        <v>3.5</v>
      </c>
      <c r="J338" s="354" t="s">
        <v>543</v>
      </c>
      <c r="K338" s="354" t="s">
        <v>10819</v>
      </c>
      <c r="L338" s="354">
        <v>3.5</v>
      </c>
      <c r="M338" s="354"/>
      <c r="N338" s="356"/>
      <c r="O338" s="354" t="s">
        <v>452</v>
      </c>
      <c r="P338" s="354" t="s">
        <v>2104</v>
      </c>
      <c r="Q338" s="354"/>
      <c r="R338" s="354" t="s">
        <v>24</v>
      </c>
      <c r="S338" s="354" t="s">
        <v>2105</v>
      </c>
      <c r="T338" s="354" t="s">
        <v>11834</v>
      </c>
      <c r="U338" s="354"/>
      <c r="V338" s="354"/>
      <c r="W338" s="354"/>
      <c r="X338" s="354"/>
      <c r="Y338" s="354"/>
      <c r="Z338" s="354"/>
      <c r="AA338" s="354"/>
      <c r="AB338" s="354"/>
    </row>
    <row r="339" spans="1:28" ht="15.75" hidden="1" customHeight="1">
      <c r="A339" s="257">
        <v>44782</v>
      </c>
      <c r="B339" s="258" t="s">
        <v>8859</v>
      </c>
      <c r="C339" s="249">
        <v>3.5</v>
      </c>
      <c r="D339" s="249"/>
      <c r="E339" s="258" t="s">
        <v>11221</v>
      </c>
      <c r="F339" s="250" t="s">
        <v>3</v>
      </c>
      <c r="G339" s="258" t="s">
        <v>460</v>
      </c>
      <c r="H339" s="258" t="s">
        <v>8863</v>
      </c>
      <c r="I339" s="258">
        <v>3</v>
      </c>
      <c r="J339" s="258" t="s">
        <v>462</v>
      </c>
      <c r="K339" s="258" t="s">
        <v>11222</v>
      </c>
      <c r="L339" s="258">
        <v>4</v>
      </c>
      <c r="M339" s="258" t="s">
        <v>451</v>
      </c>
      <c r="N339" s="258">
        <v>1000000</v>
      </c>
      <c r="O339" s="258" t="s">
        <v>454</v>
      </c>
      <c r="P339" s="258" t="s">
        <v>8865</v>
      </c>
      <c r="Q339" s="258"/>
      <c r="R339" s="258" t="s">
        <v>24</v>
      </c>
      <c r="S339" s="259" t="s">
        <v>8866</v>
      </c>
      <c r="T339" s="259"/>
      <c r="U339" s="258"/>
      <c r="V339" s="258"/>
      <c r="W339" s="258"/>
      <c r="X339" s="258"/>
      <c r="Y339" s="258"/>
      <c r="Z339" s="258"/>
      <c r="AA339" s="258"/>
      <c r="AB339" s="258"/>
    </row>
    <row r="340" spans="1:28" ht="15.75" hidden="1" customHeight="1">
      <c r="A340" s="248">
        <v>44782</v>
      </c>
      <c r="B340" s="219" t="s">
        <v>4822</v>
      </c>
      <c r="C340" s="249">
        <v>3.5</v>
      </c>
      <c r="D340" s="249"/>
      <c r="E340" s="219" t="s">
        <v>4825</v>
      </c>
      <c r="F340" s="250" t="s">
        <v>4</v>
      </c>
      <c r="G340" s="219" t="s">
        <v>727</v>
      </c>
      <c r="H340" s="219" t="s">
        <v>11388</v>
      </c>
      <c r="I340" s="219">
        <v>3</v>
      </c>
      <c r="J340" s="219" t="s">
        <v>476</v>
      </c>
      <c r="K340" s="219" t="s">
        <v>13400</v>
      </c>
      <c r="L340" s="219">
        <v>4</v>
      </c>
      <c r="M340" s="219" t="s">
        <v>451</v>
      </c>
      <c r="N340" s="219" t="s">
        <v>4828</v>
      </c>
      <c r="O340" s="219" t="s">
        <v>452</v>
      </c>
      <c r="P340" s="219" t="s">
        <v>4829</v>
      </c>
      <c r="Q340" s="219"/>
      <c r="R340" s="219"/>
      <c r="S340" s="251"/>
      <c r="T340" s="251"/>
      <c r="U340" s="252"/>
      <c r="V340" s="252"/>
      <c r="W340" s="252"/>
      <c r="X340" s="219"/>
      <c r="Y340" s="219"/>
      <c r="Z340" s="219"/>
      <c r="AA340" s="219"/>
      <c r="AB340" s="219"/>
    </row>
    <row r="341" spans="1:28" ht="15.75" hidden="1" customHeight="1">
      <c r="A341" s="257">
        <v>44782</v>
      </c>
      <c r="B341" s="258" t="s">
        <v>66</v>
      </c>
      <c r="C341" s="249">
        <v>3.5</v>
      </c>
      <c r="D341" s="249"/>
      <c r="E341" s="258" t="s">
        <v>9458</v>
      </c>
      <c r="F341" s="250" t="s">
        <v>3</v>
      </c>
      <c r="G341" s="258" t="s">
        <v>460</v>
      </c>
      <c r="H341" s="258" t="s">
        <v>9459</v>
      </c>
      <c r="I341" s="258">
        <v>3</v>
      </c>
      <c r="J341" s="258" t="s">
        <v>462</v>
      </c>
      <c r="K341" s="258" t="s">
        <v>9460</v>
      </c>
      <c r="L341" s="258">
        <v>4</v>
      </c>
      <c r="M341" s="258" t="s">
        <v>478</v>
      </c>
      <c r="N341" s="258">
        <v>20000000</v>
      </c>
      <c r="O341" s="258" t="s">
        <v>452</v>
      </c>
      <c r="P341" s="258" t="s">
        <v>452</v>
      </c>
      <c r="Q341" s="258"/>
      <c r="R341" s="258" t="s">
        <v>20</v>
      </c>
      <c r="S341" s="259" t="s">
        <v>11535</v>
      </c>
      <c r="T341" s="259"/>
      <c r="U341" s="258"/>
      <c r="V341" s="258"/>
      <c r="W341" s="258"/>
      <c r="X341" s="258"/>
      <c r="Y341" s="258"/>
      <c r="Z341" s="258"/>
      <c r="AA341" s="258"/>
      <c r="AB341" s="258"/>
    </row>
    <row r="342" spans="1:28" ht="15.75" customHeight="1">
      <c r="A342" s="248">
        <v>44782</v>
      </c>
      <c r="B342" s="219" t="s">
        <v>2931</v>
      </c>
      <c r="C342" s="250">
        <v>3.5</v>
      </c>
      <c r="D342" s="250"/>
      <c r="E342" s="219" t="s">
        <v>2934</v>
      </c>
      <c r="F342" s="250" t="s">
        <v>5</v>
      </c>
      <c r="G342" s="219" t="s">
        <v>447</v>
      </c>
      <c r="H342" s="219" t="s">
        <v>11174</v>
      </c>
      <c r="I342" s="219">
        <v>4</v>
      </c>
      <c r="J342" s="219" t="s">
        <v>622</v>
      </c>
      <c r="K342" s="219" t="s">
        <v>11536</v>
      </c>
      <c r="L342" s="219">
        <v>3</v>
      </c>
      <c r="M342" s="219" t="s">
        <v>451</v>
      </c>
      <c r="N342" s="219">
        <v>1500000</v>
      </c>
      <c r="O342" s="219" t="s">
        <v>452</v>
      </c>
      <c r="P342" s="219" t="s">
        <v>2937</v>
      </c>
      <c r="Q342" s="219"/>
      <c r="R342" s="219" t="s">
        <v>24</v>
      </c>
      <c r="S342" s="219"/>
      <c r="T342" s="219"/>
      <c r="U342" s="252"/>
      <c r="V342" s="252"/>
      <c r="W342" s="252"/>
      <c r="X342" s="219"/>
      <c r="Y342" s="219"/>
      <c r="Z342" s="219"/>
      <c r="AA342" s="219"/>
      <c r="AB342" s="219"/>
    </row>
    <row r="343" spans="1:28" ht="15.75" hidden="1" customHeight="1">
      <c r="A343" s="280">
        <v>44784</v>
      </c>
      <c r="B343" s="281" t="s">
        <v>4716</v>
      </c>
      <c r="C343" s="282">
        <v>3.5</v>
      </c>
      <c r="D343" s="282"/>
      <c r="E343" s="281" t="s">
        <v>4719</v>
      </c>
      <c r="F343" s="281" t="s">
        <v>4</v>
      </c>
      <c r="G343" s="281" t="s">
        <v>727</v>
      </c>
      <c r="H343" s="281" t="s">
        <v>10220</v>
      </c>
      <c r="I343" s="281">
        <v>3.5</v>
      </c>
      <c r="J343" s="281" t="s">
        <v>1054</v>
      </c>
      <c r="K343" s="281" t="s">
        <v>4721</v>
      </c>
      <c r="L343" s="281">
        <v>3.5</v>
      </c>
      <c r="M343" s="281"/>
      <c r="N343" s="281"/>
      <c r="O343" s="281" t="s">
        <v>452</v>
      </c>
      <c r="P343" s="281" t="s">
        <v>4722</v>
      </c>
      <c r="Q343" s="281" t="s">
        <v>4723</v>
      </c>
      <c r="R343" s="281" t="s">
        <v>24</v>
      </c>
      <c r="S343" s="283" t="s">
        <v>4724</v>
      </c>
      <c r="T343" s="283"/>
      <c r="U343" s="281"/>
      <c r="V343" s="281"/>
      <c r="W343" s="281"/>
      <c r="X343" s="281"/>
      <c r="Y343" s="281"/>
      <c r="Z343" s="258"/>
      <c r="AA343" s="258"/>
      <c r="AB343" s="258"/>
    </row>
    <row r="344" spans="1:28" ht="15.75" hidden="1" customHeight="1">
      <c r="A344" s="267">
        <v>44784</v>
      </c>
      <c r="B344" s="268" t="s">
        <v>4899</v>
      </c>
      <c r="C344" s="269">
        <v>3.5</v>
      </c>
      <c r="D344" s="269"/>
      <c r="E344" s="268" t="s">
        <v>10229</v>
      </c>
      <c r="F344" s="270" t="s">
        <v>4</v>
      </c>
      <c r="G344" s="268" t="s">
        <v>602</v>
      </c>
      <c r="H344" s="268" t="s">
        <v>10230</v>
      </c>
      <c r="I344" s="268">
        <v>3</v>
      </c>
      <c r="J344" s="268" t="s">
        <v>727</v>
      </c>
      <c r="K344" s="268" t="s">
        <v>10231</v>
      </c>
      <c r="L344" s="268">
        <v>4</v>
      </c>
      <c r="M344" s="268"/>
      <c r="N344" s="268"/>
      <c r="O344" s="268" t="s">
        <v>452</v>
      </c>
      <c r="P344" s="268" t="s">
        <v>4905</v>
      </c>
      <c r="Q344" s="268"/>
      <c r="R344" s="268" t="s">
        <v>24</v>
      </c>
      <c r="S344" s="271"/>
      <c r="T344" s="271"/>
      <c r="U344" s="268"/>
      <c r="V344" s="268"/>
      <c r="W344" s="268"/>
      <c r="X344" s="268"/>
      <c r="Y344" s="268"/>
      <c r="Z344" s="219"/>
      <c r="AA344" s="219"/>
      <c r="AB344" s="219"/>
    </row>
    <row r="345" spans="1:28" ht="15.75" hidden="1" customHeight="1">
      <c r="A345" s="267">
        <v>44784</v>
      </c>
      <c r="B345" s="272" t="s">
        <v>4917</v>
      </c>
      <c r="C345" s="269">
        <v>3.5</v>
      </c>
      <c r="D345" s="269"/>
      <c r="E345" s="272" t="s">
        <v>4920</v>
      </c>
      <c r="F345" s="270" t="s">
        <v>4</v>
      </c>
      <c r="G345" s="272" t="s">
        <v>602</v>
      </c>
      <c r="H345" s="272"/>
      <c r="I345" s="272">
        <v>3</v>
      </c>
      <c r="J345" s="272" t="s">
        <v>1054</v>
      </c>
      <c r="K345" s="272" t="s">
        <v>4921</v>
      </c>
      <c r="L345" s="272">
        <v>4</v>
      </c>
      <c r="M345" s="272" t="s">
        <v>451</v>
      </c>
      <c r="N345" s="272">
        <v>800000</v>
      </c>
      <c r="O345" s="272" t="s">
        <v>452</v>
      </c>
      <c r="P345" s="272" t="s">
        <v>4922</v>
      </c>
      <c r="Q345" s="272"/>
      <c r="R345" s="272" t="s">
        <v>24</v>
      </c>
      <c r="S345" s="274"/>
      <c r="T345" s="274"/>
      <c r="U345" s="272"/>
      <c r="V345" s="272"/>
      <c r="W345" s="272"/>
      <c r="X345" s="272"/>
      <c r="Y345" s="272"/>
      <c r="Z345" s="224"/>
      <c r="AA345" s="224"/>
      <c r="AB345" s="224"/>
    </row>
    <row r="346" spans="1:28" ht="15.75" customHeight="1">
      <c r="A346" s="257">
        <v>44796</v>
      </c>
      <c r="B346" s="258" t="s">
        <v>135</v>
      </c>
      <c r="C346" s="258">
        <v>4.25</v>
      </c>
      <c r="D346" s="250" t="str">
        <f>IFERROR(VLOOKUP(B346,'2022-2023 Third Reviews'!$C:$S,9,FALSE),"")</f>
        <v/>
      </c>
      <c r="E346" s="258" t="s">
        <v>952</v>
      </c>
      <c r="F346" s="258" t="s">
        <v>5</v>
      </c>
      <c r="G346" s="258" t="s">
        <v>447</v>
      </c>
      <c r="H346" s="258" t="s">
        <v>11704</v>
      </c>
      <c r="I346" s="258">
        <v>4.5</v>
      </c>
      <c r="J346" s="258" t="s">
        <v>622</v>
      </c>
      <c r="K346" s="258" t="s">
        <v>11705</v>
      </c>
      <c r="L346" s="258">
        <v>4</v>
      </c>
      <c r="M346" s="258"/>
      <c r="N346" s="258"/>
      <c r="O346" s="258" t="s">
        <v>452</v>
      </c>
      <c r="P346" s="258" t="s">
        <v>955</v>
      </c>
      <c r="Q346" s="258"/>
      <c r="R346" s="258" t="s">
        <v>18</v>
      </c>
      <c r="S346" s="258" t="s">
        <v>11706</v>
      </c>
      <c r="T346" s="258" t="s">
        <v>11770</v>
      </c>
      <c r="U346" s="258"/>
      <c r="V346" s="258"/>
      <c r="W346" s="258"/>
      <c r="X346" s="258"/>
      <c r="Y346" s="258"/>
      <c r="Z346" s="258"/>
      <c r="AA346" s="258"/>
      <c r="AB346" s="258"/>
    </row>
    <row r="347" spans="1:28" ht="15.75" hidden="1" customHeight="1">
      <c r="A347" s="267">
        <v>44784</v>
      </c>
      <c r="B347" s="272" t="s">
        <v>4881</v>
      </c>
      <c r="C347" s="269">
        <v>3.5</v>
      </c>
      <c r="D347" s="269"/>
      <c r="E347" s="272" t="s">
        <v>4884</v>
      </c>
      <c r="F347" s="270" t="s">
        <v>4</v>
      </c>
      <c r="G347" s="272" t="s">
        <v>727</v>
      </c>
      <c r="H347" s="272" t="s">
        <v>10715</v>
      </c>
      <c r="I347" s="272">
        <v>3.5</v>
      </c>
      <c r="J347" s="272" t="s">
        <v>1054</v>
      </c>
      <c r="K347" s="272" t="s">
        <v>4886</v>
      </c>
      <c r="L347" s="272">
        <v>3.5</v>
      </c>
      <c r="M347" s="272" t="s">
        <v>451</v>
      </c>
      <c r="N347" s="284">
        <v>1200000</v>
      </c>
      <c r="O347" s="272" t="s">
        <v>452</v>
      </c>
      <c r="P347" s="284" t="s">
        <v>4887</v>
      </c>
      <c r="Q347" s="272"/>
      <c r="R347" s="272" t="s">
        <v>24</v>
      </c>
      <c r="S347" s="274"/>
      <c r="T347" s="274"/>
      <c r="U347" s="272"/>
      <c r="V347" s="272"/>
      <c r="W347" s="272"/>
      <c r="X347" s="272"/>
      <c r="Y347" s="272"/>
      <c r="Z347" s="224"/>
      <c r="AA347" s="224"/>
      <c r="AB347" s="224"/>
    </row>
    <row r="348" spans="1:28" ht="15.75" hidden="1" customHeight="1">
      <c r="A348" s="267">
        <v>44784</v>
      </c>
      <c r="B348" s="268" t="s">
        <v>4743</v>
      </c>
      <c r="C348" s="269">
        <v>3.5</v>
      </c>
      <c r="D348" s="269"/>
      <c r="E348" s="268" t="s">
        <v>4746</v>
      </c>
      <c r="F348" s="270" t="s">
        <v>4</v>
      </c>
      <c r="G348" s="268" t="s">
        <v>602</v>
      </c>
      <c r="H348" s="268" t="s">
        <v>4747</v>
      </c>
      <c r="I348" s="268">
        <v>3.5</v>
      </c>
      <c r="J348" s="268" t="s">
        <v>476</v>
      </c>
      <c r="K348" s="268" t="s">
        <v>11575</v>
      </c>
      <c r="L348" s="268">
        <v>3.5</v>
      </c>
      <c r="M348" s="268"/>
      <c r="N348" s="268"/>
      <c r="O348" s="268" t="s">
        <v>465</v>
      </c>
      <c r="P348" s="268" t="s">
        <v>452</v>
      </c>
      <c r="Q348" s="268"/>
      <c r="R348" s="268" t="s">
        <v>24</v>
      </c>
      <c r="S348" s="271"/>
      <c r="T348" s="271"/>
      <c r="U348" s="268"/>
      <c r="V348" s="268"/>
      <c r="W348" s="268"/>
      <c r="X348" s="268"/>
      <c r="Y348" s="268"/>
      <c r="Z348" s="219"/>
      <c r="AA348" s="219"/>
      <c r="AB348" s="219"/>
    </row>
    <row r="349" spans="1:28" ht="15.75" hidden="1" customHeight="1">
      <c r="A349" s="280">
        <v>44784</v>
      </c>
      <c r="B349" s="281" t="s">
        <v>388</v>
      </c>
      <c r="C349" s="282">
        <v>3.5</v>
      </c>
      <c r="D349" s="282"/>
      <c r="E349" s="281" t="s">
        <v>9927</v>
      </c>
      <c r="F349" s="281" t="s">
        <v>3</v>
      </c>
      <c r="G349" s="281" t="s">
        <v>460</v>
      </c>
      <c r="H349" s="281" t="s">
        <v>9928</v>
      </c>
      <c r="I349" s="281">
        <v>3</v>
      </c>
      <c r="J349" s="281" t="s">
        <v>462</v>
      </c>
      <c r="K349" s="281" t="s">
        <v>9929</v>
      </c>
      <c r="L349" s="281">
        <v>4</v>
      </c>
      <c r="M349" s="281" t="s">
        <v>923</v>
      </c>
      <c r="N349" s="288">
        <v>4000000</v>
      </c>
      <c r="O349" s="281" t="s">
        <v>452</v>
      </c>
      <c r="P349" s="288" t="s">
        <v>9930</v>
      </c>
      <c r="Q349" s="281" t="s">
        <v>460</v>
      </c>
      <c r="R349" s="281" t="s">
        <v>20</v>
      </c>
      <c r="S349" s="283" t="s">
        <v>9931</v>
      </c>
      <c r="T349" s="283"/>
      <c r="U349" s="281"/>
      <c r="V349" s="281"/>
      <c r="W349" s="281"/>
      <c r="X349" s="281"/>
      <c r="Y349" s="281"/>
      <c r="Z349" s="258"/>
      <c r="AA349" s="258"/>
      <c r="AB349" s="258"/>
    </row>
    <row r="350" spans="1:28" ht="15.75" hidden="1" customHeight="1">
      <c r="A350" s="267">
        <v>44784</v>
      </c>
      <c r="B350" s="268" t="s">
        <v>4561</v>
      </c>
      <c r="C350" s="269">
        <v>3.5</v>
      </c>
      <c r="D350" s="269"/>
      <c r="E350" s="268" t="s">
        <v>4564</v>
      </c>
      <c r="F350" s="270" t="s">
        <v>4</v>
      </c>
      <c r="G350" s="268" t="s">
        <v>602</v>
      </c>
      <c r="H350" s="268" t="s">
        <v>4565</v>
      </c>
      <c r="I350" s="268">
        <v>4</v>
      </c>
      <c r="J350" s="268" t="s">
        <v>476</v>
      </c>
      <c r="K350" s="268" t="s">
        <v>13400</v>
      </c>
      <c r="L350" s="268">
        <v>3</v>
      </c>
      <c r="M350" s="268" t="s">
        <v>451</v>
      </c>
      <c r="N350" s="285">
        <v>1500000</v>
      </c>
      <c r="O350" s="268" t="s">
        <v>452</v>
      </c>
      <c r="P350" s="285" t="s">
        <v>1028</v>
      </c>
      <c r="Q350" s="268"/>
      <c r="R350" s="268" t="s">
        <v>24</v>
      </c>
      <c r="S350" s="271"/>
      <c r="T350" s="271"/>
      <c r="U350" s="268"/>
      <c r="V350" s="268"/>
      <c r="W350" s="268"/>
      <c r="X350" s="268"/>
      <c r="Y350" s="268"/>
      <c r="Z350" s="219"/>
      <c r="AA350" s="219"/>
      <c r="AB350" s="219"/>
    </row>
    <row r="351" spans="1:28" ht="15.75" hidden="1" customHeight="1">
      <c r="A351" s="495">
        <v>44789</v>
      </c>
      <c r="B351" s="354" t="s">
        <v>111</v>
      </c>
      <c r="C351" s="354">
        <v>3.5</v>
      </c>
      <c r="D351" s="354"/>
      <c r="E351" s="354" t="s">
        <v>9355</v>
      </c>
      <c r="F351" s="354" t="s">
        <v>4</v>
      </c>
      <c r="G351" s="354" t="s">
        <v>447</v>
      </c>
      <c r="H351" s="526" t="s">
        <v>13206</v>
      </c>
      <c r="I351" s="354">
        <v>3.5</v>
      </c>
      <c r="J351" s="354" t="s">
        <v>543</v>
      </c>
      <c r="K351" s="354" t="s">
        <v>11627</v>
      </c>
      <c r="L351" s="354">
        <v>3.5</v>
      </c>
      <c r="M351" s="354"/>
      <c r="N351" s="354"/>
      <c r="O351" s="354" t="s">
        <v>452</v>
      </c>
      <c r="P351" s="526" t="s">
        <v>13207</v>
      </c>
      <c r="Q351" s="354"/>
      <c r="R351" s="354" t="s">
        <v>19</v>
      </c>
      <c r="S351" s="527" t="s">
        <v>1477</v>
      </c>
      <c r="T351" s="527"/>
      <c r="U351" s="354"/>
      <c r="V351" s="354"/>
      <c r="W351" s="354"/>
      <c r="X351" s="354"/>
      <c r="Y351" s="354"/>
      <c r="Z351" s="354"/>
      <c r="AA351" s="354"/>
      <c r="AB351" s="354"/>
    </row>
    <row r="352" spans="1:28" ht="15.75" hidden="1" customHeight="1">
      <c r="A352" s="495">
        <v>44789</v>
      </c>
      <c r="B352" s="354" t="s">
        <v>140</v>
      </c>
      <c r="C352" s="354">
        <v>3.5</v>
      </c>
      <c r="D352" s="354"/>
      <c r="E352" s="354" t="s">
        <v>9376</v>
      </c>
      <c r="F352" s="354" t="s">
        <v>4</v>
      </c>
      <c r="G352" s="354" t="s">
        <v>447</v>
      </c>
      <c r="H352" s="354" t="s">
        <v>10616</v>
      </c>
      <c r="I352" s="354">
        <v>3.5</v>
      </c>
      <c r="J352" s="354" t="s">
        <v>543</v>
      </c>
      <c r="K352" s="354" t="s">
        <v>11628</v>
      </c>
      <c r="L352" s="354">
        <v>3.5</v>
      </c>
      <c r="M352" s="354" t="s">
        <v>923</v>
      </c>
      <c r="N352" s="528">
        <v>5000000</v>
      </c>
      <c r="O352" s="354" t="s">
        <v>465</v>
      </c>
      <c r="P352" s="354" t="s">
        <v>9379</v>
      </c>
      <c r="Q352" s="354" t="s">
        <v>725</v>
      </c>
      <c r="R352" s="354" t="s">
        <v>19</v>
      </c>
      <c r="S352" s="527" t="s">
        <v>1477</v>
      </c>
      <c r="T352" s="527"/>
      <c r="U352" s="354"/>
      <c r="V352" s="354"/>
      <c r="W352" s="354"/>
      <c r="X352" s="354"/>
      <c r="Y352" s="354"/>
      <c r="Z352" s="354"/>
      <c r="AA352" s="354"/>
      <c r="AB352" s="354"/>
    </row>
    <row r="353" spans="1:28" ht="15.75" hidden="1" customHeight="1">
      <c r="A353" s="253">
        <v>44789</v>
      </c>
      <c r="B353" s="224" t="s">
        <v>4576</v>
      </c>
      <c r="C353" s="249">
        <v>3.5</v>
      </c>
      <c r="D353" s="249"/>
      <c r="E353" s="224" t="s">
        <v>10683</v>
      </c>
      <c r="F353" s="250" t="s">
        <v>4</v>
      </c>
      <c r="G353" s="224" t="s">
        <v>727</v>
      </c>
      <c r="H353" s="224" t="s">
        <v>10684</v>
      </c>
      <c r="I353" s="224">
        <v>4</v>
      </c>
      <c r="J353" s="224" t="s">
        <v>476</v>
      </c>
      <c r="K353" s="224" t="s">
        <v>10685</v>
      </c>
      <c r="L353" s="224">
        <v>3</v>
      </c>
      <c r="M353" s="224" t="s">
        <v>451</v>
      </c>
      <c r="N353" s="307">
        <v>3000000</v>
      </c>
      <c r="O353" s="224" t="s">
        <v>452</v>
      </c>
      <c r="P353" s="224" t="s">
        <v>10686</v>
      </c>
      <c r="Q353" s="224"/>
      <c r="R353" s="224" t="s">
        <v>24</v>
      </c>
      <c r="S353" s="254"/>
      <c r="T353" s="254"/>
      <c r="U353" s="252"/>
      <c r="V353" s="252"/>
      <c r="W353" s="252"/>
      <c r="X353" s="224"/>
      <c r="Y353" s="224"/>
      <c r="Z353" s="224"/>
      <c r="AA353" s="224"/>
      <c r="AB353" s="224"/>
    </row>
    <row r="354" spans="1:28" ht="15.75" hidden="1" customHeight="1">
      <c r="A354" s="248">
        <v>44789</v>
      </c>
      <c r="B354" s="219" t="s">
        <v>4751</v>
      </c>
      <c r="C354" s="249">
        <v>3.5</v>
      </c>
      <c r="D354" s="249"/>
      <c r="E354" s="219" t="s">
        <v>10712</v>
      </c>
      <c r="F354" s="250" t="s">
        <v>4</v>
      </c>
      <c r="G354" s="219" t="s">
        <v>727</v>
      </c>
      <c r="H354" s="219" t="s">
        <v>10713</v>
      </c>
      <c r="I354" s="219">
        <v>3</v>
      </c>
      <c r="J354" s="219" t="s">
        <v>476</v>
      </c>
      <c r="K354" s="219" t="s">
        <v>13400</v>
      </c>
      <c r="L354" s="219">
        <v>4</v>
      </c>
      <c r="M354" s="219" t="s">
        <v>451</v>
      </c>
      <c r="N354" s="310">
        <v>1000000</v>
      </c>
      <c r="O354" s="219" t="s">
        <v>452</v>
      </c>
      <c r="P354" s="219" t="s">
        <v>4757</v>
      </c>
      <c r="Q354" s="219"/>
      <c r="R354" s="219" t="s">
        <v>24</v>
      </c>
      <c r="S354" s="251"/>
      <c r="T354" s="251"/>
      <c r="U354" s="252"/>
      <c r="V354" s="252"/>
      <c r="W354" s="252"/>
      <c r="X354" s="219"/>
      <c r="Y354" s="219"/>
      <c r="Z354" s="219"/>
      <c r="AA354" s="219"/>
      <c r="AB354" s="219"/>
    </row>
    <row r="355" spans="1:28" ht="15.75" customHeight="1">
      <c r="A355" s="255">
        <v>44789</v>
      </c>
      <c r="B355" s="239" t="s">
        <v>3268</v>
      </c>
      <c r="C355" s="239">
        <v>3.5</v>
      </c>
      <c r="D355" s="239"/>
      <c r="E355" s="239" t="s">
        <v>10808</v>
      </c>
      <c r="F355" s="239" t="s">
        <v>5</v>
      </c>
      <c r="G355" s="239" t="s">
        <v>447</v>
      </c>
      <c r="H355" s="239" t="s">
        <v>10809</v>
      </c>
      <c r="I355" s="239">
        <v>3.5</v>
      </c>
      <c r="J355" s="239" t="s">
        <v>543</v>
      </c>
      <c r="K355" s="239" t="e">
        <f>+combining Lab-on-Chip technology with AI for real-time,
multi-parametric, automated condition monitoring.
- company need more funds and customers as it has full scale ready to use</f>
        <v>#NAME?</v>
      </c>
      <c r="L355" s="239">
        <v>3.5</v>
      </c>
      <c r="M355" s="239" t="s">
        <v>451</v>
      </c>
      <c r="N355" s="314">
        <v>1600000</v>
      </c>
      <c r="O355" s="239" t="s">
        <v>452</v>
      </c>
      <c r="P355" s="239" t="s">
        <v>3274</v>
      </c>
      <c r="Q355" s="239"/>
      <c r="R355" s="239" t="s">
        <v>24</v>
      </c>
      <c r="S355" s="239" t="s">
        <v>1477</v>
      </c>
      <c r="T355" s="239"/>
      <c r="U355" s="239"/>
      <c r="V355" s="239"/>
      <c r="W355" s="239"/>
      <c r="X355" s="239"/>
      <c r="Y355" s="239"/>
      <c r="Z355" s="239"/>
      <c r="AA355" s="239"/>
      <c r="AB355" s="239"/>
    </row>
    <row r="356" spans="1:28" ht="15.75" customHeight="1">
      <c r="A356" s="507">
        <v>44776</v>
      </c>
      <c r="B356" s="358" t="s">
        <v>136</v>
      </c>
      <c r="C356" s="525">
        <v>3.5</v>
      </c>
      <c r="D356" s="250" t="str">
        <f ca="1">IFERROR(VLOOKUP(B356,'2022-2023 Third Reviews'!$C:$S,9,FALSE),"")</f>
        <v>Joshua Rubnitz
2</v>
      </c>
      <c r="E356" s="358" t="s">
        <v>3235</v>
      </c>
      <c r="F356" s="525" t="s">
        <v>5</v>
      </c>
      <c r="G356" s="358" t="s">
        <v>447</v>
      </c>
      <c r="H356" s="358" t="s">
        <v>11845</v>
      </c>
      <c r="I356" s="358">
        <v>3</v>
      </c>
      <c r="J356" s="358" t="s">
        <v>476</v>
      </c>
      <c r="K356" s="358" t="s">
        <v>11481</v>
      </c>
      <c r="L356" s="358">
        <v>4</v>
      </c>
      <c r="M356" s="358" t="s">
        <v>451</v>
      </c>
      <c r="N356" s="358">
        <v>500000</v>
      </c>
      <c r="O356" s="358" t="s">
        <v>452</v>
      </c>
      <c r="P356" s="358" t="s">
        <v>11482</v>
      </c>
      <c r="Q356" s="358"/>
      <c r="R356" s="358" t="s">
        <v>24</v>
      </c>
      <c r="S356" s="358" t="s">
        <v>3239</v>
      </c>
      <c r="T356" s="358" t="s">
        <v>11770</v>
      </c>
      <c r="U356" s="358"/>
      <c r="V356" s="358"/>
      <c r="W356" s="358"/>
      <c r="X356" s="354"/>
      <c r="Y356" s="354"/>
      <c r="Z356" s="354"/>
      <c r="AA356" s="354"/>
      <c r="AB356" s="354"/>
    </row>
    <row r="357" spans="1:28" ht="15.75" hidden="1" customHeight="1">
      <c r="A357" s="253">
        <v>44789</v>
      </c>
      <c r="B357" s="224" t="s">
        <v>4839</v>
      </c>
      <c r="C357" s="249">
        <v>3.5</v>
      </c>
      <c r="D357" s="249"/>
      <c r="E357" s="224" t="s">
        <v>4842</v>
      </c>
      <c r="F357" s="250" t="s">
        <v>4</v>
      </c>
      <c r="G357" s="224" t="s">
        <v>602</v>
      </c>
      <c r="H357" s="224" t="s">
        <v>4843</v>
      </c>
      <c r="I357" s="224">
        <v>4</v>
      </c>
      <c r="J357" s="224" t="s">
        <v>476</v>
      </c>
      <c r="K357" s="224" t="s">
        <v>13400</v>
      </c>
      <c r="L357" s="224">
        <v>3</v>
      </c>
      <c r="M357" s="224" t="s">
        <v>478</v>
      </c>
      <c r="N357" s="311">
        <v>5000000</v>
      </c>
      <c r="O357" s="224" t="s">
        <v>452</v>
      </c>
      <c r="P357" s="224" t="s">
        <v>4845</v>
      </c>
      <c r="Q357" s="224"/>
      <c r="R357" s="224" t="s">
        <v>24</v>
      </c>
      <c r="S357" s="254"/>
      <c r="T357" s="254"/>
      <c r="U357" s="252"/>
      <c r="V357" s="252"/>
      <c r="W357" s="252"/>
      <c r="X357" s="224"/>
      <c r="Y357" s="224"/>
      <c r="Z357" s="224"/>
      <c r="AA357" s="224"/>
      <c r="AB357" s="224"/>
    </row>
    <row r="358" spans="1:28" ht="15.75" hidden="1" customHeight="1">
      <c r="A358" s="248">
        <v>44789</v>
      </c>
      <c r="B358" s="219" t="s">
        <v>9070</v>
      </c>
      <c r="C358" s="249">
        <v>3.5</v>
      </c>
      <c r="D358" s="249"/>
      <c r="E358" s="219" t="s">
        <v>9073</v>
      </c>
      <c r="F358" s="250" t="s">
        <v>3</v>
      </c>
      <c r="G358" s="219" t="s">
        <v>460</v>
      </c>
      <c r="H358" s="219" t="s">
        <v>9074</v>
      </c>
      <c r="I358" s="219">
        <v>3</v>
      </c>
      <c r="J358" s="219" t="s">
        <v>941</v>
      </c>
      <c r="K358" s="219" t="s">
        <v>9075</v>
      </c>
      <c r="L358" s="219">
        <v>4</v>
      </c>
      <c r="M358" s="219"/>
      <c r="N358" s="219"/>
      <c r="O358" s="219" t="s">
        <v>452</v>
      </c>
      <c r="P358" s="219" t="s">
        <v>11046</v>
      </c>
      <c r="Q358" s="219"/>
      <c r="R358" s="219" t="s">
        <v>24</v>
      </c>
      <c r="S358" s="251"/>
      <c r="T358" s="251"/>
      <c r="U358" s="252"/>
      <c r="V358" s="252"/>
      <c r="W358" s="252"/>
      <c r="X358" s="219"/>
      <c r="Y358" s="219"/>
      <c r="Z358" s="219"/>
      <c r="AA358" s="219"/>
      <c r="AB358" s="219"/>
    </row>
    <row r="359" spans="1:28" ht="15.75" hidden="1" customHeight="1">
      <c r="A359" s="253">
        <v>44789</v>
      </c>
      <c r="B359" s="224" t="s">
        <v>4637</v>
      </c>
      <c r="C359" s="249">
        <v>3.5</v>
      </c>
      <c r="D359" s="249"/>
      <c r="E359" s="224" t="s">
        <v>4640</v>
      </c>
      <c r="F359" s="250" t="s">
        <v>4</v>
      </c>
      <c r="G359" s="224" t="s">
        <v>602</v>
      </c>
      <c r="H359" s="224" t="s">
        <v>4641</v>
      </c>
      <c r="I359" s="224">
        <v>4</v>
      </c>
      <c r="J359" s="224" t="s">
        <v>476</v>
      </c>
      <c r="K359" s="224" t="s">
        <v>13400</v>
      </c>
      <c r="L359" s="224">
        <v>3</v>
      </c>
      <c r="M359" s="224"/>
      <c r="N359" s="311"/>
      <c r="O359" s="224" t="s">
        <v>465</v>
      </c>
      <c r="P359" s="224" t="s">
        <v>4643</v>
      </c>
      <c r="Q359" s="224"/>
      <c r="R359" s="224" t="s">
        <v>24</v>
      </c>
      <c r="S359" s="254"/>
      <c r="T359" s="254"/>
      <c r="U359" s="252"/>
      <c r="V359" s="252"/>
      <c r="W359" s="252"/>
      <c r="X359" s="224"/>
      <c r="Y359" s="224"/>
      <c r="Z359" s="224"/>
      <c r="AA359" s="224"/>
      <c r="AB359" s="224"/>
    </row>
    <row r="360" spans="1:28" ht="15.75" customHeight="1">
      <c r="A360" s="257">
        <v>44789</v>
      </c>
      <c r="B360" s="258" t="s">
        <v>2463</v>
      </c>
      <c r="C360" s="258">
        <v>3.5</v>
      </c>
      <c r="D360" s="258"/>
      <c r="E360" s="258" t="s">
        <v>2466</v>
      </c>
      <c r="F360" s="258" t="s">
        <v>5</v>
      </c>
      <c r="G360" s="258" t="s">
        <v>447</v>
      </c>
      <c r="H360" s="258" t="s">
        <v>11248</v>
      </c>
      <c r="I360" s="258">
        <v>3</v>
      </c>
      <c r="J360" s="258" t="s">
        <v>449</v>
      </c>
      <c r="K360" s="258" t="e">
        <f>+good idea
+Large potential market
+Provisional patent
+Founders seem Credible
+developed product</f>
        <v>#NAME?</v>
      </c>
      <c r="L360" s="258">
        <v>4</v>
      </c>
      <c r="M360" s="258" t="s">
        <v>451</v>
      </c>
      <c r="N360" s="261">
        <v>1250000</v>
      </c>
      <c r="O360" s="258" t="s">
        <v>452</v>
      </c>
      <c r="P360" s="258" t="s">
        <v>2469</v>
      </c>
      <c r="Q360" s="258"/>
      <c r="R360" s="258" t="s">
        <v>24</v>
      </c>
      <c r="S360" s="258" t="s">
        <v>2470</v>
      </c>
      <c r="T360" s="258"/>
      <c r="U360" s="258"/>
      <c r="V360" s="258"/>
      <c r="W360" s="258"/>
      <c r="X360" s="258"/>
      <c r="Y360" s="258"/>
      <c r="Z360" s="258"/>
      <c r="AA360" s="258"/>
      <c r="AB360" s="258"/>
    </row>
    <row r="361" spans="1:28" ht="15.75" hidden="1" customHeight="1">
      <c r="A361" s="253">
        <v>44789</v>
      </c>
      <c r="B361" s="224" t="s">
        <v>4848</v>
      </c>
      <c r="C361" s="249">
        <v>3.5</v>
      </c>
      <c r="D361" s="249"/>
      <c r="E361" s="224" t="s">
        <v>4851</v>
      </c>
      <c r="F361" s="250" t="s">
        <v>4</v>
      </c>
      <c r="G361" s="224" t="s">
        <v>727</v>
      </c>
      <c r="H361" s="224" t="s">
        <v>11387</v>
      </c>
      <c r="I361" s="224">
        <v>3.5</v>
      </c>
      <c r="J361" s="224" t="s">
        <v>1045</v>
      </c>
      <c r="K361" s="224" t="s">
        <v>4853</v>
      </c>
      <c r="L361" s="224">
        <v>3.5</v>
      </c>
      <c r="M361" s="224"/>
      <c r="N361" s="224"/>
      <c r="O361" s="224" t="s">
        <v>452</v>
      </c>
      <c r="P361" s="224" t="s">
        <v>575</v>
      </c>
      <c r="Q361" s="224"/>
      <c r="R361" s="224" t="s">
        <v>24</v>
      </c>
      <c r="S361" s="254"/>
      <c r="T361" s="254"/>
      <c r="U361" s="252"/>
      <c r="V361" s="252"/>
      <c r="W361" s="252"/>
      <c r="X361" s="224"/>
      <c r="Y361" s="224"/>
      <c r="Z361" s="224"/>
      <c r="AA361" s="224"/>
      <c r="AB361" s="224"/>
    </row>
    <row r="362" spans="1:28" ht="15.75" customHeight="1">
      <c r="A362" s="248">
        <v>44789</v>
      </c>
      <c r="B362" s="219" t="s">
        <v>2108</v>
      </c>
      <c r="C362" s="250">
        <v>3.5</v>
      </c>
      <c r="D362" s="250"/>
      <c r="E362" s="219" t="s">
        <v>2111</v>
      </c>
      <c r="F362" s="250" t="s">
        <v>5</v>
      </c>
      <c r="G362" s="219" t="s">
        <v>447</v>
      </c>
      <c r="H362" s="219" t="s">
        <v>2112</v>
      </c>
      <c r="I362" s="219">
        <v>3.5</v>
      </c>
      <c r="J362" s="219" t="s">
        <v>543</v>
      </c>
      <c r="K362" s="219" t="s">
        <v>13400</v>
      </c>
      <c r="L362" s="219">
        <v>3.5</v>
      </c>
      <c r="M362" s="219" t="s">
        <v>478</v>
      </c>
      <c r="N362" s="219" t="s">
        <v>2114</v>
      </c>
      <c r="O362" s="219" t="s">
        <v>465</v>
      </c>
      <c r="P362" s="219" t="s">
        <v>2115</v>
      </c>
      <c r="Q362" s="219"/>
      <c r="R362" s="219" t="s">
        <v>24</v>
      </c>
      <c r="S362" s="219"/>
      <c r="T362" s="219"/>
      <c r="U362" s="252"/>
      <c r="V362" s="252"/>
      <c r="W362" s="252"/>
      <c r="X362" s="219"/>
      <c r="Y362" s="219"/>
      <c r="Z362" s="219"/>
      <c r="AA362" s="219"/>
      <c r="AB362" s="219"/>
    </row>
    <row r="363" spans="1:28" ht="15.75" customHeight="1">
      <c r="A363" s="257">
        <v>44789</v>
      </c>
      <c r="B363" s="258" t="s">
        <v>2760</v>
      </c>
      <c r="C363" s="258">
        <v>3.5</v>
      </c>
      <c r="D363" s="258"/>
      <c r="E363" s="258" t="s">
        <v>2763</v>
      </c>
      <c r="F363" s="258" t="s">
        <v>5</v>
      </c>
      <c r="G363" s="258" t="s">
        <v>447</v>
      </c>
      <c r="H363" s="258" t="s">
        <v>2764</v>
      </c>
      <c r="I363" s="258">
        <v>3.5</v>
      </c>
      <c r="J363" s="258" t="s">
        <v>622</v>
      </c>
      <c r="K363" s="258" t="s">
        <v>13400</v>
      </c>
      <c r="L363" s="258">
        <v>3.5</v>
      </c>
      <c r="M363" s="258"/>
      <c r="N363" s="258"/>
      <c r="O363" s="258" t="s">
        <v>452</v>
      </c>
      <c r="P363" s="258" t="s">
        <v>10812</v>
      </c>
      <c r="Q363" s="258"/>
      <c r="R363" s="258" t="s">
        <v>24</v>
      </c>
      <c r="S363" s="258"/>
      <c r="T363" s="258"/>
      <c r="U363" s="258"/>
      <c r="V363" s="258"/>
      <c r="W363" s="258"/>
      <c r="X363" s="258"/>
      <c r="Y363" s="258"/>
      <c r="Z363" s="258"/>
      <c r="AA363" s="258"/>
      <c r="AB363" s="258"/>
    </row>
    <row r="364" spans="1:28" ht="15.75" hidden="1" customHeight="1">
      <c r="A364" s="248">
        <v>44789</v>
      </c>
      <c r="B364" s="219" t="s">
        <v>9251</v>
      </c>
      <c r="C364" s="249">
        <v>3.5</v>
      </c>
      <c r="D364" s="249"/>
      <c r="E364" s="219" t="s">
        <v>9254</v>
      </c>
      <c r="F364" s="250" t="s">
        <v>3</v>
      </c>
      <c r="G364" s="219" t="s">
        <v>460</v>
      </c>
      <c r="H364" s="219" t="s">
        <v>9255</v>
      </c>
      <c r="I364" s="219">
        <v>3.5</v>
      </c>
      <c r="J364" s="219" t="s">
        <v>462</v>
      </c>
      <c r="K364" s="219" t="s">
        <v>9256</v>
      </c>
      <c r="L364" s="219">
        <v>3.5</v>
      </c>
      <c r="M364" s="219" t="s">
        <v>451</v>
      </c>
      <c r="N364" s="312">
        <v>3000000</v>
      </c>
      <c r="O364" s="219" t="s">
        <v>452</v>
      </c>
      <c r="P364" s="219" t="s">
        <v>1028</v>
      </c>
      <c r="Q364" s="219"/>
      <c r="R364" s="219"/>
      <c r="S364" s="251"/>
      <c r="T364" s="251"/>
      <c r="U364" s="252"/>
      <c r="V364" s="252"/>
      <c r="W364" s="252"/>
      <c r="X364" s="219"/>
      <c r="Y364" s="219"/>
      <c r="Z364" s="219"/>
      <c r="AA364" s="219"/>
      <c r="AB364" s="219"/>
    </row>
    <row r="365" spans="1:28" ht="15.75" hidden="1" customHeight="1">
      <c r="A365" s="255">
        <v>44789</v>
      </c>
      <c r="B365" s="239" t="s">
        <v>304</v>
      </c>
      <c r="C365" s="262">
        <v>3.5</v>
      </c>
      <c r="D365" s="262"/>
      <c r="E365" s="239" t="s">
        <v>9526</v>
      </c>
      <c r="F365" s="239" t="s">
        <v>4</v>
      </c>
      <c r="G365" s="239" t="s">
        <v>460</v>
      </c>
      <c r="H365" s="239" t="s">
        <v>11462</v>
      </c>
      <c r="I365" s="239">
        <v>3</v>
      </c>
      <c r="J365" s="239" t="s">
        <v>488</v>
      </c>
      <c r="K365" s="239" t="s">
        <v>9528</v>
      </c>
      <c r="L365" s="239">
        <v>4</v>
      </c>
      <c r="M365" s="239"/>
      <c r="N365" s="239"/>
      <c r="O365" s="239" t="s">
        <v>452</v>
      </c>
      <c r="P365" s="239" t="s">
        <v>9529</v>
      </c>
      <c r="Q365" s="239"/>
      <c r="R365" s="239" t="s">
        <v>20</v>
      </c>
      <c r="S365" s="256" t="s">
        <v>9530</v>
      </c>
      <c r="T365" s="256"/>
      <c r="U365" s="239"/>
      <c r="V365" s="239"/>
      <c r="W365" s="239"/>
      <c r="X365" s="239"/>
      <c r="Y365" s="239"/>
      <c r="Z365" s="239"/>
      <c r="AA365" s="239"/>
      <c r="AB365" s="239"/>
    </row>
    <row r="366" spans="1:28" ht="15.75" hidden="1" customHeight="1">
      <c r="A366" s="321">
        <v>44791</v>
      </c>
      <c r="B366" s="322" t="s">
        <v>4890</v>
      </c>
      <c r="C366" s="323">
        <v>3.5</v>
      </c>
      <c r="D366" s="323"/>
      <c r="E366" s="322" t="s">
        <v>4893</v>
      </c>
      <c r="F366" s="322" t="s">
        <v>4</v>
      </c>
      <c r="G366" s="322" t="s">
        <v>727</v>
      </c>
      <c r="H366" s="322" t="s">
        <v>10288</v>
      </c>
      <c r="I366" s="322">
        <v>3</v>
      </c>
      <c r="J366" s="322" t="s">
        <v>1457</v>
      </c>
      <c r="K366" s="322" t="s">
        <v>4895</v>
      </c>
      <c r="L366" s="322">
        <v>4</v>
      </c>
      <c r="M366" s="322" t="s">
        <v>451</v>
      </c>
      <c r="N366" s="324">
        <v>2400000</v>
      </c>
      <c r="O366" s="322" t="s">
        <v>452</v>
      </c>
      <c r="P366" s="322" t="s">
        <v>4896</v>
      </c>
      <c r="Q366" s="322"/>
      <c r="R366" s="322" t="s">
        <v>24</v>
      </c>
      <c r="S366" s="325"/>
      <c r="T366" s="325"/>
      <c r="U366" s="322"/>
      <c r="V366" s="322"/>
      <c r="W366" s="322"/>
      <c r="X366" s="322"/>
      <c r="Y366" s="322"/>
      <c r="Z366" s="322"/>
      <c r="AA366" s="322"/>
      <c r="AB366" s="322"/>
    </row>
    <row r="367" spans="1:28" ht="15.75" hidden="1" customHeight="1">
      <c r="A367" s="253">
        <v>44791</v>
      </c>
      <c r="B367" s="224" t="s">
        <v>4767</v>
      </c>
      <c r="C367" s="316">
        <v>3.5</v>
      </c>
      <c r="D367" s="316"/>
      <c r="E367" s="224" t="s">
        <v>10291</v>
      </c>
      <c r="F367" s="224" t="s">
        <v>4</v>
      </c>
      <c r="G367" s="224" t="s">
        <v>727</v>
      </c>
      <c r="H367" s="224" t="s">
        <v>10292</v>
      </c>
      <c r="I367" s="224">
        <v>4</v>
      </c>
      <c r="J367" s="224" t="s">
        <v>1298</v>
      </c>
      <c r="K367" s="224" t="s">
        <v>4772</v>
      </c>
      <c r="L367" s="224">
        <v>3</v>
      </c>
      <c r="M367" s="224"/>
      <c r="N367" s="307"/>
      <c r="O367" s="224" t="s">
        <v>465</v>
      </c>
      <c r="P367" s="224" t="s">
        <v>4773</v>
      </c>
      <c r="Q367" s="224"/>
      <c r="R367" s="322" t="s">
        <v>24</v>
      </c>
      <c r="S367" s="254"/>
      <c r="T367" s="254"/>
      <c r="U367" s="224"/>
      <c r="V367" s="224"/>
      <c r="W367" s="224"/>
      <c r="X367" s="224"/>
      <c r="Y367" s="224"/>
      <c r="Z367" s="224"/>
      <c r="AA367" s="224"/>
      <c r="AB367" s="224"/>
    </row>
    <row r="368" spans="1:28" ht="15.75" hidden="1" customHeight="1">
      <c r="A368" s="248">
        <v>44791</v>
      </c>
      <c r="B368" s="219" t="s">
        <v>4727</v>
      </c>
      <c r="C368" s="315">
        <v>3.5</v>
      </c>
      <c r="D368" s="315"/>
      <c r="E368" s="219" t="s">
        <v>10533</v>
      </c>
      <c r="F368" s="219" t="s">
        <v>4</v>
      </c>
      <c r="G368" s="219" t="s">
        <v>727</v>
      </c>
      <c r="H368" s="219" t="s">
        <v>10534</v>
      </c>
      <c r="I368" s="219">
        <v>3</v>
      </c>
      <c r="J368" s="219" t="s">
        <v>1281</v>
      </c>
      <c r="K368" s="219" t="s">
        <v>4732</v>
      </c>
      <c r="L368" s="219">
        <v>4</v>
      </c>
      <c r="M368" s="219" t="s">
        <v>451</v>
      </c>
      <c r="N368" s="312">
        <v>3000000</v>
      </c>
      <c r="O368" s="219" t="s">
        <v>452</v>
      </c>
      <c r="P368" s="219" t="s">
        <v>1119</v>
      </c>
      <c r="Q368" s="219"/>
      <c r="R368" s="322" t="s">
        <v>24</v>
      </c>
      <c r="S368" s="251"/>
      <c r="T368" s="251"/>
      <c r="U368" s="219"/>
      <c r="V368" s="219"/>
      <c r="W368" s="219"/>
      <c r="X368" s="219"/>
      <c r="Y368" s="219"/>
      <c r="Z368" s="219"/>
      <c r="AA368" s="219"/>
      <c r="AB368" s="219"/>
    </row>
    <row r="369" spans="1:28" ht="15.75" hidden="1" customHeight="1">
      <c r="A369" s="253">
        <v>44791</v>
      </c>
      <c r="B369" s="224" t="s">
        <v>4865</v>
      </c>
      <c r="C369" s="316">
        <v>3.5</v>
      </c>
      <c r="D369" s="316"/>
      <c r="E369" s="224" t="s">
        <v>4868</v>
      </c>
      <c r="F369" s="224" t="s">
        <v>4</v>
      </c>
      <c r="G369" s="224" t="s">
        <v>727</v>
      </c>
      <c r="H369" s="224" t="s">
        <v>10645</v>
      </c>
      <c r="I369" s="224">
        <v>3</v>
      </c>
      <c r="J369" s="224" t="s">
        <v>1457</v>
      </c>
      <c r="K369" s="224" t="s">
        <v>4870</v>
      </c>
      <c r="L369" s="224">
        <v>4</v>
      </c>
      <c r="M369" s="224"/>
      <c r="N369" s="224"/>
      <c r="O369" s="224" t="s">
        <v>452</v>
      </c>
      <c r="P369" s="224" t="s">
        <v>452</v>
      </c>
      <c r="Q369" s="224"/>
      <c r="R369" s="322" t="s">
        <v>24</v>
      </c>
      <c r="S369" s="254"/>
      <c r="T369" s="254"/>
      <c r="U369" s="224"/>
      <c r="V369" s="224"/>
      <c r="W369" s="224"/>
      <c r="X369" s="224"/>
      <c r="Y369" s="224"/>
      <c r="Z369" s="224"/>
      <c r="AA369" s="224"/>
      <c r="AB369" s="224"/>
    </row>
    <row r="370" spans="1:28" ht="15.75" hidden="1" customHeight="1">
      <c r="A370" s="248">
        <v>44791</v>
      </c>
      <c r="B370" s="219" t="s">
        <v>4518</v>
      </c>
      <c r="C370" s="315">
        <v>3.5</v>
      </c>
      <c r="D370" s="315"/>
      <c r="E370" s="219" t="s">
        <v>4521</v>
      </c>
      <c r="F370" s="219" t="s">
        <v>4</v>
      </c>
      <c r="G370" s="219" t="s">
        <v>727</v>
      </c>
      <c r="H370" s="219" t="s">
        <v>11672</v>
      </c>
      <c r="I370" s="219"/>
      <c r="J370" s="219"/>
      <c r="K370" s="219"/>
      <c r="L370" s="219"/>
      <c r="M370" s="219"/>
      <c r="N370" s="219"/>
      <c r="O370" s="219"/>
      <c r="P370" s="219"/>
      <c r="Q370" s="219"/>
      <c r="R370" s="322" t="s">
        <v>24</v>
      </c>
      <c r="S370" s="251"/>
      <c r="T370" s="251"/>
      <c r="U370" s="219"/>
      <c r="V370" s="219"/>
      <c r="W370" s="219"/>
      <c r="X370" s="219"/>
      <c r="Y370" s="219"/>
      <c r="Z370" s="219"/>
      <c r="AA370" s="219"/>
      <c r="AB370" s="219"/>
    </row>
    <row r="371" spans="1:28" ht="15.75" hidden="1" customHeight="1">
      <c r="A371" s="253">
        <v>44791</v>
      </c>
      <c r="B371" s="224" t="s">
        <v>4689</v>
      </c>
      <c r="C371" s="316">
        <v>3.5</v>
      </c>
      <c r="D371" s="316"/>
      <c r="E371" s="224" t="s">
        <v>4692</v>
      </c>
      <c r="F371" s="224" t="s">
        <v>4</v>
      </c>
      <c r="G371" s="224" t="s">
        <v>727</v>
      </c>
      <c r="H371" s="224" t="s">
        <v>10693</v>
      </c>
      <c r="I371" s="224">
        <v>4</v>
      </c>
      <c r="J371" s="224" t="s">
        <v>1237</v>
      </c>
      <c r="K371" s="224"/>
      <c r="L371" s="224">
        <v>3</v>
      </c>
      <c r="M371" s="224" t="s">
        <v>4694</v>
      </c>
      <c r="N371" s="224" t="s">
        <v>4695</v>
      </c>
      <c r="O371" s="224" t="s">
        <v>452</v>
      </c>
      <c r="P371" s="224" t="s">
        <v>974</v>
      </c>
      <c r="Q371" s="224" t="s">
        <v>725</v>
      </c>
      <c r="R371" s="322" t="s">
        <v>24</v>
      </c>
      <c r="S371" s="254"/>
      <c r="T371" s="254"/>
      <c r="U371" s="224"/>
      <c r="V371" s="224"/>
      <c r="W371" s="224"/>
      <c r="X371" s="224"/>
      <c r="Y371" s="224"/>
      <c r="Z371" s="224"/>
      <c r="AA371" s="224"/>
      <c r="AB371" s="224"/>
    </row>
    <row r="372" spans="1:28" ht="15.75" customHeight="1">
      <c r="A372" s="248">
        <v>44791</v>
      </c>
      <c r="B372" s="219" t="s">
        <v>2678</v>
      </c>
      <c r="C372" s="219">
        <v>3.5</v>
      </c>
      <c r="D372" s="219"/>
      <c r="E372" s="219" t="s">
        <v>2681</v>
      </c>
      <c r="F372" s="219" t="s">
        <v>5</v>
      </c>
      <c r="G372" s="219" t="s">
        <v>447</v>
      </c>
      <c r="H372" s="219" t="s">
        <v>11030</v>
      </c>
      <c r="I372" s="219">
        <v>3.5</v>
      </c>
      <c r="J372" s="219" t="s">
        <v>449</v>
      </c>
      <c r="K372" s="219" t="s">
        <v>11673</v>
      </c>
      <c r="L372" s="219">
        <v>3.5</v>
      </c>
      <c r="M372" s="219"/>
      <c r="N372" s="219"/>
      <c r="O372" s="219" t="s">
        <v>454</v>
      </c>
      <c r="P372" s="219" t="s">
        <v>2684</v>
      </c>
      <c r="Q372" s="219" t="s">
        <v>2685</v>
      </c>
      <c r="R372" s="322" t="s">
        <v>24</v>
      </c>
      <c r="S372" s="219"/>
      <c r="T372" s="219"/>
      <c r="U372" s="219"/>
      <c r="V372" s="219"/>
      <c r="W372" s="219"/>
      <c r="X372" s="219"/>
      <c r="Y372" s="219"/>
      <c r="Z372" s="219"/>
      <c r="AA372" s="219"/>
      <c r="AB372" s="219"/>
    </row>
    <row r="373" spans="1:28" ht="15.75" hidden="1" customHeight="1">
      <c r="A373" s="253">
        <v>44791</v>
      </c>
      <c r="B373" s="224" t="s">
        <v>4671</v>
      </c>
      <c r="C373" s="316">
        <v>3.5</v>
      </c>
      <c r="D373" s="316"/>
      <c r="E373" s="224" t="s">
        <v>11039</v>
      </c>
      <c r="F373" s="224" t="s">
        <v>4</v>
      </c>
      <c r="G373" s="224" t="s">
        <v>602</v>
      </c>
      <c r="H373" s="224" t="s">
        <v>4675</v>
      </c>
      <c r="I373" s="224">
        <v>3</v>
      </c>
      <c r="J373" s="224" t="s">
        <v>1187</v>
      </c>
      <c r="K373" s="224" t="s">
        <v>4676</v>
      </c>
      <c r="L373" s="224">
        <v>4</v>
      </c>
      <c r="M373" s="224" t="s">
        <v>451</v>
      </c>
      <c r="N373" s="224" t="s">
        <v>1384</v>
      </c>
      <c r="O373" s="224" t="s">
        <v>465</v>
      </c>
      <c r="P373" s="224" t="s">
        <v>4677</v>
      </c>
      <c r="Q373" s="224"/>
      <c r="R373" s="322" t="s">
        <v>24</v>
      </c>
      <c r="S373" s="254"/>
      <c r="T373" s="254"/>
      <c r="U373" s="224"/>
      <c r="V373" s="224"/>
      <c r="W373" s="224"/>
      <c r="X373" s="224"/>
      <c r="Y373" s="224"/>
      <c r="Z373" s="224"/>
      <c r="AA373" s="224"/>
      <c r="AB373" s="224"/>
    </row>
    <row r="374" spans="1:28" ht="15.75" hidden="1" customHeight="1">
      <c r="A374" s="248">
        <v>44791</v>
      </c>
      <c r="B374" s="219" t="s">
        <v>4872</v>
      </c>
      <c r="C374" s="315">
        <v>3.5</v>
      </c>
      <c r="D374" s="315"/>
      <c r="E374" s="219" t="s">
        <v>11057</v>
      </c>
      <c r="F374" s="219" t="s">
        <v>4</v>
      </c>
      <c r="G374" s="219" t="s">
        <v>602</v>
      </c>
      <c r="H374" s="219" t="s">
        <v>4876</v>
      </c>
      <c r="I374" s="219">
        <v>3.5</v>
      </c>
      <c r="J374" s="219" t="s">
        <v>1045</v>
      </c>
      <c r="K374" s="219" t="s">
        <v>4877</v>
      </c>
      <c r="L374" s="219">
        <v>3.5</v>
      </c>
      <c r="M374" s="219" t="s">
        <v>478</v>
      </c>
      <c r="N374" s="312">
        <v>3000000</v>
      </c>
      <c r="O374" s="219" t="s">
        <v>452</v>
      </c>
      <c r="P374" s="219" t="s">
        <v>4878</v>
      </c>
      <c r="Q374" s="219"/>
      <c r="R374" s="322" t="s">
        <v>24</v>
      </c>
      <c r="S374" s="251"/>
      <c r="T374" s="251"/>
      <c r="U374" s="219"/>
      <c r="V374" s="219"/>
      <c r="W374" s="219"/>
      <c r="X374" s="219"/>
      <c r="Y374" s="219"/>
      <c r="Z374" s="219"/>
      <c r="AA374" s="219"/>
      <c r="AB374" s="219"/>
    </row>
    <row r="375" spans="1:28" ht="15.75" customHeight="1">
      <c r="A375" s="220">
        <v>44776</v>
      </c>
      <c r="B375" s="221" t="s">
        <v>69</v>
      </c>
      <c r="C375" s="215">
        <v>5</v>
      </c>
      <c r="D375" s="250" t="str">
        <f>IFERROR(VLOOKUP(B375,'2022-2023 Third Reviews'!$C:$S,9,FALSE),"")</f>
        <v/>
      </c>
      <c r="E375" s="221" t="s">
        <v>506</v>
      </c>
      <c r="F375" s="215" t="s">
        <v>5</v>
      </c>
      <c r="G375" s="221" t="s">
        <v>447</v>
      </c>
      <c r="H375" s="221"/>
      <c r="I375" s="221">
        <v>5</v>
      </c>
      <c r="J375" s="221" t="s">
        <v>449</v>
      </c>
      <c r="K375" s="221" t="s">
        <v>11774</v>
      </c>
      <c r="L375" s="221">
        <v>5</v>
      </c>
      <c r="M375" s="221" t="s">
        <v>451</v>
      </c>
      <c r="N375" s="222">
        <v>3000000</v>
      </c>
      <c r="O375" s="221" t="s">
        <v>452</v>
      </c>
      <c r="P375" s="221" t="s">
        <v>508</v>
      </c>
      <c r="Q375" s="221"/>
      <c r="R375" s="221" t="str">
        <f t="array" ref="R375">INDEX(Notes!B:B,MATCH($B375,Notes!$A:$A,0))</f>
        <v>Invite</v>
      </c>
      <c r="S375" s="221" t="str">
        <f t="array" ref="S375">INDEX(Notes!C:C,MATCH($B375,Notes!$A:$A,0))</f>
        <v>Missed similar company previously; good mission and partnerships in UK with affordable housing; strong room to grow</v>
      </c>
      <c r="T375" s="221" t="s">
        <v>11775</v>
      </c>
      <c r="U375" s="218"/>
      <c r="V375" s="218"/>
      <c r="W375" s="218"/>
      <c r="X375" s="224"/>
      <c r="Y375" s="224"/>
      <c r="Z375" s="224"/>
      <c r="AA375" s="224"/>
      <c r="AB375" s="224"/>
    </row>
    <row r="376" spans="1:28" ht="15.75" hidden="1" customHeight="1">
      <c r="A376" s="257">
        <v>44791</v>
      </c>
      <c r="B376" s="258" t="s">
        <v>9843</v>
      </c>
      <c r="C376" s="263">
        <v>3.5</v>
      </c>
      <c r="D376" s="263"/>
      <c r="E376" s="258" t="s">
        <v>9846</v>
      </c>
      <c r="F376" s="258" t="s">
        <v>3</v>
      </c>
      <c r="G376" s="258" t="s">
        <v>460</v>
      </c>
      <c r="H376" s="258" t="s">
        <v>9847</v>
      </c>
      <c r="I376" s="258">
        <v>3.5</v>
      </c>
      <c r="J376" s="258" t="s">
        <v>462</v>
      </c>
      <c r="K376" s="258" t="s">
        <v>9848</v>
      </c>
      <c r="L376" s="258">
        <v>3.5</v>
      </c>
      <c r="M376" s="258" t="s">
        <v>784</v>
      </c>
      <c r="N376" s="309">
        <v>2000000</v>
      </c>
      <c r="O376" s="258" t="s">
        <v>452</v>
      </c>
      <c r="P376" s="258" t="s">
        <v>9849</v>
      </c>
      <c r="Q376" s="258"/>
      <c r="R376" s="258" t="s">
        <v>23</v>
      </c>
      <c r="S376" s="259" t="s">
        <v>9850</v>
      </c>
      <c r="T376" s="259"/>
      <c r="U376" s="258"/>
      <c r="V376" s="258"/>
      <c r="W376" s="258"/>
      <c r="X376" s="258"/>
      <c r="Y376" s="258"/>
      <c r="Z376" s="258"/>
      <c r="AA376" s="258"/>
      <c r="AB376" s="258"/>
    </row>
    <row r="377" spans="1:28" ht="15.75" hidden="1" customHeight="1">
      <c r="A377" s="257">
        <v>44791</v>
      </c>
      <c r="B377" s="258" t="s">
        <v>9226</v>
      </c>
      <c r="C377" s="263">
        <v>3.5</v>
      </c>
      <c r="D377" s="263"/>
      <c r="E377" s="258" t="s">
        <v>9229</v>
      </c>
      <c r="F377" s="258" t="s">
        <v>3</v>
      </c>
      <c r="G377" s="258" t="s">
        <v>488</v>
      </c>
      <c r="H377" s="258" t="s">
        <v>11228</v>
      </c>
      <c r="I377" s="258">
        <v>3</v>
      </c>
      <c r="J377" s="258" t="s">
        <v>941</v>
      </c>
      <c r="K377" s="258" t="s">
        <v>9231</v>
      </c>
      <c r="L377" s="258">
        <v>4</v>
      </c>
      <c r="M377" s="258" t="s">
        <v>2190</v>
      </c>
      <c r="N377" s="309">
        <v>0</v>
      </c>
      <c r="O377" s="258" t="s">
        <v>452</v>
      </c>
      <c r="P377" s="258" t="s">
        <v>575</v>
      </c>
      <c r="Q377" s="258"/>
      <c r="R377" s="258" t="s">
        <v>24</v>
      </c>
      <c r="S377" s="259" t="s">
        <v>9232</v>
      </c>
      <c r="T377" s="259"/>
      <c r="U377" s="258"/>
      <c r="V377" s="258"/>
      <c r="W377" s="258"/>
      <c r="X377" s="258"/>
      <c r="Y377" s="258"/>
      <c r="Z377" s="258"/>
      <c r="AA377" s="258"/>
      <c r="AB377" s="258"/>
    </row>
    <row r="378" spans="1:28" ht="15.75" customHeight="1">
      <c r="A378" s="248">
        <v>44791</v>
      </c>
      <c r="B378" s="219" t="s">
        <v>2833</v>
      </c>
      <c r="C378" s="219">
        <v>3.5</v>
      </c>
      <c r="D378" s="219"/>
      <c r="E378" s="219" t="s">
        <v>11269</v>
      </c>
      <c r="F378" s="219" t="s">
        <v>5</v>
      </c>
      <c r="G378" s="219" t="s">
        <v>447</v>
      </c>
      <c r="H378" s="219" t="s">
        <v>11270</v>
      </c>
      <c r="I378" s="219">
        <v>3.5</v>
      </c>
      <c r="J378" s="219" t="s">
        <v>543</v>
      </c>
      <c r="K378" s="219" t="s">
        <v>11675</v>
      </c>
      <c r="L378" s="219">
        <v>3.5</v>
      </c>
      <c r="M378" s="219"/>
      <c r="N378" s="219"/>
      <c r="O378" s="219" t="s">
        <v>452</v>
      </c>
      <c r="P378" s="219" t="s">
        <v>11272</v>
      </c>
      <c r="Q378" s="219"/>
      <c r="R378" s="322" t="s">
        <v>24</v>
      </c>
      <c r="S378" s="219"/>
      <c r="T378" s="219"/>
      <c r="U378" s="219"/>
      <c r="V378" s="219"/>
      <c r="W378" s="219"/>
      <c r="X378" s="219"/>
      <c r="Y378" s="219"/>
      <c r="Z378" s="219"/>
      <c r="AA378" s="219"/>
      <c r="AB378" s="219"/>
    </row>
    <row r="379" spans="1:28" ht="15.75" hidden="1" customHeight="1">
      <c r="A379" s="257">
        <v>44791</v>
      </c>
      <c r="B379" s="258" t="s">
        <v>8358</v>
      </c>
      <c r="C379" s="263">
        <v>3.5</v>
      </c>
      <c r="D379" s="263"/>
      <c r="E379" s="258" t="s">
        <v>8361</v>
      </c>
      <c r="F379" s="258" t="s">
        <v>3</v>
      </c>
      <c r="G379" s="258" t="s">
        <v>460</v>
      </c>
      <c r="H379" s="258" t="s">
        <v>11676</v>
      </c>
      <c r="I379" s="258">
        <v>3</v>
      </c>
      <c r="J379" s="258" t="s">
        <v>462</v>
      </c>
      <c r="K379" s="258" t="s">
        <v>8363</v>
      </c>
      <c r="L379" s="258">
        <v>4</v>
      </c>
      <c r="M379" s="258" t="s">
        <v>8364</v>
      </c>
      <c r="N379" s="309">
        <v>5000000</v>
      </c>
      <c r="O379" s="258" t="s">
        <v>452</v>
      </c>
      <c r="P379" s="258" t="s">
        <v>452</v>
      </c>
      <c r="Q379" s="258"/>
      <c r="R379" s="258" t="s">
        <v>24</v>
      </c>
      <c r="S379" s="259" t="s">
        <v>8365</v>
      </c>
      <c r="T379" s="259"/>
      <c r="U379" s="258"/>
      <c r="V379" s="258"/>
      <c r="W379" s="258"/>
      <c r="X379" s="258"/>
      <c r="Y379" s="258"/>
      <c r="Z379" s="258"/>
      <c r="AA379" s="258"/>
      <c r="AB379" s="258"/>
    </row>
    <row r="380" spans="1:28" ht="15.75" hidden="1" customHeight="1">
      <c r="A380" s="248">
        <v>44791</v>
      </c>
      <c r="B380" s="219" t="s">
        <v>4707</v>
      </c>
      <c r="C380" s="315">
        <v>3.5</v>
      </c>
      <c r="D380" s="315"/>
      <c r="E380" s="219" t="s">
        <v>4710</v>
      </c>
      <c r="F380" s="219" t="s">
        <v>4</v>
      </c>
      <c r="G380" s="219" t="s">
        <v>602</v>
      </c>
      <c r="H380" s="219" t="s">
        <v>4711</v>
      </c>
      <c r="I380" s="219">
        <v>3.5</v>
      </c>
      <c r="J380" s="219" t="s">
        <v>476</v>
      </c>
      <c r="K380" s="219" t="s">
        <v>11677</v>
      </c>
      <c r="L380" s="219">
        <v>3.5</v>
      </c>
      <c r="M380" s="219"/>
      <c r="N380" s="219"/>
      <c r="O380" s="219" t="s">
        <v>452</v>
      </c>
      <c r="P380" s="219" t="s">
        <v>11075</v>
      </c>
      <c r="Q380" s="219"/>
      <c r="R380" s="322" t="s">
        <v>24</v>
      </c>
      <c r="S380" s="251"/>
      <c r="T380" s="251"/>
      <c r="U380" s="219"/>
      <c r="V380" s="219"/>
      <c r="W380" s="219"/>
      <c r="X380" s="219"/>
      <c r="Y380" s="219"/>
      <c r="Z380" s="219"/>
      <c r="AA380" s="219"/>
      <c r="AB380" s="219"/>
    </row>
    <row r="381" spans="1:28" ht="15.75" hidden="1" customHeight="1">
      <c r="A381" s="253">
        <v>44796</v>
      </c>
      <c r="B381" s="224" t="s">
        <v>4908</v>
      </c>
      <c r="C381" s="316">
        <v>3.5</v>
      </c>
      <c r="D381" s="316"/>
      <c r="E381" s="224" t="s">
        <v>4911</v>
      </c>
      <c r="F381" s="224" t="s">
        <v>4</v>
      </c>
      <c r="G381" s="224" t="s">
        <v>1457</v>
      </c>
      <c r="H381" s="224" t="s">
        <v>4912</v>
      </c>
      <c r="I381" s="224">
        <v>4</v>
      </c>
      <c r="J381" s="224" t="s">
        <v>1045</v>
      </c>
      <c r="K381" s="224" t="s">
        <v>4913</v>
      </c>
      <c r="L381" s="224">
        <v>3</v>
      </c>
      <c r="M381" s="224" t="s">
        <v>451</v>
      </c>
      <c r="N381" s="330">
        <v>500000</v>
      </c>
      <c r="O381" s="224" t="s">
        <v>452</v>
      </c>
      <c r="P381" s="224" t="s">
        <v>4914</v>
      </c>
      <c r="Q381" s="224"/>
      <c r="R381" s="224" t="s">
        <v>24</v>
      </c>
      <c r="S381" s="254"/>
      <c r="T381" s="254"/>
      <c r="U381" s="224"/>
      <c r="V381" s="224"/>
      <c r="W381" s="224"/>
      <c r="X381" s="224"/>
      <c r="Y381" s="224"/>
      <c r="Z381" s="224"/>
      <c r="AA381" s="224"/>
      <c r="AB381" s="224"/>
    </row>
    <row r="382" spans="1:28" ht="15.75" hidden="1" customHeight="1">
      <c r="A382" s="248">
        <v>44796</v>
      </c>
      <c r="B382" s="219" t="s">
        <v>4601</v>
      </c>
      <c r="C382" s="315">
        <v>3.5</v>
      </c>
      <c r="D382" s="315"/>
      <c r="E382" s="219" t="s">
        <v>4604</v>
      </c>
      <c r="F382" s="219" t="s">
        <v>4</v>
      </c>
      <c r="G382" s="219" t="s">
        <v>727</v>
      </c>
      <c r="H382" s="219" t="s">
        <v>10493</v>
      </c>
      <c r="I382" s="219">
        <v>4</v>
      </c>
      <c r="J382" s="219" t="s">
        <v>604</v>
      </c>
      <c r="K382" s="219" t="s">
        <v>10494</v>
      </c>
      <c r="L382" s="219">
        <v>3</v>
      </c>
      <c r="M382" s="219" t="s">
        <v>923</v>
      </c>
      <c r="N382" s="219">
        <v>1500000</v>
      </c>
      <c r="O382" s="219" t="s">
        <v>452</v>
      </c>
      <c r="P382" s="219" t="s">
        <v>10495</v>
      </c>
      <c r="Q382" s="219"/>
      <c r="R382" s="219" t="s">
        <v>24</v>
      </c>
      <c r="S382" s="251"/>
      <c r="T382" s="251"/>
      <c r="U382" s="219"/>
      <c r="V382" s="219"/>
      <c r="W382" s="219"/>
      <c r="X382" s="219"/>
      <c r="Y382" s="219"/>
      <c r="Z382" s="219"/>
      <c r="AA382" s="219"/>
      <c r="AB382" s="219"/>
    </row>
    <row r="383" spans="1:28" ht="15.75" hidden="1" customHeight="1">
      <c r="A383" s="257">
        <v>44796</v>
      </c>
      <c r="B383" s="258" t="s">
        <v>4793</v>
      </c>
      <c r="C383" s="263">
        <v>3.5</v>
      </c>
      <c r="D383" s="263"/>
      <c r="E383" s="258" t="s">
        <v>4796</v>
      </c>
      <c r="F383" s="258" t="s">
        <v>4</v>
      </c>
      <c r="G383" s="258" t="s">
        <v>727</v>
      </c>
      <c r="H383" s="258" t="s">
        <v>10516</v>
      </c>
      <c r="I383" s="258">
        <v>4</v>
      </c>
      <c r="J383" s="258" t="s">
        <v>1350</v>
      </c>
      <c r="K383" s="259" t="s">
        <v>11726</v>
      </c>
      <c r="L383" s="258">
        <v>3</v>
      </c>
      <c r="M383" s="258"/>
      <c r="N383" s="258"/>
      <c r="O383" s="258" t="s">
        <v>452</v>
      </c>
      <c r="P383" s="258" t="s">
        <v>4799</v>
      </c>
      <c r="Q383" s="258" t="s">
        <v>4800</v>
      </c>
      <c r="R383" s="258" t="s">
        <v>24</v>
      </c>
      <c r="S383" s="259" t="s">
        <v>11727</v>
      </c>
      <c r="T383" s="259"/>
      <c r="U383" s="258"/>
      <c r="V383" s="258"/>
      <c r="W383" s="258"/>
      <c r="X383" s="258"/>
      <c r="Y383" s="258"/>
      <c r="Z383" s="258"/>
      <c r="AA383" s="258"/>
      <c r="AB383" s="258"/>
    </row>
    <row r="384" spans="1:28" ht="15.75" hidden="1" customHeight="1">
      <c r="A384" s="248">
        <v>44796</v>
      </c>
      <c r="B384" s="219" t="s">
        <v>4654</v>
      </c>
      <c r="C384" s="315">
        <v>3.5</v>
      </c>
      <c r="D384" s="315"/>
      <c r="E384" s="219" t="s">
        <v>4657</v>
      </c>
      <c r="F384" s="219" t="s">
        <v>4</v>
      </c>
      <c r="G384" s="219" t="s">
        <v>727</v>
      </c>
      <c r="H384" s="219" t="s">
        <v>4658</v>
      </c>
      <c r="I384" s="219">
        <v>3</v>
      </c>
      <c r="J384" s="219" t="s">
        <v>1187</v>
      </c>
      <c r="K384" s="219" t="s">
        <v>4659</v>
      </c>
      <c r="L384" s="219">
        <v>4</v>
      </c>
      <c r="M384" s="219"/>
      <c r="N384" s="219"/>
      <c r="O384" s="219" t="s">
        <v>452</v>
      </c>
      <c r="P384" s="219" t="s">
        <v>4660</v>
      </c>
      <c r="Q384" s="219"/>
      <c r="R384" s="219" t="s">
        <v>24</v>
      </c>
      <c r="S384" s="251"/>
      <c r="T384" s="251"/>
      <c r="U384" s="219"/>
      <c r="V384" s="219"/>
      <c r="W384" s="219"/>
      <c r="X384" s="219"/>
      <c r="Y384" s="219"/>
      <c r="Z384" s="219"/>
      <c r="AA384" s="219"/>
      <c r="AB384" s="219"/>
    </row>
    <row r="385" spans="1:28" ht="15.75" hidden="1" customHeight="1">
      <c r="A385" s="253">
        <v>44796</v>
      </c>
      <c r="B385" s="224" t="s">
        <v>8927</v>
      </c>
      <c r="C385" s="316">
        <v>3.5</v>
      </c>
      <c r="D385" s="316"/>
      <c r="E385" s="224" t="s">
        <v>8930</v>
      </c>
      <c r="F385" s="224" t="s">
        <v>3</v>
      </c>
      <c r="G385" s="224" t="s">
        <v>460</v>
      </c>
      <c r="H385" s="224" t="s">
        <v>8931</v>
      </c>
      <c r="I385" s="224">
        <v>3.5</v>
      </c>
      <c r="J385" s="224" t="s">
        <v>462</v>
      </c>
      <c r="K385" s="224" t="s">
        <v>8932</v>
      </c>
      <c r="L385" s="224">
        <v>3.5</v>
      </c>
      <c r="M385" s="224" t="s">
        <v>478</v>
      </c>
      <c r="N385" s="307">
        <v>30000000</v>
      </c>
      <c r="O385" s="224" t="s">
        <v>452</v>
      </c>
      <c r="P385" s="224" t="s">
        <v>452</v>
      </c>
      <c r="Q385" s="224"/>
      <c r="R385" s="224" t="s">
        <v>24</v>
      </c>
      <c r="S385" s="254"/>
      <c r="T385" s="254"/>
      <c r="U385" s="224"/>
      <c r="V385" s="224"/>
      <c r="W385" s="224"/>
      <c r="X385" s="224"/>
      <c r="Y385" s="224"/>
      <c r="Z385" s="224"/>
      <c r="AA385" s="224"/>
      <c r="AB385" s="224"/>
    </row>
    <row r="386" spans="1:28" ht="15.75" hidden="1" customHeight="1">
      <c r="A386" s="248">
        <v>44796</v>
      </c>
      <c r="B386" s="219" t="s">
        <v>4776</v>
      </c>
      <c r="C386" s="315">
        <v>3.5</v>
      </c>
      <c r="D386" s="315"/>
      <c r="E386" s="219" t="s">
        <v>4779</v>
      </c>
      <c r="F386" s="219" t="s">
        <v>4</v>
      </c>
      <c r="G386" s="219" t="s">
        <v>727</v>
      </c>
      <c r="H386" s="219" t="s">
        <v>10562</v>
      </c>
      <c r="I386" s="219">
        <v>4</v>
      </c>
      <c r="J386" s="219" t="s">
        <v>1045</v>
      </c>
      <c r="K386" s="219" t="s">
        <v>4781</v>
      </c>
      <c r="L386" s="219">
        <v>3</v>
      </c>
      <c r="M386" s="219"/>
      <c r="N386" s="219"/>
      <c r="O386" s="219" t="s">
        <v>452</v>
      </c>
      <c r="P386" s="219" t="s">
        <v>452</v>
      </c>
      <c r="Q386" s="219"/>
      <c r="R386" s="219" t="s">
        <v>24</v>
      </c>
      <c r="S386" s="251"/>
      <c r="T386" s="251"/>
      <c r="U386" s="219"/>
      <c r="V386" s="219"/>
      <c r="W386" s="219"/>
      <c r="X386" s="219"/>
      <c r="Y386" s="219"/>
      <c r="Z386" s="219"/>
      <c r="AA386" s="219"/>
      <c r="AB386" s="219"/>
    </row>
    <row r="387" spans="1:28" ht="15.75" hidden="1" customHeight="1">
      <c r="A387" s="253">
        <v>44796</v>
      </c>
      <c r="B387" s="224" t="s">
        <v>4553</v>
      </c>
      <c r="C387" s="316">
        <v>3.5</v>
      </c>
      <c r="D387" s="316"/>
      <c r="E387" s="224" t="s">
        <v>4556</v>
      </c>
      <c r="F387" s="224" t="s">
        <v>4</v>
      </c>
      <c r="G387" s="224" t="s">
        <v>727</v>
      </c>
      <c r="H387" s="224" t="s">
        <v>10609</v>
      </c>
      <c r="I387" s="224">
        <v>3</v>
      </c>
      <c r="J387" s="224" t="s">
        <v>990</v>
      </c>
      <c r="K387" s="224" t="s">
        <v>4558</v>
      </c>
      <c r="L387" s="224">
        <v>4</v>
      </c>
      <c r="M387" s="224"/>
      <c r="N387" s="224"/>
      <c r="O387" s="224" t="s">
        <v>452</v>
      </c>
      <c r="P387" s="224" t="s">
        <v>4559</v>
      </c>
      <c r="Q387" s="224" t="s">
        <v>2180</v>
      </c>
      <c r="R387" s="224" t="s">
        <v>24</v>
      </c>
      <c r="S387" s="254"/>
      <c r="T387" s="254"/>
      <c r="U387" s="224"/>
      <c r="V387" s="224"/>
      <c r="W387" s="224"/>
      <c r="X387" s="224"/>
      <c r="Y387" s="224"/>
      <c r="Z387" s="224"/>
      <c r="AA387" s="224"/>
      <c r="AB387" s="224"/>
    </row>
    <row r="388" spans="1:28" ht="15.75" hidden="1" customHeight="1">
      <c r="A388" s="248">
        <v>44796</v>
      </c>
      <c r="B388" s="219" t="s">
        <v>4814</v>
      </c>
      <c r="C388" s="315">
        <v>3.5</v>
      </c>
      <c r="D388" s="315"/>
      <c r="E388" s="219" t="s">
        <v>4817</v>
      </c>
      <c r="F388" s="219" t="s">
        <v>4</v>
      </c>
      <c r="G388" s="219" t="s">
        <v>727</v>
      </c>
      <c r="H388" s="219" t="s">
        <v>10656</v>
      </c>
      <c r="I388" s="219">
        <v>3.5</v>
      </c>
      <c r="J388" s="219" t="s">
        <v>1350</v>
      </c>
      <c r="K388" s="219" t="s">
        <v>4819</v>
      </c>
      <c r="L388" s="219">
        <v>3.5</v>
      </c>
      <c r="M388" s="219" t="s">
        <v>451</v>
      </c>
      <c r="N388" s="219">
        <v>5000000</v>
      </c>
      <c r="O388" s="219" t="s">
        <v>452</v>
      </c>
      <c r="P388" s="219" t="s">
        <v>10657</v>
      </c>
      <c r="Q388" s="219"/>
      <c r="R388" s="219" t="s">
        <v>24</v>
      </c>
      <c r="S388" s="251"/>
      <c r="T388" s="251"/>
      <c r="U388" s="219"/>
      <c r="V388" s="219"/>
      <c r="W388" s="219"/>
      <c r="X388" s="219"/>
      <c r="Y388" s="219"/>
      <c r="Z388" s="219"/>
      <c r="AA388" s="219"/>
      <c r="AB388" s="219"/>
    </row>
    <row r="389" spans="1:28" ht="15.75" hidden="1" customHeight="1">
      <c r="A389" s="253">
        <v>44796</v>
      </c>
      <c r="B389" s="224" t="s">
        <v>4784</v>
      </c>
      <c r="C389" s="316">
        <v>3.5</v>
      </c>
      <c r="D389" s="316"/>
      <c r="E389" s="224" t="s">
        <v>10762</v>
      </c>
      <c r="F389" s="224" t="s">
        <v>4</v>
      </c>
      <c r="G389" s="224" t="s">
        <v>725</v>
      </c>
      <c r="H389" s="224" t="s">
        <v>4788</v>
      </c>
      <c r="I389" s="224">
        <v>4</v>
      </c>
      <c r="J389" s="224" t="s">
        <v>1298</v>
      </c>
      <c r="K389" s="224" t="s">
        <v>4789</v>
      </c>
      <c r="L389" s="224">
        <v>3</v>
      </c>
      <c r="M389" s="224" t="s">
        <v>478</v>
      </c>
      <c r="N389" s="224" t="s">
        <v>4790</v>
      </c>
      <c r="O389" s="224" t="s">
        <v>452</v>
      </c>
      <c r="P389" s="224" t="s">
        <v>575</v>
      </c>
      <c r="Q389" s="224"/>
      <c r="R389" s="224" t="s">
        <v>24</v>
      </c>
      <c r="S389" s="254"/>
      <c r="T389" s="254"/>
      <c r="U389" s="224"/>
      <c r="V389" s="224"/>
      <c r="W389" s="224"/>
      <c r="X389" s="224"/>
      <c r="Y389" s="224"/>
      <c r="Z389" s="224"/>
      <c r="AA389" s="224"/>
      <c r="AB389" s="224"/>
    </row>
    <row r="390" spans="1:28" ht="15.75" hidden="1" customHeight="1">
      <c r="A390" s="257">
        <v>44796</v>
      </c>
      <c r="B390" s="258" t="s">
        <v>9882</v>
      </c>
      <c r="C390" s="263">
        <v>3.5</v>
      </c>
      <c r="D390" s="263"/>
      <c r="E390" s="258" t="s">
        <v>9885</v>
      </c>
      <c r="F390" s="258" t="s">
        <v>3</v>
      </c>
      <c r="G390" s="258" t="s">
        <v>488</v>
      </c>
      <c r="H390" s="258" t="s">
        <v>11728</v>
      </c>
      <c r="I390" s="258">
        <v>3.5</v>
      </c>
      <c r="J390" s="258" t="s">
        <v>462</v>
      </c>
      <c r="K390" s="258" t="s">
        <v>9887</v>
      </c>
      <c r="L390" s="258">
        <v>3.5</v>
      </c>
      <c r="M390" s="258" t="s">
        <v>451</v>
      </c>
      <c r="N390" s="261">
        <v>6000000</v>
      </c>
      <c r="O390" s="258" t="s">
        <v>465</v>
      </c>
      <c r="P390" s="258" t="s">
        <v>9888</v>
      </c>
      <c r="Q390" s="258"/>
      <c r="R390" s="258" t="s">
        <v>23</v>
      </c>
      <c r="S390" s="259" t="s">
        <v>9889</v>
      </c>
      <c r="T390" s="259"/>
      <c r="U390" s="258"/>
      <c r="V390" s="258"/>
      <c r="W390" s="258"/>
      <c r="X390" s="258"/>
      <c r="Y390" s="258"/>
      <c r="Z390" s="258"/>
      <c r="AA390" s="258"/>
      <c r="AB390" s="258"/>
    </row>
    <row r="391" spans="1:28" ht="15.75" hidden="1" customHeight="1">
      <c r="A391" s="253">
        <v>44796</v>
      </c>
      <c r="B391" s="224" t="s">
        <v>4619</v>
      </c>
      <c r="C391" s="316">
        <v>3.5</v>
      </c>
      <c r="D391" s="316"/>
      <c r="E391" s="224" t="s">
        <v>4622</v>
      </c>
      <c r="F391" s="224" t="s">
        <v>4</v>
      </c>
      <c r="G391" s="224" t="s">
        <v>1457</v>
      </c>
      <c r="H391" s="224" t="s">
        <v>10785</v>
      </c>
      <c r="I391" s="224">
        <v>3</v>
      </c>
      <c r="J391" s="224" t="s">
        <v>604</v>
      </c>
      <c r="K391" s="224" t="s">
        <v>10786</v>
      </c>
      <c r="L391" s="224">
        <v>4</v>
      </c>
      <c r="M391" s="224" t="s">
        <v>478</v>
      </c>
      <c r="N391" s="224">
        <v>5000000</v>
      </c>
      <c r="O391" s="224" t="s">
        <v>465</v>
      </c>
      <c r="P391" s="224" t="s">
        <v>4625</v>
      </c>
      <c r="Q391" s="224"/>
      <c r="R391" s="224" t="s">
        <v>24</v>
      </c>
      <c r="S391" s="254"/>
      <c r="T391" s="254"/>
      <c r="U391" s="224"/>
      <c r="V391" s="224"/>
      <c r="W391" s="224"/>
      <c r="X391" s="224"/>
      <c r="Y391" s="224"/>
      <c r="Z391" s="224"/>
      <c r="AA391" s="224"/>
      <c r="AB391" s="224"/>
    </row>
    <row r="392" spans="1:28" ht="15.75" hidden="1" customHeight="1">
      <c r="A392" s="248">
        <v>44796</v>
      </c>
      <c r="B392" s="219" t="s">
        <v>4535</v>
      </c>
      <c r="C392" s="315">
        <v>3.5</v>
      </c>
      <c r="D392" s="315"/>
      <c r="E392" s="219" t="s">
        <v>4538</v>
      </c>
      <c r="F392" s="219" t="s">
        <v>4</v>
      </c>
      <c r="G392" s="219" t="s">
        <v>1457</v>
      </c>
      <c r="H392" s="219" t="s">
        <v>4539</v>
      </c>
      <c r="I392" s="219">
        <v>3</v>
      </c>
      <c r="J392" s="219" t="s">
        <v>990</v>
      </c>
      <c r="K392" s="219" t="s">
        <v>4540</v>
      </c>
      <c r="L392" s="219">
        <v>4</v>
      </c>
      <c r="M392" s="219" t="s">
        <v>784</v>
      </c>
      <c r="N392" s="310">
        <v>750000</v>
      </c>
      <c r="O392" s="219" t="s">
        <v>452</v>
      </c>
      <c r="P392" s="219" t="s">
        <v>4541</v>
      </c>
      <c r="Q392" s="219"/>
      <c r="R392" s="219" t="s">
        <v>24</v>
      </c>
      <c r="S392" s="251"/>
      <c r="T392" s="251"/>
      <c r="U392" s="219"/>
      <c r="V392" s="219"/>
      <c r="W392" s="219"/>
      <c r="X392" s="219"/>
      <c r="Y392" s="219"/>
      <c r="Z392" s="219"/>
      <c r="AA392" s="219"/>
      <c r="AB392" s="219"/>
    </row>
    <row r="393" spans="1:28" ht="15.75" hidden="1" customHeight="1">
      <c r="A393" s="253">
        <v>44796</v>
      </c>
      <c r="B393" s="224" t="s">
        <v>4680</v>
      </c>
      <c r="C393" s="316">
        <v>3.5</v>
      </c>
      <c r="D393" s="316"/>
      <c r="E393" s="224" t="s">
        <v>4683</v>
      </c>
      <c r="F393" s="224" t="s">
        <v>4</v>
      </c>
      <c r="G393" s="224" t="s">
        <v>725</v>
      </c>
      <c r="H393" s="224" t="s">
        <v>10990</v>
      </c>
      <c r="I393" s="224">
        <v>3</v>
      </c>
      <c r="J393" s="224" t="s">
        <v>1187</v>
      </c>
      <c r="K393" s="224" t="s">
        <v>4685</v>
      </c>
      <c r="L393" s="224">
        <v>4</v>
      </c>
      <c r="M393" s="224" t="s">
        <v>451</v>
      </c>
      <c r="N393" s="330">
        <v>500000</v>
      </c>
      <c r="O393" s="224" t="s">
        <v>452</v>
      </c>
      <c r="P393" s="224" t="s">
        <v>10991</v>
      </c>
      <c r="Q393" s="224" t="s">
        <v>10992</v>
      </c>
      <c r="R393" s="224" t="s">
        <v>24</v>
      </c>
      <c r="S393" s="254"/>
      <c r="T393" s="254"/>
      <c r="U393" s="224"/>
      <c r="V393" s="224"/>
      <c r="W393" s="224"/>
      <c r="X393" s="224"/>
      <c r="Y393" s="224"/>
      <c r="Z393" s="224"/>
      <c r="AA393" s="224"/>
      <c r="AB393" s="224"/>
    </row>
    <row r="394" spans="1:28" ht="15.75" customHeight="1">
      <c r="A394" s="248">
        <v>44796</v>
      </c>
      <c r="B394" s="219" t="s">
        <v>3115</v>
      </c>
      <c r="C394" s="219">
        <v>3.5</v>
      </c>
      <c r="D394" s="219"/>
      <c r="E394" s="219" t="s">
        <v>3118</v>
      </c>
      <c r="F394" s="219" t="s">
        <v>5</v>
      </c>
      <c r="G394" s="219" t="s">
        <v>447</v>
      </c>
      <c r="H394" s="219" t="s">
        <v>3119</v>
      </c>
      <c r="I394" s="219">
        <v>3.5</v>
      </c>
      <c r="J394" s="219" t="s">
        <v>543</v>
      </c>
      <c r="K394" s="219" t="s">
        <v>11729</v>
      </c>
      <c r="L394" s="219">
        <v>3.5</v>
      </c>
      <c r="M394" s="219"/>
      <c r="N394" s="219"/>
      <c r="O394" s="219" t="s">
        <v>465</v>
      </c>
      <c r="P394" s="219" t="s">
        <v>3121</v>
      </c>
      <c r="Q394" s="219" t="s">
        <v>725</v>
      </c>
      <c r="R394" s="219" t="s">
        <v>24</v>
      </c>
      <c r="S394" s="219"/>
      <c r="T394" s="219"/>
      <c r="U394" s="219"/>
      <c r="V394" s="219"/>
      <c r="W394" s="219"/>
      <c r="X394" s="219"/>
      <c r="Y394" s="219"/>
      <c r="Z394" s="219"/>
      <c r="AA394" s="219"/>
      <c r="AB394" s="219"/>
    </row>
    <row r="395" spans="1:28" ht="15.75" customHeight="1">
      <c r="A395" s="253">
        <v>44796</v>
      </c>
      <c r="B395" s="224" t="s">
        <v>3149</v>
      </c>
      <c r="C395" s="224">
        <v>3.5</v>
      </c>
      <c r="D395" s="224"/>
      <c r="E395" s="224" t="s">
        <v>3152</v>
      </c>
      <c r="F395" s="224" t="s">
        <v>5</v>
      </c>
      <c r="G395" s="224" t="s">
        <v>447</v>
      </c>
      <c r="H395" s="224" t="s">
        <v>11083</v>
      </c>
      <c r="I395" s="224">
        <v>3</v>
      </c>
      <c r="J395" s="224" t="s">
        <v>622</v>
      </c>
      <c r="K395" s="224" t="s">
        <v>11730</v>
      </c>
      <c r="L395" s="224">
        <v>4</v>
      </c>
      <c r="M395" s="224"/>
      <c r="N395" s="224"/>
      <c r="O395" s="224" t="s">
        <v>452</v>
      </c>
      <c r="P395" s="224" t="s">
        <v>452</v>
      </c>
      <c r="Q395" s="224"/>
      <c r="R395" s="224" t="s">
        <v>24</v>
      </c>
      <c r="S395" s="224"/>
      <c r="T395" s="224"/>
      <c r="U395" s="224"/>
      <c r="V395" s="224"/>
      <c r="W395" s="224"/>
      <c r="X395" s="224"/>
      <c r="Y395" s="224"/>
      <c r="Z395" s="224"/>
      <c r="AA395" s="224"/>
      <c r="AB395" s="224"/>
    </row>
    <row r="396" spans="1:28" ht="15.75" hidden="1" customHeight="1">
      <c r="A396" s="257">
        <v>44796</v>
      </c>
      <c r="B396" s="258" t="s">
        <v>4526</v>
      </c>
      <c r="C396" s="263">
        <v>3.5</v>
      </c>
      <c r="D396" s="263"/>
      <c r="E396" s="258" t="s">
        <v>4529</v>
      </c>
      <c r="F396" s="258" t="s">
        <v>4</v>
      </c>
      <c r="G396" s="258" t="s">
        <v>725</v>
      </c>
      <c r="H396" s="258" t="s">
        <v>11096</v>
      </c>
      <c r="I396" s="258">
        <v>2</v>
      </c>
      <c r="J396" s="258" t="s">
        <v>990</v>
      </c>
      <c r="K396" s="258" t="s">
        <v>4531</v>
      </c>
      <c r="L396" s="258">
        <v>5</v>
      </c>
      <c r="M396" s="258" t="s">
        <v>451</v>
      </c>
      <c r="N396" s="258">
        <v>1000000</v>
      </c>
      <c r="O396" s="258" t="s">
        <v>452</v>
      </c>
      <c r="P396" s="258" t="s">
        <v>4532</v>
      </c>
      <c r="Q396" s="258"/>
      <c r="R396" s="258" t="s">
        <v>24</v>
      </c>
      <c r="S396" s="259" t="s">
        <v>4533</v>
      </c>
      <c r="T396" s="259"/>
      <c r="U396" s="258"/>
      <c r="V396" s="258"/>
      <c r="W396" s="258"/>
      <c r="X396" s="258"/>
      <c r="Y396" s="258"/>
      <c r="Z396" s="258"/>
      <c r="AA396" s="258"/>
      <c r="AB396" s="258"/>
    </row>
    <row r="397" spans="1:28" ht="15.75" customHeight="1">
      <c r="A397" s="491">
        <v>44784</v>
      </c>
      <c r="B397" s="488" t="s">
        <v>106</v>
      </c>
      <c r="C397" s="488">
        <v>3.25</v>
      </c>
      <c r="D397" s="250" t="str">
        <f ca="1">IFERROR(VLOOKUP(B397,'2022-2023 Third Reviews'!$C:$S,9,FALSE),"")</f>
        <v>Ahmed Bahgat
5</v>
      </c>
      <c r="E397" s="488" t="s">
        <v>781</v>
      </c>
      <c r="F397" s="488" t="s">
        <v>5</v>
      </c>
      <c r="G397" s="488" t="s">
        <v>447</v>
      </c>
      <c r="H397" s="488" t="s">
        <v>10610</v>
      </c>
      <c r="I397" s="488">
        <v>3.5</v>
      </c>
      <c r="J397" s="488" t="s">
        <v>543</v>
      </c>
      <c r="K397" s="488" t="s">
        <v>11578</v>
      </c>
      <c r="L397" s="488">
        <v>3</v>
      </c>
      <c r="M397" s="488" t="s">
        <v>784</v>
      </c>
      <c r="N397" s="488">
        <v>4000000</v>
      </c>
      <c r="O397" s="488" t="s">
        <v>465</v>
      </c>
      <c r="P397" s="488" t="s">
        <v>785</v>
      </c>
      <c r="Q397" s="488"/>
      <c r="R397" s="488" t="s">
        <v>18</v>
      </c>
      <c r="S397" s="488" t="s">
        <v>11579</v>
      </c>
      <c r="T397" s="488" t="s">
        <v>11807</v>
      </c>
      <c r="U397" s="488"/>
      <c r="V397" s="488"/>
      <c r="W397" s="488"/>
      <c r="X397" s="488"/>
      <c r="Y397" s="488"/>
      <c r="Z397" s="258"/>
      <c r="AA397" s="258"/>
      <c r="AB397" s="258"/>
    </row>
    <row r="398" spans="1:28" ht="15.75" hidden="1" customHeight="1">
      <c r="A398" s="257">
        <v>44797</v>
      </c>
      <c r="B398" s="258" t="s">
        <v>283</v>
      </c>
      <c r="C398" s="263">
        <v>3.5</v>
      </c>
      <c r="D398" s="263"/>
      <c r="E398" s="258" t="s">
        <v>9171</v>
      </c>
      <c r="F398" s="258" t="s">
        <v>3</v>
      </c>
      <c r="G398" s="258" t="s">
        <v>488</v>
      </c>
      <c r="H398" s="258" t="s">
        <v>11907</v>
      </c>
      <c r="I398" s="258">
        <v>3</v>
      </c>
      <c r="J398" s="258" t="s">
        <v>941</v>
      </c>
      <c r="K398" s="258" t="s">
        <v>9173</v>
      </c>
      <c r="L398" s="258">
        <v>4</v>
      </c>
      <c r="M398" s="258" t="s">
        <v>451</v>
      </c>
      <c r="N398" s="258" t="s">
        <v>2604</v>
      </c>
      <c r="O398" s="258" t="s">
        <v>452</v>
      </c>
      <c r="P398" s="258" t="s">
        <v>9174</v>
      </c>
      <c r="Q398" s="258" t="s">
        <v>604</v>
      </c>
      <c r="R398" s="258"/>
      <c r="S398" s="259"/>
      <c r="T398" s="259"/>
      <c r="U398" s="258"/>
      <c r="V398" s="258"/>
      <c r="W398" s="258"/>
      <c r="X398" s="258"/>
      <c r="Y398" s="258"/>
      <c r="Z398" s="258"/>
      <c r="AA398" s="258"/>
      <c r="AB398" s="258"/>
    </row>
    <row r="399" spans="1:28" ht="15.75" hidden="1" customHeight="1">
      <c r="A399" s="253">
        <v>44796</v>
      </c>
      <c r="B399" s="224" t="s">
        <v>4759</v>
      </c>
      <c r="C399" s="316">
        <v>3.5</v>
      </c>
      <c r="D399" s="316"/>
      <c r="E399" s="224" t="s">
        <v>4762</v>
      </c>
      <c r="F399" s="224" t="s">
        <v>4</v>
      </c>
      <c r="G399" s="224" t="s">
        <v>602</v>
      </c>
      <c r="H399" s="224" t="s">
        <v>4763</v>
      </c>
      <c r="I399" s="224">
        <v>3</v>
      </c>
      <c r="J399" s="224" t="s">
        <v>476</v>
      </c>
      <c r="K399" s="224" t="s">
        <v>11732</v>
      </c>
      <c r="L399" s="224">
        <v>4</v>
      </c>
      <c r="M399" s="224" t="s">
        <v>478</v>
      </c>
      <c r="N399" s="332">
        <v>1800000</v>
      </c>
      <c r="O399" s="224" t="s">
        <v>452</v>
      </c>
      <c r="P399" s="224" t="s">
        <v>454</v>
      </c>
      <c r="Q399" s="224"/>
      <c r="R399" s="224" t="s">
        <v>24</v>
      </c>
      <c r="S399" s="254"/>
      <c r="T399" s="254"/>
      <c r="U399" s="224"/>
      <c r="V399" s="224"/>
      <c r="W399" s="224"/>
      <c r="X399" s="224"/>
      <c r="Y399" s="224"/>
      <c r="Z399" s="224"/>
      <c r="AA399" s="224"/>
      <c r="AB399" s="224"/>
    </row>
    <row r="400" spans="1:28" ht="15.75" hidden="1" customHeight="1">
      <c r="A400" s="248">
        <v>44796</v>
      </c>
      <c r="B400" s="219" t="s">
        <v>4544</v>
      </c>
      <c r="C400" s="315">
        <v>3.5</v>
      </c>
      <c r="D400" s="315"/>
      <c r="E400" s="219" t="s">
        <v>4547</v>
      </c>
      <c r="F400" s="219" t="s">
        <v>4</v>
      </c>
      <c r="G400" s="219" t="s">
        <v>447</v>
      </c>
      <c r="H400" s="219" t="s">
        <v>11196</v>
      </c>
      <c r="I400" s="219">
        <v>3</v>
      </c>
      <c r="J400" s="219" t="s">
        <v>990</v>
      </c>
      <c r="K400" s="219" t="s">
        <v>4549</v>
      </c>
      <c r="L400" s="219">
        <v>4</v>
      </c>
      <c r="M400" s="219"/>
      <c r="N400" s="219"/>
      <c r="O400" s="219" t="s">
        <v>452</v>
      </c>
      <c r="P400" s="219" t="s">
        <v>4550</v>
      </c>
      <c r="Q400" s="219"/>
      <c r="R400" s="219" t="s">
        <v>24</v>
      </c>
      <c r="S400" s="251"/>
      <c r="T400" s="251"/>
      <c r="U400" s="219"/>
      <c r="V400" s="219"/>
      <c r="W400" s="219"/>
      <c r="X400" s="219"/>
      <c r="Y400" s="219"/>
      <c r="Z400" s="219"/>
      <c r="AA400" s="219"/>
      <c r="AB400" s="219"/>
    </row>
    <row r="401" spans="1:28" ht="15.75" hidden="1" customHeight="1">
      <c r="A401" s="253">
        <v>44796</v>
      </c>
      <c r="B401" s="224" t="s">
        <v>4698</v>
      </c>
      <c r="C401" s="316">
        <v>3.5</v>
      </c>
      <c r="D401" s="316"/>
      <c r="E401" s="224"/>
      <c r="F401" s="224" t="s">
        <v>4</v>
      </c>
      <c r="G401" s="224" t="s">
        <v>725</v>
      </c>
      <c r="H401" s="224" t="s">
        <v>4701</v>
      </c>
      <c r="I401" s="224">
        <v>3</v>
      </c>
      <c r="J401" s="224" t="s">
        <v>1237</v>
      </c>
      <c r="K401" s="224"/>
      <c r="L401" s="224">
        <v>4</v>
      </c>
      <c r="M401" s="224" t="s">
        <v>2190</v>
      </c>
      <c r="N401" s="224" t="s">
        <v>4702</v>
      </c>
      <c r="O401" s="224" t="s">
        <v>454</v>
      </c>
      <c r="P401" s="224" t="s">
        <v>4703</v>
      </c>
      <c r="Q401" s="224" t="s">
        <v>4704</v>
      </c>
      <c r="R401" s="224" t="s">
        <v>24</v>
      </c>
      <c r="S401" s="254"/>
      <c r="T401" s="254"/>
      <c r="U401" s="224"/>
      <c r="V401" s="224"/>
      <c r="W401" s="224"/>
      <c r="X401" s="224"/>
      <c r="Y401" s="224"/>
      <c r="Z401" s="224"/>
      <c r="AA401" s="224"/>
      <c r="AB401" s="224"/>
    </row>
    <row r="402" spans="1:28" ht="15.75" hidden="1" customHeight="1">
      <c r="A402" s="248">
        <v>44782</v>
      </c>
      <c r="B402" s="219" t="s">
        <v>4942</v>
      </c>
      <c r="C402" s="249">
        <v>3.38</v>
      </c>
      <c r="D402" s="249"/>
      <c r="E402" s="219" t="s">
        <v>4945</v>
      </c>
      <c r="F402" s="250" t="s">
        <v>4</v>
      </c>
      <c r="G402" s="219" t="s">
        <v>727</v>
      </c>
      <c r="H402" s="219" t="s">
        <v>4946</v>
      </c>
      <c r="I402" s="219">
        <v>3.75</v>
      </c>
      <c r="J402" s="219" t="s">
        <v>1054</v>
      </c>
      <c r="K402" s="219"/>
      <c r="L402" s="219">
        <v>3</v>
      </c>
      <c r="M402" s="219" t="s">
        <v>451</v>
      </c>
      <c r="N402" s="219">
        <v>345000</v>
      </c>
      <c r="O402" s="219" t="s">
        <v>452</v>
      </c>
      <c r="P402" s="219" t="s">
        <v>4947</v>
      </c>
      <c r="Q402" s="219"/>
      <c r="R402" s="219" t="s">
        <v>24</v>
      </c>
      <c r="S402" s="251"/>
      <c r="T402" s="251"/>
      <c r="U402" s="252"/>
      <c r="V402" s="252"/>
      <c r="W402" s="252"/>
      <c r="X402" s="219"/>
      <c r="Y402" s="219"/>
      <c r="Z402" s="219"/>
      <c r="AA402" s="219"/>
      <c r="AB402" s="219"/>
    </row>
    <row r="403" spans="1:28" ht="15.75" hidden="1" customHeight="1">
      <c r="A403" s="267">
        <v>44784</v>
      </c>
      <c r="B403" s="272" t="s">
        <v>4933</v>
      </c>
      <c r="C403" s="269">
        <v>3.38</v>
      </c>
      <c r="D403" s="269"/>
      <c r="E403" s="272" t="s">
        <v>4936</v>
      </c>
      <c r="F403" s="270" t="s">
        <v>4</v>
      </c>
      <c r="G403" s="272" t="s">
        <v>725</v>
      </c>
      <c r="H403" s="272" t="s">
        <v>11477</v>
      </c>
      <c r="I403" s="272">
        <v>3.75</v>
      </c>
      <c r="J403" s="272" t="s">
        <v>727</v>
      </c>
      <c r="K403" s="272" t="s">
        <v>11478</v>
      </c>
      <c r="L403" s="272">
        <v>3</v>
      </c>
      <c r="M403" s="272"/>
      <c r="N403" s="272"/>
      <c r="O403" s="272" t="s">
        <v>452</v>
      </c>
      <c r="P403" s="272" t="s">
        <v>4939</v>
      </c>
      <c r="Q403" s="272"/>
      <c r="R403" s="272" t="s">
        <v>24</v>
      </c>
      <c r="S403" s="274"/>
      <c r="T403" s="274"/>
      <c r="U403" s="272"/>
      <c r="V403" s="272"/>
      <c r="W403" s="272"/>
      <c r="X403" s="272"/>
      <c r="Y403" s="272"/>
      <c r="Z403" s="224"/>
      <c r="AA403" s="224"/>
      <c r="AB403" s="224"/>
    </row>
    <row r="404" spans="1:28" ht="15.75" hidden="1" customHeight="1">
      <c r="A404" s="248">
        <v>44796</v>
      </c>
      <c r="B404" s="219" t="s">
        <v>4925</v>
      </c>
      <c r="C404" s="315">
        <v>3.38</v>
      </c>
      <c r="D404" s="315"/>
      <c r="E404" s="219" t="s">
        <v>4928</v>
      </c>
      <c r="F404" s="219" t="s">
        <v>4</v>
      </c>
      <c r="G404" s="219" t="s">
        <v>727</v>
      </c>
      <c r="H404" s="219" t="s">
        <v>10573</v>
      </c>
      <c r="I404" s="219">
        <v>3.75</v>
      </c>
      <c r="J404" s="219" t="s">
        <v>1073</v>
      </c>
      <c r="K404" s="219"/>
      <c r="L404" s="219">
        <v>3</v>
      </c>
      <c r="M404" s="219"/>
      <c r="N404" s="219"/>
      <c r="O404" s="219" t="s">
        <v>452</v>
      </c>
      <c r="P404" s="219" t="s">
        <v>10574</v>
      </c>
      <c r="Q404" s="219"/>
      <c r="R404" s="219" t="s">
        <v>24</v>
      </c>
      <c r="S404" s="251"/>
      <c r="T404" s="251"/>
      <c r="U404" s="219"/>
      <c r="V404" s="219"/>
      <c r="W404" s="219"/>
      <c r="X404" s="219"/>
      <c r="Y404" s="219"/>
      <c r="Z404" s="219"/>
      <c r="AA404" s="219"/>
      <c r="AB404" s="219"/>
    </row>
    <row r="405" spans="1:28" ht="15.75" hidden="1" customHeight="1">
      <c r="A405" s="253">
        <v>44796</v>
      </c>
      <c r="B405" s="224" t="s">
        <v>4950</v>
      </c>
      <c r="C405" s="316">
        <v>3.38</v>
      </c>
      <c r="D405" s="316"/>
      <c r="E405" s="224" t="s">
        <v>4953</v>
      </c>
      <c r="F405" s="224" t="s">
        <v>4</v>
      </c>
      <c r="G405" s="224" t="s">
        <v>727</v>
      </c>
      <c r="H405" s="224" t="s">
        <v>10639</v>
      </c>
      <c r="I405" s="224">
        <v>3.75</v>
      </c>
      <c r="J405" s="224" t="s">
        <v>1045</v>
      </c>
      <c r="K405" s="224" t="s">
        <v>4955</v>
      </c>
      <c r="L405" s="224">
        <v>3</v>
      </c>
      <c r="M405" s="224" t="s">
        <v>478</v>
      </c>
      <c r="N405" s="224" t="s">
        <v>4956</v>
      </c>
      <c r="O405" s="224" t="s">
        <v>452</v>
      </c>
      <c r="P405" s="224" t="s">
        <v>4957</v>
      </c>
      <c r="Q405" s="224"/>
      <c r="R405" s="224" t="s">
        <v>24</v>
      </c>
      <c r="S405" s="254"/>
      <c r="T405" s="254"/>
      <c r="U405" s="224"/>
      <c r="V405" s="224"/>
      <c r="W405" s="224"/>
      <c r="X405" s="224"/>
      <c r="Y405" s="224"/>
      <c r="Z405" s="224"/>
      <c r="AA405" s="224"/>
      <c r="AB405" s="224"/>
    </row>
    <row r="406" spans="1:28" ht="15.75" hidden="1" customHeight="1">
      <c r="A406" s="212">
        <v>44776</v>
      </c>
      <c r="B406" s="213" t="s">
        <v>5140</v>
      </c>
      <c r="C406" s="214">
        <v>3.25</v>
      </c>
      <c r="D406" s="214"/>
      <c r="E406" s="213" t="s">
        <v>5143</v>
      </c>
      <c r="F406" s="215" t="s">
        <v>4</v>
      </c>
      <c r="G406" s="213" t="s">
        <v>602</v>
      </c>
      <c r="H406" s="213" t="s">
        <v>10196</v>
      </c>
      <c r="I406" s="213">
        <v>3.5</v>
      </c>
      <c r="J406" s="213" t="s">
        <v>1054</v>
      </c>
      <c r="K406" s="213"/>
      <c r="L406" s="213">
        <v>3</v>
      </c>
      <c r="M406" s="213" t="s">
        <v>451</v>
      </c>
      <c r="N406" s="216">
        <v>3000000</v>
      </c>
      <c r="O406" s="213" t="s">
        <v>452</v>
      </c>
      <c r="P406" s="213" t="s">
        <v>5145</v>
      </c>
      <c r="Q406" s="143"/>
      <c r="R406" s="213" t="s">
        <v>24</v>
      </c>
      <c r="S406" s="226">
        <f t="array" ref="S406">INDEX(Notes!C:C,MATCH($B406,Notes!$A:$A,0))</f>
        <v>0</v>
      </c>
      <c r="T406" s="226"/>
      <c r="U406" s="218"/>
      <c r="V406" s="218"/>
      <c r="W406" s="218"/>
      <c r="X406" s="219"/>
      <c r="Y406" s="219"/>
      <c r="Z406" s="219"/>
      <c r="AA406" s="219"/>
      <c r="AB406" s="219"/>
    </row>
    <row r="407" spans="1:28" ht="15.75" hidden="1" customHeight="1">
      <c r="A407" s="233">
        <v>44776</v>
      </c>
      <c r="B407" s="234" t="s">
        <v>306</v>
      </c>
      <c r="C407" s="241">
        <v>3.25</v>
      </c>
      <c r="D407" s="241"/>
      <c r="E407" s="234" t="s">
        <v>9500</v>
      </c>
      <c r="F407" s="242" t="s">
        <v>4</v>
      </c>
      <c r="G407" s="234" t="s">
        <v>447</v>
      </c>
      <c r="H407" s="234" t="s">
        <v>9501</v>
      </c>
      <c r="I407" s="234">
        <v>3</v>
      </c>
      <c r="J407" s="234" t="s">
        <v>543</v>
      </c>
      <c r="K407" s="234" t="e">
        <f>+ Working on solid pain area with technology advancing in other sectors we need such startups in the Transportation segment
+ need to check how They can attract government contracts
+ They Have a Team capable of coming up with solutions for the problem with patent for Tech
+ They need customers and funds</f>
        <v>#NAME?</v>
      </c>
      <c r="L407" s="234">
        <v>3.5</v>
      </c>
      <c r="M407" s="234"/>
      <c r="N407" s="234"/>
      <c r="O407" s="234" t="s">
        <v>452</v>
      </c>
      <c r="P407" s="234" t="s">
        <v>9503</v>
      </c>
      <c r="Q407" s="237"/>
      <c r="R407" s="234" t="str">
        <f t="array" ref="R407">INDEX(Notes!B:B,MATCH($B407,Notes!$A:$A,0))</f>
        <v>Revisit/ Cluster</v>
      </c>
      <c r="S407" s="238" t="s">
        <v>9504</v>
      </c>
      <c r="T407" s="238"/>
      <c r="U407" s="234"/>
      <c r="V407" s="234"/>
      <c r="W407" s="234"/>
      <c r="X407" s="239"/>
      <c r="Y407" s="239"/>
      <c r="Z407" s="239"/>
      <c r="AA407" s="239"/>
      <c r="AB407" s="239"/>
    </row>
    <row r="408" spans="1:28" ht="15.75" hidden="1" customHeight="1">
      <c r="A408" s="248">
        <v>44782</v>
      </c>
      <c r="B408" s="219" t="s">
        <v>5235</v>
      </c>
      <c r="C408" s="249">
        <v>3.25</v>
      </c>
      <c r="D408" s="249"/>
      <c r="E408" s="219" t="s">
        <v>5238</v>
      </c>
      <c r="F408" s="250" t="s">
        <v>4</v>
      </c>
      <c r="G408" s="219" t="s">
        <v>727</v>
      </c>
      <c r="H408" s="219" t="s">
        <v>5239</v>
      </c>
      <c r="I408" s="219">
        <v>3.5</v>
      </c>
      <c r="J408" s="219" t="s">
        <v>476</v>
      </c>
      <c r="K408" s="219" t="s">
        <v>13400</v>
      </c>
      <c r="L408" s="219">
        <v>3</v>
      </c>
      <c r="M408" s="219"/>
      <c r="N408" s="219"/>
      <c r="O408" s="219" t="s">
        <v>452</v>
      </c>
      <c r="P408" s="219" t="s">
        <v>5241</v>
      </c>
      <c r="Q408" s="219" t="s">
        <v>447</v>
      </c>
      <c r="R408" s="219" t="s">
        <v>24</v>
      </c>
      <c r="S408" s="251"/>
      <c r="T408" s="251"/>
      <c r="U408" s="252"/>
      <c r="V408" s="252"/>
      <c r="W408" s="252"/>
      <c r="X408" s="219"/>
      <c r="Y408" s="219"/>
      <c r="Z408" s="219"/>
      <c r="AA408" s="219"/>
      <c r="AB408" s="219"/>
    </row>
    <row r="409" spans="1:28" ht="15.75" hidden="1" customHeight="1">
      <c r="A409" s="253">
        <v>44782</v>
      </c>
      <c r="B409" s="224" t="s">
        <v>9210</v>
      </c>
      <c r="C409" s="249">
        <v>3.25</v>
      </c>
      <c r="D409" s="249"/>
      <c r="E409" s="224" t="s">
        <v>9213</v>
      </c>
      <c r="F409" s="250" t="s">
        <v>3</v>
      </c>
      <c r="G409" s="224" t="s">
        <v>727</v>
      </c>
      <c r="H409" s="224" t="s">
        <v>10271</v>
      </c>
      <c r="I409" s="224">
        <v>3</v>
      </c>
      <c r="J409" s="224" t="s">
        <v>1054</v>
      </c>
      <c r="K409" s="224"/>
      <c r="L409" s="224">
        <v>3.5</v>
      </c>
      <c r="M409" s="224" t="s">
        <v>478</v>
      </c>
      <c r="N409" s="224" t="s">
        <v>9215</v>
      </c>
      <c r="O409" s="224" t="s">
        <v>452</v>
      </c>
      <c r="P409" s="224" t="s">
        <v>9216</v>
      </c>
      <c r="Q409" s="224"/>
      <c r="R409" s="224" t="s">
        <v>24</v>
      </c>
      <c r="S409" s="254"/>
      <c r="T409" s="254"/>
      <c r="U409" s="252"/>
      <c r="V409" s="252"/>
      <c r="W409" s="252"/>
      <c r="X409" s="224"/>
      <c r="Y409" s="224"/>
      <c r="Z409" s="224"/>
      <c r="AA409" s="224"/>
      <c r="AB409" s="224"/>
    </row>
    <row r="410" spans="1:28" ht="15.75" hidden="1" customHeight="1">
      <c r="A410" s="257">
        <v>44782</v>
      </c>
      <c r="B410" s="258" t="s">
        <v>74</v>
      </c>
      <c r="C410" s="249">
        <v>3.25</v>
      </c>
      <c r="D410" s="249"/>
      <c r="E410" s="258" t="s">
        <v>9569</v>
      </c>
      <c r="F410" s="250" t="s">
        <v>3</v>
      </c>
      <c r="G410" s="258" t="s">
        <v>460</v>
      </c>
      <c r="H410" s="258" t="s">
        <v>9570</v>
      </c>
      <c r="I410" s="258">
        <v>3.5</v>
      </c>
      <c r="J410" s="258" t="s">
        <v>941</v>
      </c>
      <c r="K410" s="258"/>
      <c r="L410" s="258">
        <v>3</v>
      </c>
      <c r="M410" s="258" t="s">
        <v>478</v>
      </c>
      <c r="N410" s="258">
        <v>5000000</v>
      </c>
      <c r="O410" s="258" t="s">
        <v>452</v>
      </c>
      <c r="P410" s="258" t="s">
        <v>9571</v>
      </c>
      <c r="Q410" s="258" t="s">
        <v>9572</v>
      </c>
      <c r="R410" s="258" t="s">
        <v>20</v>
      </c>
      <c r="S410" s="259" t="s">
        <v>9573</v>
      </c>
      <c r="T410" s="259"/>
      <c r="U410" s="258"/>
      <c r="V410" s="258"/>
      <c r="W410" s="258"/>
      <c r="X410" s="258"/>
      <c r="Y410" s="258"/>
      <c r="Z410" s="258"/>
      <c r="AA410" s="258"/>
      <c r="AB410" s="258"/>
    </row>
    <row r="411" spans="1:28" ht="15.75" customHeight="1">
      <c r="A411" s="253">
        <v>44782</v>
      </c>
      <c r="B411" s="224" t="s">
        <v>3377</v>
      </c>
      <c r="C411" s="250">
        <v>3.25</v>
      </c>
      <c r="D411" s="250"/>
      <c r="E411" s="224" t="s">
        <v>10391</v>
      </c>
      <c r="F411" s="250" t="s">
        <v>5</v>
      </c>
      <c r="G411" s="224" t="s">
        <v>447</v>
      </c>
      <c r="H411" s="224" t="s">
        <v>10392</v>
      </c>
      <c r="I411" s="224">
        <v>3.5</v>
      </c>
      <c r="J411" s="224" t="s">
        <v>476</v>
      </c>
      <c r="K411" s="224" t="s">
        <v>13400</v>
      </c>
      <c r="L411" s="224">
        <v>3</v>
      </c>
      <c r="M411" s="224" t="s">
        <v>478</v>
      </c>
      <c r="N411" s="224">
        <v>5000000</v>
      </c>
      <c r="O411" s="224" t="s">
        <v>3383</v>
      </c>
      <c r="P411" s="224" t="s">
        <v>10394</v>
      </c>
      <c r="Q411" s="224"/>
      <c r="R411" s="224" t="s">
        <v>24</v>
      </c>
      <c r="S411" s="224"/>
      <c r="T411" s="224"/>
      <c r="U411" s="252"/>
      <c r="V411" s="252"/>
      <c r="W411" s="252"/>
      <c r="X411" s="224"/>
      <c r="Y411" s="224"/>
      <c r="Z411" s="224"/>
      <c r="AA411" s="224"/>
      <c r="AB411" s="224"/>
    </row>
    <row r="412" spans="1:28" ht="15.75" customHeight="1">
      <c r="A412" s="248">
        <v>44782</v>
      </c>
      <c r="B412" s="219" t="s">
        <v>2090</v>
      </c>
      <c r="C412" s="250">
        <v>3.25</v>
      </c>
      <c r="D412" s="250"/>
      <c r="E412" s="219" t="s">
        <v>2093</v>
      </c>
      <c r="F412" s="250" t="s">
        <v>5</v>
      </c>
      <c r="G412" s="219" t="s">
        <v>447</v>
      </c>
      <c r="H412" s="219" t="s">
        <v>10401</v>
      </c>
      <c r="I412" s="219">
        <v>3.5</v>
      </c>
      <c r="J412" s="219" t="s">
        <v>449</v>
      </c>
      <c r="K412" s="219" t="s">
        <v>13400</v>
      </c>
      <c r="L412" s="219">
        <v>3</v>
      </c>
      <c r="M412" s="219" t="s">
        <v>451</v>
      </c>
      <c r="N412" s="219">
        <v>2500000</v>
      </c>
      <c r="O412" s="219" t="s">
        <v>465</v>
      </c>
      <c r="P412" s="219" t="s">
        <v>2096</v>
      </c>
      <c r="Q412" s="219"/>
      <c r="R412" s="219" t="s">
        <v>24</v>
      </c>
      <c r="S412" s="219"/>
      <c r="T412" s="219"/>
      <c r="U412" s="252"/>
      <c r="V412" s="252"/>
      <c r="W412" s="252"/>
      <c r="X412" s="219"/>
      <c r="Y412" s="219"/>
      <c r="Z412" s="219"/>
      <c r="AA412" s="219"/>
      <c r="AB412" s="219"/>
    </row>
    <row r="413" spans="1:28" ht="15.75" hidden="1" customHeight="1">
      <c r="A413" s="255">
        <v>44782</v>
      </c>
      <c r="B413" s="239" t="s">
        <v>102</v>
      </c>
      <c r="C413" s="249">
        <v>3.25</v>
      </c>
      <c r="D413" s="249"/>
      <c r="E413" s="239" t="s">
        <v>9450</v>
      </c>
      <c r="F413" s="250" t="s">
        <v>3</v>
      </c>
      <c r="G413" s="239" t="s">
        <v>460</v>
      </c>
      <c r="H413" s="239" t="s">
        <v>9451</v>
      </c>
      <c r="I413" s="239">
        <v>3</v>
      </c>
      <c r="J413" s="239" t="s">
        <v>941</v>
      </c>
      <c r="K413" s="239"/>
      <c r="L413" s="239">
        <v>3.5</v>
      </c>
      <c r="M413" s="239" t="s">
        <v>451</v>
      </c>
      <c r="N413" s="239">
        <v>1000000</v>
      </c>
      <c r="O413" s="239" t="s">
        <v>452</v>
      </c>
      <c r="P413" s="239" t="s">
        <v>11537</v>
      </c>
      <c r="Q413" s="239"/>
      <c r="R413" s="239" t="s">
        <v>19</v>
      </c>
      <c r="S413" s="256" t="s">
        <v>9453</v>
      </c>
      <c r="T413" s="256"/>
      <c r="U413" s="239"/>
      <c r="V413" s="239"/>
      <c r="W413" s="239"/>
      <c r="X413" s="239"/>
      <c r="Y413" s="239"/>
      <c r="Z413" s="239"/>
      <c r="AA413" s="239"/>
      <c r="AB413" s="239"/>
    </row>
    <row r="414" spans="1:28" ht="15.75" hidden="1" customHeight="1">
      <c r="A414" s="516">
        <v>44782</v>
      </c>
      <c r="B414" s="504" t="s">
        <v>155</v>
      </c>
      <c r="C414" s="504">
        <v>3.25</v>
      </c>
      <c r="D414" s="504"/>
      <c r="E414" s="504" t="s">
        <v>10478</v>
      </c>
      <c r="F414" s="504" t="s">
        <v>4</v>
      </c>
      <c r="G414" s="504" t="s">
        <v>447</v>
      </c>
      <c r="H414" s="504" t="s">
        <v>10479</v>
      </c>
      <c r="I414" s="504">
        <v>3.5</v>
      </c>
      <c r="J414" s="504" t="s">
        <v>543</v>
      </c>
      <c r="K414" s="504" t="s">
        <v>10480</v>
      </c>
      <c r="L414" s="504">
        <v>3</v>
      </c>
      <c r="M414" s="504" t="s">
        <v>478</v>
      </c>
      <c r="N414" s="504" t="s">
        <v>9403</v>
      </c>
      <c r="O414" s="504" t="s">
        <v>452</v>
      </c>
      <c r="P414" s="504" t="s">
        <v>452</v>
      </c>
      <c r="Q414" s="504"/>
      <c r="R414" s="504" t="s">
        <v>19</v>
      </c>
      <c r="S414" s="517" t="s">
        <v>2260</v>
      </c>
      <c r="T414" s="517"/>
      <c r="U414" s="504"/>
      <c r="V414" s="504"/>
      <c r="W414" s="504"/>
      <c r="X414" s="504"/>
      <c r="Y414" s="504"/>
      <c r="Z414" s="504"/>
      <c r="AA414" s="504"/>
      <c r="AB414" s="504"/>
    </row>
    <row r="415" spans="1:28" ht="15.75" customHeight="1">
      <c r="A415" s="253">
        <v>44782</v>
      </c>
      <c r="B415" s="224" t="s">
        <v>2301</v>
      </c>
      <c r="C415" s="250">
        <v>3.25</v>
      </c>
      <c r="D415" s="250"/>
      <c r="E415" s="224" t="s">
        <v>10482</v>
      </c>
      <c r="F415" s="250" t="s">
        <v>5</v>
      </c>
      <c r="G415" s="224" t="s">
        <v>447</v>
      </c>
      <c r="H415" s="224" t="s">
        <v>10483</v>
      </c>
      <c r="I415" s="224">
        <v>3</v>
      </c>
      <c r="J415" s="224" t="s">
        <v>543</v>
      </c>
      <c r="K415" s="224"/>
      <c r="L415" s="224">
        <v>3.5</v>
      </c>
      <c r="M415" s="224" t="s">
        <v>451</v>
      </c>
      <c r="N415" s="224" t="s">
        <v>2306</v>
      </c>
      <c r="O415" s="224" t="s">
        <v>452</v>
      </c>
      <c r="P415" s="224" t="s">
        <v>575</v>
      </c>
      <c r="Q415" s="224"/>
      <c r="R415" s="224" t="s">
        <v>24</v>
      </c>
      <c r="S415" s="224"/>
      <c r="T415" s="224"/>
      <c r="U415" s="252"/>
      <c r="V415" s="252"/>
      <c r="W415" s="252"/>
      <c r="X415" s="224"/>
      <c r="Y415" s="224"/>
      <c r="Z415" s="224"/>
      <c r="AA415" s="224"/>
      <c r="AB415" s="224"/>
    </row>
    <row r="416" spans="1:28" ht="15.75" hidden="1" customHeight="1">
      <c r="A416" s="248">
        <v>44782</v>
      </c>
      <c r="B416" s="219" t="s">
        <v>5011</v>
      </c>
      <c r="C416" s="249">
        <v>3.25</v>
      </c>
      <c r="D416" s="249"/>
      <c r="E416" s="219" t="s">
        <v>5014</v>
      </c>
      <c r="F416" s="250" t="s">
        <v>4</v>
      </c>
      <c r="G416" s="219" t="s">
        <v>602</v>
      </c>
      <c r="H416" s="219" t="s">
        <v>5015</v>
      </c>
      <c r="I416" s="219">
        <v>3.5</v>
      </c>
      <c r="J416" s="219" t="s">
        <v>1054</v>
      </c>
      <c r="K416" s="219" t="s">
        <v>5016</v>
      </c>
      <c r="L416" s="219">
        <v>3</v>
      </c>
      <c r="M416" s="219" t="s">
        <v>784</v>
      </c>
      <c r="N416" s="219">
        <v>500000</v>
      </c>
      <c r="O416" s="219" t="s">
        <v>452</v>
      </c>
      <c r="P416" s="219" t="s">
        <v>1119</v>
      </c>
      <c r="Q416" s="219"/>
      <c r="R416" s="219" t="s">
        <v>24</v>
      </c>
      <c r="S416" s="251"/>
      <c r="T416" s="251"/>
      <c r="U416" s="252"/>
      <c r="V416" s="252"/>
      <c r="W416" s="252"/>
      <c r="X416" s="219"/>
      <c r="Y416" s="219"/>
      <c r="Z416" s="219"/>
      <c r="AA416" s="219"/>
      <c r="AB416" s="219"/>
    </row>
    <row r="417" spans="1:28" ht="15.75" hidden="1" customHeight="1">
      <c r="A417" s="516">
        <v>44782</v>
      </c>
      <c r="B417" s="504" t="s">
        <v>147</v>
      </c>
      <c r="C417" s="504">
        <v>3.25</v>
      </c>
      <c r="D417" s="504"/>
      <c r="E417" s="504" t="s">
        <v>9391</v>
      </c>
      <c r="F417" s="504" t="s">
        <v>4</v>
      </c>
      <c r="G417" s="504" t="s">
        <v>447</v>
      </c>
      <c r="H417" s="504" t="s">
        <v>11205</v>
      </c>
      <c r="I417" s="504">
        <v>3</v>
      </c>
      <c r="J417" s="504" t="s">
        <v>543</v>
      </c>
      <c r="K417" s="504" t="s">
        <v>13400</v>
      </c>
      <c r="L417" s="504">
        <v>3.5</v>
      </c>
      <c r="M417" s="504" t="s">
        <v>478</v>
      </c>
      <c r="N417" s="504">
        <v>3000000</v>
      </c>
      <c r="O417" s="504" t="s">
        <v>465</v>
      </c>
      <c r="P417" s="504" t="s">
        <v>11206</v>
      </c>
      <c r="Q417" s="504"/>
      <c r="R417" s="504" t="s">
        <v>19</v>
      </c>
      <c r="S417" s="517" t="s">
        <v>9395</v>
      </c>
      <c r="T417" s="517"/>
      <c r="U417" s="504"/>
      <c r="V417" s="504"/>
      <c r="W417" s="504"/>
      <c r="X417" s="504"/>
      <c r="Y417" s="504"/>
      <c r="Z417" s="504"/>
      <c r="AA417" s="504"/>
      <c r="AB417" s="504"/>
    </row>
    <row r="418" spans="1:28" ht="15.75" customHeight="1">
      <c r="A418" s="257">
        <v>44782</v>
      </c>
      <c r="B418" s="258" t="s">
        <v>3167</v>
      </c>
      <c r="C418" s="250">
        <v>3.25</v>
      </c>
      <c r="D418" s="250"/>
      <c r="E418" s="258" t="s">
        <v>3170</v>
      </c>
      <c r="F418" s="250" t="s">
        <v>5</v>
      </c>
      <c r="G418" s="258" t="s">
        <v>447</v>
      </c>
      <c r="H418" s="258" t="s">
        <v>11207</v>
      </c>
      <c r="I418" s="258">
        <v>3</v>
      </c>
      <c r="J418" s="258" t="s">
        <v>543</v>
      </c>
      <c r="K418" s="258" t="s">
        <v>3172</v>
      </c>
      <c r="L418" s="258">
        <v>3.5</v>
      </c>
      <c r="M418" s="258" t="s">
        <v>923</v>
      </c>
      <c r="N418" s="258">
        <v>10000000</v>
      </c>
      <c r="O418" s="258" t="s">
        <v>452</v>
      </c>
      <c r="P418" s="258" t="s">
        <v>3173</v>
      </c>
      <c r="Q418" s="258"/>
      <c r="R418" s="258" t="s">
        <v>24</v>
      </c>
      <c r="S418" s="258" t="s">
        <v>3174</v>
      </c>
      <c r="T418" s="258"/>
      <c r="U418" s="258"/>
      <c r="V418" s="258"/>
      <c r="W418" s="258"/>
      <c r="X418" s="258"/>
      <c r="Y418" s="258"/>
      <c r="Z418" s="258"/>
      <c r="AA418" s="258"/>
      <c r="AB418" s="258"/>
    </row>
    <row r="419" spans="1:28" ht="15.75" hidden="1" customHeight="1">
      <c r="A419" s="253">
        <v>44782</v>
      </c>
      <c r="B419" s="224" t="s">
        <v>4978</v>
      </c>
      <c r="C419" s="249">
        <v>3.25</v>
      </c>
      <c r="D419" s="249"/>
      <c r="E419" s="224" t="s">
        <v>4981</v>
      </c>
      <c r="F419" s="250" t="s">
        <v>4</v>
      </c>
      <c r="G419" s="224" t="s">
        <v>727</v>
      </c>
      <c r="H419" s="224" t="s">
        <v>11474</v>
      </c>
      <c r="I419" s="224">
        <v>3</v>
      </c>
      <c r="J419" s="224" t="s">
        <v>1054</v>
      </c>
      <c r="K419" s="224" t="s">
        <v>4983</v>
      </c>
      <c r="L419" s="224">
        <v>3.5</v>
      </c>
      <c r="M419" s="224" t="s">
        <v>451</v>
      </c>
      <c r="N419" s="224">
        <v>1500000</v>
      </c>
      <c r="O419" s="224" t="s">
        <v>465</v>
      </c>
      <c r="P419" s="224" t="s">
        <v>4984</v>
      </c>
      <c r="Q419" s="224"/>
      <c r="R419" s="224" t="s">
        <v>24</v>
      </c>
      <c r="S419" s="254"/>
      <c r="T419" s="254"/>
      <c r="U419" s="252"/>
      <c r="V419" s="252"/>
      <c r="W419" s="252"/>
      <c r="X419" s="224"/>
      <c r="Y419" s="224"/>
      <c r="Z419" s="224"/>
      <c r="AA419" s="224"/>
      <c r="AB419" s="224"/>
    </row>
    <row r="420" spans="1:28" ht="15.75" hidden="1" customHeight="1">
      <c r="A420" s="267">
        <v>44784</v>
      </c>
      <c r="B420" s="268" t="s">
        <v>5080</v>
      </c>
      <c r="C420" s="269">
        <v>3.25</v>
      </c>
      <c r="D420" s="269"/>
      <c r="E420" s="268" t="s">
        <v>10320</v>
      </c>
      <c r="F420" s="270" t="s">
        <v>4</v>
      </c>
      <c r="G420" s="268" t="s">
        <v>727</v>
      </c>
      <c r="H420" s="268" t="s">
        <v>10321</v>
      </c>
      <c r="I420" s="268">
        <v>3.5</v>
      </c>
      <c r="J420" s="268" t="s">
        <v>1054</v>
      </c>
      <c r="K420" s="268" t="s">
        <v>5085</v>
      </c>
      <c r="L420" s="268">
        <v>3</v>
      </c>
      <c r="M420" s="268" t="s">
        <v>451</v>
      </c>
      <c r="N420" s="268">
        <v>2500000</v>
      </c>
      <c r="O420" s="268" t="s">
        <v>452</v>
      </c>
      <c r="P420" s="268" t="s">
        <v>10322</v>
      </c>
      <c r="Q420" s="268" t="s">
        <v>727</v>
      </c>
      <c r="R420" s="268" t="s">
        <v>24</v>
      </c>
      <c r="S420" s="271"/>
      <c r="T420" s="271"/>
      <c r="U420" s="268"/>
      <c r="V420" s="268"/>
      <c r="W420" s="268"/>
      <c r="X420" s="268"/>
      <c r="Y420" s="268"/>
      <c r="Z420" s="219"/>
      <c r="AA420" s="219"/>
      <c r="AB420" s="219"/>
    </row>
    <row r="421" spans="1:28" ht="15.75" hidden="1" customHeight="1">
      <c r="A421" s="267">
        <v>44784</v>
      </c>
      <c r="B421" s="272" t="s">
        <v>5072</v>
      </c>
      <c r="C421" s="269">
        <v>3.25</v>
      </c>
      <c r="D421" s="269"/>
      <c r="E421" s="272" t="s">
        <v>5075</v>
      </c>
      <c r="F421" s="270" t="s">
        <v>4</v>
      </c>
      <c r="G421" s="272" t="s">
        <v>602</v>
      </c>
      <c r="H421" s="272" t="s">
        <v>5076</v>
      </c>
      <c r="I421" s="272">
        <v>3</v>
      </c>
      <c r="J421" s="272" t="s">
        <v>1054</v>
      </c>
      <c r="K421" s="272" t="s">
        <v>5077</v>
      </c>
      <c r="L421" s="272">
        <v>3.5</v>
      </c>
      <c r="M421" s="272"/>
      <c r="N421" s="272"/>
      <c r="O421" s="272" t="s">
        <v>465</v>
      </c>
      <c r="P421" s="272" t="s">
        <v>454</v>
      </c>
      <c r="Q421" s="272"/>
      <c r="R421" s="272" t="s">
        <v>24</v>
      </c>
      <c r="S421" s="274"/>
      <c r="T421" s="274"/>
      <c r="U421" s="272"/>
      <c r="V421" s="272"/>
      <c r="W421" s="272"/>
      <c r="X421" s="272"/>
      <c r="Y421" s="272"/>
      <c r="Z421" s="224"/>
      <c r="AA421" s="224"/>
      <c r="AB421" s="224"/>
    </row>
    <row r="422" spans="1:28" ht="15.75" customHeight="1">
      <c r="A422" s="497">
        <v>44791</v>
      </c>
      <c r="B422" s="489" t="s">
        <v>117</v>
      </c>
      <c r="C422" s="489">
        <v>3.25</v>
      </c>
      <c r="D422" s="250" t="str">
        <f ca="1">IFERROR(VLOOKUP(B422,'2022-2023 Third Reviews'!$C:$S,9,FALSE),"")</f>
        <v>Joshua Rubnitz
4</v>
      </c>
      <c r="E422" s="489" t="s">
        <v>838</v>
      </c>
      <c r="F422" s="489" t="s">
        <v>5</v>
      </c>
      <c r="G422" s="489" t="s">
        <v>447</v>
      </c>
      <c r="H422" s="489" t="s">
        <v>11116</v>
      </c>
      <c r="I422" s="489">
        <v>3</v>
      </c>
      <c r="J422" s="489" t="s">
        <v>449</v>
      </c>
      <c r="K422" s="489" t="s">
        <v>11814</v>
      </c>
      <c r="L422" s="489">
        <v>3.5</v>
      </c>
      <c r="M422" s="489"/>
      <c r="N422" s="489"/>
      <c r="O422" s="489" t="s">
        <v>452</v>
      </c>
      <c r="P422" s="489" t="s">
        <v>452</v>
      </c>
      <c r="Q422" s="489" t="s">
        <v>725</v>
      </c>
      <c r="R422" s="489" t="s">
        <v>18</v>
      </c>
      <c r="S422" s="489" t="s">
        <v>841</v>
      </c>
      <c r="T422" s="489" t="s">
        <v>13208</v>
      </c>
      <c r="U422" s="489"/>
      <c r="V422" s="489"/>
      <c r="W422" s="489"/>
      <c r="X422" s="489"/>
      <c r="Y422" s="489"/>
      <c r="Z422" s="489"/>
      <c r="AA422" s="489"/>
      <c r="AB422" s="489"/>
    </row>
    <row r="423" spans="1:28" ht="15.75" customHeight="1">
      <c r="A423" s="491">
        <v>44784</v>
      </c>
      <c r="B423" s="488" t="s">
        <v>3043</v>
      </c>
      <c r="C423" s="488">
        <v>3.25</v>
      </c>
      <c r="D423" s="488"/>
      <c r="E423" s="488" t="s">
        <v>3046</v>
      </c>
      <c r="F423" s="488" t="s">
        <v>5</v>
      </c>
      <c r="G423" s="488" t="s">
        <v>447</v>
      </c>
      <c r="H423" s="488" t="s">
        <v>10600</v>
      </c>
      <c r="I423" s="488">
        <v>3</v>
      </c>
      <c r="J423" s="488" t="s">
        <v>476</v>
      </c>
      <c r="K423" s="488" t="s">
        <v>11577</v>
      </c>
      <c r="L423" s="488">
        <v>3.5</v>
      </c>
      <c r="M423" s="488" t="s">
        <v>451</v>
      </c>
      <c r="N423" s="488">
        <v>1700000</v>
      </c>
      <c r="O423" s="488" t="s">
        <v>465</v>
      </c>
      <c r="P423" s="488" t="s">
        <v>575</v>
      </c>
      <c r="Q423" s="488"/>
      <c r="R423" s="488" t="s">
        <v>24</v>
      </c>
      <c r="S423" s="488" t="s">
        <v>3049</v>
      </c>
      <c r="T423" s="488"/>
      <c r="U423" s="488"/>
      <c r="V423" s="488"/>
      <c r="W423" s="488"/>
      <c r="X423" s="488"/>
      <c r="Y423" s="488"/>
      <c r="Z423" s="258"/>
      <c r="AA423" s="258"/>
      <c r="AB423" s="258"/>
    </row>
    <row r="424" spans="1:28" ht="15.75" customHeight="1">
      <c r="A424" s="507">
        <v>44776</v>
      </c>
      <c r="B424" s="358" t="s">
        <v>158</v>
      </c>
      <c r="C424" s="525">
        <v>3</v>
      </c>
      <c r="D424" s="250" t="str">
        <f ca="1">IFERROR(VLOOKUP(B424,'2022-2023 Third Reviews'!$C:$S,9,FALSE),"")</f>
        <v>Chris Millisits
2</v>
      </c>
      <c r="E424" s="358" t="s">
        <v>3509</v>
      </c>
      <c r="F424" s="525" t="s">
        <v>5</v>
      </c>
      <c r="G424" s="358" t="s">
        <v>447</v>
      </c>
      <c r="H424" s="358" t="s">
        <v>11853</v>
      </c>
      <c r="I424" s="358">
        <v>3.5</v>
      </c>
      <c r="J424" s="358" t="s">
        <v>476</v>
      </c>
      <c r="K424" s="358" t="s">
        <v>11854</v>
      </c>
      <c r="L424" s="358">
        <v>2.5</v>
      </c>
      <c r="M424" s="358"/>
      <c r="N424" s="358"/>
      <c r="O424" s="358" t="s">
        <v>452</v>
      </c>
      <c r="P424" s="358" t="s">
        <v>3512</v>
      </c>
      <c r="Q424" s="358"/>
      <c r="R424" s="480" t="s">
        <v>24</v>
      </c>
      <c r="S424" s="358" t="s">
        <v>3513</v>
      </c>
      <c r="T424" s="358" t="s">
        <v>11824</v>
      </c>
      <c r="U424" s="358"/>
      <c r="V424" s="358"/>
      <c r="W424" s="358"/>
      <c r="X424" s="354"/>
      <c r="Y424" s="354"/>
      <c r="Z424" s="354"/>
      <c r="AA424" s="354"/>
      <c r="AB424" s="354"/>
    </row>
    <row r="425" spans="1:28" ht="15.75" customHeight="1">
      <c r="A425" s="398">
        <v>44784</v>
      </c>
      <c r="B425" s="481" t="s">
        <v>2973</v>
      </c>
      <c r="C425" s="482">
        <v>3.25</v>
      </c>
      <c r="D425" s="482"/>
      <c r="E425" s="481" t="s">
        <v>2976</v>
      </c>
      <c r="F425" s="482" t="s">
        <v>5</v>
      </c>
      <c r="G425" s="481" t="s">
        <v>447</v>
      </c>
      <c r="H425" s="481" t="s">
        <v>10662</v>
      </c>
      <c r="I425" s="481">
        <v>3</v>
      </c>
      <c r="J425" s="481" t="s">
        <v>449</v>
      </c>
      <c r="K425" s="481" t="s">
        <v>11580</v>
      </c>
      <c r="L425" s="481">
        <v>3.5</v>
      </c>
      <c r="M425" s="481" t="s">
        <v>451</v>
      </c>
      <c r="N425" s="483">
        <v>3000000</v>
      </c>
      <c r="O425" s="481" t="s">
        <v>465</v>
      </c>
      <c r="P425" s="483" t="s">
        <v>10664</v>
      </c>
      <c r="Q425" s="481"/>
      <c r="R425" s="481" t="s">
        <v>24</v>
      </c>
      <c r="S425" s="481"/>
      <c r="T425" s="481"/>
      <c r="U425" s="481"/>
      <c r="V425" s="481"/>
      <c r="W425" s="481"/>
      <c r="X425" s="481"/>
      <c r="Y425" s="481"/>
      <c r="Z425" s="224"/>
      <c r="AA425" s="224"/>
      <c r="AB425" s="224"/>
    </row>
    <row r="426" spans="1:28" ht="15.75" customHeight="1">
      <c r="A426" s="398">
        <v>44784</v>
      </c>
      <c r="B426" s="505" t="s">
        <v>10708</v>
      </c>
      <c r="C426" s="482">
        <v>3.25</v>
      </c>
      <c r="D426" s="482"/>
      <c r="E426" s="505" t="s">
        <v>10709</v>
      </c>
      <c r="F426" s="482" t="s">
        <v>5</v>
      </c>
      <c r="G426" s="505" t="s">
        <v>447</v>
      </c>
      <c r="H426" s="505" t="s">
        <v>10710</v>
      </c>
      <c r="I426" s="505">
        <v>3</v>
      </c>
      <c r="J426" s="505" t="s">
        <v>543</v>
      </c>
      <c r="K426" s="505" t="s">
        <v>11581</v>
      </c>
      <c r="L426" s="505">
        <v>3.5</v>
      </c>
      <c r="M426" s="505"/>
      <c r="N426" s="505"/>
      <c r="O426" s="505" t="s">
        <v>452</v>
      </c>
      <c r="P426" s="505" t="s">
        <v>2451</v>
      </c>
      <c r="Q426" s="505"/>
      <c r="R426" s="505" t="s">
        <v>24</v>
      </c>
      <c r="S426" s="505"/>
      <c r="T426" s="505"/>
      <c r="U426" s="505"/>
      <c r="V426" s="505"/>
      <c r="W426" s="505"/>
      <c r="X426" s="505"/>
      <c r="Y426" s="505"/>
      <c r="Z426" s="219"/>
      <c r="AA426" s="219"/>
      <c r="AB426" s="219"/>
    </row>
    <row r="427" spans="1:28" ht="15.75" hidden="1" customHeight="1">
      <c r="A427" s="267">
        <v>44784</v>
      </c>
      <c r="B427" s="272" t="s">
        <v>5096</v>
      </c>
      <c r="C427" s="269">
        <v>3.25</v>
      </c>
      <c r="D427" s="269"/>
      <c r="E427" s="272" t="s">
        <v>5099</v>
      </c>
      <c r="F427" s="270" t="s">
        <v>4</v>
      </c>
      <c r="G427" s="272" t="s">
        <v>727</v>
      </c>
      <c r="H427" s="272" t="s">
        <v>10720</v>
      </c>
      <c r="I427" s="272">
        <v>3</v>
      </c>
      <c r="J427" s="272" t="s">
        <v>1054</v>
      </c>
      <c r="K427" s="272" t="s">
        <v>5101</v>
      </c>
      <c r="L427" s="272">
        <v>3.5</v>
      </c>
      <c r="M427" s="272" t="s">
        <v>451</v>
      </c>
      <c r="N427" s="273">
        <v>300000</v>
      </c>
      <c r="O427" s="272" t="s">
        <v>454</v>
      </c>
      <c r="P427" s="273" t="s">
        <v>452</v>
      </c>
      <c r="Q427" s="272"/>
      <c r="R427" s="272" t="s">
        <v>24</v>
      </c>
      <c r="S427" s="274"/>
      <c r="T427" s="274"/>
      <c r="U427" s="272"/>
      <c r="V427" s="272"/>
      <c r="W427" s="272"/>
      <c r="X427" s="272"/>
      <c r="Y427" s="272"/>
      <c r="Z427" s="224"/>
      <c r="AA427" s="224"/>
      <c r="AB427" s="224"/>
    </row>
    <row r="428" spans="1:28" ht="15.75" hidden="1" customHeight="1">
      <c r="A428" s="267">
        <v>44784</v>
      </c>
      <c r="B428" s="268" t="s">
        <v>5280</v>
      </c>
      <c r="C428" s="269">
        <v>3.25</v>
      </c>
      <c r="D428" s="269"/>
      <c r="E428" s="268" t="s">
        <v>5283</v>
      </c>
      <c r="F428" s="270" t="s">
        <v>4</v>
      </c>
      <c r="G428" s="268" t="s">
        <v>727</v>
      </c>
      <c r="H428" s="268" t="s">
        <v>10735</v>
      </c>
      <c r="I428" s="268">
        <v>3.5</v>
      </c>
      <c r="J428" s="268" t="s">
        <v>476</v>
      </c>
      <c r="K428" s="268" t="s">
        <v>11582</v>
      </c>
      <c r="L428" s="268">
        <v>3</v>
      </c>
      <c r="M428" s="268"/>
      <c r="N428" s="268"/>
      <c r="O428" s="268" t="s">
        <v>452</v>
      </c>
      <c r="P428" s="268" t="s">
        <v>5286</v>
      </c>
      <c r="Q428" s="268"/>
      <c r="R428" s="268" t="s">
        <v>24</v>
      </c>
      <c r="S428" s="271"/>
      <c r="T428" s="271"/>
      <c r="U428" s="268"/>
      <c r="V428" s="268"/>
      <c r="W428" s="268"/>
      <c r="X428" s="268"/>
      <c r="Y428" s="268"/>
      <c r="Z428" s="219"/>
      <c r="AA428" s="219"/>
      <c r="AB428" s="219"/>
    </row>
    <row r="429" spans="1:28" ht="15.75" hidden="1" customHeight="1">
      <c r="A429" s="267">
        <v>44784</v>
      </c>
      <c r="B429" s="272" t="s">
        <v>5064</v>
      </c>
      <c r="C429" s="269">
        <v>3.25</v>
      </c>
      <c r="D429" s="269"/>
      <c r="E429" s="272" t="s">
        <v>11452</v>
      </c>
      <c r="F429" s="270" t="s">
        <v>4</v>
      </c>
      <c r="G429" s="272" t="s">
        <v>602</v>
      </c>
      <c r="H429" s="272" t="s">
        <v>5068</v>
      </c>
      <c r="I429" s="272">
        <v>3</v>
      </c>
      <c r="J429" s="272" t="s">
        <v>1054</v>
      </c>
      <c r="K429" s="272" t="s">
        <v>5069</v>
      </c>
      <c r="L429" s="272">
        <v>3.5</v>
      </c>
      <c r="M429" s="272"/>
      <c r="N429" s="272"/>
      <c r="O429" s="272" t="s">
        <v>452</v>
      </c>
      <c r="P429" s="272" t="s">
        <v>5070</v>
      </c>
      <c r="Q429" s="272"/>
      <c r="R429" s="272" t="s">
        <v>24</v>
      </c>
      <c r="S429" s="274"/>
      <c r="T429" s="274"/>
      <c r="U429" s="272"/>
      <c r="V429" s="272"/>
      <c r="W429" s="272"/>
      <c r="X429" s="272"/>
      <c r="Y429" s="272"/>
      <c r="Z429" s="224"/>
      <c r="AA429" s="224"/>
      <c r="AB429" s="224"/>
    </row>
    <row r="430" spans="1:28" ht="15.75" customHeight="1">
      <c r="A430" s="255">
        <v>44789</v>
      </c>
      <c r="B430" s="239" t="s">
        <v>9584</v>
      </c>
      <c r="C430" s="239">
        <v>3.25</v>
      </c>
      <c r="D430" s="239"/>
      <c r="E430" s="239" t="s">
        <v>9587</v>
      </c>
      <c r="F430" s="239" t="s">
        <v>5</v>
      </c>
      <c r="G430" s="239" t="s">
        <v>460</v>
      </c>
      <c r="H430" s="239" t="s">
        <v>9588</v>
      </c>
      <c r="I430" s="239">
        <v>3.5</v>
      </c>
      <c r="J430" s="239" t="s">
        <v>488</v>
      </c>
      <c r="K430" s="239" t="s">
        <v>10204</v>
      </c>
      <c r="L430" s="239">
        <v>3</v>
      </c>
      <c r="M430" s="239"/>
      <c r="N430" s="239"/>
      <c r="O430" s="239" t="s">
        <v>454</v>
      </c>
      <c r="P430" s="239" t="s">
        <v>9590</v>
      </c>
      <c r="Q430" s="239"/>
      <c r="R430" s="239" t="s">
        <v>23</v>
      </c>
      <c r="S430" s="239" t="s">
        <v>9591</v>
      </c>
      <c r="T430" s="239"/>
      <c r="U430" s="239"/>
      <c r="V430" s="239"/>
      <c r="W430" s="239"/>
      <c r="X430" s="239"/>
      <c r="Y430" s="239"/>
      <c r="Z430" s="239"/>
      <c r="AA430" s="239"/>
      <c r="AB430" s="239"/>
    </row>
    <row r="431" spans="1:28" ht="15.75" customHeight="1">
      <c r="A431" s="253">
        <v>44789</v>
      </c>
      <c r="B431" s="224" t="s">
        <v>2273</v>
      </c>
      <c r="C431" s="250">
        <v>3.25</v>
      </c>
      <c r="D431" s="250"/>
      <c r="E431" s="224" t="s">
        <v>2276</v>
      </c>
      <c r="F431" s="250" t="s">
        <v>5</v>
      </c>
      <c r="G431" s="224" t="s">
        <v>447</v>
      </c>
      <c r="H431" s="224" t="s">
        <v>10237</v>
      </c>
      <c r="I431" s="224">
        <v>3</v>
      </c>
      <c r="J431" s="224" t="s">
        <v>543</v>
      </c>
      <c r="K431" s="224" t="s">
        <v>13400</v>
      </c>
      <c r="L431" s="224">
        <v>3.5</v>
      </c>
      <c r="M431" s="224" t="s">
        <v>784</v>
      </c>
      <c r="N431" s="224">
        <v>400000</v>
      </c>
      <c r="O431" s="224" t="s">
        <v>452</v>
      </c>
      <c r="P431" s="224" t="s">
        <v>10239</v>
      </c>
      <c r="Q431" s="224" t="s">
        <v>1066</v>
      </c>
      <c r="R431" s="224" t="s">
        <v>24</v>
      </c>
      <c r="S431" s="224"/>
      <c r="T431" s="224"/>
      <c r="U431" s="252"/>
      <c r="V431" s="252"/>
      <c r="W431" s="252"/>
      <c r="X431" s="224"/>
      <c r="Y431" s="224"/>
      <c r="Z431" s="224"/>
      <c r="AA431" s="224"/>
      <c r="AB431" s="224"/>
    </row>
    <row r="432" spans="1:28" ht="15.75" customHeight="1">
      <c r="A432" s="257">
        <v>44789</v>
      </c>
      <c r="B432" s="258" t="s">
        <v>3087</v>
      </c>
      <c r="C432" s="258">
        <v>3.25</v>
      </c>
      <c r="D432" s="258"/>
      <c r="E432" s="258" t="s">
        <v>3090</v>
      </c>
      <c r="F432" s="258" t="s">
        <v>5</v>
      </c>
      <c r="G432" s="258" t="s">
        <v>622</v>
      </c>
      <c r="H432" s="258" t="s">
        <v>10283</v>
      </c>
      <c r="I432" s="258">
        <v>3</v>
      </c>
      <c r="J432" s="258" t="s">
        <v>449</v>
      </c>
      <c r="K432" s="258" t="s">
        <v>13400</v>
      </c>
      <c r="L432" s="258">
        <v>3.5</v>
      </c>
      <c r="M432" s="258" t="s">
        <v>451</v>
      </c>
      <c r="N432" s="309">
        <v>6000000</v>
      </c>
      <c r="O432" s="258" t="s">
        <v>465</v>
      </c>
      <c r="P432" s="258" t="s">
        <v>3093</v>
      </c>
      <c r="Q432" s="258"/>
      <c r="R432" s="258" t="s">
        <v>24</v>
      </c>
      <c r="S432" s="258" t="s">
        <v>3094</v>
      </c>
      <c r="T432" s="258"/>
      <c r="U432" s="258"/>
      <c r="V432" s="258"/>
      <c r="W432" s="258"/>
      <c r="X432" s="258"/>
      <c r="Y432" s="258"/>
      <c r="Z432" s="258"/>
      <c r="AA432" s="258"/>
      <c r="AB432" s="258"/>
    </row>
    <row r="433" spans="1:28" ht="15.75" hidden="1" customHeight="1">
      <c r="A433" s="253">
        <v>44789</v>
      </c>
      <c r="B433" s="224" t="s">
        <v>5005</v>
      </c>
      <c r="C433" s="249">
        <v>3.25</v>
      </c>
      <c r="D433" s="249"/>
      <c r="E433" s="224" t="s">
        <v>10508</v>
      </c>
      <c r="F433" s="250" t="s">
        <v>4</v>
      </c>
      <c r="G433" s="224" t="s">
        <v>727</v>
      </c>
      <c r="H433" s="224" t="s">
        <v>5009</v>
      </c>
      <c r="I433" s="224">
        <v>3</v>
      </c>
      <c r="J433" s="224" t="s">
        <v>622</v>
      </c>
      <c r="K433" s="224"/>
      <c r="L433" s="224">
        <v>3.5</v>
      </c>
      <c r="M433" s="224"/>
      <c r="N433" s="224"/>
      <c r="O433" s="224" t="s">
        <v>452</v>
      </c>
      <c r="P433" s="224" t="s">
        <v>452</v>
      </c>
      <c r="Q433" s="224"/>
      <c r="R433" s="224" t="s">
        <v>24</v>
      </c>
      <c r="S433" s="254"/>
      <c r="T433" s="254"/>
      <c r="U433" s="252"/>
      <c r="V433" s="252"/>
      <c r="W433" s="252"/>
      <c r="X433" s="224"/>
      <c r="Y433" s="224"/>
      <c r="Z433" s="224"/>
      <c r="AA433" s="224"/>
      <c r="AB433" s="224"/>
    </row>
    <row r="434" spans="1:28" ht="15.75" hidden="1" customHeight="1">
      <c r="A434" s="248">
        <v>44789</v>
      </c>
      <c r="B434" s="219" t="s">
        <v>10694</v>
      </c>
      <c r="C434" s="249">
        <v>3.25</v>
      </c>
      <c r="D434" s="249"/>
      <c r="E434" s="219" t="s">
        <v>5058</v>
      </c>
      <c r="F434" s="250" t="s">
        <v>4</v>
      </c>
      <c r="G434" s="219" t="s">
        <v>727</v>
      </c>
      <c r="H434" s="219" t="s">
        <v>10695</v>
      </c>
      <c r="I434" s="219">
        <v>3.5</v>
      </c>
      <c r="J434" s="219" t="s">
        <v>1045</v>
      </c>
      <c r="K434" s="219" t="s">
        <v>5060</v>
      </c>
      <c r="L434" s="219">
        <v>3</v>
      </c>
      <c r="M434" s="219"/>
      <c r="N434" s="219"/>
      <c r="O434" s="219" t="s">
        <v>452</v>
      </c>
      <c r="P434" s="219" t="s">
        <v>10696</v>
      </c>
      <c r="Q434" s="219" t="s">
        <v>725</v>
      </c>
      <c r="R434" s="219" t="s">
        <v>24</v>
      </c>
      <c r="S434" s="251"/>
      <c r="T434" s="251"/>
      <c r="U434" s="252"/>
      <c r="V434" s="252"/>
      <c r="W434" s="252"/>
      <c r="X434" s="219"/>
      <c r="Y434" s="219"/>
      <c r="Z434" s="219"/>
      <c r="AA434" s="219"/>
      <c r="AB434" s="219"/>
    </row>
    <row r="435" spans="1:28" ht="15.75" customHeight="1">
      <c r="A435" s="253">
        <v>44789</v>
      </c>
      <c r="B435" s="224" t="s">
        <v>3215</v>
      </c>
      <c r="C435" s="250">
        <v>3.25</v>
      </c>
      <c r="D435" s="250"/>
      <c r="E435" s="224" t="s">
        <v>10744</v>
      </c>
      <c r="F435" s="250" t="s">
        <v>5</v>
      </c>
      <c r="G435" s="224" t="s">
        <v>447</v>
      </c>
      <c r="H435" s="224" t="s">
        <v>10745</v>
      </c>
      <c r="I435" s="224">
        <v>3</v>
      </c>
      <c r="J435" s="224" t="s">
        <v>543</v>
      </c>
      <c r="K435" s="224" t="e">
        <f>+ Creates inspection robots for inaccessible places.
+small scale prototype in place
- Pilot is not in place and MVP should be started
- lot of work is already being done in terms of autonomous monitoring or remote monitoring of gas pipelines in arteria service-based company
+a robot that can switch between rolling on the ground or flying</f>
        <v>#NAME?</v>
      </c>
      <c r="L435" s="224">
        <v>3.5</v>
      </c>
      <c r="M435" s="224"/>
      <c r="N435" s="224"/>
      <c r="O435" s="224" t="s">
        <v>452</v>
      </c>
      <c r="P435" s="224" t="s">
        <v>3221</v>
      </c>
      <c r="Q435" s="224"/>
      <c r="R435" s="224" t="s">
        <v>24</v>
      </c>
      <c r="S435" s="224"/>
      <c r="T435" s="224"/>
      <c r="U435" s="252"/>
      <c r="V435" s="252"/>
      <c r="W435" s="252"/>
      <c r="X435" s="224"/>
      <c r="Y435" s="224"/>
      <c r="Z435" s="224"/>
      <c r="AA435" s="224"/>
      <c r="AB435" s="224"/>
    </row>
    <row r="436" spans="1:28" ht="15.75" customHeight="1">
      <c r="A436" s="248">
        <v>44789</v>
      </c>
      <c r="B436" s="219" t="s">
        <v>2990</v>
      </c>
      <c r="C436" s="250">
        <v>3.25</v>
      </c>
      <c r="D436" s="250"/>
      <c r="E436" s="219" t="s">
        <v>2993</v>
      </c>
      <c r="F436" s="250" t="s">
        <v>5</v>
      </c>
      <c r="G436" s="219" t="s">
        <v>447</v>
      </c>
      <c r="H436" s="219" t="s">
        <v>10795</v>
      </c>
      <c r="I436" s="219">
        <v>3</v>
      </c>
      <c r="J436" s="219" t="s">
        <v>449</v>
      </c>
      <c r="K436" s="219" t="e">
        <f>+Large well developed Team
+developed product
+already selling some gloves
-potential market not very Large</f>
        <v>#NAME?</v>
      </c>
      <c r="L436" s="219">
        <v>3.5</v>
      </c>
      <c r="M436" s="219" t="s">
        <v>2996</v>
      </c>
      <c r="N436" s="219" t="s">
        <v>2997</v>
      </c>
      <c r="O436" s="219" t="s">
        <v>452</v>
      </c>
      <c r="P436" s="219" t="s">
        <v>2998</v>
      </c>
      <c r="Q436" s="219"/>
      <c r="R436" s="219" t="s">
        <v>24</v>
      </c>
      <c r="S436" s="219"/>
      <c r="T436" s="219"/>
      <c r="U436" s="252"/>
      <c r="V436" s="252"/>
      <c r="W436" s="252"/>
      <c r="X436" s="219"/>
      <c r="Y436" s="219"/>
      <c r="Z436" s="219"/>
      <c r="AA436" s="219"/>
      <c r="AB436" s="219"/>
    </row>
    <row r="437" spans="1:28" ht="15.75" customHeight="1">
      <c r="A437" s="255">
        <v>44789</v>
      </c>
      <c r="B437" s="239" t="s">
        <v>3466</v>
      </c>
      <c r="C437" s="239">
        <v>3.25</v>
      </c>
      <c r="D437" s="239"/>
      <c r="E437" s="239" t="s">
        <v>11629</v>
      </c>
      <c r="F437" s="239" t="s">
        <v>5</v>
      </c>
      <c r="G437" s="239" t="s">
        <v>447</v>
      </c>
      <c r="H437" s="239" t="s">
        <v>11630</v>
      </c>
      <c r="I437" s="239">
        <v>3.5</v>
      </c>
      <c r="J437" s="239" t="s">
        <v>449</v>
      </c>
      <c r="K437" s="239" t="s">
        <v>11631</v>
      </c>
      <c r="L437" s="239">
        <v>3</v>
      </c>
      <c r="M437" s="239"/>
      <c r="N437" s="239"/>
      <c r="O437" s="239"/>
      <c r="P437" s="239"/>
      <c r="Q437" s="239"/>
      <c r="R437" s="239" t="s">
        <v>24</v>
      </c>
      <c r="S437" s="239" t="s">
        <v>3475</v>
      </c>
      <c r="T437" s="239"/>
      <c r="U437" s="239"/>
      <c r="V437" s="239"/>
      <c r="W437" s="239"/>
      <c r="X437" s="239"/>
      <c r="Y437" s="239"/>
      <c r="Z437" s="239"/>
      <c r="AA437" s="239"/>
      <c r="AB437" s="239"/>
    </row>
    <row r="438" spans="1:28" ht="15.75" customHeight="1">
      <c r="A438" s="248">
        <v>44789</v>
      </c>
      <c r="B438" s="219" t="s">
        <v>2660</v>
      </c>
      <c r="C438" s="250">
        <v>3.25</v>
      </c>
      <c r="D438" s="250"/>
      <c r="E438" s="219" t="s">
        <v>10849</v>
      </c>
      <c r="F438" s="250" t="s">
        <v>5</v>
      </c>
      <c r="G438" s="219" t="s">
        <v>447</v>
      </c>
      <c r="H438" s="219" t="s">
        <v>10850</v>
      </c>
      <c r="I438" s="219">
        <v>3</v>
      </c>
      <c r="J438" s="219" t="s">
        <v>543</v>
      </c>
      <c r="K438" s="219" t="s">
        <v>13400</v>
      </c>
      <c r="L438" s="219">
        <v>3.5</v>
      </c>
      <c r="M438" s="219" t="s">
        <v>451</v>
      </c>
      <c r="N438" s="310">
        <v>1500000</v>
      </c>
      <c r="O438" s="219" t="s">
        <v>465</v>
      </c>
      <c r="P438" s="219" t="s">
        <v>10852</v>
      </c>
      <c r="Q438" s="219"/>
      <c r="R438" s="219" t="s">
        <v>24</v>
      </c>
      <c r="S438" s="219"/>
      <c r="T438" s="219"/>
      <c r="U438" s="252"/>
      <c r="V438" s="252"/>
      <c r="W438" s="252"/>
      <c r="X438" s="219"/>
      <c r="Y438" s="219"/>
      <c r="Z438" s="219"/>
      <c r="AA438" s="219"/>
      <c r="AB438" s="219"/>
    </row>
    <row r="439" spans="1:28" ht="15.75" customHeight="1">
      <c r="A439" s="255">
        <v>44789</v>
      </c>
      <c r="B439" s="239" t="s">
        <v>2651</v>
      </c>
      <c r="C439" s="239">
        <v>3.25</v>
      </c>
      <c r="D439" s="239"/>
      <c r="E439" s="239" t="s">
        <v>2654</v>
      </c>
      <c r="F439" s="239" t="s">
        <v>5</v>
      </c>
      <c r="G439" s="239" t="s">
        <v>447</v>
      </c>
      <c r="H439" s="239" t="s">
        <v>10874</v>
      </c>
      <c r="I439" s="239">
        <v>3</v>
      </c>
      <c r="J439" s="239" t="s">
        <v>543</v>
      </c>
      <c r="K439" s="239" t="e">
        <f>+ Enhance hyperaccumulator plants that Have the ability to _xlnm.extract metals at low concentrations then harvest the biomass and transform it into metal
+Develop plants that Have the ability to absorb metals in soils
+Recover the metal from the biomass.</f>
        <v>#NAME?</v>
      </c>
      <c r="L439" s="239">
        <v>3.5</v>
      </c>
      <c r="M439" s="239"/>
      <c r="N439" s="239"/>
      <c r="O439" s="239" t="s">
        <v>452</v>
      </c>
      <c r="P439" s="239" t="s">
        <v>2657</v>
      </c>
      <c r="Q439" s="239"/>
      <c r="R439" s="239" t="s">
        <v>24</v>
      </c>
      <c r="S439" s="239"/>
      <c r="T439" s="239"/>
      <c r="U439" s="239"/>
      <c r="V439" s="239"/>
      <c r="W439" s="239"/>
      <c r="X439" s="239"/>
      <c r="Y439" s="239"/>
      <c r="Z439" s="239"/>
      <c r="AA439" s="239"/>
      <c r="AB439" s="239"/>
    </row>
    <row r="440" spans="1:28" ht="15.75" customHeight="1">
      <c r="A440" s="248">
        <v>44789</v>
      </c>
      <c r="B440" s="219" t="s">
        <v>2948</v>
      </c>
      <c r="C440" s="250">
        <v>3.25</v>
      </c>
      <c r="D440" s="250"/>
      <c r="E440" s="219" t="s">
        <v>2951</v>
      </c>
      <c r="F440" s="250" t="s">
        <v>5</v>
      </c>
      <c r="G440" s="219" t="s">
        <v>447</v>
      </c>
      <c r="H440" s="219" t="s">
        <v>10884</v>
      </c>
      <c r="I440" s="219">
        <v>3.5</v>
      </c>
      <c r="J440" s="219" t="s">
        <v>543</v>
      </c>
      <c r="K440" s="219" t="e">
        <f>+Develops zero-residue and edible coatings to protect fruits and
                                                                                                                                                                                                                                                                vegetables
- No customers yet
+ use very low doses of antimicrobials</f>
        <v>#NAME?</v>
      </c>
      <c r="L440" s="219">
        <v>3</v>
      </c>
      <c r="M440" s="219"/>
      <c r="N440" s="219"/>
      <c r="O440" s="219" t="s">
        <v>452</v>
      </c>
      <c r="P440" s="219" t="s">
        <v>2954</v>
      </c>
      <c r="Q440" s="219"/>
      <c r="R440" s="219" t="s">
        <v>24</v>
      </c>
      <c r="S440" s="219"/>
      <c r="T440" s="219"/>
      <c r="U440" s="252"/>
      <c r="V440" s="252"/>
      <c r="W440" s="252"/>
      <c r="X440" s="219"/>
      <c r="Y440" s="219"/>
      <c r="Z440" s="219"/>
      <c r="AA440" s="219"/>
      <c r="AB440" s="219"/>
    </row>
    <row r="441" spans="1:28" ht="15.75" hidden="1" customHeight="1">
      <c r="A441" s="253">
        <v>44789</v>
      </c>
      <c r="B441" s="224" t="s">
        <v>5037</v>
      </c>
      <c r="C441" s="249">
        <v>3.25</v>
      </c>
      <c r="D441" s="249"/>
      <c r="E441" s="224" t="s">
        <v>5040</v>
      </c>
      <c r="F441" s="250" t="s">
        <v>4</v>
      </c>
      <c r="G441" s="224" t="s">
        <v>602</v>
      </c>
      <c r="H441" s="224" t="s">
        <v>5041</v>
      </c>
      <c r="I441" s="224">
        <v>2.5</v>
      </c>
      <c r="J441" s="224" t="s">
        <v>1054</v>
      </c>
      <c r="K441" s="224" t="s">
        <v>10929</v>
      </c>
      <c r="L441" s="224">
        <v>4</v>
      </c>
      <c r="M441" s="224" t="s">
        <v>451</v>
      </c>
      <c r="N441" s="307">
        <v>2500000</v>
      </c>
      <c r="O441" s="224" t="s">
        <v>452</v>
      </c>
      <c r="P441" s="224" t="s">
        <v>5043</v>
      </c>
      <c r="Q441" s="224"/>
      <c r="R441" s="224" t="s">
        <v>24</v>
      </c>
      <c r="S441" s="254"/>
      <c r="T441" s="254"/>
      <c r="U441" s="252"/>
      <c r="V441" s="252"/>
      <c r="W441" s="252"/>
      <c r="X441" s="224"/>
      <c r="Y441" s="224"/>
      <c r="Z441" s="224"/>
      <c r="AA441" s="224"/>
      <c r="AB441" s="224"/>
    </row>
    <row r="442" spans="1:28" ht="15.75" hidden="1" customHeight="1">
      <c r="A442" s="248">
        <v>44789</v>
      </c>
      <c r="B442" s="219" t="s">
        <v>5027</v>
      </c>
      <c r="C442" s="249">
        <v>3.25</v>
      </c>
      <c r="D442" s="249"/>
      <c r="E442" s="219" t="s">
        <v>5030</v>
      </c>
      <c r="F442" s="250" t="s">
        <v>4</v>
      </c>
      <c r="G442" s="219" t="s">
        <v>602</v>
      </c>
      <c r="H442" s="219" t="s">
        <v>5031</v>
      </c>
      <c r="I442" s="219">
        <v>3</v>
      </c>
      <c r="J442" s="219" t="s">
        <v>1054</v>
      </c>
      <c r="K442" s="219" t="s">
        <v>5032</v>
      </c>
      <c r="L442" s="219">
        <v>3.5</v>
      </c>
      <c r="M442" s="219" t="s">
        <v>451</v>
      </c>
      <c r="N442" s="312">
        <v>2000000</v>
      </c>
      <c r="O442" s="219" t="s">
        <v>452</v>
      </c>
      <c r="P442" s="219" t="s">
        <v>10930</v>
      </c>
      <c r="Q442" s="219" t="s">
        <v>5034</v>
      </c>
      <c r="R442" s="219" t="s">
        <v>24</v>
      </c>
      <c r="S442" s="251"/>
      <c r="T442" s="251"/>
      <c r="U442" s="252"/>
      <c r="V442" s="252"/>
      <c r="W442" s="252"/>
      <c r="X442" s="219"/>
      <c r="Y442" s="219"/>
      <c r="Z442" s="219"/>
      <c r="AA442" s="219"/>
      <c r="AB442" s="219"/>
    </row>
    <row r="443" spans="1:28" ht="15.75" hidden="1" customHeight="1">
      <c r="A443" s="253">
        <v>44789</v>
      </c>
      <c r="B443" s="224" t="s">
        <v>5184</v>
      </c>
      <c r="C443" s="249">
        <v>3.25</v>
      </c>
      <c r="D443" s="249"/>
      <c r="E443" s="224" t="s">
        <v>5187</v>
      </c>
      <c r="F443" s="250" t="s">
        <v>4</v>
      </c>
      <c r="G443" s="224" t="s">
        <v>602</v>
      </c>
      <c r="H443" s="224" t="s">
        <v>5188</v>
      </c>
      <c r="I443" s="224">
        <v>3</v>
      </c>
      <c r="J443" s="224" t="s">
        <v>476</v>
      </c>
      <c r="K443" s="224" t="s">
        <v>13400</v>
      </c>
      <c r="L443" s="224">
        <v>3.5</v>
      </c>
      <c r="M443" s="224" t="s">
        <v>451</v>
      </c>
      <c r="N443" s="311">
        <v>500000</v>
      </c>
      <c r="O443" s="224" t="s">
        <v>452</v>
      </c>
      <c r="P443" s="224" t="s">
        <v>5190</v>
      </c>
      <c r="Q443" s="224"/>
      <c r="R443" s="224" t="s">
        <v>24</v>
      </c>
      <c r="S443" s="254"/>
      <c r="T443" s="254"/>
      <c r="U443" s="252"/>
      <c r="V443" s="252"/>
      <c r="W443" s="252"/>
      <c r="X443" s="224"/>
      <c r="Y443" s="224"/>
      <c r="Z443" s="224"/>
      <c r="AA443" s="224"/>
      <c r="AB443" s="224"/>
    </row>
    <row r="444" spans="1:28" ht="15.75" hidden="1" customHeight="1">
      <c r="A444" s="257">
        <v>44789</v>
      </c>
      <c r="B444" s="258" t="s">
        <v>9294</v>
      </c>
      <c r="C444" s="263">
        <v>3.25</v>
      </c>
      <c r="D444" s="263"/>
      <c r="E444" s="258" t="s">
        <v>11632</v>
      </c>
      <c r="F444" s="258" t="s">
        <v>3</v>
      </c>
      <c r="G444" s="258" t="s">
        <v>460</v>
      </c>
      <c r="H444" s="258" t="s">
        <v>9298</v>
      </c>
      <c r="I444" s="258">
        <v>3</v>
      </c>
      <c r="J444" s="258" t="s">
        <v>462</v>
      </c>
      <c r="K444" s="258" t="s">
        <v>9299</v>
      </c>
      <c r="L444" s="258">
        <v>3.5</v>
      </c>
      <c r="M444" s="258" t="s">
        <v>9300</v>
      </c>
      <c r="N444" s="258" t="s">
        <v>9301</v>
      </c>
      <c r="O444" s="258" t="s">
        <v>465</v>
      </c>
      <c r="P444" s="258" t="s">
        <v>452</v>
      </c>
      <c r="Q444" s="258"/>
      <c r="R444" s="258" t="s">
        <v>24</v>
      </c>
      <c r="S444" s="259" t="s">
        <v>9302</v>
      </c>
      <c r="T444" s="259"/>
      <c r="U444" s="258"/>
      <c r="V444" s="258"/>
      <c r="W444" s="258"/>
      <c r="X444" s="258"/>
      <c r="Y444" s="258"/>
      <c r="Z444" s="258"/>
      <c r="AA444" s="258"/>
      <c r="AB444" s="258"/>
    </row>
    <row r="445" spans="1:28" ht="15.75" hidden="1" customHeight="1">
      <c r="A445" s="253">
        <v>44789</v>
      </c>
      <c r="B445" s="224" t="s">
        <v>4969</v>
      </c>
      <c r="C445" s="249">
        <v>3.25</v>
      </c>
      <c r="D445" s="249"/>
      <c r="E445" s="224" t="s">
        <v>4972</v>
      </c>
      <c r="F445" s="250" t="s">
        <v>4</v>
      </c>
      <c r="G445" s="224" t="s">
        <v>602</v>
      </c>
      <c r="H445" s="224" t="s">
        <v>4973</v>
      </c>
      <c r="I445" s="224">
        <v>3</v>
      </c>
      <c r="J445" s="224" t="s">
        <v>476</v>
      </c>
      <c r="K445" s="224" t="s">
        <v>13400</v>
      </c>
      <c r="L445" s="224">
        <v>3.5</v>
      </c>
      <c r="M445" s="224" t="s">
        <v>451</v>
      </c>
      <c r="N445" s="307">
        <v>3000000</v>
      </c>
      <c r="O445" s="224" t="s">
        <v>452</v>
      </c>
      <c r="P445" s="224" t="s">
        <v>4975</v>
      </c>
      <c r="Q445" s="224"/>
      <c r="R445" s="224" t="s">
        <v>24</v>
      </c>
      <c r="S445" s="254"/>
      <c r="T445" s="254"/>
      <c r="U445" s="252"/>
      <c r="V445" s="252"/>
      <c r="W445" s="252"/>
      <c r="X445" s="224"/>
      <c r="Y445" s="224"/>
      <c r="Z445" s="224"/>
      <c r="AA445" s="224"/>
      <c r="AB445" s="224"/>
    </row>
    <row r="446" spans="1:28" ht="15.75" customHeight="1">
      <c r="A446" s="255">
        <v>44789</v>
      </c>
      <c r="B446" s="239" t="s">
        <v>2436</v>
      </c>
      <c r="C446" s="239">
        <v>3.25</v>
      </c>
      <c r="D446" s="239"/>
      <c r="E446" s="239" t="s">
        <v>11185</v>
      </c>
      <c r="F446" s="239" t="s">
        <v>5</v>
      </c>
      <c r="G446" s="239" t="s">
        <v>447</v>
      </c>
      <c r="H446" s="239" t="s">
        <v>11186</v>
      </c>
      <c r="I446" s="239">
        <v>3.5</v>
      </c>
      <c r="J446" s="239" t="s">
        <v>449</v>
      </c>
      <c r="K446" s="239" t="e">
        <f>+Working MVP
+Team Have had exits from successful startups
-No customers
-Too early for EFL</f>
        <v>#NAME?</v>
      </c>
      <c r="L446" s="239">
        <v>3</v>
      </c>
      <c r="M446" s="239" t="s">
        <v>478</v>
      </c>
      <c r="N446" s="314">
        <v>8000000</v>
      </c>
      <c r="O446" s="239" t="s">
        <v>465</v>
      </c>
      <c r="P446" s="239" t="s">
        <v>2442</v>
      </c>
      <c r="Q446" s="239"/>
      <c r="R446" s="239" t="s">
        <v>24</v>
      </c>
      <c r="S446" s="239"/>
      <c r="T446" s="239"/>
      <c r="U446" s="239"/>
      <c r="V446" s="239"/>
      <c r="W446" s="239"/>
      <c r="X446" s="239"/>
      <c r="Y446" s="239"/>
      <c r="Z446" s="239"/>
      <c r="AA446" s="239"/>
      <c r="AB446" s="239"/>
    </row>
    <row r="447" spans="1:28" ht="15.75" hidden="1" customHeight="1">
      <c r="A447" s="253">
        <v>44789</v>
      </c>
      <c r="B447" s="224" t="s">
        <v>5210</v>
      </c>
      <c r="C447" s="249">
        <v>3.25</v>
      </c>
      <c r="D447" s="249"/>
      <c r="E447" s="224" t="s">
        <v>5213</v>
      </c>
      <c r="F447" s="250" t="s">
        <v>4</v>
      </c>
      <c r="G447" s="224" t="s">
        <v>727</v>
      </c>
      <c r="H447" s="224" t="s">
        <v>11449</v>
      </c>
      <c r="I447" s="224">
        <v>3.5</v>
      </c>
      <c r="J447" s="224" t="s">
        <v>1045</v>
      </c>
      <c r="K447" s="224" t="s">
        <v>5215</v>
      </c>
      <c r="L447" s="224">
        <v>3</v>
      </c>
      <c r="M447" s="224" t="s">
        <v>451</v>
      </c>
      <c r="N447" s="224">
        <v>3600000</v>
      </c>
      <c r="O447" s="224" t="s">
        <v>465</v>
      </c>
      <c r="P447" s="224" t="s">
        <v>452</v>
      </c>
      <c r="Q447" s="224"/>
      <c r="R447" s="224" t="s">
        <v>24</v>
      </c>
      <c r="S447" s="254"/>
      <c r="T447" s="254"/>
      <c r="U447" s="252"/>
      <c r="V447" s="252"/>
      <c r="W447" s="252"/>
      <c r="X447" s="224"/>
      <c r="Y447" s="224"/>
      <c r="Z447" s="224"/>
      <c r="AA447" s="224"/>
      <c r="AB447" s="224"/>
    </row>
    <row r="448" spans="1:28" ht="15.75" customHeight="1">
      <c r="A448" s="248">
        <v>44789</v>
      </c>
      <c r="B448" s="219" t="s">
        <v>2587</v>
      </c>
      <c r="C448" s="250">
        <v>3.25</v>
      </c>
      <c r="D448" s="250"/>
      <c r="E448" s="219" t="s">
        <v>2590</v>
      </c>
      <c r="F448" s="250" t="s">
        <v>5</v>
      </c>
      <c r="G448" s="219" t="s">
        <v>447</v>
      </c>
      <c r="H448" s="219" t="s">
        <v>10834</v>
      </c>
      <c r="I448" s="219">
        <v>3.5</v>
      </c>
      <c r="J448" s="219" t="s">
        <v>449</v>
      </c>
      <c r="K448" s="219" t="e">
        <f>+Credible Team
+Novel technology
-Might be to early for EFL</f>
        <v>#NAME?</v>
      </c>
      <c r="L448" s="219">
        <v>3</v>
      </c>
      <c r="M448" s="219" t="s">
        <v>2152</v>
      </c>
      <c r="N448" s="219" t="s">
        <v>2593</v>
      </c>
      <c r="O448" s="219" t="s">
        <v>452</v>
      </c>
      <c r="P448" s="219" t="s">
        <v>2594</v>
      </c>
      <c r="Q448" s="219"/>
      <c r="R448" s="219" t="s">
        <v>24</v>
      </c>
      <c r="S448" s="219"/>
      <c r="T448" s="219"/>
      <c r="U448" s="252"/>
      <c r="V448" s="252"/>
      <c r="W448" s="252"/>
      <c r="X448" s="219"/>
      <c r="Y448" s="219"/>
      <c r="Z448" s="219"/>
      <c r="AA448" s="219"/>
      <c r="AB448" s="219"/>
    </row>
    <row r="449" spans="1:28" ht="15.75" hidden="1" customHeight="1">
      <c r="A449" s="253">
        <v>44789</v>
      </c>
      <c r="B449" s="224" t="s">
        <v>5218</v>
      </c>
      <c r="C449" s="249">
        <v>3.25</v>
      </c>
      <c r="D449" s="249"/>
      <c r="E449" s="224" t="s">
        <v>5221</v>
      </c>
      <c r="F449" s="250" t="s">
        <v>4</v>
      </c>
      <c r="G449" s="224" t="s">
        <v>602</v>
      </c>
      <c r="H449" s="224" t="s">
        <v>5222</v>
      </c>
      <c r="I449" s="224">
        <v>3</v>
      </c>
      <c r="J449" s="224" t="s">
        <v>1054</v>
      </c>
      <c r="K449" s="224" t="s">
        <v>5223</v>
      </c>
      <c r="L449" s="224">
        <v>3.5</v>
      </c>
      <c r="M449" s="224"/>
      <c r="N449" s="224"/>
      <c r="O449" s="224" t="s">
        <v>454</v>
      </c>
      <c r="P449" s="224" t="s">
        <v>5224</v>
      </c>
      <c r="Q449" s="224"/>
      <c r="R449" s="224" t="s">
        <v>24</v>
      </c>
      <c r="S449" s="254"/>
      <c r="T449" s="254"/>
      <c r="U449" s="252"/>
      <c r="V449" s="252"/>
      <c r="W449" s="252"/>
      <c r="X449" s="224"/>
      <c r="Y449" s="224"/>
      <c r="Z449" s="224"/>
      <c r="AA449" s="224"/>
      <c r="AB449" s="224"/>
    </row>
    <row r="450" spans="1:28" ht="15.75" hidden="1" customHeight="1">
      <c r="A450" s="257">
        <v>44791</v>
      </c>
      <c r="B450" s="258" t="s">
        <v>4960</v>
      </c>
      <c r="C450" s="263">
        <v>3.25</v>
      </c>
      <c r="D450" s="263"/>
      <c r="E450" s="258" t="s">
        <v>4963</v>
      </c>
      <c r="F450" s="258" t="s">
        <v>4</v>
      </c>
      <c r="G450" s="258" t="s">
        <v>727</v>
      </c>
      <c r="H450" s="258" t="s">
        <v>10293</v>
      </c>
      <c r="I450" s="258">
        <v>2.5</v>
      </c>
      <c r="J450" s="258" t="s">
        <v>990</v>
      </c>
      <c r="K450" s="258" t="s">
        <v>4965</v>
      </c>
      <c r="L450" s="258">
        <v>4</v>
      </c>
      <c r="M450" s="258" t="s">
        <v>451</v>
      </c>
      <c r="N450" s="258" t="s">
        <v>4966</v>
      </c>
      <c r="O450" s="258" t="s">
        <v>452</v>
      </c>
      <c r="P450" s="258" t="s">
        <v>452</v>
      </c>
      <c r="Q450" s="258"/>
      <c r="R450" s="258" t="s">
        <v>24</v>
      </c>
      <c r="S450" s="259" t="s">
        <v>4967</v>
      </c>
      <c r="T450" s="259"/>
      <c r="U450" s="258"/>
      <c r="V450" s="258"/>
      <c r="W450" s="258"/>
      <c r="X450" s="258"/>
      <c r="Y450" s="258"/>
      <c r="Z450" s="258"/>
      <c r="AA450" s="258"/>
      <c r="AB450" s="258"/>
    </row>
    <row r="451" spans="1:28" ht="15.75" hidden="1" customHeight="1">
      <c r="A451" s="253">
        <v>44791</v>
      </c>
      <c r="B451" s="224" t="s">
        <v>8341</v>
      </c>
      <c r="C451" s="316">
        <v>3.25</v>
      </c>
      <c r="D451" s="316"/>
      <c r="E451" s="224" t="s">
        <v>8344</v>
      </c>
      <c r="F451" s="224" t="s">
        <v>3</v>
      </c>
      <c r="G451" s="224" t="s">
        <v>725</v>
      </c>
      <c r="H451" s="224" t="s">
        <v>10577</v>
      </c>
      <c r="I451" s="224">
        <v>3.5</v>
      </c>
      <c r="J451" s="224" t="s">
        <v>488</v>
      </c>
      <c r="K451" s="224" t="s">
        <v>8346</v>
      </c>
      <c r="L451" s="224">
        <v>3</v>
      </c>
      <c r="M451" s="224"/>
      <c r="N451" s="224"/>
      <c r="O451" s="224" t="s">
        <v>452</v>
      </c>
      <c r="P451" s="224" t="s">
        <v>10578</v>
      </c>
      <c r="Q451" s="224"/>
      <c r="R451" s="322" t="s">
        <v>24</v>
      </c>
      <c r="S451" s="254"/>
      <c r="T451" s="254"/>
      <c r="U451" s="224"/>
      <c r="V451" s="224"/>
      <c r="W451" s="224"/>
      <c r="X451" s="224"/>
      <c r="Y451" s="224"/>
      <c r="Z451" s="224"/>
      <c r="AA451" s="224"/>
      <c r="AB451" s="224"/>
    </row>
    <row r="452" spans="1:28" ht="15.75" hidden="1" customHeight="1">
      <c r="A452" s="248">
        <v>44791</v>
      </c>
      <c r="B452" s="219" t="s">
        <v>5088</v>
      </c>
      <c r="C452" s="315">
        <v>3.25</v>
      </c>
      <c r="D452" s="315"/>
      <c r="E452" s="219" t="s">
        <v>5091</v>
      </c>
      <c r="F452" s="219" t="s">
        <v>4</v>
      </c>
      <c r="G452" s="219" t="s">
        <v>727</v>
      </c>
      <c r="H452" s="219" t="s">
        <v>10583</v>
      </c>
      <c r="I452" s="219">
        <v>3.5</v>
      </c>
      <c r="J452" s="219" t="s">
        <v>1187</v>
      </c>
      <c r="K452" s="219" t="s">
        <v>5093</v>
      </c>
      <c r="L452" s="219">
        <v>3</v>
      </c>
      <c r="M452" s="219"/>
      <c r="N452" s="312"/>
      <c r="O452" s="219" t="s">
        <v>452</v>
      </c>
      <c r="P452" s="219" t="s">
        <v>10584</v>
      </c>
      <c r="Q452" s="219"/>
      <c r="R452" s="322" t="s">
        <v>24</v>
      </c>
      <c r="S452" s="251"/>
      <c r="T452" s="251"/>
      <c r="U452" s="219"/>
      <c r="V452" s="219"/>
      <c r="W452" s="219"/>
      <c r="X452" s="219"/>
      <c r="Y452" s="219"/>
      <c r="Z452" s="219"/>
      <c r="AA452" s="219"/>
      <c r="AB452" s="219"/>
    </row>
    <row r="453" spans="1:28" ht="15.75" hidden="1" customHeight="1">
      <c r="A453" s="253">
        <v>44791</v>
      </c>
      <c r="B453" s="224" t="s">
        <v>8869</v>
      </c>
      <c r="C453" s="316">
        <v>3.25</v>
      </c>
      <c r="D453" s="316"/>
      <c r="E453" s="224" t="s">
        <v>8872</v>
      </c>
      <c r="F453" s="224" t="s">
        <v>3</v>
      </c>
      <c r="G453" s="224" t="s">
        <v>460</v>
      </c>
      <c r="H453" s="224" t="s">
        <v>8873</v>
      </c>
      <c r="I453" s="224">
        <v>3</v>
      </c>
      <c r="J453" s="224" t="s">
        <v>488</v>
      </c>
      <c r="K453" s="224"/>
      <c r="L453" s="224">
        <v>3.5</v>
      </c>
      <c r="M453" s="224" t="s">
        <v>8874</v>
      </c>
      <c r="N453" s="307">
        <v>5000000</v>
      </c>
      <c r="O453" s="224" t="s">
        <v>452</v>
      </c>
      <c r="P453" s="224" t="s">
        <v>452</v>
      </c>
      <c r="Q453" s="224"/>
      <c r="R453" s="322" t="s">
        <v>24</v>
      </c>
      <c r="S453" s="254"/>
      <c r="T453" s="254"/>
      <c r="U453" s="224"/>
      <c r="V453" s="224"/>
      <c r="W453" s="224"/>
      <c r="X453" s="224"/>
      <c r="Y453" s="224"/>
      <c r="Z453" s="224"/>
      <c r="AA453" s="224"/>
      <c r="AB453" s="224"/>
    </row>
    <row r="454" spans="1:28" ht="15.75" hidden="1" customHeight="1">
      <c r="A454" s="248">
        <v>44791</v>
      </c>
      <c r="B454" s="219" t="s">
        <v>8589</v>
      </c>
      <c r="C454" s="315">
        <v>3.25</v>
      </c>
      <c r="D454" s="315"/>
      <c r="E454" s="219" t="s">
        <v>10604</v>
      </c>
      <c r="F454" s="219" t="s">
        <v>3</v>
      </c>
      <c r="G454" s="219" t="s">
        <v>725</v>
      </c>
      <c r="H454" s="219" t="s">
        <v>10605</v>
      </c>
      <c r="I454" s="219">
        <v>3.5</v>
      </c>
      <c r="J454" s="219" t="s">
        <v>488</v>
      </c>
      <c r="K454" s="219" t="s">
        <v>8594</v>
      </c>
      <c r="L454" s="219">
        <v>3</v>
      </c>
      <c r="M454" s="219" t="s">
        <v>451</v>
      </c>
      <c r="N454" s="219" t="s">
        <v>4828</v>
      </c>
      <c r="O454" s="219" t="s">
        <v>452</v>
      </c>
      <c r="P454" s="219" t="s">
        <v>11678</v>
      </c>
      <c r="Q454" s="219"/>
      <c r="R454" s="322" t="s">
        <v>24</v>
      </c>
      <c r="S454" s="251"/>
      <c r="T454" s="251"/>
      <c r="U454" s="219"/>
      <c r="V454" s="219"/>
      <c r="W454" s="219"/>
      <c r="X454" s="219"/>
      <c r="Y454" s="219"/>
      <c r="Z454" s="219"/>
      <c r="AA454" s="219"/>
      <c r="AB454" s="219"/>
    </row>
    <row r="455" spans="1:28" ht="15.75" hidden="1" customHeight="1">
      <c r="A455" s="253">
        <v>44791</v>
      </c>
      <c r="B455" s="224" t="s">
        <v>8972</v>
      </c>
      <c r="C455" s="316">
        <v>3.25</v>
      </c>
      <c r="D455" s="316"/>
      <c r="E455" s="224" t="s">
        <v>8975</v>
      </c>
      <c r="F455" s="224" t="s">
        <v>3</v>
      </c>
      <c r="G455" s="224" t="s">
        <v>460</v>
      </c>
      <c r="H455" s="224" t="s">
        <v>8976</v>
      </c>
      <c r="I455" s="224">
        <v>3</v>
      </c>
      <c r="J455" s="224" t="s">
        <v>488</v>
      </c>
      <c r="K455" s="224" t="s">
        <v>8977</v>
      </c>
      <c r="L455" s="224">
        <v>3.5</v>
      </c>
      <c r="M455" s="224" t="s">
        <v>451</v>
      </c>
      <c r="N455" s="224">
        <v>5000000</v>
      </c>
      <c r="O455" s="224" t="s">
        <v>452</v>
      </c>
      <c r="P455" s="224" t="s">
        <v>8978</v>
      </c>
      <c r="Q455" s="224"/>
      <c r="R455" s="322" t="s">
        <v>24</v>
      </c>
      <c r="S455" s="254"/>
      <c r="T455" s="254"/>
      <c r="U455" s="224"/>
      <c r="V455" s="224"/>
      <c r="W455" s="224"/>
      <c r="X455" s="224"/>
      <c r="Y455" s="224"/>
      <c r="Z455" s="224"/>
      <c r="AA455" s="224"/>
      <c r="AB455" s="224"/>
    </row>
    <row r="456" spans="1:28" ht="15.75" hidden="1" customHeight="1">
      <c r="A456" s="248">
        <v>44791</v>
      </c>
      <c r="B456" s="219" t="s">
        <v>5130</v>
      </c>
      <c r="C456" s="315">
        <v>3.25</v>
      </c>
      <c r="D456" s="315"/>
      <c r="E456" s="219" t="s">
        <v>5133</v>
      </c>
      <c r="F456" s="219" t="s">
        <v>4</v>
      </c>
      <c r="G456" s="219" t="s">
        <v>725</v>
      </c>
      <c r="H456" s="219" t="s">
        <v>10867</v>
      </c>
      <c r="I456" s="219">
        <v>3.5</v>
      </c>
      <c r="J456" s="219" t="s">
        <v>1045</v>
      </c>
      <c r="K456" s="219" t="s">
        <v>5135</v>
      </c>
      <c r="L456" s="219">
        <v>3</v>
      </c>
      <c r="M456" s="219" t="s">
        <v>451</v>
      </c>
      <c r="N456" s="219">
        <v>3000000</v>
      </c>
      <c r="O456" s="219" t="s">
        <v>454</v>
      </c>
      <c r="P456" s="219" t="s">
        <v>10868</v>
      </c>
      <c r="Q456" s="219" t="s">
        <v>5137</v>
      </c>
      <c r="R456" s="322" t="s">
        <v>24</v>
      </c>
      <c r="S456" s="251"/>
      <c r="T456" s="251"/>
      <c r="U456" s="219"/>
      <c r="V456" s="219"/>
      <c r="W456" s="219"/>
      <c r="X456" s="219"/>
      <c r="Y456" s="219"/>
      <c r="Z456" s="219"/>
      <c r="AA456" s="219"/>
      <c r="AB456" s="219"/>
    </row>
    <row r="457" spans="1:28" ht="15.75" hidden="1" customHeight="1">
      <c r="A457" s="257">
        <v>44791</v>
      </c>
      <c r="B457" s="258" t="s">
        <v>5262</v>
      </c>
      <c r="C457" s="263">
        <v>3.25</v>
      </c>
      <c r="D457" s="263"/>
      <c r="E457" s="258" t="s">
        <v>5265</v>
      </c>
      <c r="F457" s="258" t="s">
        <v>4</v>
      </c>
      <c r="G457" s="258" t="s">
        <v>602</v>
      </c>
      <c r="H457" s="258" t="s">
        <v>5266</v>
      </c>
      <c r="I457" s="258">
        <v>4</v>
      </c>
      <c r="J457" s="258" t="s">
        <v>476</v>
      </c>
      <c r="K457" s="258" t="s">
        <v>11679</v>
      </c>
      <c r="L457" s="258">
        <v>2.5</v>
      </c>
      <c r="M457" s="258" t="s">
        <v>973</v>
      </c>
      <c r="N457" s="309">
        <v>50000000</v>
      </c>
      <c r="O457" s="258" t="s">
        <v>452</v>
      </c>
      <c r="P457" s="258" t="s">
        <v>452</v>
      </c>
      <c r="Q457" s="258"/>
      <c r="R457" s="258" t="s">
        <v>24</v>
      </c>
      <c r="S457" s="259" t="s">
        <v>5268</v>
      </c>
      <c r="T457" s="259"/>
      <c r="U457" s="258"/>
      <c r="V457" s="258"/>
      <c r="W457" s="258"/>
      <c r="X457" s="258"/>
      <c r="Y457" s="258"/>
      <c r="Z457" s="258"/>
      <c r="AA457" s="258"/>
      <c r="AB457" s="258"/>
    </row>
    <row r="458" spans="1:28" ht="15.75" customHeight="1">
      <c r="A458" s="248">
        <v>44791</v>
      </c>
      <c r="B458" s="219" t="s">
        <v>2895</v>
      </c>
      <c r="C458" s="219">
        <v>3.25</v>
      </c>
      <c r="D458" s="219"/>
      <c r="E458" s="219" t="s">
        <v>10908</v>
      </c>
      <c r="F458" s="219" t="s">
        <v>5</v>
      </c>
      <c r="G458" s="219" t="s">
        <v>447</v>
      </c>
      <c r="H458" s="219" t="s">
        <v>10909</v>
      </c>
      <c r="I458" s="219">
        <v>3</v>
      </c>
      <c r="J458" s="219" t="s">
        <v>543</v>
      </c>
      <c r="K458" s="219" t="s">
        <v>11680</v>
      </c>
      <c r="L458" s="219">
        <v>3.5</v>
      </c>
      <c r="M458" s="219" t="s">
        <v>451</v>
      </c>
      <c r="N458" s="312">
        <v>7000000</v>
      </c>
      <c r="O458" s="219" t="s">
        <v>452</v>
      </c>
      <c r="P458" s="219" t="s">
        <v>2901</v>
      </c>
      <c r="Q458" s="219"/>
      <c r="R458" s="322" t="s">
        <v>24</v>
      </c>
      <c r="S458" s="219"/>
      <c r="T458" s="219"/>
      <c r="U458" s="219"/>
      <c r="V458" s="219"/>
      <c r="W458" s="219"/>
      <c r="X458" s="219"/>
      <c r="Y458" s="219"/>
      <c r="Z458" s="219"/>
      <c r="AA458" s="219"/>
      <c r="AB458" s="219"/>
    </row>
    <row r="459" spans="1:28" ht="15.75" hidden="1" customHeight="1">
      <c r="A459" s="253">
        <v>44791</v>
      </c>
      <c r="B459" s="224" t="s">
        <v>5193</v>
      </c>
      <c r="C459" s="316">
        <v>3.25</v>
      </c>
      <c r="D459" s="316"/>
      <c r="E459" s="224" t="s">
        <v>5196</v>
      </c>
      <c r="F459" s="224" t="s">
        <v>4</v>
      </c>
      <c r="G459" s="224" t="s">
        <v>725</v>
      </c>
      <c r="H459" s="224" t="s">
        <v>10926</v>
      </c>
      <c r="I459" s="224">
        <v>3.5</v>
      </c>
      <c r="J459" s="224" t="s">
        <v>1045</v>
      </c>
      <c r="K459" s="224" t="s">
        <v>10927</v>
      </c>
      <c r="L459" s="224">
        <v>3</v>
      </c>
      <c r="M459" s="224"/>
      <c r="N459" s="224"/>
      <c r="O459" s="224" t="s">
        <v>454</v>
      </c>
      <c r="P459" s="224" t="s">
        <v>452</v>
      </c>
      <c r="Q459" s="224"/>
      <c r="R459" s="322" t="s">
        <v>24</v>
      </c>
      <c r="S459" s="254"/>
      <c r="T459" s="254"/>
      <c r="U459" s="224"/>
      <c r="V459" s="224"/>
      <c r="W459" s="224"/>
      <c r="X459" s="224"/>
      <c r="Y459" s="224"/>
      <c r="Z459" s="224"/>
      <c r="AA459" s="224"/>
      <c r="AB459" s="224"/>
    </row>
    <row r="460" spans="1:28" ht="15.75" customHeight="1">
      <c r="A460" s="248">
        <v>44791</v>
      </c>
      <c r="B460" s="219" t="s">
        <v>2344</v>
      </c>
      <c r="C460" s="219">
        <v>3.25</v>
      </c>
      <c r="D460" s="219"/>
      <c r="E460" s="219" t="s">
        <v>2347</v>
      </c>
      <c r="F460" s="219" t="s">
        <v>5</v>
      </c>
      <c r="G460" s="219" t="s">
        <v>447</v>
      </c>
      <c r="H460" s="219" t="s">
        <v>10934</v>
      </c>
      <c r="I460" s="219">
        <v>3.5</v>
      </c>
      <c r="J460" s="219" t="s">
        <v>449</v>
      </c>
      <c r="K460" s="219" t="s">
        <v>11681</v>
      </c>
      <c r="L460" s="219">
        <v>3</v>
      </c>
      <c r="M460" s="219" t="s">
        <v>451</v>
      </c>
      <c r="N460" s="219">
        <v>1500000</v>
      </c>
      <c r="O460" s="219" t="s">
        <v>452</v>
      </c>
      <c r="P460" s="219" t="s">
        <v>2350</v>
      </c>
      <c r="Q460" s="219"/>
      <c r="R460" s="322" t="s">
        <v>24</v>
      </c>
      <c r="S460" s="219"/>
      <c r="T460" s="219"/>
      <c r="U460" s="219"/>
      <c r="V460" s="219"/>
      <c r="W460" s="219"/>
      <c r="X460" s="219"/>
      <c r="Y460" s="219"/>
      <c r="Z460" s="219"/>
      <c r="AA460" s="219"/>
      <c r="AB460" s="219"/>
    </row>
    <row r="461" spans="1:28" ht="15.75" customHeight="1">
      <c r="A461" s="255">
        <v>44791</v>
      </c>
      <c r="B461" s="239" t="s">
        <v>10951</v>
      </c>
      <c r="C461" s="239">
        <v>3.25</v>
      </c>
      <c r="D461" s="239"/>
      <c r="E461" s="239" t="s">
        <v>2374</v>
      </c>
      <c r="F461" s="239" t="s">
        <v>5</v>
      </c>
      <c r="G461" s="239" t="s">
        <v>447</v>
      </c>
      <c r="H461" s="239" t="s">
        <v>10952</v>
      </c>
      <c r="I461" s="239">
        <v>3</v>
      </c>
      <c r="J461" s="239" t="s">
        <v>449</v>
      </c>
      <c r="K461" s="239" t="s">
        <v>11682</v>
      </c>
      <c r="L461" s="239">
        <v>3.5</v>
      </c>
      <c r="M461" s="239"/>
      <c r="N461" s="239"/>
      <c r="O461" s="239" t="s">
        <v>452</v>
      </c>
      <c r="P461" s="239" t="s">
        <v>10954</v>
      </c>
      <c r="Q461" s="239"/>
      <c r="R461" s="239" t="s">
        <v>24</v>
      </c>
      <c r="S461" s="239"/>
      <c r="T461" s="239"/>
      <c r="U461" s="239"/>
      <c r="V461" s="239"/>
      <c r="W461" s="239"/>
      <c r="X461" s="239"/>
      <c r="Y461" s="239"/>
      <c r="Z461" s="239"/>
      <c r="AA461" s="239"/>
      <c r="AB461" s="239"/>
    </row>
    <row r="462" spans="1:28" ht="15.75" customHeight="1">
      <c r="A462" s="255">
        <v>44791</v>
      </c>
      <c r="B462" s="239" t="s">
        <v>2156</v>
      </c>
      <c r="C462" s="239">
        <v>3.25</v>
      </c>
      <c r="D462" s="239"/>
      <c r="E462" s="239" t="s">
        <v>2159</v>
      </c>
      <c r="F462" s="239" t="s">
        <v>5</v>
      </c>
      <c r="G462" s="239" t="s">
        <v>447</v>
      </c>
      <c r="H462" s="239" t="s">
        <v>10981</v>
      </c>
      <c r="I462" s="239">
        <v>3.5</v>
      </c>
      <c r="J462" s="239" t="s">
        <v>543</v>
      </c>
      <c r="K462" s="239" t="s">
        <v>11683</v>
      </c>
      <c r="L462" s="239">
        <v>3</v>
      </c>
      <c r="M462" s="239" t="s">
        <v>478</v>
      </c>
      <c r="N462" s="314">
        <v>6000000</v>
      </c>
      <c r="O462" s="239" t="s">
        <v>452</v>
      </c>
      <c r="P462" s="239" t="s">
        <v>2162</v>
      </c>
      <c r="Q462" s="239"/>
      <c r="R462" s="239" t="s">
        <v>24</v>
      </c>
      <c r="S462" s="239"/>
      <c r="T462" s="239"/>
      <c r="U462" s="239"/>
      <c r="V462" s="239"/>
      <c r="W462" s="239"/>
      <c r="X462" s="239"/>
      <c r="Y462" s="239"/>
      <c r="Z462" s="239"/>
      <c r="AA462" s="239"/>
      <c r="AB462" s="239"/>
    </row>
    <row r="463" spans="1:28" ht="15.75" hidden="1" customHeight="1">
      <c r="A463" s="253">
        <v>44791</v>
      </c>
      <c r="B463" s="224" t="s">
        <v>5253</v>
      </c>
      <c r="C463" s="316">
        <v>3.25</v>
      </c>
      <c r="D463" s="316"/>
      <c r="E463" s="224" t="s">
        <v>5256</v>
      </c>
      <c r="F463" s="224" t="s">
        <v>4</v>
      </c>
      <c r="G463" s="224" t="s">
        <v>602</v>
      </c>
      <c r="H463" s="224" t="s">
        <v>5257</v>
      </c>
      <c r="I463" s="224">
        <v>3</v>
      </c>
      <c r="J463" s="224" t="s">
        <v>1054</v>
      </c>
      <c r="K463" s="224" t="s">
        <v>5258</v>
      </c>
      <c r="L463" s="224">
        <v>3.5</v>
      </c>
      <c r="M463" s="224"/>
      <c r="N463" s="307"/>
      <c r="O463" s="224" t="s">
        <v>452</v>
      </c>
      <c r="P463" s="224" t="s">
        <v>5259</v>
      </c>
      <c r="Q463" s="224"/>
      <c r="R463" s="322" t="s">
        <v>24</v>
      </c>
      <c r="S463" s="254"/>
      <c r="T463" s="254"/>
      <c r="U463" s="224"/>
      <c r="V463" s="224"/>
      <c r="W463" s="224"/>
      <c r="X463" s="224"/>
      <c r="Y463" s="224"/>
      <c r="Z463" s="224"/>
      <c r="AA463" s="224"/>
      <c r="AB463" s="224"/>
    </row>
    <row r="464" spans="1:28" ht="15.75" hidden="1" customHeight="1">
      <c r="A464" s="248">
        <v>44791</v>
      </c>
      <c r="B464" s="219" t="s">
        <v>8814</v>
      </c>
      <c r="C464" s="315">
        <v>3.25</v>
      </c>
      <c r="D464" s="315"/>
      <c r="E464" s="219" t="s">
        <v>8817</v>
      </c>
      <c r="F464" s="219" t="s">
        <v>3</v>
      </c>
      <c r="G464" s="219" t="s">
        <v>460</v>
      </c>
      <c r="H464" s="219" t="s">
        <v>8818</v>
      </c>
      <c r="I464" s="219">
        <v>3</v>
      </c>
      <c r="J464" s="219" t="s">
        <v>462</v>
      </c>
      <c r="K464" s="219" t="s">
        <v>8819</v>
      </c>
      <c r="L464" s="219">
        <v>3.5</v>
      </c>
      <c r="M464" s="219" t="s">
        <v>478</v>
      </c>
      <c r="N464" s="219" t="s">
        <v>8820</v>
      </c>
      <c r="O464" s="219" t="s">
        <v>452</v>
      </c>
      <c r="P464" s="219" t="s">
        <v>452</v>
      </c>
      <c r="Q464" s="219"/>
      <c r="R464" s="322" t="s">
        <v>24</v>
      </c>
      <c r="S464" s="251"/>
      <c r="T464" s="251"/>
      <c r="U464" s="219"/>
      <c r="V464" s="219"/>
      <c r="W464" s="219"/>
      <c r="X464" s="219"/>
      <c r="Y464" s="219"/>
      <c r="Z464" s="219"/>
      <c r="AA464" s="219"/>
      <c r="AB464" s="219"/>
    </row>
    <row r="465" spans="1:28" ht="15.75" hidden="1" customHeight="1">
      <c r="A465" s="257">
        <v>44791</v>
      </c>
      <c r="B465" s="258" t="s">
        <v>4996</v>
      </c>
      <c r="C465" s="263">
        <v>3.25</v>
      </c>
      <c r="D465" s="263"/>
      <c r="E465" s="258" t="s">
        <v>4999</v>
      </c>
      <c r="F465" s="258" t="s">
        <v>4</v>
      </c>
      <c r="G465" s="258" t="s">
        <v>602</v>
      </c>
      <c r="H465" s="258" t="s">
        <v>5000</v>
      </c>
      <c r="I465" s="258">
        <v>2.5</v>
      </c>
      <c r="J465" s="258" t="s">
        <v>990</v>
      </c>
      <c r="K465" s="258" t="s">
        <v>5001</v>
      </c>
      <c r="L465" s="258">
        <v>4</v>
      </c>
      <c r="M465" s="258" t="s">
        <v>451</v>
      </c>
      <c r="N465" s="261">
        <v>500000</v>
      </c>
      <c r="O465" s="258" t="s">
        <v>452</v>
      </c>
      <c r="P465" s="258" t="s">
        <v>5002</v>
      </c>
      <c r="Q465" s="258"/>
      <c r="R465" s="258" t="s">
        <v>24</v>
      </c>
      <c r="S465" s="259"/>
      <c r="T465" s="259"/>
      <c r="U465" s="258"/>
      <c r="V465" s="258"/>
      <c r="W465" s="258"/>
      <c r="X465" s="258"/>
      <c r="Y465" s="258"/>
      <c r="Z465" s="258"/>
      <c r="AA465" s="258"/>
      <c r="AB465" s="258"/>
    </row>
    <row r="466" spans="1:28" ht="15.75" hidden="1" customHeight="1">
      <c r="A466" s="248">
        <v>44791</v>
      </c>
      <c r="B466" s="219" t="s">
        <v>5019</v>
      </c>
      <c r="C466" s="315">
        <v>3.25</v>
      </c>
      <c r="D466" s="315"/>
      <c r="E466" s="219" t="s">
        <v>5022</v>
      </c>
      <c r="F466" s="219" t="s">
        <v>4</v>
      </c>
      <c r="G466" s="219" t="s">
        <v>602</v>
      </c>
      <c r="H466" s="219" t="s">
        <v>5023</v>
      </c>
      <c r="I466" s="219">
        <v>3.5</v>
      </c>
      <c r="J466" s="219" t="s">
        <v>1073</v>
      </c>
      <c r="K466" s="219"/>
      <c r="L466" s="219">
        <v>3</v>
      </c>
      <c r="M466" s="219" t="s">
        <v>451</v>
      </c>
      <c r="N466" s="312">
        <v>4000000</v>
      </c>
      <c r="O466" s="219" t="s">
        <v>452</v>
      </c>
      <c r="P466" s="219" t="s">
        <v>11005</v>
      </c>
      <c r="Q466" s="219"/>
      <c r="R466" s="322" t="s">
        <v>24</v>
      </c>
      <c r="S466" s="251"/>
      <c r="T466" s="251"/>
      <c r="U466" s="219"/>
      <c r="V466" s="219"/>
      <c r="W466" s="219"/>
      <c r="X466" s="219"/>
      <c r="Y466" s="219"/>
      <c r="Z466" s="219"/>
      <c r="AA466" s="219"/>
      <c r="AB466" s="219"/>
    </row>
    <row r="467" spans="1:28" ht="15.75" customHeight="1">
      <c r="A467" s="253">
        <v>44791</v>
      </c>
      <c r="B467" s="224" t="s">
        <v>3133</v>
      </c>
      <c r="C467" s="224">
        <v>3.25</v>
      </c>
      <c r="D467" s="224"/>
      <c r="E467" s="224" t="s">
        <v>3136</v>
      </c>
      <c r="F467" s="224" t="s">
        <v>5</v>
      </c>
      <c r="G467" s="224" t="s">
        <v>447</v>
      </c>
      <c r="H467" s="224" t="s">
        <v>11014</v>
      </c>
      <c r="I467" s="224">
        <v>3</v>
      </c>
      <c r="J467" s="224" t="s">
        <v>622</v>
      </c>
      <c r="K467" s="224"/>
      <c r="L467" s="224">
        <v>3.5</v>
      </c>
      <c r="M467" s="224" t="s">
        <v>3138</v>
      </c>
      <c r="N467" s="307">
        <v>2</v>
      </c>
      <c r="O467" s="224" t="s">
        <v>452</v>
      </c>
      <c r="P467" s="224" t="s">
        <v>452</v>
      </c>
      <c r="Q467" s="224"/>
      <c r="R467" s="322" t="s">
        <v>24</v>
      </c>
      <c r="S467" s="224"/>
      <c r="T467" s="224"/>
      <c r="U467" s="224"/>
      <c r="V467" s="224"/>
      <c r="W467" s="224"/>
      <c r="X467" s="224"/>
      <c r="Y467" s="224"/>
      <c r="Z467" s="224"/>
      <c r="AA467" s="224"/>
      <c r="AB467" s="224"/>
    </row>
    <row r="468" spans="1:28" ht="15.75" hidden="1" customHeight="1">
      <c r="A468" s="248">
        <v>44791</v>
      </c>
      <c r="B468" s="219" t="s">
        <v>9041</v>
      </c>
      <c r="C468" s="315">
        <v>3.25</v>
      </c>
      <c r="D468" s="315"/>
      <c r="E468" s="219" t="s">
        <v>9044</v>
      </c>
      <c r="F468" s="219" t="s">
        <v>3</v>
      </c>
      <c r="G468" s="219" t="s">
        <v>460</v>
      </c>
      <c r="H468" s="219" t="s">
        <v>9045</v>
      </c>
      <c r="I468" s="219">
        <v>3.5</v>
      </c>
      <c r="J468" s="219" t="s">
        <v>941</v>
      </c>
      <c r="K468" s="219" t="s">
        <v>9046</v>
      </c>
      <c r="L468" s="219">
        <v>3</v>
      </c>
      <c r="M468" s="219" t="s">
        <v>973</v>
      </c>
      <c r="N468" s="219" t="s">
        <v>9047</v>
      </c>
      <c r="O468" s="219" t="s">
        <v>452</v>
      </c>
      <c r="P468" s="219" t="s">
        <v>9048</v>
      </c>
      <c r="Q468" s="219"/>
      <c r="R468" s="322" t="s">
        <v>24</v>
      </c>
      <c r="S468" s="251"/>
      <c r="T468" s="251"/>
      <c r="U468" s="219"/>
      <c r="V468" s="219"/>
      <c r="W468" s="219"/>
      <c r="X468" s="219"/>
      <c r="Y468" s="219"/>
      <c r="Z468" s="219"/>
      <c r="AA468" s="219"/>
      <c r="AB468" s="219"/>
    </row>
    <row r="469" spans="1:28" ht="15.75" hidden="1" customHeight="1">
      <c r="A469" s="253">
        <v>44791</v>
      </c>
      <c r="B469" s="224" t="s">
        <v>5308</v>
      </c>
      <c r="C469" s="316">
        <v>3.25</v>
      </c>
      <c r="D469" s="316"/>
      <c r="E469" s="224" t="s">
        <v>11062</v>
      </c>
      <c r="F469" s="224" t="s">
        <v>4</v>
      </c>
      <c r="G469" s="224" t="s">
        <v>725</v>
      </c>
      <c r="H469" s="224" t="s">
        <v>11063</v>
      </c>
      <c r="I469" s="224">
        <v>3</v>
      </c>
      <c r="J469" s="224" t="s">
        <v>1054</v>
      </c>
      <c r="K469" s="224" t="s">
        <v>11064</v>
      </c>
      <c r="L469" s="224">
        <v>3.5</v>
      </c>
      <c r="M469" s="224" t="s">
        <v>784</v>
      </c>
      <c r="N469" s="224">
        <v>1800000</v>
      </c>
      <c r="O469" s="224" t="s">
        <v>454</v>
      </c>
      <c r="P469" s="224" t="s">
        <v>11065</v>
      </c>
      <c r="Q469" s="224" t="s">
        <v>5315</v>
      </c>
      <c r="R469" s="322" t="s">
        <v>24</v>
      </c>
      <c r="S469" s="254"/>
      <c r="T469" s="254"/>
      <c r="U469" s="224"/>
      <c r="V469" s="224"/>
      <c r="W469" s="224"/>
      <c r="X469" s="224"/>
      <c r="Y469" s="224"/>
      <c r="Z469" s="224"/>
      <c r="AA469" s="224"/>
      <c r="AB469" s="224"/>
    </row>
    <row r="470" spans="1:28" ht="15.75" hidden="1" customHeight="1">
      <c r="A470" s="257">
        <v>44791</v>
      </c>
      <c r="B470" s="258" t="s">
        <v>383</v>
      </c>
      <c r="C470" s="263">
        <v>3.25</v>
      </c>
      <c r="D470" s="263"/>
      <c r="E470" s="258" t="s">
        <v>9911</v>
      </c>
      <c r="F470" s="258" t="s">
        <v>3</v>
      </c>
      <c r="G470" s="258" t="s">
        <v>488</v>
      </c>
      <c r="H470" s="258" t="s">
        <v>11138</v>
      </c>
      <c r="I470" s="258">
        <v>3.5</v>
      </c>
      <c r="J470" s="258" t="s">
        <v>941</v>
      </c>
      <c r="K470" s="258" t="s">
        <v>9913</v>
      </c>
      <c r="L470" s="258">
        <v>3</v>
      </c>
      <c r="M470" s="258"/>
      <c r="N470" s="258"/>
      <c r="O470" s="258" t="s">
        <v>465</v>
      </c>
      <c r="P470" s="258" t="s">
        <v>9914</v>
      </c>
      <c r="Q470" s="258"/>
      <c r="R470" s="258" t="s">
        <v>19</v>
      </c>
      <c r="S470" s="259"/>
      <c r="T470" s="259"/>
      <c r="U470" s="258"/>
      <c r="V470" s="258"/>
      <c r="W470" s="258"/>
      <c r="X470" s="258"/>
      <c r="Y470" s="258"/>
      <c r="Z470" s="258"/>
      <c r="AA470" s="258"/>
      <c r="AB470" s="258"/>
    </row>
    <row r="471" spans="1:28" ht="15.75" hidden="1" customHeight="1">
      <c r="A471" s="255">
        <v>44791</v>
      </c>
      <c r="B471" s="239" t="s">
        <v>307</v>
      </c>
      <c r="C471" s="262">
        <v>3.25</v>
      </c>
      <c r="D471" s="262"/>
      <c r="E471" s="239" t="s">
        <v>9424</v>
      </c>
      <c r="F471" s="239" t="s">
        <v>4</v>
      </c>
      <c r="G471" s="239" t="s">
        <v>447</v>
      </c>
      <c r="H471" s="239" t="s">
        <v>11290</v>
      </c>
      <c r="I471" s="239">
        <v>3.5</v>
      </c>
      <c r="J471" s="239" t="s">
        <v>543</v>
      </c>
      <c r="K471" s="239" t="s">
        <v>11684</v>
      </c>
      <c r="L471" s="239">
        <v>3</v>
      </c>
      <c r="M471" s="239"/>
      <c r="N471" s="308"/>
      <c r="O471" s="239" t="s">
        <v>452</v>
      </c>
      <c r="P471" s="239" t="s">
        <v>452</v>
      </c>
      <c r="Q471" s="239"/>
      <c r="R471" s="239" t="s">
        <v>19</v>
      </c>
      <c r="S471" s="256" t="s">
        <v>9427</v>
      </c>
      <c r="T471" s="256"/>
      <c r="U471" s="239"/>
      <c r="V471" s="239"/>
      <c r="W471" s="239"/>
      <c r="X471" s="239"/>
      <c r="Y471" s="239"/>
      <c r="Z471" s="239"/>
      <c r="AA471" s="239"/>
      <c r="AB471" s="239"/>
    </row>
    <row r="472" spans="1:28" ht="15.75" customHeight="1">
      <c r="A472" s="255">
        <v>44791</v>
      </c>
      <c r="B472" s="239" t="s">
        <v>2174</v>
      </c>
      <c r="C472" s="239">
        <v>3.25</v>
      </c>
      <c r="D472" s="239"/>
      <c r="E472" s="239" t="s">
        <v>11685</v>
      </c>
      <c r="F472" s="239" t="s">
        <v>5</v>
      </c>
      <c r="G472" s="239" t="s">
        <v>5</v>
      </c>
      <c r="H472" s="239" t="s">
        <v>2177</v>
      </c>
      <c r="I472" s="239">
        <v>3.5</v>
      </c>
      <c r="J472" s="239" t="s">
        <v>941</v>
      </c>
      <c r="K472" s="239" t="s">
        <v>2178</v>
      </c>
      <c r="L472" s="239">
        <v>3</v>
      </c>
      <c r="M472" s="239" t="s">
        <v>2152</v>
      </c>
      <c r="N472" s="239" t="s">
        <v>2179</v>
      </c>
      <c r="O472" s="239" t="s">
        <v>452</v>
      </c>
      <c r="P472" s="239" t="s">
        <v>1119</v>
      </c>
      <c r="Q472" s="239" t="s">
        <v>2180</v>
      </c>
      <c r="R472" s="239" t="s">
        <v>24</v>
      </c>
      <c r="S472" s="239" t="s">
        <v>11686</v>
      </c>
      <c r="T472" s="239"/>
      <c r="U472" s="239"/>
      <c r="V472" s="239"/>
      <c r="W472" s="239"/>
      <c r="X472" s="239"/>
      <c r="Y472" s="239"/>
      <c r="Z472" s="239"/>
      <c r="AA472" s="239"/>
      <c r="AB472" s="239"/>
    </row>
    <row r="473" spans="1:28" ht="15.75" hidden="1" customHeight="1">
      <c r="A473" s="257">
        <v>44791</v>
      </c>
      <c r="B473" s="258" t="s">
        <v>9934</v>
      </c>
      <c r="C473" s="263">
        <v>3.25</v>
      </c>
      <c r="D473" s="263"/>
      <c r="E473" s="258" t="s">
        <v>9937</v>
      </c>
      <c r="F473" s="258" t="s">
        <v>3</v>
      </c>
      <c r="G473" s="258" t="s">
        <v>460</v>
      </c>
      <c r="H473" s="258" t="s">
        <v>9938</v>
      </c>
      <c r="I473" s="258">
        <v>3</v>
      </c>
      <c r="J473" s="258" t="s">
        <v>941</v>
      </c>
      <c r="K473" s="258" t="s">
        <v>9939</v>
      </c>
      <c r="L473" s="258">
        <v>3.5</v>
      </c>
      <c r="M473" s="258"/>
      <c r="N473" s="258"/>
      <c r="O473" s="258" t="s">
        <v>454</v>
      </c>
      <c r="P473" s="258" t="s">
        <v>10891</v>
      </c>
      <c r="Q473" s="258"/>
      <c r="R473" s="258" t="s">
        <v>23</v>
      </c>
      <c r="S473" s="259" t="s">
        <v>9941</v>
      </c>
      <c r="T473" s="259"/>
      <c r="U473" s="258"/>
      <c r="V473" s="258"/>
      <c r="W473" s="258"/>
      <c r="X473" s="258"/>
      <c r="Y473" s="258"/>
      <c r="Z473" s="258"/>
      <c r="AA473" s="258"/>
      <c r="AB473" s="258"/>
    </row>
    <row r="474" spans="1:28" ht="15.75" customHeight="1">
      <c r="A474" s="507">
        <v>44784</v>
      </c>
      <c r="B474" s="358" t="s">
        <v>9342</v>
      </c>
      <c r="C474" s="358">
        <v>3.25</v>
      </c>
      <c r="D474" s="250" t="str">
        <f>IFERROR(VLOOKUP(B474,'2022-2023 Third Reviews'!$C:$S,9,FALSE),"")</f>
        <v/>
      </c>
      <c r="E474" s="358" t="s">
        <v>9345</v>
      </c>
      <c r="F474" s="358" t="s">
        <v>5</v>
      </c>
      <c r="G474" s="358" t="s">
        <v>447</v>
      </c>
      <c r="H474" s="358" t="s">
        <v>10406</v>
      </c>
      <c r="I474" s="358">
        <v>3.5</v>
      </c>
      <c r="J474" s="358" t="s">
        <v>622</v>
      </c>
      <c r="K474" s="358" t="s">
        <v>10407</v>
      </c>
      <c r="L474" s="358">
        <v>3</v>
      </c>
      <c r="M474" s="358" t="s">
        <v>478</v>
      </c>
      <c r="N474" s="358" t="s">
        <v>9348</v>
      </c>
      <c r="O474" s="358" t="s">
        <v>452</v>
      </c>
      <c r="P474" s="358" t="s">
        <v>11576</v>
      </c>
      <c r="Q474" s="358" t="s">
        <v>1862</v>
      </c>
      <c r="R474" s="358" t="s">
        <v>24</v>
      </c>
      <c r="S474" s="358" t="s">
        <v>9350</v>
      </c>
      <c r="T474" s="358" t="s">
        <v>11836</v>
      </c>
      <c r="U474" s="358"/>
      <c r="V474" s="358"/>
      <c r="W474" s="358"/>
      <c r="X474" s="358"/>
      <c r="Y474" s="358"/>
      <c r="Z474" s="354"/>
      <c r="AA474" s="354"/>
      <c r="AB474" s="354"/>
    </row>
    <row r="475" spans="1:28" ht="15.75" hidden="1" customHeight="1">
      <c r="A475" s="253">
        <v>44796</v>
      </c>
      <c r="B475" s="224" t="s">
        <v>5289</v>
      </c>
      <c r="C475" s="316">
        <v>3.25</v>
      </c>
      <c r="D475" s="316"/>
      <c r="E475" s="224" t="s">
        <v>5292</v>
      </c>
      <c r="F475" s="224" t="s">
        <v>4</v>
      </c>
      <c r="G475" s="224" t="s">
        <v>727</v>
      </c>
      <c r="H475" s="224" t="s">
        <v>10294</v>
      </c>
      <c r="I475" s="224">
        <v>3.5</v>
      </c>
      <c r="J475" s="224" t="s">
        <v>1045</v>
      </c>
      <c r="K475" s="224" t="s">
        <v>5294</v>
      </c>
      <c r="L475" s="224">
        <v>3</v>
      </c>
      <c r="M475" s="224" t="s">
        <v>5295</v>
      </c>
      <c r="N475" s="224" t="s">
        <v>5296</v>
      </c>
      <c r="O475" s="224" t="s">
        <v>452</v>
      </c>
      <c r="P475" s="224" t="s">
        <v>452</v>
      </c>
      <c r="Q475" s="224" t="s">
        <v>460</v>
      </c>
      <c r="R475" s="224" t="s">
        <v>24</v>
      </c>
      <c r="S475" s="254"/>
      <c r="T475" s="254"/>
      <c r="U475" s="224"/>
      <c r="V475" s="224"/>
      <c r="W475" s="224"/>
      <c r="X475" s="224"/>
      <c r="Y475" s="224"/>
      <c r="Z475" s="224"/>
      <c r="AA475" s="224"/>
      <c r="AB475" s="224"/>
    </row>
    <row r="476" spans="1:28" ht="15.75" customHeight="1">
      <c r="A476" s="255">
        <v>44796</v>
      </c>
      <c r="B476" s="239" t="s">
        <v>2235</v>
      </c>
      <c r="C476" s="239">
        <v>3.25</v>
      </c>
      <c r="D476" s="239"/>
      <c r="E476" s="239" t="s">
        <v>2238</v>
      </c>
      <c r="F476" s="239" t="s">
        <v>5</v>
      </c>
      <c r="G476" s="239" t="s">
        <v>488</v>
      </c>
      <c r="H476" s="239"/>
      <c r="I476" s="239">
        <v>3</v>
      </c>
      <c r="J476" s="239" t="s">
        <v>941</v>
      </c>
      <c r="K476" s="239" t="s">
        <v>2239</v>
      </c>
      <c r="L476" s="239">
        <v>3.5</v>
      </c>
      <c r="M476" s="239" t="s">
        <v>451</v>
      </c>
      <c r="N476" s="239" t="s">
        <v>2240</v>
      </c>
      <c r="O476" s="239" t="s">
        <v>454</v>
      </c>
      <c r="P476" s="239" t="s">
        <v>10484</v>
      </c>
      <c r="Q476" s="239"/>
      <c r="R476" s="239" t="s">
        <v>24</v>
      </c>
      <c r="S476" s="239" t="s">
        <v>2242</v>
      </c>
      <c r="T476" s="239"/>
      <c r="U476" s="239"/>
      <c r="V476" s="239"/>
      <c r="W476" s="239"/>
      <c r="X476" s="239"/>
      <c r="Y476" s="239"/>
      <c r="Z476" s="239"/>
      <c r="AA476" s="239"/>
      <c r="AB476" s="239"/>
    </row>
    <row r="477" spans="1:28" ht="15.75" hidden="1" customHeight="1">
      <c r="A477" s="253">
        <v>44796</v>
      </c>
      <c r="B477" s="224" t="s">
        <v>8543</v>
      </c>
      <c r="C477" s="316">
        <v>3.25</v>
      </c>
      <c r="D477" s="316"/>
      <c r="E477" s="224" t="s">
        <v>8546</v>
      </c>
      <c r="F477" s="224" t="s">
        <v>3</v>
      </c>
      <c r="G477" s="224" t="s">
        <v>488</v>
      </c>
      <c r="H477" s="224"/>
      <c r="I477" s="224">
        <v>3</v>
      </c>
      <c r="J477" s="224" t="s">
        <v>941</v>
      </c>
      <c r="K477" s="224" t="s">
        <v>8547</v>
      </c>
      <c r="L477" s="224">
        <v>3.5</v>
      </c>
      <c r="M477" s="224" t="s">
        <v>973</v>
      </c>
      <c r="N477" s="224">
        <v>8000000</v>
      </c>
      <c r="O477" s="224" t="s">
        <v>452</v>
      </c>
      <c r="P477" s="224" t="s">
        <v>8548</v>
      </c>
      <c r="Q477" s="224"/>
      <c r="R477" s="224" t="s">
        <v>24</v>
      </c>
      <c r="S477" s="254"/>
      <c r="T477" s="254"/>
      <c r="U477" s="224"/>
      <c r="V477" s="224"/>
      <c r="W477" s="224"/>
      <c r="X477" s="224"/>
      <c r="Y477" s="224"/>
      <c r="Z477" s="224"/>
      <c r="AA477" s="224"/>
      <c r="AB477" s="224"/>
    </row>
    <row r="478" spans="1:28" ht="15.75" hidden="1" customHeight="1">
      <c r="A478" s="255">
        <v>44796</v>
      </c>
      <c r="B478" s="239" t="s">
        <v>9612</v>
      </c>
      <c r="C478" s="262">
        <v>3.25</v>
      </c>
      <c r="D478" s="262"/>
      <c r="E478" s="239" t="s">
        <v>9615</v>
      </c>
      <c r="F478" s="239" t="s">
        <v>4</v>
      </c>
      <c r="G478" s="239" t="s">
        <v>460</v>
      </c>
      <c r="H478" s="239" t="s">
        <v>9616</v>
      </c>
      <c r="I478" s="239">
        <v>3</v>
      </c>
      <c r="J478" s="239" t="s">
        <v>462</v>
      </c>
      <c r="K478" s="239" t="s">
        <v>9617</v>
      </c>
      <c r="L478" s="239">
        <v>3.5</v>
      </c>
      <c r="M478" s="239"/>
      <c r="N478" s="239"/>
      <c r="O478" s="239" t="s">
        <v>454</v>
      </c>
      <c r="P478" s="239" t="s">
        <v>10602</v>
      </c>
      <c r="Q478" s="239" t="s">
        <v>9619</v>
      </c>
      <c r="R478" s="239" t="s">
        <v>23</v>
      </c>
      <c r="S478" s="256" t="s">
        <v>9620</v>
      </c>
      <c r="T478" s="256"/>
      <c r="U478" s="239"/>
      <c r="V478" s="239"/>
      <c r="W478" s="239"/>
      <c r="X478" s="239"/>
      <c r="Y478" s="239"/>
      <c r="Z478" s="239"/>
      <c r="AA478" s="239"/>
      <c r="AB478" s="239"/>
    </row>
    <row r="479" spans="1:28" ht="15.75" hidden="1" customHeight="1">
      <c r="A479" s="253">
        <v>44796</v>
      </c>
      <c r="B479" s="224" t="s">
        <v>5147</v>
      </c>
      <c r="C479" s="316">
        <v>3.25</v>
      </c>
      <c r="D479" s="316"/>
      <c r="E479" s="224" t="s">
        <v>5150</v>
      </c>
      <c r="F479" s="224" t="s">
        <v>4</v>
      </c>
      <c r="G479" s="224" t="s">
        <v>727</v>
      </c>
      <c r="H479" s="224" t="s">
        <v>10691</v>
      </c>
      <c r="I479" s="224">
        <v>3</v>
      </c>
      <c r="J479" s="224" t="s">
        <v>1350</v>
      </c>
      <c r="K479" s="224" t="s">
        <v>5152</v>
      </c>
      <c r="L479" s="224">
        <v>3.5</v>
      </c>
      <c r="M479" s="224"/>
      <c r="N479" s="224"/>
      <c r="O479" s="224" t="s">
        <v>452</v>
      </c>
      <c r="P479" s="224" t="s">
        <v>5153</v>
      </c>
      <c r="Q479" s="224"/>
      <c r="R479" s="224" t="s">
        <v>24</v>
      </c>
      <c r="S479" s="254"/>
      <c r="T479" s="254"/>
      <c r="U479" s="224"/>
      <c r="V479" s="224"/>
      <c r="W479" s="224"/>
      <c r="X479" s="224"/>
      <c r="Y479" s="224"/>
      <c r="Z479" s="224"/>
      <c r="AA479" s="224"/>
      <c r="AB479" s="224"/>
    </row>
    <row r="480" spans="1:28" ht="15.75" hidden="1" customHeight="1">
      <c r="A480" s="257">
        <v>44796</v>
      </c>
      <c r="B480" s="258" t="s">
        <v>9825</v>
      </c>
      <c r="C480" s="263">
        <v>3.25</v>
      </c>
      <c r="D480" s="263"/>
      <c r="E480" s="258" t="s">
        <v>9828</v>
      </c>
      <c r="F480" s="258" t="s">
        <v>3</v>
      </c>
      <c r="G480" s="258" t="s">
        <v>488</v>
      </c>
      <c r="H480" s="258" t="s">
        <v>9829</v>
      </c>
      <c r="I480" s="258">
        <v>3.5</v>
      </c>
      <c r="J480" s="258" t="s">
        <v>462</v>
      </c>
      <c r="K480" s="258" t="s">
        <v>10761</v>
      </c>
      <c r="L480" s="258">
        <v>3</v>
      </c>
      <c r="M480" s="258" t="s">
        <v>451</v>
      </c>
      <c r="N480" s="328">
        <v>6000000</v>
      </c>
      <c r="O480" s="258" t="s">
        <v>452</v>
      </c>
      <c r="P480" s="258" t="s">
        <v>452</v>
      </c>
      <c r="Q480" s="258" t="s">
        <v>9831</v>
      </c>
      <c r="R480" s="258" t="s">
        <v>23</v>
      </c>
      <c r="S480" s="259" t="s">
        <v>9832</v>
      </c>
      <c r="T480" s="259"/>
      <c r="U480" s="258"/>
      <c r="V480" s="258"/>
      <c r="W480" s="258"/>
      <c r="X480" s="258"/>
      <c r="Y480" s="258"/>
      <c r="Z480" s="258"/>
      <c r="AA480" s="258"/>
      <c r="AB480" s="258"/>
    </row>
    <row r="481" spans="1:28" ht="15.75" hidden="1" customHeight="1">
      <c r="A481" s="253">
        <v>44796</v>
      </c>
      <c r="B481" s="224" t="s">
        <v>5244</v>
      </c>
      <c r="C481" s="316">
        <v>3.25</v>
      </c>
      <c r="D481" s="316"/>
      <c r="E481" s="224" t="s">
        <v>5247</v>
      </c>
      <c r="F481" s="224" t="s">
        <v>4</v>
      </c>
      <c r="G481" s="224" t="s">
        <v>725</v>
      </c>
      <c r="H481" s="224" t="s">
        <v>10766</v>
      </c>
      <c r="I481" s="224">
        <v>3.5</v>
      </c>
      <c r="J481" s="224" t="s">
        <v>1457</v>
      </c>
      <c r="K481" s="224" t="s">
        <v>5249</v>
      </c>
      <c r="L481" s="224">
        <v>3</v>
      </c>
      <c r="M481" s="224"/>
      <c r="N481" s="224"/>
      <c r="O481" s="224" t="s">
        <v>452</v>
      </c>
      <c r="P481" s="224" t="s">
        <v>452</v>
      </c>
      <c r="Q481" s="224" t="s">
        <v>5250</v>
      </c>
      <c r="R481" s="224" t="s">
        <v>24</v>
      </c>
      <c r="S481" s="254"/>
      <c r="T481" s="254"/>
      <c r="U481" s="224"/>
      <c r="V481" s="224"/>
      <c r="W481" s="224"/>
      <c r="X481" s="224"/>
      <c r="Y481" s="224"/>
      <c r="Z481" s="224"/>
      <c r="AA481" s="224"/>
      <c r="AB481" s="224"/>
    </row>
    <row r="482" spans="1:28" ht="15.75" customHeight="1">
      <c r="A482" s="248">
        <v>44796</v>
      </c>
      <c r="B482" s="219" t="s">
        <v>2408</v>
      </c>
      <c r="C482" s="219">
        <v>3.25</v>
      </c>
      <c r="D482" s="219"/>
      <c r="E482" s="219" t="s">
        <v>2411</v>
      </c>
      <c r="F482" s="219" t="s">
        <v>5</v>
      </c>
      <c r="G482" s="219" t="s">
        <v>447</v>
      </c>
      <c r="H482" s="219" t="s">
        <v>10963</v>
      </c>
      <c r="I482" s="219">
        <v>3</v>
      </c>
      <c r="J482" s="219" t="s">
        <v>543</v>
      </c>
      <c r="K482" s="219" t="s">
        <v>11733</v>
      </c>
      <c r="L482" s="219">
        <v>3.5</v>
      </c>
      <c r="M482" s="219" t="s">
        <v>478</v>
      </c>
      <c r="N482" s="219" t="s">
        <v>2414</v>
      </c>
      <c r="O482" s="219" t="s">
        <v>452</v>
      </c>
      <c r="P482" s="219" t="s">
        <v>10965</v>
      </c>
      <c r="Q482" s="219"/>
      <c r="R482" s="219" t="s">
        <v>24</v>
      </c>
      <c r="S482" s="219"/>
      <c r="T482" s="219"/>
      <c r="U482" s="219"/>
      <c r="V482" s="219"/>
      <c r="W482" s="219"/>
      <c r="X482" s="219"/>
      <c r="Y482" s="219"/>
      <c r="Z482" s="219"/>
      <c r="AA482" s="219"/>
      <c r="AB482" s="219"/>
    </row>
    <row r="483" spans="1:28" ht="15.75" hidden="1" customHeight="1">
      <c r="A483" s="253">
        <v>44796</v>
      </c>
      <c r="B483" s="224" t="s">
        <v>5164</v>
      </c>
      <c r="C483" s="316">
        <v>3.25</v>
      </c>
      <c r="D483" s="316"/>
      <c r="E483" s="224" t="s">
        <v>5167</v>
      </c>
      <c r="F483" s="224" t="s">
        <v>4</v>
      </c>
      <c r="G483" s="224" t="s">
        <v>727</v>
      </c>
      <c r="H483" s="224" t="s">
        <v>11001</v>
      </c>
      <c r="I483" s="224">
        <v>3</v>
      </c>
      <c r="J483" s="224" t="s">
        <v>1054</v>
      </c>
      <c r="K483" s="224" t="s">
        <v>11002</v>
      </c>
      <c r="L483" s="224">
        <v>3.5</v>
      </c>
      <c r="M483" s="224" t="s">
        <v>5170</v>
      </c>
      <c r="N483" s="224" t="s">
        <v>5171</v>
      </c>
      <c r="O483" s="224" t="s">
        <v>454</v>
      </c>
      <c r="P483" s="224" t="s">
        <v>11003</v>
      </c>
      <c r="Q483" s="224"/>
      <c r="R483" s="224" t="s">
        <v>24</v>
      </c>
      <c r="S483" s="254"/>
      <c r="T483" s="254"/>
      <c r="U483" s="224"/>
      <c r="V483" s="224"/>
      <c r="W483" s="224"/>
      <c r="X483" s="224"/>
      <c r="Y483" s="224"/>
      <c r="Z483" s="224"/>
      <c r="AA483" s="224"/>
      <c r="AB483" s="224"/>
    </row>
    <row r="484" spans="1:28" ht="15.75" customHeight="1">
      <c r="A484" s="248">
        <v>44796</v>
      </c>
      <c r="B484" s="219" t="s">
        <v>2454</v>
      </c>
      <c r="C484" s="219">
        <v>3.25</v>
      </c>
      <c r="D484" s="219"/>
      <c r="E484" s="219" t="s">
        <v>2457</v>
      </c>
      <c r="F484" s="219" t="s">
        <v>5</v>
      </c>
      <c r="G484" s="219" t="s">
        <v>447</v>
      </c>
      <c r="H484" s="219" t="s">
        <v>11042</v>
      </c>
      <c r="I484" s="219">
        <v>3</v>
      </c>
      <c r="J484" s="219" t="s">
        <v>622</v>
      </c>
      <c r="K484" s="219" t="s">
        <v>11043</v>
      </c>
      <c r="L484" s="219">
        <v>3.5</v>
      </c>
      <c r="M484" s="219" t="s">
        <v>451</v>
      </c>
      <c r="N484" s="219">
        <v>1500000</v>
      </c>
      <c r="O484" s="219" t="s">
        <v>452</v>
      </c>
      <c r="P484" s="219" t="s">
        <v>2460</v>
      </c>
      <c r="Q484" s="219"/>
      <c r="R484" s="219" t="s">
        <v>24</v>
      </c>
      <c r="S484" s="219"/>
      <c r="T484" s="219"/>
      <c r="U484" s="219"/>
      <c r="V484" s="219"/>
      <c r="W484" s="219"/>
      <c r="X484" s="219"/>
      <c r="Y484" s="219"/>
      <c r="Z484" s="219"/>
      <c r="AA484" s="219"/>
      <c r="AB484" s="219"/>
    </row>
    <row r="485" spans="1:28" ht="15.75" hidden="1" customHeight="1">
      <c r="A485" s="253">
        <v>44796</v>
      </c>
      <c r="B485" s="224" t="s">
        <v>5156</v>
      </c>
      <c r="C485" s="316">
        <v>3.25</v>
      </c>
      <c r="D485" s="316"/>
      <c r="E485" s="224" t="s">
        <v>11087</v>
      </c>
      <c r="F485" s="224" t="s">
        <v>4</v>
      </c>
      <c r="G485" s="224" t="s">
        <v>602</v>
      </c>
      <c r="H485" s="224" t="s">
        <v>5160</v>
      </c>
      <c r="I485" s="224">
        <v>3</v>
      </c>
      <c r="J485" s="224" t="s">
        <v>1350</v>
      </c>
      <c r="K485" s="224" t="s">
        <v>5161</v>
      </c>
      <c r="L485" s="224">
        <v>3.5</v>
      </c>
      <c r="M485" s="224"/>
      <c r="N485" s="224"/>
      <c r="O485" s="224" t="s">
        <v>452</v>
      </c>
      <c r="P485" s="224" t="s">
        <v>5162</v>
      </c>
      <c r="Q485" s="224"/>
      <c r="R485" s="224" t="s">
        <v>24</v>
      </c>
      <c r="S485" s="254"/>
      <c r="T485" s="254"/>
      <c r="U485" s="224"/>
      <c r="V485" s="224"/>
      <c r="W485" s="224"/>
      <c r="X485" s="224"/>
      <c r="Y485" s="224"/>
      <c r="Z485" s="224"/>
      <c r="AA485" s="224"/>
      <c r="AB485" s="224"/>
    </row>
    <row r="486" spans="1:28" ht="15.75" customHeight="1">
      <c r="A486" s="248">
        <v>44796</v>
      </c>
      <c r="B486" s="219" t="s">
        <v>117</v>
      </c>
      <c r="C486" s="219">
        <v>3.25</v>
      </c>
      <c r="D486" s="219"/>
      <c r="E486" s="219" t="s">
        <v>838</v>
      </c>
      <c r="F486" s="219" t="s">
        <v>5</v>
      </c>
      <c r="G486" s="219" t="s">
        <v>447</v>
      </c>
      <c r="H486" s="219" t="s">
        <v>11116</v>
      </c>
      <c r="I486" s="219">
        <v>3</v>
      </c>
      <c r="J486" s="219" t="s">
        <v>449</v>
      </c>
      <c r="K486" s="219" t="e">
        <f>+Credible passionate Team
+Industry experience
+successful parent company
-Qlimate itself does not seem to be a Startup</f>
        <v>#NAME?</v>
      </c>
      <c r="L486" s="219">
        <v>3.5</v>
      </c>
      <c r="M486" s="219"/>
      <c r="N486" s="219"/>
      <c r="O486" s="219" t="s">
        <v>452</v>
      </c>
      <c r="P486" s="219" t="s">
        <v>452</v>
      </c>
      <c r="Q486" s="219" t="s">
        <v>725</v>
      </c>
      <c r="R486" s="219" t="s">
        <v>24</v>
      </c>
      <c r="S486" s="219"/>
      <c r="T486" s="219"/>
      <c r="U486" s="219"/>
      <c r="V486" s="219"/>
      <c r="W486" s="219"/>
      <c r="X486" s="219"/>
      <c r="Y486" s="219"/>
      <c r="Z486" s="219"/>
      <c r="AA486" s="219"/>
      <c r="AB486" s="219"/>
    </row>
    <row r="487" spans="1:28" ht="15.75" hidden="1" customHeight="1">
      <c r="A487" s="255">
        <v>44796</v>
      </c>
      <c r="B487" s="239" t="s">
        <v>9666</v>
      </c>
      <c r="C487" s="262">
        <v>3.25</v>
      </c>
      <c r="D487" s="262"/>
      <c r="E487" s="239" t="s">
        <v>9669</v>
      </c>
      <c r="F487" s="239" t="s">
        <v>3</v>
      </c>
      <c r="G487" s="239" t="s">
        <v>460</v>
      </c>
      <c r="H487" s="239" t="s">
        <v>9670</v>
      </c>
      <c r="I487" s="239">
        <v>3.5</v>
      </c>
      <c r="J487" s="239" t="s">
        <v>462</v>
      </c>
      <c r="K487" s="239" t="s">
        <v>9671</v>
      </c>
      <c r="L487" s="239">
        <v>3</v>
      </c>
      <c r="M487" s="239"/>
      <c r="N487" s="239"/>
      <c r="O487" s="239" t="s">
        <v>452</v>
      </c>
      <c r="P487" s="239" t="s">
        <v>9672</v>
      </c>
      <c r="Q487" s="239" t="s">
        <v>9673</v>
      </c>
      <c r="R487" s="239" t="s">
        <v>23</v>
      </c>
      <c r="S487" s="256"/>
      <c r="T487" s="256"/>
      <c r="U487" s="239"/>
      <c r="V487" s="239"/>
      <c r="W487" s="239"/>
      <c r="X487" s="239"/>
      <c r="Y487" s="239"/>
      <c r="Z487" s="239"/>
      <c r="AA487" s="239"/>
      <c r="AB487" s="239"/>
    </row>
    <row r="488" spans="1:28" ht="15.75" customHeight="1">
      <c r="A488" s="248">
        <v>44796</v>
      </c>
      <c r="B488" s="219" t="s">
        <v>2557</v>
      </c>
      <c r="C488" s="219">
        <v>3.25</v>
      </c>
      <c r="D488" s="219"/>
      <c r="E488" s="219" t="s">
        <v>2560</v>
      </c>
      <c r="F488" s="219" t="s">
        <v>5</v>
      </c>
      <c r="G488" s="219" t="s">
        <v>447</v>
      </c>
      <c r="H488" s="219" t="s">
        <v>11147</v>
      </c>
      <c r="I488" s="219">
        <v>3.5</v>
      </c>
      <c r="J488" s="219" t="s">
        <v>622</v>
      </c>
      <c r="K488" s="219" t="e">
        <f>+ Would like to see the Working product first.</f>
        <v>#NAME?</v>
      </c>
      <c r="L488" s="219">
        <v>3</v>
      </c>
      <c r="M488" s="219" t="s">
        <v>451</v>
      </c>
      <c r="N488" s="310">
        <v>3000000</v>
      </c>
      <c r="O488" s="219" t="s">
        <v>452</v>
      </c>
      <c r="P488" s="219" t="s">
        <v>2563</v>
      </c>
      <c r="Q488" s="219"/>
      <c r="R488" s="219" t="s">
        <v>24</v>
      </c>
      <c r="S488" s="219"/>
      <c r="T488" s="219"/>
      <c r="U488" s="219"/>
      <c r="V488" s="219"/>
      <c r="W488" s="219"/>
      <c r="X488" s="219"/>
      <c r="Y488" s="219"/>
      <c r="Z488" s="219"/>
      <c r="AA488" s="219"/>
      <c r="AB488" s="219"/>
    </row>
    <row r="489" spans="1:28" ht="15.75" customHeight="1">
      <c r="A489" s="253">
        <v>44796</v>
      </c>
      <c r="B489" s="224" t="s">
        <v>11157</v>
      </c>
      <c r="C489" s="224">
        <v>3.25</v>
      </c>
      <c r="D489" s="224"/>
      <c r="E489" s="224" t="s">
        <v>3144</v>
      </c>
      <c r="F489" s="224" t="s">
        <v>5</v>
      </c>
      <c r="G489" s="224" t="s">
        <v>447</v>
      </c>
      <c r="H489" s="224" t="s">
        <v>11158</v>
      </c>
      <c r="I489" s="224">
        <v>3</v>
      </c>
      <c r="J489" s="224" t="s">
        <v>543</v>
      </c>
      <c r="K489" s="224" t="s">
        <v>13400</v>
      </c>
      <c r="L489" s="224">
        <v>3.5</v>
      </c>
      <c r="M489" s="224" t="s">
        <v>451</v>
      </c>
      <c r="N489" s="330">
        <v>2250000</v>
      </c>
      <c r="O489" s="224" t="s">
        <v>452</v>
      </c>
      <c r="P489" s="224" t="s">
        <v>452</v>
      </c>
      <c r="Q489" s="224" t="s">
        <v>585</v>
      </c>
      <c r="R489" s="224" t="s">
        <v>24</v>
      </c>
      <c r="S489" s="224"/>
      <c r="T489" s="224"/>
      <c r="U489" s="224"/>
      <c r="V489" s="224"/>
      <c r="W489" s="224"/>
      <c r="X489" s="224"/>
      <c r="Y489" s="224"/>
      <c r="Z489" s="224"/>
      <c r="AA489" s="224"/>
      <c r="AB489" s="224"/>
    </row>
    <row r="490" spans="1:28" ht="15.75" hidden="1" customHeight="1">
      <c r="A490" s="248">
        <v>44796</v>
      </c>
      <c r="B490" s="219" t="s">
        <v>4987</v>
      </c>
      <c r="C490" s="315">
        <v>3.25</v>
      </c>
      <c r="D490" s="315"/>
      <c r="E490" s="219" t="s">
        <v>4990</v>
      </c>
      <c r="F490" s="219" t="s">
        <v>4</v>
      </c>
      <c r="G490" s="219" t="s">
        <v>725</v>
      </c>
      <c r="H490" s="219" t="e">
        <f>+ good validation and Revenue growth
- Competitive space and niche market</f>
        <v>#NAME?</v>
      </c>
      <c r="I490" s="219">
        <v>3.5</v>
      </c>
      <c r="J490" s="219" t="s">
        <v>476</v>
      </c>
      <c r="K490" s="219" t="s">
        <v>13400</v>
      </c>
      <c r="L490" s="219">
        <v>3</v>
      </c>
      <c r="M490" s="219" t="s">
        <v>4993</v>
      </c>
      <c r="N490" s="219" t="s">
        <v>4370</v>
      </c>
      <c r="O490" s="219" t="s">
        <v>452</v>
      </c>
      <c r="P490" s="219" t="s">
        <v>452</v>
      </c>
      <c r="Q490" s="219"/>
      <c r="R490" s="219" t="s">
        <v>24</v>
      </c>
      <c r="S490" s="251"/>
      <c r="T490" s="251"/>
      <c r="U490" s="219"/>
      <c r="V490" s="219"/>
      <c r="W490" s="219"/>
      <c r="X490" s="219"/>
      <c r="Y490" s="219"/>
      <c r="Z490" s="219"/>
      <c r="AA490" s="219"/>
      <c r="AB490" s="219"/>
    </row>
    <row r="491" spans="1:28" ht="15.75" hidden="1" customHeight="1">
      <c r="A491" s="253">
        <v>44796</v>
      </c>
      <c r="B491" s="224" t="s">
        <v>5121</v>
      </c>
      <c r="C491" s="316">
        <v>3.25</v>
      </c>
      <c r="D491" s="316"/>
      <c r="E491" s="224"/>
      <c r="F491" s="224" t="s">
        <v>4</v>
      </c>
      <c r="G491" s="224" t="s">
        <v>725</v>
      </c>
      <c r="H491" s="224" t="s">
        <v>5124</v>
      </c>
      <c r="I491" s="224">
        <v>3.5</v>
      </c>
      <c r="J491" s="224" t="s">
        <v>1298</v>
      </c>
      <c r="K491" s="224" t="s">
        <v>5125</v>
      </c>
      <c r="L491" s="224">
        <v>3</v>
      </c>
      <c r="M491" s="224" t="s">
        <v>1656</v>
      </c>
      <c r="N491" s="224">
        <v>2000000</v>
      </c>
      <c r="O491" s="224" t="s">
        <v>452</v>
      </c>
      <c r="P491" s="224" t="s">
        <v>5126</v>
      </c>
      <c r="Q491" s="224" t="s">
        <v>5127</v>
      </c>
      <c r="R491" s="224" t="s">
        <v>24</v>
      </c>
      <c r="S491" s="254"/>
      <c r="T491" s="254"/>
      <c r="U491" s="224"/>
      <c r="V491" s="224"/>
      <c r="W491" s="224"/>
      <c r="X491" s="224"/>
      <c r="Y491" s="224"/>
      <c r="Z491" s="224"/>
      <c r="AA491" s="224"/>
      <c r="AB491" s="224"/>
    </row>
    <row r="492" spans="1:28" ht="15.75" customHeight="1">
      <c r="A492" s="248">
        <v>44796</v>
      </c>
      <c r="B492" s="219" t="s">
        <v>3487</v>
      </c>
      <c r="C492" s="219">
        <v>3.25</v>
      </c>
      <c r="D492" s="219"/>
      <c r="E492" s="219" t="s">
        <v>11229</v>
      </c>
      <c r="F492" s="219" t="s">
        <v>5</v>
      </c>
      <c r="G492" s="219" t="s">
        <v>447</v>
      </c>
      <c r="H492" s="219" t="s">
        <v>11230</v>
      </c>
      <c r="I492" s="219">
        <v>3</v>
      </c>
      <c r="J492" s="219" t="s">
        <v>543</v>
      </c>
      <c r="K492" s="219" t="s">
        <v>13400</v>
      </c>
      <c r="L492" s="219">
        <v>3.5</v>
      </c>
      <c r="M492" s="219" t="s">
        <v>3493</v>
      </c>
      <c r="N492" s="219" t="s">
        <v>3494</v>
      </c>
      <c r="O492" s="219" t="s">
        <v>452</v>
      </c>
      <c r="P492" s="219" t="s">
        <v>1119</v>
      </c>
      <c r="Q492" s="219"/>
      <c r="R492" s="219" t="s">
        <v>24</v>
      </c>
      <c r="S492" s="219"/>
      <c r="T492" s="219"/>
      <c r="U492" s="219"/>
      <c r="V492" s="219"/>
      <c r="W492" s="219"/>
      <c r="X492" s="219"/>
      <c r="Y492" s="219"/>
      <c r="Z492" s="219"/>
      <c r="AA492" s="219"/>
      <c r="AB492" s="219"/>
    </row>
    <row r="493" spans="1:28" ht="15.75" customHeight="1">
      <c r="A493" s="255">
        <v>44796</v>
      </c>
      <c r="B493" s="239" t="s">
        <v>3560</v>
      </c>
      <c r="C493" s="239">
        <v>3.25</v>
      </c>
      <c r="D493" s="239"/>
      <c r="E493" s="239" t="s">
        <v>3563</v>
      </c>
      <c r="F493" s="239" t="s">
        <v>5</v>
      </c>
      <c r="G493" s="239" t="s">
        <v>488</v>
      </c>
      <c r="H493" s="239"/>
      <c r="I493" s="239">
        <v>3</v>
      </c>
      <c r="J493" s="239" t="s">
        <v>941</v>
      </c>
      <c r="K493" s="239" t="s">
        <v>3564</v>
      </c>
      <c r="L493" s="239">
        <v>3.5</v>
      </c>
      <c r="M493" s="239" t="s">
        <v>451</v>
      </c>
      <c r="N493" s="239">
        <v>22000000</v>
      </c>
      <c r="O493" s="239" t="s">
        <v>452</v>
      </c>
      <c r="P493" s="239" t="s">
        <v>3565</v>
      </c>
      <c r="Q493" s="239"/>
      <c r="R493" s="239" t="s">
        <v>24</v>
      </c>
      <c r="S493" s="239" t="s">
        <v>2341</v>
      </c>
      <c r="T493" s="239"/>
      <c r="U493" s="239"/>
      <c r="V493" s="239"/>
      <c r="W493" s="239"/>
      <c r="X493" s="239"/>
      <c r="Y493" s="239"/>
      <c r="Z493" s="239"/>
      <c r="AA493" s="239"/>
      <c r="AB493" s="239"/>
    </row>
    <row r="494" spans="1:28" ht="15.75" customHeight="1">
      <c r="A494" s="248">
        <v>44796</v>
      </c>
      <c r="B494" s="219" t="s">
        <v>2224</v>
      </c>
      <c r="C494" s="219">
        <v>3.25</v>
      </c>
      <c r="D494" s="219"/>
      <c r="E494" s="219"/>
      <c r="F494" s="219" t="s">
        <v>5</v>
      </c>
      <c r="G494" s="219" t="s">
        <v>447</v>
      </c>
      <c r="H494" s="219" t="s">
        <v>11264</v>
      </c>
      <c r="I494" s="219">
        <v>3</v>
      </c>
      <c r="J494" s="219" t="s">
        <v>449</v>
      </c>
      <c r="K494" s="219" t="s">
        <v>11265</v>
      </c>
      <c r="L494" s="219">
        <v>3.5</v>
      </c>
      <c r="M494" s="219" t="s">
        <v>2229</v>
      </c>
      <c r="N494" s="219" t="s">
        <v>2230</v>
      </c>
      <c r="O494" s="219" t="s">
        <v>465</v>
      </c>
      <c r="P494" s="219" t="s">
        <v>2231</v>
      </c>
      <c r="Q494" s="219" t="s">
        <v>2232</v>
      </c>
      <c r="R494" s="219" t="s">
        <v>24</v>
      </c>
      <c r="S494" s="219"/>
      <c r="T494" s="219"/>
      <c r="U494" s="219"/>
      <c r="V494" s="219"/>
      <c r="W494" s="219"/>
      <c r="X494" s="219"/>
      <c r="Y494" s="219"/>
      <c r="Z494" s="219"/>
      <c r="AA494" s="219"/>
      <c r="AB494" s="219"/>
    </row>
    <row r="495" spans="1:28" ht="15.75" hidden="1" customHeight="1">
      <c r="A495" s="321">
        <v>44796</v>
      </c>
      <c r="B495" s="322" t="s">
        <v>9007</v>
      </c>
      <c r="C495" s="323">
        <v>3.25</v>
      </c>
      <c r="D495" s="323"/>
      <c r="E495" s="322"/>
      <c r="F495" s="322" t="s">
        <v>3</v>
      </c>
      <c r="G495" s="322" t="s">
        <v>488</v>
      </c>
      <c r="H495" s="322"/>
      <c r="I495" s="322">
        <v>3</v>
      </c>
      <c r="J495" s="322" t="s">
        <v>462</v>
      </c>
      <c r="K495" s="322" t="s">
        <v>9010</v>
      </c>
      <c r="L495" s="322">
        <v>3.5</v>
      </c>
      <c r="M495" s="322" t="s">
        <v>2152</v>
      </c>
      <c r="N495" s="322" t="s">
        <v>9011</v>
      </c>
      <c r="O495" s="322" t="s">
        <v>452</v>
      </c>
      <c r="P495" s="322" t="s">
        <v>9012</v>
      </c>
      <c r="Q495" s="322"/>
      <c r="R495" s="224" t="s">
        <v>24</v>
      </c>
      <c r="S495" s="325"/>
      <c r="T495" s="325"/>
      <c r="U495" s="322"/>
      <c r="V495" s="322"/>
      <c r="W495" s="322"/>
      <c r="X495" s="322"/>
      <c r="Y495" s="322"/>
      <c r="Z495" s="322"/>
      <c r="AA495" s="322"/>
      <c r="AB495" s="322"/>
    </row>
    <row r="496" spans="1:28" ht="15.75" hidden="1" customHeight="1">
      <c r="A496" s="248">
        <v>44796</v>
      </c>
      <c r="B496" s="219" t="s">
        <v>5227</v>
      </c>
      <c r="C496" s="315">
        <v>3.25</v>
      </c>
      <c r="D496" s="315"/>
      <c r="E496" s="219"/>
      <c r="F496" s="219" t="s">
        <v>4</v>
      </c>
      <c r="G496" s="219" t="s">
        <v>725</v>
      </c>
      <c r="H496" s="219" t="s">
        <v>5230</v>
      </c>
      <c r="I496" s="219">
        <v>3.5</v>
      </c>
      <c r="J496" s="219" t="s">
        <v>1457</v>
      </c>
      <c r="K496" s="219" t="s">
        <v>5231</v>
      </c>
      <c r="L496" s="219">
        <v>3</v>
      </c>
      <c r="M496" s="219" t="s">
        <v>2190</v>
      </c>
      <c r="N496" s="219">
        <v>2000000</v>
      </c>
      <c r="O496" s="219" t="s">
        <v>465</v>
      </c>
      <c r="P496" s="219" t="s">
        <v>5232</v>
      </c>
      <c r="Q496" s="219"/>
      <c r="R496" s="219" t="s">
        <v>24</v>
      </c>
      <c r="S496" s="251"/>
      <c r="T496" s="251"/>
      <c r="U496" s="219"/>
      <c r="V496" s="219"/>
      <c r="W496" s="219"/>
      <c r="X496" s="219"/>
      <c r="Y496" s="219"/>
      <c r="Z496" s="219"/>
      <c r="AA496" s="219"/>
      <c r="AB496" s="219"/>
    </row>
    <row r="497" spans="1:28" ht="15.75" hidden="1" customHeight="1">
      <c r="A497" s="253">
        <v>44796</v>
      </c>
      <c r="B497" s="224" t="s">
        <v>5104</v>
      </c>
      <c r="C497" s="316">
        <v>3.25</v>
      </c>
      <c r="D497" s="316"/>
      <c r="E497" s="224" t="s">
        <v>5107</v>
      </c>
      <c r="F497" s="224" t="s">
        <v>4</v>
      </c>
      <c r="G497" s="224" t="s">
        <v>1045</v>
      </c>
      <c r="H497" s="224" t="s">
        <v>5108</v>
      </c>
      <c r="I497" s="224">
        <v>2.5</v>
      </c>
      <c r="J497" s="224" t="s">
        <v>1281</v>
      </c>
      <c r="K497" s="224" t="s">
        <v>5109</v>
      </c>
      <c r="L497" s="224">
        <v>4</v>
      </c>
      <c r="M497" s="224" t="s">
        <v>784</v>
      </c>
      <c r="N497" s="311">
        <v>150000</v>
      </c>
      <c r="O497" s="224" t="s">
        <v>452</v>
      </c>
      <c r="P497" s="224" t="s">
        <v>5110</v>
      </c>
      <c r="Q497" s="224"/>
      <c r="R497" s="224" t="s">
        <v>24</v>
      </c>
      <c r="S497" s="254"/>
      <c r="T497" s="254"/>
      <c r="U497" s="224"/>
      <c r="V497" s="224"/>
      <c r="W497" s="224"/>
      <c r="X497" s="224"/>
      <c r="Y497" s="224"/>
      <c r="Z497" s="224"/>
      <c r="AA497" s="224"/>
      <c r="AB497" s="224"/>
    </row>
    <row r="498" spans="1:28" ht="15.75" customHeight="1">
      <c r="A498" s="255">
        <v>44796</v>
      </c>
      <c r="B498" s="239" t="s">
        <v>2203</v>
      </c>
      <c r="C498" s="239">
        <v>3.25</v>
      </c>
      <c r="D498" s="239"/>
      <c r="E498" s="239" t="s">
        <v>10337</v>
      </c>
      <c r="F498" s="239" t="s">
        <v>5</v>
      </c>
      <c r="G498" s="239" t="s">
        <v>460</v>
      </c>
      <c r="H498" s="239" t="s">
        <v>2207</v>
      </c>
      <c r="I498" s="239">
        <v>3.5</v>
      </c>
      <c r="J498" s="239" t="s">
        <v>941</v>
      </c>
      <c r="K498" s="239" t="s">
        <v>2208</v>
      </c>
      <c r="L498" s="239">
        <v>3</v>
      </c>
      <c r="M498" s="239" t="s">
        <v>2209</v>
      </c>
      <c r="N498" s="239">
        <v>10000000</v>
      </c>
      <c r="O498" s="239" t="s">
        <v>452</v>
      </c>
      <c r="P498" s="239" t="s">
        <v>10338</v>
      </c>
      <c r="Q498" s="239"/>
      <c r="R498" s="239" t="s">
        <v>24</v>
      </c>
      <c r="S498" s="239" t="s">
        <v>11734</v>
      </c>
      <c r="T498" s="239"/>
      <c r="U498" s="239"/>
      <c r="V498" s="239"/>
      <c r="W498" s="239"/>
      <c r="X498" s="239"/>
      <c r="Y498" s="239"/>
      <c r="Z498" s="239"/>
      <c r="AA498" s="239"/>
      <c r="AB498" s="239"/>
    </row>
    <row r="499" spans="1:28" ht="15.75" customHeight="1">
      <c r="A499" s="253">
        <v>44796</v>
      </c>
      <c r="B499" s="224" t="s">
        <v>3011</v>
      </c>
      <c r="C499" s="224">
        <v>3.25</v>
      </c>
      <c r="D499" s="224"/>
      <c r="E499" s="224" t="s">
        <v>3014</v>
      </c>
      <c r="F499" s="224" t="s">
        <v>5</v>
      </c>
      <c r="G499" s="224" t="s">
        <v>447</v>
      </c>
      <c r="H499" s="224" t="s">
        <v>11105</v>
      </c>
      <c r="I499" s="224">
        <v>3</v>
      </c>
      <c r="J499" s="224" t="s">
        <v>622</v>
      </c>
      <c r="K499" s="224" t="e">
        <f>+ apply next time, Could be a good fit</f>
        <v>#NAME?</v>
      </c>
      <c r="L499" s="224">
        <v>3.5</v>
      </c>
      <c r="M499" s="224"/>
      <c r="N499" s="224"/>
      <c r="O499" s="224" t="s">
        <v>452</v>
      </c>
      <c r="P499" s="224" t="s">
        <v>452</v>
      </c>
      <c r="Q499" s="224"/>
      <c r="R499" s="224" t="s">
        <v>24</v>
      </c>
      <c r="S499" s="224"/>
      <c r="T499" s="224"/>
      <c r="U499" s="224"/>
      <c r="V499" s="224"/>
      <c r="W499" s="224"/>
      <c r="X499" s="224"/>
      <c r="Y499" s="224"/>
      <c r="Z499" s="224"/>
      <c r="AA499" s="224"/>
      <c r="AB499" s="224"/>
    </row>
    <row r="500" spans="1:28" ht="15.75" hidden="1" customHeight="1">
      <c r="A500" s="248">
        <v>44789</v>
      </c>
      <c r="B500" s="219" t="s">
        <v>5318</v>
      </c>
      <c r="C500" s="249">
        <v>3.13</v>
      </c>
      <c r="D500" s="249"/>
      <c r="E500" s="219" t="s">
        <v>5321</v>
      </c>
      <c r="F500" s="250" t="s">
        <v>4</v>
      </c>
      <c r="G500" s="219" t="s">
        <v>727</v>
      </c>
      <c r="H500" s="219"/>
      <c r="I500" s="219">
        <v>3.5</v>
      </c>
      <c r="J500" s="219" t="s">
        <v>1045</v>
      </c>
      <c r="K500" s="219" t="s">
        <v>5322</v>
      </c>
      <c r="L500" s="219">
        <v>2.75</v>
      </c>
      <c r="M500" s="219" t="s">
        <v>451</v>
      </c>
      <c r="N500" s="310">
        <v>2</v>
      </c>
      <c r="O500" s="219" t="s">
        <v>465</v>
      </c>
      <c r="P500" s="219" t="s">
        <v>5323</v>
      </c>
      <c r="Q500" s="219"/>
      <c r="R500" s="219" t="s">
        <v>24</v>
      </c>
      <c r="S500" s="251"/>
      <c r="T500" s="251"/>
      <c r="U500" s="252"/>
      <c r="V500" s="252"/>
      <c r="W500" s="252"/>
      <c r="X500" s="219"/>
      <c r="Y500" s="219"/>
      <c r="Z500" s="219"/>
      <c r="AA500" s="219"/>
      <c r="AB500" s="219"/>
    </row>
    <row r="501" spans="1:28" ht="15.75" customHeight="1">
      <c r="A501" s="233">
        <v>44776</v>
      </c>
      <c r="B501" s="234" t="s">
        <v>2842</v>
      </c>
      <c r="C501" s="234">
        <v>3</v>
      </c>
      <c r="D501" s="234"/>
      <c r="E501" s="234" t="s">
        <v>2845</v>
      </c>
      <c r="F501" s="234" t="s">
        <v>5</v>
      </c>
      <c r="G501" s="234" t="s">
        <v>460</v>
      </c>
      <c r="H501" s="234"/>
      <c r="I501" s="234">
        <v>3</v>
      </c>
      <c r="J501" s="234" t="s">
        <v>488</v>
      </c>
      <c r="K501" s="234" t="s">
        <v>2846</v>
      </c>
      <c r="L501" s="234">
        <v>3</v>
      </c>
      <c r="M501" s="234" t="s">
        <v>478</v>
      </c>
      <c r="N501" s="234">
        <v>3000000</v>
      </c>
      <c r="O501" s="234" t="s">
        <v>452</v>
      </c>
      <c r="P501" s="234" t="s">
        <v>2847</v>
      </c>
      <c r="Q501" s="234" t="s">
        <v>10184</v>
      </c>
      <c r="R501" s="234" t="s">
        <v>24</v>
      </c>
      <c r="S501" s="234" t="s">
        <v>2849</v>
      </c>
      <c r="T501" s="234"/>
      <c r="U501" s="234"/>
      <c r="V501" s="234"/>
      <c r="W501" s="234"/>
      <c r="X501" s="239"/>
      <c r="Y501" s="239"/>
      <c r="Z501" s="239"/>
      <c r="AA501" s="239"/>
      <c r="AB501" s="239"/>
    </row>
    <row r="502" spans="1:28" ht="15.75" hidden="1" customHeight="1">
      <c r="A502" s="227">
        <v>44776</v>
      </c>
      <c r="B502" s="246" t="s">
        <v>13209</v>
      </c>
      <c r="C502" s="240">
        <v>3</v>
      </c>
      <c r="D502" s="240"/>
      <c r="E502" s="228" t="s">
        <v>9542</v>
      </c>
      <c r="F502" s="242" t="s">
        <v>4</v>
      </c>
      <c r="G502" s="228" t="s">
        <v>447</v>
      </c>
      <c r="H502" s="228" t="s">
        <v>9543</v>
      </c>
      <c r="I502" s="228">
        <v>3</v>
      </c>
      <c r="J502" s="228" t="s">
        <v>622</v>
      </c>
      <c r="K502" s="228" t="s">
        <v>10277</v>
      </c>
      <c r="L502" s="228">
        <v>3</v>
      </c>
      <c r="M502" s="228" t="s">
        <v>451</v>
      </c>
      <c r="N502" s="228">
        <v>1000000</v>
      </c>
      <c r="O502" s="228" t="s">
        <v>452</v>
      </c>
      <c r="P502" s="228" t="s">
        <v>9545</v>
      </c>
      <c r="Q502" s="230"/>
      <c r="R502" s="228" t="s">
        <v>20</v>
      </c>
      <c r="S502" s="231" t="s">
        <v>15</v>
      </c>
      <c r="T502" s="231"/>
      <c r="U502" s="228"/>
      <c r="V502" s="228"/>
      <c r="W502" s="228"/>
      <c r="X502" s="219"/>
      <c r="Y502" s="219"/>
      <c r="Z502" s="219"/>
      <c r="AA502" s="219"/>
      <c r="AB502" s="219"/>
    </row>
    <row r="503" spans="1:28" ht="15.75" hidden="1" customHeight="1">
      <c r="A503" s="220">
        <v>44776</v>
      </c>
      <c r="B503" s="221" t="s">
        <v>5661</v>
      </c>
      <c r="C503" s="214">
        <v>3</v>
      </c>
      <c r="D503" s="214"/>
      <c r="E503" s="221" t="s">
        <v>5664</v>
      </c>
      <c r="F503" s="215" t="s">
        <v>4</v>
      </c>
      <c r="G503" s="221" t="s">
        <v>727</v>
      </c>
      <c r="H503" s="221" t="s">
        <v>5665</v>
      </c>
      <c r="I503" s="221">
        <v>3</v>
      </c>
      <c r="J503" s="221" t="s">
        <v>1054</v>
      </c>
      <c r="K503" s="221"/>
      <c r="L503" s="221">
        <v>3</v>
      </c>
      <c r="M503" s="221" t="s">
        <v>451</v>
      </c>
      <c r="N503" s="221">
        <v>2400000</v>
      </c>
      <c r="O503" s="221" t="s">
        <v>452</v>
      </c>
      <c r="P503" s="221" t="s">
        <v>5666</v>
      </c>
      <c r="Q503" s="145"/>
      <c r="R503" s="221" t="s">
        <v>24</v>
      </c>
      <c r="S503" s="223">
        <f t="array" ref="S503">INDEX(Notes!C:C,MATCH($B503,Notes!$A:$A,0))</f>
        <v>0</v>
      </c>
      <c r="T503" s="223"/>
      <c r="U503" s="218"/>
      <c r="V503" s="218"/>
      <c r="W503" s="218"/>
      <c r="X503" s="224"/>
      <c r="Y503" s="224"/>
      <c r="Z503" s="224"/>
      <c r="AA503" s="224"/>
      <c r="AB503" s="224"/>
    </row>
    <row r="504" spans="1:28" ht="15.75" hidden="1" customHeight="1">
      <c r="A504" s="212">
        <v>44776</v>
      </c>
      <c r="B504" s="213" t="s">
        <v>5565</v>
      </c>
      <c r="C504" s="214">
        <v>3</v>
      </c>
      <c r="D504" s="214"/>
      <c r="E504" s="213" t="s">
        <v>10197</v>
      </c>
      <c r="F504" s="215" t="s">
        <v>4</v>
      </c>
      <c r="G504" s="213" t="s">
        <v>602</v>
      </c>
      <c r="H504" s="213" t="s">
        <v>5569</v>
      </c>
      <c r="I504" s="213">
        <v>3</v>
      </c>
      <c r="J504" s="213" t="s">
        <v>727</v>
      </c>
      <c r="K504" s="213" t="s">
        <v>5570</v>
      </c>
      <c r="L504" s="213">
        <v>3</v>
      </c>
      <c r="M504" s="213" t="s">
        <v>478</v>
      </c>
      <c r="N504" s="225">
        <v>2000000</v>
      </c>
      <c r="O504" s="213" t="s">
        <v>452</v>
      </c>
      <c r="P504" s="213" t="s">
        <v>575</v>
      </c>
      <c r="Q504" s="143"/>
      <c r="R504" s="213" t="s">
        <v>24</v>
      </c>
      <c r="S504" s="226">
        <f t="array" ref="S504">INDEX(Notes!C:C,MATCH($B504,Notes!$A:$A,0))</f>
        <v>0</v>
      </c>
      <c r="T504" s="226"/>
      <c r="U504" s="218"/>
      <c r="V504" s="218"/>
      <c r="W504" s="218"/>
      <c r="X504" s="219"/>
      <c r="Y504" s="219"/>
      <c r="Z504" s="219"/>
      <c r="AA504" s="219"/>
      <c r="AB504" s="219"/>
    </row>
    <row r="505" spans="1:28" ht="15.75" customHeight="1">
      <c r="A505" s="510">
        <v>44789</v>
      </c>
      <c r="B505" s="366" t="s">
        <v>373</v>
      </c>
      <c r="C505" s="366">
        <v>3</v>
      </c>
      <c r="D505" s="250" t="str">
        <f ca="1">IFERROR(VLOOKUP(B505,'2022-2023 Third Reviews'!$C:$S,9,FALSE),"")</f>
        <v>Nick Schmandt
4</v>
      </c>
      <c r="E505" s="366" t="s">
        <v>10341</v>
      </c>
      <c r="F505" s="366" t="s">
        <v>5</v>
      </c>
      <c r="G505" s="366" t="s">
        <v>460</v>
      </c>
      <c r="H505" s="366" t="s">
        <v>10342</v>
      </c>
      <c r="I505" s="366">
        <v>3</v>
      </c>
      <c r="J505" s="366" t="s">
        <v>488</v>
      </c>
      <c r="K505" s="366" t="s">
        <v>10343</v>
      </c>
      <c r="L505" s="366">
        <v>3</v>
      </c>
      <c r="M505" s="366"/>
      <c r="N505" s="511"/>
      <c r="O505" s="366" t="s">
        <v>452</v>
      </c>
      <c r="P505" s="366" t="s">
        <v>10007</v>
      </c>
      <c r="Q505" s="366" t="s">
        <v>460</v>
      </c>
      <c r="R505" s="366" t="s">
        <v>35</v>
      </c>
      <c r="S505" s="366" t="s">
        <v>10008</v>
      </c>
      <c r="T505" s="366" t="s">
        <v>11862</v>
      </c>
      <c r="U505" s="366"/>
      <c r="V505" s="366"/>
      <c r="W505" s="366"/>
      <c r="X505" s="366"/>
      <c r="Y505" s="366"/>
      <c r="Z505" s="366"/>
      <c r="AA505" s="366"/>
      <c r="AB505" s="366"/>
    </row>
    <row r="506" spans="1:28" ht="15.75" hidden="1" customHeight="1">
      <c r="A506" s="212">
        <v>44776</v>
      </c>
      <c r="B506" s="213" t="s">
        <v>5607</v>
      </c>
      <c r="C506" s="214">
        <v>3</v>
      </c>
      <c r="D506" s="214"/>
      <c r="E506" s="213" t="s">
        <v>5610</v>
      </c>
      <c r="F506" s="215" t="s">
        <v>4</v>
      </c>
      <c r="G506" s="213" t="s">
        <v>602</v>
      </c>
      <c r="H506" s="213" t="s">
        <v>11402</v>
      </c>
      <c r="I506" s="213">
        <v>3</v>
      </c>
      <c r="J506" s="213" t="s">
        <v>1054</v>
      </c>
      <c r="K506" s="213" t="s">
        <v>5612</v>
      </c>
      <c r="L506" s="213">
        <v>3</v>
      </c>
      <c r="M506" s="213"/>
      <c r="N506" s="213"/>
      <c r="O506" s="213" t="s">
        <v>454</v>
      </c>
      <c r="P506" s="213" t="s">
        <v>5613</v>
      </c>
      <c r="Q506" s="143"/>
      <c r="R506" s="213" t="s">
        <v>24</v>
      </c>
      <c r="S506" s="226">
        <f t="array" ref="S506">INDEX(Notes!C:C,MATCH($B506,Notes!$A:$A,0))</f>
        <v>0</v>
      </c>
      <c r="T506" s="226"/>
      <c r="U506" s="218"/>
      <c r="V506" s="218"/>
      <c r="W506" s="218"/>
      <c r="X506" s="219"/>
      <c r="Y506" s="219"/>
      <c r="Z506" s="219"/>
      <c r="AA506" s="219"/>
      <c r="AB506" s="219"/>
    </row>
    <row r="507" spans="1:28" ht="15.75" customHeight="1">
      <c r="A507" s="227">
        <v>44776</v>
      </c>
      <c r="B507" s="228" t="s">
        <v>3124</v>
      </c>
      <c r="C507" s="215">
        <v>3</v>
      </c>
      <c r="D507" s="215"/>
      <c r="E507" s="228" t="s">
        <v>3127</v>
      </c>
      <c r="F507" s="215" t="s">
        <v>5</v>
      </c>
      <c r="G507" s="228" t="s">
        <v>447</v>
      </c>
      <c r="H507" s="228" t="s">
        <v>3128</v>
      </c>
      <c r="I507" s="228">
        <v>3</v>
      </c>
      <c r="J507" s="228" t="s">
        <v>449</v>
      </c>
      <c r="K507" s="228" t="e">
        <f ca="1">+They are trying to help people with insomnia through therapy(sounds and lighting controlled by devices) instead of drugs
+the Have multiple patents and academic research
+They Have raised a Large amoount of money through grants and Have some MRR
-product seems to require user to already Have lots of smart devices and Have them compatible with their application</f>
        <v>#NAME?</v>
      </c>
      <c r="L507" s="228">
        <v>3</v>
      </c>
      <c r="M507" s="228"/>
      <c r="N507" s="228"/>
      <c r="O507" s="228" t="s">
        <v>452</v>
      </c>
      <c r="P507" s="228" t="s">
        <v>3130</v>
      </c>
      <c r="Q507" s="228"/>
      <c r="R507" s="228" t="s">
        <v>24</v>
      </c>
      <c r="S507" s="228" t="s">
        <v>3131</v>
      </c>
      <c r="T507" s="228"/>
      <c r="U507" s="228"/>
      <c r="V507" s="228"/>
      <c r="W507" s="228"/>
      <c r="X507" s="224"/>
      <c r="Y507" s="224"/>
      <c r="Z507" s="224"/>
      <c r="AA507" s="224"/>
      <c r="AB507" s="224"/>
    </row>
    <row r="508" spans="1:28" ht="15.75" customHeight="1">
      <c r="A508" s="212">
        <v>44776</v>
      </c>
      <c r="B508" s="213" t="s">
        <v>2214</v>
      </c>
      <c r="C508" s="215">
        <v>3</v>
      </c>
      <c r="D508" s="215"/>
      <c r="E508" s="213" t="s">
        <v>2217</v>
      </c>
      <c r="F508" s="215" t="s">
        <v>5</v>
      </c>
      <c r="G508" s="213" t="s">
        <v>447</v>
      </c>
      <c r="H508" s="213" t="e">
        <f>+Credible Team
+Large TAM and plan to apply technology
-They are still very early, Developing MVP</f>
        <v>#NAME?</v>
      </c>
      <c r="I508" s="213">
        <v>3</v>
      </c>
      <c r="J508" s="213" t="s">
        <v>622</v>
      </c>
      <c r="K508" s="213" t="s">
        <v>2219</v>
      </c>
      <c r="L508" s="213">
        <v>3</v>
      </c>
      <c r="M508" s="213" t="s">
        <v>784</v>
      </c>
      <c r="N508" s="225">
        <v>1000000</v>
      </c>
      <c r="O508" s="213" t="s">
        <v>465</v>
      </c>
      <c r="P508" s="213" t="s">
        <v>2220</v>
      </c>
      <c r="Q508" s="213"/>
      <c r="R508" s="213" t="s">
        <v>24</v>
      </c>
      <c r="S508" s="213">
        <f t="array" ref="S508">INDEX(Notes!C:C,MATCH($B508,Notes!$A:$A,0))</f>
        <v>0</v>
      </c>
      <c r="T508" s="213"/>
      <c r="U508" s="218"/>
      <c r="V508" s="218"/>
      <c r="W508" s="218"/>
      <c r="X508" s="219"/>
      <c r="Y508" s="219"/>
      <c r="Z508" s="219"/>
      <c r="AA508" s="219"/>
      <c r="AB508" s="219"/>
    </row>
    <row r="509" spans="1:28" ht="15.75" hidden="1" customHeight="1">
      <c r="A509" s="253">
        <v>44782</v>
      </c>
      <c r="B509" s="224" t="s">
        <v>5616</v>
      </c>
      <c r="C509" s="249">
        <v>3</v>
      </c>
      <c r="D509" s="249"/>
      <c r="E509" s="224" t="s">
        <v>5619</v>
      </c>
      <c r="F509" s="250" t="s">
        <v>4</v>
      </c>
      <c r="G509" s="224" t="s">
        <v>602</v>
      </c>
      <c r="H509" s="224" t="s">
        <v>5620</v>
      </c>
      <c r="I509" s="224">
        <v>3</v>
      </c>
      <c r="J509" s="224" t="s">
        <v>1054</v>
      </c>
      <c r="K509" s="224" t="s">
        <v>5621</v>
      </c>
      <c r="L509" s="224">
        <v>3</v>
      </c>
      <c r="M509" s="224" t="s">
        <v>784</v>
      </c>
      <c r="N509" s="224">
        <v>1500000</v>
      </c>
      <c r="O509" s="224" t="s">
        <v>465</v>
      </c>
      <c r="P509" s="224" t="s">
        <v>5622</v>
      </c>
      <c r="Q509" s="224" t="s">
        <v>5623</v>
      </c>
      <c r="R509" s="224" t="s">
        <v>24</v>
      </c>
      <c r="S509" s="254"/>
      <c r="T509" s="254"/>
      <c r="U509" s="252"/>
      <c r="V509" s="252"/>
      <c r="W509" s="252"/>
      <c r="X509" s="224"/>
      <c r="Y509" s="224"/>
      <c r="Z509" s="224"/>
      <c r="AA509" s="224"/>
      <c r="AB509" s="224"/>
    </row>
    <row r="510" spans="1:28" ht="15.75" customHeight="1">
      <c r="A510" s="255">
        <v>44782</v>
      </c>
      <c r="B510" s="239" t="s">
        <v>2904</v>
      </c>
      <c r="C510" s="250">
        <v>3</v>
      </c>
      <c r="D510" s="250"/>
      <c r="E510" s="239" t="s">
        <v>2907</v>
      </c>
      <c r="F510" s="250" t="s">
        <v>5</v>
      </c>
      <c r="G510" s="239" t="s">
        <v>447</v>
      </c>
      <c r="H510" s="239" t="s">
        <v>2908</v>
      </c>
      <c r="I510" s="239">
        <v>3</v>
      </c>
      <c r="J510" s="239" t="s">
        <v>476</v>
      </c>
      <c r="K510" s="239" t="s">
        <v>13400</v>
      </c>
      <c r="L510" s="239">
        <v>3</v>
      </c>
      <c r="M510" s="239" t="s">
        <v>451</v>
      </c>
      <c r="N510" s="239">
        <v>3500000</v>
      </c>
      <c r="O510" s="239" t="s">
        <v>454</v>
      </c>
      <c r="P510" s="239" t="s">
        <v>2910</v>
      </c>
      <c r="Q510" s="239" t="s">
        <v>725</v>
      </c>
      <c r="R510" s="219" t="s">
        <v>24</v>
      </c>
      <c r="S510" s="239" t="s">
        <v>2911</v>
      </c>
      <c r="T510" s="239"/>
      <c r="U510" s="239"/>
      <c r="V510" s="239"/>
      <c r="W510" s="239"/>
      <c r="X510" s="239"/>
      <c r="Y510" s="239"/>
      <c r="Z510" s="239"/>
      <c r="AA510" s="239"/>
      <c r="AB510" s="239"/>
    </row>
    <row r="511" spans="1:28" ht="15.75" customHeight="1">
      <c r="A511" s="255">
        <v>44782</v>
      </c>
      <c r="B511" s="239" t="s">
        <v>2263</v>
      </c>
      <c r="C511" s="250">
        <v>3</v>
      </c>
      <c r="D511" s="250"/>
      <c r="E511" s="239" t="s">
        <v>2266</v>
      </c>
      <c r="F511" s="250" t="s">
        <v>5</v>
      </c>
      <c r="G511" s="239" t="s">
        <v>460</v>
      </c>
      <c r="H511" s="239" t="s">
        <v>2267</v>
      </c>
      <c r="I511" s="239">
        <v>3</v>
      </c>
      <c r="J511" s="239" t="s">
        <v>1054</v>
      </c>
      <c r="K511" s="239" t="s">
        <v>2268</v>
      </c>
      <c r="L511" s="239">
        <v>3</v>
      </c>
      <c r="M511" s="239" t="s">
        <v>451</v>
      </c>
      <c r="N511" s="239">
        <v>1300000</v>
      </c>
      <c r="O511" s="239" t="s">
        <v>465</v>
      </c>
      <c r="P511" s="239" t="s">
        <v>2269</v>
      </c>
      <c r="Q511" s="239"/>
      <c r="R511" s="239" t="s">
        <v>24</v>
      </c>
      <c r="S511" s="239" t="s">
        <v>2270</v>
      </c>
      <c r="T511" s="239"/>
      <c r="U511" s="239"/>
      <c r="V511" s="239"/>
      <c r="W511" s="239"/>
      <c r="X511" s="239"/>
      <c r="Y511" s="239"/>
      <c r="Z511" s="239"/>
      <c r="AA511" s="239"/>
      <c r="AB511" s="239"/>
    </row>
    <row r="512" spans="1:28" ht="15.75" customHeight="1">
      <c r="A512" s="248">
        <v>44782</v>
      </c>
      <c r="B512" s="219" t="s">
        <v>2507</v>
      </c>
      <c r="C512" s="250">
        <v>3</v>
      </c>
      <c r="D512" s="250"/>
      <c r="E512" s="219" t="s">
        <v>2510</v>
      </c>
      <c r="F512" s="250" t="s">
        <v>5</v>
      </c>
      <c r="G512" s="219" t="s">
        <v>447</v>
      </c>
      <c r="H512" s="219" t="s">
        <v>10331</v>
      </c>
      <c r="I512" s="219">
        <v>4</v>
      </c>
      <c r="J512" s="219" t="s">
        <v>622</v>
      </c>
      <c r="K512" s="219"/>
      <c r="L512" s="219">
        <v>2</v>
      </c>
      <c r="M512" s="219"/>
      <c r="N512" s="219"/>
      <c r="O512" s="219" t="s">
        <v>452</v>
      </c>
      <c r="P512" s="219" t="s">
        <v>2512</v>
      </c>
      <c r="Q512" s="219"/>
      <c r="R512" s="219" t="s">
        <v>24</v>
      </c>
      <c r="S512" s="219"/>
      <c r="T512" s="219"/>
      <c r="U512" s="252"/>
      <c r="V512" s="252"/>
      <c r="W512" s="252"/>
      <c r="X512" s="219"/>
      <c r="Y512" s="219"/>
      <c r="Z512" s="219"/>
      <c r="AA512" s="219"/>
      <c r="AB512" s="219"/>
    </row>
    <row r="513" spans="1:28" ht="15.75" hidden="1" customHeight="1">
      <c r="A513" s="257">
        <v>44782</v>
      </c>
      <c r="B513" s="258" t="s">
        <v>9630</v>
      </c>
      <c r="C513" s="263">
        <v>3</v>
      </c>
      <c r="D513" s="263"/>
      <c r="E513" s="258" t="s">
        <v>9633</v>
      </c>
      <c r="F513" s="258" t="s">
        <v>4</v>
      </c>
      <c r="G513" s="258" t="s">
        <v>727</v>
      </c>
      <c r="H513" s="258" t="s">
        <v>10378</v>
      </c>
      <c r="I513" s="258">
        <v>3</v>
      </c>
      <c r="J513" s="258" t="s">
        <v>447</v>
      </c>
      <c r="K513" s="258" t="s">
        <v>10379</v>
      </c>
      <c r="L513" s="258">
        <v>3</v>
      </c>
      <c r="M513" s="258" t="s">
        <v>451</v>
      </c>
      <c r="N513" s="258" t="s">
        <v>4444</v>
      </c>
      <c r="O513" s="258" t="s">
        <v>452</v>
      </c>
      <c r="P513" s="258" t="s">
        <v>9636</v>
      </c>
      <c r="Q513" s="258"/>
      <c r="R513" s="258" t="s">
        <v>23</v>
      </c>
      <c r="S513" s="259" t="s">
        <v>9637</v>
      </c>
      <c r="T513" s="259"/>
      <c r="U513" s="258"/>
      <c r="V513" s="258"/>
      <c r="W513" s="258"/>
      <c r="X513" s="258"/>
      <c r="Y513" s="258"/>
      <c r="Z513" s="258"/>
      <c r="AA513" s="258"/>
      <c r="AB513" s="258"/>
    </row>
    <row r="514" spans="1:28" ht="15.75" hidden="1" customHeight="1">
      <c r="A514" s="248">
        <v>44782</v>
      </c>
      <c r="B514" s="219" t="s">
        <v>5757</v>
      </c>
      <c r="C514" s="249">
        <v>3</v>
      </c>
      <c r="D514" s="249"/>
      <c r="E514" s="219" t="s">
        <v>5760</v>
      </c>
      <c r="F514" s="250" t="s">
        <v>4</v>
      </c>
      <c r="G514" s="219" t="s">
        <v>602</v>
      </c>
      <c r="H514" s="219" t="s">
        <v>10403</v>
      </c>
      <c r="I514" s="219">
        <v>4</v>
      </c>
      <c r="J514" s="219" t="s">
        <v>476</v>
      </c>
      <c r="K514" s="219" t="s">
        <v>13400</v>
      </c>
      <c r="L514" s="219">
        <v>2</v>
      </c>
      <c r="M514" s="219" t="s">
        <v>451</v>
      </c>
      <c r="N514" s="219">
        <v>5000000</v>
      </c>
      <c r="O514" s="219" t="s">
        <v>452</v>
      </c>
      <c r="P514" s="219" t="s">
        <v>5763</v>
      </c>
      <c r="Q514" s="219"/>
      <c r="R514" s="219" t="s">
        <v>24</v>
      </c>
      <c r="S514" s="251"/>
      <c r="T514" s="251"/>
      <c r="U514" s="219"/>
      <c r="V514" s="219"/>
      <c r="W514" s="219"/>
      <c r="X514" s="219"/>
      <c r="Y514" s="219"/>
      <c r="Z514" s="219"/>
      <c r="AA514" s="219"/>
      <c r="AB514" s="219"/>
    </row>
    <row r="515" spans="1:28" ht="15.75" customHeight="1">
      <c r="A515" s="253">
        <v>44782</v>
      </c>
      <c r="B515" s="224" t="s">
        <v>3052</v>
      </c>
      <c r="C515" s="250">
        <v>3</v>
      </c>
      <c r="D515" s="250"/>
      <c r="E515" s="224" t="s">
        <v>3055</v>
      </c>
      <c r="F515" s="250" t="s">
        <v>5</v>
      </c>
      <c r="G515" s="224" t="s">
        <v>447</v>
      </c>
      <c r="H515" s="224" t="s">
        <v>11203</v>
      </c>
      <c r="I515" s="224">
        <v>3</v>
      </c>
      <c r="J515" s="224" t="s">
        <v>622</v>
      </c>
      <c r="K515" s="224" t="s">
        <v>3057</v>
      </c>
      <c r="L515" s="224">
        <v>3</v>
      </c>
      <c r="M515" s="224"/>
      <c r="N515" s="224"/>
      <c r="O515" s="224" t="s">
        <v>452</v>
      </c>
      <c r="P515" s="224" t="s">
        <v>452</v>
      </c>
      <c r="Q515" s="224"/>
      <c r="R515" s="224" t="s">
        <v>24</v>
      </c>
      <c r="S515" s="224"/>
      <c r="T515" s="224"/>
      <c r="U515" s="252"/>
      <c r="V515" s="252"/>
      <c r="W515" s="252"/>
      <c r="X515" s="224"/>
      <c r="Y515" s="224"/>
      <c r="Z515" s="224"/>
      <c r="AA515" s="224"/>
      <c r="AB515" s="224"/>
    </row>
    <row r="516" spans="1:28" ht="15.75" hidden="1" customHeight="1">
      <c r="A516" s="257">
        <v>44782</v>
      </c>
      <c r="B516" s="258" t="s">
        <v>9031</v>
      </c>
      <c r="C516" s="249">
        <v>3</v>
      </c>
      <c r="D516" s="249"/>
      <c r="E516" s="258" t="s">
        <v>9034</v>
      </c>
      <c r="F516" s="250" t="s">
        <v>3</v>
      </c>
      <c r="G516" s="258" t="s">
        <v>460</v>
      </c>
      <c r="H516" s="258" t="s">
        <v>9035</v>
      </c>
      <c r="I516" s="258">
        <v>3</v>
      </c>
      <c r="J516" s="258" t="s">
        <v>488</v>
      </c>
      <c r="K516" s="258"/>
      <c r="L516" s="258">
        <v>3</v>
      </c>
      <c r="M516" s="258" t="s">
        <v>784</v>
      </c>
      <c r="N516" s="258" t="s">
        <v>4444</v>
      </c>
      <c r="O516" s="258" t="s">
        <v>452</v>
      </c>
      <c r="P516" s="258" t="s">
        <v>11219</v>
      </c>
      <c r="Q516" s="258" t="s">
        <v>9037</v>
      </c>
      <c r="R516" s="258" t="s">
        <v>24</v>
      </c>
      <c r="S516" s="259" t="s">
        <v>11220</v>
      </c>
      <c r="T516" s="259"/>
      <c r="U516" s="258"/>
      <c r="V516" s="258"/>
      <c r="W516" s="258"/>
      <c r="X516" s="258"/>
      <c r="Y516" s="258"/>
      <c r="Z516" s="258"/>
      <c r="AA516" s="258"/>
      <c r="AB516" s="258"/>
    </row>
    <row r="517" spans="1:28" ht="15.75" hidden="1" customHeight="1">
      <c r="A517" s="257">
        <v>44782</v>
      </c>
      <c r="B517" s="258" t="s">
        <v>308</v>
      </c>
      <c r="C517" s="249">
        <v>3</v>
      </c>
      <c r="D517" s="249"/>
      <c r="E517" s="258" t="s">
        <v>11405</v>
      </c>
      <c r="F517" s="250" t="s">
        <v>3</v>
      </c>
      <c r="G517" s="258" t="s">
        <v>460</v>
      </c>
      <c r="H517" s="258" t="s">
        <v>9653</v>
      </c>
      <c r="I517" s="258">
        <v>3</v>
      </c>
      <c r="J517" s="258" t="s">
        <v>462</v>
      </c>
      <c r="K517" s="258" t="s">
        <v>9654</v>
      </c>
      <c r="L517" s="258">
        <v>3</v>
      </c>
      <c r="M517" s="258"/>
      <c r="N517" s="258">
        <v>1000000</v>
      </c>
      <c r="O517" s="258" t="s">
        <v>452</v>
      </c>
      <c r="P517" s="258" t="s">
        <v>452</v>
      </c>
      <c r="Q517" s="258" t="s">
        <v>9655</v>
      </c>
      <c r="R517" s="258" t="s">
        <v>20</v>
      </c>
      <c r="S517" s="259" t="s">
        <v>9656</v>
      </c>
      <c r="T517" s="259"/>
      <c r="U517" s="258"/>
      <c r="V517" s="258"/>
      <c r="W517" s="258"/>
      <c r="X517" s="258"/>
      <c r="Y517" s="258"/>
      <c r="Z517" s="258"/>
      <c r="AA517" s="258"/>
      <c r="AB517" s="258"/>
    </row>
    <row r="518" spans="1:28" ht="15.75" hidden="1" customHeight="1">
      <c r="A518" s="257">
        <v>44782</v>
      </c>
      <c r="B518" s="258" t="s">
        <v>374</v>
      </c>
      <c r="C518" s="249">
        <v>3</v>
      </c>
      <c r="D518" s="249"/>
      <c r="E518" s="258" t="s">
        <v>9837</v>
      </c>
      <c r="F518" s="250" t="s">
        <v>3</v>
      </c>
      <c r="G518" s="258" t="s">
        <v>460</v>
      </c>
      <c r="H518" s="258" t="s">
        <v>9838</v>
      </c>
      <c r="I518" s="258">
        <v>2</v>
      </c>
      <c r="J518" s="258" t="s">
        <v>462</v>
      </c>
      <c r="K518" s="258" t="s">
        <v>11422</v>
      </c>
      <c r="L518" s="258">
        <v>4</v>
      </c>
      <c r="M518" s="258"/>
      <c r="N518" s="258">
        <v>5000000</v>
      </c>
      <c r="O518" s="258" t="s">
        <v>452</v>
      </c>
      <c r="P518" s="258" t="s">
        <v>11423</v>
      </c>
      <c r="Q518" s="258"/>
      <c r="R518" s="258" t="s">
        <v>19</v>
      </c>
      <c r="S518" s="259" t="s">
        <v>9841</v>
      </c>
      <c r="T518" s="259"/>
      <c r="U518" s="258"/>
      <c r="V518" s="258"/>
      <c r="W518" s="258"/>
      <c r="X518" s="258"/>
      <c r="Y518" s="258"/>
      <c r="Z518" s="258"/>
      <c r="AA518" s="258"/>
      <c r="AB518" s="258"/>
    </row>
    <row r="519" spans="1:28" ht="15.75" hidden="1" customHeight="1">
      <c r="A519" s="257">
        <v>44782</v>
      </c>
      <c r="B519" s="258" t="s">
        <v>9776</v>
      </c>
      <c r="C519" s="249">
        <v>3</v>
      </c>
      <c r="D519" s="249"/>
      <c r="E519" s="258" t="s">
        <v>9779</v>
      </c>
      <c r="F519" s="250" t="s">
        <v>3</v>
      </c>
      <c r="G519" s="258" t="s">
        <v>460</v>
      </c>
      <c r="H519" s="258" t="s">
        <v>11426</v>
      </c>
      <c r="I519" s="258">
        <v>3</v>
      </c>
      <c r="J519" s="258" t="s">
        <v>462</v>
      </c>
      <c r="K519" s="258" t="s">
        <v>11427</v>
      </c>
      <c r="L519" s="258">
        <v>3</v>
      </c>
      <c r="M519" s="258" t="s">
        <v>451</v>
      </c>
      <c r="N519" s="258">
        <v>10000000</v>
      </c>
      <c r="O519" s="258" t="s">
        <v>452</v>
      </c>
      <c r="P519" s="258" t="s">
        <v>452</v>
      </c>
      <c r="Q519" s="258" t="s">
        <v>9782</v>
      </c>
      <c r="R519" s="258" t="s">
        <v>23</v>
      </c>
      <c r="S519" s="259" t="s">
        <v>9783</v>
      </c>
      <c r="T519" s="259"/>
      <c r="U519" s="258"/>
      <c r="V519" s="258"/>
      <c r="W519" s="258"/>
      <c r="X519" s="258"/>
      <c r="Y519" s="258"/>
      <c r="Z519" s="258"/>
      <c r="AA519" s="258"/>
      <c r="AB519" s="258"/>
    </row>
    <row r="520" spans="1:28" ht="15.75" customHeight="1">
      <c r="A520" s="491">
        <v>44784</v>
      </c>
      <c r="B520" s="488" t="s">
        <v>3432</v>
      </c>
      <c r="C520" s="488">
        <v>3</v>
      </c>
      <c r="D520" s="488"/>
      <c r="E520" s="488" t="s">
        <v>3435</v>
      </c>
      <c r="F520" s="488" t="s">
        <v>5</v>
      </c>
      <c r="G520" s="488" t="s">
        <v>447</v>
      </c>
      <c r="H520" s="488" t="s">
        <v>10256</v>
      </c>
      <c r="I520" s="488">
        <v>3</v>
      </c>
      <c r="J520" s="488" t="s">
        <v>476</v>
      </c>
      <c r="K520" s="488" t="s">
        <v>11583</v>
      </c>
      <c r="L520" s="488">
        <v>3</v>
      </c>
      <c r="M520" s="488"/>
      <c r="N520" s="488"/>
      <c r="O520" s="488" t="s">
        <v>465</v>
      </c>
      <c r="P520" s="488" t="s">
        <v>452</v>
      </c>
      <c r="Q520" s="488"/>
      <c r="R520" s="488" t="s">
        <v>24</v>
      </c>
      <c r="S520" s="488" t="s">
        <v>3438</v>
      </c>
      <c r="T520" s="488"/>
      <c r="U520" s="488"/>
      <c r="V520" s="488"/>
      <c r="W520" s="488"/>
      <c r="X520" s="488"/>
      <c r="Y520" s="488"/>
      <c r="Z520" s="258"/>
      <c r="AA520" s="258"/>
      <c r="AB520" s="258"/>
    </row>
    <row r="521" spans="1:28" ht="15.75" hidden="1" customHeight="1">
      <c r="A521" s="267">
        <v>44784</v>
      </c>
      <c r="B521" s="272" t="s">
        <v>5503</v>
      </c>
      <c r="C521" s="269">
        <v>3</v>
      </c>
      <c r="D521" s="269"/>
      <c r="E521" s="272" t="s">
        <v>5506</v>
      </c>
      <c r="F521" s="270" t="s">
        <v>4</v>
      </c>
      <c r="G521" s="272" t="s">
        <v>727</v>
      </c>
      <c r="H521" s="272"/>
      <c r="I521" s="272">
        <v>3</v>
      </c>
      <c r="J521" s="272" t="s">
        <v>1054</v>
      </c>
      <c r="K521" s="272" t="s">
        <v>5507</v>
      </c>
      <c r="L521" s="272">
        <v>3</v>
      </c>
      <c r="M521" s="272" t="s">
        <v>451</v>
      </c>
      <c r="N521" s="272" t="s">
        <v>5508</v>
      </c>
      <c r="O521" s="272" t="s">
        <v>452</v>
      </c>
      <c r="P521" s="272" t="s">
        <v>10335</v>
      </c>
      <c r="Q521" s="272"/>
      <c r="R521" s="272" t="s">
        <v>24</v>
      </c>
      <c r="S521" s="274"/>
      <c r="T521" s="274"/>
      <c r="U521" s="272"/>
      <c r="V521" s="272"/>
      <c r="W521" s="272"/>
      <c r="X521" s="272"/>
      <c r="Y521" s="272"/>
      <c r="Z521" s="224"/>
      <c r="AA521" s="224"/>
      <c r="AB521" s="224"/>
    </row>
    <row r="522" spans="1:28" ht="15.75" customHeight="1">
      <c r="A522" s="398">
        <v>44784</v>
      </c>
      <c r="B522" s="505" t="s">
        <v>3019</v>
      </c>
      <c r="C522" s="482">
        <v>3</v>
      </c>
      <c r="D522" s="482"/>
      <c r="E522" s="505" t="s">
        <v>10396</v>
      </c>
      <c r="F522" s="482" t="s">
        <v>5</v>
      </c>
      <c r="G522" s="505" t="s">
        <v>447</v>
      </c>
      <c r="H522" s="505" t="s">
        <v>10397</v>
      </c>
      <c r="I522" s="505">
        <v>3</v>
      </c>
      <c r="J522" s="505" t="s">
        <v>622</v>
      </c>
      <c r="K522" s="505" t="s">
        <v>3024</v>
      </c>
      <c r="L522" s="505">
        <v>3</v>
      </c>
      <c r="M522" s="505" t="s">
        <v>784</v>
      </c>
      <c r="N522" s="529">
        <v>1000000</v>
      </c>
      <c r="O522" s="505" t="s">
        <v>452</v>
      </c>
      <c r="P522" s="529" t="s">
        <v>3025</v>
      </c>
      <c r="Q522" s="505" t="s">
        <v>447</v>
      </c>
      <c r="R522" s="505" t="s">
        <v>24</v>
      </c>
      <c r="S522" s="505"/>
      <c r="T522" s="505"/>
      <c r="U522" s="505"/>
      <c r="V522" s="505"/>
      <c r="W522" s="505"/>
      <c r="X522" s="505"/>
      <c r="Y522" s="505"/>
      <c r="Z522" s="219"/>
      <c r="AA522" s="219"/>
      <c r="AB522" s="219"/>
    </row>
    <row r="523" spans="1:28" ht="15.75" customHeight="1">
      <c r="A523" s="398">
        <v>44784</v>
      </c>
      <c r="B523" s="481" t="s">
        <v>2876</v>
      </c>
      <c r="C523" s="482">
        <v>3</v>
      </c>
      <c r="D523" s="482"/>
      <c r="E523" s="481" t="s">
        <v>11781</v>
      </c>
      <c r="F523" s="482" t="s">
        <v>5</v>
      </c>
      <c r="G523" s="481" t="s">
        <v>447</v>
      </c>
      <c r="H523" s="481" t="s">
        <v>10447</v>
      </c>
      <c r="I523" s="481">
        <v>2</v>
      </c>
      <c r="J523" s="481" t="s">
        <v>476</v>
      </c>
      <c r="K523" s="481" t="s">
        <v>11584</v>
      </c>
      <c r="L523" s="481">
        <v>4</v>
      </c>
      <c r="M523" s="481" t="s">
        <v>451</v>
      </c>
      <c r="N523" s="530">
        <v>5000000</v>
      </c>
      <c r="O523" s="481" t="s">
        <v>452</v>
      </c>
      <c r="P523" s="530" t="s">
        <v>2882</v>
      </c>
      <c r="Q523" s="481"/>
      <c r="R523" s="481" t="s">
        <v>24</v>
      </c>
      <c r="S523" s="481"/>
      <c r="T523" s="481"/>
      <c r="U523" s="481"/>
      <c r="V523" s="481"/>
      <c r="W523" s="481"/>
      <c r="X523" s="481"/>
      <c r="Y523" s="481"/>
      <c r="Z523" s="224"/>
      <c r="AA523" s="224"/>
      <c r="AB523" s="224"/>
    </row>
    <row r="524" spans="1:28" ht="15.75" customHeight="1">
      <c r="A524" s="398">
        <v>44784</v>
      </c>
      <c r="B524" s="505" t="s">
        <v>3068</v>
      </c>
      <c r="C524" s="482">
        <v>3</v>
      </c>
      <c r="D524" s="482"/>
      <c r="E524" s="505" t="s">
        <v>3071</v>
      </c>
      <c r="F524" s="482" t="s">
        <v>5</v>
      </c>
      <c r="G524" s="505" t="s">
        <v>447</v>
      </c>
      <c r="H524" s="505" t="s">
        <v>10450</v>
      </c>
      <c r="I524" s="505">
        <v>3</v>
      </c>
      <c r="J524" s="505" t="s">
        <v>449</v>
      </c>
      <c r="K524" s="505" t="s">
        <v>11585</v>
      </c>
      <c r="L524" s="505">
        <v>3</v>
      </c>
      <c r="M524" s="505"/>
      <c r="N524" s="505"/>
      <c r="O524" s="505" t="s">
        <v>452</v>
      </c>
      <c r="P524" s="505" t="s">
        <v>3074</v>
      </c>
      <c r="Q524" s="505"/>
      <c r="R524" s="505" t="s">
        <v>24</v>
      </c>
      <c r="S524" s="505"/>
      <c r="T524" s="505"/>
      <c r="U524" s="505"/>
      <c r="V524" s="505"/>
      <c r="W524" s="505"/>
      <c r="X524" s="505"/>
      <c r="Y524" s="505"/>
      <c r="Z524" s="219"/>
      <c r="AA524" s="219"/>
      <c r="AB524" s="219"/>
    </row>
    <row r="525" spans="1:28" ht="15.75" customHeight="1">
      <c r="A525" s="491">
        <v>44784</v>
      </c>
      <c r="B525" s="488" t="s">
        <v>3395</v>
      </c>
      <c r="C525" s="488">
        <v>3</v>
      </c>
      <c r="D525" s="488"/>
      <c r="E525" s="488" t="s">
        <v>3398</v>
      </c>
      <c r="F525" s="488" t="s">
        <v>5</v>
      </c>
      <c r="G525" s="488" t="s">
        <v>447</v>
      </c>
      <c r="H525" s="488" t="s">
        <v>10462</v>
      </c>
      <c r="I525" s="488">
        <v>3</v>
      </c>
      <c r="J525" s="488" t="s">
        <v>543</v>
      </c>
      <c r="K525" s="488" t="s">
        <v>11586</v>
      </c>
      <c r="L525" s="488">
        <v>3</v>
      </c>
      <c r="M525" s="488" t="s">
        <v>451</v>
      </c>
      <c r="N525" s="488">
        <v>1000000</v>
      </c>
      <c r="O525" s="488" t="s">
        <v>452</v>
      </c>
      <c r="P525" s="488" t="s">
        <v>10464</v>
      </c>
      <c r="Q525" s="488"/>
      <c r="R525" s="488" t="s">
        <v>24</v>
      </c>
      <c r="S525" s="488" t="s">
        <v>2260</v>
      </c>
      <c r="T525" s="488"/>
      <c r="U525" s="488"/>
      <c r="V525" s="488"/>
      <c r="W525" s="488"/>
      <c r="X525" s="488"/>
      <c r="Y525" s="488"/>
      <c r="Z525" s="258"/>
      <c r="AA525" s="258"/>
      <c r="AB525" s="258"/>
    </row>
    <row r="526" spans="1:28" ht="15.75" customHeight="1">
      <c r="A526" s="491">
        <v>44784</v>
      </c>
      <c r="B526" s="488" t="s">
        <v>2426</v>
      </c>
      <c r="C526" s="488">
        <v>3</v>
      </c>
      <c r="D526" s="488"/>
      <c r="E526" s="488" t="s">
        <v>2429</v>
      </c>
      <c r="F526" s="488" t="s">
        <v>5</v>
      </c>
      <c r="G526" s="488" t="s">
        <v>447</v>
      </c>
      <c r="H526" s="488" t="s">
        <v>10614</v>
      </c>
      <c r="I526" s="488">
        <v>2.5</v>
      </c>
      <c r="J526" s="488" t="s">
        <v>449</v>
      </c>
      <c r="K526" s="488" t="s">
        <v>11587</v>
      </c>
      <c r="L526" s="488">
        <v>3.5</v>
      </c>
      <c r="M526" s="488" t="s">
        <v>478</v>
      </c>
      <c r="N526" s="493">
        <v>7000000</v>
      </c>
      <c r="O526" s="488" t="s">
        <v>452</v>
      </c>
      <c r="P526" s="493" t="s">
        <v>2432</v>
      </c>
      <c r="Q526" s="488"/>
      <c r="R526" s="488" t="s">
        <v>24</v>
      </c>
      <c r="S526" s="488" t="s">
        <v>2433</v>
      </c>
      <c r="T526" s="488"/>
      <c r="U526" s="488"/>
      <c r="V526" s="488"/>
      <c r="W526" s="488"/>
      <c r="X526" s="488"/>
      <c r="Y526" s="488"/>
      <c r="Z526" s="258"/>
      <c r="AA526" s="258"/>
      <c r="AB526" s="258"/>
    </row>
    <row r="527" spans="1:28" ht="15.75" hidden="1" customHeight="1">
      <c r="A527" s="267">
        <v>44784</v>
      </c>
      <c r="B527" s="272" t="s">
        <v>5548</v>
      </c>
      <c r="C527" s="269">
        <v>3</v>
      </c>
      <c r="D527" s="269"/>
      <c r="E527" s="272" t="s">
        <v>5551</v>
      </c>
      <c r="F527" s="270" t="s">
        <v>4</v>
      </c>
      <c r="G527" s="272" t="s">
        <v>727</v>
      </c>
      <c r="H527" s="272" t="s">
        <v>10730</v>
      </c>
      <c r="I527" s="272">
        <v>3</v>
      </c>
      <c r="J527" s="272" t="s">
        <v>1054</v>
      </c>
      <c r="K527" s="272" t="s">
        <v>5553</v>
      </c>
      <c r="L527" s="272">
        <v>3</v>
      </c>
      <c r="M527" s="272" t="s">
        <v>451</v>
      </c>
      <c r="N527" s="272">
        <v>5000000</v>
      </c>
      <c r="O527" s="272" t="s">
        <v>452</v>
      </c>
      <c r="P527" s="272" t="s">
        <v>452</v>
      </c>
      <c r="Q527" s="272" t="s">
        <v>5554</v>
      </c>
      <c r="R527" s="272" t="s">
        <v>24</v>
      </c>
      <c r="S527" s="274"/>
      <c r="T527" s="274"/>
      <c r="U527" s="272"/>
      <c r="V527" s="272"/>
      <c r="W527" s="272"/>
      <c r="X527" s="272"/>
      <c r="Y527" s="272"/>
      <c r="Z527" s="224"/>
      <c r="AA527" s="224"/>
      <c r="AB527" s="224"/>
    </row>
    <row r="528" spans="1:28" ht="15.75" hidden="1" customHeight="1">
      <c r="A528" s="267">
        <v>44784</v>
      </c>
      <c r="B528" s="268" t="s">
        <v>5800</v>
      </c>
      <c r="C528" s="269">
        <v>3</v>
      </c>
      <c r="D528" s="269"/>
      <c r="E528" s="268" t="s">
        <v>5803</v>
      </c>
      <c r="F528" s="270" t="s">
        <v>4</v>
      </c>
      <c r="G528" s="268" t="s">
        <v>727</v>
      </c>
      <c r="H528" s="268" t="s">
        <v>10863</v>
      </c>
      <c r="I528" s="268">
        <v>3</v>
      </c>
      <c r="J528" s="268" t="s">
        <v>476</v>
      </c>
      <c r="K528" s="268" t="s">
        <v>11588</v>
      </c>
      <c r="L528" s="268">
        <v>3</v>
      </c>
      <c r="M528" s="268" t="s">
        <v>451</v>
      </c>
      <c r="N528" s="285">
        <v>1000000</v>
      </c>
      <c r="O528" s="268" t="s">
        <v>452</v>
      </c>
      <c r="P528" s="285" t="s">
        <v>10865</v>
      </c>
      <c r="Q528" s="268"/>
      <c r="R528" s="268" t="s">
        <v>24</v>
      </c>
      <c r="S528" s="271"/>
      <c r="T528" s="271"/>
      <c r="U528" s="268"/>
      <c r="V528" s="268"/>
      <c r="W528" s="268"/>
      <c r="X528" s="268"/>
      <c r="Y528" s="268"/>
      <c r="Z528" s="219"/>
      <c r="AA528" s="219"/>
      <c r="AB528" s="219"/>
    </row>
    <row r="529" spans="1:28" ht="15.75" hidden="1" customHeight="1">
      <c r="A529" s="267">
        <v>44784</v>
      </c>
      <c r="B529" s="272" t="s">
        <v>5765</v>
      </c>
      <c r="C529" s="269">
        <v>3</v>
      </c>
      <c r="D529" s="269"/>
      <c r="E529" s="531" t="s">
        <v>5768</v>
      </c>
      <c r="F529" s="270" t="s">
        <v>4</v>
      </c>
      <c r="G529" s="272" t="s">
        <v>727</v>
      </c>
      <c r="H529" s="272" t="s">
        <v>5769</v>
      </c>
      <c r="I529" s="272">
        <v>3</v>
      </c>
      <c r="J529" s="272" t="s">
        <v>476</v>
      </c>
      <c r="K529" s="272" t="s">
        <v>11589</v>
      </c>
      <c r="L529" s="272">
        <v>3</v>
      </c>
      <c r="M529" s="272" t="s">
        <v>784</v>
      </c>
      <c r="N529" s="273">
        <v>300000</v>
      </c>
      <c r="O529" s="272" t="s">
        <v>452</v>
      </c>
      <c r="P529" s="273" t="s">
        <v>5771</v>
      </c>
      <c r="Q529" s="272"/>
      <c r="R529" s="272" t="s">
        <v>24</v>
      </c>
      <c r="S529" s="274"/>
      <c r="T529" s="274"/>
      <c r="U529" s="272"/>
      <c r="V529" s="272"/>
      <c r="W529" s="272"/>
      <c r="X529" s="272"/>
      <c r="Y529" s="272"/>
      <c r="Z529" s="224"/>
      <c r="AA529" s="224"/>
      <c r="AB529" s="224"/>
    </row>
    <row r="530" spans="1:28" ht="15.75" hidden="1" customHeight="1">
      <c r="A530" s="267">
        <v>44784</v>
      </c>
      <c r="B530" s="268" t="s">
        <v>5809</v>
      </c>
      <c r="C530" s="269">
        <v>3</v>
      </c>
      <c r="D530" s="269"/>
      <c r="E530" s="290" t="s">
        <v>11396</v>
      </c>
      <c r="F530" s="270" t="s">
        <v>4</v>
      </c>
      <c r="G530" s="268" t="s">
        <v>602</v>
      </c>
      <c r="H530" s="268" t="s">
        <v>5813</v>
      </c>
      <c r="I530" s="268">
        <v>3</v>
      </c>
      <c r="J530" s="268" t="s">
        <v>1054</v>
      </c>
      <c r="K530" s="268" t="s">
        <v>5814</v>
      </c>
      <c r="L530" s="268">
        <v>3</v>
      </c>
      <c r="M530" s="268" t="s">
        <v>451</v>
      </c>
      <c r="N530" s="268" t="s">
        <v>5815</v>
      </c>
      <c r="O530" s="268" t="s">
        <v>465</v>
      </c>
      <c r="P530" s="268" t="s">
        <v>452</v>
      </c>
      <c r="Q530" s="268"/>
      <c r="R530" s="268" t="s">
        <v>24</v>
      </c>
      <c r="S530" s="271"/>
      <c r="T530" s="271"/>
      <c r="U530" s="268"/>
      <c r="V530" s="268"/>
      <c r="W530" s="268"/>
      <c r="X530" s="268"/>
      <c r="Y530" s="268"/>
      <c r="Z530" s="219"/>
      <c r="AA530" s="219"/>
      <c r="AB530" s="219"/>
    </row>
    <row r="531" spans="1:28" ht="15.75" hidden="1" customHeight="1">
      <c r="A531" s="267">
        <v>44784</v>
      </c>
      <c r="B531" s="272" t="s">
        <v>5556</v>
      </c>
      <c r="C531" s="269">
        <v>3</v>
      </c>
      <c r="D531" s="269"/>
      <c r="E531" s="272" t="s">
        <v>5559</v>
      </c>
      <c r="F531" s="270" t="s">
        <v>4</v>
      </c>
      <c r="G531" s="272" t="s">
        <v>602</v>
      </c>
      <c r="H531" s="272" t="s">
        <v>5560</v>
      </c>
      <c r="I531" s="272">
        <v>3</v>
      </c>
      <c r="J531" s="272" t="s">
        <v>727</v>
      </c>
      <c r="K531" s="272" t="s">
        <v>11448</v>
      </c>
      <c r="L531" s="272">
        <v>3</v>
      </c>
      <c r="M531" s="272" t="s">
        <v>451</v>
      </c>
      <c r="N531" s="272" t="s">
        <v>5562</v>
      </c>
      <c r="O531" s="272" t="s">
        <v>452</v>
      </c>
      <c r="P531" s="272" t="s">
        <v>452</v>
      </c>
      <c r="Q531" s="272"/>
      <c r="R531" s="272" t="s">
        <v>24</v>
      </c>
      <c r="S531" s="274"/>
      <c r="T531" s="274"/>
      <c r="U531" s="272"/>
      <c r="V531" s="272"/>
      <c r="W531" s="272"/>
      <c r="X531" s="272"/>
      <c r="Y531" s="272"/>
      <c r="Z531" s="224"/>
      <c r="AA531" s="224"/>
      <c r="AB531" s="224"/>
    </row>
    <row r="532" spans="1:28" ht="15.75" customHeight="1">
      <c r="A532" s="257">
        <v>44782</v>
      </c>
      <c r="B532" s="258" t="s">
        <v>120</v>
      </c>
      <c r="C532" s="250">
        <v>3.75</v>
      </c>
      <c r="D532" s="250" t="str">
        <f>IFERROR(VLOOKUP(B532,'2022-2023 Third Reviews'!$C:$S,9,FALSE),"")</f>
        <v/>
      </c>
      <c r="E532" s="258" t="s">
        <v>864</v>
      </c>
      <c r="F532" s="250" t="s">
        <v>5</v>
      </c>
      <c r="G532" s="258" t="s">
        <v>447</v>
      </c>
      <c r="H532" s="258" t="s">
        <v>10457</v>
      </c>
      <c r="I532" s="258">
        <v>3.5</v>
      </c>
      <c r="J532" s="258" t="s">
        <v>543</v>
      </c>
      <c r="K532" s="258" t="s">
        <v>866</v>
      </c>
      <c r="L532" s="258">
        <v>4</v>
      </c>
      <c r="M532" s="258"/>
      <c r="N532" s="258"/>
      <c r="O532" s="258" t="s">
        <v>452</v>
      </c>
      <c r="P532" s="258" t="s">
        <v>452</v>
      </c>
      <c r="Q532" s="258"/>
      <c r="R532" s="258" t="s">
        <v>18</v>
      </c>
      <c r="S532" s="258" t="s">
        <v>867</v>
      </c>
      <c r="T532" s="258" t="s">
        <v>11823</v>
      </c>
      <c r="U532" s="258"/>
      <c r="V532" s="258"/>
      <c r="W532" s="258"/>
      <c r="X532" s="258"/>
      <c r="Y532" s="258"/>
      <c r="Z532" s="258"/>
      <c r="AA532" s="258"/>
      <c r="AB532" s="258"/>
    </row>
    <row r="533" spans="1:28" ht="15.75" customHeight="1">
      <c r="A533" s="253">
        <v>44789</v>
      </c>
      <c r="B533" s="224" t="s">
        <v>3478</v>
      </c>
      <c r="C533" s="250">
        <v>3</v>
      </c>
      <c r="D533" s="250"/>
      <c r="E533" s="224" t="s">
        <v>3481</v>
      </c>
      <c r="F533" s="250" t="s">
        <v>5</v>
      </c>
      <c r="G533" s="224" t="s">
        <v>447</v>
      </c>
      <c r="H533" s="224" t="s">
        <v>10346</v>
      </c>
      <c r="I533" s="224">
        <v>3</v>
      </c>
      <c r="J533" s="224" t="s">
        <v>622</v>
      </c>
      <c r="K533" s="224" t="s">
        <v>3483</v>
      </c>
      <c r="L533" s="224">
        <v>3</v>
      </c>
      <c r="M533" s="224" t="s">
        <v>451</v>
      </c>
      <c r="N533" s="307">
        <v>650000</v>
      </c>
      <c r="O533" s="224" t="s">
        <v>452</v>
      </c>
      <c r="P533" s="224" t="s">
        <v>3484</v>
      </c>
      <c r="Q533" s="224"/>
      <c r="R533" s="224" t="s">
        <v>24</v>
      </c>
      <c r="S533" s="224"/>
      <c r="T533" s="224"/>
      <c r="U533" s="252"/>
      <c r="V533" s="252"/>
      <c r="W533" s="252"/>
      <c r="X533" s="224"/>
      <c r="Y533" s="224"/>
      <c r="Z533" s="224"/>
      <c r="AA533" s="224"/>
      <c r="AB533" s="224"/>
    </row>
    <row r="534" spans="1:28" ht="15.75" customHeight="1">
      <c r="A534" s="248">
        <v>44789</v>
      </c>
      <c r="B534" s="219" t="s">
        <v>2165</v>
      </c>
      <c r="C534" s="250">
        <v>3</v>
      </c>
      <c r="D534" s="250"/>
      <c r="E534" s="219" t="s">
        <v>10625</v>
      </c>
      <c r="F534" s="250" t="s">
        <v>5</v>
      </c>
      <c r="G534" s="219" t="s">
        <v>447</v>
      </c>
      <c r="H534" s="219" t="s">
        <v>10626</v>
      </c>
      <c r="I534" s="219">
        <v>2.5</v>
      </c>
      <c r="J534" s="219" t="s">
        <v>476</v>
      </c>
      <c r="K534" s="219" t="s">
        <v>13400</v>
      </c>
      <c r="L534" s="219">
        <v>3.5</v>
      </c>
      <c r="M534" s="219" t="s">
        <v>451</v>
      </c>
      <c r="N534" s="219" t="s">
        <v>2171</v>
      </c>
      <c r="O534" s="219" t="s">
        <v>452</v>
      </c>
      <c r="P534" s="219" t="s">
        <v>452</v>
      </c>
      <c r="Q534" s="219"/>
      <c r="R534" s="219" t="s">
        <v>24</v>
      </c>
      <c r="S534" s="219"/>
      <c r="T534" s="219"/>
      <c r="U534" s="252"/>
      <c r="V534" s="252"/>
      <c r="W534" s="252"/>
      <c r="X534" s="219"/>
      <c r="Y534" s="219"/>
      <c r="Z534" s="219"/>
      <c r="AA534" s="219"/>
      <c r="AB534" s="219"/>
    </row>
    <row r="535" spans="1:28" ht="15.75" hidden="1" customHeight="1">
      <c r="A535" s="253">
        <v>44789</v>
      </c>
      <c r="B535" s="224" t="s">
        <v>5685</v>
      </c>
      <c r="C535" s="249">
        <v>3</v>
      </c>
      <c r="D535" s="249"/>
      <c r="E535" s="224" t="s">
        <v>5688</v>
      </c>
      <c r="F535" s="250" t="s">
        <v>4</v>
      </c>
      <c r="G535" s="224" t="s">
        <v>727</v>
      </c>
      <c r="H535" s="224"/>
      <c r="I535" s="224">
        <v>3</v>
      </c>
      <c r="J535" s="224" t="s">
        <v>476</v>
      </c>
      <c r="K535" s="224" t="s">
        <v>13400</v>
      </c>
      <c r="L535" s="224">
        <v>3</v>
      </c>
      <c r="M535" s="224" t="s">
        <v>478</v>
      </c>
      <c r="N535" s="224">
        <v>1000000</v>
      </c>
      <c r="O535" s="224" t="s">
        <v>452</v>
      </c>
      <c r="P535" s="224" t="s">
        <v>452</v>
      </c>
      <c r="Q535" s="224"/>
      <c r="R535" s="224" t="s">
        <v>24</v>
      </c>
      <c r="S535" s="254"/>
      <c r="T535" s="254"/>
      <c r="U535" s="252"/>
      <c r="V535" s="252"/>
      <c r="W535" s="252"/>
      <c r="X535" s="224"/>
      <c r="Y535" s="224"/>
      <c r="Z535" s="224"/>
      <c r="AA535" s="224"/>
      <c r="AB535" s="224"/>
    </row>
    <row r="536" spans="1:28" ht="15.75" customHeight="1">
      <c r="A536" s="248">
        <v>44789</v>
      </c>
      <c r="B536" s="219" t="s">
        <v>2824</v>
      </c>
      <c r="C536" s="250">
        <v>3</v>
      </c>
      <c r="D536" s="250"/>
      <c r="E536" s="219" t="s">
        <v>2827</v>
      </c>
      <c r="F536" s="250" t="s">
        <v>5</v>
      </c>
      <c r="G536" s="219" t="s">
        <v>447</v>
      </c>
      <c r="H536" s="219" t="s">
        <v>10848</v>
      </c>
      <c r="I536" s="219">
        <v>3</v>
      </c>
      <c r="J536" s="219" t="s">
        <v>622</v>
      </c>
      <c r="K536" s="219" t="e">
        <f>+Tries to solve the issue of getting drinking water.</f>
        <v>#NAME?</v>
      </c>
      <c r="L536" s="219">
        <v>3</v>
      </c>
      <c r="M536" s="219"/>
      <c r="N536" s="312"/>
      <c r="O536" s="219" t="s">
        <v>452</v>
      </c>
      <c r="P536" s="219" t="s">
        <v>2830</v>
      </c>
      <c r="Q536" s="219"/>
      <c r="R536" s="219" t="s">
        <v>24</v>
      </c>
      <c r="S536" s="219"/>
      <c r="T536" s="219"/>
      <c r="U536" s="252"/>
      <c r="V536" s="252"/>
      <c r="W536" s="252"/>
      <c r="X536" s="219"/>
      <c r="Y536" s="219"/>
      <c r="Z536" s="219"/>
      <c r="AA536" s="219"/>
      <c r="AB536" s="219"/>
    </row>
    <row r="537" spans="1:28" ht="15.75" customHeight="1">
      <c r="A537" s="253">
        <v>44789</v>
      </c>
      <c r="B537" s="224" t="s">
        <v>3387</v>
      </c>
      <c r="C537" s="250">
        <v>3</v>
      </c>
      <c r="D537" s="250"/>
      <c r="E537" s="224" t="s">
        <v>3390</v>
      </c>
      <c r="F537" s="250" t="s">
        <v>5</v>
      </c>
      <c r="G537" s="224" t="s">
        <v>447</v>
      </c>
      <c r="H537" s="224"/>
      <c r="I537" s="224">
        <v>3</v>
      </c>
      <c r="J537" s="224" t="s">
        <v>543</v>
      </c>
      <c r="K537" s="224" t="s">
        <v>10899</v>
      </c>
      <c r="L537" s="224">
        <v>3</v>
      </c>
      <c r="M537" s="224"/>
      <c r="N537" s="224"/>
      <c r="O537" s="224" t="s">
        <v>452</v>
      </c>
      <c r="P537" s="224" t="s">
        <v>10900</v>
      </c>
      <c r="Q537" s="224"/>
      <c r="R537" s="224" t="s">
        <v>24</v>
      </c>
      <c r="S537" s="224"/>
      <c r="T537" s="224"/>
      <c r="U537" s="252"/>
      <c r="V537" s="252"/>
      <c r="W537" s="252"/>
      <c r="X537" s="224"/>
      <c r="Y537" s="224"/>
      <c r="Z537" s="224"/>
      <c r="AA537" s="224"/>
      <c r="AB537" s="224"/>
    </row>
    <row r="538" spans="1:28" ht="15.75" hidden="1" customHeight="1">
      <c r="A538" s="248">
        <v>44789</v>
      </c>
      <c r="B538" s="219" t="s">
        <v>9311</v>
      </c>
      <c r="C538" s="249">
        <v>3</v>
      </c>
      <c r="D538" s="249"/>
      <c r="E538" s="219" t="s">
        <v>9314</v>
      </c>
      <c r="F538" s="250" t="s">
        <v>3</v>
      </c>
      <c r="G538" s="219" t="s">
        <v>460</v>
      </c>
      <c r="H538" s="219" t="s">
        <v>9315</v>
      </c>
      <c r="I538" s="219">
        <v>3</v>
      </c>
      <c r="J538" s="219" t="s">
        <v>462</v>
      </c>
      <c r="K538" s="219" t="s">
        <v>9316</v>
      </c>
      <c r="L538" s="219">
        <v>3</v>
      </c>
      <c r="M538" s="219" t="s">
        <v>451</v>
      </c>
      <c r="N538" s="312">
        <v>500000</v>
      </c>
      <c r="O538" s="219" t="s">
        <v>452</v>
      </c>
      <c r="P538" s="219" t="s">
        <v>452</v>
      </c>
      <c r="Q538" s="219"/>
      <c r="R538" s="219" t="s">
        <v>24</v>
      </c>
      <c r="S538" s="251"/>
      <c r="T538" s="251"/>
      <c r="U538" s="252"/>
      <c r="V538" s="252"/>
      <c r="W538" s="252"/>
      <c r="X538" s="219"/>
      <c r="Y538" s="219"/>
      <c r="Z538" s="219"/>
      <c r="AA538" s="219"/>
      <c r="AB538" s="219"/>
    </row>
    <row r="539" spans="1:28" ht="15.75" customHeight="1">
      <c r="A539" s="255">
        <v>44789</v>
      </c>
      <c r="B539" s="239" t="s">
        <v>10931</v>
      </c>
      <c r="C539" s="239">
        <v>3</v>
      </c>
      <c r="D539" s="239"/>
      <c r="E539" s="239" t="s">
        <v>2256</v>
      </c>
      <c r="F539" s="239" t="s">
        <v>5</v>
      </c>
      <c r="G539" s="239" t="s">
        <v>447</v>
      </c>
      <c r="H539" s="239" t="s">
        <v>10932</v>
      </c>
      <c r="I539" s="239">
        <v>3</v>
      </c>
      <c r="J539" s="239" t="s">
        <v>622</v>
      </c>
      <c r="K539" s="239" t="s">
        <v>13400</v>
      </c>
      <c r="L539" s="239">
        <v>3</v>
      </c>
      <c r="M539" s="239" t="s">
        <v>451</v>
      </c>
      <c r="N539" s="239">
        <v>1000000</v>
      </c>
      <c r="O539" s="239" t="s">
        <v>452</v>
      </c>
      <c r="P539" s="239" t="s">
        <v>2259</v>
      </c>
      <c r="Q539" s="239"/>
      <c r="R539" s="239" t="s">
        <v>24</v>
      </c>
      <c r="S539" s="239" t="s">
        <v>2260</v>
      </c>
      <c r="T539" s="239"/>
      <c r="U539" s="239"/>
      <c r="V539" s="239"/>
      <c r="W539" s="239"/>
      <c r="X539" s="239"/>
      <c r="Y539" s="239"/>
      <c r="Z539" s="239"/>
      <c r="AA539" s="239"/>
      <c r="AB539" s="239"/>
    </row>
    <row r="540" spans="1:28" ht="15.75" customHeight="1">
      <c r="A540" s="248">
        <v>44789</v>
      </c>
      <c r="B540" s="219" t="s">
        <v>3320</v>
      </c>
      <c r="C540" s="250">
        <v>3</v>
      </c>
      <c r="D540" s="250"/>
      <c r="E540" s="219" t="s">
        <v>3323</v>
      </c>
      <c r="F540" s="250" t="s">
        <v>5</v>
      </c>
      <c r="G540" s="219" t="s">
        <v>447</v>
      </c>
      <c r="H540" s="219" t="s">
        <v>10985</v>
      </c>
      <c r="I540" s="219">
        <v>3</v>
      </c>
      <c r="J540" s="219" t="s">
        <v>543</v>
      </c>
      <c r="K540" s="219" t="e">
        <f>+ Methane to methanol conversion at the oil wellhead ending flaring with carbon emissions
+ Direct partial oxidation which combines natural gas with oxygen at elevated temperature and pressure to produce methanol
                                                                                                                                                                                                                                                                it- still in the prototype phase and need to quickly come up with actual model and acquire customers</f>
        <v>#NAME?</v>
      </c>
      <c r="L540" s="219">
        <v>3</v>
      </c>
      <c r="M540" s="219" t="s">
        <v>451</v>
      </c>
      <c r="N540" s="312">
        <v>1200000</v>
      </c>
      <c r="O540" s="219" t="s">
        <v>452</v>
      </c>
      <c r="P540" s="219" t="s">
        <v>3326</v>
      </c>
      <c r="Q540" s="219" t="s">
        <v>3327</v>
      </c>
      <c r="R540" s="219" t="s">
        <v>24</v>
      </c>
      <c r="S540" s="219"/>
      <c r="T540" s="219"/>
      <c r="U540" s="252"/>
      <c r="V540" s="252"/>
      <c r="W540" s="252"/>
      <c r="X540" s="219"/>
      <c r="Y540" s="219"/>
      <c r="Z540" s="219"/>
      <c r="AA540" s="219"/>
      <c r="AB540" s="219"/>
    </row>
    <row r="541" spans="1:28" ht="15.75" hidden="1" customHeight="1">
      <c r="A541" s="253">
        <v>44789</v>
      </c>
      <c r="B541" s="224" t="s">
        <v>5573</v>
      </c>
      <c r="C541" s="249">
        <v>3</v>
      </c>
      <c r="D541" s="249"/>
      <c r="E541" s="224" t="s">
        <v>5576</v>
      </c>
      <c r="F541" s="250" t="s">
        <v>4</v>
      </c>
      <c r="G541" s="224" t="s">
        <v>602</v>
      </c>
      <c r="H541" s="224" t="s">
        <v>5577</v>
      </c>
      <c r="I541" s="224">
        <v>3</v>
      </c>
      <c r="J541" s="224" t="s">
        <v>476</v>
      </c>
      <c r="K541" s="224" t="s">
        <v>13400</v>
      </c>
      <c r="L541" s="224">
        <v>3</v>
      </c>
      <c r="M541" s="224" t="s">
        <v>784</v>
      </c>
      <c r="N541" s="224">
        <v>512000</v>
      </c>
      <c r="O541" s="224" t="s">
        <v>452</v>
      </c>
      <c r="P541" s="224" t="s">
        <v>5579</v>
      </c>
      <c r="Q541" s="224"/>
      <c r="R541" s="224" t="s">
        <v>24</v>
      </c>
      <c r="S541" s="254"/>
      <c r="T541" s="254"/>
      <c r="U541" s="252"/>
      <c r="V541" s="252"/>
      <c r="W541" s="252"/>
      <c r="X541" s="224"/>
      <c r="Y541" s="224"/>
      <c r="Z541" s="224"/>
      <c r="AA541" s="224"/>
      <c r="AB541" s="224"/>
    </row>
    <row r="542" spans="1:28" ht="15.75" customHeight="1">
      <c r="A542" s="248">
        <v>44789</v>
      </c>
      <c r="B542" s="219" t="s">
        <v>2326</v>
      </c>
      <c r="C542" s="250">
        <v>3</v>
      </c>
      <c r="D542" s="250"/>
      <c r="E542" s="219" t="s">
        <v>2329</v>
      </c>
      <c r="F542" s="250" t="s">
        <v>5</v>
      </c>
      <c r="G542" s="219" t="s">
        <v>447</v>
      </c>
      <c r="H542" s="219" t="s">
        <v>11027</v>
      </c>
      <c r="I542" s="219">
        <v>3</v>
      </c>
      <c r="J542" s="219" t="s">
        <v>622</v>
      </c>
      <c r="K542" s="219" t="e">
        <f>+Capital Intensive venture.
-No cash inflow at the current stage.
+Littlle early for EFL
-not a good fit for this year.</f>
        <v>#NAME?</v>
      </c>
      <c r="L542" s="219">
        <v>3</v>
      </c>
      <c r="M542" s="219"/>
      <c r="N542" s="310"/>
      <c r="O542" s="219" t="s">
        <v>452</v>
      </c>
      <c r="P542" s="219" t="s">
        <v>2332</v>
      </c>
      <c r="Q542" s="219"/>
      <c r="R542" s="219" t="s">
        <v>24</v>
      </c>
      <c r="S542" s="219"/>
      <c r="T542" s="219"/>
      <c r="U542" s="252"/>
      <c r="V542" s="252"/>
      <c r="W542" s="252"/>
      <c r="X542" s="219"/>
      <c r="Y542" s="219"/>
      <c r="Z542" s="219"/>
      <c r="AA542" s="219"/>
      <c r="AB542" s="219"/>
    </row>
    <row r="543" spans="1:28" ht="15.75" hidden="1" customHeight="1">
      <c r="A543" s="255">
        <v>44789</v>
      </c>
      <c r="B543" s="239" t="s">
        <v>5677</v>
      </c>
      <c r="C543" s="262">
        <v>3</v>
      </c>
      <c r="D543" s="262"/>
      <c r="E543" s="239" t="s">
        <v>5680</v>
      </c>
      <c r="F543" s="239" t="s">
        <v>4</v>
      </c>
      <c r="G543" s="239" t="s">
        <v>460</v>
      </c>
      <c r="H543" s="239" t="s">
        <v>5681</v>
      </c>
      <c r="I543" s="239">
        <v>3</v>
      </c>
      <c r="J543" s="239" t="s">
        <v>462</v>
      </c>
      <c r="K543" s="239" t="s">
        <v>5682</v>
      </c>
      <c r="L543" s="239">
        <v>3</v>
      </c>
      <c r="M543" s="239" t="s">
        <v>478</v>
      </c>
      <c r="N543" s="308">
        <v>1000000</v>
      </c>
      <c r="O543" s="239" t="s">
        <v>452</v>
      </c>
      <c r="P543" s="239" t="s">
        <v>452</v>
      </c>
      <c r="Q543" s="239"/>
      <c r="R543" s="239" t="s">
        <v>24</v>
      </c>
      <c r="S543" s="256" t="s">
        <v>11633</v>
      </c>
      <c r="T543" s="256"/>
      <c r="U543" s="239"/>
      <c r="V543" s="239"/>
      <c r="W543" s="239"/>
      <c r="X543" s="239"/>
      <c r="Y543" s="239"/>
      <c r="Z543" s="239"/>
      <c r="AA543" s="239"/>
      <c r="AB543" s="239"/>
    </row>
    <row r="544" spans="1:28" ht="15.75" hidden="1" customHeight="1">
      <c r="A544" s="248">
        <v>44789</v>
      </c>
      <c r="B544" s="219" t="s">
        <v>8807</v>
      </c>
      <c r="C544" s="249">
        <v>3</v>
      </c>
      <c r="D544" s="249"/>
      <c r="E544" s="219" t="s">
        <v>8810</v>
      </c>
      <c r="F544" s="250" t="s">
        <v>3</v>
      </c>
      <c r="G544" s="219" t="s">
        <v>460</v>
      </c>
      <c r="H544" s="219" t="s">
        <v>8811</v>
      </c>
      <c r="I544" s="219">
        <v>3</v>
      </c>
      <c r="J544" s="219" t="s">
        <v>462</v>
      </c>
      <c r="K544" s="219" t="s">
        <v>8812</v>
      </c>
      <c r="L544" s="219">
        <v>3</v>
      </c>
      <c r="M544" s="219"/>
      <c r="N544" s="312"/>
      <c r="O544" s="219" t="s">
        <v>452</v>
      </c>
      <c r="P544" s="219" t="s">
        <v>452</v>
      </c>
      <c r="Q544" s="219"/>
      <c r="R544" s="219" t="s">
        <v>24</v>
      </c>
      <c r="S544" s="251"/>
      <c r="T544" s="251"/>
      <c r="U544" s="252"/>
      <c r="V544" s="252"/>
      <c r="W544" s="252"/>
      <c r="X544" s="219"/>
      <c r="Y544" s="219"/>
      <c r="Z544" s="219"/>
      <c r="AA544" s="219"/>
      <c r="AB544" s="219"/>
    </row>
    <row r="545" spans="1:28" ht="15.75" hidden="1" customHeight="1">
      <c r="A545" s="253">
        <v>44789</v>
      </c>
      <c r="B545" s="224" t="s">
        <v>5336</v>
      </c>
      <c r="C545" s="249">
        <v>3</v>
      </c>
      <c r="D545" s="249"/>
      <c r="E545" s="224" t="s">
        <v>5339</v>
      </c>
      <c r="F545" s="250" t="s">
        <v>4</v>
      </c>
      <c r="G545" s="224" t="s">
        <v>602</v>
      </c>
      <c r="H545" s="224" t="s">
        <v>5340</v>
      </c>
      <c r="I545" s="224">
        <v>3</v>
      </c>
      <c r="J545" s="224" t="s">
        <v>476</v>
      </c>
      <c r="K545" s="224" t="s">
        <v>13400</v>
      </c>
      <c r="L545" s="224">
        <v>3</v>
      </c>
      <c r="M545" s="224" t="s">
        <v>451</v>
      </c>
      <c r="N545" s="307">
        <v>2000000</v>
      </c>
      <c r="O545" s="224" t="s">
        <v>452</v>
      </c>
      <c r="P545" s="224" t="s">
        <v>5342</v>
      </c>
      <c r="Q545" s="224" t="s">
        <v>5343</v>
      </c>
      <c r="R545" s="224" t="s">
        <v>24</v>
      </c>
      <c r="S545" s="254"/>
      <c r="T545" s="254"/>
      <c r="U545" s="252"/>
      <c r="V545" s="252"/>
      <c r="W545" s="252"/>
      <c r="X545" s="224"/>
      <c r="Y545" s="224"/>
      <c r="Z545" s="224"/>
      <c r="AA545" s="224"/>
      <c r="AB545" s="224"/>
    </row>
    <row r="546" spans="1:28" ht="15.75" customHeight="1">
      <c r="A546" s="248">
        <v>44789</v>
      </c>
      <c r="B546" s="219" t="s">
        <v>3001</v>
      </c>
      <c r="C546" s="250">
        <v>3</v>
      </c>
      <c r="D546" s="250"/>
      <c r="E546" s="219" t="s">
        <v>3004</v>
      </c>
      <c r="F546" s="250" t="s">
        <v>5</v>
      </c>
      <c r="G546" s="219" t="s">
        <v>447</v>
      </c>
      <c r="H546" s="219" t="s">
        <v>11210</v>
      </c>
      <c r="I546" s="219">
        <v>3</v>
      </c>
      <c r="J546" s="219" t="s">
        <v>543</v>
      </c>
      <c r="K546" s="219" t="s">
        <v>13400</v>
      </c>
      <c r="L546" s="219">
        <v>3</v>
      </c>
      <c r="M546" s="219" t="s">
        <v>784</v>
      </c>
      <c r="N546" s="312">
        <v>2000000</v>
      </c>
      <c r="O546" s="219" t="s">
        <v>452</v>
      </c>
      <c r="P546" s="219" t="s">
        <v>3007</v>
      </c>
      <c r="Q546" s="219" t="s">
        <v>3008</v>
      </c>
      <c r="R546" s="219" t="s">
        <v>24</v>
      </c>
      <c r="S546" s="219"/>
      <c r="T546" s="219"/>
      <c r="U546" s="252"/>
      <c r="V546" s="252"/>
      <c r="W546" s="252"/>
      <c r="X546" s="219"/>
      <c r="Y546" s="219"/>
      <c r="Z546" s="219"/>
      <c r="AA546" s="219"/>
      <c r="AB546" s="219"/>
    </row>
    <row r="547" spans="1:28" ht="15.75" customHeight="1">
      <c r="A547" s="253">
        <v>44789</v>
      </c>
      <c r="B547" s="224" t="s">
        <v>3224</v>
      </c>
      <c r="C547" s="250">
        <v>3</v>
      </c>
      <c r="D547" s="250"/>
      <c r="E547" s="224" t="s">
        <v>3227</v>
      </c>
      <c r="F547" s="250" t="s">
        <v>5</v>
      </c>
      <c r="G547" s="224" t="s">
        <v>447</v>
      </c>
      <c r="H547" s="224" t="s">
        <v>11496</v>
      </c>
      <c r="I547" s="224">
        <v>3</v>
      </c>
      <c r="J547" s="224" t="s">
        <v>449</v>
      </c>
      <c r="K547" s="224" t="e">
        <f>+Credible founder
+Novel technology
-Might be to early for EFL</f>
        <v>#NAME?</v>
      </c>
      <c r="L547" s="224">
        <v>3</v>
      </c>
      <c r="M547" s="224"/>
      <c r="N547" s="224"/>
      <c r="O547" s="224" t="s">
        <v>452</v>
      </c>
      <c r="P547" s="224" t="s">
        <v>3230</v>
      </c>
      <c r="Q547" s="224" t="s">
        <v>3231</v>
      </c>
      <c r="R547" s="224" t="s">
        <v>24</v>
      </c>
      <c r="S547" s="224"/>
      <c r="T547" s="224"/>
      <c r="U547" s="252"/>
      <c r="V547" s="252"/>
      <c r="W547" s="252"/>
      <c r="X547" s="224"/>
      <c r="Y547" s="224"/>
      <c r="Z547" s="224"/>
      <c r="AA547" s="224"/>
      <c r="AB547" s="224"/>
    </row>
    <row r="548" spans="1:28" ht="15.75" hidden="1" customHeight="1">
      <c r="A548" s="248">
        <v>44789</v>
      </c>
      <c r="B548" s="219" t="s">
        <v>9160</v>
      </c>
      <c r="C548" s="249">
        <v>3</v>
      </c>
      <c r="D548" s="249"/>
      <c r="E548" s="219" t="s">
        <v>9163</v>
      </c>
      <c r="F548" s="250" t="s">
        <v>3</v>
      </c>
      <c r="G548" s="219" t="s">
        <v>460</v>
      </c>
      <c r="H548" s="219" t="s">
        <v>9164</v>
      </c>
      <c r="I548" s="219">
        <v>3</v>
      </c>
      <c r="J548" s="219" t="s">
        <v>462</v>
      </c>
      <c r="K548" s="219" t="s">
        <v>9165</v>
      </c>
      <c r="L548" s="219">
        <v>3</v>
      </c>
      <c r="M548" s="219"/>
      <c r="N548" s="219"/>
      <c r="O548" s="219" t="s">
        <v>454</v>
      </c>
      <c r="P548" s="219" t="s">
        <v>10945</v>
      </c>
      <c r="Q548" s="219"/>
      <c r="R548" s="219" t="s">
        <v>24</v>
      </c>
      <c r="S548" s="251"/>
      <c r="T548" s="251"/>
      <c r="U548" s="252"/>
      <c r="V548" s="252"/>
      <c r="W548" s="252"/>
      <c r="X548" s="219"/>
      <c r="Y548" s="219"/>
      <c r="Z548" s="219"/>
      <c r="AA548" s="219"/>
      <c r="AB548" s="219"/>
    </row>
    <row r="549" spans="1:28" ht="15.75" hidden="1" customHeight="1">
      <c r="A549" s="253">
        <v>44789</v>
      </c>
      <c r="B549" s="224" t="s">
        <v>5668</v>
      </c>
      <c r="C549" s="249">
        <v>3</v>
      </c>
      <c r="D549" s="249"/>
      <c r="E549" s="224" t="s">
        <v>5671</v>
      </c>
      <c r="F549" s="250" t="s">
        <v>4</v>
      </c>
      <c r="G549" s="224" t="s">
        <v>727</v>
      </c>
      <c r="H549" s="224" t="s">
        <v>11444</v>
      </c>
      <c r="I549" s="224">
        <v>3</v>
      </c>
      <c r="J549" s="224" t="s">
        <v>1045</v>
      </c>
      <c r="K549" s="224" t="s">
        <v>5673</v>
      </c>
      <c r="L549" s="224">
        <v>3</v>
      </c>
      <c r="M549" s="224" t="s">
        <v>451</v>
      </c>
      <c r="N549" s="307">
        <v>750000</v>
      </c>
      <c r="O549" s="224" t="s">
        <v>452</v>
      </c>
      <c r="P549" s="224" t="s">
        <v>5674</v>
      </c>
      <c r="Q549" s="224"/>
      <c r="R549" s="224" t="s">
        <v>24</v>
      </c>
      <c r="S549" s="254"/>
      <c r="T549" s="254"/>
      <c r="U549" s="252"/>
      <c r="V549" s="252"/>
      <c r="W549" s="252"/>
      <c r="X549" s="224"/>
      <c r="Y549" s="224"/>
      <c r="Z549" s="224"/>
      <c r="AA549" s="224"/>
      <c r="AB549" s="224"/>
    </row>
    <row r="550" spans="1:28" ht="15.75" hidden="1" customHeight="1">
      <c r="A550" s="248">
        <v>44791</v>
      </c>
      <c r="B550" s="219" t="s">
        <v>8714</v>
      </c>
      <c r="C550" s="315">
        <v>3</v>
      </c>
      <c r="D550" s="315"/>
      <c r="E550" s="219" t="s">
        <v>8717</v>
      </c>
      <c r="F550" s="219" t="s">
        <v>3</v>
      </c>
      <c r="G550" s="219" t="s">
        <v>460</v>
      </c>
      <c r="H550" s="219" t="s">
        <v>8718</v>
      </c>
      <c r="I550" s="219">
        <v>2.5</v>
      </c>
      <c r="J550" s="219" t="s">
        <v>462</v>
      </c>
      <c r="K550" s="219" t="s">
        <v>8719</v>
      </c>
      <c r="L550" s="219">
        <v>3.5</v>
      </c>
      <c r="M550" s="219"/>
      <c r="N550" s="219"/>
      <c r="O550" s="219" t="s">
        <v>452</v>
      </c>
      <c r="P550" s="219" t="s">
        <v>11687</v>
      </c>
      <c r="Q550" s="219"/>
      <c r="R550" s="322" t="s">
        <v>24</v>
      </c>
      <c r="S550" s="251"/>
      <c r="T550" s="251"/>
      <c r="U550" s="219"/>
      <c r="V550" s="219"/>
      <c r="W550" s="219"/>
      <c r="X550" s="219"/>
      <c r="Y550" s="219"/>
      <c r="Z550" s="219"/>
      <c r="AA550" s="219"/>
      <c r="AB550" s="219"/>
    </row>
    <row r="551" spans="1:28" ht="15.75" hidden="1" customHeight="1">
      <c r="A551" s="253">
        <v>44791</v>
      </c>
      <c r="B551" s="224" t="s">
        <v>5468</v>
      </c>
      <c r="C551" s="316">
        <v>3</v>
      </c>
      <c r="D551" s="316"/>
      <c r="E551" s="224" t="s">
        <v>5471</v>
      </c>
      <c r="F551" s="224" t="s">
        <v>4</v>
      </c>
      <c r="G551" s="224" t="s">
        <v>725</v>
      </c>
      <c r="H551" s="224"/>
      <c r="I551" s="224">
        <v>3</v>
      </c>
      <c r="J551" s="224" t="s">
        <v>1045</v>
      </c>
      <c r="K551" s="224" t="s">
        <v>5472</v>
      </c>
      <c r="L551" s="224">
        <v>3</v>
      </c>
      <c r="M551" s="224" t="s">
        <v>784</v>
      </c>
      <c r="N551" s="224">
        <v>300000</v>
      </c>
      <c r="O551" s="224" t="s">
        <v>452</v>
      </c>
      <c r="P551" s="224" t="s">
        <v>5473</v>
      </c>
      <c r="Q551" s="224"/>
      <c r="R551" s="322" t="s">
        <v>24</v>
      </c>
      <c r="S551" s="254"/>
      <c r="T551" s="254"/>
      <c r="U551" s="224"/>
      <c r="V551" s="224"/>
      <c r="W551" s="224"/>
      <c r="X551" s="224"/>
      <c r="Y551" s="224"/>
      <c r="Z551" s="224"/>
      <c r="AA551" s="224"/>
      <c r="AB551" s="224"/>
    </row>
    <row r="552" spans="1:28" ht="15.75" hidden="1" customHeight="1">
      <c r="A552" s="248">
        <v>44791</v>
      </c>
      <c r="B552" s="219" t="s">
        <v>5748</v>
      </c>
      <c r="C552" s="315">
        <v>3</v>
      </c>
      <c r="D552" s="315"/>
      <c r="E552" s="219" t="s">
        <v>10506</v>
      </c>
      <c r="F552" s="219" t="s">
        <v>4</v>
      </c>
      <c r="G552" s="219" t="s">
        <v>727</v>
      </c>
      <c r="H552" s="219" t="s">
        <v>10507</v>
      </c>
      <c r="I552" s="219">
        <v>3</v>
      </c>
      <c r="J552" s="219" t="s">
        <v>1457</v>
      </c>
      <c r="K552" s="219" t="s">
        <v>5753</v>
      </c>
      <c r="L552" s="219">
        <v>3</v>
      </c>
      <c r="M552" s="219" t="s">
        <v>784</v>
      </c>
      <c r="N552" s="310">
        <v>1500000</v>
      </c>
      <c r="O552" s="219" t="s">
        <v>465</v>
      </c>
      <c r="P552" s="219" t="s">
        <v>5754</v>
      </c>
      <c r="Q552" s="219" t="s">
        <v>725</v>
      </c>
      <c r="R552" s="322" t="s">
        <v>24</v>
      </c>
      <c r="S552" s="251"/>
      <c r="T552" s="251"/>
      <c r="U552" s="219"/>
      <c r="V552" s="219"/>
      <c r="W552" s="219"/>
      <c r="X552" s="219"/>
      <c r="Y552" s="219"/>
      <c r="Z552" s="219"/>
      <c r="AA552" s="219"/>
      <c r="AB552" s="219"/>
    </row>
    <row r="553" spans="1:28" ht="15.75" hidden="1" customHeight="1">
      <c r="A553" s="253">
        <v>44791</v>
      </c>
      <c r="B553" s="224" t="s">
        <v>5512</v>
      </c>
      <c r="C553" s="316">
        <v>3</v>
      </c>
      <c r="D553" s="316"/>
      <c r="E553" s="224" t="s">
        <v>5515</v>
      </c>
      <c r="F553" s="224" t="s">
        <v>4</v>
      </c>
      <c r="G553" s="224" t="s">
        <v>727</v>
      </c>
      <c r="H553" s="224" t="s">
        <v>10510</v>
      </c>
      <c r="I553" s="224">
        <v>3</v>
      </c>
      <c r="J553" s="224" t="s">
        <v>604</v>
      </c>
      <c r="K553" s="224" t="s">
        <v>10511</v>
      </c>
      <c r="L553" s="224">
        <v>3</v>
      </c>
      <c r="M553" s="224" t="s">
        <v>451</v>
      </c>
      <c r="N553" s="307">
        <v>3500000</v>
      </c>
      <c r="O553" s="224" t="s">
        <v>452</v>
      </c>
      <c r="P553" s="224" t="s">
        <v>5518</v>
      </c>
      <c r="Q553" s="224"/>
      <c r="R553" s="322" t="s">
        <v>24</v>
      </c>
      <c r="S553" s="254"/>
      <c r="T553" s="254"/>
      <c r="U553" s="224"/>
      <c r="V553" s="224"/>
      <c r="W553" s="224"/>
      <c r="X553" s="224"/>
      <c r="Y553" s="224"/>
      <c r="Z553" s="224"/>
      <c r="AA553" s="224"/>
      <c r="AB553" s="224"/>
    </row>
    <row r="554" spans="1:28" ht="15.75" hidden="1" customHeight="1">
      <c r="A554" s="248">
        <v>44791</v>
      </c>
      <c r="B554" s="219" t="s">
        <v>10524</v>
      </c>
      <c r="C554" s="315">
        <v>3</v>
      </c>
      <c r="D554" s="315"/>
      <c r="E554" s="219" t="s">
        <v>9279</v>
      </c>
      <c r="F554" s="219" t="s">
        <v>3</v>
      </c>
      <c r="G554" s="219" t="s">
        <v>725</v>
      </c>
      <c r="H554" s="219" t="s">
        <v>10525</v>
      </c>
      <c r="I554" s="219">
        <v>3</v>
      </c>
      <c r="J554" s="219" t="s">
        <v>488</v>
      </c>
      <c r="K554" s="219" t="s">
        <v>10526</v>
      </c>
      <c r="L554" s="219">
        <v>3</v>
      </c>
      <c r="M554" s="219" t="s">
        <v>784</v>
      </c>
      <c r="N554" s="312">
        <v>500000</v>
      </c>
      <c r="O554" s="219" t="s">
        <v>452</v>
      </c>
      <c r="P554" s="219" t="s">
        <v>10527</v>
      </c>
      <c r="Q554" s="219"/>
      <c r="R554" s="322" t="s">
        <v>24</v>
      </c>
      <c r="S554" s="251"/>
      <c r="T554" s="251"/>
      <c r="U554" s="219"/>
      <c r="V554" s="219"/>
      <c r="W554" s="219"/>
      <c r="X554" s="219"/>
      <c r="Y554" s="219"/>
      <c r="Z554" s="219"/>
      <c r="AA554" s="219"/>
      <c r="AB554" s="219"/>
    </row>
    <row r="555" spans="1:28" ht="15.75" hidden="1" customHeight="1">
      <c r="A555" s="253">
        <v>44791</v>
      </c>
      <c r="B555" s="224" t="s">
        <v>5476</v>
      </c>
      <c r="C555" s="316">
        <v>3</v>
      </c>
      <c r="D555" s="316"/>
      <c r="E555" s="224" t="s">
        <v>5479</v>
      </c>
      <c r="F555" s="224" t="s">
        <v>4</v>
      </c>
      <c r="G555" s="224" t="s">
        <v>727</v>
      </c>
      <c r="H555" s="224" t="s">
        <v>10592</v>
      </c>
      <c r="I555" s="224">
        <v>3</v>
      </c>
      <c r="J555" s="224" t="s">
        <v>604</v>
      </c>
      <c r="K555" s="224" t="s">
        <v>5481</v>
      </c>
      <c r="L555" s="224">
        <v>3</v>
      </c>
      <c r="M555" s="224"/>
      <c r="N555" s="224"/>
      <c r="O555" s="224" t="s">
        <v>452</v>
      </c>
      <c r="P555" s="224" t="s">
        <v>5482</v>
      </c>
      <c r="Q555" s="224" t="s">
        <v>5483</v>
      </c>
      <c r="R555" s="322" t="s">
        <v>24</v>
      </c>
      <c r="S555" s="254"/>
      <c r="T555" s="254"/>
      <c r="U555" s="224"/>
      <c r="V555" s="224"/>
      <c r="W555" s="224"/>
      <c r="X555" s="224"/>
      <c r="Y555" s="224"/>
      <c r="Z555" s="224"/>
      <c r="AA555" s="224"/>
      <c r="AB555" s="224"/>
    </row>
    <row r="556" spans="1:28" ht="15.75" hidden="1" customHeight="1">
      <c r="A556" s="248">
        <v>44791</v>
      </c>
      <c r="B556" s="219" t="s">
        <v>9623</v>
      </c>
      <c r="C556" s="315">
        <v>3</v>
      </c>
      <c r="D556" s="315"/>
      <c r="E556" s="219" t="s">
        <v>9626</v>
      </c>
      <c r="F556" s="219" t="s">
        <v>4</v>
      </c>
      <c r="G556" s="219" t="s">
        <v>725</v>
      </c>
      <c r="H556" s="219" t="s">
        <v>10755</v>
      </c>
      <c r="I556" s="219">
        <v>3</v>
      </c>
      <c r="J556" s="219" t="s">
        <v>1045</v>
      </c>
      <c r="K556" s="219" t="s">
        <v>9628</v>
      </c>
      <c r="L556" s="219">
        <v>3</v>
      </c>
      <c r="M556" s="219" t="s">
        <v>784</v>
      </c>
      <c r="N556" s="310">
        <v>1500000</v>
      </c>
      <c r="O556" s="219" t="s">
        <v>454</v>
      </c>
      <c r="P556" s="219" t="s">
        <v>452</v>
      </c>
      <c r="Q556" s="219"/>
      <c r="R556" s="219" t="s">
        <v>23</v>
      </c>
      <c r="S556" s="251"/>
      <c r="T556" s="251"/>
      <c r="U556" s="219"/>
      <c r="V556" s="219"/>
      <c r="W556" s="219"/>
      <c r="X556" s="219"/>
      <c r="Y556" s="219"/>
      <c r="Z556" s="219"/>
      <c r="AA556" s="219"/>
      <c r="AB556" s="219"/>
    </row>
    <row r="557" spans="1:28" ht="15.75" customHeight="1">
      <c r="A557" s="253">
        <v>44791</v>
      </c>
      <c r="B557" s="224" t="s">
        <v>3277</v>
      </c>
      <c r="C557" s="224">
        <v>3</v>
      </c>
      <c r="D557" s="224"/>
      <c r="E557" s="224" t="s">
        <v>3280</v>
      </c>
      <c r="F557" s="224" t="s">
        <v>5</v>
      </c>
      <c r="G557" s="224" t="s">
        <v>447</v>
      </c>
      <c r="H557" s="224" t="s">
        <v>10879</v>
      </c>
      <c r="I557" s="224">
        <v>3</v>
      </c>
      <c r="J557" s="224" t="s">
        <v>543</v>
      </c>
      <c r="K557" s="224" t="s">
        <v>11688</v>
      </c>
      <c r="L557" s="224">
        <v>3</v>
      </c>
      <c r="M557" s="224"/>
      <c r="N557" s="224"/>
      <c r="O557" s="224" t="s">
        <v>452</v>
      </c>
      <c r="P557" s="224" t="s">
        <v>452</v>
      </c>
      <c r="Q557" s="224"/>
      <c r="R557" s="322" t="s">
        <v>24</v>
      </c>
      <c r="S557" s="224"/>
      <c r="T557" s="224"/>
      <c r="U557" s="224"/>
      <c r="V557" s="224"/>
      <c r="W557" s="224"/>
      <c r="X557" s="224"/>
      <c r="Y557" s="224"/>
      <c r="Z557" s="224"/>
      <c r="AA557" s="224"/>
      <c r="AB557" s="224"/>
    </row>
    <row r="558" spans="1:28" ht="15.75" hidden="1" customHeight="1">
      <c r="A558" s="248">
        <v>44791</v>
      </c>
      <c r="B558" s="219" t="s">
        <v>5495</v>
      </c>
      <c r="C558" s="315">
        <v>3</v>
      </c>
      <c r="D558" s="315"/>
      <c r="E558" s="219" t="s">
        <v>5498</v>
      </c>
      <c r="F558" s="219" t="s">
        <v>4</v>
      </c>
      <c r="G558" s="219" t="s">
        <v>602</v>
      </c>
      <c r="H558" s="219" t="s">
        <v>5499</v>
      </c>
      <c r="I558" s="219">
        <v>3</v>
      </c>
      <c r="J558" s="219" t="s">
        <v>604</v>
      </c>
      <c r="K558" s="219" t="s">
        <v>10889</v>
      </c>
      <c r="L558" s="219">
        <v>3</v>
      </c>
      <c r="M558" s="219"/>
      <c r="N558" s="312"/>
      <c r="O558" s="219" t="s">
        <v>452</v>
      </c>
      <c r="P558" s="219" t="s">
        <v>575</v>
      </c>
      <c r="Q558" s="219"/>
      <c r="R558" s="322" t="s">
        <v>24</v>
      </c>
      <c r="S558" s="251"/>
      <c r="T558" s="251"/>
      <c r="U558" s="219"/>
      <c r="V558" s="219"/>
      <c r="W558" s="219"/>
      <c r="X558" s="219"/>
      <c r="Y558" s="219"/>
      <c r="Z558" s="219"/>
      <c r="AA558" s="219"/>
      <c r="AB558" s="219"/>
    </row>
    <row r="559" spans="1:28" ht="15.75" hidden="1" customHeight="1">
      <c r="A559" s="253">
        <v>44791</v>
      </c>
      <c r="B559" s="224" t="s">
        <v>8942</v>
      </c>
      <c r="C559" s="316">
        <v>3</v>
      </c>
      <c r="D559" s="316"/>
      <c r="E559" s="224" t="s">
        <v>10913</v>
      </c>
      <c r="F559" s="224" t="s">
        <v>3</v>
      </c>
      <c r="G559" s="224" t="s">
        <v>460</v>
      </c>
      <c r="H559" s="224" t="s">
        <v>8946</v>
      </c>
      <c r="I559" s="224">
        <v>3</v>
      </c>
      <c r="J559" s="224" t="s">
        <v>462</v>
      </c>
      <c r="K559" s="224" t="s">
        <v>8947</v>
      </c>
      <c r="L559" s="224">
        <v>3</v>
      </c>
      <c r="M559" s="224"/>
      <c r="N559" s="224"/>
      <c r="O559" s="224" t="s">
        <v>454</v>
      </c>
      <c r="P559" s="224" t="s">
        <v>575</v>
      </c>
      <c r="Q559" s="224" t="s">
        <v>8948</v>
      </c>
      <c r="R559" s="322" t="s">
        <v>24</v>
      </c>
      <c r="S559" s="254"/>
      <c r="T559" s="254"/>
      <c r="U559" s="224"/>
      <c r="V559" s="224"/>
      <c r="W559" s="224"/>
      <c r="X559" s="224"/>
      <c r="Y559" s="224"/>
      <c r="Z559" s="224"/>
      <c r="AA559" s="224"/>
      <c r="AB559" s="224"/>
    </row>
    <row r="560" spans="1:28" ht="15.75" customHeight="1">
      <c r="A560" s="248">
        <v>44791</v>
      </c>
      <c r="B560" s="219" t="s">
        <v>3587</v>
      </c>
      <c r="C560" s="219">
        <v>3</v>
      </c>
      <c r="D560" s="219"/>
      <c r="E560" s="219" t="s">
        <v>3590</v>
      </c>
      <c r="F560" s="219" t="s">
        <v>5</v>
      </c>
      <c r="G560" s="219" t="s">
        <v>447</v>
      </c>
      <c r="H560" s="219" t="s">
        <v>10957</v>
      </c>
      <c r="I560" s="219">
        <v>3</v>
      </c>
      <c r="J560" s="219" t="s">
        <v>622</v>
      </c>
      <c r="K560" s="219"/>
      <c r="L560" s="219">
        <v>3</v>
      </c>
      <c r="M560" s="219" t="s">
        <v>478</v>
      </c>
      <c r="N560" s="219" t="s">
        <v>3592</v>
      </c>
      <c r="O560" s="219" t="s">
        <v>465</v>
      </c>
      <c r="P560" s="219" t="s">
        <v>3593</v>
      </c>
      <c r="Q560" s="219"/>
      <c r="R560" s="322" t="s">
        <v>24</v>
      </c>
      <c r="S560" s="219"/>
      <c r="T560" s="219"/>
      <c r="U560" s="219"/>
      <c r="V560" s="219"/>
      <c r="W560" s="219"/>
      <c r="X560" s="219"/>
      <c r="Y560" s="219"/>
      <c r="Z560" s="219"/>
      <c r="AA560" s="219"/>
      <c r="AB560" s="219"/>
    </row>
    <row r="561" spans="1:28" ht="15.75" customHeight="1">
      <c r="A561" s="253">
        <v>44791</v>
      </c>
      <c r="B561" s="224" t="s">
        <v>2291</v>
      </c>
      <c r="C561" s="224">
        <v>3</v>
      </c>
      <c r="D561" s="224"/>
      <c r="E561" s="224" t="s">
        <v>2294</v>
      </c>
      <c r="F561" s="224" t="s">
        <v>5</v>
      </c>
      <c r="G561" s="224" t="s">
        <v>447</v>
      </c>
      <c r="H561" s="224" t="s">
        <v>10983</v>
      </c>
      <c r="I561" s="224">
        <v>2.5</v>
      </c>
      <c r="J561" s="224" t="s">
        <v>449</v>
      </c>
      <c r="K561" s="224" t="s">
        <v>11689</v>
      </c>
      <c r="L561" s="224">
        <v>3.5</v>
      </c>
      <c r="M561" s="224" t="s">
        <v>784</v>
      </c>
      <c r="N561" s="307">
        <v>75000</v>
      </c>
      <c r="O561" s="224" t="s">
        <v>465</v>
      </c>
      <c r="P561" s="224" t="s">
        <v>2297</v>
      </c>
      <c r="Q561" s="224" t="s">
        <v>2298</v>
      </c>
      <c r="R561" s="322" t="s">
        <v>24</v>
      </c>
      <c r="S561" s="224"/>
      <c r="T561" s="224"/>
      <c r="U561" s="224"/>
      <c r="V561" s="224"/>
      <c r="W561" s="224"/>
      <c r="X561" s="224"/>
      <c r="Y561" s="224"/>
      <c r="Z561" s="224"/>
      <c r="AA561" s="224"/>
      <c r="AB561" s="224"/>
    </row>
    <row r="562" spans="1:28" ht="15.75" customHeight="1">
      <c r="A562" s="248">
        <v>44791</v>
      </c>
      <c r="B562" s="219" t="s">
        <v>3312</v>
      </c>
      <c r="C562" s="219">
        <v>3</v>
      </c>
      <c r="D562" s="219"/>
      <c r="E562" s="219" t="s">
        <v>11011</v>
      </c>
      <c r="F562" s="219" t="s">
        <v>5</v>
      </c>
      <c r="G562" s="219" t="s">
        <v>447</v>
      </c>
      <c r="H562" s="219" t="s">
        <v>11012</v>
      </c>
      <c r="I562" s="219">
        <v>3</v>
      </c>
      <c r="J562" s="219" t="s">
        <v>449</v>
      </c>
      <c r="K562" s="219" t="s">
        <v>11690</v>
      </c>
      <c r="L562" s="219">
        <v>3</v>
      </c>
      <c r="M562" s="219"/>
      <c r="N562" s="219"/>
      <c r="O562" s="219" t="s">
        <v>465</v>
      </c>
      <c r="P562" s="219" t="s">
        <v>575</v>
      </c>
      <c r="Q562" s="219"/>
      <c r="R562" s="322" t="s">
        <v>24</v>
      </c>
      <c r="S562" s="219"/>
      <c r="T562" s="219"/>
      <c r="U562" s="219"/>
      <c r="V562" s="219"/>
      <c r="W562" s="219"/>
      <c r="X562" s="219"/>
      <c r="Y562" s="219"/>
      <c r="Z562" s="219"/>
      <c r="AA562" s="219"/>
      <c r="AB562" s="219"/>
    </row>
    <row r="563" spans="1:28" ht="15.75" hidden="1" customHeight="1">
      <c r="A563" s="253">
        <v>44791</v>
      </c>
      <c r="B563" s="224" t="s">
        <v>5717</v>
      </c>
      <c r="C563" s="316">
        <v>3</v>
      </c>
      <c r="D563" s="316"/>
      <c r="E563" s="224" t="s">
        <v>5720</v>
      </c>
      <c r="F563" s="224" t="s">
        <v>4</v>
      </c>
      <c r="G563" s="224" t="s">
        <v>602</v>
      </c>
      <c r="H563" s="224" t="s">
        <v>5721</v>
      </c>
      <c r="I563" s="224">
        <v>3</v>
      </c>
      <c r="J563" s="224" t="s">
        <v>1371</v>
      </c>
      <c r="K563" s="224" t="s">
        <v>5722</v>
      </c>
      <c r="L563" s="224">
        <v>3</v>
      </c>
      <c r="M563" s="224"/>
      <c r="N563" s="224"/>
      <c r="O563" s="224" t="s">
        <v>452</v>
      </c>
      <c r="P563" s="224" t="s">
        <v>11035</v>
      </c>
      <c r="Q563" s="224"/>
      <c r="R563" s="322" t="s">
        <v>24</v>
      </c>
      <c r="S563" s="254"/>
      <c r="T563" s="254"/>
      <c r="U563" s="224"/>
      <c r="V563" s="224"/>
      <c r="W563" s="224"/>
      <c r="X563" s="224"/>
      <c r="Y563" s="224"/>
      <c r="Z563" s="224"/>
      <c r="AA563" s="224"/>
      <c r="AB563" s="224"/>
    </row>
    <row r="564" spans="1:28" ht="15.75" hidden="1" customHeight="1">
      <c r="A564" s="248">
        <v>44791</v>
      </c>
      <c r="B564" s="219" t="s">
        <v>5369</v>
      </c>
      <c r="C564" s="315">
        <v>3</v>
      </c>
      <c r="D564" s="315"/>
      <c r="E564" s="219" t="s">
        <v>5372</v>
      </c>
      <c r="F564" s="219" t="s">
        <v>4</v>
      </c>
      <c r="G564" s="219" t="s">
        <v>602</v>
      </c>
      <c r="H564" s="219" t="s">
        <v>5373</v>
      </c>
      <c r="I564" s="219">
        <v>3.5</v>
      </c>
      <c r="J564" s="219" t="s">
        <v>476</v>
      </c>
      <c r="K564" s="219" t="s">
        <v>11691</v>
      </c>
      <c r="L564" s="219">
        <v>2.5</v>
      </c>
      <c r="M564" s="219" t="s">
        <v>451</v>
      </c>
      <c r="N564" s="310">
        <v>3000000</v>
      </c>
      <c r="O564" s="219" t="s">
        <v>452</v>
      </c>
      <c r="P564" s="219" t="s">
        <v>5375</v>
      </c>
      <c r="Q564" s="219"/>
      <c r="R564" s="322" t="s">
        <v>24</v>
      </c>
      <c r="S564" s="251"/>
      <c r="T564" s="251"/>
      <c r="U564" s="219"/>
      <c r="V564" s="219"/>
      <c r="W564" s="219"/>
      <c r="X564" s="219"/>
      <c r="Y564" s="219"/>
      <c r="Z564" s="219"/>
      <c r="AA564" s="219"/>
      <c r="AB564" s="219"/>
    </row>
    <row r="565" spans="1:28" ht="15.75" customHeight="1">
      <c r="A565" s="253">
        <v>44791</v>
      </c>
      <c r="B565" s="224" t="s">
        <v>2530</v>
      </c>
      <c r="C565" s="224">
        <v>3</v>
      </c>
      <c r="D565" s="224"/>
      <c r="E565" s="224" t="s">
        <v>2533</v>
      </c>
      <c r="F565" s="224" t="s">
        <v>5</v>
      </c>
      <c r="G565" s="224" t="s">
        <v>447</v>
      </c>
      <c r="H565" s="224" t="s">
        <v>11106</v>
      </c>
      <c r="I565" s="224">
        <v>3</v>
      </c>
      <c r="J565" s="224" t="s">
        <v>449</v>
      </c>
      <c r="K565" s="224" t="s">
        <v>11692</v>
      </c>
      <c r="L565" s="224">
        <v>3</v>
      </c>
      <c r="M565" s="224"/>
      <c r="N565" s="307"/>
      <c r="O565" s="224" t="s">
        <v>454</v>
      </c>
      <c r="P565" s="224" t="s">
        <v>2536</v>
      </c>
      <c r="Q565" s="224" t="s">
        <v>2537</v>
      </c>
      <c r="R565" s="322" t="s">
        <v>24</v>
      </c>
      <c r="S565" s="224"/>
      <c r="T565" s="224"/>
      <c r="U565" s="224"/>
      <c r="V565" s="224"/>
      <c r="W565" s="224"/>
      <c r="X565" s="224"/>
      <c r="Y565" s="224"/>
      <c r="Z565" s="224"/>
      <c r="AA565" s="224"/>
      <c r="AB565" s="224"/>
    </row>
    <row r="566" spans="1:28" ht="15.75" customHeight="1">
      <c r="A566" s="248">
        <v>44791</v>
      </c>
      <c r="B566" s="219" t="s">
        <v>3303</v>
      </c>
      <c r="C566" s="219">
        <v>3</v>
      </c>
      <c r="D566" s="219"/>
      <c r="E566" s="219" t="s">
        <v>3306</v>
      </c>
      <c r="F566" s="219" t="s">
        <v>5</v>
      </c>
      <c r="G566" s="219" t="s">
        <v>447</v>
      </c>
      <c r="H566" s="219" t="s">
        <v>11283</v>
      </c>
      <c r="I566" s="219">
        <v>3</v>
      </c>
      <c r="J566" s="219" t="s">
        <v>543</v>
      </c>
      <c r="K566" s="219" t="s">
        <v>11693</v>
      </c>
      <c r="L566" s="219">
        <v>3</v>
      </c>
      <c r="M566" s="219" t="s">
        <v>2961</v>
      </c>
      <c r="N566" s="219">
        <v>1500000</v>
      </c>
      <c r="O566" s="219" t="s">
        <v>454</v>
      </c>
      <c r="P566" s="219" t="s">
        <v>3309</v>
      </c>
      <c r="Q566" s="219"/>
      <c r="R566" s="322" t="s">
        <v>24</v>
      </c>
      <c r="S566" s="219"/>
      <c r="T566" s="219"/>
      <c r="U566" s="219"/>
      <c r="V566" s="219"/>
      <c r="W566" s="219"/>
      <c r="X566" s="219"/>
      <c r="Y566" s="219"/>
      <c r="Z566" s="219"/>
      <c r="AA566" s="219"/>
      <c r="AB566" s="219"/>
    </row>
    <row r="567" spans="1:28" ht="15.75" customHeight="1">
      <c r="A567" s="253">
        <v>44791</v>
      </c>
      <c r="B567" s="224" t="s">
        <v>3541</v>
      </c>
      <c r="C567" s="224">
        <v>3</v>
      </c>
      <c r="D567" s="224"/>
      <c r="E567" s="224" t="s">
        <v>3544</v>
      </c>
      <c r="F567" s="224" t="s">
        <v>5</v>
      </c>
      <c r="G567" s="224" t="s">
        <v>447</v>
      </c>
      <c r="H567" s="224" t="s">
        <v>11362</v>
      </c>
      <c r="I567" s="224">
        <v>3</v>
      </c>
      <c r="J567" s="224" t="s">
        <v>622</v>
      </c>
      <c r="K567" s="224" t="s">
        <v>3546</v>
      </c>
      <c r="L567" s="224">
        <v>3</v>
      </c>
      <c r="M567" s="224" t="s">
        <v>451</v>
      </c>
      <c r="N567" s="311" t="s">
        <v>3547</v>
      </c>
      <c r="O567" s="224" t="s">
        <v>454</v>
      </c>
      <c r="P567" s="224" t="s">
        <v>11363</v>
      </c>
      <c r="Q567" s="224"/>
      <c r="R567" s="322" t="s">
        <v>24</v>
      </c>
      <c r="S567" s="224"/>
      <c r="T567" s="224"/>
      <c r="U567" s="224"/>
      <c r="V567" s="224"/>
      <c r="W567" s="224"/>
      <c r="X567" s="224"/>
      <c r="Y567" s="224"/>
      <c r="Z567" s="224"/>
      <c r="AA567" s="224"/>
      <c r="AB567" s="224"/>
    </row>
    <row r="568" spans="1:28" ht="15.75" customHeight="1">
      <c r="A568" s="255">
        <v>44791</v>
      </c>
      <c r="B568" s="239" t="s">
        <v>3367</v>
      </c>
      <c r="C568" s="239">
        <v>3</v>
      </c>
      <c r="D568" s="239"/>
      <c r="E568" s="239" t="s">
        <v>10912</v>
      </c>
      <c r="F568" s="239" t="s">
        <v>5</v>
      </c>
      <c r="G568" s="239" t="s">
        <v>460</v>
      </c>
      <c r="H568" s="239" t="s">
        <v>3371</v>
      </c>
      <c r="I568" s="239">
        <v>3</v>
      </c>
      <c r="J568" s="239" t="s">
        <v>462</v>
      </c>
      <c r="K568" s="239" t="s">
        <v>3372</v>
      </c>
      <c r="L568" s="239">
        <v>3</v>
      </c>
      <c r="M568" s="239"/>
      <c r="N568" s="239"/>
      <c r="O568" s="239" t="s">
        <v>452</v>
      </c>
      <c r="P568" s="239" t="s">
        <v>3373</v>
      </c>
      <c r="Q568" s="239" t="s">
        <v>460</v>
      </c>
      <c r="R568" s="239" t="s">
        <v>24</v>
      </c>
      <c r="S568" s="239" t="s">
        <v>3374</v>
      </c>
      <c r="T568" s="239"/>
      <c r="U568" s="239"/>
      <c r="V568" s="239"/>
      <c r="W568" s="239"/>
      <c r="X568" s="239"/>
      <c r="Y568" s="239"/>
      <c r="Z568" s="239"/>
      <c r="AA568" s="239"/>
      <c r="AB568" s="239"/>
    </row>
    <row r="569" spans="1:28" ht="15.75" hidden="1" customHeight="1">
      <c r="A569" s="253">
        <v>44791</v>
      </c>
      <c r="B569" s="224" t="s">
        <v>5539</v>
      </c>
      <c r="C569" s="316">
        <v>3</v>
      </c>
      <c r="D569" s="316"/>
      <c r="E569" s="224" t="s">
        <v>11044</v>
      </c>
      <c r="F569" s="224" t="s">
        <v>4</v>
      </c>
      <c r="G569" s="224" t="s">
        <v>602</v>
      </c>
      <c r="H569" s="224" t="s">
        <v>5543</v>
      </c>
      <c r="I569" s="224">
        <v>3</v>
      </c>
      <c r="J569" s="224" t="s">
        <v>476</v>
      </c>
      <c r="K569" s="224" t="s">
        <v>11694</v>
      </c>
      <c r="L569" s="224">
        <v>3</v>
      </c>
      <c r="M569" s="224" t="s">
        <v>784</v>
      </c>
      <c r="N569" s="224">
        <v>500000</v>
      </c>
      <c r="O569" s="224" t="s">
        <v>452</v>
      </c>
      <c r="P569" s="224" t="s">
        <v>5545</v>
      </c>
      <c r="Q569" s="224"/>
      <c r="R569" s="322" t="s">
        <v>24</v>
      </c>
      <c r="S569" s="254"/>
      <c r="T569" s="254"/>
      <c r="U569" s="224"/>
      <c r="V569" s="224"/>
      <c r="W569" s="224"/>
      <c r="X569" s="224"/>
      <c r="Y569" s="224"/>
      <c r="Z569" s="224"/>
      <c r="AA569" s="224"/>
      <c r="AB569" s="224"/>
    </row>
    <row r="570" spans="1:28" ht="15.75" customHeight="1">
      <c r="A570" s="248">
        <v>44791</v>
      </c>
      <c r="B570" s="219" t="s">
        <v>2769</v>
      </c>
      <c r="C570" s="219">
        <v>3</v>
      </c>
      <c r="D570" s="219"/>
      <c r="E570" s="219" t="s">
        <v>2772</v>
      </c>
      <c r="F570" s="219" t="s">
        <v>5</v>
      </c>
      <c r="G570" s="219" t="s">
        <v>447</v>
      </c>
      <c r="H570" s="219" t="s">
        <v>11191</v>
      </c>
      <c r="I570" s="219">
        <v>3</v>
      </c>
      <c r="J570" s="219" t="s">
        <v>449</v>
      </c>
      <c r="K570" s="219" t="s">
        <v>11192</v>
      </c>
      <c r="L570" s="219">
        <v>3</v>
      </c>
      <c r="M570" s="219"/>
      <c r="N570" s="219"/>
      <c r="O570" s="219" t="s">
        <v>452</v>
      </c>
      <c r="P570" s="219" t="s">
        <v>2775</v>
      </c>
      <c r="Q570" s="219"/>
      <c r="R570" s="322" t="s">
        <v>24</v>
      </c>
      <c r="S570" s="219"/>
      <c r="T570" s="219"/>
      <c r="U570" s="219"/>
      <c r="V570" s="219"/>
      <c r="W570" s="219"/>
      <c r="X570" s="219"/>
      <c r="Y570" s="219"/>
      <c r="Z570" s="219"/>
      <c r="AA570" s="219"/>
      <c r="AB570" s="219"/>
    </row>
    <row r="571" spans="1:28" ht="15.75" customHeight="1">
      <c r="A571" s="253">
        <v>44791</v>
      </c>
      <c r="B571" s="224" t="s">
        <v>3349</v>
      </c>
      <c r="C571" s="224">
        <v>3</v>
      </c>
      <c r="D571" s="224"/>
      <c r="E571" s="224" t="s">
        <v>11258</v>
      </c>
      <c r="F571" s="224" t="s">
        <v>5</v>
      </c>
      <c r="G571" s="224" t="s">
        <v>447</v>
      </c>
      <c r="H571" s="224" t="s">
        <v>11259</v>
      </c>
      <c r="I571" s="224">
        <v>3</v>
      </c>
      <c r="J571" s="224" t="s">
        <v>622</v>
      </c>
      <c r="K571" s="224" t="s">
        <v>3354</v>
      </c>
      <c r="L571" s="224">
        <v>3</v>
      </c>
      <c r="M571" s="224" t="s">
        <v>784</v>
      </c>
      <c r="N571" s="307">
        <v>500000</v>
      </c>
      <c r="O571" s="224" t="s">
        <v>452</v>
      </c>
      <c r="P571" s="224" t="s">
        <v>11260</v>
      </c>
      <c r="Q571" s="224"/>
      <c r="R571" s="322" t="s">
        <v>24</v>
      </c>
      <c r="S571" s="224"/>
      <c r="T571" s="224"/>
      <c r="U571" s="224"/>
      <c r="V571" s="224"/>
      <c r="W571" s="224"/>
      <c r="X571" s="224"/>
      <c r="Y571" s="224"/>
      <c r="Z571" s="224"/>
      <c r="AA571" s="224"/>
      <c r="AB571" s="224"/>
    </row>
    <row r="572" spans="1:28" ht="15.75" hidden="1" customHeight="1">
      <c r="A572" s="248">
        <v>44796</v>
      </c>
      <c r="B572" s="219" t="s">
        <v>5442</v>
      </c>
      <c r="C572" s="315">
        <v>3</v>
      </c>
      <c r="D572" s="315"/>
      <c r="E572" s="219" t="s">
        <v>5445</v>
      </c>
      <c r="F572" s="219" t="s">
        <v>4</v>
      </c>
      <c r="G572" s="219" t="s">
        <v>1045</v>
      </c>
      <c r="H572" s="219" t="s">
        <v>5446</v>
      </c>
      <c r="I572" s="219">
        <v>3</v>
      </c>
      <c r="J572" s="219" t="s">
        <v>604</v>
      </c>
      <c r="K572" s="219" t="s">
        <v>10192</v>
      </c>
      <c r="L572" s="219">
        <v>3</v>
      </c>
      <c r="M572" s="219"/>
      <c r="N572" s="219">
        <v>700000</v>
      </c>
      <c r="O572" s="219" t="s">
        <v>452</v>
      </c>
      <c r="P572" s="219" t="s">
        <v>5448</v>
      </c>
      <c r="Q572" s="219"/>
      <c r="R572" s="219" t="s">
        <v>24</v>
      </c>
      <c r="S572" s="251"/>
      <c r="T572" s="251"/>
      <c r="U572" s="219"/>
      <c r="V572" s="219"/>
      <c r="W572" s="219"/>
      <c r="X572" s="219"/>
      <c r="Y572" s="219"/>
      <c r="Z572" s="219"/>
      <c r="AA572" s="219"/>
      <c r="AB572" s="219"/>
    </row>
    <row r="573" spans="1:28" ht="15.75" hidden="1" customHeight="1">
      <c r="A573" s="253">
        <v>44796</v>
      </c>
      <c r="B573" s="224" t="s">
        <v>5458</v>
      </c>
      <c r="C573" s="316">
        <v>3</v>
      </c>
      <c r="D573" s="316"/>
      <c r="E573" s="224" t="s">
        <v>5461</v>
      </c>
      <c r="F573" s="224" t="s">
        <v>4</v>
      </c>
      <c r="G573" s="224" t="s">
        <v>1045</v>
      </c>
      <c r="H573" s="224" t="s">
        <v>5462</v>
      </c>
      <c r="I573" s="224">
        <v>3</v>
      </c>
      <c r="J573" s="224" t="s">
        <v>604</v>
      </c>
      <c r="K573" s="224" t="s">
        <v>10198</v>
      </c>
      <c r="L573" s="224">
        <v>3</v>
      </c>
      <c r="M573" s="224" t="s">
        <v>784</v>
      </c>
      <c r="N573" s="311">
        <v>2000000</v>
      </c>
      <c r="O573" s="224" t="s">
        <v>452</v>
      </c>
      <c r="P573" s="224" t="s">
        <v>5464</v>
      </c>
      <c r="Q573" s="224" t="s">
        <v>5465</v>
      </c>
      <c r="R573" s="224" t="s">
        <v>24</v>
      </c>
      <c r="S573" s="254"/>
      <c r="T573" s="254"/>
      <c r="U573" s="224"/>
      <c r="V573" s="224"/>
      <c r="W573" s="224"/>
      <c r="X573" s="224"/>
      <c r="Y573" s="224"/>
      <c r="Z573" s="224"/>
      <c r="AA573" s="224"/>
      <c r="AB573" s="224"/>
    </row>
    <row r="574" spans="1:28" ht="15.75" hidden="1" customHeight="1">
      <c r="A574" s="248">
        <v>44796</v>
      </c>
      <c r="B574" s="219" t="s">
        <v>10240</v>
      </c>
      <c r="C574" s="315">
        <v>3</v>
      </c>
      <c r="D574" s="315"/>
      <c r="E574" s="219" t="s">
        <v>5405</v>
      </c>
      <c r="F574" s="219" t="s">
        <v>4</v>
      </c>
      <c r="G574" s="219" t="s">
        <v>1457</v>
      </c>
      <c r="H574" s="219" t="s">
        <v>10241</v>
      </c>
      <c r="I574" s="219">
        <v>4</v>
      </c>
      <c r="J574" s="219" t="s">
        <v>1054</v>
      </c>
      <c r="K574" s="219" t="s">
        <v>5407</v>
      </c>
      <c r="L574" s="219">
        <v>2</v>
      </c>
      <c r="M574" s="219" t="s">
        <v>478</v>
      </c>
      <c r="N574" s="219" t="s">
        <v>5408</v>
      </c>
      <c r="O574" s="219" t="s">
        <v>452</v>
      </c>
      <c r="P574" s="219" t="s">
        <v>10242</v>
      </c>
      <c r="Q574" s="219" t="s">
        <v>602</v>
      </c>
      <c r="R574" s="219" t="s">
        <v>24</v>
      </c>
      <c r="S574" s="251"/>
      <c r="T574" s="251"/>
      <c r="U574" s="219"/>
      <c r="V574" s="219"/>
      <c r="W574" s="219"/>
      <c r="X574" s="219"/>
      <c r="Y574" s="219"/>
      <c r="Z574" s="219"/>
      <c r="AA574" s="219"/>
      <c r="AB574" s="219"/>
    </row>
    <row r="575" spans="1:28" ht="15.75" customHeight="1">
      <c r="A575" s="255">
        <v>44796</v>
      </c>
      <c r="B575" s="239" t="s">
        <v>3497</v>
      </c>
      <c r="C575" s="239">
        <v>3</v>
      </c>
      <c r="D575" s="239"/>
      <c r="E575" s="239" t="s">
        <v>3500</v>
      </c>
      <c r="F575" s="239" t="s">
        <v>5</v>
      </c>
      <c r="G575" s="239" t="s">
        <v>488</v>
      </c>
      <c r="H575" s="239" t="s">
        <v>3501</v>
      </c>
      <c r="I575" s="239">
        <v>3</v>
      </c>
      <c r="J575" s="239" t="s">
        <v>941</v>
      </c>
      <c r="K575" s="239" t="s">
        <v>3502</v>
      </c>
      <c r="L575" s="239">
        <v>3</v>
      </c>
      <c r="M575" s="239"/>
      <c r="N575" s="239"/>
      <c r="O575" s="239" t="s">
        <v>452</v>
      </c>
      <c r="P575" s="239" t="s">
        <v>3503</v>
      </c>
      <c r="Q575" s="239" t="s">
        <v>3504</v>
      </c>
      <c r="R575" s="239" t="s">
        <v>24</v>
      </c>
      <c r="S575" s="239"/>
      <c r="T575" s="239"/>
      <c r="U575" s="239"/>
      <c r="V575" s="239"/>
      <c r="W575" s="239"/>
      <c r="X575" s="239"/>
      <c r="Y575" s="239"/>
      <c r="Z575" s="239"/>
      <c r="AA575" s="239"/>
      <c r="AB575" s="239"/>
    </row>
    <row r="576" spans="1:28" ht="15.75" hidden="1" customHeight="1">
      <c r="A576" s="257">
        <v>44796</v>
      </c>
      <c r="B576" s="258" t="s">
        <v>8695</v>
      </c>
      <c r="C576" s="263">
        <v>3</v>
      </c>
      <c r="D576" s="263"/>
      <c r="E576" s="258" t="s">
        <v>10373</v>
      </c>
      <c r="F576" s="258" t="s">
        <v>3</v>
      </c>
      <c r="G576" s="258" t="s">
        <v>488</v>
      </c>
      <c r="H576" s="258" t="s">
        <v>8699</v>
      </c>
      <c r="I576" s="258">
        <v>3</v>
      </c>
      <c r="J576" s="258" t="s">
        <v>941</v>
      </c>
      <c r="K576" s="258"/>
      <c r="L576" s="258">
        <v>3</v>
      </c>
      <c r="M576" s="258" t="s">
        <v>8700</v>
      </c>
      <c r="N576" s="258" t="s">
        <v>8701</v>
      </c>
      <c r="O576" s="258" t="s">
        <v>452</v>
      </c>
      <c r="P576" s="258" t="s">
        <v>452</v>
      </c>
      <c r="Q576" s="258"/>
      <c r="R576" s="258" t="s">
        <v>24</v>
      </c>
      <c r="S576" s="259" t="s">
        <v>11735</v>
      </c>
      <c r="T576" s="259"/>
      <c r="U576" s="258"/>
      <c r="V576" s="258"/>
      <c r="W576" s="258"/>
      <c r="X576" s="258"/>
      <c r="Y576" s="258"/>
      <c r="Z576" s="258"/>
      <c r="AA576" s="258"/>
      <c r="AB576" s="258"/>
    </row>
    <row r="577" spans="1:28" ht="15.75" hidden="1" customHeight="1">
      <c r="A577" s="253">
        <v>44796</v>
      </c>
      <c r="B577" s="224" t="s">
        <v>5420</v>
      </c>
      <c r="C577" s="316">
        <v>3</v>
      </c>
      <c r="D577" s="316"/>
      <c r="E577" s="224" t="s">
        <v>10374</v>
      </c>
      <c r="F577" s="224" t="s">
        <v>4</v>
      </c>
      <c r="G577" s="224" t="s">
        <v>725</v>
      </c>
      <c r="H577" s="224" t="s">
        <v>5424</v>
      </c>
      <c r="I577" s="224">
        <v>3</v>
      </c>
      <c r="J577" s="224" t="s">
        <v>1073</v>
      </c>
      <c r="K577" s="224"/>
      <c r="L577" s="224">
        <v>3</v>
      </c>
      <c r="M577" s="224" t="s">
        <v>451</v>
      </c>
      <c r="N577" s="224">
        <v>1000000</v>
      </c>
      <c r="O577" s="224" t="s">
        <v>452</v>
      </c>
      <c r="P577" s="224" t="s">
        <v>10375</v>
      </c>
      <c r="Q577" s="224"/>
      <c r="R577" s="224" t="s">
        <v>24</v>
      </c>
      <c r="S577" s="254"/>
      <c r="T577" s="254"/>
      <c r="U577" s="224"/>
      <c r="V577" s="224"/>
      <c r="W577" s="224"/>
      <c r="X577" s="224"/>
      <c r="Y577" s="224"/>
      <c r="Z577" s="224"/>
      <c r="AA577" s="224"/>
      <c r="AB577" s="224"/>
    </row>
    <row r="578" spans="1:28" ht="15.75" hidden="1" customHeight="1">
      <c r="A578" s="248">
        <v>44796</v>
      </c>
      <c r="B578" s="219" t="s">
        <v>5378</v>
      </c>
      <c r="C578" s="315">
        <v>3</v>
      </c>
      <c r="D578" s="315"/>
      <c r="E578" s="219" t="s">
        <v>5381</v>
      </c>
      <c r="F578" s="219" t="s">
        <v>4</v>
      </c>
      <c r="G578" s="219" t="s">
        <v>727</v>
      </c>
      <c r="H578" s="219" t="s">
        <v>10409</v>
      </c>
      <c r="I578" s="219">
        <v>3</v>
      </c>
      <c r="J578" s="219" t="s">
        <v>1036</v>
      </c>
      <c r="K578" s="219"/>
      <c r="L578" s="219">
        <v>3</v>
      </c>
      <c r="M578" s="219" t="s">
        <v>451</v>
      </c>
      <c r="N578" s="219">
        <v>4000000</v>
      </c>
      <c r="O578" s="219" t="s">
        <v>465</v>
      </c>
      <c r="P578" s="219" t="s">
        <v>3420</v>
      </c>
      <c r="Q578" s="219"/>
      <c r="R578" s="219" t="s">
        <v>24</v>
      </c>
      <c r="S578" s="251"/>
      <c r="T578" s="251"/>
      <c r="U578" s="219"/>
      <c r="V578" s="219"/>
      <c r="W578" s="219"/>
      <c r="X578" s="219"/>
      <c r="Y578" s="219"/>
      <c r="Z578" s="219"/>
      <c r="AA578" s="219"/>
      <c r="AB578" s="219"/>
    </row>
    <row r="579" spans="1:28" ht="15.75" hidden="1" customHeight="1">
      <c r="A579" s="253">
        <v>44796</v>
      </c>
      <c r="B579" s="224" t="s">
        <v>5791</v>
      </c>
      <c r="C579" s="316">
        <v>3</v>
      </c>
      <c r="D579" s="316"/>
      <c r="E579" s="224" t="s">
        <v>5794</v>
      </c>
      <c r="F579" s="224" t="s">
        <v>4</v>
      </c>
      <c r="G579" s="224" t="s">
        <v>1457</v>
      </c>
      <c r="H579" s="224" t="s">
        <v>5795</v>
      </c>
      <c r="I579" s="224">
        <v>3</v>
      </c>
      <c r="J579" s="224" t="s">
        <v>1045</v>
      </c>
      <c r="K579" s="224" t="s">
        <v>5796</v>
      </c>
      <c r="L579" s="224">
        <v>3</v>
      </c>
      <c r="M579" s="224" t="s">
        <v>451</v>
      </c>
      <c r="N579" s="311">
        <v>4000000</v>
      </c>
      <c r="O579" s="224" t="s">
        <v>452</v>
      </c>
      <c r="P579" s="224" t="s">
        <v>5797</v>
      </c>
      <c r="Q579" s="224"/>
      <c r="R579" s="224" t="s">
        <v>24</v>
      </c>
      <c r="S579" s="254"/>
      <c r="T579" s="254"/>
      <c r="U579" s="224"/>
      <c r="V579" s="224"/>
      <c r="W579" s="224"/>
      <c r="X579" s="224"/>
      <c r="Y579" s="224"/>
      <c r="Z579" s="224"/>
      <c r="AA579" s="224"/>
      <c r="AB579" s="224"/>
    </row>
    <row r="580" spans="1:28" ht="15.75" hidden="1" customHeight="1">
      <c r="A580" s="248">
        <v>44796</v>
      </c>
      <c r="B580" s="219" t="s">
        <v>5412</v>
      </c>
      <c r="C580" s="315">
        <v>3</v>
      </c>
      <c r="D580" s="315"/>
      <c r="E580" s="219" t="s">
        <v>5415</v>
      </c>
      <c r="F580" s="219" t="s">
        <v>4</v>
      </c>
      <c r="G580" s="219" t="s">
        <v>727</v>
      </c>
      <c r="H580" s="219" t="s">
        <v>10423</v>
      </c>
      <c r="I580" s="219">
        <v>3</v>
      </c>
      <c r="J580" s="219" t="s">
        <v>1073</v>
      </c>
      <c r="K580" s="219"/>
      <c r="L580" s="219">
        <v>3</v>
      </c>
      <c r="M580" s="219" t="s">
        <v>451</v>
      </c>
      <c r="N580" s="219" t="s">
        <v>3473</v>
      </c>
      <c r="O580" s="219" t="s">
        <v>465</v>
      </c>
      <c r="P580" s="219" t="s">
        <v>10424</v>
      </c>
      <c r="Q580" s="219"/>
      <c r="R580" s="219" t="s">
        <v>24</v>
      </c>
      <c r="S580" s="251"/>
      <c r="T580" s="251"/>
      <c r="U580" s="219"/>
      <c r="V580" s="219"/>
      <c r="W580" s="219"/>
      <c r="X580" s="219"/>
      <c r="Y580" s="219"/>
      <c r="Z580" s="219"/>
      <c r="AA580" s="219"/>
      <c r="AB580" s="219"/>
    </row>
    <row r="581" spans="1:28" ht="15.75" hidden="1" customHeight="1">
      <c r="A581" s="253">
        <v>44796</v>
      </c>
      <c r="B581" s="224" t="s">
        <v>5652</v>
      </c>
      <c r="C581" s="316">
        <v>3</v>
      </c>
      <c r="D581" s="316"/>
      <c r="E581" s="224" t="s">
        <v>5655</v>
      </c>
      <c r="F581" s="224" t="s">
        <v>4</v>
      </c>
      <c r="G581" s="224" t="s">
        <v>1045</v>
      </c>
      <c r="H581" s="224" t="s">
        <v>5656</v>
      </c>
      <c r="I581" s="224">
        <v>3</v>
      </c>
      <c r="J581" s="224" t="s">
        <v>1281</v>
      </c>
      <c r="K581" s="224" t="s">
        <v>5657</v>
      </c>
      <c r="L581" s="224">
        <v>3</v>
      </c>
      <c r="M581" s="224" t="s">
        <v>923</v>
      </c>
      <c r="N581" s="224" t="s">
        <v>5658</v>
      </c>
      <c r="O581" s="224" t="s">
        <v>465</v>
      </c>
      <c r="P581" s="224" t="s">
        <v>452</v>
      </c>
      <c r="Q581" s="224"/>
      <c r="R581" s="224" t="s">
        <v>24</v>
      </c>
      <c r="S581" s="254"/>
      <c r="T581" s="254"/>
      <c r="U581" s="224"/>
      <c r="V581" s="224"/>
      <c r="W581" s="224"/>
      <c r="X581" s="224"/>
      <c r="Y581" s="224"/>
      <c r="Z581" s="224"/>
      <c r="AA581" s="224"/>
      <c r="AB581" s="224"/>
    </row>
    <row r="582" spans="1:28" ht="15.75" hidden="1" customHeight="1">
      <c r="A582" s="248">
        <v>44796</v>
      </c>
      <c r="B582" s="219" t="s">
        <v>5326</v>
      </c>
      <c r="C582" s="315">
        <v>3</v>
      </c>
      <c r="D582" s="315"/>
      <c r="E582" s="219" t="s">
        <v>5329</v>
      </c>
      <c r="F582" s="219" t="s">
        <v>4</v>
      </c>
      <c r="G582" s="219" t="s">
        <v>725</v>
      </c>
      <c r="H582" s="219" t="s">
        <v>5330</v>
      </c>
      <c r="I582" s="219">
        <v>2</v>
      </c>
      <c r="J582" s="219" t="s">
        <v>990</v>
      </c>
      <c r="K582" s="219" t="s">
        <v>5331</v>
      </c>
      <c r="L582" s="219">
        <v>4</v>
      </c>
      <c r="M582" s="219" t="s">
        <v>973</v>
      </c>
      <c r="N582" s="219" t="s">
        <v>5332</v>
      </c>
      <c r="O582" s="219" t="s">
        <v>452</v>
      </c>
      <c r="P582" s="219" t="s">
        <v>5333</v>
      </c>
      <c r="Q582" s="219"/>
      <c r="R582" s="219" t="s">
        <v>24</v>
      </c>
      <c r="S582" s="251"/>
      <c r="T582" s="251"/>
      <c r="U582" s="219"/>
      <c r="V582" s="219"/>
      <c r="W582" s="219"/>
      <c r="X582" s="219"/>
      <c r="Y582" s="219"/>
      <c r="Z582" s="219"/>
      <c r="AA582" s="219"/>
      <c r="AB582" s="219"/>
    </row>
    <row r="583" spans="1:28" ht="15.75" hidden="1" customHeight="1">
      <c r="A583" s="253">
        <v>44796</v>
      </c>
      <c r="B583" s="224" t="s">
        <v>5590</v>
      </c>
      <c r="C583" s="316">
        <v>3</v>
      </c>
      <c r="D583" s="316"/>
      <c r="E583" s="224" t="s">
        <v>5593</v>
      </c>
      <c r="F583" s="224" t="s">
        <v>4</v>
      </c>
      <c r="G583" s="224" t="s">
        <v>725</v>
      </c>
      <c r="H583" s="224" t="s">
        <v>5594</v>
      </c>
      <c r="I583" s="224">
        <v>2</v>
      </c>
      <c r="J583" s="224" t="s">
        <v>1281</v>
      </c>
      <c r="K583" s="224" t="s">
        <v>5595</v>
      </c>
      <c r="L583" s="224">
        <v>4</v>
      </c>
      <c r="M583" s="224" t="s">
        <v>5596</v>
      </c>
      <c r="N583" s="224" t="s">
        <v>5597</v>
      </c>
      <c r="O583" s="224" t="s">
        <v>452</v>
      </c>
      <c r="P583" s="224" t="s">
        <v>452</v>
      </c>
      <c r="Q583" s="224" t="s">
        <v>725</v>
      </c>
      <c r="R583" s="224" t="s">
        <v>24</v>
      </c>
      <c r="S583" s="254"/>
      <c r="T583" s="254"/>
      <c r="U583" s="224"/>
      <c r="V583" s="224"/>
      <c r="W583" s="224"/>
      <c r="X583" s="224"/>
      <c r="Y583" s="224"/>
      <c r="Z583" s="224"/>
      <c r="AA583" s="224"/>
      <c r="AB583" s="224"/>
    </row>
    <row r="584" spans="1:28" ht="15.75" hidden="1" customHeight="1">
      <c r="A584" s="248">
        <v>44796</v>
      </c>
      <c r="B584" s="219" t="s">
        <v>5783</v>
      </c>
      <c r="C584" s="315">
        <v>3</v>
      </c>
      <c r="D584" s="315"/>
      <c r="E584" s="219" t="s">
        <v>5786</v>
      </c>
      <c r="F584" s="219" t="s">
        <v>4</v>
      </c>
      <c r="G584" s="219" t="s">
        <v>727</v>
      </c>
      <c r="H584" s="219"/>
      <c r="I584" s="219">
        <v>3</v>
      </c>
      <c r="J584" s="219" t="s">
        <v>1045</v>
      </c>
      <c r="K584" s="219" t="s">
        <v>5787</v>
      </c>
      <c r="L584" s="219">
        <v>3</v>
      </c>
      <c r="M584" s="219" t="s">
        <v>784</v>
      </c>
      <c r="N584" s="310">
        <v>205000</v>
      </c>
      <c r="O584" s="219" t="s">
        <v>465</v>
      </c>
      <c r="P584" s="219" t="s">
        <v>10545</v>
      </c>
      <c r="Q584" s="219"/>
      <c r="R584" s="219" t="s">
        <v>24</v>
      </c>
      <c r="S584" s="251"/>
      <c r="T584" s="251"/>
      <c r="U584" s="219"/>
      <c r="V584" s="219"/>
      <c r="W584" s="219"/>
      <c r="X584" s="219"/>
      <c r="Y584" s="219"/>
      <c r="Z584" s="219"/>
      <c r="AA584" s="219"/>
      <c r="AB584" s="219"/>
    </row>
    <row r="585" spans="1:28" ht="15.75" hidden="1" customHeight="1">
      <c r="A585" s="255">
        <v>44796</v>
      </c>
      <c r="B585" s="239" t="s">
        <v>9051</v>
      </c>
      <c r="C585" s="262">
        <v>3</v>
      </c>
      <c r="D585" s="262"/>
      <c r="E585" s="239" t="s">
        <v>9054</v>
      </c>
      <c r="F585" s="239" t="s">
        <v>3</v>
      </c>
      <c r="G585" s="239" t="s">
        <v>460</v>
      </c>
      <c r="H585" s="239" t="s">
        <v>10743</v>
      </c>
      <c r="I585" s="239">
        <v>3</v>
      </c>
      <c r="J585" s="239" t="s">
        <v>462</v>
      </c>
      <c r="K585" s="239" t="s">
        <v>9056</v>
      </c>
      <c r="L585" s="239">
        <v>3</v>
      </c>
      <c r="M585" s="239" t="s">
        <v>451</v>
      </c>
      <c r="N585" s="239">
        <v>1000000</v>
      </c>
      <c r="O585" s="239" t="s">
        <v>452</v>
      </c>
      <c r="P585" s="239" t="s">
        <v>9057</v>
      </c>
      <c r="Q585" s="239"/>
      <c r="R585" s="239" t="s">
        <v>24</v>
      </c>
      <c r="S585" s="256" t="s">
        <v>1477</v>
      </c>
      <c r="T585" s="256"/>
      <c r="U585" s="239"/>
      <c r="V585" s="239"/>
      <c r="W585" s="239"/>
      <c r="X585" s="239"/>
      <c r="Y585" s="239"/>
      <c r="Z585" s="239"/>
      <c r="AA585" s="239"/>
      <c r="AB585" s="239"/>
    </row>
    <row r="586" spans="1:28" ht="15.75" hidden="1" customHeight="1">
      <c r="A586" s="248">
        <v>44796</v>
      </c>
      <c r="B586" s="219" t="s">
        <v>8580</v>
      </c>
      <c r="C586" s="315">
        <v>3</v>
      </c>
      <c r="D586" s="315"/>
      <c r="E586" s="219" t="s">
        <v>8583</v>
      </c>
      <c r="F586" s="219" t="s">
        <v>3</v>
      </c>
      <c r="G586" s="219" t="s">
        <v>488</v>
      </c>
      <c r="H586" s="219" t="s">
        <v>10824</v>
      </c>
      <c r="I586" s="219">
        <v>3</v>
      </c>
      <c r="J586" s="219" t="s">
        <v>462</v>
      </c>
      <c r="K586" s="219" t="s">
        <v>8585</v>
      </c>
      <c r="L586" s="219">
        <v>3</v>
      </c>
      <c r="M586" s="219" t="s">
        <v>1578</v>
      </c>
      <c r="N586" s="219" t="s">
        <v>6241</v>
      </c>
      <c r="O586" s="219" t="s">
        <v>452</v>
      </c>
      <c r="P586" s="219" t="s">
        <v>10825</v>
      </c>
      <c r="Q586" s="219"/>
      <c r="R586" s="219" t="s">
        <v>24</v>
      </c>
      <c r="S586" s="251"/>
      <c r="T586" s="251"/>
      <c r="U586" s="219"/>
      <c r="V586" s="219"/>
      <c r="W586" s="219"/>
      <c r="X586" s="219"/>
      <c r="Y586" s="219"/>
      <c r="Z586" s="219"/>
      <c r="AA586" s="219"/>
      <c r="AB586" s="219"/>
    </row>
    <row r="587" spans="1:28" ht="15.75" hidden="1" customHeight="1">
      <c r="A587" s="253">
        <v>44796</v>
      </c>
      <c r="B587" s="224" t="s">
        <v>5393</v>
      </c>
      <c r="C587" s="316">
        <v>3</v>
      </c>
      <c r="D587" s="316"/>
      <c r="E587" s="224" t="s">
        <v>10828</v>
      </c>
      <c r="F587" s="224" t="s">
        <v>4</v>
      </c>
      <c r="G587" s="224" t="s">
        <v>725</v>
      </c>
      <c r="H587" s="224" t="s">
        <v>5397</v>
      </c>
      <c r="I587" s="224">
        <v>3</v>
      </c>
      <c r="J587" s="224" t="s">
        <v>1073</v>
      </c>
      <c r="K587" s="224" t="s">
        <v>5398</v>
      </c>
      <c r="L587" s="224">
        <v>3</v>
      </c>
      <c r="M587" s="224" t="s">
        <v>478</v>
      </c>
      <c r="N587" s="311">
        <v>10000000</v>
      </c>
      <c r="O587" s="224" t="s">
        <v>452</v>
      </c>
      <c r="P587" s="224" t="s">
        <v>5399</v>
      </c>
      <c r="Q587" s="224"/>
      <c r="R587" s="224" t="s">
        <v>24</v>
      </c>
      <c r="S587" s="254"/>
      <c r="T587" s="254"/>
      <c r="U587" s="224"/>
      <c r="V587" s="224"/>
      <c r="W587" s="224"/>
      <c r="X587" s="224"/>
      <c r="Y587" s="224"/>
      <c r="Z587" s="224"/>
      <c r="AA587" s="224"/>
      <c r="AB587" s="224"/>
    </row>
    <row r="588" spans="1:28" ht="15.75" hidden="1" customHeight="1">
      <c r="A588" s="248">
        <v>44796</v>
      </c>
      <c r="B588" s="219" t="s">
        <v>5625</v>
      </c>
      <c r="C588" s="315">
        <v>3</v>
      </c>
      <c r="D588" s="315"/>
      <c r="E588" s="219" t="s">
        <v>5628</v>
      </c>
      <c r="F588" s="219" t="s">
        <v>4</v>
      </c>
      <c r="G588" s="219" t="s">
        <v>602</v>
      </c>
      <c r="H588" s="219" t="s">
        <v>5629</v>
      </c>
      <c r="I588" s="219">
        <v>2</v>
      </c>
      <c r="J588" s="219" t="s">
        <v>1281</v>
      </c>
      <c r="K588" s="219" t="s">
        <v>5630</v>
      </c>
      <c r="L588" s="219">
        <v>4</v>
      </c>
      <c r="M588" s="219" t="s">
        <v>784</v>
      </c>
      <c r="N588" s="219" t="s">
        <v>5631</v>
      </c>
      <c r="O588" s="219" t="s">
        <v>452</v>
      </c>
      <c r="P588" s="219" t="s">
        <v>5632</v>
      </c>
      <c r="Q588" s="219"/>
      <c r="R588" s="219" t="s">
        <v>24</v>
      </c>
      <c r="S588" s="251"/>
      <c r="T588" s="251"/>
      <c r="U588" s="219"/>
      <c r="V588" s="219"/>
      <c r="W588" s="219"/>
      <c r="X588" s="219"/>
      <c r="Y588" s="219"/>
      <c r="Z588" s="219"/>
      <c r="AA588" s="219"/>
      <c r="AB588" s="219"/>
    </row>
    <row r="589" spans="1:28" ht="15.75" hidden="1" customHeight="1">
      <c r="A589" s="253">
        <v>44796</v>
      </c>
      <c r="B589" s="224" t="s">
        <v>5733</v>
      </c>
      <c r="C589" s="316">
        <v>3</v>
      </c>
      <c r="D589" s="316"/>
      <c r="E589" s="224" t="s">
        <v>5736</v>
      </c>
      <c r="F589" s="224" t="s">
        <v>4</v>
      </c>
      <c r="G589" s="224" t="s">
        <v>725</v>
      </c>
      <c r="H589" s="224" t="s">
        <v>10922</v>
      </c>
      <c r="I589" s="224">
        <v>4</v>
      </c>
      <c r="J589" s="224" t="s">
        <v>1457</v>
      </c>
      <c r="K589" s="224" t="s">
        <v>5738</v>
      </c>
      <c r="L589" s="224">
        <v>2</v>
      </c>
      <c r="M589" s="224"/>
      <c r="N589" s="224"/>
      <c r="O589" s="224" t="s">
        <v>454</v>
      </c>
      <c r="P589" s="224" t="s">
        <v>452</v>
      </c>
      <c r="Q589" s="224"/>
      <c r="R589" s="224" t="s">
        <v>24</v>
      </c>
      <c r="S589" s="254"/>
      <c r="T589" s="254"/>
      <c r="U589" s="224"/>
      <c r="V589" s="224"/>
      <c r="W589" s="224"/>
      <c r="X589" s="224"/>
      <c r="Y589" s="224"/>
      <c r="Z589" s="224"/>
      <c r="AA589" s="224"/>
      <c r="AB589" s="224"/>
    </row>
    <row r="590" spans="1:28" ht="15.75" hidden="1" customHeight="1">
      <c r="A590" s="248">
        <v>44796</v>
      </c>
      <c r="B590" s="219" t="s">
        <v>5346</v>
      </c>
      <c r="C590" s="315">
        <v>3</v>
      </c>
      <c r="D590" s="315"/>
      <c r="E590" s="219" t="s">
        <v>5349</v>
      </c>
      <c r="F590" s="219" t="s">
        <v>4</v>
      </c>
      <c r="G590" s="219" t="s">
        <v>725</v>
      </c>
      <c r="H590" s="219" t="s">
        <v>10946</v>
      </c>
      <c r="I590" s="219">
        <v>2</v>
      </c>
      <c r="J590" s="219" t="s">
        <v>990</v>
      </c>
      <c r="K590" s="219"/>
      <c r="L590" s="219">
        <v>4</v>
      </c>
      <c r="M590" s="219" t="s">
        <v>784</v>
      </c>
      <c r="N590" s="219">
        <v>250000</v>
      </c>
      <c r="O590" s="219" t="s">
        <v>452</v>
      </c>
      <c r="P590" s="219" t="s">
        <v>10947</v>
      </c>
      <c r="Q590" s="219"/>
      <c r="R590" s="219" t="s">
        <v>24</v>
      </c>
      <c r="S590" s="251"/>
      <c r="T590" s="251"/>
      <c r="U590" s="219"/>
      <c r="V590" s="219"/>
      <c r="W590" s="219"/>
      <c r="X590" s="219"/>
      <c r="Y590" s="219"/>
      <c r="Z590" s="219"/>
      <c r="AA590" s="219"/>
      <c r="AB590" s="219"/>
    </row>
    <row r="591" spans="1:28" ht="15.75" customHeight="1">
      <c r="A591" s="253">
        <v>44796</v>
      </c>
      <c r="B591" s="224" t="s">
        <v>2607</v>
      </c>
      <c r="C591" s="224">
        <v>3</v>
      </c>
      <c r="D591" s="224"/>
      <c r="E591" s="224" t="s">
        <v>2610</v>
      </c>
      <c r="F591" s="224" t="s">
        <v>5</v>
      </c>
      <c r="G591" s="224" t="s">
        <v>447</v>
      </c>
      <c r="H591" s="224" t="s">
        <v>10971</v>
      </c>
      <c r="I591" s="224">
        <v>3</v>
      </c>
      <c r="J591" s="224" t="s">
        <v>449</v>
      </c>
      <c r="K591" s="224" t="s">
        <v>10972</v>
      </c>
      <c r="L591" s="224">
        <v>3</v>
      </c>
      <c r="M591" s="224" t="s">
        <v>451</v>
      </c>
      <c r="N591" s="224">
        <v>1500000</v>
      </c>
      <c r="O591" s="224" t="s">
        <v>452</v>
      </c>
      <c r="P591" s="224" t="s">
        <v>10973</v>
      </c>
      <c r="Q591" s="224"/>
      <c r="R591" s="224" t="s">
        <v>24</v>
      </c>
      <c r="S591" s="224"/>
      <c r="T591" s="224"/>
      <c r="U591" s="224"/>
      <c r="V591" s="224"/>
      <c r="W591" s="224"/>
      <c r="X591" s="224"/>
      <c r="Y591" s="224"/>
      <c r="Z591" s="224"/>
      <c r="AA591" s="224"/>
      <c r="AB591" s="224"/>
    </row>
    <row r="592" spans="1:28" ht="15.75" hidden="1" customHeight="1">
      <c r="A592" s="248">
        <v>44796</v>
      </c>
      <c r="B592" s="219" t="s">
        <v>5582</v>
      </c>
      <c r="C592" s="315">
        <v>3</v>
      </c>
      <c r="D592" s="315"/>
      <c r="E592" s="219" t="s">
        <v>5585</v>
      </c>
      <c r="F592" s="219" t="s">
        <v>4</v>
      </c>
      <c r="G592" s="219" t="s">
        <v>725</v>
      </c>
      <c r="H592" s="219" t="s">
        <v>11022</v>
      </c>
      <c r="I592" s="219">
        <v>4</v>
      </c>
      <c r="J592" s="219" t="s">
        <v>1237</v>
      </c>
      <c r="K592" s="219"/>
      <c r="L592" s="219">
        <v>2</v>
      </c>
      <c r="M592" s="219" t="s">
        <v>451</v>
      </c>
      <c r="N592" s="219">
        <v>3000000</v>
      </c>
      <c r="O592" s="219" t="s">
        <v>452</v>
      </c>
      <c r="P592" s="219" t="s">
        <v>5587</v>
      </c>
      <c r="Q592" s="219"/>
      <c r="R592" s="219" t="s">
        <v>24</v>
      </c>
      <c r="S592" s="251"/>
      <c r="T592" s="251"/>
      <c r="U592" s="219"/>
      <c r="V592" s="219"/>
      <c r="W592" s="219"/>
      <c r="X592" s="219"/>
      <c r="Y592" s="219"/>
      <c r="Z592" s="219"/>
      <c r="AA592" s="219"/>
      <c r="AB592" s="219"/>
    </row>
    <row r="593" spans="1:28" ht="15.75" hidden="1" customHeight="1">
      <c r="A593" s="253">
        <v>44796</v>
      </c>
      <c r="B593" s="224" t="s">
        <v>5725</v>
      </c>
      <c r="C593" s="316">
        <v>3</v>
      </c>
      <c r="D593" s="316"/>
      <c r="E593" s="224" t="s">
        <v>5728</v>
      </c>
      <c r="F593" s="224" t="s">
        <v>4</v>
      </c>
      <c r="G593" s="224" t="s">
        <v>725</v>
      </c>
      <c r="H593" s="224"/>
      <c r="I593" s="224">
        <v>3</v>
      </c>
      <c r="J593" s="224" t="s">
        <v>1371</v>
      </c>
      <c r="K593" s="224" t="s">
        <v>5729</v>
      </c>
      <c r="L593" s="224">
        <v>3</v>
      </c>
      <c r="M593" s="224" t="s">
        <v>451</v>
      </c>
      <c r="N593" s="311">
        <v>500000</v>
      </c>
      <c r="O593" s="224" t="s">
        <v>452</v>
      </c>
      <c r="P593" s="224" t="s">
        <v>5730</v>
      </c>
      <c r="Q593" s="224"/>
      <c r="R593" s="224" t="s">
        <v>24</v>
      </c>
      <c r="S593" s="254"/>
      <c r="T593" s="254"/>
      <c r="U593" s="224"/>
      <c r="V593" s="224"/>
      <c r="W593" s="224"/>
      <c r="X593" s="224"/>
      <c r="Y593" s="224"/>
      <c r="Z593" s="224"/>
      <c r="AA593" s="224"/>
      <c r="AB593" s="224"/>
    </row>
    <row r="594" spans="1:28" ht="15.75" hidden="1" customHeight="1">
      <c r="A594" s="248">
        <v>44796</v>
      </c>
      <c r="B594" s="219" t="s">
        <v>5521</v>
      </c>
      <c r="C594" s="315">
        <v>3</v>
      </c>
      <c r="D594" s="315"/>
      <c r="E594" s="219" t="s">
        <v>5524</v>
      </c>
      <c r="F594" s="219" t="s">
        <v>4</v>
      </c>
      <c r="G594" s="219" t="s">
        <v>725</v>
      </c>
      <c r="H594" s="219" t="s">
        <v>5525</v>
      </c>
      <c r="I594" s="219">
        <v>3</v>
      </c>
      <c r="J594" s="219" t="s">
        <v>1187</v>
      </c>
      <c r="K594" s="219" t="s">
        <v>5526</v>
      </c>
      <c r="L594" s="219">
        <v>3</v>
      </c>
      <c r="M594" s="219" t="s">
        <v>784</v>
      </c>
      <c r="N594" s="219">
        <v>500000</v>
      </c>
      <c r="O594" s="219" t="s">
        <v>452</v>
      </c>
      <c r="P594" s="219" t="s">
        <v>452</v>
      </c>
      <c r="Q594" s="219"/>
      <c r="R594" s="219" t="s">
        <v>24</v>
      </c>
      <c r="S594" s="251"/>
      <c r="T594" s="251"/>
      <c r="U594" s="219"/>
      <c r="V594" s="219"/>
      <c r="W594" s="219"/>
      <c r="X594" s="219"/>
      <c r="Y594" s="219"/>
      <c r="Z594" s="219"/>
      <c r="AA594" s="219"/>
      <c r="AB594" s="219"/>
    </row>
    <row r="595" spans="1:28" ht="15.75" hidden="1" customHeight="1">
      <c r="A595" s="253">
        <v>44796</v>
      </c>
      <c r="B595" s="224" t="s">
        <v>5451</v>
      </c>
      <c r="C595" s="316">
        <v>3</v>
      </c>
      <c r="D595" s="316"/>
      <c r="E595" s="224" t="s">
        <v>5454</v>
      </c>
      <c r="F595" s="224" t="s">
        <v>4</v>
      </c>
      <c r="G595" s="224" t="s">
        <v>602</v>
      </c>
      <c r="H595" s="224" t="s">
        <v>5455</v>
      </c>
      <c r="I595" s="224">
        <v>2</v>
      </c>
      <c r="J595" s="224" t="s">
        <v>604</v>
      </c>
      <c r="K595" s="224" t="s">
        <v>11066</v>
      </c>
      <c r="L595" s="224">
        <v>4</v>
      </c>
      <c r="M595" s="224" t="s">
        <v>478</v>
      </c>
      <c r="N595" s="330">
        <v>5000000</v>
      </c>
      <c r="O595" s="224" t="s">
        <v>452</v>
      </c>
      <c r="P595" s="224" t="s">
        <v>452</v>
      </c>
      <c r="Q595" s="224"/>
      <c r="R595" s="224" t="s">
        <v>24</v>
      </c>
      <c r="S595" s="254"/>
      <c r="T595" s="254"/>
      <c r="U595" s="224"/>
      <c r="V595" s="224"/>
      <c r="W595" s="224"/>
      <c r="X595" s="224"/>
      <c r="Y595" s="224"/>
      <c r="Z595" s="224"/>
      <c r="AA595" s="224"/>
      <c r="AB595" s="224"/>
    </row>
    <row r="596" spans="1:28" ht="15.75" customHeight="1">
      <c r="A596" s="248">
        <v>44796</v>
      </c>
      <c r="B596" s="219" t="s">
        <v>2724</v>
      </c>
      <c r="C596" s="219">
        <v>3</v>
      </c>
      <c r="D596" s="219"/>
      <c r="E596" s="219" t="s">
        <v>2727</v>
      </c>
      <c r="F596" s="219" t="s">
        <v>5</v>
      </c>
      <c r="G596" s="219" t="s">
        <v>447</v>
      </c>
      <c r="H596" s="219" t="s">
        <v>11119</v>
      </c>
      <c r="I596" s="219">
        <v>3</v>
      </c>
      <c r="J596" s="219" t="s">
        <v>622</v>
      </c>
      <c r="K596" s="219" t="s">
        <v>11120</v>
      </c>
      <c r="L596" s="219">
        <v>3</v>
      </c>
      <c r="M596" s="219" t="s">
        <v>451</v>
      </c>
      <c r="N596" s="310">
        <v>3000000</v>
      </c>
      <c r="O596" s="219" t="s">
        <v>452</v>
      </c>
      <c r="P596" s="219" t="s">
        <v>11121</v>
      </c>
      <c r="Q596" s="219"/>
      <c r="R596" s="219" t="s">
        <v>24</v>
      </c>
      <c r="S596" s="219"/>
      <c r="T596" s="219"/>
      <c r="U596" s="219"/>
      <c r="V596" s="219"/>
      <c r="W596" s="219"/>
      <c r="X596" s="219"/>
      <c r="Y596" s="219"/>
      <c r="Z596" s="219"/>
      <c r="AA596" s="219"/>
      <c r="AB596" s="219"/>
    </row>
    <row r="597" spans="1:28" ht="15.75" hidden="1" customHeight="1">
      <c r="A597" s="253">
        <v>44796</v>
      </c>
      <c r="B597" s="224" t="s">
        <v>5427</v>
      </c>
      <c r="C597" s="316">
        <v>3</v>
      </c>
      <c r="D597" s="316"/>
      <c r="E597" s="224" t="s">
        <v>5430</v>
      </c>
      <c r="F597" s="224" t="s">
        <v>4</v>
      </c>
      <c r="G597" s="224" t="s">
        <v>725</v>
      </c>
      <c r="H597" s="224" t="s">
        <v>13400</v>
      </c>
      <c r="I597" s="224">
        <v>4</v>
      </c>
      <c r="J597" s="224" t="s">
        <v>1045</v>
      </c>
      <c r="K597" s="224" t="s">
        <v>5432</v>
      </c>
      <c r="L597" s="224">
        <v>2</v>
      </c>
      <c r="M597" s="224" t="s">
        <v>451</v>
      </c>
      <c r="N597" s="311">
        <v>2500000</v>
      </c>
      <c r="O597" s="224" t="s">
        <v>465</v>
      </c>
      <c r="P597" s="224" t="s">
        <v>11126</v>
      </c>
      <c r="Q597" s="224"/>
      <c r="R597" s="224" t="s">
        <v>24</v>
      </c>
      <c r="S597" s="254"/>
      <c r="T597" s="254"/>
      <c r="U597" s="224"/>
      <c r="V597" s="224"/>
      <c r="W597" s="224"/>
      <c r="X597" s="224"/>
      <c r="Y597" s="224"/>
      <c r="Z597" s="224"/>
      <c r="AA597" s="224"/>
      <c r="AB597" s="224"/>
    </row>
    <row r="598" spans="1:28" ht="15.75" customHeight="1">
      <c r="A598" s="248">
        <v>44796</v>
      </c>
      <c r="B598" s="219" t="s">
        <v>2769</v>
      </c>
      <c r="C598" s="219">
        <v>3</v>
      </c>
      <c r="D598" s="219"/>
      <c r="E598" s="219" t="s">
        <v>2772</v>
      </c>
      <c r="F598" s="219" t="s">
        <v>5</v>
      </c>
      <c r="G598" s="219" t="s">
        <v>447</v>
      </c>
      <c r="H598" s="219" t="s">
        <v>11191</v>
      </c>
      <c r="I598" s="219">
        <v>3</v>
      </c>
      <c r="J598" s="219" t="s">
        <v>449</v>
      </c>
      <c r="K598" s="219" t="s">
        <v>11192</v>
      </c>
      <c r="L598" s="219">
        <v>3</v>
      </c>
      <c r="M598" s="219"/>
      <c r="N598" s="219"/>
      <c r="O598" s="219" t="s">
        <v>452</v>
      </c>
      <c r="P598" s="219" t="s">
        <v>2775</v>
      </c>
      <c r="Q598" s="219"/>
      <c r="R598" s="219" t="s">
        <v>24</v>
      </c>
      <c r="S598" s="219"/>
      <c r="T598" s="219"/>
      <c r="U598" s="219"/>
      <c r="V598" s="219"/>
      <c r="W598" s="219"/>
      <c r="X598" s="219"/>
      <c r="Y598" s="219"/>
      <c r="Z598" s="219"/>
      <c r="AA598" s="219"/>
      <c r="AB598" s="219"/>
    </row>
    <row r="599" spans="1:28" ht="15.75" customHeight="1">
      <c r="A599" s="253">
        <v>44796</v>
      </c>
      <c r="B599" s="224" t="s">
        <v>2184</v>
      </c>
      <c r="C599" s="224">
        <v>3</v>
      </c>
      <c r="D599" s="224"/>
      <c r="E599" s="224" t="s">
        <v>2187</v>
      </c>
      <c r="F599" s="224" t="s">
        <v>5</v>
      </c>
      <c r="G599" s="224" t="s">
        <v>447</v>
      </c>
      <c r="H599" s="224" t="s">
        <v>11262</v>
      </c>
      <c r="I599" s="224">
        <v>3</v>
      </c>
      <c r="J599" s="224" t="s">
        <v>543</v>
      </c>
      <c r="K599" s="224" t="e">
        <f>+ Aiming to revolutionize the housing construction Industry with their new material High-density Gypsum. Gypsum is a polycrystal
                                                                                                                                                                                                                                                                in which there are two kinds of bonds - non-strength and
                                                                                                                                                                                                                                                                crystallization-strength which is cheap to produce hardens rapidly and is highly eco-friendly.
- need customers</f>
        <v>#NAME?</v>
      </c>
      <c r="L599" s="224">
        <v>3</v>
      </c>
      <c r="M599" s="224" t="s">
        <v>2190</v>
      </c>
      <c r="N599" s="224">
        <v>1500000</v>
      </c>
      <c r="O599" s="224" t="s">
        <v>452</v>
      </c>
      <c r="P599" s="224" t="s">
        <v>2191</v>
      </c>
      <c r="Q599" s="224"/>
      <c r="R599" s="224" t="s">
        <v>24</v>
      </c>
      <c r="S599" s="224"/>
      <c r="T599" s="224"/>
      <c r="U599" s="224"/>
      <c r="V599" s="224"/>
      <c r="W599" s="224"/>
      <c r="X599" s="224"/>
      <c r="Y599" s="224"/>
      <c r="Z599" s="224"/>
      <c r="AA599" s="224"/>
      <c r="AB599" s="224"/>
    </row>
    <row r="600" spans="1:28" ht="15.75" hidden="1" customHeight="1">
      <c r="A600" s="248">
        <v>44796</v>
      </c>
      <c r="B600" s="219" t="s">
        <v>5361</v>
      </c>
      <c r="C600" s="315">
        <v>3</v>
      </c>
      <c r="D600" s="315"/>
      <c r="E600" s="219" t="s">
        <v>5364</v>
      </c>
      <c r="F600" s="219" t="s">
        <v>4</v>
      </c>
      <c r="G600" s="219" t="s">
        <v>447</v>
      </c>
      <c r="H600" s="219" t="s">
        <v>11279</v>
      </c>
      <c r="I600" s="219">
        <v>3</v>
      </c>
      <c r="J600" s="219" t="s">
        <v>1036</v>
      </c>
      <c r="K600" s="219" t="s">
        <v>5366</v>
      </c>
      <c r="L600" s="219">
        <v>3</v>
      </c>
      <c r="M600" s="219"/>
      <c r="N600" s="219"/>
      <c r="O600" s="219" t="s">
        <v>452</v>
      </c>
      <c r="P600" s="219" t="s">
        <v>5367</v>
      </c>
      <c r="Q600" s="219"/>
      <c r="R600" s="219" t="s">
        <v>24</v>
      </c>
      <c r="S600" s="251"/>
      <c r="T600" s="251"/>
      <c r="U600" s="219"/>
      <c r="V600" s="219"/>
      <c r="W600" s="219"/>
      <c r="X600" s="219"/>
      <c r="Y600" s="219"/>
      <c r="Z600" s="219"/>
      <c r="AA600" s="219"/>
      <c r="AB600" s="219"/>
    </row>
    <row r="601" spans="1:28" ht="15.75" hidden="1" customHeight="1">
      <c r="A601" s="253">
        <v>44796</v>
      </c>
      <c r="B601" s="224" t="s">
        <v>8740</v>
      </c>
      <c r="C601" s="316">
        <v>3</v>
      </c>
      <c r="D601" s="316"/>
      <c r="E601" s="224" t="s">
        <v>8743</v>
      </c>
      <c r="F601" s="224" t="s">
        <v>3</v>
      </c>
      <c r="G601" s="224" t="s">
        <v>488</v>
      </c>
      <c r="H601" s="224"/>
      <c r="I601" s="224">
        <v>3</v>
      </c>
      <c r="J601" s="224" t="s">
        <v>941</v>
      </c>
      <c r="K601" s="224" t="s">
        <v>8744</v>
      </c>
      <c r="L601" s="224">
        <v>3</v>
      </c>
      <c r="M601" s="224" t="s">
        <v>478</v>
      </c>
      <c r="N601" s="224">
        <v>500000</v>
      </c>
      <c r="O601" s="224" t="s">
        <v>452</v>
      </c>
      <c r="P601" s="224" t="s">
        <v>452</v>
      </c>
      <c r="Q601" s="224"/>
      <c r="R601" s="224" t="s">
        <v>24</v>
      </c>
      <c r="S601" s="254"/>
      <c r="T601" s="254"/>
      <c r="U601" s="224"/>
      <c r="V601" s="224"/>
      <c r="W601" s="224"/>
      <c r="X601" s="224"/>
      <c r="Y601" s="224"/>
      <c r="Z601" s="224"/>
      <c r="AA601" s="224"/>
      <c r="AB601" s="224"/>
    </row>
    <row r="602" spans="1:28" ht="15.75" customHeight="1">
      <c r="A602" s="257">
        <v>44796</v>
      </c>
      <c r="B602" s="258" t="s">
        <v>2778</v>
      </c>
      <c r="C602" s="258">
        <v>3</v>
      </c>
      <c r="D602" s="258"/>
      <c r="E602" s="258" t="s">
        <v>2781</v>
      </c>
      <c r="F602" s="258" t="s">
        <v>5</v>
      </c>
      <c r="G602" s="258" t="s">
        <v>447</v>
      </c>
      <c r="H602" s="258" t="s">
        <v>11311</v>
      </c>
      <c r="I602" s="258">
        <v>2</v>
      </c>
      <c r="J602" s="258" t="s">
        <v>449</v>
      </c>
      <c r="K602" s="258" t="s">
        <v>11312</v>
      </c>
      <c r="L602" s="258">
        <v>4</v>
      </c>
      <c r="M602" s="258" t="s">
        <v>2784</v>
      </c>
      <c r="N602" s="261">
        <v>1000000</v>
      </c>
      <c r="O602" s="258" t="s">
        <v>452</v>
      </c>
      <c r="P602" s="258" t="s">
        <v>2785</v>
      </c>
      <c r="Q602" s="258"/>
      <c r="R602" s="258" t="s">
        <v>24</v>
      </c>
      <c r="S602" s="258"/>
      <c r="T602" s="258"/>
      <c r="U602" s="258"/>
      <c r="V602" s="258"/>
      <c r="W602" s="258"/>
      <c r="X602" s="258"/>
      <c r="Y602" s="258"/>
      <c r="Z602" s="258"/>
      <c r="AA602" s="258"/>
      <c r="AB602" s="258"/>
    </row>
    <row r="603" spans="1:28" ht="15.75" customHeight="1">
      <c r="A603" s="253">
        <v>44796</v>
      </c>
      <c r="B603" s="224" t="s">
        <v>3157</v>
      </c>
      <c r="C603" s="224">
        <v>3</v>
      </c>
      <c r="D603" s="224"/>
      <c r="E603" s="224" t="s">
        <v>3160</v>
      </c>
      <c r="F603" s="224" t="s">
        <v>5</v>
      </c>
      <c r="G603" s="224" t="s">
        <v>447</v>
      </c>
      <c r="H603" s="224" t="s">
        <v>11323</v>
      </c>
      <c r="I603" s="224">
        <v>3</v>
      </c>
      <c r="J603" s="224" t="s">
        <v>449</v>
      </c>
      <c r="K603" s="224" t="s">
        <v>11324</v>
      </c>
      <c r="L603" s="224">
        <v>3</v>
      </c>
      <c r="M603" s="224" t="s">
        <v>3163</v>
      </c>
      <c r="N603" s="224">
        <v>2000000</v>
      </c>
      <c r="O603" s="224" t="s">
        <v>452</v>
      </c>
      <c r="P603" s="224" t="s">
        <v>3164</v>
      </c>
      <c r="Q603" s="224"/>
      <c r="R603" s="224" t="s">
        <v>24</v>
      </c>
      <c r="S603" s="224"/>
      <c r="T603" s="224"/>
      <c r="U603" s="224"/>
      <c r="V603" s="224"/>
      <c r="W603" s="224"/>
      <c r="X603" s="224"/>
      <c r="Y603" s="224"/>
      <c r="Z603" s="224"/>
      <c r="AA603" s="224"/>
      <c r="AB603" s="224"/>
    </row>
    <row r="604" spans="1:28" ht="15.75" hidden="1" customHeight="1">
      <c r="A604" s="248">
        <v>44796</v>
      </c>
      <c r="B604" s="219" t="s">
        <v>8334</v>
      </c>
      <c r="C604" s="315">
        <v>3</v>
      </c>
      <c r="D604" s="315"/>
      <c r="E604" s="219"/>
      <c r="F604" s="219" t="s">
        <v>3</v>
      </c>
      <c r="G604" s="219" t="s">
        <v>488</v>
      </c>
      <c r="H604" s="219" t="s">
        <v>11359</v>
      </c>
      <c r="I604" s="219">
        <v>3</v>
      </c>
      <c r="J604" s="219" t="s">
        <v>941</v>
      </c>
      <c r="K604" s="219"/>
      <c r="L604" s="219">
        <v>3</v>
      </c>
      <c r="M604" s="219" t="s">
        <v>451</v>
      </c>
      <c r="N604" s="219">
        <v>2000000</v>
      </c>
      <c r="O604" s="219" t="s">
        <v>452</v>
      </c>
      <c r="P604" s="219" t="s">
        <v>8338</v>
      </c>
      <c r="Q604" s="219"/>
      <c r="R604" s="219" t="s">
        <v>24</v>
      </c>
      <c r="S604" s="251"/>
      <c r="T604" s="251"/>
      <c r="U604" s="219"/>
      <c r="V604" s="219"/>
      <c r="W604" s="219"/>
      <c r="X604" s="219"/>
      <c r="Y604" s="219"/>
      <c r="Z604" s="219"/>
      <c r="AA604" s="219"/>
      <c r="AB604" s="219"/>
    </row>
    <row r="605" spans="1:28" ht="15.75" customHeight="1">
      <c r="A605" s="253">
        <v>44796</v>
      </c>
      <c r="B605" s="224" t="s">
        <v>3578</v>
      </c>
      <c r="C605" s="224">
        <v>3</v>
      </c>
      <c r="D605" s="224"/>
      <c r="E605" s="224" t="s">
        <v>3581</v>
      </c>
      <c r="F605" s="224" t="s">
        <v>5</v>
      </c>
      <c r="G605" s="224" t="s">
        <v>447</v>
      </c>
      <c r="H605" s="224" t="s">
        <v>11360</v>
      </c>
      <c r="I605" s="224">
        <v>3</v>
      </c>
      <c r="J605" s="224" t="s">
        <v>449</v>
      </c>
      <c r="K605" s="224" t="s">
        <v>11361</v>
      </c>
      <c r="L605" s="224">
        <v>3</v>
      </c>
      <c r="M605" s="224" t="s">
        <v>784</v>
      </c>
      <c r="N605" s="330">
        <v>300000</v>
      </c>
      <c r="O605" s="224" t="s">
        <v>454</v>
      </c>
      <c r="P605" s="224" t="s">
        <v>452</v>
      </c>
      <c r="Q605" s="224" t="s">
        <v>3584</v>
      </c>
      <c r="R605" s="224" t="s">
        <v>24</v>
      </c>
      <c r="S605" s="224"/>
      <c r="T605" s="224"/>
      <c r="U605" s="224"/>
      <c r="V605" s="224"/>
      <c r="W605" s="224"/>
      <c r="X605" s="224"/>
      <c r="Y605" s="224"/>
      <c r="Z605" s="224"/>
      <c r="AA605" s="224"/>
      <c r="AB605" s="224"/>
    </row>
    <row r="606" spans="1:28" ht="15.75" hidden="1" customHeight="1">
      <c r="A606" s="248">
        <v>44796</v>
      </c>
      <c r="B606" s="219" t="s">
        <v>5435</v>
      </c>
      <c r="C606" s="315">
        <v>3</v>
      </c>
      <c r="D606" s="315"/>
      <c r="E606" s="219" t="s">
        <v>5438</v>
      </c>
      <c r="F606" s="219" t="s">
        <v>4</v>
      </c>
      <c r="G606" s="219" t="s">
        <v>1045</v>
      </c>
      <c r="H606" s="219" t="s">
        <v>5439</v>
      </c>
      <c r="I606" s="219">
        <v>3</v>
      </c>
      <c r="J606" s="219" t="s">
        <v>1073</v>
      </c>
      <c r="K606" s="219"/>
      <c r="L606" s="219">
        <v>3</v>
      </c>
      <c r="M606" s="219"/>
      <c r="N606" s="219"/>
      <c r="O606" s="219" t="s">
        <v>452</v>
      </c>
      <c r="P606" s="219" t="s">
        <v>452</v>
      </c>
      <c r="Q606" s="219"/>
      <c r="R606" s="219" t="s">
        <v>24</v>
      </c>
      <c r="S606" s="251"/>
      <c r="T606" s="251"/>
      <c r="U606" s="219"/>
      <c r="V606" s="219"/>
      <c r="W606" s="219"/>
      <c r="X606" s="219"/>
      <c r="Y606" s="219"/>
      <c r="Z606" s="219"/>
      <c r="AA606" s="219"/>
      <c r="AB606" s="219"/>
    </row>
    <row r="607" spans="1:28" ht="15.75" hidden="1" customHeight="1">
      <c r="A607" s="253">
        <v>44796</v>
      </c>
      <c r="B607" s="224" t="s">
        <v>5385</v>
      </c>
      <c r="C607" s="316">
        <v>3</v>
      </c>
      <c r="D607" s="316"/>
      <c r="E607" s="224" t="s">
        <v>10840</v>
      </c>
      <c r="F607" s="224" t="s">
        <v>4</v>
      </c>
      <c r="G607" s="224" t="s">
        <v>1457</v>
      </c>
      <c r="H607" s="224" t="s">
        <v>5389</v>
      </c>
      <c r="I607" s="224">
        <v>4</v>
      </c>
      <c r="J607" s="224" t="s">
        <v>1036</v>
      </c>
      <c r="K607" s="224" t="s">
        <v>5390</v>
      </c>
      <c r="L607" s="224">
        <v>2</v>
      </c>
      <c r="M607" s="224"/>
      <c r="N607" s="224"/>
      <c r="O607" s="224" t="s">
        <v>452</v>
      </c>
      <c r="P607" s="224" t="s">
        <v>452</v>
      </c>
      <c r="Q607" s="224"/>
      <c r="R607" s="224" t="s">
        <v>24</v>
      </c>
      <c r="S607" s="254"/>
      <c r="T607" s="254"/>
      <c r="U607" s="224"/>
      <c r="V607" s="224"/>
      <c r="W607" s="224"/>
      <c r="X607" s="224"/>
      <c r="Y607" s="224"/>
      <c r="Z607" s="224"/>
      <c r="AA607" s="224"/>
      <c r="AB607" s="224"/>
    </row>
    <row r="608" spans="1:28" ht="15.75" customHeight="1">
      <c r="A608" s="248">
        <v>44796</v>
      </c>
      <c r="B608" s="219" t="s">
        <v>3105</v>
      </c>
      <c r="C608" s="219">
        <v>3</v>
      </c>
      <c r="D608" s="219"/>
      <c r="E608" s="219" t="s">
        <v>3108</v>
      </c>
      <c r="F608" s="219" t="s">
        <v>5</v>
      </c>
      <c r="G608" s="219" t="s">
        <v>447</v>
      </c>
      <c r="H608" s="219" t="s">
        <v>11306</v>
      </c>
      <c r="I608" s="219">
        <v>3</v>
      </c>
      <c r="J608" s="219" t="s">
        <v>543</v>
      </c>
      <c r="K608" s="219" t="s">
        <v>13400</v>
      </c>
      <c r="L608" s="219">
        <v>3</v>
      </c>
      <c r="M608" s="219" t="s">
        <v>3111</v>
      </c>
      <c r="N608" s="219" t="s">
        <v>3112</v>
      </c>
      <c r="O608" s="219" t="s">
        <v>452</v>
      </c>
      <c r="P608" s="219"/>
      <c r="Q608" s="219"/>
      <c r="R608" s="219" t="s">
        <v>24</v>
      </c>
      <c r="S608" s="219"/>
      <c r="T608" s="219"/>
      <c r="U608" s="219"/>
      <c r="V608" s="219"/>
      <c r="W608" s="219"/>
      <c r="X608" s="219"/>
      <c r="Y608" s="219"/>
      <c r="Z608" s="219"/>
      <c r="AA608" s="219"/>
      <c r="AB608" s="219"/>
    </row>
    <row r="609" spans="1:28" ht="15.75" hidden="1" customHeight="1">
      <c r="A609" s="253">
        <v>44789</v>
      </c>
      <c r="B609" s="224" t="s">
        <v>5825</v>
      </c>
      <c r="C609" s="249">
        <v>2.88</v>
      </c>
      <c r="D609" s="249"/>
      <c r="E609" s="224" t="s">
        <v>5828</v>
      </c>
      <c r="F609" s="250" t="s">
        <v>4</v>
      </c>
      <c r="G609" s="224" t="s">
        <v>727</v>
      </c>
      <c r="H609" s="224" t="s">
        <v>10347</v>
      </c>
      <c r="I609" s="224">
        <v>3.75</v>
      </c>
      <c r="J609" s="224" t="s">
        <v>1045</v>
      </c>
      <c r="K609" s="224" t="s">
        <v>5830</v>
      </c>
      <c r="L609" s="224">
        <v>2</v>
      </c>
      <c r="M609" s="224" t="s">
        <v>784</v>
      </c>
      <c r="N609" s="311">
        <v>350000</v>
      </c>
      <c r="O609" s="224" t="s">
        <v>452</v>
      </c>
      <c r="P609" s="224" t="s">
        <v>5831</v>
      </c>
      <c r="Q609" s="224"/>
      <c r="R609" s="224" t="s">
        <v>24</v>
      </c>
      <c r="S609" s="254"/>
      <c r="T609" s="254"/>
      <c r="U609" s="252"/>
      <c r="V609" s="252"/>
      <c r="W609" s="252"/>
      <c r="X609" s="224"/>
      <c r="Y609" s="224"/>
      <c r="Z609" s="224"/>
      <c r="AA609" s="224"/>
      <c r="AB609" s="224"/>
    </row>
    <row r="610" spans="1:28" ht="15.75" hidden="1" customHeight="1">
      <c r="A610" s="257">
        <v>44791</v>
      </c>
      <c r="B610" s="258" t="s">
        <v>390</v>
      </c>
      <c r="C610" s="263">
        <v>2.88</v>
      </c>
      <c r="D610" s="263"/>
      <c r="E610" s="258" t="s">
        <v>9534</v>
      </c>
      <c r="F610" s="258" t="s">
        <v>4</v>
      </c>
      <c r="G610" s="258" t="s">
        <v>727</v>
      </c>
      <c r="H610" s="258" t="s">
        <v>10585</v>
      </c>
      <c r="I610" s="258">
        <v>3.75</v>
      </c>
      <c r="J610" s="258" t="s">
        <v>1298</v>
      </c>
      <c r="K610" s="258"/>
      <c r="L610" s="258">
        <v>2</v>
      </c>
      <c r="M610" s="258" t="s">
        <v>451</v>
      </c>
      <c r="N610" s="258" t="s">
        <v>4828</v>
      </c>
      <c r="O610" s="258" t="s">
        <v>465</v>
      </c>
      <c r="P610" s="258" t="s">
        <v>9536</v>
      </c>
      <c r="Q610" s="258"/>
      <c r="R610" s="258" t="s">
        <v>20</v>
      </c>
      <c r="S610" s="259" t="s">
        <v>11695</v>
      </c>
      <c r="T610" s="259"/>
      <c r="U610" s="258"/>
      <c r="V610" s="258"/>
      <c r="W610" s="258"/>
      <c r="X610" s="258"/>
      <c r="Y610" s="258"/>
      <c r="Z610" s="258"/>
      <c r="AA610" s="258"/>
      <c r="AB610" s="258"/>
    </row>
    <row r="611" spans="1:28" ht="15.75" customHeight="1">
      <c r="A611" s="220">
        <v>44776</v>
      </c>
      <c r="B611" s="221" t="s">
        <v>13210</v>
      </c>
      <c r="C611" s="215">
        <v>2.75</v>
      </c>
      <c r="D611" s="215"/>
      <c r="E611" s="221" t="s">
        <v>11518</v>
      </c>
      <c r="F611" s="215" t="s">
        <v>5</v>
      </c>
      <c r="G611" s="221" t="s">
        <v>447</v>
      </c>
      <c r="H611" s="221"/>
      <c r="I611" s="221">
        <v>2.5</v>
      </c>
      <c r="J611" s="221" t="s">
        <v>476</v>
      </c>
      <c r="K611" s="221" t="s">
        <v>13400</v>
      </c>
      <c r="L611" s="221">
        <v>3</v>
      </c>
      <c r="M611" s="221" t="s">
        <v>784</v>
      </c>
      <c r="N611" s="221" t="s">
        <v>11519</v>
      </c>
      <c r="O611" s="221" t="s">
        <v>452</v>
      </c>
      <c r="P611" s="221" t="s">
        <v>11520</v>
      </c>
      <c r="Q611" s="221"/>
      <c r="R611" s="221" t="s">
        <v>24</v>
      </c>
      <c r="S611" s="221">
        <f t="array" ref="S611">INDEX(Notes!C:C,MATCH($B611,Notes!$A:$A,0))</f>
        <v>0</v>
      </c>
      <c r="T611" s="221"/>
      <c r="U611" s="218"/>
      <c r="V611" s="218"/>
      <c r="W611" s="218"/>
      <c r="X611" s="224"/>
      <c r="Y611" s="224"/>
      <c r="Z611" s="224"/>
      <c r="AA611" s="224"/>
      <c r="AB611" s="224"/>
    </row>
    <row r="612" spans="1:28" ht="15.75" customHeight="1">
      <c r="A612" s="212">
        <v>44776</v>
      </c>
      <c r="B612" s="213" t="s">
        <v>2635</v>
      </c>
      <c r="C612" s="215">
        <v>2.75</v>
      </c>
      <c r="D612" s="215"/>
      <c r="E612" s="213" t="s">
        <v>2638</v>
      </c>
      <c r="F612" s="215" t="s">
        <v>5</v>
      </c>
      <c r="G612" s="213" t="s">
        <v>447</v>
      </c>
      <c r="H612" s="213" t="s">
        <v>2639</v>
      </c>
      <c r="I612" s="213">
        <v>2.5</v>
      </c>
      <c r="J612" s="213" t="s">
        <v>622</v>
      </c>
      <c r="K612" s="213" t="s">
        <v>10202</v>
      </c>
      <c r="L612" s="213">
        <v>3</v>
      </c>
      <c r="M612" s="213"/>
      <c r="N612" s="213"/>
      <c r="O612" s="213" t="s">
        <v>452</v>
      </c>
      <c r="P612" s="213" t="s">
        <v>10203</v>
      </c>
      <c r="Q612" s="213"/>
      <c r="R612" s="213" t="s">
        <v>24</v>
      </c>
      <c r="S612" s="213">
        <f t="array" ref="S612">INDEX(Notes!C:C,MATCH($B612,Notes!$A:$A,0))</f>
        <v>0</v>
      </c>
      <c r="T612" s="213"/>
      <c r="U612" s="218"/>
      <c r="V612" s="218"/>
      <c r="W612" s="218"/>
      <c r="X612" s="219"/>
      <c r="Y612" s="219"/>
      <c r="Z612" s="219"/>
      <c r="AA612" s="219"/>
      <c r="AB612" s="219"/>
    </row>
    <row r="613" spans="1:28" ht="15.75" customHeight="1">
      <c r="A613" s="227">
        <v>44776</v>
      </c>
      <c r="B613" s="228" t="s">
        <v>2696</v>
      </c>
      <c r="C613" s="215">
        <v>2.75</v>
      </c>
      <c r="D613" s="215"/>
      <c r="E613" s="228" t="s">
        <v>2699</v>
      </c>
      <c r="F613" s="215" t="s">
        <v>5</v>
      </c>
      <c r="G613" s="228" t="s">
        <v>447</v>
      </c>
      <c r="H613" s="228" t="s">
        <v>2700</v>
      </c>
      <c r="I613" s="228">
        <v>3.5</v>
      </c>
      <c r="J613" s="228" t="s">
        <v>449</v>
      </c>
      <c r="K613" s="228" t="s">
        <v>13400</v>
      </c>
      <c r="L613" s="228">
        <v>2</v>
      </c>
      <c r="M613" s="228" t="s">
        <v>478</v>
      </c>
      <c r="N613" s="232">
        <v>3000000</v>
      </c>
      <c r="O613" s="228" t="s">
        <v>452</v>
      </c>
      <c r="P613" s="228" t="s">
        <v>10222</v>
      </c>
      <c r="Q613" s="228"/>
      <c r="R613" s="228" t="s">
        <v>24</v>
      </c>
      <c r="S613" s="228" t="s">
        <v>2703</v>
      </c>
      <c r="T613" s="228"/>
      <c r="U613" s="228"/>
      <c r="V613" s="228"/>
      <c r="W613" s="228"/>
      <c r="X613" s="224"/>
      <c r="Y613" s="224"/>
      <c r="Z613" s="224"/>
      <c r="AA613" s="224"/>
      <c r="AB613" s="224"/>
    </row>
    <row r="614" spans="1:28" ht="15.75" hidden="1" customHeight="1">
      <c r="A614" s="212">
        <v>44776</v>
      </c>
      <c r="B614" s="213" t="s">
        <v>5857</v>
      </c>
      <c r="C614" s="214">
        <v>2.75</v>
      </c>
      <c r="D614" s="214"/>
      <c r="E614" s="213" t="s">
        <v>5860</v>
      </c>
      <c r="F614" s="215" t="s">
        <v>4</v>
      </c>
      <c r="G614" s="213" t="s">
        <v>602</v>
      </c>
      <c r="H614" s="213" t="s">
        <v>11407</v>
      </c>
      <c r="I614" s="213">
        <v>3</v>
      </c>
      <c r="J614" s="213" t="s">
        <v>727</v>
      </c>
      <c r="K614" s="213" t="s">
        <v>5862</v>
      </c>
      <c r="L614" s="213">
        <v>2.5</v>
      </c>
      <c r="M614" s="213"/>
      <c r="N614" s="213"/>
      <c r="O614" s="213" t="s">
        <v>452</v>
      </c>
      <c r="P614" s="213" t="s">
        <v>5863</v>
      </c>
      <c r="Q614" s="143"/>
      <c r="R614" s="213" t="s">
        <v>24</v>
      </c>
      <c r="S614" s="226" t="s">
        <v>5864</v>
      </c>
      <c r="T614" s="226"/>
      <c r="U614" s="218"/>
      <c r="V614" s="218"/>
      <c r="W614" s="218"/>
      <c r="X614" s="219"/>
      <c r="Y614" s="219"/>
      <c r="Z614" s="219"/>
      <c r="AA614" s="219"/>
      <c r="AB614" s="219"/>
    </row>
    <row r="615" spans="1:28" ht="15.75" customHeight="1">
      <c r="A615" s="253">
        <v>44782</v>
      </c>
      <c r="B615" s="224" t="s">
        <v>2788</v>
      </c>
      <c r="C615" s="250">
        <v>2.75</v>
      </c>
      <c r="D615" s="250"/>
      <c r="E615" s="224" t="s">
        <v>2791</v>
      </c>
      <c r="F615" s="250" t="s">
        <v>5</v>
      </c>
      <c r="G615" s="224" t="s">
        <v>447</v>
      </c>
      <c r="H615" s="224" t="s">
        <v>2792</v>
      </c>
      <c r="I615" s="224">
        <v>3</v>
      </c>
      <c r="J615" s="224" t="s">
        <v>622</v>
      </c>
      <c r="K615" s="224" t="s">
        <v>2793</v>
      </c>
      <c r="L615" s="224">
        <v>2.5</v>
      </c>
      <c r="M615" s="224" t="s">
        <v>451</v>
      </c>
      <c r="N615" s="224">
        <v>3000000</v>
      </c>
      <c r="O615" s="224" t="s">
        <v>452</v>
      </c>
      <c r="P615" s="224" t="s">
        <v>2794</v>
      </c>
      <c r="Q615" s="224"/>
      <c r="R615" s="224" t="s">
        <v>24</v>
      </c>
      <c r="S615" s="224"/>
      <c r="T615" s="224"/>
      <c r="U615" s="252"/>
      <c r="V615" s="252"/>
      <c r="W615" s="252"/>
      <c r="X615" s="224"/>
      <c r="Y615" s="224"/>
      <c r="Z615" s="224"/>
      <c r="AA615" s="224"/>
      <c r="AB615" s="224"/>
    </row>
    <row r="616" spans="1:28" ht="15.75" hidden="1" customHeight="1">
      <c r="A616" s="248">
        <v>44782</v>
      </c>
      <c r="B616" s="219" t="s">
        <v>5969</v>
      </c>
      <c r="C616" s="249">
        <v>2.75</v>
      </c>
      <c r="D616" s="249"/>
      <c r="E616" s="219" t="s">
        <v>5972</v>
      </c>
      <c r="F616" s="250" t="s">
        <v>4</v>
      </c>
      <c r="G616" s="219" t="s">
        <v>602</v>
      </c>
      <c r="H616" s="219" t="s">
        <v>10273</v>
      </c>
      <c r="I616" s="219">
        <v>2</v>
      </c>
      <c r="J616" s="219" t="s">
        <v>727</v>
      </c>
      <c r="K616" s="219" t="s">
        <v>10274</v>
      </c>
      <c r="L616" s="219">
        <v>3.5</v>
      </c>
      <c r="M616" s="219" t="s">
        <v>451</v>
      </c>
      <c r="N616" s="219">
        <v>1500000</v>
      </c>
      <c r="O616" s="219" t="s">
        <v>465</v>
      </c>
      <c r="P616" s="219" t="s">
        <v>5975</v>
      </c>
      <c r="Q616" s="219"/>
      <c r="R616" s="219" t="s">
        <v>24</v>
      </c>
      <c r="S616" s="251"/>
      <c r="T616" s="251"/>
      <c r="U616" s="252"/>
      <c r="V616" s="252"/>
      <c r="W616" s="252"/>
      <c r="X616" s="219"/>
      <c r="Y616" s="219"/>
      <c r="Z616" s="219"/>
      <c r="AA616" s="219"/>
      <c r="AB616" s="219"/>
    </row>
    <row r="617" spans="1:28" ht="15.75" hidden="1" customHeight="1">
      <c r="A617" s="253">
        <v>44782</v>
      </c>
      <c r="B617" s="224" t="s">
        <v>5919</v>
      </c>
      <c r="C617" s="249">
        <v>2.75</v>
      </c>
      <c r="D617" s="249"/>
      <c r="E617" s="224" t="s">
        <v>10458</v>
      </c>
      <c r="F617" s="250" t="s">
        <v>4</v>
      </c>
      <c r="G617" s="224" t="s">
        <v>602</v>
      </c>
      <c r="H617" s="224" t="s">
        <v>5923</v>
      </c>
      <c r="I617" s="224">
        <v>2</v>
      </c>
      <c r="J617" s="224" t="s">
        <v>1054</v>
      </c>
      <c r="K617" s="224" t="s">
        <v>5924</v>
      </c>
      <c r="L617" s="224">
        <v>3.5</v>
      </c>
      <c r="M617" s="224" t="s">
        <v>451</v>
      </c>
      <c r="N617" s="224">
        <v>5000000</v>
      </c>
      <c r="O617" s="224" t="s">
        <v>452</v>
      </c>
      <c r="P617" s="224" t="s">
        <v>452</v>
      </c>
      <c r="Q617" s="224"/>
      <c r="R617" s="224" t="s">
        <v>24</v>
      </c>
      <c r="S617" s="254"/>
      <c r="T617" s="254"/>
      <c r="U617" s="252"/>
      <c r="V617" s="252"/>
      <c r="W617" s="252"/>
      <c r="X617" s="224"/>
      <c r="Y617" s="224"/>
      <c r="Z617" s="224"/>
      <c r="AA617" s="224"/>
      <c r="AB617" s="224"/>
    </row>
    <row r="618" spans="1:28" ht="15.75" customHeight="1">
      <c r="A618" s="248">
        <v>44782</v>
      </c>
      <c r="B618" s="219" t="s">
        <v>2706</v>
      </c>
      <c r="C618" s="250">
        <v>2.75</v>
      </c>
      <c r="D618" s="250"/>
      <c r="E618" s="219" t="s">
        <v>10472</v>
      </c>
      <c r="F618" s="250" t="s">
        <v>5</v>
      </c>
      <c r="G618" s="219" t="s">
        <v>447</v>
      </c>
      <c r="H618" s="219" t="s">
        <v>2710</v>
      </c>
      <c r="I618" s="219">
        <v>2.5</v>
      </c>
      <c r="J618" s="219" t="s">
        <v>543</v>
      </c>
      <c r="K618" s="219" t="s">
        <v>2711</v>
      </c>
      <c r="L618" s="219">
        <v>3</v>
      </c>
      <c r="M618" s="219" t="s">
        <v>451</v>
      </c>
      <c r="N618" s="219" t="s">
        <v>2712</v>
      </c>
      <c r="O618" s="219" t="s">
        <v>452</v>
      </c>
      <c r="P618" s="219" t="s">
        <v>452</v>
      </c>
      <c r="Q618" s="219"/>
      <c r="R618" s="219" t="s">
        <v>24</v>
      </c>
      <c r="S618" s="219"/>
      <c r="T618" s="219"/>
      <c r="U618" s="252"/>
      <c r="V618" s="252"/>
      <c r="W618" s="252"/>
      <c r="X618" s="219"/>
      <c r="Y618" s="219"/>
      <c r="Z618" s="219"/>
      <c r="AA618" s="219"/>
      <c r="AB618" s="219"/>
    </row>
    <row r="619" spans="1:28" ht="15.75" customHeight="1">
      <c r="A619" s="253">
        <v>44782</v>
      </c>
      <c r="B619" s="224" t="s">
        <v>2733</v>
      </c>
      <c r="C619" s="250">
        <v>2.75</v>
      </c>
      <c r="D619" s="250"/>
      <c r="E619" s="224" t="s">
        <v>2736</v>
      </c>
      <c r="F619" s="250" t="s">
        <v>5</v>
      </c>
      <c r="G619" s="224" t="s">
        <v>447</v>
      </c>
      <c r="H619" s="224" t="s">
        <v>10650</v>
      </c>
      <c r="I619" s="224">
        <v>3</v>
      </c>
      <c r="J619" s="224" t="s">
        <v>622</v>
      </c>
      <c r="K619" s="224" t="s">
        <v>13400</v>
      </c>
      <c r="L619" s="224">
        <v>2.5</v>
      </c>
      <c r="M619" s="224" t="s">
        <v>451</v>
      </c>
      <c r="N619" s="224">
        <v>2250000</v>
      </c>
      <c r="O619" s="224" t="s">
        <v>454</v>
      </c>
      <c r="P619" s="224" t="s">
        <v>2739</v>
      </c>
      <c r="Q619" s="224"/>
      <c r="R619" s="224" t="s">
        <v>24</v>
      </c>
      <c r="S619" s="224"/>
      <c r="T619" s="224"/>
      <c r="U619" s="252"/>
      <c r="V619" s="252"/>
      <c r="W619" s="252"/>
      <c r="X619" s="224"/>
      <c r="Y619" s="224"/>
      <c r="Z619" s="224"/>
      <c r="AA619" s="224"/>
      <c r="AB619" s="224"/>
    </row>
    <row r="620" spans="1:28" ht="15.75" customHeight="1">
      <c r="A620" s="248">
        <v>44782</v>
      </c>
      <c r="B620" s="219" t="s">
        <v>3294</v>
      </c>
      <c r="C620" s="250">
        <v>2.75</v>
      </c>
      <c r="D620" s="250"/>
      <c r="E620" s="219" t="s">
        <v>3297</v>
      </c>
      <c r="F620" s="250" t="s">
        <v>5</v>
      </c>
      <c r="G620" s="219" t="s">
        <v>447</v>
      </c>
      <c r="H620" s="219" t="s">
        <v>11183</v>
      </c>
      <c r="I620" s="219">
        <v>3</v>
      </c>
      <c r="J620" s="219" t="s">
        <v>622</v>
      </c>
      <c r="K620" s="219" t="s">
        <v>11538</v>
      </c>
      <c r="L620" s="219">
        <v>2.5</v>
      </c>
      <c r="M620" s="219" t="s">
        <v>784</v>
      </c>
      <c r="N620" s="219">
        <v>500000</v>
      </c>
      <c r="O620" s="219" t="s">
        <v>452</v>
      </c>
      <c r="P620" s="219" t="s">
        <v>3300</v>
      </c>
      <c r="Q620" s="219"/>
      <c r="R620" s="219" t="s">
        <v>24</v>
      </c>
      <c r="S620" s="219"/>
      <c r="T620" s="219"/>
      <c r="U620" s="252"/>
      <c r="V620" s="252"/>
      <c r="W620" s="252"/>
      <c r="X620" s="219"/>
      <c r="Y620" s="219"/>
      <c r="Z620" s="219"/>
      <c r="AA620" s="219"/>
      <c r="AB620" s="219"/>
    </row>
    <row r="621" spans="1:28" ht="15.75" hidden="1" customHeight="1">
      <c r="A621" s="264">
        <v>44782</v>
      </c>
      <c r="B621" s="265" t="s">
        <v>8485</v>
      </c>
      <c r="C621" s="249">
        <v>2.75</v>
      </c>
      <c r="D621" s="249"/>
      <c r="E621" s="265" t="s">
        <v>8488</v>
      </c>
      <c r="F621" s="250" t="s">
        <v>3</v>
      </c>
      <c r="G621" s="265" t="s">
        <v>460</v>
      </c>
      <c r="H621" s="265" t="s">
        <v>8489</v>
      </c>
      <c r="I621" s="265">
        <v>2.5</v>
      </c>
      <c r="J621" s="265" t="s">
        <v>462</v>
      </c>
      <c r="K621" s="265" t="s">
        <v>8490</v>
      </c>
      <c r="L621" s="265">
        <v>3</v>
      </c>
      <c r="M621" s="265" t="s">
        <v>451</v>
      </c>
      <c r="N621" s="265">
        <v>2500000</v>
      </c>
      <c r="O621" s="265" t="s">
        <v>452</v>
      </c>
      <c r="P621" s="265" t="s">
        <v>8491</v>
      </c>
      <c r="Q621" s="265"/>
      <c r="R621" s="265" t="s">
        <v>24</v>
      </c>
      <c r="S621" s="266" t="s">
        <v>11539</v>
      </c>
      <c r="T621" s="266"/>
      <c r="U621" s="265"/>
      <c r="V621" s="265"/>
      <c r="W621" s="265"/>
      <c r="X621" s="265"/>
      <c r="Y621" s="265"/>
      <c r="Z621" s="265"/>
      <c r="AA621" s="265"/>
      <c r="AB621" s="265"/>
    </row>
    <row r="622" spans="1:28" ht="15.75" hidden="1" customHeight="1">
      <c r="A622" s="248">
        <v>44782</v>
      </c>
      <c r="B622" s="219" t="s">
        <v>6069</v>
      </c>
      <c r="C622" s="249">
        <v>2.75</v>
      </c>
      <c r="D622" s="249"/>
      <c r="E622" s="219" t="s">
        <v>11540</v>
      </c>
      <c r="F622" s="250" t="s">
        <v>4</v>
      </c>
      <c r="G622" s="219" t="s">
        <v>602</v>
      </c>
      <c r="H622" s="219" t="s">
        <v>6073</v>
      </c>
      <c r="I622" s="219">
        <v>2</v>
      </c>
      <c r="J622" s="219" t="s">
        <v>1054</v>
      </c>
      <c r="K622" s="219" t="s">
        <v>11430</v>
      </c>
      <c r="L622" s="219">
        <v>3.5</v>
      </c>
      <c r="M622" s="219"/>
      <c r="N622" s="219"/>
      <c r="O622" s="219" t="s">
        <v>452</v>
      </c>
      <c r="P622" s="219" t="s">
        <v>11431</v>
      </c>
      <c r="Q622" s="219"/>
      <c r="R622" s="219" t="s">
        <v>24</v>
      </c>
      <c r="S622" s="251"/>
      <c r="T622" s="251"/>
      <c r="U622" s="252"/>
      <c r="V622" s="252"/>
      <c r="W622" s="252"/>
      <c r="X622" s="219"/>
      <c r="Y622" s="219"/>
      <c r="Z622" s="219"/>
      <c r="AA622" s="219"/>
      <c r="AB622" s="219"/>
    </row>
    <row r="623" spans="1:28" ht="15.75" hidden="1" customHeight="1">
      <c r="A623" s="267">
        <v>44784</v>
      </c>
      <c r="B623" s="272" t="s">
        <v>5894</v>
      </c>
      <c r="C623" s="269">
        <v>2.75</v>
      </c>
      <c r="D623" s="269"/>
      <c r="E623" s="272" t="s">
        <v>5897</v>
      </c>
      <c r="F623" s="270" t="s">
        <v>4</v>
      </c>
      <c r="G623" s="272" t="s">
        <v>727</v>
      </c>
      <c r="H623" s="272" t="s">
        <v>10218</v>
      </c>
      <c r="I623" s="272">
        <v>3</v>
      </c>
      <c r="J623" s="272" t="s">
        <v>1054</v>
      </c>
      <c r="K623" s="272" t="s">
        <v>5899</v>
      </c>
      <c r="L623" s="272">
        <v>2.5</v>
      </c>
      <c r="M623" s="272" t="s">
        <v>784</v>
      </c>
      <c r="N623" s="272">
        <v>1000000</v>
      </c>
      <c r="O623" s="272" t="s">
        <v>465</v>
      </c>
      <c r="P623" s="272" t="s">
        <v>5900</v>
      </c>
      <c r="Q623" s="272"/>
      <c r="R623" s="272" t="s">
        <v>24</v>
      </c>
      <c r="S623" s="274"/>
      <c r="T623" s="274"/>
      <c r="U623" s="272"/>
      <c r="V623" s="272"/>
      <c r="W623" s="272"/>
      <c r="X623" s="272"/>
      <c r="Y623" s="272"/>
      <c r="Z623" s="224"/>
      <c r="AA623" s="224"/>
      <c r="AB623" s="224"/>
    </row>
    <row r="624" spans="1:28" ht="15.75" customHeight="1">
      <c r="A624" s="532">
        <v>44784</v>
      </c>
      <c r="B624" s="533" t="s">
        <v>130</v>
      </c>
      <c r="C624" s="533">
        <v>2.75</v>
      </c>
      <c r="D624" s="250" t="str">
        <f ca="1">IFERROR(VLOOKUP(B624,'2022-2023 Third Reviews'!$C:$S,9,FALSE),"")</f>
        <v>Joshua Rubnitz
4</v>
      </c>
      <c r="E624" s="533" t="s">
        <v>3179</v>
      </c>
      <c r="F624" s="533" t="s">
        <v>5</v>
      </c>
      <c r="G624" s="533" t="s">
        <v>460</v>
      </c>
      <c r="H624" s="533" t="s">
        <v>3180</v>
      </c>
      <c r="I624" s="533">
        <v>3</v>
      </c>
      <c r="J624" s="533" t="s">
        <v>488</v>
      </c>
      <c r="K624" s="533" t="s">
        <v>11590</v>
      </c>
      <c r="L624" s="533">
        <v>2.5</v>
      </c>
      <c r="M624" s="533" t="s">
        <v>784</v>
      </c>
      <c r="N624" s="533">
        <v>3000000</v>
      </c>
      <c r="O624" s="533" t="s">
        <v>452</v>
      </c>
      <c r="P624" s="533" t="s">
        <v>3182</v>
      </c>
      <c r="Q624" s="533"/>
      <c r="R624" s="480" t="s">
        <v>24</v>
      </c>
      <c r="S624" s="533" t="s">
        <v>3183</v>
      </c>
      <c r="T624" s="533" t="s">
        <v>11843</v>
      </c>
      <c r="U624" s="533"/>
      <c r="V624" s="533"/>
      <c r="W624" s="533"/>
      <c r="X624" s="533"/>
      <c r="Y624" s="533"/>
      <c r="Z624" s="534"/>
      <c r="AA624" s="534"/>
      <c r="AB624" s="534"/>
    </row>
    <row r="625" spans="1:28" ht="15.75" hidden="1" customHeight="1">
      <c r="A625" s="267">
        <v>44784</v>
      </c>
      <c r="B625" s="272" t="s">
        <v>6026</v>
      </c>
      <c r="C625" s="269">
        <v>2.75</v>
      </c>
      <c r="D625" s="269"/>
      <c r="E625" s="272" t="s">
        <v>6029</v>
      </c>
      <c r="F625" s="270" t="s">
        <v>4</v>
      </c>
      <c r="G625" s="272" t="s">
        <v>602</v>
      </c>
      <c r="H625" s="272" t="s">
        <v>10336</v>
      </c>
      <c r="I625" s="272">
        <v>2.5</v>
      </c>
      <c r="J625" s="272" t="s">
        <v>1054</v>
      </c>
      <c r="K625" s="272" t="s">
        <v>6031</v>
      </c>
      <c r="L625" s="272">
        <v>3</v>
      </c>
      <c r="M625" s="272"/>
      <c r="N625" s="272"/>
      <c r="O625" s="272" t="s">
        <v>452</v>
      </c>
      <c r="P625" s="272" t="s">
        <v>452</v>
      </c>
      <c r="Q625" s="272"/>
      <c r="R625" s="272" t="s">
        <v>24</v>
      </c>
      <c r="S625" s="274"/>
      <c r="T625" s="274"/>
      <c r="U625" s="272"/>
      <c r="V625" s="272"/>
      <c r="W625" s="272"/>
      <c r="X625" s="272"/>
      <c r="Y625" s="272"/>
      <c r="Z625" s="224"/>
      <c r="AA625" s="224"/>
      <c r="AB625" s="224"/>
    </row>
    <row r="626" spans="1:28" ht="15.75" customHeight="1">
      <c r="A626" s="398">
        <v>44784</v>
      </c>
      <c r="B626" s="505" t="s">
        <v>2805</v>
      </c>
      <c r="C626" s="482">
        <v>2.75</v>
      </c>
      <c r="D626" s="482"/>
      <c r="E626" s="505" t="s">
        <v>2808</v>
      </c>
      <c r="F626" s="482" t="s">
        <v>5</v>
      </c>
      <c r="G626" s="505" t="s">
        <v>447</v>
      </c>
      <c r="H626" s="505" t="s">
        <v>10426</v>
      </c>
      <c r="I626" s="505">
        <v>3</v>
      </c>
      <c r="J626" s="505" t="s">
        <v>622</v>
      </c>
      <c r="K626" s="505" t="s">
        <v>2810</v>
      </c>
      <c r="L626" s="505">
        <v>2.5</v>
      </c>
      <c r="M626" s="505" t="s">
        <v>451</v>
      </c>
      <c r="N626" s="529">
        <v>1000000</v>
      </c>
      <c r="O626" s="505" t="s">
        <v>452</v>
      </c>
      <c r="P626" s="529" t="s">
        <v>10427</v>
      </c>
      <c r="Q626" s="505"/>
      <c r="R626" s="505" t="s">
        <v>24</v>
      </c>
      <c r="S626" s="505"/>
      <c r="T626" s="505"/>
      <c r="U626" s="505"/>
      <c r="V626" s="505"/>
      <c r="W626" s="505"/>
      <c r="X626" s="505"/>
      <c r="Y626" s="505"/>
      <c r="Z626" s="219"/>
      <c r="AA626" s="219"/>
      <c r="AB626" s="219"/>
    </row>
    <row r="627" spans="1:28" ht="15.75" customHeight="1">
      <c r="A627" s="398">
        <v>44784</v>
      </c>
      <c r="B627" s="481" t="s">
        <v>3524</v>
      </c>
      <c r="C627" s="482">
        <v>2.75</v>
      </c>
      <c r="D627" s="482"/>
      <c r="E627" s="481" t="s">
        <v>3527</v>
      </c>
      <c r="F627" s="482" t="s">
        <v>5</v>
      </c>
      <c r="G627" s="481" t="s">
        <v>447</v>
      </c>
      <c r="H627" s="481" t="s">
        <v>10702</v>
      </c>
      <c r="I627" s="481">
        <v>2.5</v>
      </c>
      <c r="J627" s="481" t="s">
        <v>449</v>
      </c>
      <c r="K627" s="481" t="s">
        <v>11591</v>
      </c>
      <c r="L627" s="481">
        <v>3</v>
      </c>
      <c r="M627" s="481"/>
      <c r="N627" s="481"/>
      <c r="O627" s="481" t="s">
        <v>452</v>
      </c>
      <c r="P627" s="481" t="s">
        <v>452</v>
      </c>
      <c r="Q627" s="481"/>
      <c r="R627" s="481" t="s">
        <v>24</v>
      </c>
      <c r="S627" s="481"/>
      <c r="T627" s="481"/>
      <c r="U627" s="481"/>
      <c r="V627" s="481"/>
      <c r="W627" s="481"/>
      <c r="X627" s="481"/>
      <c r="Y627" s="481"/>
      <c r="Z627" s="224"/>
      <c r="AA627" s="224"/>
      <c r="AB627" s="224"/>
    </row>
    <row r="628" spans="1:28" ht="15.75" hidden="1" customHeight="1">
      <c r="A628" s="267">
        <v>44784</v>
      </c>
      <c r="B628" s="268" t="s">
        <v>10729</v>
      </c>
      <c r="C628" s="269">
        <v>2.75</v>
      </c>
      <c r="D628" s="269"/>
      <c r="E628" s="268" t="s">
        <v>6081</v>
      </c>
      <c r="F628" s="270" t="s">
        <v>4</v>
      </c>
      <c r="G628" s="268" t="s">
        <v>727</v>
      </c>
      <c r="H628" s="268" t="s">
        <v>6082</v>
      </c>
      <c r="I628" s="268">
        <v>2.5</v>
      </c>
      <c r="J628" s="268" t="s">
        <v>1054</v>
      </c>
      <c r="K628" s="268" t="s">
        <v>6083</v>
      </c>
      <c r="L628" s="268">
        <v>3</v>
      </c>
      <c r="M628" s="268" t="s">
        <v>784</v>
      </c>
      <c r="N628" s="285">
        <v>715840.11</v>
      </c>
      <c r="O628" s="268" t="s">
        <v>452</v>
      </c>
      <c r="P628" s="285" t="s">
        <v>6084</v>
      </c>
      <c r="Q628" s="268"/>
      <c r="R628" s="268" t="s">
        <v>24</v>
      </c>
      <c r="S628" s="271"/>
      <c r="T628" s="271"/>
      <c r="U628" s="268"/>
      <c r="V628" s="268"/>
      <c r="W628" s="268"/>
      <c r="X628" s="268"/>
      <c r="Y628" s="268"/>
      <c r="Z628" s="219"/>
      <c r="AA628" s="219"/>
      <c r="AB628" s="219"/>
    </row>
    <row r="629" spans="1:28" ht="15.75" hidden="1" customHeight="1">
      <c r="A629" s="267">
        <v>44784</v>
      </c>
      <c r="B629" s="272" t="s">
        <v>6115</v>
      </c>
      <c r="C629" s="269">
        <v>2.75</v>
      </c>
      <c r="D629" s="269"/>
      <c r="E629" s="272" t="s">
        <v>11592</v>
      </c>
      <c r="F629" s="270" t="s">
        <v>4</v>
      </c>
      <c r="G629" s="272" t="s">
        <v>602</v>
      </c>
      <c r="H629" s="272" t="s">
        <v>6119</v>
      </c>
      <c r="I629" s="272">
        <v>3</v>
      </c>
      <c r="J629" s="272" t="s">
        <v>476</v>
      </c>
      <c r="K629" s="272" t="s">
        <v>13400</v>
      </c>
      <c r="L629" s="272">
        <v>2.5</v>
      </c>
      <c r="M629" s="272"/>
      <c r="N629" s="272"/>
      <c r="O629" s="272" t="s">
        <v>452</v>
      </c>
      <c r="P629" s="272" t="s">
        <v>6121</v>
      </c>
      <c r="Q629" s="272"/>
      <c r="R629" s="272" t="s">
        <v>24</v>
      </c>
      <c r="S629" s="274"/>
      <c r="T629" s="274"/>
      <c r="U629" s="272"/>
      <c r="V629" s="272"/>
      <c r="W629" s="272"/>
      <c r="X629" s="272"/>
      <c r="Y629" s="272"/>
      <c r="Z629" s="224"/>
      <c r="AA629" s="224"/>
      <c r="AB629" s="224"/>
    </row>
    <row r="630" spans="1:28" ht="15.75" hidden="1" customHeight="1">
      <c r="A630" s="248">
        <v>44789</v>
      </c>
      <c r="B630" s="219" t="s">
        <v>10205</v>
      </c>
      <c r="C630" s="249">
        <v>2.75</v>
      </c>
      <c r="D630" s="249"/>
      <c r="E630" s="219" t="s">
        <v>6650</v>
      </c>
      <c r="F630" s="250" t="s">
        <v>4</v>
      </c>
      <c r="G630" s="219" t="s">
        <v>727</v>
      </c>
      <c r="H630" s="219" t="s">
        <v>11634</v>
      </c>
      <c r="I630" s="219">
        <v>3</v>
      </c>
      <c r="J630" s="219" t="s">
        <v>1045</v>
      </c>
      <c r="K630" s="219" t="s">
        <v>11635</v>
      </c>
      <c r="L630" s="219">
        <v>2.5</v>
      </c>
      <c r="M630" s="219" t="s">
        <v>451</v>
      </c>
      <c r="N630" s="310">
        <v>1500000</v>
      </c>
      <c r="O630" s="219" t="s">
        <v>452</v>
      </c>
      <c r="P630" s="219" t="s">
        <v>6653</v>
      </c>
      <c r="Q630" s="219"/>
      <c r="R630" s="219" t="s">
        <v>24</v>
      </c>
      <c r="S630" s="251"/>
      <c r="T630" s="251"/>
      <c r="U630" s="252"/>
      <c r="V630" s="252"/>
      <c r="W630" s="252"/>
      <c r="X630" s="219"/>
      <c r="Y630" s="219"/>
      <c r="Z630" s="219"/>
      <c r="AA630" s="219"/>
      <c r="AB630" s="219"/>
    </row>
    <row r="631" spans="1:28" ht="15.75" hidden="1" customHeight="1">
      <c r="A631" s="253">
        <v>44789</v>
      </c>
      <c r="B631" s="224" t="s">
        <v>5848</v>
      </c>
      <c r="C631" s="249">
        <v>2.75</v>
      </c>
      <c r="D631" s="249"/>
      <c r="E631" s="224" t="s">
        <v>5851</v>
      </c>
      <c r="F631" s="250" t="s">
        <v>4</v>
      </c>
      <c r="G631" s="224" t="s">
        <v>727</v>
      </c>
      <c r="H631" s="224" t="s">
        <v>10236</v>
      </c>
      <c r="I631" s="224">
        <v>3</v>
      </c>
      <c r="J631" s="224" t="s">
        <v>1045</v>
      </c>
      <c r="K631" s="224" t="s">
        <v>5853</v>
      </c>
      <c r="L631" s="224">
        <v>2.5</v>
      </c>
      <c r="M631" s="224"/>
      <c r="N631" s="307"/>
      <c r="O631" s="224" t="s">
        <v>452</v>
      </c>
      <c r="P631" s="224" t="s">
        <v>5854</v>
      </c>
      <c r="Q631" s="224" t="s">
        <v>727</v>
      </c>
      <c r="R631" s="224" t="s">
        <v>24</v>
      </c>
      <c r="S631" s="254"/>
      <c r="T631" s="254"/>
      <c r="U631" s="252"/>
      <c r="V631" s="252"/>
      <c r="W631" s="252"/>
      <c r="X631" s="224"/>
      <c r="Y631" s="224"/>
      <c r="Z631" s="224"/>
      <c r="AA631" s="224"/>
      <c r="AB631" s="224"/>
    </row>
    <row r="632" spans="1:28" ht="15.75" hidden="1" customHeight="1">
      <c r="A632" s="248">
        <v>44789</v>
      </c>
      <c r="B632" s="219" t="s">
        <v>8422</v>
      </c>
      <c r="C632" s="249">
        <v>2.75</v>
      </c>
      <c r="D632" s="249"/>
      <c r="E632" s="219" t="s">
        <v>8425</v>
      </c>
      <c r="F632" s="250" t="s">
        <v>3</v>
      </c>
      <c r="G632" s="219" t="s">
        <v>460</v>
      </c>
      <c r="H632" s="219" t="s">
        <v>8426</v>
      </c>
      <c r="I632" s="219">
        <v>2.5</v>
      </c>
      <c r="J632" s="219" t="s">
        <v>488</v>
      </c>
      <c r="K632" s="219"/>
      <c r="L632" s="219">
        <v>3</v>
      </c>
      <c r="M632" s="219" t="s">
        <v>451</v>
      </c>
      <c r="N632" s="312">
        <v>700000</v>
      </c>
      <c r="O632" s="219" t="s">
        <v>452</v>
      </c>
      <c r="P632" s="219" t="s">
        <v>8427</v>
      </c>
      <c r="Q632" s="219" t="s">
        <v>8428</v>
      </c>
      <c r="R632" s="219" t="s">
        <v>24</v>
      </c>
      <c r="S632" s="251"/>
      <c r="T632" s="251"/>
      <c r="U632" s="252"/>
      <c r="V632" s="252"/>
      <c r="W632" s="252"/>
      <c r="X632" s="219"/>
      <c r="Y632" s="219"/>
      <c r="Z632" s="219"/>
      <c r="AA632" s="219"/>
      <c r="AB632" s="219"/>
    </row>
    <row r="633" spans="1:28" ht="15.75" customHeight="1">
      <c r="A633" s="253">
        <v>44789</v>
      </c>
      <c r="B633" s="224" t="s">
        <v>3516</v>
      </c>
      <c r="C633" s="224">
        <v>2.75</v>
      </c>
      <c r="D633" s="224"/>
      <c r="E633" s="224" t="s">
        <v>3519</v>
      </c>
      <c r="F633" s="224" t="s">
        <v>5</v>
      </c>
      <c r="G633" s="224" t="s">
        <v>447</v>
      </c>
      <c r="H633" s="224" t="s">
        <v>10350</v>
      </c>
      <c r="I633" s="224">
        <v>2.5</v>
      </c>
      <c r="J633" s="224" t="s">
        <v>622</v>
      </c>
      <c r="K633" s="224"/>
      <c r="L633" s="224">
        <v>3</v>
      </c>
      <c r="M633" s="224" t="s">
        <v>451</v>
      </c>
      <c r="N633" s="307">
        <v>500000</v>
      </c>
      <c r="O633" s="224" t="s">
        <v>452</v>
      </c>
      <c r="P633" s="224" t="s">
        <v>3521</v>
      </c>
      <c r="Q633" s="224"/>
      <c r="R633" s="224" t="s">
        <v>24</v>
      </c>
      <c r="S633" s="224"/>
      <c r="T633" s="224"/>
      <c r="U633" s="224"/>
      <c r="V633" s="224"/>
      <c r="W633" s="224"/>
      <c r="X633" s="224"/>
      <c r="Y633" s="224"/>
      <c r="Z633" s="224"/>
      <c r="AA633" s="224"/>
      <c r="AB633" s="224"/>
    </row>
    <row r="634" spans="1:28" ht="15.75" customHeight="1">
      <c r="A634" s="248">
        <v>44789</v>
      </c>
      <c r="B634" s="219" t="s">
        <v>10631</v>
      </c>
      <c r="C634" s="250">
        <v>2.75</v>
      </c>
      <c r="D634" s="250"/>
      <c r="E634" s="219" t="s">
        <v>10632</v>
      </c>
      <c r="F634" s="250" t="s">
        <v>5</v>
      </c>
      <c r="G634" s="219" t="s">
        <v>447</v>
      </c>
      <c r="H634" s="219" t="s">
        <v>10633</v>
      </c>
      <c r="I634" s="219">
        <v>3</v>
      </c>
      <c r="J634" s="219" t="s">
        <v>622</v>
      </c>
      <c r="K634" s="219" t="s">
        <v>10634</v>
      </c>
      <c r="L634" s="219">
        <v>2.5</v>
      </c>
      <c r="M634" s="219"/>
      <c r="N634" s="219"/>
      <c r="O634" s="219" t="s">
        <v>452</v>
      </c>
      <c r="P634" s="219" t="s">
        <v>1119</v>
      </c>
      <c r="Q634" s="219" t="s">
        <v>3463</v>
      </c>
      <c r="R634" s="219" t="s">
        <v>24</v>
      </c>
      <c r="S634" s="219"/>
      <c r="T634" s="219"/>
      <c r="U634" s="252"/>
      <c r="V634" s="252"/>
      <c r="W634" s="252"/>
      <c r="X634" s="219"/>
      <c r="Y634" s="219"/>
      <c r="Z634" s="219"/>
      <c r="AA634" s="219"/>
      <c r="AB634" s="219"/>
    </row>
    <row r="635" spans="1:28" ht="15.75" customHeight="1">
      <c r="A635" s="253">
        <v>44789</v>
      </c>
      <c r="B635" s="224" t="s">
        <v>2868</v>
      </c>
      <c r="C635" s="250">
        <v>2.75</v>
      </c>
      <c r="D635" s="250"/>
      <c r="E635" s="224" t="s">
        <v>2871</v>
      </c>
      <c r="F635" s="250" t="s">
        <v>5</v>
      </c>
      <c r="G635" s="224" t="s">
        <v>447</v>
      </c>
      <c r="H635" s="224" t="s">
        <v>10777</v>
      </c>
      <c r="I635" s="224">
        <v>2</v>
      </c>
      <c r="J635" s="224" t="s">
        <v>449</v>
      </c>
      <c r="K635" s="224" t="s">
        <v>13400</v>
      </c>
      <c r="L635" s="224">
        <v>3.5</v>
      </c>
      <c r="M635" s="224" t="s">
        <v>451</v>
      </c>
      <c r="N635" s="224">
        <v>1500000</v>
      </c>
      <c r="O635" s="224" t="s">
        <v>452</v>
      </c>
      <c r="P635" s="224" t="s">
        <v>452</v>
      </c>
      <c r="Q635" s="224"/>
      <c r="R635" s="224" t="s">
        <v>24</v>
      </c>
      <c r="S635" s="224"/>
      <c r="T635" s="224"/>
      <c r="U635" s="252"/>
      <c r="V635" s="252"/>
      <c r="W635" s="252"/>
      <c r="X635" s="224"/>
      <c r="Y635" s="224"/>
      <c r="Z635" s="224"/>
      <c r="AA635" s="224"/>
      <c r="AB635" s="224"/>
    </row>
    <row r="636" spans="1:28" ht="15.75" customHeight="1">
      <c r="A636" s="248">
        <v>44789</v>
      </c>
      <c r="B636" s="219" t="s">
        <v>2482</v>
      </c>
      <c r="C636" s="250">
        <v>2.75</v>
      </c>
      <c r="D636" s="250"/>
      <c r="E636" s="219" t="s">
        <v>2485</v>
      </c>
      <c r="F636" s="250" t="s">
        <v>5</v>
      </c>
      <c r="G636" s="219" t="s">
        <v>622</v>
      </c>
      <c r="H636" s="219" t="s">
        <v>2486</v>
      </c>
      <c r="I636" s="219">
        <v>2.5</v>
      </c>
      <c r="J636" s="219" t="s">
        <v>449</v>
      </c>
      <c r="K636" s="219" t="s">
        <v>13400</v>
      </c>
      <c r="L636" s="219">
        <v>3</v>
      </c>
      <c r="M636" s="219" t="s">
        <v>2190</v>
      </c>
      <c r="N636" s="219">
        <v>250000</v>
      </c>
      <c r="O636" s="219" t="s">
        <v>452</v>
      </c>
      <c r="P636" s="219" t="s">
        <v>452</v>
      </c>
      <c r="Q636" s="219"/>
      <c r="R636" s="219" t="s">
        <v>24</v>
      </c>
      <c r="S636" s="219"/>
      <c r="T636" s="219"/>
      <c r="U636" s="252"/>
      <c r="V636" s="252"/>
      <c r="W636" s="252"/>
      <c r="X636" s="219"/>
      <c r="Y636" s="219"/>
      <c r="Z636" s="219"/>
      <c r="AA636" s="219"/>
      <c r="AB636" s="219"/>
    </row>
    <row r="637" spans="1:28" ht="15.75" hidden="1" customHeight="1">
      <c r="A637" s="253">
        <v>44789</v>
      </c>
      <c r="B637" s="224" t="s">
        <v>5934</v>
      </c>
      <c r="C637" s="249">
        <v>2.75</v>
      </c>
      <c r="D637" s="249"/>
      <c r="E637" s="224" t="s">
        <v>5937</v>
      </c>
      <c r="F637" s="250" t="s">
        <v>4</v>
      </c>
      <c r="G637" s="224" t="s">
        <v>602</v>
      </c>
      <c r="H637" s="224" t="s">
        <v>5938</v>
      </c>
      <c r="I637" s="224">
        <v>2.5</v>
      </c>
      <c r="J637" s="224" t="s">
        <v>1054</v>
      </c>
      <c r="K637" s="224" t="s">
        <v>5939</v>
      </c>
      <c r="L637" s="224">
        <v>3</v>
      </c>
      <c r="M637" s="224" t="s">
        <v>923</v>
      </c>
      <c r="N637" s="224" t="s">
        <v>5940</v>
      </c>
      <c r="O637" s="224" t="s">
        <v>452</v>
      </c>
      <c r="P637" s="224" t="s">
        <v>5941</v>
      </c>
      <c r="Q637" s="224"/>
      <c r="R637" s="224" t="s">
        <v>24</v>
      </c>
      <c r="S637" s="254"/>
      <c r="T637" s="254"/>
      <c r="U637" s="252"/>
      <c r="V637" s="252"/>
      <c r="W637" s="252"/>
      <c r="X637" s="224"/>
      <c r="Y637" s="224"/>
      <c r="Z637" s="224"/>
      <c r="AA637" s="224"/>
      <c r="AB637" s="224"/>
    </row>
    <row r="638" spans="1:28" ht="15.75" customHeight="1">
      <c r="A638" s="248">
        <v>44789</v>
      </c>
      <c r="B638" s="219" t="s">
        <v>2940</v>
      </c>
      <c r="C638" s="250">
        <v>2.75</v>
      </c>
      <c r="D638" s="250"/>
      <c r="E638" s="219" t="s">
        <v>2943</v>
      </c>
      <c r="F638" s="250" t="s">
        <v>5</v>
      </c>
      <c r="G638" s="219" t="s">
        <v>447</v>
      </c>
      <c r="H638" s="219" t="s">
        <v>11025</v>
      </c>
      <c r="I638" s="219">
        <v>2.5</v>
      </c>
      <c r="J638" s="219" t="s">
        <v>449</v>
      </c>
      <c r="K638" s="219" t="e">
        <f>+Credible founder
+Large potential market
-Tech does not appear to be Novel</f>
        <v>#NAME?</v>
      </c>
      <c r="L638" s="219">
        <v>3</v>
      </c>
      <c r="M638" s="219"/>
      <c r="N638" s="312"/>
      <c r="O638" s="219" t="s">
        <v>452</v>
      </c>
      <c r="P638" s="219" t="s">
        <v>452</v>
      </c>
      <c r="Q638" s="219"/>
      <c r="R638" s="219" t="s">
        <v>24</v>
      </c>
      <c r="S638" s="219"/>
      <c r="T638" s="219"/>
      <c r="U638" s="252"/>
      <c r="V638" s="252"/>
      <c r="W638" s="252"/>
      <c r="X638" s="219"/>
      <c r="Y638" s="219"/>
      <c r="Z638" s="219"/>
      <c r="AA638" s="219"/>
      <c r="AB638" s="219"/>
    </row>
    <row r="639" spans="1:28" ht="15.75" hidden="1" customHeight="1">
      <c r="A639" s="253">
        <v>44789</v>
      </c>
      <c r="B639" s="224" t="s">
        <v>6097</v>
      </c>
      <c r="C639" s="249">
        <v>2.75</v>
      </c>
      <c r="D639" s="249"/>
      <c r="E639" s="224" t="s">
        <v>6100</v>
      </c>
      <c r="F639" s="250" t="s">
        <v>4</v>
      </c>
      <c r="G639" s="224" t="s">
        <v>602</v>
      </c>
      <c r="H639" s="224" t="s">
        <v>6101</v>
      </c>
      <c r="I639" s="224">
        <v>3</v>
      </c>
      <c r="J639" s="224" t="s">
        <v>1045</v>
      </c>
      <c r="K639" s="224" t="s">
        <v>6102</v>
      </c>
      <c r="L639" s="224">
        <v>2.5</v>
      </c>
      <c r="M639" s="224" t="s">
        <v>784</v>
      </c>
      <c r="N639" s="307">
        <v>500000</v>
      </c>
      <c r="O639" s="224" t="s">
        <v>452</v>
      </c>
      <c r="P639" s="224" t="s">
        <v>6103</v>
      </c>
      <c r="Q639" s="224"/>
      <c r="R639" s="224" t="s">
        <v>24</v>
      </c>
      <c r="S639" s="254"/>
      <c r="T639" s="254"/>
      <c r="U639" s="252"/>
      <c r="V639" s="252"/>
      <c r="W639" s="252"/>
      <c r="X639" s="224"/>
      <c r="Y639" s="224"/>
      <c r="Z639" s="224"/>
      <c r="AA639" s="224"/>
      <c r="AB639" s="224"/>
    </row>
    <row r="640" spans="1:28" ht="15.75" customHeight="1">
      <c r="A640" s="248">
        <v>44789</v>
      </c>
      <c r="B640" s="219" t="s">
        <v>2597</v>
      </c>
      <c r="C640" s="250">
        <v>2.75</v>
      </c>
      <c r="D640" s="250"/>
      <c r="E640" s="219" t="s">
        <v>2600</v>
      </c>
      <c r="F640" s="250" t="s">
        <v>5</v>
      </c>
      <c r="G640" s="219" t="s">
        <v>447</v>
      </c>
      <c r="H640" s="219" t="s">
        <v>11167</v>
      </c>
      <c r="I640" s="219">
        <v>3</v>
      </c>
      <c r="J640" s="219" t="s">
        <v>543</v>
      </c>
      <c r="K640" s="219" t="s">
        <v>13400</v>
      </c>
      <c r="L640" s="219">
        <v>2.5</v>
      </c>
      <c r="M640" s="219" t="s">
        <v>2603</v>
      </c>
      <c r="N640" s="219" t="s">
        <v>2604</v>
      </c>
      <c r="O640" s="219" t="s">
        <v>452</v>
      </c>
      <c r="P640" s="219" t="s">
        <v>1119</v>
      </c>
      <c r="Q640" s="219"/>
      <c r="R640" s="219" t="s">
        <v>24</v>
      </c>
      <c r="S640" s="219"/>
      <c r="T640" s="219"/>
      <c r="U640" s="252"/>
      <c r="V640" s="252"/>
      <c r="W640" s="252"/>
      <c r="X640" s="219"/>
      <c r="Y640" s="219"/>
      <c r="Z640" s="219"/>
      <c r="AA640" s="219"/>
      <c r="AB640" s="219"/>
    </row>
    <row r="641" spans="1:28" ht="15.75" hidden="1" customHeight="1">
      <c r="A641" s="253">
        <v>44789</v>
      </c>
      <c r="B641" s="224" t="s">
        <v>5960</v>
      </c>
      <c r="C641" s="249">
        <v>2.75</v>
      </c>
      <c r="D641" s="249"/>
      <c r="E641" s="224" t="s">
        <v>5963</v>
      </c>
      <c r="F641" s="250" t="s">
        <v>4</v>
      </c>
      <c r="G641" s="224" t="s">
        <v>602</v>
      </c>
      <c r="H641" s="224" t="s">
        <v>5964</v>
      </c>
      <c r="I641" s="224">
        <v>2</v>
      </c>
      <c r="J641" s="224" t="s">
        <v>1054</v>
      </c>
      <c r="K641" s="224" t="s">
        <v>11188</v>
      </c>
      <c r="L641" s="224">
        <v>3.5</v>
      </c>
      <c r="M641" s="224" t="s">
        <v>451</v>
      </c>
      <c r="N641" s="224">
        <v>3000000</v>
      </c>
      <c r="O641" s="224" t="s">
        <v>452</v>
      </c>
      <c r="P641" s="224" t="s">
        <v>5966</v>
      </c>
      <c r="Q641" s="224"/>
      <c r="R641" s="224" t="s">
        <v>24</v>
      </c>
      <c r="S641" s="254"/>
      <c r="T641" s="254"/>
      <c r="U641" s="252"/>
      <c r="V641" s="252"/>
      <c r="W641" s="252"/>
      <c r="X641" s="224"/>
      <c r="Y641" s="224"/>
      <c r="Z641" s="224"/>
      <c r="AA641" s="224"/>
      <c r="AB641" s="224"/>
    </row>
    <row r="642" spans="1:28" ht="15.75" customHeight="1">
      <c r="A642" s="248">
        <v>44789</v>
      </c>
      <c r="B642" s="219" t="s">
        <v>3614</v>
      </c>
      <c r="C642" s="250">
        <v>2.75</v>
      </c>
      <c r="D642" s="250"/>
      <c r="E642" s="219" t="s">
        <v>3617</v>
      </c>
      <c r="F642" s="250" t="s">
        <v>5</v>
      </c>
      <c r="G642" s="219" t="s">
        <v>447</v>
      </c>
      <c r="H642" s="219" t="s">
        <v>10716</v>
      </c>
      <c r="I642" s="219">
        <v>3</v>
      </c>
      <c r="J642" s="219" t="s">
        <v>622</v>
      </c>
      <c r="K642" s="219" t="s">
        <v>10717</v>
      </c>
      <c r="L642" s="219">
        <v>2.5</v>
      </c>
      <c r="M642" s="219"/>
      <c r="N642" s="219"/>
      <c r="O642" s="219" t="s">
        <v>465</v>
      </c>
      <c r="P642" s="219" t="s">
        <v>10718</v>
      </c>
      <c r="Q642" s="219"/>
      <c r="R642" s="219" t="s">
        <v>24</v>
      </c>
      <c r="S642" s="219"/>
      <c r="T642" s="219"/>
      <c r="U642" s="252"/>
      <c r="V642" s="252"/>
      <c r="W642" s="252"/>
      <c r="X642" s="219"/>
      <c r="Y642" s="219"/>
      <c r="Z642" s="219"/>
      <c r="AA642" s="219"/>
      <c r="AB642" s="219"/>
    </row>
    <row r="643" spans="1:28" ht="15.75" hidden="1" customHeight="1">
      <c r="A643" s="253">
        <v>44791</v>
      </c>
      <c r="B643" s="224" t="s">
        <v>6061</v>
      </c>
      <c r="C643" s="316">
        <v>2.75</v>
      </c>
      <c r="D643" s="316"/>
      <c r="E643" s="224" t="s">
        <v>6064</v>
      </c>
      <c r="F643" s="224" t="s">
        <v>4</v>
      </c>
      <c r="G643" s="224" t="s">
        <v>725</v>
      </c>
      <c r="H643" s="224" t="s">
        <v>10332</v>
      </c>
      <c r="I643" s="224">
        <v>3</v>
      </c>
      <c r="J643" s="224" t="s">
        <v>1054</v>
      </c>
      <c r="K643" s="224" t="s">
        <v>6066</v>
      </c>
      <c r="L643" s="224">
        <v>2.5</v>
      </c>
      <c r="M643" s="224"/>
      <c r="N643" s="224"/>
      <c r="O643" s="224" t="s">
        <v>452</v>
      </c>
      <c r="P643" s="224" t="s">
        <v>6067</v>
      </c>
      <c r="Q643" s="224"/>
      <c r="R643" s="322" t="s">
        <v>24</v>
      </c>
      <c r="S643" s="254"/>
      <c r="T643" s="254"/>
      <c r="U643" s="224"/>
      <c r="V643" s="224"/>
      <c r="W643" s="224"/>
      <c r="X643" s="224"/>
      <c r="Y643" s="224"/>
      <c r="Z643" s="224"/>
      <c r="AA643" s="224"/>
      <c r="AB643" s="224"/>
    </row>
    <row r="644" spans="1:28" ht="15.75" hidden="1" customHeight="1">
      <c r="A644" s="248">
        <v>44791</v>
      </c>
      <c r="B644" s="219" t="s">
        <v>5903</v>
      </c>
      <c r="C644" s="315">
        <v>2.75</v>
      </c>
      <c r="D644" s="315"/>
      <c r="E644" s="219" t="s">
        <v>10530</v>
      </c>
      <c r="F644" s="219" t="s">
        <v>4</v>
      </c>
      <c r="G644" s="219" t="s">
        <v>727</v>
      </c>
      <c r="H644" s="219" t="s">
        <v>10531</v>
      </c>
      <c r="I644" s="219">
        <v>2.5</v>
      </c>
      <c r="J644" s="219" t="s">
        <v>604</v>
      </c>
      <c r="K644" s="219" t="s">
        <v>10532</v>
      </c>
      <c r="L644" s="219">
        <v>3</v>
      </c>
      <c r="M644" s="219" t="s">
        <v>784</v>
      </c>
      <c r="N644" s="312">
        <v>1000000</v>
      </c>
      <c r="O644" s="219" t="s">
        <v>452</v>
      </c>
      <c r="P644" s="219" t="s">
        <v>452</v>
      </c>
      <c r="Q644" s="219" t="s">
        <v>2180</v>
      </c>
      <c r="R644" s="322" t="s">
        <v>24</v>
      </c>
      <c r="S644" s="251"/>
      <c r="T644" s="251"/>
      <c r="U644" s="219"/>
      <c r="V644" s="219"/>
      <c r="W644" s="219"/>
      <c r="X644" s="219"/>
      <c r="Y644" s="219"/>
      <c r="Z644" s="219"/>
      <c r="AA644" s="219"/>
      <c r="AB644" s="219"/>
    </row>
    <row r="645" spans="1:28" ht="15.75" hidden="1" customHeight="1">
      <c r="A645" s="253">
        <v>44791</v>
      </c>
      <c r="B645" s="224" t="s">
        <v>5867</v>
      </c>
      <c r="C645" s="316">
        <v>2.75</v>
      </c>
      <c r="D645" s="316"/>
      <c r="E645" s="224" t="s">
        <v>5870</v>
      </c>
      <c r="F645" s="224" t="s">
        <v>4</v>
      </c>
      <c r="G645" s="224" t="s">
        <v>727</v>
      </c>
      <c r="H645" s="224" t="s">
        <v>10535</v>
      </c>
      <c r="I645" s="224">
        <v>3.5</v>
      </c>
      <c r="J645" s="224" t="s">
        <v>1036</v>
      </c>
      <c r="K645" s="224" t="s">
        <v>5872</v>
      </c>
      <c r="L645" s="224">
        <v>2</v>
      </c>
      <c r="M645" s="224"/>
      <c r="N645" s="311"/>
      <c r="O645" s="224" t="s">
        <v>452</v>
      </c>
      <c r="P645" s="224" t="s">
        <v>10536</v>
      </c>
      <c r="Q645" s="224"/>
      <c r="R645" s="322" t="s">
        <v>24</v>
      </c>
      <c r="S645" s="254"/>
      <c r="T645" s="254"/>
      <c r="U645" s="224"/>
      <c r="V645" s="224"/>
      <c r="W645" s="224"/>
      <c r="X645" s="224"/>
      <c r="Y645" s="224"/>
      <c r="Z645" s="224"/>
      <c r="AA645" s="224"/>
      <c r="AB645" s="224"/>
    </row>
    <row r="646" spans="1:28" ht="15.75" hidden="1" customHeight="1">
      <c r="A646" s="248">
        <v>44791</v>
      </c>
      <c r="B646" s="219" t="s">
        <v>5834</v>
      </c>
      <c r="C646" s="315">
        <v>2.75</v>
      </c>
      <c r="D646" s="315"/>
      <c r="E646" s="219" t="s">
        <v>5837</v>
      </c>
      <c r="F646" s="219" t="s">
        <v>4</v>
      </c>
      <c r="G646" s="219" t="s">
        <v>727</v>
      </c>
      <c r="H646" s="219" t="s">
        <v>10566</v>
      </c>
      <c r="I646" s="219">
        <v>2.5</v>
      </c>
      <c r="J646" s="219" t="s">
        <v>990</v>
      </c>
      <c r="K646" s="219" t="s">
        <v>5839</v>
      </c>
      <c r="L646" s="219">
        <v>3</v>
      </c>
      <c r="M646" s="219" t="s">
        <v>478</v>
      </c>
      <c r="N646" s="312">
        <v>5000000</v>
      </c>
      <c r="O646" s="219" t="s">
        <v>452</v>
      </c>
      <c r="P646" s="219" t="s">
        <v>452</v>
      </c>
      <c r="Q646" s="219"/>
      <c r="R646" s="322" t="s">
        <v>24</v>
      </c>
      <c r="S646" s="251"/>
      <c r="T646" s="251"/>
      <c r="U646" s="219"/>
      <c r="V646" s="219"/>
      <c r="W646" s="219"/>
      <c r="X646" s="219"/>
      <c r="Y646" s="219"/>
      <c r="Z646" s="219"/>
      <c r="AA646" s="219"/>
      <c r="AB646" s="219"/>
    </row>
    <row r="647" spans="1:28" ht="15.75" hidden="1" customHeight="1">
      <c r="A647" s="253">
        <v>44791</v>
      </c>
      <c r="B647" s="224" t="s">
        <v>5911</v>
      </c>
      <c r="C647" s="316">
        <v>2.75</v>
      </c>
      <c r="D647" s="316"/>
      <c r="E647" s="224" t="s">
        <v>5914</v>
      </c>
      <c r="F647" s="224" t="s">
        <v>4</v>
      </c>
      <c r="G647" s="224" t="s">
        <v>602</v>
      </c>
      <c r="H647" s="224" t="s">
        <v>5915</v>
      </c>
      <c r="I647" s="224">
        <v>2.5</v>
      </c>
      <c r="J647" s="224" t="s">
        <v>1045</v>
      </c>
      <c r="K647" s="224" t="s">
        <v>5916</v>
      </c>
      <c r="L647" s="224">
        <v>3</v>
      </c>
      <c r="M647" s="224"/>
      <c r="N647" s="224"/>
      <c r="O647" s="224" t="s">
        <v>452</v>
      </c>
      <c r="P647" s="224" t="s">
        <v>452</v>
      </c>
      <c r="Q647" s="224"/>
      <c r="R647" s="322" t="s">
        <v>24</v>
      </c>
      <c r="S647" s="254"/>
      <c r="T647" s="254"/>
      <c r="U647" s="224"/>
      <c r="V647" s="224"/>
      <c r="W647" s="224"/>
      <c r="X647" s="224"/>
      <c r="Y647" s="224"/>
      <c r="Z647" s="224"/>
      <c r="AA647" s="224"/>
      <c r="AB647" s="224"/>
    </row>
    <row r="648" spans="1:28" ht="15.75" customHeight="1">
      <c r="A648" s="248">
        <v>44791</v>
      </c>
      <c r="B648" s="219" t="s">
        <v>2127</v>
      </c>
      <c r="C648" s="219">
        <v>2.75</v>
      </c>
      <c r="D648" s="219"/>
      <c r="E648" s="219" t="s">
        <v>2130</v>
      </c>
      <c r="F648" s="219" t="s">
        <v>5</v>
      </c>
      <c r="G648" s="219" t="s">
        <v>447</v>
      </c>
      <c r="H648" s="219" t="s">
        <v>10955</v>
      </c>
      <c r="I648" s="219">
        <v>2.5</v>
      </c>
      <c r="J648" s="219" t="s">
        <v>543</v>
      </c>
      <c r="K648" s="219" t="s">
        <v>11696</v>
      </c>
      <c r="L648" s="219">
        <v>3</v>
      </c>
      <c r="M648" s="219" t="s">
        <v>2133</v>
      </c>
      <c r="N648" s="312">
        <v>10000000</v>
      </c>
      <c r="O648" s="219" t="s">
        <v>452</v>
      </c>
      <c r="P648" s="219" t="s">
        <v>2134</v>
      </c>
      <c r="Q648" s="219"/>
      <c r="R648" s="322" t="s">
        <v>24</v>
      </c>
      <c r="S648" s="219"/>
      <c r="T648" s="219"/>
      <c r="U648" s="219"/>
      <c r="V648" s="219"/>
      <c r="W648" s="219"/>
      <c r="X648" s="219"/>
      <c r="Y648" s="219"/>
      <c r="Z648" s="219"/>
      <c r="AA648" s="219"/>
      <c r="AB648" s="219"/>
    </row>
    <row r="649" spans="1:28" ht="15.75" hidden="1" customHeight="1">
      <c r="A649" s="253">
        <v>44791</v>
      </c>
      <c r="B649" s="224" t="s">
        <v>5841</v>
      </c>
      <c r="C649" s="316">
        <v>2.75</v>
      </c>
      <c r="D649" s="316"/>
      <c r="E649" s="224" t="s">
        <v>5844</v>
      </c>
      <c r="F649" s="224" t="s">
        <v>4</v>
      </c>
      <c r="G649" s="224" t="s">
        <v>602</v>
      </c>
      <c r="H649" s="224" t="s">
        <v>5845</v>
      </c>
      <c r="I649" s="224">
        <v>2.5</v>
      </c>
      <c r="J649" s="224" t="s">
        <v>990</v>
      </c>
      <c r="K649" s="224"/>
      <c r="L649" s="224">
        <v>3</v>
      </c>
      <c r="M649" s="224"/>
      <c r="N649" s="327"/>
      <c r="O649" s="224" t="s">
        <v>452</v>
      </c>
      <c r="P649" s="224" t="s">
        <v>5846</v>
      </c>
      <c r="Q649" s="224"/>
      <c r="R649" s="322" t="s">
        <v>24</v>
      </c>
      <c r="S649" s="254"/>
      <c r="T649" s="254"/>
      <c r="U649" s="224"/>
      <c r="V649" s="224"/>
      <c r="W649" s="224"/>
      <c r="X649" s="224"/>
      <c r="Y649" s="224"/>
      <c r="Z649" s="224"/>
      <c r="AA649" s="224"/>
      <c r="AB649" s="224"/>
    </row>
    <row r="650" spans="1:28" ht="15.75" hidden="1" customHeight="1">
      <c r="A650" s="248">
        <v>44791</v>
      </c>
      <c r="B650" s="219" t="s">
        <v>6010</v>
      </c>
      <c r="C650" s="315">
        <v>2.75</v>
      </c>
      <c r="D650" s="315"/>
      <c r="E650" s="219" t="s">
        <v>6013</v>
      </c>
      <c r="F650" s="219" t="s">
        <v>4</v>
      </c>
      <c r="G650" s="219" t="s">
        <v>602</v>
      </c>
      <c r="H650" s="219" t="s">
        <v>6014</v>
      </c>
      <c r="I650" s="219">
        <v>2.5</v>
      </c>
      <c r="J650" s="219" t="s">
        <v>1045</v>
      </c>
      <c r="K650" s="219" t="s">
        <v>6015</v>
      </c>
      <c r="L650" s="219">
        <v>3</v>
      </c>
      <c r="M650" s="219" t="s">
        <v>478</v>
      </c>
      <c r="N650" s="312">
        <v>7000000</v>
      </c>
      <c r="O650" s="219" t="s">
        <v>452</v>
      </c>
      <c r="P650" s="219" t="s">
        <v>452</v>
      </c>
      <c r="Q650" s="219"/>
      <c r="R650" s="322" t="s">
        <v>24</v>
      </c>
      <c r="S650" s="251"/>
      <c r="T650" s="251"/>
      <c r="U650" s="219"/>
      <c r="V650" s="219"/>
      <c r="W650" s="219"/>
      <c r="X650" s="219"/>
      <c r="Y650" s="219"/>
      <c r="Z650" s="219"/>
      <c r="AA650" s="219"/>
      <c r="AB650" s="219"/>
    </row>
    <row r="651" spans="1:28" ht="15.75" hidden="1" customHeight="1">
      <c r="A651" s="253">
        <v>44791</v>
      </c>
      <c r="B651" s="224" t="s">
        <v>11051</v>
      </c>
      <c r="C651" s="316">
        <v>2.75</v>
      </c>
      <c r="D651" s="316"/>
      <c r="E651" s="224" t="s">
        <v>11052</v>
      </c>
      <c r="F651" s="224" t="s">
        <v>4</v>
      </c>
      <c r="G651" s="224" t="s">
        <v>602</v>
      </c>
      <c r="H651" s="224" t="s">
        <v>6038</v>
      </c>
      <c r="I651" s="224">
        <v>2.5</v>
      </c>
      <c r="J651" s="224" t="s">
        <v>1457</v>
      </c>
      <c r="K651" s="224" t="s">
        <v>6039</v>
      </c>
      <c r="L651" s="224">
        <v>3</v>
      </c>
      <c r="M651" s="224" t="s">
        <v>451</v>
      </c>
      <c r="N651" s="224" t="s">
        <v>6040</v>
      </c>
      <c r="O651" s="224" t="s">
        <v>452</v>
      </c>
      <c r="P651" s="224" t="s">
        <v>6041</v>
      </c>
      <c r="Q651" s="224"/>
      <c r="R651" s="322" t="s">
        <v>24</v>
      </c>
      <c r="S651" s="254"/>
      <c r="T651" s="254"/>
      <c r="U651" s="224"/>
      <c r="V651" s="224"/>
      <c r="W651" s="224"/>
      <c r="X651" s="224"/>
      <c r="Y651" s="224"/>
      <c r="Z651" s="224"/>
      <c r="AA651" s="224"/>
      <c r="AB651" s="224"/>
    </row>
    <row r="652" spans="1:28" ht="15.75" hidden="1" customHeight="1">
      <c r="A652" s="248">
        <v>44791</v>
      </c>
      <c r="B652" s="219" t="s">
        <v>5985</v>
      </c>
      <c r="C652" s="315">
        <v>2.75</v>
      </c>
      <c r="D652" s="315"/>
      <c r="E652" s="219" t="s">
        <v>11078</v>
      </c>
      <c r="F652" s="219" t="s">
        <v>4</v>
      </c>
      <c r="G652" s="219" t="s">
        <v>602</v>
      </c>
      <c r="H652" s="219" t="s">
        <v>5989</v>
      </c>
      <c r="I652" s="219">
        <v>2.5</v>
      </c>
      <c r="J652" s="219" t="s">
        <v>1298</v>
      </c>
      <c r="K652" s="219" t="s">
        <v>5990</v>
      </c>
      <c r="L652" s="219">
        <v>3</v>
      </c>
      <c r="M652" s="219" t="s">
        <v>451</v>
      </c>
      <c r="N652" s="219" t="s">
        <v>5991</v>
      </c>
      <c r="O652" s="219" t="s">
        <v>452</v>
      </c>
      <c r="P652" s="219" t="s">
        <v>1119</v>
      </c>
      <c r="Q652" s="219"/>
      <c r="R652" s="322" t="s">
        <v>24</v>
      </c>
      <c r="S652" s="251"/>
      <c r="T652" s="251"/>
      <c r="U652" s="219"/>
      <c r="V652" s="219"/>
      <c r="W652" s="219"/>
      <c r="X652" s="219"/>
      <c r="Y652" s="219"/>
      <c r="Z652" s="219"/>
      <c r="AA652" s="219"/>
      <c r="AB652" s="219"/>
    </row>
    <row r="653" spans="1:28" ht="15.75" customHeight="1">
      <c r="A653" s="253">
        <v>44791</v>
      </c>
      <c r="B653" s="224" t="s">
        <v>3568</v>
      </c>
      <c r="C653" s="224">
        <v>2.75</v>
      </c>
      <c r="D653" s="224"/>
      <c r="E653" s="224" t="s">
        <v>3571</v>
      </c>
      <c r="F653" s="224" t="s">
        <v>5</v>
      </c>
      <c r="G653" s="224" t="s">
        <v>447</v>
      </c>
      <c r="H653" s="224" t="s">
        <v>11335</v>
      </c>
      <c r="I653" s="224">
        <v>3</v>
      </c>
      <c r="J653" s="224" t="s">
        <v>622</v>
      </c>
      <c r="K653" s="224" t="s">
        <v>11336</v>
      </c>
      <c r="L653" s="224">
        <v>2.5</v>
      </c>
      <c r="M653" s="224" t="s">
        <v>784</v>
      </c>
      <c r="N653" s="224" t="s">
        <v>3574</v>
      </c>
      <c r="O653" s="224" t="s">
        <v>465</v>
      </c>
      <c r="P653" s="224" t="s">
        <v>11337</v>
      </c>
      <c r="Q653" s="224"/>
      <c r="R653" s="322" t="s">
        <v>24</v>
      </c>
      <c r="S653" s="224"/>
      <c r="T653" s="224"/>
      <c r="U653" s="224"/>
      <c r="V653" s="224"/>
      <c r="W653" s="224"/>
      <c r="X653" s="224"/>
      <c r="Y653" s="224"/>
      <c r="Z653" s="224"/>
      <c r="AA653" s="224"/>
      <c r="AB653" s="224"/>
    </row>
    <row r="654" spans="1:28" ht="15.75" customHeight="1">
      <c r="A654" s="248">
        <v>44791</v>
      </c>
      <c r="B654" s="219" t="s">
        <v>2922</v>
      </c>
      <c r="C654" s="219">
        <v>2.75</v>
      </c>
      <c r="D654" s="219"/>
      <c r="E654" s="219" t="s">
        <v>2925</v>
      </c>
      <c r="F654" s="219" t="s">
        <v>5</v>
      </c>
      <c r="G654" s="219" t="s">
        <v>447</v>
      </c>
      <c r="H654" s="219" t="s">
        <v>11366</v>
      </c>
      <c r="I654" s="219">
        <v>3</v>
      </c>
      <c r="J654" s="219" t="s">
        <v>622</v>
      </c>
      <c r="K654" s="219" t="s">
        <v>2927</v>
      </c>
      <c r="L654" s="219">
        <v>2.5</v>
      </c>
      <c r="M654" s="219" t="s">
        <v>784</v>
      </c>
      <c r="N654" s="312">
        <v>500000</v>
      </c>
      <c r="O654" s="219" t="s">
        <v>452</v>
      </c>
      <c r="P654" s="219" t="s">
        <v>2928</v>
      </c>
      <c r="Q654" s="219"/>
      <c r="R654" s="322" t="s">
        <v>24</v>
      </c>
      <c r="S654" s="219"/>
      <c r="T654" s="219"/>
      <c r="U654" s="219"/>
      <c r="V654" s="219"/>
      <c r="W654" s="219"/>
      <c r="X654" s="219"/>
      <c r="Y654" s="219"/>
      <c r="Z654" s="219"/>
      <c r="AA654" s="219"/>
      <c r="AB654" s="219"/>
    </row>
    <row r="655" spans="1:28" ht="15.75" customHeight="1">
      <c r="A655" s="253">
        <v>44791</v>
      </c>
      <c r="B655" s="224" t="s">
        <v>3358</v>
      </c>
      <c r="C655" s="224">
        <v>2.75</v>
      </c>
      <c r="D655" s="224"/>
      <c r="E655" s="224" t="s">
        <v>11375</v>
      </c>
      <c r="F655" s="224" t="s">
        <v>5</v>
      </c>
      <c r="G655" s="224" t="s">
        <v>447</v>
      </c>
      <c r="H655" s="224" t="s">
        <v>11376</v>
      </c>
      <c r="I655" s="224">
        <v>2</v>
      </c>
      <c r="J655" s="224" t="s">
        <v>449</v>
      </c>
      <c r="K655" s="224" t="s">
        <v>11697</v>
      </c>
      <c r="L655" s="224">
        <v>3.5</v>
      </c>
      <c r="M655" s="224"/>
      <c r="N655" s="224"/>
      <c r="O655" s="224" t="s">
        <v>452</v>
      </c>
      <c r="P655" s="224" t="s">
        <v>3364</v>
      </c>
      <c r="Q655" s="224"/>
      <c r="R655" s="322" t="s">
        <v>24</v>
      </c>
      <c r="S655" s="224"/>
      <c r="T655" s="224"/>
      <c r="U655" s="224"/>
      <c r="V655" s="224"/>
      <c r="W655" s="224"/>
      <c r="X655" s="224"/>
      <c r="Y655" s="224"/>
      <c r="Z655" s="224"/>
      <c r="AA655" s="224"/>
      <c r="AB655" s="224"/>
    </row>
    <row r="656" spans="1:28" ht="15.75" hidden="1" customHeight="1">
      <c r="A656" s="248">
        <v>44796</v>
      </c>
      <c r="B656" s="219" t="s">
        <v>6087</v>
      </c>
      <c r="C656" s="315">
        <v>2.75</v>
      </c>
      <c r="D656" s="315"/>
      <c r="E656" s="219" t="s">
        <v>6090</v>
      </c>
      <c r="F656" s="219" t="s">
        <v>4</v>
      </c>
      <c r="G656" s="219" t="s">
        <v>727</v>
      </c>
      <c r="H656" s="219" t="s">
        <v>10243</v>
      </c>
      <c r="I656" s="219">
        <v>3</v>
      </c>
      <c r="J656" s="219" t="s">
        <v>1045</v>
      </c>
      <c r="K656" s="219" t="s">
        <v>6092</v>
      </c>
      <c r="L656" s="219">
        <v>2.5</v>
      </c>
      <c r="M656" s="219" t="s">
        <v>451</v>
      </c>
      <c r="N656" s="219" t="s">
        <v>6093</v>
      </c>
      <c r="O656" s="219" t="s">
        <v>452</v>
      </c>
      <c r="P656" s="219" t="s">
        <v>10244</v>
      </c>
      <c r="Q656" s="219"/>
      <c r="R656" s="219" t="s">
        <v>24</v>
      </c>
      <c r="S656" s="251"/>
      <c r="T656" s="251"/>
      <c r="U656" s="219"/>
      <c r="V656" s="219"/>
      <c r="W656" s="219"/>
      <c r="X656" s="219"/>
      <c r="Y656" s="219"/>
      <c r="Z656" s="219"/>
      <c r="AA656" s="219"/>
      <c r="AB656" s="219"/>
    </row>
    <row r="657" spans="1:28" ht="15.75" hidden="1" customHeight="1">
      <c r="A657" s="253">
        <v>44796</v>
      </c>
      <c r="B657" s="224" t="s">
        <v>5951</v>
      </c>
      <c r="C657" s="316">
        <v>2.75</v>
      </c>
      <c r="D657" s="316"/>
      <c r="E657" s="224" t="s">
        <v>5954</v>
      </c>
      <c r="F657" s="224" t="s">
        <v>4</v>
      </c>
      <c r="G657" s="224" t="s">
        <v>725</v>
      </c>
      <c r="H657" s="224" t="s">
        <v>10267</v>
      </c>
      <c r="I657" s="224">
        <v>2.5</v>
      </c>
      <c r="J657" s="224" t="s">
        <v>1281</v>
      </c>
      <c r="K657" s="224" t="s">
        <v>5956</v>
      </c>
      <c r="L657" s="224">
        <v>3</v>
      </c>
      <c r="M657" s="224"/>
      <c r="N657" s="224"/>
      <c r="O657" s="224" t="s">
        <v>452</v>
      </c>
      <c r="P657" s="224" t="s">
        <v>5957</v>
      </c>
      <c r="Q657" s="224"/>
      <c r="R657" s="224" t="s">
        <v>24</v>
      </c>
      <c r="S657" s="254"/>
      <c r="T657" s="254"/>
      <c r="U657" s="224"/>
      <c r="V657" s="224"/>
      <c r="W657" s="224"/>
      <c r="X657" s="224"/>
      <c r="Y657" s="224"/>
      <c r="Z657" s="224"/>
      <c r="AA657" s="224"/>
      <c r="AB657" s="224"/>
    </row>
    <row r="658" spans="1:28" ht="15.75" hidden="1" customHeight="1">
      <c r="A658" s="248">
        <v>44796</v>
      </c>
      <c r="B658" s="219" t="s">
        <v>5944</v>
      </c>
      <c r="C658" s="315">
        <v>2.75</v>
      </c>
      <c r="D658" s="315"/>
      <c r="E658" s="219" t="s">
        <v>5947</v>
      </c>
      <c r="F658" s="219" t="s">
        <v>4</v>
      </c>
      <c r="G658" s="219" t="s">
        <v>1045</v>
      </c>
      <c r="H658" s="219" t="s">
        <v>5948</v>
      </c>
      <c r="I658" s="219">
        <v>2.5</v>
      </c>
      <c r="J658" s="219" t="s">
        <v>1281</v>
      </c>
      <c r="K658" s="219" t="s">
        <v>5949</v>
      </c>
      <c r="L658" s="219">
        <v>3</v>
      </c>
      <c r="M658" s="219" t="s">
        <v>478</v>
      </c>
      <c r="N658" s="219">
        <v>7000000</v>
      </c>
      <c r="O658" s="219" t="s">
        <v>452</v>
      </c>
      <c r="P658" s="219" t="s">
        <v>452</v>
      </c>
      <c r="Q658" s="219"/>
      <c r="R658" s="219" t="s">
        <v>24</v>
      </c>
      <c r="S658" s="251"/>
      <c r="T658" s="251"/>
      <c r="U658" s="219"/>
      <c r="V658" s="219"/>
      <c r="W658" s="219"/>
      <c r="X658" s="219"/>
      <c r="Y658" s="219"/>
      <c r="Z658" s="219"/>
      <c r="AA658" s="219"/>
      <c r="AB658" s="219"/>
    </row>
    <row r="659" spans="1:28" ht="15.75" hidden="1" customHeight="1">
      <c r="A659" s="253">
        <v>44796</v>
      </c>
      <c r="B659" s="224" t="s">
        <v>5978</v>
      </c>
      <c r="C659" s="316">
        <v>2.75</v>
      </c>
      <c r="D659" s="316"/>
      <c r="E659" s="224" t="s">
        <v>5981</v>
      </c>
      <c r="F659" s="224" t="s">
        <v>4</v>
      </c>
      <c r="G659" s="224" t="s">
        <v>727</v>
      </c>
      <c r="H659" s="224" t="s">
        <v>10492</v>
      </c>
      <c r="I659" s="224">
        <v>3.5</v>
      </c>
      <c r="J659" s="224" t="s">
        <v>1298</v>
      </c>
      <c r="K659" s="224" t="s">
        <v>5983</v>
      </c>
      <c r="L659" s="224">
        <v>2</v>
      </c>
      <c r="M659" s="224" t="s">
        <v>923</v>
      </c>
      <c r="N659" s="330">
        <v>3000000</v>
      </c>
      <c r="O659" s="224" t="s">
        <v>452</v>
      </c>
      <c r="P659" s="224" t="s">
        <v>452</v>
      </c>
      <c r="Q659" s="224" t="s">
        <v>447</v>
      </c>
      <c r="R659" s="224" t="s">
        <v>24</v>
      </c>
      <c r="S659" s="254"/>
      <c r="T659" s="254"/>
      <c r="U659" s="224"/>
      <c r="V659" s="224"/>
      <c r="W659" s="224"/>
      <c r="X659" s="224"/>
      <c r="Y659" s="224"/>
      <c r="Z659" s="224"/>
      <c r="AA659" s="224"/>
      <c r="AB659" s="224"/>
    </row>
    <row r="660" spans="1:28" ht="15.75" hidden="1" customHeight="1">
      <c r="A660" s="248">
        <v>44796</v>
      </c>
      <c r="B660" s="219" t="s">
        <v>5876</v>
      </c>
      <c r="C660" s="315">
        <v>2.75</v>
      </c>
      <c r="D660" s="315"/>
      <c r="E660" s="219" t="s">
        <v>5879</v>
      </c>
      <c r="F660" s="219" t="s">
        <v>4</v>
      </c>
      <c r="G660" s="219" t="s">
        <v>727</v>
      </c>
      <c r="H660" s="219"/>
      <c r="I660" s="219">
        <v>2.5</v>
      </c>
      <c r="J660" s="219" t="s">
        <v>1073</v>
      </c>
      <c r="K660" s="219" t="s">
        <v>5880</v>
      </c>
      <c r="L660" s="219">
        <v>3</v>
      </c>
      <c r="M660" s="219"/>
      <c r="N660" s="219"/>
      <c r="O660" s="219" t="s">
        <v>452</v>
      </c>
      <c r="P660" s="219" t="s">
        <v>452</v>
      </c>
      <c r="Q660" s="219"/>
      <c r="R660" s="219" t="s">
        <v>24</v>
      </c>
      <c r="S660" s="251"/>
      <c r="T660" s="251"/>
      <c r="U660" s="219"/>
      <c r="V660" s="219"/>
      <c r="W660" s="219"/>
      <c r="X660" s="219"/>
      <c r="Y660" s="219"/>
      <c r="Z660" s="219"/>
      <c r="AA660" s="219"/>
      <c r="AB660" s="219"/>
    </row>
    <row r="661" spans="1:28" ht="15.75" hidden="1" customHeight="1">
      <c r="A661" s="253">
        <v>44796</v>
      </c>
      <c r="B661" s="224" t="s">
        <v>5927</v>
      </c>
      <c r="C661" s="316">
        <v>2.75</v>
      </c>
      <c r="D661" s="316"/>
      <c r="E661" s="224" t="s">
        <v>5930</v>
      </c>
      <c r="F661" s="224" t="s">
        <v>4</v>
      </c>
      <c r="G661" s="224" t="s">
        <v>727</v>
      </c>
      <c r="H661" s="224" t="s">
        <v>10529</v>
      </c>
      <c r="I661" s="224">
        <v>3.5</v>
      </c>
      <c r="J661" s="224" t="s">
        <v>1237</v>
      </c>
      <c r="K661" s="224"/>
      <c r="L661" s="224">
        <v>2</v>
      </c>
      <c r="M661" s="224"/>
      <c r="N661" s="224"/>
      <c r="O661" s="224" t="s">
        <v>452</v>
      </c>
      <c r="P661" s="224" t="s">
        <v>5932</v>
      </c>
      <c r="Q661" s="224"/>
      <c r="R661" s="224" t="s">
        <v>24</v>
      </c>
      <c r="S661" s="254"/>
      <c r="T661" s="254"/>
      <c r="U661" s="224"/>
      <c r="V661" s="224"/>
      <c r="W661" s="224"/>
      <c r="X661" s="224"/>
      <c r="Y661" s="224"/>
      <c r="Z661" s="224"/>
      <c r="AA661" s="224"/>
      <c r="AB661" s="224"/>
    </row>
    <row r="662" spans="1:28" ht="15.75" hidden="1" customHeight="1">
      <c r="A662" s="248">
        <v>44796</v>
      </c>
      <c r="B662" s="219" t="s">
        <v>6044</v>
      </c>
      <c r="C662" s="315">
        <v>2.75</v>
      </c>
      <c r="D662" s="315"/>
      <c r="E662" s="219" t="s">
        <v>10603</v>
      </c>
      <c r="F662" s="219" t="s">
        <v>4</v>
      </c>
      <c r="G662" s="219" t="s">
        <v>727</v>
      </c>
      <c r="H662" s="219"/>
      <c r="I662" s="219">
        <v>2.5</v>
      </c>
      <c r="J662" s="219" t="s">
        <v>1457</v>
      </c>
      <c r="K662" s="219" t="s">
        <v>6048</v>
      </c>
      <c r="L662" s="219">
        <v>3</v>
      </c>
      <c r="M662" s="219" t="s">
        <v>784</v>
      </c>
      <c r="N662" s="331">
        <v>167000</v>
      </c>
      <c r="O662" s="219" t="s">
        <v>452</v>
      </c>
      <c r="P662" s="219" t="s">
        <v>6049</v>
      </c>
      <c r="Q662" s="219"/>
      <c r="R662" s="219" t="s">
        <v>24</v>
      </c>
      <c r="S662" s="251"/>
      <c r="T662" s="251"/>
      <c r="U662" s="219"/>
      <c r="V662" s="219"/>
      <c r="W662" s="219"/>
      <c r="X662" s="219"/>
      <c r="Y662" s="219"/>
      <c r="Z662" s="219"/>
      <c r="AA662" s="219"/>
      <c r="AB662" s="219"/>
    </row>
    <row r="663" spans="1:28" ht="15.75" hidden="1" customHeight="1">
      <c r="A663" s="257">
        <v>44796</v>
      </c>
      <c r="B663" s="258" t="s">
        <v>8789</v>
      </c>
      <c r="C663" s="263">
        <v>2.75</v>
      </c>
      <c r="D663" s="263"/>
      <c r="E663" s="258" t="s">
        <v>10844</v>
      </c>
      <c r="F663" s="258" t="s">
        <v>3</v>
      </c>
      <c r="G663" s="258" t="s">
        <v>460</v>
      </c>
      <c r="H663" s="258" t="s">
        <v>8793</v>
      </c>
      <c r="I663" s="258">
        <v>3</v>
      </c>
      <c r="J663" s="258" t="s">
        <v>941</v>
      </c>
      <c r="K663" s="258" t="s">
        <v>8794</v>
      </c>
      <c r="L663" s="258">
        <v>2.5</v>
      </c>
      <c r="M663" s="258" t="s">
        <v>451</v>
      </c>
      <c r="N663" s="258">
        <v>11000000</v>
      </c>
      <c r="O663" s="258" t="s">
        <v>452</v>
      </c>
      <c r="P663" s="258" t="s">
        <v>10845</v>
      </c>
      <c r="Q663" s="258" t="s">
        <v>725</v>
      </c>
      <c r="R663" s="258" t="s">
        <v>24</v>
      </c>
      <c r="S663" s="259"/>
      <c r="T663" s="259"/>
      <c r="U663" s="258"/>
      <c r="V663" s="258"/>
      <c r="W663" s="258"/>
      <c r="X663" s="258"/>
      <c r="Y663" s="258"/>
      <c r="Z663" s="258"/>
      <c r="AA663" s="258"/>
      <c r="AB663" s="258"/>
    </row>
    <row r="664" spans="1:28" ht="15.75" hidden="1" customHeight="1">
      <c r="A664" s="248">
        <v>44796</v>
      </c>
      <c r="B664" s="219" t="s">
        <v>6018</v>
      </c>
      <c r="C664" s="315">
        <v>2.75</v>
      </c>
      <c r="D664" s="315"/>
      <c r="E664" s="219" t="s">
        <v>6021</v>
      </c>
      <c r="F664" s="219" t="s">
        <v>4</v>
      </c>
      <c r="G664" s="219" t="s">
        <v>725</v>
      </c>
      <c r="H664" s="219" t="s">
        <v>6022</v>
      </c>
      <c r="I664" s="219">
        <v>2.5</v>
      </c>
      <c r="J664" s="219" t="s">
        <v>1371</v>
      </c>
      <c r="K664" s="219" t="s">
        <v>6023</v>
      </c>
      <c r="L664" s="219">
        <v>3</v>
      </c>
      <c r="M664" s="219"/>
      <c r="N664" s="219"/>
      <c r="O664" s="219" t="s">
        <v>452</v>
      </c>
      <c r="P664" s="219" t="s">
        <v>6024</v>
      </c>
      <c r="Q664" s="219"/>
      <c r="R664" s="219" t="s">
        <v>24</v>
      </c>
      <c r="S664" s="251"/>
      <c r="T664" s="251"/>
      <c r="U664" s="219"/>
      <c r="V664" s="219"/>
      <c r="W664" s="219"/>
      <c r="X664" s="219"/>
      <c r="Y664" s="219"/>
      <c r="Z664" s="219"/>
      <c r="AA664" s="219"/>
      <c r="AB664" s="219"/>
    </row>
    <row r="665" spans="1:28" ht="15.75" hidden="1" customHeight="1">
      <c r="A665" s="253">
        <v>44796</v>
      </c>
      <c r="B665" s="224" t="s">
        <v>6106</v>
      </c>
      <c r="C665" s="316">
        <v>2.75</v>
      </c>
      <c r="D665" s="316"/>
      <c r="E665" s="224" t="s">
        <v>10976</v>
      </c>
      <c r="F665" s="224" t="s">
        <v>4</v>
      </c>
      <c r="G665" s="224" t="s">
        <v>725</v>
      </c>
      <c r="H665" s="224" t="s">
        <v>10977</v>
      </c>
      <c r="I665" s="224">
        <v>3</v>
      </c>
      <c r="J665" s="224" t="s">
        <v>1045</v>
      </c>
      <c r="K665" s="224" t="s">
        <v>11736</v>
      </c>
      <c r="L665" s="224">
        <v>2.5</v>
      </c>
      <c r="M665" s="224" t="s">
        <v>451</v>
      </c>
      <c r="N665" s="224">
        <v>1500000</v>
      </c>
      <c r="O665" s="224" t="s">
        <v>452</v>
      </c>
      <c r="P665" s="224" t="s">
        <v>10978</v>
      </c>
      <c r="Q665" s="224"/>
      <c r="R665" s="224" t="s">
        <v>24</v>
      </c>
      <c r="S665" s="254"/>
      <c r="T665" s="254"/>
      <c r="U665" s="224"/>
      <c r="V665" s="224"/>
      <c r="W665" s="224"/>
      <c r="X665" s="224"/>
      <c r="Y665" s="224"/>
      <c r="Z665" s="224"/>
      <c r="AA665" s="224"/>
      <c r="AB665" s="224"/>
    </row>
    <row r="666" spans="1:28" ht="15.75" customHeight="1">
      <c r="A666" s="248">
        <v>44796</v>
      </c>
      <c r="B666" s="219" t="s">
        <v>2626</v>
      </c>
      <c r="C666" s="219">
        <v>2.75</v>
      </c>
      <c r="D666" s="219"/>
      <c r="E666" s="219" t="s">
        <v>2629</v>
      </c>
      <c r="F666" s="219" t="s">
        <v>5</v>
      </c>
      <c r="G666" s="219" t="s">
        <v>447</v>
      </c>
      <c r="H666" s="219" t="s">
        <v>11016</v>
      </c>
      <c r="I666" s="219">
        <v>3</v>
      </c>
      <c r="J666" s="219" t="s">
        <v>622</v>
      </c>
      <c r="K666" s="219" t="s">
        <v>11017</v>
      </c>
      <c r="L666" s="219">
        <v>2.5</v>
      </c>
      <c r="M666" s="219" t="s">
        <v>784</v>
      </c>
      <c r="N666" s="310">
        <v>600000</v>
      </c>
      <c r="O666" s="219" t="s">
        <v>452</v>
      </c>
      <c r="P666" s="219" t="s">
        <v>2632</v>
      </c>
      <c r="Q666" s="219"/>
      <c r="R666" s="219" t="s">
        <v>24</v>
      </c>
      <c r="S666" s="219"/>
      <c r="T666" s="219"/>
      <c r="U666" s="219"/>
      <c r="V666" s="219"/>
      <c r="W666" s="219"/>
      <c r="X666" s="219"/>
      <c r="Y666" s="219"/>
      <c r="Z666" s="219"/>
      <c r="AA666" s="219"/>
      <c r="AB666" s="219"/>
    </row>
    <row r="667" spans="1:28" ht="15.75" hidden="1" customHeight="1">
      <c r="A667" s="253">
        <v>44796</v>
      </c>
      <c r="B667" s="224" t="s">
        <v>5883</v>
      </c>
      <c r="C667" s="316">
        <v>2.75</v>
      </c>
      <c r="D667" s="316"/>
      <c r="E667" s="224" t="s">
        <v>5886</v>
      </c>
      <c r="F667" s="224" t="s">
        <v>4</v>
      </c>
      <c r="G667" s="224" t="s">
        <v>725</v>
      </c>
      <c r="H667" s="224" t="s">
        <v>11122</v>
      </c>
      <c r="I667" s="224">
        <v>3</v>
      </c>
      <c r="J667" s="224" t="s">
        <v>1045</v>
      </c>
      <c r="K667" s="224" t="s">
        <v>5888</v>
      </c>
      <c r="L667" s="224">
        <v>2.5</v>
      </c>
      <c r="M667" s="224" t="s">
        <v>451</v>
      </c>
      <c r="N667" s="224" t="s">
        <v>5889</v>
      </c>
      <c r="O667" s="224" t="s">
        <v>452</v>
      </c>
      <c r="P667" s="224" t="s">
        <v>5890</v>
      </c>
      <c r="Q667" s="224" t="s">
        <v>5891</v>
      </c>
      <c r="R667" s="224" t="s">
        <v>24</v>
      </c>
      <c r="S667" s="254"/>
      <c r="T667" s="254"/>
      <c r="U667" s="224"/>
      <c r="V667" s="224"/>
      <c r="W667" s="224"/>
      <c r="X667" s="224"/>
      <c r="Y667" s="224"/>
      <c r="Z667" s="224"/>
      <c r="AA667" s="224"/>
      <c r="AB667" s="224"/>
    </row>
    <row r="668" spans="1:28" ht="15.75" customHeight="1">
      <c r="A668" s="248">
        <v>44796</v>
      </c>
      <c r="B668" s="219" t="s">
        <v>2540</v>
      </c>
      <c r="C668" s="219">
        <v>2.75</v>
      </c>
      <c r="D668" s="219"/>
      <c r="E668" s="219" t="s">
        <v>2543</v>
      </c>
      <c r="F668" s="219" t="s">
        <v>5</v>
      </c>
      <c r="G668" s="219" t="s">
        <v>447</v>
      </c>
      <c r="H668" s="219" t="s">
        <v>11244</v>
      </c>
      <c r="I668" s="219">
        <v>2.5</v>
      </c>
      <c r="J668" s="219" t="s">
        <v>543</v>
      </c>
      <c r="K668" s="219" t="s">
        <v>11245</v>
      </c>
      <c r="L668" s="219">
        <v>3</v>
      </c>
      <c r="M668" s="219" t="s">
        <v>451</v>
      </c>
      <c r="N668" s="331">
        <v>2000000</v>
      </c>
      <c r="O668" s="219" t="s">
        <v>465</v>
      </c>
      <c r="P668" s="219" t="s">
        <v>2546</v>
      </c>
      <c r="Q668" s="219"/>
      <c r="R668" s="219" t="s">
        <v>24</v>
      </c>
      <c r="S668" s="219"/>
      <c r="T668" s="219"/>
      <c r="U668" s="219"/>
      <c r="V668" s="219"/>
      <c r="W668" s="219"/>
      <c r="X668" s="219"/>
      <c r="Y668" s="219"/>
      <c r="Z668" s="219"/>
      <c r="AA668" s="219"/>
      <c r="AB668" s="219"/>
    </row>
    <row r="669" spans="1:28" ht="15.75" hidden="1" customHeight="1">
      <c r="A669" s="253">
        <v>44796</v>
      </c>
      <c r="B669" s="224" t="s">
        <v>8313</v>
      </c>
      <c r="C669" s="316">
        <v>2.75</v>
      </c>
      <c r="D669" s="316"/>
      <c r="E669" s="224"/>
      <c r="F669" s="224" t="s">
        <v>3</v>
      </c>
      <c r="G669" s="224" t="s">
        <v>488</v>
      </c>
      <c r="H669" s="224" t="s">
        <v>11295</v>
      </c>
      <c r="I669" s="224">
        <v>3</v>
      </c>
      <c r="J669" s="224" t="s">
        <v>941</v>
      </c>
      <c r="K669" s="224" t="s">
        <v>8317</v>
      </c>
      <c r="L669" s="224">
        <v>2.5</v>
      </c>
      <c r="M669" s="224" t="s">
        <v>8318</v>
      </c>
      <c r="N669" s="224">
        <v>50000</v>
      </c>
      <c r="O669" s="224" t="s">
        <v>452</v>
      </c>
      <c r="P669" s="224" t="s">
        <v>8319</v>
      </c>
      <c r="Q669" s="224" t="s">
        <v>8320</v>
      </c>
      <c r="R669" s="224" t="s">
        <v>24</v>
      </c>
      <c r="S669" s="254"/>
      <c r="T669" s="254"/>
      <c r="U669" s="224"/>
      <c r="V669" s="224"/>
      <c r="W669" s="224"/>
      <c r="X669" s="224"/>
      <c r="Y669" s="224"/>
      <c r="Z669" s="224"/>
      <c r="AA669" s="224"/>
      <c r="AB669" s="224"/>
    </row>
    <row r="670" spans="1:28" ht="15.75" hidden="1" customHeight="1">
      <c r="A670" s="248">
        <v>44796</v>
      </c>
      <c r="B670" s="219" t="s">
        <v>8396</v>
      </c>
      <c r="C670" s="315">
        <v>2.75</v>
      </c>
      <c r="D670" s="315"/>
      <c r="E670" s="219"/>
      <c r="F670" s="219" t="s">
        <v>3</v>
      </c>
      <c r="G670" s="219" t="s">
        <v>488</v>
      </c>
      <c r="H670" s="219" t="s">
        <v>8399</v>
      </c>
      <c r="I670" s="219">
        <v>2.5</v>
      </c>
      <c r="J670" s="219" t="s">
        <v>941</v>
      </c>
      <c r="K670" s="219" t="s">
        <v>8400</v>
      </c>
      <c r="L670" s="219">
        <v>3</v>
      </c>
      <c r="M670" s="219" t="s">
        <v>2152</v>
      </c>
      <c r="N670" s="219" t="s">
        <v>8401</v>
      </c>
      <c r="O670" s="219" t="s">
        <v>452</v>
      </c>
      <c r="P670" s="219" t="s">
        <v>8402</v>
      </c>
      <c r="Q670" s="219"/>
      <c r="R670" s="219" t="s">
        <v>24</v>
      </c>
      <c r="S670" s="251"/>
      <c r="T670" s="251"/>
      <c r="U670" s="219"/>
      <c r="V670" s="219"/>
      <c r="W670" s="219"/>
      <c r="X670" s="219"/>
      <c r="Y670" s="219"/>
      <c r="Z670" s="219"/>
      <c r="AA670" s="219"/>
      <c r="AB670" s="219"/>
    </row>
    <row r="671" spans="1:28" ht="15.75" hidden="1" customHeight="1">
      <c r="A671" s="253">
        <v>44789</v>
      </c>
      <c r="B671" s="224" t="s">
        <v>6123</v>
      </c>
      <c r="C671" s="249">
        <v>2.63</v>
      </c>
      <c r="D671" s="249"/>
      <c r="E671" s="224" t="s">
        <v>6126</v>
      </c>
      <c r="F671" s="250" t="s">
        <v>4</v>
      </c>
      <c r="G671" s="224" t="s">
        <v>727</v>
      </c>
      <c r="H671" s="224" t="s">
        <v>10681</v>
      </c>
      <c r="I671" s="224">
        <v>3.75</v>
      </c>
      <c r="J671" s="224" t="s">
        <v>476</v>
      </c>
      <c r="K671" s="224" t="s">
        <v>13400</v>
      </c>
      <c r="L671" s="224">
        <v>1.5</v>
      </c>
      <c r="M671" s="224"/>
      <c r="N671" s="307"/>
      <c r="O671" s="224" t="s">
        <v>452</v>
      </c>
      <c r="P671" s="224" t="s">
        <v>3420</v>
      </c>
      <c r="Q671" s="224"/>
      <c r="R671" s="224" t="s">
        <v>24</v>
      </c>
      <c r="S671" s="254"/>
      <c r="T671" s="254"/>
      <c r="U671" s="252"/>
      <c r="V671" s="252"/>
      <c r="W671" s="252"/>
      <c r="X671" s="224"/>
      <c r="Y671" s="224"/>
      <c r="Z671" s="224"/>
      <c r="AA671" s="224"/>
      <c r="AB671" s="224"/>
    </row>
    <row r="672" spans="1:28" ht="15.75" customHeight="1">
      <c r="A672" s="248">
        <v>44789</v>
      </c>
      <c r="B672" s="219" t="s">
        <v>2137</v>
      </c>
      <c r="C672" s="250">
        <v>2.63</v>
      </c>
      <c r="D672" s="250"/>
      <c r="E672" s="219" t="s">
        <v>2140</v>
      </c>
      <c r="F672" s="250" t="s">
        <v>5</v>
      </c>
      <c r="G672" s="219" t="s">
        <v>447</v>
      </c>
      <c r="H672" s="219" t="s">
        <v>10853</v>
      </c>
      <c r="I672" s="219">
        <v>2.5</v>
      </c>
      <c r="J672" s="219" t="s">
        <v>449</v>
      </c>
      <c r="K672" s="219" t="e">
        <f>+Tech seems Novel
+Team seems passionate
-do not appear to Have business plan
-Might be to early for EFL</f>
        <v>#NAME?</v>
      </c>
      <c r="L672" s="219">
        <v>2.75</v>
      </c>
      <c r="M672" s="219" t="s">
        <v>451</v>
      </c>
      <c r="N672" s="219">
        <v>500000</v>
      </c>
      <c r="O672" s="219" t="s">
        <v>452</v>
      </c>
      <c r="P672" s="219" t="s">
        <v>10855</v>
      </c>
      <c r="Q672" s="219" t="s">
        <v>2144</v>
      </c>
      <c r="R672" s="219" t="s">
        <v>24</v>
      </c>
      <c r="S672" s="219"/>
      <c r="T672" s="219"/>
      <c r="U672" s="252"/>
      <c r="V672" s="252"/>
      <c r="W672" s="252"/>
      <c r="X672" s="219"/>
      <c r="Y672" s="219"/>
      <c r="Z672" s="219"/>
      <c r="AA672" s="219"/>
      <c r="AB672" s="219"/>
    </row>
    <row r="673" spans="1:28" ht="15.75" hidden="1" customHeight="1">
      <c r="A673" s="253">
        <v>44791</v>
      </c>
      <c r="B673" s="224" t="s">
        <v>6131</v>
      </c>
      <c r="C673" s="316">
        <v>2.63</v>
      </c>
      <c r="D673" s="316"/>
      <c r="E673" s="224" t="s">
        <v>6134</v>
      </c>
      <c r="F673" s="224" t="s">
        <v>4</v>
      </c>
      <c r="G673" s="224" t="s">
        <v>1045</v>
      </c>
      <c r="H673" s="224" t="s">
        <v>6135</v>
      </c>
      <c r="I673" s="224">
        <v>2.75</v>
      </c>
      <c r="J673" s="224" t="s">
        <v>543</v>
      </c>
      <c r="K673" s="224" t="s">
        <v>6136</v>
      </c>
      <c r="L673" s="224">
        <v>2.5</v>
      </c>
      <c r="M673" s="224"/>
      <c r="N673" s="224"/>
      <c r="O673" s="224" t="s">
        <v>465</v>
      </c>
      <c r="P673" s="224" t="s">
        <v>6137</v>
      </c>
      <c r="Q673" s="224"/>
      <c r="R673" s="322" t="s">
        <v>24</v>
      </c>
      <c r="S673" s="254"/>
      <c r="T673" s="254"/>
      <c r="U673" s="224"/>
      <c r="V673" s="224"/>
      <c r="W673" s="224"/>
      <c r="X673" s="224"/>
      <c r="Y673" s="224"/>
      <c r="Z673" s="224"/>
      <c r="AA673" s="224"/>
      <c r="AB673" s="224"/>
    </row>
    <row r="674" spans="1:28" ht="15.75" hidden="1" customHeight="1">
      <c r="A674" s="227">
        <v>44776</v>
      </c>
      <c r="B674" s="228" t="s">
        <v>9334</v>
      </c>
      <c r="C674" s="214">
        <v>2.5</v>
      </c>
      <c r="D674" s="214"/>
      <c r="E674" s="228" t="s">
        <v>9337</v>
      </c>
      <c r="F674" s="215" t="s">
        <v>3</v>
      </c>
      <c r="G674" s="228" t="s">
        <v>460</v>
      </c>
      <c r="H674" s="228"/>
      <c r="I674" s="228">
        <v>1</v>
      </c>
      <c r="J674" s="228" t="s">
        <v>462</v>
      </c>
      <c r="K674" s="228" t="s">
        <v>9338</v>
      </c>
      <c r="L674" s="228">
        <v>4</v>
      </c>
      <c r="M674" s="228"/>
      <c r="N674" s="232">
        <v>250000</v>
      </c>
      <c r="O674" s="228" t="s">
        <v>452</v>
      </c>
      <c r="P674" s="228" t="s">
        <v>452</v>
      </c>
      <c r="Q674" s="230"/>
      <c r="R674" s="228" t="s">
        <v>25</v>
      </c>
      <c r="S674" s="231" t="s">
        <v>9339</v>
      </c>
      <c r="T674" s="231"/>
      <c r="U674" s="228"/>
      <c r="V674" s="228"/>
      <c r="W674" s="228"/>
      <c r="X674" s="219"/>
      <c r="Y674" s="219"/>
      <c r="Z674" s="219"/>
      <c r="AA674" s="219"/>
      <c r="AB674" s="219"/>
    </row>
    <row r="675" spans="1:28" ht="15.75" hidden="1" customHeight="1">
      <c r="A675" s="220">
        <v>44776</v>
      </c>
      <c r="B675" s="221" t="s">
        <v>6459</v>
      </c>
      <c r="C675" s="214">
        <v>2.5</v>
      </c>
      <c r="D675" s="214"/>
      <c r="E675" s="221" t="s">
        <v>6462</v>
      </c>
      <c r="F675" s="215" t="s">
        <v>4</v>
      </c>
      <c r="G675" s="221" t="s">
        <v>602</v>
      </c>
      <c r="H675" s="221" t="s">
        <v>6463</v>
      </c>
      <c r="I675" s="221">
        <v>2</v>
      </c>
      <c r="J675" s="221" t="s">
        <v>1054</v>
      </c>
      <c r="K675" s="221"/>
      <c r="L675" s="221">
        <v>3</v>
      </c>
      <c r="M675" s="221" t="s">
        <v>784</v>
      </c>
      <c r="N675" s="221">
        <v>400000</v>
      </c>
      <c r="O675" s="221" t="s">
        <v>452</v>
      </c>
      <c r="P675" s="221" t="s">
        <v>6464</v>
      </c>
      <c r="Q675" s="145"/>
      <c r="R675" s="221" t="s">
        <v>24</v>
      </c>
      <c r="S675" s="223">
        <f t="array" ref="S675">INDEX(Notes!C:C,MATCH($B675,Notes!$A:$A,0))</f>
        <v>0</v>
      </c>
      <c r="T675" s="223"/>
      <c r="U675" s="218"/>
      <c r="V675" s="218"/>
      <c r="W675" s="218"/>
      <c r="X675" s="224"/>
      <c r="Y675" s="224"/>
      <c r="Z675" s="224"/>
      <c r="AA675" s="224"/>
      <c r="AB675" s="224"/>
    </row>
    <row r="676" spans="1:28" ht="15.75" customHeight="1">
      <c r="A676" s="212">
        <v>44776</v>
      </c>
      <c r="B676" s="213" t="s">
        <v>3424</v>
      </c>
      <c r="C676" s="215">
        <v>2.5</v>
      </c>
      <c r="D676" s="215"/>
      <c r="E676" s="213" t="s">
        <v>3427</v>
      </c>
      <c r="F676" s="215" t="s">
        <v>5</v>
      </c>
      <c r="G676" s="213" t="s">
        <v>447</v>
      </c>
      <c r="H676" s="213" t="s">
        <v>3428</v>
      </c>
      <c r="I676" s="213">
        <v>3</v>
      </c>
      <c r="J676" s="213" t="s">
        <v>449</v>
      </c>
      <c r="K676" s="213" t="e">
        <f ca="1">+They are a biostasis(preservation of dead body) company that wants to make the practice more mainstream and accessible
+the Have raised a significant amount of money and Have a few customers
+Have insurance and longterm storage partners</f>
        <v>#NAME?</v>
      </c>
      <c r="L676" s="213">
        <v>2</v>
      </c>
      <c r="M676" s="213"/>
      <c r="N676" s="213"/>
      <c r="O676" s="213" t="s">
        <v>452</v>
      </c>
      <c r="P676" s="213" t="s">
        <v>452</v>
      </c>
      <c r="Q676" s="213"/>
      <c r="R676" s="213" t="s">
        <v>24</v>
      </c>
      <c r="S676" s="213">
        <f t="array" ref="S676">INDEX(Notes!C:C,MATCH($B676,Notes!$A:$A,0))</f>
        <v>0</v>
      </c>
      <c r="T676" s="213"/>
      <c r="U676" s="218"/>
      <c r="V676" s="218"/>
      <c r="W676" s="218"/>
      <c r="X676" s="219"/>
      <c r="Y676" s="219"/>
      <c r="Z676" s="219"/>
      <c r="AA676" s="219"/>
      <c r="AB676" s="219"/>
    </row>
    <row r="677" spans="1:28" ht="15.75" customHeight="1">
      <c r="A677" s="220">
        <v>44776</v>
      </c>
      <c r="B677" s="221" t="s">
        <v>2118</v>
      </c>
      <c r="C677" s="215">
        <v>2.5</v>
      </c>
      <c r="D677" s="215"/>
      <c r="E677" s="221" t="s">
        <v>2121</v>
      </c>
      <c r="F677" s="215" t="s">
        <v>5</v>
      </c>
      <c r="G677" s="221" t="s">
        <v>447</v>
      </c>
      <c r="H677" s="221" t="s">
        <v>2122</v>
      </c>
      <c r="I677" s="221">
        <v>2.5</v>
      </c>
      <c r="J677" s="221" t="s">
        <v>543</v>
      </c>
      <c r="K677" s="221" t="s">
        <v>2123</v>
      </c>
      <c r="L677" s="221">
        <v>2.5</v>
      </c>
      <c r="M677" s="221" t="s">
        <v>451</v>
      </c>
      <c r="N677" s="222">
        <v>400000</v>
      </c>
      <c r="O677" s="221" t="s">
        <v>452</v>
      </c>
      <c r="P677" s="221" t="s">
        <v>10209</v>
      </c>
      <c r="Q677" s="221"/>
      <c r="R677" s="221" t="s">
        <v>24</v>
      </c>
      <c r="S677" s="221">
        <f t="array" ref="S677">INDEX(Notes!C:C,MATCH($B677,Notes!$A:$A,0))</f>
        <v>0</v>
      </c>
      <c r="T677" s="221"/>
      <c r="U677" s="218"/>
      <c r="V677" s="218"/>
      <c r="W677" s="218"/>
      <c r="X677" s="224"/>
      <c r="Y677" s="224"/>
      <c r="Z677" s="224"/>
      <c r="AA677" s="224"/>
      <c r="AB677" s="224"/>
    </row>
    <row r="678" spans="1:28" ht="15.75" customHeight="1">
      <c r="A678" s="212">
        <v>44776</v>
      </c>
      <c r="B678" s="213" t="s">
        <v>3250</v>
      </c>
      <c r="C678" s="215">
        <v>2.5</v>
      </c>
      <c r="D678" s="215"/>
      <c r="E678" s="213" t="s">
        <v>3253</v>
      </c>
      <c r="F678" s="215" t="s">
        <v>5</v>
      </c>
      <c r="G678" s="213" t="s">
        <v>447</v>
      </c>
      <c r="H678" s="213" t="s">
        <v>3254</v>
      </c>
      <c r="I678" s="213">
        <v>2</v>
      </c>
      <c r="J678" s="213" t="s">
        <v>602</v>
      </c>
      <c r="K678" s="213" t="s">
        <v>3255</v>
      </c>
      <c r="L678" s="213">
        <v>3</v>
      </c>
      <c r="M678" s="213" t="s">
        <v>451</v>
      </c>
      <c r="N678" s="213" t="s">
        <v>3256</v>
      </c>
      <c r="O678" s="213" t="s">
        <v>452</v>
      </c>
      <c r="P678" s="213" t="s">
        <v>452</v>
      </c>
      <c r="Q678" s="213"/>
      <c r="R678" s="213" t="s">
        <v>24</v>
      </c>
      <c r="S678" s="213">
        <f t="array" ref="S678">INDEX(Notes!C:C,MATCH($B678,Notes!$A:$A,0))</f>
        <v>0</v>
      </c>
      <c r="T678" s="213"/>
      <c r="U678" s="218"/>
      <c r="V678" s="218"/>
      <c r="W678" s="218"/>
      <c r="X678" s="219"/>
      <c r="Y678" s="219"/>
      <c r="Z678" s="219"/>
      <c r="AA678" s="219"/>
      <c r="AB678" s="219"/>
    </row>
    <row r="679" spans="1:28" ht="15.75" customHeight="1">
      <c r="A679" s="233">
        <v>44776</v>
      </c>
      <c r="B679" s="234" t="s">
        <v>2814</v>
      </c>
      <c r="C679" s="234">
        <v>2.5</v>
      </c>
      <c r="D679" s="234"/>
      <c r="E679" s="234" t="s">
        <v>2817</v>
      </c>
      <c r="F679" s="234" t="s">
        <v>5</v>
      </c>
      <c r="G679" s="234" t="s">
        <v>460</v>
      </c>
      <c r="H679" s="234" t="s">
        <v>2818</v>
      </c>
      <c r="I679" s="234">
        <v>2</v>
      </c>
      <c r="J679" s="234" t="s">
        <v>488</v>
      </c>
      <c r="K679" s="234" t="s">
        <v>2819</v>
      </c>
      <c r="L679" s="234">
        <v>3</v>
      </c>
      <c r="M679" s="234"/>
      <c r="N679" s="234"/>
      <c r="O679" s="234" t="s">
        <v>452</v>
      </c>
      <c r="P679" s="234" t="s">
        <v>2820</v>
      </c>
      <c r="Q679" s="234"/>
      <c r="R679" s="234" t="s">
        <v>24</v>
      </c>
      <c r="S679" s="234" t="s">
        <v>2821</v>
      </c>
      <c r="T679" s="234"/>
      <c r="U679" s="234"/>
      <c r="V679" s="234"/>
      <c r="W679" s="234"/>
      <c r="X679" s="239"/>
      <c r="Y679" s="239"/>
      <c r="Z679" s="239"/>
      <c r="AA679" s="239"/>
      <c r="AB679" s="239"/>
    </row>
    <row r="680" spans="1:28" ht="15.75" hidden="1" customHeight="1">
      <c r="A680" s="212">
        <v>44776</v>
      </c>
      <c r="B680" s="213" t="s">
        <v>6365</v>
      </c>
      <c r="C680" s="214">
        <v>2.5</v>
      </c>
      <c r="D680" s="214"/>
      <c r="E680" s="213" t="s">
        <v>6368</v>
      </c>
      <c r="F680" s="215" t="s">
        <v>4</v>
      </c>
      <c r="G680" s="213" t="s">
        <v>602</v>
      </c>
      <c r="H680" s="213" t="s">
        <v>11435</v>
      </c>
      <c r="I680" s="213">
        <v>2</v>
      </c>
      <c r="J680" s="213" t="s">
        <v>727</v>
      </c>
      <c r="K680" s="213" t="s">
        <v>6370</v>
      </c>
      <c r="L680" s="213">
        <v>3</v>
      </c>
      <c r="M680" s="213" t="s">
        <v>6371</v>
      </c>
      <c r="N680" s="213" t="s">
        <v>6372</v>
      </c>
      <c r="O680" s="213" t="s">
        <v>454</v>
      </c>
      <c r="P680" s="213" t="s">
        <v>3420</v>
      </c>
      <c r="Q680" s="143"/>
      <c r="R680" s="213" t="s">
        <v>24</v>
      </c>
      <c r="S680" s="226">
        <f t="array" ref="S680">INDEX(Notes!C:C,MATCH($B680,Notes!$A:$A,0))</f>
        <v>0</v>
      </c>
      <c r="T680" s="226"/>
      <c r="U680" s="218"/>
      <c r="V680" s="218"/>
      <c r="W680" s="218"/>
      <c r="X680" s="219"/>
      <c r="Y680" s="219"/>
      <c r="Z680" s="219"/>
      <c r="AA680" s="219"/>
      <c r="AB680" s="219"/>
    </row>
    <row r="681" spans="1:28" ht="15.75" customHeight="1">
      <c r="A681" s="220">
        <v>44776</v>
      </c>
      <c r="B681" s="221" t="s">
        <v>3035</v>
      </c>
      <c r="C681" s="215">
        <v>2.5</v>
      </c>
      <c r="D681" s="215"/>
      <c r="E681" s="221" t="s">
        <v>3038</v>
      </c>
      <c r="F681" s="215" t="s">
        <v>5</v>
      </c>
      <c r="G681" s="221" t="s">
        <v>447</v>
      </c>
      <c r="H681" s="221" t="s">
        <v>3039</v>
      </c>
      <c r="I681" s="221">
        <v>3</v>
      </c>
      <c r="J681" s="221" t="s">
        <v>543</v>
      </c>
      <c r="K681" s="221" t="s">
        <v>11441</v>
      </c>
      <c r="L681" s="221">
        <v>2</v>
      </c>
      <c r="M681" s="221"/>
      <c r="N681" s="221"/>
      <c r="O681" s="221" t="s">
        <v>452</v>
      </c>
      <c r="P681" s="221" t="s">
        <v>452</v>
      </c>
      <c r="Q681" s="221"/>
      <c r="R681" s="221" t="s">
        <v>24</v>
      </c>
      <c r="S681" s="221">
        <f t="array" ref="S681">INDEX(Notes!C:C,MATCH($B681,Notes!$A:$A,0))</f>
        <v>0</v>
      </c>
      <c r="T681" s="221"/>
      <c r="U681" s="218"/>
      <c r="V681" s="218"/>
      <c r="W681" s="218"/>
      <c r="X681" s="224"/>
      <c r="Y681" s="224"/>
      <c r="Z681" s="224"/>
      <c r="AA681" s="224"/>
      <c r="AB681" s="224"/>
    </row>
    <row r="682" spans="1:28" ht="15.75" customHeight="1">
      <c r="A682" s="257">
        <v>44782</v>
      </c>
      <c r="B682" s="258" t="s">
        <v>3196</v>
      </c>
      <c r="C682" s="250">
        <v>2.5</v>
      </c>
      <c r="D682" s="250"/>
      <c r="E682" s="258" t="s">
        <v>3199</v>
      </c>
      <c r="F682" s="250" t="s">
        <v>5</v>
      </c>
      <c r="G682" s="258" t="s">
        <v>447</v>
      </c>
      <c r="H682" s="258" t="s">
        <v>10289</v>
      </c>
      <c r="I682" s="258">
        <v>3</v>
      </c>
      <c r="J682" s="258" t="s">
        <v>449</v>
      </c>
      <c r="K682" s="258" t="s">
        <v>13400</v>
      </c>
      <c r="L682" s="258">
        <v>2</v>
      </c>
      <c r="M682" s="258"/>
      <c r="N682" s="258"/>
      <c r="O682" s="258" t="s">
        <v>465</v>
      </c>
      <c r="P682" s="258" t="s">
        <v>3202</v>
      </c>
      <c r="Q682" s="258"/>
      <c r="R682" s="228" t="s">
        <v>24</v>
      </c>
      <c r="S682" s="258" t="s">
        <v>3203</v>
      </c>
      <c r="T682" s="258"/>
      <c r="U682" s="258"/>
      <c r="V682" s="258"/>
      <c r="W682" s="258"/>
      <c r="X682" s="258"/>
      <c r="Y682" s="258"/>
      <c r="Z682" s="258"/>
      <c r="AA682" s="258"/>
      <c r="AB682" s="258"/>
    </row>
    <row r="683" spans="1:28" ht="15.75" hidden="1" customHeight="1">
      <c r="A683" s="253">
        <v>44782</v>
      </c>
      <c r="B683" s="224" t="s">
        <v>6390</v>
      </c>
      <c r="C683" s="249">
        <v>2.5</v>
      </c>
      <c r="D683" s="249"/>
      <c r="E683" s="224" t="s">
        <v>6393</v>
      </c>
      <c r="F683" s="250" t="s">
        <v>4</v>
      </c>
      <c r="G683" s="224" t="s">
        <v>602</v>
      </c>
      <c r="H683" s="224" t="s">
        <v>6394</v>
      </c>
      <c r="I683" s="224">
        <v>3</v>
      </c>
      <c r="J683" s="224" t="s">
        <v>476</v>
      </c>
      <c r="K683" s="224" t="s">
        <v>10389</v>
      </c>
      <c r="L683" s="224">
        <v>2</v>
      </c>
      <c r="M683" s="224"/>
      <c r="N683" s="224"/>
      <c r="O683" s="224" t="s">
        <v>452</v>
      </c>
      <c r="P683" s="224" t="s">
        <v>6396</v>
      </c>
      <c r="Q683" s="224"/>
      <c r="R683" s="224" t="s">
        <v>24</v>
      </c>
      <c r="S683" s="254"/>
      <c r="T683" s="254"/>
      <c r="U683" s="252"/>
      <c r="V683" s="252"/>
      <c r="W683" s="252"/>
      <c r="X683" s="224"/>
      <c r="Y683" s="224"/>
      <c r="Z683" s="224"/>
      <c r="AA683" s="224"/>
      <c r="AB683" s="224"/>
    </row>
    <row r="684" spans="1:28" ht="15.75" hidden="1" customHeight="1">
      <c r="A684" s="248">
        <v>44782</v>
      </c>
      <c r="B684" s="219" t="s">
        <v>6607</v>
      </c>
      <c r="C684" s="249">
        <v>2.5</v>
      </c>
      <c r="D684" s="249"/>
      <c r="E684" s="219" t="s">
        <v>6610</v>
      </c>
      <c r="F684" s="250" t="s">
        <v>4</v>
      </c>
      <c r="G684" s="219" t="s">
        <v>602</v>
      </c>
      <c r="H684" s="219" t="s">
        <v>6611</v>
      </c>
      <c r="I684" s="219">
        <v>2</v>
      </c>
      <c r="J684" s="219" t="s">
        <v>1054</v>
      </c>
      <c r="K684" s="219" t="s">
        <v>6612</v>
      </c>
      <c r="L684" s="219">
        <v>3</v>
      </c>
      <c r="M684" s="219" t="s">
        <v>451</v>
      </c>
      <c r="N684" s="219">
        <v>2000000</v>
      </c>
      <c r="O684" s="219" t="s">
        <v>452</v>
      </c>
      <c r="P684" s="219" t="s">
        <v>452</v>
      </c>
      <c r="Q684" s="219"/>
      <c r="R684" s="219" t="s">
        <v>24</v>
      </c>
      <c r="S684" s="251"/>
      <c r="T684" s="251"/>
      <c r="U684" s="252"/>
      <c r="V684" s="252"/>
      <c r="W684" s="252"/>
      <c r="X684" s="219"/>
      <c r="Y684" s="219"/>
      <c r="Z684" s="219"/>
      <c r="AA684" s="219"/>
      <c r="AB684" s="219"/>
    </row>
    <row r="685" spans="1:28" ht="15.75" hidden="1" customHeight="1">
      <c r="A685" s="516">
        <v>44782</v>
      </c>
      <c r="B685" s="504" t="s">
        <v>164</v>
      </c>
      <c r="C685" s="504">
        <v>2.5</v>
      </c>
      <c r="D685" s="504"/>
      <c r="E685" s="504" t="s">
        <v>9491</v>
      </c>
      <c r="F685" s="504" t="s">
        <v>4</v>
      </c>
      <c r="G685" s="504" t="s">
        <v>447</v>
      </c>
      <c r="H685" s="504" t="s">
        <v>11140</v>
      </c>
      <c r="I685" s="504">
        <v>3</v>
      </c>
      <c r="J685" s="504" t="s">
        <v>449</v>
      </c>
      <c r="K685" s="504" t="s">
        <v>13211</v>
      </c>
      <c r="L685" s="504">
        <v>2</v>
      </c>
      <c r="M685" s="504"/>
      <c r="N685" s="504"/>
      <c r="O685" s="504" t="s">
        <v>452</v>
      </c>
      <c r="P685" s="504" t="s">
        <v>9494</v>
      </c>
      <c r="Q685" s="504"/>
      <c r="R685" s="504" t="s">
        <v>20</v>
      </c>
      <c r="S685" s="517" t="s">
        <v>9495</v>
      </c>
      <c r="T685" s="517"/>
      <c r="U685" s="504"/>
      <c r="V685" s="504"/>
      <c r="W685" s="504"/>
      <c r="X685" s="504"/>
      <c r="Y685" s="504"/>
      <c r="Z685" s="504"/>
      <c r="AA685" s="504"/>
      <c r="AB685" s="504"/>
    </row>
    <row r="686" spans="1:28" ht="15.75" hidden="1" customHeight="1">
      <c r="A686" s="257">
        <v>44782</v>
      </c>
      <c r="B686" s="258" t="s">
        <v>9285</v>
      </c>
      <c r="C686" s="249">
        <v>2.5</v>
      </c>
      <c r="D686" s="249"/>
      <c r="E686" s="258" t="s">
        <v>9288</v>
      </c>
      <c r="F686" s="250" t="s">
        <v>3</v>
      </c>
      <c r="G686" s="258" t="s">
        <v>460</v>
      </c>
      <c r="H686" s="258" t="s">
        <v>9289</v>
      </c>
      <c r="I686" s="258">
        <v>2</v>
      </c>
      <c r="J686" s="258" t="s">
        <v>941</v>
      </c>
      <c r="K686" s="258"/>
      <c r="L686" s="258">
        <v>3</v>
      </c>
      <c r="M686" s="258" t="s">
        <v>784</v>
      </c>
      <c r="N686" s="258">
        <v>1600000</v>
      </c>
      <c r="O686" s="258" t="s">
        <v>452</v>
      </c>
      <c r="P686" s="258" t="s">
        <v>11414</v>
      </c>
      <c r="Q686" s="258" t="s">
        <v>9291</v>
      </c>
      <c r="R686" s="258" t="s">
        <v>24</v>
      </c>
      <c r="S686" s="259" t="s">
        <v>9292</v>
      </c>
      <c r="T686" s="259"/>
      <c r="U686" s="258"/>
      <c r="V686" s="258"/>
      <c r="W686" s="258"/>
      <c r="X686" s="258"/>
      <c r="Y686" s="258"/>
      <c r="Z686" s="258"/>
      <c r="AA686" s="258"/>
      <c r="AB686" s="258"/>
    </row>
    <row r="687" spans="1:28" ht="15.75" hidden="1" customHeight="1">
      <c r="A687" s="257">
        <v>44782</v>
      </c>
      <c r="B687" s="258" t="s">
        <v>9151</v>
      </c>
      <c r="C687" s="249">
        <v>2.5</v>
      </c>
      <c r="D687" s="249"/>
      <c r="E687" s="258" t="s">
        <v>9154</v>
      </c>
      <c r="F687" s="250" t="s">
        <v>3</v>
      </c>
      <c r="G687" s="258" t="s">
        <v>460</v>
      </c>
      <c r="H687" s="258" t="s">
        <v>9155</v>
      </c>
      <c r="I687" s="258">
        <v>2</v>
      </c>
      <c r="J687" s="258" t="s">
        <v>488</v>
      </c>
      <c r="K687" s="258" t="s">
        <v>11428</v>
      </c>
      <c r="L687" s="258">
        <v>3</v>
      </c>
      <c r="M687" s="258" t="s">
        <v>973</v>
      </c>
      <c r="N687" s="258">
        <v>7500000</v>
      </c>
      <c r="O687" s="258" t="s">
        <v>452</v>
      </c>
      <c r="P687" s="258" t="s">
        <v>1119</v>
      </c>
      <c r="Q687" s="258"/>
      <c r="R687" s="258" t="s">
        <v>24</v>
      </c>
      <c r="S687" s="259" t="s">
        <v>9157</v>
      </c>
      <c r="T687" s="259"/>
      <c r="U687" s="258"/>
      <c r="V687" s="258"/>
      <c r="W687" s="258"/>
      <c r="X687" s="258"/>
      <c r="Y687" s="258"/>
      <c r="Z687" s="258"/>
      <c r="AA687" s="258"/>
      <c r="AB687" s="258"/>
    </row>
    <row r="688" spans="1:28" ht="15.75" hidden="1" customHeight="1">
      <c r="A688" s="248">
        <v>44782</v>
      </c>
      <c r="B688" s="219" t="s">
        <v>6502</v>
      </c>
      <c r="C688" s="249">
        <v>2.5</v>
      </c>
      <c r="D688" s="249"/>
      <c r="E688" s="219" t="s">
        <v>11541</v>
      </c>
      <c r="F688" s="250" t="s">
        <v>4</v>
      </c>
      <c r="G688" s="219" t="s">
        <v>602</v>
      </c>
      <c r="H688" s="219" t="s">
        <v>6506</v>
      </c>
      <c r="I688" s="219">
        <v>2</v>
      </c>
      <c r="J688" s="219" t="s">
        <v>1054</v>
      </c>
      <c r="K688" s="219" t="s">
        <v>6507</v>
      </c>
      <c r="L688" s="219">
        <v>3</v>
      </c>
      <c r="M688" s="219" t="s">
        <v>451</v>
      </c>
      <c r="N688" s="219">
        <v>1000000</v>
      </c>
      <c r="O688" s="219" t="s">
        <v>452</v>
      </c>
      <c r="P688" s="219" t="s">
        <v>6508</v>
      </c>
      <c r="Q688" s="219" t="s">
        <v>6509</v>
      </c>
      <c r="R688" s="219" t="s">
        <v>24</v>
      </c>
      <c r="S688" s="251"/>
      <c r="T688" s="251"/>
      <c r="U688" s="252"/>
      <c r="V688" s="252"/>
      <c r="W688" s="252"/>
      <c r="X688" s="219"/>
      <c r="Y688" s="219"/>
      <c r="Z688" s="219"/>
      <c r="AA688" s="219"/>
      <c r="AB688" s="219"/>
    </row>
    <row r="689" spans="1:28" ht="15.75" hidden="1" customHeight="1">
      <c r="A689" s="267">
        <v>44784</v>
      </c>
      <c r="B689" s="272" t="s">
        <v>6148</v>
      </c>
      <c r="C689" s="269">
        <v>2.5</v>
      </c>
      <c r="D689" s="269"/>
      <c r="E689" s="272" t="s">
        <v>10190</v>
      </c>
      <c r="F689" s="270" t="s">
        <v>4</v>
      </c>
      <c r="G689" s="272" t="s">
        <v>602</v>
      </c>
      <c r="H689" s="272" t="s">
        <v>6152</v>
      </c>
      <c r="I689" s="272">
        <v>2</v>
      </c>
      <c r="J689" s="272" t="s">
        <v>1054</v>
      </c>
      <c r="K689" s="272" t="s">
        <v>6153</v>
      </c>
      <c r="L689" s="272">
        <v>3</v>
      </c>
      <c r="M689" s="272" t="s">
        <v>451</v>
      </c>
      <c r="N689" s="273">
        <v>2000000</v>
      </c>
      <c r="O689" s="272" t="s">
        <v>452</v>
      </c>
      <c r="P689" s="273" t="s">
        <v>452</v>
      </c>
      <c r="Q689" s="272"/>
      <c r="R689" s="272" t="s">
        <v>24</v>
      </c>
      <c r="S689" s="274"/>
      <c r="T689" s="274"/>
      <c r="U689" s="272"/>
      <c r="V689" s="272"/>
      <c r="W689" s="272"/>
      <c r="X689" s="272"/>
      <c r="Y689" s="272"/>
      <c r="Z689" s="224"/>
      <c r="AA689" s="224"/>
      <c r="AB689" s="224"/>
    </row>
    <row r="690" spans="1:28" ht="15.75" hidden="1" customHeight="1">
      <c r="A690" s="267">
        <v>44784</v>
      </c>
      <c r="B690" s="268" t="s">
        <v>6384</v>
      </c>
      <c r="C690" s="269">
        <v>2.5</v>
      </c>
      <c r="D690" s="269"/>
      <c r="E690" s="268" t="s">
        <v>6387</v>
      </c>
      <c r="F690" s="270" t="s">
        <v>4</v>
      </c>
      <c r="G690" s="268" t="s">
        <v>602</v>
      </c>
      <c r="H690" s="268"/>
      <c r="I690" s="268">
        <v>2.5</v>
      </c>
      <c r="J690" s="268" t="s">
        <v>727</v>
      </c>
      <c r="K690" s="268"/>
      <c r="L690" s="268">
        <v>2.5</v>
      </c>
      <c r="M690" s="268"/>
      <c r="N690" s="268"/>
      <c r="O690" s="268" t="s">
        <v>465</v>
      </c>
      <c r="P690" s="268" t="s">
        <v>575</v>
      </c>
      <c r="Q690" s="268"/>
      <c r="R690" s="268" t="s">
        <v>24</v>
      </c>
      <c r="S690" s="271"/>
      <c r="T690" s="271"/>
      <c r="U690" s="268"/>
      <c r="V690" s="268"/>
      <c r="W690" s="268"/>
      <c r="X690" s="268"/>
      <c r="Y690" s="268"/>
      <c r="Z690" s="219"/>
      <c r="AA690" s="219"/>
      <c r="AB690" s="219"/>
    </row>
    <row r="691" spans="1:28" ht="15.75" hidden="1" customHeight="1">
      <c r="A691" s="267">
        <v>44784</v>
      </c>
      <c r="B691" s="272" t="s">
        <v>6434</v>
      </c>
      <c r="C691" s="269">
        <v>2.5</v>
      </c>
      <c r="D691" s="269"/>
      <c r="E691" s="272" t="s">
        <v>10329</v>
      </c>
      <c r="F691" s="270" t="s">
        <v>4</v>
      </c>
      <c r="G691" s="272" t="s">
        <v>725</v>
      </c>
      <c r="H691" s="272"/>
      <c r="I691" s="272">
        <v>3</v>
      </c>
      <c r="J691" s="272" t="s">
        <v>727</v>
      </c>
      <c r="K691" s="272" t="s">
        <v>10330</v>
      </c>
      <c r="L691" s="272">
        <v>2</v>
      </c>
      <c r="M691" s="272"/>
      <c r="N691" s="272"/>
      <c r="O691" s="272" t="s">
        <v>452</v>
      </c>
      <c r="P691" s="272" t="s">
        <v>1119</v>
      </c>
      <c r="Q691" s="272"/>
      <c r="R691" s="272" t="s">
        <v>24</v>
      </c>
      <c r="S691" s="274"/>
      <c r="T691" s="274"/>
      <c r="U691" s="272"/>
      <c r="V691" s="272"/>
      <c r="W691" s="272"/>
      <c r="X691" s="272"/>
      <c r="Y691" s="272"/>
      <c r="Z691" s="224"/>
      <c r="AA691" s="224"/>
      <c r="AB691" s="224"/>
    </row>
    <row r="692" spans="1:28" ht="15.75" hidden="1" customHeight="1">
      <c r="A692" s="280">
        <v>44784</v>
      </c>
      <c r="B692" s="281" t="s">
        <v>9816</v>
      </c>
      <c r="C692" s="282">
        <v>2.5</v>
      </c>
      <c r="D692" s="282"/>
      <c r="E692" s="281" t="s">
        <v>9819</v>
      </c>
      <c r="F692" s="281" t="s">
        <v>3</v>
      </c>
      <c r="G692" s="281" t="s">
        <v>460</v>
      </c>
      <c r="H692" s="281" t="s">
        <v>9820</v>
      </c>
      <c r="I692" s="281">
        <v>3</v>
      </c>
      <c r="J692" s="281" t="s">
        <v>488</v>
      </c>
      <c r="K692" s="281" t="s">
        <v>11593</v>
      </c>
      <c r="L692" s="281">
        <v>2</v>
      </c>
      <c r="M692" s="281"/>
      <c r="N692" s="281"/>
      <c r="O692" s="281" t="s">
        <v>454</v>
      </c>
      <c r="P692" s="281" t="s">
        <v>452</v>
      </c>
      <c r="Q692" s="281"/>
      <c r="R692" s="281" t="s">
        <v>23</v>
      </c>
      <c r="S692" s="283" t="s">
        <v>9822</v>
      </c>
      <c r="T692" s="283"/>
      <c r="U692" s="281"/>
      <c r="V692" s="281"/>
      <c r="W692" s="281"/>
      <c r="X692" s="281"/>
      <c r="Y692" s="281"/>
      <c r="Z692" s="258"/>
      <c r="AA692" s="258"/>
      <c r="AB692" s="258"/>
    </row>
    <row r="693" spans="1:28" ht="15.75" customHeight="1">
      <c r="A693" s="491">
        <v>44784</v>
      </c>
      <c r="B693" s="488" t="s">
        <v>2566</v>
      </c>
      <c r="C693" s="488">
        <v>2.5</v>
      </c>
      <c r="D693" s="488"/>
      <c r="E693" s="488" t="s">
        <v>2569</v>
      </c>
      <c r="F693" s="488" t="s">
        <v>5</v>
      </c>
      <c r="G693" s="488" t="s">
        <v>447</v>
      </c>
      <c r="H693" s="488" t="s">
        <v>10417</v>
      </c>
      <c r="I693" s="488">
        <v>3</v>
      </c>
      <c r="J693" s="488" t="s">
        <v>622</v>
      </c>
      <c r="K693" s="488" t="s">
        <v>10418</v>
      </c>
      <c r="L693" s="488">
        <v>2</v>
      </c>
      <c r="M693" s="488" t="s">
        <v>451</v>
      </c>
      <c r="N693" s="535">
        <v>760000</v>
      </c>
      <c r="O693" s="488" t="s">
        <v>465</v>
      </c>
      <c r="P693" s="535" t="s">
        <v>11594</v>
      </c>
      <c r="Q693" s="488"/>
      <c r="R693" s="488" t="s">
        <v>24</v>
      </c>
      <c r="S693" s="488" t="s">
        <v>11595</v>
      </c>
      <c r="T693" s="488"/>
      <c r="U693" s="488"/>
      <c r="V693" s="488"/>
      <c r="W693" s="488"/>
      <c r="X693" s="488"/>
      <c r="Y693" s="488"/>
      <c r="Z693" s="258"/>
      <c r="AA693" s="258"/>
      <c r="AB693" s="258"/>
    </row>
    <row r="694" spans="1:28" ht="15.75" hidden="1" customHeight="1">
      <c r="A694" s="280">
        <v>44784</v>
      </c>
      <c r="B694" s="281" t="s">
        <v>8877</v>
      </c>
      <c r="C694" s="282">
        <v>2.5</v>
      </c>
      <c r="D694" s="282"/>
      <c r="E694" s="281" t="s">
        <v>10449</v>
      </c>
      <c r="F694" s="281" t="s">
        <v>3</v>
      </c>
      <c r="G694" s="281" t="s">
        <v>460</v>
      </c>
      <c r="H694" s="281" t="s">
        <v>8881</v>
      </c>
      <c r="I694" s="281">
        <v>3</v>
      </c>
      <c r="J694" s="281" t="s">
        <v>488</v>
      </c>
      <c r="K694" s="281" t="s">
        <v>8882</v>
      </c>
      <c r="L694" s="281">
        <v>2</v>
      </c>
      <c r="M694" s="281"/>
      <c r="N694" s="281"/>
      <c r="O694" s="281" t="s">
        <v>465</v>
      </c>
      <c r="P694" s="281" t="s">
        <v>8883</v>
      </c>
      <c r="Q694" s="281"/>
      <c r="R694" s="281" t="s">
        <v>24</v>
      </c>
      <c r="S694" s="283" t="s">
        <v>8884</v>
      </c>
      <c r="T694" s="283"/>
      <c r="U694" s="281"/>
      <c r="V694" s="281"/>
      <c r="W694" s="281"/>
      <c r="X694" s="281"/>
      <c r="Y694" s="281"/>
      <c r="Z694" s="258"/>
      <c r="AA694" s="258"/>
      <c r="AB694" s="258"/>
    </row>
    <row r="695" spans="1:28" ht="15.75" hidden="1" customHeight="1">
      <c r="A695" s="280">
        <v>44784</v>
      </c>
      <c r="B695" s="281" t="s">
        <v>8439</v>
      </c>
      <c r="C695" s="282">
        <v>2.5</v>
      </c>
      <c r="D695" s="282"/>
      <c r="E695" s="281" t="s">
        <v>8442</v>
      </c>
      <c r="F695" s="281" t="s">
        <v>3</v>
      </c>
      <c r="G695" s="281" t="s">
        <v>460</v>
      </c>
      <c r="H695" s="281" t="s">
        <v>8443</v>
      </c>
      <c r="I695" s="281">
        <v>2</v>
      </c>
      <c r="J695" s="281" t="s">
        <v>462</v>
      </c>
      <c r="K695" s="281" t="s">
        <v>8444</v>
      </c>
      <c r="L695" s="281">
        <v>3</v>
      </c>
      <c r="M695" s="281" t="s">
        <v>923</v>
      </c>
      <c r="N695" s="288">
        <v>5000000</v>
      </c>
      <c r="O695" s="281" t="s">
        <v>454</v>
      </c>
      <c r="P695" s="288" t="s">
        <v>8445</v>
      </c>
      <c r="Q695" s="281"/>
      <c r="R695" s="281" t="s">
        <v>24</v>
      </c>
      <c r="S695" s="283" t="s">
        <v>8446</v>
      </c>
      <c r="T695" s="283"/>
      <c r="U695" s="281"/>
      <c r="V695" s="281"/>
      <c r="W695" s="281"/>
      <c r="X695" s="281"/>
      <c r="Y695" s="281"/>
      <c r="Z695" s="258"/>
      <c r="AA695" s="258"/>
      <c r="AB695" s="258"/>
    </row>
    <row r="696" spans="1:28" ht="15.75" customHeight="1">
      <c r="A696" s="398">
        <v>44784</v>
      </c>
      <c r="B696" s="505" t="s">
        <v>2523</v>
      </c>
      <c r="C696" s="482">
        <v>2.5</v>
      </c>
      <c r="D696" s="482"/>
      <c r="E696" s="505" t="s">
        <v>10582</v>
      </c>
      <c r="F696" s="482" t="s">
        <v>5</v>
      </c>
      <c r="G696" s="505" t="s">
        <v>447</v>
      </c>
      <c r="H696" s="505" t="s">
        <v>11596</v>
      </c>
      <c r="I696" s="505">
        <v>1</v>
      </c>
      <c r="J696" s="505" t="s">
        <v>622</v>
      </c>
      <c r="K696" s="505"/>
      <c r="L696" s="505">
        <v>4</v>
      </c>
      <c r="M696" s="505" t="s">
        <v>478</v>
      </c>
      <c r="N696" s="505" t="s">
        <v>2527</v>
      </c>
      <c r="O696" s="505" t="s">
        <v>452</v>
      </c>
      <c r="P696" s="505" t="s">
        <v>1119</v>
      </c>
      <c r="Q696" s="505"/>
      <c r="R696" s="505" t="s">
        <v>24</v>
      </c>
      <c r="S696" s="505"/>
      <c r="T696" s="505"/>
      <c r="U696" s="505"/>
      <c r="V696" s="505"/>
      <c r="W696" s="505"/>
      <c r="X696" s="505"/>
      <c r="Y696" s="505"/>
      <c r="Z696" s="219"/>
      <c r="AA696" s="219"/>
      <c r="AB696" s="219"/>
    </row>
    <row r="697" spans="1:28" ht="15.75" customHeight="1">
      <c r="A697" s="398">
        <v>44784</v>
      </c>
      <c r="B697" s="481" t="s">
        <v>3206</v>
      </c>
      <c r="C697" s="482">
        <v>2.5</v>
      </c>
      <c r="D697" s="482"/>
      <c r="E697" s="481" t="s">
        <v>3209</v>
      </c>
      <c r="F697" s="482" t="s">
        <v>5</v>
      </c>
      <c r="G697" s="481" t="s">
        <v>447</v>
      </c>
      <c r="H697" s="481" t="s">
        <v>10640</v>
      </c>
      <c r="I697" s="481">
        <v>2</v>
      </c>
      <c r="J697" s="481" t="s">
        <v>449</v>
      </c>
      <c r="K697" s="481" t="s">
        <v>11597</v>
      </c>
      <c r="L697" s="481">
        <v>3</v>
      </c>
      <c r="M697" s="481" t="s">
        <v>451</v>
      </c>
      <c r="N697" s="483">
        <v>3000000</v>
      </c>
      <c r="O697" s="481" t="s">
        <v>452</v>
      </c>
      <c r="P697" s="483" t="s">
        <v>452</v>
      </c>
      <c r="Q697" s="481" t="s">
        <v>3212</v>
      </c>
      <c r="R697" s="481" t="s">
        <v>24</v>
      </c>
      <c r="S697" s="481"/>
      <c r="T697" s="481"/>
      <c r="U697" s="481"/>
      <c r="V697" s="481"/>
      <c r="W697" s="481"/>
      <c r="X697" s="481"/>
      <c r="Y697" s="481"/>
      <c r="Z697" s="224"/>
      <c r="AA697" s="224"/>
      <c r="AB697" s="224"/>
    </row>
    <row r="698" spans="1:28" ht="15.75" customHeight="1">
      <c r="A698" s="487">
        <v>44784</v>
      </c>
      <c r="B698" s="488" t="s">
        <v>121</v>
      </c>
      <c r="C698" s="488">
        <v>2.5</v>
      </c>
      <c r="D698" s="250" t="str">
        <f ca="1">IFERROR(VLOOKUP(B698,'2022-2023 Third Reviews'!$C:$S,9,FALSE),"")</f>
        <v>Ahmed Bahgat
5</v>
      </c>
      <c r="E698" s="488" t="s">
        <v>3099</v>
      </c>
      <c r="F698" s="488" t="s">
        <v>5</v>
      </c>
      <c r="G698" s="488" t="s">
        <v>460</v>
      </c>
      <c r="H698" s="488" t="s">
        <v>3100</v>
      </c>
      <c r="I698" s="488">
        <v>2</v>
      </c>
      <c r="J698" s="488" t="s">
        <v>941</v>
      </c>
      <c r="K698" s="488" t="s">
        <v>3101</v>
      </c>
      <c r="L698" s="488">
        <v>3</v>
      </c>
      <c r="M698" s="488" t="s">
        <v>973</v>
      </c>
      <c r="N698" s="493">
        <v>3000000</v>
      </c>
      <c r="O698" s="488" t="s">
        <v>452</v>
      </c>
      <c r="P698" s="493" t="s">
        <v>575</v>
      </c>
      <c r="Q698" s="488"/>
      <c r="R698" s="488" t="s">
        <v>24</v>
      </c>
      <c r="S698" s="488" t="s">
        <v>3102</v>
      </c>
      <c r="T698" s="488" t="s">
        <v>11842</v>
      </c>
      <c r="U698" s="488"/>
      <c r="V698" s="488"/>
      <c r="W698" s="488"/>
      <c r="X698" s="488"/>
      <c r="Y698" s="488"/>
      <c r="Z698" s="489"/>
      <c r="AA698" s="489"/>
      <c r="AB698" s="489"/>
    </row>
    <row r="699" spans="1:28" ht="15.75" hidden="1" customHeight="1">
      <c r="A699" s="267">
        <v>44784</v>
      </c>
      <c r="B699" s="272" t="s">
        <v>6417</v>
      </c>
      <c r="C699" s="269">
        <v>2.5</v>
      </c>
      <c r="D699" s="269"/>
      <c r="E699" s="272" t="s">
        <v>10959</v>
      </c>
      <c r="F699" s="270" t="s">
        <v>4</v>
      </c>
      <c r="G699" s="272" t="s">
        <v>602</v>
      </c>
      <c r="H699" s="272" t="s">
        <v>6421</v>
      </c>
      <c r="I699" s="272">
        <v>2</v>
      </c>
      <c r="J699" s="272" t="s">
        <v>476</v>
      </c>
      <c r="K699" s="272" t="s">
        <v>11598</v>
      </c>
      <c r="L699" s="272">
        <v>3</v>
      </c>
      <c r="M699" s="272" t="s">
        <v>784</v>
      </c>
      <c r="N699" s="272">
        <v>500000</v>
      </c>
      <c r="O699" s="272" t="s">
        <v>452</v>
      </c>
      <c r="P699" s="272" t="s">
        <v>452</v>
      </c>
      <c r="Q699" s="272"/>
      <c r="R699" s="272" t="s">
        <v>24</v>
      </c>
      <c r="S699" s="274"/>
      <c r="T699" s="274"/>
      <c r="U699" s="272"/>
      <c r="V699" s="272"/>
      <c r="W699" s="272"/>
      <c r="X699" s="272"/>
      <c r="Y699" s="272"/>
      <c r="Z699" s="224"/>
      <c r="AA699" s="224"/>
      <c r="AB699" s="224"/>
    </row>
    <row r="700" spans="1:28" ht="15.75" hidden="1" customHeight="1">
      <c r="A700" s="267">
        <v>44784</v>
      </c>
      <c r="B700" s="268" t="s">
        <v>6253</v>
      </c>
      <c r="C700" s="269">
        <v>2.5</v>
      </c>
      <c r="D700" s="269"/>
      <c r="E700" s="268" t="s">
        <v>6256</v>
      </c>
      <c r="F700" s="270" t="s">
        <v>4</v>
      </c>
      <c r="G700" s="268" t="s">
        <v>602</v>
      </c>
      <c r="H700" s="268" t="s">
        <v>6257</v>
      </c>
      <c r="I700" s="268">
        <v>2</v>
      </c>
      <c r="J700" s="268" t="s">
        <v>476</v>
      </c>
      <c r="K700" s="268" t="s">
        <v>13400</v>
      </c>
      <c r="L700" s="268">
        <v>3</v>
      </c>
      <c r="M700" s="268"/>
      <c r="N700" s="268"/>
      <c r="O700" s="268" t="s">
        <v>452</v>
      </c>
      <c r="P700" s="300" t="s">
        <v>6259</v>
      </c>
      <c r="Q700" s="268" t="s">
        <v>6260</v>
      </c>
      <c r="R700" s="268" t="s">
        <v>24</v>
      </c>
      <c r="S700" s="271"/>
      <c r="T700" s="271"/>
      <c r="U700" s="268"/>
      <c r="V700" s="268"/>
      <c r="W700" s="268"/>
      <c r="X700" s="268"/>
      <c r="Y700" s="268"/>
      <c r="Z700" s="219"/>
      <c r="AA700" s="219"/>
      <c r="AB700" s="219"/>
    </row>
    <row r="701" spans="1:28" ht="15.75" hidden="1" customHeight="1">
      <c r="A701" s="267">
        <v>44784</v>
      </c>
      <c r="B701" s="272" t="s">
        <v>6139</v>
      </c>
      <c r="C701" s="269">
        <v>2.5</v>
      </c>
      <c r="D701" s="269"/>
      <c r="E701" s="272" t="s">
        <v>6142</v>
      </c>
      <c r="F701" s="270" t="s">
        <v>4</v>
      </c>
      <c r="G701" s="272" t="s">
        <v>602</v>
      </c>
      <c r="H701" s="272" t="s">
        <v>6143</v>
      </c>
      <c r="I701" s="272">
        <v>3</v>
      </c>
      <c r="J701" s="272" t="s">
        <v>1054</v>
      </c>
      <c r="K701" s="272" t="s">
        <v>6144</v>
      </c>
      <c r="L701" s="272">
        <v>2</v>
      </c>
      <c r="M701" s="272" t="s">
        <v>451</v>
      </c>
      <c r="N701" s="272">
        <v>750000</v>
      </c>
      <c r="O701" s="272" t="s">
        <v>465</v>
      </c>
      <c r="P701" s="272" t="s">
        <v>6145</v>
      </c>
      <c r="Q701" s="272"/>
      <c r="R701" s="272" t="s">
        <v>24</v>
      </c>
      <c r="S701" s="274"/>
      <c r="T701" s="274"/>
      <c r="U701" s="272"/>
      <c r="V701" s="272"/>
      <c r="W701" s="272"/>
      <c r="X701" s="272"/>
      <c r="Y701" s="272"/>
      <c r="Z701" s="224"/>
      <c r="AA701" s="224"/>
      <c r="AB701" s="224"/>
    </row>
    <row r="702" spans="1:28" ht="15.75" hidden="1" customHeight="1">
      <c r="A702" s="267">
        <v>44784</v>
      </c>
      <c r="B702" s="268" t="s">
        <v>8323</v>
      </c>
      <c r="C702" s="269">
        <v>2.5</v>
      </c>
      <c r="D702" s="269"/>
      <c r="E702" s="268" t="s">
        <v>8326</v>
      </c>
      <c r="F702" s="270" t="s">
        <v>3</v>
      </c>
      <c r="G702" s="268" t="s">
        <v>460</v>
      </c>
      <c r="H702" s="268" t="s">
        <v>8327</v>
      </c>
      <c r="I702" s="268">
        <v>2</v>
      </c>
      <c r="J702" s="268" t="s">
        <v>488</v>
      </c>
      <c r="K702" s="268" t="s">
        <v>8328</v>
      </c>
      <c r="L702" s="268">
        <v>3</v>
      </c>
      <c r="M702" s="268" t="s">
        <v>784</v>
      </c>
      <c r="N702" s="268" t="s">
        <v>8329</v>
      </c>
      <c r="O702" s="268" t="s">
        <v>452</v>
      </c>
      <c r="P702" s="268" t="s">
        <v>8330</v>
      </c>
      <c r="Q702" s="268" t="s">
        <v>8331</v>
      </c>
      <c r="R702" s="268" t="s">
        <v>24</v>
      </c>
      <c r="S702" s="271"/>
      <c r="T702" s="271"/>
      <c r="U702" s="268"/>
      <c r="V702" s="268"/>
      <c r="W702" s="268"/>
      <c r="X702" s="268"/>
      <c r="Y702" s="268"/>
      <c r="Z702" s="219"/>
      <c r="AA702" s="219"/>
      <c r="AB702" s="219"/>
    </row>
    <row r="703" spans="1:28" ht="15.75" hidden="1" customHeight="1">
      <c r="A703" s="253">
        <v>44789</v>
      </c>
      <c r="B703" s="224" t="s">
        <v>10435</v>
      </c>
      <c r="C703" s="249">
        <v>2.5</v>
      </c>
      <c r="D703" s="249"/>
      <c r="E703" s="224" t="s">
        <v>8371</v>
      </c>
      <c r="F703" s="250" t="s">
        <v>3</v>
      </c>
      <c r="G703" s="224" t="s">
        <v>460</v>
      </c>
      <c r="H703" s="224" t="s">
        <v>8372</v>
      </c>
      <c r="I703" s="224">
        <v>2</v>
      </c>
      <c r="J703" s="224" t="s">
        <v>488</v>
      </c>
      <c r="K703" s="224" t="s">
        <v>10436</v>
      </c>
      <c r="L703" s="224">
        <v>3</v>
      </c>
      <c r="M703" s="224" t="s">
        <v>451</v>
      </c>
      <c r="N703" s="224" t="s">
        <v>8374</v>
      </c>
      <c r="O703" s="224" t="s">
        <v>452</v>
      </c>
      <c r="P703" s="224" t="s">
        <v>575</v>
      </c>
      <c r="Q703" s="224"/>
      <c r="R703" s="224" t="s">
        <v>24</v>
      </c>
      <c r="S703" s="254"/>
      <c r="T703" s="254"/>
      <c r="U703" s="252"/>
      <c r="V703" s="252"/>
      <c r="W703" s="252"/>
      <c r="X703" s="224"/>
      <c r="Y703" s="224"/>
      <c r="Z703" s="224"/>
      <c r="AA703" s="224"/>
      <c r="AB703" s="224"/>
    </row>
    <row r="704" spans="1:28" ht="15.75" customHeight="1">
      <c r="A704" s="248">
        <v>44789</v>
      </c>
      <c r="B704" s="219" t="s">
        <v>3330</v>
      </c>
      <c r="C704" s="250">
        <v>2.5</v>
      </c>
      <c r="D704" s="250"/>
      <c r="E704" s="219" t="s">
        <v>3333</v>
      </c>
      <c r="F704" s="250" t="s">
        <v>5</v>
      </c>
      <c r="G704" s="219" t="s">
        <v>447</v>
      </c>
      <c r="H704" s="219" t="s">
        <v>10870</v>
      </c>
      <c r="I704" s="219">
        <v>3</v>
      </c>
      <c r="J704" s="219" t="s">
        <v>449</v>
      </c>
      <c r="K704" s="219" t="s">
        <v>13400</v>
      </c>
      <c r="L704" s="219">
        <v>2</v>
      </c>
      <c r="M704" s="219" t="s">
        <v>784</v>
      </c>
      <c r="N704" s="219" t="s">
        <v>3336</v>
      </c>
      <c r="O704" s="219" t="s">
        <v>454</v>
      </c>
      <c r="P704" s="219" t="s">
        <v>10872</v>
      </c>
      <c r="Q704" s="219"/>
      <c r="R704" s="219" t="s">
        <v>24</v>
      </c>
      <c r="S704" s="219"/>
      <c r="T704" s="219"/>
      <c r="U704" s="252"/>
      <c r="V704" s="252"/>
      <c r="W704" s="252"/>
      <c r="X704" s="219"/>
      <c r="Y704" s="219"/>
      <c r="Z704" s="219"/>
      <c r="AA704" s="219"/>
      <c r="AB704" s="219"/>
    </row>
    <row r="705" spans="1:28" ht="15.75" hidden="1" customHeight="1">
      <c r="A705" s="253">
        <v>44789</v>
      </c>
      <c r="B705" s="224" t="s">
        <v>6263</v>
      </c>
      <c r="C705" s="249">
        <v>2.5</v>
      </c>
      <c r="D705" s="249"/>
      <c r="E705" s="224" t="s">
        <v>10917</v>
      </c>
      <c r="F705" s="250" t="s">
        <v>4</v>
      </c>
      <c r="G705" s="224" t="s">
        <v>1045</v>
      </c>
      <c r="H705" s="224" t="s">
        <v>6267</v>
      </c>
      <c r="I705" s="224">
        <v>2</v>
      </c>
      <c r="J705" s="224" t="s">
        <v>1054</v>
      </c>
      <c r="K705" s="224" t="s">
        <v>10918</v>
      </c>
      <c r="L705" s="224">
        <v>3</v>
      </c>
      <c r="M705" s="224" t="s">
        <v>451</v>
      </c>
      <c r="N705" s="311" t="s">
        <v>729</v>
      </c>
      <c r="O705" s="224" t="s">
        <v>452</v>
      </c>
      <c r="P705" s="224" t="s">
        <v>452</v>
      </c>
      <c r="Q705" s="224"/>
      <c r="R705" s="224" t="s">
        <v>24</v>
      </c>
      <c r="S705" s="254"/>
      <c r="T705" s="254"/>
      <c r="U705" s="252"/>
      <c r="V705" s="252"/>
      <c r="W705" s="252"/>
      <c r="X705" s="224"/>
      <c r="Y705" s="224"/>
      <c r="Z705" s="224"/>
      <c r="AA705" s="224"/>
      <c r="AB705" s="224"/>
    </row>
    <row r="706" spans="1:28" ht="15.75" hidden="1" customHeight="1">
      <c r="A706" s="248">
        <v>44789</v>
      </c>
      <c r="B706" s="219" t="s">
        <v>8798</v>
      </c>
      <c r="C706" s="249">
        <v>2.5</v>
      </c>
      <c r="D706" s="249"/>
      <c r="E706" s="219" t="s">
        <v>8801</v>
      </c>
      <c r="F706" s="250" t="s">
        <v>3</v>
      </c>
      <c r="G706" s="219" t="s">
        <v>460</v>
      </c>
      <c r="H706" s="219" t="s">
        <v>8802</v>
      </c>
      <c r="I706" s="219">
        <v>3</v>
      </c>
      <c r="J706" s="219" t="s">
        <v>941</v>
      </c>
      <c r="K706" s="219" t="s">
        <v>8803</v>
      </c>
      <c r="L706" s="219">
        <v>2</v>
      </c>
      <c r="M706" s="219"/>
      <c r="N706" s="219"/>
      <c r="O706" s="219" t="s">
        <v>465</v>
      </c>
      <c r="P706" s="219" t="s">
        <v>10919</v>
      </c>
      <c r="Q706" s="219"/>
      <c r="R706" s="219" t="s">
        <v>24</v>
      </c>
      <c r="S706" s="251"/>
      <c r="T706" s="251"/>
      <c r="U706" s="252"/>
      <c r="V706" s="252"/>
      <c r="W706" s="252"/>
      <c r="X706" s="219"/>
      <c r="Y706" s="219"/>
      <c r="Z706" s="219"/>
      <c r="AA706" s="219"/>
      <c r="AB706" s="219"/>
    </row>
    <row r="707" spans="1:28" ht="15.75" hidden="1" customHeight="1">
      <c r="A707" s="253">
        <v>44789</v>
      </c>
      <c r="B707" s="224" t="s">
        <v>6339</v>
      </c>
      <c r="C707" s="249">
        <v>2.5</v>
      </c>
      <c r="D707" s="249"/>
      <c r="E707" s="224" t="s">
        <v>6342</v>
      </c>
      <c r="F707" s="250" t="s">
        <v>4</v>
      </c>
      <c r="G707" s="224" t="s">
        <v>602</v>
      </c>
      <c r="H707" s="224" t="s">
        <v>6343</v>
      </c>
      <c r="I707" s="224">
        <v>3</v>
      </c>
      <c r="J707" s="224" t="s">
        <v>1054</v>
      </c>
      <c r="K707" s="224" t="s">
        <v>6344</v>
      </c>
      <c r="L707" s="224">
        <v>2</v>
      </c>
      <c r="M707" s="224" t="s">
        <v>451</v>
      </c>
      <c r="N707" s="224" t="s">
        <v>6345</v>
      </c>
      <c r="O707" s="224" t="s">
        <v>452</v>
      </c>
      <c r="P707" s="224" t="s">
        <v>452</v>
      </c>
      <c r="Q707" s="224"/>
      <c r="R707" s="224" t="s">
        <v>24</v>
      </c>
      <c r="S707" s="254"/>
      <c r="T707" s="254"/>
      <c r="U707" s="252"/>
      <c r="V707" s="252"/>
      <c r="W707" s="252"/>
      <c r="X707" s="224"/>
      <c r="Y707" s="224"/>
      <c r="Z707" s="224"/>
      <c r="AA707" s="224"/>
      <c r="AB707" s="224"/>
    </row>
    <row r="708" spans="1:28" ht="15.75" hidden="1" customHeight="1">
      <c r="A708" s="248">
        <v>44789</v>
      </c>
      <c r="B708" s="219" t="s">
        <v>9114</v>
      </c>
      <c r="C708" s="249">
        <v>2.5</v>
      </c>
      <c r="D708" s="249"/>
      <c r="E708" s="219"/>
      <c r="F708" s="250" t="s">
        <v>3</v>
      </c>
      <c r="G708" s="219" t="s">
        <v>488</v>
      </c>
      <c r="H708" s="219" t="s">
        <v>11319</v>
      </c>
      <c r="I708" s="219">
        <v>3</v>
      </c>
      <c r="J708" s="219" t="s">
        <v>941</v>
      </c>
      <c r="K708" s="219" t="s">
        <v>9118</v>
      </c>
      <c r="L708" s="219">
        <v>2</v>
      </c>
      <c r="M708" s="219" t="s">
        <v>2190</v>
      </c>
      <c r="N708" s="219" t="s">
        <v>9119</v>
      </c>
      <c r="O708" s="219" t="s">
        <v>452</v>
      </c>
      <c r="P708" s="219" t="s">
        <v>9120</v>
      </c>
      <c r="Q708" s="219" t="s">
        <v>9121</v>
      </c>
      <c r="R708" s="219" t="s">
        <v>24</v>
      </c>
      <c r="S708" s="251"/>
      <c r="T708" s="251"/>
      <c r="U708" s="252"/>
      <c r="V708" s="252"/>
      <c r="W708" s="252"/>
      <c r="X708" s="219"/>
      <c r="Y708" s="219"/>
      <c r="Z708" s="219"/>
      <c r="AA708" s="219"/>
      <c r="AB708" s="219"/>
    </row>
    <row r="709" spans="1:28" ht="15.75" hidden="1" customHeight="1">
      <c r="A709" s="253">
        <v>44789</v>
      </c>
      <c r="B709" s="224" t="s">
        <v>13177</v>
      </c>
      <c r="C709" s="249">
        <v>2.5</v>
      </c>
      <c r="D709" s="249"/>
      <c r="E709" s="224" t="s">
        <v>6454</v>
      </c>
      <c r="F709" s="250" t="s">
        <v>4</v>
      </c>
      <c r="G709" s="224" t="s">
        <v>727</v>
      </c>
      <c r="H709" s="224" t="s">
        <v>6455</v>
      </c>
      <c r="I709" s="224">
        <v>2.5</v>
      </c>
      <c r="J709" s="224" t="s">
        <v>1045</v>
      </c>
      <c r="K709" s="224" t="s">
        <v>6456</v>
      </c>
      <c r="L709" s="224">
        <v>2.5</v>
      </c>
      <c r="M709" s="224" t="s">
        <v>784</v>
      </c>
      <c r="N709" s="307">
        <v>1200000</v>
      </c>
      <c r="O709" s="224" t="s">
        <v>452</v>
      </c>
      <c r="P709" s="224" t="s">
        <v>1119</v>
      </c>
      <c r="Q709" s="224"/>
      <c r="R709" s="224" t="s">
        <v>24</v>
      </c>
      <c r="S709" s="254"/>
      <c r="T709" s="254"/>
      <c r="U709" s="252"/>
      <c r="V709" s="252"/>
      <c r="W709" s="252"/>
      <c r="X709" s="224"/>
      <c r="Y709" s="224"/>
      <c r="Z709" s="224"/>
      <c r="AA709" s="224"/>
      <c r="AB709" s="224"/>
    </row>
    <row r="710" spans="1:28" ht="15.75" hidden="1" customHeight="1">
      <c r="A710" s="248">
        <v>44789</v>
      </c>
      <c r="B710" s="219" t="s">
        <v>6208</v>
      </c>
      <c r="C710" s="249">
        <v>2.5</v>
      </c>
      <c r="D710" s="249"/>
      <c r="E710" s="219" t="s">
        <v>6211</v>
      </c>
      <c r="F710" s="250" t="s">
        <v>4</v>
      </c>
      <c r="G710" s="219" t="s">
        <v>727</v>
      </c>
      <c r="H710" s="219" t="s">
        <v>10225</v>
      </c>
      <c r="I710" s="219">
        <v>3</v>
      </c>
      <c r="J710" s="219" t="s">
        <v>1045</v>
      </c>
      <c r="K710" s="219" t="s">
        <v>6213</v>
      </c>
      <c r="L710" s="219">
        <v>2</v>
      </c>
      <c r="M710" s="219" t="s">
        <v>451</v>
      </c>
      <c r="N710" s="219">
        <v>1000000</v>
      </c>
      <c r="O710" s="219" t="s">
        <v>465</v>
      </c>
      <c r="P710" s="219" t="s">
        <v>6214</v>
      </c>
      <c r="Q710" s="219" t="s">
        <v>6215</v>
      </c>
      <c r="R710" s="219" t="s">
        <v>24</v>
      </c>
      <c r="S710" s="251"/>
      <c r="T710" s="251"/>
      <c r="U710" s="252"/>
      <c r="V710" s="252"/>
      <c r="W710" s="252"/>
      <c r="X710" s="219"/>
      <c r="Y710" s="219"/>
      <c r="Z710" s="219"/>
      <c r="AA710" s="219"/>
      <c r="AB710" s="219"/>
    </row>
    <row r="711" spans="1:28" ht="15.75" hidden="1" customHeight="1">
      <c r="A711" s="253">
        <v>44789</v>
      </c>
      <c r="B711" s="224" t="s">
        <v>6581</v>
      </c>
      <c r="C711" s="249">
        <v>2.5</v>
      </c>
      <c r="D711" s="249"/>
      <c r="E711" s="224" t="s">
        <v>6584</v>
      </c>
      <c r="F711" s="250" t="s">
        <v>4</v>
      </c>
      <c r="G711" s="224" t="s">
        <v>602</v>
      </c>
      <c r="H711" s="224" t="s">
        <v>6585</v>
      </c>
      <c r="I711" s="224">
        <v>2.5</v>
      </c>
      <c r="J711" s="224" t="s">
        <v>1045</v>
      </c>
      <c r="K711" s="224" t="s">
        <v>6586</v>
      </c>
      <c r="L711" s="224">
        <v>2.5</v>
      </c>
      <c r="M711" s="224"/>
      <c r="N711" s="224"/>
      <c r="O711" s="224" t="s">
        <v>452</v>
      </c>
      <c r="P711" s="224" t="s">
        <v>10904</v>
      </c>
      <c r="Q711" s="224"/>
      <c r="R711" s="224" t="s">
        <v>24</v>
      </c>
      <c r="S711" s="254"/>
      <c r="T711" s="254"/>
      <c r="U711" s="252"/>
      <c r="V711" s="252"/>
      <c r="W711" s="252"/>
      <c r="X711" s="224"/>
      <c r="Y711" s="224"/>
      <c r="Z711" s="224"/>
      <c r="AA711" s="224"/>
      <c r="AB711" s="224"/>
    </row>
    <row r="712" spans="1:28" ht="15.75" hidden="1" customHeight="1">
      <c r="A712" s="248">
        <v>44791</v>
      </c>
      <c r="B712" s="219" t="s">
        <v>8747</v>
      </c>
      <c r="C712" s="315">
        <v>2.5</v>
      </c>
      <c r="D712" s="315"/>
      <c r="E712" s="219" t="s">
        <v>8750</v>
      </c>
      <c r="F712" s="219" t="s">
        <v>3</v>
      </c>
      <c r="G712" s="219" t="s">
        <v>460</v>
      </c>
      <c r="H712" s="219" t="s">
        <v>8751</v>
      </c>
      <c r="I712" s="219">
        <v>2</v>
      </c>
      <c r="J712" s="219" t="s">
        <v>941</v>
      </c>
      <c r="K712" s="219" t="s">
        <v>8752</v>
      </c>
      <c r="L712" s="219">
        <v>3</v>
      </c>
      <c r="M712" s="219" t="s">
        <v>451</v>
      </c>
      <c r="N712" s="312">
        <v>2000000</v>
      </c>
      <c r="O712" s="219" t="s">
        <v>452</v>
      </c>
      <c r="P712" s="219" t="s">
        <v>10245</v>
      </c>
      <c r="Q712" s="219"/>
      <c r="R712" s="322" t="s">
        <v>24</v>
      </c>
      <c r="S712" s="251"/>
      <c r="T712" s="251"/>
      <c r="U712" s="219"/>
      <c r="V712" s="219"/>
      <c r="W712" s="219"/>
      <c r="X712" s="219"/>
      <c r="Y712" s="219"/>
      <c r="Z712" s="219"/>
      <c r="AA712" s="219"/>
      <c r="AB712" s="219"/>
    </row>
    <row r="713" spans="1:28" ht="15.75" hidden="1" customHeight="1">
      <c r="A713" s="253">
        <v>44791</v>
      </c>
      <c r="B713" s="224" t="s">
        <v>8526</v>
      </c>
      <c r="C713" s="316">
        <v>2.5</v>
      </c>
      <c r="D713" s="316"/>
      <c r="E713" s="224" t="s">
        <v>8529</v>
      </c>
      <c r="F713" s="224" t="s">
        <v>3</v>
      </c>
      <c r="G713" s="224" t="s">
        <v>725</v>
      </c>
      <c r="H713" s="224" t="s">
        <v>10550</v>
      </c>
      <c r="I713" s="224">
        <v>3</v>
      </c>
      <c r="J713" s="224" t="s">
        <v>941</v>
      </c>
      <c r="K713" s="224"/>
      <c r="L713" s="224">
        <v>2</v>
      </c>
      <c r="M713" s="224"/>
      <c r="N713" s="311"/>
      <c r="O713" s="224" t="s">
        <v>452</v>
      </c>
      <c r="P713" s="224" t="s">
        <v>452</v>
      </c>
      <c r="Q713" s="224"/>
      <c r="R713" s="322" t="s">
        <v>24</v>
      </c>
      <c r="S713" s="254"/>
      <c r="T713" s="254"/>
      <c r="U713" s="224"/>
      <c r="V713" s="224"/>
      <c r="W713" s="224"/>
      <c r="X713" s="224"/>
      <c r="Y713" s="224"/>
      <c r="Z713" s="224"/>
      <c r="AA713" s="224"/>
      <c r="AB713" s="224"/>
    </row>
    <row r="714" spans="1:28" ht="15.75" hidden="1" customHeight="1">
      <c r="A714" s="248">
        <v>44791</v>
      </c>
      <c r="B714" s="219" t="s">
        <v>9604</v>
      </c>
      <c r="C714" s="315">
        <v>2.5</v>
      </c>
      <c r="D714" s="315"/>
      <c r="E714" s="219" t="s">
        <v>9607</v>
      </c>
      <c r="F714" s="219" t="s">
        <v>4</v>
      </c>
      <c r="G714" s="219" t="s">
        <v>727</v>
      </c>
      <c r="H714" s="219" t="s">
        <v>10560</v>
      </c>
      <c r="I714" s="219">
        <v>3</v>
      </c>
      <c r="J714" s="219" t="s">
        <v>1298</v>
      </c>
      <c r="K714" s="219" t="s">
        <v>9609</v>
      </c>
      <c r="L714" s="219">
        <v>2</v>
      </c>
      <c r="M714" s="219"/>
      <c r="N714" s="219"/>
      <c r="O714" s="219" t="s">
        <v>452</v>
      </c>
      <c r="P714" s="219" t="s">
        <v>575</v>
      </c>
      <c r="Q714" s="219" t="s">
        <v>727</v>
      </c>
      <c r="R714" s="219" t="s">
        <v>23</v>
      </c>
      <c r="S714" s="251"/>
      <c r="T714" s="251"/>
      <c r="U714" s="219"/>
      <c r="V714" s="219"/>
      <c r="W714" s="219"/>
      <c r="X714" s="219"/>
      <c r="Y714" s="219"/>
      <c r="Z714" s="219"/>
      <c r="AA714" s="219"/>
      <c r="AB714" s="219"/>
    </row>
    <row r="715" spans="1:28" ht="15.75" hidden="1" customHeight="1">
      <c r="A715" s="253">
        <v>44791</v>
      </c>
      <c r="B715" s="224" t="s">
        <v>6330</v>
      </c>
      <c r="C715" s="316">
        <v>2.5</v>
      </c>
      <c r="D715" s="316"/>
      <c r="E715" s="224" t="s">
        <v>6333</v>
      </c>
      <c r="F715" s="224" t="s">
        <v>4</v>
      </c>
      <c r="G715" s="224" t="s">
        <v>727</v>
      </c>
      <c r="H715" s="224" t="s">
        <v>10687</v>
      </c>
      <c r="I715" s="224">
        <v>2</v>
      </c>
      <c r="J715" s="224" t="s">
        <v>1281</v>
      </c>
      <c r="K715" s="224" t="s">
        <v>6335</v>
      </c>
      <c r="L715" s="224">
        <v>3</v>
      </c>
      <c r="M715" s="224"/>
      <c r="N715" s="224"/>
      <c r="O715" s="224" t="s">
        <v>452</v>
      </c>
      <c r="P715" s="224" t="s">
        <v>6336</v>
      </c>
      <c r="Q715" s="224"/>
      <c r="R715" s="322" t="s">
        <v>24</v>
      </c>
      <c r="S715" s="254"/>
      <c r="T715" s="254"/>
      <c r="U715" s="224"/>
      <c r="V715" s="224"/>
      <c r="W715" s="224"/>
      <c r="X715" s="224"/>
      <c r="Y715" s="224"/>
      <c r="Z715" s="224"/>
      <c r="AA715" s="224"/>
      <c r="AB715" s="224"/>
    </row>
    <row r="716" spans="1:28" ht="15.75" hidden="1" customHeight="1">
      <c r="A716" s="248">
        <v>44791</v>
      </c>
      <c r="B716" s="219" t="s">
        <v>6245</v>
      </c>
      <c r="C716" s="315">
        <v>2.5</v>
      </c>
      <c r="D716" s="315"/>
      <c r="E716" s="219" t="s">
        <v>6248</v>
      </c>
      <c r="F716" s="219" t="s">
        <v>4</v>
      </c>
      <c r="G716" s="219" t="s">
        <v>602</v>
      </c>
      <c r="H716" s="219" t="s">
        <v>6249</v>
      </c>
      <c r="I716" s="219">
        <v>3.5</v>
      </c>
      <c r="J716" s="219" t="s">
        <v>476</v>
      </c>
      <c r="K716" s="219" t="s">
        <v>11020</v>
      </c>
      <c r="L716" s="219">
        <v>1.5</v>
      </c>
      <c r="M716" s="219" t="s">
        <v>451</v>
      </c>
      <c r="N716" s="219" t="s">
        <v>3555</v>
      </c>
      <c r="O716" s="219" t="s">
        <v>452</v>
      </c>
      <c r="P716" s="219" t="s">
        <v>452</v>
      </c>
      <c r="Q716" s="219"/>
      <c r="R716" s="322" t="s">
        <v>24</v>
      </c>
      <c r="S716" s="251"/>
      <c r="T716" s="251"/>
      <c r="U716" s="219"/>
      <c r="V716" s="219"/>
      <c r="W716" s="219"/>
      <c r="X716" s="219"/>
      <c r="Y716" s="219"/>
      <c r="Z716" s="219"/>
      <c r="AA716" s="219"/>
      <c r="AB716" s="219"/>
    </row>
    <row r="717" spans="1:28" ht="15.75" hidden="1" customHeight="1">
      <c r="A717" s="253">
        <v>44791</v>
      </c>
      <c r="B717" s="224" t="s">
        <v>6235</v>
      </c>
      <c r="C717" s="316">
        <v>2.5</v>
      </c>
      <c r="D717" s="316"/>
      <c r="E717" s="224" t="s">
        <v>6238</v>
      </c>
      <c r="F717" s="224" t="s">
        <v>4</v>
      </c>
      <c r="G717" s="224" t="s">
        <v>725</v>
      </c>
      <c r="H717" s="224" t="s">
        <v>11142</v>
      </c>
      <c r="I717" s="224">
        <v>3</v>
      </c>
      <c r="J717" s="224" t="s">
        <v>476</v>
      </c>
      <c r="K717" s="224" t="s">
        <v>11143</v>
      </c>
      <c r="L717" s="224">
        <v>2</v>
      </c>
      <c r="M717" s="224" t="s">
        <v>451</v>
      </c>
      <c r="N717" s="224" t="s">
        <v>6241</v>
      </c>
      <c r="O717" s="224" t="s">
        <v>452</v>
      </c>
      <c r="P717" s="224" t="s">
        <v>6242</v>
      </c>
      <c r="Q717" s="224"/>
      <c r="R717" s="322" t="s">
        <v>24</v>
      </c>
      <c r="S717" s="254"/>
      <c r="T717" s="254"/>
      <c r="U717" s="224"/>
      <c r="V717" s="224"/>
      <c r="W717" s="224"/>
      <c r="X717" s="224"/>
      <c r="Y717" s="224"/>
      <c r="Z717" s="224"/>
      <c r="AA717" s="224"/>
      <c r="AB717" s="224"/>
    </row>
    <row r="718" spans="1:28" ht="15.75" customHeight="1">
      <c r="A718" s="248">
        <v>44791</v>
      </c>
      <c r="B718" s="219" t="s">
        <v>2194</v>
      </c>
      <c r="C718" s="219">
        <v>2.5</v>
      </c>
      <c r="D718" s="219"/>
      <c r="E718" s="219" t="s">
        <v>11328</v>
      </c>
      <c r="F718" s="219" t="s">
        <v>5</v>
      </c>
      <c r="G718" s="219" t="s">
        <v>447</v>
      </c>
      <c r="H718" s="219" t="s">
        <v>11329</v>
      </c>
      <c r="I718" s="219">
        <v>2</v>
      </c>
      <c r="J718" s="219" t="s">
        <v>622</v>
      </c>
      <c r="K718" s="219" t="s">
        <v>2199</v>
      </c>
      <c r="L718" s="219">
        <v>3</v>
      </c>
      <c r="M718" s="219" t="s">
        <v>451</v>
      </c>
      <c r="N718" s="310">
        <v>250000</v>
      </c>
      <c r="O718" s="219" t="s">
        <v>452</v>
      </c>
      <c r="P718" s="219" t="s">
        <v>11330</v>
      </c>
      <c r="Q718" s="219"/>
      <c r="R718" s="322" t="s">
        <v>24</v>
      </c>
      <c r="S718" s="219"/>
      <c r="T718" s="219"/>
      <c r="U718" s="219"/>
      <c r="V718" s="219"/>
      <c r="W718" s="219"/>
      <c r="X718" s="219"/>
      <c r="Y718" s="219"/>
      <c r="Z718" s="219"/>
      <c r="AA718" s="219"/>
      <c r="AB718" s="219"/>
    </row>
    <row r="719" spans="1:28" ht="15.75" hidden="1" customHeight="1">
      <c r="A719" s="253">
        <v>44791</v>
      </c>
      <c r="B719" s="224" t="s">
        <v>6181</v>
      </c>
      <c r="C719" s="316">
        <v>2.5</v>
      </c>
      <c r="D719" s="316"/>
      <c r="E719" s="224" t="s">
        <v>6184</v>
      </c>
      <c r="F719" s="224" t="s">
        <v>4</v>
      </c>
      <c r="G719" s="224" t="s">
        <v>727</v>
      </c>
      <c r="H719" s="224" t="s">
        <v>10690</v>
      </c>
      <c r="I719" s="224">
        <v>3</v>
      </c>
      <c r="J719" s="224" t="s">
        <v>1036</v>
      </c>
      <c r="K719" s="224" t="s">
        <v>6186</v>
      </c>
      <c r="L719" s="224">
        <v>2</v>
      </c>
      <c r="M719" s="224" t="s">
        <v>784</v>
      </c>
      <c r="N719" s="307">
        <v>608750</v>
      </c>
      <c r="O719" s="224" t="s">
        <v>452</v>
      </c>
      <c r="P719" s="224" t="s">
        <v>6187</v>
      </c>
      <c r="Q719" s="224"/>
      <c r="R719" s="322" t="s">
        <v>24</v>
      </c>
      <c r="S719" s="254"/>
      <c r="T719" s="254"/>
      <c r="U719" s="224"/>
      <c r="V719" s="224"/>
      <c r="W719" s="224"/>
      <c r="X719" s="224"/>
      <c r="Y719" s="224"/>
      <c r="Z719" s="224"/>
      <c r="AA719" s="224"/>
      <c r="AB719" s="224"/>
    </row>
    <row r="720" spans="1:28" ht="15.75" hidden="1" customHeight="1">
      <c r="A720" s="248">
        <v>44791</v>
      </c>
      <c r="B720" s="219" t="s">
        <v>6598</v>
      </c>
      <c r="C720" s="315">
        <v>2.5</v>
      </c>
      <c r="D720" s="315"/>
      <c r="E720" s="219" t="s">
        <v>6601</v>
      </c>
      <c r="F720" s="219" t="s">
        <v>4</v>
      </c>
      <c r="G720" s="219" t="s">
        <v>602</v>
      </c>
      <c r="H720" s="219" t="s">
        <v>6602</v>
      </c>
      <c r="I720" s="219">
        <v>2.5</v>
      </c>
      <c r="J720" s="219" t="s">
        <v>1045</v>
      </c>
      <c r="K720" s="219" t="s">
        <v>6603</v>
      </c>
      <c r="L720" s="219">
        <v>2.5</v>
      </c>
      <c r="M720" s="219"/>
      <c r="N720" s="219"/>
      <c r="O720" s="219" t="s">
        <v>452</v>
      </c>
      <c r="P720" s="219" t="s">
        <v>6604</v>
      </c>
      <c r="Q720" s="219"/>
      <c r="R720" s="322" t="s">
        <v>24</v>
      </c>
      <c r="S720" s="251"/>
      <c r="T720" s="251"/>
      <c r="U720" s="219"/>
      <c r="V720" s="219"/>
      <c r="W720" s="219"/>
      <c r="X720" s="219"/>
      <c r="Y720" s="219"/>
      <c r="Z720" s="219"/>
      <c r="AA720" s="219"/>
      <c r="AB720" s="219"/>
    </row>
    <row r="721" spans="1:28" ht="15.75" customHeight="1">
      <c r="A721" s="253">
        <v>44791</v>
      </c>
      <c r="B721" s="224" t="s">
        <v>11160</v>
      </c>
      <c r="C721" s="224">
        <v>2.5</v>
      </c>
      <c r="D721" s="224"/>
      <c r="E721" s="224" t="s">
        <v>11161</v>
      </c>
      <c r="F721" s="224" t="s">
        <v>5</v>
      </c>
      <c r="G721" s="224" t="s">
        <v>447</v>
      </c>
      <c r="H721" s="224" t="s">
        <v>11162</v>
      </c>
      <c r="I721" s="224">
        <v>2</v>
      </c>
      <c r="J721" s="224" t="s">
        <v>449</v>
      </c>
      <c r="K721" s="224" t="s">
        <v>11698</v>
      </c>
      <c r="L721" s="224">
        <v>3</v>
      </c>
      <c r="M721" s="224" t="s">
        <v>451</v>
      </c>
      <c r="N721" s="307">
        <v>4000000</v>
      </c>
      <c r="O721" s="224" t="s">
        <v>452</v>
      </c>
      <c r="P721" s="224" t="s">
        <v>2694</v>
      </c>
      <c r="Q721" s="224"/>
      <c r="R721" s="322" t="s">
        <v>24</v>
      </c>
      <c r="S721" s="224"/>
      <c r="T721" s="224"/>
      <c r="U721" s="224"/>
      <c r="V721" s="224"/>
      <c r="W721" s="224"/>
      <c r="X721" s="224"/>
      <c r="Y721" s="224"/>
      <c r="Z721" s="224"/>
      <c r="AA721" s="224"/>
      <c r="AB721" s="224"/>
    </row>
    <row r="722" spans="1:28" ht="15.75" hidden="1" customHeight="1">
      <c r="A722" s="248">
        <v>44796</v>
      </c>
      <c r="B722" s="219" t="s">
        <v>6292</v>
      </c>
      <c r="C722" s="315">
        <v>2.5</v>
      </c>
      <c r="D722" s="315"/>
      <c r="E722" s="219" t="s">
        <v>6295</v>
      </c>
      <c r="F722" s="219" t="s">
        <v>4</v>
      </c>
      <c r="G722" s="219" t="s">
        <v>602</v>
      </c>
      <c r="H722" s="219" t="s">
        <v>6296</v>
      </c>
      <c r="I722" s="219">
        <v>2</v>
      </c>
      <c r="J722" s="219" t="s">
        <v>476</v>
      </c>
      <c r="K722" s="219" t="s">
        <v>13400</v>
      </c>
      <c r="L722" s="219">
        <v>3</v>
      </c>
      <c r="M722" s="219" t="s">
        <v>451</v>
      </c>
      <c r="N722" s="219">
        <v>3000000</v>
      </c>
      <c r="O722" s="219" t="s">
        <v>452</v>
      </c>
      <c r="P722" s="219" t="s">
        <v>6298</v>
      </c>
      <c r="Q722" s="219"/>
      <c r="R722" s="219" t="s">
        <v>24</v>
      </c>
      <c r="S722" s="251"/>
      <c r="T722" s="251"/>
      <c r="U722" s="219"/>
      <c r="V722" s="219"/>
      <c r="W722" s="219"/>
      <c r="X722" s="219"/>
      <c r="Y722" s="219"/>
      <c r="Z722" s="219"/>
      <c r="AA722" s="219"/>
      <c r="AB722" s="219"/>
    </row>
    <row r="723" spans="1:28" ht="15.75" hidden="1" customHeight="1">
      <c r="A723" s="253">
        <v>44796</v>
      </c>
      <c r="B723" s="224" t="s">
        <v>6375</v>
      </c>
      <c r="C723" s="316">
        <v>2.5</v>
      </c>
      <c r="D723" s="316"/>
      <c r="E723" s="224" t="s">
        <v>6378</v>
      </c>
      <c r="F723" s="224" t="s">
        <v>4</v>
      </c>
      <c r="G723" s="224" t="s">
        <v>602</v>
      </c>
      <c r="H723" s="224" t="s">
        <v>6379</v>
      </c>
      <c r="I723" s="224">
        <v>2</v>
      </c>
      <c r="J723" s="224" t="s">
        <v>1054</v>
      </c>
      <c r="K723" s="224" t="s">
        <v>6380</v>
      </c>
      <c r="L723" s="224">
        <v>3</v>
      </c>
      <c r="M723" s="224" t="s">
        <v>451</v>
      </c>
      <c r="N723" s="332">
        <v>2500000</v>
      </c>
      <c r="O723" s="224" t="s">
        <v>452</v>
      </c>
      <c r="P723" s="224" t="s">
        <v>6381</v>
      </c>
      <c r="Q723" s="224"/>
      <c r="R723" s="224" t="s">
        <v>24</v>
      </c>
      <c r="S723" s="254"/>
      <c r="T723" s="254"/>
      <c r="U723" s="224"/>
      <c r="V723" s="224"/>
      <c r="W723" s="224"/>
      <c r="X723" s="224"/>
      <c r="Y723" s="224"/>
      <c r="Z723" s="224"/>
      <c r="AA723" s="224"/>
      <c r="AB723" s="224"/>
    </row>
    <row r="724" spans="1:28" ht="15.75" hidden="1" customHeight="1">
      <c r="A724" s="248">
        <v>44796</v>
      </c>
      <c r="B724" s="219" t="s">
        <v>6466</v>
      </c>
      <c r="C724" s="315">
        <v>2.5</v>
      </c>
      <c r="D724" s="315"/>
      <c r="E724" s="219" t="s">
        <v>6469</v>
      </c>
      <c r="F724" s="219" t="s">
        <v>4</v>
      </c>
      <c r="G724" s="219" t="s">
        <v>727</v>
      </c>
      <c r="H724" s="219" t="s">
        <v>11485</v>
      </c>
      <c r="I724" s="219">
        <v>3</v>
      </c>
      <c r="J724" s="219" t="s">
        <v>1371</v>
      </c>
      <c r="K724" s="219" t="s">
        <v>6471</v>
      </c>
      <c r="L724" s="219">
        <v>2</v>
      </c>
      <c r="M724" s="219" t="s">
        <v>451</v>
      </c>
      <c r="N724" s="219">
        <v>500</v>
      </c>
      <c r="O724" s="219" t="s">
        <v>452</v>
      </c>
      <c r="P724" s="219" t="s">
        <v>6472</v>
      </c>
      <c r="Q724" s="219"/>
      <c r="R724" s="219" t="s">
        <v>24</v>
      </c>
      <c r="S724" s="251"/>
      <c r="T724" s="251"/>
      <c r="U724" s="219"/>
      <c r="V724" s="219"/>
      <c r="W724" s="219"/>
      <c r="X724" s="219"/>
      <c r="Y724" s="219"/>
      <c r="Z724" s="219"/>
      <c r="AA724" s="219"/>
      <c r="AB724" s="219"/>
    </row>
    <row r="725" spans="1:28" ht="15.75" hidden="1" customHeight="1">
      <c r="A725" s="253">
        <v>44796</v>
      </c>
      <c r="B725" s="224" t="s">
        <v>6320</v>
      </c>
      <c r="C725" s="316">
        <v>2.5</v>
      </c>
      <c r="D725" s="316"/>
      <c r="E725" s="224" t="s">
        <v>10443</v>
      </c>
      <c r="F725" s="224" t="s">
        <v>4</v>
      </c>
      <c r="G725" s="224" t="s">
        <v>727</v>
      </c>
      <c r="H725" s="224" t="s">
        <v>10444</v>
      </c>
      <c r="I725" s="224">
        <v>1</v>
      </c>
      <c r="J725" s="224" t="s">
        <v>1281</v>
      </c>
      <c r="K725" s="224" t="s">
        <v>6325</v>
      </c>
      <c r="L725" s="224">
        <v>4</v>
      </c>
      <c r="M725" s="224" t="s">
        <v>451</v>
      </c>
      <c r="N725" s="224" t="s">
        <v>6326</v>
      </c>
      <c r="O725" s="224" t="s">
        <v>465</v>
      </c>
      <c r="P725" s="224" t="s">
        <v>6327</v>
      </c>
      <c r="Q725" s="224"/>
      <c r="R725" s="224" t="s">
        <v>24</v>
      </c>
      <c r="S725" s="254"/>
      <c r="T725" s="254"/>
      <c r="U725" s="224"/>
      <c r="V725" s="224"/>
      <c r="W725" s="224"/>
      <c r="X725" s="224"/>
      <c r="Y725" s="224"/>
      <c r="Z725" s="224"/>
      <c r="AA725" s="224"/>
      <c r="AB725" s="224"/>
    </row>
    <row r="726" spans="1:28" ht="15.75" hidden="1" customHeight="1">
      <c r="A726" s="248">
        <v>44796</v>
      </c>
      <c r="B726" s="219" t="s">
        <v>6277</v>
      </c>
      <c r="C726" s="315">
        <v>2.5</v>
      </c>
      <c r="D726" s="315"/>
      <c r="E726" s="219" t="s">
        <v>6280</v>
      </c>
      <c r="F726" s="219" t="s">
        <v>4</v>
      </c>
      <c r="G726" s="219" t="s">
        <v>725</v>
      </c>
      <c r="H726" s="219" t="s">
        <v>6281</v>
      </c>
      <c r="I726" s="219">
        <v>2</v>
      </c>
      <c r="J726" s="219" t="s">
        <v>1237</v>
      </c>
      <c r="K726" s="219"/>
      <c r="L726" s="219">
        <v>3</v>
      </c>
      <c r="M726" s="219" t="s">
        <v>451</v>
      </c>
      <c r="N726" s="219">
        <v>1800000</v>
      </c>
      <c r="O726" s="219" t="s">
        <v>452</v>
      </c>
      <c r="P726" s="219" t="s">
        <v>6282</v>
      </c>
      <c r="Q726" s="219"/>
      <c r="R726" s="219" t="s">
        <v>24</v>
      </c>
      <c r="S726" s="251"/>
      <c r="T726" s="251"/>
      <c r="U726" s="219"/>
      <c r="V726" s="219"/>
      <c r="W726" s="219"/>
      <c r="X726" s="219"/>
      <c r="Y726" s="219"/>
      <c r="Z726" s="219"/>
      <c r="AA726" s="219"/>
      <c r="AB726" s="219"/>
    </row>
    <row r="727" spans="1:28" ht="15.75" hidden="1" customHeight="1">
      <c r="A727" s="253">
        <v>44796</v>
      </c>
      <c r="B727" s="224" t="s">
        <v>6512</v>
      </c>
      <c r="C727" s="316">
        <v>2.5</v>
      </c>
      <c r="D727" s="316"/>
      <c r="E727" s="224" t="s">
        <v>6515</v>
      </c>
      <c r="F727" s="224" t="s">
        <v>4</v>
      </c>
      <c r="G727" s="224" t="s">
        <v>725</v>
      </c>
      <c r="H727" s="224" t="s">
        <v>10485</v>
      </c>
      <c r="I727" s="224">
        <v>2</v>
      </c>
      <c r="J727" s="224" t="s">
        <v>1457</v>
      </c>
      <c r="K727" s="224" t="s">
        <v>6517</v>
      </c>
      <c r="L727" s="224">
        <v>3</v>
      </c>
      <c r="M727" s="224" t="s">
        <v>784</v>
      </c>
      <c r="N727" s="311">
        <v>1200000</v>
      </c>
      <c r="O727" s="224" t="s">
        <v>454</v>
      </c>
      <c r="P727" s="224" t="s">
        <v>6518</v>
      </c>
      <c r="Q727" s="224"/>
      <c r="R727" s="224" t="s">
        <v>24</v>
      </c>
      <c r="S727" s="254"/>
      <c r="T727" s="254"/>
      <c r="U727" s="224"/>
      <c r="V727" s="224"/>
      <c r="W727" s="224"/>
      <c r="X727" s="224"/>
      <c r="Y727" s="224"/>
      <c r="Z727" s="224"/>
      <c r="AA727" s="224"/>
      <c r="AB727" s="224"/>
    </row>
    <row r="728" spans="1:28" ht="15.75" hidden="1" customHeight="1">
      <c r="A728" s="248">
        <v>44796</v>
      </c>
      <c r="B728" s="219" t="s">
        <v>6589</v>
      </c>
      <c r="C728" s="315">
        <v>2.5</v>
      </c>
      <c r="D728" s="315"/>
      <c r="E728" s="219" t="s">
        <v>6592</v>
      </c>
      <c r="F728" s="219" t="s">
        <v>4</v>
      </c>
      <c r="G728" s="219" t="s">
        <v>1457</v>
      </c>
      <c r="H728" s="219" t="s">
        <v>6593</v>
      </c>
      <c r="I728" s="219">
        <v>3</v>
      </c>
      <c r="J728" s="219" t="s">
        <v>1045</v>
      </c>
      <c r="K728" s="219" t="s">
        <v>6594</v>
      </c>
      <c r="L728" s="219">
        <v>2</v>
      </c>
      <c r="M728" s="219" t="s">
        <v>478</v>
      </c>
      <c r="N728" s="219">
        <v>6000</v>
      </c>
      <c r="O728" s="219" t="s">
        <v>452</v>
      </c>
      <c r="P728" s="219" t="s">
        <v>6595</v>
      </c>
      <c r="Q728" s="219"/>
      <c r="R728" s="219" t="s">
        <v>24</v>
      </c>
      <c r="S728" s="251"/>
      <c r="T728" s="251"/>
      <c r="U728" s="219"/>
      <c r="V728" s="219"/>
      <c r="W728" s="219"/>
      <c r="X728" s="219"/>
      <c r="Y728" s="219"/>
      <c r="Z728" s="219"/>
      <c r="AA728" s="219"/>
      <c r="AB728" s="219"/>
    </row>
    <row r="729" spans="1:28" ht="15.75" hidden="1" customHeight="1">
      <c r="A729" s="253">
        <v>44796</v>
      </c>
      <c r="B729" s="224" t="s">
        <v>6311</v>
      </c>
      <c r="C729" s="316">
        <v>2.5</v>
      </c>
      <c r="D729" s="316"/>
      <c r="E729" s="224" t="s">
        <v>6314</v>
      </c>
      <c r="F729" s="224" t="s">
        <v>4</v>
      </c>
      <c r="G729" s="224" t="s">
        <v>725</v>
      </c>
      <c r="H729" s="224" t="s">
        <v>10619</v>
      </c>
      <c r="I729" s="224">
        <v>2</v>
      </c>
      <c r="J729" s="224" t="s">
        <v>1281</v>
      </c>
      <c r="K729" s="224" t="s">
        <v>6316</v>
      </c>
      <c r="L729" s="224">
        <v>3</v>
      </c>
      <c r="M729" s="224"/>
      <c r="N729" s="224"/>
      <c r="O729" s="224" t="s">
        <v>452</v>
      </c>
      <c r="P729" s="224" t="s">
        <v>6317</v>
      </c>
      <c r="Q729" s="224"/>
      <c r="R729" s="224" t="s">
        <v>24</v>
      </c>
      <c r="S729" s="254"/>
      <c r="T729" s="254"/>
      <c r="U729" s="224"/>
      <c r="V729" s="224"/>
      <c r="W729" s="224"/>
      <c r="X729" s="224"/>
      <c r="Y729" s="224"/>
      <c r="Z729" s="224"/>
      <c r="AA729" s="224"/>
      <c r="AB729" s="224"/>
    </row>
    <row r="730" spans="1:28" ht="15.75" hidden="1" customHeight="1">
      <c r="A730" s="248">
        <v>44796</v>
      </c>
      <c r="B730" s="219" t="s">
        <v>9060</v>
      </c>
      <c r="C730" s="315">
        <v>2.5</v>
      </c>
      <c r="D730" s="315"/>
      <c r="E730" s="219" t="s">
        <v>10673</v>
      </c>
      <c r="F730" s="219" t="s">
        <v>3</v>
      </c>
      <c r="G730" s="219" t="s">
        <v>460</v>
      </c>
      <c r="H730" s="219" t="s">
        <v>9064</v>
      </c>
      <c r="I730" s="219">
        <v>3</v>
      </c>
      <c r="J730" s="219" t="s">
        <v>462</v>
      </c>
      <c r="K730" s="219" t="s">
        <v>9065</v>
      </c>
      <c r="L730" s="219">
        <v>2</v>
      </c>
      <c r="M730" s="219" t="s">
        <v>3138</v>
      </c>
      <c r="N730" s="219" t="s">
        <v>9066</v>
      </c>
      <c r="O730" s="219" t="s">
        <v>452</v>
      </c>
      <c r="P730" s="219" t="s">
        <v>10674</v>
      </c>
      <c r="Q730" s="219"/>
      <c r="R730" s="219" t="s">
        <v>24</v>
      </c>
      <c r="S730" s="251"/>
      <c r="T730" s="251"/>
      <c r="U730" s="219"/>
      <c r="V730" s="219"/>
      <c r="W730" s="219"/>
      <c r="X730" s="219"/>
      <c r="Y730" s="219"/>
      <c r="Z730" s="219"/>
      <c r="AA730" s="219"/>
      <c r="AB730" s="219"/>
    </row>
    <row r="731" spans="1:28" ht="15.75" hidden="1" customHeight="1">
      <c r="A731" s="253">
        <v>44796</v>
      </c>
      <c r="B731" s="224" t="s">
        <v>6228</v>
      </c>
      <c r="C731" s="316">
        <v>2.5</v>
      </c>
      <c r="D731" s="316"/>
      <c r="E731" s="224" t="s">
        <v>6231</v>
      </c>
      <c r="F731" s="224" t="s">
        <v>4</v>
      </c>
      <c r="G731" s="224" t="s">
        <v>725</v>
      </c>
      <c r="H731" s="224" t="s">
        <v>6232</v>
      </c>
      <c r="I731" s="224">
        <v>2</v>
      </c>
      <c r="J731" s="224" t="s">
        <v>1073</v>
      </c>
      <c r="K731" s="224"/>
      <c r="L731" s="224">
        <v>3</v>
      </c>
      <c r="M731" s="224"/>
      <c r="N731" s="224"/>
      <c r="O731" s="224" t="s">
        <v>452</v>
      </c>
      <c r="P731" s="224" t="s">
        <v>452</v>
      </c>
      <c r="Q731" s="224"/>
      <c r="R731" s="224" t="s">
        <v>24</v>
      </c>
      <c r="S731" s="254"/>
      <c r="T731" s="254"/>
      <c r="U731" s="224"/>
      <c r="V731" s="224"/>
      <c r="W731" s="224"/>
      <c r="X731" s="224"/>
      <c r="Y731" s="224"/>
      <c r="Z731" s="224"/>
      <c r="AA731" s="224"/>
      <c r="AB731" s="224"/>
    </row>
    <row r="732" spans="1:28" ht="15.75" hidden="1" customHeight="1">
      <c r="A732" s="248">
        <v>44796</v>
      </c>
      <c r="B732" s="219" t="s">
        <v>6572</v>
      </c>
      <c r="C732" s="315">
        <v>2.5</v>
      </c>
      <c r="D732" s="315"/>
      <c r="E732" s="219" t="s">
        <v>6575</v>
      </c>
      <c r="F732" s="219" t="s">
        <v>4</v>
      </c>
      <c r="G732" s="219" t="s">
        <v>725</v>
      </c>
      <c r="H732" s="219" t="s">
        <v>6576</v>
      </c>
      <c r="I732" s="219">
        <v>2.5</v>
      </c>
      <c r="J732" s="219" t="s">
        <v>1045</v>
      </c>
      <c r="K732" s="219" t="s">
        <v>6577</v>
      </c>
      <c r="L732" s="219">
        <v>2.5</v>
      </c>
      <c r="M732" s="219" t="s">
        <v>478</v>
      </c>
      <c r="N732" s="219" t="s">
        <v>6578</v>
      </c>
      <c r="O732" s="219" t="s">
        <v>452</v>
      </c>
      <c r="P732" s="219" t="s">
        <v>6578</v>
      </c>
      <c r="Q732" s="219"/>
      <c r="R732" s="219" t="s">
        <v>24</v>
      </c>
      <c r="S732" s="251"/>
      <c r="T732" s="251"/>
      <c r="U732" s="219"/>
      <c r="V732" s="219"/>
      <c r="W732" s="219"/>
      <c r="X732" s="219"/>
      <c r="Y732" s="219"/>
      <c r="Z732" s="219"/>
      <c r="AA732" s="219"/>
      <c r="AB732" s="219"/>
    </row>
    <row r="733" spans="1:28" ht="15.75" hidden="1" customHeight="1">
      <c r="A733" s="253">
        <v>44796</v>
      </c>
      <c r="B733" s="224" t="s">
        <v>6540</v>
      </c>
      <c r="C733" s="316">
        <v>2.5</v>
      </c>
      <c r="D733" s="316"/>
      <c r="E733" s="224" t="s">
        <v>6543</v>
      </c>
      <c r="F733" s="224" t="s">
        <v>4</v>
      </c>
      <c r="G733" s="224" t="s">
        <v>725</v>
      </c>
      <c r="H733" s="224" t="s">
        <v>10806</v>
      </c>
      <c r="I733" s="224">
        <v>3</v>
      </c>
      <c r="J733" s="224" t="s">
        <v>4054</v>
      </c>
      <c r="K733" s="224"/>
      <c r="L733" s="224">
        <v>2</v>
      </c>
      <c r="M733" s="224" t="s">
        <v>451</v>
      </c>
      <c r="N733" s="330">
        <v>1000000</v>
      </c>
      <c r="O733" s="224" t="s">
        <v>452</v>
      </c>
      <c r="P733" s="224" t="s">
        <v>10807</v>
      </c>
      <c r="Q733" s="224" t="s">
        <v>6546</v>
      </c>
      <c r="R733" s="224" t="s">
        <v>24</v>
      </c>
      <c r="S733" s="254"/>
      <c r="T733" s="254"/>
      <c r="U733" s="224"/>
      <c r="V733" s="224"/>
      <c r="W733" s="224"/>
      <c r="X733" s="224"/>
      <c r="Y733" s="224"/>
      <c r="Z733" s="224"/>
      <c r="AA733" s="224"/>
      <c r="AB733" s="224"/>
    </row>
    <row r="734" spans="1:28" ht="15.75" hidden="1" customHeight="1">
      <c r="A734" s="248">
        <v>44796</v>
      </c>
      <c r="B734" s="219" t="s">
        <v>6441</v>
      </c>
      <c r="C734" s="315">
        <v>2.5</v>
      </c>
      <c r="D734" s="315"/>
      <c r="E734" s="219" t="s">
        <v>6444</v>
      </c>
      <c r="F734" s="219" t="s">
        <v>4</v>
      </c>
      <c r="G734" s="219" t="s">
        <v>602</v>
      </c>
      <c r="H734" s="219" t="s">
        <v>6445</v>
      </c>
      <c r="I734" s="219">
        <v>2</v>
      </c>
      <c r="J734" s="219" t="s">
        <v>1371</v>
      </c>
      <c r="K734" s="219" t="s">
        <v>6446</v>
      </c>
      <c r="L734" s="219">
        <v>3</v>
      </c>
      <c r="M734" s="219"/>
      <c r="N734" s="219"/>
      <c r="O734" s="219" t="s">
        <v>465</v>
      </c>
      <c r="P734" s="219" t="s">
        <v>1119</v>
      </c>
      <c r="Q734" s="219" t="s">
        <v>6447</v>
      </c>
      <c r="R734" s="219" t="s">
        <v>24</v>
      </c>
      <c r="S734" s="251"/>
      <c r="T734" s="251"/>
      <c r="U734" s="219"/>
      <c r="V734" s="219"/>
      <c r="W734" s="219"/>
      <c r="X734" s="219"/>
      <c r="Y734" s="219"/>
      <c r="Z734" s="219"/>
      <c r="AA734" s="219"/>
      <c r="AB734" s="219"/>
    </row>
    <row r="735" spans="1:28" ht="15.75" hidden="1" customHeight="1">
      <c r="A735" s="253">
        <v>44796</v>
      </c>
      <c r="B735" s="224" t="s">
        <v>6200</v>
      </c>
      <c r="C735" s="316">
        <v>2.5</v>
      </c>
      <c r="D735" s="316"/>
      <c r="E735" s="224" t="s">
        <v>6203</v>
      </c>
      <c r="F735" s="224" t="s">
        <v>4</v>
      </c>
      <c r="G735" s="224" t="s">
        <v>602</v>
      </c>
      <c r="H735" s="224" t="s">
        <v>6204</v>
      </c>
      <c r="I735" s="224">
        <v>2</v>
      </c>
      <c r="J735" s="224" t="s">
        <v>1073</v>
      </c>
      <c r="K735" s="224"/>
      <c r="L735" s="224">
        <v>3</v>
      </c>
      <c r="M735" s="224" t="s">
        <v>451</v>
      </c>
      <c r="N735" s="224">
        <v>550000</v>
      </c>
      <c r="O735" s="224" t="s">
        <v>465</v>
      </c>
      <c r="P735" s="224" t="s">
        <v>6205</v>
      </c>
      <c r="Q735" s="224"/>
      <c r="R735" s="224" t="s">
        <v>24</v>
      </c>
      <c r="S735" s="254"/>
      <c r="T735" s="254"/>
      <c r="U735" s="224"/>
      <c r="V735" s="224"/>
      <c r="W735" s="224"/>
      <c r="X735" s="224"/>
      <c r="Y735" s="224"/>
      <c r="Z735" s="224"/>
      <c r="AA735" s="224"/>
      <c r="AB735" s="224"/>
    </row>
    <row r="736" spans="1:28" ht="15.75" hidden="1" customHeight="1">
      <c r="A736" s="248">
        <v>44796</v>
      </c>
      <c r="B736" s="219" t="s">
        <v>6521</v>
      </c>
      <c r="C736" s="315">
        <v>2.5</v>
      </c>
      <c r="D736" s="315"/>
      <c r="E736" s="219" t="s">
        <v>6524</v>
      </c>
      <c r="F736" s="219" t="s">
        <v>4</v>
      </c>
      <c r="G736" s="219" t="s">
        <v>725</v>
      </c>
      <c r="H736" s="219" t="s">
        <v>10942</v>
      </c>
      <c r="I736" s="219">
        <v>3</v>
      </c>
      <c r="J736" s="219" t="s">
        <v>1457</v>
      </c>
      <c r="K736" s="219" t="s">
        <v>6526</v>
      </c>
      <c r="L736" s="219">
        <v>2</v>
      </c>
      <c r="M736" s="219" t="s">
        <v>451</v>
      </c>
      <c r="N736" s="331">
        <v>1000000</v>
      </c>
      <c r="O736" s="219" t="s">
        <v>454</v>
      </c>
      <c r="P736" s="219" t="s">
        <v>6527</v>
      </c>
      <c r="Q736" s="219" t="s">
        <v>6528</v>
      </c>
      <c r="R736" s="219" t="s">
        <v>24</v>
      </c>
      <c r="S736" s="251"/>
      <c r="T736" s="251"/>
      <c r="U736" s="219"/>
      <c r="V736" s="219"/>
      <c r="W736" s="219"/>
      <c r="X736" s="219"/>
      <c r="Y736" s="219"/>
      <c r="Z736" s="219"/>
      <c r="AA736" s="219"/>
      <c r="AB736" s="219"/>
    </row>
    <row r="737" spans="1:28" ht="15.75" hidden="1" customHeight="1">
      <c r="A737" s="253">
        <v>44796</v>
      </c>
      <c r="B737" s="224" t="s">
        <v>6190</v>
      </c>
      <c r="C737" s="316">
        <v>2.5</v>
      </c>
      <c r="D737" s="316"/>
      <c r="E737" s="224" t="s">
        <v>6193</v>
      </c>
      <c r="F737" s="224" t="s">
        <v>4</v>
      </c>
      <c r="G737" s="224" t="s">
        <v>725</v>
      </c>
      <c r="H737" s="224" t="s">
        <v>10943</v>
      </c>
      <c r="I737" s="224">
        <v>2</v>
      </c>
      <c r="J737" s="224" t="s">
        <v>1036</v>
      </c>
      <c r="K737" s="224" t="s">
        <v>6195</v>
      </c>
      <c r="L737" s="224">
        <v>3</v>
      </c>
      <c r="M737" s="224" t="s">
        <v>478</v>
      </c>
      <c r="N737" s="330">
        <v>10500000</v>
      </c>
      <c r="O737" s="224" t="s">
        <v>452</v>
      </c>
      <c r="P737" s="224" t="s">
        <v>10944</v>
      </c>
      <c r="Q737" s="224" t="s">
        <v>6197</v>
      </c>
      <c r="R737" s="224" t="s">
        <v>24</v>
      </c>
      <c r="S737" s="254"/>
      <c r="T737" s="254"/>
      <c r="U737" s="224"/>
      <c r="V737" s="224"/>
      <c r="W737" s="224"/>
      <c r="X737" s="224"/>
      <c r="Y737" s="224"/>
      <c r="Z737" s="224"/>
      <c r="AA737" s="224"/>
      <c r="AB737" s="224"/>
    </row>
    <row r="738" spans="1:28" ht="15.75" hidden="1" customHeight="1">
      <c r="A738" s="248">
        <v>44796</v>
      </c>
      <c r="B738" s="219" t="s">
        <v>6399</v>
      </c>
      <c r="C738" s="315">
        <v>2.5</v>
      </c>
      <c r="D738" s="315"/>
      <c r="E738" s="219" t="s">
        <v>6402</v>
      </c>
      <c r="F738" s="219" t="s">
        <v>4</v>
      </c>
      <c r="G738" s="219" t="s">
        <v>725</v>
      </c>
      <c r="H738" s="219" t="s">
        <v>10970</v>
      </c>
      <c r="I738" s="219">
        <v>2</v>
      </c>
      <c r="J738" s="219" t="s">
        <v>1350</v>
      </c>
      <c r="K738" s="219" t="s">
        <v>6404</v>
      </c>
      <c r="L738" s="219">
        <v>3</v>
      </c>
      <c r="M738" s="219" t="s">
        <v>451</v>
      </c>
      <c r="N738" s="331">
        <v>5000000</v>
      </c>
      <c r="O738" s="219" t="s">
        <v>452</v>
      </c>
      <c r="P738" s="219" t="s">
        <v>1119</v>
      </c>
      <c r="Q738" s="219"/>
      <c r="R738" s="219" t="s">
        <v>24</v>
      </c>
      <c r="S738" s="251"/>
      <c r="T738" s="251"/>
      <c r="U738" s="219"/>
      <c r="V738" s="219"/>
      <c r="W738" s="219"/>
      <c r="X738" s="219"/>
      <c r="Y738" s="219"/>
      <c r="Z738" s="219"/>
      <c r="AA738" s="219"/>
      <c r="AB738" s="219"/>
    </row>
    <row r="739" spans="1:28" ht="15.75" hidden="1" customHeight="1">
      <c r="A739" s="253">
        <v>44796</v>
      </c>
      <c r="B739" s="224" t="s">
        <v>6164</v>
      </c>
      <c r="C739" s="316">
        <v>2.5</v>
      </c>
      <c r="D739" s="316"/>
      <c r="E739" s="224" t="s">
        <v>10987</v>
      </c>
      <c r="F739" s="224" t="s">
        <v>4</v>
      </c>
      <c r="G739" s="224" t="s">
        <v>602</v>
      </c>
      <c r="H739" s="224" t="s">
        <v>6168</v>
      </c>
      <c r="I739" s="224">
        <v>2</v>
      </c>
      <c r="J739" s="224" t="s">
        <v>990</v>
      </c>
      <c r="K739" s="224"/>
      <c r="L739" s="224">
        <v>3</v>
      </c>
      <c r="M739" s="224"/>
      <c r="N739" s="224"/>
      <c r="O739" s="224" t="s">
        <v>452</v>
      </c>
      <c r="P739" s="224" t="s">
        <v>10988</v>
      </c>
      <c r="Q739" s="224" t="s">
        <v>6170</v>
      </c>
      <c r="R739" s="224" t="s">
        <v>24</v>
      </c>
      <c r="S739" s="254"/>
      <c r="T739" s="254"/>
      <c r="U739" s="224"/>
      <c r="V739" s="224"/>
      <c r="W739" s="224"/>
      <c r="X739" s="224"/>
      <c r="Y739" s="224"/>
      <c r="Z739" s="224"/>
      <c r="AA739" s="224"/>
      <c r="AB739" s="224"/>
    </row>
    <row r="740" spans="1:28" ht="15.75" hidden="1" customHeight="1">
      <c r="A740" s="248">
        <v>44796</v>
      </c>
      <c r="B740" s="219" t="s">
        <v>6356</v>
      </c>
      <c r="C740" s="315">
        <v>2.5</v>
      </c>
      <c r="D740" s="315"/>
      <c r="E740" s="219" t="s">
        <v>6359</v>
      </c>
      <c r="F740" s="219" t="s">
        <v>4</v>
      </c>
      <c r="G740" s="219" t="s">
        <v>602</v>
      </c>
      <c r="H740" s="219" t="s">
        <v>6360</v>
      </c>
      <c r="I740" s="219">
        <v>2</v>
      </c>
      <c r="J740" s="219" t="s">
        <v>1298</v>
      </c>
      <c r="K740" s="219" t="s">
        <v>6361</v>
      </c>
      <c r="L740" s="219">
        <v>3</v>
      </c>
      <c r="M740" s="219" t="s">
        <v>784</v>
      </c>
      <c r="N740" s="312">
        <v>750000</v>
      </c>
      <c r="O740" s="219" t="s">
        <v>452</v>
      </c>
      <c r="P740" s="219" t="s">
        <v>11082</v>
      </c>
      <c r="Q740" s="219"/>
      <c r="R740" s="219" t="s">
        <v>24</v>
      </c>
      <c r="S740" s="251"/>
      <c r="T740" s="251"/>
      <c r="U740" s="219"/>
      <c r="V740" s="219"/>
      <c r="W740" s="219"/>
      <c r="X740" s="219"/>
      <c r="Y740" s="219"/>
      <c r="Z740" s="219"/>
      <c r="AA740" s="219"/>
      <c r="AB740" s="219"/>
    </row>
    <row r="741" spans="1:28" ht="15.75" customHeight="1">
      <c r="A741" s="253">
        <v>44796</v>
      </c>
      <c r="B741" s="224" t="s">
        <v>11092</v>
      </c>
      <c r="C741" s="224">
        <v>2.5</v>
      </c>
      <c r="D741" s="224"/>
      <c r="E741" s="224" t="s">
        <v>11093</v>
      </c>
      <c r="F741" s="224" t="s">
        <v>5</v>
      </c>
      <c r="G741" s="224" t="s">
        <v>447</v>
      </c>
      <c r="H741" s="224" t="s">
        <v>11094</v>
      </c>
      <c r="I741" s="224">
        <v>2.5</v>
      </c>
      <c r="J741" s="224" t="s">
        <v>449</v>
      </c>
      <c r="K741" s="224" t="s">
        <v>11095</v>
      </c>
      <c r="L741" s="224">
        <v>2.5</v>
      </c>
      <c r="M741" s="224"/>
      <c r="N741" s="224"/>
      <c r="O741" s="224" t="s">
        <v>454</v>
      </c>
      <c r="P741" s="224" t="s">
        <v>1119</v>
      </c>
      <c r="Q741" s="224" t="s">
        <v>3538</v>
      </c>
      <c r="R741" s="224" t="s">
        <v>24</v>
      </c>
      <c r="S741" s="224"/>
      <c r="T741" s="224"/>
      <c r="U741" s="224"/>
      <c r="V741" s="224"/>
      <c r="W741" s="224"/>
      <c r="X741" s="224"/>
      <c r="Y741" s="224"/>
      <c r="Z741" s="224"/>
      <c r="AA741" s="224"/>
      <c r="AB741" s="224"/>
    </row>
    <row r="742" spans="1:28" ht="15.75" hidden="1" customHeight="1">
      <c r="A742" s="248">
        <v>44796</v>
      </c>
      <c r="B742" s="219" t="s">
        <v>6235</v>
      </c>
      <c r="C742" s="315">
        <v>2.5</v>
      </c>
      <c r="D742" s="315"/>
      <c r="E742" s="219" t="s">
        <v>6238</v>
      </c>
      <c r="F742" s="219" t="s">
        <v>4</v>
      </c>
      <c r="G742" s="219" t="s">
        <v>725</v>
      </c>
      <c r="H742" s="219" t="s">
        <v>11142</v>
      </c>
      <c r="I742" s="219">
        <v>3</v>
      </c>
      <c r="J742" s="219" t="s">
        <v>476</v>
      </c>
      <c r="K742" s="219" t="s">
        <v>11143</v>
      </c>
      <c r="L742" s="219">
        <v>2</v>
      </c>
      <c r="M742" s="219" t="s">
        <v>451</v>
      </c>
      <c r="N742" s="219" t="s">
        <v>6241</v>
      </c>
      <c r="O742" s="219" t="s">
        <v>452</v>
      </c>
      <c r="P742" s="219" t="s">
        <v>6242</v>
      </c>
      <c r="Q742" s="219"/>
      <c r="R742" s="219" t="s">
        <v>24</v>
      </c>
      <c r="S742" s="251"/>
      <c r="T742" s="251"/>
      <c r="U742" s="219"/>
      <c r="V742" s="219"/>
      <c r="W742" s="219"/>
      <c r="X742" s="219"/>
      <c r="Y742" s="219"/>
      <c r="Z742" s="219"/>
      <c r="AA742" s="219"/>
      <c r="AB742" s="219"/>
    </row>
    <row r="743" spans="1:28" ht="15.75" hidden="1" customHeight="1">
      <c r="A743" s="253">
        <v>44796</v>
      </c>
      <c r="B743" s="224" t="s">
        <v>6156</v>
      </c>
      <c r="C743" s="316">
        <v>2.5</v>
      </c>
      <c r="D743" s="316"/>
      <c r="E743" s="224" t="s">
        <v>6159</v>
      </c>
      <c r="F743" s="224" t="s">
        <v>4</v>
      </c>
      <c r="G743" s="224" t="s">
        <v>725</v>
      </c>
      <c r="H743" s="224" t="s">
        <v>11195</v>
      </c>
      <c r="I743" s="224">
        <v>2</v>
      </c>
      <c r="J743" s="224" t="s">
        <v>990</v>
      </c>
      <c r="K743" s="224"/>
      <c r="L743" s="224">
        <v>3</v>
      </c>
      <c r="M743" s="224" t="s">
        <v>451</v>
      </c>
      <c r="N743" s="311">
        <v>900000</v>
      </c>
      <c r="O743" s="224" t="s">
        <v>452</v>
      </c>
      <c r="P743" s="224" t="s">
        <v>6161</v>
      </c>
      <c r="Q743" s="224"/>
      <c r="R743" s="224" t="s">
        <v>24</v>
      </c>
      <c r="S743" s="254"/>
      <c r="T743" s="254"/>
      <c r="U743" s="224"/>
      <c r="V743" s="224"/>
      <c r="W743" s="224"/>
      <c r="X743" s="224"/>
      <c r="Y743" s="224"/>
      <c r="Z743" s="224"/>
      <c r="AA743" s="224"/>
      <c r="AB743" s="224"/>
    </row>
    <row r="744" spans="1:28" ht="15.75" hidden="1" customHeight="1">
      <c r="A744" s="248">
        <v>44796</v>
      </c>
      <c r="B744" s="219" t="s">
        <v>6484</v>
      </c>
      <c r="C744" s="315">
        <v>2.5</v>
      </c>
      <c r="D744" s="315"/>
      <c r="E744" s="219" t="s">
        <v>6487</v>
      </c>
      <c r="F744" s="219" t="s">
        <v>4</v>
      </c>
      <c r="G744" s="219" t="s">
        <v>447</v>
      </c>
      <c r="H744" s="219" t="s">
        <v>11198</v>
      </c>
      <c r="I744" s="219">
        <v>2</v>
      </c>
      <c r="J744" s="219" t="s">
        <v>1371</v>
      </c>
      <c r="K744" s="219" t="s">
        <v>6489</v>
      </c>
      <c r="L744" s="219">
        <v>3</v>
      </c>
      <c r="M744" s="219"/>
      <c r="N744" s="219"/>
      <c r="O744" s="219" t="s">
        <v>452</v>
      </c>
      <c r="P744" s="219" t="s">
        <v>11199</v>
      </c>
      <c r="Q744" s="219"/>
      <c r="R744" s="219" t="s">
        <v>24</v>
      </c>
      <c r="S744" s="251"/>
      <c r="T744" s="251"/>
      <c r="U744" s="219"/>
      <c r="V744" s="219"/>
      <c r="W744" s="219"/>
      <c r="X744" s="219"/>
      <c r="Y744" s="219"/>
      <c r="Z744" s="219"/>
      <c r="AA744" s="219"/>
      <c r="AB744" s="219"/>
    </row>
    <row r="745" spans="1:28" ht="15.75" hidden="1" customHeight="1">
      <c r="A745" s="253">
        <v>44796</v>
      </c>
      <c r="B745" s="224" t="s">
        <v>6348</v>
      </c>
      <c r="C745" s="316">
        <v>2.5</v>
      </c>
      <c r="D745" s="316"/>
      <c r="E745" s="224" t="s">
        <v>6351</v>
      </c>
      <c r="F745" s="224" t="s">
        <v>4</v>
      </c>
      <c r="G745" s="224" t="s">
        <v>727</v>
      </c>
      <c r="H745" s="224"/>
      <c r="I745" s="224">
        <v>2</v>
      </c>
      <c r="J745" s="224" t="s">
        <v>1045</v>
      </c>
      <c r="K745" s="224" t="s">
        <v>6352</v>
      </c>
      <c r="L745" s="224">
        <v>3</v>
      </c>
      <c r="M745" s="224" t="s">
        <v>451</v>
      </c>
      <c r="N745" s="224">
        <v>5000000</v>
      </c>
      <c r="O745" s="224" t="s">
        <v>452</v>
      </c>
      <c r="P745" s="224" t="s">
        <v>11232</v>
      </c>
      <c r="Q745" s="224"/>
      <c r="R745" s="224" t="s">
        <v>24</v>
      </c>
      <c r="S745" s="254"/>
      <c r="T745" s="254"/>
      <c r="U745" s="224"/>
      <c r="V745" s="224"/>
      <c r="W745" s="224"/>
      <c r="X745" s="224"/>
      <c r="Y745" s="224"/>
      <c r="Z745" s="224"/>
      <c r="AA745" s="224"/>
      <c r="AB745" s="224"/>
    </row>
    <row r="746" spans="1:28" ht="15.75" hidden="1" customHeight="1">
      <c r="A746" s="248">
        <v>44796</v>
      </c>
      <c r="B746" s="219" t="s">
        <v>6556</v>
      </c>
      <c r="C746" s="315">
        <v>2.5</v>
      </c>
      <c r="D746" s="315"/>
      <c r="E746" s="219" t="s">
        <v>6559</v>
      </c>
      <c r="F746" s="219" t="s">
        <v>4</v>
      </c>
      <c r="G746" s="219" t="s">
        <v>725</v>
      </c>
      <c r="H746" s="219" t="s">
        <v>6560</v>
      </c>
      <c r="I746" s="219">
        <v>2</v>
      </c>
      <c r="J746" s="219" t="s">
        <v>4054</v>
      </c>
      <c r="K746" s="219"/>
      <c r="L746" s="219">
        <v>3</v>
      </c>
      <c r="M746" s="219" t="s">
        <v>784</v>
      </c>
      <c r="N746" s="219" t="s">
        <v>6561</v>
      </c>
      <c r="O746" s="219" t="s">
        <v>465</v>
      </c>
      <c r="P746" s="219" t="s">
        <v>452</v>
      </c>
      <c r="Q746" s="219"/>
      <c r="R746" s="219" t="s">
        <v>24</v>
      </c>
      <c r="S746" s="251"/>
      <c r="T746" s="251"/>
      <c r="U746" s="219"/>
      <c r="V746" s="219"/>
      <c r="W746" s="219"/>
      <c r="X746" s="219"/>
      <c r="Y746" s="219"/>
      <c r="Z746" s="219"/>
      <c r="AA746" s="219"/>
      <c r="AB746" s="219"/>
    </row>
    <row r="747" spans="1:28" ht="15.75" hidden="1" customHeight="1">
      <c r="A747" s="253">
        <v>44796</v>
      </c>
      <c r="B747" s="224" t="s">
        <v>8607</v>
      </c>
      <c r="C747" s="316">
        <v>2.5</v>
      </c>
      <c r="D747" s="316"/>
      <c r="E747" s="224" t="s">
        <v>8610</v>
      </c>
      <c r="F747" s="224" t="s">
        <v>3</v>
      </c>
      <c r="G747" s="224" t="s">
        <v>725</v>
      </c>
      <c r="H747" s="224" t="s">
        <v>11331</v>
      </c>
      <c r="I747" s="224">
        <v>3</v>
      </c>
      <c r="J747" s="224" t="s">
        <v>941</v>
      </c>
      <c r="K747" s="224" t="s">
        <v>8612</v>
      </c>
      <c r="L747" s="224">
        <v>2</v>
      </c>
      <c r="M747" s="224"/>
      <c r="N747" s="224"/>
      <c r="O747" s="224" t="s">
        <v>452</v>
      </c>
      <c r="P747" s="224" t="s">
        <v>8613</v>
      </c>
      <c r="Q747" s="224" t="s">
        <v>8614</v>
      </c>
      <c r="R747" s="224" t="s">
        <v>24</v>
      </c>
      <c r="S747" s="254"/>
      <c r="T747" s="254"/>
      <c r="U747" s="224"/>
      <c r="V747" s="224"/>
      <c r="W747" s="224"/>
      <c r="X747" s="224"/>
      <c r="Y747" s="224"/>
      <c r="Z747" s="224"/>
      <c r="AA747" s="224"/>
      <c r="AB747" s="224"/>
    </row>
    <row r="748" spans="1:28" ht="15.75" hidden="1" customHeight="1">
      <c r="A748" s="248">
        <v>44796</v>
      </c>
      <c r="B748" s="219" t="s">
        <v>6218</v>
      </c>
      <c r="C748" s="315">
        <v>2.5</v>
      </c>
      <c r="D748" s="315"/>
      <c r="E748" s="219" t="s">
        <v>11349</v>
      </c>
      <c r="F748" s="219" t="s">
        <v>4</v>
      </c>
      <c r="G748" s="219" t="s">
        <v>447</v>
      </c>
      <c r="H748" s="219" t="s">
        <v>11350</v>
      </c>
      <c r="I748" s="219">
        <v>2</v>
      </c>
      <c r="J748" s="219" t="s">
        <v>1073</v>
      </c>
      <c r="K748" s="219" t="s">
        <v>6223</v>
      </c>
      <c r="L748" s="219">
        <v>3</v>
      </c>
      <c r="M748" s="219"/>
      <c r="N748" s="219"/>
      <c r="O748" s="219" t="s">
        <v>452</v>
      </c>
      <c r="P748" s="219" t="s">
        <v>6224</v>
      </c>
      <c r="Q748" s="219" t="s">
        <v>6225</v>
      </c>
      <c r="R748" s="219" t="s">
        <v>24</v>
      </c>
      <c r="S748" s="251"/>
      <c r="T748" s="251"/>
      <c r="U748" s="219"/>
      <c r="V748" s="219"/>
      <c r="W748" s="219"/>
      <c r="X748" s="219"/>
      <c r="Y748" s="219"/>
      <c r="Z748" s="219"/>
      <c r="AA748" s="219"/>
      <c r="AB748" s="219"/>
    </row>
    <row r="749" spans="1:28" ht="15.75" hidden="1" customHeight="1">
      <c r="A749" s="253">
        <v>44796</v>
      </c>
      <c r="B749" s="224" t="s">
        <v>6548</v>
      </c>
      <c r="C749" s="316">
        <v>2.5</v>
      </c>
      <c r="D749" s="316"/>
      <c r="E749" s="224"/>
      <c r="F749" s="224" t="s">
        <v>4</v>
      </c>
      <c r="G749" s="224" t="s">
        <v>602</v>
      </c>
      <c r="H749" s="224"/>
      <c r="I749" s="224">
        <v>2</v>
      </c>
      <c r="J749" s="224" t="s">
        <v>476</v>
      </c>
      <c r="K749" s="224" t="s">
        <v>13400</v>
      </c>
      <c r="L749" s="224">
        <v>3</v>
      </c>
      <c r="M749" s="224" t="s">
        <v>2190</v>
      </c>
      <c r="N749" s="224" t="s">
        <v>6552</v>
      </c>
      <c r="O749" s="224" t="s">
        <v>465</v>
      </c>
      <c r="P749" s="224" t="s">
        <v>6553</v>
      </c>
      <c r="Q749" s="224"/>
      <c r="R749" s="224" t="s">
        <v>24</v>
      </c>
      <c r="S749" s="254"/>
      <c r="T749" s="254"/>
      <c r="U749" s="224"/>
      <c r="V749" s="224"/>
      <c r="W749" s="224"/>
      <c r="X749" s="224"/>
      <c r="Y749" s="224"/>
      <c r="Z749" s="224"/>
      <c r="AA749" s="224"/>
      <c r="AB749" s="224"/>
    </row>
    <row r="750" spans="1:28" ht="15.75" customHeight="1">
      <c r="A750" s="248">
        <v>44796</v>
      </c>
      <c r="B750" s="219" t="s">
        <v>3340</v>
      </c>
      <c r="C750" s="219">
        <v>2.5</v>
      </c>
      <c r="D750" s="219"/>
      <c r="E750" s="219"/>
      <c r="F750" s="219" t="s">
        <v>5</v>
      </c>
      <c r="G750" s="219" t="s">
        <v>447</v>
      </c>
      <c r="H750" s="219" t="s">
        <v>11371</v>
      </c>
      <c r="I750" s="219">
        <v>2</v>
      </c>
      <c r="J750" s="219" t="s">
        <v>449</v>
      </c>
      <c r="K750" s="219" t="s">
        <v>11372</v>
      </c>
      <c r="L750" s="219">
        <v>3</v>
      </c>
      <c r="M750" s="219" t="s">
        <v>913</v>
      </c>
      <c r="N750" s="219" t="s">
        <v>3345</v>
      </c>
      <c r="O750" s="219" t="s">
        <v>452</v>
      </c>
      <c r="P750" s="219" t="s">
        <v>3346</v>
      </c>
      <c r="Q750" s="219"/>
      <c r="R750" s="219" t="s">
        <v>24</v>
      </c>
      <c r="S750" s="219"/>
      <c r="T750" s="219"/>
      <c r="U750" s="219"/>
      <c r="V750" s="219"/>
      <c r="W750" s="219"/>
      <c r="X750" s="219"/>
      <c r="Y750" s="219"/>
      <c r="Z750" s="219"/>
      <c r="AA750" s="219"/>
      <c r="AB750" s="219"/>
    </row>
    <row r="751" spans="1:28" ht="15.75" hidden="1" customHeight="1">
      <c r="A751" s="253">
        <v>44796</v>
      </c>
      <c r="B751" s="224" t="s">
        <v>6270</v>
      </c>
      <c r="C751" s="316">
        <v>2.5</v>
      </c>
      <c r="D751" s="316"/>
      <c r="E751" s="224" t="s">
        <v>6273</v>
      </c>
      <c r="F751" s="224" t="s">
        <v>4</v>
      </c>
      <c r="G751" s="224" t="s">
        <v>725</v>
      </c>
      <c r="H751" s="224" t="s">
        <v>6274</v>
      </c>
      <c r="I751" s="224">
        <v>2</v>
      </c>
      <c r="J751" s="224" t="s">
        <v>1237</v>
      </c>
      <c r="K751" s="224"/>
      <c r="L751" s="224">
        <v>3</v>
      </c>
      <c r="M751" s="224" t="s">
        <v>784</v>
      </c>
      <c r="N751" s="311">
        <v>1000000</v>
      </c>
      <c r="O751" s="224" t="s">
        <v>452</v>
      </c>
      <c r="P751" s="224" t="s">
        <v>6275</v>
      </c>
      <c r="Q751" s="224"/>
      <c r="R751" s="224" t="s">
        <v>24</v>
      </c>
      <c r="S751" s="254"/>
      <c r="T751" s="254"/>
      <c r="U751" s="224"/>
      <c r="V751" s="224"/>
      <c r="W751" s="224"/>
      <c r="X751" s="224"/>
      <c r="Y751" s="224"/>
      <c r="Z751" s="224"/>
      <c r="AA751" s="224"/>
      <c r="AB751" s="224"/>
    </row>
    <row r="752" spans="1:28" ht="15.75" hidden="1" customHeight="1">
      <c r="A752" s="248">
        <v>44796</v>
      </c>
      <c r="B752" s="219" t="s">
        <v>6493</v>
      </c>
      <c r="C752" s="315">
        <v>2.5</v>
      </c>
      <c r="D752" s="315"/>
      <c r="E752" s="219" t="s">
        <v>6496</v>
      </c>
      <c r="F752" s="219" t="s">
        <v>4</v>
      </c>
      <c r="G752" s="219" t="s">
        <v>727</v>
      </c>
      <c r="H752" s="219" t="s">
        <v>11240</v>
      </c>
      <c r="I752" s="219">
        <v>2.5</v>
      </c>
      <c r="J752" s="219" t="s">
        <v>1045</v>
      </c>
      <c r="K752" s="219" t="s">
        <v>6498</v>
      </c>
      <c r="L752" s="219">
        <v>2.5</v>
      </c>
      <c r="M752" s="219" t="s">
        <v>784</v>
      </c>
      <c r="N752" s="331">
        <v>500000</v>
      </c>
      <c r="O752" s="219" t="s">
        <v>452</v>
      </c>
      <c r="P752" s="219" t="s">
        <v>6499</v>
      </c>
      <c r="Q752" s="219"/>
      <c r="R752" s="219" t="s">
        <v>24</v>
      </c>
      <c r="S752" s="251"/>
      <c r="T752" s="251"/>
      <c r="U752" s="219"/>
      <c r="V752" s="219"/>
      <c r="W752" s="219"/>
      <c r="X752" s="219"/>
      <c r="Y752" s="219"/>
      <c r="Z752" s="219"/>
      <c r="AA752" s="219"/>
      <c r="AB752" s="219"/>
    </row>
    <row r="753" spans="1:28" ht="15.75" hidden="1" customHeight="1">
      <c r="A753" s="253">
        <v>44796</v>
      </c>
      <c r="B753" s="224" t="s">
        <v>6300</v>
      </c>
      <c r="C753" s="316">
        <v>2.5</v>
      </c>
      <c r="D753" s="316"/>
      <c r="E753" s="224"/>
      <c r="F753" s="224" t="s">
        <v>4</v>
      </c>
      <c r="G753" s="224" t="s">
        <v>725</v>
      </c>
      <c r="H753" s="224" t="s">
        <v>11495</v>
      </c>
      <c r="I753" s="224">
        <v>2</v>
      </c>
      <c r="J753" s="224" t="s">
        <v>1281</v>
      </c>
      <c r="K753" s="224" t="s">
        <v>6304</v>
      </c>
      <c r="L753" s="224">
        <v>3</v>
      </c>
      <c r="M753" s="224" t="s">
        <v>6305</v>
      </c>
      <c r="N753" s="224" t="s">
        <v>6306</v>
      </c>
      <c r="O753" s="224" t="s">
        <v>452</v>
      </c>
      <c r="P753" s="224" t="s">
        <v>6307</v>
      </c>
      <c r="Q753" s="224" t="s">
        <v>6308</v>
      </c>
      <c r="R753" s="224" t="s">
        <v>24</v>
      </c>
      <c r="S753" s="254"/>
      <c r="T753" s="254"/>
      <c r="U753" s="224"/>
      <c r="V753" s="224"/>
      <c r="W753" s="224"/>
      <c r="X753" s="224"/>
      <c r="Y753" s="224"/>
      <c r="Z753" s="224"/>
      <c r="AA753" s="224"/>
      <c r="AB753" s="224"/>
    </row>
    <row r="754" spans="1:28" ht="15.75" hidden="1" customHeight="1">
      <c r="A754" s="267">
        <v>44784</v>
      </c>
      <c r="B754" s="268" t="s">
        <v>6614</v>
      </c>
      <c r="C754" s="269">
        <v>2.38</v>
      </c>
      <c r="D754" s="269"/>
      <c r="E754" s="268" t="s">
        <v>6617</v>
      </c>
      <c r="F754" s="270" t="s">
        <v>4</v>
      </c>
      <c r="G754" s="268" t="s">
        <v>725</v>
      </c>
      <c r="H754" s="268"/>
      <c r="I754" s="268">
        <v>2</v>
      </c>
      <c r="J754" s="268" t="s">
        <v>727</v>
      </c>
      <c r="K754" s="268" t="s">
        <v>10846</v>
      </c>
      <c r="L754" s="268">
        <v>2.75</v>
      </c>
      <c r="M754" s="268" t="s">
        <v>451</v>
      </c>
      <c r="N754" s="268">
        <v>800000</v>
      </c>
      <c r="O754" s="268" t="s">
        <v>452</v>
      </c>
      <c r="P754" s="300" t="s">
        <v>10847</v>
      </c>
      <c r="Q754" s="268"/>
      <c r="R754" s="268" t="s">
        <v>24</v>
      </c>
      <c r="S754" s="271"/>
      <c r="T754" s="271"/>
      <c r="U754" s="268"/>
      <c r="V754" s="268"/>
      <c r="W754" s="268"/>
      <c r="X754" s="268"/>
      <c r="Y754" s="268"/>
      <c r="Z754" s="219"/>
      <c r="AA754" s="219"/>
      <c r="AB754" s="219"/>
    </row>
    <row r="755" spans="1:28" ht="15.75" hidden="1" customHeight="1">
      <c r="A755" s="220">
        <v>44776</v>
      </c>
      <c r="B755" s="221" t="s">
        <v>6737</v>
      </c>
      <c r="C755" s="214">
        <v>2.25</v>
      </c>
      <c r="D755" s="214"/>
      <c r="E755" s="221" t="s">
        <v>6740</v>
      </c>
      <c r="F755" s="215" t="s">
        <v>4</v>
      </c>
      <c r="G755" s="221" t="s">
        <v>602</v>
      </c>
      <c r="H755" s="221" t="s">
        <v>6741</v>
      </c>
      <c r="I755" s="221">
        <v>2</v>
      </c>
      <c r="J755" s="221" t="s">
        <v>727</v>
      </c>
      <c r="K755" s="221" t="s">
        <v>6742</v>
      </c>
      <c r="L755" s="221">
        <v>2.5</v>
      </c>
      <c r="M755" s="221" t="s">
        <v>451</v>
      </c>
      <c r="N755" s="222">
        <v>1000000</v>
      </c>
      <c r="O755" s="221" t="s">
        <v>465</v>
      </c>
      <c r="P755" s="221" t="s">
        <v>452</v>
      </c>
      <c r="Q755" s="145"/>
      <c r="R755" s="221" t="s">
        <v>24</v>
      </c>
      <c r="S755" s="223" t="str">
        <f t="array" ref="S755">INDEX(Notes!C:C,MATCH($B755,Notes!$A:$A,0))</f>
        <v>Lenny Saizan</v>
      </c>
      <c r="T755" s="223"/>
      <c r="U755" s="218"/>
      <c r="V755" s="218"/>
      <c r="W755" s="218"/>
      <c r="X755" s="224"/>
      <c r="Y755" s="224"/>
      <c r="Z755" s="224"/>
      <c r="AA755" s="224"/>
      <c r="AB755" s="224"/>
    </row>
    <row r="756" spans="1:28" ht="15.75" hidden="1" customHeight="1">
      <c r="A756" s="248">
        <v>44782</v>
      </c>
      <c r="B756" s="219" t="s">
        <v>6720</v>
      </c>
      <c r="C756" s="249">
        <v>2.25</v>
      </c>
      <c r="D756" s="249"/>
      <c r="E756" s="219" t="s">
        <v>6723</v>
      </c>
      <c r="F756" s="250" t="s">
        <v>4</v>
      </c>
      <c r="G756" s="219" t="s">
        <v>727</v>
      </c>
      <c r="H756" s="219" t="s">
        <v>6724</v>
      </c>
      <c r="I756" s="219">
        <v>2.5</v>
      </c>
      <c r="J756" s="219" t="s">
        <v>1054</v>
      </c>
      <c r="K756" s="219" t="s">
        <v>6725</v>
      </c>
      <c r="L756" s="219">
        <v>2</v>
      </c>
      <c r="M756" s="219"/>
      <c r="N756" s="219"/>
      <c r="O756" s="219" t="s">
        <v>452</v>
      </c>
      <c r="P756" s="219" t="s">
        <v>11542</v>
      </c>
      <c r="Q756" s="219"/>
      <c r="R756" s="219" t="s">
        <v>24</v>
      </c>
      <c r="S756" s="251"/>
      <c r="T756" s="251"/>
      <c r="U756" s="252"/>
      <c r="V756" s="252"/>
      <c r="W756" s="252"/>
      <c r="X756" s="219"/>
      <c r="Y756" s="219"/>
      <c r="Z756" s="219"/>
      <c r="AA756" s="219"/>
      <c r="AB756" s="219"/>
    </row>
    <row r="757" spans="1:28" ht="15.75" customHeight="1">
      <c r="A757" s="253">
        <v>44782</v>
      </c>
      <c r="B757" s="224" t="s">
        <v>3060</v>
      </c>
      <c r="C757" s="250">
        <v>2.25</v>
      </c>
      <c r="D757" s="250"/>
      <c r="E757" s="224" t="s">
        <v>3063</v>
      </c>
      <c r="F757" s="250" t="s">
        <v>5</v>
      </c>
      <c r="G757" s="224" t="s">
        <v>447</v>
      </c>
      <c r="H757" s="224" t="s">
        <v>10399</v>
      </c>
      <c r="I757" s="224">
        <v>2.5</v>
      </c>
      <c r="J757" s="224" t="s">
        <v>476</v>
      </c>
      <c r="K757" s="224" t="s">
        <v>10400</v>
      </c>
      <c r="L757" s="224">
        <v>2</v>
      </c>
      <c r="M757" s="224"/>
      <c r="N757" s="224"/>
      <c r="O757" s="224" t="s">
        <v>452</v>
      </c>
      <c r="P757" s="224" t="s">
        <v>452</v>
      </c>
      <c r="Q757" s="224"/>
      <c r="R757" s="224" t="s">
        <v>24</v>
      </c>
      <c r="S757" s="224"/>
      <c r="T757" s="224"/>
      <c r="U757" s="252"/>
      <c r="V757" s="252"/>
      <c r="W757" s="252"/>
      <c r="X757" s="224"/>
      <c r="Y757" s="224"/>
      <c r="Z757" s="224"/>
      <c r="AA757" s="224"/>
      <c r="AB757" s="224"/>
    </row>
    <row r="758" spans="1:28" ht="15.75" hidden="1" customHeight="1">
      <c r="A758" s="248">
        <v>44782</v>
      </c>
      <c r="B758" s="219" t="s">
        <v>6681</v>
      </c>
      <c r="C758" s="249">
        <v>2.25</v>
      </c>
      <c r="D758" s="249"/>
      <c r="E758" s="219" t="s">
        <v>6684</v>
      </c>
      <c r="F758" s="250" t="s">
        <v>4</v>
      </c>
      <c r="G758" s="219" t="s">
        <v>602</v>
      </c>
      <c r="H758" s="219"/>
      <c r="I758" s="219">
        <v>2</v>
      </c>
      <c r="J758" s="219" t="s">
        <v>476</v>
      </c>
      <c r="K758" s="219" t="s">
        <v>13400</v>
      </c>
      <c r="L758" s="219">
        <v>2.5</v>
      </c>
      <c r="M758" s="219" t="s">
        <v>451</v>
      </c>
      <c r="N758" s="219">
        <v>120000</v>
      </c>
      <c r="O758" s="219" t="s">
        <v>454</v>
      </c>
      <c r="P758" s="219" t="s">
        <v>6686</v>
      </c>
      <c r="Q758" s="219" t="s">
        <v>6687</v>
      </c>
      <c r="R758" s="219" t="s">
        <v>24</v>
      </c>
      <c r="S758" s="251"/>
      <c r="T758" s="251"/>
      <c r="U758" s="252"/>
      <c r="V758" s="252"/>
      <c r="W758" s="252"/>
      <c r="X758" s="219"/>
      <c r="Y758" s="219"/>
      <c r="Z758" s="219"/>
      <c r="AA758" s="219"/>
      <c r="AB758" s="219"/>
    </row>
    <row r="759" spans="1:28" ht="15.75" customHeight="1">
      <c r="A759" s="253">
        <v>44782</v>
      </c>
      <c r="B759" s="224" t="s">
        <v>3441</v>
      </c>
      <c r="C759" s="250">
        <v>2.25</v>
      </c>
      <c r="D759" s="250"/>
      <c r="E759" s="224" t="s">
        <v>3444</v>
      </c>
      <c r="F759" s="250" t="s">
        <v>5</v>
      </c>
      <c r="G759" s="224" t="s">
        <v>447</v>
      </c>
      <c r="H759" s="224" t="s">
        <v>10465</v>
      </c>
      <c r="I759" s="224">
        <v>2</v>
      </c>
      <c r="J759" s="224" t="s">
        <v>476</v>
      </c>
      <c r="K759" s="224" t="s">
        <v>13400</v>
      </c>
      <c r="L759" s="224">
        <v>2.5</v>
      </c>
      <c r="M759" s="224"/>
      <c r="N759" s="224"/>
      <c r="O759" s="224" t="s">
        <v>452</v>
      </c>
      <c r="P759" s="224" t="s">
        <v>3447</v>
      </c>
      <c r="Q759" s="224"/>
      <c r="R759" s="224" t="s">
        <v>24</v>
      </c>
      <c r="S759" s="224"/>
      <c r="T759" s="224"/>
      <c r="U759" s="252"/>
      <c r="V759" s="252"/>
      <c r="W759" s="252"/>
      <c r="X759" s="224"/>
      <c r="Y759" s="224"/>
      <c r="Z759" s="224"/>
      <c r="AA759" s="224"/>
      <c r="AB759" s="224"/>
    </row>
    <row r="760" spans="1:28" ht="15.75" hidden="1" customHeight="1">
      <c r="A760" s="248">
        <v>44782</v>
      </c>
      <c r="B760" s="219" t="s">
        <v>6841</v>
      </c>
      <c r="C760" s="249">
        <v>2.25</v>
      </c>
      <c r="D760" s="249"/>
      <c r="E760" s="219" t="s">
        <v>10468</v>
      </c>
      <c r="F760" s="250" t="s">
        <v>4</v>
      </c>
      <c r="G760" s="219" t="s">
        <v>727</v>
      </c>
      <c r="H760" s="219" t="s">
        <v>6845</v>
      </c>
      <c r="I760" s="219">
        <v>2.5</v>
      </c>
      <c r="J760" s="219" t="s">
        <v>1054</v>
      </c>
      <c r="K760" s="219" t="s">
        <v>6846</v>
      </c>
      <c r="L760" s="219">
        <v>2</v>
      </c>
      <c r="M760" s="219" t="s">
        <v>451</v>
      </c>
      <c r="N760" s="219">
        <v>2000000</v>
      </c>
      <c r="O760" s="219" t="s">
        <v>452</v>
      </c>
      <c r="P760" s="219" t="s">
        <v>10469</v>
      </c>
      <c r="Q760" s="219"/>
      <c r="R760" s="219" t="s">
        <v>24</v>
      </c>
      <c r="S760" s="251"/>
      <c r="T760" s="251"/>
      <c r="U760" s="252"/>
      <c r="V760" s="252"/>
      <c r="W760" s="252"/>
      <c r="X760" s="219"/>
      <c r="Y760" s="219"/>
      <c r="Z760" s="219"/>
      <c r="AA760" s="219"/>
      <c r="AB760" s="219"/>
    </row>
    <row r="761" spans="1:28" ht="15.75" customHeight="1">
      <c r="A761" s="253">
        <v>44782</v>
      </c>
      <c r="B761" s="224" t="s">
        <v>2549</v>
      </c>
      <c r="C761" s="250">
        <v>2.25</v>
      </c>
      <c r="D761" s="250"/>
      <c r="E761" s="224" t="s">
        <v>2552</v>
      </c>
      <c r="F761" s="250" t="s">
        <v>5</v>
      </c>
      <c r="G761" s="224" t="s">
        <v>447</v>
      </c>
      <c r="H761" s="224" t="s">
        <v>10537</v>
      </c>
      <c r="I761" s="224">
        <v>2.5</v>
      </c>
      <c r="J761" s="224" t="s">
        <v>449</v>
      </c>
      <c r="K761" s="224" t="s">
        <v>13400</v>
      </c>
      <c r="L761" s="224">
        <v>2</v>
      </c>
      <c r="M761" s="224" t="s">
        <v>784</v>
      </c>
      <c r="N761" s="224">
        <v>5000000</v>
      </c>
      <c r="O761" s="224" t="s">
        <v>454</v>
      </c>
      <c r="P761" s="224" t="s">
        <v>452</v>
      </c>
      <c r="Q761" s="224"/>
      <c r="R761" s="224" t="s">
        <v>24</v>
      </c>
      <c r="S761" s="224"/>
      <c r="T761" s="224"/>
      <c r="U761" s="252"/>
      <c r="V761" s="252"/>
      <c r="W761" s="252"/>
      <c r="X761" s="224"/>
      <c r="Y761" s="224"/>
      <c r="Z761" s="224"/>
      <c r="AA761" s="224"/>
      <c r="AB761" s="224"/>
    </row>
    <row r="762" spans="1:28" ht="15.75" customHeight="1">
      <c r="A762" s="248">
        <v>44782</v>
      </c>
      <c r="B762" s="219" t="s">
        <v>2715</v>
      </c>
      <c r="C762" s="250">
        <v>2.25</v>
      </c>
      <c r="D762" s="250"/>
      <c r="E762" s="219" t="s">
        <v>10595</v>
      </c>
      <c r="F762" s="250" t="s">
        <v>5</v>
      </c>
      <c r="G762" s="219" t="s">
        <v>447</v>
      </c>
      <c r="H762" s="219" t="s">
        <v>2719</v>
      </c>
      <c r="I762" s="219">
        <v>2.5</v>
      </c>
      <c r="J762" s="219" t="s">
        <v>622</v>
      </c>
      <c r="K762" s="219" t="s">
        <v>11543</v>
      </c>
      <c r="L762" s="219">
        <v>2</v>
      </c>
      <c r="M762" s="219" t="s">
        <v>451</v>
      </c>
      <c r="N762" s="219">
        <v>1000000</v>
      </c>
      <c r="O762" s="219" t="s">
        <v>452</v>
      </c>
      <c r="P762" s="219" t="s">
        <v>10597</v>
      </c>
      <c r="Q762" s="219"/>
      <c r="R762" s="219" t="s">
        <v>24</v>
      </c>
      <c r="S762" s="219"/>
      <c r="T762" s="219"/>
      <c r="U762" s="252"/>
      <c r="V762" s="252"/>
      <c r="W762" s="252"/>
      <c r="X762" s="219"/>
      <c r="Y762" s="219"/>
      <c r="Z762" s="219"/>
      <c r="AA762" s="219"/>
      <c r="AB762" s="219"/>
    </row>
    <row r="763" spans="1:28" ht="15.75" hidden="1" customHeight="1">
      <c r="A763" s="253">
        <v>44782</v>
      </c>
      <c r="B763" s="224" t="s">
        <v>6656</v>
      </c>
      <c r="C763" s="249">
        <v>2.25</v>
      </c>
      <c r="D763" s="249"/>
      <c r="E763" s="224" t="s">
        <v>11382</v>
      </c>
      <c r="F763" s="250" t="s">
        <v>4</v>
      </c>
      <c r="G763" s="224" t="s">
        <v>602</v>
      </c>
      <c r="H763" s="224" t="s">
        <v>11383</v>
      </c>
      <c r="I763" s="224">
        <v>2</v>
      </c>
      <c r="J763" s="224" t="s">
        <v>727</v>
      </c>
      <c r="K763" s="224" t="s">
        <v>6661</v>
      </c>
      <c r="L763" s="224">
        <v>2.5</v>
      </c>
      <c r="M763" s="224" t="s">
        <v>451</v>
      </c>
      <c r="N763" s="224">
        <v>1376390</v>
      </c>
      <c r="O763" s="224" t="s">
        <v>452</v>
      </c>
      <c r="P763" s="224" t="s">
        <v>452</v>
      </c>
      <c r="Q763" s="224"/>
      <c r="R763" s="224" t="s">
        <v>24</v>
      </c>
      <c r="S763" s="254"/>
      <c r="T763" s="254"/>
      <c r="U763" s="252"/>
      <c r="V763" s="252"/>
      <c r="W763" s="252"/>
      <c r="X763" s="224"/>
      <c r="Y763" s="224"/>
      <c r="Z763" s="224"/>
      <c r="AA763" s="224"/>
      <c r="AB763" s="224"/>
    </row>
    <row r="764" spans="1:28" ht="15.75" hidden="1" customHeight="1">
      <c r="A764" s="267">
        <v>44784</v>
      </c>
      <c r="B764" s="268" t="s">
        <v>6780</v>
      </c>
      <c r="C764" s="269">
        <v>2.25</v>
      </c>
      <c r="D764" s="269"/>
      <c r="E764" s="290" t="s">
        <v>6783</v>
      </c>
      <c r="F764" s="270" t="s">
        <v>4</v>
      </c>
      <c r="G764" s="268" t="s">
        <v>602</v>
      </c>
      <c r="H764" s="268" t="s">
        <v>6784</v>
      </c>
      <c r="I764" s="268">
        <v>2.5</v>
      </c>
      <c r="J764" s="268" t="s">
        <v>1054</v>
      </c>
      <c r="K764" s="268" t="s">
        <v>6785</v>
      </c>
      <c r="L764" s="268">
        <v>2</v>
      </c>
      <c r="M764" s="268" t="s">
        <v>451</v>
      </c>
      <c r="N764" s="285">
        <v>3000000</v>
      </c>
      <c r="O764" s="268" t="s">
        <v>452</v>
      </c>
      <c r="P764" s="285" t="s">
        <v>452</v>
      </c>
      <c r="Q764" s="268"/>
      <c r="R764" s="268" t="s">
        <v>24</v>
      </c>
      <c r="S764" s="271"/>
      <c r="T764" s="271"/>
      <c r="U764" s="268"/>
      <c r="V764" s="268"/>
      <c r="W764" s="268"/>
      <c r="X764" s="268"/>
      <c r="Y764" s="268"/>
      <c r="Z764" s="219"/>
      <c r="AA764" s="219"/>
      <c r="AB764" s="219"/>
    </row>
    <row r="765" spans="1:28" ht="15.75" hidden="1" customHeight="1">
      <c r="A765" s="267">
        <v>44784</v>
      </c>
      <c r="B765" s="272" t="s">
        <v>10205</v>
      </c>
      <c r="C765" s="269">
        <v>2.25</v>
      </c>
      <c r="D765" s="269"/>
      <c r="E765" s="272" t="s">
        <v>6650</v>
      </c>
      <c r="F765" s="270" t="s">
        <v>4</v>
      </c>
      <c r="G765" s="272" t="s">
        <v>602</v>
      </c>
      <c r="H765" s="272" t="s">
        <v>6651</v>
      </c>
      <c r="I765" s="272">
        <v>2</v>
      </c>
      <c r="J765" s="272" t="s">
        <v>727</v>
      </c>
      <c r="K765" s="272" t="s">
        <v>11636</v>
      </c>
      <c r="L765" s="272">
        <v>2.5</v>
      </c>
      <c r="M765" s="272" t="s">
        <v>451</v>
      </c>
      <c r="N765" s="284">
        <v>1500000</v>
      </c>
      <c r="O765" s="272" t="s">
        <v>452</v>
      </c>
      <c r="P765" s="284" t="s">
        <v>6653</v>
      </c>
      <c r="Q765" s="272"/>
      <c r="R765" s="272" t="s">
        <v>24</v>
      </c>
      <c r="S765" s="274"/>
      <c r="T765" s="274"/>
      <c r="U765" s="272"/>
      <c r="V765" s="272"/>
      <c r="W765" s="272"/>
      <c r="X765" s="272"/>
      <c r="Y765" s="272"/>
      <c r="Z765" s="224"/>
      <c r="AA765" s="224"/>
      <c r="AB765" s="224"/>
    </row>
    <row r="766" spans="1:28" ht="15.75" hidden="1" customHeight="1">
      <c r="A766" s="267">
        <v>44784</v>
      </c>
      <c r="B766" s="268" t="s">
        <v>6892</v>
      </c>
      <c r="C766" s="269">
        <v>2.25</v>
      </c>
      <c r="D766" s="269"/>
      <c r="E766" s="268" t="s">
        <v>6895</v>
      </c>
      <c r="F766" s="270" t="s">
        <v>4</v>
      </c>
      <c r="G766" s="268" t="s">
        <v>602</v>
      </c>
      <c r="H766" s="268" t="s">
        <v>6896</v>
      </c>
      <c r="I766" s="268">
        <v>2</v>
      </c>
      <c r="J766" s="268" t="s">
        <v>727</v>
      </c>
      <c r="K766" s="268" t="s">
        <v>6897</v>
      </c>
      <c r="L766" s="268">
        <v>2.5</v>
      </c>
      <c r="M766" s="268" t="s">
        <v>451</v>
      </c>
      <c r="N766" s="285">
        <v>4000000</v>
      </c>
      <c r="O766" s="268" t="s">
        <v>465</v>
      </c>
      <c r="P766" s="285" t="s">
        <v>575</v>
      </c>
      <c r="Q766" s="268"/>
      <c r="R766" s="268" t="s">
        <v>24</v>
      </c>
      <c r="S766" s="271"/>
      <c r="T766" s="271"/>
      <c r="U766" s="268"/>
      <c r="V766" s="268"/>
      <c r="W766" s="268"/>
      <c r="X766" s="268"/>
      <c r="Y766" s="268"/>
      <c r="Z766" s="219"/>
      <c r="AA766" s="219"/>
      <c r="AB766" s="219"/>
    </row>
    <row r="767" spans="1:28" ht="15.75" hidden="1" customHeight="1">
      <c r="A767" s="267">
        <v>44784</v>
      </c>
      <c r="B767" s="272" t="s">
        <v>8705</v>
      </c>
      <c r="C767" s="269">
        <v>2.25</v>
      </c>
      <c r="D767" s="269"/>
      <c r="E767" s="272" t="s">
        <v>8708</v>
      </c>
      <c r="F767" s="270" t="s">
        <v>3</v>
      </c>
      <c r="G767" s="272" t="s">
        <v>460</v>
      </c>
      <c r="H767" s="272" t="s">
        <v>8709</v>
      </c>
      <c r="I767" s="272">
        <v>2.5</v>
      </c>
      <c r="J767" s="272" t="s">
        <v>488</v>
      </c>
      <c r="K767" s="272" t="s">
        <v>8710</v>
      </c>
      <c r="L767" s="272">
        <v>2</v>
      </c>
      <c r="M767" s="272" t="s">
        <v>451</v>
      </c>
      <c r="N767" s="284">
        <v>1800000</v>
      </c>
      <c r="O767" s="272" t="s">
        <v>452</v>
      </c>
      <c r="P767" s="284" t="s">
        <v>8711</v>
      </c>
      <c r="Q767" s="272"/>
      <c r="R767" s="272" t="s">
        <v>24</v>
      </c>
      <c r="S767" s="274"/>
      <c r="T767" s="274"/>
      <c r="U767" s="272"/>
      <c r="V767" s="272"/>
      <c r="W767" s="272"/>
      <c r="X767" s="272"/>
      <c r="Y767" s="272"/>
      <c r="Z767" s="224"/>
      <c r="AA767" s="224"/>
      <c r="AB767" s="224"/>
    </row>
    <row r="768" spans="1:28" ht="15.75" hidden="1" customHeight="1">
      <c r="A768" s="267">
        <v>44784</v>
      </c>
      <c r="B768" s="268" t="s">
        <v>6797</v>
      </c>
      <c r="C768" s="269">
        <v>2.25</v>
      </c>
      <c r="D768" s="269"/>
      <c r="E768" s="268" t="s">
        <v>6800</v>
      </c>
      <c r="F768" s="270" t="s">
        <v>4</v>
      </c>
      <c r="G768" s="268" t="s">
        <v>602</v>
      </c>
      <c r="H768" s="268" t="s">
        <v>6801</v>
      </c>
      <c r="I768" s="268">
        <v>2</v>
      </c>
      <c r="J768" s="268" t="s">
        <v>727</v>
      </c>
      <c r="K768" s="268" t="s">
        <v>10313</v>
      </c>
      <c r="L768" s="268">
        <v>2.5</v>
      </c>
      <c r="M768" s="268" t="s">
        <v>784</v>
      </c>
      <c r="N768" s="268">
        <v>500000</v>
      </c>
      <c r="O768" s="268" t="s">
        <v>452</v>
      </c>
      <c r="P768" s="268" t="s">
        <v>10314</v>
      </c>
      <c r="Q768" s="268"/>
      <c r="R768" s="268" t="s">
        <v>24</v>
      </c>
      <c r="S768" s="271"/>
      <c r="T768" s="271"/>
      <c r="U768" s="268"/>
      <c r="V768" s="268"/>
      <c r="W768" s="268"/>
      <c r="X768" s="268"/>
      <c r="Y768" s="268"/>
      <c r="Z768" s="219"/>
      <c r="AA768" s="219"/>
      <c r="AB768" s="219"/>
    </row>
    <row r="769" spans="1:28" ht="15.75" hidden="1" customHeight="1">
      <c r="A769" s="267">
        <v>44784</v>
      </c>
      <c r="B769" s="272" t="s">
        <v>6639</v>
      </c>
      <c r="C769" s="269">
        <v>2.25</v>
      </c>
      <c r="D769" s="269"/>
      <c r="E769" s="272" t="s">
        <v>6642</v>
      </c>
      <c r="F769" s="270" t="s">
        <v>4</v>
      </c>
      <c r="G769" s="272" t="s">
        <v>727</v>
      </c>
      <c r="H769" s="272" t="s">
        <v>10319</v>
      </c>
      <c r="I769" s="272">
        <v>2</v>
      </c>
      <c r="J769" s="272" t="s">
        <v>1054</v>
      </c>
      <c r="K769" s="272" t="s">
        <v>6644</v>
      </c>
      <c r="L769" s="272">
        <v>2.5</v>
      </c>
      <c r="M769" s="272" t="s">
        <v>451</v>
      </c>
      <c r="N769" s="272">
        <v>2000000</v>
      </c>
      <c r="O769" s="272" t="s">
        <v>452</v>
      </c>
      <c r="P769" s="272" t="s">
        <v>452</v>
      </c>
      <c r="Q769" s="272"/>
      <c r="R769" s="272" t="s">
        <v>24</v>
      </c>
      <c r="S769" s="274"/>
      <c r="T769" s="274"/>
      <c r="U769" s="272"/>
      <c r="V769" s="272"/>
      <c r="W769" s="272"/>
      <c r="X769" s="272"/>
      <c r="Y769" s="272"/>
      <c r="Z769" s="224"/>
      <c r="AA769" s="224"/>
      <c r="AB769" s="224"/>
    </row>
    <row r="770" spans="1:28" ht="15.75" customHeight="1">
      <c r="A770" s="398">
        <v>44784</v>
      </c>
      <c r="B770" s="505" t="s">
        <v>2797</v>
      </c>
      <c r="C770" s="482">
        <v>2.25</v>
      </c>
      <c r="D770" s="482"/>
      <c r="E770" s="505" t="s">
        <v>10593</v>
      </c>
      <c r="F770" s="482" t="s">
        <v>5</v>
      </c>
      <c r="G770" s="505" t="s">
        <v>447</v>
      </c>
      <c r="H770" s="505" t="s">
        <v>10594</v>
      </c>
      <c r="I770" s="505">
        <v>2.5</v>
      </c>
      <c r="J770" s="505" t="s">
        <v>622</v>
      </c>
      <c r="K770" s="505"/>
      <c r="L770" s="505">
        <v>2</v>
      </c>
      <c r="M770" s="505"/>
      <c r="N770" s="505"/>
      <c r="O770" s="505" t="s">
        <v>452</v>
      </c>
      <c r="P770" s="505" t="s">
        <v>2802</v>
      </c>
      <c r="Q770" s="505"/>
      <c r="R770" s="505" t="s">
        <v>24</v>
      </c>
      <c r="S770" s="505"/>
      <c r="T770" s="505"/>
      <c r="U770" s="505"/>
      <c r="V770" s="505"/>
      <c r="W770" s="505"/>
      <c r="X770" s="505"/>
      <c r="Y770" s="505"/>
      <c r="Z770" s="219"/>
      <c r="AA770" s="219"/>
      <c r="AB770" s="219"/>
    </row>
    <row r="771" spans="1:28" ht="15.75" hidden="1" customHeight="1">
      <c r="A771" s="267">
        <v>44784</v>
      </c>
      <c r="B771" s="272" t="s">
        <v>6706</v>
      </c>
      <c r="C771" s="269">
        <v>2.25</v>
      </c>
      <c r="D771" s="269"/>
      <c r="E771" s="272" t="s">
        <v>6709</v>
      </c>
      <c r="F771" s="270" t="s">
        <v>4</v>
      </c>
      <c r="G771" s="272" t="s">
        <v>727</v>
      </c>
      <c r="H771" s="272" t="s">
        <v>10731</v>
      </c>
      <c r="I771" s="272">
        <v>2.5</v>
      </c>
      <c r="J771" s="272" t="s">
        <v>1054</v>
      </c>
      <c r="K771" s="272" t="s">
        <v>6711</v>
      </c>
      <c r="L771" s="272">
        <v>2</v>
      </c>
      <c r="M771" s="272"/>
      <c r="N771" s="272"/>
      <c r="O771" s="272" t="s">
        <v>452</v>
      </c>
      <c r="P771" s="272" t="s">
        <v>6712</v>
      </c>
      <c r="Q771" s="272"/>
      <c r="R771" s="272" t="s">
        <v>24</v>
      </c>
      <c r="S771" s="274"/>
      <c r="T771" s="274"/>
      <c r="U771" s="272"/>
      <c r="V771" s="272"/>
      <c r="W771" s="272"/>
      <c r="X771" s="272"/>
      <c r="Y771" s="272"/>
      <c r="Z771" s="224"/>
      <c r="AA771" s="224"/>
      <c r="AB771" s="224"/>
    </row>
    <row r="772" spans="1:28" ht="15.75" hidden="1" customHeight="1">
      <c r="A772" s="267">
        <v>44784</v>
      </c>
      <c r="B772" s="268" t="s">
        <v>6729</v>
      </c>
      <c r="C772" s="269">
        <v>2.25</v>
      </c>
      <c r="D772" s="269"/>
      <c r="E772" s="268" t="s">
        <v>6732</v>
      </c>
      <c r="F772" s="270" t="s">
        <v>4</v>
      </c>
      <c r="G772" s="268" t="s">
        <v>727</v>
      </c>
      <c r="H772" s="268" t="s">
        <v>6733</v>
      </c>
      <c r="I772" s="268">
        <v>2</v>
      </c>
      <c r="J772" s="268" t="s">
        <v>1054</v>
      </c>
      <c r="K772" s="268" t="s">
        <v>6734</v>
      </c>
      <c r="L772" s="268">
        <v>2.5</v>
      </c>
      <c r="M772" s="268" t="s">
        <v>478</v>
      </c>
      <c r="N772" s="275">
        <v>5000000</v>
      </c>
      <c r="O772" s="268" t="s">
        <v>465</v>
      </c>
      <c r="P772" s="275" t="s">
        <v>452</v>
      </c>
      <c r="Q772" s="268"/>
      <c r="R772" s="268" t="s">
        <v>24</v>
      </c>
      <c r="S772" s="271"/>
      <c r="T772" s="271"/>
      <c r="U772" s="268"/>
      <c r="V772" s="268"/>
      <c r="W772" s="268"/>
      <c r="X772" s="268"/>
      <c r="Y772" s="268"/>
      <c r="Z772" s="219"/>
      <c r="AA772" s="219"/>
      <c r="AB772" s="219"/>
    </row>
    <row r="773" spans="1:28" ht="15.75" hidden="1" customHeight="1">
      <c r="A773" s="267">
        <v>44784</v>
      </c>
      <c r="B773" s="272" t="s">
        <v>6834</v>
      </c>
      <c r="C773" s="269">
        <v>2.25</v>
      </c>
      <c r="D773" s="269"/>
      <c r="E773" s="272" t="s">
        <v>11599</v>
      </c>
      <c r="F773" s="270" t="s">
        <v>4</v>
      </c>
      <c r="G773" s="272" t="s">
        <v>602</v>
      </c>
      <c r="H773" s="272" t="s">
        <v>11438</v>
      </c>
      <c r="I773" s="272">
        <v>2</v>
      </c>
      <c r="J773" s="272" t="s">
        <v>1054</v>
      </c>
      <c r="K773" s="272" t="s">
        <v>11439</v>
      </c>
      <c r="L773" s="272">
        <v>2.5</v>
      </c>
      <c r="M773" s="272"/>
      <c r="N773" s="272"/>
      <c r="O773" s="272" t="s">
        <v>454</v>
      </c>
      <c r="P773" s="272" t="s">
        <v>452</v>
      </c>
      <c r="Q773" s="272"/>
      <c r="R773" s="272" t="s">
        <v>24</v>
      </c>
      <c r="S773" s="274"/>
      <c r="T773" s="274"/>
      <c r="U773" s="272"/>
      <c r="V773" s="272"/>
      <c r="W773" s="272"/>
      <c r="X773" s="272"/>
      <c r="Y773" s="272"/>
      <c r="Z773" s="224"/>
      <c r="AA773" s="224"/>
      <c r="AB773" s="224"/>
    </row>
    <row r="774" spans="1:28" ht="15.75" hidden="1" customHeight="1">
      <c r="A774" s="267">
        <v>44784</v>
      </c>
      <c r="B774" s="268" t="s">
        <v>6917</v>
      </c>
      <c r="C774" s="269">
        <v>2.25</v>
      </c>
      <c r="D774" s="269"/>
      <c r="E774" s="268" t="s">
        <v>6920</v>
      </c>
      <c r="F774" s="270" t="s">
        <v>4</v>
      </c>
      <c r="G774" s="268" t="s">
        <v>727</v>
      </c>
      <c r="H774" s="268"/>
      <c r="I774" s="268">
        <v>2.5</v>
      </c>
      <c r="J774" s="268" t="s">
        <v>1054</v>
      </c>
      <c r="K774" s="268" t="s">
        <v>6921</v>
      </c>
      <c r="L774" s="268">
        <v>2</v>
      </c>
      <c r="M774" s="268" t="s">
        <v>478</v>
      </c>
      <c r="N774" s="268">
        <v>2000000</v>
      </c>
      <c r="O774" s="268" t="s">
        <v>454</v>
      </c>
      <c r="P774" s="268" t="s">
        <v>6922</v>
      </c>
      <c r="Q774" s="268"/>
      <c r="R774" s="268" t="s">
        <v>24</v>
      </c>
      <c r="S774" s="271"/>
      <c r="T774" s="271"/>
      <c r="U774" s="268"/>
      <c r="V774" s="268"/>
      <c r="W774" s="268"/>
      <c r="X774" s="268"/>
      <c r="Y774" s="268"/>
      <c r="Z774" s="219"/>
      <c r="AA774" s="219"/>
      <c r="AB774" s="219"/>
    </row>
    <row r="775" spans="1:28" ht="15.75" hidden="1" customHeight="1">
      <c r="A775" s="253">
        <v>44789</v>
      </c>
      <c r="B775" s="224" t="s">
        <v>10205</v>
      </c>
      <c r="C775" s="249">
        <v>2.25</v>
      </c>
      <c r="D775" s="249"/>
      <c r="E775" s="224" t="s">
        <v>6650</v>
      </c>
      <c r="F775" s="250" t="s">
        <v>4</v>
      </c>
      <c r="G775" s="224" t="s">
        <v>602</v>
      </c>
      <c r="H775" s="224" t="s">
        <v>6651</v>
      </c>
      <c r="I775" s="224">
        <v>2</v>
      </c>
      <c r="J775" s="224" t="s">
        <v>727</v>
      </c>
      <c r="K775" s="224" t="s">
        <v>11636</v>
      </c>
      <c r="L775" s="224">
        <v>2.5</v>
      </c>
      <c r="M775" s="224" t="s">
        <v>451</v>
      </c>
      <c r="N775" s="311">
        <v>1500000</v>
      </c>
      <c r="O775" s="224" t="s">
        <v>452</v>
      </c>
      <c r="P775" s="224" t="s">
        <v>6653</v>
      </c>
      <c r="Q775" s="224"/>
      <c r="R775" s="224" t="s">
        <v>24</v>
      </c>
      <c r="S775" s="254"/>
      <c r="T775" s="254"/>
      <c r="U775" s="252"/>
      <c r="V775" s="252"/>
      <c r="W775" s="252"/>
      <c r="X775" s="224"/>
      <c r="Y775" s="224"/>
      <c r="Z775" s="224"/>
      <c r="AA775" s="224"/>
      <c r="AB775" s="224"/>
    </row>
    <row r="776" spans="1:28" ht="15.75" hidden="1" customHeight="1">
      <c r="A776" s="248">
        <v>44789</v>
      </c>
      <c r="B776" s="219" t="s">
        <v>6746</v>
      </c>
      <c r="C776" s="249">
        <v>2.25</v>
      </c>
      <c r="D776" s="249"/>
      <c r="E776" s="219" t="s">
        <v>6749</v>
      </c>
      <c r="F776" s="250" t="s">
        <v>4</v>
      </c>
      <c r="G776" s="219" t="s">
        <v>727</v>
      </c>
      <c r="H776" s="219" t="s">
        <v>6750</v>
      </c>
      <c r="I776" s="219">
        <v>2.5</v>
      </c>
      <c r="J776" s="219" t="s">
        <v>1045</v>
      </c>
      <c r="K776" s="219" t="s">
        <v>6751</v>
      </c>
      <c r="L776" s="219">
        <v>2</v>
      </c>
      <c r="M776" s="219"/>
      <c r="N776" s="219"/>
      <c r="O776" s="219" t="s">
        <v>452</v>
      </c>
      <c r="P776" s="219" t="s">
        <v>6289</v>
      </c>
      <c r="Q776" s="219"/>
      <c r="R776" s="219" t="s">
        <v>24</v>
      </c>
      <c r="S776" s="251"/>
      <c r="T776" s="251"/>
      <c r="U776" s="252"/>
      <c r="V776" s="252"/>
      <c r="W776" s="252"/>
      <c r="X776" s="219"/>
      <c r="Y776" s="219"/>
      <c r="Z776" s="219"/>
      <c r="AA776" s="219"/>
      <c r="AB776" s="219"/>
    </row>
    <row r="777" spans="1:28" ht="15.75" hidden="1" customHeight="1">
      <c r="A777" s="253">
        <v>44789</v>
      </c>
      <c r="B777" s="224" t="s">
        <v>6763</v>
      </c>
      <c r="C777" s="249">
        <v>2.25</v>
      </c>
      <c r="D777" s="249"/>
      <c r="E777" s="224" t="s">
        <v>6766</v>
      </c>
      <c r="F777" s="250" t="s">
        <v>4</v>
      </c>
      <c r="G777" s="224" t="s">
        <v>727</v>
      </c>
      <c r="H777" s="224" t="s">
        <v>10280</v>
      </c>
      <c r="I777" s="224">
        <v>2.5</v>
      </c>
      <c r="J777" s="224" t="s">
        <v>1045</v>
      </c>
      <c r="K777" s="224" t="s">
        <v>6768</v>
      </c>
      <c r="L777" s="224">
        <v>2</v>
      </c>
      <c r="M777" s="224" t="s">
        <v>478</v>
      </c>
      <c r="N777" s="307">
        <v>5000000</v>
      </c>
      <c r="O777" s="224" t="s">
        <v>465</v>
      </c>
      <c r="P777" s="224" t="s">
        <v>6769</v>
      </c>
      <c r="Q777" s="224"/>
      <c r="R777" s="224" t="s">
        <v>24</v>
      </c>
      <c r="S777" s="254"/>
      <c r="T777" s="254"/>
      <c r="U777" s="252"/>
      <c r="V777" s="252"/>
      <c r="W777" s="252"/>
      <c r="X777" s="224"/>
      <c r="Y777" s="224"/>
      <c r="Z777" s="224"/>
      <c r="AA777" s="224"/>
      <c r="AB777" s="224"/>
    </row>
    <row r="778" spans="1:28" ht="15.75" customHeight="1">
      <c r="A778" s="248">
        <v>44789</v>
      </c>
      <c r="B778" s="219" t="s">
        <v>2361</v>
      </c>
      <c r="C778" s="250">
        <v>2.25</v>
      </c>
      <c r="D778" s="250"/>
      <c r="E778" s="219" t="s">
        <v>10658</v>
      </c>
      <c r="F778" s="250" t="s">
        <v>5</v>
      </c>
      <c r="G778" s="219" t="s">
        <v>447</v>
      </c>
      <c r="H778" s="219" t="s">
        <v>10659</v>
      </c>
      <c r="I778" s="219">
        <v>2.5</v>
      </c>
      <c r="J778" s="219" t="s">
        <v>622</v>
      </c>
      <c r="K778" s="219" t="s">
        <v>2366</v>
      </c>
      <c r="L778" s="219">
        <v>2</v>
      </c>
      <c r="M778" s="219"/>
      <c r="N778" s="219"/>
      <c r="O778" s="219" t="s">
        <v>452</v>
      </c>
      <c r="P778" s="219" t="s">
        <v>2367</v>
      </c>
      <c r="Q778" s="219" t="s">
        <v>2368</v>
      </c>
      <c r="R778" s="219" t="s">
        <v>24</v>
      </c>
      <c r="S778" s="219"/>
      <c r="T778" s="219"/>
      <c r="U778" s="252"/>
      <c r="V778" s="252"/>
      <c r="W778" s="252"/>
      <c r="X778" s="219"/>
      <c r="Y778" s="219"/>
      <c r="Z778" s="219"/>
      <c r="AA778" s="219"/>
      <c r="AB778" s="219"/>
    </row>
    <row r="779" spans="1:28" ht="15.75" hidden="1" customHeight="1">
      <c r="A779" s="253">
        <v>44789</v>
      </c>
      <c r="B779" s="224" t="s">
        <v>6900</v>
      </c>
      <c r="C779" s="249">
        <v>2.25</v>
      </c>
      <c r="D779" s="249"/>
      <c r="E779" s="224" t="s">
        <v>6903</v>
      </c>
      <c r="F779" s="250" t="s">
        <v>4</v>
      </c>
      <c r="G779" s="224" t="s">
        <v>727</v>
      </c>
      <c r="H779" s="224" t="s">
        <v>6904</v>
      </c>
      <c r="I779" s="224">
        <v>2.5</v>
      </c>
      <c r="J779" s="224" t="s">
        <v>1045</v>
      </c>
      <c r="K779" s="224" t="s">
        <v>6905</v>
      </c>
      <c r="L779" s="224">
        <v>2</v>
      </c>
      <c r="M779" s="224"/>
      <c r="N779" s="311"/>
      <c r="O779" s="224" t="s">
        <v>452</v>
      </c>
      <c r="P779" s="224" t="s">
        <v>1119</v>
      </c>
      <c r="Q779" s="224" t="s">
        <v>6906</v>
      </c>
      <c r="R779" s="224" t="s">
        <v>24</v>
      </c>
      <c r="S779" s="254"/>
      <c r="T779" s="254"/>
      <c r="U779" s="252"/>
      <c r="V779" s="252"/>
      <c r="W779" s="252"/>
      <c r="X779" s="224"/>
      <c r="Y779" s="224"/>
      <c r="Z779" s="224"/>
      <c r="AA779" s="224"/>
      <c r="AB779" s="224"/>
    </row>
    <row r="780" spans="1:28" ht="15.75" customHeight="1">
      <c r="A780" s="248">
        <v>44789</v>
      </c>
      <c r="B780" s="219" t="s">
        <v>2389</v>
      </c>
      <c r="C780" s="250">
        <v>2.25</v>
      </c>
      <c r="D780" s="250"/>
      <c r="E780" s="219" t="s">
        <v>2392</v>
      </c>
      <c r="F780" s="250" t="s">
        <v>5</v>
      </c>
      <c r="G780" s="219" t="s">
        <v>447</v>
      </c>
      <c r="H780" s="219" t="s">
        <v>11637</v>
      </c>
      <c r="I780" s="219">
        <v>2</v>
      </c>
      <c r="J780" s="219" t="s">
        <v>449</v>
      </c>
      <c r="K780" s="219" t="e">
        <f>+passionate Team
+Large potential market
+developed product
-Tech does not appear Novel</f>
        <v>#NAME?</v>
      </c>
      <c r="L780" s="219">
        <v>2.5</v>
      </c>
      <c r="M780" s="219" t="s">
        <v>768</v>
      </c>
      <c r="N780" s="219">
        <v>400000</v>
      </c>
      <c r="O780" s="219" t="s">
        <v>452</v>
      </c>
      <c r="P780" s="219" t="s">
        <v>2396</v>
      </c>
      <c r="Q780" s="219"/>
      <c r="R780" s="219" t="s">
        <v>24</v>
      </c>
      <c r="S780" s="219"/>
      <c r="T780" s="219"/>
      <c r="U780" s="252"/>
      <c r="V780" s="252"/>
      <c r="W780" s="252"/>
      <c r="X780" s="219"/>
      <c r="Y780" s="219"/>
      <c r="Z780" s="219"/>
      <c r="AA780" s="219"/>
      <c r="AB780" s="219"/>
    </row>
    <row r="781" spans="1:28" ht="15.75" hidden="1" customHeight="1">
      <c r="A781" s="253">
        <v>44789</v>
      </c>
      <c r="B781" s="224" t="s">
        <v>6908</v>
      </c>
      <c r="C781" s="249">
        <v>2.25</v>
      </c>
      <c r="D781" s="249"/>
      <c r="E781" s="224" t="s">
        <v>10915</v>
      </c>
      <c r="F781" s="250" t="s">
        <v>4</v>
      </c>
      <c r="G781" s="224" t="s">
        <v>602</v>
      </c>
      <c r="H781" s="224" t="s">
        <v>6912</v>
      </c>
      <c r="I781" s="224">
        <v>2</v>
      </c>
      <c r="J781" s="224" t="s">
        <v>1054</v>
      </c>
      <c r="K781" s="224" t="s">
        <v>6913</v>
      </c>
      <c r="L781" s="224">
        <v>2.5</v>
      </c>
      <c r="M781" s="224"/>
      <c r="N781" s="311"/>
      <c r="O781" s="224" t="s">
        <v>452</v>
      </c>
      <c r="P781" s="224" t="s">
        <v>10916</v>
      </c>
      <c r="Q781" s="224"/>
      <c r="R781" s="224" t="s">
        <v>24</v>
      </c>
      <c r="S781" s="254"/>
      <c r="T781" s="254"/>
      <c r="U781" s="252"/>
      <c r="V781" s="252"/>
      <c r="W781" s="252"/>
      <c r="X781" s="224"/>
      <c r="Y781" s="224"/>
      <c r="Z781" s="224"/>
      <c r="AA781" s="224"/>
      <c r="AB781" s="224"/>
    </row>
    <row r="782" spans="1:28" ht="15.75" hidden="1" customHeight="1">
      <c r="A782" s="248">
        <v>44789</v>
      </c>
      <c r="B782" s="219" t="s">
        <v>6754</v>
      </c>
      <c r="C782" s="249">
        <v>2.25</v>
      </c>
      <c r="D782" s="249"/>
      <c r="E782" s="219" t="s">
        <v>6757</v>
      </c>
      <c r="F782" s="250" t="s">
        <v>4</v>
      </c>
      <c r="G782" s="219" t="s">
        <v>602</v>
      </c>
      <c r="H782" s="219" t="s">
        <v>6758</v>
      </c>
      <c r="I782" s="219">
        <v>2.5</v>
      </c>
      <c r="J782" s="219" t="s">
        <v>1054</v>
      </c>
      <c r="K782" s="219" t="s">
        <v>10958</v>
      </c>
      <c r="L782" s="219">
        <v>2</v>
      </c>
      <c r="M782" s="219"/>
      <c r="N782" s="219"/>
      <c r="O782" s="219" t="s">
        <v>452</v>
      </c>
      <c r="P782" s="219" t="s">
        <v>6760</v>
      </c>
      <c r="Q782" s="219"/>
      <c r="R782" s="219" t="s">
        <v>24</v>
      </c>
      <c r="S782" s="251"/>
      <c r="T782" s="251"/>
      <c r="U782" s="252"/>
      <c r="V782" s="252"/>
      <c r="W782" s="252"/>
      <c r="X782" s="219"/>
      <c r="Y782" s="219"/>
      <c r="Z782" s="219"/>
      <c r="AA782" s="219"/>
      <c r="AB782" s="219"/>
    </row>
    <row r="783" spans="1:28" ht="15.75" hidden="1" customHeight="1">
      <c r="A783" s="253">
        <v>44789</v>
      </c>
      <c r="B783" s="224" t="s">
        <v>6714</v>
      </c>
      <c r="C783" s="249">
        <v>2.25</v>
      </c>
      <c r="D783" s="249"/>
      <c r="E783" s="224" t="s">
        <v>6717</v>
      </c>
      <c r="F783" s="250" t="s">
        <v>4</v>
      </c>
      <c r="G783" s="224" t="s">
        <v>602</v>
      </c>
      <c r="H783" s="224" t="s">
        <v>6718</v>
      </c>
      <c r="I783" s="224">
        <v>3.5</v>
      </c>
      <c r="J783" s="224" t="s">
        <v>476</v>
      </c>
      <c r="K783" s="224" t="s">
        <v>11000</v>
      </c>
      <c r="L783" s="224">
        <v>1</v>
      </c>
      <c r="M783" s="224"/>
      <c r="N783" s="224"/>
      <c r="O783" s="224" t="s">
        <v>452</v>
      </c>
      <c r="P783" s="224" t="s">
        <v>452</v>
      </c>
      <c r="Q783" s="224"/>
      <c r="R783" s="224" t="s">
        <v>24</v>
      </c>
      <c r="S783" s="254"/>
      <c r="T783" s="254"/>
      <c r="U783" s="252"/>
      <c r="V783" s="252"/>
      <c r="W783" s="252"/>
      <c r="X783" s="224"/>
      <c r="Y783" s="224"/>
      <c r="Z783" s="224"/>
      <c r="AA783" s="224"/>
      <c r="AB783" s="224"/>
    </row>
    <row r="784" spans="1:28" ht="15.75" customHeight="1">
      <c r="A784" s="248">
        <v>44789</v>
      </c>
      <c r="B784" s="219" t="s">
        <v>2669</v>
      </c>
      <c r="C784" s="250">
        <v>2.25</v>
      </c>
      <c r="D784" s="250"/>
      <c r="E784" s="219" t="s">
        <v>2672</v>
      </c>
      <c r="F784" s="250" t="s">
        <v>5</v>
      </c>
      <c r="G784" s="219" t="s">
        <v>447</v>
      </c>
      <c r="H784" s="219" t="s">
        <v>11004</v>
      </c>
      <c r="I784" s="219">
        <v>2.5</v>
      </c>
      <c r="J784" s="219" t="s">
        <v>622</v>
      </c>
      <c r="K784" s="219" t="s">
        <v>2674</v>
      </c>
      <c r="L784" s="219">
        <v>2</v>
      </c>
      <c r="M784" s="219" t="s">
        <v>451</v>
      </c>
      <c r="N784" s="312">
        <v>500000</v>
      </c>
      <c r="O784" s="219" t="s">
        <v>452</v>
      </c>
      <c r="P784" s="219" t="s">
        <v>2675</v>
      </c>
      <c r="Q784" s="219"/>
      <c r="R784" s="219" t="s">
        <v>24</v>
      </c>
      <c r="S784" s="219"/>
      <c r="T784" s="219"/>
      <c r="U784" s="252"/>
      <c r="V784" s="252"/>
      <c r="W784" s="252"/>
      <c r="X784" s="219"/>
      <c r="Y784" s="219"/>
      <c r="Z784" s="219"/>
      <c r="AA784" s="219"/>
      <c r="AB784" s="219"/>
    </row>
    <row r="785" spans="1:28" ht="15.75" hidden="1" customHeight="1">
      <c r="A785" s="253">
        <v>44789</v>
      </c>
      <c r="B785" s="224" t="s">
        <v>9177</v>
      </c>
      <c r="C785" s="249">
        <v>2.25</v>
      </c>
      <c r="D785" s="249"/>
      <c r="E785" s="224" t="s">
        <v>9180</v>
      </c>
      <c r="F785" s="250" t="s">
        <v>3</v>
      </c>
      <c r="G785" s="224" t="s">
        <v>488</v>
      </c>
      <c r="H785" s="224" t="s">
        <v>9181</v>
      </c>
      <c r="I785" s="224">
        <v>2.5</v>
      </c>
      <c r="J785" s="224" t="s">
        <v>941</v>
      </c>
      <c r="K785" s="224"/>
      <c r="L785" s="224">
        <v>2</v>
      </c>
      <c r="M785" s="224" t="s">
        <v>923</v>
      </c>
      <c r="N785" s="307">
        <v>1000000</v>
      </c>
      <c r="O785" s="224" t="s">
        <v>452</v>
      </c>
      <c r="P785" s="224" t="s">
        <v>9182</v>
      </c>
      <c r="Q785" s="224" t="s">
        <v>9183</v>
      </c>
      <c r="R785" s="224" t="s">
        <v>24</v>
      </c>
      <c r="S785" s="254"/>
      <c r="T785" s="254"/>
      <c r="U785" s="252"/>
      <c r="V785" s="252"/>
      <c r="W785" s="252"/>
      <c r="X785" s="224"/>
      <c r="Y785" s="224"/>
      <c r="Z785" s="224"/>
      <c r="AA785" s="224"/>
      <c r="AB785" s="224"/>
    </row>
    <row r="786" spans="1:28" ht="15.75" hidden="1" customHeight="1">
      <c r="A786" s="248">
        <v>44789</v>
      </c>
      <c r="B786" s="219" t="s">
        <v>6673</v>
      </c>
      <c r="C786" s="249">
        <v>2.25</v>
      </c>
      <c r="D786" s="249"/>
      <c r="E786" s="219" t="s">
        <v>6676</v>
      </c>
      <c r="F786" s="250" t="s">
        <v>4</v>
      </c>
      <c r="G786" s="219" t="s">
        <v>727</v>
      </c>
      <c r="H786" s="219" t="s">
        <v>6677</v>
      </c>
      <c r="I786" s="219">
        <v>2.5</v>
      </c>
      <c r="J786" s="219" t="s">
        <v>1045</v>
      </c>
      <c r="K786" s="219" t="s">
        <v>6678</v>
      </c>
      <c r="L786" s="219">
        <v>2</v>
      </c>
      <c r="M786" s="219" t="s">
        <v>451</v>
      </c>
      <c r="N786" s="219">
        <v>2800000</v>
      </c>
      <c r="O786" s="219" t="s">
        <v>452</v>
      </c>
      <c r="P786" s="219" t="s">
        <v>6679</v>
      </c>
      <c r="Q786" s="219"/>
      <c r="R786" s="219" t="s">
        <v>24</v>
      </c>
      <c r="S786" s="251"/>
      <c r="T786" s="251"/>
      <c r="U786" s="252"/>
      <c r="V786" s="252"/>
      <c r="W786" s="252"/>
      <c r="X786" s="219"/>
      <c r="Y786" s="219"/>
      <c r="Z786" s="219"/>
      <c r="AA786" s="219"/>
      <c r="AB786" s="219"/>
    </row>
    <row r="787" spans="1:28" ht="15.75" customHeight="1">
      <c r="A787" s="253">
        <v>44789</v>
      </c>
      <c r="B787" s="224" t="s">
        <v>2885</v>
      </c>
      <c r="C787" s="250">
        <v>2.25</v>
      </c>
      <c r="D787" s="250"/>
      <c r="E787" s="224" t="s">
        <v>2888</v>
      </c>
      <c r="F787" s="250" t="s">
        <v>5</v>
      </c>
      <c r="G787" s="224" t="s">
        <v>447</v>
      </c>
      <c r="H787" s="224" t="s">
        <v>10763</v>
      </c>
      <c r="I787" s="224">
        <v>2</v>
      </c>
      <c r="J787" s="224" t="s">
        <v>622</v>
      </c>
      <c r="K787" s="224" t="s">
        <v>2890</v>
      </c>
      <c r="L787" s="224">
        <v>2.5</v>
      </c>
      <c r="M787" s="224"/>
      <c r="N787" s="224"/>
      <c r="O787" s="224" t="s">
        <v>452</v>
      </c>
      <c r="P787" s="224" t="s">
        <v>2891</v>
      </c>
      <c r="Q787" s="224" t="s">
        <v>2892</v>
      </c>
      <c r="R787" s="224" t="s">
        <v>24</v>
      </c>
      <c r="S787" s="224"/>
      <c r="T787" s="224"/>
      <c r="U787" s="252"/>
      <c r="V787" s="252"/>
      <c r="W787" s="252"/>
      <c r="X787" s="224"/>
      <c r="Y787" s="224"/>
      <c r="Z787" s="224"/>
      <c r="AA787" s="224"/>
      <c r="AB787" s="224"/>
    </row>
    <row r="788" spans="1:28" ht="15.75" hidden="1" customHeight="1">
      <c r="A788" s="248">
        <v>44789</v>
      </c>
      <c r="B788" s="219" t="s">
        <v>6788</v>
      </c>
      <c r="C788" s="249">
        <v>2.25</v>
      </c>
      <c r="D788" s="249"/>
      <c r="E788" s="219" t="s">
        <v>6791</v>
      </c>
      <c r="F788" s="250" t="s">
        <v>4</v>
      </c>
      <c r="G788" s="219" t="s">
        <v>602</v>
      </c>
      <c r="H788" s="219" t="s">
        <v>6792</v>
      </c>
      <c r="I788" s="219">
        <v>2</v>
      </c>
      <c r="J788" s="219" t="s">
        <v>476</v>
      </c>
      <c r="K788" s="219" t="s">
        <v>13400</v>
      </c>
      <c r="L788" s="219">
        <v>2.5</v>
      </c>
      <c r="M788" s="219" t="s">
        <v>784</v>
      </c>
      <c r="N788" s="312">
        <v>306000</v>
      </c>
      <c r="O788" s="219" t="s">
        <v>452</v>
      </c>
      <c r="P788" s="219" t="s">
        <v>6794</v>
      </c>
      <c r="Q788" s="219"/>
      <c r="R788" s="219" t="s">
        <v>24</v>
      </c>
      <c r="S788" s="251"/>
      <c r="T788" s="251"/>
      <c r="U788" s="252"/>
      <c r="V788" s="252"/>
      <c r="W788" s="252"/>
      <c r="X788" s="219"/>
      <c r="Y788" s="219"/>
      <c r="Z788" s="219"/>
      <c r="AA788" s="219"/>
      <c r="AB788" s="219"/>
    </row>
    <row r="789" spans="1:28" ht="15.75" hidden="1" customHeight="1">
      <c r="A789" s="253">
        <v>44791</v>
      </c>
      <c r="B789" s="224" t="s">
        <v>6825</v>
      </c>
      <c r="C789" s="316">
        <v>2.25</v>
      </c>
      <c r="D789" s="316"/>
      <c r="E789" s="224" t="s">
        <v>6828</v>
      </c>
      <c r="F789" s="224" t="s">
        <v>4</v>
      </c>
      <c r="G789" s="224" t="s">
        <v>725</v>
      </c>
      <c r="H789" s="224" t="s">
        <v>10345</v>
      </c>
      <c r="I789" s="224">
        <v>2.5</v>
      </c>
      <c r="J789" s="224" t="s">
        <v>1045</v>
      </c>
      <c r="K789" s="224" t="s">
        <v>6830</v>
      </c>
      <c r="L789" s="224">
        <v>2</v>
      </c>
      <c r="M789" s="224" t="s">
        <v>451</v>
      </c>
      <c r="N789" s="224">
        <v>2000000</v>
      </c>
      <c r="O789" s="224" t="s">
        <v>452</v>
      </c>
      <c r="P789" s="224" t="s">
        <v>6831</v>
      </c>
      <c r="Q789" s="224"/>
      <c r="R789" s="322" t="s">
        <v>24</v>
      </c>
      <c r="S789" s="254"/>
      <c r="T789" s="254"/>
      <c r="U789" s="224"/>
      <c r="V789" s="224"/>
      <c r="W789" s="224"/>
      <c r="X789" s="224"/>
      <c r="Y789" s="224"/>
      <c r="Z789" s="224"/>
      <c r="AA789" s="224"/>
      <c r="AB789" s="224"/>
    </row>
    <row r="790" spans="1:28" ht="15.75" hidden="1" customHeight="1">
      <c r="A790" s="248">
        <v>44791</v>
      </c>
      <c r="B790" s="219" t="s">
        <v>6815</v>
      </c>
      <c r="C790" s="315">
        <v>2.25</v>
      </c>
      <c r="D790" s="315"/>
      <c r="E790" s="219" t="s">
        <v>10757</v>
      </c>
      <c r="F790" s="219" t="s">
        <v>4</v>
      </c>
      <c r="G790" s="219" t="s">
        <v>727</v>
      </c>
      <c r="H790" s="219" t="s">
        <v>10758</v>
      </c>
      <c r="I790" s="219">
        <v>2</v>
      </c>
      <c r="J790" s="219" t="s">
        <v>1045</v>
      </c>
      <c r="K790" s="219" t="s">
        <v>10759</v>
      </c>
      <c r="L790" s="219">
        <v>2.5</v>
      </c>
      <c r="M790" s="219"/>
      <c r="N790" s="312"/>
      <c r="O790" s="219" t="s">
        <v>454</v>
      </c>
      <c r="P790" s="219" t="s">
        <v>6821</v>
      </c>
      <c r="Q790" s="219" t="s">
        <v>6822</v>
      </c>
      <c r="R790" s="322" t="s">
        <v>24</v>
      </c>
      <c r="S790" s="251"/>
      <c r="T790" s="251"/>
      <c r="U790" s="219"/>
      <c r="V790" s="219"/>
      <c r="W790" s="219"/>
      <c r="X790" s="219"/>
      <c r="Y790" s="219"/>
      <c r="Z790" s="219"/>
      <c r="AA790" s="219"/>
      <c r="AB790" s="219"/>
    </row>
    <row r="791" spans="1:28" ht="15.75" hidden="1" customHeight="1">
      <c r="A791" s="253">
        <v>44791</v>
      </c>
      <c r="B791" s="224" t="s">
        <v>6664</v>
      </c>
      <c r="C791" s="316">
        <v>2.25</v>
      </c>
      <c r="D791" s="316"/>
      <c r="E791" s="224" t="s">
        <v>6667</v>
      </c>
      <c r="F791" s="224" t="s">
        <v>4</v>
      </c>
      <c r="G791" s="224" t="s">
        <v>602</v>
      </c>
      <c r="H791" s="224" t="s">
        <v>6668</v>
      </c>
      <c r="I791" s="224">
        <v>2.5</v>
      </c>
      <c r="J791" s="224" t="s">
        <v>1036</v>
      </c>
      <c r="K791" s="224" t="s">
        <v>6669</v>
      </c>
      <c r="L791" s="224">
        <v>2</v>
      </c>
      <c r="M791" s="224" t="s">
        <v>451</v>
      </c>
      <c r="N791" s="224">
        <v>2000000</v>
      </c>
      <c r="O791" s="224" t="s">
        <v>465</v>
      </c>
      <c r="P791" s="224" t="s">
        <v>6670</v>
      </c>
      <c r="Q791" s="224"/>
      <c r="R791" s="322" t="s">
        <v>24</v>
      </c>
      <c r="S791" s="254"/>
      <c r="T791" s="254"/>
      <c r="U791" s="224"/>
      <c r="V791" s="224"/>
      <c r="W791" s="224"/>
      <c r="X791" s="224"/>
      <c r="Y791" s="224"/>
      <c r="Z791" s="224"/>
      <c r="AA791" s="224"/>
      <c r="AB791" s="224"/>
    </row>
    <row r="792" spans="1:28" ht="15.75" hidden="1" customHeight="1">
      <c r="A792" s="248">
        <v>44791</v>
      </c>
      <c r="B792" s="219" t="s">
        <v>6697</v>
      </c>
      <c r="C792" s="315">
        <v>2.25</v>
      </c>
      <c r="D792" s="315"/>
      <c r="E792" s="219" t="s">
        <v>6700</v>
      </c>
      <c r="F792" s="219" t="s">
        <v>4</v>
      </c>
      <c r="G792" s="219" t="s">
        <v>602</v>
      </c>
      <c r="H792" s="219" t="s">
        <v>6701</v>
      </c>
      <c r="I792" s="219">
        <v>2.5</v>
      </c>
      <c r="J792" s="219" t="s">
        <v>1073</v>
      </c>
      <c r="K792" s="219" t="s">
        <v>6702</v>
      </c>
      <c r="L792" s="219">
        <v>2</v>
      </c>
      <c r="M792" s="219"/>
      <c r="N792" s="219"/>
      <c r="O792" s="219" t="s">
        <v>454</v>
      </c>
      <c r="P792" s="219" t="s">
        <v>6703</v>
      </c>
      <c r="Q792" s="219"/>
      <c r="R792" s="322" t="s">
        <v>24</v>
      </c>
      <c r="S792" s="251"/>
      <c r="T792" s="251"/>
      <c r="U792" s="219"/>
      <c r="V792" s="219"/>
      <c r="W792" s="219"/>
      <c r="X792" s="219"/>
      <c r="Y792" s="219"/>
      <c r="Z792" s="219"/>
      <c r="AA792" s="219"/>
      <c r="AB792" s="219"/>
    </row>
    <row r="793" spans="1:28" ht="15.75" hidden="1" customHeight="1">
      <c r="A793" s="253">
        <v>44791</v>
      </c>
      <c r="B793" s="224" t="s">
        <v>6631</v>
      </c>
      <c r="C793" s="316">
        <v>2.25</v>
      </c>
      <c r="D793" s="316"/>
      <c r="E793" s="224" t="s">
        <v>6634</v>
      </c>
      <c r="F793" s="224" t="s">
        <v>4</v>
      </c>
      <c r="G793" s="224" t="s">
        <v>602</v>
      </c>
      <c r="H793" s="224" t="s">
        <v>6635</v>
      </c>
      <c r="I793" s="224">
        <v>2</v>
      </c>
      <c r="J793" s="224" t="s">
        <v>476</v>
      </c>
      <c r="K793" s="224" t="s">
        <v>11699</v>
      </c>
      <c r="L793" s="224">
        <v>2.5</v>
      </c>
      <c r="M793" s="224"/>
      <c r="N793" s="307"/>
      <c r="O793" s="224" t="s">
        <v>452</v>
      </c>
      <c r="P793" s="224" t="s">
        <v>575</v>
      </c>
      <c r="Q793" s="224"/>
      <c r="R793" s="322" t="s">
        <v>24</v>
      </c>
      <c r="S793" s="254"/>
      <c r="T793" s="254"/>
      <c r="U793" s="224"/>
      <c r="V793" s="224"/>
      <c r="W793" s="224"/>
      <c r="X793" s="224"/>
      <c r="Y793" s="224"/>
      <c r="Z793" s="224"/>
      <c r="AA793" s="224"/>
      <c r="AB793" s="224"/>
    </row>
    <row r="794" spans="1:28" ht="15.75" hidden="1" customHeight="1">
      <c r="A794" s="248">
        <v>44791</v>
      </c>
      <c r="B794" s="219" t="s">
        <v>6689</v>
      </c>
      <c r="C794" s="315">
        <v>2.25</v>
      </c>
      <c r="D794" s="315"/>
      <c r="E794" s="219" t="s">
        <v>6692</v>
      </c>
      <c r="F794" s="219" t="s">
        <v>4</v>
      </c>
      <c r="G794" s="219" t="s">
        <v>602</v>
      </c>
      <c r="H794" s="219" t="s">
        <v>6693</v>
      </c>
      <c r="I794" s="219">
        <v>3</v>
      </c>
      <c r="J794" s="219" t="s">
        <v>476</v>
      </c>
      <c r="K794" s="219" t="s">
        <v>11000</v>
      </c>
      <c r="L794" s="219">
        <v>1.5</v>
      </c>
      <c r="M794" s="219"/>
      <c r="N794" s="219"/>
      <c r="O794" s="219" t="s">
        <v>452</v>
      </c>
      <c r="P794" s="219" t="s">
        <v>974</v>
      </c>
      <c r="Q794" s="219" t="s">
        <v>6695</v>
      </c>
      <c r="R794" s="322" t="s">
        <v>24</v>
      </c>
      <c r="S794" s="251"/>
      <c r="T794" s="251"/>
      <c r="U794" s="219"/>
      <c r="V794" s="219"/>
      <c r="W794" s="219"/>
      <c r="X794" s="219"/>
      <c r="Y794" s="219"/>
      <c r="Z794" s="219"/>
      <c r="AA794" s="219"/>
      <c r="AB794" s="219"/>
    </row>
    <row r="795" spans="1:28" ht="15.75" customHeight="1">
      <c r="A795" s="253">
        <v>44791</v>
      </c>
      <c r="B795" s="224" t="s">
        <v>3449</v>
      </c>
      <c r="C795" s="224">
        <v>2.25</v>
      </c>
      <c r="D795" s="224"/>
      <c r="E795" s="224" t="s">
        <v>3452</v>
      </c>
      <c r="F795" s="224" t="s">
        <v>5</v>
      </c>
      <c r="G795" s="224" t="s">
        <v>447</v>
      </c>
      <c r="H795" s="224" t="s">
        <v>11277</v>
      </c>
      <c r="I795" s="224">
        <v>2.5</v>
      </c>
      <c r="J795" s="224" t="s">
        <v>543</v>
      </c>
      <c r="K795" s="224" t="s">
        <v>11278</v>
      </c>
      <c r="L795" s="224">
        <v>2</v>
      </c>
      <c r="M795" s="224"/>
      <c r="N795" s="311"/>
      <c r="O795" s="224" t="s">
        <v>454</v>
      </c>
      <c r="P795" s="224" t="s">
        <v>452</v>
      </c>
      <c r="Q795" s="224"/>
      <c r="R795" s="322" t="s">
        <v>24</v>
      </c>
      <c r="S795" s="224"/>
      <c r="T795" s="224"/>
      <c r="U795" s="224"/>
      <c r="V795" s="224"/>
      <c r="W795" s="224"/>
      <c r="X795" s="224"/>
      <c r="Y795" s="224"/>
      <c r="Z795" s="224"/>
      <c r="AA795" s="224"/>
      <c r="AB795" s="224"/>
    </row>
    <row r="796" spans="1:28" ht="15.75" customHeight="1">
      <c r="A796" s="248">
        <v>44791</v>
      </c>
      <c r="B796" s="219" t="s">
        <v>9576</v>
      </c>
      <c r="C796" s="219">
        <v>2.25</v>
      </c>
      <c r="D796" s="219"/>
      <c r="E796" s="219" t="s">
        <v>9579</v>
      </c>
      <c r="F796" s="219" t="s">
        <v>5</v>
      </c>
      <c r="G796" s="219" t="s">
        <v>447</v>
      </c>
      <c r="H796" s="219" t="s">
        <v>11149</v>
      </c>
      <c r="I796" s="219">
        <v>2</v>
      </c>
      <c r="J796" s="219" t="s">
        <v>543</v>
      </c>
      <c r="K796" s="219"/>
      <c r="L796" s="219">
        <v>2.5</v>
      </c>
      <c r="M796" s="219" t="s">
        <v>451</v>
      </c>
      <c r="N796" s="312">
        <v>3620880</v>
      </c>
      <c r="O796" s="219" t="s">
        <v>452</v>
      </c>
      <c r="P796" s="219" t="s">
        <v>9581</v>
      </c>
      <c r="Q796" s="219"/>
      <c r="R796" s="219" t="s">
        <v>23</v>
      </c>
      <c r="S796" s="219"/>
      <c r="T796" s="219"/>
      <c r="U796" s="219"/>
      <c r="V796" s="219"/>
      <c r="W796" s="219"/>
      <c r="X796" s="219"/>
      <c r="Y796" s="219"/>
      <c r="Z796" s="219"/>
      <c r="AA796" s="219"/>
      <c r="AB796" s="219"/>
    </row>
    <row r="797" spans="1:28" ht="15.75" customHeight="1">
      <c r="A797" s="253">
        <v>44791</v>
      </c>
      <c r="B797" s="224" t="s">
        <v>2147</v>
      </c>
      <c r="C797" s="224">
        <v>2.25</v>
      </c>
      <c r="D797" s="224"/>
      <c r="E797" s="224"/>
      <c r="F797" s="224" t="s">
        <v>5</v>
      </c>
      <c r="G797" s="224" t="s">
        <v>447</v>
      </c>
      <c r="H797" s="224" t="s">
        <v>11358</v>
      </c>
      <c r="I797" s="224">
        <v>2.5</v>
      </c>
      <c r="J797" s="224" t="s">
        <v>622</v>
      </c>
      <c r="K797" s="224" t="s">
        <v>2151</v>
      </c>
      <c r="L797" s="224">
        <v>2</v>
      </c>
      <c r="M797" s="224" t="s">
        <v>2152</v>
      </c>
      <c r="N797" s="224">
        <v>500000</v>
      </c>
      <c r="O797" s="224" t="s">
        <v>452</v>
      </c>
      <c r="P797" s="224" t="s">
        <v>2153</v>
      </c>
      <c r="Q797" s="224"/>
      <c r="R797" s="322" t="s">
        <v>24</v>
      </c>
      <c r="S797" s="224"/>
      <c r="T797" s="224"/>
      <c r="U797" s="224"/>
      <c r="V797" s="224"/>
      <c r="W797" s="224"/>
      <c r="X797" s="224"/>
      <c r="Y797" s="224"/>
      <c r="Z797" s="224"/>
      <c r="AA797" s="224"/>
      <c r="AB797" s="224"/>
    </row>
    <row r="798" spans="1:28" ht="15.75" hidden="1" customHeight="1">
      <c r="A798" s="248">
        <v>44796</v>
      </c>
      <c r="B798" s="219" t="s">
        <v>6925</v>
      </c>
      <c r="C798" s="315">
        <v>2.25</v>
      </c>
      <c r="D798" s="315"/>
      <c r="E798" s="219" t="s">
        <v>6928</v>
      </c>
      <c r="F798" s="219" t="s">
        <v>4</v>
      </c>
      <c r="G798" s="219" t="s">
        <v>727</v>
      </c>
      <c r="H798" s="219"/>
      <c r="I798" s="219">
        <v>2.5</v>
      </c>
      <c r="J798" s="219" t="s">
        <v>1045</v>
      </c>
      <c r="K798" s="219" t="s">
        <v>6929</v>
      </c>
      <c r="L798" s="219">
        <v>2</v>
      </c>
      <c r="M798" s="219"/>
      <c r="N798" s="219"/>
      <c r="O798" s="219" t="s">
        <v>452</v>
      </c>
      <c r="P798" s="219" t="s">
        <v>6930</v>
      </c>
      <c r="Q798" s="219"/>
      <c r="R798" s="219" t="s">
        <v>24</v>
      </c>
      <c r="S798" s="251"/>
      <c r="T798" s="251"/>
      <c r="U798" s="219"/>
      <c r="V798" s="219"/>
      <c r="W798" s="219"/>
      <c r="X798" s="219"/>
      <c r="Y798" s="219"/>
      <c r="Z798" s="219"/>
      <c r="AA798" s="219"/>
      <c r="AB798" s="219"/>
    </row>
    <row r="799" spans="1:28" ht="15.75" hidden="1" customHeight="1">
      <c r="A799" s="253">
        <v>44796</v>
      </c>
      <c r="B799" s="224" t="s">
        <v>9022</v>
      </c>
      <c r="C799" s="316">
        <v>2.25</v>
      </c>
      <c r="D799" s="316"/>
      <c r="E799" s="224" t="s">
        <v>10670</v>
      </c>
      <c r="F799" s="224" t="s">
        <v>3</v>
      </c>
      <c r="G799" s="224" t="s">
        <v>460</v>
      </c>
      <c r="H799" s="224" t="s">
        <v>9026</v>
      </c>
      <c r="I799" s="224">
        <v>2</v>
      </c>
      <c r="J799" s="224" t="s">
        <v>462</v>
      </c>
      <c r="K799" s="224" t="s">
        <v>9027</v>
      </c>
      <c r="L799" s="224">
        <v>2.5</v>
      </c>
      <c r="M799" s="224" t="s">
        <v>784</v>
      </c>
      <c r="N799" s="224" t="s">
        <v>9028</v>
      </c>
      <c r="O799" s="224" t="s">
        <v>452</v>
      </c>
      <c r="P799" s="224" t="s">
        <v>9029</v>
      </c>
      <c r="Q799" s="224"/>
      <c r="R799" s="224" t="s">
        <v>24</v>
      </c>
      <c r="S799" s="254"/>
      <c r="T799" s="254"/>
      <c r="U799" s="224"/>
      <c r="V799" s="224"/>
      <c r="W799" s="224"/>
      <c r="X799" s="224"/>
      <c r="Y799" s="224"/>
      <c r="Z799" s="224"/>
      <c r="AA799" s="224"/>
      <c r="AB799" s="224"/>
    </row>
    <row r="800" spans="1:28" ht="15.75" hidden="1" customHeight="1">
      <c r="A800" s="248">
        <v>44796</v>
      </c>
      <c r="B800" s="219" t="s">
        <v>6622</v>
      </c>
      <c r="C800" s="315">
        <v>2.25</v>
      </c>
      <c r="D800" s="315"/>
      <c r="E800" s="219" t="s">
        <v>6625</v>
      </c>
      <c r="F800" s="219" t="s">
        <v>4</v>
      </c>
      <c r="G800" s="219" t="s">
        <v>725</v>
      </c>
      <c r="H800" s="219" t="s">
        <v>6626</v>
      </c>
      <c r="I800" s="219">
        <v>2</v>
      </c>
      <c r="J800" s="219" t="s">
        <v>462</v>
      </c>
      <c r="K800" s="219" t="s">
        <v>6627</v>
      </c>
      <c r="L800" s="219">
        <v>2.5</v>
      </c>
      <c r="M800" s="219"/>
      <c r="N800" s="219"/>
      <c r="O800" s="219" t="s">
        <v>465</v>
      </c>
      <c r="P800" s="219" t="s">
        <v>10805</v>
      </c>
      <c r="Q800" s="219"/>
      <c r="R800" s="219" t="s">
        <v>24</v>
      </c>
      <c r="S800" s="251"/>
      <c r="T800" s="251"/>
      <c r="U800" s="219"/>
      <c r="V800" s="219"/>
      <c r="W800" s="219"/>
      <c r="X800" s="219"/>
      <c r="Y800" s="219"/>
      <c r="Z800" s="219"/>
      <c r="AA800" s="219"/>
      <c r="AB800" s="219"/>
    </row>
    <row r="801" spans="1:28" ht="15.75" hidden="1" customHeight="1">
      <c r="A801" s="253">
        <v>44796</v>
      </c>
      <c r="B801" s="224" t="s">
        <v>6771</v>
      </c>
      <c r="C801" s="316">
        <v>2.25</v>
      </c>
      <c r="D801" s="316"/>
      <c r="E801" s="224" t="s">
        <v>6774</v>
      </c>
      <c r="F801" s="224" t="s">
        <v>4</v>
      </c>
      <c r="G801" s="224" t="s">
        <v>447</v>
      </c>
      <c r="H801" s="224" t="s">
        <v>11021</v>
      </c>
      <c r="I801" s="224">
        <v>2.5</v>
      </c>
      <c r="J801" s="224" t="s">
        <v>1298</v>
      </c>
      <c r="K801" s="224" t="s">
        <v>6776</v>
      </c>
      <c r="L801" s="224">
        <v>2</v>
      </c>
      <c r="M801" s="224" t="s">
        <v>451</v>
      </c>
      <c r="N801" s="224">
        <v>2.5</v>
      </c>
      <c r="O801" s="224" t="s">
        <v>465</v>
      </c>
      <c r="P801" s="224" t="s">
        <v>575</v>
      </c>
      <c r="Q801" s="224" t="s">
        <v>6777</v>
      </c>
      <c r="R801" s="224" t="s">
        <v>24</v>
      </c>
      <c r="S801" s="254"/>
      <c r="T801" s="254"/>
      <c r="U801" s="224"/>
      <c r="V801" s="224"/>
      <c r="W801" s="224"/>
      <c r="X801" s="224"/>
      <c r="Y801" s="224"/>
      <c r="Z801" s="224"/>
      <c r="AA801" s="224"/>
      <c r="AB801" s="224"/>
    </row>
    <row r="802" spans="1:28" ht="15.75" hidden="1" customHeight="1">
      <c r="A802" s="248">
        <v>44796</v>
      </c>
      <c r="B802" s="219" t="s">
        <v>6858</v>
      </c>
      <c r="C802" s="315">
        <v>2.25</v>
      </c>
      <c r="D802" s="315"/>
      <c r="E802" s="219" t="s">
        <v>6861</v>
      </c>
      <c r="F802" s="219" t="s">
        <v>4</v>
      </c>
      <c r="G802" s="219" t="s">
        <v>725</v>
      </c>
      <c r="H802" s="219" t="s">
        <v>11208</v>
      </c>
      <c r="I802" s="219">
        <v>2.5</v>
      </c>
      <c r="J802" s="219" t="s">
        <v>4054</v>
      </c>
      <c r="K802" s="219"/>
      <c r="L802" s="219">
        <v>2</v>
      </c>
      <c r="M802" s="219"/>
      <c r="N802" s="219"/>
      <c r="O802" s="219" t="s">
        <v>452</v>
      </c>
      <c r="P802" s="219" t="s">
        <v>452</v>
      </c>
      <c r="Q802" s="219"/>
      <c r="R802" s="219" t="s">
        <v>24</v>
      </c>
      <c r="S802" s="251"/>
      <c r="T802" s="251"/>
      <c r="U802" s="219"/>
      <c r="V802" s="219"/>
      <c r="W802" s="219"/>
      <c r="X802" s="219"/>
      <c r="Y802" s="219"/>
      <c r="Z802" s="219"/>
      <c r="AA802" s="219"/>
      <c r="AB802" s="219"/>
    </row>
    <row r="803" spans="1:28" ht="15.75" customHeight="1">
      <c r="A803" s="253">
        <v>44796</v>
      </c>
      <c r="B803" s="224" t="s">
        <v>3027</v>
      </c>
      <c r="C803" s="224">
        <v>2.25</v>
      </c>
      <c r="D803" s="224"/>
      <c r="E803" s="224" t="s">
        <v>11236</v>
      </c>
      <c r="F803" s="224" t="s">
        <v>5</v>
      </c>
      <c r="G803" s="224" t="s">
        <v>447</v>
      </c>
      <c r="H803" s="224" t="s">
        <v>11237</v>
      </c>
      <c r="I803" s="224">
        <v>2</v>
      </c>
      <c r="J803" s="224" t="s">
        <v>543</v>
      </c>
      <c r="K803" s="224" t="e">
        <f>+Intelligent Virtual Assistant
 - not a big market as many people from small to big Tech companies Working on the same issue
 - early to EFL also I think it is not suited for DT
 - need more customers, Maybe Too early for EFL?</f>
        <v>#NAME?</v>
      </c>
      <c r="L803" s="224">
        <v>2.5</v>
      </c>
      <c r="M803" s="224" t="s">
        <v>2190</v>
      </c>
      <c r="N803" s="330">
        <v>363000</v>
      </c>
      <c r="O803" s="224" t="s">
        <v>465</v>
      </c>
      <c r="P803" s="224"/>
      <c r="Q803" s="224"/>
      <c r="R803" s="224" t="s">
        <v>24</v>
      </c>
      <c r="S803" s="224"/>
      <c r="T803" s="224"/>
      <c r="U803" s="224"/>
      <c r="V803" s="224"/>
      <c r="W803" s="224"/>
      <c r="X803" s="224"/>
      <c r="Y803" s="224"/>
      <c r="Z803" s="224"/>
      <c r="AA803" s="224"/>
      <c r="AB803" s="224"/>
    </row>
    <row r="804" spans="1:28" ht="15.75" hidden="1" customHeight="1">
      <c r="A804" s="248">
        <v>44796</v>
      </c>
      <c r="B804" s="219" t="s">
        <v>8988</v>
      </c>
      <c r="C804" s="315">
        <v>2.25</v>
      </c>
      <c r="D804" s="315"/>
      <c r="E804" s="219"/>
      <c r="F804" s="219" t="s">
        <v>3</v>
      </c>
      <c r="G804" s="219" t="s">
        <v>488</v>
      </c>
      <c r="H804" s="219" t="s">
        <v>8991</v>
      </c>
      <c r="I804" s="219">
        <v>2.5</v>
      </c>
      <c r="J804" s="219" t="s">
        <v>941</v>
      </c>
      <c r="K804" s="219" t="s">
        <v>8992</v>
      </c>
      <c r="L804" s="219">
        <v>2</v>
      </c>
      <c r="M804" s="219" t="s">
        <v>8993</v>
      </c>
      <c r="N804" s="219">
        <v>150000</v>
      </c>
      <c r="O804" s="219" t="s">
        <v>452</v>
      </c>
      <c r="P804" s="219" t="s">
        <v>8994</v>
      </c>
      <c r="Q804" s="219"/>
      <c r="R804" s="219" t="s">
        <v>24</v>
      </c>
      <c r="S804" s="251"/>
      <c r="T804" s="251"/>
      <c r="U804" s="219"/>
      <c r="V804" s="219"/>
      <c r="W804" s="219"/>
      <c r="X804" s="219"/>
      <c r="Y804" s="219"/>
      <c r="Z804" s="219"/>
      <c r="AA804" s="219"/>
      <c r="AB804" s="219"/>
    </row>
    <row r="805" spans="1:28" ht="15.75" customHeight="1">
      <c r="A805" s="253">
        <v>44796</v>
      </c>
      <c r="B805" s="224" t="s">
        <v>2499</v>
      </c>
      <c r="C805" s="224">
        <v>2.25</v>
      </c>
      <c r="D805" s="224"/>
      <c r="E805" s="224" t="s">
        <v>2502</v>
      </c>
      <c r="F805" s="224" t="s">
        <v>5</v>
      </c>
      <c r="G805" s="224" t="s">
        <v>447</v>
      </c>
      <c r="H805" s="224" t="s">
        <v>11373</v>
      </c>
      <c r="I805" s="224">
        <v>2.5</v>
      </c>
      <c r="J805" s="224" t="s">
        <v>543</v>
      </c>
      <c r="K805" s="224" t="e">
        <f>+Bridge the AEC Industry gap between the design of prefabricated exteriors and the final exterior-wall construction
 - What is the exact Tech in this? Its already using the existing data and plugins to channelise output
 &gt; Secured good seed fund</f>
        <v>#NAME?</v>
      </c>
      <c r="L805" s="224">
        <v>2</v>
      </c>
      <c r="M805" s="224"/>
      <c r="N805" s="224"/>
      <c r="O805" s="224" t="s">
        <v>465</v>
      </c>
      <c r="P805" s="224" t="s">
        <v>575</v>
      </c>
      <c r="Q805" s="224" t="s">
        <v>725</v>
      </c>
      <c r="R805" s="224" t="s">
        <v>24</v>
      </c>
      <c r="S805" s="224"/>
      <c r="T805" s="224"/>
      <c r="U805" s="224"/>
      <c r="V805" s="224"/>
      <c r="W805" s="224"/>
      <c r="X805" s="224"/>
      <c r="Y805" s="224"/>
      <c r="Z805" s="224"/>
      <c r="AA805" s="224"/>
      <c r="AB805" s="224"/>
    </row>
    <row r="806" spans="1:28" ht="15.75" customHeight="1">
      <c r="A806" s="212">
        <v>44776</v>
      </c>
      <c r="B806" s="213" t="s">
        <v>2418</v>
      </c>
      <c r="C806" s="215">
        <v>2</v>
      </c>
      <c r="D806" s="215"/>
      <c r="E806" s="213" t="s">
        <v>2421</v>
      </c>
      <c r="F806" s="215" t="s">
        <v>5</v>
      </c>
      <c r="G806" s="213" t="s">
        <v>447</v>
      </c>
      <c r="H806" s="213" t="s">
        <v>2422</v>
      </c>
      <c r="I806" s="213">
        <v>2</v>
      </c>
      <c r="J806" s="213" t="s">
        <v>622</v>
      </c>
      <c r="K806" s="213"/>
      <c r="L806" s="213">
        <v>2</v>
      </c>
      <c r="M806" s="213"/>
      <c r="N806" s="213"/>
      <c r="O806" s="213" t="s">
        <v>452</v>
      </c>
      <c r="P806" s="213" t="s">
        <v>2423</v>
      </c>
      <c r="Q806" s="213"/>
      <c r="R806" s="213" t="s">
        <v>24</v>
      </c>
      <c r="S806" s="213">
        <f t="array" ref="S806">INDEX(Notes!C:C,MATCH($B806,Notes!$A:$A,0))</f>
        <v>0</v>
      </c>
      <c r="T806" s="213"/>
      <c r="U806" s="218"/>
      <c r="V806" s="218"/>
      <c r="W806" s="218"/>
      <c r="X806" s="219"/>
      <c r="Y806" s="219"/>
      <c r="Z806" s="219"/>
      <c r="AA806" s="219"/>
      <c r="AB806" s="219"/>
    </row>
    <row r="807" spans="1:28" ht="15.75" hidden="1" customHeight="1">
      <c r="A807" s="220">
        <v>44776</v>
      </c>
      <c r="B807" s="221" t="s">
        <v>8887</v>
      </c>
      <c r="C807" s="214">
        <v>2</v>
      </c>
      <c r="D807" s="214"/>
      <c r="E807" s="221" t="s">
        <v>10629</v>
      </c>
      <c r="F807" s="215" t="s">
        <v>3</v>
      </c>
      <c r="G807" s="221" t="s">
        <v>460</v>
      </c>
      <c r="H807" s="221" t="s">
        <v>8891</v>
      </c>
      <c r="I807" s="221">
        <v>2</v>
      </c>
      <c r="J807" s="221" t="s">
        <v>488</v>
      </c>
      <c r="K807" s="221"/>
      <c r="L807" s="221">
        <v>2</v>
      </c>
      <c r="M807" s="221" t="s">
        <v>451</v>
      </c>
      <c r="N807" s="221">
        <v>2500000</v>
      </c>
      <c r="O807" s="221" t="s">
        <v>452</v>
      </c>
      <c r="P807" s="221" t="s">
        <v>10630</v>
      </c>
      <c r="Q807" s="145"/>
      <c r="R807" s="221" t="s">
        <v>24</v>
      </c>
      <c r="S807" s="223" t="str">
        <f t="array" ref="S807">INDEX(Notes!C:C,MATCH($B807,Notes!$A:$A,0))</f>
        <v>Tarek Ali</v>
      </c>
      <c r="T807" s="223"/>
      <c r="U807" s="218"/>
      <c r="V807" s="218"/>
      <c r="W807" s="218"/>
      <c r="X807" s="224"/>
      <c r="Y807" s="224"/>
      <c r="Z807" s="224"/>
      <c r="AA807" s="224"/>
      <c r="AB807" s="224"/>
    </row>
    <row r="808" spans="1:28" ht="15.75" hidden="1" customHeight="1">
      <c r="A808" s="212">
        <v>44776</v>
      </c>
      <c r="B808" s="213" t="s">
        <v>7110</v>
      </c>
      <c r="C808" s="214">
        <v>2</v>
      </c>
      <c r="D808" s="214"/>
      <c r="E808" s="213" t="s">
        <v>7113</v>
      </c>
      <c r="F808" s="215" t="s">
        <v>4</v>
      </c>
      <c r="G808" s="213" t="s">
        <v>602</v>
      </c>
      <c r="H808" s="213" t="s">
        <v>11398</v>
      </c>
      <c r="I808" s="213">
        <v>2</v>
      </c>
      <c r="J808" s="213" t="s">
        <v>727</v>
      </c>
      <c r="K808" s="213" t="s">
        <v>7115</v>
      </c>
      <c r="L808" s="213">
        <v>2</v>
      </c>
      <c r="M808" s="213" t="s">
        <v>784</v>
      </c>
      <c r="N808" s="216">
        <v>1000000</v>
      </c>
      <c r="O808" s="213" t="s">
        <v>465</v>
      </c>
      <c r="P808" s="213" t="s">
        <v>7116</v>
      </c>
      <c r="Q808" s="143"/>
      <c r="R808" s="213" t="s">
        <v>24</v>
      </c>
      <c r="S808" s="226">
        <f t="array" ref="S808">INDEX(Notes!C:C,MATCH($B808,Notes!$A:$A,0))</f>
        <v>0</v>
      </c>
      <c r="T808" s="226"/>
      <c r="U808" s="218"/>
      <c r="V808" s="218"/>
      <c r="W808" s="218"/>
      <c r="X808" s="219"/>
      <c r="Y808" s="219"/>
      <c r="Z808" s="219"/>
      <c r="AA808" s="219"/>
      <c r="AB808" s="219"/>
    </row>
    <row r="809" spans="1:28" ht="15.75" customHeight="1">
      <c r="A809" s="220">
        <v>44776</v>
      </c>
      <c r="B809" s="221" t="s">
        <v>3596</v>
      </c>
      <c r="C809" s="215">
        <v>2</v>
      </c>
      <c r="D809" s="215"/>
      <c r="E809" s="221" t="s">
        <v>3599</v>
      </c>
      <c r="F809" s="215" t="s">
        <v>5</v>
      </c>
      <c r="G809" s="221" t="s">
        <v>447</v>
      </c>
      <c r="H809" s="221" t="s">
        <v>11400</v>
      </c>
      <c r="I809" s="221">
        <v>2</v>
      </c>
      <c r="J809" s="221" t="s">
        <v>602</v>
      </c>
      <c r="K809" s="221" t="s">
        <v>11401</v>
      </c>
      <c r="L809" s="221">
        <v>2</v>
      </c>
      <c r="M809" s="221" t="s">
        <v>451</v>
      </c>
      <c r="N809" s="222">
        <v>1500000</v>
      </c>
      <c r="O809" s="221" t="s">
        <v>452</v>
      </c>
      <c r="P809" s="221" t="s">
        <v>3602</v>
      </c>
      <c r="Q809" s="221"/>
      <c r="R809" s="221" t="s">
        <v>24</v>
      </c>
      <c r="S809" s="221">
        <f t="array" ref="S809">INDEX(Notes!C:C,MATCH($B809,Notes!$A:$A,0))</f>
        <v>0</v>
      </c>
      <c r="T809" s="221"/>
      <c r="U809" s="218"/>
      <c r="V809" s="218"/>
      <c r="W809" s="218"/>
      <c r="X809" s="224"/>
      <c r="Y809" s="224"/>
      <c r="Z809" s="224"/>
      <c r="AA809" s="224"/>
      <c r="AB809" s="224"/>
    </row>
    <row r="810" spans="1:28" ht="15.75" hidden="1" customHeight="1">
      <c r="A810" s="212">
        <v>44776</v>
      </c>
      <c r="B810" s="213" t="s">
        <v>7566</v>
      </c>
      <c r="C810" s="214">
        <v>2</v>
      </c>
      <c r="D810" s="214"/>
      <c r="E810" s="213" t="s">
        <v>7569</v>
      </c>
      <c r="F810" s="215" t="s">
        <v>4</v>
      </c>
      <c r="G810" s="213" t="s">
        <v>602</v>
      </c>
      <c r="H810" s="213" t="s">
        <v>7570</v>
      </c>
      <c r="I810" s="213">
        <v>2</v>
      </c>
      <c r="J810" s="213" t="s">
        <v>727</v>
      </c>
      <c r="K810" s="213" t="s">
        <v>7571</v>
      </c>
      <c r="L810" s="213">
        <v>2</v>
      </c>
      <c r="M810" s="213" t="s">
        <v>451</v>
      </c>
      <c r="N810" s="213">
        <v>400000</v>
      </c>
      <c r="O810" s="213" t="s">
        <v>452</v>
      </c>
      <c r="P810" s="213" t="s">
        <v>7572</v>
      </c>
      <c r="Q810" s="143"/>
      <c r="R810" s="213" t="s">
        <v>24</v>
      </c>
      <c r="S810" s="226">
        <f t="array" ref="S810">INDEX(Notes!C:C,MATCH($B810,Notes!$A:$A,0))</f>
        <v>0</v>
      </c>
      <c r="T810" s="226"/>
      <c r="U810" s="218"/>
      <c r="V810" s="218"/>
      <c r="W810" s="218"/>
      <c r="X810" s="219"/>
      <c r="Y810" s="219"/>
      <c r="Z810" s="219"/>
      <c r="AA810" s="219"/>
      <c r="AB810" s="219"/>
    </row>
    <row r="811" spans="1:28" ht="15.75" hidden="1" customHeight="1">
      <c r="A811" s="220">
        <v>44776</v>
      </c>
      <c r="B811" s="221" t="s">
        <v>7001</v>
      </c>
      <c r="C811" s="214">
        <v>2</v>
      </c>
      <c r="D811" s="214"/>
      <c r="E811" s="221" t="s">
        <v>7004</v>
      </c>
      <c r="F811" s="215" t="s">
        <v>4</v>
      </c>
      <c r="G811" s="221" t="s">
        <v>727</v>
      </c>
      <c r="H811" s="221" t="s">
        <v>7005</v>
      </c>
      <c r="I811" s="221">
        <v>2</v>
      </c>
      <c r="J811" s="221" t="s">
        <v>1054</v>
      </c>
      <c r="K811" s="221"/>
      <c r="L811" s="221">
        <v>2</v>
      </c>
      <c r="M811" s="221" t="s">
        <v>784</v>
      </c>
      <c r="N811" s="221">
        <v>2500000</v>
      </c>
      <c r="O811" s="221" t="s">
        <v>452</v>
      </c>
      <c r="P811" s="221" t="s">
        <v>7006</v>
      </c>
      <c r="Q811" s="145"/>
      <c r="R811" s="221" t="s">
        <v>24</v>
      </c>
      <c r="S811" s="223">
        <f t="array" ref="S811">INDEX(Notes!C:C,MATCH($B811,Notes!$A:$A,0))</f>
        <v>0</v>
      </c>
      <c r="T811" s="223"/>
      <c r="U811" s="218"/>
      <c r="V811" s="218"/>
      <c r="W811" s="218"/>
      <c r="X811" s="224"/>
      <c r="Y811" s="224"/>
      <c r="Z811" s="224"/>
      <c r="AA811" s="224"/>
      <c r="AB811" s="224"/>
    </row>
    <row r="812" spans="1:28" ht="15.75" hidden="1" customHeight="1">
      <c r="A812" s="248">
        <v>44782</v>
      </c>
      <c r="B812" s="213" t="s">
        <v>7485</v>
      </c>
      <c r="C812" s="214">
        <v>2</v>
      </c>
      <c r="D812" s="214"/>
      <c r="E812" s="213" t="s">
        <v>10189</v>
      </c>
      <c r="F812" s="215" t="s">
        <v>4</v>
      </c>
      <c r="G812" s="213" t="s">
        <v>602</v>
      </c>
      <c r="H812" s="213"/>
      <c r="I812" s="213">
        <v>2</v>
      </c>
      <c r="J812" s="213" t="s">
        <v>727</v>
      </c>
      <c r="K812" s="213" t="s">
        <v>7489</v>
      </c>
      <c r="L812" s="213">
        <v>2</v>
      </c>
      <c r="M812" s="213" t="s">
        <v>478</v>
      </c>
      <c r="N812" s="213">
        <v>2000000</v>
      </c>
      <c r="O812" s="213" t="s">
        <v>452</v>
      </c>
      <c r="P812" s="213" t="s">
        <v>452</v>
      </c>
      <c r="Q812" s="213"/>
      <c r="R812" s="219" t="s">
        <v>24</v>
      </c>
      <c r="S812" s="226"/>
      <c r="T812" s="226"/>
      <c r="U812" s="218"/>
      <c r="V812" s="218"/>
      <c r="W812" s="218"/>
      <c r="X812" s="219"/>
      <c r="Y812" s="219"/>
      <c r="Z812" s="219"/>
      <c r="AA812" s="219"/>
      <c r="AB812" s="219"/>
    </row>
    <row r="813" spans="1:28" ht="15.75" hidden="1" customHeight="1">
      <c r="A813" s="253">
        <v>44782</v>
      </c>
      <c r="B813" s="224" t="s">
        <v>7478</v>
      </c>
      <c r="C813" s="249">
        <v>2</v>
      </c>
      <c r="D813" s="249"/>
      <c r="E813" s="224" t="s">
        <v>7481</v>
      </c>
      <c r="F813" s="250" t="s">
        <v>4</v>
      </c>
      <c r="G813" s="224" t="s">
        <v>602</v>
      </c>
      <c r="H813" s="224"/>
      <c r="I813" s="224">
        <v>2</v>
      </c>
      <c r="J813" s="224" t="s">
        <v>1054</v>
      </c>
      <c r="K813" s="224" t="s">
        <v>7482</v>
      </c>
      <c r="L813" s="224">
        <v>2</v>
      </c>
      <c r="M813" s="224"/>
      <c r="N813" s="224"/>
      <c r="O813" s="224" t="s">
        <v>452</v>
      </c>
      <c r="P813" s="224" t="s">
        <v>3420</v>
      </c>
      <c r="Q813" s="224" t="s">
        <v>7483</v>
      </c>
      <c r="R813" s="224" t="s">
        <v>24</v>
      </c>
      <c r="S813" s="254"/>
      <c r="T813" s="254"/>
      <c r="U813" s="252"/>
      <c r="V813" s="252"/>
      <c r="W813" s="252"/>
      <c r="X813" s="224"/>
      <c r="Y813" s="224"/>
      <c r="Z813" s="224"/>
      <c r="AA813" s="224"/>
      <c r="AB813" s="224"/>
    </row>
    <row r="814" spans="1:28" ht="15.75" hidden="1" customHeight="1">
      <c r="A814" s="257">
        <v>44782</v>
      </c>
      <c r="B814" s="213" t="s">
        <v>8551</v>
      </c>
      <c r="C814" s="249">
        <v>2</v>
      </c>
      <c r="D814" s="249"/>
      <c r="E814" s="258" t="s">
        <v>8554</v>
      </c>
      <c r="F814" s="250" t="s">
        <v>3</v>
      </c>
      <c r="G814" s="258" t="s">
        <v>460</v>
      </c>
      <c r="H814" s="258" t="s">
        <v>8555</v>
      </c>
      <c r="I814" s="258">
        <v>2</v>
      </c>
      <c r="J814" s="258" t="s">
        <v>462</v>
      </c>
      <c r="K814" s="258" t="s">
        <v>8556</v>
      </c>
      <c r="L814" s="258">
        <v>2</v>
      </c>
      <c r="M814" s="258"/>
      <c r="N814" s="258"/>
      <c r="O814" s="258" t="s">
        <v>452</v>
      </c>
      <c r="P814" s="258" t="s">
        <v>8557</v>
      </c>
      <c r="Q814" s="258" t="s">
        <v>8558</v>
      </c>
      <c r="R814" s="228" t="s">
        <v>24</v>
      </c>
      <c r="S814" s="259" t="s">
        <v>8559</v>
      </c>
      <c r="T814" s="259"/>
      <c r="U814" s="258"/>
      <c r="V814" s="258"/>
      <c r="W814" s="258"/>
      <c r="X814" s="258"/>
      <c r="Y814" s="258"/>
      <c r="Z814" s="258"/>
      <c r="AA814" s="258"/>
      <c r="AB814" s="258"/>
    </row>
    <row r="815" spans="1:28" ht="15.75" hidden="1" customHeight="1">
      <c r="A815" s="253">
        <v>44782</v>
      </c>
      <c r="B815" s="224" t="s">
        <v>7092</v>
      </c>
      <c r="C815" s="249">
        <v>2</v>
      </c>
      <c r="D815" s="249"/>
      <c r="E815" s="224" t="s">
        <v>7095</v>
      </c>
      <c r="F815" s="250" t="s">
        <v>4</v>
      </c>
      <c r="G815" s="224" t="s">
        <v>602</v>
      </c>
      <c r="H815" s="224" t="s">
        <v>10454</v>
      </c>
      <c r="I815" s="224">
        <v>2</v>
      </c>
      <c r="J815" s="224" t="s">
        <v>476</v>
      </c>
      <c r="K815" s="224" t="s">
        <v>10455</v>
      </c>
      <c r="L815" s="224">
        <v>2</v>
      </c>
      <c r="M815" s="224" t="s">
        <v>451</v>
      </c>
      <c r="N815" s="224" t="s">
        <v>7098</v>
      </c>
      <c r="O815" s="224" t="s">
        <v>452</v>
      </c>
      <c r="P815" s="224" t="s">
        <v>11544</v>
      </c>
      <c r="Q815" s="224"/>
      <c r="R815" s="224" t="s">
        <v>24</v>
      </c>
      <c r="S815" s="254"/>
      <c r="T815" s="254"/>
      <c r="U815" s="252"/>
      <c r="V815" s="252"/>
      <c r="W815" s="252"/>
      <c r="X815" s="224"/>
      <c r="Y815" s="224"/>
      <c r="Z815" s="224"/>
      <c r="AA815" s="224"/>
      <c r="AB815" s="224"/>
    </row>
    <row r="816" spans="1:28" ht="15.75" hidden="1" customHeight="1">
      <c r="A816" s="248">
        <v>44782</v>
      </c>
      <c r="B816" s="219" t="s">
        <v>7634</v>
      </c>
      <c r="C816" s="249">
        <v>2</v>
      </c>
      <c r="D816" s="249"/>
      <c r="E816" s="219" t="s">
        <v>7637</v>
      </c>
      <c r="F816" s="250" t="s">
        <v>4</v>
      </c>
      <c r="G816" s="219" t="s">
        <v>602</v>
      </c>
      <c r="H816" s="219" t="s">
        <v>7638</v>
      </c>
      <c r="I816" s="219">
        <v>2</v>
      </c>
      <c r="J816" s="219" t="s">
        <v>1054</v>
      </c>
      <c r="K816" s="219" t="s">
        <v>7639</v>
      </c>
      <c r="L816" s="219">
        <v>2</v>
      </c>
      <c r="M816" s="219"/>
      <c r="N816" s="219"/>
      <c r="O816" s="219" t="s">
        <v>452</v>
      </c>
      <c r="P816" s="219" t="s">
        <v>7640</v>
      </c>
      <c r="Q816" s="219"/>
      <c r="R816" s="219" t="s">
        <v>24</v>
      </c>
      <c r="S816" s="251"/>
      <c r="T816" s="251"/>
      <c r="U816" s="252"/>
      <c r="V816" s="252"/>
      <c r="W816" s="252"/>
      <c r="X816" s="219"/>
      <c r="Y816" s="219"/>
      <c r="Z816" s="219"/>
      <c r="AA816" s="219"/>
      <c r="AB816" s="219"/>
    </row>
    <row r="817" spans="1:28" ht="15.75" hidden="1" customHeight="1">
      <c r="A817" s="253">
        <v>44782</v>
      </c>
      <c r="B817" s="224" t="s">
        <v>11384</v>
      </c>
      <c r="C817" s="249">
        <v>2</v>
      </c>
      <c r="D817" s="249"/>
      <c r="E817" s="224" t="s">
        <v>7526</v>
      </c>
      <c r="F817" s="250" t="s">
        <v>4</v>
      </c>
      <c r="G817" s="224" t="s">
        <v>602</v>
      </c>
      <c r="H817" s="224" t="s">
        <v>7527</v>
      </c>
      <c r="I817" s="224">
        <v>2</v>
      </c>
      <c r="J817" s="224" t="s">
        <v>727</v>
      </c>
      <c r="K817" s="224" t="s">
        <v>7528</v>
      </c>
      <c r="L817" s="224">
        <v>2</v>
      </c>
      <c r="M817" s="224" t="s">
        <v>451</v>
      </c>
      <c r="N817" s="224">
        <v>250000</v>
      </c>
      <c r="O817" s="224" t="s">
        <v>452</v>
      </c>
      <c r="P817" s="224" t="s">
        <v>452</v>
      </c>
      <c r="Q817" s="224"/>
      <c r="R817" s="224" t="s">
        <v>24</v>
      </c>
      <c r="S817" s="254"/>
      <c r="T817" s="254"/>
      <c r="U817" s="252"/>
      <c r="V817" s="252"/>
      <c r="W817" s="252"/>
      <c r="X817" s="224"/>
      <c r="Y817" s="224"/>
      <c r="Z817" s="224"/>
      <c r="AA817" s="224"/>
      <c r="AB817" s="224"/>
    </row>
    <row r="818" spans="1:28" ht="15.75" hidden="1" customHeight="1">
      <c r="A818" s="248">
        <v>44782</v>
      </c>
      <c r="B818" s="219" t="s">
        <v>6932</v>
      </c>
      <c r="C818" s="249">
        <v>2</v>
      </c>
      <c r="D818" s="249"/>
      <c r="E818" s="219" t="s">
        <v>6935</v>
      </c>
      <c r="F818" s="250" t="s">
        <v>4</v>
      </c>
      <c r="G818" s="219" t="s">
        <v>602</v>
      </c>
      <c r="H818" s="219" t="s">
        <v>6936</v>
      </c>
      <c r="I818" s="219">
        <v>2</v>
      </c>
      <c r="J818" s="219" t="s">
        <v>1054</v>
      </c>
      <c r="K818" s="219"/>
      <c r="L818" s="219">
        <v>2</v>
      </c>
      <c r="M818" s="219" t="s">
        <v>784</v>
      </c>
      <c r="N818" s="219">
        <v>300000</v>
      </c>
      <c r="O818" s="219" t="s">
        <v>452</v>
      </c>
      <c r="P818" s="219" t="s">
        <v>6937</v>
      </c>
      <c r="Q818" s="219"/>
      <c r="R818" s="219" t="s">
        <v>24</v>
      </c>
      <c r="S818" s="251"/>
      <c r="T818" s="251"/>
      <c r="U818" s="252"/>
      <c r="V818" s="252"/>
      <c r="W818" s="252"/>
      <c r="X818" s="219"/>
      <c r="Y818" s="219"/>
      <c r="Z818" s="219"/>
      <c r="AA818" s="219"/>
      <c r="AB818" s="219"/>
    </row>
    <row r="819" spans="1:28" ht="15.75" hidden="1" customHeight="1">
      <c r="A819" s="267">
        <v>44784</v>
      </c>
      <c r="B819" s="272" t="s">
        <v>7203</v>
      </c>
      <c r="C819" s="269">
        <v>2</v>
      </c>
      <c r="D819" s="269"/>
      <c r="E819" s="272" t="s">
        <v>7206</v>
      </c>
      <c r="F819" s="270" t="s">
        <v>4</v>
      </c>
      <c r="G819" s="272" t="s">
        <v>602</v>
      </c>
      <c r="H819" s="272" t="s">
        <v>7207</v>
      </c>
      <c r="I819" s="272">
        <v>2</v>
      </c>
      <c r="J819" s="272" t="s">
        <v>1054</v>
      </c>
      <c r="K819" s="272" t="s">
        <v>7208</v>
      </c>
      <c r="L819" s="272">
        <v>2</v>
      </c>
      <c r="M819" s="272"/>
      <c r="N819" s="273">
        <v>1000000</v>
      </c>
      <c r="O819" s="272" t="s">
        <v>452</v>
      </c>
      <c r="P819" s="273" t="s">
        <v>452</v>
      </c>
      <c r="Q819" s="272"/>
      <c r="R819" s="272" t="s">
        <v>24</v>
      </c>
      <c r="S819" s="274"/>
      <c r="T819" s="274"/>
      <c r="U819" s="272"/>
      <c r="V819" s="272"/>
      <c r="W819" s="272"/>
      <c r="X819" s="272"/>
      <c r="Y819" s="272"/>
      <c r="Z819" s="224"/>
      <c r="AA819" s="224"/>
      <c r="AB819" s="224"/>
    </row>
    <row r="820" spans="1:28" ht="15.75" hidden="1" customHeight="1">
      <c r="A820" s="267">
        <v>44784</v>
      </c>
      <c r="B820" s="268" t="s">
        <v>7954</v>
      </c>
      <c r="C820" s="269">
        <v>2</v>
      </c>
      <c r="D820" s="269"/>
      <c r="E820" s="268" t="s">
        <v>7957</v>
      </c>
      <c r="F820" s="270" t="s">
        <v>4</v>
      </c>
      <c r="G820" s="268" t="s">
        <v>602</v>
      </c>
      <c r="H820" s="268" t="s">
        <v>11638</v>
      </c>
      <c r="I820" s="268">
        <v>2</v>
      </c>
      <c r="J820" s="268" t="s">
        <v>1054</v>
      </c>
      <c r="K820" s="268" t="s">
        <v>11639</v>
      </c>
      <c r="L820" s="268">
        <v>2</v>
      </c>
      <c r="M820" s="268" t="s">
        <v>784</v>
      </c>
      <c r="N820" s="285">
        <v>275000</v>
      </c>
      <c r="O820" s="268" t="s">
        <v>452</v>
      </c>
      <c r="P820" s="285" t="s">
        <v>452</v>
      </c>
      <c r="Q820" s="290" t="s">
        <v>7960</v>
      </c>
      <c r="R820" s="268" t="s">
        <v>24</v>
      </c>
      <c r="S820" s="271"/>
      <c r="T820" s="271"/>
      <c r="U820" s="268"/>
      <c r="V820" s="268"/>
      <c r="W820" s="268"/>
      <c r="X820" s="268"/>
      <c r="Y820" s="268"/>
      <c r="Z820" s="219"/>
      <c r="AA820" s="219"/>
      <c r="AB820" s="219"/>
    </row>
    <row r="821" spans="1:28" ht="15.75" hidden="1" customHeight="1">
      <c r="A821" s="267">
        <v>44784</v>
      </c>
      <c r="B821" s="272" t="s">
        <v>7550</v>
      </c>
      <c r="C821" s="269">
        <v>2</v>
      </c>
      <c r="D821" s="269"/>
      <c r="E821" s="272" t="s">
        <v>7553</v>
      </c>
      <c r="F821" s="270" t="s">
        <v>4</v>
      </c>
      <c r="G821" s="272" t="s">
        <v>602</v>
      </c>
      <c r="H821" s="272" t="s">
        <v>7554</v>
      </c>
      <c r="I821" s="272">
        <v>2</v>
      </c>
      <c r="J821" s="272" t="s">
        <v>1054</v>
      </c>
      <c r="K821" s="272" t="s">
        <v>7555</v>
      </c>
      <c r="L821" s="272">
        <v>2</v>
      </c>
      <c r="M821" s="272" t="s">
        <v>784</v>
      </c>
      <c r="N821" s="273">
        <v>500000</v>
      </c>
      <c r="O821" s="272" t="s">
        <v>452</v>
      </c>
      <c r="P821" s="273" t="s">
        <v>452</v>
      </c>
      <c r="Q821" s="272"/>
      <c r="R821" s="272" t="s">
        <v>24</v>
      </c>
      <c r="S821" s="274"/>
      <c r="T821" s="274"/>
      <c r="U821" s="272"/>
      <c r="V821" s="272"/>
      <c r="W821" s="272"/>
      <c r="X821" s="272"/>
      <c r="Y821" s="272"/>
      <c r="Z821" s="224"/>
      <c r="AA821" s="224"/>
      <c r="AB821" s="224"/>
    </row>
    <row r="822" spans="1:28" ht="15.75" hidden="1" customHeight="1">
      <c r="A822" s="267">
        <v>44784</v>
      </c>
      <c r="B822" s="268" t="s">
        <v>7009</v>
      </c>
      <c r="C822" s="269">
        <v>2</v>
      </c>
      <c r="D822" s="269"/>
      <c r="E822" s="268" t="s">
        <v>7012</v>
      </c>
      <c r="F822" s="270" t="s">
        <v>4</v>
      </c>
      <c r="G822" s="268" t="s">
        <v>602</v>
      </c>
      <c r="H822" s="268" t="s">
        <v>7013</v>
      </c>
      <c r="I822" s="268">
        <v>2</v>
      </c>
      <c r="J822" s="268" t="s">
        <v>1054</v>
      </c>
      <c r="K822" s="268" t="s">
        <v>7014</v>
      </c>
      <c r="L822" s="268">
        <v>2</v>
      </c>
      <c r="M822" s="268"/>
      <c r="N822" s="268"/>
      <c r="O822" s="268" t="s">
        <v>452</v>
      </c>
      <c r="P822" s="268" t="s">
        <v>7015</v>
      </c>
      <c r="Q822" s="268"/>
      <c r="R822" s="268" t="s">
        <v>24</v>
      </c>
      <c r="S822" s="271"/>
      <c r="T822" s="271"/>
      <c r="U822" s="268"/>
      <c r="V822" s="268"/>
      <c r="W822" s="268"/>
      <c r="X822" s="268"/>
      <c r="Y822" s="268"/>
      <c r="Z822" s="219"/>
      <c r="AA822" s="219"/>
      <c r="AB822" s="219"/>
    </row>
    <row r="823" spans="1:28" ht="15.75" hidden="1" customHeight="1">
      <c r="A823" s="267">
        <v>44784</v>
      </c>
      <c r="B823" s="272" t="s">
        <v>7332</v>
      </c>
      <c r="C823" s="269">
        <v>2</v>
      </c>
      <c r="D823" s="269"/>
      <c r="E823" s="272" t="s">
        <v>7335</v>
      </c>
      <c r="F823" s="270" t="s">
        <v>4</v>
      </c>
      <c r="G823" s="272" t="s">
        <v>602</v>
      </c>
      <c r="H823" s="272"/>
      <c r="I823" s="272">
        <v>2</v>
      </c>
      <c r="J823" s="272" t="s">
        <v>1054</v>
      </c>
      <c r="K823" s="272" t="s">
        <v>7336</v>
      </c>
      <c r="L823" s="272">
        <v>2</v>
      </c>
      <c r="M823" s="272"/>
      <c r="N823" s="272"/>
      <c r="O823" s="272" t="s">
        <v>452</v>
      </c>
      <c r="P823" s="272" t="s">
        <v>452</v>
      </c>
      <c r="Q823" s="272" t="s">
        <v>447</v>
      </c>
      <c r="R823" s="272" t="s">
        <v>24</v>
      </c>
      <c r="S823" s="274"/>
      <c r="T823" s="274"/>
      <c r="U823" s="272"/>
      <c r="V823" s="272"/>
      <c r="W823" s="272"/>
      <c r="X823" s="272"/>
      <c r="Y823" s="272"/>
      <c r="Z823" s="224"/>
      <c r="AA823" s="224"/>
      <c r="AB823" s="224"/>
    </row>
    <row r="824" spans="1:28" ht="15.75" hidden="1" customHeight="1">
      <c r="A824" s="267">
        <v>44784</v>
      </c>
      <c r="B824" s="268" t="s">
        <v>6964</v>
      </c>
      <c r="C824" s="269">
        <v>2</v>
      </c>
      <c r="D824" s="269"/>
      <c r="E824" s="268" t="s">
        <v>6967</v>
      </c>
      <c r="F824" s="270" t="s">
        <v>4</v>
      </c>
      <c r="G824" s="268" t="s">
        <v>725</v>
      </c>
      <c r="H824" s="268" t="s">
        <v>6968</v>
      </c>
      <c r="I824" s="268">
        <v>2</v>
      </c>
      <c r="J824" s="268" t="s">
        <v>1054</v>
      </c>
      <c r="K824" s="268" t="s">
        <v>6969</v>
      </c>
      <c r="L824" s="268">
        <v>2</v>
      </c>
      <c r="M824" s="268" t="s">
        <v>784</v>
      </c>
      <c r="N824" s="275">
        <v>500000</v>
      </c>
      <c r="O824" s="268" t="s">
        <v>452</v>
      </c>
      <c r="P824" s="275" t="s">
        <v>6970</v>
      </c>
      <c r="Q824" s="268"/>
      <c r="R824" s="268" t="s">
        <v>24</v>
      </c>
      <c r="S824" s="271"/>
      <c r="T824" s="271"/>
      <c r="U824" s="268"/>
      <c r="V824" s="268"/>
      <c r="W824" s="268"/>
      <c r="X824" s="268"/>
      <c r="Y824" s="268"/>
      <c r="Z824" s="219"/>
      <c r="AA824" s="219"/>
      <c r="AB824" s="219"/>
    </row>
    <row r="825" spans="1:28" ht="15.75" hidden="1" customHeight="1">
      <c r="A825" s="267">
        <v>44784</v>
      </c>
      <c r="B825" s="272" t="s">
        <v>6973</v>
      </c>
      <c r="C825" s="269">
        <v>2</v>
      </c>
      <c r="D825" s="269"/>
      <c r="E825" s="272" t="s">
        <v>6976</v>
      </c>
      <c r="F825" s="270" t="s">
        <v>4</v>
      </c>
      <c r="G825" s="272" t="s">
        <v>602</v>
      </c>
      <c r="H825" s="272" t="s">
        <v>6977</v>
      </c>
      <c r="I825" s="272">
        <v>2</v>
      </c>
      <c r="J825" s="272" t="s">
        <v>1054</v>
      </c>
      <c r="K825" s="272" t="s">
        <v>6978</v>
      </c>
      <c r="L825" s="272">
        <v>2</v>
      </c>
      <c r="M825" s="272" t="s">
        <v>451</v>
      </c>
      <c r="N825" s="272" t="s">
        <v>6979</v>
      </c>
      <c r="O825" s="272" t="s">
        <v>452</v>
      </c>
      <c r="P825" s="272" t="s">
        <v>6980</v>
      </c>
      <c r="Q825" s="272"/>
      <c r="R825" s="272" t="s">
        <v>24</v>
      </c>
      <c r="S825" s="274"/>
      <c r="T825" s="274"/>
      <c r="U825" s="272"/>
      <c r="V825" s="272"/>
      <c r="W825" s="272"/>
      <c r="X825" s="272"/>
      <c r="Y825" s="272"/>
      <c r="Z825" s="224"/>
      <c r="AA825" s="224"/>
      <c r="AB825" s="224"/>
    </row>
    <row r="826" spans="1:28" ht="15.75" customHeight="1">
      <c r="A826" s="398">
        <v>44784</v>
      </c>
      <c r="B826" s="505" t="s">
        <v>2852</v>
      </c>
      <c r="C826" s="482">
        <v>2</v>
      </c>
      <c r="D826" s="482"/>
      <c r="E826" s="505" t="s">
        <v>2855</v>
      </c>
      <c r="F826" s="482" t="s">
        <v>5</v>
      </c>
      <c r="G826" s="505" t="s">
        <v>447</v>
      </c>
      <c r="H826" s="505" t="s">
        <v>10471</v>
      </c>
      <c r="I826" s="505">
        <v>2</v>
      </c>
      <c r="J826" s="505" t="s">
        <v>622</v>
      </c>
      <c r="K826" s="505" t="s">
        <v>2857</v>
      </c>
      <c r="L826" s="505">
        <v>2</v>
      </c>
      <c r="M826" s="505"/>
      <c r="N826" s="505"/>
      <c r="O826" s="505" t="s">
        <v>452</v>
      </c>
      <c r="P826" s="505" t="s">
        <v>452</v>
      </c>
      <c r="Q826" s="505" t="s">
        <v>1343</v>
      </c>
      <c r="R826" s="505" t="s">
        <v>24</v>
      </c>
      <c r="S826" s="505"/>
      <c r="T826" s="505"/>
      <c r="U826" s="505"/>
      <c r="V826" s="505"/>
      <c r="W826" s="505"/>
      <c r="X826" s="505"/>
      <c r="Y826" s="505"/>
      <c r="Z826" s="219"/>
      <c r="AA826" s="219"/>
      <c r="AB826" s="219"/>
    </row>
    <row r="827" spans="1:28" ht="15.75" customHeight="1">
      <c r="A827" s="399">
        <v>44784</v>
      </c>
      <c r="B827" s="492" t="s">
        <v>2335</v>
      </c>
      <c r="C827" s="492">
        <v>2</v>
      </c>
      <c r="D827" s="492"/>
      <c r="E827" s="492" t="s">
        <v>2338</v>
      </c>
      <c r="F827" s="492" t="s">
        <v>5</v>
      </c>
      <c r="G827" s="492" t="s">
        <v>460</v>
      </c>
      <c r="H827" s="492" t="s">
        <v>2339</v>
      </c>
      <c r="I827" s="492">
        <v>2</v>
      </c>
      <c r="J827" s="492" t="s">
        <v>462</v>
      </c>
      <c r="K827" s="492" t="s">
        <v>2340</v>
      </c>
      <c r="L827" s="492">
        <v>2</v>
      </c>
      <c r="M827" s="492" t="s">
        <v>784</v>
      </c>
      <c r="N827" s="536">
        <v>250000</v>
      </c>
      <c r="O827" s="492" t="s">
        <v>465</v>
      </c>
      <c r="P827" s="536" t="s">
        <v>452</v>
      </c>
      <c r="Q827" s="492"/>
      <c r="R827" s="492" t="s">
        <v>24</v>
      </c>
      <c r="S827" s="492" t="s">
        <v>2341</v>
      </c>
      <c r="T827" s="492"/>
      <c r="U827" s="492"/>
      <c r="V827" s="492"/>
      <c r="W827" s="492"/>
      <c r="X827" s="492"/>
      <c r="Y827" s="492"/>
      <c r="Z827" s="239"/>
      <c r="AA827" s="239"/>
      <c r="AB827" s="239"/>
    </row>
    <row r="828" spans="1:28" ht="15.75" hidden="1" customHeight="1">
      <c r="A828" s="267">
        <v>44784</v>
      </c>
      <c r="B828" s="268" t="s">
        <v>7291</v>
      </c>
      <c r="C828" s="269">
        <v>2</v>
      </c>
      <c r="D828" s="269"/>
      <c r="E828" s="268" t="s">
        <v>7294</v>
      </c>
      <c r="F828" s="270" t="s">
        <v>4</v>
      </c>
      <c r="G828" s="268" t="s">
        <v>602</v>
      </c>
      <c r="H828" s="268" t="s">
        <v>7295</v>
      </c>
      <c r="I828" s="268">
        <v>2</v>
      </c>
      <c r="J828" s="268" t="s">
        <v>622</v>
      </c>
      <c r="K828" s="268" t="s">
        <v>7296</v>
      </c>
      <c r="L828" s="268">
        <v>2</v>
      </c>
      <c r="M828" s="268"/>
      <c r="N828" s="268"/>
      <c r="O828" s="268" t="s">
        <v>452</v>
      </c>
      <c r="P828" s="268" t="s">
        <v>7297</v>
      </c>
      <c r="Q828" s="268"/>
      <c r="R828" s="268" t="s">
        <v>24</v>
      </c>
      <c r="S828" s="271"/>
      <c r="T828" s="271"/>
      <c r="U828" s="268"/>
      <c r="V828" s="268"/>
      <c r="W828" s="268"/>
      <c r="X828" s="268"/>
      <c r="Y828" s="268"/>
      <c r="Z828" s="219"/>
      <c r="AA828" s="219"/>
      <c r="AB828" s="219"/>
    </row>
    <row r="829" spans="1:28" ht="15.75" hidden="1" customHeight="1">
      <c r="A829" s="267">
        <v>44784</v>
      </c>
      <c r="B829" s="272" t="s">
        <v>6992</v>
      </c>
      <c r="C829" s="269">
        <v>2</v>
      </c>
      <c r="D829" s="269"/>
      <c r="E829" s="272" t="s">
        <v>6995</v>
      </c>
      <c r="F829" s="270" t="s">
        <v>4</v>
      </c>
      <c r="G829" s="272" t="s">
        <v>727</v>
      </c>
      <c r="H829" s="272" t="s">
        <v>6996</v>
      </c>
      <c r="I829" s="272">
        <v>2</v>
      </c>
      <c r="J829" s="272" t="s">
        <v>1054</v>
      </c>
      <c r="K829" s="272" t="s">
        <v>6997</v>
      </c>
      <c r="L829" s="272">
        <v>2</v>
      </c>
      <c r="M829" s="272" t="s">
        <v>451</v>
      </c>
      <c r="N829" s="284">
        <v>650000</v>
      </c>
      <c r="O829" s="272" t="s">
        <v>465</v>
      </c>
      <c r="P829" s="284" t="s">
        <v>6998</v>
      </c>
      <c r="Q829" s="272" t="s">
        <v>449</v>
      </c>
      <c r="R829" s="272" t="s">
        <v>24</v>
      </c>
      <c r="S829" s="274"/>
      <c r="T829" s="274"/>
      <c r="U829" s="272"/>
      <c r="V829" s="272"/>
      <c r="W829" s="272"/>
      <c r="X829" s="272"/>
      <c r="Y829" s="272"/>
      <c r="Z829" s="224"/>
      <c r="AA829" s="224"/>
      <c r="AB829" s="224"/>
    </row>
    <row r="830" spans="1:28" ht="15.75" hidden="1" customHeight="1">
      <c r="A830" s="267">
        <v>44784</v>
      </c>
      <c r="B830" s="268" t="s">
        <v>7187</v>
      </c>
      <c r="C830" s="269">
        <v>2</v>
      </c>
      <c r="D830" s="269"/>
      <c r="E830" s="268" t="s">
        <v>7190</v>
      </c>
      <c r="F830" s="270" t="s">
        <v>4</v>
      </c>
      <c r="G830" s="268" t="s">
        <v>727</v>
      </c>
      <c r="H830" s="268" t="s">
        <v>7191</v>
      </c>
      <c r="I830" s="268">
        <v>2</v>
      </c>
      <c r="J830" s="268" t="s">
        <v>1054</v>
      </c>
      <c r="K830" s="268" t="s">
        <v>6997</v>
      </c>
      <c r="L830" s="268">
        <v>2</v>
      </c>
      <c r="M830" s="268"/>
      <c r="N830" s="268"/>
      <c r="O830" s="268" t="s">
        <v>452</v>
      </c>
      <c r="P830" s="268" t="s">
        <v>10727</v>
      </c>
      <c r="Q830" s="268"/>
      <c r="R830" s="268" t="s">
        <v>24</v>
      </c>
      <c r="S830" s="271"/>
      <c r="T830" s="271"/>
      <c r="U830" s="268"/>
      <c r="V830" s="268"/>
      <c r="W830" s="268"/>
      <c r="X830" s="268"/>
      <c r="Y830" s="268"/>
      <c r="Z830" s="219"/>
      <c r="AA830" s="219"/>
      <c r="AB830" s="219"/>
    </row>
    <row r="831" spans="1:28" ht="15.75" hidden="1" customHeight="1">
      <c r="A831" s="267">
        <v>44784</v>
      </c>
      <c r="B831" s="272" t="s">
        <v>6955</v>
      </c>
      <c r="C831" s="269">
        <v>2</v>
      </c>
      <c r="D831" s="269"/>
      <c r="E831" s="272" t="s">
        <v>6958</v>
      </c>
      <c r="F831" s="270" t="s">
        <v>4</v>
      </c>
      <c r="G831" s="272" t="s">
        <v>727</v>
      </c>
      <c r="H831" s="272" t="s">
        <v>10728</v>
      </c>
      <c r="I831" s="272">
        <v>2</v>
      </c>
      <c r="J831" s="272" t="s">
        <v>1054</v>
      </c>
      <c r="K831" s="272" t="s">
        <v>6960</v>
      </c>
      <c r="L831" s="272">
        <v>2</v>
      </c>
      <c r="M831" s="272"/>
      <c r="N831" s="272"/>
      <c r="O831" s="272" t="s">
        <v>454</v>
      </c>
      <c r="P831" s="272" t="s">
        <v>6961</v>
      </c>
      <c r="Q831" s="272"/>
      <c r="R831" s="272" t="s">
        <v>24</v>
      </c>
      <c r="S831" s="274"/>
      <c r="T831" s="274"/>
      <c r="U831" s="272"/>
      <c r="V831" s="272"/>
      <c r="W831" s="272"/>
      <c r="X831" s="272"/>
      <c r="Y831" s="272"/>
      <c r="Z831" s="224"/>
      <c r="AA831" s="224"/>
      <c r="AB831" s="224"/>
    </row>
    <row r="832" spans="1:28" ht="15.75" hidden="1" customHeight="1">
      <c r="A832" s="267">
        <v>44784</v>
      </c>
      <c r="B832" s="268" t="s">
        <v>7170</v>
      </c>
      <c r="C832" s="269">
        <v>2</v>
      </c>
      <c r="D832" s="269"/>
      <c r="E832" s="268" t="s">
        <v>7173</v>
      </c>
      <c r="F832" s="270" t="s">
        <v>4</v>
      </c>
      <c r="G832" s="268" t="s">
        <v>727</v>
      </c>
      <c r="H832" s="268" t="s">
        <v>7174</v>
      </c>
      <c r="I832" s="268">
        <v>2</v>
      </c>
      <c r="J832" s="268" t="s">
        <v>1054</v>
      </c>
      <c r="K832" s="268" t="s">
        <v>7175</v>
      </c>
      <c r="L832" s="268">
        <v>2</v>
      </c>
      <c r="M832" s="268" t="s">
        <v>923</v>
      </c>
      <c r="N832" s="285">
        <v>2500000</v>
      </c>
      <c r="O832" s="268" t="s">
        <v>452</v>
      </c>
      <c r="P832" s="285" t="s">
        <v>452</v>
      </c>
      <c r="Q832" s="268"/>
      <c r="R832" s="268" t="s">
        <v>24</v>
      </c>
      <c r="S832" s="271"/>
      <c r="T832" s="271"/>
      <c r="U832" s="268"/>
      <c r="V832" s="268"/>
      <c r="W832" s="268"/>
      <c r="X832" s="268"/>
      <c r="Y832" s="268"/>
      <c r="Z832" s="219"/>
      <c r="AA832" s="219"/>
      <c r="AB832" s="219"/>
    </row>
    <row r="833" spans="1:28" ht="15.75" hidden="1" customHeight="1">
      <c r="A833" s="267">
        <v>44784</v>
      </c>
      <c r="B833" s="272" t="s">
        <v>7582</v>
      </c>
      <c r="C833" s="269">
        <v>2</v>
      </c>
      <c r="D833" s="269"/>
      <c r="E833" s="272" t="s">
        <v>7585</v>
      </c>
      <c r="F833" s="270" t="s">
        <v>4</v>
      </c>
      <c r="G833" s="272" t="s">
        <v>727</v>
      </c>
      <c r="H833" s="272" t="s">
        <v>10734</v>
      </c>
      <c r="I833" s="272">
        <v>2</v>
      </c>
      <c r="J833" s="272" t="s">
        <v>1054</v>
      </c>
      <c r="K833" s="272" t="s">
        <v>7587</v>
      </c>
      <c r="L833" s="272">
        <v>2</v>
      </c>
      <c r="M833" s="272"/>
      <c r="N833" s="272"/>
      <c r="O833" s="272" t="s">
        <v>465</v>
      </c>
      <c r="P833" s="272" t="s">
        <v>7588</v>
      </c>
      <c r="Q833" s="272"/>
      <c r="R833" s="272" t="s">
        <v>24</v>
      </c>
      <c r="S833" s="274"/>
      <c r="T833" s="274"/>
      <c r="U833" s="272"/>
      <c r="V833" s="272"/>
      <c r="W833" s="272"/>
      <c r="X833" s="272"/>
      <c r="Y833" s="272"/>
      <c r="Z833" s="224"/>
      <c r="AA833" s="224"/>
      <c r="AB833" s="224"/>
    </row>
    <row r="834" spans="1:28" ht="15.75" hidden="1" customHeight="1">
      <c r="A834" s="267">
        <v>44784</v>
      </c>
      <c r="B834" s="268" t="s">
        <v>7406</v>
      </c>
      <c r="C834" s="269">
        <v>2</v>
      </c>
      <c r="D834" s="269"/>
      <c r="E834" s="268" t="s">
        <v>7409</v>
      </c>
      <c r="F834" s="270" t="s">
        <v>4</v>
      </c>
      <c r="G834" s="268" t="s">
        <v>602</v>
      </c>
      <c r="H834" s="268" t="s">
        <v>7410</v>
      </c>
      <c r="I834" s="268">
        <v>2</v>
      </c>
      <c r="J834" s="268" t="s">
        <v>1054</v>
      </c>
      <c r="K834" s="268" t="s">
        <v>7411</v>
      </c>
      <c r="L834" s="268">
        <v>2</v>
      </c>
      <c r="M834" s="268" t="s">
        <v>451</v>
      </c>
      <c r="N834" s="285">
        <v>500000</v>
      </c>
      <c r="O834" s="268" t="s">
        <v>452</v>
      </c>
      <c r="P834" s="285" t="s">
        <v>7412</v>
      </c>
      <c r="Q834" s="268"/>
      <c r="R834" s="268" t="s">
        <v>24</v>
      </c>
      <c r="S834" s="271"/>
      <c r="T834" s="271"/>
      <c r="U834" s="268"/>
      <c r="V834" s="268"/>
      <c r="W834" s="268"/>
      <c r="X834" s="268"/>
      <c r="Y834" s="268"/>
      <c r="Z834" s="219"/>
      <c r="AA834" s="219"/>
      <c r="AB834" s="219"/>
    </row>
    <row r="835" spans="1:28" ht="15.75" hidden="1" customHeight="1">
      <c r="A835" s="267">
        <v>44784</v>
      </c>
      <c r="B835" s="272" t="s">
        <v>7284</v>
      </c>
      <c r="C835" s="269">
        <v>2</v>
      </c>
      <c r="D835" s="269"/>
      <c r="E835" s="272" t="s">
        <v>7287</v>
      </c>
      <c r="F835" s="270" t="s">
        <v>4</v>
      </c>
      <c r="G835" s="272" t="s">
        <v>602</v>
      </c>
      <c r="H835" s="272" t="s">
        <v>7288</v>
      </c>
      <c r="I835" s="272">
        <v>2.5</v>
      </c>
      <c r="J835" s="272" t="s">
        <v>476</v>
      </c>
      <c r="K835" s="272" t="s">
        <v>11600</v>
      </c>
      <c r="L835" s="272">
        <v>1.5</v>
      </c>
      <c r="M835" s="272"/>
      <c r="N835" s="272"/>
      <c r="O835" s="272" t="s">
        <v>452</v>
      </c>
      <c r="P835" s="272" t="s">
        <v>452</v>
      </c>
      <c r="Q835" s="272"/>
      <c r="R835" s="272" t="s">
        <v>24</v>
      </c>
      <c r="S835" s="274"/>
      <c r="T835" s="274"/>
      <c r="U835" s="272"/>
      <c r="V835" s="272"/>
      <c r="W835" s="272"/>
      <c r="X835" s="272"/>
      <c r="Y835" s="272"/>
      <c r="Z835" s="224"/>
      <c r="AA835" s="224"/>
      <c r="AB835" s="224"/>
    </row>
    <row r="836" spans="1:28" ht="15.75" hidden="1" customHeight="1">
      <c r="A836" s="267">
        <v>44784</v>
      </c>
      <c r="B836" s="268" t="s">
        <v>8680</v>
      </c>
      <c r="C836" s="269">
        <v>2</v>
      </c>
      <c r="D836" s="269"/>
      <c r="E836" s="268" t="s">
        <v>11136</v>
      </c>
      <c r="F836" s="270" t="s">
        <v>3</v>
      </c>
      <c r="G836" s="268" t="s">
        <v>488</v>
      </c>
      <c r="H836" s="268" t="s">
        <v>11137</v>
      </c>
      <c r="I836" s="268">
        <v>2</v>
      </c>
      <c r="J836" s="268" t="s">
        <v>941</v>
      </c>
      <c r="K836" s="268"/>
      <c r="L836" s="268">
        <v>2</v>
      </c>
      <c r="M836" s="268"/>
      <c r="N836" s="268"/>
      <c r="O836" s="268" t="s">
        <v>454</v>
      </c>
      <c r="P836" s="268" t="s">
        <v>8685</v>
      </c>
      <c r="Q836" s="268"/>
      <c r="R836" s="268" t="s">
        <v>24</v>
      </c>
      <c r="S836" s="271"/>
      <c r="T836" s="271"/>
      <c r="U836" s="268"/>
      <c r="V836" s="268"/>
      <c r="W836" s="268"/>
      <c r="X836" s="268"/>
      <c r="Y836" s="268"/>
      <c r="Z836" s="219"/>
      <c r="AA836" s="219"/>
      <c r="AB836" s="219"/>
    </row>
    <row r="837" spans="1:28" ht="15.75" hidden="1" customHeight="1">
      <c r="A837" s="267">
        <v>44784</v>
      </c>
      <c r="B837" s="272" t="s">
        <v>7060</v>
      </c>
      <c r="C837" s="269">
        <v>2</v>
      </c>
      <c r="D837" s="269"/>
      <c r="E837" s="272" t="s">
        <v>7063</v>
      </c>
      <c r="F837" s="270" t="s">
        <v>4</v>
      </c>
      <c r="G837" s="272" t="s">
        <v>602</v>
      </c>
      <c r="H837" s="272" t="s">
        <v>7064</v>
      </c>
      <c r="I837" s="272">
        <v>2</v>
      </c>
      <c r="J837" s="272" t="s">
        <v>1054</v>
      </c>
      <c r="K837" s="272" t="s">
        <v>7065</v>
      </c>
      <c r="L837" s="272">
        <v>2</v>
      </c>
      <c r="M837" s="272" t="s">
        <v>784</v>
      </c>
      <c r="N837" s="284">
        <v>1000000</v>
      </c>
      <c r="O837" s="272" t="s">
        <v>452</v>
      </c>
      <c r="P837" s="284" t="s">
        <v>452</v>
      </c>
      <c r="Q837" s="272" t="s">
        <v>7066</v>
      </c>
      <c r="R837" s="272" t="s">
        <v>24</v>
      </c>
      <c r="S837" s="274"/>
      <c r="T837" s="274"/>
      <c r="U837" s="272"/>
      <c r="V837" s="272"/>
      <c r="W837" s="272"/>
      <c r="X837" s="272"/>
      <c r="Y837" s="272"/>
      <c r="Z837" s="224"/>
      <c r="AA837" s="224"/>
      <c r="AB837" s="224"/>
    </row>
    <row r="838" spans="1:28" ht="15.75" hidden="1" customHeight="1">
      <c r="A838" s="267">
        <v>44784</v>
      </c>
      <c r="B838" s="268" t="s">
        <v>9079</v>
      </c>
      <c r="C838" s="269">
        <v>2</v>
      </c>
      <c r="D838" s="269"/>
      <c r="E838" s="268" t="s">
        <v>9082</v>
      </c>
      <c r="F838" s="270" t="s">
        <v>3</v>
      </c>
      <c r="G838" s="268" t="s">
        <v>460</v>
      </c>
      <c r="H838" s="268" t="s">
        <v>9083</v>
      </c>
      <c r="I838" s="268">
        <v>2</v>
      </c>
      <c r="J838" s="268" t="s">
        <v>941</v>
      </c>
      <c r="K838" s="268" t="s">
        <v>9084</v>
      </c>
      <c r="L838" s="268">
        <v>2</v>
      </c>
      <c r="M838" s="268"/>
      <c r="N838" s="268"/>
      <c r="O838" s="268" t="s">
        <v>452</v>
      </c>
      <c r="P838" s="268" t="s">
        <v>9085</v>
      </c>
      <c r="Q838" s="268"/>
      <c r="R838" s="268" t="s">
        <v>24</v>
      </c>
      <c r="S838" s="271"/>
      <c r="T838" s="271"/>
      <c r="U838" s="268"/>
      <c r="V838" s="268"/>
      <c r="W838" s="268"/>
      <c r="X838" s="268"/>
      <c r="Y838" s="268"/>
      <c r="Z838" s="219"/>
      <c r="AA838" s="219"/>
      <c r="AB838" s="219"/>
    </row>
    <row r="839" spans="1:28" ht="15.75" hidden="1" customHeight="1">
      <c r="A839" s="267">
        <v>44784</v>
      </c>
      <c r="B839" s="272" t="s">
        <v>7373</v>
      </c>
      <c r="C839" s="269">
        <v>2</v>
      </c>
      <c r="D839" s="269"/>
      <c r="E839" s="272" t="s">
        <v>11483</v>
      </c>
      <c r="F839" s="270" t="s">
        <v>4</v>
      </c>
      <c r="G839" s="272" t="s">
        <v>602</v>
      </c>
      <c r="H839" s="272" t="s">
        <v>11484</v>
      </c>
      <c r="I839" s="272">
        <v>2</v>
      </c>
      <c r="J839" s="272" t="s">
        <v>1054</v>
      </c>
      <c r="K839" s="272" t="s">
        <v>7377</v>
      </c>
      <c r="L839" s="272">
        <v>2</v>
      </c>
      <c r="M839" s="272" t="s">
        <v>6371</v>
      </c>
      <c r="N839" s="273">
        <v>3500000</v>
      </c>
      <c r="O839" s="272" t="s">
        <v>454</v>
      </c>
      <c r="P839" s="273" t="s">
        <v>452</v>
      </c>
      <c r="Q839" s="272"/>
      <c r="R839" s="272" t="s">
        <v>24</v>
      </c>
      <c r="S839" s="274"/>
      <c r="T839" s="274"/>
      <c r="U839" s="272"/>
      <c r="V839" s="272"/>
      <c r="W839" s="272"/>
      <c r="X839" s="272"/>
      <c r="Y839" s="272"/>
      <c r="Z839" s="224"/>
      <c r="AA839" s="224"/>
      <c r="AB839" s="224"/>
    </row>
    <row r="840" spans="1:28" ht="15.75" hidden="1" customHeight="1">
      <c r="A840" s="267">
        <v>44784</v>
      </c>
      <c r="B840" s="268" t="s">
        <v>8823</v>
      </c>
      <c r="C840" s="269">
        <v>2</v>
      </c>
      <c r="D840" s="269"/>
      <c r="E840" s="268" t="s">
        <v>8826</v>
      </c>
      <c r="F840" s="270" t="s">
        <v>3</v>
      </c>
      <c r="G840" s="268" t="s">
        <v>460</v>
      </c>
      <c r="H840" s="268" t="s">
        <v>8827</v>
      </c>
      <c r="I840" s="268">
        <v>1</v>
      </c>
      <c r="J840" s="268" t="s">
        <v>941</v>
      </c>
      <c r="K840" s="268" t="s">
        <v>8828</v>
      </c>
      <c r="L840" s="268">
        <v>3</v>
      </c>
      <c r="M840" s="268" t="s">
        <v>784</v>
      </c>
      <c r="N840" s="268">
        <v>1000000</v>
      </c>
      <c r="O840" s="268" t="s">
        <v>452</v>
      </c>
      <c r="P840" s="268" t="s">
        <v>452</v>
      </c>
      <c r="Q840" s="268"/>
      <c r="R840" s="268" t="s">
        <v>24</v>
      </c>
      <c r="S840" s="271"/>
      <c r="T840" s="271"/>
      <c r="U840" s="268"/>
      <c r="V840" s="268"/>
      <c r="W840" s="268"/>
      <c r="X840" s="268"/>
      <c r="Y840" s="268"/>
      <c r="Z840" s="219"/>
      <c r="AA840" s="219"/>
      <c r="AB840" s="219"/>
    </row>
    <row r="841" spans="1:28" ht="15.75" hidden="1" customHeight="1">
      <c r="A841" s="280">
        <v>44784</v>
      </c>
      <c r="B841" s="281" t="s">
        <v>8518</v>
      </c>
      <c r="C841" s="282">
        <v>2</v>
      </c>
      <c r="D841" s="282"/>
      <c r="E841" s="281" t="s">
        <v>8521</v>
      </c>
      <c r="F841" s="281" t="s">
        <v>3</v>
      </c>
      <c r="G841" s="281" t="s">
        <v>488</v>
      </c>
      <c r="H841" s="281"/>
      <c r="I841" s="281">
        <v>2</v>
      </c>
      <c r="J841" s="281" t="s">
        <v>462</v>
      </c>
      <c r="K841" s="281" t="s">
        <v>8522</v>
      </c>
      <c r="L841" s="281">
        <v>2</v>
      </c>
      <c r="M841" s="281"/>
      <c r="N841" s="281"/>
      <c r="O841" s="281" t="s">
        <v>465</v>
      </c>
      <c r="P841" s="281" t="s">
        <v>452</v>
      </c>
      <c r="Q841" s="281"/>
      <c r="R841" s="281" t="s">
        <v>24</v>
      </c>
      <c r="S841" s="283" t="s">
        <v>8523</v>
      </c>
      <c r="T841" s="283"/>
      <c r="U841" s="281"/>
      <c r="V841" s="281"/>
      <c r="W841" s="281"/>
      <c r="X841" s="281"/>
      <c r="Y841" s="281"/>
      <c r="Z841" s="258"/>
      <c r="AA841" s="258"/>
      <c r="AB841" s="258"/>
    </row>
    <row r="842" spans="1:28" ht="15.75" hidden="1" customHeight="1">
      <c r="A842" s="267">
        <v>44784</v>
      </c>
      <c r="B842" s="268" t="s">
        <v>11447</v>
      </c>
      <c r="C842" s="269">
        <v>2</v>
      </c>
      <c r="D842" s="269"/>
      <c r="E842" s="268" t="s">
        <v>8626</v>
      </c>
      <c r="F842" s="270" t="s">
        <v>3</v>
      </c>
      <c r="G842" s="268" t="s">
        <v>460</v>
      </c>
      <c r="H842" s="268" t="s">
        <v>8627</v>
      </c>
      <c r="I842" s="268">
        <v>2</v>
      </c>
      <c r="J842" s="268" t="s">
        <v>941</v>
      </c>
      <c r="K842" s="268" t="s">
        <v>8628</v>
      </c>
      <c r="L842" s="268">
        <v>2</v>
      </c>
      <c r="M842" s="268" t="s">
        <v>8096</v>
      </c>
      <c r="N842" s="268">
        <v>3000000</v>
      </c>
      <c r="O842" s="268" t="s">
        <v>452</v>
      </c>
      <c r="P842" s="268" t="s">
        <v>3420</v>
      </c>
      <c r="Q842" s="268"/>
      <c r="R842" s="268" t="s">
        <v>24</v>
      </c>
      <c r="S842" s="271"/>
      <c r="T842" s="271"/>
      <c r="U842" s="268"/>
      <c r="V842" s="268"/>
      <c r="W842" s="268"/>
      <c r="X842" s="268"/>
      <c r="Y842" s="268"/>
      <c r="Z842" s="219"/>
      <c r="AA842" s="219"/>
      <c r="AB842" s="219"/>
    </row>
    <row r="843" spans="1:28" ht="15.75" hidden="1" customHeight="1">
      <c r="A843" s="253">
        <v>44789</v>
      </c>
      <c r="B843" s="224" t="s">
        <v>7591</v>
      </c>
      <c r="C843" s="249">
        <v>2</v>
      </c>
      <c r="D843" s="249"/>
      <c r="E843" s="224" t="s">
        <v>7594</v>
      </c>
      <c r="F843" s="250" t="s">
        <v>4</v>
      </c>
      <c r="G843" s="224" t="s">
        <v>727</v>
      </c>
      <c r="H843" s="224"/>
      <c r="I843" s="224">
        <v>2</v>
      </c>
      <c r="J843" s="224" t="s">
        <v>1045</v>
      </c>
      <c r="K843" s="224" t="s">
        <v>7595</v>
      </c>
      <c r="L843" s="224">
        <v>2</v>
      </c>
      <c r="M843" s="224" t="s">
        <v>784</v>
      </c>
      <c r="N843" s="311">
        <v>4000000</v>
      </c>
      <c r="O843" s="224" t="s">
        <v>452</v>
      </c>
      <c r="P843" s="224" t="s">
        <v>7596</v>
      </c>
      <c r="Q843" s="224"/>
      <c r="R843" s="224" t="s">
        <v>24</v>
      </c>
      <c r="S843" s="254"/>
      <c r="T843" s="254"/>
      <c r="U843" s="252"/>
      <c r="V843" s="252"/>
      <c r="W843" s="252"/>
      <c r="X843" s="224"/>
      <c r="Y843" s="224"/>
      <c r="Z843" s="224"/>
      <c r="AA843" s="224"/>
      <c r="AB843" s="224"/>
    </row>
    <row r="844" spans="1:28" ht="15.75" hidden="1" customHeight="1">
      <c r="A844" s="248">
        <v>44789</v>
      </c>
      <c r="B844" s="219" t="s">
        <v>7162</v>
      </c>
      <c r="C844" s="249">
        <v>2</v>
      </c>
      <c r="D844" s="249"/>
      <c r="E844" s="219" t="s">
        <v>7165</v>
      </c>
      <c r="F844" s="250" t="s">
        <v>4</v>
      </c>
      <c r="G844" s="219" t="s">
        <v>727</v>
      </c>
      <c r="H844" s="219"/>
      <c r="I844" s="219">
        <v>2</v>
      </c>
      <c r="J844" s="219" t="s">
        <v>1045</v>
      </c>
      <c r="K844" s="219" t="s">
        <v>7166</v>
      </c>
      <c r="L844" s="219">
        <v>2</v>
      </c>
      <c r="M844" s="219" t="s">
        <v>784</v>
      </c>
      <c r="N844" s="312">
        <v>5000000</v>
      </c>
      <c r="O844" s="219" t="s">
        <v>452</v>
      </c>
      <c r="P844" s="219" t="s">
        <v>7167</v>
      </c>
      <c r="Q844" s="219"/>
      <c r="R844" s="219" t="s">
        <v>24</v>
      </c>
      <c r="S844" s="251"/>
      <c r="T844" s="251"/>
      <c r="U844" s="252"/>
      <c r="V844" s="252"/>
      <c r="W844" s="252"/>
      <c r="X844" s="219"/>
      <c r="Y844" s="219"/>
      <c r="Z844" s="219"/>
      <c r="AA844" s="219"/>
      <c r="AB844" s="219"/>
    </row>
    <row r="845" spans="1:28" ht="15.75" hidden="1" customHeight="1">
      <c r="A845" s="253">
        <v>44789</v>
      </c>
      <c r="B845" s="224" t="s">
        <v>7954</v>
      </c>
      <c r="C845" s="249">
        <v>2</v>
      </c>
      <c r="D845" s="249"/>
      <c r="E845" s="224" t="s">
        <v>7957</v>
      </c>
      <c r="F845" s="250" t="s">
        <v>4</v>
      </c>
      <c r="G845" s="224" t="s">
        <v>602</v>
      </c>
      <c r="H845" s="224" t="s">
        <v>11638</v>
      </c>
      <c r="I845" s="224">
        <v>2</v>
      </c>
      <c r="J845" s="224" t="s">
        <v>1054</v>
      </c>
      <c r="K845" s="224" t="s">
        <v>11639</v>
      </c>
      <c r="L845" s="224">
        <v>2</v>
      </c>
      <c r="M845" s="224" t="s">
        <v>784</v>
      </c>
      <c r="N845" s="307">
        <v>275000</v>
      </c>
      <c r="O845" s="224" t="s">
        <v>452</v>
      </c>
      <c r="P845" s="224" t="s">
        <v>452</v>
      </c>
      <c r="Q845" s="224" t="s">
        <v>7960</v>
      </c>
      <c r="R845" s="224" t="s">
        <v>24</v>
      </c>
      <c r="S845" s="254"/>
      <c r="T845" s="254"/>
      <c r="U845" s="252"/>
      <c r="V845" s="252"/>
      <c r="W845" s="252"/>
      <c r="X845" s="224"/>
      <c r="Y845" s="224"/>
      <c r="Z845" s="224"/>
      <c r="AA845" s="224"/>
      <c r="AB845" s="224"/>
    </row>
    <row r="846" spans="1:28" ht="15.75" hidden="1" customHeight="1">
      <c r="A846" s="248">
        <v>44789</v>
      </c>
      <c r="B846" s="219" t="s">
        <v>8431</v>
      </c>
      <c r="C846" s="249">
        <v>2</v>
      </c>
      <c r="D846" s="249"/>
      <c r="E846" s="219" t="s">
        <v>8434</v>
      </c>
      <c r="F846" s="250" t="s">
        <v>3</v>
      </c>
      <c r="G846" s="219" t="s">
        <v>460</v>
      </c>
      <c r="H846" s="219" t="s">
        <v>8435</v>
      </c>
      <c r="I846" s="219">
        <v>2</v>
      </c>
      <c r="J846" s="219" t="s">
        <v>941</v>
      </c>
      <c r="K846" s="219"/>
      <c r="L846" s="219">
        <v>2</v>
      </c>
      <c r="M846" s="219" t="s">
        <v>478</v>
      </c>
      <c r="N846" s="219" t="s">
        <v>8436</v>
      </c>
      <c r="O846" s="219" t="s">
        <v>452</v>
      </c>
      <c r="P846" s="219" t="s">
        <v>452</v>
      </c>
      <c r="Q846" s="219"/>
      <c r="R846" s="219" t="s">
        <v>24</v>
      </c>
      <c r="S846" s="251"/>
      <c r="T846" s="251"/>
      <c r="U846" s="252"/>
      <c r="V846" s="252"/>
      <c r="W846" s="252"/>
      <c r="X846" s="219"/>
      <c r="Y846" s="219"/>
      <c r="Z846" s="219"/>
      <c r="AA846" s="219"/>
      <c r="AB846" s="219"/>
    </row>
    <row r="847" spans="1:28" ht="15.75" customHeight="1">
      <c r="A847" s="253">
        <v>44789</v>
      </c>
      <c r="B847" s="224" t="s">
        <v>2644</v>
      </c>
      <c r="C847" s="250">
        <v>2</v>
      </c>
      <c r="D847" s="250"/>
      <c r="E847" s="224" t="s">
        <v>2647</v>
      </c>
      <c r="F847" s="250" t="s">
        <v>5</v>
      </c>
      <c r="G847" s="224" t="s">
        <v>447</v>
      </c>
      <c r="H847" s="224" t="s">
        <v>10354</v>
      </c>
      <c r="I847" s="224">
        <v>2</v>
      </c>
      <c r="J847" s="224" t="s">
        <v>449</v>
      </c>
      <c r="K847" s="224" t="e">
        <f>+passionate Team
-Might be Too early for EFL</f>
        <v>#NAME?</v>
      </c>
      <c r="L847" s="224">
        <v>2</v>
      </c>
      <c r="M847" s="224"/>
      <c r="N847" s="224"/>
      <c r="O847" s="224" t="s">
        <v>452</v>
      </c>
      <c r="P847" s="224" t="s">
        <v>452</v>
      </c>
      <c r="Q847" s="224"/>
      <c r="R847" s="224" t="s">
        <v>24</v>
      </c>
      <c r="S847" s="224"/>
      <c r="T847" s="224"/>
      <c r="U847" s="252"/>
      <c r="V847" s="252"/>
      <c r="W847" s="252"/>
      <c r="X847" s="224"/>
      <c r="Y847" s="224"/>
      <c r="Z847" s="224"/>
      <c r="AA847" s="224"/>
      <c r="AB847" s="224"/>
    </row>
    <row r="848" spans="1:28" ht="15.75" hidden="1" customHeight="1">
      <c r="A848" s="248">
        <v>44789</v>
      </c>
      <c r="B848" s="219" t="s">
        <v>7300</v>
      </c>
      <c r="C848" s="249">
        <v>2</v>
      </c>
      <c r="D848" s="249"/>
      <c r="E848" s="219" t="s">
        <v>7303</v>
      </c>
      <c r="F848" s="250" t="s">
        <v>4</v>
      </c>
      <c r="G848" s="219" t="s">
        <v>727</v>
      </c>
      <c r="H848" s="219" t="s">
        <v>10637</v>
      </c>
      <c r="I848" s="219">
        <v>2</v>
      </c>
      <c r="J848" s="219" t="s">
        <v>1045</v>
      </c>
      <c r="K848" s="219" t="s">
        <v>7305</v>
      </c>
      <c r="L848" s="219">
        <v>2</v>
      </c>
      <c r="M848" s="219" t="s">
        <v>451</v>
      </c>
      <c r="N848" s="312">
        <v>200000</v>
      </c>
      <c r="O848" s="219" t="s">
        <v>452</v>
      </c>
      <c r="P848" s="219" t="s">
        <v>7306</v>
      </c>
      <c r="Q848" s="219"/>
      <c r="R848" s="219" t="s">
        <v>24</v>
      </c>
      <c r="S848" s="251"/>
      <c r="T848" s="251"/>
      <c r="U848" s="252"/>
      <c r="V848" s="252"/>
      <c r="W848" s="252"/>
      <c r="X848" s="219"/>
      <c r="Y848" s="219"/>
      <c r="Z848" s="219"/>
      <c r="AA848" s="219"/>
      <c r="AB848" s="219"/>
    </row>
    <row r="849" spans="1:28" ht="15.75" hidden="1" customHeight="1">
      <c r="A849" s="253">
        <v>44789</v>
      </c>
      <c r="B849" s="224" t="s">
        <v>7077</v>
      </c>
      <c r="C849" s="249">
        <v>2</v>
      </c>
      <c r="D849" s="249"/>
      <c r="E849" s="224" t="s">
        <v>7080</v>
      </c>
      <c r="F849" s="250" t="s">
        <v>4</v>
      </c>
      <c r="G849" s="224" t="s">
        <v>727</v>
      </c>
      <c r="H849" s="224" t="s">
        <v>10660</v>
      </c>
      <c r="I849" s="224">
        <v>2</v>
      </c>
      <c r="J849" s="224" t="s">
        <v>1045</v>
      </c>
      <c r="K849" s="224" t="s">
        <v>7082</v>
      </c>
      <c r="L849" s="224">
        <v>2</v>
      </c>
      <c r="M849" s="224" t="s">
        <v>451</v>
      </c>
      <c r="N849" s="307">
        <v>800000</v>
      </c>
      <c r="O849" s="224" t="s">
        <v>452</v>
      </c>
      <c r="P849" s="224" t="s">
        <v>452</v>
      </c>
      <c r="Q849" s="224"/>
      <c r="R849" s="224" t="s">
        <v>24</v>
      </c>
      <c r="S849" s="254"/>
      <c r="T849" s="254"/>
      <c r="U849" s="252"/>
      <c r="V849" s="252"/>
      <c r="W849" s="252"/>
      <c r="X849" s="224"/>
      <c r="Y849" s="224"/>
      <c r="Z849" s="224"/>
      <c r="AA849" s="224"/>
      <c r="AB849" s="224"/>
    </row>
    <row r="850" spans="1:28" ht="15.75" hidden="1" customHeight="1">
      <c r="A850" s="248">
        <v>44789</v>
      </c>
      <c r="B850" s="219" t="s">
        <v>7244</v>
      </c>
      <c r="C850" s="249">
        <v>2</v>
      </c>
      <c r="D850" s="249"/>
      <c r="E850" s="219" t="s">
        <v>7247</v>
      </c>
      <c r="F850" s="250" t="s">
        <v>4</v>
      </c>
      <c r="G850" s="219" t="s">
        <v>727</v>
      </c>
      <c r="H850" s="219" t="s">
        <v>10669</v>
      </c>
      <c r="I850" s="219">
        <v>2</v>
      </c>
      <c r="J850" s="219" t="s">
        <v>1045</v>
      </c>
      <c r="K850" s="219" t="s">
        <v>7249</v>
      </c>
      <c r="L850" s="219">
        <v>2</v>
      </c>
      <c r="M850" s="219"/>
      <c r="N850" s="312"/>
      <c r="O850" s="219" t="s">
        <v>452</v>
      </c>
      <c r="P850" s="219" t="s">
        <v>7250</v>
      </c>
      <c r="Q850" s="219"/>
      <c r="R850" s="219" t="s">
        <v>24</v>
      </c>
      <c r="S850" s="251"/>
      <c r="T850" s="251"/>
      <c r="U850" s="252"/>
      <c r="V850" s="252"/>
      <c r="W850" s="252"/>
      <c r="X850" s="219"/>
      <c r="Y850" s="219"/>
      <c r="Z850" s="219"/>
      <c r="AA850" s="219"/>
      <c r="AB850" s="219"/>
    </row>
    <row r="851" spans="1:28" ht="15.75" customHeight="1">
      <c r="A851" s="253">
        <v>44789</v>
      </c>
      <c r="B851" s="224" t="s">
        <v>10723</v>
      </c>
      <c r="C851" s="250">
        <v>2</v>
      </c>
      <c r="D851" s="250"/>
      <c r="E851" s="224" t="s">
        <v>2619</v>
      </c>
      <c r="F851" s="250" t="s">
        <v>5</v>
      </c>
      <c r="G851" s="224" t="s">
        <v>447</v>
      </c>
      <c r="H851" s="224" t="s">
        <v>10724</v>
      </c>
      <c r="I851" s="224">
        <v>2</v>
      </c>
      <c r="J851" s="224" t="s">
        <v>449</v>
      </c>
      <c r="K851" s="224" t="e">
        <f>+passionate Team
-Tech not very Novel
-Might be Too early</f>
        <v>#NAME?</v>
      </c>
      <c r="L851" s="224">
        <v>2</v>
      </c>
      <c r="M851" s="224"/>
      <c r="N851" s="311"/>
      <c r="O851" s="224" t="s">
        <v>452</v>
      </c>
      <c r="P851" s="224" t="s">
        <v>10726</v>
      </c>
      <c r="Q851" s="224" t="s">
        <v>2623</v>
      </c>
      <c r="R851" s="224" t="s">
        <v>24</v>
      </c>
      <c r="S851" s="224"/>
      <c r="T851" s="224"/>
      <c r="U851" s="252"/>
      <c r="V851" s="252"/>
      <c r="W851" s="252"/>
      <c r="X851" s="224"/>
      <c r="Y851" s="224"/>
      <c r="Z851" s="224"/>
      <c r="AA851" s="224"/>
      <c r="AB851" s="224"/>
    </row>
    <row r="852" spans="1:28" ht="15.75" hidden="1" customHeight="1">
      <c r="A852" s="248">
        <v>44789</v>
      </c>
      <c r="B852" s="219" t="s">
        <v>7434</v>
      </c>
      <c r="C852" s="249">
        <v>2</v>
      </c>
      <c r="D852" s="249"/>
      <c r="E852" s="219" t="s">
        <v>7437</v>
      </c>
      <c r="F852" s="250" t="s">
        <v>4</v>
      </c>
      <c r="G852" s="219" t="s">
        <v>602</v>
      </c>
      <c r="H852" s="219" t="s">
        <v>7438</v>
      </c>
      <c r="I852" s="219">
        <v>2</v>
      </c>
      <c r="J852" s="219" t="s">
        <v>476</v>
      </c>
      <c r="K852" s="219" t="s">
        <v>13400</v>
      </c>
      <c r="L852" s="219">
        <v>2</v>
      </c>
      <c r="M852" s="219"/>
      <c r="N852" s="219"/>
      <c r="O852" s="219" t="s">
        <v>452</v>
      </c>
      <c r="P852" s="219" t="s">
        <v>7440</v>
      </c>
      <c r="Q852" s="219"/>
      <c r="R852" s="219" t="s">
        <v>24</v>
      </c>
      <c r="S852" s="251"/>
      <c r="T852" s="251"/>
      <c r="U852" s="252"/>
      <c r="V852" s="252"/>
      <c r="W852" s="252"/>
      <c r="X852" s="219"/>
      <c r="Y852" s="219"/>
      <c r="Z852" s="219"/>
      <c r="AA852" s="219"/>
      <c r="AB852" s="219"/>
    </row>
    <row r="853" spans="1:28" ht="15.75" hidden="1" customHeight="1">
      <c r="A853" s="257">
        <v>44789</v>
      </c>
      <c r="B853" s="258" t="s">
        <v>8831</v>
      </c>
      <c r="C853" s="263">
        <v>2</v>
      </c>
      <c r="D853" s="263"/>
      <c r="E853" s="258" t="s">
        <v>8834</v>
      </c>
      <c r="F853" s="258" t="s">
        <v>3</v>
      </c>
      <c r="G853" s="258" t="s">
        <v>460</v>
      </c>
      <c r="H853" s="258" t="s">
        <v>8835</v>
      </c>
      <c r="I853" s="258">
        <v>2</v>
      </c>
      <c r="J853" s="258" t="s">
        <v>941</v>
      </c>
      <c r="K853" s="258" t="s">
        <v>8836</v>
      </c>
      <c r="L853" s="258">
        <v>2</v>
      </c>
      <c r="M853" s="258" t="s">
        <v>451</v>
      </c>
      <c r="N853" s="309">
        <v>3000000</v>
      </c>
      <c r="O853" s="258" t="s">
        <v>452</v>
      </c>
      <c r="P853" s="258" t="s">
        <v>8837</v>
      </c>
      <c r="Q853" s="258" t="s">
        <v>8838</v>
      </c>
      <c r="R853" s="258" t="s">
        <v>24</v>
      </c>
      <c r="S853" s="259" t="s">
        <v>8839</v>
      </c>
      <c r="T853" s="259"/>
      <c r="U853" s="258"/>
      <c r="V853" s="258"/>
      <c r="W853" s="258"/>
      <c r="X853" s="258"/>
      <c r="Y853" s="258"/>
      <c r="Z853" s="258"/>
      <c r="AA853" s="258"/>
      <c r="AB853" s="258"/>
    </row>
    <row r="854" spans="1:28" ht="15.75" hidden="1" customHeight="1">
      <c r="A854" s="248">
        <v>44789</v>
      </c>
      <c r="B854" s="219" t="s">
        <v>7469</v>
      </c>
      <c r="C854" s="249">
        <v>2</v>
      </c>
      <c r="D854" s="249"/>
      <c r="E854" s="219" t="s">
        <v>7472</v>
      </c>
      <c r="F854" s="250" t="s">
        <v>4</v>
      </c>
      <c r="G854" s="219" t="s">
        <v>602</v>
      </c>
      <c r="H854" s="219" t="s">
        <v>7473</v>
      </c>
      <c r="I854" s="219">
        <v>2</v>
      </c>
      <c r="J854" s="219" t="s">
        <v>1054</v>
      </c>
      <c r="K854" s="219" t="s">
        <v>7474</v>
      </c>
      <c r="L854" s="219">
        <v>2</v>
      </c>
      <c r="M854" s="219" t="s">
        <v>451</v>
      </c>
      <c r="N854" s="312">
        <v>2500000</v>
      </c>
      <c r="O854" s="219" t="s">
        <v>452</v>
      </c>
      <c r="P854" s="219" t="s">
        <v>7475</v>
      </c>
      <c r="Q854" s="219"/>
      <c r="R854" s="219" t="s">
        <v>24</v>
      </c>
      <c r="S854" s="251"/>
      <c r="T854" s="251"/>
      <c r="U854" s="252"/>
      <c r="V854" s="252"/>
      <c r="W854" s="252"/>
      <c r="X854" s="219"/>
      <c r="Y854" s="219"/>
      <c r="Z854" s="219"/>
      <c r="AA854" s="219"/>
      <c r="AB854" s="219"/>
    </row>
    <row r="855" spans="1:28" ht="15.75" hidden="1" customHeight="1">
      <c r="A855" s="253">
        <v>44789</v>
      </c>
      <c r="B855" s="224" t="s">
        <v>7252</v>
      </c>
      <c r="C855" s="249">
        <v>2</v>
      </c>
      <c r="D855" s="249"/>
      <c r="E855" s="224" t="s">
        <v>7255</v>
      </c>
      <c r="F855" s="250" t="s">
        <v>4</v>
      </c>
      <c r="G855" s="224" t="s">
        <v>602</v>
      </c>
      <c r="H855" s="224" t="s">
        <v>6912</v>
      </c>
      <c r="I855" s="224">
        <v>2</v>
      </c>
      <c r="J855" s="224" t="s">
        <v>1045</v>
      </c>
      <c r="K855" s="224" t="s">
        <v>7256</v>
      </c>
      <c r="L855" s="224">
        <v>2</v>
      </c>
      <c r="M855" s="224" t="s">
        <v>451</v>
      </c>
      <c r="N855" s="307">
        <v>500000</v>
      </c>
      <c r="O855" s="224" t="s">
        <v>452</v>
      </c>
      <c r="P855" s="224" t="s">
        <v>1028</v>
      </c>
      <c r="Q855" s="224"/>
      <c r="R855" s="224" t="s">
        <v>24</v>
      </c>
      <c r="S855" s="254"/>
      <c r="T855" s="254"/>
      <c r="U855" s="252"/>
      <c r="V855" s="252"/>
      <c r="W855" s="252"/>
      <c r="X855" s="224"/>
      <c r="Y855" s="224"/>
      <c r="Z855" s="224"/>
      <c r="AA855" s="224"/>
      <c r="AB855" s="224"/>
    </row>
    <row r="856" spans="1:28" ht="15.75" hidden="1" customHeight="1">
      <c r="A856" s="248">
        <v>44789</v>
      </c>
      <c r="B856" s="219" t="s">
        <v>7259</v>
      </c>
      <c r="C856" s="249">
        <v>2</v>
      </c>
      <c r="D856" s="249"/>
      <c r="E856" s="219" t="s">
        <v>7262</v>
      </c>
      <c r="F856" s="250" t="s">
        <v>4</v>
      </c>
      <c r="G856" s="219" t="s">
        <v>602</v>
      </c>
      <c r="H856" s="219" t="s">
        <v>7263</v>
      </c>
      <c r="I856" s="219">
        <v>2</v>
      </c>
      <c r="J856" s="219" t="s">
        <v>1054</v>
      </c>
      <c r="K856" s="219" t="s">
        <v>7264</v>
      </c>
      <c r="L856" s="219">
        <v>2</v>
      </c>
      <c r="M856" s="219"/>
      <c r="N856" s="219"/>
      <c r="O856" s="219" t="s">
        <v>452</v>
      </c>
      <c r="P856" s="219" t="s">
        <v>7265</v>
      </c>
      <c r="Q856" s="219"/>
      <c r="R856" s="219" t="s">
        <v>24</v>
      </c>
      <c r="S856" s="251"/>
      <c r="T856" s="251"/>
      <c r="U856" s="252"/>
      <c r="V856" s="252"/>
      <c r="W856" s="252"/>
      <c r="X856" s="219"/>
      <c r="Y856" s="219"/>
      <c r="Z856" s="219"/>
      <c r="AA856" s="219"/>
      <c r="AB856" s="219"/>
    </row>
    <row r="857" spans="1:28" ht="15.75" hidden="1" customHeight="1">
      <c r="A857" s="253">
        <v>44789</v>
      </c>
      <c r="B857" s="224" t="s">
        <v>7085</v>
      </c>
      <c r="C857" s="249">
        <v>2</v>
      </c>
      <c r="D857" s="249"/>
      <c r="E857" s="224" t="s">
        <v>7088</v>
      </c>
      <c r="F857" s="250" t="s">
        <v>4</v>
      </c>
      <c r="G857" s="224" t="s">
        <v>602</v>
      </c>
      <c r="H857" s="224" t="s">
        <v>7089</v>
      </c>
      <c r="I857" s="224">
        <v>2</v>
      </c>
      <c r="J857" s="224" t="s">
        <v>476</v>
      </c>
      <c r="K857" s="224" t="s">
        <v>10961</v>
      </c>
      <c r="L857" s="224">
        <v>2</v>
      </c>
      <c r="M857" s="224"/>
      <c r="N857" s="224"/>
      <c r="O857" s="224" t="s">
        <v>454</v>
      </c>
      <c r="P857" s="224" t="s">
        <v>452</v>
      </c>
      <c r="Q857" s="224"/>
      <c r="R857" s="224" t="s">
        <v>24</v>
      </c>
      <c r="S857" s="254"/>
      <c r="T857" s="254"/>
      <c r="U857" s="252"/>
      <c r="V857" s="252"/>
      <c r="W857" s="252"/>
      <c r="X857" s="224"/>
      <c r="Y857" s="224"/>
      <c r="Z857" s="224"/>
      <c r="AA857" s="224"/>
      <c r="AB857" s="224"/>
    </row>
    <row r="858" spans="1:28" ht="15.75" hidden="1" customHeight="1">
      <c r="A858" s="248">
        <v>44789</v>
      </c>
      <c r="B858" s="219" t="s">
        <v>7365</v>
      </c>
      <c r="C858" s="249">
        <v>2</v>
      </c>
      <c r="D858" s="249"/>
      <c r="E858" s="219" t="s">
        <v>7368</v>
      </c>
      <c r="F858" s="250" t="s">
        <v>4</v>
      </c>
      <c r="G858" s="219" t="s">
        <v>602</v>
      </c>
      <c r="H858" s="219" t="s">
        <v>7369</v>
      </c>
      <c r="I858" s="219">
        <v>2</v>
      </c>
      <c r="J858" s="219" t="s">
        <v>1045</v>
      </c>
      <c r="K858" s="219" t="s">
        <v>7370</v>
      </c>
      <c r="L858" s="219">
        <v>2</v>
      </c>
      <c r="M858" s="219" t="s">
        <v>3138</v>
      </c>
      <c r="N858" s="219" t="s">
        <v>2240</v>
      </c>
      <c r="O858" s="219" t="s">
        <v>452</v>
      </c>
      <c r="P858" s="219" t="s">
        <v>7371</v>
      </c>
      <c r="Q858" s="219"/>
      <c r="R858" s="219" t="s">
        <v>24</v>
      </c>
      <c r="S858" s="251"/>
      <c r="T858" s="251"/>
      <c r="U858" s="252"/>
      <c r="V858" s="252"/>
      <c r="W858" s="252"/>
      <c r="X858" s="219"/>
      <c r="Y858" s="219"/>
      <c r="Z858" s="219"/>
      <c r="AA858" s="219"/>
      <c r="AB858" s="219"/>
    </row>
    <row r="859" spans="1:28" ht="15.75" customHeight="1">
      <c r="A859" s="253">
        <v>44789</v>
      </c>
      <c r="B859" s="224" t="s">
        <v>2282</v>
      </c>
      <c r="C859" s="250">
        <v>2</v>
      </c>
      <c r="D859" s="250"/>
      <c r="E859" s="224" t="s">
        <v>2285</v>
      </c>
      <c r="F859" s="250" t="s">
        <v>5</v>
      </c>
      <c r="G859" s="224" t="s">
        <v>447</v>
      </c>
      <c r="H859" s="224" t="s">
        <v>11032</v>
      </c>
      <c r="I859" s="224">
        <v>2</v>
      </c>
      <c r="J859" s="224" t="s">
        <v>543</v>
      </c>
      <c r="K859" s="224" t="s">
        <v>11033</v>
      </c>
      <c r="L859" s="224">
        <v>2</v>
      </c>
      <c r="M859" s="224" t="s">
        <v>784</v>
      </c>
      <c r="N859" s="224">
        <v>2000000</v>
      </c>
      <c r="O859" s="224" t="s">
        <v>452</v>
      </c>
      <c r="P859" s="224" t="s">
        <v>2288</v>
      </c>
      <c r="Q859" s="224"/>
      <c r="R859" s="224" t="s">
        <v>24</v>
      </c>
      <c r="S859" s="224"/>
      <c r="T859" s="224"/>
      <c r="U859" s="252"/>
      <c r="V859" s="252"/>
      <c r="W859" s="252"/>
      <c r="X859" s="224"/>
      <c r="Y859" s="224"/>
      <c r="Z859" s="224"/>
      <c r="AA859" s="224"/>
      <c r="AB859" s="224"/>
    </row>
    <row r="860" spans="1:28" ht="15.75" hidden="1" customHeight="1">
      <c r="A860" s="248">
        <v>44789</v>
      </c>
      <c r="B860" s="219" t="s">
        <v>9235</v>
      </c>
      <c r="C860" s="249">
        <v>2</v>
      </c>
      <c r="D860" s="249"/>
      <c r="E860" s="219" t="s">
        <v>9238</v>
      </c>
      <c r="F860" s="250" t="s">
        <v>3</v>
      </c>
      <c r="G860" s="219" t="s">
        <v>460</v>
      </c>
      <c r="H860" s="219" t="s">
        <v>9239</v>
      </c>
      <c r="I860" s="219">
        <v>2</v>
      </c>
      <c r="J860" s="219" t="s">
        <v>941</v>
      </c>
      <c r="K860" s="219" t="s">
        <v>9240</v>
      </c>
      <c r="L860" s="219">
        <v>2</v>
      </c>
      <c r="M860" s="219" t="s">
        <v>451</v>
      </c>
      <c r="N860" s="219">
        <v>800000</v>
      </c>
      <c r="O860" s="219" t="s">
        <v>452</v>
      </c>
      <c r="P860" s="219" t="s">
        <v>452</v>
      </c>
      <c r="Q860" s="219"/>
      <c r="R860" s="219" t="s">
        <v>24</v>
      </c>
      <c r="S860" s="251"/>
      <c r="T860" s="251"/>
      <c r="U860" s="252"/>
      <c r="V860" s="252"/>
      <c r="W860" s="252"/>
      <c r="X860" s="219"/>
      <c r="Y860" s="219"/>
      <c r="Z860" s="219"/>
      <c r="AA860" s="219"/>
      <c r="AB860" s="219"/>
    </row>
    <row r="861" spans="1:28" ht="15.75" hidden="1" customHeight="1">
      <c r="A861" s="253">
        <v>44789</v>
      </c>
      <c r="B861" s="224" t="s">
        <v>8631</v>
      </c>
      <c r="C861" s="249">
        <v>2</v>
      </c>
      <c r="D861" s="249"/>
      <c r="E861" s="224" t="s">
        <v>8634</v>
      </c>
      <c r="F861" s="250" t="s">
        <v>3</v>
      </c>
      <c r="G861" s="224" t="s">
        <v>460</v>
      </c>
      <c r="H861" s="224" t="s">
        <v>8635</v>
      </c>
      <c r="I861" s="224">
        <v>2</v>
      </c>
      <c r="J861" s="224" t="s">
        <v>462</v>
      </c>
      <c r="K861" s="224" t="s">
        <v>11088</v>
      </c>
      <c r="L861" s="224">
        <v>2</v>
      </c>
      <c r="M861" s="224" t="s">
        <v>451</v>
      </c>
      <c r="N861" s="224">
        <v>500000</v>
      </c>
      <c r="O861" s="224" t="s">
        <v>452</v>
      </c>
      <c r="P861" s="224" t="s">
        <v>11089</v>
      </c>
      <c r="Q861" s="224"/>
      <c r="R861" s="224" t="s">
        <v>24</v>
      </c>
      <c r="S861" s="254"/>
      <c r="T861" s="254"/>
      <c r="U861" s="252"/>
      <c r="V861" s="252"/>
      <c r="W861" s="252"/>
      <c r="X861" s="224"/>
      <c r="Y861" s="224"/>
      <c r="Z861" s="224"/>
      <c r="AA861" s="224"/>
      <c r="AB861" s="224"/>
    </row>
    <row r="862" spans="1:28" ht="15.75" hidden="1" customHeight="1">
      <c r="A862" s="248">
        <v>44789</v>
      </c>
      <c r="B862" s="219" t="s">
        <v>7195</v>
      </c>
      <c r="C862" s="249">
        <v>2</v>
      </c>
      <c r="D862" s="249"/>
      <c r="E862" s="219" t="s">
        <v>7198</v>
      </c>
      <c r="F862" s="250" t="s">
        <v>4</v>
      </c>
      <c r="G862" s="219" t="s">
        <v>602</v>
      </c>
      <c r="H862" s="219"/>
      <c r="I862" s="219">
        <v>2</v>
      </c>
      <c r="J862" s="219" t="s">
        <v>1054</v>
      </c>
      <c r="K862" s="219" t="s">
        <v>7199</v>
      </c>
      <c r="L862" s="219">
        <v>2</v>
      </c>
      <c r="M862" s="219" t="s">
        <v>451</v>
      </c>
      <c r="N862" s="312">
        <v>250000</v>
      </c>
      <c r="O862" s="219" t="s">
        <v>452</v>
      </c>
      <c r="P862" s="219" t="s">
        <v>7200</v>
      </c>
      <c r="Q862" s="219"/>
      <c r="R862" s="219" t="s">
        <v>24</v>
      </c>
      <c r="S862" s="251"/>
      <c r="T862" s="251"/>
      <c r="U862" s="252"/>
      <c r="V862" s="252"/>
      <c r="W862" s="252"/>
      <c r="X862" s="219"/>
      <c r="Y862" s="219"/>
      <c r="Z862" s="219"/>
      <c r="AA862" s="219"/>
      <c r="AB862" s="219"/>
    </row>
    <row r="863" spans="1:28" ht="15.75" hidden="1" customHeight="1">
      <c r="A863" s="253">
        <v>44789</v>
      </c>
      <c r="B863" s="224" t="s">
        <v>8561</v>
      </c>
      <c r="C863" s="249">
        <v>2</v>
      </c>
      <c r="D863" s="249"/>
      <c r="E863" s="224" t="s">
        <v>8564</v>
      </c>
      <c r="F863" s="250" t="s">
        <v>3</v>
      </c>
      <c r="G863" s="224" t="s">
        <v>460</v>
      </c>
      <c r="H863" s="224" t="s">
        <v>8565</v>
      </c>
      <c r="I863" s="224">
        <v>2</v>
      </c>
      <c r="J863" s="224" t="s">
        <v>941</v>
      </c>
      <c r="K863" s="224" t="s">
        <v>8566</v>
      </c>
      <c r="L863" s="224">
        <v>2</v>
      </c>
      <c r="M863" s="224" t="s">
        <v>973</v>
      </c>
      <c r="N863" s="224">
        <v>5</v>
      </c>
      <c r="O863" s="224" t="s">
        <v>452</v>
      </c>
      <c r="P863" s="224" t="s">
        <v>8567</v>
      </c>
      <c r="Q863" s="224"/>
      <c r="R863" s="224" t="s">
        <v>24</v>
      </c>
      <c r="S863" s="254"/>
      <c r="T863" s="254"/>
      <c r="U863" s="252"/>
      <c r="V863" s="252"/>
      <c r="W863" s="252"/>
      <c r="X863" s="224"/>
      <c r="Y863" s="224"/>
      <c r="Z863" s="224"/>
      <c r="AA863" s="224"/>
      <c r="AB863" s="224"/>
    </row>
    <row r="864" spans="1:28" ht="15.75" hidden="1" customHeight="1">
      <c r="A864" s="248">
        <v>44791</v>
      </c>
      <c r="B864" s="219" t="s">
        <v>7508</v>
      </c>
      <c r="C864" s="315">
        <v>2</v>
      </c>
      <c r="D864" s="315"/>
      <c r="E864" s="219" t="s">
        <v>7511</v>
      </c>
      <c r="F864" s="219" t="s">
        <v>4</v>
      </c>
      <c r="G864" s="219" t="s">
        <v>727</v>
      </c>
      <c r="H864" s="219" t="s">
        <v>6733</v>
      </c>
      <c r="I864" s="219">
        <v>2</v>
      </c>
      <c r="J864" s="219" t="s">
        <v>1457</v>
      </c>
      <c r="K864" s="219" t="s">
        <v>7512</v>
      </c>
      <c r="L864" s="219">
        <v>2</v>
      </c>
      <c r="M864" s="219" t="s">
        <v>784</v>
      </c>
      <c r="N864" s="312">
        <v>750000</v>
      </c>
      <c r="O864" s="219" t="s">
        <v>465</v>
      </c>
      <c r="P864" s="219" t="s">
        <v>7513</v>
      </c>
      <c r="Q864" s="219"/>
      <c r="R864" s="322" t="s">
        <v>24</v>
      </c>
      <c r="S864" s="251"/>
      <c r="T864" s="251"/>
      <c r="U864" s="219"/>
      <c r="V864" s="219"/>
      <c r="W864" s="219"/>
      <c r="X864" s="219"/>
      <c r="Y864" s="219"/>
      <c r="Z864" s="219"/>
      <c r="AA864" s="219"/>
      <c r="AB864" s="219"/>
    </row>
    <row r="865" spans="1:28" ht="15.75" hidden="1" customHeight="1">
      <c r="A865" s="253">
        <v>44791</v>
      </c>
      <c r="B865" s="224" t="s">
        <v>9096</v>
      </c>
      <c r="C865" s="316">
        <v>2</v>
      </c>
      <c r="D865" s="316"/>
      <c r="E865" s="224" t="s">
        <v>9099</v>
      </c>
      <c r="F865" s="224" t="s">
        <v>3</v>
      </c>
      <c r="G865" s="224" t="s">
        <v>460</v>
      </c>
      <c r="H865" s="224" t="s">
        <v>9100</v>
      </c>
      <c r="I865" s="224">
        <v>2</v>
      </c>
      <c r="J865" s="224" t="s">
        <v>462</v>
      </c>
      <c r="K865" s="224" t="s">
        <v>9101</v>
      </c>
      <c r="L865" s="224">
        <v>2</v>
      </c>
      <c r="M865" s="224" t="s">
        <v>451</v>
      </c>
      <c r="N865" s="224">
        <v>5000000</v>
      </c>
      <c r="O865" s="224" t="s">
        <v>454</v>
      </c>
      <c r="P865" s="224" t="s">
        <v>452</v>
      </c>
      <c r="Q865" s="224" t="s">
        <v>9102</v>
      </c>
      <c r="R865" s="322" t="s">
        <v>24</v>
      </c>
      <c r="S865" s="254"/>
      <c r="T865" s="254"/>
      <c r="U865" s="224"/>
      <c r="V865" s="224"/>
      <c r="W865" s="224"/>
      <c r="X865" s="224"/>
      <c r="Y865" s="224"/>
      <c r="Z865" s="224"/>
      <c r="AA865" s="224"/>
      <c r="AB865" s="224"/>
    </row>
    <row r="866" spans="1:28" ht="15.75" hidden="1" customHeight="1">
      <c r="A866" s="248">
        <v>44791</v>
      </c>
      <c r="B866" s="219" t="s">
        <v>7954</v>
      </c>
      <c r="C866" s="315">
        <v>2</v>
      </c>
      <c r="D866" s="315"/>
      <c r="E866" s="219" t="s">
        <v>7957</v>
      </c>
      <c r="F866" s="219" t="s">
        <v>4</v>
      </c>
      <c r="G866" s="219" t="s">
        <v>602</v>
      </c>
      <c r="H866" s="219" t="s">
        <v>11638</v>
      </c>
      <c r="I866" s="219">
        <v>2</v>
      </c>
      <c r="J866" s="219" t="s">
        <v>1054</v>
      </c>
      <c r="K866" s="219" t="s">
        <v>11639</v>
      </c>
      <c r="L866" s="219">
        <v>2</v>
      </c>
      <c r="M866" s="219" t="s">
        <v>784</v>
      </c>
      <c r="N866" s="310">
        <v>275000</v>
      </c>
      <c r="O866" s="219" t="s">
        <v>452</v>
      </c>
      <c r="P866" s="219" t="s">
        <v>452</v>
      </c>
      <c r="Q866" s="219" t="s">
        <v>7960</v>
      </c>
      <c r="R866" s="322" t="s">
        <v>24</v>
      </c>
      <c r="S866" s="251"/>
      <c r="T866" s="251"/>
      <c r="U866" s="219"/>
      <c r="V866" s="219"/>
      <c r="W866" s="219"/>
      <c r="X866" s="219"/>
      <c r="Y866" s="219"/>
      <c r="Z866" s="219"/>
      <c r="AA866" s="219"/>
      <c r="AB866" s="219"/>
    </row>
    <row r="867" spans="1:28" ht="15.75" hidden="1" customHeight="1">
      <c r="A867" s="253">
        <v>44791</v>
      </c>
      <c r="B867" s="224" t="s">
        <v>7625</v>
      </c>
      <c r="C867" s="316">
        <v>2</v>
      </c>
      <c r="D867" s="316"/>
      <c r="E867" s="224" t="s">
        <v>7628</v>
      </c>
      <c r="F867" s="224" t="s">
        <v>4</v>
      </c>
      <c r="G867" s="224" t="s">
        <v>602</v>
      </c>
      <c r="H867" s="224" t="s">
        <v>7629</v>
      </c>
      <c r="I867" s="224">
        <v>2</v>
      </c>
      <c r="J867" s="224" t="s">
        <v>1045</v>
      </c>
      <c r="K867" s="224" t="s">
        <v>7630</v>
      </c>
      <c r="L867" s="224">
        <v>2</v>
      </c>
      <c r="M867" s="224" t="s">
        <v>451</v>
      </c>
      <c r="N867" s="307">
        <v>1500000</v>
      </c>
      <c r="O867" s="224" t="s">
        <v>452</v>
      </c>
      <c r="P867" s="224" t="s">
        <v>7631</v>
      </c>
      <c r="Q867" s="224" t="s">
        <v>7632</v>
      </c>
      <c r="R867" s="322" t="s">
        <v>24</v>
      </c>
      <c r="S867" s="254"/>
      <c r="T867" s="254"/>
      <c r="U867" s="224"/>
      <c r="V867" s="224"/>
      <c r="W867" s="224"/>
      <c r="X867" s="224"/>
      <c r="Y867" s="224"/>
      <c r="Z867" s="224"/>
      <c r="AA867" s="224"/>
      <c r="AB867" s="224"/>
    </row>
    <row r="868" spans="1:28" ht="15.75" hidden="1" customHeight="1">
      <c r="A868" s="248">
        <v>44791</v>
      </c>
      <c r="B868" s="219" t="s">
        <v>6948</v>
      </c>
      <c r="C868" s="315">
        <v>2</v>
      </c>
      <c r="D868" s="315"/>
      <c r="E868" s="219" t="s">
        <v>6951</v>
      </c>
      <c r="F868" s="219" t="s">
        <v>4</v>
      </c>
      <c r="G868" s="219" t="s">
        <v>725</v>
      </c>
      <c r="H868" s="219" t="s">
        <v>10348</v>
      </c>
      <c r="I868" s="219">
        <v>2</v>
      </c>
      <c r="J868" s="219" t="s">
        <v>1045</v>
      </c>
      <c r="K868" s="219" t="s">
        <v>6953</v>
      </c>
      <c r="L868" s="219">
        <v>2</v>
      </c>
      <c r="M868" s="219" t="s">
        <v>478</v>
      </c>
      <c r="N868" s="310">
        <v>500000</v>
      </c>
      <c r="O868" s="219" t="s">
        <v>465</v>
      </c>
      <c r="P868" s="219" t="s">
        <v>452</v>
      </c>
      <c r="Q868" s="219"/>
      <c r="R868" s="322" t="s">
        <v>24</v>
      </c>
      <c r="S868" s="251"/>
      <c r="T868" s="251"/>
      <c r="U868" s="219"/>
      <c r="V868" s="219"/>
      <c r="W868" s="219"/>
      <c r="X868" s="219"/>
      <c r="Y868" s="219"/>
      <c r="Z868" s="219"/>
      <c r="AA868" s="219"/>
      <c r="AB868" s="219"/>
    </row>
    <row r="869" spans="1:28" ht="15.75" hidden="1" customHeight="1">
      <c r="A869" s="253">
        <v>44791</v>
      </c>
      <c r="B869" s="224" t="s">
        <v>7415</v>
      </c>
      <c r="C869" s="316">
        <v>2</v>
      </c>
      <c r="D869" s="316"/>
      <c r="E869" s="224" t="s">
        <v>7418</v>
      </c>
      <c r="F869" s="224" t="s">
        <v>4</v>
      </c>
      <c r="G869" s="224" t="s">
        <v>725</v>
      </c>
      <c r="H869" s="224" t="s">
        <v>7419</v>
      </c>
      <c r="I869" s="224">
        <v>2</v>
      </c>
      <c r="J869" s="224" t="s">
        <v>1045</v>
      </c>
      <c r="K869" s="224" t="s">
        <v>7420</v>
      </c>
      <c r="L869" s="224">
        <v>2</v>
      </c>
      <c r="M869" s="224" t="s">
        <v>478</v>
      </c>
      <c r="N869" s="307">
        <v>10000000</v>
      </c>
      <c r="O869" s="224" t="s">
        <v>452</v>
      </c>
      <c r="P869" s="224" t="s">
        <v>10351</v>
      </c>
      <c r="Q869" s="224" t="s">
        <v>7422</v>
      </c>
      <c r="R869" s="322" t="s">
        <v>24</v>
      </c>
      <c r="S869" s="254"/>
      <c r="T869" s="254"/>
      <c r="U869" s="224"/>
      <c r="V869" s="224"/>
      <c r="W869" s="224"/>
      <c r="X869" s="224"/>
      <c r="Y869" s="224"/>
      <c r="Z869" s="224"/>
      <c r="AA869" s="224"/>
      <c r="AB869" s="224"/>
    </row>
    <row r="870" spans="1:28" ht="15.75" hidden="1" customHeight="1">
      <c r="A870" s="248">
        <v>44791</v>
      </c>
      <c r="B870" s="219" t="s">
        <v>7515</v>
      </c>
      <c r="C870" s="315">
        <v>2</v>
      </c>
      <c r="D870" s="315"/>
      <c r="E870" s="219" t="s">
        <v>7518</v>
      </c>
      <c r="F870" s="219" t="s">
        <v>4</v>
      </c>
      <c r="G870" s="219" t="s">
        <v>725</v>
      </c>
      <c r="H870" s="219" t="s">
        <v>10362</v>
      </c>
      <c r="I870" s="219">
        <v>2</v>
      </c>
      <c r="J870" s="219" t="s">
        <v>1045</v>
      </c>
      <c r="K870" s="219" t="s">
        <v>7520</v>
      </c>
      <c r="L870" s="219">
        <v>2</v>
      </c>
      <c r="M870" s="219"/>
      <c r="N870" s="219"/>
      <c r="O870" s="219" t="s">
        <v>465</v>
      </c>
      <c r="P870" s="219" t="s">
        <v>452</v>
      </c>
      <c r="Q870" s="219"/>
      <c r="R870" s="322" t="s">
        <v>24</v>
      </c>
      <c r="S870" s="251"/>
      <c r="T870" s="251"/>
      <c r="U870" s="219"/>
      <c r="V870" s="219"/>
      <c r="W870" s="219"/>
      <c r="X870" s="219"/>
      <c r="Y870" s="219"/>
      <c r="Z870" s="219"/>
      <c r="AA870" s="219"/>
      <c r="AB870" s="219"/>
    </row>
    <row r="871" spans="1:28" ht="15.75" hidden="1" customHeight="1">
      <c r="A871" s="253">
        <v>44791</v>
      </c>
      <c r="B871" s="224" t="s">
        <v>10646</v>
      </c>
      <c r="C871" s="316">
        <v>2</v>
      </c>
      <c r="D871" s="316"/>
      <c r="E871" s="224" t="s">
        <v>7158</v>
      </c>
      <c r="F871" s="224" t="s">
        <v>4</v>
      </c>
      <c r="G871" s="224" t="s">
        <v>727</v>
      </c>
      <c r="H871" s="224" t="s">
        <v>6733</v>
      </c>
      <c r="I871" s="224">
        <v>2</v>
      </c>
      <c r="J871" s="224" t="s">
        <v>604</v>
      </c>
      <c r="K871" s="224" t="s">
        <v>10647</v>
      </c>
      <c r="L871" s="224">
        <v>2</v>
      </c>
      <c r="M871" s="224" t="s">
        <v>451</v>
      </c>
      <c r="N871" s="224">
        <v>500000</v>
      </c>
      <c r="O871" s="224" t="s">
        <v>454</v>
      </c>
      <c r="P871" s="224" t="s">
        <v>452</v>
      </c>
      <c r="Q871" s="224"/>
      <c r="R871" s="322" t="s">
        <v>24</v>
      </c>
      <c r="S871" s="254"/>
      <c r="T871" s="254"/>
      <c r="U871" s="224"/>
      <c r="V871" s="224"/>
      <c r="W871" s="224"/>
      <c r="X871" s="224"/>
      <c r="Y871" s="224"/>
      <c r="Z871" s="224"/>
      <c r="AA871" s="224"/>
      <c r="AB871" s="224"/>
    </row>
    <row r="872" spans="1:28" ht="15.75" hidden="1" customHeight="1">
      <c r="A872" s="248">
        <v>44791</v>
      </c>
      <c r="B872" s="219" t="s">
        <v>7137</v>
      </c>
      <c r="C872" s="315">
        <v>2</v>
      </c>
      <c r="D872" s="315"/>
      <c r="E872" s="219" t="s">
        <v>10677</v>
      </c>
      <c r="F872" s="219" t="s">
        <v>4</v>
      </c>
      <c r="G872" s="219" t="s">
        <v>727</v>
      </c>
      <c r="H872" s="219" t="s">
        <v>10678</v>
      </c>
      <c r="I872" s="219">
        <v>2</v>
      </c>
      <c r="J872" s="219" t="s">
        <v>1045</v>
      </c>
      <c r="K872" s="219" t="s">
        <v>7142</v>
      </c>
      <c r="L872" s="219">
        <v>2</v>
      </c>
      <c r="M872" s="219" t="s">
        <v>451</v>
      </c>
      <c r="N872" s="312">
        <v>1500000</v>
      </c>
      <c r="O872" s="219" t="s">
        <v>452</v>
      </c>
      <c r="P872" s="219" t="s">
        <v>7143</v>
      </c>
      <c r="Q872" s="219"/>
      <c r="R872" s="322" t="s">
        <v>24</v>
      </c>
      <c r="S872" s="251"/>
      <c r="T872" s="251"/>
      <c r="U872" s="219"/>
      <c r="V872" s="219"/>
      <c r="W872" s="219"/>
      <c r="X872" s="219"/>
      <c r="Y872" s="219"/>
      <c r="Z872" s="219"/>
      <c r="AA872" s="219"/>
      <c r="AB872" s="219"/>
    </row>
    <row r="873" spans="1:28" ht="15.75" hidden="1" customHeight="1">
      <c r="A873" s="253">
        <v>44791</v>
      </c>
      <c r="B873" s="224" t="s">
        <v>7540</v>
      </c>
      <c r="C873" s="316">
        <v>2</v>
      </c>
      <c r="D873" s="316"/>
      <c r="E873" s="224" t="s">
        <v>7543</v>
      </c>
      <c r="F873" s="224" t="s">
        <v>4</v>
      </c>
      <c r="G873" s="224" t="s">
        <v>725</v>
      </c>
      <c r="H873" s="224" t="s">
        <v>10756</v>
      </c>
      <c r="I873" s="224">
        <v>2</v>
      </c>
      <c r="J873" s="224" t="s">
        <v>1045</v>
      </c>
      <c r="K873" s="224" t="s">
        <v>7545</v>
      </c>
      <c r="L873" s="224">
        <v>2</v>
      </c>
      <c r="M873" s="224" t="s">
        <v>784</v>
      </c>
      <c r="N873" s="307">
        <v>1200000</v>
      </c>
      <c r="O873" s="224" t="s">
        <v>452</v>
      </c>
      <c r="P873" s="224" t="s">
        <v>7546</v>
      </c>
      <c r="Q873" s="224" t="s">
        <v>7547</v>
      </c>
      <c r="R873" s="322" t="s">
        <v>24</v>
      </c>
      <c r="S873" s="254"/>
      <c r="T873" s="254"/>
      <c r="U873" s="224"/>
      <c r="V873" s="224"/>
      <c r="W873" s="224"/>
      <c r="X873" s="224"/>
      <c r="Y873" s="224"/>
      <c r="Z873" s="224"/>
      <c r="AA873" s="224"/>
      <c r="AB873" s="224"/>
    </row>
    <row r="874" spans="1:28" ht="15.75" hidden="1" customHeight="1">
      <c r="A874" s="248">
        <v>44791</v>
      </c>
      <c r="B874" s="219" t="s">
        <v>7599</v>
      </c>
      <c r="C874" s="315">
        <v>2</v>
      </c>
      <c r="D874" s="315"/>
      <c r="E874" s="219" t="s">
        <v>7602</v>
      </c>
      <c r="F874" s="219" t="s">
        <v>4</v>
      </c>
      <c r="G874" s="219" t="s">
        <v>725</v>
      </c>
      <c r="H874" s="219"/>
      <c r="I874" s="219">
        <v>2</v>
      </c>
      <c r="J874" s="219" t="s">
        <v>1045</v>
      </c>
      <c r="K874" s="219" t="s">
        <v>7603</v>
      </c>
      <c r="L874" s="219">
        <v>2</v>
      </c>
      <c r="M874" s="219" t="s">
        <v>451</v>
      </c>
      <c r="N874" s="312">
        <v>3500000</v>
      </c>
      <c r="O874" s="219" t="s">
        <v>465</v>
      </c>
      <c r="P874" s="219" t="s">
        <v>7604</v>
      </c>
      <c r="Q874" s="219"/>
      <c r="R874" s="322" t="s">
        <v>24</v>
      </c>
      <c r="S874" s="251"/>
      <c r="T874" s="251"/>
      <c r="U874" s="219"/>
      <c r="V874" s="219"/>
      <c r="W874" s="219"/>
      <c r="X874" s="219"/>
      <c r="Y874" s="219"/>
      <c r="Z874" s="219"/>
      <c r="AA874" s="219"/>
      <c r="AB874" s="219"/>
    </row>
    <row r="875" spans="1:28" ht="15.75" hidden="1" customHeight="1">
      <c r="A875" s="257">
        <v>44791</v>
      </c>
      <c r="B875" s="258" t="s">
        <v>9745</v>
      </c>
      <c r="C875" s="263">
        <v>2</v>
      </c>
      <c r="D875" s="263"/>
      <c r="E875" s="258" t="s">
        <v>9748</v>
      </c>
      <c r="F875" s="258" t="s">
        <v>3</v>
      </c>
      <c r="G875" s="258" t="s">
        <v>460</v>
      </c>
      <c r="H875" s="258" t="s">
        <v>9749</v>
      </c>
      <c r="I875" s="258">
        <v>2</v>
      </c>
      <c r="J875" s="258" t="s">
        <v>941</v>
      </c>
      <c r="K875" s="258" t="s">
        <v>9750</v>
      </c>
      <c r="L875" s="258">
        <v>2</v>
      </c>
      <c r="M875" s="258"/>
      <c r="N875" s="258"/>
      <c r="O875" s="258" t="s">
        <v>452</v>
      </c>
      <c r="P875" s="258" t="s">
        <v>9751</v>
      </c>
      <c r="Q875" s="258" t="s">
        <v>9752</v>
      </c>
      <c r="R875" s="258" t="s">
        <v>23</v>
      </c>
      <c r="S875" s="259" t="s">
        <v>9753</v>
      </c>
      <c r="T875" s="259"/>
      <c r="U875" s="258"/>
      <c r="V875" s="258"/>
      <c r="W875" s="258"/>
      <c r="X875" s="258"/>
      <c r="Y875" s="258"/>
      <c r="Z875" s="258"/>
      <c r="AA875" s="258"/>
      <c r="AB875" s="258"/>
    </row>
    <row r="876" spans="1:28" ht="15.75" hidden="1" customHeight="1">
      <c r="A876" s="248">
        <v>44791</v>
      </c>
      <c r="B876" s="219" t="s">
        <v>7051</v>
      </c>
      <c r="C876" s="315">
        <v>2</v>
      </c>
      <c r="D876" s="315"/>
      <c r="E876" s="219" t="s">
        <v>7054</v>
      </c>
      <c r="F876" s="219" t="s">
        <v>4</v>
      </c>
      <c r="G876" s="219" t="s">
        <v>602</v>
      </c>
      <c r="H876" s="219" t="s">
        <v>7055</v>
      </c>
      <c r="I876" s="219">
        <v>2</v>
      </c>
      <c r="J876" s="219" t="s">
        <v>1045</v>
      </c>
      <c r="K876" s="219" t="s">
        <v>7056</v>
      </c>
      <c r="L876" s="219">
        <v>2</v>
      </c>
      <c r="M876" s="219" t="s">
        <v>784</v>
      </c>
      <c r="N876" s="219">
        <v>200000</v>
      </c>
      <c r="O876" s="219" t="s">
        <v>452</v>
      </c>
      <c r="P876" s="219" t="s">
        <v>7057</v>
      </c>
      <c r="Q876" s="219"/>
      <c r="R876" s="322" t="s">
        <v>24</v>
      </c>
      <c r="S876" s="251"/>
      <c r="T876" s="251"/>
      <c r="U876" s="219"/>
      <c r="V876" s="219"/>
      <c r="W876" s="219"/>
      <c r="X876" s="219"/>
      <c r="Y876" s="219"/>
      <c r="Z876" s="219"/>
      <c r="AA876" s="219"/>
      <c r="AB876" s="219"/>
    </row>
    <row r="877" spans="1:28" ht="15.75" hidden="1" customHeight="1">
      <c r="A877" s="253">
        <v>44791</v>
      </c>
      <c r="B877" s="224" t="s">
        <v>8405</v>
      </c>
      <c r="C877" s="316">
        <v>2</v>
      </c>
      <c r="D877" s="316"/>
      <c r="E877" s="224" t="s">
        <v>8408</v>
      </c>
      <c r="F877" s="224" t="s">
        <v>3</v>
      </c>
      <c r="G877" s="224" t="s">
        <v>460</v>
      </c>
      <c r="H877" s="224" t="s">
        <v>8409</v>
      </c>
      <c r="I877" s="224">
        <v>2</v>
      </c>
      <c r="J877" s="224" t="s">
        <v>462</v>
      </c>
      <c r="K877" s="224" t="s">
        <v>8410</v>
      </c>
      <c r="L877" s="224">
        <v>2</v>
      </c>
      <c r="M877" s="224"/>
      <c r="N877" s="224"/>
      <c r="O877" s="224" t="s">
        <v>452</v>
      </c>
      <c r="P877" s="224" t="s">
        <v>8411</v>
      </c>
      <c r="Q877" s="224"/>
      <c r="R877" s="322" t="s">
        <v>24</v>
      </c>
      <c r="S877" s="254"/>
      <c r="T877" s="254"/>
      <c r="U877" s="224"/>
      <c r="V877" s="224"/>
      <c r="W877" s="224"/>
      <c r="X877" s="224"/>
      <c r="Y877" s="224"/>
      <c r="Z877" s="224"/>
      <c r="AA877" s="224"/>
      <c r="AB877" s="224"/>
    </row>
    <row r="878" spans="1:28" ht="15.75" hidden="1" customHeight="1">
      <c r="A878" s="248">
        <v>44791</v>
      </c>
      <c r="B878" s="219" t="s">
        <v>8377</v>
      </c>
      <c r="C878" s="315">
        <v>2</v>
      </c>
      <c r="D878" s="315"/>
      <c r="E878" s="219" t="s">
        <v>8380</v>
      </c>
      <c r="F878" s="219" t="s">
        <v>3</v>
      </c>
      <c r="G878" s="219" t="s">
        <v>460</v>
      </c>
      <c r="H878" s="219" t="s">
        <v>8381</v>
      </c>
      <c r="I878" s="219">
        <v>2</v>
      </c>
      <c r="J878" s="219" t="s">
        <v>941</v>
      </c>
      <c r="K878" s="219" t="s">
        <v>8382</v>
      </c>
      <c r="L878" s="219">
        <v>2</v>
      </c>
      <c r="M878" s="219" t="s">
        <v>451</v>
      </c>
      <c r="N878" s="312">
        <v>1200000</v>
      </c>
      <c r="O878" s="219" t="s">
        <v>452</v>
      </c>
      <c r="P878" s="219" t="s">
        <v>8383</v>
      </c>
      <c r="Q878" s="219"/>
      <c r="R878" s="322" t="s">
        <v>24</v>
      </c>
      <c r="S878" s="251"/>
      <c r="T878" s="251"/>
      <c r="U878" s="219"/>
      <c r="V878" s="219"/>
      <c r="W878" s="219"/>
      <c r="X878" s="219"/>
      <c r="Y878" s="219"/>
      <c r="Z878" s="219"/>
      <c r="AA878" s="219"/>
      <c r="AB878" s="219"/>
    </row>
    <row r="879" spans="1:28" ht="15.75" hidden="1" customHeight="1">
      <c r="A879" s="253">
        <v>44791</v>
      </c>
      <c r="B879" s="224" t="s">
        <v>7380</v>
      </c>
      <c r="C879" s="316">
        <v>2</v>
      </c>
      <c r="D879" s="316"/>
      <c r="E879" s="224" t="s">
        <v>7383</v>
      </c>
      <c r="F879" s="224" t="s">
        <v>4</v>
      </c>
      <c r="G879" s="224" t="s">
        <v>602</v>
      </c>
      <c r="H879" s="224" t="s">
        <v>7384</v>
      </c>
      <c r="I879" s="224">
        <v>2</v>
      </c>
      <c r="J879" s="224" t="s">
        <v>1298</v>
      </c>
      <c r="K879" s="224" t="s">
        <v>7385</v>
      </c>
      <c r="L879" s="224">
        <v>2</v>
      </c>
      <c r="M879" s="224" t="s">
        <v>784</v>
      </c>
      <c r="N879" s="311">
        <v>1000000</v>
      </c>
      <c r="O879" s="224" t="s">
        <v>452</v>
      </c>
      <c r="P879" s="224" t="s">
        <v>7386</v>
      </c>
      <c r="Q879" s="224"/>
      <c r="R879" s="322" t="s">
        <v>24</v>
      </c>
      <c r="S879" s="254"/>
      <c r="T879" s="254"/>
      <c r="U879" s="224"/>
      <c r="V879" s="224"/>
      <c r="W879" s="224"/>
      <c r="X879" s="224"/>
      <c r="Y879" s="224"/>
      <c r="Z879" s="224"/>
      <c r="AA879" s="224"/>
      <c r="AB879" s="224"/>
    </row>
    <row r="880" spans="1:28" ht="15.75" customHeight="1">
      <c r="A880" s="248">
        <v>44791</v>
      </c>
      <c r="B880" s="219" t="s">
        <v>2399</v>
      </c>
      <c r="C880" s="219">
        <v>2</v>
      </c>
      <c r="D880" s="219"/>
      <c r="E880" s="219" t="s">
        <v>2402</v>
      </c>
      <c r="F880" s="219" t="s">
        <v>5</v>
      </c>
      <c r="G880" s="219" t="s">
        <v>447</v>
      </c>
      <c r="H880" s="219" t="s">
        <v>11054</v>
      </c>
      <c r="I880" s="219">
        <v>2</v>
      </c>
      <c r="J880" s="219" t="s">
        <v>449</v>
      </c>
      <c r="K880" s="219" t="s">
        <v>11700</v>
      </c>
      <c r="L880" s="219">
        <v>2</v>
      </c>
      <c r="M880" s="219" t="s">
        <v>784</v>
      </c>
      <c r="N880" s="312" t="s">
        <v>2405</v>
      </c>
      <c r="O880" s="219" t="s">
        <v>452</v>
      </c>
      <c r="P880" s="219" t="s">
        <v>452</v>
      </c>
      <c r="Q880" s="219"/>
      <c r="R880" s="322" t="s">
        <v>24</v>
      </c>
      <c r="S880" s="219"/>
      <c r="T880" s="219"/>
      <c r="U880" s="219"/>
      <c r="V880" s="219"/>
      <c r="W880" s="219"/>
      <c r="X880" s="219"/>
      <c r="Y880" s="219"/>
      <c r="Z880" s="219"/>
      <c r="AA880" s="219"/>
      <c r="AB880" s="219"/>
    </row>
    <row r="881" spans="1:28" ht="15.75" hidden="1" customHeight="1">
      <c r="A881" s="253">
        <v>44791</v>
      </c>
      <c r="B881" s="224" t="s">
        <v>7356</v>
      </c>
      <c r="C881" s="316">
        <v>2</v>
      </c>
      <c r="D881" s="316"/>
      <c r="E881" s="224" t="s">
        <v>11059</v>
      </c>
      <c r="F881" s="224" t="s">
        <v>4</v>
      </c>
      <c r="G881" s="224" t="s">
        <v>602</v>
      </c>
      <c r="H881" s="224" t="s">
        <v>7360</v>
      </c>
      <c r="I881" s="224">
        <v>2</v>
      </c>
      <c r="J881" s="224" t="s">
        <v>476</v>
      </c>
      <c r="K881" s="224" t="s">
        <v>11701</v>
      </c>
      <c r="L881" s="224">
        <v>2</v>
      </c>
      <c r="M881" s="224" t="s">
        <v>973</v>
      </c>
      <c r="N881" s="327">
        <v>3000000</v>
      </c>
      <c r="O881" s="224" t="s">
        <v>454</v>
      </c>
      <c r="P881" s="224" t="s">
        <v>7362</v>
      </c>
      <c r="Q881" s="224"/>
      <c r="R881" s="322" t="s">
        <v>24</v>
      </c>
      <c r="S881" s="254"/>
      <c r="T881" s="254"/>
      <c r="U881" s="224"/>
      <c r="V881" s="224"/>
      <c r="W881" s="224"/>
      <c r="X881" s="224"/>
      <c r="Y881" s="224"/>
      <c r="Z881" s="224"/>
      <c r="AA881" s="224"/>
      <c r="AB881" s="224"/>
    </row>
    <row r="882" spans="1:28" ht="15.75" hidden="1" customHeight="1">
      <c r="A882" s="248">
        <v>44791</v>
      </c>
      <c r="B882" s="219" t="s">
        <v>9266</v>
      </c>
      <c r="C882" s="315">
        <v>2</v>
      </c>
      <c r="D882" s="315"/>
      <c r="E882" s="219" t="s">
        <v>11067</v>
      </c>
      <c r="F882" s="219" t="s">
        <v>3</v>
      </c>
      <c r="G882" s="219" t="s">
        <v>460</v>
      </c>
      <c r="H882" s="219" t="s">
        <v>9270</v>
      </c>
      <c r="I882" s="219">
        <v>2</v>
      </c>
      <c r="J882" s="219" t="s">
        <v>941</v>
      </c>
      <c r="K882" s="219" t="s">
        <v>9271</v>
      </c>
      <c r="L882" s="219">
        <v>2</v>
      </c>
      <c r="M882" s="219" t="s">
        <v>451</v>
      </c>
      <c r="N882" s="312">
        <v>5000000</v>
      </c>
      <c r="O882" s="219" t="s">
        <v>452</v>
      </c>
      <c r="P882" s="219" t="s">
        <v>9272</v>
      </c>
      <c r="Q882" s="219" t="s">
        <v>9273</v>
      </c>
      <c r="R882" s="322" t="s">
        <v>24</v>
      </c>
      <c r="S882" s="251"/>
      <c r="T882" s="251"/>
      <c r="U882" s="219"/>
      <c r="V882" s="219"/>
      <c r="W882" s="219"/>
      <c r="X882" s="219"/>
      <c r="Y882" s="219"/>
      <c r="Z882" s="219"/>
      <c r="AA882" s="219"/>
      <c r="AB882" s="219"/>
    </row>
    <row r="883" spans="1:28" ht="15.75" hidden="1" customHeight="1">
      <c r="A883" s="253">
        <v>44791</v>
      </c>
      <c r="B883" s="224" t="s">
        <v>8414</v>
      </c>
      <c r="C883" s="316">
        <v>2</v>
      </c>
      <c r="D883" s="316"/>
      <c r="E883" s="224" t="s">
        <v>8417</v>
      </c>
      <c r="F883" s="224" t="s">
        <v>3</v>
      </c>
      <c r="G883" s="224" t="s">
        <v>460</v>
      </c>
      <c r="H883" s="224" t="s">
        <v>8418</v>
      </c>
      <c r="I883" s="224">
        <v>2</v>
      </c>
      <c r="J883" s="224" t="s">
        <v>941</v>
      </c>
      <c r="K883" s="224"/>
      <c r="L883" s="224">
        <v>2</v>
      </c>
      <c r="M883" s="224"/>
      <c r="N883" s="224"/>
      <c r="O883" s="224" t="s">
        <v>452</v>
      </c>
      <c r="P883" s="224" t="s">
        <v>8419</v>
      </c>
      <c r="Q883" s="224"/>
      <c r="R883" s="322" t="s">
        <v>24</v>
      </c>
      <c r="S883" s="254"/>
      <c r="T883" s="254"/>
      <c r="U883" s="224"/>
      <c r="V883" s="224"/>
      <c r="W883" s="224"/>
      <c r="X883" s="224"/>
      <c r="Y883" s="224"/>
      <c r="Z883" s="224"/>
      <c r="AA883" s="224"/>
      <c r="AB883" s="224"/>
    </row>
    <row r="884" spans="1:28" ht="15.75" hidden="1" customHeight="1">
      <c r="A884" s="248">
        <v>44791</v>
      </c>
      <c r="B884" s="219" t="s">
        <v>7219</v>
      </c>
      <c r="C884" s="315">
        <v>2</v>
      </c>
      <c r="D884" s="315"/>
      <c r="E884" s="219" t="s">
        <v>7222</v>
      </c>
      <c r="F884" s="219" t="s">
        <v>4</v>
      </c>
      <c r="G884" s="219" t="s">
        <v>725</v>
      </c>
      <c r="H884" s="219" t="s">
        <v>10344</v>
      </c>
      <c r="I884" s="219">
        <v>2</v>
      </c>
      <c r="J884" s="219" t="s">
        <v>1045</v>
      </c>
      <c r="K884" s="219" t="s">
        <v>7224</v>
      </c>
      <c r="L884" s="219">
        <v>2</v>
      </c>
      <c r="M884" s="219" t="s">
        <v>451</v>
      </c>
      <c r="N884" s="312">
        <v>1000000</v>
      </c>
      <c r="O884" s="219" t="s">
        <v>454</v>
      </c>
      <c r="P884" s="219" t="s">
        <v>7225</v>
      </c>
      <c r="Q884" s="219"/>
      <c r="R884" s="322" t="s">
        <v>24</v>
      </c>
      <c r="S884" s="251"/>
      <c r="T884" s="251"/>
      <c r="U884" s="219"/>
      <c r="V884" s="219"/>
      <c r="W884" s="219"/>
      <c r="X884" s="219"/>
      <c r="Y884" s="219"/>
      <c r="Z884" s="219"/>
      <c r="AA884" s="219"/>
      <c r="AB884" s="219"/>
    </row>
    <row r="885" spans="1:28" ht="15.75" hidden="1" customHeight="1">
      <c r="A885" s="253">
        <v>44791</v>
      </c>
      <c r="B885" s="224" t="s">
        <v>7032</v>
      </c>
      <c r="C885" s="316">
        <v>2</v>
      </c>
      <c r="D885" s="316"/>
      <c r="E885" s="224" t="s">
        <v>7035</v>
      </c>
      <c r="F885" s="224" t="s">
        <v>4</v>
      </c>
      <c r="G885" s="224" t="s">
        <v>602</v>
      </c>
      <c r="H885" s="224" t="s">
        <v>7036</v>
      </c>
      <c r="I885" s="224">
        <v>2</v>
      </c>
      <c r="J885" s="224" t="s">
        <v>476</v>
      </c>
      <c r="K885" s="224" t="s">
        <v>11702</v>
      </c>
      <c r="L885" s="224">
        <v>2</v>
      </c>
      <c r="M885" s="224"/>
      <c r="N885" s="224"/>
      <c r="O885" s="224" t="s">
        <v>454</v>
      </c>
      <c r="P885" s="224" t="s">
        <v>11080</v>
      </c>
      <c r="Q885" s="224"/>
      <c r="R885" s="322" t="s">
        <v>24</v>
      </c>
      <c r="S885" s="254"/>
      <c r="T885" s="254"/>
      <c r="U885" s="224"/>
      <c r="V885" s="224"/>
      <c r="W885" s="224"/>
      <c r="X885" s="224"/>
      <c r="Y885" s="224"/>
      <c r="Z885" s="224"/>
      <c r="AA885" s="224"/>
      <c r="AB885" s="224"/>
    </row>
    <row r="886" spans="1:28" ht="15.75" hidden="1" customHeight="1">
      <c r="A886" s="248">
        <v>44796</v>
      </c>
      <c r="B886" s="219" t="s">
        <v>7041</v>
      </c>
      <c r="C886" s="315">
        <v>2</v>
      </c>
      <c r="D886" s="315"/>
      <c r="E886" s="219" t="s">
        <v>7044</v>
      </c>
      <c r="F886" s="219" t="s">
        <v>4</v>
      </c>
      <c r="G886" s="219" t="s">
        <v>725</v>
      </c>
      <c r="H886" s="219" t="s">
        <v>7045</v>
      </c>
      <c r="I886" s="219">
        <v>2</v>
      </c>
      <c r="J886" s="219" t="s">
        <v>1036</v>
      </c>
      <c r="K886" s="219" t="s">
        <v>7046</v>
      </c>
      <c r="L886" s="219">
        <v>2</v>
      </c>
      <c r="M886" s="219" t="s">
        <v>784</v>
      </c>
      <c r="N886" s="219" t="s">
        <v>7047</v>
      </c>
      <c r="O886" s="219" t="s">
        <v>465</v>
      </c>
      <c r="P886" s="219" t="s">
        <v>7048</v>
      </c>
      <c r="Q886" s="219"/>
      <c r="R886" s="219" t="s">
        <v>24</v>
      </c>
      <c r="S886" s="251"/>
      <c r="T886" s="251"/>
      <c r="U886" s="219"/>
      <c r="V886" s="219"/>
      <c r="W886" s="219"/>
      <c r="X886" s="219"/>
      <c r="Y886" s="219"/>
      <c r="Z886" s="219"/>
      <c r="AA886" s="219"/>
      <c r="AB886" s="219"/>
    </row>
    <row r="887" spans="1:28" ht="15.75" hidden="1" customHeight="1">
      <c r="A887" s="253">
        <v>44796</v>
      </c>
      <c r="B887" s="224" t="s">
        <v>7318</v>
      </c>
      <c r="C887" s="316">
        <v>2</v>
      </c>
      <c r="D887" s="316"/>
      <c r="E887" s="224" t="s">
        <v>7321</v>
      </c>
      <c r="F887" s="224" t="s">
        <v>4</v>
      </c>
      <c r="G887" s="224" t="s">
        <v>725</v>
      </c>
      <c r="H887" s="224" t="s">
        <v>7322</v>
      </c>
      <c r="I887" s="224">
        <v>2</v>
      </c>
      <c r="J887" s="224" t="s">
        <v>1237</v>
      </c>
      <c r="K887" s="224"/>
      <c r="L887" s="224">
        <v>2</v>
      </c>
      <c r="M887" s="224" t="s">
        <v>451</v>
      </c>
      <c r="N887" s="311">
        <v>1100000</v>
      </c>
      <c r="O887" s="224" t="s">
        <v>452</v>
      </c>
      <c r="P887" s="224" t="s">
        <v>6472</v>
      </c>
      <c r="Q887" s="224" t="s">
        <v>585</v>
      </c>
      <c r="R887" s="224" t="s">
        <v>24</v>
      </c>
      <c r="S887" s="254"/>
      <c r="T887" s="254"/>
      <c r="U887" s="224"/>
      <c r="V887" s="224"/>
      <c r="W887" s="224"/>
      <c r="X887" s="224"/>
      <c r="Y887" s="224"/>
      <c r="Z887" s="224"/>
      <c r="AA887" s="224"/>
      <c r="AB887" s="224"/>
    </row>
    <row r="888" spans="1:28" ht="15.75" hidden="1" customHeight="1">
      <c r="A888" s="248">
        <v>44796</v>
      </c>
      <c r="B888" s="219" t="s">
        <v>7127</v>
      </c>
      <c r="C888" s="315">
        <v>2</v>
      </c>
      <c r="D888" s="315"/>
      <c r="E888" s="219" t="s">
        <v>7130</v>
      </c>
      <c r="F888" s="219" t="s">
        <v>4</v>
      </c>
      <c r="G888" s="219" t="s">
        <v>727</v>
      </c>
      <c r="H888" s="219" t="s">
        <v>10307</v>
      </c>
      <c r="I888" s="219">
        <v>2</v>
      </c>
      <c r="J888" s="219" t="s">
        <v>1073</v>
      </c>
      <c r="K888" s="219"/>
      <c r="L888" s="219">
        <v>2</v>
      </c>
      <c r="M888" s="219" t="s">
        <v>451</v>
      </c>
      <c r="N888" s="219" t="s">
        <v>7132</v>
      </c>
      <c r="O888" s="219" t="s">
        <v>454</v>
      </c>
      <c r="P888" s="219" t="s">
        <v>7133</v>
      </c>
      <c r="Q888" s="219" t="s">
        <v>7134</v>
      </c>
      <c r="R888" s="219" t="s">
        <v>24</v>
      </c>
      <c r="S888" s="251"/>
      <c r="T888" s="251"/>
      <c r="U888" s="219"/>
      <c r="V888" s="219"/>
      <c r="W888" s="219"/>
      <c r="X888" s="219"/>
      <c r="Y888" s="219"/>
      <c r="Z888" s="219"/>
      <c r="AA888" s="219"/>
      <c r="AB888" s="219"/>
    </row>
    <row r="889" spans="1:28" ht="15.75" hidden="1" customHeight="1">
      <c r="A889" s="253">
        <v>44796</v>
      </c>
      <c r="B889" s="224" t="s">
        <v>7309</v>
      </c>
      <c r="C889" s="316">
        <v>2</v>
      </c>
      <c r="D889" s="316"/>
      <c r="E889" s="224" t="s">
        <v>7312</v>
      </c>
      <c r="F889" s="224" t="s">
        <v>4</v>
      </c>
      <c r="G889" s="224" t="s">
        <v>727</v>
      </c>
      <c r="H889" s="224" t="s">
        <v>10376</v>
      </c>
      <c r="I889" s="224">
        <v>2</v>
      </c>
      <c r="J889" s="224" t="s">
        <v>1237</v>
      </c>
      <c r="K889" s="224"/>
      <c r="L889" s="224">
        <v>2</v>
      </c>
      <c r="M889" s="224" t="s">
        <v>784</v>
      </c>
      <c r="N889" s="224" t="s">
        <v>7314</v>
      </c>
      <c r="O889" s="224" t="s">
        <v>452</v>
      </c>
      <c r="P889" s="224" t="s">
        <v>7315</v>
      </c>
      <c r="Q889" s="224"/>
      <c r="R889" s="224" t="s">
        <v>24</v>
      </c>
      <c r="S889" s="254"/>
      <c r="T889" s="254"/>
      <c r="U889" s="224"/>
      <c r="V889" s="224"/>
      <c r="W889" s="224"/>
      <c r="X889" s="224"/>
      <c r="Y889" s="224"/>
      <c r="Z889" s="224"/>
      <c r="AA889" s="224"/>
      <c r="AB889" s="224"/>
    </row>
    <row r="890" spans="1:28" ht="15.75" hidden="1" customHeight="1">
      <c r="A890" s="248">
        <v>44796</v>
      </c>
      <c r="B890" s="219" t="s">
        <v>7389</v>
      </c>
      <c r="C890" s="315">
        <v>2</v>
      </c>
      <c r="D890" s="315"/>
      <c r="E890" s="219" t="s">
        <v>7392</v>
      </c>
      <c r="F890" s="219" t="s">
        <v>4</v>
      </c>
      <c r="G890" s="219" t="s">
        <v>1045</v>
      </c>
      <c r="H890" s="219" t="s">
        <v>7393</v>
      </c>
      <c r="I890" s="219">
        <v>2</v>
      </c>
      <c r="J890" s="219" t="s">
        <v>1298</v>
      </c>
      <c r="K890" s="219" t="s">
        <v>7394</v>
      </c>
      <c r="L890" s="219">
        <v>2</v>
      </c>
      <c r="M890" s="219" t="s">
        <v>784</v>
      </c>
      <c r="N890" s="331">
        <v>250000</v>
      </c>
      <c r="O890" s="219" t="s">
        <v>465</v>
      </c>
      <c r="P890" s="219" t="s">
        <v>452</v>
      </c>
      <c r="Q890" s="219"/>
      <c r="R890" s="219" t="s">
        <v>24</v>
      </c>
      <c r="S890" s="251"/>
      <c r="T890" s="251"/>
      <c r="U890" s="219"/>
      <c r="V890" s="219"/>
      <c r="W890" s="219"/>
      <c r="X890" s="219"/>
      <c r="Y890" s="219"/>
      <c r="Z890" s="219"/>
      <c r="AA890" s="219"/>
      <c r="AB890" s="219"/>
    </row>
    <row r="891" spans="1:28" ht="15.75" hidden="1" customHeight="1">
      <c r="A891" s="253">
        <v>44796</v>
      </c>
      <c r="B891" s="224" t="s">
        <v>7443</v>
      </c>
      <c r="C891" s="316">
        <v>2</v>
      </c>
      <c r="D891" s="316"/>
      <c r="E891" s="224" t="s">
        <v>7446</v>
      </c>
      <c r="F891" s="224" t="s">
        <v>4</v>
      </c>
      <c r="G891" s="224" t="s">
        <v>727</v>
      </c>
      <c r="H891" s="224" t="s">
        <v>10565</v>
      </c>
      <c r="I891" s="224">
        <v>2</v>
      </c>
      <c r="J891" s="224" t="s">
        <v>1045</v>
      </c>
      <c r="K891" s="224" t="s">
        <v>7448</v>
      </c>
      <c r="L891" s="224">
        <v>2</v>
      </c>
      <c r="M891" s="224" t="s">
        <v>451</v>
      </c>
      <c r="N891" s="224">
        <v>2000000</v>
      </c>
      <c r="O891" s="224" t="s">
        <v>452</v>
      </c>
      <c r="P891" s="224" t="s">
        <v>7449</v>
      </c>
      <c r="Q891" s="224"/>
      <c r="R891" s="224" t="s">
        <v>24</v>
      </c>
      <c r="S891" s="254"/>
      <c r="T891" s="254"/>
      <c r="U891" s="224"/>
      <c r="V891" s="224"/>
      <c r="W891" s="224"/>
      <c r="X891" s="224"/>
      <c r="Y891" s="224"/>
      <c r="Z891" s="224"/>
      <c r="AA891" s="224"/>
      <c r="AB891" s="224"/>
    </row>
    <row r="892" spans="1:28" ht="15.75" hidden="1" customHeight="1">
      <c r="A892" s="248">
        <v>44796</v>
      </c>
      <c r="B892" s="219" t="s">
        <v>8533</v>
      </c>
      <c r="C892" s="315">
        <v>2</v>
      </c>
      <c r="D892" s="315"/>
      <c r="E892" s="219" t="s">
        <v>8536</v>
      </c>
      <c r="F892" s="219" t="s">
        <v>3</v>
      </c>
      <c r="G892" s="219" t="s">
        <v>460</v>
      </c>
      <c r="H892" s="219" t="s">
        <v>8537</v>
      </c>
      <c r="I892" s="219">
        <v>1</v>
      </c>
      <c r="J892" s="219" t="s">
        <v>462</v>
      </c>
      <c r="K892" s="219" t="s">
        <v>8538</v>
      </c>
      <c r="L892" s="219">
        <v>3</v>
      </c>
      <c r="M892" s="219" t="s">
        <v>451</v>
      </c>
      <c r="N892" s="219" t="s">
        <v>8539</v>
      </c>
      <c r="O892" s="219" t="s">
        <v>452</v>
      </c>
      <c r="P892" s="219" t="s">
        <v>8540</v>
      </c>
      <c r="Q892" s="219"/>
      <c r="R892" s="219" t="s">
        <v>24</v>
      </c>
      <c r="S892" s="251"/>
      <c r="T892" s="251"/>
      <c r="U892" s="219"/>
      <c r="V892" s="219"/>
      <c r="W892" s="219"/>
      <c r="X892" s="219"/>
      <c r="Y892" s="219"/>
      <c r="Z892" s="219"/>
      <c r="AA892" s="219"/>
      <c r="AB892" s="219"/>
    </row>
    <row r="893" spans="1:28" ht="15.75" hidden="1" customHeight="1">
      <c r="A893" s="253">
        <v>44796</v>
      </c>
      <c r="B893" s="224" t="s">
        <v>7068</v>
      </c>
      <c r="C893" s="316">
        <v>2</v>
      </c>
      <c r="D893" s="316"/>
      <c r="E893" s="224" t="s">
        <v>7071</v>
      </c>
      <c r="F893" s="224" t="s">
        <v>4</v>
      </c>
      <c r="G893" s="224" t="s">
        <v>725</v>
      </c>
      <c r="H893" s="224" t="s">
        <v>7072</v>
      </c>
      <c r="I893" s="224">
        <v>2</v>
      </c>
      <c r="J893" s="224" t="s">
        <v>1036</v>
      </c>
      <c r="K893" s="224" t="s">
        <v>7073</v>
      </c>
      <c r="L893" s="224">
        <v>2</v>
      </c>
      <c r="M893" s="224"/>
      <c r="N893" s="224"/>
      <c r="O893" s="224" t="s">
        <v>452</v>
      </c>
      <c r="P893" s="224" t="s">
        <v>452</v>
      </c>
      <c r="Q893" s="224" t="s">
        <v>7074</v>
      </c>
      <c r="R893" s="224" t="s">
        <v>24</v>
      </c>
      <c r="S893" s="254"/>
      <c r="T893" s="254"/>
      <c r="U893" s="224"/>
      <c r="V893" s="224"/>
      <c r="W893" s="224"/>
      <c r="X893" s="224"/>
      <c r="Y893" s="224"/>
      <c r="Z893" s="224"/>
      <c r="AA893" s="224"/>
      <c r="AB893" s="224"/>
    </row>
    <row r="894" spans="1:28" ht="15.75" hidden="1" customHeight="1">
      <c r="A894" s="248">
        <v>44796</v>
      </c>
      <c r="B894" s="219" t="s">
        <v>7451</v>
      </c>
      <c r="C894" s="315">
        <v>2</v>
      </c>
      <c r="D894" s="315"/>
      <c r="E894" s="219" t="s">
        <v>10772</v>
      </c>
      <c r="F894" s="219" t="s">
        <v>4</v>
      </c>
      <c r="G894" s="219" t="s">
        <v>725</v>
      </c>
      <c r="H894" s="219" t="s">
        <v>10773</v>
      </c>
      <c r="I894" s="219">
        <v>2</v>
      </c>
      <c r="J894" s="219" t="s">
        <v>1371</v>
      </c>
      <c r="K894" s="219" t="s">
        <v>7456</v>
      </c>
      <c r="L894" s="219">
        <v>2</v>
      </c>
      <c r="M894" s="219" t="s">
        <v>478</v>
      </c>
      <c r="N894" s="219">
        <v>3000000</v>
      </c>
      <c r="O894" s="219" t="s">
        <v>452</v>
      </c>
      <c r="P894" s="219" t="s">
        <v>452</v>
      </c>
      <c r="Q894" s="219"/>
      <c r="R894" s="219" t="s">
        <v>24</v>
      </c>
      <c r="S894" s="251"/>
      <c r="T894" s="251"/>
      <c r="U894" s="219"/>
      <c r="V894" s="219"/>
      <c r="W894" s="219"/>
      <c r="X894" s="219"/>
      <c r="Y894" s="219"/>
      <c r="Z894" s="219"/>
      <c r="AA894" s="219"/>
      <c r="AB894" s="219"/>
    </row>
    <row r="895" spans="1:28" ht="15.75" hidden="1" customHeight="1">
      <c r="A895" s="253">
        <v>44796</v>
      </c>
      <c r="B895" s="224" t="s">
        <v>7459</v>
      </c>
      <c r="C895" s="316">
        <v>2</v>
      </c>
      <c r="D895" s="316"/>
      <c r="E895" s="224" t="s">
        <v>7462</v>
      </c>
      <c r="F895" s="224" t="s">
        <v>4</v>
      </c>
      <c r="G895" s="224" t="s">
        <v>725</v>
      </c>
      <c r="H895" s="224" t="s">
        <v>10799</v>
      </c>
      <c r="I895" s="224">
        <v>3</v>
      </c>
      <c r="J895" s="224" t="s">
        <v>1371</v>
      </c>
      <c r="K895" s="224" t="s">
        <v>7464</v>
      </c>
      <c r="L895" s="224">
        <v>1</v>
      </c>
      <c r="M895" s="224"/>
      <c r="N895" s="224"/>
      <c r="O895" s="224" t="s">
        <v>454</v>
      </c>
      <c r="P895" s="224" t="s">
        <v>7465</v>
      </c>
      <c r="Q895" s="224" t="s">
        <v>7466</v>
      </c>
      <c r="R895" s="224" t="s">
        <v>24</v>
      </c>
      <c r="S895" s="254"/>
      <c r="T895" s="254"/>
      <c r="U895" s="224"/>
      <c r="V895" s="224"/>
      <c r="W895" s="224"/>
      <c r="X895" s="224"/>
      <c r="Y895" s="224"/>
      <c r="Z895" s="224"/>
      <c r="AA895" s="224"/>
      <c r="AB895" s="224"/>
    </row>
    <row r="896" spans="1:28" ht="15.75" hidden="1" customHeight="1">
      <c r="A896" s="248">
        <v>44796</v>
      </c>
      <c r="B896" s="219" t="s">
        <v>8842</v>
      </c>
      <c r="C896" s="315">
        <v>2</v>
      </c>
      <c r="D896" s="315"/>
      <c r="E896" s="219" t="s">
        <v>8845</v>
      </c>
      <c r="F896" s="219" t="s">
        <v>3</v>
      </c>
      <c r="G896" s="219" t="s">
        <v>725</v>
      </c>
      <c r="H896" s="219" t="s">
        <v>10843</v>
      </c>
      <c r="I896" s="219">
        <v>2</v>
      </c>
      <c r="J896" s="219" t="s">
        <v>941</v>
      </c>
      <c r="K896" s="219"/>
      <c r="L896" s="219">
        <v>2</v>
      </c>
      <c r="M896" s="219" t="s">
        <v>784</v>
      </c>
      <c r="N896" s="219">
        <v>200000</v>
      </c>
      <c r="O896" s="219" t="s">
        <v>452</v>
      </c>
      <c r="P896" s="219" t="s">
        <v>8847</v>
      </c>
      <c r="Q896" s="219"/>
      <c r="R896" s="219" t="s">
        <v>24</v>
      </c>
      <c r="S896" s="251"/>
      <c r="T896" s="251"/>
      <c r="U896" s="219"/>
      <c r="V896" s="219"/>
      <c r="W896" s="219"/>
      <c r="X896" s="219"/>
      <c r="Y896" s="219"/>
      <c r="Z896" s="219"/>
      <c r="AA896" s="219"/>
      <c r="AB896" s="219"/>
    </row>
    <row r="897" spans="1:28" ht="15.75" hidden="1" customHeight="1">
      <c r="A897" s="253">
        <v>44796</v>
      </c>
      <c r="B897" s="224" t="s">
        <v>7324</v>
      </c>
      <c r="C897" s="316">
        <v>2</v>
      </c>
      <c r="D897" s="316"/>
      <c r="E897" s="224" t="s">
        <v>10941</v>
      </c>
      <c r="F897" s="224" t="s">
        <v>4</v>
      </c>
      <c r="G897" s="224" t="s">
        <v>725</v>
      </c>
      <c r="H897" s="224"/>
      <c r="I897" s="224">
        <v>2</v>
      </c>
      <c r="J897" s="224" t="s">
        <v>1237</v>
      </c>
      <c r="K897" s="224"/>
      <c r="L897" s="224">
        <v>2</v>
      </c>
      <c r="M897" s="224" t="s">
        <v>451</v>
      </c>
      <c r="N897" s="224" t="s">
        <v>7328</v>
      </c>
      <c r="O897" s="224" t="s">
        <v>454</v>
      </c>
      <c r="P897" s="224" t="s">
        <v>7329</v>
      </c>
      <c r="Q897" s="224"/>
      <c r="R897" s="224" t="s">
        <v>24</v>
      </c>
      <c r="S897" s="254"/>
      <c r="T897" s="254"/>
      <c r="U897" s="224"/>
      <c r="V897" s="224"/>
      <c r="W897" s="224"/>
      <c r="X897" s="224"/>
      <c r="Y897" s="224"/>
      <c r="Z897" s="224"/>
      <c r="AA897" s="224"/>
      <c r="AB897" s="224"/>
    </row>
    <row r="898" spans="1:28" ht="15.75" hidden="1" customHeight="1">
      <c r="A898" s="248">
        <v>44796</v>
      </c>
      <c r="B898" s="219" t="s">
        <v>7607</v>
      </c>
      <c r="C898" s="315">
        <v>2</v>
      </c>
      <c r="D898" s="315"/>
      <c r="E898" s="219" t="s">
        <v>7610</v>
      </c>
      <c r="F898" s="219" t="s">
        <v>4</v>
      </c>
      <c r="G898" s="219" t="s">
        <v>602</v>
      </c>
      <c r="H898" s="219" t="s">
        <v>7611</v>
      </c>
      <c r="I898" s="219">
        <v>2</v>
      </c>
      <c r="J898" s="219" t="s">
        <v>1045</v>
      </c>
      <c r="K898" s="219" t="s">
        <v>7612</v>
      </c>
      <c r="L898" s="219">
        <v>2</v>
      </c>
      <c r="M898" s="219"/>
      <c r="N898" s="219"/>
      <c r="O898" s="219" t="s">
        <v>452</v>
      </c>
      <c r="P898" s="219" t="s">
        <v>3420</v>
      </c>
      <c r="Q898" s="219" t="s">
        <v>725</v>
      </c>
      <c r="R898" s="219" t="s">
        <v>24</v>
      </c>
      <c r="S898" s="251"/>
      <c r="T898" s="251"/>
      <c r="U898" s="219"/>
      <c r="V898" s="219"/>
      <c r="W898" s="219"/>
      <c r="X898" s="219"/>
      <c r="Y898" s="219"/>
      <c r="Z898" s="219"/>
      <c r="AA898" s="219"/>
      <c r="AB898" s="219"/>
    </row>
    <row r="899" spans="1:28" ht="15.75" hidden="1" customHeight="1">
      <c r="A899" s="253">
        <v>44796</v>
      </c>
      <c r="B899" s="224" t="s">
        <v>7500</v>
      </c>
      <c r="C899" s="316">
        <v>2</v>
      </c>
      <c r="D899" s="316"/>
      <c r="E899" s="224" t="s">
        <v>7503</v>
      </c>
      <c r="F899" s="224" t="s">
        <v>4</v>
      </c>
      <c r="G899" s="224" t="s">
        <v>602</v>
      </c>
      <c r="H899" s="224" t="s">
        <v>7504</v>
      </c>
      <c r="I899" s="224">
        <v>2</v>
      </c>
      <c r="J899" s="224" t="s">
        <v>1457</v>
      </c>
      <c r="K899" s="224" t="s">
        <v>7505</v>
      </c>
      <c r="L899" s="224">
        <v>2</v>
      </c>
      <c r="M899" s="224" t="s">
        <v>784</v>
      </c>
      <c r="N899" s="311">
        <v>500000</v>
      </c>
      <c r="O899" s="224" t="s">
        <v>452</v>
      </c>
      <c r="P899" s="224" t="s">
        <v>452</v>
      </c>
      <c r="Q899" s="224"/>
      <c r="R899" s="224" t="s">
        <v>24</v>
      </c>
      <c r="S899" s="254"/>
      <c r="T899" s="254"/>
      <c r="U899" s="224"/>
      <c r="V899" s="224"/>
      <c r="W899" s="224"/>
      <c r="X899" s="224"/>
      <c r="Y899" s="224"/>
      <c r="Z899" s="224"/>
      <c r="AA899" s="224"/>
      <c r="AB899" s="224"/>
    </row>
    <row r="900" spans="1:28" ht="15.75" hidden="1" customHeight="1">
      <c r="A900" s="248">
        <v>44796</v>
      </c>
      <c r="B900" s="219" t="s">
        <v>6940</v>
      </c>
      <c r="C900" s="315">
        <v>2</v>
      </c>
      <c r="D900" s="315"/>
      <c r="E900" s="219" t="s">
        <v>6943</v>
      </c>
      <c r="F900" s="219" t="s">
        <v>4</v>
      </c>
      <c r="G900" s="219" t="s">
        <v>725</v>
      </c>
      <c r="H900" s="219" t="s">
        <v>11128</v>
      </c>
      <c r="I900" s="219">
        <v>2</v>
      </c>
      <c r="J900" s="219" t="s">
        <v>1045</v>
      </c>
      <c r="K900" s="219" t="s">
        <v>6945</v>
      </c>
      <c r="L900" s="219">
        <v>2</v>
      </c>
      <c r="M900" s="219"/>
      <c r="N900" s="219"/>
      <c r="O900" s="219" t="s">
        <v>454</v>
      </c>
      <c r="P900" s="219" t="s">
        <v>452</v>
      </c>
      <c r="Q900" s="219"/>
      <c r="R900" s="219" t="s">
        <v>24</v>
      </c>
      <c r="S900" s="251"/>
      <c r="T900" s="251"/>
      <c r="U900" s="219"/>
      <c r="V900" s="219"/>
      <c r="W900" s="219"/>
      <c r="X900" s="219"/>
      <c r="Y900" s="219"/>
      <c r="Z900" s="219"/>
      <c r="AA900" s="219"/>
      <c r="AB900" s="219"/>
    </row>
    <row r="901" spans="1:28" ht="15.75" hidden="1" customHeight="1">
      <c r="A901" s="253">
        <v>44796</v>
      </c>
      <c r="B901" s="224" t="s">
        <v>7025</v>
      </c>
      <c r="C901" s="316">
        <v>2</v>
      </c>
      <c r="D901" s="316"/>
      <c r="E901" s="224" t="s">
        <v>7028</v>
      </c>
      <c r="F901" s="224" t="s">
        <v>4</v>
      </c>
      <c r="G901" s="224" t="s">
        <v>725</v>
      </c>
      <c r="H901" s="224" t="s">
        <v>11139</v>
      </c>
      <c r="I901" s="224">
        <v>2</v>
      </c>
      <c r="J901" s="224" t="s">
        <v>1045</v>
      </c>
      <c r="K901" s="224" t="s">
        <v>7030</v>
      </c>
      <c r="L901" s="224">
        <v>2</v>
      </c>
      <c r="M901" s="224"/>
      <c r="N901" s="224"/>
      <c r="O901" s="224" t="s">
        <v>454</v>
      </c>
      <c r="P901" s="224" t="s">
        <v>452</v>
      </c>
      <c r="Q901" s="224"/>
      <c r="R901" s="224" t="s">
        <v>24</v>
      </c>
      <c r="S901" s="254"/>
      <c r="T901" s="254"/>
      <c r="U901" s="224"/>
      <c r="V901" s="224"/>
      <c r="W901" s="224"/>
      <c r="X901" s="224"/>
      <c r="Y901" s="224"/>
      <c r="Z901" s="224"/>
      <c r="AA901" s="224"/>
      <c r="AB901" s="224"/>
    </row>
    <row r="902" spans="1:28" ht="15.75" hidden="1" customHeight="1">
      <c r="A902" s="248">
        <v>44796</v>
      </c>
      <c r="B902" s="219" t="s">
        <v>7339</v>
      </c>
      <c r="C902" s="315">
        <v>2</v>
      </c>
      <c r="D902" s="315"/>
      <c r="E902" s="219" t="s">
        <v>7342</v>
      </c>
      <c r="F902" s="219" t="s">
        <v>4</v>
      </c>
      <c r="G902" s="219" t="s">
        <v>602</v>
      </c>
      <c r="H902" s="219" t="s">
        <v>7343</v>
      </c>
      <c r="I902" s="219">
        <v>2</v>
      </c>
      <c r="J902" s="219" t="s">
        <v>1281</v>
      </c>
      <c r="K902" s="219" t="s">
        <v>7344</v>
      </c>
      <c r="L902" s="219">
        <v>2</v>
      </c>
      <c r="M902" s="219" t="s">
        <v>451</v>
      </c>
      <c r="N902" s="331">
        <v>8000000</v>
      </c>
      <c r="O902" s="219" t="s">
        <v>465</v>
      </c>
      <c r="P902" s="219" t="s">
        <v>11146</v>
      </c>
      <c r="Q902" s="219"/>
      <c r="R902" s="219" t="s">
        <v>24</v>
      </c>
      <c r="S902" s="251"/>
      <c r="T902" s="251"/>
      <c r="U902" s="219"/>
      <c r="V902" s="219"/>
      <c r="W902" s="219"/>
      <c r="X902" s="219"/>
      <c r="Y902" s="219"/>
      <c r="Z902" s="219"/>
      <c r="AA902" s="219"/>
      <c r="AB902" s="219"/>
    </row>
    <row r="903" spans="1:28" ht="15.75" hidden="1" customHeight="1">
      <c r="A903" s="253">
        <v>44796</v>
      </c>
      <c r="B903" s="224" t="s">
        <v>7178</v>
      </c>
      <c r="C903" s="316">
        <v>2</v>
      </c>
      <c r="D903" s="316"/>
      <c r="E903" s="224" t="s">
        <v>11176</v>
      </c>
      <c r="F903" s="224" t="s">
        <v>4</v>
      </c>
      <c r="G903" s="224" t="s">
        <v>725</v>
      </c>
      <c r="H903" s="224" t="s">
        <v>7182</v>
      </c>
      <c r="I903" s="224">
        <v>2</v>
      </c>
      <c r="J903" s="224" t="s">
        <v>476</v>
      </c>
      <c r="K903" s="224" t="s">
        <v>13400</v>
      </c>
      <c r="L903" s="224">
        <v>2</v>
      </c>
      <c r="M903" s="224"/>
      <c r="N903" s="224"/>
      <c r="O903" s="224" t="s">
        <v>452</v>
      </c>
      <c r="P903" s="224" t="s">
        <v>11178</v>
      </c>
      <c r="Q903" s="224"/>
      <c r="R903" s="224" t="s">
        <v>24</v>
      </c>
      <c r="S903" s="254"/>
      <c r="T903" s="254"/>
      <c r="U903" s="224"/>
      <c r="V903" s="224"/>
      <c r="W903" s="224"/>
      <c r="X903" s="224"/>
      <c r="Y903" s="224"/>
      <c r="Z903" s="224"/>
      <c r="AA903" s="224"/>
      <c r="AB903" s="224"/>
    </row>
    <row r="904" spans="1:28" ht="15.75" hidden="1" customHeight="1">
      <c r="A904" s="248">
        <v>44796</v>
      </c>
      <c r="B904" s="219" t="s">
        <v>8687</v>
      </c>
      <c r="C904" s="315">
        <v>2</v>
      </c>
      <c r="D904" s="315"/>
      <c r="E904" s="219" t="s">
        <v>11239</v>
      </c>
      <c r="F904" s="219" t="s">
        <v>3</v>
      </c>
      <c r="G904" s="219" t="s">
        <v>488</v>
      </c>
      <c r="H904" s="219" t="s">
        <v>8691</v>
      </c>
      <c r="I904" s="219">
        <v>2</v>
      </c>
      <c r="J904" s="219" t="s">
        <v>941</v>
      </c>
      <c r="K904" s="219" t="s">
        <v>8692</v>
      </c>
      <c r="L904" s="219">
        <v>2</v>
      </c>
      <c r="M904" s="219"/>
      <c r="N904" s="219"/>
      <c r="O904" s="219" t="s">
        <v>454</v>
      </c>
      <c r="P904" s="219" t="s">
        <v>1119</v>
      </c>
      <c r="Q904" s="219"/>
      <c r="R904" s="219" t="s">
        <v>24</v>
      </c>
      <c r="S904" s="251"/>
      <c r="T904" s="251"/>
      <c r="U904" s="219"/>
      <c r="V904" s="219"/>
      <c r="W904" s="219"/>
      <c r="X904" s="219"/>
      <c r="Y904" s="219"/>
      <c r="Z904" s="219"/>
      <c r="AA904" s="219"/>
      <c r="AB904" s="219"/>
    </row>
    <row r="905" spans="1:28" ht="15.75" hidden="1" customHeight="1">
      <c r="A905" s="253">
        <v>44796</v>
      </c>
      <c r="B905" s="224" t="s">
        <v>8935</v>
      </c>
      <c r="C905" s="316">
        <v>2</v>
      </c>
      <c r="D905" s="316"/>
      <c r="E905" s="224"/>
      <c r="F905" s="224" t="s">
        <v>3</v>
      </c>
      <c r="G905" s="224" t="s">
        <v>488</v>
      </c>
      <c r="H905" s="224" t="s">
        <v>8938</v>
      </c>
      <c r="I905" s="224">
        <v>2</v>
      </c>
      <c r="J905" s="224" t="s">
        <v>941</v>
      </c>
      <c r="K905" s="224"/>
      <c r="L905" s="224">
        <v>2</v>
      </c>
      <c r="M905" s="224" t="s">
        <v>8939</v>
      </c>
      <c r="N905" s="224">
        <v>500000</v>
      </c>
      <c r="O905" s="224" t="s">
        <v>454</v>
      </c>
      <c r="P905" s="224" t="s">
        <v>8938</v>
      </c>
      <c r="Q905" s="224"/>
      <c r="R905" s="224" t="s">
        <v>24</v>
      </c>
      <c r="S905" s="254"/>
      <c r="T905" s="254"/>
      <c r="U905" s="224"/>
      <c r="V905" s="224"/>
      <c r="W905" s="224"/>
      <c r="X905" s="224"/>
      <c r="Y905" s="224"/>
      <c r="Z905" s="224"/>
      <c r="AA905" s="224"/>
      <c r="AB905" s="224"/>
    </row>
    <row r="906" spans="1:28" ht="15.75" hidden="1" customHeight="1">
      <c r="A906" s="248">
        <v>44796</v>
      </c>
      <c r="B906" s="219" t="s">
        <v>6983</v>
      </c>
      <c r="C906" s="315">
        <v>2</v>
      </c>
      <c r="D906" s="315"/>
      <c r="E906" s="219" t="s">
        <v>6986</v>
      </c>
      <c r="F906" s="219" t="s">
        <v>4</v>
      </c>
      <c r="G906" s="219" t="s">
        <v>725</v>
      </c>
      <c r="H906" s="219" t="s">
        <v>11256</v>
      </c>
      <c r="I906" s="219">
        <v>2</v>
      </c>
      <c r="J906" s="219" t="s">
        <v>462</v>
      </c>
      <c r="K906" s="219" t="s">
        <v>6988</v>
      </c>
      <c r="L906" s="219">
        <v>2</v>
      </c>
      <c r="M906" s="219" t="s">
        <v>451</v>
      </c>
      <c r="N906" s="310">
        <v>10000000</v>
      </c>
      <c r="O906" s="219" t="s">
        <v>452</v>
      </c>
      <c r="P906" s="219" t="s">
        <v>6989</v>
      </c>
      <c r="Q906" s="219"/>
      <c r="R906" s="219" t="s">
        <v>24</v>
      </c>
      <c r="S906" s="251"/>
      <c r="T906" s="251"/>
      <c r="U906" s="219"/>
      <c r="V906" s="219"/>
      <c r="W906" s="219"/>
      <c r="X906" s="219"/>
      <c r="Y906" s="219"/>
      <c r="Z906" s="219"/>
      <c r="AA906" s="219"/>
      <c r="AB906" s="219"/>
    </row>
    <row r="907" spans="1:28" ht="15.75" hidden="1" customHeight="1">
      <c r="A907" s="253">
        <v>44796</v>
      </c>
      <c r="B907" s="224" t="s">
        <v>7210</v>
      </c>
      <c r="C907" s="316">
        <v>2</v>
      </c>
      <c r="D907" s="316"/>
      <c r="E907" s="224"/>
      <c r="F907" s="224" t="s">
        <v>4</v>
      </c>
      <c r="G907" s="224" t="s">
        <v>725</v>
      </c>
      <c r="H907" s="224" t="s">
        <v>7213</v>
      </c>
      <c r="I907" s="224">
        <v>2</v>
      </c>
      <c r="J907" s="224" t="s">
        <v>1187</v>
      </c>
      <c r="K907" s="224" t="s">
        <v>7214</v>
      </c>
      <c r="L907" s="224">
        <v>2</v>
      </c>
      <c r="M907" s="224" t="s">
        <v>2190</v>
      </c>
      <c r="N907" s="224" t="s">
        <v>4828</v>
      </c>
      <c r="O907" s="224" t="s">
        <v>465</v>
      </c>
      <c r="P907" s="224" t="s">
        <v>7215</v>
      </c>
      <c r="Q907" s="224" t="s">
        <v>7216</v>
      </c>
      <c r="R907" s="224" t="s">
        <v>24</v>
      </c>
      <c r="S907" s="254"/>
      <c r="T907" s="254"/>
      <c r="U907" s="224"/>
      <c r="V907" s="224"/>
      <c r="W907" s="224"/>
      <c r="X907" s="224"/>
      <c r="Y907" s="224"/>
      <c r="Z907" s="224"/>
      <c r="AA907" s="224"/>
      <c r="AB907" s="224"/>
    </row>
    <row r="908" spans="1:28" ht="15.75" hidden="1" customHeight="1">
      <c r="A908" s="248">
        <v>44796</v>
      </c>
      <c r="B908" s="219" t="s">
        <v>7397</v>
      </c>
      <c r="C908" s="315">
        <v>2</v>
      </c>
      <c r="D908" s="315"/>
      <c r="E908" s="219" t="s">
        <v>7400</v>
      </c>
      <c r="F908" s="219" t="s">
        <v>4</v>
      </c>
      <c r="G908" s="219" t="s">
        <v>727</v>
      </c>
      <c r="H908" s="219" t="s">
        <v>11300</v>
      </c>
      <c r="I908" s="219">
        <v>2</v>
      </c>
      <c r="J908" s="219" t="s">
        <v>1054</v>
      </c>
      <c r="K908" s="219" t="s">
        <v>7402</v>
      </c>
      <c r="L908" s="219">
        <v>2</v>
      </c>
      <c r="M908" s="219" t="s">
        <v>451</v>
      </c>
      <c r="N908" s="310">
        <v>200000</v>
      </c>
      <c r="O908" s="219" t="s">
        <v>452</v>
      </c>
      <c r="P908" s="219" t="s">
        <v>7403</v>
      </c>
      <c r="Q908" s="219"/>
      <c r="R908" s="219" t="s">
        <v>24</v>
      </c>
      <c r="S908" s="251"/>
      <c r="T908" s="251"/>
      <c r="U908" s="219"/>
      <c r="V908" s="219"/>
      <c r="W908" s="219"/>
      <c r="X908" s="219"/>
      <c r="Y908" s="219"/>
      <c r="Z908" s="219"/>
      <c r="AA908" s="219"/>
      <c r="AB908" s="219"/>
    </row>
    <row r="909" spans="1:28" ht="15.75" hidden="1" customHeight="1">
      <c r="A909" s="253">
        <v>44796</v>
      </c>
      <c r="B909" s="224" t="s">
        <v>8652</v>
      </c>
      <c r="C909" s="316">
        <v>2</v>
      </c>
      <c r="D909" s="316"/>
      <c r="E909" s="224"/>
      <c r="F909" s="224" t="s">
        <v>3</v>
      </c>
      <c r="G909" s="224" t="s">
        <v>488</v>
      </c>
      <c r="H909" s="224" t="s">
        <v>11348</v>
      </c>
      <c r="I909" s="224">
        <v>2</v>
      </c>
      <c r="J909" s="224" t="s">
        <v>462</v>
      </c>
      <c r="K909" s="224" t="s">
        <v>8656</v>
      </c>
      <c r="L909" s="224">
        <v>2</v>
      </c>
      <c r="M909" s="224" t="s">
        <v>2190</v>
      </c>
      <c r="N909" s="224" t="s">
        <v>8657</v>
      </c>
      <c r="O909" s="224" t="s">
        <v>452</v>
      </c>
      <c r="P909" s="224" t="s">
        <v>8658</v>
      </c>
      <c r="Q909" s="224" t="s">
        <v>8659</v>
      </c>
      <c r="R909" s="224" t="s">
        <v>24</v>
      </c>
      <c r="S909" s="254"/>
      <c r="T909" s="254"/>
      <c r="U909" s="224"/>
      <c r="V909" s="224"/>
      <c r="W909" s="224"/>
      <c r="X909" s="224"/>
      <c r="Y909" s="224"/>
      <c r="Z909" s="224"/>
      <c r="AA909" s="224"/>
      <c r="AB909" s="224"/>
    </row>
    <row r="910" spans="1:28" ht="15.75" hidden="1" customHeight="1">
      <c r="A910" s="248">
        <v>44796</v>
      </c>
      <c r="B910" s="219" t="s">
        <v>7018</v>
      </c>
      <c r="C910" s="315">
        <v>2</v>
      </c>
      <c r="D910" s="315"/>
      <c r="E910" s="219"/>
      <c r="F910" s="219" t="s">
        <v>4</v>
      </c>
      <c r="G910" s="219" t="s">
        <v>725</v>
      </c>
      <c r="H910" s="219" t="s">
        <v>7021</v>
      </c>
      <c r="I910" s="219">
        <v>2</v>
      </c>
      <c r="J910" s="219" t="s">
        <v>462</v>
      </c>
      <c r="K910" s="219" t="s">
        <v>7022</v>
      </c>
      <c r="L910" s="219">
        <v>2</v>
      </c>
      <c r="M910" s="219" t="s">
        <v>2190</v>
      </c>
      <c r="N910" s="331">
        <v>1500000</v>
      </c>
      <c r="O910" s="219" t="s">
        <v>452</v>
      </c>
      <c r="P910" s="219" t="s">
        <v>452</v>
      </c>
      <c r="Q910" s="219"/>
      <c r="R910" s="219" t="s">
        <v>24</v>
      </c>
      <c r="S910" s="251"/>
      <c r="T910" s="251"/>
      <c r="U910" s="219"/>
      <c r="V910" s="219"/>
      <c r="W910" s="219"/>
      <c r="X910" s="219"/>
      <c r="Y910" s="219"/>
      <c r="Z910" s="219"/>
      <c r="AA910" s="219"/>
      <c r="AB910" s="219"/>
    </row>
    <row r="911" spans="1:28" ht="15.75" hidden="1" customHeight="1">
      <c r="A911" s="253">
        <v>44796</v>
      </c>
      <c r="B911" s="224" t="s">
        <v>7574</v>
      </c>
      <c r="C911" s="316">
        <v>2</v>
      </c>
      <c r="D911" s="316"/>
      <c r="E911" s="224"/>
      <c r="F911" s="224" t="s">
        <v>4</v>
      </c>
      <c r="G911" s="224" t="s">
        <v>725</v>
      </c>
      <c r="H911" s="224"/>
      <c r="I911" s="224">
        <v>2</v>
      </c>
      <c r="J911" s="224" t="s">
        <v>1045</v>
      </c>
      <c r="K911" s="224" t="s">
        <v>7577</v>
      </c>
      <c r="L911" s="224">
        <v>2</v>
      </c>
      <c r="M911" s="224" t="s">
        <v>2190</v>
      </c>
      <c r="N911" s="224">
        <v>1000000</v>
      </c>
      <c r="O911" s="224" t="s">
        <v>452</v>
      </c>
      <c r="P911" s="224" t="s">
        <v>7578</v>
      </c>
      <c r="Q911" s="224" t="s">
        <v>7579</v>
      </c>
      <c r="R911" s="224" t="s">
        <v>24</v>
      </c>
      <c r="S911" s="254"/>
      <c r="T911" s="254"/>
      <c r="U911" s="224"/>
      <c r="V911" s="224"/>
      <c r="W911" s="224"/>
      <c r="X911" s="224"/>
      <c r="Y911" s="224"/>
      <c r="Z911" s="224"/>
      <c r="AA911" s="224"/>
      <c r="AB911" s="224"/>
    </row>
    <row r="912" spans="1:28" ht="15.75" hidden="1" customHeight="1">
      <c r="A912" s="248">
        <v>44796</v>
      </c>
      <c r="B912" s="219" t="s">
        <v>7228</v>
      </c>
      <c r="C912" s="315">
        <v>2</v>
      </c>
      <c r="D912" s="315"/>
      <c r="E912" s="219" t="s">
        <v>7231</v>
      </c>
      <c r="F912" s="219" t="s">
        <v>4</v>
      </c>
      <c r="G912" s="219" t="s">
        <v>602</v>
      </c>
      <c r="H912" s="219" t="s">
        <v>7232</v>
      </c>
      <c r="I912" s="219">
        <v>2</v>
      </c>
      <c r="J912" s="219" t="s">
        <v>1187</v>
      </c>
      <c r="K912" s="219" t="s">
        <v>7233</v>
      </c>
      <c r="L912" s="219">
        <v>2</v>
      </c>
      <c r="M912" s="219"/>
      <c r="N912" s="219"/>
      <c r="O912" s="219" t="s">
        <v>452</v>
      </c>
      <c r="P912" s="219" t="s">
        <v>452</v>
      </c>
      <c r="Q912" s="219"/>
      <c r="R912" s="219" t="s">
        <v>24</v>
      </c>
      <c r="S912" s="251"/>
      <c r="T912" s="251"/>
      <c r="U912" s="219"/>
      <c r="V912" s="219"/>
      <c r="W912" s="219"/>
      <c r="X912" s="219"/>
      <c r="Y912" s="219"/>
      <c r="Z912" s="219"/>
      <c r="AA912" s="219"/>
      <c r="AB912" s="219"/>
    </row>
    <row r="913" spans="1:28" ht="15.75" hidden="1" customHeight="1">
      <c r="A913" s="253">
        <v>44782</v>
      </c>
      <c r="B913" s="224" t="s">
        <v>7717</v>
      </c>
      <c r="C913" s="249">
        <v>1.75</v>
      </c>
      <c r="D913" s="249"/>
      <c r="E913" s="224" t="s">
        <v>11470</v>
      </c>
      <c r="F913" s="250" t="s">
        <v>4</v>
      </c>
      <c r="G913" s="224" t="s">
        <v>602</v>
      </c>
      <c r="H913" s="224" t="s">
        <v>11471</v>
      </c>
      <c r="I913" s="224">
        <v>2.5</v>
      </c>
      <c r="J913" s="224" t="s">
        <v>1054</v>
      </c>
      <c r="K913" s="224" t="s">
        <v>7722</v>
      </c>
      <c r="L913" s="224">
        <v>1</v>
      </c>
      <c r="M913" s="224"/>
      <c r="N913" s="224"/>
      <c r="O913" s="224" t="s">
        <v>452</v>
      </c>
      <c r="P913" s="224" t="s">
        <v>452</v>
      </c>
      <c r="Q913" s="224"/>
      <c r="R913" s="224" t="s">
        <v>24</v>
      </c>
      <c r="S913" s="254"/>
      <c r="T913" s="254"/>
      <c r="U913" s="252"/>
      <c r="V913" s="252"/>
      <c r="W913" s="252"/>
      <c r="X913" s="224"/>
      <c r="Y913" s="224"/>
      <c r="Z913" s="224"/>
      <c r="AA913" s="224"/>
      <c r="AB913" s="224"/>
    </row>
    <row r="914" spans="1:28" ht="15.75" hidden="1" customHeight="1">
      <c r="A914" s="267">
        <v>44784</v>
      </c>
      <c r="B914" s="268" t="s">
        <v>7683</v>
      </c>
      <c r="C914" s="269">
        <v>1.75</v>
      </c>
      <c r="D914" s="269"/>
      <c r="E914" s="268" t="s">
        <v>7686</v>
      </c>
      <c r="F914" s="270" t="s">
        <v>4</v>
      </c>
      <c r="G914" s="268" t="s">
        <v>602</v>
      </c>
      <c r="H914" s="268" t="s">
        <v>7687</v>
      </c>
      <c r="I914" s="268">
        <v>2</v>
      </c>
      <c r="J914" s="268" t="s">
        <v>476</v>
      </c>
      <c r="K914" s="268" t="s">
        <v>7688</v>
      </c>
      <c r="L914" s="268">
        <v>1.5</v>
      </c>
      <c r="M914" s="268"/>
      <c r="N914" s="268"/>
      <c r="O914" s="268" t="s">
        <v>452</v>
      </c>
      <c r="P914" s="268" t="s">
        <v>1119</v>
      </c>
      <c r="Q914" s="268"/>
      <c r="R914" s="268" t="s">
        <v>24</v>
      </c>
      <c r="S914" s="271"/>
      <c r="T914" s="271"/>
      <c r="U914" s="268"/>
      <c r="V914" s="268"/>
      <c r="W914" s="268"/>
      <c r="X914" s="268"/>
      <c r="Y914" s="268"/>
      <c r="Z914" s="219"/>
      <c r="AA914" s="219"/>
      <c r="AB914" s="219"/>
    </row>
    <row r="915" spans="1:28" ht="15.75" hidden="1" customHeight="1">
      <c r="A915" s="253">
        <v>44789</v>
      </c>
      <c r="B915" s="224" t="s">
        <v>7699</v>
      </c>
      <c r="C915" s="249">
        <v>1.75</v>
      </c>
      <c r="D915" s="249"/>
      <c r="E915" s="224" t="s">
        <v>7702</v>
      </c>
      <c r="F915" s="250" t="s">
        <v>4</v>
      </c>
      <c r="G915" s="224" t="s">
        <v>727</v>
      </c>
      <c r="H915" s="224" t="s">
        <v>10680</v>
      </c>
      <c r="I915" s="224">
        <v>2.5</v>
      </c>
      <c r="J915" s="224" t="s">
        <v>476</v>
      </c>
      <c r="K915" s="224" t="s">
        <v>7704</v>
      </c>
      <c r="L915" s="224">
        <v>1</v>
      </c>
      <c r="M915" s="224" t="s">
        <v>784</v>
      </c>
      <c r="N915" s="224">
        <v>750000</v>
      </c>
      <c r="O915" s="224" t="s">
        <v>452</v>
      </c>
      <c r="P915" s="224" t="s">
        <v>7705</v>
      </c>
      <c r="Q915" s="224"/>
      <c r="R915" s="224" t="s">
        <v>24</v>
      </c>
      <c r="S915" s="254"/>
      <c r="T915" s="254"/>
      <c r="U915" s="252"/>
      <c r="V915" s="252"/>
      <c r="W915" s="252"/>
      <c r="X915" s="224"/>
      <c r="Y915" s="224"/>
      <c r="Z915" s="224"/>
      <c r="AA915" s="224"/>
      <c r="AB915" s="224"/>
    </row>
    <row r="916" spans="1:28" ht="15.75" hidden="1" customHeight="1">
      <c r="A916" s="248">
        <v>44789</v>
      </c>
      <c r="B916" s="219" t="s">
        <v>7734</v>
      </c>
      <c r="C916" s="249">
        <v>1.75</v>
      </c>
      <c r="D916" s="249"/>
      <c r="E916" s="219" t="s">
        <v>7737</v>
      </c>
      <c r="F916" s="250" t="s">
        <v>4</v>
      </c>
      <c r="G916" s="219" t="s">
        <v>602</v>
      </c>
      <c r="H916" s="219" t="s">
        <v>7738</v>
      </c>
      <c r="I916" s="219">
        <v>2.5</v>
      </c>
      <c r="J916" s="219" t="s">
        <v>476</v>
      </c>
      <c r="K916" s="219" t="s">
        <v>10895</v>
      </c>
      <c r="L916" s="219">
        <v>1</v>
      </c>
      <c r="M916" s="219" t="s">
        <v>451</v>
      </c>
      <c r="N916" s="312">
        <v>2000000</v>
      </c>
      <c r="O916" s="219" t="s">
        <v>452</v>
      </c>
      <c r="P916" s="219" t="s">
        <v>7739</v>
      </c>
      <c r="Q916" s="219"/>
      <c r="R916" s="219" t="s">
        <v>24</v>
      </c>
      <c r="S916" s="251"/>
      <c r="T916" s="251"/>
      <c r="U916" s="252"/>
      <c r="V916" s="252"/>
      <c r="W916" s="252"/>
      <c r="X916" s="219"/>
      <c r="Y916" s="219"/>
      <c r="Z916" s="219"/>
      <c r="AA916" s="219"/>
      <c r="AB916" s="219"/>
    </row>
    <row r="917" spans="1:28" ht="15.75" hidden="1" customHeight="1">
      <c r="A917" s="253">
        <v>44789</v>
      </c>
      <c r="B917" s="224" t="s">
        <v>7659</v>
      </c>
      <c r="C917" s="249">
        <v>1.75</v>
      </c>
      <c r="D917" s="249"/>
      <c r="E917" s="224" t="s">
        <v>7662</v>
      </c>
      <c r="F917" s="250" t="s">
        <v>4</v>
      </c>
      <c r="G917" s="224" t="s">
        <v>602</v>
      </c>
      <c r="H917" s="224" t="s">
        <v>7663</v>
      </c>
      <c r="I917" s="224">
        <v>2</v>
      </c>
      <c r="J917" s="224" t="s">
        <v>476</v>
      </c>
      <c r="K917" s="224" t="s">
        <v>11109</v>
      </c>
      <c r="L917" s="224">
        <v>1.5</v>
      </c>
      <c r="M917" s="224" t="s">
        <v>451</v>
      </c>
      <c r="N917" s="311">
        <v>500000</v>
      </c>
      <c r="O917" s="224" t="s">
        <v>452</v>
      </c>
      <c r="P917" s="224" t="s">
        <v>452</v>
      </c>
      <c r="Q917" s="224"/>
      <c r="R917" s="224" t="s">
        <v>24</v>
      </c>
      <c r="S917" s="254"/>
      <c r="T917" s="254"/>
      <c r="U917" s="252"/>
      <c r="V917" s="252"/>
      <c r="W917" s="252"/>
      <c r="X917" s="224"/>
      <c r="Y917" s="224"/>
      <c r="Z917" s="224"/>
      <c r="AA917" s="224"/>
      <c r="AB917" s="224"/>
    </row>
    <row r="918" spans="1:28" ht="15.75" hidden="1" customHeight="1">
      <c r="A918" s="248">
        <v>44789</v>
      </c>
      <c r="B918" s="219" t="s">
        <v>7675</v>
      </c>
      <c r="C918" s="249">
        <v>1.75</v>
      </c>
      <c r="D918" s="249"/>
      <c r="E918" s="219" t="s">
        <v>7678</v>
      </c>
      <c r="F918" s="250" t="s">
        <v>4</v>
      </c>
      <c r="G918" s="219" t="s">
        <v>727</v>
      </c>
      <c r="H918" s="219" t="s">
        <v>10219</v>
      </c>
      <c r="I918" s="219">
        <v>2</v>
      </c>
      <c r="J918" s="219" t="s">
        <v>1045</v>
      </c>
      <c r="K918" s="219" t="s">
        <v>7680</v>
      </c>
      <c r="L918" s="219">
        <v>1.5</v>
      </c>
      <c r="M918" s="219"/>
      <c r="N918" s="312"/>
      <c r="O918" s="219" t="s">
        <v>454</v>
      </c>
      <c r="P918" s="219" t="s">
        <v>452</v>
      </c>
      <c r="Q918" s="219" t="s">
        <v>7681</v>
      </c>
      <c r="R918" s="219" t="s">
        <v>24</v>
      </c>
      <c r="S918" s="251"/>
      <c r="T918" s="251"/>
      <c r="U918" s="252"/>
      <c r="V918" s="252"/>
      <c r="W918" s="252"/>
      <c r="X918" s="219"/>
      <c r="Y918" s="219"/>
      <c r="Z918" s="219"/>
      <c r="AA918" s="219"/>
      <c r="AB918" s="219"/>
    </row>
    <row r="919" spans="1:28" ht="15.75" hidden="1" customHeight="1">
      <c r="A919" s="253">
        <v>44789</v>
      </c>
      <c r="B919" s="224" t="s">
        <v>7667</v>
      </c>
      <c r="C919" s="249">
        <v>1.75</v>
      </c>
      <c r="D919" s="249"/>
      <c r="E919" s="224" t="s">
        <v>7670</v>
      </c>
      <c r="F919" s="250" t="s">
        <v>4</v>
      </c>
      <c r="G919" s="224" t="s">
        <v>602</v>
      </c>
      <c r="H919" s="224" t="s">
        <v>7671</v>
      </c>
      <c r="I919" s="224">
        <v>2</v>
      </c>
      <c r="J919" s="224" t="s">
        <v>476</v>
      </c>
      <c r="K919" s="224" t="s">
        <v>10895</v>
      </c>
      <c r="L919" s="224">
        <v>1.5</v>
      </c>
      <c r="M919" s="224" t="s">
        <v>451</v>
      </c>
      <c r="N919" s="307">
        <v>1500000</v>
      </c>
      <c r="O919" s="224" t="s">
        <v>452</v>
      </c>
      <c r="P919" s="224" t="s">
        <v>11077</v>
      </c>
      <c r="Q919" s="224"/>
      <c r="R919" s="224" t="s">
        <v>24</v>
      </c>
      <c r="S919" s="254"/>
      <c r="T919" s="254"/>
      <c r="U919" s="252"/>
      <c r="V919" s="252"/>
      <c r="W919" s="252"/>
      <c r="X919" s="224"/>
      <c r="Y919" s="224"/>
      <c r="Z919" s="224"/>
      <c r="AA919" s="224"/>
      <c r="AB919" s="224"/>
    </row>
    <row r="920" spans="1:28" ht="15.75" hidden="1" customHeight="1">
      <c r="A920" s="248">
        <v>44791</v>
      </c>
      <c r="B920" s="219" t="s">
        <v>7642</v>
      </c>
      <c r="C920" s="315">
        <v>1.75</v>
      </c>
      <c r="D920" s="315"/>
      <c r="E920" s="219" t="s">
        <v>7645</v>
      </c>
      <c r="F920" s="219" t="s">
        <v>4</v>
      </c>
      <c r="G920" s="219" t="s">
        <v>602</v>
      </c>
      <c r="H920" s="219" t="s">
        <v>7646</v>
      </c>
      <c r="I920" s="219">
        <v>2.5</v>
      </c>
      <c r="J920" s="219" t="s">
        <v>1036</v>
      </c>
      <c r="K920" s="219" t="s">
        <v>7647</v>
      </c>
      <c r="L920" s="219">
        <v>1</v>
      </c>
      <c r="M920" s="219"/>
      <c r="N920" s="219"/>
      <c r="O920" s="219" t="s">
        <v>452</v>
      </c>
      <c r="P920" s="219" t="s">
        <v>1119</v>
      </c>
      <c r="Q920" s="219"/>
      <c r="R920" s="322" t="s">
        <v>24</v>
      </c>
      <c r="S920" s="251"/>
      <c r="T920" s="251"/>
      <c r="U920" s="219"/>
      <c r="V920" s="219"/>
      <c r="W920" s="219"/>
      <c r="X920" s="219"/>
      <c r="Y920" s="219"/>
      <c r="Z920" s="219"/>
      <c r="AA920" s="219"/>
      <c r="AB920" s="219"/>
    </row>
    <row r="921" spans="1:28" ht="15.75" hidden="1" customHeight="1">
      <c r="A921" s="253">
        <v>44796</v>
      </c>
      <c r="B921" s="224" t="s">
        <v>10598</v>
      </c>
      <c r="C921" s="316">
        <v>1.75</v>
      </c>
      <c r="D921" s="316"/>
      <c r="E921" s="224" t="s">
        <v>7693</v>
      </c>
      <c r="F921" s="224" t="s">
        <v>4</v>
      </c>
      <c r="G921" s="224" t="s">
        <v>727</v>
      </c>
      <c r="H921" s="224" t="s">
        <v>10599</v>
      </c>
      <c r="I921" s="224">
        <v>2.5</v>
      </c>
      <c r="J921" s="224" t="s">
        <v>1371</v>
      </c>
      <c r="K921" s="224" t="s">
        <v>7695</v>
      </c>
      <c r="L921" s="224">
        <v>1</v>
      </c>
      <c r="M921" s="224" t="s">
        <v>451</v>
      </c>
      <c r="N921" s="311">
        <v>2000000</v>
      </c>
      <c r="O921" s="224" t="s">
        <v>452</v>
      </c>
      <c r="P921" s="224" t="s">
        <v>7696</v>
      </c>
      <c r="Q921" s="224"/>
      <c r="R921" s="224" t="s">
        <v>24</v>
      </c>
      <c r="S921" s="254"/>
      <c r="T921" s="254"/>
      <c r="U921" s="224"/>
      <c r="V921" s="224"/>
      <c r="W921" s="224"/>
      <c r="X921" s="224"/>
      <c r="Y921" s="224"/>
      <c r="Z921" s="224"/>
      <c r="AA921" s="224"/>
      <c r="AB921" s="224"/>
    </row>
    <row r="922" spans="1:28" ht="15.75" hidden="1" customHeight="1">
      <c r="A922" s="248">
        <v>44796</v>
      </c>
      <c r="B922" s="219" t="s">
        <v>7650</v>
      </c>
      <c r="C922" s="315">
        <v>1.75</v>
      </c>
      <c r="D922" s="315"/>
      <c r="E922" s="219" t="s">
        <v>10789</v>
      </c>
      <c r="F922" s="219" t="s">
        <v>4</v>
      </c>
      <c r="G922" s="219" t="s">
        <v>725</v>
      </c>
      <c r="H922" s="219" t="s">
        <v>10790</v>
      </c>
      <c r="I922" s="219">
        <v>2.5</v>
      </c>
      <c r="J922" s="219" t="s">
        <v>1036</v>
      </c>
      <c r="K922" s="219" t="s">
        <v>7655</v>
      </c>
      <c r="L922" s="219">
        <v>1</v>
      </c>
      <c r="M922" s="219"/>
      <c r="N922" s="219"/>
      <c r="O922" s="219" t="s">
        <v>454</v>
      </c>
      <c r="P922" s="219" t="s">
        <v>7656</v>
      </c>
      <c r="Q922" s="219"/>
      <c r="R922" s="219" t="s">
        <v>24</v>
      </c>
      <c r="S922" s="251"/>
      <c r="T922" s="251"/>
      <c r="U922" s="219"/>
      <c r="V922" s="219"/>
      <c r="W922" s="219"/>
      <c r="X922" s="219"/>
      <c r="Y922" s="219"/>
      <c r="Z922" s="219"/>
      <c r="AA922" s="219"/>
      <c r="AB922" s="219"/>
    </row>
    <row r="923" spans="1:28" ht="15.75" hidden="1" customHeight="1">
      <c r="A923" s="253">
        <v>44796</v>
      </c>
      <c r="B923" s="224" t="s">
        <v>7708</v>
      </c>
      <c r="C923" s="316">
        <v>1.75</v>
      </c>
      <c r="D923" s="316"/>
      <c r="E923" s="224" t="s">
        <v>7711</v>
      </c>
      <c r="F923" s="224" t="s">
        <v>4</v>
      </c>
      <c r="G923" s="224" t="s">
        <v>725</v>
      </c>
      <c r="H923" s="224" t="s">
        <v>7712</v>
      </c>
      <c r="I923" s="224">
        <v>2</v>
      </c>
      <c r="J923" s="224" t="s">
        <v>476</v>
      </c>
      <c r="K923" s="224" t="s">
        <v>11097</v>
      </c>
      <c r="L923" s="224">
        <v>1.5</v>
      </c>
      <c r="M923" s="224" t="s">
        <v>4416</v>
      </c>
      <c r="N923" s="330">
        <v>1500000</v>
      </c>
      <c r="O923" s="224" t="s">
        <v>452</v>
      </c>
      <c r="P923" s="224" t="s">
        <v>7714</v>
      </c>
      <c r="Q923" s="224"/>
      <c r="R923" s="224" t="s">
        <v>24</v>
      </c>
      <c r="S923" s="254"/>
      <c r="T923" s="254"/>
      <c r="U923" s="224"/>
      <c r="V923" s="224"/>
      <c r="W923" s="224"/>
      <c r="X923" s="224"/>
      <c r="Y923" s="224"/>
      <c r="Z923" s="224"/>
      <c r="AA923" s="224"/>
      <c r="AB923" s="224"/>
    </row>
    <row r="924" spans="1:28" ht="15.75" hidden="1" customHeight="1">
      <c r="A924" s="248">
        <v>44796</v>
      </c>
      <c r="B924" s="219" t="s">
        <v>11155</v>
      </c>
      <c r="C924" s="315">
        <v>1.75</v>
      </c>
      <c r="D924" s="315"/>
      <c r="E924" s="219" t="s">
        <v>7745</v>
      </c>
      <c r="F924" s="219" t="s">
        <v>4</v>
      </c>
      <c r="G924" s="219" t="s">
        <v>602</v>
      </c>
      <c r="H924" s="219" t="s">
        <v>7746</v>
      </c>
      <c r="I924" s="219">
        <v>2</v>
      </c>
      <c r="J924" s="219" t="s">
        <v>1045</v>
      </c>
      <c r="K924" s="219" t="s">
        <v>7747</v>
      </c>
      <c r="L924" s="219">
        <v>1.5</v>
      </c>
      <c r="M924" s="219"/>
      <c r="N924" s="219"/>
      <c r="O924" s="219" t="s">
        <v>454</v>
      </c>
      <c r="P924" s="219" t="s">
        <v>7748</v>
      </c>
      <c r="Q924" s="219"/>
      <c r="R924" s="219" t="s">
        <v>24</v>
      </c>
      <c r="S924" s="251"/>
      <c r="T924" s="251"/>
      <c r="U924" s="219"/>
      <c r="V924" s="219"/>
      <c r="W924" s="219"/>
      <c r="X924" s="219"/>
      <c r="Y924" s="219"/>
      <c r="Z924" s="219"/>
      <c r="AA924" s="219"/>
      <c r="AB924" s="219"/>
    </row>
    <row r="925" spans="1:28" ht="15.75" hidden="1" customHeight="1">
      <c r="A925" s="220">
        <v>44776</v>
      </c>
      <c r="B925" s="221" t="s">
        <v>8766</v>
      </c>
      <c r="C925" s="214">
        <v>1.5</v>
      </c>
      <c r="D925" s="214"/>
      <c r="E925" s="221" t="s">
        <v>10187</v>
      </c>
      <c r="F925" s="215" t="s">
        <v>3</v>
      </c>
      <c r="G925" s="221" t="s">
        <v>460</v>
      </c>
      <c r="H925" s="221"/>
      <c r="I925" s="221">
        <v>1</v>
      </c>
      <c r="J925" s="221" t="s">
        <v>941</v>
      </c>
      <c r="K925" s="221"/>
      <c r="L925" s="221">
        <v>2</v>
      </c>
      <c r="M925" s="221" t="s">
        <v>784</v>
      </c>
      <c r="N925" s="247">
        <v>0</v>
      </c>
      <c r="O925" s="221" t="s">
        <v>465</v>
      </c>
      <c r="P925" s="221" t="s">
        <v>8770</v>
      </c>
      <c r="Q925" s="145"/>
      <c r="R925" s="221" t="s">
        <v>24</v>
      </c>
      <c r="S925" s="223">
        <f t="array" ref="S925">INDEX(Notes!C:C,MATCH($B925,Notes!$A:$A,0))</f>
        <v>0</v>
      </c>
      <c r="T925" s="223"/>
      <c r="U925" s="218"/>
      <c r="V925" s="218"/>
      <c r="W925" s="218"/>
      <c r="X925" s="224"/>
      <c r="Y925" s="224"/>
      <c r="Z925" s="224"/>
      <c r="AA925" s="224"/>
      <c r="AB925" s="224"/>
    </row>
    <row r="926" spans="1:28" ht="15.75" customHeight="1">
      <c r="A926" s="227">
        <v>44776</v>
      </c>
      <c r="B926" s="228" t="s">
        <v>3413</v>
      </c>
      <c r="C926" s="215">
        <v>1.5</v>
      </c>
      <c r="D926" s="215"/>
      <c r="E926" s="228" t="s">
        <v>10223</v>
      </c>
      <c r="F926" s="215" t="s">
        <v>5</v>
      </c>
      <c r="G926" s="228" t="s">
        <v>447</v>
      </c>
      <c r="H926" s="228" t="s">
        <v>3417</v>
      </c>
      <c r="I926" s="228">
        <v>1</v>
      </c>
      <c r="J926" s="228" t="s">
        <v>449</v>
      </c>
      <c r="K926" s="228" t="e">
        <f>+Coin exchange app
-seems like other apps like Coinbase or PayPal already do this
-early Startup
-No Revenue</f>
        <v>#NAME?</v>
      </c>
      <c r="L926" s="228">
        <v>2</v>
      </c>
      <c r="M926" s="228"/>
      <c r="N926" s="228" t="s">
        <v>3419</v>
      </c>
      <c r="O926" s="228" t="s">
        <v>452</v>
      </c>
      <c r="P926" s="228" t="s">
        <v>3420</v>
      </c>
      <c r="Q926" s="228"/>
      <c r="R926" s="228" t="s">
        <v>24</v>
      </c>
      <c r="S926" s="228" t="s">
        <v>3421</v>
      </c>
      <c r="T926" s="228"/>
      <c r="U926" s="228"/>
      <c r="V926" s="228"/>
      <c r="W926" s="228"/>
      <c r="X926" s="219"/>
      <c r="Y926" s="219"/>
      <c r="Z926" s="219"/>
      <c r="AA926" s="219"/>
      <c r="AB926" s="219"/>
    </row>
    <row r="927" spans="1:28" ht="15.75" hidden="1" customHeight="1">
      <c r="A927" s="220">
        <v>44776</v>
      </c>
      <c r="B927" s="221" t="s">
        <v>8014</v>
      </c>
      <c r="C927" s="214">
        <v>1.5</v>
      </c>
      <c r="D927" s="214"/>
      <c r="E927" s="221" t="s">
        <v>8017</v>
      </c>
      <c r="F927" s="215" t="s">
        <v>4</v>
      </c>
      <c r="G927" s="221" t="s">
        <v>602</v>
      </c>
      <c r="H927" s="221" t="s">
        <v>10628</v>
      </c>
      <c r="I927" s="221">
        <v>2</v>
      </c>
      <c r="J927" s="221" t="s">
        <v>1054</v>
      </c>
      <c r="K927" s="221" t="s">
        <v>8019</v>
      </c>
      <c r="L927" s="221">
        <v>1</v>
      </c>
      <c r="M927" s="221" t="s">
        <v>784</v>
      </c>
      <c r="N927" s="221">
        <v>500000</v>
      </c>
      <c r="O927" s="221" t="s">
        <v>452</v>
      </c>
      <c r="P927" s="221" t="s">
        <v>575</v>
      </c>
      <c r="Q927" s="145"/>
      <c r="R927" s="221" t="s">
        <v>24</v>
      </c>
      <c r="S927" s="223">
        <f t="array" ref="S927">INDEX(Notes!C:C,MATCH($B927,Notes!$A:$A,0))</f>
        <v>0</v>
      </c>
      <c r="T927" s="223"/>
      <c r="U927" s="218"/>
      <c r="V927" s="218"/>
      <c r="W927" s="218"/>
      <c r="X927" s="224"/>
      <c r="Y927" s="224"/>
      <c r="Z927" s="224"/>
      <c r="AA927" s="224"/>
      <c r="AB927" s="224"/>
    </row>
    <row r="928" spans="1:28" ht="15.75" hidden="1" customHeight="1">
      <c r="A928" s="212">
        <v>44776</v>
      </c>
      <c r="B928" s="213" t="s">
        <v>7826</v>
      </c>
      <c r="C928" s="214">
        <v>1.5</v>
      </c>
      <c r="D928" s="214"/>
      <c r="E928" s="213" t="s">
        <v>7829</v>
      </c>
      <c r="F928" s="215" t="s">
        <v>4</v>
      </c>
      <c r="G928" s="213" t="s">
        <v>602</v>
      </c>
      <c r="H928" s="213" t="s">
        <v>11434</v>
      </c>
      <c r="I928" s="213">
        <v>2</v>
      </c>
      <c r="J928" s="213" t="s">
        <v>1054</v>
      </c>
      <c r="K928" s="213" t="s">
        <v>7831</v>
      </c>
      <c r="L928" s="213">
        <v>1</v>
      </c>
      <c r="M928" s="213" t="s">
        <v>784</v>
      </c>
      <c r="N928" s="213">
        <v>300000</v>
      </c>
      <c r="O928" s="213" t="s">
        <v>452</v>
      </c>
      <c r="P928" s="213" t="s">
        <v>7832</v>
      </c>
      <c r="Q928" s="143"/>
      <c r="R928" s="213" t="s">
        <v>24</v>
      </c>
      <c r="S928" s="226">
        <f t="array" ref="S928">INDEX(Notes!C:C,MATCH($B928,Notes!$A:$A,0))</f>
        <v>0</v>
      </c>
      <c r="T928" s="226"/>
      <c r="U928" s="218"/>
      <c r="V928" s="218"/>
      <c r="W928" s="218"/>
      <c r="X928" s="219"/>
      <c r="Y928" s="219"/>
      <c r="Z928" s="219"/>
      <c r="AA928" s="219"/>
      <c r="AB928" s="219"/>
    </row>
    <row r="929" spans="1:28" ht="15.75" hidden="1" customHeight="1">
      <c r="A929" s="220">
        <v>44776</v>
      </c>
      <c r="B929" s="221" t="s">
        <v>8646</v>
      </c>
      <c r="C929" s="214">
        <v>1.5</v>
      </c>
      <c r="D929" s="214"/>
      <c r="E929" s="221" t="s">
        <v>8649</v>
      </c>
      <c r="F929" s="215" t="s">
        <v>3</v>
      </c>
      <c r="G929" s="221" t="s">
        <v>460</v>
      </c>
      <c r="H929" s="221"/>
      <c r="I929" s="221">
        <v>1</v>
      </c>
      <c r="J929" s="221" t="s">
        <v>462</v>
      </c>
      <c r="K929" s="221"/>
      <c r="L929" s="221">
        <v>2</v>
      </c>
      <c r="M929" s="221" t="s">
        <v>478</v>
      </c>
      <c r="N929" s="222">
        <v>1500000</v>
      </c>
      <c r="O929" s="221" t="s">
        <v>452</v>
      </c>
      <c r="P929" s="221" t="s">
        <v>11436</v>
      </c>
      <c r="Q929" s="145"/>
      <c r="R929" s="221" t="s">
        <v>24</v>
      </c>
      <c r="S929" s="223">
        <f t="array" ref="S929">INDEX(Notes!C:C,MATCH($B929,Notes!$A:$A,0))</f>
        <v>0</v>
      </c>
      <c r="T929" s="223"/>
      <c r="U929" s="218"/>
      <c r="V929" s="218"/>
      <c r="W929" s="218"/>
      <c r="X929" s="224"/>
      <c r="Y929" s="224"/>
      <c r="Z929" s="224"/>
      <c r="AA929" s="224"/>
      <c r="AB929" s="224"/>
    </row>
    <row r="930" spans="1:28" ht="15.75" hidden="1" customHeight="1">
      <c r="A930" s="212">
        <v>44776</v>
      </c>
      <c r="B930" s="213" t="s">
        <v>8350</v>
      </c>
      <c r="C930" s="214">
        <v>1.5</v>
      </c>
      <c r="D930" s="214"/>
      <c r="E930" s="213" t="s">
        <v>8353</v>
      </c>
      <c r="F930" s="215" t="s">
        <v>3</v>
      </c>
      <c r="G930" s="213" t="s">
        <v>460</v>
      </c>
      <c r="H930" s="213"/>
      <c r="I930" s="213">
        <v>1</v>
      </c>
      <c r="J930" s="213" t="s">
        <v>462</v>
      </c>
      <c r="K930" s="213" t="s">
        <v>8354</v>
      </c>
      <c r="L930" s="213">
        <v>2</v>
      </c>
      <c r="M930" s="213" t="s">
        <v>451</v>
      </c>
      <c r="N930" s="225">
        <v>750000</v>
      </c>
      <c r="O930" s="213" t="s">
        <v>452</v>
      </c>
      <c r="P930" s="213" t="s">
        <v>8355</v>
      </c>
      <c r="Q930" s="143"/>
      <c r="R930" s="213" t="s">
        <v>24</v>
      </c>
      <c r="S930" s="226">
        <f t="array" ref="S930">INDEX(Notes!C:C,MATCH($B930,Notes!$A:$A,0))</f>
        <v>0</v>
      </c>
      <c r="T930" s="226"/>
      <c r="U930" s="218"/>
      <c r="V930" s="218"/>
      <c r="W930" s="218"/>
      <c r="X930" s="219"/>
      <c r="Y930" s="219"/>
      <c r="Z930" s="219"/>
      <c r="AA930" s="219"/>
      <c r="AB930" s="219"/>
    </row>
    <row r="931" spans="1:28" ht="15.75" customHeight="1">
      <c r="A931" s="220">
        <v>44776</v>
      </c>
      <c r="B931" s="221" t="s">
        <v>2913</v>
      </c>
      <c r="C931" s="215">
        <v>1.5</v>
      </c>
      <c r="D931" s="215"/>
      <c r="E931" s="221" t="s">
        <v>2916</v>
      </c>
      <c r="F931" s="215" t="s">
        <v>5</v>
      </c>
      <c r="G931" s="221" t="s">
        <v>447</v>
      </c>
      <c r="H931" s="221" t="s">
        <v>2917</v>
      </c>
      <c r="I931" s="221">
        <v>1</v>
      </c>
      <c r="J931" s="221" t="s">
        <v>476</v>
      </c>
      <c r="K931" s="221" t="s">
        <v>13400</v>
      </c>
      <c r="L931" s="221">
        <v>2</v>
      </c>
      <c r="M931" s="221"/>
      <c r="N931" s="221"/>
      <c r="O931" s="221" t="s">
        <v>452</v>
      </c>
      <c r="P931" s="221" t="s">
        <v>2919</v>
      </c>
      <c r="Q931" s="221"/>
      <c r="R931" s="221" t="s">
        <v>24</v>
      </c>
      <c r="S931" s="221">
        <f t="array" ref="S931">INDEX(Notes!C:C,MATCH($B931,Notes!$A:$A,0))</f>
        <v>0</v>
      </c>
      <c r="T931" s="221"/>
      <c r="U931" s="218"/>
      <c r="V931" s="218"/>
      <c r="W931" s="218"/>
      <c r="X931" s="224"/>
      <c r="Y931" s="224"/>
      <c r="Z931" s="224"/>
      <c r="AA931" s="224"/>
      <c r="AB931" s="224"/>
    </row>
    <row r="932" spans="1:28" ht="15.75" customHeight="1">
      <c r="A932" s="248">
        <v>44782</v>
      </c>
      <c r="B932" s="219" t="s">
        <v>2309</v>
      </c>
      <c r="C932" s="250">
        <v>1.5</v>
      </c>
      <c r="D932" s="250"/>
      <c r="E932" s="219" t="s">
        <v>2312</v>
      </c>
      <c r="F932" s="250" t="s">
        <v>5</v>
      </c>
      <c r="G932" s="219" t="s">
        <v>447</v>
      </c>
      <c r="H932" s="219" t="s">
        <v>10299</v>
      </c>
      <c r="I932" s="219">
        <v>1</v>
      </c>
      <c r="J932" s="219" t="s">
        <v>543</v>
      </c>
      <c r="K932" s="219" t="s">
        <v>13400</v>
      </c>
      <c r="L932" s="219">
        <v>2</v>
      </c>
      <c r="M932" s="219" t="s">
        <v>451</v>
      </c>
      <c r="N932" s="219">
        <v>1000000</v>
      </c>
      <c r="O932" s="219" t="s">
        <v>465</v>
      </c>
      <c r="P932" s="219" t="s">
        <v>2315</v>
      </c>
      <c r="Q932" s="219"/>
      <c r="R932" s="219" t="s">
        <v>24</v>
      </c>
      <c r="S932" s="219"/>
      <c r="T932" s="219"/>
      <c r="U932" s="252"/>
      <c r="V932" s="252"/>
      <c r="W932" s="252"/>
      <c r="X932" s="219"/>
      <c r="Y932" s="219"/>
      <c r="Z932" s="219"/>
      <c r="AA932" s="219"/>
      <c r="AB932" s="219"/>
    </row>
    <row r="933" spans="1:28" ht="15.75" hidden="1" customHeight="1">
      <c r="A933" s="253">
        <v>44782</v>
      </c>
      <c r="B933" s="224" t="s">
        <v>7751</v>
      </c>
      <c r="C933" s="249">
        <v>1.5</v>
      </c>
      <c r="D933" s="249"/>
      <c r="E933" s="224" t="s">
        <v>10481</v>
      </c>
      <c r="F933" s="250" t="s">
        <v>4</v>
      </c>
      <c r="G933" s="224" t="s">
        <v>602</v>
      </c>
      <c r="H933" s="224" t="s">
        <v>7755</v>
      </c>
      <c r="I933" s="224">
        <v>2</v>
      </c>
      <c r="J933" s="224" t="s">
        <v>1054</v>
      </c>
      <c r="K933" s="224"/>
      <c r="L933" s="224">
        <v>1</v>
      </c>
      <c r="M933" s="224" t="s">
        <v>451</v>
      </c>
      <c r="N933" s="224">
        <v>1000000</v>
      </c>
      <c r="O933" s="224" t="s">
        <v>452</v>
      </c>
      <c r="P933" s="224" t="s">
        <v>452</v>
      </c>
      <c r="Q933" s="224"/>
      <c r="R933" s="224" t="s">
        <v>24</v>
      </c>
      <c r="S933" s="254"/>
      <c r="T933" s="254"/>
      <c r="U933" s="252"/>
      <c r="V933" s="252"/>
      <c r="W933" s="252"/>
      <c r="X933" s="224"/>
      <c r="Y933" s="224"/>
      <c r="Z933" s="224"/>
      <c r="AA933" s="224"/>
      <c r="AB933" s="224"/>
    </row>
    <row r="934" spans="1:28" ht="15.75" hidden="1" customHeight="1">
      <c r="A934" s="248">
        <v>44782</v>
      </c>
      <c r="B934" s="219" t="s">
        <v>7918</v>
      </c>
      <c r="C934" s="249">
        <v>1.5</v>
      </c>
      <c r="D934" s="249"/>
      <c r="E934" s="219" t="s">
        <v>7921</v>
      </c>
      <c r="F934" s="250" t="s">
        <v>4</v>
      </c>
      <c r="G934" s="219" t="s">
        <v>602</v>
      </c>
      <c r="H934" s="219" t="s">
        <v>7922</v>
      </c>
      <c r="I934" s="219">
        <v>2</v>
      </c>
      <c r="J934" s="219" t="s">
        <v>1054</v>
      </c>
      <c r="K934" s="219" t="s">
        <v>7923</v>
      </c>
      <c r="L934" s="219">
        <v>1</v>
      </c>
      <c r="M934" s="219" t="s">
        <v>451</v>
      </c>
      <c r="N934" s="219">
        <v>3000000</v>
      </c>
      <c r="O934" s="219" t="s">
        <v>465</v>
      </c>
      <c r="P934" s="219" t="s">
        <v>452</v>
      </c>
      <c r="Q934" s="219"/>
      <c r="R934" s="219" t="s">
        <v>24</v>
      </c>
      <c r="S934" s="251"/>
      <c r="T934" s="251"/>
      <c r="U934" s="252"/>
      <c r="V934" s="252"/>
      <c r="W934" s="252"/>
      <c r="X934" s="219"/>
      <c r="Y934" s="219"/>
      <c r="Z934" s="219"/>
      <c r="AA934" s="219"/>
      <c r="AB934" s="219"/>
    </row>
    <row r="935" spans="1:28" ht="15.75" hidden="1" customHeight="1">
      <c r="A935" s="267">
        <v>44784</v>
      </c>
      <c r="B935" s="272" t="s">
        <v>8672</v>
      </c>
      <c r="C935" s="269">
        <v>1.5</v>
      </c>
      <c r="D935" s="269"/>
      <c r="E935" s="272" t="s">
        <v>8675</v>
      </c>
      <c r="F935" s="270" t="s">
        <v>3</v>
      </c>
      <c r="G935" s="272" t="s">
        <v>460</v>
      </c>
      <c r="H935" s="272" t="s">
        <v>10470</v>
      </c>
      <c r="I935" s="272">
        <v>2</v>
      </c>
      <c r="J935" s="272" t="s">
        <v>488</v>
      </c>
      <c r="K935" s="272" t="s">
        <v>8677</v>
      </c>
      <c r="L935" s="272">
        <v>1</v>
      </c>
      <c r="M935" s="272" t="s">
        <v>451</v>
      </c>
      <c r="N935" s="273">
        <v>500000</v>
      </c>
      <c r="O935" s="272" t="s">
        <v>465</v>
      </c>
      <c r="P935" s="273" t="s">
        <v>575</v>
      </c>
      <c r="Q935" s="272"/>
      <c r="R935" s="272" t="s">
        <v>24</v>
      </c>
      <c r="S935" s="274"/>
      <c r="T935" s="274"/>
      <c r="U935" s="272"/>
      <c r="V935" s="272"/>
      <c r="W935" s="272"/>
      <c r="X935" s="272"/>
      <c r="Y935" s="272"/>
      <c r="Z935" s="224"/>
      <c r="AA935" s="224"/>
      <c r="AB935" s="224"/>
    </row>
    <row r="936" spans="1:28" ht="15.75" hidden="1" customHeight="1">
      <c r="A936" s="267">
        <v>44784</v>
      </c>
      <c r="B936" s="268" t="s">
        <v>7868</v>
      </c>
      <c r="C936" s="269">
        <v>1.5</v>
      </c>
      <c r="D936" s="269"/>
      <c r="E936" s="268" t="s">
        <v>7871</v>
      </c>
      <c r="F936" s="270" t="s">
        <v>4</v>
      </c>
      <c r="G936" s="268" t="s">
        <v>727</v>
      </c>
      <c r="H936" s="268" t="s">
        <v>10740</v>
      </c>
      <c r="I936" s="268">
        <v>2</v>
      </c>
      <c r="J936" s="268" t="s">
        <v>476</v>
      </c>
      <c r="K936" s="268" t="s">
        <v>7873</v>
      </c>
      <c r="L936" s="268">
        <v>1</v>
      </c>
      <c r="M936" s="268"/>
      <c r="N936" s="268"/>
      <c r="O936" s="268" t="s">
        <v>454</v>
      </c>
      <c r="P936" s="268" t="s">
        <v>7874</v>
      </c>
      <c r="Q936" s="268"/>
      <c r="R936" s="268" t="s">
        <v>24</v>
      </c>
      <c r="S936" s="271"/>
      <c r="T936" s="271"/>
      <c r="U936" s="268"/>
      <c r="V936" s="268"/>
      <c r="W936" s="268"/>
      <c r="X936" s="268"/>
      <c r="Y936" s="268"/>
      <c r="Z936" s="219"/>
      <c r="AA936" s="219"/>
      <c r="AB936" s="219"/>
    </row>
    <row r="937" spans="1:28" ht="15.75" hidden="1" customHeight="1">
      <c r="A937" s="267">
        <v>44784</v>
      </c>
      <c r="B937" s="272" t="s">
        <v>7940</v>
      </c>
      <c r="C937" s="269">
        <v>1.5</v>
      </c>
      <c r="D937" s="269"/>
      <c r="E937" s="272" t="s">
        <v>7943</v>
      </c>
      <c r="F937" s="270" t="s">
        <v>4</v>
      </c>
      <c r="G937" s="272" t="s">
        <v>602</v>
      </c>
      <c r="H937" s="272"/>
      <c r="I937" s="272">
        <v>2</v>
      </c>
      <c r="J937" s="272" t="s">
        <v>476</v>
      </c>
      <c r="K937" s="272"/>
      <c r="L937" s="272">
        <v>1</v>
      </c>
      <c r="M937" s="272" t="s">
        <v>451</v>
      </c>
      <c r="N937" s="272">
        <v>1500000</v>
      </c>
      <c r="O937" s="272" t="s">
        <v>452</v>
      </c>
      <c r="P937" s="272" t="s">
        <v>11601</v>
      </c>
      <c r="Q937" s="272"/>
      <c r="R937" s="272" t="s">
        <v>24</v>
      </c>
      <c r="S937" s="274"/>
      <c r="T937" s="274"/>
      <c r="U937" s="272"/>
      <c r="V937" s="272"/>
      <c r="W937" s="272"/>
      <c r="X937" s="272"/>
      <c r="Y937" s="272"/>
      <c r="Z937" s="224"/>
      <c r="AA937" s="224"/>
      <c r="AB937" s="224"/>
    </row>
    <row r="938" spans="1:28" ht="15.75" hidden="1" customHeight="1">
      <c r="A938" s="267">
        <v>44784</v>
      </c>
      <c r="B938" s="268" t="s">
        <v>7988</v>
      </c>
      <c r="C938" s="269">
        <v>1.5</v>
      </c>
      <c r="D938" s="269"/>
      <c r="E938" s="268" t="s">
        <v>7991</v>
      </c>
      <c r="F938" s="270" t="s">
        <v>4</v>
      </c>
      <c r="G938" s="268" t="s">
        <v>727</v>
      </c>
      <c r="H938" s="268" t="s">
        <v>11129</v>
      </c>
      <c r="I938" s="268">
        <v>2</v>
      </c>
      <c r="J938" s="268" t="s">
        <v>476</v>
      </c>
      <c r="K938" s="268" t="s">
        <v>11602</v>
      </c>
      <c r="L938" s="268">
        <v>1</v>
      </c>
      <c r="M938" s="268"/>
      <c r="N938" s="268"/>
      <c r="O938" s="268" t="s">
        <v>465</v>
      </c>
      <c r="P938" s="268" t="s">
        <v>7994</v>
      </c>
      <c r="Q938" s="268"/>
      <c r="R938" s="268" t="s">
        <v>24</v>
      </c>
      <c r="S938" s="271"/>
      <c r="T938" s="271"/>
      <c r="U938" s="268"/>
      <c r="V938" s="268"/>
      <c r="W938" s="268"/>
      <c r="X938" s="268"/>
      <c r="Y938" s="268"/>
      <c r="Z938" s="219"/>
      <c r="AA938" s="219"/>
      <c r="AB938" s="219"/>
    </row>
    <row r="939" spans="1:28" ht="15.75" hidden="1" customHeight="1">
      <c r="A939" s="267">
        <v>44784</v>
      </c>
      <c r="B939" s="272" t="s">
        <v>8041</v>
      </c>
      <c r="C939" s="269">
        <v>1.5</v>
      </c>
      <c r="D939" s="269"/>
      <c r="E939" s="272" t="s">
        <v>8044</v>
      </c>
      <c r="F939" s="270" t="s">
        <v>4</v>
      </c>
      <c r="G939" s="272" t="s">
        <v>602</v>
      </c>
      <c r="H939" s="272" t="s">
        <v>8045</v>
      </c>
      <c r="I939" s="272">
        <v>1</v>
      </c>
      <c r="J939" s="272" t="s">
        <v>476</v>
      </c>
      <c r="K939" s="272" t="s">
        <v>11455</v>
      </c>
      <c r="L939" s="272">
        <v>2</v>
      </c>
      <c r="M939" s="272" t="s">
        <v>478</v>
      </c>
      <c r="N939" s="272">
        <v>3000</v>
      </c>
      <c r="O939" s="272" t="s">
        <v>452</v>
      </c>
      <c r="P939" s="272" t="s">
        <v>8047</v>
      </c>
      <c r="Q939" s="272"/>
      <c r="R939" s="272" t="s">
        <v>24</v>
      </c>
      <c r="S939" s="274"/>
      <c r="T939" s="274"/>
      <c r="U939" s="272"/>
      <c r="V939" s="272"/>
      <c r="W939" s="272"/>
      <c r="X939" s="272"/>
      <c r="Y939" s="272"/>
      <c r="Z939" s="224"/>
      <c r="AA939" s="224"/>
      <c r="AB939" s="224"/>
    </row>
    <row r="940" spans="1:28" ht="15.75" hidden="1" customHeight="1">
      <c r="A940" s="267">
        <v>44784</v>
      </c>
      <c r="B940" s="268" t="s">
        <v>9258</v>
      </c>
      <c r="C940" s="269">
        <v>1.5</v>
      </c>
      <c r="D940" s="269"/>
      <c r="E940" s="268" t="s">
        <v>11603</v>
      </c>
      <c r="F940" s="270" t="s">
        <v>3</v>
      </c>
      <c r="G940" s="268" t="s">
        <v>460</v>
      </c>
      <c r="H940" s="268" t="s">
        <v>9262</v>
      </c>
      <c r="I940" s="268">
        <v>2</v>
      </c>
      <c r="J940" s="268" t="s">
        <v>488</v>
      </c>
      <c r="K940" s="268" t="s">
        <v>11604</v>
      </c>
      <c r="L940" s="268">
        <v>1</v>
      </c>
      <c r="M940" s="268"/>
      <c r="N940" s="268"/>
      <c r="O940" s="268" t="s">
        <v>465</v>
      </c>
      <c r="P940" s="268" t="s">
        <v>452</v>
      </c>
      <c r="Q940" s="268"/>
      <c r="R940" s="268" t="s">
        <v>24</v>
      </c>
      <c r="S940" s="271"/>
      <c r="T940" s="271"/>
      <c r="U940" s="268"/>
      <c r="V940" s="268"/>
      <c r="W940" s="268"/>
      <c r="X940" s="268"/>
      <c r="Y940" s="268"/>
      <c r="Z940" s="219"/>
      <c r="AA940" s="219"/>
      <c r="AB940" s="219"/>
    </row>
    <row r="941" spans="1:28" ht="15.75" hidden="1" customHeight="1">
      <c r="A941" s="267">
        <v>44784</v>
      </c>
      <c r="B941" s="272" t="s">
        <v>8466</v>
      </c>
      <c r="C941" s="269">
        <v>1.5</v>
      </c>
      <c r="D941" s="269"/>
      <c r="E941" s="272" t="s">
        <v>8469</v>
      </c>
      <c r="F941" s="270" t="s">
        <v>3</v>
      </c>
      <c r="G941" s="272" t="s">
        <v>460</v>
      </c>
      <c r="H941" s="272" t="s">
        <v>8470</v>
      </c>
      <c r="I941" s="272">
        <v>1</v>
      </c>
      <c r="J941" s="272" t="s">
        <v>488</v>
      </c>
      <c r="K941" s="272"/>
      <c r="L941" s="272">
        <v>2</v>
      </c>
      <c r="M941" s="272"/>
      <c r="N941" s="272"/>
      <c r="O941" s="272" t="s">
        <v>452</v>
      </c>
      <c r="P941" s="272" t="s">
        <v>575</v>
      </c>
      <c r="Q941" s="272" t="s">
        <v>8471</v>
      </c>
      <c r="R941" s="272" t="s">
        <v>24</v>
      </c>
      <c r="S941" s="274"/>
      <c r="T941" s="274"/>
      <c r="U941" s="272"/>
      <c r="V941" s="272"/>
      <c r="W941" s="272"/>
      <c r="X941" s="272"/>
      <c r="Y941" s="272"/>
      <c r="Z941" s="224"/>
      <c r="AA941" s="224"/>
      <c r="AB941" s="224"/>
    </row>
    <row r="942" spans="1:28" ht="15.75" hidden="1" customHeight="1">
      <c r="A942" s="248">
        <v>44789</v>
      </c>
      <c r="B942" s="219" t="s">
        <v>7766</v>
      </c>
      <c r="C942" s="249">
        <v>1.5</v>
      </c>
      <c r="D942" s="249"/>
      <c r="E942" s="219" t="s">
        <v>7769</v>
      </c>
      <c r="F942" s="250" t="s">
        <v>4</v>
      </c>
      <c r="G942" s="219" t="s">
        <v>727</v>
      </c>
      <c r="H942" s="219" t="s">
        <v>7770</v>
      </c>
      <c r="I942" s="219">
        <v>2</v>
      </c>
      <c r="J942" s="219" t="s">
        <v>1045</v>
      </c>
      <c r="K942" s="219" t="s">
        <v>7771</v>
      </c>
      <c r="L942" s="219">
        <v>1</v>
      </c>
      <c r="M942" s="219" t="s">
        <v>784</v>
      </c>
      <c r="N942" s="310">
        <v>500000</v>
      </c>
      <c r="O942" s="219" t="s">
        <v>452</v>
      </c>
      <c r="P942" s="219" t="s">
        <v>575</v>
      </c>
      <c r="Q942" s="219" t="s">
        <v>447</v>
      </c>
      <c r="R942" s="219" t="s">
        <v>24</v>
      </c>
      <c r="S942" s="251"/>
      <c r="T942" s="251"/>
      <c r="U942" s="252"/>
      <c r="V942" s="252"/>
      <c r="W942" s="252"/>
      <c r="X942" s="219"/>
      <c r="Y942" s="219"/>
      <c r="Z942" s="219"/>
      <c r="AA942" s="219"/>
      <c r="AB942" s="219"/>
    </row>
    <row r="943" spans="1:28" ht="15.75" hidden="1" customHeight="1">
      <c r="A943" s="253">
        <v>44789</v>
      </c>
      <c r="B943" s="224" t="s">
        <v>8503</v>
      </c>
      <c r="C943" s="249">
        <v>1.5</v>
      </c>
      <c r="D943" s="249"/>
      <c r="E943" s="224" t="s">
        <v>8506</v>
      </c>
      <c r="F943" s="250" t="s">
        <v>3</v>
      </c>
      <c r="G943" s="224" t="s">
        <v>488</v>
      </c>
      <c r="H943" s="224"/>
      <c r="I943" s="224">
        <v>2</v>
      </c>
      <c r="J943" s="224" t="s">
        <v>941</v>
      </c>
      <c r="K943" s="224" t="s">
        <v>8507</v>
      </c>
      <c r="L943" s="224">
        <v>1</v>
      </c>
      <c r="M943" s="224"/>
      <c r="N943" s="307"/>
      <c r="O943" s="224" t="s">
        <v>452</v>
      </c>
      <c r="P943" s="224" t="s">
        <v>452</v>
      </c>
      <c r="Q943" s="224"/>
      <c r="R943" s="224" t="s">
        <v>24</v>
      </c>
      <c r="S943" s="254"/>
      <c r="T943" s="254"/>
      <c r="U943" s="252"/>
      <c r="V943" s="252"/>
      <c r="W943" s="252"/>
      <c r="X943" s="224"/>
      <c r="Y943" s="224"/>
      <c r="Z943" s="224"/>
      <c r="AA943" s="224"/>
      <c r="AB943" s="224"/>
    </row>
    <row r="944" spans="1:28" ht="15.75" hidden="1" customHeight="1">
      <c r="A944" s="248">
        <v>44789</v>
      </c>
      <c r="B944" s="219" t="s">
        <v>8006</v>
      </c>
      <c r="C944" s="249">
        <v>1.5</v>
      </c>
      <c r="D944" s="249"/>
      <c r="E944" s="219" t="s">
        <v>8009</v>
      </c>
      <c r="F944" s="250" t="s">
        <v>4</v>
      </c>
      <c r="G944" s="219" t="s">
        <v>727</v>
      </c>
      <c r="H944" s="219" t="s">
        <v>10661</v>
      </c>
      <c r="I944" s="219">
        <v>1.5</v>
      </c>
      <c r="J944" s="219" t="s">
        <v>1045</v>
      </c>
      <c r="K944" s="219" t="s">
        <v>8011</v>
      </c>
      <c r="L944" s="219">
        <v>1.5</v>
      </c>
      <c r="M944" s="219"/>
      <c r="N944" s="219"/>
      <c r="O944" s="219" t="s">
        <v>454</v>
      </c>
      <c r="P944" s="219" t="s">
        <v>452</v>
      </c>
      <c r="Q944" s="219"/>
      <c r="R944" s="219" t="s">
        <v>24</v>
      </c>
      <c r="S944" s="251"/>
      <c r="T944" s="251"/>
      <c r="U944" s="252"/>
      <c r="V944" s="252"/>
      <c r="W944" s="252"/>
      <c r="X944" s="219"/>
      <c r="Y944" s="219"/>
      <c r="Z944" s="219"/>
      <c r="AA944" s="219"/>
      <c r="AB944" s="219"/>
    </row>
    <row r="945" spans="1:28" ht="15.75" customHeight="1">
      <c r="A945" s="253">
        <v>44789</v>
      </c>
      <c r="B945" s="224" t="s">
        <v>3077</v>
      </c>
      <c r="C945" s="250">
        <v>1.5</v>
      </c>
      <c r="D945" s="250"/>
      <c r="E945" s="224" t="s">
        <v>3080</v>
      </c>
      <c r="F945" s="250" t="s">
        <v>5</v>
      </c>
      <c r="G945" s="224" t="s">
        <v>447</v>
      </c>
      <c r="H945" s="224" t="s">
        <v>10826</v>
      </c>
      <c r="I945" s="224">
        <v>1</v>
      </c>
      <c r="J945" s="224" t="s">
        <v>543</v>
      </c>
      <c r="K945" s="224" t="s">
        <v>10827</v>
      </c>
      <c r="L945" s="224">
        <v>2</v>
      </c>
      <c r="M945" s="224" t="s">
        <v>3083</v>
      </c>
      <c r="N945" s="224" t="s">
        <v>3084</v>
      </c>
      <c r="O945" s="224" t="s">
        <v>452</v>
      </c>
      <c r="P945" s="224" t="s">
        <v>452</v>
      </c>
      <c r="Q945" s="224"/>
      <c r="R945" s="224" t="s">
        <v>24</v>
      </c>
      <c r="S945" s="224"/>
      <c r="T945" s="224"/>
      <c r="U945" s="252"/>
      <c r="V945" s="252"/>
      <c r="W945" s="252"/>
      <c r="X945" s="224"/>
      <c r="Y945" s="224"/>
      <c r="Z945" s="224"/>
      <c r="AA945" s="224"/>
      <c r="AB945" s="224"/>
    </row>
    <row r="946" spans="1:28" ht="15.75" hidden="1" customHeight="1">
      <c r="A946" s="248">
        <v>44789</v>
      </c>
      <c r="B946" s="219" t="s">
        <v>7819</v>
      </c>
      <c r="C946" s="249">
        <v>1.5</v>
      </c>
      <c r="D946" s="249"/>
      <c r="E946" s="219" t="s">
        <v>10873</v>
      </c>
      <c r="F946" s="250" t="s">
        <v>4</v>
      </c>
      <c r="G946" s="219" t="s">
        <v>602</v>
      </c>
      <c r="H946" s="219" t="s">
        <v>7823</v>
      </c>
      <c r="I946" s="219">
        <v>1</v>
      </c>
      <c r="J946" s="219" t="s">
        <v>1054</v>
      </c>
      <c r="K946" s="219" t="s">
        <v>7824</v>
      </c>
      <c r="L946" s="219">
        <v>2</v>
      </c>
      <c r="M946" s="219"/>
      <c r="N946" s="312"/>
      <c r="O946" s="219" t="s">
        <v>454</v>
      </c>
      <c r="P946" s="219" t="s">
        <v>452</v>
      </c>
      <c r="Q946" s="219"/>
      <c r="R946" s="219" t="s">
        <v>24</v>
      </c>
      <c r="S946" s="251"/>
      <c r="T946" s="251"/>
      <c r="U946" s="252"/>
      <c r="V946" s="252"/>
      <c r="W946" s="252"/>
      <c r="X946" s="219"/>
      <c r="Y946" s="219"/>
      <c r="Z946" s="219"/>
      <c r="AA946" s="219"/>
      <c r="AB946" s="219"/>
    </row>
    <row r="947" spans="1:28" ht="15.75" hidden="1" customHeight="1">
      <c r="A947" s="253">
        <v>44789</v>
      </c>
      <c r="B947" s="224" t="s">
        <v>10894</v>
      </c>
      <c r="C947" s="249">
        <v>1.5</v>
      </c>
      <c r="D947" s="249"/>
      <c r="E947" s="224" t="s">
        <v>8053</v>
      </c>
      <c r="F947" s="250" t="s">
        <v>4</v>
      </c>
      <c r="G947" s="224" t="s">
        <v>602</v>
      </c>
      <c r="H947" s="224" t="s">
        <v>8054</v>
      </c>
      <c r="I947" s="224">
        <v>2</v>
      </c>
      <c r="J947" s="224" t="s">
        <v>476</v>
      </c>
      <c r="K947" s="224" t="s">
        <v>10895</v>
      </c>
      <c r="L947" s="224">
        <v>1</v>
      </c>
      <c r="M947" s="224"/>
      <c r="N947" s="311"/>
      <c r="O947" s="224" t="s">
        <v>454</v>
      </c>
      <c r="P947" s="224" t="s">
        <v>452</v>
      </c>
      <c r="Q947" s="224"/>
      <c r="R947" s="224" t="s">
        <v>24</v>
      </c>
      <c r="S947" s="254"/>
      <c r="T947" s="254"/>
      <c r="U947" s="252"/>
      <c r="V947" s="252"/>
      <c r="W947" s="252"/>
      <c r="X947" s="224"/>
      <c r="Y947" s="224"/>
      <c r="Z947" s="224"/>
      <c r="AA947" s="224"/>
      <c r="AB947" s="224"/>
    </row>
    <row r="948" spans="1:28" ht="15.75" hidden="1" customHeight="1">
      <c r="A948" s="248">
        <v>44789</v>
      </c>
      <c r="B948" s="219" t="s">
        <v>8495</v>
      </c>
      <c r="C948" s="249">
        <v>1.5</v>
      </c>
      <c r="D948" s="249"/>
      <c r="E948" s="219" t="s">
        <v>8498</v>
      </c>
      <c r="F948" s="250" t="s">
        <v>3</v>
      </c>
      <c r="G948" s="219" t="s">
        <v>460</v>
      </c>
      <c r="H948" s="219" t="s">
        <v>8499</v>
      </c>
      <c r="I948" s="219">
        <v>2</v>
      </c>
      <c r="J948" s="219" t="s">
        <v>941</v>
      </c>
      <c r="K948" s="219" t="s">
        <v>8500</v>
      </c>
      <c r="L948" s="219">
        <v>1</v>
      </c>
      <c r="M948" s="219"/>
      <c r="N948" s="219"/>
      <c r="O948" s="219" t="s">
        <v>465</v>
      </c>
      <c r="P948" s="219" t="s">
        <v>452</v>
      </c>
      <c r="Q948" s="219"/>
      <c r="R948" s="219" t="s">
        <v>24</v>
      </c>
      <c r="S948" s="251"/>
      <c r="T948" s="251"/>
      <c r="U948" s="252"/>
      <c r="V948" s="252"/>
      <c r="W948" s="252"/>
      <c r="X948" s="219"/>
      <c r="Y948" s="219"/>
      <c r="Z948" s="219"/>
      <c r="AA948" s="219"/>
      <c r="AB948" s="219"/>
    </row>
    <row r="949" spans="1:28" ht="15.75" hidden="1" customHeight="1">
      <c r="A949" s="253">
        <v>44789</v>
      </c>
      <c r="B949" s="224" t="s">
        <v>7947</v>
      </c>
      <c r="C949" s="249">
        <v>1.5</v>
      </c>
      <c r="D949" s="249"/>
      <c r="E949" s="224" t="s">
        <v>11029</v>
      </c>
      <c r="F949" s="250" t="s">
        <v>4</v>
      </c>
      <c r="G949" s="224" t="s">
        <v>602</v>
      </c>
      <c r="H949" s="224"/>
      <c r="I949" s="224">
        <v>2</v>
      </c>
      <c r="J949" s="224" t="s">
        <v>1054</v>
      </c>
      <c r="K949" s="224" t="s">
        <v>7951</v>
      </c>
      <c r="L949" s="224">
        <v>1</v>
      </c>
      <c r="M949" s="224"/>
      <c r="N949" s="224"/>
      <c r="O949" s="224" t="s">
        <v>452</v>
      </c>
      <c r="P949" s="224" t="s">
        <v>575</v>
      </c>
      <c r="Q949" s="224"/>
      <c r="R949" s="224" t="s">
        <v>24</v>
      </c>
      <c r="S949" s="254"/>
      <c r="T949" s="254"/>
      <c r="U949" s="252"/>
      <c r="V949" s="252"/>
      <c r="W949" s="252"/>
      <c r="X949" s="224"/>
      <c r="Y949" s="224"/>
      <c r="Z949" s="224"/>
      <c r="AA949" s="224"/>
      <c r="AB949" s="224"/>
    </row>
    <row r="950" spans="1:28" ht="15.75" hidden="1" customHeight="1">
      <c r="A950" s="248">
        <v>44789</v>
      </c>
      <c r="B950" s="219" t="s">
        <v>8022</v>
      </c>
      <c r="C950" s="249">
        <v>1.5</v>
      </c>
      <c r="D950" s="249"/>
      <c r="E950" s="219" t="s">
        <v>8025</v>
      </c>
      <c r="F950" s="250" t="s">
        <v>4</v>
      </c>
      <c r="G950" s="219" t="s">
        <v>602</v>
      </c>
      <c r="H950" s="219" t="s">
        <v>8026</v>
      </c>
      <c r="I950" s="219">
        <v>2</v>
      </c>
      <c r="J950" s="219" t="s">
        <v>476</v>
      </c>
      <c r="K950" s="219" t="s">
        <v>11101</v>
      </c>
      <c r="L950" s="219">
        <v>1</v>
      </c>
      <c r="M950" s="219" t="s">
        <v>8028</v>
      </c>
      <c r="N950" s="219" t="s">
        <v>8029</v>
      </c>
      <c r="O950" s="219" t="s">
        <v>452</v>
      </c>
      <c r="P950" s="219" t="s">
        <v>11102</v>
      </c>
      <c r="Q950" s="219"/>
      <c r="R950" s="219" t="s">
        <v>24</v>
      </c>
      <c r="S950" s="251"/>
      <c r="T950" s="251"/>
      <c r="U950" s="252"/>
      <c r="V950" s="252"/>
      <c r="W950" s="252"/>
      <c r="X950" s="219"/>
      <c r="Y950" s="219"/>
      <c r="Z950" s="219"/>
      <c r="AA950" s="219"/>
      <c r="AB950" s="219"/>
    </row>
    <row r="951" spans="1:28" ht="15.75" hidden="1" customHeight="1">
      <c r="A951" s="253">
        <v>44789</v>
      </c>
      <c r="B951" s="224" t="s">
        <v>7910</v>
      </c>
      <c r="C951" s="249">
        <v>1.5</v>
      </c>
      <c r="D951" s="249"/>
      <c r="E951" s="224" t="s">
        <v>7913</v>
      </c>
      <c r="F951" s="250" t="s">
        <v>4</v>
      </c>
      <c r="G951" s="224" t="s">
        <v>602</v>
      </c>
      <c r="H951" s="224"/>
      <c r="I951" s="224">
        <v>2</v>
      </c>
      <c r="J951" s="224" t="s">
        <v>476</v>
      </c>
      <c r="K951" s="224" t="s">
        <v>10902</v>
      </c>
      <c r="L951" s="224">
        <v>1</v>
      </c>
      <c r="M951" s="224"/>
      <c r="N951" s="224"/>
      <c r="O951" s="224" t="s">
        <v>452</v>
      </c>
      <c r="P951" s="224" t="s">
        <v>10903</v>
      </c>
      <c r="Q951" s="224"/>
      <c r="R951" s="224" t="s">
        <v>24</v>
      </c>
      <c r="S951" s="254"/>
      <c r="T951" s="254"/>
      <c r="U951" s="252"/>
      <c r="V951" s="252"/>
      <c r="W951" s="252"/>
      <c r="X951" s="224"/>
      <c r="Y951" s="224"/>
      <c r="Z951" s="224"/>
      <c r="AA951" s="224"/>
      <c r="AB951" s="224"/>
    </row>
    <row r="952" spans="1:28" ht="15.75" hidden="1" customHeight="1">
      <c r="A952" s="248">
        <v>44789</v>
      </c>
      <c r="B952" s="219" t="s">
        <v>8781</v>
      </c>
      <c r="C952" s="249">
        <v>1.5</v>
      </c>
      <c r="D952" s="249"/>
      <c r="E952" s="219" t="s">
        <v>8784</v>
      </c>
      <c r="F952" s="250" t="s">
        <v>3</v>
      </c>
      <c r="G952" s="219" t="s">
        <v>460</v>
      </c>
      <c r="H952" s="219" t="s">
        <v>8785</v>
      </c>
      <c r="I952" s="219">
        <v>1</v>
      </c>
      <c r="J952" s="219" t="s">
        <v>462</v>
      </c>
      <c r="K952" s="219" t="s">
        <v>8786</v>
      </c>
      <c r="L952" s="219">
        <v>2</v>
      </c>
      <c r="M952" s="219"/>
      <c r="N952" s="312"/>
      <c r="O952" s="219" t="s">
        <v>454</v>
      </c>
      <c r="P952" s="219" t="s">
        <v>452</v>
      </c>
      <c r="Q952" s="219"/>
      <c r="R952" s="219" t="s">
        <v>24</v>
      </c>
      <c r="S952" s="251"/>
      <c r="T952" s="251"/>
      <c r="U952" s="252"/>
      <c r="V952" s="252"/>
      <c r="W952" s="252"/>
      <c r="X952" s="219"/>
      <c r="Y952" s="219"/>
      <c r="Z952" s="219"/>
      <c r="AA952" s="219"/>
      <c r="AB952" s="219"/>
    </row>
    <row r="953" spans="1:28" ht="15.75" hidden="1" customHeight="1">
      <c r="A953" s="253">
        <v>44791</v>
      </c>
      <c r="B953" s="224" t="s">
        <v>9132</v>
      </c>
      <c r="C953" s="316">
        <v>1.5</v>
      </c>
      <c r="D953" s="316"/>
      <c r="E953" s="224" t="s">
        <v>9135</v>
      </c>
      <c r="F953" s="224" t="s">
        <v>3</v>
      </c>
      <c r="G953" s="224" t="s">
        <v>460</v>
      </c>
      <c r="H953" s="224" t="s">
        <v>9136</v>
      </c>
      <c r="I953" s="224">
        <v>1</v>
      </c>
      <c r="J953" s="224" t="s">
        <v>462</v>
      </c>
      <c r="K953" s="224" t="s">
        <v>9137</v>
      </c>
      <c r="L953" s="224">
        <v>2</v>
      </c>
      <c r="M953" s="224"/>
      <c r="N953" s="224"/>
      <c r="O953" s="224" t="s">
        <v>454</v>
      </c>
      <c r="P953" s="224" t="s">
        <v>452</v>
      </c>
      <c r="Q953" s="224" t="s">
        <v>9138</v>
      </c>
      <c r="R953" s="322" t="s">
        <v>24</v>
      </c>
      <c r="S953" s="254"/>
      <c r="T953" s="254"/>
      <c r="U953" s="224"/>
      <c r="V953" s="224"/>
      <c r="W953" s="224"/>
      <c r="X953" s="224"/>
      <c r="Y953" s="224"/>
      <c r="Z953" s="224"/>
      <c r="AA953" s="224"/>
      <c r="AB953" s="224"/>
    </row>
    <row r="954" spans="1:28" ht="15.75" hidden="1" customHeight="1">
      <c r="A954" s="248">
        <v>44791</v>
      </c>
      <c r="B954" s="219" t="s">
        <v>10747</v>
      </c>
      <c r="C954" s="315">
        <v>1.5</v>
      </c>
      <c r="D954" s="315"/>
      <c r="E954" s="219" t="s">
        <v>7904</v>
      </c>
      <c r="F954" s="219" t="s">
        <v>4</v>
      </c>
      <c r="G954" s="219" t="s">
        <v>725</v>
      </c>
      <c r="H954" s="219" t="s">
        <v>10748</v>
      </c>
      <c r="I954" s="219">
        <v>1</v>
      </c>
      <c r="J954" s="219" t="s">
        <v>1298</v>
      </c>
      <c r="K954" s="219" t="s">
        <v>7906</v>
      </c>
      <c r="L954" s="219">
        <v>2</v>
      </c>
      <c r="M954" s="219"/>
      <c r="N954" s="310"/>
      <c r="O954" s="219" t="s">
        <v>465</v>
      </c>
      <c r="P954" s="219" t="s">
        <v>7907</v>
      </c>
      <c r="Q954" s="219"/>
      <c r="R954" s="322" t="s">
        <v>24</v>
      </c>
      <c r="S954" s="251"/>
      <c r="T954" s="251"/>
      <c r="U954" s="219"/>
      <c r="V954" s="219"/>
      <c r="W954" s="219"/>
      <c r="X954" s="219"/>
      <c r="Y954" s="219"/>
      <c r="Z954" s="219"/>
      <c r="AA954" s="219"/>
      <c r="AB954" s="219"/>
    </row>
    <row r="955" spans="1:28" ht="15.75" hidden="1" customHeight="1">
      <c r="A955" s="253">
        <v>44791</v>
      </c>
      <c r="B955" s="224" t="s">
        <v>10890</v>
      </c>
      <c r="C955" s="316">
        <v>1.5</v>
      </c>
      <c r="D955" s="316"/>
      <c r="E955" s="224" t="s">
        <v>7806</v>
      </c>
      <c r="F955" s="224" t="s">
        <v>4</v>
      </c>
      <c r="G955" s="224" t="s">
        <v>602</v>
      </c>
      <c r="H955" s="224" t="s">
        <v>7807</v>
      </c>
      <c r="I955" s="224">
        <v>1</v>
      </c>
      <c r="J955" s="224" t="s">
        <v>1073</v>
      </c>
      <c r="K955" s="224"/>
      <c r="L955" s="224">
        <v>2</v>
      </c>
      <c r="M955" s="224" t="s">
        <v>451</v>
      </c>
      <c r="N955" s="311" t="s">
        <v>7808</v>
      </c>
      <c r="O955" s="224" t="s">
        <v>452</v>
      </c>
      <c r="P955" s="224" t="s">
        <v>452</v>
      </c>
      <c r="Q955" s="224"/>
      <c r="R955" s="322" t="s">
        <v>24</v>
      </c>
      <c r="S955" s="254"/>
      <c r="T955" s="254"/>
      <c r="U955" s="224"/>
      <c r="V955" s="224"/>
      <c r="W955" s="224"/>
      <c r="X955" s="224"/>
      <c r="Y955" s="224"/>
      <c r="Z955" s="224"/>
      <c r="AA955" s="224"/>
      <c r="AB955" s="224"/>
    </row>
    <row r="956" spans="1:28" ht="15.75" hidden="1" customHeight="1">
      <c r="A956" s="248">
        <v>44791</v>
      </c>
      <c r="B956" s="219" t="s">
        <v>7851</v>
      </c>
      <c r="C956" s="315">
        <v>1.5</v>
      </c>
      <c r="D956" s="315"/>
      <c r="E956" s="219" t="s">
        <v>7854</v>
      </c>
      <c r="F956" s="219" t="s">
        <v>4</v>
      </c>
      <c r="G956" s="219" t="s">
        <v>602</v>
      </c>
      <c r="H956" s="219" t="s">
        <v>7855</v>
      </c>
      <c r="I956" s="219">
        <v>2</v>
      </c>
      <c r="J956" s="219" t="s">
        <v>1237</v>
      </c>
      <c r="K956" s="219"/>
      <c r="L956" s="219">
        <v>1</v>
      </c>
      <c r="M956" s="219" t="s">
        <v>451</v>
      </c>
      <c r="N956" s="219" t="s">
        <v>7856</v>
      </c>
      <c r="O956" s="219" t="s">
        <v>452</v>
      </c>
      <c r="P956" s="219" t="s">
        <v>3420</v>
      </c>
      <c r="Q956" s="219" t="s">
        <v>7857</v>
      </c>
      <c r="R956" s="322" t="s">
        <v>24</v>
      </c>
      <c r="S956" s="251"/>
      <c r="T956" s="251"/>
      <c r="U956" s="219"/>
      <c r="V956" s="219"/>
      <c r="W956" s="219"/>
      <c r="X956" s="219"/>
      <c r="Y956" s="219"/>
      <c r="Z956" s="219"/>
      <c r="AA956" s="219"/>
      <c r="AB956" s="219"/>
    </row>
    <row r="957" spans="1:28" ht="15.75" hidden="1" customHeight="1">
      <c r="A957" s="253">
        <v>44791</v>
      </c>
      <c r="B957" s="224" t="s">
        <v>7978</v>
      </c>
      <c r="C957" s="316">
        <v>1.5</v>
      </c>
      <c r="D957" s="316"/>
      <c r="E957" s="224" t="s">
        <v>7981</v>
      </c>
      <c r="F957" s="224" t="s">
        <v>4</v>
      </c>
      <c r="G957" s="224" t="s">
        <v>725</v>
      </c>
      <c r="H957" s="224" t="s">
        <v>11118</v>
      </c>
      <c r="I957" s="224">
        <v>2</v>
      </c>
      <c r="J957" s="224" t="s">
        <v>476</v>
      </c>
      <c r="K957" s="224" t="s">
        <v>7983</v>
      </c>
      <c r="L957" s="224">
        <v>1</v>
      </c>
      <c r="M957" s="224" t="s">
        <v>451</v>
      </c>
      <c r="N957" s="224" t="s">
        <v>7984</v>
      </c>
      <c r="O957" s="224" t="s">
        <v>452</v>
      </c>
      <c r="P957" s="224" t="s">
        <v>7985</v>
      </c>
      <c r="Q957" s="224"/>
      <c r="R957" s="322" t="s">
        <v>24</v>
      </c>
      <c r="S957" s="254"/>
      <c r="T957" s="254"/>
      <c r="U957" s="224"/>
      <c r="V957" s="224"/>
      <c r="W957" s="224"/>
      <c r="X957" s="224"/>
      <c r="Y957" s="224"/>
      <c r="Z957" s="224"/>
      <c r="AA957" s="224"/>
      <c r="AB957" s="224"/>
    </row>
    <row r="958" spans="1:28" ht="15.75" hidden="1" customHeight="1">
      <c r="A958" s="248">
        <v>44796</v>
      </c>
      <c r="B958" s="219" t="s">
        <v>10214</v>
      </c>
      <c r="C958" s="315">
        <v>1.5</v>
      </c>
      <c r="D958" s="315"/>
      <c r="E958" s="219" t="s">
        <v>8059</v>
      </c>
      <c r="F958" s="219" t="s">
        <v>4</v>
      </c>
      <c r="G958" s="219" t="s">
        <v>727</v>
      </c>
      <c r="H958" s="219" t="s">
        <v>10215</v>
      </c>
      <c r="I958" s="219">
        <v>2</v>
      </c>
      <c r="J958" s="219" t="s">
        <v>476</v>
      </c>
      <c r="K958" s="219" t="s">
        <v>8061</v>
      </c>
      <c r="L958" s="219">
        <v>1</v>
      </c>
      <c r="M958" s="219" t="s">
        <v>451</v>
      </c>
      <c r="N958" s="331">
        <v>900000</v>
      </c>
      <c r="O958" s="219" t="s">
        <v>452</v>
      </c>
      <c r="P958" s="219" t="s">
        <v>8062</v>
      </c>
      <c r="Q958" s="219" t="s">
        <v>8063</v>
      </c>
      <c r="R958" s="219" t="s">
        <v>24</v>
      </c>
      <c r="S958" s="251"/>
      <c r="T958" s="251"/>
      <c r="U958" s="219"/>
      <c r="V958" s="219"/>
      <c r="W958" s="219"/>
      <c r="X958" s="219"/>
      <c r="Y958" s="219"/>
      <c r="Z958" s="219"/>
      <c r="AA958" s="219"/>
      <c r="AB958" s="219"/>
    </row>
    <row r="959" spans="1:28" ht="15.75" hidden="1" customHeight="1">
      <c r="A959" s="253">
        <v>44796</v>
      </c>
      <c r="B959" s="224" t="s">
        <v>7792</v>
      </c>
      <c r="C959" s="316">
        <v>1.5</v>
      </c>
      <c r="D959" s="316"/>
      <c r="E959" s="224" t="s">
        <v>7795</v>
      </c>
      <c r="F959" s="224" t="s">
        <v>4</v>
      </c>
      <c r="G959" s="224" t="s">
        <v>727</v>
      </c>
      <c r="H959" s="224" t="s">
        <v>10416</v>
      </c>
      <c r="I959" s="224">
        <v>2</v>
      </c>
      <c r="J959" s="224" t="s">
        <v>1036</v>
      </c>
      <c r="K959" s="224" t="s">
        <v>7797</v>
      </c>
      <c r="L959" s="224">
        <v>1</v>
      </c>
      <c r="M959" s="224" t="s">
        <v>7798</v>
      </c>
      <c r="N959" s="224" t="s">
        <v>7799</v>
      </c>
      <c r="O959" s="224" t="s">
        <v>452</v>
      </c>
      <c r="P959" s="224" t="s">
        <v>7800</v>
      </c>
      <c r="Q959" s="224"/>
      <c r="R959" s="224" t="s">
        <v>24</v>
      </c>
      <c r="S959" s="254"/>
      <c r="T959" s="254"/>
      <c r="U959" s="224"/>
      <c r="V959" s="224"/>
      <c r="W959" s="224"/>
      <c r="X959" s="224"/>
      <c r="Y959" s="224"/>
      <c r="Z959" s="224"/>
      <c r="AA959" s="224"/>
      <c r="AB959" s="224"/>
    </row>
    <row r="960" spans="1:28" ht="15.75" hidden="1" customHeight="1">
      <c r="A960" s="248">
        <v>44796</v>
      </c>
      <c r="B960" s="219" t="s">
        <v>7860</v>
      </c>
      <c r="C960" s="315">
        <v>1.5</v>
      </c>
      <c r="D960" s="315"/>
      <c r="E960" s="219" t="s">
        <v>7863</v>
      </c>
      <c r="F960" s="219" t="s">
        <v>4</v>
      </c>
      <c r="G960" s="219" t="s">
        <v>727</v>
      </c>
      <c r="H960" s="219" t="s">
        <v>10563</v>
      </c>
      <c r="I960" s="219">
        <v>2</v>
      </c>
      <c r="J960" s="219" t="s">
        <v>1045</v>
      </c>
      <c r="K960" s="219" t="s">
        <v>7865</v>
      </c>
      <c r="L960" s="219">
        <v>1</v>
      </c>
      <c r="M960" s="219"/>
      <c r="N960" s="219"/>
      <c r="O960" s="219" t="s">
        <v>465</v>
      </c>
      <c r="P960" s="219" t="s">
        <v>10564</v>
      </c>
      <c r="Q960" s="219"/>
      <c r="R960" s="219" t="s">
        <v>24</v>
      </c>
      <c r="S960" s="251"/>
      <c r="T960" s="251"/>
      <c r="U960" s="219"/>
      <c r="V960" s="219"/>
      <c r="W960" s="219"/>
      <c r="X960" s="219"/>
      <c r="Y960" s="219"/>
      <c r="Z960" s="219"/>
      <c r="AA960" s="219"/>
      <c r="AB960" s="219"/>
    </row>
    <row r="961" spans="1:28" ht="15.75" hidden="1" customHeight="1">
      <c r="A961" s="253">
        <v>44796</v>
      </c>
      <c r="B961" s="224" t="s">
        <v>7933</v>
      </c>
      <c r="C961" s="316">
        <v>1.5</v>
      </c>
      <c r="D961" s="316"/>
      <c r="E961" s="224" t="s">
        <v>7936</v>
      </c>
      <c r="F961" s="224" t="s">
        <v>4</v>
      </c>
      <c r="G961" s="224" t="s">
        <v>727</v>
      </c>
      <c r="H961" s="224" t="s">
        <v>10587</v>
      </c>
      <c r="I961" s="224">
        <v>2</v>
      </c>
      <c r="J961" s="224" t="s">
        <v>1371</v>
      </c>
      <c r="K961" s="224" t="s">
        <v>7938</v>
      </c>
      <c r="L961" s="224">
        <v>1</v>
      </c>
      <c r="M961" s="224"/>
      <c r="N961" s="224"/>
      <c r="O961" s="224" t="s">
        <v>454</v>
      </c>
      <c r="P961" s="224" t="s">
        <v>452</v>
      </c>
      <c r="Q961" s="224"/>
      <c r="R961" s="224" t="s">
        <v>24</v>
      </c>
      <c r="S961" s="254"/>
      <c r="T961" s="254"/>
      <c r="U961" s="224"/>
      <c r="V961" s="224"/>
      <c r="W961" s="224"/>
      <c r="X961" s="224"/>
      <c r="Y961" s="224"/>
      <c r="Z961" s="224"/>
      <c r="AA961" s="224"/>
      <c r="AB961" s="224"/>
    </row>
    <row r="962" spans="1:28" ht="15.75" hidden="1" customHeight="1">
      <c r="A962" s="248">
        <v>44796</v>
      </c>
      <c r="B962" s="219" t="s">
        <v>9243</v>
      </c>
      <c r="C962" s="315">
        <v>1.5</v>
      </c>
      <c r="D962" s="315"/>
      <c r="E962" s="219" t="s">
        <v>9246</v>
      </c>
      <c r="F962" s="219" t="s">
        <v>3</v>
      </c>
      <c r="G962" s="219" t="s">
        <v>460</v>
      </c>
      <c r="H962" s="219" t="s">
        <v>9247</v>
      </c>
      <c r="I962" s="219">
        <v>1</v>
      </c>
      <c r="J962" s="219" t="s">
        <v>462</v>
      </c>
      <c r="K962" s="219" t="s">
        <v>9248</v>
      </c>
      <c r="L962" s="219">
        <v>2</v>
      </c>
      <c r="M962" s="219"/>
      <c r="N962" s="219"/>
      <c r="O962" s="219" t="s">
        <v>454</v>
      </c>
      <c r="P962" s="219" t="s">
        <v>452</v>
      </c>
      <c r="Q962" s="219" t="s">
        <v>725</v>
      </c>
      <c r="R962" s="219" t="s">
        <v>24</v>
      </c>
      <c r="S962" s="251"/>
      <c r="T962" s="251"/>
      <c r="U962" s="219"/>
      <c r="V962" s="219"/>
      <c r="W962" s="219"/>
      <c r="X962" s="219"/>
      <c r="Y962" s="219"/>
      <c r="Z962" s="219"/>
      <c r="AA962" s="219"/>
      <c r="AB962" s="219"/>
    </row>
    <row r="963" spans="1:28" ht="15.75" hidden="1" customHeight="1">
      <c r="A963" s="253">
        <v>44796</v>
      </c>
      <c r="B963" s="224" t="s">
        <v>7758</v>
      </c>
      <c r="C963" s="316">
        <v>1.5</v>
      </c>
      <c r="D963" s="316"/>
      <c r="E963" s="224" t="s">
        <v>7761</v>
      </c>
      <c r="F963" s="224" t="s">
        <v>4</v>
      </c>
      <c r="G963" s="224" t="s">
        <v>725</v>
      </c>
      <c r="H963" s="224"/>
      <c r="I963" s="224">
        <v>1</v>
      </c>
      <c r="J963" s="224" t="s">
        <v>1036</v>
      </c>
      <c r="K963" s="224" t="s">
        <v>7762</v>
      </c>
      <c r="L963" s="224">
        <v>2</v>
      </c>
      <c r="M963" s="224"/>
      <c r="N963" s="224"/>
      <c r="O963" s="224" t="s">
        <v>465</v>
      </c>
      <c r="P963" s="224" t="s">
        <v>10771</v>
      </c>
      <c r="Q963" s="224"/>
      <c r="R963" s="224" t="s">
        <v>24</v>
      </c>
      <c r="S963" s="254"/>
      <c r="T963" s="254"/>
      <c r="U963" s="224"/>
      <c r="V963" s="224"/>
      <c r="W963" s="224"/>
      <c r="X963" s="224"/>
      <c r="Y963" s="224"/>
      <c r="Z963" s="224"/>
      <c r="AA963" s="224"/>
      <c r="AB963" s="224"/>
    </row>
    <row r="964" spans="1:28" ht="15.75" hidden="1" customHeight="1">
      <c r="A964" s="248">
        <v>44796</v>
      </c>
      <c r="B964" s="219" t="s">
        <v>7843</v>
      </c>
      <c r="C964" s="315">
        <v>1.5</v>
      </c>
      <c r="D964" s="315"/>
      <c r="E964" s="219" t="s">
        <v>10800</v>
      </c>
      <c r="F964" s="219" t="s">
        <v>4</v>
      </c>
      <c r="G964" s="219" t="s">
        <v>725</v>
      </c>
      <c r="H964" s="219" t="s">
        <v>10801</v>
      </c>
      <c r="I964" s="219">
        <v>1</v>
      </c>
      <c r="J964" s="219" t="s">
        <v>1237</v>
      </c>
      <c r="K964" s="219"/>
      <c r="L964" s="219">
        <v>2</v>
      </c>
      <c r="M964" s="219"/>
      <c r="N964" s="219"/>
      <c r="O964" s="219" t="s">
        <v>454</v>
      </c>
      <c r="P964" s="219" t="s">
        <v>10802</v>
      </c>
      <c r="Q964" s="219"/>
      <c r="R964" s="219" t="s">
        <v>24</v>
      </c>
      <c r="S964" s="251"/>
      <c r="T964" s="251"/>
      <c r="U964" s="219"/>
      <c r="V964" s="219"/>
      <c r="W964" s="219"/>
      <c r="X964" s="219"/>
      <c r="Y964" s="219"/>
      <c r="Z964" s="219"/>
      <c r="AA964" s="219"/>
      <c r="AB964" s="219"/>
    </row>
    <row r="965" spans="1:28" ht="15.75" hidden="1" customHeight="1">
      <c r="A965" s="253">
        <v>44796</v>
      </c>
      <c r="B965" s="224" t="s">
        <v>7997</v>
      </c>
      <c r="C965" s="316">
        <v>1.5</v>
      </c>
      <c r="D965" s="316"/>
      <c r="E965" s="224" t="s">
        <v>8000</v>
      </c>
      <c r="F965" s="224" t="s">
        <v>4</v>
      </c>
      <c r="G965" s="224" t="s">
        <v>602</v>
      </c>
      <c r="H965" s="224" t="s">
        <v>8001</v>
      </c>
      <c r="I965" s="224">
        <v>2</v>
      </c>
      <c r="J965" s="224" t="s">
        <v>1371</v>
      </c>
      <c r="K965" s="224" t="s">
        <v>8002</v>
      </c>
      <c r="L965" s="224">
        <v>1</v>
      </c>
      <c r="M965" s="224" t="s">
        <v>451</v>
      </c>
      <c r="N965" s="330">
        <v>500000</v>
      </c>
      <c r="O965" s="224" t="s">
        <v>452</v>
      </c>
      <c r="P965" s="224" t="s">
        <v>8003</v>
      </c>
      <c r="Q965" s="224"/>
      <c r="R965" s="224" t="s">
        <v>24</v>
      </c>
      <c r="S965" s="254"/>
      <c r="T965" s="254"/>
      <c r="U965" s="224"/>
      <c r="V965" s="224"/>
      <c r="W965" s="224"/>
      <c r="X965" s="224"/>
      <c r="Y965" s="224"/>
      <c r="Z965" s="224"/>
      <c r="AA965" s="224"/>
      <c r="AB965" s="224"/>
    </row>
    <row r="966" spans="1:28" ht="15.75" hidden="1" customHeight="1">
      <c r="A966" s="248">
        <v>44796</v>
      </c>
      <c r="B966" s="219" t="s">
        <v>7783</v>
      </c>
      <c r="C966" s="315">
        <v>1.5</v>
      </c>
      <c r="D966" s="315"/>
      <c r="E966" s="219" t="s">
        <v>7786</v>
      </c>
      <c r="F966" s="219" t="s">
        <v>4</v>
      </c>
      <c r="G966" s="219" t="s">
        <v>447</v>
      </c>
      <c r="H966" s="219" t="s">
        <v>10920</v>
      </c>
      <c r="I966" s="219">
        <v>2</v>
      </c>
      <c r="J966" s="219" t="s">
        <v>1036</v>
      </c>
      <c r="K966" s="219" t="s">
        <v>7788</v>
      </c>
      <c r="L966" s="219">
        <v>1</v>
      </c>
      <c r="M966" s="219" t="s">
        <v>451</v>
      </c>
      <c r="N966" s="219">
        <v>1000000</v>
      </c>
      <c r="O966" s="219" t="s">
        <v>452</v>
      </c>
      <c r="P966" s="219" t="s">
        <v>10921</v>
      </c>
      <c r="Q966" s="219"/>
      <c r="R966" s="219" t="s">
        <v>24</v>
      </c>
      <c r="S966" s="251"/>
      <c r="T966" s="251"/>
      <c r="U966" s="219"/>
      <c r="V966" s="219"/>
      <c r="W966" s="219"/>
      <c r="X966" s="219"/>
      <c r="Y966" s="219"/>
      <c r="Z966" s="219"/>
      <c r="AA966" s="219"/>
      <c r="AB966" s="219"/>
    </row>
    <row r="967" spans="1:28" ht="15.75" hidden="1" customHeight="1">
      <c r="A967" s="253">
        <v>44796</v>
      </c>
      <c r="B967" s="224" t="s">
        <v>8033</v>
      </c>
      <c r="C967" s="316">
        <v>1.5</v>
      </c>
      <c r="D967" s="316"/>
      <c r="E967" s="224" t="s">
        <v>8036</v>
      </c>
      <c r="F967" s="224" t="s">
        <v>4</v>
      </c>
      <c r="G967" s="224" t="s">
        <v>725</v>
      </c>
      <c r="H967" s="224" t="s">
        <v>8037</v>
      </c>
      <c r="I967" s="224">
        <v>2</v>
      </c>
      <c r="J967" s="224" t="s">
        <v>4054</v>
      </c>
      <c r="K967" s="224"/>
      <c r="L967" s="224">
        <v>1</v>
      </c>
      <c r="M967" s="224"/>
      <c r="N967" s="224"/>
      <c r="O967" s="224" t="s">
        <v>465</v>
      </c>
      <c r="P967" s="224" t="s">
        <v>8038</v>
      </c>
      <c r="Q967" s="224"/>
      <c r="R967" s="224" t="s">
        <v>24</v>
      </c>
      <c r="S967" s="254"/>
      <c r="T967" s="254"/>
      <c r="U967" s="224"/>
      <c r="V967" s="224"/>
      <c r="W967" s="224"/>
      <c r="X967" s="224"/>
      <c r="Y967" s="224"/>
      <c r="Z967" s="224"/>
      <c r="AA967" s="224"/>
      <c r="AB967" s="224"/>
    </row>
    <row r="968" spans="1:28" ht="15.75" hidden="1" customHeight="1">
      <c r="A968" s="248">
        <v>44796</v>
      </c>
      <c r="B968" s="219" t="s">
        <v>7970</v>
      </c>
      <c r="C968" s="315">
        <v>1.5</v>
      </c>
      <c r="D968" s="315"/>
      <c r="E968" s="219" t="s">
        <v>11111</v>
      </c>
      <c r="F968" s="219" t="s">
        <v>4</v>
      </c>
      <c r="G968" s="219" t="s">
        <v>447</v>
      </c>
      <c r="H968" s="219" t="s">
        <v>11112</v>
      </c>
      <c r="I968" s="219">
        <v>1</v>
      </c>
      <c r="J968" s="219" t="s">
        <v>1371</v>
      </c>
      <c r="K968" s="219" t="s">
        <v>7975</v>
      </c>
      <c r="L968" s="219">
        <v>2</v>
      </c>
      <c r="M968" s="219"/>
      <c r="N968" s="219"/>
      <c r="O968" s="219" t="s">
        <v>454</v>
      </c>
      <c r="P968" s="219" t="s">
        <v>1028</v>
      </c>
      <c r="Q968" s="219"/>
      <c r="R968" s="219" t="s">
        <v>24</v>
      </c>
      <c r="S968" s="251"/>
      <c r="T968" s="251"/>
      <c r="U968" s="219"/>
      <c r="V968" s="219"/>
      <c r="W968" s="219"/>
      <c r="X968" s="219"/>
      <c r="Y968" s="219"/>
      <c r="Z968" s="219"/>
      <c r="AA968" s="219"/>
      <c r="AB968" s="219"/>
    </row>
    <row r="969" spans="1:28" ht="15.75" customHeight="1">
      <c r="A969" s="253">
        <v>44796</v>
      </c>
      <c r="B969" s="224" t="s">
        <v>2318</v>
      </c>
      <c r="C969" s="224">
        <v>1.5</v>
      </c>
      <c r="D969" s="224"/>
      <c r="E969" s="224"/>
      <c r="F969" s="224" t="s">
        <v>5</v>
      </c>
      <c r="G969" s="224" t="s">
        <v>447</v>
      </c>
      <c r="H969" s="224" t="s">
        <v>11234</v>
      </c>
      <c r="I969" s="224">
        <v>1</v>
      </c>
      <c r="J969" s="224" t="s">
        <v>449</v>
      </c>
      <c r="K969" s="224" t="s">
        <v>11235</v>
      </c>
      <c r="L969" s="224">
        <v>2</v>
      </c>
      <c r="M969" s="224" t="s">
        <v>2190</v>
      </c>
      <c r="N969" s="330">
        <v>2000000</v>
      </c>
      <c r="O969" s="224" t="s">
        <v>452</v>
      </c>
      <c r="P969" s="224" t="s">
        <v>2323</v>
      </c>
      <c r="Q969" s="224"/>
      <c r="R969" s="224" t="s">
        <v>24</v>
      </c>
      <c r="S969" s="224"/>
      <c r="T969" s="224"/>
      <c r="U969" s="224"/>
      <c r="V969" s="224"/>
      <c r="W969" s="224"/>
      <c r="X969" s="224"/>
      <c r="Y969" s="224"/>
      <c r="Z969" s="224"/>
      <c r="AA969" s="224"/>
      <c r="AB969" s="224"/>
    </row>
    <row r="970" spans="1:28" ht="15.75" customHeight="1">
      <c r="A970" s="248">
        <v>44796</v>
      </c>
      <c r="B970" s="219" t="s">
        <v>2353</v>
      </c>
      <c r="C970" s="219">
        <v>1.5</v>
      </c>
      <c r="D970" s="219"/>
      <c r="E970" s="219" t="s">
        <v>2356</v>
      </c>
      <c r="F970" s="219" t="s">
        <v>5</v>
      </c>
      <c r="G970" s="219" t="s">
        <v>447</v>
      </c>
      <c r="H970" s="219" t="s">
        <v>11251</v>
      </c>
      <c r="I970" s="219">
        <v>2</v>
      </c>
      <c r="J970" s="219" t="s">
        <v>622</v>
      </c>
      <c r="K970" s="219" t="s">
        <v>2358</v>
      </c>
      <c r="L970" s="219">
        <v>1</v>
      </c>
      <c r="M970" s="219" t="s">
        <v>451</v>
      </c>
      <c r="N970" s="219">
        <v>3000000</v>
      </c>
      <c r="O970" s="219" t="s">
        <v>452</v>
      </c>
      <c r="P970" s="219" t="s">
        <v>2359</v>
      </c>
      <c r="Q970" s="219"/>
      <c r="R970" s="219" t="s">
        <v>24</v>
      </c>
      <c r="S970" s="219"/>
      <c r="T970" s="219"/>
      <c r="U970" s="219"/>
      <c r="V970" s="219"/>
      <c r="W970" s="219"/>
      <c r="X970" s="219"/>
      <c r="Y970" s="219"/>
      <c r="Z970" s="219"/>
      <c r="AA970" s="219"/>
      <c r="AB970" s="219"/>
    </row>
    <row r="971" spans="1:28" ht="15.75" hidden="1" customHeight="1">
      <c r="A971" s="253">
        <v>44796</v>
      </c>
      <c r="B971" s="224" t="s">
        <v>7886</v>
      </c>
      <c r="C971" s="316">
        <v>1.5</v>
      </c>
      <c r="D971" s="316"/>
      <c r="E971" s="224"/>
      <c r="F971" s="224" t="s">
        <v>4</v>
      </c>
      <c r="G971" s="224" t="s">
        <v>725</v>
      </c>
      <c r="H971" s="224"/>
      <c r="I971" s="224">
        <v>1</v>
      </c>
      <c r="J971" s="224" t="s">
        <v>1298</v>
      </c>
      <c r="K971" s="224" t="s">
        <v>7889</v>
      </c>
      <c r="L971" s="224">
        <v>2</v>
      </c>
      <c r="M971" s="224" t="s">
        <v>2190</v>
      </c>
      <c r="N971" s="224">
        <v>2000000</v>
      </c>
      <c r="O971" s="224" t="s">
        <v>452</v>
      </c>
      <c r="P971" s="224" t="s">
        <v>7890</v>
      </c>
      <c r="Q971" s="224"/>
      <c r="R971" s="224" t="s">
        <v>24</v>
      </c>
      <c r="S971" s="254"/>
      <c r="T971" s="254"/>
      <c r="U971" s="224"/>
      <c r="V971" s="224"/>
      <c r="W971" s="224"/>
      <c r="X971" s="224"/>
      <c r="Y971" s="224"/>
      <c r="Z971" s="224"/>
      <c r="AA971" s="224"/>
      <c r="AB971" s="224"/>
    </row>
    <row r="972" spans="1:28" ht="15.75" hidden="1" customHeight="1">
      <c r="A972" s="248">
        <v>44796</v>
      </c>
      <c r="B972" s="219" t="s">
        <v>7835</v>
      </c>
      <c r="C972" s="315">
        <v>1.5</v>
      </c>
      <c r="D972" s="315"/>
      <c r="E972" s="219" t="s">
        <v>11316</v>
      </c>
      <c r="F972" s="219" t="s">
        <v>4</v>
      </c>
      <c r="G972" s="219" t="s">
        <v>725</v>
      </c>
      <c r="H972" s="219" t="s">
        <v>11317</v>
      </c>
      <c r="I972" s="219">
        <v>1</v>
      </c>
      <c r="J972" s="219" t="s">
        <v>1187</v>
      </c>
      <c r="K972" s="219" t="s">
        <v>7840</v>
      </c>
      <c r="L972" s="219">
        <v>2</v>
      </c>
      <c r="M972" s="219"/>
      <c r="N972" s="219"/>
      <c r="O972" s="219" t="s">
        <v>452</v>
      </c>
      <c r="P972" s="219" t="s">
        <v>11318</v>
      </c>
      <c r="Q972" s="219"/>
      <c r="R972" s="219" t="s">
        <v>24</v>
      </c>
      <c r="S972" s="251"/>
      <c r="T972" s="251"/>
      <c r="U972" s="219"/>
      <c r="V972" s="219"/>
      <c r="W972" s="219"/>
      <c r="X972" s="219"/>
      <c r="Y972" s="219"/>
      <c r="Z972" s="219"/>
      <c r="AA972" s="219"/>
      <c r="AB972" s="219"/>
    </row>
    <row r="973" spans="1:28" ht="15.75" hidden="1" customHeight="1">
      <c r="A973" s="253">
        <v>44796</v>
      </c>
      <c r="B973" s="224" t="s">
        <v>7893</v>
      </c>
      <c r="C973" s="316">
        <v>1.5</v>
      </c>
      <c r="D973" s="316"/>
      <c r="E973" s="224"/>
      <c r="F973" s="224" t="s">
        <v>4</v>
      </c>
      <c r="G973" s="224" t="s">
        <v>725</v>
      </c>
      <c r="H973" s="224" t="s">
        <v>7896</v>
      </c>
      <c r="I973" s="224">
        <v>2</v>
      </c>
      <c r="J973" s="224" t="s">
        <v>1298</v>
      </c>
      <c r="K973" s="224" t="s">
        <v>7897</v>
      </c>
      <c r="L973" s="224">
        <v>1</v>
      </c>
      <c r="M973" s="224" t="s">
        <v>2190</v>
      </c>
      <c r="N973" s="224">
        <v>1250000</v>
      </c>
      <c r="O973" s="224" t="s">
        <v>452</v>
      </c>
      <c r="P973" s="224" t="s">
        <v>7898</v>
      </c>
      <c r="Q973" s="224"/>
      <c r="R973" s="224" t="s">
        <v>24</v>
      </c>
      <c r="S973" s="254"/>
      <c r="T973" s="254"/>
      <c r="U973" s="224"/>
      <c r="V973" s="224"/>
      <c r="W973" s="224"/>
      <c r="X973" s="224"/>
      <c r="Y973" s="224"/>
      <c r="Z973" s="224"/>
      <c r="AA973" s="224"/>
      <c r="AB973" s="224"/>
    </row>
    <row r="974" spans="1:28" ht="15.75" hidden="1" customHeight="1">
      <c r="A974" s="248">
        <v>44796</v>
      </c>
      <c r="B974" s="219" t="s">
        <v>9305</v>
      </c>
      <c r="C974" s="315">
        <v>1.5</v>
      </c>
      <c r="D974" s="315"/>
      <c r="E974" s="219" t="s">
        <v>11370</v>
      </c>
      <c r="F974" s="219" t="s">
        <v>3</v>
      </c>
      <c r="G974" s="219" t="s">
        <v>488</v>
      </c>
      <c r="H974" s="219"/>
      <c r="I974" s="219">
        <v>2</v>
      </c>
      <c r="J974" s="219" t="s">
        <v>941</v>
      </c>
      <c r="K974" s="219"/>
      <c r="L974" s="219">
        <v>1</v>
      </c>
      <c r="M974" s="219" t="s">
        <v>451</v>
      </c>
      <c r="N974" s="219">
        <v>2000000</v>
      </c>
      <c r="O974" s="219" t="s">
        <v>452</v>
      </c>
      <c r="P974" s="219" t="s">
        <v>452</v>
      </c>
      <c r="Q974" s="219" t="s">
        <v>2180</v>
      </c>
      <c r="R974" s="219" t="s">
        <v>24</v>
      </c>
      <c r="S974" s="251"/>
      <c r="T974" s="251"/>
      <c r="U974" s="219"/>
      <c r="V974" s="219"/>
      <c r="W974" s="219"/>
      <c r="X974" s="219"/>
      <c r="Y974" s="219"/>
      <c r="Z974" s="219"/>
      <c r="AA974" s="219"/>
      <c r="AB974" s="219"/>
    </row>
    <row r="975" spans="1:28" ht="15.75" hidden="1" customHeight="1">
      <c r="A975" s="253">
        <v>44796</v>
      </c>
      <c r="B975" s="224" t="s">
        <v>7811</v>
      </c>
      <c r="C975" s="316">
        <v>1.5</v>
      </c>
      <c r="D975" s="316"/>
      <c r="E975" s="224" t="s">
        <v>7814</v>
      </c>
      <c r="F975" s="224" t="s">
        <v>4</v>
      </c>
      <c r="G975" s="224" t="s">
        <v>1045</v>
      </c>
      <c r="H975" s="224" t="s">
        <v>7815</v>
      </c>
      <c r="I975" s="224">
        <v>1</v>
      </c>
      <c r="J975" s="224" t="s">
        <v>1073</v>
      </c>
      <c r="K975" s="224" t="s">
        <v>7816</v>
      </c>
      <c r="L975" s="224">
        <v>2</v>
      </c>
      <c r="M975" s="224"/>
      <c r="N975" s="224"/>
      <c r="O975" s="224" t="s">
        <v>454</v>
      </c>
      <c r="P975" s="224" t="s">
        <v>452</v>
      </c>
      <c r="Q975" s="224"/>
      <c r="R975" s="224" t="s">
        <v>24</v>
      </c>
      <c r="S975" s="254"/>
      <c r="T975" s="254"/>
      <c r="U975" s="224"/>
      <c r="V975" s="224"/>
      <c r="W975" s="224"/>
      <c r="X975" s="224"/>
      <c r="Y975" s="224"/>
      <c r="Z975" s="224"/>
      <c r="AA975" s="224"/>
      <c r="AB975" s="224"/>
    </row>
    <row r="976" spans="1:28" ht="15.75" customHeight="1">
      <c r="A976" s="227">
        <v>44776</v>
      </c>
      <c r="B976" s="228" t="s">
        <v>2982</v>
      </c>
      <c r="C976" s="215">
        <v>1.25</v>
      </c>
      <c r="D976" s="215"/>
      <c r="E976" s="228" t="s">
        <v>2985</v>
      </c>
      <c r="F976" s="215" t="s">
        <v>5</v>
      </c>
      <c r="G976" s="228" t="s">
        <v>447</v>
      </c>
      <c r="H976" s="228" t="s">
        <v>2986</v>
      </c>
      <c r="I976" s="228">
        <v>2.5</v>
      </c>
      <c r="J976" s="228" t="s">
        <v>622</v>
      </c>
      <c r="K976" s="228" t="s">
        <v>2987</v>
      </c>
      <c r="L976" s="228">
        <v>0</v>
      </c>
      <c r="M976" s="228"/>
      <c r="N976" s="228"/>
      <c r="O976" s="228" t="s">
        <v>454</v>
      </c>
      <c r="P976" s="228" t="s">
        <v>452</v>
      </c>
      <c r="Q976" s="228"/>
      <c r="R976" s="228" t="s">
        <v>24</v>
      </c>
      <c r="S976" s="228">
        <f t="array" ref="S976">INDEX(Notes!C:C,MATCH($B976,Notes!$A:$A,0))</f>
        <v>0</v>
      </c>
      <c r="T976" s="228"/>
      <c r="U976" s="228"/>
      <c r="V976" s="228"/>
      <c r="W976" s="228"/>
      <c r="X976" s="219"/>
      <c r="Y976" s="219"/>
      <c r="Z976" s="219"/>
      <c r="AA976" s="219"/>
      <c r="AB976" s="219"/>
    </row>
    <row r="977" spans="1:28" ht="15.75" hidden="1" customHeight="1">
      <c r="A977" s="267">
        <v>44784</v>
      </c>
      <c r="B977" s="272" t="s">
        <v>8082</v>
      </c>
      <c r="C977" s="269">
        <v>1.25</v>
      </c>
      <c r="D977" s="269"/>
      <c r="E977" s="272" t="s">
        <v>8085</v>
      </c>
      <c r="F977" s="270" t="s">
        <v>4</v>
      </c>
      <c r="G977" s="272" t="s">
        <v>602</v>
      </c>
      <c r="H977" s="272" t="s">
        <v>8086</v>
      </c>
      <c r="I977" s="272">
        <v>1</v>
      </c>
      <c r="J977" s="272" t="s">
        <v>476</v>
      </c>
      <c r="K977" s="272" t="s">
        <v>11605</v>
      </c>
      <c r="L977" s="272">
        <v>1.5</v>
      </c>
      <c r="M977" s="272" t="s">
        <v>451</v>
      </c>
      <c r="N977" s="272">
        <v>2000000</v>
      </c>
      <c r="O977" s="272" t="s">
        <v>454</v>
      </c>
      <c r="P977" s="272" t="s">
        <v>8088</v>
      </c>
      <c r="Q977" s="272"/>
      <c r="R977" s="272" t="s">
        <v>24</v>
      </c>
      <c r="S977" s="274"/>
      <c r="T977" s="274"/>
      <c r="U977" s="272"/>
      <c r="V977" s="272"/>
      <c r="W977" s="272"/>
      <c r="X977" s="272"/>
      <c r="Y977" s="272"/>
      <c r="Z977" s="224"/>
      <c r="AA977" s="224"/>
      <c r="AB977" s="224"/>
    </row>
    <row r="978" spans="1:28" ht="15.75" customHeight="1">
      <c r="A978" s="398">
        <v>44784</v>
      </c>
      <c r="B978" s="505" t="s">
        <v>9318</v>
      </c>
      <c r="C978" s="482">
        <v>1.25</v>
      </c>
      <c r="D978" s="482"/>
      <c r="E978" s="505" t="s">
        <v>9321</v>
      </c>
      <c r="F978" s="482" t="s">
        <v>5</v>
      </c>
      <c r="G978" s="505" t="s">
        <v>447</v>
      </c>
      <c r="H978" s="505"/>
      <c r="I978" s="505">
        <v>1</v>
      </c>
      <c r="J978" s="505" t="s">
        <v>543</v>
      </c>
      <c r="K978" s="505" t="s">
        <v>10586</v>
      </c>
      <c r="L978" s="505">
        <v>1.5</v>
      </c>
      <c r="M978" s="505"/>
      <c r="N978" s="505"/>
      <c r="O978" s="505" t="s">
        <v>452</v>
      </c>
      <c r="P978" s="505" t="s">
        <v>974</v>
      </c>
      <c r="Q978" s="505"/>
      <c r="R978" s="505" t="s">
        <v>25</v>
      </c>
      <c r="S978" s="505" t="s">
        <v>9323</v>
      </c>
      <c r="T978" s="505"/>
      <c r="U978" s="505"/>
      <c r="V978" s="505"/>
      <c r="W978" s="505"/>
      <c r="X978" s="505"/>
      <c r="Y978" s="505"/>
      <c r="Z978" s="219"/>
      <c r="AA978" s="219"/>
      <c r="AB978" s="219"/>
    </row>
    <row r="979" spans="1:28" ht="15.75" hidden="1" customHeight="1">
      <c r="A979" s="253">
        <v>44796</v>
      </c>
      <c r="B979" s="224" t="s">
        <v>8073</v>
      </c>
      <c r="C979" s="316">
        <v>1.25</v>
      </c>
      <c r="D979" s="316"/>
      <c r="E979" s="224" t="s">
        <v>8076</v>
      </c>
      <c r="F979" s="224" t="s">
        <v>4</v>
      </c>
      <c r="G979" s="224" t="s">
        <v>727</v>
      </c>
      <c r="H979" s="224" t="s">
        <v>10568</v>
      </c>
      <c r="I979" s="224">
        <v>1</v>
      </c>
      <c r="J979" s="224" t="s">
        <v>1045</v>
      </c>
      <c r="K979" s="224" t="s">
        <v>8078</v>
      </c>
      <c r="L979" s="224">
        <v>1.5</v>
      </c>
      <c r="M979" s="224" t="s">
        <v>451</v>
      </c>
      <c r="N979" s="224" t="s">
        <v>8079</v>
      </c>
      <c r="O979" s="224" t="s">
        <v>454</v>
      </c>
      <c r="P979" s="224" t="s">
        <v>3420</v>
      </c>
      <c r="Q979" s="224"/>
      <c r="R979" s="224" t="s">
        <v>24</v>
      </c>
      <c r="S979" s="254"/>
      <c r="T979" s="254"/>
      <c r="U979" s="224"/>
      <c r="V979" s="224"/>
      <c r="W979" s="224"/>
      <c r="X979" s="224"/>
      <c r="Y979" s="224"/>
      <c r="Z979" s="224"/>
      <c r="AA979" s="224"/>
      <c r="AB979" s="224"/>
    </row>
    <row r="980" spans="1:28" ht="15.75" hidden="1" customHeight="1">
      <c r="A980" s="248">
        <v>44796</v>
      </c>
      <c r="B980" s="219" t="s">
        <v>8997</v>
      </c>
      <c r="C980" s="315">
        <v>1.25</v>
      </c>
      <c r="D980" s="315"/>
      <c r="E980" s="219" t="s">
        <v>9000</v>
      </c>
      <c r="F980" s="219" t="s">
        <v>3</v>
      </c>
      <c r="G980" s="219" t="s">
        <v>460</v>
      </c>
      <c r="H980" s="219" t="s">
        <v>9001</v>
      </c>
      <c r="I980" s="219">
        <v>1.5</v>
      </c>
      <c r="J980" s="219" t="s">
        <v>462</v>
      </c>
      <c r="K980" s="219" t="s">
        <v>9002</v>
      </c>
      <c r="L980" s="219">
        <v>1</v>
      </c>
      <c r="M980" s="219"/>
      <c r="N980" s="219"/>
      <c r="O980" s="219" t="s">
        <v>452</v>
      </c>
      <c r="P980" s="219" t="s">
        <v>9003</v>
      </c>
      <c r="Q980" s="219" t="s">
        <v>9004</v>
      </c>
      <c r="R980" s="219" t="s">
        <v>24</v>
      </c>
      <c r="S980" s="251"/>
      <c r="T980" s="251"/>
      <c r="U980" s="219"/>
      <c r="V980" s="219"/>
      <c r="W980" s="219"/>
      <c r="X980" s="219"/>
      <c r="Y980" s="219"/>
      <c r="Z980" s="219"/>
      <c r="AA980" s="219"/>
      <c r="AB980" s="219"/>
    </row>
    <row r="981" spans="1:28" ht="15.75" hidden="1" customHeight="1">
      <c r="A981" s="253">
        <v>44796</v>
      </c>
      <c r="B981" s="224" t="s">
        <v>8065</v>
      </c>
      <c r="C981" s="316">
        <v>1.25</v>
      </c>
      <c r="D981" s="316"/>
      <c r="E981" s="224" t="s">
        <v>8068</v>
      </c>
      <c r="F981" s="224" t="s">
        <v>4</v>
      </c>
      <c r="G981" s="224" t="s">
        <v>725</v>
      </c>
      <c r="H981" s="224"/>
      <c r="I981" s="224">
        <v>1</v>
      </c>
      <c r="J981" s="224" t="s">
        <v>1045</v>
      </c>
      <c r="K981" s="224" t="s">
        <v>8069</v>
      </c>
      <c r="L981" s="224">
        <v>1.5</v>
      </c>
      <c r="M981" s="224" t="s">
        <v>784</v>
      </c>
      <c r="N981" s="330">
        <v>100000</v>
      </c>
      <c r="O981" s="224" t="s">
        <v>465</v>
      </c>
      <c r="P981" s="224" t="s">
        <v>8070</v>
      </c>
      <c r="Q981" s="224"/>
      <c r="R981" s="224" t="s">
        <v>24</v>
      </c>
      <c r="S981" s="254"/>
      <c r="T981" s="254"/>
      <c r="U981" s="224"/>
      <c r="V981" s="224"/>
      <c r="W981" s="224"/>
      <c r="X981" s="224"/>
      <c r="Y981" s="224"/>
      <c r="Z981" s="224"/>
      <c r="AA981" s="224"/>
      <c r="AB981" s="224"/>
    </row>
    <row r="982" spans="1:28" ht="15.75" hidden="1" customHeight="1">
      <c r="A982" s="212">
        <v>44776</v>
      </c>
      <c r="B982" s="213" t="s">
        <v>9195</v>
      </c>
      <c r="C982" s="214">
        <v>1</v>
      </c>
      <c r="D982" s="214"/>
      <c r="E982" s="213" t="s">
        <v>10183</v>
      </c>
      <c r="F982" s="215" t="s">
        <v>3</v>
      </c>
      <c r="G982" s="213" t="s">
        <v>460</v>
      </c>
      <c r="H982" s="213"/>
      <c r="I982" s="213">
        <v>1</v>
      </c>
      <c r="J982" s="213" t="s">
        <v>462</v>
      </c>
      <c r="K982" s="213"/>
      <c r="L982" s="213">
        <v>1</v>
      </c>
      <c r="M982" s="213" t="s">
        <v>451</v>
      </c>
      <c r="N982" s="225">
        <v>150000</v>
      </c>
      <c r="O982" s="213" t="s">
        <v>452</v>
      </c>
      <c r="P982" s="213" t="s">
        <v>452</v>
      </c>
      <c r="Q982" s="143"/>
      <c r="R982" s="213" t="s">
        <v>24</v>
      </c>
      <c r="S982" s="226">
        <f t="array" ref="S982">INDEX(Notes!C:C,MATCH($B982,Notes!$A:$A,0))</f>
        <v>0</v>
      </c>
      <c r="T982" s="226"/>
      <c r="U982" s="218"/>
      <c r="V982" s="218"/>
      <c r="W982" s="218"/>
      <c r="X982" s="219"/>
      <c r="Y982" s="219"/>
      <c r="Z982" s="219"/>
      <c r="AA982" s="219"/>
      <c r="AB982" s="219"/>
    </row>
    <row r="983" spans="1:28" ht="15.75" customHeight="1">
      <c r="A983" s="220">
        <v>44776</v>
      </c>
      <c r="B983" s="221" t="s">
        <v>3631</v>
      </c>
      <c r="C983" s="215">
        <v>1</v>
      </c>
      <c r="D983" s="215"/>
      <c r="E983" s="221" t="s">
        <v>3634</v>
      </c>
      <c r="F983" s="215" t="s">
        <v>5</v>
      </c>
      <c r="G983" s="221" t="s">
        <v>447</v>
      </c>
      <c r="H983" s="221" t="s">
        <v>3635</v>
      </c>
      <c r="I983" s="221">
        <v>1</v>
      </c>
      <c r="J983" s="221" t="s">
        <v>476</v>
      </c>
      <c r="K983" s="221" t="s">
        <v>10227</v>
      </c>
      <c r="L983" s="221">
        <v>1</v>
      </c>
      <c r="M983" s="221"/>
      <c r="N983" s="221"/>
      <c r="O983" s="221" t="s">
        <v>454</v>
      </c>
      <c r="P983" s="221" t="s">
        <v>3637</v>
      </c>
      <c r="Q983" s="221"/>
      <c r="R983" s="221" t="s">
        <v>24</v>
      </c>
      <c r="S983" s="221">
        <f t="array" ref="S983">INDEX(Notes!C:C,MATCH($B983,Notes!$A:$A,0))</f>
        <v>0</v>
      </c>
      <c r="T983" s="221"/>
      <c r="U983" s="218"/>
      <c r="V983" s="218"/>
      <c r="W983" s="218"/>
      <c r="X983" s="224"/>
      <c r="Y983" s="224"/>
      <c r="Z983" s="224"/>
      <c r="AA983" s="224"/>
      <c r="AB983" s="224"/>
    </row>
    <row r="984" spans="1:28" ht="15.75" hidden="1" customHeight="1">
      <c r="A984" s="212">
        <v>44776</v>
      </c>
      <c r="B984" s="213" t="s">
        <v>8756</v>
      </c>
      <c r="C984" s="214">
        <v>1</v>
      </c>
      <c r="D984" s="214"/>
      <c r="E984" s="213" t="s">
        <v>8759</v>
      </c>
      <c r="F984" s="215" t="s">
        <v>3</v>
      </c>
      <c r="G984" s="213" t="s">
        <v>460</v>
      </c>
      <c r="H984" s="213" t="s">
        <v>8760</v>
      </c>
      <c r="I984" s="213">
        <v>1</v>
      </c>
      <c r="J984" s="213" t="s">
        <v>941</v>
      </c>
      <c r="K984" s="213" t="s">
        <v>8761</v>
      </c>
      <c r="L984" s="213">
        <v>1</v>
      </c>
      <c r="M984" s="213"/>
      <c r="N984" s="213"/>
      <c r="O984" s="213" t="s">
        <v>452</v>
      </c>
      <c r="P984" s="213" t="s">
        <v>10308</v>
      </c>
      <c r="Q984" s="143"/>
      <c r="R984" s="213" t="s">
        <v>24</v>
      </c>
      <c r="S984" s="226">
        <f t="array" ref="S984">INDEX(Notes!C:C,MATCH($B984,Notes!$A:$A,0))</f>
        <v>0</v>
      </c>
      <c r="T984" s="226"/>
      <c r="U984" s="218"/>
      <c r="V984" s="218"/>
      <c r="W984" s="218"/>
      <c r="X984" s="219"/>
      <c r="Y984" s="219"/>
      <c r="Z984" s="219"/>
      <c r="AA984" s="219"/>
      <c r="AB984" s="219"/>
    </row>
    <row r="985" spans="1:28" ht="15.75" hidden="1" customHeight="1">
      <c r="A985" s="220">
        <v>44776</v>
      </c>
      <c r="B985" s="221" t="s">
        <v>11409</v>
      </c>
      <c r="C985" s="214">
        <v>1</v>
      </c>
      <c r="D985" s="214"/>
      <c r="E985" s="221" t="s">
        <v>11410</v>
      </c>
      <c r="F985" s="215" t="s">
        <v>3</v>
      </c>
      <c r="G985" s="221" t="s">
        <v>460</v>
      </c>
      <c r="H985" s="221"/>
      <c r="I985" s="221">
        <v>1</v>
      </c>
      <c r="J985" s="221" t="s">
        <v>462</v>
      </c>
      <c r="K985" s="221" t="s">
        <v>8900</v>
      </c>
      <c r="L985" s="221">
        <v>1</v>
      </c>
      <c r="M985" s="221" t="s">
        <v>451</v>
      </c>
      <c r="N985" s="247">
        <v>3250000</v>
      </c>
      <c r="O985" s="221" t="s">
        <v>465</v>
      </c>
      <c r="P985" s="221" t="s">
        <v>452</v>
      </c>
      <c r="Q985" s="145"/>
      <c r="R985" s="221" t="s">
        <v>24</v>
      </c>
      <c r="S985" s="223">
        <f t="array" ref="S985">INDEX(Notes!C:C,MATCH($B985,Notes!$A:$A,0))</f>
        <v>0</v>
      </c>
      <c r="T985" s="223"/>
      <c r="U985" s="218"/>
      <c r="V985" s="218"/>
      <c r="W985" s="218"/>
      <c r="X985" s="224"/>
      <c r="Y985" s="224"/>
      <c r="Z985" s="224"/>
      <c r="AA985" s="224"/>
      <c r="AB985" s="224"/>
    </row>
    <row r="986" spans="1:28" ht="15.75" hidden="1" customHeight="1">
      <c r="A986" s="248">
        <v>44782</v>
      </c>
      <c r="B986" s="219" t="s">
        <v>8966</v>
      </c>
      <c r="C986" s="249">
        <v>1</v>
      </c>
      <c r="D986" s="249"/>
      <c r="E986" s="219" t="s">
        <v>8969</v>
      </c>
      <c r="F986" s="250" t="s">
        <v>3</v>
      </c>
      <c r="G986" s="219" t="s">
        <v>460</v>
      </c>
      <c r="H986" s="219"/>
      <c r="I986" s="219">
        <v>1</v>
      </c>
      <c r="J986" s="219" t="s">
        <v>941</v>
      </c>
      <c r="K986" s="219"/>
      <c r="L986" s="219">
        <v>1</v>
      </c>
      <c r="M986" s="219"/>
      <c r="N986" s="219"/>
      <c r="O986" s="219" t="s">
        <v>452</v>
      </c>
      <c r="P986" s="219" t="s">
        <v>452</v>
      </c>
      <c r="Q986" s="219"/>
      <c r="R986" s="219" t="s">
        <v>24</v>
      </c>
      <c r="S986" s="251"/>
      <c r="T986" s="251"/>
      <c r="U986" s="252"/>
      <c r="V986" s="252"/>
      <c r="W986" s="252"/>
      <c r="X986" s="219"/>
      <c r="Y986" s="219"/>
      <c r="Z986" s="219"/>
      <c r="AA986" s="219"/>
      <c r="AB986" s="219"/>
    </row>
    <row r="987" spans="1:28" ht="15.75" hidden="1" customHeight="1">
      <c r="A987" s="253">
        <v>44782</v>
      </c>
      <c r="B987" s="224" t="s">
        <v>8150</v>
      </c>
      <c r="C987" s="249">
        <v>1</v>
      </c>
      <c r="D987" s="249"/>
      <c r="E987" s="224" t="s">
        <v>8153</v>
      </c>
      <c r="F987" s="250" t="s">
        <v>4</v>
      </c>
      <c r="G987" s="224" t="s">
        <v>727</v>
      </c>
      <c r="H987" s="224" t="s">
        <v>8154</v>
      </c>
      <c r="I987" s="224">
        <v>1</v>
      </c>
      <c r="J987" s="224" t="s">
        <v>476</v>
      </c>
      <c r="K987" s="224" t="s">
        <v>10372</v>
      </c>
      <c r="L987" s="224">
        <v>1</v>
      </c>
      <c r="M987" s="224" t="s">
        <v>784</v>
      </c>
      <c r="N987" s="224">
        <v>600000</v>
      </c>
      <c r="O987" s="224" t="s">
        <v>452</v>
      </c>
      <c r="P987" s="224" t="s">
        <v>452</v>
      </c>
      <c r="Q987" s="224"/>
      <c r="R987" s="224" t="s">
        <v>24</v>
      </c>
      <c r="S987" s="254"/>
      <c r="T987" s="254"/>
      <c r="U987" s="252"/>
      <c r="V987" s="252"/>
      <c r="W987" s="252"/>
      <c r="X987" s="224"/>
      <c r="Y987" s="224"/>
      <c r="Z987" s="224"/>
      <c r="AA987" s="224"/>
      <c r="AB987" s="224"/>
    </row>
    <row r="988" spans="1:28" ht="15.75" hidden="1" customHeight="1">
      <c r="A988" s="248">
        <v>44782</v>
      </c>
      <c r="B988" s="219" t="s">
        <v>9015</v>
      </c>
      <c r="C988" s="249">
        <v>1</v>
      </c>
      <c r="D988" s="249"/>
      <c r="E988" s="219" t="s">
        <v>9018</v>
      </c>
      <c r="F988" s="250" t="s">
        <v>3</v>
      </c>
      <c r="G988" s="219" t="s">
        <v>460</v>
      </c>
      <c r="H988" s="219" t="s">
        <v>9019</v>
      </c>
      <c r="I988" s="219">
        <v>1</v>
      </c>
      <c r="J988" s="219" t="s">
        <v>941</v>
      </c>
      <c r="K988" s="219"/>
      <c r="L988" s="219">
        <v>1</v>
      </c>
      <c r="M988" s="219"/>
      <c r="N988" s="219"/>
      <c r="O988" s="219" t="s">
        <v>452</v>
      </c>
      <c r="P988" s="219" t="s">
        <v>452</v>
      </c>
      <c r="Q988" s="219"/>
      <c r="R988" s="219" t="s">
        <v>24</v>
      </c>
      <c r="S988" s="251"/>
      <c r="T988" s="251"/>
      <c r="U988" s="252"/>
      <c r="V988" s="252"/>
      <c r="W988" s="252"/>
      <c r="X988" s="219"/>
      <c r="Y988" s="219"/>
      <c r="Z988" s="219"/>
      <c r="AA988" s="219"/>
      <c r="AB988" s="219"/>
    </row>
    <row r="989" spans="1:28" ht="15.75" hidden="1" customHeight="1">
      <c r="A989" s="253">
        <v>44782</v>
      </c>
      <c r="B989" s="224" t="s">
        <v>8448</v>
      </c>
      <c r="C989" s="249">
        <v>1</v>
      </c>
      <c r="D989" s="249"/>
      <c r="E989" s="224" t="s">
        <v>8451</v>
      </c>
      <c r="F989" s="250" t="s">
        <v>3</v>
      </c>
      <c r="G989" s="224" t="s">
        <v>460</v>
      </c>
      <c r="H989" s="224" t="s">
        <v>8452</v>
      </c>
      <c r="I989" s="224">
        <v>1</v>
      </c>
      <c r="J989" s="224" t="s">
        <v>488</v>
      </c>
      <c r="K989" s="224"/>
      <c r="L989" s="224">
        <v>1</v>
      </c>
      <c r="M989" s="224" t="s">
        <v>8453</v>
      </c>
      <c r="N989" s="224" t="s">
        <v>8454</v>
      </c>
      <c r="O989" s="224" t="s">
        <v>465</v>
      </c>
      <c r="P989" s="224" t="s">
        <v>8455</v>
      </c>
      <c r="Q989" s="224"/>
      <c r="R989" s="224" t="s">
        <v>24</v>
      </c>
      <c r="S989" s="254"/>
      <c r="T989" s="254"/>
      <c r="U989" s="252"/>
      <c r="V989" s="252"/>
      <c r="W989" s="252"/>
      <c r="X989" s="224"/>
      <c r="Y989" s="224"/>
      <c r="Z989" s="224"/>
      <c r="AA989" s="224"/>
      <c r="AB989" s="224"/>
    </row>
    <row r="990" spans="1:28" ht="15.75" hidden="1" customHeight="1">
      <c r="A990" s="267">
        <v>44784</v>
      </c>
      <c r="B990" s="268" t="s">
        <v>10501</v>
      </c>
      <c r="C990" s="269">
        <v>1</v>
      </c>
      <c r="D990" s="269"/>
      <c r="E990" s="268" t="s">
        <v>8735</v>
      </c>
      <c r="F990" s="270" t="s">
        <v>3</v>
      </c>
      <c r="G990" s="268" t="s">
        <v>460</v>
      </c>
      <c r="H990" s="290" t="s">
        <v>8736</v>
      </c>
      <c r="I990" s="268">
        <v>1</v>
      </c>
      <c r="J990" s="268" t="s">
        <v>488</v>
      </c>
      <c r="K990" s="268" t="s">
        <v>8737</v>
      </c>
      <c r="L990" s="268">
        <v>1</v>
      </c>
      <c r="M990" s="268"/>
      <c r="N990" s="268"/>
      <c r="O990" s="268" t="s">
        <v>452</v>
      </c>
      <c r="P990" s="268" t="s">
        <v>452</v>
      </c>
      <c r="Q990" s="268"/>
      <c r="R990" s="268" t="s">
        <v>24</v>
      </c>
      <c r="S990" s="271"/>
      <c r="T990" s="271"/>
      <c r="U990" s="268"/>
      <c r="V990" s="268"/>
      <c r="W990" s="268"/>
      <c r="X990" s="268"/>
      <c r="Y990" s="268"/>
      <c r="Z990" s="219"/>
      <c r="AA990" s="219"/>
      <c r="AB990" s="219"/>
    </row>
    <row r="991" spans="1:28" ht="15.75" hidden="1" customHeight="1">
      <c r="A991" s="267">
        <v>44784</v>
      </c>
      <c r="B991" s="272" t="s">
        <v>8919</v>
      </c>
      <c r="C991" s="269">
        <v>1</v>
      </c>
      <c r="D991" s="269"/>
      <c r="E991" s="272" t="s">
        <v>8922</v>
      </c>
      <c r="F991" s="270" t="s">
        <v>3</v>
      </c>
      <c r="G991" s="272" t="s">
        <v>488</v>
      </c>
      <c r="H991" s="272" t="s">
        <v>8923</v>
      </c>
      <c r="I991" s="272">
        <v>1</v>
      </c>
      <c r="J991" s="272" t="s">
        <v>941</v>
      </c>
      <c r="K991" s="272" t="s">
        <v>8924</v>
      </c>
      <c r="L991" s="272">
        <v>1</v>
      </c>
      <c r="M991" s="272"/>
      <c r="N991" s="272"/>
      <c r="O991" s="272" t="s">
        <v>454</v>
      </c>
      <c r="P991" s="272" t="s">
        <v>575</v>
      </c>
      <c r="Q991" s="272"/>
      <c r="R991" s="272" t="s">
        <v>24</v>
      </c>
      <c r="S991" s="274"/>
      <c r="T991" s="274"/>
      <c r="U991" s="272"/>
      <c r="V991" s="272"/>
      <c r="W991" s="272"/>
      <c r="X991" s="272"/>
      <c r="Y991" s="272"/>
      <c r="Z991" s="224"/>
      <c r="AA991" s="224"/>
      <c r="AB991" s="224"/>
    </row>
    <row r="992" spans="1:28" ht="15.75" hidden="1" customHeight="1">
      <c r="A992" s="267">
        <v>44784</v>
      </c>
      <c r="B992" s="268" t="s">
        <v>8090</v>
      </c>
      <c r="C992" s="269">
        <v>1</v>
      </c>
      <c r="D992" s="269"/>
      <c r="E992" s="268" t="s">
        <v>11606</v>
      </c>
      <c r="F992" s="270" t="s">
        <v>4</v>
      </c>
      <c r="G992" s="268" t="s">
        <v>602</v>
      </c>
      <c r="H992" s="268" t="s">
        <v>8094</v>
      </c>
      <c r="I992" s="268">
        <v>1</v>
      </c>
      <c r="J992" s="268" t="s">
        <v>1054</v>
      </c>
      <c r="K992" s="268" t="s">
        <v>8095</v>
      </c>
      <c r="L992" s="268">
        <v>1</v>
      </c>
      <c r="M992" s="268" t="s">
        <v>8096</v>
      </c>
      <c r="N992" s="268" t="s">
        <v>8097</v>
      </c>
      <c r="O992" s="268" t="s">
        <v>454</v>
      </c>
      <c r="P992" s="268" t="s">
        <v>452</v>
      </c>
      <c r="Q992" s="268"/>
      <c r="R992" s="268" t="s">
        <v>24</v>
      </c>
      <c r="S992" s="271"/>
      <c r="T992" s="271"/>
      <c r="U992" s="268"/>
      <c r="V992" s="268"/>
      <c r="W992" s="268"/>
      <c r="X992" s="268"/>
      <c r="Y992" s="268"/>
      <c r="Z992" s="219"/>
      <c r="AA992" s="219"/>
      <c r="AB992" s="219"/>
    </row>
    <row r="993" spans="1:28" ht="15.75" hidden="1" customHeight="1">
      <c r="A993" s="267">
        <v>44784</v>
      </c>
      <c r="B993" s="272" t="s">
        <v>8617</v>
      </c>
      <c r="C993" s="269">
        <v>1</v>
      </c>
      <c r="D993" s="269"/>
      <c r="E993" s="272" t="s">
        <v>8620</v>
      </c>
      <c r="F993" s="270" t="s">
        <v>3</v>
      </c>
      <c r="G993" s="272" t="s">
        <v>460</v>
      </c>
      <c r="H993" s="272" t="s">
        <v>8621</v>
      </c>
      <c r="I993" s="272">
        <v>1</v>
      </c>
      <c r="J993" s="272" t="s">
        <v>488</v>
      </c>
      <c r="K993" s="272"/>
      <c r="L993" s="272">
        <v>1</v>
      </c>
      <c r="M993" s="272" t="s">
        <v>451</v>
      </c>
      <c r="N993" s="273">
        <v>10000</v>
      </c>
      <c r="O993" s="272" t="s">
        <v>454</v>
      </c>
      <c r="P993" s="273" t="s">
        <v>1119</v>
      </c>
      <c r="Q993" s="272"/>
      <c r="R993" s="272" t="s">
        <v>24</v>
      </c>
      <c r="S993" s="274"/>
      <c r="T993" s="274"/>
      <c r="U993" s="272"/>
      <c r="V993" s="272"/>
      <c r="W993" s="272"/>
      <c r="X993" s="272"/>
      <c r="Y993" s="272"/>
      <c r="Z993" s="224"/>
      <c r="AA993" s="224"/>
      <c r="AB993" s="224"/>
    </row>
    <row r="994" spans="1:28" ht="15.75" hidden="1" customHeight="1">
      <c r="A994" s="267">
        <v>44784</v>
      </c>
      <c r="B994" s="268" t="s">
        <v>8183</v>
      </c>
      <c r="C994" s="269">
        <v>1</v>
      </c>
      <c r="D994" s="269"/>
      <c r="E994" s="268" t="s">
        <v>8186</v>
      </c>
      <c r="F994" s="270" t="s">
        <v>4</v>
      </c>
      <c r="G994" s="268" t="s">
        <v>602</v>
      </c>
      <c r="H994" s="268" t="s">
        <v>8187</v>
      </c>
      <c r="I994" s="268">
        <v>1</v>
      </c>
      <c r="J994" s="268" t="s">
        <v>476</v>
      </c>
      <c r="K994" s="268" t="s">
        <v>11465</v>
      </c>
      <c r="L994" s="268">
        <v>1</v>
      </c>
      <c r="M994" s="268" t="s">
        <v>451</v>
      </c>
      <c r="N994" s="268" t="s">
        <v>8189</v>
      </c>
      <c r="O994" s="268" t="s">
        <v>452</v>
      </c>
      <c r="P994" s="268" t="s">
        <v>8190</v>
      </c>
      <c r="Q994" s="268"/>
      <c r="R994" s="268" t="s">
        <v>24</v>
      </c>
      <c r="S994" s="271"/>
      <c r="T994" s="271"/>
      <c r="U994" s="268"/>
      <c r="V994" s="268"/>
      <c r="W994" s="268"/>
      <c r="X994" s="268"/>
      <c r="Y994" s="268"/>
      <c r="Z994" s="219"/>
      <c r="AA994" s="219"/>
      <c r="AB994" s="219"/>
    </row>
    <row r="995" spans="1:28" ht="15.75" hidden="1" customHeight="1">
      <c r="A995" s="267">
        <v>44784</v>
      </c>
      <c r="B995" s="272" t="s">
        <v>8254</v>
      </c>
      <c r="C995" s="269">
        <v>1</v>
      </c>
      <c r="D995" s="269"/>
      <c r="E995" s="272" t="s">
        <v>8257</v>
      </c>
      <c r="F995" s="270" t="s">
        <v>4</v>
      </c>
      <c r="G995" s="272" t="s">
        <v>602</v>
      </c>
      <c r="H995" s="272" t="s">
        <v>8258</v>
      </c>
      <c r="I995" s="272">
        <v>1</v>
      </c>
      <c r="J995" s="272" t="s">
        <v>1054</v>
      </c>
      <c r="K995" s="272" t="s">
        <v>8259</v>
      </c>
      <c r="L995" s="272">
        <v>1</v>
      </c>
      <c r="M995" s="272"/>
      <c r="N995" s="272"/>
      <c r="O995" s="272" t="s">
        <v>452</v>
      </c>
      <c r="P995" s="272" t="s">
        <v>8260</v>
      </c>
      <c r="Q995" s="272"/>
      <c r="R995" s="272" t="s">
        <v>24</v>
      </c>
      <c r="S995" s="274"/>
      <c r="T995" s="274"/>
      <c r="U995" s="272"/>
      <c r="V995" s="272"/>
      <c r="W995" s="272"/>
      <c r="X995" s="272"/>
      <c r="Y995" s="272"/>
      <c r="Z995" s="224"/>
      <c r="AA995" s="224"/>
      <c r="AB995" s="224"/>
    </row>
    <row r="996" spans="1:28" ht="15.75" hidden="1" customHeight="1">
      <c r="A996" s="248">
        <v>44789</v>
      </c>
      <c r="B996" s="219" t="s">
        <v>8903</v>
      </c>
      <c r="C996" s="249">
        <v>1</v>
      </c>
      <c r="D996" s="249"/>
      <c r="E996" s="219" t="s">
        <v>10612</v>
      </c>
      <c r="F996" s="250" t="s">
        <v>3</v>
      </c>
      <c r="G996" s="219" t="s">
        <v>460</v>
      </c>
      <c r="H996" s="219" t="s">
        <v>10613</v>
      </c>
      <c r="I996" s="219">
        <v>1</v>
      </c>
      <c r="J996" s="219" t="s">
        <v>941</v>
      </c>
      <c r="K996" s="219"/>
      <c r="L996" s="219">
        <v>1</v>
      </c>
      <c r="M996" s="219" t="s">
        <v>478</v>
      </c>
      <c r="N996" s="310">
        <v>2000000</v>
      </c>
      <c r="O996" s="219" t="s">
        <v>452</v>
      </c>
      <c r="P996" s="219" t="s">
        <v>8907</v>
      </c>
      <c r="Q996" s="219"/>
      <c r="R996" s="219" t="s">
        <v>24</v>
      </c>
      <c r="S996" s="251"/>
      <c r="T996" s="251"/>
      <c r="U996" s="252"/>
      <c r="V996" s="252"/>
      <c r="W996" s="252"/>
      <c r="X996" s="219"/>
      <c r="Y996" s="219"/>
      <c r="Z996" s="219"/>
      <c r="AA996" s="219"/>
      <c r="AB996" s="219"/>
    </row>
    <row r="997" spans="1:28" ht="15.75" hidden="1" customHeight="1">
      <c r="A997" s="253">
        <v>44789</v>
      </c>
      <c r="B997" s="224" t="s">
        <v>9219</v>
      </c>
      <c r="C997" s="249">
        <v>1</v>
      </c>
      <c r="D997" s="249"/>
      <c r="E997" s="224" t="s">
        <v>9222</v>
      </c>
      <c r="F997" s="250" t="s">
        <v>3</v>
      </c>
      <c r="G997" s="224" t="s">
        <v>488</v>
      </c>
      <c r="H997" s="224"/>
      <c r="I997" s="224">
        <v>1</v>
      </c>
      <c r="J997" s="224" t="s">
        <v>462</v>
      </c>
      <c r="K997" s="224" t="s">
        <v>9223</v>
      </c>
      <c r="L997" s="224">
        <v>1</v>
      </c>
      <c r="M997" s="224"/>
      <c r="N997" s="311"/>
      <c r="O997" s="224" t="s">
        <v>454</v>
      </c>
      <c r="P997" s="224" t="s">
        <v>575</v>
      </c>
      <c r="Q997" s="224"/>
      <c r="R997" s="224" t="s">
        <v>24</v>
      </c>
      <c r="S997" s="254"/>
      <c r="T997" s="254"/>
      <c r="U997" s="252"/>
      <c r="V997" s="252"/>
      <c r="W997" s="252"/>
      <c r="X997" s="224"/>
      <c r="Y997" s="224"/>
      <c r="Z997" s="224"/>
      <c r="AA997" s="224"/>
      <c r="AB997" s="224"/>
    </row>
    <row r="998" spans="1:28" ht="15.75" hidden="1" customHeight="1">
      <c r="A998" s="248">
        <v>44791</v>
      </c>
      <c r="B998" s="219" t="s">
        <v>8227</v>
      </c>
      <c r="C998" s="315">
        <v>1</v>
      </c>
      <c r="D998" s="315"/>
      <c r="E998" s="219" t="s">
        <v>8230</v>
      </c>
      <c r="F998" s="219" t="s">
        <v>4</v>
      </c>
      <c r="G998" s="219" t="s">
        <v>725</v>
      </c>
      <c r="H998" s="219" t="s">
        <v>10356</v>
      </c>
      <c r="I998" s="219">
        <v>1</v>
      </c>
      <c r="J998" s="219" t="s">
        <v>1045</v>
      </c>
      <c r="K998" s="219" t="s">
        <v>8232</v>
      </c>
      <c r="L998" s="219">
        <v>1</v>
      </c>
      <c r="M998" s="219" t="s">
        <v>784</v>
      </c>
      <c r="N998" s="312">
        <v>200000</v>
      </c>
      <c r="O998" s="219" t="s">
        <v>465</v>
      </c>
      <c r="P998" s="219" t="s">
        <v>8233</v>
      </c>
      <c r="Q998" s="219"/>
      <c r="R998" s="322" t="s">
        <v>24</v>
      </c>
      <c r="S998" s="251"/>
      <c r="T998" s="251"/>
      <c r="U998" s="219"/>
      <c r="V998" s="219"/>
      <c r="W998" s="219"/>
      <c r="X998" s="219"/>
      <c r="Y998" s="219"/>
      <c r="Z998" s="219"/>
      <c r="AA998" s="219"/>
      <c r="AB998" s="219"/>
    </row>
    <row r="999" spans="1:28" ht="15.75" hidden="1" customHeight="1">
      <c r="A999" s="253">
        <v>44791</v>
      </c>
      <c r="B999" s="224" t="s">
        <v>8236</v>
      </c>
      <c r="C999" s="316">
        <v>1</v>
      </c>
      <c r="D999" s="316"/>
      <c r="E999" s="224" t="s">
        <v>8239</v>
      </c>
      <c r="F999" s="224" t="s">
        <v>4</v>
      </c>
      <c r="G999" s="224" t="s">
        <v>727</v>
      </c>
      <c r="H999" s="224"/>
      <c r="I999" s="224">
        <v>1</v>
      </c>
      <c r="J999" s="224" t="s">
        <v>1298</v>
      </c>
      <c r="K999" s="224" t="s">
        <v>8240</v>
      </c>
      <c r="L999" s="224">
        <v>1</v>
      </c>
      <c r="M999" s="224"/>
      <c r="N999" s="224"/>
      <c r="O999" s="224" t="s">
        <v>465</v>
      </c>
      <c r="P999" s="224" t="s">
        <v>8241</v>
      </c>
      <c r="Q999" s="224" t="s">
        <v>8242</v>
      </c>
      <c r="R999" s="322" t="s">
        <v>24</v>
      </c>
      <c r="S999" s="254"/>
      <c r="T999" s="254"/>
      <c r="U999" s="224"/>
      <c r="V999" s="224"/>
      <c r="W999" s="224"/>
      <c r="X999" s="224"/>
      <c r="Y999" s="224"/>
      <c r="Z999" s="224"/>
      <c r="AA999" s="224"/>
      <c r="AB999" s="224"/>
    </row>
    <row r="1000" spans="1:28" ht="15.75" hidden="1" customHeight="1">
      <c r="A1000" s="248">
        <v>44791</v>
      </c>
      <c r="B1000" s="219" t="s">
        <v>10741</v>
      </c>
      <c r="C1000" s="315">
        <v>1</v>
      </c>
      <c r="D1000" s="315"/>
      <c r="E1000" s="219" t="s">
        <v>8196</v>
      </c>
      <c r="F1000" s="219" t="s">
        <v>4</v>
      </c>
      <c r="G1000" s="219" t="s">
        <v>725</v>
      </c>
      <c r="H1000" s="219"/>
      <c r="I1000" s="219">
        <v>1</v>
      </c>
      <c r="J1000" s="219" t="s">
        <v>476</v>
      </c>
      <c r="K1000" s="219" t="s">
        <v>8061</v>
      </c>
      <c r="L1000" s="219">
        <v>1</v>
      </c>
      <c r="M1000" s="219" t="s">
        <v>784</v>
      </c>
      <c r="N1000" s="312">
        <v>400000</v>
      </c>
      <c r="O1000" s="219" t="s">
        <v>452</v>
      </c>
      <c r="P1000" s="219" t="s">
        <v>575</v>
      </c>
      <c r="Q1000" s="219" t="s">
        <v>8197</v>
      </c>
      <c r="R1000" s="322" t="s">
        <v>24</v>
      </c>
      <c r="S1000" s="251"/>
      <c r="T1000" s="251"/>
      <c r="U1000" s="219"/>
      <c r="V1000" s="219"/>
      <c r="W1000" s="219"/>
      <c r="X1000" s="219"/>
      <c r="Y1000" s="219"/>
      <c r="Z1000" s="219"/>
      <c r="AA1000" s="219"/>
      <c r="AB1000" s="219"/>
    </row>
    <row r="1001" spans="1:28" ht="15.75" hidden="1" customHeight="1">
      <c r="A1001" s="253">
        <v>44791</v>
      </c>
      <c r="B1001" s="224" t="s">
        <v>8133</v>
      </c>
      <c r="C1001" s="316">
        <v>1</v>
      </c>
      <c r="D1001" s="316"/>
      <c r="E1001" s="224" t="s">
        <v>10883</v>
      </c>
      <c r="F1001" s="224" t="s">
        <v>4</v>
      </c>
      <c r="G1001" s="224" t="s">
        <v>602</v>
      </c>
      <c r="H1001" s="224" t="s">
        <v>8137</v>
      </c>
      <c r="I1001" s="224">
        <v>1</v>
      </c>
      <c r="J1001" s="224" t="s">
        <v>1045</v>
      </c>
      <c r="K1001" s="224" t="s">
        <v>8138</v>
      </c>
      <c r="L1001" s="224">
        <v>1</v>
      </c>
      <c r="M1001" s="224"/>
      <c r="N1001" s="224"/>
      <c r="O1001" s="224" t="s">
        <v>452</v>
      </c>
      <c r="P1001" s="224" t="s">
        <v>452</v>
      </c>
      <c r="Q1001" s="224" t="s">
        <v>8139</v>
      </c>
      <c r="R1001" s="322" t="s">
        <v>24</v>
      </c>
      <c r="S1001" s="254"/>
      <c r="T1001" s="254"/>
      <c r="U1001" s="224"/>
      <c r="V1001" s="224"/>
      <c r="W1001" s="224"/>
      <c r="X1001" s="224"/>
      <c r="Y1001" s="224"/>
      <c r="Z1001" s="224"/>
      <c r="AA1001" s="224"/>
      <c r="AB1001" s="224"/>
    </row>
    <row r="1002" spans="1:28" ht="15.75" hidden="1" customHeight="1">
      <c r="A1002" s="248">
        <v>44791</v>
      </c>
      <c r="B1002" s="219" t="s">
        <v>8100</v>
      </c>
      <c r="C1002" s="315">
        <v>1</v>
      </c>
      <c r="D1002" s="315"/>
      <c r="E1002" s="219" t="s">
        <v>8103</v>
      </c>
      <c r="F1002" s="219" t="s">
        <v>4</v>
      </c>
      <c r="G1002" s="219" t="s">
        <v>602</v>
      </c>
      <c r="H1002" s="219" t="s">
        <v>7807</v>
      </c>
      <c r="I1002" s="219">
        <v>1</v>
      </c>
      <c r="J1002" s="219" t="s">
        <v>1045</v>
      </c>
      <c r="K1002" s="219" t="s">
        <v>8104</v>
      </c>
      <c r="L1002" s="219">
        <v>1</v>
      </c>
      <c r="M1002" s="219"/>
      <c r="N1002" s="219"/>
      <c r="O1002" s="219" t="s">
        <v>465</v>
      </c>
      <c r="P1002" s="219" t="s">
        <v>575</v>
      </c>
      <c r="Q1002" s="219"/>
      <c r="R1002" s="322" t="s">
        <v>24</v>
      </c>
      <c r="S1002" s="251"/>
      <c r="T1002" s="251"/>
      <c r="U1002" s="219"/>
      <c r="V1002" s="219"/>
      <c r="W1002" s="219"/>
      <c r="X1002" s="219"/>
      <c r="Y1002" s="219"/>
      <c r="Z1002" s="219"/>
      <c r="AA1002" s="219"/>
      <c r="AB1002" s="219"/>
    </row>
    <row r="1003" spans="1:28" ht="15.75" hidden="1" customHeight="1">
      <c r="A1003" s="253">
        <v>44791</v>
      </c>
      <c r="B1003" s="224" t="s">
        <v>8981</v>
      </c>
      <c r="C1003" s="316">
        <v>1</v>
      </c>
      <c r="D1003" s="316"/>
      <c r="E1003" s="224" t="s">
        <v>8984</v>
      </c>
      <c r="F1003" s="224" t="s">
        <v>3</v>
      </c>
      <c r="G1003" s="224" t="s">
        <v>488</v>
      </c>
      <c r="H1003" s="224"/>
      <c r="I1003" s="224">
        <v>1</v>
      </c>
      <c r="J1003" s="224" t="s">
        <v>941</v>
      </c>
      <c r="K1003" s="224" t="s">
        <v>8985</v>
      </c>
      <c r="L1003" s="224">
        <v>1</v>
      </c>
      <c r="M1003" s="224" t="s">
        <v>451</v>
      </c>
      <c r="N1003" s="307">
        <v>500</v>
      </c>
      <c r="O1003" s="224" t="s">
        <v>452</v>
      </c>
      <c r="P1003" s="224" t="s">
        <v>3420</v>
      </c>
      <c r="Q1003" s="224"/>
      <c r="R1003" s="322" t="s">
        <v>24</v>
      </c>
      <c r="S1003" s="254"/>
      <c r="T1003" s="254"/>
      <c r="U1003" s="224"/>
      <c r="V1003" s="224"/>
      <c r="W1003" s="224"/>
      <c r="X1003" s="224"/>
      <c r="Y1003" s="224"/>
      <c r="Z1003" s="224"/>
      <c r="AA1003" s="224"/>
      <c r="AB1003" s="224"/>
    </row>
    <row r="1004" spans="1:28" ht="15.75" hidden="1" customHeight="1">
      <c r="A1004" s="248">
        <v>44791</v>
      </c>
      <c r="B1004" s="219" t="s">
        <v>9201</v>
      </c>
      <c r="C1004" s="315">
        <v>1</v>
      </c>
      <c r="D1004" s="315"/>
      <c r="E1004" s="219" t="s">
        <v>9204</v>
      </c>
      <c r="F1004" s="219" t="s">
        <v>3</v>
      </c>
      <c r="G1004" s="219" t="s">
        <v>460</v>
      </c>
      <c r="H1004" s="219" t="s">
        <v>9205</v>
      </c>
      <c r="I1004" s="219">
        <v>1</v>
      </c>
      <c r="J1004" s="219" t="s">
        <v>462</v>
      </c>
      <c r="K1004" s="219" t="s">
        <v>9206</v>
      </c>
      <c r="L1004" s="219">
        <v>1</v>
      </c>
      <c r="M1004" s="219"/>
      <c r="N1004" s="219"/>
      <c r="O1004" s="219" t="s">
        <v>452</v>
      </c>
      <c r="P1004" s="219" t="s">
        <v>9207</v>
      </c>
      <c r="Q1004" s="219"/>
      <c r="R1004" s="322" t="s">
        <v>24</v>
      </c>
      <c r="S1004" s="251"/>
      <c r="T1004" s="251"/>
      <c r="U1004" s="219"/>
      <c r="V1004" s="219"/>
      <c r="W1004" s="219"/>
      <c r="X1004" s="219"/>
      <c r="Y1004" s="219"/>
      <c r="Z1004" s="219"/>
      <c r="AA1004" s="219"/>
      <c r="AB1004" s="219"/>
    </row>
    <row r="1005" spans="1:28" ht="15.75" hidden="1" customHeight="1">
      <c r="A1005" s="253">
        <v>44796</v>
      </c>
      <c r="B1005" s="224" t="s">
        <v>8116</v>
      </c>
      <c r="C1005" s="316">
        <v>1</v>
      </c>
      <c r="D1005" s="316"/>
      <c r="E1005" s="224" t="s">
        <v>8119</v>
      </c>
      <c r="F1005" s="224" t="s">
        <v>4</v>
      </c>
      <c r="G1005" s="224" t="s">
        <v>725</v>
      </c>
      <c r="H1005" s="224" t="s">
        <v>10264</v>
      </c>
      <c r="I1005" s="224">
        <v>1</v>
      </c>
      <c r="J1005" s="224" t="s">
        <v>1036</v>
      </c>
      <c r="K1005" s="224" t="s">
        <v>8121</v>
      </c>
      <c r="L1005" s="224">
        <v>1</v>
      </c>
      <c r="M1005" s="224"/>
      <c r="N1005" s="224"/>
      <c r="O1005" s="224" t="s">
        <v>454</v>
      </c>
      <c r="P1005" s="224" t="s">
        <v>1119</v>
      </c>
      <c r="Q1005" s="224"/>
      <c r="R1005" s="224" t="s">
        <v>24</v>
      </c>
      <c r="S1005" s="254"/>
      <c r="T1005" s="254"/>
      <c r="U1005" s="224"/>
      <c r="V1005" s="224"/>
      <c r="W1005" s="224"/>
      <c r="X1005" s="224"/>
      <c r="Y1005" s="224"/>
      <c r="Z1005" s="224"/>
      <c r="AA1005" s="224"/>
      <c r="AB1005" s="224"/>
    </row>
    <row r="1006" spans="1:28" ht="15.75" hidden="1" customHeight="1">
      <c r="A1006" s="248">
        <v>44796</v>
      </c>
      <c r="B1006" s="219" t="s">
        <v>8263</v>
      </c>
      <c r="C1006" s="315">
        <v>1</v>
      </c>
      <c r="D1006" s="315"/>
      <c r="E1006" s="219" t="s">
        <v>10304</v>
      </c>
      <c r="F1006" s="219" t="s">
        <v>4</v>
      </c>
      <c r="G1006" s="219" t="s">
        <v>727</v>
      </c>
      <c r="H1006" s="219" t="s">
        <v>10305</v>
      </c>
      <c r="I1006" s="219">
        <v>1</v>
      </c>
      <c r="J1006" s="219" t="s">
        <v>1371</v>
      </c>
      <c r="K1006" s="219" t="s">
        <v>8268</v>
      </c>
      <c r="L1006" s="219">
        <v>1</v>
      </c>
      <c r="M1006" s="219" t="s">
        <v>784</v>
      </c>
      <c r="N1006" s="219">
        <v>500000</v>
      </c>
      <c r="O1006" s="219" t="s">
        <v>452</v>
      </c>
      <c r="P1006" s="219" t="s">
        <v>10306</v>
      </c>
      <c r="Q1006" s="219"/>
      <c r="R1006" s="219" t="s">
        <v>24</v>
      </c>
      <c r="S1006" s="251"/>
      <c r="T1006" s="251"/>
      <c r="U1006" s="219"/>
      <c r="V1006" s="219"/>
      <c r="W1006" s="219"/>
      <c r="X1006" s="219"/>
      <c r="Y1006" s="219"/>
      <c r="Z1006" s="219"/>
      <c r="AA1006" s="219"/>
      <c r="AB1006" s="219"/>
    </row>
    <row r="1007" spans="1:28" ht="15.75" hidden="1" customHeight="1">
      <c r="A1007" s="253">
        <v>44796</v>
      </c>
      <c r="B1007" s="224" t="s">
        <v>10349</v>
      </c>
      <c r="C1007" s="316">
        <v>1</v>
      </c>
      <c r="D1007" s="316"/>
      <c r="E1007" s="224" t="s">
        <v>8461</v>
      </c>
      <c r="F1007" s="224" t="s">
        <v>3</v>
      </c>
      <c r="G1007" s="224" t="s">
        <v>460</v>
      </c>
      <c r="H1007" s="224" t="s">
        <v>8462</v>
      </c>
      <c r="I1007" s="224">
        <v>1</v>
      </c>
      <c r="J1007" s="224" t="s">
        <v>462</v>
      </c>
      <c r="K1007" s="224" t="s">
        <v>8463</v>
      </c>
      <c r="L1007" s="224">
        <v>1</v>
      </c>
      <c r="M1007" s="224"/>
      <c r="N1007" s="224"/>
      <c r="O1007" s="224" t="s">
        <v>452</v>
      </c>
      <c r="P1007" s="224" t="s">
        <v>452</v>
      </c>
      <c r="Q1007" s="224"/>
      <c r="R1007" s="224" t="s">
        <v>24</v>
      </c>
      <c r="S1007" s="254"/>
      <c r="T1007" s="254"/>
      <c r="U1007" s="224"/>
      <c r="V1007" s="224"/>
      <c r="W1007" s="224"/>
      <c r="X1007" s="224"/>
      <c r="Y1007" s="224"/>
      <c r="Z1007" s="224"/>
      <c r="AA1007" s="224"/>
      <c r="AB1007" s="224"/>
    </row>
    <row r="1008" spans="1:28" ht="15.75" hidden="1" customHeight="1">
      <c r="A1008" s="248">
        <v>44796</v>
      </c>
      <c r="B1008" s="219" t="s">
        <v>8158</v>
      </c>
      <c r="C1008" s="315">
        <v>1</v>
      </c>
      <c r="D1008" s="315"/>
      <c r="E1008" s="219" t="s">
        <v>8161</v>
      </c>
      <c r="F1008" s="219" t="s">
        <v>4</v>
      </c>
      <c r="G1008" s="219" t="s">
        <v>727</v>
      </c>
      <c r="H1008" s="219" t="s">
        <v>10398</v>
      </c>
      <c r="I1008" s="219">
        <v>1</v>
      </c>
      <c r="J1008" s="219" t="s">
        <v>1187</v>
      </c>
      <c r="K1008" s="219" t="s">
        <v>8163</v>
      </c>
      <c r="L1008" s="219">
        <v>1</v>
      </c>
      <c r="M1008" s="219"/>
      <c r="N1008" s="219"/>
      <c r="O1008" s="219" t="s">
        <v>452</v>
      </c>
      <c r="P1008" s="219" t="s">
        <v>8164</v>
      </c>
      <c r="Q1008" s="219"/>
      <c r="R1008" s="219" t="s">
        <v>24</v>
      </c>
      <c r="S1008" s="251"/>
      <c r="T1008" s="251"/>
      <c r="U1008" s="219"/>
      <c r="V1008" s="219"/>
      <c r="W1008" s="219"/>
      <c r="X1008" s="219"/>
      <c r="Y1008" s="219"/>
      <c r="Z1008" s="219"/>
      <c r="AA1008" s="219"/>
      <c r="AB1008" s="219"/>
    </row>
    <row r="1009" spans="1:28" ht="15.75" hidden="1" customHeight="1">
      <c r="A1009" s="253">
        <v>44796</v>
      </c>
      <c r="B1009" s="224" t="s">
        <v>8210</v>
      </c>
      <c r="C1009" s="316">
        <v>1</v>
      </c>
      <c r="D1009" s="316"/>
      <c r="E1009" s="224" t="s">
        <v>8213</v>
      </c>
      <c r="F1009" s="224" t="s">
        <v>4</v>
      </c>
      <c r="G1009" s="224" t="s">
        <v>1045</v>
      </c>
      <c r="H1009" s="224" t="s">
        <v>8214</v>
      </c>
      <c r="I1009" s="224">
        <v>1</v>
      </c>
      <c r="J1009" s="224" t="s">
        <v>1298</v>
      </c>
      <c r="K1009" s="224" t="s">
        <v>8215</v>
      </c>
      <c r="L1009" s="224">
        <v>1</v>
      </c>
      <c r="M1009" s="224" t="s">
        <v>784</v>
      </c>
      <c r="N1009" s="311">
        <v>2500000</v>
      </c>
      <c r="O1009" s="224" t="s">
        <v>452</v>
      </c>
      <c r="P1009" s="224" t="s">
        <v>8216</v>
      </c>
      <c r="Q1009" s="224" t="s">
        <v>725</v>
      </c>
      <c r="R1009" s="224" t="s">
        <v>24</v>
      </c>
      <c r="S1009" s="254"/>
      <c r="T1009" s="254"/>
      <c r="U1009" s="224"/>
      <c r="V1009" s="224"/>
      <c r="W1009" s="224"/>
      <c r="X1009" s="224"/>
      <c r="Y1009" s="224"/>
      <c r="Z1009" s="224"/>
      <c r="AA1009" s="224"/>
      <c r="AB1009" s="224"/>
    </row>
    <row r="1010" spans="1:28" ht="15.75" hidden="1" customHeight="1">
      <c r="A1010" s="248">
        <v>44796</v>
      </c>
      <c r="B1010" s="219" t="s">
        <v>8218</v>
      </c>
      <c r="C1010" s="315">
        <v>1</v>
      </c>
      <c r="D1010" s="315"/>
      <c r="E1010" s="219" t="s">
        <v>8221</v>
      </c>
      <c r="F1010" s="219" t="s">
        <v>4</v>
      </c>
      <c r="G1010" s="219" t="s">
        <v>727</v>
      </c>
      <c r="H1010" s="219" t="s">
        <v>10514</v>
      </c>
      <c r="I1010" s="219">
        <v>1</v>
      </c>
      <c r="J1010" s="219" t="s">
        <v>1298</v>
      </c>
      <c r="K1010" s="219" t="s">
        <v>8223</v>
      </c>
      <c r="L1010" s="219">
        <v>1</v>
      </c>
      <c r="M1010" s="219"/>
      <c r="N1010" s="219"/>
      <c r="O1010" s="219" t="s">
        <v>454</v>
      </c>
      <c r="P1010" s="219" t="s">
        <v>8224</v>
      </c>
      <c r="Q1010" s="219"/>
      <c r="R1010" s="219" t="s">
        <v>24</v>
      </c>
      <c r="S1010" s="251"/>
      <c r="T1010" s="251"/>
      <c r="U1010" s="219"/>
      <c r="V1010" s="219"/>
      <c r="W1010" s="219"/>
      <c r="X1010" s="219"/>
      <c r="Y1010" s="219"/>
      <c r="Z1010" s="219"/>
      <c r="AA1010" s="219"/>
      <c r="AB1010" s="219"/>
    </row>
    <row r="1011" spans="1:28" ht="15.75" hidden="1" customHeight="1">
      <c r="A1011" s="253">
        <v>44796</v>
      </c>
      <c r="B1011" s="224" t="s">
        <v>10622</v>
      </c>
      <c r="C1011" s="316">
        <v>1</v>
      </c>
      <c r="D1011" s="316"/>
      <c r="E1011" s="224" t="s">
        <v>8178</v>
      </c>
      <c r="F1011" s="224" t="s">
        <v>4</v>
      </c>
      <c r="G1011" s="224" t="s">
        <v>725</v>
      </c>
      <c r="H1011" s="224" t="s">
        <v>10623</v>
      </c>
      <c r="I1011" s="224">
        <v>1</v>
      </c>
      <c r="J1011" s="224" t="s">
        <v>1237</v>
      </c>
      <c r="K1011" s="224"/>
      <c r="L1011" s="224">
        <v>1</v>
      </c>
      <c r="M1011" s="224"/>
      <c r="N1011" s="224"/>
      <c r="O1011" s="224" t="s">
        <v>452</v>
      </c>
      <c r="P1011" s="224" t="s">
        <v>8180</v>
      </c>
      <c r="Q1011" s="224"/>
      <c r="R1011" s="224" t="s">
        <v>24</v>
      </c>
      <c r="S1011" s="254"/>
      <c r="T1011" s="254"/>
      <c r="U1011" s="224"/>
      <c r="V1011" s="224"/>
      <c r="W1011" s="224"/>
      <c r="X1011" s="224"/>
      <c r="Y1011" s="224"/>
      <c r="Z1011" s="224"/>
      <c r="AA1011" s="224"/>
      <c r="AB1011" s="224"/>
    </row>
    <row r="1012" spans="1:28" ht="15.75" hidden="1" customHeight="1">
      <c r="A1012" s="248">
        <v>44796</v>
      </c>
      <c r="B1012" s="219" t="s">
        <v>8570</v>
      </c>
      <c r="C1012" s="315">
        <v>1</v>
      </c>
      <c r="D1012" s="315"/>
      <c r="E1012" s="219" t="s">
        <v>8573</v>
      </c>
      <c r="F1012" s="219" t="s">
        <v>3</v>
      </c>
      <c r="G1012" s="219" t="s">
        <v>460</v>
      </c>
      <c r="H1012" s="219" t="s">
        <v>8574</v>
      </c>
      <c r="I1012" s="219">
        <v>1</v>
      </c>
      <c r="J1012" s="219" t="s">
        <v>462</v>
      </c>
      <c r="K1012" s="219" t="s">
        <v>8575</v>
      </c>
      <c r="L1012" s="219">
        <v>1</v>
      </c>
      <c r="M1012" s="219"/>
      <c r="N1012" s="219"/>
      <c r="O1012" s="219" t="s">
        <v>452</v>
      </c>
      <c r="P1012" s="219" t="s">
        <v>8576</v>
      </c>
      <c r="Q1012" s="219" t="s">
        <v>8577</v>
      </c>
      <c r="R1012" s="219" t="s">
        <v>24</v>
      </c>
      <c r="S1012" s="251"/>
      <c r="T1012" s="251"/>
      <c r="U1012" s="219"/>
      <c r="V1012" s="219"/>
      <c r="W1012" s="219"/>
      <c r="X1012" s="219"/>
      <c r="Y1012" s="219"/>
      <c r="Z1012" s="219"/>
      <c r="AA1012" s="219"/>
      <c r="AB1012" s="219"/>
    </row>
    <row r="1013" spans="1:28" ht="15.75" hidden="1" customHeight="1">
      <c r="A1013" s="253">
        <v>44796</v>
      </c>
      <c r="B1013" s="224" t="s">
        <v>8958</v>
      </c>
      <c r="C1013" s="316">
        <v>1</v>
      </c>
      <c r="D1013" s="316"/>
      <c r="E1013" s="224" t="s">
        <v>10754</v>
      </c>
      <c r="F1013" s="224" t="s">
        <v>3</v>
      </c>
      <c r="G1013" s="224" t="s">
        <v>460</v>
      </c>
      <c r="H1013" s="224" t="s">
        <v>8962</v>
      </c>
      <c r="I1013" s="224">
        <v>1</v>
      </c>
      <c r="J1013" s="224" t="s">
        <v>462</v>
      </c>
      <c r="K1013" s="224" t="s">
        <v>8963</v>
      </c>
      <c r="L1013" s="224">
        <v>1</v>
      </c>
      <c r="M1013" s="224"/>
      <c r="N1013" s="224"/>
      <c r="O1013" s="224" t="s">
        <v>454</v>
      </c>
      <c r="P1013" s="224" t="s">
        <v>8964</v>
      </c>
      <c r="Q1013" s="224"/>
      <c r="R1013" s="224" t="s">
        <v>24</v>
      </c>
      <c r="S1013" s="254"/>
      <c r="T1013" s="254"/>
      <c r="U1013" s="224"/>
      <c r="V1013" s="224"/>
      <c r="W1013" s="224"/>
      <c r="X1013" s="224"/>
      <c r="Y1013" s="224"/>
      <c r="Z1013" s="224"/>
      <c r="AA1013" s="224"/>
      <c r="AB1013" s="224"/>
    </row>
    <row r="1014" spans="1:28" ht="15.75" hidden="1" customHeight="1">
      <c r="A1014" s="248">
        <v>44796</v>
      </c>
      <c r="B1014" s="219" t="s">
        <v>8296</v>
      </c>
      <c r="C1014" s="315">
        <v>1</v>
      </c>
      <c r="D1014" s="315"/>
      <c r="E1014" s="219" t="s">
        <v>8299</v>
      </c>
      <c r="F1014" s="219" t="s">
        <v>4</v>
      </c>
      <c r="G1014" s="219" t="s">
        <v>725</v>
      </c>
      <c r="H1014" s="219" t="s">
        <v>8300</v>
      </c>
      <c r="I1014" s="219">
        <v>1</v>
      </c>
      <c r="J1014" s="219" t="s">
        <v>1045</v>
      </c>
      <c r="K1014" s="219" t="s">
        <v>8301</v>
      </c>
      <c r="L1014" s="219">
        <v>1</v>
      </c>
      <c r="M1014" s="219"/>
      <c r="N1014" s="219"/>
      <c r="O1014" s="219" t="s">
        <v>465</v>
      </c>
      <c r="P1014" s="219" t="s">
        <v>10767</v>
      </c>
      <c r="Q1014" s="219"/>
      <c r="R1014" s="219" t="s">
        <v>24</v>
      </c>
      <c r="S1014" s="251"/>
      <c r="T1014" s="251"/>
      <c r="U1014" s="219"/>
      <c r="V1014" s="219"/>
      <c r="W1014" s="219"/>
      <c r="X1014" s="219"/>
      <c r="Y1014" s="219"/>
      <c r="Z1014" s="219"/>
      <c r="AA1014" s="219"/>
      <c r="AB1014" s="219"/>
    </row>
    <row r="1015" spans="1:28" ht="15.75" hidden="1" customHeight="1">
      <c r="A1015" s="253">
        <v>44796</v>
      </c>
      <c r="B1015" s="224" t="s">
        <v>8639</v>
      </c>
      <c r="C1015" s="316">
        <v>1</v>
      </c>
      <c r="D1015" s="316"/>
      <c r="E1015" s="224" t="s">
        <v>8642</v>
      </c>
      <c r="F1015" s="224" t="s">
        <v>3</v>
      </c>
      <c r="G1015" s="224" t="s">
        <v>488</v>
      </c>
      <c r="H1015" s="224"/>
      <c r="I1015" s="224">
        <v>1</v>
      </c>
      <c r="J1015" s="224" t="s">
        <v>462</v>
      </c>
      <c r="K1015" s="224" t="s">
        <v>8643</v>
      </c>
      <c r="L1015" s="224">
        <v>1</v>
      </c>
      <c r="M1015" s="224"/>
      <c r="N1015" s="224"/>
      <c r="O1015" s="224" t="s">
        <v>454</v>
      </c>
      <c r="P1015" s="224" t="s">
        <v>575</v>
      </c>
      <c r="Q1015" s="224"/>
      <c r="R1015" s="224" t="s">
        <v>24</v>
      </c>
      <c r="S1015" s="254"/>
      <c r="T1015" s="254"/>
      <c r="U1015" s="224"/>
      <c r="V1015" s="224"/>
      <c r="W1015" s="224"/>
      <c r="X1015" s="224"/>
      <c r="Y1015" s="224"/>
      <c r="Z1015" s="224"/>
      <c r="AA1015" s="224"/>
      <c r="AB1015" s="224"/>
    </row>
    <row r="1016" spans="1:28" ht="15.75" hidden="1" customHeight="1">
      <c r="A1016" s="248">
        <v>44796</v>
      </c>
      <c r="B1016" s="219" t="s">
        <v>8280</v>
      </c>
      <c r="C1016" s="315">
        <v>1</v>
      </c>
      <c r="D1016" s="315"/>
      <c r="E1016" s="219" t="s">
        <v>8283</v>
      </c>
      <c r="F1016" s="219" t="s">
        <v>4</v>
      </c>
      <c r="G1016" s="219" t="s">
        <v>725</v>
      </c>
      <c r="H1016" s="219" t="s">
        <v>7191</v>
      </c>
      <c r="I1016" s="219">
        <v>1</v>
      </c>
      <c r="J1016" s="219" t="s">
        <v>1371</v>
      </c>
      <c r="K1016" s="219" t="s">
        <v>8284</v>
      </c>
      <c r="L1016" s="219">
        <v>1</v>
      </c>
      <c r="M1016" s="219"/>
      <c r="N1016" s="219"/>
      <c r="O1016" s="219" t="s">
        <v>452</v>
      </c>
      <c r="P1016" s="219" t="s">
        <v>8285</v>
      </c>
      <c r="Q1016" s="219"/>
      <c r="R1016" s="219" t="s">
        <v>24</v>
      </c>
      <c r="S1016" s="251"/>
      <c r="T1016" s="251"/>
      <c r="U1016" s="219"/>
      <c r="V1016" s="219"/>
      <c r="W1016" s="219"/>
      <c r="X1016" s="219"/>
      <c r="Y1016" s="219"/>
      <c r="Z1016" s="219"/>
      <c r="AA1016" s="219"/>
      <c r="AB1016" s="219"/>
    </row>
    <row r="1017" spans="1:28" ht="15.75" hidden="1" customHeight="1">
      <c r="A1017" s="253">
        <v>44796</v>
      </c>
      <c r="B1017" s="224" t="s">
        <v>8107</v>
      </c>
      <c r="C1017" s="316">
        <v>1</v>
      </c>
      <c r="D1017" s="316"/>
      <c r="E1017" s="224" t="s">
        <v>8110</v>
      </c>
      <c r="F1017" s="224" t="s">
        <v>4</v>
      </c>
      <c r="G1017" s="224" t="s">
        <v>725</v>
      </c>
      <c r="H1017" s="224" t="s">
        <v>8111</v>
      </c>
      <c r="I1017" s="224">
        <v>1</v>
      </c>
      <c r="J1017" s="224" t="s">
        <v>476</v>
      </c>
      <c r="K1017" s="224" t="s">
        <v>8112</v>
      </c>
      <c r="L1017" s="224">
        <v>1</v>
      </c>
      <c r="M1017" s="224"/>
      <c r="N1017" s="224"/>
      <c r="O1017" s="224" t="s">
        <v>452</v>
      </c>
      <c r="P1017" s="224" t="s">
        <v>11233</v>
      </c>
      <c r="Q1017" s="224"/>
      <c r="R1017" s="224" t="s">
        <v>24</v>
      </c>
      <c r="S1017" s="254"/>
      <c r="T1017" s="254"/>
      <c r="U1017" s="224"/>
      <c r="V1017" s="224"/>
      <c r="W1017" s="224"/>
      <c r="X1017" s="224"/>
      <c r="Y1017" s="224"/>
      <c r="Z1017" s="224"/>
      <c r="AA1017" s="224"/>
      <c r="AB1017" s="224"/>
    </row>
    <row r="1018" spans="1:28" ht="15.75" hidden="1" customHeight="1">
      <c r="A1018" s="248">
        <v>44796</v>
      </c>
      <c r="B1018" s="219" t="s">
        <v>8142</v>
      </c>
      <c r="C1018" s="315">
        <v>1</v>
      </c>
      <c r="D1018" s="315"/>
      <c r="E1018" s="219"/>
      <c r="F1018" s="219" t="s">
        <v>4</v>
      </c>
      <c r="G1018" s="219" t="s">
        <v>725</v>
      </c>
      <c r="H1018" s="219" t="s">
        <v>8145</v>
      </c>
      <c r="I1018" s="219">
        <v>1</v>
      </c>
      <c r="J1018" s="219" t="s">
        <v>1036</v>
      </c>
      <c r="K1018" s="219" t="s">
        <v>8146</v>
      </c>
      <c r="L1018" s="219">
        <v>1</v>
      </c>
      <c r="M1018" s="219" t="s">
        <v>2152</v>
      </c>
      <c r="N1018" s="219">
        <v>2100000</v>
      </c>
      <c r="O1018" s="219" t="s">
        <v>454</v>
      </c>
      <c r="P1018" s="219" t="s">
        <v>8147</v>
      </c>
      <c r="Q1018" s="219"/>
      <c r="R1018" s="219" t="s">
        <v>24</v>
      </c>
      <c r="S1018" s="251"/>
      <c r="T1018" s="251"/>
      <c r="U1018" s="219"/>
      <c r="V1018" s="219"/>
      <c r="W1018" s="219"/>
      <c r="X1018" s="219"/>
      <c r="Y1018" s="219"/>
      <c r="Z1018" s="219"/>
      <c r="AA1018" s="219"/>
      <c r="AB1018" s="219"/>
    </row>
    <row r="1019" spans="1:28" ht="15.75" hidden="1" customHeight="1">
      <c r="A1019" s="253">
        <v>44796</v>
      </c>
      <c r="B1019" s="224" t="s">
        <v>8305</v>
      </c>
      <c r="C1019" s="316">
        <v>1</v>
      </c>
      <c r="D1019" s="316"/>
      <c r="E1019" s="224"/>
      <c r="F1019" s="224" t="s">
        <v>4</v>
      </c>
      <c r="G1019" s="224" t="s">
        <v>725</v>
      </c>
      <c r="H1019" s="224" t="s">
        <v>11292</v>
      </c>
      <c r="I1019" s="224">
        <v>1</v>
      </c>
      <c r="J1019" s="224" t="s">
        <v>1045</v>
      </c>
      <c r="K1019" s="224" t="s">
        <v>8309</v>
      </c>
      <c r="L1019" s="224">
        <v>1</v>
      </c>
      <c r="M1019" s="224" t="s">
        <v>2190</v>
      </c>
      <c r="N1019" s="224">
        <v>500000</v>
      </c>
      <c r="O1019" s="224" t="s">
        <v>452</v>
      </c>
      <c r="P1019" s="224" t="s">
        <v>8310</v>
      </c>
      <c r="Q1019" s="224"/>
      <c r="R1019" s="224" t="s">
        <v>24</v>
      </c>
      <c r="S1019" s="254"/>
      <c r="T1019" s="254"/>
      <c r="U1019" s="224"/>
      <c r="V1019" s="224"/>
      <c r="W1019" s="224"/>
      <c r="X1019" s="224"/>
      <c r="Y1019" s="224"/>
      <c r="Z1019" s="224"/>
      <c r="AA1019" s="224"/>
      <c r="AB1019" s="224"/>
    </row>
    <row r="1020" spans="1:28" ht="15.75" hidden="1" customHeight="1">
      <c r="A1020" s="248">
        <v>44796</v>
      </c>
      <c r="B1020" s="219" t="s">
        <v>8200</v>
      </c>
      <c r="C1020" s="315">
        <v>1</v>
      </c>
      <c r="D1020" s="315"/>
      <c r="E1020" s="219" t="s">
        <v>8203</v>
      </c>
      <c r="F1020" s="219" t="s">
        <v>4</v>
      </c>
      <c r="G1020" s="219" t="s">
        <v>725</v>
      </c>
      <c r="H1020" s="219" t="s">
        <v>8204</v>
      </c>
      <c r="I1020" s="219">
        <v>1</v>
      </c>
      <c r="J1020" s="219" t="s">
        <v>1298</v>
      </c>
      <c r="K1020" s="219" t="s">
        <v>8205</v>
      </c>
      <c r="L1020" s="219">
        <v>1</v>
      </c>
      <c r="M1020" s="219" t="s">
        <v>451</v>
      </c>
      <c r="N1020" s="219" t="s">
        <v>8206</v>
      </c>
      <c r="O1020" s="219" t="s">
        <v>452</v>
      </c>
      <c r="P1020" s="219" t="s">
        <v>8207</v>
      </c>
      <c r="Q1020" s="219" t="s">
        <v>8208</v>
      </c>
      <c r="R1020" s="219" t="s">
        <v>24</v>
      </c>
      <c r="S1020" s="251"/>
      <c r="T1020" s="251"/>
      <c r="U1020" s="219"/>
      <c r="V1020" s="219"/>
      <c r="W1020" s="219"/>
      <c r="X1020" s="219"/>
      <c r="Y1020" s="219"/>
      <c r="Z1020" s="219"/>
      <c r="AA1020" s="219"/>
      <c r="AB1020" s="219"/>
    </row>
    <row r="1021" spans="1:28" ht="15.75" hidden="1" customHeight="1">
      <c r="A1021" s="253">
        <v>44796</v>
      </c>
      <c r="B1021" s="224" t="s">
        <v>8167</v>
      </c>
      <c r="C1021" s="316">
        <v>1</v>
      </c>
      <c r="D1021" s="316"/>
      <c r="E1021" s="224"/>
      <c r="F1021" s="224" t="s">
        <v>4</v>
      </c>
      <c r="G1021" s="224" t="s">
        <v>725</v>
      </c>
      <c r="H1021" s="224" t="s">
        <v>8170</v>
      </c>
      <c r="I1021" s="224">
        <v>1</v>
      </c>
      <c r="J1021" s="224" t="s">
        <v>1237</v>
      </c>
      <c r="K1021" s="224"/>
      <c r="L1021" s="224">
        <v>1</v>
      </c>
      <c r="M1021" s="224" t="s">
        <v>8171</v>
      </c>
      <c r="N1021" s="224">
        <v>2000000</v>
      </c>
      <c r="O1021" s="224" t="s">
        <v>465</v>
      </c>
      <c r="P1021" s="224" t="s">
        <v>8172</v>
      </c>
      <c r="Q1021" s="224"/>
      <c r="R1021" s="224" t="s">
        <v>24</v>
      </c>
      <c r="S1021" s="254"/>
      <c r="T1021" s="254"/>
      <c r="U1021" s="224"/>
      <c r="V1021" s="224"/>
      <c r="W1021" s="224"/>
      <c r="X1021" s="224"/>
      <c r="Y1021" s="224"/>
      <c r="Z1021" s="224"/>
      <c r="AA1021" s="224"/>
      <c r="AB1021" s="224"/>
    </row>
    <row r="1022" spans="1:28" ht="15.75" hidden="1" customHeight="1">
      <c r="A1022" s="248">
        <v>44796</v>
      </c>
      <c r="B1022" s="219" t="s">
        <v>8271</v>
      </c>
      <c r="C1022" s="315">
        <v>1</v>
      </c>
      <c r="D1022" s="315"/>
      <c r="E1022" s="219" t="s">
        <v>8274</v>
      </c>
      <c r="F1022" s="219" t="s">
        <v>4</v>
      </c>
      <c r="G1022" s="219" t="s">
        <v>447</v>
      </c>
      <c r="H1022" s="219" t="s">
        <v>11325</v>
      </c>
      <c r="I1022" s="219">
        <v>1</v>
      </c>
      <c r="J1022" s="219" t="s">
        <v>1371</v>
      </c>
      <c r="K1022" s="219" t="s">
        <v>8276</v>
      </c>
      <c r="L1022" s="219">
        <v>1</v>
      </c>
      <c r="M1022" s="219"/>
      <c r="N1022" s="219"/>
      <c r="O1022" s="219" t="s">
        <v>454</v>
      </c>
      <c r="P1022" s="219" t="s">
        <v>452</v>
      </c>
      <c r="Q1022" s="219" t="s">
        <v>8277</v>
      </c>
      <c r="R1022" s="219" t="s">
        <v>24</v>
      </c>
      <c r="S1022" s="251"/>
      <c r="T1022" s="251"/>
      <c r="U1022" s="219"/>
      <c r="V1022" s="219"/>
      <c r="W1022" s="219"/>
      <c r="X1022" s="219"/>
      <c r="Y1022" s="219"/>
      <c r="Z1022" s="219"/>
      <c r="AA1022" s="219"/>
      <c r="AB1022" s="219"/>
    </row>
    <row r="1023" spans="1:28" ht="15.75" hidden="1" customHeight="1">
      <c r="A1023" s="253">
        <v>44796</v>
      </c>
      <c r="B1023" s="224" t="s">
        <v>8124</v>
      </c>
      <c r="C1023" s="316">
        <v>1</v>
      </c>
      <c r="D1023" s="316"/>
      <c r="E1023" s="224" t="s">
        <v>8127</v>
      </c>
      <c r="F1023" s="224" t="s">
        <v>4</v>
      </c>
      <c r="G1023" s="224" t="s">
        <v>1045</v>
      </c>
      <c r="H1023" s="224" t="s">
        <v>8128</v>
      </c>
      <c r="I1023" s="224">
        <v>1</v>
      </c>
      <c r="J1023" s="224" t="s">
        <v>1036</v>
      </c>
      <c r="K1023" s="224" t="s">
        <v>8129</v>
      </c>
      <c r="L1023" s="224">
        <v>1</v>
      </c>
      <c r="M1023" s="224" t="s">
        <v>784</v>
      </c>
      <c r="N1023" s="330">
        <v>800000</v>
      </c>
      <c r="O1023" s="224" t="s">
        <v>454</v>
      </c>
      <c r="P1023" s="224" t="s">
        <v>8130</v>
      </c>
      <c r="Q1023" s="224" t="s">
        <v>8131</v>
      </c>
      <c r="R1023" s="224" t="s">
        <v>24</v>
      </c>
      <c r="S1023" s="254"/>
      <c r="T1023" s="254"/>
      <c r="U1023" s="224"/>
      <c r="V1023" s="224"/>
      <c r="W1023" s="224"/>
      <c r="X1023" s="224"/>
      <c r="Y1023" s="224"/>
      <c r="Z1023" s="224"/>
      <c r="AA1023" s="224"/>
      <c r="AB1023" s="224"/>
    </row>
    <row r="1024" spans="1:28" ht="15.75" hidden="1" customHeight="1">
      <c r="A1024" s="267">
        <v>44784</v>
      </c>
      <c r="B1024" s="268" t="s">
        <v>8598</v>
      </c>
      <c r="C1024" s="269">
        <v>0.5</v>
      </c>
      <c r="D1024" s="269"/>
      <c r="E1024" s="268" t="s">
        <v>8601</v>
      </c>
      <c r="F1024" s="270" t="s">
        <v>3</v>
      </c>
      <c r="G1024" s="268" t="s">
        <v>460</v>
      </c>
      <c r="H1024" s="268" t="s">
        <v>8602</v>
      </c>
      <c r="I1024" s="268">
        <v>0</v>
      </c>
      <c r="J1024" s="268" t="s">
        <v>462</v>
      </c>
      <c r="K1024" s="268" t="s">
        <v>8603</v>
      </c>
      <c r="L1024" s="268">
        <v>1</v>
      </c>
      <c r="M1024" s="268"/>
      <c r="N1024" s="268"/>
      <c r="O1024" s="268" t="s">
        <v>452</v>
      </c>
      <c r="P1024" s="268" t="s">
        <v>452</v>
      </c>
      <c r="Q1024" s="268" t="s">
        <v>8604</v>
      </c>
      <c r="R1024" s="268" t="s">
        <v>24</v>
      </c>
      <c r="S1024" s="271"/>
      <c r="T1024" s="271"/>
      <c r="U1024" s="268"/>
      <c r="V1024" s="268"/>
      <c r="W1024" s="268"/>
      <c r="X1024" s="268"/>
      <c r="Y1024" s="268"/>
      <c r="Z1024" s="219"/>
      <c r="AA1024" s="219"/>
      <c r="AB1024" s="219"/>
    </row>
    <row r="1025" spans="1:28" ht="15.75" hidden="1" customHeight="1">
      <c r="A1025" s="267">
        <v>44784</v>
      </c>
      <c r="B1025" s="272" t="s">
        <v>8950</v>
      </c>
      <c r="C1025" s="269">
        <v>0</v>
      </c>
      <c r="D1025" s="269"/>
      <c r="E1025" s="272" t="s">
        <v>8953</v>
      </c>
      <c r="F1025" s="270" t="s">
        <v>3</v>
      </c>
      <c r="G1025" s="272" t="s">
        <v>460</v>
      </c>
      <c r="H1025" s="272" t="s">
        <v>8954</v>
      </c>
      <c r="I1025" s="272">
        <v>0</v>
      </c>
      <c r="J1025" s="272" t="s">
        <v>447</v>
      </c>
      <c r="K1025" s="272"/>
      <c r="L1025" s="272">
        <v>0</v>
      </c>
      <c r="M1025" s="272" t="s">
        <v>451</v>
      </c>
      <c r="N1025" s="272" t="s">
        <v>8955</v>
      </c>
      <c r="O1025" s="272" t="s">
        <v>452</v>
      </c>
      <c r="P1025" s="272" t="s">
        <v>575</v>
      </c>
      <c r="Q1025" s="272"/>
      <c r="R1025" s="272" t="s">
        <v>24</v>
      </c>
      <c r="S1025" s="274"/>
      <c r="T1025" s="274"/>
      <c r="U1025" s="272"/>
      <c r="V1025" s="272"/>
      <c r="W1025" s="272"/>
      <c r="X1025" s="272"/>
      <c r="Y1025" s="272"/>
      <c r="Z1025" s="224"/>
      <c r="AA1025" s="224"/>
      <c r="AB1025" s="224"/>
    </row>
    <row r="1026" spans="1:28" ht="15.75" hidden="1" customHeight="1">
      <c r="A1026" s="301">
        <v>44789</v>
      </c>
      <c r="B1026" s="303" t="s">
        <v>9584</v>
      </c>
      <c r="C1026" s="269"/>
      <c r="D1026" s="269"/>
      <c r="E1026" s="303" t="s">
        <v>9587</v>
      </c>
      <c r="F1026" s="270" t="s">
        <v>3</v>
      </c>
      <c r="G1026" s="303" t="s">
        <v>460</v>
      </c>
      <c r="H1026" s="303"/>
      <c r="I1026" s="303"/>
      <c r="J1026" s="303" t="s">
        <v>488</v>
      </c>
      <c r="K1026" s="303" t="s">
        <v>10204</v>
      </c>
      <c r="L1026" s="303">
        <v>3</v>
      </c>
      <c r="M1026" s="303"/>
      <c r="N1026" s="303"/>
      <c r="O1026" s="303" t="s">
        <v>454</v>
      </c>
      <c r="P1026" s="303" t="s">
        <v>9590</v>
      </c>
      <c r="Q1026" s="303"/>
      <c r="R1026" s="303"/>
      <c r="S1026" s="305"/>
      <c r="T1026" s="305"/>
      <c r="U1026" s="303"/>
      <c r="V1026" s="303"/>
      <c r="W1026" s="303"/>
      <c r="X1026" s="303"/>
      <c r="Y1026" s="303"/>
      <c r="Z1026" s="306"/>
      <c r="AA1026" s="306"/>
      <c r="AB1026" s="306"/>
    </row>
    <row r="1027" spans="1:28" ht="15.75" hidden="1" customHeight="1">
      <c r="A1027" s="301">
        <v>44789</v>
      </c>
      <c r="B1027" s="303" t="s">
        <v>10205</v>
      </c>
      <c r="C1027" s="269"/>
      <c r="D1027" s="269"/>
      <c r="E1027" s="303" t="s">
        <v>6650</v>
      </c>
      <c r="F1027" s="270" t="s">
        <v>4</v>
      </c>
      <c r="G1027" s="303" t="s">
        <v>727</v>
      </c>
      <c r="H1027" s="537" t="s">
        <v>11634</v>
      </c>
      <c r="I1027" s="303">
        <v>3</v>
      </c>
      <c r="J1027" s="303" t="s">
        <v>602</v>
      </c>
      <c r="K1027" s="303"/>
      <c r="L1027" s="303"/>
      <c r="M1027" s="303" t="s">
        <v>451</v>
      </c>
      <c r="N1027" s="538">
        <v>1500000</v>
      </c>
      <c r="O1027" s="303" t="s">
        <v>452</v>
      </c>
      <c r="P1027" s="538" t="s">
        <v>6653</v>
      </c>
      <c r="Q1027" s="303"/>
      <c r="R1027" s="303"/>
      <c r="S1027" s="305"/>
      <c r="T1027" s="305"/>
      <c r="U1027" s="303"/>
      <c r="V1027" s="303"/>
      <c r="W1027" s="303"/>
      <c r="X1027" s="303"/>
      <c r="Y1027" s="303"/>
      <c r="Z1027" s="306"/>
      <c r="AA1027" s="306"/>
      <c r="AB1027" s="306"/>
    </row>
    <row r="1028" spans="1:28" ht="15.75" hidden="1" customHeight="1">
      <c r="A1028" s="301">
        <v>44789</v>
      </c>
      <c r="B1028" s="303" t="s">
        <v>257</v>
      </c>
      <c r="C1028" s="269"/>
      <c r="D1028" s="269"/>
      <c r="E1028" s="303" t="s">
        <v>1482</v>
      </c>
      <c r="F1028" s="270" t="s">
        <v>4</v>
      </c>
      <c r="G1028" s="303" t="s">
        <v>602</v>
      </c>
      <c r="H1028" s="303" t="s">
        <v>1483</v>
      </c>
      <c r="I1028" s="303">
        <v>4</v>
      </c>
      <c r="J1028" s="303" t="s">
        <v>1054</v>
      </c>
      <c r="K1028" s="303"/>
      <c r="L1028" s="303"/>
      <c r="M1028" s="303" t="s">
        <v>784</v>
      </c>
      <c r="N1028" s="303">
        <v>682000</v>
      </c>
      <c r="O1028" s="303" t="s">
        <v>465</v>
      </c>
      <c r="P1028" s="539" t="s">
        <v>1485</v>
      </c>
      <c r="Q1028" s="303" t="s">
        <v>1486</v>
      </c>
      <c r="R1028" s="303"/>
      <c r="S1028" s="305"/>
      <c r="T1028" s="305"/>
      <c r="U1028" s="303"/>
      <c r="V1028" s="303"/>
      <c r="W1028" s="303"/>
      <c r="X1028" s="303"/>
      <c r="Y1028" s="303"/>
      <c r="Z1028" s="306"/>
      <c r="AA1028" s="306"/>
      <c r="AB1028" s="306"/>
    </row>
    <row r="1029" spans="1:28" ht="15.75" hidden="1" customHeight="1">
      <c r="A1029" s="301">
        <v>44789</v>
      </c>
      <c r="B1029" s="303" t="s">
        <v>7675</v>
      </c>
      <c r="C1029" s="269"/>
      <c r="D1029" s="269"/>
      <c r="E1029" s="303" t="s">
        <v>7678</v>
      </c>
      <c r="F1029" s="270" t="s">
        <v>4</v>
      </c>
      <c r="G1029" s="303" t="s">
        <v>727</v>
      </c>
      <c r="H1029" s="303" t="s">
        <v>10219</v>
      </c>
      <c r="I1029" s="303">
        <v>2</v>
      </c>
      <c r="J1029" s="303" t="s">
        <v>602</v>
      </c>
      <c r="K1029" s="303"/>
      <c r="L1029" s="303"/>
      <c r="M1029" s="303"/>
      <c r="N1029" s="303"/>
      <c r="O1029" s="303" t="s">
        <v>454</v>
      </c>
      <c r="P1029" s="303" t="s">
        <v>452</v>
      </c>
      <c r="Q1029" s="303" t="s">
        <v>7681</v>
      </c>
      <c r="R1029" s="303"/>
      <c r="S1029" s="305"/>
      <c r="T1029" s="305"/>
      <c r="U1029" s="303"/>
      <c r="V1029" s="303"/>
      <c r="W1029" s="303"/>
      <c r="X1029" s="303"/>
      <c r="Y1029" s="303"/>
      <c r="Z1029" s="306"/>
      <c r="AA1029" s="306"/>
      <c r="AB1029" s="306"/>
    </row>
    <row r="1030" spans="1:28" ht="15.75" hidden="1" customHeight="1">
      <c r="A1030" s="301">
        <v>44789</v>
      </c>
      <c r="B1030" s="303" t="s">
        <v>6208</v>
      </c>
      <c r="C1030" s="269"/>
      <c r="D1030" s="269"/>
      <c r="E1030" s="303" t="s">
        <v>6211</v>
      </c>
      <c r="F1030" s="270" t="s">
        <v>4</v>
      </c>
      <c r="G1030" s="303" t="s">
        <v>727</v>
      </c>
      <c r="H1030" s="303" t="s">
        <v>10225</v>
      </c>
      <c r="I1030" s="303">
        <v>3</v>
      </c>
      <c r="J1030" s="303" t="s">
        <v>602</v>
      </c>
      <c r="K1030" s="303"/>
      <c r="L1030" s="303"/>
      <c r="M1030" s="303" t="s">
        <v>451</v>
      </c>
      <c r="N1030" s="303">
        <v>1000000</v>
      </c>
      <c r="O1030" s="303" t="s">
        <v>465</v>
      </c>
      <c r="P1030" s="539" t="s">
        <v>6214</v>
      </c>
      <c r="Q1030" s="303" t="s">
        <v>6215</v>
      </c>
      <c r="R1030" s="303"/>
      <c r="S1030" s="305"/>
      <c r="T1030" s="305"/>
      <c r="U1030" s="303"/>
      <c r="V1030" s="303"/>
      <c r="W1030" s="303"/>
      <c r="X1030" s="303"/>
      <c r="Y1030" s="303"/>
      <c r="Z1030" s="306"/>
      <c r="AA1030" s="306"/>
      <c r="AB1030" s="306"/>
    </row>
    <row r="1031" spans="1:28" ht="15.75" hidden="1" customHeight="1">
      <c r="A1031" s="301">
        <v>44789</v>
      </c>
      <c r="B1031" s="303" t="s">
        <v>178</v>
      </c>
      <c r="C1031" s="269"/>
      <c r="D1031" s="269"/>
      <c r="E1031" s="303" t="s">
        <v>3710</v>
      </c>
      <c r="F1031" s="270" t="s">
        <v>4</v>
      </c>
      <c r="G1031" s="303" t="s">
        <v>727</v>
      </c>
      <c r="H1031" s="303" t="s">
        <v>10228</v>
      </c>
      <c r="I1031" s="303">
        <v>4</v>
      </c>
      <c r="J1031" s="303" t="s">
        <v>602</v>
      </c>
      <c r="K1031" s="303"/>
      <c r="L1031" s="303"/>
      <c r="M1031" s="303" t="s">
        <v>784</v>
      </c>
      <c r="N1031" s="303" t="s">
        <v>3713</v>
      </c>
      <c r="O1031" s="303" t="s">
        <v>452</v>
      </c>
      <c r="P1031" s="303" t="s">
        <v>3714</v>
      </c>
      <c r="Q1031" s="303" t="s">
        <v>3715</v>
      </c>
      <c r="R1031" s="303"/>
      <c r="S1031" s="305"/>
      <c r="T1031" s="305"/>
      <c r="U1031" s="303"/>
      <c r="V1031" s="303"/>
      <c r="W1031" s="303"/>
      <c r="X1031" s="303"/>
      <c r="Y1031" s="303"/>
      <c r="Z1031" s="306"/>
      <c r="AA1031" s="306"/>
      <c r="AB1031" s="306"/>
    </row>
    <row r="1032" spans="1:28" ht="15.75" hidden="1" customHeight="1">
      <c r="A1032" s="301">
        <v>44789</v>
      </c>
      <c r="B1032" s="303" t="s">
        <v>326</v>
      </c>
      <c r="C1032" s="269"/>
      <c r="D1032" s="269"/>
      <c r="E1032" s="303" t="s">
        <v>1817</v>
      </c>
      <c r="F1032" s="270" t="s">
        <v>3</v>
      </c>
      <c r="G1032" s="303" t="s">
        <v>460</v>
      </c>
      <c r="H1032" s="303"/>
      <c r="I1032" s="303"/>
      <c r="J1032" s="303" t="s">
        <v>941</v>
      </c>
      <c r="K1032" s="303" t="s">
        <v>1819</v>
      </c>
      <c r="L1032" s="303">
        <v>4</v>
      </c>
      <c r="M1032" s="303" t="s">
        <v>478</v>
      </c>
      <c r="N1032" s="304">
        <v>25000000</v>
      </c>
      <c r="O1032" s="303" t="s">
        <v>452</v>
      </c>
      <c r="P1032" s="304" t="s">
        <v>10232</v>
      </c>
      <c r="Q1032" s="303"/>
      <c r="R1032" s="303"/>
      <c r="S1032" s="305"/>
      <c r="T1032" s="305"/>
      <c r="U1032" s="303"/>
      <c r="V1032" s="303"/>
      <c r="W1032" s="303"/>
      <c r="X1032" s="303"/>
      <c r="Y1032" s="303"/>
      <c r="Z1032" s="306"/>
      <c r="AA1032" s="306"/>
      <c r="AB1032" s="306"/>
    </row>
    <row r="1033" spans="1:28" ht="15.75" hidden="1" customHeight="1">
      <c r="A1033" s="301">
        <v>44789</v>
      </c>
      <c r="B1033" s="303" t="s">
        <v>5848</v>
      </c>
      <c r="C1033" s="269"/>
      <c r="D1033" s="269"/>
      <c r="E1033" s="303" t="s">
        <v>5851</v>
      </c>
      <c r="F1033" s="270" t="s">
        <v>4</v>
      </c>
      <c r="G1033" s="303" t="s">
        <v>727</v>
      </c>
      <c r="H1033" s="303" t="s">
        <v>10236</v>
      </c>
      <c r="I1033" s="303">
        <v>3</v>
      </c>
      <c r="J1033" s="303" t="s">
        <v>602</v>
      </c>
      <c r="K1033" s="303"/>
      <c r="L1033" s="303"/>
      <c r="M1033" s="303"/>
      <c r="N1033" s="303"/>
      <c r="O1033" s="303" t="s">
        <v>452</v>
      </c>
      <c r="P1033" s="303" t="s">
        <v>5854</v>
      </c>
      <c r="Q1033" s="303" t="s">
        <v>727</v>
      </c>
      <c r="R1033" s="303"/>
      <c r="S1033" s="305"/>
      <c r="T1033" s="305"/>
      <c r="U1033" s="303"/>
      <c r="V1033" s="303"/>
      <c r="W1033" s="303"/>
      <c r="X1033" s="303"/>
      <c r="Y1033" s="303"/>
      <c r="Z1033" s="306"/>
      <c r="AA1033" s="306"/>
      <c r="AB1033" s="306"/>
    </row>
    <row r="1034" spans="1:28" ht="15.75" hidden="1" customHeight="1">
      <c r="A1034" s="301">
        <v>44789</v>
      </c>
      <c r="B1034" s="303" t="s">
        <v>7954</v>
      </c>
      <c r="C1034" s="269"/>
      <c r="D1034" s="269"/>
      <c r="E1034" s="303" t="s">
        <v>7957</v>
      </c>
      <c r="F1034" s="270" t="s">
        <v>4</v>
      </c>
      <c r="G1034" s="303" t="s">
        <v>725</v>
      </c>
      <c r="H1034" s="303"/>
      <c r="I1034" s="303"/>
      <c r="J1034" s="303" t="s">
        <v>727</v>
      </c>
      <c r="K1034" s="303" t="s">
        <v>13212</v>
      </c>
      <c r="L1034" s="303">
        <v>1</v>
      </c>
      <c r="M1034" s="303" t="s">
        <v>784</v>
      </c>
      <c r="N1034" s="304">
        <v>275000</v>
      </c>
      <c r="O1034" s="303" t="s">
        <v>452</v>
      </c>
      <c r="P1034" s="304" t="s">
        <v>452</v>
      </c>
      <c r="Q1034" s="537" t="s">
        <v>7960</v>
      </c>
      <c r="R1034" s="303"/>
      <c r="S1034" s="305"/>
      <c r="T1034" s="305"/>
      <c r="U1034" s="303"/>
      <c r="V1034" s="303"/>
      <c r="W1034" s="303"/>
      <c r="X1034" s="303"/>
      <c r="Y1034" s="303"/>
      <c r="Z1034" s="306"/>
      <c r="AA1034" s="306"/>
      <c r="AB1034" s="306"/>
    </row>
    <row r="1035" spans="1:28" ht="15.75" hidden="1" customHeight="1">
      <c r="A1035" s="301">
        <v>44789</v>
      </c>
      <c r="B1035" s="303" t="s">
        <v>6763</v>
      </c>
      <c r="C1035" s="269"/>
      <c r="D1035" s="269"/>
      <c r="E1035" s="303" t="s">
        <v>6766</v>
      </c>
      <c r="F1035" s="270" t="s">
        <v>4</v>
      </c>
      <c r="G1035" s="303" t="s">
        <v>727</v>
      </c>
      <c r="H1035" s="303" t="s">
        <v>10280</v>
      </c>
      <c r="I1035" s="303">
        <v>2.5</v>
      </c>
      <c r="J1035" s="303" t="s">
        <v>602</v>
      </c>
      <c r="K1035" s="303"/>
      <c r="L1035" s="303"/>
      <c r="M1035" s="303" t="s">
        <v>478</v>
      </c>
      <c r="N1035" s="304">
        <v>5000000</v>
      </c>
      <c r="O1035" s="303" t="s">
        <v>465</v>
      </c>
      <c r="P1035" s="304" t="s">
        <v>6769</v>
      </c>
      <c r="Q1035" s="303"/>
      <c r="R1035" s="303"/>
      <c r="S1035" s="305"/>
      <c r="T1035" s="305"/>
      <c r="U1035" s="303"/>
      <c r="V1035" s="303"/>
      <c r="W1035" s="303"/>
      <c r="X1035" s="303"/>
      <c r="Y1035" s="303"/>
      <c r="Z1035" s="306"/>
      <c r="AA1035" s="306"/>
      <c r="AB1035" s="306"/>
    </row>
    <row r="1036" spans="1:28" ht="15.75" hidden="1" customHeight="1">
      <c r="A1036" s="301">
        <v>44789</v>
      </c>
      <c r="B1036" s="303" t="s">
        <v>6061</v>
      </c>
      <c r="C1036" s="269"/>
      <c r="D1036" s="269"/>
      <c r="E1036" s="303" t="s">
        <v>6064</v>
      </c>
      <c r="F1036" s="270" t="s">
        <v>4</v>
      </c>
      <c r="G1036" s="303" t="s">
        <v>725</v>
      </c>
      <c r="H1036" s="303"/>
      <c r="I1036" s="303"/>
      <c r="J1036" s="303" t="s">
        <v>1054</v>
      </c>
      <c r="K1036" s="303" t="s">
        <v>6066</v>
      </c>
      <c r="L1036" s="303">
        <v>2.5</v>
      </c>
      <c r="M1036" s="303"/>
      <c r="N1036" s="303"/>
      <c r="O1036" s="303" t="s">
        <v>452</v>
      </c>
      <c r="P1036" s="303" t="s">
        <v>6067</v>
      </c>
      <c r="Q1036" s="303"/>
      <c r="R1036" s="303"/>
      <c r="S1036" s="305"/>
      <c r="T1036" s="305"/>
      <c r="U1036" s="303"/>
      <c r="V1036" s="303"/>
      <c r="W1036" s="303"/>
      <c r="X1036" s="303"/>
      <c r="Y1036" s="303"/>
      <c r="Z1036" s="306"/>
      <c r="AA1036" s="306"/>
      <c r="AB1036" s="306"/>
    </row>
    <row r="1037" spans="1:28" ht="15.75" hidden="1" customHeight="1">
      <c r="A1037" s="301">
        <v>44789</v>
      </c>
      <c r="B1037" s="303" t="s">
        <v>8431</v>
      </c>
      <c r="C1037" s="269"/>
      <c r="D1037" s="269"/>
      <c r="E1037" s="303" t="s">
        <v>8434</v>
      </c>
      <c r="F1037" s="270" t="s">
        <v>3</v>
      </c>
      <c r="G1037" s="303" t="s">
        <v>460</v>
      </c>
      <c r="H1037" s="303"/>
      <c r="I1037" s="303"/>
      <c r="J1037" s="303" t="s">
        <v>941</v>
      </c>
      <c r="K1037" s="303"/>
      <c r="L1037" s="303">
        <v>2</v>
      </c>
      <c r="M1037" s="303" t="s">
        <v>478</v>
      </c>
      <c r="N1037" s="303" t="s">
        <v>8436</v>
      </c>
      <c r="O1037" s="303" t="s">
        <v>452</v>
      </c>
      <c r="P1037" s="303" t="s">
        <v>452</v>
      </c>
      <c r="Q1037" s="303"/>
      <c r="R1037" s="303"/>
      <c r="S1037" s="305"/>
      <c r="T1037" s="305"/>
      <c r="U1037" s="303"/>
      <c r="V1037" s="303"/>
      <c r="W1037" s="303"/>
      <c r="X1037" s="303"/>
      <c r="Y1037" s="303"/>
      <c r="Z1037" s="306"/>
      <c r="AA1037" s="306"/>
      <c r="AB1037" s="306"/>
    </row>
    <row r="1038" spans="1:28" ht="15.75" hidden="1" customHeight="1">
      <c r="A1038" s="301">
        <v>44789</v>
      </c>
      <c r="B1038" s="303" t="s">
        <v>8561</v>
      </c>
      <c r="C1038" s="269"/>
      <c r="D1038" s="269"/>
      <c r="E1038" s="303" t="s">
        <v>8564</v>
      </c>
      <c r="F1038" s="270" t="s">
        <v>3</v>
      </c>
      <c r="G1038" s="303" t="s">
        <v>460</v>
      </c>
      <c r="H1038" s="303"/>
      <c r="I1038" s="303"/>
      <c r="J1038" s="303" t="s">
        <v>941</v>
      </c>
      <c r="K1038" s="303" t="s">
        <v>8566</v>
      </c>
      <c r="L1038" s="303">
        <v>2</v>
      </c>
      <c r="M1038" s="303" t="s">
        <v>973</v>
      </c>
      <c r="N1038" s="303">
        <v>5</v>
      </c>
      <c r="O1038" s="303" t="s">
        <v>452</v>
      </c>
      <c r="P1038" s="303" t="s">
        <v>8567</v>
      </c>
      <c r="Q1038" s="303"/>
      <c r="R1038" s="303"/>
      <c r="S1038" s="305"/>
      <c r="T1038" s="305"/>
      <c r="U1038" s="303"/>
      <c r="V1038" s="303"/>
      <c r="W1038" s="303"/>
      <c r="X1038" s="303"/>
      <c r="Y1038" s="303"/>
      <c r="Z1038" s="306"/>
      <c r="AA1038" s="306"/>
      <c r="AB1038" s="306"/>
    </row>
    <row r="1039" spans="1:28" ht="15.75" hidden="1" customHeight="1">
      <c r="A1039" s="301">
        <v>44789</v>
      </c>
      <c r="B1039" s="303" t="s">
        <v>373</v>
      </c>
      <c r="C1039" s="269"/>
      <c r="D1039" s="269"/>
      <c r="E1039" s="303" t="s">
        <v>10341</v>
      </c>
      <c r="F1039" s="270" t="s">
        <v>3</v>
      </c>
      <c r="G1039" s="303" t="s">
        <v>460</v>
      </c>
      <c r="H1039" s="303"/>
      <c r="I1039" s="303"/>
      <c r="J1039" s="303" t="s">
        <v>488</v>
      </c>
      <c r="K1039" s="303"/>
      <c r="L1039" s="303"/>
      <c r="M1039" s="303"/>
      <c r="N1039" s="303"/>
      <c r="O1039" s="303" t="s">
        <v>452</v>
      </c>
      <c r="P1039" s="303" t="s">
        <v>10007</v>
      </c>
      <c r="Q1039" s="303" t="s">
        <v>460</v>
      </c>
      <c r="R1039" s="303"/>
      <c r="S1039" s="305"/>
      <c r="T1039" s="305"/>
      <c r="U1039" s="303"/>
      <c r="V1039" s="303"/>
      <c r="W1039" s="303"/>
      <c r="X1039" s="303"/>
      <c r="Y1039" s="303"/>
      <c r="Z1039" s="306"/>
      <c r="AA1039" s="306"/>
      <c r="AB1039" s="306"/>
    </row>
    <row r="1040" spans="1:28" ht="15.75" hidden="1" customHeight="1">
      <c r="A1040" s="301">
        <v>44789</v>
      </c>
      <c r="B1040" s="303" t="s">
        <v>4484</v>
      </c>
      <c r="C1040" s="269"/>
      <c r="D1040" s="269"/>
      <c r="E1040" s="303" t="s">
        <v>10369</v>
      </c>
      <c r="F1040" s="270" t="s">
        <v>4</v>
      </c>
      <c r="G1040" s="303" t="s">
        <v>725</v>
      </c>
      <c r="H1040" s="303"/>
      <c r="I1040" s="303"/>
      <c r="J1040" s="303" t="s">
        <v>727</v>
      </c>
      <c r="K1040" s="303" t="s">
        <v>10371</v>
      </c>
      <c r="L1040" s="303">
        <v>3.75</v>
      </c>
      <c r="M1040" s="303" t="s">
        <v>784</v>
      </c>
      <c r="N1040" s="538">
        <v>300000</v>
      </c>
      <c r="O1040" s="303" t="s">
        <v>465</v>
      </c>
      <c r="P1040" s="538" t="s">
        <v>452</v>
      </c>
      <c r="Q1040" s="303"/>
      <c r="R1040" s="303"/>
      <c r="S1040" s="305"/>
      <c r="T1040" s="305"/>
      <c r="U1040" s="303"/>
      <c r="V1040" s="303"/>
      <c r="W1040" s="303"/>
      <c r="X1040" s="303"/>
      <c r="Y1040" s="303"/>
      <c r="Z1040" s="306"/>
      <c r="AA1040" s="306"/>
      <c r="AB1040" s="306"/>
    </row>
    <row r="1041" spans="1:28" ht="15.75" hidden="1" customHeight="1">
      <c r="A1041" s="301">
        <v>44789</v>
      </c>
      <c r="B1041" s="303" t="s">
        <v>10435</v>
      </c>
      <c r="C1041" s="269"/>
      <c r="D1041" s="269"/>
      <c r="E1041" s="303" t="s">
        <v>8371</v>
      </c>
      <c r="F1041" s="270" t="s">
        <v>3</v>
      </c>
      <c r="G1041" s="303" t="s">
        <v>460</v>
      </c>
      <c r="H1041" s="303"/>
      <c r="I1041" s="303"/>
      <c r="J1041" s="303" t="s">
        <v>488</v>
      </c>
      <c r="K1041" s="303" t="s">
        <v>10436</v>
      </c>
      <c r="L1041" s="303">
        <v>3</v>
      </c>
      <c r="M1041" s="303" t="s">
        <v>451</v>
      </c>
      <c r="N1041" s="303" t="s">
        <v>8374</v>
      </c>
      <c r="O1041" s="303" t="s">
        <v>452</v>
      </c>
      <c r="P1041" s="303" t="s">
        <v>575</v>
      </c>
      <c r="Q1041" s="303"/>
      <c r="R1041" s="303"/>
      <c r="S1041" s="305"/>
      <c r="T1041" s="305"/>
      <c r="U1041" s="303"/>
      <c r="V1041" s="303"/>
      <c r="W1041" s="303"/>
      <c r="X1041" s="303"/>
      <c r="Y1041" s="303"/>
      <c r="Z1041" s="306"/>
      <c r="AA1041" s="306"/>
      <c r="AB1041" s="306"/>
    </row>
    <row r="1042" spans="1:28" ht="15.75" hidden="1" customHeight="1">
      <c r="A1042" s="301">
        <v>44789</v>
      </c>
      <c r="B1042" s="303" t="s">
        <v>405</v>
      </c>
      <c r="C1042" s="269"/>
      <c r="D1042" s="269"/>
      <c r="E1042" s="303" t="s">
        <v>10132</v>
      </c>
      <c r="F1042" s="270" t="s">
        <v>3</v>
      </c>
      <c r="G1042" s="303" t="s">
        <v>460</v>
      </c>
      <c r="H1042" s="303"/>
      <c r="I1042" s="303"/>
      <c r="J1042" s="303" t="s">
        <v>488</v>
      </c>
      <c r="K1042" s="303" t="s">
        <v>13213</v>
      </c>
      <c r="L1042" s="303">
        <v>3.5</v>
      </c>
      <c r="M1042" s="303" t="s">
        <v>784</v>
      </c>
      <c r="N1042" s="303">
        <v>2000000</v>
      </c>
      <c r="O1042" s="303" t="s">
        <v>452</v>
      </c>
      <c r="P1042" s="303" t="s">
        <v>10135</v>
      </c>
      <c r="Q1042" s="303" t="s">
        <v>460</v>
      </c>
      <c r="R1042" s="303"/>
      <c r="S1042" s="305"/>
      <c r="T1042" s="305"/>
      <c r="U1042" s="303"/>
      <c r="V1042" s="303"/>
      <c r="W1042" s="303"/>
      <c r="X1042" s="303"/>
      <c r="Y1042" s="303"/>
      <c r="Z1042" s="306"/>
      <c r="AA1042" s="306"/>
      <c r="AB1042" s="306"/>
    </row>
    <row r="1043" spans="1:28" ht="15.75" hidden="1" customHeight="1">
      <c r="A1043" s="301">
        <v>44789</v>
      </c>
      <c r="B1043" s="303" t="s">
        <v>5005</v>
      </c>
      <c r="C1043" s="269"/>
      <c r="D1043" s="269"/>
      <c r="E1043" s="303" t="s">
        <v>10508</v>
      </c>
      <c r="F1043" s="270" t="s">
        <v>4</v>
      </c>
      <c r="G1043" s="303" t="s">
        <v>727</v>
      </c>
      <c r="H1043" s="303" t="s">
        <v>5009</v>
      </c>
      <c r="I1043" s="303">
        <v>3</v>
      </c>
      <c r="J1043" s="303" t="s">
        <v>622</v>
      </c>
      <c r="K1043" s="303"/>
      <c r="L1043" s="303"/>
      <c r="M1043" s="303"/>
      <c r="N1043" s="303"/>
      <c r="O1043" s="303" t="s">
        <v>452</v>
      </c>
      <c r="P1043" s="303" t="s">
        <v>452</v>
      </c>
      <c r="Q1043" s="303"/>
      <c r="R1043" s="303"/>
      <c r="S1043" s="305"/>
      <c r="T1043" s="305"/>
      <c r="U1043" s="303"/>
      <c r="V1043" s="303"/>
      <c r="W1043" s="303"/>
      <c r="X1043" s="303"/>
      <c r="Y1043" s="303"/>
      <c r="Z1043" s="306"/>
      <c r="AA1043" s="306"/>
      <c r="AB1043" s="306"/>
    </row>
    <row r="1044" spans="1:28" ht="15.75" hidden="1" customHeight="1">
      <c r="A1044" s="301">
        <v>44789</v>
      </c>
      <c r="B1044" s="303" t="s">
        <v>314</v>
      </c>
      <c r="C1044" s="269"/>
      <c r="D1044" s="269"/>
      <c r="E1044" s="303" t="s">
        <v>1726</v>
      </c>
      <c r="F1044" s="270" t="s">
        <v>3</v>
      </c>
      <c r="G1044" s="303" t="s">
        <v>725</v>
      </c>
      <c r="H1044" s="303"/>
      <c r="I1044" s="303"/>
      <c r="J1044" s="303" t="s">
        <v>462</v>
      </c>
      <c r="K1044" s="303" t="s">
        <v>1728</v>
      </c>
      <c r="L1044" s="303">
        <v>5</v>
      </c>
      <c r="M1044" s="303" t="s">
        <v>478</v>
      </c>
      <c r="N1044" s="304">
        <v>15000000</v>
      </c>
      <c r="O1044" s="303" t="s">
        <v>465</v>
      </c>
      <c r="P1044" s="304" t="s">
        <v>1729</v>
      </c>
      <c r="Q1044" s="303"/>
      <c r="R1044" s="303"/>
      <c r="S1044" s="305"/>
      <c r="T1044" s="305"/>
      <c r="U1044" s="303"/>
      <c r="V1044" s="303"/>
      <c r="W1044" s="303"/>
      <c r="X1044" s="303"/>
      <c r="Y1044" s="303"/>
      <c r="Z1044" s="306"/>
      <c r="AA1044" s="306"/>
      <c r="AB1044" s="306"/>
    </row>
    <row r="1045" spans="1:28" ht="15.75" hidden="1" customHeight="1">
      <c r="A1045" s="301">
        <v>44789</v>
      </c>
      <c r="B1045" s="303" t="s">
        <v>10524</v>
      </c>
      <c r="C1045" s="269"/>
      <c r="D1045" s="269"/>
      <c r="E1045" s="303" t="s">
        <v>9279</v>
      </c>
      <c r="F1045" s="270" t="s">
        <v>3</v>
      </c>
      <c r="G1045" s="303" t="s">
        <v>725</v>
      </c>
      <c r="H1045" s="303"/>
      <c r="I1045" s="303"/>
      <c r="J1045" s="303" t="s">
        <v>488</v>
      </c>
      <c r="K1045" s="303" t="s">
        <v>13214</v>
      </c>
      <c r="L1045" s="303">
        <v>3</v>
      </c>
      <c r="M1045" s="303" t="s">
        <v>784</v>
      </c>
      <c r="N1045" s="304">
        <v>500000</v>
      </c>
      <c r="O1045" s="303" t="s">
        <v>452</v>
      </c>
      <c r="P1045" s="304" t="s">
        <v>10527</v>
      </c>
      <c r="Q1045" s="303"/>
      <c r="R1045" s="303"/>
      <c r="S1045" s="305"/>
      <c r="T1045" s="305"/>
      <c r="U1045" s="303"/>
      <c r="V1045" s="303"/>
      <c r="W1045" s="303"/>
      <c r="X1045" s="303"/>
      <c r="Y1045" s="303"/>
      <c r="Z1045" s="306"/>
      <c r="AA1045" s="306"/>
      <c r="AB1045" s="306"/>
    </row>
    <row r="1046" spans="1:28" ht="15.75" hidden="1" customHeight="1">
      <c r="A1046" s="301">
        <v>44789</v>
      </c>
      <c r="B1046" s="303" t="s">
        <v>332</v>
      </c>
      <c r="C1046" s="269"/>
      <c r="D1046" s="269"/>
      <c r="E1046" s="303" t="s">
        <v>9695</v>
      </c>
      <c r="F1046" s="270" t="s">
        <v>3</v>
      </c>
      <c r="G1046" s="303" t="s">
        <v>725</v>
      </c>
      <c r="H1046" s="303"/>
      <c r="I1046" s="303"/>
      <c r="J1046" s="303" t="s">
        <v>488</v>
      </c>
      <c r="K1046" s="303"/>
      <c r="L1046" s="303">
        <v>4</v>
      </c>
      <c r="M1046" s="303"/>
      <c r="N1046" s="303"/>
      <c r="O1046" s="303" t="s">
        <v>452</v>
      </c>
      <c r="P1046" s="303" t="s">
        <v>9697</v>
      </c>
      <c r="Q1046" s="303" t="s">
        <v>9698</v>
      </c>
      <c r="R1046" s="303"/>
      <c r="S1046" s="305"/>
      <c r="T1046" s="305"/>
      <c r="U1046" s="303"/>
      <c r="V1046" s="303"/>
      <c r="W1046" s="303"/>
      <c r="X1046" s="303"/>
      <c r="Y1046" s="303"/>
      <c r="Z1046" s="306"/>
      <c r="AA1046" s="306"/>
      <c r="AB1046" s="306"/>
    </row>
    <row r="1047" spans="1:28" ht="15.75" hidden="1" customHeight="1">
      <c r="A1047" s="301">
        <v>44789</v>
      </c>
      <c r="B1047" s="303" t="s">
        <v>354</v>
      </c>
      <c r="C1047" s="269"/>
      <c r="D1047" s="269"/>
      <c r="E1047" s="303" t="s">
        <v>13215</v>
      </c>
      <c r="F1047" s="270" t="s">
        <v>3</v>
      </c>
      <c r="G1047" s="303" t="s">
        <v>725</v>
      </c>
      <c r="H1047" s="303"/>
      <c r="I1047" s="303"/>
      <c r="J1047" s="303" t="s">
        <v>941</v>
      </c>
      <c r="K1047" s="303"/>
      <c r="L1047" s="303">
        <v>4.5</v>
      </c>
      <c r="M1047" s="303"/>
      <c r="N1047" s="303"/>
      <c r="O1047" s="303" t="s">
        <v>452</v>
      </c>
      <c r="P1047" s="303" t="s">
        <v>452</v>
      </c>
      <c r="Q1047" s="303"/>
      <c r="R1047" s="303"/>
      <c r="S1047" s="305"/>
      <c r="T1047" s="305"/>
      <c r="U1047" s="303"/>
      <c r="V1047" s="303"/>
      <c r="W1047" s="303"/>
      <c r="X1047" s="303"/>
      <c r="Y1047" s="303"/>
      <c r="Z1047" s="306"/>
      <c r="AA1047" s="306"/>
      <c r="AB1047" s="306"/>
    </row>
    <row r="1048" spans="1:28" ht="15.75" hidden="1" customHeight="1">
      <c r="A1048" s="301">
        <v>44789</v>
      </c>
      <c r="B1048" s="303" t="s">
        <v>8526</v>
      </c>
      <c r="C1048" s="269"/>
      <c r="D1048" s="269"/>
      <c r="E1048" s="303" t="s">
        <v>8529</v>
      </c>
      <c r="F1048" s="270" t="s">
        <v>3</v>
      </c>
      <c r="G1048" s="303" t="s">
        <v>725</v>
      </c>
      <c r="H1048" s="303"/>
      <c r="I1048" s="303"/>
      <c r="J1048" s="303" t="s">
        <v>941</v>
      </c>
      <c r="K1048" s="303"/>
      <c r="L1048" s="303">
        <v>2</v>
      </c>
      <c r="M1048" s="303"/>
      <c r="N1048" s="303"/>
      <c r="O1048" s="303" t="s">
        <v>452</v>
      </c>
      <c r="P1048" s="303" t="s">
        <v>452</v>
      </c>
      <c r="Q1048" s="303"/>
      <c r="R1048" s="303"/>
      <c r="S1048" s="305"/>
      <c r="T1048" s="305"/>
      <c r="U1048" s="303"/>
      <c r="V1048" s="303"/>
      <c r="W1048" s="303"/>
      <c r="X1048" s="303"/>
      <c r="Y1048" s="303"/>
      <c r="Z1048" s="306"/>
      <c r="AA1048" s="306"/>
      <c r="AB1048" s="306"/>
    </row>
    <row r="1049" spans="1:28" ht="15.75" hidden="1" customHeight="1">
      <c r="A1049" s="301">
        <v>44789</v>
      </c>
      <c r="B1049" s="303" t="s">
        <v>8341</v>
      </c>
      <c r="C1049" s="269"/>
      <c r="D1049" s="269"/>
      <c r="E1049" s="303" t="s">
        <v>8344</v>
      </c>
      <c r="F1049" s="270" t="s">
        <v>3</v>
      </c>
      <c r="G1049" s="303" t="s">
        <v>725</v>
      </c>
      <c r="H1049" s="303"/>
      <c r="I1049" s="303"/>
      <c r="J1049" s="303" t="s">
        <v>488</v>
      </c>
      <c r="K1049" s="303" t="s">
        <v>8346</v>
      </c>
      <c r="L1049" s="303">
        <v>3.5</v>
      </c>
      <c r="M1049" s="303"/>
      <c r="N1049" s="303"/>
      <c r="O1049" s="303" t="s">
        <v>452</v>
      </c>
      <c r="P1049" s="303" t="s">
        <v>13216</v>
      </c>
      <c r="Q1049" s="303"/>
      <c r="R1049" s="303"/>
      <c r="S1049" s="305"/>
      <c r="T1049" s="305"/>
      <c r="U1049" s="303"/>
      <c r="V1049" s="303"/>
      <c r="W1049" s="303"/>
      <c r="X1049" s="303"/>
      <c r="Y1049" s="303"/>
      <c r="Z1049" s="306"/>
      <c r="AA1049" s="306"/>
      <c r="AB1049" s="306"/>
    </row>
    <row r="1050" spans="1:28" ht="15.75" hidden="1" customHeight="1">
      <c r="A1050" s="301">
        <v>44789</v>
      </c>
      <c r="B1050" s="303" t="s">
        <v>8850</v>
      </c>
      <c r="C1050" s="269"/>
      <c r="D1050" s="269"/>
      <c r="E1050" s="303" t="s">
        <v>8853</v>
      </c>
      <c r="F1050" s="270" t="s">
        <v>3</v>
      </c>
      <c r="G1050" s="303" t="s">
        <v>725</v>
      </c>
      <c r="H1050" s="303"/>
      <c r="I1050" s="303"/>
      <c r="J1050" s="303" t="s">
        <v>462</v>
      </c>
      <c r="K1050" s="303"/>
      <c r="L1050" s="303"/>
      <c r="M1050" s="303" t="s">
        <v>478</v>
      </c>
      <c r="N1050" s="303">
        <v>20000000</v>
      </c>
      <c r="O1050" s="303" t="s">
        <v>452</v>
      </c>
      <c r="P1050" s="303" t="s">
        <v>8856</v>
      </c>
      <c r="Q1050" s="303"/>
      <c r="R1050" s="303"/>
      <c r="S1050" s="305"/>
      <c r="T1050" s="305"/>
      <c r="U1050" s="303"/>
      <c r="V1050" s="303"/>
      <c r="W1050" s="303"/>
      <c r="X1050" s="303"/>
      <c r="Y1050" s="303"/>
      <c r="Z1050" s="306"/>
      <c r="AA1050" s="306"/>
      <c r="AB1050" s="306"/>
    </row>
    <row r="1051" spans="1:28" ht="15.75" hidden="1" customHeight="1">
      <c r="A1051" s="301">
        <v>44789</v>
      </c>
      <c r="B1051" s="303" t="s">
        <v>364</v>
      </c>
      <c r="C1051" s="269"/>
      <c r="D1051" s="269"/>
      <c r="E1051" s="303" t="s">
        <v>9794</v>
      </c>
      <c r="F1051" s="270" t="s">
        <v>3</v>
      </c>
      <c r="G1051" s="303" t="s">
        <v>460</v>
      </c>
      <c r="H1051" s="303"/>
      <c r="I1051" s="303"/>
      <c r="J1051" s="303" t="s">
        <v>941</v>
      </c>
      <c r="K1051" s="303"/>
      <c r="L1051" s="303">
        <v>4</v>
      </c>
      <c r="M1051" s="303"/>
      <c r="N1051" s="303"/>
      <c r="O1051" s="303" t="s">
        <v>452</v>
      </c>
      <c r="P1051" s="303" t="s">
        <v>452</v>
      </c>
      <c r="Q1051" s="303" t="s">
        <v>9796</v>
      </c>
      <c r="R1051" s="303"/>
      <c r="S1051" s="305"/>
      <c r="T1051" s="305"/>
      <c r="U1051" s="303"/>
      <c r="V1051" s="303"/>
      <c r="W1051" s="303"/>
      <c r="X1051" s="303"/>
      <c r="Y1051" s="303"/>
      <c r="Z1051" s="306"/>
      <c r="AA1051" s="306"/>
      <c r="AB1051" s="306"/>
    </row>
    <row r="1052" spans="1:28" ht="15.75" hidden="1" customHeight="1">
      <c r="A1052" s="301">
        <v>44789</v>
      </c>
      <c r="B1052" s="303" t="s">
        <v>8869</v>
      </c>
      <c r="C1052" s="269"/>
      <c r="D1052" s="269"/>
      <c r="E1052" s="303" t="s">
        <v>8872</v>
      </c>
      <c r="F1052" s="270" t="s">
        <v>3</v>
      </c>
      <c r="G1052" s="303" t="s">
        <v>460</v>
      </c>
      <c r="H1052" s="303"/>
      <c r="I1052" s="303"/>
      <c r="J1052" s="303" t="s">
        <v>488</v>
      </c>
      <c r="K1052" s="303"/>
      <c r="L1052" s="303"/>
      <c r="M1052" s="303" t="s">
        <v>8874</v>
      </c>
      <c r="N1052" s="304">
        <v>5000000</v>
      </c>
      <c r="O1052" s="303" t="s">
        <v>452</v>
      </c>
      <c r="P1052" s="304" t="s">
        <v>452</v>
      </c>
      <c r="Q1052" s="303"/>
      <c r="R1052" s="303"/>
      <c r="S1052" s="305"/>
      <c r="T1052" s="305"/>
      <c r="U1052" s="303"/>
      <c r="V1052" s="303"/>
      <c r="W1052" s="303"/>
      <c r="X1052" s="303"/>
      <c r="Y1052" s="303"/>
      <c r="Z1052" s="306"/>
      <c r="AA1052" s="306"/>
      <c r="AB1052" s="306"/>
    </row>
    <row r="1053" spans="1:28" ht="15.75" hidden="1" customHeight="1">
      <c r="A1053" s="301">
        <v>44789</v>
      </c>
      <c r="B1053" s="303" t="s">
        <v>8589</v>
      </c>
      <c r="C1053" s="269"/>
      <c r="D1053" s="269"/>
      <c r="E1053" s="303" t="s">
        <v>10604</v>
      </c>
      <c r="F1053" s="270" t="s">
        <v>3</v>
      </c>
      <c r="G1053" s="303" t="s">
        <v>725</v>
      </c>
      <c r="H1053" s="303"/>
      <c r="I1053" s="303"/>
      <c r="J1053" s="303" t="s">
        <v>488</v>
      </c>
      <c r="K1053" s="303" t="s">
        <v>8594</v>
      </c>
      <c r="L1053" s="303"/>
      <c r="M1053" s="303" t="s">
        <v>451</v>
      </c>
      <c r="N1053" s="303" t="s">
        <v>4828</v>
      </c>
      <c r="O1053" s="303" t="s">
        <v>452</v>
      </c>
      <c r="P1053" s="303" t="s">
        <v>13217</v>
      </c>
      <c r="Q1053" s="303"/>
      <c r="R1053" s="303"/>
      <c r="S1053" s="305"/>
      <c r="T1053" s="305"/>
      <c r="U1053" s="303"/>
      <c r="V1053" s="303"/>
      <c r="W1053" s="303"/>
      <c r="X1053" s="303"/>
      <c r="Y1053" s="303"/>
      <c r="Z1053" s="306"/>
      <c r="AA1053" s="306"/>
      <c r="AB1053" s="306"/>
    </row>
    <row r="1054" spans="1:28" ht="15.75" hidden="1" customHeight="1">
      <c r="A1054" s="301">
        <v>44789</v>
      </c>
      <c r="B1054" s="303" t="s">
        <v>344</v>
      </c>
      <c r="C1054" s="269"/>
      <c r="D1054" s="269"/>
      <c r="E1054" s="303" t="s">
        <v>1964</v>
      </c>
      <c r="F1054" s="270" t="s">
        <v>3</v>
      </c>
      <c r="G1054" s="303" t="s">
        <v>725</v>
      </c>
      <c r="H1054" s="303"/>
      <c r="I1054" s="303"/>
      <c r="J1054" s="303" t="s">
        <v>462</v>
      </c>
      <c r="K1054" s="303"/>
      <c r="L1054" s="303"/>
      <c r="M1054" s="303" t="s">
        <v>478</v>
      </c>
      <c r="N1054" s="538">
        <v>10000000</v>
      </c>
      <c r="O1054" s="303" t="s">
        <v>452</v>
      </c>
      <c r="P1054" s="538" t="s">
        <v>10608</v>
      </c>
      <c r="Q1054" s="303"/>
      <c r="R1054" s="303"/>
      <c r="S1054" s="305"/>
      <c r="T1054" s="305"/>
      <c r="U1054" s="303"/>
      <c r="V1054" s="303"/>
      <c r="W1054" s="303"/>
      <c r="X1054" s="303"/>
      <c r="Y1054" s="303"/>
      <c r="Z1054" s="306"/>
      <c r="AA1054" s="306"/>
      <c r="AB1054" s="306"/>
    </row>
    <row r="1055" spans="1:28" ht="15.75" hidden="1" customHeight="1">
      <c r="A1055" s="301">
        <v>44789</v>
      </c>
      <c r="B1055" s="303" t="s">
        <v>8972</v>
      </c>
      <c r="C1055" s="269"/>
      <c r="D1055" s="269"/>
      <c r="E1055" s="303" t="s">
        <v>8975</v>
      </c>
      <c r="F1055" s="270" t="s">
        <v>3</v>
      </c>
      <c r="G1055" s="303" t="s">
        <v>460</v>
      </c>
      <c r="H1055" s="303"/>
      <c r="I1055" s="303"/>
      <c r="J1055" s="303" t="s">
        <v>488</v>
      </c>
      <c r="K1055" s="303"/>
      <c r="L1055" s="303"/>
      <c r="M1055" s="303" t="s">
        <v>451</v>
      </c>
      <c r="N1055" s="303">
        <v>5000000</v>
      </c>
      <c r="O1055" s="303" t="s">
        <v>452</v>
      </c>
      <c r="P1055" s="303" t="s">
        <v>8978</v>
      </c>
      <c r="Q1055" s="303"/>
      <c r="R1055" s="303"/>
      <c r="S1055" s="305"/>
      <c r="T1055" s="305"/>
      <c r="U1055" s="303"/>
      <c r="V1055" s="303"/>
      <c r="W1055" s="303"/>
      <c r="X1055" s="303"/>
      <c r="Y1055" s="303"/>
      <c r="Z1055" s="306"/>
      <c r="AA1055" s="306"/>
      <c r="AB1055" s="306"/>
    </row>
    <row r="1056" spans="1:28" ht="15.75" hidden="1" customHeight="1">
      <c r="A1056" s="301">
        <v>44789</v>
      </c>
      <c r="B1056" s="303" t="s">
        <v>8903</v>
      </c>
      <c r="C1056" s="269"/>
      <c r="D1056" s="269"/>
      <c r="E1056" s="303" t="s">
        <v>10612</v>
      </c>
      <c r="F1056" s="270" t="s">
        <v>3</v>
      </c>
      <c r="G1056" s="303" t="s">
        <v>460</v>
      </c>
      <c r="H1056" s="303"/>
      <c r="I1056" s="303"/>
      <c r="J1056" s="303" t="s">
        <v>941</v>
      </c>
      <c r="K1056" s="303"/>
      <c r="L1056" s="303">
        <v>1</v>
      </c>
      <c r="M1056" s="303" t="s">
        <v>478</v>
      </c>
      <c r="N1056" s="538">
        <v>2000000</v>
      </c>
      <c r="O1056" s="303" t="s">
        <v>452</v>
      </c>
      <c r="P1056" s="538" t="s">
        <v>8907</v>
      </c>
      <c r="Q1056" s="303"/>
      <c r="R1056" s="303"/>
      <c r="S1056" s="305"/>
      <c r="T1056" s="305"/>
      <c r="U1056" s="303"/>
      <c r="V1056" s="303"/>
      <c r="W1056" s="303"/>
      <c r="X1056" s="303"/>
      <c r="Y1056" s="303"/>
      <c r="Z1056" s="306"/>
      <c r="AA1056" s="306"/>
      <c r="AB1056" s="306"/>
    </row>
    <row r="1057" spans="1:28" ht="15.75" hidden="1" customHeight="1">
      <c r="A1057" s="301">
        <v>44789</v>
      </c>
      <c r="B1057" s="303" t="s">
        <v>350</v>
      </c>
      <c r="C1057" s="269"/>
      <c r="D1057" s="269"/>
      <c r="E1057" s="303" t="s">
        <v>9723</v>
      </c>
      <c r="F1057" s="270" t="s">
        <v>3</v>
      </c>
      <c r="G1057" s="303" t="s">
        <v>460</v>
      </c>
      <c r="H1057" s="303"/>
      <c r="I1057" s="303"/>
      <c r="J1057" s="303" t="s">
        <v>462</v>
      </c>
      <c r="K1057" s="303" t="s">
        <v>9725</v>
      </c>
      <c r="L1057" s="303">
        <v>4</v>
      </c>
      <c r="M1057" s="303" t="s">
        <v>478</v>
      </c>
      <c r="N1057" s="304">
        <v>10000000</v>
      </c>
      <c r="O1057" s="303" t="s">
        <v>452</v>
      </c>
      <c r="P1057" s="304" t="s">
        <v>9726</v>
      </c>
      <c r="Q1057" s="303"/>
      <c r="R1057" s="303"/>
      <c r="S1057" s="305"/>
      <c r="T1057" s="305"/>
      <c r="U1057" s="303"/>
      <c r="V1057" s="303"/>
      <c r="W1057" s="303"/>
      <c r="X1057" s="303"/>
      <c r="Y1057" s="303"/>
      <c r="Z1057" s="306"/>
      <c r="AA1057" s="306"/>
      <c r="AB1057" s="306"/>
    </row>
    <row r="1058" spans="1:28" ht="15.75" hidden="1" customHeight="1">
      <c r="A1058" s="301">
        <v>44789</v>
      </c>
      <c r="B1058" s="303" t="s">
        <v>380</v>
      </c>
      <c r="C1058" s="269"/>
      <c r="D1058" s="269"/>
      <c r="E1058" s="303" t="s">
        <v>9894</v>
      </c>
      <c r="F1058" s="270" t="s">
        <v>3</v>
      </c>
      <c r="G1058" s="303" t="s">
        <v>488</v>
      </c>
      <c r="H1058" s="303"/>
      <c r="I1058" s="303"/>
      <c r="J1058" s="303" t="s">
        <v>941</v>
      </c>
      <c r="K1058" s="303"/>
      <c r="L1058" s="303"/>
      <c r="M1058" s="303" t="s">
        <v>451</v>
      </c>
      <c r="N1058" s="304">
        <v>1500000</v>
      </c>
      <c r="O1058" s="303" t="s">
        <v>452</v>
      </c>
      <c r="P1058" s="304" t="s">
        <v>452</v>
      </c>
      <c r="Q1058" s="303"/>
      <c r="R1058" s="303"/>
      <c r="S1058" s="305"/>
      <c r="T1058" s="305"/>
      <c r="U1058" s="303"/>
      <c r="V1058" s="303"/>
      <c r="W1058" s="303"/>
      <c r="X1058" s="303"/>
      <c r="Y1058" s="303"/>
      <c r="Z1058" s="306"/>
      <c r="AA1058" s="306"/>
      <c r="AB1058" s="306"/>
    </row>
    <row r="1059" spans="1:28" ht="15.75" hidden="1" customHeight="1">
      <c r="A1059" s="301">
        <v>44789</v>
      </c>
      <c r="B1059" s="303" t="s">
        <v>8580</v>
      </c>
      <c r="C1059" s="269"/>
      <c r="D1059" s="269"/>
      <c r="E1059" s="303" t="s">
        <v>8583</v>
      </c>
      <c r="F1059" s="270" t="s">
        <v>3</v>
      </c>
      <c r="G1059" s="303" t="s">
        <v>488</v>
      </c>
      <c r="H1059" s="303"/>
      <c r="I1059" s="303"/>
      <c r="J1059" s="303" t="s">
        <v>462</v>
      </c>
      <c r="K1059" s="303"/>
      <c r="L1059" s="303"/>
      <c r="M1059" s="303" t="s">
        <v>1578</v>
      </c>
      <c r="N1059" s="303" t="s">
        <v>6241</v>
      </c>
      <c r="O1059" s="303" t="s">
        <v>452</v>
      </c>
      <c r="P1059" s="303" t="s">
        <v>10825</v>
      </c>
      <c r="Q1059" s="303"/>
      <c r="R1059" s="303"/>
      <c r="S1059" s="305"/>
      <c r="T1059" s="305"/>
      <c r="U1059" s="303"/>
      <c r="V1059" s="303"/>
      <c r="W1059" s="303"/>
      <c r="X1059" s="303"/>
      <c r="Y1059" s="303"/>
      <c r="Z1059" s="306"/>
      <c r="AA1059" s="306"/>
      <c r="AB1059" s="306"/>
    </row>
    <row r="1060" spans="1:28" ht="15.75" hidden="1" customHeight="1">
      <c r="A1060" s="301">
        <v>44789</v>
      </c>
      <c r="B1060" s="303" t="s">
        <v>255</v>
      </c>
      <c r="C1060" s="269"/>
      <c r="D1060" s="269"/>
      <c r="E1060" s="303" t="s">
        <v>13218</v>
      </c>
      <c r="F1060" s="270" t="s">
        <v>4</v>
      </c>
      <c r="G1060" s="303" t="s">
        <v>602</v>
      </c>
      <c r="H1060" s="303"/>
      <c r="I1060" s="303">
        <v>4</v>
      </c>
      <c r="J1060" s="303" t="s">
        <v>1054</v>
      </c>
      <c r="K1060" s="303"/>
      <c r="L1060" s="303"/>
      <c r="M1060" s="303"/>
      <c r="N1060" s="303"/>
      <c r="O1060" s="303" t="s">
        <v>465</v>
      </c>
      <c r="P1060" s="303" t="s">
        <v>4102</v>
      </c>
      <c r="Q1060" s="303"/>
      <c r="R1060" s="303"/>
      <c r="S1060" s="305"/>
      <c r="T1060" s="305"/>
      <c r="U1060" s="303"/>
      <c r="V1060" s="303"/>
      <c r="W1060" s="303"/>
      <c r="X1060" s="303"/>
      <c r="Y1060" s="303"/>
      <c r="Z1060" s="306"/>
      <c r="AA1060" s="306"/>
      <c r="AB1060" s="306"/>
    </row>
    <row r="1061" spans="1:28" ht="15.75" hidden="1" customHeight="1">
      <c r="A1061" s="301">
        <v>44789</v>
      </c>
      <c r="B1061" s="303" t="s">
        <v>157</v>
      </c>
      <c r="C1061" s="269"/>
      <c r="D1061" s="269"/>
      <c r="E1061" s="303" t="s">
        <v>1060</v>
      </c>
      <c r="F1061" s="270" t="s">
        <v>4</v>
      </c>
      <c r="G1061" s="303" t="s">
        <v>602</v>
      </c>
      <c r="H1061" s="303" t="s">
        <v>1061</v>
      </c>
      <c r="I1061" s="303">
        <v>4</v>
      </c>
      <c r="J1061" s="303" t="s">
        <v>1054</v>
      </c>
      <c r="K1061" s="303"/>
      <c r="L1061" s="303"/>
      <c r="M1061" s="303" t="s">
        <v>1063</v>
      </c>
      <c r="N1061" s="303" t="s">
        <v>1064</v>
      </c>
      <c r="O1061" s="303" t="s">
        <v>452</v>
      </c>
      <c r="P1061" s="303" t="s">
        <v>10907</v>
      </c>
      <c r="Q1061" s="303" t="s">
        <v>1066</v>
      </c>
      <c r="R1061" s="303"/>
      <c r="S1061" s="305"/>
      <c r="T1061" s="305"/>
      <c r="U1061" s="303"/>
      <c r="V1061" s="303"/>
      <c r="W1061" s="303"/>
      <c r="X1061" s="303"/>
      <c r="Y1061" s="303"/>
      <c r="Z1061" s="306"/>
      <c r="AA1061" s="306"/>
      <c r="AB1061" s="306"/>
    </row>
    <row r="1062" spans="1:28" ht="15.75" hidden="1" customHeight="1">
      <c r="A1062" s="301">
        <v>44789</v>
      </c>
      <c r="B1062" s="303" t="s">
        <v>401</v>
      </c>
      <c r="C1062" s="269"/>
      <c r="D1062" s="269"/>
      <c r="E1062" s="303" t="s">
        <v>10115</v>
      </c>
      <c r="F1062" s="270" t="s">
        <v>3</v>
      </c>
      <c r="G1062" s="303" t="s">
        <v>488</v>
      </c>
      <c r="H1062" s="303"/>
      <c r="I1062" s="303"/>
      <c r="J1062" s="303" t="s">
        <v>462</v>
      </c>
      <c r="K1062" s="303"/>
      <c r="L1062" s="303"/>
      <c r="M1062" s="303" t="s">
        <v>451</v>
      </c>
      <c r="N1062" s="304">
        <v>3000000</v>
      </c>
      <c r="O1062" s="303" t="s">
        <v>465</v>
      </c>
      <c r="P1062" s="304" t="s">
        <v>10118</v>
      </c>
      <c r="Q1062" s="303"/>
      <c r="R1062" s="303"/>
      <c r="S1062" s="305"/>
      <c r="T1062" s="305"/>
      <c r="U1062" s="303"/>
      <c r="V1062" s="303"/>
      <c r="W1062" s="303"/>
      <c r="X1062" s="303"/>
      <c r="Y1062" s="303"/>
      <c r="Z1062" s="306"/>
      <c r="AA1062" s="306"/>
      <c r="AB1062" s="306"/>
    </row>
    <row r="1063" spans="1:28" ht="15.75" hidden="1" customHeight="1">
      <c r="A1063" s="301">
        <v>44789</v>
      </c>
      <c r="B1063" s="303" t="s">
        <v>323</v>
      </c>
      <c r="C1063" s="269"/>
      <c r="D1063" s="269"/>
      <c r="E1063" s="303" t="s">
        <v>13219</v>
      </c>
      <c r="F1063" s="270" t="s">
        <v>3</v>
      </c>
      <c r="G1063" s="303" t="s">
        <v>488</v>
      </c>
      <c r="H1063" s="303"/>
      <c r="I1063" s="303"/>
      <c r="J1063" s="303" t="s">
        <v>462</v>
      </c>
      <c r="K1063" s="303"/>
      <c r="L1063" s="303"/>
      <c r="M1063" s="303" t="s">
        <v>451</v>
      </c>
      <c r="N1063" s="304">
        <v>500000</v>
      </c>
      <c r="O1063" s="303" t="s">
        <v>452</v>
      </c>
      <c r="P1063" s="540" t="s">
        <v>13220</v>
      </c>
      <c r="Q1063" s="303" t="s">
        <v>1795</v>
      </c>
      <c r="R1063" s="303"/>
      <c r="S1063" s="305"/>
      <c r="T1063" s="305"/>
      <c r="U1063" s="303"/>
      <c r="V1063" s="303"/>
      <c r="W1063" s="303"/>
      <c r="X1063" s="303"/>
      <c r="Y1063" s="303"/>
      <c r="Z1063" s="306"/>
      <c r="AA1063" s="306"/>
      <c r="AB1063" s="306"/>
    </row>
    <row r="1064" spans="1:28" ht="15.75" hidden="1" customHeight="1">
      <c r="A1064" s="301">
        <v>44789</v>
      </c>
      <c r="B1064" s="303" t="s">
        <v>393</v>
      </c>
      <c r="C1064" s="269"/>
      <c r="D1064" s="269"/>
      <c r="E1064" s="303" t="s">
        <v>11070</v>
      </c>
      <c r="F1064" s="270" t="s">
        <v>3</v>
      </c>
      <c r="G1064" s="303" t="s">
        <v>488</v>
      </c>
      <c r="H1064" s="303"/>
      <c r="I1064" s="303"/>
      <c r="J1064" s="303" t="s">
        <v>462</v>
      </c>
      <c r="K1064" s="303"/>
      <c r="L1064" s="303"/>
      <c r="M1064" s="303"/>
      <c r="N1064" s="303"/>
      <c r="O1064" s="303" t="s">
        <v>452</v>
      </c>
      <c r="P1064" s="303" t="s">
        <v>11072</v>
      </c>
      <c r="Q1064" s="303"/>
      <c r="R1064" s="303"/>
      <c r="S1064" s="305"/>
      <c r="T1064" s="305"/>
      <c r="U1064" s="303"/>
      <c r="V1064" s="303"/>
      <c r="W1064" s="303"/>
      <c r="X1064" s="303"/>
      <c r="Y1064" s="303"/>
      <c r="Z1064" s="306"/>
      <c r="AA1064" s="306"/>
      <c r="AB1064" s="306"/>
    </row>
    <row r="1065" spans="1:28" ht="15.75" hidden="1" customHeight="1">
      <c r="A1065" s="301">
        <v>44789</v>
      </c>
      <c r="B1065" s="303" t="s">
        <v>321</v>
      </c>
      <c r="C1065" s="269"/>
      <c r="D1065" s="269"/>
      <c r="E1065" s="303" t="s">
        <v>1776</v>
      </c>
      <c r="F1065" s="270" t="s">
        <v>3</v>
      </c>
      <c r="G1065" s="303" t="s">
        <v>488</v>
      </c>
      <c r="H1065" s="303"/>
      <c r="I1065" s="303"/>
      <c r="J1065" s="303" t="s">
        <v>941</v>
      </c>
      <c r="K1065" s="303"/>
      <c r="L1065" s="303"/>
      <c r="M1065" s="303" t="s">
        <v>451</v>
      </c>
      <c r="N1065" s="304">
        <v>10000000</v>
      </c>
      <c r="O1065" s="303" t="s">
        <v>452</v>
      </c>
      <c r="P1065" s="304" t="s">
        <v>575</v>
      </c>
      <c r="Q1065" s="303" t="s">
        <v>1777</v>
      </c>
      <c r="R1065" s="303"/>
      <c r="S1065" s="305"/>
      <c r="T1065" s="305"/>
      <c r="U1065" s="303"/>
      <c r="V1065" s="303"/>
      <c r="W1065" s="303"/>
      <c r="X1065" s="303"/>
      <c r="Y1065" s="303"/>
      <c r="Z1065" s="306"/>
      <c r="AA1065" s="306"/>
      <c r="AB1065" s="306"/>
    </row>
    <row r="1066" spans="1:28" ht="15.75" hidden="1" customHeight="1">
      <c r="A1066" s="301">
        <v>44789</v>
      </c>
      <c r="B1066" s="303" t="s">
        <v>383</v>
      </c>
      <c r="C1066" s="269"/>
      <c r="D1066" s="269"/>
      <c r="E1066" s="303" t="s">
        <v>9911</v>
      </c>
      <c r="F1066" s="270" t="s">
        <v>3</v>
      </c>
      <c r="G1066" s="303" t="s">
        <v>488</v>
      </c>
      <c r="H1066" s="303"/>
      <c r="I1066" s="303"/>
      <c r="J1066" s="303" t="s">
        <v>941</v>
      </c>
      <c r="K1066" s="303"/>
      <c r="L1066" s="303"/>
      <c r="M1066" s="303"/>
      <c r="N1066" s="303"/>
      <c r="O1066" s="303" t="s">
        <v>465</v>
      </c>
      <c r="P1066" s="303" t="s">
        <v>9914</v>
      </c>
      <c r="Q1066" s="303"/>
      <c r="R1066" s="303"/>
      <c r="S1066" s="305"/>
      <c r="T1066" s="305"/>
      <c r="U1066" s="303"/>
      <c r="V1066" s="303"/>
      <c r="W1066" s="303"/>
      <c r="X1066" s="303"/>
      <c r="Y1066" s="303"/>
      <c r="Z1066" s="306"/>
      <c r="AA1066" s="306"/>
      <c r="AB1066" s="306"/>
    </row>
    <row r="1067" spans="1:28" ht="15.75" hidden="1" customHeight="1">
      <c r="A1067" s="301">
        <v>44789</v>
      </c>
      <c r="B1067" s="303" t="s">
        <v>4848</v>
      </c>
      <c r="C1067" s="269"/>
      <c r="D1067" s="269"/>
      <c r="E1067" s="303" t="s">
        <v>4851</v>
      </c>
      <c r="F1067" s="270" t="s">
        <v>4</v>
      </c>
      <c r="G1067" s="303" t="s">
        <v>727</v>
      </c>
      <c r="H1067" s="303" t="s">
        <v>11387</v>
      </c>
      <c r="I1067" s="303">
        <v>3.5</v>
      </c>
      <c r="J1067" s="303" t="s">
        <v>602</v>
      </c>
      <c r="K1067" s="303"/>
      <c r="L1067" s="303"/>
      <c r="M1067" s="303"/>
      <c r="N1067" s="303"/>
      <c r="O1067" s="303" t="s">
        <v>452</v>
      </c>
      <c r="P1067" s="303" t="s">
        <v>575</v>
      </c>
      <c r="Q1067" s="303"/>
      <c r="R1067" s="303"/>
      <c r="S1067" s="305"/>
      <c r="T1067" s="305"/>
      <c r="U1067" s="303"/>
      <c r="V1067" s="303"/>
      <c r="W1067" s="303"/>
      <c r="X1067" s="303"/>
      <c r="Y1067" s="303"/>
      <c r="Z1067" s="306"/>
      <c r="AA1067" s="306"/>
      <c r="AB1067" s="306"/>
    </row>
    <row r="1068" spans="1:28" ht="15.75" hidden="1" customHeight="1">
      <c r="A1068" s="301">
        <v>44789</v>
      </c>
      <c r="B1068" s="303" t="s">
        <v>13177</v>
      </c>
      <c r="C1068" s="269"/>
      <c r="D1068" s="269"/>
      <c r="E1068" s="303" t="s">
        <v>6454</v>
      </c>
      <c r="F1068" s="270" t="s">
        <v>4</v>
      </c>
      <c r="G1068" s="303" t="s">
        <v>727</v>
      </c>
      <c r="H1068" s="303" t="s">
        <v>6455</v>
      </c>
      <c r="I1068" s="303">
        <v>2.5</v>
      </c>
      <c r="J1068" s="303" t="s">
        <v>602</v>
      </c>
      <c r="K1068" s="303"/>
      <c r="L1068" s="303"/>
      <c r="M1068" s="303" t="s">
        <v>784</v>
      </c>
      <c r="N1068" s="304">
        <v>1200000</v>
      </c>
      <c r="O1068" s="303" t="s">
        <v>452</v>
      </c>
      <c r="P1068" s="304" t="s">
        <v>1119</v>
      </c>
      <c r="Q1068" s="303"/>
      <c r="R1068" s="303"/>
      <c r="S1068" s="305"/>
      <c r="T1068" s="305"/>
      <c r="U1068" s="303"/>
      <c r="V1068" s="303"/>
      <c r="W1068" s="303"/>
      <c r="X1068" s="303"/>
      <c r="Y1068" s="303"/>
      <c r="Z1068" s="306"/>
      <c r="AA1068" s="306"/>
      <c r="AB1068" s="306"/>
    </row>
    <row r="1069" spans="1:28" ht="15.75" hidden="1" customHeight="1">
      <c r="A1069" s="301">
        <v>44789</v>
      </c>
      <c r="B1069" s="303" t="s">
        <v>220</v>
      </c>
      <c r="C1069" s="269"/>
      <c r="D1069" s="269"/>
      <c r="E1069" s="303" t="s">
        <v>1320</v>
      </c>
      <c r="F1069" s="270" t="s">
        <v>4</v>
      </c>
      <c r="G1069" s="303" t="s">
        <v>727</v>
      </c>
      <c r="H1069" s="303" t="s">
        <v>11446</v>
      </c>
      <c r="I1069" s="303">
        <v>4</v>
      </c>
      <c r="J1069" s="303" t="s">
        <v>602</v>
      </c>
      <c r="K1069" s="303"/>
      <c r="L1069" s="303"/>
      <c r="M1069" s="303" t="s">
        <v>451</v>
      </c>
      <c r="N1069" s="303" t="s">
        <v>1323</v>
      </c>
      <c r="O1069" s="303" t="s">
        <v>454</v>
      </c>
      <c r="P1069" s="303" t="s">
        <v>452</v>
      </c>
      <c r="Q1069" s="303" t="s">
        <v>1324</v>
      </c>
      <c r="R1069" s="303"/>
      <c r="S1069" s="305"/>
      <c r="T1069" s="305"/>
      <c r="U1069" s="303"/>
      <c r="V1069" s="303"/>
      <c r="W1069" s="303"/>
      <c r="X1069" s="303"/>
      <c r="Y1069" s="303"/>
      <c r="Z1069" s="306"/>
      <c r="AA1069" s="306"/>
      <c r="AB1069" s="306"/>
    </row>
    <row r="1070" spans="1:28" ht="15.75" hidden="1" customHeight="1">
      <c r="A1070" s="301">
        <v>44789</v>
      </c>
      <c r="B1070" s="303" t="s">
        <v>5210</v>
      </c>
      <c r="C1070" s="269"/>
      <c r="D1070" s="269"/>
      <c r="E1070" s="303" t="s">
        <v>5213</v>
      </c>
      <c r="F1070" s="270" t="s">
        <v>4</v>
      </c>
      <c r="G1070" s="303" t="s">
        <v>727</v>
      </c>
      <c r="H1070" s="303" t="s">
        <v>11449</v>
      </c>
      <c r="I1070" s="303">
        <v>3.5</v>
      </c>
      <c r="J1070" s="303" t="s">
        <v>602</v>
      </c>
      <c r="K1070" s="303"/>
      <c r="L1070" s="303"/>
      <c r="M1070" s="303" t="s">
        <v>451</v>
      </c>
      <c r="N1070" s="303">
        <v>3600000</v>
      </c>
      <c r="O1070" s="303" t="s">
        <v>465</v>
      </c>
      <c r="P1070" s="303" t="s">
        <v>452</v>
      </c>
      <c r="Q1070" s="303"/>
      <c r="R1070" s="303"/>
      <c r="S1070" s="305"/>
      <c r="T1070" s="305"/>
      <c r="U1070" s="303"/>
      <c r="V1070" s="303"/>
      <c r="W1070" s="303"/>
      <c r="X1070" s="303"/>
      <c r="Y1070" s="303"/>
      <c r="Z1070" s="306"/>
      <c r="AA1070" s="306"/>
      <c r="AB1070" s="306"/>
    </row>
    <row r="1071" spans="1:28" ht="15.75" hidden="1" customHeight="1">
      <c r="A1071" s="301">
        <v>44789</v>
      </c>
      <c r="B1071" s="303" t="s">
        <v>309</v>
      </c>
      <c r="C1071" s="269"/>
      <c r="D1071" s="269"/>
      <c r="E1071" s="303" t="s">
        <v>1593</v>
      </c>
      <c r="F1071" s="270" t="s">
        <v>4</v>
      </c>
      <c r="G1071" s="303" t="s">
        <v>727</v>
      </c>
      <c r="H1071" s="303" t="s">
        <v>11460</v>
      </c>
      <c r="I1071" s="303">
        <v>5</v>
      </c>
      <c r="J1071" s="303" t="s">
        <v>602</v>
      </c>
      <c r="K1071" s="303"/>
      <c r="L1071" s="303"/>
      <c r="M1071" s="303" t="s">
        <v>451</v>
      </c>
      <c r="N1071" s="303">
        <v>1500000</v>
      </c>
      <c r="O1071" s="303" t="s">
        <v>452</v>
      </c>
      <c r="P1071" s="303" t="s">
        <v>1119</v>
      </c>
      <c r="Q1071" s="303"/>
      <c r="R1071" s="303"/>
      <c r="S1071" s="305"/>
      <c r="T1071" s="305"/>
      <c r="U1071" s="303"/>
      <c r="V1071" s="303"/>
      <c r="W1071" s="303"/>
      <c r="X1071" s="303"/>
      <c r="Y1071" s="303"/>
      <c r="Z1071" s="306"/>
      <c r="AA1071" s="306"/>
      <c r="AB1071" s="306"/>
    </row>
    <row r="1072" spans="1:28" ht="15.75" hidden="1" customHeight="1">
      <c r="A1072" s="301">
        <v>44789</v>
      </c>
      <c r="B1072" s="303" t="s">
        <v>304</v>
      </c>
      <c r="C1072" s="269"/>
      <c r="D1072" s="269"/>
      <c r="E1072" s="303" t="s">
        <v>9526</v>
      </c>
      <c r="F1072" s="270" t="s">
        <v>3</v>
      </c>
      <c r="G1072" s="303" t="s">
        <v>460</v>
      </c>
      <c r="H1072" s="303"/>
      <c r="I1072" s="303"/>
      <c r="J1072" s="303" t="s">
        <v>488</v>
      </c>
      <c r="K1072" s="303" t="s">
        <v>9528</v>
      </c>
      <c r="L1072" s="303">
        <v>4</v>
      </c>
      <c r="M1072" s="303"/>
      <c r="N1072" s="303"/>
      <c r="O1072" s="303" t="s">
        <v>452</v>
      </c>
      <c r="P1072" s="303" t="s">
        <v>9529</v>
      </c>
      <c r="Q1072" s="303"/>
      <c r="R1072" s="303"/>
      <c r="S1072" s="305"/>
      <c r="T1072" s="305"/>
      <c r="U1072" s="303"/>
      <c r="V1072" s="303"/>
      <c r="W1072" s="303"/>
      <c r="X1072" s="303"/>
      <c r="Y1072" s="303"/>
      <c r="Z1072" s="306"/>
      <c r="AA1072" s="306"/>
      <c r="AB1072" s="306"/>
    </row>
    <row r="1073" spans="1:28" ht="15.75" hidden="1" customHeight="1">
      <c r="A1073" s="301">
        <v>44789</v>
      </c>
      <c r="B1073" s="303" t="s">
        <v>183</v>
      </c>
      <c r="C1073" s="269"/>
      <c r="D1073" s="269"/>
      <c r="E1073" s="303" t="s">
        <v>1159</v>
      </c>
      <c r="F1073" s="270" t="s">
        <v>4</v>
      </c>
      <c r="G1073" s="303" t="s">
        <v>727</v>
      </c>
      <c r="H1073" s="303" t="s">
        <v>13221</v>
      </c>
      <c r="I1073" s="303">
        <v>4</v>
      </c>
      <c r="J1073" s="303" t="s">
        <v>602</v>
      </c>
      <c r="K1073" s="303"/>
      <c r="L1073" s="303"/>
      <c r="M1073" s="303"/>
      <c r="N1073" s="303"/>
      <c r="O1073" s="303"/>
      <c r="P1073" s="303" t="s">
        <v>1162</v>
      </c>
      <c r="Q1073" s="303"/>
      <c r="R1073" s="303"/>
      <c r="S1073" s="305"/>
      <c r="T1073" s="305"/>
      <c r="U1073" s="303"/>
      <c r="V1073" s="303"/>
      <c r="W1073" s="303"/>
      <c r="X1073" s="303"/>
      <c r="Y1073" s="303"/>
      <c r="Z1073" s="306"/>
      <c r="AA1073" s="306"/>
      <c r="AB1073" s="306"/>
    </row>
    <row r="1074" spans="1:28" ht="15.75" hidden="1" customHeight="1">
      <c r="A1074" s="301">
        <v>44789</v>
      </c>
      <c r="B1074" s="303" t="s">
        <v>6673</v>
      </c>
      <c r="C1074" s="269"/>
      <c r="D1074" s="269"/>
      <c r="E1074" s="303" t="s">
        <v>6676</v>
      </c>
      <c r="F1074" s="270" t="s">
        <v>4</v>
      </c>
      <c r="G1074" s="303" t="s">
        <v>727</v>
      </c>
      <c r="H1074" s="303" t="s">
        <v>6677</v>
      </c>
      <c r="I1074" s="303">
        <v>2.5</v>
      </c>
      <c r="J1074" s="303" t="s">
        <v>602</v>
      </c>
      <c r="K1074" s="303"/>
      <c r="L1074" s="303"/>
      <c r="M1074" s="303" t="s">
        <v>451</v>
      </c>
      <c r="N1074" s="303">
        <v>2800000</v>
      </c>
      <c r="O1074" s="303" t="s">
        <v>452</v>
      </c>
      <c r="P1074" s="303" t="s">
        <v>6679</v>
      </c>
      <c r="Q1074" s="303"/>
      <c r="R1074" s="303"/>
      <c r="S1074" s="305"/>
      <c r="T1074" s="305"/>
      <c r="U1074" s="303"/>
      <c r="V1074" s="303"/>
      <c r="W1074" s="303"/>
      <c r="X1074" s="303"/>
      <c r="Y1074" s="303"/>
      <c r="Z1074" s="306"/>
      <c r="AA1074" s="306"/>
      <c r="AB1074" s="306"/>
    </row>
    <row r="1075" spans="1:28" ht="15.75" hidden="1" customHeight="1">
      <c r="A1075" s="301">
        <v>44789</v>
      </c>
      <c r="B1075" s="303" t="s">
        <v>315</v>
      </c>
      <c r="C1075" s="269"/>
      <c r="D1075" s="269"/>
      <c r="E1075" s="303" t="s">
        <v>1735</v>
      </c>
      <c r="F1075" s="270" t="s">
        <v>3</v>
      </c>
      <c r="G1075" s="303" t="s">
        <v>460</v>
      </c>
      <c r="H1075" s="303"/>
      <c r="I1075" s="303"/>
      <c r="J1075" s="303" t="s">
        <v>462</v>
      </c>
      <c r="K1075" s="303" t="s">
        <v>1737</v>
      </c>
      <c r="L1075" s="303">
        <v>4</v>
      </c>
      <c r="M1075" s="303"/>
      <c r="N1075" s="303"/>
      <c r="O1075" s="303" t="s">
        <v>452</v>
      </c>
      <c r="P1075" s="303" t="s">
        <v>1738</v>
      </c>
      <c r="Q1075" s="303" t="s">
        <v>1739</v>
      </c>
      <c r="R1075" s="303"/>
      <c r="S1075" s="305"/>
      <c r="T1075" s="305"/>
      <c r="U1075" s="303"/>
      <c r="V1075" s="303"/>
      <c r="W1075" s="303"/>
      <c r="X1075" s="303"/>
      <c r="Y1075" s="303"/>
      <c r="Z1075" s="306"/>
      <c r="AA1075" s="306"/>
      <c r="AB1075" s="306"/>
    </row>
    <row r="1076" spans="1:28" ht="15.75" hidden="1" customHeight="1">
      <c r="A1076" s="301">
        <v>44789</v>
      </c>
      <c r="B1076" s="303" t="s">
        <v>358</v>
      </c>
      <c r="C1076" s="269"/>
      <c r="D1076" s="269"/>
      <c r="E1076" s="303" t="s">
        <v>10548</v>
      </c>
      <c r="F1076" s="270" t="s">
        <v>3</v>
      </c>
      <c r="G1076" s="303" t="s">
        <v>725</v>
      </c>
      <c r="H1076" s="303"/>
      <c r="I1076" s="303"/>
      <c r="J1076" s="303" t="s">
        <v>941</v>
      </c>
      <c r="K1076" s="303" t="s">
        <v>2025</v>
      </c>
      <c r="L1076" s="303">
        <v>4</v>
      </c>
      <c r="M1076" s="303" t="s">
        <v>478</v>
      </c>
      <c r="N1076" s="303" t="s">
        <v>2026</v>
      </c>
      <c r="O1076" s="303" t="s">
        <v>452</v>
      </c>
      <c r="P1076" s="303" t="s">
        <v>452</v>
      </c>
      <c r="Q1076" s="303"/>
      <c r="R1076" s="303"/>
      <c r="S1076" s="305"/>
      <c r="T1076" s="305"/>
      <c r="U1076" s="303"/>
      <c r="V1076" s="303"/>
      <c r="W1076" s="303"/>
      <c r="X1076" s="303"/>
      <c r="Y1076" s="303"/>
      <c r="Z1076" s="306"/>
      <c r="AA1076" s="306"/>
      <c r="AB1076" s="306"/>
    </row>
    <row r="1077" spans="1:28" ht="15.75" hidden="1" customHeight="1">
      <c r="A1077" s="301">
        <v>44789</v>
      </c>
      <c r="B1077" s="302" t="s">
        <v>13222</v>
      </c>
      <c r="C1077" s="269"/>
      <c r="D1077" s="269"/>
      <c r="E1077" s="303" t="s">
        <v>11098</v>
      </c>
      <c r="F1077" s="270" t="s">
        <v>3</v>
      </c>
      <c r="G1077" s="303" t="s">
        <v>488</v>
      </c>
      <c r="H1077" s="303"/>
      <c r="I1077" s="303"/>
      <c r="J1077" s="303" t="s">
        <v>941</v>
      </c>
      <c r="K1077" s="303" t="s">
        <v>8728</v>
      </c>
      <c r="L1077" s="303">
        <v>3</v>
      </c>
      <c r="M1077" s="303" t="s">
        <v>451</v>
      </c>
      <c r="N1077" s="304">
        <v>450000</v>
      </c>
      <c r="O1077" s="303" t="s">
        <v>465</v>
      </c>
      <c r="P1077" s="304" t="s">
        <v>8729</v>
      </c>
      <c r="Q1077" s="303"/>
      <c r="R1077" s="303"/>
      <c r="S1077" s="305"/>
      <c r="T1077" s="305"/>
      <c r="U1077" s="303"/>
      <c r="V1077" s="303"/>
      <c r="W1077" s="303"/>
      <c r="X1077" s="303"/>
      <c r="Y1077" s="303"/>
      <c r="Z1077" s="306"/>
      <c r="AA1077" s="306"/>
      <c r="AB1077" s="306"/>
    </row>
    <row r="1078" spans="1:28" ht="15.75" hidden="1" customHeight="1">
      <c r="A1078" s="301">
        <v>44789</v>
      </c>
      <c r="B1078" s="303" t="s">
        <v>5668</v>
      </c>
      <c r="C1078" s="269"/>
      <c r="D1078" s="269"/>
      <c r="E1078" s="303" t="s">
        <v>5671</v>
      </c>
      <c r="F1078" s="270" t="s">
        <v>4</v>
      </c>
      <c r="G1078" s="303" t="s">
        <v>727</v>
      </c>
      <c r="H1078" s="303" t="s">
        <v>11444</v>
      </c>
      <c r="I1078" s="303">
        <v>3</v>
      </c>
      <c r="J1078" s="303" t="s">
        <v>602</v>
      </c>
      <c r="K1078" s="303"/>
      <c r="L1078" s="303"/>
      <c r="M1078" s="303" t="s">
        <v>451</v>
      </c>
      <c r="N1078" s="304">
        <v>750000</v>
      </c>
      <c r="O1078" s="303" t="s">
        <v>452</v>
      </c>
      <c r="P1078" s="304" t="s">
        <v>5674</v>
      </c>
      <c r="Q1078" s="303"/>
      <c r="R1078" s="303"/>
      <c r="S1078" s="305"/>
      <c r="T1078" s="305"/>
      <c r="U1078" s="303"/>
      <c r="V1078" s="303"/>
      <c r="W1078" s="303"/>
      <c r="X1078" s="303"/>
      <c r="Y1078" s="303"/>
      <c r="Z1078" s="306"/>
      <c r="AA1078" s="306"/>
      <c r="AB1078" s="306"/>
    </row>
    <row r="1079" spans="1:28" ht="15.75" hidden="1" customHeight="1">
      <c r="A1079" s="301">
        <v>44789</v>
      </c>
      <c r="B1079" s="303" t="s">
        <v>317</v>
      </c>
      <c r="C1079" s="269"/>
      <c r="D1079" s="269"/>
      <c r="E1079" s="303" t="s">
        <v>1752</v>
      </c>
      <c r="F1079" s="270" t="s">
        <v>3</v>
      </c>
      <c r="G1079" s="303" t="s">
        <v>460</v>
      </c>
      <c r="H1079" s="303" t="s">
        <v>13223</v>
      </c>
      <c r="I1079" s="303"/>
      <c r="J1079" s="303" t="s">
        <v>462</v>
      </c>
      <c r="K1079" s="303" t="s">
        <v>1754</v>
      </c>
      <c r="L1079" s="303">
        <v>4</v>
      </c>
      <c r="M1079" s="303" t="s">
        <v>451</v>
      </c>
      <c r="N1079" s="304">
        <v>4000000</v>
      </c>
      <c r="O1079" s="303" t="s">
        <v>452</v>
      </c>
      <c r="P1079" s="304" t="s">
        <v>1755</v>
      </c>
      <c r="Q1079" s="303" t="s">
        <v>1756</v>
      </c>
      <c r="R1079" s="303"/>
      <c r="S1079" s="305"/>
      <c r="T1079" s="305"/>
      <c r="U1079" s="303"/>
      <c r="V1079" s="303"/>
      <c r="W1079" s="303"/>
      <c r="X1079" s="303"/>
      <c r="Y1079" s="303"/>
      <c r="Z1079" s="306"/>
      <c r="AA1079" s="306"/>
      <c r="AB1079" s="306"/>
    </row>
    <row r="1080" spans="1:28" ht="15.75" hidden="1" customHeight="1">
      <c r="A1080" s="541">
        <v>44791</v>
      </c>
      <c r="B1080" s="306" t="s">
        <v>257</v>
      </c>
      <c r="C1080" s="542"/>
      <c r="D1080" s="542"/>
      <c r="E1080" s="306" t="s">
        <v>1482</v>
      </c>
      <c r="F1080" s="306" t="s">
        <v>4</v>
      </c>
      <c r="G1080" s="306" t="s">
        <v>602</v>
      </c>
      <c r="H1080" s="306" t="s">
        <v>1483</v>
      </c>
      <c r="I1080" s="306">
        <v>4</v>
      </c>
      <c r="J1080" s="306" t="s">
        <v>941</v>
      </c>
      <c r="K1080" s="306"/>
      <c r="L1080" s="306"/>
      <c r="M1080" s="306" t="s">
        <v>784</v>
      </c>
      <c r="N1080" s="306">
        <v>682000</v>
      </c>
      <c r="O1080" s="306" t="s">
        <v>465</v>
      </c>
      <c r="P1080" s="306" t="s">
        <v>1485</v>
      </c>
      <c r="Q1080" s="306" t="s">
        <v>1486</v>
      </c>
      <c r="R1080" s="306"/>
      <c r="S1080" s="543"/>
      <c r="T1080" s="543"/>
      <c r="U1080" s="306"/>
      <c r="V1080" s="306"/>
      <c r="W1080" s="306"/>
      <c r="X1080" s="306"/>
      <c r="Y1080" s="306"/>
      <c r="Z1080" s="306"/>
      <c r="AA1080" s="306"/>
      <c r="AB1080" s="306"/>
    </row>
    <row r="1081" spans="1:28" ht="15.75" hidden="1" customHeight="1">
      <c r="A1081" s="541">
        <v>44791</v>
      </c>
      <c r="B1081" s="306" t="s">
        <v>7954</v>
      </c>
      <c r="C1081" s="542"/>
      <c r="D1081" s="542"/>
      <c r="E1081" s="306" t="s">
        <v>7957</v>
      </c>
      <c r="F1081" s="306" t="s">
        <v>4</v>
      </c>
      <c r="G1081" s="306"/>
      <c r="H1081" s="306"/>
      <c r="I1081" s="306"/>
      <c r="J1081" s="306" t="s">
        <v>727</v>
      </c>
      <c r="K1081" s="306" t="s">
        <v>13212</v>
      </c>
      <c r="L1081" s="306">
        <v>1</v>
      </c>
      <c r="M1081" s="306" t="s">
        <v>784</v>
      </c>
      <c r="N1081" s="544">
        <v>275000</v>
      </c>
      <c r="O1081" s="306" t="s">
        <v>452</v>
      </c>
      <c r="P1081" s="306" t="s">
        <v>452</v>
      </c>
      <c r="Q1081" s="306" t="s">
        <v>7960</v>
      </c>
      <c r="R1081" s="306"/>
      <c r="S1081" s="543"/>
      <c r="T1081" s="543"/>
      <c r="U1081" s="306"/>
      <c r="V1081" s="306"/>
      <c r="W1081" s="306"/>
      <c r="X1081" s="306"/>
      <c r="Y1081" s="306"/>
      <c r="Z1081" s="306"/>
      <c r="AA1081" s="306"/>
      <c r="AB1081" s="306"/>
    </row>
    <row r="1082" spans="1:28" ht="15.75" hidden="1" customHeight="1">
      <c r="A1082" s="541">
        <v>44791</v>
      </c>
      <c r="B1082" s="306" t="s">
        <v>2235</v>
      </c>
      <c r="C1082" s="542"/>
      <c r="D1082" s="542"/>
      <c r="E1082" s="306" t="s">
        <v>2238</v>
      </c>
      <c r="F1082" s="306" t="s">
        <v>3</v>
      </c>
      <c r="G1082" s="306" t="s">
        <v>488</v>
      </c>
      <c r="H1082" s="306"/>
      <c r="I1082" s="306"/>
      <c r="J1082" s="306" t="s">
        <v>941</v>
      </c>
      <c r="K1082" s="306"/>
      <c r="L1082" s="306"/>
      <c r="M1082" s="306" t="s">
        <v>451</v>
      </c>
      <c r="N1082" s="306" t="s">
        <v>2240</v>
      </c>
      <c r="O1082" s="306" t="s">
        <v>454</v>
      </c>
      <c r="P1082" s="306" t="s">
        <v>10484</v>
      </c>
      <c r="Q1082" s="306"/>
      <c r="R1082" s="306"/>
      <c r="S1082" s="543"/>
      <c r="T1082" s="543"/>
      <c r="U1082" s="306"/>
      <c r="V1082" s="306"/>
      <c r="W1082" s="306"/>
      <c r="X1082" s="306"/>
      <c r="Y1082" s="306"/>
      <c r="Z1082" s="306"/>
      <c r="AA1082" s="306"/>
      <c r="AB1082" s="306"/>
    </row>
    <row r="1083" spans="1:28" ht="15.75" hidden="1" customHeight="1">
      <c r="A1083" s="541">
        <v>44791</v>
      </c>
      <c r="B1083" s="306" t="s">
        <v>8869</v>
      </c>
      <c r="C1083" s="542"/>
      <c r="D1083" s="542"/>
      <c r="E1083" s="306" t="s">
        <v>8872</v>
      </c>
      <c r="F1083" s="306" t="s">
        <v>3</v>
      </c>
      <c r="G1083" s="306" t="s">
        <v>460</v>
      </c>
      <c r="H1083" s="306"/>
      <c r="I1083" s="306"/>
      <c r="J1083" s="306" t="s">
        <v>488</v>
      </c>
      <c r="K1083" s="306"/>
      <c r="L1083" s="306"/>
      <c r="M1083" s="306" t="s">
        <v>8874</v>
      </c>
      <c r="N1083" s="544">
        <v>5000000</v>
      </c>
      <c r="O1083" s="306" t="s">
        <v>452</v>
      </c>
      <c r="P1083" s="306" t="s">
        <v>452</v>
      </c>
      <c r="Q1083" s="306"/>
      <c r="R1083" s="306"/>
      <c r="S1083" s="543"/>
      <c r="T1083" s="543"/>
      <c r="U1083" s="306"/>
      <c r="V1083" s="306"/>
      <c r="W1083" s="306"/>
      <c r="X1083" s="306"/>
      <c r="Y1083" s="306"/>
      <c r="Z1083" s="306"/>
      <c r="AA1083" s="306"/>
      <c r="AB1083" s="306"/>
    </row>
    <row r="1084" spans="1:28" ht="15.75" hidden="1" customHeight="1">
      <c r="A1084" s="541">
        <v>44791</v>
      </c>
      <c r="B1084" s="306" t="s">
        <v>8972</v>
      </c>
      <c r="C1084" s="542"/>
      <c r="D1084" s="542"/>
      <c r="E1084" s="306" t="s">
        <v>8975</v>
      </c>
      <c r="F1084" s="306" t="s">
        <v>3</v>
      </c>
      <c r="G1084" s="306" t="s">
        <v>460</v>
      </c>
      <c r="H1084" s="306"/>
      <c r="I1084" s="306"/>
      <c r="J1084" s="306" t="s">
        <v>488</v>
      </c>
      <c r="K1084" s="306" t="s">
        <v>8977</v>
      </c>
      <c r="L1084" s="306">
        <v>3.5</v>
      </c>
      <c r="M1084" s="306" t="s">
        <v>451</v>
      </c>
      <c r="N1084" s="306">
        <v>5000000</v>
      </c>
      <c r="O1084" s="306" t="s">
        <v>452</v>
      </c>
      <c r="P1084" s="306" t="s">
        <v>8978</v>
      </c>
      <c r="Q1084" s="306"/>
      <c r="R1084" s="306"/>
      <c r="S1084" s="543"/>
      <c r="T1084" s="543"/>
      <c r="U1084" s="306"/>
      <c r="V1084" s="306"/>
      <c r="W1084" s="306"/>
      <c r="X1084" s="306"/>
      <c r="Y1084" s="306"/>
      <c r="Z1084" s="306"/>
      <c r="AA1084" s="306"/>
      <c r="AB1084" s="306"/>
    </row>
    <row r="1085" spans="1:28" ht="15.75" hidden="1" customHeight="1">
      <c r="A1085" s="541">
        <v>44791</v>
      </c>
      <c r="B1085" s="306" t="s">
        <v>9825</v>
      </c>
      <c r="C1085" s="542"/>
      <c r="D1085" s="542"/>
      <c r="E1085" s="306" t="s">
        <v>9828</v>
      </c>
      <c r="F1085" s="306" t="s">
        <v>3</v>
      </c>
      <c r="G1085" s="306" t="s">
        <v>488</v>
      </c>
      <c r="H1085" s="306" t="s">
        <v>13224</v>
      </c>
      <c r="I1085" s="306"/>
      <c r="J1085" s="306" t="s">
        <v>462</v>
      </c>
      <c r="K1085" s="306"/>
      <c r="L1085" s="306"/>
      <c r="M1085" s="306" t="s">
        <v>451</v>
      </c>
      <c r="N1085" s="544">
        <v>6000000</v>
      </c>
      <c r="O1085" s="306" t="s">
        <v>452</v>
      </c>
      <c r="P1085" s="306" t="s">
        <v>452</v>
      </c>
      <c r="Q1085" s="306" t="s">
        <v>9831</v>
      </c>
      <c r="R1085" s="306"/>
      <c r="S1085" s="543"/>
      <c r="T1085" s="543"/>
      <c r="U1085" s="306"/>
      <c r="V1085" s="306"/>
      <c r="W1085" s="306"/>
      <c r="X1085" s="306"/>
      <c r="Y1085" s="306"/>
      <c r="Z1085" s="306"/>
      <c r="AA1085" s="306"/>
      <c r="AB1085" s="306"/>
    </row>
    <row r="1086" spans="1:28" ht="15.75" hidden="1" customHeight="1">
      <c r="A1086" s="541">
        <v>44791</v>
      </c>
      <c r="B1086" s="306" t="s">
        <v>2750</v>
      </c>
      <c r="C1086" s="542"/>
      <c r="D1086" s="542"/>
      <c r="E1086" s="306" t="s">
        <v>2753</v>
      </c>
      <c r="F1086" s="306" t="s">
        <v>3</v>
      </c>
      <c r="G1086" s="306" t="s">
        <v>488</v>
      </c>
      <c r="H1086" s="306"/>
      <c r="I1086" s="306"/>
      <c r="J1086" s="306" t="s">
        <v>941</v>
      </c>
      <c r="K1086" s="306"/>
      <c r="L1086" s="306">
        <v>4</v>
      </c>
      <c r="M1086" s="306" t="s">
        <v>451</v>
      </c>
      <c r="N1086" s="306" t="s">
        <v>2755</v>
      </c>
      <c r="O1086" s="306" t="s">
        <v>452</v>
      </c>
      <c r="P1086" s="306" t="s">
        <v>2756</v>
      </c>
      <c r="Q1086" s="306"/>
      <c r="R1086" s="306"/>
      <c r="S1086" s="543"/>
      <c r="T1086" s="543"/>
      <c r="U1086" s="306"/>
      <c r="V1086" s="306"/>
      <c r="W1086" s="306"/>
      <c r="X1086" s="306"/>
      <c r="Y1086" s="306"/>
      <c r="Z1086" s="306"/>
      <c r="AA1086" s="306"/>
      <c r="AB1086" s="306"/>
    </row>
    <row r="1087" spans="1:28" ht="15.75" hidden="1" customHeight="1">
      <c r="A1087" s="541">
        <v>44791</v>
      </c>
      <c r="B1087" s="306" t="s">
        <v>365</v>
      </c>
      <c r="C1087" s="542"/>
      <c r="D1087" s="542"/>
      <c r="E1087" s="306" t="s">
        <v>9802</v>
      </c>
      <c r="F1087" s="306" t="s">
        <v>3</v>
      </c>
      <c r="G1087" s="306" t="s">
        <v>488</v>
      </c>
      <c r="H1087" s="306"/>
      <c r="I1087" s="306"/>
      <c r="J1087" s="306" t="s">
        <v>941</v>
      </c>
      <c r="K1087" s="306"/>
      <c r="L1087" s="306"/>
      <c r="M1087" s="306" t="s">
        <v>478</v>
      </c>
      <c r="N1087" s="544">
        <v>12000000</v>
      </c>
      <c r="O1087" s="306" t="s">
        <v>454</v>
      </c>
      <c r="P1087" s="306" t="s">
        <v>575</v>
      </c>
      <c r="Q1087" s="306"/>
      <c r="R1087" s="306"/>
      <c r="S1087" s="543"/>
      <c r="T1087" s="543"/>
      <c r="U1087" s="306"/>
      <c r="V1087" s="306"/>
      <c r="W1087" s="306"/>
      <c r="X1087" s="306"/>
      <c r="Y1087" s="306"/>
      <c r="Z1087" s="306"/>
      <c r="AA1087" s="306"/>
      <c r="AB1087" s="306"/>
    </row>
    <row r="1088" spans="1:28" ht="15.75" hidden="1" customHeight="1">
      <c r="A1088" s="541">
        <v>44791</v>
      </c>
      <c r="B1088" s="306" t="s">
        <v>9141</v>
      </c>
      <c r="C1088" s="542"/>
      <c r="D1088" s="542"/>
      <c r="E1088" s="306" t="s">
        <v>9144</v>
      </c>
      <c r="F1088" s="306" t="s">
        <v>3</v>
      </c>
      <c r="G1088" s="306" t="s">
        <v>488</v>
      </c>
      <c r="H1088" s="306" t="s">
        <v>13225</v>
      </c>
      <c r="I1088" s="306"/>
      <c r="J1088" s="306" t="s">
        <v>941</v>
      </c>
      <c r="K1088" s="306"/>
      <c r="L1088" s="306"/>
      <c r="M1088" s="306"/>
      <c r="N1088" s="306"/>
      <c r="O1088" s="306" t="s">
        <v>452</v>
      </c>
      <c r="P1088" s="306" t="s">
        <v>10775</v>
      </c>
      <c r="Q1088" s="306"/>
      <c r="R1088" s="306"/>
      <c r="S1088" s="543"/>
      <c r="T1088" s="543"/>
      <c r="U1088" s="306"/>
      <c r="V1088" s="306"/>
      <c r="W1088" s="306"/>
      <c r="X1088" s="306"/>
      <c r="Y1088" s="306"/>
      <c r="Z1088" s="306"/>
      <c r="AA1088" s="306"/>
      <c r="AB1088" s="306"/>
    </row>
    <row r="1089" spans="1:28" ht="15.75" hidden="1" customHeight="1">
      <c r="A1089" s="541">
        <v>44791</v>
      </c>
      <c r="B1089" s="306" t="s">
        <v>380</v>
      </c>
      <c r="C1089" s="542"/>
      <c r="D1089" s="542"/>
      <c r="E1089" s="306" t="s">
        <v>9894</v>
      </c>
      <c r="F1089" s="306" t="s">
        <v>3</v>
      </c>
      <c r="G1089" s="306" t="s">
        <v>488</v>
      </c>
      <c r="H1089" s="306"/>
      <c r="I1089" s="306"/>
      <c r="J1089" s="306" t="s">
        <v>941</v>
      </c>
      <c r="K1089" s="306"/>
      <c r="L1089" s="306"/>
      <c r="M1089" s="306" t="s">
        <v>451</v>
      </c>
      <c r="N1089" s="544">
        <v>1500000</v>
      </c>
      <c r="O1089" s="306" t="s">
        <v>452</v>
      </c>
      <c r="P1089" s="306" t="s">
        <v>452</v>
      </c>
      <c r="Q1089" s="306"/>
      <c r="R1089" s="306"/>
      <c r="S1089" s="543"/>
      <c r="T1089" s="543"/>
      <c r="U1089" s="306"/>
      <c r="V1089" s="306"/>
      <c r="W1089" s="306"/>
      <c r="X1089" s="306"/>
      <c r="Y1089" s="306"/>
      <c r="Z1089" s="306"/>
      <c r="AA1089" s="306"/>
      <c r="AB1089" s="306"/>
    </row>
    <row r="1090" spans="1:28" ht="15.75" hidden="1" customHeight="1">
      <c r="A1090" s="541">
        <v>44791</v>
      </c>
      <c r="B1090" s="306" t="s">
        <v>8580</v>
      </c>
      <c r="C1090" s="542"/>
      <c r="D1090" s="542"/>
      <c r="E1090" s="306" t="s">
        <v>8583</v>
      </c>
      <c r="F1090" s="306" t="s">
        <v>3</v>
      </c>
      <c r="G1090" s="306" t="s">
        <v>488</v>
      </c>
      <c r="H1090" s="306"/>
      <c r="I1090" s="306"/>
      <c r="J1090" s="306" t="s">
        <v>462</v>
      </c>
      <c r="K1090" s="306"/>
      <c r="L1090" s="306"/>
      <c r="M1090" s="306" t="s">
        <v>1578</v>
      </c>
      <c r="N1090" s="545" t="s">
        <v>6241</v>
      </c>
      <c r="O1090" s="306" t="s">
        <v>452</v>
      </c>
      <c r="P1090" s="306" t="s">
        <v>10825</v>
      </c>
      <c r="Q1090" s="306"/>
      <c r="R1090" s="306"/>
      <c r="S1090" s="543"/>
      <c r="T1090" s="543"/>
      <c r="U1090" s="306"/>
      <c r="V1090" s="306"/>
      <c r="W1090" s="306"/>
      <c r="X1090" s="306"/>
      <c r="Y1090" s="306"/>
      <c r="Z1090" s="306"/>
      <c r="AA1090" s="306"/>
      <c r="AB1090" s="306"/>
    </row>
    <row r="1091" spans="1:28" ht="15.75" hidden="1" customHeight="1">
      <c r="A1091" s="541">
        <v>44791</v>
      </c>
      <c r="B1091" s="306" t="s">
        <v>9745</v>
      </c>
      <c r="C1091" s="542"/>
      <c r="D1091" s="542"/>
      <c r="E1091" s="306" t="s">
        <v>9748</v>
      </c>
      <c r="F1091" s="306" t="s">
        <v>3</v>
      </c>
      <c r="G1091" s="306" t="s">
        <v>460</v>
      </c>
      <c r="H1091" s="306"/>
      <c r="I1091" s="306"/>
      <c r="J1091" s="306" t="s">
        <v>941</v>
      </c>
      <c r="K1091" s="306"/>
      <c r="L1091" s="306"/>
      <c r="M1091" s="306"/>
      <c r="N1091" s="306"/>
      <c r="O1091" s="306" t="s">
        <v>452</v>
      </c>
      <c r="P1091" s="306" t="s">
        <v>9751</v>
      </c>
      <c r="Q1091" s="306" t="s">
        <v>9752</v>
      </c>
      <c r="R1091" s="306"/>
      <c r="S1091" s="543"/>
      <c r="T1091" s="543"/>
      <c r="U1091" s="306"/>
      <c r="V1091" s="306"/>
      <c r="W1091" s="306"/>
      <c r="X1091" s="306"/>
      <c r="Y1091" s="306"/>
      <c r="Z1091" s="306"/>
      <c r="AA1091" s="306"/>
      <c r="AB1091" s="306"/>
    </row>
    <row r="1092" spans="1:28" ht="15.75" hidden="1" customHeight="1">
      <c r="A1092" s="541">
        <v>44791</v>
      </c>
      <c r="B1092" s="306" t="s">
        <v>9934</v>
      </c>
      <c r="C1092" s="542"/>
      <c r="D1092" s="542"/>
      <c r="E1092" s="306" t="s">
        <v>9937</v>
      </c>
      <c r="F1092" s="306" t="s">
        <v>3</v>
      </c>
      <c r="G1092" s="306" t="s">
        <v>460</v>
      </c>
      <c r="H1092" s="306"/>
      <c r="I1092" s="306"/>
      <c r="J1092" s="306" t="s">
        <v>941</v>
      </c>
      <c r="K1092" s="306" t="s">
        <v>9939</v>
      </c>
      <c r="L1092" s="306">
        <v>3.5</v>
      </c>
      <c r="M1092" s="306"/>
      <c r="N1092" s="544"/>
      <c r="O1092" s="306" t="s">
        <v>454</v>
      </c>
      <c r="P1092" s="306" t="s">
        <v>10891</v>
      </c>
      <c r="Q1092" s="306"/>
      <c r="R1092" s="306"/>
      <c r="S1092" s="543"/>
      <c r="T1092" s="543"/>
      <c r="U1092" s="306"/>
      <c r="V1092" s="306"/>
      <c r="W1092" s="306"/>
      <c r="X1092" s="306"/>
      <c r="Y1092" s="306"/>
      <c r="Z1092" s="306"/>
      <c r="AA1092" s="306"/>
      <c r="AB1092" s="306"/>
    </row>
    <row r="1093" spans="1:28" ht="15.75" hidden="1" customHeight="1">
      <c r="A1093" s="541">
        <v>44791</v>
      </c>
      <c r="B1093" s="306" t="s">
        <v>3367</v>
      </c>
      <c r="C1093" s="542"/>
      <c r="D1093" s="542"/>
      <c r="E1093" s="306" t="s">
        <v>10912</v>
      </c>
      <c r="F1093" s="306" t="s">
        <v>3</v>
      </c>
      <c r="G1093" s="306" t="s">
        <v>460</v>
      </c>
      <c r="H1093" s="306"/>
      <c r="I1093" s="306"/>
      <c r="J1093" s="306" t="s">
        <v>462</v>
      </c>
      <c r="K1093" s="306" t="s">
        <v>13226</v>
      </c>
      <c r="L1093" s="306"/>
      <c r="M1093" s="306"/>
      <c r="N1093" s="306"/>
      <c r="O1093" s="306" t="s">
        <v>452</v>
      </c>
      <c r="P1093" s="306" t="s">
        <v>3373</v>
      </c>
      <c r="Q1093" s="306" t="s">
        <v>460</v>
      </c>
      <c r="R1093" s="306"/>
      <c r="S1093" s="543"/>
      <c r="T1093" s="543"/>
      <c r="U1093" s="306"/>
      <c r="V1093" s="306"/>
      <c r="W1093" s="306"/>
      <c r="X1093" s="306"/>
      <c r="Y1093" s="306"/>
      <c r="Z1093" s="306"/>
      <c r="AA1093" s="306"/>
      <c r="AB1093" s="306"/>
    </row>
    <row r="1094" spans="1:28" ht="15.75" hidden="1" customHeight="1">
      <c r="A1094" s="541">
        <v>44791</v>
      </c>
      <c r="B1094" s="306" t="s">
        <v>87</v>
      </c>
      <c r="C1094" s="542"/>
      <c r="D1094" s="542"/>
      <c r="E1094" s="306" t="s">
        <v>2578</v>
      </c>
      <c r="F1094" s="306" t="s">
        <v>3</v>
      </c>
      <c r="G1094" s="306" t="s">
        <v>460</v>
      </c>
      <c r="H1094" s="306"/>
      <c r="I1094" s="306"/>
      <c r="J1094" s="306" t="s">
        <v>462</v>
      </c>
      <c r="K1094" s="306" t="s">
        <v>2580</v>
      </c>
      <c r="L1094" s="306">
        <v>4</v>
      </c>
      <c r="M1094" s="306" t="s">
        <v>2581</v>
      </c>
      <c r="N1094" s="544">
        <v>2500000</v>
      </c>
      <c r="O1094" s="306" t="s">
        <v>452</v>
      </c>
      <c r="P1094" s="306" t="s">
        <v>2582</v>
      </c>
      <c r="Q1094" s="306" t="s">
        <v>2583</v>
      </c>
      <c r="R1094" s="306"/>
      <c r="S1094" s="543"/>
      <c r="T1094" s="543"/>
      <c r="U1094" s="306"/>
      <c r="V1094" s="306"/>
      <c r="W1094" s="306"/>
      <c r="X1094" s="306"/>
      <c r="Y1094" s="306"/>
      <c r="Z1094" s="306"/>
      <c r="AA1094" s="306"/>
      <c r="AB1094" s="306"/>
    </row>
    <row r="1095" spans="1:28" ht="15.75" hidden="1" customHeight="1">
      <c r="A1095" s="541">
        <v>44791</v>
      </c>
      <c r="B1095" s="306" t="s">
        <v>8942</v>
      </c>
      <c r="C1095" s="542"/>
      <c r="D1095" s="542"/>
      <c r="E1095" s="306" t="s">
        <v>10913</v>
      </c>
      <c r="F1095" s="306" t="s">
        <v>3</v>
      </c>
      <c r="G1095" s="306" t="s">
        <v>460</v>
      </c>
      <c r="H1095" s="306"/>
      <c r="I1095" s="306"/>
      <c r="J1095" s="306" t="s">
        <v>462</v>
      </c>
      <c r="K1095" s="306" t="s">
        <v>8947</v>
      </c>
      <c r="L1095" s="306">
        <v>3</v>
      </c>
      <c r="M1095" s="306"/>
      <c r="N1095" s="545"/>
      <c r="O1095" s="306" t="s">
        <v>454</v>
      </c>
      <c r="P1095" s="306" t="s">
        <v>575</v>
      </c>
      <c r="Q1095" s="306" t="s">
        <v>8948</v>
      </c>
      <c r="R1095" s="306"/>
      <c r="S1095" s="543"/>
      <c r="T1095" s="543"/>
      <c r="U1095" s="306"/>
      <c r="V1095" s="306"/>
      <c r="W1095" s="306"/>
      <c r="X1095" s="306"/>
      <c r="Y1095" s="306"/>
      <c r="Z1095" s="306"/>
      <c r="AA1095" s="306"/>
      <c r="AB1095" s="306"/>
    </row>
    <row r="1096" spans="1:28" ht="15.75" hidden="1" customHeight="1">
      <c r="A1096" s="541">
        <v>44791</v>
      </c>
      <c r="B1096" s="306" t="s">
        <v>337</v>
      </c>
      <c r="C1096" s="542"/>
      <c r="D1096" s="542"/>
      <c r="E1096" s="306" t="s">
        <v>1906</v>
      </c>
      <c r="F1096" s="306" t="s">
        <v>3</v>
      </c>
      <c r="G1096" s="306" t="s">
        <v>460</v>
      </c>
      <c r="H1096" s="306"/>
      <c r="I1096" s="306"/>
      <c r="J1096" s="306" t="s">
        <v>462</v>
      </c>
      <c r="K1096" s="306" t="s">
        <v>10939</v>
      </c>
      <c r="L1096" s="306">
        <v>4.5</v>
      </c>
      <c r="M1096" s="306" t="s">
        <v>451</v>
      </c>
      <c r="N1096" s="306" t="s">
        <v>1909</v>
      </c>
      <c r="O1096" s="306" t="s">
        <v>452</v>
      </c>
      <c r="P1096" s="306" t="s">
        <v>10940</v>
      </c>
      <c r="Q1096" s="306" t="s">
        <v>1911</v>
      </c>
      <c r="R1096" s="306"/>
      <c r="S1096" s="543"/>
      <c r="T1096" s="543"/>
      <c r="U1096" s="306"/>
      <c r="V1096" s="306"/>
      <c r="W1096" s="306"/>
      <c r="X1096" s="306"/>
      <c r="Y1096" s="306"/>
      <c r="Z1096" s="306"/>
      <c r="AA1096" s="306"/>
      <c r="AB1096" s="306"/>
    </row>
    <row r="1097" spans="1:28" ht="15.75" hidden="1" customHeight="1">
      <c r="A1097" s="541">
        <v>44791</v>
      </c>
      <c r="B1097" s="306" t="s">
        <v>345</v>
      </c>
      <c r="C1097" s="542"/>
      <c r="D1097" s="542"/>
      <c r="E1097" s="306" t="s">
        <v>1972</v>
      </c>
      <c r="F1097" s="306" t="s">
        <v>3</v>
      </c>
      <c r="G1097" s="306" t="s">
        <v>460</v>
      </c>
      <c r="H1097" s="306"/>
      <c r="I1097" s="306"/>
      <c r="J1097" s="306" t="s">
        <v>462</v>
      </c>
      <c r="K1097" s="306" t="s">
        <v>1974</v>
      </c>
      <c r="L1097" s="306">
        <v>5</v>
      </c>
      <c r="M1097" s="306" t="s">
        <v>478</v>
      </c>
      <c r="N1097" s="306" t="s">
        <v>1975</v>
      </c>
      <c r="O1097" s="306" t="s">
        <v>452</v>
      </c>
      <c r="P1097" s="306" t="s">
        <v>1976</v>
      </c>
      <c r="Q1097" s="306" t="s">
        <v>725</v>
      </c>
      <c r="R1097" s="306"/>
      <c r="S1097" s="543"/>
      <c r="T1097" s="543"/>
      <c r="U1097" s="306"/>
      <c r="V1097" s="306"/>
      <c r="W1097" s="306"/>
      <c r="X1097" s="306"/>
      <c r="Y1097" s="306"/>
      <c r="Z1097" s="306"/>
      <c r="AA1097" s="306"/>
      <c r="AB1097" s="306"/>
    </row>
    <row r="1098" spans="1:28" ht="15.75" hidden="1" customHeight="1">
      <c r="A1098" s="541">
        <v>44791</v>
      </c>
      <c r="B1098" s="306" t="s">
        <v>159</v>
      </c>
      <c r="C1098" s="542"/>
      <c r="D1098" s="542"/>
      <c r="E1098" s="306" t="s">
        <v>3552</v>
      </c>
      <c r="F1098" s="306" t="s">
        <v>3</v>
      </c>
      <c r="G1098" s="306" t="s">
        <v>460</v>
      </c>
      <c r="H1098" s="306"/>
      <c r="I1098" s="306"/>
      <c r="J1098" s="306" t="s">
        <v>462</v>
      </c>
      <c r="K1098" s="306" t="s">
        <v>10948</v>
      </c>
      <c r="L1098" s="306">
        <v>4.5</v>
      </c>
      <c r="M1098" s="306" t="s">
        <v>923</v>
      </c>
      <c r="N1098" s="306" t="s">
        <v>3555</v>
      </c>
      <c r="O1098" s="306" t="s">
        <v>454</v>
      </c>
      <c r="P1098" s="306" t="s">
        <v>10949</v>
      </c>
      <c r="Q1098" s="306"/>
      <c r="R1098" s="306"/>
      <c r="S1098" s="543"/>
      <c r="T1098" s="543"/>
      <c r="U1098" s="306"/>
      <c r="V1098" s="306"/>
      <c r="W1098" s="306"/>
      <c r="X1098" s="306"/>
      <c r="Y1098" s="306"/>
      <c r="Z1098" s="306"/>
      <c r="AA1098" s="306"/>
      <c r="AB1098" s="306"/>
    </row>
    <row r="1099" spans="1:28" ht="15.75" hidden="1" customHeight="1">
      <c r="A1099" s="541">
        <v>44791</v>
      </c>
      <c r="B1099" s="306" t="s">
        <v>408</v>
      </c>
      <c r="C1099" s="542"/>
      <c r="D1099" s="542"/>
      <c r="E1099" s="306" t="s">
        <v>1881</v>
      </c>
      <c r="F1099" s="306" t="s">
        <v>3</v>
      </c>
      <c r="G1099" s="306" t="s">
        <v>460</v>
      </c>
      <c r="H1099" s="306"/>
      <c r="I1099" s="306"/>
      <c r="J1099" s="306" t="s">
        <v>462</v>
      </c>
      <c r="K1099" s="306" t="s">
        <v>1883</v>
      </c>
      <c r="L1099" s="306">
        <v>4</v>
      </c>
      <c r="M1099" s="306"/>
      <c r="N1099" s="306"/>
      <c r="O1099" s="306" t="s">
        <v>452</v>
      </c>
      <c r="P1099" s="306" t="s">
        <v>1884</v>
      </c>
      <c r="Q1099" s="306" t="s">
        <v>1885</v>
      </c>
      <c r="R1099" s="306"/>
      <c r="S1099" s="543"/>
      <c r="T1099" s="543"/>
      <c r="U1099" s="306"/>
      <c r="V1099" s="306"/>
      <c r="W1099" s="306"/>
      <c r="X1099" s="306"/>
      <c r="Y1099" s="306"/>
      <c r="Z1099" s="306"/>
      <c r="AA1099" s="306"/>
      <c r="AB1099" s="306"/>
    </row>
    <row r="1100" spans="1:28" ht="15.75" hidden="1" customHeight="1">
      <c r="A1100" s="541">
        <v>44791</v>
      </c>
      <c r="B1100" s="306" t="s">
        <v>8405</v>
      </c>
      <c r="C1100" s="542"/>
      <c r="D1100" s="542"/>
      <c r="E1100" s="306" t="s">
        <v>8408</v>
      </c>
      <c r="F1100" s="306" t="s">
        <v>3</v>
      </c>
      <c r="G1100" s="306" t="s">
        <v>460</v>
      </c>
      <c r="H1100" s="306"/>
      <c r="I1100" s="306"/>
      <c r="J1100" s="306" t="s">
        <v>462</v>
      </c>
      <c r="K1100" s="306" t="s">
        <v>8410</v>
      </c>
      <c r="L1100" s="306">
        <v>2</v>
      </c>
      <c r="M1100" s="306"/>
      <c r="N1100" s="306"/>
      <c r="O1100" s="306" t="s">
        <v>452</v>
      </c>
      <c r="P1100" s="306" t="s">
        <v>8411</v>
      </c>
      <c r="Q1100" s="306"/>
      <c r="R1100" s="306"/>
      <c r="S1100" s="543"/>
      <c r="T1100" s="543"/>
      <c r="U1100" s="306"/>
      <c r="V1100" s="306"/>
      <c r="W1100" s="306"/>
      <c r="X1100" s="306"/>
      <c r="Y1100" s="306"/>
      <c r="Z1100" s="306"/>
      <c r="AA1100" s="306"/>
      <c r="AB1100" s="306"/>
    </row>
    <row r="1101" spans="1:28" ht="15.75" hidden="1" customHeight="1">
      <c r="A1101" s="541">
        <v>44791</v>
      </c>
      <c r="B1101" s="306" t="s">
        <v>282</v>
      </c>
      <c r="C1101" s="542"/>
      <c r="D1101" s="542"/>
      <c r="E1101" s="306" t="s">
        <v>1609</v>
      </c>
      <c r="F1101" s="306" t="s">
        <v>3</v>
      </c>
      <c r="G1101" s="306" t="s">
        <v>460</v>
      </c>
      <c r="H1101" s="306"/>
      <c r="I1101" s="306"/>
      <c r="J1101" s="306" t="s">
        <v>462</v>
      </c>
      <c r="K1101" s="306" t="s">
        <v>10989</v>
      </c>
      <c r="L1101" s="306">
        <v>4.5</v>
      </c>
      <c r="M1101" s="306" t="s">
        <v>451</v>
      </c>
      <c r="N1101" s="544">
        <v>2500000</v>
      </c>
      <c r="O1101" s="306" t="s">
        <v>452</v>
      </c>
      <c r="P1101" s="306" t="s">
        <v>452</v>
      </c>
      <c r="Q1101" s="306" t="s">
        <v>1612</v>
      </c>
      <c r="R1101" s="306"/>
      <c r="S1101" s="543"/>
      <c r="T1101" s="543"/>
      <c r="U1101" s="306"/>
      <c r="V1101" s="306"/>
      <c r="W1101" s="306"/>
      <c r="X1101" s="306"/>
      <c r="Y1101" s="306"/>
      <c r="Z1101" s="306"/>
      <c r="AA1101" s="306"/>
      <c r="AB1101" s="306"/>
    </row>
    <row r="1102" spans="1:28" ht="15.75" hidden="1" customHeight="1">
      <c r="A1102" s="541">
        <v>44791</v>
      </c>
      <c r="B1102" s="306" t="s">
        <v>401</v>
      </c>
      <c r="C1102" s="542"/>
      <c r="D1102" s="542"/>
      <c r="E1102" s="306" t="s">
        <v>10115</v>
      </c>
      <c r="F1102" s="306" t="s">
        <v>3</v>
      </c>
      <c r="G1102" s="306" t="s">
        <v>488</v>
      </c>
      <c r="H1102" s="306" t="s">
        <v>10116</v>
      </c>
      <c r="I1102" s="306">
        <v>4</v>
      </c>
      <c r="J1102" s="306" t="s">
        <v>462</v>
      </c>
      <c r="K1102" s="306" t="s">
        <v>13227</v>
      </c>
      <c r="L1102" s="306"/>
      <c r="M1102" s="306" t="s">
        <v>451</v>
      </c>
      <c r="N1102" s="545">
        <v>3000000</v>
      </c>
      <c r="O1102" s="306" t="s">
        <v>465</v>
      </c>
      <c r="P1102" s="306" t="s">
        <v>10118</v>
      </c>
      <c r="Q1102" s="306"/>
      <c r="R1102" s="306"/>
      <c r="S1102" s="543"/>
      <c r="T1102" s="543"/>
      <c r="U1102" s="306"/>
      <c r="V1102" s="306"/>
      <c r="W1102" s="306"/>
      <c r="X1102" s="306"/>
      <c r="Y1102" s="306"/>
      <c r="Z1102" s="306"/>
      <c r="AA1102" s="306"/>
      <c r="AB1102" s="306"/>
    </row>
    <row r="1103" spans="1:28" ht="15.75" hidden="1" customHeight="1">
      <c r="A1103" s="541">
        <v>44791</v>
      </c>
      <c r="B1103" s="306" t="s">
        <v>133</v>
      </c>
      <c r="C1103" s="542"/>
      <c r="D1103" s="542"/>
      <c r="E1103" s="306" t="s">
        <v>11036</v>
      </c>
      <c r="F1103" s="306" t="s">
        <v>3</v>
      </c>
      <c r="G1103" s="306" t="s">
        <v>460</v>
      </c>
      <c r="H1103" s="306"/>
      <c r="I1103" s="306"/>
      <c r="J1103" s="306" t="s">
        <v>941</v>
      </c>
      <c r="K1103" s="306" t="s">
        <v>11037</v>
      </c>
      <c r="L1103" s="306">
        <v>5</v>
      </c>
      <c r="M1103" s="306" t="s">
        <v>923</v>
      </c>
      <c r="N1103" s="544" t="s">
        <v>943</v>
      </c>
      <c r="O1103" s="306" t="s">
        <v>454</v>
      </c>
      <c r="P1103" s="306" t="s">
        <v>11038</v>
      </c>
      <c r="Q1103" s="306" t="s">
        <v>945</v>
      </c>
      <c r="R1103" s="306"/>
      <c r="S1103" s="543"/>
      <c r="T1103" s="543"/>
      <c r="U1103" s="306"/>
      <c r="V1103" s="306"/>
      <c r="W1103" s="306"/>
      <c r="X1103" s="306"/>
      <c r="Y1103" s="306"/>
      <c r="Z1103" s="306"/>
      <c r="AA1103" s="306"/>
      <c r="AB1103" s="306"/>
    </row>
    <row r="1104" spans="1:28" ht="15.75" hidden="1" customHeight="1">
      <c r="A1104" s="541">
        <v>44791</v>
      </c>
      <c r="B1104" s="306" t="s">
        <v>9041</v>
      </c>
      <c r="C1104" s="542"/>
      <c r="D1104" s="542"/>
      <c r="E1104" s="306" t="s">
        <v>9044</v>
      </c>
      <c r="F1104" s="306" t="s">
        <v>3</v>
      </c>
      <c r="G1104" s="306" t="s">
        <v>460</v>
      </c>
      <c r="H1104" s="306"/>
      <c r="I1104" s="306"/>
      <c r="J1104" s="306" t="s">
        <v>941</v>
      </c>
      <c r="K1104" s="306" t="s">
        <v>9046</v>
      </c>
      <c r="L1104" s="306">
        <v>3</v>
      </c>
      <c r="M1104" s="306" t="s">
        <v>973</v>
      </c>
      <c r="N1104" s="306" t="s">
        <v>9047</v>
      </c>
      <c r="O1104" s="306" t="s">
        <v>452</v>
      </c>
      <c r="P1104" s="306" t="s">
        <v>9048</v>
      </c>
      <c r="Q1104" s="306"/>
      <c r="R1104" s="306"/>
      <c r="S1104" s="543"/>
      <c r="T1104" s="543"/>
      <c r="U1104" s="306"/>
      <c r="V1104" s="306"/>
      <c r="W1104" s="306"/>
      <c r="X1104" s="306"/>
      <c r="Y1104" s="306"/>
      <c r="Z1104" s="306"/>
      <c r="AA1104" s="306"/>
      <c r="AB1104" s="306"/>
    </row>
    <row r="1105" spans="1:28" ht="15.75" hidden="1" customHeight="1">
      <c r="A1105" s="541">
        <v>44791</v>
      </c>
      <c r="B1105" s="306" t="s">
        <v>325</v>
      </c>
      <c r="C1105" s="542"/>
      <c r="D1105" s="542"/>
      <c r="E1105" s="306" t="s">
        <v>1809</v>
      </c>
      <c r="F1105" s="306" t="s">
        <v>3</v>
      </c>
      <c r="G1105" s="306" t="s">
        <v>460</v>
      </c>
      <c r="H1105" s="306"/>
      <c r="I1105" s="306"/>
      <c r="J1105" s="306" t="s">
        <v>941</v>
      </c>
      <c r="K1105" s="306"/>
      <c r="L1105" s="306"/>
      <c r="M1105" s="306" t="s">
        <v>478</v>
      </c>
      <c r="N1105" s="544" t="s">
        <v>1811</v>
      </c>
      <c r="O1105" s="306" t="s">
        <v>452</v>
      </c>
      <c r="P1105" s="306" t="s">
        <v>1812</v>
      </c>
      <c r="Q1105" s="306"/>
      <c r="R1105" s="306"/>
      <c r="S1105" s="543"/>
      <c r="T1105" s="543"/>
      <c r="U1105" s="306"/>
      <c r="V1105" s="306"/>
      <c r="W1105" s="306"/>
      <c r="X1105" s="306"/>
      <c r="Y1105" s="306"/>
      <c r="Z1105" s="306"/>
      <c r="AA1105" s="306"/>
      <c r="AB1105" s="306"/>
    </row>
    <row r="1106" spans="1:28" ht="15.75" hidden="1" customHeight="1">
      <c r="A1106" s="541">
        <v>44791</v>
      </c>
      <c r="B1106" s="306" t="s">
        <v>9266</v>
      </c>
      <c r="C1106" s="542"/>
      <c r="D1106" s="542"/>
      <c r="E1106" s="306" t="s">
        <v>11067</v>
      </c>
      <c r="F1106" s="306" t="s">
        <v>3</v>
      </c>
      <c r="G1106" s="306" t="s">
        <v>460</v>
      </c>
      <c r="H1106" s="306"/>
      <c r="I1106" s="306"/>
      <c r="J1106" s="306" t="s">
        <v>941</v>
      </c>
      <c r="K1106" s="306"/>
      <c r="L1106" s="306"/>
      <c r="M1106" s="306" t="s">
        <v>451</v>
      </c>
      <c r="N1106" s="306">
        <v>5000000</v>
      </c>
      <c r="O1106" s="306" t="s">
        <v>452</v>
      </c>
      <c r="P1106" s="306" t="s">
        <v>9272</v>
      </c>
      <c r="Q1106" s="306" t="s">
        <v>9273</v>
      </c>
      <c r="R1106" s="306"/>
      <c r="S1106" s="543"/>
      <c r="T1106" s="543"/>
      <c r="U1106" s="306"/>
      <c r="V1106" s="306"/>
      <c r="W1106" s="306"/>
      <c r="X1106" s="306"/>
      <c r="Y1106" s="306"/>
      <c r="Z1106" s="306"/>
      <c r="AA1106" s="306"/>
      <c r="AB1106" s="306"/>
    </row>
    <row r="1107" spans="1:28" ht="15.75" hidden="1" customHeight="1">
      <c r="A1107" s="541">
        <v>44791</v>
      </c>
      <c r="B1107" s="306" t="s">
        <v>393</v>
      </c>
      <c r="C1107" s="542"/>
      <c r="D1107" s="542"/>
      <c r="E1107" s="306" t="s">
        <v>11070</v>
      </c>
      <c r="F1107" s="306" t="s">
        <v>3</v>
      </c>
      <c r="G1107" s="306" t="s">
        <v>488</v>
      </c>
      <c r="H1107" s="306"/>
      <c r="I1107" s="306"/>
      <c r="J1107" s="306" t="s">
        <v>462</v>
      </c>
      <c r="K1107" s="306"/>
      <c r="L1107" s="306"/>
      <c r="M1107" s="306"/>
      <c r="N1107" s="544"/>
      <c r="O1107" s="306" t="s">
        <v>452</v>
      </c>
      <c r="P1107" s="306" t="s">
        <v>11072</v>
      </c>
      <c r="Q1107" s="306"/>
      <c r="R1107" s="306"/>
      <c r="S1107" s="543"/>
      <c r="T1107" s="543"/>
      <c r="U1107" s="306"/>
      <c r="V1107" s="306"/>
      <c r="W1107" s="306"/>
      <c r="X1107" s="306"/>
      <c r="Y1107" s="306"/>
      <c r="Z1107" s="306"/>
      <c r="AA1107" s="306"/>
      <c r="AB1107" s="306"/>
    </row>
    <row r="1108" spans="1:28" ht="15.75" hidden="1" customHeight="1">
      <c r="A1108" s="541">
        <v>44791</v>
      </c>
      <c r="B1108" s="306" t="s">
        <v>324</v>
      </c>
      <c r="C1108" s="542"/>
      <c r="D1108" s="542"/>
      <c r="E1108" s="306" t="s">
        <v>1800</v>
      </c>
      <c r="F1108" s="306" t="s">
        <v>3</v>
      </c>
      <c r="G1108" s="306" t="s">
        <v>460</v>
      </c>
      <c r="H1108" s="306"/>
      <c r="I1108" s="306"/>
      <c r="J1108" s="306" t="s">
        <v>941</v>
      </c>
      <c r="K1108" s="306" t="s">
        <v>1802</v>
      </c>
      <c r="L1108" s="306">
        <v>4</v>
      </c>
      <c r="M1108" s="306"/>
      <c r="N1108" s="306"/>
      <c r="O1108" s="306" t="s">
        <v>452</v>
      </c>
      <c r="P1108" s="306" t="s">
        <v>1803</v>
      </c>
      <c r="Q1108" s="306" t="s">
        <v>1804</v>
      </c>
      <c r="R1108" s="306"/>
      <c r="S1108" s="543"/>
      <c r="T1108" s="543"/>
      <c r="U1108" s="306"/>
      <c r="V1108" s="306"/>
      <c r="W1108" s="306"/>
      <c r="X1108" s="306"/>
      <c r="Y1108" s="306"/>
      <c r="Z1108" s="306"/>
      <c r="AA1108" s="306"/>
      <c r="AB1108" s="306"/>
    </row>
    <row r="1109" spans="1:28" ht="15.75" hidden="1" customHeight="1">
      <c r="A1109" s="541">
        <v>44791</v>
      </c>
      <c r="B1109" s="306" t="s">
        <v>383</v>
      </c>
      <c r="C1109" s="542"/>
      <c r="D1109" s="542"/>
      <c r="E1109" s="306" t="s">
        <v>9911</v>
      </c>
      <c r="F1109" s="306" t="s">
        <v>3</v>
      </c>
      <c r="G1109" s="306" t="s">
        <v>488</v>
      </c>
      <c r="H1109" s="306"/>
      <c r="I1109" s="306"/>
      <c r="J1109" s="306" t="s">
        <v>941</v>
      </c>
      <c r="K1109" s="306"/>
      <c r="L1109" s="306"/>
      <c r="M1109" s="306"/>
      <c r="N1109" s="306"/>
      <c r="O1109" s="306" t="s">
        <v>465</v>
      </c>
      <c r="P1109" s="306" t="s">
        <v>9914</v>
      </c>
      <c r="Q1109" s="306"/>
      <c r="R1109" s="306"/>
      <c r="S1109" s="543"/>
      <c r="T1109" s="543"/>
      <c r="U1109" s="306"/>
      <c r="V1109" s="306"/>
      <c r="W1109" s="306"/>
      <c r="X1109" s="306"/>
      <c r="Y1109" s="306"/>
      <c r="Z1109" s="306"/>
      <c r="AA1109" s="306"/>
      <c r="AB1109" s="306"/>
    </row>
    <row r="1110" spans="1:28" ht="15.75" hidden="1" customHeight="1">
      <c r="A1110" s="541">
        <v>44791</v>
      </c>
      <c r="B1110" s="306" t="s">
        <v>369</v>
      </c>
      <c r="C1110" s="542"/>
      <c r="D1110" s="542"/>
      <c r="E1110" s="306" t="s">
        <v>2074</v>
      </c>
      <c r="F1110" s="306" t="s">
        <v>3</v>
      </c>
      <c r="G1110" s="306" t="s">
        <v>488</v>
      </c>
      <c r="H1110" s="306" t="s">
        <v>2075</v>
      </c>
      <c r="I1110" s="306">
        <v>5</v>
      </c>
      <c r="J1110" s="306" t="s">
        <v>462</v>
      </c>
      <c r="K1110" s="306"/>
      <c r="L1110" s="306"/>
      <c r="M1110" s="306" t="s">
        <v>478</v>
      </c>
      <c r="N1110" s="306" t="s">
        <v>2077</v>
      </c>
      <c r="O1110" s="306" t="s">
        <v>452</v>
      </c>
      <c r="P1110" s="306" t="s">
        <v>2078</v>
      </c>
      <c r="Q1110" s="306"/>
      <c r="R1110" s="306"/>
      <c r="S1110" s="543"/>
      <c r="T1110" s="543"/>
      <c r="U1110" s="306"/>
      <c r="V1110" s="306"/>
      <c r="W1110" s="306"/>
      <c r="X1110" s="306"/>
      <c r="Y1110" s="306"/>
      <c r="Z1110" s="306"/>
      <c r="AA1110" s="306"/>
      <c r="AB1110" s="306"/>
    </row>
    <row r="1111" spans="1:28" ht="15.75" hidden="1" customHeight="1">
      <c r="A1111" s="541">
        <v>44791</v>
      </c>
      <c r="B1111" s="306" t="s">
        <v>9843</v>
      </c>
      <c r="C1111" s="542"/>
      <c r="D1111" s="542"/>
      <c r="E1111" s="306" t="s">
        <v>9846</v>
      </c>
      <c r="F1111" s="306" t="s">
        <v>3</v>
      </c>
      <c r="G1111" s="306" t="s">
        <v>460</v>
      </c>
      <c r="H1111" s="306"/>
      <c r="I1111" s="306"/>
      <c r="J1111" s="306" t="s">
        <v>462</v>
      </c>
      <c r="K1111" s="306" t="s">
        <v>9848</v>
      </c>
      <c r="L1111" s="306">
        <v>3.5</v>
      </c>
      <c r="M1111" s="306" t="s">
        <v>784</v>
      </c>
      <c r="N1111" s="544">
        <v>2000000</v>
      </c>
      <c r="O1111" s="306" t="s">
        <v>452</v>
      </c>
      <c r="P1111" s="306" t="s">
        <v>9849</v>
      </c>
      <c r="Q1111" s="306"/>
      <c r="R1111" s="306"/>
      <c r="S1111" s="543"/>
      <c r="T1111" s="543"/>
      <c r="U1111" s="306"/>
      <c r="V1111" s="306"/>
      <c r="W1111" s="306"/>
      <c r="X1111" s="306"/>
      <c r="Y1111" s="306"/>
      <c r="Z1111" s="306"/>
      <c r="AA1111" s="306"/>
      <c r="AB1111" s="306"/>
    </row>
    <row r="1112" spans="1:28" ht="15.75" hidden="1" customHeight="1">
      <c r="A1112" s="541">
        <v>44791</v>
      </c>
      <c r="B1112" s="306" t="s">
        <v>8935</v>
      </c>
      <c r="C1112" s="542"/>
      <c r="D1112" s="542"/>
      <c r="E1112" s="306"/>
      <c r="F1112" s="306" t="s">
        <v>3</v>
      </c>
      <c r="G1112" s="306" t="s">
        <v>488</v>
      </c>
      <c r="H1112" s="306"/>
      <c r="I1112" s="306"/>
      <c r="J1112" s="306" t="s">
        <v>941</v>
      </c>
      <c r="K1112" s="306"/>
      <c r="L1112" s="306"/>
      <c r="M1112" s="306" t="s">
        <v>8939</v>
      </c>
      <c r="N1112" s="306">
        <v>500000</v>
      </c>
      <c r="O1112" s="306" t="s">
        <v>454</v>
      </c>
      <c r="P1112" s="306" t="s">
        <v>8938</v>
      </c>
      <c r="Q1112" s="306"/>
      <c r="R1112" s="306"/>
      <c r="S1112" s="543"/>
      <c r="T1112" s="543"/>
      <c r="U1112" s="306"/>
      <c r="V1112" s="306"/>
      <c r="W1112" s="306"/>
      <c r="X1112" s="306"/>
      <c r="Y1112" s="306"/>
      <c r="Z1112" s="306"/>
      <c r="AA1112" s="306"/>
      <c r="AB1112" s="306"/>
    </row>
    <row r="1113" spans="1:28" ht="15.75" hidden="1" customHeight="1">
      <c r="A1113" s="541">
        <v>44791</v>
      </c>
      <c r="B1113" s="306" t="s">
        <v>357</v>
      </c>
      <c r="C1113" s="542"/>
      <c r="D1113" s="542"/>
      <c r="E1113" s="306"/>
      <c r="F1113" s="306" t="s">
        <v>3</v>
      </c>
      <c r="G1113" s="306" t="s">
        <v>488</v>
      </c>
      <c r="H1113" s="306"/>
      <c r="I1113" s="306"/>
      <c r="J1113" s="306" t="s">
        <v>941</v>
      </c>
      <c r="K1113" s="306"/>
      <c r="L1113" s="306"/>
      <c r="M1113" s="306" t="s">
        <v>8914</v>
      </c>
      <c r="N1113" s="306">
        <v>3500000</v>
      </c>
      <c r="O1113" s="306" t="s">
        <v>452</v>
      </c>
      <c r="P1113" s="306" t="s">
        <v>452</v>
      </c>
      <c r="Q1113" s="306"/>
      <c r="R1113" s="306"/>
      <c r="S1113" s="543"/>
      <c r="T1113" s="543"/>
      <c r="U1113" s="306"/>
      <c r="V1113" s="306"/>
      <c r="W1113" s="306"/>
      <c r="X1113" s="306"/>
      <c r="Y1113" s="306"/>
      <c r="Z1113" s="306"/>
      <c r="AA1113" s="306"/>
      <c r="AB1113" s="306"/>
    </row>
    <row r="1114" spans="1:28" ht="15.75" hidden="1" customHeight="1">
      <c r="A1114" s="541">
        <v>44791</v>
      </c>
      <c r="B1114" s="306" t="s">
        <v>9007</v>
      </c>
      <c r="C1114" s="542"/>
      <c r="D1114" s="542"/>
      <c r="E1114" s="306"/>
      <c r="F1114" s="306" t="s">
        <v>3</v>
      </c>
      <c r="G1114" s="306" t="s">
        <v>488</v>
      </c>
      <c r="H1114" s="306"/>
      <c r="I1114" s="306"/>
      <c r="J1114" s="306" t="s">
        <v>462</v>
      </c>
      <c r="K1114" s="306"/>
      <c r="L1114" s="306"/>
      <c r="M1114" s="306" t="s">
        <v>2152</v>
      </c>
      <c r="N1114" s="306" t="s">
        <v>9011</v>
      </c>
      <c r="O1114" s="306" t="s">
        <v>452</v>
      </c>
      <c r="P1114" s="306" t="s">
        <v>9012</v>
      </c>
      <c r="Q1114" s="306"/>
      <c r="R1114" s="306"/>
      <c r="S1114" s="543"/>
      <c r="T1114" s="543"/>
      <c r="U1114" s="306"/>
      <c r="V1114" s="306"/>
      <c r="W1114" s="306"/>
      <c r="X1114" s="306"/>
      <c r="Y1114" s="306"/>
      <c r="Z1114" s="306"/>
      <c r="AA1114" s="306"/>
      <c r="AB1114" s="306"/>
    </row>
    <row r="1115" spans="1:28" ht="15.75" hidden="1" customHeight="1">
      <c r="A1115" s="541">
        <v>44791</v>
      </c>
      <c r="B1115" s="306" t="s">
        <v>342</v>
      </c>
      <c r="C1115" s="542"/>
      <c r="D1115" s="542"/>
      <c r="E1115" s="306"/>
      <c r="F1115" s="306" t="s">
        <v>3</v>
      </c>
      <c r="G1115" s="306" t="s">
        <v>488</v>
      </c>
      <c r="H1115" s="306" t="s">
        <v>1947</v>
      </c>
      <c r="I1115" s="306"/>
      <c r="J1115" s="306" t="s">
        <v>462</v>
      </c>
      <c r="K1115" s="306"/>
      <c r="L1115" s="306"/>
      <c r="M1115" s="306" t="s">
        <v>1949</v>
      </c>
      <c r="N1115" s="306" t="s">
        <v>1950</v>
      </c>
      <c r="O1115" s="306" t="s">
        <v>452</v>
      </c>
      <c r="P1115" s="306" t="s">
        <v>452</v>
      </c>
      <c r="Q1115" s="306"/>
      <c r="R1115" s="306"/>
      <c r="S1115" s="543"/>
      <c r="T1115" s="543"/>
      <c r="U1115" s="306"/>
      <c r="V1115" s="306"/>
      <c r="W1115" s="306"/>
      <c r="X1115" s="306"/>
      <c r="Y1115" s="306"/>
      <c r="Z1115" s="306"/>
      <c r="AA1115" s="306"/>
      <c r="AB1115" s="306"/>
    </row>
    <row r="1116" spans="1:28" ht="15.75" hidden="1" customHeight="1">
      <c r="A1116" s="541">
        <v>44791</v>
      </c>
      <c r="B1116" s="306" t="s">
        <v>8313</v>
      </c>
      <c r="C1116" s="542"/>
      <c r="D1116" s="542"/>
      <c r="E1116" s="306"/>
      <c r="F1116" s="306" t="s">
        <v>3</v>
      </c>
      <c r="G1116" s="306" t="s">
        <v>488</v>
      </c>
      <c r="H1116" s="306"/>
      <c r="I1116" s="306"/>
      <c r="J1116" s="306" t="s">
        <v>941</v>
      </c>
      <c r="K1116" s="306"/>
      <c r="L1116" s="306"/>
      <c r="M1116" s="306" t="s">
        <v>8318</v>
      </c>
      <c r="N1116" s="545">
        <v>50000</v>
      </c>
      <c r="O1116" s="306" t="s">
        <v>452</v>
      </c>
      <c r="P1116" s="306" t="s">
        <v>8319</v>
      </c>
      <c r="Q1116" s="306" t="s">
        <v>8320</v>
      </c>
      <c r="R1116" s="306"/>
      <c r="S1116" s="543"/>
      <c r="T1116" s="543"/>
      <c r="U1116" s="306"/>
      <c r="V1116" s="306"/>
      <c r="W1116" s="306"/>
      <c r="X1116" s="306"/>
      <c r="Y1116" s="306"/>
      <c r="Z1116" s="306"/>
      <c r="AA1116" s="306"/>
      <c r="AB1116" s="306"/>
    </row>
    <row r="1117" spans="1:28" ht="15.75" hidden="1" customHeight="1">
      <c r="A1117" s="541">
        <v>44791</v>
      </c>
      <c r="B1117" s="306" t="s">
        <v>294</v>
      </c>
      <c r="C1117" s="542"/>
      <c r="D1117" s="542"/>
      <c r="E1117" s="306"/>
      <c r="F1117" s="306" t="s">
        <v>3</v>
      </c>
      <c r="G1117" s="306" t="s">
        <v>460</v>
      </c>
      <c r="H1117" s="306"/>
      <c r="I1117" s="306"/>
      <c r="J1117" s="306" t="s">
        <v>941</v>
      </c>
      <c r="K1117" s="306"/>
      <c r="L1117" s="306"/>
      <c r="M1117" s="306" t="s">
        <v>1656</v>
      </c>
      <c r="N1117" s="544">
        <v>10000000</v>
      </c>
      <c r="O1117" s="306" t="s">
        <v>454</v>
      </c>
      <c r="P1117" s="306" t="s">
        <v>1657</v>
      </c>
      <c r="Q1117" s="306"/>
      <c r="R1117" s="306"/>
      <c r="S1117" s="543"/>
      <c r="T1117" s="543"/>
      <c r="U1117" s="306"/>
      <c r="V1117" s="306"/>
      <c r="W1117" s="306"/>
      <c r="X1117" s="306"/>
      <c r="Y1117" s="306"/>
      <c r="Z1117" s="306"/>
      <c r="AA1117" s="306"/>
      <c r="AB1117" s="306"/>
    </row>
    <row r="1118" spans="1:28" ht="15.75" hidden="1" customHeight="1">
      <c r="A1118" s="541">
        <v>44791</v>
      </c>
      <c r="B1118" s="306" t="s">
        <v>8773</v>
      </c>
      <c r="C1118" s="542"/>
      <c r="D1118" s="542"/>
      <c r="E1118" s="306"/>
      <c r="F1118" s="306" t="s">
        <v>3</v>
      </c>
      <c r="G1118" s="306" t="s">
        <v>488</v>
      </c>
      <c r="H1118" s="306"/>
      <c r="I1118" s="306"/>
      <c r="J1118" s="306" t="s">
        <v>941</v>
      </c>
      <c r="K1118" s="306"/>
      <c r="L1118" s="306"/>
      <c r="M1118" s="306" t="s">
        <v>2152</v>
      </c>
      <c r="N1118" s="306" t="s">
        <v>8778</v>
      </c>
      <c r="O1118" s="306" t="s">
        <v>454</v>
      </c>
      <c r="P1118" s="306" t="s">
        <v>452</v>
      </c>
      <c r="Q1118" s="306"/>
      <c r="R1118" s="306"/>
      <c r="S1118" s="543"/>
      <c r="T1118" s="543"/>
      <c r="U1118" s="306"/>
      <c r="V1118" s="306"/>
      <c r="W1118" s="306"/>
      <c r="X1118" s="306"/>
      <c r="Y1118" s="306"/>
      <c r="Z1118" s="306"/>
      <c r="AA1118" s="306"/>
      <c r="AB1118" s="306"/>
    </row>
    <row r="1119" spans="1:28" ht="15.75" hidden="1" customHeight="1">
      <c r="A1119" s="541">
        <v>44791</v>
      </c>
      <c r="B1119" s="306" t="s">
        <v>8662</v>
      </c>
      <c r="C1119" s="542"/>
      <c r="D1119" s="542"/>
      <c r="E1119" s="306" t="s">
        <v>8665</v>
      </c>
      <c r="F1119" s="306" t="s">
        <v>3</v>
      </c>
      <c r="G1119" s="306" t="s">
        <v>488</v>
      </c>
      <c r="H1119" s="306"/>
      <c r="I1119" s="306"/>
      <c r="J1119" s="306" t="s">
        <v>941</v>
      </c>
      <c r="K1119" s="306"/>
      <c r="L1119" s="306"/>
      <c r="M1119" s="306" t="s">
        <v>478</v>
      </c>
      <c r="N1119" s="544">
        <v>3000000</v>
      </c>
      <c r="O1119" s="306" t="s">
        <v>452</v>
      </c>
      <c r="P1119" s="306" t="s">
        <v>8668</v>
      </c>
      <c r="Q1119" s="306"/>
      <c r="R1119" s="306"/>
      <c r="S1119" s="543"/>
      <c r="T1119" s="543"/>
      <c r="U1119" s="306"/>
      <c r="V1119" s="306"/>
      <c r="W1119" s="306"/>
      <c r="X1119" s="306"/>
      <c r="Y1119" s="306"/>
      <c r="Z1119" s="306"/>
      <c r="AA1119" s="306"/>
      <c r="AB1119" s="306"/>
    </row>
    <row r="1120" spans="1:28" ht="15.75" hidden="1" customHeight="1">
      <c r="A1120" s="541">
        <v>44791</v>
      </c>
      <c r="B1120" s="306" t="s">
        <v>8652</v>
      </c>
      <c r="C1120" s="542"/>
      <c r="D1120" s="542"/>
      <c r="E1120" s="306"/>
      <c r="F1120" s="306" t="s">
        <v>3</v>
      </c>
      <c r="G1120" s="306" t="s">
        <v>488</v>
      </c>
      <c r="H1120" s="306"/>
      <c r="I1120" s="306"/>
      <c r="J1120" s="306" t="s">
        <v>462</v>
      </c>
      <c r="K1120" s="306"/>
      <c r="L1120" s="306"/>
      <c r="M1120" s="306" t="s">
        <v>2190</v>
      </c>
      <c r="N1120" s="306" t="s">
        <v>8657</v>
      </c>
      <c r="O1120" s="306" t="s">
        <v>452</v>
      </c>
      <c r="P1120" s="306" t="s">
        <v>8658</v>
      </c>
      <c r="Q1120" s="306" t="s">
        <v>8659</v>
      </c>
      <c r="R1120" s="306"/>
      <c r="S1120" s="543"/>
      <c r="T1120" s="543"/>
      <c r="U1120" s="306"/>
      <c r="V1120" s="306"/>
      <c r="W1120" s="306"/>
      <c r="X1120" s="306"/>
      <c r="Y1120" s="306"/>
      <c r="Z1120" s="306"/>
      <c r="AA1120" s="306"/>
      <c r="AB1120" s="306"/>
    </row>
    <row r="1121" spans="1:28" ht="15.75" hidden="1" customHeight="1">
      <c r="A1121" s="541">
        <v>44791</v>
      </c>
      <c r="B1121" s="306" t="s">
        <v>8396</v>
      </c>
      <c r="C1121" s="542"/>
      <c r="D1121" s="542"/>
      <c r="E1121" s="306"/>
      <c r="F1121" s="306" t="s">
        <v>3</v>
      </c>
      <c r="G1121" s="306" t="s">
        <v>488</v>
      </c>
      <c r="H1121" s="306"/>
      <c r="I1121" s="306"/>
      <c r="J1121" s="306" t="s">
        <v>941</v>
      </c>
      <c r="K1121" s="306"/>
      <c r="L1121" s="306"/>
      <c r="M1121" s="306" t="s">
        <v>2152</v>
      </c>
      <c r="N1121" s="306" t="s">
        <v>8401</v>
      </c>
      <c r="O1121" s="306" t="s">
        <v>452</v>
      </c>
      <c r="P1121" s="306" t="s">
        <v>8402</v>
      </c>
      <c r="Q1121" s="306"/>
      <c r="R1121" s="306"/>
      <c r="S1121" s="543"/>
      <c r="T1121" s="543"/>
      <c r="U1121" s="306"/>
      <c r="V1121" s="306"/>
      <c r="W1121" s="306"/>
      <c r="X1121" s="306"/>
      <c r="Y1121" s="306"/>
      <c r="Z1121" s="306"/>
      <c r="AA1121" s="306"/>
      <c r="AB1121" s="306"/>
    </row>
    <row r="1122" spans="1:28" ht="15.75" hidden="1" customHeight="1">
      <c r="A1122" s="541">
        <v>44791</v>
      </c>
      <c r="B1122" s="306" t="s">
        <v>8334</v>
      </c>
      <c r="C1122" s="542"/>
      <c r="D1122" s="542"/>
      <c r="E1122" s="306"/>
      <c r="F1122" s="306" t="s">
        <v>3</v>
      </c>
      <c r="G1122" s="306" t="s">
        <v>488</v>
      </c>
      <c r="H1122" s="306"/>
      <c r="I1122" s="306"/>
      <c r="J1122" s="306" t="s">
        <v>941</v>
      </c>
      <c r="K1122" s="306"/>
      <c r="L1122" s="306"/>
      <c r="M1122" s="306" t="s">
        <v>451</v>
      </c>
      <c r="N1122" s="544">
        <v>2000000</v>
      </c>
      <c r="O1122" s="306" t="s">
        <v>452</v>
      </c>
      <c r="P1122" s="306" t="s">
        <v>8338</v>
      </c>
      <c r="Q1122" s="306"/>
      <c r="R1122" s="306"/>
      <c r="S1122" s="543"/>
      <c r="T1122" s="543"/>
      <c r="U1122" s="306"/>
      <c r="V1122" s="306"/>
      <c r="W1122" s="306"/>
      <c r="X1122" s="306"/>
      <c r="Y1122" s="306"/>
      <c r="Z1122" s="306"/>
      <c r="AA1122" s="306"/>
      <c r="AB1122" s="306"/>
    </row>
    <row r="1123" spans="1:28" ht="15.75" hidden="1" customHeight="1">
      <c r="A1123" s="541">
        <v>44791</v>
      </c>
      <c r="B1123" s="306" t="s">
        <v>2174</v>
      </c>
      <c r="C1123" s="542"/>
      <c r="D1123" s="542"/>
      <c r="E1123" s="306"/>
      <c r="F1123" s="306" t="s">
        <v>3</v>
      </c>
      <c r="G1123" s="306" t="s">
        <v>460</v>
      </c>
      <c r="H1123" s="306"/>
      <c r="I1123" s="306"/>
      <c r="J1123" s="306" t="s">
        <v>941</v>
      </c>
      <c r="K1123" s="306"/>
      <c r="L1123" s="306"/>
      <c r="M1123" s="306" t="s">
        <v>2152</v>
      </c>
      <c r="N1123" s="306" t="s">
        <v>2179</v>
      </c>
      <c r="O1123" s="306" t="s">
        <v>452</v>
      </c>
      <c r="P1123" s="306" t="s">
        <v>1119</v>
      </c>
      <c r="Q1123" s="306" t="s">
        <v>2180</v>
      </c>
      <c r="R1123" s="306"/>
      <c r="S1123" s="543"/>
      <c r="T1123" s="543"/>
      <c r="U1123" s="306"/>
      <c r="V1123" s="306"/>
      <c r="W1123" s="306"/>
      <c r="X1123" s="306"/>
      <c r="Y1123" s="306"/>
      <c r="Z1123" s="306"/>
      <c r="AA1123" s="306"/>
      <c r="AB1123" s="306"/>
    </row>
    <row r="1124" spans="1:28" ht="15.75" hidden="1" customHeight="1">
      <c r="A1124" s="541">
        <v>44791</v>
      </c>
      <c r="B1124" s="306" t="s">
        <v>10240</v>
      </c>
      <c r="C1124" s="542"/>
      <c r="D1124" s="542"/>
      <c r="E1124" s="306" t="s">
        <v>5405</v>
      </c>
      <c r="F1124" s="306" t="s">
        <v>4</v>
      </c>
      <c r="G1124" s="306"/>
      <c r="H1124" s="306"/>
      <c r="I1124" s="306"/>
      <c r="J1124" s="306"/>
      <c r="K1124" s="306"/>
      <c r="L1124" s="306"/>
      <c r="M1124" s="306" t="s">
        <v>478</v>
      </c>
      <c r="N1124" s="306" t="s">
        <v>5408</v>
      </c>
      <c r="O1124" s="306" t="s">
        <v>452</v>
      </c>
      <c r="P1124" s="306" t="s">
        <v>10242</v>
      </c>
      <c r="Q1124" s="306" t="s">
        <v>602</v>
      </c>
      <c r="R1124" s="306"/>
      <c r="S1124" s="543"/>
      <c r="T1124" s="543"/>
      <c r="U1124" s="306"/>
      <c r="V1124" s="306"/>
      <c r="W1124" s="306"/>
      <c r="X1124" s="306"/>
      <c r="Y1124" s="306"/>
      <c r="Z1124" s="306"/>
      <c r="AA1124" s="306"/>
      <c r="AB1124" s="306"/>
    </row>
    <row r="1125" spans="1:28" ht="15.75" hidden="1" customHeight="1">
      <c r="A1125" s="541">
        <v>44791</v>
      </c>
      <c r="B1125" s="306" t="s">
        <v>335</v>
      </c>
      <c r="C1125" s="542"/>
      <c r="D1125" s="542"/>
      <c r="E1125" s="306"/>
      <c r="F1125" s="306" t="s">
        <v>3</v>
      </c>
      <c r="G1125" s="306" t="s">
        <v>488</v>
      </c>
      <c r="H1125" s="306"/>
      <c r="I1125" s="306"/>
      <c r="J1125" s="306" t="s">
        <v>941</v>
      </c>
      <c r="K1125" s="306"/>
      <c r="L1125" s="306"/>
      <c r="M1125" s="306" t="s">
        <v>1892</v>
      </c>
      <c r="N1125" s="306" t="s">
        <v>1893</v>
      </c>
      <c r="O1125" s="306" t="s">
        <v>452</v>
      </c>
      <c r="P1125" s="306" t="s">
        <v>452</v>
      </c>
      <c r="Q1125" s="306"/>
      <c r="R1125" s="306"/>
      <c r="S1125" s="543"/>
      <c r="T1125" s="543"/>
      <c r="U1125" s="306"/>
      <c r="V1125" s="306"/>
      <c r="W1125" s="306"/>
      <c r="X1125" s="306"/>
      <c r="Y1125" s="306"/>
      <c r="Z1125" s="306"/>
      <c r="AA1125" s="306"/>
      <c r="AB1125" s="306"/>
    </row>
    <row r="1126" spans="1:28" ht="15.75" hidden="1" customHeight="1">
      <c r="A1126" s="541">
        <v>44791</v>
      </c>
      <c r="B1126" s="306" t="s">
        <v>9226</v>
      </c>
      <c r="C1126" s="542"/>
      <c r="D1126" s="542"/>
      <c r="E1126" s="306"/>
      <c r="F1126" s="306" t="s">
        <v>3</v>
      </c>
      <c r="G1126" s="306" t="s">
        <v>488</v>
      </c>
      <c r="H1126" s="306"/>
      <c r="I1126" s="306"/>
      <c r="J1126" s="306" t="s">
        <v>941</v>
      </c>
      <c r="K1126" s="306"/>
      <c r="L1126" s="306"/>
      <c r="M1126" s="306" t="s">
        <v>2190</v>
      </c>
      <c r="N1126" s="306">
        <v>0</v>
      </c>
      <c r="O1126" s="306" t="s">
        <v>452</v>
      </c>
      <c r="P1126" s="306" t="s">
        <v>575</v>
      </c>
      <c r="Q1126" s="306"/>
      <c r="R1126" s="306"/>
      <c r="S1126" s="543"/>
      <c r="T1126" s="543"/>
      <c r="U1126" s="306"/>
      <c r="V1126" s="306"/>
      <c r="W1126" s="306"/>
      <c r="X1126" s="306"/>
      <c r="Y1126" s="306"/>
      <c r="Z1126" s="306"/>
      <c r="AA1126" s="306"/>
      <c r="AB1126" s="306"/>
    </row>
    <row r="1127" spans="1:28" ht="15.75" hidden="1" customHeight="1">
      <c r="A1127" s="541">
        <v>44791</v>
      </c>
      <c r="B1127" s="306" t="s">
        <v>366</v>
      </c>
      <c r="C1127" s="542"/>
      <c r="D1127" s="542"/>
      <c r="E1127" s="306"/>
      <c r="F1127" s="306" t="s">
        <v>3</v>
      </c>
      <c r="G1127" s="306" t="s">
        <v>488</v>
      </c>
      <c r="H1127" s="306"/>
      <c r="I1127" s="306"/>
      <c r="J1127" s="306" t="s">
        <v>941</v>
      </c>
      <c r="K1127" s="306"/>
      <c r="L1127" s="306"/>
      <c r="M1127" s="306" t="s">
        <v>9811</v>
      </c>
      <c r="N1127" s="306">
        <v>1000000</v>
      </c>
      <c r="O1127" s="306" t="s">
        <v>452</v>
      </c>
      <c r="P1127" s="306" t="s">
        <v>9812</v>
      </c>
      <c r="Q1127" s="306"/>
      <c r="R1127" s="306"/>
      <c r="S1127" s="543"/>
      <c r="T1127" s="543"/>
      <c r="U1127" s="306"/>
      <c r="V1127" s="306"/>
      <c r="W1127" s="306"/>
      <c r="X1127" s="306"/>
      <c r="Y1127" s="306"/>
      <c r="Z1127" s="306"/>
      <c r="AA1127" s="306"/>
      <c r="AB1127" s="306"/>
    </row>
    <row r="1128" spans="1:28" ht="15.75" hidden="1" customHeight="1">
      <c r="A1128" s="541">
        <v>44791</v>
      </c>
      <c r="B1128" s="306" t="s">
        <v>8988</v>
      </c>
      <c r="C1128" s="542"/>
      <c r="D1128" s="542"/>
      <c r="E1128" s="306"/>
      <c r="F1128" s="306" t="s">
        <v>3</v>
      </c>
      <c r="G1128" s="306" t="s">
        <v>488</v>
      </c>
      <c r="H1128" s="306"/>
      <c r="I1128" s="306"/>
      <c r="J1128" s="306" t="s">
        <v>941</v>
      </c>
      <c r="K1128" s="306"/>
      <c r="L1128" s="306"/>
      <c r="M1128" s="306" t="s">
        <v>8993</v>
      </c>
      <c r="N1128" s="306">
        <v>150000</v>
      </c>
      <c r="O1128" s="306" t="s">
        <v>452</v>
      </c>
      <c r="P1128" s="306" t="s">
        <v>8994</v>
      </c>
      <c r="Q1128" s="306"/>
      <c r="R1128" s="306"/>
      <c r="S1128" s="543"/>
      <c r="T1128" s="543"/>
      <c r="U1128" s="306"/>
      <c r="V1128" s="306"/>
      <c r="W1128" s="306"/>
      <c r="X1128" s="306"/>
      <c r="Y1128" s="306"/>
      <c r="Z1128" s="306"/>
      <c r="AA1128" s="306"/>
      <c r="AB1128" s="306"/>
    </row>
    <row r="1129" spans="1:28" ht="15.75" hidden="1" customHeight="1">
      <c r="A1129" s="541">
        <v>44791</v>
      </c>
      <c r="B1129" s="306" t="s">
        <v>8910</v>
      </c>
      <c r="C1129" s="542"/>
      <c r="D1129" s="542"/>
      <c r="E1129" s="306"/>
      <c r="F1129" s="306" t="s">
        <v>3</v>
      </c>
      <c r="G1129" s="306" t="s">
        <v>488</v>
      </c>
      <c r="H1129" s="306"/>
      <c r="I1129" s="306"/>
      <c r="J1129" s="306" t="s">
        <v>462</v>
      </c>
      <c r="K1129" s="306"/>
      <c r="L1129" s="306"/>
      <c r="M1129" s="306" t="s">
        <v>8914</v>
      </c>
      <c r="N1129" s="306">
        <v>5000000</v>
      </c>
      <c r="O1129" s="306" t="s">
        <v>452</v>
      </c>
      <c r="P1129" s="306" t="s">
        <v>8915</v>
      </c>
      <c r="Q1129" s="306"/>
      <c r="R1129" s="306"/>
      <c r="S1129" s="543"/>
      <c r="T1129" s="543"/>
      <c r="U1129" s="306"/>
      <c r="V1129" s="306"/>
      <c r="W1129" s="306"/>
      <c r="X1129" s="306"/>
      <c r="Y1129" s="306"/>
      <c r="Z1129" s="306"/>
      <c r="AA1129" s="306"/>
      <c r="AB1129" s="306"/>
    </row>
    <row r="1130" spans="1:28" ht="15.75" hidden="1" customHeight="1">
      <c r="A1130" s="541">
        <v>44791</v>
      </c>
      <c r="B1130" s="306" t="s">
        <v>9124</v>
      </c>
      <c r="C1130" s="542"/>
      <c r="D1130" s="542"/>
      <c r="E1130" s="306"/>
      <c r="F1130" s="306" t="s">
        <v>3</v>
      </c>
      <c r="G1130" s="306" t="s">
        <v>488</v>
      </c>
      <c r="H1130" s="306"/>
      <c r="I1130" s="306"/>
      <c r="J1130" s="306" t="s">
        <v>941</v>
      </c>
      <c r="K1130" s="306"/>
      <c r="L1130" s="306"/>
      <c r="M1130" s="306" t="s">
        <v>2190</v>
      </c>
      <c r="N1130" s="306">
        <v>3000000</v>
      </c>
      <c r="O1130" s="306" t="s">
        <v>452</v>
      </c>
      <c r="P1130" s="306" t="s">
        <v>9129</v>
      </c>
      <c r="Q1130" s="306"/>
      <c r="R1130" s="306"/>
      <c r="S1130" s="543"/>
      <c r="T1130" s="543"/>
      <c r="U1130" s="306"/>
      <c r="V1130" s="306"/>
      <c r="W1130" s="306"/>
      <c r="X1130" s="306"/>
      <c r="Y1130" s="306"/>
      <c r="Z1130" s="306"/>
      <c r="AA1130" s="306"/>
      <c r="AB1130" s="306"/>
    </row>
    <row r="1131" spans="1:28" ht="15.75" hidden="1" customHeight="1">
      <c r="A1131" s="541">
        <v>44791</v>
      </c>
      <c r="B1131" s="306" t="s">
        <v>13228</v>
      </c>
      <c r="C1131" s="542"/>
      <c r="D1131" s="542"/>
      <c r="E1131" s="306"/>
      <c r="F1131" s="306" t="s">
        <v>3</v>
      </c>
      <c r="G1131" s="306"/>
      <c r="H1131" s="306"/>
      <c r="I1131" s="306"/>
      <c r="J1131" s="306"/>
      <c r="K1131" s="306"/>
      <c r="L1131" s="306"/>
      <c r="M1131" s="306"/>
      <c r="N1131" s="306"/>
      <c r="O1131" s="306" t="s">
        <v>454</v>
      </c>
      <c r="P1131" s="306" t="s">
        <v>452</v>
      </c>
      <c r="Q1131" s="306"/>
      <c r="R1131" s="306"/>
      <c r="S1131" s="543"/>
      <c r="T1131" s="543"/>
      <c r="U1131" s="306"/>
      <c r="V1131" s="306"/>
      <c r="W1131" s="306"/>
      <c r="X1131" s="306"/>
      <c r="Y1131" s="306"/>
      <c r="Z1131" s="306"/>
      <c r="AA1131" s="306"/>
      <c r="AB1131" s="306"/>
    </row>
    <row r="1132" spans="1:28" ht="15.75" hidden="1" customHeight="1">
      <c r="A1132" s="541">
        <v>44796</v>
      </c>
      <c r="B1132" s="306" t="s">
        <v>257</v>
      </c>
      <c r="C1132" s="542"/>
      <c r="D1132" s="542"/>
      <c r="E1132" s="306" t="s">
        <v>1482</v>
      </c>
      <c r="F1132" s="306" t="s">
        <v>4</v>
      </c>
      <c r="G1132" s="306" t="s">
        <v>602</v>
      </c>
      <c r="H1132" s="306" t="s">
        <v>1483</v>
      </c>
      <c r="I1132" s="306">
        <v>4</v>
      </c>
      <c r="J1132" s="306" t="s">
        <v>941</v>
      </c>
      <c r="K1132" s="306"/>
      <c r="L1132" s="306"/>
      <c r="M1132" s="306" t="s">
        <v>784</v>
      </c>
      <c r="N1132" s="306">
        <v>682000</v>
      </c>
      <c r="O1132" s="306" t="s">
        <v>465</v>
      </c>
      <c r="P1132" s="306" t="s">
        <v>1485</v>
      </c>
      <c r="Q1132" s="306" t="s">
        <v>1486</v>
      </c>
      <c r="R1132" s="306"/>
      <c r="S1132" s="543"/>
      <c r="T1132" s="543"/>
      <c r="U1132" s="306"/>
      <c r="V1132" s="306"/>
      <c r="W1132" s="306"/>
      <c r="X1132" s="306"/>
      <c r="Y1132" s="306"/>
      <c r="Z1132" s="306"/>
      <c r="AA1132" s="306"/>
      <c r="AB1132" s="306"/>
    </row>
    <row r="1133" spans="1:28" ht="15.75" hidden="1" customHeight="1">
      <c r="A1133" s="541">
        <v>44796</v>
      </c>
      <c r="B1133" s="306" t="s">
        <v>10214</v>
      </c>
      <c r="C1133" s="542"/>
      <c r="D1133" s="542"/>
      <c r="E1133" s="306" t="s">
        <v>8059</v>
      </c>
      <c r="F1133" s="306" t="s">
        <v>4</v>
      </c>
      <c r="G1133" s="306" t="s">
        <v>727</v>
      </c>
      <c r="H1133" s="306"/>
      <c r="I1133" s="306"/>
      <c r="J1133" s="306" t="s">
        <v>476</v>
      </c>
      <c r="K1133" s="306" t="s">
        <v>8061</v>
      </c>
      <c r="L1133" s="306">
        <v>1</v>
      </c>
      <c r="M1133" s="306" t="s">
        <v>451</v>
      </c>
      <c r="N1133" s="544">
        <v>900000</v>
      </c>
      <c r="O1133" s="306" t="s">
        <v>452</v>
      </c>
      <c r="P1133" s="306" t="s">
        <v>8062</v>
      </c>
      <c r="Q1133" s="306" t="s">
        <v>8063</v>
      </c>
      <c r="R1133" s="306"/>
      <c r="S1133" s="543"/>
      <c r="T1133" s="543"/>
      <c r="U1133" s="306"/>
      <c r="V1133" s="306"/>
      <c r="W1133" s="306"/>
      <c r="X1133" s="306"/>
      <c r="Y1133" s="306"/>
      <c r="Z1133" s="306"/>
      <c r="AA1133" s="306"/>
      <c r="AB1133" s="306"/>
    </row>
    <row r="1134" spans="1:28" ht="15.75" hidden="1" customHeight="1">
      <c r="A1134" s="541">
        <v>44796</v>
      </c>
      <c r="B1134" s="306" t="s">
        <v>3497</v>
      </c>
      <c r="C1134" s="542"/>
      <c r="D1134" s="542"/>
      <c r="E1134" s="306" t="s">
        <v>3500</v>
      </c>
      <c r="F1134" s="306" t="s">
        <v>3</v>
      </c>
      <c r="G1134" s="306" t="s">
        <v>488</v>
      </c>
      <c r="H1134" s="306"/>
      <c r="I1134" s="306"/>
      <c r="J1134" s="306" t="s">
        <v>941</v>
      </c>
      <c r="K1134" s="306"/>
      <c r="L1134" s="306"/>
      <c r="M1134" s="306"/>
      <c r="N1134" s="544"/>
      <c r="O1134" s="306" t="s">
        <v>452</v>
      </c>
      <c r="P1134" s="306" t="s">
        <v>3503</v>
      </c>
      <c r="Q1134" s="306" t="s">
        <v>3504</v>
      </c>
      <c r="R1134" s="306"/>
      <c r="S1134" s="543"/>
      <c r="T1134" s="543"/>
      <c r="U1134" s="306"/>
      <c r="V1134" s="306"/>
      <c r="W1134" s="306"/>
      <c r="X1134" s="306"/>
      <c r="Y1134" s="306"/>
      <c r="Z1134" s="306"/>
      <c r="AA1134" s="306"/>
      <c r="AB1134" s="306"/>
    </row>
    <row r="1135" spans="1:28" ht="15.75" hidden="1" customHeight="1">
      <c r="A1135" s="541">
        <v>44796</v>
      </c>
      <c r="B1135" s="306" t="s">
        <v>224</v>
      </c>
      <c r="C1135" s="542"/>
      <c r="D1135" s="542"/>
      <c r="E1135" s="306" t="s">
        <v>1348</v>
      </c>
      <c r="F1135" s="306" t="s">
        <v>4</v>
      </c>
      <c r="G1135" s="306" t="s">
        <v>727</v>
      </c>
      <c r="H1135" s="306"/>
      <c r="I1135" s="306"/>
      <c r="J1135" s="306" t="s">
        <v>13187</v>
      </c>
      <c r="K1135" s="306"/>
      <c r="L1135" s="306"/>
      <c r="M1135" s="306"/>
      <c r="N1135" s="545"/>
      <c r="O1135" s="306" t="s">
        <v>465</v>
      </c>
      <c r="P1135" s="306" t="s">
        <v>1352</v>
      </c>
      <c r="Q1135" s="306"/>
      <c r="R1135" s="306"/>
      <c r="S1135" s="543"/>
      <c r="T1135" s="543"/>
      <c r="U1135" s="306"/>
      <c r="V1135" s="306"/>
      <c r="W1135" s="306"/>
      <c r="X1135" s="306"/>
      <c r="Y1135" s="306"/>
      <c r="Z1135" s="306"/>
      <c r="AA1135" s="306"/>
      <c r="AB1135" s="306"/>
    </row>
    <row r="1136" spans="1:28" ht="15.75" hidden="1" customHeight="1">
      <c r="A1136" s="541">
        <v>44796</v>
      </c>
      <c r="B1136" s="306" t="s">
        <v>13229</v>
      </c>
      <c r="C1136" s="542"/>
      <c r="D1136" s="542"/>
      <c r="E1136" s="306" t="s">
        <v>8461</v>
      </c>
      <c r="F1136" s="306" t="s">
        <v>3</v>
      </c>
      <c r="G1136" s="306" t="s">
        <v>460</v>
      </c>
      <c r="H1136" s="306"/>
      <c r="I1136" s="306"/>
      <c r="J1136" s="306" t="s">
        <v>462</v>
      </c>
      <c r="K1136" s="306"/>
      <c r="L1136" s="306"/>
      <c r="M1136" s="306"/>
      <c r="N1136" s="306"/>
      <c r="O1136" s="306" t="s">
        <v>452</v>
      </c>
      <c r="P1136" s="306" t="s">
        <v>452</v>
      </c>
      <c r="Q1136" s="306"/>
      <c r="R1136" s="306"/>
      <c r="S1136" s="543"/>
      <c r="T1136" s="543"/>
      <c r="U1136" s="306"/>
      <c r="V1136" s="306"/>
      <c r="W1136" s="306"/>
      <c r="X1136" s="306"/>
      <c r="Y1136" s="306"/>
      <c r="Z1136" s="306"/>
      <c r="AA1136" s="306"/>
      <c r="AB1136" s="306"/>
    </row>
    <row r="1137" spans="1:28" ht="15.75" hidden="1" customHeight="1">
      <c r="A1137" s="541">
        <v>44796</v>
      </c>
      <c r="B1137" s="306" t="s">
        <v>268</v>
      </c>
      <c r="C1137" s="542"/>
      <c r="D1137" s="542"/>
      <c r="E1137" s="306" t="s">
        <v>1550</v>
      </c>
      <c r="F1137" s="306" t="s">
        <v>3</v>
      </c>
      <c r="G1137" s="306" t="s">
        <v>460</v>
      </c>
      <c r="H1137" s="306"/>
      <c r="I1137" s="306"/>
      <c r="J1137" s="306" t="s">
        <v>462</v>
      </c>
      <c r="K1137" s="306"/>
      <c r="L1137" s="306"/>
      <c r="M1137" s="306" t="s">
        <v>478</v>
      </c>
      <c r="N1137" s="544">
        <v>6000000</v>
      </c>
      <c r="O1137" s="306" t="s">
        <v>452</v>
      </c>
      <c r="P1137" s="306" t="s">
        <v>10358</v>
      </c>
      <c r="Q1137" s="306"/>
      <c r="R1137" s="306"/>
      <c r="S1137" s="543"/>
      <c r="T1137" s="543"/>
      <c r="U1137" s="306"/>
      <c r="V1137" s="306"/>
      <c r="W1137" s="306"/>
      <c r="X1137" s="306"/>
      <c r="Y1137" s="306"/>
      <c r="Z1137" s="306"/>
      <c r="AA1137" s="306"/>
      <c r="AB1137" s="306"/>
    </row>
    <row r="1138" spans="1:28" ht="15.75" hidden="1" customHeight="1">
      <c r="A1138" s="541">
        <v>44796</v>
      </c>
      <c r="B1138" s="306" t="s">
        <v>8695</v>
      </c>
      <c r="C1138" s="542"/>
      <c r="D1138" s="542"/>
      <c r="E1138" s="306" t="s">
        <v>10373</v>
      </c>
      <c r="F1138" s="306" t="s">
        <v>3</v>
      </c>
      <c r="G1138" s="306" t="s">
        <v>488</v>
      </c>
      <c r="H1138" s="306"/>
      <c r="I1138" s="306"/>
      <c r="J1138" s="306" t="s">
        <v>941</v>
      </c>
      <c r="K1138" s="306"/>
      <c r="L1138" s="306"/>
      <c r="M1138" s="306" t="s">
        <v>8700</v>
      </c>
      <c r="N1138" s="306" t="s">
        <v>8701</v>
      </c>
      <c r="O1138" s="306" t="s">
        <v>452</v>
      </c>
      <c r="P1138" s="306" t="s">
        <v>452</v>
      </c>
      <c r="Q1138" s="306"/>
      <c r="R1138" s="306"/>
      <c r="S1138" s="543"/>
      <c r="T1138" s="543"/>
      <c r="U1138" s="306"/>
      <c r="V1138" s="306"/>
      <c r="W1138" s="306"/>
      <c r="X1138" s="306"/>
      <c r="Y1138" s="306"/>
      <c r="Z1138" s="306"/>
      <c r="AA1138" s="306"/>
      <c r="AB1138" s="306"/>
    </row>
    <row r="1139" spans="1:28" ht="15.75" hidden="1" customHeight="1">
      <c r="A1139" s="541">
        <v>44796</v>
      </c>
      <c r="B1139" s="306" t="s">
        <v>2235</v>
      </c>
      <c r="C1139" s="542"/>
      <c r="D1139" s="542"/>
      <c r="E1139" s="306" t="s">
        <v>2238</v>
      </c>
      <c r="F1139" s="306" t="s">
        <v>3</v>
      </c>
      <c r="G1139" s="306" t="s">
        <v>488</v>
      </c>
      <c r="H1139" s="306"/>
      <c r="I1139" s="306"/>
      <c r="J1139" s="306" t="s">
        <v>941</v>
      </c>
      <c r="K1139" s="306"/>
      <c r="L1139" s="306"/>
      <c r="M1139" s="306" t="s">
        <v>451</v>
      </c>
      <c r="N1139" s="306" t="s">
        <v>2240</v>
      </c>
      <c r="O1139" s="306" t="s">
        <v>454</v>
      </c>
      <c r="P1139" s="306" t="s">
        <v>10484</v>
      </c>
      <c r="Q1139" s="306"/>
      <c r="R1139" s="306"/>
      <c r="S1139" s="543"/>
      <c r="T1139" s="543"/>
      <c r="U1139" s="306"/>
      <c r="V1139" s="306"/>
      <c r="W1139" s="306"/>
      <c r="X1139" s="306"/>
      <c r="Y1139" s="306"/>
      <c r="Z1139" s="306"/>
      <c r="AA1139" s="306"/>
      <c r="AB1139" s="306"/>
    </row>
    <row r="1140" spans="1:28" ht="15.75" hidden="1" customHeight="1">
      <c r="A1140" s="541">
        <v>44796</v>
      </c>
      <c r="B1140" s="306" t="s">
        <v>8543</v>
      </c>
      <c r="C1140" s="542"/>
      <c r="D1140" s="542"/>
      <c r="E1140" s="306" t="s">
        <v>8546</v>
      </c>
      <c r="F1140" s="306" t="s">
        <v>3</v>
      </c>
      <c r="G1140" s="306" t="s">
        <v>488</v>
      </c>
      <c r="H1140" s="306"/>
      <c r="I1140" s="306"/>
      <c r="J1140" s="306" t="s">
        <v>941</v>
      </c>
      <c r="K1140" s="306"/>
      <c r="L1140" s="306"/>
      <c r="M1140" s="306" t="s">
        <v>973</v>
      </c>
      <c r="N1140" s="306">
        <v>8000000</v>
      </c>
      <c r="O1140" s="306" t="s">
        <v>452</v>
      </c>
      <c r="P1140" s="306" t="s">
        <v>8548</v>
      </c>
      <c r="Q1140" s="306"/>
      <c r="R1140" s="306"/>
      <c r="S1140" s="543"/>
      <c r="T1140" s="543"/>
      <c r="U1140" s="306"/>
      <c r="V1140" s="306"/>
      <c r="W1140" s="306"/>
      <c r="X1140" s="306"/>
      <c r="Y1140" s="306"/>
      <c r="Z1140" s="306"/>
      <c r="AA1140" s="306"/>
      <c r="AB1140" s="306"/>
    </row>
    <row r="1141" spans="1:28" ht="15.75" hidden="1" customHeight="1">
      <c r="A1141" s="541">
        <v>44796</v>
      </c>
      <c r="B1141" s="306" t="s">
        <v>177</v>
      </c>
      <c r="C1141" s="542"/>
      <c r="D1141" s="542"/>
      <c r="E1141" s="306" t="s">
        <v>3701</v>
      </c>
      <c r="F1141" s="306" t="s">
        <v>4</v>
      </c>
      <c r="G1141" s="306" t="s">
        <v>727</v>
      </c>
      <c r="H1141" s="306"/>
      <c r="I1141" s="306"/>
      <c r="J1141" s="306" t="s">
        <v>990</v>
      </c>
      <c r="K1141" s="306" t="s">
        <v>3703</v>
      </c>
      <c r="L1141" s="306">
        <v>4</v>
      </c>
      <c r="M1141" s="306" t="s">
        <v>451</v>
      </c>
      <c r="N1141" s="544" t="s">
        <v>3704</v>
      </c>
      <c r="O1141" s="306" t="s">
        <v>452</v>
      </c>
      <c r="P1141" s="306" t="s">
        <v>3705</v>
      </c>
      <c r="Q1141" s="306"/>
      <c r="R1141" s="306"/>
      <c r="S1141" s="543"/>
      <c r="T1141" s="543"/>
      <c r="U1141" s="306"/>
      <c r="V1141" s="306"/>
      <c r="W1141" s="306"/>
      <c r="X1141" s="306"/>
      <c r="Y1141" s="306"/>
      <c r="Z1141" s="306"/>
      <c r="AA1141" s="306"/>
      <c r="AB1141" s="306"/>
    </row>
    <row r="1142" spans="1:28" ht="15.75" hidden="1" customHeight="1">
      <c r="A1142" s="541">
        <v>44796</v>
      </c>
      <c r="B1142" s="306" t="s">
        <v>6052</v>
      </c>
      <c r="C1142" s="542"/>
      <c r="D1142" s="542"/>
      <c r="E1142" s="306" t="s">
        <v>6055</v>
      </c>
      <c r="F1142" s="306" t="s">
        <v>4</v>
      </c>
      <c r="G1142" s="306" t="s">
        <v>727</v>
      </c>
      <c r="H1142" s="306"/>
      <c r="I1142" s="306"/>
      <c r="J1142" s="306" t="s">
        <v>13187</v>
      </c>
      <c r="K1142" s="306"/>
      <c r="L1142" s="306"/>
      <c r="M1142" s="306" t="s">
        <v>973</v>
      </c>
      <c r="N1142" s="545">
        <v>10000000</v>
      </c>
      <c r="O1142" s="306" t="s">
        <v>465</v>
      </c>
      <c r="P1142" s="306" t="s">
        <v>6058</v>
      </c>
      <c r="Q1142" s="306"/>
      <c r="R1142" s="306"/>
      <c r="S1142" s="543"/>
      <c r="T1142" s="543"/>
      <c r="U1142" s="306"/>
      <c r="V1142" s="306"/>
      <c r="W1142" s="306"/>
      <c r="X1142" s="306"/>
      <c r="Y1142" s="306"/>
      <c r="Z1142" s="306"/>
      <c r="AA1142" s="306"/>
      <c r="AB1142" s="306"/>
    </row>
    <row r="1143" spans="1:28" ht="15.75" hidden="1" customHeight="1">
      <c r="A1143" s="541">
        <v>44796</v>
      </c>
      <c r="B1143" s="306" t="s">
        <v>5978</v>
      </c>
      <c r="C1143" s="542"/>
      <c r="D1143" s="542"/>
      <c r="E1143" s="306" t="s">
        <v>5981</v>
      </c>
      <c r="F1143" s="306" t="s">
        <v>4</v>
      </c>
      <c r="G1143" s="306" t="s">
        <v>727</v>
      </c>
      <c r="H1143" s="306"/>
      <c r="I1143" s="306"/>
      <c r="J1143" s="306" t="s">
        <v>1298</v>
      </c>
      <c r="K1143" s="306" t="s">
        <v>5983</v>
      </c>
      <c r="L1143" s="306">
        <v>2</v>
      </c>
      <c r="M1143" s="306" t="s">
        <v>923</v>
      </c>
      <c r="N1143" s="544">
        <v>3000000</v>
      </c>
      <c r="O1143" s="306" t="s">
        <v>452</v>
      </c>
      <c r="P1143" s="306" t="s">
        <v>452</v>
      </c>
      <c r="Q1143" s="306" t="s">
        <v>447</v>
      </c>
      <c r="R1143" s="306"/>
      <c r="S1143" s="543"/>
      <c r="T1143" s="543"/>
      <c r="U1143" s="306"/>
      <c r="V1143" s="306"/>
      <c r="W1143" s="306"/>
      <c r="X1143" s="306"/>
      <c r="Y1143" s="306"/>
      <c r="Z1143" s="306"/>
      <c r="AA1143" s="306"/>
      <c r="AB1143" s="306"/>
    </row>
    <row r="1144" spans="1:28" ht="15.75" hidden="1" customHeight="1">
      <c r="A1144" s="541">
        <v>44796</v>
      </c>
      <c r="B1144" s="306" t="s">
        <v>4601</v>
      </c>
      <c r="C1144" s="542"/>
      <c r="D1144" s="542"/>
      <c r="E1144" s="306" t="s">
        <v>4604</v>
      </c>
      <c r="F1144" s="306" t="s">
        <v>4</v>
      </c>
      <c r="G1144" s="306" t="s">
        <v>727</v>
      </c>
      <c r="H1144" s="306"/>
      <c r="I1144" s="306"/>
      <c r="J1144" s="306" t="s">
        <v>604</v>
      </c>
      <c r="K1144" s="306" t="s">
        <v>10494</v>
      </c>
      <c r="L1144" s="306">
        <v>3</v>
      </c>
      <c r="M1144" s="306" t="s">
        <v>923</v>
      </c>
      <c r="N1144" s="306">
        <v>1500000</v>
      </c>
      <c r="O1144" s="306" t="s">
        <v>452</v>
      </c>
      <c r="P1144" s="306" t="s">
        <v>10495</v>
      </c>
      <c r="Q1144" s="306"/>
      <c r="R1144" s="306"/>
      <c r="S1144" s="543"/>
      <c r="T1144" s="543"/>
      <c r="U1144" s="306"/>
      <c r="V1144" s="306"/>
      <c r="W1144" s="306"/>
      <c r="X1144" s="306"/>
      <c r="Y1144" s="306"/>
      <c r="Z1144" s="306"/>
      <c r="AA1144" s="306"/>
      <c r="AB1144" s="306"/>
    </row>
    <row r="1145" spans="1:28" ht="15.75" hidden="1" customHeight="1">
      <c r="A1145" s="541">
        <v>44796</v>
      </c>
      <c r="B1145" s="306" t="s">
        <v>4348</v>
      </c>
      <c r="C1145" s="542"/>
      <c r="D1145" s="542"/>
      <c r="E1145" s="306" t="s">
        <v>4351</v>
      </c>
      <c r="F1145" s="306" t="s">
        <v>4</v>
      </c>
      <c r="G1145" s="306" t="s">
        <v>727</v>
      </c>
      <c r="H1145" s="306"/>
      <c r="I1145" s="306"/>
      <c r="J1145" s="306" t="s">
        <v>13187</v>
      </c>
      <c r="K1145" s="306"/>
      <c r="L1145" s="306"/>
      <c r="M1145" s="306"/>
      <c r="N1145" s="306"/>
      <c r="O1145" s="306" t="s">
        <v>452</v>
      </c>
      <c r="P1145" s="306" t="s">
        <v>10500</v>
      </c>
      <c r="Q1145" s="306"/>
      <c r="R1145" s="306"/>
      <c r="S1145" s="543"/>
      <c r="T1145" s="543"/>
      <c r="U1145" s="306"/>
      <c r="V1145" s="306"/>
      <c r="W1145" s="306"/>
      <c r="X1145" s="306"/>
      <c r="Y1145" s="306"/>
      <c r="Z1145" s="306"/>
      <c r="AA1145" s="306"/>
      <c r="AB1145" s="306"/>
    </row>
    <row r="1146" spans="1:28" ht="15.75" hidden="1" customHeight="1">
      <c r="A1146" s="541">
        <v>44796</v>
      </c>
      <c r="B1146" s="306" t="s">
        <v>5876</v>
      </c>
      <c r="C1146" s="542"/>
      <c r="D1146" s="542"/>
      <c r="E1146" s="306" t="s">
        <v>5879</v>
      </c>
      <c r="F1146" s="306" t="s">
        <v>4</v>
      </c>
      <c r="G1146" s="306" t="s">
        <v>727</v>
      </c>
      <c r="H1146" s="306"/>
      <c r="I1146" s="306"/>
      <c r="J1146" s="306" t="s">
        <v>1073</v>
      </c>
      <c r="K1146" s="306" t="s">
        <v>5880</v>
      </c>
      <c r="L1146" s="306">
        <v>3</v>
      </c>
      <c r="M1146" s="306"/>
      <c r="N1146" s="544"/>
      <c r="O1146" s="306" t="s">
        <v>452</v>
      </c>
      <c r="P1146" s="306" t="s">
        <v>452</v>
      </c>
      <c r="Q1146" s="306"/>
      <c r="R1146" s="306"/>
      <c r="S1146" s="543"/>
      <c r="T1146" s="543"/>
      <c r="U1146" s="306"/>
      <c r="V1146" s="306"/>
      <c r="W1146" s="306"/>
      <c r="X1146" s="306"/>
      <c r="Y1146" s="306"/>
      <c r="Z1146" s="306"/>
      <c r="AA1146" s="306"/>
      <c r="AB1146" s="306"/>
    </row>
    <row r="1147" spans="1:28" ht="15.75" hidden="1" customHeight="1">
      <c r="A1147" s="541">
        <v>44796</v>
      </c>
      <c r="B1147" s="306" t="s">
        <v>175</v>
      </c>
      <c r="C1147" s="542"/>
      <c r="D1147" s="542"/>
      <c r="E1147" s="306" t="s">
        <v>10557</v>
      </c>
      <c r="F1147" s="306" t="s">
        <v>4</v>
      </c>
      <c r="G1147" s="306" t="s">
        <v>727</v>
      </c>
      <c r="H1147" s="306"/>
      <c r="I1147" s="306"/>
      <c r="J1147" s="306" t="s">
        <v>13187</v>
      </c>
      <c r="K1147" s="306"/>
      <c r="L1147" s="306"/>
      <c r="M1147" s="306" t="s">
        <v>923</v>
      </c>
      <c r="N1147" s="544">
        <v>3000000</v>
      </c>
      <c r="O1147" s="306" t="s">
        <v>452</v>
      </c>
      <c r="P1147" s="306" t="s">
        <v>452</v>
      </c>
      <c r="Q1147" s="306"/>
      <c r="R1147" s="306"/>
      <c r="S1147" s="543"/>
      <c r="T1147" s="543"/>
      <c r="U1147" s="306"/>
      <c r="V1147" s="306"/>
      <c r="W1147" s="306"/>
      <c r="X1147" s="306"/>
      <c r="Y1147" s="306"/>
      <c r="Z1147" s="306"/>
      <c r="AA1147" s="306"/>
      <c r="AB1147" s="306"/>
    </row>
    <row r="1148" spans="1:28" ht="15.75" hidden="1" customHeight="1">
      <c r="A1148" s="541">
        <v>44796</v>
      </c>
      <c r="B1148" s="306" t="s">
        <v>4776</v>
      </c>
      <c r="C1148" s="542"/>
      <c r="D1148" s="542"/>
      <c r="E1148" s="306" t="s">
        <v>4779</v>
      </c>
      <c r="F1148" s="306" t="s">
        <v>4</v>
      </c>
      <c r="G1148" s="306" t="s">
        <v>727</v>
      </c>
      <c r="H1148" s="306"/>
      <c r="I1148" s="306"/>
      <c r="J1148" s="306" t="s">
        <v>1045</v>
      </c>
      <c r="K1148" s="306" t="s">
        <v>4781</v>
      </c>
      <c r="L1148" s="306">
        <v>3</v>
      </c>
      <c r="M1148" s="306"/>
      <c r="N1148" s="544"/>
      <c r="O1148" s="306" t="s">
        <v>452</v>
      </c>
      <c r="P1148" s="306" t="s">
        <v>452</v>
      </c>
      <c r="Q1148" s="306"/>
      <c r="R1148" s="306"/>
      <c r="S1148" s="543"/>
      <c r="T1148" s="543"/>
      <c r="U1148" s="306"/>
      <c r="V1148" s="306"/>
      <c r="W1148" s="306"/>
      <c r="X1148" s="306"/>
      <c r="Y1148" s="306"/>
      <c r="Z1148" s="306"/>
      <c r="AA1148" s="306"/>
      <c r="AB1148" s="306"/>
    </row>
    <row r="1149" spans="1:28" ht="15.75" hidden="1" customHeight="1">
      <c r="A1149" s="541">
        <v>44796</v>
      </c>
      <c r="B1149" s="306" t="s">
        <v>7860</v>
      </c>
      <c r="C1149" s="542"/>
      <c r="D1149" s="542"/>
      <c r="E1149" s="306" t="s">
        <v>7863</v>
      </c>
      <c r="F1149" s="306" t="s">
        <v>4</v>
      </c>
      <c r="G1149" s="306" t="s">
        <v>727</v>
      </c>
      <c r="H1149" s="306"/>
      <c r="I1149" s="306"/>
      <c r="J1149" s="306" t="s">
        <v>1045</v>
      </c>
      <c r="K1149" s="306" t="s">
        <v>7865</v>
      </c>
      <c r="L1149" s="306">
        <v>1</v>
      </c>
      <c r="M1149" s="306"/>
      <c r="N1149" s="306"/>
      <c r="O1149" s="306" t="s">
        <v>465</v>
      </c>
      <c r="P1149" s="306" t="s">
        <v>10564</v>
      </c>
      <c r="Q1149" s="306"/>
      <c r="R1149" s="306"/>
      <c r="S1149" s="543"/>
      <c r="T1149" s="543"/>
      <c r="U1149" s="306"/>
      <c r="V1149" s="306"/>
      <c r="W1149" s="306"/>
      <c r="X1149" s="306"/>
      <c r="Y1149" s="306"/>
      <c r="Z1149" s="306"/>
      <c r="AA1149" s="306"/>
      <c r="AB1149" s="306"/>
    </row>
    <row r="1150" spans="1:28" ht="15.75" hidden="1" customHeight="1">
      <c r="A1150" s="541">
        <v>44796</v>
      </c>
      <c r="B1150" s="306" t="s">
        <v>7443</v>
      </c>
      <c r="C1150" s="542"/>
      <c r="D1150" s="542"/>
      <c r="E1150" s="306" t="s">
        <v>7446</v>
      </c>
      <c r="F1150" s="306" t="s">
        <v>4</v>
      </c>
      <c r="G1150" s="306" t="s">
        <v>727</v>
      </c>
      <c r="H1150" s="306"/>
      <c r="I1150" s="306"/>
      <c r="J1150" s="306" t="s">
        <v>1045</v>
      </c>
      <c r="K1150" s="306" t="s">
        <v>7448</v>
      </c>
      <c r="L1150" s="306">
        <v>2</v>
      </c>
      <c r="M1150" s="306" t="s">
        <v>451</v>
      </c>
      <c r="N1150" s="306">
        <v>2000000</v>
      </c>
      <c r="O1150" s="306" t="s">
        <v>452</v>
      </c>
      <c r="P1150" s="306" t="s">
        <v>7449</v>
      </c>
      <c r="Q1150" s="306"/>
      <c r="R1150" s="306"/>
      <c r="S1150" s="543"/>
      <c r="T1150" s="543"/>
      <c r="U1150" s="306"/>
      <c r="V1150" s="306"/>
      <c r="W1150" s="306"/>
      <c r="X1150" s="306"/>
      <c r="Y1150" s="306"/>
      <c r="Z1150" s="306"/>
      <c r="AA1150" s="306"/>
      <c r="AB1150" s="306"/>
    </row>
    <row r="1151" spans="1:28" ht="15.75" hidden="1" customHeight="1">
      <c r="A1151" s="541">
        <v>44796</v>
      </c>
      <c r="B1151" s="306" t="s">
        <v>4925</v>
      </c>
      <c r="C1151" s="542"/>
      <c r="D1151" s="542"/>
      <c r="E1151" s="306" t="s">
        <v>4928</v>
      </c>
      <c r="F1151" s="306" t="s">
        <v>4</v>
      </c>
      <c r="G1151" s="306" t="s">
        <v>727</v>
      </c>
      <c r="H1151" s="306"/>
      <c r="I1151" s="306"/>
      <c r="J1151" s="306" t="s">
        <v>1073</v>
      </c>
      <c r="K1151" s="306"/>
      <c r="L1151" s="306">
        <v>3</v>
      </c>
      <c r="M1151" s="306"/>
      <c r="N1151" s="306"/>
      <c r="O1151" s="306" t="s">
        <v>452</v>
      </c>
      <c r="P1151" s="306" t="s">
        <v>10574</v>
      </c>
      <c r="Q1151" s="306"/>
      <c r="R1151" s="306"/>
      <c r="S1151" s="543"/>
      <c r="T1151" s="543"/>
      <c r="U1151" s="306"/>
      <c r="V1151" s="306"/>
      <c r="W1151" s="306"/>
      <c r="X1151" s="306"/>
      <c r="Y1151" s="306"/>
      <c r="Z1151" s="306"/>
      <c r="AA1151" s="306"/>
      <c r="AB1151" s="306"/>
    </row>
    <row r="1152" spans="1:28" ht="15.75" hidden="1" customHeight="1">
      <c r="A1152" s="541">
        <v>44796</v>
      </c>
      <c r="B1152" s="306" t="s">
        <v>7933</v>
      </c>
      <c r="C1152" s="542"/>
      <c r="D1152" s="542"/>
      <c r="E1152" s="306" t="s">
        <v>7936</v>
      </c>
      <c r="F1152" s="306" t="s">
        <v>4</v>
      </c>
      <c r="G1152" s="306" t="s">
        <v>727</v>
      </c>
      <c r="H1152" s="306"/>
      <c r="I1152" s="306"/>
      <c r="J1152" s="306" t="s">
        <v>1371</v>
      </c>
      <c r="K1152" s="306" t="s">
        <v>7938</v>
      </c>
      <c r="L1152" s="306">
        <v>1</v>
      </c>
      <c r="M1152" s="306"/>
      <c r="N1152" s="544"/>
      <c r="O1152" s="306" t="s">
        <v>454</v>
      </c>
      <c r="P1152" s="306" t="s">
        <v>452</v>
      </c>
      <c r="Q1152" s="306"/>
      <c r="R1152" s="306"/>
      <c r="S1152" s="543"/>
      <c r="T1152" s="543"/>
      <c r="U1152" s="306"/>
      <c r="V1152" s="306"/>
      <c r="W1152" s="306"/>
      <c r="X1152" s="306"/>
      <c r="Y1152" s="306"/>
      <c r="Z1152" s="306"/>
      <c r="AA1152" s="306"/>
      <c r="AB1152" s="306"/>
    </row>
    <row r="1153" spans="1:28" ht="15.75" hidden="1" customHeight="1">
      <c r="A1153" s="541">
        <v>44796</v>
      </c>
      <c r="B1153" s="306" t="s">
        <v>4364</v>
      </c>
      <c r="C1153" s="542"/>
      <c r="D1153" s="542"/>
      <c r="E1153" s="306" t="s">
        <v>4367</v>
      </c>
      <c r="F1153" s="306" t="s">
        <v>4</v>
      </c>
      <c r="G1153" s="306" t="s">
        <v>727</v>
      </c>
      <c r="H1153" s="306"/>
      <c r="I1153" s="306"/>
      <c r="J1153" s="306" t="s">
        <v>13187</v>
      </c>
      <c r="K1153" s="306"/>
      <c r="L1153" s="306"/>
      <c r="M1153" s="306" t="s">
        <v>451</v>
      </c>
      <c r="N1153" s="306" t="s">
        <v>4370</v>
      </c>
      <c r="O1153" s="306" t="s">
        <v>452</v>
      </c>
      <c r="P1153" s="306" t="s">
        <v>10591</v>
      </c>
      <c r="Q1153" s="306"/>
      <c r="R1153" s="306"/>
      <c r="S1153" s="543"/>
      <c r="T1153" s="543"/>
      <c r="U1153" s="306"/>
      <c r="V1153" s="306"/>
      <c r="W1153" s="306"/>
      <c r="X1153" s="306"/>
      <c r="Y1153" s="306"/>
      <c r="Z1153" s="306"/>
      <c r="AA1153" s="306"/>
      <c r="AB1153" s="306"/>
    </row>
    <row r="1154" spans="1:28" ht="15.75" hidden="1" customHeight="1">
      <c r="A1154" s="541">
        <v>44796</v>
      </c>
      <c r="B1154" s="306" t="s">
        <v>10598</v>
      </c>
      <c r="C1154" s="542"/>
      <c r="D1154" s="542"/>
      <c r="E1154" s="306" t="s">
        <v>7693</v>
      </c>
      <c r="F1154" s="306" t="s">
        <v>4</v>
      </c>
      <c r="G1154" s="306" t="s">
        <v>727</v>
      </c>
      <c r="H1154" s="306"/>
      <c r="I1154" s="306"/>
      <c r="J1154" s="306" t="s">
        <v>13187</v>
      </c>
      <c r="K1154" s="306"/>
      <c r="L1154" s="306"/>
      <c r="M1154" s="306" t="s">
        <v>451</v>
      </c>
      <c r="N1154" s="544">
        <v>2000000</v>
      </c>
      <c r="O1154" s="306" t="s">
        <v>452</v>
      </c>
      <c r="P1154" s="306" t="s">
        <v>7696</v>
      </c>
      <c r="Q1154" s="306"/>
      <c r="R1154" s="306"/>
      <c r="S1154" s="543"/>
      <c r="T1154" s="543"/>
      <c r="U1154" s="306"/>
      <c r="V1154" s="306"/>
      <c r="W1154" s="306"/>
      <c r="X1154" s="306"/>
      <c r="Y1154" s="306"/>
      <c r="Z1154" s="306"/>
      <c r="AA1154" s="306"/>
      <c r="AB1154" s="306"/>
    </row>
    <row r="1155" spans="1:28" ht="15.75" hidden="1" customHeight="1">
      <c r="A1155" s="541">
        <v>44796</v>
      </c>
      <c r="B1155" s="306" t="s">
        <v>6044</v>
      </c>
      <c r="C1155" s="542"/>
      <c r="D1155" s="542"/>
      <c r="E1155" s="306" t="s">
        <v>10603</v>
      </c>
      <c r="F1155" s="306" t="s">
        <v>4</v>
      </c>
      <c r="G1155" s="306" t="s">
        <v>727</v>
      </c>
      <c r="H1155" s="306"/>
      <c r="I1155" s="306"/>
      <c r="J1155" s="306" t="s">
        <v>1457</v>
      </c>
      <c r="K1155" s="306" t="s">
        <v>6048</v>
      </c>
      <c r="L1155" s="306">
        <v>3</v>
      </c>
      <c r="M1155" s="306" t="s">
        <v>784</v>
      </c>
      <c r="N1155" s="545">
        <v>167000</v>
      </c>
      <c r="O1155" s="306" t="s">
        <v>452</v>
      </c>
      <c r="P1155" s="306" t="s">
        <v>6049</v>
      </c>
      <c r="Q1155" s="306"/>
      <c r="R1155" s="306"/>
      <c r="S1155" s="543"/>
      <c r="T1155" s="543"/>
      <c r="U1155" s="306"/>
      <c r="V1155" s="306"/>
      <c r="W1155" s="306"/>
      <c r="X1155" s="306"/>
      <c r="Y1155" s="306"/>
      <c r="Z1155" s="306"/>
      <c r="AA1155" s="306"/>
      <c r="AB1155" s="306"/>
    </row>
    <row r="1156" spans="1:28" ht="15.75" hidden="1" customHeight="1">
      <c r="A1156" s="541">
        <v>44796</v>
      </c>
      <c r="B1156" s="306" t="s">
        <v>4553</v>
      </c>
      <c r="C1156" s="542"/>
      <c r="D1156" s="542"/>
      <c r="E1156" s="306" t="s">
        <v>4556</v>
      </c>
      <c r="F1156" s="306" t="s">
        <v>4</v>
      </c>
      <c r="G1156" s="306" t="s">
        <v>727</v>
      </c>
      <c r="H1156" s="306"/>
      <c r="I1156" s="306"/>
      <c r="J1156" s="306" t="s">
        <v>990</v>
      </c>
      <c r="K1156" s="306" t="s">
        <v>4558</v>
      </c>
      <c r="L1156" s="306">
        <v>4</v>
      </c>
      <c r="M1156" s="306"/>
      <c r="N1156" s="544"/>
      <c r="O1156" s="306" t="s">
        <v>452</v>
      </c>
      <c r="P1156" s="306" t="s">
        <v>4559</v>
      </c>
      <c r="Q1156" s="306" t="s">
        <v>2180</v>
      </c>
      <c r="R1156" s="306"/>
      <c r="S1156" s="543"/>
      <c r="T1156" s="543"/>
      <c r="U1156" s="306"/>
      <c r="V1156" s="306"/>
      <c r="W1156" s="306"/>
      <c r="X1156" s="306"/>
      <c r="Y1156" s="306"/>
      <c r="Z1156" s="306"/>
      <c r="AA1156" s="306"/>
      <c r="AB1156" s="306"/>
    </row>
    <row r="1157" spans="1:28" ht="15.75" hidden="1" customHeight="1">
      <c r="A1157" s="541">
        <v>44796</v>
      </c>
      <c r="B1157" s="306" t="s">
        <v>82</v>
      </c>
      <c r="C1157" s="542"/>
      <c r="D1157" s="542"/>
      <c r="E1157" s="306" t="s">
        <v>591</v>
      </c>
      <c r="F1157" s="306" t="s">
        <v>3</v>
      </c>
      <c r="G1157" s="306" t="s">
        <v>460</v>
      </c>
      <c r="H1157" s="306" t="s">
        <v>592</v>
      </c>
      <c r="I1157" s="306">
        <v>4.5</v>
      </c>
      <c r="J1157" s="306" t="s">
        <v>462</v>
      </c>
      <c r="K1157" s="306"/>
      <c r="L1157" s="306"/>
      <c r="M1157" s="306" t="s">
        <v>451</v>
      </c>
      <c r="N1157" s="544">
        <v>3000000</v>
      </c>
      <c r="O1157" s="306" t="s">
        <v>452</v>
      </c>
      <c r="P1157" s="306" t="s">
        <v>10644</v>
      </c>
      <c r="Q1157" s="306"/>
      <c r="R1157" s="306"/>
      <c r="S1157" s="543"/>
      <c r="T1157" s="543"/>
      <c r="U1157" s="306"/>
      <c r="V1157" s="306"/>
      <c r="W1157" s="306"/>
      <c r="X1157" s="306"/>
      <c r="Y1157" s="306"/>
      <c r="Z1157" s="306"/>
      <c r="AA1157" s="306"/>
      <c r="AB1157" s="306"/>
    </row>
    <row r="1158" spans="1:28" ht="15.75" hidden="1" customHeight="1">
      <c r="A1158" s="541">
        <v>44796</v>
      </c>
      <c r="B1158" s="306" t="s">
        <v>13230</v>
      </c>
      <c r="C1158" s="542"/>
      <c r="D1158" s="542"/>
      <c r="E1158" s="306" t="s">
        <v>1517</v>
      </c>
      <c r="F1158" s="306" t="s">
        <v>4</v>
      </c>
      <c r="G1158" s="306" t="s">
        <v>727</v>
      </c>
      <c r="H1158" s="306" t="s">
        <v>1518</v>
      </c>
      <c r="I1158" s="306">
        <v>4.5</v>
      </c>
      <c r="J1158" s="306" t="s">
        <v>13187</v>
      </c>
      <c r="K1158" s="306"/>
      <c r="L1158" s="306"/>
      <c r="M1158" s="306"/>
      <c r="N1158" s="544"/>
      <c r="O1158" s="306" t="s">
        <v>452</v>
      </c>
      <c r="P1158" s="306" t="s">
        <v>10649</v>
      </c>
      <c r="Q1158" s="306"/>
      <c r="R1158" s="306"/>
      <c r="S1158" s="543"/>
      <c r="T1158" s="543"/>
      <c r="U1158" s="306"/>
      <c r="V1158" s="306"/>
      <c r="W1158" s="306"/>
      <c r="X1158" s="306"/>
      <c r="Y1158" s="306"/>
      <c r="Z1158" s="306"/>
      <c r="AA1158" s="306"/>
      <c r="AB1158" s="306"/>
    </row>
    <row r="1159" spans="1:28" ht="15.75" hidden="1" customHeight="1">
      <c r="A1159" s="541">
        <v>44796</v>
      </c>
      <c r="B1159" s="306" t="s">
        <v>4509</v>
      </c>
      <c r="C1159" s="542"/>
      <c r="D1159" s="542"/>
      <c r="E1159" s="306" t="s">
        <v>4512</v>
      </c>
      <c r="F1159" s="306" t="s">
        <v>4</v>
      </c>
      <c r="G1159" s="306" t="s">
        <v>727</v>
      </c>
      <c r="H1159" s="306" t="s">
        <v>4513</v>
      </c>
      <c r="I1159" s="306">
        <v>3.75</v>
      </c>
      <c r="J1159" s="306" t="s">
        <v>13187</v>
      </c>
      <c r="K1159" s="306"/>
      <c r="L1159" s="306"/>
      <c r="M1159" s="306"/>
      <c r="N1159" s="306"/>
      <c r="O1159" s="306" t="s">
        <v>452</v>
      </c>
      <c r="P1159" s="306" t="s">
        <v>4515</v>
      </c>
      <c r="Q1159" s="306"/>
      <c r="R1159" s="306"/>
      <c r="S1159" s="543"/>
      <c r="T1159" s="543"/>
      <c r="U1159" s="306"/>
      <c r="V1159" s="306"/>
      <c r="W1159" s="306"/>
      <c r="X1159" s="306"/>
      <c r="Y1159" s="306"/>
      <c r="Z1159" s="306"/>
      <c r="AA1159" s="306"/>
      <c r="AB1159" s="306"/>
    </row>
    <row r="1160" spans="1:28" ht="15.75" hidden="1" customHeight="1">
      <c r="A1160" s="541">
        <v>44796</v>
      </c>
      <c r="B1160" s="306" t="s">
        <v>4814</v>
      </c>
      <c r="C1160" s="542"/>
      <c r="D1160" s="542"/>
      <c r="E1160" s="306" t="s">
        <v>4817</v>
      </c>
      <c r="F1160" s="306" t="s">
        <v>4</v>
      </c>
      <c r="G1160" s="306" t="s">
        <v>727</v>
      </c>
      <c r="H1160" s="306" t="s">
        <v>10656</v>
      </c>
      <c r="I1160" s="306">
        <v>3.5</v>
      </c>
      <c r="J1160" s="306" t="s">
        <v>13187</v>
      </c>
      <c r="K1160" s="306"/>
      <c r="L1160" s="306"/>
      <c r="M1160" s="306" t="s">
        <v>451</v>
      </c>
      <c r="N1160" s="545">
        <v>5000000</v>
      </c>
      <c r="O1160" s="306" t="s">
        <v>452</v>
      </c>
      <c r="P1160" s="306" t="s">
        <v>10657</v>
      </c>
      <c r="Q1160" s="306"/>
      <c r="R1160" s="306"/>
      <c r="S1160" s="543"/>
      <c r="T1160" s="543"/>
      <c r="U1160" s="306"/>
      <c r="V1160" s="306"/>
      <c r="W1160" s="306"/>
      <c r="X1160" s="306"/>
      <c r="Y1160" s="306"/>
      <c r="Z1160" s="306"/>
      <c r="AA1160" s="306"/>
      <c r="AB1160" s="306"/>
    </row>
    <row r="1161" spans="1:28" ht="15.75" hidden="1" customHeight="1">
      <c r="A1161" s="541">
        <v>44796</v>
      </c>
      <c r="B1161" s="306" t="s">
        <v>9060</v>
      </c>
      <c r="C1161" s="542"/>
      <c r="D1161" s="542"/>
      <c r="E1161" s="306" t="s">
        <v>10673</v>
      </c>
      <c r="F1161" s="306" t="s">
        <v>3</v>
      </c>
      <c r="G1161" s="306" t="s">
        <v>460</v>
      </c>
      <c r="H1161" s="306" t="s">
        <v>9064</v>
      </c>
      <c r="I1161" s="306">
        <v>3</v>
      </c>
      <c r="J1161" s="306" t="s">
        <v>462</v>
      </c>
      <c r="K1161" s="306"/>
      <c r="L1161" s="306"/>
      <c r="M1161" s="306" t="s">
        <v>3138</v>
      </c>
      <c r="N1161" s="306" t="s">
        <v>9066</v>
      </c>
      <c r="O1161" s="306" t="s">
        <v>452</v>
      </c>
      <c r="P1161" s="306" t="s">
        <v>10674</v>
      </c>
      <c r="Q1161" s="306"/>
      <c r="R1161" s="306"/>
      <c r="S1161" s="543"/>
      <c r="T1161" s="543"/>
      <c r="U1161" s="306"/>
      <c r="V1161" s="306"/>
      <c r="W1161" s="306"/>
      <c r="X1161" s="306"/>
      <c r="Y1161" s="306"/>
      <c r="Z1161" s="306"/>
      <c r="AA1161" s="306"/>
      <c r="AB1161" s="306"/>
    </row>
    <row r="1162" spans="1:28" ht="15.75" hidden="1" customHeight="1">
      <c r="A1162" s="541">
        <v>44796</v>
      </c>
      <c r="B1162" s="306" t="s">
        <v>6873</v>
      </c>
      <c r="C1162" s="542"/>
      <c r="D1162" s="542"/>
      <c r="E1162" s="306" t="s">
        <v>6876</v>
      </c>
      <c r="F1162" s="306" t="s">
        <v>4</v>
      </c>
      <c r="G1162" s="306" t="s">
        <v>727</v>
      </c>
      <c r="H1162" s="306" t="s">
        <v>10688</v>
      </c>
      <c r="I1162" s="306">
        <v>2.5</v>
      </c>
      <c r="J1162" s="306" t="s">
        <v>13187</v>
      </c>
      <c r="K1162" s="306"/>
      <c r="L1162" s="306"/>
      <c r="M1162" s="306" t="s">
        <v>784</v>
      </c>
      <c r="N1162" s="544">
        <v>720000</v>
      </c>
      <c r="O1162" s="306" t="s">
        <v>452</v>
      </c>
      <c r="P1162" s="306" t="s">
        <v>6879</v>
      </c>
      <c r="Q1162" s="306"/>
      <c r="R1162" s="306"/>
      <c r="S1162" s="543"/>
      <c r="T1162" s="543"/>
      <c r="U1162" s="306"/>
      <c r="V1162" s="306"/>
      <c r="W1162" s="306"/>
      <c r="X1162" s="306"/>
      <c r="Y1162" s="306"/>
      <c r="Z1162" s="306"/>
      <c r="AA1162" s="306"/>
      <c r="AB1162" s="306"/>
    </row>
    <row r="1163" spans="1:28" ht="15.75" hidden="1" customHeight="1">
      <c r="A1163" s="541">
        <v>44796</v>
      </c>
      <c r="B1163" s="306" t="s">
        <v>5147</v>
      </c>
      <c r="C1163" s="542"/>
      <c r="D1163" s="542"/>
      <c r="E1163" s="306" t="s">
        <v>5150</v>
      </c>
      <c r="F1163" s="306" t="s">
        <v>4</v>
      </c>
      <c r="G1163" s="306" t="s">
        <v>727</v>
      </c>
      <c r="H1163" s="306" t="s">
        <v>10691</v>
      </c>
      <c r="I1163" s="306">
        <v>3</v>
      </c>
      <c r="J1163" s="306" t="s">
        <v>13187</v>
      </c>
      <c r="K1163" s="306"/>
      <c r="L1163" s="306"/>
      <c r="M1163" s="306"/>
      <c r="N1163" s="306"/>
      <c r="O1163" s="306" t="s">
        <v>452</v>
      </c>
      <c r="P1163" s="306" t="s">
        <v>5153</v>
      </c>
      <c r="Q1163" s="306"/>
      <c r="R1163" s="306"/>
      <c r="S1163" s="543"/>
      <c r="T1163" s="543"/>
      <c r="U1163" s="306"/>
      <c r="V1163" s="306"/>
      <c r="W1163" s="306"/>
      <c r="X1163" s="306"/>
      <c r="Y1163" s="306"/>
      <c r="Z1163" s="306"/>
      <c r="AA1163" s="306"/>
      <c r="AB1163" s="306"/>
    </row>
    <row r="1164" spans="1:28" ht="15.75" hidden="1" customHeight="1">
      <c r="A1164" s="541">
        <v>44796</v>
      </c>
      <c r="B1164" s="306" t="s">
        <v>8570</v>
      </c>
      <c r="C1164" s="542"/>
      <c r="D1164" s="542"/>
      <c r="E1164" s="306" t="s">
        <v>8573</v>
      </c>
      <c r="F1164" s="306" t="s">
        <v>3</v>
      </c>
      <c r="G1164" s="306" t="s">
        <v>460</v>
      </c>
      <c r="H1164" s="306"/>
      <c r="I1164" s="306"/>
      <c r="J1164" s="306" t="s">
        <v>462</v>
      </c>
      <c r="K1164" s="306"/>
      <c r="L1164" s="306"/>
      <c r="M1164" s="306"/>
      <c r="N1164" s="306"/>
      <c r="O1164" s="306" t="s">
        <v>452</v>
      </c>
      <c r="P1164" s="306" t="s">
        <v>8576</v>
      </c>
      <c r="Q1164" s="306" t="s">
        <v>8577</v>
      </c>
      <c r="R1164" s="306"/>
      <c r="S1164" s="543"/>
      <c r="T1164" s="543"/>
      <c r="U1164" s="306"/>
      <c r="V1164" s="306"/>
      <c r="W1164" s="306"/>
      <c r="X1164" s="306"/>
      <c r="Y1164" s="306"/>
      <c r="Z1164" s="306"/>
      <c r="AA1164" s="306"/>
      <c r="AB1164" s="306"/>
    </row>
    <row r="1165" spans="1:28" ht="15.75" hidden="1" customHeight="1">
      <c r="A1165" s="541">
        <v>44796</v>
      </c>
      <c r="B1165" s="306" t="s">
        <v>303</v>
      </c>
      <c r="C1165" s="542"/>
      <c r="D1165" s="542"/>
      <c r="E1165" s="306" t="s">
        <v>1693</v>
      </c>
      <c r="F1165" s="306" t="s">
        <v>3</v>
      </c>
      <c r="G1165" s="306" t="s">
        <v>460</v>
      </c>
      <c r="H1165" s="306"/>
      <c r="I1165" s="306"/>
      <c r="J1165" s="306" t="s">
        <v>462</v>
      </c>
      <c r="K1165" s="306"/>
      <c r="L1165" s="306"/>
      <c r="M1165" s="306" t="s">
        <v>451</v>
      </c>
      <c r="N1165" s="306" t="s">
        <v>1696</v>
      </c>
      <c r="O1165" s="306" t="s">
        <v>452</v>
      </c>
      <c r="P1165" s="306" t="s">
        <v>452</v>
      </c>
      <c r="Q1165" s="306"/>
      <c r="R1165" s="306"/>
      <c r="S1165" s="543"/>
      <c r="T1165" s="543"/>
      <c r="U1165" s="306"/>
      <c r="V1165" s="306"/>
      <c r="W1165" s="306"/>
      <c r="X1165" s="306"/>
      <c r="Y1165" s="306"/>
      <c r="Z1165" s="306"/>
      <c r="AA1165" s="306"/>
      <c r="AB1165" s="306"/>
    </row>
    <row r="1166" spans="1:28" ht="15.75" hidden="1" customHeight="1">
      <c r="A1166" s="541">
        <v>44796</v>
      </c>
      <c r="B1166" s="306" t="s">
        <v>9243</v>
      </c>
      <c r="C1166" s="542"/>
      <c r="D1166" s="542"/>
      <c r="E1166" s="306" t="s">
        <v>9246</v>
      </c>
      <c r="F1166" s="306" t="s">
        <v>3</v>
      </c>
      <c r="G1166" s="306" t="s">
        <v>460</v>
      </c>
      <c r="H1166" s="306"/>
      <c r="I1166" s="306"/>
      <c r="J1166" s="306" t="s">
        <v>462</v>
      </c>
      <c r="K1166" s="306"/>
      <c r="L1166" s="306"/>
      <c r="M1166" s="306"/>
      <c r="N1166" s="544"/>
      <c r="O1166" s="306" t="s">
        <v>454</v>
      </c>
      <c r="P1166" s="306" t="s">
        <v>452</v>
      </c>
      <c r="Q1166" s="306" t="s">
        <v>725</v>
      </c>
      <c r="R1166" s="306"/>
      <c r="S1166" s="543"/>
      <c r="T1166" s="543"/>
      <c r="U1166" s="306"/>
      <c r="V1166" s="306"/>
      <c r="W1166" s="306"/>
      <c r="X1166" s="306"/>
      <c r="Y1166" s="306"/>
      <c r="Z1166" s="306"/>
      <c r="AA1166" s="306"/>
      <c r="AB1166" s="306"/>
    </row>
    <row r="1167" spans="1:28" ht="15.75" hidden="1" customHeight="1">
      <c r="A1167" s="541">
        <v>44796</v>
      </c>
      <c r="B1167" s="306" t="s">
        <v>9051</v>
      </c>
      <c r="C1167" s="542"/>
      <c r="D1167" s="542"/>
      <c r="E1167" s="306" t="s">
        <v>9054</v>
      </c>
      <c r="F1167" s="306" t="s">
        <v>3</v>
      </c>
      <c r="G1167" s="306" t="s">
        <v>460</v>
      </c>
      <c r="H1167" s="306"/>
      <c r="I1167" s="306"/>
      <c r="J1167" s="306" t="s">
        <v>462</v>
      </c>
      <c r="K1167" s="306"/>
      <c r="L1167" s="306"/>
      <c r="M1167" s="306" t="s">
        <v>451</v>
      </c>
      <c r="N1167" s="306">
        <v>1000000</v>
      </c>
      <c r="O1167" s="306" t="s">
        <v>452</v>
      </c>
      <c r="P1167" s="306" t="s">
        <v>9057</v>
      </c>
      <c r="Q1167" s="306"/>
      <c r="R1167" s="306"/>
      <c r="S1167" s="543"/>
      <c r="T1167" s="543"/>
      <c r="U1167" s="306"/>
      <c r="V1167" s="306"/>
      <c r="W1167" s="306"/>
      <c r="X1167" s="306"/>
      <c r="Y1167" s="306"/>
      <c r="Z1167" s="306"/>
      <c r="AA1167" s="306"/>
      <c r="AB1167" s="306"/>
    </row>
    <row r="1168" spans="1:28" ht="15.75" hidden="1" customHeight="1">
      <c r="A1168" s="541">
        <v>44796</v>
      </c>
      <c r="B1168" s="306" t="s">
        <v>8958</v>
      </c>
      <c r="C1168" s="542"/>
      <c r="D1168" s="542"/>
      <c r="E1168" s="306" t="s">
        <v>10754</v>
      </c>
      <c r="F1168" s="306" t="s">
        <v>3</v>
      </c>
      <c r="G1168" s="306" t="s">
        <v>460</v>
      </c>
      <c r="H1168" s="306"/>
      <c r="I1168" s="306"/>
      <c r="J1168" s="306" t="s">
        <v>462</v>
      </c>
      <c r="K1168" s="306"/>
      <c r="L1168" s="306"/>
      <c r="M1168" s="306"/>
      <c r="N1168" s="306"/>
      <c r="O1168" s="306" t="s">
        <v>454</v>
      </c>
      <c r="P1168" s="306" t="s">
        <v>8964</v>
      </c>
      <c r="Q1168" s="306"/>
      <c r="R1168" s="306"/>
      <c r="S1168" s="543"/>
      <c r="T1168" s="543"/>
      <c r="U1168" s="306"/>
      <c r="V1168" s="306"/>
      <c r="W1168" s="306"/>
      <c r="X1168" s="306"/>
      <c r="Y1168" s="306"/>
      <c r="Z1168" s="306"/>
      <c r="AA1168" s="306"/>
      <c r="AB1168" s="306"/>
    </row>
    <row r="1169" spans="1:28" ht="15.75" hidden="1" customHeight="1">
      <c r="A1169" s="541">
        <v>44796</v>
      </c>
      <c r="B1169" s="306" t="s">
        <v>8533</v>
      </c>
      <c r="C1169" s="542"/>
      <c r="D1169" s="542"/>
      <c r="E1169" s="306" t="s">
        <v>8536</v>
      </c>
      <c r="F1169" s="306" t="s">
        <v>3</v>
      </c>
      <c r="G1169" s="306" t="s">
        <v>460</v>
      </c>
      <c r="H1169" s="306"/>
      <c r="I1169" s="306"/>
      <c r="J1169" s="306" t="s">
        <v>462</v>
      </c>
      <c r="K1169" s="306"/>
      <c r="L1169" s="306"/>
      <c r="M1169" s="306" t="s">
        <v>451</v>
      </c>
      <c r="N1169" s="544" t="s">
        <v>8539</v>
      </c>
      <c r="O1169" s="306" t="s">
        <v>452</v>
      </c>
      <c r="P1169" s="306" t="s">
        <v>8540</v>
      </c>
      <c r="Q1169" s="306"/>
      <c r="R1169" s="306"/>
      <c r="S1169" s="543"/>
      <c r="T1169" s="543"/>
      <c r="U1169" s="306"/>
      <c r="V1169" s="306"/>
      <c r="W1169" s="306"/>
      <c r="X1169" s="306"/>
      <c r="Y1169" s="306"/>
      <c r="Z1169" s="306"/>
      <c r="AA1169" s="306"/>
      <c r="AB1169" s="306"/>
    </row>
    <row r="1170" spans="1:28" ht="15.75" hidden="1" customHeight="1">
      <c r="A1170" s="541">
        <v>44796</v>
      </c>
      <c r="B1170" s="306" t="s">
        <v>9825</v>
      </c>
      <c r="C1170" s="542"/>
      <c r="D1170" s="542"/>
      <c r="E1170" s="306" t="s">
        <v>9828</v>
      </c>
      <c r="F1170" s="306" t="s">
        <v>3</v>
      </c>
      <c r="G1170" s="306" t="s">
        <v>488</v>
      </c>
      <c r="H1170" s="306" t="s">
        <v>13224</v>
      </c>
      <c r="I1170" s="306"/>
      <c r="J1170" s="306" t="s">
        <v>462</v>
      </c>
      <c r="K1170" s="306"/>
      <c r="L1170" s="306"/>
      <c r="M1170" s="306" t="s">
        <v>451</v>
      </c>
      <c r="N1170" s="544">
        <v>6000000</v>
      </c>
      <c r="O1170" s="306" t="s">
        <v>452</v>
      </c>
      <c r="P1170" s="306" t="s">
        <v>452</v>
      </c>
      <c r="Q1170" s="306" t="s">
        <v>9831</v>
      </c>
      <c r="R1170" s="306"/>
      <c r="S1170" s="543"/>
      <c r="T1170" s="543"/>
      <c r="U1170" s="306"/>
      <c r="V1170" s="306"/>
      <c r="W1170" s="306"/>
      <c r="X1170" s="306"/>
      <c r="Y1170" s="306"/>
      <c r="Z1170" s="306"/>
      <c r="AA1170" s="306"/>
      <c r="AB1170" s="306"/>
    </row>
    <row r="1171" spans="1:28" ht="15.75" hidden="1" customHeight="1">
      <c r="A1171" s="541">
        <v>44796</v>
      </c>
      <c r="B1171" s="306" t="s">
        <v>4784</v>
      </c>
      <c r="C1171" s="542"/>
      <c r="D1171" s="542"/>
      <c r="E1171" s="306" t="s">
        <v>10762</v>
      </c>
      <c r="F1171" s="306" t="s">
        <v>4</v>
      </c>
      <c r="G1171" s="306" t="s">
        <v>725</v>
      </c>
      <c r="H1171" s="306"/>
      <c r="I1171" s="306"/>
      <c r="J1171" s="306" t="s">
        <v>1298</v>
      </c>
      <c r="K1171" s="306" t="s">
        <v>4789</v>
      </c>
      <c r="L1171" s="306">
        <v>3</v>
      </c>
      <c r="M1171" s="306" t="s">
        <v>478</v>
      </c>
      <c r="N1171" s="306" t="s">
        <v>4790</v>
      </c>
      <c r="O1171" s="306" t="s">
        <v>452</v>
      </c>
      <c r="P1171" s="306" t="s">
        <v>575</v>
      </c>
      <c r="Q1171" s="306"/>
      <c r="R1171" s="306"/>
      <c r="S1171" s="543"/>
      <c r="T1171" s="543"/>
      <c r="U1171" s="306"/>
      <c r="V1171" s="306"/>
      <c r="W1171" s="306"/>
      <c r="X1171" s="306"/>
      <c r="Y1171" s="306"/>
      <c r="Z1171" s="306"/>
      <c r="AA1171" s="306"/>
      <c r="AB1171" s="306"/>
    </row>
    <row r="1172" spans="1:28" ht="15.75" hidden="1" customHeight="1">
      <c r="A1172" s="541">
        <v>44796</v>
      </c>
      <c r="B1172" s="306" t="s">
        <v>148</v>
      </c>
      <c r="C1172" s="542"/>
      <c r="D1172" s="542"/>
      <c r="E1172" s="306" t="s">
        <v>997</v>
      </c>
      <c r="F1172" s="306" t="s">
        <v>4</v>
      </c>
      <c r="G1172" s="306" t="s">
        <v>725</v>
      </c>
      <c r="H1172" s="306"/>
      <c r="I1172" s="306"/>
      <c r="J1172" s="306" t="s">
        <v>990</v>
      </c>
      <c r="K1172" s="306" t="s">
        <v>999</v>
      </c>
      <c r="L1172" s="306">
        <v>5</v>
      </c>
      <c r="M1172" s="306" t="s">
        <v>451</v>
      </c>
      <c r="N1172" s="544">
        <v>5000000</v>
      </c>
      <c r="O1172" s="306" t="s">
        <v>452</v>
      </c>
      <c r="P1172" s="306" t="s">
        <v>1000</v>
      </c>
      <c r="Q1172" s="306"/>
      <c r="R1172" s="306"/>
      <c r="S1172" s="543"/>
      <c r="T1172" s="543"/>
      <c r="U1172" s="306"/>
      <c r="V1172" s="306"/>
      <c r="W1172" s="306"/>
      <c r="X1172" s="306"/>
      <c r="Y1172" s="306"/>
      <c r="Z1172" s="306"/>
      <c r="AA1172" s="306"/>
      <c r="AB1172" s="306"/>
    </row>
    <row r="1173" spans="1:28" ht="15.75" hidden="1" customHeight="1">
      <c r="A1173" s="541">
        <v>44796</v>
      </c>
      <c r="B1173" s="306" t="s">
        <v>7068</v>
      </c>
      <c r="C1173" s="542"/>
      <c r="D1173" s="542"/>
      <c r="E1173" s="306" t="s">
        <v>7071</v>
      </c>
      <c r="F1173" s="306" t="s">
        <v>4</v>
      </c>
      <c r="G1173" s="306" t="s">
        <v>725</v>
      </c>
      <c r="H1173" s="306"/>
      <c r="I1173" s="306"/>
      <c r="J1173" s="306" t="s">
        <v>1036</v>
      </c>
      <c r="K1173" s="306" t="s">
        <v>7073</v>
      </c>
      <c r="L1173" s="306">
        <v>2</v>
      </c>
      <c r="M1173" s="306"/>
      <c r="N1173" s="306"/>
      <c r="O1173" s="306" t="s">
        <v>452</v>
      </c>
      <c r="P1173" s="306" t="s">
        <v>452</v>
      </c>
      <c r="Q1173" s="306" t="s">
        <v>7074</v>
      </c>
      <c r="R1173" s="306"/>
      <c r="S1173" s="543"/>
      <c r="T1173" s="543"/>
      <c r="U1173" s="306"/>
      <c r="V1173" s="306"/>
      <c r="W1173" s="306"/>
      <c r="X1173" s="306"/>
      <c r="Y1173" s="306"/>
      <c r="Z1173" s="306"/>
      <c r="AA1173" s="306"/>
      <c r="AB1173" s="306"/>
    </row>
    <row r="1174" spans="1:28" ht="15.75" hidden="1" customHeight="1">
      <c r="A1174" s="541">
        <v>44796</v>
      </c>
      <c r="B1174" s="306" t="s">
        <v>5244</v>
      </c>
      <c r="C1174" s="542"/>
      <c r="D1174" s="542"/>
      <c r="E1174" s="306" t="s">
        <v>5247</v>
      </c>
      <c r="F1174" s="306" t="s">
        <v>4</v>
      </c>
      <c r="G1174" s="306" t="s">
        <v>725</v>
      </c>
      <c r="H1174" s="306"/>
      <c r="I1174" s="306"/>
      <c r="J1174" s="306" t="s">
        <v>1457</v>
      </c>
      <c r="K1174" s="306" t="s">
        <v>5249</v>
      </c>
      <c r="L1174" s="306">
        <v>3</v>
      </c>
      <c r="M1174" s="306"/>
      <c r="N1174" s="544"/>
      <c r="O1174" s="306" t="s">
        <v>452</v>
      </c>
      <c r="P1174" s="306" t="s">
        <v>452</v>
      </c>
      <c r="Q1174" s="306" t="s">
        <v>5250</v>
      </c>
      <c r="R1174" s="306"/>
      <c r="S1174" s="543"/>
      <c r="T1174" s="543"/>
      <c r="U1174" s="306"/>
      <c r="V1174" s="306"/>
      <c r="W1174" s="306"/>
      <c r="X1174" s="306"/>
      <c r="Y1174" s="306"/>
      <c r="Z1174" s="306"/>
      <c r="AA1174" s="306"/>
      <c r="AB1174" s="306"/>
    </row>
    <row r="1175" spans="1:28" ht="15.75" hidden="1" customHeight="1">
      <c r="A1175" s="541">
        <v>44796</v>
      </c>
      <c r="B1175" s="306" t="s">
        <v>365</v>
      </c>
      <c r="C1175" s="542"/>
      <c r="D1175" s="542"/>
      <c r="E1175" s="306" t="s">
        <v>9802</v>
      </c>
      <c r="F1175" s="306" t="s">
        <v>3</v>
      </c>
      <c r="G1175" s="306" t="s">
        <v>488</v>
      </c>
      <c r="H1175" s="306"/>
      <c r="I1175" s="306"/>
      <c r="J1175" s="306" t="s">
        <v>941</v>
      </c>
      <c r="K1175" s="306"/>
      <c r="L1175" s="306"/>
      <c r="M1175" s="306" t="s">
        <v>478</v>
      </c>
      <c r="N1175" s="545">
        <v>12000000</v>
      </c>
      <c r="O1175" s="306" t="s">
        <v>454</v>
      </c>
      <c r="P1175" s="306" t="s">
        <v>575</v>
      </c>
      <c r="Q1175" s="306"/>
      <c r="R1175" s="306"/>
      <c r="S1175" s="543"/>
      <c r="T1175" s="543"/>
      <c r="U1175" s="306"/>
      <c r="V1175" s="306"/>
      <c r="W1175" s="306"/>
      <c r="X1175" s="306"/>
      <c r="Y1175" s="306"/>
      <c r="Z1175" s="306"/>
      <c r="AA1175" s="306"/>
      <c r="AB1175" s="306"/>
    </row>
    <row r="1176" spans="1:28" ht="15.75" hidden="1" customHeight="1">
      <c r="A1176" s="541">
        <v>44796</v>
      </c>
      <c r="B1176" s="306" t="s">
        <v>204</v>
      </c>
      <c r="C1176" s="542"/>
      <c r="D1176" s="542"/>
      <c r="E1176" s="306" t="s">
        <v>3819</v>
      </c>
      <c r="F1176" s="306" t="s">
        <v>4</v>
      </c>
      <c r="G1176" s="306" t="s">
        <v>725</v>
      </c>
      <c r="H1176" s="306"/>
      <c r="I1176" s="306"/>
      <c r="J1176" s="306" t="s">
        <v>604</v>
      </c>
      <c r="K1176" s="306" t="s">
        <v>10768</v>
      </c>
      <c r="L1176" s="306">
        <v>4</v>
      </c>
      <c r="M1176" s="306" t="s">
        <v>3822</v>
      </c>
      <c r="N1176" s="306">
        <v>1800000</v>
      </c>
      <c r="O1176" s="306" t="s">
        <v>452</v>
      </c>
      <c r="P1176" s="306" t="s">
        <v>3823</v>
      </c>
      <c r="Q1176" s="306"/>
      <c r="R1176" s="306"/>
      <c r="S1176" s="543"/>
      <c r="T1176" s="543"/>
      <c r="U1176" s="306"/>
      <c r="V1176" s="306"/>
      <c r="W1176" s="306"/>
      <c r="X1176" s="306"/>
      <c r="Y1176" s="306"/>
      <c r="Z1176" s="306"/>
      <c r="AA1176" s="306"/>
      <c r="AB1176" s="306"/>
    </row>
    <row r="1177" spans="1:28" ht="15.75" hidden="1" customHeight="1">
      <c r="A1177" s="541">
        <v>44796</v>
      </c>
      <c r="B1177" s="306" t="s">
        <v>7758</v>
      </c>
      <c r="C1177" s="542"/>
      <c r="D1177" s="542"/>
      <c r="E1177" s="306" t="s">
        <v>7761</v>
      </c>
      <c r="F1177" s="306" t="s">
        <v>4</v>
      </c>
      <c r="G1177" s="306" t="s">
        <v>725</v>
      </c>
      <c r="H1177" s="306"/>
      <c r="I1177" s="306"/>
      <c r="J1177" s="306" t="s">
        <v>1036</v>
      </c>
      <c r="K1177" s="306" t="s">
        <v>7762</v>
      </c>
      <c r="L1177" s="306">
        <v>2</v>
      </c>
      <c r="M1177" s="306"/>
      <c r="N1177" s="306"/>
      <c r="O1177" s="306" t="s">
        <v>465</v>
      </c>
      <c r="P1177" s="306" t="s">
        <v>10771</v>
      </c>
      <c r="Q1177" s="306"/>
      <c r="R1177" s="306"/>
      <c r="S1177" s="543"/>
      <c r="T1177" s="543"/>
      <c r="U1177" s="306"/>
      <c r="V1177" s="306"/>
      <c r="W1177" s="306"/>
      <c r="X1177" s="306"/>
      <c r="Y1177" s="306"/>
      <c r="Z1177" s="306"/>
      <c r="AA1177" s="306"/>
      <c r="AB1177" s="306"/>
    </row>
    <row r="1178" spans="1:28" ht="15.75" hidden="1" customHeight="1">
      <c r="A1178" s="541">
        <v>44796</v>
      </c>
      <c r="B1178" s="306" t="s">
        <v>6228</v>
      </c>
      <c r="C1178" s="542"/>
      <c r="D1178" s="542"/>
      <c r="E1178" s="306" t="s">
        <v>6231</v>
      </c>
      <c r="F1178" s="306" t="s">
        <v>4</v>
      </c>
      <c r="G1178" s="306" t="s">
        <v>725</v>
      </c>
      <c r="H1178" s="306"/>
      <c r="I1178" s="306"/>
      <c r="J1178" s="306" t="s">
        <v>1073</v>
      </c>
      <c r="K1178" s="306"/>
      <c r="L1178" s="306">
        <v>3</v>
      </c>
      <c r="M1178" s="306"/>
      <c r="N1178" s="544"/>
      <c r="O1178" s="306" t="s">
        <v>452</v>
      </c>
      <c r="P1178" s="306" t="s">
        <v>452</v>
      </c>
      <c r="Q1178" s="306"/>
      <c r="R1178" s="306"/>
      <c r="S1178" s="543"/>
      <c r="T1178" s="543"/>
      <c r="U1178" s="306"/>
      <c r="V1178" s="306"/>
      <c r="W1178" s="306"/>
      <c r="X1178" s="306"/>
      <c r="Y1178" s="306"/>
      <c r="Z1178" s="306"/>
      <c r="AA1178" s="306"/>
      <c r="AB1178" s="306"/>
    </row>
    <row r="1179" spans="1:28" ht="15.75" hidden="1" customHeight="1">
      <c r="A1179" s="541">
        <v>44796</v>
      </c>
      <c r="B1179" s="306" t="s">
        <v>7451</v>
      </c>
      <c r="C1179" s="542"/>
      <c r="D1179" s="542"/>
      <c r="E1179" s="306" t="s">
        <v>10772</v>
      </c>
      <c r="F1179" s="306" t="s">
        <v>4</v>
      </c>
      <c r="G1179" s="306" t="s">
        <v>725</v>
      </c>
      <c r="H1179" s="306"/>
      <c r="I1179" s="306"/>
      <c r="J1179" s="306" t="s">
        <v>1371</v>
      </c>
      <c r="K1179" s="306" t="s">
        <v>7456</v>
      </c>
      <c r="L1179" s="306">
        <v>2</v>
      </c>
      <c r="M1179" s="306" t="s">
        <v>478</v>
      </c>
      <c r="N1179" s="306">
        <v>3000000</v>
      </c>
      <c r="O1179" s="306" t="s">
        <v>452</v>
      </c>
      <c r="P1179" s="306" t="s">
        <v>452</v>
      </c>
      <c r="Q1179" s="306"/>
      <c r="R1179" s="306"/>
      <c r="S1179" s="543"/>
      <c r="T1179" s="543"/>
      <c r="U1179" s="306"/>
      <c r="V1179" s="306"/>
      <c r="W1179" s="306"/>
      <c r="X1179" s="306"/>
      <c r="Y1179" s="306"/>
      <c r="Z1179" s="306"/>
      <c r="AA1179" s="306"/>
      <c r="AB1179" s="306"/>
    </row>
    <row r="1180" spans="1:28" ht="15.75" hidden="1" customHeight="1">
      <c r="A1180" s="541">
        <v>44796</v>
      </c>
      <c r="B1180" s="306" t="s">
        <v>380</v>
      </c>
      <c r="C1180" s="542"/>
      <c r="D1180" s="542"/>
      <c r="E1180" s="306" t="s">
        <v>9894</v>
      </c>
      <c r="F1180" s="306" t="s">
        <v>3</v>
      </c>
      <c r="G1180" s="306" t="s">
        <v>488</v>
      </c>
      <c r="H1180" s="306"/>
      <c r="I1180" s="306"/>
      <c r="J1180" s="306" t="s">
        <v>941</v>
      </c>
      <c r="K1180" s="306"/>
      <c r="L1180" s="306"/>
      <c r="M1180" s="306" t="s">
        <v>451</v>
      </c>
      <c r="N1180" s="544">
        <v>1500000</v>
      </c>
      <c r="O1180" s="306" t="s">
        <v>452</v>
      </c>
      <c r="P1180" s="306" t="s">
        <v>452</v>
      </c>
      <c r="Q1180" s="306"/>
      <c r="R1180" s="306"/>
      <c r="S1180" s="543"/>
      <c r="T1180" s="543"/>
      <c r="U1180" s="306"/>
      <c r="V1180" s="306"/>
      <c r="W1180" s="306"/>
      <c r="X1180" s="306"/>
      <c r="Y1180" s="306"/>
      <c r="Z1180" s="306"/>
      <c r="AA1180" s="306"/>
      <c r="AB1180" s="306"/>
    </row>
    <row r="1181" spans="1:28" ht="15.75" hidden="1" customHeight="1">
      <c r="A1181" s="541">
        <v>44796</v>
      </c>
      <c r="B1181" s="306" t="s">
        <v>330</v>
      </c>
      <c r="C1181" s="542"/>
      <c r="D1181" s="542"/>
      <c r="E1181" s="306" t="s">
        <v>9687</v>
      </c>
      <c r="F1181" s="306" t="s">
        <v>3</v>
      </c>
      <c r="G1181" s="306" t="s">
        <v>488</v>
      </c>
      <c r="H1181" s="306"/>
      <c r="I1181" s="306"/>
      <c r="J1181" s="306" t="s">
        <v>941</v>
      </c>
      <c r="K1181" s="306"/>
      <c r="L1181" s="306"/>
      <c r="M1181" s="306" t="s">
        <v>451</v>
      </c>
      <c r="N1181" s="544">
        <v>2000000</v>
      </c>
      <c r="O1181" s="306" t="s">
        <v>452</v>
      </c>
      <c r="P1181" s="306" t="s">
        <v>9690</v>
      </c>
      <c r="Q1181" s="306"/>
      <c r="R1181" s="306"/>
      <c r="S1181" s="543"/>
      <c r="T1181" s="543"/>
      <c r="U1181" s="306"/>
      <c r="V1181" s="306"/>
      <c r="W1181" s="306"/>
      <c r="X1181" s="306"/>
      <c r="Y1181" s="306"/>
      <c r="Z1181" s="306"/>
      <c r="AA1181" s="306"/>
      <c r="AB1181" s="306"/>
    </row>
    <row r="1182" spans="1:28" ht="15.75" hidden="1" customHeight="1">
      <c r="A1182" s="541">
        <v>44796</v>
      </c>
      <c r="B1182" s="306" t="s">
        <v>361</v>
      </c>
      <c r="C1182" s="542"/>
      <c r="D1182" s="542"/>
      <c r="E1182" s="306" t="s">
        <v>10832</v>
      </c>
      <c r="F1182" s="306" t="s">
        <v>3</v>
      </c>
      <c r="G1182" s="306" t="s">
        <v>488</v>
      </c>
      <c r="H1182" s="306"/>
      <c r="I1182" s="306"/>
      <c r="J1182" s="306" t="s">
        <v>941</v>
      </c>
      <c r="K1182" s="306"/>
      <c r="L1182" s="306"/>
      <c r="M1182" s="306" t="s">
        <v>451</v>
      </c>
      <c r="N1182" s="544">
        <v>15000000</v>
      </c>
      <c r="O1182" s="306" t="s">
        <v>452</v>
      </c>
      <c r="P1182" s="306" t="s">
        <v>452</v>
      </c>
      <c r="Q1182" s="306" t="s">
        <v>2043</v>
      </c>
      <c r="R1182" s="306"/>
      <c r="S1182" s="543"/>
      <c r="T1182" s="543"/>
      <c r="U1182" s="219"/>
      <c r="V1182" s="219"/>
      <c r="W1182" s="219"/>
      <c r="X1182" s="219"/>
      <c r="Y1182" s="219"/>
      <c r="Z1182" s="219"/>
      <c r="AA1182" s="219"/>
      <c r="AB1182" s="219"/>
    </row>
    <row r="1183" spans="1:28" ht="15.75" hidden="1" customHeight="1">
      <c r="A1183" s="541">
        <v>44796</v>
      </c>
      <c r="B1183" s="306" t="s">
        <v>379</v>
      </c>
      <c r="C1183" s="542"/>
      <c r="D1183" s="542"/>
      <c r="E1183" s="306" t="s">
        <v>10028</v>
      </c>
      <c r="F1183" s="306" t="s">
        <v>3</v>
      </c>
      <c r="G1183" s="306" t="s">
        <v>460</v>
      </c>
      <c r="H1183" s="306"/>
      <c r="I1183" s="306"/>
      <c r="J1183" s="306" t="s">
        <v>462</v>
      </c>
      <c r="K1183" s="306"/>
      <c r="L1183" s="306"/>
      <c r="M1183" s="306" t="s">
        <v>973</v>
      </c>
      <c r="N1183" s="306" t="s">
        <v>10031</v>
      </c>
      <c r="O1183" s="306" t="s">
        <v>452</v>
      </c>
      <c r="P1183" s="306" t="s">
        <v>10869</v>
      </c>
      <c r="Q1183" s="306"/>
      <c r="R1183" s="306"/>
      <c r="S1183" s="543"/>
      <c r="T1183" s="543"/>
      <c r="U1183" s="224"/>
      <c r="V1183" s="224"/>
      <c r="W1183" s="224"/>
      <c r="X1183" s="224"/>
      <c r="Y1183" s="224"/>
      <c r="Z1183" s="224"/>
      <c r="AA1183" s="224"/>
      <c r="AB1183" s="224"/>
    </row>
    <row r="1184" spans="1:28" ht="15.75" hidden="1" customHeight="1">
      <c r="A1184" s="541">
        <v>44796</v>
      </c>
      <c r="B1184" s="306" t="s">
        <v>8997</v>
      </c>
      <c r="C1184" s="542"/>
      <c r="D1184" s="542"/>
      <c r="E1184" s="306" t="s">
        <v>9000</v>
      </c>
      <c r="F1184" s="306" t="s">
        <v>3</v>
      </c>
      <c r="G1184" s="306" t="s">
        <v>460</v>
      </c>
      <c r="H1184" s="306"/>
      <c r="I1184" s="306"/>
      <c r="J1184" s="306" t="s">
        <v>462</v>
      </c>
      <c r="K1184" s="306"/>
      <c r="L1184" s="306"/>
      <c r="M1184" s="306"/>
      <c r="N1184" s="306"/>
      <c r="O1184" s="306" t="s">
        <v>452</v>
      </c>
      <c r="P1184" s="306" t="s">
        <v>9003</v>
      </c>
      <c r="Q1184" s="306" t="s">
        <v>9004</v>
      </c>
      <c r="R1184" s="306"/>
      <c r="S1184" s="543"/>
      <c r="T1184" s="543"/>
      <c r="U1184" s="219"/>
      <c r="V1184" s="219"/>
      <c r="W1184" s="219"/>
      <c r="X1184" s="219"/>
      <c r="Y1184" s="219"/>
      <c r="Z1184" s="219"/>
      <c r="AA1184" s="219"/>
      <c r="AB1184" s="219"/>
    </row>
    <row r="1185" spans="1:28" ht="15.75" hidden="1" customHeight="1">
      <c r="A1185" s="541">
        <v>44796</v>
      </c>
      <c r="B1185" s="306" t="s">
        <v>5164</v>
      </c>
      <c r="C1185" s="542"/>
      <c r="D1185" s="542"/>
      <c r="E1185" s="306" t="s">
        <v>5167</v>
      </c>
      <c r="F1185" s="306" t="s">
        <v>4</v>
      </c>
      <c r="G1185" s="306" t="s">
        <v>727</v>
      </c>
      <c r="H1185" s="306"/>
      <c r="I1185" s="306"/>
      <c r="J1185" s="306" t="s">
        <v>1054</v>
      </c>
      <c r="K1185" s="306" t="s">
        <v>11002</v>
      </c>
      <c r="L1185" s="306">
        <v>3.5</v>
      </c>
      <c r="M1185" s="306" t="s">
        <v>5170</v>
      </c>
      <c r="N1185" s="544" t="s">
        <v>5171</v>
      </c>
      <c r="O1185" s="306" t="s">
        <v>454</v>
      </c>
      <c r="P1185" s="306" t="s">
        <v>11003</v>
      </c>
      <c r="Q1185" s="306"/>
      <c r="R1185" s="306"/>
      <c r="S1185" s="543"/>
      <c r="T1185" s="543"/>
      <c r="U1185" s="224"/>
      <c r="V1185" s="224"/>
      <c r="W1185" s="224"/>
      <c r="X1185" s="224"/>
      <c r="Y1185" s="224"/>
      <c r="Z1185" s="224"/>
      <c r="AA1185" s="224"/>
      <c r="AB1185" s="224"/>
    </row>
    <row r="1186" spans="1:28" ht="15.75" hidden="1" customHeight="1">
      <c r="A1186" s="541">
        <v>44796</v>
      </c>
      <c r="B1186" s="306" t="s">
        <v>219</v>
      </c>
      <c r="C1186" s="542"/>
      <c r="D1186" s="542"/>
      <c r="E1186" s="306" t="s">
        <v>1313</v>
      </c>
      <c r="F1186" s="306" t="s">
        <v>4</v>
      </c>
      <c r="G1186" s="306" t="s">
        <v>727</v>
      </c>
      <c r="H1186" s="306"/>
      <c r="I1186" s="306"/>
      <c r="J1186" s="306" t="s">
        <v>1045</v>
      </c>
      <c r="K1186" s="306"/>
      <c r="L1186" s="306"/>
      <c r="M1186" s="306" t="s">
        <v>478</v>
      </c>
      <c r="N1186" s="306">
        <v>8000000</v>
      </c>
      <c r="O1186" s="306" t="s">
        <v>452</v>
      </c>
      <c r="P1186" s="306" t="s">
        <v>452</v>
      </c>
      <c r="Q1186" s="306"/>
      <c r="R1186" s="306"/>
      <c r="S1186" s="543"/>
      <c r="T1186" s="543"/>
      <c r="U1186" s="219"/>
      <c r="V1186" s="219"/>
      <c r="W1186" s="219"/>
      <c r="X1186" s="219"/>
      <c r="Y1186" s="219"/>
      <c r="Z1186" s="219"/>
      <c r="AA1186" s="219"/>
      <c r="AB1186" s="219"/>
    </row>
    <row r="1187" spans="1:28" ht="15.75" hidden="1" customHeight="1">
      <c r="A1187" s="541">
        <v>44796</v>
      </c>
      <c r="B1187" s="306" t="s">
        <v>5156</v>
      </c>
      <c r="C1187" s="542"/>
      <c r="D1187" s="542"/>
      <c r="E1187" s="306" t="s">
        <v>11087</v>
      </c>
      <c r="F1187" s="306" t="s">
        <v>4</v>
      </c>
      <c r="G1187" s="306" t="s">
        <v>602</v>
      </c>
      <c r="H1187" s="306" t="s">
        <v>5160</v>
      </c>
      <c r="I1187" s="306">
        <v>3</v>
      </c>
      <c r="J1187" s="306" t="s">
        <v>13187</v>
      </c>
      <c r="K1187" s="306"/>
      <c r="L1187" s="306"/>
      <c r="M1187" s="306"/>
      <c r="N1187" s="544"/>
      <c r="O1187" s="306" t="s">
        <v>452</v>
      </c>
      <c r="P1187" s="306" t="s">
        <v>5162</v>
      </c>
      <c r="Q1187" s="306"/>
      <c r="R1187" s="306"/>
      <c r="S1187" s="543"/>
      <c r="T1187" s="543"/>
      <c r="U1187" s="224"/>
      <c r="V1187" s="224"/>
      <c r="W1187" s="224"/>
      <c r="X1187" s="224"/>
      <c r="Y1187" s="224"/>
      <c r="Z1187" s="224"/>
      <c r="AA1187" s="224"/>
      <c r="AB1187" s="224"/>
    </row>
    <row r="1188" spans="1:28" ht="15.75" hidden="1" customHeight="1">
      <c r="A1188" s="541">
        <v>44796</v>
      </c>
      <c r="B1188" s="306" t="s">
        <v>192</v>
      </c>
      <c r="C1188" s="542"/>
      <c r="D1188" s="542"/>
      <c r="E1188" s="306" t="s">
        <v>3778</v>
      </c>
      <c r="F1188" s="306" t="s">
        <v>4</v>
      </c>
      <c r="G1188" s="306" t="s">
        <v>725</v>
      </c>
      <c r="H1188" s="306"/>
      <c r="I1188" s="306"/>
      <c r="J1188" s="306" t="s">
        <v>476</v>
      </c>
      <c r="K1188" s="306" t="s">
        <v>13400</v>
      </c>
      <c r="L1188" s="306">
        <v>3.5</v>
      </c>
      <c r="M1188" s="306" t="s">
        <v>451</v>
      </c>
      <c r="N1188" s="545">
        <v>2500000</v>
      </c>
      <c r="O1188" s="306" t="s">
        <v>452</v>
      </c>
      <c r="P1188" s="306" t="s">
        <v>3781</v>
      </c>
      <c r="Q1188" s="306"/>
      <c r="R1188" s="306"/>
      <c r="S1188" s="543"/>
      <c r="T1188" s="543"/>
      <c r="U1188" s="219"/>
      <c r="V1188" s="219"/>
      <c r="W1188" s="219"/>
      <c r="X1188" s="219"/>
      <c r="Y1188" s="219"/>
      <c r="Z1188" s="219"/>
      <c r="AA1188" s="219"/>
      <c r="AB1188" s="219"/>
    </row>
    <row r="1189" spans="1:28" ht="15.75" hidden="1" customHeight="1">
      <c r="A1189" s="541">
        <v>44796</v>
      </c>
      <c r="B1189" s="306" t="s">
        <v>5883</v>
      </c>
      <c r="C1189" s="542"/>
      <c r="D1189" s="542"/>
      <c r="E1189" s="306" t="s">
        <v>5886</v>
      </c>
      <c r="F1189" s="306" t="s">
        <v>4</v>
      </c>
      <c r="G1189" s="306" t="s">
        <v>725</v>
      </c>
      <c r="H1189" s="306"/>
      <c r="I1189" s="306"/>
      <c r="J1189" s="306" t="s">
        <v>1045</v>
      </c>
      <c r="K1189" s="306"/>
      <c r="L1189" s="306"/>
      <c r="M1189" s="306" t="s">
        <v>451</v>
      </c>
      <c r="N1189" s="306" t="s">
        <v>5889</v>
      </c>
      <c r="O1189" s="306" t="s">
        <v>452</v>
      </c>
      <c r="P1189" s="306" t="s">
        <v>5890</v>
      </c>
      <c r="Q1189" s="306" t="s">
        <v>5891</v>
      </c>
      <c r="R1189" s="306"/>
      <c r="S1189" s="543"/>
      <c r="T1189" s="543"/>
      <c r="U1189" s="224"/>
      <c r="V1189" s="224"/>
      <c r="W1189" s="224"/>
      <c r="X1189" s="224"/>
      <c r="Y1189" s="224"/>
      <c r="Z1189" s="224"/>
      <c r="AA1189" s="224"/>
      <c r="AB1189" s="224"/>
    </row>
    <row r="1190" spans="1:28" ht="15.75" hidden="1" customHeight="1">
      <c r="A1190" s="541">
        <v>44796</v>
      </c>
      <c r="B1190" s="306" t="s">
        <v>4438</v>
      </c>
      <c r="C1190" s="542"/>
      <c r="D1190" s="542"/>
      <c r="E1190" s="306" t="s">
        <v>11123</v>
      </c>
      <c r="F1190" s="306" t="s">
        <v>4</v>
      </c>
      <c r="G1190" s="306" t="s">
        <v>725</v>
      </c>
      <c r="H1190" s="306"/>
      <c r="I1190" s="306"/>
      <c r="J1190" s="306" t="s">
        <v>1045</v>
      </c>
      <c r="K1190" s="306"/>
      <c r="L1190" s="306"/>
      <c r="M1190" s="306" t="s">
        <v>451</v>
      </c>
      <c r="N1190" s="306" t="s">
        <v>4444</v>
      </c>
      <c r="O1190" s="306" t="s">
        <v>452</v>
      </c>
      <c r="P1190" s="306" t="s">
        <v>4445</v>
      </c>
      <c r="Q1190" s="306"/>
      <c r="R1190" s="306"/>
      <c r="S1190" s="543"/>
      <c r="T1190" s="543"/>
      <c r="U1190" s="219"/>
      <c r="V1190" s="219"/>
      <c r="W1190" s="219"/>
      <c r="X1190" s="219"/>
      <c r="Y1190" s="219"/>
      <c r="Z1190" s="219"/>
      <c r="AA1190" s="219"/>
      <c r="AB1190" s="219"/>
    </row>
    <row r="1191" spans="1:28" ht="15.75" hidden="1" customHeight="1">
      <c r="A1191" s="541">
        <v>44796</v>
      </c>
      <c r="B1191" s="306" t="s">
        <v>5427</v>
      </c>
      <c r="C1191" s="542"/>
      <c r="D1191" s="542"/>
      <c r="E1191" s="306" t="s">
        <v>5430</v>
      </c>
      <c r="F1191" s="306" t="s">
        <v>4</v>
      </c>
      <c r="G1191" s="306" t="s">
        <v>725</v>
      </c>
      <c r="H1191" s="306"/>
      <c r="I1191" s="306"/>
      <c r="J1191" s="306" t="s">
        <v>1045</v>
      </c>
      <c r="K1191" s="306"/>
      <c r="L1191" s="306"/>
      <c r="M1191" s="306" t="s">
        <v>451</v>
      </c>
      <c r="N1191" s="545">
        <v>2500000</v>
      </c>
      <c r="O1191" s="306" t="s">
        <v>465</v>
      </c>
      <c r="P1191" s="306" t="s">
        <v>11126</v>
      </c>
      <c r="Q1191" s="306"/>
      <c r="R1191" s="306"/>
      <c r="S1191" s="543"/>
      <c r="T1191" s="543"/>
      <c r="U1191" s="224"/>
      <c r="V1191" s="224"/>
      <c r="W1191" s="224"/>
      <c r="X1191" s="224"/>
      <c r="Y1191" s="224"/>
      <c r="Z1191" s="224"/>
      <c r="AA1191" s="224"/>
      <c r="AB1191" s="224"/>
    </row>
    <row r="1192" spans="1:28" ht="15.75" hidden="1" customHeight="1">
      <c r="A1192" s="541">
        <v>44796</v>
      </c>
      <c r="B1192" s="306" t="s">
        <v>4181</v>
      </c>
      <c r="C1192" s="542"/>
      <c r="D1192" s="542"/>
      <c r="E1192" s="306" t="s">
        <v>4184</v>
      </c>
      <c r="F1192" s="306" t="s">
        <v>4</v>
      </c>
      <c r="G1192" s="306" t="s">
        <v>725</v>
      </c>
      <c r="H1192" s="306"/>
      <c r="I1192" s="306"/>
      <c r="J1192" s="306" t="s">
        <v>1045</v>
      </c>
      <c r="K1192" s="306"/>
      <c r="L1192" s="306"/>
      <c r="M1192" s="306" t="s">
        <v>451</v>
      </c>
      <c r="N1192" s="544">
        <v>1600000</v>
      </c>
      <c r="O1192" s="306" t="s">
        <v>452</v>
      </c>
      <c r="P1192" s="306" t="s">
        <v>1119</v>
      </c>
      <c r="Q1192" s="306"/>
      <c r="R1192" s="306"/>
      <c r="S1192" s="543"/>
      <c r="T1192" s="543"/>
      <c r="U1192" s="219"/>
      <c r="V1192" s="219"/>
      <c r="W1192" s="219"/>
      <c r="X1192" s="219"/>
      <c r="Y1192" s="219"/>
      <c r="Z1192" s="219"/>
      <c r="AA1192" s="219"/>
      <c r="AB1192" s="219"/>
    </row>
    <row r="1193" spans="1:28" ht="15.75" hidden="1" customHeight="1">
      <c r="A1193" s="541">
        <v>44796</v>
      </c>
      <c r="B1193" s="306" t="s">
        <v>6940</v>
      </c>
      <c r="C1193" s="542"/>
      <c r="D1193" s="542"/>
      <c r="E1193" s="306" t="s">
        <v>6943</v>
      </c>
      <c r="F1193" s="306" t="s">
        <v>4</v>
      </c>
      <c r="G1193" s="306" t="s">
        <v>725</v>
      </c>
      <c r="H1193" s="306"/>
      <c r="I1193" s="306"/>
      <c r="J1193" s="306" t="s">
        <v>1045</v>
      </c>
      <c r="K1193" s="306"/>
      <c r="L1193" s="306"/>
      <c r="M1193" s="306"/>
      <c r="N1193" s="545"/>
      <c r="O1193" s="306" t="s">
        <v>454</v>
      </c>
      <c r="P1193" s="306" t="s">
        <v>452</v>
      </c>
      <c r="Q1193" s="306"/>
      <c r="R1193" s="306"/>
      <c r="S1193" s="543"/>
      <c r="T1193" s="543"/>
      <c r="U1193" s="224"/>
      <c r="V1193" s="224"/>
      <c r="W1193" s="224"/>
      <c r="X1193" s="224"/>
      <c r="Y1193" s="224"/>
      <c r="Z1193" s="224"/>
      <c r="AA1193" s="224"/>
      <c r="AB1193" s="224"/>
    </row>
    <row r="1194" spans="1:28" ht="15.75" hidden="1" customHeight="1">
      <c r="A1194" s="541">
        <v>44796</v>
      </c>
      <c r="B1194" s="306" t="s">
        <v>8065</v>
      </c>
      <c r="C1194" s="542"/>
      <c r="D1194" s="542"/>
      <c r="E1194" s="306" t="s">
        <v>8068</v>
      </c>
      <c r="F1194" s="306" t="s">
        <v>4</v>
      </c>
      <c r="G1194" s="306" t="s">
        <v>725</v>
      </c>
      <c r="H1194" s="306"/>
      <c r="I1194" s="306"/>
      <c r="J1194" s="306" t="s">
        <v>1045</v>
      </c>
      <c r="K1194" s="306"/>
      <c r="L1194" s="306"/>
      <c r="M1194" s="306" t="s">
        <v>784</v>
      </c>
      <c r="N1194" s="544">
        <v>100000</v>
      </c>
      <c r="O1194" s="306" t="s">
        <v>465</v>
      </c>
      <c r="P1194" s="306" t="s">
        <v>8070</v>
      </c>
      <c r="Q1194" s="306"/>
      <c r="R1194" s="306"/>
      <c r="S1194" s="543"/>
      <c r="T1194" s="543"/>
      <c r="U1194" s="219"/>
      <c r="V1194" s="219"/>
      <c r="W1194" s="219"/>
      <c r="X1194" s="219"/>
      <c r="Y1194" s="219"/>
      <c r="Z1194" s="219"/>
      <c r="AA1194" s="219"/>
      <c r="AB1194" s="219"/>
    </row>
    <row r="1195" spans="1:28" ht="15.75" hidden="1" customHeight="1">
      <c r="A1195" s="541">
        <v>44796</v>
      </c>
      <c r="B1195" s="306" t="s">
        <v>185</v>
      </c>
      <c r="C1195" s="542"/>
      <c r="D1195" s="542"/>
      <c r="E1195" s="306" t="s">
        <v>1176</v>
      </c>
      <c r="F1195" s="306" t="s">
        <v>4</v>
      </c>
      <c r="G1195" s="306" t="s">
        <v>725</v>
      </c>
      <c r="H1195" s="306"/>
      <c r="I1195" s="306"/>
      <c r="J1195" s="306" t="s">
        <v>1045</v>
      </c>
      <c r="K1195" s="306"/>
      <c r="L1195" s="306"/>
      <c r="M1195" s="306"/>
      <c r="N1195" s="544"/>
      <c r="O1195" s="306" t="s">
        <v>452</v>
      </c>
      <c r="P1195" s="306" t="s">
        <v>11133</v>
      </c>
      <c r="Q1195" s="306"/>
      <c r="R1195" s="306"/>
      <c r="S1195" s="543"/>
      <c r="T1195" s="543"/>
      <c r="U1195" s="224"/>
      <c r="V1195" s="224"/>
      <c r="W1195" s="224"/>
      <c r="X1195" s="224"/>
      <c r="Y1195" s="224"/>
      <c r="Z1195" s="224"/>
      <c r="AA1195" s="224"/>
      <c r="AB1195" s="224"/>
    </row>
    <row r="1196" spans="1:28" ht="15.75" hidden="1" customHeight="1">
      <c r="A1196" s="541">
        <v>44796</v>
      </c>
      <c r="B1196" s="306" t="s">
        <v>369</v>
      </c>
      <c r="C1196" s="542"/>
      <c r="D1196" s="542"/>
      <c r="E1196" s="306" t="s">
        <v>2074</v>
      </c>
      <c r="F1196" s="306" t="s">
        <v>3</v>
      </c>
      <c r="G1196" s="306" t="s">
        <v>488</v>
      </c>
      <c r="H1196" s="306" t="s">
        <v>2075</v>
      </c>
      <c r="I1196" s="306">
        <v>5</v>
      </c>
      <c r="J1196" s="306" t="s">
        <v>462</v>
      </c>
      <c r="K1196" s="306"/>
      <c r="L1196" s="306"/>
      <c r="M1196" s="306" t="s">
        <v>478</v>
      </c>
      <c r="N1196" s="544" t="s">
        <v>2077</v>
      </c>
      <c r="O1196" s="306" t="s">
        <v>452</v>
      </c>
      <c r="P1196" s="306" t="s">
        <v>2078</v>
      </c>
      <c r="Q1196" s="306"/>
      <c r="R1196" s="306"/>
      <c r="S1196" s="543"/>
      <c r="T1196" s="543"/>
      <c r="U1196" s="219"/>
      <c r="V1196" s="219"/>
      <c r="W1196" s="219"/>
      <c r="X1196" s="219"/>
      <c r="Y1196" s="219"/>
      <c r="Z1196" s="219"/>
      <c r="AA1196" s="219"/>
      <c r="AB1196" s="219"/>
    </row>
    <row r="1197" spans="1:28" ht="15.75" hidden="1" customHeight="1">
      <c r="A1197" s="541">
        <v>44796</v>
      </c>
      <c r="B1197" s="306" t="s">
        <v>7025</v>
      </c>
      <c r="C1197" s="542"/>
      <c r="D1197" s="542"/>
      <c r="E1197" s="306" t="s">
        <v>7028</v>
      </c>
      <c r="F1197" s="306" t="s">
        <v>4</v>
      </c>
      <c r="G1197" s="306" t="s">
        <v>725</v>
      </c>
      <c r="H1197" s="306"/>
      <c r="I1197" s="306"/>
      <c r="J1197" s="306" t="s">
        <v>1045</v>
      </c>
      <c r="K1197" s="306"/>
      <c r="L1197" s="306"/>
      <c r="M1197" s="306"/>
      <c r="N1197" s="306"/>
      <c r="O1197" s="306" t="s">
        <v>454</v>
      </c>
      <c r="P1197" s="306" t="s">
        <v>452</v>
      </c>
      <c r="Q1197" s="306"/>
      <c r="R1197" s="306"/>
      <c r="S1197" s="543"/>
      <c r="T1197" s="543"/>
      <c r="U1197" s="224"/>
      <c r="V1197" s="224"/>
      <c r="W1197" s="224"/>
      <c r="X1197" s="224"/>
      <c r="Y1197" s="224"/>
      <c r="Z1197" s="224"/>
      <c r="AA1197" s="224"/>
      <c r="AB1197" s="224"/>
    </row>
    <row r="1198" spans="1:28" ht="15.75" hidden="1" customHeight="1">
      <c r="A1198" s="541">
        <v>44796</v>
      </c>
      <c r="B1198" s="306" t="s">
        <v>6235</v>
      </c>
      <c r="C1198" s="542"/>
      <c r="D1198" s="542"/>
      <c r="E1198" s="306" t="s">
        <v>6238</v>
      </c>
      <c r="F1198" s="306" t="s">
        <v>4</v>
      </c>
      <c r="G1198" s="306" t="s">
        <v>725</v>
      </c>
      <c r="H1198" s="306"/>
      <c r="I1198" s="306"/>
      <c r="J1198" s="306" t="s">
        <v>476</v>
      </c>
      <c r="K1198" s="306" t="s">
        <v>11143</v>
      </c>
      <c r="L1198" s="306">
        <v>2</v>
      </c>
      <c r="M1198" s="306" t="s">
        <v>451</v>
      </c>
      <c r="N1198" s="306" t="s">
        <v>6241</v>
      </c>
      <c r="O1198" s="306" t="s">
        <v>452</v>
      </c>
      <c r="P1198" s="306" t="s">
        <v>6242</v>
      </c>
      <c r="Q1198" s="306"/>
      <c r="R1198" s="306"/>
      <c r="S1198" s="543"/>
      <c r="T1198" s="543"/>
      <c r="U1198" s="219"/>
      <c r="V1198" s="219"/>
      <c r="W1198" s="219"/>
      <c r="X1198" s="219"/>
      <c r="Y1198" s="219"/>
      <c r="Z1198" s="219"/>
      <c r="AA1198" s="219"/>
      <c r="AB1198" s="219"/>
    </row>
    <row r="1199" spans="1:28" ht="15.75" hidden="1" customHeight="1">
      <c r="A1199" s="541">
        <v>44796</v>
      </c>
      <c r="B1199" s="306" t="s">
        <v>7178</v>
      </c>
      <c r="C1199" s="542"/>
      <c r="D1199" s="542"/>
      <c r="E1199" s="306" t="s">
        <v>11176</v>
      </c>
      <c r="F1199" s="306" t="s">
        <v>4</v>
      </c>
      <c r="G1199" s="306" t="s">
        <v>725</v>
      </c>
      <c r="H1199" s="306"/>
      <c r="I1199" s="306"/>
      <c r="J1199" s="306" t="s">
        <v>476</v>
      </c>
      <c r="K1199" s="306" t="s">
        <v>13400</v>
      </c>
      <c r="L1199" s="306">
        <v>2</v>
      </c>
      <c r="M1199" s="306"/>
      <c r="N1199" s="544"/>
      <c r="O1199" s="306" t="s">
        <v>452</v>
      </c>
      <c r="P1199" s="306" t="s">
        <v>11178</v>
      </c>
      <c r="Q1199" s="306"/>
      <c r="R1199" s="306"/>
      <c r="S1199" s="543"/>
      <c r="T1199" s="543"/>
      <c r="U1199" s="224"/>
      <c r="V1199" s="224"/>
      <c r="W1199" s="224"/>
      <c r="X1199" s="224"/>
      <c r="Y1199" s="224"/>
      <c r="Z1199" s="224"/>
      <c r="AA1199" s="224"/>
      <c r="AB1199" s="224"/>
    </row>
    <row r="1200" spans="1:28" ht="15.75" hidden="1" customHeight="1">
      <c r="A1200" s="541">
        <v>44796</v>
      </c>
      <c r="B1200" s="306" t="s">
        <v>4987</v>
      </c>
      <c r="C1200" s="542"/>
      <c r="D1200" s="542"/>
      <c r="E1200" s="306" t="s">
        <v>4990</v>
      </c>
      <c r="F1200" s="306" t="s">
        <v>4</v>
      </c>
      <c r="G1200" s="306" t="s">
        <v>725</v>
      </c>
      <c r="H1200" s="306"/>
      <c r="I1200" s="306"/>
      <c r="J1200" s="306" t="s">
        <v>476</v>
      </c>
      <c r="K1200" s="306" t="s">
        <v>13400</v>
      </c>
      <c r="L1200" s="306">
        <v>3</v>
      </c>
      <c r="M1200" s="306" t="s">
        <v>4993</v>
      </c>
      <c r="N1200" s="544" t="s">
        <v>4370</v>
      </c>
      <c r="O1200" s="306" t="s">
        <v>452</v>
      </c>
      <c r="P1200" s="306" t="s">
        <v>452</v>
      </c>
      <c r="Q1200" s="306"/>
      <c r="R1200" s="306"/>
      <c r="S1200" s="543"/>
      <c r="T1200" s="543"/>
      <c r="U1200" s="219"/>
      <c r="V1200" s="219"/>
      <c r="W1200" s="219"/>
      <c r="X1200" s="219"/>
      <c r="Y1200" s="219"/>
      <c r="Z1200" s="219"/>
      <c r="AA1200" s="219"/>
      <c r="AB1200" s="219"/>
    </row>
    <row r="1201" spans="1:28" ht="15.75" hidden="1" customHeight="1">
      <c r="A1201" s="541">
        <v>44796</v>
      </c>
      <c r="B1201" s="306" t="s">
        <v>4132</v>
      </c>
      <c r="C1201" s="542"/>
      <c r="D1201" s="542"/>
      <c r="E1201" s="306" t="s">
        <v>4135</v>
      </c>
      <c r="F1201" s="306" t="s">
        <v>4</v>
      </c>
      <c r="G1201" s="306" t="s">
        <v>725</v>
      </c>
      <c r="H1201" s="306"/>
      <c r="I1201" s="306"/>
      <c r="J1201" s="306" t="s">
        <v>476</v>
      </c>
      <c r="K1201" s="306" t="s">
        <v>13400</v>
      </c>
      <c r="L1201" s="306">
        <v>4</v>
      </c>
      <c r="M1201" s="306"/>
      <c r="N1201" s="306"/>
      <c r="O1201" s="306" t="s">
        <v>452</v>
      </c>
      <c r="P1201" s="306" t="s">
        <v>4138</v>
      </c>
      <c r="Q1201" s="306"/>
      <c r="R1201" s="306"/>
      <c r="S1201" s="543"/>
      <c r="T1201" s="543"/>
      <c r="U1201" s="224"/>
      <c r="V1201" s="224"/>
      <c r="W1201" s="224"/>
      <c r="X1201" s="224"/>
      <c r="Y1201" s="224"/>
      <c r="Z1201" s="224"/>
      <c r="AA1201" s="224"/>
      <c r="AB1201" s="224"/>
    </row>
    <row r="1202" spans="1:28" ht="15.75" hidden="1" customHeight="1">
      <c r="A1202" s="541">
        <v>44796</v>
      </c>
      <c r="B1202" s="306" t="s">
        <v>206</v>
      </c>
      <c r="C1202" s="542"/>
      <c r="D1202" s="542"/>
      <c r="E1202" s="306" t="s">
        <v>1279</v>
      </c>
      <c r="F1202" s="306" t="s">
        <v>4</v>
      </c>
      <c r="G1202" s="306" t="s">
        <v>725</v>
      </c>
      <c r="H1202" s="306"/>
      <c r="I1202" s="306"/>
      <c r="J1202" s="306" t="s">
        <v>1281</v>
      </c>
      <c r="K1202" s="306" t="s">
        <v>1282</v>
      </c>
      <c r="L1202" s="306">
        <v>4</v>
      </c>
      <c r="M1202" s="306" t="s">
        <v>451</v>
      </c>
      <c r="N1202" s="545">
        <v>350000</v>
      </c>
      <c r="O1202" s="306" t="s">
        <v>452</v>
      </c>
      <c r="P1202" s="306" t="s">
        <v>1283</v>
      </c>
      <c r="Q1202" s="306"/>
      <c r="R1202" s="306"/>
      <c r="S1202" s="543"/>
      <c r="T1202" s="543"/>
      <c r="U1202" s="219"/>
      <c r="V1202" s="219"/>
      <c r="W1202" s="219"/>
      <c r="X1202" s="219"/>
      <c r="Y1202" s="219"/>
      <c r="Z1202" s="219"/>
      <c r="AA1202" s="219"/>
      <c r="AB1202" s="219"/>
    </row>
    <row r="1203" spans="1:28" ht="15.75" hidden="1" customHeight="1">
      <c r="A1203" s="541">
        <v>44796</v>
      </c>
      <c r="B1203" s="306" t="s">
        <v>4289</v>
      </c>
      <c r="C1203" s="542"/>
      <c r="D1203" s="542"/>
      <c r="E1203" s="306" t="s">
        <v>4292</v>
      </c>
      <c r="F1203" s="306" t="s">
        <v>4</v>
      </c>
      <c r="G1203" s="306" t="s">
        <v>725</v>
      </c>
      <c r="H1203" s="306"/>
      <c r="I1203" s="306"/>
      <c r="J1203" s="306" t="s">
        <v>1237</v>
      </c>
      <c r="K1203" s="306"/>
      <c r="L1203" s="306">
        <v>4</v>
      </c>
      <c r="M1203" s="306"/>
      <c r="N1203" s="545"/>
      <c r="O1203" s="306" t="s">
        <v>452</v>
      </c>
      <c r="P1203" s="306" t="s">
        <v>454</v>
      </c>
      <c r="Q1203" s="306"/>
      <c r="R1203" s="306"/>
      <c r="S1203" s="543"/>
      <c r="T1203" s="543"/>
      <c r="U1203" s="224"/>
      <c r="V1203" s="224"/>
      <c r="W1203" s="224"/>
      <c r="X1203" s="224"/>
      <c r="Y1203" s="224"/>
      <c r="Z1203" s="224"/>
      <c r="AA1203" s="224"/>
      <c r="AB1203" s="224"/>
    </row>
    <row r="1204" spans="1:28" ht="15.75" hidden="1" customHeight="1">
      <c r="A1204" s="541">
        <v>44796</v>
      </c>
      <c r="B1204" s="306" t="s">
        <v>6858</v>
      </c>
      <c r="C1204" s="542"/>
      <c r="D1204" s="542"/>
      <c r="E1204" s="306" t="s">
        <v>6861</v>
      </c>
      <c r="F1204" s="306" t="s">
        <v>4</v>
      </c>
      <c r="G1204" s="306" t="s">
        <v>725</v>
      </c>
      <c r="H1204" s="306"/>
      <c r="I1204" s="306"/>
      <c r="J1204" s="306" t="s">
        <v>4054</v>
      </c>
      <c r="K1204" s="306"/>
      <c r="L1204" s="306">
        <v>2</v>
      </c>
      <c r="M1204" s="306"/>
      <c r="N1204" s="306"/>
      <c r="O1204" s="306" t="s">
        <v>452</v>
      </c>
      <c r="P1204" s="306" t="s">
        <v>452</v>
      </c>
      <c r="Q1204" s="306"/>
      <c r="R1204" s="306"/>
      <c r="S1204" s="543"/>
      <c r="T1204" s="543"/>
      <c r="U1204" s="219"/>
      <c r="V1204" s="219"/>
      <c r="W1204" s="219"/>
      <c r="X1204" s="219"/>
      <c r="Y1204" s="219"/>
      <c r="Z1204" s="219"/>
      <c r="AA1204" s="219"/>
      <c r="AB1204" s="219"/>
    </row>
    <row r="1205" spans="1:28" ht="15.75" hidden="1" customHeight="1">
      <c r="A1205" s="541">
        <v>44796</v>
      </c>
      <c r="B1205" s="306" t="s">
        <v>248</v>
      </c>
      <c r="C1205" s="542"/>
      <c r="D1205" s="542"/>
      <c r="E1205" s="306" t="s">
        <v>4052</v>
      </c>
      <c r="F1205" s="306" t="s">
        <v>4</v>
      </c>
      <c r="G1205" s="306" t="s">
        <v>725</v>
      </c>
      <c r="H1205" s="306"/>
      <c r="I1205" s="306"/>
      <c r="J1205" s="306" t="s">
        <v>4054</v>
      </c>
      <c r="K1205" s="306" t="s">
        <v>4055</v>
      </c>
      <c r="L1205" s="306">
        <v>4</v>
      </c>
      <c r="M1205" s="306" t="s">
        <v>4056</v>
      </c>
      <c r="N1205" s="306" t="s">
        <v>4057</v>
      </c>
      <c r="O1205" s="306" t="s">
        <v>465</v>
      </c>
      <c r="P1205" s="306" t="s">
        <v>4058</v>
      </c>
      <c r="Q1205" s="306"/>
      <c r="R1205" s="306"/>
      <c r="S1205" s="543"/>
      <c r="T1205" s="543"/>
      <c r="U1205" s="224"/>
      <c r="V1205" s="224"/>
      <c r="W1205" s="224"/>
      <c r="X1205" s="224"/>
      <c r="Y1205" s="224"/>
      <c r="Z1205" s="224"/>
      <c r="AA1205" s="224"/>
      <c r="AB1205" s="224"/>
    </row>
    <row r="1206" spans="1:28" ht="15.75" hidden="1" customHeight="1">
      <c r="A1206" s="541">
        <v>44796</v>
      </c>
      <c r="B1206" s="306" t="s">
        <v>335</v>
      </c>
      <c r="C1206" s="542"/>
      <c r="D1206" s="542"/>
      <c r="E1206" s="306"/>
      <c r="F1206" s="306" t="s">
        <v>3</v>
      </c>
      <c r="G1206" s="306" t="s">
        <v>488</v>
      </c>
      <c r="H1206" s="306"/>
      <c r="I1206" s="306"/>
      <c r="J1206" s="306" t="s">
        <v>941</v>
      </c>
      <c r="K1206" s="306"/>
      <c r="L1206" s="306"/>
      <c r="M1206" s="306" t="s">
        <v>1892</v>
      </c>
      <c r="N1206" s="306" t="s">
        <v>1893</v>
      </c>
      <c r="O1206" s="306" t="s">
        <v>452</v>
      </c>
      <c r="P1206" s="306" t="s">
        <v>452</v>
      </c>
      <c r="Q1206" s="306"/>
      <c r="R1206" s="306"/>
      <c r="S1206" s="543"/>
      <c r="T1206" s="543"/>
      <c r="U1206" s="219"/>
      <c r="V1206" s="219"/>
      <c r="W1206" s="219"/>
      <c r="X1206" s="219"/>
      <c r="Y1206" s="219"/>
      <c r="Z1206" s="219"/>
      <c r="AA1206" s="219"/>
      <c r="AB1206" s="219"/>
    </row>
    <row r="1207" spans="1:28" ht="15.75" hidden="1" customHeight="1">
      <c r="A1207" s="541">
        <v>44796</v>
      </c>
      <c r="B1207" s="306" t="s">
        <v>6348</v>
      </c>
      <c r="C1207" s="542"/>
      <c r="D1207" s="542"/>
      <c r="E1207" s="306" t="s">
        <v>6351</v>
      </c>
      <c r="F1207" s="306" t="s">
        <v>4</v>
      </c>
      <c r="G1207" s="306" t="s">
        <v>727</v>
      </c>
      <c r="H1207" s="306"/>
      <c r="I1207" s="306"/>
      <c r="J1207" s="306" t="s">
        <v>1045</v>
      </c>
      <c r="K1207" s="306" t="s">
        <v>6352</v>
      </c>
      <c r="L1207" s="306">
        <v>3</v>
      </c>
      <c r="M1207" s="306" t="s">
        <v>451</v>
      </c>
      <c r="N1207" s="306">
        <v>5000000</v>
      </c>
      <c r="O1207" s="306" t="s">
        <v>452</v>
      </c>
      <c r="P1207" s="306" t="s">
        <v>11232</v>
      </c>
      <c r="Q1207" s="306"/>
      <c r="R1207" s="306"/>
      <c r="S1207" s="543"/>
      <c r="T1207" s="543"/>
      <c r="U1207" s="224"/>
      <c r="V1207" s="224"/>
      <c r="W1207" s="224"/>
      <c r="X1207" s="224"/>
      <c r="Y1207" s="224"/>
      <c r="Z1207" s="224"/>
      <c r="AA1207" s="224"/>
      <c r="AB1207" s="224"/>
    </row>
    <row r="1208" spans="1:28" ht="15.75" hidden="1" customHeight="1">
      <c r="A1208" s="541">
        <v>44796</v>
      </c>
      <c r="B1208" s="306" t="s">
        <v>8935</v>
      </c>
      <c r="C1208" s="542"/>
      <c r="D1208" s="542"/>
      <c r="E1208" s="306"/>
      <c r="F1208" s="306" t="s">
        <v>3</v>
      </c>
      <c r="G1208" s="306" t="s">
        <v>488</v>
      </c>
      <c r="H1208" s="306"/>
      <c r="I1208" s="306"/>
      <c r="J1208" s="306" t="s">
        <v>941</v>
      </c>
      <c r="K1208" s="306"/>
      <c r="L1208" s="306"/>
      <c r="M1208" s="306" t="s">
        <v>8939</v>
      </c>
      <c r="N1208" s="544">
        <v>500000</v>
      </c>
      <c r="O1208" s="306" t="s">
        <v>454</v>
      </c>
      <c r="P1208" s="306" t="s">
        <v>8938</v>
      </c>
      <c r="Q1208" s="306"/>
      <c r="R1208" s="306"/>
      <c r="S1208" s="543"/>
      <c r="T1208" s="543"/>
      <c r="U1208" s="219"/>
      <c r="V1208" s="219"/>
      <c r="W1208" s="219"/>
      <c r="X1208" s="219"/>
      <c r="Y1208" s="219"/>
      <c r="Z1208" s="219"/>
      <c r="AA1208" s="219"/>
      <c r="AB1208" s="219"/>
    </row>
    <row r="1209" spans="1:28" ht="15.75" hidden="1" customHeight="1">
      <c r="A1209" s="541">
        <v>44796</v>
      </c>
      <c r="B1209" s="306" t="s">
        <v>357</v>
      </c>
      <c r="C1209" s="542"/>
      <c r="D1209" s="542"/>
      <c r="E1209" s="306"/>
      <c r="F1209" s="306" t="s">
        <v>3</v>
      </c>
      <c r="G1209" s="306" t="s">
        <v>488</v>
      </c>
      <c r="H1209" s="306"/>
      <c r="I1209" s="306"/>
      <c r="J1209" s="306" t="s">
        <v>941</v>
      </c>
      <c r="K1209" s="306"/>
      <c r="L1209" s="306"/>
      <c r="M1209" s="306" t="s">
        <v>8914</v>
      </c>
      <c r="N1209" s="544">
        <v>3500000</v>
      </c>
      <c r="O1209" s="306" t="s">
        <v>452</v>
      </c>
      <c r="P1209" s="306" t="s">
        <v>452</v>
      </c>
      <c r="Q1209" s="306"/>
      <c r="R1209" s="306"/>
      <c r="S1209" s="543"/>
      <c r="T1209" s="543"/>
      <c r="U1209" s="224"/>
      <c r="V1209" s="224"/>
      <c r="W1209" s="224"/>
      <c r="X1209" s="224"/>
      <c r="Y1209" s="224"/>
      <c r="Z1209" s="224"/>
      <c r="AA1209" s="224"/>
      <c r="AB1209" s="224"/>
    </row>
    <row r="1210" spans="1:28" ht="15.75" hidden="1" customHeight="1">
      <c r="A1210" s="541">
        <v>44796</v>
      </c>
      <c r="B1210" s="306" t="s">
        <v>296</v>
      </c>
      <c r="C1210" s="542"/>
      <c r="D1210" s="542"/>
      <c r="E1210" s="306" t="s">
        <v>1662</v>
      </c>
      <c r="F1210" s="306" t="s">
        <v>3</v>
      </c>
      <c r="G1210" s="306" t="s">
        <v>488</v>
      </c>
      <c r="H1210" s="306" t="s">
        <v>11250</v>
      </c>
      <c r="I1210" s="306">
        <v>3.99</v>
      </c>
      <c r="J1210" s="306" t="s">
        <v>941</v>
      </c>
      <c r="K1210" s="306"/>
      <c r="L1210" s="306"/>
      <c r="M1210" s="306"/>
      <c r="N1210" s="544"/>
      <c r="O1210" s="306" t="s">
        <v>452</v>
      </c>
      <c r="P1210" s="306" t="s">
        <v>452</v>
      </c>
      <c r="Q1210" s="306" t="s">
        <v>1665</v>
      </c>
      <c r="R1210" s="306"/>
      <c r="S1210" s="543"/>
      <c r="T1210" s="543"/>
      <c r="U1210" s="219"/>
      <c r="V1210" s="219"/>
      <c r="W1210" s="219"/>
      <c r="X1210" s="219"/>
      <c r="Y1210" s="219"/>
      <c r="Z1210" s="219"/>
      <c r="AA1210" s="219"/>
      <c r="AB1210" s="219"/>
    </row>
    <row r="1211" spans="1:28" ht="15.75" hidden="1" customHeight="1">
      <c r="A1211" s="541">
        <v>44796</v>
      </c>
      <c r="B1211" s="306" t="s">
        <v>283</v>
      </c>
      <c r="C1211" s="542"/>
      <c r="D1211" s="542"/>
      <c r="E1211" s="306" t="s">
        <v>9171</v>
      </c>
      <c r="F1211" s="306" t="s">
        <v>3</v>
      </c>
      <c r="G1211" s="306" t="s">
        <v>488</v>
      </c>
      <c r="H1211" s="306"/>
      <c r="I1211" s="306"/>
      <c r="J1211" s="306" t="s">
        <v>941</v>
      </c>
      <c r="K1211" s="306"/>
      <c r="L1211" s="306"/>
      <c r="M1211" s="306" t="s">
        <v>451</v>
      </c>
      <c r="N1211" s="306" t="s">
        <v>2604</v>
      </c>
      <c r="O1211" s="306" t="s">
        <v>452</v>
      </c>
      <c r="P1211" s="306" t="s">
        <v>9174</v>
      </c>
      <c r="Q1211" s="306" t="s">
        <v>604</v>
      </c>
      <c r="R1211" s="306"/>
      <c r="S1211" s="543"/>
      <c r="T1211" s="543"/>
      <c r="U1211" s="224"/>
      <c r="V1211" s="224"/>
      <c r="W1211" s="224"/>
      <c r="X1211" s="224"/>
      <c r="Y1211" s="224"/>
      <c r="Z1211" s="224"/>
      <c r="AA1211" s="224"/>
      <c r="AB1211" s="224"/>
    </row>
    <row r="1212" spans="1:28" ht="15.75" hidden="1" customHeight="1">
      <c r="A1212" s="541">
        <v>44796</v>
      </c>
      <c r="B1212" s="306" t="s">
        <v>340</v>
      </c>
      <c r="C1212" s="542"/>
      <c r="D1212" s="542"/>
      <c r="E1212" s="306" t="s">
        <v>1937</v>
      </c>
      <c r="F1212" s="306" t="s">
        <v>3</v>
      </c>
      <c r="G1212" s="306" t="s">
        <v>488</v>
      </c>
      <c r="H1212" s="306"/>
      <c r="I1212" s="306"/>
      <c r="J1212" s="306" t="s">
        <v>941</v>
      </c>
      <c r="K1212" s="306"/>
      <c r="L1212" s="306"/>
      <c r="M1212" s="306"/>
      <c r="N1212" s="306"/>
      <c r="O1212" s="306" t="s">
        <v>452</v>
      </c>
      <c r="P1212" s="306" t="s">
        <v>1940</v>
      </c>
      <c r="Q1212" s="306" t="s">
        <v>1941</v>
      </c>
      <c r="R1212" s="306"/>
      <c r="S1212" s="543"/>
      <c r="T1212" s="543"/>
      <c r="U1212" s="219"/>
      <c r="V1212" s="219"/>
      <c r="W1212" s="219"/>
      <c r="X1212" s="219"/>
      <c r="Y1212" s="219"/>
      <c r="Z1212" s="219"/>
      <c r="AA1212" s="219"/>
      <c r="AB1212" s="219"/>
    </row>
    <row r="1213" spans="1:28" ht="15.75" hidden="1" customHeight="1">
      <c r="A1213" s="541">
        <v>44796</v>
      </c>
      <c r="B1213" s="306" t="s">
        <v>346</v>
      </c>
      <c r="C1213" s="542"/>
      <c r="D1213" s="542"/>
      <c r="E1213" s="306" t="s">
        <v>1982</v>
      </c>
      <c r="F1213" s="306" t="s">
        <v>3</v>
      </c>
      <c r="G1213" s="306" t="s">
        <v>488</v>
      </c>
      <c r="H1213" s="306"/>
      <c r="I1213" s="306"/>
      <c r="J1213" s="306" t="s">
        <v>941</v>
      </c>
      <c r="K1213" s="306"/>
      <c r="L1213" s="306"/>
      <c r="M1213" s="306" t="s">
        <v>478</v>
      </c>
      <c r="N1213" s="306">
        <v>6000000</v>
      </c>
      <c r="O1213" s="306" t="s">
        <v>454</v>
      </c>
      <c r="P1213" s="306" t="s">
        <v>452</v>
      </c>
      <c r="Q1213" s="306"/>
      <c r="R1213" s="306"/>
      <c r="S1213" s="543"/>
      <c r="T1213" s="543"/>
      <c r="U1213" s="224"/>
      <c r="V1213" s="224"/>
      <c r="W1213" s="224"/>
      <c r="X1213" s="224"/>
      <c r="Y1213" s="224"/>
      <c r="Z1213" s="224"/>
      <c r="AA1213" s="224"/>
      <c r="AB1213" s="224"/>
    </row>
    <row r="1214" spans="1:28" ht="15.75" hidden="1" customHeight="1">
      <c r="A1214" s="541">
        <v>44796</v>
      </c>
      <c r="B1214" s="306" t="s">
        <v>347</v>
      </c>
      <c r="C1214" s="542"/>
      <c r="D1214" s="542"/>
      <c r="E1214" s="306" t="s">
        <v>1990</v>
      </c>
      <c r="F1214" s="306" t="s">
        <v>3</v>
      </c>
      <c r="G1214" s="306" t="s">
        <v>488</v>
      </c>
      <c r="H1214" s="306"/>
      <c r="I1214" s="306"/>
      <c r="J1214" s="306" t="s">
        <v>941</v>
      </c>
      <c r="K1214" s="306"/>
      <c r="L1214" s="306"/>
      <c r="M1214" s="306"/>
      <c r="N1214" s="545"/>
      <c r="O1214" s="306" t="s">
        <v>452</v>
      </c>
      <c r="P1214" s="306" t="s">
        <v>575</v>
      </c>
      <c r="Q1214" s="306" t="s">
        <v>1993</v>
      </c>
      <c r="R1214" s="306"/>
      <c r="S1214" s="543"/>
      <c r="T1214" s="543"/>
      <c r="U1214" s="219"/>
      <c r="V1214" s="219"/>
      <c r="W1214" s="219"/>
      <c r="X1214" s="219"/>
      <c r="Y1214" s="219"/>
      <c r="Z1214" s="219"/>
      <c r="AA1214" s="219"/>
      <c r="AB1214" s="219"/>
    </row>
    <row r="1215" spans="1:28" ht="15.75" hidden="1" customHeight="1">
      <c r="A1215" s="541">
        <v>44796</v>
      </c>
      <c r="B1215" s="306" t="s">
        <v>362</v>
      </c>
      <c r="C1215" s="542"/>
      <c r="D1215" s="542"/>
      <c r="E1215" s="306" t="s">
        <v>2049</v>
      </c>
      <c r="F1215" s="306" t="s">
        <v>3</v>
      </c>
      <c r="G1215" s="306" t="s">
        <v>488</v>
      </c>
      <c r="H1215" s="306"/>
      <c r="I1215" s="306"/>
      <c r="J1215" s="306" t="s">
        <v>941</v>
      </c>
      <c r="K1215" s="306"/>
      <c r="L1215" s="306"/>
      <c r="M1215" s="306" t="s">
        <v>478</v>
      </c>
      <c r="N1215" s="544">
        <v>5920000</v>
      </c>
      <c r="O1215" s="306" t="s">
        <v>452</v>
      </c>
      <c r="P1215" s="306" t="s">
        <v>452</v>
      </c>
      <c r="Q1215" s="306"/>
      <c r="R1215" s="306"/>
      <c r="S1215" s="543"/>
      <c r="T1215" s="543"/>
      <c r="U1215" s="224"/>
      <c r="V1215" s="224"/>
      <c r="W1215" s="224"/>
      <c r="X1215" s="224"/>
      <c r="Y1215" s="224"/>
      <c r="Z1215" s="224"/>
      <c r="AA1215" s="224"/>
      <c r="AB1215" s="224"/>
    </row>
    <row r="1216" spans="1:28" ht="15.75" hidden="1" customHeight="1">
      <c r="A1216" s="541">
        <v>44796</v>
      </c>
      <c r="B1216" s="306" t="s">
        <v>8988</v>
      </c>
      <c r="C1216" s="542"/>
      <c r="D1216" s="542"/>
      <c r="E1216" s="306"/>
      <c r="F1216" s="306" t="s">
        <v>3</v>
      </c>
      <c r="G1216" s="306" t="s">
        <v>488</v>
      </c>
      <c r="H1216" s="306" t="s">
        <v>8991</v>
      </c>
      <c r="I1216" s="306">
        <v>2.5</v>
      </c>
      <c r="J1216" s="306" t="s">
        <v>941</v>
      </c>
      <c r="K1216" s="306"/>
      <c r="L1216" s="306"/>
      <c r="M1216" s="306" t="s">
        <v>8993</v>
      </c>
      <c r="N1216" s="306">
        <v>150000</v>
      </c>
      <c r="O1216" s="306" t="s">
        <v>452</v>
      </c>
      <c r="P1216" s="306" t="s">
        <v>8994</v>
      </c>
      <c r="Q1216" s="306"/>
      <c r="R1216" s="306"/>
      <c r="S1216" s="543"/>
      <c r="T1216" s="543"/>
      <c r="U1216" s="219"/>
      <c r="V1216" s="219"/>
      <c r="W1216" s="219"/>
      <c r="X1216" s="219"/>
      <c r="Y1216" s="219"/>
      <c r="Z1216" s="219"/>
      <c r="AA1216" s="219"/>
      <c r="AB1216" s="219"/>
    </row>
    <row r="1217" spans="1:28" ht="15.75" hidden="1" customHeight="1">
      <c r="A1217" s="541">
        <v>44796</v>
      </c>
      <c r="B1217" s="306" t="s">
        <v>8313</v>
      </c>
      <c r="C1217" s="542"/>
      <c r="D1217" s="542"/>
      <c r="E1217" s="306"/>
      <c r="F1217" s="306" t="s">
        <v>3</v>
      </c>
      <c r="G1217" s="306" t="s">
        <v>488</v>
      </c>
      <c r="H1217" s="306"/>
      <c r="I1217" s="306"/>
      <c r="J1217" s="306" t="s">
        <v>941</v>
      </c>
      <c r="K1217" s="306"/>
      <c r="L1217" s="306"/>
      <c r="M1217" s="306" t="s">
        <v>8318</v>
      </c>
      <c r="N1217" s="306">
        <v>50000</v>
      </c>
      <c r="O1217" s="306" t="s">
        <v>452</v>
      </c>
      <c r="P1217" s="306" t="s">
        <v>8319</v>
      </c>
      <c r="Q1217" s="306" t="s">
        <v>8320</v>
      </c>
      <c r="R1217" s="306"/>
      <c r="S1217" s="543"/>
      <c r="T1217" s="543"/>
      <c r="U1217" s="224"/>
      <c r="V1217" s="224"/>
      <c r="W1217" s="224"/>
      <c r="X1217" s="224"/>
      <c r="Y1217" s="224"/>
      <c r="Z1217" s="224"/>
      <c r="AA1217" s="224"/>
      <c r="AB1217" s="224"/>
    </row>
    <row r="1218" spans="1:28" ht="15.75" hidden="1" customHeight="1">
      <c r="A1218" s="541">
        <v>44796</v>
      </c>
      <c r="B1218" s="306" t="s">
        <v>8510</v>
      </c>
      <c r="C1218" s="542"/>
      <c r="D1218" s="542"/>
      <c r="E1218" s="306" t="s">
        <v>8513</v>
      </c>
      <c r="F1218" s="306" t="s">
        <v>3</v>
      </c>
      <c r="G1218" s="306" t="s">
        <v>488</v>
      </c>
      <c r="H1218" s="306"/>
      <c r="I1218" s="306"/>
      <c r="J1218" s="306" t="s">
        <v>941</v>
      </c>
      <c r="K1218" s="306"/>
      <c r="L1218" s="306"/>
      <c r="M1218" s="306"/>
      <c r="N1218" s="306"/>
      <c r="O1218" s="306" t="s">
        <v>452</v>
      </c>
      <c r="P1218" s="306" t="s">
        <v>8516</v>
      </c>
      <c r="Q1218" s="306"/>
      <c r="R1218" s="306"/>
      <c r="S1218" s="543"/>
      <c r="T1218" s="543"/>
      <c r="U1218" s="219"/>
      <c r="V1218" s="219"/>
      <c r="W1218" s="219"/>
      <c r="X1218" s="219"/>
      <c r="Y1218" s="219"/>
      <c r="Z1218" s="219"/>
      <c r="AA1218" s="219"/>
      <c r="AB1218" s="219"/>
    </row>
    <row r="1219" spans="1:28" ht="15.75" hidden="1" customHeight="1">
      <c r="A1219" s="541">
        <v>44796</v>
      </c>
      <c r="B1219" s="306" t="s">
        <v>8740</v>
      </c>
      <c r="C1219" s="542"/>
      <c r="D1219" s="542"/>
      <c r="E1219" s="306" t="s">
        <v>8743</v>
      </c>
      <c r="F1219" s="306" t="s">
        <v>3</v>
      </c>
      <c r="G1219" s="306" t="s">
        <v>488</v>
      </c>
      <c r="H1219" s="306"/>
      <c r="I1219" s="306"/>
      <c r="J1219" s="306" t="s">
        <v>941</v>
      </c>
      <c r="K1219" s="306"/>
      <c r="L1219" s="306"/>
      <c r="M1219" s="306" t="s">
        <v>478</v>
      </c>
      <c r="N1219" s="545">
        <v>500000</v>
      </c>
      <c r="O1219" s="306" t="s">
        <v>452</v>
      </c>
      <c r="P1219" s="306" t="s">
        <v>452</v>
      </c>
      <c r="Q1219" s="306"/>
      <c r="R1219" s="306"/>
      <c r="S1219" s="543"/>
      <c r="T1219" s="543"/>
      <c r="U1219" s="224"/>
      <c r="V1219" s="224"/>
      <c r="W1219" s="224"/>
      <c r="X1219" s="224"/>
      <c r="Y1219" s="224"/>
      <c r="Z1219" s="224"/>
      <c r="AA1219" s="224"/>
      <c r="AB1219" s="224"/>
    </row>
    <row r="1220" spans="1:28" ht="15.75" hidden="1" customHeight="1">
      <c r="A1220" s="541">
        <v>44796</v>
      </c>
      <c r="B1220" s="306" t="s">
        <v>294</v>
      </c>
      <c r="C1220" s="542"/>
      <c r="D1220" s="542"/>
      <c r="E1220" s="306"/>
      <c r="F1220" s="306" t="s">
        <v>3</v>
      </c>
      <c r="G1220" s="306" t="s">
        <v>460</v>
      </c>
      <c r="H1220" s="306" t="s">
        <v>1654</v>
      </c>
      <c r="I1220" s="306">
        <v>4.5</v>
      </c>
      <c r="J1220" s="306" t="s">
        <v>941</v>
      </c>
      <c r="K1220" s="306"/>
      <c r="L1220" s="306"/>
      <c r="M1220" s="306" t="s">
        <v>1656</v>
      </c>
      <c r="N1220" s="544">
        <v>10000000</v>
      </c>
      <c r="O1220" s="306" t="s">
        <v>454</v>
      </c>
      <c r="P1220" s="306" t="s">
        <v>1657</v>
      </c>
      <c r="Q1220" s="306"/>
      <c r="R1220" s="306"/>
      <c r="S1220" s="543"/>
      <c r="T1220" s="543"/>
      <c r="U1220" s="219"/>
      <c r="V1220" s="219"/>
      <c r="W1220" s="219"/>
      <c r="X1220" s="219"/>
      <c r="Y1220" s="219"/>
      <c r="Z1220" s="219"/>
      <c r="AA1220" s="219"/>
      <c r="AB1220" s="219"/>
    </row>
    <row r="1221" spans="1:28" ht="15.75" hidden="1" customHeight="1">
      <c r="A1221" s="541">
        <v>44796</v>
      </c>
      <c r="B1221" s="306" t="s">
        <v>7397</v>
      </c>
      <c r="C1221" s="542"/>
      <c r="D1221" s="542"/>
      <c r="E1221" s="306" t="s">
        <v>7400</v>
      </c>
      <c r="F1221" s="306" t="s">
        <v>4</v>
      </c>
      <c r="G1221" s="306" t="s">
        <v>727</v>
      </c>
      <c r="H1221" s="306"/>
      <c r="I1221" s="306"/>
      <c r="J1221" s="306" t="s">
        <v>1054</v>
      </c>
      <c r="K1221" s="306" t="s">
        <v>7402</v>
      </c>
      <c r="L1221" s="306">
        <v>2</v>
      </c>
      <c r="M1221" s="306" t="s">
        <v>451</v>
      </c>
      <c r="N1221" s="545">
        <v>200000</v>
      </c>
      <c r="O1221" s="306" t="s">
        <v>452</v>
      </c>
      <c r="P1221" s="306" t="s">
        <v>7403</v>
      </c>
      <c r="Q1221" s="306"/>
      <c r="R1221" s="306"/>
      <c r="S1221" s="543"/>
      <c r="T1221" s="543"/>
      <c r="U1221" s="224"/>
      <c r="V1221" s="224"/>
      <c r="W1221" s="224"/>
      <c r="X1221" s="224"/>
      <c r="Y1221" s="224"/>
      <c r="Z1221" s="224"/>
      <c r="AA1221" s="224"/>
      <c r="AB1221" s="224"/>
    </row>
    <row r="1222" spans="1:28" ht="15.75" hidden="1" customHeight="1">
      <c r="A1222" s="541">
        <v>44796</v>
      </c>
      <c r="B1222" s="306" t="s">
        <v>8773</v>
      </c>
      <c r="C1222" s="542"/>
      <c r="D1222" s="542"/>
      <c r="E1222" s="306"/>
      <c r="F1222" s="306" t="s">
        <v>3</v>
      </c>
      <c r="G1222" s="306" t="s">
        <v>488</v>
      </c>
      <c r="H1222" s="306"/>
      <c r="I1222" s="306"/>
      <c r="J1222" s="306" t="s">
        <v>941</v>
      </c>
      <c r="K1222" s="306"/>
      <c r="L1222" s="306"/>
      <c r="M1222" s="306" t="s">
        <v>2152</v>
      </c>
      <c r="N1222" s="545" t="s">
        <v>8778</v>
      </c>
      <c r="O1222" s="306" t="s">
        <v>454</v>
      </c>
      <c r="P1222" s="306" t="s">
        <v>452</v>
      </c>
      <c r="Q1222" s="306"/>
      <c r="R1222" s="306"/>
      <c r="S1222" s="543"/>
      <c r="T1222" s="543"/>
      <c r="U1222" s="219"/>
      <c r="V1222" s="219"/>
      <c r="W1222" s="219"/>
      <c r="X1222" s="219"/>
      <c r="Y1222" s="219"/>
      <c r="Z1222" s="219"/>
      <c r="AA1222" s="219"/>
      <c r="AB1222" s="219"/>
    </row>
    <row r="1223" spans="1:28" ht="15.75" hidden="1" customHeight="1">
      <c r="A1223" s="541">
        <v>44796</v>
      </c>
      <c r="B1223" s="306" t="s">
        <v>8910</v>
      </c>
      <c r="C1223" s="542"/>
      <c r="D1223" s="542"/>
      <c r="E1223" s="306"/>
      <c r="F1223" s="306" t="s">
        <v>3</v>
      </c>
      <c r="G1223" s="306" t="s">
        <v>488</v>
      </c>
      <c r="H1223" s="306"/>
      <c r="I1223" s="306"/>
      <c r="J1223" s="306" t="s">
        <v>462</v>
      </c>
      <c r="K1223" s="306"/>
      <c r="L1223" s="306"/>
      <c r="M1223" s="306" t="s">
        <v>8914</v>
      </c>
      <c r="N1223" s="544">
        <v>5000000</v>
      </c>
      <c r="O1223" s="306" t="s">
        <v>452</v>
      </c>
      <c r="P1223" s="306" t="s">
        <v>8915</v>
      </c>
      <c r="Q1223" s="306"/>
      <c r="R1223" s="306"/>
      <c r="S1223" s="543"/>
      <c r="T1223" s="543"/>
      <c r="U1223" s="224"/>
      <c r="V1223" s="224"/>
      <c r="W1223" s="224"/>
      <c r="X1223" s="224"/>
      <c r="Y1223" s="224"/>
      <c r="Z1223" s="224"/>
      <c r="AA1223" s="224"/>
      <c r="AB1223" s="224"/>
    </row>
    <row r="1224" spans="1:28" ht="15.75" hidden="1" customHeight="1">
      <c r="A1224" s="541">
        <v>44796</v>
      </c>
      <c r="B1224" s="306" t="s">
        <v>9124</v>
      </c>
      <c r="C1224" s="542"/>
      <c r="D1224" s="542"/>
      <c r="E1224" s="306"/>
      <c r="F1224" s="306" t="s">
        <v>3</v>
      </c>
      <c r="G1224" s="306" t="s">
        <v>488</v>
      </c>
      <c r="H1224" s="306"/>
      <c r="I1224" s="306"/>
      <c r="J1224" s="306" t="s">
        <v>941</v>
      </c>
      <c r="K1224" s="306"/>
      <c r="L1224" s="306"/>
      <c r="M1224" s="306" t="s">
        <v>2190</v>
      </c>
      <c r="N1224" s="306">
        <v>3000000</v>
      </c>
      <c r="O1224" s="306" t="s">
        <v>452</v>
      </c>
      <c r="P1224" s="306" t="s">
        <v>9129</v>
      </c>
      <c r="Q1224" s="306"/>
      <c r="R1224" s="306"/>
      <c r="S1224" s="543"/>
      <c r="T1224" s="543"/>
      <c r="U1224" s="219"/>
      <c r="V1224" s="219"/>
      <c r="W1224" s="219"/>
      <c r="X1224" s="219"/>
      <c r="Y1224" s="219"/>
      <c r="Z1224" s="219"/>
      <c r="AA1224" s="219"/>
      <c r="AB1224" s="219"/>
    </row>
    <row r="1225" spans="1:28" ht="15.75" hidden="1" customHeight="1">
      <c r="A1225" s="541">
        <v>44796</v>
      </c>
      <c r="B1225" s="306" t="s">
        <v>348</v>
      </c>
      <c r="C1225" s="542"/>
      <c r="D1225" s="542"/>
      <c r="E1225" s="306" t="s">
        <v>1998</v>
      </c>
      <c r="F1225" s="306" t="s">
        <v>3</v>
      </c>
      <c r="G1225" s="306" t="s">
        <v>488</v>
      </c>
      <c r="H1225" s="306"/>
      <c r="I1225" s="306"/>
      <c r="J1225" s="306" t="s">
        <v>941</v>
      </c>
      <c r="K1225" s="306"/>
      <c r="L1225" s="306"/>
      <c r="M1225" s="306" t="s">
        <v>478</v>
      </c>
      <c r="N1225" s="306" t="s">
        <v>2001</v>
      </c>
      <c r="O1225" s="306" t="s">
        <v>452</v>
      </c>
      <c r="P1225" s="306" t="s">
        <v>452</v>
      </c>
      <c r="Q1225" s="306" t="s">
        <v>2002</v>
      </c>
      <c r="R1225" s="306"/>
      <c r="S1225" s="543"/>
      <c r="T1225" s="543"/>
      <c r="U1225" s="224"/>
      <c r="V1225" s="224"/>
      <c r="W1225" s="224"/>
      <c r="X1225" s="224"/>
      <c r="Y1225" s="224"/>
      <c r="Z1225" s="224"/>
      <c r="AA1225" s="224"/>
      <c r="AB1225" s="224"/>
    </row>
    <row r="1226" spans="1:28" ht="15.75" hidden="1" customHeight="1">
      <c r="A1226" s="541">
        <v>44796</v>
      </c>
      <c r="B1226" s="306" t="s">
        <v>13228</v>
      </c>
      <c r="C1226" s="542"/>
      <c r="D1226" s="542"/>
      <c r="E1226" s="306"/>
      <c r="F1226" s="306" t="s">
        <v>3</v>
      </c>
      <c r="G1226" s="306" t="s">
        <v>460</v>
      </c>
      <c r="H1226" s="306"/>
      <c r="I1226" s="306"/>
      <c r="J1226" s="306" t="s">
        <v>488</v>
      </c>
      <c r="K1226" s="306"/>
      <c r="L1226" s="306"/>
      <c r="M1226" s="306"/>
      <c r="N1226" s="306"/>
      <c r="O1226" s="306" t="s">
        <v>454</v>
      </c>
      <c r="P1226" s="306" t="s">
        <v>452</v>
      </c>
      <c r="Q1226" s="306"/>
      <c r="R1226" s="306"/>
      <c r="S1226" s="543"/>
      <c r="T1226" s="543"/>
      <c r="U1226" s="219"/>
      <c r="V1226" s="219"/>
      <c r="W1226" s="219"/>
      <c r="X1226" s="219"/>
      <c r="Y1226" s="219"/>
      <c r="Z1226" s="219"/>
      <c r="AA1226" s="219"/>
      <c r="AB1226" s="219"/>
    </row>
    <row r="1227" spans="1:28" ht="15.75" hidden="1" customHeight="1">
      <c r="A1227" s="541">
        <v>44796</v>
      </c>
      <c r="B1227" s="306" t="s">
        <v>378</v>
      </c>
      <c r="C1227" s="542"/>
      <c r="D1227" s="542"/>
      <c r="E1227" s="306" t="s">
        <v>9864</v>
      </c>
      <c r="F1227" s="306" t="s">
        <v>3</v>
      </c>
      <c r="G1227" s="306" t="s">
        <v>488</v>
      </c>
      <c r="H1227" s="306"/>
      <c r="I1227" s="306"/>
      <c r="J1227" s="306" t="s">
        <v>941</v>
      </c>
      <c r="K1227" s="306"/>
      <c r="L1227" s="306"/>
      <c r="M1227" s="306" t="s">
        <v>451</v>
      </c>
      <c r="N1227" s="544" t="s">
        <v>9867</v>
      </c>
      <c r="O1227" s="306" t="s">
        <v>452</v>
      </c>
      <c r="P1227" s="306" t="s">
        <v>452</v>
      </c>
      <c r="Q1227" s="306" t="s">
        <v>9868</v>
      </c>
      <c r="R1227" s="306"/>
      <c r="S1227" s="543"/>
      <c r="T1227" s="543"/>
      <c r="U1227" s="224"/>
      <c r="V1227" s="224"/>
      <c r="W1227" s="224"/>
      <c r="X1227" s="224"/>
      <c r="Y1227" s="224"/>
      <c r="Z1227" s="224"/>
      <c r="AA1227" s="224"/>
      <c r="AB1227" s="224"/>
    </row>
    <row r="1228" spans="1:28" ht="15.75" hidden="1" customHeight="1">
      <c r="A1228" s="541">
        <v>44796</v>
      </c>
      <c r="B1228" s="306" t="s">
        <v>8662</v>
      </c>
      <c r="C1228" s="542"/>
      <c r="D1228" s="542"/>
      <c r="E1228" s="306" t="s">
        <v>8665</v>
      </c>
      <c r="F1228" s="306" t="s">
        <v>3</v>
      </c>
      <c r="G1228" s="306" t="s">
        <v>488</v>
      </c>
      <c r="H1228" s="306"/>
      <c r="I1228" s="306"/>
      <c r="J1228" s="306" t="s">
        <v>941</v>
      </c>
      <c r="K1228" s="306"/>
      <c r="L1228" s="306"/>
      <c r="M1228" s="306" t="s">
        <v>478</v>
      </c>
      <c r="N1228" s="545">
        <v>3000000</v>
      </c>
      <c r="O1228" s="306" t="s">
        <v>452</v>
      </c>
      <c r="P1228" s="306" t="s">
        <v>8668</v>
      </c>
      <c r="Q1228" s="306"/>
      <c r="R1228" s="306"/>
      <c r="S1228" s="543"/>
      <c r="T1228" s="543"/>
      <c r="U1228" s="219"/>
      <c r="V1228" s="219"/>
      <c r="W1228" s="219"/>
      <c r="X1228" s="219"/>
      <c r="Y1228" s="219"/>
      <c r="Z1228" s="219"/>
      <c r="AA1228" s="219"/>
      <c r="AB1228" s="219"/>
    </row>
    <row r="1229" spans="1:28" ht="15.75" hidden="1" customHeight="1">
      <c r="A1229" s="541">
        <v>44796</v>
      </c>
      <c r="B1229" s="306" t="s">
        <v>8652</v>
      </c>
      <c r="C1229" s="542"/>
      <c r="D1229" s="542"/>
      <c r="E1229" s="306"/>
      <c r="F1229" s="306" t="s">
        <v>3</v>
      </c>
      <c r="G1229" s="306" t="s">
        <v>488</v>
      </c>
      <c r="H1229" s="306"/>
      <c r="I1229" s="306"/>
      <c r="J1229" s="306" t="s">
        <v>462</v>
      </c>
      <c r="K1229" s="306"/>
      <c r="L1229" s="306"/>
      <c r="M1229" s="306" t="s">
        <v>2190</v>
      </c>
      <c r="N1229" s="306" t="s">
        <v>8657</v>
      </c>
      <c r="O1229" s="306" t="s">
        <v>452</v>
      </c>
      <c r="P1229" s="306" t="s">
        <v>8658</v>
      </c>
      <c r="Q1229" s="306" t="s">
        <v>8659</v>
      </c>
      <c r="R1229" s="306"/>
      <c r="S1229" s="543"/>
      <c r="T1229" s="543"/>
      <c r="U1229" s="224"/>
      <c r="V1229" s="224"/>
      <c r="W1229" s="224"/>
      <c r="X1229" s="224"/>
      <c r="Y1229" s="224"/>
      <c r="Z1229" s="224"/>
      <c r="AA1229" s="224"/>
      <c r="AB1229" s="224"/>
    </row>
    <row r="1230" spans="1:28" ht="15.75" hidden="1" customHeight="1">
      <c r="A1230" s="541">
        <v>44796</v>
      </c>
      <c r="B1230" s="306" t="s">
        <v>366</v>
      </c>
      <c r="C1230" s="542"/>
      <c r="D1230" s="542"/>
      <c r="E1230" s="306"/>
      <c r="F1230" s="306" t="s">
        <v>3</v>
      </c>
      <c r="G1230" s="306" t="s">
        <v>488</v>
      </c>
      <c r="H1230" s="306"/>
      <c r="I1230" s="306"/>
      <c r="J1230" s="306" t="s">
        <v>941</v>
      </c>
      <c r="K1230" s="306"/>
      <c r="L1230" s="306"/>
      <c r="M1230" s="306" t="s">
        <v>9811</v>
      </c>
      <c r="N1230" s="306">
        <v>1000000</v>
      </c>
      <c r="O1230" s="306" t="s">
        <v>452</v>
      </c>
      <c r="P1230" s="306" t="s">
        <v>9812</v>
      </c>
      <c r="Q1230" s="306"/>
      <c r="R1230" s="306"/>
      <c r="S1230" s="543"/>
      <c r="T1230" s="543"/>
      <c r="U1230" s="219"/>
      <c r="V1230" s="219"/>
      <c r="W1230" s="219"/>
      <c r="X1230" s="219"/>
      <c r="Y1230" s="219"/>
      <c r="Z1230" s="219"/>
      <c r="AA1230" s="219"/>
      <c r="AB1230" s="219"/>
    </row>
    <row r="1231" spans="1:28" ht="15.75" hidden="1" customHeight="1">
      <c r="A1231" s="541">
        <v>44796</v>
      </c>
      <c r="B1231" s="306" t="s">
        <v>9105</v>
      </c>
      <c r="C1231" s="542"/>
      <c r="D1231" s="542"/>
      <c r="E1231" s="306" t="s">
        <v>11354</v>
      </c>
      <c r="F1231" s="306" t="s">
        <v>3</v>
      </c>
      <c r="G1231" s="306" t="s">
        <v>488</v>
      </c>
      <c r="H1231" s="306"/>
      <c r="I1231" s="306"/>
      <c r="J1231" s="306" t="s">
        <v>941</v>
      </c>
      <c r="K1231" s="306"/>
      <c r="L1231" s="306"/>
      <c r="M1231" s="306" t="s">
        <v>478</v>
      </c>
      <c r="N1231" s="306" t="s">
        <v>3555</v>
      </c>
      <c r="O1231" s="306" t="s">
        <v>452</v>
      </c>
      <c r="P1231" s="306" t="s">
        <v>11355</v>
      </c>
      <c r="Q1231" s="306"/>
      <c r="R1231" s="306"/>
      <c r="S1231" s="543"/>
      <c r="T1231" s="543"/>
      <c r="U1231" s="224"/>
      <c r="V1231" s="224"/>
      <c r="W1231" s="224"/>
      <c r="X1231" s="224"/>
      <c r="Y1231" s="224"/>
      <c r="Z1231" s="224"/>
      <c r="AA1231" s="224"/>
      <c r="AB1231" s="224"/>
    </row>
    <row r="1232" spans="1:28" ht="15.75" hidden="1" customHeight="1">
      <c r="A1232" s="541">
        <v>44796</v>
      </c>
      <c r="B1232" s="306" t="s">
        <v>8334</v>
      </c>
      <c r="C1232" s="542"/>
      <c r="D1232" s="542"/>
      <c r="E1232" s="306"/>
      <c r="F1232" s="306" t="s">
        <v>3</v>
      </c>
      <c r="G1232" s="306" t="s">
        <v>488</v>
      </c>
      <c r="H1232" s="306"/>
      <c r="I1232" s="306"/>
      <c r="J1232" s="306" t="s">
        <v>941</v>
      </c>
      <c r="K1232" s="306"/>
      <c r="L1232" s="306"/>
      <c r="M1232" s="306" t="s">
        <v>451</v>
      </c>
      <c r="N1232" s="306">
        <v>2000000</v>
      </c>
      <c r="O1232" s="306" t="s">
        <v>452</v>
      </c>
      <c r="P1232" s="306" t="s">
        <v>8338</v>
      </c>
      <c r="Q1232" s="306"/>
      <c r="R1232" s="306"/>
      <c r="S1232" s="543"/>
      <c r="T1232" s="543"/>
      <c r="U1232" s="219"/>
      <c r="V1232" s="219"/>
      <c r="W1232" s="219"/>
      <c r="X1232" s="219"/>
      <c r="Y1232" s="219"/>
      <c r="Z1232" s="219"/>
      <c r="AA1232" s="219"/>
      <c r="AB1232" s="219"/>
    </row>
    <row r="1233" spans="1:28" ht="15.75" hidden="1" customHeight="1">
      <c r="A1233" s="541">
        <v>44796</v>
      </c>
      <c r="B1233" s="306" t="s">
        <v>8073</v>
      </c>
      <c r="C1233" s="542"/>
      <c r="D1233" s="542"/>
      <c r="E1233" s="306" t="s">
        <v>8076</v>
      </c>
      <c r="F1233" s="306" t="s">
        <v>4</v>
      </c>
      <c r="G1233" s="306" t="s">
        <v>727</v>
      </c>
      <c r="H1233" s="306"/>
      <c r="I1233" s="306"/>
      <c r="J1233" s="306" t="s">
        <v>1045</v>
      </c>
      <c r="K1233" s="306" t="s">
        <v>8078</v>
      </c>
      <c r="L1233" s="306">
        <v>1.5</v>
      </c>
      <c r="M1233" s="306" t="s">
        <v>451</v>
      </c>
      <c r="N1233" s="306" t="s">
        <v>8079</v>
      </c>
      <c r="O1233" s="306" t="s">
        <v>454</v>
      </c>
      <c r="P1233" s="306" t="s">
        <v>3420</v>
      </c>
      <c r="Q1233" s="306"/>
      <c r="R1233" s="306"/>
      <c r="S1233" s="543"/>
      <c r="T1233" s="543"/>
      <c r="U1233" s="224"/>
      <c r="V1233" s="224"/>
      <c r="W1233" s="224"/>
      <c r="X1233" s="224"/>
      <c r="Y1233" s="224"/>
      <c r="Z1233" s="224"/>
      <c r="AA1233" s="224"/>
      <c r="AB1233" s="224"/>
    </row>
    <row r="1234" spans="1:28" ht="15.75" hidden="1" customHeight="1">
      <c r="A1234" s="541">
        <v>44796</v>
      </c>
      <c r="B1234" s="306" t="s">
        <v>237</v>
      </c>
      <c r="C1234" s="542"/>
      <c r="D1234" s="542"/>
      <c r="E1234" s="306" t="s">
        <v>1390</v>
      </c>
      <c r="F1234" s="306" t="s">
        <v>4</v>
      </c>
      <c r="G1234" s="306" t="s">
        <v>727</v>
      </c>
      <c r="H1234" s="306"/>
      <c r="I1234" s="306"/>
      <c r="J1234" s="306" t="s">
        <v>1371</v>
      </c>
      <c r="K1234" s="306" t="s">
        <v>1392</v>
      </c>
      <c r="L1234" s="306">
        <v>5</v>
      </c>
      <c r="M1234" s="306" t="s">
        <v>478</v>
      </c>
      <c r="N1234" s="306">
        <v>8000000</v>
      </c>
      <c r="O1234" s="306" t="s">
        <v>452</v>
      </c>
      <c r="P1234" s="306" t="s">
        <v>10576</v>
      </c>
      <c r="Q1234" s="306"/>
      <c r="R1234" s="306"/>
      <c r="S1234" s="543"/>
      <c r="T1234" s="543"/>
      <c r="U1234" s="219"/>
      <c r="V1234" s="219"/>
      <c r="W1234" s="219"/>
      <c r="X1234" s="219"/>
      <c r="Y1234" s="219"/>
      <c r="Z1234" s="219"/>
      <c r="AA1234" s="219"/>
      <c r="AB1234" s="219"/>
    </row>
    <row r="1235" spans="1:28" ht="15.75" hidden="1" customHeight="1">
      <c r="A1235" s="541">
        <v>44796</v>
      </c>
      <c r="B1235" s="306" t="s">
        <v>356</v>
      </c>
      <c r="C1235" s="542"/>
      <c r="D1235" s="542"/>
      <c r="E1235" s="306" t="s">
        <v>10667</v>
      </c>
      <c r="F1235" s="306" t="s">
        <v>3</v>
      </c>
      <c r="G1235" s="306" t="s">
        <v>460</v>
      </c>
      <c r="H1235" s="306" t="s">
        <v>2016</v>
      </c>
      <c r="I1235" s="306">
        <v>4.5</v>
      </c>
      <c r="J1235" s="306" t="s">
        <v>462</v>
      </c>
      <c r="K1235" s="306"/>
      <c r="L1235" s="306"/>
      <c r="M1235" s="306" t="s">
        <v>451</v>
      </c>
      <c r="N1235" s="544" t="s">
        <v>2018</v>
      </c>
      <c r="O1235" s="306" t="s">
        <v>452</v>
      </c>
      <c r="P1235" s="306" t="s">
        <v>575</v>
      </c>
      <c r="Q1235" s="306" t="s">
        <v>1187</v>
      </c>
      <c r="R1235" s="306"/>
      <c r="S1235" s="543"/>
      <c r="T1235" s="543"/>
      <c r="U1235" s="224"/>
      <c r="V1235" s="224"/>
      <c r="W1235" s="224"/>
      <c r="X1235" s="224"/>
      <c r="Y1235" s="224"/>
      <c r="Z1235" s="224"/>
      <c r="AA1235" s="224"/>
      <c r="AB1235" s="224"/>
    </row>
    <row r="1236" spans="1:28" ht="15.75" hidden="1" customHeight="1">
      <c r="A1236" s="541">
        <v>44796</v>
      </c>
      <c r="B1236" s="306" t="s">
        <v>9022</v>
      </c>
      <c r="C1236" s="542"/>
      <c r="D1236" s="542"/>
      <c r="E1236" s="306" t="s">
        <v>10670</v>
      </c>
      <c r="F1236" s="306" t="s">
        <v>3</v>
      </c>
      <c r="G1236" s="306" t="s">
        <v>460</v>
      </c>
      <c r="H1236" s="306" t="s">
        <v>9026</v>
      </c>
      <c r="I1236" s="306">
        <v>2</v>
      </c>
      <c r="J1236" s="306" t="s">
        <v>462</v>
      </c>
      <c r="K1236" s="306" t="s">
        <v>13231</v>
      </c>
      <c r="L1236" s="306"/>
      <c r="M1236" s="306" t="s">
        <v>784</v>
      </c>
      <c r="N1236" s="545">
        <v>400000</v>
      </c>
      <c r="O1236" s="306" t="s">
        <v>452</v>
      </c>
      <c r="P1236" s="306" t="s">
        <v>9029</v>
      </c>
      <c r="Q1236" s="306"/>
      <c r="R1236" s="306"/>
      <c r="S1236" s="543"/>
      <c r="T1236" s="543"/>
      <c r="U1236" s="219"/>
      <c r="V1236" s="219"/>
      <c r="W1236" s="219"/>
      <c r="X1236" s="219"/>
      <c r="Y1236" s="219"/>
      <c r="Z1236" s="219"/>
      <c r="AA1236" s="219"/>
      <c r="AB1236" s="219"/>
    </row>
    <row r="1237" spans="1:28" ht="15.75" hidden="1" customHeight="1">
      <c r="A1237" s="541">
        <v>44796</v>
      </c>
      <c r="B1237" s="306" t="s">
        <v>218</v>
      </c>
      <c r="C1237" s="542"/>
      <c r="D1237" s="542"/>
      <c r="E1237" s="306" t="s">
        <v>1303</v>
      </c>
      <c r="F1237" s="306" t="s">
        <v>4</v>
      </c>
      <c r="G1237" s="306" t="s">
        <v>725</v>
      </c>
      <c r="H1237" s="306"/>
      <c r="I1237" s="306"/>
      <c r="J1237" s="306" t="s">
        <v>1045</v>
      </c>
      <c r="K1237" s="306" t="s">
        <v>1305</v>
      </c>
      <c r="L1237" s="306">
        <v>3.5</v>
      </c>
      <c r="M1237" s="306" t="s">
        <v>451</v>
      </c>
      <c r="N1237" s="306" t="s">
        <v>1306</v>
      </c>
      <c r="O1237" s="306" t="s">
        <v>452</v>
      </c>
      <c r="P1237" s="306" t="s">
        <v>1307</v>
      </c>
      <c r="Q1237" s="306" t="s">
        <v>1308</v>
      </c>
      <c r="R1237" s="306"/>
      <c r="S1237" s="543"/>
      <c r="T1237" s="543"/>
      <c r="U1237" s="224"/>
      <c r="V1237" s="224"/>
      <c r="W1237" s="224"/>
      <c r="X1237" s="224"/>
      <c r="Y1237" s="224"/>
      <c r="Z1237" s="224"/>
      <c r="AA1237" s="224"/>
      <c r="AB1237" s="224"/>
    </row>
    <row r="1238" spans="1:28" ht="15.75" hidden="1" customHeight="1">
      <c r="A1238" s="541">
        <v>44796</v>
      </c>
      <c r="B1238" s="306" t="s">
        <v>8580</v>
      </c>
      <c r="C1238" s="542"/>
      <c r="D1238" s="542"/>
      <c r="E1238" s="306" t="s">
        <v>8583</v>
      </c>
      <c r="F1238" s="306" t="s">
        <v>3</v>
      </c>
      <c r="G1238" s="306" t="s">
        <v>488</v>
      </c>
      <c r="H1238" s="306" t="s">
        <v>10824</v>
      </c>
      <c r="I1238" s="306">
        <v>3</v>
      </c>
      <c r="J1238" s="306" t="s">
        <v>462</v>
      </c>
      <c r="K1238" s="306"/>
      <c r="L1238" s="306"/>
      <c r="M1238" s="306" t="s">
        <v>1578</v>
      </c>
      <c r="N1238" s="544" t="s">
        <v>6241</v>
      </c>
      <c r="O1238" s="306" t="s">
        <v>452</v>
      </c>
      <c r="P1238" s="306" t="s">
        <v>10825</v>
      </c>
      <c r="Q1238" s="306"/>
      <c r="R1238" s="306"/>
      <c r="S1238" s="543"/>
      <c r="T1238" s="543"/>
      <c r="U1238" s="219"/>
      <c r="V1238" s="219"/>
      <c r="W1238" s="219"/>
      <c r="X1238" s="219"/>
      <c r="Y1238" s="219"/>
      <c r="Z1238" s="219"/>
      <c r="AA1238" s="219"/>
      <c r="AB1238" s="219"/>
    </row>
    <row r="1239" spans="1:28" ht="15.75" hidden="1" customHeight="1">
      <c r="A1239" s="541">
        <v>44796</v>
      </c>
      <c r="B1239" s="306" t="s">
        <v>246</v>
      </c>
      <c r="C1239" s="542"/>
      <c r="D1239" s="542"/>
      <c r="E1239" s="306" t="s">
        <v>1437</v>
      </c>
      <c r="F1239" s="306" t="s">
        <v>3</v>
      </c>
      <c r="G1239" s="306" t="s">
        <v>460</v>
      </c>
      <c r="H1239" s="306" t="s">
        <v>13232</v>
      </c>
      <c r="I1239" s="306"/>
      <c r="J1239" s="306" t="s">
        <v>462</v>
      </c>
      <c r="K1239" s="306" t="s">
        <v>1439</v>
      </c>
      <c r="L1239" s="306">
        <v>4</v>
      </c>
      <c r="M1239" s="306" t="s">
        <v>451</v>
      </c>
      <c r="N1239" s="545">
        <v>2000000</v>
      </c>
      <c r="O1239" s="306" t="s">
        <v>452</v>
      </c>
      <c r="P1239" s="306" t="s">
        <v>1440</v>
      </c>
      <c r="Q1239" s="306"/>
      <c r="R1239" s="306"/>
      <c r="S1239" s="543"/>
      <c r="T1239" s="543"/>
      <c r="U1239" s="224"/>
      <c r="V1239" s="224"/>
      <c r="W1239" s="224"/>
      <c r="X1239" s="224"/>
      <c r="Y1239" s="224"/>
      <c r="Z1239" s="224"/>
      <c r="AA1239" s="224"/>
      <c r="AB1239" s="224"/>
    </row>
    <row r="1240" spans="1:28" ht="15.75" hidden="1" customHeight="1">
      <c r="A1240" s="541">
        <v>44796</v>
      </c>
      <c r="B1240" s="306" t="s">
        <v>7708</v>
      </c>
      <c r="C1240" s="542"/>
      <c r="D1240" s="542"/>
      <c r="E1240" s="306" t="s">
        <v>7711</v>
      </c>
      <c r="F1240" s="306" t="s">
        <v>4</v>
      </c>
      <c r="G1240" s="306" t="s">
        <v>725</v>
      </c>
      <c r="H1240" s="306"/>
      <c r="I1240" s="306"/>
      <c r="J1240" s="306" t="s">
        <v>476</v>
      </c>
      <c r="K1240" s="306" t="s">
        <v>11097</v>
      </c>
      <c r="L1240" s="306">
        <v>1.5</v>
      </c>
      <c r="M1240" s="306" t="s">
        <v>4416</v>
      </c>
      <c r="N1240" s="544">
        <v>1500000</v>
      </c>
      <c r="O1240" s="306" t="s">
        <v>452</v>
      </c>
      <c r="P1240" s="306" t="s">
        <v>7714</v>
      </c>
      <c r="Q1240" s="306"/>
      <c r="R1240" s="306"/>
      <c r="S1240" s="543"/>
      <c r="T1240" s="543"/>
      <c r="U1240" s="219"/>
      <c r="V1240" s="219"/>
      <c r="W1240" s="219"/>
      <c r="X1240" s="219"/>
      <c r="Y1240" s="219"/>
      <c r="Z1240" s="219"/>
      <c r="AA1240" s="219"/>
      <c r="AB1240" s="219"/>
    </row>
    <row r="1241" spans="1:28" ht="15.75" hidden="1" customHeight="1">
      <c r="A1241" s="541">
        <v>44796</v>
      </c>
      <c r="B1241" s="306" t="s">
        <v>9007</v>
      </c>
      <c r="C1241" s="542"/>
      <c r="D1241" s="542"/>
      <c r="E1241" s="306"/>
      <c r="F1241" s="306" t="s">
        <v>3</v>
      </c>
      <c r="G1241" s="306" t="s">
        <v>488</v>
      </c>
      <c r="H1241" s="306"/>
      <c r="I1241" s="306"/>
      <c r="J1241" s="306" t="s">
        <v>462</v>
      </c>
      <c r="K1241" s="306"/>
      <c r="L1241" s="306"/>
      <c r="M1241" s="306" t="s">
        <v>2152</v>
      </c>
      <c r="N1241" s="306" t="s">
        <v>9011</v>
      </c>
      <c r="O1241" s="306" t="s">
        <v>452</v>
      </c>
      <c r="P1241" s="306" t="s">
        <v>9012</v>
      </c>
      <c r="Q1241" s="306"/>
      <c r="R1241" s="306"/>
      <c r="S1241" s="543"/>
      <c r="T1241" s="543"/>
      <c r="U1241" s="224"/>
      <c r="V1241" s="224"/>
      <c r="W1241" s="224"/>
      <c r="X1241" s="224"/>
      <c r="Y1241" s="224"/>
      <c r="Z1241" s="224"/>
      <c r="AA1241" s="224"/>
      <c r="AB1241" s="224"/>
    </row>
    <row r="1242" spans="1:28" ht="15.75" hidden="1" customHeight="1">
      <c r="A1242" s="541">
        <v>44796</v>
      </c>
      <c r="B1242" s="306" t="s">
        <v>342</v>
      </c>
      <c r="C1242" s="542"/>
      <c r="D1242" s="542"/>
      <c r="E1242" s="306"/>
      <c r="F1242" s="306" t="s">
        <v>3</v>
      </c>
      <c r="G1242" s="306" t="s">
        <v>488</v>
      </c>
      <c r="H1242" s="306" t="s">
        <v>1947</v>
      </c>
      <c r="I1242" s="306"/>
      <c r="J1242" s="306" t="s">
        <v>462</v>
      </c>
      <c r="K1242" s="306"/>
      <c r="L1242" s="306"/>
      <c r="M1242" s="306" t="s">
        <v>1949</v>
      </c>
      <c r="N1242" s="306" t="s">
        <v>1950</v>
      </c>
      <c r="O1242" s="306" t="s">
        <v>452</v>
      </c>
      <c r="P1242" s="306" t="s">
        <v>452</v>
      </c>
      <c r="Q1242" s="306"/>
      <c r="R1242" s="306"/>
      <c r="S1242" s="543"/>
      <c r="T1242" s="543"/>
      <c r="U1242" s="219"/>
      <c r="V1242" s="219"/>
      <c r="W1242" s="219"/>
      <c r="X1242" s="219"/>
      <c r="Y1242" s="219"/>
      <c r="Z1242" s="219"/>
      <c r="AA1242" s="219"/>
      <c r="AB1242" s="219"/>
    </row>
    <row r="1243" spans="1:28" ht="15.75" hidden="1" customHeight="1">
      <c r="A1243" s="541">
        <v>44796</v>
      </c>
      <c r="B1243" s="306" t="s">
        <v>8396</v>
      </c>
      <c r="C1243" s="542"/>
      <c r="D1243" s="542"/>
      <c r="E1243" s="306"/>
      <c r="F1243" s="306" t="s">
        <v>3</v>
      </c>
      <c r="G1243" s="306" t="s">
        <v>488</v>
      </c>
      <c r="H1243" s="306"/>
      <c r="I1243" s="306"/>
      <c r="J1243" s="306" t="s">
        <v>941</v>
      </c>
      <c r="K1243" s="306"/>
      <c r="L1243" s="306"/>
      <c r="M1243" s="306" t="s">
        <v>2152</v>
      </c>
      <c r="N1243" s="306" t="s">
        <v>8401</v>
      </c>
      <c r="O1243" s="306" t="s">
        <v>452</v>
      </c>
      <c r="P1243" s="306" t="s">
        <v>8402</v>
      </c>
      <c r="Q1243" s="306"/>
      <c r="R1243" s="306"/>
      <c r="S1243" s="543"/>
      <c r="T1243" s="543"/>
      <c r="U1243" s="224"/>
      <c r="V1243" s="224"/>
      <c r="W1243" s="224"/>
      <c r="X1243" s="224"/>
      <c r="Y1243" s="224"/>
      <c r="Z1243" s="224"/>
      <c r="AA1243" s="224"/>
      <c r="AB1243" s="224"/>
    </row>
    <row r="1244" spans="1:28" ht="15.75" hidden="1" customHeight="1">
      <c r="A1244" s="541">
        <v>44797</v>
      </c>
      <c r="B1244" s="306" t="s">
        <v>257</v>
      </c>
      <c r="C1244" s="542"/>
      <c r="D1244" s="542"/>
      <c r="E1244" s="306" t="s">
        <v>1482</v>
      </c>
      <c r="F1244" s="306" t="s">
        <v>4</v>
      </c>
      <c r="G1244" s="306" t="s">
        <v>602</v>
      </c>
      <c r="H1244" s="306" t="s">
        <v>1483</v>
      </c>
      <c r="I1244" s="306">
        <v>4</v>
      </c>
      <c r="J1244" s="306" t="s">
        <v>1350</v>
      </c>
      <c r="K1244" s="306"/>
      <c r="L1244" s="306"/>
      <c r="M1244" s="306" t="s">
        <v>784</v>
      </c>
      <c r="N1244" s="306">
        <v>682000</v>
      </c>
      <c r="O1244" s="306" t="s">
        <v>465</v>
      </c>
      <c r="P1244" s="306" t="s">
        <v>1485</v>
      </c>
      <c r="Q1244" s="306" t="s">
        <v>1486</v>
      </c>
      <c r="R1244" s="306"/>
      <c r="S1244" s="543"/>
      <c r="T1244" s="543"/>
      <c r="U1244" s="306"/>
      <c r="V1244" s="306"/>
      <c r="W1244" s="306"/>
      <c r="X1244" s="306"/>
      <c r="Y1244" s="306"/>
      <c r="Z1244" s="306"/>
      <c r="AA1244" s="306"/>
      <c r="AB1244" s="306"/>
    </row>
    <row r="1245" spans="1:28" ht="15.75" hidden="1" customHeight="1">
      <c r="A1245" s="541">
        <v>44797</v>
      </c>
      <c r="B1245" s="306" t="s">
        <v>7347</v>
      </c>
      <c r="C1245" s="542"/>
      <c r="D1245" s="542"/>
      <c r="E1245" s="306" t="s">
        <v>10211</v>
      </c>
      <c r="F1245" s="306" t="s">
        <v>4</v>
      </c>
      <c r="G1245" s="306" t="s">
        <v>488</v>
      </c>
      <c r="H1245" s="306"/>
      <c r="I1245" s="306"/>
      <c r="J1245" s="306" t="s">
        <v>1281</v>
      </c>
      <c r="K1245" s="306" t="s">
        <v>7352</v>
      </c>
      <c r="L1245" s="306">
        <v>3</v>
      </c>
      <c r="M1245" s="306" t="s">
        <v>451</v>
      </c>
      <c r="N1245" s="546">
        <v>3000000</v>
      </c>
      <c r="O1245" s="306" t="s">
        <v>465</v>
      </c>
      <c r="P1245" s="306" t="s">
        <v>7353</v>
      </c>
      <c r="Q1245" s="306"/>
      <c r="R1245" s="306"/>
      <c r="S1245" s="543"/>
      <c r="T1245" s="543"/>
      <c r="U1245" s="306"/>
      <c r="V1245" s="306"/>
      <c r="W1245" s="306"/>
      <c r="X1245" s="306"/>
      <c r="Y1245" s="306"/>
      <c r="Z1245" s="306"/>
      <c r="AA1245" s="306"/>
      <c r="AB1245" s="306"/>
    </row>
    <row r="1246" spans="1:28" ht="15.75" hidden="1" customHeight="1">
      <c r="A1246" s="541">
        <v>44797</v>
      </c>
      <c r="B1246" s="306" t="s">
        <v>247</v>
      </c>
      <c r="C1246" s="542"/>
      <c r="D1246" s="542"/>
      <c r="E1246" s="306" t="s">
        <v>4043</v>
      </c>
      <c r="F1246" s="306" t="s">
        <v>4</v>
      </c>
      <c r="G1246" s="306" t="s">
        <v>488</v>
      </c>
      <c r="H1246" s="306"/>
      <c r="I1246" s="306"/>
      <c r="J1246" s="306" t="s">
        <v>1457</v>
      </c>
      <c r="K1246" s="306" t="s">
        <v>4045</v>
      </c>
      <c r="L1246" s="306">
        <v>4</v>
      </c>
      <c r="M1246" s="306" t="s">
        <v>451</v>
      </c>
      <c r="N1246" s="545">
        <v>1500000</v>
      </c>
      <c r="O1246" s="306" t="s">
        <v>452</v>
      </c>
      <c r="P1246" s="306" t="s">
        <v>4046</v>
      </c>
      <c r="Q1246" s="306" t="s">
        <v>4047</v>
      </c>
      <c r="R1246" s="306"/>
      <c r="S1246" s="543"/>
      <c r="T1246" s="543"/>
      <c r="U1246" s="306"/>
      <c r="V1246" s="306"/>
      <c r="W1246" s="306"/>
      <c r="X1246" s="306"/>
      <c r="Y1246" s="306"/>
      <c r="Z1246" s="306"/>
      <c r="AA1246" s="306"/>
      <c r="AB1246" s="306"/>
    </row>
    <row r="1247" spans="1:28" ht="15.75" hidden="1" customHeight="1">
      <c r="A1247" s="541">
        <v>44797</v>
      </c>
      <c r="B1247" s="306" t="s">
        <v>8245</v>
      </c>
      <c r="C1247" s="542"/>
      <c r="D1247" s="542"/>
      <c r="E1247" s="306" t="s">
        <v>8248</v>
      </c>
      <c r="F1247" s="306" t="s">
        <v>4</v>
      </c>
      <c r="G1247" s="306" t="s">
        <v>488</v>
      </c>
      <c r="H1247" s="306"/>
      <c r="I1247" s="306"/>
      <c r="J1247" s="306" t="s">
        <v>1371</v>
      </c>
      <c r="K1247" s="306" t="s">
        <v>8250</v>
      </c>
      <c r="L1247" s="306">
        <v>1</v>
      </c>
      <c r="M1247" s="306" t="s">
        <v>451</v>
      </c>
      <c r="N1247" s="306" t="s">
        <v>8189</v>
      </c>
      <c r="O1247" s="306" t="s">
        <v>452</v>
      </c>
      <c r="P1247" s="306" t="s">
        <v>10296</v>
      </c>
      <c r="Q1247" s="306"/>
      <c r="R1247" s="306"/>
      <c r="S1247" s="543"/>
      <c r="T1247" s="543"/>
      <c r="U1247" s="306"/>
      <c r="V1247" s="306"/>
      <c r="W1247" s="306"/>
      <c r="X1247" s="306"/>
      <c r="Y1247" s="306"/>
      <c r="Z1247" s="306"/>
      <c r="AA1247" s="306"/>
      <c r="AB1247" s="306"/>
    </row>
    <row r="1248" spans="1:28" ht="15.75" hidden="1" customHeight="1">
      <c r="A1248" s="541">
        <v>44797</v>
      </c>
      <c r="B1248" s="306" t="s">
        <v>5643</v>
      </c>
      <c r="C1248" s="542"/>
      <c r="D1248" s="542"/>
      <c r="E1248" s="306" t="s">
        <v>5646</v>
      </c>
      <c r="F1248" s="306" t="s">
        <v>4</v>
      </c>
      <c r="G1248" s="306" t="s">
        <v>488</v>
      </c>
      <c r="H1248" s="306"/>
      <c r="I1248" s="306"/>
      <c r="J1248" s="306" t="s">
        <v>1281</v>
      </c>
      <c r="K1248" s="306" t="s">
        <v>5648</v>
      </c>
      <c r="L1248" s="306">
        <v>3</v>
      </c>
      <c r="M1248" s="306"/>
      <c r="N1248" s="306"/>
      <c r="O1248" s="306" t="s">
        <v>452</v>
      </c>
      <c r="P1248" s="306" t="s">
        <v>5649</v>
      </c>
      <c r="Q1248" s="306"/>
      <c r="R1248" s="306"/>
      <c r="S1248" s="543"/>
      <c r="T1248" s="543"/>
      <c r="U1248" s="306"/>
      <c r="V1248" s="306"/>
      <c r="W1248" s="306"/>
      <c r="X1248" s="306"/>
      <c r="Y1248" s="306"/>
      <c r="Z1248" s="306"/>
      <c r="AA1248" s="306"/>
      <c r="AB1248" s="306"/>
    </row>
    <row r="1249" spans="1:28" ht="15.75" hidden="1" customHeight="1">
      <c r="A1249" s="541">
        <v>44797</v>
      </c>
      <c r="B1249" s="306" t="s">
        <v>224</v>
      </c>
      <c r="C1249" s="542"/>
      <c r="D1249" s="542"/>
      <c r="E1249" s="306" t="s">
        <v>1348</v>
      </c>
      <c r="F1249" s="306" t="s">
        <v>4</v>
      </c>
      <c r="G1249" s="306" t="s">
        <v>727</v>
      </c>
      <c r="H1249" s="306" t="s">
        <v>10340</v>
      </c>
      <c r="I1249" s="306">
        <v>4.5</v>
      </c>
      <c r="J1249" s="306" t="s">
        <v>1350</v>
      </c>
      <c r="K1249" s="306"/>
      <c r="L1249" s="306"/>
      <c r="M1249" s="306"/>
      <c r="N1249" s="306"/>
      <c r="O1249" s="306" t="s">
        <v>465</v>
      </c>
      <c r="P1249" s="306" t="s">
        <v>1352</v>
      </c>
      <c r="Q1249" s="306"/>
      <c r="R1249" s="306"/>
      <c r="S1249" s="543"/>
      <c r="T1249" s="543"/>
      <c r="U1249" s="306"/>
      <c r="V1249" s="306"/>
      <c r="W1249" s="306"/>
      <c r="X1249" s="306"/>
      <c r="Y1249" s="306"/>
      <c r="Z1249" s="306"/>
      <c r="AA1249" s="306"/>
      <c r="AB1249" s="306"/>
    </row>
    <row r="1250" spans="1:28" ht="15.75" hidden="1" customHeight="1">
      <c r="A1250" s="541">
        <v>44797</v>
      </c>
      <c r="B1250" s="306" t="s">
        <v>7558</v>
      </c>
      <c r="C1250" s="542"/>
      <c r="D1250" s="542"/>
      <c r="E1250" s="306" t="s">
        <v>10377</v>
      </c>
      <c r="F1250" s="306" t="s">
        <v>4</v>
      </c>
      <c r="G1250" s="306" t="s">
        <v>1457</v>
      </c>
      <c r="H1250" s="306"/>
      <c r="I1250" s="306"/>
      <c r="J1250" s="306" t="s">
        <v>1045</v>
      </c>
      <c r="K1250" s="306" t="s">
        <v>7563</v>
      </c>
      <c r="L1250" s="306">
        <v>2</v>
      </c>
      <c r="M1250" s="306" t="s">
        <v>451</v>
      </c>
      <c r="N1250" s="306">
        <v>4000000</v>
      </c>
      <c r="O1250" s="306" t="s">
        <v>465</v>
      </c>
      <c r="P1250" s="306" t="s">
        <v>452</v>
      </c>
      <c r="Q1250" s="306"/>
      <c r="R1250" s="306"/>
      <c r="S1250" s="543"/>
      <c r="T1250" s="543"/>
      <c r="U1250" s="306"/>
      <c r="V1250" s="306"/>
      <c r="W1250" s="306"/>
      <c r="X1250" s="306"/>
      <c r="Y1250" s="306"/>
      <c r="Z1250" s="306"/>
      <c r="AA1250" s="306"/>
      <c r="AB1250" s="306"/>
    </row>
    <row r="1251" spans="1:28" ht="15.75" hidden="1" customHeight="1">
      <c r="A1251" s="541">
        <v>44797</v>
      </c>
      <c r="B1251" s="306" t="s">
        <v>10473</v>
      </c>
      <c r="C1251" s="542"/>
      <c r="D1251" s="542"/>
      <c r="E1251" s="306" t="s">
        <v>9642</v>
      </c>
      <c r="F1251" s="306" t="s">
        <v>4</v>
      </c>
      <c r="G1251" s="306" t="s">
        <v>1457</v>
      </c>
      <c r="H1251" s="306"/>
      <c r="I1251" s="306"/>
      <c r="J1251" s="306" t="s">
        <v>1045</v>
      </c>
      <c r="K1251" s="306" t="s">
        <v>9644</v>
      </c>
      <c r="L1251" s="306">
        <v>3.5</v>
      </c>
      <c r="M1251" s="306"/>
      <c r="N1251" s="306"/>
      <c r="O1251" s="306" t="s">
        <v>465</v>
      </c>
      <c r="P1251" s="306" t="s">
        <v>9645</v>
      </c>
      <c r="Q1251" s="306" t="s">
        <v>9646</v>
      </c>
      <c r="R1251" s="306"/>
      <c r="S1251" s="543"/>
      <c r="T1251" s="543"/>
      <c r="U1251" s="306"/>
      <c r="V1251" s="306"/>
      <c r="W1251" s="306"/>
      <c r="X1251" s="306"/>
      <c r="Y1251" s="306"/>
      <c r="Z1251" s="306"/>
      <c r="AA1251" s="306"/>
      <c r="AB1251" s="306"/>
    </row>
    <row r="1252" spans="1:28" ht="15.75" hidden="1" customHeight="1">
      <c r="A1252" s="541">
        <v>44797</v>
      </c>
      <c r="B1252" s="306" t="s">
        <v>4831</v>
      </c>
      <c r="C1252" s="542"/>
      <c r="D1252" s="542"/>
      <c r="E1252" s="306" t="s">
        <v>4834</v>
      </c>
      <c r="F1252" s="306" t="s">
        <v>4</v>
      </c>
      <c r="G1252" s="306" t="s">
        <v>725</v>
      </c>
      <c r="H1252" s="306" t="s">
        <v>10779</v>
      </c>
      <c r="I1252" s="306">
        <v>3.5</v>
      </c>
      <c r="J1252" s="306" t="s">
        <v>1350</v>
      </c>
      <c r="K1252" s="306"/>
      <c r="L1252" s="306"/>
      <c r="M1252" s="306" t="s">
        <v>451</v>
      </c>
      <c r="N1252" s="546">
        <v>2000000</v>
      </c>
      <c r="O1252" s="306" t="s">
        <v>452</v>
      </c>
      <c r="P1252" s="306" t="s">
        <v>452</v>
      </c>
      <c r="Q1252" s="306"/>
      <c r="R1252" s="306"/>
      <c r="S1252" s="543"/>
      <c r="T1252" s="543"/>
      <c r="U1252" s="306"/>
      <c r="V1252" s="306"/>
      <c r="W1252" s="306"/>
      <c r="X1252" s="306"/>
      <c r="Y1252" s="306"/>
      <c r="Z1252" s="306"/>
      <c r="AA1252" s="306"/>
      <c r="AB1252" s="306"/>
    </row>
    <row r="1253" spans="1:28" ht="15.75" hidden="1" customHeight="1">
      <c r="A1253" s="541">
        <v>44797</v>
      </c>
      <c r="B1253" s="306" t="s">
        <v>4086</v>
      </c>
      <c r="C1253" s="542"/>
      <c r="D1253" s="542"/>
      <c r="E1253" s="306" t="s">
        <v>4089</v>
      </c>
      <c r="F1253" s="306" t="s">
        <v>4</v>
      </c>
      <c r="G1253" s="306" t="s">
        <v>1045</v>
      </c>
      <c r="H1253" s="306"/>
      <c r="I1253" s="306"/>
      <c r="J1253" s="306" t="s">
        <v>1350</v>
      </c>
      <c r="K1253" s="306"/>
      <c r="L1253" s="306"/>
      <c r="M1253" s="306" t="s">
        <v>784</v>
      </c>
      <c r="N1253" s="306" t="s">
        <v>4092</v>
      </c>
      <c r="O1253" s="306" t="s">
        <v>452</v>
      </c>
      <c r="P1253" s="306" t="s">
        <v>4093</v>
      </c>
      <c r="Q1253" s="306"/>
      <c r="R1253" s="306"/>
      <c r="S1253" s="543"/>
      <c r="T1253" s="543"/>
      <c r="U1253" s="306"/>
      <c r="V1253" s="306"/>
      <c r="W1253" s="306"/>
      <c r="X1253" s="306"/>
      <c r="Y1253" s="306"/>
      <c r="Z1253" s="306"/>
      <c r="AA1253" s="306"/>
      <c r="AB1253" s="306"/>
    </row>
    <row r="1254" spans="1:28" ht="15.75" hidden="1" customHeight="1">
      <c r="A1254" s="541">
        <v>44797</v>
      </c>
      <c r="B1254" s="306" t="s">
        <v>7146</v>
      </c>
      <c r="C1254" s="542"/>
      <c r="D1254" s="542"/>
      <c r="E1254" s="306" t="s">
        <v>7149</v>
      </c>
      <c r="F1254" s="306" t="s">
        <v>4</v>
      </c>
      <c r="G1254" s="306" t="s">
        <v>488</v>
      </c>
      <c r="H1254" s="306"/>
      <c r="I1254" s="306"/>
      <c r="J1254" s="306" t="s">
        <v>462</v>
      </c>
      <c r="K1254" s="306"/>
      <c r="L1254" s="306"/>
      <c r="M1254" s="306" t="s">
        <v>2152</v>
      </c>
      <c r="N1254" s="306">
        <v>15000</v>
      </c>
      <c r="O1254" s="306" t="s">
        <v>452</v>
      </c>
      <c r="P1254" s="306" t="s">
        <v>11487</v>
      </c>
      <c r="Q1254" s="306"/>
      <c r="R1254" s="306"/>
      <c r="S1254" s="543"/>
      <c r="T1254" s="543"/>
      <c r="U1254" s="306"/>
      <c r="V1254" s="306"/>
      <c r="W1254" s="306"/>
      <c r="X1254" s="306"/>
      <c r="Y1254" s="306"/>
      <c r="Z1254" s="306"/>
      <c r="AA1254" s="306"/>
      <c r="AB1254" s="306"/>
    </row>
    <row r="1255" spans="1:28" ht="15.75" hidden="1" customHeight="1">
      <c r="A1255" s="541">
        <v>44797</v>
      </c>
      <c r="B1255" s="306" t="s">
        <v>6865</v>
      </c>
      <c r="C1255" s="542"/>
      <c r="D1255" s="542"/>
      <c r="E1255" s="306" t="s">
        <v>6868</v>
      </c>
      <c r="F1255" s="306" t="s">
        <v>4</v>
      </c>
      <c r="G1255" s="306" t="s">
        <v>1045</v>
      </c>
      <c r="H1255" s="306" t="s">
        <v>6869</v>
      </c>
      <c r="I1255" s="306">
        <v>2</v>
      </c>
      <c r="J1255" s="306" t="s">
        <v>1350</v>
      </c>
      <c r="K1255" s="306"/>
      <c r="L1255" s="306"/>
      <c r="M1255" s="306" t="s">
        <v>784</v>
      </c>
      <c r="N1255" s="306">
        <v>180000</v>
      </c>
      <c r="O1255" s="306" t="s">
        <v>452</v>
      </c>
      <c r="P1255" s="306" t="s">
        <v>6871</v>
      </c>
      <c r="Q1255" s="306"/>
      <c r="R1255" s="306"/>
      <c r="S1255" s="543"/>
      <c r="T1255" s="543"/>
      <c r="U1255" s="306"/>
      <c r="V1255" s="306"/>
      <c r="W1255" s="306"/>
      <c r="X1255" s="306"/>
      <c r="Y1255" s="306"/>
      <c r="Z1255" s="306"/>
      <c r="AA1255" s="306"/>
      <c r="AB1255" s="306"/>
    </row>
    <row r="1256" spans="1:28" ht="15.75" hidden="1" customHeight="1">
      <c r="A1256" s="541">
        <v>44797</v>
      </c>
      <c r="B1256" s="306" t="s">
        <v>330</v>
      </c>
      <c r="C1256" s="542"/>
      <c r="D1256" s="542"/>
      <c r="E1256" s="306" t="s">
        <v>9687</v>
      </c>
      <c r="F1256" s="306" t="s">
        <v>3</v>
      </c>
      <c r="G1256" s="306" t="s">
        <v>488</v>
      </c>
      <c r="H1256" s="306"/>
      <c r="I1256" s="306"/>
      <c r="J1256" s="306" t="s">
        <v>941</v>
      </c>
      <c r="K1256" s="306"/>
      <c r="L1256" s="306"/>
      <c r="M1256" s="306" t="s">
        <v>451</v>
      </c>
      <c r="N1256" s="546">
        <v>2000000</v>
      </c>
      <c r="O1256" s="306" t="s">
        <v>452</v>
      </c>
      <c r="P1256" s="306" t="s">
        <v>9690</v>
      </c>
      <c r="Q1256" s="306"/>
      <c r="R1256" s="306"/>
      <c r="S1256" s="543"/>
      <c r="T1256" s="543"/>
      <c r="U1256" s="306"/>
      <c r="V1256" s="306"/>
      <c r="W1256" s="306"/>
      <c r="X1256" s="306"/>
      <c r="Y1256" s="306"/>
      <c r="Z1256" s="306"/>
      <c r="AA1256" s="306"/>
      <c r="AB1256" s="306"/>
    </row>
    <row r="1257" spans="1:28" ht="15.75" hidden="1" customHeight="1">
      <c r="A1257" s="541">
        <v>44797</v>
      </c>
      <c r="B1257" s="306" t="s">
        <v>4804</v>
      </c>
      <c r="C1257" s="542"/>
      <c r="D1257" s="542"/>
      <c r="E1257" s="306" t="s">
        <v>4807</v>
      </c>
      <c r="F1257" s="306" t="s">
        <v>4</v>
      </c>
      <c r="G1257" s="306" t="s">
        <v>1457</v>
      </c>
      <c r="H1257" s="306" t="s">
        <v>4808</v>
      </c>
      <c r="I1257" s="306">
        <v>3</v>
      </c>
      <c r="J1257" s="306" t="s">
        <v>1350</v>
      </c>
      <c r="K1257" s="306"/>
      <c r="L1257" s="306"/>
      <c r="M1257" s="306" t="s">
        <v>784</v>
      </c>
      <c r="N1257" s="306" t="s">
        <v>4810</v>
      </c>
      <c r="O1257" s="306" t="s">
        <v>452</v>
      </c>
      <c r="P1257" s="306" t="s">
        <v>4811</v>
      </c>
      <c r="Q1257" s="306"/>
      <c r="R1257" s="306"/>
      <c r="S1257" s="543"/>
      <c r="T1257" s="543"/>
      <c r="U1257" s="306"/>
      <c r="V1257" s="306"/>
      <c r="W1257" s="306"/>
      <c r="X1257" s="306"/>
      <c r="Y1257" s="306"/>
      <c r="Z1257" s="306"/>
      <c r="AA1257" s="306"/>
      <c r="AB1257" s="306"/>
    </row>
    <row r="1258" spans="1:28" ht="15.75" hidden="1" customHeight="1">
      <c r="A1258" s="541">
        <v>44797</v>
      </c>
      <c r="B1258" s="306" t="s">
        <v>5113</v>
      </c>
      <c r="C1258" s="542"/>
      <c r="D1258" s="542"/>
      <c r="E1258" s="306" t="s">
        <v>5116</v>
      </c>
      <c r="F1258" s="306" t="s">
        <v>4</v>
      </c>
      <c r="G1258" s="306" t="s">
        <v>602</v>
      </c>
      <c r="H1258" s="306" t="s">
        <v>5117</v>
      </c>
      <c r="I1258" s="306">
        <v>3</v>
      </c>
      <c r="J1258" s="306" t="s">
        <v>1350</v>
      </c>
      <c r="K1258" s="306"/>
      <c r="L1258" s="306"/>
      <c r="M1258" s="306"/>
      <c r="N1258" s="306"/>
      <c r="O1258" s="306" t="s">
        <v>452</v>
      </c>
      <c r="P1258" s="306" t="s">
        <v>10833</v>
      </c>
      <c r="Q1258" s="306"/>
      <c r="R1258" s="306"/>
      <c r="S1258" s="543"/>
      <c r="T1258" s="543"/>
      <c r="U1258" s="306"/>
      <c r="V1258" s="306"/>
      <c r="W1258" s="306"/>
      <c r="X1258" s="306"/>
      <c r="Y1258" s="306"/>
      <c r="Z1258" s="306"/>
      <c r="AA1258" s="306"/>
      <c r="AB1258" s="306"/>
    </row>
    <row r="1259" spans="1:28" ht="15.75" hidden="1" customHeight="1">
      <c r="A1259" s="541">
        <v>44797</v>
      </c>
      <c r="B1259" s="306" t="s">
        <v>4593</v>
      </c>
      <c r="C1259" s="542"/>
      <c r="D1259" s="542"/>
      <c r="E1259" s="306" t="s">
        <v>4596</v>
      </c>
      <c r="F1259" s="306" t="s">
        <v>4</v>
      </c>
      <c r="G1259" s="306" t="s">
        <v>488</v>
      </c>
      <c r="H1259" s="306"/>
      <c r="I1259" s="306"/>
      <c r="J1259" s="306" t="s">
        <v>1073</v>
      </c>
      <c r="K1259" s="306" t="s">
        <v>4598</v>
      </c>
      <c r="L1259" s="306">
        <v>4</v>
      </c>
      <c r="M1259" s="306"/>
      <c r="N1259" s="306"/>
      <c r="O1259" s="306" t="s">
        <v>452</v>
      </c>
      <c r="P1259" s="306" t="s">
        <v>1119</v>
      </c>
      <c r="Q1259" s="306"/>
      <c r="R1259" s="306"/>
      <c r="S1259" s="543"/>
      <c r="T1259" s="543"/>
      <c r="U1259" s="306"/>
      <c r="V1259" s="306"/>
      <c r="W1259" s="306"/>
      <c r="X1259" s="306"/>
      <c r="Y1259" s="306"/>
      <c r="Z1259" s="306"/>
      <c r="AA1259" s="306"/>
      <c r="AB1259" s="306"/>
    </row>
    <row r="1260" spans="1:28" ht="15.75" hidden="1" customHeight="1">
      <c r="A1260" s="541">
        <v>44797</v>
      </c>
      <c r="B1260" s="306" t="s">
        <v>6564</v>
      </c>
      <c r="C1260" s="542"/>
      <c r="D1260" s="542"/>
      <c r="E1260" s="306" t="s">
        <v>6567</v>
      </c>
      <c r="F1260" s="306" t="s">
        <v>4</v>
      </c>
      <c r="G1260" s="306" t="s">
        <v>488</v>
      </c>
      <c r="H1260" s="306"/>
      <c r="I1260" s="306"/>
      <c r="J1260" s="306" t="s">
        <v>4054</v>
      </c>
      <c r="K1260" s="306"/>
      <c r="L1260" s="306">
        <v>2</v>
      </c>
      <c r="M1260" s="306" t="s">
        <v>451</v>
      </c>
      <c r="N1260" s="546">
        <v>5000000</v>
      </c>
      <c r="O1260" s="306" t="s">
        <v>452</v>
      </c>
      <c r="P1260" s="306" t="s">
        <v>6569</v>
      </c>
      <c r="Q1260" s="306"/>
      <c r="R1260" s="306"/>
      <c r="S1260" s="543"/>
      <c r="T1260" s="543"/>
      <c r="U1260" s="306"/>
      <c r="V1260" s="306"/>
      <c r="W1260" s="306"/>
      <c r="X1260" s="306"/>
      <c r="Y1260" s="306"/>
      <c r="Z1260" s="306"/>
      <c r="AA1260" s="306"/>
      <c r="AB1260" s="306"/>
    </row>
    <row r="1261" spans="1:28" ht="15.75" hidden="1" customHeight="1">
      <c r="A1261" s="541">
        <v>44797</v>
      </c>
      <c r="B1261" s="306" t="s">
        <v>7236</v>
      </c>
      <c r="C1261" s="542"/>
      <c r="D1261" s="542"/>
      <c r="E1261" s="306" t="s">
        <v>7239</v>
      </c>
      <c r="F1261" s="306" t="s">
        <v>4</v>
      </c>
      <c r="G1261" s="306" t="s">
        <v>488</v>
      </c>
      <c r="H1261" s="306"/>
      <c r="I1261" s="306"/>
      <c r="J1261" s="306" t="s">
        <v>1187</v>
      </c>
      <c r="K1261" s="306" t="s">
        <v>7241</v>
      </c>
      <c r="L1261" s="306">
        <v>3</v>
      </c>
      <c r="M1261" s="306" t="s">
        <v>451</v>
      </c>
      <c r="N1261" s="545">
        <v>2000000</v>
      </c>
      <c r="O1261" s="306" t="s">
        <v>465</v>
      </c>
      <c r="P1261" s="306" t="s">
        <v>452</v>
      </c>
      <c r="Q1261" s="306"/>
      <c r="R1261" s="306"/>
      <c r="S1261" s="543"/>
      <c r="T1261" s="543"/>
      <c r="U1261" s="306"/>
      <c r="V1261" s="306"/>
      <c r="W1261" s="306"/>
      <c r="X1261" s="306"/>
      <c r="Y1261" s="306"/>
      <c r="Z1261" s="306"/>
      <c r="AA1261" s="306"/>
      <c r="AB1261" s="306"/>
    </row>
    <row r="1262" spans="1:28" ht="15.75" hidden="1" customHeight="1">
      <c r="A1262" s="541">
        <v>44797</v>
      </c>
      <c r="B1262" s="306" t="s">
        <v>4245</v>
      </c>
      <c r="C1262" s="542"/>
      <c r="D1262" s="542"/>
      <c r="E1262" s="306" t="s">
        <v>4248</v>
      </c>
      <c r="F1262" s="306" t="s">
        <v>4</v>
      </c>
      <c r="G1262" s="306" t="s">
        <v>1045</v>
      </c>
      <c r="H1262" s="306"/>
      <c r="I1262" s="306"/>
      <c r="J1262" s="306" t="s">
        <v>1187</v>
      </c>
      <c r="K1262" s="306" t="s">
        <v>4250</v>
      </c>
      <c r="L1262" s="306">
        <v>4</v>
      </c>
      <c r="M1262" s="306" t="s">
        <v>784</v>
      </c>
      <c r="N1262" s="546">
        <v>500000</v>
      </c>
      <c r="O1262" s="306" t="s">
        <v>454</v>
      </c>
      <c r="P1262" s="306" t="s">
        <v>10911</v>
      </c>
      <c r="Q1262" s="306" t="s">
        <v>4252</v>
      </c>
      <c r="R1262" s="306"/>
      <c r="S1262" s="543"/>
      <c r="T1262" s="543"/>
      <c r="U1262" s="306"/>
      <c r="V1262" s="306"/>
      <c r="W1262" s="306"/>
      <c r="X1262" s="306"/>
      <c r="Y1262" s="306"/>
      <c r="Z1262" s="306"/>
      <c r="AA1262" s="306"/>
      <c r="AB1262" s="306"/>
    </row>
    <row r="1263" spans="1:28" ht="15.75" hidden="1" customHeight="1">
      <c r="A1263" s="541">
        <v>44797</v>
      </c>
      <c r="B1263" s="306" t="s">
        <v>7962</v>
      </c>
      <c r="C1263" s="542"/>
      <c r="D1263" s="542"/>
      <c r="E1263" s="306" t="s">
        <v>7965</v>
      </c>
      <c r="F1263" s="306" t="s">
        <v>4</v>
      </c>
      <c r="G1263" s="306" t="s">
        <v>1045</v>
      </c>
      <c r="H1263" s="306"/>
      <c r="I1263" s="306"/>
      <c r="J1263" s="306" t="s">
        <v>1371</v>
      </c>
      <c r="K1263" s="306" t="s">
        <v>7967</v>
      </c>
      <c r="L1263" s="306">
        <v>1</v>
      </c>
      <c r="M1263" s="306" t="s">
        <v>451</v>
      </c>
      <c r="N1263" s="546">
        <v>1000000</v>
      </c>
      <c r="O1263" s="306" t="s">
        <v>454</v>
      </c>
      <c r="P1263" s="306" t="s">
        <v>452</v>
      </c>
      <c r="Q1263" s="306"/>
      <c r="R1263" s="306"/>
      <c r="S1263" s="543"/>
      <c r="T1263" s="543"/>
      <c r="U1263" s="306"/>
      <c r="V1263" s="306"/>
      <c r="W1263" s="306"/>
      <c r="X1263" s="306"/>
      <c r="Y1263" s="306"/>
      <c r="Z1263" s="306"/>
      <c r="AA1263" s="306"/>
      <c r="AB1263" s="306"/>
    </row>
    <row r="1264" spans="1:28" ht="15.75" hidden="1" customHeight="1">
      <c r="A1264" s="541">
        <v>44797</v>
      </c>
      <c r="B1264" s="306" t="s">
        <v>191</v>
      </c>
      <c r="C1264" s="542"/>
      <c r="D1264" s="542"/>
      <c r="E1264" s="306" t="s">
        <v>1194</v>
      </c>
      <c r="F1264" s="306" t="s">
        <v>4</v>
      </c>
      <c r="G1264" s="306" t="s">
        <v>1045</v>
      </c>
      <c r="H1264" s="306"/>
      <c r="I1264" s="306"/>
      <c r="J1264" s="306" t="s">
        <v>1187</v>
      </c>
      <c r="K1264" s="306" t="s">
        <v>1196</v>
      </c>
      <c r="L1264" s="306">
        <v>4</v>
      </c>
      <c r="M1264" s="306" t="s">
        <v>451</v>
      </c>
      <c r="N1264" s="306">
        <v>3000000</v>
      </c>
      <c r="O1264" s="306" t="s">
        <v>465</v>
      </c>
      <c r="P1264" s="306" t="s">
        <v>1197</v>
      </c>
      <c r="Q1264" s="306"/>
      <c r="R1264" s="306"/>
      <c r="S1264" s="543"/>
      <c r="T1264" s="543"/>
      <c r="U1264" s="306"/>
      <c r="V1264" s="306"/>
      <c r="W1264" s="306"/>
      <c r="X1264" s="306"/>
      <c r="Y1264" s="306"/>
      <c r="Z1264" s="306"/>
      <c r="AA1264" s="306"/>
      <c r="AB1264" s="306"/>
    </row>
    <row r="1265" spans="1:28" ht="15.75" hidden="1" customHeight="1">
      <c r="A1265" s="541">
        <v>44797</v>
      </c>
      <c r="B1265" s="306" t="s">
        <v>5700</v>
      </c>
      <c r="C1265" s="542"/>
      <c r="D1265" s="542"/>
      <c r="E1265" s="306" t="s">
        <v>5703</v>
      </c>
      <c r="F1265" s="306" t="s">
        <v>4</v>
      </c>
      <c r="G1265" s="306" t="s">
        <v>447</v>
      </c>
      <c r="H1265" s="306" t="s">
        <v>10936</v>
      </c>
      <c r="I1265" s="306">
        <v>2.5</v>
      </c>
      <c r="J1265" s="306" t="s">
        <v>1350</v>
      </c>
      <c r="K1265" s="306"/>
      <c r="L1265" s="306"/>
      <c r="M1265" s="306"/>
      <c r="N1265" s="306"/>
      <c r="O1265" s="306" t="s">
        <v>452</v>
      </c>
      <c r="P1265" s="306" t="s">
        <v>10937</v>
      </c>
      <c r="Q1265" s="306"/>
      <c r="R1265" s="306"/>
      <c r="S1265" s="543"/>
      <c r="T1265" s="543"/>
      <c r="U1265" s="306"/>
      <c r="V1265" s="306"/>
      <c r="W1265" s="306"/>
      <c r="X1265" s="306"/>
      <c r="Y1265" s="306"/>
      <c r="Z1265" s="306"/>
      <c r="AA1265" s="306"/>
      <c r="AB1265" s="306"/>
    </row>
    <row r="1266" spans="1:28" ht="15.75" hidden="1" customHeight="1">
      <c r="A1266" s="541">
        <v>44797</v>
      </c>
      <c r="B1266" s="306" t="s">
        <v>11023</v>
      </c>
      <c r="C1266" s="542"/>
      <c r="D1266" s="542"/>
      <c r="E1266" s="306" t="s">
        <v>7428</v>
      </c>
      <c r="F1266" s="306" t="s">
        <v>4</v>
      </c>
      <c r="G1266" s="306" t="s">
        <v>725</v>
      </c>
      <c r="H1266" s="306" t="s">
        <v>7429</v>
      </c>
      <c r="I1266" s="306">
        <v>2</v>
      </c>
      <c r="J1266" s="306" t="s">
        <v>1350</v>
      </c>
      <c r="K1266" s="306"/>
      <c r="L1266" s="306"/>
      <c r="M1266" s="306"/>
      <c r="N1266" s="306"/>
      <c r="O1266" s="306" t="s">
        <v>452</v>
      </c>
      <c r="P1266" s="306" t="s">
        <v>11024</v>
      </c>
      <c r="Q1266" s="306" t="s">
        <v>447</v>
      </c>
      <c r="R1266" s="306"/>
      <c r="S1266" s="543"/>
      <c r="T1266" s="543"/>
      <c r="U1266" s="306"/>
      <c r="V1266" s="306"/>
      <c r="W1266" s="306"/>
      <c r="X1266" s="306"/>
      <c r="Y1266" s="306"/>
      <c r="Z1266" s="306"/>
      <c r="AA1266" s="306"/>
      <c r="AB1266" s="306"/>
    </row>
    <row r="1267" spans="1:28" ht="15.75" hidden="1" customHeight="1">
      <c r="A1267" s="541">
        <v>44797</v>
      </c>
      <c r="B1267" s="306" t="s">
        <v>7276</v>
      </c>
      <c r="C1267" s="542"/>
      <c r="D1267" s="542"/>
      <c r="E1267" s="306" t="s">
        <v>7279</v>
      </c>
      <c r="F1267" s="306" t="s">
        <v>4</v>
      </c>
      <c r="G1267" s="306" t="s">
        <v>1045</v>
      </c>
      <c r="H1267" s="306"/>
      <c r="I1267" s="306"/>
      <c r="J1267" s="306" t="s">
        <v>1237</v>
      </c>
      <c r="K1267" s="306"/>
      <c r="L1267" s="306">
        <v>2</v>
      </c>
      <c r="M1267" s="306"/>
      <c r="N1267" s="306"/>
      <c r="O1267" s="306" t="s">
        <v>452</v>
      </c>
      <c r="P1267" s="306" t="s">
        <v>7281</v>
      </c>
      <c r="Q1267" s="306"/>
      <c r="R1267" s="306"/>
      <c r="S1267" s="543"/>
      <c r="T1267" s="543"/>
      <c r="U1267" s="306"/>
      <c r="V1267" s="306"/>
      <c r="W1267" s="306"/>
      <c r="X1267" s="306"/>
      <c r="Y1267" s="306"/>
      <c r="Z1267" s="306"/>
      <c r="AA1267" s="306"/>
      <c r="AB1267" s="306"/>
    </row>
    <row r="1268" spans="1:28" ht="15.75" hidden="1" customHeight="1">
      <c r="A1268" s="541">
        <v>44797</v>
      </c>
      <c r="B1268" s="306" t="s">
        <v>6002</v>
      </c>
      <c r="C1268" s="542"/>
      <c r="D1268" s="542"/>
      <c r="E1268" s="306" t="s">
        <v>6005</v>
      </c>
      <c r="F1268" s="306" t="s">
        <v>4</v>
      </c>
      <c r="G1268" s="306" t="s">
        <v>447</v>
      </c>
      <c r="H1268" s="306" t="s">
        <v>11085</v>
      </c>
      <c r="I1268" s="306">
        <v>2.5</v>
      </c>
      <c r="J1268" s="306" t="s">
        <v>1350</v>
      </c>
      <c r="K1268" s="306"/>
      <c r="L1268" s="306"/>
      <c r="M1268" s="306" t="s">
        <v>451</v>
      </c>
      <c r="N1268" s="306">
        <v>5000000</v>
      </c>
      <c r="O1268" s="306" t="s">
        <v>465</v>
      </c>
      <c r="P1268" s="306" t="s">
        <v>6008</v>
      </c>
      <c r="Q1268" s="306"/>
      <c r="R1268" s="306"/>
      <c r="S1268" s="543"/>
      <c r="T1268" s="543"/>
      <c r="U1268" s="306"/>
      <c r="V1268" s="306"/>
      <c r="W1268" s="306"/>
      <c r="X1268" s="306"/>
      <c r="Y1268" s="306"/>
      <c r="Z1268" s="306"/>
      <c r="AA1268" s="306"/>
      <c r="AB1268" s="306"/>
    </row>
    <row r="1269" spans="1:28" ht="15.75" hidden="1" customHeight="1">
      <c r="A1269" s="541">
        <v>44797</v>
      </c>
      <c r="B1269" s="306" t="s">
        <v>5692</v>
      </c>
      <c r="C1269" s="542"/>
      <c r="D1269" s="542"/>
      <c r="E1269" s="306" t="s">
        <v>5695</v>
      </c>
      <c r="F1269" s="306" t="s">
        <v>4</v>
      </c>
      <c r="G1269" s="306" t="s">
        <v>447</v>
      </c>
      <c r="H1269" s="306" t="s">
        <v>11113</v>
      </c>
      <c r="I1269" s="306">
        <v>3.5</v>
      </c>
      <c r="J1269" s="306" t="s">
        <v>1350</v>
      </c>
      <c r="K1269" s="306"/>
      <c r="L1269" s="306"/>
      <c r="M1269" s="306"/>
      <c r="N1269" s="306"/>
      <c r="O1269" s="306" t="s">
        <v>452</v>
      </c>
      <c r="P1269" s="306" t="s">
        <v>11115</v>
      </c>
      <c r="Q1269" s="306"/>
      <c r="R1269" s="306"/>
      <c r="S1269" s="543"/>
      <c r="T1269" s="543"/>
      <c r="U1269" s="306"/>
      <c r="V1269" s="306"/>
      <c r="W1269" s="306"/>
      <c r="X1269" s="306"/>
      <c r="Y1269" s="306"/>
      <c r="Z1269" s="306"/>
      <c r="AA1269" s="306"/>
      <c r="AB1269" s="306"/>
    </row>
    <row r="1270" spans="1:28" ht="15.75" hidden="1" customHeight="1">
      <c r="A1270" s="541">
        <v>44797</v>
      </c>
      <c r="B1270" s="306" t="s">
        <v>4856</v>
      </c>
      <c r="C1270" s="542"/>
      <c r="D1270" s="542"/>
      <c r="E1270" s="306" t="s">
        <v>4859</v>
      </c>
      <c r="F1270" s="306" t="s">
        <v>4</v>
      </c>
      <c r="G1270" s="306" t="s">
        <v>1045</v>
      </c>
      <c r="H1270" s="306"/>
      <c r="I1270" s="306"/>
      <c r="J1270" s="306" t="s">
        <v>1457</v>
      </c>
      <c r="K1270" s="306" t="s">
        <v>4861</v>
      </c>
      <c r="L1270" s="306">
        <v>4</v>
      </c>
      <c r="M1270" s="306"/>
      <c r="N1270" s="306"/>
      <c r="O1270" s="306" t="s">
        <v>465</v>
      </c>
      <c r="P1270" s="306" t="s">
        <v>4862</v>
      </c>
      <c r="Q1270" s="306"/>
      <c r="R1270" s="306"/>
      <c r="S1270" s="543"/>
      <c r="T1270" s="543"/>
      <c r="U1270" s="306"/>
      <c r="V1270" s="306"/>
      <c r="W1270" s="306"/>
      <c r="X1270" s="306"/>
      <c r="Y1270" s="306"/>
      <c r="Z1270" s="306"/>
      <c r="AA1270" s="306"/>
      <c r="AB1270" s="306"/>
    </row>
    <row r="1271" spans="1:28" ht="15.75" hidden="1" customHeight="1">
      <c r="A1271" s="541">
        <v>44797</v>
      </c>
      <c r="B1271" s="306" t="s">
        <v>270</v>
      </c>
      <c r="C1271" s="542"/>
      <c r="D1271" s="542"/>
      <c r="E1271" s="306" t="s">
        <v>11150</v>
      </c>
      <c r="F1271" s="306" t="s">
        <v>4</v>
      </c>
      <c r="G1271" s="306" t="s">
        <v>1045</v>
      </c>
      <c r="H1271" s="306" t="s">
        <v>1568</v>
      </c>
      <c r="I1271" s="306">
        <v>4</v>
      </c>
      <c r="J1271" s="306" t="s">
        <v>543</v>
      </c>
      <c r="K1271" s="306"/>
      <c r="L1271" s="306"/>
      <c r="M1271" s="306" t="s">
        <v>923</v>
      </c>
      <c r="N1271" s="306">
        <v>5000000</v>
      </c>
      <c r="O1271" s="306" t="s">
        <v>452</v>
      </c>
      <c r="P1271" s="306" t="s">
        <v>1570</v>
      </c>
      <c r="Q1271" s="306"/>
      <c r="R1271" s="306"/>
      <c r="S1271" s="543"/>
      <c r="T1271" s="543"/>
      <c r="U1271" s="306"/>
      <c r="V1271" s="306"/>
      <c r="W1271" s="306"/>
      <c r="X1271" s="306"/>
      <c r="Y1271" s="306"/>
      <c r="Z1271" s="306"/>
      <c r="AA1271" s="306"/>
      <c r="AB1271" s="306"/>
    </row>
    <row r="1272" spans="1:28" ht="15.75" hidden="1" customHeight="1">
      <c r="A1272" s="541">
        <v>44797</v>
      </c>
      <c r="B1272" s="306" t="s">
        <v>6806</v>
      </c>
      <c r="C1272" s="542"/>
      <c r="D1272" s="542"/>
      <c r="E1272" s="306" t="s">
        <v>11156</v>
      </c>
      <c r="F1272" s="306" t="s">
        <v>4</v>
      </c>
      <c r="G1272" s="306" t="s">
        <v>1045</v>
      </c>
      <c r="H1272" s="306" t="s">
        <v>6810</v>
      </c>
      <c r="I1272" s="306">
        <v>2</v>
      </c>
      <c r="J1272" s="306" t="s">
        <v>1350</v>
      </c>
      <c r="K1272" s="306"/>
      <c r="L1272" s="306"/>
      <c r="M1272" s="306"/>
      <c r="N1272" s="306"/>
      <c r="O1272" s="306" t="s">
        <v>452</v>
      </c>
      <c r="P1272" s="306" t="s">
        <v>6812</v>
      </c>
      <c r="Q1272" s="306" t="s">
        <v>6813</v>
      </c>
      <c r="R1272" s="306"/>
      <c r="S1272" s="543"/>
      <c r="T1272" s="543"/>
      <c r="U1272" s="306"/>
      <c r="V1272" s="306"/>
      <c r="W1272" s="306"/>
      <c r="X1272" s="306"/>
      <c r="Y1272" s="306"/>
      <c r="Z1272" s="306"/>
      <c r="AA1272" s="306"/>
      <c r="AB1272" s="306"/>
    </row>
    <row r="1273" spans="1:28" ht="15.75" hidden="1" customHeight="1">
      <c r="A1273" s="541">
        <v>44797</v>
      </c>
      <c r="B1273" s="306" t="s">
        <v>5175</v>
      </c>
      <c r="C1273" s="542"/>
      <c r="D1273" s="542"/>
      <c r="E1273" s="306" t="s">
        <v>5178</v>
      </c>
      <c r="F1273" s="306" t="s">
        <v>4</v>
      </c>
      <c r="G1273" s="306" t="s">
        <v>1045</v>
      </c>
      <c r="H1273" s="306" t="s">
        <v>5179</v>
      </c>
      <c r="I1273" s="306">
        <v>3.5</v>
      </c>
      <c r="J1273" s="306" t="s">
        <v>1350</v>
      </c>
      <c r="K1273" s="306"/>
      <c r="L1273" s="306"/>
      <c r="M1273" s="306" t="s">
        <v>451</v>
      </c>
      <c r="N1273" s="306">
        <v>2000000</v>
      </c>
      <c r="O1273" s="306" t="s">
        <v>452</v>
      </c>
      <c r="P1273" s="306" t="s">
        <v>11165</v>
      </c>
      <c r="Q1273" s="306"/>
      <c r="R1273" s="306"/>
      <c r="S1273" s="543"/>
      <c r="T1273" s="543"/>
      <c r="U1273" s="306"/>
      <c r="V1273" s="306"/>
      <c r="W1273" s="306"/>
      <c r="X1273" s="306"/>
      <c r="Y1273" s="306"/>
      <c r="Z1273" s="306"/>
      <c r="AA1273" s="306"/>
      <c r="AB1273" s="306"/>
    </row>
    <row r="1274" spans="1:28" ht="15.75" hidden="1" customHeight="1">
      <c r="A1274" s="541">
        <v>44797</v>
      </c>
      <c r="B1274" s="306" t="s">
        <v>5600</v>
      </c>
      <c r="C1274" s="542"/>
      <c r="D1274" s="542"/>
      <c r="E1274" s="306" t="s">
        <v>5603</v>
      </c>
      <c r="F1274" s="306" t="s">
        <v>4</v>
      </c>
      <c r="G1274" s="306" t="s">
        <v>1045</v>
      </c>
      <c r="H1274" s="306"/>
      <c r="I1274" s="306"/>
      <c r="J1274" s="306" t="s">
        <v>1281</v>
      </c>
      <c r="K1274" s="306" t="s">
        <v>11170</v>
      </c>
      <c r="L1274" s="306">
        <v>3</v>
      </c>
      <c r="M1274" s="306"/>
      <c r="N1274" s="306"/>
      <c r="O1274" s="306" t="s">
        <v>454</v>
      </c>
      <c r="P1274" s="306" t="s">
        <v>1119</v>
      </c>
      <c r="Q1274" s="306"/>
      <c r="R1274" s="306"/>
      <c r="S1274" s="543"/>
      <c r="T1274" s="543"/>
      <c r="U1274" s="306"/>
      <c r="V1274" s="306"/>
      <c r="W1274" s="306"/>
      <c r="X1274" s="306"/>
      <c r="Y1274" s="306"/>
      <c r="Z1274" s="306"/>
      <c r="AA1274" s="306"/>
      <c r="AB1274" s="306"/>
    </row>
    <row r="1275" spans="1:28" ht="15.75" hidden="1" customHeight="1">
      <c r="A1275" s="541">
        <v>44797</v>
      </c>
      <c r="B1275" s="306" t="s">
        <v>7119</v>
      </c>
      <c r="C1275" s="542"/>
      <c r="D1275" s="542"/>
      <c r="E1275" s="306" t="s">
        <v>7122</v>
      </c>
      <c r="F1275" s="306" t="s">
        <v>4</v>
      </c>
      <c r="G1275" s="306" t="s">
        <v>488</v>
      </c>
      <c r="H1275" s="306"/>
      <c r="I1275" s="306"/>
      <c r="J1275" s="306" t="s">
        <v>1073</v>
      </c>
      <c r="K1275" s="306"/>
      <c r="L1275" s="306">
        <v>2</v>
      </c>
      <c r="M1275" s="306"/>
      <c r="N1275" s="306"/>
      <c r="O1275" s="306" t="s">
        <v>452</v>
      </c>
      <c r="P1275" s="306" t="s">
        <v>11225</v>
      </c>
      <c r="Q1275" s="306"/>
      <c r="R1275" s="306"/>
      <c r="S1275" s="543"/>
      <c r="T1275" s="543"/>
      <c r="U1275" s="306"/>
      <c r="V1275" s="306"/>
      <c r="W1275" s="306"/>
      <c r="X1275" s="306"/>
      <c r="Y1275" s="306"/>
      <c r="Z1275" s="306"/>
      <c r="AA1275" s="306"/>
      <c r="AB1275" s="306"/>
    </row>
    <row r="1276" spans="1:28" ht="15.75" hidden="1" customHeight="1">
      <c r="A1276" s="541">
        <v>44797</v>
      </c>
      <c r="B1276" s="306" t="s">
        <v>335</v>
      </c>
      <c r="C1276" s="542"/>
      <c r="D1276" s="542"/>
      <c r="E1276" s="306"/>
      <c r="F1276" s="306" t="s">
        <v>3</v>
      </c>
      <c r="G1276" s="306" t="s">
        <v>488</v>
      </c>
      <c r="H1276" s="306" t="s">
        <v>13233</v>
      </c>
      <c r="I1276" s="306"/>
      <c r="J1276" s="306" t="s">
        <v>941</v>
      </c>
      <c r="K1276" s="306"/>
      <c r="L1276" s="306"/>
      <c r="M1276" s="306" t="s">
        <v>1892</v>
      </c>
      <c r="N1276" s="306" t="s">
        <v>1893</v>
      </c>
      <c r="O1276" s="306" t="s">
        <v>452</v>
      </c>
      <c r="P1276" s="306" t="s">
        <v>452</v>
      </c>
      <c r="Q1276" s="306"/>
      <c r="R1276" s="306"/>
      <c r="S1276" s="543"/>
      <c r="T1276" s="543"/>
      <c r="U1276" s="306"/>
      <c r="V1276" s="306"/>
      <c r="W1276" s="306"/>
      <c r="X1276" s="306"/>
      <c r="Y1276" s="306"/>
      <c r="Z1276" s="306"/>
      <c r="AA1276" s="306"/>
      <c r="AB1276" s="306"/>
    </row>
    <row r="1277" spans="1:28" ht="15.75" hidden="1" customHeight="1">
      <c r="A1277" s="541">
        <v>44797</v>
      </c>
      <c r="B1277" s="306" t="s">
        <v>6407</v>
      </c>
      <c r="C1277" s="542"/>
      <c r="D1277" s="542"/>
      <c r="E1277" s="306" t="s">
        <v>6410</v>
      </c>
      <c r="F1277" s="306" t="s">
        <v>4</v>
      </c>
      <c r="G1277" s="306" t="s">
        <v>725</v>
      </c>
      <c r="H1277" s="306" t="s">
        <v>6411</v>
      </c>
      <c r="I1277" s="306">
        <v>2</v>
      </c>
      <c r="J1277" s="306" t="s">
        <v>1350</v>
      </c>
      <c r="K1277" s="306"/>
      <c r="L1277" s="306"/>
      <c r="M1277" s="306" t="s">
        <v>11227</v>
      </c>
      <c r="N1277" s="306">
        <v>2000000</v>
      </c>
      <c r="O1277" s="306" t="s">
        <v>452</v>
      </c>
      <c r="P1277" s="306" t="s">
        <v>6414</v>
      </c>
      <c r="Q1277" s="306"/>
      <c r="R1277" s="306"/>
      <c r="S1277" s="543"/>
      <c r="T1277" s="543"/>
      <c r="U1277" s="306"/>
      <c r="V1277" s="306"/>
      <c r="W1277" s="306"/>
      <c r="X1277" s="306"/>
      <c r="Y1277" s="306"/>
      <c r="Z1277" s="306"/>
      <c r="AA1277" s="306"/>
      <c r="AB1277" s="306"/>
    </row>
    <row r="1278" spans="1:28" ht="15.75" hidden="1" customHeight="1">
      <c r="A1278" s="541">
        <v>44797</v>
      </c>
      <c r="B1278" s="306" t="s">
        <v>357</v>
      </c>
      <c r="C1278" s="542"/>
      <c r="D1278" s="542"/>
      <c r="E1278" s="306"/>
      <c r="F1278" s="306" t="s">
        <v>3</v>
      </c>
      <c r="G1278" s="306" t="s">
        <v>488</v>
      </c>
      <c r="H1278" s="306"/>
      <c r="I1278" s="306"/>
      <c r="J1278" s="306" t="s">
        <v>941</v>
      </c>
      <c r="K1278" s="306"/>
      <c r="L1278" s="306"/>
      <c r="M1278" s="306" t="s">
        <v>8914</v>
      </c>
      <c r="N1278" s="306">
        <v>3500000</v>
      </c>
      <c r="O1278" s="306" t="s">
        <v>452</v>
      </c>
      <c r="P1278" s="306" t="s">
        <v>452</v>
      </c>
      <c r="Q1278" s="306"/>
      <c r="R1278" s="306"/>
      <c r="S1278" s="543"/>
      <c r="T1278" s="543"/>
      <c r="U1278" s="306"/>
      <c r="V1278" s="306"/>
      <c r="W1278" s="306"/>
      <c r="X1278" s="306"/>
      <c r="Y1278" s="306"/>
      <c r="Z1278" s="306"/>
      <c r="AA1278" s="306"/>
      <c r="AB1278" s="306"/>
    </row>
    <row r="1279" spans="1:28" ht="15.75" hidden="1" customHeight="1">
      <c r="A1279" s="541">
        <v>44797</v>
      </c>
      <c r="B1279" s="306" t="s">
        <v>7615</v>
      </c>
      <c r="C1279" s="542"/>
      <c r="D1279" s="542"/>
      <c r="E1279" s="306" t="s">
        <v>7618</v>
      </c>
      <c r="F1279" s="306" t="s">
        <v>4</v>
      </c>
      <c r="G1279" s="306" t="s">
        <v>602</v>
      </c>
      <c r="H1279" s="306" t="s">
        <v>7619</v>
      </c>
      <c r="I1279" s="306">
        <v>2</v>
      </c>
      <c r="J1279" s="306" t="s">
        <v>1350</v>
      </c>
      <c r="K1279" s="306"/>
      <c r="L1279" s="306"/>
      <c r="M1279" s="306"/>
      <c r="N1279" s="306"/>
      <c r="O1279" s="306" t="s">
        <v>454</v>
      </c>
      <c r="P1279" s="306" t="s">
        <v>7621</v>
      </c>
      <c r="Q1279" s="306" t="s">
        <v>7622</v>
      </c>
      <c r="R1279" s="306"/>
      <c r="S1279" s="543"/>
      <c r="T1279" s="543"/>
      <c r="U1279" s="306"/>
      <c r="V1279" s="306"/>
      <c r="W1279" s="306"/>
      <c r="X1279" s="306"/>
      <c r="Y1279" s="306"/>
      <c r="Z1279" s="306"/>
      <c r="AA1279" s="306"/>
      <c r="AB1279" s="306"/>
    </row>
    <row r="1280" spans="1:28" ht="15.75" hidden="1" customHeight="1">
      <c r="A1280" s="541">
        <v>44797</v>
      </c>
      <c r="B1280" s="306" t="s">
        <v>161</v>
      </c>
      <c r="C1280" s="542"/>
      <c r="D1280" s="542"/>
      <c r="E1280" s="306" t="s">
        <v>1079</v>
      </c>
      <c r="F1280" s="306" t="s">
        <v>4</v>
      </c>
      <c r="G1280" s="306" t="s">
        <v>725</v>
      </c>
      <c r="H1280" s="306"/>
      <c r="I1280" s="306">
        <v>4.5</v>
      </c>
      <c r="J1280" s="306" t="s">
        <v>462</v>
      </c>
      <c r="K1280" s="306"/>
      <c r="L1280" s="306"/>
      <c r="M1280" s="306" t="s">
        <v>451</v>
      </c>
      <c r="N1280" s="306">
        <v>10000000</v>
      </c>
      <c r="O1280" s="306" t="s">
        <v>452</v>
      </c>
      <c r="P1280" s="306" t="s">
        <v>974</v>
      </c>
      <c r="Q1280" s="306"/>
      <c r="R1280" s="306"/>
      <c r="S1280" s="543"/>
      <c r="T1280" s="543"/>
      <c r="U1280" s="306"/>
      <c r="V1280" s="306"/>
      <c r="W1280" s="306"/>
      <c r="X1280" s="306"/>
      <c r="Y1280" s="306"/>
      <c r="Z1280" s="306"/>
      <c r="AA1280" s="306"/>
      <c r="AB1280" s="306"/>
    </row>
    <row r="1281" spans="1:28" ht="15.75" hidden="1" customHeight="1">
      <c r="A1281" s="541">
        <v>44797</v>
      </c>
      <c r="B1281" s="306" t="s">
        <v>244</v>
      </c>
      <c r="C1281" s="542"/>
      <c r="D1281" s="542"/>
      <c r="E1281" s="306" t="s">
        <v>4036</v>
      </c>
      <c r="F1281" s="306" t="s">
        <v>4</v>
      </c>
      <c r="G1281" s="306" t="s">
        <v>488</v>
      </c>
      <c r="H1281" s="306"/>
      <c r="I1281" s="306"/>
      <c r="J1281" s="306" t="s">
        <v>1457</v>
      </c>
      <c r="K1281" s="306" t="s">
        <v>4038</v>
      </c>
      <c r="L1281" s="306">
        <v>4</v>
      </c>
      <c r="M1281" s="306"/>
      <c r="N1281" s="306"/>
      <c r="O1281" s="306" t="s">
        <v>454</v>
      </c>
      <c r="P1281" s="306" t="s">
        <v>452</v>
      </c>
      <c r="Q1281" s="306"/>
      <c r="R1281" s="306"/>
      <c r="S1281" s="543"/>
      <c r="T1281" s="543"/>
      <c r="U1281" s="306"/>
      <c r="V1281" s="306"/>
      <c r="W1281" s="306"/>
      <c r="X1281" s="306"/>
      <c r="Y1281" s="306"/>
      <c r="Z1281" s="306"/>
      <c r="AA1281" s="306"/>
      <c r="AB1281" s="306"/>
    </row>
    <row r="1282" spans="1:28" ht="15.75" hidden="1" customHeight="1">
      <c r="A1282" s="541">
        <v>44797</v>
      </c>
      <c r="B1282" s="306" t="s">
        <v>5994</v>
      </c>
      <c r="C1282" s="542"/>
      <c r="D1282" s="542"/>
      <c r="E1282" s="306"/>
      <c r="F1282" s="306" t="s">
        <v>4</v>
      </c>
      <c r="G1282" s="306" t="s">
        <v>725</v>
      </c>
      <c r="H1282" s="306" t="s">
        <v>11254</v>
      </c>
      <c r="I1282" s="306">
        <v>2</v>
      </c>
      <c r="J1282" s="306" t="s">
        <v>1350</v>
      </c>
      <c r="K1282" s="306"/>
      <c r="L1282" s="306"/>
      <c r="M1282" s="306" t="s">
        <v>1656</v>
      </c>
      <c r="N1282" s="306">
        <v>20000000</v>
      </c>
      <c r="O1282" s="306" t="s">
        <v>452</v>
      </c>
      <c r="P1282" s="306" t="s">
        <v>5999</v>
      </c>
      <c r="Q1282" s="306"/>
      <c r="R1282" s="306"/>
      <c r="S1282" s="543"/>
      <c r="T1282" s="543"/>
      <c r="U1282" s="306"/>
      <c r="V1282" s="306"/>
      <c r="W1282" s="306"/>
      <c r="X1282" s="306"/>
      <c r="Y1282" s="306"/>
      <c r="Z1282" s="306"/>
      <c r="AA1282" s="306"/>
      <c r="AB1282" s="306"/>
    </row>
    <row r="1283" spans="1:28" ht="15.75" hidden="1" customHeight="1">
      <c r="A1283" s="541">
        <v>44797</v>
      </c>
      <c r="B1283" s="306" t="s">
        <v>4628</v>
      </c>
      <c r="C1283" s="542"/>
      <c r="D1283" s="542"/>
      <c r="E1283" s="306" t="s">
        <v>4631</v>
      </c>
      <c r="F1283" s="306" t="s">
        <v>4</v>
      </c>
      <c r="G1283" s="306" t="s">
        <v>488</v>
      </c>
      <c r="H1283" s="306"/>
      <c r="I1283" s="306"/>
      <c r="J1283" s="306" t="s">
        <v>604</v>
      </c>
      <c r="K1283" s="306" t="s">
        <v>4633</v>
      </c>
      <c r="L1283" s="306">
        <v>3</v>
      </c>
      <c r="M1283" s="306" t="s">
        <v>2190</v>
      </c>
      <c r="N1283" s="306">
        <v>1000000</v>
      </c>
      <c r="O1283" s="306" t="s">
        <v>465</v>
      </c>
      <c r="P1283" s="306"/>
      <c r="Q1283" s="306" t="s">
        <v>4634</v>
      </c>
      <c r="R1283" s="306"/>
      <c r="S1283" s="543"/>
      <c r="T1283" s="543"/>
      <c r="U1283" s="306"/>
      <c r="V1283" s="306"/>
      <c r="W1283" s="306"/>
      <c r="X1283" s="306"/>
      <c r="Y1283" s="306"/>
      <c r="Z1283" s="306"/>
      <c r="AA1283" s="306"/>
      <c r="AB1283" s="306"/>
    </row>
    <row r="1284" spans="1:28" ht="15.75" hidden="1" customHeight="1">
      <c r="A1284" s="541">
        <v>44797</v>
      </c>
      <c r="B1284" s="306" t="s">
        <v>340</v>
      </c>
      <c r="C1284" s="542"/>
      <c r="D1284" s="542"/>
      <c r="E1284" s="306" t="s">
        <v>1937</v>
      </c>
      <c r="F1284" s="306" t="s">
        <v>3</v>
      </c>
      <c r="G1284" s="306" t="s">
        <v>488</v>
      </c>
      <c r="H1284" s="306"/>
      <c r="I1284" s="306"/>
      <c r="J1284" s="306" t="s">
        <v>941</v>
      </c>
      <c r="K1284" s="306"/>
      <c r="L1284" s="306"/>
      <c r="M1284" s="306"/>
      <c r="N1284" s="306"/>
      <c r="O1284" s="306" t="s">
        <v>452</v>
      </c>
      <c r="P1284" s="306" t="s">
        <v>1940</v>
      </c>
      <c r="Q1284" s="306" t="s">
        <v>1941</v>
      </c>
      <c r="R1284" s="306"/>
      <c r="S1284" s="543"/>
      <c r="T1284" s="543"/>
      <c r="U1284" s="306"/>
      <c r="V1284" s="306"/>
      <c r="W1284" s="306"/>
      <c r="X1284" s="306"/>
      <c r="Y1284" s="306"/>
      <c r="Z1284" s="306"/>
      <c r="AA1284" s="306"/>
      <c r="AB1284" s="306"/>
    </row>
    <row r="1285" spans="1:28" ht="15.75" hidden="1" customHeight="1">
      <c r="A1285" s="541">
        <v>44797</v>
      </c>
      <c r="B1285" s="306" t="s">
        <v>346</v>
      </c>
      <c r="C1285" s="542"/>
      <c r="D1285" s="542"/>
      <c r="E1285" s="306" t="s">
        <v>1982</v>
      </c>
      <c r="F1285" s="306" t="s">
        <v>3</v>
      </c>
      <c r="G1285" s="306" t="s">
        <v>488</v>
      </c>
      <c r="H1285" s="306"/>
      <c r="I1285" s="306"/>
      <c r="J1285" s="306" t="s">
        <v>941</v>
      </c>
      <c r="K1285" s="306"/>
      <c r="L1285" s="306"/>
      <c r="M1285" s="306" t="s">
        <v>478</v>
      </c>
      <c r="N1285" s="306">
        <v>6000000</v>
      </c>
      <c r="O1285" s="306" t="s">
        <v>454</v>
      </c>
      <c r="P1285" s="306" t="s">
        <v>452</v>
      </c>
      <c r="Q1285" s="306"/>
      <c r="R1285" s="306"/>
      <c r="S1285" s="543"/>
      <c r="T1285" s="543"/>
      <c r="U1285" s="306"/>
      <c r="V1285" s="306"/>
      <c r="W1285" s="306"/>
      <c r="X1285" s="306"/>
      <c r="Y1285" s="306"/>
      <c r="Z1285" s="306"/>
      <c r="AA1285" s="306"/>
      <c r="AB1285" s="306"/>
    </row>
    <row r="1286" spans="1:28" ht="15.75" hidden="1" customHeight="1">
      <c r="A1286" s="541">
        <v>44797</v>
      </c>
      <c r="B1286" s="306" t="s">
        <v>189</v>
      </c>
      <c r="C1286" s="542"/>
      <c r="D1286" s="542"/>
      <c r="E1286" s="306"/>
      <c r="F1286" s="306" t="s">
        <v>4</v>
      </c>
      <c r="G1286" s="306" t="s">
        <v>725</v>
      </c>
      <c r="H1286" s="306" t="s">
        <v>11274</v>
      </c>
      <c r="I1286" s="306">
        <v>4</v>
      </c>
      <c r="J1286" s="306" t="s">
        <v>462</v>
      </c>
      <c r="K1286" s="306"/>
      <c r="L1286" s="306"/>
      <c r="M1286" s="306" t="s">
        <v>1656</v>
      </c>
      <c r="N1286" s="546">
        <v>20000000</v>
      </c>
      <c r="O1286" s="306" t="s">
        <v>452</v>
      </c>
      <c r="P1286" s="306" t="s">
        <v>575</v>
      </c>
      <c r="Q1286" s="306"/>
      <c r="R1286" s="306"/>
      <c r="S1286" s="543"/>
      <c r="T1286" s="543"/>
      <c r="U1286" s="306"/>
      <c r="V1286" s="306"/>
      <c r="W1286" s="306"/>
      <c r="X1286" s="306"/>
      <c r="Y1286" s="306"/>
      <c r="Z1286" s="306"/>
      <c r="AA1286" s="306"/>
      <c r="AB1286" s="306"/>
    </row>
    <row r="1287" spans="1:28" ht="15.75" hidden="1" customHeight="1">
      <c r="A1287" s="541">
        <v>44797</v>
      </c>
      <c r="B1287" s="306" t="s">
        <v>6531</v>
      </c>
      <c r="C1287" s="542"/>
      <c r="D1287" s="542"/>
      <c r="E1287" s="306" t="s">
        <v>6534</v>
      </c>
      <c r="F1287" s="306" t="s">
        <v>4</v>
      </c>
      <c r="G1287" s="306" t="s">
        <v>488</v>
      </c>
      <c r="H1287" s="306"/>
      <c r="I1287" s="306"/>
      <c r="J1287" s="306" t="s">
        <v>1457</v>
      </c>
      <c r="K1287" s="306" t="s">
        <v>6536</v>
      </c>
      <c r="L1287" s="306">
        <v>2</v>
      </c>
      <c r="M1287" s="306" t="s">
        <v>478</v>
      </c>
      <c r="N1287" s="306" t="s">
        <v>6537</v>
      </c>
      <c r="O1287" s="306" t="s">
        <v>452</v>
      </c>
      <c r="P1287" s="306" t="s">
        <v>575</v>
      </c>
      <c r="Q1287" s="306"/>
      <c r="R1287" s="306"/>
      <c r="S1287" s="543"/>
      <c r="T1287" s="543"/>
      <c r="U1287" s="306"/>
      <c r="V1287" s="306"/>
      <c r="W1287" s="306"/>
      <c r="X1287" s="306"/>
      <c r="Y1287" s="306"/>
      <c r="Z1287" s="306"/>
      <c r="AA1287" s="306"/>
      <c r="AB1287" s="306"/>
    </row>
    <row r="1288" spans="1:28" ht="15.75" hidden="1" customHeight="1">
      <c r="A1288" s="541">
        <v>44797</v>
      </c>
      <c r="B1288" s="306" t="s">
        <v>5354</v>
      </c>
      <c r="C1288" s="542"/>
      <c r="D1288" s="542"/>
      <c r="E1288" s="306" t="s">
        <v>5357</v>
      </c>
      <c r="F1288" s="306" t="s">
        <v>4</v>
      </c>
      <c r="G1288" s="306" t="s">
        <v>488</v>
      </c>
      <c r="H1288" s="306"/>
      <c r="I1288" s="306"/>
      <c r="J1288" s="306" t="s">
        <v>990</v>
      </c>
      <c r="K1288" s="306" t="s">
        <v>5359</v>
      </c>
      <c r="L1288" s="306">
        <v>4</v>
      </c>
      <c r="M1288" s="306" t="s">
        <v>451</v>
      </c>
      <c r="N1288" s="546">
        <v>1000000</v>
      </c>
      <c r="O1288" s="306" t="s">
        <v>452</v>
      </c>
      <c r="P1288" s="306" t="s">
        <v>452</v>
      </c>
      <c r="Q1288" s="306"/>
      <c r="R1288" s="306"/>
      <c r="S1288" s="543"/>
      <c r="T1288" s="543"/>
      <c r="U1288" s="306"/>
      <c r="V1288" s="306"/>
      <c r="W1288" s="306"/>
      <c r="X1288" s="306"/>
      <c r="Y1288" s="306"/>
      <c r="Z1288" s="306"/>
      <c r="AA1288" s="306"/>
      <c r="AB1288" s="306"/>
    </row>
    <row r="1289" spans="1:28" ht="15.75" hidden="1" customHeight="1">
      <c r="A1289" s="541">
        <v>44797</v>
      </c>
      <c r="B1289" s="306" t="s">
        <v>302</v>
      </c>
      <c r="C1289" s="542"/>
      <c r="D1289" s="542"/>
      <c r="E1289" s="306" t="s">
        <v>11285</v>
      </c>
      <c r="F1289" s="306" t="s">
        <v>4</v>
      </c>
      <c r="G1289" s="306" t="s">
        <v>488</v>
      </c>
      <c r="H1289" s="306"/>
      <c r="I1289" s="306"/>
      <c r="J1289" s="306" t="s">
        <v>1281</v>
      </c>
      <c r="K1289" s="306" t="s">
        <v>9434</v>
      </c>
      <c r="L1289" s="306">
        <v>4</v>
      </c>
      <c r="M1289" s="306" t="s">
        <v>451</v>
      </c>
      <c r="N1289" s="306" t="s">
        <v>9435</v>
      </c>
      <c r="O1289" s="306" t="s">
        <v>452</v>
      </c>
      <c r="P1289" s="306" t="s">
        <v>575</v>
      </c>
      <c r="Q1289" s="306"/>
      <c r="R1289" s="306"/>
      <c r="S1289" s="543"/>
      <c r="T1289" s="543"/>
      <c r="U1289" s="306"/>
      <c r="V1289" s="306"/>
      <c r="W1289" s="306"/>
      <c r="X1289" s="306"/>
      <c r="Y1289" s="306"/>
      <c r="Z1289" s="306"/>
      <c r="AA1289" s="306"/>
      <c r="AB1289" s="306"/>
    </row>
    <row r="1290" spans="1:28" ht="15.75" hidden="1" customHeight="1">
      <c r="A1290" s="541">
        <v>44797</v>
      </c>
      <c r="B1290" s="306" t="s">
        <v>347</v>
      </c>
      <c r="C1290" s="542"/>
      <c r="D1290" s="542"/>
      <c r="E1290" s="306" t="s">
        <v>1990</v>
      </c>
      <c r="F1290" s="306" t="s">
        <v>3</v>
      </c>
      <c r="G1290" s="306" t="s">
        <v>488</v>
      </c>
      <c r="H1290" s="306"/>
      <c r="I1290" s="306"/>
      <c r="J1290" s="306" t="s">
        <v>941</v>
      </c>
      <c r="K1290" s="306" t="s">
        <v>1992</v>
      </c>
      <c r="L1290" s="306">
        <v>4</v>
      </c>
      <c r="M1290" s="306"/>
      <c r="N1290" s="306"/>
      <c r="O1290" s="306" t="s">
        <v>452</v>
      </c>
      <c r="P1290" s="306" t="s">
        <v>575</v>
      </c>
      <c r="Q1290" s="306" t="s">
        <v>1993</v>
      </c>
      <c r="R1290" s="306"/>
      <c r="S1290" s="543"/>
      <c r="T1290" s="543"/>
      <c r="U1290" s="306"/>
      <c r="V1290" s="306"/>
      <c r="W1290" s="306"/>
      <c r="X1290" s="306"/>
      <c r="Y1290" s="306"/>
      <c r="Z1290" s="306"/>
      <c r="AA1290" s="306"/>
      <c r="AB1290" s="306"/>
    </row>
    <row r="1291" spans="1:28" ht="15.75" hidden="1" customHeight="1">
      <c r="A1291" s="541">
        <v>44797</v>
      </c>
      <c r="B1291" s="306" t="s">
        <v>362</v>
      </c>
      <c r="C1291" s="542"/>
      <c r="D1291" s="542"/>
      <c r="E1291" s="306" t="s">
        <v>2049</v>
      </c>
      <c r="F1291" s="306" t="s">
        <v>3</v>
      </c>
      <c r="G1291" s="306" t="s">
        <v>488</v>
      </c>
      <c r="H1291" s="306"/>
      <c r="I1291" s="306"/>
      <c r="J1291" s="306" t="s">
        <v>941</v>
      </c>
      <c r="K1291" s="306"/>
      <c r="L1291" s="306"/>
      <c r="M1291" s="306" t="s">
        <v>478</v>
      </c>
      <c r="N1291" s="546">
        <v>5920000</v>
      </c>
      <c r="O1291" s="306" t="s">
        <v>452</v>
      </c>
      <c r="P1291" s="306" t="s">
        <v>452</v>
      </c>
      <c r="Q1291" s="306"/>
      <c r="R1291" s="306"/>
      <c r="S1291" s="543"/>
      <c r="T1291" s="543"/>
      <c r="U1291" s="306"/>
      <c r="V1291" s="306"/>
      <c r="W1291" s="306"/>
      <c r="X1291" s="306"/>
      <c r="Y1291" s="306"/>
      <c r="Z1291" s="306"/>
      <c r="AA1291" s="306"/>
      <c r="AB1291" s="306"/>
    </row>
    <row r="1292" spans="1:28" ht="15.75" hidden="1" customHeight="1">
      <c r="A1292" s="541">
        <v>44797</v>
      </c>
      <c r="B1292" s="306" t="s">
        <v>7102</v>
      </c>
      <c r="C1292" s="542"/>
      <c r="D1292" s="542"/>
      <c r="E1292" s="306" t="s">
        <v>7105</v>
      </c>
      <c r="F1292" s="306" t="s">
        <v>4</v>
      </c>
      <c r="G1292" s="306" t="s">
        <v>488</v>
      </c>
      <c r="H1292" s="306"/>
      <c r="I1292" s="306"/>
      <c r="J1292" s="306" t="s">
        <v>1073</v>
      </c>
      <c r="K1292" s="306" t="s">
        <v>7107</v>
      </c>
      <c r="L1292" s="306">
        <v>2</v>
      </c>
      <c r="M1292" s="306"/>
      <c r="N1292" s="306"/>
      <c r="O1292" s="306" t="s">
        <v>452</v>
      </c>
      <c r="P1292" s="306" t="s">
        <v>1028</v>
      </c>
      <c r="Q1292" s="306" t="s">
        <v>7108</v>
      </c>
      <c r="R1292" s="306"/>
      <c r="S1292" s="543"/>
      <c r="T1292" s="543"/>
      <c r="U1292" s="306"/>
      <c r="V1292" s="306"/>
      <c r="W1292" s="306"/>
      <c r="X1292" s="306"/>
      <c r="Y1292" s="306"/>
      <c r="Z1292" s="306"/>
      <c r="AA1292" s="306"/>
      <c r="AB1292" s="306"/>
    </row>
    <row r="1293" spans="1:28" ht="15.75" hidden="1" customHeight="1">
      <c r="A1293" s="541">
        <v>44797</v>
      </c>
      <c r="B1293" s="306" t="s">
        <v>5635</v>
      </c>
      <c r="C1293" s="542"/>
      <c r="D1293" s="542"/>
      <c r="E1293" s="306" t="s">
        <v>5638</v>
      </c>
      <c r="F1293" s="306" t="s">
        <v>4</v>
      </c>
      <c r="G1293" s="306" t="s">
        <v>488</v>
      </c>
      <c r="H1293" s="306"/>
      <c r="I1293" s="306"/>
      <c r="J1293" s="306" t="s">
        <v>1281</v>
      </c>
      <c r="K1293" s="306" t="s">
        <v>5640</v>
      </c>
      <c r="L1293" s="306">
        <v>3</v>
      </c>
      <c r="M1293" s="306"/>
      <c r="N1293" s="306"/>
      <c r="O1293" s="306" t="s">
        <v>452</v>
      </c>
      <c r="P1293" s="306" t="s">
        <v>452</v>
      </c>
      <c r="Q1293" s="306" t="s">
        <v>725</v>
      </c>
      <c r="R1293" s="306"/>
      <c r="S1293" s="543"/>
      <c r="T1293" s="543"/>
      <c r="U1293" s="306"/>
      <c r="V1293" s="306"/>
      <c r="W1293" s="306"/>
      <c r="X1293" s="306"/>
      <c r="Y1293" s="306"/>
      <c r="Z1293" s="306"/>
      <c r="AA1293" s="306"/>
      <c r="AB1293" s="306"/>
    </row>
    <row r="1294" spans="1:28" ht="15.75" hidden="1" customHeight="1">
      <c r="A1294" s="541">
        <v>44797</v>
      </c>
      <c r="B1294" s="306" t="s">
        <v>6475</v>
      </c>
      <c r="C1294" s="542"/>
      <c r="D1294" s="542"/>
      <c r="E1294" s="306" t="s">
        <v>11288</v>
      </c>
      <c r="F1294" s="306" t="s">
        <v>4</v>
      </c>
      <c r="G1294" s="306" t="s">
        <v>488</v>
      </c>
      <c r="H1294" s="306"/>
      <c r="I1294" s="306"/>
      <c r="J1294" s="306" t="s">
        <v>1371</v>
      </c>
      <c r="K1294" s="306" t="s">
        <v>6480</v>
      </c>
      <c r="L1294" s="306">
        <v>3</v>
      </c>
      <c r="M1294" s="306" t="s">
        <v>451</v>
      </c>
      <c r="N1294" s="306">
        <v>1000000</v>
      </c>
      <c r="O1294" s="306" t="s">
        <v>452</v>
      </c>
      <c r="P1294" s="306" t="s">
        <v>11289</v>
      </c>
      <c r="Q1294" s="306"/>
      <c r="R1294" s="306"/>
      <c r="S1294" s="543"/>
      <c r="T1294" s="543"/>
      <c r="U1294" s="306"/>
      <c r="V1294" s="306"/>
      <c r="W1294" s="306"/>
      <c r="X1294" s="306"/>
      <c r="Y1294" s="306"/>
      <c r="Z1294" s="306"/>
      <c r="AA1294" s="306"/>
      <c r="AB1294" s="306"/>
    </row>
    <row r="1295" spans="1:28" ht="15.75" hidden="1" customHeight="1">
      <c r="A1295" s="541">
        <v>44797</v>
      </c>
      <c r="B1295" s="306" t="s">
        <v>254</v>
      </c>
      <c r="C1295" s="542"/>
      <c r="D1295" s="542"/>
      <c r="E1295" s="306" t="s">
        <v>11293</v>
      </c>
      <c r="F1295" s="306" t="s">
        <v>4</v>
      </c>
      <c r="G1295" s="306" t="s">
        <v>488</v>
      </c>
      <c r="H1295" s="306"/>
      <c r="I1295" s="306"/>
      <c r="J1295" s="306" t="s">
        <v>4054</v>
      </c>
      <c r="K1295" s="306"/>
      <c r="L1295" s="306">
        <v>4</v>
      </c>
      <c r="M1295" s="306" t="s">
        <v>451</v>
      </c>
      <c r="N1295" s="306">
        <v>500000</v>
      </c>
      <c r="O1295" s="306" t="s">
        <v>452</v>
      </c>
      <c r="P1295" s="306" t="s">
        <v>4084</v>
      </c>
      <c r="Q1295" s="306"/>
      <c r="R1295" s="306"/>
      <c r="S1295" s="543"/>
      <c r="T1295" s="543"/>
      <c r="U1295" s="306"/>
      <c r="V1295" s="306"/>
      <c r="W1295" s="306"/>
      <c r="X1295" s="306"/>
      <c r="Y1295" s="306"/>
      <c r="Z1295" s="306"/>
      <c r="AA1295" s="306"/>
      <c r="AB1295" s="306"/>
    </row>
    <row r="1296" spans="1:28" ht="15.75" hidden="1" customHeight="1">
      <c r="A1296" s="541">
        <v>44797</v>
      </c>
      <c r="B1296" s="306" t="s">
        <v>342</v>
      </c>
      <c r="C1296" s="542"/>
      <c r="D1296" s="542"/>
      <c r="E1296" s="306"/>
      <c r="F1296" s="306" t="s">
        <v>3</v>
      </c>
      <c r="G1296" s="306" t="s">
        <v>488</v>
      </c>
      <c r="H1296" s="306" t="s">
        <v>1947</v>
      </c>
      <c r="I1296" s="306"/>
      <c r="J1296" s="306" t="s">
        <v>462</v>
      </c>
      <c r="K1296" s="306" t="s">
        <v>1948</v>
      </c>
      <c r="L1296" s="306">
        <v>5</v>
      </c>
      <c r="M1296" s="306" t="s">
        <v>1949</v>
      </c>
      <c r="N1296" s="306" t="s">
        <v>1950</v>
      </c>
      <c r="O1296" s="306" t="s">
        <v>452</v>
      </c>
      <c r="P1296" s="306" t="s">
        <v>452</v>
      </c>
      <c r="Q1296" s="306"/>
      <c r="R1296" s="306"/>
      <c r="S1296" s="543"/>
      <c r="T1296" s="543"/>
      <c r="U1296" s="306"/>
      <c r="V1296" s="306"/>
      <c r="W1296" s="306"/>
      <c r="X1296" s="306"/>
      <c r="Y1296" s="306"/>
      <c r="Z1296" s="306"/>
      <c r="AA1296" s="306"/>
      <c r="AB1296" s="306"/>
    </row>
    <row r="1297" spans="1:28" ht="15.75" hidden="1" customHeight="1">
      <c r="A1297" s="541">
        <v>44797</v>
      </c>
      <c r="B1297" s="306" t="s">
        <v>234</v>
      </c>
      <c r="C1297" s="542"/>
      <c r="D1297" s="542"/>
      <c r="E1297" s="306" t="s">
        <v>3980</v>
      </c>
      <c r="F1297" s="306" t="s">
        <v>4</v>
      </c>
      <c r="G1297" s="306" t="s">
        <v>488</v>
      </c>
      <c r="H1297" s="306"/>
      <c r="I1297" s="306"/>
      <c r="J1297" s="306" t="s">
        <v>1371</v>
      </c>
      <c r="K1297" s="306" t="s">
        <v>3982</v>
      </c>
      <c r="L1297" s="306">
        <v>5</v>
      </c>
      <c r="M1297" s="306"/>
      <c r="N1297" s="306"/>
      <c r="O1297" s="306" t="s">
        <v>452</v>
      </c>
      <c r="P1297" s="306" t="s">
        <v>3983</v>
      </c>
      <c r="Q1297" s="306"/>
      <c r="R1297" s="306"/>
      <c r="S1297" s="543"/>
      <c r="T1297" s="543"/>
      <c r="U1297" s="306"/>
      <c r="V1297" s="306"/>
      <c r="W1297" s="306"/>
      <c r="X1297" s="306"/>
      <c r="Y1297" s="306"/>
      <c r="Z1297" s="306"/>
      <c r="AA1297" s="306"/>
      <c r="AB1297" s="306"/>
    </row>
    <row r="1298" spans="1:28" ht="15.75" hidden="1" customHeight="1">
      <c r="A1298" s="541">
        <v>44797</v>
      </c>
      <c r="B1298" s="306" t="s">
        <v>7268</v>
      </c>
      <c r="C1298" s="542"/>
      <c r="D1298" s="542"/>
      <c r="E1298" s="306" t="s">
        <v>7271</v>
      </c>
      <c r="F1298" s="306" t="s">
        <v>4</v>
      </c>
      <c r="G1298" s="306" t="s">
        <v>488</v>
      </c>
      <c r="H1298" s="306"/>
      <c r="I1298" s="306"/>
      <c r="J1298" s="306" t="s">
        <v>1237</v>
      </c>
      <c r="K1298" s="306"/>
      <c r="L1298" s="306">
        <v>2</v>
      </c>
      <c r="M1298" s="306" t="s">
        <v>451</v>
      </c>
      <c r="N1298" s="306">
        <v>3000000</v>
      </c>
      <c r="O1298" s="306" t="s">
        <v>452</v>
      </c>
      <c r="P1298" s="306" t="s">
        <v>7273</v>
      </c>
      <c r="Q1298" s="306"/>
      <c r="R1298" s="306"/>
      <c r="S1298" s="543"/>
      <c r="T1298" s="543"/>
      <c r="U1298" s="306"/>
      <c r="V1298" s="306"/>
      <c r="W1298" s="306"/>
      <c r="X1298" s="306"/>
      <c r="Y1298" s="306"/>
      <c r="Z1298" s="306"/>
      <c r="AA1298" s="306"/>
      <c r="AB1298" s="306"/>
    </row>
    <row r="1299" spans="1:28" ht="15.75" hidden="1" customHeight="1">
      <c r="A1299" s="541">
        <v>44797</v>
      </c>
      <c r="B1299" s="306" t="s">
        <v>7925</v>
      </c>
      <c r="C1299" s="542"/>
      <c r="D1299" s="542"/>
      <c r="E1299" s="306"/>
      <c r="F1299" s="306" t="s">
        <v>4</v>
      </c>
      <c r="G1299" s="306" t="s">
        <v>725</v>
      </c>
      <c r="H1299" s="306" t="s">
        <v>11498</v>
      </c>
      <c r="I1299" s="306">
        <v>1</v>
      </c>
      <c r="J1299" s="306" t="s">
        <v>1350</v>
      </c>
      <c r="K1299" s="306"/>
      <c r="L1299" s="306"/>
      <c r="M1299" s="306" t="s">
        <v>2190</v>
      </c>
      <c r="N1299" s="306">
        <v>1000000</v>
      </c>
      <c r="O1299" s="306" t="s">
        <v>452</v>
      </c>
      <c r="P1299" s="306" t="s">
        <v>7930</v>
      </c>
      <c r="Q1299" s="306" t="s">
        <v>1343</v>
      </c>
      <c r="R1299" s="306"/>
      <c r="S1299" s="543"/>
      <c r="T1299" s="543"/>
      <c r="U1299" s="306"/>
      <c r="V1299" s="306"/>
      <c r="W1299" s="306"/>
      <c r="X1299" s="306"/>
      <c r="Y1299" s="306"/>
      <c r="Z1299" s="306"/>
      <c r="AA1299" s="306"/>
      <c r="AB1299" s="306"/>
    </row>
    <row r="1300" spans="1:28" ht="15.75" hidden="1" customHeight="1">
      <c r="A1300" s="541">
        <v>44797</v>
      </c>
      <c r="B1300" s="306" t="s">
        <v>8510</v>
      </c>
      <c r="C1300" s="542"/>
      <c r="D1300" s="542"/>
      <c r="E1300" s="306" t="s">
        <v>8513</v>
      </c>
      <c r="F1300" s="306" t="s">
        <v>3</v>
      </c>
      <c r="G1300" s="306" t="s">
        <v>488</v>
      </c>
      <c r="H1300" s="306"/>
      <c r="I1300" s="306"/>
      <c r="J1300" s="306" t="s">
        <v>941</v>
      </c>
      <c r="K1300" s="306" t="s">
        <v>8515</v>
      </c>
      <c r="L1300" s="306">
        <v>3</v>
      </c>
      <c r="M1300" s="306"/>
      <c r="N1300" s="306"/>
      <c r="O1300" s="306" t="s">
        <v>452</v>
      </c>
      <c r="P1300" s="306" t="s">
        <v>8516</v>
      </c>
      <c r="Q1300" s="306"/>
      <c r="R1300" s="306"/>
      <c r="S1300" s="543"/>
      <c r="T1300" s="543"/>
      <c r="U1300" s="306"/>
      <c r="V1300" s="306"/>
      <c r="W1300" s="306"/>
      <c r="X1300" s="306"/>
      <c r="Y1300" s="306"/>
      <c r="Z1300" s="306"/>
      <c r="AA1300" s="306"/>
      <c r="AB1300" s="306"/>
    </row>
    <row r="1301" spans="1:28" ht="15.75" hidden="1" customHeight="1">
      <c r="A1301" s="541">
        <v>44797</v>
      </c>
      <c r="B1301" s="306" t="s">
        <v>6285</v>
      </c>
      <c r="C1301" s="542"/>
      <c r="D1301" s="542"/>
      <c r="E1301" s="306" t="s">
        <v>11296</v>
      </c>
      <c r="F1301" s="306" t="s">
        <v>4</v>
      </c>
      <c r="G1301" s="306" t="s">
        <v>488</v>
      </c>
      <c r="H1301" s="306"/>
      <c r="I1301" s="306"/>
      <c r="J1301" s="306" t="s">
        <v>1237</v>
      </c>
      <c r="K1301" s="306"/>
      <c r="L1301" s="306">
        <v>2</v>
      </c>
      <c r="M1301" s="306"/>
      <c r="N1301" s="306"/>
      <c r="O1301" s="306" t="s">
        <v>454</v>
      </c>
      <c r="P1301" s="306" t="s">
        <v>6289</v>
      </c>
      <c r="Q1301" s="306"/>
      <c r="R1301" s="306"/>
      <c r="S1301" s="543"/>
      <c r="T1301" s="543"/>
      <c r="U1301" s="306"/>
      <c r="V1301" s="306"/>
      <c r="W1301" s="306"/>
      <c r="X1301" s="306"/>
      <c r="Y1301" s="306"/>
      <c r="Z1301" s="306"/>
      <c r="AA1301" s="306"/>
      <c r="AB1301" s="306"/>
    </row>
    <row r="1302" spans="1:28" ht="15.75" hidden="1" customHeight="1">
      <c r="A1302" s="541">
        <v>44797</v>
      </c>
      <c r="B1302" s="306" t="s">
        <v>211</v>
      </c>
      <c r="C1302" s="542"/>
      <c r="D1302" s="542"/>
      <c r="E1302" s="306" t="s">
        <v>3867</v>
      </c>
      <c r="F1302" s="306" t="s">
        <v>4</v>
      </c>
      <c r="G1302" s="306" t="s">
        <v>488</v>
      </c>
      <c r="H1302" s="306"/>
      <c r="I1302" s="306"/>
      <c r="J1302" s="306" t="s">
        <v>1187</v>
      </c>
      <c r="K1302" s="306" t="s">
        <v>3869</v>
      </c>
      <c r="L1302" s="306">
        <v>4</v>
      </c>
      <c r="M1302" s="306" t="s">
        <v>451</v>
      </c>
      <c r="N1302" s="306" t="s">
        <v>3870</v>
      </c>
      <c r="O1302" s="306" t="s">
        <v>452</v>
      </c>
      <c r="P1302" s="306" t="s">
        <v>454</v>
      </c>
      <c r="Q1302" s="306"/>
      <c r="R1302" s="306"/>
      <c r="S1302" s="543"/>
      <c r="T1302" s="543"/>
      <c r="U1302" s="306"/>
      <c r="V1302" s="306"/>
      <c r="W1302" s="306"/>
      <c r="X1302" s="306"/>
      <c r="Y1302" s="306"/>
      <c r="Z1302" s="306"/>
      <c r="AA1302" s="306"/>
      <c r="AB1302" s="306"/>
    </row>
    <row r="1303" spans="1:28" ht="15.75" hidden="1" customHeight="1">
      <c r="A1303" s="541">
        <v>44797</v>
      </c>
      <c r="B1303" s="306" t="s">
        <v>4645</v>
      </c>
      <c r="C1303" s="542"/>
      <c r="D1303" s="542"/>
      <c r="E1303" s="306" t="s">
        <v>4648</v>
      </c>
      <c r="F1303" s="306" t="s">
        <v>4</v>
      </c>
      <c r="G1303" s="306" t="s">
        <v>488</v>
      </c>
      <c r="H1303" s="306"/>
      <c r="I1303" s="306"/>
      <c r="J1303" s="306" t="s">
        <v>604</v>
      </c>
      <c r="K1303" s="306" t="s">
        <v>11304</v>
      </c>
      <c r="L1303" s="306">
        <v>4</v>
      </c>
      <c r="M1303" s="306" t="s">
        <v>1656</v>
      </c>
      <c r="N1303" s="306">
        <v>3000000</v>
      </c>
      <c r="O1303" s="306" t="s">
        <v>452</v>
      </c>
      <c r="P1303" s="306" t="s">
        <v>4651</v>
      </c>
      <c r="Q1303" s="306"/>
      <c r="R1303" s="306"/>
      <c r="S1303" s="543"/>
      <c r="T1303" s="543"/>
      <c r="U1303" s="306"/>
      <c r="V1303" s="306"/>
      <c r="W1303" s="306"/>
      <c r="X1303" s="306"/>
      <c r="Y1303" s="306"/>
      <c r="Z1303" s="306"/>
      <c r="AA1303" s="306"/>
      <c r="AB1303" s="306"/>
    </row>
    <row r="1304" spans="1:28" ht="15.75" hidden="1" customHeight="1">
      <c r="A1304" s="541">
        <v>44797</v>
      </c>
      <c r="B1304" s="306" t="s">
        <v>8773</v>
      </c>
      <c r="C1304" s="542"/>
      <c r="D1304" s="542"/>
      <c r="E1304" s="306"/>
      <c r="F1304" s="306" t="s">
        <v>3</v>
      </c>
      <c r="G1304" s="306" t="s">
        <v>488</v>
      </c>
      <c r="H1304" s="306"/>
      <c r="I1304" s="306"/>
      <c r="J1304" s="306" t="s">
        <v>941</v>
      </c>
      <c r="K1304" s="306"/>
      <c r="L1304" s="306"/>
      <c r="M1304" s="306" t="s">
        <v>2152</v>
      </c>
      <c r="N1304" s="306" t="s">
        <v>8778</v>
      </c>
      <c r="O1304" s="306" t="s">
        <v>454</v>
      </c>
      <c r="P1304" s="306" t="s">
        <v>452</v>
      </c>
      <c r="Q1304" s="306"/>
      <c r="R1304" s="306"/>
      <c r="S1304" s="543"/>
      <c r="T1304" s="543"/>
      <c r="U1304" s="306"/>
      <c r="V1304" s="306"/>
      <c r="W1304" s="306"/>
      <c r="X1304" s="306"/>
      <c r="Y1304" s="306"/>
      <c r="Z1304" s="306"/>
      <c r="AA1304" s="306"/>
      <c r="AB1304" s="306"/>
    </row>
    <row r="1305" spans="1:28" ht="15.75" hidden="1" customHeight="1">
      <c r="A1305" s="541">
        <v>44797</v>
      </c>
      <c r="B1305" s="306" t="s">
        <v>6425</v>
      </c>
      <c r="C1305" s="542"/>
      <c r="D1305" s="542"/>
      <c r="E1305" s="306" t="s">
        <v>6428</v>
      </c>
      <c r="F1305" s="306" t="s">
        <v>4</v>
      </c>
      <c r="G1305" s="306" t="s">
        <v>488</v>
      </c>
      <c r="H1305" s="306"/>
      <c r="I1305" s="306"/>
      <c r="J1305" s="306" t="s">
        <v>1350</v>
      </c>
      <c r="K1305" s="306" t="s">
        <v>6430</v>
      </c>
      <c r="L1305" s="306">
        <v>3</v>
      </c>
      <c r="M1305" s="306" t="s">
        <v>784</v>
      </c>
      <c r="N1305" s="546">
        <v>125000</v>
      </c>
      <c r="O1305" s="306" t="s">
        <v>465</v>
      </c>
      <c r="P1305" s="306" t="s">
        <v>6431</v>
      </c>
      <c r="Q1305" s="306"/>
      <c r="R1305" s="306"/>
      <c r="S1305" s="543"/>
      <c r="T1305" s="543"/>
      <c r="U1305" s="306"/>
      <c r="V1305" s="306"/>
      <c r="W1305" s="306"/>
      <c r="X1305" s="306"/>
      <c r="Y1305" s="306"/>
      <c r="Z1305" s="306"/>
      <c r="AA1305" s="306"/>
      <c r="AB1305" s="306"/>
    </row>
    <row r="1306" spans="1:28" ht="15.75" hidden="1" customHeight="1">
      <c r="A1306" s="541">
        <v>44797</v>
      </c>
      <c r="B1306" s="306" t="s">
        <v>9124</v>
      </c>
      <c r="C1306" s="542"/>
      <c r="D1306" s="542"/>
      <c r="E1306" s="306"/>
      <c r="F1306" s="306" t="s">
        <v>3</v>
      </c>
      <c r="G1306" s="306" t="s">
        <v>488</v>
      </c>
      <c r="H1306" s="306"/>
      <c r="I1306" s="306"/>
      <c r="J1306" s="306" t="s">
        <v>941</v>
      </c>
      <c r="K1306" s="306"/>
      <c r="L1306" s="306"/>
      <c r="M1306" s="306" t="s">
        <v>2190</v>
      </c>
      <c r="N1306" s="306">
        <v>3000000</v>
      </c>
      <c r="O1306" s="306" t="s">
        <v>452</v>
      </c>
      <c r="P1306" s="306" t="s">
        <v>9129</v>
      </c>
      <c r="Q1306" s="306"/>
      <c r="R1306" s="306"/>
      <c r="S1306" s="543"/>
      <c r="T1306" s="543"/>
      <c r="U1306" s="306"/>
      <c r="V1306" s="306"/>
      <c r="W1306" s="306"/>
      <c r="X1306" s="306"/>
      <c r="Y1306" s="306"/>
      <c r="Z1306" s="306"/>
      <c r="AA1306" s="306"/>
      <c r="AB1306" s="306"/>
    </row>
    <row r="1307" spans="1:28" ht="15.75" hidden="1" customHeight="1">
      <c r="A1307" s="541">
        <v>44797</v>
      </c>
      <c r="B1307" s="306" t="s">
        <v>11314</v>
      </c>
      <c r="C1307" s="542"/>
      <c r="D1307" s="542"/>
      <c r="E1307" s="306" t="s">
        <v>3727</v>
      </c>
      <c r="F1307" s="306" t="s">
        <v>4</v>
      </c>
      <c r="G1307" s="306" t="s">
        <v>488</v>
      </c>
      <c r="H1307" s="306"/>
      <c r="I1307" s="306"/>
      <c r="J1307" s="306" t="s">
        <v>990</v>
      </c>
      <c r="K1307" s="306" t="s">
        <v>3729</v>
      </c>
      <c r="L1307" s="306">
        <v>5</v>
      </c>
      <c r="M1307" s="306"/>
      <c r="N1307" s="306"/>
      <c r="O1307" s="306" t="s">
        <v>452</v>
      </c>
      <c r="P1307" s="306" t="s">
        <v>11315</v>
      </c>
      <c r="Q1307" s="306"/>
      <c r="R1307" s="306"/>
      <c r="S1307" s="543"/>
      <c r="T1307" s="543"/>
      <c r="U1307" s="306"/>
      <c r="V1307" s="306"/>
      <c r="W1307" s="306"/>
      <c r="X1307" s="306"/>
      <c r="Y1307" s="306"/>
      <c r="Z1307" s="306"/>
      <c r="AA1307" s="306"/>
      <c r="AB1307" s="306"/>
    </row>
    <row r="1308" spans="1:28" ht="15.75" hidden="1" customHeight="1">
      <c r="A1308" s="541">
        <v>44797</v>
      </c>
      <c r="B1308" s="306" t="s">
        <v>348</v>
      </c>
      <c r="C1308" s="542"/>
      <c r="D1308" s="542"/>
      <c r="E1308" s="306" t="s">
        <v>1998</v>
      </c>
      <c r="F1308" s="306" t="s">
        <v>3</v>
      </c>
      <c r="G1308" s="306" t="s">
        <v>488</v>
      </c>
      <c r="H1308" s="306"/>
      <c r="I1308" s="306"/>
      <c r="J1308" s="306" t="s">
        <v>941</v>
      </c>
      <c r="K1308" s="306"/>
      <c r="L1308" s="306"/>
      <c r="M1308" s="306" t="s">
        <v>478</v>
      </c>
      <c r="N1308" s="306" t="s">
        <v>2001</v>
      </c>
      <c r="O1308" s="306" t="s">
        <v>452</v>
      </c>
      <c r="P1308" s="306" t="s">
        <v>452</v>
      </c>
      <c r="Q1308" s="306" t="s">
        <v>2002</v>
      </c>
      <c r="R1308" s="306"/>
      <c r="S1308" s="543"/>
      <c r="T1308" s="543"/>
      <c r="U1308" s="306"/>
      <c r="V1308" s="306"/>
      <c r="W1308" s="306"/>
      <c r="X1308" s="306"/>
      <c r="Y1308" s="306"/>
      <c r="Z1308" s="306"/>
      <c r="AA1308" s="306"/>
      <c r="AB1308" s="306"/>
    </row>
    <row r="1309" spans="1:28" ht="15.75" hidden="1" customHeight="1">
      <c r="A1309" s="541">
        <v>44797</v>
      </c>
      <c r="B1309" s="306" t="s">
        <v>378</v>
      </c>
      <c r="C1309" s="542"/>
      <c r="D1309" s="542"/>
      <c r="E1309" s="306" t="s">
        <v>9864</v>
      </c>
      <c r="F1309" s="306" t="s">
        <v>3</v>
      </c>
      <c r="G1309" s="306" t="s">
        <v>488</v>
      </c>
      <c r="H1309" s="306"/>
      <c r="I1309" s="306"/>
      <c r="J1309" s="306" t="s">
        <v>941</v>
      </c>
      <c r="K1309" s="306" t="s">
        <v>9866</v>
      </c>
      <c r="L1309" s="306">
        <v>4</v>
      </c>
      <c r="M1309" s="306" t="s">
        <v>451</v>
      </c>
      <c r="N1309" s="306" t="s">
        <v>9867</v>
      </c>
      <c r="O1309" s="306" t="s">
        <v>452</v>
      </c>
      <c r="P1309" s="306" t="s">
        <v>452</v>
      </c>
      <c r="Q1309" s="306" t="s">
        <v>9868</v>
      </c>
      <c r="R1309" s="306"/>
      <c r="S1309" s="543"/>
      <c r="T1309" s="543"/>
      <c r="U1309" s="306"/>
      <c r="V1309" s="306"/>
      <c r="W1309" s="306"/>
      <c r="X1309" s="306"/>
      <c r="Y1309" s="306"/>
      <c r="Z1309" s="306"/>
      <c r="AA1309" s="306"/>
      <c r="AB1309" s="306"/>
    </row>
    <row r="1310" spans="1:28" ht="15.75" hidden="1" customHeight="1">
      <c r="A1310" s="541">
        <v>44797</v>
      </c>
      <c r="B1310" s="306" t="s">
        <v>166</v>
      </c>
      <c r="C1310" s="542"/>
      <c r="D1310" s="542"/>
      <c r="E1310" s="306" t="s">
        <v>3650</v>
      </c>
      <c r="F1310" s="306" t="s">
        <v>4</v>
      </c>
      <c r="G1310" s="306" t="s">
        <v>488</v>
      </c>
      <c r="H1310" s="306"/>
      <c r="I1310" s="306"/>
      <c r="J1310" s="306" t="s">
        <v>1187</v>
      </c>
      <c r="K1310" s="306" t="s">
        <v>3652</v>
      </c>
      <c r="L1310" s="306">
        <v>5</v>
      </c>
      <c r="M1310" s="306" t="s">
        <v>451</v>
      </c>
      <c r="N1310" s="306">
        <v>2320000</v>
      </c>
      <c r="O1310" s="306" t="s">
        <v>452</v>
      </c>
      <c r="P1310" s="306" t="s">
        <v>3653</v>
      </c>
      <c r="Q1310" s="306"/>
      <c r="R1310" s="306"/>
      <c r="S1310" s="543"/>
      <c r="T1310" s="543"/>
      <c r="U1310" s="306"/>
      <c r="V1310" s="306"/>
      <c r="W1310" s="306"/>
      <c r="X1310" s="306"/>
      <c r="Y1310" s="306"/>
      <c r="Z1310" s="306"/>
      <c r="AA1310" s="306"/>
      <c r="AB1310" s="306"/>
    </row>
    <row r="1311" spans="1:28" ht="15.75" hidden="1" customHeight="1">
      <c r="A1311" s="541">
        <v>44797</v>
      </c>
      <c r="B1311" s="306" t="s">
        <v>7774</v>
      </c>
      <c r="C1311" s="542"/>
      <c r="D1311" s="542"/>
      <c r="E1311" s="306" t="s">
        <v>11340</v>
      </c>
      <c r="F1311" s="306" t="s">
        <v>4</v>
      </c>
      <c r="G1311" s="306" t="s">
        <v>488</v>
      </c>
      <c r="H1311" s="306"/>
      <c r="I1311" s="306"/>
      <c r="J1311" s="306" t="s">
        <v>1036</v>
      </c>
      <c r="K1311" s="306" t="s">
        <v>7779</v>
      </c>
      <c r="L1311" s="306">
        <v>1</v>
      </c>
      <c r="M1311" s="306"/>
      <c r="N1311" s="306"/>
      <c r="O1311" s="306" t="s">
        <v>452</v>
      </c>
      <c r="P1311" s="306" t="s">
        <v>11341</v>
      </c>
      <c r="Q1311" s="306"/>
      <c r="R1311" s="306"/>
      <c r="S1311" s="543"/>
      <c r="T1311" s="543"/>
      <c r="U1311" s="306"/>
      <c r="V1311" s="306"/>
      <c r="W1311" s="306"/>
      <c r="X1311" s="306"/>
      <c r="Y1311" s="306"/>
      <c r="Z1311" s="306"/>
      <c r="AA1311" s="306"/>
      <c r="AB1311" s="306"/>
    </row>
    <row r="1312" spans="1:28" ht="15.75" hidden="1" customHeight="1">
      <c r="A1312" s="541">
        <v>44797</v>
      </c>
      <c r="B1312" s="306" t="s">
        <v>170</v>
      </c>
      <c r="C1312" s="542"/>
      <c r="D1312" s="542"/>
      <c r="E1312" s="306"/>
      <c r="F1312" s="306" t="s">
        <v>4</v>
      </c>
      <c r="G1312" s="306" t="s">
        <v>725</v>
      </c>
      <c r="H1312" s="306"/>
      <c r="I1312" s="306">
        <v>4.5</v>
      </c>
      <c r="J1312" s="306" t="s">
        <v>462</v>
      </c>
      <c r="K1312" s="306"/>
      <c r="L1312" s="306"/>
      <c r="M1312" s="306" t="s">
        <v>1103</v>
      </c>
      <c r="N1312" s="546">
        <v>8000000</v>
      </c>
      <c r="O1312" s="306" t="s">
        <v>452</v>
      </c>
      <c r="P1312" s="306" t="s">
        <v>575</v>
      </c>
      <c r="Q1312" s="306"/>
      <c r="R1312" s="306"/>
      <c r="S1312" s="543"/>
      <c r="T1312" s="543"/>
      <c r="U1312" s="306"/>
      <c r="V1312" s="306"/>
      <c r="W1312" s="306"/>
      <c r="X1312" s="306"/>
      <c r="Y1312" s="306"/>
      <c r="Z1312" s="306"/>
      <c r="AA1312" s="306"/>
      <c r="AB1312" s="306"/>
    </row>
    <row r="1313" spans="1:28" ht="15.75" hidden="1" customHeight="1">
      <c r="A1313" s="541">
        <v>44797</v>
      </c>
      <c r="B1313" s="306" t="s">
        <v>5271</v>
      </c>
      <c r="C1313" s="542"/>
      <c r="D1313" s="542"/>
      <c r="E1313" s="306" t="s">
        <v>5274</v>
      </c>
      <c r="F1313" s="306" t="s">
        <v>4</v>
      </c>
      <c r="G1313" s="306" t="s">
        <v>1045</v>
      </c>
      <c r="H1313" s="306"/>
      <c r="I1313" s="306"/>
      <c r="J1313" s="306" t="s">
        <v>1350</v>
      </c>
      <c r="K1313" s="306"/>
      <c r="L1313" s="306"/>
      <c r="M1313" s="306"/>
      <c r="N1313" s="306"/>
      <c r="O1313" s="306" t="s">
        <v>452</v>
      </c>
      <c r="P1313" s="306" t="s">
        <v>5277</v>
      </c>
      <c r="Q1313" s="306"/>
      <c r="R1313" s="306"/>
      <c r="S1313" s="543"/>
      <c r="T1313" s="543"/>
      <c r="U1313" s="306"/>
      <c r="V1313" s="306"/>
      <c r="W1313" s="306"/>
      <c r="X1313" s="306"/>
      <c r="Y1313" s="306"/>
      <c r="Z1313" s="306"/>
      <c r="AA1313" s="306"/>
      <c r="AB1313" s="306"/>
    </row>
    <row r="1314" spans="1:28" ht="15.75" hidden="1" customHeight="1">
      <c r="A1314" s="541">
        <v>44797</v>
      </c>
      <c r="B1314" s="306" t="s">
        <v>6849</v>
      </c>
      <c r="C1314" s="542"/>
      <c r="D1314" s="542"/>
      <c r="E1314" s="306" t="s">
        <v>6852</v>
      </c>
      <c r="F1314" s="306" t="s">
        <v>4</v>
      </c>
      <c r="G1314" s="306" t="s">
        <v>488</v>
      </c>
      <c r="H1314" s="306"/>
      <c r="I1314" s="306"/>
      <c r="J1314" s="306" t="s">
        <v>1457</v>
      </c>
      <c r="K1314" s="306" t="s">
        <v>6854</v>
      </c>
      <c r="L1314" s="306">
        <v>1</v>
      </c>
      <c r="M1314" s="306"/>
      <c r="N1314" s="306"/>
      <c r="O1314" s="306" t="s">
        <v>452</v>
      </c>
      <c r="P1314" s="306" t="s">
        <v>452</v>
      </c>
      <c r="Q1314" s="306" t="s">
        <v>725</v>
      </c>
      <c r="R1314" s="306"/>
      <c r="S1314" s="543"/>
      <c r="T1314" s="543"/>
      <c r="U1314" s="306"/>
      <c r="V1314" s="306"/>
      <c r="W1314" s="306"/>
      <c r="X1314" s="306"/>
      <c r="Y1314" s="306"/>
      <c r="Z1314" s="306"/>
      <c r="AA1314" s="306"/>
      <c r="AB1314" s="306"/>
    </row>
    <row r="1315" spans="1:28" ht="15.75" hidden="1" customHeight="1">
      <c r="A1315" s="541">
        <v>44797</v>
      </c>
      <c r="B1315" s="306" t="s">
        <v>7877</v>
      </c>
      <c r="C1315" s="542"/>
      <c r="D1315" s="542"/>
      <c r="E1315" s="306" t="s">
        <v>11351</v>
      </c>
      <c r="F1315" s="306" t="s">
        <v>4</v>
      </c>
      <c r="G1315" s="306" t="s">
        <v>488</v>
      </c>
      <c r="H1315" s="306"/>
      <c r="I1315" s="306"/>
      <c r="J1315" s="306" t="s">
        <v>1281</v>
      </c>
      <c r="K1315" s="306" t="s">
        <v>7882</v>
      </c>
      <c r="L1315" s="306">
        <v>2</v>
      </c>
      <c r="M1315" s="306" t="s">
        <v>451</v>
      </c>
      <c r="N1315" s="306">
        <v>1000000</v>
      </c>
      <c r="O1315" s="306" t="s">
        <v>465</v>
      </c>
      <c r="P1315" s="306" t="s">
        <v>7883</v>
      </c>
      <c r="Q1315" s="306" t="s">
        <v>7884</v>
      </c>
      <c r="R1315" s="306"/>
      <c r="S1315" s="543"/>
      <c r="T1315" s="543"/>
      <c r="U1315" s="306"/>
      <c r="V1315" s="306"/>
      <c r="W1315" s="306"/>
      <c r="X1315" s="306"/>
      <c r="Y1315" s="306"/>
      <c r="Z1315" s="306"/>
      <c r="AA1315" s="306"/>
      <c r="AB1315" s="306"/>
    </row>
    <row r="1316" spans="1:28" ht="15.75" hidden="1" customHeight="1">
      <c r="A1316" s="541">
        <v>44797</v>
      </c>
      <c r="B1316" s="306" t="s">
        <v>11352</v>
      </c>
      <c r="C1316" s="542"/>
      <c r="D1316" s="542"/>
      <c r="E1316" s="306" t="s">
        <v>5301</v>
      </c>
      <c r="F1316" s="306" t="s">
        <v>4</v>
      </c>
      <c r="G1316" s="306" t="s">
        <v>602</v>
      </c>
      <c r="H1316" s="306"/>
      <c r="I1316" s="306"/>
      <c r="J1316" s="306" t="s">
        <v>1350</v>
      </c>
      <c r="K1316" s="306"/>
      <c r="L1316" s="306"/>
      <c r="M1316" s="306" t="s">
        <v>451</v>
      </c>
      <c r="N1316" s="545">
        <v>3000000</v>
      </c>
      <c r="O1316" s="306" t="s">
        <v>452</v>
      </c>
      <c r="P1316" s="306" t="s">
        <v>11353</v>
      </c>
      <c r="Q1316" s="306"/>
      <c r="R1316" s="306"/>
      <c r="S1316" s="543"/>
      <c r="T1316" s="543"/>
      <c r="U1316" s="306"/>
      <c r="V1316" s="306"/>
      <c r="W1316" s="306"/>
      <c r="X1316" s="306"/>
      <c r="Y1316" s="306"/>
      <c r="Z1316" s="306"/>
      <c r="AA1316" s="306"/>
      <c r="AB1316" s="306"/>
    </row>
    <row r="1317" spans="1:28" ht="15.75" hidden="1" customHeight="1">
      <c r="A1317" s="541">
        <v>44797</v>
      </c>
      <c r="B1317" s="306" t="s">
        <v>9105</v>
      </c>
      <c r="C1317" s="542"/>
      <c r="D1317" s="542"/>
      <c r="E1317" s="306" t="s">
        <v>11354</v>
      </c>
      <c r="F1317" s="306" t="s">
        <v>3</v>
      </c>
      <c r="G1317" s="306" t="s">
        <v>488</v>
      </c>
      <c r="H1317" s="306"/>
      <c r="I1317" s="306">
        <v>3</v>
      </c>
      <c r="J1317" s="306" t="s">
        <v>941</v>
      </c>
      <c r="K1317" s="306"/>
      <c r="L1317" s="306"/>
      <c r="M1317" s="306" t="s">
        <v>478</v>
      </c>
      <c r="N1317" s="306" t="s">
        <v>3555</v>
      </c>
      <c r="O1317" s="306" t="s">
        <v>452</v>
      </c>
      <c r="P1317" s="306" t="s">
        <v>11355</v>
      </c>
      <c r="Q1317" s="306"/>
      <c r="R1317" s="306"/>
      <c r="S1317" s="543"/>
      <c r="T1317" s="543"/>
      <c r="U1317" s="306"/>
      <c r="V1317" s="306"/>
      <c r="W1317" s="306"/>
      <c r="X1317" s="306"/>
      <c r="Y1317" s="306"/>
      <c r="Z1317" s="306"/>
      <c r="AA1317" s="306"/>
      <c r="AB1317" s="306"/>
    </row>
    <row r="1318" spans="1:28" ht="15.75" hidden="1" customHeight="1">
      <c r="A1318" s="541">
        <v>44797</v>
      </c>
      <c r="B1318" s="306" t="s">
        <v>6173</v>
      </c>
      <c r="C1318" s="542"/>
      <c r="D1318" s="542"/>
      <c r="E1318" s="306" t="s">
        <v>11357</v>
      </c>
      <c r="F1318" s="306" t="s">
        <v>4</v>
      </c>
      <c r="G1318" s="306" t="s">
        <v>488</v>
      </c>
      <c r="H1318" s="306"/>
      <c r="I1318" s="306"/>
      <c r="J1318" s="306" t="s">
        <v>990</v>
      </c>
      <c r="K1318" s="306" t="s">
        <v>6178</v>
      </c>
      <c r="L1318" s="306">
        <v>4</v>
      </c>
      <c r="M1318" s="306"/>
      <c r="N1318" s="306"/>
      <c r="O1318" s="306" t="s">
        <v>452</v>
      </c>
      <c r="P1318" s="306" t="s">
        <v>6179</v>
      </c>
      <c r="Q1318" s="306"/>
      <c r="R1318" s="306"/>
      <c r="S1318" s="543"/>
      <c r="T1318" s="543"/>
      <c r="U1318" s="306"/>
      <c r="V1318" s="306"/>
      <c r="W1318" s="306"/>
      <c r="X1318" s="306"/>
      <c r="Y1318" s="306"/>
      <c r="Z1318" s="306"/>
      <c r="AA1318" s="306"/>
      <c r="AB1318" s="306"/>
    </row>
    <row r="1319" spans="1:28" ht="15.75" hidden="1" customHeight="1">
      <c r="A1319" s="541">
        <v>44797</v>
      </c>
      <c r="B1319" s="306" t="s">
        <v>4585</v>
      </c>
      <c r="C1319" s="542"/>
      <c r="D1319" s="542"/>
      <c r="E1319" s="306" t="s">
        <v>4588</v>
      </c>
      <c r="F1319" s="306" t="s">
        <v>4</v>
      </c>
      <c r="G1319" s="306" t="s">
        <v>488</v>
      </c>
      <c r="H1319" s="306"/>
      <c r="I1319" s="306"/>
      <c r="J1319" s="306" t="s">
        <v>1073</v>
      </c>
      <c r="K1319" s="306" t="s">
        <v>4590</v>
      </c>
      <c r="L1319" s="306">
        <v>5</v>
      </c>
      <c r="M1319" s="306" t="s">
        <v>784</v>
      </c>
      <c r="N1319" s="306">
        <v>500000</v>
      </c>
      <c r="O1319" s="306" t="s">
        <v>452</v>
      </c>
      <c r="P1319" s="306" t="s">
        <v>4591</v>
      </c>
      <c r="Q1319" s="306"/>
      <c r="R1319" s="306"/>
      <c r="S1319" s="543"/>
      <c r="T1319" s="543"/>
      <c r="U1319" s="306"/>
      <c r="V1319" s="306"/>
      <c r="W1319" s="306"/>
      <c r="X1319" s="306"/>
      <c r="Y1319" s="306"/>
      <c r="Z1319" s="306"/>
      <c r="AA1319" s="306"/>
      <c r="AB1319" s="306"/>
    </row>
    <row r="1320" spans="1:28" ht="15.75" hidden="1" customHeight="1">
      <c r="A1320" s="541">
        <v>44797</v>
      </c>
      <c r="B1320" s="306" t="s">
        <v>251</v>
      </c>
      <c r="C1320" s="542"/>
      <c r="D1320" s="542"/>
      <c r="E1320" s="306" t="s">
        <v>1455</v>
      </c>
      <c r="F1320" s="306" t="s">
        <v>4</v>
      </c>
      <c r="G1320" s="306" t="s">
        <v>488</v>
      </c>
      <c r="H1320" s="306"/>
      <c r="I1320" s="306"/>
      <c r="J1320" s="306" t="s">
        <v>1457</v>
      </c>
      <c r="K1320" s="306" t="s">
        <v>1458</v>
      </c>
      <c r="L1320" s="306">
        <v>4</v>
      </c>
      <c r="M1320" s="306" t="s">
        <v>784</v>
      </c>
      <c r="N1320" s="306">
        <v>750000</v>
      </c>
      <c r="O1320" s="306" t="s">
        <v>452</v>
      </c>
      <c r="P1320" s="306" t="s">
        <v>11381</v>
      </c>
      <c r="Q1320" s="306"/>
      <c r="R1320" s="306"/>
      <c r="S1320" s="543"/>
      <c r="T1320" s="543"/>
      <c r="U1320" s="306"/>
      <c r="V1320" s="306"/>
      <c r="W1320" s="306"/>
      <c r="X1320" s="306"/>
      <c r="Y1320" s="306"/>
      <c r="Z1320" s="306"/>
      <c r="AA1320" s="306"/>
      <c r="AB1320" s="306"/>
    </row>
    <row r="1321" spans="1:28" ht="15.75" hidden="1" customHeight="1">
      <c r="A1321" s="541">
        <v>44797</v>
      </c>
      <c r="B1321" s="306" t="s">
        <v>5709</v>
      </c>
      <c r="C1321" s="542"/>
      <c r="D1321" s="542"/>
      <c r="E1321" s="306" t="s">
        <v>11442</v>
      </c>
      <c r="F1321" s="306" t="s">
        <v>4</v>
      </c>
      <c r="G1321" s="306" t="s">
        <v>1045</v>
      </c>
      <c r="H1321" s="306" t="s">
        <v>5713</v>
      </c>
      <c r="I1321" s="306">
        <v>2.5</v>
      </c>
      <c r="J1321" s="306" t="s">
        <v>1350</v>
      </c>
      <c r="K1321" s="306"/>
      <c r="L1321" s="306"/>
      <c r="M1321" s="306" t="s">
        <v>451</v>
      </c>
      <c r="N1321" s="546">
        <v>615000</v>
      </c>
      <c r="O1321" s="306" t="s">
        <v>454</v>
      </c>
      <c r="P1321" s="306" t="s">
        <v>11443</v>
      </c>
      <c r="Q1321" s="306"/>
      <c r="R1321" s="306"/>
      <c r="S1321" s="543"/>
      <c r="T1321" s="543"/>
      <c r="U1321" s="306"/>
      <c r="V1321" s="306"/>
      <c r="W1321" s="306"/>
      <c r="X1321" s="306"/>
      <c r="Y1321" s="306"/>
      <c r="Z1321" s="306"/>
      <c r="AA1321" s="306"/>
      <c r="AB1321" s="306"/>
    </row>
    <row r="1322" spans="1:28" ht="15.75" hidden="1" customHeight="1">
      <c r="A1322" s="541">
        <v>44797</v>
      </c>
      <c r="B1322" s="306" t="s">
        <v>5774</v>
      </c>
      <c r="C1322" s="542"/>
      <c r="D1322" s="542"/>
      <c r="E1322" s="306" t="s">
        <v>5777</v>
      </c>
      <c r="F1322" s="306" t="s">
        <v>4</v>
      </c>
      <c r="G1322" s="306" t="s">
        <v>725</v>
      </c>
      <c r="H1322" s="306" t="s">
        <v>10261</v>
      </c>
      <c r="I1322" s="306">
        <v>3</v>
      </c>
      <c r="J1322" s="306" t="s">
        <v>622</v>
      </c>
      <c r="K1322" s="306"/>
      <c r="L1322" s="306"/>
      <c r="M1322" s="306" t="s">
        <v>451</v>
      </c>
      <c r="N1322" s="306">
        <v>2200000</v>
      </c>
      <c r="O1322" s="306" t="s">
        <v>452</v>
      </c>
      <c r="P1322" s="306" t="s">
        <v>10263</v>
      </c>
      <c r="Q1322" s="306"/>
      <c r="R1322" s="306"/>
      <c r="S1322" s="543"/>
      <c r="T1322" s="543"/>
      <c r="U1322" s="306"/>
      <c r="V1322" s="306"/>
      <c r="W1322" s="306"/>
      <c r="X1322" s="306"/>
      <c r="Y1322" s="306"/>
      <c r="Z1322" s="306"/>
      <c r="AA1322" s="306"/>
      <c r="AB1322" s="306"/>
    </row>
    <row r="1323" spans="1:28" ht="15.75" hidden="1" customHeight="1">
      <c r="A1323" s="541">
        <v>44797</v>
      </c>
      <c r="B1323" s="306" t="s">
        <v>10385</v>
      </c>
      <c r="C1323" s="542"/>
      <c r="D1323" s="542"/>
      <c r="E1323" s="306" t="s">
        <v>10386</v>
      </c>
      <c r="F1323" s="306" t="s">
        <v>4</v>
      </c>
      <c r="G1323" s="306" t="s">
        <v>1045</v>
      </c>
      <c r="H1323" s="306" t="s">
        <v>7535</v>
      </c>
      <c r="I1323" s="306">
        <v>2</v>
      </c>
      <c r="J1323" s="306" t="s">
        <v>449</v>
      </c>
      <c r="K1323" s="306"/>
      <c r="L1323" s="306"/>
      <c r="M1323" s="306" t="s">
        <v>451</v>
      </c>
      <c r="N1323" s="306">
        <v>1200000</v>
      </c>
      <c r="O1323" s="306" t="s">
        <v>452</v>
      </c>
      <c r="P1323" s="306" t="s">
        <v>10388</v>
      </c>
      <c r="Q1323" s="306"/>
      <c r="R1323" s="306"/>
      <c r="S1323" s="543"/>
      <c r="T1323" s="543"/>
      <c r="U1323" s="306"/>
      <c r="V1323" s="306"/>
      <c r="W1323" s="306"/>
      <c r="X1323" s="306"/>
      <c r="Y1323" s="306"/>
      <c r="Z1323" s="306"/>
      <c r="AA1323" s="306"/>
      <c r="AB1323" s="306"/>
    </row>
    <row r="1324" spans="1:28" ht="15.75" hidden="1" customHeight="1">
      <c r="A1324" s="541">
        <v>44797</v>
      </c>
      <c r="B1324" s="306" t="s">
        <v>253</v>
      </c>
      <c r="C1324" s="542"/>
      <c r="D1324" s="542"/>
      <c r="E1324" s="306" t="s">
        <v>10413</v>
      </c>
      <c r="F1324" s="306" t="s">
        <v>4</v>
      </c>
      <c r="G1324" s="306" t="s">
        <v>727</v>
      </c>
      <c r="H1324" s="306" t="s">
        <v>10414</v>
      </c>
      <c r="I1324" s="306">
        <v>4</v>
      </c>
      <c r="J1324" s="306" t="s">
        <v>449</v>
      </c>
      <c r="K1324" s="306"/>
      <c r="L1324" s="306"/>
      <c r="M1324" s="306" t="s">
        <v>478</v>
      </c>
      <c r="N1324" s="306" t="s">
        <v>4076</v>
      </c>
      <c r="O1324" s="306" t="s">
        <v>452</v>
      </c>
      <c r="P1324" s="306" t="s">
        <v>4077</v>
      </c>
      <c r="Q1324" s="306"/>
      <c r="R1324" s="306"/>
      <c r="S1324" s="543"/>
      <c r="T1324" s="543"/>
      <c r="U1324" s="306"/>
      <c r="V1324" s="306"/>
      <c r="W1324" s="306"/>
      <c r="X1324" s="306"/>
      <c r="Y1324" s="306"/>
      <c r="Z1324" s="306"/>
      <c r="AA1324" s="306"/>
      <c r="AB1324" s="306"/>
    </row>
    <row r="1325" spans="1:28" ht="15.75" hidden="1" customHeight="1">
      <c r="A1325" s="541">
        <v>44797</v>
      </c>
      <c r="B1325" s="306" t="s">
        <v>6052</v>
      </c>
      <c r="C1325" s="542"/>
      <c r="D1325" s="542"/>
      <c r="E1325" s="306" t="s">
        <v>6055</v>
      </c>
      <c r="F1325" s="306" t="s">
        <v>4</v>
      </c>
      <c r="G1325" s="306" t="s">
        <v>727</v>
      </c>
      <c r="H1325" s="306" t="s">
        <v>10489</v>
      </c>
      <c r="I1325" s="306">
        <v>2.5</v>
      </c>
      <c r="J1325" s="306" t="s">
        <v>449</v>
      </c>
      <c r="K1325" s="306"/>
      <c r="L1325" s="306"/>
      <c r="M1325" s="306" t="s">
        <v>973</v>
      </c>
      <c r="N1325" s="306">
        <v>10000000</v>
      </c>
      <c r="O1325" s="306" t="s">
        <v>465</v>
      </c>
      <c r="P1325" s="306" t="s">
        <v>6058</v>
      </c>
      <c r="Q1325" s="306"/>
      <c r="R1325" s="306"/>
      <c r="S1325" s="543"/>
      <c r="T1325" s="543"/>
      <c r="U1325" s="306"/>
      <c r="V1325" s="306"/>
      <c r="W1325" s="306"/>
      <c r="X1325" s="306"/>
      <c r="Y1325" s="306"/>
      <c r="Z1325" s="306"/>
      <c r="AA1325" s="306"/>
      <c r="AB1325" s="306"/>
    </row>
    <row r="1326" spans="1:28" ht="15.75" hidden="1" customHeight="1">
      <c r="A1326" s="541">
        <v>44797</v>
      </c>
      <c r="B1326" s="306" t="s">
        <v>269</v>
      </c>
      <c r="C1326" s="542"/>
      <c r="D1326" s="542"/>
      <c r="E1326" s="306" t="s">
        <v>1559</v>
      </c>
      <c r="F1326" s="306" t="s">
        <v>4</v>
      </c>
      <c r="G1326" s="306" t="s">
        <v>727</v>
      </c>
      <c r="H1326" s="306" t="s">
        <v>10512</v>
      </c>
      <c r="I1326" s="306">
        <v>4.5</v>
      </c>
      <c r="J1326" s="306" t="s">
        <v>449</v>
      </c>
      <c r="K1326" s="306"/>
      <c r="L1326" s="306"/>
      <c r="M1326" s="306" t="s">
        <v>451</v>
      </c>
      <c r="N1326" s="306">
        <v>6000000</v>
      </c>
      <c r="O1326" s="306" t="s">
        <v>452</v>
      </c>
      <c r="P1326" s="306" t="s">
        <v>452</v>
      </c>
      <c r="Q1326" s="306" t="s">
        <v>1562</v>
      </c>
      <c r="R1326" s="306"/>
      <c r="S1326" s="543"/>
      <c r="T1326" s="543"/>
      <c r="U1326" s="306"/>
      <c r="V1326" s="306"/>
      <c r="W1326" s="306"/>
      <c r="X1326" s="306"/>
      <c r="Y1326" s="306"/>
      <c r="Z1326" s="306"/>
      <c r="AA1326" s="306"/>
      <c r="AB1326" s="306"/>
    </row>
    <row r="1327" spans="1:28" ht="15.75" hidden="1" customHeight="1">
      <c r="A1327" s="541">
        <v>44797</v>
      </c>
      <c r="B1327" s="306" t="s">
        <v>10541</v>
      </c>
      <c r="C1327" s="542"/>
      <c r="D1327" s="542"/>
      <c r="E1327" s="306" t="s">
        <v>10542</v>
      </c>
      <c r="F1327" s="306" t="s">
        <v>4</v>
      </c>
      <c r="G1327" s="306" t="s">
        <v>727</v>
      </c>
      <c r="H1327" s="306" t="s">
        <v>10543</v>
      </c>
      <c r="I1327" s="306">
        <v>3.5</v>
      </c>
      <c r="J1327" s="306" t="s">
        <v>449</v>
      </c>
      <c r="K1327" s="306"/>
      <c r="L1327" s="306"/>
      <c r="M1327" s="306" t="s">
        <v>478</v>
      </c>
      <c r="N1327" s="306" t="s">
        <v>5052</v>
      </c>
      <c r="O1327" s="306" t="s">
        <v>452</v>
      </c>
      <c r="P1327" s="306" t="s">
        <v>452</v>
      </c>
      <c r="Q1327" s="306"/>
      <c r="R1327" s="306"/>
      <c r="S1327" s="543"/>
      <c r="T1327" s="543"/>
      <c r="U1327" s="306"/>
      <c r="V1327" s="306"/>
      <c r="W1327" s="306"/>
      <c r="X1327" s="306"/>
      <c r="Y1327" s="306"/>
      <c r="Z1327" s="306"/>
      <c r="AA1327" s="306"/>
      <c r="AB1327" s="306"/>
    </row>
    <row r="1328" spans="1:28" ht="15.75" hidden="1" customHeight="1">
      <c r="A1328" s="541">
        <v>44797</v>
      </c>
      <c r="B1328" s="306" t="s">
        <v>175</v>
      </c>
      <c r="C1328" s="542"/>
      <c r="D1328" s="542"/>
      <c r="E1328" s="306" t="s">
        <v>10557</v>
      </c>
      <c r="F1328" s="306" t="s">
        <v>4</v>
      </c>
      <c r="G1328" s="306" t="s">
        <v>727</v>
      </c>
      <c r="H1328" s="306" t="s">
        <v>10558</v>
      </c>
      <c r="I1328" s="306">
        <v>4.5</v>
      </c>
      <c r="J1328" s="306" t="s">
        <v>449</v>
      </c>
      <c r="K1328" s="306"/>
      <c r="L1328" s="306"/>
      <c r="M1328" s="306" t="s">
        <v>923</v>
      </c>
      <c r="N1328" s="546">
        <v>3000000</v>
      </c>
      <c r="O1328" s="306" t="s">
        <v>452</v>
      </c>
      <c r="P1328" s="306" t="s">
        <v>452</v>
      </c>
      <c r="Q1328" s="306"/>
      <c r="R1328" s="306"/>
      <c r="S1328" s="543"/>
      <c r="T1328" s="543"/>
      <c r="U1328" s="306"/>
      <c r="V1328" s="306"/>
      <c r="W1328" s="306"/>
      <c r="X1328" s="306"/>
      <c r="Y1328" s="306"/>
      <c r="Z1328" s="306"/>
      <c r="AA1328" s="306"/>
      <c r="AB1328" s="306"/>
    </row>
    <row r="1329" spans="1:28" ht="15.75" hidden="1" customHeight="1">
      <c r="A1329" s="541">
        <v>44797</v>
      </c>
      <c r="B1329" s="306" t="s">
        <v>13230</v>
      </c>
      <c r="C1329" s="542"/>
      <c r="D1329" s="542"/>
      <c r="E1329" s="306" t="s">
        <v>1517</v>
      </c>
      <c r="F1329" s="306" t="s">
        <v>4</v>
      </c>
      <c r="G1329" s="306" t="s">
        <v>727</v>
      </c>
      <c r="H1329" s="306" t="s">
        <v>1518</v>
      </c>
      <c r="I1329" s="306">
        <v>4.5</v>
      </c>
      <c r="J1329" s="306" t="s">
        <v>543</v>
      </c>
      <c r="K1329" s="306"/>
      <c r="L1329" s="306"/>
      <c r="M1329" s="306"/>
      <c r="N1329" s="306"/>
      <c r="O1329" s="306" t="s">
        <v>452</v>
      </c>
      <c r="P1329" s="306" t="s">
        <v>10649</v>
      </c>
      <c r="Q1329" s="306"/>
      <c r="R1329" s="306"/>
      <c r="S1329" s="543"/>
      <c r="T1329" s="543"/>
      <c r="U1329" s="306"/>
      <c r="V1329" s="306"/>
      <c r="W1329" s="306"/>
      <c r="X1329" s="306"/>
      <c r="Y1329" s="306"/>
      <c r="Z1329" s="306"/>
      <c r="AA1329" s="306"/>
      <c r="AB1329" s="306"/>
    </row>
    <row r="1330" spans="1:28" ht="15.75" hidden="1" customHeight="1">
      <c r="A1330" s="541">
        <v>44797</v>
      </c>
      <c r="B1330" s="306" t="s">
        <v>4509</v>
      </c>
      <c r="C1330" s="542"/>
      <c r="D1330" s="542"/>
      <c r="E1330" s="306" t="s">
        <v>4512</v>
      </c>
      <c r="F1330" s="306" t="s">
        <v>4</v>
      </c>
      <c r="G1330" s="306" t="s">
        <v>727</v>
      </c>
      <c r="H1330" s="306" t="s">
        <v>4513</v>
      </c>
      <c r="I1330" s="306">
        <v>3.75</v>
      </c>
      <c r="J1330" s="306" t="s">
        <v>543</v>
      </c>
      <c r="K1330" s="306"/>
      <c r="L1330" s="306"/>
      <c r="M1330" s="306"/>
      <c r="N1330" s="306"/>
      <c r="O1330" s="306" t="s">
        <v>452</v>
      </c>
      <c r="P1330" s="306" t="s">
        <v>4515</v>
      </c>
      <c r="Q1330" s="306"/>
      <c r="R1330" s="306"/>
      <c r="S1330" s="543"/>
      <c r="T1330" s="543"/>
      <c r="U1330" s="306"/>
      <c r="V1330" s="306"/>
      <c r="W1330" s="306"/>
      <c r="X1330" s="306"/>
      <c r="Y1330" s="306"/>
      <c r="Z1330" s="306"/>
      <c r="AA1330" s="306"/>
      <c r="AB1330" s="306"/>
    </row>
    <row r="1331" spans="1:28" ht="15.75" hidden="1" customHeight="1">
      <c r="A1331" s="541">
        <v>44797</v>
      </c>
      <c r="B1331" s="306" t="s">
        <v>6873</v>
      </c>
      <c r="C1331" s="542"/>
      <c r="D1331" s="542"/>
      <c r="E1331" s="306" t="s">
        <v>6876</v>
      </c>
      <c r="F1331" s="306" t="s">
        <v>4</v>
      </c>
      <c r="G1331" s="306" t="s">
        <v>727</v>
      </c>
      <c r="H1331" s="306" t="s">
        <v>10688</v>
      </c>
      <c r="I1331" s="306">
        <v>2.5</v>
      </c>
      <c r="J1331" s="306" t="s">
        <v>543</v>
      </c>
      <c r="K1331" s="306"/>
      <c r="L1331" s="306"/>
      <c r="M1331" s="306" t="s">
        <v>784</v>
      </c>
      <c r="N1331" s="306">
        <v>720000</v>
      </c>
      <c r="O1331" s="306" t="s">
        <v>452</v>
      </c>
      <c r="P1331" s="306" t="s">
        <v>6879</v>
      </c>
      <c r="Q1331" s="306"/>
      <c r="R1331" s="306"/>
      <c r="S1331" s="543"/>
      <c r="T1331" s="543"/>
      <c r="U1331" s="306"/>
      <c r="V1331" s="306"/>
      <c r="W1331" s="306"/>
      <c r="X1331" s="306"/>
      <c r="Y1331" s="306"/>
      <c r="Z1331" s="306"/>
      <c r="AA1331" s="306"/>
      <c r="AB1331" s="306"/>
    </row>
    <row r="1332" spans="1:28" ht="15.75" hidden="1" customHeight="1">
      <c r="A1332" s="541">
        <v>44797</v>
      </c>
      <c r="B1332" s="306" t="s">
        <v>5486</v>
      </c>
      <c r="C1332" s="542"/>
      <c r="D1332" s="542"/>
      <c r="E1332" s="306" t="s">
        <v>10787</v>
      </c>
      <c r="F1332" s="306" t="s">
        <v>4</v>
      </c>
      <c r="G1332" s="306" t="s">
        <v>488</v>
      </c>
      <c r="H1332" s="306"/>
      <c r="I1332" s="306"/>
      <c r="J1332" s="306" t="s">
        <v>604</v>
      </c>
      <c r="K1332" s="306" t="s">
        <v>10788</v>
      </c>
      <c r="L1332" s="306">
        <v>3</v>
      </c>
      <c r="M1332" s="306" t="s">
        <v>451</v>
      </c>
      <c r="N1332" s="546">
        <v>500000</v>
      </c>
      <c r="O1332" s="306" t="s">
        <v>454</v>
      </c>
      <c r="P1332" s="306" t="s">
        <v>5492</v>
      </c>
      <c r="Q1332" s="306" t="s">
        <v>727</v>
      </c>
      <c r="R1332" s="306"/>
      <c r="S1332" s="543"/>
      <c r="T1332" s="543"/>
      <c r="U1332" s="306"/>
      <c r="V1332" s="306"/>
      <c r="W1332" s="306"/>
      <c r="X1332" s="306"/>
      <c r="Y1332" s="306"/>
      <c r="Z1332" s="306"/>
      <c r="AA1332" s="306"/>
      <c r="AB1332" s="306"/>
    </row>
    <row r="1333" spans="1:28" ht="15.75" hidden="1" customHeight="1">
      <c r="A1333" s="541">
        <v>44797</v>
      </c>
      <c r="B1333" s="306" t="s">
        <v>272</v>
      </c>
      <c r="C1333" s="542"/>
      <c r="D1333" s="542"/>
      <c r="E1333" s="306" t="s">
        <v>10791</v>
      </c>
      <c r="F1333" s="306" t="s">
        <v>4</v>
      </c>
      <c r="G1333" s="306" t="s">
        <v>488</v>
      </c>
      <c r="H1333" s="306"/>
      <c r="I1333" s="306"/>
      <c r="J1333" s="306" t="s">
        <v>622</v>
      </c>
      <c r="K1333" s="306"/>
      <c r="L1333" s="306"/>
      <c r="M1333" s="306" t="s">
        <v>1578</v>
      </c>
      <c r="N1333" s="306" t="s">
        <v>1579</v>
      </c>
      <c r="O1333" s="306" t="s">
        <v>452</v>
      </c>
      <c r="P1333" s="306" t="s">
        <v>1580</v>
      </c>
      <c r="Q1333" s="306"/>
      <c r="R1333" s="306"/>
      <c r="S1333" s="543"/>
      <c r="T1333" s="543"/>
      <c r="U1333" s="306"/>
      <c r="V1333" s="306"/>
      <c r="W1333" s="306"/>
      <c r="X1333" s="306"/>
      <c r="Y1333" s="306"/>
      <c r="Z1333" s="306"/>
      <c r="AA1333" s="306"/>
      <c r="AB1333" s="306"/>
    </row>
    <row r="1334" spans="1:28" ht="15.75" hidden="1" customHeight="1">
      <c r="A1334" s="541">
        <v>44797</v>
      </c>
      <c r="B1334" s="306" t="s">
        <v>226</v>
      </c>
      <c r="C1334" s="542"/>
      <c r="D1334" s="542"/>
      <c r="E1334" s="306" t="s">
        <v>3937</v>
      </c>
      <c r="F1334" s="306" t="s">
        <v>4</v>
      </c>
      <c r="G1334" s="306" t="s">
        <v>1045</v>
      </c>
      <c r="H1334" s="306"/>
      <c r="I1334" s="306"/>
      <c r="J1334" s="306" t="s">
        <v>1350</v>
      </c>
      <c r="K1334" s="306" t="s">
        <v>3939</v>
      </c>
      <c r="L1334" s="306">
        <v>4.5</v>
      </c>
      <c r="M1334" s="306"/>
      <c r="N1334" s="306"/>
      <c r="O1334" s="306" t="s">
        <v>452</v>
      </c>
      <c r="P1334" s="306" t="s">
        <v>3940</v>
      </c>
      <c r="Q1334" s="306"/>
      <c r="R1334" s="306"/>
      <c r="S1334" s="543"/>
      <c r="T1334" s="543"/>
      <c r="U1334" s="306"/>
      <c r="V1334" s="306"/>
      <c r="W1334" s="306"/>
      <c r="X1334" s="306"/>
      <c r="Y1334" s="306"/>
      <c r="Z1334" s="306"/>
      <c r="AA1334" s="306"/>
      <c r="AB1334" s="306"/>
    </row>
    <row r="1335" spans="1:28" ht="15.75" hidden="1" customHeight="1">
      <c r="A1335" s="541">
        <v>44797</v>
      </c>
      <c r="B1335" s="306" t="s">
        <v>7725</v>
      </c>
      <c r="C1335" s="542"/>
      <c r="D1335" s="542"/>
      <c r="E1335" s="306" t="s">
        <v>7728</v>
      </c>
      <c r="F1335" s="306" t="s">
        <v>4</v>
      </c>
      <c r="G1335" s="306" t="s">
        <v>1045</v>
      </c>
      <c r="H1335" s="306" t="s">
        <v>7729</v>
      </c>
      <c r="I1335" s="306">
        <v>1.5</v>
      </c>
      <c r="J1335" s="306" t="s">
        <v>1350</v>
      </c>
      <c r="K1335" s="306"/>
      <c r="L1335" s="306"/>
      <c r="M1335" s="306"/>
      <c r="N1335" s="306"/>
      <c r="O1335" s="306" t="s">
        <v>452</v>
      </c>
      <c r="P1335" s="306" t="s">
        <v>7731</v>
      </c>
      <c r="Q1335" s="306"/>
      <c r="R1335" s="306"/>
      <c r="S1335" s="543"/>
      <c r="T1335" s="543"/>
      <c r="U1335" s="306"/>
      <c r="V1335" s="306"/>
      <c r="W1335" s="306"/>
      <c r="X1335" s="306"/>
      <c r="Y1335" s="306"/>
      <c r="Z1335" s="306"/>
      <c r="AA1335" s="306"/>
      <c r="AB1335" s="306"/>
    </row>
    <row r="1336" spans="1:28" ht="15.75" hidden="1" customHeight="1">
      <c r="A1336" s="541">
        <v>44797</v>
      </c>
      <c r="B1336" s="306" t="s">
        <v>240</v>
      </c>
      <c r="C1336" s="542"/>
      <c r="D1336" s="542"/>
      <c r="E1336" s="306" t="s">
        <v>10823</v>
      </c>
      <c r="F1336" s="306" t="s">
        <v>4</v>
      </c>
      <c r="G1336" s="306" t="s">
        <v>1045</v>
      </c>
      <c r="H1336" s="306" t="s">
        <v>1407</v>
      </c>
      <c r="I1336" s="306">
        <v>4</v>
      </c>
      <c r="J1336" s="306" t="s">
        <v>1350</v>
      </c>
      <c r="K1336" s="306"/>
      <c r="L1336" s="306"/>
      <c r="M1336" s="306"/>
      <c r="N1336" s="306"/>
      <c r="O1336" s="306" t="s">
        <v>454</v>
      </c>
      <c r="P1336" s="306" t="s">
        <v>1409</v>
      </c>
      <c r="Q1336" s="306"/>
      <c r="R1336" s="306"/>
      <c r="S1336" s="543"/>
      <c r="T1336" s="543"/>
      <c r="U1336" s="306"/>
      <c r="V1336" s="306"/>
      <c r="W1336" s="306"/>
      <c r="X1336" s="306"/>
      <c r="Y1336" s="306"/>
      <c r="Z1336" s="306"/>
      <c r="AA1336" s="306"/>
      <c r="AB1336" s="306"/>
    </row>
    <row r="1337" spans="1:28" ht="15.75" hidden="1" customHeight="1">
      <c r="A1337" s="541">
        <v>44797</v>
      </c>
      <c r="B1337" s="306" t="s">
        <v>10829</v>
      </c>
      <c r="C1337" s="542"/>
      <c r="D1337" s="542"/>
      <c r="E1337" s="306" t="s">
        <v>5204</v>
      </c>
      <c r="F1337" s="306" t="s">
        <v>4</v>
      </c>
      <c r="G1337" s="306" t="s">
        <v>725</v>
      </c>
      <c r="H1337" s="306" t="s">
        <v>10830</v>
      </c>
      <c r="I1337" s="306">
        <v>3.5</v>
      </c>
      <c r="J1337" s="306" t="s">
        <v>622</v>
      </c>
      <c r="K1337" s="306"/>
      <c r="L1337" s="306"/>
      <c r="M1337" s="306" t="s">
        <v>451</v>
      </c>
      <c r="N1337" s="306" t="s">
        <v>5207</v>
      </c>
      <c r="O1337" s="306" t="s">
        <v>452</v>
      </c>
      <c r="P1337" s="306" t="s">
        <v>452</v>
      </c>
      <c r="Q1337" s="306"/>
      <c r="R1337" s="306"/>
      <c r="S1337" s="543"/>
      <c r="T1337" s="543"/>
      <c r="U1337" s="306"/>
      <c r="V1337" s="306"/>
      <c r="W1337" s="306"/>
      <c r="X1337" s="306"/>
      <c r="Y1337" s="306"/>
      <c r="Z1337" s="306"/>
      <c r="AA1337" s="306"/>
      <c r="AB1337" s="306"/>
    </row>
    <row r="1338" spans="1:28" ht="15.75" hidden="1" customHeight="1">
      <c r="A1338" s="541">
        <v>44797</v>
      </c>
      <c r="B1338" s="306" t="s">
        <v>5818</v>
      </c>
      <c r="C1338" s="542"/>
      <c r="D1338" s="542"/>
      <c r="E1338" s="306" t="s">
        <v>5821</v>
      </c>
      <c r="F1338" s="306" t="s">
        <v>4</v>
      </c>
      <c r="G1338" s="306" t="s">
        <v>1045</v>
      </c>
      <c r="H1338" s="306" t="s">
        <v>5822</v>
      </c>
      <c r="I1338" s="306">
        <v>3.5</v>
      </c>
      <c r="J1338" s="306" t="s">
        <v>1350</v>
      </c>
      <c r="K1338" s="306"/>
      <c r="L1338" s="306"/>
      <c r="M1338" s="306" t="s">
        <v>451</v>
      </c>
      <c r="N1338" s="306">
        <v>2000000</v>
      </c>
      <c r="O1338" s="306" t="s">
        <v>452</v>
      </c>
      <c r="P1338" s="306" t="s">
        <v>452</v>
      </c>
      <c r="Q1338" s="306"/>
      <c r="R1338" s="306"/>
      <c r="S1338" s="543"/>
      <c r="T1338" s="543"/>
      <c r="U1338" s="306"/>
      <c r="V1338" s="306"/>
      <c r="W1338" s="306"/>
      <c r="X1338" s="306"/>
      <c r="Y1338" s="306"/>
      <c r="Z1338" s="306"/>
      <c r="AA1338" s="306"/>
      <c r="AB1338" s="306"/>
    </row>
    <row r="1339" spans="1:28" ht="15.75" hidden="1" customHeight="1">
      <c r="A1339" s="541">
        <v>44797</v>
      </c>
      <c r="B1339" s="306" t="s">
        <v>4421</v>
      </c>
      <c r="C1339" s="542"/>
      <c r="D1339" s="542"/>
      <c r="E1339" s="306" t="s">
        <v>4424</v>
      </c>
      <c r="F1339" s="306" t="s">
        <v>4</v>
      </c>
      <c r="G1339" s="306" t="s">
        <v>602</v>
      </c>
      <c r="H1339" s="306" t="s">
        <v>4425</v>
      </c>
      <c r="I1339" s="306">
        <v>4</v>
      </c>
      <c r="J1339" s="306" t="s">
        <v>543</v>
      </c>
      <c r="K1339" s="306"/>
      <c r="L1339" s="306"/>
      <c r="M1339" s="306" t="s">
        <v>784</v>
      </c>
      <c r="N1339" s="545">
        <v>2000000</v>
      </c>
      <c r="O1339" s="306" t="s">
        <v>452</v>
      </c>
      <c r="P1339" s="306" t="s">
        <v>4427</v>
      </c>
      <c r="Q1339" s="306"/>
      <c r="R1339" s="306"/>
      <c r="S1339" s="543"/>
      <c r="T1339" s="543"/>
      <c r="U1339" s="306"/>
      <c r="V1339" s="306"/>
      <c r="W1339" s="306"/>
      <c r="X1339" s="306"/>
      <c r="Y1339" s="306"/>
      <c r="Z1339" s="306"/>
      <c r="AA1339" s="306"/>
      <c r="AB1339" s="306"/>
    </row>
    <row r="1340" spans="1:28" ht="15.75" hidden="1" customHeight="1">
      <c r="A1340" s="541">
        <v>44797</v>
      </c>
      <c r="B1340" s="306" t="s">
        <v>4610</v>
      </c>
      <c r="C1340" s="542"/>
      <c r="D1340" s="542"/>
      <c r="E1340" s="306" t="s">
        <v>4613</v>
      </c>
      <c r="F1340" s="306" t="s">
        <v>4</v>
      </c>
      <c r="G1340" s="306" t="s">
        <v>1045</v>
      </c>
      <c r="H1340" s="306"/>
      <c r="I1340" s="306"/>
      <c r="J1340" s="306" t="s">
        <v>604</v>
      </c>
      <c r="K1340" s="306" t="s">
        <v>11154</v>
      </c>
      <c r="L1340" s="306">
        <v>4</v>
      </c>
      <c r="M1340" s="306" t="s">
        <v>784</v>
      </c>
      <c r="N1340" s="545">
        <v>750000</v>
      </c>
      <c r="O1340" s="306" t="s">
        <v>454</v>
      </c>
      <c r="P1340" s="306" t="s">
        <v>4616</v>
      </c>
      <c r="Q1340" s="306"/>
      <c r="R1340" s="306"/>
      <c r="S1340" s="543"/>
      <c r="T1340" s="543"/>
      <c r="U1340" s="306"/>
      <c r="V1340" s="306"/>
      <c r="W1340" s="306"/>
      <c r="X1340" s="306"/>
      <c r="Y1340" s="306"/>
      <c r="Z1340" s="306"/>
      <c r="AA1340" s="306"/>
      <c r="AB1340" s="306"/>
    </row>
    <row r="1341" spans="1:28" ht="15.75" hidden="1" customHeight="1">
      <c r="A1341" s="541">
        <v>44797</v>
      </c>
      <c r="B1341" s="306" t="s">
        <v>5740</v>
      </c>
      <c r="C1341" s="542"/>
      <c r="D1341" s="542"/>
      <c r="E1341" s="306" t="s">
        <v>11193</v>
      </c>
      <c r="F1341" s="306" t="s">
        <v>4</v>
      </c>
      <c r="G1341" s="306" t="s">
        <v>1045</v>
      </c>
      <c r="H1341" s="306"/>
      <c r="I1341" s="306"/>
      <c r="J1341" s="306" t="s">
        <v>1457</v>
      </c>
      <c r="K1341" s="306" t="s">
        <v>5745</v>
      </c>
      <c r="L1341" s="306">
        <v>3</v>
      </c>
      <c r="M1341" s="306" t="s">
        <v>451</v>
      </c>
      <c r="N1341" s="306">
        <v>500000</v>
      </c>
      <c r="O1341" s="306" t="s">
        <v>452</v>
      </c>
      <c r="P1341" s="306" t="s">
        <v>11194</v>
      </c>
      <c r="Q1341" s="306"/>
      <c r="R1341" s="306"/>
      <c r="S1341" s="543"/>
      <c r="T1341" s="543"/>
      <c r="U1341" s="306"/>
      <c r="V1341" s="306"/>
      <c r="W1341" s="306"/>
      <c r="X1341" s="306"/>
      <c r="Y1341" s="306"/>
      <c r="Z1341" s="306"/>
      <c r="AA1341" s="306"/>
      <c r="AB1341" s="306"/>
    </row>
    <row r="1342" spans="1:28" ht="15.75" hidden="1" customHeight="1">
      <c r="A1342" s="541">
        <v>44797</v>
      </c>
      <c r="B1342" s="306" t="s">
        <v>6882</v>
      </c>
      <c r="C1342" s="542"/>
      <c r="D1342" s="542"/>
      <c r="E1342" s="306" t="s">
        <v>6885</v>
      </c>
      <c r="F1342" s="306" t="s">
        <v>4</v>
      </c>
      <c r="G1342" s="306" t="s">
        <v>602</v>
      </c>
      <c r="H1342" s="306" t="s">
        <v>6886</v>
      </c>
      <c r="I1342" s="306">
        <v>2.5</v>
      </c>
      <c r="J1342" s="306" t="s">
        <v>543</v>
      </c>
      <c r="K1342" s="306"/>
      <c r="L1342" s="306"/>
      <c r="M1342" s="306" t="s">
        <v>6888</v>
      </c>
      <c r="N1342" s="306" t="s">
        <v>6889</v>
      </c>
      <c r="O1342" s="306" t="s">
        <v>452</v>
      </c>
      <c r="P1342" s="306" t="s">
        <v>452</v>
      </c>
      <c r="Q1342" s="306" t="s">
        <v>585</v>
      </c>
      <c r="R1342" s="306"/>
      <c r="S1342" s="543"/>
      <c r="T1342" s="543"/>
      <c r="U1342" s="306"/>
      <c r="V1342" s="306"/>
      <c r="W1342" s="306"/>
      <c r="X1342" s="306"/>
      <c r="Y1342" s="306"/>
      <c r="Z1342" s="306"/>
      <c r="AA1342" s="306"/>
      <c r="AB1342" s="306"/>
    </row>
    <row r="1343" spans="1:28" ht="15.75" hidden="1" customHeight="1">
      <c r="A1343" s="541">
        <v>44797</v>
      </c>
      <c r="B1343" s="306" t="s">
        <v>366</v>
      </c>
      <c r="C1343" s="542"/>
      <c r="D1343" s="542"/>
      <c r="E1343" s="306"/>
      <c r="F1343" s="306" t="s">
        <v>3</v>
      </c>
      <c r="G1343" s="306" t="s">
        <v>488</v>
      </c>
      <c r="H1343" s="306"/>
      <c r="I1343" s="306"/>
      <c r="J1343" s="306" t="s">
        <v>941</v>
      </c>
      <c r="K1343" s="306"/>
      <c r="L1343" s="306"/>
      <c r="M1343" s="306" t="s">
        <v>9811</v>
      </c>
      <c r="N1343" s="306">
        <v>1000000</v>
      </c>
      <c r="O1343" s="306" t="s">
        <v>452</v>
      </c>
      <c r="P1343" s="306" t="s">
        <v>9812</v>
      </c>
      <c r="Q1343" s="306"/>
      <c r="R1343" s="306"/>
      <c r="S1343" s="543"/>
      <c r="T1343" s="543"/>
      <c r="U1343" s="306"/>
      <c r="V1343" s="306"/>
      <c r="W1343" s="306"/>
      <c r="X1343" s="306"/>
      <c r="Y1343" s="306"/>
      <c r="Z1343" s="306"/>
      <c r="AA1343" s="306"/>
      <c r="AB1343" s="306"/>
    </row>
    <row r="1344" spans="1:28" ht="15.75" hidden="1" customHeight="1">
      <c r="A1344" s="541">
        <v>44797</v>
      </c>
      <c r="B1344" s="306" t="s">
        <v>61</v>
      </c>
      <c r="C1344" s="542"/>
      <c r="D1344" s="542"/>
      <c r="E1344" s="306"/>
      <c r="F1344" s="306" t="s">
        <v>4</v>
      </c>
      <c r="G1344" s="306" t="s">
        <v>725</v>
      </c>
      <c r="H1344" s="306" t="s">
        <v>11308</v>
      </c>
      <c r="I1344" s="306">
        <v>4</v>
      </c>
      <c r="J1344" s="306" t="s">
        <v>622</v>
      </c>
      <c r="K1344" s="306"/>
      <c r="L1344" s="306"/>
      <c r="M1344" s="306" t="s">
        <v>913</v>
      </c>
      <c r="N1344" s="306">
        <v>850000</v>
      </c>
      <c r="O1344" s="306" t="s">
        <v>452</v>
      </c>
      <c r="P1344" s="306" t="s">
        <v>914</v>
      </c>
      <c r="Q1344" s="306"/>
      <c r="R1344" s="306"/>
      <c r="S1344" s="543"/>
      <c r="T1344" s="543"/>
      <c r="U1344" s="306"/>
      <c r="V1344" s="306"/>
      <c r="W1344" s="306"/>
      <c r="X1344" s="306"/>
      <c r="Y1344" s="306"/>
      <c r="Z1344" s="306"/>
      <c r="AA1344" s="306"/>
      <c r="AB1344" s="306"/>
    </row>
    <row r="1345" spans="1:28" ht="15.75" hidden="1" customHeight="1">
      <c r="A1345" s="541">
        <v>44797</v>
      </c>
      <c r="B1345" s="306" t="s">
        <v>7492</v>
      </c>
      <c r="C1345" s="542"/>
      <c r="D1345" s="542"/>
      <c r="E1345" s="306" t="s">
        <v>7495</v>
      </c>
      <c r="F1345" s="306" t="s">
        <v>4</v>
      </c>
      <c r="G1345" s="306" t="s">
        <v>488</v>
      </c>
      <c r="H1345" s="306"/>
      <c r="I1345" s="306"/>
      <c r="J1345" s="306" t="s">
        <v>1457</v>
      </c>
      <c r="K1345" s="306" t="s">
        <v>7497</v>
      </c>
      <c r="L1345" s="306">
        <v>2</v>
      </c>
      <c r="M1345" s="306" t="s">
        <v>784</v>
      </c>
      <c r="N1345" s="545">
        <v>1000000</v>
      </c>
      <c r="O1345" s="306" t="s">
        <v>452</v>
      </c>
      <c r="P1345" s="306" t="s">
        <v>7498</v>
      </c>
      <c r="Q1345" s="306"/>
      <c r="R1345" s="306"/>
      <c r="S1345" s="543"/>
      <c r="T1345" s="543"/>
      <c r="U1345" s="306"/>
      <c r="V1345" s="306"/>
      <c r="W1345" s="306"/>
      <c r="X1345" s="306"/>
      <c r="Y1345" s="306"/>
      <c r="Z1345" s="306"/>
      <c r="AA1345" s="306"/>
      <c r="AB1345" s="306"/>
    </row>
    <row r="1346" spans="1:28" ht="15.75" hidden="1" customHeight="1">
      <c r="A1346" s="541">
        <v>44797</v>
      </c>
      <c r="B1346" s="306" t="s">
        <v>5529</v>
      </c>
      <c r="C1346" s="542"/>
      <c r="D1346" s="542"/>
      <c r="E1346" s="306" t="s">
        <v>5532</v>
      </c>
      <c r="F1346" s="306" t="s">
        <v>4</v>
      </c>
      <c r="G1346" s="306" t="s">
        <v>488</v>
      </c>
      <c r="H1346" s="306"/>
      <c r="I1346" s="306"/>
      <c r="J1346" s="306" t="s">
        <v>1187</v>
      </c>
      <c r="K1346" s="306" t="s">
        <v>5534</v>
      </c>
      <c r="L1346" s="306">
        <v>4</v>
      </c>
      <c r="M1346" s="306"/>
      <c r="N1346" s="306"/>
      <c r="O1346" s="306" t="s">
        <v>452</v>
      </c>
      <c r="P1346" s="306" t="s">
        <v>5535</v>
      </c>
      <c r="Q1346" s="306"/>
      <c r="R1346" s="306"/>
      <c r="S1346" s="543"/>
      <c r="T1346" s="543"/>
      <c r="U1346" s="306"/>
      <c r="V1346" s="306"/>
      <c r="W1346" s="306"/>
      <c r="X1346" s="306"/>
      <c r="Y1346" s="306"/>
      <c r="Z1346" s="306"/>
      <c r="AA1346" s="306"/>
      <c r="AB1346" s="306"/>
    </row>
    <row r="1347" spans="1:28" ht="15.75" hidden="1" customHeight="1">
      <c r="A1347" s="253"/>
      <c r="B1347" s="224"/>
      <c r="C1347" s="316"/>
      <c r="D1347" s="316"/>
      <c r="E1347" s="224"/>
      <c r="F1347" s="224"/>
      <c r="G1347" s="224"/>
      <c r="H1347" s="224"/>
      <c r="I1347" s="224"/>
      <c r="J1347" s="224"/>
      <c r="K1347" s="224"/>
      <c r="L1347" s="224"/>
      <c r="M1347" s="224"/>
      <c r="N1347" s="224"/>
      <c r="O1347" s="224"/>
      <c r="P1347" s="224"/>
      <c r="Q1347" s="224"/>
      <c r="R1347" s="224"/>
      <c r="S1347" s="254"/>
      <c r="T1347" s="254"/>
      <c r="U1347" s="224"/>
      <c r="V1347" s="224"/>
      <c r="W1347" s="224"/>
      <c r="X1347" s="224"/>
      <c r="Y1347" s="224"/>
      <c r="Z1347" s="224"/>
      <c r="AA1347" s="224"/>
      <c r="AB1347" s="224"/>
    </row>
    <row r="1348" spans="1:28" ht="15.75" hidden="1" customHeight="1">
      <c r="A1348" s="248"/>
      <c r="B1348" s="219"/>
      <c r="C1348" s="315"/>
      <c r="D1348" s="315"/>
      <c r="E1348" s="219"/>
      <c r="F1348" s="219"/>
      <c r="G1348" s="219"/>
      <c r="H1348" s="219"/>
      <c r="I1348" s="219"/>
      <c r="J1348" s="219"/>
      <c r="K1348" s="219"/>
      <c r="L1348" s="219"/>
      <c r="M1348" s="219"/>
      <c r="N1348" s="219"/>
      <c r="O1348" s="219"/>
      <c r="P1348" s="219"/>
      <c r="Q1348" s="219"/>
      <c r="R1348" s="219"/>
      <c r="S1348" s="251"/>
      <c r="T1348" s="251"/>
      <c r="U1348" s="219"/>
      <c r="V1348" s="219"/>
      <c r="W1348" s="219"/>
      <c r="X1348" s="219"/>
      <c r="Y1348" s="219"/>
      <c r="Z1348" s="219"/>
      <c r="AA1348" s="219"/>
      <c r="AB1348" s="219"/>
    </row>
    <row r="1349" spans="1:28" ht="15.75" hidden="1" customHeight="1">
      <c r="A1349" s="253"/>
      <c r="B1349" s="224"/>
      <c r="C1349" s="316"/>
      <c r="D1349" s="316"/>
      <c r="E1349" s="224"/>
      <c r="F1349" s="224"/>
      <c r="G1349" s="224"/>
      <c r="H1349" s="224"/>
      <c r="I1349" s="224"/>
      <c r="J1349" s="224"/>
      <c r="K1349" s="224"/>
      <c r="L1349" s="224"/>
      <c r="M1349" s="224"/>
      <c r="N1349" s="224"/>
      <c r="O1349" s="224"/>
      <c r="P1349" s="224"/>
      <c r="Q1349" s="224"/>
      <c r="R1349" s="224"/>
      <c r="S1349" s="254"/>
      <c r="T1349" s="254"/>
      <c r="U1349" s="224"/>
      <c r="V1349" s="224"/>
      <c r="W1349" s="224"/>
      <c r="X1349" s="224"/>
      <c r="Y1349" s="224"/>
      <c r="Z1349" s="224"/>
      <c r="AA1349" s="224"/>
      <c r="AB1349" s="224"/>
    </row>
    <row r="1350" spans="1:28" ht="15.75" hidden="1" customHeight="1">
      <c r="A1350" s="248"/>
      <c r="B1350" s="219"/>
      <c r="C1350" s="315"/>
      <c r="D1350" s="315"/>
      <c r="E1350" s="219"/>
      <c r="F1350" s="219"/>
      <c r="G1350" s="219"/>
      <c r="H1350" s="219"/>
      <c r="I1350" s="219"/>
      <c r="J1350" s="219"/>
      <c r="K1350" s="219"/>
      <c r="L1350" s="219"/>
      <c r="M1350" s="219"/>
      <c r="N1350" s="219"/>
      <c r="O1350" s="219"/>
      <c r="P1350" s="219"/>
      <c r="Q1350" s="219"/>
      <c r="R1350" s="219"/>
      <c r="S1350" s="251"/>
      <c r="T1350" s="251"/>
      <c r="U1350" s="219"/>
      <c r="V1350" s="219"/>
      <c r="W1350" s="219"/>
      <c r="X1350" s="219"/>
      <c r="Y1350" s="219"/>
      <c r="Z1350" s="219"/>
      <c r="AA1350" s="219"/>
      <c r="AB1350" s="219"/>
    </row>
    <row r="1351" spans="1:28" ht="15.75" hidden="1" customHeight="1">
      <c r="A1351" s="253"/>
      <c r="B1351" s="224"/>
      <c r="C1351" s="316"/>
      <c r="D1351" s="316"/>
      <c r="E1351" s="224"/>
      <c r="F1351" s="224"/>
      <c r="G1351" s="224"/>
      <c r="H1351" s="224"/>
      <c r="I1351" s="224"/>
      <c r="J1351" s="224"/>
      <c r="K1351" s="224"/>
      <c r="L1351" s="224"/>
      <c r="M1351" s="224"/>
      <c r="N1351" s="224"/>
      <c r="O1351" s="224"/>
      <c r="P1351" s="224"/>
      <c r="Q1351" s="224"/>
      <c r="R1351" s="224"/>
      <c r="S1351" s="254"/>
      <c r="T1351" s="254"/>
      <c r="U1351" s="224"/>
      <c r="V1351" s="224"/>
      <c r="W1351" s="224"/>
      <c r="X1351" s="224"/>
      <c r="Y1351" s="224"/>
      <c r="Z1351" s="224"/>
      <c r="AA1351" s="224"/>
      <c r="AB1351" s="224"/>
    </row>
    <row r="1352" spans="1:28" ht="15.75" hidden="1" customHeight="1">
      <c r="A1352" s="248"/>
      <c r="B1352" s="219"/>
      <c r="C1352" s="315"/>
      <c r="D1352" s="315"/>
      <c r="E1352" s="219"/>
      <c r="F1352" s="219"/>
      <c r="G1352" s="219"/>
      <c r="H1352" s="219"/>
      <c r="I1352" s="219"/>
      <c r="J1352" s="219"/>
      <c r="K1352" s="219"/>
      <c r="L1352" s="219"/>
      <c r="M1352" s="219"/>
      <c r="N1352" s="219"/>
      <c r="O1352" s="219"/>
      <c r="P1352" s="219"/>
      <c r="Q1352" s="219"/>
      <c r="R1352" s="219"/>
      <c r="S1352" s="251"/>
      <c r="T1352" s="251"/>
      <c r="U1352" s="219"/>
      <c r="V1352" s="219"/>
      <c r="W1352" s="219"/>
      <c r="X1352" s="219"/>
      <c r="Y1352" s="219"/>
      <c r="Z1352" s="219"/>
      <c r="AA1352" s="219"/>
      <c r="AB1352" s="219"/>
    </row>
    <row r="1353" spans="1:28" ht="15.75" hidden="1" customHeight="1">
      <c r="A1353" s="253"/>
      <c r="B1353" s="224"/>
      <c r="C1353" s="316"/>
      <c r="D1353" s="316"/>
      <c r="E1353" s="224"/>
      <c r="F1353" s="224"/>
      <c r="G1353" s="224"/>
      <c r="H1353" s="224"/>
      <c r="I1353" s="224"/>
      <c r="J1353" s="224"/>
      <c r="K1353" s="224"/>
      <c r="L1353" s="224"/>
      <c r="M1353" s="224"/>
      <c r="N1353" s="224"/>
      <c r="O1353" s="224"/>
      <c r="P1353" s="224"/>
      <c r="Q1353" s="224"/>
      <c r="R1353" s="224"/>
      <c r="S1353" s="254"/>
      <c r="T1353" s="254"/>
      <c r="U1353" s="224"/>
      <c r="V1353" s="224"/>
      <c r="W1353" s="224"/>
      <c r="X1353" s="224"/>
      <c r="Y1353" s="224"/>
      <c r="Z1353" s="224"/>
      <c r="AA1353" s="224"/>
      <c r="AB1353" s="224"/>
    </row>
    <row r="1354" spans="1:28" ht="15.75" hidden="1" customHeight="1">
      <c r="A1354" s="248"/>
      <c r="B1354" s="219"/>
      <c r="C1354" s="315"/>
      <c r="D1354" s="315"/>
      <c r="E1354" s="219"/>
      <c r="F1354" s="219"/>
      <c r="G1354" s="219"/>
      <c r="H1354" s="219"/>
      <c r="I1354" s="219"/>
      <c r="J1354" s="219"/>
      <c r="K1354" s="219"/>
      <c r="L1354" s="219"/>
      <c r="M1354" s="219"/>
      <c r="N1354" s="219"/>
      <c r="O1354" s="219"/>
      <c r="P1354" s="219"/>
      <c r="Q1354" s="219"/>
      <c r="R1354" s="219"/>
      <c r="S1354" s="251"/>
      <c r="T1354" s="251"/>
      <c r="U1354" s="219"/>
      <c r="V1354" s="219"/>
      <c r="W1354" s="219"/>
      <c r="X1354" s="219"/>
      <c r="Y1354" s="219"/>
      <c r="Z1354" s="219"/>
      <c r="AA1354" s="219"/>
      <c r="AB1354" s="219"/>
    </row>
    <row r="1355" spans="1:28" ht="15.75" hidden="1" customHeight="1">
      <c r="A1355" s="253"/>
      <c r="B1355" s="224"/>
      <c r="C1355" s="316"/>
      <c r="D1355" s="316"/>
      <c r="E1355" s="224"/>
      <c r="F1355" s="224"/>
      <c r="G1355" s="224"/>
      <c r="H1355" s="224"/>
      <c r="I1355" s="224"/>
      <c r="J1355" s="224"/>
      <c r="K1355" s="224"/>
      <c r="L1355" s="224"/>
      <c r="M1355" s="224"/>
      <c r="N1355" s="224"/>
      <c r="O1355" s="224"/>
      <c r="P1355" s="224"/>
      <c r="Q1355" s="224"/>
      <c r="R1355" s="224"/>
      <c r="S1355" s="254"/>
      <c r="T1355" s="254"/>
      <c r="U1355" s="224"/>
      <c r="V1355" s="224"/>
      <c r="W1355" s="224"/>
      <c r="X1355" s="224"/>
      <c r="Y1355" s="224"/>
      <c r="Z1355" s="224"/>
      <c r="AA1355" s="224"/>
      <c r="AB1355" s="224"/>
    </row>
    <row r="1356" spans="1:28" ht="15.75" hidden="1" customHeight="1">
      <c r="A1356" s="248"/>
      <c r="B1356" s="219"/>
      <c r="C1356" s="315"/>
      <c r="D1356" s="315"/>
      <c r="E1356" s="219"/>
      <c r="F1356" s="219"/>
      <c r="G1356" s="219"/>
      <c r="H1356" s="219"/>
      <c r="I1356" s="219"/>
      <c r="J1356" s="219"/>
      <c r="K1356" s="219"/>
      <c r="L1356" s="219"/>
      <c r="M1356" s="219"/>
      <c r="N1356" s="219"/>
      <c r="O1356" s="219"/>
      <c r="P1356" s="219"/>
      <c r="Q1356" s="219"/>
      <c r="R1356" s="219"/>
      <c r="S1356" s="251"/>
      <c r="T1356" s="251"/>
      <c r="U1356" s="219"/>
      <c r="V1356" s="219"/>
      <c r="W1356" s="219"/>
      <c r="X1356" s="219"/>
      <c r="Y1356" s="219"/>
      <c r="Z1356" s="219"/>
      <c r="AA1356" s="219"/>
      <c r="AB1356" s="219"/>
    </row>
    <row r="1357" spans="1:28" ht="15.75" hidden="1" customHeight="1">
      <c r="A1357" s="253"/>
      <c r="B1357" s="224"/>
      <c r="C1357" s="316"/>
      <c r="D1357" s="316"/>
      <c r="E1357" s="224"/>
      <c r="F1357" s="224"/>
      <c r="G1357" s="224"/>
      <c r="H1357" s="224"/>
      <c r="I1357" s="224"/>
      <c r="J1357" s="224"/>
      <c r="K1357" s="224"/>
      <c r="L1357" s="224"/>
      <c r="M1357" s="224"/>
      <c r="N1357" s="224"/>
      <c r="O1357" s="224"/>
      <c r="P1357" s="224"/>
      <c r="Q1357" s="224"/>
      <c r="R1357" s="224"/>
      <c r="S1357" s="254"/>
      <c r="T1357" s="254"/>
      <c r="U1357" s="224"/>
      <c r="V1357" s="224"/>
      <c r="W1357" s="224"/>
      <c r="X1357" s="224"/>
      <c r="Y1357" s="224"/>
      <c r="Z1357" s="224"/>
      <c r="AA1357" s="224"/>
      <c r="AB1357" s="224"/>
    </row>
    <row r="1358" spans="1:28" ht="15.75" hidden="1" customHeight="1">
      <c r="A1358" s="248"/>
      <c r="B1358" s="219"/>
      <c r="C1358" s="315"/>
      <c r="D1358" s="315"/>
      <c r="E1358" s="219"/>
      <c r="F1358" s="219"/>
      <c r="G1358" s="219"/>
      <c r="H1358" s="219"/>
      <c r="I1358" s="219"/>
      <c r="J1358" s="219"/>
      <c r="K1358" s="219"/>
      <c r="L1358" s="219"/>
      <c r="M1358" s="219"/>
      <c r="N1358" s="219"/>
      <c r="O1358" s="219"/>
      <c r="P1358" s="219"/>
      <c r="Q1358" s="219"/>
      <c r="R1358" s="219"/>
      <c r="S1358" s="251"/>
      <c r="T1358" s="251"/>
      <c r="U1358" s="219"/>
      <c r="V1358" s="219"/>
      <c r="W1358" s="219"/>
      <c r="X1358" s="219"/>
      <c r="Y1358" s="219"/>
      <c r="Z1358" s="219"/>
      <c r="AA1358" s="219"/>
      <c r="AB1358" s="219"/>
    </row>
    <row r="1359" spans="1:28" ht="15.75" hidden="1" customHeight="1">
      <c r="A1359" s="253"/>
      <c r="B1359" s="224"/>
      <c r="C1359" s="316"/>
      <c r="D1359" s="316"/>
      <c r="E1359" s="224"/>
      <c r="F1359" s="224"/>
      <c r="G1359" s="224"/>
      <c r="H1359" s="224"/>
      <c r="I1359" s="224"/>
      <c r="J1359" s="224"/>
      <c r="K1359" s="224"/>
      <c r="L1359" s="224"/>
      <c r="M1359" s="224"/>
      <c r="N1359" s="224"/>
      <c r="O1359" s="224"/>
      <c r="P1359" s="224"/>
      <c r="Q1359" s="224"/>
      <c r="R1359" s="224"/>
      <c r="S1359" s="254"/>
      <c r="T1359" s="254"/>
      <c r="U1359" s="224"/>
      <c r="V1359" s="224"/>
      <c r="W1359" s="224"/>
      <c r="X1359" s="224"/>
      <c r="Y1359" s="224"/>
      <c r="Z1359" s="224"/>
      <c r="AA1359" s="224"/>
      <c r="AB1359" s="224"/>
    </row>
    <row r="1360" spans="1:28" ht="15.75" hidden="1" customHeight="1">
      <c r="A1360" s="248"/>
      <c r="B1360" s="219"/>
      <c r="C1360" s="315"/>
      <c r="D1360" s="315"/>
      <c r="E1360" s="219"/>
      <c r="F1360" s="219"/>
      <c r="G1360" s="219"/>
      <c r="H1360" s="219"/>
      <c r="I1360" s="219"/>
      <c r="J1360" s="219"/>
      <c r="K1360" s="219"/>
      <c r="L1360" s="219"/>
      <c r="M1360" s="219"/>
      <c r="N1360" s="219"/>
      <c r="O1360" s="219"/>
      <c r="P1360" s="219"/>
      <c r="Q1360" s="219"/>
      <c r="R1360" s="219"/>
      <c r="S1360" s="251"/>
      <c r="T1360" s="251"/>
      <c r="U1360" s="219"/>
      <c r="V1360" s="219"/>
      <c r="W1360" s="219"/>
      <c r="X1360" s="219"/>
      <c r="Y1360" s="219"/>
      <c r="Z1360" s="219"/>
      <c r="AA1360" s="219"/>
      <c r="AB1360" s="219"/>
    </row>
    <row r="1361" spans="1:28" ht="15.75" hidden="1" customHeight="1">
      <c r="A1361" s="253"/>
      <c r="B1361" s="224"/>
      <c r="C1361" s="316"/>
      <c r="D1361" s="316"/>
      <c r="E1361" s="224"/>
      <c r="F1361" s="224"/>
      <c r="G1361" s="224"/>
      <c r="H1361" s="224"/>
      <c r="I1361" s="224"/>
      <c r="J1361" s="224"/>
      <c r="K1361" s="224"/>
      <c r="L1361" s="224"/>
      <c r="M1361" s="224"/>
      <c r="N1361" s="224"/>
      <c r="O1361" s="224"/>
      <c r="P1361" s="224"/>
      <c r="Q1361" s="224"/>
      <c r="R1361" s="224"/>
      <c r="S1361" s="254"/>
      <c r="T1361" s="254"/>
      <c r="U1361" s="224"/>
      <c r="V1361" s="224"/>
      <c r="W1361" s="224"/>
      <c r="X1361" s="224"/>
      <c r="Y1361" s="224"/>
      <c r="Z1361" s="224"/>
      <c r="AA1361" s="224"/>
      <c r="AB1361" s="224"/>
    </row>
    <row r="1362" spans="1:28" ht="15.75" hidden="1" customHeight="1">
      <c r="A1362" s="248"/>
      <c r="B1362" s="219"/>
      <c r="C1362" s="315"/>
      <c r="D1362" s="315"/>
      <c r="E1362" s="219"/>
      <c r="F1362" s="219"/>
      <c r="G1362" s="219"/>
      <c r="H1362" s="219"/>
      <c r="I1362" s="219"/>
      <c r="J1362" s="219"/>
      <c r="K1362" s="219"/>
      <c r="L1362" s="219"/>
      <c r="M1362" s="219"/>
      <c r="N1362" s="219"/>
      <c r="O1362" s="219"/>
      <c r="P1362" s="219"/>
      <c r="Q1362" s="219"/>
      <c r="R1362" s="219"/>
      <c r="S1362" s="251"/>
      <c r="T1362" s="251"/>
      <c r="U1362" s="219"/>
      <c r="V1362" s="219"/>
      <c r="W1362" s="219"/>
      <c r="X1362" s="219"/>
      <c r="Y1362" s="219"/>
      <c r="Z1362" s="219"/>
      <c r="AA1362" s="219"/>
      <c r="AB1362" s="219"/>
    </row>
    <row r="1363" spans="1:28" ht="15.75" hidden="1" customHeight="1">
      <c r="A1363" s="253"/>
      <c r="B1363" s="224"/>
      <c r="C1363" s="316"/>
      <c r="D1363" s="316"/>
      <c r="E1363" s="224"/>
      <c r="F1363" s="224"/>
      <c r="G1363" s="224"/>
      <c r="H1363" s="224"/>
      <c r="I1363" s="224"/>
      <c r="J1363" s="224"/>
      <c r="K1363" s="224"/>
      <c r="L1363" s="224"/>
      <c r="M1363" s="224"/>
      <c r="N1363" s="224"/>
      <c r="O1363" s="224"/>
      <c r="P1363" s="224"/>
      <c r="Q1363" s="224"/>
      <c r="R1363" s="224"/>
      <c r="S1363" s="254"/>
      <c r="T1363" s="254"/>
      <c r="U1363" s="224"/>
      <c r="V1363" s="224"/>
      <c r="W1363" s="224"/>
      <c r="X1363" s="224"/>
      <c r="Y1363" s="224"/>
      <c r="Z1363" s="224"/>
      <c r="AA1363" s="224"/>
      <c r="AB1363" s="224"/>
    </row>
    <row r="1364" spans="1:28" ht="15.75" hidden="1" customHeight="1">
      <c r="A1364" s="248"/>
      <c r="B1364" s="219"/>
      <c r="C1364" s="315"/>
      <c r="D1364" s="315"/>
      <c r="E1364" s="219"/>
      <c r="F1364" s="219"/>
      <c r="G1364" s="219"/>
      <c r="H1364" s="219"/>
      <c r="I1364" s="219"/>
      <c r="J1364" s="219"/>
      <c r="K1364" s="219"/>
      <c r="L1364" s="219"/>
      <c r="M1364" s="219"/>
      <c r="N1364" s="219"/>
      <c r="O1364" s="219"/>
      <c r="P1364" s="219"/>
      <c r="Q1364" s="219"/>
      <c r="R1364" s="219"/>
      <c r="S1364" s="251"/>
      <c r="T1364" s="251"/>
      <c r="U1364" s="219"/>
      <c r="V1364" s="219"/>
      <c r="W1364" s="219"/>
      <c r="X1364" s="219"/>
      <c r="Y1364" s="219"/>
      <c r="Z1364" s="219"/>
      <c r="AA1364" s="219"/>
      <c r="AB1364" s="219"/>
    </row>
    <row r="1365" spans="1:28" ht="15.75" hidden="1" customHeight="1">
      <c r="A1365" s="253"/>
      <c r="B1365" s="224"/>
      <c r="C1365" s="316"/>
      <c r="D1365" s="316"/>
      <c r="E1365" s="224"/>
      <c r="F1365" s="224"/>
      <c r="G1365" s="224"/>
      <c r="H1365" s="224"/>
      <c r="I1365" s="224"/>
      <c r="J1365" s="224"/>
      <c r="K1365" s="224"/>
      <c r="L1365" s="224"/>
      <c r="M1365" s="224"/>
      <c r="N1365" s="224"/>
      <c r="O1365" s="224"/>
      <c r="P1365" s="224"/>
      <c r="Q1365" s="224"/>
      <c r="R1365" s="224"/>
      <c r="S1365" s="254"/>
      <c r="T1365" s="254"/>
      <c r="U1365" s="224"/>
      <c r="V1365" s="224"/>
      <c r="W1365" s="224"/>
      <c r="X1365" s="224"/>
      <c r="Y1365" s="224"/>
      <c r="Z1365" s="224"/>
      <c r="AA1365" s="224"/>
      <c r="AB1365" s="224"/>
    </row>
    <row r="1366" spans="1:28" ht="15.75" hidden="1" customHeight="1">
      <c r="A1366" s="248"/>
      <c r="B1366" s="219"/>
      <c r="C1366" s="315"/>
      <c r="D1366" s="315"/>
      <c r="E1366" s="219"/>
      <c r="F1366" s="219"/>
      <c r="G1366" s="219"/>
      <c r="H1366" s="219"/>
      <c r="I1366" s="219"/>
      <c r="J1366" s="219"/>
      <c r="K1366" s="219"/>
      <c r="L1366" s="219"/>
      <c r="M1366" s="219"/>
      <c r="N1366" s="219"/>
      <c r="O1366" s="219"/>
      <c r="P1366" s="219"/>
      <c r="Q1366" s="219"/>
      <c r="R1366" s="219"/>
      <c r="S1366" s="251"/>
      <c r="T1366" s="251"/>
      <c r="U1366" s="219"/>
      <c r="V1366" s="219"/>
      <c r="W1366" s="219"/>
      <c r="X1366" s="219"/>
      <c r="Y1366" s="219"/>
      <c r="Z1366" s="219"/>
      <c r="AA1366" s="219"/>
      <c r="AB1366" s="219"/>
    </row>
    <row r="1367" spans="1:28" ht="15.75" hidden="1" customHeight="1">
      <c r="A1367" s="253"/>
      <c r="B1367" s="224"/>
      <c r="C1367" s="316"/>
      <c r="D1367" s="316"/>
      <c r="E1367" s="224"/>
      <c r="F1367" s="224"/>
      <c r="G1367" s="224"/>
      <c r="H1367" s="224"/>
      <c r="I1367" s="224"/>
      <c r="J1367" s="224"/>
      <c r="K1367" s="224"/>
      <c r="L1367" s="224"/>
      <c r="M1367" s="224"/>
      <c r="N1367" s="224"/>
      <c r="O1367" s="224"/>
      <c r="P1367" s="224"/>
      <c r="Q1367" s="224"/>
      <c r="R1367" s="224"/>
      <c r="S1367" s="254"/>
      <c r="T1367" s="254"/>
      <c r="U1367" s="224"/>
      <c r="V1367" s="224"/>
      <c r="W1367" s="224"/>
      <c r="X1367" s="224"/>
      <c r="Y1367" s="224"/>
      <c r="Z1367" s="224"/>
      <c r="AA1367" s="224"/>
      <c r="AB1367" s="224"/>
    </row>
    <row r="1368" spans="1:28" ht="15.75" hidden="1" customHeight="1">
      <c r="A1368" s="248"/>
      <c r="B1368" s="219"/>
      <c r="C1368" s="315"/>
      <c r="D1368" s="315"/>
      <c r="E1368" s="219"/>
      <c r="F1368" s="219"/>
      <c r="G1368" s="219"/>
      <c r="H1368" s="219"/>
      <c r="I1368" s="219"/>
      <c r="J1368" s="219"/>
      <c r="K1368" s="219"/>
      <c r="L1368" s="219"/>
      <c r="M1368" s="219"/>
      <c r="N1368" s="219"/>
      <c r="O1368" s="219"/>
      <c r="P1368" s="219"/>
      <c r="Q1368" s="219"/>
      <c r="R1368" s="219"/>
      <c r="S1368" s="251"/>
      <c r="T1368" s="251"/>
      <c r="U1368" s="219"/>
      <c r="V1368" s="219"/>
      <c r="W1368" s="219"/>
      <c r="X1368" s="219"/>
      <c r="Y1368" s="219"/>
      <c r="Z1368" s="219"/>
      <c r="AA1368" s="219"/>
      <c r="AB1368" s="219"/>
    </row>
    <row r="1369" spans="1:28" ht="15.75" hidden="1" customHeight="1">
      <c r="A1369" s="253"/>
      <c r="B1369" s="224"/>
      <c r="C1369" s="316"/>
      <c r="D1369" s="316"/>
      <c r="E1369" s="224"/>
      <c r="F1369" s="224"/>
      <c r="G1369" s="224"/>
      <c r="H1369" s="224"/>
      <c r="I1369" s="224"/>
      <c r="J1369" s="224"/>
      <c r="K1369" s="224"/>
      <c r="L1369" s="224"/>
      <c r="M1369" s="224"/>
      <c r="N1369" s="224"/>
      <c r="O1369" s="224"/>
      <c r="P1369" s="224"/>
      <c r="Q1369" s="224"/>
      <c r="R1369" s="224"/>
      <c r="S1369" s="254"/>
      <c r="T1369" s="254"/>
      <c r="U1369" s="224"/>
      <c r="V1369" s="224"/>
      <c r="W1369" s="224"/>
      <c r="X1369" s="224"/>
      <c r="Y1369" s="224"/>
      <c r="Z1369" s="224"/>
      <c r="AA1369" s="224"/>
      <c r="AB1369" s="224"/>
    </row>
    <row r="1370" spans="1:28" ht="15.75" hidden="1" customHeight="1">
      <c r="A1370" s="248"/>
      <c r="B1370" s="219"/>
      <c r="C1370" s="315"/>
      <c r="D1370" s="315"/>
      <c r="E1370" s="219"/>
      <c r="F1370" s="219"/>
      <c r="G1370" s="219"/>
      <c r="H1370" s="219"/>
      <c r="I1370" s="219"/>
      <c r="J1370" s="219"/>
      <c r="K1370" s="219"/>
      <c r="L1370" s="219"/>
      <c r="M1370" s="219"/>
      <c r="N1370" s="219"/>
      <c r="O1370" s="219"/>
      <c r="P1370" s="219"/>
      <c r="Q1370" s="219"/>
      <c r="R1370" s="219"/>
      <c r="S1370" s="251"/>
      <c r="T1370" s="251"/>
      <c r="U1370" s="219"/>
      <c r="V1370" s="219"/>
      <c r="W1370" s="219"/>
      <c r="X1370" s="219"/>
      <c r="Y1370" s="219"/>
      <c r="Z1370" s="219"/>
      <c r="AA1370" s="219"/>
      <c r="AB1370" s="219"/>
    </row>
    <row r="1371" spans="1:28" ht="15.75" hidden="1" customHeight="1">
      <c r="A1371" s="253"/>
      <c r="B1371" s="224"/>
      <c r="C1371" s="316"/>
      <c r="D1371" s="316"/>
      <c r="E1371" s="224"/>
      <c r="F1371" s="224"/>
      <c r="G1371" s="224"/>
      <c r="H1371" s="224"/>
      <c r="I1371" s="224"/>
      <c r="J1371" s="224"/>
      <c r="K1371" s="224"/>
      <c r="L1371" s="224"/>
      <c r="M1371" s="224"/>
      <c r="N1371" s="224"/>
      <c r="O1371" s="224"/>
      <c r="P1371" s="224"/>
      <c r="Q1371" s="224"/>
      <c r="R1371" s="224"/>
      <c r="S1371" s="254"/>
      <c r="T1371" s="254"/>
      <c r="U1371" s="224"/>
      <c r="V1371" s="224"/>
      <c r="W1371" s="224"/>
      <c r="X1371" s="224"/>
      <c r="Y1371" s="224"/>
      <c r="Z1371" s="224"/>
      <c r="AA1371" s="224"/>
      <c r="AB1371" s="224"/>
    </row>
    <row r="1372" spans="1:28" ht="15.75" hidden="1" customHeight="1">
      <c r="A1372" s="248"/>
      <c r="B1372" s="219"/>
      <c r="C1372" s="315"/>
      <c r="D1372" s="315"/>
      <c r="E1372" s="219"/>
      <c r="F1372" s="219"/>
      <c r="G1372" s="219"/>
      <c r="H1372" s="219"/>
      <c r="I1372" s="219"/>
      <c r="J1372" s="219"/>
      <c r="K1372" s="219"/>
      <c r="L1372" s="219"/>
      <c r="M1372" s="219"/>
      <c r="N1372" s="219"/>
      <c r="O1372" s="219"/>
      <c r="P1372" s="219"/>
      <c r="Q1372" s="219"/>
      <c r="R1372" s="219"/>
      <c r="S1372" s="251"/>
      <c r="T1372" s="251"/>
      <c r="U1372" s="219"/>
      <c r="V1372" s="219"/>
      <c r="W1372" s="219"/>
      <c r="X1372" s="219"/>
      <c r="Y1372" s="219"/>
      <c r="Z1372" s="219"/>
      <c r="AA1372" s="219"/>
      <c r="AB1372" s="219"/>
    </row>
    <row r="1373" spans="1:28" ht="15.75" hidden="1" customHeight="1">
      <c r="A1373" s="253"/>
      <c r="B1373" s="224"/>
      <c r="C1373" s="316"/>
      <c r="D1373" s="316"/>
      <c r="E1373" s="224"/>
      <c r="F1373" s="224"/>
      <c r="G1373" s="224"/>
      <c r="H1373" s="224"/>
      <c r="I1373" s="224"/>
      <c r="J1373" s="224"/>
      <c r="K1373" s="224"/>
      <c r="L1373" s="224"/>
      <c r="M1373" s="224"/>
      <c r="N1373" s="224"/>
      <c r="O1373" s="224"/>
      <c r="P1373" s="224"/>
      <c r="Q1373" s="224"/>
      <c r="R1373" s="224"/>
      <c r="S1373" s="254"/>
      <c r="T1373" s="254"/>
      <c r="U1373" s="224"/>
      <c r="V1373" s="224"/>
      <c r="W1373" s="224"/>
      <c r="X1373" s="224"/>
      <c r="Y1373" s="224"/>
      <c r="Z1373" s="224"/>
      <c r="AA1373" s="224"/>
      <c r="AB1373" s="224"/>
    </row>
    <row r="1374" spans="1:28" ht="15.75" hidden="1" customHeight="1">
      <c r="A1374" s="248"/>
      <c r="B1374" s="219"/>
      <c r="C1374" s="315"/>
      <c r="D1374" s="315"/>
      <c r="E1374" s="219"/>
      <c r="F1374" s="219"/>
      <c r="G1374" s="219"/>
      <c r="H1374" s="219"/>
      <c r="I1374" s="219"/>
      <c r="J1374" s="219"/>
      <c r="K1374" s="219"/>
      <c r="L1374" s="219"/>
      <c r="M1374" s="219"/>
      <c r="N1374" s="219"/>
      <c r="O1374" s="219"/>
      <c r="P1374" s="219"/>
      <c r="Q1374" s="219"/>
      <c r="R1374" s="219"/>
      <c r="S1374" s="251"/>
      <c r="T1374" s="251"/>
      <c r="U1374" s="219"/>
      <c r="V1374" s="219"/>
      <c r="W1374" s="219"/>
      <c r="X1374" s="219"/>
      <c r="Y1374" s="219"/>
      <c r="Z1374" s="219"/>
      <c r="AA1374" s="219"/>
      <c r="AB1374" s="219"/>
    </row>
    <row r="1375" spans="1:28" ht="15.75" hidden="1" customHeight="1">
      <c r="A1375" s="253"/>
      <c r="B1375" s="224"/>
      <c r="C1375" s="316"/>
      <c r="D1375" s="316"/>
      <c r="E1375" s="224"/>
      <c r="F1375" s="224"/>
      <c r="G1375" s="224"/>
      <c r="H1375" s="224"/>
      <c r="I1375" s="224"/>
      <c r="J1375" s="224"/>
      <c r="K1375" s="224"/>
      <c r="L1375" s="224"/>
      <c r="M1375" s="224"/>
      <c r="N1375" s="224"/>
      <c r="O1375" s="224"/>
      <c r="P1375" s="224"/>
      <c r="Q1375" s="224"/>
      <c r="R1375" s="224"/>
      <c r="S1375" s="254"/>
      <c r="T1375" s="254"/>
      <c r="U1375" s="224"/>
      <c r="V1375" s="224"/>
      <c r="W1375" s="224"/>
      <c r="X1375" s="224"/>
      <c r="Y1375" s="224"/>
      <c r="Z1375" s="224"/>
      <c r="AA1375" s="224"/>
      <c r="AB1375" s="224"/>
    </row>
    <row r="1376" spans="1:28" ht="15.75" hidden="1" customHeight="1">
      <c r="A1376" s="248"/>
      <c r="B1376" s="219"/>
      <c r="C1376" s="315"/>
      <c r="D1376" s="315"/>
      <c r="E1376" s="219"/>
      <c r="F1376" s="219"/>
      <c r="G1376" s="219"/>
      <c r="H1376" s="219"/>
      <c r="I1376" s="219"/>
      <c r="J1376" s="219"/>
      <c r="K1376" s="219"/>
      <c r="L1376" s="219"/>
      <c r="M1376" s="219"/>
      <c r="N1376" s="219"/>
      <c r="O1376" s="219"/>
      <c r="P1376" s="219"/>
      <c r="Q1376" s="219"/>
      <c r="R1376" s="219"/>
      <c r="S1376" s="251"/>
      <c r="T1376" s="251"/>
      <c r="U1376" s="219"/>
      <c r="V1376" s="219"/>
      <c r="W1376" s="219"/>
      <c r="X1376" s="219"/>
      <c r="Y1376" s="219"/>
      <c r="Z1376" s="219"/>
      <c r="AA1376" s="219"/>
      <c r="AB1376" s="219"/>
    </row>
    <row r="1377" spans="1:28" ht="15.75" hidden="1" customHeight="1">
      <c r="A1377" s="253"/>
      <c r="B1377" s="224"/>
      <c r="C1377" s="316"/>
      <c r="D1377" s="316"/>
      <c r="E1377" s="224"/>
      <c r="F1377" s="224"/>
      <c r="G1377" s="224"/>
      <c r="H1377" s="224"/>
      <c r="I1377" s="224"/>
      <c r="J1377" s="224"/>
      <c r="K1377" s="224"/>
      <c r="L1377" s="224"/>
      <c r="M1377" s="224"/>
      <c r="N1377" s="224"/>
      <c r="O1377" s="224"/>
      <c r="P1377" s="224"/>
      <c r="Q1377" s="224"/>
      <c r="R1377" s="224"/>
      <c r="S1377" s="254"/>
      <c r="T1377" s="254"/>
      <c r="U1377" s="224"/>
      <c r="V1377" s="224"/>
      <c r="W1377" s="224"/>
      <c r="X1377" s="224"/>
      <c r="Y1377" s="224"/>
      <c r="Z1377" s="224"/>
      <c r="AA1377" s="224"/>
      <c r="AB1377" s="224"/>
    </row>
    <row r="1378" spans="1:28" ht="15.75" hidden="1" customHeight="1">
      <c r="A1378" s="248"/>
      <c r="B1378" s="219"/>
      <c r="C1378" s="315"/>
      <c r="D1378" s="315"/>
      <c r="E1378" s="219"/>
      <c r="F1378" s="219"/>
      <c r="G1378" s="219"/>
      <c r="H1378" s="219"/>
      <c r="I1378" s="219"/>
      <c r="J1378" s="219"/>
      <c r="K1378" s="219"/>
      <c r="L1378" s="219"/>
      <c r="M1378" s="219"/>
      <c r="N1378" s="219"/>
      <c r="O1378" s="219"/>
      <c r="P1378" s="219"/>
      <c r="Q1378" s="219"/>
      <c r="R1378" s="219"/>
      <c r="S1378" s="251"/>
      <c r="T1378" s="251"/>
      <c r="U1378" s="219"/>
      <c r="V1378" s="219"/>
      <c r="W1378" s="219"/>
      <c r="X1378" s="219"/>
      <c r="Y1378" s="219"/>
      <c r="Z1378" s="219"/>
      <c r="AA1378" s="219"/>
      <c r="AB1378" s="219"/>
    </row>
    <row r="1379" spans="1:28" ht="15.75" hidden="1" customHeight="1">
      <c r="A1379" s="253"/>
      <c r="B1379" s="224"/>
      <c r="C1379" s="316"/>
      <c r="D1379" s="316"/>
      <c r="E1379" s="224"/>
      <c r="F1379" s="224"/>
      <c r="G1379" s="224"/>
      <c r="H1379" s="224"/>
      <c r="I1379" s="224"/>
      <c r="J1379" s="224"/>
      <c r="K1379" s="224"/>
      <c r="L1379" s="224"/>
      <c r="M1379" s="224"/>
      <c r="N1379" s="224"/>
      <c r="O1379" s="224"/>
      <c r="P1379" s="224"/>
      <c r="Q1379" s="224"/>
      <c r="R1379" s="224"/>
      <c r="S1379" s="254"/>
      <c r="T1379" s="254"/>
      <c r="U1379" s="224"/>
      <c r="V1379" s="224"/>
      <c r="W1379" s="224"/>
      <c r="X1379" s="224"/>
      <c r="Y1379" s="224"/>
      <c r="Z1379" s="224"/>
      <c r="AA1379" s="224"/>
      <c r="AB1379" s="224"/>
    </row>
    <row r="1380" spans="1:28" ht="15.75" hidden="1" customHeight="1">
      <c r="A1380" s="248"/>
      <c r="B1380" s="219"/>
      <c r="C1380" s="315"/>
      <c r="D1380" s="315"/>
      <c r="E1380" s="219"/>
      <c r="F1380" s="219"/>
      <c r="G1380" s="219"/>
      <c r="H1380" s="219"/>
      <c r="I1380" s="219"/>
      <c r="J1380" s="219"/>
      <c r="K1380" s="219"/>
      <c r="L1380" s="219"/>
      <c r="M1380" s="219"/>
      <c r="N1380" s="219"/>
      <c r="O1380" s="219"/>
      <c r="P1380" s="219"/>
      <c r="Q1380" s="219"/>
      <c r="R1380" s="219"/>
      <c r="S1380" s="251"/>
      <c r="T1380" s="251"/>
      <c r="U1380" s="219"/>
      <c r="V1380" s="219"/>
      <c r="W1380" s="219"/>
      <c r="X1380" s="219"/>
      <c r="Y1380" s="219"/>
      <c r="Z1380" s="219"/>
      <c r="AA1380" s="219"/>
      <c r="AB1380" s="219"/>
    </row>
    <row r="1381" spans="1:28" ht="15.75" hidden="1" customHeight="1">
      <c r="A1381" s="253"/>
      <c r="B1381" s="224"/>
      <c r="C1381" s="316"/>
      <c r="D1381" s="316"/>
      <c r="E1381" s="224"/>
      <c r="F1381" s="224"/>
      <c r="G1381" s="224"/>
      <c r="H1381" s="224"/>
      <c r="I1381" s="224"/>
      <c r="J1381" s="224"/>
      <c r="K1381" s="224"/>
      <c r="L1381" s="224"/>
      <c r="M1381" s="224"/>
      <c r="N1381" s="224"/>
      <c r="O1381" s="224"/>
      <c r="P1381" s="224"/>
      <c r="Q1381" s="224"/>
      <c r="R1381" s="224"/>
      <c r="S1381" s="254"/>
      <c r="T1381" s="254"/>
      <c r="U1381" s="224"/>
      <c r="V1381" s="224"/>
      <c r="W1381" s="224"/>
      <c r="X1381" s="224"/>
      <c r="Y1381" s="224"/>
      <c r="Z1381" s="224"/>
      <c r="AA1381" s="224"/>
      <c r="AB1381" s="224"/>
    </row>
    <row r="1382" spans="1:28" ht="15.75" hidden="1" customHeight="1">
      <c r="A1382" s="248"/>
      <c r="B1382" s="219"/>
      <c r="C1382" s="315"/>
      <c r="D1382" s="315"/>
      <c r="E1382" s="219"/>
      <c r="F1382" s="219"/>
      <c r="G1382" s="219"/>
      <c r="H1382" s="219"/>
      <c r="I1382" s="219"/>
      <c r="J1382" s="219"/>
      <c r="K1382" s="219"/>
      <c r="L1382" s="219"/>
      <c r="M1382" s="219"/>
      <c r="N1382" s="219"/>
      <c r="O1382" s="219"/>
      <c r="P1382" s="219"/>
      <c r="Q1382" s="219"/>
      <c r="R1382" s="219"/>
      <c r="S1382" s="251"/>
      <c r="T1382" s="251"/>
      <c r="U1382" s="219"/>
      <c r="V1382" s="219"/>
      <c r="W1382" s="219"/>
      <c r="X1382" s="219"/>
      <c r="Y1382" s="219"/>
      <c r="Z1382" s="219"/>
      <c r="AA1382" s="219"/>
      <c r="AB1382" s="219"/>
    </row>
    <row r="1383" spans="1:28" ht="15.75" hidden="1" customHeight="1">
      <c r="A1383" s="253"/>
      <c r="B1383" s="224"/>
      <c r="C1383" s="316"/>
      <c r="D1383" s="316"/>
      <c r="E1383" s="224"/>
      <c r="F1383" s="224"/>
      <c r="G1383" s="224"/>
      <c r="H1383" s="224"/>
      <c r="I1383" s="224"/>
      <c r="J1383" s="224"/>
      <c r="K1383" s="224"/>
      <c r="L1383" s="224"/>
      <c r="M1383" s="224"/>
      <c r="N1383" s="224"/>
      <c r="O1383" s="224"/>
      <c r="P1383" s="224"/>
      <c r="Q1383" s="224"/>
      <c r="R1383" s="224"/>
      <c r="S1383" s="254"/>
      <c r="T1383" s="254"/>
      <c r="U1383" s="224"/>
      <c r="V1383" s="224"/>
      <c r="W1383" s="224"/>
      <c r="X1383" s="224"/>
      <c r="Y1383" s="224"/>
      <c r="Z1383" s="224"/>
      <c r="AA1383" s="224"/>
      <c r="AB1383" s="224"/>
    </row>
    <row r="1384" spans="1:28" ht="15.75" hidden="1" customHeight="1">
      <c r="A1384" s="248"/>
      <c r="B1384" s="219"/>
      <c r="C1384" s="315"/>
      <c r="D1384" s="315"/>
      <c r="E1384" s="219"/>
      <c r="F1384" s="219"/>
      <c r="G1384" s="219"/>
      <c r="H1384" s="219"/>
      <c r="I1384" s="219"/>
      <c r="J1384" s="219"/>
      <c r="K1384" s="219"/>
      <c r="L1384" s="219"/>
      <c r="M1384" s="219"/>
      <c r="N1384" s="219"/>
      <c r="O1384" s="219"/>
      <c r="P1384" s="219"/>
      <c r="Q1384" s="219"/>
      <c r="R1384" s="219"/>
      <c r="S1384" s="251"/>
      <c r="T1384" s="251"/>
      <c r="U1384" s="219"/>
      <c r="V1384" s="219"/>
      <c r="W1384" s="219"/>
      <c r="X1384" s="219"/>
      <c r="Y1384" s="219"/>
      <c r="Z1384" s="219"/>
      <c r="AA1384" s="219"/>
      <c r="AB1384" s="219"/>
    </row>
    <row r="1385" spans="1:28" ht="15.75" hidden="1" customHeight="1">
      <c r="A1385" s="253"/>
      <c r="B1385" s="224"/>
      <c r="C1385" s="316"/>
      <c r="D1385" s="316"/>
      <c r="E1385" s="224"/>
      <c r="F1385" s="224"/>
      <c r="G1385" s="224"/>
      <c r="H1385" s="224"/>
      <c r="I1385" s="224"/>
      <c r="J1385" s="224"/>
      <c r="K1385" s="224"/>
      <c r="L1385" s="224"/>
      <c r="M1385" s="224"/>
      <c r="N1385" s="224"/>
      <c r="O1385" s="224"/>
      <c r="P1385" s="224"/>
      <c r="Q1385" s="224"/>
      <c r="R1385" s="224"/>
      <c r="S1385" s="254"/>
      <c r="T1385" s="254"/>
      <c r="U1385" s="224"/>
      <c r="V1385" s="224"/>
      <c r="W1385" s="224"/>
      <c r="X1385" s="224"/>
      <c r="Y1385" s="224"/>
      <c r="Z1385" s="224"/>
      <c r="AA1385" s="224"/>
      <c r="AB1385" s="224"/>
    </row>
    <row r="1386" spans="1:28" ht="15.75" hidden="1" customHeight="1">
      <c r="A1386" s="248"/>
      <c r="B1386" s="219"/>
      <c r="C1386" s="315"/>
      <c r="D1386" s="315"/>
      <c r="E1386" s="219"/>
      <c r="F1386" s="219"/>
      <c r="G1386" s="219"/>
      <c r="H1386" s="219"/>
      <c r="I1386" s="219"/>
      <c r="J1386" s="219"/>
      <c r="K1386" s="219"/>
      <c r="L1386" s="219"/>
      <c r="M1386" s="219"/>
      <c r="N1386" s="219"/>
      <c r="O1386" s="219"/>
      <c r="P1386" s="219"/>
      <c r="Q1386" s="219"/>
      <c r="R1386" s="219"/>
      <c r="S1386" s="251"/>
      <c r="T1386" s="251"/>
      <c r="U1386" s="219"/>
      <c r="V1386" s="219"/>
      <c r="W1386" s="219"/>
      <c r="X1386" s="219"/>
      <c r="Y1386" s="219"/>
      <c r="Z1386" s="219"/>
      <c r="AA1386" s="219"/>
      <c r="AB1386" s="219"/>
    </row>
    <row r="1387" spans="1:28" ht="15.75" hidden="1" customHeight="1">
      <c r="A1387" s="253"/>
      <c r="B1387" s="224"/>
      <c r="C1387" s="316"/>
      <c r="D1387" s="316"/>
      <c r="E1387" s="224"/>
      <c r="F1387" s="224"/>
      <c r="G1387" s="224"/>
      <c r="H1387" s="224"/>
      <c r="I1387" s="224"/>
      <c r="J1387" s="224"/>
      <c r="K1387" s="224"/>
      <c r="L1387" s="224"/>
      <c r="M1387" s="224"/>
      <c r="N1387" s="224"/>
      <c r="O1387" s="224"/>
      <c r="P1387" s="224"/>
      <c r="Q1387" s="224"/>
      <c r="R1387" s="224"/>
      <c r="S1387" s="254"/>
      <c r="T1387" s="254"/>
      <c r="U1387" s="224"/>
      <c r="V1387" s="224"/>
      <c r="W1387" s="224"/>
      <c r="X1387" s="224"/>
      <c r="Y1387" s="224"/>
      <c r="Z1387" s="224"/>
      <c r="AA1387" s="224"/>
      <c r="AB1387" s="224"/>
    </row>
    <row r="1388" spans="1:28" ht="15.75" hidden="1" customHeight="1">
      <c r="A1388" s="248"/>
      <c r="B1388" s="219"/>
      <c r="C1388" s="315"/>
      <c r="D1388" s="315"/>
      <c r="E1388" s="219"/>
      <c r="F1388" s="219"/>
      <c r="G1388" s="219"/>
      <c r="H1388" s="219"/>
      <c r="I1388" s="219"/>
      <c r="J1388" s="219"/>
      <c r="K1388" s="219"/>
      <c r="L1388" s="219"/>
      <c r="M1388" s="219"/>
      <c r="N1388" s="219"/>
      <c r="O1388" s="219"/>
      <c r="P1388" s="219"/>
      <c r="Q1388" s="219"/>
      <c r="R1388" s="219"/>
      <c r="S1388" s="251"/>
      <c r="T1388" s="251"/>
      <c r="U1388" s="219"/>
      <c r="V1388" s="219"/>
      <c r="W1388" s="219"/>
      <c r="X1388" s="219"/>
      <c r="Y1388" s="219"/>
      <c r="Z1388" s="219"/>
      <c r="AA1388" s="219"/>
      <c r="AB1388" s="219"/>
    </row>
    <row r="1389" spans="1:28" ht="15.75" hidden="1" customHeight="1">
      <c r="A1389" s="253"/>
      <c r="B1389" s="224"/>
      <c r="C1389" s="316"/>
      <c r="D1389" s="316"/>
      <c r="E1389" s="224"/>
      <c r="F1389" s="224"/>
      <c r="G1389" s="224"/>
      <c r="H1389" s="224"/>
      <c r="I1389" s="224"/>
      <c r="J1389" s="224"/>
      <c r="K1389" s="224"/>
      <c r="L1389" s="224"/>
      <c r="M1389" s="224"/>
      <c r="N1389" s="224"/>
      <c r="O1389" s="224"/>
      <c r="P1389" s="224"/>
      <c r="Q1389" s="224"/>
      <c r="R1389" s="224"/>
      <c r="S1389" s="254"/>
      <c r="T1389" s="254"/>
      <c r="U1389" s="224"/>
      <c r="V1389" s="224"/>
      <c r="W1389" s="224"/>
      <c r="X1389" s="224"/>
      <c r="Y1389" s="224"/>
      <c r="Z1389" s="224"/>
      <c r="AA1389" s="224"/>
      <c r="AB1389" s="224"/>
    </row>
    <row r="1390" spans="1:28" ht="15.75" hidden="1" customHeight="1">
      <c r="A1390" s="248"/>
      <c r="B1390" s="219"/>
      <c r="C1390" s="315"/>
      <c r="D1390" s="315"/>
      <c r="E1390" s="219"/>
      <c r="F1390" s="219"/>
      <c r="G1390" s="219"/>
      <c r="H1390" s="219"/>
      <c r="I1390" s="219"/>
      <c r="J1390" s="219"/>
      <c r="K1390" s="219"/>
      <c r="L1390" s="219"/>
      <c r="M1390" s="219"/>
      <c r="N1390" s="219"/>
      <c r="O1390" s="219"/>
      <c r="P1390" s="219"/>
      <c r="Q1390" s="219"/>
      <c r="R1390" s="219"/>
      <c r="S1390" s="251"/>
      <c r="T1390" s="251"/>
      <c r="U1390" s="219"/>
      <c r="V1390" s="219"/>
      <c r="W1390" s="219"/>
      <c r="X1390" s="219"/>
      <c r="Y1390" s="219"/>
      <c r="Z1390" s="219"/>
      <c r="AA1390" s="219"/>
      <c r="AB1390" s="219"/>
    </row>
    <row r="1391" spans="1:28" ht="15.75" hidden="1" customHeight="1">
      <c r="A1391" s="253"/>
      <c r="B1391" s="224"/>
      <c r="C1391" s="316"/>
      <c r="D1391" s="316"/>
      <c r="E1391" s="224"/>
      <c r="F1391" s="224"/>
      <c r="G1391" s="224"/>
      <c r="H1391" s="224"/>
      <c r="I1391" s="224"/>
      <c r="J1391" s="224"/>
      <c r="K1391" s="224"/>
      <c r="L1391" s="224"/>
      <c r="M1391" s="224"/>
      <c r="N1391" s="224"/>
      <c r="O1391" s="224"/>
      <c r="P1391" s="224"/>
      <c r="Q1391" s="224"/>
      <c r="R1391" s="224"/>
      <c r="S1391" s="254"/>
      <c r="T1391" s="254"/>
      <c r="U1391" s="224"/>
      <c r="V1391" s="224"/>
      <c r="W1391" s="224"/>
      <c r="X1391" s="224"/>
      <c r="Y1391" s="224"/>
      <c r="Z1391" s="224"/>
      <c r="AA1391" s="224"/>
      <c r="AB1391" s="224"/>
    </row>
    <row r="1392" spans="1:28" ht="15.75" hidden="1" customHeight="1">
      <c r="A1392" s="248"/>
      <c r="B1392" s="219"/>
      <c r="C1392" s="315"/>
      <c r="D1392" s="315"/>
      <c r="E1392" s="219"/>
      <c r="F1392" s="219"/>
      <c r="G1392" s="219"/>
      <c r="H1392" s="219"/>
      <c r="I1392" s="219"/>
      <c r="J1392" s="219"/>
      <c r="K1392" s="219"/>
      <c r="L1392" s="219"/>
      <c r="M1392" s="219"/>
      <c r="N1392" s="219"/>
      <c r="O1392" s="219"/>
      <c r="P1392" s="219"/>
      <c r="Q1392" s="219"/>
      <c r="R1392" s="219"/>
      <c r="S1392" s="251"/>
      <c r="T1392" s="251"/>
      <c r="U1392" s="219"/>
      <c r="V1392" s="219"/>
      <c r="W1392" s="219"/>
      <c r="X1392" s="219"/>
      <c r="Y1392" s="219"/>
      <c r="Z1392" s="219"/>
      <c r="AA1392" s="219"/>
      <c r="AB1392" s="219"/>
    </row>
    <row r="1393" spans="1:28" ht="15.75" hidden="1" customHeight="1">
      <c r="A1393" s="253"/>
      <c r="B1393" s="224"/>
      <c r="C1393" s="316"/>
      <c r="D1393" s="316"/>
      <c r="E1393" s="224"/>
      <c r="F1393" s="224"/>
      <c r="G1393" s="224"/>
      <c r="H1393" s="224"/>
      <c r="I1393" s="224"/>
      <c r="J1393" s="224"/>
      <c r="K1393" s="224"/>
      <c r="L1393" s="224"/>
      <c r="M1393" s="224"/>
      <c r="N1393" s="224"/>
      <c r="O1393" s="224"/>
      <c r="P1393" s="224"/>
      <c r="Q1393" s="224"/>
      <c r="R1393" s="224"/>
      <c r="S1393" s="254"/>
      <c r="T1393" s="254"/>
      <c r="U1393" s="224"/>
      <c r="V1393" s="224"/>
      <c r="W1393" s="224"/>
      <c r="X1393" s="224"/>
      <c r="Y1393" s="224"/>
      <c r="Z1393" s="224"/>
      <c r="AA1393" s="224"/>
      <c r="AB1393" s="224"/>
    </row>
    <row r="1394" spans="1:28" ht="15.75" hidden="1" customHeight="1">
      <c r="A1394" s="248"/>
      <c r="B1394" s="219"/>
      <c r="C1394" s="315"/>
      <c r="D1394" s="315"/>
      <c r="E1394" s="219"/>
      <c r="F1394" s="219"/>
      <c r="G1394" s="219"/>
      <c r="H1394" s="219"/>
      <c r="I1394" s="219"/>
      <c r="J1394" s="219"/>
      <c r="K1394" s="219"/>
      <c r="L1394" s="219"/>
      <c r="M1394" s="219"/>
      <c r="N1394" s="219"/>
      <c r="O1394" s="219"/>
      <c r="P1394" s="219"/>
      <c r="Q1394" s="219"/>
      <c r="R1394" s="219"/>
      <c r="S1394" s="251"/>
      <c r="T1394" s="251"/>
      <c r="U1394" s="219"/>
      <c r="V1394" s="219"/>
      <c r="W1394" s="219"/>
      <c r="X1394" s="219"/>
      <c r="Y1394" s="219"/>
      <c r="Z1394" s="219"/>
      <c r="AA1394" s="219"/>
      <c r="AB1394" s="219"/>
    </row>
    <row r="1395" spans="1:28" ht="15.75" hidden="1" customHeight="1">
      <c r="A1395" s="253"/>
      <c r="B1395" s="224"/>
      <c r="C1395" s="316"/>
      <c r="D1395" s="316"/>
      <c r="E1395" s="224"/>
      <c r="F1395" s="224"/>
      <c r="G1395" s="224"/>
      <c r="H1395" s="224"/>
      <c r="I1395" s="224"/>
      <c r="J1395" s="224"/>
      <c r="K1395" s="224"/>
      <c r="L1395" s="224"/>
      <c r="M1395" s="224"/>
      <c r="N1395" s="224"/>
      <c r="O1395" s="224"/>
      <c r="P1395" s="224"/>
      <c r="Q1395" s="224"/>
      <c r="R1395" s="224"/>
      <c r="S1395" s="254"/>
      <c r="T1395" s="254"/>
      <c r="U1395" s="224"/>
      <c r="V1395" s="224"/>
      <c r="W1395" s="224"/>
      <c r="X1395" s="224"/>
      <c r="Y1395" s="224"/>
      <c r="Z1395" s="224"/>
      <c r="AA1395" s="224"/>
      <c r="AB1395" s="224"/>
    </row>
    <row r="1396" spans="1:28" ht="15.75" hidden="1" customHeight="1">
      <c r="A1396" s="248"/>
      <c r="B1396" s="219"/>
      <c r="C1396" s="315"/>
      <c r="D1396" s="315"/>
      <c r="E1396" s="219"/>
      <c r="F1396" s="219"/>
      <c r="G1396" s="219"/>
      <c r="H1396" s="219"/>
      <c r="I1396" s="219"/>
      <c r="J1396" s="219"/>
      <c r="K1396" s="219"/>
      <c r="L1396" s="219"/>
      <c r="M1396" s="219"/>
      <c r="N1396" s="219"/>
      <c r="O1396" s="219"/>
      <c r="P1396" s="219"/>
      <c r="Q1396" s="219"/>
      <c r="R1396" s="219"/>
      <c r="S1396" s="251"/>
      <c r="T1396" s="251"/>
      <c r="U1396" s="219"/>
      <c r="V1396" s="219"/>
      <c r="W1396" s="219"/>
      <c r="X1396" s="219"/>
      <c r="Y1396" s="219"/>
      <c r="Z1396" s="219"/>
      <c r="AA1396" s="219"/>
      <c r="AB1396" s="219"/>
    </row>
    <row r="1397" spans="1:28" ht="15.75" hidden="1" customHeight="1">
      <c r="A1397" s="253"/>
      <c r="B1397" s="224"/>
      <c r="C1397" s="316"/>
      <c r="D1397" s="316"/>
      <c r="E1397" s="224"/>
      <c r="F1397" s="224"/>
      <c r="G1397" s="224"/>
      <c r="H1397" s="224"/>
      <c r="I1397" s="224"/>
      <c r="J1397" s="224"/>
      <c r="K1397" s="224"/>
      <c r="L1397" s="224"/>
      <c r="M1397" s="224"/>
      <c r="N1397" s="224"/>
      <c r="O1397" s="224"/>
      <c r="P1397" s="224"/>
      <c r="Q1397" s="224"/>
      <c r="R1397" s="224"/>
      <c r="S1397" s="254"/>
      <c r="T1397" s="254"/>
      <c r="U1397" s="224"/>
      <c r="V1397" s="224"/>
      <c r="W1397" s="224"/>
      <c r="X1397" s="224"/>
      <c r="Y1397" s="224"/>
      <c r="Z1397" s="224"/>
      <c r="AA1397" s="224"/>
      <c r="AB1397" s="224"/>
    </row>
    <row r="1398" spans="1:28" ht="15.75" hidden="1" customHeight="1">
      <c r="A1398" s="248"/>
      <c r="B1398" s="219"/>
      <c r="C1398" s="315"/>
      <c r="D1398" s="315"/>
      <c r="E1398" s="219"/>
      <c r="F1398" s="219"/>
      <c r="G1398" s="219"/>
      <c r="H1398" s="219"/>
      <c r="I1398" s="219"/>
      <c r="J1398" s="219"/>
      <c r="K1398" s="219"/>
      <c r="L1398" s="219"/>
      <c r="M1398" s="219"/>
      <c r="N1398" s="219"/>
      <c r="O1398" s="219"/>
      <c r="P1398" s="219"/>
      <c r="Q1398" s="219"/>
      <c r="R1398" s="219"/>
      <c r="S1398" s="251"/>
      <c r="T1398" s="251"/>
      <c r="U1398" s="219"/>
      <c r="V1398" s="219"/>
      <c r="W1398" s="219"/>
      <c r="X1398" s="219"/>
      <c r="Y1398" s="219"/>
      <c r="Z1398" s="219"/>
      <c r="AA1398" s="219"/>
      <c r="AB1398" s="219"/>
    </row>
    <row r="1399" spans="1:28" ht="15.75" hidden="1" customHeight="1">
      <c r="A1399" s="253"/>
      <c r="B1399" s="224"/>
      <c r="C1399" s="316"/>
      <c r="D1399" s="316"/>
      <c r="E1399" s="224"/>
      <c r="F1399" s="224"/>
      <c r="G1399" s="224"/>
      <c r="H1399" s="224"/>
      <c r="I1399" s="224"/>
      <c r="J1399" s="224"/>
      <c r="K1399" s="224"/>
      <c r="L1399" s="224"/>
      <c r="M1399" s="224"/>
      <c r="N1399" s="224"/>
      <c r="O1399" s="224"/>
      <c r="P1399" s="224"/>
      <c r="Q1399" s="224"/>
      <c r="R1399" s="224"/>
      <c r="S1399" s="254"/>
      <c r="T1399" s="254"/>
      <c r="U1399" s="224"/>
      <c r="V1399" s="224"/>
      <c r="W1399" s="224"/>
      <c r="X1399" s="224"/>
      <c r="Y1399" s="224"/>
      <c r="Z1399" s="224"/>
      <c r="AA1399" s="224"/>
      <c r="AB1399" s="224"/>
    </row>
    <row r="1400" spans="1:28" ht="15.75" hidden="1" customHeight="1">
      <c r="A1400" s="248"/>
      <c r="B1400" s="219"/>
      <c r="C1400" s="315"/>
      <c r="D1400" s="315"/>
      <c r="E1400" s="219"/>
      <c r="F1400" s="219"/>
      <c r="G1400" s="219"/>
      <c r="H1400" s="219"/>
      <c r="I1400" s="219"/>
      <c r="J1400" s="219"/>
      <c r="K1400" s="219"/>
      <c r="L1400" s="219"/>
      <c r="M1400" s="219"/>
      <c r="N1400" s="219"/>
      <c r="O1400" s="219"/>
      <c r="P1400" s="219"/>
      <c r="Q1400" s="219"/>
      <c r="R1400" s="219"/>
      <c r="S1400" s="251"/>
      <c r="T1400" s="251"/>
      <c r="U1400" s="219"/>
      <c r="V1400" s="219"/>
      <c r="W1400" s="219"/>
      <c r="X1400" s="219"/>
      <c r="Y1400" s="219"/>
      <c r="Z1400" s="219"/>
      <c r="AA1400" s="219"/>
      <c r="AB1400" s="219"/>
    </row>
    <row r="1401" spans="1:28" ht="15.75" hidden="1" customHeight="1">
      <c r="A1401" s="253"/>
      <c r="B1401" s="224"/>
      <c r="C1401" s="316"/>
      <c r="D1401" s="316"/>
      <c r="E1401" s="224"/>
      <c r="F1401" s="224"/>
      <c r="G1401" s="224"/>
      <c r="H1401" s="224"/>
      <c r="I1401" s="224"/>
      <c r="J1401" s="224"/>
      <c r="K1401" s="224"/>
      <c r="L1401" s="224"/>
      <c r="M1401" s="224"/>
      <c r="N1401" s="224"/>
      <c r="O1401" s="224"/>
      <c r="P1401" s="224"/>
      <c r="Q1401" s="224"/>
      <c r="R1401" s="224"/>
      <c r="S1401" s="254"/>
      <c r="T1401" s="254"/>
      <c r="U1401" s="224"/>
      <c r="V1401" s="224"/>
      <c r="W1401" s="224"/>
      <c r="X1401" s="224"/>
      <c r="Y1401" s="224"/>
      <c r="Z1401" s="224"/>
      <c r="AA1401" s="224"/>
      <c r="AB1401" s="224"/>
    </row>
    <row r="1402" spans="1:28" ht="15.75" hidden="1" customHeight="1">
      <c r="A1402" s="248"/>
      <c r="B1402" s="219"/>
      <c r="C1402" s="315"/>
      <c r="D1402" s="315"/>
      <c r="E1402" s="219"/>
      <c r="F1402" s="219"/>
      <c r="G1402" s="219"/>
      <c r="H1402" s="219"/>
      <c r="I1402" s="219"/>
      <c r="J1402" s="219"/>
      <c r="K1402" s="219"/>
      <c r="L1402" s="219"/>
      <c r="M1402" s="219"/>
      <c r="N1402" s="219"/>
      <c r="O1402" s="219"/>
      <c r="P1402" s="219"/>
      <c r="Q1402" s="219"/>
      <c r="R1402" s="219"/>
      <c r="S1402" s="251"/>
      <c r="T1402" s="251"/>
      <c r="U1402" s="219"/>
      <c r="V1402" s="219"/>
      <c r="W1402" s="219"/>
      <c r="X1402" s="219"/>
      <c r="Y1402" s="219"/>
      <c r="Z1402" s="219"/>
      <c r="AA1402" s="219"/>
      <c r="AB1402" s="219"/>
    </row>
    <row r="1403" spans="1:28" ht="15.75" hidden="1" customHeight="1">
      <c r="A1403" s="253"/>
      <c r="B1403" s="224"/>
      <c r="C1403" s="316"/>
      <c r="D1403" s="316"/>
      <c r="E1403" s="224"/>
      <c r="F1403" s="224"/>
      <c r="G1403" s="224"/>
      <c r="H1403" s="224"/>
      <c r="I1403" s="224"/>
      <c r="J1403" s="224"/>
      <c r="K1403" s="224"/>
      <c r="L1403" s="224"/>
      <c r="M1403" s="224"/>
      <c r="N1403" s="224"/>
      <c r="O1403" s="224"/>
      <c r="P1403" s="224"/>
      <c r="Q1403" s="224"/>
      <c r="R1403" s="224"/>
      <c r="S1403" s="254"/>
      <c r="T1403" s="254"/>
      <c r="U1403" s="224"/>
      <c r="V1403" s="224"/>
      <c r="W1403" s="224"/>
      <c r="X1403" s="224"/>
      <c r="Y1403" s="224"/>
      <c r="Z1403" s="224"/>
      <c r="AA1403" s="224"/>
      <c r="AB1403" s="224"/>
    </row>
    <row r="1404" spans="1:28" ht="15.75" hidden="1" customHeight="1">
      <c r="A1404" s="248"/>
      <c r="B1404" s="219"/>
      <c r="C1404" s="315"/>
      <c r="D1404" s="315"/>
      <c r="E1404" s="219"/>
      <c r="F1404" s="219"/>
      <c r="G1404" s="219"/>
      <c r="H1404" s="219"/>
      <c r="I1404" s="219"/>
      <c r="J1404" s="219"/>
      <c r="K1404" s="219"/>
      <c r="L1404" s="219"/>
      <c r="M1404" s="219"/>
      <c r="N1404" s="219"/>
      <c r="O1404" s="219"/>
      <c r="P1404" s="219"/>
      <c r="Q1404" s="219"/>
      <c r="R1404" s="219"/>
      <c r="S1404" s="251"/>
      <c r="T1404" s="251"/>
      <c r="U1404" s="219"/>
      <c r="V1404" s="219"/>
      <c r="W1404" s="219"/>
      <c r="X1404" s="219"/>
      <c r="Y1404" s="219"/>
      <c r="Z1404" s="219"/>
      <c r="AA1404" s="219"/>
      <c r="AB1404" s="219"/>
    </row>
    <row r="1405" spans="1:28" ht="15.75" hidden="1" customHeight="1">
      <c r="A1405" s="253"/>
      <c r="B1405" s="224"/>
      <c r="C1405" s="316"/>
      <c r="D1405" s="316"/>
      <c r="E1405" s="224"/>
      <c r="F1405" s="224"/>
      <c r="G1405" s="224"/>
      <c r="H1405" s="224"/>
      <c r="I1405" s="224"/>
      <c r="J1405" s="224"/>
      <c r="K1405" s="224"/>
      <c r="L1405" s="224"/>
      <c r="M1405" s="224"/>
      <c r="N1405" s="224"/>
      <c r="O1405" s="224"/>
      <c r="P1405" s="224"/>
      <c r="Q1405" s="224"/>
      <c r="R1405" s="224"/>
      <c r="S1405" s="254"/>
      <c r="T1405" s="254"/>
      <c r="U1405" s="224"/>
      <c r="V1405" s="224"/>
      <c r="W1405" s="224"/>
      <c r="X1405" s="224"/>
      <c r="Y1405" s="224"/>
      <c r="Z1405" s="224"/>
      <c r="AA1405" s="224"/>
      <c r="AB1405" s="224"/>
    </row>
    <row r="1406" spans="1:28" ht="15.75" hidden="1" customHeight="1">
      <c r="A1406" s="248"/>
      <c r="B1406" s="219"/>
      <c r="C1406" s="315"/>
      <c r="D1406" s="315"/>
      <c r="E1406" s="219"/>
      <c r="F1406" s="219"/>
      <c r="G1406" s="219"/>
      <c r="H1406" s="219"/>
      <c r="I1406" s="219"/>
      <c r="J1406" s="219"/>
      <c r="K1406" s="219"/>
      <c r="L1406" s="219"/>
      <c r="M1406" s="219"/>
      <c r="N1406" s="219"/>
      <c r="O1406" s="219"/>
      <c r="P1406" s="219"/>
      <c r="Q1406" s="219"/>
      <c r="R1406" s="219"/>
      <c r="S1406" s="251"/>
      <c r="T1406" s="251"/>
      <c r="U1406" s="219"/>
      <c r="V1406" s="219"/>
      <c r="W1406" s="219"/>
      <c r="X1406" s="219"/>
      <c r="Y1406" s="219"/>
      <c r="Z1406" s="219"/>
      <c r="AA1406" s="219"/>
      <c r="AB1406" s="219"/>
    </row>
    <row r="1407" spans="1:28" ht="15.75" hidden="1" customHeight="1">
      <c r="A1407" s="253"/>
      <c r="B1407" s="224"/>
      <c r="C1407" s="316"/>
      <c r="D1407" s="316"/>
      <c r="E1407" s="224"/>
      <c r="F1407" s="224"/>
      <c r="G1407" s="224"/>
      <c r="H1407" s="224"/>
      <c r="I1407" s="224"/>
      <c r="J1407" s="224"/>
      <c r="K1407" s="224"/>
      <c r="L1407" s="224"/>
      <c r="M1407" s="224"/>
      <c r="N1407" s="224"/>
      <c r="O1407" s="224"/>
      <c r="P1407" s="224"/>
      <c r="Q1407" s="224"/>
      <c r="R1407" s="224"/>
      <c r="S1407" s="254"/>
      <c r="T1407" s="254"/>
      <c r="U1407" s="224"/>
      <c r="V1407" s="224"/>
      <c r="W1407" s="224"/>
      <c r="X1407" s="224"/>
      <c r="Y1407" s="224"/>
      <c r="Z1407" s="224"/>
      <c r="AA1407" s="224"/>
      <c r="AB1407" s="224"/>
    </row>
    <row r="1408" spans="1:28" ht="15.75" hidden="1" customHeight="1">
      <c r="A1408" s="248"/>
      <c r="B1408" s="219"/>
      <c r="C1408" s="315"/>
      <c r="D1408" s="315"/>
      <c r="E1408" s="219"/>
      <c r="F1408" s="219"/>
      <c r="G1408" s="219"/>
      <c r="H1408" s="219"/>
      <c r="I1408" s="219"/>
      <c r="J1408" s="219"/>
      <c r="K1408" s="219"/>
      <c r="L1408" s="219"/>
      <c r="M1408" s="219"/>
      <c r="N1408" s="219"/>
      <c r="O1408" s="219"/>
      <c r="P1408" s="219"/>
      <c r="Q1408" s="219"/>
      <c r="R1408" s="219"/>
      <c r="S1408" s="251"/>
      <c r="T1408" s="251"/>
      <c r="U1408" s="219"/>
      <c r="V1408" s="219"/>
      <c r="W1408" s="219"/>
      <c r="X1408" s="219"/>
      <c r="Y1408" s="219"/>
      <c r="Z1408" s="219"/>
      <c r="AA1408" s="219"/>
      <c r="AB1408" s="219"/>
    </row>
    <row r="1409" spans="1:28" ht="15.75" hidden="1" customHeight="1">
      <c r="A1409" s="253"/>
      <c r="B1409" s="224"/>
      <c r="C1409" s="316"/>
      <c r="D1409" s="316"/>
      <c r="E1409" s="224"/>
      <c r="F1409" s="224"/>
      <c r="G1409" s="224"/>
      <c r="H1409" s="224"/>
      <c r="I1409" s="224"/>
      <c r="J1409" s="224"/>
      <c r="K1409" s="224"/>
      <c r="L1409" s="224"/>
      <c r="M1409" s="224"/>
      <c r="N1409" s="224"/>
      <c r="O1409" s="224"/>
      <c r="P1409" s="224"/>
      <c r="Q1409" s="224"/>
      <c r="R1409" s="224"/>
      <c r="S1409" s="254"/>
      <c r="T1409" s="254"/>
      <c r="U1409" s="224"/>
      <c r="V1409" s="224"/>
      <c r="W1409" s="224"/>
      <c r="X1409" s="224"/>
      <c r="Y1409" s="224"/>
      <c r="Z1409" s="224"/>
      <c r="AA1409" s="224"/>
      <c r="AB1409" s="224"/>
    </row>
    <row r="1410" spans="1:28" ht="15.75" hidden="1" customHeight="1">
      <c r="A1410" s="248"/>
      <c r="B1410" s="219"/>
      <c r="C1410" s="315"/>
      <c r="D1410" s="315"/>
      <c r="E1410" s="219"/>
      <c r="F1410" s="219"/>
      <c r="G1410" s="219"/>
      <c r="H1410" s="219"/>
      <c r="I1410" s="219"/>
      <c r="J1410" s="219"/>
      <c r="K1410" s="219"/>
      <c r="L1410" s="219"/>
      <c r="M1410" s="219"/>
      <c r="N1410" s="219"/>
      <c r="O1410" s="219"/>
      <c r="P1410" s="219"/>
      <c r="Q1410" s="219"/>
      <c r="R1410" s="219"/>
      <c r="S1410" s="251"/>
      <c r="T1410" s="251"/>
      <c r="U1410" s="219"/>
      <c r="V1410" s="219"/>
      <c r="W1410" s="219"/>
      <c r="X1410" s="219"/>
      <c r="Y1410" s="219"/>
      <c r="Z1410" s="219"/>
      <c r="AA1410" s="219"/>
      <c r="AB1410" s="219"/>
    </row>
    <row r="1411" spans="1:28" ht="15.75" hidden="1" customHeight="1">
      <c r="A1411" s="253"/>
      <c r="B1411" s="224"/>
      <c r="C1411" s="316"/>
      <c r="D1411" s="316"/>
      <c r="E1411" s="224"/>
      <c r="F1411" s="224"/>
      <c r="G1411" s="224"/>
      <c r="H1411" s="224"/>
      <c r="I1411" s="224"/>
      <c r="J1411" s="224"/>
      <c r="K1411" s="224"/>
      <c r="L1411" s="224"/>
      <c r="M1411" s="224"/>
      <c r="N1411" s="224"/>
      <c r="O1411" s="224"/>
      <c r="P1411" s="224"/>
      <c r="Q1411" s="224"/>
      <c r="R1411" s="224"/>
      <c r="S1411" s="254"/>
      <c r="T1411" s="254"/>
      <c r="U1411" s="224"/>
      <c r="V1411" s="224"/>
      <c r="W1411" s="224"/>
      <c r="X1411" s="224"/>
      <c r="Y1411" s="224"/>
      <c r="Z1411" s="224"/>
      <c r="AA1411" s="224"/>
      <c r="AB1411" s="224"/>
    </row>
    <row r="1412" spans="1:28" ht="15.75" hidden="1" customHeight="1">
      <c r="A1412" s="248"/>
      <c r="B1412" s="219"/>
      <c r="C1412" s="315"/>
      <c r="D1412" s="315"/>
      <c r="E1412" s="219"/>
      <c r="F1412" s="219"/>
      <c r="G1412" s="219"/>
      <c r="H1412" s="219"/>
      <c r="I1412" s="219"/>
      <c r="J1412" s="219"/>
      <c r="K1412" s="219"/>
      <c r="L1412" s="219"/>
      <c r="M1412" s="219"/>
      <c r="N1412" s="219"/>
      <c r="O1412" s="219"/>
      <c r="P1412" s="219"/>
      <c r="Q1412" s="219"/>
      <c r="R1412" s="219"/>
      <c r="S1412" s="251"/>
      <c r="T1412" s="251"/>
      <c r="U1412" s="219"/>
      <c r="V1412" s="219"/>
      <c r="W1412" s="219"/>
      <c r="X1412" s="219"/>
      <c r="Y1412" s="219"/>
      <c r="Z1412" s="219"/>
      <c r="AA1412" s="219"/>
      <c r="AB1412" s="219"/>
    </row>
    <row r="1413" spans="1:28" ht="15.75" hidden="1" customHeight="1">
      <c r="A1413" s="253"/>
      <c r="B1413" s="224"/>
      <c r="C1413" s="316"/>
      <c r="D1413" s="316"/>
      <c r="E1413" s="224"/>
      <c r="F1413" s="224"/>
      <c r="G1413" s="224"/>
      <c r="H1413" s="224"/>
      <c r="I1413" s="224"/>
      <c r="J1413" s="224"/>
      <c r="K1413" s="224"/>
      <c r="L1413" s="224"/>
      <c r="M1413" s="224"/>
      <c r="N1413" s="224"/>
      <c r="O1413" s="224"/>
      <c r="P1413" s="224"/>
      <c r="Q1413" s="224"/>
      <c r="R1413" s="224"/>
      <c r="S1413" s="254"/>
      <c r="T1413" s="254"/>
      <c r="U1413" s="224"/>
      <c r="V1413" s="224"/>
      <c r="W1413" s="224"/>
      <c r="X1413" s="224"/>
      <c r="Y1413" s="224"/>
      <c r="Z1413" s="224"/>
      <c r="AA1413" s="224"/>
      <c r="AB1413" s="224"/>
    </row>
    <row r="1414" spans="1:28" ht="15.75" hidden="1" customHeight="1">
      <c r="A1414" s="248"/>
      <c r="B1414" s="219"/>
      <c r="C1414" s="315"/>
      <c r="D1414" s="315"/>
      <c r="E1414" s="219"/>
      <c r="F1414" s="219"/>
      <c r="G1414" s="219"/>
      <c r="H1414" s="219"/>
      <c r="I1414" s="219"/>
      <c r="J1414" s="219"/>
      <c r="K1414" s="219"/>
      <c r="L1414" s="219"/>
      <c r="M1414" s="219"/>
      <c r="N1414" s="219"/>
      <c r="O1414" s="219"/>
      <c r="P1414" s="219"/>
      <c r="Q1414" s="219"/>
      <c r="R1414" s="219"/>
      <c r="S1414" s="251"/>
      <c r="T1414" s="251"/>
      <c r="U1414" s="219"/>
      <c r="V1414" s="219"/>
      <c r="W1414" s="219"/>
      <c r="X1414" s="219"/>
      <c r="Y1414" s="219"/>
      <c r="Z1414" s="219"/>
      <c r="AA1414" s="219"/>
      <c r="AB1414" s="219"/>
    </row>
    <row r="1415" spans="1:28" ht="15.75" hidden="1" customHeight="1">
      <c r="A1415" s="253"/>
      <c r="B1415" s="224"/>
      <c r="C1415" s="316"/>
      <c r="D1415" s="316"/>
      <c r="E1415" s="224"/>
      <c r="F1415" s="224"/>
      <c r="G1415" s="224"/>
      <c r="H1415" s="224"/>
      <c r="I1415" s="224"/>
      <c r="J1415" s="224"/>
      <c r="K1415" s="224"/>
      <c r="L1415" s="224"/>
      <c r="M1415" s="224"/>
      <c r="N1415" s="224"/>
      <c r="O1415" s="224"/>
      <c r="P1415" s="224"/>
      <c r="Q1415" s="224"/>
      <c r="R1415" s="224"/>
      <c r="S1415" s="254"/>
      <c r="T1415" s="254"/>
      <c r="U1415" s="224"/>
      <c r="V1415" s="224"/>
      <c r="W1415" s="224"/>
      <c r="X1415" s="224"/>
      <c r="Y1415" s="224"/>
      <c r="Z1415" s="224"/>
      <c r="AA1415" s="224"/>
      <c r="AB1415" s="224"/>
    </row>
    <row r="1416" spans="1:28" ht="15.75" hidden="1" customHeight="1">
      <c r="A1416" s="248"/>
      <c r="B1416" s="219"/>
      <c r="C1416" s="315"/>
      <c r="D1416" s="315"/>
      <c r="E1416" s="219"/>
      <c r="F1416" s="219"/>
      <c r="G1416" s="219"/>
      <c r="H1416" s="219"/>
      <c r="I1416" s="219"/>
      <c r="J1416" s="219"/>
      <c r="K1416" s="219"/>
      <c r="L1416" s="219"/>
      <c r="M1416" s="219"/>
      <c r="N1416" s="219"/>
      <c r="O1416" s="219"/>
      <c r="P1416" s="219"/>
      <c r="Q1416" s="219"/>
      <c r="R1416" s="219"/>
      <c r="S1416" s="251"/>
      <c r="T1416" s="251"/>
      <c r="U1416" s="219"/>
      <c r="V1416" s="219"/>
      <c r="W1416" s="219"/>
      <c r="X1416" s="219"/>
      <c r="Y1416" s="219"/>
      <c r="Z1416" s="219"/>
      <c r="AA1416" s="219"/>
      <c r="AB1416" s="219"/>
    </row>
    <row r="1417" spans="1:28" ht="15.75" hidden="1" customHeight="1">
      <c r="A1417" s="253"/>
      <c r="B1417" s="224"/>
      <c r="C1417" s="316"/>
      <c r="D1417" s="316"/>
      <c r="E1417" s="224"/>
      <c r="F1417" s="224"/>
      <c r="G1417" s="224"/>
      <c r="H1417" s="224"/>
      <c r="I1417" s="224"/>
      <c r="J1417" s="224"/>
      <c r="K1417" s="224"/>
      <c r="L1417" s="224"/>
      <c r="M1417" s="224"/>
      <c r="N1417" s="224"/>
      <c r="O1417" s="224"/>
      <c r="P1417" s="224"/>
      <c r="Q1417" s="224"/>
      <c r="R1417" s="224"/>
      <c r="S1417" s="254"/>
      <c r="T1417" s="254"/>
      <c r="U1417" s="224"/>
      <c r="V1417" s="224"/>
      <c r="W1417" s="224"/>
      <c r="X1417" s="224"/>
      <c r="Y1417" s="224"/>
      <c r="Z1417" s="224"/>
      <c r="AA1417" s="224"/>
      <c r="AB1417" s="224"/>
    </row>
    <row r="1418" spans="1:28" ht="15.75" hidden="1" customHeight="1">
      <c r="A1418" s="248"/>
      <c r="B1418" s="219"/>
      <c r="C1418" s="315"/>
      <c r="D1418" s="315"/>
      <c r="E1418" s="219"/>
      <c r="F1418" s="219"/>
      <c r="G1418" s="219"/>
      <c r="H1418" s="219"/>
      <c r="I1418" s="219"/>
      <c r="J1418" s="219"/>
      <c r="K1418" s="219"/>
      <c r="L1418" s="219"/>
      <c r="M1418" s="219"/>
      <c r="N1418" s="219"/>
      <c r="O1418" s="219"/>
      <c r="P1418" s="219"/>
      <c r="Q1418" s="219"/>
      <c r="R1418" s="219"/>
      <c r="S1418" s="251"/>
      <c r="T1418" s="251"/>
      <c r="U1418" s="219"/>
      <c r="V1418" s="219"/>
      <c r="W1418" s="219"/>
      <c r="X1418" s="219"/>
      <c r="Y1418" s="219"/>
      <c r="Z1418" s="219"/>
      <c r="AA1418" s="219"/>
      <c r="AB1418" s="219"/>
    </row>
    <row r="1419" spans="1:28" ht="15.75" hidden="1" customHeight="1">
      <c r="A1419" s="253"/>
      <c r="B1419" s="224"/>
      <c r="C1419" s="316"/>
      <c r="D1419" s="316"/>
      <c r="E1419" s="224"/>
      <c r="F1419" s="224"/>
      <c r="G1419" s="224"/>
      <c r="H1419" s="224"/>
      <c r="I1419" s="224"/>
      <c r="J1419" s="224"/>
      <c r="K1419" s="224"/>
      <c r="L1419" s="224"/>
      <c r="M1419" s="224"/>
      <c r="N1419" s="224"/>
      <c r="O1419" s="224"/>
      <c r="P1419" s="224"/>
      <c r="Q1419" s="224"/>
      <c r="R1419" s="224"/>
      <c r="S1419" s="254"/>
      <c r="T1419" s="254"/>
      <c r="U1419" s="224"/>
      <c r="V1419" s="224"/>
      <c r="W1419" s="224"/>
      <c r="X1419" s="224"/>
      <c r="Y1419" s="224"/>
      <c r="Z1419" s="224"/>
      <c r="AA1419" s="224"/>
      <c r="AB1419" s="224"/>
    </row>
    <row r="1420" spans="1:28" ht="15.75" hidden="1" customHeight="1">
      <c r="A1420" s="248"/>
      <c r="B1420" s="219"/>
      <c r="C1420" s="315"/>
      <c r="D1420" s="315"/>
      <c r="E1420" s="219"/>
      <c r="F1420" s="219"/>
      <c r="G1420" s="219"/>
      <c r="H1420" s="219"/>
      <c r="I1420" s="219"/>
      <c r="J1420" s="219"/>
      <c r="K1420" s="219"/>
      <c r="L1420" s="219"/>
      <c r="M1420" s="219"/>
      <c r="N1420" s="219"/>
      <c r="O1420" s="219"/>
      <c r="P1420" s="219"/>
      <c r="Q1420" s="219"/>
      <c r="R1420" s="219"/>
      <c r="S1420" s="251"/>
      <c r="T1420" s="251"/>
      <c r="U1420" s="219"/>
      <c r="V1420" s="219"/>
      <c r="W1420" s="219"/>
      <c r="X1420" s="219"/>
      <c r="Y1420" s="219"/>
      <c r="Z1420" s="219"/>
      <c r="AA1420" s="219"/>
      <c r="AB1420" s="219"/>
    </row>
    <row r="1421" spans="1:28" ht="15.75" hidden="1" customHeight="1">
      <c r="A1421" s="253"/>
      <c r="B1421" s="224"/>
      <c r="C1421" s="316"/>
      <c r="D1421" s="316"/>
      <c r="E1421" s="224"/>
      <c r="F1421" s="224"/>
      <c r="G1421" s="224"/>
      <c r="H1421" s="224"/>
      <c r="I1421" s="224"/>
      <c r="J1421" s="224"/>
      <c r="K1421" s="224"/>
      <c r="L1421" s="224"/>
      <c r="M1421" s="224"/>
      <c r="N1421" s="224"/>
      <c r="O1421" s="224"/>
      <c r="P1421" s="224"/>
      <c r="Q1421" s="224"/>
      <c r="R1421" s="224"/>
      <c r="S1421" s="254"/>
      <c r="T1421" s="254"/>
      <c r="U1421" s="224"/>
      <c r="V1421" s="224"/>
      <c r="W1421" s="224"/>
      <c r="X1421" s="224"/>
      <c r="Y1421" s="224"/>
      <c r="Z1421" s="224"/>
      <c r="AA1421" s="224"/>
      <c r="AB1421" s="224"/>
    </row>
    <row r="1422" spans="1:28" ht="15.75" hidden="1" customHeight="1">
      <c r="A1422" s="248"/>
      <c r="B1422" s="219"/>
      <c r="C1422" s="315"/>
      <c r="D1422" s="315"/>
      <c r="E1422" s="219"/>
      <c r="F1422" s="219"/>
      <c r="G1422" s="219"/>
      <c r="H1422" s="219"/>
      <c r="I1422" s="219"/>
      <c r="J1422" s="219"/>
      <c r="K1422" s="219"/>
      <c r="L1422" s="219"/>
      <c r="M1422" s="219"/>
      <c r="N1422" s="219"/>
      <c r="O1422" s="219"/>
      <c r="P1422" s="219"/>
      <c r="Q1422" s="219"/>
      <c r="R1422" s="219"/>
      <c r="S1422" s="251"/>
      <c r="T1422" s="251"/>
      <c r="U1422" s="219"/>
      <c r="V1422" s="219"/>
      <c r="W1422" s="219"/>
      <c r="X1422" s="219"/>
      <c r="Y1422" s="219"/>
      <c r="Z1422" s="219"/>
      <c r="AA1422" s="219"/>
      <c r="AB1422" s="219"/>
    </row>
    <row r="1423" spans="1:28" ht="15.75" hidden="1" customHeight="1">
      <c r="A1423" s="253"/>
      <c r="B1423" s="224"/>
      <c r="C1423" s="316"/>
      <c r="D1423" s="316"/>
      <c r="E1423" s="224"/>
      <c r="F1423" s="224"/>
      <c r="G1423" s="224"/>
      <c r="H1423" s="224"/>
      <c r="I1423" s="224"/>
      <c r="J1423" s="224"/>
      <c r="K1423" s="224"/>
      <c r="L1423" s="224"/>
      <c r="M1423" s="224"/>
      <c r="N1423" s="224"/>
      <c r="O1423" s="224"/>
      <c r="P1423" s="224"/>
      <c r="Q1423" s="224"/>
      <c r="R1423" s="224"/>
      <c r="S1423" s="254"/>
      <c r="T1423" s="254"/>
      <c r="U1423" s="224"/>
      <c r="V1423" s="224"/>
      <c r="W1423" s="224"/>
      <c r="X1423" s="224"/>
      <c r="Y1423" s="224"/>
      <c r="Z1423" s="224"/>
      <c r="AA1423" s="224"/>
      <c r="AB1423" s="224"/>
    </row>
    <row r="1424" spans="1:28" ht="15.75" hidden="1" customHeight="1">
      <c r="A1424" s="248"/>
      <c r="B1424" s="219"/>
      <c r="C1424" s="315"/>
      <c r="D1424" s="315"/>
      <c r="E1424" s="219"/>
      <c r="F1424" s="219"/>
      <c r="G1424" s="219"/>
      <c r="H1424" s="219"/>
      <c r="I1424" s="219"/>
      <c r="J1424" s="219"/>
      <c r="K1424" s="219"/>
      <c r="L1424" s="219"/>
      <c r="M1424" s="219"/>
      <c r="N1424" s="219"/>
      <c r="O1424" s="219"/>
      <c r="P1424" s="219"/>
      <c r="Q1424" s="219"/>
      <c r="R1424" s="219"/>
      <c r="S1424" s="251"/>
      <c r="T1424" s="251"/>
      <c r="U1424" s="219"/>
      <c r="V1424" s="219"/>
      <c r="W1424" s="219"/>
      <c r="X1424" s="219"/>
      <c r="Y1424" s="219"/>
      <c r="Z1424" s="219"/>
      <c r="AA1424" s="219"/>
      <c r="AB1424" s="219"/>
    </row>
    <row r="1425" spans="1:28" ht="15.75" hidden="1" customHeight="1">
      <c r="A1425" s="253"/>
      <c r="B1425" s="224"/>
      <c r="C1425" s="316"/>
      <c r="D1425" s="316"/>
      <c r="E1425" s="224"/>
      <c r="F1425" s="224"/>
      <c r="G1425" s="224"/>
      <c r="H1425" s="224"/>
      <c r="I1425" s="224"/>
      <c r="J1425" s="224"/>
      <c r="K1425" s="224"/>
      <c r="L1425" s="224"/>
      <c r="M1425" s="224"/>
      <c r="N1425" s="224"/>
      <c r="O1425" s="224"/>
      <c r="P1425" s="224"/>
      <c r="Q1425" s="224"/>
      <c r="R1425" s="224"/>
      <c r="S1425" s="254"/>
      <c r="T1425" s="254"/>
      <c r="U1425" s="224"/>
      <c r="V1425" s="224"/>
      <c r="W1425" s="224"/>
      <c r="X1425" s="224"/>
      <c r="Y1425" s="224"/>
      <c r="Z1425" s="224"/>
      <c r="AA1425" s="224"/>
      <c r="AB1425" s="224"/>
    </row>
    <row r="1426" spans="1:28" ht="15.75" hidden="1" customHeight="1">
      <c r="A1426" s="248"/>
      <c r="B1426" s="219"/>
      <c r="C1426" s="315"/>
      <c r="D1426" s="315"/>
      <c r="E1426" s="219"/>
      <c r="F1426" s="219"/>
      <c r="G1426" s="219"/>
      <c r="H1426" s="219"/>
      <c r="I1426" s="219"/>
      <c r="J1426" s="219"/>
      <c r="K1426" s="219"/>
      <c r="L1426" s="219"/>
      <c r="M1426" s="219"/>
      <c r="N1426" s="219"/>
      <c r="O1426" s="219"/>
      <c r="P1426" s="219"/>
      <c r="Q1426" s="219"/>
      <c r="R1426" s="219"/>
      <c r="S1426" s="251"/>
      <c r="T1426" s="251"/>
      <c r="U1426" s="219"/>
      <c r="V1426" s="219"/>
      <c r="W1426" s="219"/>
      <c r="X1426" s="219"/>
      <c r="Y1426" s="219"/>
      <c r="Z1426" s="219"/>
      <c r="AA1426" s="219"/>
      <c r="AB1426" s="219"/>
    </row>
    <row r="1427" spans="1:28" ht="15.75" hidden="1" customHeight="1">
      <c r="A1427" s="253"/>
      <c r="B1427" s="224"/>
      <c r="C1427" s="316"/>
      <c r="D1427" s="316"/>
      <c r="E1427" s="224"/>
      <c r="F1427" s="224"/>
      <c r="G1427" s="224"/>
      <c r="H1427" s="224"/>
      <c r="I1427" s="224"/>
      <c r="J1427" s="224"/>
      <c r="K1427" s="224"/>
      <c r="L1427" s="224"/>
      <c r="M1427" s="224"/>
      <c r="N1427" s="224"/>
      <c r="O1427" s="224"/>
      <c r="P1427" s="224"/>
      <c r="Q1427" s="224"/>
      <c r="R1427" s="224"/>
      <c r="S1427" s="254"/>
      <c r="T1427" s="254"/>
      <c r="U1427" s="224"/>
      <c r="V1427" s="224"/>
      <c r="W1427" s="224"/>
      <c r="X1427" s="224"/>
      <c r="Y1427" s="224"/>
      <c r="Z1427" s="224"/>
      <c r="AA1427" s="224"/>
      <c r="AB1427" s="224"/>
    </row>
    <row r="1428" spans="1:28" ht="15.75" hidden="1" customHeight="1">
      <c r="A1428" s="248"/>
      <c r="B1428" s="219"/>
      <c r="C1428" s="315"/>
      <c r="D1428" s="315"/>
      <c r="E1428" s="219"/>
      <c r="F1428" s="219"/>
      <c r="G1428" s="219"/>
      <c r="H1428" s="219"/>
      <c r="I1428" s="219"/>
      <c r="J1428" s="219"/>
      <c r="K1428" s="219"/>
      <c r="L1428" s="219"/>
      <c r="M1428" s="219"/>
      <c r="N1428" s="219"/>
      <c r="O1428" s="219"/>
      <c r="P1428" s="219"/>
      <c r="Q1428" s="219"/>
      <c r="R1428" s="219"/>
      <c r="S1428" s="251"/>
      <c r="T1428" s="251"/>
      <c r="U1428" s="219"/>
      <c r="V1428" s="219"/>
      <c r="W1428" s="219"/>
      <c r="X1428" s="219"/>
      <c r="Y1428" s="219"/>
      <c r="Z1428" s="219"/>
      <c r="AA1428" s="219"/>
      <c r="AB1428" s="219"/>
    </row>
    <row r="1429" spans="1:28" ht="15.75" hidden="1" customHeight="1">
      <c r="A1429" s="253"/>
      <c r="B1429" s="224"/>
      <c r="C1429" s="316"/>
      <c r="D1429" s="316"/>
      <c r="E1429" s="224"/>
      <c r="F1429" s="224"/>
      <c r="G1429" s="224"/>
      <c r="H1429" s="224"/>
      <c r="I1429" s="224"/>
      <c r="J1429" s="224"/>
      <c r="K1429" s="224"/>
      <c r="L1429" s="224"/>
      <c r="M1429" s="224"/>
      <c r="N1429" s="224"/>
      <c r="O1429" s="224"/>
      <c r="P1429" s="224"/>
      <c r="Q1429" s="224"/>
      <c r="R1429" s="224"/>
      <c r="S1429" s="254"/>
      <c r="T1429" s="254"/>
      <c r="U1429" s="224"/>
      <c r="V1429" s="224"/>
      <c r="W1429" s="224"/>
      <c r="X1429" s="224"/>
      <c r="Y1429" s="224"/>
      <c r="Z1429" s="224"/>
      <c r="AA1429" s="224"/>
      <c r="AB1429" s="224"/>
    </row>
    <row r="1430" spans="1:28" ht="15.75" hidden="1" customHeight="1">
      <c r="A1430" s="248"/>
      <c r="B1430" s="219"/>
      <c r="C1430" s="315"/>
      <c r="D1430" s="315"/>
      <c r="E1430" s="219"/>
      <c r="F1430" s="219"/>
      <c r="G1430" s="219"/>
      <c r="H1430" s="219"/>
      <c r="I1430" s="219"/>
      <c r="J1430" s="219"/>
      <c r="K1430" s="219"/>
      <c r="L1430" s="219"/>
      <c r="M1430" s="219"/>
      <c r="N1430" s="219"/>
      <c r="O1430" s="219"/>
      <c r="P1430" s="219"/>
      <c r="Q1430" s="219"/>
      <c r="R1430" s="219"/>
      <c r="S1430" s="251"/>
      <c r="T1430" s="251"/>
      <c r="U1430" s="219"/>
      <c r="V1430" s="219"/>
      <c r="W1430" s="219"/>
      <c r="X1430" s="219"/>
      <c r="Y1430" s="219"/>
      <c r="Z1430" s="219"/>
      <c r="AA1430" s="219"/>
      <c r="AB1430" s="219"/>
    </row>
    <row r="1431" spans="1:28" ht="15.75" hidden="1" customHeight="1">
      <c r="A1431" s="253"/>
      <c r="B1431" s="224"/>
      <c r="C1431" s="316"/>
      <c r="D1431" s="316"/>
      <c r="E1431" s="224"/>
      <c r="F1431" s="224"/>
      <c r="G1431" s="224"/>
      <c r="H1431" s="224"/>
      <c r="I1431" s="224"/>
      <c r="J1431" s="224"/>
      <c r="K1431" s="224"/>
      <c r="L1431" s="224"/>
      <c r="M1431" s="224"/>
      <c r="N1431" s="224"/>
      <c r="O1431" s="224"/>
      <c r="P1431" s="224"/>
      <c r="Q1431" s="224"/>
      <c r="R1431" s="224"/>
      <c r="S1431" s="254"/>
      <c r="T1431" s="254"/>
      <c r="U1431" s="224"/>
      <c r="V1431" s="224"/>
      <c r="W1431" s="224"/>
      <c r="X1431" s="224"/>
      <c r="Y1431" s="224"/>
      <c r="Z1431" s="224"/>
      <c r="AA1431" s="224"/>
      <c r="AB1431" s="224"/>
    </row>
    <row r="1432" spans="1:28" ht="15.75" hidden="1" customHeight="1">
      <c r="A1432" s="248"/>
      <c r="B1432" s="219"/>
      <c r="C1432" s="315"/>
      <c r="D1432" s="315"/>
      <c r="E1432" s="219"/>
      <c r="F1432" s="219"/>
      <c r="G1432" s="219"/>
      <c r="H1432" s="219"/>
      <c r="I1432" s="219"/>
      <c r="J1432" s="219"/>
      <c r="K1432" s="219"/>
      <c r="L1432" s="219"/>
      <c r="M1432" s="219"/>
      <c r="N1432" s="219"/>
      <c r="O1432" s="219"/>
      <c r="P1432" s="219"/>
      <c r="Q1432" s="219"/>
      <c r="R1432" s="219"/>
      <c r="S1432" s="251"/>
      <c r="T1432" s="251"/>
      <c r="U1432" s="219"/>
      <c r="V1432" s="219"/>
      <c r="W1432" s="219"/>
      <c r="X1432" s="219"/>
      <c r="Y1432" s="219"/>
      <c r="Z1432" s="219"/>
      <c r="AA1432" s="219"/>
      <c r="AB1432" s="219"/>
    </row>
    <row r="1433" spans="1:28" ht="15.75" hidden="1" customHeight="1">
      <c r="A1433" s="253"/>
      <c r="B1433" s="224"/>
      <c r="C1433" s="316"/>
      <c r="D1433" s="316"/>
      <c r="E1433" s="224"/>
      <c r="F1433" s="224"/>
      <c r="G1433" s="224"/>
      <c r="H1433" s="224"/>
      <c r="I1433" s="224"/>
      <c r="J1433" s="224"/>
      <c r="K1433" s="224"/>
      <c r="L1433" s="224"/>
      <c r="M1433" s="224"/>
      <c r="N1433" s="224"/>
      <c r="O1433" s="224"/>
      <c r="P1433" s="224"/>
      <c r="Q1433" s="224"/>
      <c r="R1433" s="224"/>
      <c r="S1433" s="254"/>
      <c r="T1433" s="254"/>
      <c r="U1433" s="224"/>
      <c r="V1433" s="224"/>
      <c r="W1433" s="224"/>
      <c r="X1433" s="224"/>
      <c r="Y1433" s="224"/>
      <c r="Z1433" s="224"/>
      <c r="AA1433" s="224"/>
      <c r="AB1433" s="224"/>
    </row>
    <row r="1434" spans="1:28" ht="15.75" hidden="1" customHeight="1">
      <c r="A1434" s="248"/>
      <c r="B1434" s="219"/>
      <c r="C1434" s="315"/>
      <c r="D1434" s="315"/>
      <c r="E1434" s="219"/>
      <c r="F1434" s="219"/>
      <c r="G1434" s="219"/>
      <c r="H1434" s="219"/>
      <c r="I1434" s="219"/>
      <c r="J1434" s="219"/>
      <c r="K1434" s="219"/>
      <c r="L1434" s="219"/>
      <c r="M1434" s="219"/>
      <c r="N1434" s="219"/>
      <c r="O1434" s="219"/>
      <c r="P1434" s="219"/>
      <c r="Q1434" s="219"/>
      <c r="R1434" s="219"/>
      <c r="S1434" s="251"/>
      <c r="T1434" s="251"/>
      <c r="U1434" s="219"/>
      <c r="V1434" s="219"/>
      <c r="W1434" s="219"/>
      <c r="X1434" s="219"/>
      <c r="Y1434" s="219"/>
      <c r="Z1434" s="219"/>
      <c r="AA1434" s="219"/>
      <c r="AB1434" s="219"/>
    </row>
    <row r="1435" spans="1:28" ht="15.75" hidden="1" customHeight="1">
      <c r="A1435" s="253"/>
      <c r="B1435" s="224"/>
      <c r="C1435" s="316"/>
      <c r="D1435" s="316"/>
      <c r="E1435" s="224"/>
      <c r="F1435" s="224"/>
      <c r="G1435" s="224"/>
      <c r="H1435" s="224"/>
      <c r="I1435" s="224"/>
      <c r="J1435" s="224"/>
      <c r="K1435" s="224"/>
      <c r="L1435" s="224"/>
      <c r="M1435" s="224"/>
      <c r="N1435" s="224"/>
      <c r="O1435" s="224"/>
      <c r="P1435" s="224"/>
      <c r="Q1435" s="224"/>
      <c r="R1435" s="224"/>
      <c r="S1435" s="254"/>
      <c r="T1435" s="254"/>
      <c r="U1435" s="224"/>
      <c r="V1435" s="224"/>
      <c r="W1435" s="224"/>
      <c r="X1435" s="224"/>
      <c r="Y1435" s="224"/>
      <c r="Z1435" s="224"/>
      <c r="AA1435" s="224"/>
      <c r="AB1435" s="224"/>
    </row>
    <row r="1436" spans="1:28" ht="15.75" hidden="1" customHeight="1">
      <c r="A1436" s="248"/>
      <c r="B1436" s="219"/>
      <c r="C1436" s="315"/>
      <c r="D1436" s="315"/>
      <c r="E1436" s="219"/>
      <c r="F1436" s="219"/>
      <c r="G1436" s="219"/>
      <c r="H1436" s="219"/>
      <c r="I1436" s="219"/>
      <c r="J1436" s="219"/>
      <c r="K1436" s="219"/>
      <c r="L1436" s="219"/>
      <c r="M1436" s="219"/>
      <c r="N1436" s="219"/>
      <c r="O1436" s="219"/>
      <c r="P1436" s="219"/>
      <c r="Q1436" s="219"/>
      <c r="R1436" s="219"/>
      <c r="S1436" s="251"/>
      <c r="T1436" s="251"/>
      <c r="U1436" s="219"/>
      <c r="V1436" s="219"/>
      <c r="W1436" s="219"/>
      <c r="X1436" s="219"/>
      <c r="Y1436" s="219"/>
      <c r="Z1436" s="219"/>
      <c r="AA1436" s="219"/>
      <c r="AB1436" s="219"/>
    </row>
    <row r="1437" spans="1:28" ht="15.75" hidden="1" customHeight="1">
      <c r="A1437" s="253"/>
      <c r="B1437" s="224"/>
      <c r="C1437" s="316"/>
      <c r="D1437" s="316"/>
      <c r="E1437" s="224"/>
      <c r="F1437" s="224"/>
      <c r="G1437" s="224"/>
      <c r="H1437" s="224"/>
      <c r="I1437" s="224"/>
      <c r="J1437" s="224"/>
      <c r="K1437" s="224"/>
      <c r="L1437" s="224"/>
      <c r="M1437" s="224"/>
      <c r="N1437" s="224"/>
      <c r="O1437" s="224"/>
      <c r="P1437" s="224"/>
      <c r="Q1437" s="224"/>
      <c r="R1437" s="224"/>
      <c r="S1437" s="254"/>
      <c r="T1437" s="254"/>
      <c r="U1437" s="224"/>
      <c r="V1437" s="224"/>
      <c r="W1437" s="224"/>
      <c r="X1437" s="224"/>
      <c r="Y1437" s="224"/>
      <c r="Z1437" s="224"/>
      <c r="AA1437" s="224"/>
      <c r="AB1437" s="224"/>
    </row>
    <row r="1438" spans="1:28" ht="15.75" hidden="1" customHeight="1">
      <c r="A1438" s="248"/>
      <c r="B1438" s="219"/>
      <c r="C1438" s="315"/>
      <c r="D1438" s="315"/>
      <c r="E1438" s="219"/>
      <c r="F1438" s="219"/>
      <c r="G1438" s="219"/>
      <c r="H1438" s="219"/>
      <c r="I1438" s="219"/>
      <c r="J1438" s="219"/>
      <c r="K1438" s="219"/>
      <c r="L1438" s="219"/>
      <c r="M1438" s="219"/>
      <c r="N1438" s="219"/>
      <c r="O1438" s="219"/>
      <c r="P1438" s="219"/>
      <c r="Q1438" s="219"/>
      <c r="R1438" s="219"/>
      <c r="S1438" s="251"/>
      <c r="T1438" s="251"/>
      <c r="U1438" s="219"/>
      <c r="V1438" s="219"/>
      <c r="W1438" s="219"/>
      <c r="X1438" s="219"/>
      <c r="Y1438" s="219"/>
      <c r="Z1438" s="219"/>
      <c r="AA1438" s="219"/>
      <c r="AB1438" s="219"/>
    </row>
    <row r="1439" spans="1:28" ht="15.75" hidden="1" customHeight="1">
      <c r="A1439" s="253"/>
      <c r="B1439" s="224"/>
      <c r="C1439" s="316"/>
      <c r="D1439" s="316"/>
      <c r="E1439" s="224"/>
      <c r="F1439" s="224"/>
      <c r="G1439" s="224"/>
      <c r="H1439" s="224"/>
      <c r="I1439" s="224"/>
      <c r="J1439" s="224"/>
      <c r="K1439" s="224"/>
      <c r="L1439" s="224"/>
      <c r="M1439" s="224"/>
      <c r="N1439" s="224"/>
      <c r="O1439" s="224"/>
      <c r="P1439" s="224"/>
      <c r="Q1439" s="224"/>
      <c r="R1439" s="224"/>
      <c r="S1439" s="254"/>
      <c r="T1439" s="254"/>
      <c r="U1439" s="224"/>
      <c r="V1439" s="224"/>
      <c r="W1439" s="224"/>
      <c r="X1439" s="224"/>
      <c r="Y1439" s="224"/>
      <c r="Z1439" s="224"/>
      <c r="AA1439" s="224"/>
      <c r="AB1439" s="224"/>
    </row>
    <row r="1440" spans="1:28" ht="15.75" hidden="1" customHeight="1">
      <c r="A1440" s="248"/>
      <c r="B1440" s="219"/>
      <c r="C1440" s="315"/>
      <c r="D1440" s="315"/>
      <c r="E1440" s="219"/>
      <c r="F1440" s="219"/>
      <c r="G1440" s="219"/>
      <c r="H1440" s="219"/>
      <c r="I1440" s="219"/>
      <c r="J1440" s="219"/>
      <c r="K1440" s="219"/>
      <c r="L1440" s="219"/>
      <c r="M1440" s="219"/>
      <c r="N1440" s="219"/>
      <c r="O1440" s="219"/>
      <c r="P1440" s="219"/>
      <c r="Q1440" s="219"/>
      <c r="R1440" s="219"/>
      <c r="S1440" s="251"/>
      <c r="T1440" s="251"/>
      <c r="U1440" s="219"/>
      <c r="V1440" s="219"/>
      <c r="W1440" s="219"/>
      <c r="X1440" s="219"/>
      <c r="Y1440" s="219"/>
      <c r="Z1440" s="219"/>
      <c r="AA1440" s="219"/>
      <c r="AB1440" s="219"/>
    </row>
    <row r="1441" spans="1:28" ht="15.75" hidden="1" customHeight="1">
      <c r="A1441" s="253"/>
      <c r="B1441" s="224"/>
      <c r="C1441" s="316"/>
      <c r="D1441" s="316"/>
      <c r="E1441" s="224"/>
      <c r="F1441" s="224"/>
      <c r="G1441" s="224"/>
      <c r="H1441" s="224"/>
      <c r="I1441" s="224"/>
      <c r="J1441" s="224"/>
      <c r="K1441" s="224"/>
      <c r="L1441" s="224"/>
      <c r="M1441" s="224"/>
      <c r="N1441" s="224"/>
      <c r="O1441" s="224"/>
      <c r="P1441" s="224"/>
      <c r="Q1441" s="224"/>
      <c r="R1441" s="224"/>
      <c r="S1441" s="254"/>
      <c r="T1441" s="254"/>
      <c r="U1441" s="224"/>
      <c r="V1441" s="224"/>
      <c r="W1441" s="224"/>
      <c r="X1441" s="224"/>
      <c r="Y1441" s="224"/>
      <c r="Z1441" s="224"/>
      <c r="AA1441" s="224"/>
      <c r="AB1441" s="224"/>
    </row>
    <row r="1442" spans="1:28" ht="15.75" hidden="1" customHeight="1">
      <c r="A1442" s="248"/>
      <c r="B1442" s="219"/>
      <c r="C1442" s="315"/>
      <c r="D1442" s="315"/>
      <c r="E1442" s="219"/>
      <c r="F1442" s="219"/>
      <c r="G1442" s="219"/>
      <c r="H1442" s="219"/>
      <c r="I1442" s="219"/>
      <c r="J1442" s="219"/>
      <c r="K1442" s="219"/>
      <c r="L1442" s="219"/>
      <c r="M1442" s="219"/>
      <c r="N1442" s="219"/>
      <c r="O1442" s="219"/>
      <c r="P1442" s="219"/>
      <c r="Q1442" s="219"/>
      <c r="R1442" s="219"/>
      <c r="S1442" s="251"/>
      <c r="T1442" s="251"/>
      <c r="U1442" s="219"/>
      <c r="V1442" s="219"/>
      <c r="W1442" s="219"/>
      <c r="X1442" s="219"/>
      <c r="Y1442" s="219"/>
      <c r="Z1442" s="219"/>
      <c r="AA1442" s="219"/>
      <c r="AB1442" s="219"/>
    </row>
    <row r="1443" spans="1:28" ht="15.75" hidden="1" customHeight="1">
      <c r="A1443" s="253"/>
      <c r="B1443" s="224"/>
      <c r="C1443" s="316"/>
      <c r="D1443" s="316"/>
      <c r="E1443" s="224"/>
      <c r="F1443" s="224"/>
      <c r="G1443" s="224"/>
      <c r="H1443" s="224"/>
      <c r="I1443" s="224"/>
      <c r="J1443" s="224"/>
      <c r="K1443" s="224"/>
      <c r="L1443" s="224"/>
      <c r="M1443" s="224"/>
      <c r="N1443" s="224"/>
      <c r="O1443" s="224"/>
      <c r="P1443" s="224"/>
      <c r="Q1443" s="224"/>
      <c r="R1443" s="224"/>
      <c r="S1443" s="254"/>
      <c r="T1443" s="254"/>
      <c r="U1443" s="224"/>
      <c r="V1443" s="224"/>
      <c r="W1443" s="224"/>
      <c r="X1443" s="224"/>
      <c r="Y1443" s="224"/>
      <c r="Z1443" s="224"/>
      <c r="AA1443" s="224"/>
      <c r="AB1443" s="224"/>
    </row>
    <row r="1444" spans="1:28" ht="15.75" hidden="1" customHeight="1">
      <c r="A1444" s="248"/>
      <c r="B1444" s="219"/>
      <c r="C1444" s="315"/>
      <c r="D1444" s="315"/>
      <c r="E1444" s="219"/>
      <c r="F1444" s="219"/>
      <c r="G1444" s="219"/>
      <c r="H1444" s="219"/>
      <c r="I1444" s="219"/>
      <c r="J1444" s="219"/>
      <c r="K1444" s="219"/>
      <c r="L1444" s="219"/>
      <c r="M1444" s="219"/>
      <c r="N1444" s="219"/>
      <c r="O1444" s="219"/>
      <c r="P1444" s="219"/>
      <c r="Q1444" s="219"/>
      <c r="R1444" s="219"/>
      <c r="S1444" s="251"/>
      <c r="T1444" s="251"/>
      <c r="U1444" s="219"/>
      <c r="V1444" s="219"/>
      <c r="W1444" s="219"/>
      <c r="X1444" s="219"/>
      <c r="Y1444" s="219"/>
      <c r="Z1444" s="219"/>
      <c r="AA1444" s="219"/>
      <c r="AB1444" s="219"/>
    </row>
    <row r="1445" spans="1:28" ht="15.75" hidden="1" customHeight="1">
      <c r="A1445" s="253"/>
      <c r="B1445" s="224"/>
      <c r="C1445" s="316"/>
      <c r="D1445" s="316"/>
      <c r="E1445" s="224"/>
      <c r="F1445" s="224"/>
      <c r="G1445" s="224"/>
      <c r="H1445" s="224"/>
      <c r="I1445" s="224"/>
      <c r="J1445" s="224"/>
      <c r="K1445" s="224"/>
      <c r="L1445" s="224"/>
      <c r="M1445" s="224"/>
      <c r="N1445" s="224"/>
      <c r="O1445" s="224"/>
      <c r="P1445" s="224"/>
      <c r="Q1445" s="224"/>
      <c r="R1445" s="224"/>
      <c r="S1445" s="254"/>
      <c r="T1445" s="254"/>
      <c r="U1445" s="224"/>
      <c r="V1445" s="224"/>
      <c r="W1445" s="224"/>
      <c r="X1445" s="224"/>
      <c r="Y1445" s="224"/>
      <c r="Z1445" s="224"/>
      <c r="AA1445" s="224"/>
      <c r="AB1445" s="224"/>
    </row>
    <row r="1446" spans="1:28" ht="15.75" hidden="1" customHeight="1">
      <c r="A1446" s="248"/>
      <c r="B1446" s="219"/>
      <c r="C1446" s="315"/>
      <c r="D1446" s="315"/>
      <c r="E1446" s="219"/>
      <c r="F1446" s="219"/>
      <c r="G1446" s="219"/>
      <c r="H1446" s="219"/>
      <c r="I1446" s="219"/>
      <c r="J1446" s="219"/>
      <c r="K1446" s="219"/>
      <c r="L1446" s="219"/>
      <c r="M1446" s="219"/>
      <c r="N1446" s="219"/>
      <c r="O1446" s="219"/>
      <c r="P1446" s="219"/>
      <c r="Q1446" s="219"/>
      <c r="R1446" s="219"/>
      <c r="S1446" s="251"/>
      <c r="T1446" s="251"/>
      <c r="U1446" s="219"/>
      <c r="V1446" s="219"/>
      <c r="W1446" s="219"/>
      <c r="X1446" s="219"/>
      <c r="Y1446" s="219"/>
      <c r="Z1446" s="219"/>
      <c r="AA1446" s="219"/>
      <c r="AB1446" s="219"/>
    </row>
  </sheetData>
  <autoFilter ref="A1:AB1446" xr:uid="{00000000-0009-0000-0000-000014000000}">
    <filterColumn colId="5">
      <filters>
        <filter val="Deep Tech"/>
      </filters>
    </filterColumn>
  </autoFilter>
  <conditionalFormatting sqref="A1:A1446">
    <cfRule type="expression" dxfId="10" priority="5">
      <formula>AND(ISTEXT(A1), COUNTIF(A:A, A1)&gt;1)</formula>
    </cfRule>
  </conditionalFormatting>
  <conditionalFormatting sqref="R2:T2">
    <cfRule type="notContainsBlanks" dxfId="9" priority="1">
      <formula>LEN(TRIM(R2))&gt;0</formula>
    </cfRule>
  </conditionalFormatting>
  <conditionalFormatting sqref="S2:T75">
    <cfRule type="expression" dxfId="8" priority="2">
      <formula>AND(#REF!=TRUE,$F3="Digital Tech")</formula>
    </cfRule>
    <cfRule type="expression" dxfId="7" priority="3">
      <formula>AND(#REF!=TRUE,$F3="Deep Tech")</formula>
    </cfRule>
    <cfRule type="expression" dxfId="6" priority="4">
      <formula>AND(#REF!=TRUE,$F3="Life Sciences")</formula>
    </cfRule>
  </conditionalFormatting>
  <dataValidations count="2">
    <dataValidation type="list" allowBlank="1" sqref="R2:R229 R231:R242 R244:R258 R260:R504 R506:R1446" xr:uid="{00000000-0002-0000-1400-000000000000}">
      <formula1>"Invite,Reject,Revisit,Special Reject,Invite Next Year,Revisit/ Cluster,"</formula1>
    </dataValidation>
    <dataValidation type="list" allowBlank="1" sqref="F12 F22 F31:F37 F39 F65:F66 F70 F77 F90 F103:F106 F108:F113 F137 F154 F198:F207 F209:F216 F218:F229 F231 F238 F254 F257 F291:F293 F295:F316 F324 F346 F381:F396 F398:F401 F404:F405 F475:F499 F572:F608 F656:F670 F722:F753 F798:F805 F886:F912 F921:F924 F958:F975 F979:F981 F1005:F1023 F1244:F1446" xr:uid="{00000000-0002-0000-1400-000001000000}">
      <formula1>"Life Sciences,Digital Tech,Deep Tech"</formula1>
    </dataValidation>
  </dataValidations>
  <hyperlinks>
    <hyperlink ref="H85" r:id="rId1" xr:uid="{00000000-0004-0000-1400-000000000000}"/>
    <hyperlink ref="B150" r:id="rId2" xr:uid="{00000000-0004-0000-1400-000001000000}"/>
    <hyperlink ref="H188" r:id="rId3" location="xj4y7vzkg" xr:uid="{00000000-0004-0000-1400-000002000000}"/>
    <hyperlink ref="P253" r:id="rId4" xr:uid="{00000000-0004-0000-1400-000003000000}"/>
    <hyperlink ref="P260" r:id="rId5" xr:uid="{00000000-0004-0000-1400-000004000000}"/>
    <hyperlink ref="B263" r:id="rId6" xr:uid="{00000000-0004-0000-1400-000005000000}"/>
    <hyperlink ref="E263" r:id="rId7" xr:uid="{00000000-0004-0000-1400-000006000000}"/>
    <hyperlink ref="P263" r:id="rId8" xr:uid="{00000000-0004-0000-1400-000007000000}"/>
    <hyperlink ref="P276" r:id="rId9" xr:uid="{00000000-0004-0000-1400-000008000000}"/>
    <hyperlink ref="B328" r:id="rId10" xr:uid="{00000000-0004-0000-1400-000009000000}"/>
    <hyperlink ref="B330" r:id="rId11" xr:uid="{00000000-0004-0000-1400-00000A000000}"/>
    <hyperlink ref="H351" r:id="rId12" xr:uid="{00000000-0004-0000-1400-00000B000000}"/>
    <hyperlink ref="P351" r:id="rId13" xr:uid="{00000000-0004-0000-1400-00000C000000}"/>
    <hyperlink ref="B502" r:id="rId14" xr:uid="{00000000-0004-0000-1400-00000D000000}"/>
    <hyperlink ref="E530" r:id="rId15" xr:uid="{00000000-0004-0000-1400-00000E000000}"/>
    <hyperlink ref="P700" r:id="rId16" xr:uid="{00000000-0004-0000-1400-00000F000000}"/>
    <hyperlink ref="P754" r:id="rId17" xr:uid="{00000000-0004-0000-1400-000010000000}"/>
    <hyperlink ref="E764" r:id="rId18" xr:uid="{00000000-0004-0000-1400-000011000000}"/>
    <hyperlink ref="Q820" r:id="rId19" xr:uid="{00000000-0004-0000-1400-000012000000}"/>
    <hyperlink ref="H990" r:id="rId20" xr:uid="{00000000-0004-0000-1400-000013000000}"/>
    <hyperlink ref="H1027" r:id="rId21" xr:uid="{00000000-0004-0000-1400-000014000000}"/>
    <hyperlink ref="P1028" r:id="rId22" xr:uid="{00000000-0004-0000-1400-000015000000}"/>
    <hyperlink ref="P1030" r:id="rId23" xr:uid="{00000000-0004-0000-1400-000016000000}"/>
    <hyperlink ref="Q1034" r:id="rId24" xr:uid="{00000000-0004-0000-1400-000017000000}"/>
    <hyperlink ref="P1063" r:id="rId25" xr:uid="{00000000-0004-0000-1400-000018000000}"/>
    <hyperlink ref="B1077" r:id="rId26" xr:uid="{00000000-0004-0000-1400-000019000000}"/>
  </hyperlinks>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filterMode="1"/>
  <dimension ref="A1:AC147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baseColWidth="10" defaultColWidth="14.5" defaultRowHeight="15" customHeight="1" outlineLevelCol="1"/>
  <cols>
    <col min="1" max="1" width="14.1640625" customWidth="1"/>
    <col min="2" max="2" width="27.6640625" customWidth="1"/>
    <col min="3" max="3" width="20.6640625" customWidth="1"/>
    <col min="4" max="4" width="64.1640625" customWidth="1"/>
    <col min="5" max="5" width="16.1640625" customWidth="1"/>
    <col min="6" max="6" width="14.5" customWidth="1"/>
    <col min="7" max="7" width="41.5" customWidth="1" outlineLevel="1"/>
    <col min="8" max="8" width="20.1640625" customWidth="1"/>
    <col min="9" max="9" width="31.1640625" customWidth="1"/>
    <col min="10" max="10" width="37.33203125" customWidth="1" outlineLevel="1"/>
    <col min="11" max="11" width="20.1640625" customWidth="1"/>
    <col min="12" max="12" width="21.6640625" customWidth="1"/>
    <col min="13" max="13" width="22.1640625" customWidth="1"/>
    <col min="14" max="14" width="22.5" customWidth="1"/>
    <col min="15" max="15" width="33.6640625" customWidth="1"/>
    <col min="16" max="16" width="26.83203125" customWidth="1"/>
    <col min="17" max="17" width="15.83203125" customWidth="1"/>
    <col min="18" max="18" width="29.83203125" customWidth="1"/>
    <col min="19" max="20" width="14.6640625" customWidth="1"/>
    <col min="21" max="21" width="22.33203125" customWidth="1"/>
    <col min="22" max="24" width="31.1640625" hidden="1" customWidth="1"/>
    <col min="25" max="29" width="11.5" hidden="1" customWidth="1"/>
  </cols>
  <sheetData>
    <row r="1" spans="1:29">
      <c r="A1" s="208" t="s">
        <v>419</v>
      </c>
      <c r="B1" s="208" t="s">
        <v>420</v>
      </c>
      <c r="C1" s="394" t="s">
        <v>424</v>
      </c>
      <c r="D1" s="208" t="s">
        <v>423</v>
      </c>
      <c r="E1" s="395" t="s">
        <v>39</v>
      </c>
      <c r="F1" s="208" t="s">
        <v>42</v>
      </c>
      <c r="G1" s="208" t="s">
        <v>426</v>
      </c>
      <c r="H1" s="208" t="s">
        <v>427</v>
      </c>
      <c r="I1" s="208" t="s">
        <v>43</v>
      </c>
      <c r="J1" s="208" t="s">
        <v>428</v>
      </c>
      <c r="K1" s="208" t="s">
        <v>429</v>
      </c>
      <c r="L1" s="208" t="s">
        <v>430</v>
      </c>
      <c r="M1" s="208" t="s">
        <v>431</v>
      </c>
      <c r="N1" s="208" t="s">
        <v>432</v>
      </c>
      <c r="O1" s="208" t="s">
        <v>433</v>
      </c>
      <c r="P1" s="209" t="s">
        <v>434</v>
      </c>
      <c r="Q1" s="395" t="s">
        <v>425</v>
      </c>
      <c r="R1" s="395" t="s">
        <v>435</v>
      </c>
      <c r="S1" s="395" t="s">
        <v>11871</v>
      </c>
      <c r="T1" s="395" t="s">
        <v>11872</v>
      </c>
      <c r="U1" s="395" t="s">
        <v>11873</v>
      </c>
      <c r="V1" s="396" t="s">
        <v>10170</v>
      </c>
      <c r="W1" s="396" t="s">
        <v>10171</v>
      </c>
      <c r="X1" s="396" t="s">
        <v>10172</v>
      </c>
      <c r="Y1" s="339"/>
      <c r="Z1" s="339"/>
      <c r="AA1" s="339"/>
      <c r="AB1" s="339"/>
      <c r="AC1" s="339"/>
    </row>
    <row r="2" spans="1:29">
      <c r="A2" s="248">
        <v>44791</v>
      </c>
      <c r="B2" s="219" t="s">
        <v>231</v>
      </c>
      <c r="C2" s="315">
        <v>5</v>
      </c>
      <c r="D2" s="219" t="s">
        <v>1369</v>
      </c>
      <c r="E2" s="219" t="s">
        <v>4</v>
      </c>
      <c r="F2" s="219" t="s">
        <v>727</v>
      </c>
      <c r="G2" s="219" t="s">
        <v>10502</v>
      </c>
      <c r="H2" s="219">
        <v>5</v>
      </c>
      <c r="I2" s="219" t="s">
        <v>1371</v>
      </c>
      <c r="J2" s="219" t="s">
        <v>1372</v>
      </c>
      <c r="K2" s="219">
        <v>5</v>
      </c>
      <c r="L2" s="219" t="s">
        <v>478</v>
      </c>
      <c r="M2" s="219" t="s">
        <v>1373</v>
      </c>
      <c r="N2" s="219" t="s">
        <v>465</v>
      </c>
      <c r="O2" s="219" t="s">
        <v>1374</v>
      </c>
      <c r="P2" s="219" t="s">
        <v>1375</v>
      </c>
      <c r="Q2" s="219" t="s">
        <v>18</v>
      </c>
      <c r="R2" s="219" t="s">
        <v>1376</v>
      </c>
      <c r="S2" s="219" t="str">
        <f>IFERROR(VLOOKUP(B2,'2022-2023 Third Reviews'!$C:$S,9,FALSE),"")</f>
        <v/>
      </c>
      <c r="T2" s="219" t="s">
        <v>13050</v>
      </c>
      <c r="U2" s="219" t="s">
        <v>18</v>
      </c>
      <c r="V2" s="234"/>
      <c r="W2" s="234"/>
      <c r="X2" s="234"/>
      <c r="Y2" s="239"/>
      <c r="Z2" s="239"/>
      <c r="AA2" s="239"/>
      <c r="AB2" s="239"/>
      <c r="AC2" s="239"/>
    </row>
    <row r="3" spans="1:29">
      <c r="A3" s="255" t="str">
        <f>IFERROR(VLOOKUP(C3,'2022-2023 Third Reviews'!$C:$S,9,FALSE),"")</f>
        <v/>
      </c>
      <c r="B3" s="239" t="s">
        <v>256</v>
      </c>
      <c r="C3" s="262">
        <v>5</v>
      </c>
      <c r="D3" s="239" t="s">
        <v>1471</v>
      </c>
      <c r="E3" s="239" t="s">
        <v>4</v>
      </c>
      <c r="F3" s="239" t="s">
        <v>447</v>
      </c>
      <c r="G3" s="239" t="s">
        <v>10820</v>
      </c>
      <c r="H3" s="239">
        <v>5</v>
      </c>
      <c r="I3" s="239" t="s">
        <v>449</v>
      </c>
      <c r="J3" s="239" t="s">
        <v>13400</v>
      </c>
      <c r="K3" s="239">
        <v>5</v>
      </c>
      <c r="L3" s="239" t="s">
        <v>478</v>
      </c>
      <c r="M3" s="239" t="s">
        <v>1474</v>
      </c>
      <c r="N3" s="239" t="s">
        <v>452</v>
      </c>
      <c r="O3" s="239" t="s">
        <v>1475</v>
      </c>
      <c r="P3" s="239" t="s">
        <v>1476</v>
      </c>
      <c r="Q3" s="239" t="s">
        <v>18</v>
      </c>
      <c r="R3" s="239" t="s">
        <v>11608</v>
      </c>
      <c r="S3" s="239" t="str">
        <f ca="1">IFERROR(VLOOKUP(B3,'2022-2023 Third Reviews'!$C:$S,9,FALSE),"")</f>
        <v>Joshua Rubnitz
1</v>
      </c>
      <c r="T3" s="239" t="s">
        <v>13049</v>
      </c>
      <c r="U3" s="239" t="s">
        <v>18</v>
      </c>
      <c r="V3" s="401"/>
      <c r="W3" s="401"/>
      <c r="X3" s="401"/>
      <c r="Y3" s="322"/>
      <c r="Z3" s="322"/>
      <c r="AA3" s="322"/>
      <c r="AB3" s="322"/>
      <c r="AC3" s="322"/>
    </row>
    <row r="4" spans="1:29">
      <c r="A4" s="257">
        <v>44791</v>
      </c>
      <c r="B4" s="258" t="s">
        <v>145</v>
      </c>
      <c r="C4" s="263">
        <v>4.75</v>
      </c>
      <c r="D4" s="258" t="s">
        <v>988</v>
      </c>
      <c r="E4" s="258" t="s">
        <v>4</v>
      </c>
      <c r="F4" s="258" t="s">
        <v>602</v>
      </c>
      <c r="G4" s="258" t="s">
        <v>989</v>
      </c>
      <c r="H4" s="258">
        <v>4.5</v>
      </c>
      <c r="I4" s="258" t="s">
        <v>990</v>
      </c>
      <c r="J4" s="258" t="s">
        <v>991</v>
      </c>
      <c r="K4" s="258">
        <v>5</v>
      </c>
      <c r="L4" s="258"/>
      <c r="M4" s="309"/>
      <c r="N4" s="258" t="s">
        <v>452</v>
      </c>
      <c r="O4" s="258" t="s">
        <v>452</v>
      </c>
      <c r="P4" s="258"/>
      <c r="Q4" s="258" t="s">
        <v>18</v>
      </c>
      <c r="R4" s="258" t="s">
        <v>992</v>
      </c>
      <c r="S4" s="258" t="str">
        <f>IFERROR(VLOOKUP(B4,'2022-2023 Third Reviews'!$C:$S,9,FALSE),"")</f>
        <v/>
      </c>
      <c r="T4" s="258" t="s">
        <v>13048</v>
      </c>
      <c r="U4" s="258" t="s">
        <v>18</v>
      </c>
      <c r="V4" s="234"/>
      <c r="W4" s="234"/>
      <c r="X4" s="234"/>
      <c r="Y4" s="239"/>
      <c r="Z4" s="239"/>
      <c r="AA4" s="239"/>
      <c r="AB4" s="239"/>
      <c r="AC4" s="239"/>
    </row>
    <row r="5" spans="1:29">
      <c r="A5" s="321">
        <v>44796</v>
      </c>
      <c r="B5" s="322" t="s">
        <v>148</v>
      </c>
      <c r="C5" s="323">
        <v>4.75</v>
      </c>
      <c r="D5" s="322" t="s">
        <v>997</v>
      </c>
      <c r="E5" s="322" t="s">
        <v>4</v>
      </c>
      <c r="F5" s="322" t="s">
        <v>725</v>
      </c>
      <c r="G5" s="322" t="s">
        <v>10764</v>
      </c>
      <c r="H5" s="322">
        <v>4.5</v>
      </c>
      <c r="I5" s="322" t="s">
        <v>990</v>
      </c>
      <c r="J5" s="322" t="s">
        <v>999</v>
      </c>
      <c r="K5" s="322">
        <v>5</v>
      </c>
      <c r="L5" s="322" t="s">
        <v>451</v>
      </c>
      <c r="M5" s="397">
        <v>5000000</v>
      </c>
      <c r="N5" s="322" t="s">
        <v>452</v>
      </c>
      <c r="O5" s="322" t="s">
        <v>1000</v>
      </c>
      <c r="P5" s="322"/>
      <c r="Q5" s="322" t="s">
        <v>18</v>
      </c>
      <c r="R5" s="322" t="s">
        <v>1001</v>
      </c>
      <c r="S5" s="322" t="str">
        <f>IFERROR(VLOOKUP(B5,'2022-2023 Third Reviews'!$C:$S,9,FALSE),"")</f>
        <v/>
      </c>
      <c r="T5" s="322" t="s">
        <v>13049</v>
      </c>
      <c r="U5" s="322" t="s">
        <v>18</v>
      </c>
      <c r="V5" s="224"/>
      <c r="W5" s="224"/>
      <c r="X5" s="224"/>
      <c r="Y5" s="224"/>
      <c r="Z5" s="224"/>
      <c r="AA5" s="224"/>
      <c r="AB5" s="224"/>
      <c r="AC5" s="224"/>
    </row>
    <row r="6" spans="1:29">
      <c r="A6" s="248">
        <v>44796</v>
      </c>
      <c r="B6" s="219" t="s">
        <v>179</v>
      </c>
      <c r="C6" s="315">
        <v>4.75</v>
      </c>
      <c r="D6" s="219" t="s">
        <v>1143</v>
      </c>
      <c r="E6" s="219" t="s">
        <v>4</v>
      </c>
      <c r="F6" s="219" t="s">
        <v>725</v>
      </c>
      <c r="G6" s="219"/>
      <c r="H6" s="219">
        <v>4.5</v>
      </c>
      <c r="I6" s="219" t="s">
        <v>604</v>
      </c>
      <c r="J6" s="219" t="s">
        <v>10995</v>
      </c>
      <c r="K6" s="219">
        <v>5</v>
      </c>
      <c r="L6" s="219"/>
      <c r="M6" s="219"/>
      <c r="N6" s="219" t="s">
        <v>454</v>
      </c>
      <c r="O6" s="219" t="s">
        <v>10996</v>
      </c>
      <c r="P6" s="219"/>
      <c r="Q6" s="219" t="s">
        <v>18</v>
      </c>
      <c r="R6" s="219"/>
      <c r="S6" s="219" t="str">
        <f>IFERROR(VLOOKUP(B6,'2022-2023 Third Reviews'!$C:$S,9,FALSE),"")</f>
        <v/>
      </c>
      <c r="T6" s="219" t="s">
        <v>13058</v>
      </c>
      <c r="U6" s="219" t="s">
        <v>18</v>
      </c>
      <c r="V6" s="258"/>
      <c r="W6" s="258"/>
      <c r="X6" s="258"/>
      <c r="Y6" s="258"/>
      <c r="Z6" s="258"/>
      <c r="AA6" s="258"/>
      <c r="AB6" s="258"/>
      <c r="AC6" s="258"/>
    </row>
    <row r="7" spans="1:29">
      <c r="A7" s="257">
        <v>44796</v>
      </c>
      <c r="B7" s="258" t="s">
        <v>237</v>
      </c>
      <c r="C7" s="263">
        <v>4.75</v>
      </c>
      <c r="D7" s="258" t="s">
        <v>1390</v>
      </c>
      <c r="E7" s="258" t="s">
        <v>4</v>
      </c>
      <c r="F7" s="258" t="s">
        <v>727</v>
      </c>
      <c r="G7" s="258" t="s">
        <v>10575</v>
      </c>
      <c r="H7" s="258">
        <v>4.5</v>
      </c>
      <c r="I7" s="258" t="s">
        <v>1371</v>
      </c>
      <c r="J7" s="258" t="s">
        <v>1392</v>
      </c>
      <c r="K7" s="258">
        <v>5</v>
      </c>
      <c r="L7" s="258" t="s">
        <v>478</v>
      </c>
      <c r="M7" s="258">
        <v>8000000</v>
      </c>
      <c r="N7" s="258" t="s">
        <v>452</v>
      </c>
      <c r="O7" s="258" t="s">
        <v>10576</v>
      </c>
      <c r="P7" s="258"/>
      <c r="Q7" s="258" t="s">
        <v>18</v>
      </c>
      <c r="R7" s="258" t="s">
        <v>1394</v>
      </c>
      <c r="S7" s="258" t="str">
        <f>IFERROR(VLOOKUP(B7,'2022-2023 Third Reviews'!$C:$S,9,FALSE),"")</f>
        <v/>
      </c>
      <c r="T7" s="258" t="s">
        <v>13083</v>
      </c>
      <c r="U7" s="258" t="s">
        <v>18</v>
      </c>
      <c r="V7" s="303"/>
      <c r="W7" s="303"/>
      <c r="X7" s="303"/>
      <c r="Y7" s="303"/>
      <c r="Z7" s="303"/>
      <c r="AA7" s="306"/>
      <c r="AB7" s="306"/>
      <c r="AC7" s="306"/>
    </row>
    <row r="8" spans="1:29">
      <c r="A8" s="257">
        <v>44789</v>
      </c>
      <c r="B8" s="258" t="s">
        <v>309</v>
      </c>
      <c r="C8" s="263">
        <v>4.75</v>
      </c>
      <c r="D8" s="258" t="s">
        <v>1593</v>
      </c>
      <c r="E8" s="258" t="s">
        <v>4</v>
      </c>
      <c r="F8" s="258" t="s">
        <v>727</v>
      </c>
      <c r="G8" s="258" t="s">
        <v>11460</v>
      </c>
      <c r="H8" s="258">
        <v>5</v>
      </c>
      <c r="I8" s="258" t="s">
        <v>1045</v>
      </c>
      <c r="J8" s="258" t="s">
        <v>1595</v>
      </c>
      <c r="K8" s="258">
        <v>4.5</v>
      </c>
      <c r="L8" s="258" t="s">
        <v>451</v>
      </c>
      <c r="M8" s="258">
        <v>1500000</v>
      </c>
      <c r="N8" s="258" t="s">
        <v>452</v>
      </c>
      <c r="O8" s="258" t="s">
        <v>1119</v>
      </c>
      <c r="P8" s="258"/>
      <c r="Q8" s="258" t="s">
        <v>18</v>
      </c>
      <c r="R8" s="258" t="s">
        <v>1596</v>
      </c>
      <c r="S8" s="258" t="str">
        <f>IFERROR(VLOOKUP(B8,'2022-2023 Third Reviews'!$C:$S,9,FALSE),"")</f>
        <v/>
      </c>
      <c r="T8" s="258" t="s">
        <v>13056</v>
      </c>
      <c r="U8" s="258" t="s">
        <v>18</v>
      </c>
      <c r="V8" s="252"/>
      <c r="W8" s="252"/>
      <c r="X8" s="252"/>
      <c r="Y8" s="219"/>
      <c r="Z8" s="219"/>
      <c r="AA8" s="219"/>
      <c r="AB8" s="219"/>
      <c r="AC8" s="219"/>
    </row>
    <row r="9" spans="1:29">
      <c r="A9" s="257">
        <v>44789</v>
      </c>
      <c r="B9" s="258" t="s">
        <v>165</v>
      </c>
      <c r="C9" s="263">
        <v>4.75</v>
      </c>
      <c r="D9" s="258" t="s">
        <v>3642</v>
      </c>
      <c r="E9" s="258" t="s">
        <v>4</v>
      </c>
      <c r="F9" s="258" t="s">
        <v>727</v>
      </c>
      <c r="G9" s="258" t="s">
        <v>10249</v>
      </c>
      <c r="H9" s="258">
        <v>4.5</v>
      </c>
      <c r="I9" s="258" t="s">
        <v>1045</v>
      </c>
      <c r="J9" s="258" t="s">
        <v>3644</v>
      </c>
      <c r="K9" s="258">
        <v>5</v>
      </c>
      <c r="L9" s="258" t="s">
        <v>451</v>
      </c>
      <c r="M9" s="309">
        <v>4000000</v>
      </c>
      <c r="N9" s="258" t="s">
        <v>452</v>
      </c>
      <c r="O9" s="258" t="s">
        <v>452</v>
      </c>
      <c r="P9" s="258"/>
      <c r="Q9" s="258" t="s">
        <v>18</v>
      </c>
      <c r="R9" s="258" t="s">
        <v>11611</v>
      </c>
      <c r="S9" s="258" t="str">
        <f ca="1">IFERROR(VLOOKUP(B9,'2022-2023 Third Reviews'!$C:$S,9,FALSE),"")</f>
        <v>Chris Millisits
1</v>
      </c>
      <c r="T9" s="258" t="s">
        <v>13092</v>
      </c>
      <c r="U9" s="258" t="s">
        <v>24</v>
      </c>
      <c r="V9" s="218"/>
      <c r="W9" s="218"/>
      <c r="X9" s="218"/>
      <c r="Y9" s="224"/>
      <c r="Z9" s="224"/>
      <c r="AA9" s="224"/>
      <c r="AB9" s="224"/>
      <c r="AC9" s="224"/>
    </row>
    <row r="10" spans="1:29">
      <c r="A10" s="248">
        <v>44796</v>
      </c>
      <c r="B10" s="219" t="s">
        <v>163</v>
      </c>
      <c r="C10" s="315">
        <v>4.63</v>
      </c>
      <c r="D10" s="219" t="s">
        <v>1085</v>
      </c>
      <c r="E10" s="219" t="s">
        <v>4</v>
      </c>
      <c r="F10" s="219" t="s">
        <v>725</v>
      </c>
      <c r="G10" s="219" t="s">
        <v>1086</v>
      </c>
      <c r="H10" s="219">
        <v>4.25</v>
      </c>
      <c r="I10" s="219" t="s">
        <v>1073</v>
      </c>
      <c r="J10" s="219" t="s">
        <v>1087</v>
      </c>
      <c r="K10" s="219">
        <v>5</v>
      </c>
      <c r="L10" s="219" t="s">
        <v>784</v>
      </c>
      <c r="M10" s="219">
        <v>500000</v>
      </c>
      <c r="N10" s="219" t="s">
        <v>452</v>
      </c>
      <c r="O10" s="219" t="s">
        <v>1088</v>
      </c>
      <c r="P10" s="219"/>
      <c r="Q10" s="219" t="s">
        <v>18</v>
      </c>
      <c r="R10" s="219"/>
      <c r="S10" s="219" t="str">
        <f>IFERROR(VLOOKUP(B10,'2022-2023 Third Reviews'!$C:$S,9,FALSE),"")</f>
        <v/>
      </c>
      <c r="T10" s="219" t="s">
        <v>13055</v>
      </c>
      <c r="U10" s="219" t="s">
        <v>18</v>
      </c>
      <c r="V10" s="268"/>
      <c r="W10" s="268"/>
      <c r="X10" s="268"/>
      <c r="Y10" s="268"/>
      <c r="Z10" s="268"/>
      <c r="AA10" s="219"/>
      <c r="AB10" s="219"/>
      <c r="AC10" s="219"/>
    </row>
    <row r="11" spans="1:29">
      <c r="A11" s="253">
        <v>44782</v>
      </c>
      <c r="B11" s="224" t="s">
        <v>149</v>
      </c>
      <c r="C11" s="249">
        <v>4.5</v>
      </c>
      <c r="D11" s="224" t="s">
        <v>1006</v>
      </c>
      <c r="E11" s="250" t="s">
        <v>4</v>
      </c>
      <c r="F11" s="224" t="s">
        <v>602</v>
      </c>
      <c r="G11" s="224" t="s">
        <v>10233</v>
      </c>
      <c r="H11" s="224">
        <v>4.5</v>
      </c>
      <c r="I11" s="224" t="s">
        <v>727</v>
      </c>
      <c r="J11" s="224" t="s">
        <v>10234</v>
      </c>
      <c r="K11" s="224">
        <v>4.5</v>
      </c>
      <c r="L11" s="224"/>
      <c r="M11" s="224"/>
      <c r="N11" s="224" t="s">
        <v>452</v>
      </c>
      <c r="O11" s="224" t="s">
        <v>10235</v>
      </c>
      <c r="P11" s="224"/>
      <c r="Q11" s="221" t="s">
        <v>18</v>
      </c>
      <c r="R11" s="224" t="s">
        <v>1010</v>
      </c>
      <c r="S11" s="224" t="str">
        <f>IFERROR(VLOOKUP(B11,'2022-2023 Third Reviews'!$C:$S,9,FALSE),"")</f>
        <v/>
      </c>
      <c r="T11" s="224" t="s">
        <v>13050</v>
      </c>
      <c r="U11" s="224" t="s">
        <v>18</v>
      </c>
      <c r="V11" s="258"/>
      <c r="W11" s="258"/>
      <c r="X11" s="258"/>
      <c r="Y11" s="258"/>
      <c r="Z11" s="258"/>
      <c r="AA11" s="258"/>
      <c r="AB11" s="258"/>
      <c r="AC11" s="258"/>
    </row>
    <row r="12" spans="1:29" ht="15.75" customHeight="1">
      <c r="A12" s="398">
        <v>44784</v>
      </c>
      <c r="B12" s="268" t="s">
        <v>167</v>
      </c>
      <c r="C12" s="269">
        <v>4.5</v>
      </c>
      <c r="D12" s="268" t="s">
        <v>1093</v>
      </c>
      <c r="E12" s="270" t="s">
        <v>4</v>
      </c>
      <c r="F12" s="268" t="s">
        <v>727</v>
      </c>
      <c r="G12" s="268" t="s">
        <v>10760</v>
      </c>
      <c r="H12" s="268">
        <v>5</v>
      </c>
      <c r="I12" s="268" t="s">
        <v>1054</v>
      </c>
      <c r="J12" s="268" t="s">
        <v>1095</v>
      </c>
      <c r="K12" s="268">
        <v>4</v>
      </c>
      <c r="L12" s="268" t="s">
        <v>451</v>
      </c>
      <c r="M12" s="275">
        <v>7000000</v>
      </c>
      <c r="N12" s="268" t="s">
        <v>452</v>
      </c>
      <c r="O12" s="275" t="s">
        <v>452</v>
      </c>
      <c r="P12" s="268" t="s">
        <v>1096</v>
      </c>
      <c r="Q12" s="268" t="s">
        <v>18</v>
      </c>
      <c r="R12" s="268"/>
      <c r="S12" s="268" t="str">
        <f ca="1">IFERROR(VLOOKUP(B12,'2022-2023 Third Reviews'!$C:$S,9,FALSE),"")</f>
        <v>John McDonald
5</v>
      </c>
      <c r="T12" s="268" t="s">
        <v>13056</v>
      </c>
      <c r="U12" s="268" t="s">
        <v>18</v>
      </c>
      <c r="V12" s="252"/>
      <c r="W12" s="252"/>
      <c r="X12" s="252"/>
      <c r="Y12" s="219"/>
      <c r="Z12" s="219"/>
      <c r="AA12" s="219"/>
      <c r="AB12" s="219"/>
      <c r="AC12" s="219"/>
    </row>
    <row r="13" spans="1:29" ht="15.75" customHeight="1">
      <c r="A13" s="220">
        <v>44776</v>
      </c>
      <c r="B13" s="221" t="s">
        <v>172</v>
      </c>
      <c r="C13" s="214">
        <v>4.5</v>
      </c>
      <c r="D13" s="221" t="s">
        <v>1108</v>
      </c>
      <c r="E13" s="215" t="s">
        <v>4</v>
      </c>
      <c r="F13" s="221" t="s">
        <v>602</v>
      </c>
      <c r="G13" s="221" t="s">
        <v>1109</v>
      </c>
      <c r="H13" s="221">
        <v>4.5</v>
      </c>
      <c r="I13" s="221" t="s">
        <v>727</v>
      </c>
      <c r="J13" s="221" t="s">
        <v>1110</v>
      </c>
      <c r="K13" s="221">
        <v>4.5</v>
      </c>
      <c r="L13" s="221"/>
      <c r="M13" s="221"/>
      <c r="N13" s="221" t="s">
        <v>465</v>
      </c>
      <c r="O13" s="221" t="s">
        <v>452</v>
      </c>
      <c r="P13" s="145"/>
      <c r="Q13" s="221" t="str">
        <f t="array" ref="Q13">INDEX(Notes!B:B,MATCH($B13,Notes!$A:$A,0))</f>
        <v>Invite</v>
      </c>
      <c r="R13" s="221" t="s">
        <v>1111</v>
      </c>
      <c r="S13" s="221" t="str">
        <f ca="1">IFERROR(VLOOKUP(B13,'2022-2023 Third Reviews'!$C:$S,9,FALSE),"")</f>
        <v>John McDonald
4</v>
      </c>
      <c r="T13" s="221" t="s">
        <v>13056</v>
      </c>
      <c r="U13" s="221" t="s">
        <v>18</v>
      </c>
      <c r="V13" s="228"/>
      <c r="W13" s="228"/>
      <c r="X13" s="228"/>
      <c r="Y13" s="224"/>
      <c r="Z13" s="224"/>
      <c r="AA13" s="224"/>
      <c r="AB13" s="224"/>
      <c r="AC13" s="224"/>
    </row>
    <row r="14" spans="1:29" ht="15.75" customHeight="1">
      <c r="A14" s="248">
        <v>44789</v>
      </c>
      <c r="B14" s="219" t="s">
        <v>193</v>
      </c>
      <c r="C14" s="249">
        <v>4.5</v>
      </c>
      <c r="D14" s="219" t="s">
        <v>1202</v>
      </c>
      <c r="E14" s="250" t="s">
        <v>4</v>
      </c>
      <c r="F14" s="219" t="s">
        <v>602</v>
      </c>
      <c r="G14" s="219" t="s">
        <v>1203</v>
      </c>
      <c r="H14" s="219">
        <v>4.5</v>
      </c>
      <c r="I14" s="219" t="s">
        <v>1054</v>
      </c>
      <c r="J14" s="219" t="s">
        <v>1204</v>
      </c>
      <c r="K14" s="219">
        <v>4.5</v>
      </c>
      <c r="L14" s="219"/>
      <c r="M14" s="219"/>
      <c r="N14" s="219" t="s">
        <v>452</v>
      </c>
      <c r="O14" s="219" t="s">
        <v>1205</v>
      </c>
      <c r="P14" s="219"/>
      <c r="Q14" s="219" t="s">
        <v>18</v>
      </c>
      <c r="R14" s="219"/>
      <c r="S14" s="219" t="str">
        <f ca="1">IFERROR(VLOOKUP(B14,'2022-2023 Third Reviews'!$C:$S,9,FALSE),"")</f>
        <v>John McDonald
4</v>
      </c>
      <c r="T14" s="219" t="s">
        <v>13064</v>
      </c>
      <c r="U14" s="219" t="s">
        <v>18</v>
      </c>
      <c r="V14" s="228"/>
      <c r="W14" s="228"/>
      <c r="X14" s="228"/>
      <c r="Y14" s="219"/>
      <c r="Z14" s="219"/>
      <c r="AA14" s="219"/>
      <c r="AB14" s="219"/>
      <c r="AC14" s="219"/>
    </row>
    <row r="15" spans="1:29" ht="15.75" customHeight="1">
      <c r="A15" s="257">
        <v>44789</v>
      </c>
      <c r="B15" s="258" t="s">
        <v>202</v>
      </c>
      <c r="C15" s="263">
        <v>4.5</v>
      </c>
      <c r="D15" s="258" t="s">
        <v>1269</v>
      </c>
      <c r="E15" s="258" t="s">
        <v>4</v>
      </c>
      <c r="F15" s="258" t="s">
        <v>602</v>
      </c>
      <c r="G15" s="258" t="s">
        <v>1270</v>
      </c>
      <c r="H15" s="258">
        <v>4.5</v>
      </c>
      <c r="I15" s="258" t="s">
        <v>476</v>
      </c>
      <c r="J15" s="258" t="s">
        <v>13070</v>
      </c>
      <c r="K15" s="258">
        <v>4.5</v>
      </c>
      <c r="L15" s="258"/>
      <c r="M15" s="258"/>
      <c r="N15" s="258" t="s">
        <v>454</v>
      </c>
      <c r="O15" s="258" t="s">
        <v>11050</v>
      </c>
      <c r="P15" s="258" t="s">
        <v>1273</v>
      </c>
      <c r="Q15" s="258" t="s">
        <v>18</v>
      </c>
      <c r="R15" s="258" t="s">
        <v>1274</v>
      </c>
      <c r="S15" s="258" t="str">
        <f ca="1">IFERROR(VLOOKUP(B15,'2022-2023 Third Reviews'!$C:$S,9,FALSE),"")</f>
        <v>John McDonald
5</v>
      </c>
      <c r="T15" s="258" t="s">
        <v>13071</v>
      </c>
      <c r="U15" s="258" t="s">
        <v>18</v>
      </c>
      <c r="V15" s="252"/>
      <c r="W15" s="252"/>
      <c r="X15" s="252"/>
      <c r="Y15" s="224"/>
      <c r="Z15" s="224"/>
      <c r="AA15" s="224"/>
      <c r="AB15" s="224"/>
      <c r="AC15" s="224"/>
    </row>
    <row r="16" spans="1:29" ht="15.75" customHeight="1">
      <c r="A16" s="248">
        <v>44791</v>
      </c>
      <c r="B16" s="219" t="s">
        <v>213</v>
      </c>
      <c r="C16" s="315">
        <v>4.5</v>
      </c>
      <c r="D16" s="219" t="s">
        <v>1296</v>
      </c>
      <c r="E16" s="219" t="s">
        <v>4</v>
      </c>
      <c r="F16" s="219" t="s">
        <v>727</v>
      </c>
      <c r="G16" s="219" t="s">
        <v>11466</v>
      </c>
      <c r="H16" s="219">
        <v>5</v>
      </c>
      <c r="I16" s="219" t="s">
        <v>1298</v>
      </c>
      <c r="J16" s="219" t="s">
        <v>11467</v>
      </c>
      <c r="K16" s="219">
        <v>4</v>
      </c>
      <c r="L16" s="219" t="s">
        <v>973</v>
      </c>
      <c r="M16" s="312">
        <v>40000000</v>
      </c>
      <c r="N16" s="219" t="s">
        <v>465</v>
      </c>
      <c r="O16" s="219" t="s">
        <v>452</v>
      </c>
      <c r="P16" s="219"/>
      <c r="Q16" s="219" t="s">
        <v>18</v>
      </c>
      <c r="R16" s="219"/>
      <c r="S16" s="219" t="str">
        <f>IFERROR(VLOOKUP(B16,'2022-2023 Third Reviews'!$C:$S,9,FALSE),"")</f>
        <v/>
      </c>
      <c r="T16" s="219" t="s">
        <v>13074</v>
      </c>
      <c r="U16" s="219" t="s">
        <v>18</v>
      </c>
      <c r="V16" s="234"/>
      <c r="W16" s="234"/>
      <c r="X16" s="234"/>
      <c r="Y16" s="239"/>
      <c r="Z16" s="239"/>
      <c r="AA16" s="239"/>
      <c r="AB16" s="239"/>
      <c r="AC16" s="239"/>
    </row>
    <row r="17" spans="1:29" ht="15.75" customHeight="1">
      <c r="A17" s="253">
        <v>44796</v>
      </c>
      <c r="B17" s="224" t="s">
        <v>219</v>
      </c>
      <c r="C17" s="316">
        <v>4.5</v>
      </c>
      <c r="D17" s="224" t="s">
        <v>1313</v>
      </c>
      <c r="E17" s="224" t="s">
        <v>4</v>
      </c>
      <c r="F17" s="224" t="s">
        <v>727</v>
      </c>
      <c r="G17" s="224" t="s">
        <v>11056</v>
      </c>
      <c r="H17" s="224">
        <v>4.5</v>
      </c>
      <c r="I17" s="224" t="s">
        <v>1045</v>
      </c>
      <c r="J17" s="224" t="s">
        <v>1315</v>
      </c>
      <c r="K17" s="224">
        <v>4.5</v>
      </c>
      <c r="L17" s="224" t="s">
        <v>478</v>
      </c>
      <c r="M17" s="224">
        <v>8000000</v>
      </c>
      <c r="N17" s="224" t="s">
        <v>452</v>
      </c>
      <c r="O17" s="224" t="s">
        <v>452</v>
      </c>
      <c r="P17" s="224"/>
      <c r="Q17" s="224" t="s">
        <v>18</v>
      </c>
      <c r="R17" s="224"/>
      <c r="S17" s="224" t="str">
        <f>IFERROR(VLOOKUP(B17,'2022-2023 Third Reviews'!$C:$S,9,FALSE),"")</f>
        <v/>
      </c>
      <c r="T17" s="224" t="s">
        <v>13077</v>
      </c>
      <c r="U17" s="224" t="s">
        <v>18</v>
      </c>
      <c r="V17" s="272"/>
      <c r="W17" s="272"/>
      <c r="X17" s="272"/>
      <c r="Y17" s="272"/>
      <c r="Z17" s="272"/>
      <c r="AA17" s="224"/>
      <c r="AB17" s="224"/>
      <c r="AC17" s="224"/>
    </row>
    <row r="18" spans="1:29" ht="15.75" customHeight="1">
      <c r="A18" s="257">
        <v>44797</v>
      </c>
      <c r="B18" s="258" t="s">
        <v>224</v>
      </c>
      <c r="C18" s="263">
        <v>4.5</v>
      </c>
      <c r="D18" s="258" t="s">
        <v>1348</v>
      </c>
      <c r="E18" s="258" t="s">
        <v>4</v>
      </c>
      <c r="F18" s="258" t="s">
        <v>727</v>
      </c>
      <c r="G18" s="258" t="s">
        <v>10340</v>
      </c>
      <c r="H18" s="258">
        <v>4.5</v>
      </c>
      <c r="I18" s="258" t="s">
        <v>1350</v>
      </c>
      <c r="J18" s="258" t="s">
        <v>1351</v>
      </c>
      <c r="K18" s="258">
        <v>4.5</v>
      </c>
      <c r="L18" s="258"/>
      <c r="M18" s="258"/>
      <c r="N18" s="258" t="s">
        <v>465</v>
      </c>
      <c r="O18" s="258" t="s">
        <v>1352</v>
      </c>
      <c r="P18" s="258"/>
      <c r="Q18" s="258" t="s">
        <v>18</v>
      </c>
      <c r="R18" s="258" t="s">
        <v>1353</v>
      </c>
      <c r="S18" s="258" t="str">
        <f>IFERROR(VLOOKUP(B18,'2022-2023 Third Reviews'!$C:$S,9,FALSE),"")</f>
        <v/>
      </c>
      <c r="T18" s="258" t="s">
        <v>13080</v>
      </c>
      <c r="U18" s="258" t="s">
        <v>18</v>
      </c>
      <c r="V18" s="218"/>
      <c r="W18" s="218"/>
      <c r="X18" s="218"/>
      <c r="Y18" s="219"/>
      <c r="Z18" s="219"/>
      <c r="AA18" s="219"/>
      <c r="AB18" s="219"/>
      <c r="AC18" s="219"/>
    </row>
    <row r="19" spans="1:29" ht="15.75" customHeight="1">
      <c r="A19" s="399">
        <v>44784</v>
      </c>
      <c r="B19" s="277" t="s">
        <v>258</v>
      </c>
      <c r="C19" s="278">
        <v>4.5</v>
      </c>
      <c r="D19" s="277" t="s">
        <v>1492</v>
      </c>
      <c r="E19" s="277" t="s">
        <v>4</v>
      </c>
      <c r="F19" s="277" t="s">
        <v>447</v>
      </c>
      <c r="G19" s="277" t="s">
        <v>11364</v>
      </c>
      <c r="H19" s="277">
        <v>5</v>
      </c>
      <c r="I19" s="277" t="s">
        <v>449</v>
      </c>
      <c r="J19" s="277" t="s">
        <v>11548</v>
      </c>
      <c r="K19" s="277">
        <v>4</v>
      </c>
      <c r="L19" s="277" t="s">
        <v>478</v>
      </c>
      <c r="M19" s="277" t="s">
        <v>1495</v>
      </c>
      <c r="N19" s="277" t="s">
        <v>454</v>
      </c>
      <c r="O19" s="277" t="s">
        <v>452</v>
      </c>
      <c r="P19" s="277" t="s">
        <v>447</v>
      </c>
      <c r="Q19" s="277" t="s">
        <v>18</v>
      </c>
      <c r="R19" s="277" t="s">
        <v>1496</v>
      </c>
      <c r="S19" s="277" t="str">
        <f ca="1">IFERROR(VLOOKUP(B19,'2022-2023 Third Reviews'!$C:$S,9,FALSE),"")</f>
        <v>John McDonald
4</v>
      </c>
      <c r="T19" s="277" t="s">
        <v>13091</v>
      </c>
      <c r="U19" s="277" t="s">
        <v>18</v>
      </c>
      <c r="V19" s="252"/>
      <c r="W19" s="252"/>
      <c r="X19" s="252"/>
      <c r="Y19" s="224"/>
      <c r="Z19" s="224"/>
      <c r="AA19" s="224"/>
      <c r="AB19" s="224"/>
      <c r="AC19" s="224"/>
    </row>
    <row r="20" spans="1:29" ht="15.75" customHeight="1">
      <c r="A20" s="212">
        <v>44776</v>
      </c>
      <c r="B20" s="213" t="s">
        <v>260</v>
      </c>
      <c r="C20" s="214">
        <v>4.5</v>
      </c>
      <c r="D20" s="213" t="s">
        <v>1510</v>
      </c>
      <c r="E20" s="215" t="s">
        <v>4</v>
      </c>
      <c r="F20" s="213" t="s">
        <v>602</v>
      </c>
      <c r="G20" s="213" t="s">
        <v>11419</v>
      </c>
      <c r="H20" s="213">
        <v>4.5</v>
      </c>
      <c r="I20" s="213" t="s">
        <v>1054</v>
      </c>
      <c r="J20" s="213" t="s">
        <v>11420</v>
      </c>
      <c r="K20" s="213">
        <v>4.5</v>
      </c>
      <c r="L20" s="213" t="s">
        <v>451</v>
      </c>
      <c r="M20" s="225">
        <v>3000000</v>
      </c>
      <c r="N20" s="213" t="s">
        <v>454</v>
      </c>
      <c r="O20" s="213" t="s">
        <v>11421</v>
      </c>
      <c r="P20" s="143"/>
      <c r="Q20" s="213" t="str">
        <f t="array" ref="Q20">INDEX(Notes!B:B,MATCH($B20,Notes!$A:$A,0))</f>
        <v>Invite</v>
      </c>
      <c r="R20" s="213">
        <f t="array" ref="R20">INDEX(Notes!C:C,MATCH($B20,Notes!$A:$A,0))</f>
        <v>0</v>
      </c>
      <c r="S20" s="213" t="str">
        <f ca="1">IFERROR(VLOOKUP(B20,'2022-2023 Third Reviews'!$C:$S,9,FALSE),"")</f>
        <v>John McDonald
3</v>
      </c>
      <c r="T20" s="213" t="s">
        <v>13092</v>
      </c>
      <c r="U20" s="213" t="s">
        <v>18</v>
      </c>
      <c r="V20" s="268"/>
      <c r="W20" s="268"/>
      <c r="X20" s="268"/>
      <c r="Y20" s="268"/>
      <c r="Z20" s="268"/>
      <c r="AA20" s="219"/>
      <c r="AB20" s="219"/>
      <c r="AC20" s="219"/>
    </row>
    <row r="21" spans="1:29" ht="15.75" customHeight="1">
      <c r="A21" s="255">
        <v>44797</v>
      </c>
      <c r="B21" s="239" t="s">
        <v>166</v>
      </c>
      <c r="C21" s="262">
        <v>4.5</v>
      </c>
      <c r="D21" s="239" t="s">
        <v>3650</v>
      </c>
      <c r="E21" s="239" t="s">
        <v>4</v>
      </c>
      <c r="F21" s="239" t="s">
        <v>447</v>
      </c>
      <c r="G21" s="239" t="s">
        <v>11327</v>
      </c>
      <c r="H21" s="239">
        <v>4</v>
      </c>
      <c r="I21" s="239" t="s">
        <v>1187</v>
      </c>
      <c r="J21" s="239" t="s">
        <v>3652</v>
      </c>
      <c r="K21" s="239">
        <v>5</v>
      </c>
      <c r="L21" s="239" t="s">
        <v>451</v>
      </c>
      <c r="M21" s="239">
        <v>2320000</v>
      </c>
      <c r="N21" s="239" t="s">
        <v>452</v>
      </c>
      <c r="O21" s="239" t="s">
        <v>3653</v>
      </c>
      <c r="P21" s="239"/>
      <c r="Q21" s="239" t="s">
        <v>18</v>
      </c>
      <c r="R21" s="239" t="s">
        <v>3654</v>
      </c>
      <c r="S21" s="239" t="str">
        <f>IFERROR(VLOOKUP(B21,'2022-2023 Third Reviews'!$C:$S,9,FALSE),"")</f>
        <v/>
      </c>
      <c r="T21" s="239" t="s">
        <v>13084</v>
      </c>
      <c r="U21" s="239" t="s">
        <v>35</v>
      </c>
      <c r="V21" s="272"/>
      <c r="W21" s="272"/>
      <c r="X21" s="272"/>
      <c r="Y21" s="272"/>
      <c r="Z21" s="272"/>
      <c r="AA21" s="224"/>
      <c r="AB21" s="224"/>
      <c r="AC21" s="224"/>
    </row>
    <row r="22" spans="1:29" ht="15.75" customHeight="1">
      <c r="A22" s="398">
        <v>44784</v>
      </c>
      <c r="B22" s="268" t="s">
        <v>223</v>
      </c>
      <c r="C22" s="269">
        <v>4.38</v>
      </c>
      <c r="D22" s="268" t="s">
        <v>1339</v>
      </c>
      <c r="E22" s="270" t="s">
        <v>4</v>
      </c>
      <c r="F22" s="268" t="s">
        <v>725</v>
      </c>
      <c r="G22" s="268" t="s">
        <v>1340</v>
      </c>
      <c r="H22" s="268">
        <v>4</v>
      </c>
      <c r="I22" s="268" t="s">
        <v>727</v>
      </c>
      <c r="J22" s="268" t="s">
        <v>11549</v>
      </c>
      <c r="K22" s="268">
        <v>4.75</v>
      </c>
      <c r="L22" s="268" t="s">
        <v>451</v>
      </c>
      <c r="M22" s="268">
        <v>5000000</v>
      </c>
      <c r="N22" s="268" t="s">
        <v>452</v>
      </c>
      <c r="O22" s="268" t="s">
        <v>11425</v>
      </c>
      <c r="P22" s="268" t="s">
        <v>1343</v>
      </c>
      <c r="Q22" s="268" t="s">
        <v>18</v>
      </c>
      <c r="R22" s="268"/>
      <c r="S22" s="268" t="str">
        <f ca="1">IFERROR(VLOOKUP(B22,'2022-2023 Third Reviews'!$C:$S,9,FALSE),"")</f>
        <v>Ahmed Bahgat
3</v>
      </c>
      <c r="T22" s="268" t="s">
        <v>13079</v>
      </c>
      <c r="U22" s="268" t="s">
        <v>18</v>
      </c>
      <c r="V22" s="252"/>
      <c r="W22" s="252"/>
      <c r="X22" s="252"/>
      <c r="Y22" s="219"/>
      <c r="Z22" s="219"/>
      <c r="AA22" s="219"/>
      <c r="AB22" s="219"/>
      <c r="AC22" s="219"/>
    </row>
    <row r="23" spans="1:29" ht="15.75" customHeight="1">
      <c r="A23" s="255">
        <v>44791</v>
      </c>
      <c r="B23" s="239" t="s">
        <v>152</v>
      </c>
      <c r="C23" s="262">
        <v>4.25</v>
      </c>
      <c r="D23" s="239" t="s">
        <v>1024</v>
      </c>
      <c r="E23" s="239" t="s">
        <v>4</v>
      </c>
      <c r="F23" s="239" t="s">
        <v>447</v>
      </c>
      <c r="G23" s="239" t="s">
        <v>11648</v>
      </c>
      <c r="H23" s="239">
        <v>4.5</v>
      </c>
      <c r="I23" s="239" t="s">
        <v>543</v>
      </c>
      <c r="J23" s="239" t="s">
        <v>11649</v>
      </c>
      <c r="K23" s="239">
        <v>4</v>
      </c>
      <c r="L23" s="239" t="s">
        <v>478</v>
      </c>
      <c r="M23" s="239" t="s">
        <v>1027</v>
      </c>
      <c r="N23" s="239" t="s">
        <v>452</v>
      </c>
      <c r="O23" s="239" t="s">
        <v>1028</v>
      </c>
      <c r="P23" s="239"/>
      <c r="Q23" s="239" t="s">
        <v>18</v>
      </c>
      <c r="R23" s="239" t="s">
        <v>1029</v>
      </c>
      <c r="S23" s="239" t="str">
        <f>IFERROR(VLOOKUP(B23,'2022-2023 Third Reviews'!$C:$S,9,FALSE),"")</f>
        <v/>
      </c>
      <c r="T23" s="239" t="s">
        <v>13052</v>
      </c>
      <c r="U23" s="239" t="s">
        <v>18</v>
      </c>
      <c r="V23" s="272"/>
      <c r="W23" s="272"/>
      <c r="X23" s="272"/>
      <c r="Y23" s="272"/>
      <c r="Z23" s="272"/>
      <c r="AA23" s="224"/>
      <c r="AB23" s="224"/>
      <c r="AC23" s="224"/>
    </row>
    <row r="24" spans="1:29" ht="15.75" customHeight="1">
      <c r="A24" s="255">
        <v>44782</v>
      </c>
      <c r="B24" s="239" t="s">
        <v>173</v>
      </c>
      <c r="C24" s="249">
        <v>4.25</v>
      </c>
      <c r="D24" s="239" t="s">
        <v>10368</v>
      </c>
      <c r="E24" s="250" t="s">
        <v>4</v>
      </c>
      <c r="F24" s="239" t="s">
        <v>460</v>
      </c>
      <c r="G24" s="239" t="s">
        <v>1127</v>
      </c>
      <c r="H24" s="239">
        <v>4.5</v>
      </c>
      <c r="I24" s="239" t="s">
        <v>462</v>
      </c>
      <c r="J24" s="239" t="s">
        <v>1128</v>
      </c>
      <c r="K24" s="239">
        <v>4</v>
      </c>
      <c r="L24" s="239" t="s">
        <v>451</v>
      </c>
      <c r="M24" s="239">
        <v>2000000</v>
      </c>
      <c r="N24" s="239" t="s">
        <v>452</v>
      </c>
      <c r="O24" s="239" t="s">
        <v>1129</v>
      </c>
      <c r="P24" s="239"/>
      <c r="Q24" s="239"/>
      <c r="R24" s="239"/>
      <c r="S24" s="239"/>
      <c r="T24" s="239"/>
      <c r="U24" s="239" t="s">
        <v>18</v>
      </c>
      <c r="V24" s="268"/>
      <c r="W24" s="268"/>
      <c r="X24" s="268"/>
      <c r="Y24" s="268"/>
      <c r="Z24" s="268"/>
      <c r="AA24" s="219"/>
      <c r="AB24" s="219"/>
      <c r="AC24" s="219"/>
    </row>
    <row r="25" spans="1:29" ht="15.75" customHeight="1">
      <c r="A25" s="220">
        <v>44776</v>
      </c>
      <c r="B25" s="221" t="s">
        <v>156</v>
      </c>
      <c r="C25" s="214">
        <v>4.25</v>
      </c>
      <c r="D25" s="221" t="s">
        <v>1052</v>
      </c>
      <c r="E25" s="215" t="s">
        <v>4</v>
      </c>
      <c r="F25" s="221" t="s">
        <v>602</v>
      </c>
      <c r="G25" s="221" t="s">
        <v>11390</v>
      </c>
      <c r="H25" s="221">
        <v>4.5</v>
      </c>
      <c r="I25" s="221" t="s">
        <v>1054</v>
      </c>
      <c r="J25" s="221"/>
      <c r="K25" s="221">
        <v>4</v>
      </c>
      <c r="L25" s="221" t="s">
        <v>451</v>
      </c>
      <c r="M25" s="221">
        <v>4000000</v>
      </c>
      <c r="N25" s="221" t="s">
        <v>465</v>
      </c>
      <c r="O25" s="221" t="s">
        <v>1055</v>
      </c>
      <c r="P25" s="145" t="s">
        <v>1120</v>
      </c>
      <c r="Q25" s="221" t="str">
        <f t="array" ref="Q25">INDEX(Notes!B:B,MATCH($B25,Notes!$A:$A,0))</f>
        <v>Invite</v>
      </c>
      <c r="R25" s="221">
        <f t="array" ref="R25">INDEX(Notes!C:C,MATCH($B25,Notes!$A:$A,0))</f>
        <v>0</v>
      </c>
      <c r="S25" s="221" t="str">
        <f>IFERROR(VLOOKUP(B25,'2022-2023 Third Reviews'!$C:$S,9,FALSE),"")</f>
        <v/>
      </c>
      <c r="T25" s="221" t="s">
        <v>13053</v>
      </c>
      <c r="U25" s="221" t="s">
        <v>18</v>
      </c>
      <c r="V25" s="218"/>
      <c r="W25" s="218"/>
      <c r="X25" s="218"/>
      <c r="Y25" s="224"/>
      <c r="Z25" s="224"/>
      <c r="AA25" s="224"/>
      <c r="AB25" s="224"/>
      <c r="AC25" s="224"/>
    </row>
    <row r="26" spans="1:29" ht="15.75" customHeight="1">
      <c r="A26" s="248">
        <v>44796</v>
      </c>
      <c r="B26" s="219" t="s">
        <v>160</v>
      </c>
      <c r="C26" s="315">
        <v>4.25</v>
      </c>
      <c r="D26" s="219" t="s">
        <v>1071</v>
      </c>
      <c r="E26" s="219" t="s">
        <v>4</v>
      </c>
      <c r="F26" s="219" t="s">
        <v>725</v>
      </c>
      <c r="G26" s="219" t="s">
        <v>11255</v>
      </c>
      <c r="H26" s="219">
        <v>4.5</v>
      </c>
      <c r="I26" s="219" t="s">
        <v>1073</v>
      </c>
      <c r="J26" s="219"/>
      <c r="K26" s="219">
        <v>4</v>
      </c>
      <c r="L26" s="219" t="s">
        <v>1074</v>
      </c>
      <c r="M26" s="331">
        <v>20000000</v>
      </c>
      <c r="N26" s="219" t="s">
        <v>452</v>
      </c>
      <c r="O26" s="219" t="s">
        <v>452</v>
      </c>
      <c r="P26" s="219"/>
      <c r="Q26" s="219" t="s">
        <v>18</v>
      </c>
      <c r="R26" s="219"/>
      <c r="S26" s="219" t="str">
        <f>IFERROR(VLOOKUP(B26,'2022-2023 Third Reviews'!$C:$S,9,FALSE),"")</f>
        <v/>
      </c>
      <c r="T26" s="219"/>
      <c r="U26" s="219" t="s">
        <v>18</v>
      </c>
      <c r="V26" s="268"/>
      <c r="W26" s="268"/>
      <c r="X26" s="268"/>
      <c r="Y26" s="268"/>
      <c r="Z26" s="268"/>
      <c r="AA26" s="219"/>
      <c r="AB26" s="219"/>
      <c r="AC26" s="219"/>
    </row>
    <row r="27" spans="1:29" ht="15.75" customHeight="1">
      <c r="A27" s="253">
        <v>44797</v>
      </c>
      <c r="B27" s="224" t="s">
        <v>161</v>
      </c>
      <c r="C27" s="316">
        <v>4.25</v>
      </c>
      <c r="D27" s="224" t="s">
        <v>1079</v>
      </c>
      <c r="E27" s="224" t="s">
        <v>4</v>
      </c>
      <c r="F27" s="224" t="s">
        <v>725</v>
      </c>
      <c r="G27" s="224"/>
      <c r="H27" s="224">
        <v>4.5</v>
      </c>
      <c r="I27" s="224" t="s">
        <v>462</v>
      </c>
      <c r="J27" s="224" t="s">
        <v>1080</v>
      </c>
      <c r="K27" s="224">
        <v>4</v>
      </c>
      <c r="L27" s="224" t="s">
        <v>451</v>
      </c>
      <c r="M27" s="224">
        <v>10000000</v>
      </c>
      <c r="N27" s="224" t="s">
        <v>452</v>
      </c>
      <c r="O27" s="224" t="s">
        <v>974</v>
      </c>
      <c r="P27" s="224"/>
      <c r="Q27" s="224" t="s">
        <v>18</v>
      </c>
      <c r="R27" s="224"/>
      <c r="S27" s="224" t="str">
        <f>IFERROR(VLOOKUP(B27,'2022-2023 Third Reviews'!$C:$S,9,FALSE),"")</f>
        <v/>
      </c>
      <c r="T27" s="224" t="s">
        <v>13051</v>
      </c>
      <c r="U27" s="224" t="s">
        <v>18</v>
      </c>
      <c r="V27" s="272"/>
      <c r="W27" s="272"/>
      <c r="X27" s="272"/>
      <c r="Y27" s="272"/>
      <c r="Z27" s="272"/>
      <c r="AA27" s="224"/>
      <c r="AB27" s="224"/>
      <c r="AC27" s="224"/>
    </row>
    <row r="28" spans="1:29" ht="15.75" customHeight="1">
      <c r="A28" s="248">
        <v>44797</v>
      </c>
      <c r="B28" s="219" t="s">
        <v>170</v>
      </c>
      <c r="C28" s="315">
        <v>4.25</v>
      </c>
      <c r="D28" s="219" t="s">
        <v>1101</v>
      </c>
      <c r="E28" s="219" t="s">
        <v>4</v>
      </c>
      <c r="F28" s="219" t="s">
        <v>725</v>
      </c>
      <c r="G28" s="219"/>
      <c r="H28" s="219">
        <v>4.5</v>
      </c>
      <c r="I28" s="219" t="s">
        <v>462</v>
      </c>
      <c r="J28" s="219" t="s">
        <v>1102</v>
      </c>
      <c r="K28" s="219">
        <v>4</v>
      </c>
      <c r="L28" s="219" t="s">
        <v>1103</v>
      </c>
      <c r="M28" s="331">
        <v>8000000</v>
      </c>
      <c r="N28" s="219" t="s">
        <v>452</v>
      </c>
      <c r="O28" s="219" t="s">
        <v>575</v>
      </c>
      <c r="P28" s="219"/>
      <c r="Q28" s="219" t="s">
        <v>18</v>
      </c>
      <c r="R28" s="219"/>
      <c r="S28" s="219" t="str">
        <f>IFERROR(VLOOKUP(B28,'2022-2023 Third Reviews'!$C:$S,9,FALSE),"")</f>
        <v/>
      </c>
      <c r="T28" s="219" t="s">
        <v>13052</v>
      </c>
      <c r="U28" s="219" t="s">
        <v>18</v>
      </c>
      <c r="V28" s="252"/>
      <c r="W28" s="252"/>
      <c r="X28" s="252"/>
      <c r="Y28" s="219"/>
      <c r="Z28" s="219"/>
      <c r="AA28" s="219"/>
      <c r="AB28" s="219"/>
      <c r="AC28" s="219"/>
    </row>
    <row r="29" spans="1:29" ht="15.75" customHeight="1">
      <c r="A29" s="253">
        <v>44796</v>
      </c>
      <c r="B29" s="224" t="s">
        <v>187</v>
      </c>
      <c r="C29" s="316">
        <v>4.25</v>
      </c>
      <c r="D29" s="224" t="s">
        <v>1185</v>
      </c>
      <c r="E29" s="224" t="s">
        <v>4</v>
      </c>
      <c r="F29" s="224" t="s">
        <v>725</v>
      </c>
      <c r="G29" s="224" t="s">
        <v>11273</v>
      </c>
      <c r="H29" s="224">
        <v>4.5</v>
      </c>
      <c r="I29" s="224" t="s">
        <v>1187</v>
      </c>
      <c r="J29" s="224" t="s">
        <v>1188</v>
      </c>
      <c r="K29" s="224">
        <v>4</v>
      </c>
      <c r="L29" s="224" t="s">
        <v>451</v>
      </c>
      <c r="M29" s="224">
        <v>4000000</v>
      </c>
      <c r="N29" s="224" t="s">
        <v>452</v>
      </c>
      <c r="O29" s="224" t="s">
        <v>452</v>
      </c>
      <c r="P29" s="224" t="s">
        <v>1189</v>
      </c>
      <c r="Q29" s="224" t="s">
        <v>18</v>
      </c>
      <c r="R29" s="224"/>
      <c r="S29" s="224" t="str">
        <f>IFERROR(VLOOKUP(B29,'2022-2023 Third Reviews'!$C:$S,9,FALSE),"")</f>
        <v/>
      </c>
      <c r="T29" s="224" t="s">
        <v>13062</v>
      </c>
      <c r="U29" s="224" t="s">
        <v>18</v>
      </c>
      <c r="V29" s="272"/>
      <c r="W29" s="272"/>
      <c r="X29" s="272"/>
      <c r="Y29" s="272"/>
      <c r="Z29" s="272"/>
      <c r="AA29" s="224"/>
      <c r="AB29" s="224"/>
      <c r="AC29" s="224"/>
    </row>
    <row r="30" spans="1:29" ht="15.75" customHeight="1">
      <c r="A30" s="398">
        <v>44784</v>
      </c>
      <c r="B30" s="268" t="s">
        <v>200</v>
      </c>
      <c r="C30" s="269">
        <v>4.25</v>
      </c>
      <c r="D30" s="268" t="s">
        <v>1262</v>
      </c>
      <c r="E30" s="270" t="s">
        <v>4</v>
      </c>
      <c r="F30" s="268" t="s">
        <v>727</v>
      </c>
      <c r="G30" s="547" t="s">
        <v>13234</v>
      </c>
      <c r="H30" s="268">
        <v>4.5</v>
      </c>
      <c r="I30" s="268" t="s">
        <v>1054</v>
      </c>
      <c r="J30" s="268" t="s">
        <v>11552</v>
      </c>
      <c r="K30" s="268">
        <v>4</v>
      </c>
      <c r="L30" s="268" t="s">
        <v>451</v>
      </c>
      <c r="M30" s="285">
        <v>2000000</v>
      </c>
      <c r="N30" s="268" t="s">
        <v>465</v>
      </c>
      <c r="O30" s="285" t="s">
        <v>452</v>
      </c>
      <c r="P30" s="268"/>
      <c r="Q30" s="268" t="s">
        <v>18</v>
      </c>
      <c r="R30" s="268"/>
      <c r="S30" s="268" t="str">
        <f ca="1">IFERROR(VLOOKUP(B30,'2022-2023 Third Reviews'!$C:$S,9,FALSE),"")</f>
        <v>Nick Schmandt
3</v>
      </c>
      <c r="T30" s="268" t="s">
        <v>13069</v>
      </c>
      <c r="U30" s="268" t="s">
        <v>18</v>
      </c>
      <c r="V30" s="252"/>
      <c r="W30" s="252"/>
      <c r="X30" s="252"/>
      <c r="Y30" s="219"/>
      <c r="Z30" s="219"/>
      <c r="AA30" s="219"/>
      <c r="AB30" s="219"/>
      <c r="AC30" s="219"/>
    </row>
    <row r="31" spans="1:29" ht="15.75" customHeight="1">
      <c r="A31" s="253">
        <v>44796</v>
      </c>
      <c r="B31" s="224" t="s">
        <v>206</v>
      </c>
      <c r="C31" s="316">
        <v>4.25</v>
      </c>
      <c r="D31" s="224" t="s">
        <v>1279</v>
      </c>
      <c r="E31" s="224" t="s">
        <v>4</v>
      </c>
      <c r="F31" s="224" t="s">
        <v>725</v>
      </c>
      <c r="G31" s="224" t="s">
        <v>11707</v>
      </c>
      <c r="H31" s="224">
        <v>4.5</v>
      </c>
      <c r="I31" s="224" t="s">
        <v>1281</v>
      </c>
      <c r="J31" s="224" t="s">
        <v>1282</v>
      </c>
      <c r="K31" s="224">
        <v>4</v>
      </c>
      <c r="L31" s="224" t="s">
        <v>451</v>
      </c>
      <c r="M31" s="311">
        <v>350000</v>
      </c>
      <c r="N31" s="224" t="s">
        <v>452</v>
      </c>
      <c r="O31" s="224" t="s">
        <v>1283</v>
      </c>
      <c r="P31" s="224"/>
      <c r="Q31" s="224" t="s">
        <v>18</v>
      </c>
      <c r="R31" s="224"/>
      <c r="S31" s="224" t="str">
        <f>IFERROR(VLOOKUP(B31,'2022-2023 Third Reviews'!$C:$S,9,FALSE),"")</f>
        <v/>
      </c>
      <c r="T31" s="224" t="s">
        <v>13072</v>
      </c>
      <c r="U31" s="224" t="s">
        <v>18</v>
      </c>
      <c r="V31" s="218"/>
      <c r="W31" s="218"/>
      <c r="X31" s="218"/>
      <c r="Y31" s="224"/>
      <c r="Z31" s="224"/>
      <c r="AA31" s="224"/>
      <c r="AB31" s="224"/>
      <c r="AC31" s="224"/>
    </row>
    <row r="32" spans="1:29" ht="15.75" customHeight="1">
      <c r="A32" s="248">
        <v>44789</v>
      </c>
      <c r="B32" s="219" t="s">
        <v>233</v>
      </c>
      <c r="C32" s="249">
        <v>4.25</v>
      </c>
      <c r="D32" s="219" t="s">
        <v>1381</v>
      </c>
      <c r="E32" s="250" t="s">
        <v>4</v>
      </c>
      <c r="F32" s="219" t="s">
        <v>727</v>
      </c>
      <c r="G32" s="219" t="s">
        <v>10749</v>
      </c>
      <c r="H32" s="219">
        <v>4.5</v>
      </c>
      <c r="I32" s="219" t="s">
        <v>1045</v>
      </c>
      <c r="J32" s="219" t="s">
        <v>1383</v>
      </c>
      <c r="K32" s="219">
        <v>4</v>
      </c>
      <c r="L32" s="219" t="s">
        <v>451</v>
      </c>
      <c r="M32" s="219" t="s">
        <v>1384</v>
      </c>
      <c r="N32" s="219" t="s">
        <v>452</v>
      </c>
      <c r="O32" s="219" t="s">
        <v>1385</v>
      </c>
      <c r="P32" s="219" t="s">
        <v>725</v>
      </c>
      <c r="Q32" s="219" t="s">
        <v>18</v>
      </c>
      <c r="R32" s="219"/>
      <c r="S32" s="219" t="str">
        <f ca="1">IFERROR(VLOOKUP(B32,'2022-2023 Third Reviews'!$C:$S,9,FALSE),"")</f>
        <v>Ahmed Bahgat
5</v>
      </c>
      <c r="T32" s="219" t="s">
        <v>13082</v>
      </c>
      <c r="U32" s="219" t="s">
        <v>18</v>
      </c>
      <c r="V32" s="258"/>
      <c r="W32" s="258"/>
      <c r="X32" s="258"/>
      <c r="Y32" s="258"/>
      <c r="Z32" s="258"/>
      <c r="AA32" s="258"/>
      <c r="AB32" s="258"/>
      <c r="AC32" s="258"/>
    </row>
    <row r="33" spans="1:29" ht="15.75" customHeight="1">
      <c r="A33" s="398">
        <v>44784</v>
      </c>
      <c r="B33" s="272" t="s">
        <v>241</v>
      </c>
      <c r="C33" s="269">
        <v>4.25</v>
      </c>
      <c r="D33" s="272" t="s">
        <v>11456</v>
      </c>
      <c r="E33" s="270" t="s">
        <v>4</v>
      </c>
      <c r="F33" s="272" t="s">
        <v>602</v>
      </c>
      <c r="G33" s="272" t="s">
        <v>1418</v>
      </c>
      <c r="H33" s="272">
        <v>4</v>
      </c>
      <c r="I33" s="272" t="s">
        <v>727</v>
      </c>
      <c r="J33" s="272" t="s">
        <v>11457</v>
      </c>
      <c r="K33" s="272">
        <v>4.5</v>
      </c>
      <c r="L33" s="272" t="s">
        <v>478</v>
      </c>
      <c r="M33" s="272" t="s">
        <v>1420</v>
      </c>
      <c r="N33" s="272" t="s">
        <v>454</v>
      </c>
      <c r="O33" s="272" t="s">
        <v>1421</v>
      </c>
      <c r="P33" s="272" t="s">
        <v>1422</v>
      </c>
      <c r="Q33" s="272" t="s">
        <v>18</v>
      </c>
      <c r="R33" s="272" t="s">
        <v>1423</v>
      </c>
      <c r="S33" s="272" t="str">
        <f>IFERROR(VLOOKUP(B33,'2022-2023 Third Reviews'!$C:$S,9,FALSE),"")</f>
        <v/>
      </c>
      <c r="T33" s="272" t="s">
        <v>13066</v>
      </c>
      <c r="U33" s="272" t="s">
        <v>18</v>
      </c>
      <c r="V33" s="277"/>
      <c r="W33" s="277"/>
      <c r="X33" s="277"/>
      <c r="Y33" s="277"/>
      <c r="Z33" s="277"/>
      <c r="AA33" s="239"/>
      <c r="AB33" s="239"/>
      <c r="AC33" s="239"/>
    </row>
    <row r="34" spans="1:29" ht="15.75" customHeight="1">
      <c r="A34" s="248">
        <v>44797</v>
      </c>
      <c r="B34" s="219" t="s">
        <v>257</v>
      </c>
      <c r="C34" s="315">
        <v>4.25</v>
      </c>
      <c r="D34" s="219" t="s">
        <v>1482</v>
      </c>
      <c r="E34" s="219" t="s">
        <v>4</v>
      </c>
      <c r="F34" s="219" t="s">
        <v>602</v>
      </c>
      <c r="G34" s="219" t="s">
        <v>1483</v>
      </c>
      <c r="H34" s="219">
        <v>4</v>
      </c>
      <c r="I34" s="219" t="s">
        <v>1350</v>
      </c>
      <c r="J34" s="219" t="s">
        <v>10206</v>
      </c>
      <c r="K34" s="219">
        <v>4.5</v>
      </c>
      <c r="L34" s="219" t="s">
        <v>784</v>
      </c>
      <c r="M34" s="219">
        <v>682000</v>
      </c>
      <c r="N34" s="219" t="s">
        <v>465</v>
      </c>
      <c r="O34" s="219" t="s">
        <v>1485</v>
      </c>
      <c r="P34" s="219" t="s">
        <v>1486</v>
      </c>
      <c r="Q34" s="219" t="s">
        <v>18</v>
      </c>
      <c r="R34" s="219" t="s">
        <v>1487</v>
      </c>
      <c r="S34" s="219" t="str">
        <f ca="1">IFERROR(VLOOKUP(B34,'2022-2023 Third Reviews'!$C:$S,9,FALSE),"")</f>
        <v>Joshua Rubnitz
5</v>
      </c>
      <c r="T34" s="219" t="s">
        <v>13066</v>
      </c>
      <c r="U34" s="219" t="s">
        <v>18</v>
      </c>
      <c r="V34" s="218"/>
      <c r="W34" s="218"/>
      <c r="X34" s="218"/>
      <c r="Y34" s="219"/>
      <c r="Z34" s="219"/>
      <c r="AA34" s="219"/>
      <c r="AB34" s="219"/>
      <c r="AC34" s="219"/>
    </row>
    <row r="35" spans="1:29" ht="15.75" customHeight="1">
      <c r="A35" s="253">
        <v>44797</v>
      </c>
      <c r="B35" s="224" t="s">
        <v>261</v>
      </c>
      <c r="C35" s="316">
        <v>4.25</v>
      </c>
      <c r="D35" s="224" t="s">
        <v>1517</v>
      </c>
      <c r="E35" s="224" t="s">
        <v>4</v>
      </c>
      <c r="F35" s="224" t="s">
        <v>727</v>
      </c>
      <c r="G35" s="224" t="s">
        <v>1518</v>
      </c>
      <c r="H35" s="224">
        <v>4.5</v>
      </c>
      <c r="I35" s="224" t="s">
        <v>543</v>
      </c>
      <c r="J35" s="224" t="s">
        <v>11738</v>
      </c>
      <c r="K35" s="224">
        <v>4</v>
      </c>
      <c r="L35" s="224"/>
      <c r="M35" s="224"/>
      <c r="N35" s="224" t="s">
        <v>452</v>
      </c>
      <c r="O35" s="224" t="s">
        <v>10649</v>
      </c>
      <c r="P35" s="224"/>
      <c r="Q35" s="224" t="s">
        <v>18</v>
      </c>
      <c r="R35" s="224"/>
      <c r="S35" s="224" t="str">
        <f>IFERROR(VLOOKUP(B35,'2022-2023 Third Reviews'!$C:$S,9,FALSE),"")</f>
        <v/>
      </c>
      <c r="T35" s="224" t="s">
        <v>13053</v>
      </c>
      <c r="U35" s="224" t="s">
        <v>18</v>
      </c>
      <c r="V35" s="272"/>
      <c r="W35" s="272"/>
      <c r="X35" s="272"/>
      <c r="Y35" s="272"/>
      <c r="Z35" s="272"/>
      <c r="AA35" s="224"/>
      <c r="AB35" s="224"/>
      <c r="AC35" s="224"/>
    </row>
    <row r="36" spans="1:29" ht="15.75" customHeight="1">
      <c r="A36" s="398">
        <v>44784</v>
      </c>
      <c r="B36" s="268" t="s">
        <v>266</v>
      </c>
      <c r="C36" s="269">
        <v>4.25</v>
      </c>
      <c r="D36" s="268" t="s">
        <v>10174</v>
      </c>
      <c r="E36" s="270" t="s">
        <v>4</v>
      </c>
      <c r="F36" s="268" t="s">
        <v>602</v>
      </c>
      <c r="G36" s="268" t="s">
        <v>1534</v>
      </c>
      <c r="H36" s="268">
        <v>4</v>
      </c>
      <c r="I36" s="268" t="s">
        <v>1054</v>
      </c>
      <c r="J36" s="268"/>
      <c r="K36" s="268">
        <v>4.5</v>
      </c>
      <c r="L36" s="268" t="s">
        <v>451</v>
      </c>
      <c r="M36" s="285">
        <v>2000000</v>
      </c>
      <c r="N36" s="268" t="s">
        <v>454</v>
      </c>
      <c r="O36" s="285" t="s">
        <v>11550</v>
      </c>
      <c r="P36" s="268" t="s">
        <v>1536</v>
      </c>
      <c r="Q36" s="268" t="s">
        <v>18</v>
      </c>
      <c r="R36" s="268" t="s">
        <v>1537</v>
      </c>
      <c r="S36" s="268" t="str">
        <f ca="1">IFERROR(VLOOKUP(B36,'2022-2023 Third Reviews'!$C:$S,9,FALSE),"")</f>
        <v>Chris Millisits
4</v>
      </c>
      <c r="T36" s="268" t="s">
        <v>13051</v>
      </c>
      <c r="U36" s="268" t="s">
        <v>18</v>
      </c>
      <c r="V36" s="218"/>
      <c r="W36" s="218"/>
      <c r="X36" s="218"/>
      <c r="Y36" s="219"/>
      <c r="Z36" s="219"/>
      <c r="AA36" s="219"/>
      <c r="AB36" s="219"/>
      <c r="AC36" s="219"/>
    </row>
    <row r="37" spans="1:29" ht="15.75" customHeight="1">
      <c r="A37" s="255">
        <v>44796</v>
      </c>
      <c r="B37" s="239" t="s">
        <v>268</v>
      </c>
      <c r="C37" s="262">
        <v>4.25</v>
      </c>
      <c r="D37" s="239" t="s">
        <v>1550</v>
      </c>
      <c r="E37" s="239" t="s">
        <v>4</v>
      </c>
      <c r="F37" s="239" t="s">
        <v>460</v>
      </c>
      <c r="G37" s="239" t="s">
        <v>10357</v>
      </c>
      <c r="H37" s="239">
        <v>4</v>
      </c>
      <c r="I37" s="239" t="s">
        <v>462</v>
      </c>
      <c r="J37" s="239" t="s">
        <v>1552</v>
      </c>
      <c r="K37" s="239">
        <v>4.5</v>
      </c>
      <c r="L37" s="239" t="s">
        <v>478</v>
      </c>
      <c r="M37" s="329">
        <v>6000000</v>
      </c>
      <c r="N37" s="239" t="s">
        <v>452</v>
      </c>
      <c r="O37" s="239" t="s">
        <v>10358</v>
      </c>
      <c r="P37" s="239"/>
      <c r="Q37" s="239" t="s">
        <v>20</v>
      </c>
      <c r="R37" s="239" t="s">
        <v>1554</v>
      </c>
      <c r="S37" s="239" t="str">
        <f>IFERROR(VLOOKUP(B37,'2022-2023 Third Reviews'!$C:$S,9,FALSE),"")</f>
        <v/>
      </c>
      <c r="T37" s="239" t="s">
        <v>13066</v>
      </c>
      <c r="U37" s="239" t="s">
        <v>18</v>
      </c>
      <c r="V37" s="277"/>
      <c r="W37" s="277"/>
      <c r="X37" s="277"/>
      <c r="Y37" s="277"/>
      <c r="Z37" s="277"/>
      <c r="AA37" s="239"/>
      <c r="AB37" s="239"/>
      <c r="AC37" s="239"/>
    </row>
    <row r="38" spans="1:29" ht="15.75" customHeight="1">
      <c r="A38" s="257">
        <v>44797</v>
      </c>
      <c r="B38" s="258" t="s">
        <v>269</v>
      </c>
      <c r="C38" s="263">
        <v>4.25</v>
      </c>
      <c r="D38" s="258" t="s">
        <v>11737</v>
      </c>
      <c r="E38" s="258" t="s">
        <v>4</v>
      </c>
      <c r="F38" s="258" t="s">
        <v>727</v>
      </c>
      <c r="G38" s="258" t="s">
        <v>10512</v>
      </c>
      <c r="H38" s="258">
        <v>4.5</v>
      </c>
      <c r="I38" s="258" t="s">
        <v>449</v>
      </c>
      <c r="J38" s="258" t="s">
        <v>10513</v>
      </c>
      <c r="K38" s="258">
        <v>4</v>
      </c>
      <c r="L38" s="258" t="s">
        <v>451</v>
      </c>
      <c r="M38" s="258">
        <v>6000000</v>
      </c>
      <c r="N38" s="258" t="s">
        <v>452</v>
      </c>
      <c r="O38" s="258" t="s">
        <v>452</v>
      </c>
      <c r="P38" s="258" t="s">
        <v>1562</v>
      </c>
      <c r="Q38" s="258" t="s">
        <v>18</v>
      </c>
      <c r="R38" s="258" t="s">
        <v>1563</v>
      </c>
      <c r="S38" s="258" t="str">
        <f>IFERROR(VLOOKUP(B38,'2022-2023 Third Reviews'!$C:$S,9,FALSE),"")</f>
        <v/>
      </c>
      <c r="T38" s="258" t="s">
        <v>13051</v>
      </c>
      <c r="U38" s="258" t="s">
        <v>18</v>
      </c>
      <c r="V38" s="218"/>
      <c r="W38" s="218"/>
      <c r="X38" s="218"/>
      <c r="Y38" s="219"/>
      <c r="Z38" s="219"/>
      <c r="AA38" s="219"/>
      <c r="AB38" s="219"/>
      <c r="AC38" s="219"/>
    </row>
    <row r="39" spans="1:29" ht="15.75" customHeight="1">
      <c r="A39" s="398">
        <v>44784</v>
      </c>
      <c r="B39" s="272" t="s">
        <v>275</v>
      </c>
      <c r="C39" s="269">
        <v>4.25</v>
      </c>
      <c r="D39" s="272" t="s">
        <v>1585</v>
      </c>
      <c r="E39" s="270" t="s">
        <v>4</v>
      </c>
      <c r="F39" s="272" t="s">
        <v>602</v>
      </c>
      <c r="G39" s="272" t="s">
        <v>1586</v>
      </c>
      <c r="H39" s="272">
        <v>4</v>
      </c>
      <c r="I39" s="272" t="s">
        <v>727</v>
      </c>
      <c r="J39" s="272" t="s">
        <v>10318</v>
      </c>
      <c r="K39" s="272">
        <v>4.5</v>
      </c>
      <c r="L39" s="272" t="s">
        <v>478</v>
      </c>
      <c r="M39" s="272">
        <v>4000000</v>
      </c>
      <c r="N39" s="272" t="s">
        <v>465</v>
      </c>
      <c r="O39" s="272" t="s">
        <v>1588</v>
      </c>
      <c r="P39" s="272"/>
      <c r="Q39" s="272" t="s">
        <v>18</v>
      </c>
      <c r="R39" s="272"/>
      <c r="S39" s="272" t="str">
        <f ca="1">IFERROR(VLOOKUP(B39,'2022-2023 Third Reviews'!$C:$S,9,FALSE),"")</f>
        <v>Chris Millisits
2</v>
      </c>
      <c r="T39" s="272"/>
      <c r="U39" s="272" t="s">
        <v>18</v>
      </c>
      <c r="V39" s="218"/>
      <c r="W39" s="218"/>
      <c r="X39" s="218"/>
      <c r="Y39" s="224"/>
      <c r="Z39" s="224"/>
      <c r="AA39" s="224"/>
      <c r="AB39" s="224"/>
      <c r="AC39" s="224"/>
    </row>
    <row r="40" spans="1:29" ht="15.75" customHeight="1">
      <c r="A40" s="257">
        <v>44796</v>
      </c>
      <c r="B40" s="258" t="s">
        <v>184</v>
      </c>
      <c r="C40" s="263">
        <v>4.25</v>
      </c>
      <c r="D40" s="258" t="s">
        <v>11708</v>
      </c>
      <c r="E40" s="258" t="s">
        <v>4</v>
      </c>
      <c r="F40" s="258" t="s">
        <v>725</v>
      </c>
      <c r="G40" s="258" t="s">
        <v>11243</v>
      </c>
      <c r="H40" s="258">
        <v>4.5</v>
      </c>
      <c r="I40" s="258" t="s">
        <v>604</v>
      </c>
      <c r="J40" s="258" t="s">
        <v>1169</v>
      </c>
      <c r="K40" s="258">
        <v>4</v>
      </c>
      <c r="L40" s="258" t="s">
        <v>451</v>
      </c>
      <c r="M40" s="258">
        <v>3000000</v>
      </c>
      <c r="N40" s="258" t="s">
        <v>452</v>
      </c>
      <c r="O40" s="258" t="s">
        <v>1170</v>
      </c>
      <c r="P40" s="258"/>
      <c r="Q40" s="258" t="s">
        <v>18</v>
      </c>
      <c r="R40" s="258" t="s">
        <v>1171</v>
      </c>
      <c r="S40" s="258" t="str">
        <f>IFERROR(VLOOKUP(B40,'2022-2023 Third Reviews'!$C:$S,9,FALSE),"")</f>
        <v/>
      </c>
      <c r="T40" s="258" t="s">
        <v>13061</v>
      </c>
      <c r="U40" s="258" t="s">
        <v>18</v>
      </c>
      <c r="V40" s="303"/>
      <c r="W40" s="303"/>
      <c r="X40" s="303"/>
      <c r="Y40" s="303"/>
      <c r="Z40" s="303"/>
      <c r="AA40" s="306"/>
      <c r="AB40" s="306"/>
      <c r="AC40" s="306"/>
    </row>
    <row r="41" spans="1:29" ht="15.75" customHeight="1">
      <c r="A41" s="402">
        <v>44796</v>
      </c>
      <c r="B41" s="403" t="s">
        <v>168</v>
      </c>
      <c r="C41" s="404">
        <v>4.25</v>
      </c>
      <c r="D41" s="403" t="s">
        <v>3659</v>
      </c>
      <c r="E41" s="403" t="s">
        <v>4</v>
      </c>
      <c r="F41" s="403" t="s">
        <v>725</v>
      </c>
      <c r="G41" s="403" t="s">
        <v>11275</v>
      </c>
      <c r="H41" s="403">
        <v>3.5</v>
      </c>
      <c r="I41" s="403" t="s">
        <v>990</v>
      </c>
      <c r="J41" s="403" t="s">
        <v>3661</v>
      </c>
      <c r="K41" s="403">
        <v>5</v>
      </c>
      <c r="L41" s="403" t="s">
        <v>451</v>
      </c>
      <c r="M41" s="403" t="s">
        <v>11276</v>
      </c>
      <c r="N41" s="403" t="s">
        <v>452</v>
      </c>
      <c r="O41" s="403" t="s">
        <v>3663</v>
      </c>
      <c r="P41" s="403"/>
      <c r="Q41" s="403" t="s">
        <v>20</v>
      </c>
      <c r="R41" s="403" t="s">
        <v>3664</v>
      </c>
      <c r="S41" s="403" t="str">
        <f>IFERROR(VLOOKUP(B41,'2022-2023 Third Reviews'!$C:$S,9,FALSE),"")</f>
        <v/>
      </c>
      <c r="T41" s="403"/>
      <c r="U41" s="403" t="s">
        <v>24</v>
      </c>
      <c r="V41" s="218"/>
      <c r="W41" s="218"/>
      <c r="X41" s="218"/>
      <c r="Y41" s="224"/>
      <c r="Z41" s="224"/>
      <c r="AA41" s="224"/>
      <c r="AB41" s="224"/>
      <c r="AC41" s="224"/>
    </row>
    <row r="42" spans="1:29" ht="15.75" customHeight="1">
      <c r="A42" s="248">
        <v>44796</v>
      </c>
      <c r="B42" s="219" t="s">
        <v>169</v>
      </c>
      <c r="C42" s="315">
        <v>4.25</v>
      </c>
      <c r="D42" s="219" t="s">
        <v>3669</v>
      </c>
      <c r="E42" s="219" t="s">
        <v>4</v>
      </c>
      <c r="F42" s="219" t="s">
        <v>725</v>
      </c>
      <c r="G42" s="219" t="s">
        <v>10620</v>
      </c>
      <c r="H42" s="219">
        <v>4.5</v>
      </c>
      <c r="I42" s="219" t="s">
        <v>604</v>
      </c>
      <c r="J42" s="219" t="s">
        <v>10621</v>
      </c>
      <c r="K42" s="219">
        <v>4</v>
      </c>
      <c r="L42" s="219" t="s">
        <v>784</v>
      </c>
      <c r="M42" s="331">
        <v>2500000</v>
      </c>
      <c r="N42" s="219" t="s">
        <v>452</v>
      </c>
      <c r="O42" s="219" t="s">
        <v>452</v>
      </c>
      <c r="P42" s="219"/>
      <c r="Q42" s="219" t="s">
        <v>18</v>
      </c>
      <c r="R42" s="219"/>
      <c r="S42" s="219" t="str">
        <f>IFERROR(VLOOKUP(B42,'2022-2023 Third Reviews'!$C:$S,9,FALSE),"")</f>
        <v/>
      </c>
      <c r="T42" s="219" t="s">
        <v>13053</v>
      </c>
      <c r="U42" s="219" t="s">
        <v>24</v>
      </c>
      <c r="V42" s="252"/>
      <c r="W42" s="252"/>
      <c r="X42" s="252"/>
      <c r="Y42" s="219"/>
      <c r="Z42" s="219"/>
      <c r="AA42" s="219"/>
      <c r="AB42" s="219"/>
      <c r="AC42" s="219"/>
    </row>
    <row r="43" spans="1:29" ht="15.75" customHeight="1">
      <c r="A43" s="399">
        <v>44784</v>
      </c>
      <c r="B43" s="277" t="s">
        <v>171</v>
      </c>
      <c r="C43" s="278">
        <v>4.25</v>
      </c>
      <c r="D43" s="277" t="s">
        <v>3676</v>
      </c>
      <c r="E43" s="277" t="s">
        <v>4</v>
      </c>
      <c r="F43" s="277" t="s">
        <v>460</v>
      </c>
      <c r="G43" s="277" t="s">
        <v>3677</v>
      </c>
      <c r="H43" s="277">
        <v>4</v>
      </c>
      <c r="I43" s="277" t="s">
        <v>462</v>
      </c>
      <c r="J43" s="277" t="s">
        <v>3678</v>
      </c>
      <c r="K43" s="277">
        <v>4.5</v>
      </c>
      <c r="L43" s="277" t="s">
        <v>451</v>
      </c>
      <c r="M43" s="277">
        <v>2000000</v>
      </c>
      <c r="N43" s="277" t="s">
        <v>452</v>
      </c>
      <c r="O43" s="277" t="s">
        <v>10285</v>
      </c>
      <c r="P43" s="277" t="s">
        <v>3680</v>
      </c>
      <c r="Q43" s="277" t="s">
        <v>18</v>
      </c>
      <c r="R43" s="277" t="s">
        <v>11551</v>
      </c>
      <c r="S43" s="277" t="str">
        <f ca="1">IFERROR(VLOOKUP(B43,'2022-2023 Third Reviews'!$C:$S,9,FALSE),"")</f>
        <v>Nick Schmandt
3</v>
      </c>
      <c r="T43" s="277" t="s">
        <v>13066</v>
      </c>
      <c r="U43" s="277" t="s">
        <v>24</v>
      </c>
      <c r="V43" s="234"/>
      <c r="W43" s="234"/>
      <c r="X43" s="234"/>
      <c r="Y43" s="239"/>
      <c r="Z43" s="239"/>
      <c r="AA43" s="239"/>
      <c r="AB43" s="239"/>
      <c r="AC43" s="239"/>
    </row>
    <row r="44" spans="1:29" ht="15.75" customHeight="1">
      <c r="A44" s="257">
        <v>44796</v>
      </c>
      <c r="B44" s="258" t="s">
        <v>174</v>
      </c>
      <c r="C44" s="263">
        <v>4.25</v>
      </c>
      <c r="D44" s="258" t="s">
        <v>3686</v>
      </c>
      <c r="E44" s="258" t="s">
        <v>4</v>
      </c>
      <c r="F44" s="258" t="s">
        <v>1045</v>
      </c>
      <c r="G44" s="258" t="s">
        <v>3687</v>
      </c>
      <c r="H44" s="258">
        <v>4.5</v>
      </c>
      <c r="I44" s="258" t="s">
        <v>1298</v>
      </c>
      <c r="J44" s="258" t="s">
        <v>3688</v>
      </c>
      <c r="K44" s="258">
        <v>4</v>
      </c>
      <c r="L44" s="258" t="s">
        <v>784</v>
      </c>
      <c r="M44" s="309">
        <v>1000000</v>
      </c>
      <c r="N44" s="258" t="s">
        <v>452</v>
      </c>
      <c r="O44" s="258" t="s">
        <v>3689</v>
      </c>
      <c r="P44" s="258"/>
      <c r="Q44" s="258" t="s">
        <v>18</v>
      </c>
      <c r="R44" s="258" t="s">
        <v>3690</v>
      </c>
      <c r="S44" s="258" t="str">
        <f ca="1">IFERROR(VLOOKUP(B44,'2022-2023 Third Reviews'!$C:$S,9,FALSE),"")</f>
        <v>John McDonald
2</v>
      </c>
      <c r="T44" s="258" t="s">
        <v>13066</v>
      </c>
      <c r="U44" s="258" t="s">
        <v>24</v>
      </c>
      <c r="V44" s="268"/>
      <c r="W44" s="268"/>
      <c r="X44" s="268"/>
      <c r="Y44" s="268"/>
      <c r="Z44" s="268"/>
      <c r="AA44" s="219"/>
      <c r="AB44" s="219"/>
      <c r="AC44" s="219"/>
    </row>
    <row r="45" spans="1:29" ht="15.75" customHeight="1">
      <c r="A45" s="253">
        <v>44797</v>
      </c>
      <c r="B45" s="224" t="s">
        <v>175</v>
      </c>
      <c r="C45" s="316">
        <v>4.25</v>
      </c>
      <c r="D45" s="224" t="s">
        <v>10557</v>
      </c>
      <c r="E45" s="224" t="s">
        <v>4</v>
      </c>
      <c r="F45" s="224" t="s">
        <v>727</v>
      </c>
      <c r="G45" s="224" t="s">
        <v>10558</v>
      </c>
      <c r="H45" s="224">
        <v>4.5</v>
      </c>
      <c r="I45" s="224" t="s">
        <v>449</v>
      </c>
      <c r="J45" s="224" t="s">
        <v>10559</v>
      </c>
      <c r="K45" s="224">
        <v>4</v>
      </c>
      <c r="L45" s="224" t="s">
        <v>923</v>
      </c>
      <c r="M45" s="330">
        <v>3000000</v>
      </c>
      <c r="N45" s="224" t="s">
        <v>452</v>
      </c>
      <c r="O45" s="224" t="s">
        <v>452</v>
      </c>
      <c r="P45" s="224"/>
      <c r="Q45" s="224" t="s">
        <v>18</v>
      </c>
      <c r="R45" s="224"/>
      <c r="S45" s="224" t="str">
        <f>IFERROR(VLOOKUP(B45,'2022-2023 Third Reviews'!$C:$S,9,FALSE),"")</f>
        <v/>
      </c>
      <c r="T45" s="224" t="s">
        <v>13116</v>
      </c>
      <c r="U45" s="224" t="s">
        <v>24</v>
      </c>
      <c r="V45" s="252"/>
      <c r="W45" s="252"/>
      <c r="X45" s="252"/>
      <c r="Y45" s="224"/>
      <c r="Z45" s="224"/>
      <c r="AA45" s="224"/>
      <c r="AB45" s="224"/>
      <c r="AC45" s="224"/>
    </row>
    <row r="46" spans="1:29" ht="15.75" customHeight="1">
      <c r="A46" s="248">
        <v>44791</v>
      </c>
      <c r="B46" s="219" t="s">
        <v>197</v>
      </c>
      <c r="C46" s="315">
        <v>4.13</v>
      </c>
      <c r="D46" s="219" t="s">
        <v>1245</v>
      </c>
      <c r="E46" s="219" t="s">
        <v>4</v>
      </c>
      <c r="F46" s="219" t="s">
        <v>602</v>
      </c>
      <c r="G46" s="219" t="s">
        <v>1246</v>
      </c>
      <c r="H46" s="219">
        <v>4.25</v>
      </c>
      <c r="I46" s="219" t="s">
        <v>1045</v>
      </c>
      <c r="J46" s="219" t="s">
        <v>1247</v>
      </c>
      <c r="K46" s="219">
        <v>4</v>
      </c>
      <c r="L46" s="219" t="s">
        <v>478</v>
      </c>
      <c r="M46" s="310">
        <v>3500000</v>
      </c>
      <c r="N46" s="219" t="s">
        <v>452</v>
      </c>
      <c r="O46" s="219" t="s">
        <v>452</v>
      </c>
      <c r="P46" s="219" t="s">
        <v>460</v>
      </c>
      <c r="Q46" s="219" t="s">
        <v>18</v>
      </c>
      <c r="R46" s="219"/>
      <c r="S46" s="219" t="str">
        <f ca="1">IFERROR(VLOOKUP(B46,'2022-2023 Third Reviews'!$C:$S,9,FALSE),"")</f>
        <v>John McDonald
4</v>
      </c>
      <c r="T46" s="219" t="s">
        <v>13066</v>
      </c>
      <c r="U46" s="219" t="s">
        <v>18</v>
      </c>
      <c r="V46" s="268"/>
      <c r="W46" s="268"/>
      <c r="X46" s="268"/>
      <c r="Y46" s="268"/>
      <c r="Z46" s="268"/>
      <c r="AA46" s="219"/>
      <c r="AB46" s="219"/>
      <c r="AC46" s="219"/>
    </row>
    <row r="47" spans="1:29" ht="15.75" customHeight="1">
      <c r="A47" s="253">
        <v>44782</v>
      </c>
      <c r="B47" s="224" t="s">
        <v>151</v>
      </c>
      <c r="C47" s="249">
        <v>4</v>
      </c>
      <c r="D47" s="224" t="s">
        <v>1015</v>
      </c>
      <c r="E47" s="250" t="s">
        <v>4</v>
      </c>
      <c r="F47" s="224" t="s">
        <v>727</v>
      </c>
      <c r="G47" s="224" t="s">
        <v>1016</v>
      </c>
      <c r="H47" s="224">
        <v>4</v>
      </c>
      <c r="I47" s="224" t="s">
        <v>476</v>
      </c>
      <c r="J47" s="224" t="s">
        <v>13400</v>
      </c>
      <c r="K47" s="224">
        <v>4</v>
      </c>
      <c r="L47" s="224" t="s">
        <v>451</v>
      </c>
      <c r="M47" s="224">
        <v>14000000</v>
      </c>
      <c r="N47" s="224" t="s">
        <v>452</v>
      </c>
      <c r="O47" s="224" t="s">
        <v>10194</v>
      </c>
      <c r="P47" s="224"/>
      <c r="Q47" s="221" t="s">
        <v>18</v>
      </c>
      <c r="R47" s="224" t="s">
        <v>1019</v>
      </c>
      <c r="S47" s="224" t="str">
        <f ca="1">IFERROR(VLOOKUP(B47,'2022-2023 Third Reviews'!$C:$S,9,FALSE),"")</f>
        <v>Nick Schmandt
5</v>
      </c>
      <c r="T47" s="224" t="s">
        <v>13051</v>
      </c>
      <c r="U47" s="224" t="s">
        <v>18</v>
      </c>
      <c r="V47" s="277"/>
      <c r="W47" s="277"/>
      <c r="X47" s="277"/>
      <c r="Y47" s="277"/>
      <c r="Z47" s="277"/>
      <c r="AA47" s="239"/>
      <c r="AB47" s="239"/>
      <c r="AC47" s="239"/>
    </row>
    <row r="48" spans="1:29" ht="15.75" customHeight="1">
      <c r="A48" s="248">
        <v>44789</v>
      </c>
      <c r="B48" s="219" t="s">
        <v>154</v>
      </c>
      <c r="C48" s="249">
        <v>4</v>
      </c>
      <c r="D48" s="219" t="s">
        <v>1043</v>
      </c>
      <c r="E48" s="250" t="s">
        <v>4</v>
      </c>
      <c r="F48" s="219" t="s">
        <v>727</v>
      </c>
      <c r="G48" s="219" t="s">
        <v>10248</v>
      </c>
      <c r="H48" s="219">
        <v>4</v>
      </c>
      <c r="I48" s="219" t="s">
        <v>1045</v>
      </c>
      <c r="J48" s="219" t="s">
        <v>1046</v>
      </c>
      <c r="K48" s="219">
        <v>4</v>
      </c>
      <c r="L48" s="219"/>
      <c r="M48" s="219"/>
      <c r="N48" s="219" t="s">
        <v>454</v>
      </c>
      <c r="O48" s="219" t="s">
        <v>1047</v>
      </c>
      <c r="P48" s="219" t="s">
        <v>725</v>
      </c>
      <c r="Q48" s="219" t="s">
        <v>18</v>
      </c>
      <c r="R48" s="219"/>
      <c r="S48" s="219" t="str">
        <f ca="1">IFERROR(VLOOKUP(B48,'2022-2023 Third Reviews'!$C:$S,9,FALSE),"")</f>
        <v>Nick Schmandt
3</v>
      </c>
      <c r="T48" s="219" t="s">
        <v>13051</v>
      </c>
      <c r="U48" s="219" t="s">
        <v>18</v>
      </c>
      <c r="V48" s="239"/>
      <c r="W48" s="239"/>
      <c r="X48" s="239"/>
      <c r="Y48" s="239"/>
      <c r="Z48" s="239"/>
      <c r="AA48" s="239"/>
      <c r="AB48" s="239"/>
      <c r="AC48" s="239"/>
    </row>
    <row r="49" spans="1:29" ht="15.75" customHeight="1">
      <c r="A49" s="253">
        <v>44789</v>
      </c>
      <c r="B49" s="224" t="s">
        <v>157</v>
      </c>
      <c r="C49" s="249">
        <v>4</v>
      </c>
      <c r="D49" s="224" t="s">
        <v>1060</v>
      </c>
      <c r="E49" s="250" t="s">
        <v>4</v>
      </c>
      <c r="F49" s="224" t="s">
        <v>602</v>
      </c>
      <c r="G49" s="224" t="s">
        <v>1061</v>
      </c>
      <c r="H49" s="224">
        <v>4</v>
      </c>
      <c r="I49" s="224" t="s">
        <v>1054</v>
      </c>
      <c r="J49" s="224" t="s">
        <v>10906</v>
      </c>
      <c r="K49" s="224">
        <v>4</v>
      </c>
      <c r="L49" s="224" t="s">
        <v>1063</v>
      </c>
      <c r="M49" s="224" t="s">
        <v>1064</v>
      </c>
      <c r="N49" s="224" t="s">
        <v>452</v>
      </c>
      <c r="O49" s="224" t="s">
        <v>10907</v>
      </c>
      <c r="P49" s="224" t="s">
        <v>1066</v>
      </c>
      <c r="Q49" s="224" t="s">
        <v>18</v>
      </c>
      <c r="R49" s="224"/>
      <c r="S49" s="224" t="str">
        <f>IFERROR(VLOOKUP(B49,'2022-2023 Third Reviews'!$C:$S,9,FALSE),"")</f>
        <v/>
      </c>
      <c r="T49" s="224" t="s">
        <v>13054</v>
      </c>
      <c r="U49" s="224" t="s">
        <v>18</v>
      </c>
      <c r="V49" s="272"/>
      <c r="W49" s="272"/>
      <c r="X49" s="272"/>
      <c r="Y49" s="272"/>
      <c r="Z49" s="272"/>
      <c r="AA49" s="224"/>
      <c r="AB49" s="224"/>
      <c r="AC49" s="224"/>
    </row>
    <row r="50" spans="1:29" ht="15.75" customHeight="1">
      <c r="A50" s="248">
        <v>44791</v>
      </c>
      <c r="B50" s="219" t="s">
        <v>176</v>
      </c>
      <c r="C50" s="315">
        <v>4</v>
      </c>
      <c r="D50" s="219" t="s">
        <v>1135</v>
      </c>
      <c r="E50" s="219" t="s">
        <v>4</v>
      </c>
      <c r="F50" s="219" t="s">
        <v>602</v>
      </c>
      <c r="G50" s="219" t="s">
        <v>1136</v>
      </c>
      <c r="H50" s="219">
        <v>4</v>
      </c>
      <c r="I50" s="219" t="s">
        <v>604</v>
      </c>
      <c r="J50" s="219" t="s">
        <v>11040</v>
      </c>
      <c r="K50" s="219">
        <v>4</v>
      </c>
      <c r="L50" s="219" t="s">
        <v>451</v>
      </c>
      <c r="M50" s="310">
        <v>1500000</v>
      </c>
      <c r="N50" s="219" t="s">
        <v>452</v>
      </c>
      <c r="O50" s="219" t="s">
        <v>11041</v>
      </c>
      <c r="P50" s="219"/>
      <c r="Q50" s="219" t="s">
        <v>18</v>
      </c>
      <c r="R50" s="219"/>
      <c r="S50" s="219" t="str">
        <f ca="1">IFERROR(VLOOKUP(B50,'2022-2023 Third Reviews'!$C:$S,9,FALSE),"")</f>
        <v>John McDonald
3</v>
      </c>
      <c r="T50" s="219" t="s">
        <v>13057</v>
      </c>
      <c r="U50" s="219" t="s">
        <v>18</v>
      </c>
      <c r="V50" s="268"/>
      <c r="W50" s="268"/>
      <c r="X50" s="268"/>
      <c r="Y50" s="268"/>
      <c r="Z50" s="268"/>
      <c r="AA50" s="219"/>
      <c r="AB50" s="219"/>
      <c r="AC50" s="219"/>
    </row>
    <row r="51" spans="1:29" ht="15.75" customHeight="1">
      <c r="A51" s="399">
        <v>44784</v>
      </c>
      <c r="B51" s="277" t="s">
        <v>181</v>
      </c>
      <c r="C51" s="278">
        <v>4</v>
      </c>
      <c r="D51" s="277" t="s">
        <v>1150</v>
      </c>
      <c r="E51" s="277" t="s">
        <v>4</v>
      </c>
      <c r="F51" s="277" t="s">
        <v>447</v>
      </c>
      <c r="G51" s="277" t="s">
        <v>10459</v>
      </c>
      <c r="H51" s="277">
        <v>4</v>
      </c>
      <c r="I51" s="277" t="s">
        <v>543</v>
      </c>
      <c r="J51" s="277" t="s">
        <v>11553</v>
      </c>
      <c r="K51" s="277">
        <v>4</v>
      </c>
      <c r="L51" s="277" t="s">
        <v>478</v>
      </c>
      <c r="M51" s="287">
        <v>10000000</v>
      </c>
      <c r="N51" s="277" t="s">
        <v>452</v>
      </c>
      <c r="O51" s="287" t="s">
        <v>1153</v>
      </c>
      <c r="P51" s="277"/>
      <c r="Q51" s="277" t="s">
        <v>18</v>
      </c>
      <c r="R51" s="277" t="s">
        <v>1154</v>
      </c>
      <c r="S51" s="277" t="str">
        <f ca="1">IFERROR(VLOOKUP(B51,'2022-2023 Third Reviews'!$C:$S,9,FALSE),"")</f>
        <v>Nick Schmandt
4</v>
      </c>
      <c r="T51" s="277" t="s">
        <v>13059</v>
      </c>
      <c r="U51" s="277" t="s">
        <v>18</v>
      </c>
      <c r="V51" s="218"/>
      <c r="W51" s="218"/>
      <c r="X51" s="218"/>
      <c r="Y51" s="224"/>
      <c r="Z51" s="224"/>
      <c r="AA51" s="224"/>
      <c r="AB51" s="224"/>
      <c r="AC51" s="224"/>
    </row>
    <row r="52" spans="1:29" ht="15.75" customHeight="1">
      <c r="A52" s="248">
        <v>44789</v>
      </c>
      <c r="B52" s="219" t="s">
        <v>183</v>
      </c>
      <c r="C52" s="249">
        <v>4</v>
      </c>
      <c r="D52" s="219" t="s">
        <v>1159</v>
      </c>
      <c r="E52" s="250" t="s">
        <v>4</v>
      </c>
      <c r="F52" s="219" t="s">
        <v>727</v>
      </c>
      <c r="G52" s="219" t="s">
        <v>11464</v>
      </c>
      <c r="H52" s="219">
        <v>4</v>
      </c>
      <c r="I52" s="219" t="s">
        <v>1045</v>
      </c>
      <c r="J52" s="219" t="s">
        <v>1161</v>
      </c>
      <c r="K52" s="219">
        <v>4</v>
      </c>
      <c r="L52" s="219"/>
      <c r="M52" s="219"/>
      <c r="N52" s="219"/>
      <c r="O52" s="219" t="s">
        <v>1162</v>
      </c>
      <c r="P52" s="219"/>
      <c r="Q52" s="219" t="s">
        <v>18</v>
      </c>
      <c r="R52" s="219"/>
      <c r="S52" s="219" t="str">
        <f>IFERROR(VLOOKUP(B52,'2022-2023 Third Reviews'!$C:$S,9,FALSE),"")</f>
        <v/>
      </c>
      <c r="T52" s="219" t="s">
        <v>13060</v>
      </c>
      <c r="U52" s="219" t="s">
        <v>18</v>
      </c>
      <c r="V52" s="252"/>
      <c r="W52" s="252"/>
      <c r="X52" s="252"/>
      <c r="Y52" s="219"/>
      <c r="Z52" s="219"/>
      <c r="AA52" s="219"/>
      <c r="AB52" s="219"/>
      <c r="AC52" s="219"/>
    </row>
    <row r="53" spans="1:29" ht="15.75" customHeight="1">
      <c r="A53" s="253">
        <v>44797</v>
      </c>
      <c r="B53" s="224" t="s">
        <v>191</v>
      </c>
      <c r="C53" s="316">
        <v>4</v>
      </c>
      <c r="D53" s="224" t="s">
        <v>1194</v>
      </c>
      <c r="E53" s="224" t="s">
        <v>4</v>
      </c>
      <c r="F53" s="224" t="s">
        <v>602</v>
      </c>
      <c r="G53" s="224" t="s">
        <v>1195</v>
      </c>
      <c r="H53" s="224">
        <v>4</v>
      </c>
      <c r="I53" s="224" t="s">
        <v>1187</v>
      </c>
      <c r="J53" s="224" t="s">
        <v>1196</v>
      </c>
      <c r="K53" s="224">
        <v>4</v>
      </c>
      <c r="L53" s="224" t="s">
        <v>451</v>
      </c>
      <c r="M53" s="224">
        <v>3000000</v>
      </c>
      <c r="N53" s="224" t="s">
        <v>465</v>
      </c>
      <c r="O53" s="224" t="s">
        <v>1197</v>
      </c>
      <c r="P53" s="224"/>
      <c r="Q53" s="224" t="s">
        <v>18</v>
      </c>
      <c r="R53" s="224"/>
      <c r="S53" s="224" t="str">
        <f>IFERROR(VLOOKUP(B53,'2022-2023 Third Reviews'!$C:$S,9,FALSE),"")</f>
        <v/>
      </c>
      <c r="T53" s="224" t="s">
        <v>13063</v>
      </c>
      <c r="U53" s="224" t="s">
        <v>18</v>
      </c>
      <c r="V53" s="218"/>
      <c r="W53" s="218"/>
      <c r="X53" s="218"/>
      <c r="Y53" s="224"/>
      <c r="Z53" s="224"/>
      <c r="AA53" s="224"/>
      <c r="AB53" s="224"/>
      <c r="AC53" s="224"/>
    </row>
    <row r="54" spans="1:29" ht="15.75" customHeight="1">
      <c r="A54" s="248">
        <v>44791</v>
      </c>
      <c r="B54" s="219" t="s">
        <v>212</v>
      </c>
      <c r="C54" s="315">
        <v>4</v>
      </c>
      <c r="D54" s="219" t="s">
        <v>1288</v>
      </c>
      <c r="E54" s="219" t="s">
        <v>4</v>
      </c>
      <c r="F54" s="219" t="s">
        <v>725</v>
      </c>
      <c r="G54" s="219" t="s">
        <v>1289</v>
      </c>
      <c r="H54" s="219">
        <v>4</v>
      </c>
      <c r="I54" s="219" t="s">
        <v>1045</v>
      </c>
      <c r="J54" s="219" t="s">
        <v>1290</v>
      </c>
      <c r="K54" s="219">
        <v>4</v>
      </c>
      <c r="L54" s="219" t="s">
        <v>923</v>
      </c>
      <c r="M54" s="219" t="s">
        <v>1291</v>
      </c>
      <c r="N54" s="219" t="s">
        <v>452</v>
      </c>
      <c r="O54" s="219" t="s">
        <v>1292</v>
      </c>
      <c r="P54" s="219"/>
      <c r="Q54" s="219" t="s">
        <v>18</v>
      </c>
      <c r="R54" s="219"/>
      <c r="S54" s="219" t="str">
        <f>IFERROR(VLOOKUP(B54,'2022-2023 Third Reviews'!$C:$S,9,FALSE),"")</f>
        <v/>
      </c>
      <c r="T54" s="219" t="s">
        <v>13073</v>
      </c>
      <c r="U54" s="219" t="s">
        <v>18</v>
      </c>
      <c r="V54" s="268"/>
      <c r="W54" s="268"/>
      <c r="X54" s="268"/>
      <c r="Y54" s="268"/>
      <c r="Z54" s="268"/>
      <c r="AA54" s="219"/>
      <c r="AB54" s="219"/>
      <c r="AC54" s="219"/>
    </row>
    <row r="55" spans="1:29" ht="15.75" customHeight="1">
      <c r="A55" s="253">
        <v>44796</v>
      </c>
      <c r="B55" s="224" t="s">
        <v>218</v>
      </c>
      <c r="C55" s="316">
        <v>4</v>
      </c>
      <c r="D55" s="224" t="s">
        <v>1303</v>
      </c>
      <c r="E55" s="224" t="s">
        <v>4</v>
      </c>
      <c r="F55" s="224" t="s">
        <v>725</v>
      </c>
      <c r="G55" s="224" t="s">
        <v>13075</v>
      </c>
      <c r="H55" s="224">
        <v>4.5</v>
      </c>
      <c r="I55" s="224" t="s">
        <v>1045</v>
      </c>
      <c r="J55" s="224" t="s">
        <v>1305</v>
      </c>
      <c r="K55" s="224">
        <v>3.5</v>
      </c>
      <c r="L55" s="224" t="s">
        <v>451</v>
      </c>
      <c r="M55" s="224" t="s">
        <v>1306</v>
      </c>
      <c r="N55" s="224" t="s">
        <v>452</v>
      </c>
      <c r="O55" s="224" t="s">
        <v>1307</v>
      </c>
      <c r="P55" s="224" t="s">
        <v>1308</v>
      </c>
      <c r="Q55" s="224" t="s">
        <v>18</v>
      </c>
      <c r="R55" s="224"/>
      <c r="S55" s="224" t="str">
        <f>IFERROR(VLOOKUP(B55,'2022-2023 Third Reviews'!$C:$S,9,FALSE),"")</f>
        <v/>
      </c>
      <c r="T55" s="224" t="s">
        <v>13076</v>
      </c>
      <c r="U55" s="224" t="s">
        <v>18</v>
      </c>
      <c r="V55" s="218"/>
      <c r="W55" s="218"/>
      <c r="X55" s="218"/>
      <c r="Y55" s="224"/>
      <c r="Z55" s="224"/>
      <c r="AA55" s="224"/>
      <c r="AB55" s="224"/>
      <c r="AC55" s="224"/>
    </row>
    <row r="56" spans="1:29" ht="15.75" customHeight="1">
      <c r="A56" s="248">
        <v>44789</v>
      </c>
      <c r="B56" s="219" t="s">
        <v>220</v>
      </c>
      <c r="C56" s="249">
        <v>4</v>
      </c>
      <c r="D56" s="219" t="s">
        <v>11445</v>
      </c>
      <c r="E56" s="250" t="s">
        <v>4</v>
      </c>
      <c r="F56" s="219" t="s">
        <v>727</v>
      </c>
      <c r="G56" s="219" t="s">
        <v>11446</v>
      </c>
      <c r="H56" s="219">
        <v>4</v>
      </c>
      <c r="I56" s="219" t="s">
        <v>1045</v>
      </c>
      <c r="J56" s="219" t="s">
        <v>1322</v>
      </c>
      <c r="K56" s="219">
        <v>4</v>
      </c>
      <c r="L56" s="219" t="s">
        <v>451</v>
      </c>
      <c r="M56" s="312" t="s">
        <v>1323</v>
      </c>
      <c r="N56" s="219" t="s">
        <v>454</v>
      </c>
      <c r="O56" s="219" t="s">
        <v>452</v>
      </c>
      <c r="P56" s="219" t="s">
        <v>1324</v>
      </c>
      <c r="Q56" s="219" t="s">
        <v>18</v>
      </c>
      <c r="R56" s="219"/>
      <c r="S56" s="219" t="str">
        <f ca="1">IFERROR(VLOOKUP(B56,'2022-2023 Third Reviews'!$C:$S,9,FALSE),"")</f>
        <v>Jason Yu
4</v>
      </c>
      <c r="T56" s="219" t="s">
        <v>13078</v>
      </c>
      <c r="U56" s="219" t="s">
        <v>18</v>
      </c>
      <c r="V56" s="252"/>
      <c r="W56" s="252"/>
      <c r="X56" s="252"/>
      <c r="Y56" s="219"/>
      <c r="Z56" s="219"/>
      <c r="AA56" s="219"/>
      <c r="AB56" s="219"/>
      <c r="AC56" s="219"/>
    </row>
    <row r="57" spans="1:29" ht="15.75" customHeight="1">
      <c r="A57" s="257">
        <v>44797</v>
      </c>
      <c r="B57" s="258" t="s">
        <v>240</v>
      </c>
      <c r="C57" s="263">
        <v>4</v>
      </c>
      <c r="D57" s="258" t="s">
        <v>10823</v>
      </c>
      <c r="E57" s="258" t="s">
        <v>4</v>
      </c>
      <c r="F57" s="258" t="s">
        <v>1045</v>
      </c>
      <c r="G57" s="258" t="s">
        <v>1407</v>
      </c>
      <c r="H57" s="258">
        <v>4</v>
      </c>
      <c r="I57" s="258" t="s">
        <v>462</v>
      </c>
      <c r="J57" s="258" t="s">
        <v>1408</v>
      </c>
      <c r="K57" s="258">
        <v>4</v>
      </c>
      <c r="L57" s="258"/>
      <c r="M57" s="258"/>
      <c r="N57" s="258" t="s">
        <v>454</v>
      </c>
      <c r="O57" s="258" t="s">
        <v>1409</v>
      </c>
      <c r="P57" s="258"/>
      <c r="Q57" s="258" t="s">
        <v>18</v>
      </c>
      <c r="R57" s="258" t="s">
        <v>1410</v>
      </c>
      <c r="S57" s="258" t="str">
        <f>IFERROR(VLOOKUP(B57,'2022-2023 Third Reviews'!$C:$S,9,FALSE),"")</f>
        <v/>
      </c>
      <c r="T57" s="258" t="s">
        <v>13084</v>
      </c>
      <c r="U57" s="258" t="s">
        <v>18</v>
      </c>
      <c r="V57" s="252"/>
      <c r="W57" s="252"/>
      <c r="X57" s="252"/>
      <c r="Y57" s="224"/>
      <c r="Z57" s="224"/>
      <c r="AA57" s="224"/>
      <c r="AB57" s="224"/>
      <c r="AC57" s="224"/>
    </row>
    <row r="58" spans="1:29" ht="15.75" customHeight="1">
      <c r="A58" s="255">
        <v>44791</v>
      </c>
      <c r="B58" s="239" t="s">
        <v>245</v>
      </c>
      <c r="C58" s="262">
        <v>4</v>
      </c>
      <c r="D58" s="239" t="s">
        <v>1428</v>
      </c>
      <c r="E58" s="239" t="s">
        <v>4</v>
      </c>
      <c r="F58" s="239" t="s">
        <v>447</v>
      </c>
      <c r="G58" s="319" t="s">
        <v>13235</v>
      </c>
      <c r="H58" s="239">
        <v>4</v>
      </c>
      <c r="I58" s="239" t="s">
        <v>449</v>
      </c>
      <c r="J58" s="239" t="s">
        <v>11655</v>
      </c>
      <c r="K58" s="239">
        <v>4</v>
      </c>
      <c r="L58" s="239"/>
      <c r="M58" s="239"/>
      <c r="N58" s="239" t="s">
        <v>465</v>
      </c>
      <c r="O58" s="239" t="s">
        <v>1431</v>
      </c>
      <c r="P58" s="239"/>
      <c r="Q58" s="239" t="s">
        <v>19</v>
      </c>
      <c r="R58" s="239" t="s">
        <v>11656</v>
      </c>
      <c r="S58" s="239" t="str">
        <f>IFERROR(VLOOKUP(B58,'2022-2023 Third Reviews'!$C:$S,9,FALSE),"")</f>
        <v/>
      </c>
      <c r="T58" s="239" t="s">
        <v>13086</v>
      </c>
      <c r="U58" s="239" t="s">
        <v>18</v>
      </c>
      <c r="V58" s="218"/>
      <c r="W58" s="218"/>
      <c r="X58" s="218"/>
      <c r="Y58" s="219"/>
      <c r="Z58" s="219"/>
      <c r="AA58" s="219"/>
      <c r="AB58" s="219"/>
      <c r="AC58" s="219"/>
    </row>
    <row r="59" spans="1:29" ht="15.75" customHeight="1">
      <c r="A59" s="255">
        <v>44791</v>
      </c>
      <c r="B59" s="239" t="s">
        <v>246</v>
      </c>
      <c r="C59" s="262">
        <v>4</v>
      </c>
      <c r="D59" s="239" t="s">
        <v>1437</v>
      </c>
      <c r="E59" s="239" t="s">
        <v>4</v>
      </c>
      <c r="F59" s="239" t="s">
        <v>460</v>
      </c>
      <c r="G59" s="239" t="s">
        <v>1438</v>
      </c>
      <c r="H59" s="239">
        <v>4</v>
      </c>
      <c r="I59" s="239" t="s">
        <v>462</v>
      </c>
      <c r="J59" s="239" t="s">
        <v>1439</v>
      </c>
      <c r="K59" s="239">
        <v>4</v>
      </c>
      <c r="L59" s="239" t="s">
        <v>451</v>
      </c>
      <c r="M59" s="239">
        <v>2000000</v>
      </c>
      <c r="N59" s="239" t="s">
        <v>452</v>
      </c>
      <c r="O59" s="239" t="s">
        <v>1440</v>
      </c>
      <c r="P59" s="239"/>
      <c r="Q59" s="239" t="s">
        <v>18</v>
      </c>
      <c r="R59" s="239" t="s">
        <v>11659</v>
      </c>
      <c r="S59" s="239" t="str">
        <f ca="1">IFERROR(VLOOKUP(B59,'2022-2023 Third Reviews'!$C:$S,9,FALSE),"")</f>
        <v>Joshua Rubnitz
4</v>
      </c>
      <c r="T59" s="239" t="s">
        <v>13087</v>
      </c>
      <c r="U59" s="239" t="s">
        <v>18</v>
      </c>
      <c r="V59" s="272"/>
      <c r="W59" s="272"/>
      <c r="X59" s="272"/>
      <c r="Y59" s="272"/>
      <c r="Z59" s="272"/>
      <c r="AA59" s="224"/>
      <c r="AB59" s="224"/>
      <c r="AC59" s="224"/>
    </row>
    <row r="60" spans="1:29" ht="15.75" customHeight="1">
      <c r="A60" s="248">
        <v>44797</v>
      </c>
      <c r="B60" s="219" t="s">
        <v>251</v>
      </c>
      <c r="C60" s="315">
        <v>4</v>
      </c>
      <c r="D60" s="219" t="s">
        <v>1455</v>
      </c>
      <c r="E60" s="219" t="s">
        <v>4</v>
      </c>
      <c r="F60" s="219" t="s">
        <v>727</v>
      </c>
      <c r="G60" s="219" t="s">
        <v>11380</v>
      </c>
      <c r="H60" s="219">
        <v>4</v>
      </c>
      <c r="I60" s="219" t="s">
        <v>1457</v>
      </c>
      <c r="J60" s="219" t="s">
        <v>1458</v>
      </c>
      <c r="K60" s="219">
        <v>4</v>
      </c>
      <c r="L60" s="219" t="s">
        <v>784</v>
      </c>
      <c r="M60" s="219">
        <v>750000</v>
      </c>
      <c r="N60" s="219" t="s">
        <v>452</v>
      </c>
      <c r="O60" s="219" t="s">
        <v>11381</v>
      </c>
      <c r="P60" s="219"/>
      <c r="Q60" s="219" t="s">
        <v>18</v>
      </c>
      <c r="R60" s="219"/>
      <c r="S60" s="219" t="str">
        <f>IFERROR(VLOOKUP(B60,'2022-2023 Third Reviews'!$C:$S,9,FALSE),"")</f>
        <v/>
      </c>
      <c r="T60" s="219" t="s">
        <v>13089</v>
      </c>
      <c r="U60" s="219" t="s">
        <v>18</v>
      </c>
      <c r="V60" s="252"/>
      <c r="W60" s="252"/>
      <c r="X60" s="252"/>
      <c r="Y60" s="219"/>
      <c r="Z60" s="219"/>
      <c r="AA60" s="219"/>
      <c r="AB60" s="219"/>
      <c r="AC60" s="219"/>
    </row>
    <row r="61" spans="1:29" ht="15.75" customHeight="1">
      <c r="A61" s="253">
        <v>44796</v>
      </c>
      <c r="B61" s="224" t="s">
        <v>252</v>
      </c>
      <c r="C61" s="316">
        <v>4</v>
      </c>
      <c r="D61" s="224" t="s">
        <v>1464</v>
      </c>
      <c r="E61" s="224" t="s">
        <v>4</v>
      </c>
      <c r="F61" s="224" t="s">
        <v>1045</v>
      </c>
      <c r="G61" s="224" t="s">
        <v>1465</v>
      </c>
      <c r="H61" s="224">
        <v>4</v>
      </c>
      <c r="I61" s="224" t="s">
        <v>1457</v>
      </c>
      <c r="J61" s="224" t="s">
        <v>1466</v>
      </c>
      <c r="K61" s="224">
        <v>4</v>
      </c>
      <c r="L61" s="224"/>
      <c r="M61" s="224"/>
      <c r="N61" s="224" t="s">
        <v>454</v>
      </c>
      <c r="O61" s="224" t="s">
        <v>1119</v>
      </c>
      <c r="P61" s="224"/>
      <c r="Q61" s="224" t="s">
        <v>18</v>
      </c>
      <c r="R61" s="224"/>
      <c r="S61" s="224" t="str">
        <f ca="1">IFERROR(VLOOKUP(B61,'2022-2023 Third Reviews'!$C:$S,9,FALSE),"")</f>
        <v>Joshua Rubnitz
4</v>
      </c>
      <c r="T61" s="224" t="s">
        <v>13090</v>
      </c>
      <c r="U61" s="224" t="s">
        <v>18</v>
      </c>
      <c r="V61" s="239"/>
      <c r="W61" s="239"/>
      <c r="X61" s="239"/>
      <c r="Y61" s="239"/>
      <c r="Z61" s="239"/>
      <c r="AA61" s="239"/>
      <c r="AB61" s="239"/>
      <c r="AC61" s="239"/>
    </row>
    <row r="62" spans="1:29" ht="15.75" customHeight="1">
      <c r="A62" s="227">
        <v>44776</v>
      </c>
      <c r="B62" s="228" t="s">
        <v>262</v>
      </c>
      <c r="C62" s="214">
        <v>4</v>
      </c>
      <c r="D62" s="228" t="s">
        <v>1525</v>
      </c>
      <c r="E62" s="215" t="s">
        <v>4</v>
      </c>
      <c r="F62" s="228" t="s">
        <v>727</v>
      </c>
      <c r="G62" s="228" t="s">
        <v>1526</v>
      </c>
      <c r="H62" s="228">
        <v>4</v>
      </c>
      <c r="I62" s="228" t="s">
        <v>1054</v>
      </c>
      <c r="J62" s="228" t="s">
        <v>1527</v>
      </c>
      <c r="K62" s="228">
        <v>4</v>
      </c>
      <c r="L62" s="228"/>
      <c r="M62" s="228"/>
      <c r="N62" s="228" t="s">
        <v>452</v>
      </c>
      <c r="O62" s="228" t="s">
        <v>452</v>
      </c>
      <c r="P62" s="230"/>
      <c r="Q62" s="228" t="str">
        <f t="array" ref="Q62">INDEX(Notes!B:B,MATCH($B62,Notes!$A:$A,0))</f>
        <v>Invite</v>
      </c>
      <c r="R62" s="228" t="s">
        <v>1528</v>
      </c>
      <c r="S62" s="228" t="str">
        <f ca="1">IFERROR(VLOOKUP(B62,'2022-2023 Third Reviews'!$C:$S,9,FALSE),"")</f>
        <v>Chris Millisits
1</v>
      </c>
      <c r="T62" s="228" t="s">
        <v>13093</v>
      </c>
      <c r="U62" s="228" t="s">
        <v>18</v>
      </c>
      <c r="V62" s="268"/>
      <c r="W62" s="268"/>
      <c r="X62" s="268"/>
      <c r="Y62" s="268"/>
      <c r="Z62" s="268"/>
      <c r="AA62" s="219"/>
      <c r="AB62" s="219"/>
      <c r="AC62" s="219"/>
    </row>
    <row r="63" spans="1:29" ht="15.75" customHeight="1">
      <c r="A63" s="253">
        <v>44797</v>
      </c>
      <c r="B63" s="224" t="s">
        <v>270</v>
      </c>
      <c r="C63" s="316">
        <v>4</v>
      </c>
      <c r="D63" s="224" t="s">
        <v>11150</v>
      </c>
      <c r="E63" s="224" t="s">
        <v>4</v>
      </c>
      <c r="F63" s="224" t="s">
        <v>1045</v>
      </c>
      <c r="G63" s="224" t="s">
        <v>1568</v>
      </c>
      <c r="H63" s="224">
        <v>4</v>
      </c>
      <c r="I63" s="224" t="s">
        <v>543</v>
      </c>
      <c r="J63" s="224" t="e">
        <f>+ technology that enables any Wi-Fi Chip to be an asset tag
 &gt; can be game-changing in the field provide it attracts more customers quickly as their many companies trying to do the same thing example Apple tag or Samsung tag
 &gt; Interested to see how can it be scaled to larger market size</f>
        <v>#NAME?</v>
      </c>
      <c r="K63" s="224">
        <v>4</v>
      </c>
      <c r="L63" s="224" t="s">
        <v>923</v>
      </c>
      <c r="M63" s="224">
        <v>5000000</v>
      </c>
      <c r="N63" s="224" t="s">
        <v>452</v>
      </c>
      <c r="O63" s="224" t="s">
        <v>1570</v>
      </c>
      <c r="P63" s="224"/>
      <c r="Q63" s="224" t="s">
        <v>18</v>
      </c>
      <c r="R63" s="224"/>
      <c r="S63" s="224" t="str">
        <f>IFERROR(VLOOKUP(B63,'2022-2023 Third Reviews'!$C:$S,9,FALSE),"")</f>
        <v/>
      </c>
      <c r="T63" s="224" t="s">
        <v>13095</v>
      </c>
      <c r="U63" s="224" t="s">
        <v>18</v>
      </c>
      <c r="V63" s="272"/>
      <c r="W63" s="272"/>
      <c r="X63" s="272"/>
      <c r="Y63" s="272"/>
      <c r="Z63" s="272"/>
      <c r="AA63" s="224"/>
      <c r="AB63" s="224"/>
      <c r="AC63" s="224"/>
    </row>
    <row r="64" spans="1:29" ht="15.75" customHeight="1">
      <c r="A64" s="248">
        <v>44797</v>
      </c>
      <c r="B64" s="219" t="s">
        <v>272</v>
      </c>
      <c r="C64" s="315">
        <v>4</v>
      </c>
      <c r="D64" s="219" t="s">
        <v>10791</v>
      </c>
      <c r="E64" s="219" t="s">
        <v>4</v>
      </c>
      <c r="F64" s="219" t="s">
        <v>727</v>
      </c>
      <c r="G64" s="219" t="s">
        <v>10792</v>
      </c>
      <c r="H64" s="219">
        <v>4</v>
      </c>
      <c r="I64" s="219" t="s">
        <v>447</v>
      </c>
      <c r="J64" s="219" t="s">
        <v>10793</v>
      </c>
      <c r="K64" s="219">
        <v>4</v>
      </c>
      <c r="L64" s="219" t="s">
        <v>1578</v>
      </c>
      <c r="M64" s="219" t="s">
        <v>1579</v>
      </c>
      <c r="N64" s="219" t="s">
        <v>452</v>
      </c>
      <c r="O64" s="219" t="s">
        <v>1580</v>
      </c>
      <c r="P64" s="219"/>
      <c r="Q64" s="219" t="s">
        <v>18</v>
      </c>
      <c r="R64" s="219"/>
      <c r="S64" s="219" t="str">
        <f>IFERROR(VLOOKUP(B64,'2022-2023 Third Reviews'!$C:$S,9,FALSE),"")</f>
        <v/>
      </c>
      <c r="T64" s="219" t="s">
        <v>13065</v>
      </c>
      <c r="U64" s="219" t="s">
        <v>18</v>
      </c>
      <c r="V64" s="218"/>
      <c r="W64" s="218"/>
      <c r="X64" s="218"/>
      <c r="Y64" s="219"/>
      <c r="Z64" s="219"/>
      <c r="AA64" s="219"/>
      <c r="AB64" s="219"/>
      <c r="AC64" s="219"/>
    </row>
    <row r="65" spans="1:29" ht="15.75" customHeight="1">
      <c r="A65" s="253">
        <v>44796</v>
      </c>
      <c r="B65" s="224" t="s">
        <v>177</v>
      </c>
      <c r="C65" s="316">
        <v>4</v>
      </c>
      <c r="D65" s="224" t="s">
        <v>3701</v>
      </c>
      <c r="E65" s="224" t="s">
        <v>4</v>
      </c>
      <c r="F65" s="224" t="s">
        <v>727</v>
      </c>
      <c r="G65" s="224" t="s">
        <v>10488</v>
      </c>
      <c r="H65" s="224">
        <v>4</v>
      </c>
      <c r="I65" s="224" t="s">
        <v>990</v>
      </c>
      <c r="J65" s="224" t="s">
        <v>3703</v>
      </c>
      <c r="K65" s="224">
        <v>4</v>
      </c>
      <c r="L65" s="224" t="s">
        <v>451</v>
      </c>
      <c r="M65" s="224" t="s">
        <v>3704</v>
      </c>
      <c r="N65" s="224" t="s">
        <v>452</v>
      </c>
      <c r="O65" s="224" t="s">
        <v>3705</v>
      </c>
      <c r="P65" s="224"/>
      <c r="Q65" s="224" t="s">
        <v>18</v>
      </c>
      <c r="R65" s="224"/>
      <c r="S65" s="224" t="str">
        <f>IFERROR(VLOOKUP(B65,'2022-2023 Third Reviews'!$C:$S,9,FALSE),"")</f>
        <v/>
      </c>
      <c r="T65" s="224" t="s">
        <v>13087</v>
      </c>
      <c r="U65" s="224" t="s">
        <v>24</v>
      </c>
      <c r="V65" s="228"/>
      <c r="W65" s="228"/>
      <c r="X65" s="228"/>
      <c r="Y65" s="224"/>
      <c r="Z65" s="224"/>
      <c r="AA65" s="224"/>
      <c r="AB65" s="224"/>
      <c r="AC65" s="224"/>
    </row>
    <row r="66" spans="1:29" ht="15.75" customHeight="1">
      <c r="A66" s="248">
        <v>44789</v>
      </c>
      <c r="B66" s="219" t="s">
        <v>178</v>
      </c>
      <c r="C66" s="249">
        <v>4</v>
      </c>
      <c r="D66" s="219" t="s">
        <v>3710</v>
      </c>
      <c r="E66" s="250" t="s">
        <v>4</v>
      </c>
      <c r="F66" s="219" t="s">
        <v>727</v>
      </c>
      <c r="G66" s="219" t="s">
        <v>10228</v>
      </c>
      <c r="H66" s="219">
        <v>4</v>
      </c>
      <c r="I66" s="219" t="s">
        <v>1045</v>
      </c>
      <c r="J66" s="219" t="s">
        <v>3712</v>
      </c>
      <c r="K66" s="219">
        <v>4</v>
      </c>
      <c r="L66" s="219" t="s">
        <v>784</v>
      </c>
      <c r="M66" s="219" t="s">
        <v>3713</v>
      </c>
      <c r="N66" s="219" t="s">
        <v>452</v>
      </c>
      <c r="O66" s="219" t="s">
        <v>3714</v>
      </c>
      <c r="P66" s="219" t="s">
        <v>3715</v>
      </c>
      <c r="Q66" s="219" t="s">
        <v>18</v>
      </c>
      <c r="R66" s="219"/>
      <c r="S66" s="219" t="str">
        <f>IFERROR(VLOOKUP(B66,'2022-2023 Third Reviews'!$C:$S,9,FALSE),"")</f>
        <v/>
      </c>
      <c r="T66" s="219" t="s">
        <v>13096</v>
      </c>
      <c r="U66" s="219" t="s">
        <v>24</v>
      </c>
      <c r="V66" s="258"/>
      <c r="W66" s="258"/>
      <c r="X66" s="258"/>
      <c r="Y66" s="258"/>
      <c r="Z66" s="258"/>
      <c r="AA66" s="258"/>
      <c r="AB66" s="258"/>
      <c r="AC66" s="258"/>
    </row>
    <row r="67" spans="1:29" ht="15.75" customHeight="1">
      <c r="A67" s="253">
        <v>44796</v>
      </c>
      <c r="B67" s="224" t="s">
        <v>180</v>
      </c>
      <c r="C67" s="316">
        <v>4</v>
      </c>
      <c r="D67" s="224"/>
      <c r="E67" s="224" t="s">
        <v>4</v>
      </c>
      <c r="F67" s="224" t="s">
        <v>725</v>
      </c>
      <c r="G67" s="224" t="s">
        <v>11342</v>
      </c>
      <c r="H67" s="224">
        <v>4</v>
      </c>
      <c r="I67" s="224" t="s">
        <v>990</v>
      </c>
      <c r="J67" s="224" t="s">
        <v>3721</v>
      </c>
      <c r="K67" s="224">
        <v>4</v>
      </c>
      <c r="L67" s="224" t="s">
        <v>913</v>
      </c>
      <c r="M67" s="224">
        <v>1500000</v>
      </c>
      <c r="N67" s="224" t="s">
        <v>465</v>
      </c>
      <c r="O67" s="224" t="s">
        <v>452</v>
      </c>
      <c r="P67" s="224"/>
      <c r="Q67" s="224" t="s">
        <v>18</v>
      </c>
      <c r="R67" s="224"/>
      <c r="S67" s="224" t="str">
        <f>IFERROR(VLOOKUP(B67,'2022-2023 Third Reviews'!$C:$S,9,FALSE),"")</f>
        <v/>
      </c>
      <c r="T67" s="224" t="s">
        <v>13061</v>
      </c>
      <c r="U67" s="224" t="s">
        <v>24</v>
      </c>
      <c r="V67" s="281"/>
      <c r="W67" s="281"/>
      <c r="X67" s="281"/>
      <c r="Y67" s="281"/>
      <c r="Z67" s="281"/>
      <c r="AA67" s="258"/>
      <c r="AB67" s="258"/>
      <c r="AC67" s="258"/>
    </row>
    <row r="68" spans="1:29" ht="15.75" customHeight="1">
      <c r="A68" s="257">
        <v>44797</v>
      </c>
      <c r="B68" s="258" t="s">
        <v>3724</v>
      </c>
      <c r="C68" s="263">
        <v>4</v>
      </c>
      <c r="D68" s="258" t="s">
        <v>3727</v>
      </c>
      <c r="E68" s="258" t="s">
        <v>4</v>
      </c>
      <c r="F68" s="258" t="s">
        <v>602</v>
      </c>
      <c r="G68" s="258" t="s">
        <v>3728</v>
      </c>
      <c r="H68" s="258">
        <v>3</v>
      </c>
      <c r="I68" s="258" t="s">
        <v>990</v>
      </c>
      <c r="J68" s="258" t="s">
        <v>3729</v>
      </c>
      <c r="K68" s="258">
        <v>5</v>
      </c>
      <c r="L68" s="258"/>
      <c r="M68" s="258"/>
      <c r="N68" s="258" t="s">
        <v>452</v>
      </c>
      <c r="O68" s="258" t="s">
        <v>11315</v>
      </c>
      <c r="P68" s="258"/>
      <c r="Q68" s="258" t="s">
        <v>24</v>
      </c>
      <c r="R68" s="258" t="s">
        <v>3731</v>
      </c>
      <c r="S68" s="258" t="str">
        <f>IFERROR(VLOOKUP(B68,'2022-2023 Third Reviews'!$C:$S,9,FALSE),"")</f>
        <v/>
      </c>
      <c r="T68" s="258"/>
      <c r="U68" s="258" t="s">
        <v>24</v>
      </c>
      <c r="V68" s="252"/>
      <c r="W68" s="252"/>
      <c r="X68" s="252"/>
      <c r="Y68" s="219"/>
      <c r="Z68" s="219"/>
      <c r="AA68" s="219"/>
      <c r="AB68" s="219"/>
      <c r="AC68" s="219"/>
    </row>
    <row r="69" spans="1:29" ht="15.75" customHeight="1">
      <c r="A69" s="398">
        <v>44784</v>
      </c>
      <c r="B69" s="272" t="s">
        <v>182</v>
      </c>
      <c r="C69" s="269">
        <v>4</v>
      </c>
      <c r="D69" s="272" t="s">
        <v>3736</v>
      </c>
      <c r="E69" s="270" t="s">
        <v>4</v>
      </c>
      <c r="F69" s="272" t="s">
        <v>602</v>
      </c>
      <c r="G69" s="272" t="s">
        <v>3737</v>
      </c>
      <c r="H69" s="272">
        <v>4</v>
      </c>
      <c r="I69" s="272" t="s">
        <v>476</v>
      </c>
      <c r="J69" s="272" t="s">
        <v>11560</v>
      </c>
      <c r="K69" s="272">
        <v>4</v>
      </c>
      <c r="L69" s="272" t="s">
        <v>451</v>
      </c>
      <c r="M69" s="272">
        <v>3500000</v>
      </c>
      <c r="N69" s="272" t="s">
        <v>452</v>
      </c>
      <c r="O69" s="272" t="s">
        <v>3739</v>
      </c>
      <c r="P69" s="272"/>
      <c r="Q69" s="272" t="s">
        <v>18</v>
      </c>
      <c r="R69" s="272"/>
      <c r="S69" s="272" t="str">
        <f>IFERROR(VLOOKUP(B69,'2022-2023 Third Reviews'!$C:$S,9,FALSE),"")</f>
        <v/>
      </c>
      <c r="T69" s="272" t="s">
        <v>13097</v>
      </c>
      <c r="U69" s="272" t="s">
        <v>24</v>
      </c>
      <c r="V69" s="272"/>
      <c r="W69" s="272"/>
      <c r="X69" s="272"/>
      <c r="Y69" s="272"/>
      <c r="Z69" s="272"/>
      <c r="AA69" s="224"/>
      <c r="AB69" s="224"/>
      <c r="AC69" s="224"/>
    </row>
    <row r="70" spans="1:29" ht="15.75" customHeight="1">
      <c r="A70" s="398">
        <v>44784</v>
      </c>
      <c r="B70" s="300" t="s">
        <v>186</v>
      </c>
      <c r="C70" s="269">
        <v>4</v>
      </c>
      <c r="D70" s="268" t="s">
        <v>3744</v>
      </c>
      <c r="E70" s="270" t="s">
        <v>4</v>
      </c>
      <c r="F70" s="268" t="s">
        <v>727</v>
      </c>
      <c r="G70" s="268" t="s">
        <v>10721</v>
      </c>
      <c r="H70" s="268">
        <v>4</v>
      </c>
      <c r="I70" s="268" t="s">
        <v>1054</v>
      </c>
      <c r="J70" s="268" t="s">
        <v>3746</v>
      </c>
      <c r="K70" s="268">
        <v>4</v>
      </c>
      <c r="L70" s="268" t="s">
        <v>923</v>
      </c>
      <c r="M70" s="268" t="s">
        <v>3747</v>
      </c>
      <c r="N70" s="268" t="s">
        <v>452</v>
      </c>
      <c r="O70" s="268" t="s">
        <v>10722</v>
      </c>
      <c r="P70" s="268"/>
      <c r="Q70" s="268" t="s">
        <v>18</v>
      </c>
      <c r="R70" s="268"/>
      <c r="S70" s="268" t="str">
        <f>IFERROR(VLOOKUP(B70,'2022-2023 Third Reviews'!$C:$S,9,FALSE),"")</f>
        <v/>
      </c>
      <c r="T70" s="268" t="s">
        <v>13099</v>
      </c>
      <c r="U70" s="268" t="s">
        <v>24</v>
      </c>
      <c r="V70" s="268"/>
      <c r="W70" s="268"/>
      <c r="X70" s="268"/>
      <c r="Y70" s="268"/>
      <c r="Z70" s="268"/>
      <c r="AA70" s="219"/>
      <c r="AB70" s="219"/>
      <c r="AC70" s="219"/>
    </row>
    <row r="71" spans="1:29" ht="15.75" customHeight="1">
      <c r="A71" s="257">
        <v>44796</v>
      </c>
      <c r="B71" s="258" t="s">
        <v>188</v>
      </c>
      <c r="C71" s="263">
        <v>4</v>
      </c>
      <c r="D71" s="258" t="s">
        <v>3753</v>
      </c>
      <c r="E71" s="258" t="s">
        <v>4</v>
      </c>
      <c r="F71" s="258" t="s">
        <v>727</v>
      </c>
      <c r="G71" s="258" t="s">
        <v>11499</v>
      </c>
      <c r="H71" s="258">
        <v>4</v>
      </c>
      <c r="I71" s="258" t="s">
        <v>1036</v>
      </c>
      <c r="J71" s="258" t="s">
        <v>3755</v>
      </c>
      <c r="K71" s="258">
        <v>4</v>
      </c>
      <c r="L71" s="258"/>
      <c r="M71" s="258"/>
      <c r="N71" s="258" t="s">
        <v>454</v>
      </c>
      <c r="O71" s="258" t="s">
        <v>3756</v>
      </c>
      <c r="P71" s="258" t="s">
        <v>3757</v>
      </c>
      <c r="Q71" s="258" t="s">
        <v>20</v>
      </c>
      <c r="R71" s="258" t="s">
        <v>3758</v>
      </c>
      <c r="S71" s="258" t="str">
        <f>IFERROR(VLOOKUP(B71,'2022-2023 Third Reviews'!$C:$S,9,FALSE),"")</f>
        <v/>
      </c>
      <c r="T71" s="258" t="s">
        <v>13100</v>
      </c>
      <c r="U71" s="258" t="s">
        <v>24</v>
      </c>
      <c r="V71" s="239"/>
      <c r="W71" s="239"/>
      <c r="X71" s="239"/>
      <c r="Y71" s="239"/>
      <c r="Z71" s="239"/>
      <c r="AA71" s="239"/>
      <c r="AB71" s="239"/>
      <c r="AC71" s="239"/>
    </row>
    <row r="72" spans="1:29" ht="15.75" customHeight="1">
      <c r="A72" s="233">
        <v>44776</v>
      </c>
      <c r="B72" s="234" t="s">
        <v>190</v>
      </c>
      <c r="C72" s="241">
        <v>4</v>
      </c>
      <c r="D72" s="234" t="s">
        <v>3769</v>
      </c>
      <c r="E72" s="242" t="s">
        <v>4</v>
      </c>
      <c r="F72" s="234" t="s">
        <v>602</v>
      </c>
      <c r="G72" s="234" t="s">
        <v>11408</v>
      </c>
      <c r="H72" s="234">
        <v>4</v>
      </c>
      <c r="I72" s="234" t="s">
        <v>1054</v>
      </c>
      <c r="J72" s="234" t="s">
        <v>3771</v>
      </c>
      <c r="K72" s="234">
        <v>4</v>
      </c>
      <c r="L72" s="234" t="s">
        <v>451</v>
      </c>
      <c r="M72" s="234" t="s">
        <v>3473</v>
      </c>
      <c r="N72" s="234" t="s">
        <v>454</v>
      </c>
      <c r="O72" s="234" t="s">
        <v>3773</v>
      </c>
      <c r="P72" s="237"/>
      <c r="Q72" s="234" t="str">
        <f t="array" ref="Q72">INDEX(Notes!B:B,MATCH($B72,Notes!$A:$A,0))</f>
        <v>Revisit/ Cluster</v>
      </c>
      <c r="R72" s="234" t="s">
        <v>3774</v>
      </c>
      <c r="S72" s="234" t="str">
        <f ca="1">IFERROR(VLOOKUP(B72,'2022-2023 Third Reviews'!$C:$S,9,FALSE),"")</f>
        <v>Jason Yu
3</v>
      </c>
      <c r="T72" s="234" t="s">
        <v>13066</v>
      </c>
      <c r="U72" s="234" t="s">
        <v>24</v>
      </c>
      <c r="V72" s="409"/>
      <c r="W72" s="409"/>
      <c r="X72" s="409"/>
      <c r="Y72" s="409"/>
      <c r="Z72" s="409"/>
      <c r="AA72" s="322"/>
      <c r="AB72" s="322"/>
      <c r="AC72" s="322"/>
    </row>
    <row r="73" spans="1:29" ht="15.75" customHeight="1">
      <c r="A73" s="253">
        <v>44796</v>
      </c>
      <c r="B73" s="224" t="s">
        <v>192</v>
      </c>
      <c r="C73" s="316">
        <v>4</v>
      </c>
      <c r="D73" s="224" t="s">
        <v>3778</v>
      </c>
      <c r="E73" s="224" t="s">
        <v>4</v>
      </c>
      <c r="F73" s="224" t="s">
        <v>725</v>
      </c>
      <c r="G73" s="224" t="s">
        <v>11099</v>
      </c>
      <c r="H73" s="224">
        <v>4.5</v>
      </c>
      <c r="I73" s="224" t="s">
        <v>476</v>
      </c>
      <c r="J73" s="224" t="s">
        <v>13101</v>
      </c>
      <c r="K73" s="224">
        <v>3.5</v>
      </c>
      <c r="L73" s="224" t="s">
        <v>451</v>
      </c>
      <c r="M73" s="330">
        <v>2500000</v>
      </c>
      <c r="N73" s="224" t="s">
        <v>452</v>
      </c>
      <c r="O73" s="224" t="s">
        <v>3781</v>
      </c>
      <c r="P73" s="224"/>
      <c r="Q73" s="224" t="s">
        <v>18</v>
      </c>
      <c r="R73" s="224"/>
      <c r="S73" s="224" t="str">
        <f>IFERROR(VLOOKUP(B73,'2022-2023 Third Reviews'!$C:$S,9,FALSE),"")</f>
        <v/>
      </c>
      <c r="T73" s="224" t="s">
        <v>13089</v>
      </c>
      <c r="U73" s="224" t="s">
        <v>24</v>
      </c>
      <c r="V73" s="218"/>
      <c r="W73" s="218"/>
      <c r="X73" s="218"/>
      <c r="Y73" s="224"/>
      <c r="Z73" s="224"/>
      <c r="AA73" s="224"/>
      <c r="AB73" s="224"/>
      <c r="AC73" s="224"/>
    </row>
    <row r="74" spans="1:29" ht="15.75" customHeight="1">
      <c r="A74" s="321">
        <v>44791</v>
      </c>
      <c r="B74" s="322" t="s">
        <v>196</v>
      </c>
      <c r="C74" s="323">
        <v>4</v>
      </c>
      <c r="D74" s="322" t="s">
        <v>3786</v>
      </c>
      <c r="E74" s="322" t="s">
        <v>4</v>
      </c>
      <c r="F74" s="322" t="s">
        <v>727</v>
      </c>
      <c r="G74" s="322" t="s">
        <v>10497</v>
      </c>
      <c r="H74" s="322">
        <v>4</v>
      </c>
      <c r="I74" s="322" t="s">
        <v>1073</v>
      </c>
      <c r="J74" s="322"/>
      <c r="K74" s="322">
        <v>4</v>
      </c>
      <c r="L74" s="322"/>
      <c r="M74" s="322"/>
      <c r="N74" s="322" t="s">
        <v>465</v>
      </c>
      <c r="O74" s="322" t="s">
        <v>10498</v>
      </c>
      <c r="P74" s="322"/>
      <c r="Q74" s="322" t="s">
        <v>20</v>
      </c>
      <c r="R74" s="322" t="s">
        <v>3789</v>
      </c>
      <c r="S74" s="322" t="str">
        <f ca="1">IFERROR(VLOOKUP(B74,'2022-2023 Third Reviews'!$C:$S,9,FALSE),"")</f>
        <v>Nick Schmandt
4</v>
      </c>
      <c r="T74" s="322" t="s">
        <v>13102</v>
      </c>
      <c r="U74" s="322" t="s">
        <v>24</v>
      </c>
      <c r="V74" s="409"/>
      <c r="W74" s="409"/>
      <c r="X74" s="409"/>
      <c r="Y74" s="409"/>
      <c r="Z74" s="409"/>
      <c r="AA74" s="322"/>
      <c r="AB74" s="322"/>
      <c r="AC74" s="322"/>
    </row>
    <row r="75" spans="1:29" ht="15.75" customHeight="1">
      <c r="A75" s="253">
        <v>44782</v>
      </c>
      <c r="B75" s="224" t="s">
        <v>198</v>
      </c>
      <c r="C75" s="249">
        <v>4</v>
      </c>
      <c r="D75" s="224" t="s">
        <v>11415</v>
      </c>
      <c r="E75" s="250" t="s">
        <v>4</v>
      </c>
      <c r="F75" s="224" t="s">
        <v>727</v>
      </c>
      <c r="G75" s="224" t="s">
        <v>11416</v>
      </c>
      <c r="H75" s="224">
        <v>4.5</v>
      </c>
      <c r="I75" s="224" t="s">
        <v>1054</v>
      </c>
      <c r="J75" s="224" t="s">
        <v>11417</v>
      </c>
      <c r="K75" s="224">
        <v>3.5</v>
      </c>
      <c r="L75" s="224"/>
      <c r="M75" s="224" t="s">
        <v>3555</v>
      </c>
      <c r="N75" s="224" t="s">
        <v>454</v>
      </c>
      <c r="O75" s="224" t="s">
        <v>11527</v>
      </c>
      <c r="P75" s="224"/>
      <c r="Q75" s="224" t="s">
        <v>18</v>
      </c>
      <c r="R75" s="224"/>
      <c r="S75" s="224" t="str">
        <f>IFERROR(VLOOKUP(B75,'2022-2023 Third Reviews'!$C:$S,9,FALSE),"")</f>
        <v/>
      </c>
      <c r="T75" s="224" t="s">
        <v>13053</v>
      </c>
      <c r="U75" s="224" t="s">
        <v>24</v>
      </c>
      <c r="V75" s="252"/>
      <c r="W75" s="252"/>
      <c r="X75" s="252"/>
      <c r="Y75" s="224"/>
      <c r="Z75" s="224"/>
      <c r="AA75" s="224"/>
      <c r="AB75" s="224"/>
      <c r="AC75" s="224"/>
    </row>
    <row r="76" spans="1:29" ht="15.75" customHeight="1">
      <c r="A76" s="248">
        <v>44789</v>
      </c>
      <c r="B76" s="219" t="s">
        <v>201</v>
      </c>
      <c r="C76" s="249">
        <v>4</v>
      </c>
      <c r="D76" s="219" t="s">
        <v>3803</v>
      </c>
      <c r="E76" s="250" t="s">
        <v>4</v>
      </c>
      <c r="F76" s="219" t="s">
        <v>727</v>
      </c>
      <c r="G76" s="219" t="s">
        <v>10671</v>
      </c>
      <c r="H76" s="219">
        <v>4</v>
      </c>
      <c r="I76" s="219" t="s">
        <v>1045</v>
      </c>
      <c r="J76" s="219" t="s">
        <v>3805</v>
      </c>
      <c r="K76" s="219">
        <v>4</v>
      </c>
      <c r="L76" s="219"/>
      <c r="M76" s="219"/>
      <c r="N76" s="219" t="s">
        <v>452</v>
      </c>
      <c r="O76" s="219" t="s">
        <v>10672</v>
      </c>
      <c r="P76" s="219"/>
      <c r="Q76" s="219" t="s">
        <v>18</v>
      </c>
      <c r="R76" s="219"/>
      <c r="S76" s="219" t="str">
        <f ca="1">IFERROR(VLOOKUP(B76,'2022-2023 Third Reviews'!$C:$S,9,FALSE),"")</f>
        <v>John McDonald
3</v>
      </c>
      <c r="T76" s="219" t="s">
        <v>13097</v>
      </c>
      <c r="U76" s="219" t="s">
        <v>24</v>
      </c>
      <c r="V76" s="268"/>
      <c r="W76" s="268"/>
      <c r="X76" s="268"/>
      <c r="Y76" s="268"/>
      <c r="Z76" s="268"/>
      <c r="AA76" s="219"/>
      <c r="AB76" s="219"/>
      <c r="AC76" s="219"/>
    </row>
    <row r="77" spans="1:29" ht="15.75" customHeight="1">
      <c r="A77" s="398">
        <v>44784</v>
      </c>
      <c r="B77" s="272" t="s">
        <v>203</v>
      </c>
      <c r="C77" s="269">
        <v>4</v>
      </c>
      <c r="D77" s="272" t="s">
        <v>11472</v>
      </c>
      <c r="E77" s="270" t="s">
        <v>4</v>
      </c>
      <c r="F77" s="272" t="s">
        <v>602</v>
      </c>
      <c r="G77" s="272" t="s">
        <v>11473</v>
      </c>
      <c r="H77" s="272">
        <v>4</v>
      </c>
      <c r="I77" s="272" t="s">
        <v>1054</v>
      </c>
      <c r="J77" s="272" t="s">
        <v>3813</v>
      </c>
      <c r="K77" s="272">
        <v>4</v>
      </c>
      <c r="L77" s="272"/>
      <c r="M77" s="272"/>
      <c r="N77" s="272" t="s">
        <v>452</v>
      </c>
      <c r="O77" s="272" t="s">
        <v>3814</v>
      </c>
      <c r="P77" s="272"/>
      <c r="Q77" s="272" t="s">
        <v>18</v>
      </c>
      <c r="R77" s="272"/>
      <c r="S77" s="272" t="str">
        <f>IFERROR(VLOOKUP(B77,'2022-2023 Third Reviews'!$C:$S,9,FALSE),"")</f>
        <v/>
      </c>
      <c r="T77" s="272" t="s">
        <v>13103</v>
      </c>
      <c r="U77" s="272" t="s">
        <v>24</v>
      </c>
      <c r="V77" s="258"/>
      <c r="W77" s="258"/>
      <c r="X77" s="258"/>
      <c r="Y77" s="258"/>
      <c r="Z77" s="258"/>
      <c r="AA77" s="258"/>
      <c r="AB77" s="258"/>
      <c r="AC77" s="258"/>
    </row>
    <row r="78" spans="1:29" ht="15.75" customHeight="1">
      <c r="A78" s="248">
        <v>44796</v>
      </c>
      <c r="B78" s="219" t="s">
        <v>204</v>
      </c>
      <c r="C78" s="315">
        <v>4</v>
      </c>
      <c r="D78" s="219" t="s">
        <v>3819</v>
      </c>
      <c r="E78" s="219" t="s">
        <v>4</v>
      </c>
      <c r="F78" s="219" t="s">
        <v>725</v>
      </c>
      <c r="G78" s="219" t="s">
        <v>3820</v>
      </c>
      <c r="H78" s="219">
        <v>4</v>
      </c>
      <c r="I78" s="219" t="s">
        <v>604</v>
      </c>
      <c r="J78" s="219" t="s">
        <v>10768</v>
      </c>
      <c r="K78" s="219">
        <v>4</v>
      </c>
      <c r="L78" s="219" t="s">
        <v>3822</v>
      </c>
      <c r="M78" s="219">
        <v>1800000</v>
      </c>
      <c r="N78" s="219" t="s">
        <v>452</v>
      </c>
      <c r="O78" s="219" t="s">
        <v>3823</v>
      </c>
      <c r="P78" s="219"/>
      <c r="Q78" s="219" t="s">
        <v>18</v>
      </c>
      <c r="R78" s="219"/>
      <c r="S78" s="219" t="str">
        <f>IFERROR(VLOOKUP(B78,'2022-2023 Third Reviews'!$C:$S,9,FALSE),"")</f>
        <v/>
      </c>
      <c r="T78" s="219" t="s">
        <v>13104</v>
      </c>
      <c r="U78" s="219" t="s">
        <v>24</v>
      </c>
      <c r="V78" s="268"/>
      <c r="W78" s="268"/>
      <c r="X78" s="268"/>
      <c r="Y78" s="268"/>
      <c r="Z78" s="268"/>
      <c r="AA78" s="219"/>
      <c r="AB78" s="219"/>
      <c r="AC78" s="219"/>
    </row>
    <row r="79" spans="1:29" ht="15.75" customHeight="1">
      <c r="A79" s="253">
        <v>44796</v>
      </c>
      <c r="B79" s="224" t="s">
        <v>205</v>
      </c>
      <c r="C79" s="316">
        <v>4</v>
      </c>
      <c r="D79" s="224" t="s">
        <v>3828</v>
      </c>
      <c r="E79" s="224" t="s">
        <v>4</v>
      </c>
      <c r="F79" s="224" t="s">
        <v>1045</v>
      </c>
      <c r="G79" s="224" t="s">
        <v>3829</v>
      </c>
      <c r="H79" s="224">
        <v>4</v>
      </c>
      <c r="I79" s="224" t="s">
        <v>604</v>
      </c>
      <c r="J79" s="224" t="s">
        <v>10180</v>
      </c>
      <c r="K79" s="224">
        <v>4</v>
      </c>
      <c r="L79" s="224"/>
      <c r="M79" s="224"/>
      <c r="N79" s="224" t="s">
        <v>452</v>
      </c>
      <c r="O79" s="224" t="s">
        <v>10181</v>
      </c>
      <c r="P79" s="224" t="s">
        <v>3832</v>
      </c>
      <c r="Q79" s="224" t="s">
        <v>18</v>
      </c>
      <c r="R79" s="224"/>
      <c r="S79" s="224" t="str">
        <f ca="1">IFERROR(VLOOKUP(B79,'2022-2023 Third Reviews'!$C:$S,9,FALSE),"")</f>
        <v>Nick Schmandt
4</v>
      </c>
      <c r="T79" s="224" t="s">
        <v>13061</v>
      </c>
      <c r="U79" s="224" t="s">
        <v>24</v>
      </c>
      <c r="V79" s="409"/>
      <c r="W79" s="409"/>
      <c r="X79" s="409"/>
      <c r="Y79" s="409"/>
      <c r="Z79" s="409"/>
      <c r="AA79" s="322"/>
      <c r="AB79" s="322"/>
      <c r="AC79" s="322"/>
    </row>
    <row r="80" spans="1:29" ht="15.75" customHeight="1">
      <c r="A80" s="248">
        <v>44789</v>
      </c>
      <c r="B80" s="219" t="s">
        <v>207</v>
      </c>
      <c r="C80" s="249">
        <v>4</v>
      </c>
      <c r="D80" s="219" t="s">
        <v>3836</v>
      </c>
      <c r="E80" s="250" t="s">
        <v>4</v>
      </c>
      <c r="F80" s="219" t="s">
        <v>727</v>
      </c>
      <c r="G80" s="219" t="s">
        <v>10665</v>
      </c>
      <c r="H80" s="219">
        <v>4</v>
      </c>
      <c r="I80" s="219" t="s">
        <v>1045</v>
      </c>
      <c r="J80" s="219"/>
      <c r="K80" s="219">
        <v>4</v>
      </c>
      <c r="L80" s="219"/>
      <c r="M80" s="312"/>
      <c r="N80" s="219" t="s">
        <v>452</v>
      </c>
      <c r="O80" s="219" t="s">
        <v>10666</v>
      </c>
      <c r="P80" s="219"/>
      <c r="Q80" s="219" t="s">
        <v>18</v>
      </c>
      <c r="R80" s="219"/>
      <c r="S80" s="219" t="str">
        <f ca="1">IFERROR(VLOOKUP(B80,'2022-2023 Third Reviews'!$C:$S,9,FALSE),"")</f>
        <v>John McDonald
2</v>
      </c>
      <c r="T80" s="219" t="s">
        <v>13097</v>
      </c>
      <c r="U80" s="219" t="s">
        <v>24</v>
      </c>
      <c r="V80" s="268"/>
      <c r="W80" s="268"/>
      <c r="X80" s="268"/>
      <c r="Y80" s="268"/>
      <c r="Z80" s="268"/>
      <c r="AA80" s="219"/>
      <c r="AB80" s="219"/>
      <c r="AC80" s="219"/>
    </row>
    <row r="81" spans="1:29" ht="15.75" customHeight="1">
      <c r="A81" s="257">
        <v>44782</v>
      </c>
      <c r="B81" s="258" t="s">
        <v>208</v>
      </c>
      <c r="C81" s="249">
        <v>4</v>
      </c>
      <c r="D81" s="258" t="s">
        <v>3843</v>
      </c>
      <c r="E81" s="250" t="s">
        <v>4</v>
      </c>
      <c r="F81" s="258" t="s">
        <v>602</v>
      </c>
      <c r="G81" s="258" t="s">
        <v>3844</v>
      </c>
      <c r="H81" s="258">
        <v>4</v>
      </c>
      <c r="I81" s="258" t="s">
        <v>1054</v>
      </c>
      <c r="J81" s="258" t="s">
        <v>3845</v>
      </c>
      <c r="K81" s="258">
        <v>4</v>
      </c>
      <c r="L81" s="258" t="s">
        <v>451</v>
      </c>
      <c r="M81" s="258">
        <v>2000000</v>
      </c>
      <c r="N81" s="258" t="s">
        <v>452</v>
      </c>
      <c r="O81" s="258" t="s">
        <v>3846</v>
      </c>
      <c r="P81" s="258" t="s">
        <v>727</v>
      </c>
      <c r="Q81" s="258" t="s">
        <v>18</v>
      </c>
      <c r="R81" s="258" t="s">
        <v>3847</v>
      </c>
      <c r="S81" s="258" t="str">
        <f>IFERROR(VLOOKUP(B81,'2022-2023 Third Reviews'!$C:$S,9,FALSE),"")</f>
        <v/>
      </c>
      <c r="T81" s="258" t="s">
        <v>13052</v>
      </c>
      <c r="U81" s="224" t="s">
        <v>24</v>
      </c>
      <c r="V81" s="252"/>
      <c r="W81" s="252"/>
      <c r="X81" s="252"/>
      <c r="Y81" s="224"/>
      <c r="Z81" s="224"/>
      <c r="AA81" s="224"/>
      <c r="AB81" s="224"/>
      <c r="AC81" s="224"/>
    </row>
    <row r="82" spans="1:29" ht="15.75" customHeight="1">
      <c r="A82" s="248">
        <v>44796</v>
      </c>
      <c r="B82" s="219" t="s">
        <v>209</v>
      </c>
      <c r="C82" s="315">
        <v>4</v>
      </c>
      <c r="D82" s="219" t="s">
        <v>3852</v>
      </c>
      <c r="E82" s="219" t="s">
        <v>4</v>
      </c>
      <c r="F82" s="219" t="s">
        <v>447</v>
      </c>
      <c r="G82" s="219" t="s">
        <v>11241</v>
      </c>
      <c r="H82" s="219">
        <v>4</v>
      </c>
      <c r="I82" s="219" t="s">
        <v>1187</v>
      </c>
      <c r="J82" s="219" t="s">
        <v>3854</v>
      </c>
      <c r="K82" s="219">
        <v>4</v>
      </c>
      <c r="L82" s="219" t="s">
        <v>784</v>
      </c>
      <c r="M82" s="331">
        <v>500000</v>
      </c>
      <c r="N82" s="219" t="s">
        <v>452</v>
      </c>
      <c r="O82" s="219" t="s">
        <v>3855</v>
      </c>
      <c r="P82" s="219"/>
      <c r="Q82" s="219" t="s">
        <v>18</v>
      </c>
      <c r="R82" s="219"/>
      <c r="S82" s="219" t="str">
        <f>IFERROR(VLOOKUP(B82,'2022-2023 Third Reviews'!$C:$S,9,FALSE),"")</f>
        <v/>
      </c>
      <c r="T82" s="219" t="s">
        <v>13105</v>
      </c>
      <c r="U82" s="219" t="s">
        <v>24</v>
      </c>
      <c r="V82" s="252"/>
      <c r="W82" s="252"/>
      <c r="X82" s="252"/>
      <c r="Y82" s="219"/>
      <c r="Z82" s="219"/>
      <c r="AA82" s="219"/>
      <c r="AB82" s="219"/>
      <c r="AC82" s="219"/>
    </row>
    <row r="83" spans="1:29" ht="15.75" customHeight="1">
      <c r="A83" s="253">
        <v>44796</v>
      </c>
      <c r="B83" s="224" t="s">
        <v>210</v>
      </c>
      <c r="C83" s="316">
        <v>4</v>
      </c>
      <c r="D83" s="224" t="s">
        <v>3860</v>
      </c>
      <c r="E83" s="224" t="s">
        <v>4</v>
      </c>
      <c r="F83" s="224" t="s">
        <v>725</v>
      </c>
      <c r="G83" s="224" t="s">
        <v>11490</v>
      </c>
      <c r="H83" s="224">
        <v>4</v>
      </c>
      <c r="I83" s="224" t="s">
        <v>1187</v>
      </c>
      <c r="J83" s="224" t="s">
        <v>3862</v>
      </c>
      <c r="K83" s="224">
        <v>4</v>
      </c>
      <c r="L83" s="224"/>
      <c r="M83" s="224"/>
      <c r="N83" s="224" t="s">
        <v>452</v>
      </c>
      <c r="O83" s="224" t="s">
        <v>3863</v>
      </c>
      <c r="P83" s="224"/>
      <c r="Q83" s="224" t="s">
        <v>18</v>
      </c>
      <c r="R83" s="224"/>
      <c r="S83" s="224" t="str">
        <f>IFERROR(VLOOKUP(B83,'2022-2023 Third Reviews'!$C:$S,9,FALSE),"")</f>
        <v/>
      </c>
      <c r="T83" s="224" t="s">
        <v>13097</v>
      </c>
      <c r="U83" s="224" t="s">
        <v>24</v>
      </c>
      <c r="V83" s="252"/>
      <c r="W83" s="252"/>
      <c r="X83" s="252"/>
      <c r="Y83" s="224"/>
      <c r="Z83" s="224"/>
      <c r="AA83" s="224"/>
      <c r="AB83" s="224"/>
      <c r="AC83" s="224"/>
    </row>
    <row r="84" spans="1:29" ht="15.75" customHeight="1">
      <c r="A84" s="248">
        <v>44796</v>
      </c>
      <c r="B84" s="219" t="s">
        <v>214</v>
      </c>
      <c r="C84" s="315">
        <v>4</v>
      </c>
      <c r="D84" s="219" t="s">
        <v>3875</v>
      </c>
      <c r="E84" s="219" t="s">
        <v>4</v>
      </c>
      <c r="F84" s="219" t="s">
        <v>727</v>
      </c>
      <c r="G84" s="219" t="s">
        <v>10517</v>
      </c>
      <c r="H84" s="219">
        <v>4</v>
      </c>
      <c r="I84" s="219" t="s">
        <v>1187</v>
      </c>
      <c r="J84" s="219" t="s">
        <v>3877</v>
      </c>
      <c r="K84" s="219">
        <v>4</v>
      </c>
      <c r="L84" s="219" t="s">
        <v>923</v>
      </c>
      <c r="M84" s="219" t="s">
        <v>729</v>
      </c>
      <c r="N84" s="219" t="s">
        <v>452</v>
      </c>
      <c r="O84" s="219" t="s">
        <v>452</v>
      </c>
      <c r="P84" s="219"/>
      <c r="Q84" s="219" t="s">
        <v>18</v>
      </c>
      <c r="R84" s="219"/>
      <c r="S84" s="219" t="str">
        <f>IFERROR(VLOOKUP(B84,'2022-2023 Third Reviews'!$C:$S,9,FALSE),"")</f>
        <v/>
      </c>
      <c r="T84" s="219" t="s">
        <v>13106</v>
      </c>
      <c r="U84" s="219" t="s">
        <v>24</v>
      </c>
      <c r="V84" s="252"/>
      <c r="W84" s="252"/>
      <c r="X84" s="252"/>
      <c r="Y84" s="219"/>
      <c r="Z84" s="219"/>
      <c r="AA84" s="219"/>
      <c r="AB84" s="219"/>
      <c r="AC84" s="219"/>
    </row>
    <row r="85" spans="1:29" ht="15.75" customHeight="1">
      <c r="A85" s="257">
        <v>44796</v>
      </c>
      <c r="B85" s="258" t="s">
        <v>3880</v>
      </c>
      <c r="C85" s="263">
        <v>4</v>
      </c>
      <c r="D85" s="258" t="s">
        <v>10841</v>
      </c>
      <c r="E85" s="258" t="s">
        <v>4</v>
      </c>
      <c r="F85" s="258" t="s">
        <v>725</v>
      </c>
      <c r="G85" s="258" t="s">
        <v>3884</v>
      </c>
      <c r="H85" s="258">
        <v>3</v>
      </c>
      <c r="I85" s="258" t="s">
        <v>1187</v>
      </c>
      <c r="J85" s="258" t="s">
        <v>3885</v>
      </c>
      <c r="K85" s="258">
        <v>5</v>
      </c>
      <c r="L85" s="258" t="s">
        <v>478</v>
      </c>
      <c r="M85" s="258">
        <v>700000</v>
      </c>
      <c r="N85" s="258" t="s">
        <v>452</v>
      </c>
      <c r="O85" s="258" t="s">
        <v>452</v>
      </c>
      <c r="P85" s="258"/>
      <c r="Q85" s="258" t="s">
        <v>24</v>
      </c>
      <c r="R85" s="258" t="s">
        <v>11710</v>
      </c>
      <c r="S85" s="258" t="str">
        <f>IFERROR(VLOOKUP(B85,'2022-2023 Third Reviews'!$C:$S,9,FALSE),"")</f>
        <v/>
      </c>
      <c r="T85" s="258"/>
      <c r="U85" s="224" t="s">
        <v>24</v>
      </c>
      <c r="V85" s="272"/>
      <c r="W85" s="272"/>
      <c r="X85" s="272"/>
      <c r="Y85" s="272"/>
      <c r="Z85" s="272"/>
      <c r="AA85" s="224"/>
      <c r="AB85" s="224"/>
      <c r="AC85" s="224"/>
    </row>
    <row r="86" spans="1:29" ht="15.75" customHeight="1">
      <c r="A86" s="398">
        <v>44784</v>
      </c>
      <c r="B86" s="268" t="s">
        <v>215</v>
      </c>
      <c r="C86" s="269">
        <v>4</v>
      </c>
      <c r="D86" s="268" t="s">
        <v>3891</v>
      </c>
      <c r="E86" s="270" t="s">
        <v>4</v>
      </c>
      <c r="F86" s="268" t="s">
        <v>602</v>
      </c>
      <c r="G86" s="268" t="s">
        <v>3892</v>
      </c>
      <c r="H86" s="268">
        <v>4</v>
      </c>
      <c r="I86" s="268" t="s">
        <v>1054</v>
      </c>
      <c r="J86" s="268" t="s">
        <v>3893</v>
      </c>
      <c r="K86" s="268">
        <v>4</v>
      </c>
      <c r="L86" s="268"/>
      <c r="M86" s="268"/>
      <c r="N86" s="268" t="s">
        <v>452</v>
      </c>
      <c r="O86" s="268" t="s">
        <v>10365</v>
      </c>
      <c r="P86" s="268"/>
      <c r="Q86" s="268" t="s">
        <v>18</v>
      </c>
      <c r="R86" s="268"/>
      <c r="S86" s="268" t="str">
        <f ca="1">IFERROR(VLOOKUP(B86,'2022-2023 Third Reviews'!$C:$S,9,FALSE),"")</f>
        <v>Nick Schmandt
2</v>
      </c>
      <c r="T86" s="268"/>
      <c r="U86" s="268" t="s">
        <v>24</v>
      </c>
      <c r="V86" s="268"/>
      <c r="W86" s="268"/>
      <c r="X86" s="268"/>
      <c r="Y86" s="268"/>
      <c r="Z86" s="268"/>
      <c r="AA86" s="219"/>
      <c r="AB86" s="219"/>
      <c r="AC86" s="219"/>
    </row>
    <row r="87" spans="1:29" ht="15.75" customHeight="1">
      <c r="A87" s="253">
        <v>44796</v>
      </c>
      <c r="B87" s="224" t="s">
        <v>217</v>
      </c>
      <c r="C87" s="316">
        <v>4</v>
      </c>
      <c r="D87" s="224" t="s">
        <v>3907</v>
      </c>
      <c r="E87" s="224" t="s">
        <v>4</v>
      </c>
      <c r="F87" s="224" t="s">
        <v>447</v>
      </c>
      <c r="G87" s="224" t="s">
        <v>11343</v>
      </c>
      <c r="H87" s="224">
        <v>4</v>
      </c>
      <c r="I87" s="224" t="s">
        <v>1237</v>
      </c>
      <c r="J87" s="224"/>
      <c r="K87" s="224">
        <v>4</v>
      </c>
      <c r="L87" s="224" t="s">
        <v>451</v>
      </c>
      <c r="M87" s="311">
        <v>4000000</v>
      </c>
      <c r="N87" s="224" t="s">
        <v>452</v>
      </c>
      <c r="O87" s="224" t="s">
        <v>11344</v>
      </c>
      <c r="P87" s="224"/>
      <c r="Q87" s="224" t="s">
        <v>18</v>
      </c>
      <c r="R87" s="224"/>
      <c r="S87" s="224" t="str">
        <f>IFERROR(VLOOKUP(B87,'2022-2023 Third Reviews'!$C:$S,9,FALSE),"")</f>
        <v/>
      </c>
      <c r="T87" s="224"/>
      <c r="U87" s="224" t="s">
        <v>24</v>
      </c>
      <c r="V87" s="252"/>
      <c r="W87" s="252"/>
      <c r="X87" s="252"/>
      <c r="Y87" s="224"/>
      <c r="Z87" s="224"/>
      <c r="AA87" s="224"/>
      <c r="AB87" s="224"/>
      <c r="AC87" s="224"/>
    </row>
    <row r="88" spans="1:29" ht="15.75" customHeight="1">
      <c r="A88" s="248">
        <v>44782</v>
      </c>
      <c r="B88" s="219" t="s">
        <v>221</v>
      </c>
      <c r="C88" s="249">
        <v>4</v>
      </c>
      <c r="D88" s="219" t="s">
        <v>3914</v>
      </c>
      <c r="E88" s="250" t="s">
        <v>4</v>
      </c>
      <c r="F88" s="219" t="s">
        <v>727</v>
      </c>
      <c r="G88" s="219" t="s">
        <v>10366</v>
      </c>
      <c r="H88" s="219">
        <v>4</v>
      </c>
      <c r="I88" s="219" t="s">
        <v>1054</v>
      </c>
      <c r="J88" s="219" t="s">
        <v>3916</v>
      </c>
      <c r="K88" s="219">
        <v>4</v>
      </c>
      <c r="L88" s="219" t="s">
        <v>451</v>
      </c>
      <c r="M88" s="219" t="s">
        <v>3917</v>
      </c>
      <c r="N88" s="219" t="s">
        <v>452</v>
      </c>
      <c r="O88" s="219" t="s">
        <v>452</v>
      </c>
      <c r="P88" s="219"/>
      <c r="Q88" s="219" t="s">
        <v>18</v>
      </c>
      <c r="R88" s="219"/>
      <c r="S88" s="219" t="str">
        <f ca="1">IFERROR(VLOOKUP(B88,'2022-2023 Third Reviews'!$C:$S,9,FALSE),"")</f>
        <v>Nick Schmandt
5</v>
      </c>
      <c r="T88" s="219"/>
      <c r="U88" s="219" t="s">
        <v>24</v>
      </c>
      <c r="V88" s="252"/>
      <c r="W88" s="252"/>
      <c r="X88" s="252"/>
      <c r="Y88" s="219"/>
      <c r="Z88" s="219"/>
      <c r="AA88" s="219"/>
      <c r="AB88" s="219"/>
      <c r="AC88" s="219"/>
    </row>
    <row r="89" spans="1:29" ht="15.75" customHeight="1">
      <c r="A89" s="253">
        <v>44791</v>
      </c>
      <c r="B89" s="224" t="s">
        <v>222</v>
      </c>
      <c r="C89" s="316">
        <v>4</v>
      </c>
      <c r="D89" s="224" t="s">
        <v>3922</v>
      </c>
      <c r="E89" s="224" t="s">
        <v>4</v>
      </c>
      <c r="F89" s="224" t="s">
        <v>727</v>
      </c>
      <c r="G89" s="224" t="s">
        <v>11397</v>
      </c>
      <c r="H89" s="224">
        <v>4</v>
      </c>
      <c r="I89" s="224" t="s">
        <v>1237</v>
      </c>
      <c r="J89" s="224"/>
      <c r="K89" s="224">
        <v>4</v>
      </c>
      <c r="L89" s="224" t="s">
        <v>451</v>
      </c>
      <c r="M89" s="224">
        <v>1500000</v>
      </c>
      <c r="N89" s="224" t="s">
        <v>452</v>
      </c>
      <c r="O89" s="224" t="s">
        <v>3924</v>
      </c>
      <c r="P89" s="224"/>
      <c r="Q89" s="224" t="s">
        <v>18</v>
      </c>
      <c r="R89" s="224"/>
      <c r="S89" s="224" t="str">
        <f>IFERROR(VLOOKUP(B89,'2022-2023 Third Reviews'!$C:$S,9,FALSE),"")</f>
        <v/>
      </c>
      <c r="T89" s="224" t="s">
        <v>13108</v>
      </c>
      <c r="U89" s="224" t="s">
        <v>24</v>
      </c>
      <c r="V89" s="272"/>
      <c r="W89" s="272"/>
      <c r="X89" s="272"/>
      <c r="Y89" s="272"/>
      <c r="Z89" s="272"/>
      <c r="AA89" s="224"/>
      <c r="AB89" s="224"/>
      <c r="AC89" s="224"/>
    </row>
    <row r="90" spans="1:29" ht="15.75" customHeight="1">
      <c r="A90" s="248">
        <v>44796</v>
      </c>
      <c r="B90" s="219" t="s">
        <v>225</v>
      </c>
      <c r="C90" s="315">
        <v>4</v>
      </c>
      <c r="D90" s="219" t="s">
        <v>3929</v>
      </c>
      <c r="E90" s="219" t="s">
        <v>4</v>
      </c>
      <c r="F90" s="219" t="s">
        <v>1045</v>
      </c>
      <c r="G90" s="219" t="s">
        <v>3930</v>
      </c>
      <c r="H90" s="219">
        <v>4</v>
      </c>
      <c r="I90" s="219" t="s">
        <v>1281</v>
      </c>
      <c r="J90" s="219" t="s">
        <v>3931</v>
      </c>
      <c r="K90" s="219">
        <v>4</v>
      </c>
      <c r="L90" s="219" t="s">
        <v>478</v>
      </c>
      <c r="M90" s="310">
        <v>11000000</v>
      </c>
      <c r="N90" s="219" t="s">
        <v>465</v>
      </c>
      <c r="O90" s="219" t="s">
        <v>10477</v>
      </c>
      <c r="P90" s="219"/>
      <c r="Q90" s="219" t="s">
        <v>18</v>
      </c>
      <c r="R90" s="219"/>
      <c r="S90" s="219" t="str">
        <f>IFERROR(VLOOKUP(B90,'2022-2023 Third Reviews'!$C:$S,9,FALSE),"")</f>
        <v/>
      </c>
      <c r="T90" s="219" t="s">
        <v>13084</v>
      </c>
      <c r="U90" s="219" t="s">
        <v>24</v>
      </c>
      <c r="V90" s="268"/>
      <c r="W90" s="268"/>
      <c r="X90" s="268"/>
      <c r="Y90" s="268"/>
      <c r="Z90" s="268"/>
      <c r="AA90" s="219"/>
      <c r="AB90" s="219"/>
      <c r="AC90" s="219"/>
    </row>
    <row r="91" spans="1:29" ht="15.75" customHeight="1">
      <c r="A91" s="253">
        <v>44797</v>
      </c>
      <c r="B91" s="224" t="s">
        <v>226</v>
      </c>
      <c r="C91" s="316">
        <v>4</v>
      </c>
      <c r="D91" s="224" t="s">
        <v>3937</v>
      </c>
      <c r="E91" s="224" t="s">
        <v>4</v>
      </c>
      <c r="F91" s="224" t="s">
        <v>1045</v>
      </c>
      <c r="G91" s="224" t="s">
        <v>3938</v>
      </c>
      <c r="H91" s="224">
        <v>3.5</v>
      </c>
      <c r="I91" s="224" t="s">
        <v>1350</v>
      </c>
      <c r="J91" s="224" t="s">
        <v>3939</v>
      </c>
      <c r="K91" s="224">
        <v>4.5</v>
      </c>
      <c r="L91" s="224"/>
      <c r="M91" s="224"/>
      <c r="N91" s="224" t="s">
        <v>452</v>
      </c>
      <c r="O91" s="224" t="s">
        <v>3940</v>
      </c>
      <c r="P91" s="224"/>
      <c r="Q91" s="224" t="s">
        <v>18</v>
      </c>
      <c r="R91" s="224"/>
      <c r="S91" s="224" t="str">
        <f>IFERROR(VLOOKUP(B91,'2022-2023 Third Reviews'!$C:$S,9,FALSE),"")</f>
        <v/>
      </c>
      <c r="T91" s="224" t="s">
        <v>13109</v>
      </c>
      <c r="U91" s="224" t="s">
        <v>24</v>
      </c>
      <c r="V91" s="294"/>
      <c r="W91" s="294"/>
      <c r="X91" s="294"/>
      <c r="Y91" s="294"/>
      <c r="Z91" s="294"/>
      <c r="AA91" s="265"/>
      <c r="AB91" s="265"/>
      <c r="AC91" s="265"/>
    </row>
    <row r="92" spans="1:29" ht="15.75" customHeight="1">
      <c r="A92" s="248">
        <v>44796</v>
      </c>
      <c r="B92" s="219" t="s">
        <v>228</v>
      </c>
      <c r="C92" s="315">
        <v>4</v>
      </c>
      <c r="D92" s="219" t="s">
        <v>3945</v>
      </c>
      <c r="E92" s="219" t="s">
        <v>4</v>
      </c>
      <c r="F92" s="219" t="s">
        <v>725</v>
      </c>
      <c r="G92" s="219" t="s">
        <v>10923</v>
      </c>
      <c r="H92" s="219">
        <v>4</v>
      </c>
      <c r="I92" s="219" t="s">
        <v>1281</v>
      </c>
      <c r="J92" s="219" t="s">
        <v>3947</v>
      </c>
      <c r="K92" s="219">
        <v>4</v>
      </c>
      <c r="L92" s="219" t="s">
        <v>3948</v>
      </c>
      <c r="M92" s="219" t="s">
        <v>3949</v>
      </c>
      <c r="N92" s="219" t="s">
        <v>452</v>
      </c>
      <c r="O92" s="219" t="s">
        <v>452</v>
      </c>
      <c r="P92" s="219"/>
      <c r="Q92" s="219" t="s">
        <v>18</v>
      </c>
      <c r="R92" s="219"/>
      <c r="S92" s="219" t="str">
        <f>IFERROR(VLOOKUP(B92,'2022-2023 Third Reviews'!$C:$S,9,FALSE),"")</f>
        <v/>
      </c>
      <c r="T92" s="219" t="s">
        <v>13099</v>
      </c>
      <c r="U92" s="219" t="s">
        <v>24</v>
      </c>
      <c r="V92" s="268"/>
      <c r="W92" s="268"/>
      <c r="X92" s="268"/>
      <c r="Y92" s="268"/>
      <c r="Z92" s="268"/>
      <c r="AA92" s="219"/>
      <c r="AB92" s="219"/>
      <c r="AC92" s="219"/>
    </row>
    <row r="93" spans="1:29" ht="15.75" customHeight="1">
      <c r="A93" s="253">
        <v>44796</v>
      </c>
      <c r="B93" s="224" t="s">
        <v>229</v>
      </c>
      <c r="C93" s="316">
        <v>4</v>
      </c>
      <c r="D93" s="224" t="s">
        <v>10405</v>
      </c>
      <c r="E93" s="224" t="s">
        <v>4</v>
      </c>
      <c r="F93" s="224" t="s">
        <v>1045</v>
      </c>
      <c r="G93" s="224" t="s">
        <v>3955</v>
      </c>
      <c r="H93" s="224">
        <v>4</v>
      </c>
      <c r="I93" s="224" t="s">
        <v>1298</v>
      </c>
      <c r="J93" s="224" t="s">
        <v>3956</v>
      </c>
      <c r="K93" s="224">
        <v>4</v>
      </c>
      <c r="L93" s="224" t="s">
        <v>451</v>
      </c>
      <c r="M93" s="330">
        <v>2000000</v>
      </c>
      <c r="N93" s="224" t="s">
        <v>454</v>
      </c>
      <c r="O93" s="224" t="s">
        <v>452</v>
      </c>
      <c r="P93" s="224" t="s">
        <v>3957</v>
      </c>
      <c r="Q93" s="224" t="s">
        <v>18</v>
      </c>
      <c r="R93" s="224"/>
      <c r="S93" s="224" t="str">
        <f>IFERROR(VLOOKUP(B93,'2022-2023 Third Reviews'!$C:$S,9,FALSE),"")</f>
        <v/>
      </c>
      <c r="T93" s="224" t="s">
        <v>13087</v>
      </c>
      <c r="U93" s="224" t="s">
        <v>24</v>
      </c>
      <c r="V93" s="258"/>
      <c r="W93" s="258"/>
      <c r="X93" s="258"/>
      <c r="Y93" s="258"/>
      <c r="Z93" s="258"/>
      <c r="AA93" s="258"/>
      <c r="AB93" s="258"/>
      <c r="AC93" s="258"/>
    </row>
    <row r="94" spans="1:29" ht="15.75" customHeight="1">
      <c r="A94" s="248">
        <v>44782</v>
      </c>
      <c r="B94" s="219" t="s">
        <v>230</v>
      </c>
      <c r="C94" s="249">
        <v>4</v>
      </c>
      <c r="D94" s="219" t="s">
        <v>3962</v>
      </c>
      <c r="E94" s="250" t="s">
        <v>4</v>
      </c>
      <c r="F94" s="219" t="s">
        <v>727</v>
      </c>
      <c r="G94" s="219" t="s">
        <v>10428</v>
      </c>
      <c r="H94" s="219">
        <v>4</v>
      </c>
      <c r="I94" s="219" t="s">
        <v>941</v>
      </c>
      <c r="J94" s="219" t="s">
        <v>3964</v>
      </c>
      <c r="K94" s="219">
        <v>4</v>
      </c>
      <c r="L94" s="219"/>
      <c r="M94" s="219"/>
      <c r="N94" s="219" t="s">
        <v>452</v>
      </c>
      <c r="O94" s="219" t="s">
        <v>11526</v>
      </c>
      <c r="P94" s="219" t="s">
        <v>3966</v>
      </c>
      <c r="Q94" s="219" t="s">
        <v>18</v>
      </c>
      <c r="R94" s="219"/>
      <c r="S94" s="219" t="str">
        <f ca="1">IFERROR(VLOOKUP(B94,'2022-2023 Third Reviews'!$C:$S,9,FALSE),"")</f>
        <v>Ahmed Bahgat
4</v>
      </c>
      <c r="T94" s="219" t="s">
        <v>13066</v>
      </c>
      <c r="U94" s="219" t="s">
        <v>24</v>
      </c>
      <c r="V94" s="268"/>
      <c r="W94" s="268"/>
      <c r="X94" s="268"/>
      <c r="Y94" s="268"/>
      <c r="Z94" s="268"/>
      <c r="AA94" s="219"/>
      <c r="AB94" s="219"/>
      <c r="AC94" s="219"/>
    </row>
    <row r="95" spans="1:29" ht="15.75" customHeight="1">
      <c r="A95" s="399">
        <v>44784</v>
      </c>
      <c r="B95" s="277" t="s">
        <v>232</v>
      </c>
      <c r="C95" s="278">
        <v>4</v>
      </c>
      <c r="D95" s="277" t="s">
        <v>3971</v>
      </c>
      <c r="E95" s="277" t="s">
        <v>4</v>
      </c>
      <c r="F95" s="277" t="s">
        <v>447</v>
      </c>
      <c r="G95" s="277" t="s">
        <v>10580</v>
      </c>
      <c r="H95" s="277">
        <v>4</v>
      </c>
      <c r="I95" s="277" t="s">
        <v>476</v>
      </c>
      <c r="J95" s="277" t="s">
        <v>11555</v>
      </c>
      <c r="K95" s="277">
        <v>4</v>
      </c>
      <c r="L95" s="277" t="s">
        <v>3974</v>
      </c>
      <c r="M95" s="289">
        <v>5000000</v>
      </c>
      <c r="N95" s="277" t="s">
        <v>452</v>
      </c>
      <c r="O95" s="289" t="s">
        <v>3420</v>
      </c>
      <c r="P95" s="277"/>
      <c r="Q95" s="277" t="s">
        <v>18</v>
      </c>
      <c r="R95" s="277" t="s">
        <v>3975</v>
      </c>
      <c r="S95" s="277" t="str">
        <f ca="1">IFERROR(VLOOKUP(B95,'2022-2023 Third Reviews'!$C:$S,9,FALSE),"")</f>
        <v>Ahmed Bahgat
5</v>
      </c>
      <c r="T95" s="277" t="s">
        <v>13110</v>
      </c>
      <c r="U95" s="277" t="s">
        <v>24</v>
      </c>
      <c r="V95" s="252"/>
      <c r="W95" s="252"/>
      <c r="X95" s="252"/>
      <c r="Y95" s="224"/>
      <c r="Z95" s="224"/>
      <c r="AA95" s="224"/>
      <c r="AB95" s="224"/>
      <c r="AC95" s="224"/>
    </row>
    <row r="96" spans="1:29" ht="15.75" customHeight="1">
      <c r="A96" s="248">
        <v>44789</v>
      </c>
      <c r="B96" s="219" t="s">
        <v>235</v>
      </c>
      <c r="C96" s="249">
        <v>4</v>
      </c>
      <c r="D96" s="219" t="s">
        <v>3987</v>
      </c>
      <c r="E96" s="250" t="s">
        <v>4</v>
      </c>
      <c r="F96" s="219" t="s">
        <v>727</v>
      </c>
      <c r="G96" s="219" t="s">
        <v>10676</v>
      </c>
      <c r="H96" s="219">
        <v>4</v>
      </c>
      <c r="I96" s="219" t="s">
        <v>1045</v>
      </c>
      <c r="J96" s="219" t="s">
        <v>3989</v>
      </c>
      <c r="K96" s="219">
        <v>4</v>
      </c>
      <c r="L96" s="219"/>
      <c r="M96" s="219"/>
      <c r="N96" s="219" t="s">
        <v>452</v>
      </c>
      <c r="O96" s="219" t="s">
        <v>3990</v>
      </c>
      <c r="P96" s="219"/>
      <c r="Q96" s="219" t="s">
        <v>18</v>
      </c>
      <c r="R96" s="219"/>
      <c r="S96" s="219" t="str">
        <f ca="1">IFERROR(VLOOKUP(B96,'2022-2023 Third Reviews'!$C:$S,9,FALSE),"")</f>
        <v>Joshua Rubnitz
5</v>
      </c>
      <c r="T96" s="219" t="s">
        <v>13111</v>
      </c>
      <c r="U96" s="219" t="s">
        <v>24</v>
      </c>
      <c r="V96" s="268"/>
      <c r="W96" s="268"/>
      <c r="X96" s="268"/>
      <c r="Y96" s="268"/>
      <c r="Z96" s="268"/>
      <c r="AA96" s="219"/>
      <c r="AB96" s="219"/>
      <c r="AC96" s="219"/>
    </row>
    <row r="97" spans="1:29" ht="15.75" customHeight="1">
      <c r="A97" s="253">
        <v>44796</v>
      </c>
      <c r="B97" s="224" t="s">
        <v>236</v>
      </c>
      <c r="C97" s="316">
        <v>4</v>
      </c>
      <c r="D97" s="224" t="s">
        <v>10539</v>
      </c>
      <c r="E97" s="224" t="s">
        <v>4</v>
      </c>
      <c r="F97" s="224" t="s">
        <v>727</v>
      </c>
      <c r="G97" s="224" t="s">
        <v>10540</v>
      </c>
      <c r="H97" s="224">
        <v>4</v>
      </c>
      <c r="I97" s="224" t="s">
        <v>1371</v>
      </c>
      <c r="J97" s="224" t="s">
        <v>3997</v>
      </c>
      <c r="K97" s="224">
        <v>4</v>
      </c>
      <c r="L97" s="224"/>
      <c r="M97" s="224"/>
      <c r="N97" s="224" t="s">
        <v>452</v>
      </c>
      <c r="O97" s="224" t="s">
        <v>3998</v>
      </c>
      <c r="P97" s="224"/>
      <c r="Q97" s="224" t="s">
        <v>18</v>
      </c>
      <c r="R97" s="224"/>
      <c r="S97" s="224" t="str">
        <f>IFERROR(VLOOKUP(B97,'2022-2023 Third Reviews'!$C:$S,9,FALSE),"")</f>
        <v/>
      </c>
      <c r="T97" s="224" t="s">
        <v>13061</v>
      </c>
      <c r="U97" s="224" t="s">
        <v>24</v>
      </c>
      <c r="V97" s="252"/>
      <c r="W97" s="252"/>
      <c r="X97" s="252"/>
      <c r="Y97" s="224"/>
      <c r="Z97" s="224"/>
      <c r="AA97" s="224"/>
      <c r="AB97" s="224"/>
      <c r="AC97" s="224"/>
    </row>
    <row r="98" spans="1:29" ht="15.75" customHeight="1">
      <c r="A98" s="248">
        <v>44789</v>
      </c>
      <c r="B98" s="219" t="s">
        <v>238</v>
      </c>
      <c r="C98" s="249">
        <v>4</v>
      </c>
      <c r="D98" s="219" t="s">
        <v>10668</v>
      </c>
      <c r="E98" s="250" t="s">
        <v>4</v>
      </c>
      <c r="F98" s="219" t="s">
        <v>727</v>
      </c>
      <c r="G98" s="219" t="s">
        <v>11615</v>
      </c>
      <c r="H98" s="219">
        <v>4</v>
      </c>
      <c r="I98" s="219" t="s">
        <v>1045</v>
      </c>
      <c r="J98" s="219" t="s">
        <v>4004</v>
      </c>
      <c r="K98" s="219">
        <v>4</v>
      </c>
      <c r="L98" s="219" t="s">
        <v>451</v>
      </c>
      <c r="M98" s="219" t="s">
        <v>4005</v>
      </c>
      <c r="N98" s="219" t="s">
        <v>454</v>
      </c>
      <c r="O98" s="219" t="s">
        <v>4006</v>
      </c>
      <c r="P98" s="219"/>
      <c r="Q98" s="219" t="s">
        <v>18</v>
      </c>
      <c r="R98" s="219"/>
      <c r="S98" s="219" t="str">
        <f ca="1">IFERROR(VLOOKUP(B98,'2022-2023 Third Reviews'!$C:$S,9,FALSE),"")</f>
        <v>Joshua Rubnitz
3</v>
      </c>
      <c r="T98" s="219" t="s">
        <v>13112</v>
      </c>
      <c r="U98" s="219" t="s">
        <v>24</v>
      </c>
      <c r="V98" s="268"/>
      <c r="W98" s="268"/>
      <c r="X98" s="268"/>
      <c r="Y98" s="268"/>
      <c r="Z98" s="268"/>
      <c r="AA98" s="219"/>
      <c r="AB98" s="219"/>
      <c r="AC98" s="219"/>
    </row>
    <row r="99" spans="1:29" ht="15.75" customHeight="1">
      <c r="A99" s="398">
        <v>44784</v>
      </c>
      <c r="B99" s="272" t="s">
        <v>239</v>
      </c>
      <c r="C99" s="269">
        <v>4</v>
      </c>
      <c r="D99" s="272" t="s">
        <v>4011</v>
      </c>
      <c r="E99" s="270" t="s">
        <v>4</v>
      </c>
      <c r="F99" s="272" t="s">
        <v>727</v>
      </c>
      <c r="G99" s="272" t="s">
        <v>10732</v>
      </c>
      <c r="H99" s="272">
        <v>4</v>
      </c>
      <c r="I99" s="272" t="s">
        <v>1054</v>
      </c>
      <c r="J99" s="272" t="s">
        <v>10733</v>
      </c>
      <c r="K99" s="272">
        <v>4</v>
      </c>
      <c r="L99" s="272" t="s">
        <v>451</v>
      </c>
      <c r="M99" s="272" t="s">
        <v>4014</v>
      </c>
      <c r="N99" s="272" t="s">
        <v>465</v>
      </c>
      <c r="O99" s="272" t="s">
        <v>4015</v>
      </c>
      <c r="P99" s="272"/>
      <c r="Q99" s="272" t="s">
        <v>18</v>
      </c>
      <c r="R99" s="272"/>
      <c r="S99" s="272" t="str">
        <f ca="1">IFERROR(VLOOKUP(B99,'2022-2023 Third Reviews'!$C:$S,9,FALSE),"")</f>
        <v>Joshua Rubnitz
3</v>
      </c>
      <c r="T99" s="272" t="s">
        <v>13087</v>
      </c>
      <c r="U99" s="272" t="s">
        <v>24</v>
      </c>
      <c r="V99" s="281"/>
      <c r="W99" s="281"/>
      <c r="X99" s="281"/>
      <c r="Y99" s="281"/>
      <c r="Z99" s="281"/>
      <c r="AA99" s="258"/>
      <c r="AB99" s="258"/>
      <c r="AC99" s="258"/>
    </row>
    <row r="100" spans="1:29" ht="15.75" customHeight="1">
      <c r="A100" s="321">
        <v>44791</v>
      </c>
      <c r="B100" s="322" t="s">
        <v>242</v>
      </c>
      <c r="C100" s="323">
        <v>4</v>
      </c>
      <c r="D100" s="322" t="s">
        <v>4020</v>
      </c>
      <c r="E100" s="322" t="s">
        <v>4</v>
      </c>
      <c r="F100" s="322" t="s">
        <v>725</v>
      </c>
      <c r="G100" s="322" t="s">
        <v>10352</v>
      </c>
      <c r="H100" s="322">
        <v>4</v>
      </c>
      <c r="I100" s="322" t="s">
        <v>1045</v>
      </c>
      <c r="J100" s="322" t="s">
        <v>4022</v>
      </c>
      <c r="K100" s="322">
        <v>4</v>
      </c>
      <c r="L100" s="322"/>
      <c r="M100" s="322"/>
      <c r="N100" s="322" t="s">
        <v>465</v>
      </c>
      <c r="O100" s="322" t="s">
        <v>452</v>
      </c>
      <c r="P100" s="322"/>
      <c r="Q100" s="322" t="s">
        <v>20</v>
      </c>
      <c r="R100" s="322" t="s">
        <v>10353</v>
      </c>
      <c r="S100" s="322" t="str">
        <f ca="1">IFERROR(VLOOKUP(B100,'2022-2023 Third Reviews'!$C:$S,9,FALSE),"")</f>
        <v>Joshua Rubnitz
4</v>
      </c>
      <c r="T100" s="322" t="s">
        <v>13100</v>
      </c>
      <c r="U100" s="322" t="s">
        <v>24</v>
      </c>
      <c r="V100" s="268"/>
      <c r="W100" s="268"/>
      <c r="X100" s="268"/>
      <c r="Y100" s="268"/>
      <c r="Z100" s="268"/>
      <c r="AA100" s="219"/>
      <c r="AB100" s="219"/>
      <c r="AC100" s="219"/>
    </row>
    <row r="101" spans="1:29" ht="15.75" customHeight="1">
      <c r="A101" s="253">
        <v>44791</v>
      </c>
      <c r="B101" s="224" t="s">
        <v>243</v>
      </c>
      <c r="C101" s="316">
        <v>4</v>
      </c>
      <c r="D101" s="224" t="s">
        <v>4028</v>
      </c>
      <c r="E101" s="224" t="s">
        <v>4</v>
      </c>
      <c r="F101" s="224" t="s">
        <v>602</v>
      </c>
      <c r="G101" s="224" t="s">
        <v>4029</v>
      </c>
      <c r="H101" s="224">
        <v>4</v>
      </c>
      <c r="I101" s="224" t="s">
        <v>476</v>
      </c>
      <c r="J101" s="224" t="s">
        <v>11660</v>
      </c>
      <c r="K101" s="224">
        <v>4</v>
      </c>
      <c r="L101" s="224"/>
      <c r="M101" s="307"/>
      <c r="N101" s="224" t="s">
        <v>452</v>
      </c>
      <c r="O101" s="224" t="s">
        <v>4031</v>
      </c>
      <c r="P101" s="224"/>
      <c r="Q101" s="224" t="s">
        <v>18</v>
      </c>
      <c r="R101" s="224"/>
      <c r="S101" s="224" t="str">
        <f ca="1">IFERROR(VLOOKUP(B101,'2022-2023 Third Reviews'!$C:$S,9,FALSE),"")</f>
        <v>Joshua Rubnitz
3</v>
      </c>
      <c r="T101" s="224" t="s">
        <v>13113</v>
      </c>
      <c r="U101" s="224" t="s">
        <v>24</v>
      </c>
      <c r="V101" s="281"/>
      <c r="W101" s="281"/>
      <c r="X101" s="281"/>
      <c r="Y101" s="281"/>
      <c r="Z101" s="281"/>
      <c r="AA101" s="258"/>
      <c r="AB101" s="258"/>
      <c r="AC101" s="258"/>
    </row>
    <row r="102" spans="1:29" ht="15.75" customHeight="1">
      <c r="A102" s="248">
        <v>44797</v>
      </c>
      <c r="B102" s="219" t="s">
        <v>244</v>
      </c>
      <c r="C102" s="315">
        <v>4</v>
      </c>
      <c r="D102" s="219" t="s">
        <v>4036</v>
      </c>
      <c r="E102" s="219" t="s">
        <v>4</v>
      </c>
      <c r="F102" s="219" t="s">
        <v>727</v>
      </c>
      <c r="G102" s="219" t="s">
        <v>11253</v>
      </c>
      <c r="H102" s="219">
        <v>4</v>
      </c>
      <c r="I102" s="219" t="s">
        <v>1457</v>
      </c>
      <c r="J102" s="219" t="s">
        <v>4038</v>
      </c>
      <c r="K102" s="219">
        <v>4</v>
      </c>
      <c r="L102" s="219"/>
      <c r="M102" s="219"/>
      <c r="N102" s="219" t="s">
        <v>454</v>
      </c>
      <c r="O102" s="219" t="s">
        <v>452</v>
      </c>
      <c r="P102" s="219"/>
      <c r="Q102" s="219" t="s">
        <v>18</v>
      </c>
      <c r="R102" s="219"/>
      <c r="S102" s="219" t="str">
        <f>IFERROR(VLOOKUP(B102,'2022-2023 Third Reviews'!$C:$S,9,FALSE),"")</f>
        <v/>
      </c>
      <c r="T102" s="219" t="s">
        <v>13114</v>
      </c>
      <c r="U102" s="219" t="s">
        <v>24</v>
      </c>
      <c r="V102" s="268"/>
      <c r="W102" s="268"/>
      <c r="X102" s="268"/>
      <c r="Y102" s="268"/>
      <c r="Z102" s="268"/>
      <c r="AA102" s="219"/>
      <c r="AB102" s="219"/>
      <c r="AC102" s="219"/>
    </row>
    <row r="103" spans="1:29" ht="15.75" customHeight="1">
      <c r="A103" s="253">
        <v>44797</v>
      </c>
      <c r="B103" s="224" t="s">
        <v>247</v>
      </c>
      <c r="C103" s="316">
        <v>4</v>
      </c>
      <c r="D103" s="224" t="s">
        <v>4043</v>
      </c>
      <c r="E103" s="224" t="s">
        <v>4</v>
      </c>
      <c r="F103" s="224" t="s">
        <v>725</v>
      </c>
      <c r="G103" s="224" t="s">
        <v>10213</v>
      </c>
      <c r="H103" s="224">
        <v>4</v>
      </c>
      <c r="I103" s="224" t="s">
        <v>1457</v>
      </c>
      <c r="J103" s="224" t="s">
        <v>4045</v>
      </c>
      <c r="K103" s="224">
        <v>4</v>
      </c>
      <c r="L103" s="224" t="s">
        <v>451</v>
      </c>
      <c r="M103" s="311">
        <v>1500000</v>
      </c>
      <c r="N103" s="224" t="s">
        <v>452</v>
      </c>
      <c r="O103" s="224" t="s">
        <v>4046</v>
      </c>
      <c r="P103" s="224" t="s">
        <v>4047</v>
      </c>
      <c r="Q103" s="224" t="s">
        <v>18</v>
      </c>
      <c r="R103" s="224"/>
      <c r="S103" s="224" t="str">
        <f>IFERROR(VLOOKUP(B103,'2022-2023 Third Reviews'!$C:$S,9,FALSE),"")</f>
        <v/>
      </c>
      <c r="T103" s="224" t="s">
        <v>13115</v>
      </c>
      <c r="U103" s="224" t="s">
        <v>24</v>
      </c>
      <c r="V103" s="272"/>
      <c r="W103" s="272"/>
      <c r="X103" s="272"/>
      <c r="Y103" s="272"/>
      <c r="Z103" s="272"/>
      <c r="AA103" s="224"/>
      <c r="AB103" s="224"/>
      <c r="AC103" s="224"/>
    </row>
    <row r="104" spans="1:29" ht="15.75" customHeight="1">
      <c r="A104" s="248">
        <v>44796</v>
      </c>
      <c r="B104" s="219" t="s">
        <v>248</v>
      </c>
      <c r="C104" s="315">
        <v>4</v>
      </c>
      <c r="D104" s="219" t="s">
        <v>4052</v>
      </c>
      <c r="E104" s="219" t="s">
        <v>4</v>
      </c>
      <c r="F104" s="219" t="s">
        <v>725</v>
      </c>
      <c r="G104" s="219" t="s">
        <v>11713</v>
      </c>
      <c r="H104" s="219">
        <v>4</v>
      </c>
      <c r="I104" s="219" t="s">
        <v>4054</v>
      </c>
      <c r="J104" s="219" t="s">
        <v>4055</v>
      </c>
      <c r="K104" s="219">
        <v>4</v>
      </c>
      <c r="L104" s="219" t="s">
        <v>4056</v>
      </c>
      <c r="M104" s="219" t="s">
        <v>4057</v>
      </c>
      <c r="N104" s="219" t="s">
        <v>465</v>
      </c>
      <c r="O104" s="219" t="s">
        <v>4058</v>
      </c>
      <c r="P104" s="219"/>
      <c r="Q104" s="219" t="s">
        <v>18</v>
      </c>
      <c r="R104" s="219"/>
      <c r="S104" s="219" t="str">
        <f>IFERROR(VLOOKUP(B104,'2022-2023 Third Reviews'!$C:$S,9,FALSE),"")</f>
        <v/>
      </c>
      <c r="T104" s="219" t="s">
        <v>13049</v>
      </c>
      <c r="U104" s="219" t="s">
        <v>24</v>
      </c>
      <c r="V104" s="252"/>
      <c r="W104" s="252"/>
      <c r="X104" s="252"/>
      <c r="Y104" s="219"/>
      <c r="Z104" s="219"/>
      <c r="AA104" s="219"/>
      <c r="AB104" s="219"/>
      <c r="AC104" s="219"/>
    </row>
    <row r="105" spans="1:29" ht="15.75" customHeight="1">
      <c r="A105" s="253">
        <v>44789</v>
      </c>
      <c r="B105" s="224" t="s">
        <v>249</v>
      </c>
      <c r="C105" s="249">
        <v>4</v>
      </c>
      <c r="D105" s="224" t="s">
        <v>4063</v>
      </c>
      <c r="E105" s="250" t="s">
        <v>4</v>
      </c>
      <c r="F105" s="224" t="s">
        <v>727</v>
      </c>
      <c r="G105" s="224" t="s">
        <v>10719</v>
      </c>
      <c r="H105" s="224">
        <v>4</v>
      </c>
      <c r="I105" s="224" t="s">
        <v>1045</v>
      </c>
      <c r="J105" s="224" t="s">
        <v>4065</v>
      </c>
      <c r="K105" s="224">
        <v>4</v>
      </c>
      <c r="L105" s="224" t="s">
        <v>451</v>
      </c>
      <c r="M105" s="224" t="s">
        <v>4066</v>
      </c>
      <c r="N105" s="224" t="s">
        <v>452</v>
      </c>
      <c r="O105" s="224" t="s">
        <v>4067</v>
      </c>
      <c r="P105" s="224"/>
      <c r="Q105" s="224" t="s">
        <v>18</v>
      </c>
      <c r="R105" s="224"/>
      <c r="S105" s="224" t="str">
        <f ca="1">IFERROR(VLOOKUP(B105,'2022-2023 Third Reviews'!$C:$S,9,FALSE),"")</f>
        <v>Chris Millisits
2</v>
      </c>
      <c r="T105" s="224" t="s">
        <v>13077</v>
      </c>
      <c r="U105" s="224" t="s">
        <v>24</v>
      </c>
      <c r="V105" s="252"/>
      <c r="W105" s="252"/>
      <c r="X105" s="252"/>
      <c r="Y105" s="224"/>
      <c r="Z105" s="224"/>
      <c r="AA105" s="224"/>
      <c r="AB105" s="224"/>
      <c r="AC105" s="224"/>
    </row>
    <row r="106" spans="1:29" ht="15.75" customHeight="1">
      <c r="A106" s="248">
        <v>44797</v>
      </c>
      <c r="B106" s="219" t="s">
        <v>253</v>
      </c>
      <c r="C106" s="315">
        <v>4</v>
      </c>
      <c r="D106" s="219" t="s">
        <v>10413</v>
      </c>
      <c r="E106" s="219" t="s">
        <v>4</v>
      </c>
      <c r="F106" s="219" t="s">
        <v>727</v>
      </c>
      <c r="G106" s="219" t="s">
        <v>10414</v>
      </c>
      <c r="H106" s="219">
        <v>4</v>
      </c>
      <c r="I106" s="219" t="s">
        <v>449</v>
      </c>
      <c r="J106" s="219" t="s">
        <v>10415</v>
      </c>
      <c r="K106" s="219">
        <v>4</v>
      </c>
      <c r="L106" s="219" t="s">
        <v>478</v>
      </c>
      <c r="M106" s="219" t="s">
        <v>4076</v>
      </c>
      <c r="N106" s="219" t="s">
        <v>452</v>
      </c>
      <c r="O106" s="219" t="s">
        <v>4077</v>
      </c>
      <c r="P106" s="219"/>
      <c r="Q106" s="219" t="s">
        <v>18</v>
      </c>
      <c r="R106" s="219"/>
      <c r="S106" s="219" t="str">
        <f>IFERROR(VLOOKUP(B106,'2022-2023 Third Reviews'!$C:$S,9,FALSE),"")</f>
        <v/>
      </c>
      <c r="T106" s="219" t="s">
        <v>13059</v>
      </c>
      <c r="U106" s="219" t="s">
        <v>24</v>
      </c>
      <c r="V106" s="252"/>
      <c r="W106" s="252"/>
      <c r="X106" s="252"/>
      <c r="Y106" s="219"/>
      <c r="Z106" s="219"/>
      <c r="AA106" s="219"/>
      <c r="AB106" s="219"/>
      <c r="AC106" s="219"/>
    </row>
    <row r="107" spans="1:29" ht="15.75" customHeight="1">
      <c r="A107" s="257">
        <v>44797</v>
      </c>
      <c r="B107" s="258" t="s">
        <v>4086</v>
      </c>
      <c r="C107" s="263">
        <v>4</v>
      </c>
      <c r="D107" s="258" t="s">
        <v>4089</v>
      </c>
      <c r="E107" s="258" t="s">
        <v>4</v>
      </c>
      <c r="F107" s="258" t="s">
        <v>1045</v>
      </c>
      <c r="G107" s="258" t="s">
        <v>4090</v>
      </c>
      <c r="H107" s="258">
        <v>4</v>
      </c>
      <c r="I107" s="258" t="s">
        <v>1350</v>
      </c>
      <c r="J107" s="258" t="s">
        <v>4091</v>
      </c>
      <c r="K107" s="258">
        <v>4</v>
      </c>
      <c r="L107" s="258" t="s">
        <v>784</v>
      </c>
      <c r="M107" s="258" t="s">
        <v>4092</v>
      </c>
      <c r="N107" s="258" t="s">
        <v>452</v>
      </c>
      <c r="O107" s="258" t="s">
        <v>4093</v>
      </c>
      <c r="P107" s="258"/>
      <c r="Q107" s="258" t="s">
        <v>24</v>
      </c>
      <c r="R107" s="258" t="s">
        <v>11740</v>
      </c>
      <c r="S107" s="258" t="str">
        <f>IFERROR(VLOOKUP(B107,'2022-2023 Third Reviews'!$C:$S,9,FALSE),"")</f>
        <v/>
      </c>
      <c r="T107" s="258" t="s">
        <v>13117</v>
      </c>
      <c r="U107" s="258" t="s">
        <v>24</v>
      </c>
      <c r="V107" s="281"/>
      <c r="W107" s="281"/>
      <c r="X107" s="281"/>
      <c r="Y107" s="281"/>
      <c r="Z107" s="281"/>
      <c r="AA107" s="258"/>
      <c r="AB107" s="258"/>
      <c r="AC107" s="258"/>
    </row>
    <row r="108" spans="1:29" ht="15.75" customHeight="1">
      <c r="A108" s="248">
        <v>44789</v>
      </c>
      <c r="B108" s="219" t="s">
        <v>255</v>
      </c>
      <c r="C108" s="249">
        <v>4</v>
      </c>
      <c r="D108" s="219" t="s">
        <v>10861</v>
      </c>
      <c r="E108" s="250" t="s">
        <v>4</v>
      </c>
      <c r="F108" s="219" t="s">
        <v>602</v>
      </c>
      <c r="G108" s="219"/>
      <c r="H108" s="219">
        <v>4</v>
      </c>
      <c r="I108" s="219" t="s">
        <v>1054</v>
      </c>
      <c r="J108" s="219" t="s">
        <v>10862</v>
      </c>
      <c r="K108" s="219">
        <v>4</v>
      </c>
      <c r="L108" s="219"/>
      <c r="M108" s="219"/>
      <c r="N108" s="219" t="s">
        <v>465</v>
      </c>
      <c r="O108" s="219" t="s">
        <v>4102</v>
      </c>
      <c r="P108" s="219"/>
      <c r="Q108" s="219" t="s">
        <v>18</v>
      </c>
      <c r="R108" s="219"/>
      <c r="S108" s="219" t="str">
        <f ca="1">IFERROR(VLOOKUP(B108,'2022-2023 Third Reviews'!$C:$S,9,FALSE),"")</f>
        <v>Chris Millisits
3</v>
      </c>
      <c r="T108" s="219"/>
      <c r="U108" s="219" t="s">
        <v>24</v>
      </c>
      <c r="V108" s="268"/>
      <c r="W108" s="268"/>
      <c r="X108" s="268"/>
      <c r="Y108" s="268"/>
      <c r="Z108" s="268"/>
      <c r="AA108" s="219"/>
      <c r="AB108" s="219"/>
      <c r="AC108" s="219"/>
    </row>
    <row r="109" spans="1:29" ht="15.75" customHeight="1">
      <c r="A109" s="253">
        <v>44796</v>
      </c>
      <c r="B109" s="224" t="s">
        <v>263</v>
      </c>
      <c r="C109" s="316">
        <v>4</v>
      </c>
      <c r="D109" s="224" t="s">
        <v>4106</v>
      </c>
      <c r="E109" s="224" t="s">
        <v>4</v>
      </c>
      <c r="F109" s="224" t="s">
        <v>725</v>
      </c>
      <c r="G109" s="224" t="s">
        <v>11090</v>
      </c>
      <c r="H109" s="224">
        <v>4</v>
      </c>
      <c r="I109" s="224" t="s">
        <v>1045</v>
      </c>
      <c r="J109" s="224" t="s">
        <v>4108</v>
      </c>
      <c r="K109" s="224">
        <v>4</v>
      </c>
      <c r="L109" s="224" t="s">
        <v>478</v>
      </c>
      <c r="M109" s="224" t="s">
        <v>4109</v>
      </c>
      <c r="N109" s="224" t="s">
        <v>452</v>
      </c>
      <c r="O109" s="224" t="s">
        <v>11091</v>
      </c>
      <c r="P109" s="224" t="s">
        <v>4111</v>
      </c>
      <c r="Q109" s="224" t="s">
        <v>18</v>
      </c>
      <c r="R109" s="224"/>
      <c r="S109" s="224" t="str">
        <f>IFERROR(VLOOKUP(B109,'2022-2023 Third Reviews'!$C:$S,9,FALSE),"")</f>
        <v/>
      </c>
      <c r="T109" s="224" t="s">
        <v>13118</v>
      </c>
      <c r="U109" s="224" t="s">
        <v>24</v>
      </c>
      <c r="V109" s="252"/>
      <c r="W109" s="252"/>
      <c r="X109" s="252"/>
      <c r="Y109" s="224"/>
      <c r="Z109" s="224"/>
      <c r="AA109" s="224"/>
      <c r="AB109" s="224"/>
      <c r="AC109" s="224"/>
    </row>
    <row r="110" spans="1:29" ht="15.75" customHeight="1">
      <c r="A110" s="321">
        <v>44789</v>
      </c>
      <c r="B110" s="322" t="s">
        <v>264</v>
      </c>
      <c r="C110" s="323">
        <v>4</v>
      </c>
      <c r="D110" s="322" t="s">
        <v>4116</v>
      </c>
      <c r="E110" s="322" t="s">
        <v>4</v>
      </c>
      <c r="F110" s="322" t="s">
        <v>602</v>
      </c>
      <c r="G110" s="322" t="s">
        <v>4117</v>
      </c>
      <c r="H110" s="322">
        <v>4</v>
      </c>
      <c r="I110" s="322" t="s">
        <v>476</v>
      </c>
      <c r="J110" s="322" t="s">
        <v>11618</v>
      </c>
      <c r="K110" s="322">
        <v>4</v>
      </c>
      <c r="L110" s="322" t="s">
        <v>451</v>
      </c>
      <c r="M110" s="322">
        <v>700000</v>
      </c>
      <c r="N110" s="322" t="s">
        <v>452</v>
      </c>
      <c r="O110" s="322" t="s">
        <v>4119</v>
      </c>
      <c r="P110" s="322" t="s">
        <v>4120</v>
      </c>
      <c r="Q110" s="322" t="s">
        <v>18</v>
      </c>
      <c r="R110" s="322" t="s">
        <v>4121</v>
      </c>
      <c r="S110" s="322" t="str">
        <f ca="1">IFERROR(VLOOKUP(B110,'2022-2023 Third Reviews'!$C:$S,9,FALSE),"")</f>
        <v>Chris Millisits
3</v>
      </c>
      <c r="T110" s="322" t="s">
        <v>13119</v>
      </c>
      <c r="U110" s="322" t="s">
        <v>24</v>
      </c>
      <c r="V110" s="252"/>
      <c r="W110" s="252"/>
      <c r="X110" s="252"/>
      <c r="Y110" s="219"/>
      <c r="Z110" s="219"/>
      <c r="AA110" s="219"/>
      <c r="AB110" s="219"/>
      <c r="AC110" s="219"/>
    </row>
    <row r="111" spans="1:29" ht="15.75" customHeight="1">
      <c r="A111" s="253">
        <v>44796</v>
      </c>
      <c r="B111" s="224" t="s">
        <v>265</v>
      </c>
      <c r="C111" s="316">
        <v>4</v>
      </c>
      <c r="D111" s="224" t="s">
        <v>4125</v>
      </c>
      <c r="E111" s="224" t="s">
        <v>4</v>
      </c>
      <c r="F111" s="224" t="s">
        <v>725</v>
      </c>
      <c r="G111" s="224" t="s">
        <v>10266</v>
      </c>
      <c r="H111" s="224">
        <v>4</v>
      </c>
      <c r="I111" s="224" t="s">
        <v>1045</v>
      </c>
      <c r="J111" s="224" t="s">
        <v>4127</v>
      </c>
      <c r="K111" s="224">
        <v>4</v>
      </c>
      <c r="L111" s="224" t="s">
        <v>451</v>
      </c>
      <c r="M111" s="224" t="s">
        <v>4128</v>
      </c>
      <c r="N111" s="224" t="s">
        <v>454</v>
      </c>
      <c r="O111" s="224" t="s">
        <v>4129</v>
      </c>
      <c r="P111" s="224" t="s">
        <v>727</v>
      </c>
      <c r="Q111" s="224" t="s">
        <v>18</v>
      </c>
      <c r="R111" s="224"/>
      <c r="S111" s="224" t="str">
        <f>IFERROR(VLOOKUP(B111,'2022-2023 Third Reviews'!$C:$S,9,FALSE),"")</f>
        <v/>
      </c>
      <c r="T111" s="224" t="s">
        <v>13049</v>
      </c>
      <c r="U111" s="224" t="s">
        <v>24</v>
      </c>
      <c r="V111" s="409"/>
      <c r="W111" s="409"/>
      <c r="X111" s="409"/>
      <c r="Y111" s="409"/>
      <c r="Z111" s="409"/>
      <c r="AA111" s="322"/>
      <c r="AB111" s="322"/>
      <c r="AC111" s="322"/>
    </row>
    <row r="112" spans="1:29" ht="15.75" customHeight="1">
      <c r="A112" s="248">
        <v>44797</v>
      </c>
      <c r="B112" s="219" t="s">
        <v>189</v>
      </c>
      <c r="C112" s="315">
        <v>4</v>
      </c>
      <c r="D112" s="219"/>
      <c r="E112" s="219" t="s">
        <v>4</v>
      </c>
      <c r="F112" s="219" t="s">
        <v>725</v>
      </c>
      <c r="G112" s="219" t="s">
        <v>11274</v>
      </c>
      <c r="H112" s="219">
        <v>4</v>
      </c>
      <c r="I112" s="219" t="s">
        <v>462</v>
      </c>
      <c r="J112" s="219" t="s">
        <v>3764</v>
      </c>
      <c r="K112" s="219">
        <v>4</v>
      </c>
      <c r="L112" s="219" t="s">
        <v>1656</v>
      </c>
      <c r="M112" s="331">
        <v>20000000</v>
      </c>
      <c r="N112" s="219" t="s">
        <v>452</v>
      </c>
      <c r="O112" s="219" t="s">
        <v>575</v>
      </c>
      <c r="P112" s="219"/>
      <c r="Q112" s="219" t="s">
        <v>18</v>
      </c>
      <c r="R112" s="219"/>
      <c r="S112" s="219" t="str">
        <f>IFERROR(VLOOKUP(B112,'2022-2023 Third Reviews'!$C:$S,9,FALSE),"")</f>
        <v/>
      </c>
      <c r="T112" s="219"/>
      <c r="U112" s="219" t="s">
        <v>24</v>
      </c>
      <c r="V112" s="277"/>
      <c r="W112" s="277"/>
      <c r="X112" s="277"/>
      <c r="Y112" s="277"/>
      <c r="Z112" s="277"/>
      <c r="AA112" s="239"/>
      <c r="AB112" s="239"/>
      <c r="AC112" s="239"/>
    </row>
    <row r="113" spans="1:29" ht="53.25" customHeight="1">
      <c r="A113" s="253">
        <v>44797</v>
      </c>
      <c r="B113" s="224" t="s">
        <v>211</v>
      </c>
      <c r="C113" s="316">
        <v>4</v>
      </c>
      <c r="D113" s="224" t="s">
        <v>3867</v>
      </c>
      <c r="E113" s="224" t="s">
        <v>4</v>
      </c>
      <c r="F113" s="224" t="s">
        <v>725</v>
      </c>
      <c r="G113" s="224" t="s">
        <v>11299</v>
      </c>
      <c r="H113" s="224">
        <v>4</v>
      </c>
      <c r="I113" s="224" t="s">
        <v>1187</v>
      </c>
      <c r="J113" s="224" t="s">
        <v>3869</v>
      </c>
      <c r="K113" s="224">
        <v>4</v>
      </c>
      <c r="L113" s="224" t="s">
        <v>451</v>
      </c>
      <c r="M113" s="224" t="s">
        <v>3870</v>
      </c>
      <c r="N113" s="224" t="s">
        <v>452</v>
      </c>
      <c r="O113" s="224" t="s">
        <v>454</v>
      </c>
      <c r="P113" s="224"/>
      <c r="Q113" s="224" t="s">
        <v>18</v>
      </c>
      <c r="R113" s="224"/>
      <c r="S113" s="224" t="str">
        <f>IFERROR(VLOOKUP(B113,'2022-2023 Third Reviews'!$C:$S,9,FALSE),"")</f>
        <v/>
      </c>
      <c r="T113" s="224"/>
      <c r="U113" s="224" t="s">
        <v>24</v>
      </c>
      <c r="V113" s="272"/>
      <c r="W113" s="272"/>
      <c r="X113" s="272"/>
      <c r="Y113" s="272"/>
      <c r="Z113" s="272"/>
      <c r="AA113" s="224"/>
      <c r="AB113" s="224"/>
      <c r="AC113" s="224"/>
    </row>
    <row r="114" spans="1:29" ht="15.75" customHeight="1">
      <c r="A114" s="399">
        <v>44784</v>
      </c>
      <c r="B114" s="277" t="s">
        <v>216</v>
      </c>
      <c r="C114" s="278">
        <v>4</v>
      </c>
      <c r="D114" s="277" t="s">
        <v>3899</v>
      </c>
      <c r="E114" s="277" t="s">
        <v>4</v>
      </c>
      <c r="F114" s="277" t="s">
        <v>447</v>
      </c>
      <c r="G114" s="277" t="s">
        <v>11557</v>
      </c>
      <c r="H114" s="277">
        <v>4</v>
      </c>
      <c r="I114" s="277" t="s">
        <v>543</v>
      </c>
      <c r="J114" s="277" t="s">
        <v>11558</v>
      </c>
      <c r="K114" s="277">
        <v>4</v>
      </c>
      <c r="L114" s="277" t="s">
        <v>451</v>
      </c>
      <c r="M114" s="289">
        <v>3600000</v>
      </c>
      <c r="N114" s="277" t="s">
        <v>452</v>
      </c>
      <c r="O114" s="289" t="s">
        <v>3901</v>
      </c>
      <c r="P114" s="277" t="s">
        <v>725</v>
      </c>
      <c r="Q114" s="277" t="s">
        <v>18</v>
      </c>
      <c r="R114" s="277" t="s">
        <v>11559</v>
      </c>
      <c r="S114" s="277" t="str">
        <f ca="1">IFERROR(VLOOKUP(B114,'2022-2023 Third Reviews'!$C:$S,9,FALSE),"")</f>
        <v>John McDonald
4</v>
      </c>
      <c r="T114" s="277" t="s">
        <v>13099</v>
      </c>
      <c r="U114" s="277" t="s">
        <v>24</v>
      </c>
      <c r="V114" s="268"/>
      <c r="W114" s="268"/>
      <c r="X114" s="268"/>
      <c r="Y114" s="268"/>
      <c r="Z114" s="268"/>
      <c r="AA114" s="219"/>
      <c r="AB114" s="219"/>
      <c r="AC114" s="219"/>
    </row>
    <row r="115" spans="1:29" ht="15.75" customHeight="1">
      <c r="A115" s="253">
        <v>44797</v>
      </c>
      <c r="B115" s="224" t="s">
        <v>234</v>
      </c>
      <c r="C115" s="316">
        <v>4</v>
      </c>
      <c r="D115" s="224" t="s">
        <v>3980</v>
      </c>
      <c r="E115" s="224" t="s">
        <v>4</v>
      </c>
      <c r="F115" s="224" t="s">
        <v>447</v>
      </c>
      <c r="G115" s="224" t="s">
        <v>11294</v>
      </c>
      <c r="H115" s="224">
        <v>3</v>
      </c>
      <c r="I115" s="224" t="s">
        <v>1371</v>
      </c>
      <c r="J115" s="224" t="s">
        <v>3982</v>
      </c>
      <c r="K115" s="224">
        <v>5</v>
      </c>
      <c r="L115" s="224"/>
      <c r="M115" s="224"/>
      <c r="N115" s="224" t="s">
        <v>452</v>
      </c>
      <c r="O115" s="224" t="s">
        <v>3983</v>
      </c>
      <c r="P115" s="224"/>
      <c r="Q115" s="224" t="s">
        <v>18</v>
      </c>
      <c r="R115" s="224"/>
      <c r="S115" s="224" t="str">
        <f>IFERROR(VLOOKUP(B115,'2022-2023 Third Reviews'!$C:$S,9,FALSE),"")</f>
        <v/>
      </c>
      <c r="T115" s="224"/>
      <c r="U115" s="224" t="s">
        <v>24</v>
      </c>
      <c r="V115" s="272"/>
      <c r="W115" s="272"/>
      <c r="X115" s="272"/>
      <c r="Y115" s="272"/>
      <c r="Z115" s="272"/>
      <c r="AA115" s="224"/>
      <c r="AB115" s="224"/>
      <c r="AC115" s="224"/>
    </row>
    <row r="116" spans="1:29" ht="15.75" customHeight="1">
      <c r="A116" s="248">
        <v>44797</v>
      </c>
      <c r="B116" s="219" t="s">
        <v>254</v>
      </c>
      <c r="C116" s="315">
        <v>4</v>
      </c>
      <c r="D116" s="219" t="s">
        <v>11293</v>
      </c>
      <c r="E116" s="219" t="s">
        <v>4</v>
      </c>
      <c r="F116" s="219" t="s">
        <v>725</v>
      </c>
      <c r="G116" s="219" t="s">
        <v>4083</v>
      </c>
      <c r="H116" s="219">
        <v>4</v>
      </c>
      <c r="I116" s="219" t="s">
        <v>4054</v>
      </c>
      <c r="J116" s="219"/>
      <c r="K116" s="219">
        <v>4</v>
      </c>
      <c r="L116" s="219" t="s">
        <v>451</v>
      </c>
      <c r="M116" s="219">
        <v>500000</v>
      </c>
      <c r="N116" s="219" t="s">
        <v>452</v>
      </c>
      <c r="O116" s="219" t="s">
        <v>4084</v>
      </c>
      <c r="P116" s="219"/>
      <c r="Q116" s="219" t="s">
        <v>18</v>
      </c>
      <c r="R116" s="219"/>
      <c r="S116" s="219" t="str">
        <f>IFERROR(VLOOKUP(B116,'2022-2023 Third Reviews'!$C:$S,9,FALSE),"")</f>
        <v/>
      </c>
      <c r="T116" s="219"/>
      <c r="U116" s="219" t="s">
        <v>24</v>
      </c>
      <c r="V116" s="252"/>
      <c r="W116" s="252"/>
      <c r="X116" s="252"/>
      <c r="Y116" s="219"/>
      <c r="Z116" s="219"/>
      <c r="AA116" s="219"/>
      <c r="AB116" s="219"/>
      <c r="AC116" s="219"/>
    </row>
    <row r="117" spans="1:29" ht="15.75" customHeight="1">
      <c r="A117" s="257">
        <v>44782</v>
      </c>
      <c r="B117" s="258" t="s">
        <v>194</v>
      </c>
      <c r="C117" s="249">
        <v>3.88</v>
      </c>
      <c r="D117" s="258" t="s">
        <v>1210</v>
      </c>
      <c r="E117" s="250" t="s">
        <v>4</v>
      </c>
      <c r="F117" s="258" t="s">
        <v>602</v>
      </c>
      <c r="G117" s="258" t="s">
        <v>10191</v>
      </c>
      <c r="H117" s="258">
        <v>4</v>
      </c>
      <c r="I117" s="258" t="s">
        <v>1054</v>
      </c>
      <c r="J117" s="258" t="s">
        <v>1212</v>
      </c>
      <c r="K117" s="258">
        <v>3.75</v>
      </c>
      <c r="L117" s="258" t="s">
        <v>478</v>
      </c>
      <c r="M117" s="258">
        <v>3000000</v>
      </c>
      <c r="N117" s="258" t="s">
        <v>465</v>
      </c>
      <c r="O117" s="258" t="s">
        <v>1213</v>
      </c>
      <c r="P117" s="258"/>
      <c r="Q117" s="228" t="s">
        <v>18</v>
      </c>
      <c r="R117" s="258" t="s">
        <v>1214</v>
      </c>
      <c r="S117" s="258" t="str">
        <f ca="1">IFERROR(VLOOKUP(B117,'2022-2023 Third Reviews'!$C:$S,9,FALSE),"")</f>
        <v>Nick Schmandt
3</v>
      </c>
      <c r="T117" s="258" t="s">
        <v>13065</v>
      </c>
      <c r="U117" s="258" t="s">
        <v>18</v>
      </c>
      <c r="V117" s="272"/>
      <c r="W117" s="272"/>
      <c r="X117" s="272"/>
      <c r="Y117" s="272"/>
      <c r="Z117" s="272"/>
      <c r="AA117" s="224"/>
      <c r="AB117" s="224"/>
      <c r="AC117" s="224"/>
    </row>
    <row r="118" spans="1:29" ht="15.75" customHeight="1">
      <c r="A118" s="257">
        <v>44789</v>
      </c>
      <c r="B118" s="258" t="s">
        <v>195</v>
      </c>
      <c r="C118" s="263">
        <v>3.88</v>
      </c>
      <c r="D118" s="258" t="s">
        <v>1227</v>
      </c>
      <c r="E118" s="258" t="s">
        <v>4</v>
      </c>
      <c r="F118" s="258" t="s">
        <v>727</v>
      </c>
      <c r="G118" s="258" t="s">
        <v>10652</v>
      </c>
      <c r="H118" s="258">
        <v>4.5</v>
      </c>
      <c r="I118" s="258" t="s">
        <v>1045</v>
      </c>
      <c r="J118" s="258" t="s">
        <v>1229</v>
      </c>
      <c r="K118" s="258">
        <v>3.25</v>
      </c>
      <c r="L118" s="258" t="s">
        <v>784</v>
      </c>
      <c r="M118" s="309">
        <v>1500000</v>
      </c>
      <c r="N118" s="258" t="s">
        <v>452</v>
      </c>
      <c r="O118" s="258" t="s">
        <v>452</v>
      </c>
      <c r="P118" s="258"/>
      <c r="Q118" s="258" t="s">
        <v>18</v>
      </c>
      <c r="R118" s="258" t="s">
        <v>1230</v>
      </c>
      <c r="S118" s="258" t="str">
        <f ca="1">IFERROR(VLOOKUP(B118,'2022-2023 Third Reviews'!$C:$S,9,FALSE),"")</f>
        <v>John McDonald
2</v>
      </c>
      <c r="T118" s="258" t="s">
        <v>13058</v>
      </c>
      <c r="U118" s="258" t="s">
        <v>18</v>
      </c>
      <c r="V118" s="303"/>
      <c r="W118" s="303"/>
      <c r="X118" s="303"/>
      <c r="Y118" s="303"/>
      <c r="Z118" s="303"/>
      <c r="AA118" s="306"/>
      <c r="AB118" s="306"/>
      <c r="AC118" s="306"/>
    </row>
    <row r="119" spans="1:29" ht="15.75" customHeight="1">
      <c r="A119" s="257">
        <v>44789</v>
      </c>
      <c r="B119" s="258" t="s">
        <v>271</v>
      </c>
      <c r="C119" s="263">
        <v>3.88</v>
      </c>
      <c r="D119" s="258" t="s">
        <v>4144</v>
      </c>
      <c r="E119" s="258" t="s">
        <v>4</v>
      </c>
      <c r="F119" s="258" t="s">
        <v>602</v>
      </c>
      <c r="G119" s="258" t="s">
        <v>4145</v>
      </c>
      <c r="H119" s="258">
        <v>4</v>
      </c>
      <c r="I119" s="258" t="s">
        <v>1045</v>
      </c>
      <c r="J119" s="258" t="s">
        <v>4146</v>
      </c>
      <c r="K119" s="258">
        <v>3.75</v>
      </c>
      <c r="L119" s="258"/>
      <c r="M119" s="258"/>
      <c r="N119" s="258" t="s">
        <v>452</v>
      </c>
      <c r="O119" s="258" t="s">
        <v>11019</v>
      </c>
      <c r="P119" s="258"/>
      <c r="Q119" s="258" t="s">
        <v>18</v>
      </c>
      <c r="R119" s="258" t="s">
        <v>4148</v>
      </c>
      <c r="S119" s="258" t="str">
        <f>IFERROR(VLOOKUP(B119,'2022-2023 Third Reviews'!$C:$S,9,FALSE),"")</f>
        <v/>
      </c>
      <c r="T119" s="258"/>
      <c r="U119" s="258" t="s">
        <v>24</v>
      </c>
      <c r="V119" s="272"/>
      <c r="W119" s="272"/>
      <c r="X119" s="272"/>
      <c r="Y119" s="272"/>
      <c r="Z119" s="272"/>
      <c r="AA119" s="224"/>
      <c r="AB119" s="224"/>
      <c r="AC119" s="224"/>
    </row>
    <row r="120" spans="1:29" ht="15.75" customHeight="1">
      <c r="A120" s="257">
        <v>44796</v>
      </c>
      <c r="B120" s="258" t="s">
        <v>4132</v>
      </c>
      <c r="C120" s="263">
        <v>3.88</v>
      </c>
      <c r="D120" s="258" t="s">
        <v>4135</v>
      </c>
      <c r="E120" s="258" t="s">
        <v>4</v>
      </c>
      <c r="F120" s="258" t="s">
        <v>725</v>
      </c>
      <c r="G120" s="258" t="s">
        <v>11181</v>
      </c>
      <c r="H120" s="258">
        <v>3.75</v>
      </c>
      <c r="I120" s="258" t="s">
        <v>476</v>
      </c>
      <c r="J120" s="258" t="s">
        <v>11715</v>
      </c>
      <c r="K120" s="258">
        <v>4</v>
      </c>
      <c r="L120" s="258"/>
      <c r="M120" s="258"/>
      <c r="N120" s="258" t="s">
        <v>452</v>
      </c>
      <c r="O120" s="258" t="s">
        <v>4138</v>
      </c>
      <c r="P120" s="258"/>
      <c r="Q120" s="258" t="s">
        <v>24</v>
      </c>
      <c r="R120" s="258" t="s">
        <v>4139</v>
      </c>
      <c r="S120" s="258" t="str">
        <f>IFERROR(VLOOKUP(B120,'2022-2023 Third Reviews'!$C:$S,9,FALSE),"")</f>
        <v/>
      </c>
      <c r="T120" s="258" t="s">
        <v>13236</v>
      </c>
      <c r="U120" s="258"/>
      <c r="V120" s="268"/>
      <c r="W120" s="268"/>
      <c r="X120" s="268"/>
      <c r="Y120" s="268"/>
      <c r="Z120" s="268"/>
      <c r="AA120" s="219"/>
      <c r="AB120" s="219"/>
      <c r="AC120" s="219"/>
    </row>
    <row r="121" spans="1:29" ht="15.75" customHeight="1">
      <c r="A121" s="257">
        <v>44782</v>
      </c>
      <c r="B121" s="258" t="s">
        <v>273</v>
      </c>
      <c r="C121" s="249">
        <v>3.88</v>
      </c>
      <c r="D121" s="258" t="s">
        <v>9508</v>
      </c>
      <c r="E121" s="250" t="s">
        <v>4</v>
      </c>
      <c r="F121" s="258" t="s">
        <v>727</v>
      </c>
      <c r="G121" s="258" t="s">
        <v>9509</v>
      </c>
      <c r="H121" s="258">
        <v>3.75</v>
      </c>
      <c r="I121" s="258" t="s">
        <v>1054</v>
      </c>
      <c r="J121" s="258" t="s">
        <v>11528</v>
      </c>
      <c r="K121" s="258">
        <v>4</v>
      </c>
      <c r="L121" s="258"/>
      <c r="M121" s="258"/>
      <c r="N121" s="258" t="s">
        <v>452</v>
      </c>
      <c r="O121" s="258" t="s">
        <v>452</v>
      </c>
      <c r="P121" s="258"/>
      <c r="Q121" s="228" t="s">
        <v>20</v>
      </c>
      <c r="R121" s="258" t="s">
        <v>9511</v>
      </c>
      <c r="S121" s="258" t="str">
        <f ca="1">IFERROR(VLOOKUP(B121,'2022-2023 Third Reviews'!$C:$S,9,FALSE),"")</f>
        <v>Jason Yu
3</v>
      </c>
      <c r="T121" s="258" t="s">
        <v>13237</v>
      </c>
      <c r="U121" s="258"/>
      <c r="V121" s="272"/>
      <c r="W121" s="272"/>
      <c r="X121" s="272"/>
      <c r="Y121" s="272"/>
      <c r="Z121" s="272"/>
      <c r="AA121" s="224"/>
      <c r="AB121" s="224"/>
      <c r="AC121" s="224"/>
    </row>
    <row r="122" spans="1:29" ht="15.75" customHeight="1">
      <c r="A122" s="248">
        <v>44789</v>
      </c>
      <c r="B122" s="219" t="s">
        <v>4151</v>
      </c>
      <c r="C122" s="249">
        <v>3.88</v>
      </c>
      <c r="D122" s="219" t="s">
        <v>4154</v>
      </c>
      <c r="E122" s="250" t="s">
        <v>4</v>
      </c>
      <c r="F122" s="219" t="s">
        <v>727</v>
      </c>
      <c r="G122" s="219" t="s">
        <v>10675</v>
      </c>
      <c r="H122" s="219">
        <v>4</v>
      </c>
      <c r="I122" s="219" t="s">
        <v>1045</v>
      </c>
      <c r="J122" s="219" t="s">
        <v>4156</v>
      </c>
      <c r="K122" s="219">
        <v>3.75</v>
      </c>
      <c r="L122" s="219" t="s">
        <v>451</v>
      </c>
      <c r="M122" s="312" t="s">
        <v>4157</v>
      </c>
      <c r="N122" s="219" t="s">
        <v>452</v>
      </c>
      <c r="O122" s="219" t="s">
        <v>4158</v>
      </c>
      <c r="P122" s="219"/>
      <c r="Q122" s="219" t="s">
        <v>24</v>
      </c>
      <c r="R122" s="219" t="s">
        <v>4159</v>
      </c>
      <c r="S122" s="219" t="str">
        <f>IFERROR(VLOOKUP(B122,'2022-2023 Third Reviews'!$C:$S,9,FALSE),"")</f>
        <v/>
      </c>
      <c r="T122" s="219"/>
      <c r="U122" s="219"/>
      <c r="V122" s="322"/>
      <c r="W122" s="322"/>
      <c r="X122" s="322"/>
      <c r="Y122" s="322"/>
      <c r="Z122" s="322"/>
      <c r="AA122" s="322"/>
      <c r="AB122" s="322"/>
      <c r="AC122" s="322"/>
    </row>
    <row r="123" spans="1:29" ht="15.75" customHeight="1">
      <c r="A123" s="257">
        <v>44796</v>
      </c>
      <c r="B123" s="258" t="s">
        <v>185</v>
      </c>
      <c r="C123" s="263">
        <v>3.75</v>
      </c>
      <c r="D123" s="258" t="s">
        <v>1176</v>
      </c>
      <c r="E123" s="258" t="s">
        <v>4</v>
      </c>
      <c r="F123" s="258" t="s">
        <v>725</v>
      </c>
      <c r="G123" s="258" t="s">
        <v>11717</v>
      </c>
      <c r="H123" s="258">
        <v>4</v>
      </c>
      <c r="I123" s="258" t="s">
        <v>1045</v>
      </c>
      <c r="J123" s="258" t="s">
        <v>1178</v>
      </c>
      <c r="K123" s="258">
        <v>3.5</v>
      </c>
      <c r="L123" s="258"/>
      <c r="M123" s="258"/>
      <c r="N123" s="258" t="s">
        <v>452</v>
      </c>
      <c r="O123" s="258" t="s">
        <v>11133</v>
      </c>
      <c r="P123" s="258"/>
      <c r="Q123" s="258" t="s">
        <v>18</v>
      </c>
      <c r="R123" s="258" t="s">
        <v>11718</v>
      </c>
      <c r="S123" s="258" t="str">
        <f>IFERROR(VLOOKUP(B123,'2022-2023 Third Reviews'!$C:$S,9,FALSE),"")</f>
        <v/>
      </c>
      <c r="T123" s="258" t="s">
        <v>13051</v>
      </c>
      <c r="U123" s="258" t="s">
        <v>18</v>
      </c>
      <c r="V123" s="272"/>
      <c r="W123" s="272"/>
      <c r="X123" s="272"/>
      <c r="Y123" s="272"/>
      <c r="Z123" s="272"/>
      <c r="AA123" s="224"/>
      <c r="AB123" s="224"/>
      <c r="AC123" s="224"/>
    </row>
    <row r="124" spans="1:29" ht="15.75" customHeight="1">
      <c r="A124" s="257">
        <v>44789</v>
      </c>
      <c r="B124" s="258" t="s">
        <v>199</v>
      </c>
      <c r="C124" s="263">
        <v>3.75</v>
      </c>
      <c r="D124" s="258" t="s">
        <v>1253</v>
      </c>
      <c r="E124" s="258" t="s">
        <v>4</v>
      </c>
      <c r="F124" s="258" t="s">
        <v>602</v>
      </c>
      <c r="G124" s="258" t="s">
        <v>1254</v>
      </c>
      <c r="H124" s="258">
        <v>4</v>
      </c>
      <c r="I124" s="258" t="s">
        <v>1054</v>
      </c>
      <c r="J124" s="258" t="s">
        <v>11622</v>
      </c>
      <c r="K124" s="258">
        <v>3.5</v>
      </c>
      <c r="L124" s="258" t="s">
        <v>451</v>
      </c>
      <c r="M124" s="309">
        <v>2000000</v>
      </c>
      <c r="N124" s="258" t="s">
        <v>465</v>
      </c>
      <c r="O124" s="258" t="s">
        <v>1256</v>
      </c>
      <c r="P124" s="258"/>
      <c r="Q124" s="258" t="s">
        <v>18</v>
      </c>
      <c r="R124" s="258" t="s">
        <v>11623</v>
      </c>
      <c r="S124" s="258" t="str">
        <f ca="1">IFERROR(VLOOKUP(B124,'2022-2023 Third Reviews'!$C:$S,9,FALSE),"")</f>
        <v>John McDonald
4</v>
      </c>
      <c r="T124" s="258" t="s">
        <v>13067</v>
      </c>
      <c r="U124" s="258" t="s">
        <v>18</v>
      </c>
      <c r="V124" s="218"/>
      <c r="W124" s="218"/>
      <c r="X124" s="218"/>
      <c r="Y124" s="219"/>
      <c r="Z124" s="219"/>
      <c r="AA124" s="219"/>
      <c r="AB124" s="219"/>
      <c r="AC124" s="219"/>
    </row>
    <row r="125" spans="1:29" ht="15.75" customHeight="1">
      <c r="A125" s="233">
        <v>44776</v>
      </c>
      <c r="B125" s="234" t="s">
        <v>259</v>
      </c>
      <c r="C125" s="241">
        <v>3.75</v>
      </c>
      <c r="D125" s="234" t="s">
        <v>1501</v>
      </c>
      <c r="E125" s="242" t="s">
        <v>4</v>
      </c>
      <c r="F125" s="234" t="s">
        <v>447</v>
      </c>
      <c r="G125" s="234" t="s">
        <v>11514</v>
      </c>
      <c r="H125" s="234">
        <v>3.5</v>
      </c>
      <c r="I125" s="234" t="s">
        <v>449</v>
      </c>
      <c r="J125" s="234" t="s">
        <v>13400</v>
      </c>
      <c r="K125" s="234">
        <v>4</v>
      </c>
      <c r="L125" s="234"/>
      <c r="M125" s="234">
        <v>500000</v>
      </c>
      <c r="N125" s="234" t="s">
        <v>452</v>
      </c>
      <c r="O125" s="234" t="s">
        <v>11476</v>
      </c>
      <c r="P125" s="237" t="s">
        <v>1505</v>
      </c>
      <c r="Q125" s="234" t="s">
        <v>19</v>
      </c>
      <c r="R125" s="234" t="s">
        <v>1506</v>
      </c>
      <c r="S125" s="234" t="str">
        <f ca="1">IFERROR(VLOOKUP(B125,'2022-2023 Third Reviews'!$C:$S,9,FALSE),"")</f>
        <v>Jason Yu
2</v>
      </c>
      <c r="T125" s="234" t="s">
        <v>13053</v>
      </c>
      <c r="U125" s="234" t="s">
        <v>18</v>
      </c>
      <c r="V125" s="224"/>
      <c r="W125" s="224"/>
      <c r="X125" s="224"/>
      <c r="Y125" s="224"/>
      <c r="Z125" s="224"/>
      <c r="AA125" s="224"/>
      <c r="AB125" s="224"/>
      <c r="AC125" s="224"/>
    </row>
    <row r="126" spans="1:29" ht="15.75" hidden="1" customHeight="1">
      <c r="A126" s="257">
        <v>44782</v>
      </c>
      <c r="B126" s="258" t="s">
        <v>308</v>
      </c>
      <c r="C126" s="249">
        <v>3</v>
      </c>
      <c r="D126" s="258" t="s">
        <v>11405</v>
      </c>
      <c r="E126" s="250" t="s">
        <v>3</v>
      </c>
      <c r="F126" s="258" t="s">
        <v>460</v>
      </c>
      <c r="G126" s="258" t="s">
        <v>9653</v>
      </c>
      <c r="H126" s="258">
        <v>3</v>
      </c>
      <c r="I126" s="258" t="s">
        <v>462</v>
      </c>
      <c r="J126" s="258" t="s">
        <v>9654</v>
      </c>
      <c r="K126" s="258">
        <v>3</v>
      </c>
      <c r="L126" s="258"/>
      <c r="M126" s="258">
        <v>1000000</v>
      </c>
      <c r="N126" s="258" t="s">
        <v>452</v>
      </c>
      <c r="O126" s="258" t="s">
        <v>452</v>
      </c>
      <c r="P126" s="258" t="s">
        <v>9655</v>
      </c>
      <c r="Q126" s="258" t="s">
        <v>20</v>
      </c>
      <c r="R126" s="259" t="s">
        <v>9656</v>
      </c>
      <c r="S126" s="259"/>
      <c r="T126" s="259"/>
      <c r="U126" s="259"/>
      <c r="V126" s="258"/>
      <c r="W126" s="258"/>
      <c r="X126" s="258"/>
      <c r="Y126" s="258"/>
      <c r="Z126" s="258"/>
      <c r="AA126" s="258"/>
      <c r="AB126" s="258"/>
      <c r="AC126" s="258"/>
    </row>
    <row r="127" spans="1:29" ht="15.75" hidden="1" customHeight="1">
      <c r="A127" s="541">
        <v>44791</v>
      </c>
      <c r="B127" s="306" t="s">
        <v>8313</v>
      </c>
      <c r="C127" s="542"/>
      <c r="D127" s="306"/>
      <c r="E127" s="306" t="s">
        <v>3</v>
      </c>
      <c r="F127" s="306" t="s">
        <v>488</v>
      </c>
      <c r="G127" s="306"/>
      <c r="H127" s="306"/>
      <c r="I127" s="306" t="s">
        <v>941</v>
      </c>
      <c r="J127" s="306"/>
      <c r="K127" s="306"/>
      <c r="L127" s="306" t="s">
        <v>8318</v>
      </c>
      <c r="M127" s="545">
        <v>50000</v>
      </c>
      <c r="N127" s="306" t="s">
        <v>452</v>
      </c>
      <c r="O127" s="306" t="s">
        <v>8319</v>
      </c>
      <c r="P127" s="306" t="s">
        <v>8320</v>
      </c>
      <c r="Q127" s="306"/>
      <c r="R127" s="543"/>
      <c r="S127" s="543"/>
      <c r="T127" s="543"/>
      <c r="U127" s="543"/>
      <c r="V127" s="306"/>
      <c r="W127" s="306"/>
      <c r="X127" s="306"/>
      <c r="Y127" s="306"/>
      <c r="Z127" s="306"/>
      <c r="AA127" s="306"/>
      <c r="AB127" s="306"/>
      <c r="AC127" s="306"/>
    </row>
    <row r="128" spans="1:29" ht="15.75" hidden="1" customHeight="1">
      <c r="A128" s="541">
        <v>44796</v>
      </c>
      <c r="B128" s="306" t="s">
        <v>8313</v>
      </c>
      <c r="C128" s="542"/>
      <c r="D128" s="306"/>
      <c r="E128" s="306" t="s">
        <v>3</v>
      </c>
      <c r="F128" s="306" t="s">
        <v>488</v>
      </c>
      <c r="G128" s="306"/>
      <c r="H128" s="306"/>
      <c r="I128" s="306" t="s">
        <v>941</v>
      </c>
      <c r="J128" s="306"/>
      <c r="K128" s="306"/>
      <c r="L128" s="306" t="s">
        <v>8318</v>
      </c>
      <c r="M128" s="306">
        <v>50000</v>
      </c>
      <c r="N128" s="306" t="s">
        <v>452</v>
      </c>
      <c r="O128" s="306" t="s">
        <v>8319</v>
      </c>
      <c r="P128" s="306" t="s">
        <v>8320</v>
      </c>
      <c r="Q128" s="306"/>
      <c r="R128" s="543"/>
      <c r="S128" s="543"/>
      <c r="T128" s="543"/>
      <c r="U128" s="543"/>
      <c r="V128" s="219"/>
      <c r="W128" s="219"/>
      <c r="X128" s="219"/>
      <c r="Y128" s="219"/>
      <c r="Z128" s="219"/>
      <c r="AA128" s="219"/>
      <c r="AB128" s="219"/>
      <c r="AC128" s="219"/>
    </row>
    <row r="129" spans="1:29" ht="15.75" hidden="1" customHeight="1">
      <c r="A129" s="253">
        <v>44796</v>
      </c>
      <c r="B129" s="224" t="s">
        <v>8313</v>
      </c>
      <c r="C129" s="316">
        <v>2.75</v>
      </c>
      <c r="D129" s="224"/>
      <c r="E129" s="224" t="s">
        <v>3</v>
      </c>
      <c r="F129" s="224" t="s">
        <v>488</v>
      </c>
      <c r="G129" s="224" t="s">
        <v>11295</v>
      </c>
      <c r="H129" s="224">
        <v>3</v>
      </c>
      <c r="I129" s="224" t="s">
        <v>941</v>
      </c>
      <c r="J129" s="224" t="s">
        <v>8317</v>
      </c>
      <c r="K129" s="224">
        <v>2.5</v>
      </c>
      <c r="L129" s="224" t="s">
        <v>8318</v>
      </c>
      <c r="M129" s="224">
        <v>50000</v>
      </c>
      <c r="N129" s="224" t="s">
        <v>452</v>
      </c>
      <c r="O129" s="224" t="s">
        <v>8319</v>
      </c>
      <c r="P129" s="224" t="s">
        <v>8320</v>
      </c>
      <c r="Q129" s="224" t="s">
        <v>24</v>
      </c>
      <c r="R129" s="254"/>
      <c r="S129" s="254"/>
      <c r="T129" s="254"/>
      <c r="U129" s="254"/>
      <c r="V129" s="224"/>
      <c r="W129" s="224"/>
      <c r="X129" s="224"/>
      <c r="Y129" s="224"/>
      <c r="Z129" s="224"/>
      <c r="AA129" s="224"/>
      <c r="AB129" s="224"/>
      <c r="AC129" s="224"/>
    </row>
    <row r="130" spans="1:29" ht="15.75" hidden="1" customHeight="1">
      <c r="A130" s="267">
        <v>44784</v>
      </c>
      <c r="B130" s="268" t="s">
        <v>8323</v>
      </c>
      <c r="C130" s="269">
        <v>2.5</v>
      </c>
      <c r="D130" s="268" t="s">
        <v>8326</v>
      </c>
      <c r="E130" s="270" t="s">
        <v>3</v>
      </c>
      <c r="F130" s="268" t="s">
        <v>460</v>
      </c>
      <c r="G130" s="268" t="s">
        <v>8327</v>
      </c>
      <c r="H130" s="268">
        <v>2</v>
      </c>
      <c r="I130" s="268" t="s">
        <v>488</v>
      </c>
      <c r="J130" s="268" t="s">
        <v>8328</v>
      </c>
      <c r="K130" s="268">
        <v>3</v>
      </c>
      <c r="L130" s="268" t="s">
        <v>784</v>
      </c>
      <c r="M130" s="268" t="s">
        <v>8329</v>
      </c>
      <c r="N130" s="268" t="s">
        <v>452</v>
      </c>
      <c r="O130" s="268" t="s">
        <v>8330</v>
      </c>
      <c r="P130" s="268" t="s">
        <v>8331</v>
      </c>
      <c r="Q130" s="268" t="s">
        <v>24</v>
      </c>
      <c r="R130" s="271"/>
      <c r="S130" s="271"/>
      <c r="T130" s="271"/>
      <c r="U130" s="271"/>
      <c r="V130" s="268"/>
      <c r="W130" s="268"/>
      <c r="X130" s="268"/>
      <c r="Y130" s="268"/>
      <c r="Z130" s="268"/>
      <c r="AA130" s="219"/>
      <c r="AB130" s="219"/>
      <c r="AC130" s="219"/>
    </row>
    <row r="131" spans="1:29" ht="15.75" hidden="1" customHeight="1">
      <c r="A131" s="253">
        <v>44789</v>
      </c>
      <c r="B131" s="224" t="s">
        <v>277</v>
      </c>
      <c r="C131" s="249">
        <v>4.75</v>
      </c>
      <c r="D131" s="224" t="s">
        <v>10859</v>
      </c>
      <c r="E131" s="250" t="s">
        <v>3</v>
      </c>
      <c r="F131" s="224" t="s">
        <v>460</v>
      </c>
      <c r="G131" s="224" t="s">
        <v>10860</v>
      </c>
      <c r="H131" s="224">
        <v>4.5</v>
      </c>
      <c r="I131" s="224" t="s">
        <v>462</v>
      </c>
      <c r="J131" s="224" t="s">
        <v>1603</v>
      </c>
      <c r="K131" s="224">
        <v>5</v>
      </c>
      <c r="L131" s="224"/>
      <c r="M131" s="224"/>
      <c r="N131" s="224" t="s">
        <v>452</v>
      </c>
      <c r="O131" s="224" t="s">
        <v>1604</v>
      </c>
      <c r="P131" s="224"/>
      <c r="Q131" s="224" t="s">
        <v>18</v>
      </c>
      <c r="R131" s="254"/>
      <c r="S131" s="254"/>
      <c r="T131" s="254"/>
      <c r="U131" s="254"/>
      <c r="V131" s="252"/>
      <c r="W131" s="252"/>
      <c r="X131" s="252"/>
      <c r="Y131" s="224"/>
      <c r="Z131" s="224"/>
      <c r="AA131" s="224"/>
      <c r="AB131" s="224"/>
      <c r="AC131" s="224"/>
    </row>
    <row r="132" spans="1:29" ht="15.75" customHeight="1">
      <c r="A132" s="257">
        <v>44789</v>
      </c>
      <c r="B132" s="258" t="s">
        <v>267</v>
      </c>
      <c r="C132" s="263">
        <v>3.75</v>
      </c>
      <c r="D132" s="258" t="s">
        <v>1542</v>
      </c>
      <c r="E132" s="258" t="s">
        <v>4</v>
      </c>
      <c r="F132" s="258" t="s">
        <v>602</v>
      </c>
      <c r="G132" s="258" t="s">
        <v>1543</v>
      </c>
      <c r="H132" s="258">
        <v>3.5</v>
      </c>
      <c r="I132" s="258" t="s">
        <v>727</v>
      </c>
      <c r="J132" s="258" t="s">
        <v>10742</v>
      </c>
      <c r="K132" s="258">
        <v>4</v>
      </c>
      <c r="L132" s="258" t="s">
        <v>784</v>
      </c>
      <c r="M132" s="309">
        <v>550000</v>
      </c>
      <c r="N132" s="258" t="s">
        <v>454</v>
      </c>
      <c r="O132" s="258" t="s">
        <v>452</v>
      </c>
      <c r="P132" s="258" t="s">
        <v>447</v>
      </c>
      <c r="Q132" s="258" t="s">
        <v>18</v>
      </c>
      <c r="R132" s="258" t="s">
        <v>1545</v>
      </c>
      <c r="S132" s="258" t="str">
        <f ca="1">IFERROR(VLOOKUP(B132,'2022-2023 Third Reviews'!$C:$S,9,FALSE),"")</f>
        <v>Chris Millisits
3</v>
      </c>
      <c r="T132" s="258" t="s">
        <v>13094</v>
      </c>
      <c r="U132" s="258" t="s">
        <v>18</v>
      </c>
      <c r="V132" s="219"/>
      <c r="W132" s="219"/>
      <c r="X132" s="219"/>
      <c r="Y132" s="219"/>
      <c r="Z132" s="219"/>
      <c r="AA132" s="219"/>
      <c r="AB132" s="219"/>
      <c r="AC132" s="219"/>
    </row>
    <row r="133" spans="1:29" ht="15.75" customHeight="1">
      <c r="A133" s="321">
        <v>44791</v>
      </c>
      <c r="B133" s="322" t="s">
        <v>276</v>
      </c>
      <c r="C133" s="323">
        <v>3.75</v>
      </c>
      <c r="D133" s="322" t="s">
        <v>4173</v>
      </c>
      <c r="E133" s="322" t="s">
        <v>4</v>
      </c>
      <c r="F133" s="322" t="s">
        <v>602</v>
      </c>
      <c r="G133" s="322" t="s">
        <v>4174</v>
      </c>
      <c r="H133" s="322">
        <v>4</v>
      </c>
      <c r="I133" s="322" t="s">
        <v>1045</v>
      </c>
      <c r="J133" s="322" t="s">
        <v>4175</v>
      </c>
      <c r="K133" s="322">
        <v>3.5</v>
      </c>
      <c r="L133" s="322" t="s">
        <v>923</v>
      </c>
      <c r="M133" s="324">
        <v>500000</v>
      </c>
      <c r="N133" s="322" t="s">
        <v>452</v>
      </c>
      <c r="O133" s="322" t="s">
        <v>4176</v>
      </c>
      <c r="P133" s="322" t="s">
        <v>4177</v>
      </c>
      <c r="Q133" s="322" t="s">
        <v>20</v>
      </c>
      <c r="R133" s="322" t="s">
        <v>11668</v>
      </c>
      <c r="S133" s="322" t="str">
        <f>IFERROR(VLOOKUP(B133,'2022-2023 Third Reviews'!$C:$S,9,FALSE),"")</f>
        <v/>
      </c>
      <c r="T133" s="322" t="s">
        <v>13087</v>
      </c>
      <c r="U133" s="322" t="s">
        <v>24</v>
      </c>
      <c r="V133" s="224"/>
      <c r="W133" s="224"/>
      <c r="X133" s="224"/>
      <c r="Y133" s="224"/>
      <c r="Z133" s="224"/>
      <c r="AA133" s="224"/>
      <c r="AB133" s="224"/>
      <c r="AC133" s="224"/>
    </row>
    <row r="134" spans="1:29" ht="15.75" hidden="1" customHeight="1">
      <c r="A134" s="248">
        <v>44789</v>
      </c>
      <c r="B134" s="219" t="s">
        <v>62</v>
      </c>
      <c r="C134" s="249">
        <v>4.25</v>
      </c>
      <c r="D134" s="219" t="s">
        <v>446</v>
      </c>
      <c r="E134" s="250" t="s">
        <v>5</v>
      </c>
      <c r="F134" s="219" t="s">
        <v>447</v>
      </c>
      <c r="G134" s="219" t="s">
        <v>10311</v>
      </c>
      <c r="H134" s="219">
        <v>4.5</v>
      </c>
      <c r="I134" s="219" t="s">
        <v>449</v>
      </c>
      <c r="J134" s="219" t="s">
        <v>13400</v>
      </c>
      <c r="K134" s="219">
        <v>4</v>
      </c>
      <c r="L134" s="219" t="s">
        <v>451</v>
      </c>
      <c r="M134" s="312">
        <v>3000000</v>
      </c>
      <c r="N134" s="219" t="s">
        <v>452</v>
      </c>
      <c r="O134" s="219" t="s">
        <v>453</v>
      </c>
      <c r="P134" s="219"/>
      <c r="Q134" s="219" t="s">
        <v>18</v>
      </c>
      <c r="R134" s="251"/>
      <c r="S134" s="251"/>
      <c r="T134" s="251"/>
      <c r="U134" s="251"/>
      <c r="V134" s="252"/>
      <c r="W134" s="252"/>
      <c r="X134" s="252"/>
      <c r="Y134" s="219"/>
      <c r="Z134" s="219"/>
      <c r="AA134" s="219"/>
      <c r="AB134" s="219"/>
      <c r="AC134" s="219"/>
    </row>
    <row r="135" spans="1:29" ht="15.75" customHeight="1">
      <c r="A135" s="398">
        <v>44784</v>
      </c>
      <c r="B135" s="272" t="s">
        <v>4255</v>
      </c>
      <c r="C135" s="269">
        <v>3.75</v>
      </c>
      <c r="D135" s="272" t="s">
        <v>10886</v>
      </c>
      <c r="E135" s="270" t="s">
        <v>4</v>
      </c>
      <c r="F135" s="272" t="s">
        <v>602</v>
      </c>
      <c r="G135" s="272" t="s">
        <v>10887</v>
      </c>
      <c r="H135" s="272">
        <v>4</v>
      </c>
      <c r="I135" s="272" t="s">
        <v>476</v>
      </c>
      <c r="J135" s="272" t="s">
        <v>11571</v>
      </c>
      <c r="K135" s="272">
        <v>3.5</v>
      </c>
      <c r="L135" s="272" t="s">
        <v>784</v>
      </c>
      <c r="M135" s="272">
        <v>600000</v>
      </c>
      <c r="N135" s="272" t="s">
        <v>465</v>
      </c>
      <c r="O135" s="272" t="s">
        <v>575</v>
      </c>
      <c r="P135" s="272" t="s">
        <v>4261</v>
      </c>
      <c r="Q135" s="272" t="s">
        <v>24</v>
      </c>
      <c r="R135" s="272"/>
      <c r="S135" s="213" t="str">
        <f>IFERROR(VLOOKUP(B135,'2022-2023 Third Reviews'!$C:$S,9,FALSE),"")</f>
        <v/>
      </c>
      <c r="T135" s="213" t="s">
        <v>13107</v>
      </c>
      <c r="U135" s="272" t="s">
        <v>24</v>
      </c>
      <c r="V135" s="306"/>
      <c r="W135" s="306"/>
      <c r="X135" s="306"/>
      <c r="Y135" s="306"/>
      <c r="Z135" s="306"/>
      <c r="AA135" s="306"/>
      <c r="AB135" s="306"/>
      <c r="AC135" s="306"/>
    </row>
    <row r="136" spans="1:29" ht="15.75" customHeight="1">
      <c r="A136" s="257">
        <v>44789</v>
      </c>
      <c r="B136" s="258" t="s">
        <v>4331</v>
      </c>
      <c r="C136" s="263">
        <v>3.75</v>
      </c>
      <c r="D136" s="258" t="s">
        <v>4334</v>
      </c>
      <c r="E136" s="258" t="s">
        <v>4</v>
      </c>
      <c r="F136" s="258" t="s">
        <v>602</v>
      </c>
      <c r="G136" s="258" t="s">
        <v>4335</v>
      </c>
      <c r="H136" s="258">
        <v>3.5</v>
      </c>
      <c r="I136" s="258" t="s">
        <v>476</v>
      </c>
      <c r="J136" s="258" t="s">
        <v>13400</v>
      </c>
      <c r="K136" s="258">
        <v>4</v>
      </c>
      <c r="L136" s="258" t="s">
        <v>451</v>
      </c>
      <c r="M136" s="258">
        <v>500</v>
      </c>
      <c r="N136" s="258" t="s">
        <v>452</v>
      </c>
      <c r="O136" s="258" t="s">
        <v>4337</v>
      </c>
      <c r="P136" s="258"/>
      <c r="Q136" s="258" t="s">
        <v>24</v>
      </c>
      <c r="R136" s="258" t="s">
        <v>4338</v>
      </c>
      <c r="S136" s="258" t="str">
        <f>IFERROR(VLOOKUP(B136,'2022-2023 Third Reviews'!$C:$S,9,FALSE),"")</f>
        <v/>
      </c>
      <c r="T136" s="258" t="s">
        <v>13089</v>
      </c>
      <c r="U136" s="258" t="s">
        <v>24</v>
      </c>
      <c r="V136" s="239"/>
      <c r="W136" s="239"/>
      <c r="X136" s="239"/>
      <c r="Y136" s="239"/>
      <c r="Z136" s="239"/>
      <c r="AA136" s="239"/>
      <c r="AB136" s="239"/>
      <c r="AC136" s="239"/>
    </row>
    <row r="137" spans="1:29" ht="15.75" hidden="1" customHeight="1">
      <c r="A137" s="253">
        <v>44782</v>
      </c>
      <c r="B137" s="224" t="s">
        <v>2090</v>
      </c>
      <c r="C137" s="249">
        <v>3.25</v>
      </c>
      <c r="D137" s="224" t="s">
        <v>2093</v>
      </c>
      <c r="E137" s="250" t="s">
        <v>5</v>
      </c>
      <c r="F137" s="224" t="s">
        <v>447</v>
      </c>
      <c r="G137" s="224" t="s">
        <v>10401</v>
      </c>
      <c r="H137" s="224">
        <v>3.5</v>
      </c>
      <c r="I137" s="224" t="s">
        <v>449</v>
      </c>
      <c r="J137" s="224" t="s">
        <v>13400</v>
      </c>
      <c r="K137" s="224">
        <v>3</v>
      </c>
      <c r="L137" s="224" t="s">
        <v>451</v>
      </c>
      <c r="M137" s="224">
        <v>2500000</v>
      </c>
      <c r="N137" s="224" t="s">
        <v>465</v>
      </c>
      <c r="O137" s="224" t="s">
        <v>2096</v>
      </c>
      <c r="P137" s="224"/>
      <c r="Q137" s="224" t="s">
        <v>24</v>
      </c>
      <c r="R137" s="254"/>
      <c r="S137" s="254"/>
      <c r="T137" s="254"/>
      <c r="U137" s="254"/>
      <c r="V137" s="252"/>
      <c r="W137" s="252"/>
      <c r="X137" s="252"/>
      <c r="Y137" s="224"/>
      <c r="Z137" s="224"/>
      <c r="AA137" s="224"/>
      <c r="AB137" s="224"/>
      <c r="AC137" s="224"/>
    </row>
    <row r="138" spans="1:29" ht="15.75" customHeight="1">
      <c r="A138" s="257">
        <v>44791</v>
      </c>
      <c r="B138" s="258" t="s">
        <v>4374</v>
      </c>
      <c r="C138" s="263">
        <v>3.75</v>
      </c>
      <c r="D138" s="258" t="s">
        <v>4377</v>
      </c>
      <c r="E138" s="258" t="s">
        <v>4</v>
      </c>
      <c r="F138" s="258" t="s">
        <v>602</v>
      </c>
      <c r="G138" s="258" t="s">
        <v>4378</v>
      </c>
      <c r="H138" s="258">
        <v>4</v>
      </c>
      <c r="I138" s="258" t="s">
        <v>1045</v>
      </c>
      <c r="J138" s="258" t="s">
        <v>4379</v>
      </c>
      <c r="K138" s="258">
        <v>3.5</v>
      </c>
      <c r="L138" s="258" t="s">
        <v>784</v>
      </c>
      <c r="M138" s="309">
        <v>500000</v>
      </c>
      <c r="N138" s="258" t="s">
        <v>465</v>
      </c>
      <c r="O138" s="258" t="s">
        <v>4380</v>
      </c>
      <c r="P138" s="258" t="s">
        <v>4381</v>
      </c>
      <c r="Q138" s="258" t="s">
        <v>24</v>
      </c>
      <c r="R138" s="258" t="s">
        <v>10856</v>
      </c>
      <c r="S138" s="258" t="str">
        <f>IFERROR(VLOOKUP(B138,'2022-2023 Third Reviews'!$C:$S,9,FALSE),"")</f>
        <v/>
      </c>
      <c r="T138" s="258"/>
      <c r="U138" s="258" t="s">
        <v>24</v>
      </c>
      <c r="V138" s="219"/>
      <c r="W138" s="219"/>
      <c r="X138" s="219"/>
      <c r="Y138" s="219"/>
      <c r="Z138" s="219"/>
      <c r="AA138" s="219"/>
      <c r="AB138" s="219"/>
      <c r="AC138" s="219"/>
    </row>
    <row r="139" spans="1:29" ht="15.75" customHeight="1">
      <c r="A139" s="257">
        <v>44797</v>
      </c>
      <c r="B139" s="258" t="s">
        <v>4421</v>
      </c>
      <c r="C139" s="263">
        <v>3.75</v>
      </c>
      <c r="D139" s="258" t="s">
        <v>4424</v>
      </c>
      <c r="E139" s="258" t="s">
        <v>4</v>
      </c>
      <c r="F139" s="258" t="s">
        <v>602</v>
      </c>
      <c r="G139" s="258" t="s">
        <v>4425</v>
      </c>
      <c r="H139" s="258">
        <v>4</v>
      </c>
      <c r="I139" s="258" t="s">
        <v>543</v>
      </c>
      <c r="J139" s="258" t="s">
        <v>11743</v>
      </c>
      <c r="K139" s="258">
        <v>3.5</v>
      </c>
      <c r="L139" s="258" t="s">
        <v>784</v>
      </c>
      <c r="M139" s="261">
        <v>2000000</v>
      </c>
      <c r="N139" s="258" t="s">
        <v>452</v>
      </c>
      <c r="O139" s="258" t="s">
        <v>4427</v>
      </c>
      <c r="P139" s="258"/>
      <c r="Q139" s="258" t="s">
        <v>24</v>
      </c>
      <c r="R139" s="258" t="s">
        <v>11744</v>
      </c>
      <c r="S139" s="258" t="str">
        <f>IFERROR(VLOOKUP(B139,'2022-2023 Third Reviews'!$C:$S,9,FALSE),"")</f>
        <v/>
      </c>
      <c r="T139" s="258"/>
      <c r="U139" s="258" t="s">
        <v>24</v>
      </c>
      <c r="V139" s="306"/>
      <c r="W139" s="306"/>
      <c r="X139" s="306"/>
      <c r="Y139" s="306"/>
      <c r="Z139" s="306"/>
      <c r="AA139" s="306"/>
      <c r="AB139" s="306"/>
      <c r="AC139" s="306"/>
    </row>
    <row r="140" spans="1:29" ht="15.75" hidden="1" customHeight="1">
      <c r="A140" s="541">
        <v>44791</v>
      </c>
      <c r="B140" s="306" t="s">
        <v>282</v>
      </c>
      <c r="C140" s="542"/>
      <c r="D140" s="306" t="s">
        <v>1609</v>
      </c>
      <c r="E140" s="306" t="s">
        <v>3</v>
      </c>
      <c r="F140" s="306" t="s">
        <v>460</v>
      </c>
      <c r="G140" s="306"/>
      <c r="H140" s="306"/>
      <c r="I140" s="306" t="s">
        <v>462</v>
      </c>
      <c r="J140" s="306" t="s">
        <v>10989</v>
      </c>
      <c r="K140" s="306">
        <v>4.5</v>
      </c>
      <c r="L140" s="306" t="s">
        <v>451</v>
      </c>
      <c r="M140" s="544">
        <v>2500000</v>
      </c>
      <c r="N140" s="306" t="s">
        <v>452</v>
      </c>
      <c r="O140" s="306" t="s">
        <v>452</v>
      </c>
      <c r="P140" s="306" t="s">
        <v>1612</v>
      </c>
      <c r="Q140" s="306"/>
      <c r="R140" s="543"/>
      <c r="S140" s="543"/>
      <c r="T140" s="543"/>
      <c r="U140" s="543"/>
      <c r="V140" s="306"/>
      <c r="W140" s="306"/>
      <c r="X140" s="306"/>
      <c r="Y140" s="306"/>
      <c r="Z140" s="306"/>
      <c r="AA140" s="306"/>
      <c r="AB140" s="306"/>
      <c r="AC140" s="306"/>
    </row>
    <row r="141" spans="1:29" ht="15.75" hidden="1" customHeight="1">
      <c r="A141" s="257">
        <v>44791</v>
      </c>
      <c r="B141" s="258" t="s">
        <v>282</v>
      </c>
      <c r="C141" s="263">
        <v>4.25</v>
      </c>
      <c r="D141" s="258" t="s">
        <v>1609</v>
      </c>
      <c r="E141" s="258" t="s">
        <v>3</v>
      </c>
      <c r="F141" s="258" t="s">
        <v>460</v>
      </c>
      <c r="G141" s="258" t="s">
        <v>1610</v>
      </c>
      <c r="H141" s="258">
        <v>4</v>
      </c>
      <c r="I141" s="258" t="s">
        <v>462</v>
      </c>
      <c r="J141" s="258" t="s">
        <v>10989</v>
      </c>
      <c r="K141" s="258">
        <v>4.5</v>
      </c>
      <c r="L141" s="258" t="s">
        <v>451</v>
      </c>
      <c r="M141" s="309">
        <v>2500000</v>
      </c>
      <c r="N141" s="258" t="s">
        <v>452</v>
      </c>
      <c r="O141" s="258" t="s">
        <v>452</v>
      </c>
      <c r="P141" s="258" t="s">
        <v>1612</v>
      </c>
      <c r="Q141" s="258" t="s">
        <v>18</v>
      </c>
      <c r="R141" s="259" t="s">
        <v>11647</v>
      </c>
      <c r="S141" s="259"/>
      <c r="T141" s="259"/>
      <c r="U141" s="259"/>
      <c r="V141" s="258"/>
      <c r="W141" s="258"/>
      <c r="X141" s="258"/>
      <c r="Y141" s="258"/>
      <c r="Z141" s="258"/>
      <c r="AA141" s="258"/>
      <c r="AB141" s="258"/>
      <c r="AC141" s="258"/>
    </row>
    <row r="142" spans="1:29" ht="15.75" customHeight="1">
      <c r="A142" s="248">
        <v>44796</v>
      </c>
      <c r="B142" s="219" t="s">
        <v>4161</v>
      </c>
      <c r="C142" s="315">
        <v>3.75</v>
      </c>
      <c r="D142" s="219" t="s">
        <v>4164</v>
      </c>
      <c r="E142" s="219" t="s">
        <v>4</v>
      </c>
      <c r="F142" s="219" t="s">
        <v>725</v>
      </c>
      <c r="G142" s="219" t="s">
        <v>10618</v>
      </c>
      <c r="H142" s="219">
        <v>3.5</v>
      </c>
      <c r="I142" s="219" t="s">
        <v>990</v>
      </c>
      <c r="J142" s="219" t="s">
        <v>4166</v>
      </c>
      <c r="K142" s="219">
        <v>4</v>
      </c>
      <c r="L142" s="219" t="s">
        <v>451</v>
      </c>
      <c r="M142" s="219" t="s">
        <v>4167</v>
      </c>
      <c r="N142" s="219" t="s">
        <v>452</v>
      </c>
      <c r="O142" s="219" t="s">
        <v>4168</v>
      </c>
      <c r="P142" s="219"/>
      <c r="Q142" s="219" t="s">
        <v>24</v>
      </c>
      <c r="R142" s="219"/>
      <c r="S142" s="219" t="str">
        <f>IFERROR(VLOOKUP(B142,'2022-2023 Third Reviews'!$C:$S,9,FALSE),"")</f>
        <v/>
      </c>
      <c r="T142" s="219"/>
      <c r="U142" s="219"/>
      <c r="V142" s="306"/>
      <c r="W142" s="306"/>
      <c r="X142" s="306"/>
      <c r="Y142" s="306"/>
      <c r="Z142" s="306"/>
      <c r="AA142" s="306"/>
      <c r="AB142" s="306"/>
      <c r="AC142" s="306"/>
    </row>
    <row r="143" spans="1:29" ht="15.75" hidden="1" customHeight="1">
      <c r="A143" s="255">
        <v>44789</v>
      </c>
      <c r="B143" s="239" t="s">
        <v>63</v>
      </c>
      <c r="C143" s="262">
        <v>3.5</v>
      </c>
      <c r="D143" s="239" t="s">
        <v>2101</v>
      </c>
      <c r="E143" s="239" t="s">
        <v>5</v>
      </c>
      <c r="F143" s="239" t="s">
        <v>447</v>
      </c>
      <c r="G143" s="239" t="s">
        <v>10818</v>
      </c>
      <c r="H143" s="239">
        <v>3.5</v>
      </c>
      <c r="I143" s="239" t="s">
        <v>543</v>
      </c>
      <c r="J143" s="239" t="s">
        <v>10819</v>
      </c>
      <c r="K143" s="239">
        <v>3.5</v>
      </c>
      <c r="L143" s="239"/>
      <c r="M143" s="308"/>
      <c r="N143" s="239" t="s">
        <v>452</v>
      </c>
      <c r="O143" s="239" t="s">
        <v>2104</v>
      </c>
      <c r="P143" s="239"/>
      <c r="Q143" s="239" t="s">
        <v>20</v>
      </c>
      <c r="R143" s="256" t="s">
        <v>2105</v>
      </c>
      <c r="S143" s="256"/>
      <c r="T143" s="256"/>
      <c r="U143" s="256"/>
      <c r="V143" s="239"/>
      <c r="W143" s="239"/>
      <c r="X143" s="239"/>
      <c r="Y143" s="239"/>
      <c r="Z143" s="239"/>
      <c r="AA143" s="239"/>
      <c r="AB143" s="239"/>
      <c r="AC143" s="239"/>
    </row>
    <row r="144" spans="1:29" ht="15.75" hidden="1" customHeight="1">
      <c r="A144" s="248">
        <v>44789</v>
      </c>
      <c r="B144" s="219" t="s">
        <v>2108</v>
      </c>
      <c r="C144" s="249">
        <v>3.5</v>
      </c>
      <c r="D144" s="219" t="s">
        <v>2111</v>
      </c>
      <c r="E144" s="250" t="s">
        <v>5</v>
      </c>
      <c r="F144" s="219" t="s">
        <v>447</v>
      </c>
      <c r="G144" s="219" t="s">
        <v>2112</v>
      </c>
      <c r="H144" s="219">
        <v>3.5</v>
      </c>
      <c r="I144" s="219" t="s">
        <v>543</v>
      </c>
      <c r="J144" s="219" t="s">
        <v>13400</v>
      </c>
      <c r="K144" s="219">
        <v>3.5</v>
      </c>
      <c r="L144" s="219" t="s">
        <v>478</v>
      </c>
      <c r="M144" s="219" t="s">
        <v>2114</v>
      </c>
      <c r="N144" s="219" t="s">
        <v>465</v>
      </c>
      <c r="O144" s="219" t="s">
        <v>2115</v>
      </c>
      <c r="P144" s="219"/>
      <c r="Q144" s="219" t="s">
        <v>24</v>
      </c>
      <c r="R144" s="251"/>
      <c r="S144" s="251"/>
      <c r="T144" s="251"/>
      <c r="U144" s="251"/>
      <c r="V144" s="252"/>
      <c r="W144" s="252"/>
      <c r="X144" s="252"/>
      <c r="Y144" s="219"/>
      <c r="Z144" s="219"/>
      <c r="AA144" s="219"/>
      <c r="AB144" s="219"/>
      <c r="AC144" s="219"/>
    </row>
    <row r="145" spans="1:29" ht="15.75" customHeight="1">
      <c r="A145" s="548">
        <v>44784</v>
      </c>
      <c r="B145" s="294" t="s">
        <v>274</v>
      </c>
      <c r="C145" s="295">
        <v>3.75</v>
      </c>
      <c r="D145" s="294" t="s">
        <v>9408</v>
      </c>
      <c r="E145" s="294" t="s">
        <v>4</v>
      </c>
      <c r="F145" s="294" t="s">
        <v>447</v>
      </c>
      <c r="G145" s="294" t="s">
        <v>10642</v>
      </c>
      <c r="H145" s="294">
        <v>3</v>
      </c>
      <c r="I145" s="294" t="s">
        <v>449</v>
      </c>
      <c r="J145" s="294" t="s">
        <v>11566</v>
      </c>
      <c r="K145" s="294">
        <v>4.5</v>
      </c>
      <c r="L145" s="294"/>
      <c r="M145" s="294"/>
      <c r="N145" s="294" t="s">
        <v>452</v>
      </c>
      <c r="O145" s="296" t="s">
        <v>9411</v>
      </c>
      <c r="P145" s="294"/>
      <c r="Q145" s="294" t="s">
        <v>19</v>
      </c>
      <c r="R145" s="294" t="s">
        <v>9412</v>
      </c>
      <c r="S145" s="294" t="str">
        <f ca="1">IFERROR(VLOOKUP(B145,'2022-2023 Third Reviews'!$C:$S,9,FALSE),"")</f>
        <v>Jason Yu
4</v>
      </c>
      <c r="T145" s="294" t="s">
        <v>13049</v>
      </c>
      <c r="U145" s="294"/>
      <c r="V145" s="224"/>
      <c r="W145" s="224"/>
      <c r="X145" s="224"/>
      <c r="Y145" s="224"/>
      <c r="Z145" s="224"/>
      <c r="AA145" s="224"/>
      <c r="AB145" s="224"/>
      <c r="AC145" s="224"/>
    </row>
    <row r="146" spans="1:29" ht="15.75" hidden="1" customHeight="1">
      <c r="A146" s="212">
        <v>44776</v>
      </c>
      <c r="B146" s="213" t="s">
        <v>284</v>
      </c>
      <c r="C146" s="214">
        <v>4</v>
      </c>
      <c r="D146" s="213" t="s">
        <v>1618</v>
      </c>
      <c r="E146" s="215" t="s">
        <v>3</v>
      </c>
      <c r="F146" s="213" t="s">
        <v>460</v>
      </c>
      <c r="G146" s="213" t="s">
        <v>1619</v>
      </c>
      <c r="H146" s="213">
        <v>4</v>
      </c>
      <c r="I146" s="213" t="s">
        <v>941</v>
      </c>
      <c r="J146" s="213" t="s">
        <v>1620</v>
      </c>
      <c r="K146" s="213">
        <v>4</v>
      </c>
      <c r="L146" s="213"/>
      <c r="M146" s="213"/>
      <c r="N146" s="213" t="s">
        <v>452</v>
      </c>
      <c r="O146" s="213" t="s">
        <v>1621</v>
      </c>
      <c r="P146" s="143"/>
      <c r="Q146" s="213" t="s">
        <v>18</v>
      </c>
      <c r="R146" s="226">
        <f t="array" ref="R146">INDEX(Notes!C:C,MATCH($B146,Notes!$A:$A,0))</f>
        <v>0</v>
      </c>
      <c r="S146" s="226"/>
      <c r="T146" s="226"/>
      <c r="U146" s="226"/>
      <c r="V146" s="218"/>
      <c r="W146" s="218"/>
      <c r="X146" s="218"/>
      <c r="Y146" s="219"/>
      <c r="Z146" s="219"/>
      <c r="AA146" s="219"/>
      <c r="AB146" s="219"/>
      <c r="AC146" s="219"/>
    </row>
    <row r="147" spans="1:29" ht="15.75" customHeight="1">
      <c r="A147" s="253">
        <v>44796</v>
      </c>
      <c r="B147" s="224" t="s">
        <v>4181</v>
      </c>
      <c r="C147" s="316">
        <v>3.75</v>
      </c>
      <c r="D147" s="224" t="s">
        <v>4184</v>
      </c>
      <c r="E147" s="224" t="s">
        <v>4</v>
      </c>
      <c r="F147" s="224" t="s">
        <v>725</v>
      </c>
      <c r="G147" s="224" t="s">
        <v>11127</v>
      </c>
      <c r="H147" s="224">
        <v>4</v>
      </c>
      <c r="I147" s="224" t="s">
        <v>1045</v>
      </c>
      <c r="J147" s="224" t="s">
        <v>4186</v>
      </c>
      <c r="K147" s="224">
        <v>3.5</v>
      </c>
      <c r="L147" s="224" t="s">
        <v>451</v>
      </c>
      <c r="M147" s="330">
        <v>1600000</v>
      </c>
      <c r="N147" s="224" t="s">
        <v>452</v>
      </c>
      <c r="O147" s="224" t="s">
        <v>1119</v>
      </c>
      <c r="P147" s="224"/>
      <c r="Q147" s="224" t="s">
        <v>24</v>
      </c>
      <c r="R147" s="224"/>
      <c r="S147" s="224" t="str">
        <f>IFERROR(VLOOKUP(B147,'2022-2023 Third Reviews'!$C:$S,9,FALSE),"")</f>
        <v/>
      </c>
      <c r="T147" s="224"/>
      <c r="U147" s="224"/>
      <c r="V147" s="252"/>
      <c r="W147" s="252"/>
      <c r="X147" s="252"/>
      <c r="Y147" s="224"/>
      <c r="Z147" s="224"/>
      <c r="AA147" s="224"/>
      <c r="AB147" s="224"/>
      <c r="AC147" s="224"/>
    </row>
    <row r="148" spans="1:29" ht="15.75" hidden="1" customHeight="1">
      <c r="A148" s="212">
        <v>44776</v>
      </c>
      <c r="B148" s="213" t="s">
        <v>2118</v>
      </c>
      <c r="C148" s="214">
        <v>2.5</v>
      </c>
      <c r="D148" s="213" t="s">
        <v>2121</v>
      </c>
      <c r="E148" s="215" t="s">
        <v>5</v>
      </c>
      <c r="F148" s="213" t="s">
        <v>447</v>
      </c>
      <c r="G148" s="213" t="s">
        <v>2122</v>
      </c>
      <c r="H148" s="213">
        <v>2.5</v>
      </c>
      <c r="I148" s="213" t="s">
        <v>543</v>
      </c>
      <c r="J148" s="213" t="s">
        <v>2123</v>
      </c>
      <c r="K148" s="213">
        <v>2.5</v>
      </c>
      <c r="L148" s="213" t="s">
        <v>451</v>
      </c>
      <c r="M148" s="216">
        <v>400000</v>
      </c>
      <c r="N148" s="213" t="s">
        <v>452</v>
      </c>
      <c r="O148" s="213" t="s">
        <v>10209</v>
      </c>
      <c r="P148" s="143"/>
      <c r="Q148" s="213" t="s">
        <v>24</v>
      </c>
      <c r="R148" s="226">
        <f t="array" ref="R148">INDEX(Notes!C:C,MATCH($B148,Notes!$A:$A,0))</f>
        <v>0</v>
      </c>
      <c r="S148" s="226"/>
      <c r="T148" s="226"/>
      <c r="U148" s="226"/>
      <c r="V148" s="218"/>
      <c r="W148" s="218"/>
      <c r="X148" s="218"/>
      <c r="Y148" s="219"/>
      <c r="Z148" s="219"/>
      <c r="AA148" s="219"/>
      <c r="AB148" s="219"/>
      <c r="AC148" s="219"/>
    </row>
    <row r="149" spans="1:29" ht="15.75" hidden="1" customHeight="1">
      <c r="A149" s="253">
        <v>44791</v>
      </c>
      <c r="B149" s="224" t="s">
        <v>2127</v>
      </c>
      <c r="C149" s="316">
        <v>2.75</v>
      </c>
      <c r="D149" s="224" t="s">
        <v>2130</v>
      </c>
      <c r="E149" s="224" t="s">
        <v>5</v>
      </c>
      <c r="F149" s="224" t="s">
        <v>447</v>
      </c>
      <c r="G149" s="224" t="s">
        <v>10955</v>
      </c>
      <c r="H149" s="224">
        <v>2.5</v>
      </c>
      <c r="I149" s="224" t="s">
        <v>543</v>
      </c>
      <c r="J149" s="224" t="s">
        <v>11696</v>
      </c>
      <c r="K149" s="224">
        <v>3</v>
      </c>
      <c r="L149" s="224" t="s">
        <v>2133</v>
      </c>
      <c r="M149" s="307">
        <v>10000000</v>
      </c>
      <c r="N149" s="224" t="s">
        <v>452</v>
      </c>
      <c r="O149" s="224" t="s">
        <v>2134</v>
      </c>
      <c r="P149" s="224"/>
      <c r="Q149" s="322" t="s">
        <v>24</v>
      </c>
      <c r="R149" s="254"/>
      <c r="S149" s="254"/>
      <c r="T149" s="254"/>
      <c r="U149" s="254"/>
      <c r="V149" s="224"/>
      <c r="W149" s="224"/>
      <c r="X149" s="224"/>
      <c r="Y149" s="224"/>
      <c r="Z149" s="224"/>
      <c r="AA149" s="224"/>
      <c r="AB149" s="224"/>
      <c r="AC149" s="224"/>
    </row>
    <row r="150" spans="1:29" ht="15.75" hidden="1" customHeight="1">
      <c r="A150" s="541">
        <v>44791</v>
      </c>
      <c r="B150" s="306" t="s">
        <v>8334</v>
      </c>
      <c r="C150" s="542"/>
      <c r="D150" s="306"/>
      <c r="E150" s="306" t="s">
        <v>3</v>
      </c>
      <c r="F150" s="306" t="s">
        <v>488</v>
      </c>
      <c r="G150" s="306"/>
      <c r="H150" s="306"/>
      <c r="I150" s="306" t="s">
        <v>941</v>
      </c>
      <c r="J150" s="306"/>
      <c r="K150" s="306"/>
      <c r="L150" s="306" t="s">
        <v>451</v>
      </c>
      <c r="M150" s="544">
        <v>2000000</v>
      </c>
      <c r="N150" s="306" t="s">
        <v>452</v>
      </c>
      <c r="O150" s="306" t="s">
        <v>8338</v>
      </c>
      <c r="P150" s="306"/>
      <c r="Q150" s="306"/>
      <c r="R150" s="543"/>
      <c r="S150" s="543"/>
      <c r="T150" s="543"/>
      <c r="U150" s="543"/>
      <c r="V150" s="306"/>
      <c r="W150" s="306"/>
      <c r="X150" s="306"/>
      <c r="Y150" s="306"/>
      <c r="Z150" s="306"/>
      <c r="AA150" s="306"/>
      <c r="AB150" s="306"/>
      <c r="AC150" s="306"/>
    </row>
    <row r="151" spans="1:29" ht="15.75" hidden="1" customHeight="1">
      <c r="A151" s="541">
        <v>44796</v>
      </c>
      <c r="B151" s="306" t="s">
        <v>8334</v>
      </c>
      <c r="C151" s="542"/>
      <c r="D151" s="306"/>
      <c r="E151" s="306" t="s">
        <v>3</v>
      </c>
      <c r="F151" s="306" t="s">
        <v>488</v>
      </c>
      <c r="G151" s="306"/>
      <c r="H151" s="306"/>
      <c r="I151" s="306" t="s">
        <v>941</v>
      </c>
      <c r="J151" s="306"/>
      <c r="K151" s="306"/>
      <c r="L151" s="306" t="s">
        <v>451</v>
      </c>
      <c r="M151" s="306">
        <v>2000000</v>
      </c>
      <c r="N151" s="306" t="s">
        <v>452</v>
      </c>
      <c r="O151" s="306" t="s">
        <v>8338</v>
      </c>
      <c r="P151" s="306"/>
      <c r="Q151" s="306"/>
      <c r="R151" s="543"/>
      <c r="S151" s="543"/>
      <c r="T151" s="543"/>
      <c r="U151" s="543"/>
      <c r="V151" s="224"/>
      <c r="W151" s="224"/>
      <c r="X151" s="224"/>
      <c r="Y151" s="224"/>
      <c r="Z151" s="224"/>
      <c r="AA151" s="224"/>
      <c r="AB151" s="224"/>
      <c r="AC151" s="224"/>
    </row>
    <row r="152" spans="1:29" ht="15.75" hidden="1" customHeight="1">
      <c r="A152" s="248">
        <v>44796</v>
      </c>
      <c r="B152" s="219" t="s">
        <v>8334</v>
      </c>
      <c r="C152" s="315">
        <v>3</v>
      </c>
      <c r="D152" s="219"/>
      <c r="E152" s="219" t="s">
        <v>3</v>
      </c>
      <c r="F152" s="219" t="s">
        <v>488</v>
      </c>
      <c r="G152" s="219" t="s">
        <v>11359</v>
      </c>
      <c r="H152" s="219">
        <v>3</v>
      </c>
      <c r="I152" s="219" t="s">
        <v>941</v>
      </c>
      <c r="J152" s="219"/>
      <c r="K152" s="219">
        <v>3</v>
      </c>
      <c r="L152" s="219" t="s">
        <v>451</v>
      </c>
      <c r="M152" s="219">
        <v>2000000</v>
      </c>
      <c r="N152" s="219" t="s">
        <v>452</v>
      </c>
      <c r="O152" s="219" t="s">
        <v>8338</v>
      </c>
      <c r="P152" s="219"/>
      <c r="Q152" s="219" t="s">
        <v>24</v>
      </c>
      <c r="R152" s="251"/>
      <c r="S152" s="251"/>
      <c r="T152" s="251"/>
      <c r="U152" s="251"/>
      <c r="V152" s="219"/>
      <c r="W152" s="219"/>
      <c r="X152" s="219"/>
      <c r="Y152" s="219"/>
      <c r="Z152" s="219"/>
      <c r="AA152" s="219"/>
      <c r="AB152" s="219"/>
      <c r="AC152" s="219"/>
    </row>
    <row r="153" spans="1:29" ht="15.75" customHeight="1">
      <c r="A153" s="257">
        <v>44789</v>
      </c>
      <c r="B153" s="258" t="s">
        <v>4189</v>
      </c>
      <c r="C153" s="263">
        <v>3.75</v>
      </c>
      <c r="D153" s="258" t="s">
        <v>4192</v>
      </c>
      <c r="E153" s="258" t="s">
        <v>4</v>
      </c>
      <c r="F153" s="258" t="s">
        <v>602</v>
      </c>
      <c r="G153" s="258" t="s">
        <v>4193</v>
      </c>
      <c r="H153" s="258">
        <v>4</v>
      </c>
      <c r="I153" s="258" t="s">
        <v>1054</v>
      </c>
      <c r="J153" s="258" t="s">
        <v>4194</v>
      </c>
      <c r="K153" s="258">
        <v>3.5</v>
      </c>
      <c r="L153" s="258" t="s">
        <v>478</v>
      </c>
      <c r="M153" s="258" t="s">
        <v>3870</v>
      </c>
      <c r="N153" s="258" t="s">
        <v>452</v>
      </c>
      <c r="O153" s="258" t="s">
        <v>4195</v>
      </c>
      <c r="P153" s="258"/>
      <c r="Q153" s="258" t="s">
        <v>24</v>
      </c>
      <c r="R153" s="258" t="s">
        <v>11621</v>
      </c>
      <c r="S153" s="258" t="str">
        <f>IFERROR(VLOOKUP(B153,'2022-2023 Third Reviews'!$C:$S,9,FALSE),"")</f>
        <v/>
      </c>
      <c r="T153" s="258"/>
      <c r="U153" s="258"/>
      <c r="V153" s="224"/>
      <c r="W153" s="224"/>
      <c r="X153" s="224"/>
      <c r="Y153" s="224"/>
      <c r="Z153" s="224"/>
      <c r="AA153" s="224"/>
      <c r="AB153" s="224"/>
      <c r="AC153" s="224"/>
    </row>
    <row r="154" spans="1:29" ht="15.75" customHeight="1">
      <c r="A154" s="248">
        <v>44796</v>
      </c>
      <c r="B154" s="219" t="s">
        <v>4199</v>
      </c>
      <c r="C154" s="315">
        <v>3.75</v>
      </c>
      <c r="D154" s="219" t="s">
        <v>4202</v>
      </c>
      <c r="E154" s="219" t="s">
        <v>4</v>
      </c>
      <c r="F154" s="219" t="s">
        <v>725</v>
      </c>
      <c r="G154" s="219"/>
      <c r="H154" s="219">
        <v>3.5</v>
      </c>
      <c r="I154" s="219" t="s">
        <v>1036</v>
      </c>
      <c r="J154" s="219" t="s">
        <v>4203</v>
      </c>
      <c r="K154" s="219">
        <v>4</v>
      </c>
      <c r="L154" s="219" t="s">
        <v>784</v>
      </c>
      <c r="M154" s="219" t="s">
        <v>4204</v>
      </c>
      <c r="N154" s="219" t="s">
        <v>465</v>
      </c>
      <c r="O154" s="219" t="s">
        <v>4205</v>
      </c>
      <c r="P154" s="219" t="s">
        <v>4206</v>
      </c>
      <c r="Q154" s="219"/>
      <c r="R154" s="219"/>
      <c r="S154" s="219" t="str">
        <f>IFERROR(VLOOKUP(B154,'2022-2023 Third Reviews'!$C:$S,9,FALSE),"")</f>
        <v/>
      </c>
      <c r="T154" s="219"/>
      <c r="U154" s="219"/>
      <c r="V154" s="219"/>
      <c r="W154" s="219"/>
      <c r="X154" s="219"/>
      <c r="Y154" s="219"/>
      <c r="Z154" s="219"/>
      <c r="AA154" s="219"/>
      <c r="AB154" s="219"/>
      <c r="AC154" s="219"/>
    </row>
    <row r="155" spans="1:29" ht="15.75" hidden="1" customHeight="1">
      <c r="A155" s="301">
        <v>44789</v>
      </c>
      <c r="B155" s="303" t="s">
        <v>8341</v>
      </c>
      <c r="C155" s="269"/>
      <c r="D155" s="303" t="s">
        <v>8344</v>
      </c>
      <c r="E155" s="270" t="s">
        <v>3</v>
      </c>
      <c r="F155" s="303" t="s">
        <v>725</v>
      </c>
      <c r="G155" s="303"/>
      <c r="H155" s="303"/>
      <c r="I155" s="303" t="s">
        <v>488</v>
      </c>
      <c r="J155" s="303" t="s">
        <v>8346</v>
      </c>
      <c r="K155" s="303">
        <v>3.5</v>
      </c>
      <c r="L155" s="303"/>
      <c r="M155" s="303"/>
      <c r="N155" s="303" t="s">
        <v>452</v>
      </c>
      <c r="O155" s="303" t="s">
        <v>13216</v>
      </c>
      <c r="P155" s="303"/>
      <c r="Q155" s="303"/>
      <c r="R155" s="305"/>
      <c r="S155" s="305"/>
      <c r="T155" s="305"/>
      <c r="U155" s="305"/>
      <c r="V155" s="303"/>
      <c r="W155" s="303"/>
      <c r="X155" s="303"/>
      <c r="Y155" s="303"/>
      <c r="Z155" s="303"/>
      <c r="AA155" s="306"/>
      <c r="AB155" s="306"/>
      <c r="AC155" s="306"/>
    </row>
    <row r="156" spans="1:29" ht="15.75" hidden="1" customHeight="1">
      <c r="A156" s="248">
        <v>44791</v>
      </c>
      <c r="B156" s="219" t="s">
        <v>8341</v>
      </c>
      <c r="C156" s="315">
        <v>3.25</v>
      </c>
      <c r="D156" s="219" t="s">
        <v>8344</v>
      </c>
      <c r="E156" s="219" t="s">
        <v>3</v>
      </c>
      <c r="F156" s="219" t="s">
        <v>725</v>
      </c>
      <c r="G156" s="219" t="s">
        <v>10577</v>
      </c>
      <c r="H156" s="219">
        <v>3.5</v>
      </c>
      <c r="I156" s="219" t="s">
        <v>488</v>
      </c>
      <c r="J156" s="219" t="s">
        <v>8346</v>
      </c>
      <c r="K156" s="219">
        <v>3</v>
      </c>
      <c r="L156" s="219"/>
      <c r="M156" s="219"/>
      <c r="N156" s="219" t="s">
        <v>452</v>
      </c>
      <c r="O156" s="219" t="s">
        <v>10578</v>
      </c>
      <c r="P156" s="219"/>
      <c r="Q156" s="322" t="s">
        <v>24</v>
      </c>
      <c r="R156" s="251"/>
      <c r="S156" s="251"/>
      <c r="T156" s="251"/>
      <c r="U156" s="251"/>
      <c r="V156" s="219"/>
      <c r="W156" s="219"/>
      <c r="X156" s="219"/>
      <c r="Y156" s="219"/>
      <c r="Z156" s="219"/>
      <c r="AA156" s="219"/>
      <c r="AB156" s="219"/>
      <c r="AC156" s="219"/>
    </row>
    <row r="157" spans="1:29" ht="15.75" customHeight="1">
      <c r="A157" s="257">
        <v>44796</v>
      </c>
      <c r="B157" s="258" t="s">
        <v>4208</v>
      </c>
      <c r="C157" s="263">
        <v>3.75</v>
      </c>
      <c r="D157" s="258" t="s">
        <v>4211</v>
      </c>
      <c r="E157" s="258" t="s">
        <v>4</v>
      </c>
      <c r="F157" s="258" t="s">
        <v>727</v>
      </c>
      <c r="G157" s="258" t="s">
        <v>10474</v>
      </c>
      <c r="H157" s="258">
        <v>3.5</v>
      </c>
      <c r="I157" s="258" t="s">
        <v>1073</v>
      </c>
      <c r="J157" s="258" t="s">
        <v>4213</v>
      </c>
      <c r="K157" s="258">
        <v>4</v>
      </c>
      <c r="L157" s="258" t="s">
        <v>478</v>
      </c>
      <c r="M157" s="258" t="s">
        <v>4214</v>
      </c>
      <c r="N157" s="258" t="s">
        <v>465</v>
      </c>
      <c r="O157" s="258" t="s">
        <v>452</v>
      </c>
      <c r="P157" s="258"/>
      <c r="Q157" s="258" t="s">
        <v>24</v>
      </c>
      <c r="R157" s="258" t="s">
        <v>4215</v>
      </c>
      <c r="S157" s="258" t="str">
        <f ca="1">IFERROR(VLOOKUP(B157,'2022-2023 Third Reviews'!$C:$S,9,FALSE),"")</f>
        <v>Nick Schmandt
4</v>
      </c>
      <c r="T157" s="258"/>
      <c r="U157" s="258"/>
      <c r="V157" s="252"/>
      <c r="W157" s="252"/>
      <c r="X157" s="252"/>
      <c r="Y157" s="224"/>
      <c r="Z157" s="224"/>
      <c r="AA157" s="224"/>
      <c r="AB157" s="224"/>
      <c r="AC157" s="224"/>
    </row>
    <row r="158" spans="1:29" ht="15.75" customHeight="1">
      <c r="A158" s="398">
        <v>44784</v>
      </c>
      <c r="B158" s="268" t="s">
        <v>4218</v>
      </c>
      <c r="C158" s="269">
        <v>3.75</v>
      </c>
      <c r="D158" s="268" t="s">
        <v>4221</v>
      </c>
      <c r="E158" s="270" t="s">
        <v>4</v>
      </c>
      <c r="F158" s="268" t="s">
        <v>727</v>
      </c>
      <c r="G158" s="268" t="s">
        <v>10752</v>
      </c>
      <c r="H158" s="268">
        <v>3.5</v>
      </c>
      <c r="I158" s="268" t="s">
        <v>476</v>
      </c>
      <c r="J158" s="268" t="s">
        <v>11570</v>
      </c>
      <c r="K158" s="268">
        <v>4</v>
      </c>
      <c r="L158" s="268" t="s">
        <v>451</v>
      </c>
      <c r="M158" s="268">
        <v>3000000</v>
      </c>
      <c r="N158" s="268" t="s">
        <v>452</v>
      </c>
      <c r="O158" s="268" t="s">
        <v>4224</v>
      </c>
      <c r="P158" s="268"/>
      <c r="Q158" s="268" t="s">
        <v>24</v>
      </c>
      <c r="R158" s="268"/>
      <c r="S158" s="268" t="str">
        <f>IFERROR(VLOOKUP(B158,'2022-2023 Third Reviews'!$C:$S,9,FALSE),"")</f>
        <v/>
      </c>
      <c r="T158" s="268" t="s">
        <v>13238</v>
      </c>
      <c r="U158" s="268"/>
      <c r="V158" s="306"/>
      <c r="W158" s="306"/>
      <c r="X158" s="306"/>
      <c r="Y158" s="306"/>
      <c r="Z158" s="306"/>
      <c r="AA158" s="306"/>
      <c r="AB158" s="306"/>
      <c r="AC158" s="306"/>
    </row>
    <row r="159" spans="1:29" ht="15.75" hidden="1" customHeight="1">
      <c r="A159" s="255">
        <v>44789</v>
      </c>
      <c r="B159" s="239" t="s">
        <v>64</v>
      </c>
      <c r="C159" s="262">
        <v>5</v>
      </c>
      <c r="D159" s="239" t="s">
        <v>459</v>
      </c>
      <c r="E159" s="239" t="s">
        <v>5</v>
      </c>
      <c r="F159" s="239" t="s">
        <v>460</v>
      </c>
      <c r="G159" s="239" t="s">
        <v>11609</v>
      </c>
      <c r="H159" s="239">
        <v>5</v>
      </c>
      <c r="I159" s="239" t="s">
        <v>462</v>
      </c>
      <c r="J159" s="239" t="s">
        <v>463</v>
      </c>
      <c r="K159" s="239">
        <v>5</v>
      </c>
      <c r="L159" s="239" t="s">
        <v>451</v>
      </c>
      <c r="M159" s="308" t="s">
        <v>464</v>
      </c>
      <c r="N159" s="239" t="s">
        <v>465</v>
      </c>
      <c r="O159" s="239" t="s">
        <v>466</v>
      </c>
      <c r="P159" s="239" t="s">
        <v>467</v>
      </c>
      <c r="Q159" s="239" t="s">
        <v>18</v>
      </c>
      <c r="R159" s="256" t="s">
        <v>13239</v>
      </c>
      <c r="S159" s="256"/>
      <c r="T159" s="256"/>
      <c r="U159" s="256"/>
      <c r="V159" s="239"/>
      <c r="W159" s="239"/>
      <c r="X159" s="239"/>
      <c r="Y159" s="239"/>
      <c r="Z159" s="239"/>
      <c r="AA159" s="239"/>
      <c r="AB159" s="239"/>
      <c r="AC159" s="239"/>
    </row>
    <row r="160" spans="1:29" ht="15.75" customHeight="1">
      <c r="A160" s="255">
        <v>44791</v>
      </c>
      <c r="B160" s="239" t="s">
        <v>278</v>
      </c>
      <c r="C160" s="262">
        <v>3.75</v>
      </c>
      <c r="D160" s="239" t="s">
        <v>9416</v>
      </c>
      <c r="E160" s="239" t="s">
        <v>4</v>
      </c>
      <c r="F160" s="239" t="s">
        <v>447</v>
      </c>
      <c r="G160" s="239" t="s">
        <v>11669</v>
      </c>
      <c r="H160" s="239">
        <v>3.5</v>
      </c>
      <c r="I160" s="239" t="s">
        <v>622</v>
      </c>
      <c r="J160" s="239" t="s">
        <v>11670</v>
      </c>
      <c r="K160" s="239">
        <v>4</v>
      </c>
      <c r="L160" s="239" t="s">
        <v>478</v>
      </c>
      <c r="M160" s="308">
        <v>6000000</v>
      </c>
      <c r="N160" s="239" t="s">
        <v>465</v>
      </c>
      <c r="O160" s="239" t="s">
        <v>452</v>
      </c>
      <c r="P160" s="239"/>
      <c r="Q160" s="239" t="s">
        <v>19</v>
      </c>
      <c r="R160" s="239" t="s">
        <v>9419</v>
      </c>
      <c r="S160" s="239" t="str">
        <f>IFERROR(VLOOKUP(B160,'2022-2023 Third Reviews'!$C:$S,9,FALSE),"")</f>
        <v/>
      </c>
      <c r="T160" s="239" t="s">
        <v>13061</v>
      </c>
      <c r="U160" s="239"/>
      <c r="V160" s="252"/>
      <c r="W160" s="252"/>
      <c r="X160" s="252"/>
      <c r="Y160" s="219"/>
      <c r="Z160" s="219"/>
      <c r="AA160" s="219"/>
      <c r="AB160" s="219"/>
      <c r="AC160" s="219"/>
    </row>
    <row r="161" spans="1:29" ht="15.75" hidden="1" customHeight="1">
      <c r="A161" s="253">
        <v>44782</v>
      </c>
      <c r="B161" s="224" t="s">
        <v>65</v>
      </c>
      <c r="C161" s="249">
        <v>4.25</v>
      </c>
      <c r="D161" s="224" t="s">
        <v>474</v>
      </c>
      <c r="E161" s="250" t="s">
        <v>5</v>
      </c>
      <c r="F161" s="224" t="s">
        <v>447</v>
      </c>
      <c r="G161" s="224" t="s">
        <v>10420</v>
      </c>
      <c r="H161" s="224">
        <v>4.5</v>
      </c>
      <c r="I161" s="224" t="s">
        <v>476</v>
      </c>
      <c r="J161" s="224" t="s">
        <v>13400</v>
      </c>
      <c r="K161" s="224">
        <v>4</v>
      </c>
      <c r="L161" s="224" t="s">
        <v>478</v>
      </c>
      <c r="M161" s="224" t="s">
        <v>479</v>
      </c>
      <c r="N161" s="224" t="s">
        <v>452</v>
      </c>
      <c r="O161" s="224" t="s">
        <v>480</v>
      </c>
      <c r="P161" s="224"/>
      <c r="Q161" s="224" t="s">
        <v>18</v>
      </c>
      <c r="R161" s="254"/>
      <c r="S161" s="254"/>
      <c r="T161" s="254"/>
      <c r="U161" s="254"/>
      <c r="V161" s="252"/>
      <c r="W161" s="252"/>
      <c r="X161" s="252"/>
      <c r="Y161" s="224"/>
      <c r="Z161" s="224"/>
      <c r="AA161" s="224"/>
      <c r="AB161" s="224"/>
      <c r="AC161" s="224"/>
    </row>
    <row r="162" spans="1:29" ht="15.75" hidden="1" customHeight="1">
      <c r="A162" s="248">
        <v>44789</v>
      </c>
      <c r="B162" s="219" t="s">
        <v>2137</v>
      </c>
      <c r="C162" s="249">
        <v>2.63</v>
      </c>
      <c r="D162" s="219" t="s">
        <v>2140</v>
      </c>
      <c r="E162" s="250" t="s">
        <v>5</v>
      </c>
      <c r="F162" s="219" t="s">
        <v>447</v>
      </c>
      <c r="G162" s="219" t="s">
        <v>10853</v>
      </c>
      <c r="H162" s="219">
        <v>2.5</v>
      </c>
      <c r="I162" s="219" t="s">
        <v>449</v>
      </c>
      <c r="J162" s="219" t="e">
        <f>+Tech seems Novel
+Team seems passionate
-do not appear to Have business plan
-Might be to early for EFL</f>
        <v>#NAME?</v>
      </c>
      <c r="K162" s="219">
        <v>2.75</v>
      </c>
      <c r="L162" s="219" t="s">
        <v>451</v>
      </c>
      <c r="M162" s="219">
        <v>500000</v>
      </c>
      <c r="N162" s="219" t="s">
        <v>452</v>
      </c>
      <c r="O162" s="219" t="s">
        <v>10855</v>
      </c>
      <c r="P162" s="219" t="s">
        <v>2144</v>
      </c>
      <c r="Q162" s="219" t="s">
        <v>24</v>
      </c>
      <c r="R162" s="251"/>
      <c r="S162" s="251"/>
      <c r="T162" s="251"/>
      <c r="U162" s="251"/>
      <c r="V162" s="252"/>
      <c r="W162" s="252"/>
      <c r="X162" s="252"/>
      <c r="Y162" s="219"/>
      <c r="Z162" s="219"/>
      <c r="AA162" s="219"/>
      <c r="AB162" s="219"/>
      <c r="AC162" s="219"/>
    </row>
    <row r="163" spans="1:29" ht="15.75" customHeight="1">
      <c r="A163" s="253">
        <v>44796</v>
      </c>
      <c r="B163" s="224" t="s">
        <v>4227</v>
      </c>
      <c r="C163" s="316">
        <v>3.75</v>
      </c>
      <c r="D163" s="224" t="s">
        <v>4230</v>
      </c>
      <c r="E163" s="224" t="s">
        <v>4</v>
      </c>
      <c r="F163" s="224" t="s">
        <v>725</v>
      </c>
      <c r="G163" s="224"/>
      <c r="H163" s="224">
        <v>3.5</v>
      </c>
      <c r="I163" s="224" t="s">
        <v>1187</v>
      </c>
      <c r="J163" s="224" t="s">
        <v>4231</v>
      </c>
      <c r="K163" s="224">
        <v>4</v>
      </c>
      <c r="L163" s="224" t="s">
        <v>451</v>
      </c>
      <c r="M163" s="224" t="s">
        <v>4232</v>
      </c>
      <c r="N163" s="224" t="s">
        <v>452</v>
      </c>
      <c r="O163" s="224" t="s">
        <v>4233</v>
      </c>
      <c r="P163" s="224"/>
      <c r="Q163" s="224" t="s">
        <v>24</v>
      </c>
      <c r="R163" s="224"/>
      <c r="S163" s="224" t="str">
        <f>IFERROR(VLOOKUP(B163,'2022-2023 Third Reviews'!$C:$S,9,FALSE),"")</f>
        <v/>
      </c>
      <c r="T163" s="224"/>
      <c r="U163" s="224"/>
      <c r="V163" s="252"/>
      <c r="W163" s="252"/>
      <c r="X163" s="252"/>
      <c r="Y163" s="224"/>
      <c r="Z163" s="224"/>
      <c r="AA163" s="224"/>
      <c r="AB163" s="224"/>
      <c r="AC163" s="224"/>
    </row>
    <row r="164" spans="1:29" ht="15.75" customHeight="1">
      <c r="A164" s="248">
        <v>44791</v>
      </c>
      <c r="B164" s="219" t="s">
        <v>4236</v>
      </c>
      <c r="C164" s="315">
        <v>3.75</v>
      </c>
      <c r="D164" s="219" t="s">
        <v>4239</v>
      </c>
      <c r="E164" s="219" t="s">
        <v>4</v>
      </c>
      <c r="F164" s="219" t="s">
        <v>727</v>
      </c>
      <c r="G164" s="219" t="s">
        <v>10505</v>
      </c>
      <c r="H164" s="219">
        <v>3.5</v>
      </c>
      <c r="I164" s="219" t="s">
        <v>1187</v>
      </c>
      <c r="J164" s="219" t="s">
        <v>4241</v>
      </c>
      <c r="K164" s="219">
        <v>4</v>
      </c>
      <c r="L164" s="219" t="s">
        <v>451</v>
      </c>
      <c r="M164" s="219" t="s">
        <v>4242</v>
      </c>
      <c r="N164" s="219" t="s">
        <v>452</v>
      </c>
      <c r="O164" s="219" t="s">
        <v>452</v>
      </c>
      <c r="P164" s="219"/>
      <c r="Q164" s="219" t="s">
        <v>24</v>
      </c>
      <c r="R164" s="219"/>
      <c r="S164" s="219" t="str">
        <f>IFERROR(VLOOKUP(B164,'2022-2023 Third Reviews'!$C:$S,9,FALSE),"")</f>
        <v/>
      </c>
      <c r="T164" s="219"/>
      <c r="U164" s="219"/>
      <c r="V164" s="306"/>
      <c r="W164" s="306"/>
      <c r="X164" s="306"/>
      <c r="Y164" s="306"/>
      <c r="Z164" s="306"/>
      <c r="AA164" s="306"/>
      <c r="AB164" s="306"/>
      <c r="AC164" s="306"/>
    </row>
    <row r="165" spans="1:29" ht="15.75" customHeight="1">
      <c r="A165" s="253">
        <v>44797</v>
      </c>
      <c r="B165" s="224" t="s">
        <v>4245</v>
      </c>
      <c r="C165" s="316">
        <v>3.75</v>
      </c>
      <c r="D165" s="224" t="s">
        <v>4248</v>
      </c>
      <c r="E165" s="224" t="s">
        <v>4</v>
      </c>
      <c r="F165" s="224" t="s">
        <v>1045</v>
      </c>
      <c r="G165" s="224" t="s">
        <v>4249</v>
      </c>
      <c r="H165" s="224">
        <v>3.5</v>
      </c>
      <c r="I165" s="224" t="s">
        <v>1187</v>
      </c>
      <c r="J165" s="224" t="s">
        <v>4250</v>
      </c>
      <c r="K165" s="224">
        <v>4</v>
      </c>
      <c r="L165" s="224" t="s">
        <v>784</v>
      </c>
      <c r="M165" s="330">
        <v>500000</v>
      </c>
      <c r="N165" s="224" t="s">
        <v>454</v>
      </c>
      <c r="O165" s="224" t="s">
        <v>10911</v>
      </c>
      <c r="P165" s="224" t="s">
        <v>4252</v>
      </c>
      <c r="Q165" s="224" t="s">
        <v>24</v>
      </c>
      <c r="R165" s="224"/>
      <c r="S165" s="224" t="str">
        <f>IFERROR(VLOOKUP(B165,'2022-2023 Third Reviews'!$C:$S,9,FALSE),"")</f>
        <v/>
      </c>
      <c r="T165" s="224"/>
      <c r="U165" s="224"/>
      <c r="V165" s="224"/>
      <c r="W165" s="224"/>
      <c r="X165" s="224"/>
      <c r="Y165" s="224"/>
      <c r="Z165" s="224"/>
      <c r="AA165" s="224"/>
      <c r="AB165" s="224"/>
      <c r="AC165" s="224"/>
    </row>
    <row r="166" spans="1:29" ht="15.75" hidden="1" customHeight="1">
      <c r="A166" s="248">
        <v>44791</v>
      </c>
      <c r="B166" s="219" t="s">
        <v>2147</v>
      </c>
      <c r="C166" s="315">
        <v>2.25</v>
      </c>
      <c r="D166" s="219"/>
      <c r="E166" s="219" t="s">
        <v>5</v>
      </c>
      <c r="F166" s="219" t="s">
        <v>447</v>
      </c>
      <c r="G166" s="219" t="s">
        <v>11358</v>
      </c>
      <c r="H166" s="219">
        <v>2.5</v>
      </c>
      <c r="I166" s="219" t="s">
        <v>622</v>
      </c>
      <c r="J166" s="219" t="s">
        <v>2151</v>
      </c>
      <c r="K166" s="219">
        <v>2</v>
      </c>
      <c r="L166" s="219" t="s">
        <v>2152</v>
      </c>
      <c r="M166" s="219">
        <v>500000</v>
      </c>
      <c r="N166" s="219" t="s">
        <v>452</v>
      </c>
      <c r="O166" s="219" t="s">
        <v>2153</v>
      </c>
      <c r="P166" s="219"/>
      <c r="Q166" s="322" t="s">
        <v>24</v>
      </c>
      <c r="R166" s="251"/>
      <c r="S166" s="251"/>
      <c r="T166" s="251"/>
      <c r="U166" s="251"/>
      <c r="V166" s="219"/>
      <c r="W166" s="219"/>
      <c r="X166" s="219"/>
      <c r="Y166" s="219"/>
      <c r="Z166" s="219"/>
      <c r="AA166" s="219"/>
      <c r="AB166" s="219"/>
      <c r="AC166" s="219"/>
    </row>
    <row r="167" spans="1:29" ht="15.75" hidden="1" customHeight="1">
      <c r="A167" s="255">
        <v>44791</v>
      </c>
      <c r="B167" s="239" t="s">
        <v>2156</v>
      </c>
      <c r="C167" s="262">
        <v>3.25</v>
      </c>
      <c r="D167" s="239" t="s">
        <v>2159</v>
      </c>
      <c r="E167" s="239" t="s">
        <v>5</v>
      </c>
      <c r="F167" s="239" t="s">
        <v>447</v>
      </c>
      <c r="G167" s="239" t="s">
        <v>10981</v>
      </c>
      <c r="H167" s="239">
        <v>3.5</v>
      </c>
      <c r="I167" s="239" t="s">
        <v>543</v>
      </c>
      <c r="J167" s="239" t="s">
        <v>11683</v>
      </c>
      <c r="K167" s="239">
        <v>3</v>
      </c>
      <c r="L167" s="239" t="s">
        <v>478</v>
      </c>
      <c r="M167" s="314">
        <v>6000000</v>
      </c>
      <c r="N167" s="239" t="s">
        <v>452</v>
      </c>
      <c r="O167" s="239" t="s">
        <v>2162</v>
      </c>
      <c r="P167" s="239"/>
      <c r="Q167" s="239" t="s">
        <v>24</v>
      </c>
      <c r="R167" s="256"/>
      <c r="S167" s="256"/>
      <c r="T167" s="256"/>
      <c r="U167" s="256"/>
      <c r="V167" s="239"/>
      <c r="W167" s="239"/>
      <c r="X167" s="239"/>
      <c r="Y167" s="239"/>
      <c r="Z167" s="239"/>
      <c r="AA167" s="239"/>
      <c r="AB167" s="239"/>
      <c r="AC167" s="239"/>
    </row>
    <row r="168" spans="1:29" ht="15.75" hidden="1" customHeight="1">
      <c r="A168" s="301">
        <v>44789</v>
      </c>
      <c r="B168" s="303" t="s">
        <v>2165</v>
      </c>
      <c r="C168" s="269"/>
      <c r="D168" s="303" t="s">
        <v>10625</v>
      </c>
      <c r="E168" s="270" t="s">
        <v>5</v>
      </c>
      <c r="F168" s="303" t="s">
        <v>725</v>
      </c>
      <c r="G168" s="303"/>
      <c r="H168" s="303"/>
      <c r="I168" s="303" t="s">
        <v>476</v>
      </c>
      <c r="J168" s="303" t="s">
        <v>13240</v>
      </c>
      <c r="K168" s="303">
        <v>3.5</v>
      </c>
      <c r="L168" s="303" t="s">
        <v>451</v>
      </c>
      <c r="M168" s="303" t="s">
        <v>2171</v>
      </c>
      <c r="N168" s="303" t="s">
        <v>452</v>
      </c>
      <c r="O168" s="303" t="s">
        <v>452</v>
      </c>
      <c r="P168" s="303"/>
      <c r="Q168" s="303"/>
      <c r="R168" s="305"/>
      <c r="S168" s="305"/>
      <c r="T168" s="305"/>
      <c r="U168" s="305"/>
      <c r="V168" s="303"/>
      <c r="W168" s="303"/>
      <c r="X168" s="303"/>
      <c r="Y168" s="303"/>
      <c r="Z168" s="303"/>
      <c r="AA168" s="306"/>
      <c r="AB168" s="306"/>
      <c r="AC168" s="306"/>
    </row>
    <row r="169" spans="1:29" ht="15.75" hidden="1" customHeight="1">
      <c r="A169" s="253">
        <v>44789</v>
      </c>
      <c r="B169" s="224" t="s">
        <v>2165</v>
      </c>
      <c r="C169" s="249">
        <v>3</v>
      </c>
      <c r="D169" s="224" t="s">
        <v>10625</v>
      </c>
      <c r="E169" s="250" t="s">
        <v>5</v>
      </c>
      <c r="F169" s="224" t="s">
        <v>447</v>
      </c>
      <c r="G169" s="224" t="s">
        <v>10626</v>
      </c>
      <c r="H169" s="224">
        <v>2.5</v>
      </c>
      <c r="I169" s="224" t="s">
        <v>476</v>
      </c>
      <c r="J169" s="224" t="s">
        <v>13400</v>
      </c>
      <c r="K169" s="224">
        <v>3.5</v>
      </c>
      <c r="L169" s="224" t="s">
        <v>451</v>
      </c>
      <c r="M169" s="224" t="s">
        <v>2171</v>
      </c>
      <c r="N169" s="224" t="s">
        <v>452</v>
      </c>
      <c r="O169" s="224" t="s">
        <v>452</v>
      </c>
      <c r="P169" s="224"/>
      <c r="Q169" s="224" t="s">
        <v>24</v>
      </c>
      <c r="R169" s="254"/>
      <c r="S169" s="254"/>
      <c r="T169" s="254"/>
      <c r="U169" s="254"/>
      <c r="V169" s="252"/>
      <c r="W169" s="252"/>
      <c r="X169" s="252"/>
      <c r="Y169" s="224"/>
      <c r="Z169" s="224"/>
      <c r="AA169" s="224"/>
      <c r="AB169" s="224"/>
      <c r="AC169" s="224"/>
    </row>
    <row r="170" spans="1:29" ht="15.75" hidden="1" customHeight="1">
      <c r="A170" s="541">
        <v>44791</v>
      </c>
      <c r="B170" s="306" t="s">
        <v>2174</v>
      </c>
      <c r="C170" s="542"/>
      <c r="D170" s="306"/>
      <c r="E170" s="306" t="s">
        <v>3</v>
      </c>
      <c r="F170" s="306" t="s">
        <v>460</v>
      </c>
      <c r="G170" s="306"/>
      <c r="H170" s="306"/>
      <c r="I170" s="306" t="s">
        <v>941</v>
      </c>
      <c r="J170" s="306"/>
      <c r="K170" s="306"/>
      <c r="L170" s="306" t="s">
        <v>2152</v>
      </c>
      <c r="M170" s="306" t="s">
        <v>2179</v>
      </c>
      <c r="N170" s="306" t="s">
        <v>452</v>
      </c>
      <c r="O170" s="306" t="s">
        <v>1119</v>
      </c>
      <c r="P170" s="306" t="s">
        <v>2180</v>
      </c>
      <c r="Q170" s="306"/>
      <c r="R170" s="543"/>
      <c r="S170" s="543"/>
      <c r="T170" s="543"/>
      <c r="U170" s="543"/>
      <c r="V170" s="306"/>
      <c r="W170" s="306"/>
      <c r="X170" s="306"/>
      <c r="Y170" s="306"/>
      <c r="Z170" s="306"/>
      <c r="AA170" s="306"/>
      <c r="AB170" s="306"/>
      <c r="AC170" s="306"/>
    </row>
    <row r="171" spans="1:29" ht="15.75" hidden="1" customHeight="1">
      <c r="A171" s="255">
        <v>44791</v>
      </c>
      <c r="B171" s="239" t="s">
        <v>2174</v>
      </c>
      <c r="C171" s="262">
        <v>3.25</v>
      </c>
      <c r="D171" s="239" t="s">
        <v>11685</v>
      </c>
      <c r="E171" s="239" t="s">
        <v>5</v>
      </c>
      <c r="F171" s="239" t="s">
        <v>5</v>
      </c>
      <c r="G171" s="239" t="s">
        <v>2177</v>
      </c>
      <c r="H171" s="239">
        <v>3.5</v>
      </c>
      <c r="I171" s="239" t="s">
        <v>941</v>
      </c>
      <c r="J171" s="239" t="s">
        <v>2178</v>
      </c>
      <c r="K171" s="239">
        <v>3</v>
      </c>
      <c r="L171" s="239" t="s">
        <v>2152</v>
      </c>
      <c r="M171" s="239" t="s">
        <v>2179</v>
      </c>
      <c r="N171" s="239" t="s">
        <v>452</v>
      </c>
      <c r="O171" s="239" t="s">
        <v>1119</v>
      </c>
      <c r="P171" s="239" t="s">
        <v>2180</v>
      </c>
      <c r="Q171" s="239" t="s">
        <v>24</v>
      </c>
      <c r="R171" s="256" t="s">
        <v>11686</v>
      </c>
      <c r="S171" s="256"/>
      <c r="T171" s="256"/>
      <c r="U171" s="256"/>
      <c r="V171" s="239"/>
      <c r="W171" s="239"/>
      <c r="X171" s="239"/>
      <c r="Y171" s="239"/>
      <c r="Z171" s="239"/>
      <c r="AA171" s="239"/>
      <c r="AB171" s="239"/>
      <c r="AC171" s="239"/>
    </row>
    <row r="172" spans="1:29" ht="15.75" hidden="1" customHeight="1">
      <c r="A172" s="212">
        <v>44776</v>
      </c>
      <c r="B172" s="213" t="s">
        <v>8350</v>
      </c>
      <c r="C172" s="214">
        <v>1.5</v>
      </c>
      <c r="D172" s="213" t="s">
        <v>8353</v>
      </c>
      <c r="E172" s="215" t="s">
        <v>3</v>
      </c>
      <c r="F172" s="213" t="s">
        <v>460</v>
      </c>
      <c r="G172" s="213"/>
      <c r="H172" s="213">
        <v>1</v>
      </c>
      <c r="I172" s="213" t="s">
        <v>462</v>
      </c>
      <c r="J172" s="213" t="s">
        <v>8354</v>
      </c>
      <c r="K172" s="213">
        <v>2</v>
      </c>
      <c r="L172" s="213" t="s">
        <v>451</v>
      </c>
      <c r="M172" s="225">
        <v>750000</v>
      </c>
      <c r="N172" s="213" t="s">
        <v>452</v>
      </c>
      <c r="O172" s="213" t="s">
        <v>8355</v>
      </c>
      <c r="P172" s="143"/>
      <c r="Q172" s="213" t="s">
        <v>24</v>
      </c>
      <c r="R172" s="226">
        <f t="array" ref="R172">INDEX(Notes!C:C,MATCH($B172,Notes!$A:$A,0))</f>
        <v>0</v>
      </c>
      <c r="S172" s="226"/>
      <c r="T172" s="226"/>
      <c r="U172" s="226"/>
      <c r="V172" s="218"/>
      <c r="W172" s="218"/>
      <c r="X172" s="218"/>
      <c r="Y172" s="219"/>
      <c r="Z172" s="219"/>
      <c r="AA172" s="219"/>
      <c r="AB172" s="219"/>
      <c r="AC172" s="219"/>
    </row>
    <row r="173" spans="1:29" ht="15.75" customHeight="1">
      <c r="A173" s="253">
        <v>44796</v>
      </c>
      <c r="B173" s="224" t="s">
        <v>4263</v>
      </c>
      <c r="C173" s="316">
        <v>3.75</v>
      </c>
      <c r="D173" s="224" t="s">
        <v>4266</v>
      </c>
      <c r="E173" s="224" t="s">
        <v>4</v>
      </c>
      <c r="F173" s="224" t="s">
        <v>725</v>
      </c>
      <c r="G173" s="224" t="s">
        <v>10979</v>
      </c>
      <c r="H173" s="224">
        <v>3.5</v>
      </c>
      <c r="I173" s="224" t="s">
        <v>1237</v>
      </c>
      <c r="J173" s="224"/>
      <c r="K173" s="224">
        <v>4</v>
      </c>
      <c r="L173" s="224"/>
      <c r="M173" s="224"/>
      <c r="N173" s="224" t="s">
        <v>452</v>
      </c>
      <c r="O173" s="224" t="s">
        <v>452</v>
      </c>
      <c r="P173" s="224"/>
      <c r="Q173" s="224" t="s">
        <v>24</v>
      </c>
      <c r="R173" s="224"/>
      <c r="S173" s="224" t="str">
        <f>IFERROR(VLOOKUP(B173,'2022-2023 Third Reviews'!$C:$S,9,FALSE),"")</f>
        <v/>
      </c>
      <c r="T173" s="224"/>
      <c r="U173" s="224"/>
      <c r="V173" s="224"/>
      <c r="W173" s="224"/>
      <c r="X173" s="224"/>
      <c r="Y173" s="224"/>
      <c r="Z173" s="224"/>
      <c r="AA173" s="224"/>
      <c r="AB173" s="224"/>
      <c r="AC173" s="224"/>
    </row>
    <row r="174" spans="1:29" ht="15.75" customHeight="1">
      <c r="A174" s="257">
        <v>44796</v>
      </c>
      <c r="B174" s="258" t="s">
        <v>4270</v>
      </c>
      <c r="C174" s="263">
        <v>3.75</v>
      </c>
      <c r="D174" s="258" t="s">
        <v>4273</v>
      </c>
      <c r="E174" s="258" t="s">
        <v>4</v>
      </c>
      <c r="F174" s="258" t="s">
        <v>447</v>
      </c>
      <c r="G174" s="258" t="s">
        <v>11310</v>
      </c>
      <c r="H174" s="258">
        <v>2.5</v>
      </c>
      <c r="I174" s="258" t="s">
        <v>1237</v>
      </c>
      <c r="J174" s="258"/>
      <c r="K174" s="258">
        <v>5</v>
      </c>
      <c r="L174" s="258" t="s">
        <v>451</v>
      </c>
      <c r="M174" s="258" t="s">
        <v>4275</v>
      </c>
      <c r="N174" s="258" t="s">
        <v>452</v>
      </c>
      <c r="O174" s="258" t="s">
        <v>4276</v>
      </c>
      <c r="P174" s="258" t="s">
        <v>4277</v>
      </c>
      <c r="Q174" s="258" t="s">
        <v>24</v>
      </c>
      <c r="R174" s="258" t="s">
        <v>11720</v>
      </c>
      <c r="S174" s="258" t="str">
        <f>IFERROR(VLOOKUP(B174,'2022-2023 Third Reviews'!$C:$S,9,FALSE),"")</f>
        <v/>
      </c>
      <c r="T174" s="258"/>
      <c r="U174" s="258"/>
      <c r="V174" s="252"/>
      <c r="W174" s="252"/>
      <c r="X174" s="252"/>
      <c r="Y174" s="219"/>
      <c r="Z174" s="219"/>
      <c r="AA174" s="219"/>
      <c r="AB174" s="219"/>
      <c r="AC174" s="219"/>
    </row>
    <row r="175" spans="1:29" ht="15.75" hidden="1" customHeight="1">
      <c r="A175" s="257">
        <v>44782</v>
      </c>
      <c r="B175" s="258" t="s">
        <v>66</v>
      </c>
      <c r="C175" s="249">
        <v>3.5</v>
      </c>
      <c r="D175" s="258" t="s">
        <v>9458</v>
      </c>
      <c r="E175" s="250" t="s">
        <v>3</v>
      </c>
      <c r="F175" s="258" t="s">
        <v>460</v>
      </c>
      <c r="G175" s="258" t="s">
        <v>9459</v>
      </c>
      <c r="H175" s="258">
        <v>3</v>
      </c>
      <c r="I175" s="258" t="s">
        <v>462</v>
      </c>
      <c r="J175" s="258" t="s">
        <v>9460</v>
      </c>
      <c r="K175" s="258">
        <v>4</v>
      </c>
      <c r="L175" s="258" t="s">
        <v>478</v>
      </c>
      <c r="M175" s="258">
        <v>20000000</v>
      </c>
      <c r="N175" s="258" t="s">
        <v>452</v>
      </c>
      <c r="O175" s="258" t="s">
        <v>452</v>
      </c>
      <c r="P175" s="258"/>
      <c r="Q175" s="258" t="s">
        <v>20</v>
      </c>
      <c r="R175" s="259" t="s">
        <v>11535</v>
      </c>
      <c r="S175" s="259"/>
      <c r="T175" s="259"/>
      <c r="U175" s="259"/>
      <c r="V175" s="258"/>
      <c r="W175" s="258"/>
      <c r="X175" s="258"/>
      <c r="Y175" s="258"/>
      <c r="Z175" s="258"/>
      <c r="AA175" s="258"/>
      <c r="AB175" s="258"/>
      <c r="AC175" s="258"/>
    </row>
    <row r="176" spans="1:29" ht="15.75" customHeight="1">
      <c r="A176" s="212">
        <v>44776</v>
      </c>
      <c r="B176" s="213" t="s">
        <v>4281</v>
      </c>
      <c r="C176" s="214">
        <v>3.75</v>
      </c>
      <c r="D176" s="213" t="s">
        <v>4284</v>
      </c>
      <c r="E176" s="215" t="s">
        <v>4</v>
      </c>
      <c r="F176" s="213" t="s">
        <v>727</v>
      </c>
      <c r="G176" s="213" t="s">
        <v>4285</v>
      </c>
      <c r="H176" s="213">
        <v>3.5</v>
      </c>
      <c r="I176" s="213" t="s">
        <v>1054</v>
      </c>
      <c r="J176" s="213"/>
      <c r="K176" s="213">
        <v>4</v>
      </c>
      <c r="L176" s="213" t="s">
        <v>451</v>
      </c>
      <c r="M176" s="243">
        <v>500000</v>
      </c>
      <c r="N176" s="213" t="s">
        <v>465</v>
      </c>
      <c r="O176" s="213" t="s">
        <v>4286</v>
      </c>
      <c r="P176" s="143"/>
      <c r="Q176" s="213" t="s">
        <v>24</v>
      </c>
      <c r="R176" s="213">
        <f t="array" ref="R176">INDEX(Notes!C:C,MATCH($B176,Notes!$A:$A,0))</f>
        <v>0</v>
      </c>
      <c r="S176" s="213" t="str">
        <f>IFERROR(VLOOKUP(B176,'2022-2023 Third Reviews'!$C:$S,9,FALSE),"")</f>
        <v/>
      </c>
      <c r="T176" s="213"/>
      <c r="U176" s="213"/>
      <c r="V176" s="239"/>
      <c r="W176" s="239"/>
      <c r="X176" s="239"/>
      <c r="Y176" s="239"/>
      <c r="Z176" s="239"/>
      <c r="AA176" s="239"/>
      <c r="AB176" s="239"/>
      <c r="AC176" s="239"/>
    </row>
    <row r="177" spans="1:29" ht="15.75" customHeight="1">
      <c r="A177" s="253">
        <v>44796</v>
      </c>
      <c r="B177" s="224" t="s">
        <v>4289</v>
      </c>
      <c r="C177" s="316">
        <v>3.75</v>
      </c>
      <c r="D177" s="224" t="s">
        <v>4292</v>
      </c>
      <c r="E177" s="224" t="s">
        <v>4</v>
      </c>
      <c r="F177" s="224" t="s">
        <v>725</v>
      </c>
      <c r="G177" s="224" t="s">
        <v>11204</v>
      </c>
      <c r="H177" s="224">
        <v>3.5</v>
      </c>
      <c r="I177" s="224" t="s">
        <v>1237</v>
      </c>
      <c r="J177" s="224"/>
      <c r="K177" s="224">
        <v>4</v>
      </c>
      <c r="L177" s="224"/>
      <c r="M177" s="224"/>
      <c r="N177" s="224" t="s">
        <v>452</v>
      </c>
      <c r="O177" s="224" t="s">
        <v>454</v>
      </c>
      <c r="P177" s="224"/>
      <c r="Q177" s="224" t="s">
        <v>24</v>
      </c>
      <c r="R177" s="224"/>
      <c r="S177" s="224" t="str">
        <f>IFERROR(VLOOKUP(B177,'2022-2023 Third Reviews'!$C:$S,9,FALSE),"")</f>
        <v/>
      </c>
      <c r="T177" s="224"/>
      <c r="U177" s="224"/>
      <c r="V177" s="252"/>
      <c r="W177" s="252"/>
      <c r="X177" s="252"/>
      <c r="Y177" s="224"/>
      <c r="Z177" s="224"/>
      <c r="AA177" s="224"/>
      <c r="AB177" s="224"/>
      <c r="AC177" s="224"/>
    </row>
    <row r="178" spans="1:29" ht="15.75" hidden="1" customHeight="1">
      <c r="A178" s="257">
        <v>44791</v>
      </c>
      <c r="B178" s="258" t="s">
        <v>8358</v>
      </c>
      <c r="C178" s="263">
        <v>3.5</v>
      </c>
      <c r="D178" s="258" t="s">
        <v>8361</v>
      </c>
      <c r="E178" s="258" t="s">
        <v>3</v>
      </c>
      <c r="F178" s="258" t="s">
        <v>460</v>
      </c>
      <c r="G178" s="258" t="s">
        <v>11676</v>
      </c>
      <c r="H178" s="258">
        <v>3</v>
      </c>
      <c r="I178" s="258" t="s">
        <v>462</v>
      </c>
      <c r="J178" s="258" t="s">
        <v>8363</v>
      </c>
      <c r="K178" s="258">
        <v>4</v>
      </c>
      <c r="L178" s="258" t="s">
        <v>8364</v>
      </c>
      <c r="M178" s="309">
        <v>5000000</v>
      </c>
      <c r="N178" s="258" t="s">
        <v>452</v>
      </c>
      <c r="O178" s="258" t="s">
        <v>452</v>
      </c>
      <c r="P178" s="258"/>
      <c r="Q178" s="258" t="s">
        <v>24</v>
      </c>
      <c r="R178" s="259" t="s">
        <v>8365</v>
      </c>
      <c r="S178" s="259"/>
      <c r="T178" s="259"/>
      <c r="U178" s="259"/>
      <c r="V178" s="258"/>
      <c r="W178" s="258"/>
      <c r="X178" s="258"/>
      <c r="Y178" s="258"/>
      <c r="Z178" s="258"/>
      <c r="AA178" s="258"/>
      <c r="AB178" s="258"/>
      <c r="AC178" s="258"/>
    </row>
    <row r="179" spans="1:29" ht="15.75" customHeight="1">
      <c r="A179" s="257">
        <v>44796</v>
      </c>
      <c r="B179" s="258" t="s">
        <v>279</v>
      </c>
      <c r="C179" s="263">
        <v>3.75</v>
      </c>
      <c r="D179" s="258" t="s">
        <v>11722</v>
      </c>
      <c r="E179" s="258" t="s">
        <v>4</v>
      </c>
      <c r="F179" s="258" t="s">
        <v>460</v>
      </c>
      <c r="G179" s="258" t="s">
        <v>1236</v>
      </c>
      <c r="H179" s="258">
        <v>4.5</v>
      </c>
      <c r="I179" s="258" t="s">
        <v>1237</v>
      </c>
      <c r="J179" s="258"/>
      <c r="K179" s="258">
        <v>3</v>
      </c>
      <c r="L179" s="258"/>
      <c r="M179" s="258"/>
      <c r="N179" s="258" t="s">
        <v>465</v>
      </c>
      <c r="O179" s="258" t="s">
        <v>11326</v>
      </c>
      <c r="P179" s="258" t="s">
        <v>1239</v>
      </c>
      <c r="Q179" s="258" t="s">
        <v>18</v>
      </c>
      <c r="R179" s="258" t="s">
        <v>1240</v>
      </c>
      <c r="S179" s="258" t="str">
        <f>IFERROR(VLOOKUP(B179,'2022-2023 Third Reviews'!$C:$S,9,FALSE),"")</f>
        <v/>
      </c>
      <c r="T179" s="258"/>
      <c r="U179" s="258"/>
      <c r="V179" s="224"/>
      <c r="W179" s="224"/>
      <c r="X179" s="224"/>
      <c r="Y179" s="224"/>
      <c r="Z179" s="224"/>
      <c r="AA179" s="224"/>
      <c r="AB179" s="224"/>
      <c r="AC179" s="224"/>
    </row>
    <row r="180" spans="1:29" ht="15.75" hidden="1" customHeight="1">
      <c r="A180" s="301">
        <v>44789</v>
      </c>
      <c r="B180" s="303" t="s">
        <v>10435</v>
      </c>
      <c r="C180" s="269"/>
      <c r="D180" s="303" t="s">
        <v>8371</v>
      </c>
      <c r="E180" s="270" t="s">
        <v>3</v>
      </c>
      <c r="F180" s="303" t="s">
        <v>460</v>
      </c>
      <c r="G180" s="303"/>
      <c r="H180" s="303"/>
      <c r="I180" s="303" t="s">
        <v>488</v>
      </c>
      <c r="J180" s="303" t="s">
        <v>10436</v>
      </c>
      <c r="K180" s="303">
        <v>3</v>
      </c>
      <c r="L180" s="303" t="s">
        <v>451</v>
      </c>
      <c r="M180" s="303" t="s">
        <v>8374</v>
      </c>
      <c r="N180" s="303" t="s">
        <v>452</v>
      </c>
      <c r="O180" s="303" t="s">
        <v>575</v>
      </c>
      <c r="P180" s="303"/>
      <c r="Q180" s="303"/>
      <c r="R180" s="305"/>
      <c r="S180" s="305"/>
      <c r="T180" s="305"/>
      <c r="U180" s="305"/>
      <c r="V180" s="303"/>
      <c r="W180" s="303"/>
      <c r="X180" s="303"/>
      <c r="Y180" s="303"/>
      <c r="Z180" s="303"/>
      <c r="AA180" s="306"/>
      <c r="AB180" s="306"/>
      <c r="AC180" s="306"/>
    </row>
    <row r="181" spans="1:29" ht="15.75" hidden="1" customHeight="1">
      <c r="A181" s="253">
        <v>44789</v>
      </c>
      <c r="B181" s="224" t="s">
        <v>10435</v>
      </c>
      <c r="C181" s="249">
        <v>2.5</v>
      </c>
      <c r="D181" s="224" t="s">
        <v>8371</v>
      </c>
      <c r="E181" s="250" t="s">
        <v>3</v>
      </c>
      <c r="F181" s="224" t="s">
        <v>460</v>
      </c>
      <c r="G181" s="224" t="s">
        <v>8372</v>
      </c>
      <c r="H181" s="224">
        <v>2</v>
      </c>
      <c r="I181" s="224" t="s">
        <v>488</v>
      </c>
      <c r="J181" s="224" t="s">
        <v>10436</v>
      </c>
      <c r="K181" s="224">
        <v>3</v>
      </c>
      <c r="L181" s="224" t="s">
        <v>451</v>
      </c>
      <c r="M181" s="224" t="s">
        <v>8374</v>
      </c>
      <c r="N181" s="224" t="s">
        <v>452</v>
      </c>
      <c r="O181" s="224" t="s">
        <v>575</v>
      </c>
      <c r="P181" s="224"/>
      <c r="Q181" s="224" t="s">
        <v>24</v>
      </c>
      <c r="R181" s="254"/>
      <c r="S181" s="254"/>
      <c r="T181" s="254"/>
      <c r="U181" s="254"/>
      <c r="V181" s="252"/>
      <c r="W181" s="252"/>
      <c r="X181" s="252"/>
      <c r="Y181" s="224"/>
      <c r="Z181" s="224"/>
      <c r="AA181" s="224"/>
      <c r="AB181" s="224"/>
      <c r="AC181" s="224"/>
    </row>
    <row r="182" spans="1:29" ht="15.75" customHeight="1">
      <c r="A182" s="257">
        <v>44782</v>
      </c>
      <c r="B182" s="258" t="s">
        <v>280</v>
      </c>
      <c r="C182" s="249">
        <v>3.75</v>
      </c>
      <c r="D182" s="258" t="s">
        <v>9516</v>
      </c>
      <c r="E182" s="250" t="s">
        <v>4</v>
      </c>
      <c r="F182" s="258" t="s">
        <v>727</v>
      </c>
      <c r="G182" s="258" t="s">
        <v>11406</v>
      </c>
      <c r="H182" s="258">
        <v>4.5</v>
      </c>
      <c r="I182" s="258" t="s">
        <v>476</v>
      </c>
      <c r="J182" s="258" t="s">
        <v>9518</v>
      </c>
      <c r="K182" s="258">
        <v>3</v>
      </c>
      <c r="L182" s="258" t="s">
        <v>784</v>
      </c>
      <c r="M182" s="258">
        <v>250000</v>
      </c>
      <c r="N182" s="258" t="s">
        <v>454</v>
      </c>
      <c r="O182" s="258" t="s">
        <v>9519</v>
      </c>
      <c r="P182" s="258" t="s">
        <v>9520</v>
      </c>
      <c r="Q182" s="258" t="s">
        <v>20</v>
      </c>
      <c r="R182" s="258" t="s">
        <v>11531</v>
      </c>
      <c r="S182" s="258" t="str">
        <f ca="1">IFERROR(VLOOKUP(B182,'2022-2023 Third Reviews'!$C:$S,9,FALSE),"")</f>
        <v>Jason Yu
3</v>
      </c>
      <c r="T182" s="258" t="s">
        <v>13241</v>
      </c>
      <c r="U182" s="258"/>
      <c r="V182" s="258"/>
      <c r="W182" s="258"/>
      <c r="X182" s="258"/>
      <c r="Y182" s="258"/>
      <c r="Z182" s="258"/>
      <c r="AA182" s="258"/>
      <c r="AB182" s="258"/>
      <c r="AC182" s="258"/>
    </row>
    <row r="183" spans="1:29" ht="15.75" hidden="1" customHeight="1">
      <c r="A183" s="253">
        <v>44791</v>
      </c>
      <c r="B183" s="224" t="s">
        <v>8377</v>
      </c>
      <c r="C183" s="316">
        <v>2</v>
      </c>
      <c r="D183" s="224" t="s">
        <v>8380</v>
      </c>
      <c r="E183" s="224" t="s">
        <v>3</v>
      </c>
      <c r="F183" s="224" t="s">
        <v>460</v>
      </c>
      <c r="G183" s="224" t="s">
        <v>8381</v>
      </c>
      <c r="H183" s="224">
        <v>2</v>
      </c>
      <c r="I183" s="224" t="s">
        <v>941</v>
      </c>
      <c r="J183" s="224" t="s">
        <v>8382</v>
      </c>
      <c r="K183" s="224">
        <v>2</v>
      </c>
      <c r="L183" s="224" t="s">
        <v>451</v>
      </c>
      <c r="M183" s="307">
        <v>1200000</v>
      </c>
      <c r="N183" s="224" t="s">
        <v>452</v>
      </c>
      <c r="O183" s="224" t="s">
        <v>8383</v>
      </c>
      <c r="P183" s="224"/>
      <c r="Q183" s="322" t="s">
        <v>24</v>
      </c>
      <c r="R183" s="254"/>
      <c r="S183" s="254"/>
      <c r="T183" s="254"/>
      <c r="U183" s="254"/>
      <c r="V183" s="224"/>
      <c r="W183" s="224"/>
      <c r="X183" s="224"/>
      <c r="Y183" s="224"/>
      <c r="Z183" s="224"/>
      <c r="AA183" s="224"/>
      <c r="AB183" s="224"/>
      <c r="AC183" s="224"/>
    </row>
    <row r="184" spans="1:29" ht="15.75" hidden="1" customHeight="1">
      <c r="A184" s="257">
        <v>44791</v>
      </c>
      <c r="B184" s="258" t="s">
        <v>312</v>
      </c>
      <c r="C184" s="263">
        <v>3.75</v>
      </c>
      <c r="D184" s="258" t="s">
        <v>9661</v>
      </c>
      <c r="E184" s="258" t="s">
        <v>3</v>
      </c>
      <c r="F184" s="258" t="s">
        <v>460</v>
      </c>
      <c r="G184" s="258" t="s">
        <v>9662</v>
      </c>
      <c r="H184" s="258">
        <v>3.5</v>
      </c>
      <c r="I184" s="258" t="s">
        <v>462</v>
      </c>
      <c r="J184" s="258" t="s">
        <v>9663</v>
      </c>
      <c r="K184" s="258">
        <v>4</v>
      </c>
      <c r="L184" s="258" t="s">
        <v>451</v>
      </c>
      <c r="M184" s="261">
        <v>3000000</v>
      </c>
      <c r="N184" s="258" t="s">
        <v>452</v>
      </c>
      <c r="O184" s="258" t="s">
        <v>575</v>
      </c>
      <c r="P184" s="258" t="s">
        <v>460</v>
      </c>
      <c r="Q184" s="258" t="s">
        <v>18</v>
      </c>
      <c r="R184" s="259" t="s">
        <v>9664</v>
      </c>
      <c r="S184" s="259"/>
      <c r="T184" s="259"/>
      <c r="U184" s="259"/>
      <c r="V184" s="258"/>
      <c r="W184" s="258"/>
      <c r="X184" s="258"/>
      <c r="Y184" s="258"/>
      <c r="Z184" s="258"/>
      <c r="AA184" s="258"/>
      <c r="AB184" s="258"/>
      <c r="AC184" s="258"/>
    </row>
    <row r="185" spans="1:29" ht="15.75" customHeight="1">
      <c r="A185" s="253">
        <v>44791</v>
      </c>
      <c r="B185" s="224" t="s">
        <v>4296</v>
      </c>
      <c r="C185" s="316">
        <v>3.75</v>
      </c>
      <c r="D185" s="224" t="s">
        <v>4299</v>
      </c>
      <c r="E185" s="224" t="s">
        <v>4</v>
      </c>
      <c r="F185" s="224" t="s">
        <v>727</v>
      </c>
      <c r="G185" s="224" t="s">
        <v>10496</v>
      </c>
      <c r="H185" s="224">
        <v>3.5</v>
      </c>
      <c r="I185" s="224" t="s">
        <v>1281</v>
      </c>
      <c r="J185" s="224" t="s">
        <v>4301</v>
      </c>
      <c r="K185" s="224">
        <v>4</v>
      </c>
      <c r="L185" s="224"/>
      <c r="M185" s="307"/>
      <c r="N185" s="224" t="s">
        <v>452</v>
      </c>
      <c r="O185" s="224" t="s">
        <v>4302</v>
      </c>
      <c r="P185" s="224"/>
      <c r="Q185" s="224" t="s">
        <v>24</v>
      </c>
      <c r="R185" s="224"/>
      <c r="S185" s="224" t="str">
        <f>IFERROR(VLOOKUP(B185,'2022-2023 Third Reviews'!$C:$S,9,FALSE),"")</f>
        <v/>
      </c>
      <c r="T185" s="224"/>
      <c r="U185" s="224"/>
      <c r="V185" s="258"/>
      <c r="W185" s="258"/>
      <c r="X185" s="258"/>
      <c r="Y185" s="258"/>
      <c r="Z185" s="258"/>
      <c r="AA185" s="258"/>
      <c r="AB185" s="258"/>
      <c r="AC185" s="258"/>
    </row>
    <row r="186" spans="1:29" ht="15.75" hidden="1" customHeight="1">
      <c r="A186" s="257">
        <v>44796</v>
      </c>
      <c r="B186" s="258" t="s">
        <v>8386</v>
      </c>
      <c r="C186" s="263">
        <v>3.75</v>
      </c>
      <c r="D186" s="258" t="s">
        <v>8389</v>
      </c>
      <c r="E186" s="258" t="s">
        <v>3</v>
      </c>
      <c r="F186" s="258" t="s">
        <v>488</v>
      </c>
      <c r="G186" s="258" t="s">
        <v>11322</v>
      </c>
      <c r="H186" s="258">
        <v>3.5</v>
      </c>
      <c r="I186" s="258" t="s">
        <v>941</v>
      </c>
      <c r="J186" s="258" t="s">
        <v>8391</v>
      </c>
      <c r="K186" s="258">
        <v>4</v>
      </c>
      <c r="L186" s="258" t="s">
        <v>451</v>
      </c>
      <c r="M186" s="261">
        <v>1500000</v>
      </c>
      <c r="N186" s="258" t="s">
        <v>452</v>
      </c>
      <c r="O186" s="258" t="s">
        <v>8392</v>
      </c>
      <c r="P186" s="258"/>
      <c r="Q186" s="258" t="s">
        <v>24</v>
      </c>
      <c r="R186" s="259" t="s">
        <v>11721</v>
      </c>
      <c r="S186" s="259"/>
      <c r="T186" s="259"/>
      <c r="U186" s="259"/>
      <c r="V186" s="258"/>
      <c r="W186" s="258"/>
      <c r="X186" s="258"/>
      <c r="Y186" s="258"/>
      <c r="Z186" s="258"/>
      <c r="AA186" s="258"/>
      <c r="AB186" s="258"/>
      <c r="AC186" s="258"/>
    </row>
    <row r="187" spans="1:29" ht="15.75" customHeight="1">
      <c r="A187" s="491">
        <v>44784</v>
      </c>
      <c r="B187" s="281" t="s">
        <v>281</v>
      </c>
      <c r="C187" s="282">
        <v>3.75</v>
      </c>
      <c r="D187" s="281" t="s">
        <v>4307</v>
      </c>
      <c r="E187" s="281" t="s">
        <v>4</v>
      </c>
      <c r="F187" s="281" t="s">
        <v>727</v>
      </c>
      <c r="G187" s="281" t="s">
        <v>10339</v>
      </c>
      <c r="H187" s="281">
        <v>4</v>
      </c>
      <c r="I187" s="281" t="s">
        <v>1054</v>
      </c>
      <c r="J187" s="281" t="s">
        <v>4309</v>
      </c>
      <c r="K187" s="281">
        <v>3.5</v>
      </c>
      <c r="L187" s="281"/>
      <c r="M187" s="281"/>
      <c r="N187" s="281" t="s">
        <v>452</v>
      </c>
      <c r="O187" s="281" t="s">
        <v>452</v>
      </c>
      <c r="P187" s="281"/>
      <c r="Q187" s="281" t="s">
        <v>18</v>
      </c>
      <c r="R187" s="281" t="s">
        <v>4310</v>
      </c>
      <c r="S187" s="281" t="str">
        <f ca="1">IFERROR(VLOOKUP(B187,'2022-2023 Third Reviews'!$C:$S,9,FALSE),"")</f>
        <v>Nick Schmandt
4</v>
      </c>
      <c r="T187" s="281"/>
      <c r="U187" s="281"/>
      <c r="V187" s="252"/>
      <c r="W187" s="252"/>
      <c r="X187" s="252"/>
      <c r="Y187" s="224"/>
      <c r="Z187" s="224"/>
      <c r="AA187" s="224"/>
      <c r="AB187" s="224"/>
      <c r="AC187" s="224"/>
    </row>
    <row r="188" spans="1:29" ht="15.75" customHeight="1">
      <c r="A188" s="491">
        <v>44784</v>
      </c>
      <c r="B188" s="281" t="s">
        <v>4313</v>
      </c>
      <c r="C188" s="282">
        <v>3.75</v>
      </c>
      <c r="D188" s="281" t="s">
        <v>4316</v>
      </c>
      <c r="E188" s="281" t="s">
        <v>4</v>
      </c>
      <c r="F188" s="281" t="s">
        <v>725</v>
      </c>
      <c r="G188" s="281" t="s">
        <v>10327</v>
      </c>
      <c r="H188" s="281">
        <v>3.5</v>
      </c>
      <c r="I188" s="281" t="s">
        <v>1054</v>
      </c>
      <c r="J188" s="281" t="s">
        <v>4318</v>
      </c>
      <c r="K188" s="281">
        <v>4</v>
      </c>
      <c r="L188" s="281"/>
      <c r="M188" s="281"/>
      <c r="N188" s="281" t="s">
        <v>452</v>
      </c>
      <c r="O188" s="292" t="s">
        <v>10328</v>
      </c>
      <c r="P188" s="281"/>
      <c r="Q188" s="281" t="s">
        <v>24</v>
      </c>
      <c r="R188" s="281" t="s">
        <v>4320</v>
      </c>
      <c r="S188" s="281" t="str">
        <f>IFERROR(VLOOKUP(B188,'2022-2023 Third Reviews'!$C:$S,9,FALSE),"")</f>
        <v/>
      </c>
      <c r="T188" s="281"/>
      <c r="U188" s="281"/>
      <c r="V188" s="219"/>
      <c r="W188" s="219"/>
      <c r="X188" s="219"/>
      <c r="Y188" s="219"/>
      <c r="Z188" s="219"/>
      <c r="AA188" s="219"/>
      <c r="AB188" s="219"/>
      <c r="AC188" s="219"/>
    </row>
    <row r="189" spans="1:29" ht="15.75" customHeight="1">
      <c r="A189" s="253">
        <v>44791</v>
      </c>
      <c r="B189" s="224" t="s">
        <v>4322</v>
      </c>
      <c r="C189" s="316">
        <v>3.75</v>
      </c>
      <c r="D189" s="224" t="s">
        <v>10571</v>
      </c>
      <c r="E189" s="224" t="s">
        <v>4</v>
      </c>
      <c r="F189" s="224" t="s">
        <v>727</v>
      </c>
      <c r="G189" s="224" t="s">
        <v>10572</v>
      </c>
      <c r="H189" s="224">
        <v>3.5</v>
      </c>
      <c r="I189" s="224" t="s">
        <v>1298</v>
      </c>
      <c r="J189" s="224" t="s">
        <v>4327</v>
      </c>
      <c r="K189" s="224">
        <v>4</v>
      </c>
      <c r="L189" s="224" t="s">
        <v>451</v>
      </c>
      <c r="M189" s="224" t="s">
        <v>943</v>
      </c>
      <c r="N189" s="224" t="s">
        <v>452</v>
      </c>
      <c r="O189" s="224" t="s">
        <v>4328</v>
      </c>
      <c r="P189" s="224"/>
      <c r="Q189" s="224" t="s">
        <v>24</v>
      </c>
      <c r="R189" s="224"/>
      <c r="S189" s="224" t="str">
        <f>IFERROR(VLOOKUP(B189,'2022-2023 Third Reviews'!$C:$S,9,FALSE),"")</f>
        <v/>
      </c>
      <c r="T189" s="224"/>
      <c r="U189" s="224"/>
      <c r="V189" s="258"/>
      <c r="W189" s="258"/>
      <c r="X189" s="258"/>
      <c r="Y189" s="258"/>
      <c r="Z189" s="258"/>
      <c r="AA189" s="258"/>
      <c r="AB189" s="258"/>
      <c r="AC189" s="258"/>
    </row>
    <row r="190" spans="1:29" ht="15.75" customHeight="1">
      <c r="A190" s="398">
        <v>44784</v>
      </c>
      <c r="B190" s="268" t="s">
        <v>4341</v>
      </c>
      <c r="C190" s="269">
        <v>3.75</v>
      </c>
      <c r="D190" s="268" t="s">
        <v>4344</v>
      </c>
      <c r="E190" s="270" t="s">
        <v>4</v>
      </c>
      <c r="F190" s="268" t="s">
        <v>727</v>
      </c>
      <c r="G190" s="268" t="s">
        <v>10486</v>
      </c>
      <c r="H190" s="268">
        <v>4</v>
      </c>
      <c r="I190" s="268" t="s">
        <v>476</v>
      </c>
      <c r="J190" s="268" t="s">
        <v>13400</v>
      </c>
      <c r="K190" s="268">
        <v>3.5</v>
      </c>
      <c r="L190" s="268" t="s">
        <v>923</v>
      </c>
      <c r="M190" s="285">
        <v>1000000</v>
      </c>
      <c r="N190" s="268" t="s">
        <v>452</v>
      </c>
      <c r="O190" s="285" t="s">
        <v>575</v>
      </c>
      <c r="P190" s="268"/>
      <c r="Q190" s="268" t="s">
        <v>24</v>
      </c>
      <c r="R190" s="268"/>
      <c r="S190" s="268" t="str">
        <f ca="1">IFERROR(VLOOKUP(B190,'2022-2023 Third Reviews'!$C:$S,9,FALSE),"")</f>
        <v>John McDonald
3</v>
      </c>
      <c r="T190" s="268" t="s">
        <v>13242</v>
      </c>
      <c r="U190" s="268"/>
      <c r="V190" s="306"/>
      <c r="W190" s="306"/>
      <c r="X190" s="306"/>
      <c r="Y190" s="306"/>
      <c r="Z190" s="306"/>
      <c r="AA190" s="306"/>
      <c r="AB190" s="306"/>
      <c r="AC190" s="306"/>
    </row>
    <row r="191" spans="1:29" ht="15.75" customHeight="1">
      <c r="A191" s="253">
        <v>44796</v>
      </c>
      <c r="B191" s="224" t="s">
        <v>4348</v>
      </c>
      <c r="C191" s="316">
        <v>3.75</v>
      </c>
      <c r="D191" s="224" t="s">
        <v>4351</v>
      </c>
      <c r="E191" s="224" t="s">
        <v>4</v>
      </c>
      <c r="F191" s="224" t="s">
        <v>727</v>
      </c>
      <c r="G191" s="224" t="s">
        <v>10499</v>
      </c>
      <c r="H191" s="224">
        <v>3.5</v>
      </c>
      <c r="I191" s="224" t="s">
        <v>1350</v>
      </c>
      <c r="J191" s="224" t="s">
        <v>4353</v>
      </c>
      <c r="K191" s="224">
        <v>4</v>
      </c>
      <c r="L191" s="224"/>
      <c r="M191" s="224"/>
      <c r="N191" s="224" t="s">
        <v>452</v>
      </c>
      <c r="O191" s="224" t="s">
        <v>10500</v>
      </c>
      <c r="P191" s="224"/>
      <c r="Q191" s="224" t="s">
        <v>24</v>
      </c>
      <c r="R191" s="224"/>
      <c r="S191" s="224" t="str">
        <f>IFERROR(VLOOKUP(B191,'2022-2023 Third Reviews'!$C:$S,9,FALSE),"")</f>
        <v/>
      </c>
      <c r="T191" s="224"/>
      <c r="U191" s="224"/>
      <c r="V191" s="224"/>
      <c r="W191" s="224"/>
      <c r="X191" s="224"/>
      <c r="Y191" s="224"/>
      <c r="Z191" s="224"/>
      <c r="AA191" s="224"/>
      <c r="AB191" s="224"/>
      <c r="AC191" s="224"/>
    </row>
    <row r="192" spans="1:29" ht="15.75" customHeight="1">
      <c r="A192" s="248">
        <v>44796</v>
      </c>
      <c r="B192" s="219" t="s">
        <v>4356</v>
      </c>
      <c r="C192" s="315">
        <v>3.75</v>
      </c>
      <c r="D192" s="219" t="s">
        <v>4359</v>
      </c>
      <c r="E192" s="219" t="s">
        <v>4</v>
      </c>
      <c r="F192" s="219" t="s">
        <v>725</v>
      </c>
      <c r="G192" s="219" t="s">
        <v>4360</v>
      </c>
      <c r="H192" s="219">
        <v>3.5</v>
      </c>
      <c r="I192" s="219" t="s">
        <v>1350</v>
      </c>
      <c r="J192" s="219" t="s">
        <v>4361</v>
      </c>
      <c r="K192" s="219">
        <v>4</v>
      </c>
      <c r="L192" s="219" t="s">
        <v>478</v>
      </c>
      <c r="M192" s="331">
        <v>10000000</v>
      </c>
      <c r="N192" s="219" t="s">
        <v>454</v>
      </c>
      <c r="O192" s="219" t="s">
        <v>1119</v>
      </c>
      <c r="P192" s="219"/>
      <c r="Q192" s="219" t="s">
        <v>24</v>
      </c>
      <c r="R192" s="219"/>
      <c r="S192" s="219" t="str">
        <f>IFERROR(VLOOKUP(B192,'2022-2023 Third Reviews'!$C:$S,9,FALSE),"")</f>
        <v/>
      </c>
      <c r="T192" s="219"/>
      <c r="U192" s="219"/>
      <c r="V192" s="219"/>
      <c r="W192" s="219"/>
      <c r="X192" s="219"/>
      <c r="Y192" s="219"/>
      <c r="Z192" s="219"/>
      <c r="AA192" s="219"/>
      <c r="AB192" s="219"/>
      <c r="AC192" s="219"/>
    </row>
    <row r="193" spans="1:29" ht="15.75" hidden="1" customHeight="1">
      <c r="A193" s="276">
        <v>44784</v>
      </c>
      <c r="B193" s="277" t="s">
        <v>67</v>
      </c>
      <c r="C193" s="278">
        <v>4</v>
      </c>
      <c r="D193" s="277" t="s">
        <v>487</v>
      </c>
      <c r="E193" s="277" t="s">
        <v>5</v>
      </c>
      <c r="F193" s="277" t="s">
        <v>488</v>
      </c>
      <c r="G193" s="277" t="s">
        <v>489</v>
      </c>
      <c r="H193" s="277">
        <v>4</v>
      </c>
      <c r="I193" s="277" t="s">
        <v>462</v>
      </c>
      <c r="J193" s="277" t="s">
        <v>490</v>
      </c>
      <c r="K193" s="277">
        <v>4</v>
      </c>
      <c r="L193" s="277"/>
      <c r="M193" s="277"/>
      <c r="N193" s="277" t="s">
        <v>452</v>
      </c>
      <c r="O193" s="277" t="s">
        <v>10993</v>
      </c>
      <c r="P193" s="277"/>
      <c r="Q193" s="277" t="s">
        <v>20</v>
      </c>
      <c r="R193" s="279" t="s">
        <v>492</v>
      </c>
      <c r="S193" s="279"/>
      <c r="T193" s="279"/>
      <c r="U193" s="279"/>
      <c r="V193" s="277"/>
      <c r="W193" s="277"/>
      <c r="X193" s="277"/>
      <c r="Y193" s="277"/>
      <c r="Z193" s="277"/>
      <c r="AA193" s="239"/>
      <c r="AB193" s="239"/>
      <c r="AC193" s="239"/>
    </row>
    <row r="194" spans="1:29" ht="15.75" hidden="1" customHeight="1">
      <c r="A194" s="541">
        <v>44791</v>
      </c>
      <c r="B194" s="306" t="s">
        <v>8396</v>
      </c>
      <c r="C194" s="542"/>
      <c r="D194" s="306"/>
      <c r="E194" s="306" t="s">
        <v>3</v>
      </c>
      <c r="F194" s="306" t="s">
        <v>488</v>
      </c>
      <c r="G194" s="306"/>
      <c r="H194" s="306"/>
      <c r="I194" s="306" t="s">
        <v>941</v>
      </c>
      <c r="J194" s="306"/>
      <c r="K194" s="306"/>
      <c r="L194" s="306" t="s">
        <v>2152</v>
      </c>
      <c r="M194" s="306" t="s">
        <v>8401</v>
      </c>
      <c r="N194" s="306" t="s">
        <v>452</v>
      </c>
      <c r="O194" s="306" t="s">
        <v>8402</v>
      </c>
      <c r="P194" s="306"/>
      <c r="Q194" s="306"/>
      <c r="R194" s="543"/>
      <c r="S194" s="543"/>
      <c r="T194" s="543"/>
      <c r="U194" s="543"/>
      <c r="V194" s="306"/>
      <c r="W194" s="306"/>
      <c r="X194" s="306"/>
      <c r="Y194" s="306"/>
      <c r="Z194" s="306"/>
      <c r="AA194" s="306"/>
      <c r="AB194" s="306"/>
      <c r="AC194" s="306"/>
    </row>
    <row r="195" spans="1:29" ht="15.75" hidden="1" customHeight="1">
      <c r="A195" s="541">
        <v>44796</v>
      </c>
      <c r="B195" s="306" t="s">
        <v>8396</v>
      </c>
      <c r="C195" s="542"/>
      <c r="D195" s="306"/>
      <c r="E195" s="306" t="s">
        <v>3</v>
      </c>
      <c r="F195" s="306" t="s">
        <v>488</v>
      </c>
      <c r="G195" s="306"/>
      <c r="H195" s="306"/>
      <c r="I195" s="306" t="s">
        <v>941</v>
      </c>
      <c r="J195" s="306"/>
      <c r="K195" s="306"/>
      <c r="L195" s="306" t="s">
        <v>2152</v>
      </c>
      <c r="M195" s="306" t="s">
        <v>8401</v>
      </c>
      <c r="N195" s="306" t="s">
        <v>452</v>
      </c>
      <c r="O195" s="306" t="s">
        <v>8402</v>
      </c>
      <c r="P195" s="306"/>
      <c r="Q195" s="306"/>
      <c r="R195" s="543"/>
      <c r="S195" s="543"/>
      <c r="T195" s="543"/>
      <c r="U195" s="543"/>
      <c r="V195" s="224"/>
      <c r="W195" s="224"/>
      <c r="X195" s="224"/>
      <c r="Y195" s="224"/>
      <c r="Z195" s="224"/>
      <c r="AA195" s="224"/>
      <c r="AB195" s="224"/>
      <c r="AC195" s="224"/>
    </row>
    <row r="196" spans="1:29" ht="15.75" hidden="1" customHeight="1">
      <c r="A196" s="248">
        <v>44796</v>
      </c>
      <c r="B196" s="219" t="s">
        <v>8396</v>
      </c>
      <c r="C196" s="315">
        <v>2.75</v>
      </c>
      <c r="D196" s="219"/>
      <c r="E196" s="219" t="s">
        <v>3</v>
      </c>
      <c r="F196" s="219" t="s">
        <v>488</v>
      </c>
      <c r="G196" s="219" t="s">
        <v>8399</v>
      </c>
      <c r="H196" s="219">
        <v>2.5</v>
      </c>
      <c r="I196" s="219" t="s">
        <v>941</v>
      </c>
      <c r="J196" s="219" t="s">
        <v>8400</v>
      </c>
      <c r="K196" s="219">
        <v>3</v>
      </c>
      <c r="L196" s="219" t="s">
        <v>2152</v>
      </c>
      <c r="M196" s="219" t="s">
        <v>8401</v>
      </c>
      <c r="N196" s="219" t="s">
        <v>452</v>
      </c>
      <c r="O196" s="219" t="s">
        <v>8402</v>
      </c>
      <c r="P196" s="219"/>
      <c r="Q196" s="219" t="s">
        <v>24</v>
      </c>
      <c r="R196" s="251"/>
      <c r="S196" s="251"/>
      <c r="T196" s="251"/>
      <c r="U196" s="251"/>
      <c r="V196" s="219"/>
      <c r="W196" s="219"/>
      <c r="X196" s="219"/>
      <c r="Y196" s="219"/>
      <c r="Z196" s="219"/>
      <c r="AA196" s="219"/>
      <c r="AB196" s="219"/>
      <c r="AC196" s="219"/>
    </row>
    <row r="197" spans="1:29" ht="15.75" hidden="1" customHeight="1">
      <c r="A197" s="253">
        <v>44796</v>
      </c>
      <c r="B197" s="224" t="s">
        <v>2184</v>
      </c>
      <c r="C197" s="316">
        <v>3</v>
      </c>
      <c r="D197" s="224" t="s">
        <v>2187</v>
      </c>
      <c r="E197" s="224" t="s">
        <v>5</v>
      </c>
      <c r="F197" s="224" t="s">
        <v>447</v>
      </c>
      <c r="G197" s="224" t="s">
        <v>11262</v>
      </c>
      <c r="H197" s="224">
        <v>3</v>
      </c>
      <c r="I197" s="224" t="s">
        <v>543</v>
      </c>
      <c r="J197" s="224" t="e">
        <f>+ Aiming to revolutionize the housing construction Industry with their new material High-density Gypsum. Gypsum is a polycrystal
                                                                                                                                                                                                                                                                in which there are two kinds of bonds - non-strength and
                                                                                                                                                                                                                                                                crystallization-strength which is cheap to produce hardens rapidly and is highly eco-friendly.
- need customers</f>
        <v>#NAME?</v>
      </c>
      <c r="K197" s="224">
        <v>3</v>
      </c>
      <c r="L197" s="224" t="s">
        <v>2190</v>
      </c>
      <c r="M197" s="224">
        <v>1500000</v>
      </c>
      <c r="N197" s="224" t="s">
        <v>452</v>
      </c>
      <c r="O197" s="224" t="s">
        <v>2191</v>
      </c>
      <c r="P197" s="224"/>
      <c r="Q197" s="224" t="s">
        <v>24</v>
      </c>
      <c r="R197" s="254"/>
      <c r="S197" s="254"/>
      <c r="T197" s="254"/>
      <c r="U197" s="254"/>
      <c r="V197" s="224"/>
      <c r="W197" s="224"/>
      <c r="X197" s="224"/>
      <c r="Y197" s="224"/>
      <c r="Z197" s="224"/>
      <c r="AA197" s="224"/>
      <c r="AB197" s="224"/>
      <c r="AC197" s="224"/>
    </row>
    <row r="198" spans="1:29" ht="15.75" hidden="1" customHeight="1">
      <c r="A198" s="248">
        <v>44782</v>
      </c>
      <c r="B198" s="219" t="s">
        <v>285</v>
      </c>
      <c r="C198" s="249">
        <v>5</v>
      </c>
      <c r="D198" s="219" t="s">
        <v>1626</v>
      </c>
      <c r="E198" s="250" t="s">
        <v>3</v>
      </c>
      <c r="F198" s="219" t="s">
        <v>460</v>
      </c>
      <c r="G198" s="219" t="s">
        <v>10208</v>
      </c>
      <c r="H198" s="219">
        <v>5</v>
      </c>
      <c r="I198" s="219" t="s">
        <v>488</v>
      </c>
      <c r="J198" s="219"/>
      <c r="K198" s="219">
        <v>5</v>
      </c>
      <c r="L198" s="219"/>
      <c r="M198" s="219">
        <v>15000000</v>
      </c>
      <c r="N198" s="219" t="s">
        <v>452</v>
      </c>
      <c r="O198" s="219" t="s">
        <v>575</v>
      </c>
      <c r="P198" s="219"/>
      <c r="Q198" s="213" t="s">
        <v>18</v>
      </c>
      <c r="R198" s="251"/>
      <c r="S198" s="251"/>
      <c r="T198" s="251"/>
      <c r="U198" s="251"/>
      <c r="V198" s="252"/>
      <c r="W198" s="252"/>
      <c r="X198" s="252"/>
      <c r="Y198" s="219"/>
      <c r="Z198" s="219"/>
      <c r="AA198" s="219"/>
      <c r="AB198" s="219"/>
      <c r="AC198" s="219"/>
    </row>
    <row r="199" spans="1:29" ht="15.75" hidden="1" customHeight="1">
      <c r="A199" s="257">
        <v>44782</v>
      </c>
      <c r="B199" s="258" t="s">
        <v>391</v>
      </c>
      <c r="C199" s="249">
        <v>4</v>
      </c>
      <c r="D199" s="258" t="s">
        <v>10090</v>
      </c>
      <c r="E199" s="250" t="s">
        <v>3</v>
      </c>
      <c r="F199" s="258" t="s">
        <v>460</v>
      </c>
      <c r="G199" s="258" t="s">
        <v>11385</v>
      </c>
      <c r="H199" s="258">
        <v>4</v>
      </c>
      <c r="I199" s="258" t="s">
        <v>941</v>
      </c>
      <c r="J199" s="258"/>
      <c r="K199" s="258">
        <v>4</v>
      </c>
      <c r="L199" s="258" t="s">
        <v>478</v>
      </c>
      <c r="M199" s="258" t="s">
        <v>4966</v>
      </c>
      <c r="N199" s="258" t="s">
        <v>452</v>
      </c>
      <c r="O199" s="258" t="s">
        <v>10092</v>
      </c>
      <c r="P199" s="258"/>
      <c r="Q199" s="258" t="s">
        <v>19</v>
      </c>
      <c r="R199" s="259" t="s">
        <v>10093</v>
      </c>
      <c r="S199" s="259"/>
      <c r="T199" s="259"/>
      <c r="U199" s="259"/>
      <c r="V199" s="258"/>
      <c r="W199" s="258"/>
      <c r="X199" s="258"/>
      <c r="Y199" s="258"/>
      <c r="Z199" s="258"/>
      <c r="AA199" s="258"/>
      <c r="AB199" s="258"/>
      <c r="AC199" s="258"/>
    </row>
    <row r="200" spans="1:29" ht="15.75" hidden="1" customHeight="1">
      <c r="A200" s="541">
        <v>44796</v>
      </c>
      <c r="B200" s="306" t="s">
        <v>9666</v>
      </c>
      <c r="C200" s="542"/>
      <c r="D200" s="306" t="s">
        <v>9669</v>
      </c>
      <c r="E200" s="306" t="s">
        <v>5</v>
      </c>
      <c r="F200" s="306" t="s">
        <v>447</v>
      </c>
      <c r="G200" s="306"/>
      <c r="H200" s="306"/>
      <c r="I200" s="306" t="s">
        <v>622</v>
      </c>
      <c r="J200" s="306"/>
      <c r="K200" s="306"/>
      <c r="L200" s="306"/>
      <c r="M200" s="306"/>
      <c r="N200" s="306" t="s">
        <v>452</v>
      </c>
      <c r="O200" s="306" t="s">
        <v>9672</v>
      </c>
      <c r="P200" s="306" t="s">
        <v>9673</v>
      </c>
      <c r="Q200" s="306"/>
      <c r="R200" s="543"/>
      <c r="S200" s="543"/>
      <c r="T200" s="543"/>
      <c r="U200" s="543"/>
      <c r="V200" s="219"/>
      <c r="W200" s="219"/>
      <c r="X200" s="219"/>
      <c r="Y200" s="219"/>
      <c r="Z200" s="219"/>
      <c r="AA200" s="219"/>
      <c r="AB200" s="219"/>
      <c r="AC200" s="219"/>
    </row>
    <row r="201" spans="1:29" ht="15.75" hidden="1" customHeight="1">
      <c r="A201" s="255">
        <v>44796</v>
      </c>
      <c r="B201" s="239" t="s">
        <v>9666</v>
      </c>
      <c r="C201" s="262">
        <v>3.25</v>
      </c>
      <c r="D201" s="239" t="s">
        <v>9669</v>
      </c>
      <c r="E201" s="239" t="s">
        <v>3</v>
      </c>
      <c r="F201" s="239" t="s">
        <v>460</v>
      </c>
      <c r="G201" s="239" t="s">
        <v>9670</v>
      </c>
      <c r="H201" s="239">
        <v>3.5</v>
      </c>
      <c r="I201" s="239" t="s">
        <v>462</v>
      </c>
      <c r="J201" s="239" t="s">
        <v>9671</v>
      </c>
      <c r="K201" s="239">
        <v>3</v>
      </c>
      <c r="L201" s="239"/>
      <c r="M201" s="239"/>
      <c r="N201" s="239" t="s">
        <v>452</v>
      </c>
      <c r="O201" s="239" t="s">
        <v>9672</v>
      </c>
      <c r="P201" s="239" t="s">
        <v>9673</v>
      </c>
      <c r="Q201" s="239" t="s">
        <v>23</v>
      </c>
      <c r="R201" s="256"/>
      <c r="S201" s="256"/>
      <c r="T201" s="256"/>
      <c r="U201" s="256"/>
      <c r="V201" s="239"/>
      <c r="W201" s="239"/>
      <c r="X201" s="239"/>
      <c r="Y201" s="239"/>
      <c r="Z201" s="239"/>
      <c r="AA201" s="239"/>
      <c r="AB201" s="239"/>
      <c r="AC201" s="239"/>
    </row>
    <row r="202" spans="1:29" ht="15.75" hidden="1" customHeight="1">
      <c r="A202" s="248">
        <v>44789</v>
      </c>
      <c r="B202" s="219" t="s">
        <v>286</v>
      </c>
      <c r="C202" s="249">
        <v>4.5</v>
      </c>
      <c r="D202" s="219" t="s">
        <v>1632</v>
      </c>
      <c r="E202" s="250" t="s">
        <v>3</v>
      </c>
      <c r="F202" s="219" t="s">
        <v>460</v>
      </c>
      <c r="G202" s="219" t="s">
        <v>1633</v>
      </c>
      <c r="H202" s="219">
        <v>4.5</v>
      </c>
      <c r="I202" s="219" t="s">
        <v>462</v>
      </c>
      <c r="J202" s="219" t="s">
        <v>1634</v>
      </c>
      <c r="K202" s="219">
        <v>4.5</v>
      </c>
      <c r="L202" s="219" t="s">
        <v>478</v>
      </c>
      <c r="M202" s="310">
        <v>6000000</v>
      </c>
      <c r="N202" s="219" t="s">
        <v>452</v>
      </c>
      <c r="O202" s="219" t="s">
        <v>11081</v>
      </c>
      <c r="P202" s="219"/>
      <c r="Q202" s="219" t="s">
        <v>18</v>
      </c>
      <c r="R202" s="251"/>
      <c r="S202" s="251"/>
      <c r="T202" s="251"/>
      <c r="U202" s="251"/>
      <c r="V202" s="252"/>
      <c r="W202" s="252"/>
      <c r="X202" s="252"/>
      <c r="Y202" s="219"/>
      <c r="Z202" s="219"/>
      <c r="AA202" s="219"/>
      <c r="AB202" s="219"/>
      <c r="AC202" s="219"/>
    </row>
    <row r="203" spans="1:29" ht="15.75" hidden="1" customHeight="1">
      <c r="A203" s="220">
        <v>44776</v>
      </c>
      <c r="B203" s="221" t="s">
        <v>287</v>
      </c>
      <c r="C203" s="214">
        <v>5</v>
      </c>
      <c r="D203" s="221" t="s">
        <v>1640</v>
      </c>
      <c r="E203" s="215" t="s">
        <v>3</v>
      </c>
      <c r="F203" s="221" t="s">
        <v>460</v>
      </c>
      <c r="G203" s="221"/>
      <c r="H203" s="221">
        <v>5</v>
      </c>
      <c r="I203" s="221" t="s">
        <v>488</v>
      </c>
      <c r="J203" s="221"/>
      <c r="K203" s="221">
        <v>5</v>
      </c>
      <c r="L203" s="221" t="s">
        <v>478</v>
      </c>
      <c r="M203" s="222">
        <v>16000000</v>
      </c>
      <c r="N203" s="221" t="s">
        <v>452</v>
      </c>
      <c r="O203" s="221" t="s">
        <v>575</v>
      </c>
      <c r="P203" s="145"/>
      <c r="Q203" s="221" t="str">
        <f t="array" ref="Q203">INDEX(Notes!B:B,MATCH($B203,Notes!$A:$A,0))</f>
        <v>Invite</v>
      </c>
      <c r="R203" s="217" t="s">
        <v>1641</v>
      </c>
      <c r="S203" s="217"/>
      <c r="T203" s="217"/>
      <c r="U203" s="217"/>
      <c r="V203" s="218"/>
      <c r="W203" s="218"/>
      <c r="X203" s="218"/>
      <c r="Y203" s="224"/>
      <c r="Z203" s="224"/>
      <c r="AA203" s="224"/>
      <c r="AB203" s="224"/>
      <c r="AC203" s="224"/>
    </row>
    <row r="204" spans="1:29" ht="15.75" customHeight="1">
      <c r="A204" s="248">
        <v>44796</v>
      </c>
      <c r="B204" s="219" t="s">
        <v>4364</v>
      </c>
      <c r="C204" s="315">
        <v>3.75</v>
      </c>
      <c r="D204" s="219" t="s">
        <v>4367</v>
      </c>
      <c r="E204" s="219" t="s">
        <v>4</v>
      </c>
      <c r="F204" s="219" t="s">
        <v>727</v>
      </c>
      <c r="G204" s="219" t="s">
        <v>10590</v>
      </c>
      <c r="H204" s="219">
        <v>3.5</v>
      </c>
      <c r="I204" s="219" t="s">
        <v>1350</v>
      </c>
      <c r="J204" s="219" t="s">
        <v>4369</v>
      </c>
      <c r="K204" s="219">
        <v>4</v>
      </c>
      <c r="L204" s="219" t="s">
        <v>451</v>
      </c>
      <c r="M204" s="219" t="s">
        <v>4370</v>
      </c>
      <c r="N204" s="219" t="s">
        <v>452</v>
      </c>
      <c r="O204" s="219" t="s">
        <v>10591</v>
      </c>
      <c r="P204" s="219"/>
      <c r="Q204" s="219" t="s">
        <v>24</v>
      </c>
      <c r="R204" s="219"/>
      <c r="S204" s="219" t="str">
        <f>IFERROR(VLOOKUP(B204,'2022-2023 Third Reviews'!$C:$S,9,FALSE),"")</f>
        <v/>
      </c>
      <c r="T204" s="219"/>
      <c r="U204" s="219"/>
      <c r="V204" s="258"/>
      <c r="W204" s="258"/>
      <c r="X204" s="258"/>
      <c r="Y204" s="258"/>
      <c r="Z204" s="258"/>
      <c r="AA204" s="258"/>
      <c r="AB204" s="258"/>
      <c r="AC204" s="258"/>
    </row>
    <row r="205" spans="1:29" ht="15.75" hidden="1" customHeight="1">
      <c r="A205" s="253">
        <v>44791</v>
      </c>
      <c r="B205" s="224" t="s">
        <v>2194</v>
      </c>
      <c r="C205" s="316">
        <v>2.5</v>
      </c>
      <c r="D205" s="224" t="s">
        <v>11328</v>
      </c>
      <c r="E205" s="224" t="s">
        <v>5</v>
      </c>
      <c r="F205" s="224" t="s">
        <v>447</v>
      </c>
      <c r="G205" s="224" t="s">
        <v>11329</v>
      </c>
      <c r="H205" s="224">
        <v>2</v>
      </c>
      <c r="I205" s="224" t="s">
        <v>622</v>
      </c>
      <c r="J205" s="224" t="s">
        <v>2199</v>
      </c>
      <c r="K205" s="224">
        <v>3</v>
      </c>
      <c r="L205" s="224" t="s">
        <v>451</v>
      </c>
      <c r="M205" s="311">
        <v>250000</v>
      </c>
      <c r="N205" s="224" t="s">
        <v>452</v>
      </c>
      <c r="O205" s="224" t="s">
        <v>11330</v>
      </c>
      <c r="P205" s="224"/>
      <c r="Q205" s="322" t="s">
        <v>24</v>
      </c>
      <c r="R205" s="254"/>
      <c r="S205" s="254"/>
      <c r="T205" s="254"/>
      <c r="U205" s="254"/>
      <c r="V205" s="224"/>
      <c r="W205" s="224"/>
      <c r="X205" s="224"/>
      <c r="Y205" s="224"/>
      <c r="Z205" s="224"/>
      <c r="AA205" s="224"/>
      <c r="AB205" s="224"/>
      <c r="AC205" s="224"/>
    </row>
    <row r="206" spans="1:29" ht="15.75" customHeight="1">
      <c r="A206" s="398">
        <v>44784</v>
      </c>
      <c r="B206" s="268" t="s">
        <v>4385</v>
      </c>
      <c r="C206" s="269">
        <v>3.75</v>
      </c>
      <c r="D206" s="268" t="s">
        <v>4388</v>
      </c>
      <c r="E206" s="270" t="s">
        <v>4</v>
      </c>
      <c r="F206" s="268" t="s">
        <v>602</v>
      </c>
      <c r="G206" s="268" t="s">
        <v>11572</v>
      </c>
      <c r="H206" s="268">
        <v>4</v>
      </c>
      <c r="I206" s="268" t="s">
        <v>476</v>
      </c>
      <c r="J206" s="268" t="s">
        <v>11573</v>
      </c>
      <c r="K206" s="268">
        <v>3.5</v>
      </c>
      <c r="L206" s="268"/>
      <c r="M206" s="268"/>
      <c r="N206" s="268" t="s">
        <v>452</v>
      </c>
      <c r="O206" s="268" t="s">
        <v>11009</v>
      </c>
      <c r="P206" s="268"/>
      <c r="Q206" s="268" t="s">
        <v>24</v>
      </c>
      <c r="R206" s="268"/>
      <c r="S206" s="268" t="str">
        <f>IFERROR(VLOOKUP(B206,'2022-2023 Third Reviews'!$C:$S,9,FALSE),"")</f>
        <v/>
      </c>
      <c r="T206" s="268" t="s">
        <v>13243</v>
      </c>
      <c r="U206" s="268"/>
      <c r="V206" s="268"/>
      <c r="W206" s="268"/>
      <c r="X206" s="268"/>
      <c r="Y206" s="268"/>
      <c r="Z206" s="268"/>
      <c r="AA206" s="219"/>
      <c r="AB206" s="219"/>
      <c r="AC206" s="219"/>
    </row>
    <row r="207" spans="1:29" ht="15.75" customHeight="1">
      <c r="A207" s="255">
        <v>44797</v>
      </c>
      <c r="B207" s="239" t="s">
        <v>283</v>
      </c>
      <c r="C207" s="262">
        <v>3.75</v>
      </c>
      <c r="D207" s="239" t="s">
        <v>9171</v>
      </c>
      <c r="E207" s="239" t="s">
        <v>4</v>
      </c>
      <c r="F207" s="239" t="s">
        <v>488</v>
      </c>
      <c r="G207" s="239" t="s">
        <v>11745</v>
      </c>
      <c r="H207" s="239">
        <v>3.5</v>
      </c>
      <c r="I207" s="239" t="s">
        <v>941</v>
      </c>
      <c r="J207" s="239" t="s">
        <v>9173</v>
      </c>
      <c r="K207" s="239">
        <v>4</v>
      </c>
      <c r="L207" s="239" t="s">
        <v>451</v>
      </c>
      <c r="M207" s="239" t="s">
        <v>2604</v>
      </c>
      <c r="N207" s="239" t="s">
        <v>452</v>
      </c>
      <c r="O207" s="239" t="s">
        <v>9174</v>
      </c>
      <c r="P207" s="239" t="s">
        <v>604</v>
      </c>
      <c r="Q207" s="239" t="s">
        <v>19</v>
      </c>
      <c r="R207" s="239" t="s">
        <v>11746</v>
      </c>
      <c r="S207" s="239" t="str">
        <f>IFERROR(VLOOKUP(B207,'2022-2023 Third Reviews'!$C:$S,9,FALSE),"")</f>
        <v/>
      </c>
      <c r="T207" s="239"/>
      <c r="U207" s="239"/>
      <c r="V207" s="272"/>
      <c r="W207" s="272"/>
      <c r="X207" s="272"/>
      <c r="Y207" s="272"/>
      <c r="Z207" s="272"/>
      <c r="AA207" s="224"/>
      <c r="AB207" s="224"/>
      <c r="AC207" s="224"/>
    </row>
    <row r="208" spans="1:29" ht="15.75" customHeight="1">
      <c r="A208" s="233">
        <v>44776</v>
      </c>
      <c r="B208" s="234" t="s">
        <v>288</v>
      </c>
      <c r="C208" s="241">
        <v>3.75</v>
      </c>
      <c r="D208" s="234" t="s">
        <v>9550</v>
      </c>
      <c r="E208" s="242" t="s">
        <v>4</v>
      </c>
      <c r="F208" s="234" t="s">
        <v>447</v>
      </c>
      <c r="G208" s="234" t="s">
        <v>9551</v>
      </c>
      <c r="H208" s="234">
        <v>3.5</v>
      </c>
      <c r="I208" s="234" t="s">
        <v>543</v>
      </c>
      <c r="J208" s="234" t="s">
        <v>11513</v>
      </c>
      <c r="K208" s="234">
        <v>4</v>
      </c>
      <c r="L208" s="234" t="s">
        <v>9553</v>
      </c>
      <c r="M208" s="234">
        <v>1500000</v>
      </c>
      <c r="N208" s="234" t="s">
        <v>465</v>
      </c>
      <c r="O208" s="234" t="s">
        <v>9554</v>
      </c>
      <c r="P208" s="237"/>
      <c r="Q208" s="234" t="s">
        <v>20</v>
      </c>
      <c r="R208" s="234" t="s">
        <v>9555</v>
      </c>
      <c r="S208" s="234" t="str">
        <f ca="1">IFERROR(VLOOKUP(B208,'2022-2023 Third Reviews'!$C:$S,9,FALSE),"")</f>
        <v>John McDonald
3</v>
      </c>
      <c r="T208" s="234" t="s">
        <v>13244</v>
      </c>
      <c r="U208" s="234"/>
      <c r="V208" s="306"/>
      <c r="W208" s="306"/>
      <c r="X208" s="306"/>
      <c r="Y208" s="306"/>
      <c r="Z208" s="306"/>
      <c r="AA208" s="306"/>
      <c r="AB208" s="306"/>
      <c r="AC208" s="306"/>
    </row>
    <row r="209" spans="1:29" ht="15.75" customHeight="1">
      <c r="A209" s="253">
        <v>44789</v>
      </c>
      <c r="B209" s="224" t="s">
        <v>4394</v>
      </c>
      <c r="C209" s="249">
        <v>3.75</v>
      </c>
      <c r="D209" s="224" t="s">
        <v>4397</v>
      </c>
      <c r="E209" s="250" t="s">
        <v>4</v>
      </c>
      <c r="F209" s="224" t="s">
        <v>602</v>
      </c>
      <c r="G209" s="224" t="s">
        <v>11073</v>
      </c>
      <c r="H209" s="224">
        <v>4</v>
      </c>
      <c r="I209" s="224" t="s">
        <v>1054</v>
      </c>
      <c r="J209" s="224" t="s">
        <v>4399</v>
      </c>
      <c r="K209" s="224">
        <v>3.5</v>
      </c>
      <c r="L209" s="224" t="s">
        <v>451</v>
      </c>
      <c r="M209" s="307">
        <v>2000000</v>
      </c>
      <c r="N209" s="224" t="s">
        <v>452</v>
      </c>
      <c r="O209" s="313" t="s">
        <v>4400</v>
      </c>
      <c r="P209" s="224" t="s">
        <v>585</v>
      </c>
      <c r="Q209" s="224" t="s">
        <v>24</v>
      </c>
      <c r="R209" s="224"/>
      <c r="S209" s="224" t="str">
        <f ca="1">IFERROR(VLOOKUP(B209,'2022-2023 Third Reviews'!$C:$S,9,FALSE),"")</f>
        <v>John McDonald
2</v>
      </c>
      <c r="T209" s="224"/>
      <c r="U209" s="224"/>
      <c r="V209" s="224"/>
      <c r="W209" s="224"/>
      <c r="X209" s="224"/>
      <c r="Y209" s="224"/>
      <c r="Z209" s="224"/>
      <c r="AA209" s="224"/>
      <c r="AB209" s="224"/>
      <c r="AC209" s="224"/>
    </row>
    <row r="210" spans="1:29" ht="15.75" customHeight="1">
      <c r="A210" s="257">
        <v>44796</v>
      </c>
      <c r="B210" s="258" t="s">
        <v>4403</v>
      </c>
      <c r="C210" s="263">
        <v>3.75</v>
      </c>
      <c r="D210" s="258" t="s">
        <v>4406</v>
      </c>
      <c r="E210" s="258" t="s">
        <v>4</v>
      </c>
      <c r="F210" s="258" t="s">
        <v>447</v>
      </c>
      <c r="G210" s="258" t="s">
        <v>11224</v>
      </c>
      <c r="H210" s="258">
        <v>2.5</v>
      </c>
      <c r="I210" s="258" t="s">
        <v>4054</v>
      </c>
      <c r="J210" s="258"/>
      <c r="K210" s="258">
        <v>5</v>
      </c>
      <c r="L210" s="258" t="s">
        <v>923</v>
      </c>
      <c r="M210" s="258" t="s">
        <v>4408</v>
      </c>
      <c r="N210" s="258" t="s">
        <v>452</v>
      </c>
      <c r="O210" s="258" t="s">
        <v>452</v>
      </c>
      <c r="P210" s="258"/>
      <c r="Q210" s="258" t="s">
        <v>24</v>
      </c>
      <c r="R210" s="258"/>
      <c r="S210" s="258" t="str">
        <f>IFERROR(VLOOKUP(B210,'2022-2023 Third Reviews'!$C:$S,9,FALSE),"")</f>
        <v/>
      </c>
      <c r="T210" s="258"/>
      <c r="U210" s="258"/>
      <c r="V210" s="303"/>
      <c r="W210" s="303"/>
      <c r="X210" s="303"/>
      <c r="Y210" s="303"/>
      <c r="Z210" s="303"/>
      <c r="AA210" s="306"/>
      <c r="AB210" s="306"/>
      <c r="AC210" s="306"/>
    </row>
    <row r="211" spans="1:29" ht="15.75" hidden="1" customHeight="1">
      <c r="A211" s="253">
        <v>44782</v>
      </c>
      <c r="B211" s="224" t="s">
        <v>291</v>
      </c>
      <c r="C211" s="249">
        <v>4.25</v>
      </c>
      <c r="D211" s="224" t="s">
        <v>10303</v>
      </c>
      <c r="E211" s="250" t="s">
        <v>3</v>
      </c>
      <c r="F211" s="224" t="s">
        <v>460</v>
      </c>
      <c r="G211" s="224" t="s">
        <v>1648</v>
      </c>
      <c r="H211" s="224">
        <v>4.5</v>
      </c>
      <c r="I211" s="224" t="s">
        <v>941</v>
      </c>
      <c r="J211" s="224"/>
      <c r="K211" s="224">
        <v>4</v>
      </c>
      <c r="L211" s="224"/>
      <c r="M211" s="224"/>
      <c r="N211" s="224" t="s">
        <v>452</v>
      </c>
      <c r="O211" s="224" t="s">
        <v>1119</v>
      </c>
      <c r="P211" s="224" t="s">
        <v>1649</v>
      </c>
      <c r="Q211" s="224" t="s">
        <v>18</v>
      </c>
      <c r="R211" s="254"/>
      <c r="S211" s="254"/>
      <c r="T211" s="254"/>
      <c r="U211" s="254"/>
      <c r="V211" s="252"/>
      <c r="W211" s="252"/>
      <c r="X211" s="252"/>
      <c r="Y211" s="224"/>
      <c r="Z211" s="224"/>
      <c r="AA211" s="224"/>
      <c r="AB211" s="224"/>
      <c r="AC211" s="224"/>
    </row>
    <row r="212" spans="1:29" ht="15.75" customHeight="1">
      <c r="A212" s="491">
        <v>44784</v>
      </c>
      <c r="B212" s="281" t="s">
        <v>289</v>
      </c>
      <c r="C212" s="282">
        <v>3.75</v>
      </c>
      <c r="D212" s="281" t="s">
        <v>4413</v>
      </c>
      <c r="E212" s="281" t="s">
        <v>4</v>
      </c>
      <c r="F212" s="281" t="s">
        <v>727</v>
      </c>
      <c r="G212" s="281" t="s">
        <v>10737</v>
      </c>
      <c r="H212" s="281">
        <v>4</v>
      </c>
      <c r="I212" s="281" t="s">
        <v>476</v>
      </c>
      <c r="J212" s="281" t="s">
        <v>11568</v>
      </c>
      <c r="K212" s="281">
        <v>3.5</v>
      </c>
      <c r="L212" s="281" t="s">
        <v>4416</v>
      </c>
      <c r="M212" s="288">
        <v>3500000</v>
      </c>
      <c r="N212" s="281" t="s">
        <v>452</v>
      </c>
      <c r="O212" s="288" t="s">
        <v>10739</v>
      </c>
      <c r="P212" s="281"/>
      <c r="Q212" s="281" t="s">
        <v>18</v>
      </c>
      <c r="R212" s="281" t="s">
        <v>4418</v>
      </c>
      <c r="S212" s="281" t="str">
        <f ca="1">IFERROR(VLOOKUP(B212,'2022-2023 Third Reviews'!$C:$S,9,FALSE),"")</f>
        <v>Chris Millisits
3</v>
      </c>
      <c r="T212" s="281" t="s">
        <v>13245</v>
      </c>
      <c r="U212" s="281"/>
      <c r="V212" s="219"/>
      <c r="W212" s="219"/>
      <c r="X212" s="219"/>
      <c r="Y212" s="219"/>
      <c r="Z212" s="219"/>
      <c r="AA212" s="219"/>
      <c r="AB212" s="219"/>
      <c r="AC212" s="219"/>
    </row>
    <row r="213" spans="1:29" ht="15.75" hidden="1" customHeight="1">
      <c r="A213" s="253">
        <v>44796</v>
      </c>
      <c r="B213" s="224" t="s">
        <v>318</v>
      </c>
      <c r="C213" s="316">
        <v>4</v>
      </c>
      <c r="D213" s="224" t="s">
        <v>11378</v>
      </c>
      <c r="E213" s="224" t="s">
        <v>3</v>
      </c>
      <c r="F213" s="224" t="s">
        <v>725</v>
      </c>
      <c r="G213" s="224" t="s">
        <v>11379</v>
      </c>
      <c r="H213" s="224">
        <v>4</v>
      </c>
      <c r="I213" s="224" t="s">
        <v>941</v>
      </c>
      <c r="J213" s="224" t="s">
        <v>9681</v>
      </c>
      <c r="K213" s="224">
        <v>4</v>
      </c>
      <c r="L213" s="224" t="s">
        <v>451</v>
      </c>
      <c r="M213" s="307">
        <v>6000000</v>
      </c>
      <c r="N213" s="224" t="s">
        <v>452</v>
      </c>
      <c r="O213" s="224" t="s">
        <v>9682</v>
      </c>
      <c r="P213" s="224"/>
      <c r="Q213" s="224" t="s">
        <v>18</v>
      </c>
      <c r="R213" s="254"/>
      <c r="S213" s="254"/>
      <c r="T213" s="254"/>
      <c r="U213" s="254"/>
      <c r="V213" s="224"/>
      <c r="W213" s="224"/>
      <c r="X213" s="224"/>
      <c r="Y213" s="224"/>
      <c r="Z213" s="224"/>
      <c r="AA213" s="224"/>
      <c r="AB213" s="224"/>
      <c r="AC213" s="224"/>
    </row>
    <row r="214" spans="1:29" ht="15.75" customHeight="1">
      <c r="A214" s="248">
        <v>44796</v>
      </c>
      <c r="B214" s="219" t="s">
        <v>4430</v>
      </c>
      <c r="C214" s="315">
        <v>3.75</v>
      </c>
      <c r="D214" s="219" t="s">
        <v>4433</v>
      </c>
      <c r="E214" s="219" t="s">
        <v>4</v>
      </c>
      <c r="F214" s="219" t="s">
        <v>727</v>
      </c>
      <c r="G214" s="219" t="s">
        <v>10654</v>
      </c>
      <c r="H214" s="219">
        <v>3.5</v>
      </c>
      <c r="I214" s="219" t="s">
        <v>1045</v>
      </c>
      <c r="J214" s="219" t="s">
        <v>4435</v>
      </c>
      <c r="K214" s="219">
        <v>4</v>
      </c>
      <c r="L214" s="219" t="s">
        <v>784</v>
      </c>
      <c r="M214" s="219">
        <v>1000000</v>
      </c>
      <c r="N214" s="219" t="s">
        <v>465</v>
      </c>
      <c r="O214" s="219" t="s">
        <v>575</v>
      </c>
      <c r="P214" s="219"/>
      <c r="Q214" s="219" t="s">
        <v>24</v>
      </c>
      <c r="R214" s="219"/>
      <c r="S214" s="219" t="str">
        <f>IFERROR(VLOOKUP(B214,'2022-2023 Third Reviews'!$C:$S,9,FALSE),"")</f>
        <v/>
      </c>
      <c r="T214" s="219"/>
      <c r="U214" s="219"/>
      <c r="V214" s="252"/>
      <c r="W214" s="252"/>
      <c r="X214" s="252"/>
      <c r="Y214" s="219"/>
      <c r="Z214" s="219"/>
      <c r="AA214" s="219"/>
      <c r="AB214" s="219"/>
      <c r="AC214" s="219"/>
    </row>
    <row r="215" spans="1:29" ht="15.75" customHeight="1">
      <c r="A215" s="255">
        <v>44796</v>
      </c>
      <c r="B215" s="239" t="s">
        <v>290</v>
      </c>
      <c r="C215" s="262">
        <v>3.75</v>
      </c>
      <c r="D215" s="239" t="s">
        <v>9441</v>
      </c>
      <c r="E215" s="239" t="s">
        <v>4</v>
      </c>
      <c r="F215" s="239" t="s">
        <v>447</v>
      </c>
      <c r="G215" s="239" t="s">
        <v>11494</v>
      </c>
      <c r="H215" s="239">
        <v>4</v>
      </c>
      <c r="I215" s="239" t="s">
        <v>622</v>
      </c>
      <c r="J215" s="239" t="s">
        <v>9443</v>
      </c>
      <c r="K215" s="239">
        <v>3.5</v>
      </c>
      <c r="L215" s="239" t="s">
        <v>478</v>
      </c>
      <c r="M215" s="314">
        <v>10000000</v>
      </c>
      <c r="N215" s="239" t="s">
        <v>452</v>
      </c>
      <c r="O215" s="239" t="s">
        <v>9444</v>
      </c>
      <c r="P215" s="239"/>
      <c r="Q215" s="239" t="s">
        <v>19</v>
      </c>
      <c r="R215" s="239" t="s">
        <v>9445</v>
      </c>
      <c r="S215" s="239" t="str">
        <f>IFERROR(VLOOKUP(B215,'2022-2023 Third Reviews'!$C:$S,9,FALSE),"")</f>
        <v/>
      </c>
      <c r="T215" s="239"/>
      <c r="U215" s="239"/>
      <c r="V215" s="224"/>
      <c r="W215" s="224"/>
      <c r="X215" s="224"/>
      <c r="Y215" s="224"/>
      <c r="Z215" s="224"/>
      <c r="AA215" s="224"/>
      <c r="AB215" s="224"/>
      <c r="AC215" s="224"/>
    </row>
    <row r="216" spans="1:29" ht="15.75" hidden="1" customHeight="1">
      <c r="A216" s="255">
        <v>44796</v>
      </c>
      <c r="B216" s="239" t="s">
        <v>2203</v>
      </c>
      <c r="C216" s="262">
        <v>3.25</v>
      </c>
      <c r="D216" s="239" t="s">
        <v>10337</v>
      </c>
      <c r="E216" s="239" t="s">
        <v>5</v>
      </c>
      <c r="F216" s="239" t="s">
        <v>460</v>
      </c>
      <c r="G216" s="239" t="s">
        <v>2207</v>
      </c>
      <c r="H216" s="239">
        <v>3.5</v>
      </c>
      <c r="I216" s="239" t="s">
        <v>941</v>
      </c>
      <c r="J216" s="239" t="s">
        <v>2208</v>
      </c>
      <c r="K216" s="239">
        <v>3</v>
      </c>
      <c r="L216" s="239" t="s">
        <v>2209</v>
      </c>
      <c r="M216" s="239">
        <v>10000000</v>
      </c>
      <c r="N216" s="239" t="s">
        <v>452</v>
      </c>
      <c r="O216" s="239" t="s">
        <v>10338</v>
      </c>
      <c r="P216" s="239"/>
      <c r="Q216" s="239" t="s">
        <v>24</v>
      </c>
      <c r="R216" s="256" t="s">
        <v>11734</v>
      </c>
      <c r="S216" s="256"/>
      <c r="T216" s="256"/>
      <c r="U216" s="256"/>
      <c r="V216" s="239"/>
      <c r="W216" s="239"/>
      <c r="X216" s="239"/>
      <c r="Y216" s="239"/>
      <c r="Z216" s="239"/>
      <c r="AA216" s="239"/>
      <c r="AB216" s="239"/>
      <c r="AC216" s="239"/>
    </row>
    <row r="217" spans="1:29" ht="15.75" customHeight="1">
      <c r="A217" s="253">
        <v>44796</v>
      </c>
      <c r="B217" s="224" t="s">
        <v>4438</v>
      </c>
      <c r="C217" s="316">
        <v>3.75</v>
      </c>
      <c r="D217" s="224" t="s">
        <v>11123</v>
      </c>
      <c r="E217" s="224" t="s">
        <v>4</v>
      </c>
      <c r="F217" s="224" t="s">
        <v>725</v>
      </c>
      <c r="G217" s="224" t="s">
        <v>11124</v>
      </c>
      <c r="H217" s="224">
        <v>4</v>
      </c>
      <c r="I217" s="224" t="s">
        <v>1045</v>
      </c>
      <c r="J217" s="224" t="s">
        <v>4443</v>
      </c>
      <c r="K217" s="224">
        <v>3.5</v>
      </c>
      <c r="L217" s="224" t="s">
        <v>451</v>
      </c>
      <c r="M217" s="224" t="s">
        <v>4444</v>
      </c>
      <c r="N217" s="224" t="s">
        <v>452</v>
      </c>
      <c r="O217" s="224" t="s">
        <v>4445</v>
      </c>
      <c r="P217" s="224"/>
      <c r="Q217" s="224" t="s">
        <v>24</v>
      </c>
      <c r="R217" s="224"/>
      <c r="S217" s="224" t="str">
        <f>IFERROR(VLOOKUP(B217,'2022-2023 Third Reviews'!$C:$S,9,FALSE),"")</f>
        <v/>
      </c>
      <c r="T217" s="224"/>
      <c r="U217" s="224"/>
      <c r="V217" s="224"/>
      <c r="W217" s="224"/>
      <c r="X217" s="224"/>
      <c r="Y217" s="224"/>
      <c r="Z217" s="224"/>
      <c r="AA217" s="224"/>
      <c r="AB217" s="224"/>
      <c r="AC217" s="224"/>
    </row>
    <row r="218" spans="1:29" ht="15.75" customHeight="1">
      <c r="A218" s="257">
        <v>44796</v>
      </c>
      <c r="B218" s="258" t="s">
        <v>153</v>
      </c>
      <c r="C218" s="263">
        <v>3.63</v>
      </c>
      <c r="D218" s="258" t="s">
        <v>1034</v>
      </c>
      <c r="E218" s="258" t="s">
        <v>4</v>
      </c>
      <c r="F218" s="258" t="s">
        <v>727</v>
      </c>
      <c r="G218" s="258" t="s">
        <v>10452</v>
      </c>
      <c r="H218" s="258">
        <v>4.25</v>
      </c>
      <c r="I218" s="258" t="s">
        <v>1036</v>
      </c>
      <c r="J218" s="258" t="s">
        <v>1037</v>
      </c>
      <c r="K218" s="258">
        <v>3</v>
      </c>
      <c r="L218" s="258" t="s">
        <v>451</v>
      </c>
      <c r="M218" s="258">
        <v>1000000</v>
      </c>
      <c r="N218" s="258" t="s">
        <v>452</v>
      </c>
      <c r="O218" s="258" t="s">
        <v>452</v>
      </c>
      <c r="P218" s="258"/>
      <c r="Q218" s="258" t="s">
        <v>18</v>
      </c>
      <c r="R218" s="258" t="s">
        <v>11725</v>
      </c>
      <c r="S218" s="258" t="str">
        <f ca="1">IFERROR(VLOOKUP(B218,'2022-2023 Third Reviews'!$C:$S,9,FALSE),"")</f>
        <v>Nick Schmandt
4</v>
      </c>
      <c r="T218" s="258" t="s">
        <v>13051</v>
      </c>
      <c r="U218" s="258" t="s">
        <v>18</v>
      </c>
      <c r="V218" s="219"/>
      <c r="W218" s="219"/>
      <c r="X218" s="219"/>
      <c r="Y218" s="219"/>
      <c r="Z218" s="219"/>
      <c r="AA218" s="219"/>
      <c r="AB218" s="219"/>
      <c r="AC218" s="219"/>
    </row>
    <row r="219" spans="1:29" ht="15.75" customHeight="1">
      <c r="A219" s="257">
        <v>44789</v>
      </c>
      <c r="B219" s="258" t="s">
        <v>4447</v>
      </c>
      <c r="C219" s="263">
        <v>3.63</v>
      </c>
      <c r="D219" s="258" t="s">
        <v>4450</v>
      </c>
      <c r="E219" s="258" t="s">
        <v>4</v>
      </c>
      <c r="F219" s="258" t="s">
        <v>727</v>
      </c>
      <c r="G219" s="258" t="s">
        <v>10252</v>
      </c>
      <c r="H219" s="258">
        <v>3.75</v>
      </c>
      <c r="I219" s="258" t="s">
        <v>1045</v>
      </c>
      <c r="J219" s="258" t="s">
        <v>4452</v>
      </c>
      <c r="K219" s="258">
        <v>3.5</v>
      </c>
      <c r="L219" s="258"/>
      <c r="M219" s="258"/>
      <c r="N219" s="258" t="s">
        <v>454</v>
      </c>
      <c r="O219" s="258" t="s">
        <v>452</v>
      </c>
      <c r="P219" s="258" t="s">
        <v>4453</v>
      </c>
      <c r="Q219" s="258" t="s">
        <v>24</v>
      </c>
      <c r="R219" s="258" t="s">
        <v>4454</v>
      </c>
      <c r="S219" s="258" t="str">
        <f>IFERROR(VLOOKUP(B219,'2022-2023 Third Reviews'!$C:$S,9,FALSE),"")</f>
        <v/>
      </c>
      <c r="T219" s="258"/>
      <c r="U219" s="258"/>
      <c r="V219" s="252"/>
      <c r="W219" s="252"/>
      <c r="X219" s="252"/>
      <c r="Y219" s="224"/>
      <c r="Z219" s="224"/>
      <c r="AA219" s="224"/>
      <c r="AB219" s="224"/>
      <c r="AC219" s="224"/>
    </row>
    <row r="220" spans="1:29" ht="15.75" customHeight="1">
      <c r="A220" s="257">
        <v>44782</v>
      </c>
      <c r="B220" s="258" t="s">
        <v>292</v>
      </c>
      <c r="C220" s="249">
        <v>3.63</v>
      </c>
      <c r="D220" s="258" t="s">
        <v>11215</v>
      </c>
      <c r="E220" s="250" t="s">
        <v>4</v>
      </c>
      <c r="F220" s="258" t="s">
        <v>727</v>
      </c>
      <c r="G220" s="258" t="s">
        <v>11216</v>
      </c>
      <c r="H220" s="258">
        <v>3.75</v>
      </c>
      <c r="I220" s="258" t="s">
        <v>1054</v>
      </c>
      <c r="J220" s="258" t="s">
        <v>11217</v>
      </c>
      <c r="K220" s="258">
        <v>3.5</v>
      </c>
      <c r="L220" s="258" t="s">
        <v>451</v>
      </c>
      <c r="M220" s="258">
        <v>750000</v>
      </c>
      <c r="N220" s="258" t="s">
        <v>452</v>
      </c>
      <c r="O220" s="258" t="s">
        <v>11532</v>
      </c>
      <c r="P220" s="258"/>
      <c r="Q220" s="258" t="s">
        <v>18</v>
      </c>
      <c r="R220" s="258" t="s">
        <v>4463</v>
      </c>
      <c r="S220" s="258" t="str">
        <f>IFERROR(VLOOKUP(B220,'2022-2023 Third Reviews'!$C:$S,9,FALSE),"")</f>
        <v/>
      </c>
      <c r="T220" s="258"/>
      <c r="U220" s="258"/>
      <c r="V220" s="306"/>
      <c r="W220" s="306"/>
      <c r="X220" s="306"/>
      <c r="Y220" s="306"/>
      <c r="Z220" s="306"/>
      <c r="AA220" s="306"/>
      <c r="AB220" s="306"/>
      <c r="AC220" s="306"/>
    </row>
    <row r="221" spans="1:29" ht="15.75" hidden="1" customHeight="1">
      <c r="A221" s="220">
        <v>44776</v>
      </c>
      <c r="B221" s="221" t="s">
        <v>2214</v>
      </c>
      <c r="C221" s="214">
        <v>3</v>
      </c>
      <c r="D221" s="221" t="s">
        <v>2217</v>
      </c>
      <c r="E221" s="215" t="s">
        <v>5</v>
      </c>
      <c r="F221" s="221" t="s">
        <v>447</v>
      </c>
      <c r="G221" s="221" t="e">
        <f>+Credible Team
+Large TAM and plan to apply technology
-They are still very early, Developing MVP</f>
        <v>#NAME?</v>
      </c>
      <c r="H221" s="221">
        <v>3</v>
      </c>
      <c r="I221" s="221" t="s">
        <v>622</v>
      </c>
      <c r="J221" s="221" t="s">
        <v>2219</v>
      </c>
      <c r="K221" s="221">
        <v>3</v>
      </c>
      <c r="L221" s="221" t="s">
        <v>784</v>
      </c>
      <c r="M221" s="247">
        <v>1000000</v>
      </c>
      <c r="N221" s="221" t="s">
        <v>465</v>
      </c>
      <c r="O221" s="221" t="s">
        <v>2220</v>
      </c>
      <c r="P221" s="145"/>
      <c r="Q221" s="221" t="s">
        <v>24</v>
      </c>
      <c r="R221" s="223">
        <f t="array" ref="R221">INDEX(Notes!C:C,MATCH($B221,Notes!$A:$A,0))</f>
        <v>0</v>
      </c>
      <c r="S221" s="223"/>
      <c r="T221" s="223"/>
      <c r="U221" s="223"/>
      <c r="V221" s="218"/>
      <c r="W221" s="218"/>
      <c r="X221" s="218"/>
      <c r="Y221" s="224"/>
      <c r="Z221" s="224"/>
      <c r="AA221" s="224"/>
      <c r="AB221" s="224"/>
      <c r="AC221" s="224"/>
    </row>
    <row r="222" spans="1:29" ht="15.75" customHeight="1">
      <c r="A222" s="248">
        <v>44789</v>
      </c>
      <c r="B222" s="219" t="s">
        <v>4466</v>
      </c>
      <c r="C222" s="249">
        <v>3.63</v>
      </c>
      <c r="D222" s="219" t="s">
        <v>4469</v>
      </c>
      <c r="E222" s="250" t="s">
        <v>4</v>
      </c>
      <c r="F222" s="219" t="s">
        <v>727</v>
      </c>
      <c r="G222" s="219" t="s">
        <v>10258</v>
      </c>
      <c r="H222" s="219">
        <v>3.75</v>
      </c>
      <c r="I222" s="219" t="s">
        <v>1045</v>
      </c>
      <c r="J222" s="219" t="s">
        <v>4471</v>
      </c>
      <c r="K222" s="219">
        <v>3.5</v>
      </c>
      <c r="L222" s="219"/>
      <c r="M222" s="312"/>
      <c r="N222" s="219" t="s">
        <v>452</v>
      </c>
      <c r="O222" s="219" t="s">
        <v>4472</v>
      </c>
      <c r="P222" s="219"/>
      <c r="Q222" s="219" t="s">
        <v>24</v>
      </c>
      <c r="R222" s="219" t="s">
        <v>4473</v>
      </c>
      <c r="S222" s="219" t="str">
        <f>IFERROR(VLOOKUP(B222,'2022-2023 Third Reviews'!$C:$S,9,FALSE),"")</f>
        <v/>
      </c>
      <c r="T222" s="219"/>
      <c r="U222" s="219"/>
      <c r="V222" s="219"/>
      <c r="W222" s="219"/>
      <c r="X222" s="219"/>
      <c r="Y222" s="219"/>
      <c r="Z222" s="219"/>
      <c r="AA222" s="219"/>
      <c r="AB222" s="219"/>
      <c r="AC222" s="219"/>
    </row>
    <row r="223" spans="1:29" ht="15.75" hidden="1" customHeight="1">
      <c r="A223" s="253">
        <v>44782</v>
      </c>
      <c r="B223" s="224" t="s">
        <v>68</v>
      </c>
      <c r="C223" s="249">
        <v>4</v>
      </c>
      <c r="D223" s="224" t="s">
        <v>497</v>
      </c>
      <c r="E223" s="250" t="s">
        <v>5</v>
      </c>
      <c r="F223" s="224" t="s">
        <v>447</v>
      </c>
      <c r="G223" s="224" t="s">
        <v>10503</v>
      </c>
      <c r="H223" s="224">
        <v>4.5</v>
      </c>
      <c r="I223" s="224" t="s">
        <v>449</v>
      </c>
      <c r="J223" s="224" t="s">
        <v>13400</v>
      </c>
      <c r="K223" s="224">
        <v>3.5</v>
      </c>
      <c r="L223" s="224" t="s">
        <v>451</v>
      </c>
      <c r="M223" s="224">
        <v>2000000</v>
      </c>
      <c r="N223" s="224" t="s">
        <v>452</v>
      </c>
      <c r="O223" s="224" t="s">
        <v>500</v>
      </c>
      <c r="P223" s="224"/>
      <c r="Q223" s="224" t="s">
        <v>18</v>
      </c>
      <c r="R223" s="254"/>
      <c r="S223" s="254"/>
      <c r="T223" s="254"/>
      <c r="U223" s="254"/>
      <c r="V223" s="252"/>
      <c r="W223" s="252"/>
      <c r="X223" s="252"/>
      <c r="Y223" s="224"/>
      <c r="Z223" s="224"/>
      <c r="AA223" s="224"/>
      <c r="AB223" s="224"/>
      <c r="AC223" s="224"/>
    </row>
    <row r="224" spans="1:29" ht="15.75" customHeight="1">
      <c r="A224" s="248">
        <v>44789</v>
      </c>
      <c r="B224" s="219" t="s">
        <v>4475</v>
      </c>
      <c r="C224" s="249">
        <v>3.63</v>
      </c>
      <c r="D224" s="219" t="s">
        <v>4478</v>
      </c>
      <c r="E224" s="250" t="s">
        <v>4</v>
      </c>
      <c r="F224" s="219" t="s">
        <v>727</v>
      </c>
      <c r="G224" s="219" t="s">
        <v>10707</v>
      </c>
      <c r="H224" s="219">
        <v>3.75</v>
      </c>
      <c r="I224" s="219" t="s">
        <v>1045</v>
      </c>
      <c r="J224" s="219" t="s">
        <v>4480</v>
      </c>
      <c r="K224" s="219">
        <v>3.5</v>
      </c>
      <c r="L224" s="219" t="s">
        <v>784</v>
      </c>
      <c r="M224" s="310">
        <v>500000</v>
      </c>
      <c r="N224" s="219" t="s">
        <v>452</v>
      </c>
      <c r="O224" s="219" t="s">
        <v>4481</v>
      </c>
      <c r="P224" s="219"/>
      <c r="Q224" s="219" t="s">
        <v>24</v>
      </c>
      <c r="R224" s="219"/>
      <c r="S224" s="219" t="str">
        <f>IFERROR(VLOOKUP(B224,'2022-2023 Third Reviews'!$C:$S,9,FALSE),"")</f>
        <v/>
      </c>
      <c r="T224" s="219"/>
      <c r="U224" s="219"/>
      <c r="V224" s="306"/>
      <c r="W224" s="306"/>
      <c r="X224" s="306"/>
      <c r="Y224" s="306"/>
      <c r="Z224" s="306"/>
      <c r="AA224" s="306"/>
      <c r="AB224" s="306"/>
      <c r="AC224" s="306"/>
    </row>
    <row r="225" spans="1:29" ht="15.75" hidden="1" customHeight="1">
      <c r="A225" s="541">
        <v>44791</v>
      </c>
      <c r="B225" s="306" t="s">
        <v>294</v>
      </c>
      <c r="C225" s="542"/>
      <c r="D225" s="306"/>
      <c r="E225" s="306" t="s">
        <v>3</v>
      </c>
      <c r="F225" s="306" t="s">
        <v>460</v>
      </c>
      <c r="G225" s="306"/>
      <c r="H225" s="306"/>
      <c r="I225" s="306" t="s">
        <v>941</v>
      </c>
      <c r="J225" s="306"/>
      <c r="K225" s="306"/>
      <c r="L225" s="306" t="s">
        <v>1656</v>
      </c>
      <c r="M225" s="544">
        <v>10000000</v>
      </c>
      <c r="N225" s="306" t="s">
        <v>454</v>
      </c>
      <c r="O225" s="306" t="s">
        <v>1657</v>
      </c>
      <c r="P225" s="306"/>
      <c r="Q225" s="306"/>
      <c r="R225" s="543"/>
      <c r="S225" s="543"/>
      <c r="T225" s="543"/>
      <c r="U225" s="543"/>
      <c r="V225" s="306"/>
      <c r="W225" s="306"/>
      <c r="X225" s="306"/>
      <c r="Y225" s="306"/>
      <c r="Z225" s="306"/>
      <c r="AA225" s="306"/>
      <c r="AB225" s="306"/>
      <c r="AC225" s="306"/>
    </row>
    <row r="226" spans="1:29" ht="15.75" hidden="1" customHeight="1">
      <c r="A226" s="541">
        <v>44796</v>
      </c>
      <c r="B226" s="306" t="s">
        <v>294</v>
      </c>
      <c r="C226" s="542"/>
      <c r="D226" s="306"/>
      <c r="E226" s="306" t="s">
        <v>3</v>
      </c>
      <c r="F226" s="306" t="s">
        <v>460</v>
      </c>
      <c r="G226" s="306" t="s">
        <v>1654</v>
      </c>
      <c r="H226" s="306">
        <v>4.5</v>
      </c>
      <c r="I226" s="306" t="s">
        <v>941</v>
      </c>
      <c r="J226" s="306"/>
      <c r="K226" s="306"/>
      <c r="L226" s="306" t="s">
        <v>1656</v>
      </c>
      <c r="M226" s="544">
        <v>10000000</v>
      </c>
      <c r="N226" s="306" t="s">
        <v>454</v>
      </c>
      <c r="O226" s="306" t="s">
        <v>1657</v>
      </c>
      <c r="P226" s="306"/>
      <c r="Q226" s="306"/>
      <c r="R226" s="543"/>
      <c r="S226" s="543"/>
      <c r="T226" s="543"/>
      <c r="U226" s="543"/>
      <c r="V226" s="219"/>
      <c r="W226" s="219"/>
      <c r="X226" s="219"/>
      <c r="Y226" s="219"/>
      <c r="Z226" s="219"/>
      <c r="AA226" s="219"/>
      <c r="AB226" s="219"/>
      <c r="AC226" s="219"/>
    </row>
    <row r="227" spans="1:29" ht="15.75" hidden="1" customHeight="1">
      <c r="A227" s="253">
        <v>44796</v>
      </c>
      <c r="B227" s="224" t="s">
        <v>294</v>
      </c>
      <c r="C227" s="316">
        <v>4.5</v>
      </c>
      <c r="D227" s="224"/>
      <c r="E227" s="224" t="s">
        <v>3</v>
      </c>
      <c r="F227" s="224" t="s">
        <v>460</v>
      </c>
      <c r="G227" s="224" t="s">
        <v>1654</v>
      </c>
      <c r="H227" s="224">
        <v>4.5</v>
      </c>
      <c r="I227" s="224" t="s">
        <v>941</v>
      </c>
      <c r="J227" s="224" t="s">
        <v>1655</v>
      </c>
      <c r="K227" s="224">
        <v>4.5</v>
      </c>
      <c r="L227" s="224" t="s">
        <v>1656</v>
      </c>
      <c r="M227" s="330">
        <v>10000000</v>
      </c>
      <c r="N227" s="224" t="s">
        <v>454</v>
      </c>
      <c r="O227" s="224" t="s">
        <v>1657</v>
      </c>
      <c r="P227" s="224"/>
      <c r="Q227" s="224" t="s">
        <v>18</v>
      </c>
      <c r="R227" s="254"/>
      <c r="S227" s="254"/>
      <c r="T227" s="254"/>
      <c r="U227" s="254"/>
      <c r="V227" s="224"/>
      <c r="W227" s="224"/>
      <c r="X227" s="224"/>
      <c r="Y227" s="224"/>
      <c r="Z227" s="224"/>
      <c r="AA227" s="224"/>
      <c r="AB227" s="224"/>
      <c r="AC227" s="224"/>
    </row>
    <row r="228" spans="1:29" ht="15.75" hidden="1" customHeight="1">
      <c r="A228" s="248">
        <v>44791</v>
      </c>
      <c r="B228" s="219" t="s">
        <v>371</v>
      </c>
      <c r="C228" s="315">
        <v>4.25</v>
      </c>
      <c r="D228" s="219" t="s">
        <v>9985</v>
      </c>
      <c r="E228" s="219" t="s">
        <v>5</v>
      </c>
      <c r="F228" s="219" t="s">
        <v>447</v>
      </c>
      <c r="G228" s="219" t="s">
        <v>11246</v>
      </c>
      <c r="H228" s="219">
        <v>4</v>
      </c>
      <c r="I228" s="219" t="s">
        <v>543</v>
      </c>
      <c r="J228" s="219" t="s">
        <v>11650</v>
      </c>
      <c r="K228" s="219">
        <v>4.5</v>
      </c>
      <c r="L228" s="219" t="s">
        <v>451</v>
      </c>
      <c r="M228" s="310">
        <v>2000000</v>
      </c>
      <c r="N228" s="219" t="s">
        <v>452</v>
      </c>
      <c r="O228" s="219" t="s">
        <v>9988</v>
      </c>
      <c r="P228" s="219" t="s">
        <v>9989</v>
      </c>
      <c r="Q228" s="219" t="s">
        <v>18</v>
      </c>
      <c r="R228" s="251"/>
      <c r="S228" s="251"/>
      <c r="T228" s="251"/>
      <c r="U228" s="251"/>
      <c r="V228" s="219"/>
      <c r="W228" s="219"/>
      <c r="X228" s="219"/>
      <c r="Y228" s="219"/>
      <c r="Z228" s="219"/>
      <c r="AA228" s="219"/>
      <c r="AB228" s="219"/>
      <c r="AC228" s="219"/>
    </row>
    <row r="229" spans="1:29" ht="15.75" hidden="1" customHeight="1">
      <c r="A229" s="220">
        <v>44776</v>
      </c>
      <c r="B229" s="221" t="s">
        <v>395</v>
      </c>
      <c r="C229" s="214">
        <v>4</v>
      </c>
      <c r="D229" s="221" t="s">
        <v>10098</v>
      </c>
      <c r="E229" s="215" t="s">
        <v>3</v>
      </c>
      <c r="F229" s="221" t="s">
        <v>460</v>
      </c>
      <c r="G229" s="221" t="s">
        <v>10099</v>
      </c>
      <c r="H229" s="221">
        <v>4</v>
      </c>
      <c r="I229" s="221" t="s">
        <v>488</v>
      </c>
      <c r="J229" s="221" t="s">
        <v>11411</v>
      </c>
      <c r="K229" s="221">
        <v>4</v>
      </c>
      <c r="L229" s="221" t="s">
        <v>451</v>
      </c>
      <c r="M229" s="221" t="s">
        <v>10101</v>
      </c>
      <c r="N229" s="221" t="s">
        <v>452</v>
      </c>
      <c r="O229" s="221" t="s">
        <v>11412</v>
      </c>
      <c r="P229" s="145" t="s">
        <v>10103</v>
      </c>
      <c r="Q229" s="221" t="str">
        <f t="array" ref="Q229">INDEX(Notes!B:B,MATCH($B229,Notes!$A:$A,0))</f>
        <v>Invite</v>
      </c>
      <c r="R229" s="223">
        <f t="array" ref="R229">INDEX(Notes!C:C,MATCH($B229,Notes!$A:$A,0))</f>
        <v>0</v>
      </c>
      <c r="S229" s="223"/>
      <c r="T229" s="223"/>
      <c r="U229" s="223"/>
      <c r="V229" s="218"/>
      <c r="W229" s="218"/>
      <c r="X229" s="218"/>
      <c r="Y229" s="224"/>
      <c r="Z229" s="224"/>
      <c r="AA229" s="224"/>
      <c r="AB229" s="224"/>
      <c r="AC229" s="224"/>
    </row>
    <row r="230" spans="1:29" ht="15.75" hidden="1" customHeight="1">
      <c r="A230" s="248">
        <v>44796</v>
      </c>
      <c r="B230" s="219" t="s">
        <v>2224</v>
      </c>
      <c r="C230" s="315">
        <v>3.25</v>
      </c>
      <c r="D230" s="219"/>
      <c r="E230" s="219" t="s">
        <v>5</v>
      </c>
      <c r="F230" s="219" t="s">
        <v>447</v>
      </c>
      <c r="G230" s="219" t="s">
        <v>11264</v>
      </c>
      <c r="H230" s="219">
        <v>3</v>
      </c>
      <c r="I230" s="219" t="s">
        <v>449</v>
      </c>
      <c r="J230" s="219" t="s">
        <v>11265</v>
      </c>
      <c r="K230" s="219">
        <v>3.5</v>
      </c>
      <c r="L230" s="219" t="s">
        <v>2229</v>
      </c>
      <c r="M230" s="219" t="s">
        <v>2230</v>
      </c>
      <c r="N230" s="219" t="s">
        <v>465</v>
      </c>
      <c r="O230" s="219" t="s">
        <v>2231</v>
      </c>
      <c r="P230" s="219" t="s">
        <v>2232</v>
      </c>
      <c r="Q230" s="219" t="s">
        <v>24</v>
      </c>
      <c r="R230" s="251"/>
      <c r="S230" s="251"/>
      <c r="T230" s="251"/>
      <c r="U230" s="251"/>
      <c r="V230" s="219"/>
      <c r="W230" s="219"/>
      <c r="X230" s="219"/>
      <c r="Y230" s="219"/>
      <c r="Z230" s="219"/>
      <c r="AA230" s="219"/>
      <c r="AB230" s="219"/>
      <c r="AC230" s="219"/>
    </row>
    <row r="231" spans="1:29" ht="15.75" hidden="1" customHeight="1">
      <c r="A231" s="541">
        <v>44791</v>
      </c>
      <c r="B231" s="306" t="s">
        <v>8405</v>
      </c>
      <c r="C231" s="542"/>
      <c r="D231" s="306" t="s">
        <v>8408</v>
      </c>
      <c r="E231" s="306" t="s">
        <v>3</v>
      </c>
      <c r="F231" s="306" t="s">
        <v>460</v>
      </c>
      <c r="G231" s="306"/>
      <c r="H231" s="306"/>
      <c r="I231" s="306" t="s">
        <v>462</v>
      </c>
      <c r="J231" s="306" t="s">
        <v>8410</v>
      </c>
      <c r="K231" s="306">
        <v>2</v>
      </c>
      <c r="L231" s="306"/>
      <c r="M231" s="306"/>
      <c r="N231" s="306" t="s">
        <v>452</v>
      </c>
      <c r="O231" s="306" t="s">
        <v>8411</v>
      </c>
      <c r="P231" s="306"/>
      <c r="Q231" s="306"/>
      <c r="R231" s="543"/>
      <c r="S231" s="543"/>
      <c r="T231" s="543"/>
      <c r="U231" s="543"/>
      <c r="V231" s="306"/>
      <c r="W231" s="306"/>
      <c r="X231" s="306"/>
      <c r="Y231" s="306"/>
      <c r="Z231" s="306"/>
      <c r="AA231" s="306"/>
      <c r="AB231" s="306"/>
      <c r="AC231" s="306"/>
    </row>
    <row r="232" spans="1:29" ht="15.75" hidden="1" customHeight="1">
      <c r="A232" s="248">
        <v>44791</v>
      </c>
      <c r="B232" s="219" t="s">
        <v>8405</v>
      </c>
      <c r="C232" s="315">
        <v>2</v>
      </c>
      <c r="D232" s="219" t="s">
        <v>8408</v>
      </c>
      <c r="E232" s="219" t="s">
        <v>3</v>
      </c>
      <c r="F232" s="219" t="s">
        <v>460</v>
      </c>
      <c r="G232" s="219" t="s">
        <v>8409</v>
      </c>
      <c r="H232" s="219">
        <v>2</v>
      </c>
      <c r="I232" s="219" t="s">
        <v>462</v>
      </c>
      <c r="J232" s="219" t="s">
        <v>8410</v>
      </c>
      <c r="K232" s="219">
        <v>2</v>
      </c>
      <c r="L232" s="219"/>
      <c r="M232" s="219"/>
      <c r="N232" s="219" t="s">
        <v>452</v>
      </c>
      <c r="O232" s="219" t="s">
        <v>8411</v>
      </c>
      <c r="P232" s="219"/>
      <c r="Q232" s="322" t="s">
        <v>24</v>
      </c>
      <c r="R232" s="251"/>
      <c r="S232" s="251"/>
      <c r="T232" s="251"/>
      <c r="U232" s="251"/>
      <c r="V232" s="219"/>
      <c r="W232" s="219"/>
      <c r="X232" s="219"/>
      <c r="Y232" s="219"/>
      <c r="Z232" s="219"/>
      <c r="AA232" s="219"/>
      <c r="AB232" s="219"/>
      <c r="AC232" s="219"/>
    </row>
    <row r="233" spans="1:29" ht="15.75" customHeight="1">
      <c r="A233" s="257">
        <v>44791</v>
      </c>
      <c r="B233" s="258" t="s">
        <v>4484</v>
      </c>
      <c r="C233" s="263">
        <v>3.63</v>
      </c>
      <c r="D233" s="258" t="s">
        <v>10369</v>
      </c>
      <c r="E233" s="258" t="s">
        <v>4</v>
      </c>
      <c r="F233" s="258" t="s">
        <v>725</v>
      </c>
      <c r="G233" s="258" t="s">
        <v>10370</v>
      </c>
      <c r="H233" s="258">
        <v>3.5</v>
      </c>
      <c r="I233" s="258" t="s">
        <v>727</v>
      </c>
      <c r="J233" s="258" t="s">
        <v>10371</v>
      </c>
      <c r="K233" s="258">
        <v>3.75</v>
      </c>
      <c r="L233" s="258" t="s">
        <v>784</v>
      </c>
      <c r="M233" s="261">
        <v>300000</v>
      </c>
      <c r="N233" s="258" t="s">
        <v>465</v>
      </c>
      <c r="O233" s="258" t="s">
        <v>452</v>
      </c>
      <c r="P233" s="258"/>
      <c r="Q233" s="258" t="s">
        <v>24</v>
      </c>
      <c r="R233" s="258" t="s">
        <v>11671</v>
      </c>
      <c r="S233" s="258" t="str">
        <f>IFERROR(VLOOKUP(B233,'2022-2023 Third Reviews'!$C:$S,9,FALSE),"")</f>
        <v/>
      </c>
      <c r="T233" s="258"/>
      <c r="U233" s="258"/>
      <c r="V233" s="258"/>
      <c r="W233" s="258"/>
      <c r="X233" s="258"/>
      <c r="Y233" s="258"/>
      <c r="Z233" s="258"/>
      <c r="AA233" s="258"/>
      <c r="AB233" s="258"/>
      <c r="AC233" s="258"/>
    </row>
    <row r="234" spans="1:29" ht="15.75" customHeight="1">
      <c r="A234" s="257">
        <v>44789</v>
      </c>
      <c r="B234" s="258" t="s">
        <v>293</v>
      </c>
      <c r="C234" s="263">
        <v>3.63</v>
      </c>
      <c r="D234" s="258" t="s">
        <v>4495</v>
      </c>
      <c r="E234" s="258" t="s">
        <v>4</v>
      </c>
      <c r="F234" s="258" t="s">
        <v>727</v>
      </c>
      <c r="G234" s="258" t="s">
        <v>10704</v>
      </c>
      <c r="H234" s="258">
        <v>3.75</v>
      </c>
      <c r="I234" s="258" t="s">
        <v>1045</v>
      </c>
      <c r="J234" s="258" t="s">
        <v>4497</v>
      </c>
      <c r="K234" s="258">
        <v>3.5</v>
      </c>
      <c r="L234" s="258"/>
      <c r="M234" s="309"/>
      <c r="N234" s="258" t="s">
        <v>452</v>
      </c>
      <c r="O234" s="258" t="s">
        <v>452</v>
      </c>
      <c r="P234" s="258"/>
      <c r="Q234" s="258" t="s">
        <v>18</v>
      </c>
      <c r="R234" s="258" t="s">
        <v>13246</v>
      </c>
      <c r="S234" s="258" t="str">
        <f ca="1">IFERROR(VLOOKUP(B234,'2022-2023 Third Reviews'!$C:$S,9,FALSE),"")</f>
        <v>John McDonald
4</v>
      </c>
      <c r="T234" s="258"/>
      <c r="U234" s="258"/>
      <c r="V234" s="219"/>
      <c r="W234" s="219"/>
      <c r="X234" s="219"/>
      <c r="Y234" s="219"/>
      <c r="Z234" s="219"/>
      <c r="AA234" s="219"/>
      <c r="AB234" s="219"/>
      <c r="AC234" s="219"/>
    </row>
    <row r="235" spans="1:29" ht="15.75" customHeight="1">
      <c r="A235" s="257">
        <v>44789</v>
      </c>
      <c r="B235" s="258" t="s">
        <v>295</v>
      </c>
      <c r="C235" s="263">
        <v>3.63</v>
      </c>
      <c r="D235" s="258" t="s">
        <v>4502</v>
      </c>
      <c r="E235" s="258" t="s">
        <v>4</v>
      </c>
      <c r="F235" s="258" t="s">
        <v>727</v>
      </c>
      <c r="G235" s="258" t="s">
        <v>10896</v>
      </c>
      <c r="H235" s="258">
        <v>3.75</v>
      </c>
      <c r="I235" s="258" t="s">
        <v>476</v>
      </c>
      <c r="J235" s="258" t="s">
        <v>11625</v>
      </c>
      <c r="K235" s="258">
        <v>3.5</v>
      </c>
      <c r="L235" s="258"/>
      <c r="M235" s="258"/>
      <c r="N235" s="258" t="s">
        <v>452</v>
      </c>
      <c r="O235" s="258" t="s">
        <v>10898</v>
      </c>
      <c r="P235" s="258"/>
      <c r="Q235" s="258" t="s">
        <v>18</v>
      </c>
      <c r="R235" s="258" t="s">
        <v>4506</v>
      </c>
      <c r="S235" s="258" t="str">
        <f ca="1">IFERROR(VLOOKUP(B235,'2022-2023 Third Reviews'!$C:$S,9,FALSE),"")</f>
        <v>Joshua Rubnitz
5</v>
      </c>
      <c r="T235" s="258" t="s">
        <v>13247</v>
      </c>
      <c r="U235" s="258"/>
      <c r="V235" s="224"/>
      <c r="W235" s="224"/>
      <c r="X235" s="224"/>
      <c r="Y235" s="224"/>
      <c r="Z235" s="224"/>
      <c r="AA235" s="224"/>
      <c r="AB235" s="224"/>
      <c r="AC235" s="224"/>
    </row>
    <row r="236" spans="1:29" ht="15.75" hidden="1" customHeight="1">
      <c r="A236" s="541">
        <v>44791</v>
      </c>
      <c r="B236" s="306" t="s">
        <v>2235</v>
      </c>
      <c r="C236" s="542"/>
      <c r="D236" s="306" t="s">
        <v>2238</v>
      </c>
      <c r="E236" s="306" t="s">
        <v>3</v>
      </c>
      <c r="F236" s="306" t="s">
        <v>488</v>
      </c>
      <c r="G236" s="306"/>
      <c r="H236" s="306"/>
      <c r="I236" s="306" t="s">
        <v>941</v>
      </c>
      <c r="J236" s="306"/>
      <c r="K236" s="306"/>
      <c r="L236" s="306" t="s">
        <v>451</v>
      </c>
      <c r="M236" s="306" t="s">
        <v>2240</v>
      </c>
      <c r="N236" s="306" t="s">
        <v>454</v>
      </c>
      <c r="O236" s="306" t="s">
        <v>10484</v>
      </c>
      <c r="P236" s="306"/>
      <c r="Q236" s="306"/>
      <c r="R236" s="543"/>
      <c r="S236" s="543"/>
      <c r="T236" s="543"/>
      <c r="U236" s="543"/>
      <c r="V236" s="306"/>
      <c r="W236" s="306"/>
      <c r="X236" s="306"/>
      <c r="Y236" s="306"/>
      <c r="Z236" s="306"/>
      <c r="AA236" s="306"/>
      <c r="AB236" s="306"/>
      <c r="AC236" s="306"/>
    </row>
    <row r="237" spans="1:29" ht="15.75" hidden="1" customHeight="1">
      <c r="A237" s="541">
        <v>44796</v>
      </c>
      <c r="B237" s="306" t="s">
        <v>2235</v>
      </c>
      <c r="C237" s="542"/>
      <c r="D237" s="306" t="s">
        <v>2238</v>
      </c>
      <c r="E237" s="306" t="s">
        <v>3</v>
      </c>
      <c r="F237" s="306" t="s">
        <v>488</v>
      </c>
      <c r="G237" s="306"/>
      <c r="H237" s="306"/>
      <c r="I237" s="306" t="s">
        <v>941</v>
      </c>
      <c r="J237" s="306"/>
      <c r="K237" s="306"/>
      <c r="L237" s="306" t="s">
        <v>451</v>
      </c>
      <c r="M237" s="306" t="s">
        <v>2240</v>
      </c>
      <c r="N237" s="306" t="s">
        <v>454</v>
      </c>
      <c r="O237" s="306" t="s">
        <v>10484</v>
      </c>
      <c r="P237" s="306"/>
      <c r="Q237" s="306"/>
      <c r="R237" s="543"/>
      <c r="S237" s="543"/>
      <c r="T237" s="543"/>
      <c r="U237" s="543"/>
      <c r="V237" s="306"/>
      <c r="W237" s="306"/>
      <c r="X237" s="306"/>
      <c r="Y237" s="306"/>
      <c r="Z237" s="306"/>
      <c r="AA237" s="306"/>
      <c r="AB237" s="306"/>
      <c r="AC237" s="306"/>
    </row>
    <row r="238" spans="1:29" ht="15.75" hidden="1" customHeight="1">
      <c r="A238" s="255">
        <v>44796</v>
      </c>
      <c r="B238" s="239" t="s">
        <v>2235</v>
      </c>
      <c r="C238" s="262">
        <v>3.25</v>
      </c>
      <c r="D238" s="239" t="s">
        <v>2238</v>
      </c>
      <c r="E238" s="239" t="s">
        <v>5</v>
      </c>
      <c r="F238" s="239" t="s">
        <v>488</v>
      </c>
      <c r="G238" s="239"/>
      <c r="H238" s="239">
        <v>3</v>
      </c>
      <c r="I238" s="239" t="s">
        <v>941</v>
      </c>
      <c r="J238" s="239" t="s">
        <v>2239</v>
      </c>
      <c r="K238" s="239">
        <v>3.5</v>
      </c>
      <c r="L238" s="239" t="s">
        <v>451</v>
      </c>
      <c r="M238" s="239" t="s">
        <v>2240</v>
      </c>
      <c r="N238" s="239" t="s">
        <v>454</v>
      </c>
      <c r="O238" s="239" t="s">
        <v>10484</v>
      </c>
      <c r="P238" s="239"/>
      <c r="Q238" s="239" t="s">
        <v>24</v>
      </c>
      <c r="R238" s="256" t="s">
        <v>2242</v>
      </c>
      <c r="S238" s="256"/>
      <c r="T238" s="256"/>
      <c r="U238" s="256"/>
      <c r="V238" s="239"/>
      <c r="W238" s="239"/>
      <c r="X238" s="239"/>
      <c r="Y238" s="239"/>
      <c r="Z238" s="239"/>
      <c r="AA238" s="239"/>
      <c r="AB238" s="239"/>
      <c r="AC238" s="239"/>
    </row>
    <row r="239" spans="1:29" ht="15.75" customHeight="1">
      <c r="A239" s="257">
        <v>44797</v>
      </c>
      <c r="B239" s="258" t="s">
        <v>4509</v>
      </c>
      <c r="C239" s="263">
        <v>3.63</v>
      </c>
      <c r="D239" s="258" t="s">
        <v>4512</v>
      </c>
      <c r="E239" s="258" t="s">
        <v>4</v>
      </c>
      <c r="F239" s="258" t="s">
        <v>727</v>
      </c>
      <c r="G239" s="258" t="s">
        <v>4513</v>
      </c>
      <c r="H239" s="258">
        <v>3.75</v>
      </c>
      <c r="I239" s="258" t="s">
        <v>543</v>
      </c>
      <c r="J239" s="258" t="s">
        <v>11747</v>
      </c>
      <c r="K239" s="258">
        <v>3.5</v>
      </c>
      <c r="L239" s="258"/>
      <c r="M239" s="258"/>
      <c r="N239" s="258" t="s">
        <v>452</v>
      </c>
      <c r="O239" s="258" t="s">
        <v>4515</v>
      </c>
      <c r="P239" s="258"/>
      <c r="Q239" s="258" t="s">
        <v>24</v>
      </c>
      <c r="R239" s="258"/>
      <c r="S239" s="258" t="str">
        <f>IFERROR(VLOOKUP(B239,'2022-2023 Third Reviews'!$C:$S,9,FALSE),"")</f>
        <v/>
      </c>
      <c r="T239" s="258"/>
      <c r="U239" s="258"/>
      <c r="V239" s="252"/>
      <c r="W239" s="252"/>
      <c r="X239" s="252"/>
      <c r="Y239" s="224"/>
      <c r="Z239" s="224"/>
      <c r="AA239" s="224"/>
      <c r="AB239" s="224"/>
      <c r="AC239" s="224"/>
    </row>
    <row r="240" spans="1:29" ht="15.75" customHeight="1">
      <c r="A240" s="257">
        <v>44782</v>
      </c>
      <c r="B240" s="258" t="s">
        <v>227</v>
      </c>
      <c r="C240" s="249">
        <v>3.5</v>
      </c>
      <c r="D240" s="258" t="s">
        <v>1358</v>
      </c>
      <c r="E240" s="250" t="s">
        <v>4</v>
      </c>
      <c r="F240" s="258" t="s">
        <v>602</v>
      </c>
      <c r="G240" s="258" t="s">
        <v>1359</v>
      </c>
      <c r="H240" s="258">
        <v>4</v>
      </c>
      <c r="I240" s="258" t="s">
        <v>476</v>
      </c>
      <c r="J240" s="258" t="s">
        <v>13400</v>
      </c>
      <c r="K240" s="258">
        <v>3</v>
      </c>
      <c r="L240" s="258" t="s">
        <v>1361</v>
      </c>
      <c r="M240" s="258" t="s">
        <v>1362</v>
      </c>
      <c r="N240" s="258" t="s">
        <v>465</v>
      </c>
      <c r="O240" s="258" t="s">
        <v>1363</v>
      </c>
      <c r="P240" s="258"/>
      <c r="Q240" s="258" t="s">
        <v>18</v>
      </c>
      <c r="R240" s="258" t="s">
        <v>1364</v>
      </c>
      <c r="S240" s="258" t="str">
        <f ca="1">IFERROR(VLOOKUP(B240,'2022-2023 Third Reviews'!$C:$S,9,FALSE),"")</f>
        <v>Ahmed Bahgat
4</v>
      </c>
      <c r="T240" s="258" t="s">
        <v>13081</v>
      </c>
      <c r="U240" s="258" t="s">
        <v>18</v>
      </c>
      <c r="V240" s="219"/>
      <c r="W240" s="219"/>
      <c r="X240" s="219"/>
      <c r="Y240" s="219"/>
      <c r="Z240" s="219"/>
      <c r="AA240" s="219"/>
      <c r="AB240" s="219"/>
      <c r="AC240" s="219"/>
    </row>
    <row r="241" spans="1:29" ht="15.75" customHeight="1">
      <c r="A241" s="255">
        <v>44782</v>
      </c>
      <c r="B241" s="239" t="s">
        <v>250</v>
      </c>
      <c r="C241" s="249">
        <v>3.5</v>
      </c>
      <c r="D241" s="239" t="s">
        <v>1446</v>
      </c>
      <c r="E241" s="250" t="s">
        <v>4</v>
      </c>
      <c r="F241" s="239" t="s">
        <v>447</v>
      </c>
      <c r="G241" s="239" t="s">
        <v>11533</v>
      </c>
      <c r="H241" s="239">
        <v>4</v>
      </c>
      <c r="I241" s="239" t="s">
        <v>622</v>
      </c>
      <c r="J241" s="239" t="s">
        <v>1448</v>
      </c>
      <c r="K241" s="239">
        <v>3</v>
      </c>
      <c r="L241" s="239" t="s">
        <v>973</v>
      </c>
      <c r="M241" s="239">
        <v>30000000</v>
      </c>
      <c r="N241" s="239" t="s">
        <v>452</v>
      </c>
      <c r="O241" s="239" t="s">
        <v>10412</v>
      </c>
      <c r="P241" s="239" t="s">
        <v>447</v>
      </c>
      <c r="Q241" s="239" t="s">
        <v>18</v>
      </c>
      <c r="R241" s="239" t="s">
        <v>1450</v>
      </c>
      <c r="S241" s="239" t="str">
        <f ca="1">IFERROR(VLOOKUP(B241,'2022-2023 Third Reviews'!$C:$S,9,FALSE),"")</f>
        <v>Joshua Rubnitz
4</v>
      </c>
      <c r="T241" s="239" t="s">
        <v>13088</v>
      </c>
      <c r="U241" s="239" t="s">
        <v>18</v>
      </c>
      <c r="V241" s="224"/>
      <c r="W241" s="224"/>
      <c r="X241" s="224"/>
      <c r="Y241" s="224"/>
      <c r="Z241" s="224"/>
      <c r="AA241" s="224"/>
      <c r="AB241" s="224"/>
      <c r="AC241" s="224"/>
    </row>
    <row r="242" spans="1:29" ht="15.75" customHeight="1">
      <c r="A242" s="405">
        <v>44776</v>
      </c>
      <c r="B242" s="401" t="s">
        <v>297</v>
      </c>
      <c r="C242" s="406">
        <v>3.5</v>
      </c>
      <c r="D242" s="401" t="s">
        <v>4570</v>
      </c>
      <c r="E242" s="407" t="s">
        <v>4</v>
      </c>
      <c r="F242" s="401" t="s">
        <v>602</v>
      </c>
      <c r="G242" s="401" t="s">
        <v>10185</v>
      </c>
      <c r="H242" s="401">
        <v>4</v>
      </c>
      <c r="I242" s="401" t="s">
        <v>1054</v>
      </c>
      <c r="J242" s="401" t="s">
        <v>4572</v>
      </c>
      <c r="K242" s="401">
        <v>3</v>
      </c>
      <c r="L242" s="401"/>
      <c r="M242" s="401"/>
      <c r="N242" s="401" t="s">
        <v>452</v>
      </c>
      <c r="O242" s="401" t="s">
        <v>10186</v>
      </c>
      <c r="P242" s="408"/>
      <c r="Q242" s="401" t="str">
        <f t="array" ref="Q242">INDEX(Notes!B:B,MATCH($B242,Notes!$A:$A,0))</f>
        <v>Revisit</v>
      </c>
      <c r="R242" s="401" t="s">
        <v>4574</v>
      </c>
      <c r="S242" s="401" t="str">
        <f ca="1">IFERROR(VLOOKUP(B242,'2022-2023 Third Reviews'!$C:$S,9,FALSE),"")</f>
        <v>Jason Yu
3</v>
      </c>
      <c r="T242" s="401" t="s">
        <v>13098</v>
      </c>
      <c r="U242" s="401" t="s">
        <v>24</v>
      </c>
      <c r="V242" s="306"/>
      <c r="W242" s="306"/>
      <c r="X242" s="306"/>
      <c r="Y242" s="306"/>
      <c r="Z242" s="306"/>
      <c r="AA242" s="306"/>
      <c r="AB242" s="306"/>
      <c r="AC242" s="306"/>
    </row>
    <row r="243" spans="1:29" ht="15.75" hidden="1" customHeight="1">
      <c r="A243" s="257">
        <v>44782</v>
      </c>
      <c r="B243" s="258" t="s">
        <v>70</v>
      </c>
      <c r="C243" s="249">
        <v>4</v>
      </c>
      <c r="D243" s="258" t="s">
        <v>2247</v>
      </c>
      <c r="E243" s="250" t="s">
        <v>5</v>
      </c>
      <c r="F243" s="258" t="s">
        <v>460</v>
      </c>
      <c r="G243" s="258" t="s">
        <v>2248</v>
      </c>
      <c r="H243" s="258">
        <v>4</v>
      </c>
      <c r="I243" s="258" t="s">
        <v>941</v>
      </c>
      <c r="J243" s="258"/>
      <c r="K243" s="258">
        <v>4</v>
      </c>
      <c r="L243" s="258"/>
      <c r="M243" s="258"/>
      <c r="N243" s="258" t="s">
        <v>452</v>
      </c>
      <c r="O243" s="258" t="s">
        <v>2249</v>
      </c>
      <c r="P243" s="258"/>
      <c r="Q243" s="258" t="s">
        <v>18</v>
      </c>
      <c r="R243" s="259" t="s">
        <v>2250</v>
      </c>
      <c r="S243" s="259"/>
      <c r="T243" s="259"/>
      <c r="U243" s="259"/>
      <c r="V243" s="258"/>
      <c r="W243" s="258"/>
      <c r="X243" s="258"/>
      <c r="Y243" s="258"/>
      <c r="Z243" s="258"/>
      <c r="AA243" s="258"/>
      <c r="AB243" s="258"/>
      <c r="AC243" s="258"/>
    </row>
    <row r="244" spans="1:29" ht="15.75" customHeight="1">
      <c r="A244" s="255">
        <v>44782</v>
      </c>
      <c r="B244" s="239" t="s">
        <v>299</v>
      </c>
      <c r="C244" s="249">
        <v>3.5</v>
      </c>
      <c r="D244" s="239" t="s">
        <v>4665</v>
      </c>
      <c r="E244" s="250" t="s">
        <v>4</v>
      </c>
      <c r="F244" s="239" t="s">
        <v>460</v>
      </c>
      <c r="G244" s="239" t="s">
        <v>4666</v>
      </c>
      <c r="H244" s="239">
        <v>4</v>
      </c>
      <c r="I244" s="239" t="s">
        <v>462</v>
      </c>
      <c r="J244" s="239"/>
      <c r="K244" s="239">
        <v>3</v>
      </c>
      <c r="L244" s="239" t="s">
        <v>478</v>
      </c>
      <c r="M244" s="239" t="s">
        <v>4667</v>
      </c>
      <c r="N244" s="239" t="s">
        <v>452</v>
      </c>
      <c r="O244" s="239" t="s">
        <v>452</v>
      </c>
      <c r="P244" s="239"/>
      <c r="Q244" s="239" t="s">
        <v>20</v>
      </c>
      <c r="R244" s="239" t="s">
        <v>4668</v>
      </c>
      <c r="S244" s="239" t="str">
        <f ca="1">IFERROR(VLOOKUP(B244,'2022-2023 Third Reviews'!$C:$S,9,FALSE),"")</f>
        <v>Jason Yu
4</v>
      </c>
      <c r="T244" s="239" t="s">
        <v>13087</v>
      </c>
      <c r="U244" s="239" t="s">
        <v>24</v>
      </c>
      <c r="V244" s="219"/>
      <c r="W244" s="219"/>
      <c r="X244" s="219"/>
      <c r="Y244" s="219"/>
      <c r="Z244" s="219"/>
      <c r="AA244" s="219"/>
      <c r="AB244" s="219"/>
      <c r="AC244" s="219"/>
    </row>
    <row r="245" spans="1:29" ht="15.75" customHeight="1">
      <c r="A245" s="253">
        <v>44791</v>
      </c>
      <c r="B245" s="224" t="s">
        <v>4518</v>
      </c>
      <c r="C245" s="316">
        <v>3.5</v>
      </c>
      <c r="D245" s="224" t="s">
        <v>4521</v>
      </c>
      <c r="E245" s="224" t="s">
        <v>4</v>
      </c>
      <c r="F245" s="224" t="s">
        <v>727</v>
      </c>
      <c r="G245" s="224" t="s">
        <v>11672</v>
      </c>
      <c r="H245" s="224"/>
      <c r="I245" s="224"/>
      <c r="J245" s="224"/>
      <c r="K245" s="224"/>
      <c r="L245" s="224"/>
      <c r="M245" s="224"/>
      <c r="N245" s="224"/>
      <c r="O245" s="224"/>
      <c r="P245" s="224"/>
      <c r="Q245" s="322" t="s">
        <v>24</v>
      </c>
      <c r="R245" s="224"/>
      <c r="S245" s="224" t="str">
        <f>IFERROR(VLOOKUP(B245,'2022-2023 Third Reviews'!$C:$S,9,FALSE),"")</f>
        <v/>
      </c>
      <c r="T245" s="224"/>
      <c r="U245" s="224"/>
      <c r="V245" s="306"/>
      <c r="W245" s="306"/>
      <c r="X245" s="306"/>
      <c r="Y245" s="306"/>
      <c r="Z245" s="306"/>
      <c r="AA245" s="306"/>
      <c r="AB245" s="306"/>
      <c r="AC245" s="306"/>
    </row>
    <row r="246" spans="1:29" ht="15.75" hidden="1" customHeight="1">
      <c r="A246" s="255">
        <v>44789</v>
      </c>
      <c r="B246" s="239" t="s">
        <v>10931</v>
      </c>
      <c r="C246" s="262">
        <v>3</v>
      </c>
      <c r="D246" s="239" t="s">
        <v>2256</v>
      </c>
      <c r="E246" s="239" t="s">
        <v>5</v>
      </c>
      <c r="F246" s="239" t="s">
        <v>447</v>
      </c>
      <c r="G246" s="239" t="s">
        <v>10932</v>
      </c>
      <c r="H246" s="239">
        <v>3</v>
      </c>
      <c r="I246" s="239" t="s">
        <v>622</v>
      </c>
      <c r="J246" s="239" t="s">
        <v>13400</v>
      </c>
      <c r="K246" s="239">
        <v>3</v>
      </c>
      <c r="L246" s="239" t="s">
        <v>451</v>
      </c>
      <c r="M246" s="239">
        <v>1000000</v>
      </c>
      <c r="N246" s="239" t="s">
        <v>452</v>
      </c>
      <c r="O246" s="239" t="s">
        <v>2259</v>
      </c>
      <c r="P246" s="239"/>
      <c r="Q246" s="239" t="s">
        <v>24</v>
      </c>
      <c r="R246" s="256" t="s">
        <v>2260</v>
      </c>
      <c r="S246" s="256"/>
      <c r="T246" s="256"/>
      <c r="U246" s="256"/>
      <c r="V246" s="239"/>
      <c r="W246" s="239"/>
      <c r="X246" s="239"/>
      <c r="Y246" s="239"/>
      <c r="Z246" s="239"/>
      <c r="AA246" s="239"/>
      <c r="AB246" s="239"/>
      <c r="AC246" s="239"/>
    </row>
    <row r="247" spans="1:29" ht="15.75" hidden="1" customHeight="1">
      <c r="A247" s="267">
        <v>44784</v>
      </c>
      <c r="B247" s="272" t="s">
        <v>9318</v>
      </c>
      <c r="C247" s="269">
        <v>1.25</v>
      </c>
      <c r="D247" s="272" t="s">
        <v>9321</v>
      </c>
      <c r="E247" s="270" t="s">
        <v>5</v>
      </c>
      <c r="F247" s="272" t="s">
        <v>447</v>
      </c>
      <c r="G247" s="272"/>
      <c r="H247" s="272">
        <v>1</v>
      </c>
      <c r="I247" s="272" t="s">
        <v>543</v>
      </c>
      <c r="J247" s="272" t="s">
        <v>10586</v>
      </c>
      <c r="K247" s="272">
        <v>1.5</v>
      </c>
      <c r="L247" s="272"/>
      <c r="M247" s="272"/>
      <c r="N247" s="272" t="s">
        <v>452</v>
      </c>
      <c r="O247" s="272" t="s">
        <v>974</v>
      </c>
      <c r="P247" s="272"/>
      <c r="Q247" s="272" t="s">
        <v>25</v>
      </c>
      <c r="R247" s="274" t="s">
        <v>9323</v>
      </c>
      <c r="S247" s="274"/>
      <c r="T247" s="274"/>
      <c r="U247" s="274"/>
      <c r="V247" s="272"/>
      <c r="W247" s="272"/>
      <c r="X247" s="272"/>
      <c r="Y247" s="272"/>
      <c r="Z247" s="272"/>
      <c r="AA247" s="224"/>
      <c r="AB247" s="224"/>
      <c r="AC247" s="224"/>
    </row>
    <row r="248" spans="1:29" ht="15.75" hidden="1" customHeight="1">
      <c r="A248" s="255">
        <v>44782</v>
      </c>
      <c r="B248" s="239" t="s">
        <v>2263</v>
      </c>
      <c r="C248" s="249">
        <v>3</v>
      </c>
      <c r="D248" s="239" t="s">
        <v>2266</v>
      </c>
      <c r="E248" s="250" t="s">
        <v>5</v>
      </c>
      <c r="F248" s="239" t="s">
        <v>460</v>
      </c>
      <c r="G248" s="239" t="s">
        <v>2267</v>
      </c>
      <c r="H248" s="239">
        <v>3</v>
      </c>
      <c r="I248" s="239" t="s">
        <v>1054</v>
      </c>
      <c r="J248" s="239" t="s">
        <v>2268</v>
      </c>
      <c r="K248" s="239">
        <v>3</v>
      </c>
      <c r="L248" s="239" t="s">
        <v>451</v>
      </c>
      <c r="M248" s="239">
        <v>1300000</v>
      </c>
      <c r="N248" s="239" t="s">
        <v>465</v>
      </c>
      <c r="O248" s="239" t="s">
        <v>2269</v>
      </c>
      <c r="P248" s="239"/>
      <c r="Q248" s="239" t="s">
        <v>24</v>
      </c>
      <c r="R248" s="256" t="s">
        <v>2270</v>
      </c>
      <c r="S248" s="256"/>
      <c r="T248" s="256"/>
      <c r="U248" s="256"/>
      <c r="V248" s="239"/>
      <c r="W248" s="239"/>
      <c r="X248" s="239"/>
      <c r="Y248" s="239"/>
      <c r="Z248" s="239"/>
      <c r="AA248" s="239"/>
      <c r="AB248" s="239"/>
      <c r="AC248" s="239"/>
    </row>
    <row r="249" spans="1:29" ht="15.75" customHeight="1">
      <c r="A249" s="257">
        <v>44796</v>
      </c>
      <c r="B249" s="258" t="s">
        <v>4526</v>
      </c>
      <c r="C249" s="263">
        <v>3.5</v>
      </c>
      <c r="D249" s="258" t="s">
        <v>4529</v>
      </c>
      <c r="E249" s="258" t="s">
        <v>4</v>
      </c>
      <c r="F249" s="258" t="s">
        <v>725</v>
      </c>
      <c r="G249" s="258" t="s">
        <v>11096</v>
      </c>
      <c r="H249" s="258">
        <v>2</v>
      </c>
      <c r="I249" s="258" t="s">
        <v>990</v>
      </c>
      <c r="J249" s="258" t="s">
        <v>4531</v>
      </c>
      <c r="K249" s="258">
        <v>5</v>
      </c>
      <c r="L249" s="258" t="s">
        <v>451</v>
      </c>
      <c r="M249" s="258">
        <v>1000000</v>
      </c>
      <c r="N249" s="258" t="s">
        <v>452</v>
      </c>
      <c r="O249" s="258" t="s">
        <v>4532</v>
      </c>
      <c r="P249" s="258"/>
      <c r="Q249" s="258" t="s">
        <v>24</v>
      </c>
      <c r="R249" s="258" t="s">
        <v>4533</v>
      </c>
      <c r="S249" s="258" t="str">
        <f>IFERROR(VLOOKUP(B249,'2022-2023 Third Reviews'!$C:$S,9,FALSE),"")</f>
        <v/>
      </c>
      <c r="T249" s="258"/>
      <c r="U249" s="258"/>
      <c r="V249" s="224"/>
      <c r="W249" s="224"/>
      <c r="X249" s="224"/>
      <c r="Y249" s="224"/>
      <c r="Z249" s="224"/>
      <c r="AA249" s="224"/>
      <c r="AB249" s="224"/>
      <c r="AC249" s="224"/>
    </row>
    <row r="250" spans="1:29" ht="15.75" customHeight="1">
      <c r="A250" s="248">
        <v>44796</v>
      </c>
      <c r="B250" s="219" t="s">
        <v>4535</v>
      </c>
      <c r="C250" s="315">
        <v>3.5</v>
      </c>
      <c r="D250" s="219" t="s">
        <v>4538</v>
      </c>
      <c r="E250" s="219" t="s">
        <v>4</v>
      </c>
      <c r="F250" s="219" t="s">
        <v>1457</v>
      </c>
      <c r="G250" s="219" t="s">
        <v>4539</v>
      </c>
      <c r="H250" s="219">
        <v>3</v>
      </c>
      <c r="I250" s="219" t="s">
        <v>990</v>
      </c>
      <c r="J250" s="219" t="s">
        <v>4540</v>
      </c>
      <c r="K250" s="219">
        <v>4</v>
      </c>
      <c r="L250" s="219" t="s">
        <v>784</v>
      </c>
      <c r="M250" s="310">
        <v>750000</v>
      </c>
      <c r="N250" s="219" t="s">
        <v>452</v>
      </c>
      <c r="O250" s="219" t="s">
        <v>4541</v>
      </c>
      <c r="P250" s="219"/>
      <c r="Q250" s="219" t="s">
        <v>24</v>
      </c>
      <c r="R250" s="219"/>
      <c r="S250" s="219" t="str">
        <f>IFERROR(VLOOKUP(B250,'2022-2023 Third Reviews'!$C:$S,9,FALSE),"")</f>
        <v/>
      </c>
      <c r="T250" s="219"/>
      <c r="U250" s="219"/>
      <c r="V250" s="219"/>
      <c r="W250" s="219"/>
      <c r="X250" s="219"/>
      <c r="Y250" s="219"/>
      <c r="Z250" s="219"/>
      <c r="AA250" s="219"/>
      <c r="AB250" s="219"/>
      <c r="AC250" s="219"/>
    </row>
    <row r="251" spans="1:29" ht="15.75" customHeight="1">
      <c r="A251" s="253">
        <v>44796</v>
      </c>
      <c r="B251" s="224" t="s">
        <v>4544</v>
      </c>
      <c r="C251" s="316">
        <v>3.5</v>
      </c>
      <c r="D251" s="224" t="s">
        <v>4547</v>
      </c>
      <c r="E251" s="224" t="s">
        <v>4</v>
      </c>
      <c r="F251" s="224" t="s">
        <v>447</v>
      </c>
      <c r="G251" s="224" t="s">
        <v>11196</v>
      </c>
      <c r="H251" s="224">
        <v>3</v>
      </c>
      <c r="I251" s="224" t="s">
        <v>990</v>
      </c>
      <c r="J251" s="224" t="s">
        <v>4549</v>
      </c>
      <c r="K251" s="224">
        <v>4</v>
      </c>
      <c r="L251" s="224"/>
      <c r="M251" s="224"/>
      <c r="N251" s="224" t="s">
        <v>452</v>
      </c>
      <c r="O251" s="224" t="s">
        <v>4550</v>
      </c>
      <c r="P251" s="224"/>
      <c r="Q251" s="224" t="s">
        <v>24</v>
      </c>
      <c r="R251" s="224"/>
      <c r="S251" s="224" t="str">
        <f>IFERROR(VLOOKUP(B251,'2022-2023 Third Reviews'!$C:$S,9,FALSE),"")</f>
        <v/>
      </c>
      <c r="T251" s="224"/>
      <c r="U251" s="224"/>
      <c r="V251" s="224"/>
      <c r="W251" s="224"/>
      <c r="X251" s="224"/>
      <c r="Y251" s="224"/>
      <c r="Z251" s="224"/>
      <c r="AA251" s="224"/>
      <c r="AB251" s="224"/>
      <c r="AC251" s="224"/>
    </row>
    <row r="252" spans="1:29" ht="15.75" customHeight="1">
      <c r="A252" s="248">
        <v>44796</v>
      </c>
      <c r="B252" s="219" t="s">
        <v>4553</v>
      </c>
      <c r="C252" s="315">
        <v>3.5</v>
      </c>
      <c r="D252" s="219" t="s">
        <v>4556</v>
      </c>
      <c r="E252" s="219" t="s">
        <v>4</v>
      </c>
      <c r="F252" s="219" t="s">
        <v>727</v>
      </c>
      <c r="G252" s="219" t="s">
        <v>10609</v>
      </c>
      <c r="H252" s="219">
        <v>3</v>
      </c>
      <c r="I252" s="219" t="s">
        <v>990</v>
      </c>
      <c r="J252" s="219" t="s">
        <v>4558</v>
      </c>
      <c r="K252" s="219">
        <v>4</v>
      </c>
      <c r="L252" s="219"/>
      <c r="M252" s="219"/>
      <c r="N252" s="219" t="s">
        <v>452</v>
      </c>
      <c r="O252" s="219" t="s">
        <v>4559</v>
      </c>
      <c r="P252" s="219" t="s">
        <v>2180</v>
      </c>
      <c r="Q252" s="219" t="s">
        <v>24</v>
      </c>
      <c r="R252" s="219"/>
      <c r="S252" s="219" t="str">
        <f>IFERROR(VLOOKUP(B252,'2022-2023 Third Reviews'!$C:$S,9,FALSE),"")</f>
        <v/>
      </c>
      <c r="T252" s="219"/>
      <c r="U252" s="219"/>
      <c r="V252" s="219"/>
      <c r="W252" s="219"/>
      <c r="X252" s="219"/>
      <c r="Y252" s="219"/>
      <c r="Z252" s="219"/>
      <c r="AA252" s="219"/>
      <c r="AB252" s="219"/>
      <c r="AC252" s="219"/>
    </row>
    <row r="253" spans="1:29" ht="15.75" hidden="1" customHeight="1">
      <c r="A253" s="220">
        <v>44776</v>
      </c>
      <c r="B253" s="221" t="s">
        <v>69</v>
      </c>
      <c r="C253" s="214">
        <v>5</v>
      </c>
      <c r="D253" s="221" t="s">
        <v>506</v>
      </c>
      <c r="E253" s="215" t="s">
        <v>5</v>
      </c>
      <c r="F253" s="221" t="s">
        <v>447</v>
      </c>
      <c r="G253" s="221"/>
      <c r="H253" s="221">
        <v>5</v>
      </c>
      <c r="I253" s="221" t="s">
        <v>449</v>
      </c>
      <c r="J253" s="221" t="e">
        <f>+Credible Team with strong academic links
+Sound business plan and roadmap that follows similar successful startups
+Have participated in other start up programs
+Have positive press and government recognition</f>
        <v>#NAME?</v>
      </c>
      <c r="K253" s="221">
        <v>5</v>
      </c>
      <c r="L253" s="221" t="s">
        <v>451</v>
      </c>
      <c r="M253" s="222">
        <v>3000000</v>
      </c>
      <c r="N253" s="221" t="s">
        <v>452</v>
      </c>
      <c r="O253" s="221" t="s">
        <v>508</v>
      </c>
      <c r="P253" s="145"/>
      <c r="Q253" s="221" t="str">
        <f t="array" ref="Q253">INDEX(Notes!B:B,MATCH($B253,Notes!$A:$A,0))</f>
        <v>Invite</v>
      </c>
      <c r="R253" s="223" t="str">
        <f t="array" ref="R253">INDEX(Notes!C:C,MATCH($B253,Notes!$A:$A,0))</f>
        <v>Missed similar company previously; good mission and partnerships in UK with affordable housing; strong room to grow</v>
      </c>
      <c r="S253" s="223"/>
      <c r="T253" s="223"/>
      <c r="U253" s="223"/>
      <c r="V253" s="218"/>
      <c r="W253" s="218"/>
      <c r="X253" s="218"/>
      <c r="Y253" s="224"/>
      <c r="Z253" s="224"/>
      <c r="AA253" s="224"/>
      <c r="AB253" s="224"/>
      <c r="AC253" s="224"/>
    </row>
    <row r="254" spans="1:29" ht="15.75" hidden="1" customHeight="1">
      <c r="A254" s="248">
        <v>44789</v>
      </c>
      <c r="B254" s="219" t="s">
        <v>2273</v>
      </c>
      <c r="C254" s="249">
        <v>3.25</v>
      </c>
      <c r="D254" s="219" t="s">
        <v>2276</v>
      </c>
      <c r="E254" s="250" t="s">
        <v>5</v>
      </c>
      <c r="F254" s="219" t="s">
        <v>447</v>
      </c>
      <c r="G254" s="219" t="s">
        <v>10237</v>
      </c>
      <c r="H254" s="219">
        <v>3</v>
      </c>
      <c r="I254" s="219" t="s">
        <v>543</v>
      </c>
      <c r="J254" s="219" t="s">
        <v>13400</v>
      </c>
      <c r="K254" s="219">
        <v>3.5</v>
      </c>
      <c r="L254" s="219" t="s">
        <v>784</v>
      </c>
      <c r="M254" s="219">
        <v>400000</v>
      </c>
      <c r="N254" s="219" t="s">
        <v>452</v>
      </c>
      <c r="O254" s="219" t="s">
        <v>10239</v>
      </c>
      <c r="P254" s="219" t="s">
        <v>1066</v>
      </c>
      <c r="Q254" s="219" t="s">
        <v>24</v>
      </c>
      <c r="R254" s="251"/>
      <c r="S254" s="251"/>
      <c r="T254" s="251"/>
      <c r="U254" s="251"/>
      <c r="V254" s="252"/>
      <c r="W254" s="252"/>
      <c r="X254" s="252"/>
      <c r="Y254" s="219"/>
      <c r="Z254" s="219"/>
      <c r="AA254" s="219"/>
      <c r="AB254" s="219"/>
      <c r="AC254" s="219"/>
    </row>
    <row r="255" spans="1:29" ht="15.75" customHeight="1">
      <c r="A255" s="398">
        <v>44784</v>
      </c>
      <c r="B255" s="272" t="s">
        <v>4561</v>
      </c>
      <c r="C255" s="269">
        <v>3.5</v>
      </c>
      <c r="D255" s="272" t="s">
        <v>4564</v>
      </c>
      <c r="E255" s="270" t="s">
        <v>4</v>
      </c>
      <c r="F255" s="272" t="s">
        <v>602</v>
      </c>
      <c r="G255" s="272" t="s">
        <v>4565</v>
      </c>
      <c r="H255" s="272">
        <v>4</v>
      </c>
      <c r="I255" s="272" t="s">
        <v>476</v>
      </c>
      <c r="J255" s="272" t="s">
        <v>13400</v>
      </c>
      <c r="K255" s="272">
        <v>3</v>
      </c>
      <c r="L255" s="272" t="s">
        <v>451</v>
      </c>
      <c r="M255" s="273">
        <v>1500000</v>
      </c>
      <c r="N255" s="272" t="s">
        <v>452</v>
      </c>
      <c r="O255" s="273" t="s">
        <v>1028</v>
      </c>
      <c r="P255" s="272"/>
      <c r="Q255" s="272" t="s">
        <v>24</v>
      </c>
      <c r="R255" s="272"/>
      <c r="S255" s="272" t="str">
        <f>IFERROR(VLOOKUP(B255,'2022-2023 Third Reviews'!$C:$S,9,FALSE),"")</f>
        <v/>
      </c>
      <c r="T255" s="272" t="s">
        <v>13248</v>
      </c>
      <c r="U255" s="272"/>
      <c r="V255" s="224"/>
      <c r="W255" s="224"/>
      <c r="X255" s="224"/>
      <c r="Y255" s="224"/>
      <c r="Z255" s="224"/>
      <c r="AA255" s="224"/>
      <c r="AB255" s="224"/>
      <c r="AC255" s="224"/>
    </row>
    <row r="256" spans="1:29" ht="15.75" customHeight="1">
      <c r="A256" s="248">
        <v>44789</v>
      </c>
      <c r="B256" s="219" t="s">
        <v>4576</v>
      </c>
      <c r="C256" s="249">
        <v>3.5</v>
      </c>
      <c r="D256" s="219" t="s">
        <v>10683</v>
      </c>
      <c r="E256" s="250" t="s">
        <v>4</v>
      </c>
      <c r="F256" s="219" t="s">
        <v>727</v>
      </c>
      <c r="G256" s="219" t="s">
        <v>10684</v>
      </c>
      <c r="H256" s="219">
        <v>4</v>
      </c>
      <c r="I256" s="219" t="s">
        <v>476</v>
      </c>
      <c r="J256" s="219" t="s">
        <v>10685</v>
      </c>
      <c r="K256" s="219">
        <v>3</v>
      </c>
      <c r="L256" s="219" t="s">
        <v>451</v>
      </c>
      <c r="M256" s="312">
        <v>3000000</v>
      </c>
      <c r="N256" s="219" t="s">
        <v>452</v>
      </c>
      <c r="O256" s="219" t="s">
        <v>10686</v>
      </c>
      <c r="P256" s="219"/>
      <c r="Q256" s="219" t="s">
        <v>24</v>
      </c>
      <c r="R256" s="219"/>
      <c r="S256" s="219" t="str">
        <f>IFERROR(VLOOKUP(B256,'2022-2023 Third Reviews'!$C:$S,9,FALSE),"")</f>
        <v/>
      </c>
      <c r="T256" s="219" t="s">
        <v>13242</v>
      </c>
      <c r="U256" s="219"/>
      <c r="V256" s="306"/>
      <c r="W256" s="306"/>
      <c r="X256" s="306"/>
      <c r="Y256" s="306"/>
      <c r="Z256" s="306"/>
      <c r="AA256" s="306"/>
      <c r="AB256" s="306"/>
      <c r="AC256" s="306"/>
    </row>
    <row r="257" spans="1:29" ht="15.75" hidden="1" customHeight="1">
      <c r="A257" s="253">
        <v>44789</v>
      </c>
      <c r="B257" s="224" t="s">
        <v>399</v>
      </c>
      <c r="C257" s="249">
        <v>4</v>
      </c>
      <c r="D257" s="224" t="s">
        <v>11189</v>
      </c>
      <c r="E257" s="250" t="s">
        <v>3</v>
      </c>
      <c r="F257" s="224" t="s">
        <v>460</v>
      </c>
      <c r="G257" s="224" t="s">
        <v>10108</v>
      </c>
      <c r="H257" s="224">
        <v>4</v>
      </c>
      <c r="I257" s="224" t="s">
        <v>462</v>
      </c>
      <c r="J257" s="224" t="s">
        <v>10109</v>
      </c>
      <c r="K257" s="224">
        <v>4</v>
      </c>
      <c r="L257" s="224" t="s">
        <v>478</v>
      </c>
      <c r="M257" s="307">
        <v>25000000</v>
      </c>
      <c r="N257" s="224" t="s">
        <v>452</v>
      </c>
      <c r="O257" s="224" t="s">
        <v>11190</v>
      </c>
      <c r="P257" s="224"/>
      <c r="Q257" s="224" t="s">
        <v>18</v>
      </c>
      <c r="R257" s="254"/>
      <c r="S257" s="254"/>
      <c r="T257" s="254"/>
      <c r="U257" s="254"/>
      <c r="V257" s="252"/>
      <c r="W257" s="252"/>
      <c r="X257" s="252"/>
      <c r="Y257" s="224"/>
      <c r="Z257" s="224"/>
      <c r="AA257" s="224"/>
      <c r="AB257" s="224"/>
      <c r="AC257" s="224"/>
    </row>
    <row r="258" spans="1:29" ht="15.75" hidden="1" customHeight="1">
      <c r="A258" s="248">
        <v>44791</v>
      </c>
      <c r="B258" s="219" t="s">
        <v>8414</v>
      </c>
      <c r="C258" s="315">
        <v>2</v>
      </c>
      <c r="D258" s="219" t="s">
        <v>8417</v>
      </c>
      <c r="E258" s="219" t="s">
        <v>3</v>
      </c>
      <c r="F258" s="219" t="s">
        <v>460</v>
      </c>
      <c r="G258" s="219" t="s">
        <v>8418</v>
      </c>
      <c r="H258" s="219">
        <v>2</v>
      </c>
      <c r="I258" s="219" t="s">
        <v>941</v>
      </c>
      <c r="J258" s="219"/>
      <c r="K258" s="219">
        <v>2</v>
      </c>
      <c r="L258" s="219"/>
      <c r="M258" s="219"/>
      <c r="N258" s="219" t="s">
        <v>452</v>
      </c>
      <c r="O258" s="219" t="s">
        <v>8419</v>
      </c>
      <c r="P258" s="219"/>
      <c r="Q258" s="322" t="s">
        <v>24</v>
      </c>
      <c r="R258" s="251"/>
      <c r="S258" s="251"/>
      <c r="T258" s="251"/>
      <c r="U258" s="251"/>
      <c r="V258" s="219"/>
      <c r="W258" s="219"/>
      <c r="X258" s="219"/>
      <c r="Y258" s="219"/>
      <c r="Z258" s="219"/>
      <c r="AA258" s="219"/>
      <c r="AB258" s="219"/>
      <c r="AC258" s="219"/>
    </row>
    <row r="259" spans="1:29" ht="15.75" customHeight="1">
      <c r="A259" s="253">
        <v>44797</v>
      </c>
      <c r="B259" s="224" t="s">
        <v>4585</v>
      </c>
      <c r="C259" s="316">
        <v>3.5</v>
      </c>
      <c r="D259" s="224" t="s">
        <v>4588</v>
      </c>
      <c r="E259" s="224" t="s">
        <v>4</v>
      </c>
      <c r="F259" s="224" t="s">
        <v>602</v>
      </c>
      <c r="G259" s="224" t="s">
        <v>4589</v>
      </c>
      <c r="H259" s="224">
        <v>2</v>
      </c>
      <c r="I259" s="224" t="s">
        <v>1073</v>
      </c>
      <c r="J259" s="224" t="s">
        <v>4590</v>
      </c>
      <c r="K259" s="224">
        <v>5</v>
      </c>
      <c r="L259" s="224" t="s">
        <v>784</v>
      </c>
      <c r="M259" s="224">
        <v>500000</v>
      </c>
      <c r="N259" s="224" t="s">
        <v>452</v>
      </c>
      <c r="O259" s="224" t="s">
        <v>4591</v>
      </c>
      <c r="P259" s="224"/>
      <c r="Q259" s="224" t="s">
        <v>24</v>
      </c>
      <c r="R259" s="224"/>
      <c r="S259" s="224" t="str">
        <f>IFERROR(VLOOKUP(B259,'2022-2023 Third Reviews'!$C:$S,9,FALSE),"")</f>
        <v/>
      </c>
      <c r="T259" s="224"/>
      <c r="U259" s="224"/>
      <c r="V259" s="224"/>
      <c r="W259" s="224"/>
      <c r="X259" s="224"/>
      <c r="Y259" s="224"/>
      <c r="Z259" s="224"/>
      <c r="AA259" s="224"/>
      <c r="AB259" s="224"/>
      <c r="AC259" s="224"/>
    </row>
    <row r="260" spans="1:29" ht="15.75" hidden="1" customHeight="1">
      <c r="A260" s="248">
        <v>44789</v>
      </c>
      <c r="B260" s="219" t="s">
        <v>2282</v>
      </c>
      <c r="C260" s="249">
        <v>2</v>
      </c>
      <c r="D260" s="219" t="s">
        <v>2285</v>
      </c>
      <c r="E260" s="250" t="s">
        <v>5</v>
      </c>
      <c r="F260" s="219" t="s">
        <v>447</v>
      </c>
      <c r="G260" s="219" t="s">
        <v>11032</v>
      </c>
      <c r="H260" s="219">
        <v>2</v>
      </c>
      <c r="I260" s="219" t="s">
        <v>543</v>
      </c>
      <c r="J260" s="219" t="s">
        <v>11033</v>
      </c>
      <c r="K260" s="219">
        <v>2</v>
      </c>
      <c r="L260" s="219" t="s">
        <v>784</v>
      </c>
      <c r="M260" s="219">
        <v>2000000</v>
      </c>
      <c r="N260" s="219" t="s">
        <v>452</v>
      </c>
      <c r="O260" s="219" t="s">
        <v>2288</v>
      </c>
      <c r="P260" s="219"/>
      <c r="Q260" s="219" t="s">
        <v>24</v>
      </c>
      <c r="R260" s="251"/>
      <c r="S260" s="251"/>
      <c r="T260" s="251"/>
      <c r="U260" s="251"/>
      <c r="V260" s="252"/>
      <c r="W260" s="252"/>
      <c r="X260" s="252"/>
      <c r="Y260" s="219"/>
      <c r="Z260" s="219"/>
      <c r="AA260" s="219"/>
      <c r="AB260" s="219"/>
      <c r="AC260" s="219"/>
    </row>
    <row r="261" spans="1:29" ht="15.75" hidden="1" customHeight="1">
      <c r="A261" s="253">
        <v>44791</v>
      </c>
      <c r="B261" s="224" t="s">
        <v>2291</v>
      </c>
      <c r="C261" s="316">
        <v>3</v>
      </c>
      <c r="D261" s="224" t="s">
        <v>2294</v>
      </c>
      <c r="E261" s="224" t="s">
        <v>5</v>
      </c>
      <c r="F261" s="224" t="s">
        <v>447</v>
      </c>
      <c r="G261" s="224" t="s">
        <v>10983</v>
      </c>
      <c r="H261" s="224">
        <v>2.5</v>
      </c>
      <c r="I261" s="224" t="s">
        <v>449</v>
      </c>
      <c r="J261" s="224" t="s">
        <v>11689</v>
      </c>
      <c r="K261" s="224">
        <v>3.5</v>
      </c>
      <c r="L261" s="224" t="s">
        <v>784</v>
      </c>
      <c r="M261" s="307">
        <v>75000</v>
      </c>
      <c r="N261" s="224" t="s">
        <v>465</v>
      </c>
      <c r="O261" s="224" t="s">
        <v>2297</v>
      </c>
      <c r="P261" s="224" t="s">
        <v>2298</v>
      </c>
      <c r="Q261" s="322" t="s">
        <v>24</v>
      </c>
      <c r="R261" s="254"/>
      <c r="S261" s="254"/>
      <c r="T261" s="254"/>
      <c r="U261" s="254"/>
      <c r="V261" s="224"/>
      <c r="W261" s="224"/>
      <c r="X261" s="224"/>
      <c r="Y261" s="224"/>
      <c r="Z261" s="224"/>
      <c r="AA261" s="224"/>
      <c r="AB261" s="224"/>
      <c r="AC261" s="224"/>
    </row>
    <row r="262" spans="1:29" ht="15.75" hidden="1" customHeight="1">
      <c r="A262" s="541">
        <v>44796</v>
      </c>
      <c r="B262" s="306" t="s">
        <v>296</v>
      </c>
      <c r="C262" s="542"/>
      <c r="D262" s="306" t="s">
        <v>1662</v>
      </c>
      <c r="E262" s="306" t="s">
        <v>3</v>
      </c>
      <c r="F262" s="306" t="s">
        <v>488</v>
      </c>
      <c r="G262" s="306" t="s">
        <v>11250</v>
      </c>
      <c r="H262" s="306">
        <v>3.99</v>
      </c>
      <c r="I262" s="306" t="s">
        <v>941</v>
      </c>
      <c r="J262" s="306"/>
      <c r="K262" s="306"/>
      <c r="L262" s="306"/>
      <c r="M262" s="544"/>
      <c r="N262" s="306" t="s">
        <v>452</v>
      </c>
      <c r="O262" s="306" t="s">
        <v>452</v>
      </c>
      <c r="P262" s="306" t="s">
        <v>1665</v>
      </c>
      <c r="Q262" s="306"/>
      <c r="R262" s="543"/>
      <c r="S262" s="543"/>
      <c r="T262" s="543"/>
      <c r="U262" s="543"/>
      <c r="V262" s="219"/>
      <c r="W262" s="219"/>
      <c r="X262" s="219"/>
      <c r="Y262" s="219"/>
      <c r="Z262" s="219"/>
      <c r="AA262" s="219"/>
      <c r="AB262" s="219"/>
      <c r="AC262" s="219"/>
    </row>
    <row r="263" spans="1:29" ht="15.75" hidden="1" customHeight="1">
      <c r="A263" s="257">
        <v>44796</v>
      </c>
      <c r="B263" s="258" t="s">
        <v>296</v>
      </c>
      <c r="C263" s="263">
        <v>4</v>
      </c>
      <c r="D263" s="258" t="s">
        <v>1662</v>
      </c>
      <c r="E263" s="258" t="s">
        <v>3</v>
      </c>
      <c r="F263" s="258" t="s">
        <v>488</v>
      </c>
      <c r="G263" s="258" t="s">
        <v>11250</v>
      </c>
      <c r="H263" s="258">
        <v>3.99</v>
      </c>
      <c r="I263" s="258" t="s">
        <v>941</v>
      </c>
      <c r="J263" s="258" t="s">
        <v>1664</v>
      </c>
      <c r="K263" s="258">
        <v>4</v>
      </c>
      <c r="L263" s="258"/>
      <c r="M263" s="258"/>
      <c r="N263" s="258" t="s">
        <v>452</v>
      </c>
      <c r="O263" s="258" t="s">
        <v>452</v>
      </c>
      <c r="P263" s="258" t="s">
        <v>1665</v>
      </c>
      <c r="Q263" s="258" t="s">
        <v>20</v>
      </c>
      <c r="R263" s="259" t="s">
        <v>11714</v>
      </c>
      <c r="S263" s="259"/>
      <c r="T263" s="259"/>
      <c r="U263" s="259"/>
      <c r="V263" s="258"/>
      <c r="W263" s="258"/>
      <c r="X263" s="258"/>
      <c r="Y263" s="258"/>
      <c r="Z263" s="258"/>
      <c r="AA263" s="258"/>
      <c r="AB263" s="258"/>
      <c r="AC263" s="258"/>
    </row>
    <row r="264" spans="1:29" ht="15.75" hidden="1" customHeight="1">
      <c r="A264" s="212">
        <v>44776</v>
      </c>
      <c r="B264" s="213" t="s">
        <v>71</v>
      </c>
      <c r="C264" s="214">
        <v>4</v>
      </c>
      <c r="D264" s="213" t="s">
        <v>11450</v>
      </c>
      <c r="E264" s="215" t="s">
        <v>5</v>
      </c>
      <c r="F264" s="213" t="s">
        <v>447</v>
      </c>
      <c r="G264" s="213" t="s">
        <v>515</v>
      </c>
      <c r="H264" s="213">
        <v>4</v>
      </c>
      <c r="I264" s="213" t="s">
        <v>476</v>
      </c>
      <c r="J264" s="213" t="s">
        <v>11451</v>
      </c>
      <c r="K264" s="213">
        <v>4</v>
      </c>
      <c r="L264" s="213"/>
      <c r="M264" s="213"/>
      <c r="N264" s="213" t="s">
        <v>452</v>
      </c>
      <c r="O264" s="213" t="s">
        <v>452</v>
      </c>
      <c r="P264" s="143"/>
      <c r="Q264" s="213" t="s">
        <v>18</v>
      </c>
      <c r="R264" s="226">
        <f t="array" ref="R264">INDEX(Notes!C:C,MATCH($B264,Notes!$A:$A,0))</f>
        <v>0</v>
      </c>
      <c r="S264" s="226"/>
      <c r="T264" s="226"/>
      <c r="U264" s="226"/>
      <c r="V264" s="218"/>
      <c r="W264" s="218"/>
      <c r="X264" s="218"/>
      <c r="Y264" s="219"/>
      <c r="Z264" s="219"/>
      <c r="AA264" s="219"/>
      <c r="AB264" s="219"/>
      <c r="AC264" s="219"/>
    </row>
    <row r="265" spans="1:29" ht="15.75" customHeight="1">
      <c r="A265" s="253">
        <v>44797</v>
      </c>
      <c r="B265" s="224" t="s">
        <v>4593</v>
      </c>
      <c r="C265" s="316">
        <v>3.5</v>
      </c>
      <c r="D265" s="224" t="s">
        <v>4596</v>
      </c>
      <c r="E265" s="224" t="s">
        <v>4</v>
      </c>
      <c r="F265" s="224" t="s">
        <v>447</v>
      </c>
      <c r="G265" s="224" t="s">
        <v>11748</v>
      </c>
      <c r="H265" s="224">
        <v>3</v>
      </c>
      <c r="I265" s="224" t="s">
        <v>1073</v>
      </c>
      <c r="J265" s="224" t="s">
        <v>4598</v>
      </c>
      <c r="K265" s="224">
        <v>4</v>
      </c>
      <c r="L265" s="224"/>
      <c r="M265" s="224"/>
      <c r="N265" s="224" t="s">
        <v>452</v>
      </c>
      <c r="O265" s="224" t="s">
        <v>1119</v>
      </c>
      <c r="P265" s="224"/>
      <c r="Q265" s="224" t="s">
        <v>24</v>
      </c>
      <c r="R265" s="224"/>
      <c r="S265" s="224" t="str">
        <f>IFERROR(VLOOKUP(B265,'2022-2023 Third Reviews'!$C:$S,9,FALSE),"")</f>
        <v/>
      </c>
      <c r="T265" s="224"/>
      <c r="U265" s="224"/>
      <c r="V265" s="224"/>
      <c r="W265" s="224"/>
      <c r="X265" s="224"/>
      <c r="Y265" s="224"/>
      <c r="Z265" s="224"/>
      <c r="AA265" s="224"/>
      <c r="AB265" s="224"/>
      <c r="AC265" s="224"/>
    </row>
    <row r="266" spans="1:29" ht="15.75" hidden="1" customHeight="1">
      <c r="A266" s="248">
        <v>44782</v>
      </c>
      <c r="B266" s="219" t="s">
        <v>2301</v>
      </c>
      <c r="C266" s="249">
        <v>3.25</v>
      </c>
      <c r="D266" s="219" t="s">
        <v>10482</v>
      </c>
      <c r="E266" s="250" t="s">
        <v>5</v>
      </c>
      <c r="F266" s="219" t="s">
        <v>447</v>
      </c>
      <c r="G266" s="219" t="s">
        <v>10483</v>
      </c>
      <c r="H266" s="219">
        <v>3</v>
      </c>
      <c r="I266" s="219" t="s">
        <v>543</v>
      </c>
      <c r="J266" s="219"/>
      <c r="K266" s="219">
        <v>3.5</v>
      </c>
      <c r="L266" s="219" t="s">
        <v>451</v>
      </c>
      <c r="M266" s="219" t="s">
        <v>2306</v>
      </c>
      <c r="N266" s="219" t="s">
        <v>452</v>
      </c>
      <c r="O266" s="219" t="s">
        <v>575</v>
      </c>
      <c r="P266" s="219"/>
      <c r="Q266" s="219" t="s">
        <v>24</v>
      </c>
      <c r="R266" s="251"/>
      <c r="S266" s="251"/>
      <c r="T266" s="251"/>
      <c r="U266" s="251"/>
      <c r="V266" s="252"/>
      <c r="W266" s="252"/>
      <c r="X266" s="252"/>
      <c r="Y266" s="219"/>
      <c r="Z266" s="219"/>
      <c r="AA266" s="219"/>
      <c r="AB266" s="219"/>
      <c r="AC266" s="219"/>
    </row>
    <row r="267" spans="1:29" ht="15.75" hidden="1" customHeight="1">
      <c r="A267" s="253">
        <v>44782</v>
      </c>
      <c r="B267" s="224" t="s">
        <v>2309</v>
      </c>
      <c r="C267" s="249">
        <v>1.5</v>
      </c>
      <c r="D267" s="224" t="s">
        <v>2312</v>
      </c>
      <c r="E267" s="250" t="s">
        <v>5</v>
      </c>
      <c r="F267" s="224" t="s">
        <v>447</v>
      </c>
      <c r="G267" s="224" t="s">
        <v>10299</v>
      </c>
      <c r="H267" s="224">
        <v>1</v>
      </c>
      <c r="I267" s="224" t="s">
        <v>543</v>
      </c>
      <c r="J267" s="224" t="s">
        <v>13400</v>
      </c>
      <c r="K267" s="224">
        <v>2</v>
      </c>
      <c r="L267" s="224" t="s">
        <v>451</v>
      </c>
      <c r="M267" s="224">
        <v>1000000</v>
      </c>
      <c r="N267" s="224" t="s">
        <v>465</v>
      </c>
      <c r="O267" s="224" t="s">
        <v>2315</v>
      </c>
      <c r="P267" s="224"/>
      <c r="Q267" s="224" t="s">
        <v>24</v>
      </c>
      <c r="R267" s="254"/>
      <c r="S267" s="254"/>
      <c r="T267" s="254"/>
      <c r="U267" s="254"/>
      <c r="V267" s="252"/>
      <c r="W267" s="252"/>
      <c r="X267" s="252"/>
      <c r="Y267" s="224"/>
      <c r="Z267" s="224"/>
      <c r="AA267" s="224"/>
      <c r="AB267" s="224"/>
      <c r="AC267" s="224"/>
    </row>
    <row r="268" spans="1:29" ht="15.75" hidden="1" customHeight="1">
      <c r="A268" s="227">
        <v>44776</v>
      </c>
      <c r="B268" s="228" t="s">
        <v>73</v>
      </c>
      <c r="C268" s="240">
        <v>4</v>
      </c>
      <c r="D268" s="228" t="s">
        <v>9466</v>
      </c>
      <c r="E268" s="215" t="s">
        <v>5</v>
      </c>
      <c r="F268" s="228" t="s">
        <v>447</v>
      </c>
      <c r="G268" s="228"/>
      <c r="H268" s="228">
        <v>4</v>
      </c>
      <c r="I268" s="228" t="s">
        <v>543</v>
      </c>
      <c r="J268" s="228" t="s">
        <v>11511</v>
      </c>
      <c r="K268" s="228">
        <v>4</v>
      </c>
      <c r="L268" s="228"/>
      <c r="M268" s="228"/>
      <c r="N268" s="228" t="s">
        <v>452</v>
      </c>
      <c r="O268" s="228" t="s">
        <v>452</v>
      </c>
      <c r="P268" s="230"/>
      <c r="Q268" s="228" t="s">
        <v>20</v>
      </c>
      <c r="R268" s="231" t="s">
        <v>9468</v>
      </c>
      <c r="S268" s="231"/>
      <c r="T268" s="231"/>
      <c r="U268" s="231"/>
      <c r="V268" s="228"/>
      <c r="W268" s="228"/>
      <c r="X268" s="228"/>
      <c r="Y268" s="219"/>
      <c r="Z268" s="219"/>
      <c r="AA268" s="219"/>
      <c r="AB268" s="219"/>
      <c r="AC268" s="219"/>
    </row>
    <row r="269" spans="1:29" ht="15.75" customHeight="1">
      <c r="A269" s="253">
        <v>44796</v>
      </c>
      <c r="B269" s="224" t="s">
        <v>4601</v>
      </c>
      <c r="C269" s="316">
        <v>3.5</v>
      </c>
      <c r="D269" s="224" t="s">
        <v>4604</v>
      </c>
      <c r="E269" s="224" t="s">
        <v>4</v>
      </c>
      <c r="F269" s="224" t="s">
        <v>727</v>
      </c>
      <c r="G269" s="224" t="s">
        <v>10493</v>
      </c>
      <c r="H269" s="224">
        <v>4</v>
      </c>
      <c r="I269" s="224" t="s">
        <v>604</v>
      </c>
      <c r="J269" s="224" t="s">
        <v>10494</v>
      </c>
      <c r="K269" s="224">
        <v>3</v>
      </c>
      <c r="L269" s="224" t="s">
        <v>923</v>
      </c>
      <c r="M269" s="224">
        <v>1500000</v>
      </c>
      <c r="N269" s="224" t="s">
        <v>452</v>
      </c>
      <c r="O269" s="224" t="s">
        <v>10495</v>
      </c>
      <c r="P269" s="224"/>
      <c r="Q269" s="224" t="s">
        <v>24</v>
      </c>
      <c r="R269" s="224"/>
      <c r="S269" s="224" t="str">
        <f>IFERROR(VLOOKUP(B269,'2022-2023 Third Reviews'!$C:$S,9,FALSE),"")</f>
        <v/>
      </c>
      <c r="T269" s="224"/>
      <c r="U269" s="224"/>
      <c r="V269" s="272"/>
      <c r="W269" s="272"/>
      <c r="X269" s="272"/>
      <c r="Y269" s="272"/>
      <c r="Z269" s="272"/>
      <c r="AA269" s="224"/>
      <c r="AB269" s="224"/>
      <c r="AC269" s="224"/>
    </row>
    <row r="270" spans="1:29" ht="15.75" customHeight="1">
      <c r="A270" s="248">
        <v>44797</v>
      </c>
      <c r="B270" s="219" t="s">
        <v>4610</v>
      </c>
      <c r="C270" s="315">
        <v>3.5</v>
      </c>
      <c r="D270" s="219" t="s">
        <v>4613</v>
      </c>
      <c r="E270" s="219" t="s">
        <v>4</v>
      </c>
      <c r="F270" s="219" t="s">
        <v>1045</v>
      </c>
      <c r="G270" s="219" t="s">
        <v>4614</v>
      </c>
      <c r="H270" s="219">
        <v>3</v>
      </c>
      <c r="I270" s="219" t="s">
        <v>604</v>
      </c>
      <c r="J270" s="219" t="s">
        <v>11154</v>
      </c>
      <c r="K270" s="219">
        <v>4</v>
      </c>
      <c r="L270" s="219" t="s">
        <v>784</v>
      </c>
      <c r="M270" s="310">
        <v>750000</v>
      </c>
      <c r="N270" s="219" t="s">
        <v>454</v>
      </c>
      <c r="O270" s="219" t="s">
        <v>4616</v>
      </c>
      <c r="P270" s="219"/>
      <c r="Q270" s="219" t="s">
        <v>24</v>
      </c>
      <c r="R270" s="219"/>
      <c r="S270" s="219" t="str">
        <f>IFERROR(VLOOKUP(B270,'2022-2023 Third Reviews'!$C:$S,9,FALSE),"")</f>
        <v/>
      </c>
      <c r="T270" s="219"/>
      <c r="U270" s="219"/>
      <c r="V270" s="219"/>
      <c r="W270" s="219"/>
      <c r="X270" s="219"/>
      <c r="Y270" s="219"/>
      <c r="Z270" s="219"/>
      <c r="AA270" s="219"/>
      <c r="AB270" s="219"/>
      <c r="AC270" s="219"/>
    </row>
    <row r="271" spans="1:29" ht="15.75" customHeight="1">
      <c r="A271" s="253">
        <v>44796</v>
      </c>
      <c r="B271" s="224" t="s">
        <v>4619</v>
      </c>
      <c r="C271" s="316">
        <v>3.5</v>
      </c>
      <c r="D271" s="224" t="s">
        <v>4622</v>
      </c>
      <c r="E271" s="224" t="s">
        <v>4</v>
      </c>
      <c r="F271" s="224" t="s">
        <v>1457</v>
      </c>
      <c r="G271" s="224" t="s">
        <v>10785</v>
      </c>
      <c r="H271" s="224">
        <v>3</v>
      </c>
      <c r="I271" s="224" t="s">
        <v>604</v>
      </c>
      <c r="J271" s="224" t="s">
        <v>10786</v>
      </c>
      <c r="K271" s="224">
        <v>4</v>
      </c>
      <c r="L271" s="224" t="s">
        <v>478</v>
      </c>
      <c r="M271" s="224">
        <v>5000000</v>
      </c>
      <c r="N271" s="224" t="s">
        <v>465</v>
      </c>
      <c r="O271" s="224" t="s">
        <v>4625</v>
      </c>
      <c r="P271" s="224"/>
      <c r="Q271" s="224" t="s">
        <v>24</v>
      </c>
      <c r="R271" s="224"/>
      <c r="S271" s="224" t="str">
        <f>IFERROR(VLOOKUP(B271,'2022-2023 Third Reviews'!$C:$S,9,FALSE),"")</f>
        <v/>
      </c>
      <c r="T271" s="224"/>
      <c r="U271" s="224"/>
      <c r="V271" s="224"/>
      <c r="W271" s="224"/>
      <c r="X271" s="224"/>
      <c r="Y271" s="224"/>
      <c r="Z271" s="224"/>
      <c r="AA271" s="224"/>
      <c r="AB271" s="224"/>
      <c r="AC271" s="224"/>
    </row>
    <row r="272" spans="1:29" ht="15.75" customHeight="1">
      <c r="A272" s="248">
        <v>44797</v>
      </c>
      <c r="B272" s="219" t="s">
        <v>4628</v>
      </c>
      <c r="C272" s="315">
        <v>3.5</v>
      </c>
      <c r="D272" s="219" t="s">
        <v>4631</v>
      </c>
      <c r="E272" s="219" t="s">
        <v>4</v>
      </c>
      <c r="F272" s="219" t="s">
        <v>447</v>
      </c>
      <c r="G272" s="219" t="s">
        <v>11257</v>
      </c>
      <c r="H272" s="219">
        <v>4</v>
      </c>
      <c r="I272" s="219" t="s">
        <v>604</v>
      </c>
      <c r="J272" s="219" t="s">
        <v>4633</v>
      </c>
      <c r="K272" s="219">
        <v>3</v>
      </c>
      <c r="L272" s="219" t="s">
        <v>2190</v>
      </c>
      <c r="M272" s="219">
        <v>1000000</v>
      </c>
      <c r="N272" s="219" t="s">
        <v>465</v>
      </c>
      <c r="O272" s="219"/>
      <c r="P272" s="219" t="s">
        <v>4634</v>
      </c>
      <c r="Q272" s="219" t="s">
        <v>24</v>
      </c>
      <c r="R272" s="219"/>
      <c r="S272" s="219" t="str">
        <f>IFERROR(VLOOKUP(B272,'2022-2023 Third Reviews'!$C:$S,9,FALSE),"")</f>
        <v/>
      </c>
      <c r="T272" s="219"/>
      <c r="U272" s="219"/>
      <c r="V272" s="219"/>
      <c r="W272" s="219"/>
      <c r="X272" s="219"/>
      <c r="Y272" s="219"/>
      <c r="Z272" s="219"/>
      <c r="AA272" s="219"/>
      <c r="AB272" s="219"/>
      <c r="AC272" s="219"/>
    </row>
    <row r="273" spans="1:29" ht="15.75" customHeight="1">
      <c r="A273" s="253">
        <v>44789</v>
      </c>
      <c r="B273" s="224" t="s">
        <v>4637</v>
      </c>
      <c r="C273" s="249">
        <v>3.5</v>
      </c>
      <c r="D273" s="224" t="s">
        <v>4640</v>
      </c>
      <c r="E273" s="250" t="s">
        <v>4</v>
      </c>
      <c r="F273" s="224" t="s">
        <v>602</v>
      </c>
      <c r="G273" s="224" t="s">
        <v>4641</v>
      </c>
      <c r="H273" s="224">
        <v>4</v>
      </c>
      <c r="I273" s="224" t="s">
        <v>476</v>
      </c>
      <c r="J273" s="224" t="s">
        <v>13400</v>
      </c>
      <c r="K273" s="224">
        <v>3</v>
      </c>
      <c r="L273" s="224"/>
      <c r="M273" s="311"/>
      <c r="N273" s="224" t="s">
        <v>465</v>
      </c>
      <c r="O273" s="224" t="s">
        <v>4643</v>
      </c>
      <c r="P273" s="224"/>
      <c r="Q273" s="224" t="s">
        <v>24</v>
      </c>
      <c r="R273" s="224"/>
      <c r="S273" s="224" t="str">
        <f>IFERROR(VLOOKUP(B273,'2022-2023 Third Reviews'!$C:$S,9,FALSE),"")</f>
        <v/>
      </c>
      <c r="T273" s="224" t="s">
        <v>13081</v>
      </c>
      <c r="U273" s="224"/>
      <c r="V273" s="224"/>
      <c r="W273" s="224"/>
      <c r="X273" s="224"/>
      <c r="Y273" s="224"/>
      <c r="Z273" s="224"/>
      <c r="AA273" s="224"/>
      <c r="AB273" s="224"/>
      <c r="AC273" s="224"/>
    </row>
    <row r="274" spans="1:29" ht="15.75" customHeight="1">
      <c r="A274" s="248">
        <v>44797</v>
      </c>
      <c r="B274" s="219" t="s">
        <v>4645</v>
      </c>
      <c r="C274" s="315">
        <v>3.5</v>
      </c>
      <c r="D274" s="219" t="s">
        <v>4648</v>
      </c>
      <c r="E274" s="219" t="s">
        <v>4</v>
      </c>
      <c r="F274" s="219" t="s">
        <v>447</v>
      </c>
      <c r="G274" s="219" t="s">
        <v>11303</v>
      </c>
      <c r="H274" s="219">
        <v>3</v>
      </c>
      <c r="I274" s="219" t="s">
        <v>604</v>
      </c>
      <c r="J274" s="219" t="s">
        <v>11304</v>
      </c>
      <c r="K274" s="219">
        <v>4</v>
      </c>
      <c r="L274" s="219" t="s">
        <v>1656</v>
      </c>
      <c r="M274" s="219">
        <v>3000000</v>
      </c>
      <c r="N274" s="219" t="s">
        <v>452</v>
      </c>
      <c r="O274" s="219" t="s">
        <v>4651</v>
      </c>
      <c r="P274" s="219"/>
      <c r="Q274" s="219" t="s">
        <v>24</v>
      </c>
      <c r="R274" s="219"/>
      <c r="S274" s="219" t="str">
        <f>IFERROR(VLOOKUP(B274,'2022-2023 Third Reviews'!$C:$S,9,FALSE),"")</f>
        <v/>
      </c>
      <c r="T274" s="219"/>
      <c r="U274" s="219"/>
      <c r="V274" s="306"/>
      <c r="W274" s="306"/>
      <c r="X274" s="306"/>
      <c r="Y274" s="306"/>
      <c r="Z274" s="306"/>
      <c r="AA274" s="306"/>
      <c r="AB274" s="306"/>
      <c r="AC274" s="306"/>
    </row>
    <row r="275" spans="1:29" ht="15.75" customHeight="1">
      <c r="A275" s="253">
        <v>44796</v>
      </c>
      <c r="B275" s="224" t="s">
        <v>4654</v>
      </c>
      <c r="C275" s="316">
        <v>3.5</v>
      </c>
      <c r="D275" s="224" t="s">
        <v>4657</v>
      </c>
      <c r="E275" s="224" t="s">
        <v>4</v>
      </c>
      <c r="F275" s="224" t="s">
        <v>727</v>
      </c>
      <c r="G275" s="224" t="s">
        <v>4658</v>
      </c>
      <c r="H275" s="224">
        <v>3</v>
      </c>
      <c r="I275" s="224" t="s">
        <v>1187</v>
      </c>
      <c r="J275" s="224" t="s">
        <v>4659</v>
      </c>
      <c r="K275" s="224">
        <v>4</v>
      </c>
      <c r="L275" s="224"/>
      <c r="M275" s="224"/>
      <c r="N275" s="224" t="s">
        <v>452</v>
      </c>
      <c r="O275" s="224" t="s">
        <v>4660</v>
      </c>
      <c r="P275" s="224"/>
      <c r="Q275" s="224" t="s">
        <v>24</v>
      </c>
      <c r="R275" s="224"/>
      <c r="S275" s="224" t="str">
        <f>IFERROR(VLOOKUP(B275,'2022-2023 Third Reviews'!$C:$S,9,FALSE),"")</f>
        <v/>
      </c>
      <c r="T275" s="224"/>
      <c r="U275" s="224"/>
      <c r="V275" s="224"/>
      <c r="W275" s="224"/>
      <c r="X275" s="224"/>
      <c r="Y275" s="224"/>
      <c r="Z275" s="224"/>
      <c r="AA275" s="224"/>
      <c r="AB275" s="224"/>
      <c r="AC275" s="224"/>
    </row>
    <row r="276" spans="1:29" ht="15.75" customHeight="1">
      <c r="A276" s="248">
        <v>44791</v>
      </c>
      <c r="B276" s="219" t="s">
        <v>4671</v>
      </c>
      <c r="C276" s="315">
        <v>3.5</v>
      </c>
      <c r="D276" s="219" t="s">
        <v>11039</v>
      </c>
      <c r="E276" s="219" t="s">
        <v>4</v>
      </c>
      <c r="F276" s="219" t="s">
        <v>602</v>
      </c>
      <c r="G276" s="219" t="s">
        <v>4675</v>
      </c>
      <c r="H276" s="219">
        <v>3</v>
      </c>
      <c r="I276" s="219" t="s">
        <v>1187</v>
      </c>
      <c r="J276" s="219" t="s">
        <v>4676</v>
      </c>
      <c r="K276" s="219">
        <v>4</v>
      </c>
      <c r="L276" s="219" t="s">
        <v>451</v>
      </c>
      <c r="M276" s="219" t="s">
        <v>1384</v>
      </c>
      <c r="N276" s="219" t="s">
        <v>465</v>
      </c>
      <c r="O276" s="219" t="s">
        <v>4677</v>
      </c>
      <c r="P276" s="219"/>
      <c r="Q276" s="322" t="s">
        <v>24</v>
      </c>
      <c r="R276" s="219"/>
      <c r="S276" s="219" t="str">
        <f>IFERROR(VLOOKUP(B276,'2022-2023 Third Reviews'!$C:$S,9,FALSE),"")</f>
        <v/>
      </c>
      <c r="T276" s="219"/>
      <c r="U276" s="219"/>
      <c r="V276" s="303"/>
      <c r="W276" s="303"/>
      <c r="X276" s="303"/>
      <c r="Y276" s="303"/>
      <c r="Z276" s="303"/>
      <c r="AA276" s="306"/>
      <c r="AB276" s="306"/>
      <c r="AC276" s="306"/>
    </row>
    <row r="277" spans="1:29" ht="15.75" customHeight="1">
      <c r="A277" s="253">
        <v>44796</v>
      </c>
      <c r="B277" s="224" t="s">
        <v>4680</v>
      </c>
      <c r="C277" s="316">
        <v>3.5</v>
      </c>
      <c r="D277" s="224" t="s">
        <v>4683</v>
      </c>
      <c r="E277" s="224" t="s">
        <v>4</v>
      </c>
      <c r="F277" s="224" t="s">
        <v>725</v>
      </c>
      <c r="G277" s="224" t="s">
        <v>10990</v>
      </c>
      <c r="H277" s="224">
        <v>3</v>
      </c>
      <c r="I277" s="224" t="s">
        <v>1187</v>
      </c>
      <c r="J277" s="224" t="s">
        <v>4685</v>
      </c>
      <c r="K277" s="224">
        <v>4</v>
      </c>
      <c r="L277" s="224" t="s">
        <v>451</v>
      </c>
      <c r="M277" s="330">
        <v>500000</v>
      </c>
      <c r="N277" s="224" t="s">
        <v>452</v>
      </c>
      <c r="O277" s="224" t="s">
        <v>10991</v>
      </c>
      <c r="P277" s="224" t="s">
        <v>10992</v>
      </c>
      <c r="Q277" s="224" t="s">
        <v>24</v>
      </c>
      <c r="R277" s="224"/>
      <c r="S277" s="224" t="str">
        <f>IFERROR(VLOOKUP(B277,'2022-2023 Third Reviews'!$C:$S,9,FALSE),"")</f>
        <v/>
      </c>
      <c r="T277" s="224"/>
      <c r="U277" s="224"/>
      <c r="V277" s="306"/>
      <c r="W277" s="306"/>
      <c r="X277" s="306"/>
      <c r="Y277" s="306"/>
      <c r="Z277" s="306"/>
      <c r="AA277" s="306"/>
      <c r="AB277" s="306"/>
      <c r="AC277" s="306"/>
    </row>
    <row r="278" spans="1:29" ht="15.75" hidden="1" customHeight="1">
      <c r="A278" s="248">
        <v>44782</v>
      </c>
      <c r="B278" s="219" t="s">
        <v>298</v>
      </c>
      <c r="C278" s="249">
        <v>5</v>
      </c>
      <c r="D278" s="219" t="s">
        <v>1670</v>
      </c>
      <c r="E278" s="250" t="s">
        <v>3</v>
      </c>
      <c r="F278" s="219" t="s">
        <v>460</v>
      </c>
      <c r="G278" s="219" t="s">
        <v>10453</v>
      </c>
      <c r="H278" s="219">
        <v>5</v>
      </c>
      <c r="I278" s="219" t="s">
        <v>462</v>
      </c>
      <c r="J278" s="219"/>
      <c r="K278" s="219">
        <v>5</v>
      </c>
      <c r="L278" s="219" t="s">
        <v>451</v>
      </c>
      <c r="M278" s="219">
        <v>2000000</v>
      </c>
      <c r="N278" s="219" t="s">
        <v>452</v>
      </c>
      <c r="O278" s="219" t="s">
        <v>452</v>
      </c>
      <c r="P278" s="219"/>
      <c r="Q278" s="219" t="s">
        <v>18</v>
      </c>
      <c r="R278" s="251"/>
      <c r="S278" s="251"/>
      <c r="T278" s="251"/>
      <c r="U278" s="251"/>
      <c r="V278" s="252"/>
      <c r="W278" s="252"/>
      <c r="X278" s="252"/>
      <c r="Y278" s="219"/>
      <c r="Z278" s="219"/>
      <c r="AA278" s="219"/>
      <c r="AB278" s="219"/>
      <c r="AC278" s="219"/>
    </row>
    <row r="279" spans="1:29" ht="15.75" customHeight="1">
      <c r="A279" s="253">
        <v>44791</v>
      </c>
      <c r="B279" s="224" t="s">
        <v>4689</v>
      </c>
      <c r="C279" s="316">
        <v>3.5</v>
      </c>
      <c r="D279" s="224" t="s">
        <v>4692</v>
      </c>
      <c r="E279" s="224" t="s">
        <v>4</v>
      </c>
      <c r="F279" s="224" t="s">
        <v>727</v>
      </c>
      <c r="G279" s="224" t="s">
        <v>10693</v>
      </c>
      <c r="H279" s="224">
        <v>4</v>
      </c>
      <c r="I279" s="224" t="s">
        <v>1237</v>
      </c>
      <c r="J279" s="224"/>
      <c r="K279" s="224">
        <v>3</v>
      </c>
      <c r="L279" s="224" t="s">
        <v>4694</v>
      </c>
      <c r="M279" s="224" t="s">
        <v>4695</v>
      </c>
      <c r="N279" s="224" t="s">
        <v>452</v>
      </c>
      <c r="O279" s="224" t="s">
        <v>974</v>
      </c>
      <c r="P279" s="224" t="s">
        <v>725</v>
      </c>
      <c r="Q279" s="322" t="s">
        <v>24</v>
      </c>
      <c r="R279" s="224"/>
      <c r="S279" s="224" t="str">
        <f>IFERROR(VLOOKUP(B279,'2022-2023 Third Reviews'!$C:$S,9,FALSE),"")</f>
        <v/>
      </c>
      <c r="T279" s="224"/>
      <c r="U279" s="224"/>
      <c r="V279" s="272"/>
      <c r="W279" s="272"/>
      <c r="X279" s="272"/>
      <c r="Y279" s="272"/>
      <c r="Z279" s="272"/>
      <c r="AA279" s="224"/>
      <c r="AB279" s="224"/>
      <c r="AC279" s="224"/>
    </row>
    <row r="280" spans="1:29" ht="15.75" hidden="1" customHeight="1">
      <c r="A280" s="257">
        <v>44782</v>
      </c>
      <c r="B280" s="258" t="s">
        <v>74</v>
      </c>
      <c r="C280" s="249">
        <v>3.25</v>
      </c>
      <c r="D280" s="258" t="s">
        <v>9569</v>
      </c>
      <c r="E280" s="250" t="s">
        <v>3</v>
      </c>
      <c r="F280" s="258" t="s">
        <v>460</v>
      </c>
      <c r="G280" s="258" t="s">
        <v>9570</v>
      </c>
      <c r="H280" s="258">
        <v>3.5</v>
      </c>
      <c r="I280" s="258" t="s">
        <v>941</v>
      </c>
      <c r="J280" s="258"/>
      <c r="K280" s="258">
        <v>3</v>
      </c>
      <c r="L280" s="258" t="s">
        <v>478</v>
      </c>
      <c r="M280" s="258">
        <v>5000000</v>
      </c>
      <c r="N280" s="258" t="s">
        <v>452</v>
      </c>
      <c r="O280" s="258" t="s">
        <v>9571</v>
      </c>
      <c r="P280" s="258" t="s">
        <v>9572</v>
      </c>
      <c r="Q280" s="258" t="s">
        <v>20</v>
      </c>
      <c r="R280" s="259" t="s">
        <v>9573</v>
      </c>
      <c r="S280" s="259"/>
      <c r="T280" s="259"/>
      <c r="U280" s="259"/>
      <c r="V280" s="258"/>
      <c r="W280" s="258"/>
      <c r="X280" s="258"/>
      <c r="Y280" s="258"/>
      <c r="Z280" s="258"/>
      <c r="AA280" s="258"/>
      <c r="AB280" s="258"/>
      <c r="AC280" s="258"/>
    </row>
    <row r="281" spans="1:29" ht="15.75" hidden="1" customHeight="1">
      <c r="A281" s="253">
        <v>44789</v>
      </c>
      <c r="B281" s="224" t="s">
        <v>8422</v>
      </c>
      <c r="C281" s="249">
        <v>2.75</v>
      </c>
      <c r="D281" s="224" t="s">
        <v>8425</v>
      </c>
      <c r="E281" s="250" t="s">
        <v>3</v>
      </c>
      <c r="F281" s="224" t="s">
        <v>460</v>
      </c>
      <c r="G281" s="224" t="s">
        <v>8426</v>
      </c>
      <c r="H281" s="224">
        <v>2.5</v>
      </c>
      <c r="I281" s="224" t="s">
        <v>488</v>
      </c>
      <c r="J281" s="224"/>
      <c r="K281" s="224">
        <v>3</v>
      </c>
      <c r="L281" s="224" t="s">
        <v>451</v>
      </c>
      <c r="M281" s="307">
        <v>700000</v>
      </c>
      <c r="N281" s="224" t="s">
        <v>452</v>
      </c>
      <c r="O281" s="224" t="s">
        <v>8427</v>
      </c>
      <c r="P281" s="224" t="s">
        <v>8428</v>
      </c>
      <c r="Q281" s="224" t="s">
        <v>24</v>
      </c>
      <c r="R281" s="254"/>
      <c r="S281" s="254"/>
      <c r="T281" s="254"/>
      <c r="U281" s="254"/>
      <c r="V281" s="252"/>
      <c r="W281" s="252"/>
      <c r="X281" s="252"/>
      <c r="Y281" s="224"/>
      <c r="Z281" s="224"/>
      <c r="AA281" s="224"/>
      <c r="AB281" s="224"/>
      <c r="AC281" s="224"/>
    </row>
    <row r="282" spans="1:29" ht="15.75" hidden="1" customHeight="1">
      <c r="A282" s="301">
        <v>44789</v>
      </c>
      <c r="B282" s="303" t="s">
        <v>8431</v>
      </c>
      <c r="C282" s="269"/>
      <c r="D282" s="303" t="s">
        <v>8434</v>
      </c>
      <c r="E282" s="270" t="s">
        <v>3</v>
      </c>
      <c r="F282" s="303" t="s">
        <v>460</v>
      </c>
      <c r="G282" s="303"/>
      <c r="H282" s="303"/>
      <c r="I282" s="303" t="s">
        <v>941</v>
      </c>
      <c r="J282" s="303"/>
      <c r="K282" s="303">
        <v>2</v>
      </c>
      <c r="L282" s="303" t="s">
        <v>478</v>
      </c>
      <c r="M282" s="303" t="s">
        <v>8436</v>
      </c>
      <c r="N282" s="303" t="s">
        <v>452</v>
      </c>
      <c r="O282" s="303" t="s">
        <v>452</v>
      </c>
      <c r="P282" s="303"/>
      <c r="Q282" s="303"/>
      <c r="R282" s="305"/>
      <c r="S282" s="305"/>
      <c r="T282" s="305"/>
      <c r="U282" s="305"/>
      <c r="V282" s="303"/>
      <c r="W282" s="303"/>
      <c r="X282" s="303"/>
      <c r="Y282" s="303"/>
      <c r="Z282" s="303"/>
      <c r="AA282" s="306"/>
      <c r="AB282" s="306"/>
      <c r="AC282" s="306"/>
    </row>
    <row r="283" spans="1:29" ht="15.75" hidden="1" customHeight="1">
      <c r="A283" s="253">
        <v>44789</v>
      </c>
      <c r="B283" s="224" t="s">
        <v>8431</v>
      </c>
      <c r="C283" s="249">
        <v>2</v>
      </c>
      <c r="D283" s="224" t="s">
        <v>8434</v>
      </c>
      <c r="E283" s="250" t="s">
        <v>3</v>
      </c>
      <c r="F283" s="224" t="s">
        <v>460</v>
      </c>
      <c r="G283" s="224" t="s">
        <v>8435</v>
      </c>
      <c r="H283" s="224">
        <v>2</v>
      </c>
      <c r="I283" s="224" t="s">
        <v>941</v>
      </c>
      <c r="J283" s="224"/>
      <c r="K283" s="224">
        <v>2</v>
      </c>
      <c r="L283" s="224" t="s">
        <v>478</v>
      </c>
      <c r="M283" s="224" t="s">
        <v>8436</v>
      </c>
      <c r="N283" s="224" t="s">
        <v>452</v>
      </c>
      <c r="O283" s="224" t="s">
        <v>452</v>
      </c>
      <c r="P283" s="224"/>
      <c r="Q283" s="224" t="s">
        <v>24</v>
      </c>
      <c r="R283" s="254"/>
      <c r="S283" s="254"/>
      <c r="T283" s="254"/>
      <c r="U283" s="254"/>
      <c r="V283" s="252"/>
      <c r="W283" s="252"/>
      <c r="X283" s="252"/>
      <c r="Y283" s="224"/>
      <c r="Z283" s="224"/>
      <c r="AA283" s="224"/>
      <c r="AB283" s="224"/>
      <c r="AC283" s="224"/>
    </row>
    <row r="284" spans="1:29" ht="15.75" hidden="1" customHeight="1">
      <c r="A284" s="248">
        <v>44796</v>
      </c>
      <c r="B284" s="219" t="s">
        <v>2318</v>
      </c>
      <c r="C284" s="315">
        <v>1.5</v>
      </c>
      <c r="D284" s="219"/>
      <c r="E284" s="219" t="s">
        <v>5</v>
      </c>
      <c r="F284" s="219" t="s">
        <v>447</v>
      </c>
      <c r="G284" s="219" t="s">
        <v>11234</v>
      </c>
      <c r="H284" s="219">
        <v>1</v>
      </c>
      <c r="I284" s="219" t="s">
        <v>449</v>
      </c>
      <c r="J284" s="219" t="s">
        <v>11235</v>
      </c>
      <c r="K284" s="219">
        <v>2</v>
      </c>
      <c r="L284" s="219" t="s">
        <v>2190</v>
      </c>
      <c r="M284" s="331">
        <v>2000000</v>
      </c>
      <c r="N284" s="219" t="s">
        <v>452</v>
      </c>
      <c r="O284" s="219" t="s">
        <v>2323</v>
      </c>
      <c r="P284" s="219"/>
      <c r="Q284" s="219" t="s">
        <v>24</v>
      </c>
      <c r="R284" s="251"/>
      <c r="S284" s="251"/>
      <c r="T284" s="251"/>
      <c r="U284" s="251"/>
      <c r="V284" s="219"/>
      <c r="W284" s="219"/>
      <c r="X284" s="219"/>
      <c r="Y284" s="219"/>
      <c r="Z284" s="219"/>
      <c r="AA284" s="219"/>
      <c r="AB284" s="219"/>
      <c r="AC284" s="219"/>
    </row>
    <row r="285" spans="1:29" ht="15.75" hidden="1" customHeight="1">
      <c r="A285" s="253">
        <v>44789</v>
      </c>
      <c r="B285" s="224" t="s">
        <v>2326</v>
      </c>
      <c r="C285" s="249">
        <v>3</v>
      </c>
      <c r="D285" s="224" t="s">
        <v>2329</v>
      </c>
      <c r="E285" s="250" t="s">
        <v>5</v>
      </c>
      <c r="F285" s="224" t="s">
        <v>447</v>
      </c>
      <c r="G285" s="224" t="s">
        <v>11027</v>
      </c>
      <c r="H285" s="224">
        <v>3</v>
      </c>
      <c r="I285" s="224" t="s">
        <v>622</v>
      </c>
      <c r="J285" s="224" t="e">
        <f>+Capital Intensive venture.
-No cash inflow at the current stage.
+Littlle early for EFL
-not a good fit for this year.</f>
        <v>#NAME?</v>
      </c>
      <c r="K285" s="224">
        <v>3</v>
      </c>
      <c r="L285" s="224"/>
      <c r="M285" s="311"/>
      <c r="N285" s="224" t="s">
        <v>452</v>
      </c>
      <c r="O285" s="224" t="s">
        <v>2332</v>
      </c>
      <c r="P285" s="224"/>
      <c r="Q285" s="224" t="s">
        <v>24</v>
      </c>
      <c r="R285" s="254"/>
      <c r="S285" s="254"/>
      <c r="T285" s="254"/>
      <c r="U285" s="254"/>
      <c r="V285" s="252"/>
      <c r="W285" s="252"/>
      <c r="X285" s="252"/>
      <c r="Y285" s="224"/>
      <c r="Z285" s="224"/>
      <c r="AA285" s="224"/>
      <c r="AB285" s="224"/>
      <c r="AC285" s="224"/>
    </row>
    <row r="286" spans="1:29" ht="15.75" hidden="1" customHeight="1">
      <c r="A286" s="276">
        <v>44784</v>
      </c>
      <c r="B286" s="277" t="s">
        <v>2335</v>
      </c>
      <c r="C286" s="278">
        <v>2</v>
      </c>
      <c r="D286" s="277" t="s">
        <v>2338</v>
      </c>
      <c r="E286" s="277" t="s">
        <v>5</v>
      </c>
      <c r="F286" s="277" t="s">
        <v>460</v>
      </c>
      <c r="G286" s="277" t="s">
        <v>2339</v>
      </c>
      <c r="H286" s="277">
        <v>2</v>
      </c>
      <c r="I286" s="277" t="s">
        <v>462</v>
      </c>
      <c r="J286" s="277" t="s">
        <v>2340</v>
      </c>
      <c r="K286" s="277">
        <v>2</v>
      </c>
      <c r="L286" s="277" t="s">
        <v>784</v>
      </c>
      <c r="M286" s="289">
        <v>250000</v>
      </c>
      <c r="N286" s="277" t="s">
        <v>465</v>
      </c>
      <c r="O286" s="289" t="s">
        <v>452</v>
      </c>
      <c r="P286" s="277"/>
      <c r="Q286" s="277" t="s">
        <v>24</v>
      </c>
      <c r="R286" s="279" t="s">
        <v>2341</v>
      </c>
      <c r="S286" s="279"/>
      <c r="T286" s="279"/>
      <c r="U286" s="279"/>
      <c r="V286" s="277"/>
      <c r="W286" s="277"/>
      <c r="X286" s="277"/>
      <c r="Y286" s="277"/>
      <c r="Z286" s="277"/>
      <c r="AA286" s="239"/>
      <c r="AB286" s="239"/>
      <c r="AC286" s="239"/>
    </row>
    <row r="287" spans="1:29" ht="15.75" customHeight="1">
      <c r="A287" s="253">
        <v>44796</v>
      </c>
      <c r="B287" s="224" t="s">
        <v>4698</v>
      </c>
      <c r="C287" s="316">
        <v>3.5</v>
      </c>
      <c r="D287" s="224"/>
      <c r="E287" s="224" t="s">
        <v>4</v>
      </c>
      <c r="F287" s="224" t="s">
        <v>725</v>
      </c>
      <c r="G287" s="224" t="s">
        <v>4701</v>
      </c>
      <c r="H287" s="224">
        <v>3</v>
      </c>
      <c r="I287" s="224" t="s">
        <v>1237</v>
      </c>
      <c r="J287" s="224"/>
      <c r="K287" s="224">
        <v>4</v>
      </c>
      <c r="L287" s="224" t="s">
        <v>2190</v>
      </c>
      <c r="M287" s="224" t="s">
        <v>4702</v>
      </c>
      <c r="N287" s="224" t="s">
        <v>454</v>
      </c>
      <c r="O287" s="224" t="s">
        <v>4703</v>
      </c>
      <c r="P287" s="224" t="s">
        <v>4704</v>
      </c>
      <c r="Q287" s="224" t="s">
        <v>24</v>
      </c>
      <c r="R287" s="224"/>
      <c r="S287" s="224" t="str">
        <f>IFERROR(VLOOKUP(B287,'2022-2023 Third Reviews'!$C:$S,9,FALSE),"")</f>
        <v/>
      </c>
      <c r="T287" s="224"/>
      <c r="U287" s="224"/>
      <c r="V287" s="224"/>
      <c r="W287" s="224"/>
      <c r="X287" s="224"/>
      <c r="Y287" s="224"/>
      <c r="Z287" s="224"/>
      <c r="AA287" s="224"/>
      <c r="AB287" s="224"/>
      <c r="AC287" s="224"/>
    </row>
    <row r="288" spans="1:29" ht="15.75" customHeight="1">
      <c r="A288" s="248">
        <v>44791</v>
      </c>
      <c r="B288" s="219" t="s">
        <v>4707</v>
      </c>
      <c r="C288" s="315">
        <v>3.5</v>
      </c>
      <c r="D288" s="219" t="s">
        <v>4710</v>
      </c>
      <c r="E288" s="219" t="s">
        <v>4</v>
      </c>
      <c r="F288" s="219" t="s">
        <v>602</v>
      </c>
      <c r="G288" s="219" t="s">
        <v>4711</v>
      </c>
      <c r="H288" s="219">
        <v>3.5</v>
      </c>
      <c r="I288" s="219" t="s">
        <v>476</v>
      </c>
      <c r="J288" s="219" t="s">
        <v>11677</v>
      </c>
      <c r="K288" s="219">
        <v>3.5</v>
      </c>
      <c r="L288" s="219"/>
      <c r="M288" s="219"/>
      <c r="N288" s="219" t="s">
        <v>452</v>
      </c>
      <c r="O288" s="219" t="s">
        <v>11075</v>
      </c>
      <c r="P288" s="219"/>
      <c r="Q288" s="322" t="s">
        <v>24</v>
      </c>
      <c r="R288" s="219"/>
      <c r="S288" s="219" t="str">
        <f>IFERROR(VLOOKUP(B288,'2022-2023 Third Reviews'!$C:$S,9,FALSE),"")</f>
        <v/>
      </c>
      <c r="T288" s="219" t="s">
        <v>13249</v>
      </c>
      <c r="U288" s="219"/>
      <c r="V288" s="306"/>
      <c r="W288" s="306"/>
      <c r="X288" s="306"/>
      <c r="Y288" s="306"/>
      <c r="Z288" s="306"/>
      <c r="AA288" s="306"/>
      <c r="AB288" s="306"/>
      <c r="AC288" s="306"/>
    </row>
    <row r="289" spans="1:29" ht="15.75" hidden="1" customHeight="1">
      <c r="A289" s="253">
        <v>44791</v>
      </c>
      <c r="B289" s="224" t="s">
        <v>2344</v>
      </c>
      <c r="C289" s="316">
        <v>3.25</v>
      </c>
      <c r="D289" s="224" t="s">
        <v>2347</v>
      </c>
      <c r="E289" s="224" t="s">
        <v>5</v>
      </c>
      <c r="F289" s="224" t="s">
        <v>447</v>
      </c>
      <c r="G289" s="224" t="s">
        <v>10934</v>
      </c>
      <c r="H289" s="224">
        <v>3.5</v>
      </c>
      <c r="I289" s="224" t="s">
        <v>449</v>
      </c>
      <c r="J289" s="224" t="s">
        <v>11681</v>
      </c>
      <c r="K289" s="224">
        <v>3</v>
      </c>
      <c r="L289" s="224" t="s">
        <v>451</v>
      </c>
      <c r="M289" s="224">
        <v>1500000</v>
      </c>
      <c r="N289" s="224" t="s">
        <v>452</v>
      </c>
      <c r="O289" s="224" t="s">
        <v>2350</v>
      </c>
      <c r="P289" s="224"/>
      <c r="Q289" s="322" t="s">
        <v>24</v>
      </c>
      <c r="R289" s="254"/>
      <c r="S289" s="254"/>
      <c r="T289" s="254"/>
      <c r="U289" s="254"/>
      <c r="V289" s="224"/>
      <c r="W289" s="224"/>
      <c r="X289" s="224"/>
      <c r="Y289" s="224"/>
      <c r="Z289" s="224"/>
      <c r="AA289" s="224"/>
      <c r="AB289" s="224"/>
      <c r="AC289" s="224"/>
    </row>
    <row r="290" spans="1:29" ht="15.75" customHeight="1">
      <c r="A290" s="491">
        <v>44784</v>
      </c>
      <c r="B290" s="281" t="s">
        <v>4716</v>
      </c>
      <c r="C290" s="282">
        <v>3.5</v>
      </c>
      <c r="D290" s="281" t="s">
        <v>4719</v>
      </c>
      <c r="E290" s="281" t="s">
        <v>4</v>
      </c>
      <c r="F290" s="281" t="s">
        <v>727</v>
      </c>
      <c r="G290" s="281" t="s">
        <v>10220</v>
      </c>
      <c r="H290" s="281">
        <v>3.5</v>
      </c>
      <c r="I290" s="281" t="s">
        <v>1054</v>
      </c>
      <c r="J290" s="281" t="s">
        <v>4721</v>
      </c>
      <c r="K290" s="281">
        <v>3.5</v>
      </c>
      <c r="L290" s="281"/>
      <c r="M290" s="281"/>
      <c r="N290" s="281" t="s">
        <v>452</v>
      </c>
      <c r="O290" s="281" t="s">
        <v>4722</v>
      </c>
      <c r="P290" s="281" t="s">
        <v>4723</v>
      </c>
      <c r="Q290" s="281" t="s">
        <v>24</v>
      </c>
      <c r="R290" s="281" t="s">
        <v>4724</v>
      </c>
      <c r="S290" s="281" t="str">
        <f>IFERROR(VLOOKUP(B290,'2022-2023 Third Reviews'!$C:$S,9,FALSE),"")</f>
        <v/>
      </c>
      <c r="T290" s="281"/>
      <c r="U290" s="281"/>
      <c r="V290" s="306"/>
      <c r="W290" s="306"/>
      <c r="X290" s="306"/>
      <c r="Y290" s="306"/>
      <c r="Z290" s="306"/>
      <c r="AA290" s="306"/>
      <c r="AB290" s="306"/>
      <c r="AC290" s="306"/>
    </row>
    <row r="291" spans="1:29" ht="15.75" customHeight="1">
      <c r="A291" s="253">
        <v>44791</v>
      </c>
      <c r="B291" s="224" t="s">
        <v>4727</v>
      </c>
      <c r="C291" s="316">
        <v>3.5</v>
      </c>
      <c r="D291" s="224" t="s">
        <v>10533</v>
      </c>
      <c r="E291" s="224" t="s">
        <v>4</v>
      </c>
      <c r="F291" s="224" t="s">
        <v>727</v>
      </c>
      <c r="G291" s="224" t="s">
        <v>10534</v>
      </c>
      <c r="H291" s="224">
        <v>3</v>
      </c>
      <c r="I291" s="224" t="s">
        <v>1281</v>
      </c>
      <c r="J291" s="224" t="s">
        <v>4732</v>
      </c>
      <c r="K291" s="224">
        <v>4</v>
      </c>
      <c r="L291" s="224" t="s">
        <v>451</v>
      </c>
      <c r="M291" s="307">
        <v>3000000</v>
      </c>
      <c r="N291" s="224" t="s">
        <v>452</v>
      </c>
      <c r="O291" s="224" t="s">
        <v>1119</v>
      </c>
      <c r="P291" s="224"/>
      <c r="Q291" s="322" t="s">
        <v>24</v>
      </c>
      <c r="R291" s="224"/>
      <c r="S291" s="224" t="str">
        <f>IFERROR(VLOOKUP(B291,'2022-2023 Third Reviews'!$C:$S,9,FALSE),"")</f>
        <v/>
      </c>
      <c r="T291" s="224"/>
      <c r="U291" s="224"/>
      <c r="V291" s="224"/>
      <c r="W291" s="224"/>
      <c r="X291" s="224"/>
      <c r="Y291" s="224"/>
      <c r="Z291" s="224"/>
      <c r="AA291" s="224"/>
      <c r="AB291" s="224"/>
      <c r="AC291" s="224"/>
    </row>
    <row r="292" spans="1:29" ht="15.75" customHeight="1">
      <c r="A292" s="257">
        <v>44797</v>
      </c>
      <c r="B292" s="258" t="s">
        <v>302</v>
      </c>
      <c r="C292" s="263">
        <v>3.5</v>
      </c>
      <c r="D292" s="258" t="s">
        <v>11285</v>
      </c>
      <c r="E292" s="258" t="s">
        <v>4</v>
      </c>
      <c r="F292" s="258" t="s">
        <v>460</v>
      </c>
      <c r="G292" s="258" t="s">
        <v>9433</v>
      </c>
      <c r="H292" s="258">
        <v>3</v>
      </c>
      <c r="I292" s="258" t="s">
        <v>1281</v>
      </c>
      <c r="J292" s="258" t="s">
        <v>9434</v>
      </c>
      <c r="K292" s="258">
        <v>4</v>
      </c>
      <c r="L292" s="258" t="s">
        <v>451</v>
      </c>
      <c r="M292" s="258" t="s">
        <v>9435</v>
      </c>
      <c r="N292" s="258" t="s">
        <v>452</v>
      </c>
      <c r="O292" s="258" t="s">
        <v>575</v>
      </c>
      <c r="P292" s="258"/>
      <c r="Q292" s="258" t="s">
        <v>19</v>
      </c>
      <c r="R292" s="258" t="s">
        <v>11749</v>
      </c>
      <c r="S292" s="258" t="str">
        <f>IFERROR(VLOOKUP(B292,'2022-2023 Third Reviews'!$C:$S,9,FALSE),"")</f>
        <v/>
      </c>
      <c r="T292" s="258"/>
      <c r="U292" s="258"/>
      <c r="V292" s="306"/>
      <c r="W292" s="306"/>
      <c r="X292" s="306"/>
      <c r="Y292" s="306"/>
      <c r="Z292" s="306"/>
      <c r="AA292" s="306"/>
      <c r="AB292" s="306"/>
      <c r="AC292" s="306"/>
    </row>
    <row r="293" spans="1:29" ht="15.75" hidden="1" customHeight="1">
      <c r="A293" s="267">
        <v>44784</v>
      </c>
      <c r="B293" s="272" t="s">
        <v>72</v>
      </c>
      <c r="C293" s="269">
        <v>4.75</v>
      </c>
      <c r="D293" s="272" t="s">
        <v>521</v>
      </c>
      <c r="E293" s="270" t="s">
        <v>5</v>
      </c>
      <c r="F293" s="272" t="s">
        <v>447</v>
      </c>
      <c r="G293" s="272" t="s">
        <v>11266</v>
      </c>
      <c r="H293" s="272">
        <v>4.5</v>
      </c>
      <c r="I293" s="272" t="s">
        <v>449</v>
      </c>
      <c r="J293" s="272" t="s">
        <v>11547</v>
      </c>
      <c r="K293" s="272">
        <v>5</v>
      </c>
      <c r="L293" s="272" t="s">
        <v>478</v>
      </c>
      <c r="M293" s="273">
        <v>16000000</v>
      </c>
      <c r="N293" s="272" t="s">
        <v>452</v>
      </c>
      <c r="O293" s="273" t="s">
        <v>11268</v>
      </c>
      <c r="P293" s="272" t="s">
        <v>525</v>
      </c>
      <c r="Q293" s="272" t="s">
        <v>18</v>
      </c>
      <c r="R293" s="274" t="s">
        <v>526</v>
      </c>
      <c r="S293" s="274"/>
      <c r="T293" s="274"/>
      <c r="U293" s="274"/>
      <c r="V293" s="272"/>
      <c r="W293" s="272"/>
      <c r="X293" s="272"/>
      <c r="Y293" s="272"/>
      <c r="Z293" s="272"/>
      <c r="AA293" s="224"/>
      <c r="AB293" s="224"/>
      <c r="AC293" s="224"/>
    </row>
    <row r="294" spans="1:29" ht="15.75" hidden="1" customHeight="1">
      <c r="A294" s="227">
        <v>44776</v>
      </c>
      <c r="B294" s="228" t="s">
        <v>9334</v>
      </c>
      <c r="C294" s="214">
        <v>2.5</v>
      </c>
      <c r="D294" s="228" t="s">
        <v>9337</v>
      </c>
      <c r="E294" s="215" t="s">
        <v>3</v>
      </c>
      <c r="F294" s="228" t="s">
        <v>460</v>
      </c>
      <c r="G294" s="228"/>
      <c r="H294" s="228">
        <v>1</v>
      </c>
      <c r="I294" s="228" t="s">
        <v>462</v>
      </c>
      <c r="J294" s="228" t="s">
        <v>9338</v>
      </c>
      <c r="K294" s="228">
        <v>4</v>
      </c>
      <c r="L294" s="228"/>
      <c r="M294" s="232">
        <v>250000</v>
      </c>
      <c r="N294" s="228" t="s">
        <v>452</v>
      </c>
      <c r="O294" s="228" t="s">
        <v>452</v>
      </c>
      <c r="P294" s="230"/>
      <c r="Q294" s="228" t="s">
        <v>25</v>
      </c>
      <c r="R294" s="231" t="s">
        <v>9339</v>
      </c>
      <c r="S294" s="231"/>
      <c r="T294" s="231"/>
      <c r="U294" s="231"/>
      <c r="V294" s="228"/>
      <c r="W294" s="228"/>
      <c r="X294" s="228"/>
      <c r="Y294" s="219"/>
      <c r="Z294" s="219"/>
      <c r="AA294" s="219"/>
      <c r="AB294" s="219"/>
      <c r="AC294" s="219"/>
    </row>
    <row r="295" spans="1:29" ht="15.75" customHeight="1">
      <c r="A295" s="253">
        <v>44782</v>
      </c>
      <c r="B295" s="224" t="s">
        <v>4735</v>
      </c>
      <c r="C295" s="249">
        <v>3.5</v>
      </c>
      <c r="D295" s="224" t="s">
        <v>4738</v>
      </c>
      <c r="E295" s="250" t="s">
        <v>4</v>
      </c>
      <c r="F295" s="224" t="s">
        <v>727</v>
      </c>
      <c r="G295" s="224" t="s">
        <v>4739</v>
      </c>
      <c r="H295" s="224">
        <v>4</v>
      </c>
      <c r="I295" s="224" t="s">
        <v>1054</v>
      </c>
      <c r="J295" s="224" t="s">
        <v>10445</v>
      </c>
      <c r="K295" s="224">
        <v>3</v>
      </c>
      <c r="L295" s="224" t="s">
        <v>451</v>
      </c>
      <c r="M295" s="224">
        <v>3000000</v>
      </c>
      <c r="N295" s="224" t="s">
        <v>465</v>
      </c>
      <c r="O295" s="224" t="s">
        <v>452</v>
      </c>
      <c r="P295" s="224" t="s">
        <v>710</v>
      </c>
      <c r="Q295" s="224" t="s">
        <v>24</v>
      </c>
      <c r="R295" s="224"/>
      <c r="S295" s="224" t="str">
        <f>IFERROR(VLOOKUP(B295,'2022-2023 Third Reviews'!$C:$S,9,FALSE),"")</f>
        <v/>
      </c>
      <c r="T295" s="224"/>
      <c r="U295" s="224"/>
      <c r="V295" s="224"/>
      <c r="W295" s="224"/>
      <c r="X295" s="224"/>
      <c r="Y295" s="224"/>
      <c r="Z295" s="224"/>
      <c r="AA295" s="224"/>
      <c r="AB295" s="224"/>
      <c r="AC295" s="224"/>
    </row>
    <row r="296" spans="1:29" ht="15.75" customHeight="1">
      <c r="A296" s="255">
        <v>44789</v>
      </c>
      <c r="B296" s="239" t="s">
        <v>304</v>
      </c>
      <c r="C296" s="262">
        <v>3.5</v>
      </c>
      <c r="D296" s="239" t="s">
        <v>9526</v>
      </c>
      <c r="E296" s="239" t="s">
        <v>4</v>
      </c>
      <c r="F296" s="239" t="s">
        <v>460</v>
      </c>
      <c r="G296" s="239" t="s">
        <v>11462</v>
      </c>
      <c r="H296" s="239">
        <v>3</v>
      </c>
      <c r="I296" s="239" t="s">
        <v>488</v>
      </c>
      <c r="J296" s="239" t="s">
        <v>9528</v>
      </c>
      <c r="K296" s="239">
        <v>4</v>
      </c>
      <c r="L296" s="239"/>
      <c r="M296" s="239"/>
      <c r="N296" s="239" t="s">
        <v>452</v>
      </c>
      <c r="O296" s="239" t="s">
        <v>9529</v>
      </c>
      <c r="P296" s="239"/>
      <c r="Q296" s="239" t="s">
        <v>20</v>
      </c>
      <c r="R296" s="239" t="s">
        <v>9530</v>
      </c>
      <c r="S296" s="239" t="str">
        <f ca="1">IFERROR(VLOOKUP(B296,'2022-2023 Third Reviews'!$C:$S,9,FALSE),"")</f>
        <v>John McDonald
2</v>
      </c>
      <c r="T296" s="239" t="s">
        <v>13087</v>
      </c>
      <c r="U296" s="239"/>
      <c r="V296" s="219"/>
      <c r="W296" s="219"/>
      <c r="X296" s="219"/>
      <c r="Y296" s="219"/>
      <c r="Z296" s="219"/>
      <c r="AA296" s="219"/>
      <c r="AB296" s="219"/>
      <c r="AC296" s="219"/>
    </row>
    <row r="297" spans="1:29" ht="15.75" customHeight="1">
      <c r="A297" s="398">
        <v>44784</v>
      </c>
      <c r="B297" s="272" t="s">
        <v>4743</v>
      </c>
      <c r="C297" s="269">
        <v>3.5</v>
      </c>
      <c r="D297" s="272" t="s">
        <v>4746</v>
      </c>
      <c r="E297" s="270" t="s">
        <v>4</v>
      </c>
      <c r="F297" s="272" t="s">
        <v>602</v>
      </c>
      <c r="G297" s="272" t="s">
        <v>4747</v>
      </c>
      <c r="H297" s="272">
        <v>3.5</v>
      </c>
      <c r="I297" s="272" t="s">
        <v>476</v>
      </c>
      <c r="J297" s="272" t="s">
        <v>11575</v>
      </c>
      <c r="K297" s="272">
        <v>3.5</v>
      </c>
      <c r="L297" s="272"/>
      <c r="M297" s="272"/>
      <c r="N297" s="272" t="s">
        <v>465</v>
      </c>
      <c r="O297" s="272" t="s">
        <v>452</v>
      </c>
      <c r="P297" s="272"/>
      <c r="Q297" s="272" t="s">
        <v>24</v>
      </c>
      <c r="R297" s="272"/>
      <c r="S297" s="272" t="str">
        <f>IFERROR(VLOOKUP(B297,'2022-2023 Third Reviews'!$C:$S,9,FALSE),"")</f>
        <v/>
      </c>
      <c r="T297" s="272" t="s">
        <v>13250</v>
      </c>
      <c r="U297" s="272"/>
      <c r="V297" s="224"/>
      <c r="W297" s="224"/>
      <c r="X297" s="224"/>
      <c r="Y297" s="224"/>
      <c r="Z297" s="224"/>
      <c r="AA297" s="224"/>
      <c r="AB297" s="224"/>
      <c r="AC297" s="224"/>
    </row>
    <row r="298" spans="1:29" ht="15.75" customHeight="1">
      <c r="A298" s="248">
        <v>44789</v>
      </c>
      <c r="B298" s="219" t="s">
        <v>4751</v>
      </c>
      <c r="C298" s="249">
        <v>3.5</v>
      </c>
      <c r="D298" s="219" t="s">
        <v>10712</v>
      </c>
      <c r="E298" s="250" t="s">
        <v>4</v>
      </c>
      <c r="F298" s="219" t="s">
        <v>727</v>
      </c>
      <c r="G298" s="219" t="s">
        <v>10713</v>
      </c>
      <c r="H298" s="219">
        <v>3</v>
      </c>
      <c r="I298" s="219" t="s">
        <v>476</v>
      </c>
      <c r="J298" s="219" t="s">
        <v>13400</v>
      </c>
      <c r="K298" s="219">
        <v>4</v>
      </c>
      <c r="L298" s="219" t="s">
        <v>451</v>
      </c>
      <c r="M298" s="310">
        <v>1000000</v>
      </c>
      <c r="N298" s="219" t="s">
        <v>452</v>
      </c>
      <c r="O298" s="219" t="s">
        <v>4757</v>
      </c>
      <c r="P298" s="219"/>
      <c r="Q298" s="219" t="s">
        <v>24</v>
      </c>
      <c r="R298" s="219"/>
      <c r="S298" s="219" t="str">
        <f>IFERROR(VLOOKUP(B298,'2022-2023 Third Reviews'!$C:$S,9,FALSE),"")</f>
        <v/>
      </c>
      <c r="T298" s="219" t="s">
        <v>13251</v>
      </c>
      <c r="U298" s="219"/>
      <c r="V298" s="219"/>
      <c r="W298" s="219"/>
      <c r="X298" s="219"/>
      <c r="Y298" s="219"/>
      <c r="Z298" s="219"/>
      <c r="AA298" s="219"/>
      <c r="AB298" s="219"/>
      <c r="AC298" s="219"/>
    </row>
    <row r="299" spans="1:29" ht="15.75" customHeight="1">
      <c r="A299" s="253">
        <v>44796</v>
      </c>
      <c r="B299" s="224" t="s">
        <v>4759</v>
      </c>
      <c r="C299" s="316">
        <v>3.5</v>
      </c>
      <c r="D299" s="224" t="s">
        <v>4762</v>
      </c>
      <c r="E299" s="224" t="s">
        <v>4</v>
      </c>
      <c r="F299" s="224" t="s">
        <v>602</v>
      </c>
      <c r="G299" s="224" t="s">
        <v>4763</v>
      </c>
      <c r="H299" s="224">
        <v>3</v>
      </c>
      <c r="I299" s="224" t="s">
        <v>476</v>
      </c>
      <c r="J299" s="224" t="s">
        <v>11732</v>
      </c>
      <c r="K299" s="224">
        <v>4</v>
      </c>
      <c r="L299" s="224" t="s">
        <v>478</v>
      </c>
      <c r="M299" s="332">
        <v>1800000</v>
      </c>
      <c r="N299" s="224" t="s">
        <v>452</v>
      </c>
      <c r="O299" s="224" t="s">
        <v>454</v>
      </c>
      <c r="P299" s="224"/>
      <c r="Q299" s="224" t="s">
        <v>24</v>
      </c>
      <c r="R299" s="224"/>
      <c r="S299" s="224" t="str">
        <f>IFERROR(VLOOKUP(B299,'2022-2023 Third Reviews'!$C:$S,9,FALSE),"")</f>
        <v/>
      </c>
      <c r="T299" s="224" t="s">
        <v>13092</v>
      </c>
      <c r="U299" s="224"/>
      <c r="V299" s="224"/>
      <c r="W299" s="224"/>
      <c r="X299" s="224"/>
      <c r="Y299" s="224"/>
      <c r="Z299" s="224"/>
      <c r="AA299" s="224"/>
      <c r="AB299" s="224"/>
      <c r="AC299" s="224"/>
    </row>
    <row r="300" spans="1:29" ht="15.75" customHeight="1">
      <c r="A300" s="248">
        <v>44791</v>
      </c>
      <c r="B300" s="219" t="s">
        <v>4767</v>
      </c>
      <c r="C300" s="315">
        <v>3.5</v>
      </c>
      <c r="D300" s="219" t="s">
        <v>10291</v>
      </c>
      <c r="E300" s="219" t="s">
        <v>4</v>
      </c>
      <c r="F300" s="219" t="s">
        <v>727</v>
      </c>
      <c r="G300" s="219" t="s">
        <v>10292</v>
      </c>
      <c r="H300" s="219">
        <v>4</v>
      </c>
      <c r="I300" s="219" t="s">
        <v>1298</v>
      </c>
      <c r="J300" s="219" t="s">
        <v>4772</v>
      </c>
      <c r="K300" s="219">
        <v>3</v>
      </c>
      <c r="L300" s="219"/>
      <c r="M300" s="312"/>
      <c r="N300" s="219" t="s">
        <v>465</v>
      </c>
      <c r="O300" s="219" t="s">
        <v>4773</v>
      </c>
      <c r="P300" s="219"/>
      <c r="Q300" s="322" t="s">
        <v>24</v>
      </c>
      <c r="R300" s="219"/>
      <c r="S300" s="219" t="str">
        <f>IFERROR(VLOOKUP(B300,'2022-2023 Third Reviews'!$C:$S,9,FALSE),"")</f>
        <v/>
      </c>
      <c r="T300" s="219"/>
      <c r="U300" s="219"/>
      <c r="V300" s="303"/>
      <c r="W300" s="303"/>
      <c r="X300" s="303"/>
      <c r="Y300" s="303"/>
      <c r="Z300" s="303"/>
      <c r="AA300" s="306"/>
      <c r="AB300" s="306"/>
      <c r="AC300" s="306"/>
    </row>
    <row r="301" spans="1:29" ht="15.75" customHeight="1">
      <c r="A301" s="253">
        <v>44796</v>
      </c>
      <c r="B301" s="224" t="s">
        <v>4776</v>
      </c>
      <c r="C301" s="316">
        <v>3.5</v>
      </c>
      <c r="D301" s="224" t="s">
        <v>4779</v>
      </c>
      <c r="E301" s="224" t="s">
        <v>4</v>
      </c>
      <c r="F301" s="224" t="s">
        <v>727</v>
      </c>
      <c r="G301" s="224" t="s">
        <v>10562</v>
      </c>
      <c r="H301" s="224">
        <v>4</v>
      </c>
      <c r="I301" s="224" t="s">
        <v>1045</v>
      </c>
      <c r="J301" s="224" t="s">
        <v>4781</v>
      </c>
      <c r="K301" s="224">
        <v>3</v>
      </c>
      <c r="L301" s="224"/>
      <c r="M301" s="224"/>
      <c r="N301" s="224" t="s">
        <v>452</v>
      </c>
      <c r="O301" s="224" t="s">
        <v>452</v>
      </c>
      <c r="P301" s="224"/>
      <c r="Q301" s="224" t="s">
        <v>24</v>
      </c>
      <c r="R301" s="224"/>
      <c r="S301" s="224" t="str">
        <f>IFERROR(VLOOKUP(B301,'2022-2023 Third Reviews'!$C:$S,9,FALSE),"")</f>
        <v/>
      </c>
      <c r="T301" s="224"/>
      <c r="U301" s="224"/>
      <c r="V301" s="224"/>
      <c r="W301" s="224"/>
      <c r="X301" s="224"/>
      <c r="Y301" s="224"/>
      <c r="Z301" s="224"/>
      <c r="AA301" s="224"/>
      <c r="AB301" s="224"/>
      <c r="AC301" s="224"/>
    </row>
    <row r="302" spans="1:29" ht="15.75" hidden="1" customHeight="1">
      <c r="A302" s="280">
        <v>44784</v>
      </c>
      <c r="B302" s="281" t="s">
        <v>8439</v>
      </c>
      <c r="C302" s="282">
        <v>2.5</v>
      </c>
      <c r="D302" s="281" t="s">
        <v>8442</v>
      </c>
      <c r="E302" s="281" t="s">
        <v>3</v>
      </c>
      <c r="F302" s="281" t="s">
        <v>460</v>
      </c>
      <c r="G302" s="281" t="s">
        <v>8443</v>
      </c>
      <c r="H302" s="281">
        <v>2</v>
      </c>
      <c r="I302" s="281" t="s">
        <v>462</v>
      </c>
      <c r="J302" s="281" t="s">
        <v>8444</v>
      </c>
      <c r="K302" s="281">
        <v>3</v>
      </c>
      <c r="L302" s="281" t="s">
        <v>923</v>
      </c>
      <c r="M302" s="288">
        <v>5000000</v>
      </c>
      <c r="N302" s="281" t="s">
        <v>454</v>
      </c>
      <c r="O302" s="288" t="s">
        <v>8445</v>
      </c>
      <c r="P302" s="281"/>
      <c r="Q302" s="281" t="s">
        <v>24</v>
      </c>
      <c r="R302" s="283" t="s">
        <v>8446</v>
      </c>
      <c r="S302" s="283"/>
      <c r="T302" s="283"/>
      <c r="U302" s="283"/>
      <c r="V302" s="281"/>
      <c r="W302" s="281"/>
      <c r="X302" s="281"/>
      <c r="Y302" s="281"/>
      <c r="Z302" s="281"/>
      <c r="AA302" s="258"/>
      <c r="AB302" s="258"/>
      <c r="AC302" s="258"/>
    </row>
    <row r="303" spans="1:29" ht="15.75" hidden="1" customHeight="1">
      <c r="A303" s="541">
        <v>44796</v>
      </c>
      <c r="B303" s="306" t="s">
        <v>76</v>
      </c>
      <c r="C303" s="542"/>
      <c r="D303" s="306" t="s">
        <v>532</v>
      </c>
      <c r="E303" s="306" t="s">
        <v>5</v>
      </c>
      <c r="F303" s="306" t="s">
        <v>447</v>
      </c>
      <c r="G303" s="306"/>
      <c r="H303" s="306"/>
      <c r="I303" s="306" t="s">
        <v>449</v>
      </c>
      <c r="J303" s="306" t="s">
        <v>13400</v>
      </c>
      <c r="K303" s="306">
        <v>4</v>
      </c>
      <c r="L303" s="306" t="s">
        <v>451</v>
      </c>
      <c r="M303" s="544">
        <v>6500000</v>
      </c>
      <c r="N303" s="306" t="s">
        <v>452</v>
      </c>
      <c r="O303" s="306" t="s">
        <v>535</v>
      </c>
      <c r="P303" s="306"/>
      <c r="Q303" s="306"/>
      <c r="R303" s="543"/>
      <c r="S303" s="543"/>
      <c r="T303" s="543"/>
      <c r="U303" s="543"/>
      <c r="V303" s="224"/>
      <c r="W303" s="224"/>
      <c r="X303" s="224"/>
      <c r="Y303" s="224"/>
      <c r="Z303" s="224"/>
      <c r="AA303" s="224"/>
      <c r="AB303" s="224"/>
      <c r="AC303" s="224"/>
    </row>
    <row r="304" spans="1:29" ht="15.75" hidden="1" customHeight="1">
      <c r="A304" s="257">
        <v>44796</v>
      </c>
      <c r="B304" s="258" t="s">
        <v>76</v>
      </c>
      <c r="C304" s="263">
        <v>3.5</v>
      </c>
      <c r="D304" s="258" t="s">
        <v>532</v>
      </c>
      <c r="E304" s="258" t="s">
        <v>5</v>
      </c>
      <c r="F304" s="258" t="s">
        <v>447</v>
      </c>
      <c r="G304" s="258" t="s">
        <v>11134</v>
      </c>
      <c r="H304" s="258">
        <v>3</v>
      </c>
      <c r="I304" s="258" t="s">
        <v>449</v>
      </c>
      <c r="J304" s="258" t="s">
        <v>11731</v>
      </c>
      <c r="K304" s="258">
        <v>4</v>
      </c>
      <c r="L304" s="258" t="s">
        <v>451</v>
      </c>
      <c r="M304" s="328">
        <v>6500000</v>
      </c>
      <c r="N304" s="258" t="s">
        <v>452</v>
      </c>
      <c r="O304" s="258" t="s">
        <v>535</v>
      </c>
      <c r="P304" s="258"/>
      <c r="Q304" s="258" t="s">
        <v>24</v>
      </c>
      <c r="R304" s="259" t="s">
        <v>536</v>
      </c>
      <c r="S304" s="259"/>
      <c r="T304" s="259"/>
      <c r="U304" s="259"/>
      <c r="V304" s="258"/>
      <c r="W304" s="258"/>
      <c r="X304" s="258"/>
      <c r="Y304" s="258"/>
      <c r="Z304" s="258"/>
      <c r="AA304" s="258"/>
      <c r="AB304" s="258"/>
      <c r="AC304" s="258"/>
    </row>
    <row r="305" spans="1:29" ht="15.75" customHeight="1">
      <c r="A305" s="253">
        <v>44796</v>
      </c>
      <c r="B305" s="224" t="s">
        <v>4784</v>
      </c>
      <c r="C305" s="316">
        <v>3.5</v>
      </c>
      <c r="D305" s="224" t="s">
        <v>10762</v>
      </c>
      <c r="E305" s="224" t="s">
        <v>4</v>
      </c>
      <c r="F305" s="224" t="s">
        <v>725</v>
      </c>
      <c r="G305" s="224" t="s">
        <v>4788</v>
      </c>
      <c r="H305" s="224">
        <v>4</v>
      </c>
      <c r="I305" s="224" t="s">
        <v>1298</v>
      </c>
      <c r="J305" s="224" t="s">
        <v>4789</v>
      </c>
      <c r="K305" s="224">
        <v>3</v>
      </c>
      <c r="L305" s="224" t="s">
        <v>478</v>
      </c>
      <c r="M305" s="224" t="s">
        <v>4790</v>
      </c>
      <c r="N305" s="224" t="s">
        <v>452</v>
      </c>
      <c r="O305" s="224" t="s">
        <v>575</v>
      </c>
      <c r="P305" s="224"/>
      <c r="Q305" s="224" t="s">
        <v>24</v>
      </c>
      <c r="R305" s="224"/>
      <c r="S305" s="224" t="str">
        <f>IFERROR(VLOOKUP(B305,'2022-2023 Third Reviews'!$C:$S,9,FALSE),"")</f>
        <v/>
      </c>
      <c r="T305" s="224"/>
      <c r="U305" s="224"/>
      <c r="V305" s="258"/>
      <c r="W305" s="258"/>
      <c r="X305" s="258"/>
      <c r="Y305" s="258"/>
      <c r="Z305" s="258"/>
      <c r="AA305" s="258"/>
      <c r="AB305" s="258"/>
      <c r="AC305" s="258"/>
    </row>
    <row r="306" spans="1:29" ht="15.75" customHeight="1">
      <c r="A306" s="257">
        <v>44796</v>
      </c>
      <c r="B306" s="258" t="s">
        <v>4793</v>
      </c>
      <c r="C306" s="263">
        <v>3.5</v>
      </c>
      <c r="D306" s="258" t="s">
        <v>4796</v>
      </c>
      <c r="E306" s="258" t="s">
        <v>4</v>
      </c>
      <c r="F306" s="258" t="s">
        <v>727</v>
      </c>
      <c r="G306" s="258" t="s">
        <v>10516</v>
      </c>
      <c r="H306" s="258">
        <v>4</v>
      </c>
      <c r="I306" s="258" t="s">
        <v>1350</v>
      </c>
      <c r="J306" s="258" t="s">
        <v>11726</v>
      </c>
      <c r="K306" s="258">
        <v>3</v>
      </c>
      <c r="L306" s="258"/>
      <c r="M306" s="258"/>
      <c r="N306" s="258" t="s">
        <v>452</v>
      </c>
      <c r="O306" s="258" t="s">
        <v>4799</v>
      </c>
      <c r="P306" s="258" t="s">
        <v>4800</v>
      </c>
      <c r="Q306" s="258" t="s">
        <v>24</v>
      </c>
      <c r="R306" s="258" t="s">
        <v>11727</v>
      </c>
      <c r="S306" s="258" t="str">
        <f>IFERROR(VLOOKUP(B306,'2022-2023 Third Reviews'!$C:$S,9,FALSE),"")</f>
        <v/>
      </c>
      <c r="T306" s="258"/>
      <c r="U306" s="258"/>
      <c r="V306" s="219"/>
      <c r="W306" s="219"/>
      <c r="X306" s="219"/>
      <c r="Y306" s="219"/>
      <c r="Z306" s="219"/>
      <c r="AA306" s="219"/>
      <c r="AB306" s="219"/>
      <c r="AC306" s="219"/>
    </row>
    <row r="307" spans="1:29" ht="15.75" hidden="1" customHeight="1">
      <c r="A307" s="220">
        <v>44776</v>
      </c>
      <c r="B307" s="221" t="s">
        <v>75</v>
      </c>
      <c r="C307" s="214">
        <v>4</v>
      </c>
      <c r="D307" s="221" t="s">
        <v>541</v>
      </c>
      <c r="E307" s="215" t="s">
        <v>5</v>
      </c>
      <c r="F307" s="221" t="s">
        <v>447</v>
      </c>
      <c r="G307" s="221" t="s">
        <v>542</v>
      </c>
      <c r="H307" s="221">
        <v>4.5</v>
      </c>
      <c r="I307" s="221" t="s">
        <v>543</v>
      </c>
      <c r="J307" s="221" t="s">
        <v>13400</v>
      </c>
      <c r="K307" s="221">
        <v>3.5</v>
      </c>
      <c r="L307" s="221" t="s">
        <v>545</v>
      </c>
      <c r="M307" s="221" t="s">
        <v>546</v>
      </c>
      <c r="N307" s="221" t="s">
        <v>452</v>
      </c>
      <c r="O307" s="221" t="s">
        <v>11433</v>
      </c>
      <c r="P307" s="145"/>
      <c r="Q307" s="221" t="s">
        <v>18</v>
      </c>
      <c r="R307" s="223">
        <f t="array" ref="R307">INDEX(Notes!C:C,MATCH($B307,Notes!$A:$A,0))</f>
        <v>0</v>
      </c>
      <c r="S307" s="223"/>
      <c r="T307" s="223"/>
      <c r="U307" s="223"/>
      <c r="V307" s="218"/>
      <c r="W307" s="218"/>
      <c r="X307" s="218"/>
      <c r="Y307" s="224"/>
      <c r="Z307" s="224"/>
      <c r="AA307" s="224"/>
      <c r="AB307" s="224"/>
      <c r="AC307" s="224"/>
    </row>
    <row r="308" spans="1:29" ht="15.75" customHeight="1">
      <c r="A308" s="248">
        <v>44797</v>
      </c>
      <c r="B308" s="219" t="s">
        <v>4804</v>
      </c>
      <c r="C308" s="315">
        <v>3.5</v>
      </c>
      <c r="D308" s="219" t="s">
        <v>4807</v>
      </c>
      <c r="E308" s="219" t="s">
        <v>4</v>
      </c>
      <c r="F308" s="219" t="s">
        <v>1457</v>
      </c>
      <c r="G308" s="219" t="s">
        <v>4808</v>
      </c>
      <c r="H308" s="219">
        <v>3</v>
      </c>
      <c r="I308" s="219" t="s">
        <v>462</v>
      </c>
      <c r="J308" s="219" t="s">
        <v>10817</v>
      </c>
      <c r="K308" s="219">
        <v>4</v>
      </c>
      <c r="L308" s="219" t="s">
        <v>784</v>
      </c>
      <c r="M308" s="219" t="s">
        <v>4810</v>
      </c>
      <c r="N308" s="219" t="s">
        <v>452</v>
      </c>
      <c r="O308" s="219" t="s">
        <v>4811</v>
      </c>
      <c r="P308" s="219"/>
      <c r="Q308" s="219" t="s">
        <v>24</v>
      </c>
      <c r="R308" s="219"/>
      <c r="S308" s="219" t="str">
        <f>IFERROR(VLOOKUP(B308,'2022-2023 Third Reviews'!$C:$S,9,FALSE),"")</f>
        <v/>
      </c>
      <c r="T308" s="219"/>
      <c r="U308" s="219"/>
      <c r="V308" s="219"/>
      <c r="W308" s="219"/>
      <c r="X308" s="219"/>
      <c r="Y308" s="219"/>
      <c r="Z308" s="219"/>
      <c r="AA308" s="219"/>
      <c r="AB308" s="219"/>
      <c r="AC308" s="219"/>
    </row>
    <row r="309" spans="1:29" ht="15.75" hidden="1" customHeight="1">
      <c r="A309" s="253">
        <v>44796</v>
      </c>
      <c r="B309" s="224" t="s">
        <v>2353</v>
      </c>
      <c r="C309" s="316">
        <v>1.5</v>
      </c>
      <c r="D309" s="224" t="s">
        <v>2356</v>
      </c>
      <c r="E309" s="224" t="s">
        <v>5</v>
      </c>
      <c r="F309" s="224" t="s">
        <v>447</v>
      </c>
      <c r="G309" s="224" t="s">
        <v>11251</v>
      </c>
      <c r="H309" s="224">
        <v>2</v>
      </c>
      <c r="I309" s="224" t="s">
        <v>622</v>
      </c>
      <c r="J309" s="224" t="s">
        <v>2358</v>
      </c>
      <c r="K309" s="224">
        <v>1</v>
      </c>
      <c r="L309" s="224" t="s">
        <v>451</v>
      </c>
      <c r="M309" s="224">
        <v>3000000</v>
      </c>
      <c r="N309" s="224" t="s">
        <v>452</v>
      </c>
      <c r="O309" s="224" t="s">
        <v>2359</v>
      </c>
      <c r="P309" s="224"/>
      <c r="Q309" s="224" t="s">
        <v>24</v>
      </c>
      <c r="R309" s="254"/>
      <c r="S309" s="254"/>
      <c r="T309" s="254"/>
      <c r="U309" s="254"/>
      <c r="V309" s="224"/>
      <c r="W309" s="224"/>
      <c r="X309" s="224"/>
      <c r="Y309" s="224"/>
      <c r="Z309" s="224"/>
      <c r="AA309" s="224"/>
      <c r="AB309" s="224"/>
      <c r="AC309" s="224"/>
    </row>
    <row r="310" spans="1:29" ht="15.75" customHeight="1">
      <c r="A310" s="248">
        <v>44796</v>
      </c>
      <c r="B310" s="219" t="s">
        <v>4814</v>
      </c>
      <c r="C310" s="315">
        <v>3.5</v>
      </c>
      <c r="D310" s="219" t="s">
        <v>4817</v>
      </c>
      <c r="E310" s="219" t="s">
        <v>4</v>
      </c>
      <c r="F310" s="219" t="s">
        <v>727</v>
      </c>
      <c r="G310" s="219" t="s">
        <v>10656</v>
      </c>
      <c r="H310" s="219">
        <v>3.5</v>
      </c>
      <c r="I310" s="219" t="s">
        <v>1350</v>
      </c>
      <c r="J310" s="219" t="s">
        <v>4819</v>
      </c>
      <c r="K310" s="219">
        <v>3.5</v>
      </c>
      <c r="L310" s="219" t="s">
        <v>451</v>
      </c>
      <c r="M310" s="219">
        <v>5000000</v>
      </c>
      <c r="N310" s="219" t="s">
        <v>452</v>
      </c>
      <c r="O310" s="219" t="s">
        <v>10657</v>
      </c>
      <c r="P310" s="219"/>
      <c r="Q310" s="219" t="s">
        <v>24</v>
      </c>
      <c r="R310" s="219"/>
      <c r="S310" s="219" t="str">
        <f>IFERROR(VLOOKUP(B310,'2022-2023 Third Reviews'!$C:$S,9,FALSE),"")</f>
        <v/>
      </c>
      <c r="T310" s="219"/>
      <c r="U310" s="219"/>
      <c r="V310" s="219"/>
      <c r="W310" s="219"/>
      <c r="X310" s="219"/>
      <c r="Y310" s="219"/>
      <c r="Z310" s="219"/>
      <c r="AA310" s="219"/>
      <c r="AB310" s="219"/>
      <c r="AC310" s="219"/>
    </row>
    <row r="311" spans="1:29" ht="15.75" customHeight="1">
      <c r="A311" s="253">
        <v>44782</v>
      </c>
      <c r="B311" s="224" t="s">
        <v>4822</v>
      </c>
      <c r="C311" s="249">
        <v>3.5</v>
      </c>
      <c r="D311" s="224" t="s">
        <v>4825</v>
      </c>
      <c r="E311" s="250" t="s">
        <v>4</v>
      </c>
      <c r="F311" s="224" t="s">
        <v>727</v>
      </c>
      <c r="G311" s="224" t="s">
        <v>11388</v>
      </c>
      <c r="H311" s="224">
        <v>3</v>
      </c>
      <c r="I311" s="224" t="s">
        <v>476</v>
      </c>
      <c r="J311" s="224" t="s">
        <v>13400</v>
      </c>
      <c r="K311" s="224">
        <v>4</v>
      </c>
      <c r="L311" s="224" t="s">
        <v>451</v>
      </c>
      <c r="M311" s="224" t="s">
        <v>4828</v>
      </c>
      <c r="N311" s="224" t="s">
        <v>452</v>
      </c>
      <c r="O311" s="224" t="s">
        <v>4829</v>
      </c>
      <c r="P311" s="224"/>
      <c r="Q311" s="224"/>
      <c r="R311" s="224"/>
      <c r="S311" s="224" t="str">
        <f ca="1">IFERROR(VLOOKUP(B311,'2022-2023 Third Reviews'!$C:$S,9,FALSE),"")</f>
        <v>Ahmed Bahgat
3</v>
      </c>
      <c r="T311" s="224" t="s">
        <v>13252</v>
      </c>
      <c r="U311" s="224"/>
      <c r="V311" s="224"/>
      <c r="W311" s="224"/>
      <c r="X311" s="224"/>
      <c r="Y311" s="224"/>
      <c r="Z311" s="224"/>
      <c r="AA311" s="224"/>
      <c r="AB311" s="224"/>
      <c r="AC311" s="224"/>
    </row>
    <row r="312" spans="1:29" ht="15.75" customHeight="1">
      <c r="A312" s="248">
        <v>44797</v>
      </c>
      <c r="B312" s="219" t="s">
        <v>4831</v>
      </c>
      <c r="C312" s="315">
        <v>3.5</v>
      </c>
      <c r="D312" s="219" t="s">
        <v>4834</v>
      </c>
      <c r="E312" s="219" t="s">
        <v>4</v>
      </c>
      <c r="F312" s="219" t="s">
        <v>725</v>
      </c>
      <c r="G312" s="219" t="s">
        <v>10779</v>
      </c>
      <c r="H312" s="219">
        <v>3.5</v>
      </c>
      <c r="I312" s="219" t="s">
        <v>462</v>
      </c>
      <c r="J312" s="219" t="s">
        <v>4836</v>
      </c>
      <c r="K312" s="219">
        <v>3.5</v>
      </c>
      <c r="L312" s="219" t="s">
        <v>451</v>
      </c>
      <c r="M312" s="331">
        <v>2000000</v>
      </c>
      <c r="N312" s="219" t="s">
        <v>452</v>
      </c>
      <c r="O312" s="219" t="s">
        <v>452</v>
      </c>
      <c r="P312" s="219"/>
      <c r="Q312" s="219" t="s">
        <v>24</v>
      </c>
      <c r="R312" s="219"/>
      <c r="S312" s="219" t="str">
        <f>IFERROR(VLOOKUP(B312,'2022-2023 Third Reviews'!$C:$S,9,FALSE),"")</f>
        <v/>
      </c>
      <c r="T312" s="219"/>
      <c r="U312" s="219"/>
      <c r="V312" s="252"/>
      <c r="W312" s="252"/>
      <c r="X312" s="252"/>
      <c r="Y312" s="219"/>
      <c r="Z312" s="219"/>
      <c r="AA312" s="219"/>
      <c r="AB312" s="219"/>
      <c r="AC312" s="219"/>
    </row>
    <row r="313" spans="1:29" ht="15.75" customHeight="1">
      <c r="A313" s="253">
        <v>44789</v>
      </c>
      <c r="B313" s="224" t="s">
        <v>4839</v>
      </c>
      <c r="C313" s="249">
        <v>3.5</v>
      </c>
      <c r="D313" s="224" t="s">
        <v>4842</v>
      </c>
      <c r="E313" s="250" t="s">
        <v>4</v>
      </c>
      <c r="F313" s="224" t="s">
        <v>602</v>
      </c>
      <c r="G313" s="224" t="s">
        <v>4843</v>
      </c>
      <c r="H313" s="224">
        <v>4</v>
      </c>
      <c r="I313" s="224" t="s">
        <v>476</v>
      </c>
      <c r="J313" s="224" t="s">
        <v>13400</v>
      </c>
      <c r="K313" s="224">
        <v>3</v>
      </c>
      <c r="L313" s="224" t="s">
        <v>478</v>
      </c>
      <c r="M313" s="311">
        <v>5000000</v>
      </c>
      <c r="N313" s="224" t="s">
        <v>452</v>
      </c>
      <c r="O313" s="224" t="s">
        <v>4845</v>
      </c>
      <c r="P313" s="224"/>
      <c r="Q313" s="224" t="s">
        <v>24</v>
      </c>
      <c r="R313" s="224"/>
      <c r="S313" s="224" t="str">
        <f>IFERROR(VLOOKUP(B313,'2022-2023 Third Reviews'!$C:$S,9,FALSE),"")</f>
        <v/>
      </c>
      <c r="T313" s="224" t="s">
        <v>13253</v>
      </c>
      <c r="U313" s="224"/>
      <c r="V313" s="306"/>
      <c r="W313" s="306"/>
      <c r="X313" s="306"/>
      <c r="Y313" s="306"/>
      <c r="Z313" s="306"/>
      <c r="AA313" s="306"/>
      <c r="AB313" s="306"/>
      <c r="AC313" s="306"/>
    </row>
    <row r="314" spans="1:29" ht="15.75" hidden="1" customHeight="1">
      <c r="A314" s="301">
        <v>44789</v>
      </c>
      <c r="B314" s="303" t="s">
        <v>2361</v>
      </c>
      <c r="C314" s="269"/>
      <c r="D314" s="303" t="s">
        <v>10658</v>
      </c>
      <c r="E314" s="270" t="s">
        <v>5</v>
      </c>
      <c r="F314" s="303" t="s">
        <v>447</v>
      </c>
      <c r="G314" s="303" t="s">
        <v>10659</v>
      </c>
      <c r="H314" s="303">
        <v>2.5</v>
      </c>
      <c r="I314" s="303" t="s">
        <v>622</v>
      </c>
      <c r="J314" s="303"/>
      <c r="K314" s="303"/>
      <c r="L314" s="303"/>
      <c r="M314" s="303"/>
      <c r="N314" s="303" t="s">
        <v>452</v>
      </c>
      <c r="O314" s="303" t="s">
        <v>2367</v>
      </c>
      <c r="P314" s="303" t="s">
        <v>2368</v>
      </c>
      <c r="Q314" s="303"/>
      <c r="R314" s="305"/>
      <c r="S314" s="305"/>
      <c r="T314" s="305"/>
      <c r="U314" s="305"/>
      <c r="V314" s="303"/>
      <c r="W314" s="303"/>
      <c r="X314" s="303"/>
      <c r="Y314" s="303"/>
      <c r="Z314" s="303"/>
      <c r="AA314" s="306"/>
      <c r="AB314" s="306"/>
      <c r="AC314" s="306"/>
    </row>
    <row r="315" spans="1:29" ht="15.75" hidden="1" customHeight="1">
      <c r="A315" s="253">
        <v>44789</v>
      </c>
      <c r="B315" s="224" t="s">
        <v>2361</v>
      </c>
      <c r="C315" s="249">
        <v>2.25</v>
      </c>
      <c r="D315" s="224" t="s">
        <v>10658</v>
      </c>
      <c r="E315" s="250" t="s">
        <v>5</v>
      </c>
      <c r="F315" s="224" t="s">
        <v>447</v>
      </c>
      <c r="G315" s="224" t="s">
        <v>10659</v>
      </c>
      <c r="H315" s="224">
        <v>2.5</v>
      </c>
      <c r="I315" s="224" t="s">
        <v>622</v>
      </c>
      <c r="J315" s="224" t="s">
        <v>2366</v>
      </c>
      <c r="K315" s="224">
        <v>2</v>
      </c>
      <c r="L315" s="224"/>
      <c r="M315" s="224"/>
      <c r="N315" s="224" t="s">
        <v>452</v>
      </c>
      <c r="O315" s="224" t="s">
        <v>2367</v>
      </c>
      <c r="P315" s="224" t="s">
        <v>2368</v>
      </c>
      <c r="Q315" s="224" t="s">
        <v>24</v>
      </c>
      <c r="R315" s="254"/>
      <c r="S315" s="254"/>
      <c r="T315" s="254"/>
      <c r="U315" s="254"/>
      <c r="V315" s="252"/>
      <c r="W315" s="252"/>
      <c r="X315" s="252"/>
      <c r="Y315" s="224"/>
      <c r="Z315" s="224"/>
      <c r="AA315" s="224"/>
      <c r="AB315" s="224"/>
      <c r="AC315" s="224"/>
    </row>
    <row r="316" spans="1:29" ht="15.75" customHeight="1">
      <c r="A316" s="248">
        <v>44789</v>
      </c>
      <c r="B316" s="219" t="s">
        <v>4848</v>
      </c>
      <c r="C316" s="249">
        <v>3.5</v>
      </c>
      <c r="D316" s="219" t="s">
        <v>4851</v>
      </c>
      <c r="E316" s="250" t="s">
        <v>4</v>
      </c>
      <c r="F316" s="219" t="s">
        <v>727</v>
      </c>
      <c r="G316" s="219" t="s">
        <v>11387</v>
      </c>
      <c r="H316" s="219">
        <v>3.5</v>
      </c>
      <c r="I316" s="219" t="s">
        <v>1045</v>
      </c>
      <c r="J316" s="219" t="s">
        <v>4853</v>
      </c>
      <c r="K316" s="219">
        <v>3.5</v>
      </c>
      <c r="L316" s="219"/>
      <c r="M316" s="219"/>
      <c r="N316" s="219" t="s">
        <v>452</v>
      </c>
      <c r="O316" s="219" t="s">
        <v>575</v>
      </c>
      <c r="P316" s="219"/>
      <c r="Q316" s="219" t="s">
        <v>24</v>
      </c>
      <c r="R316" s="219"/>
      <c r="S316" s="219" t="str">
        <f ca="1">IFERROR(VLOOKUP(B316,'2022-2023 Third Reviews'!$C:$S,9,FALSE),"")</f>
        <v>Joshua Rubnitz
3</v>
      </c>
      <c r="T316" s="219"/>
      <c r="U316" s="219"/>
      <c r="V316" s="219"/>
      <c r="W316" s="219"/>
      <c r="X316" s="219"/>
      <c r="Y316" s="219"/>
      <c r="Z316" s="219"/>
      <c r="AA316" s="219"/>
      <c r="AB316" s="219"/>
      <c r="AC316" s="219"/>
    </row>
    <row r="317" spans="1:29" ht="15.75" customHeight="1">
      <c r="A317" s="253">
        <v>44797</v>
      </c>
      <c r="B317" s="224" t="s">
        <v>4856</v>
      </c>
      <c r="C317" s="316">
        <v>3.5</v>
      </c>
      <c r="D317" s="224" t="s">
        <v>4859</v>
      </c>
      <c r="E317" s="224" t="s">
        <v>4</v>
      </c>
      <c r="F317" s="224" t="s">
        <v>1045</v>
      </c>
      <c r="G317" s="224" t="s">
        <v>4860</v>
      </c>
      <c r="H317" s="224">
        <v>3</v>
      </c>
      <c r="I317" s="224" t="s">
        <v>1457</v>
      </c>
      <c r="J317" s="224" t="s">
        <v>4861</v>
      </c>
      <c r="K317" s="224">
        <v>4</v>
      </c>
      <c r="L317" s="224"/>
      <c r="M317" s="224"/>
      <c r="N317" s="224" t="s">
        <v>465</v>
      </c>
      <c r="O317" s="224" t="s">
        <v>4862</v>
      </c>
      <c r="P317" s="224"/>
      <c r="Q317" s="224" t="s">
        <v>24</v>
      </c>
      <c r="R317" s="224"/>
      <c r="S317" s="224" t="str">
        <f>IFERROR(VLOOKUP(B317,'2022-2023 Third Reviews'!$C:$S,9,FALSE),"")</f>
        <v/>
      </c>
      <c r="T317" s="224"/>
      <c r="U317" s="224"/>
      <c r="V317" s="224"/>
      <c r="W317" s="224"/>
      <c r="X317" s="224"/>
      <c r="Y317" s="224"/>
      <c r="Z317" s="224"/>
      <c r="AA317" s="224"/>
      <c r="AB317" s="224"/>
      <c r="AC317" s="224"/>
    </row>
    <row r="318" spans="1:29" ht="15.75" customHeight="1">
      <c r="A318" s="248">
        <v>44791</v>
      </c>
      <c r="B318" s="219" t="s">
        <v>4865</v>
      </c>
      <c r="C318" s="315">
        <v>3.5</v>
      </c>
      <c r="D318" s="219" t="s">
        <v>4868</v>
      </c>
      <c r="E318" s="219" t="s">
        <v>4</v>
      </c>
      <c r="F318" s="219" t="s">
        <v>727</v>
      </c>
      <c r="G318" s="219" t="s">
        <v>10645</v>
      </c>
      <c r="H318" s="219">
        <v>3</v>
      </c>
      <c r="I318" s="219" t="s">
        <v>1457</v>
      </c>
      <c r="J318" s="219" t="s">
        <v>4870</v>
      </c>
      <c r="K318" s="219">
        <v>4</v>
      </c>
      <c r="L318" s="219"/>
      <c r="M318" s="219"/>
      <c r="N318" s="219" t="s">
        <v>452</v>
      </c>
      <c r="O318" s="219" t="s">
        <v>452</v>
      </c>
      <c r="P318" s="219"/>
      <c r="Q318" s="322" t="s">
        <v>24</v>
      </c>
      <c r="R318" s="219"/>
      <c r="S318" s="219" t="str">
        <f>IFERROR(VLOOKUP(B318,'2022-2023 Third Reviews'!$C:$S,9,FALSE),"")</f>
        <v/>
      </c>
      <c r="T318" s="219"/>
      <c r="U318" s="219"/>
      <c r="V318" s="219"/>
      <c r="W318" s="219"/>
      <c r="X318" s="219"/>
      <c r="Y318" s="219"/>
      <c r="Z318" s="219"/>
      <c r="AA318" s="219"/>
      <c r="AB318" s="219"/>
      <c r="AC318" s="219"/>
    </row>
    <row r="319" spans="1:29" ht="15.75" customHeight="1">
      <c r="A319" s="253">
        <v>44791</v>
      </c>
      <c r="B319" s="224" t="s">
        <v>4872</v>
      </c>
      <c r="C319" s="316">
        <v>3.5</v>
      </c>
      <c r="D319" s="224" t="s">
        <v>11057</v>
      </c>
      <c r="E319" s="224" t="s">
        <v>4</v>
      </c>
      <c r="F319" s="224" t="s">
        <v>602</v>
      </c>
      <c r="G319" s="224" t="s">
        <v>4876</v>
      </c>
      <c r="H319" s="224">
        <v>3.5</v>
      </c>
      <c r="I319" s="224" t="s">
        <v>1045</v>
      </c>
      <c r="J319" s="224" t="s">
        <v>4877</v>
      </c>
      <c r="K319" s="224">
        <v>3.5</v>
      </c>
      <c r="L319" s="224" t="s">
        <v>478</v>
      </c>
      <c r="M319" s="307">
        <v>3000000</v>
      </c>
      <c r="N319" s="224" t="s">
        <v>452</v>
      </c>
      <c r="O319" s="224" t="s">
        <v>4878</v>
      </c>
      <c r="P319" s="224"/>
      <c r="Q319" s="322" t="s">
        <v>24</v>
      </c>
      <c r="R319" s="224"/>
      <c r="S319" s="224" t="str">
        <f>IFERROR(VLOOKUP(B319,'2022-2023 Third Reviews'!$C:$S,9,FALSE),"")</f>
        <v/>
      </c>
      <c r="T319" s="224"/>
      <c r="U319" s="224"/>
      <c r="V319" s="306"/>
      <c r="W319" s="306"/>
      <c r="X319" s="306"/>
      <c r="Y319" s="306"/>
      <c r="Z319" s="306"/>
      <c r="AA319" s="306"/>
      <c r="AB319" s="306"/>
      <c r="AC319" s="306"/>
    </row>
    <row r="320" spans="1:29" ht="15.75" customHeight="1">
      <c r="A320" s="398">
        <v>44784</v>
      </c>
      <c r="B320" s="268" t="s">
        <v>4881</v>
      </c>
      <c r="C320" s="269">
        <v>3.5</v>
      </c>
      <c r="D320" s="268" t="s">
        <v>4884</v>
      </c>
      <c r="E320" s="270" t="s">
        <v>4</v>
      </c>
      <c r="F320" s="268" t="s">
        <v>727</v>
      </c>
      <c r="G320" s="268" t="s">
        <v>10715</v>
      </c>
      <c r="H320" s="268">
        <v>3.5</v>
      </c>
      <c r="I320" s="268" t="s">
        <v>1054</v>
      </c>
      <c r="J320" s="268" t="s">
        <v>4886</v>
      </c>
      <c r="K320" s="268">
        <v>3.5</v>
      </c>
      <c r="L320" s="268" t="s">
        <v>451</v>
      </c>
      <c r="M320" s="275">
        <v>1200000</v>
      </c>
      <c r="N320" s="268" t="s">
        <v>452</v>
      </c>
      <c r="O320" s="275" t="s">
        <v>4887</v>
      </c>
      <c r="P320" s="268"/>
      <c r="Q320" s="268" t="s">
        <v>24</v>
      </c>
      <c r="R320" s="268"/>
      <c r="S320" s="268" t="str">
        <f>IFERROR(VLOOKUP(B320,'2022-2023 Third Reviews'!$C:$S,9,FALSE),"")</f>
        <v/>
      </c>
      <c r="T320" s="268"/>
      <c r="U320" s="268"/>
      <c r="V320" s="219"/>
      <c r="W320" s="219"/>
      <c r="X320" s="219"/>
      <c r="Y320" s="219"/>
      <c r="Z320" s="219"/>
      <c r="AA320" s="219"/>
      <c r="AB320" s="219"/>
      <c r="AC320" s="219"/>
    </row>
    <row r="321" spans="1:29" ht="15.75" customHeight="1">
      <c r="A321" s="321">
        <v>44791</v>
      </c>
      <c r="B321" s="322" t="s">
        <v>4890</v>
      </c>
      <c r="C321" s="323">
        <v>3.5</v>
      </c>
      <c r="D321" s="322" t="s">
        <v>4893</v>
      </c>
      <c r="E321" s="322" t="s">
        <v>4</v>
      </c>
      <c r="F321" s="322" t="s">
        <v>727</v>
      </c>
      <c r="G321" s="322" t="s">
        <v>10288</v>
      </c>
      <c r="H321" s="322">
        <v>3</v>
      </c>
      <c r="I321" s="322" t="s">
        <v>1457</v>
      </c>
      <c r="J321" s="322" t="s">
        <v>4895</v>
      </c>
      <c r="K321" s="322">
        <v>4</v>
      </c>
      <c r="L321" s="322" t="s">
        <v>451</v>
      </c>
      <c r="M321" s="324">
        <v>2400000</v>
      </c>
      <c r="N321" s="322" t="s">
        <v>452</v>
      </c>
      <c r="O321" s="322" t="s">
        <v>4896</v>
      </c>
      <c r="P321" s="322"/>
      <c r="Q321" s="322" t="s">
        <v>24</v>
      </c>
      <c r="R321" s="322"/>
      <c r="S321" s="322" t="str">
        <f>IFERROR(VLOOKUP(B321,'2022-2023 Third Reviews'!$C:$S,9,FALSE),"")</f>
        <v/>
      </c>
      <c r="T321" s="322"/>
      <c r="U321" s="322"/>
      <c r="V321" s="224"/>
      <c r="W321" s="224"/>
      <c r="X321" s="224"/>
      <c r="Y321" s="224"/>
      <c r="Z321" s="224"/>
      <c r="AA321" s="224"/>
      <c r="AB321" s="224"/>
      <c r="AC321" s="224"/>
    </row>
    <row r="322" spans="1:29" ht="15.75" hidden="1" customHeight="1">
      <c r="A322" s="248">
        <v>44782</v>
      </c>
      <c r="B322" s="219" t="s">
        <v>8448</v>
      </c>
      <c r="C322" s="249">
        <v>1</v>
      </c>
      <c r="D322" s="219" t="s">
        <v>8451</v>
      </c>
      <c r="E322" s="250" t="s">
        <v>3</v>
      </c>
      <c r="F322" s="219" t="s">
        <v>460</v>
      </c>
      <c r="G322" s="219" t="s">
        <v>8452</v>
      </c>
      <c r="H322" s="219">
        <v>1</v>
      </c>
      <c r="I322" s="219" t="s">
        <v>488</v>
      </c>
      <c r="J322" s="219"/>
      <c r="K322" s="219">
        <v>1</v>
      </c>
      <c r="L322" s="219" t="s">
        <v>8453</v>
      </c>
      <c r="M322" s="219" t="s">
        <v>8454</v>
      </c>
      <c r="N322" s="219" t="s">
        <v>465</v>
      </c>
      <c r="O322" s="219" t="s">
        <v>8455</v>
      </c>
      <c r="P322" s="219"/>
      <c r="Q322" s="219" t="s">
        <v>24</v>
      </c>
      <c r="R322" s="251"/>
      <c r="S322" s="251"/>
      <c r="T322" s="251"/>
      <c r="U322" s="251"/>
      <c r="V322" s="252"/>
      <c r="W322" s="252"/>
      <c r="X322" s="252"/>
      <c r="Y322" s="219"/>
      <c r="Z322" s="219"/>
      <c r="AA322" s="219"/>
      <c r="AB322" s="219"/>
      <c r="AC322" s="219"/>
    </row>
    <row r="323" spans="1:29" ht="15.75" customHeight="1">
      <c r="A323" s="233">
        <v>44776</v>
      </c>
      <c r="B323" s="245" t="s">
        <v>13254</v>
      </c>
      <c r="C323" s="241">
        <v>3.5</v>
      </c>
      <c r="D323" s="234" t="s">
        <v>9560</v>
      </c>
      <c r="E323" s="242" t="s">
        <v>4</v>
      </c>
      <c r="F323" s="234" t="s">
        <v>447</v>
      </c>
      <c r="G323" s="234" t="s">
        <v>9561</v>
      </c>
      <c r="H323" s="234">
        <v>3</v>
      </c>
      <c r="I323" s="234" t="s">
        <v>449</v>
      </c>
      <c r="J323" s="234" t="e">
        <f>+the Team seems Credible
+Revenue and interest from Large companies proves the products value
+the product seems well developed</f>
        <v>#NAME?</v>
      </c>
      <c r="K323" s="234">
        <v>4</v>
      </c>
      <c r="L323" s="234" t="s">
        <v>451</v>
      </c>
      <c r="M323" s="234" t="s">
        <v>2018</v>
      </c>
      <c r="N323" s="234" t="s">
        <v>465</v>
      </c>
      <c r="O323" s="234" t="s">
        <v>9563</v>
      </c>
      <c r="P323" s="237"/>
      <c r="Q323" s="234" t="s">
        <v>20</v>
      </c>
      <c r="R323" s="234" t="s">
        <v>9564</v>
      </c>
      <c r="S323" s="234" t="str">
        <f ca="1">IFERROR(VLOOKUP(B323,'2022-2023 Third Reviews'!$C:$S,9,FALSE),"")</f>
        <v>Chris Millisits
4</v>
      </c>
      <c r="T323" s="234" t="s">
        <v>13255</v>
      </c>
      <c r="U323" s="234"/>
      <c r="V323" s="224"/>
      <c r="W323" s="224"/>
      <c r="X323" s="224"/>
      <c r="Y323" s="224"/>
      <c r="Z323" s="224"/>
      <c r="AA323" s="224"/>
      <c r="AB323" s="224"/>
      <c r="AC323" s="224"/>
    </row>
    <row r="324" spans="1:29" ht="15.75" hidden="1" customHeight="1">
      <c r="A324" s="255">
        <v>44791</v>
      </c>
      <c r="B324" s="239" t="s">
        <v>10951</v>
      </c>
      <c r="C324" s="262">
        <v>3.25</v>
      </c>
      <c r="D324" s="239" t="s">
        <v>2374</v>
      </c>
      <c r="E324" s="239" t="s">
        <v>5</v>
      </c>
      <c r="F324" s="239" t="s">
        <v>447</v>
      </c>
      <c r="G324" s="239" t="s">
        <v>10952</v>
      </c>
      <c r="H324" s="239">
        <v>3</v>
      </c>
      <c r="I324" s="239" t="s">
        <v>449</v>
      </c>
      <c r="J324" s="239" t="s">
        <v>11682</v>
      </c>
      <c r="K324" s="239">
        <v>3.5</v>
      </c>
      <c r="L324" s="239"/>
      <c r="M324" s="239"/>
      <c r="N324" s="239" t="s">
        <v>452</v>
      </c>
      <c r="O324" s="239" t="s">
        <v>10954</v>
      </c>
      <c r="P324" s="239"/>
      <c r="Q324" s="239" t="s">
        <v>24</v>
      </c>
      <c r="R324" s="256"/>
      <c r="S324" s="256"/>
      <c r="T324" s="256"/>
      <c r="U324" s="256"/>
      <c r="V324" s="239"/>
      <c r="W324" s="239"/>
      <c r="X324" s="239"/>
      <c r="Y324" s="239"/>
      <c r="Z324" s="239"/>
      <c r="AA324" s="239"/>
      <c r="AB324" s="239"/>
      <c r="AC324" s="239"/>
    </row>
    <row r="325" spans="1:29" ht="15.75" customHeight="1">
      <c r="A325" s="398">
        <v>44784</v>
      </c>
      <c r="B325" s="272" t="s">
        <v>4899</v>
      </c>
      <c r="C325" s="269">
        <v>3.5</v>
      </c>
      <c r="D325" s="272" t="s">
        <v>10229</v>
      </c>
      <c r="E325" s="270" t="s">
        <v>4</v>
      </c>
      <c r="F325" s="272" t="s">
        <v>602</v>
      </c>
      <c r="G325" s="272" t="s">
        <v>10230</v>
      </c>
      <c r="H325" s="272">
        <v>3</v>
      </c>
      <c r="I325" s="272" t="s">
        <v>727</v>
      </c>
      <c r="J325" s="272" t="s">
        <v>10231</v>
      </c>
      <c r="K325" s="272">
        <v>4</v>
      </c>
      <c r="L325" s="272"/>
      <c r="M325" s="272"/>
      <c r="N325" s="272" t="s">
        <v>452</v>
      </c>
      <c r="O325" s="272" t="s">
        <v>4905</v>
      </c>
      <c r="P325" s="272"/>
      <c r="Q325" s="272" t="s">
        <v>24</v>
      </c>
      <c r="R325" s="272"/>
      <c r="S325" s="272" t="str">
        <f ca="1">IFERROR(VLOOKUP(B325,'2022-2023 Third Reviews'!$C:$S,9,FALSE),"")</f>
        <v>Chris Millisits
3</v>
      </c>
      <c r="T325" s="272"/>
      <c r="U325" s="272"/>
      <c r="V325" s="224"/>
      <c r="W325" s="224"/>
      <c r="X325" s="224"/>
      <c r="Y325" s="224"/>
      <c r="Z325" s="224"/>
      <c r="AA325" s="224"/>
      <c r="AB325" s="224"/>
      <c r="AC325" s="224"/>
    </row>
    <row r="326" spans="1:29" ht="15.75" customHeight="1">
      <c r="A326" s="248">
        <v>44796</v>
      </c>
      <c r="B326" s="219" t="s">
        <v>4908</v>
      </c>
      <c r="C326" s="315">
        <v>3.5</v>
      </c>
      <c r="D326" s="219" t="s">
        <v>4911</v>
      </c>
      <c r="E326" s="219" t="s">
        <v>4</v>
      </c>
      <c r="F326" s="219" t="s">
        <v>1457</v>
      </c>
      <c r="G326" s="219" t="s">
        <v>4912</v>
      </c>
      <c r="H326" s="219">
        <v>4</v>
      </c>
      <c r="I326" s="219" t="s">
        <v>1045</v>
      </c>
      <c r="J326" s="219" t="s">
        <v>4913</v>
      </c>
      <c r="K326" s="219">
        <v>3</v>
      </c>
      <c r="L326" s="219" t="s">
        <v>451</v>
      </c>
      <c r="M326" s="331">
        <v>500000</v>
      </c>
      <c r="N326" s="219" t="s">
        <v>452</v>
      </c>
      <c r="O326" s="219" t="s">
        <v>4914</v>
      </c>
      <c r="P326" s="219"/>
      <c r="Q326" s="219" t="s">
        <v>24</v>
      </c>
      <c r="R326" s="219"/>
      <c r="S326" s="219" t="str">
        <f>IFERROR(VLOOKUP(B326,'2022-2023 Third Reviews'!$C:$S,9,FALSE),"")</f>
        <v/>
      </c>
      <c r="T326" s="219"/>
      <c r="U326" s="219"/>
      <c r="V326" s="219"/>
      <c r="W326" s="219"/>
      <c r="X326" s="219"/>
      <c r="Y326" s="219"/>
      <c r="Z326" s="219"/>
      <c r="AA326" s="219"/>
      <c r="AB326" s="219"/>
      <c r="AC326" s="219"/>
    </row>
    <row r="327" spans="1:29" ht="15.75" hidden="1" customHeight="1">
      <c r="A327" s="541">
        <v>44796</v>
      </c>
      <c r="B327" s="306" t="s">
        <v>13229</v>
      </c>
      <c r="C327" s="542"/>
      <c r="D327" s="306" t="s">
        <v>8461</v>
      </c>
      <c r="E327" s="306" t="s">
        <v>3</v>
      </c>
      <c r="F327" s="306" t="s">
        <v>460</v>
      </c>
      <c r="G327" s="306"/>
      <c r="H327" s="306"/>
      <c r="I327" s="306" t="s">
        <v>462</v>
      </c>
      <c r="J327" s="306"/>
      <c r="K327" s="306"/>
      <c r="L327" s="306"/>
      <c r="M327" s="306"/>
      <c r="N327" s="306" t="s">
        <v>452</v>
      </c>
      <c r="O327" s="306" t="s">
        <v>452</v>
      </c>
      <c r="P327" s="306"/>
      <c r="Q327" s="306"/>
      <c r="R327" s="543"/>
      <c r="S327" s="543"/>
      <c r="T327" s="543"/>
      <c r="U327" s="543"/>
      <c r="V327" s="306"/>
      <c r="W327" s="306"/>
      <c r="X327" s="306"/>
      <c r="Y327" s="306"/>
      <c r="Z327" s="306"/>
      <c r="AA327" s="306"/>
      <c r="AB327" s="306"/>
      <c r="AC327" s="306"/>
    </row>
    <row r="328" spans="1:29" ht="15.75" hidden="1" customHeight="1">
      <c r="A328" s="248">
        <v>44796</v>
      </c>
      <c r="B328" s="219" t="s">
        <v>10349</v>
      </c>
      <c r="C328" s="315">
        <v>1</v>
      </c>
      <c r="D328" s="219" t="s">
        <v>8461</v>
      </c>
      <c r="E328" s="219" t="s">
        <v>3</v>
      </c>
      <c r="F328" s="219" t="s">
        <v>460</v>
      </c>
      <c r="G328" s="219" t="s">
        <v>8462</v>
      </c>
      <c r="H328" s="219">
        <v>1</v>
      </c>
      <c r="I328" s="219" t="s">
        <v>462</v>
      </c>
      <c r="J328" s="219" t="s">
        <v>8463</v>
      </c>
      <c r="K328" s="219">
        <v>1</v>
      </c>
      <c r="L328" s="219"/>
      <c r="M328" s="219"/>
      <c r="N328" s="219" t="s">
        <v>452</v>
      </c>
      <c r="O328" s="219" t="s">
        <v>452</v>
      </c>
      <c r="P328" s="219"/>
      <c r="Q328" s="219" t="s">
        <v>24</v>
      </c>
      <c r="R328" s="251"/>
      <c r="S328" s="251"/>
      <c r="T328" s="251"/>
      <c r="U328" s="251"/>
      <c r="V328" s="219"/>
      <c r="W328" s="219"/>
      <c r="X328" s="219"/>
      <c r="Y328" s="219"/>
      <c r="Z328" s="219"/>
      <c r="AA328" s="219"/>
      <c r="AB328" s="219"/>
      <c r="AC328" s="219"/>
    </row>
    <row r="329" spans="1:29" ht="15.75" customHeight="1">
      <c r="A329" s="398">
        <v>44784</v>
      </c>
      <c r="B329" s="272" t="s">
        <v>4917</v>
      </c>
      <c r="C329" s="269">
        <v>3.5</v>
      </c>
      <c r="D329" s="272" t="s">
        <v>4920</v>
      </c>
      <c r="E329" s="270" t="s">
        <v>4</v>
      </c>
      <c r="F329" s="272" t="s">
        <v>602</v>
      </c>
      <c r="G329" s="272"/>
      <c r="H329" s="272">
        <v>3</v>
      </c>
      <c r="I329" s="272" t="s">
        <v>1054</v>
      </c>
      <c r="J329" s="272" t="s">
        <v>4921</v>
      </c>
      <c r="K329" s="272">
        <v>4</v>
      </c>
      <c r="L329" s="272" t="s">
        <v>451</v>
      </c>
      <c r="M329" s="272">
        <v>800000</v>
      </c>
      <c r="N329" s="272" t="s">
        <v>452</v>
      </c>
      <c r="O329" s="272" t="s">
        <v>4922</v>
      </c>
      <c r="P329" s="272"/>
      <c r="Q329" s="272" t="s">
        <v>24</v>
      </c>
      <c r="R329" s="272"/>
      <c r="S329" s="272" t="str">
        <f>IFERROR(VLOOKUP(B329,'2022-2023 Third Reviews'!$C:$S,9,FALSE),"")</f>
        <v/>
      </c>
      <c r="T329" s="272"/>
      <c r="U329" s="272"/>
      <c r="V329" s="224"/>
      <c r="W329" s="224"/>
      <c r="X329" s="224"/>
      <c r="Y329" s="224"/>
      <c r="Z329" s="224"/>
      <c r="AA329" s="224"/>
      <c r="AB329" s="224"/>
      <c r="AC329" s="224"/>
    </row>
    <row r="330" spans="1:29" ht="15.75" customHeight="1">
      <c r="A330" s="248">
        <v>44796</v>
      </c>
      <c r="B330" s="219" t="s">
        <v>4925</v>
      </c>
      <c r="C330" s="315">
        <v>3.38</v>
      </c>
      <c r="D330" s="219" t="s">
        <v>4928</v>
      </c>
      <c r="E330" s="219" t="s">
        <v>4</v>
      </c>
      <c r="F330" s="219" t="s">
        <v>727</v>
      </c>
      <c r="G330" s="219" t="s">
        <v>10573</v>
      </c>
      <c r="H330" s="219">
        <v>3.75</v>
      </c>
      <c r="I330" s="219" t="s">
        <v>1073</v>
      </c>
      <c r="J330" s="219"/>
      <c r="K330" s="219">
        <v>3</v>
      </c>
      <c r="L330" s="219"/>
      <c r="M330" s="219"/>
      <c r="N330" s="219" t="s">
        <v>452</v>
      </c>
      <c r="O330" s="219" t="s">
        <v>10574</v>
      </c>
      <c r="P330" s="219"/>
      <c r="Q330" s="219" t="s">
        <v>24</v>
      </c>
      <c r="R330" s="219"/>
      <c r="S330" s="219" t="str">
        <f>IFERROR(VLOOKUP(B330,'2022-2023 Third Reviews'!$C:$S,9,FALSE),"")</f>
        <v/>
      </c>
      <c r="T330" s="219"/>
      <c r="U330" s="219"/>
      <c r="V330" s="268"/>
      <c r="W330" s="268"/>
      <c r="X330" s="268"/>
      <c r="Y330" s="268"/>
      <c r="Z330" s="268"/>
      <c r="AA330" s="219"/>
      <c r="AB330" s="219"/>
      <c r="AC330" s="219"/>
    </row>
    <row r="331" spans="1:29" ht="15.75" customHeight="1">
      <c r="A331" s="398">
        <v>44784</v>
      </c>
      <c r="B331" s="272" t="s">
        <v>4933</v>
      </c>
      <c r="C331" s="269">
        <v>3.38</v>
      </c>
      <c r="D331" s="272" t="s">
        <v>4936</v>
      </c>
      <c r="E331" s="270" t="s">
        <v>4</v>
      </c>
      <c r="F331" s="272" t="s">
        <v>725</v>
      </c>
      <c r="G331" s="272" t="s">
        <v>11477</v>
      </c>
      <c r="H331" s="272">
        <v>3.75</v>
      </c>
      <c r="I331" s="272" t="s">
        <v>727</v>
      </c>
      <c r="J331" s="272" t="s">
        <v>11478</v>
      </c>
      <c r="K331" s="272">
        <v>3</v>
      </c>
      <c r="L331" s="272"/>
      <c r="M331" s="272"/>
      <c r="N331" s="272" t="s">
        <v>452</v>
      </c>
      <c r="O331" s="272" t="s">
        <v>4939</v>
      </c>
      <c r="P331" s="272"/>
      <c r="Q331" s="272" t="s">
        <v>24</v>
      </c>
      <c r="R331" s="272"/>
      <c r="S331" s="272" t="str">
        <f>IFERROR(VLOOKUP(B331,'2022-2023 Third Reviews'!$C:$S,9,FALSE),"")</f>
        <v/>
      </c>
      <c r="T331" s="272"/>
      <c r="U331" s="272"/>
      <c r="V331" s="224"/>
      <c r="W331" s="224"/>
      <c r="X331" s="224"/>
      <c r="Y331" s="224"/>
      <c r="Z331" s="224"/>
      <c r="AA331" s="224"/>
      <c r="AB331" s="224"/>
      <c r="AC331" s="224"/>
    </row>
    <row r="332" spans="1:29" ht="15.75" hidden="1" customHeight="1">
      <c r="A332" s="257">
        <v>44789</v>
      </c>
      <c r="B332" s="258" t="s">
        <v>77</v>
      </c>
      <c r="C332" s="263">
        <v>4</v>
      </c>
      <c r="D332" s="258" t="s">
        <v>10781</v>
      </c>
      <c r="E332" s="258" t="s">
        <v>5</v>
      </c>
      <c r="F332" s="258" t="s">
        <v>447</v>
      </c>
      <c r="G332" s="258" t="s">
        <v>10782</v>
      </c>
      <c r="H332" s="258">
        <v>4</v>
      </c>
      <c r="I332" s="258" t="s">
        <v>543</v>
      </c>
      <c r="J332" s="258" t="s">
        <v>11616</v>
      </c>
      <c r="K332" s="258">
        <v>4</v>
      </c>
      <c r="L332" s="258" t="s">
        <v>451</v>
      </c>
      <c r="M332" s="309">
        <v>11000000</v>
      </c>
      <c r="N332" s="258" t="s">
        <v>454</v>
      </c>
      <c r="O332" s="258" t="s">
        <v>555</v>
      </c>
      <c r="P332" s="258"/>
      <c r="Q332" s="258" t="s">
        <v>18</v>
      </c>
      <c r="R332" s="259" t="s">
        <v>556</v>
      </c>
      <c r="S332" s="259"/>
      <c r="T332" s="259"/>
      <c r="U332" s="259"/>
      <c r="V332" s="258"/>
      <c r="W332" s="258"/>
      <c r="X332" s="258"/>
      <c r="Y332" s="258"/>
      <c r="Z332" s="258"/>
      <c r="AA332" s="258"/>
      <c r="AB332" s="258"/>
      <c r="AC332" s="258"/>
    </row>
    <row r="333" spans="1:29" ht="15.75" customHeight="1">
      <c r="A333" s="253">
        <v>44782</v>
      </c>
      <c r="B333" s="224" t="s">
        <v>4942</v>
      </c>
      <c r="C333" s="249">
        <v>3.38</v>
      </c>
      <c r="D333" s="224" t="s">
        <v>4945</v>
      </c>
      <c r="E333" s="250" t="s">
        <v>4</v>
      </c>
      <c r="F333" s="224" t="s">
        <v>727</v>
      </c>
      <c r="G333" s="224" t="s">
        <v>4946</v>
      </c>
      <c r="H333" s="224">
        <v>3.75</v>
      </c>
      <c r="I333" s="224" t="s">
        <v>1054</v>
      </c>
      <c r="J333" s="224"/>
      <c r="K333" s="224">
        <v>3</v>
      </c>
      <c r="L333" s="224" t="s">
        <v>451</v>
      </c>
      <c r="M333" s="224">
        <v>345000</v>
      </c>
      <c r="N333" s="224" t="s">
        <v>452</v>
      </c>
      <c r="O333" s="224" t="s">
        <v>4947</v>
      </c>
      <c r="P333" s="224"/>
      <c r="Q333" s="224" t="s">
        <v>24</v>
      </c>
      <c r="R333" s="224"/>
      <c r="S333" s="224" t="str">
        <f>IFERROR(VLOOKUP(B333,'2022-2023 Third Reviews'!$C:$S,9,FALSE),"")</f>
        <v/>
      </c>
      <c r="T333" s="224"/>
      <c r="U333" s="224"/>
      <c r="V333" s="258"/>
      <c r="W333" s="258"/>
      <c r="X333" s="258"/>
      <c r="Y333" s="258"/>
      <c r="Z333" s="258"/>
      <c r="AA333" s="258"/>
      <c r="AB333" s="258"/>
      <c r="AC333" s="258"/>
    </row>
    <row r="334" spans="1:29" ht="15.75" customHeight="1">
      <c r="A334" s="248">
        <v>44796</v>
      </c>
      <c r="B334" s="219" t="s">
        <v>4950</v>
      </c>
      <c r="C334" s="315">
        <v>3.38</v>
      </c>
      <c r="D334" s="219" t="s">
        <v>4953</v>
      </c>
      <c r="E334" s="219" t="s">
        <v>4</v>
      </c>
      <c r="F334" s="219" t="s">
        <v>727</v>
      </c>
      <c r="G334" s="219" t="s">
        <v>10639</v>
      </c>
      <c r="H334" s="219">
        <v>3.75</v>
      </c>
      <c r="I334" s="219" t="s">
        <v>1045</v>
      </c>
      <c r="J334" s="219" t="s">
        <v>4955</v>
      </c>
      <c r="K334" s="219">
        <v>3</v>
      </c>
      <c r="L334" s="219" t="s">
        <v>478</v>
      </c>
      <c r="M334" s="219" t="s">
        <v>4956</v>
      </c>
      <c r="N334" s="219" t="s">
        <v>452</v>
      </c>
      <c r="O334" s="219" t="s">
        <v>4957</v>
      </c>
      <c r="P334" s="219"/>
      <c r="Q334" s="219" t="s">
        <v>24</v>
      </c>
      <c r="R334" s="219"/>
      <c r="S334" s="219" t="str">
        <f>IFERROR(VLOOKUP(B334,'2022-2023 Third Reviews'!$C:$S,9,FALSE),"")</f>
        <v/>
      </c>
      <c r="T334" s="219"/>
      <c r="U334" s="219"/>
      <c r="V334" s="258"/>
      <c r="W334" s="258"/>
      <c r="X334" s="258"/>
      <c r="Y334" s="258"/>
      <c r="Z334" s="258"/>
      <c r="AA334" s="258"/>
      <c r="AB334" s="258"/>
      <c r="AC334" s="258"/>
    </row>
    <row r="335" spans="1:29" ht="15.75" customHeight="1">
      <c r="A335" s="257">
        <v>44791</v>
      </c>
      <c r="B335" s="258" t="s">
        <v>4960</v>
      </c>
      <c r="C335" s="263">
        <v>3.25</v>
      </c>
      <c r="D335" s="258" t="s">
        <v>4963</v>
      </c>
      <c r="E335" s="258" t="s">
        <v>4</v>
      </c>
      <c r="F335" s="258" t="s">
        <v>727</v>
      </c>
      <c r="G335" s="258" t="s">
        <v>10293</v>
      </c>
      <c r="H335" s="258">
        <v>2.5</v>
      </c>
      <c r="I335" s="258" t="s">
        <v>990</v>
      </c>
      <c r="J335" s="258" t="s">
        <v>4965</v>
      </c>
      <c r="K335" s="258">
        <v>4</v>
      </c>
      <c r="L335" s="258" t="s">
        <v>451</v>
      </c>
      <c r="M335" s="258" t="s">
        <v>4966</v>
      </c>
      <c r="N335" s="258" t="s">
        <v>452</v>
      </c>
      <c r="O335" s="258" t="s">
        <v>452</v>
      </c>
      <c r="P335" s="258"/>
      <c r="Q335" s="258" t="s">
        <v>24</v>
      </c>
      <c r="R335" s="258" t="s">
        <v>4967</v>
      </c>
      <c r="S335" s="258" t="str">
        <f>IFERROR(VLOOKUP(B335,'2022-2023 Third Reviews'!$C:$S,9,FALSE),"")</f>
        <v/>
      </c>
      <c r="T335" s="258"/>
      <c r="U335" s="258"/>
      <c r="V335" s="224"/>
      <c r="W335" s="224"/>
      <c r="X335" s="224"/>
      <c r="Y335" s="224"/>
      <c r="Z335" s="224"/>
      <c r="AA335" s="224"/>
      <c r="AB335" s="224"/>
      <c r="AC335" s="224"/>
    </row>
    <row r="336" spans="1:29" ht="15.75" customHeight="1">
      <c r="A336" s="248">
        <v>44789</v>
      </c>
      <c r="B336" s="219" t="s">
        <v>4969</v>
      </c>
      <c r="C336" s="249">
        <v>3.25</v>
      </c>
      <c r="D336" s="219" t="s">
        <v>4972</v>
      </c>
      <c r="E336" s="250" t="s">
        <v>4</v>
      </c>
      <c r="F336" s="219" t="s">
        <v>602</v>
      </c>
      <c r="G336" s="219" t="s">
        <v>4973</v>
      </c>
      <c r="H336" s="219">
        <v>3</v>
      </c>
      <c r="I336" s="219" t="s">
        <v>476</v>
      </c>
      <c r="J336" s="219" t="s">
        <v>13400</v>
      </c>
      <c r="K336" s="219">
        <v>3.5</v>
      </c>
      <c r="L336" s="219" t="s">
        <v>451</v>
      </c>
      <c r="M336" s="312">
        <v>3000000</v>
      </c>
      <c r="N336" s="219" t="s">
        <v>452</v>
      </c>
      <c r="O336" s="219" t="s">
        <v>4975</v>
      </c>
      <c r="P336" s="219"/>
      <c r="Q336" s="219" t="s">
        <v>24</v>
      </c>
      <c r="R336" s="219"/>
      <c r="S336" s="219" t="str">
        <f>IFERROR(VLOOKUP(B336,'2022-2023 Third Reviews'!$C:$S,9,FALSE),"")</f>
        <v/>
      </c>
      <c r="T336" s="219" t="s">
        <v>13242</v>
      </c>
      <c r="U336" s="219"/>
      <c r="V336" s="306"/>
      <c r="W336" s="306"/>
      <c r="X336" s="306"/>
      <c r="Y336" s="306"/>
      <c r="Z336" s="306"/>
      <c r="AA336" s="306"/>
      <c r="AB336" s="306"/>
      <c r="AC336" s="306"/>
    </row>
    <row r="337" spans="1:29" ht="15.75" hidden="1" customHeight="1">
      <c r="A337" s="267">
        <v>44784</v>
      </c>
      <c r="B337" s="272" t="s">
        <v>8466</v>
      </c>
      <c r="C337" s="269">
        <v>1.5</v>
      </c>
      <c r="D337" s="272" t="s">
        <v>8469</v>
      </c>
      <c r="E337" s="270" t="s">
        <v>3</v>
      </c>
      <c r="F337" s="272" t="s">
        <v>460</v>
      </c>
      <c r="G337" s="272" t="s">
        <v>8470</v>
      </c>
      <c r="H337" s="272">
        <v>1</v>
      </c>
      <c r="I337" s="272" t="s">
        <v>488</v>
      </c>
      <c r="J337" s="272"/>
      <c r="K337" s="272">
        <v>2</v>
      </c>
      <c r="L337" s="272"/>
      <c r="M337" s="272"/>
      <c r="N337" s="272" t="s">
        <v>452</v>
      </c>
      <c r="O337" s="272" t="s">
        <v>575</v>
      </c>
      <c r="P337" s="272" t="s">
        <v>8471</v>
      </c>
      <c r="Q337" s="272" t="s">
        <v>24</v>
      </c>
      <c r="R337" s="274"/>
      <c r="S337" s="274"/>
      <c r="T337" s="274"/>
      <c r="U337" s="274"/>
      <c r="V337" s="272"/>
      <c r="W337" s="272"/>
      <c r="X337" s="272"/>
      <c r="Y337" s="272"/>
      <c r="Z337" s="272"/>
      <c r="AA337" s="224"/>
      <c r="AB337" s="224"/>
      <c r="AC337" s="224"/>
    </row>
    <row r="338" spans="1:29" ht="15.75" customHeight="1">
      <c r="A338" s="248">
        <v>44782</v>
      </c>
      <c r="B338" s="219" t="s">
        <v>4978</v>
      </c>
      <c r="C338" s="249">
        <v>3.25</v>
      </c>
      <c r="D338" s="219" t="s">
        <v>4981</v>
      </c>
      <c r="E338" s="250" t="s">
        <v>4</v>
      </c>
      <c r="F338" s="219" t="s">
        <v>727</v>
      </c>
      <c r="G338" s="219" t="s">
        <v>11474</v>
      </c>
      <c r="H338" s="219">
        <v>3</v>
      </c>
      <c r="I338" s="219" t="s">
        <v>1054</v>
      </c>
      <c r="J338" s="219" t="s">
        <v>4983</v>
      </c>
      <c r="K338" s="219">
        <v>3.5</v>
      </c>
      <c r="L338" s="219" t="s">
        <v>451</v>
      </c>
      <c r="M338" s="219">
        <v>1500000</v>
      </c>
      <c r="N338" s="219" t="s">
        <v>465</v>
      </c>
      <c r="O338" s="219" t="s">
        <v>4984</v>
      </c>
      <c r="P338" s="219"/>
      <c r="Q338" s="219" t="s">
        <v>24</v>
      </c>
      <c r="R338" s="219"/>
      <c r="S338" s="219" t="str">
        <f>IFERROR(VLOOKUP(B338,'2022-2023 Third Reviews'!$C:$S,9,FALSE),"")</f>
        <v/>
      </c>
      <c r="T338" s="219"/>
      <c r="U338" s="219"/>
      <c r="V338" s="219"/>
      <c r="W338" s="219"/>
      <c r="X338" s="219"/>
      <c r="Y338" s="219"/>
      <c r="Z338" s="219"/>
      <c r="AA338" s="219"/>
      <c r="AB338" s="219"/>
      <c r="AC338" s="219"/>
    </row>
    <row r="339" spans="1:29" ht="15.75" customHeight="1">
      <c r="A339" s="233">
        <v>44776</v>
      </c>
      <c r="B339" s="234" t="s">
        <v>306</v>
      </c>
      <c r="C339" s="241">
        <v>3.25</v>
      </c>
      <c r="D339" s="234" t="s">
        <v>9500</v>
      </c>
      <c r="E339" s="242" t="s">
        <v>4</v>
      </c>
      <c r="F339" s="234" t="s">
        <v>447</v>
      </c>
      <c r="G339" s="234" t="s">
        <v>9501</v>
      </c>
      <c r="H339" s="234">
        <v>3</v>
      </c>
      <c r="I339" s="234" t="s">
        <v>543</v>
      </c>
      <c r="J339" s="234" t="s">
        <v>11516</v>
      </c>
      <c r="K339" s="234">
        <v>3.5</v>
      </c>
      <c r="L339" s="234"/>
      <c r="M339" s="234"/>
      <c r="N339" s="234" t="s">
        <v>452</v>
      </c>
      <c r="O339" s="234" t="s">
        <v>9503</v>
      </c>
      <c r="P339" s="237"/>
      <c r="Q339" s="234" t="str">
        <f t="array" ref="Q339">INDEX(Notes!B:B,MATCH($B339,Notes!$A:$A,0))</f>
        <v>Revisit/ Cluster</v>
      </c>
      <c r="R339" s="234" t="s">
        <v>9504</v>
      </c>
      <c r="S339" s="234" t="str">
        <f>IFERROR(VLOOKUP(B339,'2022-2023 Third Reviews'!$C:$S,9,FALSE),"")</f>
        <v/>
      </c>
      <c r="T339" s="234"/>
      <c r="U339" s="234"/>
      <c r="V339" s="224"/>
      <c r="W339" s="224"/>
      <c r="X339" s="224"/>
      <c r="Y339" s="224"/>
      <c r="Z339" s="224"/>
      <c r="AA339" s="224"/>
      <c r="AB339" s="224"/>
      <c r="AC339" s="224"/>
    </row>
    <row r="340" spans="1:29" ht="15.75" customHeight="1">
      <c r="A340" s="248">
        <v>44796</v>
      </c>
      <c r="B340" s="219" t="s">
        <v>4987</v>
      </c>
      <c r="C340" s="315">
        <v>3.25</v>
      </c>
      <c r="D340" s="219" t="s">
        <v>4990</v>
      </c>
      <c r="E340" s="219" t="s">
        <v>4</v>
      </c>
      <c r="F340" s="219" t="s">
        <v>725</v>
      </c>
      <c r="G340" s="219" t="e">
        <f>+ good validation and Revenue growth
- Competitive space and niche market</f>
        <v>#NAME?</v>
      </c>
      <c r="H340" s="219">
        <v>3.5</v>
      </c>
      <c r="I340" s="219" t="s">
        <v>476</v>
      </c>
      <c r="J340" s="219" t="s">
        <v>13400</v>
      </c>
      <c r="K340" s="219">
        <v>3</v>
      </c>
      <c r="L340" s="219" t="s">
        <v>4993</v>
      </c>
      <c r="M340" s="219" t="s">
        <v>4370</v>
      </c>
      <c r="N340" s="219" t="s">
        <v>452</v>
      </c>
      <c r="O340" s="219" t="s">
        <v>452</v>
      </c>
      <c r="P340" s="219"/>
      <c r="Q340" s="219" t="s">
        <v>24</v>
      </c>
      <c r="R340" s="219"/>
      <c r="S340" s="219" t="str">
        <f>IFERROR(VLOOKUP(B340,'2022-2023 Third Reviews'!$C:$S,9,FALSE),"")</f>
        <v/>
      </c>
      <c r="T340" s="219" t="s">
        <v>13256</v>
      </c>
      <c r="U340" s="219"/>
      <c r="V340" s="252"/>
      <c r="W340" s="252"/>
      <c r="X340" s="252"/>
      <c r="Y340" s="219"/>
      <c r="Z340" s="219"/>
      <c r="AA340" s="219"/>
      <c r="AB340" s="219"/>
      <c r="AC340" s="219"/>
    </row>
    <row r="341" spans="1:29" ht="15.75" hidden="1" customHeight="1">
      <c r="A341" s="255">
        <v>44796</v>
      </c>
      <c r="B341" s="239" t="s">
        <v>79</v>
      </c>
      <c r="C341" s="262">
        <v>3.75</v>
      </c>
      <c r="D341" s="239" t="s">
        <v>2382</v>
      </c>
      <c r="E341" s="239" t="s">
        <v>5</v>
      </c>
      <c r="F341" s="239" t="s">
        <v>460</v>
      </c>
      <c r="G341" s="239" t="s">
        <v>2383</v>
      </c>
      <c r="H341" s="239">
        <v>4</v>
      </c>
      <c r="I341" s="239" t="s">
        <v>462</v>
      </c>
      <c r="J341" s="239" t="s">
        <v>2384</v>
      </c>
      <c r="K341" s="239">
        <v>3.5</v>
      </c>
      <c r="L341" s="239" t="s">
        <v>451</v>
      </c>
      <c r="M341" s="239" t="s">
        <v>2385</v>
      </c>
      <c r="N341" s="239" t="s">
        <v>452</v>
      </c>
      <c r="O341" s="239" t="s">
        <v>10561</v>
      </c>
      <c r="P341" s="239"/>
      <c r="Q341" s="239" t="s">
        <v>20</v>
      </c>
      <c r="R341" s="256" t="s">
        <v>2387</v>
      </c>
      <c r="S341" s="256"/>
      <c r="T341" s="256"/>
      <c r="U341" s="256"/>
      <c r="V341" s="239"/>
      <c r="W341" s="239"/>
      <c r="X341" s="239"/>
      <c r="Y341" s="239"/>
      <c r="Z341" s="239"/>
      <c r="AA341" s="239"/>
      <c r="AB341" s="239"/>
      <c r="AC341" s="239"/>
    </row>
    <row r="342" spans="1:29" ht="15.75" customHeight="1">
      <c r="A342" s="257">
        <v>44791</v>
      </c>
      <c r="B342" s="258" t="s">
        <v>4996</v>
      </c>
      <c r="C342" s="263">
        <v>3.25</v>
      </c>
      <c r="D342" s="258" t="s">
        <v>4999</v>
      </c>
      <c r="E342" s="258" t="s">
        <v>4</v>
      </c>
      <c r="F342" s="258" t="s">
        <v>602</v>
      </c>
      <c r="G342" s="258" t="s">
        <v>5000</v>
      </c>
      <c r="H342" s="258">
        <v>2.5</v>
      </c>
      <c r="I342" s="258" t="s">
        <v>990</v>
      </c>
      <c r="J342" s="258" t="s">
        <v>5001</v>
      </c>
      <c r="K342" s="258">
        <v>4</v>
      </c>
      <c r="L342" s="258" t="s">
        <v>451</v>
      </c>
      <c r="M342" s="261">
        <v>500000</v>
      </c>
      <c r="N342" s="258" t="s">
        <v>452</v>
      </c>
      <c r="O342" s="258" t="s">
        <v>5002</v>
      </c>
      <c r="P342" s="258"/>
      <c r="Q342" s="258" t="s">
        <v>24</v>
      </c>
      <c r="R342" s="258"/>
      <c r="S342" s="258" t="str">
        <f>IFERROR(VLOOKUP(B342,'2022-2023 Third Reviews'!$C:$S,9,FALSE),"")</f>
        <v/>
      </c>
      <c r="T342" s="258"/>
      <c r="U342" s="258"/>
      <c r="V342" s="268"/>
      <c r="W342" s="268"/>
      <c r="X342" s="268"/>
      <c r="Y342" s="268"/>
      <c r="Z342" s="268"/>
      <c r="AA342" s="219"/>
      <c r="AB342" s="219"/>
      <c r="AC342" s="219"/>
    </row>
    <row r="343" spans="1:29" ht="15.75" hidden="1" customHeight="1">
      <c r="A343" s="253">
        <v>44789</v>
      </c>
      <c r="B343" s="224" t="s">
        <v>2389</v>
      </c>
      <c r="C343" s="249">
        <v>2.25</v>
      </c>
      <c r="D343" s="224" t="s">
        <v>2392</v>
      </c>
      <c r="E343" s="250" t="s">
        <v>5</v>
      </c>
      <c r="F343" s="224" t="s">
        <v>447</v>
      </c>
      <c r="G343" s="224" t="s">
        <v>11637</v>
      </c>
      <c r="H343" s="224">
        <v>2</v>
      </c>
      <c r="I343" s="224" t="s">
        <v>449</v>
      </c>
      <c r="J343" s="224" t="e">
        <f>+passionate Team
+Large potential market
+developed product
-Tech does not appear Novel</f>
        <v>#NAME?</v>
      </c>
      <c r="K343" s="224">
        <v>2.5</v>
      </c>
      <c r="L343" s="224" t="s">
        <v>768</v>
      </c>
      <c r="M343" s="224">
        <v>400000</v>
      </c>
      <c r="N343" s="224" t="s">
        <v>452</v>
      </c>
      <c r="O343" s="224" t="s">
        <v>2396</v>
      </c>
      <c r="P343" s="224"/>
      <c r="Q343" s="224" t="s">
        <v>24</v>
      </c>
      <c r="R343" s="254"/>
      <c r="S343" s="254"/>
      <c r="T343" s="254"/>
      <c r="U343" s="254"/>
      <c r="V343" s="252"/>
      <c r="W343" s="252"/>
      <c r="X343" s="252"/>
      <c r="Y343" s="224"/>
      <c r="Z343" s="224"/>
      <c r="AA343" s="224"/>
      <c r="AB343" s="224"/>
      <c r="AC343" s="224"/>
    </row>
    <row r="344" spans="1:29" ht="15.75" hidden="1" customHeight="1">
      <c r="A344" s="301">
        <v>44789</v>
      </c>
      <c r="B344" s="303" t="s">
        <v>401</v>
      </c>
      <c r="C344" s="269"/>
      <c r="D344" s="303" t="s">
        <v>10115</v>
      </c>
      <c r="E344" s="270" t="s">
        <v>3</v>
      </c>
      <c r="F344" s="303" t="s">
        <v>488</v>
      </c>
      <c r="G344" s="303"/>
      <c r="H344" s="303"/>
      <c r="I344" s="303" t="s">
        <v>462</v>
      </c>
      <c r="J344" s="303"/>
      <c r="K344" s="303"/>
      <c r="L344" s="303" t="s">
        <v>451</v>
      </c>
      <c r="M344" s="304">
        <v>3000000</v>
      </c>
      <c r="N344" s="303" t="s">
        <v>465</v>
      </c>
      <c r="O344" s="304" t="s">
        <v>10118</v>
      </c>
      <c r="P344" s="303"/>
      <c r="Q344" s="303"/>
      <c r="R344" s="305"/>
      <c r="S344" s="305"/>
      <c r="T344" s="305"/>
      <c r="U344" s="305"/>
      <c r="V344" s="303"/>
      <c r="W344" s="303"/>
      <c r="X344" s="303"/>
      <c r="Y344" s="303"/>
      <c r="Z344" s="303"/>
      <c r="AA344" s="306"/>
      <c r="AB344" s="306"/>
      <c r="AC344" s="306"/>
    </row>
    <row r="345" spans="1:29" ht="15.75" hidden="1" customHeight="1">
      <c r="A345" s="541">
        <v>44791</v>
      </c>
      <c r="B345" s="306" t="s">
        <v>401</v>
      </c>
      <c r="C345" s="542"/>
      <c r="D345" s="306" t="s">
        <v>10115</v>
      </c>
      <c r="E345" s="306" t="s">
        <v>3</v>
      </c>
      <c r="F345" s="306" t="s">
        <v>488</v>
      </c>
      <c r="G345" s="306" t="s">
        <v>10116</v>
      </c>
      <c r="H345" s="306">
        <v>4</v>
      </c>
      <c r="I345" s="306" t="s">
        <v>462</v>
      </c>
      <c r="J345" s="306" t="s">
        <v>13227</v>
      </c>
      <c r="K345" s="306"/>
      <c r="L345" s="306" t="s">
        <v>451</v>
      </c>
      <c r="M345" s="545">
        <v>3000000</v>
      </c>
      <c r="N345" s="306" t="s">
        <v>465</v>
      </c>
      <c r="O345" s="306" t="s">
        <v>10118</v>
      </c>
      <c r="P345" s="306"/>
      <c r="Q345" s="306"/>
      <c r="R345" s="543"/>
      <c r="S345" s="543"/>
      <c r="T345" s="543"/>
      <c r="U345" s="543"/>
      <c r="V345" s="306"/>
      <c r="W345" s="306"/>
      <c r="X345" s="306"/>
      <c r="Y345" s="306"/>
      <c r="Z345" s="306"/>
      <c r="AA345" s="306"/>
      <c r="AB345" s="306"/>
      <c r="AC345" s="306"/>
    </row>
    <row r="346" spans="1:29" ht="15.75" hidden="1" customHeight="1">
      <c r="A346" s="257">
        <v>44791</v>
      </c>
      <c r="B346" s="258" t="s">
        <v>401</v>
      </c>
      <c r="C346" s="263">
        <v>4</v>
      </c>
      <c r="D346" s="258" t="s">
        <v>10115</v>
      </c>
      <c r="E346" s="258" t="s">
        <v>3</v>
      </c>
      <c r="F346" s="258" t="s">
        <v>488</v>
      </c>
      <c r="G346" s="258" t="s">
        <v>10116</v>
      </c>
      <c r="H346" s="258">
        <v>4</v>
      </c>
      <c r="I346" s="258" t="s">
        <v>462</v>
      </c>
      <c r="J346" s="258" t="s">
        <v>10994</v>
      </c>
      <c r="K346" s="258">
        <v>4</v>
      </c>
      <c r="L346" s="258" t="s">
        <v>451</v>
      </c>
      <c r="M346" s="309">
        <v>3000000</v>
      </c>
      <c r="N346" s="258" t="s">
        <v>465</v>
      </c>
      <c r="O346" s="258" t="s">
        <v>10118</v>
      </c>
      <c r="P346" s="258"/>
      <c r="Q346" s="258" t="s">
        <v>20</v>
      </c>
      <c r="R346" s="259" t="s">
        <v>10119</v>
      </c>
      <c r="S346" s="259"/>
      <c r="T346" s="259"/>
      <c r="U346" s="259"/>
      <c r="V346" s="258"/>
      <c r="W346" s="258"/>
      <c r="X346" s="258"/>
      <c r="Y346" s="258"/>
      <c r="Z346" s="258"/>
      <c r="AA346" s="258"/>
      <c r="AB346" s="258"/>
      <c r="AC346" s="258"/>
    </row>
    <row r="347" spans="1:29" ht="15.75" hidden="1" customHeight="1">
      <c r="A347" s="257">
        <v>44796</v>
      </c>
      <c r="B347" s="258" t="s">
        <v>300</v>
      </c>
      <c r="C347" s="263">
        <v>4.75</v>
      </c>
      <c r="D347" s="258" t="s">
        <v>1675</v>
      </c>
      <c r="E347" s="258" t="s">
        <v>3</v>
      </c>
      <c r="F347" s="258" t="s">
        <v>460</v>
      </c>
      <c r="G347" s="258" t="s">
        <v>1676</v>
      </c>
      <c r="H347" s="258">
        <v>4.5</v>
      </c>
      <c r="I347" s="258" t="s">
        <v>462</v>
      </c>
      <c r="J347" s="258" t="s">
        <v>1677</v>
      </c>
      <c r="K347" s="258">
        <v>5</v>
      </c>
      <c r="L347" s="258" t="s">
        <v>451</v>
      </c>
      <c r="M347" s="258">
        <v>10000000</v>
      </c>
      <c r="N347" s="258" t="s">
        <v>452</v>
      </c>
      <c r="O347" s="258" t="s">
        <v>1678</v>
      </c>
      <c r="P347" s="258"/>
      <c r="Q347" s="258" t="s">
        <v>18</v>
      </c>
      <c r="R347" s="259" t="s">
        <v>1679</v>
      </c>
      <c r="S347" s="259"/>
      <c r="T347" s="259"/>
      <c r="U347" s="259"/>
      <c r="V347" s="258"/>
      <c r="W347" s="258"/>
      <c r="X347" s="258"/>
      <c r="Y347" s="258"/>
      <c r="Z347" s="258"/>
      <c r="AA347" s="258"/>
      <c r="AB347" s="258"/>
      <c r="AC347" s="258"/>
    </row>
    <row r="348" spans="1:29" ht="15.75" hidden="1" customHeight="1">
      <c r="A348" s="257">
        <v>44789</v>
      </c>
      <c r="B348" s="258" t="s">
        <v>8474</v>
      </c>
      <c r="C348" s="263">
        <v>3.75</v>
      </c>
      <c r="D348" s="258" t="s">
        <v>8477</v>
      </c>
      <c r="E348" s="258" t="s">
        <v>3</v>
      </c>
      <c r="F348" s="258" t="s">
        <v>488</v>
      </c>
      <c r="G348" s="258" t="s">
        <v>8478</v>
      </c>
      <c r="H348" s="258">
        <v>3.5</v>
      </c>
      <c r="I348" s="258" t="s">
        <v>462</v>
      </c>
      <c r="J348" s="258" t="s">
        <v>8479</v>
      </c>
      <c r="K348" s="258">
        <v>4</v>
      </c>
      <c r="L348" s="258" t="s">
        <v>478</v>
      </c>
      <c r="M348" s="258" t="s">
        <v>8480</v>
      </c>
      <c r="N348" s="258" t="s">
        <v>452</v>
      </c>
      <c r="O348" s="258" t="s">
        <v>8481</v>
      </c>
      <c r="P348" s="258"/>
      <c r="Q348" s="258" t="s">
        <v>24</v>
      </c>
      <c r="R348" s="259" t="s">
        <v>8482</v>
      </c>
      <c r="S348" s="259"/>
      <c r="T348" s="259"/>
      <c r="U348" s="259"/>
      <c r="V348" s="258"/>
      <c r="W348" s="258"/>
      <c r="X348" s="258"/>
      <c r="Y348" s="258"/>
      <c r="Z348" s="258"/>
      <c r="AA348" s="258"/>
      <c r="AB348" s="258"/>
      <c r="AC348" s="258"/>
    </row>
    <row r="349" spans="1:29" ht="15.75" hidden="1" customHeight="1">
      <c r="A349" s="264">
        <v>44782</v>
      </c>
      <c r="B349" s="265" t="s">
        <v>8485</v>
      </c>
      <c r="C349" s="249">
        <v>2.75</v>
      </c>
      <c r="D349" s="265" t="s">
        <v>8488</v>
      </c>
      <c r="E349" s="250" t="s">
        <v>3</v>
      </c>
      <c r="F349" s="265" t="s">
        <v>460</v>
      </c>
      <c r="G349" s="265" t="s">
        <v>8489</v>
      </c>
      <c r="H349" s="265">
        <v>2.5</v>
      </c>
      <c r="I349" s="265" t="s">
        <v>462</v>
      </c>
      <c r="J349" s="265" t="s">
        <v>8490</v>
      </c>
      <c r="K349" s="265">
        <v>3</v>
      </c>
      <c r="L349" s="265" t="s">
        <v>451</v>
      </c>
      <c r="M349" s="265">
        <v>2500000</v>
      </c>
      <c r="N349" s="265" t="s">
        <v>452</v>
      </c>
      <c r="O349" s="265" t="s">
        <v>8491</v>
      </c>
      <c r="P349" s="265"/>
      <c r="Q349" s="265" t="s">
        <v>24</v>
      </c>
      <c r="R349" s="266" t="s">
        <v>11539</v>
      </c>
      <c r="S349" s="266"/>
      <c r="T349" s="266"/>
      <c r="U349" s="266"/>
      <c r="V349" s="265"/>
      <c r="W349" s="265"/>
      <c r="X349" s="265"/>
      <c r="Y349" s="265"/>
      <c r="Z349" s="265"/>
      <c r="AA349" s="265"/>
      <c r="AB349" s="265"/>
      <c r="AC349" s="265"/>
    </row>
    <row r="350" spans="1:29" ht="15.75" hidden="1" customHeight="1">
      <c r="A350" s="248">
        <v>44789</v>
      </c>
      <c r="B350" s="219" t="s">
        <v>8495</v>
      </c>
      <c r="C350" s="249">
        <v>1.5</v>
      </c>
      <c r="D350" s="219" t="s">
        <v>8498</v>
      </c>
      <c r="E350" s="250" t="s">
        <v>3</v>
      </c>
      <c r="F350" s="219" t="s">
        <v>460</v>
      </c>
      <c r="G350" s="219" t="s">
        <v>8499</v>
      </c>
      <c r="H350" s="219">
        <v>2</v>
      </c>
      <c r="I350" s="219" t="s">
        <v>941</v>
      </c>
      <c r="J350" s="219" t="s">
        <v>8500</v>
      </c>
      <c r="K350" s="219">
        <v>1</v>
      </c>
      <c r="L350" s="219"/>
      <c r="M350" s="219"/>
      <c r="N350" s="219" t="s">
        <v>465</v>
      </c>
      <c r="O350" s="219" t="s">
        <v>452</v>
      </c>
      <c r="P350" s="219"/>
      <c r="Q350" s="219" t="s">
        <v>24</v>
      </c>
      <c r="R350" s="251"/>
      <c r="S350" s="251"/>
      <c r="T350" s="251"/>
      <c r="U350" s="251"/>
      <c r="V350" s="252"/>
      <c r="W350" s="252"/>
      <c r="X350" s="252"/>
      <c r="Y350" s="219"/>
      <c r="Z350" s="219"/>
      <c r="AA350" s="219"/>
      <c r="AB350" s="219"/>
      <c r="AC350" s="219"/>
    </row>
    <row r="351" spans="1:29" ht="15.75" hidden="1" customHeight="1">
      <c r="A351" s="253">
        <v>44791</v>
      </c>
      <c r="B351" s="224" t="s">
        <v>2399</v>
      </c>
      <c r="C351" s="316">
        <v>2</v>
      </c>
      <c r="D351" s="224" t="s">
        <v>2402</v>
      </c>
      <c r="E351" s="224" t="s">
        <v>5</v>
      </c>
      <c r="F351" s="224" t="s">
        <v>447</v>
      </c>
      <c r="G351" s="224" t="s">
        <v>11054</v>
      </c>
      <c r="H351" s="224">
        <v>2</v>
      </c>
      <c r="I351" s="224" t="s">
        <v>449</v>
      </c>
      <c r="J351" s="224" t="s">
        <v>11700</v>
      </c>
      <c r="K351" s="224">
        <v>2</v>
      </c>
      <c r="L351" s="224" t="s">
        <v>784</v>
      </c>
      <c r="M351" s="307" t="s">
        <v>2405</v>
      </c>
      <c r="N351" s="224" t="s">
        <v>452</v>
      </c>
      <c r="O351" s="224" t="s">
        <v>452</v>
      </c>
      <c r="P351" s="224"/>
      <c r="Q351" s="322" t="s">
        <v>24</v>
      </c>
      <c r="R351" s="254"/>
      <c r="S351" s="254"/>
      <c r="T351" s="254"/>
      <c r="U351" s="254"/>
      <c r="V351" s="224"/>
      <c r="W351" s="224"/>
      <c r="X351" s="224"/>
      <c r="Y351" s="224"/>
      <c r="Z351" s="224"/>
      <c r="AA351" s="224"/>
      <c r="AB351" s="224"/>
      <c r="AC351" s="224"/>
    </row>
    <row r="352" spans="1:29" ht="15.75" hidden="1" customHeight="1">
      <c r="A352" s="541">
        <v>44796</v>
      </c>
      <c r="B352" s="306" t="s">
        <v>2408</v>
      </c>
      <c r="C352" s="542"/>
      <c r="D352" s="306" t="s">
        <v>2411</v>
      </c>
      <c r="E352" s="306" t="s">
        <v>5</v>
      </c>
      <c r="F352" s="306" t="s">
        <v>447</v>
      </c>
      <c r="G352" s="306"/>
      <c r="H352" s="306"/>
      <c r="I352" s="306" t="s">
        <v>543</v>
      </c>
      <c r="J352" s="306"/>
      <c r="K352" s="306"/>
      <c r="L352" s="306" t="s">
        <v>478</v>
      </c>
      <c r="M352" s="544" t="s">
        <v>2414</v>
      </c>
      <c r="N352" s="306" t="s">
        <v>452</v>
      </c>
      <c r="O352" s="306" t="s">
        <v>10965</v>
      </c>
      <c r="P352" s="306"/>
      <c r="Q352" s="306"/>
      <c r="R352" s="543"/>
      <c r="S352" s="543"/>
      <c r="T352" s="543"/>
      <c r="U352" s="543"/>
      <c r="V352" s="219"/>
      <c r="W352" s="219"/>
      <c r="X352" s="219"/>
      <c r="Y352" s="219"/>
      <c r="Z352" s="219"/>
      <c r="AA352" s="219"/>
      <c r="AB352" s="219"/>
      <c r="AC352" s="219"/>
    </row>
    <row r="353" spans="1:29" ht="15.75" hidden="1" customHeight="1">
      <c r="A353" s="253">
        <v>44796</v>
      </c>
      <c r="B353" s="224" t="s">
        <v>2408</v>
      </c>
      <c r="C353" s="316">
        <v>3.25</v>
      </c>
      <c r="D353" s="224" t="s">
        <v>2411</v>
      </c>
      <c r="E353" s="224" t="s">
        <v>5</v>
      </c>
      <c r="F353" s="224" t="s">
        <v>447</v>
      </c>
      <c r="G353" s="224" t="s">
        <v>10963</v>
      </c>
      <c r="H353" s="224">
        <v>3</v>
      </c>
      <c r="I353" s="224" t="s">
        <v>543</v>
      </c>
      <c r="J353" s="224" t="s">
        <v>11733</v>
      </c>
      <c r="K353" s="224">
        <v>3.5</v>
      </c>
      <c r="L353" s="224" t="s">
        <v>478</v>
      </c>
      <c r="M353" s="224" t="s">
        <v>2414</v>
      </c>
      <c r="N353" s="224" t="s">
        <v>452</v>
      </c>
      <c r="O353" s="224" t="s">
        <v>10965</v>
      </c>
      <c r="P353" s="224"/>
      <c r="Q353" s="224" t="s">
        <v>24</v>
      </c>
      <c r="R353" s="254"/>
      <c r="S353" s="254"/>
      <c r="T353" s="254"/>
      <c r="U353" s="254"/>
      <c r="V353" s="224"/>
      <c r="W353" s="224"/>
      <c r="X353" s="224"/>
      <c r="Y353" s="224"/>
      <c r="Z353" s="224"/>
      <c r="AA353" s="224"/>
      <c r="AB353" s="224"/>
      <c r="AC353" s="224"/>
    </row>
    <row r="354" spans="1:29" ht="15.75" hidden="1" customHeight="1">
      <c r="A354" s="267">
        <v>44784</v>
      </c>
      <c r="B354" s="268" t="s">
        <v>301</v>
      </c>
      <c r="C354" s="269">
        <v>5</v>
      </c>
      <c r="D354" s="268" t="s">
        <v>1684</v>
      </c>
      <c r="E354" s="270" t="s">
        <v>3</v>
      </c>
      <c r="F354" s="268" t="s">
        <v>460</v>
      </c>
      <c r="G354" s="268" t="s">
        <v>1685</v>
      </c>
      <c r="H354" s="268">
        <v>5</v>
      </c>
      <c r="I354" s="268" t="s">
        <v>941</v>
      </c>
      <c r="J354" s="268" t="s">
        <v>1686</v>
      </c>
      <c r="K354" s="268">
        <v>5</v>
      </c>
      <c r="L354" s="268"/>
      <c r="M354" s="268"/>
      <c r="N354" s="268" t="s">
        <v>452</v>
      </c>
      <c r="O354" s="268" t="s">
        <v>1687</v>
      </c>
      <c r="P354" s="268" t="s">
        <v>725</v>
      </c>
      <c r="Q354" s="268" t="s">
        <v>18</v>
      </c>
      <c r="R354" s="271" t="s">
        <v>1688</v>
      </c>
      <c r="S354" s="271"/>
      <c r="T354" s="271"/>
      <c r="U354" s="271"/>
      <c r="V354" s="268"/>
      <c r="W354" s="268"/>
      <c r="X354" s="268"/>
      <c r="Y354" s="268"/>
      <c r="Z354" s="268"/>
      <c r="AA354" s="219"/>
      <c r="AB354" s="219"/>
      <c r="AC354" s="219"/>
    </row>
    <row r="355" spans="1:29" ht="15.75" hidden="1" customHeight="1">
      <c r="A355" s="220">
        <v>44776</v>
      </c>
      <c r="B355" s="221" t="s">
        <v>2418</v>
      </c>
      <c r="C355" s="214">
        <v>2</v>
      </c>
      <c r="D355" s="221" t="s">
        <v>2421</v>
      </c>
      <c r="E355" s="215" t="s">
        <v>5</v>
      </c>
      <c r="F355" s="221" t="s">
        <v>447</v>
      </c>
      <c r="G355" s="221" t="s">
        <v>2422</v>
      </c>
      <c r="H355" s="221">
        <v>2</v>
      </c>
      <c r="I355" s="221" t="s">
        <v>622</v>
      </c>
      <c r="J355" s="221"/>
      <c r="K355" s="221">
        <v>2</v>
      </c>
      <c r="L355" s="221"/>
      <c r="M355" s="221"/>
      <c r="N355" s="221" t="s">
        <v>452</v>
      </c>
      <c r="O355" s="221" t="s">
        <v>2423</v>
      </c>
      <c r="P355" s="145"/>
      <c r="Q355" s="221" t="s">
        <v>24</v>
      </c>
      <c r="R355" s="223">
        <f t="array" ref="R355">INDEX(Notes!C:C,MATCH($B355,Notes!$A:$A,0))</f>
        <v>0</v>
      </c>
      <c r="S355" s="223"/>
      <c r="T355" s="223"/>
      <c r="U355" s="223"/>
      <c r="V355" s="218"/>
      <c r="W355" s="218"/>
      <c r="X355" s="218"/>
      <c r="Y355" s="224"/>
      <c r="Z355" s="224"/>
      <c r="AA355" s="224"/>
      <c r="AB355" s="224"/>
      <c r="AC355" s="224"/>
    </row>
    <row r="356" spans="1:29" ht="15.75" hidden="1" customHeight="1">
      <c r="A356" s="257">
        <v>44796</v>
      </c>
      <c r="B356" s="258" t="s">
        <v>78</v>
      </c>
      <c r="C356" s="263">
        <v>4.75</v>
      </c>
      <c r="D356" s="258" t="s">
        <v>562</v>
      </c>
      <c r="E356" s="258" t="s">
        <v>5</v>
      </c>
      <c r="F356" s="258" t="s">
        <v>447</v>
      </c>
      <c r="G356" s="258" t="s">
        <v>10857</v>
      </c>
      <c r="H356" s="258">
        <v>5</v>
      </c>
      <c r="I356" s="258" t="s">
        <v>543</v>
      </c>
      <c r="J356" s="258" t="s">
        <v>11703</v>
      </c>
      <c r="K356" s="258">
        <v>4.5</v>
      </c>
      <c r="L356" s="258" t="s">
        <v>478</v>
      </c>
      <c r="M356" s="258" t="s">
        <v>565</v>
      </c>
      <c r="N356" s="258" t="s">
        <v>452</v>
      </c>
      <c r="O356" s="258" t="s">
        <v>566</v>
      </c>
      <c r="P356" s="258"/>
      <c r="Q356" s="258" t="s">
        <v>18</v>
      </c>
      <c r="R356" s="259" t="s">
        <v>567</v>
      </c>
      <c r="S356" s="259"/>
      <c r="T356" s="259"/>
      <c r="U356" s="259"/>
      <c r="V356" s="258"/>
      <c r="W356" s="258"/>
      <c r="X356" s="258"/>
      <c r="Y356" s="258"/>
      <c r="Z356" s="258"/>
      <c r="AA356" s="258"/>
      <c r="AB356" s="258"/>
      <c r="AC356" s="258"/>
    </row>
    <row r="357" spans="1:29" ht="15.75" hidden="1" customHeight="1">
      <c r="A357" s="267">
        <v>44784</v>
      </c>
      <c r="B357" s="272" t="s">
        <v>80</v>
      </c>
      <c r="C357" s="269">
        <v>4.75</v>
      </c>
      <c r="D357" s="272" t="s">
        <v>572</v>
      </c>
      <c r="E357" s="270" t="s">
        <v>5</v>
      </c>
      <c r="F357" s="272" t="s">
        <v>447</v>
      </c>
      <c r="G357" s="272" t="s">
        <v>10410</v>
      </c>
      <c r="H357" s="272">
        <v>4.5</v>
      </c>
      <c r="I357" s="272" t="s">
        <v>449</v>
      </c>
      <c r="J357" s="272" t="s">
        <v>11546</v>
      </c>
      <c r="K357" s="272">
        <v>5</v>
      </c>
      <c r="L357" s="272" t="s">
        <v>451</v>
      </c>
      <c r="M357" s="284">
        <v>5000000</v>
      </c>
      <c r="N357" s="272" t="s">
        <v>465</v>
      </c>
      <c r="O357" s="284" t="s">
        <v>575</v>
      </c>
      <c r="P357" s="272"/>
      <c r="Q357" s="272" t="s">
        <v>18</v>
      </c>
      <c r="R357" s="274" t="s">
        <v>576</v>
      </c>
      <c r="S357" s="274"/>
      <c r="T357" s="274"/>
      <c r="U357" s="274"/>
      <c r="V357" s="272"/>
      <c r="W357" s="272"/>
      <c r="X357" s="272"/>
      <c r="Y357" s="272"/>
      <c r="Z357" s="272"/>
      <c r="AA357" s="224"/>
      <c r="AB357" s="224"/>
      <c r="AC357" s="224"/>
    </row>
    <row r="358" spans="1:29" ht="15.75" customHeight="1">
      <c r="A358" s="248">
        <v>44789</v>
      </c>
      <c r="B358" s="219" t="s">
        <v>5005</v>
      </c>
      <c r="C358" s="249">
        <v>3.25</v>
      </c>
      <c r="D358" s="219" t="s">
        <v>10508</v>
      </c>
      <c r="E358" s="250" t="s">
        <v>4</v>
      </c>
      <c r="F358" s="219" t="s">
        <v>727</v>
      </c>
      <c r="G358" s="219" t="s">
        <v>5009</v>
      </c>
      <c r="H358" s="219">
        <v>3</v>
      </c>
      <c r="I358" s="219" t="s">
        <v>622</v>
      </c>
      <c r="J358" s="219"/>
      <c r="K358" s="219">
        <v>3.5</v>
      </c>
      <c r="L358" s="219"/>
      <c r="M358" s="219"/>
      <c r="N358" s="219" t="s">
        <v>452</v>
      </c>
      <c r="O358" s="219" t="s">
        <v>452</v>
      </c>
      <c r="P358" s="219"/>
      <c r="Q358" s="219" t="s">
        <v>24</v>
      </c>
      <c r="R358" s="219"/>
      <c r="S358" s="219" t="str">
        <f>IFERROR(VLOOKUP(B358,'2022-2023 Third Reviews'!$C:$S,9,FALSE),"")</f>
        <v/>
      </c>
      <c r="T358" s="219"/>
      <c r="U358" s="219"/>
      <c r="V358" s="219"/>
      <c r="W358" s="219"/>
      <c r="X358" s="219"/>
      <c r="Y358" s="219"/>
      <c r="Z358" s="219"/>
      <c r="AA358" s="219"/>
      <c r="AB358" s="219"/>
      <c r="AC358" s="219"/>
    </row>
    <row r="359" spans="1:29" ht="15.75" customHeight="1">
      <c r="A359" s="253">
        <v>44782</v>
      </c>
      <c r="B359" s="224" t="s">
        <v>5011</v>
      </c>
      <c r="C359" s="249">
        <v>3.25</v>
      </c>
      <c r="D359" s="224" t="s">
        <v>5014</v>
      </c>
      <c r="E359" s="250" t="s">
        <v>4</v>
      </c>
      <c r="F359" s="224" t="s">
        <v>602</v>
      </c>
      <c r="G359" s="224" t="s">
        <v>5015</v>
      </c>
      <c r="H359" s="224">
        <v>3.5</v>
      </c>
      <c r="I359" s="224" t="s">
        <v>1054</v>
      </c>
      <c r="J359" s="224" t="s">
        <v>5016</v>
      </c>
      <c r="K359" s="224">
        <v>3</v>
      </c>
      <c r="L359" s="224" t="s">
        <v>784</v>
      </c>
      <c r="M359" s="224">
        <v>500000</v>
      </c>
      <c r="N359" s="224" t="s">
        <v>452</v>
      </c>
      <c r="O359" s="224" t="s">
        <v>1119</v>
      </c>
      <c r="P359" s="224"/>
      <c r="Q359" s="224" t="s">
        <v>24</v>
      </c>
      <c r="R359" s="224"/>
      <c r="S359" s="224" t="str">
        <f>IFERROR(VLOOKUP(B359,'2022-2023 Third Reviews'!$C:$S,9,FALSE),"")</f>
        <v/>
      </c>
      <c r="T359" s="224"/>
      <c r="U359" s="224"/>
      <c r="V359" s="306"/>
      <c r="W359" s="306"/>
      <c r="X359" s="306"/>
      <c r="Y359" s="306"/>
      <c r="Z359" s="306"/>
      <c r="AA359" s="306"/>
      <c r="AB359" s="306"/>
      <c r="AC359" s="306"/>
    </row>
    <row r="360" spans="1:29" ht="15.75" hidden="1" customHeight="1">
      <c r="A360" s="541">
        <v>44796</v>
      </c>
      <c r="B360" s="306" t="s">
        <v>303</v>
      </c>
      <c r="C360" s="542"/>
      <c r="D360" s="306" t="s">
        <v>1693</v>
      </c>
      <c r="E360" s="306" t="s">
        <v>3</v>
      </c>
      <c r="F360" s="306" t="s">
        <v>460</v>
      </c>
      <c r="G360" s="306"/>
      <c r="H360" s="306"/>
      <c r="I360" s="306" t="s">
        <v>462</v>
      </c>
      <c r="J360" s="306"/>
      <c r="K360" s="306"/>
      <c r="L360" s="306" t="s">
        <v>451</v>
      </c>
      <c r="M360" s="306" t="s">
        <v>1696</v>
      </c>
      <c r="N360" s="306" t="s">
        <v>452</v>
      </c>
      <c r="O360" s="306" t="s">
        <v>452</v>
      </c>
      <c r="P360" s="306"/>
      <c r="Q360" s="306"/>
      <c r="R360" s="543"/>
      <c r="S360" s="543"/>
      <c r="T360" s="543"/>
      <c r="U360" s="543"/>
      <c r="V360" s="306"/>
      <c r="W360" s="306"/>
      <c r="X360" s="306"/>
      <c r="Y360" s="306"/>
      <c r="Z360" s="306"/>
      <c r="AA360" s="306"/>
      <c r="AB360" s="306"/>
      <c r="AC360" s="306"/>
    </row>
    <row r="361" spans="1:29" ht="15.75" hidden="1" customHeight="1">
      <c r="A361" s="253">
        <v>44796</v>
      </c>
      <c r="B361" s="224" t="s">
        <v>303</v>
      </c>
      <c r="C361" s="316">
        <v>4.25</v>
      </c>
      <c r="D361" s="224" t="s">
        <v>1693</v>
      </c>
      <c r="E361" s="224" t="s">
        <v>3</v>
      </c>
      <c r="F361" s="224" t="s">
        <v>460</v>
      </c>
      <c r="G361" s="224" t="s">
        <v>10705</v>
      </c>
      <c r="H361" s="224">
        <v>4.5</v>
      </c>
      <c r="I361" s="224" t="s">
        <v>462</v>
      </c>
      <c r="J361" s="224" t="s">
        <v>10706</v>
      </c>
      <c r="K361" s="224">
        <v>4</v>
      </c>
      <c r="L361" s="224" t="s">
        <v>451</v>
      </c>
      <c r="M361" s="224" t="s">
        <v>1696</v>
      </c>
      <c r="N361" s="224" t="s">
        <v>452</v>
      </c>
      <c r="O361" s="224" t="s">
        <v>452</v>
      </c>
      <c r="P361" s="224"/>
      <c r="Q361" s="224" t="s">
        <v>18</v>
      </c>
      <c r="R361" s="254"/>
      <c r="S361" s="254"/>
      <c r="T361" s="254"/>
      <c r="U361" s="254"/>
      <c r="V361" s="224"/>
      <c r="W361" s="224"/>
      <c r="X361" s="224"/>
      <c r="Y361" s="224"/>
      <c r="Z361" s="224"/>
      <c r="AA361" s="224"/>
      <c r="AB361" s="224"/>
      <c r="AC361" s="224"/>
    </row>
    <row r="362" spans="1:29" ht="15.75" hidden="1" customHeight="1">
      <c r="A362" s="248">
        <v>44789</v>
      </c>
      <c r="B362" s="219" t="s">
        <v>8503</v>
      </c>
      <c r="C362" s="249">
        <v>1.5</v>
      </c>
      <c r="D362" s="219" t="s">
        <v>8506</v>
      </c>
      <c r="E362" s="250" t="s">
        <v>3</v>
      </c>
      <c r="F362" s="219" t="s">
        <v>488</v>
      </c>
      <c r="G362" s="219"/>
      <c r="H362" s="219">
        <v>2</v>
      </c>
      <c r="I362" s="219" t="s">
        <v>941</v>
      </c>
      <c r="J362" s="219" t="s">
        <v>8507</v>
      </c>
      <c r="K362" s="219">
        <v>1</v>
      </c>
      <c r="L362" s="219"/>
      <c r="M362" s="312"/>
      <c r="N362" s="219" t="s">
        <v>452</v>
      </c>
      <c r="O362" s="219" t="s">
        <v>452</v>
      </c>
      <c r="P362" s="219"/>
      <c r="Q362" s="219" t="s">
        <v>24</v>
      </c>
      <c r="R362" s="251"/>
      <c r="S362" s="251"/>
      <c r="T362" s="251"/>
      <c r="U362" s="251"/>
      <c r="V362" s="252"/>
      <c r="W362" s="252"/>
      <c r="X362" s="252"/>
      <c r="Y362" s="219"/>
      <c r="Z362" s="219"/>
      <c r="AA362" s="219"/>
      <c r="AB362" s="219"/>
      <c r="AC362" s="219"/>
    </row>
    <row r="363" spans="1:29" ht="15.75" hidden="1" customHeight="1">
      <c r="A363" s="541">
        <v>44796</v>
      </c>
      <c r="B363" s="306" t="s">
        <v>8510</v>
      </c>
      <c r="C363" s="542"/>
      <c r="D363" s="306" t="s">
        <v>8513</v>
      </c>
      <c r="E363" s="306" t="s">
        <v>3</v>
      </c>
      <c r="F363" s="306" t="s">
        <v>488</v>
      </c>
      <c r="G363" s="306"/>
      <c r="H363" s="306"/>
      <c r="I363" s="306" t="s">
        <v>941</v>
      </c>
      <c r="J363" s="306"/>
      <c r="K363" s="306"/>
      <c r="L363" s="306"/>
      <c r="M363" s="306"/>
      <c r="N363" s="306" t="s">
        <v>452</v>
      </c>
      <c r="O363" s="306" t="s">
        <v>8516</v>
      </c>
      <c r="P363" s="306"/>
      <c r="Q363" s="306"/>
      <c r="R363" s="543"/>
      <c r="S363" s="543"/>
      <c r="T363" s="543"/>
      <c r="U363" s="543"/>
      <c r="V363" s="224"/>
      <c r="W363" s="224"/>
      <c r="X363" s="224"/>
      <c r="Y363" s="224"/>
      <c r="Z363" s="224"/>
      <c r="AA363" s="224"/>
      <c r="AB363" s="224"/>
      <c r="AC363" s="224"/>
    </row>
    <row r="364" spans="1:29" ht="15.75" hidden="1" customHeight="1">
      <c r="A364" s="541">
        <v>44797</v>
      </c>
      <c r="B364" s="306" t="s">
        <v>8510</v>
      </c>
      <c r="C364" s="542"/>
      <c r="D364" s="306" t="s">
        <v>8513</v>
      </c>
      <c r="E364" s="306" t="s">
        <v>3</v>
      </c>
      <c r="F364" s="306" t="s">
        <v>488</v>
      </c>
      <c r="G364" s="306"/>
      <c r="H364" s="306"/>
      <c r="I364" s="306" t="s">
        <v>941</v>
      </c>
      <c r="J364" s="306" t="s">
        <v>8515</v>
      </c>
      <c r="K364" s="306">
        <v>3</v>
      </c>
      <c r="L364" s="306"/>
      <c r="M364" s="306"/>
      <c r="N364" s="306" t="s">
        <v>452</v>
      </c>
      <c r="O364" s="306" t="s">
        <v>8516</v>
      </c>
      <c r="P364" s="306"/>
      <c r="Q364" s="306"/>
      <c r="R364" s="543"/>
      <c r="S364" s="543"/>
      <c r="T364" s="543"/>
      <c r="U364" s="543"/>
      <c r="V364" s="306"/>
      <c r="W364" s="306"/>
      <c r="X364" s="306"/>
      <c r="Y364" s="306"/>
      <c r="Z364" s="306"/>
      <c r="AA364" s="306"/>
      <c r="AB364" s="306"/>
      <c r="AC364" s="306"/>
    </row>
    <row r="365" spans="1:29" ht="15.75" hidden="1" customHeight="1">
      <c r="A365" s="253">
        <v>44797</v>
      </c>
      <c r="B365" s="224" t="s">
        <v>8510</v>
      </c>
      <c r="C365" s="316">
        <v>2.5</v>
      </c>
      <c r="D365" s="224" t="s">
        <v>8513</v>
      </c>
      <c r="E365" s="224" t="s">
        <v>3</v>
      </c>
      <c r="F365" s="224" t="s">
        <v>725</v>
      </c>
      <c r="G365" s="224" t="s">
        <v>8514</v>
      </c>
      <c r="H365" s="224">
        <v>2</v>
      </c>
      <c r="I365" s="224" t="s">
        <v>941</v>
      </c>
      <c r="J365" s="224" t="s">
        <v>8515</v>
      </c>
      <c r="K365" s="224">
        <v>3</v>
      </c>
      <c r="L365" s="224"/>
      <c r="M365" s="224"/>
      <c r="N365" s="224" t="s">
        <v>452</v>
      </c>
      <c r="O365" s="224" t="s">
        <v>8516</v>
      </c>
      <c r="P365" s="224"/>
      <c r="Q365" s="224" t="s">
        <v>24</v>
      </c>
      <c r="R365" s="254"/>
      <c r="S365" s="254"/>
      <c r="T365" s="254"/>
      <c r="U365" s="254"/>
      <c r="V365" s="224"/>
      <c r="W365" s="224"/>
      <c r="X365" s="224"/>
      <c r="Y365" s="224"/>
      <c r="Z365" s="224"/>
      <c r="AA365" s="224"/>
      <c r="AB365" s="224"/>
      <c r="AC365" s="224"/>
    </row>
    <row r="366" spans="1:29" ht="15.75" customHeight="1">
      <c r="A366" s="248">
        <v>44791</v>
      </c>
      <c r="B366" s="219" t="s">
        <v>5019</v>
      </c>
      <c r="C366" s="315">
        <v>3.25</v>
      </c>
      <c r="D366" s="219" t="s">
        <v>5022</v>
      </c>
      <c r="E366" s="219" t="s">
        <v>4</v>
      </c>
      <c r="F366" s="219" t="s">
        <v>602</v>
      </c>
      <c r="G366" s="219" t="s">
        <v>5023</v>
      </c>
      <c r="H366" s="219">
        <v>3.5</v>
      </c>
      <c r="I366" s="219" t="s">
        <v>1073</v>
      </c>
      <c r="J366" s="219"/>
      <c r="K366" s="219">
        <v>3</v>
      </c>
      <c r="L366" s="219" t="s">
        <v>451</v>
      </c>
      <c r="M366" s="312">
        <v>4000000</v>
      </c>
      <c r="N366" s="219" t="s">
        <v>452</v>
      </c>
      <c r="O366" s="219" t="s">
        <v>11005</v>
      </c>
      <c r="P366" s="219"/>
      <c r="Q366" s="322" t="s">
        <v>24</v>
      </c>
      <c r="R366" s="219"/>
      <c r="S366" s="219" t="str">
        <f>IFERROR(VLOOKUP(B366,'2022-2023 Third Reviews'!$C:$S,9,FALSE),"")</f>
        <v/>
      </c>
      <c r="T366" s="219"/>
      <c r="U366" s="219"/>
      <c r="V366" s="306"/>
      <c r="W366" s="306"/>
      <c r="X366" s="306"/>
      <c r="Y366" s="306"/>
      <c r="Z366" s="306"/>
      <c r="AA366" s="306"/>
      <c r="AB366" s="306"/>
      <c r="AC366" s="306"/>
    </row>
    <row r="367" spans="1:29" ht="15.75" customHeight="1">
      <c r="A367" s="253">
        <v>44789</v>
      </c>
      <c r="B367" s="224" t="s">
        <v>5027</v>
      </c>
      <c r="C367" s="249">
        <v>3.25</v>
      </c>
      <c r="D367" s="224" t="s">
        <v>5030</v>
      </c>
      <c r="E367" s="250" t="s">
        <v>4</v>
      </c>
      <c r="F367" s="224" t="s">
        <v>602</v>
      </c>
      <c r="G367" s="224" t="s">
        <v>5031</v>
      </c>
      <c r="H367" s="224">
        <v>3</v>
      </c>
      <c r="I367" s="224" t="s">
        <v>1054</v>
      </c>
      <c r="J367" s="224" t="s">
        <v>5032</v>
      </c>
      <c r="K367" s="224">
        <v>3.5</v>
      </c>
      <c r="L367" s="224" t="s">
        <v>451</v>
      </c>
      <c r="M367" s="307">
        <v>2000000</v>
      </c>
      <c r="N367" s="224" t="s">
        <v>452</v>
      </c>
      <c r="O367" s="224" t="s">
        <v>10930</v>
      </c>
      <c r="P367" s="224" t="s">
        <v>5034</v>
      </c>
      <c r="Q367" s="224" t="s">
        <v>24</v>
      </c>
      <c r="R367" s="224"/>
      <c r="S367" s="224" t="str">
        <f>IFERROR(VLOOKUP(B367,'2022-2023 Third Reviews'!$C:$S,9,FALSE),"")</f>
        <v/>
      </c>
      <c r="T367" s="224"/>
      <c r="U367" s="224"/>
      <c r="V367" s="224"/>
      <c r="W367" s="224"/>
      <c r="X367" s="224"/>
      <c r="Y367" s="224"/>
      <c r="Z367" s="224"/>
      <c r="AA367" s="224"/>
      <c r="AB367" s="224"/>
      <c r="AC367" s="224"/>
    </row>
    <row r="368" spans="1:29" ht="15.75" customHeight="1">
      <c r="A368" s="248">
        <v>44789</v>
      </c>
      <c r="B368" s="219" t="s">
        <v>5037</v>
      </c>
      <c r="C368" s="249">
        <v>3.25</v>
      </c>
      <c r="D368" s="219" t="s">
        <v>5040</v>
      </c>
      <c r="E368" s="250" t="s">
        <v>4</v>
      </c>
      <c r="F368" s="219" t="s">
        <v>602</v>
      </c>
      <c r="G368" s="219" t="s">
        <v>5041</v>
      </c>
      <c r="H368" s="219">
        <v>2.5</v>
      </c>
      <c r="I368" s="219" t="s">
        <v>1054</v>
      </c>
      <c r="J368" s="219" t="s">
        <v>10929</v>
      </c>
      <c r="K368" s="219">
        <v>4</v>
      </c>
      <c r="L368" s="219" t="s">
        <v>451</v>
      </c>
      <c r="M368" s="312">
        <v>2500000</v>
      </c>
      <c r="N368" s="219" t="s">
        <v>452</v>
      </c>
      <c r="O368" s="219" t="s">
        <v>5043</v>
      </c>
      <c r="P368" s="219"/>
      <c r="Q368" s="219" t="s">
        <v>24</v>
      </c>
      <c r="R368" s="219"/>
      <c r="S368" s="219" t="str">
        <f>IFERROR(VLOOKUP(B368,'2022-2023 Third Reviews'!$C:$S,9,FALSE),"")</f>
        <v/>
      </c>
      <c r="T368" s="219"/>
      <c r="U368" s="219"/>
      <c r="V368" s="306"/>
      <c r="W368" s="306"/>
      <c r="X368" s="306"/>
      <c r="Y368" s="306"/>
      <c r="Z368" s="306"/>
      <c r="AA368" s="306"/>
      <c r="AB368" s="306"/>
      <c r="AC368" s="306"/>
    </row>
    <row r="369" spans="1:29" ht="15.75" customHeight="1">
      <c r="A369" s="253">
        <v>44797</v>
      </c>
      <c r="B369" s="224" t="s">
        <v>10541</v>
      </c>
      <c r="C369" s="316">
        <v>3.25</v>
      </c>
      <c r="D369" s="224" t="s">
        <v>10542</v>
      </c>
      <c r="E369" s="224" t="s">
        <v>4</v>
      </c>
      <c r="F369" s="224" t="s">
        <v>727</v>
      </c>
      <c r="G369" s="224" t="s">
        <v>10543</v>
      </c>
      <c r="H369" s="224">
        <v>3.5</v>
      </c>
      <c r="I369" s="224" t="s">
        <v>449</v>
      </c>
      <c r="J369" s="224" t="s">
        <v>10544</v>
      </c>
      <c r="K369" s="224">
        <v>3</v>
      </c>
      <c r="L369" s="224" t="s">
        <v>478</v>
      </c>
      <c r="M369" s="224" t="s">
        <v>5052</v>
      </c>
      <c r="N369" s="224" t="s">
        <v>452</v>
      </c>
      <c r="O369" s="224" t="s">
        <v>452</v>
      </c>
      <c r="P369" s="224"/>
      <c r="Q369" s="224" t="s">
        <v>24</v>
      </c>
      <c r="R369" s="224"/>
      <c r="S369" s="224" t="str">
        <f>IFERROR(VLOOKUP(B369,'2022-2023 Third Reviews'!$C:$S,9,FALSE),"")</f>
        <v/>
      </c>
      <c r="T369" s="224"/>
      <c r="U369" s="224"/>
      <c r="V369" s="224"/>
      <c r="W369" s="224"/>
      <c r="X369" s="224"/>
      <c r="Y369" s="224"/>
      <c r="Z369" s="224"/>
      <c r="AA369" s="224"/>
      <c r="AB369" s="224"/>
      <c r="AC369" s="224"/>
    </row>
    <row r="370" spans="1:29" ht="15.75" hidden="1" customHeight="1">
      <c r="A370" s="280">
        <v>44784</v>
      </c>
      <c r="B370" s="281" t="s">
        <v>8518</v>
      </c>
      <c r="C370" s="282">
        <v>2</v>
      </c>
      <c r="D370" s="281" t="s">
        <v>8521</v>
      </c>
      <c r="E370" s="281" t="s">
        <v>3</v>
      </c>
      <c r="F370" s="281" t="s">
        <v>488</v>
      </c>
      <c r="G370" s="281"/>
      <c r="H370" s="281">
        <v>2</v>
      </c>
      <c r="I370" s="281" t="s">
        <v>462</v>
      </c>
      <c r="J370" s="281" t="s">
        <v>8522</v>
      </c>
      <c r="K370" s="281">
        <v>2</v>
      </c>
      <c r="L370" s="281"/>
      <c r="M370" s="281"/>
      <c r="N370" s="281" t="s">
        <v>465</v>
      </c>
      <c r="O370" s="281" t="s">
        <v>452</v>
      </c>
      <c r="P370" s="281"/>
      <c r="Q370" s="281" t="s">
        <v>24</v>
      </c>
      <c r="R370" s="283" t="s">
        <v>8523</v>
      </c>
      <c r="S370" s="283"/>
      <c r="T370" s="283"/>
      <c r="U370" s="283"/>
      <c r="V370" s="281"/>
      <c r="W370" s="281"/>
      <c r="X370" s="281"/>
      <c r="Y370" s="281"/>
      <c r="Z370" s="281"/>
      <c r="AA370" s="258"/>
      <c r="AB370" s="258"/>
      <c r="AC370" s="258"/>
    </row>
    <row r="371" spans="1:29" ht="15.75" hidden="1" customHeight="1">
      <c r="A371" s="280">
        <v>44784</v>
      </c>
      <c r="B371" s="281" t="s">
        <v>2426</v>
      </c>
      <c r="C371" s="282">
        <v>3</v>
      </c>
      <c r="D371" s="281" t="s">
        <v>2429</v>
      </c>
      <c r="E371" s="281" t="s">
        <v>5</v>
      </c>
      <c r="F371" s="281" t="s">
        <v>447</v>
      </c>
      <c r="G371" s="281" t="s">
        <v>10614</v>
      </c>
      <c r="H371" s="281">
        <v>2.5</v>
      </c>
      <c r="I371" s="281" t="s">
        <v>449</v>
      </c>
      <c r="J371" s="281" t="s">
        <v>11587</v>
      </c>
      <c r="K371" s="281">
        <v>3.5</v>
      </c>
      <c r="L371" s="281" t="s">
        <v>478</v>
      </c>
      <c r="M371" s="288">
        <v>7000000</v>
      </c>
      <c r="N371" s="281" t="s">
        <v>452</v>
      </c>
      <c r="O371" s="288" t="s">
        <v>2432</v>
      </c>
      <c r="P371" s="281"/>
      <c r="Q371" s="281" t="s">
        <v>24</v>
      </c>
      <c r="R371" s="283" t="s">
        <v>2433</v>
      </c>
      <c r="S371" s="283"/>
      <c r="T371" s="283"/>
      <c r="U371" s="283"/>
      <c r="V371" s="281"/>
      <c r="W371" s="281"/>
      <c r="X371" s="281"/>
      <c r="Y371" s="281"/>
      <c r="Z371" s="281"/>
      <c r="AA371" s="258"/>
      <c r="AB371" s="258"/>
      <c r="AC371" s="258"/>
    </row>
    <row r="372" spans="1:29" ht="15.75" hidden="1" customHeight="1">
      <c r="A372" s="255">
        <v>44789</v>
      </c>
      <c r="B372" s="239" t="s">
        <v>2436</v>
      </c>
      <c r="C372" s="262">
        <v>3.25</v>
      </c>
      <c r="D372" s="239" t="s">
        <v>11185</v>
      </c>
      <c r="E372" s="239" t="s">
        <v>5</v>
      </c>
      <c r="F372" s="239" t="s">
        <v>447</v>
      </c>
      <c r="G372" s="239" t="s">
        <v>11186</v>
      </c>
      <c r="H372" s="239">
        <v>3.5</v>
      </c>
      <c r="I372" s="239" t="s">
        <v>449</v>
      </c>
      <c r="J372" s="239" t="e">
        <f>+Working MVP
+Team Have had exits from successful startups
-No customers
-Too early for EFL</f>
        <v>#NAME?</v>
      </c>
      <c r="K372" s="239">
        <v>3</v>
      </c>
      <c r="L372" s="239" t="s">
        <v>478</v>
      </c>
      <c r="M372" s="314">
        <v>8000000</v>
      </c>
      <c r="N372" s="239" t="s">
        <v>465</v>
      </c>
      <c r="O372" s="239" t="s">
        <v>2442</v>
      </c>
      <c r="P372" s="239"/>
      <c r="Q372" s="239" t="s">
        <v>24</v>
      </c>
      <c r="R372" s="256"/>
      <c r="S372" s="256"/>
      <c r="T372" s="256"/>
      <c r="U372" s="256"/>
      <c r="V372" s="239"/>
      <c r="W372" s="239"/>
      <c r="X372" s="239"/>
      <c r="Y372" s="239"/>
      <c r="Z372" s="239"/>
      <c r="AA372" s="239"/>
      <c r="AB372" s="239"/>
      <c r="AC372" s="239"/>
    </row>
    <row r="373" spans="1:29" ht="15.75" customHeight="1">
      <c r="A373" s="253">
        <v>44789</v>
      </c>
      <c r="B373" s="224" t="s">
        <v>10694</v>
      </c>
      <c r="C373" s="249">
        <v>3.25</v>
      </c>
      <c r="D373" s="224" t="s">
        <v>5058</v>
      </c>
      <c r="E373" s="250" t="s">
        <v>4</v>
      </c>
      <c r="F373" s="224" t="s">
        <v>727</v>
      </c>
      <c r="G373" s="224" t="s">
        <v>10695</v>
      </c>
      <c r="H373" s="224">
        <v>3.5</v>
      </c>
      <c r="I373" s="224" t="s">
        <v>1045</v>
      </c>
      <c r="J373" s="224" t="s">
        <v>5060</v>
      </c>
      <c r="K373" s="224">
        <v>3</v>
      </c>
      <c r="L373" s="224"/>
      <c r="M373" s="224"/>
      <c r="N373" s="224" t="s">
        <v>452</v>
      </c>
      <c r="O373" s="224" t="s">
        <v>10696</v>
      </c>
      <c r="P373" s="224" t="s">
        <v>725</v>
      </c>
      <c r="Q373" s="224" t="s">
        <v>24</v>
      </c>
      <c r="R373" s="224"/>
      <c r="S373" s="224" t="str">
        <f>IFERROR(VLOOKUP(B373,'2022-2023 Third Reviews'!$C:$S,9,FALSE),"")</f>
        <v/>
      </c>
      <c r="T373" s="224"/>
      <c r="U373" s="224"/>
      <c r="V373" s="306"/>
      <c r="W373" s="306"/>
      <c r="X373" s="306"/>
      <c r="Y373" s="306"/>
      <c r="Z373" s="306"/>
      <c r="AA373" s="306"/>
      <c r="AB373" s="306"/>
      <c r="AC373" s="306"/>
    </row>
    <row r="374" spans="1:29" ht="15.75" customHeight="1">
      <c r="A374" s="398">
        <v>44784</v>
      </c>
      <c r="B374" s="268" t="s">
        <v>5064</v>
      </c>
      <c r="C374" s="269">
        <v>3.25</v>
      </c>
      <c r="D374" s="268" t="s">
        <v>11452</v>
      </c>
      <c r="E374" s="270" t="s">
        <v>4</v>
      </c>
      <c r="F374" s="268" t="s">
        <v>602</v>
      </c>
      <c r="G374" s="268" t="s">
        <v>5068</v>
      </c>
      <c r="H374" s="268">
        <v>3</v>
      </c>
      <c r="I374" s="268" t="s">
        <v>1054</v>
      </c>
      <c r="J374" s="268" t="s">
        <v>5069</v>
      </c>
      <c r="K374" s="268">
        <v>3.5</v>
      </c>
      <c r="L374" s="268"/>
      <c r="M374" s="268"/>
      <c r="N374" s="268" t="s">
        <v>452</v>
      </c>
      <c r="O374" s="268" t="s">
        <v>5070</v>
      </c>
      <c r="P374" s="268"/>
      <c r="Q374" s="268" t="s">
        <v>24</v>
      </c>
      <c r="R374" s="268"/>
      <c r="S374" s="268" t="str">
        <f>IFERROR(VLOOKUP(B374,'2022-2023 Third Reviews'!$C:$S,9,FALSE),"")</f>
        <v/>
      </c>
      <c r="T374" s="268"/>
      <c r="U374" s="268"/>
      <c r="V374" s="306"/>
      <c r="W374" s="306"/>
      <c r="X374" s="306"/>
      <c r="Y374" s="306"/>
      <c r="Z374" s="306"/>
      <c r="AA374" s="306"/>
      <c r="AB374" s="306"/>
      <c r="AC374" s="306"/>
    </row>
    <row r="375" spans="1:29" ht="15.75" customHeight="1">
      <c r="A375" s="398">
        <v>44784</v>
      </c>
      <c r="B375" s="272" t="s">
        <v>5072</v>
      </c>
      <c r="C375" s="269">
        <v>3.25</v>
      </c>
      <c r="D375" s="272" t="s">
        <v>5075</v>
      </c>
      <c r="E375" s="270" t="s">
        <v>4</v>
      </c>
      <c r="F375" s="272" t="s">
        <v>602</v>
      </c>
      <c r="G375" s="272" t="s">
        <v>5076</v>
      </c>
      <c r="H375" s="272">
        <v>3</v>
      </c>
      <c r="I375" s="272" t="s">
        <v>1054</v>
      </c>
      <c r="J375" s="272" t="s">
        <v>5077</v>
      </c>
      <c r="K375" s="272">
        <v>3.5</v>
      </c>
      <c r="L375" s="272"/>
      <c r="M375" s="272"/>
      <c r="N375" s="272" t="s">
        <v>465</v>
      </c>
      <c r="O375" s="272" t="s">
        <v>454</v>
      </c>
      <c r="P375" s="272"/>
      <c r="Q375" s="272" t="s">
        <v>24</v>
      </c>
      <c r="R375" s="272"/>
      <c r="S375" s="272" t="str">
        <f>IFERROR(VLOOKUP(B375,'2022-2023 Third Reviews'!$C:$S,9,FALSE),"")</f>
        <v/>
      </c>
      <c r="T375" s="272"/>
      <c r="U375" s="272"/>
      <c r="V375" s="224"/>
      <c r="W375" s="224"/>
      <c r="X375" s="224"/>
      <c r="Y375" s="224"/>
      <c r="Z375" s="224"/>
      <c r="AA375" s="224"/>
      <c r="AB375" s="224"/>
      <c r="AC375" s="224"/>
    </row>
    <row r="376" spans="1:29" ht="15.75" hidden="1" customHeight="1">
      <c r="A376" s="301">
        <v>44789</v>
      </c>
      <c r="B376" s="303" t="s">
        <v>8526</v>
      </c>
      <c r="C376" s="269"/>
      <c r="D376" s="303" t="s">
        <v>8529</v>
      </c>
      <c r="E376" s="270" t="s">
        <v>3</v>
      </c>
      <c r="F376" s="303" t="s">
        <v>725</v>
      </c>
      <c r="G376" s="303"/>
      <c r="H376" s="303"/>
      <c r="I376" s="303" t="s">
        <v>941</v>
      </c>
      <c r="J376" s="303"/>
      <c r="K376" s="303">
        <v>2</v>
      </c>
      <c r="L376" s="303"/>
      <c r="M376" s="303"/>
      <c r="N376" s="303" t="s">
        <v>452</v>
      </c>
      <c r="O376" s="303" t="s">
        <v>452</v>
      </c>
      <c r="P376" s="303"/>
      <c r="Q376" s="303"/>
      <c r="R376" s="305"/>
      <c r="S376" s="305"/>
      <c r="T376" s="305"/>
      <c r="U376" s="305"/>
      <c r="V376" s="303"/>
      <c r="W376" s="303"/>
      <c r="X376" s="303"/>
      <c r="Y376" s="303"/>
      <c r="Z376" s="303"/>
      <c r="AA376" s="306"/>
      <c r="AB376" s="306"/>
      <c r="AC376" s="306"/>
    </row>
    <row r="377" spans="1:29" ht="15.75" hidden="1" customHeight="1">
      <c r="A377" s="253">
        <v>44791</v>
      </c>
      <c r="B377" s="224" t="s">
        <v>8526</v>
      </c>
      <c r="C377" s="316">
        <v>2.5</v>
      </c>
      <c r="D377" s="224" t="s">
        <v>8529</v>
      </c>
      <c r="E377" s="224" t="s">
        <v>3</v>
      </c>
      <c r="F377" s="224" t="s">
        <v>725</v>
      </c>
      <c r="G377" s="224" t="s">
        <v>10550</v>
      </c>
      <c r="H377" s="224">
        <v>3</v>
      </c>
      <c r="I377" s="224" t="s">
        <v>941</v>
      </c>
      <c r="J377" s="224"/>
      <c r="K377" s="224">
        <v>2</v>
      </c>
      <c r="L377" s="224"/>
      <c r="M377" s="311"/>
      <c r="N377" s="224" t="s">
        <v>452</v>
      </c>
      <c r="O377" s="224" t="s">
        <v>452</v>
      </c>
      <c r="P377" s="224"/>
      <c r="Q377" s="322" t="s">
        <v>24</v>
      </c>
      <c r="R377" s="254"/>
      <c r="S377" s="254"/>
      <c r="T377" s="254"/>
      <c r="U377" s="254"/>
      <c r="V377" s="224"/>
      <c r="W377" s="224"/>
      <c r="X377" s="224"/>
      <c r="Y377" s="224"/>
      <c r="Z377" s="224"/>
      <c r="AA377" s="224"/>
      <c r="AB377" s="224"/>
      <c r="AC377" s="224"/>
    </row>
    <row r="378" spans="1:29" ht="15.75" customHeight="1">
      <c r="A378" s="398">
        <v>44784</v>
      </c>
      <c r="B378" s="268" t="s">
        <v>5080</v>
      </c>
      <c r="C378" s="269">
        <v>3.25</v>
      </c>
      <c r="D378" s="268" t="s">
        <v>10320</v>
      </c>
      <c r="E378" s="270" t="s">
        <v>4</v>
      </c>
      <c r="F378" s="268" t="s">
        <v>727</v>
      </c>
      <c r="G378" s="268" t="s">
        <v>10321</v>
      </c>
      <c r="H378" s="268">
        <v>3.5</v>
      </c>
      <c r="I378" s="268" t="s">
        <v>1054</v>
      </c>
      <c r="J378" s="268" t="s">
        <v>5085</v>
      </c>
      <c r="K378" s="268">
        <v>3</v>
      </c>
      <c r="L378" s="268" t="s">
        <v>451</v>
      </c>
      <c r="M378" s="268">
        <v>2500000</v>
      </c>
      <c r="N378" s="268" t="s">
        <v>452</v>
      </c>
      <c r="O378" s="268" t="s">
        <v>10322</v>
      </c>
      <c r="P378" s="268" t="s">
        <v>727</v>
      </c>
      <c r="Q378" s="268" t="s">
        <v>24</v>
      </c>
      <c r="R378" s="268"/>
      <c r="S378" s="268" t="str">
        <f>IFERROR(VLOOKUP(B378,'2022-2023 Third Reviews'!$C:$S,9,FALSE),"")</f>
        <v/>
      </c>
      <c r="T378" s="268"/>
      <c r="U378" s="268"/>
      <c r="V378" s="239"/>
      <c r="W378" s="239"/>
      <c r="X378" s="239"/>
      <c r="Y378" s="239"/>
      <c r="Z378" s="239"/>
      <c r="AA378" s="239"/>
      <c r="AB378" s="239"/>
      <c r="AC378" s="239"/>
    </row>
    <row r="379" spans="1:29" ht="15.75" customHeight="1">
      <c r="A379" s="253">
        <v>44791</v>
      </c>
      <c r="B379" s="224" t="s">
        <v>5088</v>
      </c>
      <c r="C379" s="316">
        <v>3.25</v>
      </c>
      <c r="D379" s="224" t="s">
        <v>5091</v>
      </c>
      <c r="E379" s="224" t="s">
        <v>4</v>
      </c>
      <c r="F379" s="224" t="s">
        <v>727</v>
      </c>
      <c r="G379" s="224" t="s">
        <v>10583</v>
      </c>
      <c r="H379" s="224">
        <v>3.5</v>
      </c>
      <c r="I379" s="224" t="s">
        <v>1187</v>
      </c>
      <c r="J379" s="224" t="s">
        <v>5093</v>
      </c>
      <c r="K379" s="224">
        <v>3</v>
      </c>
      <c r="L379" s="224"/>
      <c r="M379" s="307"/>
      <c r="N379" s="224" t="s">
        <v>452</v>
      </c>
      <c r="O379" s="224" t="s">
        <v>10584</v>
      </c>
      <c r="P379" s="224"/>
      <c r="Q379" s="322" t="s">
        <v>24</v>
      </c>
      <c r="R379" s="224"/>
      <c r="S379" s="224" t="str">
        <f>IFERROR(VLOOKUP(B379,'2022-2023 Third Reviews'!$C:$S,9,FALSE),"")</f>
        <v/>
      </c>
      <c r="T379" s="224"/>
      <c r="U379" s="224"/>
      <c r="V379" s="224"/>
      <c r="W379" s="224"/>
      <c r="X379" s="224"/>
      <c r="Y379" s="224"/>
      <c r="Z379" s="224"/>
      <c r="AA379" s="224"/>
      <c r="AB379" s="224"/>
      <c r="AC379" s="224"/>
    </row>
    <row r="380" spans="1:29" ht="15.75" hidden="1" customHeight="1">
      <c r="A380" s="541">
        <v>44796</v>
      </c>
      <c r="B380" s="306" t="s">
        <v>8533</v>
      </c>
      <c r="C380" s="542"/>
      <c r="D380" s="306" t="s">
        <v>8536</v>
      </c>
      <c r="E380" s="306" t="s">
        <v>3</v>
      </c>
      <c r="F380" s="306" t="s">
        <v>460</v>
      </c>
      <c r="G380" s="306"/>
      <c r="H380" s="306"/>
      <c r="I380" s="306" t="s">
        <v>462</v>
      </c>
      <c r="J380" s="306"/>
      <c r="K380" s="306"/>
      <c r="L380" s="306" t="s">
        <v>451</v>
      </c>
      <c r="M380" s="544" t="s">
        <v>8539</v>
      </c>
      <c r="N380" s="306" t="s">
        <v>452</v>
      </c>
      <c r="O380" s="306" t="s">
        <v>8540</v>
      </c>
      <c r="P380" s="306"/>
      <c r="Q380" s="306"/>
      <c r="R380" s="543"/>
      <c r="S380" s="543"/>
      <c r="T380" s="543"/>
      <c r="U380" s="543"/>
      <c r="V380" s="306"/>
      <c r="W380" s="306"/>
      <c r="X380" s="306"/>
      <c r="Y380" s="306"/>
      <c r="Z380" s="306"/>
      <c r="AA380" s="306"/>
      <c r="AB380" s="306"/>
      <c r="AC380" s="306"/>
    </row>
    <row r="381" spans="1:29" ht="15.75" hidden="1" customHeight="1">
      <c r="A381" s="253">
        <v>44796</v>
      </c>
      <c r="B381" s="224" t="s">
        <v>8533</v>
      </c>
      <c r="C381" s="316">
        <v>2</v>
      </c>
      <c r="D381" s="224" t="s">
        <v>8536</v>
      </c>
      <c r="E381" s="224" t="s">
        <v>3</v>
      </c>
      <c r="F381" s="224" t="s">
        <v>460</v>
      </c>
      <c r="G381" s="224" t="s">
        <v>8537</v>
      </c>
      <c r="H381" s="224">
        <v>1</v>
      </c>
      <c r="I381" s="224" t="s">
        <v>462</v>
      </c>
      <c r="J381" s="224" t="s">
        <v>8538</v>
      </c>
      <c r="K381" s="224">
        <v>3</v>
      </c>
      <c r="L381" s="224" t="s">
        <v>451</v>
      </c>
      <c r="M381" s="224" t="s">
        <v>8539</v>
      </c>
      <c r="N381" s="224" t="s">
        <v>452</v>
      </c>
      <c r="O381" s="224" t="s">
        <v>8540</v>
      </c>
      <c r="P381" s="224"/>
      <c r="Q381" s="224" t="s">
        <v>24</v>
      </c>
      <c r="R381" s="254"/>
      <c r="S381" s="254"/>
      <c r="T381" s="254"/>
      <c r="U381" s="254"/>
      <c r="V381" s="224"/>
      <c r="W381" s="224"/>
      <c r="X381" s="224"/>
      <c r="Y381" s="224"/>
      <c r="Z381" s="224"/>
      <c r="AA381" s="224"/>
      <c r="AB381" s="224"/>
      <c r="AC381" s="224"/>
    </row>
    <row r="382" spans="1:29" ht="15.75" hidden="1" customHeight="1">
      <c r="A382" s="541">
        <v>44796</v>
      </c>
      <c r="B382" s="306" t="s">
        <v>8543</v>
      </c>
      <c r="C382" s="542"/>
      <c r="D382" s="306" t="s">
        <v>8546</v>
      </c>
      <c r="E382" s="306" t="s">
        <v>3</v>
      </c>
      <c r="F382" s="306" t="s">
        <v>488</v>
      </c>
      <c r="G382" s="306"/>
      <c r="H382" s="306"/>
      <c r="I382" s="306" t="s">
        <v>941</v>
      </c>
      <c r="J382" s="306"/>
      <c r="K382" s="306"/>
      <c r="L382" s="306" t="s">
        <v>973</v>
      </c>
      <c r="M382" s="306">
        <v>8000000</v>
      </c>
      <c r="N382" s="306" t="s">
        <v>452</v>
      </c>
      <c r="O382" s="306" t="s">
        <v>8548</v>
      </c>
      <c r="P382" s="306"/>
      <c r="Q382" s="306"/>
      <c r="R382" s="543"/>
      <c r="S382" s="543"/>
      <c r="T382" s="543"/>
      <c r="U382" s="543"/>
      <c r="V382" s="306"/>
      <c r="W382" s="306"/>
      <c r="X382" s="306"/>
      <c r="Y382" s="306"/>
      <c r="Z382" s="306"/>
      <c r="AA382" s="306"/>
      <c r="AB382" s="306"/>
      <c r="AC382" s="306"/>
    </row>
    <row r="383" spans="1:29" ht="15.75" hidden="1" customHeight="1">
      <c r="A383" s="253">
        <v>44796</v>
      </c>
      <c r="B383" s="224" t="s">
        <v>8543</v>
      </c>
      <c r="C383" s="316">
        <v>3.25</v>
      </c>
      <c r="D383" s="224" t="s">
        <v>8546</v>
      </c>
      <c r="E383" s="224" t="s">
        <v>3</v>
      </c>
      <c r="F383" s="224" t="s">
        <v>488</v>
      </c>
      <c r="G383" s="224"/>
      <c r="H383" s="224">
        <v>3</v>
      </c>
      <c r="I383" s="224" t="s">
        <v>941</v>
      </c>
      <c r="J383" s="224" t="s">
        <v>8547</v>
      </c>
      <c r="K383" s="224">
        <v>3.5</v>
      </c>
      <c r="L383" s="224" t="s">
        <v>973</v>
      </c>
      <c r="M383" s="224">
        <v>8000000</v>
      </c>
      <c r="N383" s="224" t="s">
        <v>452</v>
      </c>
      <c r="O383" s="224" t="s">
        <v>8548</v>
      </c>
      <c r="P383" s="224"/>
      <c r="Q383" s="224" t="s">
        <v>24</v>
      </c>
      <c r="R383" s="254"/>
      <c r="S383" s="254"/>
      <c r="T383" s="254"/>
      <c r="U383" s="254"/>
      <c r="V383" s="224"/>
      <c r="W383" s="224"/>
      <c r="X383" s="224"/>
      <c r="Y383" s="224"/>
      <c r="Z383" s="224"/>
      <c r="AA383" s="224"/>
      <c r="AB383" s="224"/>
      <c r="AC383" s="224"/>
    </row>
    <row r="384" spans="1:29" ht="15.75" hidden="1" customHeight="1">
      <c r="A384" s="267">
        <v>44784</v>
      </c>
      <c r="B384" s="268" t="s">
        <v>10708</v>
      </c>
      <c r="C384" s="269">
        <v>3.25</v>
      </c>
      <c r="D384" s="268" t="s">
        <v>10709</v>
      </c>
      <c r="E384" s="270" t="s">
        <v>5</v>
      </c>
      <c r="F384" s="268" t="s">
        <v>447</v>
      </c>
      <c r="G384" s="268" t="s">
        <v>10710</v>
      </c>
      <c r="H384" s="268">
        <v>3</v>
      </c>
      <c r="I384" s="268" t="s">
        <v>543</v>
      </c>
      <c r="J384" s="268" t="s">
        <v>11581</v>
      </c>
      <c r="K384" s="268">
        <v>3.5</v>
      </c>
      <c r="L384" s="268"/>
      <c r="M384" s="268"/>
      <c r="N384" s="268" t="s">
        <v>452</v>
      </c>
      <c r="O384" s="268" t="s">
        <v>2451</v>
      </c>
      <c r="P384" s="268"/>
      <c r="Q384" s="268" t="s">
        <v>24</v>
      </c>
      <c r="R384" s="271"/>
      <c r="S384" s="271"/>
      <c r="T384" s="271"/>
      <c r="U384" s="271"/>
      <c r="V384" s="268"/>
      <c r="W384" s="268"/>
      <c r="X384" s="268"/>
      <c r="Y384" s="268"/>
      <c r="Z384" s="268"/>
      <c r="AA384" s="219"/>
      <c r="AB384" s="219"/>
      <c r="AC384" s="219"/>
    </row>
    <row r="385" spans="1:29" ht="15.75" customHeight="1">
      <c r="A385" s="255">
        <v>44791</v>
      </c>
      <c r="B385" s="239" t="s">
        <v>307</v>
      </c>
      <c r="C385" s="262">
        <v>3.25</v>
      </c>
      <c r="D385" s="239" t="s">
        <v>9424</v>
      </c>
      <c r="E385" s="239" t="s">
        <v>4</v>
      </c>
      <c r="F385" s="239" t="s">
        <v>447</v>
      </c>
      <c r="G385" s="239" t="s">
        <v>11290</v>
      </c>
      <c r="H385" s="239">
        <v>3.5</v>
      </c>
      <c r="I385" s="239" t="s">
        <v>543</v>
      </c>
      <c r="J385" s="239" t="s">
        <v>11684</v>
      </c>
      <c r="K385" s="239">
        <v>3</v>
      </c>
      <c r="L385" s="239"/>
      <c r="M385" s="308"/>
      <c r="N385" s="239" t="s">
        <v>452</v>
      </c>
      <c r="O385" s="239" t="s">
        <v>452</v>
      </c>
      <c r="P385" s="239"/>
      <c r="Q385" s="239" t="s">
        <v>19</v>
      </c>
      <c r="R385" s="239" t="s">
        <v>9427</v>
      </c>
      <c r="S385" s="239" t="str">
        <f>IFERROR(VLOOKUP(B385,'2022-2023 Third Reviews'!$C:$S,9,FALSE),"")</f>
        <v/>
      </c>
      <c r="T385" s="239"/>
      <c r="U385" s="239"/>
      <c r="V385" s="252"/>
      <c r="W385" s="252"/>
      <c r="X385" s="252"/>
      <c r="Y385" s="224"/>
      <c r="Z385" s="224"/>
      <c r="AA385" s="224"/>
      <c r="AB385" s="224"/>
      <c r="AC385" s="224"/>
    </row>
    <row r="386" spans="1:29" ht="15.75" customHeight="1">
      <c r="A386" s="398">
        <v>44784</v>
      </c>
      <c r="B386" s="268" t="s">
        <v>5096</v>
      </c>
      <c r="C386" s="269">
        <v>3.25</v>
      </c>
      <c r="D386" s="268" t="s">
        <v>5099</v>
      </c>
      <c r="E386" s="270" t="s">
        <v>4</v>
      </c>
      <c r="F386" s="268" t="s">
        <v>727</v>
      </c>
      <c r="G386" s="268" t="s">
        <v>10720</v>
      </c>
      <c r="H386" s="268">
        <v>3</v>
      </c>
      <c r="I386" s="268" t="s">
        <v>1054</v>
      </c>
      <c r="J386" s="268" t="s">
        <v>5101</v>
      </c>
      <c r="K386" s="268">
        <v>3.5</v>
      </c>
      <c r="L386" s="268" t="s">
        <v>451</v>
      </c>
      <c r="M386" s="285">
        <v>300000</v>
      </c>
      <c r="N386" s="268" t="s">
        <v>454</v>
      </c>
      <c r="O386" s="285" t="s">
        <v>452</v>
      </c>
      <c r="P386" s="268"/>
      <c r="Q386" s="268" t="s">
        <v>24</v>
      </c>
      <c r="R386" s="268"/>
      <c r="S386" s="268" t="str">
        <f>IFERROR(VLOOKUP(B386,'2022-2023 Third Reviews'!$C:$S,9,FALSE),"")</f>
        <v/>
      </c>
      <c r="T386" s="268"/>
      <c r="U386" s="268"/>
      <c r="V386" s="219"/>
      <c r="W386" s="219"/>
      <c r="X386" s="219"/>
      <c r="Y386" s="219"/>
      <c r="Z386" s="219"/>
      <c r="AA386" s="219"/>
      <c r="AB386" s="219"/>
      <c r="AC386" s="219"/>
    </row>
    <row r="387" spans="1:29" ht="15.75" customHeight="1">
      <c r="A387" s="253">
        <v>44796</v>
      </c>
      <c r="B387" s="224" t="s">
        <v>5104</v>
      </c>
      <c r="C387" s="316">
        <v>3.25</v>
      </c>
      <c r="D387" s="224" t="s">
        <v>5107</v>
      </c>
      <c r="E387" s="224" t="s">
        <v>4</v>
      </c>
      <c r="F387" s="224" t="s">
        <v>1045</v>
      </c>
      <c r="G387" s="224" t="s">
        <v>5108</v>
      </c>
      <c r="H387" s="224">
        <v>2.5</v>
      </c>
      <c r="I387" s="224" t="s">
        <v>1281</v>
      </c>
      <c r="J387" s="224" t="s">
        <v>5109</v>
      </c>
      <c r="K387" s="224">
        <v>4</v>
      </c>
      <c r="L387" s="224" t="s">
        <v>784</v>
      </c>
      <c r="M387" s="311">
        <v>150000</v>
      </c>
      <c r="N387" s="224" t="s">
        <v>452</v>
      </c>
      <c r="O387" s="224" t="s">
        <v>5110</v>
      </c>
      <c r="P387" s="224"/>
      <c r="Q387" s="224" t="s">
        <v>24</v>
      </c>
      <c r="R387" s="224"/>
      <c r="S387" s="224" t="str">
        <f>IFERROR(VLOOKUP(B387,'2022-2023 Third Reviews'!$C:$S,9,FALSE),"")</f>
        <v/>
      </c>
      <c r="T387" s="224"/>
      <c r="U387" s="224"/>
      <c r="V387" s="224"/>
      <c r="W387" s="224"/>
      <c r="X387" s="224"/>
      <c r="Y387" s="224"/>
      <c r="Z387" s="224"/>
      <c r="AA387" s="224"/>
      <c r="AB387" s="224"/>
      <c r="AC387" s="224"/>
    </row>
    <row r="388" spans="1:29" ht="15.75" hidden="1" customHeight="1">
      <c r="A388" s="227">
        <v>44776</v>
      </c>
      <c r="B388" s="228" t="s">
        <v>372</v>
      </c>
      <c r="C388" s="214">
        <v>4</v>
      </c>
      <c r="D388" s="228" t="s">
        <v>10177</v>
      </c>
      <c r="E388" s="215" t="s">
        <v>5</v>
      </c>
      <c r="F388" s="228" t="s">
        <v>447</v>
      </c>
      <c r="G388" s="228" t="s">
        <v>9995</v>
      </c>
      <c r="H388" s="228">
        <v>4</v>
      </c>
      <c r="I388" s="228" t="s">
        <v>622</v>
      </c>
      <c r="J388" s="228" t="s">
        <v>10178</v>
      </c>
      <c r="K388" s="228">
        <v>4</v>
      </c>
      <c r="L388" s="228"/>
      <c r="M388" s="228" t="s">
        <v>9997</v>
      </c>
      <c r="N388" s="228" t="s">
        <v>452</v>
      </c>
      <c r="O388" s="228" t="s">
        <v>10179</v>
      </c>
      <c r="P388" s="230"/>
      <c r="Q388" s="228" t="s">
        <v>18</v>
      </c>
      <c r="R388" s="231" t="str">
        <f t="array" ref="R388">INDEX(Notes!C:C,MATCH($B388,Notes!$A:$A,0))</f>
        <v>Potentially remove from interview list; very comparable to other companies</v>
      </c>
      <c r="S388" s="231"/>
      <c r="T388" s="231"/>
      <c r="U388" s="231"/>
      <c r="V388" s="228"/>
      <c r="W388" s="228"/>
      <c r="X388" s="228"/>
      <c r="Y388" s="219"/>
      <c r="Z388" s="219"/>
      <c r="AA388" s="219"/>
      <c r="AB388" s="219"/>
      <c r="AC388" s="219"/>
    </row>
    <row r="389" spans="1:29" ht="15.75" hidden="1" customHeight="1">
      <c r="A389" s="257">
        <v>44782</v>
      </c>
      <c r="B389" s="221" t="s">
        <v>8551</v>
      </c>
      <c r="C389" s="249">
        <v>2</v>
      </c>
      <c r="D389" s="258" t="s">
        <v>8554</v>
      </c>
      <c r="E389" s="250" t="s">
        <v>3</v>
      </c>
      <c r="F389" s="258" t="s">
        <v>460</v>
      </c>
      <c r="G389" s="258" t="s">
        <v>8555</v>
      </c>
      <c r="H389" s="258">
        <v>2</v>
      </c>
      <c r="I389" s="258" t="s">
        <v>462</v>
      </c>
      <c r="J389" s="258" t="s">
        <v>8556</v>
      </c>
      <c r="K389" s="258">
        <v>2</v>
      </c>
      <c r="L389" s="258"/>
      <c r="M389" s="258"/>
      <c r="N389" s="258" t="s">
        <v>452</v>
      </c>
      <c r="O389" s="258" t="s">
        <v>8557</v>
      </c>
      <c r="P389" s="258" t="s">
        <v>8558</v>
      </c>
      <c r="Q389" s="228" t="s">
        <v>24</v>
      </c>
      <c r="R389" s="259" t="s">
        <v>8559</v>
      </c>
      <c r="S389" s="259"/>
      <c r="T389" s="259"/>
      <c r="U389" s="259"/>
      <c r="V389" s="258"/>
      <c r="W389" s="258"/>
      <c r="X389" s="258"/>
      <c r="Y389" s="258"/>
      <c r="Z389" s="258"/>
      <c r="AA389" s="258"/>
      <c r="AB389" s="258"/>
      <c r="AC389" s="258"/>
    </row>
    <row r="390" spans="1:29" ht="15.75" hidden="1" customHeight="1">
      <c r="A390" s="301">
        <v>44789</v>
      </c>
      <c r="B390" s="303" t="s">
        <v>8561</v>
      </c>
      <c r="C390" s="269"/>
      <c r="D390" s="303" t="s">
        <v>8564</v>
      </c>
      <c r="E390" s="270" t="s">
        <v>3</v>
      </c>
      <c r="F390" s="303" t="s">
        <v>460</v>
      </c>
      <c r="G390" s="303"/>
      <c r="H390" s="303"/>
      <c r="I390" s="303" t="s">
        <v>941</v>
      </c>
      <c r="J390" s="303" t="s">
        <v>8566</v>
      </c>
      <c r="K390" s="303">
        <v>2</v>
      </c>
      <c r="L390" s="303" t="s">
        <v>973</v>
      </c>
      <c r="M390" s="303">
        <v>5</v>
      </c>
      <c r="N390" s="303" t="s">
        <v>452</v>
      </c>
      <c r="O390" s="303" t="s">
        <v>8567</v>
      </c>
      <c r="P390" s="303"/>
      <c r="Q390" s="303"/>
      <c r="R390" s="305"/>
      <c r="S390" s="305"/>
      <c r="T390" s="305"/>
      <c r="U390" s="305"/>
      <c r="V390" s="303"/>
      <c r="W390" s="303"/>
      <c r="X390" s="303"/>
      <c r="Y390" s="303"/>
      <c r="Z390" s="303"/>
      <c r="AA390" s="306"/>
      <c r="AB390" s="306"/>
      <c r="AC390" s="306"/>
    </row>
    <row r="391" spans="1:29" ht="15.75" hidden="1" customHeight="1">
      <c r="A391" s="253">
        <v>44789</v>
      </c>
      <c r="B391" s="224" t="s">
        <v>8561</v>
      </c>
      <c r="C391" s="249">
        <v>2</v>
      </c>
      <c r="D391" s="224" t="s">
        <v>8564</v>
      </c>
      <c r="E391" s="250" t="s">
        <v>3</v>
      </c>
      <c r="F391" s="224" t="s">
        <v>460</v>
      </c>
      <c r="G391" s="224" t="s">
        <v>8565</v>
      </c>
      <c r="H391" s="224">
        <v>2</v>
      </c>
      <c r="I391" s="224" t="s">
        <v>941</v>
      </c>
      <c r="J391" s="224" t="s">
        <v>8566</v>
      </c>
      <c r="K391" s="224">
        <v>2</v>
      </c>
      <c r="L391" s="224" t="s">
        <v>973</v>
      </c>
      <c r="M391" s="224">
        <v>5</v>
      </c>
      <c r="N391" s="224" t="s">
        <v>452</v>
      </c>
      <c r="O391" s="224" t="s">
        <v>8567</v>
      </c>
      <c r="P391" s="224"/>
      <c r="Q391" s="224" t="s">
        <v>24</v>
      </c>
      <c r="R391" s="254"/>
      <c r="S391" s="254"/>
      <c r="T391" s="254"/>
      <c r="U391" s="254"/>
      <c r="V391" s="252"/>
      <c r="W391" s="252"/>
      <c r="X391" s="252"/>
      <c r="Y391" s="224"/>
      <c r="Z391" s="224"/>
      <c r="AA391" s="224"/>
      <c r="AB391" s="224"/>
      <c r="AC391" s="224"/>
    </row>
    <row r="392" spans="1:29" ht="15.75" hidden="1" customHeight="1">
      <c r="A392" s="541">
        <v>44796</v>
      </c>
      <c r="B392" s="306" t="s">
        <v>2454</v>
      </c>
      <c r="C392" s="542"/>
      <c r="D392" s="306" t="s">
        <v>2457</v>
      </c>
      <c r="E392" s="306" t="s">
        <v>5</v>
      </c>
      <c r="F392" s="306" t="s">
        <v>447</v>
      </c>
      <c r="G392" s="306" t="s">
        <v>11042</v>
      </c>
      <c r="H392" s="306">
        <v>3</v>
      </c>
      <c r="I392" s="306" t="s">
        <v>622</v>
      </c>
      <c r="J392" s="306"/>
      <c r="K392" s="306"/>
      <c r="L392" s="306" t="s">
        <v>451</v>
      </c>
      <c r="M392" s="544">
        <v>1500000</v>
      </c>
      <c r="N392" s="306" t="s">
        <v>452</v>
      </c>
      <c r="O392" s="306" t="s">
        <v>2460</v>
      </c>
      <c r="P392" s="306"/>
      <c r="Q392" s="306"/>
      <c r="R392" s="543"/>
      <c r="S392" s="543"/>
      <c r="T392" s="543"/>
      <c r="U392" s="543"/>
      <c r="V392" s="219"/>
      <c r="W392" s="219"/>
      <c r="X392" s="219"/>
      <c r="Y392" s="219"/>
      <c r="Z392" s="219"/>
      <c r="AA392" s="219"/>
      <c r="AB392" s="219"/>
      <c r="AC392" s="219"/>
    </row>
    <row r="393" spans="1:29" ht="15.75" hidden="1" customHeight="1">
      <c r="A393" s="253">
        <v>44796</v>
      </c>
      <c r="B393" s="224" t="s">
        <v>2454</v>
      </c>
      <c r="C393" s="316">
        <v>3.25</v>
      </c>
      <c r="D393" s="224" t="s">
        <v>2457</v>
      </c>
      <c r="E393" s="224" t="s">
        <v>5</v>
      </c>
      <c r="F393" s="224" t="s">
        <v>447</v>
      </c>
      <c r="G393" s="224" t="s">
        <v>11042</v>
      </c>
      <c r="H393" s="224">
        <v>3</v>
      </c>
      <c r="I393" s="224" t="s">
        <v>622</v>
      </c>
      <c r="J393" s="224" t="s">
        <v>11043</v>
      </c>
      <c r="K393" s="224">
        <v>3.5</v>
      </c>
      <c r="L393" s="224" t="s">
        <v>451</v>
      </c>
      <c r="M393" s="224">
        <v>1500000</v>
      </c>
      <c r="N393" s="224" t="s">
        <v>452</v>
      </c>
      <c r="O393" s="224" t="s">
        <v>2460</v>
      </c>
      <c r="P393" s="224"/>
      <c r="Q393" s="224" t="s">
        <v>24</v>
      </c>
      <c r="R393" s="254"/>
      <c r="S393" s="254"/>
      <c r="T393" s="254"/>
      <c r="U393" s="254"/>
      <c r="V393" s="224"/>
      <c r="W393" s="224"/>
      <c r="X393" s="224"/>
      <c r="Y393" s="224"/>
      <c r="Z393" s="224"/>
      <c r="AA393" s="224"/>
      <c r="AB393" s="224"/>
      <c r="AC393" s="224"/>
    </row>
    <row r="394" spans="1:29" ht="15.75" hidden="1" customHeight="1">
      <c r="A394" s="541">
        <v>44796</v>
      </c>
      <c r="B394" s="306" t="s">
        <v>8570</v>
      </c>
      <c r="C394" s="542"/>
      <c r="D394" s="306" t="s">
        <v>8573</v>
      </c>
      <c r="E394" s="306" t="s">
        <v>3</v>
      </c>
      <c r="F394" s="306" t="s">
        <v>460</v>
      </c>
      <c r="G394" s="306"/>
      <c r="H394" s="306"/>
      <c r="I394" s="306" t="s">
        <v>462</v>
      </c>
      <c r="J394" s="306"/>
      <c r="K394" s="306"/>
      <c r="L394" s="306"/>
      <c r="M394" s="306"/>
      <c r="N394" s="306" t="s">
        <v>452</v>
      </c>
      <c r="O394" s="306" t="s">
        <v>8576</v>
      </c>
      <c r="P394" s="306" t="s">
        <v>8577</v>
      </c>
      <c r="Q394" s="306"/>
      <c r="R394" s="543"/>
      <c r="S394" s="543"/>
      <c r="T394" s="543"/>
      <c r="U394" s="543"/>
      <c r="V394" s="306"/>
      <c r="W394" s="306"/>
      <c r="X394" s="306"/>
      <c r="Y394" s="306"/>
      <c r="Z394" s="306"/>
      <c r="AA394" s="306"/>
      <c r="AB394" s="306"/>
      <c r="AC394" s="306"/>
    </row>
    <row r="395" spans="1:29" ht="15.75" hidden="1" customHeight="1">
      <c r="A395" s="253">
        <v>44796</v>
      </c>
      <c r="B395" s="224" t="s">
        <v>8570</v>
      </c>
      <c r="C395" s="316">
        <v>1</v>
      </c>
      <c r="D395" s="224" t="s">
        <v>8573</v>
      </c>
      <c r="E395" s="224" t="s">
        <v>3</v>
      </c>
      <c r="F395" s="224" t="s">
        <v>460</v>
      </c>
      <c r="G395" s="224" t="s">
        <v>8574</v>
      </c>
      <c r="H395" s="224">
        <v>1</v>
      </c>
      <c r="I395" s="224" t="s">
        <v>462</v>
      </c>
      <c r="J395" s="224" t="s">
        <v>8575</v>
      </c>
      <c r="K395" s="224">
        <v>1</v>
      </c>
      <c r="L395" s="224"/>
      <c r="M395" s="224"/>
      <c r="N395" s="224" t="s">
        <v>452</v>
      </c>
      <c r="O395" s="224" t="s">
        <v>8576</v>
      </c>
      <c r="P395" s="224" t="s">
        <v>8577</v>
      </c>
      <c r="Q395" s="224" t="s">
        <v>24</v>
      </c>
      <c r="R395" s="254"/>
      <c r="S395" s="254"/>
      <c r="T395" s="254"/>
      <c r="U395" s="254"/>
      <c r="V395" s="224"/>
      <c r="W395" s="224"/>
      <c r="X395" s="224"/>
      <c r="Y395" s="224"/>
      <c r="Z395" s="224"/>
      <c r="AA395" s="224"/>
      <c r="AB395" s="224"/>
      <c r="AC395" s="224"/>
    </row>
    <row r="396" spans="1:29" ht="15.75" hidden="1" customHeight="1">
      <c r="A396" s="301">
        <v>44789</v>
      </c>
      <c r="B396" s="303" t="s">
        <v>8580</v>
      </c>
      <c r="C396" s="269"/>
      <c r="D396" s="303" t="s">
        <v>8583</v>
      </c>
      <c r="E396" s="270" t="s">
        <v>3</v>
      </c>
      <c r="F396" s="303" t="s">
        <v>488</v>
      </c>
      <c r="G396" s="303"/>
      <c r="H396" s="303"/>
      <c r="I396" s="303" t="s">
        <v>462</v>
      </c>
      <c r="J396" s="303"/>
      <c r="K396" s="303"/>
      <c r="L396" s="303" t="s">
        <v>1578</v>
      </c>
      <c r="M396" s="303" t="s">
        <v>6241</v>
      </c>
      <c r="N396" s="303" t="s">
        <v>452</v>
      </c>
      <c r="O396" s="303" t="s">
        <v>10825</v>
      </c>
      <c r="P396" s="303"/>
      <c r="Q396" s="303"/>
      <c r="R396" s="305"/>
      <c r="S396" s="305"/>
      <c r="T396" s="305"/>
      <c r="U396" s="305"/>
      <c r="V396" s="303"/>
      <c r="W396" s="303"/>
      <c r="X396" s="303"/>
      <c r="Y396" s="303"/>
      <c r="Z396" s="303"/>
      <c r="AA396" s="306"/>
      <c r="AB396" s="306"/>
      <c r="AC396" s="306"/>
    </row>
    <row r="397" spans="1:29" ht="15.75" hidden="1" customHeight="1">
      <c r="A397" s="541">
        <v>44791</v>
      </c>
      <c r="B397" s="306" t="s">
        <v>8580</v>
      </c>
      <c r="C397" s="542"/>
      <c r="D397" s="306" t="s">
        <v>8583</v>
      </c>
      <c r="E397" s="306" t="s">
        <v>3</v>
      </c>
      <c r="F397" s="306" t="s">
        <v>488</v>
      </c>
      <c r="G397" s="306"/>
      <c r="H397" s="306"/>
      <c r="I397" s="306" t="s">
        <v>462</v>
      </c>
      <c r="J397" s="306"/>
      <c r="K397" s="306"/>
      <c r="L397" s="306" t="s">
        <v>1578</v>
      </c>
      <c r="M397" s="545" t="s">
        <v>6241</v>
      </c>
      <c r="N397" s="306" t="s">
        <v>452</v>
      </c>
      <c r="O397" s="306" t="s">
        <v>10825</v>
      </c>
      <c r="P397" s="306"/>
      <c r="Q397" s="306"/>
      <c r="R397" s="543"/>
      <c r="S397" s="543"/>
      <c r="T397" s="543"/>
      <c r="U397" s="543"/>
      <c r="V397" s="306"/>
      <c r="W397" s="306"/>
      <c r="X397" s="306"/>
      <c r="Y397" s="306"/>
      <c r="Z397" s="306"/>
      <c r="AA397" s="306"/>
      <c r="AB397" s="306"/>
      <c r="AC397" s="306"/>
    </row>
    <row r="398" spans="1:29" ht="15.75" hidden="1" customHeight="1">
      <c r="A398" s="541">
        <v>44796</v>
      </c>
      <c r="B398" s="306" t="s">
        <v>8580</v>
      </c>
      <c r="C398" s="542"/>
      <c r="D398" s="306" t="s">
        <v>8583</v>
      </c>
      <c r="E398" s="306" t="s">
        <v>3</v>
      </c>
      <c r="F398" s="306" t="s">
        <v>488</v>
      </c>
      <c r="G398" s="306" t="s">
        <v>10824</v>
      </c>
      <c r="H398" s="306">
        <v>3</v>
      </c>
      <c r="I398" s="306" t="s">
        <v>462</v>
      </c>
      <c r="J398" s="306"/>
      <c r="K398" s="306"/>
      <c r="L398" s="306" t="s">
        <v>1578</v>
      </c>
      <c r="M398" s="544" t="s">
        <v>6241</v>
      </c>
      <c r="N398" s="306" t="s">
        <v>452</v>
      </c>
      <c r="O398" s="306" t="s">
        <v>10825</v>
      </c>
      <c r="P398" s="306"/>
      <c r="Q398" s="306"/>
      <c r="R398" s="543"/>
      <c r="S398" s="543"/>
      <c r="T398" s="543"/>
      <c r="U398" s="543"/>
      <c r="V398" s="219"/>
      <c r="W398" s="219"/>
      <c r="X398" s="219"/>
      <c r="Y398" s="219"/>
      <c r="Z398" s="219"/>
      <c r="AA398" s="219"/>
      <c r="AB398" s="219"/>
      <c r="AC398" s="219"/>
    </row>
    <row r="399" spans="1:29" ht="15.75" hidden="1" customHeight="1">
      <c r="A399" s="253">
        <v>44796</v>
      </c>
      <c r="B399" s="224" t="s">
        <v>8580</v>
      </c>
      <c r="C399" s="316">
        <v>3</v>
      </c>
      <c r="D399" s="224" t="s">
        <v>8583</v>
      </c>
      <c r="E399" s="224" t="s">
        <v>3</v>
      </c>
      <c r="F399" s="224" t="s">
        <v>488</v>
      </c>
      <c r="G399" s="224" t="s">
        <v>10824</v>
      </c>
      <c r="H399" s="224">
        <v>3</v>
      </c>
      <c r="I399" s="224" t="s">
        <v>462</v>
      </c>
      <c r="J399" s="224" t="s">
        <v>8585</v>
      </c>
      <c r="K399" s="224">
        <v>3</v>
      </c>
      <c r="L399" s="224" t="s">
        <v>1578</v>
      </c>
      <c r="M399" s="224" t="s">
        <v>6241</v>
      </c>
      <c r="N399" s="224" t="s">
        <v>452</v>
      </c>
      <c r="O399" s="224" t="s">
        <v>10825</v>
      </c>
      <c r="P399" s="224"/>
      <c r="Q399" s="224" t="s">
        <v>24</v>
      </c>
      <c r="R399" s="254"/>
      <c r="S399" s="254"/>
      <c r="T399" s="254"/>
      <c r="U399" s="254"/>
      <c r="V399" s="224"/>
      <c r="W399" s="224"/>
      <c r="X399" s="224"/>
      <c r="Y399" s="224"/>
      <c r="Z399" s="224"/>
      <c r="AA399" s="224"/>
      <c r="AB399" s="224"/>
      <c r="AC399" s="224"/>
    </row>
    <row r="400" spans="1:29" ht="15.75" customHeight="1">
      <c r="A400" s="248">
        <v>44797</v>
      </c>
      <c r="B400" s="219" t="s">
        <v>5113</v>
      </c>
      <c r="C400" s="315">
        <v>3.25</v>
      </c>
      <c r="D400" s="219" t="s">
        <v>5116</v>
      </c>
      <c r="E400" s="219" t="s">
        <v>4</v>
      </c>
      <c r="F400" s="219" t="s">
        <v>602</v>
      </c>
      <c r="G400" s="219" t="s">
        <v>5117</v>
      </c>
      <c r="H400" s="219">
        <v>3</v>
      </c>
      <c r="I400" s="219" t="s">
        <v>462</v>
      </c>
      <c r="J400" s="219" t="s">
        <v>5118</v>
      </c>
      <c r="K400" s="219">
        <v>3.5</v>
      </c>
      <c r="L400" s="219"/>
      <c r="M400" s="219"/>
      <c r="N400" s="219" t="s">
        <v>452</v>
      </c>
      <c r="O400" s="219" t="s">
        <v>10833</v>
      </c>
      <c r="P400" s="219"/>
      <c r="Q400" s="219" t="s">
        <v>24</v>
      </c>
      <c r="R400" s="219"/>
      <c r="S400" s="219" t="str">
        <f>IFERROR(VLOOKUP(B400,'2022-2023 Third Reviews'!$C:$S,9,FALSE),"")</f>
        <v/>
      </c>
      <c r="T400" s="219"/>
      <c r="U400" s="219"/>
      <c r="V400" s="252"/>
      <c r="W400" s="252"/>
      <c r="X400" s="252"/>
      <c r="Y400" s="219"/>
      <c r="Z400" s="219"/>
      <c r="AA400" s="219"/>
      <c r="AB400" s="219"/>
      <c r="AC400" s="219"/>
    </row>
    <row r="401" spans="1:29" ht="15.75" customHeight="1">
      <c r="A401" s="253">
        <v>44796</v>
      </c>
      <c r="B401" s="224" t="s">
        <v>5121</v>
      </c>
      <c r="C401" s="316">
        <v>3.25</v>
      </c>
      <c r="D401" s="224"/>
      <c r="E401" s="224" t="s">
        <v>4</v>
      </c>
      <c r="F401" s="224" t="s">
        <v>725</v>
      </c>
      <c r="G401" s="224" t="s">
        <v>5124</v>
      </c>
      <c r="H401" s="224">
        <v>3.5</v>
      </c>
      <c r="I401" s="224" t="s">
        <v>1298</v>
      </c>
      <c r="J401" s="224" t="s">
        <v>5125</v>
      </c>
      <c r="K401" s="224">
        <v>3</v>
      </c>
      <c r="L401" s="224" t="s">
        <v>1656</v>
      </c>
      <c r="M401" s="224">
        <v>2000000</v>
      </c>
      <c r="N401" s="224" t="s">
        <v>452</v>
      </c>
      <c r="O401" s="224" t="s">
        <v>5126</v>
      </c>
      <c r="P401" s="224" t="s">
        <v>5127</v>
      </c>
      <c r="Q401" s="224" t="s">
        <v>24</v>
      </c>
      <c r="R401" s="549"/>
      <c r="S401" s="224" t="str">
        <f>IFERROR(VLOOKUP(B401,'2022-2023 Third Reviews'!$C:$S,9,FALSE),"")</f>
        <v/>
      </c>
      <c r="T401" s="224"/>
      <c r="U401" s="224"/>
      <c r="V401" s="306"/>
      <c r="W401" s="306"/>
      <c r="X401" s="306"/>
      <c r="Y401" s="306"/>
      <c r="Z401" s="306"/>
      <c r="AA401" s="306"/>
      <c r="AB401" s="306"/>
      <c r="AC401" s="306"/>
    </row>
    <row r="402" spans="1:29" ht="15.75" customHeight="1">
      <c r="A402" s="248">
        <v>44791</v>
      </c>
      <c r="B402" s="219" t="s">
        <v>5130</v>
      </c>
      <c r="C402" s="315">
        <v>3.25</v>
      </c>
      <c r="D402" s="219" t="s">
        <v>5133</v>
      </c>
      <c r="E402" s="219" t="s">
        <v>4</v>
      </c>
      <c r="F402" s="219" t="s">
        <v>725</v>
      </c>
      <c r="G402" s="219" t="s">
        <v>10867</v>
      </c>
      <c r="H402" s="219">
        <v>3.5</v>
      </c>
      <c r="I402" s="219" t="s">
        <v>1045</v>
      </c>
      <c r="J402" s="219" t="s">
        <v>5135</v>
      </c>
      <c r="K402" s="219">
        <v>3</v>
      </c>
      <c r="L402" s="219" t="s">
        <v>451</v>
      </c>
      <c r="M402" s="219">
        <v>3000000</v>
      </c>
      <c r="N402" s="219" t="s">
        <v>454</v>
      </c>
      <c r="O402" s="219" t="s">
        <v>10868</v>
      </c>
      <c r="P402" s="219" t="s">
        <v>5137</v>
      </c>
      <c r="Q402" s="322" t="s">
        <v>24</v>
      </c>
      <c r="R402" s="219"/>
      <c r="S402" s="219" t="str">
        <f ca="1">IFERROR(VLOOKUP(B402,'2022-2023 Third Reviews'!$C:$S,9,FALSE),"")</f>
        <v>Jason Yu
4</v>
      </c>
      <c r="T402" s="219"/>
      <c r="U402" s="219"/>
      <c r="V402" s="219"/>
      <c r="W402" s="219"/>
      <c r="X402" s="219"/>
      <c r="Y402" s="219"/>
      <c r="Z402" s="219"/>
      <c r="AA402" s="219"/>
      <c r="AB402" s="219"/>
      <c r="AC402" s="219"/>
    </row>
    <row r="403" spans="1:29" ht="15.75" hidden="1" customHeight="1">
      <c r="A403" s="301">
        <v>44789</v>
      </c>
      <c r="B403" s="303" t="s">
        <v>8589</v>
      </c>
      <c r="C403" s="269"/>
      <c r="D403" s="303" t="s">
        <v>10604</v>
      </c>
      <c r="E403" s="270" t="s">
        <v>3</v>
      </c>
      <c r="F403" s="303" t="s">
        <v>725</v>
      </c>
      <c r="G403" s="303"/>
      <c r="H403" s="303"/>
      <c r="I403" s="303" t="s">
        <v>488</v>
      </c>
      <c r="J403" s="303" t="s">
        <v>8594</v>
      </c>
      <c r="K403" s="303"/>
      <c r="L403" s="303" t="s">
        <v>451</v>
      </c>
      <c r="M403" s="303" t="s">
        <v>4828</v>
      </c>
      <c r="N403" s="303" t="s">
        <v>452</v>
      </c>
      <c r="O403" s="303" t="s">
        <v>13217</v>
      </c>
      <c r="P403" s="303"/>
      <c r="Q403" s="303"/>
      <c r="R403" s="305"/>
      <c r="S403" s="305"/>
      <c r="T403" s="305"/>
      <c r="U403" s="305"/>
      <c r="V403" s="303"/>
      <c r="W403" s="303"/>
      <c r="X403" s="303"/>
      <c r="Y403" s="303"/>
      <c r="Z403" s="303"/>
      <c r="AA403" s="306"/>
      <c r="AB403" s="306"/>
      <c r="AC403" s="306"/>
    </row>
    <row r="404" spans="1:29" ht="15.75" hidden="1" customHeight="1">
      <c r="A404" s="248">
        <v>44791</v>
      </c>
      <c r="B404" s="219" t="s">
        <v>8589</v>
      </c>
      <c r="C404" s="315">
        <v>3.25</v>
      </c>
      <c r="D404" s="219" t="s">
        <v>10604</v>
      </c>
      <c r="E404" s="219" t="s">
        <v>3</v>
      </c>
      <c r="F404" s="219" t="s">
        <v>725</v>
      </c>
      <c r="G404" s="219" t="s">
        <v>10605</v>
      </c>
      <c r="H404" s="219">
        <v>3.5</v>
      </c>
      <c r="I404" s="219" t="s">
        <v>488</v>
      </c>
      <c r="J404" s="219" t="s">
        <v>8594</v>
      </c>
      <c r="K404" s="219">
        <v>3</v>
      </c>
      <c r="L404" s="219" t="s">
        <v>451</v>
      </c>
      <c r="M404" s="219" t="s">
        <v>4828</v>
      </c>
      <c r="N404" s="219" t="s">
        <v>452</v>
      </c>
      <c r="O404" s="219" t="s">
        <v>11678</v>
      </c>
      <c r="P404" s="219"/>
      <c r="Q404" s="322" t="s">
        <v>24</v>
      </c>
      <c r="R404" s="251"/>
      <c r="S404" s="251"/>
      <c r="T404" s="251"/>
      <c r="U404" s="251"/>
      <c r="V404" s="219"/>
      <c r="W404" s="219"/>
      <c r="X404" s="219"/>
      <c r="Y404" s="219"/>
      <c r="Z404" s="219"/>
      <c r="AA404" s="219"/>
      <c r="AB404" s="219"/>
      <c r="AC404" s="219"/>
    </row>
    <row r="405" spans="1:29" ht="15.75" customHeight="1">
      <c r="A405" s="220">
        <v>44776</v>
      </c>
      <c r="B405" s="221" t="s">
        <v>5140</v>
      </c>
      <c r="C405" s="214">
        <v>3.25</v>
      </c>
      <c r="D405" s="221" t="s">
        <v>5143</v>
      </c>
      <c r="E405" s="215" t="s">
        <v>4</v>
      </c>
      <c r="F405" s="221" t="s">
        <v>602</v>
      </c>
      <c r="G405" s="221" t="s">
        <v>10196</v>
      </c>
      <c r="H405" s="221">
        <v>3.5</v>
      </c>
      <c r="I405" s="221" t="s">
        <v>1054</v>
      </c>
      <c r="J405" s="221"/>
      <c r="K405" s="221">
        <v>3</v>
      </c>
      <c r="L405" s="221" t="s">
        <v>451</v>
      </c>
      <c r="M405" s="222">
        <v>3000000</v>
      </c>
      <c r="N405" s="221" t="s">
        <v>452</v>
      </c>
      <c r="O405" s="221" t="s">
        <v>5145</v>
      </c>
      <c r="P405" s="145"/>
      <c r="Q405" s="221" t="s">
        <v>24</v>
      </c>
      <c r="R405" s="221">
        <f t="array" ref="R405">INDEX(Notes!C:C,MATCH($B405,Notes!$A:$A,0))</f>
        <v>0</v>
      </c>
      <c r="S405" s="221" t="str">
        <f ca="1">IFERROR(VLOOKUP(B405,'2022-2023 Third Reviews'!$C:$S,9,FALSE),"")</f>
        <v>Jason Yu
3</v>
      </c>
      <c r="T405" s="221"/>
      <c r="U405" s="221"/>
      <c r="V405" s="252"/>
      <c r="W405" s="252"/>
      <c r="X405" s="252"/>
      <c r="Y405" s="224"/>
      <c r="Z405" s="224"/>
      <c r="AA405" s="224"/>
      <c r="AB405" s="224"/>
      <c r="AC405" s="224"/>
    </row>
    <row r="406" spans="1:29" ht="15.75" customHeight="1">
      <c r="A406" s="248">
        <v>44796</v>
      </c>
      <c r="B406" s="219" t="s">
        <v>5147</v>
      </c>
      <c r="C406" s="315">
        <v>3.25</v>
      </c>
      <c r="D406" s="219" t="s">
        <v>5150</v>
      </c>
      <c r="E406" s="219" t="s">
        <v>4</v>
      </c>
      <c r="F406" s="219" t="s">
        <v>727</v>
      </c>
      <c r="G406" s="219" t="s">
        <v>10691</v>
      </c>
      <c r="H406" s="219">
        <v>3</v>
      </c>
      <c r="I406" s="219" t="s">
        <v>1350</v>
      </c>
      <c r="J406" s="219" t="s">
        <v>5152</v>
      </c>
      <c r="K406" s="219">
        <v>3.5</v>
      </c>
      <c r="L406" s="219"/>
      <c r="M406" s="219"/>
      <c r="N406" s="219" t="s">
        <v>452</v>
      </c>
      <c r="O406" s="219" t="s">
        <v>5153</v>
      </c>
      <c r="P406" s="219"/>
      <c r="Q406" s="219" t="s">
        <v>24</v>
      </c>
      <c r="R406" s="219"/>
      <c r="S406" s="219" t="str">
        <f>IFERROR(VLOOKUP(B406,'2022-2023 Third Reviews'!$C:$S,9,FALSE),"")</f>
        <v/>
      </c>
      <c r="T406" s="219"/>
      <c r="U406" s="219"/>
      <c r="V406" s="219"/>
      <c r="W406" s="219"/>
      <c r="X406" s="219"/>
      <c r="Y406" s="219"/>
      <c r="Z406" s="219"/>
      <c r="AA406" s="219"/>
      <c r="AB406" s="219"/>
      <c r="AC406" s="219"/>
    </row>
    <row r="407" spans="1:29" ht="15.75" hidden="1" customHeight="1">
      <c r="A407" s="257">
        <v>44789</v>
      </c>
      <c r="B407" s="258" t="s">
        <v>2463</v>
      </c>
      <c r="C407" s="263">
        <v>3.5</v>
      </c>
      <c r="D407" s="258" t="s">
        <v>2466</v>
      </c>
      <c r="E407" s="258" t="s">
        <v>5</v>
      </c>
      <c r="F407" s="258" t="s">
        <v>447</v>
      </c>
      <c r="G407" s="258" t="s">
        <v>11248</v>
      </c>
      <c r="H407" s="258">
        <v>3</v>
      </c>
      <c r="I407" s="258" t="s">
        <v>449</v>
      </c>
      <c r="J407" s="258" t="e">
        <f>+good idea
+Large potential market
+Provisional patent
+Founders seem Credible
+developed product</f>
        <v>#NAME?</v>
      </c>
      <c r="K407" s="258">
        <v>4</v>
      </c>
      <c r="L407" s="258" t="s">
        <v>451</v>
      </c>
      <c r="M407" s="261">
        <v>1250000</v>
      </c>
      <c r="N407" s="258" t="s">
        <v>452</v>
      </c>
      <c r="O407" s="258" t="s">
        <v>2469</v>
      </c>
      <c r="P407" s="258"/>
      <c r="Q407" s="258" t="s">
        <v>24</v>
      </c>
      <c r="R407" s="259" t="s">
        <v>2470</v>
      </c>
      <c r="S407" s="259"/>
      <c r="T407" s="259"/>
      <c r="U407" s="259"/>
      <c r="V407" s="258"/>
      <c r="W407" s="258"/>
      <c r="X407" s="258"/>
      <c r="Y407" s="258"/>
      <c r="Z407" s="258"/>
      <c r="AA407" s="258"/>
      <c r="AB407" s="258"/>
      <c r="AC407" s="258"/>
    </row>
    <row r="408" spans="1:29" ht="15.75" customHeight="1">
      <c r="A408" s="248">
        <v>44796</v>
      </c>
      <c r="B408" s="219" t="s">
        <v>5156</v>
      </c>
      <c r="C408" s="315">
        <v>3.25</v>
      </c>
      <c r="D408" s="219" t="s">
        <v>11087</v>
      </c>
      <c r="E408" s="219" t="s">
        <v>4</v>
      </c>
      <c r="F408" s="219" t="s">
        <v>602</v>
      </c>
      <c r="G408" s="219" t="s">
        <v>5160</v>
      </c>
      <c r="H408" s="219">
        <v>3</v>
      </c>
      <c r="I408" s="219" t="s">
        <v>1350</v>
      </c>
      <c r="J408" s="219" t="s">
        <v>5161</v>
      </c>
      <c r="K408" s="219">
        <v>3.5</v>
      </c>
      <c r="L408" s="219"/>
      <c r="M408" s="219"/>
      <c r="N408" s="219" t="s">
        <v>452</v>
      </c>
      <c r="O408" s="219" t="s">
        <v>5162</v>
      </c>
      <c r="P408" s="219"/>
      <c r="Q408" s="219" t="s">
        <v>24</v>
      </c>
      <c r="R408" s="219"/>
      <c r="S408" s="219" t="str">
        <f>IFERROR(VLOOKUP(B408,'2022-2023 Third Reviews'!$C:$S,9,FALSE),"")</f>
        <v/>
      </c>
      <c r="T408" s="219"/>
      <c r="U408" s="219"/>
      <c r="V408" s="219"/>
      <c r="W408" s="219"/>
      <c r="X408" s="219"/>
      <c r="Y408" s="219"/>
      <c r="Z408" s="219"/>
      <c r="AA408" s="219"/>
      <c r="AB408" s="219"/>
      <c r="AC408" s="219"/>
    </row>
    <row r="409" spans="1:29" ht="15.75" customHeight="1">
      <c r="A409" s="255">
        <v>44796</v>
      </c>
      <c r="B409" s="239" t="s">
        <v>9612</v>
      </c>
      <c r="C409" s="262">
        <v>3.25</v>
      </c>
      <c r="D409" s="239" t="s">
        <v>9615</v>
      </c>
      <c r="E409" s="239" t="s">
        <v>4</v>
      </c>
      <c r="F409" s="239" t="s">
        <v>460</v>
      </c>
      <c r="G409" s="239" t="s">
        <v>9616</v>
      </c>
      <c r="H409" s="239">
        <v>3</v>
      </c>
      <c r="I409" s="239" t="s">
        <v>462</v>
      </c>
      <c r="J409" s="239" t="s">
        <v>9617</v>
      </c>
      <c r="K409" s="239">
        <v>3.5</v>
      </c>
      <c r="L409" s="239"/>
      <c r="M409" s="239"/>
      <c r="N409" s="239" t="s">
        <v>454</v>
      </c>
      <c r="O409" s="239" t="s">
        <v>10602</v>
      </c>
      <c r="P409" s="239" t="s">
        <v>9619</v>
      </c>
      <c r="Q409" s="239" t="s">
        <v>23</v>
      </c>
      <c r="R409" s="239" t="s">
        <v>9620</v>
      </c>
      <c r="S409" s="239" t="str">
        <f ca="1">IFERROR(VLOOKUP(B409,'2022-2023 Third Reviews'!$C:$S,9,FALSE),"")</f>
        <v>Ahmed Bahgat
4</v>
      </c>
      <c r="T409" s="239"/>
      <c r="U409" s="239"/>
      <c r="V409" s="224"/>
      <c r="W409" s="224"/>
      <c r="X409" s="224"/>
      <c r="Y409" s="224"/>
      <c r="Z409" s="224"/>
      <c r="AA409" s="224"/>
      <c r="AB409" s="224"/>
      <c r="AC409" s="224"/>
    </row>
    <row r="410" spans="1:29" ht="15.75" customHeight="1">
      <c r="A410" s="248">
        <v>44796</v>
      </c>
      <c r="B410" s="219" t="s">
        <v>5164</v>
      </c>
      <c r="C410" s="315">
        <v>3.25</v>
      </c>
      <c r="D410" s="219" t="s">
        <v>5167</v>
      </c>
      <c r="E410" s="219" t="s">
        <v>4</v>
      </c>
      <c r="F410" s="219" t="s">
        <v>727</v>
      </c>
      <c r="G410" s="219" t="s">
        <v>11001</v>
      </c>
      <c r="H410" s="219">
        <v>3</v>
      </c>
      <c r="I410" s="219" t="s">
        <v>1054</v>
      </c>
      <c r="J410" s="219" t="s">
        <v>11002</v>
      </c>
      <c r="K410" s="219">
        <v>3.5</v>
      </c>
      <c r="L410" s="219" t="s">
        <v>5170</v>
      </c>
      <c r="M410" s="219" t="s">
        <v>5171</v>
      </c>
      <c r="N410" s="219" t="s">
        <v>454</v>
      </c>
      <c r="O410" s="219" t="s">
        <v>11003</v>
      </c>
      <c r="P410" s="219"/>
      <c r="Q410" s="219" t="s">
        <v>24</v>
      </c>
      <c r="R410" s="219"/>
      <c r="S410" s="219" t="str">
        <f ca="1">IFERROR(VLOOKUP(B410,'2022-2023 Third Reviews'!$C:$S,9,FALSE),"")</f>
        <v>Ahmed Bahgat
5</v>
      </c>
      <c r="T410" s="219"/>
      <c r="U410" s="219"/>
      <c r="V410" s="258"/>
      <c r="W410" s="258"/>
      <c r="X410" s="258"/>
      <c r="Y410" s="258"/>
      <c r="Z410" s="258"/>
      <c r="AA410" s="258"/>
      <c r="AB410" s="258"/>
      <c r="AC410" s="258"/>
    </row>
    <row r="411" spans="1:29" ht="15.75" hidden="1" customHeight="1">
      <c r="A411" s="257">
        <v>44782</v>
      </c>
      <c r="B411" s="258" t="s">
        <v>2473</v>
      </c>
      <c r="C411" s="249">
        <v>3.75</v>
      </c>
      <c r="D411" s="258" t="s">
        <v>2476</v>
      </c>
      <c r="E411" s="250" t="s">
        <v>5</v>
      </c>
      <c r="F411" s="258" t="s">
        <v>447</v>
      </c>
      <c r="G411" s="258" t="s">
        <v>10217</v>
      </c>
      <c r="H411" s="258">
        <v>3.5</v>
      </c>
      <c r="I411" s="258" t="s">
        <v>622</v>
      </c>
      <c r="J411" s="258" t="s">
        <v>2478</v>
      </c>
      <c r="K411" s="258">
        <v>4</v>
      </c>
      <c r="L411" s="258" t="s">
        <v>451</v>
      </c>
      <c r="M411" s="258" t="s">
        <v>3555</v>
      </c>
      <c r="N411" s="258" t="s">
        <v>452</v>
      </c>
      <c r="O411" s="258" t="s">
        <v>452</v>
      </c>
      <c r="P411" s="258" t="s">
        <v>447</v>
      </c>
      <c r="Q411" s="228" t="s">
        <v>24</v>
      </c>
      <c r="R411" s="259" t="s">
        <v>2479</v>
      </c>
      <c r="S411" s="259"/>
      <c r="T411" s="259"/>
      <c r="U411" s="259"/>
      <c r="V411" s="258"/>
      <c r="W411" s="258"/>
      <c r="X411" s="258"/>
      <c r="Y411" s="258"/>
      <c r="Z411" s="258"/>
      <c r="AA411" s="258"/>
      <c r="AB411" s="258"/>
      <c r="AC411" s="258"/>
    </row>
    <row r="412" spans="1:29" ht="15.75" hidden="1" customHeight="1">
      <c r="A412" s="248">
        <v>44789</v>
      </c>
      <c r="B412" s="219" t="s">
        <v>2482</v>
      </c>
      <c r="C412" s="249">
        <v>2.75</v>
      </c>
      <c r="D412" s="219" t="s">
        <v>2485</v>
      </c>
      <c r="E412" s="250" t="s">
        <v>5</v>
      </c>
      <c r="F412" s="219" t="s">
        <v>622</v>
      </c>
      <c r="G412" s="219" t="s">
        <v>2486</v>
      </c>
      <c r="H412" s="219">
        <v>2.5</v>
      </c>
      <c r="I412" s="219" t="s">
        <v>449</v>
      </c>
      <c r="J412" s="219" t="s">
        <v>13400</v>
      </c>
      <c r="K412" s="219">
        <v>3</v>
      </c>
      <c r="L412" s="219" t="s">
        <v>2190</v>
      </c>
      <c r="M412" s="219">
        <v>250000</v>
      </c>
      <c r="N412" s="219" t="s">
        <v>452</v>
      </c>
      <c r="O412" s="219" t="s">
        <v>452</v>
      </c>
      <c r="P412" s="219"/>
      <c r="Q412" s="219" t="s">
        <v>24</v>
      </c>
      <c r="R412" s="251"/>
      <c r="S412" s="251"/>
      <c r="T412" s="251"/>
      <c r="U412" s="251"/>
      <c r="V412" s="252"/>
      <c r="W412" s="252"/>
      <c r="X412" s="252"/>
      <c r="Y412" s="219"/>
      <c r="Z412" s="219"/>
      <c r="AA412" s="219"/>
      <c r="AB412" s="219"/>
      <c r="AC412" s="219"/>
    </row>
    <row r="413" spans="1:29" ht="15.75" customHeight="1">
      <c r="A413" s="253">
        <v>44797</v>
      </c>
      <c r="B413" s="224" t="s">
        <v>5175</v>
      </c>
      <c r="C413" s="316">
        <v>3.25</v>
      </c>
      <c r="D413" s="224" t="s">
        <v>5178</v>
      </c>
      <c r="E413" s="224" t="s">
        <v>4</v>
      </c>
      <c r="F413" s="224" t="s">
        <v>1045</v>
      </c>
      <c r="G413" s="224" t="s">
        <v>5179</v>
      </c>
      <c r="H413" s="224">
        <v>3.5</v>
      </c>
      <c r="I413" s="224" t="s">
        <v>462</v>
      </c>
      <c r="J413" s="224" t="s">
        <v>11164</v>
      </c>
      <c r="K413" s="224">
        <v>3</v>
      </c>
      <c r="L413" s="224" t="s">
        <v>451</v>
      </c>
      <c r="M413" s="224">
        <v>2000000</v>
      </c>
      <c r="N413" s="224" t="s">
        <v>452</v>
      </c>
      <c r="O413" s="224" t="s">
        <v>11165</v>
      </c>
      <c r="P413" s="224"/>
      <c r="Q413" s="224" t="s">
        <v>24</v>
      </c>
      <c r="R413" s="224"/>
      <c r="S413" s="224" t="str">
        <f>IFERROR(VLOOKUP(B413,'2022-2023 Third Reviews'!$C:$S,9,FALSE),"")</f>
        <v/>
      </c>
      <c r="T413" s="224"/>
      <c r="U413" s="224"/>
      <c r="V413" s="224"/>
      <c r="W413" s="224"/>
      <c r="X413" s="224"/>
      <c r="Y413" s="224"/>
      <c r="Z413" s="224"/>
      <c r="AA413" s="224"/>
      <c r="AB413" s="224"/>
      <c r="AC413" s="224"/>
    </row>
    <row r="414" spans="1:29" ht="15.75" customHeight="1">
      <c r="A414" s="248">
        <v>44789</v>
      </c>
      <c r="B414" s="219" t="s">
        <v>5184</v>
      </c>
      <c r="C414" s="249">
        <v>3.25</v>
      </c>
      <c r="D414" s="219" t="s">
        <v>5187</v>
      </c>
      <c r="E414" s="250" t="s">
        <v>4</v>
      </c>
      <c r="F414" s="219" t="s">
        <v>602</v>
      </c>
      <c r="G414" s="219" t="s">
        <v>5188</v>
      </c>
      <c r="H414" s="219">
        <v>3</v>
      </c>
      <c r="I414" s="219" t="s">
        <v>476</v>
      </c>
      <c r="J414" s="219" t="s">
        <v>13400</v>
      </c>
      <c r="K414" s="219">
        <v>3.5</v>
      </c>
      <c r="L414" s="219" t="s">
        <v>451</v>
      </c>
      <c r="M414" s="310">
        <v>500000</v>
      </c>
      <c r="N414" s="219" t="s">
        <v>452</v>
      </c>
      <c r="O414" s="219" t="s">
        <v>5190</v>
      </c>
      <c r="P414" s="219"/>
      <c r="Q414" s="219" t="s">
        <v>24</v>
      </c>
      <c r="R414" s="219"/>
      <c r="S414" s="219" t="str">
        <f>IFERROR(VLOOKUP(B414,'2022-2023 Third Reviews'!$C:$S,9,FALSE),"")</f>
        <v/>
      </c>
      <c r="T414" s="219" t="s">
        <v>13257</v>
      </c>
      <c r="U414" s="219"/>
      <c r="V414" s="219"/>
      <c r="W414" s="219"/>
      <c r="X414" s="219"/>
      <c r="Y414" s="219"/>
      <c r="Z414" s="219"/>
      <c r="AA414" s="219"/>
      <c r="AB414" s="219"/>
      <c r="AC414" s="219"/>
    </row>
    <row r="415" spans="1:29" ht="15.75" customHeight="1">
      <c r="A415" s="253">
        <v>44791</v>
      </c>
      <c r="B415" s="224" t="s">
        <v>5193</v>
      </c>
      <c r="C415" s="316">
        <v>3.25</v>
      </c>
      <c r="D415" s="224" t="s">
        <v>5196</v>
      </c>
      <c r="E415" s="224" t="s">
        <v>4</v>
      </c>
      <c r="F415" s="224" t="s">
        <v>725</v>
      </c>
      <c r="G415" s="224" t="s">
        <v>10926</v>
      </c>
      <c r="H415" s="224">
        <v>3.5</v>
      </c>
      <c r="I415" s="224" t="s">
        <v>1045</v>
      </c>
      <c r="J415" s="224" t="s">
        <v>10927</v>
      </c>
      <c r="K415" s="224">
        <v>3</v>
      </c>
      <c r="L415" s="224"/>
      <c r="M415" s="224"/>
      <c r="N415" s="224" t="s">
        <v>454</v>
      </c>
      <c r="O415" s="224" t="s">
        <v>452</v>
      </c>
      <c r="P415" s="224"/>
      <c r="Q415" s="322" t="s">
        <v>24</v>
      </c>
      <c r="R415" s="224"/>
      <c r="S415" s="224" t="str">
        <f>IFERROR(VLOOKUP(B415,'2022-2023 Third Reviews'!$C:$S,9,FALSE),"")</f>
        <v/>
      </c>
      <c r="T415" s="224"/>
      <c r="U415" s="224"/>
      <c r="V415" s="306"/>
      <c r="W415" s="306"/>
      <c r="X415" s="306"/>
      <c r="Y415" s="306"/>
      <c r="Z415" s="306"/>
      <c r="AA415" s="306"/>
      <c r="AB415" s="306"/>
      <c r="AC415" s="306"/>
    </row>
    <row r="416" spans="1:29" ht="15.75" hidden="1" customHeight="1">
      <c r="A416" s="280">
        <v>44784</v>
      </c>
      <c r="B416" s="281" t="s">
        <v>403</v>
      </c>
      <c r="C416" s="282">
        <v>3.75</v>
      </c>
      <c r="D416" s="281" t="s">
        <v>10123</v>
      </c>
      <c r="E416" s="281" t="s">
        <v>3</v>
      </c>
      <c r="F416" s="281" t="s">
        <v>460</v>
      </c>
      <c r="G416" s="281" t="s">
        <v>10124</v>
      </c>
      <c r="H416" s="281">
        <v>4</v>
      </c>
      <c r="I416" s="281" t="s">
        <v>488</v>
      </c>
      <c r="J416" s="281" t="s">
        <v>10367</v>
      </c>
      <c r="K416" s="281">
        <v>3.5</v>
      </c>
      <c r="L416" s="281" t="s">
        <v>451</v>
      </c>
      <c r="M416" s="281" t="s">
        <v>2604</v>
      </c>
      <c r="N416" s="281" t="s">
        <v>454</v>
      </c>
      <c r="O416" s="281" t="s">
        <v>10126</v>
      </c>
      <c r="P416" s="281" t="s">
        <v>460</v>
      </c>
      <c r="Q416" s="281" t="s">
        <v>20</v>
      </c>
      <c r="R416" s="283" t="s">
        <v>10127</v>
      </c>
      <c r="S416" s="283"/>
      <c r="T416" s="283"/>
      <c r="U416" s="283"/>
      <c r="V416" s="281"/>
      <c r="W416" s="281"/>
      <c r="X416" s="281"/>
      <c r="Y416" s="281"/>
      <c r="Z416" s="281"/>
      <c r="AA416" s="258"/>
      <c r="AB416" s="258"/>
      <c r="AC416" s="258"/>
    </row>
    <row r="417" spans="1:29" ht="15.75" customHeight="1">
      <c r="A417" s="253">
        <v>44797</v>
      </c>
      <c r="B417" s="224" t="s">
        <v>10829</v>
      </c>
      <c r="C417" s="316">
        <v>3.25</v>
      </c>
      <c r="D417" s="224" t="s">
        <v>5204</v>
      </c>
      <c r="E417" s="224" t="s">
        <v>4</v>
      </c>
      <c r="F417" s="224" t="s">
        <v>725</v>
      </c>
      <c r="G417" s="224" t="s">
        <v>10830</v>
      </c>
      <c r="H417" s="224">
        <v>3.5</v>
      </c>
      <c r="I417" s="224" t="s">
        <v>447</v>
      </c>
      <c r="J417" s="224" t="s">
        <v>10831</v>
      </c>
      <c r="K417" s="224">
        <v>3</v>
      </c>
      <c r="L417" s="224" t="s">
        <v>451</v>
      </c>
      <c r="M417" s="224" t="s">
        <v>5207</v>
      </c>
      <c r="N417" s="224" t="s">
        <v>452</v>
      </c>
      <c r="O417" s="224" t="s">
        <v>452</v>
      </c>
      <c r="P417" s="224"/>
      <c r="Q417" s="224" t="s">
        <v>24</v>
      </c>
      <c r="R417" s="224"/>
      <c r="S417" s="224" t="str">
        <f>IFERROR(VLOOKUP(B417,'2022-2023 Third Reviews'!$C:$S,9,FALSE),"")</f>
        <v/>
      </c>
      <c r="T417" s="224"/>
      <c r="U417" s="224"/>
      <c r="V417" s="224"/>
      <c r="W417" s="224"/>
      <c r="X417" s="224"/>
      <c r="Y417" s="224"/>
      <c r="Z417" s="224"/>
      <c r="AA417" s="224"/>
      <c r="AB417" s="224"/>
      <c r="AC417" s="224"/>
    </row>
    <row r="418" spans="1:29" ht="15.75" customHeight="1">
      <c r="A418" s="248">
        <v>44789</v>
      </c>
      <c r="B418" s="219" t="s">
        <v>5210</v>
      </c>
      <c r="C418" s="249">
        <v>3.25</v>
      </c>
      <c r="D418" s="219" t="s">
        <v>5213</v>
      </c>
      <c r="E418" s="250" t="s">
        <v>4</v>
      </c>
      <c r="F418" s="219" t="s">
        <v>727</v>
      </c>
      <c r="G418" s="219" t="s">
        <v>11449</v>
      </c>
      <c r="H418" s="219">
        <v>3.5</v>
      </c>
      <c r="I418" s="219" t="s">
        <v>1045</v>
      </c>
      <c r="J418" s="219" t="s">
        <v>5215</v>
      </c>
      <c r="K418" s="219">
        <v>3</v>
      </c>
      <c r="L418" s="219" t="s">
        <v>451</v>
      </c>
      <c r="M418" s="219">
        <v>3600000</v>
      </c>
      <c r="N418" s="219" t="s">
        <v>465</v>
      </c>
      <c r="O418" s="219" t="s">
        <v>452</v>
      </c>
      <c r="P418" s="219"/>
      <c r="Q418" s="219" t="s">
        <v>24</v>
      </c>
      <c r="R418" s="219"/>
      <c r="S418" s="219" t="str">
        <f>IFERROR(VLOOKUP(B418,'2022-2023 Third Reviews'!$C:$S,9,FALSE),"")</f>
        <v/>
      </c>
      <c r="T418" s="219"/>
      <c r="U418" s="219"/>
      <c r="V418" s="306"/>
      <c r="W418" s="306"/>
      <c r="X418" s="306"/>
      <c r="Y418" s="306"/>
      <c r="Z418" s="306"/>
      <c r="AA418" s="306"/>
      <c r="AB418" s="306"/>
      <c r="AC418" s="306"/>
    </row>
    <row r="419" spans="1:29" ht="15.75" customHeight="1">
      <c r="A419" s="253">
        <v>44789</v>
      </c>
      <c r="B419" s="224" t="s">
        <v>5218</v>
      </c>
      <c r="C419" s="249">
        <v>3.25</v>
      </c>
      <c r="D419" s="224" t="s">
        <v>5221</v>
      </c>
      <c r="E419" s="250" t="s">
        <v>4</v>
      </c>
      <c r="F419" s="224" t="s">
        <v>602</v>
      </c>
      <c r="G419" s="224" t="s">
        <v>5222</v>
      </c>
      <c r="H419" s="224">
        <v>3</v>
      </c>
      <c r="I419" s="224" t="s">
        <v>1054</v>
      </c>
      <c r="J419" s="224" t="s">
        <v>5223</v>
      </c>
      <c r="K419" s="224">
        <v>3.5</v>
      </c>
      <c r="L419" s="224"/>
      <c r="M419" s="224"/>
      <c r="N419" s="224" t="s">
        <v>454</v>
      </c>
      <c r="O419" s="224" t="s">
        <v>5224</v>
      </c>
      <c r="P419" s="224"/>
      <c r="Q419" s="224" t="s">
        <v>24</v>
      </c>
      <c r="R419" s="224"/>
      <c r="S419" s="224" t="str">
        <f ca="1">IFERROR(VLOOKUP(B419,'2022-2023 Third Reviews'!$C:$S,9,FALSE),"")</f>
        <v>Joshua Rubnitz
5</v>
      </c>
      <c r="T419" s="224"/>
      <c r="U419" s="224"/>
      <c r="V419" s="224"/>
      <c r="W419" s="224"/>
      <c r="X419" s="224"/>
      <c r="Y419" s="224"/>
      <c r="Z419" s="224"/>
      <c r="AA419" s="224"/>
      <c r="AB419" s="224"/>
      <c r="AC419" s="224"/>
    </row>
    <row r="420" spans="1:29" ht="15.75" customHeight="1">
      <c r="A420" s="248">
        <v>44796</v>
      </c>
      <c r="B420" s="219" t="s">
        <v>5227</v>
      </c>
      <c r="C420" s="315">
        <v>3.25</v>
      </c>
      <c r="D420" s="219"/>
      <c r="E420" s="219" t="s">
        <v>4</v>
      </c>
      <c r="F420" s="219" t="s">
        <v>725</v>
      </c>
      <c r="G420" s="219" t="s">
        <v>5230</v>
      </c>
      <c r="H420" s="219">
        <v>3.5</v>
      </c>
      <c r="I420" s="219" t="s">
        <v>1457</v>
      </c>
      <c r="J420" s="219" t="s">
        <v>5231</v>
      </c>
      <c r="K420" s="219">
        <v>3</v>
      </c>
      <c r="L420" s="219" t="s">
        <v>2190</v>
      </c>
      <c r="M420" s="219">
        <v>2000000</v>
      </c>
      <c r="N420" s="219" t="s">
        <v>465</v>
      </c>
      <c r="O420" s="219" t="s">
        <v>5232</v>
      </c>
      <c r="P420" s="219"/>
      <c r="Q420" s="219" t="s">
        <v>24</v>
      </c>
      <c r="R420" s="219"/>
      <c r="S420" s="219" t="str">
        <f>IFERROR(VLOOKUP(B420,'2022-2023 Third Reviews'!$C:$S,9,FALSE),"")</f>
        <v/>
      </c>
      <c r="T420" s="219"/>
      <c r="U420" s="219"/>
      <c r="V420" s="306"/>
      <c r="W420" s="306"/>
      <c r="X420" s="306"/>
      <c r="Y420" s="306"/>
      <c r="Z420" s="306"/>
      <c r="AA420" s="306"/>
      <c r="AB420" s="306"/>
      <c r="AC420" s="306"/>
    </row>
    <row r="421" spans="1:29" ht="15.75" customHeight="1">
      <c r="A421" s="253">
        <v>44782</v>
      </c>
      <c r="B421" s="224" t="s">
        <v>5235</v>
      </c>
      <c r="C421" s="249">
        <v>3.25</v>
      </c>
      <c r="D421" s="224" t="s">
        <v>5238</v>
      </c>
      <c r="E421" s="250" t="s">
        <v>4</v>
      </c>
      <c r="F421" s="224" t="s">
        <v>727</v>
      </c>
      <c r="G421" s="224" t="s">
        <v>5239</v>
      </c>
      <c r="H421" s="224">
        <v>3.5</v>
      </c>
      <c r="I421" s="224" t="s">
        <v>476</v>
      </c>
      <c r="J421" s="224" t="s">
        <v>13400</v>
      </c>
      <c r="K421" s="224">
        <v>3</v>
      </c>
      <c r="L421" s="224"/>
      <c r="M421" s="224"/>
      <c r="N421" s="224" t="s">
        <v>452</v>
      </c>
      <c r="O421" s="224" t="s">
        <v>5241</v>
      </c>
      <c r="P421" s="224" t="s">
        <v>447</v>
      </c>
      <c r="Q421" s="224" t="s">
        <v>24</v>
      </c>
      <c r="R421" s="224"/>
      <c r="S421" s="224" t="str">
        <f ca="1">IFERROR(VLOOKUP(B421,'2022-2023 Third Reviews'!$C:$S,9,FALSE),"")</f>
        <v>Joshua Rubnitz
3</v>
      </c>
      <c r="T421" s="224" t="s">
        <v>13053</v>
      </c>
      <c r="U421" s="224"/>
      <c r="V421" s="224"/>
      <c r="W421" s="224"/>
      <c r="X421" s="224"/>
      <c r="Y421" s="224"/>
      <c r="Z421" s="224"/>
      <c r="AA421" s="224"/>
      <c r="AB421" s="224"/>
      <c r="AC421" s="224"/>
    </row>
    <row r="422" spans="1:29" ht="15.75" customHeight="1">
      <c r="A422" s="248">
        <v>44796</v>
      </c>
      <c r="B422" s="219" t="s">
        <v>5244</v>
      </c>
      <c r="C422" s="315">
        <v>3.25</v>
      </c>
      <c r="D422" s="219" t="s">
        <v>5247</v>
      </c>
      <c r="E422" s="219" t="s">
        <v>4</v>
      </c>
      <c r="F422" s="219" t="s">
        <v>725</v>
      </c>
      <c r="G422" s="219" t="s">
        <v>10766</v>
      </c>
      <c r="H422" s="219">
        <v>3.5</v>
      </c>
      <c r="I422" s="219" t="s">
        <v>1457</v>
      </c>
      <c r="J422" s="219" t="s">
        <v>5249</v>
      </c>
      <c r="K422" s="219">
        <v>3</v>
      </c>
      <c r="L422" s="219"/>
      <c r="M422" s="219"/>
      <c r="N422" s="219" t="s">
        <v>452</v>
      </c>
      <c r="O422" s="219" t="s">
        <v>452</v>
      </c>
      <c r="P422" s="219" t="s">
        <v>5250</v>
      </c>
      <c r="Q422" s="219" t="s">
        <v>24</v>
      </c>
      <c r="R422" s="219"/>
      <c r="S422" s="219" t="str">
        <f>IFERROR(VLOOKUP(B422,'2022-2023 Third Reviews'!$C:$S,9,FALSE),"")</f>
        <v/>
      </c>
      <c r="T422" s="219"/>
      <c r="U422" s="219"/>
      <c r="V422" s="258"/>
      <c r="W422" s="258"/>
      <c r="X422" s="258"/>
      <c r="Y422" s="258"/>
      <c r="Z422" s="258"/>
      <c r="AA422" s="258"/>
      <c r="AB422" s="258"/>
      <c r="AC422" s="258"/>
    </row>
    <row r="423" spans="1:29" ht="15.75" customHeight="1">
      <c r="A423" s="253">
        <v>44791</v>
      </c>
      <c r="B423" s="224" t="s">
        <v>5253</v>
      </c>
      <c r="C423" s="316">
        <v>3.25</v>
      </c>
      <c r="D423" s="224" t="s">
        <v>5256</v>
      </c>
      <c r="E423" s="224" t="s">
        <v>4</v>
      </c>
      <c r="F423" s="224" t="s">
        <v>602</v>
      </c>
      <c r="G423" s="224" t="s">
        <v>5257</v>
      </c>
      <c r="H423" s="224">
        <v>3</v>
      </c>
      <c r="I423" s="224" t="s">
        <v>1054</v>
      </c>
      <c r="J423" s="224" t="s">
        <v>5258</v>
      </c>
      <c r="K423" s="224">
        <v>3.5</v>
      </c>
      <c r="L423" s="224"/>
      <c r="M423" s="307"/>
      <c r="N423" s="224" t="s">
        <v>452</v>
      </c>
      <c r="O423" s="224" t="s">
        <v>5259</v>
      </c>
      <c r="P423" s="224"/>
      <c r="Q423" s="322" t="s">
        <v>24</v>
      </c>
      <c r="R423" s="224"/>
      <c r="S423" s="224" t="str">
        <f>IFERROR(VLOOKUP(B423,'2022-2023 Third Reviews'!$C:$S,9,FALSE),"")</f>
        <v/>
      </c>
      <c r="T423" s="224"/>
      <c r="U423" s="224"/>
      <c r="V423" s="224"/>
      <c r="W423" s="224"/>
      <c r="X423" s="224"/>
      <c r="Y423" s="224"/>
      <c r="Z423" s="224"/>
      <c r="AA423" s="224"/>
      <c r="AB423" s="224"/>
      <c r="AC423" s="224"/>
    </row>
    <row r="424" spans="1:29" ht="15.75" hidden="1" customHeight="1">
      <c r="A424" s="264">
        <v>44791</v>
      </c>
      <c r="B424" s="265" t="s">
        <v>2490</v>
      </c>
      <c r="C424" s="317">
        <v>3.75</v>
      </c>
      <c r="D424" s="265" t="s">
        <v>2493</v>
      </c>
      <c r="E424" s="265" t="s">
        <v>5</v>
      </c>
      <c r="F424" s="265" t="s">
        <v>460</v>
      </c>
      <c r="G424" s="265" t="s">
        <v>2494</v>
      </c>
      <c r="H424" s="265">
        <v>3</v>
      </c>
      <c r="I424" s="265" t="s">
        <v>462</v>
      </c>
      <c r="J424" s="265" t="s">
        <v>2495</v>
      </c>
      <c r="K424" s="265">
        <v>4.5</v>
      </c>
      <c r="L424" s="265" t="s">
        <v>478</v>
      </c>
      <c r="M424" s="320">
        <v>4000000</v>
      </c>
      <c r="N424" s="265" t="s">
        <v>452</v>
      </c>
      <c r="O424" s="265" t="s">
        <v>2496</v>
      </c>
      <c r="P424" s="265"/>
      <c r="Q424" s="265" t="s">
        <v>24</v>
      </c>
      <c r="R424" s="266" t="s">
        <v>2242</v>
      </c>
      <c r="S424" s="266"/>
      <c r="T424" s="266"/>
      <c r="U424" s="266"/>
      <c r="V424" s="265"/>
      <c r="W424" s="265"/>
      <c r="X424" s="265"/>
      <c r="Y424" s="265"/>
      <c r="Z424" s="265"/>
      <c r="AA424" s="265"/>
      <c r="AB424" s="265"/>
      <c r="AC424" s="265"/>
    </row>
    <row r="425" spans="1:29" ht="15.75" customHeight="1">
      <c r="A425" s="257">
        <v>44791</v>
      </c>
      <c r="B425" s="258" t="s">
        <v>5262</v>
      </c>
      <c r="C425" s="263">
        <v>3.25</v>
      </c>
      <c r="D425" s="258" t="s">
        <v>5265</v>
      </c>
      <c r="E425" s="258" t="s">
        <v>4</v>
      </c>
      <c r="F425" s="258" t="s">
        <v>602</v>
      </c>
      <c r="G425" s="258" t="s">
        <v>5266</v>
      </c>
      <c r="H425" s="258">
        <v>4</v>
      </c>
      <c r="I425" s="258" t="s">
        <v>476</v>
      </c>
      <c r="J425" s="258" t="s">
        <v>11679</v>
      </c>
      <c r="K425" s="258">
        <v>2.5</v>
      </c>
      <c r="L425" s="258" t="s">
        <v>973</v>
      </c>
      <c r="M425" s="309">
        <v>50000000</v>
      </c>
      <c r="N425" s="258" t="s">
        <v>452</v>
      </c>
      <c r="O425" s="258" t="s">
        <v>452</v>
      </c>
      <c r="P425" s="258"/>
      <c r="Q425" s="258" t="s">
        <v>24</v>
      </c>
      <c r="R425" s="258" t="s">
        <v>5268</v>
      </c>
      <c r="S425" s="258" t="str">
        <f ca="1">IFERROR(VLOOKUP(B425,'2022-2023 Third Reviews'!$C:$S,9,FALSE),"")</f>
        <v>John McDonald
5</v>
      </c>
      <c r="T425" s="258" t="s">
        <v>13258</v>
      </c>
      <c r="U425" s="258"/>
      <c r="V425" s="224"/>
      <c r="W425" s="224"/>
      <c r="X425" s="224"/>
      <c r="Y425" s="224"/>
      <c r="Z425" s="224"/>
      <c r="AA425" s="224"/>
      <c r="AB425" s="224"/>
      <c r="AC425" s="224"/>
    </row>
    <row r="426" spans="1:29" ht="15.75" customHeight="1">
      <c r="A426" s="248">
        <v>44797</v>
      </c>
      <c r="B426" s="219" t="s">
        <v>5271</v>
      </c>
      <c r="C426" s="315">
        <v>3.25</v>
      </c>
      <c r="D426" s="219" t="s">
        <v>5274</v>
      </c>
      <c r="E426" s="219" t="s">
        <v>4</v>
      </c>
      <c r="F426" s="219" t="s">
        <v>1045</v>
      </c>
      <c r="G426" s="219" t="s">
        <v>5275</v>
      </c>
      <c r="H426" s="219">
        <v>3</v>
      </c>
      <c r="I426" s="219" t="s">
        <v>1350</v>
      </c>
      <c r="J426" s="219" t="s">
        <v>5276</v>
      </c>
      <c r="K426" s="219">
        <v>3.5</v>
      </c>
      <c r="L426" s="219"/>
      <c r="M426" s="219"/>
      <c r="N426" s="219" t="s">
        <v>452</v>
      </c>
      <c r="O426" s="219" t="s">
        <v>5277</v>
      </c>
      <c r="P426" s="219"/>
      <c r="Q426" s="219" t="s">
        <v>24</v>
      </c>
      <c r="R426" s="219"/>
      <c r="S426" s="219" t="str">
        <f>IFERROR(VLOOKUP(B426,'2022-2023 Third Reviews'!$C:$S,9,FALSE),"")</f>
        <v/>
      </c>
      <c r="T426" s="219"/>
      <c r="U426" s="219"/>
      <c r="V426" s="306"/>
      <c r="W426" s="306"/>
      <c r="X426" s="306"/>
      <c r="Y426" s="306"/>
      <c r="Z426" s="306"/>
      <c r="AA426" s="306"/>
      <c r="AB426" s="306"/>
      <c r="AC426" s="306"/>
    </row>
    <row r="427" spans="1:29" ht="15.75" customHeight="1">
      <c r="A427" s="398">
        <v>44784</v>
      </c>
      <c r="B427" s="272" t="s">
        <v>5280</v>
      </c>
      <c r="C427" s="269">
        <v>3.25</v>
      </c>
      <c r="D427" s="272" t="s">
        <v>5283</v>
      </c>
      <c r="E427" s="270" t="s">
        <v>4</v>
      </c>
      <c r="F427" s="272" t="s">
        <v>727</v>
      </c>
      <c r="G427" s="272" t="s">
        <v>10735</v>
      </c>
      <c r="H427" s="272">
        <v>3.5</v>
      </c>
      <c r="I427" s="272" t="s">
        <v>476</v>
      </c>
      <c r="J427" s="272" t="s">
        <v>11582</v>
      </c>
      <c r="K427" s="272">
        <v>3</v>
      </c>
      <c r="L427" s="272"/>
      <c r="M427" s="272"/>
      <c r="N427" s="272" t="s">
        <v>452</v>
      </c>
      <c r="O427" s="272" t="s">
        <v>5286</v>
      </c>
      <c r="P427" s="272"/>
      <c r="Q427" s="272" t="s">
        <v>24</v>
      </c>
      <c r="R427" s="272"/>
      <c r="S427" s="272" t="str">
        <f>IFERROR(VLOOKUP(B427,'2022-2023 Third Reviews'!$C:$S,9,FALSE),"")</f>
        <v/>
      </c>
      <c r="T427" s="272" t="s">
        <v>13259</v>
      </c>
      <c r="U427" s="272"/>
      <c r="V427" s="224"/>
      <c r="W427" s="224"/>
      <c r="X427" s="224"/>
      <c r="Y427" s="224"/>
      <c r="Z427" s="224"/>
      <c r="AA427" s="224"/>
      <c r="AB427" s="224"/>
      <c r="AC427" s="224"/>
    </row>
    <row r="428" spans="1:29" ht="15.75" customHeight="1">
      <c r="A428" s="257">
        <v>44797</v>
      </c>
      <c r="B428" s="258" t="s">
        <v>10473</v>
      </c>
      <c r="C428" s="263">
        <v>3.25</v>
      </c>
      <c r="D428" s="258" t="s">
        <v>9642</v>
      </c>
      <c r="E428" s="258" t="s">
        <v>4</v>
      </c>
      <c r="F428" s="258" t="s">
        <v>460</v>
      </c>
      <c r="G428" s="258" t="s">
        <v>9643</v>
      </c>
      <c r="H428" s="258">
        <v>3</v>
      </c>
      <c r="I428" s="258" t="s">
        <v>1045</v>
      </c>
      <c r="J428" s="258" t="s">
        <v>9644</v>
      </c>
      <c r="K428" s="258">
        <v>3.5</v>
      </c>
      <c r="L428" s="258"/>
      <c r="M428" s="258"/>
      <c r="N428" s="258" t="s">
        <v>465</v>
      </c>
      <c r="O428" s="258" t="s">
        <v>9645</v>
      </c>
      <c r="P428" s="258" t="s">
        <v>9646</v>
      </c>
      <c r="Q428" s="258" t="s">
        <v>23</v>
      </c>
      <c r="R428" s="258" t="s">
        <v>9647</v>
      </c>
      <c r="S428" s="258" t="str">
        <f>IFERROR(VLOOKUP(B428,'2022-2023 Third Reviews'!$C:$S,9,FALSE),"")</f>
        <v/>
      </c>
      <c r="T428" s="258"/>
      <c r="U428" s="258"/>
      <c r="V428" s="306"/>
      <c r="W428" s="306"/>
      <c r="X428" s="306"/>
      <c r="Y428" s="306"/>
      <c r="Z428" s="306"/>
      <c r="AA428" s="306"/>
      <c r="AB428" s="306"/>
      <c r="AC428" s="306"/>
    </row>
    <row r="429" spans="1:29" ht="15.75" customHeight="1">
      <c r="A429" s="253">
        <v>44796</v>
      </c>
      <c r="B429" s="224" t="s">
        <v>5289</v>
      </c>
      <c r="C429" s="316">
        <v>3.25</v>
      </c>
      <c r="D429" s="224" t="s">
        <v>5292</v>
      </c>
      <c r="E429" s="224" t="s">
        <v>4</v>
      </c>
      <c r="F429" s="224" t="s">
        <v>727</v>
      </c>
      <c r="G429" s="224" t="s">
        <v>10294</v>
      </c>
      <c r="H429" s="224">
        <v>3.5</v>
      </c>
      <c r="I429" s="224" t="s">
        <v>1045</v>
      </c>
      <c r="J429" s="224" t="s">
        <v>5294</v>
      </c>
      <c r="K429" s="224">
        <v>3</v>
      </c>
      <c r="L429" s="224" t="s">
        <v>5295</v>
      </c>
      <c r="M429" s="224" t="s">
        <v>5296</v>
      </c>
      <c r="N429" s="224" t="s">
        <v>452</v>
      </c>
      <c r="O429" s="224" t="s">
        <v>452</v>
      </c>
      <c r="P429" s="224" t="s">
        <v>460</v>
      </c>
      <c r="Q429" s="224" t="s">
        <v>24</v>
      </c>
      <c r="R429" s="224"/>
      <c r="S429" s="224" t="str">
        <f>IFERROR(VLOOKUP(B429,'2022-2023 Third Reviews'!$C:$S,9,FALSE),"")</f>
        <v/>
      </c>
      <c r="T429" s="224"/>
      <c r="U429" s="224"/>
      <c r="V429" s="224"/>
      <c r="W429" s="224"/>
      <c r="X429" s="224"/>
      <c r="Y429" s="224"/>
      <c r="Z429" s="224"/>
      <c r="AA429" s="224"/>
      <c r="AB429" s="224"/>
      <c r="AC429" s="224"/>
    </row>
    <row r="430" spans="1:29" ht="15.75" hidden="1" customHeight="1">
      <c r="A430" s="227">
        <v>44776</v>
      </c>
      <c r="B430" s="228" t="s">
        <v>83</v>
      </c>
      <c r="C430" s="214">
        <v>4.25</v>
      </c>
      <c r="D430" s="228" t="s">
        <v>1116</v>
      </c>
      <c r="E430" s="215" t="s">
        <v>5</v>
      </c>
      <c r="F430" s="228" t="s">
        <v>447</v>
      </c>
      <c r="G430" s="228" t="s">
        <v>1117</v>
      </c>
      <c r="H430" s="228">
        <v>4.5</v>
      </c>
      <c r="I430" s="228" t="s">
        <v>449</v>
      </c>
      <c r="J430" s="228" t="s">
        <v>13400</v>
      </c>
      <c r="K430" s="228">
        <v>4</v>
      </c>
      <c r="L430" s="228" t="s">
        <v>451</v>
      </c>
      <c r="M430" s="229">
        <v>3500000</v>
      </c>
      <c r="N430" s="228" t="s">
        <v>452</v>
      </c>
      <c r="O430" s="228" t="s">
        <v>1119</v>
      </c>
      <c r="P430" s="230"/>
      <c r="Q430" s="228" t="str">
        <f t="array" ref="Q430">INDEX(Notes!B:B,MATCH($B430,Notes!$A:$A,0))</f>
        <v>Invite</v>
      </c>
      <c r="R430" s="231" t="str">
        <f t="array" ref="R430">INDEX(Notes!C:C,MATCH($B430,Notes!$A:$A,0))</f>
        <v xml:space="preserve">Potential change to Digital tech; </v>
      </c>
      <c r="S430" s="231"/>
      <c r="T430" s="231"/>
      <c r="U430" s="231"/>
      <c r="V430" s="228"/>
      <c r="W430" s="228"/>
      <c r="X430" s="228"/>
      <c r="Y430" s="219"/>
      <c r="Z430" s="219"/>
      <c r="AA430" s="219"/>
      <c r="AB430" s="219"/>
      <c r="AC430" s="219"/>
    </row>
    <row r="431" spans="1:29" ht="15.75" hidden="1" customHeight="1">
      <c r="A431" s="255">
        <v>44782</v>
      </c>
      <c r="B431" s="239" t="s">
        <v>173</v>
      </c>
      <c r="C431" s="249">
        <v>4.25</v>
      </c>
      <c r="D431" s="239" t="s">
        <v>10368</v>
      </c>
      <c r="E431" s="250" t="s">
        <v>3</v>
      </c>
      <c r="F431" s="239" t="s">
        <v>460</v>
      </c>
      <c r="G431" s="239" t="s">
        <v>1127</v>
      </c>
      <c r="H431" s="239">
        <v>4.5</v>
      </c>
      <c r="I431" s="239" t="s">
        <v>462</v>
      </c>
      <c r="J431" s="239" t="s">
        <v>1128</v>
      </c>
      <c r="K431" s="239">
        <v>4</v>
      </c>
      <c r="L431" s="239" t="s">
        <v>451</v>
      </c>
      <c r="M431" s="239">
        <v>2000000</v>
      </c>
      <c r="N431" s="239" t="s">
        <v>452</v>
      </c>
      <c r="O431" s="239" t="s">
        <v>1129</v>
      </c>
      <c r="P431" s="239"/>
      <c r="Q431" s="239" t="s">
        <v>18</v>
      </c>
      <c r="R431" s="256" t="s">
        <v>1130</v>
      </c>
      <c r="S431" s="256"/>
      <c r="T431" s="256"/>
      <c r="U431" s="256"/>
      <c r="V431" s="239"/>
      <c r="W431" s="239"/>
      <c r="X431" s="239"/>
      <c r="Y431" s="239"/>
      <c r="Z431" s="239"/>
      <c r="AA431" s="239"/>
      <c r="AB431" s="239"/>
      <c r="AC431" s="239"/>
    </row>
    <row r="432" spans="1:29" ht="15.75" customHeight="1">
      <c r="A432" s="257">
        <v>44797</v>
      </c>
      <c r="B432" s="258" t="s">
        <v>5298</v>
      </c>
      <c r="C432" s="263">
        <v>3.25</v>
      </c>
      <c r="D432" s="258" t="s">
        <v>5301</v>
      </c>
      <c r="E432" s="258" t="s">
        <v>4</v>
      </c>
      <c r="F432" s="258" t="s">
        <v>602</v>
      </c>
      <c r="G432" s="258" t="s">
        <v>5302</v>
      </c>
      <c r="H432" s="258">
        <v>2.5</v>
      </c>
      <c r="I432" s="258" t="s">
        <v>447</v>
      </c>
      <c r="J432" s="258" t="s">
        <v>5303</v>
      </c>
      <c r="K432" s="258">
        <v>4</v>
      </c>
      <c r="L432" s="258" t="s">
        <v>451</v>
      </c>
      <c r="M432" s="261">
        <v>3000000</v>
      </c>
      <c r="N432" s="258" t="s">
        <v>452</v>
      </c>
      <c r="O432" s="258" t="s">
        <v>11353</v>
      </c>
      <c r="P432" s="258"/>
      <c r="Q432" s="258" t="s">
        <v>24</v>
      </c>
      <c r="R432" s="258" t="s">
        <v>5305</v>
      </c>
      <c r="S432" s="258" t="str">
        <f>IFERROR(VLOOKUP(B432,'2022-2023 Third Reviews'!$C:$S,9,FALSE),"")</f>
        <v/>
      </c>
      <c r="T432" s="258"/>
      <c r="U432" s="258"/>
      <c r="V432" s="219"/>
      <c r="W432" s="219"/>
      <c r="X432" s="219"/>
      <c r="Y432" s="219"/>
      <c r="Z432" s="219"/>
      <c r="AA432" s="219"/>
      <c r="AB432" s="219"/>
      <c r="AC432" s="219"/>
    </row>
    <row r="433" spans="1:29" ht="15.75" customHeight="1">
      <c r="A433" s="253">
        <v>44791</v>
      </c>
      <c r="B433" s="224" t="s">
        <v>5308</v>
      </c>
      <c r="C433" s="316">
        <v>3.25</v>
      </c>
      <c r="D433" s="224" t="s">
        <v>11062</v>
      </c>
      <c r="E433" s="224" t="s">
        <v>4</v>
      </c>
      <c r="F433" s="224" t="s">
        <v>725</v>
      </c>
      <c r="G433" s="224" t="s">
        <v>11063</v>
      </c>
      <c r="H433" s="224">
        <v>3</v>
      </c>
      <c r="I433" s="224" t="s">
        <v>1054</v>
      </c>
      <c r="J433" s="224" t="s">
        <v>11064</v>
      </c>
      <c r="K433" s="224">
        <v>3.5</v>
      </c>
      <c r="L433" s="224" t="s">
        <v>784</v>
      </c>
      <c r="M433" s="224">
        <v>1800000</v>
      </c>
      <c r="N433" s="224" t="s">
        <v>454</v>
      </c>
      <c r="O433" s="224" t="s">
        <v>11065</v>
      </c>
      <c r="P433" s="224" t="s">
        <v>5315</v>
      </c>
      <c r="Q433" s="322" t="s">
        <v>24</v>
      </c>
      <c r="R433" s="224"/>
      <c r="S433" s="224" t="str">
        <f>IFERROR(VLOOKUP(B433,'2022-2023 Third Reviews'!$C:$S,9,FALSE),"")</f>
        <v/>
      </c>
      <c r="T433" s="224"/>
      <c r="U433" s="224"/>
      <c r="V433" s="306"/>
      <c r="W433" s="306"/>
      <c r="X433" s="306"/>
      <c r="Y433" s="306"/>
      <c r="Z433" s="306"/>
      <c r="AA433" s="306"/>
      <c r="AB433" s="306"/>
      <c r="AC433" s="306"/>
    </row>
    <row r="434" spans="1:29" ht="15.75" customHeight="1">
      <c r="A434" s="248">
        <v>44789</v>
      </c>
      <c r="B434" s="219" t="s">
        <v>5318</v>
      </c>
      <c r="C434" s="249">
        <v>3.13</v>
      </c>
      <c r="D434" s="219" t="s">
        <v>5321</v>
      </c>
      <c r="E434" s="250" t="s">
        <v>4</v>
      </c>
      <c r="F434" s="219" t="s">
        <v>727</v>
      </c>
      <c r="G434" s="219"/>
      <c r="H434" s="219">
        <v>3.5</v>
      </c>
      <c r="I434" s="219" t="s">
        <v>1045</v>
      </c>
      <c r="J434" s="219" t="s">
        <v>5322</v>
      </c>
      <c r="K434" s="219">
        <v>2.75</v>
      </c>
      <c r="L434" s="219" t="s">
        <v>451</v>
      </c>
      <c r="M434" s="310">
        <v>2</v>
      </c>
      <c r="N434" s="219" t="s">
        <v>465</v>
      </c>
      <c r="O434" s="219" t="s">
        <v>5323</v>
      </c>
      <c r="P434" s="219"/>
      <c r="Q434" s="219" t="s">
        <v>24</v>
      </c>
      <c r="R434" s="219"/>
      <c r="S434" s="219" t="str">
        <f>IFERROR(VLOOKUP(B434,'2022-2023 Third Reviews'!$C:$S,9,FALSE),"")</f>
        <v/>
      </c>
      <c r="T434" s="219"/>
      <c r="U434" s="219"/>
      <c r="V434" s="219"/>
      <c r="W434" s="219"/>
      <c r="X434" s="219"/>
      <c r="Y434" s="219"/>
      <c r="Z434" s="219"/>
      <c r="AA434" s="219"/>
      <c r="AB434" s="219"/>
      <c r="AC434" s="219"/>
    </row>
    <row r="435" spans="1:29" ht="15.75" customHeight="1">
      <c r="A435" s="253">
        <v>44796</v>
      </c>
      <c r="B435" s="224" t="s">
        <v>5326</v>
      </c>
      <c r="C435" s="316">
        <v>3</v>
      </c>
      <c r="D435" s="224" t="s">
        <v>5329</v>
      </c>
      <c r="E435" s="224" t="s">
        <v>4</v>
      </c>
      <c r="F435" s="224" t="s">
        <v>725</v>
      </c>
      <c r="G435" s="224" t="s">
        <v>5330</v>
      </c>
      <c r="H435" s="224">
        <v>2</v>
      </c>
      <c r="I435" s="224" t="s">
        <v>990</v>
      </c>
      <c r="J435" s="224" t="s">
        <v>5331</v>
      </c>
      <c r="K435" s="224">
        <v>4</v>
      </c>
      <c r="L435" s="224" t="s">
        <v>973</v>
      </c>
      <c r="M435" s="224" t="s">
        <v>5332</v>
      </c>
      <c r="N435" s="224" t="s">
        <v>452</v>
      </c>
      <c r="O435" s="224" t="s">
        <v>5333</v>
      </c>
      <c r="P435" s="224"/>
      <c r="Q435" s="224" t="s">
        <v>24</v>
      </c>
      <c r="R435" s="224"/>
      <c r="S435" s="224" t="str">
        <f>IFERROR(VLOOKUP(B435,'2022-2023 Third Reviews'!$C:$S,9,FALSE),"")</f>
        <v/>
      </c>
      <c r="T435" s="224"/>
      <c r="U435" s="224"/>
      <c r="V435" s="252"/>
      <c r="W435" s="252"/>
      <c r="X435" s="252"/>
      <c r="Y435" s="224"/>
      <c r="Z435" s="224"/>
      <c r="AA435" s="224"/>
      <c r="AB435" s="224"/>
      <c r="AC435" s="224"/>
    </row>
    <row r="436" spans="1:29" ht="15.75" customHeight="1">
      <c r="A436" s="248">
        <v>44789</v>
      </c>
      <c r="B436" s="219" t="s">
        <v>5336</v>
      </c>
      <c r="C436" s="249">
        <v>3</v>
      </c>
      <c r="D436" s="219" t="s">
        <v>5339</v>
      </c>
      <c r="E436" s="250" t="s">
        <v>4</v>
      </c>
      <c r="F436" s="219" t="s">
        <v>602</v>
      </c>
      <c r="G436" s="219" t="s">
        <v>5340</v>
      </c>
      <c r="H436" s="219">
        <v>3</v>
      </c>
      <c r="I436" s="219" t="s">
        <v>476</v>
      </c>
      <c r="J436" s="219" t="s">
        <v>13400</v>
      </c>
      <c r="K436" s="219">
        <v>3</v>
      </c>
      <c r="L436" s="219" t="s">
        <v>451</v>
      </c>
      <c r="M436" s="312">
        <v>2000000</v>
      </c>
      <c r="N436" s="219" t="s">
        <v>452</v>
      </c>
      <c r="O436" s="219" t="s">
        <v>5342</v>
      </c>
      <c r="P436" s="219" t="s">
        <v>5343</v>
      </c>
      <c r="Q436" s="219" t="s">
        <v>24</v>
      </c>
      <c r="R436" s="219"/>
      <c r="S436" s="219" t="str">
        <f>IFERROR(VLOOKUP(B436,'2022-2023 Third Reviews'!$C:$S,9,FALSE),"")</f>
        <v/>
      </c>
      <c r="T436" s="219" t="s">
        <v>13260</v>
      </c>
      <c r="U436" s="219"/>
      <c r="V436" s="219"/>
      <c r="W436" s="219"/>
      <c r="X436" s="219"/>
      <c r="Y436" s="219"/>
      <c r="Z436" s="219"/>
      <c r="AA436" s="219"/>
      <c r="AB436" s="219"/>
      <c r="AC436" s="219"/>
    </row>
    <row r="437" spans="1:29" ht="15.75" customHeight="1">
      <c r="A437" s="253">
        <v>44796</v>
      </c>
      <c r="B437" s="224" t="s">
        <v>5346</v>
      </c>
      <c r="C437" s="316">
        <v>3</v>
      </c>
      <c r="D437" s="224" t="s">
        <v>5349</v>
      </c>
      <c r="E437" s="224" t="s">
        <v>4</v>
      </c>
      <c r="F437" s="224" t="s">
        <v>725</v>
      </c>
      <c r="G437" s="224" t="s">
        <v>10946</v>
      </c>
      <c r="H437" s="224">
        <v>2</v>
      </c>
      <c r="I437" s="224" t="s">
        <v>990</v>
      </c>
      <c r="J437" s="224"/>
      <c r="K437" s="224">
        <v>4</v>
      </c>
      <c r="L437" s="224" t="s">
        <v>784</v>
      </c>
      <c r="M437" s="224">
        <v>250000</v>
      </c>
      <c r="N437" s="224" t="s">
        <v>452</v>
      </c>
      <c r="O437" s="224" t="s">
        <v>10947</v>
      </c>
      <c r="P437" s="224"/>
      <c r="Q437" s="224" t="s">
        <v>24</v>
      </c>
      <c r="R437" s="224"/>
      <c r="S437" s="224" t="str">
        <f>IFERROR(VLOOKUP(B437,'2022-2023 Third Reviews'!$C:$S,9,FALSE),"")</f>
        <v/>
      </c>
      <c r="T437" s="224"/>
      <c r="U437" s="224"/>
      <c r="V437" s="224"/>
      <c r="W437" s="224"/>
      <c r="X437" s="224"/>
      <c r="Y437" s="224"/>
      <c r="Z437" s="224"/>
      <c r="AA437" s="224"/>
      <c r="AB437" s="224"/>
      <c r="AC437" s="224"/>
    </row>
    <row r="438" spans="1:29" ht="15.75" customHeight="1">
      <c r="A438" s="248">
        <v>44797</v>
      </c>
      <c r="B438" s="219" t="s">
        <v>5354</v>
      </c>
      <c r="C438" s="315">
        <v>3</v>
      </c>
      <c r="D438" s="219" t="s">
        <v>5357</v>
      </c>
      <c r="E438" s="219" t="s">
        <v>4</v>
      </c>
      <c r="F438" s="219" t="s">
        <v>725</v>
      </c>
      <c r="G438" s="219" t="s">
        <v>5358</v>
      </c>
      <c r="H438" s="219">
        <v>2</v>
      </c>
      <c r="I438" s="219" t="s">
        <v>990</v>
      </c>
      <c r="J438" s="219" t="s">
        <v>5359</v>
      </c>
      <c r="K438" s="219">
        <v>4</v>
      </c>
      <c r="L438" s="219" t="s">
        <v>451</v>
      </c>
      <c r="M438" s="331">
        <v>1000000</v>
      </c>
      <c r="N438" s="219" t="s">
        <v>452</v>
      </c>
      <c r="O438" s="219" t="s">
        <v>452</v>
      </c>
      <c r="P438" s="219"/>
      <c r="Q438" s="219" t="s">
        <v>24</v>
      </c>
      <c r="R438" s="219"/>
      <c r="S438" s="219" t="str">
        <f>IFERROR(VLOOKUP(B438,'2022-2023 Third Reviews'!$C:$S,9,FALSE),"")</f>
        <v/>
      </c>
      <c r="T438" s="219"/>
      <c r="U438" s="219"/>
      <c r="V438" s="219"/>
      <c r="W438" s="219"/>
      <c r="X438" s="219"/>
      <c r="Y438" s="219"/>
      <c r="Z438" s="219"/>
      <c r="AA438" s="219"/>
      <c r="AB438" s="219"/>
      <c r="AC438" s="219"/>
    </row>
    <row r="439" spans="1:29" ht="15.75" hidden="1" customHeight="1">
      <c r="A439" s="257">
        <v>44782</v>
      </c>
      <c r="B439" s="258" t="s">
        <v>81</v>
      </c>
      <c r="C439" s="249">
        <v>3.75</v>
      </c>
      <c r="D439" s="258" t="s">
        <v>581</v>
      </c>
      <c r="E439" s="250" t="s">
        <v>5</v>
      </c>
      <c r="F439" s="258" t="s">
        <v>447</v>
      </c>
      <c r="G439" s="258" t="s">
        <v>582</v>
      </c>
      <c r="H439" s="258">
        <v>3.5</v>
      </c>
      <c r="I439" s="258" t="s">
        <v>543</v>
      </c>
      <c r="J439" s="258" t="s">
        <v>13400</v>
      </c>
      <c r="K439" s="258">
        <v>4</v>
      </c>
      <c r="L439" s="258" t="s">
        <v>478</v>
      </c>
      <c r="M439" s="258">
        <v>8500000</v>
      </c>
      <c r="N439" s="258" t="s">
        <v>452</v>
      </c>
      <c r="O439" s="260" t="s">
        <v>13261</v>
      </c>
      <c r="P439" s="258" t="s">
        <v>585</v>
      </c>
      <c r="Q439" s="228" t="s">
        <v>20</v>
      </c>
      <c r="R439" s="259" t="s">
        <v>11530</v>
      </c>
      <c r="S439" s="259"/>
      <c r="T439" s="259"/>
      <c r="U439" s="259"/>
      <c r="V439" s="258"/>
      <c r="W439" s="258"/>
      <c r="X439" s="258"/>
      <c r="Y439" s="258"/>
      <c r="Z439" s="258"/>
      <c r="AA439" s="258"/>
      <c r="AB439" s="258"/>
      <c r="AC439" s="258"/>
    </row>
    <row r="440" spans="1:29" ht="15.75" hidden="1" customHeight="1">
      <c r="A440" s="267">
        <v>44784</v>
      </c>
      <c r="B440" s="268" t="s">
        <v>8598</v>
      </c>
      <c r="C440" s="269">
        <v>0.5</v>
      </c>
      <c r="D440" s="268" t="s">
        <v>8601</v>
      </c>
      <c r="E440" s="270" t="s">
        <v>3</v>
      </c>
      <c r="F440" s="268" t="s">
        <v>460</v>
      </c>
      <c r="G440" s="268" t="s">
        <v>8602</v>
      </c>
      <c r="H440" s="268">
        <v>0</v>
      </c>
      <c r="I440" s="268" t="s">
        <v>462</v>
      </c>
      <c r="J440" s="268" t="s">
        <v>8603</v>
      </c>
      <c r="K440" s="268">
        <v>1</v>
      </c>
      <c r="L440" s="268"/>
      <c r="M440" s="268"/>
      <c r="N440" s="268" t="s">
        <v>452</v>
      </c>
      <c r="O440" s="268" t="s">
        <v>452</v>
      </c>
      <c r="P440" s="268" t="s">
        <v>8604</v>
      </c>
      <c r="Q440" s="268" t="s">
        <v>24</v>
      </c>
      <c r="R440" s="271"/>
      <c r="S440" s="271"/>
      <c r="T440" s="271"/>
      <c r="U440" s="271"/>
      <c r="V440" s="268"/>
      <c r="W440" s="268"/>
      <c r="X440" s="268"/>
      <c r="Y440" s="268"/>
      <c r="Z440" s="268"/>
      <c r="AA440" s="219"/>
      <c r="AB440" s="219"/>
      <c r="AC440" s="219"/>
    </row>
    <row r="441" spans="1:29" ht="15.75" hidden="1" customHeight="1">
      <c r="A441" s="253">
        <v>44796</v>
      </c>
      <c r="B441" s="224" t="s">
        <v>8607</v>
      </c>
      <c r="C441" s="316">
        <v>2.5</v>
      </c>
      <c r="D441" s="224" t="s">
        <v>8610</v>
      </c>
      <c r="E441" s="224" t="s">
        <v>3</v>
      </c>
      <c r="F441" s="224" t="s">
        <v>725</v>
      </c>
      <c r="G441" s="224" t="s">
        <v>11331</v>
      </c>
      <c r="H441" s="224">
        <v>3</v>
      </c>
      <c r="I441" s="224" t="s">
        <v>941</v>
      </c>
      <c r="J441" s="224" t="s">
        <v>8612</v>
      </c>
      <c r="K441" s="224">
        <v>2</v>
      </c>
      <c r="L441" s="224"/>
      <c r="M441" s="224"/>
      <c r="N441" s="224" t="s">
        <v>452</v>
      </c>
      <c r="O441" s="224" t="s">
        <v>8613</v>
      </c>
      <c r="P441" s="224" t="s">
        <v>8614</v>
      </c>
      <c r="Q441" s="224" t="s">
        <v>24</v>
      </c>
      <c r="R441" s="254"/>
      <c r="S441" s="254"/>
      <c r="T441" s="254"/>
      <c r="U441" s="254"/>
      <c r="V441" s="224"/>
      <c r="W441" s="224"/>
      <c r="X441" s="224"/>
      <c r="Y441" s="224"/>
      <c r="Z441" s="224"/>
      <c r="AA441" s="224"/>
      <c r="AB441" s="224"/>
      <c r="AC441" s="224"/>
    </row>
    <row r="442" spans="1:29" ht="15.75" customHeight="1">
      <c r="A442" s="248">
        <v>44796</v>
      </c>
      <c r="B442" s="219" t="s">
        <v>5361</v>
      </c>
      <c r="C442" s="315">
        <v>3</v>
      </c>
      <c r="D442" s="219" t="s">
        <v>5364</v>
      </c>
      <c r="E442" s="219" t="s">
        <v>4</v>
      </c>
      <c r="F442" s="219" t="s">
        <v>447</v>
      </c>
      <c r="G442" s="219" t="s">
        <v>11279</v>
      </c>
      <c r="H442" s="219">
        <v>3</v>
      </c>
      <c r="I442" s="219" t="s">
        <v>1036</v>
      </c>
      <c r="J442" s="219" t="s">
        <v>5366</v>
      </c>
      <c r="K442" s="219">
        <v>3</v>
      </c>
      <c r="L442" s="219"/>
      <c r="M442" s="219"/>
      <c r="N442" s="219" t="s">
        <v>452</v>
      </c>
      <c r="O442" s="219" t="s">
        <v>5367</v>
      </c>
      <c r="P442" s="219"/>
      <c r="Q442" s="219" t="s">
        <v>24</v>
      </c>
      <c r="R442" s="219"/>
      <c r="S442" s="219" t="str">
        <f>IFERROR(VLOOKUP(B442,'2022-2023 Third Reviews'!$C:$S,9,FALSE),"")</f>
        <v/>
      </c>
      <c r="T442" s="219"/>
      <c r="U442" s="219"/>
      <c r="V442" s="258"/>
      <c r="W442" s="258"/>
      <c r="X442" s="258"/>
      <c r="Y442" s="258"/>
      <c r="Z442" s="258"/>
      <c r="AA442" s="258"/>
      <c r="AB442" s="258"/>
      <c r="AC442" s="258"/>
    </row>
    <row r="443" spans="1:29" ht="15.75" customHeight="1">
      <c r="A443" s="253">
        <v>44791</v>
      </c>
      <c r="B443" s="224" t="s">
        <v>5369</v>
      </c>
      <c r="C443" s="316">
        <v>3</v>
      </c>
      <c r="D443" s="224" t="s">
        <v>5372</v>
      </c>
      <c r="E443" s="224" t="s">
        <v>4</v>
      </c>
      <c r="F443" s="224" t="s">
        <v>602</v>
      </c>
      <c r="G443" s="224" t="s">
        <v>5373</v>
      </c>
      <c r="H443" s="224">
        <v>3.5</v>
      </c>
      <c r="I443" s="224" t="s">
        <v>476</v>
      </c>
      <c r="J443" s="224" t="s">
        <v>11691</v>
      </c>
      <c r="K443" s="224">
        <v>2.5</v>
      </c>
      <c r="L443" s="224" t="s">
        <v>451</v>
      </c>
      <c r="M443" s="311">
        <v>3000000</v>
      </c>
      <c r="N443" s="224" t="s">
        <v>452</v>
      </c>
      <c r="O443" s="224" t="s">
        <v>5375</v>
      </c>
      <c r="P443" s="224"/>
      <c r="Q443" s="322" t="s">
        <v>24</v>
      </c>
      <c r="R443" s="224"/>
      <c r="S443" s="224" t="str">
        <f>IFERROR(VLOOKUP(B443,'2022-2023 Third Reviews'!$C:$S,9,FALSE),"")</f>
        <v/>
      </c>
      <c r="T443" s="224" t="s">
        <v>13262</v>
      </c>
      <c r="U443" s="224"/>
      <c r="V443" s="306"/>
      <c r="W443" s="306"/>
      <c r="X443" s="306"/>
      <c r="Y443" s="306"/>
      <c r="Z443" s="306"/>
      <c r="AA443" s="306"/>
      <c r="AB443" s="306"/>
      <c r="AC443" s="306"/>
    </row>
    <row r="444" spans="1:29" ht="15.75" customHeight="1">
      <c r="A444" s="248">
        <v>44796</v>
      </c>
      <c r="B444" s="219" t="s">
        <v>5378</v>
      </c>
      <c r="C444" s="315">
        <v>3</v>
      </c>
      <c r="D444" s="219" t="s">
        <v>5381</v>
      </c>
      <c r="E444" s="219" t="s">
        <v>4</v>
      </c>
      <c r="F444" s="219" t="s">
        <v>727</v>
      </c>
      <c r="G444" s="219" t="s">
        <v>10409</v>
      </c>
      <c r="H444" s="219">
        <v>3</v>
      </c>
      <c r="I444" s="219" t="s">
        <v>1036</v>
      </c>
      <c r="J444" s="219"/>
      <c r="K444" s="219">
        <v>3</v>
      </c>
      <c r="L444" s="219" t="s">
        <v>451</v>
      </c>
      <c r="M444" s="219">
        <v>4000000</v>
      </c>
      <c r="N444" s="219" t="s">
        <v>465</v>
      </c>
      <c r="O444" s="219" t="s">
        <v>3420</v>
      </c>
      <c r="P444" s="219"/>
      <c r="Q444" s="219" t="s">
        <v>24</v>
      </c>
      <c r="R444" s="219"/>
      <c r="S444" s="219" t="str">
        <f>IFERROR(VLOOKUP(B444,'2022-2023 Third Reviews'!$C:$S,9,FALSE),"")</f>
        <v/>
      </c>
      <c r="T444" s="219"/>
      <c r="U444" s="219"/>
      <c r="V444" s="306"/>
      <c r="W444" s="306"/>
      <c r="X444" s="306"/>
      <c r="Y444" s="306"/>
      <c r="Z444" s="306"/>
      <c r="AA444" s="306"/>
      <c r="AB444" s="306"/>
      <c r="AC444" s="306"/>
    </row>
    <row r="445" spans="1:29" ht="15.75" customHeight="1">
      <c r="A445" s="253">
        <v>44796</v>
      </c>
      <c r="B445" s="224" t="s">
        <v>5385</v>
      </c>
      <c r="C445" s="316">
        <v>3</v>
      </c>
      <c r="D445" s="224" t="s">
        <v>10840</v>
      </c>
      <c r="E445" s="224" t="s">
        <v>4</v>
      </c>
      <c r="F445" s="224" t="s">
        <v>1457</v>
      </c>
      <c r="G445" s="224" t="s">
        <v>5389</v>
      </c>
      <c r="H445" s="224">
        <v>4</v>
      </c>
      <c r="I445" s="224" t="s">
        <v>1036</v>
      </c>
      <c r="J445" s="224" t="s">
        <v>5390</v>
      </c>
      <c r="K445" s="224">
        <v>2</v>
      </c>
      <c r="L445" s="224"/>
      <c r="M445" s="224"/>
      <c r="N445" s="224" t="s">
        <v>452</v>
      </c>
      <c r="O445" s="224" t="s">
        <v>452</v>
      </c>
      <c r="P445" s="224"/>
      <c r="Q445" s="224" t="s">
        <v>24</v>
      </c>
      <c r="R445" s="224"/>
      <c r="S445" s="224" t="str">
        <f>IFERROR(VLOOKUP(B445,'2022-2023 Third Reviews'!$C:$S,9,FALSE),"")</f>
        <v/>
      </c>
      <c r="T445" s="224"/>
      <c r="U445" s="224"/>
      <c r="V445" s="224"/>
      <c r="W445" s="224"/>
      <c r="X445" s="224"/>
      <c r="Y445" s="224"/>
      <c r="Z445" s="224"/>
      <c r="AA445" s="224"/>
      <c r="AB445" s="224"/>
      <c r="AC445" s="224"/>
    </row>
    <row r="446" spans="1:29" ht="15.75" hidden="1" customHeight="1">
      <c r="A446" s="248">
        <v>44796</v>
      </c>
      <c r="B446" s="219" t="s">
        <v>2499</v>
      </c>
      <c r="C446" s="315">
        <v>2.25</v>
      </c>
      <c r="D446" s="219" t="s">
        <v>2502</v>
      </c>
      <c r="E446" s="219" t="s">
        <v>5</v>
      </c>
      <c r="F446" s="219" t="s">
        <v>447</v>
      </c>
      <c r="G446" s="219" t="s">
        <v>11373</v>
      </c>
      <c r="H446" s="219">
        <v>2.5</v>
      </c>
      <c r="I446" s="219" t="s">
        <v>543</v>
      </c>
      <c r="J446" s="219" t="e">
        <f>+Bridge the AEC Industry gap between the design of prefabricated exteriors and the final exterior-wall construction
 - What is the exact Tech in this? Its already using the existing data and plugins to channelise output
 &gt; Secured good seed fund</f>
        <v>#NAME?</v>
      </c>
      <c r="K446" s="219">
        <v>2</v>
      </c>
      <c r="L446" s="219"/>
      <c r="M446" s="219"/>
      <c r="N446" s="219" t="s">
        <v>465</v>
      </c>
      <c r="O446" s="219" t="s">
        <v>575</v>
      </c>
      <c r="P446" s="219" t="s">
        <v>725</v>
      </c>
      <c r="Q446" s="219" t="s">
        <v>24</v>
      </c>
      <c r="R446" s="251"/>
      <c r="S446" s="251"/>
      <c r="T446" s="251"/>
      <c r="U446" s="251"/>
      <c r="V446" s="219"/>
      <c r="W446" s="219"/>
      <c r="X446" s="219"/>
      <c r="Y446" s="219"/>
      <c r="Z446" s="219"/>
      <c r="AA446" s="219"/>
      <c r="AB446" s="219"/>
      <c r="AC446" s="219"/>
    </row>
    <row r="447" spans="1:29" ht="15.75" customHeight="1">
      <c r="A447" s="253">
        <v>44796</v>
      </c>
      <c r="B447" s="224" t="s">
        <v>5393</v>
      </c>
      <c r="C447" s="316">
        <v>3</v>
      </c>
      <c r="D447" s="224" t="s">
        <v>10828</v>
      </c>
      <c r="E447" s="224" t="s">
        <v>4</v>
      </c>
      <c r="F447" s="224" t="s">
        <v>725</v>
      </c>
      <c r="G447" s="224" t="s">
        <v>5397</v>
      </c>
      <c r="H447" s="224">
        <v>3</v>
      </c>
      <c r="I447" s="224" t="s">
        <v>1073</v>
      </c>
      <c r="J447" s="224" t="s">
        <v>5398</v>
      </c>
      <c r="K447" s="224">
        <v>3</v>
      </c>
      <c r="L447" s="224" t="s">
        <v>478</v>
      </c>
      <c r="M447" s="311">
        <v>10000000</v>
      </c>
      <c r="N447" s="224" t="s">
        <v>452</v>
      </c>
      <c r="O447" s="224" t="s">
        <v>5399</v>
      </c>
      <c r="P447" s="224"/>
      <c r="Q447" s="224" t="s">
        <v>24</v>
      </c>
      <c r="R447" s="224"/>
      <c r="S447" s="224" t="str">
        <f>IFERROR(VLOOKUP(B447,'2022-2023 Third Reviews'!$C:$S,9,FALSE),"")</f>
        <v/>
      </c>
      <c r="T447" s="224"/>
      <c r="U447" s="224"/>
      <c r="V447" s="272"/>
      <c r="W447" s="272"/>
      <c r="X447" s="272"/>
      <c r="Y447" s="272"/>
      <c r="Z447" s="272"/>
      <c r="AA447" s="224"/>
      <c r="AB447" s="224"/>
      <c r="AC447" s="224"/>
    </row>
    <row r="448" spans="1:29" ht="15.75" customHeight="1">
      <c r="A448" s="248">
        <v>44796</v>
      </c>
      <c r="B448" s="219" t="s">
        <v>10240</v>
      </c>
      <c r="C448" s="315">
        <v>3</v>
      </c>
      <c r="D448" s="219" t="s">
        <v>5405</v>
      </c>
      <c r="E448" s="219" t="s">
        <v>4</v>
      </c>
      <c r="F448" s="219" t="s">
        <v>1457</v>
      </c>
      <c r="G448" s="219" t="s">
        <v>10241</v>
      </c>
      <c r="H448" s="219">
        <v>4</v>
      </c>
      <c r="I448" s="219" t="s">
        <v>1054</v>
      </c>
      <c r="J448" s="219" t="s">
        <v>5407</v>
      </c>
      <c r="K448" s="219">
        <v>2</v>
      </c>
      <c r="L448" s="219" t="s">
        <v>478</v>
      </c>
      <c r="M448" s="219" t="s">
        <v>5408</v>
      </c>
      <c r="N448" s="219" t="s">
        <v>452</v>
      </c>
      <c r="O448" s="219" t="s">
        <v>10242</v>
      </c>
      <c r="P448" s="219" t="s">
        <v>602</v>
      </c>
      <c r="Q448" s="219" t="s">
        <v>24</v>
      </c>
      <c r="R448" s="219"/>
      <c r="S448" s="219" t="str">
        <f>IFERROR(VLOOKUP(B448,'2022-2023 Third Reviews'!$C:$S,9,FALSE),"")</f>
        <v/>
      </c>
      <c r="T448" s="219"/>
      <c r="U448" s="219"/>
      <c r="V448" s="219"/>
      <c r="W448" s="219"/>
      <c r="X448" s="219"/>
      <c r="Y448" s="219"/>
      <c r="Z448" s="219"/>
      <c r="AA448" s="219"/>
      <c r="AB448" s="219"/>
      <c r="AC448" s="219"/>
    </row>
    <row r="449" spans="1:29" ht="15.75" customHeight="1">
      <c r="A449" s="253">
        <v>44796</v>
      </c>
      <c r="B449" s="224" t="s">
        <v>5412</v>
      </c>
      <c r="C449" s="316">
        <v>3</v>
      </c>
      <c r="D449" s="224" t="s">
        <v>5415</v>
      </c>
      <c r="E449" s="224" t="s">
        <v>4</v>
      </c>
      <c r="F449" s="224" t="s">
        <v>727</v>
      </c>
      <c r="G449" s="224" t="s">
        <v>10423</v>
      </c>
      <c r="H449" s="224">
        <v>3</v>
      </c>
      <c r="I449" s="224" t="s">
        <v>1073</v>
      </c>
      <c r="J449" s="224"/>
      <c r="K449" s="224">
        <v>3</v>
      </c>
      <c r="L449" s="224" t="s">
        <v>451</v>
      </c>
      <c r="M449" s="224" t="s">
        <v>3473</v>
      </c>
      <c r="N449" s="224" t="s">
        <v>465</v>
      </c>
      <c r="O449" s="224" t="s">
        <v>10424</v>
      </c>
      <c r="P449" s="224"/>
      <c r="Q449" s="224" t="s">
        <v>24</v>
      </c>
      <c r="R449" s="224"/>
      <c r="S449" s="224" t="str">
        <f ca="1">IFERROR(VLOOKUP(B449,'2022-2023 Third Reviews'!$C:$S,9,FALSE),"")</f>
        <v>John McDonald
3</v>
      </c>
      <c r="T449" s="224"/>
      <c r="U449" s="224"/>
      <c r="V449" s="224"/>
      <c r="W449" s="224"/>
      <c r="X449" s="224"/>
      <c r="Y449" s="224"/>
      <c r="Z449" s="224"/>
      <c r="AA449" s="224"/>
      <c r="AB449" s="224"/>
      <c r="AC449" s="224"/>
    </row>
    <row r="450" spans="1:29" ht="15.75" customHeight="1">
      <c r="A450" s="248">
        <v>44796</v>
      </c>
      <c r="B450" s="219" t="s">
        <v>5420</v>
      </c>
      <c r="C450" s="315">
        <v>3</v>
      </c>
      <c r="D450" s="219" t="s">
        <v>10374</v>
      </c>
      <c r="E450" s="219" t="s">
        <v>4</v>
      </c>
      <c r="F450" s="219" t="s">
        <v>725</v>
      </c>
      <c r="G450" s="219" t="s">
        <v>5424</v>
      </c>
      <c r="H450" s="219">
        <v>3</v>
      </c>
      <c r="I450" s="219" t="s">
        <v>1073</v>
      </c>
      <c r="J450" s="219"/>
      <c r="K450" s="219">
        <v>3</v>
      </c>
      <c r="L450" s="219" t="s">
        <v>451</v>
      </c>
      <c r="M450" s="219">
        <v>1000000</v>
      </c>
      <c r="N450" s="219" t="s">
        <v>452</v>
      </c>
      <c r="O450" s="219" t="s">
        <v>10375</v>
      </c>
      <c r="P450" s="219"/>
      <c r="Q450" s="219" t="s">
        <v>24</v>
      </c>
      <c r="R450" s="219"/>
      <c r="S450" s="219" t="str">
        <f>IFERROR(VLOOKUP(B450,'2022-2023 Third Reviews'!$C:$S,9,FALSE),"")</f>
        <v/>
      </c>
      <c r="T450" s="219"/>
      <c r="U450" s="219"/>
      <c r="V450" s="219"/>
      <c r="W450" s="219"/>
      <c r="X450" s="219"/>
      <c r="Y450" s="219"/>
      <c r="Z450" s="219"/>
      <c r="AA450" s="219"/>
      <c r="AB450" s="219"/>
      <c r="AC450" s="219"/>
    </row>
    <row r="451" spans="1:29" ht="15.75" customHeight="1">
      <c r="A451" s="253">
        <v>44796</v>
      </c>
      <c r="B451" s="224" t="s">
        <v>5427</v>
      </c>
      <c r="C451" s="316">
        <v>3</v>
      </c>
      <c r="D451" s="224" t="s">
        <v>5430</v>
      </c>
      <c r="E451" s="224" t="s">
        <v>4</v>
      </c>
      <c r="F451" s="224" t="s">
        <v>725</v>
      </c>
      <c r="G451" s="224" t="s">
        <v>13400</v>
      </c>
      <c r="H451" s="224">
        <v>4</v>
      </c>
      <c r="I451" s="224" t="s">
        <v>1045</v>
      </c>
      <c r="J451" s="224" t="s">
        <v>5432</v>
      </c>
      <c r="K451" s="224">
        <v>2</v>
      </c>
      <c r="L451" s="224" t="s">
        <v>451</v>
      </c>
      <c r="M451" s="311">
        <v>2500000</v>
      </c>
      <c r="N451" s="224" t="s">
        <v>465</v>
      </c>
      <c r="O451" s="224" t="s">
        <v>11126</v>
      </c>
      <c r="P451" s="224"/>
      <c r="Q451" s="224" t="s">
        <v>24</v>
      </c>
      <c r="R451" s="224"/>
      <c r="S451" s="224" t="str">
        <f>IFERROR(VLOOKUP(B451,'2022-2023 Third Reviews'!$C:$S,9,FALSE),"")</f>
        <v/>
      </c>
      <c r="T451" s="224"/>
      <c r="U451" s="224"/>
      <c r="V451" s="224"/>
      <c r="W451" s="224"/>
      <c r="X451" s="224"/>
      <c r="Y451" s="224"/>
      <c r="Z451" s="224"/>
      <c r="AA451" s="224"/>
      <c r="AB451" s="224"/>
      <c r="AC451" s="224"/>
    </row>
    <row r="452" spans="1:29" ht="15.75" customHeight="1">
      <c r="A452" s="248">
        <v>44796</v>
      </c>
      <c r="B452" s="219" t="s">
        <v>5435</v>
      </c>
      <c r="C452" s="315">
        <v>3</v>
      </c>
      <c r="D452" s="219" t="s">
        <v>5438</v>
      </c>
      <c r="E452" s="219" t="s">
        <v>4</v>
      </c>
      <c r="F452" s="219" t="s">
        <v>1045</v>
      </c>
      <c r="G452" s="219" t="s">
        <v>5439</v>
      </c>
      <c r="H452" s="219">
        <v>3</v>
      </c>
      <c r="I452" s="219" t="s">
        <v>1073</v>
      </c>
      <c r="J452" s="219"/>
      <c r="K452" s="219">
        <v>3</v>
      </c>
      <c r="L452" s="219"/>
      <c r="M452" s="219"/>
      <c r="N452" s="219" t="s">
        <v>452</v>
      </c>
      <c r="O452" s="219" t="s">
        <v>452</v>
      </c>
      <c r="P452" s="219"/>
      <c r="Q452" s="219" t="s">
        <v>24</v>
      </c>
      <c r="R452" s="219"/>
      <c r="S452" s="219" t="str">
        <f>IFERROR(VLOOKUP(B452,'2022-2023 Third Reviews'!$C:$S,9,FALSE),"")</f>
        <v/>
      </c>
      <c r="T452" s="219"/>
      <c r="U452" s="219"/>
      <c r="V452" s="219"/>
      <c r="W452" s="219"/>
      <c r="X452" s="219"/>
      <c r="Y452" s="219"/>
      <c r="Z452" s="219"/>
      <c r="AA452" s="219"/>
      <c r="AB452" s="219"/>
      <c r="AC452" s="219"/>
    </row>
    <row r="453" spans="1:29" ht="15.75" hidden="1" customHeight="1">
      <c r="A453" s="253">
        <v>44782</v>
      </c>
      <c r="B453" s="224" t="s">
        <v>2507</v>
      </c>
      <c r="C453" s="249">
        <v>3</v>
      </c>
      <c r="D453" s="224" t="s">
        <v>2510</v>
      </c>
      <c r="E453" s="250" t="s">
        <v>5</v>
      </c>
      <c r="F453" s="224" t="s">
        <v>447</v>
      </c>
      <c r="G453" s="224" t="s">
        <v>10331</v>
      </c>
      <c r="H453" s="224">
        <v>4</v>
      </c>
      <c r="I453" s="224" t="s">
        <v>622</v>
      </c>
      <c r="J453" s="224"/>
      <c r="K453" s="224">
        <v>2</v>
      </c>
      <c r="L453" s="224"/>
      <c r="M453" s="224"/>
      <c r="N453" s="224" t="s">
        <v>452</v>
      </c>
      <c r="O453" s="224" t="s">
        <v>2512</v>
      </c>
      <c r="P453" s="224"/>
      <c r="Q453" s="224" t="s">
        <v>24</v>
      </c>
      <c r="R453" s="254"/>
      <c r="S453" s="254"/>
      <c r="T453" s="254"/>
      <c r="U453" s="254"/>
      <c r="V453" s="252"/>
      <c r="W453" s="252"/>
      <c r="X453" s="252"/>
      <c r="Y453" s="224"/>
      <c r="Z453" s="224"/>
      <c r="AA453" s="224"/>
      <c r="AB453" s="224"/>
      <c r="AC453" s="224"/>
    </row>
    <row r="454" spans="1:29" ht="15.75" customHeight="1">
      <c r="A454" s="248">
        <v>44796</v>
      </c>
      <c r="B454" s="219" t="s">
        <v>5442</v>
      </c>
      <c r="C454" s="315">
        <v>3</v>
      </c>
      <c r="D454" s="219" t="s">
        <v>5445</v>
      </c>
      <c r="E454" s="219" t="s">
        <v>4</v>
      </c>
      <c r="F454" s="219" t="s">
        <v>1045</v>
      </c>
      <c r="G454" s="219" t="s">
        <v>5446</v>
      </c>
      <c r="H454" s="219">
        <v>3</v>
      </c>
      <c r="I454" s="219" t="s">
        <v>604</v>
      </c>
      <c r="J454" s="219" t="s">
        <v>10192</v>
      </c>
      <c r="K454" s="219">
        <v>3</v>
      </c>
      <c r="L454" s="219"/>
      <c r="M454" s="219">
        <v>700000</v>
      </c>
      <c r="N454" s="219" t="s">
        <v>452</v>
      </c>
      <c r="O454" s="219" t="s">
        <v>5448</v>
      </c>
      <c r="P454" s="219"/>
      <c r="Q454" s="219" t="s">
        <v>24</v>
      </c>
      <c r="R454" s="219"/>
      <c r="S454" s="219" t="str">
        <f ca="1">IFERROR(VLOOKUP(B454,'2022-2023 Third Reviews'!$C:$S,9,FALSE),"")</f>
        <v>Nick Schmandt
4</v>
      </c>
      <c r="T454" s="219"/>
      <c r="U454" s="219"/>
      <c r="V454" s="219"/>
      <c r="W454" s="219"/>
      <c r="X454" s="219"/>
      <c r="Y454" s="219"/>
      <c r="Z454" s="219"/>
      <c r="AA454" s="219"/>
      <c r="AB454" s="219"/>
      <c r="AC454" s="219"/>
    </row>
    <row r="455" spans="1:29" ht="15.75" customHeight="1">
      <c r="A455" s="253">
        <v>44796</v>
      </c>
      <c r="B455" s="224" t="s">
        <v>5451</v>
      </c>
      <c r="C455" s="316">
        <v>3</v>
      </c>
      <c r="D455" s="224" t="s">
        <v>5454</v>
      </c>
      <c r="E455" s="224" t="s">
        <v>4</v>
      </c>
      <c r="F455" s="224" t="s">
        <v>602</v>
      </c>
      <c r="G455" s="224" t="s">
        <v>5455</v>
      </c>
      <c r="H455" s="224">
        <v>2</v>
      </c>
      <c r="I455" s="224" t="s">
        <v>604</v>
      </c>
      <c r="J455" s="224" t="s">
        <v>11066</v>
      </c>
      <c r="K455" s="224">
        <v>4</v>
      </c>
      <c r="L455" s="224" t="s">
        <v>478</v>
      </c>
      <c r="M455" s="330">
        <v>5000000</v>
      </c>
      <c r="N455" s="224" t="s">
        <v>452</v>
      </c>
      <c r="O455" s="224" t="s">
        <v>452</v>
      </c>
      <c r="P455" s="224"/>
      <c r="Q455" s="224" t="s">
        <v>24</v>
      </c>
      <c r="R455" s="224"/>
      <c r="S455" s="224" t="str">
        <f>IFERROR(VLOOKUP(B455,'2022-2023 Third Reviews'!$C:$S,9,FALSE),"")</f>
        <v/>
      </c>
      <c r="T455" s="224"/>
      <c r="U455" s="224"/>
      <c r="V455" s="252"/>
      <c r="W455" s="252"/>
      <c r="X455" s="252"/>
      <c r="Y455" s="224"/>
      <c r="Z455" s="224"/>
      <c r="AA455" s="224"/>
      <c r="AB455" s="224"/>
      <c r="AC455" s="224"/>
    </row>
    <row r="456" spans="1:29" ht="15.75" customHeight="1">
      <c r="A456" s="248">
        <v>44796</v>
      </c>
      <c r="B456" s="219" t="s">
        <v>5458</v>
      </c>
      <c r="C456" s="315">
        <v>3</v>
      </c>
      <c r="D456" s="219" t="s">
        <v>5461</v>
      </c>
      <c r="E456" s="219" t="s">
        <v>4</v>
      </c>
      <c r="F456" s="219" t="s">
        <v>1045</v>
      </c>
      <c r="G456" s="219" t="s">
        <v>5462</v>
      </c>
      <c r="H456" s="219">
        <v>3</v>
      </c>
      <c r="I456" s="219" t="s">
        <v>604</v>
      </c>
      <c r="J456" s="219" t="s">
        <v>10198</v>
      </c>
      <c r="K456" s="219">
        <v>3</v>
      </c>
      <c r="L456" s="219" t="s">
        <v>784</v>
      </c>
      <c r="M456" s="310">
        <v>2000000</v>
      </c>
      <c r="N456" s="219" t="s">
        <v>452</v>
      </c>
      <c r="O456" s="219" t="s">
        <v>5464</v>
      </c>
      <c r="P456" s="219" t="s">
        <v>5465</v>
      </c>
      <c r="Q456" s="219" t="s">
        <v>24</v>
      </c>
      <c r="R456" s="219"/>
      <c r="S456" s="219" t="str">
        <f ca="1">IFERROR(VLOOKUP(B456,'2022-2023 Third Reviews'!$C:$S,9,FALSE),"")</f>
        <v>Nick Schmandt
2</v>
      </c>
      <c r="T456" s="219"/>
      <c r="U456" s="219"/>
      <c r="V456" s="219"/>
      <c r="W456" s="219"/>
      <c r="X456" s="219"/>
      <c r="Y456" s="219"/>
      <c r="Z456" s="219"/>
      <c r="AA456" s="219"/>
      <c r="AB456" s="219"/>
      <c r="AC456" s="219"/>
    </row>
    <row r="457" spans="1:29" ht="15.75" hidden="1" customHeight="1">
      <c r="A457" s="280">
        <v>44784</v>
      </c>
      <c r="B457" s="281" t="s">
        <v>85</v>
      </c>
      <c r="C457" s="282">
        <v>3.25</v>
      </c>
      <c r="D457" s="281" t="s">
        <v>9345</v>
      </c>
      <c r="E457" s="281" t="s">
        <v>5</v>
      </c>
      <c r="F457" s="281" t="s">
        <v>447</v>
      </c>
      <c r="G457" s="281" t="s">
        <v>10406</v>
      </c>
      <c r="H457" s="281">
        <v>3.5</v>
      </c>
      <c r="I457" s="281" t="s">
        <v>622</v>
      </c>
      <c r="J457" s="281" t="s">
        <v>10407</v>
      </c>
      <c r="K457" s="281">
        <v>3</v>
      </c>
      <c r="L457" s="281" t="s">
        <v>478</v>
      </c>
      <c r="M457" s="281" t="s">
        <v>9348</v>
      </c>
      <c r="N457" s="281" t="s">
        <v>452</v>
      </c>
      <c r="O457" s="281" t="s">
        <v>11576</v>
      </c>
      <c r="P457" s="281" t="s">
        <v>1862</v>
      </c>
      <c r="Q457" s="281" t="s">
        <v>19</v>
      </c>
      <c r="R457" s="283" t="s">
        <v>9350</v>
      </c>
      <c r="S457" s="283"/>
      <c r="T457" s="283"/>
      <c r="U457" s="283"/>
      <c r="V457" s="281"/>
      <c r="W457" s="281"/>
      <c r="X457" s="281"/>
      <c r="Y457" s="281"/>
      <c r="Z457" s="281"/>
      <c r="AA457" s="258"/>
      <c r="AB457" s="258"/>
      <c r="AC457" s="258"/>
    </row>
    <row r="458" spans="1:29" ht="15.75" hidden="1" customHeight="1">
      <c r="A458" s="267">
        <v>44784</v>
      </c>
      <c r="B458" s="268" t="s">
        <v>8617</v>
      </c>
      <c r="C458" s="269">
        <v>1</v>
      </c>
      <c r="D458" s="268" t="s">
        <v>8620</v>
      </c>
      <c r="E458" s="270" t="s">
        <v>3</v>
      </c>
      <c r="F458" s="268" t="s">
        <v>460</v>
      </c>
      <c r="G458" s="268" t="s">
        <v>8621</v>
      </c>
      <c r="H458" s="268">
        <v>1</v>
      </c>
      <c r="I458" s="268" t="s">
        <v>488</v>
      </c>
      <c r="J458" s="268"/>
      <c r="K458" s="268">
        <v>1</v>
      </c>
      <c r="L458" s="268" t="s">
        <v>451</v>
      </c>
      <c r="M458" s="285">
        <v>10000</v>
      </c>
      <c r="N458" s="268" t="s">
        <v>454</v>
      </c>
      <c r="O458" s="285" t="s">
        <v>1119</v>
      </c>
      <c r="P458" s="268"/>
      <c r="Q458" s="268" t="s">
        <v>24</v>
      </c>
      <c r="R458" s="271"/>
      <c r="S458" s="271"/>
      <c r="T458" s="271"/>
      <c r="U458" s="271"/>
      <c r="V458" s="268"/>
      <c r="W458" s="268"/>
      <c r="X458" s="268"/>
      <c r="Y458" s="268"/>
      <c r="Z458" s="268"/>
      <c r="AA458" s="219"/>
      <c r="AB458" s="219"/>
      <c r="AC458" s="219"/>
    </row>
    <row r="459" spans="1:29" ht="15.75" customHeight="1">
      <c r="A459" s="253">
        <v>44791</v>
      </c>
      <c r="B459" s="224" t="s">
        <v>5468</v>
      </c>
      <c r="C459" s="316">
        <v>3</v>
      </c>
      <c r="D459" s="224" t="s">
        <v>5471</v>
      </c>
      <c r="E459" s="224" t="s">
        <v>4</v>
      </c>
      <c r="F459" s="224" t="s">
        <v>725</v>
      </c>
      <c r="G459" s="224"/>
      <c r="H459" s="224">
        <v>3</v>
      </c>
      <c r="I459" s="224" t="s">
        <v>1045</v>
      </c>
      <c r="J459" s="224" t="s">
        <v>5472</v>
      </c>
      <c r="K459" s="224">
        <v>3</v>
      </c>
      <c r="L459" s="224" t="s">
        <v>784</v>
      </c>
      <c r="M459" s="224">
        <v>300000</v>
      </c>
      <c r="N459" s="224" t="s">
        <v>452</v>
      </c>
      <c r="O459" s="224" t="s">
        <v>5473</v>
      </c>
      <c r="P459" s="224"/>
      <c r="Q459" s="322" t="s">
        <v>24</v>
      </c>
      <c r="R459" s="224"/>
      <c r="S459" s="224" t="str">
        <f>IFERROR(VLOOKUP(B459,'2022-2023 Third Reviews'!$C:$S,9,FALSE),"")</f>
        <v/>
      </c>
      <c r="T459" s="224"/>
      <c r="U459" s="224"/>
      <c r="V459" s="224"/>
      <c r="W459" s="224"/>
      <c r="X459" s="224"/>
      <c r="Y459" s="224"/>
      <c r="Z459" s="224"/>
      <c r="AA459" s="224"/>
      <c r="AB459" s="224"/>
      <c r="AC459" s="224"/>
    </row>
    <row r="460" spans="1:29" ht="15.75" customHeight="1">
      <c r="A460" s="248">
        <v>44791</v>
      </c>
      <c r="B460" s="219" t="s">
        <v>5476</v>
      </c>
      <c r="C460" s="315">
        <v>3</v>
      </c>
      <c r="D460" s="219" t="s">
        <v>5479</v>
      </c>
      <c r="E460" s="219" t="s">
        <v>4</v>
      </c>
      <c r="F460" s="219" t="s">
        <v>727</v>
      </c>
      <c r="G460" s="219" t="s">
        <v>10592</v>
      </c>
      <c r="H460" s="219">
        <v>3</v>
      </c>
      <c r="I460" s="219" t="s">
        <v>604</v>
      </c>
      <c r="J460" s="219" t="s">
        <v>5481</v>
      </c>
      <c r="K460" s="219">
        <v>3</v>
      </c>
      <c r="L460" s="219"/>
      <c r="M460" s="219"/>
      <c r="N460" s="219" t="s">
        <v>452</v>
      </c>
      <c r="O460" s="219" t="s">
        <v>5482</v>
      </c>
      <c r="P460" s="219" t="s">
        <v>5483</v>
      </c>
      <c r="Q460" s="322" t="s">
        <v>24</v>
      </c>
      <c r="R460" s="219"/>
      <c r="S460" s="219" t="str">
        <f>IFERROR(VLOOKUP(B460,'2022-2023 Third Reviews'!$C:$S,9,FALSE),"")</f>
        <v/>
      </c>
      <c r="T460" s="219"/>
      <c r="U460" s="219"/>
      <c r="V460" s="268"/>
      <c r="W460" s="268"/>
      <c r="X460" s="268"/>
      <c r="Y460" s="268"/>
      <c r="Z460" s="268"/>
      <c r="AA460" s="219"/>
      <c r="AB460" s="219"/>
      <c r="AC460" s="219"/>
    </row>
    <row r="461" spans="1:29" ht="15.75" customHeight="1">
      <c r="A461" s="253">
        <v>44797</v>
      </c>
      <c r="B461" s="224" t="s">
        <v>5486</v>
      </c>
      <c r="C461" s="316">
        <v>3</v>
      </c>
      <c r="D461" s="224" t="s">
        <v>10787</v>
      </c>
      <c r="E461" s="224" t="s">
        <v>4</v>
      </c>
      <c r="F461" s="224" t="s">
        <v>602</v>
      </c>
      <c r="G461" s="224" t="s">
        <v>5490</v>
      </c>
      <c r="H461" s="224">
        <v>3</v>
      </c>
      <c r="I461" s="224" t="s">
        <v>604</v>
      </c>
      <c r="J461" s="224" t="s">
        <v>10788</v>
      </c>
      <c r="K461" s="224">
        <v>3</v>
      </c>
      <c r="L461" s="224" t="s">
        <v>451</v>
      </c>
      <c r="M461" s="330">
        <v>500000</v>
      </c>
      <c r="N461" s="224" t="s">
        <v>454</v>
      </c>
      <c r="O461" s="224" t="s">
        <v>5492</v>
      </c>
      <c r="P461" s="224" t="s">
        <v>727</v>
      </c>
      <c r="Q461" s="224" t="s">
        <v>24</v>
      </c>
      <c r="R461" s="224"/>
      <c r="S461" s="224" t="str">
        <f>IFERROR(VLOOKUP(B461,'2022-2023 Third Reviews'!$C:$S,9,FALSE),"")</f>
        <v/>
      </c>
      <c r="T461" s="224"/>
      <c r="U461" s="224"/>
      <c r="V461" s="252"/>
      <c r="W461" s="252"/>
      <c r="X461" s="252"/>
      <c r="Y461" s="224"/>
      <c r="Z461" s="224"/>
      <c r="AA461" s="224"/>
      <c r="AB461" s="224"/>
      <c r="AC461" s="224"/>
    </row>
    <row r="462" spans="1:29" ht="15.75" customHeight="1">
      <c r="A462" s="248">
        <v>44791</v>
      </c>
      <c r="B462" s="219" t="s">
        <v>5495</v>
      </c>
      <c r="C462" s="315">
        <v>3</v>
      </c>
      <c r="D462" s="219" t="s">
        <v>5498</v>
      </c>
      <c r="E462" s="219" t="s">
        <v>4</v>
      </c>
      <c r="F462" s="219" t="s">
        <v>602</v>
      </c>
      <c r="G462" s="219" t="s">
        <v>5499</v>
      </c>
      <c r="H462" s="219">
        <v>3</v>
      </c>
      <c r="I462" s="219" t="s">
        <v>604</v>
      </c>
      <c r="J462" s="219" t="s">
        <v>10889</v>
      </c>
      <c r="K462" s="219">
        <v>3</v>
      </c>
      <c r="L462" s="219"/>
      <c r="M462" s="312"/>
      <c r="N462" s="219" t="s">
        <v>452</v>
      </c>
      <c r="O462" s="219" t="s">
        <v>575</v>
      </c>
      <c r="P462" s="219"/>
      <c r="Q462" s="322" t="s">
        <v>24</v>
      </c>
      <c r="R462" s="219"/>
      <c r="S462" s="219" t="str">
        <f>IFERROR(VLOOKUP(B462,'2022-2023 Third Reviews'!$C:$S,9,FALSE),"")</f>
        <v/>
      </c>
      <c r="T462" s="219"/>
      <c r="U462" s="219"/>
      <c r="V462" s="219"/>
      <c r="W462" s="219"/>
      <c r="X462" s="219"/>
      <c r="Y462" s="219"/>
      <c r="Z462" s="219"/>
      <c r="AA462" s="219"/>
      <c r="AB462" s="219"/>
      <c r="AC462" s="219"/>
    </row>
    <row r="463" spans="1:29" ht="15.75" customHeight="1">
      <c r="A463" s="398">
        <v>44784</v>
      </c>
      <c r="B463" s="272" t="s">
        <v>5503</v>
      </c>
      <c r="C463" s="269">
        <v>3</v>
      </c>
      <c r="D463" s="272" t="s">
        <v>5506</v>
      </c>
      <c r="E463" s="270" t="s">
        <v>4</v>
      </c>
      <c r="F463" s="272" t="s">
        <v>727</v>
      </c>
      <c r="G463" s="272"/>
      <c r="H463" s="272">
        <v>3</v>
      </c>
      <c r="I463" s="272" t="s">
        <v>1054</v>
      </c>
      <c r="J463" s="272" t="s">
        <v>5507</v>
      </c>
      <c r="K463" s="272">
        <v>3</v>
      </c>
      <c r="L463" s="272" t="s">
        <v>451</v>
      </c>
      <c r="M463" s="272" t="s">
        <v>5508</v>
      </c>
      <c r="N463" s="272" t="s">
        <v>452</v>
      </c>
      <c r="O463" s="272" t="s">
        <v>10335</v>
      </c>
      <c r="P463" s="272"/>
      <c r="Q463" s="272" t="s">
        <v>24</v>
      </c>
      <c r="R463" s="272"/>
      <c r="S463" s="272" t="str">
        <f>IFERROR(VLOOKUP(B463,'2022-2023 Third Reviews'!$C:$S,9,FALSE),"")</f>
        <v/>
      </c>
      <c r="T463" s="272"/>
      <c r="U463" s="272"/>
      <c r="V463" s="218"/>
      <c r="W463" s="218"/>
      <c r="X463" s="218"/>
      <c r="Y463" s="224"/>
      <c r="Z463" s="224"/>
      <c r="AA463" s="224"/>
      <c r="AB463" s="224"/>
      <c r="AC463" s="224"/>
    </row>
    <row r="464" spans="1:29" ht="15.75" hidden="1" customHeight="1">
      <c r="A464" s="267">
        <v>44784</v>
      </c>
      <c r="B464" s="268" t="s">
        <v>11447</v>
      </c>
      <c r="C464" s="269">
        <v>2</v>
      </c>
      <c r="D464" s="268" t="s">
        <v>8626</v>
      </c>
      <c r="E464" s="270" t="s">
        <v>3</v>
      </c>
      <c r="F464" s="268" t="s">
        <v>460</v>
      </c>
      <c r="G464" s="268" t="s">
        <v>8627</v>
      </c>
      <c r="H464" s="268">
        <v>2</v>
      </c>
      <c r="I464" s="268" t="s">
        <v>941</v>
      </c>
      <c r="J464" s="268" t="s">
        <v>8628</v>
      </c>
      <c r="K464" s="268">
        <v>2</v>
      </c>
      <c r="L464" s="268" t="s">
        <v>8096</v>
      </c>
      <c r="M464" s="268">
        <v>3000000</v>
      </c>
      <c r="N464" s="268" t="s">
        <v>452</v>
      </c>
      <c r="O464" s="268" t="s">
        <v>3420</v>
      </c>
      <c r="P464" s="268"/>
      <c r="Q464" s="268" t="s">
        <v>24</v>
      </c>
      <c r="R464" s="271"/>
      <c r="S464" s="271"/>
      <c r="T464" s="271"/>
      <c r="U464" s="271"/>
      <c r="V464" s="268"/>
      <c r="W464" s="268"/>
      <c r="X464" s="268"/>
      <c r="Y464" s="268"/>
      <c r="Z464" s="268"/>
      <c r="AA464" s="219"/>
      <c r="AB464" s="219"/>
      <c r="AC464" s="219"/>
    </row>
    <row r="465" spans="1:29" ht="15.75" hidden="1" customHeight="1">
      <c r="A465" s="541">
        <v>44796</v>
      </c>
      <c r="B465" s="306" t="s">
        <v>2515</v>
      </c>
      <c r="C465" s="542"/>
      <c r="D465" s="306" t="s">
        <v>2518</v>
      </c>
      <c r="E465" s="306" t="s">
        <v>5</v>
      </c>
      <c r="F465" s="306" t="s">
        <v>447</v>
      </c>
      <c r="G465" s="306" t="s">
        <v>11068</v>
      </c>
      <c r="H465" s="306">
        <v>3.5</v>
      </c>
      <c r="I465" s="306" t="s">
        <v>622</v>
      </c>
      <c r="J465" s="306"/>
      <c r="K465" s="306"/>
      <c r="L465" s="306" t="s">
        <v>451</v>
      </c>
      <c r="M465" s="544">
        <v>1000000</v>
      </c>
      <c r="N465" s="306" t="s">
        <v>454</v>
      </c>
      <c r="O465" s="306" t="s">
        <v>2521</v>
      </c>
      <c r="P465" s="306"/>
      <c r="Q465" s="306"/>
      <c r="R465" s="543"/>
      <c r="S465" s="543"/>
      <c r="T465" s="543"/>
      <c r="U465" s="543"/>
      <c r="V465" s="224"/>
      <c r="W465" s="224"/>
      <c r="X465" s="224"/>
      <c r="Y465" s="224"/>
      <c r="Z465" s="224"/>
      <c r="AA465" s="224"/>
      <c r="AB465" s="224"/>
      <c r="AC465" s="224"/>
    </row>
    <row r="466" spans="1:29" ht="15.75" hidden="1" customHeight="1">
      <c r="A466" s="248">
        <v>44796</v>
      </c>
      <c r="B466" s="219" t="s">
        <v>2515</v>
      </c>
      <c r="C466" s="315">
        <v>3.75</v>
      </c>
      <c r="D466" s="219" t="s">
        <v>2518</v>
      </c>
      <c r="E466" s="219" t="s">
        <v>5</v>
      </c>
      <c r="F466" s="219" t="s">
        <v>447</v>
      </c>
      <c r="G466" s="219" t="s">
        <v>11068</v>
      </c>
      <c r="H466" s="219">
        <v>3.5</v>
      </c>
      <c r="I466" s="219" t="s">
        <v>622</v>
      </c>
      <c r="J466" s="219" t="s">
        <v>2520</v>
      </c>
      <c r="K466" s="219">
        <v>4</v>
      </c>
      <c r="L466" s="219" t="s">
        <v>451</v>
      </c>
      <c r="M466" s="310">
        <v>1000000</v>
      </c>
      <c r="N466" s="219" t="s">
        <v>454</v>
      </c>
      <c r="O466" s="219" t="s">
        <v>2521</v>
      </c>
      <c r="P466" s="219"/>
      <c r="Q466" s="219" t="s">
        <v>24</v>
      </c>
      <c r="R466" s="251"/>
      <c r="S466" s="251"/>
      <c r="T466" s="251"/>
      <c r="U466" s="251"/>
      <c r="V466" s="219"/>
      <c r="W466" s="219"/>
      <c r="X466" s="219"/>
      <c r="Y466" s="219"/>
      <c r="Z466" s="219"/>
      <c r="AA466" s="219"/>
      <c r="AB466" s="219"/>
      <c r="AC466" s="219"/>
    </row>
    <row r="467" spans="1:29" ht="15.75" hidden="1" customHeight="1">
      <c r="A467" s="253">
        <v>44789</v>
      </c>
      <c r="B467" s="224" t="s">
        <v>8631</v>
      </c>
      <c r="C467" s="249">
        <v>2</v>
      </c>
      <c r="D467" s="224" t="s">
        <v>8634</v>
      </c>
      <c r="E467" s="250" t="s">
        <v>3</v>
      </c>
      <c r="F467" s="224" t="s">
        <v>460</v>
      </c>
      <c r="G467" s="224" t="s">
        <v>8635</v>
      </c>
      <c r="H467" s="224">
        <v>2</v>
      </c>
      <c r="I467" s="224" t="s">
        <v>462</v>
      </c>
      <c r="J467" s="224" t="s">
        <v>11088</v>
      </c>
      <c r="K467" s="224">
        <v>2</v>
      </c>
      <c r="L467" s="224" t="s">
        <v>451</v>
      </c>
      <c r="M467" s="224">
        <v>500000</v>
      </c>
      <c r="N467" s="224" t="s">
        <v>452</v>
      </c>
      <c r="O467" s="224" t="s">
        <v>11089</v>
      </c>
      <c r="P467" s="224"/>
      <c r="Q467" s="224" t="s">
        <v>24</v>
      </c>
      <c r="R467" s="254"/>
      <c r="S467" s="254"/>
      <c r="T467" s="254"/>
      <c r="U467" s="254"/>
      <c r="V467" s="252"/>
      <c r="W467" s="252"/>
      <c r="X467" s="252"/>
      <c r="Y467" s="224"/>
      <c r="Z467" s="224"/>
      <c r="AA467" s="224"/>
      <c r="AB467" s="224"/>
      <c r="AC467" s="224"/>
    </row>
    <row r="468" spans="1:29" ht="15.75" hidden="1" customHeight="1">
      <c r="A468" s="267">
        <v>44784</v>
      </c>
      <c r="B468" s="268" t="s">
        <v>2523</v>
      </c>
      <c r="C468" s="269">
        <v>2.5</v>
      </c>
      <c r="D468" s="268" t="s">
        <v>10582</v>
      </c>
      <c r="E468" s="270" t="s">
        <v>5</v>
      </c>
      <c r="F468" s="268" t="s">
        <v>447</v>
      </c>
      <c r="G468" s="268" t="s">
        <v>11596</v>
      </c>
      <c r="H468" s="268">
        <v>1</v>
      </c>
      <c r="I468" s="268" t="s">
        <v>622</v>
      </c>
      <c r="J468" s="268"/>
      <c r="K468" s="268">
        <v>4</v>
      </c>
      <c r="L468" s="268" t="s">
        <v>478</v>
      </c>
      <c r="M468" s="268" t="s">
        <v>2527</v>
      </c>
      <c r="N468" s="268" t="s">
        <v>452</v>
      </c>
      <c r="O468" s="268" t="s">
        <v>1119</v>
      </c>
      <c r="P468" s="268"/>
      <c r="Q468" s="268" t="s">
        <v>24</v>
      </c>
      <c r="R468" s="271"/>
      <c r="S468" s="271"/>
      <c r="T468" s="271"/>
      <c r="U468" s="271"/>
      <c r="V468" s="268"/>
      <c r="W468" s="268"/>
      <c r="X468" s="268"/>
      <c r="Y468" s="268"/>
      <c r="Z468" s="268"/>
      <c r="AA468" s="219"/>
      <c r="AB468" s="219"/>
      <c r="AC468" s="219"/>
    </row>
    <row r="469" spans="1:29" ht="15.75" hidden="1" customHeight="1">
      <c r="A469" s="253">
        <v>44791</v>
      </c>
      <c r="B469" s="224" t="s">
        <v>2530</v>
      </c>
      <c r="C469" s="316">
        <v>3</v>
      </c>
      <c r="D469" s="224" t="s">
        <v>2533</v>
      </c>
      <c r="E469" s="224" t="s">
        <v>5</v>
      </c>
      <c r="F469" s="224" t="s">
        <v>447</v>
      </c>
      <c r="G469" s="224" t="s">
        <v>11106</v>
      </c>
      <c r="H469" s="224">
        <v>3</v>
      </c>
      <c r="I469" s="224" t="s">
        <v>449</v>
      </c>
      <c r="J469" s="224" t="s">
        <v>11692</v>
      </c>
      <c r="K469" s="224">
        <v>3</v>
      </c>
      <c r="L469" s="224"/>
      <c r="M469" s="307"/>
      <c r="N469" s="224" t="s">
        <v>454</v>
      </c>
      <c r="O469" s="224" t="s">
        <v>2536</v>
      </c>
      <c r="P469" s="224" t="s">
        <v>2537</v>
      </c>
      <c r="Q469" s="322" t="s">
        <v>24</v>
      </c>
      <c r="R469" s="254"/>
      <c r="S469" s="254"/>
      <c r="T469" s="254"/>
      <c r="U469" s="254"/>
      <c r="V469" s="224"/>
      <c r="W469" s="224"/>
      <c r="X469" s="224"/>
      <c r="Y469" s="224"/>
      <c r="Z469" s="224"/>
      <c r="AA469" s="224"/>
      <c r="AB469" s="224"/>
      <c r="AC469" s="224"/>
    </row>
    <row r="470" spans="1:29" ht="15.75" customHeight="1">
      <c r="A470" s="248">
        <v>44791</v>
      </c>
      <c r="B470" s="219" t="s">
        <v>5512</v>
      </c>
      <c r="C470" s="315">
        <v>3</v>
      </c>
      <c r="D470" s="219" t="s">
        <v>5515</v>
      </c>
      <c r="E470" s="219" t="s">
        <v>4</v>
      </c>
      <c r="F470" s="219" t="s">
        <v>727</v>
      </c>
      <c r="G470" s="219" t="s">
        <v>10510</v>
      </c>
      <c r="H470" s="219">
        <v>3</v>
      </c>
      <c r="I470" s="219" t="s">
        <v>604</v>
      </c>
      <c r="J470" s="219" t="s">
        <v>10511</v>
      </c>
      <c r="K470" s="219">
        <v>3</v>
      </c>
      <c r="L470" s="219" t="s">
        <v>451</v>
      </c>
      <c r="M470" s="312">
        <v>3500000</v>
      </c>
      <c r="N470" s="219" t="s">
        <v>452</v>
      </c>
      <c r="O470" s="219" t="s">
        <v>5518</v>
      </c>
      <c r="P470" s="219"/>
      <c r="Q470" s="322" t="s">
        <v>24</v>
      </c>
      <c r="R470" s="219"/>
      <c r="S470" s="219" t="str">
        <f>IFERROR(VLOOKUP(B470,'2022-2023 Third Reviews'!$C:$S,9,FALSE),"")</f>
        <v/>
      </c>
      <c r="T470" s="219"/>
      <c r="U470" s="219"/>
      <c r="V470" s="306"/>
      <c r="W470" s="306"/>
      <c r="X470" s="306"/>
      <c r="Y470" s="306"/>
      <c r="Z470" s="306"/>
      <c r="AA470" s="306"/>
      <c r="AB470" s="306"/>
      <c r="AC470" s="306"/>
    </row>
    <row r="471" spans="1:29" ht="15.75" hidden="1" customHeight="1">
      <c r="A471" s="253">
        <v>44796</v>
      </c>
      <c r="B471" s="224" t="s">
        <v>2540</v>
      </c>
      <c r="C471" s="316">
        <v>2.75</v>
      </c>
      <c r="D471" s="224" t="s">
        <v>2543</v>
      </c>
      <c r="E471" s="224" t="s">
        <v>5</v>
      </c>
      <c r="F471" s="224" t="s">
        <v>447</v>
      </c>
      <c r="G471" s="224" t="s">
        <v>11244</v>
      </c>
      <c r="H471" s="224">
        <v>2.5</v>
      </c>
      <c r="I471" s="224" t="s">
        <v>543</v>
      </c>
      <c r="J471" s="224" t="s">
        <v>11245</v>
      </c>
      <c r="K471" s="224">
        <v>3</v>
      </c>
      <c r="L471" s="224" t="s">
        <v>451</v>
      </c>
      <c r="M471" s="330">
        <v>2000000</v>
      </c>
      <c r="N471" s="224" t="s">
        <v>465</v>
      </c>
      <c r="O471" s="224" t="s">
        <v>2546</v>
      </c>
      <c r="P471" s="224"/>
      <c r="Q471" s="224" t="s">
        <v>24</v>
      </c>
      <c r="R471" s="254"/>
      <c r="S471" s="254"/>
      <c r="T471" s="254"/>
      <c r="U471" s="254"/>
      <c r="V471" s="224"/>
      <c r="W471" s="224"/>
      <c r="X471" s="224"/>
      <c r="Y471" s="224"/>
      <c r="Z471" s="224"/>
      <c r="AA471" s="224"/>
      <c r="AB471" s="224"/>
      <c r="AC471" s="224"/>
    </row>
    <row r="472" spans="1:29" ht="15.75" hidden="1" customHeight="1">
      <c r="A472" s="248">
        <v>44796</v>
      </c>
      <c r="B472" s="219" t="s">
        <v>8639</v>
      </c>
      <c r="C472" s="315">
        <v>1</v>
      </c>
      <c r="D472" s="219" t="s">
        <v>8642</v>
      </c>
      <c r="E472" s="219" t="s">
        <v>3</v>
      </c>
      <c r="F472" s="219" t="s">
        <v>488</v>
      </c>
      <c r="G472" s="219"/>
      <c r="H472" s="219">
        <v>1</v>
      </c>
      <c r="I472" s="219" t="s">
        <v>462</v>
      </c>
      <c r="J472" s="219" t="s">
        <v>8643</v>
      </c>
      <c r="K472" s="219">
        <v>1</v>
      </c>
      <c r="L472" s="219"/>
      <c r="M472" s="219"/>
      <c r="N472" s="219" t="s">
        <v>454</v>
      </c>
      <c r="O472" s="219" t="s">
        <v>575</v>
      </c>
      <c r="P472" s="219"/>
      <c r="Q472" s="219" t="s">
        <v>24</v>
      </c>
      <c r="R472" s="251"/>
      <c r="S472" s="251"/>
      <c r="T472" s="251"/>
      <c r="U472" s="251"/>
      <c r="V472" s="219"/>
      <c r="W472" s="219"/>
      <c r="X472" s="219"/>
      <c r="Y472" s="219"/>
      <c r="Z472" s="219"/>
      <c r="AA472" s="219"/>
      <c r="AB472" s="219"/>
      <c r="AC472" s="219"/>
    </row>
    <row r="473" spans="1:29" ht="15.75" customHeight="1">
      <c r="A473" s="253">
        <v>44796</v>
      </c>
      <c r="B473" s="224" t="s">
        <v>5521</v>
      </c>
      <c r="C473" s="316">
        <v>3</v>
      </c>
      <c r="D473" s="224" t="s">
        <v>5524</v>
      </c>
      <c r="E473" s="224" t="s">
        <v>4</v>
      </c>
      <c r="F473" s="224" t="s">
        <v>725</v>
      </c>
      <c r="G473" s="224" t="s">
        <v>5525</v>
      </c>
      <c r="H473" s="224">
        <v>3</v>
      </c>
      <c r="I473" s="224" t="s">
        <v>1187</v>
      </c>
      <c r="J473" s="224" t="s">
        <v>5526</v>
      </c>
      <c r="K473" s="224">
        <v>3</v>
      </c>
      <c r="L473" s="224" t="s">
        <v>784</v>
      </c>
      <c r="M473" s="224">
        <v>500000</v>
      </c>
      <c r="N473" s="224" t="s">
        <v>452</v>
      </c>
      <c r="O473" s="224" t="s">
        <v>452</v>
      </c>
      <c r="P473" s="224"/>
      <c r="Q473" s="224" t="s">
        <v>24</v>
      </c>
      <c r="R473" s="224"/>
      <c r="S473" s="224" t="str">
        <f>IFERROR(VLOOKUP(B473,'2022-2023 Third Reviews'!$C:$S,9,FALSE),"")</f>
        <v/>
      </c>
      <c r="T473" s="224"/>
      <c r="U473" s="224"/>
      <c r="V473" s="252"/>
      <c r="W473" s="252"/>
      <c r="X473" s="252"/>
      <c r="Y473" s="224"/>
      <c r="Z473" s="224"/>
      <c r="AA473" s="224"/>
      <c r="AB473" s="224"/>
      <c r="AC473" s="224"/>
    </row>
    <row r="474" spans="1:29" ht="15.75" customHeight="1">
      <c r="A474" s="257">
        <v>44797</v>
      </c>
      <c r="B474" s="258" t="s">
        <v>5529</v>
      </c>
      <c r="C474" s="263">
        <v>3</v>
      </c>
      <c r="D474" s="258" t="s">
        <v>5532</v>
      </c>
      <c r="E474" s="258" t="s">
        <v>4</v>
      </c>
      <c r="F474" s="258" t="s">
        <v>725</v>
      </c>
      <c r="G474" s="258" t="s">
        <v>11367</v>
      </c>
      <c r="H474" s="258">
        <v>2</v>
      </c>
      <c r="I474" s="258" t="s">
        <v>1187</v>
      </c>
      <c r="J474" s="258" t="s">
        <v>5534</v>
      </c>
      <c r="K474" s="258">
        <v>4</v>
      </c>
      <c r="L474" s="258"/>
      <c r="M474" s="258"/>
      <c r="N474" s="258" t="s">
        <v>452</v>
      </c>
      <c r="O474" s="258" t="s">
        <v>5535</v>
      </c>
      <c r="P474" s="258"/>
      <c r="Q474" s="258" t="s">
        <v>24</v>
      </c>
      <c r="R474" s="258" t="s">
        <v>5536</v>
      </c>
      <c r="S474" s="258" t="str">
        <f>IFERROR(VLOOKUP(B474,'2022-2023 Third Reviews'!$C:$S,9,FALSE),"")</f>
        <v/>
      </c>
      <c r="T474" s="258"/>
      <c r="U474" s="258"/>
      <c r="V474" s="219"/>
      <c r="W474" s="219"/>
      <c r="X474" s="219"/>
      <c r="Y474" s="219"/>
      <c r="Z474" s="219"/>
      <c r="AA474" s="219"/>
      <c r="AB474" s="219"/>
      <c r="AC474" s="219"/>
    </row>
    <row r="475" spans="1:29" ht="15.75" customHeight="1">
      <c r="A475" s="253">
        <v>44791</v>
      </c>
      <c r="B475" s="224" t="s">
        <v>5539</v>
      </c>
      <c r="C475" s="316">
        <v>3</v>
      </c>
      <c r="D475" s="224" t="s">
        <v>11044</v>
      </c>
      <c r="E475" s="224" t="s">
        <v>4</v>
      </c>
      <c r="F475" s="224" t="s">
        <v>602</v>
      </c>
      <c r="G475" s="224" t="s">
        <v>5543</v>
      </c>
      <c r="H475" s="224">
        <v>3</v>
      </c>
      <c r="I475" s="224" t="s">
        <v>476</v>
      </c>
      <c r="J475" s="224" t="s">
        <v>11694</v>
      </c>
      <c r="K475" s="224">
        <v>3</v>
      </c>
      <c r="L475" s="224" t="s">
        <v>784</v>
      </c>
      <c r="M475" s="224">
        <v>500000</v>
      </c>
      <c r="N475" s="224" t="s">
        <v>452</v>
      </c>
      <c r="O475" s="224" t="s">
        <v>5545</v>
      </c>
      <c r="P475" s="224"/>
      <c r="Q475" s="322" t="s">
        <v>24</v>
      </c>
      <c r="R475" s="224"/>
      <c r="S475" s="224" t="str">
        <f>IFERROR(VLOOKUP(B475,'2022-2023 Third Reviews'!$C:$S,9,FALSE),"")</f>
        <v/>
      </c>
      <c r="T475" s="224" t="s">
        <v>13263</v>
      </c>
      <c r="U475" s="224"/>
      <c r="V475" s="306"/>
      <c r="W475" s="306"/>
      <c r="X475" s="306"/>
      <c r="Y475" s="306"/>
      <c r="Z475" s="306"/>
      <c r="AA475" s="306"/>
      <c r="AB475" s="306"/>
      <c r="AC475" s="306"/>
    </row>
    <row r="476" spans="1:29" ht="15.75" hidden="1" customHeight="1">
      <c r="A476" s="248">
        <v>44782</v>
      </c>
      <c r="B476" s="219" t="s">
        <v>2549</v>
      </c>
      <c r="C476" s="249">
        <v>2.25</v>
      </c>
      <c r="D476" s="219" t="s">
        <v>2552</v>
      </c>
      <c r="E476" s="250" t="s">
        <v>5</v>
      </c>
      <c r="F476" s="219" t="s">
        <v>447</v>
      </c>
      <c r="G476" s="219" t="s">
        <v>10537</v>
      </c>
      <c r="H476" s="219">
        <v>2.5</v>
      </c>
      <c r="I476" s="219" t="s">
        <v>449</v>
      </c>
      <c r="J476" s="219" t="s">
        <v>13400</v>
      </c>
      <c r="K476" s="219">
        <v>2</v>
      </c>
      <c r="L476" s="219" t="s">
        <v>784</v>
      </c>
      <c r="M476" s="219">
        <v>5000000</v>
      </c>
      <c r="N476" s="219" t="s">
        <v>454</v>
      </c>
      <c r="O476" s="219" t="s">
        <v>452</v>
      </c>
      <c r="P476" s="219"/>
      <c r="Q476" s="219" t="s">
        <v>24</v>
      </c>
      <c r="R476" s="251"/>
      <c r="S476" s="251"/>
      <c r="T476" s="251"/>
      <c r="U476" s="251"/>
      <c r="V476" s="252"/>
      <c r="W476" s="252"/>
      <c r="X476" s="252"/>
      <c r="Y476" s="219"/>
      <c r="Z476" s="219"/>
      <c r="AA476" s="219"/>
      <c r="AB476" s="219"/>
      <c r="AC476" s="219"/>
    </row>
    <row r="477" spans="1:29" ht="15.75" hidden="1" customHeight="1">
      <c r="A477" s="541">
        <v>44796</v>
      </c>
      <c r="B477" s="306" t="s">
        <v>2557</v>
      </c>
      <c r="C477" s="542"/>
      <c r="D477" s="306" t="s">
        <v>2560</v>
      </c>
      <c r="E477" s="306" t="s">
        <v>5</v>
      </c>
      <c r="F477" s="306" t="s">
        <v>447</v>
      </c>
      <c r="G477" s="306" t="s">
        <v>11147</v>
      </c>
      <c r="H477" s="306">
        <v>3.5</v>
      </c>
      <c r="I477" s="306" t="s">
        <v>622</v>
      </c>
      <c r="J477" s="306"/>
      <c r="K477" s="306"/>
      <c r="L477" s="306" t="s">
        <v>451</v>
      </c>
      <c r="M477" s="544">
        <v>3000000</v>
      </c>
      <c r="N477" s="306" t="s">
        <v>452</v>
      </c>
      <c r="O477" s="306" t="s">
        <v>2563</v>
      </c>
      <c r="P477" s="306"/>
      <c r="Q477" s="306"/>
      <c r="R477" s="543"/>
      <c r="S477" s="543"/>
      <c r="T477" s="543"/>
      <c r="U477" s="543"/>
      <c r="V477" s="224"/>
      <c r="W477" s="224"/>
      <c r="X477" s="224"/>
      <c r="Y477" s="224"/>
      <c r="Z477" s="224"/>
      <c r="AA477" s="224"/>
      <c r="AB477" s="224"/>
      <c r="AC477" s="224"/>
    </row>
    <row r="478" spans="1:29" ht="15.75" hidden="1" customHeight="1">
      <c r="A478" s="248">
        <v>44796</v>
      </c>
      <c r="B478" s="219" t="s">
        <v>2557</v>
      </c>
      <c r="C478" s="315">
        <v>3.25</v>
      </c>
      <c r="D478" s="219" t="s">
        <v>2560</v>
      </c>
      <c r="E478" s="219" t="s">
        <v>5</v>
      </c>
      <c r="F478" s="219" t="s">
        <v>447</v>
      </c>
      <c r="G478" s="219" t="s">
        <v>11147</v>
      </c>
      <c r="H478" s="219">
        <v>3.5</v>
      </c>
      <c r="I478" s="219" t="s">
        <v>622</v>
      </c>
      <c r="J478" s="219" t="e">
        <f>+ Would like to see the Working product first.</f>
        <v>#NAME?</v>
      </c>
      <c r="K478" s="219">
        <v>3</v>
      </c>
      <c r="L478" s="219" t="s">
        <v>451</v>
      </c>
      <c r="M478" s="310">
        <v>3000000</v>
      </c>
      <c r="N478" s="219" t="s">
        <v>452</v>
      </c>
      <c r="O478" s="219" t="s">
        <v>2563</v>
      </c>
      <c r="P478" s="219"/>
      <c r="Q478" s="219" t="s">
        <v>24</v>
      </c>
      <c r="R478" s="251"/>
      <c r="S478" s="251"/>
      <c r="T478" s="251"/>
      <c r="U478" s="251"/>
      <c r="V478" s="219"/>
      <c r="W478" s="219"/>
      <c r="X478" s="219"/>
      <c r="Y478" s="219"/>
      <c r="Z478" s="219"/>
      <c r="AA478" s="219"/>
      <c r="AB478" s="219"/>
      <c r="AC478" s="219"/>
    </row>
    <row r="479" spans="1:29" ht="15.75" customHeight="1">
      <c r="A479" s="398">
        <v>44784</v>
      </c>
      <c r="B479" s="272" t="s">
        <v>5548</v>
      </c>
      <c r="C479" s="269">
        <v>3</v>
      </c>
      <c r="D479" s="272" t="s">
        <v>5551</v>
      </c>
      <c r="E479" s="270" t="s">
        <v>4</v>
      </c>
      <c r="F479" s="272" t="s">
        <v>727</v>
      </c>
      <c r="G479" s="272" t="s">
        <v>10730</v>
      </c>
      <c r="H479" s="272">
        <v>3</v>
      </c>
      <c r="I479" s="272" t="s">
        <v>1054</v>
      </c>
      <c r="J479" s="272" t="s">
        <v>5553</v>
      </c>
      <c r="K479" s="272">
        <v>3</v>
      </c>
      <c r="L479" s="272" t="s">
        <v>451</v>
      </c>
      <c r="M479" s="272">
        <v>5000000</v>
      </c>
      <c r="N479" s="272" t="s">
        <v>452</v>
      </c>
      <c r="O479" s="272" t="s">
        <v>452</v>
      </c>
      <c r="P479" s="272" t="s">
        <v>5554</v>
      </c>
      <c r="Q479" s="272" t="s">
        <v>24</v>
      </c>
      <c r="R479" s="272"/>
      <c r="S479" s="272" t="str">
        <f>IFERROR(VLOOKUP(B479,'2022-2023 Third Reviews'!$C:$S,9,FALSE),"")</f>
        <v/>
      </c>
      <c r="T479" s="272"/>
      <c r="U479" s="272"/>
      <c r="V479" s="224"/>
      <c r="W479" s="224"/>
      <c r="X479" s="224"/>
      <c r="Y479" s="224"/>
      <c r="Z479" s="224"/>
      <c r="AA479" s="224"/>
      <c r="AB479" s="224"/>
      <c r="AC479" s="224"/>
    </row>
    <row r="480" spans="1:29" ht="15.75" customHeight="1">
      <c r="A480" s="398">
        <v>44784</v>
      </c>
      <c r="B480" s="268" t="s">
        <v>5556</v>
      </c>
      <c r="C480" s="269">
        <v>3</v>
      </c>
      <c r="D480" s="268" t="s">
        <v>5559</v>
      </c>
      <c r="E480" s="270" t="s">
        <v>4</v>
      </c>
      <c r="F480" s="268" t="s">
        <v>602</v>
      </c>
      <c r="G480" s="268" t="s">
        <v>5560</v>
      </c>
      <c r="H480" s="268">
        <v>3</v>
      </c>
      <c r="I480" s="268" t="s">
        <v>727</v>
      </c>
      <c r="J480" s="268" t="s">
        <v>11448</v>
      </c>
      <c r="K480" s="268">
        <v>3</v>
      </c>
      <c r="L480" s="268" t="s">
        <v>451</v>
      </c>
      <c r="M480" s="268" t="s">
        <v>5562</v>
      </c>
      <c r="N480" s="268" t="s">
        <v>452</v>
      </c>
      <c r="O480" s="268" t="s">
        <v>452</v>
      </c>
      <c r="P480" s="268"/>
      <c r="Q480" s="268" t="s">
        <v>24</v>
      </c>
      <c r="R480" s="268"/>
      <c r="S480" s="268" t="str">
        <f>IFERROR(VLOOKUP(B480,'2022-2023 Third Reviews'!$C:$S,9,FALSE),"")</f>
        <v/>
      </c>
      <c r="T480" s="268"/>
      <c r="U480" s="268"/>
      <c r="V480" s="306"/>
      <c r="W480" s="306"/>
      <c r="X480" s="306"/>
      <c r="Y480" s="306"/>
      <c r="Z480" s="306"/>
      <c r="AA480" s="306"/>
      <c r="AB480" s="306"/>
      <c r="AC480" s="306"/>
    </row>
    <row r="481" spans="1:29" ht="15.75" hidden="1" customHeight="1">
      <c r="A481" s="220">
        <v>44776</v>
      </c>
      <c r="B481" s="221" t="s">
        <v>8646</v>
      </c>
      <c r="C481" s="214">
        <v>1.5</v>
      </c>
      <c r="D481" s="221" t="s">
        <v>8649</v>
      </c>
      <c r="E481" s="215" t="s">
        <v>3</v>
      </c>
      <c r="F481" s="221" t="s">
        <v>460</v>
      </c>
      <c r="G481" s="221"/>
      <c r="H481" s="221">
        <v>1</v>
      </c>
      <c r="I481" s="221" t="s">
        <v>462</v>
      </c>
      <c r="J481" s="221"/>
      <c r="K481" s="221">
        <v>2</v>
      </c>
      <c r="L481" s="221" t="s">
        <v>478</v>
      </c>
      <c r="M481" s="222">
        <v>1500000</v>
      </c>
      <c r="N481" s="221" t="s">
        <v>452</v>
      </c>
      <c r="O481" s="221" t="s">
        <v>11436</v>
      </c>
      <c r="P481" s="145"/>
      <c r="Q481" s="221" t="s">
        <v>24</v>
      </c>
      <c r="R481" s="223">
        <f t="array" ref="R481">INDEX(Notes!C:C,MATCH($B481,Notes!$A:$A,0))</f>
        <v>0</v>
      </c>
      <c r="S481" s="223"/>
      <c r="T481" s="223"/>
      <c r="U481" s="223"/>
      <c r="V481" s="218"/>
      <c r="W481" s="218"/>
      <c r="X481" s="218"/>
      <c r="Y481" s="224"/>
      <c r="Z481" s="224"/>
      <c r="AA481" s="224"/>
      <c r="AB481" s="224"/>
      <c r="AC481" s="224"/>
    </row>
    <row r="482" spans="1:29" ht="15.75" hidden="1" customHeight="1">
      <c r="A482" s="280">
        <v>44784</v>
      </c>
      <c r="B482" s="281" t="s">
        <v>2566</v>
      </c>
      <c r="C482" s="282">
        <v>2.5</v>
      </c>
      <c r="D482" s="281" t="s">
        <v>2569</v>
      </c>
      <c r="E482" s="281" t="s">
        <v>5</v>
      </c>
      <c r="F482" s="281" t="s">
        <v>447</v>
      </c>
      <c r="G482" s="281" t="s">
        <v>10417</v>
      </c>
      <c r="H482" s="281">
        <v>3</v>
      </c>
      <c r="I482" s="281" t="s">
        <v>622</v>
      </c>
      <c r="J482" s="281" t="s">
        <v>10418</v>
      </c>
      <c r="K482" s="281">
        <v>2</v>
      </c>
      <c r="L482" s="281" t="s">
        <v>451</v>
      </c>
      <c r="M482" s="291">
        <v>760000</v>
      </c>
      <c r="N482" s="281" t="s">
        <v>465</v>
      </c>
      <c r="O482" s="291" t="s">
        <v>11594</v>
      </c>
      <c r="P482" s="281"/>
      <c r="Q482" s="281" t="s">
        <v>24</v>
      </c>
      <c r="R482" s="283" t="s">
        <v>11595</v>
      </c>
      <c r="S482" s="283"/>
      <c r="T482" s="283"/>
      <c r="U482" s="283"/>
      <c r="V482" s="281"/>
      <c r="W482" s="281"/>
      <c r="X482" s="281"/>
      <c r="Y482" s="281"/>
      <c r="Z482" s="281"/>
      <c r="AA482" s="258"/>
      <c r="AB482" s="258"/>
      <c r="AC482" s="258"/>
    </row>
    <row r="483" spans="1:29" ht="15.75" hidden="1" customHeight="1">
      <c r="A483" s="301">
        <v>44789</v>
      </c>
      <c r="B483" s="303" t="s">
        <v>373</v>
      </c>
      <c r="C483" s="269"/>
      <c r="D483" s="303" t="s">
        <v>10341</v>
      </c>
      <c r="E483" s="270" t="s">
        <v>3</v>
      </c>
      <c r="F483" s="303" t="s">
        <v>460</v>
      </c>
      <c r="G483" s="303"/>
      <c r="H483" s="303"/>
      <c r="I483" s="303" t="s">
        <v>488</v>
      </c>
      <c r="J483" s="303"/>
      <c r="K483" s="303"/>
      <c r="L483" s="303"/>
      <c r="M483" s="303"/>
      <c r="N483" s="303" t="s">
        <v>452</v>
      </c>
      <c r="O483" s="303" t="s">
        <v>10007</v>
      </c>
      <c r="P483" s="303" t="s">
        <v>460</v>
      </c>
      <c r="Q483" s="303"/>
      <c r="R483" s="305"/>
      <c r="S483" s="305"/>
      <c r="T483" s="305"/>
      <c r="U483" s="305"/>
      <c r="V483" s="303"/>
      <c r="W483" s="303"/>
      <c r="X483" s="303"/>
      <c r="Y483" s="303"/>
      <c r="Z483" s="303"/>
      <c r="AA483" s="306"/>
      <c r="AB483" s="306"/>
      <c r="AC483" s="306"/>
    </row>
    <row r="484" spans="1:29" ht="15.75" hidden="1" customHeight="1">
      <c r="A484" s="255">
        <v>44789</v>
      </c>
      <c r="B484" s="239" t="s">
        <v>373</v>
      </c>
      <c r="C484" s="262">
        <v>3</v>
      </c>
      <c r="D484" s="239" t="s">
        <v>10341</v>
      </c>
      <c r="E484" s="239" t="s">
        <v>5</v>
      </c>
      <c r="F484" s="239" t="s">
        <v>460</v>
      </c>
      <c r="G484" s="239" t="s">
        <v>10342</v>
      </c>
      <c r="H484" s="239">
        <v>3</v>
      </c>
      <c r="I484" s="239" t="s">
        <v>488</v>
      </c>
      <c r="J484" s="239" t="s">
        <v>10343</v>
      </c>
      <c r="K484" s="239">
        <v>3</v>
      </c>
      <c r="L484" s="239"/>
      <c r="M484" s="239"/>
      <c r="N484" s="239" t="s">
        <v>452</v>
      </c>
      <c r="O484" s="239" t="s">
        <v>10007</v>
      </c>
      <c r="P484" s="239" t="s">
        <v>460</v>
      </c>
      <c r="Q484" s="239" t="s">
        <v>18</v>
      </c>
      <c r="R484" s="256" t="s">
        <v>10008</v>
      </c>
      <c r="S484" s="256"/>
      <c r="T484" s="256"/>
      <c r="U484" s="256"/>
      <c r="V484" s="239"/>
      <c r="W484" s="239"/>
      <c r="X484" s="239"/>
      <c r="Y484" s="239"/>
      <c r="Z484" s="239"/>
      <c r="AA484" s="239"/>
      <c r="AB484" s="239"/>
      <c r="AC484" s="239"/>
    </row>
    <row r="485" spans="1:29" ht="15.75" customHeight="1">
      <c r="A485" s="220">
        <v>44776</v>
      </c>
      <c r="B485" s="221" t="s">
        <v>5565</v>
      </c>
      <c r="C485" s="214">
        <v>3</v>
      </c>
      <c r="D485" s="221" t="s">
        <v>10197</v>
      </c>
      <c r="E485" s="215" t="s">
        <v>4</v>
      </c>
      <c r="F485" s="221" t="s">
        <v>602</v>
      </c>
      <c r="G485" s="221" t="s">
        <v>5569</v>
      </c>
      <c r="H485" s="221">
        <v>3</v>
      </c>
      <c r="I485" s="221" t="s">
        <v>727</v>
      </c>
      <c r="J485" s="221" t="s">
        <v>5570</v>
      </c>
      <c r="K485" s="221">
        <v>3</v>
      </c>
      <c r="L485" s="221" t="s">
        <v>478</v>
      </c>
      <c r="M485" s="247">
        <v>2000000</v>
      </c>
      <c r="N485" s="221" t="s">
        <v>452</v>
      </c>
      <c r="O485" s="221" t="s">
        <v>575</v>
      </c>
      <c r="P485" s="145"/>
      <c r="Q485" s="221" t="s">
        <v>24</v>
      </c>
      <c r="R485" s="221">
        <f t="array" ref="R485">INDEX(Notes!C:C,MATCH($B485,Notes!$A:$A,0))</f>
        <v>0</v>
      </c>
      <c r="S485" s="221" t="str">
        <f>IFERROR(VLOOKUP(B485,'2022-2023 Third Reviews'!$C:$S,9,FALSE),"")</f>
        <v/>
      </c>
      <c r="T485" s="221"/>
      <c r="U485" s="221"/>
      <c r="V485" s="306"/>
      <c r="W485" s="306"/>
      <c r="X485" s="306"/>
      <c r="Y485" s="306"/>
      <c r="Z485" s="306"/>
      <c r="AA485" s="306"/>
      <c r="AB485" s="306"/>
      <c r="AC485" s="306"/>
    </row>
    <row r="486" spans="1:29" ht="15.75" hidden="1" customHeight="1">
      <c r="A486" s="541">
        <v>44796</v>
      </c>
      <c r="B486" s="306" t="s">
        <v>330</v>
      </c>
      <c r="C486" s="542"/>
      <c r="D486" s="306" t="s">
        <v>9687</v>
      </c>
      <c r="E486" s="306" t="s">
        <v>3</v>
      </c>
      <c r="F486" s="306" t="s">
        <v>488</v>
      </c>
      <c r="G486" s="306"/>
      <c r="H486" s="306"/>
      <c r="I486" s="306" t="s">
        <v>941</v>
      </c>
      <c r="J486" s="306"/>
      <c r="K486" s="306"/>
      <c r="L486" s="306" t="s">
        <v>451</v>
      </c>
      <c r="M486" s="544">
        <v>2000000</v>
      </c>
      <c r="N486" s="306" t="s">
        <v>452</v>
      </c>
      <c r="O486" s="306" t="s">
        <v>9690</v>
      </c>
      <c r="P486" s="306"/>
      <c r="Q486" s="306"/>
      <c r="R486" s="543"/>
      <c r="S486" s="543"/>
      <c r="T486" s="543"/>
      <c r="U486" s="543"/>
      <c r="V486" s="306"/>
      <c r="W486" s="306"/>
      <c r="X486" s="306"/>
      <c r="Y486" s="306"/>
      <c r="Z486" s="306"/>
      <c r="AA486" s="306"/>
      <c r="AB486" s="306"/>
      <c r="AC486" s="306"/>
    </row>
    <row r="487" spans="1:29" ht="15.75" hidden="1" customHeight="1">
      <c r="A487" s="541">
        <v>44797</v>
      </c>
      <c r="B487" s="306" t="s">
        <v>330</v>
      </c>
      <c r="C487" s="542"/>
      <c r="D487" s="306" t="s">
        <v>9687</v>
      </c>
      <c r="E487" s="306" t="s">
        <v>3</v>
      </c>
      <c r="F487" s="306" t="s">
        <v>488</v>
      </c>
      <c r="G487" s="306"/>
      <c r="H487" s="306"/>
      <c r="I487" s="306" t="s">
        <v>941</v>
      </c>
      <c r="J487" s="306"/>
      <c r="K487" s="306"/>
      <c r="L487" s="306" t="s">
        <v>451</v>
      </c>
      <c r="M487" s="546">
        <v>2000000</v>
      </c>
      <c r="N487" s="306" t="s">
        <v>452</v>
      </c>
      <c r="O487" s="306" t="s">
        <v>9690</v>
      </c>
      <c r="P487" s="306"/>
      <c r="Q487" s="306"/>
      <c r="R487" s="543"/>
      <c r="S487" s="543"/>
      <c r="T487" s="543"/>
      <c r="U487" s="543"/>
      <c r="V487" s="306"/>
      <c r="W487" s="306"/>
      <c r="X487" s="306"/>
      <c r="Y487" s="306"/>
      <c r="Z487" s="306"/>
      <c r="AA487" s="306"/>
      <c r="AB487" s="306"/>
      <c r="AC487" s="306"/>
    </row>
    <row r="488" spans="1:29" ht="15.75" hidden="1" customHeight="1">
      <c r="A488" s="248">
        <v>44797</v>
      </c>
      <c r="B488" s="219" t="s">
        <v>330</v>
      </c>
      <c r="C488" s="315">
        <v>4</v>
      </c>
      <c r="D488" s="219" t="s">
        <v>9687</v>
      </c>
      <c r="E488" s="219" t="s">
        <v>3</v>
      </c>
      <c r="F488" s="219" t="s">
        <v>488</v>
      </c>
      <c r="G488" s="219" t="s">
        <v>10816</v>
      </c>
      <c r="H488" s="219">
        <v>4</v>
      </c>
      <c r="I488" s="219" t="s">
        <v>941</v>
      </c>
      <c r="J488" s="219" t="s">
        <v>9689</v>
      </c>
      <c r="K488" s="219">
        <v>4</v>
      </c>
      <c r="L488" s="219" t="s">
        <v>451</v>
      </c>
      <c r="M488" s="331">
        <v>2000000</v>
      </c>
      <c r="N488" s="219" t="s">
        <v>452</v>
      </c>
      <c r="O488" s="219" t="s">
        <v>9690</v>
      </c>
      <c r="P488" s="219"/>
      <c r="Q488" s="219" t="s">
        <v>18</v>
      </c>
      <c r="R488" s="251"/>
      <c r="S488" s="251"/>
      <c r="T488" s="251"/>
      <c r="U488" s="251"/>
      <c r="V488" s="219"/>
      <c r="W488" s="219"/>
      <c r="X488" s="219"/>
      <c r="Y488" s="219"/>
      <c r="Z488" s="219"/>
      <c r="AA488" s="219"/>
      <c r="AB488" s="219"/>
      <c r="AC488" s="219"/>
    </row>
    <row r="489" spans="1:29" ht="15.75" hidden="1" customHeight="1">
      <c r="A489" s="253">
        <v>44789</v>
      </c>
      <c r="B489" s="224" t="s">
        <v>310</v>
      </c>
      <c r="C489" s="249">
        <v>4.5</v>
      </c>
      <c r="D489" s="224" t="s">
        <v>1701</v>
      </c>
      <c r="E489" s="250" t="s">
        <v>3</v>
      </c>
      <c r="F489" s="224" t="s">
        <v>460</v>
      </c>
      <c r="G489" s="224" t="s">
        <v>1702</v>
      </c>
      <c r="H489" s="224">
        <v>4.5</v>
      </c>
      <c r="I489" s="224" t="s">
        <v>462</v>
      </c>
      <c r="J489" s="224" t="s">
        <v>1703</v>
      </c>
      <c r="K489" s="224">
        <v>4.5</v>
      </c>
      <c r="L489" s="224" t="s">
        <v>451</v>
      </c>
      <c r="M489" s="311">
        <v>4000000</v>
      </c>
      <c r="N489" s="224" t="s">
        <v>452</v>
      </c>
      <c r="O489" s="224" t="s">
        <v>11169</v>
      </c>
      <c r="P489" s="224"/>
      <c r="Q489" s="224" t="s">
        <v>18</v>
      </c>
      <c r="R489" s="254"/>
      <c r="S489" s="254"/>
      <c r="T489" s="254"/>
      <c r="U489" s="254"/>
      <c r="V489" s="252"/>
      <c r="W489" s="252"/>
      <c r="X489" s="252"/>
      <c r="Y489" s="224"/>
      <c r="Z489" s="224"/>
      <c r="AA489" s="224"/>
      <c r="AB489" s="224"/>
      <c r="AC489" s="224"/>
    </row>
    <row r="490" spans="1:29" ht="15.75" hidden="1" customHeight="1">
      <c r="A490" s="541">
        <v>44791</v>
      </c>
      <c r="B490" s="306" t="s">
        <v>87</v>
      </c>
      <c r="C490" s="542"/>
      <c r="D490" s="306" t="s">
        <v>2578</v>
      </c>
      <c r="E490" s="306" t="s">
        <v>3</v>
      </c>
      <c r="F490" s="306" t="s">
        <v>460</v>
      </c>
      <c r="G490" s="306"/>
      <c r="H490" s="306"/>
      <c r="I490" s="306" t="s">
        <v>462</v>
      </c>
      <c r="J490" s="306" t="s">
        <v>2580</v>
      </c>
      <c r="K490" s="306">
        <v>4</v>
      </c>
      <c r="L490" s="306" t="s">
        <v>2581</v>
      </c>
      <c r="M490" s="544">
        <v>2500000</v>
      </c>
      <c r="N490" s="306" t="s">
        <v>452</v>
      </c>
      <c r="O490" s="306" t="s">
        <v>2582</v>
      </c>
      <c r="P490" s="306" t="s">
        <v>2583</v>
      </c>
      <c r="Q490" s="306"/>
      <c r="R490" s="543"/>
      <c r="S490" s="543"/>
      <c r="T490" s="543"/>
      <c r="U490" s="543"/>
      <c r="V490" s="306"/>
      <c r="W490" s="306"/>
      <c r="X490" s="306"/>
      <c r="Y490" s="306"/>
      <c r="Z490" s="306"/>
      <c r="AA490" s="306"/>
      <c r="AB490" s="306"/>
      <c r="AC490" s="306"/>
    </row>
    <row r="491" spans="1:29" ht="15.75" hidden="1" customHeight="1">
      <c r="A491" s="255">
        <v>44791</v>
      </c>
      <c r="B491" s="239" t="s">
        <v>87</v>
      </c>
      <c r="C491" s="262">
        <v>4</v>
      </c>
      <c r="D491" s="239" t="s">
        <v>2578</v>
      </c>
      <c r="E491" s="239" t="s">
        <v>5</v>
      </c>
      <c r="F491" s="239" t="s">
        <v>460</v>
      </c>
      <c r="G491" s="239" t="s">
        <v>2579</v>
      </c>
      <c r="H491" s="239">
        <v>4</v>
      </c>
      <c r="I491" s="239" t="s">
        <v>462</v>
      </c>
      <c r="J491" s="239" t="s">
        <v>2580</v>
      </c>
      <c r="K491" s="239">
        <v>4</v>
      </c>
      <c r="L491" s="239" t="s">
        <v>2581</v>
      </c>
      <c r="M491" s="308">
        <v>2500000</v>
      </c>
      <c r="N491" s="239" t="s">
        <v>452</v>
      </c>
      <c r="O491" s="239" t="s">
        <v>2582</v>
      </c>
      <c r="P491" s="239" t="s">
        <v>2583</v>
      </c>
      <c r="Q491" s="239" t="s">
        <v>20</v>
      </c>
      <c r="R491" s="256" t="s">
        <v>11653</v>
      </c>
      <c r="S491" s="256"/>
      <c r="T491" s="256"/>
      <c r="U491" s="256"/>
      <c r="V491" s="239"/>
      <c r="W491" s="239"/>
      <c r="X491" s="239"/>
      <c r="Y491" s="239"/>
      <c r="Z491" s="239"/>
      <c r="AA491" s="239"/>
      <c r="AB491" s="239"/>
      <c r="AC491" s="239"/>
    </row>
    <row r="492" spans="1:29" ht="15.75" hidden="1" customHeight="1">
      <c r="A492" s="541">
        <v>44796</v>
      </c>
      <c r="B492" s="306" t="s">
        <v>82</v>
      </c>
      <c r="C492" s="542"/>
      <c r="D492" s="306" t="s">
        <v>591</v>
      </c>
      <c r="E492" s="306" t="s">
        <v>3</v>
      </c>
      <c r="F492" s="306" t="s">
        <v>460</v>
      </c>
      <c r="G492" s="306" t="s">
        <v>592</v>
      </c>
      <c r="H492" s="306">
        <v>4.5</v>
      </c>
      <c r="I492" s="306" t="s">
        <v>462</v>
      </c>
      <c r="J492" s="306"/>
      <c r="K492" s="306"/>
      <c r="L492" s="306" t="s">
        <v>451</v>
      </c>
      <c r="M492" s="544">
        <v>3000000</v>
      </c>
      <c r="N492" s="306" t="s">
        <v>452</v>
      </c>
      <c r="O492" s="306" t="s">
        <v>10644</v>
      </c>
      <c r="P492" s="306"/>
      <c r="Q492" s="306"/>
      <c r="R492" s="543"/>
      <c r="S492" s="543"/>
      <c r="T492" s="543"/>
      <c r="U492" s="543"/>
      <c r="V492" s="306"/>
      <c r="W492" s="306"/>
      <c r="X492" s="306"/>
      <c r="Y492" s="306"/>
      <c r="Z492" s="306"/>
      <c r="AA492" s="306"/>
      <c r="AB492" s="306"/>
      <c r="AC492" s="306"/>
    </row>
    <row r="493" spans="1:29" ht="15.75" hidden="1" customHeight="1">
      <c r="A493" s="255">
        <v>44796</v>
      </c>
      <c r="B493" s="239" t="s">
        <v>82</v>
      </c>
      <c r="C493" s="262">
        <v>4.5</v>
      </c>
      <c r="D493" s="239" t="s">
        <v>591</v>
      </c>
      <c r="E493" s="239" t="s">
        <v>5</v>
      </c>
      <c r="F493" s="239" t="s">
        <v>460</v>
      </c>
      <c r="G493" s="239" t="s">
        <v>592</v>
      </c>
      <c r="H493" s="239">
        <v>4.5</v>
      </c>
      <c r="I493" s="239" t="s">
        <v>462</v>
      </c>
      <c r="J493" s="239" t="s">
        <v>593</v>
      </c>
      <c r="K493" s="239">
        <v>4.5</v>
      </c>
      <c r="L493" s="239" t="s">
        <v>451</v>
      </c>
      <c r="M493" s="329">
        <v>3000000</v>
      </c>
      <c r="N493" s="239" t="s">
        <v>452</v>
      </c>
      <c r="O493" s="239" t="s">
        <v>10644</v>
      </c>
      <c r="P493" s="239"/>
      <c r="Q493" s="239" t="s">
        <v>18</v>
      </c>
      <c r="R493" s="256" t="s">
        <v>595</v>
      </c>
      <c r="S493" s="256"/>
      <c r="T493" s="256"/>
      <c r="U493" s="256"/>
      <c r="V493" s="239"/>
      <c r="W493" s="239"/>
      <c r="X493" s="239"/>
      <c r="Y493" s="239"/>
      <c r="Z493" s="239"/>
      <c r="AA493" s="239"/>
      <c r="AB493" s="239"/>
      <c r="AC493" s="239"/>
    </row>
    <row r="494" spans="1:29" ht="15.75" customHeight="1">
      <c r="A494" s="248">
        <v>44789</v>
      </c>
      <c r="B494" s="219" t="s">
        <v>5573</v>
      </c>
      <c r="C494" s="249">
        <v>3</v>
      </c>
      <c r="D494" s="219" t="s">
        <v>5576</v>
      </c>
      <c r="E494" s="250" t="s">
        <v>4</v>
      </c>
      <c r="F494" s="219" t="s">
        <v>602</v>
      </c>
      <c r="G494" s="219" t="s">
        <v>5577</v>
      </c>
      <c r="H494" s="219">
        <v>3</v>
      </c>
      <c r="I494" s="219" t="s">
        <v>476</v>
      </c>
      <c r="J494" s="219" t="s">
        <v>13400</v>
      </c>
      <c r="K494" s="219">
        <v>3</v>
      </c>
      <c r="L494" s="219" t="s">
        <v>784</v>
      </c>
      <c r="M494" s="219">
        <v>512000</v>
      </c>
      <c r="N494" s="219" t="s">
        <v>452</v>
      </c>
      <c r="O494" s="219" t="s">
        <v>5579</v>
      </c>
      <c r="P494" s="219"/>
      <c r="Q494" s="219" t="s">
        <v>24</v>
      </c>
      <c r="R494" s="219"/>
      <c r="S494" s="219" t="str">
        <f>IFERROR(VLOOKUP(B494,'2022-2023 Third Reviews'!$C:$S,9,FALSE),"")</f>
        <v/>
      </c>
      <c r="T494" s="219" t="s">
        <v>13264</v>
      </c>
      <c r="U494" s="219"/>
      <c r="V494" s="239"/>
      <c r="W494" s="239"/>
      <c r="X494" s="239"/>
      <c r="Y494" s="239"/>
      <c r="Z494" s="239"/>
      <c r="AA494" s="239"/>
      <c r="AB494" s="239"/>
      <c r="AC494" s="239"/>
    </row>
    <row r="495" spans="1:29" ht="15.75" hidden="1" customHeight="1">
      <c r="A495" s="301">
        <v>44789</v>
      </c>
      <c r="B495" s="303" t="s">
        <v>332</v>
      </c>
      <c r="C495" s="269"/>
      <c r="D495" s="303" t="s">
        <v>9695</v>
      </c>
      <c r="E495" s="270" t="s">
        <v>3</v>
      </c>
      <c r="F495" s="303" t="s">
        <v>725</v>
      </c>
      <c r="G495" s="303"/>
      <c r="H495" s="303"/>
      <c r="I495" s="303" t="s">
        <v>488</v>
      </c>
      <c r="J495" s="303"/>
      <c r="K495" s="303">
        <v>4</v>
      </c>
      <c r="L495" s="303"/>
      <c r="M495" s="303"/>
      <c r="N495" s="303" t="s">
        <v>452</v>
      </c>
      <c r="O495" s="303" t="s">
        <v>9697</v>
      </c>
      <c r="P495" s="303" t="s">
        <v>9698</v>
      </c>
      <c r="Q495" s="303"/>
      <c r="R495" s="305"/>
      <c r="S495" s="305"/>
      <c r="T495" s="305"/>
      <c r="U495" s="305"/>
      <c r="V495" s="303"/>
      <c r="W495" s="303"/>
      <c r="X495" s="303"/>
      <c r="Y495" s="303"/>
      <c r="Z495" s="303"/>
      <c r="AA495" s="306"/>
      <c r="AB495" s="306"/>
      <c r="AC495" s="306"/>
    </row>
    <row r="496" spans="1:29" ht="15.75" hidden="1" customHeight="1">
      <c r="A496" s="248">
        <v>44791</v>
      </c>
      <c r="B496" s="219" t="s">
        <v>332</v>
      </c>
      <c r="C496" s="315">
        <v>4</v>
      </c>
      <c r="D496" s="219" t="s">
        <v>9695</v>
      </c>
      <c r="E496" s="219" t="s">
        <v>3</v>
      </c>
      <c r="F496" s="219" t="s">
        <v>725</v>
      </c>
      <c r="G496" s="219" t="s">
        <v>10528</v>
      </c>
      <c r="H496" s="219">
        <v>4</v>
      </c>
      <c r="I496" s="219" t="s">
        <v>488</v>
      </c>
      <c r="J496" s="219"/>
      <c r="K496" s="219">
        <v>4</v>
      </c>
      <c r="L496" s="219"/>
      <c r="M496" s="219"/>
      <c r="N496" s="219" t="s">
        <v>452</v>
      </c>
      <c r="O496" s="219" t="s">
        <v>9697</v>
      </c>
      <c r="P496" s="219" t="s">
        <v>9698</v>
      </c>
      <c r="Q496" s="219" t="s">
        <v>18</v>
      </c>
      <c r="R496" s="251"/>
      <c r="S496" s="251"/>
      <c r="T496" s="251"/>
      <c r="U496" s="251"/>
      <c r="V496" s="219"/>
      <c r="W496" s="219"/>
      <c r="X496" s="219"/>
      <c r="Y496" s="219"/>
      <c r="Z496" s="219"/>
      <c r="AA496" s="219"/>
      <c r="AB496" s="219"/>
      <c r="AC496" s="219"/>
    </row>
    <row r="497" spans="1:29" ht="15.75" hidden="1" customHeight="1">
      <c r="A497" s="253">
        <v>44789</v>
      </c>
      <c r="B497" s="224" t="s">
        <v>2587</v>
      </c>
      <c r="C497" s="249">
        <v>3.25</v>
      </c>
      <c r="D497" s="224" t="s">
        <v>2590</v>
      </c>
      <c r="E497" s="250" t="s">
        <v>5</v>
      </c>
      <c r="F497" s="224" t="s">
        <v>447</v>
      </c>
      <c r="G497" s="224" t="s">
        <v>10834</v>
      </c>
      <c r="H497" s="224">
        <v>3.5</v>
      </c>
      <c r="I497" s="224" t="s">
        <v>449</v>
      </c>
      <c r="J497" s="224" t="e">
        <f>+Credible Team
+Novel technology
-Might be to early for EFL</f>
        <v>#NAME?</v>
      </c>
      <c r="K497" s="224">
        <v>3</v>
      </c>
      <c r="L497" s="224" t="s">
        <v>2152</v>
      </c>
      <c r="M497" s="224" t="s">
        <v>2593</v>
      </c>
      <c r="N497" s="224" t="s">
        <v>452</v>
      </c>
      <c r="O497" s="224" t="s">
        <v>2594</v>
      </c>
      <c r="P497" s="224"/>
      <c r="Q497" s="224" t="s">
        <v>24</v>
      </c>
      <c r="R497" s="254"/>
      <c r="S497" s="254"/>
      <c r="T497" s="254"/>
      <c r="U497" s="254"/>
      <c r="V497" s="252"/>
      <c r="W497" s="252"/>
      <c r="X497" s="252"/>
      <c r="Y497" s="224"/>
      <c r="Z497" s="224"/>
      <c r="AA497" s="224"/>
      <c r="AB497" s="224"/>
      <c r="AC497" s="224"/>
    </row>
    <row r="498" spans="1:29" ht="15.75" customHeight="1">
      <c r="A498" s="248">
        <v>44796</v>
      </c>
      <c r="B498" s="219" t="s">
        <v>5582</v>
      </c>
      <c r="C498" s="315">
        <v>3</v>
      </c>
      <c r="D498" s="219" t="s">
        <v>5585</v>
      </c>
      <c r="E498" s="219" t="s">
        <v>4</v>
      </c>
      <c r="F498" s="219" t="s">
        <v>725</v>
      </c>
      <c r="G498" s="219" t="s">
        <v>11022</v>
      </c>
      <c r="H498" s="219">
        <v>4</v>
      </c>
      <c r="I498" s="219" t="s">
        <v>1237</v>
      </c>
      <c r="J498" s="219"/>
      <c r="K498" s="219">
        <v>2</v>
      </c>
      <c r="L498" s="219" t="s">
        <v>451</v>
      </c>
      <c r="M498" s="219">
        <v>3000000</v>
      </c>
      <c r="N498" s="219" t="s">
        <v>452</v>
      </c>
      <c r="O498" s="219" t="s">
        <v>5587</v>
      </c>
      <c r="P498" s="219"/>
      <c r="Q498" s="219" t="s">
        <v>24</v>
      </c>
      <c r="R498" s="219"/>
      <c r="S498" s="219" t="str">
        <f>IFERROR(VLOOKUP(B498,'2022-2023 Third Reviews'!$C:$S,9,FALSE),"")</f>
        <v/>
      </c>
      <c r="T498" s="219"/>
      <c r="U498" s="219"/>
      <c r="V498" s="268"/>
      <c r="W498" s="268"/>
      <c r="X498" s="268"/>
      <c r="Y498" s="268"/>
      <c r="Z498" s="268"/>
      <c r="AA498" s="219"/>
      <c r="AB498" s="219"/>
      <c r="AC498" s="219"/>
    </row>
    <row r="499" spans="1:29" ht="15.75" hidden="1" customHeight="1">
      <c r="A499" s="253">
        <v>44789</v>
      </c>
      <c r="B499" s="224" t="s">
        <v>2597</v>
      </c>
      <c r="C499" s="249">
        <v>2.75</v>
      </c>
      <c r="D499" s="224" t="s">
        <v>2600</v>
      </c>
      <c r="E499" s="250" t="s">
        <v>5</v>
      </c>
      <c r="F499" s="224" t="s">
        <v>447</v>
      </c>
      <c r="G499" s="224" t="s">
        <v>11167</v>
      </c>
      <c r="H499" s="224">
        <v>3</v>
      </c>
      <c r="I499" s="224" t="s">
        <v>543</v>
      </c>
      <c r="J499" s="224" t="s">
        <v>13400</v>
      </c>
      <c r="K499" s="224">
        <v>2.5</v>
      </c>
      <c r="L499" s="224" t="s">
        <v>2603</v>
      </c>
      <c r="M499" s="224" t="s">
        <v>2604</v>
      </c>
      <c r="N499" s="224" t="s">
        <v>452</v>
      </c>
      <c r="O499" s="224" t="s">
        <v>1119</v>
      </c>
      <c r="P499" s="224"/>
      <c r="Q499" s="224" t="s">
        <v>24</v>
      </c>
      <c r="R499" s="254"/>
      <c r="S499" s="254"/>
      <c r="T499" s="254"/>
      <c r="U499" s="254"/>
      <c r="V499" s="252"/>
      <c r="W499" s="252"/>
      <c r="X499" s="252"/>
      <c r="Y499" s="224"/>
      <c r="Z499" s="224"/>
      <c r="AA499" s="224"/>
      <c r="AB499" s="224"/>
      <c r="AC499" s="224"/>
    </row>
    <row r="500" spans="1:29" ht="15.75" hidden="1" customHeight="1">
      <c r="A500" s="248">
        <v>44796</v>
      </c>
      <c r="B500" s="219" t="s">
        <v>2607</v>
      </c>
      <c r="C500" s="315">
        <v>3</v>
      </c>
      <c r="D500" s="219" t="s">
        <v>2610</v>
      </c>
      <c r="E500" s="219" t="s">
        <v>5</v>
      </c>
      <c r="F500" s="219" t="s">
        <v>447</v>
      </c>
      <c r="G500" s="219" t="s">
        <v>10971</v>
      </c>
      <c r="H500" s="219">
        <v>3</v>
      </c>
      <c r="I500" s="219" t="s">
        <v>449</v>
      </c>
      <c r="J500" s="219" t="s">
        <v>10972</v>
      </c>
      <c r="K500" s="219">
        <v>3</v>
      </c>
      <c r="L500" s="219" t="s">
        <v>451</v>
      </c>
      <c r="M500" s="219">
        <v>1500000</v>
      </c>
      <c r="N500" s="219" t="s">
        <v>452</v>
      </c>
      <c r="O500" s="219" t="s">
        <v>10973</v>
      </c>
      <c r="P500" s="219"/>
      <c r="Q500" s="219" t="s">
        <v>24</v>
      </c>
      <c r="R500" s="251"/>
      <c r="S500" s="251"/>
      <c r="T500" s="251"/>
      <c r="U500" s="251"/>
      <c r="V500" s="219"/>
      <c r="W500" s="219"/>
      <c r="X500" s="219"/>
      <c r="Y500" s="219"/>
      <c r="Z500" s="219"/>
      <c r="AA500" s="219"/>
      <c r="AB500" s="219"/>
      <c r="AC500" s="219"/>
    </row>
    <row r="501" spans="1:29" ht="15.75" hidden="1" customHeight="1">
      <c r="A501" s="301">
        <v>44789</v>
      </c>
      <c r="B501" s="303" t="s">
        <v>5911</v>
      </c>
      <c r="C501" s="269"/>
      <c r="D501" s="303" t="s">
        <v>5914</v>
      </c>
      <c r="E501" s="270" t="s">
        <v>5</v>
      </c>
      <c r="F501" s="303" t="s">
        <v>725</v>
      </c>
      <c r="G501" s="303"/>
      <c r="H501" s="303"/>
      <c r="I501" s="303" t="s">
        <v>543</v>
      </c>
      <c r="J501" s="303"/>
      <c r="K501" s="303"/>
      <c r="L501" s="303"/>
      <c r="M501" s="303"/>
      <c r="N501" s="303" t="s">
        <v>452</v>
      </c>
      <c r="O501" s="303" t="s">
        <v>452</v>
      </c>
      <c r="P501" s="303"/>
      <c r="Q501" s="303"/>
      <c r="R501" s="305"/>
      <c r="S501" s="305"/>
      <c r="T501" s="305"/>
      <c r="U501" s="305"/>
      <c r="V501" s="303"/>
      <c r="W501" s="303"/>
      <c r="X501" s="303"/>
      <c r="Y501" s="303"/>
      <c r="Z501" s="303"/>
      <c r="AA501" s="306"/>
      <c r="AB501" s="306"/>
      <c r="AC501" s="306"/>
    </row>
    <row r="502" spans="1:29" ht="15.75" customHeight="1">
      <c r="A502" s="248">
        <v>44796</v>
      </c>
      <c r="B502" s="219" t="s">
        <v>5590</v>
      </c>
      <c r="C502" s="315">
        <v>3</v>
      </c>
      <c r="D502" s="219" t="s">
        <v>5593</v>
      </c>
      <c r="E502" s="219" t="s">
        <v>4</v>
      </c>
      <c r="F502" s="219" t="s">
        <v>725</v>
      </c>
      <c r="G502" s="219" t="s">
        <v>5594</v>
      </c>
      <c r="H502" s="219">
        <v>2</v>
      </c>
      <c r="I502" s="219" t="s">
        <v>1281</v>
      </c>
      <c r="J502" s="219" t="s">
        <v>5595</v>
      </c>
      <c r="K502" s="219">
        <v>4</v>
      </c>
      <c r="L502" s="219" t="s">
        <v>5596</v>
      </c>
      <c r="M502" s="219" t="s">
        <v>5597</v>
      </c>
      <c r="N502" s="219" t="s">
        <v>452</v>
      </c>
      <c r="O502" s="219" t="s">
        <v>452</v>
      </c>
      <c r="P502" s="219" t="s">
        <v>725</v>
      </c>
      <c r="Q502" s="219" t="s">
        <v>24</v>
      </c>
      <c r="R502" s="219"/>
      <c r="S502" s="219" t="str">
        <f>IFERROR(VLOOKUP(B502,'2022-2023 Third Reviews'!$C:$S,9,FALSE),"")</f>
        <v/>
      </c>
      <c r="T502" s="219"/>
      <c r="U502" s="219"/>
      <c r="V502" s="219"/>
      <c r="W502" s="219"/>
      <c r="X502" s="219"/>
      <c r="Y502" s="219"/>
      <c r="Z502" s="219"/>
      <c r="AA502" s="219"/>
      <c r="AB502" s="219"/>
      <c r="AC502" s="219"/>
    </row>
    <row r="503" spans="1:29" ht="15.75" hidden="1" customHeight="1">
      <c r="A503" s="255">
        <v>44791</v>
      </c>
      <c r="B503" s="239" t="s">
        <v>84</v>
      </c>
      <c r="C503" s="262">
        <v>4.5</v>
      </c>
      <c r="D503" s="239" t="s">
        <v>11103</v>
      </c>
      <c r="E503" s="239" t="s">
        <v>5</v>
      </c>
      <c r="F503" s="239" t="s">
        <v>602</v>
      </c>
      <c r="G503" s="239" t="s">
        <v>603</v>
      </c>
      <c r="H503" s="239">
        <v>4</v>
      </c>
      <c r="I503" s="239" t="s">
        <v>604</v>
      </c>
      <c r="J503" s="239" t="s">
        <v>11104</v>
      </c>
      <c r="K503" s="239">
        <v>5</v>
      </c>
      <c r="L503" s="239"/>
      <c r="M503" s="239"/>
      <c r="N503" s="239" t="s">
        <v>465</v>
      </c>
      <c r="O503" s="239" t="s">
        <v>452</v>
      </c>
      <c r="P503" s="239"/>
      <c r="Q503" s="239" t="s">
        <v>18</v>
      </c>
      <c r="R503" s="256" t="s">
        <v>11645</v>
      </c>
      <c r="S503" s="256"/>
      <c r="T503" s="256"/>
      <c r="U503" s="256"/>
      <c r="V503" s="239"/>
      <c r="W503" s="239"/>
      <c r="X503" s="239"/>
      <c r="Y503" s="239"/>
      <c r="Z503" s="239"/>
      <c r="AA503" s="239"/>
      <c r="AB503" s="239"/>
      <c r="AC503" s="239"/>
    </row>
    <row r="504" spans="1:29" ht="15.75" hidden="1" customHeight="1">
      <c r="A504" s="255">
        <v>44789</v>
      </c>
      <c r="B504" s="239" t="s">
        <v>86</v>
      </c>
      <c r="C504" s="262">
        <v>4</v>
      </c>
      <c r="D504" s="239" t="s">
        <v>611</v>
      </c>
      <c r="E504" s="239" t="s">
        <v>5</v>
      </c>
      <c r="F504" s="239" t="s">
        <v>460</v>
      </c>
      <c r="G504" s="239" t="s">
        <v>612</v>
      </c>
      <c r="H504" s="239">
        <v>4</v>
      </c>
      <c r="I504" s="239" t="s">
        <v>462</v>
      </c>
      <c r="J504" s="239" t="s">
        <v>613</v>
      </c>
      <c r="K504" s="239">
        <v>4</v>
      </c>
      <c r="L504" s="239" t="s">
        <v>478</v>
      </c>
      <c r="M504" s="239" t="s">
        <v>614</v>
      </c>
      <c r="N504" s="239" t="s">
        <v>452</v>
      </c>
      <c r="O504" s="239" t="s">
        <v>452</v>
      </c>
      <c r="P504" s="239"/>
      <c r="Q504" s="239" t="s">
        <v>20</v>
      </c>
      <c r="R504" s="256" t="s">
        <v>11619</v>
      </c>
      <c r="S504" s="256"/>
      <c r="T504" s="256"/>
      <c r="U504" s="256"/>
      <c r="V504" s="239"/>
      <c r="W504" s="239"/>
      <c r="X504" s="239"/>
      <c r="Y504" s="239"/>
      <c r="Z504" s="239"/>
      <c r="AA504" s="239"/>
      <c r="AB504" s="239"/>
      <c r="AC504" s="239"/>
    </row>
    <row r="505" spans="1:29" ht="15.75" customHeight="1">
      <c r="A505" s="253">
        <v>44797</v>
      </c>
      <c r="B505" s="224" t="s">
        <v>5600</v>
      </c>
      <c r="C505" s="316">
        <v>3</v>
      </c>
      <c r="D505" s="224" t="s">
        <v>5603</v>
      </c>
      <c r="E505" s="224" t="s">
        <v>4</v>
      </c>
      <c r="F505" s="224" t="s">
        <v>1045</v>
      </c>
      <c r="G505" s="224" t="s">
        <v>5604</v>
      </c>
      <c r="H505" s="224">
        <v>3</v>
      </c>
      <c r="I505" s="224" t="s">
        <v>1281</v>
      </c>
      <c r="J505" s="224" t="s">
        <v>11170</v>
      </c>
      <c r="K505" s="224">
        <v>3</v>
      </c>
      <c r="L505" s="224"/>
      <c r="M505" s="224"/>
      <c r="N505" s="224" t="s">
        <v>454</v>
      </c>
      <c r="O505" s="224" t="s">
        <v>1119</v>
      </c>
      <c r="P505" s="224"/>
      <c r="Q505" s="224" t="s">
        <v>24</v>
      </c>
      <c r="R505" s="224"/>
      <c r="S505" s="224" t="str">
        <f>IFERROR(VLOOKUP(B505,'2022-2023 Third Reviews'!$C:$S,9,FALSE),"")</f>
        <v/>
      </c>
      <c r="T505" s="224"/>
      <c r="U505" s="224"/>
      <c r="V505" s="322"/>
      <c r="W505" s="322"/>
      <c r="X505" s="322"/>
      <c r="Y505" s="322"/>
      <c r="Z505" s="322"/>
      <c r="AA505" s="322"/>
      <c r="AB505" s="322"/>
      <c r="AC505" s="322"/>
    </row>
    <row r="506" spans="1:29" ht="15.75" customHeight="1">
      <c r="A506" s="212">
        <v>44776</v>
      </c>
      <c r="B506" s="213" t="s">
        <v>5607</v>
      </c>
      <c r="C506" s="214">
        <v>3</v>
      </c>
      <c r="D506" s="213" t="s">
        <v>5610</v>
      </c>
      <c r="E506" s="215" t="s">
        <v>4</v>
      </c>
      <c r="F506" s="213" t="s">
        <v>602</v>
      </c>
      <c r="G506" s="213" t="s">
        <v>11402</v>
      </c>
      <c r="H506" s="213">
        <v>3</v>
      </c>
      <c r="I506" s="213" t="s">
        <v>1054</v>
      </c>
      <c r="J506" s="213" t="s">
        <v>5612</v>
      </c>
      <c r="K506" s="213">
        <v>3</v>
      </c>
      <c r="L506" s="213"/>
      <c r="M506" s="213"/>
      <c r="N506" s="213" t="s">
        <v>454</v>
      </c>
      <c r="O506" s="213" t="s">
        <v>5613</v>
      </c>
      <c r="P506" s="143"/>
      <c r="Q506" s="213" t="s">
        <v>24</v>
      </c>
      <c r="R506" s="213">
        <f t="array" ref="R506">INDEX(Notes!C:C,MATCH($B506,Notes!$A:$A,0))</f>
        <v>0</v>
      </c>
      <c r="S506" s="213" t="str">
        <f>IFERROR(VLOOKUP(B506,'2022-2023 Third Reviews'!$C:$S,9,FALSE),"")</f>
        <v/>
      </c>
      <c r="T506" s="213"/>
      <c r="U506" s="213"/>
      <c r="V506" s="219"/>
      <c r="W506" s="219"/>
      <c r="X506" s="219"/>
      <c r="Y506" s="219"/>
      <c r="Z506" s="219"/>
      <c r="AA506" s="219"/>
      <c r="AB506" s="219"/>
      <c r="AC506" s="219"/>
    </row>
    <row r="507" spans="1:29" ht="15.75" customHeight="1">
      <c r="A507" s="253">
        <v>44782</v>
      </c>
      <c r="B507" s="224" t="s">
        <v>5616</v>
      </c>
      <c r="C507" s="249">
        <v>3</v>
      </c>
      <c r="D507" s="224" t="s">
        <v>5619</v>
      </c>
      <c r="E507" s="250" t="s">
        <v>4</v>
      </c>
      <c r="F507" s="224" t="s">
        <v>602</v>
      </c>
      <c r="G507" s="224" t="s">
        <v>5620</v>
      </c>
      <c r="H507" s="224">
        <v>3</v>
      </c>
      <c r="I507" s="224" t="s">
        <v>1054</v>
      </c>
      <c r="J507" s="224" t="s">
        <v>5621</v>
      </c>
      <c r="K507" s="224">
        <v>3</v>
      </c>
      <c r="L507" s="224" t="s">
        <v>784</v>
      </c>
      <c r="M507" s="224">
        <v>1500000</v>
      </c>
      <c r="N507" s="224" t="s">
        <v>465</v>
      </c>
      <c r="O507" s="224" t="s">
        <v>5622</v>
      </c>
      <c r="P507" s="224" t="s">
        <v>5623</v>
      </c>
      <c r="Q507" s="224" t="s">
        <v>24</v>
      </c>
      <c r="R507" s="224"/>
      <c r="S507" s="224" t="str">
        <f>IFERROR(VLOOKUP(B507,'2022-2023 Third Reviews'!$C:$S,9,FALSE),"")</f>
        <v/>
      </c>
      <c r="T507" s="224"/>
      <c r="U507" s="224"/>
      <c r="V507" s="252"/>
      <c r="W507" s="252"/>
      <c r="X507" s="252"/>
      <c r="Y507" s="224"/>
      <c r="Z507" s="224"/>
      <c r="AA507" s="224"/>
      <c r="AB507" s="224"/>
      <c r="AC507" s="224"/>
    </row>
    <row r="508" spans="1:29" ht="15.75" customHeight="1">
      <c r="A508" s="248">
        <v>44796</v>
      </c>
      <c r="B508" s="219" t="s">
        <v>5625</v>
      </c>
      <c r="C508" s="315">
        <v>3</v>
      </c>
      <c r="D508" s="219" t="s">
        <v>5628</v>
      </c>
      <c r="E508" s="219" t="s">
        <v>4</v>
      </c>
      <c r="F508" s="219" t="s">
        <v>602</v>
      </c>
      <c r="G508" s="219" t="s">
        <v>5629</v>
      </c>
      <c r="H508" s="219">
        <v>2</v>
      </c>
      <c r="I508" s="219" t="s">
        <v>1281</v>
      </c>
      <c r="J508" s="219" t="s">
        <v>5630</v>
      </c>
      <c r="K508" s="219">
        <v>4</v>
      </c>
      <c r="L508" s="219" t="s">
        <v>784</v>
      </c>
      <c r="M508" s="219" t="s">
        <v>5631</v>
      </c>
      <c r="N508" s="219" t="s">
        <v>452</v>
      </c>
      <c r="O508" s="219" t="s">
        <v>5632</v>
      </c>
      <c r="P508" s="219"/>
      <c r="Q508" s="219" t="s">
        <v>24</v>
      </c>
      <c r="R508" s="219"/>
      <c r="S508" s="219" t="str">
        <f>IFERROR(VLOOKUP(B508,'2022-2023 Third Reviews'!$C:$S,9,FALSE),"")</f>
        <v/>
      </c>
      <c r="T508" s="219"/>
      <c r="U508" s="219"/>
      <c r="V508" s="219"/>
      <c r="W508" s="219"/>
      <c r="X508" s="219"/>
      <c r="Y508" s="219"/>
      <c r="Z508" s="219"/>
      <c r="AA508" s="219"/>
      <c r="AB508" s="219"/>
      <c r="AC508" s="219"/>
    </row>
    <row r="509" spans="1:29" ht="15.75" hidden="1" customHeight="1">
      <c r="A509" s="257">
        <v>44796</v>
      </c>
      <c r="B509" s="258" t="s">
        <v>9701</v>
      </c>
      <c r="C509" s="263">
        <v>4</v>
      </c>
      <c r="D509" s="258" t="s">
        <v>9704</v>
      </c>
      <c r="E509" s="258" t="s">
        <v>3</v>
      </c>
      <c r="F509" s="258" t="s">
        <v>725</v>
      </c>
      <c r="G509" s="258" t="s">
        <v>10837</v>
      </c>
      <c r="H509" s="258">
        <v>4.5</v>
      </c>
      <c r="I509" s="258" t="s">
        <v>462</v>
      </c>
      <c r="J509" s="258" t="s">
        <v>9706</v>
      </c>
      <c r="K509" s="258">
        <v>3.5</v>
      </c>
      <c r="L509" s="258" t="s">
        <v>451</v>
      </c>
      <c r="M509" s="328">
        <v>3000000</v>
      </c>
      <c r="N509" s="258" t="s">
        <v>454</v>
      </c>
      <c r="O509" s="258" t="s">
        <v>9707</v>
      </c>
      <c r="P509" s="258" t="s">
        <v>9708</v>
      </c>
      <c r="Q509" s="258" t="s">
        <v>23</v>
      </c>
      <c r="R509" s="259" t="s">
        <v>10838</v>
      </c>
      <c r="S509" s="259"/>
      <c r="T509" s="259"/>
      <c r="U509" s="259"/>
      <c r="V509" s="258"/>
      <c r="W509" s="258"/>
      <c r="X509" s="258"/>
      <c r="Y509" s="258"/>
      <c r="Z509" s="258"/>
      <c r="AA509" s="258"/>
      <c r="AB509" s="258"/>
      <c r="AC509" s="258"/>
    </row>
    <row r="510" spans="1:29" ht="15.75" customHeight="1">
      <c r="A510" s="248">
        <v>44797</v>
      </c>
      <c r="B510" s="219" t="s">
        <v>5635</v>
      </c>
      <c r="C510" s="315">
        <v>3</v>
      </c>
      <c r="D510" s="219" t="s">
        <v>5638</v>
      </c>
      <c r="E510" s="219" t="s">
        <v>4</v>
      </c>
      <c r="F510" s="219" t="s">
        <v>727</v>
      </c>
      <c r="G510" s="219" t="s">
        <v>11287</v>
      </c>
      <c r="H510" s="219">
        <v>3</v>
      </c>
      <c r="I510" s="219" t="s">
        <v>1281</v>
      </c>
      <c r="J510" s="219" t="s">
        <v>5640</v>
      </c>
      <c r="K510" s="219">
        <v>3</v>
      </c>
      <c r="L510" s="219"/>
      <c r="M510" s="219"/>
      <c r="N510" s="219" t="s">
        <v>452</v>
      </c>
      <c r="O510" s="219" t="s">
        <v>452</v>
      </c>
      <c r="P510" s="219" t="s">
        <v>725</v>
      </c>
      <c r="Q510" s="219" t="s">
        <v>24</v>
      </c>
      <c r="R510" s="219"/>
      <c r="S510" s="219" t="str">
        <f>IFERROR(VLOOKUP(B510,'2022-2023 Third Reviews'!$C:$S,9,FALSE),"")</f>
        <v/>
      </c>
      <c r="T510" s="219"/>
      <c r="U510" s="219"/>
      <c r="V510" s="252"/>
      <c r="W510" s="252"/>
      <c r="X510" s="252"/>
      <c r="Y510" s="219"/>
      <c r="Z510" s="219"/>
      <c r="AA510" s="219"/>
      <c r="AB510" s="219"/>
      <c r="AC510" s="219"/>
    </row>
    <row r="511" spans="1:29" ht="15.75" customHeight="1">
      <c r="A511" s="253">
        <v>44797</v>
      </c>
      <c r="B511" s="224" t="s">
        <v>5643</v>
      </c>
      <c r="C511" s="316">
        <v>3</v>
      </c>
      <c r="D511" s="224" t="s">
        <v>5646</v>
      </c>
      <c r="E511" s="224" t="s">
        <v>4</v>
      </c>
      <c r="F511" s="224" t="s">
        <v>447</v>
      </c>
      <c r="G511" s="224" t="s">
        <v>10297</v>
      </c>
      <c r="H511" s="224">
        <v>3</v>
      </c>
      <c r="I511" s="224" t="s">
        <v>1281</v>
      </c>
      <c r="J511" s="224" t="s">
        <v>5648</v>
      </c>
      <c r="K511" s="224">
        <v>3</v>
      </c>
      <c r="L511" s="224"/>
      <c r="M511" s="224"/>
      <c r="N511" s="224" t="s">
        <v>452</v>
      </c>
      <c r="O511" s="224" t="s">
        <v>5649</v>
      </c>
      <c r="P511" s="224"/>
      <c r="Q511" s="224" t="s">
        <v>24</v>
      </c>
      <c r="R511" s="224"/>
      <c r="S511" s="224" t="str">
        <f>IFERROR(VLOOKUP(B511,'2022-2023 Third Reviews'!$C:$S,9,FALSE),"")</f>
        <v/>
      </c>
      <c r="T511" s="224"/>
      <c r="U511" s="224"/>
      <c r="V511" s="224"/>
      <c r="W511" s="224"/>
      <c r="X511" s="224"/>
      <c r="Y511" s="224"/>
      <c r="Z511" s="224"/>
      <c r="AA511" s="224"/>
      <c r="AB511" s="224"/>
      <c r="AC511" s="224"/>
    </row>
    <row r="512" spans="1:29" ht="15.75" hidden="1" customHeight="1">
      <c r="A512" s="248">
        <v>44789</v>
      </c>
      <c r="B512" s="219" t="s">
        <v>10723</v>
      </c>
      <c r="C512" s="249">
        <v>2</v>
      </c>
      <c r="D512" s="219" t="s">
        <v>2619</v>
      </c>
      <c r="E512" s="250" t="s">
        <v>5</v>
      </c>
      <c r="F512" s="219" t="s">
        <v>447</v>
      </c>
      <c r="G512" s="219" t="s">
        <v>10724</v>
      </c>
      <c r="H512" s="219">
        <v>2</v>
      </c>
      <c r="I512" s="219" t="s">
        <v>449</v>
      </c>
      <c r="J512" s="219" t="e">
        <f>+passionate Team
-Tech not very Novel
-Might be Too early</f>
        <v>#NAME?</v>
      </c>
      <c r="K512" s="219">
        <v>2</v>
      </c>
      <c r="L512" s="219"/>
      <c r="M512" s="310"/>
      <c r="N512" s="219" t="s">
        <v>452</v>
      </c>
      <c r="O512" s="219" t="s">
        <v>10726</v>
      </c>
      <c r="P512" s="219" t="s">
        <v>2623</v>
      </c>
      <c r="Q512" s="219" t="s">
        <v>24</v>
      </c>
      <c r="R512" s="251"/>
      <c r="S512" s="251"/>
      <c r="T512" s="251"/>
      <c r="U512" s="251"/>
      <c r="V512" s="252"/>
      <c r="W512" s="252"/>
      <c r="X512" s="252"/>
      <c r="Y512" s="219"/>
      <c r="Z512" s="219"/>
      <c r="AA512" s="219"/>
      <c r="AB512" s="219"/>
      <c r="AC512" s="219"/>
    </row>
    <row r="513" spans="1:29" ht="15.75" customHeight="1">
      <c r="A513" s="253">
        <v>44796</v>
      </c>
      <c r="B513" s="224" t="s">
        <v>5652</v>
      </c>
      <c r="C513" s="316">
        <v>3</v>
      </c>
      <c r="D513" s="224" t="s">
        <v>5655</v>
      </c>
      <c r="E513" s="224" t="s">
        <v>4</v>
      </c>
      <c r="F513" s="224" t="s">
        <v>1045</v>
      </c>
      <c r="G513" s="224" t="s">
        <v>5656</v>
      </c>
      <c r="H513" s="224">
        <v>3</v>
      </c>
      <c r="I513" s="224" t="s">
        <v>1281</v>
      </c>
      <c r="J513" s="224" t="s">
        <v>5657</v>
      </c>
      <c r="K513" s="224">
        <v>3</v>
      </c>
      <c r="L513" s="224" t="s">
        <v>923</v>
      </c>
      <c r="M513" s="224" t="s">
        <v>5658</v>
      </c>
      <c r="N513" s="224" t="s">
        <v>465</v>
      </c>
      <c r="O513" s="224" t="s">
        <v>452</v>
      </c>
      <c r="P513" s="224"/>
      <c r="Q513" s="224" t="s">
        <v>24</v>
      </c>
      <c r="R513" s="224"/>
      <c r="S513" s="224" t="str">
        <f>IFERROR(VLOOKUP(B513,'2022-2023 Third Reviews'!$C:$S,9,FALSE),"")</f>
        <v/>
      </c>
      <c r="T513" s="224"/>
      <c r="U513" s="224"/>
      <c r="V513" s="258"/>
      <c r="W513" s="258"/>
      <c r="X513" s="258"/>
      <c r="Y513" s="258"/>
      <c r="Z513" s="258"/>
      <c r="AA513" s="258"/>
      <c r="AB513" s="258"/>
      <c r="AC513" s="258"/>
    </row>
    <row r="514" spans="1:29" ht="15.75" customHeight="1">
      <c r="A514" s="212">
        <v>44776</v>
      </c>
      <c r="B514" s="213" t="s">
        <v>5661</v>
      </c>
      <c r="C514" s="214">
        <v>3</v>
      </c>
      <c r="D514" s="213" t="s">
        <v>5664</v>
      </c>
      <c r="E514" s="215" t="s">
        <v>4</v>
      </c>
      <c r="F514" s="213" t="s">
        <v>727</v>
      </c>
      <c r="G514" s="213" t="s">
        <v>5665</v>
      </c>
      <c r="H514" s="213">
        <v>3</v>
      </c>
      <c r="I514" s="213" t="s">
        <v>1054</v>
      </c>
      <c r="J514" s="213"/>
      <c r="K514" s="213">
        <v>3</v>
      </c>
      <c r="L514" s="213" t="s">
        <v>451</v>
      </c>
      <c r="M514" s="213">
        <v>2400000</v>
      </c>
      <c r="N514" s="213" t="s">
        <v>452</v>
      </c>
      <c r="O514" s="213" t="s">
        <v>5666</v>
      </c>
      <c r="P514" s="143"/>
      <c r="Q514" s="213" t="s">
        <v>24</v>
      </c>
      <c r="R514" s="213">
        <f t="array" ref="R514">INDEX(Notes!C:C,MATCH($B514,Notes!$A:$A,0))</f>
        <v>0</v>
      </c>
      <c r="S514" s="213" t="str">
        <f>IFERROR(VLOOKUP(B514,'2022-2023 Third Reviews'!$C:$S,9,FALSE),"")</f>
        <v/>
      </c>
      <c r="T514" s="213"/>
      <c r="U514" s="213"/>
      <c r="V514" s="303"/>
      <c r="W514" s="303"/>
      <c r="X514" s="303"/>
      <c r="Y514" s="303"/>
      <c r="Z514" s="303"/>
      <c r="AA514" s="306"/>
      <c r="AB514" s="306"/>
      <c r="AC514" s="306"/>
    </row>
    <row r="515" spans="1:29" ht="15.75" hidden="1" customHeight="1">
      <c r="A515" s="541">
        <v>44796</v>
      </c>
      <c r="B515" s="306" t="s">
        <v>2626</v>
      </c>
      <c r="C515" s="542"/>
      <c r="D515" s="306" t="s">
        <v>2629</v>
      </c>
      <c r="E515" s="306" t="s">
        <v>5</v>
      </c>
      <c r="F515" s="306" t="s">
        <v>447</v>
      </c>
      <c r="G515" s="306" t="s">
        <v>11016</v>
      </c>
      <c r="H515" s="306">
        <v>3</v>
      </c>
      <c r="I515" s="306" t="s">
        <v>622</v>
      </c>
      <c r="J515" s="306"/>
      <c r="K515" s="306"/>
      <c r="L515" s="306" t="s">
        <v>784</v>
      </c>
      <c r="M515" s="544">
        <v>600000</v>
      </c>
      <c r="N515" s="306" t="s">
        <v>452</v>
      </c>
      <c r="O515" s="306" t="s">
        <v>2632</v>
      </c>
      <c r="P515" s="306"/>
      <c r="Q515" s="306"/>
      <c r="R515" s="543"/>
      <c r="S515" s="543"/>
      <c r="T515" s="543"/>
      <c r="U515" s="543"/>
      <c r="V515" s="224"/>
      <c r="W515" s="224"/>
      <c r="X515" s="224"/>
      <c r="Y515" s="224"/>
      <c r="Z515" s="224"/>
      <c r="AA515" s="224"/>
      <c r="AB515" s="224"/>
      <c r="AC515" s="224"/>
    </row>
    <row r="516" spans="1:29" ht="15.75" hidden="1" customHeight="1">
      <c r="A516" s="248">
        <v>44796</v>
      </c>
      <c r="B516" s="219" t="s">
        <v>2626</v>
      </c>
      <c r="C516" s="315">
        <v>2.75</v>
      </c>
      <c r="D516" s="219" t="s">
        <v>2629</v>
      </c>
      <c r="E516" s="219" t="s">
        <v>5</v>
      </c>
      <c r="F516" s="219" t="s">
        <v>447</v>
      </c>
      <c r="G516" s="219" t="s">
        <v>11016</v>
      </c>
      <c r="H516" s="219">
        <v>3</v>
      </c>
      <c r="I516" s="219" t="s">
        <v>622</v>
      </c>
      <c r="J516" s="219" t="s">
        <v>11017</v>
      </c>
      <c r="K516" s="219">
        <v>2.5</v>
      </c>
      <c r="L516" s="219" t="s">
        <v>784</v>
      </c>
      <c r="M516" s="310">
        <v>600000</v>
      </c>
      <c r="N516" s="219" t="s">
        <v>452</v>
      </c>
      <c r="O516" s="219" t="s">
        <v>2632</v>
      </c>
      <c r="P516" s="219"/>
      <c r="Q516" s="219" t="s">
        <v>24</v>
      </c>
      <c r="R516" s="251"/>
      <c r="S516" s="251"/>
      <c r="T516" s="251"/>
      <c r="U516" s="251"/>
      <c r="V516" s="219"/>
      <c r="W516" s="219"/>
      <c r="X516" s="219"/>
      <c r="Y516" s="219"/>
      <c r="Z516" s="219"/>
      <c r="AA516" s="219"/>
      <c r="AB516" s="219"/>
      <c r="AC516" s="219"/>
    </row>
    <row r="517" spans="1:29" ht="15.75" customHeight="1">
      <c r="A517" s="253">
        <v>44789</v>
      </c>
      <c r="B517" s="224" t="s">
        <v>5668</v>
      </c>
      <c r="C517" s="249">
        <v>3</v>
      </c>
      <c r="D517" s="224" t="s">
        <v>5671</v>
      </c>
      <c r="E517" s="250" t="s">
        <v>4</v>
      </c>
      <c r="F517" s="224" t="s">
        <v>727</v>
      </c>
      <c r="G517" s="224" t="s">
        <v>11444</v>
      </c>
      <c r="H517" s="224">
        <v>3</v>
      </c>
      <c r="I517" s="224" t="s">
        <v>1045</v>
      </c>
      <c r="J517" s="224" t="s">
        <v>5673</v>
      </c>
      <c r="K517" s="224">
        <v>3</v>
      </c>
      <c r="L517" s="224" t="s">
        <v>451</v>
      </c>
      <c r="M517" s="307">
        <v>750000</v>
      </c>
      <c r="N517" s="224" t="s">
        <v>452</v>
      </c>
      <c r="O517" s="224" t="s">
        <v>5674</v>
      </c>
      <c r="P517" s="224"/>
      <c r="Q517" s="224" t="s">
        <v>24</v>
      </c>
      <c r="R517" s="224"/>
      <c r="S517" s="224" t="str">
        <f>IFERROR(VLOOKUP(B517,'2022-2023 Third Reviews'!$C:$S,9,FALSE),"")</f>
        <v/>
      </c>
      <c r="T517" s="224"/>
      <c r="U517" s="224"/>
      <c r="V517" s="252"/>
      <c r="W517" s="252"/>
      <c r="X517" s="252"/>
      <c r="Y517" s="224"/>
      <c r="Z517" s="224"/>
      <c r="AA517" s="224"/>
      <c r="AB517" s="224"/>
      <c r="AC517" s="224"/>
    </row>
    <row r="518" spans="1:29" ht="15.75" customHeight="1">
      <c r="A518" s="255">
        <v>44789</v>
      </c>
      <c r="B518" s="239" t="s">
        <v>5677</v>
      </c>
      <c r="C518" s="262">
        <v>3</v>
      </c>
      <c r="D518" s="239" t="s">
        <v>5680</v>
      </c>
      <c r="E518" s="239" t="s">
        <v>4</v>
      </c>
      <c r="F518" s="239" t="s">
        <v>460</v>
      </c>
      <c r="G518" s="239" t="s">
        <v>5681</v>
      </c>
      <c r="H518" s="239">
        <v>3</v>
      </c>
      <c r="I518" s="239" t="s">
        <v>462</v>
      </c>
      <c r="J518" s="239" t="s">
        <v>5682</v>
      </c>
      <c r="K518" s="239">
        <v>3</v>
      </c>
      <c r="L518" s="239" t="s">
        <v>478</v>
      </c>
      <c r="M518" s="308">
        <v>1000000</v>
      </c>
      <c r="N518" s="239" t="s">
        <v>452</v>
      </c>
      <c r="O518" s="239" t="s">
        <v>452</v>
      </c>
      <c r="P518" s="239"/>
      <c r="Q518" s="239" t="s">
        <v>24</v>
      </c>
      <c r="R518" s="239" t="s">
        <v>11633</v>
      </c>
      <c r="S518" s="239" t="str">
        <f ca="1">IFERROR(VLOOKUP(B518,'2022-2023 Third Reviews'!$C:$S,9,FALSE),"")</f>
        <v>Nick Schmandt
2</v>
      </c>
      <c r="T518" s="239"/>
      <c r="U518" s="239"/>
      <c r="V518" s="258"/>
      <c r="W518" s="258"/>
      <c r="X518" s="258"/>
      <c r="Y518" s="258"/>
      <c r="Z518" s="258"/>
      <c r="AA518" s="258"/>
      <c r="AB518" s="258"/>
      <c r="AC518" s="258"/>
    </row>
    <row r="519" spans="1:29" ht="15.75" customHeight="1">
      <c r="A519" s="253">
        <v>44789</v>
      </c>
      <c r="B519" s="224" t="s">
        <v>5685</v>
      </c>
      <c r="C519" s="249">
        <v>3</v>
      </c>
      <c r="D519" s="224" t="s">
        <v>5688</v>
      </c>
      <c r="E519" s="250" t="s">
        <v>4</v>
      </c>
      <c r="F519" s="224" t="s">
        <v>727</v>
      </c>
      <c r="G519" s="224"/>
      <c r="H519" s="224">
        <v>3</v>
      </c>
      <c r="I519" s="224" t="s">
        <v>476</v>
      </c>
      <c r="J519" s="224" t="s">
        <v>13400</v>
      </c>
      <c r="K519" s="224">
        <v>3</v>
      </c>
      <c r="L519" s="224" t="s">
        <v>478</v>
      </c>
      <c r="M519" s="224">
        <v>1000000</v>
      </c>
      <c r="N519" s="224" t="s">
        <v>452</v>
      </c>
      <c r="O519" s="224" t="s">
        <v>452</v>
      </c>
      <c r="P519" s="224"/>
      <c r="Q519" s="224" t="s">
        <v>24</v>
      </c>
      <c r="R519" s="224"/>
      <c r="S519" s="224" t="str">
        <f ca="1">IFERROR(VLOOKUP(B519,'2022-2023 Third Reviews'!$C:$S,9,FALSE),"")</f>
        <v>John McDonald
4</v>
      </c>
      <c r="T519" s="224" t="s">
        <v>13052</v>
      </c>
      <c r="U519" s="224"/>
      <c r="V519" s="224"/>
      <c r="W519" s="224"/>
      <c r="X519" s="224"/>
      <c r="Y519" s="224"/>
      <c r="Z519" s="224"/>
      <c r="AA519" s="224"/>
      <c r="AB519" s="224"/>
      <c r="AC519" s="224"/>
    </row>
    <row r="520" spans="1:29" ht="15.75" customHeight="1">
      <c r="A520" s="248">
        <v>44797</v>
      </c>
      <c r="B520" s="219" t="s">
        <v>5692</v>
      </c>
      <c r="C520" s="315">
        <v>3</v>
      </c>
      <c r="D520" s="219" t="s">
        <v>5695</v>
      </c>
      <c r="E520" s="219" t="s">
        <v>4</v>
      </c>
      <c r="F520" s="219" t="s">
        <v>447</v>
      </c>
      <c r="G520" s="219" t="s">
        <v>11113</v>
      </c>
      <c r="H520" s="219">
        <v>3.5</v>
      </c>
      <c r="I520" s="219" t="s">
        <v>622</v>
      </c>
      <c r="J520" s="219" t="s">
        <v>11750</v>
      </c>
      <c r="K520" s="219">
        <v>2.5</v>
      </c>
      <c r="L520" s="219"/>
      <c r="M520" s="219"/>
      <c r="N520" s="219" t="s">
        <v>452</v>
      </c>
      <c r="O520" s="219" t="s">
        <v>11115</v>
      </c>
      <c r="P520" s="219"/>
      <c r="Q520" s="219" t="s">
        <v>24</v>
      </c>
      <c r="R520" s="219"/>
      <c r="S520" s="219" t="str">
        <f>IFERROR(VLOOKUP(B520,'2022-2023 Third Reviews'!$C:$S,9,FALSE),"")</f>
        <v/>
      </c>
      <c r="T520" s="219"/>
      <c r="U520" s="219"/>
      <c r="V520" s="219"/>
      <c r="W520" s="219"/>
      <c r="X520" s="219"/>
      <c r="Y520" s="219"/>
      <c r="Z520" s="219"/>
      <c r="AA520" s="219"/>
      <c r="AB520" s="219"/>
      <c r="AC520" s="219"/>
    </row>
    <row r="521" spans="1:29" ht="15.75" customHeight="1">
      <c r="A521" s="253">
        <v>44797</v>
      </c>
      <c r="B521" s="224" t="s">
        <v>5700</v>
      </c>
      <c r="C521" s="316">
        <v>3</v>
      </c>
      <c r="D521" s="224" t="s">
        <v>5703</v>
      </c>
      <c r="E521" s="224" t="s">
        <v>4</v>
      </c>
      <c r="F521" s="224" t="s">
        <v>447</v>
      </c>
      <c r="G521" s="224" t="s">
        <v>10936</v>
      </c>
      <c r="H521" s="224">
        <v>2.5</v>
      </c>
      <c r="I521" s="224" t="s">
        <v>1350</v>
      </c>
      <c r="J521" s="224" t="s">
        <v>5705</v>
      </c>
      <c r="K521" s="224">
        <v>3.5</v>
      </c>
      <c r="L521" s="224"/>
      <c r="M521" s="224"/>
      <c r="N521" s="224" t="s">
        <v>452</v>
      </c>
      <c r="O521" s="224" t="s">
        <v>10937</v>
      </c>
      <c r="P521" s="224"/>
      <c r="Q521" s="224" t="s">
        <v>24</v>
      </c>
      <c r="R521" s="224"/>
      <c r="S521" s="224" t="str">
        <f>IFERROR(VLOOKUP(B521,'2022-2023 Third Reviews'!$C:$S,9,FALSE),"")</f>
        <v/>
      </c>
      <c r="T521" s="224"/>
      <c r="U521" s="224"/>
      <c r="V521" s="224"/>
      <c r="W521" s="224"/>
      <c r="X521" s="224"/>
      <c r="Y521" s="224"/>
      <c r="Z521" s="224"/>
      <c r="AA521" s="224"/>
      <c r="AB521" s="224"/>
      <c r="AC521" s="224"/>
    </row>
    <row r="522" spans="1:29" ht="15.75" hidden="1" customHeight="1">
      <c r="A522" s="248">
        <v>44782</v>
      </c>
      <c r="B522" s="219" t="s">
        <v>311</v>
      </c>
      <c r="C522" s="249">
        <v>5</v>
      </c>
      <c r="D522" s="219" t="s">
        <v>1709</v>
      </c>
      <c r="E522" s="250" t="s">
        <v>3</v>
      </c>
      <c r="F522" s="219" t="s">
        <v>460</v>
      </c>
      <c r="G522" s="219" t="s">
        <v>1710</v>
      </c>
      <c r="H522" s="219">
        <v>5</v>
      </c>
      <c r="I522" s="219" t="s">
        <v>488</v>
      </c>
      <c r="J522" s="219" t="s">
        <v>11413</v>
      </c>
      <c r="K522" s="219">
        <v>5</v>
      </c>
      <c r="L522" s="219" t="s">
        <v>478</v>
      </c>
      <c r="M522" s="219">
        <v>30000000</v>
      </c>
      <c r="N522" s="219" t="s">
        <v>465</v>
      </c>
      <c r="O522" s="219" t="s">
        <v>452</v>
      </c>
      <c r="P522" s="219" t="s">
        <v>1713</v>
      </c>
      <c r="Q522" s="219" t="s">
        <v>18</v>
      </c>
      <c r="R522" s="251"/>
      <c r="S522" s="251"/>
      <c r="T522" s="251"/>
      <c r="U522" s="251"/>
      <c r="V522" s="252"/>
      <c r="W522" s="252"/>
      <c r="X522" s="252"/>
      <c r="Y522" s="219"/>
      <c r="Z522" s="219"/>
      <c r="AA522" s="219"/>
      <c r="AB522" s="219"/>
      <c r="AC522" s="219"/>
    </row>
    <row r="523" spans="1:29" ht="15.75" hidden="1" customHeight="1">
      <c r="A523" s="541">
        <v>44791</v>
      </c>
      <c r="B523" s="306" t="s">
        <v>8652</v>
      </c>
      <c r="C523" s="542"/>
      <c r="D523" s="306"/>
      <c r="E523" s="306" t="s">
        <v>3</v>
      </c>
      <c r="F523" s="306" t="s">
        <v>488</v>
      </c>
      <c r="G523" s="306"/>
      <c r="H523" s="306"/>
      <c r="I523" s="306" t="s">
        <v>462</v>
      </c>
      <c r="J523" s="306"/>
      <c r="K523" s="306"/>
      <c r="L523" s="306" t="s">
        <v>2190</v>
      </c>
      <c r="M523" s="306" t="s">
        <v>8657</v>
      </c>
      <c r="N523" s="306" t="s">
        <v>452</v>
      </c>
      <c r="O523" s="306" t="s">
        <v>8658</v>
      </c>
      <c r="P523" s="306" t="s">
        <v>8659</v>
      </c>
      <c r="Q523" s="306"/>
      <c r="R523" s="543"/>
      <c r="S523" s="543"/>
      <c r="T523" s="543"/>
      <c r="U523" s="543"/>
      <c r="V523" s="306"/>
      <c r="W523" s="306"/>
      <c r="X523" s="306"/>
      <c r="Y523" s="306"/>
      <c r="Z523" s="306"/>
      <c r="AA523" s="306"/>
      <c r="AB523" s="306"/>
      <c r="AC523" s="306"/>
    </row>
    <row r="524" spans="1:29" ht="15.75" hidden="1" customHeight="1">
      <c r="A524" s="541">
        <v>44796</v>
      </c>
      <c r="B524" s="306" t="s">
        <v>8652</v>
      </c>
      <c r="C524" s="542"/>
      <c r="D524" s="306"/>
      <c r="E524" s="306" t="s">
        <v>3</v>
      </c>
      <c r="F524" s="306" t="s">
        <v>488</v>
      </c>
      <c r="G524" s="306"/>
      <c r="H524" s="306"/>
      <c r="I524" s="306" t="s">
        <v>462</v>
      </c>
      <c r="J524" s="306"/>
      <c r="K524" s="306"/>
      <c r="L524" s="306" t="s">
        <v>2190</v>
      </c>
      <c r="M524" s="306" t="s">
        <v>8657</v>
      </c>
      <c r="N524" s="306" t="s">
        <v>452</v>
      </c>
      <c r="O524" s="306" t="s">
        <v>8658</v>
      </c>
      <c r="P524" s="306" t="s">
        <v>8659</v>
      </c>
      <c r="Q524" s="306"/>
      <c r="R524" s="543"/>
      <c r="S524" s="543"/>
      <c r="T524" s="543"/>
      <c r="U524" s="543"/>
      <c r="V524" s="219"/>
      <c r="W524" s="219"/>
      <c r="X524" s="219"/>
      <c r="Y524" s="219"/>
      <c r="Z524" s="219"/>
      <c r="AA524" s="219"/>
      <c r="AB524" s="219"/>
      <c r="AC524" s="219"/>
    </row>
    <row r="525" spans="1:29" ht="15.75" hidden="1" customHeight="1">
      <c r="A525" s="253">
        <v>44796</v>
      </c>
      <c r="B525" s="224" t="s">
        <v>8652</v>
      </c>
      <c r="C525" s="316">
        <v>2</v>
      </c>
      <c r="D525" s="224"/>
      <c r="E525" s="224" t="s">
        <v>3</v>
      </c>
      <c r="F525" s="224" t="s">
        <v>488</v>
      </c>
      <c r="G525" s="224" t="s">
        <v>11348</v>
      </c>
      <c r="H525" s="224">
        <v>2</v>
      </c>
      <c r="I525" s="224" t="s">
        <v>462</v>
      </c>
      <c r="J525" s="224" t="s">
        <v>8656</v>
      </c>
      <c r="K525" s="224">
        <v>2</v>
      </c>
      <c r="L525" s="224" t="s">
        <v>2190</v>
      </c>
      <c r="M525" s="224" t="s">
        <v>8657</v>
      </c>
      <c r="N525" s="224" t="s">
        <v>452</v>
      </c>
      <c r="O525" s="224" t="s">
        <v>8658</v>
      </c>
      <c r="P525" s="224" t="s">
        <v>8659</v>
      </c>
      <c r="Q525" s="224" t="s">
        <v>24</v>
      </c>
      <c r="R525" s="254"/>
      <c r="S525" s="254"/>
      <c r="T525" s="254"/>
      <c r="U525" s="254"/>
      <c r="V525" s="224"/>
      <c r="W525" s="224"/>
      <c r="X525" s="224"/>
      <c r="Y525" s="224"/>
      <c r="Z525" s="224"/>
      <c r="AA525" s="224"/>
      <c r="AB525" s="224"/>
      <c r="AC525" s="224"/>
    </row>
    <row r="526" spans="1:29" ht="15.75" hidden="1" customHeight="1">
      <c r="A526" s="248">
        <v>44782</v>
      </c>
      <c r="B526" s="219" t="s">
        <v>313</v>
      </c>
      <c r="C526" s="249">
        <v>4.75</v>
      </c>
      <c r="D526" s="219" t="s">
        <v>1718</v>
      </c>
      <c r="E526" s="250" t="s">
        <v>3</v>
      </c>
      <c r="F526" s="219" t="s">
        <v>460</v>
      </c>
      <c r="G526" s="219" t="s">
        <v>1719</v>
      </c>
      <c r="H526" s="219">
        <v>5</v>
      </c>
      <c r="I526" s="219" t="s">
        <v>462</v>
      </c>
      <c r="J526" s="219" t="s">
        <v>1720</v>
      </c>
      <c r="K526" s="219">
        <v>4.5</v>
      </c>
      <c r="L526" s="219" t="s">
        <v>478</v>
      </c>
      <c r="M526" s="219">
        <v>6000000</v>
      </c>
      <c r="N526" s="219" t="s">
        <v>452</v>
      </c>
      <c r="O526" s="219" t="s">
        <v>1721</v>
      </c>
      <c r="P526" s="219"/>
      <c r="Q526" s="213" t="s">
        <v>18</v>
      </c>
      <c r="R526" s="251"/>
      <c r="S526" s="251"/>
      <c r="T526" s="251"/>
      <c r="U526" s="251"/>
      <c r="V526" s="252"/>
      <c r="W526" s="252"/>
      <c r="X526" s="252"/>
      <c r="Y526" s="219"/>
      <c r="Z526" s="219"/>
      <c r="AA526" s="219"/>
      <c r="AB526" s="219"/>
      <c r="AC526" s="219"/>
    </row>
    <row r="527" spans="1:29" ht="15.75" customHeight="1">
      <c r="A527" s="253">
        <v>44797</v>
      </c>
      <c r="B527" s="224" t="s">
        <v>5709</v>
      </c>
      <c r="C527" s="316">
        <v>3</v>
      </c>
      <c r="D527" s="224" t="s">
        <v>11751</v>
      </c>
      <c r="E527" s="224" t="s">
        <v>4</v>
      </c>
      <c r="F527" s="224" t="s">
        <v>1045</v>
      </c>
      <c r="G527" s="224" t="s">
        <v>5713</v>
      </c>
      <c r="H527" s="224">
        <v>2.5</v>
      </c>
      <c r="I527" s="224" t="s">
        <v>1350</v>
      </c>
      <c r="J527" s="224" t="s">
        <v>5714</v>
      </c>
      <c r="K527" s="224">
        <v>3.5</v>
      </c>
      <c r="L527" s="224" t="s">
        <v>451</v>
      </c>
      <c r="M527" s="330">
        <v>615000</v>
      </c>
      <c r="N527" s="224" t="s">
        <v>454</v>
      </c>
      <c r="O527" s="224" t="s">
        <v>11443</v>
      </c>
      <c r="P527" s="224"/>
      <c r="Q527" s="224" t="s">
        <v>24</v>
      </c>
      <c r="R527" s="224"/>
      <c r="S527" s="224" t="str">
        <f>IFERROR(VLOOKUP(B527,'2022-2023 Third Reviews'!$C:$S,9,FALSE),"")</f>
        <v/>
      </c>
      <c r="T527" s="224"/>
      <c r="U527" s="224"/>
      <c r="V527" s="224"/>
      <c r="W527" s="224"/>
      <c r="X527" s="224"/>
      <c r="Y527" s="224"/>
      <c r="Z527" s="224"/>
      <c r="AA527" s="224"/>
      <c r="AB527" s="224"/>
      <c r="AC527" s="224"/>
    </row>
    <row r="528" spans="1:29" ht="15.75" hidden="1" customHeight="1">
      <c r="A528" s="212">
        <v>44776</v>
      </c>
      <c r="B528" s="213" t="s">
        <v>2635</v>
      </c>
      <c r="C528" s="214">
        <v>2.75</v>
      </c>
      <c r="D528" s="213" t="s">
        <v>2638</v>
      </c>
      <c r="E528" s="215" t="s">
        <v>5</v>
      </c>
      <c r="F528" s="213" t="s">
        <v>447</v>
      </c>
      <c r="G528" s="213" t="s">
        <v>2639</v>
      </c>
      <c r="H528" s="213">
        <v>2.5</v>
      </c>
      <c r="I528" s="213" t="s">
        <v>622</v>
      </c>
      <c r="J528" s="213" t="s">
        <v>10202</v>
      </c>
      <c r="K528" s="213">
        <v>3</v>
      </c>
      <c r="L528" s="213"/>
      <c r="M528" s="213"/>
      <c r="N528" s="213" t="s">
        <v>452</v>
      </c>
      <c r="O528" s="213" t="s">
        <v>10203</v>
      </c>
      <c r="P528" s="143"/>
      <c r="Q528" s="213" t="s">
        <v>24</v>
      </c>
      <c r="R528" s="226">
        <f t="array" ref="R528">INDEX(Notes!C:C,MATCH($B528,Notes!$A:$A,0))</f>
        <v>0</v>
      </c>
      <c r="S528" s="226"/>
      <c r="T528" s="226"/>
      <c r="U528" s="226"/>
      <c r="V528" s="218"/>
      <c r="W528" s="218"/>
      <c r="X528" s="218"/>
      <c r="Y528" s="219"/>
      <c r="Z528" s="219"/>
      <c r="AA528" s="219"/>
      <c r="AB528" s="219"/>
      <c r="AC528" s="219"/>
    </row>
    <row r="529" spans="1:29" ht="15.75" customHeight="1">
      <c r="A529" s="227">
        <v>44776</v>
      </c>
      <c r="B529" s="246" t="s">
        <v>13265</v>
      </c>
      <c r="C529" s="240">
        <v>3</v>
      </c>
      <c r="D529" s="228" t="s">
        <v>9542</v>
      </c>
      <c r="E529" s="242" t="s">
        <v>4</v>
      </c>
      <c r="F529" s="228" t="s">
        <v>447</v>
      </c>
      <c r="G529" s="228" t="s">
        <v>9543</v>
      </c>
      <c r="H529" s="228">
        <v>3</v>
      </c>
      <c r="I529" s="228" t="s">
        <v>622</v>
      </c>
      <c r="J529" s="228" t="s">
        <v>10277</v>
      </c>
      <c r="K529" s="228">
        <v>3</v>
      </c>
      <c r="L529" s="228" t="s">
        <v>451</v>
      </c>
      <c r="M529" s="228">
        <v>1000000</v>
      </c>
      <c r="N529" s="228" t="s">
        <v>452</v>
      </c>
      <c r="O529" s="228" t="s">
        <v>9545</v>
      </c>
      <c r="P529" s="230"/>
      <c r="Q529" s="228" t="s">
        <v>20</v>
      </c>
      <c r="R529" s="228" t="s">
        <v>15</v>
      </c>
      <c r="S529" s="228" t="str">
        <f ca="1">IFERROR(VLOOKUP(B529,'2022-2023 Third Reviews'!$C:$S,9,FALSE),"")</f>
        <v>Ahmed Bahgat
2</v>
      </c>
      <c r="T529" s="228"/>
      <c r="U529" s="228"/>
      <c r="V529" s="224"/>
      <c r="W529" s="224"/>
      <c r="X529" s="224"/>
      <c r="Y529" s="224"/>
      <c r="Z529" s="224"/>
      <c r="AA529" s="224"/>
      <c r="AB529" s="224"/>
      <c r="AC529" s="224"/>
    </row>
    <row r="530" spans="1:29" ht="15.75" hidden="1" customHeight="1">
      <c r="A530" s="301">
        <v>44789</v>
      </c>
      <c r="B530" s="303" t="s">
        <v>314</v>
      </c>
      <c r="C530" s="269"/>
      <c r="D530" s="303" t="s">
        <v>1726</v>
      </c>
      <c r="E530" s="270" t="s">
        <v>3</v>
      </c>
      <c r="F530" s="303" t="s">
        <v>725</v>
      </c>
      <c r="G530" s="303"/>
      <c r="H530" s="303"/>
      <c r="I530" s="303" t="s">
        <v>462</v>
      </c>
      <c r="J530" s="303" t="s">
        <v>1728</v>
      </c>
      <c r="K530" s="303">
        <v>5</v>
      </c>
      <c r="L530" s="303" t="s">
        <v>478</v>
      </c>
      <c r="M530" s="304">
        <v>15000000</v>
      </c>
      <c r="N530" s="303" t="s">
        <v>465</v>
      </c>
      <c r="O530" s="304" t="s">
        <v>1729</v>
      </c>
      <c r="P530" s="303"/>
      <c r="Q530" s="303"/>
      <c r="R530" s="305"/>
      <c r="S530" s="305"/>
      <c r="T530" s="305"/>
      <c r="U530" s="305"/>
      <c r="V530" s="303"/>
      <c r="W530" s="303"/>
      <c r="X530" s="303"/>
      <c r="Y530" s="303"/>
      <c r="Z530" s="303"/>
      <c r="AA530" s="306"/>
      <c r="AB530" s="306"/>
      <c r="AC530" s="306"/>
    </row>
    <row r="531" spans="1:29" ht="15.75" hidden="1" customHeight="1">
      <c r="A531" s="257">
        <v>44791</v>
      </c>
      <c r="B531" s="258" t="s">
        <v>314</v>
      </c>
      <c r="C531" s="263">
        <v>5</v>
      </c>
      <c r="D531" s="258" t="s">
        <v>1726</v>
      </c>
      <c r="E531" s="258" t="s">
        <v>3</v>
      </c>
      <c r="F531" s="258" t="s">
        <v>725</v>
      </c>
      <c r="G531" s="258" t="s">
        <v>10523</v>
      </c>
      <c r="H531" s="258">
        <v>5</v>
      </c>
      <c r="I531" s="258" t="s">
        <v>462</v>
      </c>
      <c r="J531" s="258" t="s">
        <v>1728</v>
      </c>
      <c r="K531" s="258">
        <v>5</v>
      </c>
      <c r="L531" s="258" t="s">
        <v>478</v>
      </c>
      <c r="M531" s="309">
        <v>15000000</v>
      </c>
      <c r="N531" s="258" t="s">
        <v>465</v>
      </c>
      <c r="O531" s="258" t="s">
        <v>1729</v>
      </c>
      <c r="P531" s="258"/>
      <c r="Q531" s="258" t="s">
        <v>18</v>
      </c>
      <c r="R531" s="259" t="s">
        <v>11640</v>
      </c>
      <c r="S531" s="259"/>
      <c r="T531" s="259"/>
      <c r="U531" s="259"/>
      <c r="V531" s="258"/>
      <c r="W531" s="258"/>
      <c r="X531" s="258"/>
      <c r="Y531" s="258"/>
      <c r="Z531" s="258"/>
      <c r="AA531" s="258"/>
      <c r="AB531" s="258"/>
      <c r="AC531" s="258"/>
    </row>
    <row r="532" spans="1:29" ht="15.75" customHeight="1">
      <c r="A532" s="248">
        <v>44791</v>
      </c>
      <c r="B532" s="219" t="s">
        <v>5717</v>
      </c>
      <c r="C532" s="315">
        <v>3</v>
      </c>
      <c r="D532" s="219" t="s">
        <v>5720</v>
      </c>
      <c r="E532" s="219" t="s">
        <v>4</v>
      </c>
      <c r="F532" s="219" t="s">
        <v>602</v>
      </c>
      <c r="G532" s="219" t="s">
        <v>5721</v>
      </c>
      <c r="H532" s="219">
        <v>3</v>
      </c>
      <c r="I532" s="219" t="s">
        <v>1371</v>
      </c>
      <c r="J532" s="219" t="s">
        <v>5722</v>
      </c>
      <c r="K532" s="219">
        <v>3</v>
      </c>
      <c r="L532" s="219"/>
      <c r="M532" s="219"/>
      <c r="N532" s="219" t="s">
        <v>452</v>
      </c>
      <c r="O532" s="219" t="s">
        <v>11035</v>
      </c>
      <c r="P532" s="219"/>
      <c r="Q532" s="322" t="s">
        <v>24</v>
      </c>
      <c r="R532" s="219"/>
      <c r="S532" s="219" t="str">
        <f>IFERROR(VLOOKUP(B532,'2022-2023 Third Reviews'!$C:$S,9,FALSE),"")</f>
        <v/>
      </c>
      <c r="T532" s="219"/>
      <c r="U532" s="219"/>
      <c r="V532" s="258"/>
      <c r="W532" s="258"/>
      <c r="X532" s="258"/>
      <c r="Y532" s="258"/>
      <c r="Z532" s="258"/>
      <c r="AA532" s="258"/>
      <c r="AB532" s="258"/>
      <c r="AC532" s="258"/>
    </row>
    <row r="533" spans="1:29" ht="15.75" customHeight="1">
      <c r="A533" s="253">
        <v>44796</v>
      </c>
      <c r="B533" s="224" t="s">
        <v>5725</v>
      </c>
      <c r="C533" s="316">
        <v>3</v>
      </c>
      <c r="D533" s="224" t="s">
        <v>5728</v>
      </c>
      <c r="E533" s="224" t="s">
        <v>4</v>
      </c>
      <c r="F533" s="224" t="s">
        <v>725</v>
      </c>
      <c r="G533" s="224"/>
      <c r="H533" s="224">
        <v>3</v>
      </c>
      <c r="I533" s="224" t="s">
        <v>1371</v>
      </c>
      <c r="J533" s="224" t="s">
        <v>5729</v>
      </c>
      <c r="K533" s="224">
        <v>3</v>
      </c>
      <c r="L533" s="224" t="s">
        <v>451</v>
      </c>
      <c r="M533" s="311">
        <v>500000</v>
      </c>
      <c r="N533" s="224" t="s">
        <v>452</v>
      </c>
      <c r="O533" s="224" t="s">
        <v>5730</v>
      </c>
      <c r="P533" s="224"/>
      <c r="Q533" s="224" t="s">
        <v>24</v>
      </c>
      <c r="R533" s="224"/>
      <c r="S533" s="224" t="str">
        <f>IFERROR(VLOOKUP(B533,'2022-2023 Third Reviews'!$C:$S,9,FALSE),"")</f>
        <v/>
      </c>
      <c r="T533" s="224"/>
      <c r="U533" s="224"/>
      <c r="V533" s="306"/>
      <c r="W533" s="306"/>
      <c r="X533" s="306"/>
      <c r="Y533" s="306"/>
      <c r="Z533" s="306"/>
      <c r="AA533" s="306"/>
      <c r="AB533" s="306"/>
      <c r="AC533" s="306"/>
    </row>
    <row r="534" spans="1:29" ht="15.75" customHeight="1">
      <c r="A534" s="248">
        <v>44791</v>
      </c>
      <c r="B534" s="219" t="s">
        <v>9623</v>
      </c>
      <c r="C534" s="315">
        <v>3</v>
      </c>
      <c r="D534" s="219" t="s">
        <v>9626</v>
      </c>
      <c r="E534" s="219" t="s">
        <v>4</v>
      </c>
      <c r="F534" s="219" t="s">
        <v>725</v>
      </c>
      <c r="G534" s="219" t="s">
        <v>10755</v>
      </c>
      <c r="H534" s="219">
        <v>3</v>
      </c>
      <c r="I534" s="219" t="s">
        <v>1045</v>
      </c>
      <c r="J534" s="219" t="s">
        <v>9628</v>
      </c>
      <c r="K534" s="219">
        <v>3</v>
      </c>
      <c r="L534" s="219" t="s">
        <v>784</v>
      </c>
      <c r="M534" s="310">
        <v>1500000</v>
      </c>
      <c r="N534" s="219" t="s">
        <v>454</v>
      </c>
      <c r="O534" s="219" t="s">
        <v>452</v>
      </c>
      <c r="P534" s="219"/>
      <c r="Q534" s="219" t="s">
        <v>23</v>
      </c>
      <c r="R534" s="219"/>
      <c r="S534" s="219" t="str">
        <f>IFERROR(VLOOKUP(B534,'2022-2023 Third Reviews'!$C:$S,9,FALSE),"")</f>
        <v/>
      </c>
      <c r="T534" s="219"/>
      <c r="U534" s="219"/>
      <c r="V534" s="306"/>
      <c r="W534" s="306"/>
      <c r="X534" s="306"/>
      <c r="Y534" s="306"/>
      <c r="Z534" s="306"/>
      <c r="AA534" s="306"/>
      <c r="AB534" s="306"/>
      <c r="AC534" s="306"/>
    </row>
    <row r="535" spans="1:29" ht="15.75" customHeight="1">
      <c r="A535" s="253">
        <v>44796</v>
      </c>
      <c r="B535" s="224" t="s">
        <v>5733</v>
      </c>
      <c r="C535" s="316">
        <v>3</v>
      </c>
      <c r="D535" s="224" t="s">
        <v>5736</v>
      </c>
      <c r="E535" s="224" t="s">
        <v>4</v>
      </c>
      <c r="F535" s="224" t="s">
        <v>725</v>
      </c>
      <c r="G535" s="224" t="s">
        <v>10922</v>
      </c>
      <c r="H535" s="224">
        <v>4</v>
      </c>
      <c r="I535" s="224" t="s">
        <v>1457</v>
      </c>
      <c r="J535" s="224" t="s">
        <v>5738</v>
      </c>
      <c r="K535" s="224">
        <v>2</v>
      </c>
      <c r="L535" s="224"/>
      <c r="M535" s="224"/>
      <c r="N535" s="224" t="s">
        <v>454</v>
      </c>
      <c r="O535" s="224" t="s">
        <v>452</v>
      </c>
      <c r="P535" s="224"/>
      <c r="Q535" s="224" t="s">
        <v>24</v>
      </c>
      <c r="R535" s="224"/>
      <c r="S535" s="224" t="str">
        <f>IFERROR(VLOOKUP(B535,'2022-2023 Third Reviews'!$C:$S,9,FALSE),"")</f>
        <v/>
      </c>
      <c r="T535" s="224"/>
      <c r="U535" s="224"/>
      <c r="V535" s="258"/>
      <c r="W535" s="258"/>
      <c r="X535" s="258"/>
      <c r="Y535" s="258"/>
      <c r="Z535" s="258"/>
      <c r="AA535" s="258"/>
      <c r="AB535" s="258"/>
      <c r="AC535" s="258"/>
    </row>
    <row r="536" spans="1:29" ht="15.75" customHeight="1">
      <c r="A536" s="257">
        <v>44782</v>
      </c>
      <c r="B536" s="258" t="s">
        <v>9630</v>
      </c>
      <c r="C536" s="263">
        <v>3</v>
      </c>
      <c r="D536" s="258" t="s">
        <v>9633</v>
      </c>
      <c r="E536" s="258" t="s">
        <v>4</v>
      </c>
      <c r="F536" s="258" t="s">
        <v>727</v>
      </c>
      <c r="G536" s="258" t="s">
        <v>10378</v>
      </c>
      <c r="H536" s="258">
        <v>3</v>
      </c>
      <c r="I536" s="258" t="s">
        <v>447</v>
      </c>
      <c r="J536" s="258" t="s">
        <v>10379</v>
      </c>
      <c r="K536" s="258">
        <v>3</v>
      </c>
      <c r="L536" s="258" t="s">
        <v>451</v>
      </c>
      <c r="M536" s="258" t="s">
        <v>4444</v>
      </c>
      <c r="N536" s="258" t="s">
        <v>452</v>
      </c>
      <c r="O536" s="258" t="s">
        <v>9636</v>
      </c>
      <c r="P536" s="258"/>
      <c r="Q536" s="258" t="s">
        <v>23</v>
      </c>
      <c r="R536" s="258" t="s">
        <v>9637</v>
      </c>
      <c r="S536" s="258" t="str">
        <f ca="1">IFERROR(VLOOKUP(B536,'2022-2023 Third Reviews'!$C:$S,9,FALSE),"")</f>
        <v>Joshua Rubnitz
4</v>
      </c>
      <c r="T536" s="258"/>
      <c r="U536" s="258"/>
      <c r="V536" s="252"/>
      <c r="W536" s="252"/>
      <c r="X536" s="252"/>
      <c r="Y536" s="219"/>
      <c r="Z536" s="219"/>
      <c r="AA536" s="219"/>
      <c r="AB536" s="219"/>
      <c r="AC536" s="219"/>
    </row>
    <row r="537" spans="1:29" ht="15.75" customHeight="1">
      <c r="A537" s="253">
        <v>44797</v>
      </c>
      <c r="B537" s="224" t="s">
        <v>5740</v>
      </c>
      <c r="C537" s="316">
        <v>3</v>
      </c>
      <c r="D537" s="224" t="s">
        <v>11193</v>
      </c>
      <c r="E537" s="224" t="s">
        <v>4</v>
      </c>
      <c r="F537" s="224" t="s">
        <v>1045</v>
      </c>
      <c r="G537" s="224" t="s">
        <v>5744</v>
      </c>
      <c r="H537" s="224">
        <v>3</v>
      </c>
      <c r="I537" s="224" t="s">
        <v>1457</v>
      </c>
      <c r="J537" s="224" t="s">
        <v>5745</v>
      </c>
      <c r="K537" s="224">
        <v>3</v>
      </c>
      <c r="L537" s="224" t="s">
        <v>451</v>
      </c>
      <c r="M537" s="224">
        <v>500000</v>
      </c>
      <c r="N537" s="224" t="s">
        <v>452</v>
      </c>
      <c r="O537" s="224" t="s">
        <v>11194</v>
      </c>
      <c r="P537" s="224"/>
      <c r="Q537" s="224" t="s">
        <v>24</v>
      </c>
      <c r="R537" s="224"/>
      <c r="S537" s="224" t="str">
        <f>IFERROR(VLOOKUP(B537,'2022-2023 Third Reviews'!$C:$S,9,FALSE),"")</f>
        <v/>
      </c>
      <c r="T537" s="224"/>
      <c r="U537" s="224"/>
      <c r="V537" s="224"/>
      <c r="W537" s="224"/>
      <c r="X537" s="224"/>
      <c r="Y537" s="224"/>
      <c r="Z537" s="224"/>
      <c r="AA537" s="224"/>
      <c r="AB537" s="224"/>
      <c r="AC537" s="224"/>
    </row>
    <row r="538" spans="1:29" ht="15.75" hidden="1" customHeight="1">
      <c r="A538" s="541">
        <v>44791</v>
      </c>
      <c r="B538" s="306" t="s">
        <v>8662</v>
      </c>
      <c r="C538" s="542"/>
      <c r="D538" s="306" t="s">
        <v>8665</v>
      </c>
      <c r="E538" s="306" t="s">
        <v>3</v>
      </c>
      <c r="F538" s="306" t="s">
        <v>488</v>
      </c>
      <c r="G538" s="306"/>
      <c r="H538" s="306"/>
      <c r="I538" s="306" t="s">
        <v>941</v>
      </c>
      <c r="J538" s="306"/>
      <c r="K538" s="306"/>
      <c r="L538" s="306" t="s">
        <v>478</v>
      </c>
      <c r="M538" s="544">
        <v>3000000</v>
      </c>
      <c r="N538" s="306" t="s">
        <v>452</v>
      </c>
      <c r="O538" s="306" t="s">
        <v>8668</v>
      </c>
      <c r="P538" s="306"/>
      <c r="Q538" s="306"/>
      <c r="R538" s="543"/>
      <c r="S538" s="543"/>
      <c r="T538" s="543"/>
      <c r="U538" s="543"/>
      <c r="V538" s="306"/>
      <c r="W538" s="306"/>
      <c r="X538" s="306"/>
      <c r="Y538" s="306"/>
      <c r="Z538" s="306"/>
      <c r="AA538" s="306"/>
      <c r="AB538" s="306"/>
      <c r="AC538" s="306"/>
    </row>
    <row r="539" spans="1:29" ht="15.75" hidden="1" customHeight="1">
      <c r="A539" s="541">
        <v>44796</v>
      </c>
      <c r="B539" s="306" t="s">
        <v>8662</v>
      </c>
      <c r="C539" s="542"/>
      <c r="D539" s="306" t="s">
        <v>8665</v>
      </c>
      <c r="E539" s="306" t="s">
        <v>3</v>
      </c>
      <c r="F539" s="306" t="s">
        <v>488</v>
      </c>
      <c r="G539" s="306"/>
      <c r="H539" s="306"/>
      <c r="I539" s="306" t="s">
        <v>941</v>
      </c>
      <c r="J539" s="306"/>
      <c r="K539" s="306"/>
      <c r="L539" s="306" t="s">
        <v>478</v>
      </c>
      <c r="M539" s="545">
        <v>3000000</v>
      </c>
      <c r="N539" s="306" t="s">
        <v>452</v>
      </c>
      <c r="O539" s="306" t="s">
        <v>8668</v>
      </c>
      <c r="P539" s="306"/>
      <c r="Q539" s="306"/>
      <c r="R539" s="543"/>
      <c r="S539" s="543"/>
      <c r="T539" s="543"/>
      <c r="U539" s="543"/>
      <c r="V539" s="224"/>
      <c r="W539" s="224"/>
      <c r="X539" s="224"/>
      <c r="Y539" s="224"/>
      <c r="Z539" s="224"/>
      <c r="AA539" s="224"/>
      <c r="AB539" s="224"/>
      <c r="AC539" s="224"/>
    </row>
    <row r="540" spans="1:29" ht="15.75" hidden="1" customHeight="1">
      <c r="A540" s="257">
        <v>44796</v>
      </c>
      <c r="B540" s="258" t="s">
        <v>8662</v>
      </c>
      <c r="C540" s="263">
        <v>3.75</v>
      </c>
      <c r="D540" s="258" t="s">
        <v>8665</v>
      </c>
      <c r="E540" s="258" t="s">
        <v>3</v>
      </c>
      <c r="F540" s="258" t="s">
        <v>488</v>
      </c>
      <c r="G540" s="258" t="s">
        <v>11345</v>
      </c>
      <c r="H540" s="258">
        <v>3.5</v>
      </c>
      <c r="I540" s="258" t="s">
        <v>941</v>
      </c>
      <c r="J540" s="258" t="s">
        <v>8667</v>
      </c>
      <c r="K540" s="258">
        <v>4</v>
      </c>
      <c r="L540" s="258" t="s">
        <v>478</v>
      </c>
      <c r="M540" s="309">
        <v>3000000</v>
      </c>
      <c r="N540" s="258" t="s">
        <v>452</v>
      </c>
      <c r="O540" s="258" t="s">
        <v>8668</v>
      </c>
      <c r="P540" s="258"/>
      <c r="Q540" s="258" t="s">
        <v>24</v>
      </c>
      <c r="R540" s="259" t="s">
        <v>8669</v>
      </c>
      <c r="S540" s="259"/>
      <c r="T540" s="259"/>
      <c r="U540" s="259"/>
      <c r="V540" s="258"/>
      <c r="W540" s="258"/>
      <c r="X540" s="258"/>
      <c r="Y540" s="258"/>
      <c r="Z540" s="258"/>
      <c r="AA540" s="258"/>
      <c r="AB540" s="258"/>
      <c r="AC540" s="258"/>
    </row>
    <row r="541" spans="1:29" ht="15.75" customHeight="1">
      <c r="A541" s="253">
        <v>44791</v>
      </c>
      <c r="B541" s="224" t="s">
        <v>5748</v>
      </c>
      <c r="C541" s="316">
        <v>3</v>
      </c>
      <c r="D541" s="224" t="s">
        <v>10506</v>
      </c>
      <c r="E541" s="224" t="s">
        <v>4</v>
      </c>
      <c r="F541" s="224" t="s">
        <v>727</v>
      </c>
      <c r="G541" s="224" t="s">
        <v>10507</v>
      </c>
      <c r="H541" s="224">
        <v>3</v>
      </c>
      <c r="I541" s="224" t="s">
        <v>1457</v>
      </c>
      <c r="J541" s="224" t="s">
        <v>5753</v>
      </c>
      <c r="K541" s="224">
        <v>3</v>
      </c>
      <c r="L541" s="224" t="s">
        <v>784</v>
      </c>
      <c r="M541" s="311">
        <v>1500000</v>
      </c>
      <c r="N541" s="224" t="s">
        <v>465</v>
      </c>
      <c r="O541" s="224" t="s">
        <v>5754</v>
      </c>
      <c r="P541" s="224" t="s">
        <v>725</v>
      </c>
      <c r="Q541" s="322" t="s">
        <v>24</v>
      </c>
      <c r="R541" s="224"/>
      <c r="S541" s="224" t="str">
        <f>IFERROR(VLOOKUP(B541,'2022-2023 Third Reviews'!$C:$S,9,FALSE),"")</f>
        <v/>
      </c>
      <c r="T541" s="224"/>
      <c r="U541" s="224"/>
      <c r="V541" s="224"/>
      <c r="W541" s="224"/>
      <c r="X541" s="224"/>
      <c r="Y541" s="224"/>
      <c r="Z541" s="224"/>
      <c r="AA541" s="224"/>
      <c r="AB541" s="224"/>
      <c r="AC541" s="224"/>
    </row>
    <row r="542" spans="1:29" ht="15.75" customHeight="1">
      <c r="A542" s="248">
        <v>44782</v>
      </c>
      <c r="B542" s="219" t="s">
        <v>5757</v>
      </c>
      <c r="C542" s="249">
        <v>3</v>
      </c>
      <c r="D542" s="219" t="s">
        <v>5760</v>
      </c>
      <c r="E542" s="250" t="s">
        <v>4</v>
      </c>
      <c r="F542" s="219" t="s">
        <v>602</v>
      </c>
      <c r="G542" s="219" t="s">
        <v>10403</v>
      </c>
      <c r="H542" s="219">
        <v>4</v>
      </c>
      <c r="I542" s="219" t="s">
        <v>476</v>
      </c>
      <c r="J542" s="219" t="s">
        <v>13400</v>
      </c>
      <c r="K542" s="219">
        <v>2</v>
      </c>
      <c r="L542" s="219" t="s">
        <v>451</v>
      </c>
      <c r="M542" s="219">
        <v>5000000</v>
      </c>
      <c r="N542" s="219" t="s">
        <v>452</v>
      </c>
      <c r="O542" s="219" t="s">
        <v>5763</v>
      </c>
      <c r="P542" s="219"/>
      <c r="Q542" s="219" t="s">
        <v>24</v>
      </c>
      <c r="R542" s="219"/>
      <c r="S542" s="219" t="str">
        <f>IFERROR(VLOOKUP(B542,'2022-2023 Third Reviews'!$C:$S,9,FALSE),"")</f>
        <v/>
      </c>
      <c r="T542" s="219" t="s">
        <v>13061</v>
      </c>
      <c r="U542" s="219"/>
      <c r="V542" s="239"/>
      <c r="W542" s="239"/>
      <c r="X542" s="239"/>
      <c r="Y542" s="239"/>
      <c r="Z542" s="239"/>
      <c r="AA542" s="239"/>
      <c r="AB542" s="239"/>
      <c r="AC542" s="239"/>
    </row>
    <row r="543" spans="1:29" ht="15.75" customHeight="1">
      <c r="A543" s="398">
        <v>44784</v>
      </c>
      <c r="B543" s="272" t="s">
        <v>5765</v>
      </c>
      <c r="C543" s="269">
        <v>3</v>
      </c>
      <c r="D543" s="531" t="s">
        <v>5768</v>
      </c>
      <c r="E543" s="270" t="s">
        <v>4</v>
      </c>
      <c r="F543" s="272" t="s">
        <v>727</v>
      </c>
      <c r="G543" s="272" t="s">
        <v>5769</v>
      </c>
      <c r="H543" s="272">
        <v>3</v>
      </c>
      <c r="I543" s="272" t="s">
        <v>476</v>
      </c>
      <c r="J543" s="272" t="s">
        <v>11589</v>
      </c>
      <c r="K543" s="272">
        <v>3</v>
      </c>
      <c r="L543" s="272" t="s">
        <v>784</v>
      </c>
      <c r="M543" s="273">
        <v>300000</v>
      </c>
      <c r="N543" s="272" t="s">
        <v>452</v>
      </c>
      <c r="O543" s="273" t="s">
        <v>5771</v>
      </c>
      <c r="P543" s="272"/>
      <c r="Q543" s="272" t="s">
        <v>24</v>
      </c>
      <c r="R543" s="272"/>
      <c r="S543" s="272" t="str">
        <f ca="1">IFERROR(VLOOKUP(B543,'2022-2023 Third Reviews'!$C:$S,9,FALSE),"")</f>
        <v>Chris MIllisits
4</v>
      </c>
      <c r="T543" s="272" t="s">
        <v>13266</v>
      </c>
      <c r="U543" s="272"/>
      <c r="V543" s="224"/>
      <c r="W543" s="224"/>
      <c r="X543" s="224"/>
      <c r="Y543" s="224"/>
      <c r="Z543" s="224"/>
      <c r="AA543" s="224"/>
      <c r="AB543" s="224"/>
      <c r="AC543" s="224"/>
    </row>
    <row r="544" spans="1:29" ht="15.75" customHeight="1">
      <c r="A544" s="248">
        <v>44797</v>
      </c>
      <c r="B544" s="219" t="s">
        <v>5774</v>
      </c>
      <c r="C544" s="315">
        <v>3</v>
      </c>
      <c r="D544" s="219" t="s">
        <v>5777</v>
      </c>
      <c r="E544" s="219" t="s">
        <v>4</v>
      </c>
      <c r="F544" s="219" t="s">
        <v>725</v>
      </c>
      <c r="G544" s="219" t="s">
        <v>10261</v>
      </c>
      <c r="H544" s="219">
        <v>3</v>
      </c>
      <c r="I544" s="219" t="s">
        <v>447</v>
      </c>
      <c r="J544" s="219" t="s">
        <v>10262</v>
      </c>
      <c r="K544" s="219">
        <v>3</v>
      </c>
      <c r="L544" s="219" t="s">
        <v>451</v>
      </c>
      <c r="M544" s="219">
        <v>2200000</v>
      </c>
      <c r="N544" s="219" t="s">
        <v>452</v>
      </c>
      <c r="O544" s="219" t="s">
        <v>10263</v>
      </c>
      <c r="P544" s="219"/>
      <c r="Q544" s="219" t="s">
        <v>24</v>
      </c>
      <c r="R544" s="219"/>
      <c r="S544" s="219" t="str">
        <f>IFERROR(VLOOKUP(B544,'2022-2023 Third Reviews'!$C:$S,9,FALSE),"")</f>
        <v/>
      </c>
      <c r="T544" s="219"/>
      <c r="U544" s="219"/>
      <c r="V544" s="268"/>
      <c r="W544" s="268"/>
      <c r="X544" s="268"/>
      <c r="Y544" s="268"/>
      <c r="Z544" s="268"/>
      <c r="AA544" s="219"/>
      <c r="AB544" s="219"/>
      <c r="AC544" s="219"/>
    </row>
    <row r="545" spans="1:29" ht="15.75" customHeight="1">
      <c r="A545" s="253">
        <v>44796</v>
      </c>
      <c r="B545" s="224" t="s">
        <v>5783</v>
      </c>
      <c r="C545" s="316">
        <v>3</v>
      </c>
      <c r="D545" s="224" t="s">
        <v>5786</v>
      </c>
      <c r="E545" s="224" t="s">
        <v>4</v>
      </c>
      <c r="F545" s="224" t="s">
        <v>727</v>
      </c>
      <c r="G545" s="224"/>
      <c r="H545" s="224">
        <v>3</v>
      </c>
      <c r="I545" s="224" t="s">
        <v>1045</v>
      </c>
      <c r="J545" s="224" t="s">
        <v>5787</v>
      </c>
      <c r="K545" s="224">
        <v>3</v>
      </c>
      <c r="L545" s="224" t="s">
        <v>784</v>
      </c>
      <c r="M545" s="311">
        <v>205000</v>
      </c>
      <c r="N545" s="224" t="s">
        <v>465</v>
      </c>
      <c r="O545" s="224" t="s">
        <v>10545</v>
      </c>
      <c r="P545" s="224"/>
      <c r="Q545" s="224" t="s">
        <v>24</v>
      </c>
      <c r="R545" s="224"/>
      <c r="S545" s="224" t="str">
        <f>IFERROR(VLOOKUP(B545,'2022-2023 Third Reviews'!$C:$S,9,FALSE),"")</f>
        <v/>
      </c>
      <c r="T545" s="224"/>
      <c r="U545" s="224"/>
      <c r="V545" s="224"/>
      <c r="W545" s="224"/>
      <c r="X545" s="224"/>
      <c r="Y545" s="224"/>
      <c r="Z545" s="224"/>
      <c r="AA545" s="224"/>
      <c r="AB545" s="224"/>
      <c r="AC545" s="224"/>
    </row>
    <row r="546" spans="1:29" ht="15.75" customHeight="1">
      <c r="A546" s="248">
        <v>44796</v>
      </c>
      <c r="B546" s="219" t="s">
        <v>5791</v>
      </c>
      <c r="C546" s="315">
        <v>3</v>
      </c>
      <c r="D546" s="219" t="s">
        <v>5794</v>
      </c>
      <c r="E546" s="219" t="s">
        <v>4</v>
      </c>
      <c r="F546" s="219" t="s">
        <v>1457</v>
      </c>
      <c r="G546" s="219" t="s">
        <v>5795</v>
      </c>
      <c r="H546" s="219">
        <v>3</v>
      </c>
      <c r="I546" s="219" t="s">
        <v>1045</v>
      </c>
      <c r="J546" s="219" t="s">
        <v>5796</v>
      </c>
      <c r="K546" s="219">
        <v>3</v>
      </c>
      <c r="L546" s="219" t="s">
        <v>451</v>
      </c>
      <c r="M546" s="310">
        <v>4000000</v>
      </c>
      <c r="N546" s="219" t="s">
        <v>452</v>
      </c>
      <c r="O546" s="219" t="s">
        <v>5797</v>
      </c>
      <c r="P546" s="219"/>
      <c r="Q546" s="219" t="s">
        <v>24</v>
      </c>
      <c r="R546" s="219"/>
      <c r="S546" s="219" t="str">
        <f>IFERROR(VLOOKUP(B546,'2022-2023 Third Reviews'!$C:$S,9,FALSE),"")</f>
        <v/>
      </c>
      <c r="T546" s="219"/>
      <c r="U546" s="219"/>
      <c r="V546" s="219"/>
      <c r="W546" s="219"/>
      <c r="X546" s="219"/>
      <c r="Y546" s="219"/>
      <c r="Z546" s="219"/>
      <c r="AA546" s="219"/>
      <c r="AB546" s="219"/>
      <c r="AC546" s="219"/>
    </row>
    <row r="547" spans="1:29" ht="15.75" customHeight="1">
      <c r="A547" s="398">
        <v>44784</v>
      </c>
      <c r="B547" s="272" t="s">
        <v>5800</v>
      </c>
      <c r="C547" s="269">
        <v>3</v>
      </c>
      <c r="D547" s="272" t="s">
        <v>5803</v>
      </c>
      <c r="E547" s="270" t="s">
        <v>4</v>
      </c>
      <c r="F547" s="272" t="s">
        <v>727</v>
      </c>
      <c r="G547" s="272" t="s">
        <v>10863</v>
      </c>
      <c r="H547" s="272">
        <v>3</v>
      </c>
      <c r="I547" s="272" t="s">
        <v>476</v>
      </c>
      <c r="J547" s="272" t="s">
        <v>11588</v>
      </c>
      <c r="K547" s="272">
        <v>3</v>
      </c>
      <c r="L547" s="272" t="s">
        <v>451</v>
      </c>
      <c r="M547" s="273">
        <v>1000000</v>
      </c>
      <c r="N547" s="272" t="s">
        <v>452</v>
      </c>
      <c r="O547" s="273" t="s">
        <v>10865</v>
      </c>
      <c r="P547" s="272"/>
      <c r="Q547" s="272" t="s">
        <v>24</v>
      </c>
      <c r="R547" s="272"/>
      <c r="S547" s="272" t="str">
        <f>IFERROR(VLOOKUP(B547,'2022-2023 Third Reviews'!$C:$S,9,FALSE),"")</f>
        <v/>
      </c>
      <c r="T547" s="272" t="s">
        <v>13242</v>
      </c>
      <c r="U547" s="272"/>
      <c r="V547" s="224"/>
      <c r="W547" s="224"/>
      <c r="X547" s="224"/>
      <c r="Y547" s="224"/>
      <c r="Z547" s="224"/>
      <c r="AA547" s="224"/>
      <c r="AB547" s="224"/>
      <c r="AC547" s="224"/>
    </row>
    <row r="548" spans="1:29" ht="15.75" hidden="1" customHeight="1">
      <c r="A548" s="267">
        <v>44784</v>
      </c>
      <c r="B548" s="268" t="s">
        <v>8672</v>
      </c>
      <c r="C548" s="269">
        <v>1.5</v>
      </c>
      <c r="D548" s="268" t="s">
        <v>8675</v>
      </c>
      <c r="E548" s="270" t="s">
        <v>3</v>
      </c>
      <c r="F548" s="268" t="s">
        <v>460</v>
      </c>
      <c r="G548" s="268" t="s">
        <v>10470</v>
      </c>
      <c r="H548" s="268">
        <v>2</v>
      </c>
      <c r="I548" s="268" t="s">
        <v>488</v>
      </c>
      <c r="J548" s="268" t="s">
        <v>8677</v>
      </c>
      <c r="K548" s="268">
        <v>1</v>
      </c>
      <c r="L548" s="268" t="s">
        <v>451</v>
      </c>
      <c r="M548" s="285">
        <v>500000</v>
      </c>
      <c r="N548" s="268" t="s">
        <v>465</v>
      </c>
      <c r="O548" s="285" t="s">
        <v>575</v>
      </c>
      <c r="P548" s="268"/>
      <c r="Q548" s="268" t="s">
        <v>24</v>
      </c>
      <c r="R548" s="271"/>
      <c r="S548" s="271"/>
      <c r="T548" s="271"/>
      <c r="U548" s="271"/>
      <c r="V548" s="268"/>
      <c r="W548" s="268"/>
      <c r="X548" s="268"/>
      <c r="Y548" s="268"/>
      <c r="Z548" s="268"/>
      <c r="AA548" s="219"/>
      <c r="AB548" s="219"/>
      <c r="AC548" s="219"/>
    </row>
    <row r="549" spans="1:29" ht="15.75" customHeight="1">
      <c r="A549" s="398">
        <v>44784</v>
      </c>
      <c r="B549" s="272" t="s">
        <v>5809</v>
      </c>
      <c r="C549" s="269">
        <v>3</v>
      </c>
      <c r="D549" s="299" t="s">
        <v>11396</v>
      </c>
      <c r="E549" s="270" t="s">
        <v>4</v>
      </c>
      <c r="F549" s="272" t="s">
        <v>602</v>
      </c>
      <c r="G549" s="272" t="s">
        <v>5813</v>
      </c>
      <c r="H549" s="272">
        <v>3</v>
      </c>
      <c r="I549" s="272" t="s">
        <v>1054</v>
      </c>
      <c r="J549" s="272" t="s">
        <v>5814</v>
      </c>
      <c r="K549" s="272">
        <v>3</v>
      </c>
      <c r="L549" s="272" t="s">
        <v>451</v>
      </c>
      <c r="M549" s="272" t="s">
        <v>5815</v>
      </c>
      <c r="N549" s="272" t="s">
        <v>465</v>
      </c>
      <c r="O549" s="272" t="s">
        <v>452</v>
      </c>
      <c r="P549" s="272"/>
      <c r="Q549" s="272" t="s">
        <v>24</v>
      </c>
      <c r="R549" s="272"/>
      <c r="S549" s="272" t="str">
        <f>IFERROR(VLOOKUP(B549,'2022-2023 Third Reviews'!$C:$S,9,FALSE),"")</f>
        <v/>
      </c>
      <c r="T549" s="272"/>
      <c r="U549" s="272"/>
      <c r="V549" s="252"/>
      <c r="W549" s="252"/>
      <c r="X549" s="252"/>
      <c r="Y549" s="224"/>
      <c r="Z549" s="224"/>
      <c r="AA549" s="224"/>
      <c r="AB549" s="224"/>
      <c r="AC549" s="224"/>
    </row>
    <row r="550" spans="1:29" ht="15.75" customHeight="1">
      <c r="A550" s="248">
        <v>44797</v>
      </c>
      <c r="B550" s="219" t="s">
        <v>5818</v>
      </c>
      <c r="C550" s="315">
        <v>3</v>
      </c>
      <c r="D550" s="219" t="s">
        <v>5821</v>
      </c>
      <c r="E550" s="219" t="s">
        <v>4</v>
      </c>
      <c r="F550" s="219" t="s">
        <v>1045</v>
      </c>
      <c r="G550" s="219" t="s">
        <v>5822</v>
      </c>
      <c r="H550" s="219">
        <v>3.5</v>
      </c>
      <c r="I550" s="219" t="s">
        <v>462</v>
      </c>
      <c r="J550" s="219" t="s">
        <v>5823</v>
      </c>
      <c r="K550" s="219">
        <v>2.5</v>
      </c>
      <c r="L550" s="219" t="s">
        <v>451</v>
      </c>
      <c r="M550" s="219">
        <v>2000000</v>
      </c>
      <c r="N550" s="219" t="s">
        <v>452</v>
      </c>
      <c r="O550" s="219" t="s">
        <v>452</v>
      </c>
      <c r="P550" s="219"/>
      <c r="Q550" s="219" t="s">
        <v>24</v>
      </c>
      <c r="R550" s="219"/>
      <c r="S550" s="219" t="str">
        <f>IFERROR(VLOOKUP(B550,'2022-2023 Third Reviews'!$C:$S,9,FALSE),"")</f>
        <v/>
      </c>
      <c r="T550" s="219"/>
      <c r="U550" s="219"/>
      <c r="V550" s="219"/>
      <c r="W550" s="219"/>
      <c r="X550" s="219"/>
      <c r="Y550" s="219"/>
      <c r="Z550" s="219"/>
      <c r="AA550" s="219"/>
      <c r="AB550" s="219"/>
      <c r="AC550" s="219"/>
    </row>
    <row r="551" spans="1:29" ht="15.75" hidden="1" customHeight="1">
      <c r="A551" s="253">
        <v>44791</v>
      </c>
      <c r="B551" s="224" t="s">
        <v>9576</v>
      </c>
      <c r="C551" s="316">
        <v>2.25</v>
      </c>
      <c r="D551" s="224" t="s">
        <v>9579</v>
      </c>
      <c r="E551" s="224" t="s">
        <v>5</v>
      </c>
      <c r="F551" s="224" t="s">
        <v>447</v>
      </c>
      <c r="G551" s="224" t="s">
        <v>11149</v>
      </c>
      <c r="H551" s="224">
        <v>2</v>
      </c>
      <c r="I551" s="224" t="s">
        <v>543</v>
      </c>
      <c r="J551" s="224"/>
      <c r="K551" s="224">
        <v>2.5</v>
      </c>
      <c r="L551" s="224" t="s">
        <v>451</v>
      </c>
      <c r="M551" s="307">
        <v>3620880</v>
      </c>
      <c r="N551" s="224" t="s">
        <v>452</v>
      </c>
      <c r="O551" s="224" t="s">
        <v>9581</v>
      </c>
      <c r="P551" s="224"/>
      <c r="Q551" s="224" t="s">
        <v>23</v>
      </c>
      <c r="R551" s="254"/>
      <c r="S551" s="254"/>
      <c r="T551" s="254"/>
      <c r="U551" s="254"/>
      <c r="V551" s="224"/>
      <c r="W551" s="224"/>
      <c r="X551" s="224"/>
      <c r="Y551" s="224"/>
      <c r="Z551" s="224"/>
      <c r="AA551" s="224"/>
      <c r="AB551" s="224"/>
      <c r="AC551" s="224"/>
    </row>
    <row r="552" spans="1:29" ht="15.75" hidden="1" customHeight="1">
      <c r="A552" s="248">
        <v>44782</v>
      </c>
      <c r="B552" s="219" t="s">
        <v>88</v>
      </c>
      <c r="C552" s="249">
        <v>4</v>
      </c>
      <c r="D552" s="219" t="s">
        <v>620</v>
      </c>
      <c r="E552" s="250" t="s">
        <v>5</v>
      </c>
      <c r="F552" s="219" t="s">
        <v>447</v>
      </c>
      <c r="G552" s="219" t="s">
        <v>10697</v>
      </c>
      <c r="H552" s="219">
        <v>4</v>
      </c>
      <c r="I552" s="219" t="s">
        <v>622</v>
      </c>
      <c r="J552" s="219" t="s">
        <v>13400</v>
      </c>
      <c r="K552" s="219">
        <v>4</v>
      </c>
      <c r="L552" s="219" t="s">
        <v>478</v>
      </c>
      <c r="M552" s="219">
        <v>3000000</v>
      </c>
      <c r="N552" s="219" t="s">
        <v>452</v>
      </c>
      <c r="O552" s="219" t="s">
        <v>452</v>
      </c>
      <c r="P552" s="219"/>
      <c r="Q552" s="219" t="s">
        <v>18</v>
      </c>
      <c r="R552" s="251" t="s">
        <v>624</v>
      </c>
      <c r="S552" s="251"/>
      <c r="T552" s="251"/>
      <c r="U552" s="251"/>
      <c r="V552" s="252"/>
      <c r="W552" s="252"/>
      <c r="X552" s="252"/>
      <c r="Y552" s="219"/>
      <c r="Z552" s="219"/>
      <c r="AA552" s="219"/>
      <c r="AB552" s="219"/>
      <c r="AC552" s="219"/>
    </row>
    <row r="553" spans="1:29" ht="15.75" hidden="1" customHeight="1">
      <c r="A553" s="253">
        <v>44782</v>
      </c>
      <c r="B553" s="224" t="s">
        <v>375</v>
      </c>
      <c r="C553" s="249">
        <v>3.5</v>
      </c>
      <c r="D553" s="224" t="s">
        <v>10012</v>
      </c>
      <c r="E553" s="250" t="s">
        <v>5</v>
      </c>
      <c r="F553" s="224" t="s">
        <v>447</v>
      </c>
      <c r="G553" s="224" t="s">
        <v>11201</v>
      </c>
      <c r="H553" s="224">
        <v>4</v>
      </c>
      <c r="I553" s="224" t="s">
        <v>449</v>
      </c>
      <c r="J553" s="224" t="s">
        <v>13400</v>
      </c>
      <c r="K553" s="224">
        <v>3</v>
      </c>
      <c r="L553" s="224" t="s">
        <v>451</v>
      </c>
      <c r="M553" s="224">
        <v>5000000</v>
      </c>
      <c r="N553" s="224" t="s">
        <v>452</v>
      </c>
      <c r="O553" s="224" t="s">
        <v>452</v>
      </c>
      <c r="P553" s="224" t="s">
        <v>447</v>
      </c>
      <c r="Q553" s="224" t="s">
        <v>18</v>
      </c>
      <c r="R553" s="254"/>
      <c r="S553" s="254"/>
      <c r="T553" s="254"/>
      <c r="U553" s="254"/>
      <c r="V553" s="252"/>
      <c r="W553" s="252"/>
      <c r="X553" s="252"/>
      <c r="Y553" s="224"/>
      <c r="Z553" s="224"/>
      <c r="AA553" s="224"/>
      <c r="AB553" s="224"/>
      <c r="AC553" s="224"/>
    </row>
    <row r="554" spans="1:29" ht="15.75" customHeight="1">
      <c r="A554" s="257">
        <v>44791</v>
      </c>
      <c r="B554" s="258" t="s">
        <v>390</v>
      </c>
      <c r="C554" s="263">
        <v>2.88</v>
      </c>
      <c r="D554" s="258" t="s">
        <v>9534</v>
      </c>
      <c r="E554" s="258" t="s">
        <v>4</v>
      </c>
      <c r="F554" s="258" t="s">
        <v>727</v>
      </c>
      <c r="G554" s="258" t="s">
        <v>10585</v>
      </c>
      <c r="H554" s="258">
        <v>3.75</v>
      </c>
      <c r="I554" s="258" t="s">
        <v>1298</v>
      </c>
      <c r="J554" s="258"/>
      <c r="K554" s="258">
        <v>2</v>
      </c>
      <c r="L554" s="258" t="s">
        <v>451</v>
      </c>
      <c r="M554" s="258" t="s">
        <v>4828</v>
      </c>
      <c r="N554" s="258" t="s">
        <v>465</v>
      </c>
      <c r="O554" s="258" t="s">
        <v>9536</v>
      </c>
      <c r="P554" s="258"/>
      <c r="Q554" s="258" t="s">
        <v>20</v>
      </c>
      <c r="R554" s="258" t="s">
        <v>11695</v>
      </c>
      <c r="S554" s="258" t="str">
        <f>IFERROR(VLOOKUP(B554,'2022-2023 Third Reviews'!$C:$S,9,FALSE),"")</f>
        <v/>
      </c>
      <c r="T554" s="258"/>
      <c r="U554" s="258"/>
      <c r="V554" s="252"/>
      <c r="W554" s="252"/>
      <c r="X554" s="252"/>
      <c r="Y554" s="219"/>
      <c r="Z554" s="219"/>
      <c r="AA554" s="219"/>
      <c r="AB554" s="219"/>
      <c r="AC554" s="219"/>
    </row>
    <row r="555" spans="1:29" ht="15.75" customHeight="1">
      <c r="A555" s="253">
        <v>44789</v>
      </c>
      <c r="B555" s="224" t="s">
        <v>5825</v>
      </c>
      <c r="C555" s="249">
        <v>2.88</v>
      </c>
      <c r="D555" s="224" t="s">
        <v>5828</v>
      </c>
      <c r="E555" s="250" t="s">
        <v>4</v>
      </c>
      <c r="F555" s="224" t="s">
        <v>727</v>
      </c>
      <c r="G555" s="224" t="s">
        <v>10347</v>
      </c>
      <c r="H555" s="224">
        <v>3.75</v>
      </c>
      <c r="I555" s="224" t="s">
        <v>1045</v>
      </c>
      <c r="J555" s="224" t="s">
        <v>5830</v>
      </c>
      <c r="K555" s="224">
        <v>2</v>
      </c>
      <c r="L555" s="224" t="s">
        <v>784</v>
      </c>
      <c r="M555" s="311">
        <v>350000</v>
      </c>
      <c r="N555" s="224" t="s">
        <v>452</v>
      </c>
      <c r="O555" s="224" t="s">
        <v>5831</v>
      </c>
      <c r="P555" s="224"/>
      <c r="Q555" s="224" t="s">
        <v>24</v>
      </c>
      <c r="R555" s="224"/>
      <c r="S555" s="224" t="str">
        <f ca="1">IFERROR(VLOOKUP(B555,'2022-2023 Third Reviews'!$C:$S,9,FALSE),"")</f>
        <v>Joshua Rubnitz
4</v>
      </c>
      <c r="T555" s="224"/>
      <c r="U555" s="224"/>
      <c r="V555" s="272"/>
      <c r="W555" s="272"/>
      <c r="X555" s="272"/>
      <c r="Y555" s="272"/>
      <c r="Z555" s="272"/>
      <c r="AA555" s="224"/>
      <c r="AB555" s="224"/>
      <c r="AC555" s="224"/>
    </row>
    <row r="556" spans="1:29" ht="15.75" customHeight="1">
      <c r="A556" s="248">
        <v>44791</v>
      </c>
      <c r="B556" s="219" t="s">
        <v>5834</v>
      </c>
      <c r="C556" s="315">
        <v>2.75</v>
      </c>
      <c r="D556" s="219" t="s">
        <v>5837</v>
      </c>
      <c r="E556" s="219" t="s">
        <v>4</v>
      </c>
      <c r="F556" s="219" t="s">
        <v>727</v>
      </c>
      <c r="G556" s="219" t="s">
        <v>10566</v>
      </c>
      <c r="H556" s="219">
        <v>2.5</v>
      </c>
      <c r="I556" s="219" t="s">
        <v>990</v>
      </c>
      <c r="J556" s="219" t="s">
        <v>5839</v>
      </c>
      <c r="K556" s="219">
        <v>3</v>
      </c>
      <c r="L556" s="219" t="s">
        <v>478</v>
      </c>
      <c r="M556" s="312">
        <v>5000000</v>
      </c>
      <c r="N556" s="219" t="s">
        <v>452</v>
      </c>
      <c r="O556" s="219" t="s">
        <v>452</v>
      </c>
      <c r="P556" s="219"/>
      <c r="Q556" s="322" t="s">
        <v>24</v>
      </c>
      <c r="R556" s="219"/>
      <c r="S556" s="219" t="str">
        <f>IFERROR(VLOOKUP(B556,'2022-2023 Third Reviews'!$C:$S,9,FALSE),"")</f>
        <v/>
      </c>
      <c r="T556" s="219"/>
      <c r="U556" s="219"/>
      <c r="V556" s="268"/>
      <c r="W556" s="268"/>
      <c r="X556" s="268"/>
      <c r="Y556" s="268"/>
      <c r="Z556" s="268"/>
      <c r="AA556" s="219"/>
      <c r="AB556" s="219"/>
      <c r="AC556" s="219"/>
    </row>
    <row r="557" spans="1:29" ht="15.75" customHeight="1">
      <c r="A557" s="253">
        <v>44791</v>
      </c>
      <c r="B557" s="224" t="s">
        <v>5841</v>
      </c>
      <c r="C557" s="316">
        <v>2.75</v>
      </c>
      <c r="D557" s="224" t="s">
        <v>5844</v>
      </c>
      <c r="E557" s="224" t="s">
        <v>4</v>
      </c>
      <c r="F557" s="224" t="s">
        <v>602</v>
      </c>
      <c r="G557" s="224" t="s">
        <v>5845</v>
      </c>
      <c r="H557" s="224">
        <v>2.5</v>
      </c>
      <c r="I557" s="224" t="s">
        <v>990</v>
      </c>
      <c r="J557" s="224"/>
      <c r="K557" s="224">
        <v>3</v>
      </c>
      <c r="L557" s="224"/>
      <c r="M557" s="327"/>
      <c r="N557" s="224" t="s">
        <v>452</v>
      </c>
      <c r="O557" s="224" t="s">
        <v>5846</v>
      </c>
      <c r="P557" s="224"/>
      <c r="Q557" s="322" t="s">
        <v>24</v>
      </c>
      <c r="R557" s="224"/>
      <c r="S557" s="224" t="str">
        <f>IFERROR(VLOOKUP(B557,'2022-2023 Third Reviews'!$C:$S,9,FALSE),"")</f>
        <v/>
      </c>
      <c r="T557" s="224"/>
      <c r="U557" s="224"/>
      <c r="V557" s="224"/>
      <c r="W557" s="224"/>
      <c r="X557" s="224"/>
      <c r="Y557" s="224"/>
      <c r="Z557" s="224"/>
      <c r="AA557" s="224"/>
      <c r="AB557" s="224"/>
      <c r="AC557" s="224"/>
    </row>
    <row r="558" spans="1:29" ht="15.75" customHeight="1">
      <c r="A558" s="248">
        <v>44789</v>
      </c>
      <c r="B558" s="219" t="s">
        <v>5848</v>
      </c>
      <c r="C558" s="249">
        <v>2.75</v>
      </c>
      <c r="D558" s="219" t="s">
        <v>5851</v>
      </c>
      <c r="E558" s="250" t="s">
        <v>4</v>
      </c>
      <c r="F558" s="219" t="s">
        <v>727</v>
      </c>
      <c r="G558" s="219" t="s">
        <v>10236</v>
      </c>
      <c r="H558" s="219">
        <v>3</v>
      </c>
      <c r="I558" s="219" t="s">
        <v>1045</v>
      </c>
      <c r="J558" s="219" t="s">
        <v>5853</v>
      </c>
      <c r="K558" s="219">
        <v>2.5</v>
      </c>
      <c r="L558" s="219"/>
      <c r="M558" s="312"/>
      <c r="N558" s="219" t="s">
        <v>452</v>
      </c>
      <c r="O558" s="219" t="s">
        <v>5854</v>
      </c>
      <c r="P558" s="219" t="s">
        <v>727</v>
      </c>
      <c r="Q558" s="219" t="s">
        <v>24</v>
      </c>
      <c r="R558" s="219"/>
      <c r="S558" s="219" t="str">
        <f>IFERROR(VLOOKUP(B558,'2022-2023 Third Reviews'!$C:$S,9,FALSE),"")</f>
        <v/>
      </c>
      <c r="T558" s="219"/>
      <c r="U558" s="219"/>
      <c r="V558" s="219"/>
      <c r="W558" s="219"/>
      <c r="X558" s="219"/>
      <c r="Y558" s="219"/>
      <c r="Z558" s="219"/>
      <c r="AA558" s="219"/>
      <c r="AB558" s="219"/>
      <c r="AC558" s="219"/>
    </row>
    <row r="559" spans="1:29" ht="15.75" customHeight="1">
      <c r="A559" s="220">
        <v>44776</v>
      </c>
      <c r="B559" s="221" t="s">
        <v>5857</v>
      </c>
      <c r="C559" s="214">
        <v>2.75</v>
      </c>
      <c r="D559" s="221" t="s">
        <v>5860</v>
      </c>
      <c r="E559" s="215" t="s">
        <v>4</v>
      </c>
      <c r="F559" s="221" t="s">
        <v>602</v>
      </c>
      <c r="G559" s="221" t="s">
        <v>11407</v>
      </c>
      <c r="H559" s="221">
        <v>3</v>
      </c>
      <c r="I559" s="221" t="s">
        <v>727</v>
      </c>
      <c r="J559" s="221" t="s">
        <v>5862</v>
      </c>
      <c r="K559" s="221">
        <v>2.5</v>
      </c>
      <c r="L559" s="221"/>
      <c r="M559" s="221"/>
      <c r="N559" s="221" t="s">
        <v>452</v>
      </c>
      <c r="O559" s="221" t="s">
        <v>5863</v>
      </c>
      <c r="P559" s="145"/>
      <c r="Q559" s="221" t="s">
        <v>24</v>
      </c>
      <c r="R559" s="221" t="s">
        <v>5864</v>
      </c>
      <c r="S559" s="221" t="str">
        <f>IFERROR(VLOOKUP(B559,'2022-2023 Third Reviews'!$C:$S,9,FALSE),"")</f>
        <v/>
      </c>
      <c r="T559" s="221"/>
      <c r="U559" s="221"/>
      <c r="V559" s="252"/>
      <c r="W559" s="252"/>
      <c r="X559" s="252"/>
      <c r="Y559" s="224"/>
      <c r="Z559" s="224"/>
      <c r="AA559" s="224"/>
      <c r="AB559" s="224"/>
      <c r="AC559" s="224"/>
    </row>
    <row r="560" spans="1:29" ht="15.75" customHeight="1">
      <c r="A560" s="248">
        <v>44789</v>
      </c>
      <c r="B560" s="219" t="s">
        <v>10205</v>
      </c>
      <c r="C560" s="249">
        <v>2.75</v>
      </c>
      <c r="D560" s="219" t="s">
        <v>6650</v>
      </c>
      <c r="E560" s="250" t="s">
        <v>4</v>
      </c>
      <c r="F560" s="219" t="s">
        <v>727</v>
      </c>
      <c r="G560" s="219" t="s">
        <v>11634</v>
      </c>
      <c r="H560" s="219">
        <v>3</v>
      </c>
      <c r="I560" s="219" t="s">
        <v>1045</v>
      </c>
      <c r="J560" s="219" t="s">
        <v>11635</v>
      </c>
      <c r="K560" s="219">
        <v>2.5</v>
      </c>
      <c r="L560" s="219" t="s">
        <v>451</v>
      </c>
      <c r="M560" s="310">
        <v>1500000</v>
      </c>
      <c r="N560" s="219" t="s">
        <v>452</v>
      </c>
      <c r="O560" s="219" t="s">
        <v>6653</v>
      </c>
      <c r="P560" s="219"/>
      <c r="Q560" s="219" t="s">
        <v>24</v>
      </c>
      <c r="R560" s="219"/>
      <c r="S560" s="219" t="str">
        <f>IFERROR(VLOOKUP(B560,'2022-2023 Third Reviews'!$C:$S,9,FALSE),"")</f>
        <v/>
      </c>
      <c r="T560" s="219"/>
      <c r="U560" s="219"/>
      <c r="V560" s="219"/>
      <c r="W560" s="219"/>
      <c r="X560" s="219"/>
      <c r="Y560" s="219"/>
      <c r="Z560" s="219"/>
      <c r="AA560" s="219"/>
      <c r="AB560" s="219"/>
      <c r="AC560" s="219"/>
    </row>
    <row r="561" spans="1:29" ht="15.75" customHeight="1">
      <c r="A561" s="253">
        <v>44791</v>
      </c>
      <c r="B561" s="224" t="s">
        <v>5867</v>
      </c>
      <c r="C561" s="316">
        <v>2.75</v>
      </c>
      <c r="D561" s="224" t="s">
        <v>5870</v>
      </c>
      <c r="E561" s="224" t="s">
        <v>4</v>
      </c>
      <c r="F561" s="224" t="s">
        <v>727</v>
      </c>
      <c r="G561" s="224" t="s">
        <v>10535</v>
      </c>
      <c r="H561" s="224">
        <v>3.5</v>
      </c>
      <c r="I561" s="224" t="s">
        <v>1036</v>
      </c>
      <c r="J561" s="224" t="s">
        <v>5872</v>
      </c>
      <c r="K561" s="224">
        <v>2</v>
      </c>
      <c r="L561" s="224"/>
      <c r="M561" s="311"/>
      <c r="N561" s="224" t="s">
        <v>452</v>
      </c>
      <c r="O561" s="224" t="s">
        <v>10536</v>
      </c>
      <c r="P561" s="224"/>
      <c r="Q561" s="322" t="s">
        <v>24</v>
      </c>
      <c r="R561" s="224"/>
      <c r="S561" s="224" t="str">
        <f>IFERROR(VLOOKUP(B561,'2022-2023 Third Reviews'!$C:$S,9,FALSE),"")</f>
        <v/>
      </c>
      <c r="T561" s="224"/>
      <c r="U561" s="224"/>
      <c r="V561" s="224"/>
      <c r="W561" s="224"/>
      <c r="X561" s="224"/>
      <c r="Y561" s="224"/>
      <c r="Z561" s="224"/>
      <c r="AA561" s="224"/>
      <c r="AB561" s="224"/>
      <c r="AC561" s="224"/>
    </row>
    <row r="562" spans="1:29" ht="15.75" customHeight="1">
      <c r="A562" s="248">
        <v>44796</v>
      </c>
      <c r="B562" s="219" t="s">
        <v>5876</v>
      </c>
      <c r="C562" s="315">
        <v>2.75</v>
      </c>
      <c r="D562" s="219" t="s">
        <v>5879</v>
      </c>
      <c r="E562" s="219" t="s">
        <v>4</v>
      </c>
      <c r="F562" s="219" t="s">
        <v>727</v>
      </c>
      <c r="G562" s="219"/>
      <c r="H562" s="219">
        <v>2.5</v>
      </c>
      <c r="I562" s="219" t="s">
        <v>1073</v>
      </c>
      <c r="J562" s="219" t="s">
        <v>5880</v>
      </c>
      <c r="K562" s="219">
        <v>3</v>
      </c>
      <c r="L562" s="219"/>
      <c r="M562" s="219"/>
      <c r="N562" s="219" t="s">
        <v>452</v>
      </c>
      <c r="O562" s="219" t="s">
        <v>452</v>
      </c>
      <c r="P562" s="219"/>
      <c r="Q562" s="219" t="s">
        <v>24</v>
      </c>
      <c r="R562" s="219"/>
      <c r="S562" s="219" t="str">
        <f>IFERROR(VLOOKUP(B562,'2022-2023 Third Reviews'!$C:$S,9,FALSE),"")</f>
        <v/>
      </c>
      <c r="T562" s="219"/>
      <c r="U562" s="219"/>
      <c r="V562" s="306"/>
      <c r="W562" s="306"/>
      <c r="X562" s="306"/>
      <c r="Y562" s="306"/>
      <c r="Z562" s="306"/>
      <c r="AA562" s="306"/>
      <c r="AB562" s="306"/>
      <c r="AC562" s="306"/>
    </row>
    <row r="563" spans="1:29" ht="15.75" customHeight="1">
      <c r="A563" s="253">
        <v>44796</v>
      </c>
      <c r="B563" s="224" t="s">
        <v>5883</v>
      </c>
      <c r="C563" s="316">
        <v>2.75</v>
      </c>
      <c r="D563" s="224" t="s">
        <v>5886</v>
      </c>
      <c r="E563" s="224" t="s">
        <v>4</v>
      </c>
      <c r="F563" s="224" t="s">
        <v>725</v>
      </c>
      <c r="G563" s="224" t="s">
        <v>11122</v>
      </c>
      <c r="H563" s="224">
        <v>3</v>
      </c>
      <c r="I563" s="224" t="s">
        <v>1045</v>
      </c>
      <c r="J563" s="224" t="s">
        <v>5888</v>
      </c>
      <c r="K563" s="224">
        <v>2.5</v>
      </c>
      <c r="L563" s="224" t="s">
        <v>451</v>
      </c>
      <c r="M563" s="224" t="s">
        <v>5889</v>
      </c>
      <c r="N563" s="224" t="s">
        <v>452</v>
      </c>
      <c r="O563" s="224" t="s">
        <v>5890</v>
      </c>
      <c r="P563" s="224" t="s">
        <v>5891</v>
      </c>
      <c r="Q563" s="224" t="s">
        <v>24</v>
      </c>
      <c r="R563" s="224"/>
      <c r="S563" s="224" t="str">
        <f>IFERROR(VLOOKUP(B563,'2022-2023 Third Reviews'!$C:$S,9,FALSE),"")</f>
        <v/>
      </c>
      <c r="T563" s="224"/>
      <c r="U563" s="224"/>
      <c r="V563" s="258"/>
      <c r="W563" s="258"/>
      <c r="X563" s="258"/>
      <c r="Y563" s="258"/>
      <c r="Z563" s="258"/>
      <c r="AA563" s="258"/>
      <c r="AB563" s="258"/>
      <c r="AC563" s="258"/>
    </row>
    <row r="564" spans="1:29" ht="15.75" hidden="1" customHeight="1">
      <c r="A564" s="267">
        <v>44784</v>
      </c>
      <c r="B564" s="268" t="s">
        <v>8680</v>
      </c>
      <c r="C564" s="269">
        <v>2</v>
      </c>
      <c r="D564" s="268" t="s">
        <v>11136</v>
      </c>
      <c r="E564" s="270" t="s">
        <v>3</v>
      </c>
      <c r="F564" s="268" t="s">
        <v>488</v>
      </c>
      <c r="G564" s="268" t="s">
        <v>11137</v>
      </c>
      <c r="H564" s="268">
        <v>2</v>
      </c>
      <c r="I564" s="268" t="s">
        <v>941</v>
      </c>
      <c r="J564" s="268"/>
      <c r="K564" s="268">
        <v>2</v>
      </c>
      <c r="L564" s="268"/>
      <c r="M564" s="268"/>
      <c r="N564" s="268" t="s">
        <v>454</v>
      </c>
      <c r="O564" s="268" t="s">
        <v>8685</v>
      </c>
      <c r="P564" s="268"/>
      <c r="Q564" s="268" t="s">
        <v>24</v>
      </c>
      <c r="R564" s="271"/>
      <c r="S564" s="271"/>
      <c r="T564" s="271"/>
      <c r="U564" s="271"/>
      <c r="V564" s="268"/>
      <c r="W564" s="268"/>
      <c r="X564" s="268"/>
      <c r="Y564" s="268"/>
      <c r="Z564" s="268"/>
      <c r="AA564" s="219"/>
      <c r="AB564" s="219"/>
      <c r="AC564" s="219"/>
    </row>
    <row r="565" spans="1:29" ht="15.75" customHeight="1">
      <c r="A565" s="398">
        <v>44784</v>
      </c>
      <c r="B565" s="272" t="s">
        <v>5894</v>
      </c>
      <c r="C565" s="269">
        <v>2.75</v>
      </c>
      <c r="D565" s="272" t="s">
        <v>5897</v>
      </c>
      <c r="E565" s="270" t="s">
        <v>4</v>
      </c>
      <c r="F565" s="272" t="s">
        <v>727</v>
      </c>
      <c r="G565" s="272" t="s">
        <v>10218</v>
      </c>
      <c r="H565" s="272">
        <v>3</v>
      </c>
      <c r="I565" s="272" t="s">
        <v>1054</v>
      </c>
      <c r="J565" s="272" t="s">
        <v>5899</v>
      </c>
      <c r="K565" s="272">
        <v>2.5</v>
      </c>
      <c r="L565" s="272" t="s">
        <v>784</v>
      </c>
      <c r="M565" s="272">
        <v>1000000</v>
      </c>
      <c r="N565" s="272" t="s">
        <v>465</v>
      </c>
      <c r="O565" s="272" t="s">
        <v>5900</v>
      </c>
      <c r="P565" s="272"/>
      <c r="Q565" s="272" t="s">
        <v>24</v>
      </c>
      <c r="R565" s="272"/>
      <c r="S565" s="272" t="str">
        <f>IFERROR(VLOOKUP(B565,'2022-2023 Third Reviews'!$C:$S,9,FALSE),"")</f>
        <v/>
      </c>
      <c r="T565" s="272"/>
      <c r="U565" s="272"/>
      <c r="V565" s="224"/>
      <c r="W565" s="224"/>
      <c r="X565" s="224"/>
      <c r="Y565" s="224"/>
      <c r="Z565" s="224"/>
      <c r="AA565" s="224"/>
      <c r="AB565" s="224"/>
      <c r="AC565" s="224"/>
    </row>
    <row r="566" spans="1:29" ht="15.75" customHeight="1">
      <c r="A566" s="248">
        <v>44791</v>
      </c>
      <c r="B566" s="219" t="s">
        <v>5903</v>
      </c>
      <c r="C566" s="315">
        <v>2.75</v>
      </c>
      <c r="D566" s="219" t="s">
        <v>10530</v>
      </c>
      <c r="E566" s="219" t="s">
        <v>4</v>
      </c>
      <c r="F566" s="219" t="s">
        <v>727</v>
      </c>
      <c r="G566" s="219" t="s">
        <v>10531</v>
      </c>
      <c r="H566" s="219">
        <v>2.5</v>
      </c>
      <c r="I566" s="219" t="s">
        <v>604</v>
      </c>
      <c r="J566" s="219" t="s">
        <v>10532</v>
      </c>
      <c r="K566" s="219">
        <v>3</v>
      </c>
      <c r="L566" s="219" t="s">
        <v>784</v>
      </c>
      <c r="M566" s="312">
        <v>1000000</v>
      </c>
      <c r="N566" s="219" t="s">
        <v>452</v>
      </c>
      <c r="O566" s="219" t="s">
        <v>452</v>
      </c>
      <c r="P566" s="219" t="s">
        <v>2180</v>
      </c>
      <c r="Q566" s="322" t="s">
        <v>24</v>
      </c>
      <c r="R566" s="219"/>
      <c r="S566" s="219" t="str">
        <f>IFERROR(VLOOKUP(B566,'2022-2023 Third Reviews'!$C:$S,9,FALSE),"")</f>
        <v/>
      </c>
      <c r="T566" s="219"/>
      <c r="U566" s="219"/>
      <c r="V566" s="219"/>
      <c r="W566" s="219"/>
      <c r="X566" s="219"/>
      <c r="Y566" s="219"/>
      <c r="Z566" s="219"/>
      <c r="AA566" s="219"/>
      <c r="AB566" s="219"/>
      <c r="AC566" s="219"/>
    </row>
    <row r="567" spans="1:29" ht="15.75" customHeight="1">
      <c r="A567" s="253">
        <v>44791</v>
      </c>
      <c r="B567" s="224" t="s">
        <v>5911</v>
      </c>
      <c r="C567" s="316">
        <v>2.75</v>
      </c>
      <c r="D567" s="224" t="s">
        <v>5914</v>
      </c>
      <c r="E567" s="224" t="s">
        <v>4</v>
      </c>
      <c r="F567" s="224" t="s">
        <v>602</v>
      </c>
      <c r="G567" s="224" t="s">
        <v>5915</v>
      </c>
      <c r="H567" s="224">
        <v>2.5</v>
      </c>
      <c r="I567" s="224" t="s">
        <v>1045</v>
      </c>
      <c r="J567" s="224" t="s">
        <v>5916</v>
      </c>
      <c r="K567" s="224">
        <v>3</v>
      </c>
      <c r="L567" s="224"/>
      <c r="M567" s="224"/>
      <c r="N567" s="224" t="s">
        <v>452</v>
      </c>
      <c r="O567" s="224" t="s">
        <v>452</v>
      </c>
      <c r="P567" s="224"/>
      <c r="Q567" s="322" t="s">
        <v>24</v>
      </c>
      <c r="R567" s="224"/>
      <c r="S567" s="224" t="str">
        <f>IFERROR(VLOOKUP(B567,'2022-2023 Third Reviews'!$C:$S,9,FALSE),"")</f>
        <v/>
      </c>
      <c r="T567" s="224"/>
      <c r="U567" s="224"/>
      <c r="V567" s="224"/>
      <c r="W567" s="224"/>
      <c r="X567" s="224"/>
      <c r="Y567" s="224"/>
      <c r="Z567" s="224"/>
      <c r="AA567" s="224"/>
      <c r="AB567" s="224"/>
      <c r="AC567" s="224"/>
    </row>
    <row r="568" spans="1:29" ht="15.75" customHeight="1">
      <c r="A568" s="248">
        <v>44782</v>
      </c>
      <c r="B568" s="219" t="s">
        <v>5919</v>
      </c>
      <c r="C568" s="249">
        <v>2.75</v>
      </c>
      <c r="D568" s="219" t="s">
        <v>10458</v>
      </c>
      <c r="E568" s="250" t="s">
        <v>4</v>
      </c>
      <c r="F568" s="219" t="s">
        <v>602</v>
      </c>
      <c r="G568" s="219" t="s">
        <v>5923</v>
      </c>
      <c r="H568" s="219">
        <v>2</v>
      </c>
      <c r="I568" s="219" t="s">
        <v>1054</v>
      </c>
      <c r="J568" s="219" t="s">
        <v>5924</v>
      </c>
      <c r="K568" s="219">
        <v>3.5</v>
      </c>
      <c r="L568" s="219" t="s">
        <v>451</v>
      </c>
      <c r="M568" s="219">
        <v>5000000</v>
      </c>
      <c r="N568" s="219" t="s">
        <v>452</v>
      </c>
      <c r="O568" s="219" t="s">
        <v>452</v>
      </c>
      <c r="P568" s="219"/>
      <c r="Q568" s="219" t="s">
        <v>24</v>
      </c>
      <c r="R568" s="219"/>
      <c r="S568" s="219" t="str">
        <f>IFERROR(VLOOKUP(B568,'2022-2023 Third Reviews'!$C:$S,9,FALSE),"")</f>
        <v/>
      </c>
      <c r="T568" s="219"/>
      <c r="U568" s="219"/>
      <c r="V568" s="219"/>
      <c r="W568" s="219"/>
      <c r="X568" s="219"/>
      <c r="Y568" s="219"/>
      <c r="Z568" s="219"/>
      <c r="AA568" s="219"/>
      <c r="AB568" s="219"/>
      <c r="AC568" s="219"/>
    </row>
    <row r="569" spans="1:29" ht="15.75" customHeight="1">
      <c r="A569" s="253">
        <v>44796</v>
      </c>
      <c r="B569" s="224" t="s">
        <v>5927</v>
      </c>
      <c r="C569" s="316">
        <v>2.75</v>
      </c>
      <c r="D569" s="224" t="s">
        <v>5930</v>
      </c>
      <c r="E569" s="224" t="s">
        <v>4</v>
      </c>
      <c r="F569" s="224" t="s">
        <v>727</v>
      </c>
      <c r="G569" s="224" t="s">
        <v>10529</v>
      </c>
      <c r="H569" s="224">
        <v>3.5</v>
      </c>
      <c r="I569" s="224" t="s">
        <v>1237</v>
      </c>
      <c r="J569" s="224"/>
      <c r="K569" s="224">
        <v>2</v>
      </c>
      <c r="L569" s="224"/>
      <c r="M569" s="224"/>
      <c r="N569" s="224" t="s">
        <v>452</v>
      </c>
      <c r="O569" s="224" t="s">
        <v>5932</v>
      </c>
      <c r="P569" s="224"/>
      <c r="Q569" s="224" t="s">
        <v>24</v>
      </c>
      <c r="R569" s="224"/>
      <c r="S569" s="224" t="str">
        <f>IFERROR(VLOOKUP(B569,'2022-2023 Third Reviews'!$C:$S,9,FALSE),"")</f>
        <v/>
      </c>
      <c r="T569" s="224"/>
      <c r="U569" s="224"/>
      <c r="V569" s="224"/>
      <c r="W569" s="224"/>
      <c r="X569" s="224"/>
      <c r="Y569" s="224"/>
      <c r="Z569" s="224"/>
      <c r="AA569" s="224"/>
      <c r="AB569" s="224"/>
      <c r="AC569" s="224"/>
    </row>
    <row r="570" spans="1:29" ht="15.75" customHeight="1">
      <c r="A570" s="248">
        <v>44789</v>
      </c>
      <c r="B570" s="219" t="s">
        <v>5934</v>
      </c>
      <c r="C570" s="249">
        <v>2.75</v>
      </c>
      <c r="D570" s="219" t="s">
        <v>5937</v>
      </c>
      <c r="E570" s="250" t="s">
        <v>4</v>
      </c>
      <c r="F570" s="219" t="s">
        <v>602</v>
      </c>
      <c r="G570" s="219" t="s">
        <v>5938</v>
      </c>
      <c r="H570" s="219">
        <v>2.5</v>
      </c>
      <c r="I570" s="219" t="s">
        <v>1054</v>
      </c>
      <c r="J570" s="219" t="s">
        <v>5939</v>
      </c>
      <c r="K570" s="219">
        <v>3</v>
      </c>
      <c r="L570" s="219" t="s">
        <v>923</v>
      </c>
      <c r="M570" s="219" t="s">
        <v>5940</v>
      </c>
      <c r="N570" s="219" t="s">
        <v>452</v>
      </c>
      <c r="O570" s="219" t="s">
        <v>5941</v>
      </c>
      <c r="P570" s="219"/>
      <c r="Q570" s="219" t="s">
        <v>24</v>
      </c>
      <c r="R570" s="219"/>
      <c r="S570" s="219" t="str">
        <f>IFERROR(VLOOKUP(B570,'2022-2023 Third Reviews'!$C:$S,9,FALSE),"")</f>
        <v/>
      </c>
      <c r="T570" s="219"/>
      <c r="U570" s="219"/>
      <c r="V570" s="219"/>
      <c r="W570" s="219"/>
      <c r="X570" s="219"/>
      <c r="Y570" s="219"/>
      <c r="Z570" s="219"/>
      <c r="AA570" s="219"/>
      <c r="AB570" s="219"/>
      <c r="AC570" s="219"/>
    </row>
    <row r="571" spans="1:29" ht="15.75" hidden="1" customHeight="1">
      <c r="A571" s="253">
        <v>44796</v>
      </c>
      <c r="B571" s="224" t="s">
        <v>8687</v>
      </c>
      <c r="C571" s="316">
        <v>2</v>
      </c>
      <c r="D571" s="224" t="s">
        <v>11239</v>
      </c>
      <c r="E571" s="224" t="s">
        <v>3</v>
      </c>
      <c r="F571" s="224" t="s">
        <v>488</v>
      </c>
      <c r="G571" s="224" t="s">
        <v>8691</v>
      </c>
      <c r="H571" s="224">
        <v>2</v>
      </c>
      <c r="I571" s="224" t="s">
        <v>941</v>
      </c>
      <c r="J571" s="224" t="s">
        <v>8692</v>
      </c>
      <c r="K571" s="224">
        <v>2</v>
      </c>
      <c r="L571" s="224"/>
      <c r="M571" s="224"/>
      <c r="N571" s="224" t="s">
        <v>454</v>
      </c>
      <c r="O571" s="224" t="s">
        <v>1119</v>
      </c>
      <c r="P571" s="224"/>
      <c r="Q571" s="224" t="s">
        <v>24</v>
      </c>
      <c r="R571" s="254"/>
      <c r="S571" s="254"/>
      <c r="T571" s="254"/>
      <c r="U571" s="254"/>
      <c r="V571" s="224"/>
      <c r="W571" s="224"/>
      <c r="X571" s="224"/>
      <c r="Y571" s="224"/>
      <c r="Z571" s="224"/>
      <c r="AA571" s="224"/>
      <c r="AB571" s="224"/>
      <c r="AC571" s="224"/>
    </row>
    <row r="572" spans="1:29" ht="15.75" hidden="1" customHeight="1">
      <c r="A572" s="248">
        <v>44789</v>
      </c>
      <c r="B572" s="219" t="s">
        <v>2644</v>
      </c>
      <c r="C572" s="249">
        <v>2</v>
      </c>
      <c r="D572" s="219" t="s">
        <v>2647</v>
      </c>
      <c r="E572" s="250" t="s">
        <v>5</v>
      </c>
      <c r="F572" s="219" t="s">
        <v>447</v>
      </c>
      <c r="G572" s="219" t="s">
        <v>10354</v>
      </c>
      <c r="H572" s="219">
        <v>2</v>
      </c>
      <c r="I572" s="219" t="s">
        <v>449</v>
      </c>
      <c r="J572" s="219" t="e">
        <f>+passionate Team
-Might be Too early for EFL</f>
        <v>#NAME?</v>
      </c>
      <c r="K572" s="219">
        <v>2</v>
      </c>
      <c r="L572" s="219"/>
      <c r="M572" s="219"/>
      <c r="N572" s="219" t="s">
        <v>452</v>
      </c>
      <c r="O572" s="219" t="s">
        <v>452</v>
      </c>
      <c r="P572" s="219"/>
      <c r="Q572" s="219" t="s">
        <v>24</v>
      </c>
      <c r="R572" s="251"/>
      <c r="S572" s="251"/>
      <c r="T572" s="251"/>
      <c r="U572" s="251"/>
      <c r="V572" s="252"/>
      <c r="W572" s="252"/>
      <c r="X572" s="252"/>
      <c r="Y572" s="219"/>
      <c r="Z572" s="219"/>
      <c r="AA572" s="219"/>
      <c r="AB572" s="219"/>
      <c r="AC572" s="219"/>
    </row>
    <row r="573" spans="1:29" ht="15.75" customHeight="1">
      <c r="A573" s="253">
        <v>44796</v>
      </c>
      <c r="B573" s="224" t="s">
        <v>5944</v>
      </c>
      <c r="C573" s="316">
        <v>2.75</v>
      </c>
      <c r="D573" s="224" t="s">
        <v>5947</v>
      </c>
      <c r="E573" s="224" t="s">
        <v>4</v>
      </c>
      <c r="F573" s="224" t="s">
        <v>1045</v>
      </c>
      <c r="G573" s="224" t="s">
        <v>5948</v>
      </c>
      <c r="H573" s="224">
        <v>2.5</v>
      </c>
      <c r="I573" s="224" t="s">
        <v>1281</v>
      </c>
      <c r="J573" s="224" t="s">
        <v>5949</v>
      </c>
      <c r="K573" s="224">
        <v>3</v>
      </c>
      <c r="L573" s="224" t="s">
        <v>478</v>
      </c>
      <c r="M573" s="224">
        <v>7000000</v>
      </c>
      <c r="N573" s="224" t="s">
        <v>452</v>
      </c>
      <c r="O573" s="224" t="s">
        <v>452</v>
      </c>
      <c r="P573" s="224"/>
      <c r="Q573" s="224" t="s">
        <v>24</v>
      </c>
      <c r="R573" s="224"/>
      <c r="S573" s="224" t="str">
        <f>IFERROR(VLOOKUP(B573,'2022-2023 Third Reviews'!$C:$S,9,FALSE),"")</f>
        <v/>
      </c>
      <c r="T573" s="224"/>
      <c r="U573" s="224"/>
      <c r="V573" s="224"/>
      <c r="W573" s="224"/>
      <c r="X573" s="224"/>
      <c r="Y573" s="224"/>
      <c r="Z573" s="224"/>
      <c r="AA573" s="224"/>
      <c r="AB573" s="224"/>
      <c r="AC573" s="224"/>
    </row>
    <row r="574" spans="1:29" ht="15.75" hidden="1" customHeight="1">
      <c r="A574" s="301">
        <v>44789</v>
      </c>
      <c r="B574" s="303" t="s">
        <v>315</v>
      </c>
      <c r="C574" s="269"/>
      <c r="D574" s="303" t="s">
        <v>1735</v>
      </c>
      <c r="E574" s="270" t="s">
        <v>3</v>
      </c>
      <c r="F574" s="303" t="s">
        <v>460</v>
      </c>
      <c r="G574" s="303"/>
      <c r="H574" s="303"/>
      <c r="I574" s="303" t="s">
        <v>462</v>
      </c>
      <c r="J574" s="303" t="s">
        <v>1737</v>
      </c>
      <c r="K574" s="303">
        <v>4</v>
      </c>
      <c r="L574" s="303"/>
      <c r="M574" s="303"/>
      <c r="N574" s="303" t="s">
        <v>452</v>
      </c>
      <c r="O574" s="303" t="s">
        <v>1738</v>
      </c>
      <c r="P574" s="303" t="s">
        <v>1739</v>
      </c>
      <c r="Q574" s="303"/>
      <c r="R574" s="305"/>
      <c r="S574" s="305"/>
      <c r="T574" s="305"/>
      <c r="U574" s="305"/>
      <c r="V574" s="303"/>
      <c r="W574" s="303"/>
      <c r="X574" s="303"/>
      <c r="Y574" s="303"/>
      <c r="Z574" s="303"/>
      <c r="AA574" s="306"/>
      <c r="AB574" s="306"/>
      <c r="AC574" s="306"/>
    </row>
    <row r="575" spans="1:29" ht="15.75" hidden="1" customHeight="1">
      <c r="A575" s="253">
        <v>44789</v>
      </c>
      <c r="B575" s="224" t="s">
        <v>315</v>
      </c>
      <c r="C575" s="249">
        <v>4</v>
      </c>
      <c r="D575" s="224" t="s">
        <v>1735</v>
      </c>
      <c r="E575" s="250" t="s">
        <v>3</v>
      </c>
      <c r="F575" s="224" t="s">
        <v>460</v>
      </c>
      <c r="G575" s="224" t="s">
        <v>1736</v>
      </c>
      <c r="H575" s="224">
        <v>4</v>
      </c>
      <c r="I575" s="224" t="s">
        <v>462</v>
      </c>
      <c r="J575" s="224" t="s">
        <v>1737</v>
      </c>
      <c r="K575" s="224">
        <v>4</v>
      </c>
      <c r="L575" s="224"/>
      <c r="M575" s="224"/>
      <c r="N575" s="224" t="s">
        <v>452</v>
      </c>
      <c r="O575" s="224" t="s">
        <v>1738</v>
      </c>
      <c r="P575" s="224" t="s">
        <v>1739</v>
      </c>
      <c r="Q575" s="224" t="s">
        <v>18</v>
      </c>
      <c r="R575" s="254"/>
      <c r="S575" s="254"/>
      <c r="T575" s="254"/>
      <c r="U575" s="254"/>
      <c r="V575" s="252"/>
      <c r="W575" s="252"/>
      <c r="X575" s="252"/>
      <c r="Y575" s="224"/>
      <c r="Z575" s="224"/>
      <c r="AA575" s="224"/>
      <c r="AB575" s="224"/>
      <c r="AC575" s="224"/>
    </row>
    <row r="576" spans="1:29" ht="15.75" hidden="1" customHeight="1">
      <c r="A576" s="541">
        <v>44796</v>
      </c>
      <c r="B576" s="306" t="s">
        <v>8695</v>
      </c>
      <c r="C576" s="542"/>
      <c r="D576" s="306" t="s">
        <v>10373</v>
      </c>
      <c r="E576" s="306" t="s">
        <v>3</v>
      </c>
      <c r="F576" s="306" t="s">
        <v>488</v>
      </c>
      <c r="G576" s="306"/>
      <c r="H576" s="306"/>
      <c r="I576" s="306" t="s">
        <v>941</v>
      </c>
      <c r="J576" s="306"/>
      <c r="K576" s="306"/>
      <c r="L576" s="306" t="s">
        <v>8700</v>
      </c>
      <c r="M576" s="306" t="s">
        <v>8701</v>
      </c>
      <c r="N576" s="306" t="s">
        <v>452</v>
      </c>
      <c r="O576" s="306" t="s">
        <v>452</v>
      </c>
      <c r="P576" s="306"/>
      <c r="Q576" s="306"/>
      <c r="R576" s="543"/>
      <c r="S576" s="543"/>
      <c r="T576" s="543"/>
      <c r="U576" s="543"/>
      <c r="V576" s="306"/>
      <c r="W576" s="306"/>
      <c r="X576" s="306"/>
      <c r="Y576" s="306"/>
      <c r="Z576" s="306"/>
      <c r="AA576" s="306"/>
      <c r="AB576" s="306"/>
      <c r="AC576" s="306"/>
    </row>
    <row r="577" spans="1:29" ht="15.75" hidden="1" customHeight="1">
      <c r="A577" s="257">
        <v>44796</v>
      </c>
      <c r="B577" s="258" t="s">
        <v>8695</v>
      </c>
      <c r="C577" s="263">
        <v>3</v>
      </c>
      <c r="D577" s="258" t="s">
        <v>10373</v>
      </c>
      <c r="E577" s="258" t="s">
        <v>3</v>
      </c>
      <c r="F577" s="258" t="s">
        <v>488</v>
      </c>
      <c r="G577" s="258" t="s">
        <v>8699</v>
      </c>
      <c r="H577" s="258">
        <v>3</v>
      </c>
      <c r="I577" s="258" t="s">
        <v>941</v>
      </c>
      <c r="J577" s="258"/>
      <c r="K577" s="258">
        <v>3</v>
      </c>
      <c r="L577" s="258" t="s">
        <v>8700</v>
      </c>
      <c r="M577" s="258" t="s">
        <v>8701</v>
      </c>
      <c r="N577" s="258" t="s">
        <v>452</v>
      </c>
      <c r="O577" s="258" t="s">
        <v>452</v>
      </c>
      <c r="P577" s="258"/>
      <c r="Q577" s="258" t="s">
        <v>24</v>
      </c>
      <c r="R577" s="259" t="s">
        <v>11735</v>
      </c>
      <c r="S577" s="259"/>
      <c r="T577" s="259"/>
      <c r="U577" s="259"/>
      <c r="V577" s="258"/>
      <c r="W577" s="258"/>
      <c r="X577" s="258"/>
      <c r="Y577" s="258"/>
      <c r="Z577" s="258"/>
      <c r="AA577" s="258"/>
      <c r="AB577" s="258"/>
      <c r="AC577" s="258"/>
    </row>
    <row r="578" spans="1:29" ht="15.75" hidden="1" customHeight="1">
      <c r="A578" s="267">
        <v>44784</v>
      </c>
      <c r="B578" s="268" t="s">
        <v>8705</v>
      </c>
      <c r="C578" s="269">
        <v>2.25</v>
      </c>
      <c r="D578" s="268" t="s">
        <v>8708</v>
      </c>
      <c r="E578" s="270" t="s">
        <v>3</v>
      </c>
      <c r="F578" s="268" t="s">
        <v>460</v>
      </c>
      <c r="G578" s="268" t="s">
        <v>8709</v>
      </c>
      <c r="H578" s="268">
        <v>2.5</v>
      </c>
      <c r="I578" s="268" t="s">
        <v>488</v>
      </c>
      <c r="J578" s="268" t="s">
        <v>8710</v>
      </c>
      <c r="K578" s="268">
        <v>2</v>
      </c>
      <c r="L578" s="268" t="s">
        <v>451</v>
      </c>
      <c r="M578" s="275">
        <v>1800000</v>
      </c>
      <c r="N578" s="268" t="s">
        <v>452</v>
      </c>
      <c r="O578" s="275" t="s">
        <v>8711</v>
      </c>
      <c r="P578" s="268"/>
      <c r="Q578" s="268" t="s">
        <v>24</v>
      </c>
      <c r="R578" s="271"/>
      <c r="S578" s="271"/>
      <c r="T578" s="271"/>
      <c r="U578" s="271"/>
      <c r="V578" s="268"/>
      <c r="W578" s="268"/>
      <c r="X578" s="268"/>
      <c r="Y578" s="268"/>
      <c r="Z578" s="268"/>
      <c r="AA578" s="219"/>
      <c r="AB578" s="219"/>
      <c r="AC578" s="219"/>
    </row>
    <row r="579" spans="1:29" ht="15.75" hidden="1" customHeight="1">
      <c r="A579" s="253">
        <v>44782</v>
      </c>
      <c r="B579" s="224" t="s">
        <v>316</v>
      </c>
      <c r="C579" s="249">
        <v>4.5</v>
      </c>
      <c r="D579" s="224" t="s">
        <v>1744</v>
      </c>
      <c r="E579" s="250" t="s">
        <v>3</v>
      </c>
      <c r="F579" s="224" t="s">
        <v>460</v>
      </c>
      <c r="G579" s="224" t="s">
        <v>11524</v>
      </c>
      <c r="H579" s="224">
        <v>4.5</v>
      </c>
      <c r="I579" s="224" t="s">
        <v>462</v>
      </c>
      <c r="J579" s="224" t="s">
        <v>1746</v>
      </c>
      <c r="K579" s="224">
        <v>4.5</v>
      </c>
      <c r="L579" s="224" t="s">
        <v>478</v>
      </c>
      <c r="M579" s="224">
        <v>20000000</v>
      </c>
      <c r="N579" s="224" t="s">
        <v>454</v>
      </c>
      <c r="O579" s="224" t="s">
        <v>1747</v>
      </c>
      <c r="P579" s="224"/>
      <c r="Q579" s="224" t="s">
        <v>18</v>
      </c>
      <c r="R579" s="254"/>
      <c r="S579" s="254"/>
      <c r="T579" s="254"/>
      <c r="U579" s="254"/>
      <c r="V579" s="252"/>
      <c r="W579" s="252"/>
      <c r="X579" s="252"/>
      <c r="Y579" s="224"/>
      <c r="Z579" s="224"/>
      <c r="AA579" s="224"/>
      <c r="AB579" s="224"/>
      <c r="AC579" s="224"/>
    </row>
    <row r="580" spans="1:29" ht="15.75" hidden="1" customHeight="1">
      <c r="A580" s="255">
        <v>44789</v>
      </c>
      <c r="B580" s="239" t="s">
        <v>2651</v>
      </c>
      <c r="C580" s="262">
        <v>3.25</v>
      </c>
      <c r="D580" s="239" t="s">
        <v>2654</v>
      </c>
      <c r="E580" s="239" t="s">
        <v>5</v>
      </c>
      <c r="F580" s="239" t="s">
        <v>447</v>
      </c>
      <c r="G580" s="239" t="s">
        <v>10874</v>
      </c>
      <c r="H580" s="239">
        <v>3</v>
      </c>
      <c r="I580" s="239" t="s">
        <v>543</v>
      </c>
      <c r="J580" s="239" t="e">
        <f>+ Enhance hyperaccumulator plants that Have the ability to _xlnm.extract metals at low concentrations then harvest the biomass and transform it into metal
+Develop plants that Have the ability to absorb metals in soils
+Recover the metal from the biomass.</f>
        <v>#NAME?</v>
      </c>
      <c r="K580" s="239">
        <v>3.5</v>
      </c>
      <c r="L580" s="239"/>
      <c r="M580" s="239"/>
      <c r="N580" s="239" t="s">
        <v>452</v>
      </c>
      <c r="O580" s="239" t="s">
        <v>2657</v>
      </c>
      <c r="P580" s="239"/>
      <c r="Q580" s="239" t="s">
        <v>24</v>
      </c>
      <c r="R580" s="256"/>
      <c r="S580" s="256"/>
      <c r="T580" s="256"/>
      <c r="U580" s="256"/>
      <c r="V580" s="239"/>
      <c r="W580" s="239"/>
      <c r="X580" s="239"/>
      <c r="Y580" s="239"/>
      <c r="Z580" s="239"/>
      <c r="AA580" s="239"/>
      <c r="AB580" s="239"/>
      <c r="AC580" s="239"/>
    </row>
    <row r="581" spans="1:29" ht="15.75" hidden="1" customHeight="1">
      <c r="A581" s="301">
        <v>44789</v>
      </c>
      <c r="B581" s="303" t="s">
        <v>317</v>
      </c>
      <c r="C581" s="269"/>
      <c r="D581" s="303" t="s">
        <v>1752</v>
      </c>
      <c r="E581" s="270" t="s">
        <v>3</v>
      </c>
      <c r="F581" s="303" t="s">
        <v>460</v>
      </c>
      <c r="G581" s="303" t="s">
        <v>13223</v>
      </c>
      <c r="H581" s="303"/>
      <c r="I581" s="303" t="s">
        <v>462</v>
      </c>
      <c r="J581" s="303" t="s">
        <v>1754</v>
      </c>
      <c r="K581" s="303">
        <v>4</v>
      </c>
      <c r="L581" s="303" t="s">
        <v>451</v>
      </c>
      <c r="M581" s="304">
        <v>4000000</v>
      </c>
      <c r="N581" s="303" t="s">
        <v>452</v>
      </c>
      <c r="O581" s="304" t="s">
        <v>1755</v>
      </c>
      <c r="P581" s="303" t="s">
        <v>1756</v>
      </c>
      <c r="Q581" s="303"/>
      <c r="R581" s="305"/>
      <c r="S581" s="305"/>
      <c r="T581" s="305"/>
      <c r="U581" s="305"/>
      <c r="V581" s="303"/>
      <c r="W581" s="303"/>
      <c r="X581" s="303"/>
      <c r="Y581" s="303"/>
      <c r="Z581" s="303"/>
      <c r="AA581" s="306"/>
      <c r="AB581" s="306"/>
      <c r="AC581" s="306"/>
    </row>
    <row r="582" spans="1:29" ht="15.75" hidden="1" customHeight="1">
      <c r="A582" s="248">
        <v>44789</v>
      </c>
      <c r="B582" s="219" t="s">
        <v>317</v>
      </c>
      <c r="C582" s="249">
        <v>4.25</v>
      </c>
      <c r="D582" s="219" t="s">
        <v>1752</v>
      </c>
      <c r="E582" s="250" t="s">
        <v>3</v>
      </c>
      <c r="F582" s="219" t="s">
        <v>460</v>
      </c>
      <c r="G582" s="219" t="s">
        <v>1753</v>
      </c>
      <c r="H582" s="219">
        <v>4.5</v>
      </c>
      <c r="I582" s="219" t="s">
        <v>462</v>
      </c>
      <c r="J582" s="219" t="s">
        <v>1754</v>
      </c>
      <c r="K582" s="219">
        <v>4</v>
      </c>
      <c r="L582" s="219" t="s">
        <v>451</v>
      </c>
      <c r="M582" s="312">
        <v>4000000</v>
      </c>
      <c r="N582" s="219" t="s">
        <v>452</v>
      </c>
      <c r="O582" s="219" t="s">
        <v>1755</v>
      </c>
      <c r="P582" s="219" t="s">
        <v>1756</v>
      </c>
      <c r="Q582" s="219" t="s">
        <v>18</v>
      </c>
      <c r="R582" s="251"/>
      <c r="S582" s="251"/>
      <c r="T582" s="251"/>
      <c r="U582" s="251"/>
      <c r="V582" s="252"/>
      <c r="W582" s="252"/>
      <c r="X582" s="252"/>
      <c r="Y582" s="219"/>
      <c r="Z582" s="219"/>
      <c r="AA582" s="219"/>
      <c r="AB582" s="219"/>
      <c r="AC582" s="219"/>
    </row>
    <row r="583" spans="1:29" ht="15.75" customHeight="1">
      <c r="A583" s="253">
        <v>44796</v>
      </c>
      <c r="B583" s="224" t="s">
        <v>5951</v>
      </c>
      <c r="C583" s="316">
        <v>2.75</v>
      </c>
      <c r="D583" s="224" t="s">
        <v>5954</v>
      </c>
      <c r="E583" s="224" t="s">
        <v>4</v>
      </c>
      <c r="F583" s="224" t="s">
        <v>725</v>
      </c>
      <c r="G583" s="224" t="s">
        <v>10267</v>
      </c>
      <c r="H583" s="224">
        <v>2.5</v>
      </c>
      <c r="I583" s="224" t="s">
        <v>1281</v>
      </c>
      <c r="J583" s="224" t="s">
        <v>5956</v>
      </c>
      <c r="K583" s="224">
        <v>3</v>
      </c>
      <c r="L583" s="224"/>
      <c r="M583" s="224"/>
      <c r="N583" s="224" t="s">
        <v>452</v>
      </c>
      <c r="O583" s="224" t="s">
        <v>5957</v>
      </c>
      <c r="P583" s="224"/>
      <c r="Q583" s="224" t="s">
        <v>24</v>
      </c>
      <c r="R583" s="224"/>
      <c r="S583" s="224" t="str">
        <f>IFERROR(VLOOKUP(B583,'2022-2023 Third Reviews'!$C:$S,9,FALSE),"")</f>
        <v/>
      </c>
      <c r="T583" s="224"/>
      <c r="U583" s="224"/>
      <c r="V583" s="252"/>
      <c r="W583" s="252"/>
      <c r="X583" s="252"/>
      <c r="Y583" s="224"/>
      <c r="Z583" s="224"/>
      <c r="AA583" s="224"/>
      <c r="AB583" s="224"/>
      <c r="AC583" s="224"/>
    </row>
    <row r="584" spans="1:29" ht="15.75" customHeight="1">
      <c r="A584" s="248">
        <v>44789</v>
      </c>
      <c r="B584" s="219" t="s">
        <v>5960</v>
      </c>
      <c r="C584" s="249">
        <v>2.75</v>
      </c>
      <c r="D584" s="219" t="s">
        <v>5963</v>
      </c>
      <c r="E584" s="250" t="s">
        <v>4</v>
      </c>
      <c r="F584" s="219" t="s">
        <v>602</v>
      </c>
      <c r="G584" s="219" t="s">
        <v>5964</v>
      </c>
      <c r="H584" s="219">
        <v>2</v>
      </c>
      <c r="I584" s="219" t="s">
        <v>1054</v>
      </c>
      <c r="J584" s="219" t="s">
        <v>11188</v>
      </c>
      <c r="K584" s="219">
        <v>3.5</v>
      </c>
      <c r="L584" s="219" t="s">
        <v>451</v>
      </c>
      <c r="M584" s="219">
        <v>3000000</v>
      </c>
      <c r="N584" s="219" t="s">
        <v>452</v>
      </c>
      <c r="O584" s="219" t="s">
        <v>5966</v>
      </c>
      <c r="P584" s="219"/>
      <c r="Q584" s="219" t="s">
        <v>24</v>
      </c>
      <c r="R584" s="219"/>
      <c r="S584" s="219" t="str">
        <f>IFERROR(VLOOKUP(B584,'2022-2023 Third Reviews'!$C:$S,9,FALSE),"")</f>
        <v/>
      </c>
      <c r="T584" s="219"/>
      <c r="U584" s="219"/>
      <c r="V584" s="219"/>
      <c r="W584" s="219"/>
      <c r="X584" s="219"/>
      <c r="Y584" s="219"/>
      <c r="Z584" s="219"/>
      <c r="AA584" s="219"/>
      <c r="AB584" s="219"/>
      <c r="AC584" s="219"/>
    </row>
    <row r="585" spans="1:29" ht="15.75" customHeight="1">
      <c r="A585" s="253">
        <v>44782</v>
      </c>
      <c r="B585" s="224" t="s">
        <v>5969</v>
      </c>
      <c r="C585" s="249">
        <v>2.75</v>
      </c>
      <c r="D585" s="224" t="s">
        <v>5972</v>
      </c>
      <c r="E585" s="250" t="s">
        <v>4</v>
      </c>
      <c r="F585" s="224" t="s">
        <v>602</v>
      </c>
      <c r="G585" s="224" t="s">
        <v>10273</v>
      </c>
      <c r="H585" s="224">
        <v>2</v>
      </c>
      <c r="I585" s="224" t="s">
        <v>727</v>
      </c>
      <c r="J585" s="224" t="s">
        <v>10274</v>
      </c>
      <c r="K585" s="224">
        <v>3.5</v>
      </c>
      <c r="L585" s="224" t="s">
        <v>451</v>
      </c>
      <c r="M585" s="224">
        <v>1500000</v>
      </c>
      <c r="N585" s="224" t="s">
        <v>465</v>
      </c>
      <c r="O585" s="224" t="s">
        <v>5975</v>
      </c>
      <c r="P585" s="224"/>
      <c r="Q585" s="224" t="s">
        <v>24</v>
      </c>
      <c r="R585" s="224"/>
      <c r="S585" s="224" t="str">
        <f>IFERROR(VLOOKUP(B585,'2022-2023 Third Reviews'!$C:$S,9,FALSE),"")</f>
        <v/>
      </c>
      <c r="T585" s="224"/>
      <c r="U585" s="224"/>
      <c r="V585" s="258"/>
      <c r="W585" s="258"/>
      <c r="X585" s="258"/>
      <c r="Y585" s="258"/>
      <c r="Z585" s="258"/>
      <c r="AA585" s="258"/>
      <c r="AB585" s="258"/>
      <c r="AC585" s="258"/>
    </row>
    <row r="586" spans="1:29" ht="15.75" customHeight="1">
      <c r="A586" s="248">
        <v>44796</v>
      </c>
      <c r="B586" s="219" t="s">
        <v>5978</v>
      </c>
      <c r="C586" s="315">
        <v>2.75</v>
      </c>
      <c r="D586" s="219" t="s">
        <v>5981</v>
      </c>
      <c r="E586" s="219" t="s">
        <v>4</v>
      </c>
      <c r="F586" s="219" t="s">
        <v>727</v>
      </c>
      <c r="G586" s="219" t="s">
        <v>10492</v>
      </c>
      <c r="H586" s="219">
        <v>3.5</v>
      </c>
      <c r="I586" s="219" t="s">
        <v>1298</v>
      </c>
      <c r="J586" s="219" t="s">
        <v>5983</v>
      </c>
      <c r="K586" s="219">
        <v>2</v>
      </c>
      <c r="L586" s="219" t="s">
        <v>923</v>
      </c>
      <c r="M586" s="331">
        <v>3000000</v>
      </c>
      <c r="N586" s="219" t="s">
        <v>452</v>
      </c>
      <c r="O586" s="219" t="s">
        <v>452</v>
      </c>
      <c r="P586" s="219" t="s">
        <v>447</v>
      </c>
      <c r="Q586" s="219" t="s">
        <v>24</v>
      </c>
      <c r="R586" s="219"/>
      <c r="S586" s="219" t="str">
        <f>IFERROR(VLOOKUP(B586,'2022-2023 Third Reviews'!$C:$S,9,FALSE),"")</f>
        <v/>
      </c>
      <c r="T586" s="219"/>
      <c r="U586" s="219"/>
      <c r="V586" s="219"/>
      <c r="W586" s="219"/>
      <c r="X586" s="219"/>
      <c r="Y586" s="219"/>
      <c r="Z586" s="219"/>
      <c r="AA586" s="219"/>
      <c r="AB586" s="219"/>
      <c r="AC586" s="219"/>
    </row>
    <row r="587" spans="1:29" ht="15.75" customHeight="1">
      <c r="A587" s="253">
        <v>44791</v>
      </c>
      <c r="B587" s="224" t="s">
        <v>5985</v>
      </c>
      <c r="C587" s="316">
        <v>2.75</v>
      </c>
      <c r="D587" s="224" t="s">
        <v>11078</v>
      </c>
      <c r="E587" s="224" t="s">
        <v>4</v>
      </c>
      <c r="F587" s="224" t="s">
        <v>602</v>
      </c>
      <c r="G587" s="224" t="s">
        <v>5989</v>
      </c>
      <c r="H587" s="224">
        <v>2.5</v>
      </c>
      <c r="I587" s="224" t="s">
        <v>1298</v>
      </c>
      <c r="J587" s="224" t="s">
        <v>5990</v>
      </c>
      <c r="K587" s="224">
        <v>3</v>
      </c>
      <c r="L587" s="224" t="s">
        <v>451</v>
      </c>
      <c r="M587" s="224" t="s">
        <v>5991</v>
      </c>
      <c r="N587" s="224" t="s">
        <v>452</v>
      </c>
      <c r="O587" s="224" t="s">
        <v>1119</v>
      </c>
      <c r="P587" s="224"/>
      <c r="Q587" s="322" t="s">
        <v>24</v>
      </c>
      <c r="R587" s="224"/>
      <c r="S587" s="224" t="str">
        <f>IFERROR(VLOOKUP(B587,'2022-2023 Third Reviews'!$C:$S,9,FALSE),"")</f>
        <v/>
      </c>
      <c r="T587" s="224"/>
      <c r="U587" s="224"/>
      <c r="V587" s="252"/>
      <c r="W587" s="252"/>
      <c r="X587" s="252"/>
      <c r="Y587" s="224"/>
      <c r="Z587" s="224"/>
      <c r="AA587" s="224"/>
      <c r="AB587" s="224"/>
      <c r="AC587" s="224"/>
    </row>
    <row r="588" spans="1:29" ht="15.75" hidden="1" customHeight="1">
      <c r="A588" s="248">
        <v>44789</v>
      </c>
      <c r="B588" s="219" t="s">
        <v>2660</v>
      </c>
      <c r="C588" s="249">
        <v>3.25</v>
      </c>
      <c r="D588" s="219" t="s">
        <v>10849</v>
      </c>
      <c r="E588" s="250" t="s">
        <v>5</v>
      </c>
      <c r="F588" s="219" t="s">
        <v>447</v>
      </c>
      <c r="G588" s="219" t="s">
        <v>10850</v>
      </c>
      <c r="H588" s="219">
        <v>3</v>
      </c>
      <c r="I588" s="219" t="s">
        <v>543</v>
      </c>
      <c r="J588" s="219" t="s">
        <v>13400</v>
      </c>
      <c r="K588" s="219">
        <v>3.5</v>
      </c>
      <c r="L588" s="219" t="s">
        <v>451</v>
      </c>
      <c r="M588" s="310">
        <v>1500000</v>
      </c>
      <c r="N588" s="219" t="s">
        <v>465</v>
      </c>
      <c r="O588" s="219" t="s">
        <v>10852</v>
      </c>
      <c r="P588" s="219"/>
      <c r="Q588" s="219" t="s">
        <v>24</v>
      </c>
      <c r="R588" s="251"/>
      <c r="S588" s="251"/>
      <c r="T588" s="251"/>
      <c r="U588" s="251"/>
      <c r="V588" s="252"/>
      <c r="W588" s="252"/>
      <c r="X588" s="252"/>
      <c r="Y588" s="219"/>
      <c r="Z588" s="219"/>
      <c r="AA588" s="219"/>
      <c r="AB588" s="219"/>
      <c r="AC588" s="219"/>
    </row>
    <row r="589" spans="1:29" ht="15.75" customHeight="1">
      <c r="A589" s="253">
        <v>44797</v>
      </c>
      <c r="B589" s="224" t="s">
        <v>5994</v>
      </c>
      <c r="C589" s="316">
        <v>2.75</v>
      </c>
      <c r="D589" s="224"/>
      <c r="E589" s="224" t="s">
        <v>4</v>
      </c>
      <c r="F589" s="224" t="s">
        <v>725</v>
      </c>
      <c r="G589" s="224" t="s">
        <v>11254</v>
      </c>
      <c r="H589" s="224">
        <v>2</v>
      </c>
      <c r="I589" s="224" t="s">
        <v>1350</v>
      </c>
      <c r="J589" s="224" t="s">
        <v>5998</v>
      </c>
      <c r="K589" s="224">
        <v>3.5</v>
      </c>
      <c r="L589" s="224" t="s">
        <v>1656</v>
      </c>
      <c r="M589" s="224">
        <v>20000000</v>
      </c>
      <c r="N589" s="224" t="s">
        <v>452</v>
      </c>
      <c r="O589" s="224" t="s">
        <v>5999</v>
      </c>
      <c r="P589" s="224"/>
      <c r="Q589" s="224" t="s">
        <v>24</v>
      </c>
      <c r="R589" s="224"/>
      <c r="S589" s="224" t="str">
        <f>IFERROR(VLOOKUP(B589,'2022-2023 Third Reviews'!$C:$S,9,FALSE),"")</f>
        <v/>
      </c>
      <c r="T589" s="224"/>
      <c r="U589" s="224"/>
      <c r="V589" s="303"/>
      <c r="W589" s="303"/>
      <c r="X589" s="303"/>
      <c r="Y589" s="303"/>
      <c r="Z589" s="303"/>
      <c r="AA589" s="306"/>
      <c r="AB589" s="306"/>
      <c r="AC589" s="306"/>
    </row>
    <row r="590" spans="1:29" ht="15.75" customHeight="1">
      <c r="A590" s="248">
        <v>44797</v>
      </c>
      <c r="B590" s="219" t="s">
        <v>6002</v>
      </c>
      <c r="C590" s="315">
        <v>2.75</v>
      </c>
      <c r="D590" s="219" t="s">
        <v>6005</v>
      </c>
      <c r="E590" s="219" t="s">
        <v>4</v>
      </c>
      <c r="F590" s="219" t="s">
        <v>447</v>
      </c>
      <c r="G590" s="219" t="s">
        <v>11085</v>
      </c>
      <c r="H590" s="219">
        <v>2.5</v>
      </c>
      <c r="I590" s="219" t="s">
        <v>622</v>
      </c>
      <c r="J590" s="219" t="s">
        <v>11086</v>
      </c>
      <c r="K590" s="219">
        <v>3</v>
      </c>
      <c r="L590" s="219" t="s">
        <v>451</v>
      </c>
      <c r="M590" s="219">
        <v>5000000</v>
      </c>
      <c r="N590" s="219" t="s">
        <v>465</v>
      </c>
      <c r="O590" s="219" t="s">
        <v>6008</v>
      </c>
      <c r="P590" s="219"/>
      <c r="Q590" s="219" t="s">
        <v>24</v>
      </c>
      <c r="R590" s="219"/>
      <c r="S590" s="219" t="str">
        <f>IFERROR(VLOOKUP(B590,'2022-2023 Third Reviews'!$C:$S,9,FALSE),"")</f>
        <v/>
      </c>
      <c r="T590" s="219"/>
      <c r="U590" s="219"/>
      <c r="V590" s="219"/>
      <c r="W590" s="219"/>
      <c r="X590" s="219"/>
      <c r="Y590" s="219"/>
      <c r="Z590" s="219"/>
      <c r="AA590" s="219"/>
      <c r="AB590" s="219"/>
      <c r="AC590" s="219"/>
    </row>
    <row r="591" spans="1:29" ht="15.75" customHeight="1">
      <c r="A591" s="253">
        <v>44791</v>
      </c>
      <c r="B591" s="224" t="s">
        <v>6010</v>
      </c>
      <c r="C591" s="316">
        <v>2.75</v>
      </c>
      <c r="D591" s="224" t="s">
        <v>6013</v>
      </c>
      <c r="E591" s="224" t="s">
        <v>4</v>
      </c>
      <c r="F591" s="224" t="s">
        <v>602</v>
      </c>
      <c r="G591" s="224" t="s">
        <v>6014</v>
      </c>
      <c r="H591" s="224">
        <v>2.5</v>
      </c>
      <c r="I591" s="224" t="s">
        <v>1045</v>
      </c>
      <c r="J591" s="224" t="s">
        <v>6015</v>
      </c>
      <c r="K591" s="224">
        <v>3</v>
      </c>
      <c r="L591" s="224" t="s">
        <v>478</v>
      </c>
      <c r="M591" s="307">
        <v>7000000</v>
      </c>
      <c r="N591" s="224" t="s">
        <v>452</v>
      </c>
      <c r="O591" s="224" t="s">
        <v>452</v>
      </c>
      <c r="P591" s="224"/>
      <c r="Q591" s="322" t="s">
        <v>24</v>
      </c>
      <c r="R591" s="224"/>
      <c r="S591" s="224" t="str">
        <f>IFERROR(VLOOKUP(B591,'2022-2023 Third Reviews'!$C:$S,9,FALSE),"")</f>
        <v/>
      </c>
      <c r="T591" s="224"/>
      <c r="U591" s="224"/>
      <c r="V591" s="224"/>
      <c r="W591" s="224"/>
      <c r="X591" s="224"/>
      <c r="Y591" s="224"/>
      <c r="Z591" s="224"/>
      <c r="AA591" s="224"/>
      <c r="AB591" s="224"/>
      <c r="AC591" s="224"/>
    </row>
    <row r="592" spans="1:29" ht="15.75" customHeight="1">
      <c r="A592" s="248">
        <v>44796</v>
      </c>
      <c r="B592" s="219" t="s">
        <v>6018</v>
      </c>
      <c r="C592" s="315">
        <v>2.75</v>
      </c>
      <c r="D592" s="219" t="s">
        <v>6021</v>
      </c>
      <c r="E592" s="219" t="s">
        <v>4</v>
      </c>
      <c r="F592" s="219" t="s">
        <v>725</v>
      </c>
      <c r="G592" s="219" t="s">
        <v>6022</v>
      </c>
      <c r="H592" s="219">
        <v>2.5</v>
      </c>
      <c r="I592" s="219" t="s">
        <v>1371</v>
      </c>
      <c r="J592" s="219" t="s">
        <v>6023</v>
      </c>
      <c r="K592" s="219">
        <v>3</v>
      </c>
      <c r="L592" s="219"/>
      <c r="M592" s="219"/>
      <c r="N592" s="219" t="s">
        <v>452</v>
      </c>
      <c r="O592" s="219" t="s">
        <v>6024</v>
      </c>
      <c r="P592" s="219"/>
      <c r="Q592" s="219" t="s">
        <v>24</v>
      </c>
      <c r="R592" s="219"/>
      <c r="S592" s="219" t="str">
        <f>IFERROR(VLOOKUP(B592,'2022-2023 Third Reviews'!$C:$S,9,FALSE),"")</f>
        <v/>
      </c>
      <c r="T592" s="219"/>
      <c r="U592" s="219"/>
      <c r="V592" s="219"/>
      <c r="W592" s="219"/>
      <c r="X592" s="219"/>
      <c r="Y592" s="219"/>
      <c r="Z592" s="219"/>
      <c r="AA592" s="219"/>
      <c r="AB592" s="219"/>
      <c r="AC592" s="219"/>
    </row>
    <row r="593" spans="1:29" ht="15.75" customHeight="1">
      <c r="A593" s="398">
        <v>44784</v>
      </c>
      <c r="B593" s="272" t="s">
        <v>6026</v>
      </c>
      <c r="C593" s="269">
        <v>2.75</v>
      </c>
      <c r="D593" s="272" t="s">
        <v>6029</v>
      </c>
      <c r="E593" s="270" t="s">
        <v>4</v>
      </c>
      <c r="F593" s="272" t="s">
        <v>602</v>
      </c>
      <c r="G593" s="272" t="s">
        <v>10336</v>
      </c>
      <c r="H593" s="272">
        <v>2.5</v>
      </c>
      <c r="I593" s="272" t="s">
        <v>1054</v>
      </c>
      <c r="J593" s="272" t="s">
        <v>6031</v>
      </c>
      <c r="K593" s="272">
        <v>3</v>
      </c>
      <c r="L593" s="272"/>
      <c r="M593" s="272"/>
      <c r="N593" s="272" t="s">
        <v>452</v>
      </c>
      <c r="O593" s="272" t="s">
        <v>452</v>
      </c>
      <c r="P593" s="272"/>
      <c r="Q593" s="272" t="s">
        <v>24</v>
      </c>
      <c r="R593" s="272"/>
      <c r="S593" s="272" t="str">
        <f ca="1">IFERROR(VLOOKUP(B593,'2022-2023 Third Reviews'!$C:$S,9,FALSE),"")</f>
        <v>Joshua Rubnitz
3</v>
      </c>
      <c r="T593" s="272"/>
      <c r="U593" s="272"/>
      <c r="V593" s="224"/>
      <c r="W593" s="224"/>
      <c r="X593" s="224"/>
      <c r="Y593" s="224"/>
      <c r="Z593" s="224"/>
      <c r="AA593" s="224"/>
      <c r="AB593" s="224"/>
      <c r="AC593" s="224"/>
    </row>
    <row r="594" spans="1:29" ht="15.75" customHeight="1">
      <c r="A594" s="248">
        <v>44791</v>
      </c>
      <c r="B594" s="219" t="s">
        <v>11051</v>
      </c>
      <c r="C594" s="315">
        <v>2.75</v>
      </c>
      <c r="D594" s="219" t="s">
        <v>11052</v>
      </c>
      <c r="E594" s="219" t="s">
        <v>4</v>
      </c>
      <c r="F594" s="219" t="s">
        <v>602</v>
      </c>
      <c r="G594" s="219" t="s">
        <v>6038</v>
      </c>
      <c r="H594" s="219">
        <v>2.5</v>
      </c>
      <c r="I594" s="219" t="s">
        <v>1457</v>
      </c>
      <c r="J594" s="219" t="s">
        <v>6039</v>
      </c>
      <c r="K594" s="219">
        <v>3</v>
      </c>
      <c r="L594" s="219" t="s">
        <v>451</v>
      </c>
      <c r="M594" s="219" t="s">
        <v>6040</v>
      </c>
      <c r="N594" s="219" t="s">
        <v>452</v>
      </c>
      <c r="O594" s="219" t="s">
        <v>6041</v>
      </c>
      <c r="P594" s="219"/>
      <c r="Q594" s="322" t="s">
        <v>24</v>
      </c>
      <c r="R594" s="219"/>
      <c r="S594" s="219" t="str">
        <f>IFERROR(VLOOKUP(B594,'2022-2023 Third Reviews'!$C:$S,9,FALSE),"")</f>
        <v/>
      </c>
      <c r="T594" s="219"/>
      <c r="U594" s="219"/>
      <c r="V594" s="239"/>
      <c r="W594" s="239"/>
      <c r="X594" s="239"/>
      <c r="Y594" s="239"/>
      <c r="Z594" s="239"/>
      <c r="AA594" s="239"/>
      <c r="AB594" s="239"/>
      <c r="AC594" s="239"/>
    </row>
    <row r="595" spans="1:29" ht="15.75" customHeight="1">
      <c r="A595" s="253">
        <v>44796</v>
      </c>
      <c r="B595" s="224" t="s">
        <v>6044</v>
      </c>
      <c r="C595" s="316">
        <v>2.75</v>
      </c>
      <c r="D595" s="224" t="s">
        <v>10603</v>
      </c>
      <c r="E595" s="224" t="s">
        <v>4</v>
      </c>
      <c r="F595" s="224" t="s">
        <v>727</v>
      </c>
      <c r="G595" s="224"/>
      <c r="H595" s="224">
        <v>2.5</v>
      </c>
      <c r="I595" s="224" t="s">
        <v>1457</v>
      </c>
      <c r="J595" s="224" t="s">
        <v>6048</v>
      </c>
      <c r="K595" s="224">
        <v>3</v>
      </c>
      <c r="L595" s="224" t="s">
        <v>784</v>
      </c>
      <c r="M595" s="330">
        <v>167000</v>
      </c>
      <c r="N595" s="224" t="s">
        <v>452</v>
      </c>
      <c r="O595" s="224" t="s">
        <v>6049</v>
      </c>
      <c r="P595" s="224"/>
      <c r="Q595" s="224" t="s">
        <v>24</v>
      </c>
      <c r="R595" s="224"/>
      <c r="S595" s="224" t="str">
        <f>IFERROR(VLOOKUP(B595,'2022-2023 Third Reviews'!$C:$S,9,FALSE),"")</f>
        <v/>
      </c>
      <c r="T595" s="224"/>
      <c r="U595" s="224"/>
      <c r="V595" s="224"/>
      <c r="W595" s="224"/>
      <c r="X595" s="224"/>
      <c r="Y595" s="224"/>
      <c r="Z595" s="224"/>
      <c r="AA595" s="224"/>
      <c r="AB595" s="224"/>
      <c r="AC595" s="224"/>
    </row>
    <row r="596" spans="1:29" ht="15.75" hidden="1" customHeight="1">
      <c r="A596" s="248">
        <v>44789</v>
      </c>
      <c r="B596" s="219" t="s">
        <v>2669</v>
      </c>
      <c r="C596" s="249">
        <v>2.25</v>
      </c>
      <c r="D596" s="219" t="s">
        <v>2672</v>
      </c>
      <c r="E596" s="250" t="s">
        <v>5</v>
      </c>
      <c r="F596" s="219" t="s">
        <v>447</v>
      </c>
      <c r="G596" s="219" t="s">
        <v>11004</v>
      </c>
      <c r="H596" s="219">
        <v>2.5</v>
      </c>
      <c r="I596" s="219" t="s">
        <v>622</v>
      </c>
      <c r="J596" s="219" t="s">
        <v>2674</v>
      </c>
      <c r="K596" s="219">
        <v>2</v>
      </c>
      <c r="L596" s="219" t="s">
        <v>451</v>
      </c>
      <c r="M596" s="312">
        <v>500000</v>
      </c>
      <c r="N596" s="219" t="s">
        <v>452</v>
      </c>
      <c r="O596" s="219" t="s">
        <v>2675</v>
      </c>
      <c r="P596" s="219"/>
      <c r="Q596" s="219" t="s">
        <v>24</v>
      </c>
      <c r="R596" s="251"/>
      <c r="S596" s="251"/>
      <c r="T596" s="251"/>
      <c r="U596" s="251"/>
      <c r="V596" s="252"/>
      <c r="W596" s="252"/>
      <c r="X596" s="252"/>
      <c r="Y596" s="219"/>
      <c r="Z596" s="219"/>
      <c r="AA596" s="219"/>
      <c r="AB596" s="219"/>
      <c r="AC596" s="219"/>
    </row>
    <row r="597" spans="1:29" ht="15.75" customHeight="1">
      <c r="A597" s="253">
        <v>44797</v>
      </c>
      <c r="B597" s="224" t="s">
        <v>6052</v>
      </c>
      <c r="C597" s="316">
        <v>2.75</v>
      </c>
      <c r="D597" s="224" t="s">
        <v>6055</v>
      </c>
      <c r="E597" s="224" t="s">
        <v>4</v>
      </c>
      <c r="F597" s="224" t="s">
        <v>727</v>
      </c>
      <c r="G597" s="224" t="s">
        <v>10489</v>
      </c>
      <c r="H597" s="224">
        <v>2.5</v>
      </c>
      <c r="I597" s="224" t="s">
        <v>449</v>
      </c>
      <c r="J597" s="224" t="s">
        <v>10490</v>
      </c>
      <c r="K597" s="224">
        <v>3</v>
      </c>
      <c r="L597" s="224" t="s">
        <v>973</v>
      </c>
      <c r="M597" s="224">
        <v>10000000</v>
      </c>
      <c r="N597" s="224" t="s">
        <v>465</v>
      </c>
      <c r="O597" s="224" t="s">
        <v>6058</v>
      </c>
      <c r="P597" s="224"/>
      <c r="Q597" s="224" t="s">
        <v>24</v>
      </c>
      <c r="R597" s="224"/>
      <c r="S597" s="224" t="str">
        <f>IFERROR(VLOOKUP(B597,'2022-2023 Third Reviews'!$C:$S,9,FALSE),"")</f>
        <v/>
      </c>
      <c r="T597" s="224"/>
      <c r="U597" s="224"/>
      <c r="V597" s="252"/>
      <c r="W597" s="252"/>
      <c r="X597" s="252"/>
      <c r="Y597" s="224"/>
      <c r="Z597" s="224"/>
      <c r="AA597" s="224"/>
      <c r="AB597" s="224"/>
      <c r="AC597" s="224"/>
    </row>
    <row r="598" spans="1:29" ht="15.75" hidden="1" customHeight="1">
      <c r="A598" s="248">
        <v>44789</v>
      </c>
      <c r="B598" s="219" t="s">
        <v>89</v>
      </c>
      <c r="C598" s="249">
        <v>4.25</v>
      </c>
      <c r="D598" s="219" t="s">
        <v>629</v>
      </c>
      <c r="E598" s="250" t="s">
        <v>5</v>
      </c>
      <c r="F598" s="219" t="s">
        <v>447</v>
      </c>
      <c r="G598" s="219" t="s">
        <v>11488</v>
      </c>
      <c r="H598" s="219">
        <v>4</v>
      </c>
      <c r="I598" s="219" t="s">
        <v>543</v>
      </c>
      <c r="J598" s="219" t="s">
        <v>13400</v>
      </c>
      <c r="K598" s="219">
        <v>4.5</v>
      </c>
      <c r="L598" s="219" t="s">
        <v>478</v>
      </c>
      <c r="M598" s="312">
        <v>15000000</v>
      </c>
      <c r="N598" s="219" t="s">
        <v>452</v>
      </c>
      <c r="O598" s="219" t="s">
        <v>632</v>
      </c>
      <c r="P598" s="219"/>
      <c r="Q598" s="219" t="s">
        <v>18</v>
      </c>
      <c r="R598" s="251"/>
      <c r="S598" s="251"/>
      <c r="T598" s="251"/>
      <c r="U598" s="251"/>
      <c r="V598" s="252"/>
      <c r="W598" s="252"/>
      <c r="X598" s="252"/>
      <c r="Y598" s="219"/>
      <c r="Z598" s="219"/>
      <c r="AA598" s="219"/>
      <c r="AB598" s="219"/>
      <c r="AC598" s="219"/>
    </row>
    <row r="599" spans="1:29" ht="15.75" customHeight="1">
      <c r="A599" s="253">
        <v>44791</v>
      </c>
      <c r="B599" s="224" t="s">
        <v>6061</v>
      </c>
      <c r="C599" s="316">
        <v>2.75</v>
      </c>
      <c r="D599" s="224" t="s">
        <v>6064</v>
      </c>
      <c r="E599" s="224" t="s">
        <v>4</v>
      </c>
      <c r="F599" s="224" t="s">
        <v>725</v>
      </c>
      <c r="G599" s="224" t="s">
        <v>10332</v>
      </c>
      <c r="H599" s="224">
        <v>3</v>
      </c>
      <c r="I599" s="224" t="s">
        <v>1054</v>
      </c>
      <c r="J599" s="224" t="s">
        <v>6066</v>
      </c>
      <c r="K599" s="224">
        <v>2.5</v>
      </c>
      <c r="L599" s="224"/>
      <c r="M599" s="224"/>
      <c r="N599" s="224" t="s">
        <v>452</v>
      </c>
      <c r="O599" s="224" t="s">
        <v>6067</v>
      </c>
      <c r="P599" s="224"/>
      <c r="Q599" s="322" t="s">
        <v>24</v>
      </c>
      <c r="R599" s="224"/>
      <c r="S599" s="224" t="str">
        <f>IFERROR(VLOOKUP(B599,'2022-2023 Third Reviews'!$C:$S,9,FALSE),"")</f>
        <v/>
      </c>
      <c r="T599" s="224"/>
      <c r="U599" s="224"/>
      <c r="V599" s="224"/>
      <c r="W599" s="224"/>
      <c r="X599" s="224"/>
      <c r="Y599" s="224"/>
      <c r="Z599" s="224"/>
      <c r="AA599" s="224"/>
      <c r="AB599" s="224"/>
      <c r="AC599" s="224"/>
    </row>
    <row r="600" spans="1:29" ht="15.75" customHeight="1">
      <c r="A600" s="248">
        <v>44782</v>
      </c>
      <c r="B600" s="219" t="s">
        <v>6069</v>
      </c>
      <c r="C600" s="249">
        <v>2.75</v>
      </c>
      <c r="D600" s="219" t="s">
        <v>11540</v>
      </c>
      <c r="E600" s="250" t="s">
        <v>4</v>
      </c>
      <c r="F600" s="219" t="s">
        <v>602</v>
      </c>
      <c r="G600" s="219" t="s">
        <v>6073</v>
      </c>
      <c r="H600" s="219">
        <v>2</v>
      </c>
      <c r="I600" s="219" t="s">
        <v>1054</v>
      </c>
      <c r="J600" s="219" t="s">
        <v>11430</v>
      </c>
      <c r="K600" s="219">
        <v>3.5</v>
      </c>
      <c r="L600" s="219"/>
      <c r="M600" s="219"/>
      <c r="N600" s="219" t="s">
        <v>452</v>
      </c>
      <c r="O600" s="219" t="s">
        <v>11431</v>
      </c>
      <c r="P600" s="219"/>
      <c r="Q600" s="219" t="s">
        <v>24</v>
      </c>
      <c r="R600" s="219"/>
      <c r="S600" s="219" t="str">
        <f>IFERROR(VLOOKUP(B600,'2022-2023 Third Reviews'!$C:$S,9,FALSE),"")</f>
        <v/>
      </c>
      <c r="T600" s="219"/>
      <c r="U600" s="219"/>
      <c r="V600" s="219"/>
      <c r="W600" s="219"/>
      <c r="X600" s="219"/>
      <c r="Y600" s="219"/>
      <c r="Z600" s="219"/>
      <c r="AA600" s="219"/>
      <c r="AB600" s="219"/>
      <c r="AC600" s="219"/>
    </row>
    <row r="601" spans="1:29" ht="15.75" customHeight="1">
      <c r="A601" s="398">
        <v>44784</v>
      </c>
      <c r="B601" s="272" t="s">
        <v>10729</v>
      </c>
      <c r="C601" s="269">
        <v>2.75</v>
      </c>
      <c r="D601" s="272" t="s">
        <v>6081</v>
      </c>
      <c r="E601" s="270" t="s">
        <v>4</v>
      </c>
      <c r="F601" s="272" t="s">
        <v>727</v>
      </c>
      <c r="G601" s="272" t="s">
        <v>6082</v>
      </c>
      <c r="H601" s="272">
        <v>2.5</v>
      </c>
      <c r="I601" s="272" t="s">
        <v>1054</v>
      </c>
      <c r="J601" s="272" t="s">
        <v>6083</v>
      </c>
      <c r="K601" s="272">
        <v>3</v>
      </c>
      <c r="L601" s="272" t="s">
        <v>784</v>
      </c>
      <c r="M601" s="273">
        <v>715840.11</v>
      </c>
      <c r="N601" s="272" t="s">
        <v>452</v>
      </c>
      <c r="O601" s="273" t="s">
        <v>6084</v>
      </c>
      <c r="P601" s="272"/>
      <c r="Q601" s="272" t="s">
        <v>24</v>
      </c>
      <c r="R601" s="272"/>
      <c r="S601" s="272" t="str">
        <f>IFERROR(VLOOKUP(B601,'2022-2023 Third Reviews'!$C:$S,9,FALSE),"")</f>
        <v/>
      </c>
      <c r="T601" s="272"/>
      <c r="U601" s="272"/>
      <c r="V601" s="224"/>
      <c r="W601" s="224"/>
      <c r="X601" s="224"/>
      <c r="Y601" s="224"/>
      <c r="Z601" s="224"/>
      <c r="AA601" s="224"/>
      <c r="AB601" s="224"/>
      <c r="AC601" s="224"/>
    </row>
    <row r="602" spans="1:29" ht="15.75" hidden="1" customHeight="1">
      <c r="A602" s="248">
        <v>44791</v>
      </c>
      <c r="B602" s="219" t="s">
        <v>2678</v>
      </c>
      <c r="C602" s="315">
        <v>3.5</v>
      </c>
      <c r="D602" s="219" t="s">
        <v>2681</v>
      </c>
      <c r="E602" s="219" t="s">
        <v>5</v>
      </c>
      <c r="F602" s="219" t="s">
        <v>447</v>
      </c>
      <c r="G602" s="219" t="s">
        <v>11030</v>
      </c>
      <c r="H602" s="219">
        <v>3.5</v>
      </c>
      <c r="I602" s="219" t="s">
        <v>449</v>
      </c>
      <c r="J602" s="219" t="s">
        <v>11673</v>
      </c>
      <c r="K602" s="219">
        <v>3.5</v>
      </c>
      <c r="L602" s="219"/>
      <c r="M602" s="219"/>
      <c r="N602" s="219" t="s">
        <v>454</v>
      </c>
      <c r="O602" s="219" t="s">
        <v>2684</v>
      </c>
      <c r="P602" s="219" t="s">
        <v>2685</v>
      </c>
      <c r="Q602" s="322" t="s">
        <v>24</v>
      </c>
      <c r="R602" s="251"/>
      <c r="S602" s="251"/>
      <c r="T602" s="251"/>
      <c r="U602" s="251"/>
      <c r="V602" s="219"/>
      <c r="W602" s="219"/>
      <c r="X602" s="219"/>
      <c r="Y602" s="219"/>
      <c r="Z602" s="219"/>
      <c r="AA602" s="219"/>
      <c r="AB602" s="219"/>
      <c r="AC602" s="219"/>
    </row>
    <row r="603" spans="1:29" ht="15.75" hidden="1" customHeight="1">
      <c r="A603" s="253">
        <v>44789</v>
      </c>
      <c r="B603" s="224" t="s">
        <v>319</v>
      </c>
      <c r="C603" s="249">
        <v>4</v>
      </c>
      <c r="D603" s="224" t="s">
        <v>11015</v>
      </c>
      <c r="E603" s="250" t="s">
        <v>3</v>
      </c>
      <c r="F603" s="224" t="s">
        <v>460</v>
      </c>
      <c r="G603" s="224" t="s">
        <v>1761</v>
      </c>
      <c r="H603" s="224">
        <v>4</v>
      </c>
      <c r="I603" s="224" t="s">
        <v>941</v>
      </c>
      <c r="J603" s="224" t="s">
        <v>1762</v>
      </c>
      <c r="K603" s="224">
        <v>4</v>
      </c>
      <c r="L603" s="224" t="s">
        <v>478</v>
      </c>
      <c r="M603" s="224" t="s">
        <v>1763</v>
      </c>
      <c r="N603" s="224" t="s">
        <v>452</v>
      </c>
      <c r="O603" s="224" t="s">
        <v>452</v>
      </c>
      <c r="P603" s="224"/>
      <c r="Q603" s="224" t="s">
        <v>18</v>
      </c>
      <c r="R603" s="254"/>
      <c r="S603" s="254"/>
      <c r="T603" s="254"/>
      <c r="U603" s="254"/>
      <c r="V603" s="252"/>
      <c r="W603" s="252"/>
      <c r="X603" s="252"/>
      <c r="Y603" s="224"/>
      <c r="Z603" s="224"/>
      <c r="AA603" s="224"/>
      <c r="AB603" s="224"/>
      <c r="AC603" s="224"/>
    </row>
    <row r="604" spans="1:29" ht="15.75" hidden="1" customHeight="1">
      <c r="A604" s="248">
        <v>44782</v>
      </c>
      <c r="B604" s="219" t="s">
        <v>320</v>
      </c>
      <c r="C604" s="249">
        <v>4.25</v>
      </c>
      <c r="D604" s="219" t="s">
        <v>1768</v>
      </c>
      <c r="E604" s="250" t="s">
        <v>3</v>
      </c>
      <c r="F604" s="219" t="s">
        <v>460</v>
      </c>
      <c r="G604" s="219" t="s">
        <v>1769</v>
      </c>
      <c r="H604" s="219">
        <v>4</v>
      </c>
      <c r="I604" s="219" t="s">
        <v>462</v>
      </c>
      <c r="J604" s="219" t="s">
        <v>1770</v>
      </c>
      <c r="K604" s="219">
        <v>4.5</v>
      </c>
      <c r="L604" s="219" t="s">
        <v>451</v>
      </c>
      <c r="M604" s="219">
        <v>2000000</v>
      </c>
      <c r="N604" s="219" t="s">
        <v>465</v>
      </c>
      <c r="O604" s="219" t="s">
        <v>1771</v>
      </c>
      <c r="P604" s="219"/>
      <c r="Q604" s="219" t="s">
        <v>18</v>
      </c>
      <c r="R604" s="251"/>
      <c r="S604" s="251"/>
      <c r="T604" s="251"/>
      <c r="U604" s="251"/>
      <c r="V604" s="252"/>
      <c r="W604" s="252"/>
      <c r="X604" s="252"/>
      <c r="Y604" s="219"/>
      <c r="Z604" s="219"/>
      <c r="AA604" s="219"/>
      <c r="AB604" s="219"/>
      <c r="AC604" s="219"/>
    </row>
    <row r="605" spans="1:29" ht="15.75" customHeight="1">
      <c r="A605" s="253">
        <v>44796</v>
      </c>
      <c r="B605" s="224" t="s">
        <v>6087</v>
      </c>
      <c r="C605" s="316">
        <v>2.75</v>
      </c>
      <c r="D605" s="224" t="s">
        <v>6090</v>
      </c>
      <c r="E605" s="224" t="s">
        <v>4</v>
      </c>
      <c r="F605" s="224" t="s">
        <v>727</v>
      </c>
      <c r="G605" s="224" t="s">
        <v>10243</v>
      </c>
      <c r="H605" s="224">
        <v>3</v>
      </c>
      <c r="I605" s="224" t="s">
        <v>1045</v>
      </c>
      <c r="J605" s="224" t="s">
        <v>6092</v>
      </c>
      <c r="K605" s="224">
        <v>2.5</v>
      </c>
      <c r="L605" s="224" t="s">
        <v>451</v>
      </c>
      <c r="M605" s="224" t="s">
        <v>6093</v>
      </c>
      <c r="N605" s="224" t="s">
        <v>452</v>
      </c>
      <c r="O605" s="224" t="s">
        <v>10244</v>
      </c>
      <c r="P605" s="224"/>
      <c r="Q605" s="224" t="s">
        <v>24</v>
      </c>
      <c r="R605" s="224"/>
      <c r="S605" s="224" t="str">
        <f>IFERROR(VLOOKUP(B605,'2022-2023 Third Reviews'!$C:$S,9,FALSE),"")</f>
        <v/>
      </c>
      <c r="T605" s="224"/>
      <c r="U605" s="224"/>
      <c r="V605" s="224"/>
      <c r="W605" s="224"/>
      <c r="X605" s="224"/>
      <c r="Y605" s="224"/>
      <c r="Z605" s="224"/>
      <c r="AA605" s="224"/>
      <c r="AB605" s="224"/>
      <c r="AC605" s="224"/>
    </row>
    <row r="606" spans="1:29" ht="15.75" customHeight="1">
      <c r="A606" s="248">
        <v>44789</v>
      </c>
      <c r="B606" s="219" t="s">
        <v>6097</v>
      </c>
      <c r="C606" s="249">
        <v>2.75</v>
      </c>
      <c r="D606" s="219" t="s">
        <v>6100</v>
      </c>
      <c r="E606" s="250" t="s">
        <v>4</v>
      </c>
      <c r="F606" s="219" t="s">
        <v>602</v>
      </c>
      <c r="G606" s="219" t="s">
        <v>6101</v>
      </c>
      <c r="H606" s="219">
        <v>3</v>
      </c>
      <c r="I606" s="219" t="s">
        <v>1045</v>
      </c>
      <c r="J606" s="219" t="s">
        <v>6102</v>
      </c>
      <c r="K606" s="219">
        <v>2.5</v>
      </c>
      <c r="L606" s="219" t="s">
        <v>784</v>
      </c>
      <c r="M606" s="312">
        <v>500000</v>
      </c>
      <c r="N606" s="219" t="s">
        <v>452</v>
      </c>
      <c r="O606" s="219" t="s">
        <v>6103</v>
      </c>
      <c r="P606" s="219"/>
      <c r="Q606" s="219" t="s">
        <v>24</v>
      </c>
      <c r="R606" s="219"/>
      <c r="S606" s="219" t="str">
        <f>IFERROR(VLOOKUP(B606,'2022-2023 Third Reviews'!$C:$S,9,FALSE),"")</f>
        <v/>
      </c>
      <c r="T606" s="219"/>
      <c r="U606" s="219"/>
      <c r="V606" s="219"/>
      <c r="W606" s="219"/>
      <c r="X606" s="219"/>
      <c r="Y606" s="219"/>
      <c r="Z606" s="219"/>
      <c r="AA606" s="219"/>
      <c r="AB606" s="219"/>
      <c r="AC606" s="219"/>
    </row>
    <row r="607" spans="1:29" ht="15.75" customHeight="1">
      <c r="A607" s="253">
        <v>44796</v>
      </c>
      <c r="B607" s="224" t="s">
        <v>6106</v>
      </c>
      <c r="C607" s="316">
        <v>2.75</v>
      </c>
      <c r="D607" s="224" t="s">
        <v>10976</v>
      </c>
      <c r="E607" s="224" t="s">
        <v>4</v>
      </c>
      <c r="F607" s="224" t="s">
        <v>725</v>
      </c>
      <c r="G607" s="224" t="s">
        <v>10977</v>
      </c>
      <c r="H607" s="224">
        <v>3</v>
      </c>
      <c r="I607" s="224" t="s">
        <v>1045</v>
      </c>
      <c r="J607" s="224" t="s">
        <v>11736</v>
      </c>
      <c r="K607" s="224">
        <v>2.5</v>
      </c>
      <c r="L607" s="224" t="s">
        <v>451</v>
      </c>
      <c r="M607" s="224">
        <v>1500000</v>
      </c>
      <c r="N607" s="224" t="s">
        <v>452</v>
      </c>
      <c r="O607" s="224" t="s">
        <v>10978</v>
      </c>
      <c r="P607" s="224"/>
      <c r="Q607" s="224" t="s">
        <v>24</v>
      </c>
      <c r="R607" s="224"/>
      <c r="S607" s="224" t="str">
        <f>IFERROR(VLOOKUP(B607,'2022-2023 Third Reviews'!$C:$S,9,FALSE),"")</f>
        <v/>
      </c>
      <c r="T607" s="224"/>
      <c r="U607" s="224"/>
      <c r="V607" s="224"/>
      <c r="W607" s="224"/>
      <c r="X607" s="224"/>
      <c r="Y607" s="224"/>
      <c r="Z607" s="224"/>
      <c r="AA607" s="224"/>
      <c r="AB607" s="224"/>
      <c r="AC607" s="224"/>
    </row>
    <row r="608" spans="1:29" ht="15.75" customHeight="1">
      <c r="A608" s="398">
        <v>44784</v>
      </c>
      <c r="B608" s="268" t="s">
        <v>6115</v>
      </c>
      <c r="C608" s="269">
        <v>2.75</v>
      </c>
      <c r="D608" s="268" t="s">
        <v>11592</v>
      </c>
      <c r="E608" s="270" t="s">
        <v>4</v>
      </c>
      <c r="F608" s="268" t="s">
        <v>602</v>
      </c>
      <c r="G608" s="268" t="s">
        <v>6119</v>
      </c>
      <c r="H608" s="268">
        <v>3</v>
      </c>
      <c r="I608" s="268" t="s">
        <v>476</v>
      </c>
      <c r="J608" s="268" t="s">
        <v>13400</v>
      </c>
      <c r="K608" s="268">
        <v>2.5</v>
      </c>
      <c r="L608" s="268"/>
      <c r="M608" s="268"/>
      <c r="N608" s="268" t="s">
        <v>452</v>
      </c>
      <c r="O608" s="268" t="s">
        <v>6121</v>
      </c>
      <c r="P608" s="268"/>
      <c r="Q608" s="268" t="s">
        <v>24</v>
      </c>
      <c r="R608" s="268"/>
      <c r="S608" s="268" t="str">
        <f>IFERROR(VLOOKUP(B608,'2022-2023 Third Reviews'!$C:$S,9,FALSE),"")</f>
        <v/>
      </c>
      <c r="T608" s="268" t="s">
        <v>13259</v>
      </c>
      <c r="U608" s="268"/>
      <c r="V608" s="219"/>
      <c r="W608" s="219"/>
      <c r="X608" s="219"/>
      <c r="Y608" s="219"/>
      <c r="Z608" s="219"/>
      <c r="AA608" s="219"/>
      <c r="AB608" s="219"/>
      <c r="AC608" s="219"/>
    </row>
    <row r="609" spans="1:29" ht="15.75" hidden="1" customHeight="1">
      <c r="A609" s="253">
        <v>44791</v>
      </c>
      <c r="B609" s="224" t="s">
        <v>11160</v>
      </c>
      <c r="C609" s="316">
        <v>2.5</v>
      </c>
      <c r="D609" s="224" t="s">
        <v>11161</v>
      </c>
      <c r="E609" s="224" t="s">
        <v>5</v>
      </c>
      <c r="F609" s="224" t="s">
        <v>447</v>
      </c>
      <c r="G609" s="224" t="s">
        <v>11162</v>
      </c>
      <c r="H609" s="224">
        <v>2</v>
      </c>
      <c r="I609" s="224" t="s">
        <v>449</v>
      </c>
      <c r="J609" s="224" t="s">
        <v>11698</v>
      </c>
      <c r="K609" s="224">
        <v>3</v>
      </c>
      <c r="L609" s="224" t="s">
        <v>451</v>
      </c>
      <c r="M609" s="307">
        <v>4000000</v>
      </c>
      <c r="N609" s="224" t="s">
        <v>452</v>
      </c>
      <c r="O609" s="224" t="s">
        <v>2694</v>
      </c>
      <c r="P609" s="224"/>
      <c r="Q609" s="322" t="s">
        <v>24</v>
      </c>
      <c r="R609" s="254"/>
      <c r="S609" s="254"/>
      <c r="T609" s="254"/>
      <c r="U609" s="254"/>
      <c r="V609" s="224"/>
      <c r="W609" s="224"/>
      <c r="X609" s="224"/>
      <c r="Y609" s="224"/>
      <c r="Z609" s="224"/>
      <c r="AA609" s="224"/>
      <c r="AB609" s="224"/>
      <c r="AC609" s="224"/>
    </row>
    <row r="610" spans="1:29" ht="15.75" hidden="1" customHeight="1">
      <c r="A610" s="227">
        <v>44776</v>
      </c>
      <c r="B610" s="228" t="s">
        <v>2696</v>
      </c>
      <c r="C610" s="214">
        <v>2.75</v>
      </c>
      <c r="D610" s="228" t="s">
        <v>2699</v>
      </c>
      <c r="E610" s="215" t="s">
        <v>5</v>
      </c>
      <c r="F610" s="228" t="s">
        <v>447</v>
      </c>
      <c r="G610" s="228" t="s">
        <v>2700</v>
      </c>
      <c r="H610" s="228">
        <v>3.5</v>
      </c>
      <c r="I610" s="228" t="s">
        <v>449</v>
      </c>
      <c r="J610" s="228" t="s">
        <v>13400</v>
      </c>
      <c r="K610" s="228">
        <v>2</v>
      </c>
      <c r="L610" s="228" t="s">
        <v>478</v>
      </c>
      <c r="M610" s="232">
        <v>3000000</v>
      </c>
      <c r="N610" s="228" t="s">
        <v>452</v>
      </c>
      <c r="O610" s="228" t="s">
        <v>10222</v>
      </c>
      <c r="P610" s="230"/>
      <c r="Q610" s="228" t="s">
        <v>24</v>
      </c>
      <c r="R610" s="231" t="s">
        <v>2703</v>
      </c>
      <c r="S610" s="231"/>
      <c r="T610" s="231"/>
      <c r="U610" s="231"/>
      <c r="V610" s="228"/>
      <c r="W610" s="228"/>
      <c r="X610" s="228"/>
      <c r="Y610" s="219"/>
      <c r="Z610" s="219"/>
      <c r="AA610" s="219"/>
      <c r="AB610" s="219"/>
      <c r="AC610" s="219"/>
    </row>
    <row r="611" spans="1:29" ht="15.75" hidden="1" customHeight="1">
      <c r="A611" s="301">
        <v>44789</v>
      </c>
      <c r="B611" s="303" t="s">
        <v>405</v>
      </c>
      <c r="C611" s="269"/>
      <c r="D611" s="303" t="s">
        <v>10132</v>
      </c>
      <c r="E611" s="270" t="s">
        <v>3</v>
      </c>
      <c r="F611" s="303" t="s">
        <v>460</v>
      </c>
      <c r="G611" s="303"/>
      <c r="H611" s="303"/>
      <c r="I611" s="303" t="s">
        <v>488</v>
      </c>
      <c r="J611" s="303" t="s">
        <v>13213</v>
      </c>
      <c r="K611" s="303">
        <v>3.5</v>
      </c>
      <c r="L611" s="303" t="s">
        <v>784</v>
      </c>
      <c r="M611" s="303">
        <v>2000000</v>
      </c>
      <c r="N611" s="303" t="s">
        <v>452</v>
      </c>
      <c r="O611" s="303" t="s">
        <v>10135</v>
      </c>
      <c r="P611" s="303" t="s">
        <v>460</v>
      </c>
      <c r="Q611" s="303"/>
      <c r="R611" s="305"/>
      <c r="S611" s="305"/>
      <c r="T611" s="305"/>
      <c r="U611" s="305"/>
      <c r="V611" s="303"/>
      <c r="W611" s="303"/>
      <c r="X611" s="303"/>
      <c r="Y611" s="303"/>
      <c r="Z611" s="303"/>
      <c r="AA611" s="306"/>
      <c r="AB611" s="306"/>
      <c r="AC611" s="306"/>
    </row>
    <row r="612" spans="1:29" ht="15.75" hidden="1" customHeight="1">
      <c r="A612" s="257">
        <v>44789</v>
      </c>
      <c r="B612" s="258" t="s">
        <v>405</v>
      </c>
      <c r="C612" s="263">
        <v>3.75</v>
      </c>
      <c r="D612" s="258" t="s">
        <v>10132</v>
      </c>
      <c r="E612" s="258" t="s">
        <v>3</v>
      </c>
      <c r="F612" s="258" t="s">
        <v>460</v>
      </c>
      <c r="G612" s="258" t="s">
        <v>10133</v>
      </c>
      <c r="H612" s="258">
        <v>4</v>
      </c>
      <c r="I612" s="258" t="s">
        <v>488</v>
      </c>
      <c r="J612" s="258" t="s">
        <v>10491</v>
      </c>
      <c r="K612" s="258">
        <v>3.5</v>
      </c>
      <c r="L612" s="258" t="s">
        <v>784</v>
      </c>
      <c r="M612" s="258">
        <v>2000000</v>
      </c>
      <c r="N612" s="258" t="s">
        <v>452</v>
      </c>
      <c r="O612" s="258" t="s">
        <v>10135</v>
      </c>
      <c r="P612" s="258" t="s">
        <v>460</v>
      </c>
      <c r="Q612" s="258" t="s">
        <v>20</v>
      </c>
      <c r="R612" s="259" t="s">
        <v>10136</v>
      </c>
      <c r="S612" s="259"/>
      <c r="T612" s="259"/>
      <c r="U612" s="259"/>
      <c r="V612" s="258"/>
      <c r="W612" s="258"/>
      <c r="X612" s="258"/>
      <c r="Y612" s="258"/>
      <c r="Z612" s="258"/>
      <c r="AA612" s="258"/>
      <c r="AB612" s="258"/>
      <c r="AC612" s="258"/>
    </row>
    <row r="613" spans="1:29" ht="15.75" hidden="1" customHeight="1">
      <c r="A613" s="253">
        <v>44782</v>
      </c>
      <c r="B613" s="224" t="s">
        <v>2706</v>
      </c>
      <c r="C613" s="249">
        <v>2.75</v>
      </c>
      <c r="D613" s="224" t="s">
        <v>10472</v>
      </c>
      <c r="E613" s="250" t="s">
        <v>5</v>
      </c>
      <c r="F613" s="224" t="s">
        <v>447</v>
      </c>
      <c r="G613" s="224" t="s">
        <v>2710</v>
      </c>
      <c r="H613" s="224">
        <v>2.5</v>
      </c>
      <c r="I613" s="224" t="s">
        <v>543</v>
      </c>
      <c r="J613" s="224" t="s">
        <v>2711</v>
      </c>
      <c r="K613" s="224">
        <v>3</v>
      </c>
      <c r="L613" s="224" t="s">
        <v>451</v>
      </c>
      <c r="M613" s="224" t="s">
        <v>2712</v>
      </c>
      <c r="N613" s="224" t="s">
        <v>452</v>
      </c>
      <c r="O613" s="224" t="s">
        <v>452</v>
      </c>
      <c r="P613" s="224"/>
      <c r="Q613" s="224" t="s">
        <v>24</v>
      </c>
      <c r="R613" s="254"/>
      <c r="S613" s="254"/>
      <c r="T613" s="254"/>
      <c r="U613" s="254"/>
      <c r="V613" s="252"/>
      <c r="W613" s="252"/>
      <c r="X613" s="252"/>
      <c r="Y613" s="224"/>
      <c r="Z613" s="224"/>
      <c r="AA613" s="224"/>
      <c r="AB613" s="224"/>
      <c r="AC613" s="224"/>
    </row>
    <row r="614" spans="1:29" ht="15.75" hidden="1" customHeight="1">
      <c r="A614" s="280">
        <v>44784</v>
      </c>
      <c r="B614" s="281" t="s">
        <v>90</v>
      </c>
      <c r="C614" s="282">
        <v>3.75</v>
      </c>
      <c r="D614" s="281" t="s">
        <v>638</v>
      </c>
      <c r="E614" s="281" t="s">
        <v>5</v>
      </c>
      <c r="F614" s="281" t="s">
        <v>447</v>
      </c>
      <c r="G614" s="281" t="s">
        <v>10569</v>
      </c>
      <c r="H614" s="281">
        <v>3.5</v>
      </c>
      <c r="I614" s="281" t="s">
        <v>622</v>
      </c>
      <c r="J614" s="281"/>
      <c r="K614" s="281">
        <v>4</v>
      </c>
      <c r="L614" s="281"/>
      <c r="M614" s="281"/>
      <c r="N614" s="281" t="s">
        <v>452</v>
      </c>
      <c r="O614" s="281" t="s">
        <v>575</v>
      </c>
      <c r="P614" s="281" t="s">
        <v>640</v>
      </c>
      <c r="Q614" s="281" t="s">
        <v>20</v>
      </c>
      <c r="R614" s="283" t="s">
        <v>641</v>
      </c>
      <c r="S614" s="283"/>
      <c r="T614" s="283"/>
      <c r="U614" s="283"/>
      <c r="V614" s="281"/>
      <c r="W614" s="281"/>
      <c r="X614" s="281"/>
      <c r="Y614" s="281"/>
      <c r="Z614" s="281"/>
      <c r="AA614" s="258"/>
      <c r="AB614" s="258"/>
      <c r="AC614" s="258"/>
    </row>
    <row r="615" spans="1:29" ht="15.75" hidden="1" customHeight="1">
      <c r="A615" s="253">
        <v>44782</v>
      </c>
      <c r="B615" s="224" t="s">
        <v>2715</v>
      </c>
      <c r="C615" s="249">
        <v>2.25</v>
      </c>
      <c r="D615" s="224" t="s">
        <v>10595</v>
      </c>
      <c r="E615" s="250" t="s">
        <v>5</v>
      </c>
      <c r="F615" s="224" t="s">
        <v>447</v>
      </c>
      <c r="G615" s="224" t="s">
        <v>2719</v>
      </c>
      <c r="H615" s="224">
        <v>2.5</v>
      </c>
      <c r="I615" s="224" t="s">
        <v>622</v>
      </c>
      <c r="J615" s="224" t="s">
        <v>11543</v>
      </c>
      <c r="K615" s="224">
        <v>2</v>
      </c>
      <c r="L615" s="224" t="s">
        <v>451</v>
      </c>
      <c r="M615" s="224">
        <v>1000000</v>
      </c>
      <c r="N615" s="224" t="s">
        <v>452</v>
      </c>
      <c r="O615" s="224" t="s">
        <v>10597</v>
      </c>
      <c r="P615" s="224"/>
      <c r="Q615" s="224" t="s">
        <v>24</v>
      </c>
      <c r="R615" s="254"/>
      <c r="S615" s="254"/>
      <c r="T615" s="254"/>
      <c r="U615" s="254"/>
      <c r="V615" s="252"/>
      <c r="W615" s="252"/>
      <c r="X615" s="252"/>
      <c r="Y615" s="224"/>
      <c r="Z615" s="224"/>
      <c r="AA615" s="224"/>
      <c r="AB615" s="224"/>
      <c r="AC615" s="224"/>
    </row>
    <row r="616" spans="1:29" ht="15.75" customHeight="1">
      <c r="A616" s="248">
        <v>44789</v>
      </c>
      <c r="B616" s="219" t="s">
        <v>6123</v>
      </c>
      <c r="C616" s="249">
        <v>2.63</v>
      </c>
      <c r="D616" s="219" t="s">
        <v>6126</v>
      </c>
      <c r="E616" s="250" t="s">
        <v>4</v>
      </c>
      <c r="F616" s="219" t="s">
        <v>727</v>
      </c>
      <c r="G616" s="219" t="s">
        <v>10681</v>
      </c>
      <c r="H616" s="219">
        <v>3.75</v>
      </c>
      <c r="I616" s="219" t="s">
        <v>476</v>
      </c>
      <c r="J616" s="219" t="s">
        <v>13400</v>
      </c>
      <c r="K616" s="219">
        <v>1.5</v>
      </c>
      <c r="L616" s="219"/>
      <c r="M616" s="312"/>
      <c r="N616" s="219" t="s">
        <v>452</v>
      </c>
      <c r="O616" s="219" t="s">
        <v>3420</v>
      </c>
      <c r="P616" s="219"/>
      <c r="Q616" s="219" t="s">
        <v>24</v>
      </c>
      <c r="R616" s="219"/>
      <c r="S616" s="219" t="str">
        <f>IFERROR(VLOOKUP(B616,'2022-2023 Third Reviews'!$C:$S,9,FALSE),"")</f>
        <v/>
      </c>
      <c r="T616" s="219" t="s">
        <v>13267</v>
      </c>
      <c r="U616" s="219"/>
      <c r="V616" s="252"/>
      <c r="W616" s="252"/>
      <c r="X616" s="252"/>
      <c r="Y616" s="219"/>
      <c r="Z616" s="219"/>
      <c r="AA616" s="219"/>
      <c r="AB616" s="219"/>
      <c r="AC616" s="219"/>
    </row>
    <row r="617" spans="1:29" ht="15.75" customHeight="1">
      <c r="A617" s="253">
        <v>44791</v>
      </c>
      <c r="B617" s="224" t="s">
        <v>6131</v>
      </c>
      <c r="C617" s="316">
        <v>2.63</v>
      </c>
      <c r="D617" s="224" t="s">
        <v>6134</v>
      </c>
      <c r="E617" s="224" t="s">
        <v>4</v>
      </c>
      <c r="F617" s="224" t="s">
        <v>1045</v>
      </c>
      <c r="G617" s="224" t="s">
        <v>6135</v>
      </c>
      <c r="H617" s="224">
        <v>2.75</v>
      </c>
      <c r="I617" s="224" t="s">
        <v>543</v>
      </c>
      <c r="J617" s="224" t="s">
        <v>6136</v>
      </c>
      <c r="K617" s="224">
        <v>2.5</v>
      </c>
      <c r="L617" s="224"/>
      <c r="M617" s="224"/>
      <c r="N617" s="224" t="s">
        <v>465</v>
      </c>
      <c r="O617" s="224" t="s">
        <v>6137</v>
      </c>
      <c r="P617" s="224"/>
      <c r="Q617" s="322" t="s">
        <v>24</v>
      </c>
      <c r="R617" s="224"/>
      <c r="S617" s="224" t="str">
        <f>IFERROR(VLOOKUP(B617,'2022-2023 Third Reviews'!$C:$S,9,FALSE),"")</f>
        <v/>
      </c>
      <c r="T617" s="224"/>
      <c r="U617" s="224"/>
      <c r="V617" s="306"/>
      <c r="W617" s="306"/>
      <c r="X617" s="306"/>
      <c r="Y617" s="306"/>
      <c r="Z617" s="306"/>
      <c r="AA617" s="306"/>
      <c r="AB617" s="306"/>
      <c r="AC617" s="306"/>
    </row>
    <row r="618" spans="1:29" ht="15.75" customHeight="1">
      <c r="A618" s="398">
        <v>44784</v>
      </c>
      <c r="B618" s="268" t="s">
        <v>6139</v>
      </c>
      <c r="C618" s="269">
        <v>2.5</v>
      </c>
      <c r="D618" s="268" t="s">
        <v>6142</v>
      </c>
      <c r="E618" s="270" t="s">
        <v>4</v>
      </c>
      <c r="F618" s="268" t="s">
        <v>602</v>
      </c>
      <c r="G618" s="268" t="s">
        <v>6143</v>
      </c>
      <c r="H618" s="268">
        <v>3</v>
      </c>
      <c r="I618" s="268" t="s">
        <v>1054</v>
      </c>
      <c r="J618" s="268" t="s">
        <v>6144</v>
      </c>
      <c r="K618" s="268">
        <v>2</v>
      </c>
      <c r="L618" s="268" t="s">
        <v>451</v>
      </c>
      <c r="M618" s="268">
        <v>750000</v>
      </c>
      <c r="N618" s="268" t="s">
        <v>465</v>
      </c>
      <c r="O618" s="268" t="s">
        <v>6145</v>
      </c>
      <c r="P618" s="268"/>
      <c r="Q618" s="268" t="s">
        <v>24</v>
      </c>
      <c r="R618" s="268"/>
      <c r="S618" s="268" t="str">
        <f>IFERROR(VLOOKUP(B618,'2022-2023 Third Reviews'!$C:$S,9,FALSE),"")</f>
        <v/>
      </c>
      <c r="T618" s="268"/>
      <c r="U618" s="268"/>
      <c r="V618" s="252"/>
      <c r="W618" s="252"/>
      <c r="X618" s="252"/>
      <c r="Y618" s="219"/>
      <c r="Z618" s="219"/>
      <c r="AA618" s="219"/>
      <c r="AB618" s="219"/>
      <c r="AC618" s="219"/>
    </row>
    <row r="619" spans="1:29" ht="15.75" customHeight="1">
      <c r="A619" s="398">
        <v>44784</v>
      </c>
      <c r="B619" s="272" t="s">
        <v>6148</v>
      </c>
      <c r="C619" s="269">
        <v>2.5</v>
      </c>
      <c r="D619" s="272" t="s">
        <v>10190</v>
      </c>
      <c r="E619" s="270" t="s">
        <v>4</v>
      </c>
      <c r="F619" s="272" t="s">
        <v>602</v>
      </c>
      <c r="G619" s="272" t="s">
        <v>6152</v>
      </c>
      <c r="H619" s="272">
        <v>2</v>
      </c>
      <c r="I619" s="272" t="s">
        <v>1054</v>
      </c>
      <c r="J619" s="272" t="s">
        <v>6153</v>
      </c>
      <c r="K619" s="272">
        <v>3</v>
      </c>
      <c r="L619" s="272" t="s">
        <v>451</v>
      </c>
      <c r="M619" s="273">
        <v>2000000</v>
      </c>
      <c r="N619" s="272" t="s">
        <v>452</v>
      </c>
      <c r="O619" s="273" t="s">
        <v>452</v>
      </c>
      <c r="P619" s="272"/>
      <c r="Q619" s="272" t="s">
        <v>24</v>
      </c>
      <c r="R619" s="272"/>
      <c r="S619" s="272" t="str">
        <f>IFERROR(VLOOKUP(B619,'2022-2023 Third Reviews'!$C:$S,9,FALSE),"")</f>
        <v/>
      </c>
      <c r="T619" s="272"/>
      <c r="U619" s="272"/>
      <c r="V619" s="306"/>
      <c r="W619" s="306"/>
      <c r="X619" s="306"/>
      <c r="Y619" s="306"/>
      <c r="Z619" s="306"/>
      <c r="AA619" s="306"/>
      <c r="AB619" s="306"/>
      <c r="AC619" s="306"/>
    </row>
    <row r="620" spans="1:29" ht="15.75" customHeight="1">
      <c r="A620" s="248">
        <v>44796</v>
      </c>
      <c r="B620" s="219" t="s">
        <v>6156</v>
      </c>
      <c r="C620" s="315">
        <v>2.5</v>
      </c>
      <c r="D620" s="219" t="s">
        <v>6159</v>
      </c>
      <c r="E620" s="219" t="s">
        <v>4</v>
      </c>
      <c r="F620" s="219" t="s">
        <v>725</v>
      </c>
      <c r="G620" s="219" t="s">
        <v>11195</v>
      </c>
      <c r="H620" s="219">
        <v>2</v>
      </c>
      <c r="I620" s="219" t="s">
        <v>990</v>
      </c>
      <c r="J620" s="219"/>
      <c r="K620" s="219">
        <v>3</v>
      </c>
      <c r="L620" s="219" t="s">
        <v>451</v>
      </c>
      <c r="M620" s="310">
        <v>900000</v>
      </c>
      <c r="N620" s="219" t="s">
        <v>452</v>
      </c>
      <c r="O620" s="219" t="s">
        <v>6161</v>
      </c>
      <c r="P620" s="219"/>
      <c r="Q620" s="219" t="s">
        <v>24</v>
      </c>
      <c r="R620" s="219"/>
      <c r="S620" s="219" t="str">
        <f>IFERROR(VLOOKUP(B620,'2022-2023 Third Reviews'!$C:$S,9,FALSE),"")</f>
        <v/>
      </c>
      <c r="T620" s="219"/>
      <c r="U620" s="219"/>
      <c r="V620" s="268"/>
      <c r="W620" s="268"/>
      <c r="X620" s="268"/>
      <c r="Y620" s="268"/>
      <c r="Z620" s="268"/>
      <c r="AA620" s="219"/>
      <c r="AB620" s="219"/>
      <c r="AC620" s="219"/>
    </row>
    <row r="621" spans="1:29" ht="15.75" customHeight="1">
      <c r="A621" s="253">
        <v>44796</v>
      </c>
      <c r="B621" s="224" t="s">
        <v>6164</v>
      </c>
      <c r="C621" s="316">
        <v>2.5</v>
      </c>
      <c r="D621" s="224" t="s">
        <v>10987</v>
      </c>
      <c r="E621" s="224" t="s">
        <v>4</v>
      </c>
      <c r="F621" s="224" t="s">
        <v>602</v>
      </c>
      <c r="G621" s="224" t="s">
        <v>6168</v>
      </c>
      <c r="H621" s="224">
        <v>2</v>
      </c>
      <c r="I621" s="224" t="s">
        <v>990</v>
      </c>
      <c r="J621" s="224"/>
      <c r="K621" s="224">
        <v>3</v>
      </c>
      <c r="L621" s="224"/>
      <c r="M621" s="224"/>
      <c r="N621" s="224" t="s">
        <v>452</v>
      </c>
      <c r="O621" s="224" t="s">
        <v>10988</v>
      </c>
      <c r="P621" s="224" t="s">
        <v>6170</v>
      </c>
      <c r="Q621" s="224" t="s">
        <v>24</v>
      </c>
      <c r="R621" s="224"/>
      <c r="S621" s="224" t="str">
        <f>IFERROR(VLOOKUP(B621,'2022-2023 Third Reviews'!$C:$S,9,FALSE),"")</f>
        <v/>
      </c>
      <c r="T621" s="224"/>
      <c r="U621" s="224"/>
      <c r="V621" s="224"/>
      <c r="W621" s="224"/>
      <c r="X621" s="224"/>
      <c r="Y621" s="224"/>
      <c r="Z621" s="224"/>
      <c r="AA621" s="224"/>
      <c r="AB621" s="224"/>
      <c r="AC621" s="224"/>
    </row>
    <row r="622" spans="1:29" ht="15.75" customHeight="1">
      <c r="A622" s="248">
        <v>44797</v>
      </c>
      <c r="B622" s="219" t="s">
        <v>6173</v>
      </c>
      <c r="C622" s="315">
        <v>2.5</v>
      </c>
      <c r="D622" s="219" t="s">
        <v>11357</v>
      </c>
      <c r="E622" s="219" t="s">
        <v>4</v>
      </c>
      <c r="F622" s="219" t="s">
        <v>725</v>
      </c>
      <c r="G622" s="219" t="s">
        <v>6177</v>
      </c>
      <c r="H622" s="219">
        <v>1</v>
      </c>
      <c r="I622" s="219" t="s">
        <v>990</v>
      </c>
      <c r="J622" s="219" t="s">
        <v>6178</v>
      </c>
      <c r="K622" s="219">
        <v>4</v>
      </c>
      <c r="L622" s="219"/>
      <c r="M622" s="219"/>
      <c r="N622" s="219" t="s">
        <v>452</v>
      </c>
      <c r="O622" s="219" t="s">
        <v>6179</v>
      </c>
      <c r="P622" s="219"/>
      <c r="Q622" s="219" t="s">
        <v>24</v>
      </c>
      <c r="R622" s="219"/>
      <c r="S622" s="219" t="str">
        <f>IFERROR(VLOOKUP(B622,'2022-2023 Third Reviews'!$C:$S,9,FALSE),"")</f>
        <v/>
      </c>
      <c r="T622" s="219"/>
      <c r="U622" s="219"/>
      <c r="V622" s="219"/>
      <c r="W622" s="219"/>
      <c r="X622" s="219"/>
      <c r="Y622" s="219"/>
      <c r="Z622" s="219"/>
      <c r="AA622" s="219"/>
      <c r="AB622" s="219"/>
      <c r="AC622" s="219"/>
    </row>
    <row r="623" spans="1:29" ht="15.75" customHeight="1">
      <c r="A623" s="253">
        <v>44791</v>
      </c>
      <c r="B623" s="224" t="s">
        <v>6181</v>
      </c>
      <c r="C623" s="316">
        <v>2.5</v>
      </c>
      <c r="D623" s="224" t="s">
        <v>6184</v>
      </c>
      <c r="E623" s="224" t="s">
        <v>4</v>
      </c>
      <c r="F623" s="224" t="s">
        <v>727</v>
      </c>
      <c r="G623" s="224" t="s">
        <v>10690</v>
      </c>
      <c r="H623" s="224">
        <v>3</v>
      </c>
      <c r="I623" s="224" t="s">
        <v>1036</v>
      </c>
      <c r="J623" s="224" t="s">
        <v>6186</v>
      </c>
      <c r="K623" s="224">
        <v>2</v>
      </c>
      <c r="L623" s="224" t="s">
        <v>784</v>
      </c>
      <c r="M623" s="307">
        <v>608750</v>
      </c>
      <c r="N623" s="224" t="s">
        <v>452</v>
      </c>
      <c r="O623" s="224" t="s">
        <v>6187</v>
      </c>
      <c r="P623" s="224"/>
      <c r="Q623" s="322" t="s">
        <v>24</v>
      </c>
      <c r="R623" s="224"/>
      <c r="S623" s="224" t="str">
        <f>IFERROR(VLOOKUP(B623,'2022-2023 Third Reviews'!$C:$S,9,FALSE),"")</f>
        <v/>
      </c>
      <c r="T623" s="224"/>
      <c r="U623" s="224"/>
      <c r="V623" s="224"/>
      <c r="W623" s="224"/>
      <c r="X623" s="224"/>
      <c r="Y623" s="224"/>
      <c r="Z623" s="224"/>
      <c r="AA623" s="224"/>
      <c r="AB623" s="224"/>
      <c r="AC623" s="224"/>
    </row>
    <row r="624" spans="1:29" ht="15.75" hidden="1" customHeight="1">
      <c r="A624" s="541">
        <v>44796</v>
      </c>
      <c r="B624" s="306" t="s">
        <v>2724</v>
      </c>
      <c r="C624" s="542"/>
      <c r="D624" s="306" t="s">
        <v>2727</v>
      </c>
      <c r="E624" s="306" t="s">
        <v>5</v>
      </c>
      <c r="F624" s="306" t="s">
        <v>447</v>
      </c>
      <c r="G624" s="306"/>
      <c r="H624" s="306"/>
      <c r="I624" s="306" t="s">
        <v>622</v>
      </c>
      <c r="J624" s="306"/>
      <c r="K624" s="306"/>
      <c r="L624" s="306" t="s">
        <v>451</v>
      </c>
      <c r="M624" s="545">
        <v>3000000</v>
      </c>
      <c r="N624" s="306" t="s">
        <v>452</v>
      </c>
      <c r="O624" s="306" t="s">
        <v>11121</v>
      </c>
      <c r="P624" s="306"/>
      <c r="Q624" s="306"/>
      <c r="R624" s="543"/>
      <c r="S624" s="543"/>
      <c r="T624" s="543"/>
      <c r="U624" s="543"/>
      <c r="V624" s="219"/>
      <c r="W624" s="219"/>
      <c r="X624" s="219"/>
      <c r="Y624" s="219"/>
      <c r="Z624" s="219"/>
      <c r="AA624" s="219"/>
      <c r="AB624" s="219"/>
      <c r="AC624" s="219"/>
    </row>
    <row r="625" spans="1:29" ht="15.75" hidden="1" customHeight="1">
      <c r="A625" s="253">
        <v>44796</v>
      </c>
      <c r="B625" s="224" t="s">
        <v>2724</v>
      </c>
      <c r="C625" s="316">
        <v>3</v>
      </c>
      <c r="D625" s="224" t="s">
        <v>2727</v>
      </c>
      <c r="E625" s="224" t="s">
        <v>5</v>
      </c>
      <c r="F625" s="224" t="s">
        <v>447</v>
      </c>
      <c r="G625" s="224" t="s">
        <v>11119</v>
      </c>
      <c r="H625" s="224">
        <v>3</v>
      </c>
      <c r="I625" s="224" t="s">
        <v>622</v>
      </c>
      <c r="J625" s="224" t="s">
        <v>11120</v>
      </c>
      <c r="K625" s="224">
        <v>3</v>
      </c>
      <c r="L625" s="224" t="s">
        <v>451</v>
      </c>
      <c r="M625" s="311">
        <v>3000000</v>
      </c>
      <c r="N625" s="224" t="s">
        <v>452</v>
      </c>
      <c r="O625" s="224" t="s">
        <v>11121</v>
      </c>
      <c r="P625" s="224"/>
      <c r="Q625" s="224" t="s">
        <v>24</v>
      </c>
      <c r="R625" s="254"/>
      <c r="S625" s="254"/>
      <c r="T625" s="254"/>
      <c r="U625" s="254"/>
      <c r="V625" s="224"/>
      <c r="W625" s="224"/>
      <c r="X625" s="224"/>
      <c r="Y625" s="224"/>
      <c r="Z625" s="224"/>
      <c r="AA625" s="224"/>
      <c r="AB625" s="224"/>
      <c r="AC625" s="224"/>
    </row>
    <row r="626" spans="1:29" ht="15.75" customHeight="1">
      <c r="A626" s="248">
        <v>44796</v>
      </c>
      <c r="B626" s="219" t="s">
        <v>6190</v>
      </c>
      <c r="C626" s="315">
        <v>2.5</v>
      </c>
      <c r="D626" s="219" t="s">
        <v>6193</v>
      </c>
      <c r="E626" s="219" t="s">
        <v>4</v>
      </c>
      <c r="F626" s="219" t="s">
        <v>725</v>
      </c>
      <c r="G626" s="219" t="s">
        <v>10943</v>
      </c>
      <c r="H626" s="219">
        <v>2</v>
      </c>
      <c r="I626" s="219" t="s">
        <v>1036</v>
      </c>
      <c r="J626" s="219" t="s">
        <v>6195</v>
      </c>
      <c r="K626" s="219">
        <v>3</v>
      </c>
      <c r="L626" s="219" t="s">
        <v>478</v>
      </c>
      <c r="M626" s="331">
        <v>10500000</v>
      </c>
      <c r="N626" s="219" t="s">
        <v>452</v>
      </c>
      <c r="O626" s="219" t="s">
        <v>10944</v>
      </c>
      <c r="P626" s="219" t="s">
        <v>6197</v>
      </c>
      <c r="Q626" s="219" t="s">
        <v>24</v>
      </c>
      <c r="R626" s="219"/>
      <c r="S626" s="219" t="str">
        <f>IFERROR(VLOOKUP(B626,'2022-2023 Third Reviews'!$C:$S,9,FALSE),"")</f>
        <v/>
      </c>
      <c r="T626" s="219"/>
      <c r="U626" s="219"/>
      <c r="V626" s="252"/>
      <c r="W626" s="252"/>
      <c r="X626" s="252"/>
      <c r="Y626" s="219"/>
      <c r="Z626" s="219"/>
      <c r="AA626" s="219"/>
      <c r="AB626" s="219"/>
      <c r="AC626" s="219"/>
    </row>
    <row r="627" spans="1:29" ht="15.75" customHeight="1">
      <c r="A627" s="253">
        <v>44796</v>
      </c>
      <c r="B627" s="224" t="s">
        <v>6200</v>
      </c>
      <c r="C627" s="316">
        <v>2.5</v>
      </c>
      <c r="D627" s="224" t="s">
        <v>6203</v>
      </c>
      <c r="E627" s="224" t="s">
        <v>4</v>
      </c>
      <c r="F627" s="224" t="s">
        <v>602</v>
      </c>
      <c r="G627" s="224" t="s">
        <v>6204</v>
      </c>
      <c r="H627" s="224">
        <v>2</v>
      </c>
      <c r="I627" s="224" t="s">
        <v>1073</v>
      </c>
      <c r="J627" s="224"/>
      <c r="K627" s="224">
        <v>3</v>
      </c>
      <c r="L627" s="224" t="s">
        <v>451</v>
      </c>
      <c r="M627" s="224">
        <v>550000</v>
      </c>
      <c r="N627" s="224" t="s">
        <v>465</v>
      </c>
      <c r="O627" s="224" t="s">
        <v>6205</v>
      </c>
      <c r="P627" s="224"/>
      <c r="Q627" s="224" t="s">
        <v>24</v>
      </c>
      <c r="R627" s="224"/>
      <c r="S627" s="224" t="str">
        <f>IFERROR(VLOOKUP(B627,'2022-2023 Third Reviews'!$C:$S,9,FALSE),"")</f>
        <v/>
      </c>
      <c r="T627" s="224"/>
      <c r="U627" s="224"/>
      <c r="V627" s="303"/>
      <c r="W627" s="303"/>
      <c r="X627" s="303"/>
      <c r="Y627" s="303"/>
      <c r="Z627" s="303"/>
      <c r="AA627" s="306"/>
      <c r="AB627" s="306"/>
      <c r="AC627" s="306"/>
    </row>
    <row r="628" spans="1:29" ht="15.75" customHeight="1">
      <c r="A628" s="248">
        <v>44789</v>
      </c>
      <c r="B628" s="219" t="s">
        <v>6208</v>
      </c>
      <c r="C628" s="249">
        <v>2.5</v>
      </c>
      <c r="D628" s="219" t="s">
        <v>6211</v>
      </c>
      <c r="E628" s="250" t="s">
        <v>4</v>
      </c>
      <c r="F628" s="219" t="s">
        <v>727</v>
      </c>
      <c r="G628" s="219" t="s">
        <v>10225</v>
      </c>
      <c r="H628" s="219">
        <v>3</v>
      </c>
      <c r="I628" s="219" t="s">
        <v>1045</v>
      </c>
      <c r="J628" s="219" t="s">
        <v>6213</v>
      </c>
      <c r="K628" s="219">
        <v>2</v>
      </c>
      <c r="L628" s="219" t="s">
        <v>451</v>
      </c>
      <c r="M628" s="219">
        <v>1000000</v>
      </c>
      <c r="N628" s="219" t="s">
        <v>465</v>
      </c>
      <c r="O628" s="219" t="s">
        <v>6214</v>
      </c>
      <c r="P628" s="219" t="s">
        <v>6215</v>
      </c>
      <c r="Q628" s="219" t="s">
        <v>24</v>
      </c>
      <c r="R628" s="219"/>
      <c r="S628" s="219" t="str">
        <f>IFERROR(VLOOKUP(B628,'2022-2023 Third Reviews'!$C:$S,9,FALSE),"")</f>
        <v/>
      </c>
      <c r="T628" s="219"/>
      <c r="U628" s="219"/>
      <c r="V628" s="219"/>
      <c r="W628" s="219"/>
      <c r="X628" s="219"/>
      <c r="Y628" s="219"/>
      <c r="Z628" s="219"/>
      <c r="AA628" s="219"/>
      <c r="AB628" s="219"/>
      <c r="AC628" s="219"/>
    </row>
    <row r="629" spans="1:29" ht="15.75" hidden="1" customHeight="1">
      <c r="A629" s="257">
        <v>44782</v>
      </c>
      <c r="B629" s="258" t="s">
        <v>416</v>
      </c>
      <c r="C629" s="249">
        <v>4.5</v>
      </c>
      <c r="D629" s="258" t="s">
        <v>1219</v>
      </c>
      <c r="E629" s="250" t="s">
        <v>5</v>
      </c>
      <c r="F629" s="258" t="s">
        <v>447</v>
      </c>
      <c r="G629" s="258" t="s">
        <v>11525</v>
      </c>
      <c r="H629" s="258">
        <v>4</v>
      </c>
      <c r="I629" s="258" t="s">
        <v>449</v>
      </c>
      <c r="J629" s="258" t="s">
        <v>13400</v>
      </c>
      <c r="K629" s="258">
        <v>5</v>
      </c>
      <c r="L629" s="258" t="s">
        <v>478</v>
      </c>
      <c r="M629" s="258">
        <v>15000000</v>
      </c>
      <c r="N629" s="258" t="s">
        <v>454</v>
      </c>
      <c r="O629" s="258" t="s">
        <v>1221</v>
      </c>
      <c r="P629" s="258"/>
      <c r="Q629" s="258" t="s">
        <v>18</v>
      </c>
      <c r="R629" s="259" t="s">
        <v>1222</v>
      </c>
      <c r="S629" s="259"/>
      <c r="T629" s="259"/>
      <c r="U629" s="259" t="s">
        <v>18</v>
      </c>
      <c r="V629" s="258"/>
      <c r="W629" s="258"/>
      <c r="X629" s="258"/>
      <c r="Y629" s="258"/>
      <c r="Z629" s="258"/>
      <c r="AA629" s="258"/>
      <c r="AB629" s="258"/>
      <c r="AC629" s="258"/>
    </row>
    <row r="630" spans="1:29" ht="15.75" hidden="1" customHeight="1">
      <c r="A630" s="212">
        <v>44776</v>
      </c>
      <c r="B630" s="213" t="s">
        <v>341</v>
      </c>
      <c r="C630" s="214">
        <v>4</v>
      </c>
      <c r="D630" s="213" t="s">
        <v>9714</v>
      </c>
      <c r="E630" s="215" t="s">
        <v>3</v>
      </c>
      <c r="F630" s="213" t="s">
        <v>460</v>
      </c>
      <c r="G630" s="213" t="s">
        <v>9715</v>
      </c>
      <c r="H630" s="213">
        <v>4</v>
      </c>
      <c r="I630" s="213" t="s">
        <v>488</v>
      </c>
      <c r="J630" s="213" t="s">
        <v>9716</v>
      </c>
      <c r="K630" s="213">
        <v>4</v>
      </c>
      <c r="L630" s="213" t="s">
        <v>451</v>
      </c>
      <c r="M630" s="225">
        <v>5000000</v>
      </c>
      <c r="N630" s="213" t="s">
        <v>452</v>
      </c>
      <c r="O630" s="213" t="s">
        <v>11392</v>
      </c>
      <c r="P630" s="143" t="s">
        <v>9718</v>
      </c>
      <c r="Q630" s="213" t="s">
        <v>18</v>
      </c>
      <c r="R630" s="226">
        <f t="array" ref="R630">INDEX(Notes!C:C,MATCH($B630,Notes!$A:$A,0))</f>
        <v>0</v>
      </c>
      <c r="S630" s="226"/>
      <c r="T630" s="226"/>
      <c r="U630" s="226"/>
      <c r="V630" s="218"/>
      <c r="W630" s="218"/>
      <c r="X630" s="218"/>
      <c r="Y630" s="219"/>
      <c r="Z630" s="219"/>
      <c r="AA630" s="219"/>
      <c r="AB630" s="219"/>
      <c r="AC630" s="219"/>
    </row>
    <row r="631" spans="1:29" ht="15.75" hidden="1" customHeight="1">
      <c r="A631" s="253">
        <v>44782</v>
      </c>
      <c r="B631" s="224" t="s">
        <v>2733</v>
      </c>
      <c r="C631" s="249">
        <v>2.75</v>
      </c>
      <c r="D631" s="224" t="s">
        <v>2736</v>
      </c>
      <c r="E631" s="250" t="s">
        <v>5</v>
      </c>
      <c r="F631" s="224" t="s">
        <v>447</v>
      </c>
      <c r="G631" s="224" t="s">
        <v>10650</v>
      </c>
      <c r="H631" s="224">
        <v>3</v>
      </c>
      <c r="I631" s="224" t="s">
        <v>622</v>
      </c>
      <c r="J631" s="224" t="s">
        <v>13400</v>
      </c>
      <c r="K631" s="224">
        <v>2.5</v>
      </c>
      <c r="L631" s="224" t="s">
        <v>451</v>
      </c>
      <c r="M631" s="224">
        <v>2250000</v>
      </c>
      <c r="N631" s="224" t="s">
        <v>454</v>
      </c>
      <c r="O631" s="224" t="s">
        <v>2739</v>
      </c>
      <c r="P631" s="224"/>
      <c r="Q631" s="224" t="s">
        <v>24</v>
      </c>
      <c r="R631" s="254"/>
      <c r="S631" s="254"/>
      <c r="T631" s="254"/>
      <c r="U631" s="254"/>
      <c r="V631" s="252"/>
      <c r="W631" s="252"/>
      <c r="X631" s="252"/>
      <c r="Y631" s="224"/>
      <c r="Z631" s="224"/>
      <c r="AA631" s="224"/>
      <c r="AB631" s="224"/>
      <c r="AC631" s="224"/>
    </row>
    <row r="632" spans="1:29" ht="15.75" customHeight="1">
      <c r="A632" s="248">
        <v>44796</v>
      </c>
      <c r="B632" s="219" t="s">
        <v>6218</v>
      </c>
      <c r="C632" s="315">
        <v>2.5</v>
      </c>
      <c r="D632" s="219" t="s">
        <v>11349</v>
      </c>
      <c r="E632" s="219" t="s">
        <v>4</v>
      </c>
      <c r="F632" s="219" t="s">
        <v>447</v>
      </c>
      <c r="G632" s="219" t="s">
        <v>11350</v>
      </c>
      <c r="H632" s="219">
        <v>2</v>
      </c>
      <c r="I632" s="219" t="s">
        <v>1073</v>
      </c>
      <c r="J632" s="219" t="s">
        <v>6223</v>
      </c>
      <c r="K632" s="219">
        <v>3</v>
      </c>
      <c r="L632" s="219"/>
      <c r="M632" s="219"/>
      <c r="N632" s="219" t="s">
        <v>452</v>
      </c>
      <c r="O632" s="219" t="s">
        <v>6224</v>
      </c>
      <c r="P632" s="219" t="s">
        <v>6225</v>
      </c>
      <c r="Q632" s="219" t="s">
        <v>24</v>
      </c>
      <c r="R632" s="219"/>
      <c r="S632" s="219" t="str">
        <f>IFERROR(VLOOKUP(B632,'2022-2023 Third Reviews'!$C:$S,9,FALSE),"")</f>
        <v/>
      </c>
      <c r="T632" s="219"/>
      <c r="U632" s="219"/>
      <c r="V632" s="219"/>
      <c r="W632" s="219"/>
      <c r="X632" s="219"/>
      <c r="Y632" s="219"/>
      <c r="Z632" s="219"/>
      <c r="AA632" s="219"/>
      <c r="AB632" s="219"/>
      <c r="AC632" s="219"/>
    </row>
    <row r="633" spans="1:29" ht="15.75" customHeight="1">
      <c r="A633" s="253">
        <v>44796</v>
      </c>
      <c r="B633" s="224" t="s">
        <v>6228</v>
      </c>
      <c r="C633" s="316">
        <v>2.5</v>
      </c>
      <c r="D633" s="224" t="s">
        <v>6231</v>
      </c>
      <c r="E633" s="224" t="s">
        <v>4</v>
      </c>
      <c r="F633" s="224" t="s">
        <v>725</v>
      </c>
      <c r="G633" s="224" t="s">
        <v>6232</v>
      </c>
      <c r="H633" s="224">
        <v>2</v>
      </c>
      <c r="I633" s="224" t="s">
        <v>1073</v>
      </c>
      <c r="J633" s="224"/>
      <c r="K633" s="224">
        <v>3</v>
      </c>
      <c r="L633" s="224"/>
      <c r="M633" s="224"/>
      <c r="N633" s="224" t="s">
        <v>452</v>
      </c>
      <c r="O633" s="224" t="s">
        <v>452</v>
      </c>
      <c r="P633" s="224"/>
      <c r="Q633" s="224" t="s">
        <v>24</v>
      </c>
      <c r="R633" s="224"/>
      <c r="S633" s="224" t="str">
        <f>IFERROR(VLOOKUP(B633,'2022-2023 Third Reviews'!$C:$S,9,FALSE),"")</f>
        <v/>
      </c>
      <c r="T633" s="224"/>
      <c r="U633" s="224"/>
      <c r="V633" s="252"/>
      <c r="W633" s="252"/>
      <c r="X633" s="252"/>
      <c r="Y633" s="224"/>
      <c r="Z633" s="224"/>
      <c r="AA633" s="224"/>
      <c r="AB633" s="224"/>
      <c r="AC633" s="224"/>
    </row>
    <row r="634" spans="1:29" ht="15.75" hidden="1" customHeight="1">
      <c r="A634" s="248">
        <v>44791</v>
      </c>
      <c r="B634" s="219" t="s">
        <v>8714</v>
      </c>
      <c r="C634" s="315">
        <v>3</v>
      </c>
      <c r="D634" s="219" t="s">
        <v>8717</v>
      </c>
      <c r="E634" s="219" t="s">
        <v>3</v>
      </c>
      <c r="F634" s="219" t="s">
        <v>460</v>
      </c>
      <c r="G634" s="219" t="s">
        <v>8718</v>
      </c>
      <c r="H634" s="219">
        <v>2.5</v>
      </c>
      <c r="I634" s="219" t="s">
        <v>462</v>
      </c>
      <c r="J634" s="219" t="s">
        <v>8719</v>
      </c>
      <c r="K634" s="219">
        <v>3.5</v>
      </c>
      <c r="L634" s="219"/>
      <c r="M634" s="219"/>
      <c r="N634" s="219" t="s">
        <v>452</v>
      </c>
      <c r="O634" s="219" t="s">
        <v>11687</v>
      </c>
      <c r="P634" s="219"/>
      <c r="Q634" s="322" t="s">
        <v>24</v>
      </c>
      <c r="R634" s="251"/>
      <c r="S634" s="251"/>
      <c r="T634" s="251"/>
      <c r="U634" s="251"/>
      <c r="V634" s="219"/>
      <c r="W634" s="219"/>
      <c r="X634" s="219"/>
      <c r="Y634" s="219"/>
      <c r="Z634" s="219"/>
      <c r="AA634" s="219"/>
      <c r="AB634" s="219"/>
      <c r="AC634" s="219"/>
    </row>
    <row r="635" spans="1:29" ht="15.75" customHeight="1">
      <c r="A635" s="253">
        <v>44791</v>
      </c>
      <c r="B635" s="224" t="s">
        <v>6235</v>
      </c>
      <c r="C635" s="316">
        <v>2.5</v>
      </c>
      <c r="D635" s="224" t="s">
        <v>6238</v>
      </c>
      <c r="E635" s="224" t="s">
        <v>4</v>
      </c>
      <c r="F635" s="224" t="s">
        <v>725</v>
      </c>
      <c r="G635" s="224" t="s">
        <v>11142</v>
      </c>
      <c r="H635" s="224">
        <v>3</v>
      </c>
      <c r="I635" s="224" t="s">
        <v>476</v>
      </c>
      <c r="J635" s="224" t="s">
        <v>11143</v>
      </c>
      <c r="K635" s="224">
        <v>2</v>
      </c>
      <c r="L635" s="224" t="s">
        <v>451</v>
      </c>
      <c r="M635" s="224" t="s">
        <v>6241</v>
      </c>
      <c r="N635" s="224" t="s">
        <v>452</v>
      </c>
      <c r="O635" s="224" t="s">
        <v>6242</v>
      </c>
      <c r="P635" s="224"/>
      <c r="Q635" s="322" t="s">
        <v>24</v>
      </c>
      <c r="R635" s="224"/>
      <c r="S635" s="224" t="str">
        <f>IFERROR(VLOOKUP(B635,'2022-2023 Third Reviews'!$C:$S,9,FALSE),"")</f>
        <v/>
      </c>
      <c r="T635" s="224" t="s">
        <v>13268</v>
      </c>
      <c r="U635" s="224"/>
      <c r="V635" s="224"/>
      <c r="W635" s="224"/>
      <c r="X635" s="224"/>
      <c r="Y635" s="224"/>
      <c r="Z635" s="224"/>
      <c r="AA635" s="224"/>
      <c r="AB635" s="224"/>
      <c r="AC635" s="224"/>
    </row>
    <row r="636" spans="1:29" ht="15.75" hidden="1" customHeight="1">
      <c r="A636" s="301">
        <v>44789</v>
      </c>
      <c r="B636" s="302" t="s">
        <v>13269</v>
      </c>
      <c r="C636" s="269"/>
      <c r="D636" s="303" t="s">
        <v>11098</v>
      </c>
      <c r="E636" s="270" t="s">
        <v>3</v>
      </c>
      <c r="F636" s="303" t="s">
        <v>488</v>
      </c>
      <c r="G636" s="303"/>
      <c r="H636" s="303"/>
      <c r="I636" s="303" t="s">
        <v>941</v>
      </c>
      <c r="J636" s="303" t="s">
        <v>8728</v>
      </c>
      <c r="K636" s="303">
        <v>3</v>
      </c>
      <c r="L636" s="303" t="s">
        <v>451</v>
      </c>
      <c r="M636" s="304">
        <v>450000</v>
      </c>
      <c r="N636" s="303" t="s">
        <v>465</v>
      </c>
      <c r="O636" s="304" t="s">
        <v>8729</v>
      </c>
      <c r="P636" s="303"/>
      <c r="Q636" s="303"/>
      <c r="R636" s="305"/>
      <c r="S636" s="305"/>
      <c r="T636" s="305"/>
      <c r="U636" s="305"/>
      <c r="V636" s="303"/>
      <c r="W636" s="303"/>
      <c r="X636" s="303"/>
      <c r="Y636" s="303"/>
      <c r="Z636" s="303"/>
      <c r="AA636" s="306"/>
      <c r="AB636" s="306"/>
      <c r="AC636" s="306"/>
    </row>
    <row r="637" spans="1:29" ht="15.75" hidden="1" customHeight="1">
      <c r="A637" s="227">
        <v>44776</v>
      </c>
      <c r="B637" s="228" t="s">
        <v>95</v>
      </c>
      <c r="C637" s="240">
        <v>3.5</v>
      </c>
      <c r="D637" s="228" t="s">
        <v>2744</v>
      </c>
      <c r="E637" s="244" t="s">
        <v>5</v>
      </c>
      <c r="F637" s="228" t="s">
        <v>447</v>
      </c>
      <c r="G637" s="228" t="s">
        <v>2745</v>
      </c>
      <c r="H637" s="228">
        <v>3.5</v>
      </c>
      <c r="I637" s="228" t="s">
        <v>622</v>
      </c>
      <c r="J637" s="228" t="s">
        <v>2746</v>
      </c>
      <c r="K637" s="228">
        <v>3.5</v>
      </c>
      <c r="L637" s="228" t="s">
        <v>451</v>
      </c>
      <c r="M637" s="232">
        <v>3000000</v>
      </c>
      <c r="N637" s="228" t="s">
        <v>452</v>
      </c>
      <c r="O637" s="228" t="s">
        <v>452</v>
      </c>
      <c r="P637" s="230"/>
      <c r="Q637" s="228" t="s">
        <v>20</v>
      </c>
      <c r="R637" s="231" t="s">
        <v>2747</v>
      </c>
      <c r="S637" s="231"/>
      <c r="T637" s="231"/>
      <c r="U637" s="231"/>
      <c r="V637" s="228"/>
      <c r="W637" s="228"/>
      <c r="X637" s="228"/>
      <c r="Y637" s="224"/>
      <c r="Z637" s="224"/>
      <c r="AA637" s="224"/>
      <c r="AB637" s="224"/>
      <c r="AC637" s="224"/>
    </row>
    <row r="638" spans="1:29" ht="15.75" hidden="1" customHeight="1">
      <c r="A638" s="267">
        <v>44784</v>
      </c>
      <c r="B638" s="268" t="s">
        <v>10501</v>
      </c>
      <c r="C638" s="269">
        <v>1</v>
      </c>
      <c r="D638" s="268" t="s">
        <v>8735</v>
      </c>
      <c r="E638" s="270" t="s">
        <v>3</v>
      </c>
      <c r="F638" s="268" t="s">
        <v>460</v>
      </c>
      <c r="G638" s="290" t="s">
        <v>8736</v>
      </c>
      <c r="H638" s="268">
        <v>1</v>
      </c>
      <c r="I638" s="268" t="s">
        <v>488</v>
      </c>
      <c r="J638" s="268" t="s">
        <v>8737</v>
      </c>
      <c r="K638" s="268">
        <v>1</v>
      </c>
      <c r="L638" s="268"/>
      <c r="M638" s="268"/>
      <c r="N638" s="268" t="s">
        <v>452</v>
      </c>
      <c r="O638" s="268" t="s">
        <v>452</v>
      </c>
      <c r="P638" s="268"/>
      <c r="Q638" s="268" t="s">
        <v>24</v>
      </c>
      <c r="R638" s="271"/>
      <c r="S638" s="271"/>
      <c r="T638" s="271"/>
      <c r="U638" s="271"/>
      <c r="V638" s="268"/>
      <c r="W638" s="268"/>
      <c r="X638" s="268"/>
      <c r="Y638" s="268"/>
      <c r="Z638" s="268"/>
      <c r="AA638" s="219"/>
      <c r="AB638" s="219"/>
      <c r="AC638" s="219"/>
    </row>
    <row r="639" spans="1:29" ht="15.75" customHeight="1">
      <c r="A639" s="253">
        <v>44796</v>
      </c>
      <c r="B639" s="224" t="s">
        <v>6235</v>
      </c>
      <c r="C639" s="316">
        <v>2.5</v>
      </c>
      <c r="D639" s="224" t="s">
        <v>6238</v>
      </c>
      <c r="E639" s="224" t="s">
        <v>4</v>
      </c>
      <c r="F639" s="224" t="s">
        <v>725</v>
      </c>
      <c r="G639" s="224" t="s">
        <v>11142</v>
      </c>
      <c r="H639" s="224">
        <v>3</v>
      </c>
      <c r="I639" s="224" t="s">
        <v>476</v>
      </c>
      <c r="J639" s="224" t="s">
        <v>11143</v>
      </c>
      <c r="K639" s="224">
        <v>2</v>
      </c>
      <c r="L639" s="224" t="s">
        <v>451</v>
      </c>
      <c r="M639" s="224" t="s">
        <v>6241</v>
      </c>
      <c r="N639" s="224" t="s">
        <v>452</v>
      </c>
      <c r="O639" s="224" t="s">
        <v>6242</v>
      </c>
      <c r="P639" s="224"/>
      <c r="Q639" s="224" t="s">
        <v>24</v>
      </c>
      <c r="R639" s="224"/>
      <c r="S639" s="224" t="str">
        <f>IFERROR(VLOOKUP(B639,'2022-2023 Third Reviews'!$C:$S,9,FALSE),"")</f>
        <v/>
      </c>
      <c r="T639" s="224" t="s">
        <v>13268</v>
      </c>
      <c r="U639" s="224"/>
      <c r="V639" s="258"/>
      <c r="W639" s="258"/>
      <c r="X639" s="258"/>
      <c r="Y639" s="258"/>
      <c r="Z639" s="258"/>
      <c r="AA639" s="258"/>
      <c r="AB639" s="258"/>
      <c r="AC639" s="258"/>
    </row>
    <row r="640" spans="1:29" ht="15.75" customHeight="1">
      <c r="A640" s="248">
        <v>44791</v>
      </c>
      <c r="B640" s="219" t="s">
        <v>6245</v>
      </c>
      <c r="C640" s="315">
        <v>2.5</v>
      </c>
      <c r="D640" s="219" t="s">
        <v>6248</v>
      </c>
      <c r="E640" s="219" t="s">
        <v>4</v>
      </c>
      <c r="F640" s="219" t="s">
        <v>602</v>
      </c>
      <c r="G640" s="219" t="s">
        <v>6249</v>
      </c>
      <c r="H640" s="219">
        <v>3.5</v>
      </c>
      <c r="I640" s="219" t="s">
        <v>476</v>
      </c>
      <c r="J640" s="219" t="s">
        <v>11020</v>
      </c>
      <c r="K640" s="219">
        <v>1.5</v>
      </c>
      <c r="L640" s="219" t="s">
        <v>451</v>
      </c>
      <c r="M640" s="219" t="s">
        <v>3555</v>
      </c>
      <c r="N640" s="219" t="s">
        <v>452</v>
      </c>
      <c r="O640" s="219" t="s">
        <v>452</v>
      </c>
      <c r="P640" s="219"/>
      <c r="Q640" s="322" t="s">
        <v>24</v>
      </c>
      <c r="R640" s="219"/>
      <c r="S640" s="219" t="str">
        <f>IFERROR(VLOOKUP(B640,'2022-2023 Third Reviews'!$C:$S,9,FALSE),"")</f>
        <v/>
      </c>
      <c r="T640" s="219" t="s">
        <v>13242</v>
      </c>
      <c r="U640" s="219"/>
      <c r="V640" s="239"/>
      <c r="W640" s="239"/>
      <c r="X640" s="239"/>
      <c r="Y640" s="239"/>
      <c r="Z640" s="239"/>
      <c r="AA640" s="239"/>
      <c r="AB640" s="239"/>
      <c r="AC640" s="239"/>
    </row>
    <row r="641" spans="1:29" ht="15.75" customHeight="1">
      <c r="A641" s="398">
        <v>44784</v>
      </c>
      <c r="B641" s="272" t="s">
        <v>6253</v>
      </c>
      <c r="C641" s="269">
        <v>2.5</v>
      </c>
      <c r="D641" s="272" t="s">
        <v>6256</v>
      </c>
      <c r="E641" s="270" t="s">
        <v>4</v>
      </c>
      <c r="F641" s="272" t="s">
        <v>602</v>
      </c>
      <c r="G641" s="272" t="s">
        <v>6257</v>
      </c>
      <c r="H641" s="272">
        <v>2</v>
      </c>
      <c r="I641" s="272" t="s">
        <v>476</v>
      </c>
      <c r="J641" s="272" t="s">
        <v>13400</v>
      </c>
      <c r="K641" s="272">
        <v>3</v>
      </c>
      <c r="L641" s="272"/>
      <c r="M641" s="272"/>
      <c r="N641" s="272" t="s">
        <v>452</v>
      </c>
      <c r="O641" s="299" t="s">
        <v>6259</v>
      </c>
      <c r="P641" s="272" t="s">
        <v>6260</v>
      </c>
      <c r="Q641" s="272" t="s">
        <v>24</v>
      </c>
      <c r="R641" s="272"/>
      <c r="S641" s="272" t="str">
        <f>IFERROR(VLOOKUP(B641,'2022-2023 Third Reviews'!$C:$S,9,FALSE),"")</f>
        <v/>
      </c>
      <c r="T641" s="272" t="s">
        <v>13270</v>
      </c>
      <c r="U641" s="272"/>
      <c r="V641" s="258"/>
      <c r="W641" s="258"/>
      <c r="X641" s="258"/>
      <c r="Y641" s="258"/>
      <c r="Z641" s="258"/>
      <c r="AA641" s="258"/>
      <c r="AB641" s="258"/>
      <c r="AC641" s="258"/>
    </row>
    <row r="642" spans="1:29" ht="15.75" customHeight="1">
      <c r="A642" s="248">
        <v>44789</v>
      </c>
      <c r="B642" s="219" t="s">
        <v>6263</v>
      </c>
      <c r="C642" s="249">
        <v>2.5</v>
      </c>
      <c r="D642" s="219" t="s">
        <v>10917</v>
      </c>
      <c r="E642" s="250" t="s">
        <v>4</v>
      </c>
      <c r="F642" s="219" t="s">
        <v>1045</v>
      </c>
      <c r="G642" s="219" t="s">
        <v>6267</v>
      </c>
      <c r="H642" s="219">
        <v>2</v>
      </c>
      <c r="I642" s="219" t="s">
        <v>1054</v>
      </c>
      <c r="J642" s="219" t="s">
        <v>10918</v>
      </c>
      <c r="K642" s="219">
        <v>3</v>
      </c>
      <c r="L642" s="219" t="s">
        <v>451</v>
      </c>
      <c r="M642" s="310" t="s">
        <v>729</v>
      </c>
      <c r="N642" s="219" t="s">
        <v>452</v>
      </c>
      <c r="O642" s="219" t="s">
        <v>452</v>
      </c>
      <c r="P642" s="219"/>
      <c r="Q642" s="219" t="s">
        <v>24</v>
      </c>
      <c r="R642" s="219"/>
      <c r="S642" s="219" t="str">
        <f>IFERROR(VLOOKUP(B642,'2022-2023 Third Reviews'!$C:$S,9,FALSE),"")</f>
        <v/>
      </c>
      <c r="T642" s="219"/>
      <c r="U642" s="219"/>
      <c r="V642" s="219"/>
      <c r="W642" s="219"/>
      <c r="X642" s="219"/>
      <c r="Y642" s="219"/>
      <c r="Z642" s="219"/>
      <c r="AA642" s="219"/>
      <c r="AB642" s="219"/>
      <c r="AC642" s="219"/>
    </row>
    <row r="643" spans="1:29" ht="15.75" hidden="1" customHeight="1">
      <c r="A643" s="541">
        <v>44791</v>
      </c>
      <c r="B643" s="306" t="s">
        <v>2750</v>
      </c>
      <c r="C643" s="542"/>
      <c r="D643" s="306" t="s">
        <v>2753</v>
      </c>
      <c r="E643" s="306" t="s">
        <v>3</v>
      </c>
      <c r="F643" s="306" t="s">
        <v>488</v>
      </c>
      <c r="G643" s="306"/>
      <c r="H643" s="306"/>
      <c r="I643" s="306" t="s">
        <v>941</v>
      </c>
      <c r="J643" s="306"/>
      <c r="K643" s="306">
        <v>4</v>
      </c>
      <c r="L643" s="306" t="s">
        <v>451</v>
      </c>
      <c r="M643" s="306" t="s">
        <v>2755</v>
      </c>
      <c r="N643" s="306" t="s">
        <v>452</v>
      </c>
      <c r="O643" s="306" t="s">
        <v>2756</v>
      </c>
      <c r="P643" s="306"/>
      <c r="Q643" s="306"/>
      <c r="R643" s="543"/>
      <c r="S643" s="543"/>
      <c r="T643" s="543"/>
      <c r="U643" s="543"/>
      <c r="V643" s="306"/>
      <c r="W643" s="306"/>
      <c r="X643" s="306"/>
      <c r="Y643" s="306"/>
      <c r="Z643" s="306"/>
      <c r="AA643" s="306"/>
      <c r="AB643" s="306"/>
      <c r="AC643" s="306"/>
    </row>
    <row r="644" spans="1:29" ht="15.75" hidden="1" customHeight="1">
      <c r="A644" s="255">
        <v>44791</v>
      </c>
      <c r="B644" s="239" t="s">
        <v>2750</v>
      </c>
      <c r="C644" s="262">
        <v>3.75</v>
      </c>
      <c r="D644" s="239" t="s">
        <v>2753</v>
      </c>
      <c r="E644" s="239" t="s">
        <v>5</v>
      </c>
      <c r="F644" s="239" t="s">
        <v>488</v>
      </c>
      <c r="G644" s="239" t="s">
        <v>11666</v>
      </c>
      <c r="H644" s="239">
        <v>3.5</v>
      </c>
      <c r="I644" s="239" t="s">
        <v>941</v>
      </c>
      <c r="J644" s="239"/>
      <c r="K644" s="239">
        <v>4</v>
      </c>
      <c r="L644" s="239" t="s">
        <v>451</v>
      </c>
      <c r="M644" s="239" t="s">
        <v>2755</v>
      </c>
      <c r="N644" s="239" t="s">
        <v>452</v>
      </c>
      <c r="O644" s="239" t="s">
        <v>2756</v>
      </c>
      <c r="P644" s="239"/>
      <c r="Q644" s="239" t="s">
        <v>24</v>
      </c>
      <c r="R644" s="256" t="s">
        <v>11667</v>
      </c>
      <c r="S644" s="256"/>
      <c r="T644" s="256"/>
      <c r="U644" s="256"/>
      <c r="V644" s="239"/>
      <c r="W644" s="239"/>
      <c r="X644" s="239"/>
      <c r="Y644" s="239"/>
      <c r="Z644" s="239"/>
      <c r="AA644" s="239"/>
      <c r="AB644" s="239"/>
      <c r="AC644" s="239"/>
    </row>
    <row r="645" spans="1:29" ht="15.75" customHeight="1">
      <c r="A645" s="253">
        <v>44796</v>
      </c>
      <c r="B645" s="224" t="s">
        <v>6270</v>
      </c>
      <c r="C645" s="316">
        <v>2.5</v>
      </c>
      <c r="D645" s="224" t="s">
        <v>6273</v>
      </c>
      <c r="E645" s="224" t="s">
        <v>4</v>
      </c>
      <c r="F645" s="224" t="s">
        <v>725</v>
      </c>
      <c r="G645" s="224" t="s">
        <v>6274</v>
      </c>
      <c r="H645" s="224">
        <v>2</v>
      </c>
      <c r="I645" s="224" t="s">
        <v>1237</v>
      </c>
      <c r="J645" s="224"/>
      <c r="K645" s="224">
        <v>3</v>
      </c>
      <c r="L645" s="224" t="s">
        <v>784</v>
      </c>
      <c r="M645" s="311">
        <v>1000000</v>
      </c>
      <c r="N645" s="224" t="s">
        <v>452</v>
      </c>
      <c r="O645" s="224" t="s">
        <v>6275</v>
      </c>
      <c r="P645" s="224"/>
      <c r="Q645" s="224" t="s">
        <v>24</v>
      </c>
      <c r="R645" s="224"/>
      <c r="S645" s="224" t="str">
        <f>IFERROR(VLOOKUP(B645,'2022-2023 Third Reviews'!$C:$S,9,FALSE),"")</f>
        <v/>
      </c>
      <c r="T645" s="224"/>
      <c r="U645" s="224"/>
      <c r="V645" s="272"/>
      <c r="W645" s="272"/>
      <c r="X645" s="272"/>
      <c r="Y645" s="272"/>
      <c r="Z645" s="272"/>
      <c r="AA645" s="224"/>
      <c r="AB645" s="224"/>
      <c r="AC645" s="224"/>
    </row>
    <row r="646" spans="1:29" ht="15.75" customHeight="1">
      <c r="A646" s="248">
        <v>44796</v>
      </c>
      <c r="B646" s="219" t="s">
        <v>6277</v>
      </c>
      <c r="C646" s="315">
        <v>2.5</v>
      </c>
      <c r="D646" s="219" t="s">
        <v>6280</v>
      </c>
      <c r="E646" s="219" t="s">
        <v>4</v>
      </c>
      <c r="F646" s="219" t="s">
        <v>725</v>
      </c>
      <c r="G646" s="219" t="s">
        <v>6281</v>
      </c>
      <c r="H646" s="219">
        <v>2</v>
      </c>
      <c r="I646" s="219" t="s">
        <v>1237</v>
      </c>
      <c r="J646" s="219"/>
      <c r="K646" s="219">
        <v>3</v>
      </c>
      <c r="L646" s="219" t="s">
        <v>451</v>
      </c>
      <c r="M646" s="219">
        <v>1800000</v>
      </c>
      <c r="N646" s="219" t="s">
        <v>452</v>
      </c>
      <c r="O646" s="219" t="s">
        <v>6282</v>
      </c>
      <c r="P646" s="219"/>
      <c r="Q646" s="219" t="s">
        <v>24</v>
      </c>
      <c r="R646" s="219"/>
      <c r="S646" s="219" t="str">
        <f>IFERROR(VLOOKUP(B646,'2022-2023 Third Reviews'!$C:$S,9,FALSE),"")</f>
        <v/>
      </c>
      <c r="T646" s="219"/>
      <c r="U646" s="219"/>
      <c r="V646" s="252"/>
      <c r="W646" s="252"/>
      <c r="X646" s="252"/>
      <c r="Y646" s="219"/>
      <c r="Z646" s="219"/>
      <c r="AA646" s="219"/>
      <c r="AB646" s="219"/>
      <c r="AC646" s="219"/>
    </row>
    <row r="647" spans="1:29" ht="15.75" customHeight="1">
      <c r="A647" s="253">
        <v>44797</v>
      </c>
      <c r="B647" s="224" t="s">
        <v>6285</v>
      </c>
      <c r="C647" s="316">
        <v>2.5</v>
      </c>
      <c r="D647" s="224" t="s">
        <v>11296</v>
      </c>
      <c r="E647" s="224" t="s">
        <v>4</v>
      </c>
      <c r="F647" s="224" t="s">
        <v>602</v>
      </c>
      <c r="G647" s="224"/>
      <c r="H647" s="224">
        <v>3</v>
      </c>
      <c r="I647" s="224" t="s">
        <v>1237</v>
      </c>
      <c r="J647" s="224"/>
      <c r="K647" s="224">
        <v>2</v>
      </c>
      <c r="L647" s="224"/>
      <c r="M647" s="224"/>
      <c r="N647" s="224" t="s">
        <v>454</v>
      </c>
      <c r="O647" s="224" t="s">
        <v>6289</v>
      </c>
      <c r="P647" s="224"/>
      <c r="Q647" s="224" t="s">
        <v>24</v>
      </c>
      <c r="R647" s="224"/>
      <c r="S647" s="224" t="str">
        <f>IFERROR(VLOOKUP(B647,'2022-2023 Third Reviews'!$C:$S,9,FALSE),"")</f>
        <v/>
      </c>
      <c r="T647" s="224"/>
      <c r="U647" s="224"/>
      <c r="V647" s="272"/>
      <c r="W647" s="272"/>
      <c r="X647" s="272"/>
      <c r="Y647" s="272"/>
      <c r="Z647" s="272"/>
      <c r="AA647" s="224"/>
      <c r="AB647" s="224"/>
      <c r="AC647" s="224"/>
    </row>
    <row r="648" spans="1:29" ht="15.75" customHeight="1">
      <c r="A648" s="248">
        <v>44796</v>
      </c>
      <c r="B648" s="219" t="s">
        <v>6292</v>
      </c>
      <c r="C648" s="315">
        <v>2.5</v>
      </c>
      <c r="D648" s="219" t="s">
        <v>6295</v>
      </c>
      <c r="E648" s="219" t="s">
        <v>4</v>
      </c>
      <c r="F648" s="219" t="s">
        <v>602</v>
      </c>
      <c r="G648" s="219" t="s">
        <v>6296</v>
      </c>
      <c r="H648" s="219">
        <v>2</v>
      </c>
      <c r="I648" s="219" t="s">
        <v>476</v>
      </c>
      <c r="J648" s="219" t="s">
        <v>13400</v>
      </c>
      <c r="K648" s="219">
        <v>3</v>
      </c>
      <c r="L648" s="219" t="s">
        <v>451</v>
      </c>
      <c r="M648" s="219">
        <v>3000000</v>
      </c>
      <c r="N648" s="219" t="s">
        <v>452</v>
      </c>
      <c r="O648" s="219" t="s">
        <v>6298</v>
      </c>
      <c r="P648" s="219"/>
      <c r="Q648" s="219" t="s">
        <v>24</v>
      </c>
      <c r="R648" s="219"/>
      <c r="S648" s="219" t="str">
        <f>IFERROR(VLOOKUP(B648,'2022-2023 Third Reviews'!$C:$S,9,FALSE),"")</f>
        <v/>
      </c>
      <c r="T648" s="219" t="s">
        <v>13051</v>
      </c>
      <c r="U648" s="219"/>
      <c r="V648" s="306"/>
      <c r="W648" s="306"/>
      <c r="X648" s="306"/>
      <c r="Y648" s="306"/>
      <c r="Z648" s="306"/>
      <c r="AA648" s="306"/>
      <c r="AB648" s="306"/>
      <c r="AC648" s="306"/>
    </row>
    <row r="649" spans="1:29" ht="15.75" hidden="1" customHeight="1">
      <c r="A649" s="301">
        <v>44789</v>
      </c>
      <c r="B649" s="303" t="s">
        <v>321</v>
      </c>
      <c r="C649" s="269"/>
      <c r="D649" s="303" t="s">
        <v>1776</v>
      </c>
      <c r="E649" s="270" t="s">
        <v>3</v>
      </c>
      <c r="F649" s="303" t="s">
        <v>488</v>
      </c>
      <c r="G649" s="303"/>
      <c r="H649" s="303"/>
      <c r="I649" s="303" t="s">
        <v>941</v>
      </c>
      <c r="J649" s="303"/>
      <c r="K649" s="303"/>
      <c r="L649" s="303" t="s">
        <v>451</v>
      </c>
      <c r="M649" s="304">
        <v>10000000</v>
      </c>
      <c r="N649" s="303" t="s">
        <v>452</v>
      </c>
      <c r="O649" s="304" t="s">
        <v>575</v>
      </c>
      <c r="P649" s="303" t="s">
        <v>1777</v>
      </c>
      <c r="Q649" s="303"/>
      <c r="R649" s="305"/>
      <c r="S649" s="305"/>
      <c r="T649" s="305"/>
      <c r="U649" s="305"/>
      <c r="V649" s="303"/>
      <c r="W649" s="303"/>
      <c r="X649" s="303"/>
      <c r="Y649" s="303"/>
      <c r="Z649" s="303"/>
      <c r="AA649" s="306"/>
      <c r="AB649" s="306"/>
      <c r="AC649" s="306"/>
    </row>
    <row r="650" spans="1:29" ht="15.75" hidden="1" customHeight="1">
      <c r="A650" s="257">
        <v>44789</v>
      </c>
      <c r="B650" s="258" t="s">
        <v>321</v>
      </c>
      <c r="C650" s="263">
        <v>4.63</v>
      </c>
      <c r="D650" s="258" t="s">
        <v>1776</v>
      </c>
      <c r="E650" s="258" t="s">
        <v>3</v>
      </c>
      <c r="F650" s="258" t="s">
        <v>488</v>
      </c>
      <c r="G650" s="258"/>
      <c r="H650" s="258">
        <v>4.5</v>
      </c>
      <c r="I650" s="258" t="s">
        <v>941</v>
      </c>
      <c r="J650" s="258"/>
      <c r="K650" s="258">
        <v>4.75</v>
      </c>
      <c r="L650" s="258" t="s">
        <v>451</v>
      </c>
      <c r="M650" s="309">
        <v>10000000</v>
      </c>
      <c r="N650" s="258" t="s">
        <v>452</v>
      </c>
      <c r="O650" s="258" t="s">
        <v>575</v>
      </c>
      <c r="P650" s="258" t="s">
        <v>1777</v>
      </c>
      <c r="Q650" s="258" t="s">
        <v>18</v>
      </c>
      <c r="R650" s="259" t="s">
        <v>1778</v>
      </c>
      <c r="S650" s="259"/>
      <c r="T650" s="259"/>
      <c r="U650" s="259"/>
      <c r="V650" s="258"/>
      <c r="W650" s="258"/>
      <c r="X650" s="258"/>
      <c r="Y650" s="258"/>
      <c r="Z650" s="258"/>
      <c r="AA650" s="258"/>
      <c r="AB650" s="258"/>
      <c r="AC650" s="258"/>
    </row>
    <row r="651" spans="1:29" ht="15.75" hidden="1" customHeight="1">
      <c r="A651" s="257">
        <v>44789</v>
      </c>
      <c r="B651" s="258" t="s">
        <v>322</v>
      </c>
      <c r="C651" s="263">
        <v>3.75</v>
      </c>
      <c r="D651" s="258" t="s">
        <v>1782</v>
      </c>
      <c r="E651" s="258" t="s">
        <v>3</v>
      </c>
      <c r="F651" s="258" t="s">
        <v>460</v>
      </c>
      <c r="G651" s="258" t="s">
        <v>1783</v>
      </c>
      <c r="H651" s="258">
        <v>4</v>
      </c>
      <c r="I651" s="258" t="s">
        <v>462</v>
      </c>
      <c r="J651" s="258" t="s">
        <v>1784</v>
      </c>
      <c r="K651" s="258">
        <v>3.5</v>
      </c>
      <c r="L651" s="258" t="s">
        <v>451</v>
      </c>
      <c r="M651" s="309">
        <v>3000000</v>
      </c>
      <c r="N651" s="258" t="s">
        <v>452</v>
      </c>
      <c r="O651" s="258" t="s">
        <v>1785</v>
      </c>
      <c r="P651" s="258"/>
      <c r="Q651" s="258" t="s">
        <v>20</v>
      </c>
      <c r="R651" s="259" t="s">
        <v>1786</v>
      </c>
      <c r="S651" s="259"/>
      <c r="T651" s="259"/>
      <c r="U651" s="259"/>
      <c r="V651" s="258"/>
      <c r="W651" s="258"/>
      <c r="X651" s="258"/>
      <c r="Y651" s="258"/>
      <c r="Z651" s="258"/>
      <c r="AA651" s="258"/>
      <c r="AB651" s="258"/>
      <c r="AC651" s="258"/>
    </row>
    <row r="652" spans="1:29" ht="15.75" customHeight="1">
      <c r="A652" s="248">
        <v>44796</v>
      </c>
      <c r="B652" s="219" t="s">
        <v>6300</v>
      </c>
      <c r="C652" s="315">
        <v>2.5</v>
      </c>
      <c r="D652" s="219"/>
      <c r="E652" s="219" t="s">
        <v>4</v>
      </c>
      <c r="F652" s="219" t="s">
        <v>725</v>
      </c>
      <c r="G652" s="219" t="s">
        <v>11495</v>
      </c>
      <c r="H652" s="219">
        <v>2</v>
      </c>
      <c r="I652" s="219" t="s">
        <v>1281</v>
      </c>
      <c r="J652" s="219" t="s">
        <v>6304</v>
      </c>
      <c r="K652" s="219">
        <v>3</v>
      </c>
      <c r="L652" s="219" t="s">
        <v>6305</v>
      </c>
      <c r="M652" s="219" t="s">
        <v>6306</v>
      </c>
      <c r="N652" s="219" t="s">
        <v>452</v>
      </c>
      <c r="O652" s="219" t="s">
        <v>6307</v>
      </c>
      <c r="P652" s="219" t="s">
        <v>6308</v>
      </c>
      <c r="Q652" s="219" t="s">
        <v>24</v>
      </c>
      <c r="R652" s="219"/>
      <c r="S652" s="219" t="str">
        <f>IFERROR(VLOOKUP(B652,'2022-2023 Third Reviews'!$C:$S,9,FALSE),"")</f>
        <v/>
      </c>
      <c r="T652" s="219"/>
      <c r="U652" s="219"/>
      <c r="V652" s="219"/>
      <c r="W652" s="219"/>
      <c r="X652" s="219"/>
      <c r="Y652" s="219"/>
      <c r="Z652" s="219"/>
      <c r="AA652" s="219"/>
      <c r="AB652" s="219"/>
      <c r="AC652" s="219"/>
    </row>
    <row r="653" spans="1:29" ht="15.75" customHeight="1">
      <c r="A653" s="253">
        <v>44796</v>
      </c>
      <c r="B653" s="224" t="s">
        <v>6311</v>
      </c>
      <c r="C653" s="316">
        <v>2.5</v>
      </c>
      <c r="D653" s="224" t="s">
        <v>6314</v>
      </c>
      <c r="E653" s="224" t="s">
        <v>4</v>
      </c>
      <c r="F653" s="224" t="s">
        <v>725</v>
      </c>
      <c r="G653" s="224" t="s">
        <v>10619</v>
      </c>
      <c r="H653" s="224">
        <v>2</v>
      </c>
      <c r="I653" s="224" t="s">
        <v>1281</v>
      </c>
      <c r="J653" s="224" t="s">
        <v>6316</v>
      </c>
      <c r="K653" s="224">
        <v>3</v>
      </c>
      <c r="L653" s="224"/>
      <c r="M653" s="224"/>
      <c r="N653" s="224" t="s">
        <v>452</v>
      </c>
      <c r="O653" s="224" t="s">
        <v>6317</v>
      </c>
      <c r="P653" s="224"/>
      <c r="Q653" s="224" t="s">
        <v>24</v>
      </c>
      <c r="R653" s="224"/>
      <c r="S653" s="224" t="str">
        <f>IFERROR(VLOOKUP(B653,'2022-2023 Third Reviews'!$C:$S,9,FALSE),"")</f>
        <v/>
      </c>
      <c r="T653" s="224"/>
      <c r="U653" s="224"/>
      <c r="V653" s="224"/>
      <c r="W653" s="224"/>
      <c r="X653" s="224"/>
      <c r="Y653" s="224"/>
      <c r="Z653" s="224"/>
      <c r="AA653" s="224"/>
      <c r="AB653" s="224"/>
      <c r="AC653" s="224"/>
    </row>
    <row r="654" spans="1:29" ht="15.75" customHeight="1">
      <c r="A654" s="248">
        <v>44796</v>
      </c>
      <c r="B654" s="219" t="s">
        <v>6320</v>
      </c>
      <c r="C654" s="315">
        <v>2.5</v>
      </c>
      <c r="D654" s="219" t="s">
        <v>10443</v>
      </c>
      <c r="E654" s="219" t="s">
        <v>4</v>
      </c>
      <c r="F654" s="219" t="s">
        <v>727</v>
      </c>
      <c r="G654" s="219" t="s">
        <v>10444</v>
      </c>
      <c r="H654" s="219">
        <v>1</v>
      </c>
      <c r="I654" s="219" t="s">
        <v>1281</v>
      </c>
      <c r="J654" s="219" t="s">
        <v>6325</v>
      </c>
      <c r="K654" s="219">
        <v>4</v>
      </c>
      <c r="L654" s="219" t="s">
        <v>451</v>
      </c>
      <c r="M654" s="219" t="s">
        <v>6326</v>
      </c>
      <c r="N654" s="219" t="s">
        <v>465</v>
      </c>
      <c r="O654" s="219" t="s">
        <v>6327</v>
      </c>
      <c r="P654" s="219"/>
      <c r="Q654" s="219" t="s">
        <v>24</v>
      </c>
      <c r="R654" s="219"/>
      <c r="S654" s="219" t="str">
        <f>IFERROR(VLOOKUP(B654,'2022-2023 Third Reviews'!$C:$S,9,FALSE),"")</f>
        <v/>
      </c>
      <c r="T654" s="219"/>
      <c r="U654" s="219"/>
      <c r="V654" s="306"/>
      <c r="W654" s="306"/>
      <c r="X654" s="306"/>
      <c r="Y654" s="306"/>
      <c r="Z654" s="306"/>
      <c r="AA654" s="306"/>
      <c r="AB654" s="306"/>
      <c r="AC654" s="306"/>
    </row>
    <row r="655" spans="1:29" ht="15.75" hidden="1" customHeight="1">
      <c r="A655" s="301">
        <v>44789</v>
      </c>
      <c r="B655" s="303" t="s">
        <v>323</v>
      </c>
      <c r="C655" s="269"/>
      <c r="D655" s="303" t="s">
        <v>13219</v>
      </c>
      <c r="E655" s="270" t="s">
        <v>3</v>
      </c>
      <c r="F655" s="303" t="s">
        <v>488</v>
      </c>
      <c r="G655" s="303"/>
      <c r="H655" s="303"/>
      <c r="I655" s="303" t="s">
        <v>462</v>
      </c>
      <c r="J655" s="303"/>
      <c r="K655" s="303"/>
      <c r="L655" s="303" t="s">
        <v>451</v>
      </c>
      <c r="M655" s="304">
        <v>500000</v>
      </c>
      <c r="N655" s="303" t="s">
        <v>452</v>
      </c>
      <c r="O655" s="540" t="s">
        <v>13220</v>
      </c>
      <c r="P655" s="303" t="s">
        <v>1795</v>
      </c>
      <c r="Q655" s="303"/>
      <c r="R655" s="305"/>
      <c r="S655" s="305"/>
      <c r="T655" s="305"/>
      <c r="U655" s="305"/>
      <c r="V655" s="303"/>
      <c r="W655" s="303"/>
      <c r="X655" s="303"/>
      <c r="Y655" s="303"/>
      <c r="Z655" s="303"/>
      <c r="AA655" s="306"/>
      <c r="AB655" s="306"/>
      <c r="AC655" s="306"/>
    </row>
    <row r="656" spans="1:29" ht="15.75" hidden="1" customHeight="1">
      <c r="A656" s="248">
        <v>44796</v>
      </c>
      <c r="B656" s="219" t="s">
        <v>323</v>
      </c>
      <c r="C656" s="315">
        <v>4.38</v>
      </c>
      <c r="D656" s="219" t="s">
        <v>10268</v>
      </c>
      <c r="E656" s="219" t="s">
        <v>3</v>
      </c>
      <c r="F656" s="219" t="s">
        <v>488</v>
      </c>
      <c r="G656" s="219" t="s">
        <v>1792</v>
      </c>
      <c r="H656" s="219">
        <v>4</v>
      </c>
      <c r="I656" s="219" t="s">
        <v>941</v>
      </c>
      <c r="J656" s="219" t="s">
        <v>1793</v>
      </c>
      <c r="K656" s="219">
        <v>4.75</v>
      </c>
      <c r="L656" s="219" t="s">
        <v>451</v>
      </c>
      <c r="M656" s="331">
        <v>500000</v>
      </c>
      <c r="N656" s="219" t="s">
        <v>452</v>
      </c>
      <c r="O656" s="219" t="s">
        <v>10269</v>
      </c>
      <c r="P656" s="219" t="s">
        <v>1795</v>
      </c>
      <c r="Q656" s="219" t="s">
        <v>18</v>
      </c>
      <c r="R656" s="251"/>
      <c r="S656" s="251"/>
      <c r="T656" s="251"/>
      <c r="U656" s="251"/>
      <c r="V656" s="219"/>
      <c r="W656" s="219"/>
      <c r="X656" s="219"/>
      <c r="Y656" s="219"/>
      <c r="Z656" s="219"/>
      <c r="AA656" s="219"/>
      <c r="AB656" s="219"/>
      <c r="AC656" s="219"/>
    </row>
    <row r="657" spans="1:29" ht="15.75" hidden="1" customHeight="1">
      <c r="A657" s="541">
        <v>44796</v>
      </c>
      <c r="B657" s="306" t="s">
        <v>8740</v>
      </c>
      <c r="C657" s="542"/>
      <c r="D657" s="306" t="s">
        <v>8743</v>
      </c>
      <c r="E657" s="306" t="s">
        <v>3</v>
      </c>
      <c r="F657" s="306" t="s">
        <v>488</v>
      </c>
      <c r="G657" s="306"/>
      <c r="H657" s="306"/>
      <c r="I657" s="306" t="s">
        <v>941</v>
      </c>
      <c r="J657" s="306"/>
      <c r="K657" s="306"/>
      <c r="L657" s="306" t="s">
        <v>478</v>
      </c>
      <c r="M657" s="545">
        <v>500000</v>
      </c>
      <c r="N657" s="306" t="s">
        <v>452</v>
      </c>
      <c r="O657" s="306" t="s">
        <v>452</v>
      </c>
      <c r="P657" s="306"/>
      <c r="Q657" s="306"/>
      <c r="R657" s="543"/>
      <c r="S657" s="543"/>
      <c r="T657" s="543"/>
      <c r="U657" s="543"/>
      <c r="V657" s="224"/>
      <c r="W657" s="224"/>
      <c r="X657" s="224"/>
      <c r="Y657" s="224"/>
      <c r="Z657" s="224"/>
      <c r="AA657" s="224"/>
      <c r="AB657" s="224"/>
      <c r="AC657" s="224"/>
    </row>
    <row r="658" spans="1:29" ht="15.75" hidden="1" customHeight="1">
      <c r="A658" s="248">
        <v>44796</v>
      </c>
      <c r="B658" s="219" t="s">
        <v>8740</v>
      </c>
      <c r="C658" s="315">
        <v>3</v>
      </c>
      <c r="D658" s="219" t="s">
        <v>8743</v>
      </c>
      <c r="E658" s="219" t="s">
        <v>3</v>
      </c>
      <c r="F658" s="219" t="s">
        <v>488</v>
      </c>
      <c r="G658" s="219"/>
      <c r="H658" s="219">
        <v>3</v>
      </c>
      <c r="I658" s="219" t="s">
        <v>941</v>
      </c>
      <c r="J658" s="219" t="s">
        <v>8744</v>
      </c>
      <c r="K658" s="219">
        <v>3</v>
      </c>
      <c r="L658" s="219" t="s">
        <v>478</v>
      </c>
      <c r="M658" s="219">
        <v>500000</v>
      </c>
      <c r="N658" s="219" t="s">
        <v>452</v>
      </c>
      <c r="O658" s="219" t="s">
        <v>452</v>
      </c>
      <c r="P658" s="219"/>
      <c r="Q658" s="219" t="s">
        <v>24</v>
      </c>
      <c r="R658" s="251"/>
      <c r="S658" s="251"/>
      <c r="T658" s="251"/>
      <c r="U658" s="251"/>
      <c r="V658" s="219"/>
      <c r="W658" s="219"/>
      <c r="X658" s="219"/>
      <c r="Y658" s="219"/>
      <c r="Z658" s="219"/>
      <c r="AA658" s="219"/>
      <c r="AB658" s="219"/>
      <c r="AC658" s="219"/>
    </row>
    <row r="659" spans="1:29" ht="15.75" hidden="1" customHeight="1">
      <c r="A659" s="257">
        <v>44789</v>
      </c>
      <c r="B659" s="258" t="s">
        <v>2760</v>
      </c>
      <c r="C659" s="263">
        <v>3.5</v>
      </c>
      <c r="D659" s="258" t="s">
        <v>2763</v>
      </c>
      <c r="E659" s="258" t="s">
        <v>5</v>
      </c>
      <c r="F659" s="258" t="s">
        <v>447</v>
      </c>
      <c r="G659" s="258" t="s">
        <v>2764</v>
      </c>
      <c r="H659" s="258">
        <v>3.5</v>
      </c>
      <c r="I659" s="258" t="s">
        <v>622</v>
      </c>
      <c r="J659" s="258" t="s">
        <v>13400</v>
      </c>
      <c r="K659" s="258">
        <v>3.5</v>
      </c>
      <c r="L659" s="258"/>
      <c r="M659" s="258"/>
      <c r="N659" s="258" t="s">
        <v>452</v>
      </c>
      <c r="O659" s="258" t="s">
        <v>10812</v>
      </c>
      <c r="P659" s="258"/>
      <c r="Q659" s="258" t="s">
        <v>24</v>
      </c>
      <c r="R659" s="259"/>
      <c r="S659" s="259"/>
      <c r="T659" s="259"/>
      <c r="U659" s="259"/>
      <c r="V659" s="258"/>
      <c r="W659" s="258"/>
      <c r="X659" s="258"/>
      <c r="Y659" s="258"/>
      <c r="Z659" s="258"/>
      <c r="AA659" s="258"/>
      <c r="AB659" s="258"/>
      <c r="AC659" s="258"/>
    </row>
    <row r="660" spans="1:29" ht="15.75" customHeight="1">
      <c r="A660" s="248">
        <v>44791</v>
      </c>
      <c r="B660" s="219" t="s">
        <v>6330</v>
      </c>
      <c r="C660" s="315">
        <v>2.5</v>
      </c>
      <c r="D660" s="219" t="s">
        <v>6333</v>
      </c>
      <c r="E660" s="219" t="s">
        <v>4</v>
      </c>
      <c r="F660" s="219" t="s">
        <v>727</v>
      </c>
      <c r="G660" s="219" t="s">
        <v>10687</v>
      </c>
      <c r="H660" s="219">
        <v>2</v>
      </c>
      <c r="I660" s="219" t="s">
        <v>1281</v>
      </c>
      <c r="J660" s="219" t="s">
        <v>6335</v>
      </c>
      <c r="K660" s="219">
        <v>3</v>
      </c>
      <c r="L660" s="219"/>
      <c r="M660" s="219"/>
      <c r="N660" s="219" t="s">
        <v>452</v>
      </c>
      <c r="O660" s="219" t="s">
        <v>6336</v>
      </c>
      <c r="P660" s="219"/>
      <c r="Q660" s="322" t="s">
        <v>24</v>
      </c>
      <c r="R660" s="219"/>
      <c r="S660" s="219" t="str">
        <f>IFERROR(VLOOKUP(B660,'2022-2023 Third Reviews'!$C:$S,9,FALSE),"")</f>
        <v/>
      </c>
      <c r="T660" s="219"/>
      <c r="U660" s="219"/>
      <c r="V660" s="303"/>
      <c r="W660" s="303"/>
      <c r="X660" s="303"/>
      <c r="Y660" s="303"/>
      <c r="Z660" s="303"/>
      <c r="AA660" s="306"/>
      <c r="AB660" s="306"/>
      <c r="AC660" s="306"/>
    </row>
    <row r="661" spans="1:29" ht="15.75" customHeight="1">
      <c r="A661" s="253">
        <v>44789</v>
      </c>
      <c r="B661" s="224" t="s">
        <v>6339</v>
      </c>
      <c r="C661" s="249">
        <v>2.5</v>
      </c>
      <c r="D661" s="224" t="s">
        <v>6342</v>
      </c>
      <c r="E661" s="250" t="s">
        <v>4</v>
      </c>
      <c r="F661" s="224" t="s">
        <v>602</v>
      </c>
      <c r="G661" s="224" t="s">
        <v>6343</v>
      </c>
      <c r="H661" s="224">
        <v>3</v>
      </c>
      <c r="I661" s="224" t="s">
        <v>1054</v>
      </c>
      <c r="J661" s="224" t="s">
        <v>6344</v>
      </c>
      <c r="K661" s="224">
        <v>2</v>
      </c>
      <c r="L661" s="224" t="s">
        <v>451</v>
      </c>
      <c r="M661" s="224" t="s">
        <v>6345</v>
      </c>
      <c r="N661" s="224" t="s">
        <v>452</v>
      </c>
      <c r="O661" s="224" t="s">
        <v>452</v>
      </c>
      <c r="P661" s="224"/>
      <c r="Q661" s="224" t="s">
        <v>24</v>
      </c>
      <c r="R661" s="224"/>
      <c r="S661" s="224" t="str">
        <f>IFERROR(VLOOKUP(B661,'2022-2023 Third Reviews'!$C:$S,9,FALSE),"")</f>
        <v/>
      </c>
      <c r="T661" s="224"/>
      <c r="U661" s="224"/>
      <c r="V661" s="224"/>
      <c r="W661" s="224"/>
      <c r="X661" s="224"/>
      <c r="Y661" s="224"/>
      <c r="Z661" s="224"/>
      <c r="AA661" s="224"/>
      <c r="AB661" s="224"/>
      <c r="AC661" s="224"/>
    </row>
    <row r="662" spans="1:29" ht="15.75" hidden="1" customHeight="1">
      <c r="A662" s="227">
        <v>44776</v>
      </c>
      <c r="B662" s="228" t="s">
        <v>376</v>
      </c>
      <c r="C662" s="214">
        <v>4</v>
      </c>
      <c r="D662" s="228" t="s">
        <v>10019</v>
      </c>
      <c r="E662" s="215" t="s">
        <v>5</v>
      </c>
      <c r="F662" s="228" t="s">
        <v>447</v>
      </c>
      <c r="G662" s="228" t="s">
        <v>10020</v>
      </c>
      <c r="H662" s="228">
        <v>4</v>
      </c>
      <c r="I662" s="228" t="s">
        <v>543</v>
      </c>
      <c r="J662" s="228" t="s">
        <v>11512</v>
      </c>
      <c r="K662" s="228">
        <v>4</v>
      </c>
      <c r="L662" s="228" t="s">
        <v>784</v>
      </c>
      <c r="M662" s="228">
        <v>500000</v>
      </c>
      <c r="N662" s="228" t="s">
        <v>452</v>
      </c>
      <c r="O662" s="228" t="s">
        <v>452</v>
      </c>
      <c r="P662" s="230" t="s">
        <v>10022</v>
      </c>
      <c r="Q662" s="228" t="s">
        <v>18</v>
      </c>
      <c r="R662" s="231" t="str">
        <f t="array" ref="R662">INDEX(Notes!C:C,MATCH($B662,Notes!$A:$A,0))</f>
        <v>Move to dit khoa will f/u with ads</v>
      </c>
      <c r="S662" s="231"/>
      <c r="T662" s="231"/>
      <c r="U662" s="231"/>
      <c r="V662" s="228"/>
      <c r="W662" s="228"/>
      <c r="X662" s="228"/>
      <c r="Y662" s="219"/>
      <c r="Z662" s="219"/>
      <c r="AA662" s="219"/>
      <c r="AB662" s="219"/>
      <c r="AC662" s="219"/>
    </row>
    <row r="663" spans="1:29" ht="15.75" hidden="1" customHeight="1">
      <c r="A663" s="227">
        <v>44776</v>
      </c>
      <c r="B663" s="228" t="s">
        <v>91</v>
      </c>
      <c r="C663" s="214">
        <v>3.5</v>
      </c>
      <c r="D663" s="228" t="s">
        <v>646</v>
      </c>
      <c r="E663" s="215" t="s">
        <v>5</v>
      </c>
      <c r="F663" s="228" t="s">
        <v>447</v>
      </c>
      <c r="G663" s="228" t="s">
        <v>647</v>
      </c>
      <c r="H663" s="228">
        <v>4</v>
      </c>
      <c r="I663" s="228" t="s">
        <v>543</v>
      </c>
      <c r="J663" s="228" t="s">
        <v>11479</v>
      </c>
      <c r="K663" s="228">
        <v>3</v>
      </c>
      <c r="L663" s="228" t="s">
        <v>451</v>
      </c>
      <c r="M663" s="228">
        <v>4000000</v>
      </c>
      <c r="N663" s="228" t="s">
        <v>465</v>
      </c>
      <c r="O663" s="228" t="s">
        <v>649</v>
      </c>
      <c r="P663" s="230"/>
      <c r="Q663" s="228" t="s">
        <v>18</v>
      </c>
      <c r="R663" s="231" t="s">
        <v>650</v>
      </c>
      <c r="S663" s="231"/>
      <c r="T663" s="231"/>
      <c r="U663" s="231"/>
      <c r="V663" s="228"/>
      <c r="W663" s="228"/>
      <c r="X663" s="228"/>
      <c r="Y663" s="224"/>
      <c r="Z663" s="224"/>
      <c r="AA663" s="224"/>
      <c r="AB663" s="224"/>
      <c r="AC663" s="224"/>
    </row>
    <row r="664" spans="1:29" ht="15.75" hidden="1" customHeight="1">
      <c r="A664" s="248">
        <v>44791</v>
      </c>
      <c r="B664" s="219" t="s">
        <v>8747</v>
      </c>
      <c r="C664" s="315">
        <v>2.5</v>
      </c>
      <c r="D664" s="219" t="s">
        <v>8750</v>
      </c>
      <c r="E664" s="219" t="s">
        <v>3</v>
      </c>
      <c r="F664" s="219" t="s">
        <v>460</v>
      </c>
      <c r="G664" s="219" t="s">
        <v>8751</v>
      </c>
      <c r="H664" s="219">
        <v>2</v>
      </c>
      <c r="I664" s="219" t="s">
        <v>941</v>
      </c>
      <c r="J664" s="219" t="s">
        <v>8752</v>
      </c>
      <c r="K664" s="219">
        <v>3</v>
      </c>
      <c r="L664" s="219" t="s">
        <v>451</v>
      </c>
      <c r="M664" s="312">
        <v>2000000</v>
      </c>
      <c r="N664" s="219" t="s">
        <v>452</v>
      </c>
      <c r="O664" s="219" t="s">
        <v>10245</v>
      </c>
      <c r="P664" s="219"/>
      <c r="Q664" s="322" t="s">
        <v>24</v>
      </c>
      <c r="R664" s="251"/>
      <c r="S664" s="251"/>
      <c r="T664" s="251"/>
      <c r="U664" s="251"/>
      <c r="V664" s="219"/>
      <c r="W664" s="219"/>
      <c r="X664" s="219"/>
      <c r="Y664" s="219"/>
      <c r="Z664" s="219"/>
      <c r="AA664" s="219"/>
      <c r="AB664" s="219"/>
      <c r="AC664" s="219"/>
    </row>
    <row r="665" spans="1:29" ht="15.75" customHeight="1">
      <c r="A665" s="253">
        <v>44791</v>
      </c>
      <c r="B665" s="224" t="s">
        <v>9604</v>
      </c>
      <c r="C665" s="316">
        <v>2.5</v>
      </c>
      <c r="D665" s="224" t="s">
        <v>9607</v>
      </c>
      <c r="E665" s="224" t="s">
        <v>4</v>
      </c>
      <c r="F665" s="224" t="s">
        <v>727</v>
      </c>
      <c r="G665" s="224" t="s">
        <v>10560</v>
      </c>
      <c r="H665" s="224">
        <v>3</v>
      </c>
      <c r="I665" s="224" t="s">
        <v>1298</v>
      </c>
      <c r="J665" s="224" t="s">
        <v>9609</v>
      </c>
      <c r="K665" s="224">
        <v>2</v>
      </c>
      <c r="L665" s="224"/>
      <c r="M665" s="224"/>
      <c r="N665" s="224" t="s">
        <v>452</v>
      </c>
      <c r="O665" s="224" t="s">
        <v>575</v>
      </c>
      <c r="P665" s="224" t="s">
        <v>727</v>
      </c>
      <c r="Q665" s="224" t="s">
        <v>23</v>
      </c>
      <c r="R665" s="224"/>
      <c r="S665" s="224" t="str">
        <f>IFERROR(VLOOKUP(B665,'2022-2023 Third Reviews'!$C:$S,9,FALSE),"")</f>
        <v/>
      </c>
      <c r="T665" s="224"/>
      <c r="U665" s="224"/>
      <c r="V665" s="224"/>
      <c r="W665" s="224"/>
      <c r="X665" s="224"/>
      <c r="Y665" s="224"/>
      <c r="Z665" s="224"/>
      <c r="AA665" s="224"/>
      <c r="AB665" s="224"/>
      <c r="AC665" s="224"/>
    </row>
    <row r="666" spans="1:29" ht="15.75" hidden="1" customHeight="1">
      <c r="A666" s="541">
        <v>44791</v>
      </c>
      <c r="B666" s="306" t="s">
        <v>324</v>
      </c>
      <c r="C666" s="542"/>
      <c r="D666" s="306" t="s">
        <v>1800</v>
      </c>
      <c r="E666" s="306" t="s">
        <v>3</v>
      </c>
      <c r="F666" s="306" t="s">
        <v>460</v>
      </c>
      <c r="G666" s="306"/>
      <c r="H666" s="306"/>
      <c r="I666" s="306" t="s">
        <v>941</v>
      </c>
      <c r="J666" s="306" t="s">
        <v>1802</v>
      </c>
      <c r="K666" s="306">
        <v>4</v>
      </c>
      <c r="L666" s="306"/>
      <c r="M666" s="306"/>
      <c r="N666" s="306" t="s">
        <v>452</v>
      </c>
      <c r="O666" s="306" t="s">
        <v>1803</v>
      </c>
      <c r="P666" s="306" t="s">
        <v>1804</v>
      </c>
      <c r="Q666" s="306"/>
      <c r="R666" s="543"/>
      <c r="S666" s="543"/>
      <c r="T666" s="543"/>
      <c r="U666" s="543"/>
      <c r="V666" s="306"/>
      <c r="W666" s="306"/>
      <c r="X666" s="306"/>
      <c r="Y666" s="306"/>
      <c r="Z666" s="306"/>
      <c r="AA666" s="306"/>
      <c r="AB666" s="306"/>
      <c r="AC666" s="306"/>
    </row>
    <row r="667" spans="1:29" ht="15.75" hidden="1" customHeight="1">
      <c r="A667" s="253">
        <v>44791</v>
      </c>
      <c r="B667" s="224" t="s">
        <v>324</v>
      </c>
      <c r="C667" s="316">
        <v>4.25</v>
      </c>
      <c r="D667" s="224" t="s">
        <v>1800</v>
      </c>
      <c r="E667" s="224" t="s">
        <v>3</v>
      </c>
      <c r="F667" s="224" t="s">
        <v>460</v>
      </c>
      <c r="G667" s="224" t="s">
        <v>1801</v>
      </c>
      <c r="H667" s="224">
        <v>4.5</v>
      </c>
      <c r="I667" s="224" t="s">
        <v>941</v>
      </c>
      <c r="J667" s="224" t="s">
        <v>1802</v>
      </c>
      <c r="K667" s="224">
        <v>4</v>
      </c>
      <c r="L667" s="224"/>
      <c r="M667" s="307"/>
      <c r="N667" s="224" t="s">
        <v>452</v>
      </c>
      <c r="O667" s="224" t="s">
        <v>1803</v>
      </c>
      <c r="P667" s="224" t="s">
        <v>1804</v>
      </c>
      <c r="Q667" s="224" t="s">
        <v>18</v>
      </c>
      <c r="R667" s="254"/>
      <c r="S667" s="254"/>
      <c r="T667" s="254"/>
      <c r="U667" s="254"/>
      <c r="V667" s="224"/>
      <c r="W667" s="224"/>
      <c r="X667" s="224"/>
      <c r="Y667" s="224"/>
      <c r="Z667" s="224"/>
      <c r="AA667" s="224"/>
      <c r="AB667" s="224"/>
      <c r="AC667" s="224"/>
    </row>
    <row r="668" spans="1:29" ht="15.75" hidden="1" customHeight="1">
      <c r="A668" s="248">
        <v>44791</v>
      </c>
      <c r="B668" s="219" t="s">
        <v>2769</v>
      </c>
      <c r="C668" s="315">
        <v>3</v>
      </c>
      <c r="D668" s="219" t="s">
        <v>2772</v>
      </c>
      <c r="E668" s="219" t="s">
        <v>5</v>
      </c>
      <c r="F668" s="219" t="s">
        <v>447</v>
      </c>
      <c r="G668" s="219" t="s">
        <v>11191</v>
      </c>
      <c r="H668" s="219">
        <v>3</v>
      </c>
      <c r="I668" s="219" t="s">
        <v>449</v>
      </c>
      <c r="J668" s="219" t="s">
        <v>11192</v>
      </c>
      <c r="K668" s="219">
        <v>3</v>
      </c>
      <c r="L668" s="219"/>
      <c r="M668" s="219"/>
      <c r="N668" s="219" t="s">
        <v>452</v>
      </c>
      <c r="O668" s="219" t="s">
        <v>2775</v>
      </c>
      <c r="P668" s="219"/>
      <c r="Q668" s="322" t="s">
        <v>24</v>
      </c>
      <c r="R668" s="251"/>
      <c r="S668" s="251"/>
      <c r="T668" s="251"/>
      <c r="U668" s="251"/>
      <c r="V668" s="219"/>
      <c r="W668" s="219"/>
      <c r="X668" s="219"/>
      <c r="Y668" s="219"/>
      <c r="Z668" s="219"/>
      <c r="AA668" s="219"/>
      <c r="AB668" s="219"/>
      <c r="AC668" s="219"/>
    </row>
    <row r="669" spans="1:29" ht="15.75" hidden="1" customHeight="1">
      <c r="A669" s="541">
        <v>44796</v>
      </c>
      <c r="B669" s="306" t="s">
        <v>2769</v>
      </c>
      <c r="C669" s="542"/>
      <c r="D669" s="306" t="s">
        <v>2772</v>
      </c>
      <c r="E669" s="306" t="s">
        <v>5</v>
      </c>
      <c r="F669" s="306" t="s">
        <v>447</v>
      </c>
      <c r="G669" s="306"/>
      <c r="H669" s="306"/>
      <c r="I669" s="306" t="s">
        <v>449</v>
      </c>
      <c r="J669" s="306" t="s">
        <v>11192</v>
      </c>
      <c r="K669" s="306">
        <v>3</v>
      </c>
      <c r="L669" s="306"/>
      <c r="M669" s="306"/>
      <c r="N669" s="306" t="s">
        <v>452</v>
      </c>
      <c r="O669" s="306" t="s">
        <v>2775</v>
      </c>
      <c r="P669" s="306"/>
      <c r="Q669" s="306"/>
      <c r="R669" s="543"/>
      <c r="S669" s="543"/>
      <c r="T669" s="543"/>
      <c r="U669" s="543"/>
      <c r="V669" s="224"/>
      <c r="W669" s="224"/>
      <c r="X669" s="224"/>
      <c r="Y669" s="224"/>
      <c r="Z669" s="224"/>
      <c r="AA669" s="224"/>
      <c r="AB669" s="224"/>
      <c r="AC669" s="224"/>
    </row>
    <row r="670" spans="1:29" ht="15.75" hidden="1" customHeight="1">
      <c r="A670" s="248">
        <v>44796</v>
      </c>
      <c r="B670" s="219" t="s">
        <v>2769</v>
      </c>
      <c r="C670" s="315">
        <v>3</v>
      </c>
      <c r="D670" s="219" t="s">
        <v>2772</v>
      </c>
      <c r="E670" s="219" t="s">
        <v>5</v>
      </c>
      <c r="F670" s="219" t="s">
        <v>447</v>
      </c>
      <c r="G670" s="219" t="s">
        <v>11191</v>
      </c>
      <c r="H670" s="219">
        <v>3</v>
      </c>
      <c r="I670" s="219" t="s">
        <v>449</v>
      </c>
      <c r="J670" s="219" t="s">
        <v>11192</v>
      </c>
      <c r="K670" s="219">
        <v>3</v>
      </c>
      <c r="L670" s="219"/>
      <c r="M670" s="219"/>
      <c r="N670" s="219" t="s">
        <v>452</v>
      </c>
      <c r="O670" s="219" t="s">
        <v>2775</v>
      </c>
      <c r="P670" s="219"/>
      <c r="Q670" s="219" t="s">
        <v>24</v>
      </c>
      <c r="R670" s="251"/>
      <c r="S670" s="251"/>
      <c r="T670" s="251"/>
      <c r="U670" s="251"/>
      <c r="V670" s="219"/>
      <c r="W670" s="219"/>
      <c r="X670" s="219"/>
      <c r="Y670" s="219"/>
      <c r="Z670" s="219"/>
      <c r="AA670" s="219"/>
      <c r="AB670" s="219"/>
      <c r="AC670" s="219"/>
    </row>
    <row r="671" spans="1:29" ht="15.75" customHeight="1">
      <c r="A671" s="253">
        <v>44796</v>
      </c>
      <c r="B671" s="224" t="s">
        <v>6348</v>
      </c>
      <c r="C671" s="316">
        <v>2.5</v>
      </c>
      <c r="D671" s="224" t="s">
        <v>6351</v>
      </c>
      <c r="E671" s="224" t="s">
        <v>4</v>
      </c>
      <c r="F671" s="224" t="s">
        <v>727</v>
      </c>
      <c r="G671" s="224"/>
      <c r="H671" s="224">
        <v>2</v>
      </c>
      <c r="I671" s="224" t="s">
        <v>1045</v>
      </c>
      <c r="J671" s="224" t="s">
        <v>6352</v>
      </c>
      <c r="K671" s="224">
        <v>3</v>
      </c>
      <c r="L671" s="224" t="s">
        <v>451</v>
      </c>
      <c r="M671" s="224">
        <v>5000000</v>
      </c>
      <c r="N671" s="224" t="s">
        <v>452</v>
      </c>
      <c r="O671" s="224" t="s">
        <v>11232</v>
      </c>
      <c r="P671" s="224"/>
      <c r="Q671" s="224" t="s">
        <v>24</v>
      </c>
      <c r="R671" s="224"/>
      <c r="S671" s="224" t="str">
        <f>IFERROR(VLOOKUP(B671,'2022-2023 Third Reviews'!$C:$S,9,FALSE),"")</f>
        <v/>
      </c>
      <c r="T671" s="224"/>
      <c r="U671" s="224"/>
      <c r="V671" s="306"/>
      <c r="W671" s="306"/>
      <c r="X671" s="306"/>
      <c r="Y671" s="306"/>
      <c r="Z671" s="306"/>
      <c r="AA671" s="306"/>
      <c r="AB671" s="306"/>
      <c r="AC671" s="306"/>
    </row>
    <row r="672" spans="1:29" ht="15.75" customHeight="1">
      <c r="A672" s="248">
        <v>44796</v>
      </c>
      <c r="B672" s="219" t="s">
        <v>6356</v>
      </c>
      <c r="C672" s="315">
        <v>2.5</v>
      </c>
      <c r="D672" s="219" t="s">
        <v>6359</v>
      </c>
      <c r="E672" s="219" t="s">
        <v>4</v>
      </c>
      <c r="F672" s="219" t="s">
        <v>602</v>
      </c>
      <c r="G672" s="219" t="s">
        <v>6360</v>
      </c>
      <c r="H672" s="219">
        <v>2</v>
      </c>
      <c r="I672" s="219" t="s">
        <v>1298</v>
      </c>
      <c r="J672" s="219" t="s">
        <v>6361</v>
      </c>
      <c r="K672" s="219">
        <v>3</v>
      </c>
      <c r="L672" s="219" t="s">
        <v>784</v>
      </c>
      <c r="M672" s="312">
        <v>750000</v>
      </c>
      <c r="N672" s="219" t="s">
        <v>452</v>
      </c>
      <c r="O672" s="219" t="s">
        <v>11082</v>
      </c>
      <c r="P672" s="219"/>
      <c r="Q672" s="219" t="s">
        <v>24</v>
      </c>
      <c r="R672" s="219"/>
      <c r="S672" s="219" t="str">
        <f>IFERROR(VLOOKUP(B672,'2022-2023 Third Reviews'!$C:$S,9,FALSE),"")</f>
        <v/>
      </c>
      <c r="T672" s="219"/>
      <c r="U672" s="219"/>
      <c r="V672" s="219"/>
      <c r="W672" s="219"/>
      <c r="X672" s="219"/>
      <c r="Y672" s="219"/>
      <c r="Z672" s="219"/>
      <c r="AA672" s="219"/>
      <c r="AB672" s="219"/>
      <c r="AC672" s="219"/>
    </row>
    <row r="673" spans="1:29" ht="15.75" customHeight="1">
      <c r="A673" s="220">
        <v>44776</v>
      </c>
      <c r="B673" s="221" t="s">
        <v>6365</v>
      </c>
      <c r="C673" s="214">
        <v>2.5</v>
      </c>
      <c r="D673" s="221" t="s">
        <v>6368</v>
      </c>
      <c r="E673" s="215" t="s">
        <v>4</v>
      </c>
      <c r="F673" s="221" t="s">
        <v>602</v>
      </c>
      <c r="G673" s="221" t="s">
        <v>11435</v>
      </c>
      <c r="H673" s="221">
        <v>2</v>
      </c>
      <c r="I673" s="221" t="s">
        <v>727</v>
      </c>
      <c r="J673" s="221" t="s">
        <v>6370</v>
      </c>
      <c r="K673" s="221">
        <v>3</v>
      </c>
      <c r="L673" s="221" t="s">
        <v>6371</v>
      </c>
      <c r="M673" s="221" t="s">
        <v>6372</v>
      </c>
      <c r="N673" s="221" t="s">
        <v>454</v>
      </c>
      <c r="O673" s="221" t="s">
        <v>3420</v>
      </c>
      <c r="P673" s="145"/>
      <c r="Q673" s="221" t="s">
        <v>24</v>
      </c>
      <c r="R673" s="221">
        <f t="array" ref="R673">INDEX(Notes!C:C,MATCH($B673,Notes!$A:$A,0))</f>
        <v>0</v>
      </c>
      <c r="S673" s="221" t="str">
        <f>IFERROR(VLOOKUP(B673,'2022-2023 Third Reviews'!$C:$S,9,FALSE),"")</f>
        <v/>
      </c>
      <c r="T673" s="221"/>
      <c r="U673" s="221"/>
      <c r="V673" s="252"/>
      <c r="W673" s="252"/>
      <c r="X673" s="252"/>
      <c r="Y673" s="224"/>
      <c r="Z673" s="224"/>
      <c r="AA673" s="224"/>
      <c r="AB673" s="224"/>
      <c r="AC673" s="224"/>
    </row>
    <row r="674" spans="1:29" ht="15.75" hidden="1" customHeight="1">
      <c r="A674" s="257">
        <v>44796</v>
      </c>
      <c r="B674" s="258" t="s">
        <v>2778</v>
      </c>
      <c r="C674" s="263">
        <v>3</v>
      </c>
      <c r="D674" s="258" t="s">
        <v>2781</v>
      </c>
      <c r="E674" s="258" t="s">
        <v>5</v>
      </c>
      <c r="F674" s="258" t="s">
        <v>447</v>
      </c>
      <c r="G674" s="258" t="s">
        <v>11311</v>
      </c>
      <c r="H674" s="258">
        <v>2</v>
      </c>
      <c r="I674" s="258" t="s">
        <v>449</v>
      </c>
      <c r="J674" s="258" t="s">
        <v>11312</v>
      </c>
      <c r="K674" s="258">
        <v>4</v>
      </c>
      <c r="L674" s="258" t="s">
        <v>2784</v>
      </c>
      <c r="M674" s="261">
        <v>1000000</v>
      </c>
      <c r="N674" s="258" t="s">
        <v>452</v>
      </c>
      <c r="O674" s="258" t="s">
        <v>2785</v>
      </c>
      <c r="P674" s="258"/>
      <c r="Q674" s="258" t="s">
        <v>24</v>
      </c>
      <c r="R674" s="259"/>
      <c r="S674" s="259"/>
      <c r="T674" s="259"/>
      <c r="U674" s="259"/>
      <c r="V674" s="258"/>
      <c r="W674" s="258"/>
      <c r="X674" s="258"/>
      <c r="Y674" s="258"/>
      <c r="Z674" s="258"/>
      <c r="AA674" s="258"/>
      <c r="AB674" s="258"/>
      <c r="AC674" s="258"/>
    </row>
    <row r="675" spans="1:29" ht="15.75" customHeight="1">
      <c r="A675" s="253">
        <v>44796</v>
      </c>
      <c r="B675" s="224" t="s">
        <v>6375</v>
      </c>
      <c r="C675" s="316">
        <v>2.5</v>
      </c>
      <c r="D675" s="224" t="s">
        <v>6378</v>
      </c>
      <c r="E675" s="224" t="s">
        <v>4</v>
      </c>
      <c r="F675" s="224" t="s">
        <v>602</v>
      </c>
      <c r="G675" s="224" t="s">
        <v>6379</v>
      </c>
      <c r="H675" s="224">
        <v>2</v>
      </c>
      <c r="I675" s="224" t="s">
        <v>1054</v>
      </c>
      <c r="J675" s="224" t="s">
        <v>6380</v>
      </c>
      <c r="K675" s="224">
        <v>3</v>
      </c>
      <c r="L675" s="224" t="s">
        <v>451</v>
      </c>
      <c r="M675" s="332">
        <v>2500000</v>
      </c>
      <c r="N675" s="224" t="s">
        <v>452</v>
      </c>
      <c r="O675" s="224" t="s">
        <v>6381</v>
      </c>
      <c r="P675" s="224"/>
      <c r="Q675" s="224" t="s">
        <v>24</v>
      </c>
      <c r="R675" s="224"/>
      <c r="S675" s="224" t="str">
        <f>IFERROR(VLOOKUP(B675,'2022-2023 Third Reviews'!$C:$S,9,FALSE),"")</f>
        <v/>
      </c>
      <c r="T675" s="224"/>
      <c r="U675" s="224"/>
      <c r="V675" s="224"/>
      <c r="W675" s="224"/>
      <c r="X675" s="224"/>
      <c r="Y675" s="224"/>
      <c r="Z675" s="224"/>
      <c r="AA675" s="224"/>
      <c r="AB675" s="224"/>
      <c r="AC675" s="224"/>
    </row>
    <row r="676" spans="1:29" ht="15.75" customHeight="1">
      <c r="A676" s="398">
        <v>44784</v>
      </c>
      <c r="B676" s="268" t="s">
        <v>6384</v>
      </c>
      <c r="C676" s="269">
        <v>2.5</v>
      </c>
      <c r="D676" s="268" t="s">
        <v>6387</v>
      </c>
      <c r="E676" s="270" t="s">
        <v>4</v>
      </c>
      <c r="F676" s="268" t="s">
        <v>602</v>
      </c>
      <c r="G676" s="268"/>
      <c r="H676" s="268">
        <v>2.5</v>
      </c>
      <c r="I676" s="268" t="s">
        <v>727</v>
      </c>
      <c r="J676" s="268"/>
      <c r="K676" s="268">
        <v>2.5</v>
      </c>
      <c r="L676" s="268"/>
      <c r="M676" s="268"/>
      <c r="N676" s="268" t="s">
        <v>465</v>
      </c>
      <c r="O676" s="268" t="s">
        <v>575</v>
      </c>
      <c r="P676" s="268"/>
      <c r="Q676" s="268" t="s">
        <v>24</v>
      </c>
      <c r="R676" s="268"/>
      <c r="S676" s="268" t="str">
        <f>IFERROR(VLOOKUP(B676,'2022-2023 Third Reviews'!$C:$S,9,FALSE),"")</f>
        <v/>
      </c>
      <c r="T676" s="268"/>
      <c r="U676" s="268"/>
      <c r="V676" s="258"/>
      <c r="W676" s="258"/>
      <c r="X676" s="258"/>
      <c r="Y676" s="258"/>
      <c r="Z676" s="258"/>
      <c r="AA676" s="258"/>
      <c r="AB676" s="258"/>
      <c r="AC676" s="258"/>
    </row>
    <row r="677" spans="1:29" ht="15.75" customHeight="1">
      <c r="A677" s="253">
        <v>44782</v>
      </c>
      <c r="B677" s="224" t="s">
        <v>6390</v>
      </c>
      <c r="C677" s="249">
        <v>2.5</v>
      </c>
      <c r="D677" s="224" t="s">
        <v>6393</v>
      </c>
      <c r="E677" s="250" t="s">
        <v>4</v>
      </c>
      <c r="F677" s="224" t="s">
        <v>602</v>
      </c>
      <c r="G677" s="224" t="s">
        <v>6394</v>
      </c>
      <c r="H677" s="224">
        <v>3</v>
      </c>
      <c r="I677" s="224" t="s">
        <v>476</v>
      </c>
      <c r="J677" s="224" t="s">
        <v>10389</v>
      </c>
      <c r="K677" s="224">
        <v>2</v>
      </c>
      <c r="L677" s="224"/>
      <c r="M677" s="224"/>
      <c r="N677" s="224" t="s">
        <v>452</v>
      </c>
      <c r="O677" s="224" t="s">
        <v>6396</v>
      </c>
      <c r="P677" s="224"/>
      <c r="Q677" s="224" t="s">
        <v>24</v>
      </c>
      <c r="R677" s="224"/>
      <c r="S677" s="224" t="str">
        <f ca="1">IFERROR(VLOOKUP(B677,'2022-2023 Third Reviews'!$C:$S,9,FALSE),"")</f>
        <v>Jason Yu
4</v>
      </c>
      <c r="T677" s="224" t="s">
        <v>13259</v>
      </c>
      <c r="U677" s="224"/>
      <c r="V677" s="224"/>
      <c r="W677" s="224"/>
      <c r="X677" s="224"/>
      <c r="Y677" s="224"/>
      <c r="Z677" s="224"/>
      <c r="AA677" s="224"/>
      <c r="AB677" s="224"/>
      <c r="AC677" s="224"/>
    </row>
    <row r="678" spans="1:29" ht="15.75" hidden="1" customHeight="1">
      <c r="A678" s="541">
        <v>44791</v>
      </c>
      <c r="B678" s="306" t="s">
        <v>325</v>
      </c>
      <c r="C678" s="542"/>
      <c r="D678" s="306" t="s">
        <v>1809</v>
      </c>
      <c r="E678" s="306" t="s">
        <v>3</v>
      </c>
      <c r="F678" s="306" t="s">
        <v>460</v>
      </c>
      <c r="G678" s="306"/>
      <c r="H678" s="306"/>
      <c r="I678" s="306" t="s">
        <v>941</v>
      </c>
      <c r="J678" s="306"/>
      <c r="K678" s="306"/>
      <c r="L678" s="306" t="s">
        <v>478</v>
      </c>
      <c r="M678" s="544" t="s">
        <v>1811</v>
      </c>
      <c r="N678" s="306" t="s">
        <v>452</v>
      </c>
      <c r="O678" s="306" t="s">
        <v>1812</v>
      </c>
      <c r="P678" s="306"/>
      <c r="Q678" s="306"/>
      <c r="R678" s="543"/>
      <c r="S678" s="543"/>
      <c r="T678" s="543"/>
      <c r="U678" s="543"/>
      <c r="V678" s="306"/>
      <c r="W678" s="306"/>
      <c r="X678" s="306"/>
      <c r="Y678" s="306"/>
      <c r="Z678" s="306"/>
      <c r="AA678" s="306"/>
      <c r="AB678" s="306"/>
      <c r="AC678" s="306"/>
    </row>
    <row r="679" spans="1:29" ht="15.75" hidden="1" customHeight="1">
      <c r="A679" s="253">
        <v>44791</v>
      </c>
      <c r="B679" s="224" t="s">
        <v>325</v>
      </c>
      <c r="C679" s="316">
        <v>4.5</v>
      </c>
      <c r="D679" s="224" t="s">
        <v>1809</v>
      </c>
      <c r="E679" s="224" t="s">
        <v>3</v>
      </c>
      <c r="F679" s="224" t="s">
        <v>460</v>
      </c>
      <c r="G679" s="224" t="s">
        <v>1810</v>
      </c>
      <c r="H679" s="224">
        <v>4.5</v>
      </c>
      <c r="I679" s="224" t="s">
        <v>941</v>
      </c>
      <c r="J679" s="224"/>
      <c r="K679" s="224">
        <v>4.5</v>
      </c>
      <c r="L679" s="224" t="s">
        <v>478</v>
      </c>
      <c r="M679" s="224" t="s">
        <v>1811</v>
      </c>
      <c r="N679" s="224" t="s">
        <v>452</v>
      </c>
      <c r="O679" s="224" t="s">
        <v>1812</v>
      </c>
      <c r="P679" s="224"/>
      <c r="Q679" s="224" t="s">
        <v>18</v>
      </c>
      <c r="R679" s="254"/>
      <c r="S679" s="254"/>
      <c r="T679" s="254"/>
      <c r="U679" s="254"/>
      <c r="V679" s="224"/>
      <c r="W679" s="224"/>
      <c r="X679" s="224"/>
      <c r="Y679" s="224"/>
      <c r="Z679" s="224"/>
      <c r="AA679" s="224"/>
      <c r="AB679" s="224"/>
      <c r="AC679" s="224"/>
    </row>
    <row r="680" spans="1:29" ht="15.75" hidden="1" customHeight="1">
      <c r="A680" s="301">
        <v>44789</v>
      </c>
      <c r="B680" s="303" t="s">
        <v>326</v>
      </c>
      <c r="C680" s="269"/>
      <c r="D680" s="303" t="s">
        <v>1817</v>
      </c>
      <c r="E680" s="270" t="s">
        <v>3</v>
      </c>
      <c r="F680" s="303" t="s">
        <v>460</v>
      </c>
      <c r="G680" s="303"/>
      <c r="H680" s="303"/>
      <c r="I680" s="303" t="s">
        <v>941</v>
      </c>
      <c r="J680" s="303" t="s">
        <v>1819</v>
      </c>
      <c r="K680" s="303">
        <v>4</v>
      </c>
      <c r="L680" s="303" t="s">
        <v>478</v>
      </c>
      <c r="M680" s="304">
        <v>25000000</v>
      </c>
      <c r="N680" s="303" t="s">
        <v>452</v>
      </c>
      <c r="O680" s="304" t="s">
        <v>10232</v>
      </c>
      <c r="P680" s="303"/>
      <c r="Q680" s="303"/>
      <c r="R680" s="305"/>
      <c r="S680" s="305"/>
      <c r="T680" s="305"/>
      <c r="U680" s="305"/>
      <c r="V680" s="303"/>
      <c r="W680" s="303"/>
      <c r="X680" s="303"/>
      <c r="Y680" s="303"/>
      <c r="Z680" s="303"/>
      <c r="AA680" s="306"/>
      <c r="AB680" s="306"/>
      <c r="AC680" s="306"/>
    </row>
    <row r="681" spans="1:29" ht="15.75" hidden="1" customHeight="1">
      <c r="A681" s="253">
        <v>44789</v>
      </c>
      <c r="B681" s="224" t="s">
        <v>326</v>
      </c>
      <c r="C681" s="249">
        <v>4</v>
      </c>
      <c r="D681" s="224" t="s">
        <v>1817</v>
      </c>
      <c r="E681" s="250" t="s">
        <v>3</v>
      </c>
      <c r="F681" s="224" t="s">
        <v>460</v>
      </c>
      <c r="G681" s="224" t="s">
        <v>1818</v>
      </c>
      <c r="H681" s="224">
        <v>4</v>
      </c>
      <c r="I681" s="224" t="s">
        <v>941</v>
      </c>
      <c r="J681" s="224" t="s">
        <v>1819</v>
      </c>
      <c r="K681" s="224">
        <v>4</v>
      </c>
      <c r="L681" s="224" t="s">
        <v>478</v>
      </c>
      <c r="M681" s="307">
        <v>25000000</v>
      </c>
      <c r="N681" s="224" t="s">
        <v>452</v>
      </c>
      <c r="O681" s="224" t="s">
        <v>10232</v>
      </c>
      <c r="P681" s="224"/>
      <c r="Q681" s="224" t="s">
        <v>18</v>
      </c>
      <c r="R681" s="254"/>
      <c r="S681" s="254"/>
      <c r="T681" s="254"/>
      <c r="U681" s="254"/>
      <c r="V681" s="252"/>
      <c r="W681" s="252"/>
      <c r="X681" s="252"/>
      <c r="Y681" s="224"/>
      <c r="Z681" s="224"/>
      <c r="AA681" s="224"/>
      <c r="AB681" s="224"/>
      <c r="AC681" s="224"/>
    </row>
    <row r="682" spans="1:29" ht="15.75" hidden="1" customHeight="1">
      <c r="A682" s="212">
        <v>44776</v>
      </c>
      <c r="B682" s="213" t="s">
        <v>8756</v>
      </c>
      <c r="C682" s="214">
        <v>1</v>
      </c>
      <c r="D682" s="213" t="s">
        <v>8759</v>
      </c>
      <c r="E682" s="215" t="s">
        <v>3</v>
      </c>
      <c r="F682" s="213" t="s">
        <v>460</v>
      </c>
      <c r="G682" s="213" t="s">
        <v>8760</v>
      </c>
      <c r="H682" s="213">
        <v>1</v>
      </c>
      <c r="I682" s="213" t="s">
        <v>941</v>
      </c>
      <c r="J682" s="213" t="s">
        <v>8761</v>
      </c>
      <c r="K682" s="213">
        <v>1</v>
      </c>
      <c r="L682" s="213"/>
      <c r="M682" s="213"/>
      <c r="N682" s="213" t="s">
        <v>452</v>
      </c>
      <c r="O682" s="213" t="s">
        <v>10308</v>
      </c>
      <c r="P682" s="143"/>
      <c r="Q682" s="213" t="s">
        <v>24</v>
      </c>
      <c r="R682" s="226">
        <f t="array" ref="R682">INDEX(Notes!C:C,MATCH($B682,Notes!$A:$A,0))</f>
        <v>0</v>
      </c>
      <c r="S682" s="226"/>
      <c r="T682" s="226"/>
      <c r="U682" s="226"/>
      <c r="V682" s="218"/>
      <c r="W682" s="218"/>
      <c r="X682" s="218"/>
      <c r="Y682" s="219"/>
      <c r="Z682" s="219"/>
      <c r="AA682" s="219"/>
      <c r="AB682" s="219"/>
      <c r="AC682" s="219"/>
    </row>
    <row r="683" spans="1:29" ht="15.75" hidden="1" customHeight="1">
      <c r="A683" s="220">
        <v>44776</v>
      </c>
      <c r="B683" s="221" t="s">
        <v>8766</v>
      </c>
      <c r="C683" s="214">
        <v>1.5</v>
      </c>
      <c r="D683" s="221" t="s">
        <v>10187</v>
      </c>
      <c r="E683" s="215" t="s">
        <v>3</v>
      </c>
      <c r="F683" s="221" t="s">
        <v>460</v>
      </c>
      <c r="G683" s="221"/>
      <c r="H683" s="221">
        <v>1</v>
      </c>
      <c r="I683" s="221" t="s">
        <v>941</v>
      </c>
      <c r="J683" s="221"/>
      <c r="K683" s="221">
        <v>2</v>
      </c>
      <c r="L683" s="221" t="s">
        <v>784</v>
      </c>
      <c r="M683" s="247">
        <v>0</v>
      </c>
      <c r="N683" s="221" t="s">
        <v>465</v>
      </c>
      <c r="O683" s="221" t="s">
        <v>8770</v>
      </c>
      <c r="P683" s="145"/>
      <c r="Q683" s="221" t="s">
        <v>24</v>
      </c>
      <c r="R683" s="223">
        <f t="array" ref="R683">INDEX(Notes!C:C,MATCH($B683,Notes!$A:$A,0))</f>
        <v>0</v>
      </c>
      <c r="S683" s="223"/>
      <c r="T683" s="223"/>
      <c r="U683" s="223"/>
      <c r="V683" s="218"/>
      <c r="W683" s="218"/>
      <c r="X683" s="218"/>
      <c r="Y683" s="224"/>
      <c r="Z683" s="224"/>
      <c r="AA683" s="224"/>
      <c r="AB683" s="224"/>
      <c r="AC683" s="224"/>
    </row>
    <row r="684" spans="1:29" ht="15.75" hidden="1" customHeight="1">
      <c r="A684" s="541">
        <v>44791</v>
      </c>
      <c r="B684" s="306" t="s">
        <v>8773</v>
      </c>
      <c r="C684" s="542"/>
      <c r="D684" s="306"/>
      <c r="E684" s="306" t="s">
        <v>3</v>
      </c>
      <c r="F684" s="306" t="s">
        <v>488</v>
      </c>
      <c r="G684" s="306"/>
      <c r="H684" s="306"/>
      <c r="I684" s="306" t="s">
        <v>941</v>
      </c>
      <c r="J684" s="306"/>
      <c r="K684" s="306"/>
      <c r="L684" s="306" t="s">
        <v>2152</v>
      </c>
      <c r="M684" s="306" t="s">
        <v>8778</v>
      </c>
      <c r="N684" s="306" t="s">
        <v>454</v>
      </c>
      <c r="O684" s="306" t="s">
        <v>452</v>
      </c>
      <c r="P684" s="306"/>
      <c r="Q684" s="306"/>
      <c r="R684" s="543"/>
      <c r="S684" s="543"/>
      <c r="T684" s="543"/>
      <c r="U684" s="543"/>
      <c r="V684" s="306"/>
      <c r="W684" s="306"/>
      <c r="X684" s="306"/>
      <c r="Y684" s="306"/>
      <c r="Z684" s="306"/>
      <c r="AA684" s="306"/>
      <c r="AB684" s="306"/>
      <c r="AC684" s="306"/>
    </row>
    <row r="685" spans="1:29" ht="15.75" hidden="1" customHeight="1">
      <c r="A685" s="541">
        <v>44796</v>
      </c>
      <c r="B685" s="306" t="s">
        <v>8773</v>
      </c>
      <c r="C685" s="542"/>
      <c r="D685" s="306"/>
      <c r="E685" s="306" t="s">
        <v>3</v>
      </c>
      <c r="F685" s="306" t="s">
        <v>488</v>
      </c>
      <c r="G685" s="306"/>
      <c r="H685" s="306"/>
      <c r="I685" s="306" t="s">
        <v>941</v>
      </c>
      <c r="J685" s="306"/>
      <c r="K685" s="306"/>
      <c r="L685" s="306" t="s">
        <v>2152</v>
      </c>
      <c r="M685" s="545" t="s">
        <v>8778</v>
      </c>
      <c r="N685" s="306" t="s">
        <v>454</v>
      </c>
      <c r="O685" s="306" t="s">
        <v>452</v>
      </c>
      <c r="P685" s="306"/>
      <c r="Q685" s="306"/>
      <c r="R685" s="543"/>
      <c r="S685" s="543"/>
      <c r="T685" s="543"/>
      <c r="U685" s="543"/>
      <c r="V685" s="224"/>
      <c r="W685" s="224"/>
      <c r="X685" s="224"/>
      <c r="Y685" s="224"/>
      <c r="Z685" s="224"/>
      <c r="AA685" s="224"/>
      <c r="AB685" s="224"/>
      <c r="AC685" s="224"/>
    </row>
    <row r="686" spans="1:29" ht="15.75" hidden="1" customHeight="1">
      <c r="A686" s="541">
        <v>44797</v>
      </c>
      <c r="B686" s="306" t="s">
        <v>8773</v>
      </c>
      <c r="C686" s="542"/>
      <c r="D686" s="306"/>
      <c r="E686" s="306" t="s">
        <v>3</v>
      </c>
      <c r="F686" s="306" t="s">
        <v>488</v>
      </c>
      <c r="G686" s="306"/>
      <c r="H686" s="306"/>
      <c r="I686" s="306" t="s">
        <v>941</v>
      </c>
      <c r="J686" s="306"/>
      <c r="K686" s="306"/>
      <c r="L686" s="306" t="s">
        <v>2152</v>
      </c>
      <c r="M686" s="306" t="s">
        <v>8778</v>
      </c>
      <c r="N686" s="306" t="s">
        <v>454</v>
      </c>
      <c r="O686" s="306" t="s">
        <v>452</v>
      </c>
      <c r="P686" s="306"/>
      <c r="Q686" s="306"/>
      <c r="R686" s="543"/>
      <c r="S686" s="543"/>
      <c r="T686" s="543"/>
      <c r="U686" s="543"/>
      <c r="V686" s="306"/>
      <c r="W686" s="306"/>
      <c r="X686" s="306"/>
      <c r="Y686" s="306"/>
      <c r="Z686" s="306"/>
      <c r="AA686" s="306"/>
      <c r="AB686" s="306"/>
      <c r="AC686" s="306"/>
    </row>
    <row r="687" spans="1:29" ht="15.75" hidden="1" customHeight="1">
      <c r="A687" s="253">
        <v>44797</v>
      </c>
      <c r="B687" s="224" t="s">
        <v>8773</v>
      </c>
      <c r="C687" s="316">
        <v>1.5</v>
      </c>
      <c r="D687" s="224"/>
      <c r="E687" s="224" t="s">
        <v>3</v>
      </c>
      <c r="F687" s="224" t="s">
        <v>488</v>
      </c>
      <c r="G687" s="224" t="s">
        <v>11305</v>
      </c>
      <c r="H687" s="224">
        <v>2</v>
      </c>
      <c r="I687" s="224" t="s">
        <v>941</v>
      </c>
      <c r="J687" s="224" t="s">
        <v>8777</v>
      </c>
      <c r="K687" s="224">
        <v>1</v>
      </c>
      <c r="L687" s="224" t="s">
        <v>2152</v>
      </c>
      <c r="M687" s="224" t="s">
        <v>8778</v>
      </c>
      <c r="N687" s="224" t="s">
        <v>454</v>
      </c>
      <c r="O687" s="224" t="s">
        <v>452</v>
      </c>
      <c r="P687" s="224"/>
      <c r="Q687" s="224" t="s">
        <v>24</v>
      </c>
      <c r="R687" s="254"/>
      <c r="S687" s="254"/>
      <c r="T687" s="254"/>
      <c r="U687" s="254"/>
      <c r="V687" s="224"/>
      <c r="W687" s="224"/>
      <c r="X687" s="224"/>
      <c r="Y687" s="224"/>
      <c r="Z687" s="224"/>
      <c r="AA687" s="224"/>
      <c r="AB687" s="224"/>
      <c r="AC687" s="224"/>
    </row>
    <row r="688" spans="1:29" ht="15.75" hidden="1" customHeight="1">
      <c r="A688" s="248">
        <v>44782</v>
      </c>
      <c r="B688" s="219" t="s">
        <v>2788</v>
      </c>
      <c r="C688" s="249">
        <v>2.75</v>
      </c>
      <c r="D688" s="219" t="s">
        <v>2791</v>
      </c>
      <c r="E688" s="250" t="s">
        <v>5</v>
      </c>
      <c r="F688" s="219" t="s">
        <v>447</v>
      </c>
      <c r="G688" s="219" t="s">
        <v>2792</v>
      </c>
      <c r="H688" s="219">
        <v>3</v>
      </c>
      <c r="I688" s="219" t="s">
        <v>622</v>
      </c>
      <c r="J688" s="219" t="s">
        <v>2793</v>
      </c>
      <c r="K688" s="219">
        <v>2.5</v>
      </c>
      <c r="L688" s="219" t="s">
        <v>451</v>
      </c>
      <c r="M688" s="219">
        <v>3000000</v>
      </c>
      <c r="N688" s="219" t="s">
        <v>452</v>
      </c>
      <c r="O688" s="219" t="s">
        <v>2794</v>
      </c>
      <c r="P688" s="219"/>
      <c r="Q688" s="219" t="s">
        <v>24</v>
      </c>
      <c r="R688" s="251"/>
      <c r="S688" s="251"/>
      <c r="T688" s="251"/>
      <c r="U688" s="251"/>
      <c r="V688" s="252"/>
      <c r="W688" s="252"/>
      <c r="X688" s="252"/>
      <c r="Y688" s="219"/>
      <c r="Z688" s="219"/>
      <c r="AA688" s="219"/>
      <c r="AB688" s="219"/>
      <c r="AC688" s="219"/>
    </row>
    <row r="689" spans="1:29" ht="15.75" customHeight="1">
      <c r="A689" s="253">
        <v>44796</v>
      </c>
      <c r="B689" s="224" t="s">
        <v>6399</v>
      </c>
      <c r="C689" s="316">
        <v>2.5</v>
      </c>
      <c r="D689" s="224" t="s">
        <v>6402</v>
      </c>
      <c r="E689" s="224" t="s">
        <v>4</v>
      </c>
      <c r="F689" s="224" t="s">
        <v>725</v>
      </c>
      <c r="G689" s="224" t="s">
        <v>10970</v>
      </c>
      <c r="H689" s="224">
        <v>2</v>
      </c>
      <c r="I689" s="224" t="s">
        <v>1350</v>
      </c>
      <c r="J689" s="224" t="s">
        <v>6404</v>
      </c>
      <c r="K689" s="224">
        <v>3</v>
      </c>
      <c r="L689" s="224" t="s">
        <v>451</v>
      </c>
      <c r="M689" s="330">
        <v>5000000</v>
      </c>
      <c r="N689" s="224" t="s">
        <v>452</v>
      </c>
      <c r="O689" s="224" t="s">
        <v>1119</v>
      </c>
      <c r="P689" s="224"/>
      <c r="Q689" s="224" t="s">
        <v>24</v>
      </c>
      <c r="R689" s="224"/>
      <c r="S689" s="224" t="str">
        <f>IFERROR(VLOOKUP(B689,'2022-2023 Third Reviews'!$C:$S,9,FALSE),"")</f>
        <v/>
      </c>
      <c r="T689" s="224"/>
      <c r="U689" s="224"/>
      <c r="V689" s="224"/>
      <c r="W689" s="224"/>
      <c r="X689" s="224"/>
      <c r="Y689" s="224"/>
      <c r="Z689" s="224"/>
      <c r="AA689" s="224"/>
      <c r="AB689" s="224"/>
      <c r="AC689" s="224"/>
    </row>
    <row r="690" spans="1:29" ht="15.75" hidden="1" customHeight="1">
      <c r="A690" s="248">
        <v>44782</v>
      </c>
      <c r="B690" s="219" t="s">
        <v>327</v>
      </c>
      <c r="C690" s="249">
        <v>5</v>
      </c>
      <c r="D690" s="219" t="s">
        <v>1825</v>
      </c>
      <c r="E690" s="250" t="s">
        <v>3</v>
      </c>
      <c r="F690" s="219" t="s">
        <v>460</v>
      </c>
      <c r="G690" s="219" t="s">
        <v>1826</v>
      </c>
      <c r="H690" s="219">
        <v>5</v>
      </c>
      <c r="I690" s="219" t="s">
        <v>941</v>
      </c>
      <c r="J690" s="219"/>
      <c r="K690" s="219">
        <v>5</v>
      </c>
      <c r="L690" s="219" t="s">
        <v>478</v>
      </c>
      <c r="M690" s="219">
        <v>20000000</v>
      </c>
      <c r="N690" s="219" t="s">
        <v>465</v>
      </c>
      <c r="O690" s="219" t="s">
        <v>1827</v>
      </c>
      <c r="P690" s="219"/>
      <c r="Q690" s="219" t="s">
        <v>18</v>
      </c>
      <c r="R690" s="251"/>
      <c r="S690" s="251"/>
      <c r="T690" s="251"/>
      <c r="U690" s="251"/>
      <c r="V690" s="252"/>
      <c r="W690" s="252"/>
      <c r="X690" s="252"/>
      <c r="Y690" s="219"/>
      <c r="Z690" s="219"/>
      <c r="AA690" s="219"/>
      <c r="AB690" s="219"/>
      <c r="AC690" s="219"/>
    </row>
    <row r="691" spans="1:29" ht="15.75" hidden="1" customHeight="1">
      <c r="A691" s="253">
        <v>44791</v>
      </c>
      <c r="B691" s="224" t="s">
        <v>328</v>
      </c>
      <c r="C691" s="316">
        <v>4.5</v>
      </c>
      <c r="D691" s="224" t="s">
        <v>1832</v>
      </c>
      <c r="E691" s="224" t="s">
        <v>3</v>
      </c>
      <c r="F691" s="224" t="s">
        <v>460</v>
      </c>
      <c r="G691" s="224" t="s">
        <v>1833</v>
      </c>
      <c r="H691" s="224">
        <v>4.5</v>
      </c>
      <c r="I691" s="224" t="s">
        <v>462</v>
      </c>
      <c r="J691" s="224" t="s">
        <v>10638</v>
      </c>
      <c r="K691" s="224">
        <v>4.5</v>
      </c>
      <c r="L691" s="224" t="s">
        <v>478</v>
      </c>
      <c r="M691" s="224" t="s">
        <v>1835</v>
      </c>
      <c r="N691" s="224" t="s">
        <v>452</v>
      </c>
      <c r="O691" s="224" t="s">
        <v>452</v>
      </c>
      <c r="P691" s="224"/>
      <c r="Q691" s="224" t="s">
        <v>18</v>
      </c>
      <c r="R691" s="254"/>
      <c r="S691" s="254"/>
      <c r="T691" s="254"/>
      <c r="U691" s="254"/>
      <c r="V691" s="224"/>
      <c r="W691" s="224"/>
      <c r="X691" s="224"/>
      <c r="Y691" s="224"/>
      <c r="Z691" s="224"/>
      <c r="AA691" s="224"/>
      <c r="AB691" s="224"/>
      <c r="AC691" s="224"/>
    </row>
    <row r="692" spans="1:29" ht="15.75" customHeight="1">
      <c r="A692" s="248">
        <v>44797</v>
      </c>
      <c r="B692" s="219" t="s">
        <v>6407</v>
      </c>
      <c r="C692" s="315">
        <v>2.5</v>
      </c>
      <c r="D692" s="219" t="s">
        <v>6410</v>
      </c>
      <c r="E692" s="219" t="s">
        <v>4</v>
      </c>
      <c r="F692" s="219" t="s">
        <v>725</v>
      </c>
      <c r="G692" s="219" t="s">
        <v>6411</v>
      </c>
      <c r="H692" s="219">
        <v>2</v>
      </c>
      <c r="I692" s="219" t="s">
        <v>1350</v>
      </c>
      <c r="J692" s="219" t="s">
        <v>6412</v>
      </c>
      <c r="K692" s="219">
        <v>3</v>
      </c>
      <c r="L692" s="219" t="s">
        <v>11227</v>
      </c>
      <c r="M692" s="219">
        <v>2000000</v>
      </c>
      <c r="N692" s="219" t="s">
        <v>452</v>
      </c>
      <c r="O692" s="219" t="s">
        <v>6414</v>
      </c>
      <c r="P692" s="219"/>
      <c r="Q692" s="219" t="s">
        <v>24</v>
      </c>
      <c r="R692" s="219"/>
      <c r="S692" s="219" t="str">
        <f>IFERROR(VLOOKUP(B692,'2022-2023 Third Reviews'!$C:$S,9,FALSE),"")</f>
        <v/>
      </c>
      <c r="T692" s="219"/>
      <c r="U692" s="219"/>
      <c r="V692" s="268"/>
      <c r="W692" s="268"/>
      <c r="X692" s="268"/>
      <c r="Y692" s="268"/>
      <c r="Z692" s="268"/>
      <c r="AA692" s="219"/>
      <c r="AB692" s="219"/>
      <c r="AC692" s="219"/>
    </row>
    <row r="693" spans="1:29" ht="15.75" hidden="1" customHeight="1">
      <c r="A693" s="541">
        <v>44796</v>
      </c>
      <c r="B693" s="306" t="s">
        <v>379</v>
      </c>
      <c r="C693" s="542"/>
      <c r="D693" s="306" t="s">
        <v>10028</v>
      </c>
      <c r="E693" s="306" t="s">
        <v>3</v>
      </c>
      <c r="F693" s="306" t="s">
        <v>460</v>
      </c>
      <c r="G693" s="306"/>
      <c r="H693" s="306"/>
      <c r="I693" s="306" t="s">
        <v>462</v>
      </c>
      <c r="J693" s="306"/>
      <c r="K693" s="306"/>
      <c r="L693" s="306" t="s">
        <v>973</v>
      </c>
      <c r="M693" s="306" t="s">
        <v>10031</v>
      </c>
      <c r="N693" s="306" t="s">
        <v>452</v>
      </c>
      <c r="O693" s="306" t="s">
        <v>10869</v>
      </c>
      <c r="P693" s="306"/>
      <c r="Q693" s="306"/>
      <c r="R693" s="543"/>
      <c r="S693" s="543"/>
      <c r="T693" s="543"/>
      <c r="U693" s="543"/>
      <c r="V693" s="224"/>
      <c r="W693" s="224"/>
      <c r="X693" s="224"/>
      <c r="Y693" s="224"/>
      <c r="Z693" s="224"/>
      <c r="AA693" s="224"/>
      <c r="AB693" s="224"/>
      <c r="AC693" s="224"/>
    </row>
    <row r="694" spans="1:29" ht="15.75" hidden="1" customHeight="1">
      <c r="A694" s="255">
        <v>44796</v>
      </c>
      <c r="B694" s="239" t="s">
        <v>379</v>
      </c>
      <c r="C694" s="262">
        <v>4</v>
      </c>
      <c r="D694" s="239" t="s">
        <v>10028</v>
      </c>
      <c r="E694" s="239" t="s">
        <v>5</v>
      </c>
      <c r="F694" s="239" t="s">
        <v>460</v>
      </c>
      <c r="G694" s="239" t="s">
        <v>10029</v>
      </c>
      <c r="H694" s="239">
        <v>4</v>
      </c>
      <c r="I694" s="239" t="s">
        <v>462</v>
      </c>
      <c r="J694" s="239" t="s">
        <v>10030</v>
      </c>
      <c r="K694" s="239">
        <v>4</v>
      </c>
      <c r="L694" s="239" t="s">
        <v>973</v>
      </c>
      <c r="M694" s="239" t="s">
        <v>10031</v>
      </c>
      <c r="N694" s="239" t="s">
        <v>452</v>
      </c>
      <c r="O694" s="239" t="s">
        <v>10869</v>
      </c>
      <c r="P694" s="239"/>
      <c r="Q694" s="239" t="s">
        <v>20</v>
      </c>
      <c r="R694" s="256" t="s">
        <v>11711</v>
      </c>
      <c r="S694" s="256"/>
      <c r="T694" s="256"/>
      <c r="U694" s="256"/>
      <c r="V694" s="239"/>
      <c r="W694" s="239"/>
      <c r="X694" s="239"/>
      <c r="Y694" s="239"/>
      <c r="Z694" s="239"/>
      <c r="AA694" s="239"/>
      <c r="AB694" s="239"/>
      <c r="AC694" s="239"/>
    </row>
    <row r="695" spans="1:29" ht="15.75" hidden="1" customHeight="1">
      <c r="A695" s="301">
        <v>44789</v>
      </c>
      <c r="B695" s="303" t="s">
        <v>350</v>
      </c>
      <c r="C695" s="269"/>
      <c r="D695" s="303" t="s">
        <v>9723</v>
      </c>
      <c r="E695" s="270" t="s">
        <v>3</v>
      </c>
      <c r="F695" s="303" t="s">
        <v>460</v>
      </c>
      <c r="G695" s="303"/>
      <c r="H695" s="303"/>
      <c r="I695" s="303" t="s">
        <v>462</v>
      </c>
      <c r="J695" s="303" t="s">
        <v>9725</v>
      </c>
      <c r="K695" s="303">
        <v>4</v>
      </c>
      <c r="L695" s="303" t="s">
        <v>478</v>
      </c>
      <c r="M695" s="304">
        <v>10000000</v>
      </c>
      <c r="N695" s="303" t="s">
        <v>452</v>
      </c>
      <c r="O695" s="304" t="s">
        <v>9726</v>
      </c>
      <c r="P695" s="303"/>
      <c r="Q695" s="303"/>
      <c r="R695" s="305"/>
      <c r="S695" s="305"/>
      <c r="T695" s="305"/>
      <c r="U695" s="305"/>
      <c r="V695" s="303"/>
      <c r="W695" s="303"/>
      <c r="X695" s="303"/>
      <c r="Y695" s="303"/>
      <c r="Z695" s="303"/>
      <c r="AA695" s="306"/>
      <c r="AB695" s="306"/>
      <c r="AC695" s="306"/>
    </row>
    <row r="696" spans="1:29" ht="15.75" hidden="1" customHeight="1">
      <c r="A696" s="248">
        <v>44789</v>
      </c>
      <c r="B696" s="219" t="s">
        <v>350</v>
      </c>
      <c r="C696" s="249">
        <v>4</v>
      </c>
      <c r="D696" s="219" t="s">
        <v>9723</v>
      </c>
      <c r="E696" s="250" t="s">
        <v>3</v>
      </c>
      <c r="F696" s="219" t="s">
        <v>460</v>
      </c>
      <c r="G696" s="219" t="s">
        <v>9724</v>
      </c>
      <c r="H696" s="219">
        <v>4</v>
      </c>
      <c r="I696" s="219" t="s">
        <v>462</v>
      </c>
      <c r="J696" s="219" t="s">
        <v>9725</v>
      </c>
      <c r="K696" s="219">
        <v>4</v>
      </c>
      <c r="L696" s="219" t="s">
        <v>478</v>
      </c>
      <c r="M696" s="312">
        <v>10000000</v>
      </c>
      <c r="N696" s="219" t="s">
        <v>452</v>
      </c>
      <c r="O696" s="219" t="s">
        <v>9726</v>
      </c>
      <c r="P696" s="219"/>
      <c r="Q696" s="219" t="s">
        <v>18</v>
      </c>
      <c r="R696" s="251"/>
      <c r="S696" s="251"/>
      <c r="T696" s="251"/>
      <c r="U696" s="251"/>
      <c r="V696" s="252"/>
      <c r="W696" s="252"/>
      <c r="X696" s="252"/>
      <c r="Y696" s="219"/>
      <c r="Z696" s="219"/>
      <c r="AA696" s="219"/>
      <c r="AB696" s="219"/>
      <c r="AC696" s="219"/>
    </row>
    <row r="697" spans="1:29" ht="15.75" hidden="1" customHeight="1">
      <c r="A697" s="253">
        <v>44796</v>
      </c>
      <c r="B697" s="224" t="s">
        <v>351</v>
      </c>
      <c r="C697" s="316">
        <v>4</v>
      </c>
      <c r="D697" s="224" t="s">
        <v>10567</v>
      </c>
      <c r="E697" s="224" t="s">
        <v>3</v>
      </c>
      <c r="F697" s="224" t="s">
        <v>460</v>
      </c>
      <c r="G697" s="224" t="s">
        <v>9732</v>
      </c>
      <c r="H697" s="224">
        <v>4</v>
      </c>
      <c r="I697" s="224" t="s">
        <v>462</v>
      </c>
      <c r="J697" s="224" t="s">
        <v>9733</v>
      </c>
      <c r="K697" s="224">
        <v>4</v>
      </c>
      <c r="L697" s="224"/>
      <c r="M697" s="224"/>
      <c r="N697" s="224" t="s">
        <v>465</v>
      </c>
      <c r="O697" s="224" t="s">
        <v>9734</v>
      </c>
      <c r="P697" s="224"/>
      <c r="Q697" s="224" t="s">
        <v>18</v>
      </c>
      <c r="R697" s="254"/>
      <c r="S697" s="254"/>
      <c r="T697" s="254"/>
      <c r="U697" s="254"/>
      <c r="V697" s="224"/>
      <c r="W697" s="224"/>
      <c r="X697" s="224"/>
      <c r="Y697" s="224"/>
      <c r="Z697" s="224"/>
      <c r="AA697" s="224"/>
      <c r="AB697" s="224"/>
      <c r="AC697" s="224"/>
    </row>
    <row r="698" spans="1:29" ht="15.75" customHeight="1">
      <c r="A698" s="398">
        <v>44784</v>
      </c>
      <c r="B698" s="268" t="s">
        <v>6417</v>
      </c>
      <c r="C698" s="269">
        <v>2.5</v>
      </c>
      <c r="D698" s="268" t="s">
        <v>10959</v>
      </c>
      <c r="E698" s="270" t="s">
        <v>4</v>
      </c>
      <c r="F698" s="268" t="s">
        <v>602</v>
      </c>
      <c r="G698" s="268" t="s">
        <v>6421</v>
      </c>
      <c r="H698" s="268">
        <v>2</v>
      </c>
      <c r="I698" s="268" t="s">
        <v>476</v>
      </c>
      <c r="J698" s="268" t="s">
        <v>11598</v>
      </c>
      <c r="K698" s="268">
        <v>3</v>
      </c>
      <c r="L698" s="268" t="s">
        <v>784</v>
      </c>
      <c r="M698" s="268">
        <v>500000</v>
      </c>
      <c r="N698" s="268" t="s">
        <v>452</v>
      </c>
      <c r="O698" s="268" t="s">
        <v>452</v>
      </c>
      <c r="P698" s="268"/>
      <c r="Q698" s="268" t="s">
        <v>24</v>
      </c>
      <c r="R698" s="268"/>
      <c r="S698" s="268" t="str">
        <f>IFERROR(VLOOKUP(B698,'2022-2023 Third Reviews'!$C:$S,9,FALSE),"")</f>
        <v/>
      </c>
      <c r="T698" s="268" t="s">
        <v>13266</v>
      </c>
      <c r="U698" s="268"/>
      <c r="V698" s="219"/>
      <c r="W698" s="219"/>
      <c r="X698" s="219"/>
      <c r="Y698" s="219"/>
      <c r="Z698" s="219"/>
      <c r="AA698" s="219"/>
      <c r="AB698" s="219"/>
      <c r="AC698" s="219"/>
    </row>
    <row r="699" spans="1:29" ht="15.75" customHeight="1">
      <c r="A699" s="253">
        <v>44797</v>
      </c>
      <c r="B699" s="224" t="s">
        <v>6425</v>
      </c>
      <c r="C699" s="316">
        <v>2.5</v>
      </c>
      <c r="D699" s="224" t="s">
        <v>6428</v>
      </c>
      <c r="E699" s="224" t="s">
        <v>4</v>
      </c>
      <c r="F699" s="224" t="s">
        <v>602</v>
      </c>
      <c r="G699" s="224" t="s">
        <v>6429</v>
      </c>
      <c r="H699" s="224">
        <v>2</v>
      </c>
      <c r="I699" s="224" t="s">
        <v>1350</v>
      </c>
      <c r="J699" s="224" t="s">
        <v>6430</v>
      </c>
      <c r="K699" s="224">
        <v>3</v>
      </c>
      <c r="L699" s="224" t="s">
        <v>784</v>
      </c>
      <c r="M699" s="330">
        <v>125000</v>
      </c>
      <c r="N699" s="224" t="s">
        <v>465</v>
      </c>
      <c r="O699" s="224" t="s">
        <v>6431</v>
      </c>
      <c r="P699" s="224"/>
      <c r="Q699" s="224" t="s">
        <v>24</v>
      </c>
      <c r="R699" s="224"/>
      <c r="S699" s="224" t="str">
        <f>IFERROR(VLOOKUP(B699,'2022-2023 Third Reviews'!$C:$S,9,FALSE),"")</f>
        <v/>
      </c>
      <c r="T699" s="224"/>
      <c r="U699" s="224"/>
      <c r="V699" s="258"/>
      <c r="W699" s="258"/>
      <c r="X699" s="258"/>
      <c r="Y699" s="258"/>
      <c r="Z699" s="258"/>
      <c r="AA699" s="258"/>
      <c r="AB699" s="258"/>
      <c r="AC699" s="258"/>
    </row>
    <row r="700" spans="1:29" ht="15.75" hidden="1" customHeight="1">
      <c r="A700" s="267">
        <v>44784</v>
      </c>
      <c r="B700" s="268" t="s">
        <v>2797</v>
      </c>
      <c r="C700" s="269">
        <v>2.25</v>
      </c>
      <c r="D700" s="268" t="s">
        <v>10593</v>
      </c>
      <c r="E700" s="270" t="s">
        <v>5</v>
      </c>
      <c r="F700" s="268" t="s">
        <v>447</v>
      </c>
      <c r="G700" s="268" t="s">
        <v>10594</v>
      </c>
      <c r="H700" s="268">
        <v>2.5</v>
      </c>
      <c r="I700" s="268" t="s">
        <v>622</v>
      </c>
      <c r="J700" s="268"/>
      <c r="K700" s="268">
        <v>2</v>
      </c>
      <c r="L700" s="268"/>
      <c r="M700" s="268"/>
      <c r="N700" s="268" t="s">
        <v>452</v>
      </c>
      <c r="O700" s="268" t="s">
        <v>2802</v>
      </c>
      <c r="P700" s="268"/>
      <c r="Q700" s="268" t="s">
        <v>24</v>
      </c>
      <c r="R700" s="271"/>
      <c r="S700" s="271"/>
      <c r="T700" s="271"/>
      <c r="U700" s="271"/>
      <c r="V700" s="268"/>
      <c r="W700" s="268"/>
      <c r="X700" s="268"/>
      <c r="Y700" s="268"/>
      <c r="Z700" s="268"/>
      <c r="AA700" s="219"/>
      <c r="AB700" s="219"/>
      <c r="AC700" s="219"/>
    </row>
    <row r="701" spans="1:29" ht="15.75" hidden="1" customHeight="1">
      <c r="A701" s="255">
        <v>44782</v>
      </c>
      <c r="B701" s="239" t="s">
        <v>92</v>
      </c>
      <c r="C701" s="249">
        <v>5</v>
      </c>
      <c r="D701" s="239" t="s">
        <v>655</v>
      </c>
      <c r="E701" s="250" t="s">
        <v>5</v>
      </c>
      <c r="F701" s="239" t="s">
        <v>460</v>
      </c>
      <c r="G701" s="239" t="s">
        <v>656</v>
      </c>
      <c r="H701" s="239">
        <v>5</v>
      </c>
      <c r="I701" s="239" t="s">
        <v>462</v>
      </c>
      <c r="J701" s="239"/>
      <c r="K701" s="239">
        <v>5</v>
      </c>
      <c r="L701" s="239" t="s">
        <v>451</v>
      </c>
      <c r="M701" s="239">
        <v>3000000</v>
      </c>
      <c r="N701" s="239" t="s">
        <v>452</v>
      </c>
      <c r="O701" s="239" t="s">
        <v>10395</v>
      </c>
      <c r="P701" s="239"/>
      <c r="Q701" s="239" t="s">
        <v>18</v>
      </c>
      <c r="R701" s="256" t="s">
        <v>658</v>
      </c>
      <c r="S701" s="256"/>
      <c r="T701" s="256"/>
      <c r="U701" s="256"/>
      <c r="V701" s="239"/>
      <c r="W701" s="239"/>
      <c r="X701" s="239"/>
      <c r="Y701" s="239"/>
      <c r="Z701" s="239"/>
      <c r="AA701" s="239"/>
      <c r="AB701" s="239"/>
      <c r="AC701" s="239"/>
    </row>
    <row r="702" spans="1:29" ht="15.75" customHeight="1">
      <c r="A702" s="398">
        <v>44784</v>
      </c>
      <c r="B702" s="268" t="s">
        <v>6434</v>
      </c>
      <c r="C702" s="269">
        <v>2.5</v>
      </c>
      <c r="D702" s="268" t="s">
        <v>10329</v>
      </c>
      <c r="E702" s="270" t="s">
        <v>4</v>
      </c>
      <c r="F702" s="268" t="s">
        <v>725</v>
      </c>
      <c r="G702" s="268"/>
      <c r="H702" s="268">
        <v>3</v>
      </c>
      <c r="I702" s="268" t="s">
        <v>727</v>
      </c>
      <c r="J702" s="268" t="s">
        <v>10330</v>
      </c>
      <c r="K702" s="268">
        <v>2</v>
      </c>
      <c r="L702" s="268"/>
      <c r="M702" s="268"/>
      <c r="N702" s="268" t="s">
        <v>452</v>
      </c>
      <c r="O702" s="268" t="s">
        <v>1119</v>
      </c>
      <c r="P702" s="268"/>
      <c r="Q702" s="268" t="s">
        <v>24</v>
      </c>
      <c r="R702" s="268"/>
      <c r="S702" s="268" t="str">
        <f>IFERROR(VLOOKUP(B702,'2022-2023 Third Reviews'!$C:$S,9,FALSE),"")</f>
        <v/>
      </c>
      <c r="T702" s="268"/>
      <c r="U702" s="268"/>
      <c r="V702" s="258"/>
      <c r="W702" s="258"/>
      <c r="X702" s="258"/>
      <c r="Y702" s="258"/>
      <c r="Z702" s="258"/>
      <c r="AA702" s="258"/>
      <c r="AB702" s="258"/>
      <c r="AC702" s="258"/>
    </row>
    <row r="703" spans="1:29" ht="15.75" customHeight="1">
      <c r="A703" s="253">
        <v>44796</v>
      </c>
      <c r="B703" s="224" t="s">
        <v>6441</v>
      </c>
      <c r="C703" s="316">
        <v>2.5</v>
      </c>
      <c r="D703" s="224" t="s">
        <v>6444</v>
      </c>
      <c r="E703" s="224" t="s">
        <v>4</v>
      </c>
      <c r="F703" s="224" t="s">
        <v>602</v>
      </c>
      <c r="G703" s="224" t="s">
        <v>6445</v>
      </c>
      <c r="H703" s="224">
        <v>2</v>
      </c>
      <c r="I703" s="224" t="s">
        <v>1371</v>
      </c>
      <c r="J703" s="224" t="s">
        <v>6446</v>
      </c>
      <c r="K703" s="224">
        <v>3</v>
      </c>
      <c r="L703" s="224"/>
      <c r="M703" s="224"/>
      <c r="N703" s="224" t="s">
        <v>465</v>
      </c>
      <c r="O703" s="224" t="s">
        <v>1119</v>
      </c>
      <c r="P703" s="224" t="s">
        <v>6447</v>
      </c>
      <c r="Q703" s="224" t="s">
        <v>24</v>
      </c>
      <c r="R703" s="224"/>
      <c r="S703" s="224" t="str">
        <f>IFERROR(VLOOKUP(B703,'2022-2023 Third Reviews'!$C:$S,9,FALSE),"")</f>
        <v/>
      </c>
      <c r="T703" s="224"/>
      <c r="U703" s="224"/>
      <c r="V703" s="224"/>
      <c r="W703" s="224"/>
      <c r="X703" s="224"/>
      <c r="Y703" s="224"/>
      <c r="Z703" s="224"/>
      <c r="AA703" s="224"/>
      <c r="AB703" s="224"/>
      <c r="AC703" s="224"/>
    </row>
    <row r="704" spans="1:29" ht="15.75" customHeight="1">
      <c r="A704" s="248">
        <v>44789</v>
      </c>
      <c r="B704" s="219" t="s">
        <v>13177</v>
      </c>
      <c r="C704" s="249">
        <v>2.5</v>
      </c>
      <c r="D704" s="219" t="s">
        <v>6454</v>
      </c>
      <c r="E704" s="250" t="s">
        <v>4</v>
      </c>
      <c r="F704" s="219" t="s">
        <v>727</v>
      </c>
      <c r="G704" s="219" t="s">
        <v>6455</v>
      </c>
      <c r="H704" s="219">
        <v>2.5</v>
      </c>
      <c r="I704" s="219" t="s">
        <v>1045</v>
      </c>
      <c r="J704" s="219" t="s">
        <v>6456</v>
      </c>
      <c r="K704" s="219">
        <v>2.5</v>
      </c>
      <c r="L704" s="219" t="s">
        <v>784</v>
      </c>
      <c r="M704" s="312">
        <v>1200000</v>
      </c>
      <c r="N704" s="219" t="s">
        <v>452</v>
      </c>
      <c r="O704" s="219" t="s">
        <v>1119</v>
      </c>
      <c r="P704" s="219"/>
      <c r="Q704" s="219" t="s">
        <v>24</v>
      </c>
      <c r="R704" s="219"/>
      <c r="S704" s="219" t="str">
        <f>IFERROR(VLOOKUP(B704,'2022-2023 Third Reviews'!$C:$S,9,FALSE),"")</f>
        <v/>
      </c>
      <c r="T704" s="219"/>
      <c r="U704" s="219"/>
      <c r="V704" s="306"/>
      <c r="W704" s="306"/>
      <c r="X704" s="306"/>
      <c r="Y704" s="306"/>
      <c r="Z704" s="306"/>
      <c r="AA704" s="306"/>
      <c r="AB704" s="306"/>
      <c r="AC704" s="306"/>
    </row>
    <row r="705" spans="1:29" ht="15.75" customHeight="1">
      <c r="A705" s="220">
        <v>44776</v>
      </c>
      <c r="B705" s="221" t="s">
        <v>6459</v>
      </c>
      <c r="C705" s="214">
        <v>2.5</v>
      </c>
      <c r="D705" s="221" t="s">
        <v>6462</v>
      </c>
      <c r="E705" s="215" t="s">
        <v>4</v>
      </c>
      <c r="F705" s="221" t="s">
        <v>602</v>
      </c>
      <c r="G705" s="221" t="s">
        <v>6463</v>
      </c>
      <c r="H705" s="221">
        <v>2</v>
      </c>
      <c r="I705" s="221" t="s">
        <v>1054</v>
      </c>
      <c r="J705" s="221"/>
      <c r="K705" s="221">
        <v>3</v>
      </c>
      <c r="L705" s="221" t="s">
        <v>784</v>
      </c>
      <c r="M705" s="221">
        <v>400000</v>
      </c>
      <c r="N705" s="221" t="s">
        <v>452</v>
      </c>
      <c r="O705" s="221" t="s">
        <v>6464</v>
      </c>
      <c r="P705" s="145"/>
      <c r="Q705" s="221" t="s">
        <v>24</v>
      </c>
      <c r="R705" s="221">
        <f t="array" ref="R705">INDEX(Notes!C:C,MATCH($B705,Notes!$A:$A,0))</f>
        <v>0</v>
      </c>
      <c r="S705" s="221" t="str">
        <f>IFERROR(VLOOKUP(B705,'2022-2023 Third Reviews'!$C:$S,9,FALSE),"")</f>
        <v/>
      </c>
      <c r="T705" s="221"/>
      <c r="U705" s="221"/>
      <c r="V705" s="224"/>
      <c r="W705" s="224"/>
      <c r="X705" s="224"/>
      <c r="Y705" s="224"/>
      <c r="Z705" s="224"/>
      <c r="AA705" s="224"/>
      <c r="AB705" s="224"/>
      <c r="AC705" s="224"/>
    </row>
    <row r="706" spans="1:29" ht="15.75" customHeight="1">
      <c r="A706" s="248">
        <v>44796</v>
      </c>
      <c r="B706" s="219" t="s">
        <v>6466</v>
      </c>
      <c r="C706" s="315">
        <v>2.5</v>
      </c>
      <c r="D706" s="219" t="s">
        <v>6469</v>
      </c>
      <c r="E706" s="219" t="s">
        <v>4</v>
      </c>
      <c r="F706" s="219" t="s">
        <v>727</v>
      </c>
      <c r="G706" s="219" t="s">
        <v>11485</v>
      </c>
      <c r="H706" s="219">
        <v>3</v>
      </c>
      <c r="I706" s="219" t="s">
        <v>1371</v>
      </c>
      <c r="J706" s="219" t="s">
        <v>6471</v>
      </c>
      <c r="K706" s="219">
        <v>2</v>
      </c>
      <c r="L706" s="219" t="s">
        <v>451</v>
      </c>
      <c r="M706" s="219">
        <v>500</v>
      </c>
      <c r="N706" s="219" t="s">
        <v>452</v>
      </c>
      <c r="O706" s="219" t="s">
        <v>6472</v>
      </c>
      <c r="P706" s="219"/>
      <c r="Q706" s="219" t="s">
        <v>24</v>
      </c>
      <c r="R706" s="219"/>
      <c r="S706" s="219" t="str">
        <f>IFERROR(VLOOKUP(B706,'2022-2023 Third Reviews'!$C:$S,9,FALSE),"")</f>
        <v/>
      </c>
      <c r="T706" s="219"/>
      <c r="U706" s="219"/>
      <c r="V706" s="219"/>
      <c r="W706" s="219"/>
      <c r="X706" s="219"/>
      <c r="Y706" s="219"/>
      <c r="Z706" s="219"/>
      <c r="AA706" s="219"/>
      <c r="AB706" s="219"/>
      <c r="AC706" s="219"/>
    </row>
    <row r="707" spans="1:29" ht="15.75" customHeight="1">
      <c r="A707" s="253">
        <v>44797</v>
      </c>
      <c r="B707" s="224" t="s">
        <v>6475</v>
      </c>
      <c r="C707" s="316">
        <v>2.5</v>
      </c>
      <c r="D707" s="224" t="s">
        <v>11288</v>
      </c>
      <c r="E707" s="224" t="s">
        <v>4</v>
      </c>
      <c r="F707" s="224" t="s">
        <v>460</v>
      </c>
      <c r="G707" s="224" t="s">
        <v>11752</v>
      </c>
      <c r="H707" s="224">
        <v>2</v>
      </c>
      <c r="I707" s="224" t="s">
        <v>1371</v>
      </c>
      <c r="J707" s="224" t="s">
        <v>6480</v>
      </c>
      <c r="K707" s="224">
        <v>3</v>
      </c>
      <c r="L707" s="224" t="s">
        <v>451</v>
      </c>
      <c r="M707" s="224">
        <v>1000000</v>
      </c>
      <c r="N707" s="224" t="s">
        <v>452</v>
      </c>
      <c r="O707" s="224" t="s">
        <v>11289</v>
      </c>
      <c r="P707" s="224"/>
      <c r="Q707" s="224" t="s">
        <v>24</v>
      </c>
      <c r="R707" s="224"/>
      <c r="S707" s="224" t="str">
        <f>IFERROR(VLOOKUP(B707,'2022-2023 Third Reviews'!$C:$S,9,FALSE),"")</f>
        <v/>
      </c>
      <c r="T707" s="224"/>
      <c r="U707" s="224"/>
      <c r="V707" s="258"/>
      <c r="W707" s="258"/>
      <c r="X707" s="258"/>
      <c r="Y707" s="258"/>
      <c r="Z707" s="258"/>
      <c r="AA707" s="258"/>
      <c r="AB707" s="258"/>
      <c r="AC707" s="258"/>
    </row>
    <row r="708" spans="1:29" ht="15.75" customHeight="1">
      <c r="A708" s="248">
        <v>44796</v>
      </c>
      <c r="B708" s="219" t="s">
        <v>6484</v>
      </c>
      <c r="C708" s="315">
        <v>2.5</v>
      </c>
      <c r="D708" s="219" t="s">
        <v>6487</v>
      </c>
      <c r="E708" s="219" t="s">
        <v>4</v>
      </c>
      <c r="F708" s="219" t="s">
        <v>447</v>
      </c>
      <c r="G708" s="219" t="s">
        <v>11198</v>
      </c>
      <c r="H708" s="219">
        <v>2</v>
      </c>
      <c r="I708" s="219" t="s">
        <v>1371</v>
      </c>
      <c r="J708" s="219" t="s">
        <v>6489</v>
      </c>
      <c r="K708" s="219">
        <v>3</v>
      </c>
      <c r="L708" s="219"/>
      <c r="M708" s="219"/>
      <c r="N708" s="219" t="s">
        <v>452</v>
      </c>
      <c r="O708" s="219" t="s">
        <v>11199</v>
      </c>
      <c r="P708" s="219"/>
      <c r="Q708" s="219" t="s">
        <v>24</v>
      </c>
      <c r="R708" s="219"/>
      <c r="S708" s="219" t="str">
        <f>IFERROR(VLOOKUP(B708,'2022-2023 Third Reviews'!$C:$S,9,FALSE),"")</f>
        <v/>
      </c>
      <c r="T708" s="219"/>
      <c r="U708" s="219"/>
      <c r="V708" s="306"/>
      <c r="W708" s="306"/>
      <c r="X708" s="306"/>
      <c r="Y708" s="306"/>
      <c r="Z708" s="306"/>
      <c r="AA708" s="306"/>
      <c r="AB708" s="306"/>
      <c r="AC708" s="306"/>
    </row>
    <row r="709" spans="1:29" ht="15.75" customHeight="1">
      <c r="A709" s="253">
        <v>44796</v>
      </c>
      <c r="B709" s="224" t="s">
        <v>6493</v>
      </c>
      <c r="C709" s="316">
        <v>2.5</v>
      </c>
      <c r="D709" s="224" t="s">
        <v>6496</v>
      </c>
      <c r="E709" s="224" t="s">
        <v>4</v>
      </c>
      <c r="F709" s="224" t="s">
        <v>727</v>
      </c>
      <c r="G709" s="224" t="s">
        <v>11240</v>
      </c>
      <c r="H709" s="224">
        <v>2.5</v>
      </c>
      <c r="I709" s="224" t="s">
        <v>1045</v>
      </c>
      <c r="J709" s="224" t="s">
        <v>6498</v>
      </c>
      <c r="K709" s="224">
        <v>2.5</v>
      </c>
      <c r="L709" s="224" t="s">
        <v>784</v>
      </c>
      <c r="M709" s="330">
        <v>500000</v>
      </c>
      <c r="N709" s="224" t="s">
        <v>452</v>
      </c>
      <c r="O709" s="224" t="s">
        <v>6499</v>
      </c>
      <c r="P709" s="224"/>
      <c r="Q709" s="224" t="s">
        <v>24</v>
      </c>
      <c r="R709" s="224"/>
      <c r="S709" s="224" t="str">
        <f ca="1">IFERROR(VLOOKUP(B709,'2022-2023 Third Reviews'!$C:$S,9,FALSE),"")</f>
        <v>Joshua Rubnitz
2</v>
      </c>
      <c r="T709" s="224"/>
      <c r="U709" s="224"/>
      <c r="V709" s="224"/>
      <c r="W709" s="224"/>
      <c r="X709" s="224"/>
      <c r="Y709" s="224"/>
      <c r="Z709" s="224"/>
      <c r="AA709" s="224"/>
      <c r="AB709" s="224"/>
      <c r="AC709" s="224"/>
    </row>
    <row r="710" spans="1:29" ht="15.75" customHeight="1">
      <c r="A710" s="248">
        <v>44782</v>
      </c>
      <c r="B710" s="219" t="s">
        <v>6502</v>
      </c>
      <c r="C710" s="249">
        <v>2.5</v>
      </c>
      <c r="D710" s="219" t="s">
        <v>11541</v>
      </c>
      <c r="E710" s="250" t="s">
        <v>4</v>
      </c>
      <c r="F710" s="219" t="s">
        <v>602</v>
      </c>
      <c r="G710" s="219" t="s">
        <v>6506</v>
      </c>
      <c r="H710" s="219">
        <v>2</v>
      </c>
      <c r="I710" s="219" t="s">
        <v>1054</v>
      </c>
      <c r="J710" s="219" t="s">
        <v>6507</v>
      </c>
      <c r="K710" s="219">
        <v>3</v>
      </c>
      <c r="L710" s="219" t="s">
        <v>451</v>
      </c>
      <c r="M710" s="219">
        <v>1000000</v>
      </c>
      <c r="N710" s="219" t="s">
        <v>452</v>
      </c>
      <c r="O710" s="219" t="s">
        <v>6508</v>
      </c>
      <c r="P710" s="219" t="s">
        <v>6509</v>
      </c>
      <c r="Q710" s="219" t="s">
        <v>24</v>
      </c>
      <c r="R710" s="219"/>
      <c r="S710" s="219" t="str">
        <f ca="1">IFERROR(VLOOKUP(B710,'2022-2023 Third Reviews'!$C:$S,9,FALSE),"")</f>
        <v>Joshua Rubnitz
3</v>
      </c>
      <c r="T710" s="219"/>
      <c r="U710" s="219"/>
      <c r="V710" s="258"/>
      <c r="W710" s="258"/>
      <c r="X710" s="258"/>
      <c r="Y710" s="258"/>
      <c r="Z710" s="258"/>
      <c r="AA710" s="258"/>
      <c r="AB710" s="258"/>
      <c r="AC710" s="258"/>
    </row>
    <row r="711" spans="1:29" ht="15.75" hidden="1" customHeight="1">
      <c r="A711" s="257">
        <v>44789</v>
      </c>
      <c r="B711" s="258" t="s">
        <v>329</v>
      </c>
      <c r="C711" s="263">
        <v>4.5</v>
      </c>
      <c r="D711" s="258" t="s">
        <v>1840</v>
      </c>
      <c r="E711" s="258" t="s">
        <v>3</v>
      </c>
      <c r="F711" s="258" t="s">
        <v>488</v>
      </c>
      <c r="G711" s="258" t="s">
        <v>10624</v>
      </c>
      <c r="H711" s="258">
        <v>4.5</v>
      </c>
      <c r="I711" s="258" t="s">
        <v>941</v>
      </c>
      <c r="J711" s="258" t="s">
        <v>1842</v>
      </c>
      <c r="K711" s="258">
        <v>4.5</v>
      </c>
      <c r="L711" s="258"/>
      <c r="M711" s="258"/>
      <c r="N711" s="258" t="s">
        <v>465</v>
      </c>
      <c r="O711" s="258" t="s">
        <v>1843</v>
      </c>
      <c r="P711" s="258"/>
      <c r="Q711" s="258" t="s">
        <v>18</v>
      </c>
      <c r="R711" s="259" t="s">
        <v>13271</v>
      </c>
      <c r="S711" s="259"/>
      <c r="T711" s="259"/>
      <c r="U711" s="259"/>
      <c r="V711" s="258"/>
      <c r="W711" s="258"/>
      <c r="X711" s="258"/>
      <c r="Y711" s="258"/>
      <c r="Z711" s="258"/>
      <c r="AA711" s="258"/>
      <c r="AB711" s="258"/>
      <c r="AC711" s="258"/>
    </row>
    <row r="712" spans="1:29" ht="15.75" hidden="1" customHeight="1">
      <c r="A712" s="248">
        <v>44789</v>
      </c>
      <c r="B712" s="219" t="s">
        <v>8781</v>
      </c>
      <c r="C712" s="249">
        <v>1.5</v>
      </c>
      <c r="D712" s="219" t="s">
        <v>8784</v>
      </c>
      <c r="E712" s="250" t="s">
        <v>3</v>
      </c>
      <c r="F712" s="219" t="s">
        <v>460</v>
      </c>
      <c r="G712" s="219" t="s">
        <v>8785</v>
      </c>
      <c r="H712" s="219">
        <v>1</v>
      </c>
      <c r="I712" s="219" t="s">
        <v>462</v>
      </c>
      <c r="J712" s="219" t="s">
        <v>8786</v>
      </c>
      <c r="K712" s="219">
        <v>2</v>
      </c>
      <c r="L712" s="219"/>
      <c r="M712" s="312"/>
      <c r="N712" s="219" t="s">
        <v>454</v>
      </c>
      <c r="O712" s="219" t="s">
        <v>452</v>
      </c>
      <c r="P712" s="219"/>
      <c r="Q712" s="219" t="s">
        <v>24</v>
      </c>
      <c r="R712" s="251"/>
      <c r="S712" s="251"/>
      <c r="T712" s="251"/>
      <c r="U712" s="251"/>
      <c r="V712" s="252"/>
      <c r="W712" s="252"/>
      <c r="X712" s="252"/>
      <c r="Y712" s="219"/>
      <c r="Z712" s="219"/>
      <c r="AA712" s="219"/>
      <c r="AB712" s="219"/>
      <c r="AC712" s="219"/>
    </row>
    <row r="713" spans="1:29" ht="15.75" customHeight="1">
      <c r="A713" s="253">
        <v>44796</v>
      </c>
      <c r="B713" s="224" t="s">
        <v>6512</v>
      </c>
      <c r="C713" s="316">
        <v>2.5</v>
      </c>
      <c r="D713" s="224" t="s">
        <v>6515</v>
      </c>
      <c r="E713" s="224" t="s">
        <v>4</v>
      </c>
      <c r="F713" s="224" t="s">
        <v>725</v>
      </c>
      <c r="G713" s="224" t="s">
        <v>10485</v>
      </c>
      <c r="H713" s="224">
        <v>2</v>
      </c>
      <c r="I713" s="224" t="s">
        <v>1457</v>
      </c>
      <c r="J713" s="224" t="s">
        <v>6517</v>
      </c>
      <c r="K713" s="224">
        <v>3</v>
      </c>
      <c r="L713" s="224" t="s">
        <v>784</v>
      </c>
      <c r="M713" s="311">
        <v>1200000</v>
      </c>
      <c r="N713" s="224" t="s">
        <v>454</v>
      </c>
      <c r="O713" s="224" t="s">
        <v>6518</v>
      </c>
      <c r="P713" s="224"/>
      <c r="Q713" s="224" t="s">
        <v>24</v>
      </c>
      <c r="R713" s="224"/>
      <c r="S713" s="224" t="str">
        <f>IFERROR(VLOOKUP(B713,'2022-2023 Third Reviews'!$C:$S,9,FALSE),"")</f>
        <v/>
      </c>
      <c r="T713" s="224"/>
      <c r="U713" s="224"/>
      <c r="V713" s="224"/>
      <c r="W713" s="224"/>
      <c r="X713" s="224"/>
      <c r="Y713" s="224"/>
      <c r="Z713" s="224"/>
      <c r="AA713" s="224"/>
      <c r="AB713" s="224"/>
      <c r="AC713" s="224"/>
    </row>
    <row r="714" spans="1:29" ht="15.75" customHeight="1">
      <c r="A714" s="248">
        <v>44796</v>
      </c>
      <c r="B714" s="219" t="s">
        <v>6521</v>
      </c>
      <c r="C714" s="315">
        <v>2.5</v>
      </c>
      <c r="D714" s="219" t="s">
        <v>6524</v>
      </c>
      <c r="E714" s="219" t="s">
        <v>4</v>
      </c>
      <c r="F714" s="219" t="s">
        <v>725</v>
      </c>
      <c r="G714" s="219" t="s">
        <v>10942</v>
      </c>
      <c r="H714" s="219">
        <v>3</v>
      </c>
      <c r="I714" s="219" t="s">
        <v>1457</v>
      </c>
      <c r="J714" s="219" t="s">
        <v>6526</v>
      </c>
      <c r="K714" s="219">
        <v>2</v>
      </c>
      <c r="L714" s="219" t="s">
        <v>451</v>
      </c>
      <c r="M714" s="331">
        <v>1000000</v>
      </c>
      <c r="N714" s="219" t="s">
        <v>454</v>
      </c>
      <c r="O714" s="219" t="s">
        <v>6527</v>
      </c>
      <c r="P714" s="219" t="s">
        <v>6528</v>
      </c>
      <c r="Q714" s="219" t="s">
        <v>24</v>
      </c>
      <c r="R714" s="219"/>
      <c r="S714" s="219" t="str">
        <f>IFERROR(VLOOKUP(B714,'2022-2023 Third Reviews'!$C:$S,9,FALSE),"")</f>
        <v/>
      </c>
      <c r="T714" s="219"/>
      <c r="U714" s="219"/>
      <c r="V714" s="219"/>
      <c r="W714" s="219"/>
      <c r="X714" s="219"/>
      <c r="Y714" s="219"/>
      <c r="Z714" s="219"/>
      <c r="AA714" s="219"/>
      <c r="AB714" s="219"/>
      <c r="AC714" s="219"/>
    </row>
    <row r="715" spans="1:29" ht="15.75" customHeight="1">
      <c r="A715" s="253">
        <v>44797</v>
      </c>
      <c r="B715" s="224" t="s">
        <v>6531</v>
      </c>
      <c r="C715" s="316">
        <v>2.5</v>
      </c>
      <c r="D715" s="224" t="s">
        <v>6534</v>
      </c>
      <c r="E715" s="224" t="s">
        <v>4</v>
      </c>
      <c r="F715" s="224" t="s">
        <v>447</v>
      </c>
      <c r="G715" s="224" t="s">
        <v>11282</v>
      </c>
      <c r="H715" s="224">
        <v>3</v>
      </c>
      <c r="I715" s="224" t="s">
        <v>1457</v>
      </c>
      <c r="J715" s="224" t="s">
        <v>6536</v>
      </c>
      <c r="K715" s="224">
        <v>2</v>
      </c>
      <c r="L715" s="224" t="s">
        <v>478</v>
      </c>
      <c r="M715" s="224" t="s">
        <v>6537</v>
      </c>
      <c r="N715" s="224" t="s">
        <v>452</v>
      </c>
      <c r="O715" s="224" t="s">
        <v>575</v>
      </c>
      <c r="P715" s="224"/>
      <c r="Q715" s="224" t="s">
        <v>24</v>
      </c>
      <c r="R715" s="224"/>
      <c r="S715" s="224" t="str">
        <f>IFERROR(VLOOKUP(B715,'2022-2023 Third Reviews'!$C:$S,9,FALSE),"")</f>
        <v/>
      </c>
      <c r="T715" s="224"/>
      <c r="U715" s="224"/>
      <c r="V715" s="224"/>
      <c r="W715" s="224"/>
      <c r="X715" s="224"/>
      <c r="Y715" s="224"/>
      <c r="Z715" s="224"/>
      <c r="AA715" s="224"/>
      <c r="AB715" s="224"/>
      <c r="AC715" s="224"/>
    </row>
    <row r="716" spans="1:29" ht="15.75" customHeight="1">
      <c r="A716" s="248">
        <v>44796</v>
      </c>
      <c r="B716" s="219" t="s">
        <v>6540</v>
      </c>
      <c r="C716" s="315">
        <v>2.5</v>
      </c>
      <c r="D716" s="219" t="s">
        <v>6543</v>
      </c>
      <c r="E716" s="219" t="s">
        <v>4</v>
      </c>
      <c r="F716" s="219" t="s">
        <v>725</v>
      </c>
      <c r="G716" s="219" t="s">
        <v>10806</v>
      </c>
      <c r="H716" s="219">
        <v>3</v>
      </c>
      <c r="I716" s="219" t="s">
        <v>4054</v>
      </c>
      <c r="J716" s="219"/>
      <c r="K716" s="219">
        <v>2</v>
      </c>
      <c r="L716" s="219" t="s">
        <v>451</v>
      </c>
      <c r="M716" s="331">
        <v>1000000</v>
      </c>
      <c r="N716" s="219" t="s">
        <v>452</v>
      </c>
      <c r="O716" s="219" t="s">
        <v>10807</v>
      </c>
      <c r="P716" s="219" t="s">
        <v>6546</v>
      </c>
      <c r="Q716" s="219" t="s">
        <v>24</v>
      </c>
      <c r="R716" s="219"/>
      <c r="S716" s="219" t="str">
        <f>IFERROR(VLOOKUP(B716,'2022-2023 Third Reviews'!$C:$S,9,FALSE),"")</f>
        <v/>
      </c>
      <c r="T716" s="219"/>
      <c r="U716" s="219"/>
      <c r="V716" s="219"/>
      <c r="W716" s="219"/>
      <c r="X716" s="219"/>
      <c r="Y716" s="219"/>
      <c r="Z716" s="219"/>
      <c r="AA716" s="219"/>
      <c r="AB716" s="219"/>
      <c r="AC716" s="219"/>
    </row>
    <row r="717" spans="1:29" ht="15.75" customHeight="1">
      <c r="A717" s="253">
        <v>44796</v>
      </c>
      <c r="B717" s="224" t="s">
        <v>6548</v>
      </c>
      <c r="C717" s="316">
        <v>2.5</v>
      </c>
      <c r="D717" s="224"/>
      <c r="E717" s="224" t="s">
        <v>4</v>
      </c>
      <c r="F717" s="224" t="s">
        <v>602</v>
      </c>
      <c r="G717" s="224"/>
      <c r="H717" s="224">
        <v>2</v>
      </c>
      <c r="I717" s="224" t="s">
        <v>476</v>
      </c>
      <c r="J717" s="224" t="s">
        <v>13400</v>
      </c>
      <c r="K717" s="224">
        <v>3</v>
      </c>
      <c r="L717" s="224" t="s">
        <v>2190</v>
      </c>
      <c r="M717" s="224" t="s">
        <v>6552</v>
      </c>
      <c r="N717" s="224" t="s">
        <v>465</v>
      </c>
      <c r="O717" s="224" t="s">
        <v>6553</v>
      </c>
      <c r="P717" s="224"/>
      <c r="Q717" s="224" t="s">
        <v>24</v>
      </c>
      <c r="R717" s="224"/>
      <c r="S717" s="224" t="str">
        <f ca="1">IFERROR(VLOOKUP(B717,'2022-2023 Third Reviews'!$C:$S,9,FALSE),"")</f>
        <v>John McDonald
2</v>
      </c>
      <c r="T717" s="224" t="s">
        <v>13268</v>
      </c>
      <c r="U717" s="224"/>
      <c r="V717" s="239"/>
      <c r="W717" s="239"/>
      <c r="X717" s="239"/>
      <c r="Y717" s="239"/>
      <c r="Z717" s="239"/>
      <c r="AA717" s="239"/>
      <c r="AB717" s="239"/>
      <c r="AC717" s="239"/>
    </row>
    <row r="718" spans="1:29" ht="15.75" customHeight="1">
      <c r="A718" s="248">
        <v>44796</v>
      </c>
      <c r="B718" s="219" t="s">
        <v>6556</v>
      </c>
      <c r="C718" s="315">
        <v>2.5</v>
      </c>
      <c r="D718" s="219" t="s">
        <v>6559</v>
      </c>
      <c r="E718" s="219" t="s">
        <v>4</v>
      </c>
      <c r="F718" s="219" t="s">
        <v>725</v>
      </c>
      <c r="G718" s="219" t="s">
        <v>6560</v>
      </c>
      <c r="H718" s="219">
        <v>2</v>
      </c>
      <c r="I718" s="219" t="s">
        <v>4054</v>
      </c>
      <c r="J718" s="219"/>
      <c r="K718" s="219">
        <v>3</v>
      </c>
      <c r="L718" s="219" t="s">
        <v>784</v>
      </c>
      <c r="M718" s="219" t="s">
        <v>6561</v>
      </c>
      <c r="N718" s="219" t="s">
        <v>465</v>
      </c>
      <c r="O718" s="219" t="s">
        <v>452</v>
      </c>
      <c r="P718" s="219"/>
      <c r="Q718" s="219" t="s">
        <v>24</v>
      </c>
      <c r="R718" s="219"/>
      <c r="S718" s="219" t="str">
        <f>IFERROR(VLOOKUP(B718,'2022-2023 Third Reviews'!$C:$S,9,FALSE),"")</f>
        <v/>
      </c>
      <c r="T718" s="219"/>
      <c r="U718" s="219"/>
      <c r="V718" s="252"/>
      <c r="W718" s="252"/>
      <c r="X718" s="252"/>
      <c r="Y718" s="219"/>
      <c r="Z718" s="219"/>
      <c r="AA718" s="219"/>
      <c r="AB718" s="219"/>
      <c r="AC718" s="219"/>
    </row>
    <row r="719" spans="1:29" ht="15.75" customHeight="1">
      <c r="A719" s="253">
        <v>44797</v>
      </c>
      <c r="B719" s="224" t="s">
        <v>6564</v>
      </c>
      <c r="C719" s="316">
        <v>2.5</v>
      </c>
      <c r="D719" s="224" t="s">
        <v>6567</v>
      </c>
      <c r="E719" s="224" t="s">
        <v>4</v>
      </c>
      <c r="F719" s="224" t="s">
        <v>727</v>
      </c>
      <c r="G719" s="224" t="s">
        <v>10839</v>
      </c>
      <c r="H719" s="224">
        <v>3</v>
      </c>
      <c r="I719" s="224" t="s">
        <v>4054</v>
      </c>
      <c r="J719" s="224"/>
      <c r="K719" s="224">
        <v>2</v>
      </c>
      <c r="L719" s="224" t="s">
        <v>451</v>
      </c>
      <c r="M719" s="330">
        <v>5000000</v>
      </c>
      <c r="N719" s="224" t="s">
        <v>452</v>
      </c>
      <c r="O719" s="224" t="s">
        <v>6569</v>
      </c>
      <c r="P719" s="224"/>
      <c r="Q719" s="224" t="s">
        <v>24</v>
      </c>
      <c r="R719" s="224"/>
      <c r="S719" s="224" t="str">
        <f>IFERROR(VLOOKUP(B719,'2022-2023 Third Reviews'!$C:$S,9,FALSE),"")</f>
        <v/>
      </c>
      <c r="T719" s="224"/>
      <c r="U719" s="224"/>
      <c r="V719" s="224"/>
      <c r="W719" s="224"/>
      <c r="X719" s="224"/>
      <c r="Y719" s="224"/>
      <c r="Z719" s="224"/>
      <c r="AA719" s="224"/>
      <c r="AB719" s="224"/>
      <c r="AC719" s="224"/>
    </row>
    <row r="720" spans="1:29" ht="15.75" customHeight="1">
      <c r="A720" s="248">
        <v>44796</v>
      </c>
      <c r="B720" s="219" t="s">
        <v>6572</v>
      </c>
      <c r="C720" s="315">
        <v>2.5</v>
      </c>
      <c r="D720" s="219" t="s">
        <v>6575</v>
      </c>
      <c r="E720" s="219" t="s">
        <v>4</v>
      </c>
      <c r="F720" s="219" t="s">
        <v>725</v>
      </c>
      <c r="G720" s="219" t="s">
        <v>6576</v>
      </c>
      <c r="H720" s="219">
        <v>2.5</v>
      </c>
      <c r="I720" s="219" t="s">
        <v>1045</v>
      </c>
      <c r="J720" s="219" t="s">
        <v>6577</v>
      </c>
      <c r="K720" s="219">
        <v>2.5</v>
      </c>
      <c r="L720" s="219" t="s">
        <v>478</v>
      </c>
      <c r="M720" s="219" t="s">
        <v>6578</v>
      </c>
      <c r="N720" s="219" t="s">
        <v>452</v>
      </c>
      <c r="O720" s="219" t="s">
        <v>6578</v>
      </c>
      <c r="P720" s="219"/>
      <c r="Q720" s="219" t="s">
        <v>24</v>
      </c>
      <c r="R720" s="219"/>
      <c r="S720" s="219" t="str">
        <f>IFERROR(VLOOKUP(B720,'2022-2023 Third Reviews'!$C:$S,9,FALSE),"")</f>
        <v/>
      </c>
      <c r="T720" s="219"/>
      <c r="U720" s="219"/>
      <c r="V720" s="219"/>
      <c r="W720" s="219"/>
      <c r="X720" s="219"/>
      <c r="Y720" s="219"/>
      <c r="Z720" s="219"/>
      <c r="AA720" s="219"/>
      <c r="AB720" s="219"/>
      <c r="AC720" s="219"/>
    </row>
    <row r="721" spans="1:29" ht="15.75" hidden="1" customHeight="1">
      <c r="A721" s="267">
        <v>44784</v>
      </c>
      <c r="B721" s="272" t="s">
        <v>2805</v>
      </c>
      <c r="C721" s="269">
        <v>2.75</v>
      </c>
      <c r="D721" s="272" t="s">
        <v>2808</v>
      </c>
      <c r="E721" s="270" t="s">
        <v>5</v>
      </c>
      <c r="F721" s="272" t="s">
        <v>447</v>
      </c>
      <c r="G721" s="272" t="s">
        <v>10426</v>
      </c>
      <c r="H721" s="272">
        <v>3</v>
      </c>
      <c r="I721" s="272" t="s">
        <v>622</v>
      </c>
      <c r="J721" s="272" t="s">
        <v>2810</v>
      </c>
      <c r="K721" s="272">
        <v>2.5</v>
      </c>
      <c r="L721" s="272" t="s">
        <v>451</v>
      </c>
      <c r="M721" s="273">
        <v>1000000</v>
      </c>
      <c r="N721" s="272" t="s">
        <v>452</v>
      </c>
      <c r="O721" s="273" t="s">
        <v>10427</v>
      </c>
      <c r="P721" s="272"/>
      <c r="Q721" s="272" t="s">
        <v>24</v>
      </c>
      <c r="R721" s="274"/>
      <c r="S721" s="274"/>
      <c r="T721" s="274"/>
      <c r="U721" s="274"/>
      <c r="V721" s="272"/>
      <c r="W721" s="272"/>
      <c r="X721" s="272"/>
      <c r="Y721" s="272"/>
      <c r="Z721" s="272"/>
      <c r="AA721" s="224"/>
      <c r="AB721" s="224"/>
      <c r="AC721" s="224"/>
    </row>
    <row r="722" spans="1:29" ht="15.75" customHeight="1">
      <c r="A722" s="248">
        <v>44789</v>
      </c>
      <c r="B722" s="219" t="s">
        <v>6581</v>
      </c>
      <c r="C722" s="249">
        <v>2.5</v>
      </c>
      <c r="D722" s="219" t="s">
        <v>6584</v>
      </c>
      <c r="E722" s="250" t="s">
        <v>4</v>
      </c>
      <c r="F722" s="219" t="s">
        <v>602</v>
      </c>
      <c r="G722" s="219" t="s">
        <v>6585</v>
      </c>
      <c r="H722" s="219">
        <v>2.5</v>
      </c>
      <c r="I722" s="219" t="s">
        <v>1045</v>
      </c>
      <c r="J722" s="219" t="s">
        <v>6586</v>
      </c>
      <c r="K722" s="219">
        <v>2.5</v>
      </c>
      <c r="L722" s="219"/>
      <c r="M722" s="219"/>
      <c r="N722" s="219" t="s">
        <v>452</v>
      </c>
      <c r="O722" s="219" t="s">
        <v>10904</v>
      </c>
      <c r="P722" s="219"/>
      <c r="Q722" s="219" t="s">
        <v>24</v>
      </c>
      <c r="R722" s="219"/>
      <c r="S722" s="219" t="str">
        <f>IFERROR(VLOOKUP(B722,'2022-2023 Third Reviews'!$C:$S,9,FALSE),"")</f>
        <v/>
      </c>
      <c r="T722" s="219"/>
      <c r="U722" s="219"/>
      <c r="V722" s="258"/>
      <c r="W722" s="258"/>
      <c r="X722" s="258"/>
      <c r="Y722" s="258"/>
      <c r="Z722" s="258"/>
      <c r="AA722" s="258"/>
      <c r="AB722" s="258"/>
      <c r="AC722" s="258"/>
    </row>
    <row r="723" spans="1:29" ht="15.75" hidden="1" customHeight="1">
      <c r="A723" s="257">
        <v>44796</v>
      </c>
      <c r="B723" s="258" t="s">
        <v>661</v>
      </c>
      <c r="C723" s="263">
        <v>3.75</v>
      </c>
      <c r="D723" s="258" t="s">
        <v>664</v>
      </c>
      <c r="E723" s="258" t="s">
        <v>5</v>
      </c>
      <c r="F723" s="258" t="s">
        <v>447</v>
      </c>
      <c r="G723" s="258" t="s">
        <v>11301</v>
      </c>
      <c r="H723" s="258">
        <v>3.5</v>
      </c>
      <c r="I723" s="258" t="s">
        <v>543</v>
      </c>
      <c r="J723" s="258" t="s">
        <v>11719</v>
      </c>
      <c r="K723" s="258">
        <v>4</v>
      </c>
      <c r="L723" s="258" t="s">
        <v>451</v>
      </c>
      <c r="M723" s="261">
        <v>2500000</v>
      </c>
      <c r="N723" s="258" t="s">
        <v>452</v>
      </c>
      <c r="O723" s="258" t="s">
        <v>667</v>
      </c>
      <c r="P723" s="258" t="s">
        <v>668</v>
      </c>
      <c r="Q723" s="258" t="s">
        <v>24</v>
      </c>
      <c r="R723" s="259" t="s">
        <v>669</v>
      </c>
      <c r="S723" s="259"/>
      <c r="T723" s="259"/>
      <c r="U723" s="259"/>
      <c r="V723" s="258"/>
      <c r="W723" s="258"/>
      <c r="X723" s="258"/>
      <c r="Y723" s="258"/>
      <c r="Z723" s="258"/>
      <c r="AA723" s="258"/>
      <c r="AB723" s="258"/>
      <c r="AC723" s="258"/>
    </row>
    <row r="724" spans="1:29" ht="15.75" customHeight="1">
      <c r="A724" s="248">
        <v>44796</v>
      </c>
      <c r="B724" s="219" t="s">
        <v>6589</v>
      </c>
      <c r="C724" s="315">
        <v>2.5</v>
      </c>
      <c r="D724" s="219" t="s">
        <v>6592</v>
      </c>
      <c r="E724" s="219" t="s">
        <v>4</v>
      </c>
      <c r="F724" s="219" t="s">
        <v>1457</v>
      </c>
      <c r="G724" s="219" t="s">
        <v>6593</v>
      </c>
      <c r="H724" s="219">
        <v>3</v>
      </c>
      <c r="I724" s="219" t="s">
        <v>1045</v>
      </c>
      <c r="J724" s="219" t="s">
        <v>6594</v>
      </c>
      <c r="K724" s="219">
        <v>2</v>
      </c>
      <c r="L724" s="219" t="s">
        <v>478</v>
      </c>
      <c r="M724" s="219">
        <v>6000</v>
      </c>
      <c r="N724" s="219" t="s">
        <v>452</v>
      </c>
      <c r="O724" s="219" t="s">
        <v>6595</v>
      </c>
      <c r="P724" s="219"/>
      <c r="Q724" s="219" t="s">
        <v>24</v>
      </c>
      <c r="R724" s="219"/>
      <c r="S724" s="219" t="str">
        <f>IFERROR(VLOOKUP(B724,'2022-2023 Third Reviews'!$C:$S,9,FALSE),"")</f>
        <v/>
      </c>
      <c r="T724" s="219"/>
      <c r="U724" s="219"/>
      <c r="V724" s="306"/>
      <c r="W724" s="306"/>
      <c r="X724" s="306"/>
      <c r="Y724" s="306"/>
      <c r="Z724" s="306"/>
      <c r="AA724" s="306"/>
      <c r="AB724" s="306"/>
      <c r="AC724" s="306"/>
    </row>
    <row r="725" spans="1:29" ht="15.75" customHeight="1">
      <c r="A725" s="253">
        <v>44791</v>
      </c>
      <c r="B725" s="224" t="s">
        <v>6598</v>
      </c>
      <c r="C725" s="316">
        <v>2.5</v>
      </c>
      <c r="D725" s="224" t="s">
        <v>6601</v>
      </c>
      <c r="E725" s="224" t="s">
        <v>4</v>
      </c>
      <c r="F725" s="224" t="s">
        <v>602</v>
      </c>
      <c r="G725" s="224" t="s">
        <v>6602</v>
      </c>
      <c r="H725" s="224">
        <v>2.5</v>
      </c>
      <c r="I725" s="224" t="s">
        <v>1045</v>
      </c>
      <c r="J725" s="224" t="s">
        <v>6603</v>
      </c>
      <c r="K725" s="224">
        <v>2.5</v>
      </c>
      <c r="L725" s="224"/>
      <c r="M725" s="224"/>
      <c r="N725" s="224" t="s">
        <v>452</v>
      </c>
      <c r="O725" s="224" t="s">
        <v>6604</v>
      </c>
      <c r="P725" s="224"/>
      <c r="Q725" s="322" t="s">
        <v>24</v>
      </c>
      <c r="R725" s="224"/>
      <c r="S725" s="224" t="str">
        <f>IFERROR(VLOOKUP(B725,'2022-2023 Third Reviews'!$C:$S,9,FALSE),"")</f>
        <v/>
      </c>
      <c r="T725" s="224"/>
      <c r="U725" s="224"/>
      <c r="V725" s="224"/>
      <c r="W725" s="224"/>
      <c r="X725" s="224"/>
      <c r="Y725" s="224"/>
      <c r="Z725" s="224"/>
      <c r="AA725" s="224"/>
      <c r="AB725" s="224"/>
      <c r="AC725" s="224"/>
    </row>
    <row r="726" spans="1:29" ht="15.75" customHeight="1">
      <c r="A726" s="248">
        <v>44782</v>
      </c>
      <c r="B726" s="219" t="s">
        <v>6607</v>
      </c>
      <c r="C726" s="249">
        <v>2.5</v>
      </c>
      <c r="D726" s="219" t="s">
        <v>6610</v>
      </c>
      <c r="E726" s="250" t="s">
        <v>4</v>
      </c>
      <c r="F726" s="219" t="s">
        <v>602</v>
      </c>
      <c r="G726" s="219" t="s">
        <v>6611</v>
      </c>
      <c r="H726" s="219">
        <v>2</v>
      </c>
      <c r="I726" s="219" t="s">
        <v>1054</v>
      </c>
      <c r="J726" s="219" t="s">
        <v>6612</v>
      </c>
      <c r="K726" s="219">
        <v>3</v>
      </c>
      <c r="L726" s="219" t="s">
        <v>451</v>
      </c>
      <c r="M726" s="219">
        <v>2000000</v>
      </c>
      <c r="N726" s="219" t="s">
        <v>452</v>
      </c>
      <c r="O726" s="219" t="s">
        <v>452</v>
      </c>
      <c r="P726" s="219"/>
      <c r="Q726" s="219" t="s">
        <v>24</v>
      </c>
      <c r="R726" s="219"/>
      <c r="S726" s="219" t="str">
        <f>IFERROR(VLOOKUP(B726,'2022-2023 Third Reviews'!$C:$S,9,FALSE),"")</f>
        <v/>
      </c>
      <c r="T726" s="219"/>
      <c r="U726" s="219"/>
      <c r="V726" s="239"/>
      <c r="W726" s="239"/>
      <c r="X726" s="239"/>
      <c r="Y726" s="239"/>
      <c r="Z726" s="239"/>
      <c r="AA726" s="239"/>
      <c r="AB726" s="239"/>
      <c r="AC726" s="239"/>
    </row>
    <row r="727" spans="1:29" ht="15.75" customHeight="1">
      <c r="A727" s="398">
        <v>44784</v>
      </c>
      <c r="B727" s="272" t="s">
        <v>6614</v>
      </c>
      <c r="C727" s="269">
        <v>2.38</v>
      </c>
      <c r="D727" s="272" t="s">
        <v>6617</v>
      </c>
      <c r="E727" s="270" t="s">
        <v>4</v>
      </c>
      <c r="F727" s="272" t="s">
        <v>725</v>
      </c>
      <c r="G727" s="272"/>
      <c r="H727" s="272">
        <v>2</v>
      </c>
      <c r="I727" s="272" t="s">
        <v>727</v>
      </c>
      <c r="J727" s="272" t="s">
        <v>10846</v>
      </c>
      <c r="K727" s="272">
        <v>2.75</v>
      </c>
      <c r="L727" s="272" t="s">
        <v>451</v>
      </c>
      <c r="M727" s="272">
        <v>800000</v>
      </c>
      <c r="N727" s="272" t="s">
        <v>452</v>
      </c>
      <c r="O727" s="299" t="s">
        <v>10847</v>
      </c>
      <c r="P727" s="272"/>
      <c r="Q727" s="272" t="s">
        <v>24</v>
      </c>
      <c r="R727" s="272"/>
      <c r="S727" s="272" t="str">
        <f ca="1">IFERROR(VLOOKUP(B727,'2022-2023 Third Reviews'!$C:$S,9,FALSE),"")</f>
        <v>Chris Millisits
2</v>
      </c>
      <c r="T727" s="272"/>
      <c r="U727" s="272"/>
      <c r="V727" s="272"/>
      <c r="W727" s="272"/>
      <c r="X727" s="272"/>
      <c r="Y727" s="272"/>
      <c r="Z727" s="272"/>
      <c r="AA727" s="224"/>
      <c r="AB727" s="224"/>
      <c r="AC727" s="224"/>
    </row>
    <row r="728" spans="1:29" ht="15.75" hidden="1" customHeight="1">
      <c r="A728" s="280">
        <v>44784</v>
      </c>
      <c r="B728" s="281" t="s">
        <v>353</v>
      </c>
      <c r="C728" s="282">
        <v>4</v>
      </c>
      <c r="D728" s="281" t="s">
        <v>9739</v>
      </c>
      <c r="E728" s="281" t="s">
        <v>3</v>
      </c>
      <c r="F728" s="281" t="s">
        <v>460</v>
      </c>
      <c r="G728" s="281" t="s">
        <v>9740</v>
      </c>
      <c r="H728" s="281">
        <v>4</v>
      </c>
      <c r="I728" s="281" t="s">
        <v>462</v>
      </c>
      <c r="J728" s="281" t="s">
        <v>9741</v>
      </c>
      <c r="K728" s="281">
        <v>4</v>
      </c>
      <c r="L728" s="281" t="s">
        <v>478</v>
      </c>
      <c r="M728" s="291">
        <v>10000000</v>
      </c>
      <c r="N728" s="281" t="s">
        <v>465</v>
      </c>
      <c r="O728" s="291" t="s">
        <v>452</v>
      </c>
      <c r="P728" s="281"/>
      <c r="Q728" s="281" t="s">
        <v>20</v>
      </c>
      <c r="R728" s="283" t="s">
        <v>9742</v>
      </c>
      <c r="S728" s="283"/>
      <c r="T728" s="283"/>
      <c r="U728" s="283"/>
      <c r="V728" s="281"/>
      <c r="W728" s="281"/>
      <c r="X728" s="281"/>
      <c r="Y728" s="281"/>
      <c r="Z728" s="281"/>
      <c r="AA728" s="258"/>
      <c r="AB728" s="258"/>
      <c r="AC728" s="258"/>
    </row>
    <row r="729" spans="1:29" ht="15.75" customHeight="1">
      <c r="A729" s="253">
        <v>44796</v>
      </c>
      <c r="B729" s="224" t="s">
        <v>6622</v>
      </c>
      <c r="C729" s="316">
        <v>2.25</v>
      </c>
      <c r="D729" s="224" t="s">
        <v>6625</v>
      </c>
      <c r="E729" s="224" t="s">
        <v>4</v>
      </c>
      <c r="F729" s="224" t="s">
        <v>725</v>
      </c>
      <c r="G729" s="224" t="s">
        <v>6626</v>
      </c>
      <c r="H729" s="224">
        <v>2</v>
      </c>
      <c r="I729" s="224" t="s">
        <v>462</v>
      </c>
      <c r="J729" s="224" t="s">
        <v>6627</v>
      </c>
      <c r="K729" s="224">
        <v>2.5</v>
      </c>
      <c r="L729" s="224"/>
      <c r="M729" s="224"/>
      <c r="N729" s="224" t="s">
        <v>465</v>
      </c>
      <c r="O729" s="224" t="s">
        <v>10805</v>
      </c>
      <c r="P729" s="224"/>
      <c r="Q729" s="224" t="s">
        <v>24</v>
      </c>
      <c r="R729" s="224"/>
      <c r="S729" s="224" t="str">
        <f>IFERROR(VLOOKUP(B729,'2022-2023 Third Reviews'!$C:$S,9,FALSE),"")</f>
        <v/>
      </c>
      <c r="T729" s="224"/>
      <c r="U729" s="224"/>
      <c r="V729" s="239"/>
      <c r="W729" s="239"/>
      <c r="X729" s="239"/>
      <c r="Y729" s="239"/>
      <c r="Z729" s="239"/>
      <c r="AA729" s="239"/>
      <c r="AB729" s="239"/>
      <c r="AC729" s="239"/>
    </row>
    <row r="730" spans="1:29" ht="15.75" hidden="1" customHeight="1">
      <c r="A730" s="233">
        <v>44776</v>
      </c>
      <c r="B730" s="234" t="s">
        <v>2814</v>
      </c>
      <c r="C730" s="235">
        <v>2.5</v>
      </c>
      <c r="D730" s="234" t="s">
        <v>2817</v>
      </c>
      <c r="E730" s="234" t="s">
        <v>5</v>
      </c>
      <c r="F730" s="234" t="s">
        <v>460</v>
      </c>
      <c r="G730" s="234" t="s">
        <v>2818</v>
      </c>
      <c r="H730" s="234">
        <v>2</v>
      </c>
      <c r="I730" s="234" t="s">
        <v>488</v>
      </c>
      <c r="J730" s="234" t="s">
        <v>2819</v>
      </c>
      <c r="K730" s="234">
        <v>3</v>
      </c>
      <c r="L730" s="234"/>
      <c r="M730" s="234"/>
      <c r="N730" s="234" t="s">
        <v>452</v>
      </c>
      <c r="O730" s="234" t="s">
        <v>2820</v>
      </c>
      <c r="P730" s="237"/>
      <c r="Q730" s="234" t="s">
        <v>24</v>
      </c>
      <c r="R730" s="238" t="s">
        <v>2821</v>
      </c>
      <c r="S730" s="238"/>
      <c r="T730" s="238"/>
      <c r="U730" s="238"/>
      <c r="V730" s="234"/>
      <c r="W730" s="234"/>
      <c r="X730" s="234"/>
      <c r="Y730" s="239"/>
      <c r="Z730" s="239"/>
      <c r="AA730" s="239"/>
      <c r="AB730" s="239"/>
      <c r="AC730" s="239"/>
    </row>
    <row r="731" spans="1:29" ht="15.75" customHeight="1">
      <c r="A731" s="253">
        <v>44791</v>
      </c>
      <c r="B731" s="224" t="s">
        <v>6631</v>
      </c>
      <c r="C731" s="316">
        <v>2.25</v>
      </c>
      <c r="D731" s="224" t="s">
        <v>6634</v>
      </c>
      <c r="E731" s="224" t="s">
        <v>4</v>
      </c>
      <c r="F731" s="224" t="s">
        <v>602</v>
      </c>
      <c r="G731" s="224" t="s">
        <v>6635</v>
      </c>
      <c r="H731" s="224">
        <v>2</v>
      </c>
      <c r="I731" s="224" t="s">
        <v>476</v>
      </c>
      <c r="J731" s="224" t="s">
        <v>11699</v>
      </c>
      <c r="K731" s="224">
        <v>2.5</v>
      </c>
      <c r="L731" s="224"/>
      <c r="M731" s="307"/>
      <c r="N731" s="224" t="s">
        <v>452</v>
      </c>
      <c r="O731" s="224" t="s">
        <v>575</v>
      </c>
      <c r="P731" s="224"/>
      <c r="Q731" s="322" t="s">
        <v>24</v>
      </c>
      <c r="R731" s="224"/>
      <c r="S731" s="224" t="str">
        <f>IFERROR(VLOOKUP(B731,'2022-2023 Third Reviews'!$C:$S,9,FALSE),"")</f>
        <v/>
      </c>
      <c r="T731" s="224" t="s">
        <v>13272</v>
      </c>
      <c r="U731" s="224"/>
      <c r="V731" s="224"/>
      <c r="W731" s="224"/>
      <c r="X731" s="224"/>
      <c r="Y731" s="224"/>
      <c r="Z731" s="224"/>
      <c r="AA731" s="224"/>
      <c r="AB731" s="224"/>
      <c r="AC731" s="224"/>
    </row>
    <row r="732" spans="1:29" ht="15.75" customHeight="1">
      <c r="A732" s="398">
        <v>44784</v>
      </c>
      <c r="B732" s="268" t="s">
        <v>6639</v>
      </c>
      <c r="C732" s="269">
        <v>2.25</v>
      </c>
      <c r="D732" s="268" t="s">
        <v>6642</v>
      </c>
      <c r="E732" s="270" t="s">
        <v>4</v>
      </c>
      <c r="F732" s="268" t="s">
        <v>727</v>
      </c>
      <c r="G732" s="268" t="s">
        <v>10319</v>
      </c>
      <c r="H732" s="268">
        <v>2</v>
      </c>
      <c r="I732" s="268" t="s">
        <v>1054</v>
      </c>
      <c r="J732" s="268" t="s">
        <v>6644</v>
      </c>
      <c r="K732" s="268">
        <v>2.5</v>
      </c>
      <c r="L732" s="268" t="s">
        <v>451</v>
      </c>
      <c r="M732" s="268">
        <v>2000000</v>
      </c>
      <c r="N732" s="268" t="s">
        <v>452</v>
      </c>
      <c r="O732" s="268" t="s">
        <v>452</v>
      </c>
      <c r="P732" s="268"/>
      <c r="Q732" s="268" t="s">
        <v>24</v>
      </c>
      <c r="R732" s="268"/>
      <c r="S732" s="268" t="str">
        <f>IFERROR(VLOOKUP(B732,'2022-2023 Third Reviews'!$C:$S,9,FALSE),"")</f>
        <v/>
      </c>
      <c r="T732" s="268"/>
      <c r="U732" s="268"/>
      <c r="V732" s="219"/>
      <c r="W732" s="219"/>
      <c r="X732" s="219"/>
      <c r="Y732" s="219"/>
      <c r="Z732" s="219"/>
      <c r="AA732" s="219"/>
      <c r="AB732" s="219"/>
      <c r="AC732" s="219"/>
    </row>
    <row r="733" spans="1:29" ht="15.75" hidden="1" customHeight="1">
      <c r="A733" s="257">
        <v>44796</v>
      </c>
      <c r="B733" s="258" t="s">
        <v>8789</v>
      </c>
      <c r="C733" s="263">
        <v>2.75</v>
      </c>
      <c r="D733" s="258" t="s">
        <v>10844</v>
      </c>
      <c r="E733" s="258" t="s">
        <v>3</v>
      </c>
      <c r="F733" s="258" t="s">
        <v>460</v>
      </c>
      <c r="G733" s="258" t="s">
        <v>8793</v>
      </c>
      <c r="H733" s="258">
        <v>3</v>
      </c>
      <c r="I733" s="258" t="s">
        <v>941</v>
      </c>
      <c r="J733" s="258" t="s">
        <v>8794</v>
      </c>
      <c r="K733" s="258">
        <v>2.5</v>
      </c>
      <c r="L733" s="258" t="s">
        <v>451</v>
      </c>
      <c r="M733" s="258">
        <v>11000000</v>
      </c>
      <c r="N733" s="258" t="s">
        <v>452</v>
      </c>
      <c r="O733" s="258" t="s">
        <v>10845</v>
      </c>
      <c r="P733" s="258" t="s">
        <v>725</v>
      </c>
      <c r="Q733" s="258" t="s">
        <v>24</v>
      </c>
      <c r="R733" s="259"/>
      <c r="S733" s="259"/>
      <c r="T733" s="259"/>
      <c r="U733" s="259"/>
      <c r="V733" s="258"/>
      <c r="W733" s="258"/>
      <c r="X733" s="258"/>
      <c r="Y733" s="258"/>
      <c r="Z733" s="258"/>
      <c r="AA733" s="258"/>
      <c r="AB733" s="258"/>
      <c r="AC733" s="258"/>
    </row>
    <row r="734" spans="1:29" ht="15.75" customHeight="1">
      <c r="A734" s="398">
        <v>44784</v>
      </c>
      <c r="B734" s="268" t="s">
        <v>10205</v>
      </c>
      <c r="C734" s="269">
        <v>2.25</v>
      </c>
      <c r="D734" s="268" t="s">
        <v>6650</v>
      </c>
      <c r="E734" s="270" t="s">
        <v>4</v>
      </c>
      <c r="F734" s="268" t="s">
        <v>602</v>
      </c>
      <c r="G734" s="268" t="s">
        <v>6651</v>
      </c>
      <c r="H734" s="268">
        <v>2</v>
      </c>
      <c r="I734" s="268" t="s">
        <v>727</v>
      </c>
      <c r="J734" s="268" t="s">
        <v>11636</v>
      </c>
      <c r="K734" s="268">
        <v>2.5</v>
      </c>
      <c r="L734" s="268" t="s">
        <v>451</v>
      </c>
      <c r="M734" s="275">
        <v>1500000</v>
      </c>
      <c r="N734" s="268" t="s">
        <v>452</v>
      </c>
      <c r="O734" s="275" t="s">
        <v>6653</v>
      </c>
      <c r="P734" s="268"/>
      <c r="Q734" s="268" t="s">
        <v>24</v>
      </c>
      <c r="R734" s="268"/>
      <c r="S734" s="268" t="str">
        <f>IFERROR(VLOOKUP(B734,'2022-2023 Third Reviews'!$C:$S,9,FALSE),"")</f>
        <v/>
      </c>
      <c r="T734" s="268"/>
      <c r="U734" s="268"/>
      <c r="V734" s="219"/>
      <c r="W734" s="219"/>
      <c r="X734" s="219"/>
      <c r="Y734" s="219"/>
      <c r="Z734" s="219"/>
      <c r="AA734" s="219"/>
      <c r="AB734" s="219"/>
      <c r="AC734" s="219"/>
    </row>
    <row r="735" spans="1:29" ht="15.75" customHeight="1">
      <c r="A735" s="253">
        <v>44789</v>
      </c>
      <c r="B735" s="224" t="s">
        <v>10205</v>
      </c>
      <c r="C735" s="249">
        <v>2.25</v>
      </c>
      <c r="D735" s="224" t="s">
        <v>6650</v>
      </c>
      <c r="E735" s="250" t="s">
        <v>4</v>
      </c>
      <c r="F735" s="224" t="s">
        <v>602</v>
      </c>
      <c r="G735" s="224" t="s">
        <v>6651</v>
      </c>
      <c r="H735" s="224">
        <v>2</v>
      </c>
      <c r="I735" s="224" t="s">
        <v>727</v>
      </c>
      <c r="J735" s="224" t="s">
        <v>11636</v>
      </c>
      <c r="K735" s="224">
        <v>2.5</v>
      </c>
      <c r="L735" s="224" t="s">
        <v>451</v>
      </c>
      <c r="M735" s="311">
        <v>1500000</v>
      </c>
      <c r="N735" s="224" t="s">
        <v>452</v>
      </c>
      <c r="O735" s="224" t="s">
        <v>6653</v>
      </c>
      <c r="P735" s="224"/>
      <c r="Q735" s="224" t="s">
        <v>24</v>
      </c>
      <c r="R735" s="224"/>
      <c r="S735" s="224" t="str">
        <f>IFERROR(VLOOKUP(B735,'2022-2023 Third Reviews'!$C:$S,9,FALSE),"")</f>
        <v/>
      </c>
      <c r="T735" s="224"/>
      <c r="U735" s="224"/>
      <c r="V735" s="224"/>
      <c r="W735" s="224"/>
      <c r="X735" s="224"/>
      <c r="Y735" s="224"/>
      <c r="Z735" s="224"/>
      <c r="AA735" s="224"/>
      <c r="AB735" s="224"/>
      <c r="AC735" s="224"/>
    </row>
    <row r="736" spans="1:29" ht="15.75" hidden="1" customHeight="1">
      <c r="A736" s="541">
        <v>44791</v>
      </c>
      <c r="B736" s="306" t="s">
        <v>9745</v>
      </c>
      <c r="C736" s="542"/>
      <c r="D736" s="306" t="s">
        <v>9748</v>
      </c>
      <c r="E736" s="306" t="s">
        <v>3</v>
      </c>
      <c r="F736" s="306" t="s">
        <v>460</v>
      </c>
      <c r="G736" s="306"/>
      <c r="H736" s="306"/>
      <c r="I736" s="306" t="s">
        <v>941</v>
      </c>
      <c r="J736" s="306"/>
      <c r="K736" s="306"/>
      <c r="L736" s="306"/>
      <c r="M736" s="306"/>
      <c r="N736" s="306" t="s">
        <v>452</v>
      </c>
      <c r="O736" s="306" t="s">
        <v>9751</v>
      </c>
      <c r="P736" s="306" t="s">
        <v>9752</v>
      </c>
      <c r="Q736" s="306"/>
      <c r="R736" s="543"/>
      <c r="S736" s="543"/>
      <c r="T736" s="543"/>
      <c r="U736" s="543"/>
      <c r="V736" s="306"/>
      <c r="W736" s="306"/>
      <c r="X736" s="306"/>
      <c r="Y736" s="306"/>
      <c r="Z736" s="306"/>
      <c r="AA736" s="306"/>
      <c r="AB736" s="306"/>
      <c r="AC736" s="306"/>
    </row>
    <row r="737" spans="1:29" ht="15.75" hidden="1" customHeight="1">
      <c r="A737" s="257">
        <v>44791</v>
      </c>
      <c r="B737" s="258" t="s">
        <v>9745</v>
      </c>
      <c r="C737" s="263">
        <v>2</v>
      </c>
      <c r="D737" s="258" t="s">
        <v>9748</v>
      </c>
      <c r="E737" s="258" t="s">
        <v>3</v>
      </c>
      <c r="F737" s="258" t="s">
        <v>460</v>
      </c>
      <c r="G737" s="258" t="s">
        <v>9749</v>
      </c>
      <c r="H737" s="258">
        <v>2</v>
      </c>
      <c r="I737" s="258" t="s">
        <v>941</v>
      </c>
      <c r="J737" s="258" t="s">
        <v>9750</v>
      </c>
      <c r="K737" s="258">
        <v>2</v>
      </c>
      <c r="L737" s="258"/>
      <c r="M737" s="258"/>
      <c r="N737" s="258" t="s">
        <v>452</v>
      </c>
      <c r="O737" s="258" t="s">
        <v>9751</v>
      </c>
      <c r="P737" s="258" t="s">
        <v>9752</v>
      </c>
      <c r="Q737" s="258" t="s">
        <v>23</v>
      </c>
      <c r="R737" s="259" t="s">
        <v>9753</v>
      </c>
      <c r="S737" s="259"/>
      <c r="T737" s="259"/>
      <c r="U737" s="259"/>
      <c r="V737" s="258"/>
      <c r="W737" s="258"/>
      <c r="X737" s="258"/>
      <c r="Y737" s="258"/>
      <c r="Z737" s="258"/>
      <c r="AA737" s="258"/>
      <c r="AB737" s="258"/>
      <c r="AC737" s="258"/>
    </row>
    <row r="738" spans="1:29" ht="15.75" customHeight="1">
      <c r="A738" s="248">
        <v>44782</v>
      </c>
      <c r="B738" s="219" t="s">
        <v>6656</v>
      </c>
      <c r="C738" s="249">
        <v>2.25</v>
      </c>
      <c r="D738" s="219" t="s">
        <v>11382</v>
      </c>
      <c r="E738" s="250" t="s">
        <v>4</v>
      </c>
      <c r="F738" s="219" t="s">
        <v>602</v>
      </c>
      <c r="G738" s="219" t="s">
        <v>11383</v>
      </c>
      <c r="H738" s="219">
        <v>2</v>
      </c>
      <c r="I738" s="219" t="s">
        <v>727</v>
      </c>
      <c r="J738" s="219" t="s">
        <v>6661</v>
      </c>
      <c r="K738" s="219">
        <v>2.5</v>
      </c>
      <c r="L738" s="219" t="s">
        <v>451</v>
      </c>
      <c r="M738" s="219">
        <v>1376390</v>
      </c>
      <c r="N738" s="219" t="s">
        <v>452</v>
      </c>
      <c r="O738" s="219" t="s">
        <v>452</v>
      </c>
      <c r="P738" s="219"/>
      <c r="Q738" s="219" t="s">
        <v>24</v>
      </c>
      <c r="R738" s="219"/>
      <c r="S738" s="219" t="str">
        <f>IFERROR(VLOOKUP(B738,'2022-2023 Third Reviews'!$C:$S,9,FALSE),"")</f>
        <v/>
      </c>
      <c r="T738" s="219"/>
      <c r="U738" s="219"/>
      <c r="V738" s="219"/>
      <c r="W738" s="219"/>
      <c r="X738" s="219"/>
      <c r="Y738" s="219"/>
      <c r="Z738" s="219"/>
      <c r="AA738" s="219"/>
      <c r="AB738" s="219"/>
      <c r="AC738" s="219"/>
    </row>
    <row r="739" spans="1:29" ht="15.75" hidden="1" customHeight="1">
      <c r="A739" s="253">
        <v>44789</v>
      </c>
      <c r="B739" s="224" t="s">
        <v>2824</v>
      </c>
      <c r="C739" s="249">
        <v>3</v>
      </c>
      <c r="D739" s="224" t="s">
        <v>2827</v>
      </c>
      <c r="E739" s="250" t="s">
        <v>5</v>
      </c>
      <c r="F739" s="224" t="s">
        <v>447</v>
      </c>
      <c r="G739" s="224" t="s">
        <v>10848</v>
      </c>
      <c r="H739" s="224">
        <v>3</v>
      </c>
      <c r="I739" s="224" t="s">
        <v>622</v>
      </c>
      <c r="J739" s="224" t="e">
        <f>+Tries to solve the issue of getting drinking water.</f>
        <v>#NAME?</v>
      </c>
      <c r="K739" s="224">
        <v>3</v>
      </c>
      <c r="L739" s="224"/>
      <c r="M739" s="307"/>
      <c r="N739" s="224" t="s">
        <v>452</v>
      </c>
      <c r="O739" s="224" t="s">
        <v>2830</v>
      </c>
      <c r="P739" s="224"/>
      <c r="Q739" s="224" t="s">
        <v>24</v>
      </c>
      <c r="R739" s="254"/>
      <c r="S739" s="254"/>
      <c r="T739" s="254"/>
      <c r="U739" s="254"/>
      <c r="V739" s="252"/>
      <c r="W739" s="252"/>
      <c r="X739" s="252"/>
      <c r="Y739" s="224"/>
      <c r="Z739" s="224"/>
      <c r="AA739" s="224"/>
      <c r="AB739" s="224"/>
      <c r="AC739" s="224"/>
    </row>
    <row r="740" spans="1:29" ht="15.75" hidden="1" customHeight="1">
      <c r="A740" s="257">
        <v>44791</v>
      </c>
      <c r="B740" s="258" t="s">
        <v>93</v>
      </c>
      <c r="C740" s="263">
        <v>4</v>
      </c>
      <c r="D740" s="258" t="s">
        <v>674</v>
      </c>
      <c r="E740" s="258" t="s">
        <v>5</v>
      </c>
      <c r="F740" s="258" t="s">
        <v>447</v>
      </c>
      <c r="G740" s="258" t="s">
        <v>11280</v>
      </c>
      <c r="H740" s="258">
        <v>4</v>
      </c>
      <c r="I740" s="258" t="s">
        <v>449</v>
      </c>
      <c r="J740" s="258" t="s">
        <v>11662</v>
      </c>
      <c r="K740" s="258">
        <v>4</v>
      </c>
      <c r="L740" s="258" t="s">
        <v>677</v>
      </c>
      <c r="M740" s="258" t="s">
        <v>678</v>
      </c>
      <c r="N740" s="258" t="s">
        <v>452</v>
      </c>
      <c r="O740" s="258" t="s">
        <v>679</v>
      </c>
      <c r="P740" s="258"/>
      <c r="Q740" s="258" t="s">
        <v>18</v>
      </c>
      <c r="R740" s="259" t="s">
        <v>11663</v>
      </c>
      <c r="S740" s="259"/>
      <c r="T740" s="259"/>
      <c r="U740" s="259"/>
      <c r="V740" s="258"/>
      <c r="W740" s="258"/>
      <c r="X740" s="258"/>
      <c r="Y740" s="258"/>
      <c r="Z740" s="258"/>
      <c r="AA740" s="258"/>
      <c r="AB740" s="258"/>
      <c r="AC740" s="258"/>
    </row>
    <row r="741" spans="1:29" ht="15.75" hidden="1" customHeight="1">
      <c r="A741" s="253">
        <v>44789</v>
      </c>
      <c r="B741" s="224" t="s">
        <v>8798</v>
      </c>
      <c r="C741" s="249">
        <v>2.5</v>
      </c>
      <c r="D741" s="224" t="s">
        <v>8801</v>
      </c>
      <c r="E741" s="250" t="s">
        <v>3</v>
      </c>
      <c r="F741" s="224" t="s">
        <v>460</v>
      </c>
      <c r="G741" s="224" t="s">
        <v>8802</v>
      </c>
      <c r="H741" s="224">
        <v>3</v>
      </c>
      <c r="I741" s="224" t="s">
        <v>941</v>
      </c>
      <c r="J741" s="224" t="s">
        <v>8803</v>
      </c>
      <c r="K741" s="224">
        <v>2</v>
      </c>
      <c r="L741" s="224"/>
      <c r="M741" s="224"/>
      <c r="N741" s="224" t="s">
        <v>465</v>
      </c>
      <c r="O741" s="224" t="s">
        <v>10919</v>
      </c>
      <c r="P741" s="224"/>
      <c r="Q741" s="224" t="s">
        <v>24</v>
      </c>
      <c r="R741" s="254"/>
      <c r="S741" s="254"/>
      <c r="T741" s="254"/>
      <c r="U741" s="254"/>
      <c r="V741" s="252"/>
      <c r="W741" s="252"/>
      <c r="X741" s="252"/>
      <c r="Y741" s="224"/>
      <c r="Z741" s="224"/>
      <c r="AA741" s="224"/>
      <c r="AB741" s="224"/>
      <c r="AC741" s="224"/>
    </row>
    <row r="742" spans="1:29" ht="15.75" hidden="1" customHeight="1">
      <c r="A742" s="248">
        <v>44791</v>
      </c>
      <c r="B742" s="219" t="s">
        <v>2833</v>
      </c>
      <c r="C742" s="315">
        <v>3.5</v>
      </c>
      <c r="D742" s="219" t="s">
        <v>11269</v>
      </c>
      <c r="E742" s="219" t="s">
        <v>5</v>
      </c>
      <c r="F742" s="219" t="s">
        <v>447</v>
      </c>
      <c r="G742" s="219" t="s">
        <v>11270</v>
      </c>
      <c r="H742" s="219">
        <v>3.5</v>
      </c>
      <c r="I742" s="219" t="s">
        <v>543</v>
      </c>
      <c r="J742" s="219" t="s">
        <v>11675</v>
      </c>
      <c r="K742" s="219">
        <v>3.5</v>
      </c>
      <c r="L742" s="219"/>
      <c r="M742" s="219"/>
      <c r="N742" s="219" t="s">
        <v>452</v>
      </c>
      <c r="O742" s="219" t="s">
        <v>11272</v>
      </c>
      <c r="P742" s="219"/>
      <c r="Q742" s="322" t="s">
        <v>24</v>
      </c>
      <c r="R742" s="251"/>
      <c r="S742" s="251"/>
      <c r="T742" s="251"/>
      <c r="U742" s="251"/>
      <c r="V742" s="219"/>
      <c r="W742" s="219"/>
      <c r="X742" s="219"/>
      <c r="Y742" s="219"/>
      <c r="Z742" s="219"/>
      <c r="AA742" s="219"/>
      <c r="AB742" s="219"/>
      <c r="AC742" s="219"/>
    </row>
    <row r="743" spans="1:29" ht="15.75" customHeight="1">
      <c r="A743" s="253">
        <v>44791</v>
      </c>
      <c r="B743" s="224" t="s">
        <v>6664</v>
      </c>
      <c r="C743" s="316">
        <v>2.25</v>
      </c>
      <c r="D743" s="224" t="s">
        <v>6667</v>
      </c>
      <c r="E743" s="224" t="s">
        <v>4</v>
      </c>
      <c r="F743" s="224" t="s">
        <v>602</v>
      </c>
      <c r="G743" s="224" t="s">
        <v>6668</v>
      </c>
      <c r="H743" s="224">
        <v>2.5</v>
      </c>
      <c r="I743" s="224" t="s">
        <v>1036</v>
      </c>
      <c r="J743" s="224" t="s">
        <v>6669</v>
      </c>
      <c r="K743" s="224">
        <v>2</v>
      </c>
      <c r="L743" s="224" t="s">
        <v>451</v>
      </c>
      <c r="M743" s="224">
        <v>2000000</v>
      </c>
      <c r="N743" s="224" t="s">
        <v>465</v>
      </c>
      <c r="O743" s="224" t="s">
        <v>6670</v>
      </c>
      <c r="P743" s="224"/>
      <c r="Q743" s="322" t="s">
        <v>24</v>
      </c>
      <c r="R743" s="224"/>
      <c r="S743" s="224" t="str">
        <f>IFERROR(VLOOKUP(B743,'2022-2023 Third Reviews'!$C:$S,9,FALSE),"")</f>
        <v/>
      </c>
      <c r="T743" s="224"/>
      <c r="U743" s="224"/>
      <c r="V743" s="252"/>
      <c r="W743" s="252"/>
      <c r="X743" s="252"/>
      <c r="Y743" s="224"/>
      <c r="Z743" s="224"/>
      <c r="AA743" s="224"/>
      <c r="AB743" s="224"/>
      <c r="AC743" s="224"/>
    </row>
    <row r="744" spans="1:29" ht="15.75" customHeight="1">
      <c r="A744" s="248">
        <v>44789</v>
      </c>
      <c r="B744" s="219" t="s">
        <v>6673</v>
      </c>
      <c r="C744" s="249">
        <v>2.25</v>
      </c>
      <c r="D744" s="219" t="s">
        <v>6676</v>
      </c>
      <c r="E744" s="250" t="s">
        <v>4</v>
      </c>
      <c r="F744" s="219" t="s">
        <v>727</v>
      </c>
      <c r="G744" s="219" t="s">
        <v>6677</v>
      </c>
      <c r="H744" s="219">
        <v>2.5</v>
      </c>
      <c r="I744" s="219" t="s">
        <v>1045</v>
      </c>
      <c r="J744" s="219" t="s">
        <v>6678</v>
      </c>
      <c r="K744" s="219">
        <v>2</v>
      </c>
      <c r="L744" s="219" t="s">
        <v>451</v>
      </c>
      <c r="M744" s="219">
        <v>2800000</v>
      </c>
      <c r="N744" s="219" t="s">
        <v>452</v>
      </c>
      <c r="O744" s="219" t="s">
        <v>6679</v>
      </c>
      <c r="P744" s="219"/>
      <c r="Q744" s="219" t="s">
        <v>24</v>
      </c>
      <c r="R744" s="219"/>
      <c r="S744" s="219" t="str">
        <f>IFERROR(VLOOKUP(B744,'2022-2023 Third Reviews'!$C:$S,9,FALSE),"")</f>
        <v/>
      </c>
      <c r="T744" s="219"/>
      <c r="U744" s="219"/>
      <c r="V744" s="252"/>
      <c r="W744" s="252"/>
      <c r="X744" s="252"/>
      <c r="Y744" s="219"/>
      <c r="Z744" s="219"/>
      <c r="AA744" s="219"/>
      <c r="AB744" s="219"/>
      <c r="AC744" s="219"/>
    </row>
    <row r="745" spans="1:29" ht="15.75" customHeight="1">
      <c r="A745" s="253">
        <v>44782</v>
      </c>
      <c r="B745" s="224" t="s">
        <v>6681</v>
      </c>
      <c r="C745" s="249">
        <v>2.25</v>
      </c>
      <c r="D745" s="224" t="s">
        <v>6684</v>
      </c>
      <c r="E745" s="250" t="s">
        <v>4</v>
      </c>
      <c r="F745" s="224" t="s">
        <v>602</v>
      </c>
      <c r="G745" s="224"/>
      <c r="H745" s="224">
        <v>2</v>
      </c>
      <c r="I745" s="224" t="s">
        <v>476</v>
      </c>
      <c r="J745" s="224" t="s">
        <v>13400</v>
      </c>
      <c r="K745" s="224">
        <v>2.5</v>
      </c>
      <c r="L745" s="224" t="s">
        <v>451</v>
      </c>
      <c r="M745" s="224">
        <v>120000</v>
      </c>
      <c r="N745" s="224" t="s">
        <v>454</v>
      </c>
      <c r="O745" s="224" t="s">
        <v>6686</v>
      </c>
      <c r="P745" s="224" t="s">
        <v>6687</v>
      </c>
      <c r="Q745" s="224" t="s">
        <v>24</v>
      </c>
      <c r="R745" s="224"/>
      <c r="S745" s="224" t="str">
        <f>IFERROR(VLOOKUP(B745,'2022-2023 Third Reviews'!$C:$S,9,FALSE),"")</f>
        <v/>
      </c>
      <c r="T745" s="224" t="s">
        <v>13273</v>
      </c>
      <c r="U745" s="224"/>
      <c r="V745" s="224"/>
      <c r="W745" s="224"/>
      <c r="X745" s="224"/>
      <c r="Y745" s="224"/>
      <c r="Z745" s="224"/>
      <c r="AA745" s="224"/>
      <c r="AB745" s="224"/>
      <c r="AC745" s="224"/>
    </row>
    <row r="746" spans="1:29" ht="15.75" customHeight="1">
      <c r="A746" s="248">
        <v>44791</v>
      </c>
      <c r="B746" s="219" t="s">
        <v>6689</v>
      </c>
      <c r="C746" s="315">
        <v>2.25</v>
      </c>
      <c r="D746" s="219" t="s">
        <v>6692</v>
      </c>
      <c r="E746" s="219" t="s">
        <v>4</v>
      </c>
      <c r="F746" s="219" t="s">
        <v>602</v>
      </c>
      <c r="G746" s="219" t="s">
        <v>6693</v>
      </c>
      <c r="H746" s="219">
        <v>3</v>
      </c>
      <c r="I746" s="219" t="s">
        <v>476</v>
      </c>
      <c r="J746" s="219" t="s">
        <v>11000</v>
      </c>
      <c r="K746" s="219">
        <v>1.5</v>
      </c>
      <c r="L746" s="219"/>
      <c r="M746" s="219"/>
      <c r="N746" s="219" t="s">
        <v>452</v>
      </c>
      <c r="O746" s="219" t="s">
        <v>974</v>
      </c>
      <c r="P746" s="219" t="s">
        <v>6695</v>
      </c>
      <c r="Q746" s="322" t="s">
        <v>24</v>
      </c>
      <c r="R746" s="219"/>
      <c r="S746" s="219" t="str">
        <f>IFERROR(VLOOKUP(B746,'2022-2023 Third Reviews'!$C:$S,9,FALSE),"")</f>
        <v/>
      </c>
      <c r="T746" s="219" t="s">
        <v>13257</v>
      </c>
      <c r="U746" s="219"/>
      <c r="V746" s="306"/>
      <c r="W746" s="306"/>
      <c r="X746" s="306"/>
      <c r="Y746" s="306"/>
      <c r="Z746" s="306"/>
      <c r="AA746" s="306"/>
      <c r="AB746" s="306"/>
      <c r="AC746" s="306"/>
    </row>
    <row r="747" spans="1:29" ht="15.75" customHeight="1">
      <c r="A747" s="253">
        <v>44791</v>
      </c>
      <c r="B747" s="224" t="s">
        <v>6697</v>
      </c>
      <c r="C747" s="316">
        <v>2.25</v>
      </c>
      <c r="D747" s="224" t="s">
        <v>6700</v>
      </c>
      <c r="E747" s="224" t="s">
        <v>4</v>
      </c>
      <c r="F747" s="224" t="s">
        <v>602</v>
      </c>
      <c r="G747" s="224" t="s">
        <v>6701</v>
      </c>
      <c r="H747" s="224">
        <v>2.5</v>
      </c>
      <c r="I747" s="224" t="s">
        <v>1073</v>
      </c>
      <c r="J747" s="224" t="s">
        <v>6702</v>
      </c>
      <c r="K747" s="224">
        <v>2</v>
      </c>
      <c r="L747" s="224"/>
      <c r="M747" s="224"/>
      <c r="N747" s="224" t="s">
        <v>454</v>
      </c>
      <c r="O747" s="224" t="s">
        <v>6703</v>
      </c>
      <c r="P747" s="224"/>
      <c r="Q747" s="322" t="s">
        <v>24</v>
      </c>
      <c r="R747" s="224"/>
      <c r="S747" s="224" t="str">
        <f>IFERROR(VLOOKUP(B747,'2022-2023 Third Reviews'!$C:$S,9,FALSE),"")</f>
        <v/>
      </c>
      <c r="T747" s="224"/>
      <c r="U747" s="224"/>
      <c r="V747" s="224"/>
      <c r="W747" s="224"/>
      <c r="X747" s="224"/>
      <c r="Y747" s="224"/>
      <c r="Z747" s="224"/>
      <c r="AA747" s="224"/>
      <c r="AB747" s="224"/>
      <c r="AC747" s="224"/>
    </row>
    <row r="748" spans="1:29" ht="15.75" customHeight="1">
      <c r="A748" s="398">
        <v>44784</v>
      </c>
      <c r="B748" s="268" t="s">
        <v>6706</v>
      </c>
      <c r="C748" s="269">
        <v>2.25</v>
      </c>
      <c r="D748" s="268" t="s">
        <v>6709</v>
      </c>
      <c r="E748" s="270" t="s">
        <v>4</v>
      </c>
      <c r="F748" s="268" t="s">
        <v>727</v>
      </c>
      <c r="G748" s="268" t="s">
        <v>10731</v>
      </c>
      <c r="H748" s="268">
        <v>2.5</v>
      </c>
      <c r="I748" s="268" t="s">
        <v>1054</v>
      </c>
      <c r="J748" s="268" t="s">
        <v>6711</v>
      </c>
      <c r="K748" s="268">
        <v>2</v>
      </c>
      <c r="L748" s="268"/>
      <c r="M748" s="268"/>
      <c r="N748" s="268" t="s">
        <v>452</v>
      </c>
      <c r="O748" s="268" t="s">
        <v>6712</v>
      </c>
      <c r="P748" s="268"/>
      <c r="Q748" s="268" t="s">
        <v>24</v>
      </c>
      <c r="R748" s="268"/>
      <c r="S748" s="268" t="str">
        <f>IFERROR(VLOOKUP(B748,'2022-2023 Third Reviews'!$C:$S,9,FALSE),"")</f>
        <v/>
      </c>
      <c r="T748" s="268"/>
      <c r="U748" s="268"/>
      <c r="V748" s="303"/>
      <c r="W748" s="303"/>
      <c r="X748" s="303"/>
      <c r="Y748" s="303"/>
      <c r="Z748" s="303"/>
      <c r="AA748" s="306"/>
      <c r="AB748" s="306"/>
      <c r="AC748" s="306"/>
    </row>
    <row r="749" spans="1:29" ht="15.75" hidden="1" customHeight="1">
      <c r="A749" s="301">
        <v>44789</v>
      </c>
      <c r="B749" s="303" t="s">
        <v>6131</v>
      </c>
      <c r="C749" s="269"/>
      <c r="D749" s="303" t="s">
        <v>6134</v>
      </c>
      <c r="E749" s="270" t="s">
        <v>5</v>
      </c>
      <c r="F749" s="303" t="s">
        <v>725</v>
      </c>
      <c r="G749" s="303"/>
      <c r="H749" s="303"/>
      <c r="I749" s="303" t="s">
        <v>543</v>
      </c>
      <c r="J749" s="303" t="s">
        <v>6136</v>
      </c>
      <c r="K749" s="303">
        <v>2.5</v>
      </c>
      <c r="L749" s="303"/>
      <c r="M749" s="303"/>
      <c r="N749" s="303" t="s">
        <v>465</v>
      </c>
      <c r="O749" s="303" t="s">
        <v>6137</v>
      </c>
      <c r="P749" s="303"/>
      <c r="Q749" s="303"/>
      <c r="R749" s="305"/>
      <c r="S749" s="305"/>
      <c r="T749" s="305"/>
      <c r="U749" s="305"/>
      <c r="V749" s="303"/>
      <c r="W749" s="303"/>
      <c r="X749" s="303"/>
      <c r="Y749" s="303"/>
      <c r="Z749" s="303"/>
      <c r="AA749" s="306"/>
      <c r="AB749" s="306"/>
      <c r="AC749" s="306"/>
    </row>
    <row r="750" spans="1:29" ht="15.75" customHeight="1">
      <c r="A750" s="248">
        <v>44789</v>
      </c>
      <c r="B750" s="219" t="s">
        <v>6714</v>
      </c>
      <c r="C750" s="249">
        <v>2.25</v>
      </c>
      <c r="D750" s="219" t="s">
        <v>6717</v>
      </c>
      <c r="E750" s="250" t="s">
        <v>4</v>
      </c>
      <c r="F750" s="219" t="s">
        <v>602</v>
      </c>
      <c r="G750" s="219" t="s">
        <v>6718</v>
      </c>
      <c r="H750" s="219">
        <v>3.5</v>
      </c>
      <c r="I750" s="219" t="s">
        <v>476</v>
      </c>
      <c r="J750" s="219" t="s">
        <v>11000</v>
      </c>
      <c r="K750" s="219">
        <v>1</v>
      </c>
      <c r="L750" s="219"/>
      <c r="M750" s="219"/>
      <c r="N750" s="219" t="s">
        <v>452</v>
      </c>
      <c r="O750" s="219" t="s">
        <v>452</v>
      </c>
      <c r="P750" s="219"/>
      <c r="Q750" s="219" t="s">
        <v>24</v>
      </c>
      <c r="R750" s="219"/>
      <c r="S750" s="219" t="str">
        <f>IFERROR(VLOOKUP(B750,'2022-2023 Third Reviews'!$C:$S,9,FALSE),"")</f>
        <v/>
      </c>
      <c r="T750" s="219"/>
      <c r="U750" s="219"/>
      <c r="V750" s="306"/>
      <c r="W750" s="306"/>
      <c r="X750" s="306"/>
      <c r="Y750" s="306"/>
      <c r="Z750" s="306"/>
      <c r="AA750" s="306"/>
      <c r="AB750" s="306"/>
      <c r="AC750" s="306"/>
    </row>
    <row r="751" spans="1:29" ht="15.75" customHeight="1">
      <c r="A751" s="253">
        <v>44782</v>
      </c>
      <c r="B751" s="224" t="s">
        <v>6720</v>
      </c>
      <c r="C751" s="249">
        <v>2.25</v>
      </c>
      <c r="D751" s="224" t="s">
        <v>6723</v>
      </c>
      <c r="E751" s="250" t="s">
        <v>4</v>
      </c>
      <c r="F751" s="224" t="s">
        <v>727</v>
      </c>
      <c r="G751" s="224" t="s">
        <v>6724</v>
      </c>
      <c r="H751" s="224">
        <v>2.5</v>
      </c>
      <c r="I751" s="224" t="s">
        <v>1054</v>
      </c>
      <c r="J751" s="224" t="s">
        <v>6725</v>
      </c>
      <c r="K751" s="224">
        <v>2</v>
      </c>
      <c r="L751" s="224"/>
      <c r="M751" s="224"/>
      <c r="N751" s="224" t="s">
        <v>452</v>
      </c>
      <c r="O751" s="224" t="s">
        <v>11542</v>
      </c>
      <c r="P751" s="224"/>
      <c r="Q751" s="224" t="s">
        <v>24</v>
      </c>
      <c r="R751" s="224"/>
      <c r="S751" s="224" t="str">
        <f>IFERROR(VLOOKUP(B751,'2022-2023 Third Reviews'!$C:$S,9,FALSE),"")</f>
        <v/>
      </c>
      <c r="T751" s="224"/>
      <c r="U751" s="224"/>
      <c r="V751" s="306"/>
      <c r="W751" s="306"/>
      <c r="X751" s="306"/>
      <c r="Y751" s="306"/>
      <c r="Z751" s="306"/>
      <c r="AA751" s="306"/>
      <c r="AB751" s="306"/>
      <c r="AC751" s="306"/>
    </row>
    <row r="752" spans="1:29" ht="15.75" customHeight="1">
      <c r="A752" s="398">
        <v>44784</v>
      </c>
      <c r="B752" s="268" t="s">
        <v>6729</v>
      </c>
      <c r="C752" s="269">
        <v>2.25</v>
      </c>
      <c r="D752" s="268" t="s">
        <v>6732</v>
      </c>
      <c r="E752" s="270" t="s">
        <v>4</v>
      </c>
      <c r="F752" s="268" t="s">
        <v>727</v>
      </c>
      <c r="G752" s="268" t="s">
        <v>6733</v>
      </c>
      <c r="H752" s="268">
        <v>2</v>
      </c>
      <c r="I752" s="268" t="s">
        <v>1054</v>
      </c>
      <c r="J752" s="268" t="s">
        <v>6734</v>
      </c>
      <c r="K752" s="268">
        <v>2.5</v>
      </c>
      <c r="L752" s="268" t="s">
        <v>478</v>
      </c>
      <c r="M752" s="275">
        <v>5000000</v>
      </c>
      <c r="N752" s="268" t="s">
        <v>465</v>
      </c>
      <c r="O752" s="275" t="s">
        <v>452</v>
      </c>
      <c r="P752" s="268"/>
      <c r="Q752" s="268" t="s">
        <v>24</v>
      </c>
      <c r="R752" s="268"/>
      <c r="S752" s="268" t="str">
        <f>IFERROR(VLOOKUP(B752,'2022-2023 Third Reviews'!$C:$S,9,FALSE),"")</f>
        <v/>
      </c>
      <c r="T752" s="268"/>
      <c r="U752" s="268"/>
      <c r="V752" s="303"/>
      <c r="W752" s="303"/>
      <c r="X752" s="303"/>
      <c r="Y752" s="303"/>
      <c r="Z752" s="303"/>
      <c r="AA752" s="306"/>
      <c r="AB752" s="306"/>
      <c r="AC752" s="306"/>
    </row>
    <row r="753" spans="1:29" ht="15.75" hidden="1" customHeight="1">
      <c r="A753" s="257">
        <v>44791</v>
      </c>
      <c r="B753" s="258" t="s">
        <v>94</v>
      </c>
      <c r="C753" s="263">
        <v>4.5</v>
      </c>
      <c r="D753" s="258" t="s">
        <v>685</v>
      </c>
      <c r="E753" s="258" t="s">
        <v>5</v>
      </c>
      <c r="F753" s="258" t="s">
        <v>447</v>
      </c>
      <c r="G753" s="258" t="s">
        <v>11642</v>
      </c>
      <c r="H753" s="258">
        <v>5</v>
      </c>
      <c r="I753" s="258" t="s">
        <v>449</v>
      </c>
      <c r="J753" s="258" t="s">
        <v>11643</v>
      </c>
      <c r="K753" s="258">
        <v>4</v>
      </c>
      <c r="L753" s="258" t="s">
        <v>478</v>
      </c>
      <c r="M753" s="309">
        <v>12000000</v>
      </c>
      <c r="N753" s="258" t="s">
        <v>452</v>
      </c>
      <c r="O753" s="258" t="s">
        <v>688</v>
      </c>
      <c r="P753" s="258" t="s">
        <v>689</v>
      </c>
      <c r="Q753" s="258" t="s">
        <v>18</v>
      </c>
      <c r="R753" s="259" t="s">
        <v>11644</v>
      </c>
      <c r="S753" s="259"/>
      <c r="T753" s="259"/>
      <c r="U753" s="259"/>
      <c r="V753" s="258"/>
      <c r="W753" s="258"/>
      <c r="X753" s="258"/>
      <c r="Y753" s="258"/>
      <c r="Z753" s="258"/>
      <c r="AA753" s="258"/>
      <c r="AB753" s="258"/>
      <c r="AC753" s="258"/>
    </row>
    <row r="754" spans="1:29" ht="15.75" customHeight="1">
      <c r="A754" s="212">
        <v>44776</v>
      </c>
      <c r="B754" s="213" t="s">
        <v>6737</v>
      </c>
      <c r="C754" s="214">
        <v>2.25</v>
      </c>
      <c r="D754" s="213" t="s">
        <v>6740</v>
      </c>
      <c r="E754" s="215" t="s">
        <v>4</v>
      </c>
      <c r="F754" s="213" t="s">
        <v>602</v>
      </c>
      <c r="G754" s="213" t="s">
        <v>6741</v>
      </c>
      <c r="H754" s="213">
        <v>2</v>
      </c>
      <c r="I754" s="213" t="s">
        <v>727</v>
      </c>
      <c r="J754" s="213" t="s">
        <v>6742</v>
      </c>
      <c r="K754" s="213">
        <v>2.5</v>
      </c>
      <c r="L754" s="213" t="s">
        <v>451</v>
      </c>
      <c r="M754" s="216">
        <v>1000000</v>
      </c>
      <c r="N754" s="213" t="s">
        <v>465</v>
      </c>
      <c r="O754" s="213" t="s">
        <v>452</v>
      </c>
      <c r="P754" s="143"/>
      <c r="Q754" s="213" t="s">
        <v>24</v>
      </c>
      <c r="R754" s="213" t="str">
        <f t="array" ref="R754">INDEX(Notes!C:C,MATCH($B754,Notes!$A:$A,0))</f>
        <v>Lenny Saizan</v>
      </c>
      <c r="S754" s="213" t="str">
        <f>IFERROR(VLOOKUP(B754,'2022-2023 Third Reviews'!$C:$S,9,FALSE),"")</f>
        <v/>
      </c>
      <c r="T754" s="213"/>
      <c r="U754" s="213"/>
      <c r="V754" s="268"/>
      <c r="W754" s="268"/>
      <c r="X754" s="268"/>
      <c r="Y754" s="268"/>
      <c r="Z754" s="268"/>
      <c r="AA754" s="219"/>
      <c r="AB754" s="219"/>
      <c r="AC754" s="219"/>
    </row>
    <row r="755" spans="1:29" ht="15.75" hidden="1" customHeight="1">
      <c r="A755" s="301">
        <v>44789</v>
      </c>
      <c r="B755" s="303" t="s">
        <v>354</v>
      </c>
      <c r="C755" s="269"/>
      <c r="D755" s="303" t="s">
        <v>13215</v>
      </c>
      <c r="E755" s="270" t="s">
        <v>3</v>
      </c>
      <c r="F755" s="303" t="s">
        <v>725</v>
      </c>
      <c r="G755" s="303"/>
      <c r="H755" s="303"/>
      <c r="I755" s="303" t="s">
        <v>941</v>
      </c>
      <c r="J755" s="303"/>
      <c r="K755" s="303">
        <v>4.5</v>
      </c>
      <c r="L755" s="303"/>
      <c r="M755" s="303"/>
      <c r="N755" s="303" t="s">
        <v>452</v>
      </c>
      <c r="O755" s="303" t="s">
        <v>452</v>
      </c>
      <c r="P755" s="303"/>
      <c r="Q755" s="303"/>
      <c r="R755" s="305"/>
      <c r="S755" s="305"/>
      <c r="T755" s="305"/>
      <c r="U755" s="305"/>
      <c r="V755" s="303"/>
      <c r="W755" s="303"/>
      <c r="X755" s="303"/>
      <c r="Y755" s="303"/>
      <c r="Z755" s="303"/>
      <c r="AA755" s="306"/>
      <c r="AB755" s="306"/>
      <c r="AC755" s="306"/>
    </row>
    <row r="756" spans="1:29" ht="15.75" hidden="1" customHeight="1">
      <c r="A756" s="248">
        <v>44791</v>
      </c>
      <c r="B756" s="219" t="s">
        <v>354</v>
      </c>
      <c r="C756" s="315">
        <v>4.25</v>
      </c>
      <c r="D756" s="219" t="s">
        <v>10546</v>
      </c>
      <c r="E756" s="219" t="s">
        <v>3</v>
      </c>
      <c r="F756" s="219" t="s">
        <v>725</v>
      </c>
      <c r="G756" s="219" t="s">
        <v>10547</v>
      </c>
      <c r="H756" s="219">
        <v>4</v>
      </c>
      <c r="I756" s="219" t="s">
        <v>941</v>
      </c>
      <c r="J756" s="219"/>
      <c r="K756" s="219">
        <v>4.5</v>
      </c>
      <c r="L756" s="219"/>
      <c r="M756" s="312"/>
      <c r="N756" s="219" t="s">
        <v>452</v>
      </c>
      <c r="O756" s="219" t="s">
        <v>452</v>
      </c>
      <c r="P756" s="219"/>
      <c r="Q756" s="219" t="s">
        <v>18</v>
      </c>
      <c r="R756" s="251"/>
      <c r="S756" s="251"/>
      <c r="T756" s="251"/>
      <c r="U756" s="251"/>
      <c r="V756" s="219"/>
      <c r="W756" s="219"/>
      <c r="X756" s="219"/>
      <c r="Y756" s="219"/>
      <c r="Z756" s="219"/>
      <c r="AA756" s="219"/>
      <c r="AB756" s="219"/>
      <c r="AC756" s="219"/>
    </row>
    <row r="757" spans="1:29" ht="15.75" hidden="1" customHeight="1">
      <c r="A757" s="255">
        <v>44782</v>
      </c>
      <c r="B757" s="239" t="s">
        <v>102</v>
      </c>
      <c r="C757" s="249">
        <v>3.25</v>
      </c>
      <c r="D757" s="239" t="s">
        <v>9450</v>
      </c>
      <c r="E757" s="250" t="s">
        <v>3</v>
      </c>
      <c r="F757" s="239" t="s">
        <v>460</v>
      </c>
      <c r="G757" s="239" t="s">
        <v>9451</v>
      </c>
      <c r="H757" s="239">
        <v>3</v>
      </c>
      <c r="I757" s="239" t="s">
        <v>941</v>
      </c>
      <c r="J757" s="239"/>
      <c r="K757" s="239">
        <v>3.5</v>
      </c>
      <c r="L757" s="239" t="s">
        <v>451</v>
      </c>
      <c r="M757" s="239">
        <v>1000000</v>
      </c>
      <c r="N757" s="239" t="s">
        <v>452</v>
      </c>
      <c r="O757" s="239" t="s">
        <v>11537</v>
      </c>
      <c r="P757" s="239"/>
      <c r="Q757" s="239" t="s">
        <v>19</v>
      </c>
      <c r="R757" s="256" t="s">
        <v>9453</v>
      </c>
      <c r="S757" s="256"/>
      <c r="T757" s="256"/>
      <c r="U757" s="256"/>
      <c r="V757" s="239"/>
      <c r="W757" s="239"/>
      <c r="X757" s="239"/>
      <c r="Y757" s="239"/>
      <c r="Z757" s="239"/>
      <c r="AA757" s="239"/>
      <c r="AB757" s="239"/>
      <c r="AC757" s="239"/>
    </row>
    <row r="758" spans="1:29" ht="15.75" hidden="1" customHeight="1">
      <c r="A758" s="301">
        <v>44789</v>
      </c>
      <c r="B758" s="303" t="s">
        <v>693</v>
      </c>
      <c r="C758" s="269"/>
      <c r="D758" s="303" t="s">
        <v>696</v>
      </c>
      <c r="E758" s="270" t="s">
        <v>5</v>
      </c>
      <c r="F758" s="303" t="s">
        <v>447</v>
      </c>
      <c r="G758" s="303" t="s">
        <v>10301</v>
      </c>
      <c r="H758" s="303">
        <v>4</v>
      </c>
      <c r="I758" s="303" t="s">
        <v>543</v>
      </c>
      <c r="J758" s="303"/>
      <c r="K758" s="303"/>
      <c r="L758" s="303" t="s">
        <v>451</v>
      </c>
      <c r="M758" s="303">
        <v>3000000</v>
      </c>
      <c r="N758" s="303" t="s">
        <v>452</v>
      </c>
      <c r="O758" s="303" t="s">
        <v>699</v>
      </c>
      <c r="P758" s="303" t="s">
        <v>700</v>
      </c>
      <c r="Q758" s="303"/>
      <c r="R758" s="305"/>
      <c r="S758" s="305"/>
      <c r="T758" s="305"/>
      <c r="U758" s="305"/>
      <c r="V758" s="303"/>
      <c r="W758" s="303"/>
      <c r="X758" s="303"/>
      <c r="Y758" s="303"/>
      <c r="Z758" s="303"/>
      <c r="AA758" s="306"/>
      <c r="AB758" s="306"/>
      <c r="AC758" s="306"/>
    </row>
    <row r="759" spans="1:29" ht="15.75" hidden="1" customHeight="1">
      <c r="A759" s="253">
        <v>44789</v>
      </c>
      <c r="B759" s="224" t="s">
        <v>693</v>
      </c>
      <c r="C759" s="249">
        <v>4</v>
      </c>
      <c r="D759" s="224" t="s">
        <v>696</v>
      </c>
      <c r="E759" s="250" t="s">
        <v>5</v>
      </c>
      <c r="F759" s="224" t="s">
        <v>447</v>
      </c>
      <c r="G759" s="224" t="s">
        <v>10301</v>
      </c>
      <c r="H759" s="224">
        <v>4</v>
      </c>
      <c r="I759" s="224" t="s">
        <v>543</v>
      </c>
      <c r="J759" s="224" t="s">
        <v>11620</v>
      </c>
      <c r="K759" s="224">
        <v>4</v>
      </c>
      <c r="L759" s="224" t="s">
        <v>451</v>
      </c>
      <c r="M759" s="224">
        <v>3000000</v>
      </c>
      <c r="N759" s="224" t="s">
        <v>452</v>
      </c>
      <c r="O759" s="224" t="s">
        <v>699</v>
      </c>
      <c r="P759" s="224" t="s">
        <v>700</v>
      </c>
      <c r="Q759" s="224" t="s">
        <v>18</v>
      </c>
      <c r="R759" s="254"/>
      <c r="S759" s="254"/>
      <c r="T759" s="254"/>
      <c r="U759" s="254"/>
      <c r="V759" s="252"/>
      <c r="W759" s="252"/>
      <c r="X759" s="252"/>
      <c r="Y759" s="224"/>
      <c r="Z759" s="224"/>
      <c r="AA759" s="224"/>
      <c r="AB759" s="224"/>
      <c r="AC759" s="224"/>
    </row>
    <row r="760" spans="1:29" ht="15.75" hidden="1" customHeight="1">
      <c r="A760" s="301">
        <v>44789</v>
      </c>
      <c r="B760" s="303" t="s">
        <v>304</v>
      </c>
      <c r="C760" s="269"/>
      <c r="D760" s="303" t="s">
        <v>9526</v>
      </c>
      <c r="E760" s="270" t="s">
        <v>3</v>
      </c>
      <c r="F760" s="303" t="s">
        <v>460</v>
      </c>
      <c r="G760" s="303"/>
      <c r="H760" s="303"/>
      <c r="I760" s="303" t="s">
        <v>488</v>
      </c>
      <c r="J760" s="303" t="s">
        <v>9528</v>
      </c>
      <c r="K760" s="303">
        <v>4</v>
      </c>
      <c r="L760" s="303"/>
      <c r="M760" s="303"/>
      <c r="N760" s="303" t="s">
        <v>452</v>
      </c>
      <c r="O760" s="303" t="s">
        <v>9529</v>
      </c>
      <c r="P760" s="303"/>
      <c r="Q760" s="303"/>
      <c r="R760" s="305"/>
      <c r="S760" s="305"/>
      <c r="T760" s="305"/>
      <c r="U760" s="305"/>
      <c r="V760" s="303"/>
      <c r="W760" s="303"/>
      <c r="X760" s="303"/>
      <c r="Y760" s="303"/>
      <c r="Z760" s="303"/>
      <c r="AA760" s="306"/>
      <c r="AB760" s="306"/>
      <c r="AC760" s="306"/>
    </row>
    <row r="761" spans="1:29" ht="15.75" customHeight="1">
      <c r="A761" s="253">
        <v>44789</v>
      </c>
      <c r="B761" s="224" t="s">
        <v>6746</v>
      </c>
      <c r="C761" s="249">
        <v>2.25</v>
      </c>
      <c r="D761" s="224" t="s">
        <v>6749</v>
      </c>
      <c r="E761" s="250" t="s">
        <v>4</v>
      </c>
      <c r="F761" s="224" t="s">
        <v>727</v>
      </c>
      <c r="G761" s="224" t="s">
        <v>6750</v>
      </c>
      <c r="H761" s="224">
        <v>2.5</v>
      </c>
      <c r="I761" s="224" t="s">
        <v>1045</v>
      </c>
      <c r="J761" s="224" t="s">
        <v>6751</v>
      </c>
      <c r="K761" s="224">
        <v>2</v>
      </c>
      <c r="L761" s="224"/>
      <c r="M761" s="224"/>
      <c r="N761" s="224" t="s">
        <v>452</v>
      </c>
      <c r="O761" s="224" t="s">
        <v>6289</v>
      </c>
      <c r="P761" s="224"/>
      <c r="Q761" s="224" t="s">
        <v>24</v>
      </c>
      <c r="R761" s="224"/>
      <c r="S761" s="224" t="str">
        <f>IFERROR(VLOOKUP(B761,'2022-2023 Third Reviews'!$C:$S,9,FALSE),"")</f>
        <v/>
      </c>
      <c r="T761" s="224"/>
      <c r="U761" s="224"/>
      <c r="V761" s="252"/>
      <c r="W761" s="252"/>
      <c r="X761" s="252"/>
      <c r="Y761" s="224"/>
      <c r="Z761" s="224"/>
      <c r="AA761" s="224"/>
      <c r="AB761" s="224"/>
      <c r="AC761" s="224"/>
    </row>
    <row r="762" spans="1:29" ht="15.75" customHeight="1">
      <c r="A762" s="248">
        <v>44789</v>
      </c>
      <c r="B762" s="219" t="s">
        <v>6754</v>
      </c>
      <c r="C762" s="249">
        <v>2.25</v>
      </c>
      <c r="D762" s="219" t="s">
        <v>6757</v>
      </c>
      <c r="E762" s="250" t="s">
        <v>4</v>
      </c>
      <c r="F762" s="219" t="s">
        <v>602</v>
      </c>
      <c r="G762" s="219" t="s">
        <v>6758</v>
      </c>
      <c r="H762" s="219">
        <v>2.5</v>
      </c>
      <c r="I762" s="219" t="s">
        <v>1054</v>
      </c>
      <c r="J762" s="219" t="s">
        <v>10958</v>
      </c>
      <c r="K762" s="219">
        <v>2</v>
      </c>
      <c r="L762" s="219"/>
      <c r="M762" s="219"/>
      <c r="N762" s="219" t="s">
        <v>452</v>
      </c>
      <c r="O762" s="219" t="s">
        <v>6760</v>
      </c>
      <c r="P762" s="219"/>
      <c r="Q762" s="219" t="s">
        <v>24</v>
      </c>
      <c r="R762" s="219"/>
      <c r="S762" s="219" t="str">
        <f>IFERROR(VLOOKUP(B762,'2022-2023 Third Reviews'!$C:$S,9,FALSE),"")</f>
        <v/>
      </c>
      <c r="T762" s="219"/>
      <c r="U762" s="219"/>
      <c r="V762" s="219"/>
      <c r="W762" s="219"/>
      <c r="X762" s="219"/>
      <c r="Y762" s="219"/>
      <c r="Z762" s="219"/>
      <c r="AA762" s="219"/>
      <c r="AB762" s="219"/>
      <c r="AC762" s="219"/>
    </row>
    <row r="763" spans="1:29" ht="15.75" hidden="1" customHeight="1">
      <c r="A763" s="233">
        <v>44776</v>
      </c>
      <c r="B763" s="234" t="s">
        <v>2842</v>
      </c>
      <c r="C763" s="235">
        <v>3</v>
      </c>
      <c r="D763" s="234" t="s">
        <v>2845</v>
      </c>
      <c r="E763" s="234" t="s">
        <v>5</v>
      </c>
      <c r="F763" s="234" t="s">
        <v>460</v>
      </c>
      <c r="G763" s="234"/>
      <c r="H763" s="234">
        <v>3</v>
      </c>
      <c r="I763" s="234" t="s">
        <v>488</v>
      </c>
      <c r="J763" s="234" t="s">
        <v>2846</v>
      </c>
      <c r="K763" s="234">
        <v>3</v>
      </c>
      <c r="L763" s="234" t="s">
        <v>478</v>
      </c>
      <c r="M763" s="234">
        <v>3000000</v>
      </c>
      <c r="N763" s="234" t="s">
        <v>452</v>
      </c>
      <c r="O763" s="234" t="s">
        <v>2847</v>
      </c>
      <c r="P763" s="237" t="s">
        <v>10184</v>
      </c>
      <c r="Q763" s="234" t="s">
        <v>24</v>
      </c>
      <c r="R763" s="238" t="s">
        <v>2849</v>
      </c>
      <c r="S763" s="238"/>
      <c r="T763" s="238"/>
      <c r="U763" s="238"/>
      <c r="V763" s="234"/>
      <c r="W763" s="234"/>
      <c r="X763" s="234"/>
      <c r="Y763" s="239"/>
      <c r="Z763" s="239"/>
      <c r="AA763" s="239"/>
      <c r="AB763" s="239"/>
      <c r="AC763" s="239"/>
    </row>
    <row r="764" spans="1:29" ht="15.75" customHeight="1">
      <c r="A764" s="248">
        <v>44789</v>
      </c>
      <c r="B764" s="219" t="s">
        <v>6763</v>
      </c>
      <c r="C764" s="249">
        <v>2.25</v>
      </c>
      <c r="D764" s="219" t="s">
        <v>6766</v>
      </c>
      <c r="E764" s="250" t="s">
        <v>4</v>
      </c>
      <c r="F764" s="219" t="s">
        <v>727</v>
      </c>
      <c r="G764" s="219" t="s">
        <v>10280</v>
      </c>
      <c r="H764" s="219">
        <v>2.5</v>
      </c>
      <c r="I764" s="219" t="s">
        <v>1045</v>
      </c>
      <c r="J764" s="219" t="s">
        <v>6768</v>
      </c>
      <c r="K764" s="219">
        <v>2</v>
      </c>
      <c r="L764" s="219" t="s">
        <v>478</v>
      </c>
      <c r="M764" s="312">
        <v>5000000</v>
      </c>
      <c r="N764" s="219" t="s">
        <v>465</v>
      </c>
      <c r="O764" s="219" t="s">
        <v>6769</v>
      </c>
      <c r="P764" s="219"/>
      <c r="Q764" s="219" t="s">
        <v>24</v>
      </c>
      <c r="R764" s="219"/>
      <c r="S764" s="219" t="str">
        <f>IFERROR(VLOOKUP(B764,'2022-2023 Third Reviews'!$C:$S,9,FALSE),"")</f>
        <v/>
      </c>
      <c r="T764" s="219"/>
      <c r="U764" s="219"/>
      <c r="V764" s="219"/>
      <c r="W764" s="219"/>
      <c r="X764" s="219"/>
      <c r="Y764" s="219"/>
      <c r="Z764" s="219"/>
      <c r="AA764" s="219"/>
      <c r="AB764" s="219"/>
      <c r="AC764" s="219"/>
    </row>
    <row r="765" spans="1:29" ht="15.75" customHeight="1">
      <c r="A765" s="253">
        <v>44796</v>
      </c>
      <c r="B765" s="224" t="s">
        <v>6771</v>
      </c>
      <c r="C765" s="316">
        <v>2.25</v>
      </c>
      <c r="D765" s="224" t="s">
        <v>6774</v>
      </c>
      <c r="E765" s="224" t="s">
        <v>4</v>
      </c>
      <c r="F765" s="224" t="s">
        <v>447</v>
      </c>
      <c r="G765" s="224" t="s">
        <v>11021</v>
      </c>
      <c r="H765" s="224">
        <v>2.5</v>
      </c>
      <c r="I765" s="224" t="s">
        <v>1298</v>
      </c>
      <c r="J765" s="224" t="s">
        <v>6776</v>
      </c>
      <c r="K765" s="224">
        <v>2</v>
      </c>
      <c r="L765" s="224" t="s">
        <v>451</v>
      </c>
      <c r="M765" s="224">
        <v>2.5</v>
      </c>
      <c r="N765" s="224" t="s">
        <v>465</v>
      </c>
      <c r="O765" s="224" t="s">
        <v>575</v>
      </c>
      <c r="P765" s="224" t="s">
        <v>6777</v>
      </c>
      <c r="Q765" s="224" t="s">
        <v>24</v>
      </c>
      <c r="R765" s="224"/>
      <c r="S765" s="224" t="str">
        <f>IFERROR(VLOOKUP(B765,'2022-2023 Third Reviews'!$C:$S,9,FALSE),"")</f>
        <v/>
      </c>
      <c r="T765" s="224"/>
      <c r="U765" s="224"/>
      <c r="V765" s="252"/>
      <c r="W765" s="252"/>
      <c r="X765" s="252"/>
      <c r="Y765" s="224"/>
      <c r="Z765" s="224"/>
      <c r="AA765" s="224"/>
      <c r="AB765" s="224"/>
      <c r="AC765" s="224"/>
    </row>
    <row r="766" spans="1:29" ht="15.75" customHeight="1">
      <c r="A766" s="398">
        <v>44784</v>
      </c>
      <c r="B766" s="268" t="s">
        <v>6780</v>
      </c>
      <c r="C766" s="269">
        <v>2.25</v>
      </c>
      <c r="D766" s="300" t="s">
        <v>6783</v>
      </c>
      <c r="E766" s="270" t="s">
        <v>4</v>
      </c>
      <c r="F766" s="268" t="s">
        <v>602</v>
      </c>
      <c r="G766" s="268" t="s">
        <v>6784</v>
      </c>
      <c r="H766" s="268">
        <v>2.5</v>
      </c>
      <c r="I766" s="268" t="s">
        <v>1054</v>
      </c>
      <c r="J766" s="268" t="s">
        <v>6785</v>
      </c>
      <c r="K766" s="268">
        <v>2</v>
      </c>
      <c r="L766" s="268" t="s">
        <v>451</v>
      </c>
      <c r="M766" s="285">
        <v>3000000</v>
      </c>
      <c r="N766" s="268" t="s">
        <v>452</v>
      </c>
      <c r="O766" s="285" t="s">
        <v>452</v>
      </c>
      <c r="P766" s="268"/>
      <c r="Q766" s="268" t="s">
        <v>24</v>
      </c>
      <c r="R766" s="268"/>
      <c r="S766" s="268" t="str">
        <f>IFERROR(VLOOKUP(B766,'2022-2023 Third Reviews'!$C:$S,9,FALSE),"")</f>
        <v/>
      </c>
      <c r="T766" s="268"/>
      <c r="U766" s="268"/>
      <c r="V766" s="219"/>
      <c r="W766" s="219"/>
      <c r="X766" s="219"/>
      <c r="Y766" s="219"/>
      <c r="Z766" s="219"/>
      <c r="AA766" s="219"/>
      <c r="AB766" s="219"/>
      <c r="AC766" s="219"/>
    </row>
    <row r="767" spans="1:29" ht="15.75" customHeight="1">
      <c r="A767" s="253">
        <v>44789</v>
      </c>
      <c r="B767" s="224" t="s">
        <v>6788</v>
      </c>
      <c r="C767" s="249">
        <v>2.25</v>
      </c>
      <c r="D767" s="224" t="s">
        <v>6791</v>
      </c>
      <c r="E767" s="250" t="s">
        <v>4</v>
      </c>
      <c r="F767" s="224" t="s">
        <v>602</v>
      </c>
      <c r="G767" s="224" t="s">
        <v>6792</v>
      </c>
      <c r="H767" s="224">
        <v>2</v>
      </c>
      <c r="I767" s="224" t="s">
        <v>476</v>
      </c>
      <c r="J767" s="224" t="s">
        <v>13400</v>
      </c>
      <c r="K767" s="224">
        <v>2.5</v>
      </c>
      <c r="L767" s="224" t="s">
        <v>784</v>
      </c>
      <c r="M767" s="307">
        <v>306000</v>
      </c>
      <c r="N767" s="224" t="s">
        <v>452</v>
      </c>
      <c r="O767" s="224" t="s">
        <v>6794</v>
      </c>
      <c r="P767" s="224"/>
      <c r="Q767" s="224" t="s">
        <v>24</v>
      </c>
      <c r="R767" s="224"/>
      <c r="S767" s="224" t="str">
        <f ca="1">IFERROR(VLOOKUP(B767,'2022-2023 Third Reviews'!$C:$S,9,FALSE),"")</f>
        <v>John McDonald
4</v>
      </c>
      <c r="T767" s="224" t="s">
        <v>13051</v>
      </c>
      <c r="U767" s="224"/>
      <c r="V767" s="252"/>
      <c r="W767" s="252"/>
      <c r="X767" s="252"/>
      <c r="Y767" s="224"/>
      <c r="Z767" s="224"/>
      <c r="AA767" s="224"/>
      <c r="AB767" s="224"/>
      <c r="AC767" s="224"/>
    </row>
    <row r="768" spans="1:29" ht="15.75" hidden="1" customHeight="1">
      <c r="A768" s="227">
        <v>44776</v>
      </c>
      <c r="B768" s="228" t="s">
        <v>355</v>
      </c>
      <c r="C768" s="214">
        <v>4</v>
      </c>
      <c r="D768" s="228" t="s">
        <v>9764</v>
      </c>
      <c r="E768" s="215" t="s">
        <v>3</v>
      </c>
      <c r="F768" s="228" t="s">
        <v>460</v>
      </c>
      <c r="G768" s="228" t="s">
        <v>9765</v>
      </c>
      <c r="H768" s="228">
        <v>4</v>
      </c>
      <c r="I768" s="228" t="s">
        <v>462</v>
      </c>
      <c r="J768" s="228" t="s">
        <v>9766</v>
      </c>
      <c r="K768" s="228">
        <v>4</v>
      </c>
      <c r="L768" s="228" t="s">
        <v>784</v>
      </c>
      <c r="M768" s="228">
        <v>3000000</v>
      </c>
      <c r="N768" s="228" t="s">
        <v>452</v>
      </c>
      <c r="O768" s="228" t="s">
        <v>555</v>
      </c>
      <c r="P768" s="230" t="s">
        <v>1281</v>
      </c>
      <c r="Q768" s="228" t="str">
        <f t="array" ref="Q768">INDEX(Notes!B:B,MATCH($B768,Notes!$A:$A,0))</f>
        <v>Invite</v>
      </c>
      <c r="R768" s="231" t="s">
        <v>11393</v>
      </c>
      <c r="S768" s="231"/>
      <c r="T768" s="231"/>
      <c r="U768" s="231"/>
      <c r="V768" s="228"/>
      <c r="W768" s="228"/>
      <c r="X768" s="228"/>
      <c r="Y768" s="219"/>
      <c r="Z768" s="219"/>
      <c r="AA768" s="219"/>
      <c r="AB768" s="219"/>
      <c r="AC768" s="219"/>
    </row>
    <row r="769" spans="1:29" ht="15.75" hidden="1" customHeight="1">
      <c r="A769" s="257">
        <v>44791</v>
      </c>
      <c r="B769" s="258" t="s">
        <v>9769</v>
      </c>
      <c r="C769" s="263">
        <v>3.75</v>
      </c>
      <c r="D769" s="258" t="s">
        <v>9772</v>
      </c>
      <c r="E769" s="258" t="s">
        <v>3</v>
      </c>
      <c r="F769" s="258" t="s">
        <v>460</v>
      </c>
      <c r="G769" s="258" t="s">
        <v>11665</v>
      </c>
      <c r="H769" s="258">
        <v>3.5</v>
      </c>
      <c r="I769" s="258" t="s">
        <v>941</v>
      </c>
      <c r="J769" s="258" t="s">
        <v>9773</v>
      </c>
      <c r="K769" s="258">
        <v>4</v>
      </c>
      <c r="L769" s="258" t="s">
        <v>784</v>
      </c>
      <c r="M769" s="309">
        <v>300000</v>
      </c>
      <c r="N769" s="258" t="s">
        <v>452</v>
      </c>
      <c r="O769" s="258" t="s">
        <v>452</v>
      </c>
      <c r="P769" s="258"/>
      <c r="Q769" s="258" t="s">
        <v>23</v>
      </c>
      <c r="R769" s="259" t="s">
        <v>9774</v>
      </c>
      <c r="S769" s="259"/>
      <c r="T769" s="259"/>
      <c r="U769" s="259"/>
      <c r="V769" s="258"/>
      <c r="W769" s="258"/>
      <c r="X769" s="258"/>
      <c r="Y769" s="258"/>
      <c r="Z769" s="258"/>
      <c r="AA769" s="258"/>
      <c r="AB769" s="258"/>
      <c r="AC769" s="258"/>
    </row>
    <row r="770" spans="1:29" ht="15.75" customHeight="1">
      <c r="A770" s="398">
        <v>44784</v>
      </c>
      <c r="B770" s="268" t="s">
        <v>6797</v>
      </c>
      <c r="C770" s="269">
        <v>2.25</v>
      </c>
      <c r="D770" s="268" t="s">
        <v>6800</v>
      </c>
      <c r="E770" s="270" t="s">
        <v>4</v>
      </c>
      <c r="F770" s="268" t="s">
        <v>602</v>
      </c>
      <c r="G770" s="268" t="s">
        <v>6801</v>
      </c>
      <c r="H770" s="268">
        <v>2</v>
      </c>
      <c r="I770" s="268" t="s">
        <v>727</v>
      </c>
      <c r="J770" s="268" t="s">
        <v>10313</v>
      </c>
      <c r="K770" s="268">
        <v>2.5</v>
      </c>
      <c r="L770" s="268" t="s">
        <v>784</v>
      </c>
      <c r="M770" s="268">
        <v>500000</v>
      </c>
      <c r="N770" s="268" t="s">
        <v>452</v>
      </c>
      <c r="O770" s="268" t="s">
        <v>10314</v>
      </c>
      <c r="P770" s="268"/>
      <c r="Q770" s="268" t="s">
        <v>24</v>
      </c>
      <c r="R770" s="268"/>
      <c r="S770" s="268" t="str">
        <f ca="1">IFERROR(VLOOKUP(B770,'2022-2023 Third Reviews'!$C:$S,9,FALSE),"")</f>
        <v>Ahmed Bahgat
4</v>
      </c>
      <c r="T770" s="268"/>
      <c r="U770" s="268"/>
      <c r="V770" s="268"/>
      <c r="W770" s="268"/>
      <c r="X770" s="268"/>
      <c r="Y770" s="268"/>
      <c r="Z770" s="268"/>
      <c r="AA770" s="219"/>
      <c r="AB770" s="219"/>
      <c r="AC770" s="219"/>
    </row>
    <row r="771" spans="1:29" ht="15.75" hidden="1" customHeight="1">
      <c r="A771" s="267">
        <v>44784</v>
      </c>
      <c r="B771" s="272" t="s">
        <v>2852</v>
      </c>
      <c r="C771" s="269">
        <v>2</v>
      </c>
      <c r="D771" s="272" t="s">
        <v>2855</v>
      </c>
      <c r="E771" s="270" t="s">
        <v>5</v>
      </c>
      <c r="F771" s="272" t="s">
        <v>447</v>
      </c>
      <c r="G771" s="272" t="s">
        <v>10471</v>
      </c>
      <c r="H771" s="272">
        <v>2</v>
      </c>
      <c r="I771" s="272" t="s">
        <v>622</v>
      </c>
      <c r="J771" s="272" t="s">
        <v>2857</v>
      </c>
      <c r="K771" s="272">
        <v>2</v>
      </c>
      <c r="L771" s="272"/>
      <c r="M771" s="272"/>
      <c r="N771" s="272" t="s">
        <v>452</v>
      </c>
      <c r="O771" s="272" t="s">
        <v>452</v>
      </c>
      <c r="P771" s="272" t="s">
        <v>1343</v>
      </c>
      <c r="Q771" s="272" t="s">
        <v>24</v>
      </c>
      <c r="R771" s="274"/>
      <c r="S771" s="274"/>
      <c r="T771" s="274"/>
      <c r="U771" s="274"/>
      <c r="V771" s="272"/>
      <c r="W771" s="272"/>
      <c r="X771" s="272"/>
      <c r="Y771" s="272"/>
      <c r="Z771" s="272"/>
      <c r="AA771" s="224"/>
      <c r="AB771" s="224"/>
      <c r="AC771" s="224"/>
    </row>
    <row r="772" spans="1:29" ht="15.75" hidden="1" customHeight="1">
      <c r="A772" s="280">
        <v>44784</v>
      </c>
      <c r="B772" s="281" t="s">
        <v>97</v>
      </c>
      <c r="C772" s="282">
        <v>4.5</v>
      </c>
      <c r="D772" s="281" t="s">
        <v>705</v>
      </c>
      <c r="E772" s="281" t="s">
        <v>5</v>
      </c>
      <c r="F772" s="281" t="s">
        <v>447</v>
      </c>
      <c r="G772" s="281" t="s">
        <v>10446</v>
      </c>
      <c r="H772" s="281">
        <v>5</v>
      </c>
      <c r="I772" s="281" t="s">
        <v>622</v>
      </c>
      <c r="J772" s="281" t="s">
        <v>707</v>
      </c>
      <c r="K772" s="281">
        <v>4</v>
      </c>
      <c r="L772" s="281" t="s">
        <v>451</v>
      </c>
      <c r="M772" s="281" t="s">
        <v>708</v>
      </c>
      <c r="N772" s="281" t="s">
        <v>452</v>
      </c>
      <c r="O772" s="281" t="s">
        <v>709</v>
      </c>
      <c r="P772" s="281" t="s">
        <v>710</v>
      </c>
      <c r="Q772" s="281" t="s">
        <v>18</v>
      </c>
      <c r="R772" s="283" t="s">
        <v>711</v>
      </c>
      <c r="S772" s="283"/>
      <c r="T772" s="283"/>
      <c r="U772" s="283"/>
      <c r="V772" s="281"/>
      <c r="W772" s="281"/>
      <c r="X772" s="281"/>
      <c r="Y772" s="281"/>
      <c r="Z772" s="281"/>
      <c r="AA772" s="258"/>
      <c r="AB772" s="258"/>
      <c r="AC772" s="258"/>
    </row>
    <row r="773" spans="1:29" ht="15.75" hidden="1" customHeight="1">
      <c r="A773" s="253">
        <v>44782</v>
      </c>
      <c r="B773" s="224" t="s">
        <v>98</v>
      </c>
      <c r="C773" s="249">
        <v>4.75</v>
      </c>
      <c r="D773" s="224" t="s">
        <v>11522</v>
      </c>
      <c r="E773" s="250" t="s">
        <v>5</v>
      </c>
      <c r="F773" s="224" t="s">
        <v>447</v>
      </c>
      <c r="G773" s="224" t="s">
        <v>717</v>
      </c>
      <c r="H773" s="224">
        <v>4.5</v>
      </c>
      <c r="I773" s="224" t="s">
        <v>449</v>
      </c>
      <c r="J773" s="224" t="s">
        <v>13400</v>
      </c>
      <c r="K773" s="224">
        <v>5</v>
      </c>
      <c r="L773" s="224" t="s">
        <v>451</v>
      </c>
      <c r="M773" s="224">
        <v>6000000</v>
      </c>
      <c r="N773" s="224" t="s">
        <v>454</v>
      </c>
      <c r="O773" s="224" t="s">
        <v>452</v>
      </c>
      <c r="P773" s="224"/>
      <c r="Q773" s="224" t="s">
        <v>18</v>
      </c>
      <c r="R773" s="254" t="s">
        <v>11523</v>
      </c>
      <c r="S773" s="254"/>
      <c r="T773" s="254"/>
      <c r="U773" s="254"/>
      <c r="V773" s="252"/>
      <c r="W773" s="252"/>
      <c r="X773" s="252"/>
      <c r="Y773" s="224"/>
      <c r="Z773" s="224"/>
      <c r="AA773" s="224"/>
      <c r="AB773" s="224"/>
      <c r="AC773" s="224"/>
    </row>
    <row r="774" spans="1:29" ht="15.75" hidden="1" customHeight="1">
      <c r="A774" s="276">
        <v>44784</v>
      </c>
      <c r="B774" s="277" t="s">
        <v>99</v>
      </c>
      <c r="C774" s="278">
        <v>4.5</v>
      </c>
      <c r="D774" s="277" t="s">
        <v>724</v>
      </c>
      <c r="E774" s="277" t="s">
        <v>5</v>
      </c>
      <c r="F774" s="277" t="s">
        <v>725</v>
      </c>
      <c r="G774" s="277" t="s">
        <v>10323</v>
      </c>
      <c r="H774" s="277">
        <v>5</v>
      </c>
      <c r="I774" s="277" t="s">
        <v>727</v>
      </c>
      <c r="J774" s="277" t="s">
        <v>10324</v>
      </c>
      <c r="K774" s="277">
        <v>4</v>
      </c>
      <c r="L774" s="277" t="s">
        <v>451</v>
      </c>
      <c r="M774" s="277" t="s">
        <v>729</v>
      </c>
      <c r="N774" s="277" t="s">
        <v>452</v>
      </c>
      <c r="O774" s="277" t="s">
        <v>730</v>
      </c>
      <c r="P774" s="277"/>
      <c r="Q774" s="277" t="s">
        <v>18</v>
      </c>
      <c r="R774" s="279" t="s">
        <v>731</v>
      </c>
      <c r="S774" s="279"/>
      <c r="T774" s="279"/>
      <c r="U774" s="279"/>
      <c r="V774" s="277"/>
      <c r="W774" s="277"/>
      <c r="X774" s="277"/>
      <c r="Y774" s="277"/>
      <c r="Z774" s="277"/>
      <c r="AA774" s="239"/>
      <c r="AB774" s="239"/>
      <c r="AC774" s="239"/>
    </row>
    <row r="775" spans="1:29" ht="15.75" hidden="1" customHeight="1">
      <c r="A775" s="301">
        <v>44789</v>
      </c>
      <c r="B775" s="303" t="s">
        <v>107</v>
      </c>
      <c r="C775" s="269"/>
      <c r="D775" s="303" t="s">
        <v>10253</v>
      </c>
      <c r="E775" s="270" t="s">
        <v>5</v>
      </c>
      <c r="F775" s="303" t="s">
        <v>447</v>
      </c>
      <c r="G775" s="303" t="s">
        <v>10254</v>
      </c>
      <c r="H775" s="303">
        <v>3.5</v>
      </c>
      <c r="I775" s="303" t="s">
        <v>543</v>
      </c>
      <c r="J775" s="303"/>
      <c r="K775" s="303"/>
      <c r="L775" s="303"/>
      <c r="M775" s="303"/>
      <c r="N775" s="303" t="s">
        <v>452</v>
      </c>
      <c r="O775" s="303" t="s">
        <v>452</v>
      </c>
      <c r="P775" s="303"/>
      <c r="Q775" s="303"/>
      <c r="R775" s="305"/>
      <c r="S775" s="305"/>
      <c r="T775" s="305"/>
      <c r="U775" s="305"/>
      <c r="V775" s="303"/>
      <c r="W775" s="303"/>
      <c r="X775" s="303"/>
      <c r="Y775" s="303"/>
      <c r="Z775" s="303"/>
      <c r="AA775" s="306"/>
      <c r="AB775" s="306"/>
      <c r="AC775" s="306"/>
    </row>
    <row r="776" spans="1:29" ht="15.75" hidden="1" customHeight="1">
      <c r="A776" s="257">
        <v>44789</v>
      </c>
      <c r="B776" s="258" t="s">
        <v>107</v>
      </c>
      <c r="C776" s="263">
        <v>3.75</v>
      </c>
      <c r="D776" s="258" t="s">
        <v>10253</v>
      </c>
      <c r="E776" s="258" t="s">
        <v>5</v>
      </c>
      <c r="F776" s="258" t="s">
        <v>447</v>
      </c>
      <c r="G776" s="258" t="s">
        <v>10254</v>
      </c>
      <c r="H776" s="258">
        <v>3.5</v>
      </c>
      <c r="I776" s="258" t="s">
        <v>543</v>
      </c>
      <c r="J776" s="258" t="s">
        <v>13400</v>
      </c>
      <c r="K776" s="258">
        <v>4</v>
      </c>
      <c r="L776" s="258"/>
      <c r="M776" s="258"/>
      <c r="N776" s="258" t="s">
        <v>452</v>
      </c>
      <c r="O776" s="258" t="s">
        <v>452</v>
      </c>
      <c r="P776" s="258"/>
      <c r="Q776" s="258" t="s">
        <v>20</v>
      </c>
      <c r="R776" s="259" t="s">
        <v>2865</v>
      </c>
      <c r="S776" s="259"/>
      <c r="T776" s="259"/>
      <c r="U776" s="259"/>
      <c r="V776" s="258"/>
      <c r="W776" s="258"/>
      <c r="X776" s="258"/>
      <c r="Y776" s="258"/>
      <c r="Z776" s="258"/>
      <c r="AA776" s="258"/>
      <c r="AB776" s="258"/>
      <c r="AC776" s="258"/>
    </row>
    <row r="777" spans="1:29" ht="15.75" hidden="1" customHeight="1">
      <c r="A777" s="253">
        <v>44789</v>
      </c>
      <c r="B777" s="224" t="s">
        <v>2868</v>
      </c>
      <c r="C777" s="249">
        <v>2.75</v>
      </c>
      <c r="D777" s="224" t="s">
        <v>2871</v>
      </c>
      <c r="E777" s="250" t="s">
        <v>5</v>
      </c>
      <c r="F777" s="224" t="s">
        <v>447</v>
      </c>
      <c r="G777" s="224" t="s">
        <v>10777</v>
      </c>
      <c r="H777" s="224">
        <v>2</v>
      </c>
      <c r="I777" s="224" t="s">
        <v>449</v>
      </c>
      <c r="J777" s="224" t="s">
        <v>13400</v>
      </c>
      <c r="K777" s="224">
        <v>3.5</v>
      </c>
      <c r="L777" s="224" t="s">
        <v>451</v>
      </c>
      <c r="M777" s="224">
        <v>1500000</v>
      </c>
      <c r="N777" s="224" t="s">
        <v>452</v>
      </c>
      <c r="O777" s="224" t="s">
        <v>452</v>
      </c>
      <c r="P777" s="224"/>
      <c r="Q777" s="224" t="s">
        <v>24</v>
      </c>
      <c r="R777" s="254"/>
      <c r="S777" s="254"/>
      <c r="T777" s="254"/>
      <c r="U777" s="254"/>
      <c r="V777" s="252"/>
      <c r="W777" s="252"/>
      <c r="X777" s="252"/>
      <c r="Y777" s="224"/>
      <c r="Z777" s="224"/>
      <c r="AA777" s="224"/>
      <c r="AB777" s="224"/>
      <c r="AC777" s="224"/>
    </row>
    <row r="778" spans="1:29" ht="15.75" customHeight="1">
      <c r="A778" s="248">
        <v>44797</v>
      </c>
      <c r="B778" s="219" t="s">
        <v>6806</v>
      </c>
      <c r="C778" s="315">
        <v>2.25</v>
      </c>
      <c r="D778" s="219" t="s">
        <v>11156</v>
      </c>
      <c r="E778" s="219" t="s">
        <v>4</v>
      </c>
      <c r="F778" s="219" t="s">
        <v>1045</v>
      </c>
      <c r="G778" s="219" t="s">
        <v>6810</v>
      </c>
      <c r="H778" s="219">
        <v>2</v>
      </c>
      <c r="I778" s="219" t="s">
        <v>622</v>
      </c>
      <c r="J778" s="219" t="s">
        <v>6811</v>
      </c>
      <c r="K778" s="219">
        <v>2.5</v>
      </c>
      <c r="L778" s="219"/>
      <c r="M778" s="219"/>
      <c r="N778" s="219" t="s">
        <v>452</v>
      </c>
      <c r="O778" s="219" t="s">
        <v>6812</v>
      </c>
      <c r="P778" s="219" t="s">
        <v>6813</v>
      </c>
      <c r="Q778" s="219" t="s">
        <v>24</v>
      </c>
      <c r="R778" s="219"/>
      <c r="S778" s="219" t="str">
        <f>IFERROR(VLOOKUP(B778,'2022-2023 Third Reviews'!$C:$S,9,FALSE),"")</f>
        <v/>
      </c>
      <c r="T778" s="219"/>
      <c r="U778" s="219"/>
      <c r="V778" s="219"/>
      <c r="W778" s="219"/>
      <c r="X778" s="219"/>
      <c r="Y778" s="219"/>
      <c r="Z778" s="219"/>
      <c r="AA778" s="219"/>
      <c r="AB778" s="219"/>
      <c r="AC778" s="219"/>
    </row>
    <row r="779" spans="1:29" ht="15.75" customHeight="1">
      <c r="A779" s="253">
        <v>44791</v>
      </c>
      <c r="B779" s="224" t="s">
        <v>6815</v>
      </c>
      <c r="C779" s="316">
        <v>2.25</v>
      </c>
      <c r="D779" s="224" t="s">
        <v>10757</v>
      </c>
      <c r="E779" s="224" t="s">
        <v>4</v>
      </c>
      <c r="F779" s="224" t="s">
        <v>727</v>
      </c>
      <c r="G779" s="224" t="s">
        <v>10758</v>
      </c>
      <c r="H779" s="224">
        <v>2</v>
      </c>
      <c r="I779" s="224" t="s">
        <v>1045</v>
      </c>
      <c r="J779" s="224" t="s">
        <v>10759</v>
      </c>
      <c r="K779" s="224">
        <v>2.5</v>
      </c>
      <c r="L779" s="224"/>
      <c r="M779" s="307"/>
      <c r="N779" s="224" t="s">
        <v>454</v>
      </c>
      <c r="O779" s="224" t="s">
        <v>6821</v>
      </c>
      <c r="P779" s="224" t="s">
        <v>6822</v>
      </c>
      <c r="Q779" s="322" t="s">
        <v>24</v>
      </c>
      <c r="R779" s="224"/>
      <c r="S779" s="224" t="str">
        <f>IFERROR(VLOOKUP(B779,'2022-2023 Third Reviews'!$C:$S,9,FALSE),"")</f>
        <v/>
      </c>
      <c r="T779" s="224"/>
      <c r="U779" s="224"/>
      <c r="V779" s="224"/>
      <c r="W779" s="224"/>
      <c r="X779" s="224"/>
      <c r="Y779" s="224"/>
      <c r="Z779" s="224"/>
      <c r="AA779" s="224"/>
      <c r="AB779" s="224"/>
      <c r="AC779" s="224"/>
    </row>
    <row r="780" spans="1:29" ht="15.75" customHeight="1">
      <c r="A780" s="248">
        <v>44791</v>
      </c>
      <c r="B780" s="219" t="s">
        <v>6825</v>
      </c>
      <c r="C780" s="315">
        <v>2.25</v>
      </c>
      <c r="D780" s="219" t="s">
        <v>6828</v>
      </c>
      <c r="E780" s="219" t="s">
        <v>4</v>
      </c>
      <c r="F780" s="219" t="s">
        <v>725</v>
      </c>
      <c r="G780" s="219" t="s">
        <v>10345</v>
      </c>
      <c r="H780" s="219">
        <v>2.5</v>
      </c>
      <c r="I780" s="219" t="s">
        <v>1045</v>
      </c>
      <c r="J780" s="219" t="s">
        <v>6830</v>
      </c>
      <c r="K780" s="219">
        <v>2</v>
      </c>
      <c r="L780" s="219" t="s">
        <v>451</v>
      </c>
      <c r="M780" s="219">
        <v>2000000</v>
      </c>
      <c r="N780" s="219" t="s">
        <v>452</v>
      </c>
      <c r="O780" s="219" t="s">
        <v>6831</v>
      </c>
      <c r="P780" s="219"/>
      <c r="Q780" s="322" t="s">
        <v>24</v>
      </c>
      <c r="R780" s="219"/>
      <c r="S780" s="219" t="str">
        <f>IFERROR(VLOOKUP(B780,'2022-2023 Third Reviews'!$C:$S,9,FALSE),"")</f>
        <v/>
      </c>
      <c r="T780" s="219"/>
      <c r="U780" s="219"/>
      <c r="V780" s="219"/>
      <c r="W780" s="219"/>
      <c r="X780" s="219"/>
      <c r="Y780" s="219"/>
      <c r="Z780" s="219"/>
      <c r="AA780" s="219"/>
      <c r="AB780" s="219"/>
      <c r="AC780" s="219"/>
    </row>
    <row r="781" spans="1:29" ht="15.75" customHeight="1">
      <c r="A781" s="398">
        <v>44784</v>
      </c>
      <c r="B781" s="272" t="s">
        <v>6834</v>
      </c>
      <c r="C781" s="269">
        <v>2.25</v>
      </c>
      <c r="D781" s="272" t="s">
        <v>11599</v>
      </c>
      <c r="E781" s="270" t="s">
        <v>4</v>
      </c>
      <c r="F781" s="272" t="s">
        <v>602</v>
      </c>
      <c r="G781" s="272" t="s">
        <v>11438</v>
      </c>
      <c r="H781" s="272">
        <v>2</v>
      </c>
      <c r="I781" s="272" t="s">
        <v>1054</v>
      </c>
      <c r="J781" s="272" t="s">
        <v>11439</v>
      </c>
      <c r="K781" s="272">
        <v>2.5</v>
      </c>
      <c r="L781" s="272"/>
      <c r="M781" s="272"/>
      <c r="N781" s="272" t="s">
        <v>454</v>
      </c>
      <c r="O781" s="272" t="s">
        <v>452</v>
      </c>
      <c r="P781" s="272"/>
      <c r="Q781" s="272" t="s">
        <v>24</v>
      </c>
      <c r="R781" s="272"/>
      <c r="S781" s="272" t="str">
        <f>IFERROR(VLOOKUP(B781,'2022-2023 Third Reviews'!$C:$S,9,FALSE),"")</f>
        <v/>
      </c>
      <c r="T781" s="272"/>
      <c r="U781" s="272"/>
      <c r="V781" s="224"/>
      <c r="W781" s="224"/>
      <c r="X781" s="224"/>
      <c r="Y781" s="224"/>
      <c r="Z781" s="224"/>
      <c r="AA781" s="224"/>
      <c r="AB781" s="224"/>
      <c r="AC781" s="224"/>
    </row>
    <row r="782" spans="1:29" ht="15.75" hidden="1" customHeight="1">
      <c r="A782" s="267">
        <v>44784</v>
      </c>
      <c r="B782" s="268" t="s">
        <v>2876</v>
      </c>
      <c r="C782" s="269">
        <v>3</v>
      </c>
      <c r="D782" s="268" t="s">
        <v>2879</v>
      </c>
      <c r="E782" s="270" t="s">
        <v>5</v>
      </c>
      <c r="F782" s="268" t="s">
        <v>447</v>
      </c>
      <c r="G782" s="268" t="s">
        <v>10447</v>
      </c>
      <c r="H782" s="268">
        <v>2</v>
      </c>
      <c r="I782" s="268" t="s">
        <v>476</v>
      </c>
      <c r="J782" s="268" t="s">
        <v>11584</v>
      </c>
      <c r="K782" s="268">
        <v>4</v>
      </c>
      <c r="L782" s="268" t="s">
        <v>451</v>
      </c>
      <c r="M782" s="275">
        <v>5000000</v>
      </c>
      <c r="N782" s="268" t="s">
        <v>452</v>
      </c>
      <c r="O782" s="275" t="s">
        <v>2882</v>
      </c>
      <c r="P782" s="268"/>
      <c r="Q782" s="268" t="s">
        <v>24</v>
      </c>
      <c r="R782" s="271"/>
      <c r="S782" s="271"/>
      <c r="T782" s="271"/>
      <c r="U782" s="271"/>
      <c r="V782" s="268"/>
      <c r="W782" s="268"/>
      <c r="X782" s="268"/>
      <c r="Y782" s="268"/>
      <c r="Z782" s="268"/>
      <c r="AA782" s="219"/>
      <c r="AB782" s="219"/>
      <c r="AC782" s="219"/>
    </row>
    <row r="783" spans="1:29" ht="15.75" customHeight="1">
      <c r="A783" s="253">
        <v>44782</v>
      </c>
      <c r="B783" s="224" t="s">
        <v>6841</v>
      </c>
      <c r="C783" s="249">
        <v>2.25</v>
      </c>
      <c r="D783" s="224" t="s">
        <v>10468</v>
      </c>
      <c r="E783" s="250" t="s">
        <v>4</v>
      </c>
      <c r="F783" s="224" t="s">
        <v>727</v>
      </c>
      <c r="G783" s="224" t="s">
        <v>6845</v>
      </c>
      <c r="H783" s="224">
        <v>2.5</v>
      </c>
      <c r="I783" s="224" t="s">
        <v>1054</v>
      </c>
      <c r="J783" s="224" t="s">
        <v>6846</v>
      </c>
      <c r="K783" s="224">
        <v>2</v>
      </c>
      <c r="L783" s="224" t="s">
        <v>451</v>
      </c>
      <c r="M783" s="224">
        <v>2000000</v>
      </c>
      <c r="N783" s="224" t="s">
        <v>452</v>
      </c>
      <c r="O783" s="224" t="s">
        <v>10469</v>
      </c>
      <c r="P783" s="224"/>
      <c r="Q783" s="224" t="s">
        <v>24</v>
      </c>
      <c r="R783" s="224"/>
      <c r="S783" s="224" t="str">
        <f ca="1">IFERROR(VLOOKUP(B783,'2022-2023 Third Reviews'!$C:$S,9,FALSE),"")</f>
        <v>Joshua Rubnitz
2</v>
      </c>
      <c r="T783" s="224"/>
      <c r="U783" s="224"/>
      <c r="V783" s="306"/>
      <c r="W783" s="306"/>
      <c r="X783" s="306"/>
      <c r="Y783" s="306"/>
      <c r="Z783" s="306"/>
      <c r="AA783" s="306"/>
      <c r="AB783" s="306"/>
      <c r="AC783" s="306"/>
    </row>
    <row r="784" spans="1:29" ht="15.75" hidden="1" customHeight="1">
      <c r="A784" s="301">
        <v>44789</v>
      </c>
      <c r="B784" s="303" t="s">
        <v>2885</v>
      </c>
      <c r="C784" s="269"/>
      <c r="D784" s="303" t="s">
        <v>2888</v>
      </c>
      <c r="E784" s="270" t="s">
        <v>5</v>
      </c>
      <c r="F784" s="303" t="s">
        <v>725</v>
      </c>
      <c r="G784" s="303"/>
      <c r="H784" s="303"/>
      <c r="I784" s="303" t="s">
        <v>622</v>
      </c>
      <c r="J784" s="303" t="s">
        <v>2890</v>
      </c>
      <c r="K784" s="303">
        <v>2.5</v>
      </c>
      <c r="L784" s="303"/>
      <c r="M784" s="303"/>
      <c r="N784" s="303" t="s">
        <v>452</v>
      </c>
      <c r="O784" s="303" t="s">
        <v>2891</v>
      </c>
      <c r="P784" s="303" t="s">
        <v>2892</v>
      </c>
      <c r="Q784" s="303"/>
      <c r="R784" s="305"/>
      <c r="S784" s="305"/>
      <c r="T784" s="305"/>
      <c r="U784" s="305"/>
      <c r="V784" s="303"/>
      <c r="W784" s="303"/>
      <c r="X784" s="303"/>
      <c r="Y784" s="303"/>
      <c r="Z784" s="303"/>
      <c r="AA784" s="306"/>
      <c r="AB784" s="306"/>
      <c r="AC784" s="306"/>
    </row>
    <row r="785" spans="1:29" ht="15.75" hidden="1" customHeight="1">
      <c r="A785" s="253">
        <v>44789</v>
      </c>
      <c r="B785" s="224" t="s">
        <v>2885</v>
      </c>
      <c r="C785" s="249">
        <v>2.25</v>
      </c>
      <c r="D785" s="224" t="s">
        <v>2888</v>
      </c>
      <c r="E785" s="250" t="s">
        <v>5</v>
      </c>
      <c r="F785" s="224" t="s">
        <v>447</v>
      </c>
      <c r="G785" s="224" t="s">
        <v>10763</v>
      </c>
      <c r="H785" s="224">
        <v>2</v>
      </c>
      <c r="I785" s="224" t="s">
        <v>622</v>
      </c>
      <c r="J785" s="224" t="s">
        <v>2890</v>
      </c>
      <c r="K785" s="224">
        <v>2.5</v>
      </c>
      <c r="L785" s="224"/>
      <c r="M785" s="224"/>
      <c r="N785" s="224" t="s">
        <v>452</v>
      </c>
      <c r="O785" s="224" t="s">
        <v>2891</v>
      </c>
      <c r="P785" s="224" t="s">
        <v>2892</v>
      </c>
      <c r="Q785" s="224" t="s">
        <v>24</v>
      </c>
      <c r="R785" s="254"/>
      <c r="S785" s="254"/>
      <c r="T785" s="254"/>
      <c r="U785" s="254"/>
      <c r="V785" s="252"/>
      <c r="W785" s="252"/>
      <c r="X785" s="252"/>
      <c r="Y785" s="224"/>
      <c r="Z785" s="224"/>
      <c r="AA785" s="224"/>
      <c r="AB785" s="224"/>
      <c r="AC785" s="224"/>
    </row>
    <row r="786" spans="1:29" ht="15.75" hidden="1" customHeight="1">
      <c r="A786" s="257">
        <v>44782</v>
      </c>
      <c r="B786" s="258" t="s">
        <v>9776</v>
      </c>
      <c r="C786" s="249">
        <v>3</v>
      </c>
      <c r="D786" s="258" t="s">
        <v>9779</v>
      </c>
      <c r="E786" s="250" t="s">
        <v>3</v>
      </c>
      <c r="F786" s="258" t="s">
        <v>460</v>
      </c>
      <c r="G786" s="258" t="s">
        <v>11426</v>
      </c>
      <c r="H786" s="258">
        <v>3</v>
      </c>
      <c r="I786" s="258" t="s">
        <v>462</v>
      </c>
      <c r="J786" s="258" t="s">
        <v>11427</v>
      </c>
      <c r="K786" s="258">
        <v>3</v>
      </c>
      <c r="L786" s="258" t="s">
        <v>451</v>
      </c>
      <c r="M786" s="258">
        <v>10000000</v>
      </c>
      <c r="N786" s="258" t="s">
        <v>452</v>
      </c>
      <c r="O786" s="258" t="s">
        <v>452</v>
      </c>
      <c r="P786" s="258" t="s">
        <v>9782</v>
      </c>
      <c r="Q786" s="258" t="s">
        <v>23</v>
      </c>
      <c r="R786" s="259" t="s">
        <v>9783</v>
      </c>
      <c r="S786" s="259"/>
      <c r="T786" s="259"/>
      <c r="U786" s="259"/>
      <c r="V786" s="258"/>
      <c r="W786" s="258"/>
      <c r="X786" s="258"/>
      <c r="Y786" s="258"/>
      <c r="Z786" s="258"/>
      <c r="AA786" s="258"/>
      <c r="AB786" s="258"/>
      <c r="AC786" s="258"/>
    </row>
    <row r="787" spans="1:29" ht="15.75" customHeight="1">
      <c r="A787" s="257">
        <v>44797</v>
      </c>
      <c r="B787" s="258" t="s">
        <v>6849</v>
      </c>
      <c r="C787" s="263">
        <v>2.25</v>
      </c>
      <c r="D787" s="258" t="s">
        <v>6852</v>
      </c>
      <c r="E787" s="258" t="s">
        <v>4</v>
      </c>
      <c r="F787" s="258" t="s">
        <v>602</v>
      </c>
      <c r="G787" s="258" t="s">
        <v>6853</v>
      </c>
      <c r="H787" s="258">
        <v>3.5</v>
      </c>
      <c r="I787" s="258" t="s">
        <v>1457</v>
      </c>
      <c r="J787" s="258" t="s">
        <v>6854</v>
      </c>
      <c r="K787" s="258">
        <v>1</v>
      </c>
      <c r="L787" s="258"/>
      <c r="M787" s="258"/>
      <c r="N787" s="258" t="s">
        <v>452</v>
      </c>
      <c r="O787" s="258" t="s">
        <v>452</v>
      </c>
      <c r="P787" s="258" t="s">
        <v>725</v>
      </c>
      <c r="Q787" s="258" t="s">
        <v>24</v>
      </c>
      <c r="R787" s="258" t="s">
        <v>6855</v>
      </c>
      <c r="S787" s="258" t="str">
        <f>IFERROR(VLOOKUP(B787,'2022-2023 Third Reviews'!$C:$S,9,FALSE),"")</f>
        <v/>
      </c>
      <c r="T787" s="258"/>
      <c r="U787" s="258"/>
      <c r="V787" s="306"/>
      <c r="W787" s="306"/>
      <c r="X787" s="306"/>
      <c r="Y787" s="306"/>
      <c r="Z787" s="306"/>
      <c r="AA787" s="306"/>
      <c r="AB787" s="306"/>
      <c r="AC787" s="306"/>
    </row>
    <row r="788" spans="1:29" ht="15.75" customHeight="1">
      <c r="A788" s="248">
        <v>44796</v>
      </c>
      <c r="B788" s="219" t="s">
        <v>6858</v>
      </c>
      <c r="C788" s="315">
        <v>2.25</v>
      </c>
      <c r="D788" s="219" t="s">
        <v>6861</v>
      </c>
      <c r="E788" s="219" t="s">
        <v>4</v>
      </c>
      <c r="F788" s="219" t="s">
        <v>725</v>
      </c>
      <c r="G788" s="219" t="s">
        <v>11208</v>
      </c>
      <c r="H788" s="219">
        <v>2.5</v>
      </c>
      <c r="I788" s="219" t="s">
        <v>4054</v>
      </c>
      <c r="J788" s="219"/>
      <c r="K788" s="219">
        <v>2</v>
      </c>
      <c r="L788" s="219"/>
      <c r="M788" s="219"/>
      <c r="N788" s="219" t="s">
        <v>452</v>
      </c>
      <c r="O788" s="219" t="s">
        <v>452</v>
      </c>
      <c r="P788" s="219"/>
      <c r="Q788" s="219" t="s">
        <v>24</v>
      </c>
      <c r="R788" s="219"/>
      <c r="S788" s="219" t="str">
        <f>IFERROR(VLOOKUP(B788,'2022-2023 Third Reviews'!$C:$S,9,FALSE),"")</f>
        <v/>
      </c>
      <c r="T788" s="219"/>
      <c r="U788" s="219"/>
      <c r="V788" s="219"/>
      <c r="W788" s="219"/>
      <c r="X788" s="219"/>
      <c r="Y788" s="219"/>
      <c r="Z788" s="219"/>
      <c r="AA788" s="219"/>
      <c r="AB788" s="219"/>
      <c r="AC788" s="219"/>
    </row>
    <row r="789" spans="1:29" ht="15.75" hidden="1" customHeight="1">
      <c r="A789" s="253">
        <v>44791</v>
      </c>
      <c r="B789" s="224" t="s">
        <v>2895</v>
      </c>
      <c r="C789" s="316">
        <v>3.25</v>
      </c>
      <c r="D789" s="224" t="s">
        <v>10908</v>
      </c>
      <c r="E789" s="224" t="s">
        <v>5</v>
      </c>
      <c r="F789" s="224" t="s">
        <v>447</v>
      </c>
      <c r="G789" s="224" t="s">
        <v>10909</v>
      </c>
      <c r="H789" s="224">
        <v>3</v>
      </c>
      <c r="I789" s="224" t="s">
        <v>543</v>
      </c>
      <c r="J789" s="224" t="s">
        <v>11680</v>
      </c>
      <c r="K789" s="224">
        <v>3.5</v>
      </c>
      <c r="L789" s="224" t="s">
        <v>451</v>
      </c>
      <c r="M789" s="307">
        <v>7000000</v>
      </c>
      <c r="N789" s="224" t="s">
        <v>452</v>
      </c>
      <c r="O789" s="224" t="s">
        <v>2901</v>
      </c>
      <c r="P789" s="224"/>
      <c r="Q789" s="322" t="s">
        <v>24</v>
      </c>
      <c r="R789" s="254"/>
      <c r="S789" s="254"/>
      <c r="T789" s="254"/>
      <c r="U789" s="254"/>
      <c r="V789" s="224"/>
      <c r="W789" s="224"/>
      <c r="X789" s="224"/>
      <c r="Y789" s="224"/>
      <c r="Z789" s="224"/>
      <c r="AA789" s="224"/>
      <c r="AB789" s="224"/>
      <c r="AC789" s="224"/>
    </row>
    <row r="790" spans="1:29" ht="15.75" hidden="1" customHeight="1">
      <c r="A790" s="280">
        <v>44784</v>
      </c>
      <c r="B790" s="281" t="s">
        <v>100</v>
      </c>
      <c r="C790" s="282">
        <v>3.5</v>
      </c>
      <c r="D790" s="281" t="s">
        <v>736</v>
      </c>
      <c r="E790" s="281" t="s">
        <v>5</v>
      </c>
      <c r="F790" s="281" t="s">
        <v>447</v>
      </c>
      <c r="G790" s="281" t="s">
        <v>10551</v>
      </c>
      <c r="H790" s="281">
        <v>3</v>
      </c>
      <c r="I790" s="281" t="s">
        <v>449</v>
      </c>
      <c r="J790" s="281" t="s">
        <v>11574</v>
      </c>
      <c r="K790" s="281">
        <v>4</v>
      </c>
      <c r="L790" s="281" t="s">
        <v>451</v>
      </c>
      <c r="M790" s="288">
        <v>5750000</v>
      </c>
      <c r="N790" s="281" t="s">
        <v>454</v>
      </c>
      <c r="O790" s="288" t="s">
        <v>739</v>
      </c>
      <c r="P790" s="281" t="s">
        <v>740</v>
      </c>
      <c r="Q790" s="281" t="s">
        <v>18</v>
      </c>
      <c r="R790" s="283" t="s">
        <v>741</v>
      </c>
      <c r="S790" s="283"/>
      <c r="T790" s="283"/>
      <c r="U790" s="283"/>
      <c r="V790" s="281"/>
      <c r="W790" s="281"/>
      <c r="X790" s="281"/>
      <c r="Y790" s="281"/>
      <c r="Z790" s="281"/>
      <c r="AA790" s="258"/>
      <c r="AB790" s="258"/>
      <c r="AC790" s="258"/>
    </row>
    <row r="791" spans="1:29" ht="15.75" customHeight="1">
      <c r="A791" s="253">
        <v>44797</v>
      </c>
      <c r="B791" s="224" t="s">
        <v>6865</v>
      </c>
      <c r="C791" s="316">
        <v>2.25</v>
      </c>
      <c r="D791" s="224" t="s">
        <v>6868</v>
      </c>
      <c r="E791" s="224" t="s">
        <v>4</v>
      </c>
      <c r="F791" s="224" t="s">
        <v>1045</v>
      </c>
      <c r="G791" s="224" t="s">
        <v>6869</v>
      </c>
      <c r="H791" s="224">
        <v>2</v>
      </c>
      <c r="I791" s="224" t="s">
        <v>462</v>
      </c>
      <c r="J791" s="224" t="s">
        <v>6870</v>
      </c>
      <c r="K791" s="224">
        <v>2.5</v>
      </c>
      <c r="L791" s="224" t="s">
        <v>784</v>
      </c>
      <c r="M791" s="224">
        <v>180000</v>
      </c>
      <c r="N791" s="224" t="s">
        <v>452</v>
      </c>
      <c r="O791" s="224" t="s">
        <v>6871</v>
      </c>
      <c r="P791" s="224"/>
      <c r="Q791" s="224" t="s">
        <v>24</v>
      </c>
      <c r="R791" s="224"/>
      <c r="S791" s="224" t="str">
        <f ca="1">IFERROR(VLOOKUP(B791,'2022-2023 Third Reviews'!$C:$S,9,FALSE),"")</f>
        <v>Chris Millisits
4</v>
      </c>
      <c r="T791" s="224"/>
      <c r="U791" s="224"/>
      <c r="V791" s="224"/>
      <c r="W791" s="224"/>
      <c r="X791" s="224"/>
      <c r="Y791" s="224"/>
      <c r="Z791" s="224"/>
      <c r="AA791" s="224"/>
      <c r="AB791" s="224"/>
      <c r="AC791" s="224"/>
    </row>
    <row r="792" spans="1:29" ht="15.75" customHeight="1">
      <c r="A792" s="248">
        <v>44797</v>
      </c>
      <c r="B792" s="219" t="s">
        <v>6873</v>
      </c>
      <c r="C792" s="315">
        <v>2.25</v>
      </c>
      <c r="D792" s="219" t="s">
        <v>6876</v>
      </c>
      <c r="E792" s="219" t="s">
        <v>4</v>
      </c>
      <c r="F792" s="219" t="s">
        <v>727</v>
      </c>
      <c r="G792" s="219" t="s">
        <v>10688</v>
      </c>
      <c r="H792" s="219">
        <v>2.5</v>
      </c>
      <c r="I792" s="219" t="s">
        <v>543</v>
      </c>
      <c r="J792" s="219" t="s">
        <v>13400</v>
      </c>
      <c r="K792" s="219">
        <v>2</v>
      </c>
      <c r="L792" s="219" t="s">
        <v>784</v>
      </c>
      <c r="M792" s="219">
        <v>720000</v>
      </c>
      <c r="N792" s="219" t="s">
        <v>452</v>
      </c>
      <c r="O792" s="219" t="s">
        <v>6879</v>
      </c>
      <c r="P792" s="219"/>
      <c r="Q792" s="219" t="s">
        <v>24</v>
      </c>
      <c r="R792" s="219"/>
      <c r="S792" s="219" t="str">
        <f>IFERROR(VLOOKUP(B792,'2022-2023 Third Reviews'!$C:$S,9,FALSE),"")</f>
        <v/>
      </c>
      <c r="T792" s="219"/>
      <c r="U792" s="219"/>
      <c r="V792" s="306"/>
      <c r="W792" s="306"/>
      <c r="X792" s="306"/>
      <c r="Y792" s="306"/>
      <c r="Z792" s="306"/>
      <c r="AA792" s="306"/>
      <c r="AB792" s="306"/>
      <c r="AC792" s="306"/>
    </row>
    <row r="793" spans="1:29" ht="15.75" hidden="1" customHeight="1">
      <c r="A793" s="253">
        <v>44789</v>
      </c>
      <c r="B793" s="224" t="s">
        <v>8807</v>
      </c>
      <c r="C793" s="249">
        <v>3</v>
      </c>
      <c r="D793" s="224" t="s">
        <v>8810</v>
      </c>
      <c r="E793" s="250" t="s">
        <v>3</v>
      </c>
      <c r="F793" s="224" t="s">
        <v>460</v>
      </c>
      <c r="G793" s="224" t="s">
        <v>8811</v>
      </c>
      <c r="H793" s="224">
        <v>3</v>
      </c>
      <c r="I793" s="224" t="s">
        <v>462</v>
      </c>
      <c r="J793" s="224" t="s">
        <v>8812</v>
      </c>
      <c r="K793" s="224">
        <v>3</v>
      </c>
      <c r="L793" s="224"/>
      <c r="M793" s="307"/>
      <c r="N793" s="224" t="s">
        <v>452</v>
      </c>
      <c r="O793" s="224" t="s">
        <v>452</v>
      </c>
      <c r="P793" s="224"/>
      <c r="Q793" s="224" t="s">
        <v>24</v>
      </c>
      <c r="R793" s="254"/>
      <c r="S793" s="254"/>
      <c r="T793" s="254"/>
      <c r="U793" s="254"/>
      <c r="V793" s="252"/>
      <c r="W793" s="252"/>
      <c r="X793" s="252"/>
      <c r="Y793" s="224"/>
      <c r="Z793" s="224"/>
      <c r="AA793" s="224"/>
      <c r="AB793" s="224"/>
      <c r="AC793" s="224"/>
    </row>
    <row r="794" spans="1:29" ht="15.75" hidden="1" customHeight="1">
      <c r="A794" s="248">
        <v>44789</v>
      </c>
      <c r="B794" s="219" t="s">
        <v>331</v>
      </c>
      <c r="C794" s="249">
        <v>5</v>
      </c>
      <c r="D794" s="219" t="s">
        <v>1849</v>
      </c>
      <c r="E794" s="250" t="s">
        <v>3</v>
      </c>
      <c r="F794" s="219" t="s">
        <v>460</v>
      </c>
      <c r="G794" s="219" t="s">
        <v>10216</v>
      </c>
      <c r="H794" s="219">
        <v>5</v>
      </c>
      <c r="I794" s="219" t="s">
        <v>462</v>
      </c>
      <c r="J794" s="219" t="s">
        <v>1851</v>
      </c>
      <c r="K794" s="219">
        <v>5</v>
      </c>
      <c r="L794" s="219" t="s">
        <v>478</v>
      </c>
      <c r="M794" s="312" t="s">
        <v>1852</v>
      </c>
      <c r="N794" s="219" t="s">
        <v>454</v>
      </c>
      <c r="O794" s="219" t="s">
        <v>1853</v>
      </c>
      <c r="P794" s="219" t="s">
        <v>460</v>
      </c>
      <c r="Q794" s="219" t="s">
        <v>18</v>
      </c>
      <c r="R794" s="251"/>
      <c r="S794" s="251"/>
      <c r="T794" s="251"/>
      <c r="U794" s="251"/>
      <c r="V794" s="252"/>
      <c r="W794" s="252"/>
      <c r="X794" s="252"/>
      <c r="Y794" s="219"/>
      <c r="Z794" s="219"/>
      <c r="AA794" s="219"/>
      <c r="AB794" s="219"/>
      <c r="AC794" s="219"/>
    </row>
    <row r="795" spans="1:29" ht="15.75" hidden="1" customHeight="1">
      <c r="A795" s="541">
        <v>44791</v>
      </c>
      <c r="B795" s="306" t="s">
        <v>357</v>
      </c>
      <c r="C795" s="542"/>
      <c r="D795" s="306"/>
      <c r="E795" s="306" t="s">
        <v>3</v>
      </c>
      <c r="F795" s="306" t="s">
        <v>488</v>
      </c>
      <c r="G795" s="306"/>
      <c r="H795" s="306"/>
      <c r="I795" s="306" t="s">
        <v>941</v>
      </c>
      <c r="J795" s="306"/>
      <c r="K795" s="306"/>
      <c r="L795" s="306" t="s">
        <v>8914</v>
      </c>
      <c r="M795" s="306">
        <v>3500000</v>
      </c>
      <c r="N795" s="306" t="s">
        <v>452</v>
      </c>
      <c r="O795" s="306" t="s">
        <v>452</v>
      </c>
      <c r="P795" s="306"/>
      <c r="Q795" s="306"/>
      <c r="R795" s="543"/>
      <c r="S795" s="543"/>
      <c r="T795" s="543"/>
      <c r="U795" s="543"/>
      <c r="V795" s="306"/>
      <c r="W795" s="306"/>
      <c r="X795" s="306"/>
      <c r="Y795" s="306"/>
      <c r="Z795" s="306"/>
      <c r="AA795" s="306"/>
      <c r="AB795" s="306"/>
      <c r="AC795" s="306"/>
    </row>
    <row r="796" spans="1:29" ht="15.75" hidden="1" customHeight="1">
      <c r="A796" s="541">
        <v>44796</v>
      </c>
      <c r="B796" s="306" t="s">
        <v>357</v>
      </c>
      <c r="C796" s="542"/>
      <c r="D796" s="306"/>
      <c r="E796" s="306" t="s">
        <v>3</v>
      </c>
      <c r="F796" s="306" t="s">
        <v>488</v>
      </c>
      <c r="G796" s="306"/>
      <c r="H796" s="306"/>
      <c r="I796" s="306" t="s">
        <v>941</v>
      </c>
      <c r="J796" s="306"/>
      <c r="K796" s="306"/>
      <c r="L796" s="306" t="s">
        <v>8914</v>
      </c>
      <c r="M796" s="544">
        <v>3500000</v>
      </c>
      <c r="N796" s="306" t="s">
        <v>452</v>
      </c>
      <c r="O796" s="306" t="s">
        <v>452</v>
      </c>
      <c r="P796" s="306"/>
      <c r="Q796" s="306"/>
      <c r="R796" s="543"/>
      <c r="S796" s="543"/>
      <c r="T796" s="543"/>
      <c r="U796" s="543"/>
      <c r="V796" s="219"/>
      <c r="W796" s="219"/>
      <c r="X796" s="219"/>
      <c r="Y796" s="219"/>
      <c r="Z796" s="219"/>
      <c r="AA796" s="219"/>
      <c r="AB796" s="219"/>
      <c r="AC796" s="219"/>
    </row>
    <row r="797" spans="1:29" ht="15.75" hidden="1" customHeight="1">
      <c r="A797" s="541">
        <v>44797</v>
      </c>
      <c r="B797" s="306" t="s">
        <v>357</v>
      </c>
      <c r="C797" s="542"/>
      <c r="D797" s="306"/>
      <c r="E797" s="306" t="s">
        <v>3</v>
      </c>
      <c r="F797" s="306" t="s">
        <v>488</v>
      </c>
      <c r="G797" s="306"/>
      <c r="H797" s="306"/>
      <c r="I797" s="306" t="s">
        <v>941</v>
      </c>
      <c r="J797" s="306"/>
      <c r="K797" s="306"/>
      <c r="L797" s="306" t="s">
        <v>8914</v>
      </c>
      <c r="M797" s="306">
        <v>3500000</v>
      </c>
      <c r="N797" s="306" t="s">
        <v>452</v>
      </c>
      <c r="O797" s="306" t="s">
        <v>452</v>
      </c>
      <c r="P797" s="306"/>
      <c r="Q797" s="306"/>
      <c r="R797" s="543"/>
      <c r="S797" s="543"/>
      <c r="T797" s="543"/>
      <c r="U797" s="543"/>
      <c r="V797" s="306"/>
      <c r="W797" s="306"/>
      <c r="X797" s="306"/>
      <c r="Y797" s="306"/>
      <c r="Z797" s="306"/>
      <c r="AA797" s="306"/>
      <c r="AB797" s="306"/>
      <c r="AC797" s="306"/>
    </row>
    <row r="798" spans="1:29" ht="15.75" hidden="1" customHeight="1">
      <c r="A798" s="248">
        <v>44797</v>
      </c>
      <c r="B798" s="219" t="s">
        <v>357</v>
      </c>
      <c r="C798" s="315">
        <v>3.25</v>
      </c>
      <c r="D798" s="219"/>
      <c r="E798" s="219" t="s">
        <v>3</v>
      </c>
      <c r="F798" s="219" t="s">
        <v>488</v>
      </c>
      <c r="G798" s="219" t="s">
        <v>11242</v>
      </c>
      <c r="H798" s="219">
        <v>3.5</v>
      </c>
      <c r="I798" s="219" t="s">
        <v>941</v>
      </c>
      <c r="J798" s="219" t="s">
        <v>9788</v>
      </c>
      <c r="K798" s="219">
        <v>3</v>
      </c>
      <c r="L798" s="219" t="s">
        <v>8914</v>
      </c>
      <c r="M798" s="219">
        <v>3500000</v>
      </c>
      <c r="N798" s="219" t="s">
        <v>452</v>
      </c>
      <c r="O798" s="219" t="s">
        <v>452</v>
      </c>
      <c r="P798" s="219"/>
      <c r="Q798" s="219" t="s">
        <v>20</v>
      </c>
      <c r="R798" s="251" t="s">
        <v>9789</v>
      </c>
      <c r="S798" s="251"/>
      <c r="T798" s="251"/>
      <c r="U798" s="251"/>
      <c r="V798" s="219"/>
      <c r="W798" s="219"/>
      <c r="X798" s="219"/>
      <c r="Y798" s="219"/>
      <c r="Z798" s="219"/>
      <c r="AA798" s="219"/>
      <c r="AB798" s="219"/>
      <c r="AC798" s="219"/>
    </row>
    <row r="799" spans="1:29" ht="15.75" customHeight="1">
      <c r="A799" s="253">
        <v>44797</v>
      </c>
      <c r="B799" s="224" t="s">
        <v>6882</v>
      </c>
      <c r="C799" s="316">
        <v>2.25</v>
      </c>
      <c r="D799" s="224" t="s">
        <v>6885</v>
      </c>
      <c r="E799" s="224" t="s">
        <v>4</v>
      </c>
      <c r="F799" s="224" t="s">
        <v>602</v>
      </c>
      <c r="G799" s="224" t="s">
        <v>6886</v>
      </c>
      <c r="H799" s="224">
        <v>2.5</v>
      </c>
      <c r="I799" s="224" t="s">
        <v>543</v>
      </c>
      <c r="J799" s="224" t="s">
        <v>11197</v>
      </c>
      <c r="K799" s="224">
        <v>2</v>
      </c>
      <c r="L799" s="224" t="s">
        <v>6888</v>
      </c>
      <c r="M799" s="224" t="s">
        <v>6889</v>
      </c>
      <c r="N799" s="224" t="s">
        <v>452</v>
      </c>
      <c r="O799" s="224" t="s">
        <v>452</v>
      </c>
      <c r="P799" s="224" t="s">
        <v>585</v>
      </c>
      <c r="Q799" s="224" t="s">
        <v>24</v>
      </c>
      <c r="R799" s="224"/>
      <c r="S799" s="224" t="str">
        <f>IFERROR(VLOOKUP(B799,'2022-2023 Third Reviews'!$C:$S,9,FALSE),"")</f>
        <v/>
      </c>
      <c r="T799" s="224"/>
      <c r="U799" s="224"/>
      <c r="V799" s="306"/>
      <c r="W799" s="306"/>
      <c r="X799" s="306"/>
      <c r="Y799" s="306"/>
      <c r="Z799" s="306"/>
      <c r="AA799" s="306"/>
      <c r="AB799" s="306"/>
      <c r="AC799" s="306"/>
    </row>
    <row r="800" spans="1:29" ht="15.75" customHeight="1">
      <c r="A800" s="398">
        <v>44784</v>
      </c>
      <c r="B800" s="268" t="s">
        <v>6892</v>
      </c>
      <c r="C800" s="269">
        <v>2.25</v>
      </c>
      <c r="D800" s="268" t="s">
        <v>6895</v>
      </c>
      <c r="E800" s="270" t="s">
        <v>4</v>
      </c>
      <c r="F800" s="268" t="s">
        <v>602</v>
      </c>
      <c r="G800" s="268" t="s">
        <v>6896</v>
      </c>
      <c r="H800" s="268">
        <v>2</v>
      </c>
      <c r="I800" s="268" t="s">
        <v>727</v>
      </c>
      <c r="J800" s="268" t="s">
        <v>6897</v>
      </c>
      <c r="K800" s="268">
        <v>2.5</v>
      </c>
      <c r="L800" s="268" t="s">
        <v>451</v>
      </c>
      <c r="M800" s="285">
        <v>4000000</v>
      </c>
      <c r="N800" s="268" t="s">
        <v>465</v>
      </c>
      <c r="O800" s="285" t="s">
        <v>575</v>
      </c>
      <c r="P800" s="268"/>
      <c r="Q800" s="268" t="s">
        <v>24</v>
      </c>
      <c r="R800" s="268"/>
      <c r="S800" s="268" t="str">
        <f>IFERROR(VLOOKUP(B800,'2022-2023 Third Reviews'!$C:$S,9,FALSE),"")</f>
        <v/>
      </c>
      <c r="T800" s="268"/>
      <c r="U800" s="268"/>
      <c r="V800" s="219"/>
      <c r="W800" s="219"/>
      <c r="X800" s="219"/>
      <c r="Y800" s="219"/>
      <c r="Z800" s="219"/>
      <c r="AA800" s="219"/>
      <c r="AB800" s="219"/>
      <c r="AC800" s="219"/>
    </row>
    <row r="801" spans="1:29" ht="15.75" hidden="1" customHeight="1">
      <c r="A801" s="253">
        <v>44791</v>
      </c>
      <c r="B801" s="224" t="s">
        <v>8814</v>
      </c>
      <c r="C801" s="316">
        <v>3.25</v>
      </c>
      <c r="D801" s="224" t="s">
        <v>8817</v>
      </c>
      <c r="E801" s="224" t="s">
        <v>3</v>
      </c>
      <c r="F801" s="224" t="s">
        <v>460</v>
      </c>
      <c r="G801" s="224" t="s">
        <v>8818</v>
      </c>
      <c r="H801" s="224">
        <v>3</v>
      </c>
      <c r="I801" s="224" t="s">
        <v>462</v>
      </c>
      <c r="J801" s="224" t="s">
        <v>8819</v>
      </c>
      <c r="K801" s="224">
        <v>3.5</v>
      </c>
      <c r="L801" s="224" t="s">
        <v>478</v>
      </c>
      <c r="M801" s="224" t="s">
        <v>8820</v>
      </c>
      <c r="N801" s="224" t="s">
        <v>452</v>
      </c>
      <c r="O801" s="224" t="s">
        <v>452</v>
      </c>
      <c r="P801" s="224"/>
      <c r="Q801" s="322" t="s">
        <v>24</v>
      </c>
      <c r="R801" s="254"/>
      <c r="S801" s="254"/>
      <c r="T801" s="254"/>
      <c r="U801" s="254"/>
      <c r="V801" s="224"/>
      <c r="W801" s="224"/>
      <c r="X801" s="224"/>
      <c r="Y801" s="224"/>
      <c r="Z801" s="224"/>
      <c r="AA801" s="224"/>
      <c r="AB801" s="224"/>
      <c r="AC801" s="224"/>
    </row>
    <row r="802" spans="1:29" ht="15.75" hidden="1" customHeight="1">
      <c r="A802" s="267">
        <v>44784</v>
      </c>
      <c r="B802" s="268" t="s">
        <v>8823</v>
      </c>
      <c r="C802" s="269">
        <v>2</v>
      </c>
      <c r="D802" s="268" t="s">
        <v>8826</v>
      </c>
      <c r="E802" s="270" t="s">
        <v>3</v>
      </c>
      <c r="F802" s="268" t="s">
        <v>460</v>
      </c>
      <c r="G802" s="268" t="s">
        <v>8827</v>
      </c>
      <c r="H802" s="268">
        <v>1</v>
      </c>
      <c r="I802" s="268" t="s">
        <v>941</v>
      </c>
      <c r="J802" s="268" t="s">
        <v>8828</v>
      </c>
      <c r="K802" s="268">
        <v>3</v>
      </c>
      <c r="L802" s="268" t="s">
        <v>784</v>
      </c>
      <c r="M802" s="268">
        <v>1000000</v>
      </c>
      <c r="N802" s="268" t="s">
        <v>452</v>
      </c>
      <c r="O802" s="268" t="s">
        <v>452</v>
      </c>
      <c r="P802" s="268"/>
      <c r="Q802" s="268" t="s">
        <v>24</v>
      </c>
      <c r="R802" s="271"/>
      <c r="S802" s="271"/>
      <c r="T802" s="271"/>
      <c r="U802" s="271"/>
      <c r="V802" s="268"/>
      <c r="W802" s="268"/>
      <c r="X802" s="268"/>
      <c r="Y802" s="268"/>
      <c r="Z802" s="268"/>
      <c r="AA802" s="219"/>
      <c r="AB802" s="219"/>
      <c r="AC802" s="219"/>
    </row>
    <row r="803" spans="1:29" ht="15.75" customHeight="1">
      <c r="A803" s="253">
        <v>44789</v>
      </c>
      <c r="B803" s="224" t="s">
        <v>6900</v>
      </c>
      <c r="C803" s="249">
        <v>2.25</v>
      </c>
      <c r="D803" s="224" t="s">
        <v>6903</v>
      </c>
      <c r="E803" s="250" t="s">
        <v>4</v>
      </c>
      <c r="F803" s="224" t="s">
        <v>727</v>
      </c>
      <c r="G803" s="224" t="s">
        <v>6904</v>
      </c>
      <c r="H803" s="224">
        <v>2.5</v>
      </c>
      <c r="I803" s="224" t="s">
        <v>1045</v>
      </c>
      <c r="J803" s="224" t="s">
        <v>6905</v>
      </c>
      <c r="K803" s="224">
        <v>2</v>
      </c>
      <c r="L803" s="224"/>
      <c r="M803" s="311"/>
      <c r="N803" s="224" t="s">
        <v>452</v>
      </c>
      <c r="O803" s="224" t="s">
        <v>1119</v>
      </c>
      <c r="P803" s="224" t="s">
        <v>6906</v>
      </c>
      <c r="Q803" s="224" t="s">
        <v>24</v>
      </c>
      <c r="R803" s="224"/>
      <c r="S803" s="224" t="str">
        <f>IFERROR(VLOOKUP(B803,'2022-2023 Third Reviews'!$C:$S,9,FALSE),"")</f>
        <v/>
      </c>
      <c r="T803" s="224"/>
      <c r="U803" s="224"/>
      <c r="V803" s="224"/>
      <c r="W803" s="224"/>
      <c r="X803" s="224"/>
      <c r="Y803" s="224"/>
      <c r="Z803" s="224"/>
      <c r="AA803" s="224"/>
      <c r="AB803" s="224"/>
      <c r="AC803" s="224"/>
    </row>
    <row r="804" spans="1:29" ht="15.75" hidden="1" customHeight="1">
      <c r="A804" s="255">
        <v>44782</v>
      </c>
      <c r="B804" s="239" t="s">
        <v>2904</v>
      </c>
      <c r="C804" s="249">
        <v>3</v>
      </c>
      <c r="D804" s="239" t="s">
        <v>2907</v>
      </c>
      <c r="E804" s="250" t="s">
        <v>5</v>
      </c>
      <c r="F804" s="239" t="s">
        <v>447</v>
      </c>
      <c r="G804" s="239" t="s">
        <v>2908</v>
      </c>
      <c r="H804" s="239">
        <v>3</v>
      </c>
      <c r="I804" s="239" t="s">
        <v>476</v>
      </c>
      <c r="J804" s="239" t="s">
        <v>13400</v>
      </c>
      <c r="K804" s="239">
        <v>3</v>
      </c>
      <c r="L804" s="239" t="s">
        <v>451</v>
      </c>
      <c r="M804" s="239">
        <v>3500000</v>
      </c>
      <c r="N804" s="239" t="s">
        <v>454</v>
      </c>
      <c r="O804" s="239" t="s">
        <v>2910</v>
      </c>
      <c r="P804" s="239" t="s">
        <v>725</v>
      </c>
      <c r="Q804" s="219" t="s">
        <v>24</v>
      </c>
      <c r="R804" s="256" t="s">
        <v>2911</v>
      </c>
      <c r="S804" s="256"/>
      <c r="T804" s="256"/>
      <c r="U804" s="256"/>
      <c r="V804" s="239"/>
      <c r="W804" s="239"/>
      <c r="X804" s="239"/>
      <c r="Y804" s="239"/>
      <c r="Z804" s="239"/>
      <c r="AA804" s="239"/>
      <c r="AB804" s="239"/>
      <c r="AC804" s="239"/>
    </row>
    <row r="805" spans="1:29" ht="15.75" customHeight="1">
      <c r="A805" s="253">
        <v>44789</v>
      </c>
      <c r="B805" s="224" t="s">
        <v>6908</v>
      </c>
      <c r="C805" s="249">
        <v>2.25</v>
      </c>
      <c r="D805" s="224" t="s">
        <v>10915</v>
      </c>
      <c r="E805" s="250" t="s">
        <v>4</v>
      </c>
      <c r="F805" s="224" t="s">
        <v>602</v>
      </c>
      <c r="G805" s="224" t="s">
        <v>6912</v>
      </c>
      <c r="H805" s="224">
        <v>2</v>
      </c>
      <c r="I805" s="224" t="s">
        <v>1054</v>
      </c>
      <c r="J805" s="224" t="s">
        <v>6913</v>
      </c>
      <c r="K805" s="224">
        <v>2.5</v>
      </c>
      <c r="L805" s="224"/>
      <c r="M805" s="311"/>
      <c r="N805" s="224" t="s">
        <v>452</v>
      </c>
      <c r="O805" s="224" t="s">
        <v>10916</v>
      </c>
      <c r="P805" s="224"/>
      <c r="Q805" s="224" t="s">
        <v>24</v>
      </c>
      <c r="R805" s="224"/>
      <c r="S805" s="224" t="str">
        <f>IFERROR(VLOOKUP(B805,'2022-2023 Third Reviews'!$C:$S,9,FALSE),"")</f>
        <v/>
      </c>
      <c r="T805" s="224"/>
      <c r="U805" s="224"/>
      <c r="V805" s="224"/>
      <c r="W805" s="224"/>
      <c r="X805" s="224"/>
      <c r="Y805" s="224"/>
      <c r="Z805" s="224"/>
      <c r="AA805" s="224"/>
      <c r="AB805" s="224"/>
      <c r="AC805" s="224"/>
    </row>
    <row r="806" spans="1:29" ht="15.75" hidden="1" customHeight="1">
      <c r="A806" s="257">
        <v>44789</v>
      </c>
      <c r="B806" s="258" t="s">
        <v>8831</v>
      </c>
      <c r="C806" s="263">
        <v>2</v>
      </c>
      <c r="D806" s="258" t="s">
        <v>8834</v>
      </c>
      <c r="E806" s="258" t="s">
        <v>3</v>
      </c>
      <c r="F806" s="258" t="s">
        <v>460</v>
      </c>
      <c r="G806" s="258" t="s">
        <v>8835</v>
      </c>
      <c r="H806" s="258">
        <v>2</v>
      </c>
      <c r="I806" s="258" t="s">
        <v>941</v>
      </c>
      <c r="J806" s="258" t="s">
        <v>8836</v>
      </c>
      <c r="K806" s="258">
        <v>2</v>
      </c>
      <c r="L806" s="258" t="s">
        <v>451</v>
      </c>
      <c r="M806" s="309">
        <v>3000000</v>
      </c>
      <c r="N806" s="258" t="s">
        <v>452</v>
      </c>
      <c r="O806" s="258" t="s">
        <v>8837</v>
      </c>
      <c r="P806" s="258" t="s">
        <v>8838</v>
      </c>
      <c r="Q806" s="258" t="s">
        <v>24</v>
      </c>
      <c r="R806" s="259" t="s">
        <v>8839</v>
      </c>
      <c r="S806" s="259"/>
      <c r="T806" s="259"/>
      <c r="U806" s="259"/>
      <c r="V806" s="258"/>
      <c r="W806" s="258"/>
      <c r="X806" s="258"/>
      <c r="Y806" s="258"/>
      <c r="Z806" s="258"/>
      <c r="AA806" s="258"/>
      <c r="AB806" s="258"/>
      <c r="AC806" s="258"/>
    </row>
    <row r="807" spans="1:29" ht="15.75" customHeight="1">
      <c r="A807" s="398">
        <v>44784</v>
      </c>
      <c r="B807" s="272" t="s">
        <v>6917</v>
      </c>
      <c r="C807" s="269">
        <v>2.25</v>
      </c>
      <c r="D807" s="272" t="s">
        <v>6920</v>
      </c>
      <c r="E807" s="270" t="s">
        <v>4</v>
      </c>
      <c r="F807" s="272" t="s">
        <v>727</v>
      </c>
      <c r="G807" s="272"/>
      <c r="H807" s="272">
        <v>2.5</v>
      </c>
      <c r="I807" s="272" t="s">
        <v>1054</v>
      </c>
      <c r="J807" s="272" t="s">
        <v>6921</v>
      </c>
      <c r="K807" s="272">
        <v>2</v>
      </c>
      <c r="L807" s="272" t="s">
        <v>478</v>
      </c>
      <c r="M807" s="272">
        <v>2000000</v>
      </c>
      <c r="N807" s="272" t="s">
        <v>454</v>
      </c>
      <c r="O807" s="272" t="s">
        <v>6922</v>
      </c>
      <c r="P807" s="272"/>
      <c r="Q807" s="272" t="s">
        <v>24</v>
      </c>
      <c r="R807" s="272"/>
      <c r="S807" s="272" t="str">
        <f>IFERROR(VLOOKUP(B807,'2022-2023 Third Reviews'!$C:$S,9,FALSE),"")</f>
        <v/>
      </c>
      <c r="T807" s="272"/>
      <c r="U807" s="272"/>
      <c r="V807" s="224"/>
      <c r="W807" s="224"/>
      <c r="X807" s="224"/>
      <c r="Y807" s="224"/>
      <c r="Z807" s="224"/>
      <c r="AA807" s="224"/>
      <c r="AB807" s="224"/>
      <c r="AC807" s="224"/>
    </row>
    <row r="808" spans="1:29" ht="15.75" customHeight="1">
      <c r="A808" s="248">
        <v>44796</v>
      </c>
      <c r="B808" s="219" t="s">
        <v>6925</v>
      </c>
      <c r="C808" s="315">
        <v>2.25</v>
      </c>
      <c r="D808" s="219" t="s">
        <v>6928</v>
      </c>
      <c r="E808" s="219" t="s">
        <v>4</v>
      </c>
      <c r="F808" s="219" t="s">
        <v>727</v>
      </c>
      <c r="G808" s="219"/>
      <c r="H808" s="219">
        <v>2.5</v>
      </c>
      <c r="I808" s="219" t="s">
        <v>1045</v>
      </c>
      <c r="J808" s="219" t="s">
        <v>6929</v>
      </c>
      <c r="K808" s="219">
        <v>2</v>
      </c>
      <c r="L808" s="219"/>
      <c r="M808" s="219"/>
      <c r="N808" s="219" t="s">
        <v>452</v>
      </c>
      <c r="O808" s="219" t="s">
        <v>6930</v>
      </c>
      <c r="P808" s="219"/>
      <c r="Q808" s="219" t="s">
        <v>24</v>
      </c>
      <c r="R808" s="219"/>
      <c r="S808" s="219" t="str">
        <f>IFERROR(VLOOKUP(B808,'2022-2023 Third Reviews'!$C:$S,9,FALSE),"")</f>
        <v/>
      </c>
      <c r="T808" s="219"/>
      <c r="U808" s="219"/>
      <c r="V808" s="219"/>
      <c r="W808" s="219"/>
      <c r="X808" s="219"/>
      <c r="Y808" s="219"/>
      <c r="Z808" s="219"/>
      <c r="AA808" s="219"/>
      <c r="AB808" s="219"/>
      <c r="AC808" s="219"/>
    </row>
    <row r="809" spans="1:29" ht="15.75" hidden="1" customHeight="1">
      <c r="A809" s="253">
        <v>44791</v>
      </c>
      <c r="B809" s="224" t="s">
        <v>101</v>
      </c>
      <c r="C809" s="316">
        <v>4.25</v>
      </c>
      <c r="D809" s="224" t="s">
        <v>747</v>
      </c>
      <c r="E809" s="224" t="s">
        <v>5</v>
      </c>
      <c r="F809" s="224" t="s">
        <v>447</v>
      </c>
      <c r="G809" s="224" t="s">
        <v>10286</v>
      </c>
      <c r="H809" s="224">
        <v>4.5</v>
      </c>
      <c r="I809" s="224" t="s">
        <v>622</v>
      </c>
      <c r="J809" s="224" t="s">
        <v>749</v>
      </c>
      <c r="K809" s="224">
        <v>4</v>
      </c>
      <c r="L809" s="224"/>
      <c r="M809" s="224"/>
      <c r="N809" s="224" t="s">
        <v>452</v>
      </c>
      <c r="O809" s="224" t="s">
        <v>10287</v>
      </c>
      <c r="P809" s="224" t="s">
        <v>751</v>
      </c>
      <c r="Q809" s="224" t="s">
        <v>18</v>
      </c>
      <c r="R809" s="254"/>
      <c r="S809" s="254"/>
      <c r="T809" s="254"/>
      <c r="U809" s="254"/>
      <c r="V809" s="224"/>
      <c r="W809" s="224"/>
      <c r="X809" s="224"/>
      <c r="Y809" s="224"/>
      <c r="Z809" s="224"/>
      <c r="AA809" s="224"/>
      <c r="AB809" s="224"/>
      <c r="AC809" s="224"/>
    </row>
    <row r="810" spans="1:29" ht="15.75" hidden="1" customHeight="1">
      <c r="A810" s="248">
        <v>44796</v>
      </c>
      <c r="B810" s="219" t="s">
        <v>8842</v>
      </c>
      <c r="C810" s="315">
        <v>2</v>
      </c>
      <c r="D810" s="219" t="s">
        <v>8845</v>
      </c>
      <c r="E810" s="219" t="s">
        <v>3</v>
      </c>
      <c r="F810" s="219" t="s">
        <v>725</v>
      </c>
      <c r="G810" s="219" t="s">
        <v>10843</v>
      </c>
      <c r="H810" s="219">
        <v>2</v>
      </c>
      <c r="I810" s="219" t="s">
        <v>941</v>
      </c>
      <c r="J810" s="219"/>
      <c r="K810" s="219">
        <v>2</v>
      </c>
      <c r="L810" s="219" t="s">
        <v>784</v>
      </c>
      <c r="M810" s="219">
        <v>200000</v>
      </c>
      <c r="N810" s="219" t="s">
        <v>452</v>
      </c>
      <c r="O810" s="219" t="s">
        <v>8847</v>
      </c>
      <c r="P810" s="219"/>
      <c r="Q810" s="219" t="s">
        <v>24</v>
      </c>
      <c r="R810" s="251"/>
      <c r="S810" s="251"/>
      <c r="T810" s="251"/>
      <c r="U810" s="251"/>
      <c r="V810" s="219"/>
      <c r="W810" s="219"/>
      <c r="X810" s="219"/>
      <c r="Y810" s="219"/>
      <c r="Z810" s="219"/>
      <c r="AA810" s="219"/>
      <c r="AB810" s="219"/>
      <c r="AC810" s="219"/>
    </row>
    <row r="811" spans="1:29" ht="15.75" hidden="1" customHeight="1">
      <c r="A811" s="301">
        <v>44789</v>
      </c>
      <c r="B811" s="303" t="s">
        <v>8850</v>
      </c>
      <c r="C811" s="269"/>
      <c r="D811" s="303" t="s">
        <v>8853</v>
      </c>
      <c r="E811" s="270" t="s">
        <v>3</v>
      </c>
      <c r="F811" s="303" t="s">
        <v>725</v>
      </c>
      <c r="G811" s="303"/>
      <c r="H811" s="303"/>
      <c r="I811" s="303" t="s">
        <v>462</v>
      </c>
      <c r="J811" s="303"/>
      <c r="K811" s="303"/>
      <c r="L811" s="303" t="s">
        <v>478</v>
      </c>
      <c r="M811" s="303">
        <v>20000000</v>
      </c>
      <c r="N811" s="303" t="s">
        <v>452</v>
      </c>
      <c r="O811" s="303" t="s">
        <v>8856</v>
      </c>
      <c r="P811" s="303"/>
      <c r="Q811" s="303"/>
      <c r="R811" s="305"/>
      <c r="S811" s="305"/>
      <c r="T811" s="305"/>
      <c r="U811" s="305"/>
      <c r="V811" s="303"/>
      <c r="W811" s="303"/>
      <c r="X811" s="303"/>
      <c r="Y811" s="303"/>
      <c r="Z811" s="303"/>
      <c r="AA811" s="306"/>
      <c r="AB811" s="306"/>
      <c r="AC811" s="306"/>
    </row>
    <row r="812" spans="1:29" ht="15.75" hidden="1" customHeight="1">
      <c r="A812" s="248">
        <v>44791</v>
      </c>
      <c r="B812" s="219" t="s">
        <v>8850</v>
      </c>
      <c r="C812" s="315">
        <v>3.75</v>
      </c>
      <c r="D812" s="219" t="s">
        <v>8853</v>
      </c>
      <c r="E812" s="219" t="s">
        <v>3</v>
      </c>
      <c r="F812" s="219" t="s">
        <v>725</v>
      </c>
      <c r="G812" s="219" t="s">
        <v>10579</v>
      </c>
      <c r="H812" s="219">
        <v>3.5</v>
      </c>
      <c r="I812" s="219" t="s">
        <v>462</v>
      </c>
      <c r="J812" s="219" t="s">
        <v>8855</v>
      </c>
      <c r="K812" s="219">
        <v>4</v>
      </c>
      <c r="L812" s="219" t="s">
        <v>478</v>
      </c>
      <c r="M812" s="219">
        <v>20000000</v>
      </c>
      <c r="N812" s="219" t="s">
        <v>452</v>
      </c>
      <c r="O812" s="219" t="s">
        <v>8856</v>
      </c>
      <c r="P812" s="219"/>
      <c r="Q812" s="219" t="s">
        <v>24</v>
      </c>
      <c r="R812" s="251"/>
      <c r="S812" s="251"/>
      <c r="T812" s="251"/>
      <c r="U812" s="251"/>
      <c r="V812" s="219"/>
      <c r="W812" s="219"/>
      <c r="X812" s="219"/>
      <c r="Y812" s="219"/>
      <c r="Z812" s="219"/>
      <c r="AA812" s="219"/>
      <c r="AB812" s="219"/>
      <c r="AC812" s="219"/>
    </row>
    <row r="813" spans="1:29" ht="15.75" customHeight="1">
      <c r="A813" s="253">
        <v>44782</v>
      </c>
      <c r="B813" s="224" t="s">
        <v>6932</v>
      </c>
      <c r="C813" s="249">
        <v>2</v>
      </c>
      <c r="D813" s="224" t="s">
        <v>6935</v>
      </c>
      <c r="E813" s="250" t="s">
        <v>4</v>
      </c>
      <c r="F813" s="224" t="s">
        <v>602</v>
      </c>
      <c r="G813" s="224" t="s">
        <v>6936</v>
      </c>
      <c r="H813" s="224">
        <v>2</v>
      </c>
      <c r="I813" s="224" t="s">
        <v>1054</v>
      </c>
      <c r="J813" s="224"/>
      <c r="K813" s="224">
        <v>2</v>
      </c>
      <c r="L813" s="224" t="s">
        <v>784</v>
      </c>
      <c r="M813" s="224">
        <v>300000</v>
      </c>
      <c r="N813" s="224" t="s">
        <v>452</v>
      </c>
      <c r="O813" s="224" t="s">
        <v>6937</v>
      </c>
      <c r="P813" s="224"/>
      <c r="Q813" s="224" t="s">
        <v>24</v>
      </c>
      <c r="R813" s="224"/>
      <c r="S813" s="224" t="str">
        <f>IFERROR(VLOOKUP(B813,'2022-2023 Third Reviews'!$C:$S,9,FALSE),"")</f>
        <v/>
      </c>
      <c r="T813" s="224"/>
      <c r="U813" s="224"/>
      <c r="V813" s="224"/>
      <c r="W813" s="224"/>
      <c r="X813" s="224"/>
      <c r="Y813" s="224"/>
      <c r="Z813" s="224"/>
      <c r="AA813" s="224"/>
      <c r="AB813" s="224"/>
      <c r="AC813" s="224"/>
    </row>
    <row r="814" spans="1:29" ht="15.75" customHeight="1">
      <c r="A814" s="248">
        <v>44796</v>
      </c>
      <c r="B814" s="219" t="s">
        <v>6940</v>
      </c>
      <c r="C814" s="315">
        <v>2</v>
      </c>
      <c r="D814" s="219" t="s">
        <v>6943</v>
      </c>
      <c r="E814" s="219" t="s">
        <v>4</v>
      </c>
      <c r="F814" s="219" t="s">
        <v>725</v>
      </c>
      <c r="G814" s="219" t="s">
        <v>11128</v>
      </c>
      <c r="H814" s="219">
        <v>2</v>
      </c>
      <c r="I814" s="219" t="s">
        <v>1045</v>
      </c>
      <c r="J814" s="219" t="s">
        <v>6945</v>
      </c>
      <c r="K814" s="219">
        <v>2</v>
      </c>
      <c r="L814" s="219"/>
      <c r="M814" s="219"/>
      <c r="N814" s="219" t="s">
        <v>454</v>
      </c>
      <c r="O814" s="219" t="s">
        <v>452</v>
      </c>
      <c r="P814" s="219"/>
      <c r="Q814" s="219" t="s">
        <v>24</v>
      </c>
      <c r="R814" s="219"/>
      <c r="S814" s="219" t="str">
        <f>IFERROR(VLOOKUP(B814,'2022-2023 Third Reviews'!$C:$S,9,FALSE),"")</f>
        <v/>
      </c>
      <c r="T814" s="219"/>
      <c r="U814" s="219"/>
      <c r="V814" s="252"/>
      <c r="W814" s="252"/>
      <c r="X814" s="252"/>
      <c r="Y814" s="219"/>
      <c r="Z814" s="219"/>
      <c r="AA814" s="219"/>
      <c r="AB814" s="219"/>
      <c r="AC814" s="219"/>
    </row>
    <row r="815" spans="1:29" ht="15.75" hidden="1" customHeight="1">
      <c r="A815" s="257">
        <v>44782</v>
      </c>
      <c r="B815" s="258" t="s">
        <v>8859</v>
      </c>
      <c r="C815" s="249">
        <v>3.5</v>
      </c>
      <c r="D815" s="258" t="s">
        <v>11221</v>
      </c>
      <c r="E815" s="250" t="s">
        <v>3</v>
      </c>
      <c r="F815" s="258" t="s">
        <v>460</v>
      </c>
      <c r="G815" s="258" t="s">
        <v>8863</v>
      </c>
      <c r="H815" s="258">
        <v>3</v>
      </c>
      <c r="I815" s="258" t="s">
        <v>462</v>
      </c>
      <c r="J815" s="258" t="s">
        <v>11222</v>
      </c>
      <c r="K815" s="258">
        <v>4</v>
      </c>
      <c r="L815" s="258" t="s">
        <v>451</v>
      </c>
      <c r="M815" s="258">
        <v>1000000</v>
      </c>
      <c r="N815" s="258" t="s">
        <v>454</v>
      </c>
      <c r="O815" s="258" t="s">
        <v>8865</v>
      </c>
      <c r="P815" s="258"/>
      <c r="Q815" s="258" t="s">
        <v>24</v>
      </c>
      <c r="R815" s="259" t="s">
        <v>8866</v>
      </c>
      <c r="S815" s="259"/>
      <c r="T815" s="259"/>
      <c r="U815" s="259"/>
      <c r="V815" s="258"/>
      <c r="W815" s="258"/>
      <c r="X815" s="258"/>
      <c r="Y815" s="258"/>
      <c r="Z815" s="258"/>
      <c r="AA815" s="258"/>
      <c r="AB815" s="258"/>
      <c r="AC815" s="258"/>
    </row>
    <row r="816" spans="1:29" ht="15.75" hidden="1" customHeight="1">
      <c r="A816" s="212">
        <v>44776</v>
      </c>
      <c r="B816" s="213" t="s">
        <v>2913</v>
      </c>
      <c r="C816" s="214">
        <v>1.5</v>
      </c>
      <c r="D816" s="213" t="s">
        <v>2916</v>
      </c>
      <c r="E816" s="215" t="s">
        <v>5</v>
      </c>
      <c r="F816" s="213" t="s">
        <v>447</v>
      </c>
      <c r="G816" s="213" t="s">
        <v>2917</v>
      </c>
      <c r="H816" s="213">
        <v>1</v>
      </c>
      <c r="I816" s="213" t="s">
        <v>476</v>
      </c>
      <c r="J816" s="213" t="s">
        <v>13400</v>
      </c>
      <c r="K816" s="213">
        <v>2</v>
      </c>
      <c r="L816" s="213"/>
      <c r="M816" s="213"/>
      <c r="N816" s="213" t="s">
        <v>452</v>
      </c>
      <c r="O816" s="213" t="s">
        <v>2919</v>
      </c>
      <c r="P816" s="143"/>
      <c r="Q816" s="213" t="s">
        <v>24</v>
      </c>
      <c r="R816" s="226">
        <f t="array" ref="R816">INDEX(Notes!C:C,MATCH($B816,Notes!$A:$A,0))</f>
        <v>0</v>
      </c>
      <c r="S816" s="226"/>
      <c r="T816" s="226"/>
      <c r="U816" s="226"/>
      <c r="V816" s="218"/>
      <c r="W816" s="218"/>
      <c r="X816" s="218"/>
      <c r="Y816" s="219"/>
      <c r="Z816" s="219"/>
      <c r="AA816" s="219"/>
      <c r="AB816" s="219"/>
      <c r="AC816" s="219"/>
    </row>
    <row r="817" spans="1:29" ht="15.75" hidden="1" customHeight="1">
      <c r="A817" s="253">
        <v>44791</v>
      </c>
      <c r="B817" s="224" t="s">
        <v>2922</v>
      </c>
      <c r="C817" s="316">
        <v>2.75</v>
      </c>
      <c r="D817" s="224" t="s">
        <v>2925</v>
      </c>
      <c r="E817" s="224" t="s">
        <v>5</v>
      </c>
      <c r="F817" s="224" t="s">
        <v>447</v>
      </c>
      <c r="G817" s="224" t="s">
        <v>11366</v>
      </c>
      <c r="H817" s="224">
        <v>3</v>
      </c>
      <c r="I817" s="224" t="s">
        <v>622</v>
      </c>
      <c r="J817" s="224" t="s">
        <v>2927</v>
      </c>
      <c r="K817" s="224">
        <v>2.5</v>
      </c>
      <c r="L817" s="224" t="s">
        <v>784</v>
      </c>
      <c r="M817" s="307">
        <v>500000</v>
      </c>
      <c r="N817" s="224" t="s">
        <v>452</v>
      </c>
      <c r="O817" s="224" t="s">
        <v>2928</v>
      </c>
      <c r="P817" s="224"/>
      <c r="Q817" s="322" t="s">
        <v>24</v>
      </c>
      <c r="R817" s="254"/>
      <c r="S817" s="254"/>
      <c r="T817" s="254"/>
      <c r="U817" s="254"/>
      <c r="V817" s="224"/>
      <c r="W817" s="224"/>
      <c r="X817" s="224"/>
      <c r="Y817" s="224"/>
      <c r="Z817" s="224"/>
      <c r="AA817" s="224"/>
      <c r="AB817" s="224"/>
      <c r="AC817" s="224"/>
    </row>
    <row r="818" spans="1:29" ht="15.75" customHeight="1">
      <c r="A818" s="248">
        <v>44791</v>
      </c>
      <c r="B818" s="219" t="s">
        <v>6948</v>
      </c>
      <c r="C818" s="315">
        <v>2</v>
      </c>
      <c r="D818" s="219" t="s">
        <v>6951</v>
      </c>
      <c r="E818" s="219" t="s">
        <v>4</v>
      </c>
      <c r="F818" s="219" t="s">
        <v>725</v>
      </c>
      <c r="G818" s="219" t="s">
        <v>10348</v>
      </c>
      <c r="H818" s="219">
        <v>2</v>
      </c>
      <c r="I818" s="219" t="s">
        <v>1045</v>
      </c>
      <c r="J818" s="219" t="s">
        <v>6953</v>
      </c>
      <c r="K818" s="219">
        <v>2</v>
      </c>
      <c r="L818" s="219" t="s">
        <v>478</v>
      </c>
      <c r="M818" s="310">
        <v>500000</v>
      </c>
      <c r="N818" s="219" t="s">
        <v>465</v>
      </c>
      <c r="O818" s="219" t="s">
        <v>452</v>
      </c>
      <c r="P818" s="219"/>
      <c r="Q818" s="322" t="s">
        <v>24</v>
      </c>
      <c r="R818" s="219"/>
      <c r="S818" s="219" t="str">
        <f>IFERROR(VLOOKUP(B818,'2022-2023 Third Reviews'!$C:$S,9,FALSE),"")</f>
        <v/>
      </c>
      <c r="T818" s="219"/>
      <c r="U818" s="219"/>
      <c r="V818" s="219"/>
      <c r="W818" s="219"/>
      <c r="X818" s="219"/>
      <c r="Y818" s="219"/>
      <c r="Z818" s="219"/>
      <c r="AA818" s="219"/>
      <c r="AB818" s="219"/>
      <c r="AC818" s="219"/>
    </row>
    <row r="819" spans="1:29" ht="15.75" hidden="1" customHeight="1">
      <c r="A819" s="253">
        <v>44782</v>
      </c>
      <c r="B819" s="224" t="s">
        <v>2931</v>
      </c>
      <c r="C819" s="249">
        <v>3.5</v>
      </c>
      <c r="D819" s="224" t="s">
        <v>2934</v>
      </c>
      <c r="E819" s="250" t="s">
        <v>5</v>
      </c>
      <c r="F819" s="224" t="s">
        <v>447</v>
      </c>
      <c r="G819" s="224" t="s">
        <v>11174</v>
      </c>
      <c r="H819" s="224">
        <v>4</v>
      </c>
      <c r="I819" s="224" t="s">
        <v>622</v>
      </c>
      <c r="J819" s="224" t="s">
        <v>11536</v>
      </c>
      <c r="K819" s="224">
        <v>3</v>
      </c>
      <c r="L819" s="224" t="s">
        <v>451</v>
      </c>
      <c r="M819" s="224">
        <v>1500000</v>
      </c>
      <c r="N819" s="224" t="s">
        <v>452</v>
      </c>
      <c r="O819" s="224" t="s">
        <v>2937</v>
      </c>
      <c r="P819" s="224"/>
      <c r="Q819" s="224" t="s">
        <v>24</v>
      </c>
      <c r="R819" s="254"/>
      <c r="S819" s="254"/>
      <c r="T819" s="254"/>
      <c r="U819" s="254"/>
      <c r="V819" s="252"/>
      <c r="W819" s="252"/>
      <c r="X819" s="252"/>
      <c r="Y819" s="224"/>
      <c r="Z819" s="224"/>
      <c r="AA819" s="224"/>
      <c r="AB819" s="224"/>
      <c r="AC819" s="224"/>
    </row>
    <row r="820" spans="1:29" ht="15.75" customHeight="1">
      <c r="A820" s="398">
        <v>44784</v>
      </c>
      <c r="B820" s="268" t="s">
        <v>6955</v>
      </c>
      <c r="C820" s="269">
        <v>2</v>
      </c>
      <c r="D820" s="268" t="s">
        <v>6958</v>
      </c>
      <c r="E820" s="270" t="s">
        <v>4</v>
      </c>
      <c r="F820" s="268" t="s">
        <v>727</v>
      </c>
      <c r="G820" s="268" t="s">
        <v>10728</v>
      </c>
      <c r="H820" s="268">
        <v>2</v>
      </c>
      <c r="I820" s="268" t="s">
        <v>1054</v>
      </c>
      <c r="J820" s="268" t="s">
        <v>6960</v>
      </c>
      <c r="K820" s="268">
        <v>2</v>
      </c>
      <c r="L820" s="268"/>
      <c r="M820" s="268"/>
      <c r="N820" s="268" t="s">
        <v>454</v>
      </c>
      <c r="O820" s="268" t="s">
        <v>6961</v>
      </c>
      <c r="P820" s="268"/>
      <c r="Q820" s="268" t="s">
        <v>24</v>
      </c>
      <c r="R820" s="268"/>
      <c r="S820" s="268" t="str">
        <f>IFERROR(VLOOKUP(B820,'2022-2023 Third Reviews'!$C:$S,9,FALSE),"")</f>
        <v/>
      </c>
      <c r="T820" s="268"/>
      <c r="U820" s="268"/>
      <c r="V820" s="268"/>
      <c r="W820" s="268"/>
      <c r="X820" s="268"/>
      <c r="Y820" s="268"/>
      <c r="Z820" s="268"/>
      <c r="AA820" s="219"/>
      <c r="AB820" s="219"/>
      <c r="AC820" s="219"/>
    </row>
    <row r="821" spans="1:29" ht="15.75" hidden="1" customHeight="1">
      <c r="A821" s="253">
        <v>44791</v>
      </c>
      <c r="B821" s="224" t="s">
        <v>110</v>
      </c>
      <c r="C821" s="316">
        <v>4.25</v>
      </c>
      <c r="D821" s="224" t="s">
        <v>1859</v>
      </c>
      <c r="E821" s="224" t="s">
        <v>5</v>
      </c>
      <c r="F821" s="224" t="s">
        <v>447</v>
      </c>
      <c r="G821" s="224" t="s">
        <v>11368</v>
      </c>
      <c r="H821" s="224">
        <v>4.5</v>
      </c>
      <c r="I821" s="224" t="s">
        <v>543</v>
      </c>
      <c r="J821" s="224" t="s">
        <v>11651</v>
      </c>
      <c r="K821" s="224">
        <v>4</v>
      </c>
      <c r="L821" s="224" t="s">
        <v>973</v>
      </c>
      <c r="M821" s="224" t="s">
        <v>1862</v>
      </c>
      <c r="N821" s="224" t="s">
        <v>452</v>
      </c>
      <c r="O821" s="224" t="s">
        <v>1119</v>
      </c>
      <c r="P821" s="224"/>
      <c r="Q821" s="224" t="s">
        <v>18</v>
      </c>
      <c r="R821" s="254"/>
      <c r="S821" s="254"/>
      <c r="T821" s="254"/>
      <c r="U821" s="254"/>
      <c r="V821" s="224"/>
      <c r="W821" s="224"/>
      <c r="X821" s="224"/>
      <c r="Y821" s="224"/>
      <c r="Z821" s="224"/>
      <c r="AA821" s="224"/>
      <c r="AB821" s="224"/>
      <c r="AC821" s="224"/>
    </row>
    <row r="822" spans="1:29" ht="15.75" customHeight="1">
      <c r="A822" s="398">
        <v>44784</v>
      </c>
      <c r="B822" s="268" t="s">
        <v>6964</v>
      </c>
      <c r="C822" s="269">
        <v>2</v>
      </c>
      <c r="D822" s="268" t="s">
        <v>6967</v>
      </c>
      <c r="E822" s="270" t="s">
        <v>4</v>
      </c>
      <c r="F822" s="268" t="s">
        <v>725</v>
      </c>
      <c r="G822" s="268" t="s">
        <v>6968</v>
      </c>
      <c r="H822" s="268">
        <v>2</v>
      </c>
      <c r="I822" s="268" t="s">
        <v>1054</v>
      </c>
      <c r="J822" s="268" t="s">
        <v>6969</v>
      </c>
      <c r="K822" s="268">
        <v>2</v>
      </c>
      <c r="L822" s="268" t="s">
        <v>784</v>
      </c>
      <c r="M822" s="275">
        <v>500000</v>
      </c>
      <c r="N822" s="268" t="s">
        <v>452</v>
      </c>
      <c r="O822" s="275" t="s">
        <v>6970</v>
      </c>
      <c r="P822" s="268"/>
      <c r="Q822" s="268" t="s">
        <v>24</v>
      </c>
      <c r="R822" s="268"/>
      <c r="S822" s="268" t="str">
        <f>IFERROR(VLOOKUP(B822,'2022-2023 Third Reviews'!$C:$S,9,FALSE),"")</f>
        <v/>
      </c>
      <c r="T822" s="268"/>
      <c r="U822" s="268"/>
      <c r="V822" s="252"/>
      <c r="W822" s="252"/>
      <c r="X822" s="252"/>
      <c r="Y822" s="219"/>
      <c r="Z822" s="219"/>
      <c r="AA822" s="219"/>
      <c r="AB822" s="219"/>
      <c r="AC822" s="219"/>
    </row>
    <row r="823" spans="1:29" ht="15.75" customHeight="1">
      <c r="A823" s="398">
        <v>44784</v>
      </c>
      <c r="B823" s="272" t="s">
        <v>6973</v>
      </c>
      <c r="C823" s="269">
        <v>2</v>
      </c>
      <c r="D823" s="272" t="s">
        <v>6976</v>
      </c>
      <c r="E823" s="270" t="s">
        <v>4</v>
      </c>
      <c r="F823" s="272" t="s">
        <v>602</v>
      </c>
      <c r="G823" s="272" t="s">
        <v>6977</v>
      </c>
      <c r="H823" s="272">
        <v>2</v>
      </c>
      <c r="I823" s="272" t="s">
        <v>1054</v>
      </c>
      <c r="J823" s="272" t="s">
        <v>6978</v>
      </c>
      <c r="K823" s="272">
        <v>2</v>
      </c>
      <c r="L823" s="272" t="s">
        <v>451</v>
      </c>
      <c r="M823" s="272" t="s">
        <v>6979</v>
      </c>
      <c r="N823" s="272" t="s">
        <v>452</v>
      </c>
      <c r="O823" s="272" t="s">
        <v>6980</v>
      </c>
      <c r="P823" s="272"/>
      <c r="Q823" s="272" t="s">
        <v>24</v>
      </c>
      <c r="R823" s="272"/>
      <c r="S823" s="272" t="str">
        <f>IFERROR(VLOOKUP(B823,'2022-2023 Third Reviews'!$C:$S,9,FALSE),"")</f>
        <v/>
      </c>
      <c r="T823" s="272"/>
      <c r="U823" s="272"/>
      <c r="V823" s="224"/>
      <c r="W823" s="224"/>
      <c r="X823" s="224"/>
      <c r="Y823" s="224"/>
      <c r="Z823" s="224"/>
      <c r="AA823" s="224"/>
      <c r="AB823" s="224"/>
      <c r="AC823" s="224"/>
    </row>
    <row r="824" spans="1:29" ht="15.75" customHeight="1">
      <c r="A824" s="248">
        <v>44796</v>
      </c>
      <c r="B824" s="219" t="s">
        <v>6983</v>
      </c>
      <c r="C824" s="315">
        <v>2</v>
      </c>
      <c r="D824" s="219" t="s">
        <v>6986</v>
      </c>
      <c r="E824" s="219" t="s">
        <v>4</v>
      </c>
      <c r="F824" s="219" t="s">
        <v>725</v>
      </c>
      <c r="G824" s="219" t="s">
        <v>11256</v>
      </c>
      <c r="H824" s="219">
        <v>2</v>
      </c>
      <c r="I824" s="219" t="s">
        <v>462</v>
      </c>
      <c r="J824" s="219" t="s">
        <v>6988</v>
      </c>
      <c r="K824" s="219">
        <v>2</v>
      </c>
      <c r="L824" s="219" t="s">
        <v>451</v>
      </c>
      <c r="M824" s="310">
        <v>10000000</v>
      </c>
      <c r="N824" s="219" t="s">
        <v>452</v>
      </c>
      <c r="O824" s="219" t="s">
        <v>6989</v>
      </c>
      <c r="P824" s="219"/>
      <c r="Q824" s="219" t="s">
        <v>24</v>
      </c>
      <c r="R824" s="219"/>
      <c r="S824" s="219" t="str">
        <f>IFERROR(VLOOKUP(B824,'2022-2023 Third Reviews'!$C:$S,9,FALSE),"")</f>
        <v/>
      </c>
      <c r="T824" s="219"/>
      <c r="U824" s="219"/>
      <c r="V824" s="306"/>
      <c r="W824" s="306"/>
      <c r="X824" s="306"/>
      <c r="Y824" s="306"/>
      <c r="Z824" s="306"/>
      <c r="AA824" s="306"/>
      <c r="AB824" s="306"/>
      <c r="AC824" s="306"/>
    </row>
    <row r="825" spans="1:29" ht="15.75" customHeight="1">
      <c r="A825" s="398">
        <v>44784</v>
      </c>
      <c r="B825" s="272" t="s">
        <v>6992</v>
      </c>
      <c r="C825" s="269">
        <v>2</v>
      </c>
      <c r="D825" s="272" t="s">
        <v>6995</v>
      </c>
      <c r="E825" s="270" t="s">
        <v>4</v>
      </c>
      <c r="F825" s="272" t="s">
        <v>727</v>
      </c>
      <c r="G825" s="272" t="s">
        <v>6996</v>
      </c>
      <c r="H825" s="272">
        <v>2</v>
      </c>
      <c r="I825" s="272" t="s">
        <v>1054</v>
      </c>
      <c r="J825" s="272" t="s">
        <v>6997</v>
      </c>
      <c r="K825" s="272">
        <v>2</v>
      </c>
      <c r="L825" s="272" t="s">
        <v>451</v>
      </c>
      <c r="M825" s="284">
        <v>650000</v>
      </c>
      <c r="N825" s="272" t="s">
        <v>465</v>
      </c>
      <c r="O825" s="284" t="s">
        <v>6998</v>
      </c>
      <c r="P825" s="272" t="s">
        <v>449</v>
      </c>
      <c r="Q825" s="272" t="s">
        <v>24</v>
      </c>
      <c r="R825" s="272"/>
      <c r="S825" s="272" t="str">
        <f>IFERROR(VLOOKUP(B825,'2022-2023 Third Reviews'!$C:$S,9,FALSE),"")</f>
        <v/>
      </c>
      <c r="T825" s="272"/>
      <c r="U825" s="272"/>
      <c r="V825" s="306"/>
      <c r="W825" s="306"/>
      <c r="X825" s="306"/>
      <c r="Y825" s="306"/>
      <c r="Z825" s="306"/>
      <c r="AA825" s="306"/>
      <c r="AB825" s="306"/>
      <c r="AC825" s="306"/>
    </row>
    <row r="826" spans="1:29" ht="15.75" customHeight="1">
      <c r="A826" s="212">
        <v>44776</v>
      </c>
      <c r="B826" s="213" t="s">
        <v>7001</v>
      </c>
      <c r="C826" s="214">
        <v>2</v>
      </c>
      <c r="D826" s="213" t="s">
        <v>7004</v>
      </c>
      <c r="E826" s="215" t="s">
        <v>4</v>
      </c>
      <c r="F826" s="213" t="s">
        <v>727</v>
      </c>
      <c r="G826" s="213" t="s">
        <v>7005</v>
      </c>
      <c r="H826" s="213">
        <v>2</v>
      </c>
      <c r="I826" s="213" t="s">
        <v>1054</v>
      </c>
      <c r="J826" s="213"/>
      <c r="K826" s="213">
        <v>2</v>
      </c>
      <c r="L826" s="213" t="s">
        <v>784</v>
      </c>
      <c r="M826" s="213">
        <v>2500000</v>
      </c>
      <c r="N826" s="213" t="s">
        <v>452</v>
      </c>
      <c r="O826" s="213" t="s">
        <v>7006</v>
      </c>
      <c r="P826" s="143"/>
      <c r="Q826" s="213" t="s">
        <v>24</v>
      </c>
      <c r="R826" s="213">
        <f t="array" ref="R826">INDEX(Notes!C:C,MATCH($B826,Notes!$A:$A,0))</f>
        <v>0</v>
      </c>
      <c r="S826" s="213" t="str">
        <f>IFERROR(VLOOKUP(B826,'2022-2023 Third Reviews'!$C:$S,9,FALSE),"")</f>
        <v/>
      </c>
      <c r="T826" s="213"/>
      <c r="U826" s="213"/>
      <c r="V826" s="219"/>
      <c r="W826" s="219"/>
      <c r="X826" s="219"/>
      <c r="Y826" s="219"/>
      <c r="Z826" s="219"/>
      <c r="AA826" s="219"/>
      <c r="AB826" s="219"/>
      <c r="AC826" s="219"/>
    </row>
    <row r="827" spans="1:29" ht="15.75" customHeight="1">
      <c r="A827" s="398">
        <v>44784</v>
      </c>
      <c r="B827" s="272" t="s">
        <v>7009</v>
      </c>
      <c r="C827" s="269">
        <v>2</v>
      </c>
      <c r="D827" s="272" t="s">
        <v>7012</v>
      </c>
      <c r="E827" s="270" t="s">
        <v>4</v>
      </c>
      <c r="F827" s="272" t="s">
        <v>602</v>
      </c>
      <c r="G827" s="272" t="s">
        <v>7013</v>
      </c>
      <c r="H827" s="272">
        <v>2</v>
      </c>
      <c r="I827" s="272" t="s">
        <v>1054</v>
      </c>
      <c r="J827" s="272" t="s">
        <v>7014</v>
      </c>
      <c r="K827" s="272">
        <v>2</v>
      </c>
      <c r="L827" s="272"/>
      <c r="M827" s="272"/>
      <c r="N827" s="272" t="s">
        <v>452</v>
      </c>
      <c r="O827" s="272" t="s">
        <v>7015</v>
      </c>
      <c r="P827" s="272"/>
      <c r="Q827" s="272" t="s">
        <v>24</v>
      </c>
      <c r="R827" s="272"/>
      <c r="S827" s="272" t="str">
        <f>IFERROR(VLOOKUP(B827,'2022-2023 Third Reviews'!$C:$S,9,FALSE),"")</f>
        <v/>
      </c>
      <c r="T827" s="272"/>
      <c r="U827" s="272"/>
      <c r="V827" s="306"/>
      <c r="W827" s="306"/>
      <c r="X827" s="306"/>
      <c r="Y827" s="306"/>
      <c r="Z827" s="306"/>
      <c r="AA827" s="306"/>
      <c r="AB827" s="306"/>
      <c r="AC827" s="306"/>
    </row>
    <row r="828" spans="1:29" ht="15.75" customHeight="1">
      <c r="A828" s="248">
        <v>44796</v>
      </c>
      <c r="B828" s="219" t="s">
        <v>7018</v>
      </c>
      <c r="C828" s="315">
        <v>2</v>
      </c>
      <c r="D828" s="219"/>
      <c r="E828" s="219" t="s">
        <v>4</v>
      </c>
      <c r="F828" s="219" t="s">
        <v>725</v>
      </c>
      <c r="G828" s="219" t="s">
        <v>7021</v>
      </c>
      <c r="H828" s="219">
        <v>2</v>
      </c>
      <c r="I828" s="219" t="s">
        <v>462</v>
      </c>
      <c r="J828" s="219" t="s">
        <v>7022</v>
      </c>
      <c r="K828" s="219">
        <v>2</v>
      </c>
      <c r="L828" s="219" t="s">
        <v>2190</v>
      </c>
      <c r="M828" s="331">
        <v>1500000</v>
      </c>
      <c r="N828" s="219" t="s">
        <v>452</v>
      </c>
      <c r="O828" s="219" t="s">
        <v>452</v>
      </c>
      <c r="P828" s="219"/>
      <c r="Q828" s="219" t="s">
        <v>24</v>
      </c>
      <c r="R828" s="219"/>
      <c r="S828" s="219" t="str">
        <f>IFERROR(VLOOKUP(B828,'2022-2023 Third Reviews'!$C:$S,9,FALSE),"")</f>
        <v/>
      </c>
      <c r="T828" s="219"/>
      <c r="U828" s="219"/>
      <c r="V828" s="258"/>
      <c r="W828" s="258"/>
      <c r="X828" s="258"/>
      <c r="Y828" s="258"/>
      <c r="Z828" s="258"/>
      <c r="AA828" s="258"/>
      <c r="AB828" s="258"/>
      <c r="AC828" s="258"/>
    </row>
    <row r="829" spans="1:29" ht="15.75" customHeight="1">
      <c r="A829" s="253">
        <v>44796</v>
      </c>
      <c r="B829" s="224" t="s">
        <v>7025</v>
      </c>
      <c r="C829" s="316">
        <v>2</v>
      </c>
      <c r="D829" s="224" t="s">
        <v>7028</v>
      </c>
      <c r="E829" s="224" t="s">
        <v>4</v>
      </c>
      <c r="F829" s="224" t="s">
        <v>725</v>
      </c>
      <c r="G829" s="224" t="s">
        <v>11139</v>
      </c>
      <c r="H829" s="224">
        <v>2</v>
      </c>
      <c r="I829" s="224" t="s">
        <v>1045</v>
      </c>
      <c r="J829" s="224" t="s">
        <v>7030</v>
      </c>
      <c r="K829" s="224">
        <v>2</v>
      </c>
      <c r="L829" s="224"/>
      <c r="M829" s="224"/>
      <c r="N829" s="224" t="s">
        <v>454</v>
      </c>
      <c r="O829" s="224" t="s">
        <v>452</v>
      </c>
      <c r="P829" s="224"/>
      <c r="Q829" s="224" t="s">
        <v>24</v>
      </c>
      <c r="R829" s="224"/>
      <c r="S829" s="224" t="str">
        <f>IFERROR(VLOOKUP(B829,'2022-2023 Third Reviews'!$C:$S,9,FALSE),"")</f>
        <v/>
      </c>
      <c r="T829" s="224"/>
      <c r="U829" s="224"/>
      <c r="V829" s="303"/>
      <c r="W829" s="303"/>
      <c r="X829" s="303"/>
      <c r="Y829" s="303"/>
      <c r="Z829" s="303"/>
      <c r="AA829" s="306"/>
      <c r="AB829" s="306"/>
      <c r="AC829" s="306"/>
    </row>
    <row r="830" spans="1:29" ht="15.75" customHeight="1">
      <c r="A830" s="248">
        <v>44791</v>
      </c>
      <c r="B830" s="219" t="s">
        <v>7032</v>
      </c>
      <c r="C830" s="315">
        <v>2</v>
      </c>
      <c r="D830" s="219" t="s">
        <v>7035</v>
      </c>
      <c r="E830" s="219" t="s">
        <v>4</v>
      </c>
      <c r="F830" s="219" t="s">
        <v>602</v>
      </c>
      <c r="G830" s="219" t="s">
        <v>7036</v>
      </c>
      <c r="H830" s="219">
        <v>2</v>
      </c>
      <c r="I830" s="219" t="s">
        <v>476</v>
      </c>
      <c r="J830" s="219" t="s">
        <v>11702</v>
      </c>
      <c r="K830" s="219">
        <v>2</v>
      </c>
      <c r="L830" s="219"/>
      <c r="M830" s="219"/>
      <c r="N830" s="219" t="s">
        <v>454</v>
      </c>
      <c r="O830" s="219" t="s">
        <v>11080</v>
      </c>
      <c r="P830" s="219"/>
      <c r="Q830" s="322" t="s">
        <v>24</v>
      </c>
      <c r="R830" s="219"/>
      <c r="S830" s="219" t="str">
        <f>IFERROR(VLOOKUP(B830,'2022-2023 Third Reviews'!$C:$S,9,FALSE),"")</f>
        <v/>
      </c>
      <c r="T830" s="219" t="s">
        <v>13092</v>
      </c>
      <c r="U830" s="219"/>
      <c r="V830" s="306"/>
      <c r="W830" s="306"/>
      <c r="X830" s="306"/>
      <c r="Y830" s="306"/>
      <c r="Z830" s="306"/>
      <c r="AA830" s="306"/>
      <c r="AB830" s="306"/>
      <c r="AC830" s="306"/>
    </row>
    <row r="831" spans="1:29" ht="15.75" customHeight="1">
      <c r="A831" s="253">
        <v>44796</v>
      </c>
      <c r="B831" s="224" t="s">
        <v>7041</v>
      </c>
      <c r="C831" s="316">
        <v>2</v>
      </c>
      <c r="D831" s="224" t="s">
        <v>7044</v>
      </c>
      <c r="E831" s="224" t="s">
        <v>4</v>
      </c>
      <c r="F831" s="224" t="s">
        <v>725</v>
      </c>
      <c r="G831" s="224" t="s">
        <v>7045</v>
      </c>
      <c r="H831" s="224">
        <v>2</v>
      </c>
      <c r="I831" s="224" t="s">
        <v>1036</v>
      </c>
      <c r="J831" s="224" t="s">
        <v>7046</v>
      </c>
      <c r="K831" s="224">
        <v>2</v>
      </c>
      <c r="L831" s="224" t="s">
        <v>784</v>
      </c>
      <c r="M831" s="224" t="s">
        <v>7047</v>
      </c>
      <c r="N831" s="224" t="s">
        <v>465</v>
      </c>
      <c r="O831" s="224" t="s">
        <v>7048</v>
      </c>
      <c r="P831" s="224"/>
      <c r="Q831" s="224" t="s">
        <v>24</v>
      </c>
      <c r="R831" s="224"/>
      <c r="S831" s="224" t="str">
        <f>IFERROR(VLOOKUP(B831,'2022-2023 Third Reviews'!$C:$S,9,FALSE),"")</f>
        <v/>
      </c>
      <c r="T831" s="224"/>
      <c r="U831" s="224"/>
      <c r="V831" s="224"/>
      <c r="W831" s="224"/>
      <c r="X831" s="224"/>
      <c r="Y831" s="224"/>
      <c r="Z831" s="224"/>
      <c r="AA831" s="224"/>
      <c r="AB831" s="224"/>
      <c r="AC831" s="224"/>
    </row>
    <row r="832" spans="1:29" ht="15.75" customHeight="1">
      <c r="A832" s="248">
        <v>44791</v>
      </c>
      <c r="B832" s="219" t="s">
        <v>7051</v>
      </c>
      <c r="C832" s="315">
        <v>2</v>
      </c>
      <c r="D832" s="219" t="s">
        <v>7054</v>
      </c>
      <c r="E832" s="219" t="s">
        <v>4</v>
      </c>
      <c r="F832" s="219" t="s">
        <v>602</v>
      </c>
      <c r="G832" s="219" t="s">
        <v>7055</v>
      </c>
      <c r="H832" s="219">
        <v>2</v>
      </c>
      <c r="I832" s="219" t="s">
        <v>1045</v>
      </c>
      <c r="J832" s="219" t="s">
        <v>7056</v>
      </c>
      <c r="K832" s="219">
        <v>2</v>
      </c>
      <c r="L832" s="219" t="s">
        <v>784</v>
      </c>
      <c r="M832" s="219">
        <v>200000</v>
      </c>
      <c r="N832" s="219" t="s">
        <v>452</v>
      </c>
      <c r="O832" s="219" t="s">
        <v>7057</v>
      </c>
      <c r="P832" s="219"/>
      <c r="Q832" s="322" t="s">
        <v>24</v>
      </c>
      <c r="R832" s="219"/>
      <c r="S832" s="219" t="str">
        <f>IFERROR(VLOOKUP(B832,'2022-2023 Third Reviews'!$C:$S,9,FALSE),"")</f>
        <v/>
      </c>
      <c r="T832" s="219"/>
      <c r="U832" s="219"/>
      <c r="V832" s="219"/>
      <c r="W832" s="219"/>
      <c r="X832" s="219"/>
      <c r="Y832" s="219"/>
      <c r="Z832" s="219"/>
      <c r="AA832" s="219"/>
      <c r="AB832" s="219"/>
      <c r="AC832" s="219"/>
    </row>
    <row r="833" spans="1:29" ht="15.75" customHeight="1">
      <c r="A833" s="398">
        <v>44784</v>
      </c>
      <c r="B833" s="272" t="s">
        <v>7060</v>
      </c>
      <c r="C833" s="269">
        <v>2</v>
      </c>
      <c r="D833" s="272" t="s">
        <v>7063</v>
      </c>
      <c r="E833" s="270" t="s">
        <v>4</v>
      </c>
      <c r="F833" s="272" t="s">
        <v>602</v>
      </c>
      <c r="G833" s="272" t="s">
        <v>7064</v>
      </c>
      <c r="H833" s="272">
        <v>2</v>
      </c>
      <c r="I833" s="272" t="s">
        <v>1054</v>
      </c>
      <c r="J833" s="272" t="s">
        <v>7065</v>
      </c>
      <c r="K833" s="272">
        <v>2</v>
      </c>
      <c r="L833" s="272" t="s">
        <v>784</v>
      </c>
      <c r="M833" s="284">
        <v>1000000</v>
      </c>
      <c r="N833" s="272" t="s">
        <v>452</v>
      </c>
      <c r="O833" s="284" t="s">
        <v>452</v>
      </c>
      <c r="P833" s="272" t="s">
        <v>7066</v>
      </c>
      <c r="Q833" s="272" t="s">
        <v>24</v>
      </c>
      <c r="R833" s="272"/>
      <c r="S833" s="272" t="str">
        <f>IFERROR(VLOOKUP(B833,'2022-2023 Third Reviews'!$C:$S,9,FALSE),"")</f>
        <v/>
      </c>
      <c r="T833" s="272"/>
      <c r="U833" s="272"/>
      <c r="V833" s="224"/>
      <c r="W833" s="224"/>
      <c r="X833" s="224"/>
      <c r="Y833" s="224"/>
      <c r="Z833" s="224"/>
      <c r="AA833" s="224"/>
      <c r="AB833" s="224"/>
      <c r="AC833" s="224"/>
    </row>
    <row r="834" spans="1:29" ht="15.75" customHeight="1">
      <c r="A834" s="248">
        <v>44796</v>
      </c>
      <c r="B834" s="219" t="s">
        <v>7068</v>
      </c>
      <c r="C834" s="315">
        <v>2</v>
      </c>
      <c r="D834" s="219" t="s">
        <v>7071</v>
      </c>
      <c r="E834" s="219" t="s">
        <v>4</v>
      </c>
      <c r="F834" s="219" t="s">
        <v>725</v>
      </c>
      <c r="G834" s="219" t="s">
        <v>7072</v>
      </c>
      <c r="H834" s="219">
        <v>2</v>
      </c>
      <c r="I834" s="219" t="s">
        <v>1036</v>
      </c>
      <c r="J834" s="219" t="s">
        <v>7073</v>
      </c>
      <c r="K834" s="219">
        <v>2</v>
      </c>
      <c r="L834" s="219"/>
      <c r="M834" s="219"/>
      <c r="N834" s="219" t="s">
        <v>452</v>
      </c>
      <c r="O834" s="219" t="s">
        <v>452</v>
      </c>
      <c r="P834" s="219" t="s">
        <v>7074</v>
      </c>
      <c r="Q834" s="219" t="s">
        <v>24</v>
      </c>
      <c r="R834" s="219"/>
      <c r="S834" s="219" t="str">
        <f>IFERROR(VLOOKUP(B834,'2022-2023 Third Reviews'!$C:$S,9,FALSE),"")</f>
        <v/>
      </c>
      <c r="T834" s="219"/>
      <c r="U834" s="219"/>
      <c r="V834" s="306"/>
      <c r="W834" s="306"/>
      <c r="X834" s="306"/>
      <c r="Y834" s="306"/>
      <c r="Z834" s="306"/>
      <c r="AA834" s="306"/>
      <c r="AB834" s="306"/>
      <c r="AC834" s="306"/>
    </row>
    <row r="835" spans="1:29" ht="15.75" customHeight="1">
      <c r="A835" s="253">
        <v>44789</v>
      </c>
      <c r="B835" s="224" t="s">
        <v>7077</v>
      </c>
      <c r="C835" s="249">
        <v>2</v>
      </c>
      <c r="D835" s="224" t="s">
        <v>7080</v>
      </c>
      <c r="E835" s="250" t="s">
        <v>4</v>
      </c>
      <c r="F835" s="224" t="s">
        <v>727</v>
      </c>
      <c r="G835" s="224" t="s">
        <v>10660</v>
      </c>
      <c r="H835" s="224">
        <v>2</v>
      </c>
      <c r="I835" s="224" t="s">
        <v>1045</v>
      </c>
      <c r="J835" s="224" t="s">
        <v>7082</v>
      </c>
      <c r="K835" s="224">
        <v>2</v>
      </c>
      <c r="L835" s="224" t="s">
        <v>451</v>
      </c>
      <c r="M835" s="307">
        <v>800000</v>
      </c>
      <c r="N835" s="224" t="s">
        <v>452</v>
      </c>
      <c r="O835" s="224" t="s">
        <v>452</v>
      </c>
      <c r="P835" s="224"/>
      <c r="Q835" s="224" t="s">
        <v>24</v>
      </c>
      <c r="R835" s="224"/>
      <c r="S835" s="224" t="str">
        <f>IFERROR(VLOOKUP(B835,'2022-2023 Third Reviews'!$C:$S,9,FALSE),"")</f>
        <v/>
      </c>
      <c r="T835" s="224"/>
      <c r="U835" s="224"/>
      <c r="V835" s="252"/>
      <c r="W835" s="252"/>
      <c r="X835" s="252"/>
      <c r="Y835" s="224"/>
      <c r="Z835" s="224"/>
      <c r="AA835" s="224"/>
      <c r="AB835" s="224"/>
      <c r="AC835" s="224"/>
    </row>
    <row r="836" spans="1:29" ht="15.75" customHeight="1">
      <c r="A836" s="248">
        <v>44789</v>
      </c>
      <c r="B836" s="219" t="s">
        <v>7085</v>
      </c>
      <c r="C836" s="249">
        <v>2</v>
      </c>
      <c r="D836" s="219" t="s">
        <v>7088</v>
      </c>
      <c r="E836" s="250" t="s">
        <v>4</v>
      </c>
      <c r="F836" s="219" t="s">
        <v>602</v>
      </c>
      <c r="G836" s="219" t="s">
        <v>7089</v>
      </c>
      <c r="H836" s="219">
        <v>2</v>
      </c>
      <c r="I836" s="219" t="s">
        <v>476</v>
      </c>
      <c r="J836" s="219" t="s">
        <v>10961</v>
      </c>
      <c r="K836" s="219">
        <v>2</v>
      </c>
      <c r="L836" s="219"/>
      <c r="M836" s="219"/>
      <c r="N836" s="219" t="s">
        <v>454</v>
      </c>
      <c r="O836" s="219" t="s">
        <v>452</v>
      </c>
      <c r="P836" s="219"/>
      <c r="Q836" s="219" t="s">
        <v>24</v>
      </c>
      <c r="R836" s="219"/>
      <c r="S836" s="219" t="str">
        <f>IFERROR(VLOOKUP(B836,'2022-2023 Third Reviews'!$C:$S,9,FALSE),"")</f>
        <v/>
      </c>
      <c r="T836" s="219" t="s">
        <v>13259</v>
      </c>
      <c r="U836" s="219"/>
      <c r="V836" s="219"/>
      <c r="W836" s="219"/>
      <c r="X836" s="219"/>
      <c r="Y836" s="219"/>
      <c r="Z836" s="219"/>
      <c r="AA836" s="219"/>
      <c r="AB836" s="219"/>
      <c r="AC836" s="219"/>
    </row>
    <row r="837" spans="1:29" ht="15.75" customHeight="1">
      <c r="A837" s="253">
        <v>44782</v>
      </c>
      <c r="B837" s="224" t="s">
        <v>7092</v>
      </c>
      <c r="C837" s="249">
        <v>2</v>
      </c>
      <c r="D837" s="224" t="s">
        <v>7095</v>
      </c>
      <c r="E837" s="250" t="s">
        <v>4</v>
      </c>
      <c r="F837" s="224" t="s">
        <v>602</v>
      </c>
      <c r="G837" s="224" t="s">
        <v>10454</v>
      </c>
      <c r="H837" s="224">
        <v>2</v>
      </c>
      <c r="I837" s="224" t="s">
        <v>476</v>
      </c>
      <c r="J837" s="224" t="s">
        <v>10455</v>
      </c>
      <c r="K837" s="224">
        <v>2</v>
      </c>
      <c r="L837" s="224" t="s">
        <v>451</v>
      </c>
      <c r="M837" s="224" t="s">
        <v>7098</v>
      </c>
      <c r="N837" s="224" t="s">
        <v>452</v>
      </c>
      <c r="O837" s="224" t="s">
        <v>11544</v>
      </c>
      <c r="P837" s="224"/>
      <c r="Q837" s="224" t="s">
        <v>24</v>
      </c>
      <c r="R837" s="224"/>
      <c r="S837" s="224" t="str">
        <f>IFERROR(VLOOKUP(B837,'2022-2023 Third Reviews'!$C:$S,9,FALSE),"")</f>
        <v/>
      </c>
      <c r="T837" s="224" t="s">
        <v>13267</v>
      </c>
      <c r="U837" s="224"/>
      <c r="V837" s="306"/>
      <c r="W837" s="306"/>
      <c r="X837" s="306"/>
      <c r="Y837" s="306"/>
      <c r="Z837" s="306"/>
      <c r="AA837" s="306"/>
      <c r="AB837" s="306"/>
      <c r="AC837" s="306"/>
    </row>
    <row r="838" spans="1:29" ht="15.75" customHeight="1">
      <c r="A838" s="248">
        <v>44797</v>
      </c>
      <c r="B838" s="219" t="s">
        <v>7102</v>
      </c>
      <c r="C838" s="315">
        <v>2</v>
      </c>
      <c r="D838" s="219" t="s">
        <v>7105</v>
      </c>
      <c r="E838" s="219" t="s">
        <v>4</v>
      </c>
      <c r="F838" s="219" t="s">
        <v>727</v>
      </c>
      <c r="G838" s="219" t="s">
        <v>11286</v>
      </c>
      <c r="H838" s="219">
        <v>2</v>
      </c>
      <c r="I838" s="219" t="s">
        <v>1073</v>
      </c>
      <c r="J838" s="219" t="s">
        <v>7107</v>
      </c>
      <c r="K838" s="219">
        <v>2</v>
      </c>
      <c r="L838" s="219"/>
      <c r="M838" s="219"/>
      <c r="N838" s="219" t="s">
        <v>452</v>
      </c>
      <c r="O838" s="219" t="s">
        <v>1028</v>
      </c>
      <c r="P838" s="219" t="s">
        <v>7108</v>
      </c>
      <c r="Q838" s="219" t="s">
        <v>24</v>
      </c>
      <c r="R838" s="219"/>
      <c r="S838" s="219" t="str">
        <f>IFERROR(VLOOKUP(B838,'2022-2023 Third Reviews'!$C:$S,9,FALSE),"")</f>
        <v/>
      </c>
      <c r="T838" s="219"/>
      <c r="U838" s="219"/>
      <c r="V838" s="252"/>
      <c r="W838" s="252"/>
      <c r="X838" s="252"/>
      <c r="Y838" s="219"/>
      <c r="Z838" s="219"/>
      <c r="AA838" s="219"/>
      <c r="AB838" s="219"/>
      <c r="AC838" s="219"/>
    </row>
    <row r="839" spans="1:29" ht="15.75" hidden="1" customHeight="1">
      <c r="A839" s="301">
        <v>44789</v>
      </c>
      <c r="B839" s="303" t="s">
        <v>8869</v>
      </c>
      <c r="C839" s="269"/>
      <c r="D839" s="303" t="s">
        <v>8872</v>
      </c>
      <c r="E839" s="270" t="s">
        <v>3</v>
      </c>
      <c r="F839" s="303" t="s">
        <v>460</v>
      </c>
      <c r="G839" s="303"/>
      <c r="H839" s="303"/>
      <c r="I839" s="303" t="s">
        <v>488</v>
      </c>
      <c r="J839" s="303"/>
      <c r="K839" s="303"/>
      <c r="L839" s="303" t="s">
        <v>8874</v>
      </c>
      <c r="M839" s="304">
        <v>5000000</v>
      </c>
      <c r="N839" s="303" t="s">
        <v>452</v>
      </c>
      <c r="O839" s="304" t="s">
        <v>452</v>
      </c>
      <c r="P839" s="303"/>
      <c r="Q839" s="303"/>
      <c r="R839" s="305"/>
      <c r="S839" s="305"/>
      <c r="T839" s="305"/>
      <c r="U839" s="305"/>
      <c r="V839" s="303"/>
      <c r="W839" s="303"/>
      <c r="X839" s="303"/>
      <c r="Y839" s="303"/>
      <c r="Z839" s="303"/>
      <c r="AA839" s="306"/>
      <c r="AB839" s="306"/>
      <c r="AC839" s="306"/>
    </row>
    <row r="840" spans="1:29" ht="15.75" hidden="1" customHeight="1">
      <c r="A840" s="541">
        <v>44791</v>
      </c>
      <c r="B840" s="306" t="s">
        <v>8869</v>
      </c>
      <c r="C840" s="542"/>
      <c r="D840" s="306" t="s">
        <v>8872</v>
      </c>
      <c r="E840" s="306" t="s">
        <v>3</v>
      </c>
      <c r="F840" s="306" t="s">
        <v>460</v>
      </c>
      <c r="G840" s="306"/>
      <c r="H840" s="306"/>
      <c r="I840" s="306" t="s">
        <v>488</v>
      </c>
      <c r="J840" s="306"/>
      <c r="K840" s="306"/>
      <c r="L840" s="306" t="s">
        <v>8874</v>
      </c>
      <c r="M840" s="544">
        <v>5000000</v>
      </c>
      <c r="N840" s="306" t="s">
        <v>452</v>
      </c>
      <c r="O840" s="306" t="s">
        <v>452</v>
      </c>
      <c r="P840" s="306"/>
      <c r="Q840" s="306"/>
      <c r="R840" s="543"/>
      <c r="S840" s="543"/>
      <c r="T840" s="543"/>
      <c r="U840" s="543"/>
      <c r="V840" s="306"/>
      <c r="W840" s="306"/>
      <c r="X840" s="306"/>
      <c r="Y840" s="306"/>
      <c r="Z840" s="306"/>
      <c r="AA840" s="306"/>
      <c r="AB840" s="306"/>
      <c r="AC840" s="306"/>
    </row>
    <row r="841" spans="1:29" ht="15.75" hidden="1" customHeight="1">
      <c r="A841" s="253">
        <v>44791</v>
      </c>
      <c r="B841" s="224" t="s">
        <v>8869</v>
      </c>
      <c r="C841" s="316">
        <v>3.25</v>
      </c>
      <c r="D841" s="224" t="s">
        <v>8872</v>
      </c>
      <c r="E841" s="224" t="s">
        <v>3</v>
      </c>
      <c r="F841" s="224" t="s">
        <v>460</v>
      </c>
      <c r="G841" s="224" t="s">
        <v>8873</v>
      </c>
      <c r="H841" s="224">
        <v>3</v>
      </c>
      <c r="I841" s="224" t="s">
        <v>488</v>
      </c>
      <c r="J841" s="224"/>
      <c r="K841" s="224">
        <v>3.5</v>
      </c>
      <c r="L841" s="224" t="s">
        <v>8874</v>
      </c>
      <c r="M841" s="307">
        <v>5000000</v>
      </c>
      <c r="N841" s="224" t="s">
        <v>452</v>
      </c>
      <c r="O841" s="224" t="s">
        <v>452</v>
      </c>
      <c r="P841" s="224"/>
      <c r="Q841" s="322" t="s">
        <v>24</v>
      </c>
      <c r="R841" s="254"/>
      <c r="S841" s="254"/>
      <c r="T841" s="254"/>
      <c r="U841" s="254"/>
      <c r="V841" s="224"/>
      <c r="W841" s="224"/>
      <c r="X841" s="224"/>
      <c r="Y841" s="224"/>
      <c r="Z841" s="224"/>
      <c r="AA841" s="224"/>
      <c r="AB841" s="224"/>
      <c r="AC841" s="224"/>
    </row>
    <row r="842" spans="1:29" ht="15.75" customHeight="1">
      <c r="A842" s="212">
        <v>44776</v>
      </c>
      <c r="B842" s="213" t="s">
        <v>7110</v>
      </c>
      <c r="C842" s="214">
        <v>2</v>
      </c>
      <c r="D842" s="213" t="s">
        <v>7113</v>
      </c>
      <c r="E842" s="215" t="s">
        <v>4</v>
      </c>
      <c r="F842" s="213" t="s">
        <v>602</v>
      </c>
      <c r="G842" s="213" t="s">
        <v>11398</v>
      </c>
      <c r="H842" s="213">
        <v>2</v>
      </c>
      <c r="I842" s="213" t="s">
        <v>727</v>
      </c>
      <c r="J842" s="213" t="s">
        <v>7115</v>
      </c>
      <c r="K842" s="213">
        <v>2</v>
      </c>
      <c r="L842" s="213" t="s">
        <v>784</v>
      </c>
      <c r="M842" s="216">
        <v>1000000</v>
      </c>
      <c r="N842" s="213" t="s">
        <v>465</v>
      </c>
      <c r="O842" s="213" t="s">
        <v>7116</v>
      </c>
      <c r="P842" s="143"/>
      <c r="Q842" s="213" t="s">
        <v>24</v>
      </c>
      <c r="R842" s="213">
        <f t="array" ref="R842">INDEX(Notes!C:C,MATCH($B842,Notes!$A:$A,0))</f>
        <v>0</v>
      </c>
      <c r="S842" s="213" t="str">
        <f>IFERROR(VLOOKUP(B842,'2022-2023 Third Reviews'!$C:$S,9,FALSE),"")</f>
        <v/>
      </c>
      <c r="T842" s="213"/>
      <c r="U842" s="213"/>
      <c r="V842" s="252"/>
      <c r="W842" s="252"/>
      <c r="X842" s="252"/>
      <c r="Y842" s="219"/>
      <c r="Z842" s="219"/>
      <c r="AA842" s="219"/>
      <c r="AB842" s="219"/>
      <c r="AC842" s="219"/>
    </row>
    <row r="843" spans="1:29" ht="15.75" customHeight="1">
      <c r="A843" s="253">
        <v>44797</v>
      </c>
      <c r="B843" s="224" t="s">
        <v>7119</v>
      </c>
      <c r="C843" s="316">
        <v>2</v>
      </c>
      <c r="D843" s="224" t="s">
        <v>7122</v>
      </c>
      <c r="E843" s="224" t="s">
        <v>4</v>
      </c>
      <c r="F843" s="224" t="s">
        <v>727</v>
      </c>
      <c r="G843" s="224" t="s">
        <v>7123</v>
      </c>
      <c r="H843" s="224">
        <v>2</v>
      </c>
      <c r="I843" s="224" t="s">
        <v>1073</v>
      </c>
      <c r="J843" s="224"/>
      <c r="K843" s="224">
        <v>2</v>
      </c>
      <c r="L843" s="224"/>
      <c r="M843" s="224"/>
      <c r="N843" s="224" t="s">
        <v>452</v>
      </c>
      <c r="O843" s="224" t="s">
        <v>11225</v>
      </c>
      <c r="P843" s="224"/>
      <c r="Q843" s="224" t="s">
        <v>24</v>
      </c>
      <c r="R843" s="224"/>
      <c r="S843" s="224" t="str">
        <f>IFERROR(VLOOKUP(B843,'2022-2023 Third Reviews'!$C:$S,9,FALSE),"")</f>
        <v/>
      </c>
      <c r="T843" s="224"/>
      <c r="U843" s="224"/>
      <c r="V843" s="306"/>
      <c r="W843" s="306"/>
      <c r="X843" s="306"/>
      <c r="Y843" s="306"/>
      <c r="Z843" s="306"/>
      <c r="AA843" s="306"/>
      <c r="AB843" s="306"/>
      <c r="AC843" s="306"/>
    </row>
    <row r="844" spans="1:29" ht="15.75" customHeight="1">
      <c r="A844" s="248">
        <v>44796</v>
      </c>
      <c r="B844" s="219" t="s">
        <v>7127</v>
      </c>
      <c r="C844" s="315">
        <v>2</v>
      </c>
      <c r="D844" s="219" t="s">
        <v>7130</v>
      </c>
      <c r="E844" s="219" t="s">
        <v>4</v>
      </c>
      <c r="F844" s="219" t="s">
        <v>727</v>
      </c>
      <c r="G844" s="219" t="s">
        <v>10307</v>
      </c>
      <c r="H844" s="219">
        <v>2</v>
      </c>
      <c r="I844" s="219" t="s">
        <v>1073</v>
      </c>
      <c r="J844" s="219"/>
      <c r="K844" s="219">
        <v>2</v>
      </c>
      <c r="L844" s="219" t="s">
        <v>451</v>
      </c>
      <c r="M844" s="219" t="s">
        <v>7132</v>
      </c>
      <c r="N844" s="219" t="s">
        <v>454</v>
      </c>
      <c r="O844" s="219" t="s">
        <v>7133</v>
      </c>
      <c r="P844" s="219" t="s">
        <v>7134</v>
      </c>
      <c r="Q844" s="219" t="s">
        <v>24</v>
      </c>
      <c r="R844" s="219"/>
      <c r="S844" s="219" t="str">
        <f>IFERROR(VLOOKUP(B844,'2022-2023 Third Reviews'!$C:$S,9,FALSE),"")</f>
        <v/>
      </c>
      <c r="T844" s="219"/>
      <c r="U844" s="219"/>
      <c r="V844" s="258"/>
      <c r="W844" s="258"/>
      <c r="X844" s="258"/>
      <c r="Y844" s="258"/>
      <c r="Z844" s="258"/>
      <c r="AA844" s="258"/>
      <c r="AB844" s="258"/>
      <c r="AC844" s="258"/>
    </row>
    <row r="845" spans="1:29" ht="15.75" customHeight="1">
      <c r="A845" s="253">
        <v>44791</v>
      </c>
      <c r="B845" s="224" t="s">
        <v>7137</v>
      </c>
      <c r="C845" s="316">
        <v>2</v>
      </c>
      <c r="D845" s="224" t="s">
        <v>10677</v>
      </c>
      <c r="E845" s="224" t="s">
        <v>4</v>
      </c>
      <c r="F845" s="224" t="s">
        <v>727</v>
      </c>
      <c r="G845" s="224" t="s">
        <v>10678</v>
      </c>
      <c r="H845" s="224">
        <v>2</v>
      </c>
      <c r="I845" s="224" t="s">
        <v>1045</v>
      </c>
      <c r="J845" s="224" t="s">
        <v>7142</v>
      </c>
      <c r="K845" s="224">
        <v>2</v>
      </c>
      <c r="L845" s="224" t="s">
        <v>451</v>
      </c>
      <c r="M845" s="307">
        <v>1500000</v>
      </c>
      <c r="N845" s="224" t="s">
        <v>452</v>
      </c>
      <c r="O845" s="224" t="s">
        <v>7143</v>
      </c>
      <c r="P845" s="224"/>
      <c r="Q845" s="322" t="s">
        <v>24</v>
      </c>
      <c r="R845" s="224"/>
      <c r="S845" s="224" t="str">
        <f>IFERROR(VLOOKUP(B845,'2022-2023 Third Reviews'!$C:$S,9,FALSE),"")</f>
        <v/>
      </c>
      <c r="T845" s="224"/>
      <c r="U845" s="224"/>
      <c r="V845" s="224"/>
      <c r="W845" s="224"/>
      <c r="X845" s="224"/>
      <c r="Y845" s="224"/>
      <c r="Z845" s="224"/>
      <c r="AA845" s="224"/>
      <c r="AB845" s="224"/>
      <c r="AC845" s="224"/>
    </row>
    <row r="846" spans="1:29" ht="15.75" hidden="1" customHeight="1">
      <c r="A846" s="280">
        <v>44784</v>
      </c>
      <c r="B846" s="281" t="s">
        <v>8877</v>
      </c>
      <c r="C846" s="282">
        <v>2.5</v>
      </c>
      <c r="D846" s="281" t="s">
        <v>10449</v>
      </c>
      <c r="E846" s="281" t="s">
        <v>3</v>
      </c>
      <c r="F846" s="281" t="s">
        <v>460</v>
      </c>
      <c r="G846" s="281" t="s">
        <v>8881</v>
      </c>
      <c r="H846" s="281">
        <v>3</v>
      </c>
      <c r="I846" s="281" t="s">
        <v>488</v>
      </c>
      <c r="J846" s="281" t="s">
        <v>8882</v>
      </c>
      <c r="K846" s="281">
        <v>2</v>
      </c>
      <c r="L846" s="281"/>
      <c r="M846" s="281"/>
      <c r="N846" s="281" t="s">
        <v>465</v>
      </c>
      <c r="O846" s="281" t="s">
        <v>8883</v>
      </c>
      <c r="P846" s="281"/>
      <c r="Q846" s="281" t="s">
        <v>24</v>
      </c>
      <c r="R846" s="283" t="s">
        <v>8884</v>
      </c>
      <c r="S846" s="283"/>
      <c r="T846" s="283"/>
      <c r="U846" s="283"/>
      <c r="V846" s="281"/>
      <c r="W846" s="281"/>
      <c r="X846" s="281"/>
      <c r="Y846" s="281"/>
      <c r="Z846" s="281"/>
      <c r="AA846" s="258"/>
      <c r="AB846" s="258"/>
      <c r="AC846" s="258"/>
    </row>
    <row r="847" spans="1:29" ht="15.75" hidden="1" customHeight="1">
      <c r="A847" s="253">
        <v>44789</v>
      </c>
      <c r="B847" s="224" t="s">
        <v>2940</v>
      </c>
      <c r="C847" s="249">
        <v>2.75</v>
      </c>
      <c r="D847" s="224" t="s">
        <v>2943</v>
      </c>
      <c r="E847" s="250" t="s">
        <v>5</v>
      </c>
      <c r="F847" s="224" t="s">
        <v>447</v>
      </c>
      <c r="G847" s="224" t="s">
        <v>11025</v>
      </c>
      <c r="H847" s="224">
        <v>2.5</v>
      </c>
      <c r="I847" s="224" t="s">
        <v>449</v>
      </c>
      <c r="J847" s="224" t="e">
        <f>+Credible founder
+Large potential market
-Tech does not appear to be Novel</f>
        <v>#NAME?</v>
      </c>
      <c r="K847" s="224">
        <v>3</v>
      </c>
      <c r="L847" s="224"/>
      <c r="M847" s="307"/>
      <c r="N847" s="224" t="s">
        <v>452</v>
      </c>
      <c r="O847" s="224" t="s">
        <v>452</v>
      </c>
      <c r="P847" s="224"/>
      <c r="Q847" s="224" t="s">
        <v>24</v>
      </c>
      <c r="R847" s="254"/>
      <c r="S847" s="254"/>
      <c r="T847" s="254"/>
      <c r="U847" s="254"/>
      <c r="V847" s="252"/>
      <c r="W847" s="252"/>
      <c r="X847" s="252"/>
      <c r="Y847" s="224"/>
      <c r="Z847" s="224"/>
      <c r="AA847" s="224"/>
      <c r="AB847" s="224"/>
      <c r="AC847" s="224"/>
    </row>
    <row r="848" spans="1:29" ht="15.75" customHeight="1">
      <c r="A848" s="248">
        <v>44797</v>
      </c>
      <c r="B848" s="219" t="s">
        <v>7146</v>
      </c>
      <c r="C848" s="315">
        <v>2</v>
      </c>
      <c r="D848" s="219" t="s">
        <v>7149</v>
      </c>
      <c r="E848" s="219" t="s">
        <v>4</v>
      </c>
      <c r="F848" s="219" t="s">
        <v>727</v>
      </c>
      <c r="G848" s="219" t="s">
        <v>11486</v>
      </c>
      <c r="H848" s="219">
        <v>2</v>
      </c>
      <c r="I848" s="219" t="s">
        <v>462</v>
      </c>
      <c r="J848" s="219" t="s">
        <v>7151</v>
      </c>
      <c r="K848" s="219">
        <v>2</v>
      </c>
      <c r="L848" s="219" t="s">
        <v>2152</v>
      </c>
      <c r="M848" s="219">
        <v>15000</v>
      </c>
      <c r="N848" s="219" t="s">
        <v>452</v>
      </c>
      <c r="O848" s="219" t="s">
        <v>11487</v>
      </c>
      <c r="P848" s="219"/>
      <c r="Q848" s="219" t="s">
        <v>24</v>
      </c>
      <c r="R848" s="219"/>
      <c r="S848" s="219" t="str">
        <f>IFERROR(VLOOKUP(B848,'2022-2023 Third Reviews'!$C:$S,9,FALSE),"")</f>
        <v/>
      </c>
      <c r="T848" s="219"/>
      <c r="U848" s="219"/>
      <c r="V848" s="252"/>
      <c r="W848" s="252"/>
      <c r="X848" s="252"/>
      <c r="Y848" s="219"/>
      <c r="Z848" s="219"/>
      <c r="AA848" s="219"/>
      <c r="AB848" s="219"/>
      <c r="AC848" s="219"/>
    </row>
    <row r="849" spans="1:29" ht="15.75" customHeight="1">
      <c r="A849" s="253">
        <v>44791</v>
      </c>
      <c r="B849" s="224" t="s">
        <v>10646</v>
      </c>
      <c r="C849" s="316">
        <v>2</v>
      </c>
      <c r="D849" s="224" t="s">
        <v>7158</v>
      </c>
      <c r="E849" s="224" t="s">
        <v>4</v>
      </c>
      <c r="F849" s="224" t="s">
        <v>727</v>
      </c>
      <c r="G849" s="224" t="s">
        <v>6733</v>
      </c>
      <c r="H849" s="224">
        <v>2</v>
      </c>
      <c r="I849" s="224" t="s">
        <v>604</v>
      </c>
      <c r="J849" s="224" t="s">
        <v>10647</v>
      </c>
      <c r="K849" s="224">
        <v>2</v>
      </c>
      <c r="L849" s="224" t="s">
        <v>451</v>
      </c>
      <c r="M849" s="224">
        <v>500000</v>
      </c>
      <c r="N849" s="224" t="s">
        <v>454</v>
      </c>
      <c r="O849" s="224" t="s">
        <v>452</v>
      </c>
      <c r="P849" s="224"/>
      <c r="Q849" s="322" t="s">
        <v>24</v>
      </c>
      <c r="R849" s="224"/>
      <c r="S849" s="224" t="str">
        <f>IFERROR(VLOOKUP(B849,'2022-2023 Third Reviews'!$C:$S,9,FALSE),"")</f>
        <v/>
      </c>
      <c r="T849" s="224"/>
      <c r="U849" s="224"/>
      <c r="V849" s="224"/>
      <c r="W849" s="224"/>
      <c r="X849" s="224"/>
      <c r="Y849" s="224"/>
      <c r="Z849" s="224"/>
      <c r="AA849" s="224"/>
      <c r="AB849" s="224"/>
      <c r="AC849" s="224"/>
    </row>
    <row r="850" spans="1:29" ht="15.75" customHeight="1">
      <c r="A850" s="248">
        <v>44789</v>
      </c>
      <c r="B850" s="219" t="s">
        <v>7162</v>
      </c>
      <c r="C850" s="249">
        <v>2</v>
      </c>
      <c r="D850" s="219" t="s">
        <v>7165</v>
      </c>
      <c r="E850" s="250" t="s">
        <v>4</v>
      </c>
      <c r="F850" s="219" t="s">
        <v>727</v>
      </c>
      <c r="G850" s="219"/>
      <c r="H850" s="219">
        <v>2</v>
      </c>
      <c r="I850" s="219" t="s">
        <v>1045</v>
      </c>
      <c r="J850" s="219" t="s">
        <v>7166</v>
      </c>
      <c r="K850" s="219">
        <v>2</v>
      </c>
      <c r="L850" s="219" t="s">
        <v>784</v>
      </c>
      <c r="M850" s="312">
        <v>5000000</v>
      </c>
      <c r="N850" s="219" t="s">
        <v>452</v>
      </c>
      <c r="O850" s="219" t="s">
        <v>7167</v>
      </c>
      <c r="P850" s="219"/>
      <c r="Q850" s="219" t="s">
        <v>24</v>
      </c>
      <c r="R850" s="219"/>
      <c r="S850" s="219" t="str">
        <f>IFERROR(VLOOKUP(B850,'2022-2023 Third Reviews'!$C:$S,9,FALSE),"")</f>
        <v/>
      </c>
      <c r="T850" s="219"/>
      <c r="U850" s="219"/>
      <c r="V850" s="258"/>
      <c r="W850" s="258"/>
      <c r="X850" s="258"/>
      <c r="Y850" s="258"/>
      <c r="Z850" s="258"/>
      <c r="AA850" s="258"/>
      <c r="AB850" s="258"/>
      <c r="AC850" s="258"/>
    </row>
    <row r="851" spans="1:29" ht="15.75" customHeight="1">
      <c r="A851" s="398">
        <v>44784</v>
      </c>
      <c r="B851" s="272" t="s">
        <v>7170</v>
      </c>
      <c r="C851" s="269">
        <v>2</v>
      </c>
      <c r="D851" s="272" t="s">
        <v>7173</v>
      </c>
      <c r="E851" s="270" t="s">
        <v>4</v>
      </c>
      <c r="F851" s="272" t="s">
        <v>727</v>
      </c>
      <c r="G851" s="272" t="s">
        <v>7174</v>
      </c>
      <c r="H851" s="272">
        <v>2</v>
      </c>
      <c r="I851" s="272" t="s">
        <v>1054</v>
      </c>
      <c r="J851" s="272" t="s">
        <v>7175</v>
      </c>
      <c r="K851" s="272">
        <v>2</v>
      </c>
      <c r="L851" s="272" t="s">
        <v>923</v>
      </c>
      <c r="M851" s="273">
        <v>2500000</v>
      </c>
      <c r="N851" s="272" t="s">
        <v>452</v>
      </c>
      <c r="O851" s="273" t="s">
        <v>452</v>
      </c>
      <c r="P851" s="272"/>
      <c r="Q851" s="272" t="s">
        <v>24</v>
      </c>
      <c r="R851" s="272"/>
      <c r="S851" s="272" t="str">
        <f>IFERROR(VLOOKUP(B851,'2022-2023 Third Reviews'!$C:$S,9,FALSE),"")</f>
        <v/>
      </c>
      <c r="T851" s="272"/>
      <c r="U851" s="272"/>
      <c r="V851" s="306"/>
      <c r="W851" s="306"/>
      <c r="X851" s="306"/>
      <c r="Y851" s="306"/>
      <c r="Z851" s="306"/>
      <c r="AA851" s="306"/>
      <c r="AB851" s="306"/>
      <c r="AC851" s="306"/>
    </row>
    <row r="852" spans="1:29" ht="15.75" customHeight="1">
      <c r="A852" s="248">
        <v>44796</v>
      </c>
      <c r="B852" s="219" t="s">
        <v>7178</v>
      </c>
      <c r="C852" s="315">
        <v>2</v>
      </c>
      <c r="D852" s="219" t="s">
        <v>11176</v>
      </c>
      <c r="E852" s="219" t="s">
        <v>4</v>
      </c>
      <c r="F852" s="219" t="s">
        <v>725</v>
      </c>
      <c r="G852" s="219" t="s">
        <v>7182</v>
      </c>
      <c r="H852" s="219">
        <v>2</v>
      </c>
      <c r="I852" s="219" t="s">
        <v>476</v>
      </c>
      <c r="J852" s="219" t="s">
        <v>13400</v>
      </c>
      <c r="K852" s="219">
        <v>2</v>
      </c>
      <c r="L852" s="219"/>
      <c r="M852" s="219"/>
      <c r="N852" s="219" t="s">
        <v>452</v>
      </c>
      <c r="O852" s="219" t="s">
        <v>11178</v>
      </c>
      <c r="P852" s="219"/>
      <c r="Q852" s="219" t="s">
        <v>24</v>
      </c>
      <c r="R852" s="219"/>
      <c r="S852" s="219" t="str">
        <f>IFERROR(VLOOKUP(B852,'2022-2023 Third Reviews'!$C:$S,9,FALSE),"")</f>
        <v/>
      </c>
      <c r="T852" s="219" t="s">
        <v>13242</v>
      </c>
      <c r="U852" s="219"/>
      <c r="V852" s="252"/>
      <c r="W852" s="252"/>
      <c r="X852" s="252"/>
      <c r="Y852" s="219"/>
      <c r="Z852" s="219"/>
      <c r="AA852" s="219"/>
      <c r="AB852" s="219"/>
      <c r="AC852" s="219"/>
    </row>
    <row r="853" spans="1:29" ht="15.75" customHeight="1">
      <c r="A853" s="398">
        <v>44784</v>
      </c>
      <c r="B853" s="272" t="s">
        <v>7187</v>
      </c>
      <c r="C853" s="269">
        <v>2</v>
      </c>
      <c r="D853" s="272" t="s">
        <v>7190</v>
      </c>
      <c r="E853" s="270" t="s">
        <v>4</v>
      </c>
      <c r="F853" s="272" t="s">
        <v>727</v>
      </c>
      <c r="G853" s="272" t="s">
        <v>7191</v>
      </c>
      <c r="H853" s="272">
        <v>2</v>
      </c>
      <c r="I853" s="272" t="s">
        <v>1054</v>
      </c>
      <c r="J853" s="272" t="s">
        <v>6997</v>
      </c>
      <c r="K853" s="272">
        <v>2</v>
      </c>
      <c r="L853" s="272"/>
      <c r="M853" s="272"/>
      <c r="N853" s="272" t="s">
        <v>452</v>
      </c>
      <c r="O853" s="272" t="s">
        <v>10727</v>
      </c>
      <c r="P853" s="272"/>
      <c r="Q853" s="272" t="s">
        <v>24</v>
      </c>
      <c r="R853" s="272"/>
      <c r="S853" s="272" t="str">
        <f>IFERROR(VLOOKUP(B853,'2022-2023 Third Reviews'!$C:$S,9,FALSE),"")</f>
        <v/>
      </c>
      <c r="T853" s="272"/>
      <c r="U853" s="272"/>
      <c r="V853" s="306"/>
      <c r="W853" s="306"/>
      <c r="X853" s="306"/>
      <c r="Y853" s="306"/>
      <c r="Z853" s="306"/>
      <c r="AA853" s="306"/>
      <c r="AB853" s="306"/>
      <c r="AC853" s="306"/>
    </row>
    <row r="854" spans="1:29" ht="15.75" hidden="1" customHeight="1">
      <c r="A854" s="248">
        <v>44782</v>
      </c>
      <c r="B854" s="219" t="s">
        <v>333</v>
      </c>
      <c r="C854" s="249">
        <v>4.5</v>
      </c>
      <c r="D854" s="219" t="s">
        <v>1867</v>
      </c>
      <c r="E854" s="250" t="s">
        <v>3</v>
      </c>
      <c r="F854" s="219" t="s">
        <v>460</v>
      </c>
      <c r="G854" s="219" t="s">
        <v>1868</v>
      </c>
      <c r="H854" s="219">
        <v>4.5</v>
      </c>
      <c r="I854" s="219" t="s">
        <v>462</v>
      </c>
      <c r="J854" s="219" t="s">
        <v>1869</v>
      </c>
      <c r="K854" s="219">
        <v>4.5</v>
      </c>
      <c r="L854" s="219"/>
      <c r="M854" s="219"/>
      <c r="N854" s="219" t="s">
        <v>452</v>
      </c>
      <c r="O854" s="219" t="s">
        <v>452</v>
      </c>
      <c r="P854" s="219"/>
      <c r="Q854" s="219" t="s">
        <v>18</v>
      </c>
      <c r="R854" s="251"/>
      <c r="S854" s="251"/>
      <c r="T854" s="251"/>
      <c r="U854" s="251"/>
      <c r="V854" s="252"/>
      <c r="W854" s="252"/>
      <c r="X854" s="252"/>
      <c r="Y854" s="219"/>
      <c r="Z854" s="219"/>
      <c r="AA854" s="219"/>
      <c r="AB854" s="219"/>
      <c r="AC854" s="219"/>
    </row>
    <row r="855" spans="1:29" ht="15.75" hidden="1" customHeight="1">
      <c r="A855" s="220">
        <v>44776</v>
      </c>
      <c r="B855" s="221" t="s">
        <v>334</v>
      </c>
      <c r="C855" s="214">
        <v>5</v>
      </c>
      <c r="D855" s="221" t="s">
        <v>1874</v>
      </c>
      <c r="E855" s="215" t="s">
        <v>3</v>
      </c>
      <c r="F855" s="221" t="s">
        <v>460</v>
      </c>
      <c r="G855" s="221" t="s">
        <v>1875</v>
      </c>
      <c r="H855" s="221">
        <v>5</v>
      </c>
      <c r="I855" s="221" t="s">
        <v>941</v>
      </c>
      <c r="J855" s="221"/>
      <c r="K855" s="221">
        <v>5</v>
      </c>
      <c r="L855" s="221" t="s">
        <v>451</v>
      </c>
      <c r="M855" s="247">
        <v>2000000</v>
      </c>
      <c r="N855" s="221" t="s">
        <v>452</v>
      </c>
      <c r="O855" s="221" t="s">
        <v>1876</v>
      </c>
      <c r="P855" s="145"/>
      <c r="Q855" s="221" t="str">
        <f t="array" ref="Q855">INDEX(Notes!B:B,MATCH($B855,Notes!$A:$A,0))</f>
        <v>Invite</v>
      </c>
      <c r="R855" s="223">
        <f t="array" ref="R855">INDEX(Notes!C:C,MATCH($B855,Notes!$A:$A,0))</f>
        <v>0</v>
      </c>
      <c r="S855" s="223"/>
      <c r="T855" s="223"/>
      <c r="U855" s="223"/>
      <c r="V855" s="218"/>
      <c r="W855" s="218"/>
      <c r="X855" s="218"/>
      <c r="Y855" s="224"/>
      <c r="Z855" s="224"/>
      <c r="AA855" s="224"/>
      <c r="AB855" s="224"/>
      <c r="AC855" s="224"/>
    </row>
    <row r="856" spans="1:29" ht="15.75" hidden="1" customHeight="1">
      <c r="A856" s="541">
        <v>44791</v>
      </c>
      <c r="B856" s="306" t="s">
        <v>408</v>
      </c>
      <c r="C856" s="542"/>
      <c r="D856" s="306" t="s">
        <v>1881</v>
      </c>
      <c r="E856" s="306" t="s">
        <v>3</v>
      </c>
      <c r="F856" s="306" t="s">
        <v>460</v>
      </c>
      <c r="G856" s="306"/>
      <c r="H856" s="306"/>
      <c r="I856" s="306" t="s">
        <v>462</v>
      </c>
      <c r="J856" s="306" t="s">
        <v>1883</v>
      </c>
      <c r="K856" s="306">
        <v>4</v>
      </c>
      <c r="L856" s="306"/>
      <c r="M856" s="306"/>
      <c r="N856" s="306" t="s">
        <v>452</v>
      </c>
      <c r="O856" s="306" t="s">
        <v>1884</v>
      </c>
      <c r="P856" s="306" t="s">
        <v>1885</v>
      </c>
      <c r="Q856" s="306"/>
      <c r="R856" s="543"/>
      <c r="S856" s="543"/>
      <c r="T856" s="543"/>
      <c r="U856" s="543"/>
      <c r="V856" s="306"/>
      <c r="W856" s="306"/>
      <c r="X856" s="306"/>
      <c r="Y856" s="306"/>
      <c r="Z856" s="306"/>
      <c r="AA856" s="306"/>
      <c r="AB856" s="306"/>
      <c r="AC856" s="306"/>
    </row>
    <row r="857" spans="1:29" ht="15.75" hidden="1" customHeight="1">
      <c r="A857" s="253">
        <v>44791</v>
      </c>
      <c r="B857" s="224" t="s">
        <v>408</v>
      </c>
      <c r="C857" s="316">
        <v>4</v>
      </c>
      <c r="D857" s="224" t="s">
        <v>1881</v>
      </c>
      <c r="E857" s="224" t="s">
        <v>3</v>
      </c>
      <c r="F857" s="224" t="s">
        <v>460</v>
      </c>
      <c r="G857" s="224" t="s">
        <v>1882</v>
      </c>
      <c r="H857" s="224">
        <v>4</v>
      </c>
      <c r="I857" s="224" t="s">
        <v>462</v>
      </c>
      <c r="J857" s="224" t="s">
        <v>1883</v>
      </c>
      <c r="K857" s="224">
        <v>4</v>
      </c>
      <c r="L857" s="224"/>
      <c r="M857" s="224"/>
      <c r="N857" s="224" t="s">
        <v>452</v>
      </c>
      <c r="O857" s="224" t="s">
        <v>1884</v>
      </c>
      <c r="P857" s="224" t="s">
        <v>1885</v>
      </c>
      <c r="Q857" s="224" t="s">
        <v>18</v>
      </c>
      <c r="R857" s="254"/>
      <c r="S857" s="254"/>
      <c r="T857" s="254"/>
      <c r="U857" s="254"/>
      <c r="V857" s="224"/>
      <c r="W857" s="224"/>
      <c r="X857" s="224"/>
      <c r="Y857" s="224"/>
      <c r="Z857" s="224"/>
      <c r="AA857" s="224"/>
      <c r="AB857" s="224"/>
      <c r="AC857" s="224"/>
    </row>
    <row r="858" spans="1:29" ht="15.75" hidden="1" customHeight="1">
      <c r="A858" s="541">
        <v>44791</v>
      </c>
      <c r="B858" s="306" t="s">
        <v>335</v>
      </c>
      <c r="C858" s="542"/>
      <c r="D858" s="306"/>
      <c r="E858" s="306" t="s">
        <v>3</v>
      </c>
      <c r="F858" s="306" t="s">
        <v>488</v>
      </c>
      <c r="G858" s="306"/>
      <c r="H858" s="306"/>
      <c r="I858" s="306" t="s">
        <v>941</v>
      </c>
      <c r="J858" s="306"/>
      <c r="K858" s="306"/>
      <c r="L858" s="306" t="s">
        <v>1892</v>
      </c>
      <c r="M858" s="306" t="s">
        <v>1893</v>
      </c>
      <c r="N858" s="306" t="s">
        <v>452</v>
      </c>
      <c r="O858" s="306" t="s">
        <v>452</v>
      </c>
      <c r="P858" s="306"/>
      <c r="Q858" s="306"/>
      <c r="R858" s="543"/>
      <c r="S858" s="543"/>
      <c r="T858" s="543"/>
      <c r="U858" s="543"/>
      <c r="V858" s="306"/>
      <c r="W858" s="306"/>
      <c r="X858" s="306"/>
      <c r="Y858" s="306"/>
      <c r="Z858" s="306"/>
      <c r="AA858" s="306"/>
      <c r="AB858" s="306"/>
      <c r="AC858" s="306"/>
    </row>
    <row r="859" spans="1:29" ht="15.75" hidden="1" customHeight="1">
      <c r="A859" s="541">
        <v>44796</v>
      </c>
      <c r="B859" s="306" t="s">
        <v>335</v>
      </c>
      <c r="C859" s="542"/>
      <c r="D859" s="306"/>
      <c r="E859" s="306" t="s">
        <v>3</v>
      </c>
      <c r="F859" s="306" t="s">
        <v>488</v>
      </c>
      <c r="G859" s="306"/>
      <c r="H859" s="306"/>
      <c r="I859" s="306" t="s">
        <v>941</v>
      </c>
      <c r="J859" s="306"/>
      <c r="K859" s="306"/>
      <c r="L859" s="306" t="s">
        <v>1892</v>
      </c>
      <c r="M859" s="306" t="s">
        <v>1893</v>
      </c>
      <c r="N859" s="306" t="s">
        <v>452</v>
      </c>
      <c r="O859" s="306" t="s">
        <v>452</v>
      </c>
      <c r="P859" s="306"/>
      <c r="Q859" s="306"/>
      <c r="R859" s="543"/>
      <c r="S859" s="543"/>
      <c r="T859" s="543"/>
      <c r="U859" s="543"/>
      <c r="V859" s="224"/>
      <c r="W859" s="224"/>
      <c r="X859" s="224"/>
      <c r="Y859" s="224"/>
      <c r="Z859" s="224"/>
      <c r="AA859" s="224"/>
      <c r="AB859" s="224"/>
      <c r="AC859" s="224"/>
    </row>
    <row r="860" spans="1:29" ht="15.75" hidden="1" customHeight="1">
      <c r="A860" s="541">
        <v>44797</v>
      </c>
      <c r="B860" s="306" t="s">
        <v>335</v>
      </c>
      <c r="C860" s="542"/>
      <c r="D860" s="306"/>
      <c r="E860" s="306" t="s">
        <v>3</v>
      </c>
      <c r="F860" s="306" t="s">
        <v>488</v>
      </c>
      <c r="G860" s="306" t="s">
        <v>13233</v>
      </c>
      <c r="H860" s="306"/>
      <c r="I860" s="306" t="s">
        <v>941</v>
      </c>
      <c r="J860" s="306"/>
      <c r="K860" s="306"/>
      <c r="L860" s="306" t="s">
        <v>1892</v>
      </c>
      <c r="M860" s="306" t="s">
        <v>1893</v>
      </c>
      <c r="N860" s="306" t="s">
        <v>452</v>
      </c>
      <c r="O860" s="306" t="s">
        <v>452</v>
      </c>
      <c r="P860" s="306"/>
      <c r="Q860" s="306"/>
      <c r="R860" s="543"/>
      <c r="S860" s="543"/>
      <c r="T860" s="543"/>
      <c r="U860" s="543"/>
      <c r="V860" s="306"/>
      <c r="W860" s="306"/>
      <c r="X860" s="306"/>
      <c r="Y860" s="306"/>
      <c r="Z860" s="306"/>
      <c r="AA860" s="306"/>
      <c r="AB860" s="306"/>
      <c r="AC860" s="306"/>
    </row>
    <row r="861" spans="1:29" ht="15.75" hidden="1" customHeight="1">
      <c r="A861" s="257">
        <v>44797</v>
      </c>
      <c r="B861" s="258" t="s">
        <v>335</v>
      </c>
      <c r="C861" s="263">
        <v>4.5</v>
      </c>
      <c r="D861" s="258" t="s">
        <v>1890</v>
      </c>
      <c r="E861" s="258" t="s">
        <v>3</v>
      </c>
      <c r="F861" s="258" t="s">
        <v>488</v>
      </c>
      <c r="G861" s="258" t="s">
        <v>11226</v>
      </c>
      <c r="H861" s="258">
        <v>4.5</v>
      </c>
      <c r="I861" s="258" t="s">
        <v>941</v>
      </c>
      <c r="J861" s="258"/>
      <c r="K861" s="258">
        <v>4.5</v>
      </c>
      <c r="L861" s="258" t="s">
        <v>1892</v>
      </c>
      <c r="M861" s="258" t="s">
        <v>1893</v>
      </c>
      <c r="N861" s="258" t="s">
        <v>452</v>
      </c>
      <c r="O861" s="258" t="s">
        <v>452</v>
      </c>
      <c r="P861" s="258"/>
      <c r="Q861" s="258" t="s">
        <v>18</v>
      </c>
      <c r="R861" s="259" t="s">
        <v>1894</v>
      </c>
      <c r="S861" s="259"/>
      <c r="T861" s="259"/>
      <c r="U861" s="259"/>
      <c r="V861" s="258"/>
      <c r="W861" s="258"/>
      <c r="X861" s="258"/>
      <c r="Y861" s="258"/>
      <c r="Z861" s="258"/>
      <c r="AA861" s="258"/>
      <c r="AB861" s="258"/>
      <c r="AC861" s="258"/>
    </row>
    <row r="862" spans="1:29" ht="15.75" hidden="1" customHeight="1">
      <c r="A862" s="212">
        <v>44776</v>
      </c>
      <c r="B862" s="213" t="s">
        <v>8887</v>
      </c>
      <c r="C862" s="214">
        <v>2</v>
      </c>
      <c r="D862" s="213" t="s">
        <v>10629</v>
      </c>
      <c r="E862" s="215" t="s">
        <v>3</v>
      </c>
      <c r="F862" s="213" t="s">
        <v>460</v>
      </c>
      <c r="G862" s="213" t="s">
        <v>8891</v>
      </c>
      <c r="H862" s="213">
        <v>2</v>
      </c>
      <c r="I862" s="213" t="s">
        <v>488</v>
      </c>
      <c r="J862" s="213"/>
      <c r="K862" s="213">
        <v>2</v>
      </c>
      <c r="L862" s="213" t="s">
        <v>451</v>
      </c>
      <c r="M862" s="213">
        <v>2500000</v>
      </c>
      <c r="N862" s="213" t="s">
        <v>452</v>
      </c>
      <c r="O862" s="213" t="s">
        <v>10630</v>
      </c>
      <c r="P862" s="143"/>
      <c r="Q862" s="213" t="s">
        <v>24</v>
      </c>
      <c r="R862" s="226" t="str">
        <f t="array" ref="R862">INDEX(Notes!C:C,MATCH($B862,Notes!$A:$A,0))</f>
        <v>Tarek Ali</v>
      </c>
      <c r="S862" s="226"/>
      <c r="T862" s="226"/>
      <c r="U862" s="226"/>
      <c r="V862" s="218"/>
      <c r="W862" s="218"/>
      <c r="X862" s="218"/>
      <c r="Y862" s="219"/>
      <c r="Z862" s="219"/>
      <c r="AA862" s="219"/>
      <c r="AB862" s="219"/>
      <c r="AC862" s="219"/>
    </row>
    <row r="863" spans="1:29" ht="15.75" customHeight="1">
      <c r="A863" s="253">
        <v>44789</v>
      </c>
      <c r="B863" s="224" t="s">
        <v>7195</v>
      </c>
      <c r="C863" s="249">
        <v>2</v>
      </c>
      <c r="D863" s="224" t="s">
        <v>7198</v>
      </c>
      <c r="E863" s="250" t="s">
        <v>4</v>
      </c>
      <c r="F863" s="224" t="s">
        <v>602</v>
      </c>
      <c r="G863" s="224"/>
      <c r="H863" s="224">
        <v>2</v>
      </c>
      <c r="I863" s="224" t="s">
        <v>1054</v>
      </c>
      <c r="J863" s="224" t="s">
        <v>7199</v>
      </c>
      <c r="K863" s="224">
        <v>2</v>
      </c>
      <c r="L863" s="224" t="s">
        <v>451</v>
      </c>
      <c r="M863" s="307">
        <v>250000</v>
      </c>
      <c r="N863" s="224" t="s">
        <v>452</v>
      </c>
      <c r="O863" s="224" t="s">
        <v>7200</v>
      </c>
      <c r="P863" s="224"/>
      <c r="Q863" s="224" t="s">
        <v>24</v>
      </c>
      <c r="R863" s="224"/>
      <c r="S863" s="224" t="str">
        <f>IFERROR(VLOOKUP(B863,'2022-2023 Third Reviews'!$C:$S,9,FALSE),"")</f>
        <v/>
      </c>
      <c r="T863" s="224"/>
      <c r="U863" s="224"/>
      <c r="V863" s="306"/>
      <c r="W863" s="306"/>
      <c r="X863" s="306"/>
      <c r="Y863" s="306"/>
      <c r="Z863" s="306"/>
      <c r="AA863" s="306"/>
      <c r="AB863" s="306"/>
      <c r="AC863" s="306"/>
    </row>
    <row r="864" spans="1:29" ht="15.75" customHeight="1">
      <c r="A864" s="398">
        <v>44784</v>
      </c>
      <c r="B864" s="268" t="s">
        <v>7203</v>
      </c>
      <c r="C864" s="269">
        <v>2</v>
      </c>
      <c r="D864" s="268" t="s">
        <v>7206</v>
      </c>
      <c r="E864" s="270" t="s">
        <v>4</v>
      </c>
      <c r="F864" s="268" t="s">
        <v>602</v>
      </c>
      <c r="G864" s="268" t="s">
        <v>7207</v>
      </c>
      <c r="H864" s="268">
        <v>2</v>
      </c>
      <c r="I864" s="268" t="s">
        <v>1054</v>
      </c>
      <c r="J864" s="268" t="s">
        <v>7208</v>
      </c>
      <c r="K864" s="268">
        <v>2</v>
      </c>
      <c r="L864" s="268"/>
      <c r="M864" s="285">
        <v>1000000</v>
      </c>
      <c r="N864" s="268" t="s">
        <v>452</v>
      </c>
      <c r="O864" s="285" t="s">
        <v>452</v>
      </c>
      <c r="P864" s="268"/>
      <c r="Q864" s="268" t="s">
        <v>24</v>
      </c>
      <c r="R864" s="268"/>
      <c r="S864" s="268" t="str">
        <f>IFERROR(VLOOKUP(B864,'2022-2023 Third Reviews'!$C:$S,9,FALSE),"")</f>
        <v/>
      </c>
      <c r="T864" s="268"/>
      <c r="U864" s="268"/>
      <c r="V864" s="219"/>
      <c r="W864" s="219"/>
      <c r="X864" s="219"/>
      <c r="Y864" s="219"/>
      <c r="Z864" s="219"/>
      <c r="AA864" s="219"/>
      <c r="AB864" s="219"/>
      <c r="AC864" s="219"/>
    </row>
    <row r="865" spans="1:29" ht="15.75" hidden="1" customHeight="1">
      <c r="A865" s="253">
        <v>44789</v>
      </c>
      <c r="B865" s="224" t="s">
        <v>2948</v>
      </c>
      <c r="C865" s="249">
        <v>3.25</v>
      </c>
      <c r="D865" s="224" t="s">
        <v>2951</v>
      </c>
      <c r="E865" s="250" t="s">
        <v>5</v>
      </c>
      <c r="F865" s="224" t="s">
        <v>447</v>
      </c>
      <c r="G865" s="224" t="s">
        <v>10884</v>
      </c>
      <c r="H865" s="224">
        <v>3.5</v>
      </c>
      <c r="I865" s="224" t="s">
        <v>543</v>
      </c>
      <c r="J865" s="224" t="e">
        <f>+Develops zero-residue and edible coatings to protect fruits and
                                                                                                                                                                                                                                                                vegetables
- No customers yet
+ use very low doses of antimicrobials</f>
        <v>#NAME?</v>
      </c>
      <c r="K865" s="224">
        <v>3</v>
      </c>
      <c r="L865" s="224"/>
      <c r="M865" s="224"/>
      <c r="N865" s="224" t="s">
        <v>452</v>
      </c>
      <c r="O865" s="224" t="s">
        <v>2954</v>
      </c>
      <c r="P865" s="224"/>
      <c r="Q865" s="224" t="s">
        <v>24</v>
      </c>
      <c r="R865" s="254"/>
      <c r="S865" s="254"/>
      <c r="T865" s="254"/>
      <c r="U865" s="254"/>
      <c r="V865" s="252"/>
      <c r="W865" s="252"/>
      <c r="X865" s="252"/>
      <c r="Y865" s="224"/>
      <c r="Z865" s="224"/>
      <c r="AA865" s="224"/>
      <c r="AB865" s="224"/>
      <c r="AC865" s="224"/>
    </row>
    <row r="866" spans="1:29" ht="15.75" customHeight="1">
      <c r="A866" s="248">
        <v>44796</v>
      </c>
      <c r="B866" s="219" t="s">
        <v>7210</v>
      </c>
      <c r="C866" s="315">
        <v>2</v>
      </c>
      <c r="D866" s="219"/>
      <c r="E866" s="219" t="s">
        <v>4</v>
      </c>
      <c r="F866" s="219" t="s">
        <v>725</v>
      </c>
      <c r="G866" s="219" t="s">
        <v>7213</v>
      </c>
      <c r="H866" s="219">
        <v>2</v>
      </c>
      <c r="I866" s="219" t="s">
        <v>1187</v>
      </c>
      <c r="J866" s="219" t="s">
        <v>7214</v>
      </c>
      <c r="K866" s="219">
        <v>2</v>
      </c>
      <c r="L866" s="219" t="s">
        <v>2190</v>
      </c>
      <c r="M866" s="219" t="s">
        <v>4828</v>
      </c>
      <c r="N866" s="219" t="s">
        <v>465</v>
      </c>
      <c r="O866" s="219" t="s">
        <v>7215</v>
      </c>
      <c r="P866" s="219" t="s">
        <v>7216</v>
      </c>
      <c r="Q866" s="219" t="s">
        <v>24</v>
      </c>
      <c r="R866" s="219"/>
      <c r="S866" s="219" t="str">
        <f>IFERROR(VLOOKUP(B866,'2022-2023 Third Reviews'!$C:$S,9,FALSE),"")</f>
        <v/>
      </c>
      <c r="T866" s="219"/>
      <c r="U866" s="219"/>
      <c r="V866" s="219"/>
      <c r="W866" s="219"/>
      <c r="X866" s="219"/>
      <c r="Y866" s="219"/>
      <c r="Z866" s="219"/>
      <c r="AA866" s="219"/>
      <c r="AB866" s="219"/>
      <c r="AC866" s="219"/>
    </row>
    <row r="867" spans="1:29" ht="15.75" customHeight="1">
      <c r="A867" s="253">
        <v>44791</v>
      </c>
      <c r="B867" s="224" t="s">
        <v>7219</v>
      </c>
      <c r="C867" s="316">
        <v>2</v>
      </c>
      <c r="D867" s="224" t="s">
        <v>7222</v>
      </c>
      <c r="E867" s="224" t="s">
        <v>4</v>
      </c>
      <c r="F867" s="224" t="s">
        <v>725</v>
      </c>
      <c r="G867" s="224" t="s">
        <v>10344</v>
      </c>
      <c r="H867" s="224">
        <v>2</v>
      </c>
      <c r="I867" s="224" t="s">
        <v>1045</v>
      </c>
      <c r="J867" s="224" t="s">
        <v>7224</v>
      </c>
      <c r="K867" s="224">
        <v>2</v>
      </c>
      <c r="L867" s="224" t="s">
        <v>451</v>
      </c>
      <c r="M867" s="307">
        <v>1000000</v>
      </c>
      <c r="N867" s="224" t="s">
        <v>454</v>
      </c>
      <c r="O867" s="224" t="s">
        <v>7225</v>
      </c>
      <c r="P867" s="224"/>
      <c r="Q867" s="322" t="s">
        <v>24</v>
      </c>
      <c r="R867" s="224"/>
      <c r="S867" s="224" t="str">
        <f>IFERROR(VLOOKUP(B867,'2022-2023 Third Reviews'!$C:$S,9,FALSE),"")</f>
        <v/>
      </c>
      <c r="T867" s="224"/>
      <c r="U867" s="224"/>
      <c r="V867" s="252"/>
      <c r="W867" s="252"/>
      <c r="X867" s="252"/>
      <c r="Y867" s="224"/>
      <c r="Z867" s="224"/>
      <c r="AA867" s="224"/>
      <c r="AB867" s="224"/>
      <c r="AC867" s="224"/>
    </row>
    <row r="868" spans="1:29" ht="15.75" hidden="1" customHeight="1">
      <c r="A868" s="212">
        <v>44776</v>
      </c>
      <c r="B868" s="213" t="s">
        <v>11409</v>
      </c>
      <c r="C868" s="214">
        <v>1</v>
      </c>
      <c r="D868" s="213" t="s">
        <v>11410</v>
      </c>
      <c r="E868" s="215" t="s">
        <v>3</v>
      </c>
      <c r="F868" s="213" t="s">
        <v>460</v>
      </c>
      <c r="G868" s="213"/>
      <c r="H868" s="213">
        <v>1</v>
      </c>
      <c r="I868" s="213" t="s">
        <v>462</v>
      </c>
      <c r="J868" s="213" t="s">
        <v>8900</v>
      </c>
      <c r="K868" s="213">
        <v>1</v>
      </c>
      <c r="L868" s="213" t="s">
        <v>451</v>
      </c>
      <c r="M868" s="225">
        <v>3250000</v>
      </c>
      <c r="N868" s="213" t="s">
        <v>465</v>
      </c>
      <c r="O868" s="213" t="s">
        <v>452</v>
      </c>
      <c r="P868" s="143"/>
      <c r="Q868" s="213" t="s">
        <v>24</v>
      </c>
      <c r="R868" s="226">
        <f t="array" ref="R868">INDEX(Notes!C:C,MATCH($B868,Notes!$A:$A,0))</f>
        <v>0</v>
      </c>
      <c r="S868" s="226"/>
      <c r="T868" s="226"/>
      <c r="U868" s="226"/>
      <c r="V868" s="218"/>
      <c r="W868" s="218"/>
      <c r="X868" s="218"/>
      <c r="Y868" s="219"/>
      <c r="Z868" s="219"/>
      <c r="AA868" s="219"/>
      <c r="AB868" s="219"/>
      <c r="AC868" s="219"/>
    </row>
    <row r="869" spans="1:29" ht="15.75" hidden="1" customHeight="1">
      <c r="A869" s="301">
        <v>44789</v>
      </c>
      <c r="B869" s="303" t="s">
        <v>8903</v>
      </c>
      <c r="C869" s="269"/>
      <c r="D869" s="303" t="s">
        <v>10612</v>
      </c>
      <c r="E869" s="270" t="s">
        <v>3</v>
      </c>
      <c r="F869" s="303" t="s">
        <v>460</v>
      </c>
      <c r="G869" s="303"/>
      <c r="H869" s="303"/>
      <c r="I869" s="303" t="s">
        <v>941</v>
      </c>
      <c r="J869" s="303"/>
      <c r="K869" s="303">
        <v>1</v>
      </c>
      <c r="L869" s="303" t="s">
        <v>478</v>
      </c>
      <c r="M869" s="538">
        <v>2000000</v>
      </c>
      <c r="N869" s="303" t="s">
        <v>452</v>
      </c>
      <c r="O869" s="538" t="s">
        <v>8907</v>
      </c>
      <c r="P869" s="303"/>
      <c r="Q869" s="303"/>
      <c r="R869" s="305"/>
      <c r="S869" s="305"/>
      <c r="T869" s="305"/>
      <c r="U869" s="305"/>
      <c r="V869" s="303"/>
      <c r="W869" s="303"/>
      <c r="X869" s="303"/>
      <c r="Y869" s="303"/>
      <c r="Z869" s="303"/>
      <c r="AA869" s="306"/>
      <c r="AB869" s="306"/>
      <c r="AC869" s="306"/>
    </row>
    <row r="870" spans="1:29" ht="15.75" hidden="1" customHeight="1">
      <c r="A870" s="248">
        <v>44789</v>
      </c>
      <c r="B870" s="219" t="s">
        <v>8903</v>
      </c>
      <c r="C870" s="249">
        <v>1</v>
      </c>
      <c r="D870" s="219" t="s">
        <v>10612</v>
      </c>
      <c r="E870" s="250" t="s">
        <v>3</v>
      </c>
      <c r="F870" s="219" t="s">
        <v>460</v>
      </c>
      <c r="G870" s="219" t="s">
        <v>10613</v>
      </c>
      <c r="H870" s="219">
        <v>1</v>
      </c>
      <c r="I870" s="219" t="s">
        <v>941</v>
      </c>
      <c r="J870" s="219"/>
      <c r="K870" s="219">
        <v>1</v>
      </c>
      <c r="L870" s="219" t="s">
        <v>478</v>
      </c>
      <c r="M870" s="310">
        <v>2000000</v>
      </c>
      <c r="N870" s="219" t="s">
        <v>452</v>
      </c>
      <c r="O870" s="219" t="s">
        <v>8907</v>
      </c>
      <c r="P870" s="219"/>
      <c r="Q870" s="219" t="s">
        <v>24</v>
      </c>
      <c r="R870" s="251"/>
      <c r="S870" s="251"/>
      <c r="T870" s="251"/>
      <c r="U870" s="251"/>
      <c r="V870" s="252"/>
      <c r="W870" s="252"/>
      <c r="X870" s="252"/>
      <c r="Y870" s="219"/>
      <c r="Z870" s="219"/>
      <c r="AA870" s="219"/>
      <c r="AB870" s="219"/>
      <c r="AC870" s="219"/>
    </row>
    <row r="871" spans="1:29" ht="15.75" customHeight="1">
      <c r="A871" s="253">
        <v>44796</v>
      </c>
      <c r="B871" s="224" t="s">
        <v>7228</v>
      </c>
      <c r="C871" s="316">
        <v>2</v>
      </c>
      <c r="D871" s="224" t="s">
        <v>7231</v>
      </c>
      <c r="E871" s="224" t="s">
        <v>4</v>
      </c>
      <c r="F871" s="224" t="s">
        <v>602</v>
      </c>
      <c r="G871" s="224" t="s">
        <v>7232</v>
      </c>
      <c r="H871" s="224">
        <v>2</v>
      </c>
      <c r="I871" s="224" t="s">
        <v>1187</v>
      </c>
      <c r="J871" s="224" t="s">
        <v>7233</v>
      </c>
      <c r="K871" s="224">
        <v>2</v>
      </c>
      <c r="L871" s="224"/>
      <c r="M871" s="224"/>
      <c r="N871" s="224" t="s">
        <v>452</v>
      </c>
      <c r="O871" s="224" t="s">
        <v>452</v>
      </c>
      <c r="P871" s="224"/>
      <c r="Q871" s="224" t="s">
        <v>24</v>
      </c>
      <c r="R871" s="224"/>
      <c r="S871" s="224" t="str">
        <f>IFERROR(VLOOKUP(B871,'2022-2023 Third Reviews'!$C:$S,9,FALSE),"")</f>
        <v/>
      </c>
      <c r="T871" s="224"/>
      <c r="U871" s="224"/>
      <c r="V871" s="224"/>
      <c r="W871" s="224"/>
      <c r="X871" s="224"/>
      <c r="Y871" s="224"/>
      <c r="Z871" s="224"/>
      <c r="AA871" s="224"/>
      <c r="AB871" s="224"/>
      <c r="AC871" s="224"/>
    </row>
    <row r="872" spans="1:29" ht="15.75" customHeight="1">
      <c r="A872" s="248">
        <v>44797</v>
      </c>
      <c r="B872" s="219" t="s">
        <v>7236</v>
      </c>
      <c r="C872" s="315">
        <v>2</v>
      </c>
      <c r="D872" s="219" t="s">
        <v>7239</v>
      </c>
      <c r="E872" s="219" t="s">
        <v>4</v>
      </c>
      <c r="F872" s="219" t="s">
        <v>447</v>
      </c>
      <c r="G872" s="219" t="s">
        <v>10842</v>
      </c>
      <c r="H872" s="219">
        <v>1</v>
      </c>
      <c r="I872" s="219" t="s">
        <v>1187</v>
      </c>
      <c r="J872" s="219" t="s">
        <v>7241</v>
      </c>
      <c r="K872" s="219">
        <v>3</v>
      </c>
      <c r="L872" s="219" t="s">
        <v>451</v>
      </c>
      <c r="M872" s="310">
        <v>2000000</v>
      </c>
      <c r="N872" s="219" t="s">
        <v>465</v>
      </c>
      <c r="O872" s="219" t="s">
        <v>452</v>
      </c>
      <c r="P872" s="219"/>
      <c r="Q872" s="219" t="s">
        <v>24</v>
      </c>
      <c r="R872" s="219"/>
      <c r="S872" s="219" t="str">
        <f>IFERROR(VLOOKUP(B872,'2022-2023 Third Reviews'!$C:$S,9,FALSE),"")</f>
        <v/>
      </c>
      <c r="T872" s="219"/>
      <c r="U872" s="219"/>
      <c r="V872" s="239"/>
      <c r="W872" s="239"/>
      <c r="X872" s="239"/>
      <c r="Y872" s="239"/>
      <c r="Z872" s="239"/>
      <c r="AA872" s="239"/>
      <c r="AB872" s="239"/>
      <c r="AC872" s="239"/>
    </row>
    <row r="873" spans="1:29" ht="15.75" hidden="1" customHeight="1">
      <c r="A873" s="301">
        <v>44789</v>
      </c>
      <c r="B873" s="303" t="s">
        <v>364</v>
      </c>
      <c r="C873" s="269"/>
      <c r="D873" s="303" t="s">
        <v>9794</v>
      </c>
      <c r="E873" s="270" t="s">
        <v>3</v>
      </c>
      <c r="F873" s="303" t="s">
        <v>460</v>
      </c>
      <c r="G873" s="303"/>
      <c r="H873" s="303"/>
      <c r="I873" s="303" t="s">
        <v>941</v>
      </c>
      <c r="J873" s="303"/>
      <c r="K873" s="303">
        <v>4</v>
      </c>
      <c r="L873" s="303"/>
      <c r="M873" s="303"/>
      <c r="N873" s="303" t="s">
        <v>452</v>
      </c>
      <c r="O873" s="303" t="s">
        <v>452</v>
      </c>
      <c r="P873" s="303" t="s">
        <v>9796</v>
      </c>
      <c r="Q873" s="303"/>
      <c r="R873" s="305"/>
      <c r="S873" s="305"/>
      <c r="T873" s="305"/>
      <c r="U873" s="305"/>
      <c r="V873" s="303"/>
      <c r="W873" s="303"/>
      <c r="X873" s="303"/>
      <c r="Y873" s="303"/>
      <c r="Z873" s="303"/>
      <c r="AA873" s="306"/>
      <c r="AB873" s="306"/>
      <c r="AC873" s="306"/>
    </row>
    <row r="874" spans="1:29" ht="15.75" hidden="1" customHeight="1">
      <c r="A874" s="257">
        <v>44789</v>
      </c>
      <c r="B874" s="258" t="s">
        <v>364</v>
      </c>
      <c r="C874" s="263">
        <v>3.75</v>
      </c>
      <c r="D874" s="258" t="s">
        <v>9794</v>
      </c>
      <c r="E874" s="258" t="s">
        <v>3</v>
      </c>
      <c r="F874" s="258" t="s">
        <v>460</v>
      </c>
      <c r="G874" s="258" t="s">
        <v>9795</v>
      </c>
      <c r="H874" s="258">
        <v>3.5</v>
      </c>
      <c r="I874" s="258" t="s">
        <v>941</v>
      </c>
      <c r="J874" s="258"/>
      <c r="K874" s="258">
        <v>4</v>
      </c>
      <c r="L874" s="258"/>
      <c r="M874" s="258"/>
      <c r="N874" s="258" t="s">
        <v>452</v>
      </c>
      <c r="O874" s="258" t="s">
        <v>452</v>
      </c>
      <c r="P874" s="258" t="s">
        <v>9796</v>
      </c>
      <c r="Q874" s="258" t="s">
        <v>20</v>
      </c>
      <c r="R874" s="259" t="s">
        <v>9797</v>
      </c>
      <c r="S874" s="259"/>
      <c r="T874" s="259"/>
      <c r="U874" s="259"/>
      <c r="V874" s="258"/>
      <c r="W874" s="258"/>
      <c r="X874" s="258"/>
      <c r="Y874" s="258"/>
      <c r="Z874" s="258"/>
      <c r="AA874" s="258"/>
      <c r="AB874" s="258"/>
      <c r="AC874" s="258"/>
    </row>
    <row r="875" spans="1:29" ht="15.75" hidden="1" customHeight="1">
      <c r="A875" s="541">
        <v>44791</v>
      </c>
      <c r="B875" s="306" t="s">
        <v>8910</v>
      </c>
      <c r="C875" s="542"/>
      <c r="D875" s="306"/>
      <c r="E875" s="306" t="s">
        <v>3</v>
      </c>
      <c r="F875" s="306" t="s">
        <v>488</v>
      </c>
      <c r="G875" s="306"/>
      <c r="H875" s="306"/>
      <c r="I875" s="306" t="s">
        <v>462</v>
      </c>
      <c r="J875" s="306"/>
      <c r="K875" s="306"/>
      <c r="L875" s="306" t="s">
        <v>8914</v>
      </c>
      <c r="M875" s="306">
        <v>5000000</v>
      </c>
      <c r="N875" s="306" t="s">
        <v>452</v>
      </c>
      <c r="O875" s="306" t="s">
        <v>8915</v>
      </c>
      <c r="P875" s="306"/>
      <c r="Q875" s="306"/>
      <c r="R875" s="543"/>
      <c r="S875" s="543"/>
      <c r="T875" s="543"/>
      <c r="U875" s="543"/>
      <c r="V875" s="306"/>
      <c r="W875" s="306"/>
      <c r="X875" s="306"/>
      <c r="Y875" s="306"/>
      <c r="Z875" s="306"/>
      <c r="AA875" s="306"/>
      <c r="AB875" s="306"/>
      <c r="AC875" s="306"/>
    </row>
    <row r="876" spans="1:29" ht="15.75" hidden="1" customHeight="1">
      <c r="A876" s="541">
        <v>44796</v>
      </c>
      <c r="B876" s="306" t="s">
        <v>8910</v>
      </c>
      <c r="C876" s="542"/>
      <c r="D876" s="306"/>
      <c r="E876" s="306" t="s">
        <v>3</v>
      </c>
      <c r="F876" s="306" t="s">
        <v>488</v>
      </c>
      <c r="G876" s="306"/>
      <c r="H876" s="306"/>
      <c r="I876" s="306" t="s">
        <v>462</v>
      </c>
      <c r="J876" s="306"/>
      <c r="K876" s="306"/>
      <c r="L876" s="306" t="s">
        <v>8914</v>
      </c>
      <c r="M876" s="544">
        <v>5000000</v>
      </c>
      <c r="N876" s="306" t="s">
        <v>452</v>
      </c>
      <c r="O876" s="306" t="s">
        <v>8915</v>
      </c>
      <c r="P876" s="306"/>
      <c r="Q876" s="306"/>
      <c r="R876" s="543"/>
      <c r="S876" s="543"/>
      <c r="T876" s="543"/>
      <c r="U876" s="543"/>
      <c r="V876" s="219"/>
      <c r="W876" s="219"/>
      <c r="X876" s="219"/>
      <c r="Y876" s="219"/>
      <c r="Z876" s="219"/>
      <c r="AA876" s="219"/>
      <c r="AB876" s="219"/>
      <c r="AC876" s="219"/>
    </row>
    <row r="877" spans="1:29" ht="15.75" hidden="1" customHeight="1">
      <c r="A877" s="257">
        <v>44796</v>
      </c>
      <c r="B877" s="258" t="s">
        <v>8910</v>
      </c>
      <c r="C877" s="263">
        <v>3.75</v>
      </c>
      <c r="D877" s="258" t="s">
        <v>11724</v>
      </c>
      <c r="E877" s="258" t="s">
        <v>3</v>
      </c>
      <c r="F877" s="258" t="s">
        <v>488</v>
      </c>
      <c r="G877" s="258"/>
      <c r="H877" s="258">
        <v>3.5</v>
      </c>
      <c r="I877" s="258" t="s">
        <v>462</v>
      </c>
      <c r="J877" s="258" t="s">
        <v>8913</v>
      </c>
      <c r="K877" s="258">
        <v>4</v>
      </c>
      <c r="L877" s="258" t="s">
        <v>8914</v>
      </c>
      <c r="M877" s="258">
        <v>5000000</v>
      </c>
      <c r="N877" s="258" t="s">
        <v>452</v>
      </c>
      <c r="O877" s="258" t="s">
        <v>8915</v>
      </c>
      <c r="P877" s="258"/>
      <c r="Q877" s="258" t="s">
        <v>24</v>
      </c>
      <c r="R877" s="259" t="s">
        <v>8916</v>
      </c>
      <c r="S877" s="259"/>
      <c r="T877" s="259"/>
      <c r="U877" s="259"/>
      <c r="V877" s="258"/>
      <c r="W877" s="258"/>
      <c r="X877" s="258"/>
      <c r="Y877" s="258"/>
      <c r="Z877" s="258"/>
      <c r="AA877" s="258"/>
      <c r="AB877" s="258"/>
      <c r="AC877" s="258"/>
    </row>
    <row r="878" spans="1:29" ht="15.75" hidden="1" customHeight="1">
      <c r="A878" s="267">
        <v>44784</v>
      </c>
      <c r="B878" s="268" t="s">
        <v>8919</v>
      </c>
      <c r="C878" s="269">
        <v>1</v>
      </c>
      <c r="D878" s="268" t="s">
        <v>8922</v>
      </c>
      <c r="E878" s="270" t="s">
        <v>3</v>
      </c>
      <c r="F878" s="268" t="s">
        <v>488</v>
      </c>
      <c r="G878" s="268" t="s">
        <v>8923</v>
      </c>
      <c r="H878" s="268">
        <v>1</v>
      </c>
      <c r="I878" s="268" t="s">
        <v>941</v>
      </c>
      <c r="J878" s="268" t="s">
        <v>8924</v>
      </c>
      <c r="K878" s="268">
        <v>1</v>
      </c>
      <c r="L878" s="268"/>
      <c r="M878" s="268"/>
      <c r="N878" s="268" t="s">
        <v>454</v>
      </c>
      <c r="O878" s="268" t="s">
        <v>575</v>
      </c>
      <c r="P878" s="268"/>
      <c r="Q878" s="268" t="s">
        <v>24</v>
      </c>
      <c r="R878" s="271"/>
      <c r="S878" s="271"/>
      <c r="T878" s="271"/>
      <c r="U878" s="271"/>
      <c r="V878" s="268"/>
      <c r="W878" s="268"/>
      <c r="X878" s="268"/>
      <c r="Y878" s="268"/>
      <c r="Z878" s="268"/>
      <c r="AA878" s="219"/>
      <c r="AB878" s="219"/>
      <c r="AC878" s="219"/>
    </row>
    <row r="879" spans="1:29" ht="15.75" hidden="1" customHeight="1">
      <c r="A879" s="253">
        <v>44796</v>
      </c>
      <c r="B879" s="224" t="s">
        <v>8927</v>
      </c>
      <c r="C879" s="316">
        <v>3.5</v>
      </c>
      <c r="D879" s="224" t="s">
        <v>8930</v>
      </c>
      <c r="E879" s="224" t="s">
        <v>3</v>
      </c>
      <c r="F879" s="224" t="s">
        <v>460</v>
      </c>
      <c r="G879" s="224" t="s">
        <v>8931</v>
      </c>
      <c r="H879" s="224">
        <v>3.5</v>
      </c>
      <c r="I879" s="224" t="s">
        <v>462</v>
      </c>
      <c r="J879" s="224" t="s">
        <v>8932</v>
      </c>
      <c r="K879" s="224">
        <v>3.5</v>
      </c>
      <c r="L879" s="224" t="s">
        <v>478</v>
      </c>
      <c r="M879" s="307">
        <v>30000000</v>
      </c>
      <c r="N879" s="224" t="s">
        <v>452</v>
      </c>
      <c r="O879" s="224" t="s">
        <v>452</v>
      </c>
      <c r="P879" s="224"/>
      <c r="Q879" s="224" t="s">
        <v>24</v>
      </c>
      <c r="R879" s="254"/>
      <c r="S879" s="254"/>
      <c r="T879" s="254"/>
      <c r="U879" s="254"/>
      <c r="V879" s="224"/>
      <c r="W879" s="224"/>
      <c r="X879" s="224"/>
      <c r="Y879" s="224"/>
      <c r="Z879" s="224"/>
      <c r="AA879" s="224"/>
      <c r="AB879" s="224"/>
      <c r="AC879" s="224"/>
    </row>
    <row r="880" spans="1:29" ht="15.75" customHeight="1">
      <c r="A880" s="248">
        <v>44789</v>
      </c>
      <c r="B880" s="219" t="s">
        <v>7244</v>
      </c>
      <c r="C880" s="249">
        <v>2</v>
      </c>
      <c r="D880" s="219" t="s">
        <v>7247</v>
      </c>
      <c r="E880" s="250" t="s">
        <v>4</v>
      </c>
      <c r="F880" s="219" t="s">
        <v>727</v>
      </c>
      <c r="G880" s="219" t="s">
        <v>10669</v>
      </c>
      <c r="H880" s="219">
        <v>2</v>
      </c>
      <c r="I880" s="219" t="s">
        <v>1045</v>
      </c>
      <c r="J880" s="219" t="s">
        <v>7249</v>
      </c>
      <c r="K880" s="219">
        <v>2</v>
      </c>
      <c r="L880" s="219"/>
      <c r="M880" s="312"/>
      <c r="N880" s="219" t="s">
        <v>452</v>
      </c>
      <c r="O880" s="219" t="s">
        <v>7250</v>
      </c>
      <c r="P880" s="219"/>
      <c r="Q880" s="219" t="s">
        <v>24</v>
      </c>
      <c r="R880" s="219"/>
      <c r="S880" s="219" t="str">
        <f>IFERROR(VLOOKUP(B880,'2022-2023 Third Reviews'!$C:$S,9,FALSE),"")</f>
        <v/>
      </c>
      <c r="T880" s="219"/>
      <c r="U880" s="219"/>
      <c r="V880" s="219"/>
      <c r="W880" s="219"/>
      <c r="X880" s="219"/>
      <c r="Y880" s="219"/>
      <c r="Z880" s="219"/>
      <c r="AA880" s="219"/>
      <c r="AB880" s="219"/>
      <c r="AC880" s="219"/>
    </row>
    <row r="881" spans="1:29" ht="15.75" customHeight="1">
      <c r="A881" s="253">
        <v>44789</v>
      </c>
      <c r="B881" s="224" t="s">
        <v>7252</v>
      </c>
      <c r="C881" s="249">
        <v>2</v>
      </c>
      <c r="D881" s="224" t="s">
        <v>7255</v>
      </c>
      <c r="E881" s="250" t="s">
        <v>4</v>
      </c>
      <c r="F881" s="224" t="s">
        <v>602</v>
      </c>
      <c r="G881" s="224" t="s">
        <v>6912</v>
      </c>
      <c r="H881" s="224">
        <v>2</v>
      </c>
      <c r="I881" s="224" t="s">
        <v>1045</v>
      </c>
      <c r="J881" s="224" t="s">
        <v>7256</v>
      </c>
      <c r="K881" s="224">
        <v>2</v>
      </c>
      <c r="L881" s="224" t="s">
        <v>451</v>
      </c>
      <c r="M881" s="307">
        <v>500000</v>
      </c>
      <c r="N881" s="224" t="s">
        <v>452</v>
      </c>
      <c r="O881" s="224" t="s">
        <v>1028</v>
      </c>
      <c r="P881" s="224"/>
      <c r="Q881" s="224" t="s">
        <v>24</v>
      </c>
      <c r="R881" s="224"/>
      <c r="S881" s="224" t="str">
        <f>IFERROR(VLOOKUP(B881,'2022-2023 Third Reviews'!$C:$S,9,FALSE),"")</f>
        <v/>
      </c>
      <c r="T881" s="224"/>
      <c r="U881" s="224"/>
      <c r="V881" s="272"/>
      <c r="W881" s="272"/>
      <c r="X881" s="272"/>
      <c r="Y881" s="272"/>
      <c r="Z881" s="272"/>
      <c r="AA881" s="224"/>
      <c r="AB881" s="224"/>
      <c r="AC881" s="224"/>
    </row>
    <row r="882" spans="1:29" ht="15.75" hidden="1" customHeight="1">
      <c r="A882" s="212">
        <v>44776</v>
      </c>
      <c r="B882" s="213" t="s">
        <v>13210</v>
      </c>
      <c r="C882" s="214">
        <v>2.75</v>
      </c>
      <c r="D882" s="213" t="s">
        <v>11518</v>
      </c>
      <c r="E882" s="215" t="s">
        <v>5</v>
      </c>
      <c r="F882" s="213" t="s">
        <v>447</v>
      </c>
      <c r="G882" s="213"/>
      <c r="H882" s="213">
        <v>2.5</v>
      </c>
      <c r="I882" s="213" t="s">
        <v>476</v>
      </c>
      <c r="J882" s="213" t="s">
        <v>13400</v>
      </c>
      <c r="K882" s="213">
        <v>3</v>
      </c>
      <c r="L882" s="213" t="s">
        <v>784</v>
      </c>
      <c r="M882" s="213" t="s">
        <v>11519</v>
      </c>
      <c r="N882" s="213" t="s">
        <v>452</v>
      </c>
      <c r="O882" s="213" t="s">
        <v>11520</v>
      </c>
      <c r="P882" s="143"/>
      <c r="Q882" s="213" t="s">
        <v>24</v>
      </c>
      <c r="R882" s="226">
        <f t="array" ref="R882">INDEX(Notes!C:C,MATCH($B882,Notes!$A:$A,0))</f>
        <v>0</v>
      </c>
      <c r="S882" s="226"/>
      <c r="T882" s="226"/>
      <c r="U882" s="226"/>
      <c r="V882" s="218"/>
      <c r="W882" s="218"/>
      <c r="X882" s="218"/>
      <c r="Y882" s="219"/>
      <c r="Z882" s="219"/>
      <c r="AA882" s="219"/>
      <c r="AB882" s="219"/>
      <c r="AC882" s="219"/>
    </row>
    <row r="883" spans="1:29" ht="15.75" customHeight="1">
      <c r="A883" s="253">
        <v>44789</v>
      </c>
      <c r="B883" s="224" t="s">
        <v>7259</v>
      </c>
      <c r="C883" s="249">
        <v>2</v>
      </c>
      <c r="D883" s="224" t="s">
        <v>7262</v>
      </c>
      <c r="E883" s="250" t="s">
        <v>4</v>
      </c>
      <c r="F883" s="224" t="s">
        <v>602</v>
      </c>
      <c r="G883" s="224" t="s">
        <v>7263</v>
      </c>
      <c r="H883" s="224">
        <v>2</v>
      </c>
      <c r="I883" s="224" t="s">
        <v>1054</v>
      </c>
      <c r="J883" s="224" t="s">
        <v>7264</v>
      </c>
      <c r="K883" s="224">
        <v>2</v>
      </c>
      <c r="L883" s="224"/>
      <c r="M883" s="224"/>
      <c r="N883" s="224" t="s">
        <v>452</v>
      </c>
      <c r="O883" s="224" t="s">
        <v>7265</v>
      </c>
      <c r="P883" s="224"/>
      <c r="Q883" s="224" t="s">
        <v>24</v>
      </c>
      <c r="R883" s="224"/>
      <c r="S883" s="224" t="str">
        <f>IFERROR(VLOOKUP(B883,'2022-2023 Third Reviews'!$C:$S,9,FALSE),"")</f>
        <v/>
      </c>
      <c r="T883" s="224"/>
      <c r="U883" s="224"/>
      <c r="V883" s="306"/>
      <c r="W883" s="306"/>
      <c r="X883" s="306"/>
      <c r="Y883" s="306"/>
      <c r="Z883" s="306"/>
      <c r="AA883" s="306"/>
      <c r="AB883" s="306"/>
      <c r="AC883" s="306"/>
    </row>
    <row r="884" spans="1:29" ht="15.75" hidden="1" customHeight="1">
      <c r="A884" s="541">
        <v>44791</v>
      </c>
      <c r="B884" s="306" t="s">
        <v>8935</v>
      </c>
      <c r="C884" s="542"/>
      <c r="D884" s="306"/>
      <c r="E884" s="306" t="s">
        <v>3</v>
      </c>
      <c r="F884" s="306" t="s">
        <v>488</v>
      </c>
      <c r="G884" s="306"/>
      <c r="H884" s="306"/>
      <c r="I884" s="306" t="s">
        <v>941</v>
      </c>
      <c r="J884" s="306"/>
      <c r="K884" s="306"/>
      <c r="L884" s="306" t="s">
        <v>8939</v>
      </c>
      <c r="M884" s="306">
        <v>500000</v>
      </c>
      <c r="N884" s="306" t="s">
        <v>454</v>
      </c>
      <c r="O884" s="306" t="s">
        <v>8938</v>
      </c>
      <c r="P884" s="306"/>
      <c r="Q884" s="306"/>
      <c r="R884" s="543"/>
      <c r="S884" s="543"/>
      <c r="T884" s="543"/>
      <c r="U884" s="543"/>
      <c r="V884" s="306"/>
      <c r="W884" s="306"/>
      <c r="X884" s="306"/>
      <c r="Y884" s="306"/>
      <c r="Z884" s="306"/>
      <c r="AA884" s="306"/>
      <c r="AB884" s="306"/>
      <c r="AC884" s="306"/>
    </row>
    <row r="885" spans="1:29" ht="15.75" hidden="1" customHeight="1">
      <c r="A885" s="541">
        <v>44796</v>
      </c>
      <c r="B885" s="306" t="s">
        <v>8935</v>
      </c>
      <c r="C885" s="542"/>
      <c r="D885" s="306"/>
      <c r="E885" s="306" t="s">
        <v>3</v>
      </c>
      <c r="F885" s="306" t="s">
        <v>488</v>
      </c>
      <c r="G885" s="306"/>
      <c r="H885" s="306"/>
      <c r="I885" s="306" t="s">
        <v>941</v>
      </c>
      <c r="J885" s="306"/>
      <c r="K885" s="306"/>
      <c r="L885" s="306" t="s">
        <v>8939</v>
      </c>
      <c r="M885" s="544">
        <v>500000</v>
      </c>
      <c r="N885" s="306" t="s">
        <v>454</v>
      </c>
      <c r="O885" s="306" t="s">
        <v>8938</v>
      </c>
      <c r="P885" s="306"/>
      <c r="Q885" s="306"/>
      <c r="R885" s="543"/>
      <c r="S885" s="543"/>
      <c r="T885" s="543"/>
      <c r="U885" s="543"/>
      <c r="V885" s="224"/>
      <c r="W885" s="224"/>
      <c r="X885" s="224"/>
      <c r="Y885" s="224"/>
      <c r="Z885" s="224"/>
      <c r="AA885" s="224"/>
      <c r="AB885" s="224"/>
      <c r="AC885" s="224"/>
    </row>
    <row r="886" spans="1:29" ht="15.75" hidden="1" customHeight="1">
      <c r="A886" s="248">
        <v>44796</v>
      </c>
      <c r="B886" s="219" t="s">
        <v>8935</v>
      </c>
      <c r="C886" s="315">
        <v>2</v>
      </c>
      <c r="D886" s="219"/>
      <c r="E886" s="219" t="s">
        <v>3</v>
      </c>
      <c r="F886" s="219" t="s">
        <v>488</v>
      </c>
      <c r="G886" s="219" t="s">
        <v>8938</v>
      </c>
      <c r="H886" s="219">
        <v>2</v>
      </c>
      <c r="I886" s="219" t="s">
        <v>941</v>
      </c>
      <c r="J886" s="219"/>
      <c r="K886" s="219">
        <v>2</v>
      </c>
      <c r="L886" s="219" t="s">
        <v>8939</v>
      </c>
      <c r="M886" s="219">
        <v>500000</v>
      </c>
      <c r="N886" s="219" t="s">
        <v>454</v>
      </c>
      <c r="O886" s="219" t="s">
        <v>8938</v>
      </c>
      <c r="P886" s="219"/>
      <c r="Q886" s="219" t="s">
        <v>24</v>
      </c>
      <c r="R886" s="251"/>
      <c r="S886" s="251"/>
      <c r="T886" s="251"/>
      <c r="U886" s="251"/>
      <c r="V886" s="219"/>
      <c r="W886" s="219"/>
      <c r="X886" s="219"/>
      <c r="Y886" s="219"/>
      <c r="Z886" s="219"/>
      <c r="AA886" s="219"/>
      <c r="AB886" s="219"/>
      <c r="AC886" s="219"/>
    </row>
    <row r="887" spans="1:29" ht="15.75" customHeight="1">
      <c r="A887" s="253">
        <v>44797</v>
      </c>
      <c r="B887" s="224" t="s">
        <v>7268</v>
      </c>
      <c r="C887" s="316">
        <v>2</v>
      </c>
      <c r="D887" s="224" t="s">
        <v>7271</v>
      </c>
      <c r="E887" s="224" t="s">
        <v>4</v>
      </c>
      <c r="F887" s="224" t="s">
        <v>460</v>
      </c>
      <c r="G887" s="224" t="s">
        <v>7272</v>
      </c>
      <c r="H887" s="224">
        <v>2</v>
      </c>
      <c r="I887" s="224" t="s">
        <v>1237</v>
      </c>
      <c r="J887" s="224"/>
      <c r="K887" s="224">
        <v>2</v>
      </c>
      <c r="L887" s="224" t="s">
        <v>451</v>
      </c>
      <c r="M887" s="224">
        <v>3000000</v>
      </c>
      <c r="N887" s="224" t="s">
        <v>452</v>
      </c>
      <c r="O887" s="224" t="s">
        <v>7273</v>
      </c>
      <c r="P887" s="224"/>
      <c r="Q887" s="224" t="s">
        <v>24</v>
      </c>
      <c r="R887" s="224"/>
      <c r="S887" s="224" t="str">
        <f>IFERROR(VLOOKUP(B887,'2022-2023 Third Reviews'!$C:$S,9,FALSE),"")</f>
        <v/>
      </c>
      <c r="T887" s="224"/>
      <c r="U887" s="224"/>
      <c r="V887" s="252"/>
      <c r="W887" s="252"/>
      <c r="X887" s="252"/>
      <c r="Y887" s="224"/>
      <c r="Z887" s="224"/>
      <c r="AA887" s="224"/>
      <c r="AB887" s="224"/>
      <c r="AC887" s="224"/>
    </row>
    <row r="888" spans="1:29" ht="15.75" hidden="1" customHeight="1">
      <c r="A888" s="541">
        <v>44791</v>
      </c>
      <c r="B888" s="306" t="s">
        <v>8942</v>
      </c>
      <c r="C888" s="542"/>
      <c r="D888" s="306" t="s">
        <v>10913</v>
      </c>
      <c r="E888" s="306" t="s">
        <v>3</v>
      </c>
      <c r="F888" s="306" t="s">
        <v>460</v>
      </c>
      <c r="G888" s="306"/>
      <c r="H888" s="306"/>
      <c r="I888" s="306" t="s">
        <v>462</v>
      </c>
      <c r="J888" s="306" t="s">
        <v>8947</v>
      </c>
      <c r="K888" s="306">
        <v>3</v>
      </c>
      <c r="L888" s="306"/>
      <c r="M888" s="545"/>
      <c r="N888" s="306" t="s">
        <v>454</v>
      </c>
      <c r="O888" s="306" t="s">
        <v>575</v>
      </c>
      <c r="P888" s="306" t="s">
        <v>8948</v>
      </c>
      <c r="Q888" s="306"/>
      <c r="R888" s="543"/>
      <c r="S888" s="543"/>
      <c r="T888" s="543"/>
      <c r="U888" s="543"/>
      <c r="V888" s="306"/>
      <c r="W888" s="306"/>
      <c r="X888" s="306"/>
      <c r="Y888" s="306"/>
      <c r="Z888" s="306"/>
      <c r="AA888" s="306"/>
      <c r="AB888" s="306"/>
      <c r="AC888" s="306"/>
    </row>
    <row r="889" spans="1:29" ht="15.75" hidden="1" customHeight="1">
      <c r="A889" s="253">
        <v>44791</v>
      </c>
      <c r="B889" s="224" t="s">
        <v>8942</v>
      </c>
      <c r="C889" s="316">
        <v>3</v>
      </c>
      <c r="D889" s="224" t="s">
        <v>10913</v>
      </c>
      <c r="E889" s="224" t="s">
        <v>3</v>
      </c>
      <c r="F889" s="224" t="s">
        <v>460</v>
      </c>
      <c r="G889" s="224" t="s">
        <v>8946</v>
      </c>
      <c r="H889" s="224">
        <v>3</v>
      </c>
      <c r="I889" s="224" t="s">
        <v>462</v>
      </c>
      <c r="J889" s="224" t="s">
        <v>8947</v>
      </c>
      <c r="K889" s="224">
        <v>3</v>
      </c>
      <c r="L889" s="224"/>
      <c r="M889" s="224"/>
      <c r="N889" s="224" t="s">
        <v>454</v>
      </c>
      <c r="O889" s="224" t="s">
        <v>575</v>
      </c>
      <c r="P889" s="224" t="s">
        <v>8948</v>
      </c>
      <c r="Q889" s="322" t="s">
        <v>24</v>
      </c>
      <c r="R889" s="254"/>
      <c r="S889" s="254"/>
      <c r="T889" s="254"/>
      <c r="U889" s="254"/>
      <c r="V889" s="224"/>
      <c r="W889" s="224"/>
      <c r="X889" s="224"/>
      <c r="Y889" s="224"/>
      <c r="Z889" s="224"/>
      <c r="AA889" s="224"/>
      <c r="AB889" s="224"/>
      <c r="AC889" s="224"/>
    </row>
    <row r="890" spans="1:29" ht="15.75" hidden="1" customHeight="1">
      <c r="A890" s="267">
        <v>44784</v>
      </c>
      <c r="B890" s="268" t="s">
        <v>8950</v>
      </c>
      <c r="C890" s="269">
        <v>0</v>
      </c>
      <c r="D890" s="268" t="s">
        <v>8953</v>
      </c>
      <c r="E890" s="270" t="s">
        <v>3</v>
      </c>
      <c r="F890" s="268" t="s">
        <v>460</v>
      </c>
      <c r="G890" s="268" t="s">
        <v>8954</v>
      </c>
      <c r="H890" s="268">
        <v>0</v>
      </c>
      <c r="I890" s="268" t="s">
        <v>447</v>
      </c>
      <c r="J890" s="268"/>
      <c r="K890" s="268">
        <v>0</v>
      </c>
      <c r="L890" s="268" t="s">
        <v>451</v>
      </c>
      <c r="M890" s="268" t="s">
        <v>8955</v>
      </c>
      <c r="N890" s="268" t="s">
        <v>452</v>
      </c>
      <c r="O890" s="268" t="s">
        <v>575</v>
      </c>
      <c r="P890" s="268"/>
      <c r="Q890" s="268" t="s">
        <v>24</v>
      </c>
      <c r="R890" s="271"/>
      <c r="S890" s="271"/>
      <c r="T890" s="271"/>
      <c r="U890" s="271"/>
      <c r="V890" s="268"/>
      <c r="W890" s="268"/>
      <c r="X890" s="268"/>
      <c r="Y890" s="268"/>
      <c r="Z890" s="268"/>
      <c r="AA890" s="219"/>
      <c r="AB890" s="219"/>
      <c r="AC890" s="219"/>
    </row>
    <row r="891" spans="1:29" ht="15.75" hidden="1" customHeight="1">
      <c r="A891" s="541">
        <v>44796</v>
      </c>
      <c r="B891" s="306" t="s">
        <v>8958</v>
      </c>
      <c r="C891" s="542"/>
      <c r="D891" s="306" t="s">
        <v>10754</v>
      </c>
      <c r="E891" s="306" t="s">
        <v>3</v>
      </c>
      <c r="F891" s="306" t="s">
        <v>460</v>
      </c>
      <c r="G891" s="306"/>
      <c r="H891" s="306"/>
      <c r="I891" s="306" t="s">
        <v>462</v>
      </c>
      <c r="J891" s="306"/>
      <c r="K891" s="306"/>
      <c r="L891" s="306"/>
      <c r="M891" s="306"/>
      <c r="N891" s="306" t="s">
        <v>454</v>
      </c>
      <c r="O891" s="306" t="s">
        <v>8964</v>
      </c>
      <c r="P891" s="306"/>
      <c r="Q891" s="306"/>
      <c r="R891" s="543"/>
      <c r="S891" s="543"/>
      <c r="T891" s="543"/>
      <c r="U891" s="543"/>
      <c r="V891" s="306"/>
      <c r="W891" s="306"/>
      <c r="X891" s="306"/>
      <c r="Y891" s="306"/>
      <c r="Z891" s="306"/>
      <c r="AA891" s="306"/>
      <c r="AB891" s="306"/>
      <c r="AC891" s="306"/>
    </row>
    <row r="892" spans="1:29" ht="15.75" hidden="1" customHeight="1">
      <c r="A892" s="248">
        <v>44796</v>
      </c>
      <c r="B892" s="219" t="s">
        <v>8958</v>
      </c>
      <c r="C892" s="315">
        <v>1</v>
      </c>
      <c r="D892" s="219" t="s">
        <v>10754</v>
      </c>
      <c r="E892" s="219" t="s">
        <v>3</v>
      </c>
      <c r="F892" s="219" t="s">
        <v>460</v>
      </c>
      <c r="G892" s="219" t="s">
        <v>8962</v>
      </c>
      <c r="H892" s="219">
        <v>1</v>
      </c>
      <c r="I892" s="219" t="s">
        <v>462</v>
      </c>
      <c r="J892" s="219" t="s">
        <v>8963</v>
      </c>
      <c r="K892" s="219">
        <v>1</v>
      </c>
      <c r="L892" s="219"/>
      <c r="M892" s="219"/>
      <c r="N892" s="219" t="s">
        <v>454</v>
      </c>
      <c r="O892" s="219" t="s">
        <v>8964</v>
      </c>
      <c r="P892" s="219"/>
      <c r="Q892" s="219" t="s">
        <v>24</v>
      </c>
      <c r="R892" s="251"/>
      <c r="S892" s="251"/>
      <c r="T892" s="251"/>
      <c r="U892" s="251"/>
      <c r="V892" s="219"/>
      <c r="W892" s="219"/>
      <c r="X892" s="219"/>
      <c r="Y892" s="219"/>
      <c r="Z892" s="219"/>
      <c r="AA892" s="219"/>
      <c r="AB892" s="219"/>
      <c r="AC892" s="219"/>
    </row>
    <row r="893" spans="1:29" ht="15.75" customHeight="1">
      <c r="A893" s="253">
        <v>44797</v>
      </c>
      <c r="B893" s="224" t="s">
        <v>7276</v>
      </c>
      <c r="C893" s="316">
        <v>2</v>
      </c>
      <c r="D893" s="224" t="s">
        <v>7279</v>
      </c>
      <c r="E893" s="224" t="s">
        <v>4</v>
      </c>
      <c r="F893" s="224" t="s">
        <v>1045</v>
      </c>
      <c r="G893" s="224" t="s">
        <v>7280</v>
      </c>
      <c r="H893" s="224">
        <v>2</v>
      </c>
      <c r="I893" s="224" t="s">
        <v>1237</v>
      </c>
      <c r="J893" s="224"/>
      <c r="K893" s="224">
        <v>2</v>
      </c>
      <c r="L893" s="224"/>
      <c r="M893" s="224"/>
      <c r="N893" s="224" t="s">
        <v>452</v>
      </c>
      <c r="O893" s="224" t="s">
        <v>7281</v>
      </c>
      <c r="P893" s="224"/>
      <c r="Q893" s="224" t="s">
        <v>24</v>
      </c>
      <c r="R893" s="224"/>
      <c r="S893" s="224" t="str">
        <f>IFERROR(VLOOKUP(B893,'2022-2023 Third Reviews'!$C:$S,9,FALSE),"")</f>
        <v/>
      </c>
      <c r="T893" s="224"/>
      <c r="U893" s="224"/>
      <c r="V893" s="272"/>
      <c r="W893" s="272"/>
      <c r="X893" s="272"/>
      <c r="Y893" s="272"/>
      <c r="Z893" s="272"/>
      <c r="AA893" s="224"/>
      <c r="AB893" s="224"/>
      <c r="AC893" s="224"/>
    </row>
    <row r="894" spans="1:29" ht="15.75" customHeight="1">
      <c r="A894" s="398">
        <v>44784</v>
      </c>
      <c r="B894" s="268" t="s">
        <v>7284</v>
      </c>
      <c r="C894" s="269">
        <v>2</v>
      </c>
      <c r="D894" s="268" t="s">
        <v>7287</v>
      </c>
      <c r="E894" s="270" t="s">
        <v>4</v>
      </c>
      <c r="F894" s="268" t="s">
        <v>602</v>
      </c>
      <c r="G894" s="268" t="s">
        <v>7288</v>
      </c>
      <c r="H894" s="268">
        <v>2.5</v>
      </c>
      <c r="I894" s="268" t="s">
        <v>476</v>
      </c>
      <c r="J894" s="268" t="s">
        <v>11600</v>
      </c>
      <c r="K894" s="268">
        <v>1.5</v>
      </c>
      <c r="L894" s="268"/>
      <c r="M894" s="268"/>
      <c r="N894" s="268" t="s">
        <v>452</v>
      </c>
      <c r="O894" s="268" t="s">
        <v>452</v>
      </c>
      <c r="P894" s="268"/>
      <c r="Q894" s="268" t="s">
        <v>24</v>
      </c>
      <c r="R894" s="268"/>
      <c r="S894" s="268" t="str">
        <f>IFERROR(VLOOKUP(B894,'2022-2023 Third Reviews'!$C:$S,9,FALSE),"")</f>
        <v/>
      </c>
      <c r="T894" s="268" t="s">
        <v>13051</v>
      </c>
      <c r="U894" s="268"/>
      <c r="V894" s="306"/>
      <c r="W894" s="306"/>
      <c r="X894" s="306"/>
      <c r="Y894" s="306"/>
      <c r="Z894" s="306"/>
      <c r="AA894" s="306"/>
      <c r="AB894" s="306"/>
      <c r="AC894" s="306"/>
    </row>
    <row r="895" spans="1:29" ht="15.75" customHeight="1">
      <c r="A895" s="398">
        <v>44784</v>
      </c>
      <c r="B895" s="272" t="s">
        <v>7291</v>
      </c>
      <c r="C895" s="269">
        <v>2</v>
      </c>
      <c r="D895" s="272" t="s">
        <v>7294</v>
      </c>
      <c r="E895" s="270" t="s">
        <v>4</v>
      </c>
      <c r="F895" s="272" t="s">
        <v>602</v>
      </c>
      <c r="G895" s="272" t="s">
        <v>7295</v>
      </c>
      <c r="H895" s="272">
        <v>2</v>
      </c>
      <c r="I895" s="272" t="s">
        <v>622</v>
      </c>
      <c r="J895" s="272" t="s">
        <v>7296</v>
      </c>
      <c r="K895" s="272">
        <v>2</v>
      </c>
      <c r="L895" s="272"/>
      <c r="M895" s="272"/>
      <c r="N895" s="272" t="s">
        <v>452</v>
      </c>
      <c r="O895" s="272" t="s">
        <v>7297</v>
      </c>
      <c r="P895" s="272"/>
      <c r="Q895" s="272" t="s">
        <v>24</v>
      </c>
      <c r="R895" s="272"/>
      <c r="S895" s="272" t="str">
        <f>IFERROR(VLOOKUP(B895,'2022-2023 Third Reviews'!$C:$S,9,FALSE),"")</f>
        <v/>
      </c>
      <c r="T895" s="272"/>
      <c r="U895" s="272"/>
      <c r="V895" s="224"/>
      <c r="W895" s="224"/>
      <c r="X895" s="224"/>
      <c r="Y895" s="224"/>
      <c r="Z895" s="224"/>
      <c r="AA895" s="224"/>
      <c r="AB895" s="224"/>
      <c r="AC895" s="224"/>
    </row>
    <row r="896" spans="1:29" ht="15.75" hidden="1" customHeight="1">
      <c r="A896" s="301">
        <v>44789</v>
      </c>
      <c r="B896" s="303" t="s">
        <v>9584</v>
      </c>
      <c r="C896" s="269"/>
      <c r="D896" s="303" t="s">
        <v>9587</v>
      </c>
      <c r="E896" s="270" t="s">
        <v>3</v>
      </c>
      <c r="F896" s="303" t="s">
        <v>460</v>
      </c>
      <c r="G896" s="303"/>
      <c r="H896" s="303"/>
      <c r="I896" s="303" t="s">
        <v>488</v>
      </c>
      <c r="J896" s="303" t="s">
        <v>10204</v>
      </c>
      <c r="K896" s="303">
        <v>3</v>
      </c>
      <c r="L896" s="303"/>
      <c r="M896" s="303"/>
      <c r="N896" s="303" t="s">
        <v>454</v>
      </c>
      <c r="O896" s="303" t="s">
        <v>9590</v>
      </c>
      <c r="P896" s="303"/>
      <c r="Q896" s="303"/>
      <c r="R896" s="305"/>
      <c r="S896" s="305"/>
      <c r="T896" s="305"/>
      <c r="U896" s="305"/>
      <c r="V896" s="303"/>
      <c r="W896" s="303"/>
      <c r="X896" s="303"/>
      <c r="Y896" s="303"/>
      <c r="Z896" s="303"/>
      <c r="AA896" s="306"/>
      <c r="AB896" s="306"/>
      <c r="AC896" s="306"/>
    </row>
    <row r="897" spans="1:29" ht="15.75" hidden="1" customHeight="1">
      <c r="A897" s="255">
        <v>44789</v>
      </c>
      <c r="B897" s="239" t="s">
        <v>9584</v>
      </c>
      <c r="C897" s="262">
        <v>3.25</v>
      </c>
      <c r="D897" s="239" t="s">
        <v>9587</v>
      </c>
      <c r="E897" s="239" t="s">
        <v>5</v>
      </c>
      <c r="F897" s="239" t="s">
        <v>460</v>
      </c>
      <c r="G897" s="239" t="s">
        <v>9588</v>
      </c>
      <c r="H897" s="239">
        <v>3.5</v>
      </c>
      <c r="I897" s="239" t="s">
        <v>488</v>
      </c>
      <c r="J897" s="239" t="s">
        <v>10204</v>
      </c>
      <c r="K897" s="239">
        <v>3</v>
      </c>
      <c r="L897" s="239"/>
      <c r="M897" s="239"/>
      <c r="N897" s="239" t="s">
        <v>454</v>
      </c>
      <c r="O897" s="239" t="s">
        <v>9590</v>
      </c>
      <c r="P897" s="239"/>
      <c r="Q897" s="239" t="s">
        <v>23</v>
      </c>
      <c r="R897" s="256" t="s">
        <v>9591</v>
      </c>
      <c r="S897" s="256"/>
      <c r="T897" s="256"/>
      <c r="U897" s="256"/>
      <c r="V897" s="239"/>
      <c r="W897" s="239"/>
      <c r="X897" s="239"/>
      <c r="Y897" s="239"/>
      <c r="Z897" s="239"/>
      <c r="AA897" s="239"/>
      <c r="AB897" s="239"/>
      <c r="AC897" s="239"/>
    </row>
    <row r="898" spans="1:29" ht="15.75" hidden="1" customHeight="1">
      <c r="A898" s="255">
        <v>44782</v>
      </c>
      <c r="B898" s="239" t="s">
        <v>1327</v>
      </c>
      <c r="C898" s="249">
        <v>3.5</v>
      </c>
      <c r="D898" s="239" t="s">
        <v>1330</v>
      </c>
      <c r="E898" s="250" t="s">
        <v>5</v>
      </c>
      <c r="F898" s="239" t="s">
        <v>447</v>
      </c>
      <c r="G898" s="239" t="s">
        <v>10325</v>
      </c>
      <c r="H898" s="239">
        <v>3.5</v>
      </c>
      <c r="I898" s="239" t="s">
        <v>543</v>
      </c>
      <c r="J898" s="239" t="s">
        <v>1332</v>
      </c>
      <c r="K898" s="239">
        <v>3.5</v>
      </c>
      <c r="L898" s="239"/>
      <c r="M898" s="239"/>
      <c r="N898" s="239" t="s">
        <v>452</v>
      </c>
      <c r="O898" s="239" t="s">
        <v>10326</v>
      </c>
      <c r="P898" s="239"/>
      <c r="Q898" s="239" t="s">
        <v>19</v>
      </c>
      <c r="R898" s="256" t="s">
        <v>1334</v>
      </c>
      <c r="S898" s="256"/>
      <c r="T898" s="256"/>
      <c r="U898" s="256" t="s">
        <v>18</v>
      </c>
      <c r="V898" s="239"/>
      <c r="W898" s="239"/>
      <c r="X898" s="239"/>
      <c r="Y898" s="239"/>
      <c r="Z898" s="239"/>
      <c r="AA898" s="239"/>
      <c r="AB898" s="239"/>
      <c r="AC898" s="239"/>
    </row>
    <row r="899" spans="1:29" ht="15.75" customHeight="1">
      <c r="A899" s="253">
        <v>44789</v>
      </c>
      <c r="B899" s="224" t="s">
        <v>7300</v>
      </c>
      <c r="C899" s="249">
        <v>2</v>
      </c>
      <c r="D899" s="224" t="s">
        <v>7303</v>
      </c>
      <c r="E899" s="250" t="s">
        <v>4</v>
      </c>
      <c r="F899" s="224" t="s">
        <v>727</v>
      </c>
      <c r="G899" s="224" t="s">
        <v>10637</v>
      </c>
      <c r="H899" s="224">
        <v>2</v>
      </c>
      <c r="I899" s="224" t="s">
        <v>1045</v>
      </c>
      <c r="J899" s="224" t="s">
        <v>7305</v>
      </c>
      <c r="K899" s="224">
        <v>2</v>
      </c>
      <c r="L899" s="224" t="s">
        <v>451</v>
      </c>
      <c r="M899" s="307">
        <v>200000</v>
      </c>
      <c r="N899" s="224" t="s">
        <v>452</v>
      </c>
      <c r="O899" s="224" t="s">
        <v>7306</v>
      </c>
      <c r="P899" s="224"/>
      <c r="Q899" s="224" t="s">
        <v>24</v>
      </c>
      <c r="R899" s="224"/>
      <c r="S899" s="224" t="str">
        <f>IFERROR(VLOOKUP(B899,'2022-2023 Third Reviews'!$C:$S,9,FALSE),"")</f>
        <v/>
      </c>
      <c r="T899" s="224"/>
      <c r="U899" s="224"/>
      <c r="V899" s="306"/>
      <c r="W899" s="306"/>
      <c r="X899" s="306"/>
      <c r="Y899" s="306"/>
      <c r="Z899" s="306"/>
      <c r="AA899" s="306"/>
      <c r="AB899" s="306"/>
      <c r="AC899" s="306"/>
    </row>
    <row r="900" spans="1:29" ht="15.75" customHeight="1">
      <c r="A900" s="248">
        <v>44796</v>
      </c>
      <c r="B900" s="219" t="s">
        <v>7309</v>
      </c>
      <c r="C900" s="315">
        <v>2</v>
      </c>
      <c r="D900" s="219" t="s">
        <v>7312</v>
      </c>
      <c r="E900" s="219" t="s">
        <v>4</v>
      </c>
      <c r="F900" s="219" t="s">
        <v>727</v>
      </c>
      <c r="G900" s="219" t="s">
        <v>10376</v>
      </c>
      <c r="H900" s="219">
        <v>2</v>
      </c>
      <c r="I900" s="219" t="s">
        <v>1237</v>
      </c>
      <c r="J900" s="219"/>
      <c r="K900" s="219">
        <v>2</v>
      </c>
      <c r="L900" s="219" t="s">
        <v>784</v>
      </c>
      <c r="M900" s="219" t="s">
        <v>7314</v>
      </c>
      <c r="N900" s="219" t="s">
        <v>452</v>
      </c>
      <c r="O900" s="219" t="s">
        <v>7315</v>
      </c>
      <c r="P900" s="219"/>
      <c r="Q900" s="219" t="s">
        <v>24</v>
      </c>
      <c r="R900" s="219"/>
      <c r="S900" s="219" t="str">
        <f>IFERROR(VLOOKUP(B900,'2022-2023 Third Reviews'!$C:$S,9,FALSE),"")</f>
        <v/>
      </c>
      <c r="T900" s="219"/>
      <c r="U900" s="219"/>
      <c r="V900" s="303"/>
      <c r="W900" s="303"/>
      <c r="X900" s="303"/>
      <c r="Y900" s="303"/>
      <c r="Z900" s="303"/>
      <c r="AA900" s="306"/>
      <c r="AB900" s="306"/>
      <c r="AC900" s="306"/>
    </row>
    <row r="901" spans="1:29" ht="15.75" customHeight="1">
      <c r="A901" s="253">
        <v>44796</v>
      </c>
      <c r="B901" s="224" t="s">
        <v>7318</v>
      </c>
      <c r="C901" s="316">
        <v>2</v>
      </c>
      <c r="D901" s="224" t="s">
        <v>7321</v>
      </c>
      <c r="E901" s="224" t="s">
        <v>4</v>
      </c>
      <c r="F901" s="224" t="s">
        <v>725</v>
      </c>
      <c r="G901" s="224" t="s">
        <v>7322</v>
      </c>
      <c r="H901" s="224">
        <v>2</v>
      </c>
      <c r="I901" s="224" t="s">
        <v>1237</v>
      </c>
      <c r="J901" s="224"/>
      <c r="K901" s="224">
        <v>2</v>
      </c>
      <c r="L901" s="224" t="s">
        <v>451</v>
      </c>
      <c r="M901" s="311">
        <v>1100000</v>
      </c>
      <c r="N901" s="224" t="s">
        <v>452</v>
      </c>
      <c r="O901" s="224" t="s">
        <v>6472</v>
      </c>
      <c r="P901" s="224" t="s">
        <v>585</v>
      </c>
      <c r="Q901" s="224" t="s">
        <v>24</v>
      </c>
      <c r="R901" s="224"/>
      <c r="S901" s="224" t="str">
        <f>IFERROR(VLOOKUP(B901,'2022-2023 Third Reviews'!$C:$S,9,FALSE),"")</f>
        <v/>
      </c>
      <c r="T901" s="224"/>
      <c r="U901" s="224"/>
      <c r="V901" s="252"/>
      <c r="W901" s="252"/>
      <c r="X901" s="252"/>
      <c r="Y901" s="224"/>
      <c r="Z901" s="224"/>
      <c r="AA901" s="224"/>
      <c r="AB901" s="224"/>
      <c r="AC901" s="224"/>
    </row>
    <row r="902" spans="1:29" ht="15.75" customHeight="1">
      <c r="A902" s="248">
        <v>44796</v>
      </c>
      <c r="B902" s="219" t="s">
        <v>7324</v>
      </c>
      <c r="C902" s="315">
        <v>2</v>
      </c>
      <c r="D902" s="219" t="s">
        <v>10941</v>
      </c>
      <c r="E902" s="219" t="s">
        <v>4</v>
      </c>
      <c r="F902" s="219" t="s">
        <v>725</v>
      </c>
      <c r="G902" s="219"/>
      <c r="H902" s="219">
        <v>2</v>
      </c>
      <c r="I902" s="219" t="s">
        <v>1237</v>
      </c>
      <c r="J902" s="219"/>
      <c r="K902" s="219">
        <v>2</v>
      </c>
      <c r="L902" s="219" t="s">
        <v>451</v>
      </c>
      <c r="M902" s="219" t="s">
        <v>7328</v>
      </c>
      <c r="N902" s="219" t="s">
        <v>454</v>
      </c>
      <c r="O902" s="219" t="s">
        <v>7329</v>
      </c>
      <c r="P902" s="219"/>
      <c r="Q902" s="219" t="s">
        <v>24</v>
      </c>
      <c r="R902" s="219"/>
      <c r="S902" s="219" t="str">
        <f>IFERROR(VLOOKUP(B902,'2022-2023 Third Reviews'!$C:$S,9,FALSE),"")</f>
        <v/>
      </c>
      <c r="T902" s="219"/>
      <c r="U902" s="219"/>
      <c r="V902" s="252"/>
      <c r="W902" s="252"/>
      <c r="X902" s="252"/>
      <c r="Y902" s="219"/>
      <c r="Z902" s="219"/>
      <c r="AA902" s="219"/>
      <c r="AB902" s="219"/>
      <c r="AC902" s="219"/>
    </row>
    <row r="903" spans="1:29" ht="15.75" customHeight="1">
      <c r="A903" s="398">
        <v>44784</v>
      </c>
      <c r="B903" s="272" t="s">
        <v>7332</v>
      </c>
      <c r="C903" s="269">
        <v>2</v>
      </c>
      <c r="D903" s="272" t="s">
        <v>7335</v>
      </c>
      <c r="E903" s="270" t="s">
        <v>4</v>
      </c>
      <c r="F903" s="272" t="s">
        <v>602</v>
      </c>
      <c r="G903" s="272"/>
      <c r="H903" s="272">
        <v>2</v>
      </c>
      <c r="I903" s="272" t="s">
        <v>1054</v>
      </c>
      <c r="J903" s="272" t="s">
        <v>7336</v>
      </c>
      <c r="K903" s="272">
        <v>2</v>
      </c>
      <c r="L903" s="272"/>
      <c r="M903" s="272"/>
      <c r="N903" s="272" t="s">
        <v>452</v>
      </c>
      <c r="O903" s="272" t="s">
        <v>452</v>
      </c>
      <c r="P903" s="272" t="s">
        <v>447</v>
      </c>
      <c r="Q903" s="272" t="s">
        <v>24</v>
      </c>
      <c r="R903" s="272"/>
      <c r="S903" s="272" t="str">
        <f>IFERROR(VLOOKUP(B903,'2022-2023 Third Reviews'!$C:$S,9,FALSE),"")</f>
        <v/>
      </c>
      <c r="T903" s="272"/>
      <c r="U903" s="272"/>
      <c r="V903" s="224"/>
      <c r="W903" s="224"/>
      <c r="X903" s="224"/>
      <c r="Y903" s="224"/>
      <c r="Z903" s="224"/>
      <c r="AA903" s="224"/>
      <c r="AB903" s="224"/>
      <c r="AC903" s="224"/>
    </row>
    <row r="904" spans="1:29" ht="15.75" hidden="1" customHeight="1">
      <c r="A904" s="257">
        <v>44782</v>
      </c>
      <c r="B904" s="258" t="s">
        <v>2965</v>
      </c>
      <c r="C904" s="249">
        <v>3.5</v>
      </c>
      <c r="D904" s="258" t="s">
        <v>2968</v>
      </c>
      <c r="E904" s="250" t="s">
        <v>5</v>
      </c>
      <c r="F904" s="258" t="s">
        <v>447</v>
      </c>
      <c r="G904" s="258" t="s">
        <v>11171</v>
      </c>
      <c r="H904" s="258">
        <v>3.5</v>
      </c>
      <c r="I904" s="258" t="s">
        <v>543</v>
      </c>
      <c r="J904" s="258">
        <v>3.5</v>
      </c>
      <c r="K904" s="258">
        <v>3.5</v>
      </c>
      <c r="L904" s="258" t="s">
        <v>784</v>
      </c>
      <c r="M904" s="258" t="s">
        <v>2527</v>
      </c>
      <c r="N904" s="258" t="s">
        <v>452</v>
      </c>
      <c r="O904" s="258" t="s">
        <v>452</v>
      </c>
      <c r="P904" s="258" t="s">
        <v>727</v>
      </c>
      <c r="Q904" s="258" t="s">
        <v>24</v>
      </c>
      <c r="R904" s="259" t="s">
        <v>11173</v>
      </c>
      <c r="S904" s="259"/>
      <c r="T904" s="259"/>
      <c r="U904" s="259"/>
      <c r="V904" s="258"/>
      <c r="W904" s="258"/>
      <c r="X904" s="258"/>
      <c r="Y904" s="258"/>
      <c r="Z904" s="258"/>
      <c r="AA904" s="258"/>
      <c r="AB904" s="258"/>
      <c r="AC904" s="258"/>
    </row>
    <row r="905" spans="1:29" ht="15.75" hidden="1" customHeight="1">
      <c r="A905" s="255">
        <v>44789</v>
      </c>
      <c r="B905" s="239" t="s">
        <v>111</v>
      </c>
      <c r="C905" s="262">
        <v>3.5</v>
      </c>
      <c r="D905" s="239" t="s">
        <v>9355</v>
      </c>
      <c r="E905" s="239" t="s">
        <v>5</v>
      </c>
      <c r="F905" s="239" t="s">
        <v>447</v>
      </c>
      <c r="G905" s="239" t="s">
        <v>11626</v>
      </c>
      <c r="H905" s="239">
        <v>3.5</v>
      </c>
      <c r="I905" s="239" t="s">
        <v>543</v>
      </c>
      <c r="J905" s="239" t="s">
        <v>11627</v>
      </c>
      <c r="K905" s="239">
        <v>3.5</v>
      </c>
      <c r="L905" s="239"/>
      <c r="M905" s="239"/>
      <c r="N905" s="239" t="s">
        <v>452</v>
      </c>
      <c r="O905" s="239" t="s">
        <v>10361</v>
      </c>
      <c r="P905" s="239"/>
      <c r="Q905" s="239" t="s">
        <v>19</v>
      </c>
      <c r="R905" s="256" t="s">
        <v>1477</v>
      </c>
      <c r="S905" s="256"/>
      <c r="T905" s="256"/>
      <c r="U905" s="256"/>
      <c r="V905" s="239"/>
      <c r="W905" s="239"/>
      <c r="X905" s="239"/>
      <c r="Y905" s="239"/>
      <c r="Z905" s="239"/>
      <c r="AA905" s="239"/>
      <c r="AB905" s="239"/>
      <c r="AC905" s="239"/>
    </row>
    <row r="906" spans="1:29" ht="15.75" hidden="1" customHeight="1">
      <c r="A906" s="267">
        <v>44784</v>
      </c>
      <c r="B906" s="268" t="s">
        <v>2973</v>
      </c>
      <c r="C906" s="269">
        <v>3.25</v>
      </c>
      <c r="D906" s="268" t="s">
        <v>2976</v>
      </c>
      <c r="E906" s="270" t="s">
        <v>5</v>
      </c>
      <c r="F906" s="268" t="s">
        <v>447</v>
      </c>
      <c r="G906" s="268" t="s">
        <v>10662</v>
      </c>
      <c r="H906" s="268">
        <v>3</v>
      </c>
      <c r="I906" s="268" t="s">
        <v>449</v>
      </c>
      <c r="J906" s="268" t="s">
        <v>11580</v>
      </c>
      <c r="K906" s="268">
        <v>3.5</v>
      </c>
      <c r="L906" s="268" t="s">
        <v>451</v>
      </c>
      <c r="M906" s="285">
        <v>3000000</v>
      </c>
      <c r="N906" s="268" t="s">
        <v>465</v>
      </c>
      <c r="O906" s="285" t="s">
        <v>10664</v>
      </c>
      <c r="P906" s="268"/>
      <c r="Q906" s="268" t="s">
        <v>24</v>
      </c>
      <c r="R906" s="271"/>
      <c r="S906" s="271"/>
      <c r="T906" s="271"/>
      <c r="U906" s="271"/>
      <c r="V906" s="268"/>
      <c r="W906" s="268"/>
      <c r="X906" s="268"/>
      <c r="Y906" s="268"/>
      <c r="Z906" s="268"/>
      <c r="AA906" s="219"/>
      <c r="AB906" s="219"/>
      <c r="AC906" s="219"/>
    </row>
    <row r="907" spans="1:29" ht="15.75" customHeight="1">
      <c r="A907" s="253">
        <v>44796</v>
      </c>
      <c r="B907" s="224" t="s">
        <v>7339</v>
      </c>
      <c r="C907" s="316">
        <v>2</v>
      </c>
      <c r="D907" s="224" t="s">
        <v>7342</v>
      </c>
      <c r="E907" s="224" t="s">
        <v>4</v>
      </c>
      <c r="F907" s="224" t="s">
        <v>602</v>
      </c>
      <c r="G907" s="224" t="s">
        <v>7343</v>
      </c>
      <c r="H907" s="224">
        <v>2</v>
      </c>
      <c r="I907" s="224" t="s">
        <v>1281</v>
      </c>
      <c r="J907" s="224" t="s">
        <v>7344</v>
      </c>
      <c r="K907" s="224">
        <v>2</v>
      </c>
      <c r="L907" s="224" t="s">
        <v>451</v>
      </c>
      <c r="M907" s="330">
        <v>8000000</v>
      </c>
      <c r="N907" s="224" t="s">
        <v>465</v>
      </c>
      <c r="O907" s="224" t="s">
        <v>11146</v>
      </c>
      <c r="P907" s="224"/>
      <c r="Q907" s="224" t="s">
        <v>24</v>
      </c>
      <c r="R907" s="224"/>
      <c r="S907" s="224" t="str">
        <f>IFERROR(VLOOKUP(B907,'2022-2023 Third Reviews'!$C:$S,9,FALSE),"")</f>
        <v/>
      </c>
      <c r="T907" s="224"/>
      <c r="U907" s="224"/>
      <c r="V907" s="224"/>
      <c r="W907" s="224"/>
      <c r="X907" s="224"/>
      <c r="Y907" s="224"/>
      <c r="Z907" s="224"/>
      <c r="AA907" s="224"/>
      <c r="AB907" s="224"/>
      <c r="AC907" s="224"/>
    </row>
    <row r="908" spans="1:29" ht="15.75" customHeight="1">
      <c r="A908" s="248">
        <v>44797</v>
      </c>
      <c r="B908" s="219" t="s">
        <v>7347</v>
      </c>
      <c r="C908" s="315">
        <v>2</v>
      </c>
      <c r="D908" s="219" t="s">
        <v>10211</v>
      </c>
      <c r="E908" s="219" t="s">
        <v>4</v>
      </c>
      <c r="F908" s="219" t="s">
        <v>725</v>
      </c>
      <c r="G908" s="219" t="s">
        <v>10212</v>
      </c>
      <c r="H908" s="219">
        <v>1</v>
      </c>
      <c r="I908" s="219" t="s">
        <v>1281</v>
      </c>
      <c r="J908" s="219" t="s">
        <v>7352</v>
      </c>
      <c r="K908" s="219">
        <v>3</v>
      </c>
      <c r="L908" s="219" t="s">
        <v>451</v>
      </c>
      <c r="M908" s="331">
        <v>3000000</v>
      </c>
      <c r="N908" s="219" t="s">
        <v>465</v>
      </c>
      <c r="O908" s="219" t="s">
        <v>7353</v>
      </c>
      <c r="P908" s="219"/>
      <c r="Q908" s="219" t="s">
        <v>24</v>
      </c>
      <c r="R908" s="219"/>
      <c r="S908" s="219" t="str">
        <f>IFERROR(VLOOKUP(B908,'2022-2023 Third Reviews'!$C:$S,9,FALSE),"")</f>
        <v/>
      </c>
      <c r="T908" s="219"/>
      <c r="U908" s="219"/>
      <c r="V908" s="219"/>
      <c r="W908" s="219"/>
      <c r="X908" s="219"/>
      <c r="Y908" s="219"/>
      <c r="Z908" s="219"/>
      <c r="AA908" s="219"/>
      <c r="AB908" s="219"/>
      <c r="AC908" s="219"/>
    </row>
    <row r="909" spans="1:29" ht="15.75" customHeight="1">
      <c r="A909" s="253">
        <v>44791</v>
      </c>
      <c r="B909" s="224" t="s">
        <v>7356</v>
      </c>
      <c r="C909" s="316">
        <v>2</v>
      </c>
      <c r="D909" s="224" t="s">
        <v>11059</v>
      </c>
      <c r="E909" s="224" t="s">
        <v>4</v>
      </c>
      <c r="F909" s="224" t="s">
        <v>602</v>
      </c>
      <c r="G909" s="224" t="s">
        <v>7360</v>
      </c>
      <c r="H909" s="224">
        <v>2</v>
      </c>
      <c r="I909" s="224" t="s">
        <v>476</v>
      </c>
      <c r="J909" s="224" t="s">
        <v>11701</v>
      </c>
      <c r="K909" s="224">
        <v>2</v>
      </c>
      <c r="L909" s="224" t="s">
        <v>973</v>
      </c>
      <c r="M909" s="327">
        <v>3000000</v>
      </c>
      <c r="N909" s="224" t="s">
        <v>454</v>
      </c>
      <c r="O909" s="224" t="s">
        <v>7362</v>
      </c>
      <c r="P909" s="224"/>
      <c r="Q909" s="322" t="s">
        <v>24</v>
      </c>
      <c r="R909" s="224"/>
      <c r="S909" s="224" t="str">
        <f>IFERROR(VLOOKUP(B909,'2022-2023 Third Reviews'!$C:$S,9,FALSE),"")</f>
        <v/>
      </c>
      <c r="T909" s="224" t="s">
        <v>13274</v>
      </c>
      <c r="U909" s="224"/>
      <c r="V909" s="224"/>
      <c r="W909" s="224"/>
      <c r="X909" s="224"/>
      <c r="Y909" s="224"/>
      <c r="Z909" s="224"/>
      <c r="AA909" s="224"/>
      <c r="AB909" s="224"/>
      <c r="AC909" s="224"/>
    </row>
    <row r="910" spans="1:29" ht="15.75" hidden="1" customHeight="1">
      <c r="A910" s="227">
        <v>44776</v>
      </c>
      <c r="B910" s="228" t="s">
        <v>2982</v>
      </c>
      <c r="C910" s="214">
        <v>1.25</v>
      </c>
      <c r="D910" s="228" t="s">
        <v>2985</v>
      </c>
      <c r="E910" s="215" t="s">
        <v>5</v>
      </c>
      <c r="F910" s="228" t="s">
        <v>447</v>
      </c>
      <c r="G910" s="228" t="s">
        <v>2986</v>
      </c>
      <c r="H910" s="228">
        <v>2.5</v>
      </c>
      <c r="I910" s="228" t="s">
        <v>622</v>
      </c>
      <c r="J910" s="228" t="s">
        <v>2987</v>
      </c>
      <c r="K910" s="228">
        <v>0</v>
      </c>
      <c r="L910" s="228"/>
      <c r="M910" s="228"/>
      <c r="N910" s="228" t="s">
        <v>454</v>
      </c>
      <c r="O910" s="228" t="s">
        <v>452</v>
      </c>
      <c r="P910" s="230"/>
      <c r="Q910" s="228" t="s">
        <v>24</v>
      </c>
      <c r="R910" s="231">
        <f t="array" ref="R910">INDEX(Notes!C:C,MATCH($B910,Notes!$A:$A,0))</f>
        <v>0</v>
      </c>
      <c r="S910" s="231"/>
      <c r="T910" s="231"/>
      <c r="U910" s="231"/>
      <c r="V910" s="228"/>
      <c r="W910" s="228"/>
      <c r="X910" s="228"/>
      <c r="Y910" s="219"/>
      <c r="Z910" s="219"/>
      <c r="AA910" s="219"/>
      <c r="AB910" s="219"/>
      <c r="AC910" s="219"/>
    </row>
    <row r="911" spans="1:29" ht="15.75" hidden="1" customHeight="1">
      <c r="A911" s="280">
        <v>44784</v>
      </c>
      <c r="B911" s="281" t="s">
        <v>103</v>
      </c>
      <c r="C911" s="282">
        <v>3.75</v>
      </c>
      <c r="D911" s="281" t="s">
        <v>756</v>
      </c>
      <c r="E911" s="281" t="s">
        <v>5</v>
      </c>
      <c r="F911" s="281" t="s">
        <v>447</v>
      </c>
      <c r="G911" s="281" t="s">
        <v>10750</v>
      </c>
      <c r="H911" s="281">
        <v>4</v>
      </c>
      <c r="I911" s="281" t="s">
        <v>543</v>
      </c>
      <c r="J911" s="281" t="s">
        <v>11569</v>
      </c>
      <c r="K911" s="281">
        <v>3.5</v>
      </c>
      <c r="L911" s="281"/>
      <c r="M911" s="281"/>
      <c r="N911" s="281" t="s">
        <v>452</v>
      </c>
      <c r="O911" s="281" t="s">
        <v>759</v>
      </c>
      <c r="P911" s="281"/>
      <c r="Q911" s="281" t="s">
        <v>18</v>
      </c>
      <c r="R911" s="283" t="s">
        <v>760</v>
      </c>
      <c r="S911" s="283"/>
      <c r="T911" s="283"/>
      <c r="U911" s="283"/>
      <c r="V911" s="281"/>
      <c r="W911" s="281"/>
      <c r="X911" s="281"/>
      <c r="Y911" s="281"/>
      <c r="Z911" s="281"/>
      <c r="AA911" s="258"/>
      <c r="AB911" s="258"/>
      <c r="AC911" s="258"/>
    </row>
    <row r="912" spans="1:29" ht="15.75" hidden="1" customHeight="1">
      <c r="A912" s="248">
        <v>44782</v>
      </c>
      <c r="B912" s="219" t="s">
        <v>8966</v>
      </c>
      <c r="C912" s="249">
        <v>1</v>
      </c>
      <c r="D912" s="219" t="s">
        <v>8969</v>
      </c>
      <c r="E912" s="250" t="s">
        <v>3</v>
      </c>
      <c r="F912" s="219" t="s">
        <v>460</v>
      </c>
      <c r="G912" s="219"/>
      <c r="H912" s="219">
        <v>1</v>
      </c>
      <c r="I912" s="219" t="s">
        <v>941</v>
      </c>
      <c r="J912" s="219"/>
      <c r="K912" s="219">
        <v>1</v>
      </c>
      <c r="L912" s="219"/>
      <c r="M912" s="219"/>
      <c r="N912" s="219" t="s">
        <v>452</v>
      </c>
      <c r="O912" s="219" t="s">
        <v>452</v>
      </c>
      <c r="P912" s="219"/>
      <c r="Q912" s="219" t="s">
        <v>24</v>
      </c>
      <c r="R912" s="251"/>
      <c r="S912" s="251"/>
      <c r="T912" s="251"/>
      <c r="U912" s="251"/>
      <c r="V912" s="252"/>
      <c r="W912" s="252"/>
      <c r="X912" s="252"/>
      <c r="Y912" s="219"/>
      <c r="Z912" s="219"/>
      <c r="AA912" s="219"/>
      <c r="AB912" s="219"/>
      <c r="AC912" s="219"/>
    </row>
    <row r="913" spans="1:29" ht="15.75" hidden="1" customHeight="1">
      <c r="A913" s="301">
        <v>44789</v>
      </c>
      <c r="B913" s="303" t="s">
        <v>8972</v>
      </c>
      <c r="C913" s="269"/>
      <c r="D913" s="303" t="s">
        <v>8975</v>
      </c>
      <c r="E913" s="270" t="s">
        <v>3</v>
      </c>
      <c r="F913" s="303" t="s">
        <v>460</v>
      </c>
      <c r="G913" s="303"/>
      <c r="H913" s="303"/>
      <c r="I913" s="303" t="s">
        <v>488</v>
      </c>
      <c r="J913" s="303"/>
      <c r="K913" s="303"/>
      <c r="L913" s="303" t="s">
        <v>451</v>
      </c>
      <c r="M913" s="303">
        <v>5000000</v>
      </c>
      <c r="N913" s="303" t="s">
        <v>452</v>
      </c>
      <c r="O913" s="303" t="s">
        <v>8978</v>
      </c>
      <c r="P913" s="303"/>
      <c r="Q913" s="303"/>
      <c r="R913" s="305"/>
      <c r="S913" s="305"/>
      <c r="T913" s="305"/>
      <c r="U913" s="305"/>
      <c r="V913" s="303"/>
      <c r="W913" s="303"/>
      <c r="X913" s="303"/>
      <c r="Y913" s="303"/>
      <c r="Z913" s="303"/>
      <c r="AA913" s="306"/>
      <c r="AB913" s="306"/>
      <c r="AC913" s="306"/>
    </row>
    <row r="914" spans="1:29" ht="15.75" hidden="1" customHeight="1">
      <c r="A914" s="541">
        <v>44791</v>
      </c>
      <c r="B914" s="306" t="s">
        <v>8972</v>
      </c>
      <c r="C914" s="542"/>
      <c r="D914" s="306" t="s">
        <v>8975</v>
      </c>
      <c r="E914" s="306" t="s">
        <v>3</v>
      </c>
      <c r="F914" s="306" t="s">
        <v>460</v>
      </c>
      <c r="G914" s="306"/>
      <c r="H914" s="306"/>
      <c r="I914" s="306" t="s">
        <v>488</v>
      </c>
      <c r="J914" s="306" t="s">
        <v>8977</v>
      </c>
      <c r="K914" s="306">
        <v>3.5</v>
      </c>
      <c r="L914" s="306" t="s">
        <v>451</v>
      </c>
      <c r="M914" s="306">
        <v>5000000</v>
      </c>
      <c r="N914" s="306" t="s">
        <v>452</v>
      </c>
      <c r="O914" s="306" t="s">
        <v>8978</v>
      </c>
      <c r="P914" s="306"/>
      <c r="Q914" s="306"/>
      <c r="R914" s="543"/>
      <c r="S914" s="543"/>
      <c r="T914" s="543"/>
      <c r="U914" s="543"/>
      <c r="V914" s="306"/>
      <c r="W914" s="306"/>
      <c r="X914" s="306"/>
      <c r="Y914" s="306"/>
      <c r="Z914" s="306"/>
      <c r="AA914" s="306"/>
      <c r="AB914" s="306"/>
      <c r="AC914" s="306"/>
    </row>
    <row r="915" spans="1:29" ht="15.75" hidden="1" customHeight="1">
      <c r="A915" s="253">
        <v>44791</v>
      </c>
      <c r="B915" s="224" t="s">
        <v>8972</v>
      </c>
      <c r="C915" s="316">
        <v>3.25</v>
      </c>
      <c r="D915" s="224" t="s">
        <v>8975</v>
      </c>
      <c r="E915" s="224" t="s">
        <v>3</v>
      </c>
      <c r="F915" s="224" t="s">
        <v>460</v>
      </c>
      <c r="G915" s="224" t="s">
        <v>8976</v>
      </c>
      <c r="H915" s="224">
        <v>3</v>
      </c>
      <c r="I915" s="224" t="s">
        <v>488</v>
      </c>
      <c r="J915" s="224" t="s">
        <v>8977</v>
      </c>
      <c r="K915" s="224">
        <v>3.5</v>
      </c>
      <c r="L915" s="224" t="s">
        <v>451</v>
      </c>
      <c r="M915" s="224">
        <v>5000000</v>
      </c>
      <c r="N915" s="224" t="s">
        <v>452</v>
      </c>
      <c r="O915" s="224" t="s">
        <v>8978</v>
      </c>
      <c r="P915" s="224"/>
      <c r="Q915" s="322" t="s">
        <v>24</v>
      </c>
      <c r="R915" s="254"/>
      <c r="S915" s="254"/>
      <c r="T915" s="254"/>
      <c r="U915" s="254"/>
      <c r="V915" s="224"/>
      <c r="W915" s="224"/>
      <c r="X915" s="224"/>
      <c r="Y915" s="224"/>
      <c r="Z915" s="224"/>
      <c r="AA915" s="224"/>
      <c r="AB915" s="224"/>
      <c r="AC915" s="224"/>
    </row>
    <row r="916" spans="1:29" ht="15.75" customHeight="1">
      <c r="A916" s="248">
        <v>44789</v>
      </c>
      <c r="B916" s="219" t="s">
        <v>7365</v>
      </c>
      <c r="C916" s="249">
        <v>2</v>
      </c>
      <c r="D916" s="219" t="s">
        <v>7368</v>
      </c>
      <c r="E916" s="250" t="s">
        <v>4</v>
      </c>
      <c r="F916" s="219" t="s">
        <v>602</v>
      </c>
      <c r="G916" s="219" t="s">
        <v>7369</v>
      </c>
      <c r="H916" s="219">
        <v>2</v>
      </c>
      <c r="I916" s="219" t="s">
        <v>1045</v>
      </c>
      <c r="J916" s="219" t="s">
        <v>7370</v>
      </c>
      <c r="K916" s="219">
        <v>2</v>
      </c>
      <c r="L916" s="219" t="s">
        <v>3138</v>
      </c>
      <c r="M916" s="219" t="s">
        <v>2240</v>
      </c>
      <c r="N916" s="219" t="s">
        <v>452</v>
      </c>
      <c r="O916" s="219" t="s">
        <v>7371</v>
      </c>
      <c r="P916" s="219"/>
      <c r="Q916" s="219" t="s">
        <v>24</v>
      </c>
      <c r="R916" s="219"/>
      <c r="S916" s="219" t="str">
        <f>IFERROR(VLOOKUP(B916,'2022-2023 Third Reviews'!$C:$S,9,FALSE),"")</f>
        <v/>
      </c>
      <c r="T916" s="219"/>
      <c r="U916" s="219"/>
      <c r="V916" s="268"/>
      <c r="W916" s="268"/>
      <c r="X916" s="268"/>
      <c r="Y916" s="268"/>
      <c r="Z916" s="268"/>
      <c r="AA916" s="219"/>
      <c r="AB916" s="219"/>
      <c r="AC916" s="219"/>
    </row>
    <row r="917" spans="1:29" ht="15.75" hidden="1" customHeight="1">
      <c r="A917" s="257">
        <v>44796</v>
      </c>
      <c r="B917" s="258" t="s">
        <v>104</v>
      </c>
      <c r="C917" s="263">
        <v>4.5</v>
      </c>
      <c r="D917" s="258"/>
      <c r="E917" s="258" t="s">
        <v>5</v>
      </c>
      <c r="F917" s="258" t="s">
        <v>447</v>
      </c>
      <c r="G917" s="258" t="s">
        <v>11297</v>
      </c>
      <c r="H917" s="258">
        <v>4.5</v>
      </c>
      <c r="I917" s="258" t="s">
        <v>449</v>
      </c>
      <c r="J917" s="258" t="s">
        <v>11298</v>
      </c>
      <c r="K917" s="258">
        <v>4.5</v>
      </c>
      <c r="L917" s="258" t="s">
        <v>768</v>
      </c>
      <c r="M917" s="328">
        <v>48500000</v>
      </c>
      <c r="N917" s="258" t="s">
        <v>452</v>
      </c>
      <c r="O917" s="258" t="s">
        <v>452</v>
      </c>
      <c r="P917" s="258"/>
      <c r="Q917" s="258" t="s">
        <v>18</v>
      </c>
      <c r="R917" s="259"/>
      <c r="S917" s="259"/>
      <c r="T917" s="259"/>
      <c r="U917" s="259"/>
      <c r="V917" s="258"/>
      <c r="W917" s="258"/>
      <c r="X917" s="258"/>
      <c r="Y917" s="258"/>
      <c r="Z917" s="258"/>
      <c r="AA917" s="258"/>
      <c r="AB917" s="258"/>
      <c r="AC917" s="258"/>
    </row>
    <row r="918" spans="1:29" ht="15.75" customHeight="1">
      <c r="A918" s="398">
        <v>44784</v>
      </c>
      <c r="B918" s="268" t="s">
        <v>7373</v>
      </c>
      <c r="C918" s="269">
        <v>2</v>
      </c>
      <c r="D918" s="268" t="s">
        <v>11483</v>
      </c>
      <c r="E918" s="270" t="s">
        <v>4</v>
      </c>
      <c r="F918" s="268" t="s">
        <v>602</v>
      </c>
      <c r="G918" s="268" t="s">
        <v>11484</v>
      </c>
      <c r="H918" s="268">
        <v>2</v>
      </c>
      <c r="I918" s="268" t="s">
        <v>1054</v>
      </c>
      <c r="J918" s="268" t="s">
        <v>7377</v>
      </c>
      <c r="K918" s="268">
        <v>2</v>
      </c>
      <c r="L918" s="268" t="s">
        <v>6371</v>
      </c>
      <c r="M918" s="285">
        <v>3500000</v>
      </c>
      <c r="N918" s="268" t="s">
        <v>454</v>
      </c>
      <c r="O918" s="285" t="s">
        <v>452</v>
      </c>
      <c r="P918" s="268"/>
      <c r="Q918" s="268" t="s">
        <v>24</v>
      </c>
      <c r="R918" s="268"/>
      <c r="S918" s="268" t="str">
        <f>IFERROR(VLOOKUP(B918,'2022-2023 Third Reviews'!$C:$S,9,FALSE),"")</f>
        <v/>
      </c>
      <c r="T918" s="268"/>
      <c r="U918" s="268"/>
      <c r="V918" s="306"/>
      <c r="W918" s="306"/>
      <c r="X918" s="306"/>
      <c r="Y918" s="306"/>
      <c r="Z918" s="306"/>
      <c r="AA918" s="306"/>
      <c r="AB918" s="306"/>
      <c r="AC918" s="306"/>
    </row>
    <row r="919" spans="1:29" ht="15.75" customHeight="1">
      <c r="A919" s="253">
        <v>44791</v>
      </c>
      <c r="B919" s="224" t="s">
        <v>7380</v>
      </c>
      <c r="C919" s="316">
        <v>2</v>
      </c>
      <c r="D919" s="224" t="s">
        <v>7383</v>
      </c>
      <c r="E919" s="224" t="s">
        <v>4</v>
      </c>
      <c r="F919" s="224" t="s">
        <v>602</v>
      </c>
      <c r="G919" s="224" t="s">
        <v>7384</v>
      </c>
      <c r="H919" s="224">
        <v>2</v>
      </c>
      <c r="I919" s="224" t="s">
        <v>1298</v>
      </c>
      <c r="J919" s="224" t="s">
        <v>7385</v>
      </c>
      <c r="K919" s="224">
        <v>2</v>
      </c>
      <c r="L919" s="224" t="s">
        <v>784</v>
      </c>
      <c r="M919" s="311">
        <v>1000000</v>
      </c>
      <c r="N919" s="224" t="s">
        <v>452</v>
      </c>
      <c r="O919" s="224" t="s">
        <v>7386</v>
      </c>
      <c r="P919" s="224"/>
      <c r="Q919" s="322" t="s">
        <v>24</v>
      </c>
      <c r="R919" s="224"/>
      <c r="S919" s="224" t="str">
        <f>IFERROR(VLOOKUP(B919,'2022-2023 Third Reviews'!$C:$S,9,FALSE),"")</f>
        <v/>
      </c>
      <c r="T919" s="224"/>
      <c r="U919" s="224"/>
      <c r="V919" s="224"/>
      <c r="W919" s="224"/>
      <c r="X919" s="224"/>
      <c r="Y919" s="224"/>
      <c r="Z919" s="224"/>
      <c r="AA919" s="224"/>
      <c r="AB919" s="224"/>
      <c r="AC919" s="224"/>
    </row>
    <row r="920" spans="1:29" ht="15.75" hidden="1" customHeight="1">
      <c r="A920" s="248">
        <v>44789</v>
      </c>
      <c r="B920" s="219" t="s">
        <v>2990</v>
      </c>
      <c r="C920" s="249">
        <v>3.25</v>
      </c>
      <c r="D920" s="219" t="s">
        <v>2993</v>
      </c>
      <c r="E920" s="250" t="s">
        <v>5</v>
      </c>
      <c r="F920" s="219" t="s">
        <v>447</v>
      </c>
      <c r="G920" s="219" t="s">
        <v>10795</v>
      </c>
      <c r="H920" s="219">
        <v>3</v>
      </c>
      <c r="I920" s="219" t="s">
        <v>449</v>
      </c>
      <c r="J920" s="219" t="e">
        <f>+Large well developed Team
+developed product
+already selling some gloves
-potential market not very Large</f>
        <v>#NAME?</v>
      </c>
      <c r="K920" s="219">
        <v>3.5</v>
      </c>
      <c r="L920" s="219" t="s">
        <v>2996</v>
      </c>
      <c r="M920" s="219" t="s">
        <v>2997</v>
      </c>
      <c r="N920" s="219" t="s">
        <v>452</v>
      </c>
      <c r="O920" s="219" t="s">
        <v>2998</v>
      </c>
      <c r="P920" s="219"/>
      <c r="Q920" s="219" t="s">
        <v>24</v>
      </c>
      <c r="R920" s="251"/>
      <c r="S920" s="251"/>
      <c r="T920" s="251"/>
      <c r="U920" s="251"/>
      <c r="V920" s="252"/>
      <c r="W920" s="252"/>
      <c r="X920" s="252"/>
      <c r="Y920" s="219"/>
      <c r="Z920" s="219"/>
      <c r="AA920" s="219"/>
      <c r="AB920" s="219"/>
      <c r="AC920" s="219"/>
    </row>
    <row r="921" spans="1:29" ht="15.75" hidden="1" customHeight="1">
      <c r="A921" s="253">
        <v>44789</v>
      </c>
      <c r="B921" s="224" t="s">
        <v>3001</v>
      </c>
      <c r="C921" s="249">
        <v>3</v>
      </c>
      <c r="D921" s="224" t="s">
        <v>3004</v>
      </c>
      <c r="E921" s="250" t="s">
        <v>5</v>
      </c>
      <c r="F921" s="224" t="s">
        <v>447</v>
      </c>
      <c r="G921" s="224" t="s">
        <v>11210</v>
      </c>
      <c r="H921" s="224">
        <v>3</v>
      </c>
      <c r="I921" s="224" t="s">
        <v>543</v>
      </c>
      <c r="J921" s="224" t="s">
        <v>13400</v>
      </c>
      <c r="K921" s="224">
        <v>3</v>
      </c>
      <c r="L921" s="224" t="s">
        <v>784</v>
      </c>
      <c r="M921" s="307">
        <v>2000000</v>
      </c>
      <c r="N921" s="224" t="s">
        <v>452</v>
      </c>
      <c r="O921" s="224" t="s">
        <v>3007</v>
      </c>
      <c r="P921" s="224" t="s">
        <v>3008</v>
      </c>
      <c r="Q921" s="224" t="s">
        <v>24</v>
      </c>
      <c r="R921" s="254"/>
      <c r="S921" s="254"/>
      <c r="T921" s="254"/>
      <c r="U921" s="254"/>
      <c r="V921" s="252"/>
      <c r="W921" s="252"/>
      <c r="X921" s="252"/>
      <c r="Y921" s="224"/>
      <c r="Z921" s="224"/>
      <c r="AA921" s="224"/>
      <c r="AB921" s="224"/>
      <c r="AC921" s="224"/>
    </row>
    <row r="922" spans="1:29" ht="15.75" customHeight="1">
      <c r="A922" s="248">
        <v>44796</v>
      </c>
      <c r="B922" s="219" t="s">
        <v>7389</v>
      </c>
      <c r="C922" s="315">
        <v>2</v>
      </c>
      <c r="D922" s="219" t="s">
        <v>7392</v>
      </c>
      <c r="E922" s="219" t="s">
        <v>4</v>
      </c>
      <c r="F922" s="219" t="s">
        <v>1045</v>
      </c>
      <c r="G922" s="219" t="s">
        <v>7393</v>
      </c>
      <c r="H922" s="219">
        <v>2</v>
      </c>
      <c r="I922" s="219" t="s">
        <v>1298</v>
      </c>
      <c r="J922" s="219" t="s">
        <v>7394</v>
      </c>
      <c r="K922" s="219">
        <v>2</v>
      </c>
      <c r="L922" s="219" t="s">
        <v>784</v>
      </c>
      <c r="M922" s="331">
        <v>250000</v>
      </c>
      <c r="N922" s="219" t="s">
        <v>465</v>
      </c>
      <c r="O922" s="219" t="s">
        <v>452</v>
      </c>
      <c r="P922" s="219"/>
      <c r="Q922" s="219" t="s">
        <v>24</v>
      </c>
      <c r="R922" s="219"/>
      <c r="S922" s="219" t="str">
        <f>IFERROR(VLOOKUP(B922,'2022-2023 Third Reviews'!$C:$S,9,FALSE),"")</f>
        <v/>
      </c>
      <c r="T922" s="219"/>
      <c r="U922" s="219"/>
      <c r="V922" s="403"/>
      <c r="W922" s="403"/>
      <c r="X922" s="403"/>
      <c r="Y922" s="403"/>
      <c r="Z922" s="403"/>
      <c r="AA922" s="403"/>
      <c r="AB922" s="403"/>
      <c r="AC922" s="403"/>
    </row>
    <row r="923" spans="1:29" ht="15.75" hidden="1" customHeight="1">
      <c r="A923" s="253">
        <v>44791</v>
      </c>
      <c r="B923" s="224" t="s">
        <v>8981</v>
      </c>
      <c r="C923" s="316">
        <v>1</v>
      </c>
      <c r="D923" s="224" t="s">
        <v>8984</v>
      </c>
      <c r="E923" s="224" t="s">
        <v>3</v>
      </c>
      <c r="F923" s="224" t="s">
        <v>488</v>
      </c>
      <c r="G923" s="224"/>
      <c r="H923" s="224">
        <v>1</v>
      </c>
      <c r="I923" s="224" t="s">
        <v>941</v>
      </c>
      <c r="J923" s="224" t="s">
        <v>8985</v>
      </c>
      <c r="K923" s="224">
        <v>1</v>
      </c>
      <c r="L923" s="224" t="s">
        <v>451</v>
      </c>
      <c r="M923" s="307">
        <v>500</v>
      </c>
      <c r="N923" s="224" t="s">
        <v>452</v>
      </c>
      <c r="O923" s="224" t="s">
        <v>3420</v>
      </c>
      <c r="P923" s="224"/>
      <c r="Q923" s="322" t="s">
        <v>24</v>
      </c>
      <c r="R923" s="254"/>
      <c r="S923" s="254"/>
      <c r="T923" s="254"/>
      <c r="U923" s="254"/>
      <c r="V923" s="224"/>
      <c r="W923" s="224"/>
      <c r="X923" s="224"/>
      <c r="Y923" s="224"/>
      <c r="Z923" s="224"/>
      <c r="AA923" s="224"/>
      <c r="AB923" s="224"/>
      <c r="AC923" s="224"/>
    </row>
    <row r="924" spans="1:29" ht="15.75" hidden="1" customHeight="1">
      <c r="A924" s="541">
        <v>44791</v>
      </c>
      <c r="B924" s="306" t="s">
        <v>8988</v>
      </c>
      <c r="C924" s="542"/>
      <c r="D924" s="306"/>
      <c r="E924" s="306" t="s">
        <v>3</v>
      </c>
      <c r="F924" s="306" t="s">
        <v>488</v>
      </c>
      <c r="G924" s="306"/>
      <c r="H924" s="306"/>
      <c r="I924" s="306" t="s">
        <v>941</v>
      </c>
      <c r="J924" s="306"/>
      <c r="K924" s="306"/>
      <c r="L924" s="306" t="s">
        <v>8993</v>
      </c>
      <c r="M924" s="306">
        <v>150000</v>
      </c>
      <c r="N924" s="306" t="s">
        <v>452</v>
      </c>
      <c r="O924" s="306" t="s">
        <v>8994</v>
      </c>
      <c r="P924" s="306"/>
      <c r="Q924" s="306"/>
      <c r="R924" s="543"/>
      <c r="S924" s="543"/>
      <c r="T924" s="543"/>
      <c r="U924" s="543"/>
      <c r="V924" s="306"/>
      <c r="W924" s="306"/>
      <c r="X924" s="306"/>
      <c r="Y924" s="306"/>
      <c r="Z924" s="306"/>
      <c r="AA924" s="306"/>
      <c r="AB924" s="306"/>
      <c r="AC924" s="306"/>
    </row>
    <row r="925" spans="1:29" ht="15.75" hidden="1" customHeight="1">
      <c r="A925" s="541">
        <v>44796</v>
      </c>
      <c r="B925" s="306" t="s">
        <v>8988</v>
      </c>
      <c r="C925" s="542"/>
      <c r="D925" s="306"/>
      <c r="E925" s="306" t="s">
        <v>3</v>
      </c>
      <c r="F925" s="306" t="s">
        <v>488</v>
      </c>
      <c r="G925" s="306" t="s">
        <v>8991</v>
      </c>
      <c r="H925" s="306">
        <v>2.5</v>
      </c>
      <c r="I925" s="306" t="s">
        <v>941</v>
      </c>
      <c r="J925" s="306"/>
      <c r="K925" s="306"/>
      <c r="L925" s="306" t="s">
        <v>8993</v>
      </c>
      <c r="M925" s="306">
        <v>150000</v>
      </c>
      <c r="N925" s="306" t="s">
        <v>452</v>
      </c>
      <c r="O925" s="306" t="s">
        <v>8994</v>
      </c>
      <c r="P925" s="306"/>
      <c r="Q925" s="306"/>
      <c r="R925" s="543"/>
      <c r="S925" s="543"/>
      <c r="T925" s="543"/>
      <c r="U925" s="543"/>
      <c r="V925" s="224"/>
      <c r="W925" s="224"/>
      <c r="X925" s="224"/>
      <c r="Y925" s="224"/>
      <c r="Z925" s="224"/>
      <c r="AA925" s="224"/>
      <c r="AB925" s="224"/>
      <c r="AC925" s="224"/>
    </row>
    <row r="926" spans="1:29" ht="15.75" hidden="1" customHeight="1">
      <c r="A926" s="248">
        <v>44796</v>
      </c>
      <c r="B926" s="219" t="s">
        <v>8988</v>
      </c>
      <c r="C926" s="315">
        <v>2.25</v>
      </c>
      <c r="D926" s="219"/>
      <c r="E926" s="219" t="s">
        <v>3</v>
      </c>
      <c r="F926" s="219" t="s">
        <v>488</v>
      </c>
      <c r="G926" s="219" t="s">
        <v>8991</v>
      </c>
      <c r="H926" s="219">
        <v>2.5</v>
      </c>
      <c r="I926" s="219" t="s">
        <v>941</v>
      </c>
      <c r="J926" s="219" t="s">
        <v>8992</v>
      </c>
      <c r="K926" s="219">
        <v>2</v>
      </c>
      <c r="L926" s="219" t="s">
        <v>8993</v>
      </c>
      <c r="M926" s="219">
        <v>150000</v>
      </c>
      <c r="N926" s="219" t="s">
        <v>452</v>
      </c>
      <c r="O926" s="219" t="s">
        <v>8994</v>
      </c>
      <c r="P926" s="219"/>
      <c r="Q926" s="219" t="s">
        <v>24</v>
      </c>
      <c r="R926" s="251"/>
      <c r="S926" s="251"/>
      <c r="T926" s="251"/>
      <c r="U926" s="251"/>
      <c r="V926" s="219"/>
      <c r="W926" s="219"/>
      <c r="X926" s="219"/>
      <c r="Y926" s="219"/>
      <c r="Z926" s="219"/>
      <c r="AA926" s="219"/>
      <c r="AB926" s="219"/>
      <c r="AC926" s="219"/>
    </row>
    <row r="927" spans="1:29" ht="15.75" hidden="1" customHeight="1">
      <c r="A927" s="541">
        <v>44796</v>
      </c>
      <c r="B927" s="306" t="s">
        <v>8997</v>
      </c>
      <c r="C927" s="542"/>
      <c r="D927" s="306" t="s">
        <v>9000</v>
      </c>
      <c r="E927" s="306" t="s">
        <v>3</v>
      </c>
      <c r="F927" s="306" t="s">
        <v>460</v>
      </c>
      <c r="G927" s="306"/>
      <c r="H927" s="306"/>
      <c r="I927" s="306" t="s">
        <v>462</v>
      </c>
      <c r="J927" s="306"/>
      <c r="K927" s="306"/>
      <c r="L927" s="306"/>
      <c r="M927" s="306"/>
      <c r="N927" s="306" t="s">
        <v>452</v>
      </c>
      <c r="O927" s="306" t="s">
        <v>9003</v>
      </c>
      <c r="P927" s="306" t="s">
        <v>9004</v>
      </c>
      <c r="Q927" s="306"/>
      <c r="R927" s="543"/>
      <c r="S927" s="543"/>
      <c r="T927" s="543"/>
      <c r="U927" s="543"/>
      <c r="V927" s="224"/>
      <c r="W927" s="224"/>
      <c r="X927" s="224"/>
      <c r="Y927" s="224"/>
      <c r="Z927" s="224"/>
      <c r="AA927" s="224"/>
      <c r="AB927" s="224"/>
      <c r="AC927" s="224"/>
    </row>
    <row r="928" spans="1:29" ht="15.75" hidden="1" customHeight="1">
      <c r="A928" s="248">
        <v>44796</v>
      </c>
      <c r="B928" s="219" t="s">
        <v>8997</v>
      </c>
      <c r="C928" s="315">
        <v>1.25</v>
      </c>
      <c r="D928" s="219" t="s">
        <v>9000</v>
      </c>
      <c r="E928" s="219" t="s">
        <v>3</v>
      </c>
      <c r="F928" s="219" t="s">
        <v>460</v>
      </c>
      <c r="G928" s="219" t="s">
        <v>9001</v>
      </c>
      <c r="H928" s="219">
        <v>1.5</v>
      </c>
      <c r="I928" s="219" t="s">
        <v>462</v>
      </c>
      <c r="J928" s="219" t="s">
        <v>9002</v>
      </c>
      <c r="K928" s="219">
        <v>1</v>
      </c>
      <c r="L928" s="219"/>
      <c r="M928" s="219"/>
      <c r="N928" s="219" t="s">
        <v>452</v>
      </c>
      <c r="O928" s="219" t="s">
        <v>9003</v>
      </c>
      <c r="P928" s="219" t="s">
        <v>9004</v>
      </c>
      <c r="Q928" s="219" t="s">
        <v>24</v>
      </c>
      <c r="R928" s="251"/>
      <c r="S928" s="251"/>
      <c r="T928" s="251"/>
      <c r="U928" s="251"/>
      <c r="V928" s="219"/>
      <c r="W928" s="219"/>
      <c r="X928" s="219"/>
      <c r="Y928" s="219"/>
      <c r="Z928" s="219"/>
      <c r="AA928" s="219"/>
      <c r="AB928" s="219"/>
      <c r="AC928" s="219"/>
    </row>
    <row r="929" spans="1:29" ht="15.75" hidden="1" customHeight="1">
      <c r="A929" s="541">
        <v>44796</v>
      </c>
      <c r="B929" s="306" t="s">
        <v>3011</v>
      </c>
      <c r="C929" s="542"/>
      <c r="D929" s="306" t="s">
        <v>3014</v>
      </c>
      <c r="E929" s="306" t="s">
        <v>5</v>
      </c>
      <c r="F929" s="306" t="s">
        <v>447</v>
      </c>
      <c r="G929" s="306" t="s">
        <v>11105</v>
      </c>
      <c r="H929" s="306">
        <v>3</v>
      </c>
      <c r="I929" s="306" t="s">
        <v>622</v>
      </c>
      <c r="J929" s="306"/>
      <c r="K929" s="306"/>
      <c r="L929" s="306"/>
      <c r="M929" s="544"/>
      <c r="N929" s="306" t="s">
        <v>452</v>
      </c>
      <c r="O929" s="306" t="s">
        <v>452</v>
      </c>
      <c r="P929" s="306"/>
      <c r="Q929" s="306"/>
      <c r="R929" s="543"/>
      <c r="S929" s="543"/>
      <c r="T929" s="543"/>
      <c r="U929" s="543"/>
      <c r="V929" s="224"/>
      <c r="W929" s="224"/>
      <c r="X929" s="224"/>
      <c r="Y929" s="224"/>
      <c r="Z929" s="224"/>
      <c r="AA929" s="224"/>
      <c r="AB929" s="224"/>
      <c r="AC929" s="224"/>
    </row>
    <row r="930" spans="1:29" ht="15.75" hidden="1" customHeight="1">
      <c r="A930" s="248">
        <v>44796</v>
      </c>
      <c r="B930" s="219" t="s">
        <v>3011</v>
      </c>
      <c r="C930" s="315">
        <v>3.25</v>
      </c>
      <c r="D930" s="219" t="s">
        <v>3014</v>
      </c>
      <c r="E930" s="219" t="s">
        <v>5</v>
      </c>
      <c r="F930" s="219" t="s">
        <v>447</v>
      </c>
      <c r="G930" s="219" t="s">
        <v>11105</v>
      </c>
      <c r="H930" s="219">
        <v>3</v>
      </c>
      <c r="I930" s="219" t="s">
        <v>622</v>
      </c>
      <c r="J930" s="219" t="e">
        <f>+ apply next time, Could be a good fit</f>
        <v>#NAME?</v>
      </c>
      <c r="K930" s="219">
        <v>3.5</v>
      </c>
      <c r="L930" s="219"/>
      <c r="M930" s="219"/>
      <c r="N930" s="219" t="s">
        <v>452</v>
      </c>
      <c r="O930" s="219" t="s">
        <v>452</v>
      </c>
      <c r="P930" s="219"/>
      <c r="Q930" s="219" t="s">
        <v>24</v>
      </c>
      <c r="R930" s="251"/>
      <c r="S930" s="251"/>
      <c r="T930" s="251"/>
      <c r="U930" s="251"/>
      <c r="V930" s="219"/>
      <c r="W930" s="219"/>
      <c r="X930" s="219"/>
      <c r="Y930" s="219"/>
      <c r="Z930" s="219"/>
      <c r="AA930" s="219"/>
      <c r="AB930" s="219"/>
      <c r="AC930" s="219"/>
    </row>
    <row r="931" spans="1:29" ht="15.75" customHeight="1">
      <c r="A931" s="253">
        <v>44796</v>
      </c>
      <c r="B931" s="224" t="s">
        <v>7397</v>
      </c>
      <c r="C931" s="316">
        <v>2</v>
      </c>
      <c r="D931" s="224" t="s">
        <v>7400</v>
      </c>
      <c r="E931" s="224" t="s">
        <v>4</v>
      </c>
      <c r="F931" s="224" t="s">
        <v>727</v>
      </c>
      <c r="G931" s="224" t="s">
        <v>11300</v>
      </c>
      <c r="H931" s="224">
        <v>2</v>
      </c>
      <c r="I931" s="224" t="s">
        <v>1054</v>
      </c>
      <c r="J931" s="224" t="s">
        <v>7402</v>
      </c>
      <c r="K931" s="224">
        <v>2</v>
      </c>
      <c r="L931" s="224" t="s">
        <v>451</v>
      </c>
      <c r="M931" s="311">
        <v>200000</v>
      </c>
      <c r="N931" s="224" t="s">
        <v>452</v>
      </c>
      <c r="O931" s="224" t="s">
        <v>7403</v>
      </c>
      <c r="P931" s="224"/>
      <c r="Q931" s="224" t="s">
        <v>24</v>
      </c>
      <c r="R931" s="224"/>
      <c r="S931" s="224" t="str">
        <f ca="1">IFERROR(VLOOKUP(B931,'2022-2023 Third Reviews'!$C:$S,9,FALSE),"")</f>
        <v>Ahmed Bahgat
1</v>
      </c>
      <c r="T931" s="224"/>
      <c r="U931" s="224"/>
      <c r="V931" s="224"/>
      <c r="W931" s="224"/>
      <c r="X931" s="224"/>
      <c r="Y931" s="224"/>
      <c r="Z931" s="224"/>
      <c r="AA931" s="224"/>
      <c r="AB931" s="224"/>
      <c r="AC931" s="224"/>
    </row>
    <row r="932" spans="1:29" ht="15.75" customHeight="1">
      <c r="A932" s="398">
        <v>44784</v>
      </c>
      <c r="B932" s="268" t="s">
        <v>7406</v>
      </c>
      <c r="C932" s="269">
        <v>2</v>
      </c>
      <c r="D932" s="268" t="s">
        <v>7409</v>
      </c>
      <c r="E932" s="270" t="s">
        <v>4</v>
      </c>
      <c r="F932" s="268" t="s">
        <v>602</v>
      </c>
      <c r="G932" s="268" t="s">
        <v>7410</v>
      </c>
      <c r="H932" s="268">
        <v>2</v>
      </c>
      <c r="I932" s="268" t="s">
        <v>1054</v>
      </c>
      <c r="J932" s="268" t="s">
        <v>7411</v>
      </c>
      <c r="K932" s="268">
        <v>2</v>
      </c>
      <c r="L932" s="268" t="s">
        <v>451</v>
      </c>
      <c r="M932" s="285">
        <v>500000</v>
      </c>
      <c r="N932" s="268" t="s">
        <v>452</v>
      </c>
      <c r="O932" s="285" t="s">
        <v>7412</v>
      </c>
      <c r="P932" s="268"/>
      <c r="Q932" s="268" t="s">
        <v>24</v>
      </c>
      <c r="R932" s="268"/>
      <c r="S932" s="268" t="str">
        <f ca="1">IFERROR(VLOOKUP(B932,'2022-2023 Third Reviews'!$C:$S,9,FALSE),"")</f>
        <v>Ahmed Bahgat
5</v>
      </c>
      <c r="T932" s="268"/>
      <c r="U932" s="268"/>
      <c r="V932" s="219"/>
      <c r="W932" s="219"/>
      <c r="X932" s="219"/>
      <c r="Y932" s="219"/>
      <c r="Z932" s="219"/>
      <c r="AA932" s="219"/>
      <c r="AB932" s="219"/>
      <c r="AC932" s="219"/>
    </row>
    <row r="933" spans="1:29" ht="15.75" customHeight="1">
      <c r="A933" s="253">
        <v>44791</v>
      </c>
      <c r="B933" s="224" t="s">
        <v>7415</v>
      </c>
      <c r="C933" s="316">
        <v>2</v>
      </c>
      <c r="D933" s="224" t="s">
        <v>7418</v>
      </c>
      <c r="E933" s="224" t="s">
        <v>4</v>
      </c>
      <c r="F933" s="224" t="s">
        <v>725</v>
      </c>
      <c r="G933" s="224" t="s">
        <v>7419</v>
      </c>
      <c r="H933" s="224">
        <v>2</v>
      </c>
      <c r="I933" s="224" t="s">
        <v>1045</v>
      </c>
      <c r="J933" s="224" t="s">
        <v>7420</v>
      </c>
      <c r="K933" s="224">
        <v>2</v>
      </c>
      <c r="L933" s="224" t="s">
        <v>478</v>
      </c>
      <c r="M933" s="307">
        <v>10000000</v>
      </c>
      <c r="N933" s="224" t="s">
        <v>452</v>
      </c>
      <c r="O933" s="224" t="s">
        <v>10351</v>
      </c>
      <c r="P933" s="224" t="s">
        <v>7422</v>
      </c>
      <c r="Q933" s="322" t="s">
        <v>24</v>
      </c>
      <c r="R933" s="224"/>
      <c r="S933" s="224" t="str">
        <f>IFERROR(VLOOKUP(B933,'2022-2023 Third Reviews'!$C:$S,9,FALSE),"")</f>
        <v/>
      </c>
      <c r="T933" s="224"/>
      <c r="U933" s="224"/>
      <c r="V933" s="272"/>
      <c r="W933" s="272"/>
      <c r="X933" s="272"/>
      <c r="Y933" s="272"/>
      <c r="Z933" s="272"/>
      <c r="AA933" s="224"/>
      <c r="AB933" s="224"/>
      <c r="AC933" s="224"/>
    </row>
    <row r="934" spans="1:29" ht="15.75" customHeight="1">
      <c r="A934" s="248">
        <v>44797</v>
      </c>
      <c r="B934" s="219" t="s">
        <v>11023</v>
      </c>
      <c r="C934" s="315">
        <v>2</v>
      </c>
      <c r="D934" s="219" t="s">
        <v>7428</v>
      </c>
      <c r="E934" s="219" t="s">
        <v>4</v>
      </c>
      <c r="F934" s="219" t="s">
        <v>725</v>
      </c>
      <c r="G934" s="219" t="s">
        <v>7429</v>
      </c>
      <c r="H934" s="219">
        <v>2</v>
      </c>
      <c r="I934" s="219" t="s">
        <v>462</v>
      </c>
      <c r="J934" s="219" t="s">
        <v>7430</v>
      </c>
      <c r="K934" s="219">
        <v>2</v>
      </c>
      <c r="L934" s="219"/>
      <c r="M934" s="219"/>
      <c r="N934" s="219" t="s">
        <v>452</v>
      </c>
      <c r="O934" s="219" t="s">
        <v>11024</v>
      </c>
      <c r="P934" s="219" t="s">
        <v>447</v>
      </c>
      <c r="Q934" s="219" t="s">
        <v>24</v>
      </c>
      <c r="R934" s="219"/>
      <c r="S934" s="219" t="str">
        <f>IFERROR(VLOOKUP(B934,'2022-2023 Third Reviews'!$C:$S,9,FALSE),"")</f>
        <v/>
      </c>
      <c r="T934" s="219"/>
      <c r="U934" s="219"/>
      <c r="V934" s="306"/>
      <c r="W934" s="306"/>
      <c r="X934" s="306"/>
      <c r="Y934" s="306"/>
      <c r="Z934" s="306"/>
      <c r="AA934" s="306"/>
      <c r="AB934" s="306"/>
      <c r="AC934" s="306"/>
    </row>
    <row r="935" spans="1:29" ht="15.75" customHeight="1">
      <c r="A935" s="253">
        <v>44789</v>
      </c>
      <c r="B935" s="224" t="s">
        <v>7434</v>
      </c>
      <c r="C935" s="249">
        <v>2</v>
      </c>
      <c r="D935" s="224" t="s">
        <v>7437</v>
      </c>
      <c r="E935" s="250" t="s">
        <v>4</v>
      </c>
      <c r="F935" s="224" t="s">
        <v>602</v>
      </c>
      <c r="G935" s="224" t="s">
        <v>7438</v>
      </c>
      <c r="H935" s="224">
        <v>2</v>
      </c>
      <c r="I935" s="224" t="s">
        <v>476</v>
      </c>
      <c r="J935" s="224" t="s">
        <v>13400</v>
      </c>
      <c r="K935" s="224">
        <v>2</v>
      </c>
      <c r="L935" s="224"/>
      <c r="M935" s="224"/>
      <c r="N935" s="224" t="s">
        <v>452</v>
      </c>
      <c r="O935" s="224" t="s">
        <v>7440</v>
      </c>
      <c r="P935" s="224"/>
      <c r="Q935" s="224" t="s">
        <v>24</v>
      </c>
      <c r="R935" s="224"/>
      <c r="S935" s="224" t="str">
        <f>IFERROR(VLOOKUP(B935,'2022-2023 Third Reviews'!$C:$S,9,FALSE),"")</f>
        <v/>
      </c>
      <c r="T935" s="224" t="s">
        <v>13275</v>
      </c>
      <c r="U935" s="224"/>
      <c r="V935" s="252"/>
      <c r="W935" s="252"/>
      <c r="X935" s="252"/>
      <c r="Y935" s="224"/>
      <c r="Z935" s="224"/>
      <c r="AA935" s="224"/>
      <c r="AB935" s="224"/>
      <c r="AC935" s="224"/>
    </row>
    <row r="936" spans="1:29" ht="15.75" customHeight="1">
      <c r="A936" s="398">
        <v>44784</v>
      </c>
      <c r="B936" s="268" t="s">
        <v>7954</v>
      </c>
      <c r="C936" s="269">
        <v>2</v>
      </c>
      <c r="D936" s="268" t="s">
        <v>7957</v>
      </c>
      <c r="E936" s="270" t="s">
        <v>4</v>
      </c>
      <c r="F936" s="268" t="s">
        <v>602</v>
      </c>
      <c r="G936" s="268" t="s">
        <v>11638</v>
      </c>
      <c r="H936" s="268">
        <v>2</v>
      </c>
      <c r="I936" s="268" t="s">
        <v>1054</v>
      </c>
      <c r="J936" s="268" t="s">
        <v>11639</v>
      </c>
      <c r="K936" s="268">
        <v>2</v>
      </c>
      <c r="L936" s="268" t="s">
        <v>784</v>
      </c>
      <c r="M936" s="285">
        <v>275000</v>
      </c>
      <c r="N936" s="268" t="s">
        <v>452</v>
      </c>
      <c r="O936" s="285" t="s">
        <v>452</v>
      </c>
      <c r="P936" s="300" t="s">
        <v>7960</v>
      </c>
      <c r="Q936" s="268" t="s">
        <v>24</v>
      </c>
      <c r="R936" s="268"/>
      <c r="S936" s="268" t="str">
        <f>IFERROR(VLOOKUP(B936,'2022-2023 Third Reviews'!$C:$S,9,FALSE),"")</f>
        <v/>
      </c>
      <c r="T936" s="268"/>
      <c r="U936" s="268"/>
      <c r="V936" s="306"/>
      <c r="W936" s="306"/>
      <c r="X936" s="306"/>
      <c r="Y936" s="306"/>
      <c r="Z936" s="306"/>
      <c r="AA936" s="306"/>
      <c r="AB936" s="306"/>
      <c r="AC936" s="306"/>
    </row>
    <row r="937" spans="1:29" ht="15.75" hidden="1" customHeight="1">
      <c r="A937" s="253">
        <v>44789</v>
      </c>
      <c r="B937" s="224" t="s">
        <v>105</v>
      </c>
      <c r="C937" s="249">
        <v>4</v>
      </c>
      <c r="D937" s="224" t="s">
        <v>773</v>
      </c>
      <c r="E937" s="250" t="s">
        <v>5</v>
      </c>
      <c r="F937" s="224" t="s">
        <v>447</v>
      </c>
      <c r="G937" s="224" t="s">
        <v>10997</v>
      </c>
      <c r="H937" s="224">
        <v>4</v>
      </c>
      <c r="I937" s="224" t="s">
        <v>449</v>
      </c>
      <c r="J937" s="224" t="e">
        <f>+Credible Team
+Novel technology
+lots if investment
+Working prototype
+Large potential market</f>
        <v>#NAME?</v>
      </c>
      <c r="K937" s="224">
        <v>4</v>
      </c>
      <c r="L937" s="224" t="s">
        <v>478</v>
      </c>
      <c r="M937" s="311">
        <v>20000000</v>
      </c>
      <c r="N937" s="224" t="s">
        <v>452</v>
      </c>
      <c r="O937" s="224" t="s">
        <v>776</v>
      </c>
      <c r="P937" s="224"/>
      <c r="Q937" s="224" t="s">
        <v>18</v>
      </c>
      <c r="R937" s="254"/>
      <c r="S937" s="254"/>
      <c r="T937" s="254"/>
      <c r="U937" s="254"/>
      <c r="V937" s="252"/>
      <c r="W937" s="252"/>
      <c r="X937" s="252"/>
      <c r="Y937" s="224"/>
      <c r="Z937" s="224"/>
      <c r="AA937" s="224"/>
      <c r="AB937" s="224"/>
      <c r="AC937" s="224"/>
    </row>
    <row r="938" spans="1:29" ht="15.75" customHeight="1">
      <c r="A938" s="248">
        <v>44789</v>
      </c>
      <c r="B938" s="219" t="s">
        <v>7954</v>
      </c>
      <c r="C938" s="249">
        <v>2</v>
      </c>
      <c r="D938" s="219" t="s">
        <v>7957</v>
      </c>
      <c r="E938" s="250" t="s">
        <v>4</v>
      </c>
      <c r="F938" s="219" t="s">
        <v>602</v>
      </c>
      <c r="G938" s="219" t="s">
        <v>11638</v>
      </c>
      <c r="H938" s="219">
        <v>2</v>
      </c>
      <c r="I938" s="219" t="s">
        <v>1054</v>
      </c>
      <c r="J938" s="219" t="s">
        <v>11639</v>
      </c>
      <c r="K938" s="219">
        <v>2</v>
      </c>
      <c r="L938" s="219" t="s">
        <v>784</v>
      </c>
      <c r="M938" s="312">
        <v>275000</v>
      </c>
      <c r="N938" s="219" t="s">
        <v>452</v>
      </c>
      <c r="O938" s="219" t="s">
        <v>452</v>
      </c>
      <c r="P938" s="219" t="s">
        <v>7960</v>
      </c>
      <c r="Q938" s="219" t="s">
        <v>24</v>
      </c>
      <c r="R938" s="219"/>
      <c r="S938" s="219" t="str">
        <f>IFERROR(VLOOKUP(B938,'2022-2023 Third Reviews'!$C:$S,9,FALSE),"")</f>
        <v/>
      </c>
      <c r="T938" s="219"/>
      <c r="U938" s="219"/>
      <c r="V938" s="252"/>
      <c r="W938" s="252"/>
      <c r="X938" s="252"/>
      <c r="Y938" s="219"/>
      <c r="Z938" s="219"/>
      <c r="AA938" s="219"/>
      <c r="AB938" s="219"/>
      <c r="AC938" s="219"/>
    </row>
    <row r="939" spans="1:29" ht="15.75" customHeight="1">
      <c r="A939" s="253">
        <v>44791</v>
      </c>
      <c r="B939" s="224" t="s">
        <v>7954</v>
      </c>
      <c r="C939" s="316">
        <v>2</v>
      </c>
      <c r="D939" s="224" t="s">
        <v>7957</v>
      </c>
      <c r="E939" s="224" t="s">
        <v>4</v>
      </c>
      <c r="F939" s="224" t="s">
        <v>602</v>
      </c>
      <c r="G939" s="224" t="s">
        <v>11638</v>
      </c>
      <c r="H939" s="224">
        <v>2</v>
      </c>
      <c r="I939" s="224" t="s">
        <v>1054</v>
      </c>
      <c r="J939" s="224" t="s">
        <v>11639</v>
      </c>
      <c r="K939" s="224">
        <v>2</v>
      </c>
      <c r="L939" s="224" t="s">
        <v>784</v>
      </c>
      <c r="M939" s="311">
        <v>275000</v>
      </c>
      <c r="N939" s="224" t="s">
        <v>452</v>
      </c>
      <c r="O939" s="224" t="s">
        <v>452</v>
      </c>
      <c r="P939" s="224" t="s">
        <v>7960</v>
      </c>
      <c r="Q939" s="322" t="s">
        <v>24</v>
      </c>
      <c r="R939" s="224"/>
      <c r="S939" s="224" t="str">
        <f>IFERROR(VLOOKUP(B939,'2022-2023 Third Reviews'!$C:$S,9,FALSE),"")</f>
        <v/>
      </c>
      <c r="T939" s="224"/>
      <c r="U939" s="224"/>
      <c r="V939" s="306"/>
      <c r="W939" s="306"/>
      <c r="X939" s="306"/>
      <c r="Y939" s="306"/>
      <c r="Z939" s="306"/>
      <c r="AA939" s="306"/>
      <c r="AB939" s="306"/>
      <c r="AC939" s="306"/>
    </row>
    <row r="940" spans="1:29" ht="15.75" customHeight="1">
      <c r="A940" s="248">
        <v>44796</v>
      </c>
      <c r="B940" s="219" t="s">
        <v>7443</v>
      </c>
      <c r="C940" s="315">
        <v>2</v>
      </c>
      <c r="D940" s="219" t="s">
        <v>7446</v>
      </c>
      <c r="E940" s="219" t="s">
        <v>4</v>
      </c>
      <c r="F940" s="219" t="s">
        <v>727</v>
      </c>
      <c r="G940" s="219" t="s">
        <v>10565</v>
      </c>
      <c r="H940" s="219">
        <v>2</v>
      </c>
      <c r="I940" s="219" t="s">
        <v>1045</v>
      </c>
      <c r="J940" s="219" t="s">
        <v>7448</v>
      </c>
      <c r="K940" s="219">
        <v>2</v>
      </c>
      <c r="L940" s="219" t="s">
        <v>451</v>
      </c>
      <c r="M940" s="219">
        <v>2000000</v>
      </c>
      <c r="N940" s="219" t="s">
        <v>452</v>
      </c>
      <c r="O940" s="219" t="s">
        <v>7449</v>
      </c>
      <c r="P940" s="219"/>
      <c r="Q940" s="219" t="s">
        <v>24</v>
      </c>
      <c r="R940" s="219"/>
      <c r="S940" s="219" t="str">
        <f>IFERROR(VLOOKUP(B940,'2022-2023 Third Reviews'!$C:$S,9,FALSE),"")</f>
        <v/>
      </c>
      <c r="T940" s="219"/>
      <c r="U940" s="219"/>
      <c r="V940" s="252"/>
      <c r="W940" s="252"/>
      <c r="X940" s="252"/>
      <c r="Y940" s="219"/>
      <c r="Z940" s="219"/>
      <c r="AA940" s="219"/>
      <c r="AB940" s="219"/>
      <c r="AC940" s="219"/>
    </row>
    <row r="941" spans="1:29" ht="15.75" hidden="1" customHeight="1">
      <c r="A941" s="267">
        <v>44784</v>
      </c>
      <c r="B941" s="272" t="s">
        <v>3019</v>
      </c>
      <c r="C941" s="269">
        <v>3</v>
      </c>
      <c r="D941" s="272" t="s">
        <v>10396</v>
      </c>
      <c r="E941" s="270" t="s">
        <v>5</v>
      </c>
      <c r="F941" s="272" t="s">
        <v>447</v>
      </c>
      <c r="G941" s="272" t="s">
        <v>10397</v>
      </c>
      <c r="H941" s="272">
        <v>3</v>
      </c>
      <c r="I941" s="272" t="s">
        <v>622</v>
      </c>
      <c r="J941" s="272" t="s">
        <v>3024</v>
      </c>
      <c r="K941" s="272">
        <v>3</v>
      </c>
      <c r="L941" s="272" t="s">
        <v>784</v>
      </c>
      <c r="M941" s="273">
        <v>1000000</v>
      </c>
      <c r="N941" s="272" t="s">
        <v>452</v>
      </c>
      <c r="O941" s="273" t="s">
        <v>3025</v>
      </c>
      <c r="P941" s="272" t="s">
        <v>447</v>
      </c>
      <c r="Q941" s="272" t="s">
        <v>24</v>
      </c>
      <c r="R941" s="274"/>
      <c r="S941" s="274"/>
      <c r="T941" s="274"/>
      <c r="U941" s="274"/>
      <c r="V941" s="272"/>
      <c r="W941" s="272"/>
      <c r="X941" s="272"/>
      <c r="Y941" s="272"/>
      <c r="Z941" s="272"/>
      <c r="AA941" s="224"/>
      <c r="AB941" s="224"/>
      <c r="AC941" s="224"/>
    </row>
    <row r="942" spans="1:29" ht="15.75" hidden="1" customHeight="1">
      <c r="A942" s="280">
        <v>44784</v>
      </c>
      <c r="B942" s="281" t="s">
        <v>106</v>
      </c>
      <c r="C942" s="282">
        <v>3.25</v>
      </c>
      <c r="D942" s="281" t="s">
        <v>781</v>
      </c>
      <c r="E942" s="281" t="s">
        <v>5</v>
      </c>
      <c r="F942" s="281" t="s">
        <v>447</v>
      </c>
      <c r="G942" s="281" t="s">
        <v>10610</v>
      </c>
      <c r="H942" s="281">
        <v>3.5</v>
      </c>
      <c r="I942" s="281" t="s">
        <v>543</v>
      </c>
      <c r="J942" s="281" t="s">
        <v>11578</v>
      </c>
      <c r="K942" s="281">
        <v>3</v>
      </c>
      <c r="L942" s="281" t="s">
        <v>784</v>
      </c>
      <c r="M942" s="281">
        <v>4000000</v>
      </c>
      <c r="N942" s="281" t="s">
        <v>465</v>
      </c>
      <c r="O942" s="281" t="s">
        <v>785</v>
      </c>
      <c r="P942" s="281"/>
      <c r="Q942" s="281" t="s">
        <v>18</v>
      </c>
      <c r="R942" s="283" t="s">
        <v>11579</v>
      </c>
      <c r="S942" s="283"/>
      <c r="T942" s="283"/>
      <c r="U942" s="283"/>
      <c r="V942" s="281"/>
      <c r="W942" s="281"/>
      <c r="X942" s="281"/>
      <c r="Y942" s="281"/>
      <c r="Z942" s="281"/>
      <c r="AA942" s="258"/>
      <c r="AB942" s="258"/>
      <c r="AC942" s="258"/>
    </row>
    <row r="943" spans="1:29" ht="15.75" customHeight="1">
      <c r="A943" s="253">
        <v>44796</v>
      </c>
      <c r="B943" s="224" t="s">
        <v>7451</v>
      </c>
      <c r="C943" s="316">
        <v>2</v>
      </c>
      <c r="D943" s="224" t="s">
        <v>10772</v>
      </c>
      <c r="E943" s="224" t="s">
        <v>4</v>
      </c>
      <c r="F943" s="224" t="s">
        <v>725</v>
      </c>
      <c r="G943" s="224" t="s">
        <v>10773</v>
      </c>
      <c r="H943" s="224">
        <v>2</v>
      </c>
      <c r="I943" s="224" t="s">
        <v>1371</v>
      </c>
      <c r="J943" s="224" t="s">
        <v>7456</v>
      </c>
      <c r="K943" s="224">
        <v>2</v>
      </c>
      <c r="L943" s="224" t="s">
        <v>478</v>
      </c>
      <c r="M943" s="224">
        <v>3000000</v>
      </c>
      <c r="N943" s="224" t="s">
        <v>452</v>
      </c>
      <c r="O943" s="224" t="s">
        <v>452</v>
      </c>
      <c r="P943" s="224"/>
      <c r="Q943" s="224" t="s">
        <v>24</v>
      </c>
      <c r="R943" s="224"/>
      <c r="S943" s="224" t="str">
        <f>IFERROR(VLOOKUP(B943,'2022-2023 Third Reviews'!$C:$S,9,FALSE),"")</f>
        <v/>
      </c>
      <c r="T943" s="224"/>
      <c r="U943" s="224"/>
      <c r="V943" s="252"/>
      <c r="W943" s="252"/>
      <c r="X943" s="252"/>
      <c r="Y943" s="224"/>
      <c r="Z943" s="224"/>
      <c r="AA943" s="224"/>
      <c r="AB943" s="224"/>
      <c r="AC943" s="224"/>
    </row>
    <row r="944" spans="1:29" ht="15.75" customHeight="1">
      <c r="A944" s="248">
        <v>44796</v>
      </c>
      <c r="B944" s="219" t="s">
        <v>7459</v>
      </c>
      <c r="C944" s="315">
        <v>2</v>
      </c>
      <c r="D944" s="219" t="s">
        <v>7462</v>
      </c>
      <c r="E944" s="219" t="s">
        <v>4</v>
      </c>
      <c r="F944" s="219" t="s">
        <v>725</v>
      </c>
      <c r="G944" s="219" t="s">
        <v>10799</v>
      </c>
      <c r="H944" s="219">
        <v>3</v>
      </c>
      <c r="I944" s="219" t="s">
        <v>1371</v>
      </c>
      <c r="J944" s="219" t="s">
        <v>7464</v>
      </c>
      <c r="K944" s="219">
        <v>1</v>
      </c>
      <c r="L944" s="219"/>
      <c r="M944" s="219"/>
      <c r="N944" s="219" t="s">
        <v>454</v>
      </c>
      <c r="O944" s="219" t="s">
        <v>7465</v>
      </c>
      <c r="P944" s="219" t="s">
        <v>7466</v>
      </c>
      <c r="Q944" s="219" t="s">
        <v>24</v>
      </c>
      <c r="R944" s="219"/>
      <c r="S944" s="219" t="str">
        <f>IFERROR(VLOOKUP(B944,'2022-2023 Third Reviews'!$C:$S,9,FALSE),"")</f>
        <v/>
      </c>
      <c r="T944" s="219"/>
      <c r="U944" s="219"/>
      <c r="V944" s="306"/>
      <c r="W944" s="306"/>
      <c r="X944" s="306"/>
      <c r="Y944" s="306"/>
      <c r="Z944" s="306"/>
      <c r="AA944" s="306"/>
      <c r="AB944" s="306"/>
      <c r="AC944" s="306"/>
    </row>
    <row r="945" spans="1:29" ht="15.75" hidden="1" customHeight="1">
      <c r="A945" s="541">
        <v>44791</v>
      </c>
      <c r="B945" s="306" t="s">
        <v>365</v>
      </c>
      <c r="C945" s="542"/>
      <c r="D945" s="306" t="s">
        <v>9802</v>
      </c>
      <c r="E945" s="306" t="s">
        <v>3</v>
      </c>
      <c r="F945" s="306" t="s">
        <v>488</v>
      </c>
      <c r="G945" s="306"/>
      <c r="H945" s="306"/>
      <c r="I945" s="306" t="s">
        <v>941</v>
      </c>
      <c r="J945" s="306"/>
      <c r="K945" s="306"/>
      <c r="L945" s="306" t="s">
        <v>478</v>
      </c>
      <c r="M945" s="544">
        <v>12000000</v>
      </c>
      <c r="N945" s="306" t="s">
        <v>454</v>
      </c>
      <c r="O945" s="306" t="s">
        <v>575</v>
      </c>
      <c r="P945" s="306"/>
      <c r="Q945" s="306"/>
      <c r="R945" s="543"/>
      <c r="S945" s="543"/>
      <c r="T945" s="543"/>
      <c r="U945" s="543"/>
      <c r="V945" s="306"/>
      <c r="W945" s="306"/>
      <c r="X945" s="306"/>
      <c r="Y945" s="306"/>
      <c r="Z945" s="306"/>
      <c r="AA945" s="306"/>
      <c r="AB945" s="306"/>
      <c r="AC945" s="306"/>
    </row>
    <row r="946" spans="1:29" ht="15.75" hidden="1" customHeight="1">
      <c r="A946" s="541">
        <v>44796</v>
      </c>
      <c r="B946" s="306" t="s">
        <v>365</v>
      </c>
      <c r="C946" s="542"/>
      <c r="D946" s="306" t="s">
        <v>9802</v>
      </c>
      <c r="E946" s="306" t="s">
        <v>3</v>
      </c>
      <c r="F946" s="306" t="s">
        <v>488</v>
      </c>
      <c r="G946" s="306"/>
      <c r="H946" s="306"/>
      <c r="I946" s="306" t="s">
        <v>941</v>
      </c>
      <c r="J946" s="306"/>
      <c r="K946" s="306"/>
      <c r="L946" s="306" t="s">
        <v>478</v>
      </c>
      <c r="M946" s="545">
        <v>12000000</v>
      </c>
      <c r="N946" s="306" t="s">
        <v>454</v>
      </c>
      <c r="O946" s="306" t="s">
        <v>575</v>
      </c>
      <c r="P946" s="306"/>
      <c r="Q946" s="306"/>
      <c r="R946" s="543"/>
      <c r="S946" s="543"/>
      <c r="T946" s="543"/>
      <c r="U946" s="543"/>
      <c r="V946" s="306"/>
      <c r="W946" s="306"/>
      <c r="X946" s="306"/>
      <c r="Y946" s="306"/>
      <c r="Z946" s="306"/>
      <c r="AA946" s="306"/>
      <c r="AB946" s="306"/>
      <c r="AC946" s="306"/>
    </row>
    <row r="947" spans="1:29" ht="15.75" hidden="1" customHeight="1">
      <c r="A947" s="253">
        <v>44796</v>
      </c>
      <c r="B947" s="224" t="s">
        <v>365</v>
      </c>
      <c r="C947" s="316">
        <v>4</v>
      </c>
      <c r="D947" s="224" t="s">
        <v>9802</v>
      </c>
      <c r="E947" s="224" t="s">
        <v>3</v>
      </c>
      <c r="F947" s="224" t="s">
        <v>488</v>
      </c>
      <c r="G947" s="224" t="s">
        <v>9803</v>
      </c>
      <c r="H947" s="224">
        <v>4</v>
      </c>
      <c r="I947" s="224" t="s">
        <v>941</v>
      </c>
      <c r="J947" s="224" t="s">
        <v>9804</v>
      </c>
      <c r="K947" s="224">
        <v>4</v>
      </c>
      <c r="L947" s="224" t="s">
        <v>478</v>
      </c>
      <c r="M947" s="224">
        <v>12000000</v>
      </c>
      <c r="N947" s="224" t="s">
        <v>454</v>
      </c>
      <c r="O947" s="224" t="s">
        <v>575</v>
      </c>
      <c r="P947" s="224"/>
      <c r="Q947" s="224" t="s">
        <v>18</v>
      </c>
      <c r="R947" s="254"/>
      <c r="S947" s="254"/>
      <c r="T947" s="254"/>
      <c r="U947" s="254"/>
      <c r="V947" s="224"/>
      <c r="W947" s="224"/>
      <c r="X947" s="224"/>
      <c r="Y947" s="224"/>
      <c r="Z947" s="224"/>
      <c r="AA947" s="224"/>
      <c r="AB947" s="224"/>
      <c r="AC947" s="224"/>
    </row>
    <row r="948" spans="1:29" ht="15.75" hidden="1" customHeight="1">
      <c r="A948" s="248">
        <v>44796</v>
      </c>
      <c r="B948" s="219" t="s">
        <v>3027</v>
      </c>
      <c r="C948" s="315">
        <v>2.25</v>
      </c>
      <c r="D948" s="219" t="s">
        <v>11236</v>
      </c>
      <c r="E948" s="219" t="s">
        <v>5</v>
      </c>
      <c r="F948" s="219" t="s">
        <v>447</v>
      </c>
      <c r="G948" s="219" t="s">
        <v>11237</v>
      </c>
      <c r="H948" s="219">
        <v>2</v>
      </c>
      <c r="I948" s="219" t="s">
        <v>543</v>
      </c>
      <c r="J948" s="219" t="e">
        <f>+Intelligent Virtual Assistant
 - not a big market as many people from small to big Tech companies Working on the same issue
 - early to EFL also I think it is not suited for DT
 - need more customers, Maybe Too early for EFL?</f>
        <v>#NAME?</v>
      </c>
      <c r="K948" s="219">
        <v>2.5</v>
      </c>
      <c r="L948" s="219" t="s">
        <v>2190</v>
      </c>
      <c r="M948" s="331">
        <v>363000</v>
      </c>
      <c r="N948" s="219" t="s">
        <v>465</v>
      </c>
      <c r="O948" s="219"/>
      <c r="P948" s="219"/>
      <c r="Q948" s="219" t="s">
        <v>24</v>
      </c>
      <c r="R948" s="251"/>
      <c r="S948" s="251"/>
      <c r="T948" s="251"/>
      <c r="U948" s="251"/>
      <c r="V948" s="219"/>
      <c r="W948" s="219"/>
      <c r="X948" s="219"/>
      <c r="Y948" s="219"/>
      <c r="Z948" s="219"/>
      <c r="AA948" s="219"/>
      <c r="AB948" s="219"/>
      <c r="AC948" s="219"/>
    </row>
    <row r="949" spans="1:29" ht="15.75" hidden="1" customHeight="1">
      <c r="A949" s="541">
        <v>44791</v>
      </c>
      <c r="B949" s="306" t="s">
        <v>9007</v>
      </c>
      <c r="C949" s="542"/>
      <c r="D949" s="306"/>
      <c r="E949" s="306" t="s">
        <v>3</v>
      </c>
      <c r="F949" s="306" t="s">
        <v>488</v>
      </c>
      <c r="G949" s="306"/>
      <c r="H949" s="306"/>
      <c r="I949" s="306" t="s">
        <v>462</v>
      </c>
      <c r="J949" s="306"/>
      <c r="K949" s="306"/>
      <c r="L949" s="306" t="s">
        <v>2152</v>
      </c>
      <c r="M949" s="306" t="s">
        <v>9011</v>
      </c>
      <c r="N949" s="306" t="s">
        <v>452</v>
      </c>
      <c r="O949" s="306" t="s">
        <v>9012</v>
      </c>
      <c r="P949" s="306"/>
      <c r="Q949" s="306"/>
      <c r="R949" s="543"/>
      <c r="S949" s="543"/>
      <c r="T949" s="543"/>
      <c r="U949" s="543"/>
      <c r="V949" s="306"/>
      <c r="W949" s="306"/>
      <c r="X949" s="306"/>
      <c r="Y949" s="306"/>
      <c r="Z949" s="306"/>
      <c r="AA949" s="306"/>
      <c r="AB949" s="306"/>
      <c r="AC949" s="306"/>
    </row>
    <row r="950" spans="1:29" ht="15.75" hidden="1" customHeight="1">
      <c r="A950" s="541">
        <v>44796</v>
      </c>
      <c r="B950" s="306" t="s">
        <v>9007</v>
      </c>
      <c r="C950" s="542"/>
      <c r="D950" s="306"/>
      <c r="E950" s="306" t="s">
        <v>3</v>
      </c>
      <c r="F950" s="306" t="s">
        <v>488</v>
      </c>
      <c r="G950" s="306"/>
      <c r="H950" s="306"/>
      <c r="I950" s="306" t="s">
        <v>462</v>
      </c>
      <c r="J950" s="306"/>
      <c r="K950" s="306"/>
      <c r="L950" s="306" t="s">
        <v>2152</v>
      </c>
      <c r="M950" s="306" t="s">
        <v>9011</v>
      </c>
      <c r="N950" s="306" t="s">
        <v>452</v>
      </c>
      <c r="O950" s="306" t="s">
        <v>9012</v>
      </c>
      <c r="P950" s="306"/>
      <c r="Q950" s="306"/>
      <c r="R950" s="543"/>
      <c r="S950" s="543"/>
      <c r="T950" s="543"/>
      <c r="U950" s="543"/>
      <c r="V950" s="219"/>
      <c r="W950" s="219"/>
      <c r="X950" s="219"/>
      <c r="Y950" s="219"/>
      <c r="Z950" s="219"/>
      <c r="AA950" s="219"/>
      <c r="AB950" s="219"/>
      <c r="AC950" s="219"/>
    </row>
    <row r="951" spans="1:29" ht="15.75" hidden="1" customHeight="1">
      <c r="A951" s="321">
        <v>44796</v>
      </c>
      <c r="B951" s="322" t="s">
        <v>9007</v>
      </c>
      <c r="C951" s="323">
        <v>3.25</v>
      </c>
      <c r="D951" s="322"/>
      <c r="E951" s="322" t="s">
        <v>3</v>
      </c>
      <c r="F951" s="322" t="s">
        <v>488</v>
      </c>
      <c r="G951" s="322"/>
      <c r="H951" s="322">
        <v>3</v>
      </c>
      <c r="I951" s="322" t="s">
        <v>462</v>
      </c>
      <c r="J951" s="322" t="s">
        <v>9010</v>
      </c>
      <c r="K951" s="322">
        <v>3.5</v>
      </c>
      <c r="L951" s="322" t="s">
        <v>2152</v>
      </c>
      <c r="M951" s="322" t="s">
        <v>9011</v>
      </c>
      <c r="N951" s="322" t="s">
        <v>452</v>
      </c>
      <c r="O951" s="322" t="s">
        <v>9012</v>
      </c>
      <c r="P951" s="322"/>
      <c r="Q951" s="224" t="s">
        <v>24</v>
      </c>
      <c r="R951" s="325"/>
      <c r="S951" s="325"/>
      <c r="T951" s="325"/>
      <c r="U951" s="325"/>
      <c r="V951" s="322"/>
      <c r="W951" s="322"/>
      <c r="X951" s="322"/>
      <c r="Y951" s="322"/>
      <c r="Z951" s="322"/>
      <c r="AA951" s="322"/>
      <c r="AB951" s="322"/>
      <c r="AC951" s="322"/>
    </row>
    <row r="952" spans="1:29" ht="15.75" customHeight="1">
      <c r="A952" s="248">
        <v>44789</v>
      </c>
      <c r="B952" s="219" t="s">
        <v>7469</v>
      </c>
      <c r="C952" s="249">
        <v>2</v>
      </c>
      <c r="D952" s="219" t="s">
        <v>7472</v>
      </c>
      <c r="E952" s="250" t="s">
        <v>4</v>
      </c>
      <c r="F952" s="219" t="s">
        <v>602</v>
      </c>
      <c r="G952" s="219" t="s">
        <v>7473</v>
      </c>
      <c r="H952" s="219">
        <v>2</v>
      </c>
      <c r="I952" s="219" t="s">
        <v>1054</v>
      </c>
      <c r="J952" s="219" t="s">
        <v>7474</v>
      </c>
      <c r="K952" s="219">
        <v>2</v>
      </c>
      <c r="L952" s="219" t="s">
        <v>451</v>
      </c>
      <c r="M952" s="312">
        <v>2500000</v>
      </c>
      <c r="N952" s="219" t="s">
        <v>452</v>
      </c>
      <c r="O952" s="219" t="s">
        <v>7475</v>
      </c>
      <c r="P952" s="219"/>
      <c r="Q952" s="219" t="s">
        <v>24</v>
      </c>
      <c r="R952" s="219"/>
      <c r="S952" s="219" t="str">
        <f>IFERROR(VLOOKUP(B952,'2022-2023 Third Reviews'!$C:$S,9,FALSE),"")</f>
        <v/>
      </c>
      <c r="T952" s="219"/>
      <c r="U952" s="219"/>
      <c r="V952" s="219"/>
      <c r="W952" s="219"/>
      <c r="X952" s="219"/>
      <c r="Y952" s="219"/>
      <c r="Z952" s="219"/>
      <c r="AA952" s="219"/>
      <c r="AB952" s="219"/>
      <c r="AC952" s="219"/>
    </row>
    <row r="953" spans="1:29" ht="15.75" customHeight="1">
      <c r="A953" s="253">
        <v>44782</v>
      </c>
      <c r="B953" s="224" t="s">
        <v>7478</v>
      </c>
      <c r="C953" s="249">
        <v>2</v>
      </c>
      <c r="D953" s="224" t="s">
        <v>7481</v>
      </c>
      <c r="E953" s="250" t="s">
        <v>4</v>
      </c>
      <c r="F953" s="224" t="s">
        <v>602</v>
      </c>
      <c r="G953" s="224"/>
      <c r="H953" s="224">
        <v>2</v>
      </c>
      <c r="I953" s="224" t="s">
        <v>1054</v>
      </c>
      <c r="J953" s="224" t="s">
        <v>7482</v>
      </c>
      <c r="K953" s="224">
        <v>2</v>
      </c>
      <c r="L953" s="224"/>
      <c r="M953" s="224"/>
      <c r="N953" s="224" t="s">
        <v>452</v>
      </c>
      <c r="O953" s="224" t="s">
        <v>3420</v>
      </c>
      <c r="P953" s="224" t="s">
        <v>7483</v>
      </c>
      <c r="Q953" s="224" t="s">
        <v>24</v>
      </c>
      <c r="R953" s="224"/>
      <c r="S953" s="224" t="str">
        <f>IFERROR(VLOOKUP(B953,'2022-2023 Third Reviews'!$C:$S,9,FALSE),"")</f>
        <v/>
      </c>
      <c r="T953" s="224"/>
      <c r="U953" s="224"/>
      <c r="V953" s="224"/>
      <c r="W953" s="224"/>
      <c r="X953" s="224"/>
      <c r="Y953" s="224"/>
      <c r="Z953" s="224"/>
      <c r="AA953" s="224"/>
      <c r="AB953" s="224"/>
      <c r="AC953" s="224"/>
    </row>
    <row r="954" spans="1:29" ht="15.75" customHeight="1">
      <c r="A954" s="248">
        <v>44782</v>
      </c>
      <c r="B954" s="213" t="s">
        <v>7485</v>
      </c>
      <c r="C954" s="214">
        <v>2</v>
      </c>
      <c r="D954" s="213" t="s">
        <v>10189</v>
      </c>
      <c r="E954" s="215" t="s">
        <v>4</v>
      </c>
      <c r="F954" s="213" t="s">
        <v>602</v>
      </c>
      <c r="G954" s="213"/>
      <c r="H954" s="213">
        <v>2</v>
      </c>
      <c r="I954" s="213" t="s">
        <v>727</v>
      </c>
      <c r="J954" s="213" t="s">
        <v>7489</v>
      </c>
      <c r="K954" s="213">
        <v>2</v>
      </c>
      <c r="L954" s="213" t="s">
        <v>478</v>
      </c>
      <c r="M954" s="213">
        <v>2000000</v>
      </c>
      <c r="N954" s="213" t="s">
        <v>452</v>
      </c>
      <c r="O954" s="213" t="s">
        <v>452</v>
      </c>
      <c r="P954" s="213"/>
      <c r="Q954" s="219" t="s">
        <v>24</v>
      </c>
      <c r="R954" s="213"/>
      <c r="S954" s="213" t="str">
        <f ca="1">IFERROR(VLOOKUP(B954,'2022-2023 Third Reviews'!$C:$S,9,FALSE),"")</f>
        <v>Joshua Rubnitz
3</v>
      </c>
      <c r="T954" s="213"/>
      <c r="U954" s="213"/>
      <c r="V954" s="219"/>
      <c r="W954" s="219"/>
      <c r="X954" s="219"/>
      <c r="Y954" s="219"/>
      <c r="Z954" s="219"/>
      <c r="AA954" s="219"/>
      <c r="AB954" s="219"/>
      <c r="AC954" s="219"/>
    </row>
    <row r="955" spans="1:29" ht="15.75" customHeight="1">
      <c r="A955" s="253">
        <v>44797</v>
      </c>
      <c r="B955" s="224" t="s">
        <v>7492</v>
      </c>
      <c r="C955" s="316">
        <v>2</v>
      </c>
      <c r="D955" s="224" t="s">
        <v>7495</v>
      </c>
      <c r="E955" s="224" t="s">
        <v>4</v>
      </c>
      <c r="F955" s="224" t="s">
        <v>602</v>
      </c>
      <c r="G955" s="224" t="s">
        <v>7496</v>
      </c>
      <c r="H955" s="224">
        <v>2</v>
      </c>
      <c r="I955" s="224" t="s">
        <v>1457</v>
      </c>
      <c r="J955" s="224" t="s">
        <v>7497</v>
      </c>
      <c r="K955" s="224">
        <v>2</v>
      </c>
      <c r="L955" s="224" t="s">
        <v>784</v>
      </c>
      <c r="M955" s="311">
        <v>1000000</v>
      </c>
      <c r="N955" s="224" t="s">
        <v>452</v>
      </c>
      <c r="O955" s="224" t="s">
        <v>7498</v>
      </c>
      <c r="P955" s="224"/>
      <c r="Q955" s="224" t="s">
        <v>24</v>
      </c>
      <c r="R955" s="224"/>
      <c r="S955" s="224" t="str">
        <f>IFERROR(VLOOKUP(B955,'2022-2023 Third Reviews'!$C:$S,9,FALSE),"")</f>
        <v/>
      </c>
      <c r="T955" s="224"/>
      <c r="U955" s="224"/>
      <c r="V955" s="306"/>
      <c r="W955" s="306"/>
      <c r="X955" s="306"/>
      <c r="Y955" s="306"/>
      <c r="Z955" s="306"/>
      <c r="AA955" s="306"/>
      <c r="AB955" s="306"/>
      <c r="AC955" s="306"/>
    </row>
    <row r="956" spans="1:29" ht="15.75" customHeight="1">
      <c r="A956" s="248">
        <v>44796</v>
      </c>
      <c r="B956" s="219" t="s">
        <v>7500</v>
      </c>
      <c r="C956" s="315">
        <v>2</v>
      </c>
      <c r="D956" s="219" t="s">
        <v>7503</v>
      </c>
      <c r="E956" s="219" t="s">
        <v>4</v>
      </c>
      <c r="F956" s="219" t="s">
        <v>602</v>
      </c>
      <c r="G956" s="219" t="s">
        <v>7504</v>
      </c>
      <c r="H956" s="219">
        <v>2</v>
      </c>
      <c r="I956" s="219" t="s">
        <v>1457</v>
      </c>
      <c r="J956" s="219" t="s">
        <v>7505</v>
      </c>
      <c r="K956" s="219">
        <v>2</v>
      </c>
      <c r="L956" s="219" t="s">
        <v>784</v>
      </c>
      <c r="M956" s="310">
        <v>500000</v>
      </c>
      <c r="N956" s="219" t="s">
        <v>452</v>
      </c>
      <c r="O956" s="219" t="s">
        <v>452</v>
      </c>
      <c r="P956" s="219"/>
      <c r="Q956" s="219" t="s">
        <v>24</v>
      </c>
      <c r="R956" s="219"/>
      <c r="S956" s="219" t="str">
        <f>IFERROR(VLOOKUP(B956,'2022-2023 Third Reviews'!$C:$S,9,FALSE),"")</f>
        <v/>
      </c>
      <c r="T956" s="219"/>
      <c r="U956" s="219"/>
      <c r="V956" s="258"/>
      <c r="W956" s="258"/>
      <c r="X956" s="258"/>
      <c r="Y956" s="258"/>
      <c r="Z956" s="258"/>
      <c r="AA956" s="258"/>
      <c r="AB956" s="258"/>
      <c r="AC956" s="258"/>
    </row>
    <row r="957" spans="1:29" ht="15.75" hidden="1" customHeight="1">
      <c r="A957" s="220">
        <v>44776</v>
      </c>
      <c r="B957" s="221" t="s">
        <v>3035</v>
      </c>
      <c r="C957" s="214">
        <v>2.5</v>
      </c>
      <c r="D957" s="221" t="s">
        <v>3038</v>
      </c>
      <c r="E957" s="215" t="s">
        <v>5</v>
      </c>
      <c r="F957" s="221" t="s">
        <v>447</v>
      </c>
      <c r="G957" s="221" t="s">
        <v>3039</v>
      </c>
      <c r="H957" s="221">
        <v>3</v>
      </c>
      <c r="I957" s="221" t="s">
        <v>543</v>
      </c>
      <c r="J957" s="221" t="s">
        <v>11521</v>
      </c>
      <c r="K957" s="221">
        <v>2</v>
      </c>
      <c r="L957" s="221"/>
      <c r="M957" s="221"/>
      <c r="N957" s="221" t="s">
        <v>452</v>
      </c>
      <c r="O957" s="221" t="s">
        <v>452</v>
      </c>
      <c r="P957" s="145"/>
      <c r="Q957" s="221" t="s">
        <v>24</v>
      </c>
      <c r="R957" s="223">
        <f t="array" ref="R957">INDEX(Notes!C:C,MATCH($B957,Notes!$A:$A,0))</f>
        <v>0</v>
      </c>
      <c r="S957" s="223"/>
      <c r="T957" s="223"/>
      <c r="U957" s="223"/>
      <c r="V957" s="218"/>
      <c r="W957" s="218"/>
      <c r="X957" s="218"/>
      <c r="Y957" s="224"/>
      <c r="Z957" s="224"/>
      <c r="AA957" s="224"/>
      <c r="AB957" s="224"/>
      <c r="AC957" s="224"/>
    </row>
    <row r="958" spans="1:29" ht="15.75" customHeight="1">
      <c r="A958" s="248">
        <v>44791</v>
      </c>
      <c r="B958" s="219" t="s">
        <v>7508</v>
      </c>
      <c r="C958" s="315">
        <v>2</v>
      </c>
      <c r="D958" s="219" t="s">
        <v>7511</v>
      </c>
      <c r="E958" s="219" t="s">
        <v>4</v>
      </c>
      <c r="F958" s="219" t="s">
        <v>727</v>
      </c>
      <c r="G958" s="219" t="s">
        <v>6733</v>
      </c>
      <c r="H958" s="219">
        <v>2</v>
      </c>
      <c r="I958" s="219" t="s">
        <v>1457</v>
      </c>
      <c r="J958" s="219" t="s">
        <v>7512</v>
      </c>
      <c r="K958" s="219">
        <v>2</v>
      </c>
      <c r="L958" s="219" t="s">
        <v>784</v>
      </c>
      <c r="M958" s="312">
        <v>750000</v>
      </c>
      <c r="N958" s="219" t="s">
        <v>465</v>
      </c>
      <c r="O958" s="219" t="s">
        <v>7513</v>
      </c>
      <c r="P958" s="219"/>
      <c r="Q958" s="322" t="s">
        <v>24</v>
      </c>
      <c r="R958" s="219"/>
      <c r="S958" s="219" t="str">
        <f>IFERROR(VLOOKUP(B958,'2022-2023 Third Reviews'!$C:$S,9,FALSE),"")</f>
        <v/>
      </c>
      <c r="T958" s="219"/>
      <c r="U958" s="219"/>
      <c r="V958" s="252"/>
      <c r="W958" s="252"/>
      <c r="X958" s="252"/>
      <c r="Y958" s="219"/>
      <c r="Z958" s="219"/>
      <c r="AA958" s="219"/>
      <c r="AB958" s="219"/>
      <c r="AC958" s="219"/>
    </row>
    <row r="959" spans="1:29" ht="15.75" hidden="1" customHeight="1">
      <c r="A959" s="253">
        <v>44782</v>
      </c>
      <c r="B959" s="224" t="s">
        <v>9015</v>
      </c>
      <c r="C959" s="249">
        <v>1</v>
      </c>
      <c r="D959" s="224" t="s">
        <v>9018</v>
      </c>
      <c r="E959" s="250" t="s">
        <v>3</v>
      </c>
      <c r="F959" s="224" t="s">
        <v>460</v>
      </c>
      <c r="G959" s="224" t="s">
        <v>9019</v>
      </c>
      <c r="H959" s="224">
        <v>1</v>
      </c>
      <c r="I959" s="224" t="s">
        <v>941</v>
      </c>
      <c r="J959" s="224"/>
      <c r="K959" s="224">
        <v>1</v>
      </c>
      <c r="L959" s="224"/>
      <c r="M959" s="224"/>
      <c r="N959" s="224" t="s">
        <v>452</v>
      </c>
      <c r="O959" s="224" t="s">
        <v>452</v>
      </c>
      <c r="P959" s="224"/>
      <c r="Q959" s="224" t="s">
        <v>24</v>
      </c>
      <c r="R959" s="254"/>
      <c r="S959" s="254"/>
      <c r="T959" s="254"/>
      <c r="U959" s="254"/>
      <c r="V959" s="252"/>
      <c r="W959" s="252"/>
      <c r="X959" s="252"/>
      <c r="Y959" s="224"/>
      <c r="Z959" s="224"/>
      <c r="AA959" s="224"/>
      <c r="AB959" s="224"/>
      <c r="AC959" s="224"/>
    </row>
    <row r="960" spans="1:29" ht="15.75" customHeight="1">
      <c r="A960" s="248">
        <v>44791</v>
      </c>
      <c r="B960" s="219" t="s">
        <v>7515</v>
      </c>
      <c r="C960" s="315">
        <v>2</v>
      </c>
      <c r="D960" s="219" t="s">
        <v>7518</v>
      </c>
      <c r="E960" s="219" t="s">
        <v>4</v>
      </c>
      <c r="F960" s="219" t="s">
        <v>725</v>
      </c>
      <c r="G960" s="219" t="s">
        <v>10362</v>
      </c>
      <c r="H960" s="219">
        <v>2</v>
      </c>
      <c r="I960" s="219" t="s">
        <v>1045</v>
      </c>
      <c r="J960" s="219" t="s">
        <v>7520</v>
      </c>
      <c r="K960" s="219">
        <v>2</v>
      </c>
      <c r="L960" s="219"/>
      <c r="M960" s="219"/>
      <c r="N960" s="219" t="s">
        <v>465</v>
      </c>
      <c r="O960" s="219" t="s">
        <v>452</v>
      </c>
      <c r="P960" s="219"/>
      <c r="Q960" s="322" t="s">
        <v>24</v>
      </c>
      <c r="R960" s="219"/>
      <c r="S960" s="219" t="str">
        <f ca="1">IFERROR(VLOOKUP(B960,'2022-2023 Third Reviews'!$C:$S,9,FALSE),"")</f>
        <v>Chris Millisits
1</v>
      </c>
      <c r="T960" s="219"/>
      <c r="U960" s="219"/>
      <c r="V960" s="252"/>
      <c r="W960" s="252"/>
      <c r="X960" s="252"/>
      <c r="Y960" s="219"/>
      <c r="Z960" s="219"/>
      <c r="AA960" s="219"/>
      <c r="AB960" s="219"/>
      <c r="AC960" s="219"/>
    </row>
    <row r="961" spans="1:29" ht="15.75" customHeight="1">
      <c r="A961" s="253">
        <v>44782</v>
      </c>
      <c r="B961" s="224" t="s">
        <v>11384</v>
      </c>
      <c r="C961" s="249">
        <v>2</v>
      </c>
      <c r="D961" s="224" t="s">
        <v>7526</v>
      </c>
      <c r="E961" s="250" t="s">
        <v>4</v>
      </c>
      <c r="F961" s="224" t="s">
        <v>602</v>
      </c>
      <c r="G961" s="224" t="s">
        <v>7527</v>
      </c>
      <c r="H961" s="224">
        <v>2</v>
      </c>
      <c r="I961" s="224" t="s">
        <v>727</v>
      </c>
      <c r="J961" s="224" t="s">
        <v>7528</v>
      </c>
      <c r="K961" s="224">
        <v>2</v>
      </c>
      <c r="L961" s="224" t="s">
        <v>451</v>
      </c>
      <c r="M961" s="224">
        <v>250000</v>
      </c>
      <c r="N961" s="224" t="s">
        <v>452</v>
      </c>
      <c r="O961" s="224" t="s">
        <v>452</v>
      </c>
      <c r="P961" s="224"/>
      <c r="Q961" s="224" t="s">
        <v>24</v>
      </c>
      <c r="R961" s="224"/>
      <c r="S961" s="224" t="str">
        <f ca="1">IFERROR(VLOOKUP(B961,'2022-2023 Third Reviews'!$C:$S,9,FALSE),"")</f>
        <v>Chris Millisits
1</v>
      </c>
      <c r="T961" s="224"/>
      <c r="U961" s="224"/>
      <c r="V961" s="306"/>
      <c r="W961" s="306"/>
      <c r="X961" s="306"/>
      <c r="Y961" s="306"/>
      <c r="Z961" s="306"/>
      <c r="AA961" s="306"/>
      <c r="AB961" s="306"/>
      <c r="AC961" s="306"/>
    </row>
    <row r="962" spans="1:29" ht="15.75" hidden="1" customHeight="1">
      <c r="A962" s="280">
        <v>44784</v>
      </c>
      <c r="B962" s="281" t="s">
        <v>3043</v>
      </c>
      <c r="C962" s="282">
        <v>3.25</v>
      </c>
      <c r="D962" s="281" t="s">
        <v>3046</v>
      </c>
      <c r="E962" s="281" t="s">
        <v>5</v>
      </c>
      <c r="F962" s="281" t="s">
        <v>447</v>
      </c>
      <c r="G962" s="281" t="s">
        <v>10600</v>
      </c>
      <c r="H962" s="281">
        <v>3</v>
      </c>
      <c r="I962" s="281" t="s">
        <v>476</v>
      </c>
      <c r="J962" s="281" t="s">
        <v>11577</v>
      </c>
      <c r="K962" s="281">
        <v>3.5</v>
      </c>
      <c r="L962" s="281" t="s">
        <v>451</v>
      </c>
      <c r="M962" s="281">
        <v>1700000</v>
      </c>
      <c r="N962" s="281" t="s">
        <v>465</v>
      </c>
      <c r="O962" s="281" t="s">
        <v>575</v>
      </c>
      <c r="P962" s="281"/>
      <c r="Q962" s="281" t="s">
        <v>24</v>
      </c>
      <c r="R962" s="283" t="s">
        <v>3049</v>
      </c>
      <c r="S962" s="283"/>
      <c r="T962" s="283"/>
      <c r="U962" s="283"/>
      <c r="V962" s="281"/>
      <c r="W962" s="281"/>
      <c r="X962" s="281"/>
      <c r="Y962" s="281"/>
      <c r="Z962" s="281"/>
      <c r="AA962" s="258"/>
      <c r="AB962" s="258"/>
      <c r="AC962" s="258"/>
    </row>
    <row r="963" spans="1:29" ht="15.75" hidden="1" customHeight="1">
      <c r="A963" s="541">
        <v>44791</v>
      </c>
      <c r="B963" s="306" t="s">
        <v>366</v>
      </c>
      <c r="C963" s="542"/>
      <c r="D963" s="306"/>
      <c r="E963" s="306" t="s">
        <v>3</v>
      </c>
      <c r="F963" s="306" t="s">
        <v>488</v>
      </c>
      <c r="G963" s="306"/>
      <c r="H963" s="306"/>
      <c r="I963" s="306" t="s">
        <v>941</v>
      </c>
      <c r="J963" s="306"/>
      <c r="K963" s="306"/>
      <c r="L963" s="306" t="s">
        <v>9811</v>
      </c>
      <c r="M963" s="306">
        <v>1000000</v>
      </c>
      <c r="N963" s="306" t="s">
        <v>452</v>
      </c>
      <c r="O963" s="306" t="s">
        <v>9812</v>
      </c>
      <c r="P963" s="306"/>
      <c r="Q963" s="306"/>
      <c r="R963" s="543"/>
      <c r="S963" s="543"/>
      <c r="T963" s="543"/>
      <c r="U963" s="543"/>
      <c r="V963" s="306"/>
      <c r="W963" s="306"/>
      <c r="X963" s="306"/>
      <c r="Y963" s="306"/>
      <c r="Z963" s="306"/>
      <c r="AA963" s="306"/>
      <c r="AB963" s="306"/>
      <c r="AC963" s="306"/>
    </row>
    <row r="964" spans="1:29" ht="15.75" hidden="1" customHeight="1">
      <c r="A964" s="541">
        <v>44796</v>
      </c>
      <c r="B964" s="306" t="s">
        <v>366</v>
      </c>
      <c r="C964" s="542"/>
      <c r="D964" s="306"/>
      <c r="E964" s="306" t="s">
        <v>3</v>
      </c>
      <c r="F964" s="306" t="s">
        <v>488</v>
      </c>
      <c r="G964" s="306"/>
      <c r="H964" s="306"/>
      <c r="I964" s="306" t="s">
        <v>941</v>
      </c>
      <c r="J964" s="306"/>
      <c r="K964" s="306"/>
      <c r="L964" s="306" t="s">
        <v>9811</v>
      </c>
      <c r="M964" s="306">
        <v>1000000</v>
      </c>
      <c r="N964" s="306" t="s">
        <v>452</v>
      </c>
      <c r="O964" s="306" t="s">
        <v>9812</v>
      </c>
      <c r="P964" s="306"/>
      <c r="Q964" s="306"/>
      <c r="R964" s="543"/>
      <c r="S964" s="543"/>
      <c r="T964" s="543"/>
      <c r="U964" s="543"/>
      <c r="V964" s="219"/>
      <c r="W964" s="219"/>
      <c r="X964" s="219"/>
      <c r="Y964" s="219"/>
      <c r="Z964" s="219"/>
      <c r="AA964" s="219"/>
      <c r="AB964" s="219"/>
      <c r="AC964" s="219"/>
    </row>
    <row r="965" spans="1:29" ht="15.75" hidden="1" customHeight="1">
      <c r="A965" s="541">
        <v>44797</v>
      </c>
      <c r="B965" s="306" t="s">
        <v>366</v>
      </c>
      <c r="C965" s="542"/>
      <c r="D965" s="306"/>
      <c r="E965" s="306" t="s">
        <v>3</v>
      </c>
      <c r="F965" s="306" t="s">
        <v>488</v>
      </c>
      <c r="G965" s="306"/>
      <c r="H965" s="306"/>
      <c r="I965" s="306" t="s">
        <v>941</v>
      </c>
      <c r="J965" s="306"/>
      <c r="K965" s="306"/>
      <c r="L965" s="306" t="s">
        <v>9811</v>
      </c>
      <c r="M965" s="306">
        <v>1000000</v>
      </c>
      <c r="N965" s="306" t="s">
        <v>452</v>
      </c>
      <c r="O965" s="306" t="s">
        <v>9812</v>
      </c>
      <c r="P965" s="306"/>
      <c r="Q965" s="306"/>
      <c r="R965" s="543"/>
      <c r="S965" s="543"/>
      <c r="T965" s="543"/>
      <c r="U965" s="543"/>
      <c r="V965" s="306"/>
      <c r="W965" s="306"/>
      <c r="X965" s="306"/>
      <c r="Y965" s="306"/>
      <c r="Z965" s="306"/>
      <c r="AA965" s="306"/>
      <c r="AB965" s="306"/>
      <c r="AC965" s="306"/>
    </row>
    <row r="966" spans="1:29" ht="15.75" hidden="1" customHeight="1">
      <c r="A966" s="257">
        <v>44797</v>
      </c>
      <c r="B966" s="258" t="s">
        <v>366</v>
      </c>
      <c r="C966" s="263">
        <v>4</v>
      </c>
      <c r="D966" s="258" t="s">
        <v>11741</v>
      </c>
      <c r="E966" s="258" t="s">
        <v>3</v>
      </c>
      <c r="F966" s="258" t="s">
        <v>488</v>
      </c>
      <c r="G966" s="258" t="s">
        <v>9809</v>
      </c>
      <c r="H966" s="258">
        <v>4</v>
      </c>
      <c r="I966" s="258" t="s">
        <v>941</v>
      </c>
      <c r="J966" s="258" t="s">
        <v>9810</v>
      </c>
      <c r="K966" s="258">
        <v>4</v>
      </c>
      <c r="L966" s="258" t="s">
        <v>9811</v>
      </c>
      <c r="M966" s="258">
        <v>1000000</v>
      </c>
      <c r="N966" s="258" t="s">
        <v>452</v>
      </c>
      <c r="O966" s="258" t="s">
        <v>9812</v>
      </c>
      <c r="P966" s="258"/>
      <c r="Q966" s="258" t="s">
        <v>20</v>
      </c>
      <c r="R966" s="259" t="s">
        <v>9813</v>
      </c>
      <c r="S966" s="259"/>
      <c r="T966" s="259"/>
      <c r="U966" s="259"/>
      <c r="V966" s="258"/>
      <c r="W966" s="258"/>
      <c r="X966" s="258"/>
      <c r="Y966" s="258"/>
      <c r="Z966" s="258"/>
      <c r="AA966" s="258"/>
      <c r="AB966" s="258"/>
      <c r="AC966" s="258"/>
    </row>
    <row r="967" spans="1:29" ht="15.75" customHeight="1">
      <c r="A967" s="253">
        <v>44797</v>
      </c>
      <c r="B967" s="224" t="s">
        <v>10385</v>
      </c>
      <c r="C967" s="316">
        <v>2</v>
      </c>
      <c r="D967" s="224" t="s">
        <v>10386</v>
      </c>
      <c r="E967" s="224" t="s">
        <v>4</v>
      </c>
      <c r="F967" s="224" t="s">
        <v>1045</v>
      </c>
      <c r="G967" s="224" t="s">
        <v>7535</v>
      </c>
      <c r="H967" s="224">
        <v>2</v>
      </c>
      <c r="I967" s="224" t="s">
        <v>449</v>
      </c>
      <c r="J967" s="224" t="s">
        <v>10387</v>
      </c>
      <c r="K967" s="224">
        <v>2</v>
      </c>
      <c r="L967" s="224" t="s">
        <v>451</v>
      </c>
      <c r="M967" s="224">
        <v>1200000</v>
      </c>
      <c r="N967" s="224" t="s">
        <v>452</v>
      </c>
      <c r="O967" s="224" t="s">
        <v>10388</v>
      </c>
      <c r="P967" s="224"/>
      <c r="Q967" s="224" t="s">
        <v>24</v>
      </c>
      <c r="R967" s="224"/>
      <c r="S967" s="224" t="str">
        <f>IFERROR(VLOOKUP(B967,'2022-2023 Third Reviews'!$C:$S,9,FALSE),"")</f>
        <v/>
      </c>
      <c r="T967" s="224"/>
      <c r="U967" s="224"/>
      <c r="V967" s="306"/>
      <c r="W967" s="306"/>
      <c r="X967" s="306"/>
      <c r="Y967" s="306"/>
      <c r="Z967" s="306"/>
      <c r="AA967" s="306"/>
      <c r="AB967" s="306"/>
      <c r="AC967" s="306"/>
    </row>
    <row r="968" spans="1:29" ht="15.75" customHeight="1">
      <c r="A968" s="248">
        <v>44791</v>
      </c>
      <c r="B968" s="219" t="s">
        <v>7540</v>
      </c>
      <c r="C968" s="315">
        <v>2</v>
      </c>
      <c r="D968" s="219" t="s">
        <v>7543</v>
      </c>
      <c r="E968" s="219" t="s">
        <v>4</v>
      </c>
      <c r="F968" s="219" t="s">
        <v>725</v>
      </c>
      <c r="G968" s="219" t="s">
        <v>10756</v>
      </c>
      <c r="H968" s="219">
        <v>2</v>
      </c>
      <c r="I968" s="219" t="s">
        <v>1045</v>
      </c>
      <c r="J968" s="219" t="s">
        <v>7545</v>
      </c>
      <c r="K968" s="219">
        <v>2</v>
      </c>
      <c r="L968" s="219" t="s">
        <v>784</v>
      </c>
      <c r="M968" s="312">
        <v>1200000</v>
      </c>
      <c r="N968" s="219" t="s">
        <v>452</v>
      </c>
      <c r="O968" s="219" t="s">
        <v>7546</v>
      </c>
      <c r="P968" s="219" t="s">
        <v>7547</v>
      </c>
      <c r="Q968" s="322" t="s">
        <v>24</v>
      </c>
      <c r="R968" s="219"/>
      <c r="S968" s="219" t="str">
        <f ca="1">IFERROR(VLOOKUP(B968,'2022-2023 Third Reviews'!$C:$S,9,FALSE),"")</f>
        <v>Chris Millisits
3</v>
      </c>
      <c r="T968" s="219"/>
      <c r="U968" s="219"/>
      <c r="V968" s="219"/>
      <c r="W968" s="219"/>
      <c r="X968" s="219"/>
      <c r="Y968" s="219"/>
      <c r="Z968" s="219"/>
      <c r="AA968" s="219"/>
      <c r="AB968" s="219"/>
      <c r="AC968" s="219"/>
    </row>
    <row r="969" spans="1:29" ht="15.75" hidden="1" customHeight="1">
      <c r="A969" s="280">
        <v>44784</v>
      </c>
      <c r="B969" s="281" t="s">
        <v>381</v>
      </c>
      <c r="C969" s="282">
        <v>3.75</v>
      </c>
      <c r="D969" s="281" t="s">
        <v>10038</v>
      </c>
      <c r="E969" s="281" t="s">
        <v>5</v>
      </c>
      <c r="F969" s="281" t="s">
        <v>447</v>
      </c>
      <c r="G969" s="281" t="s">
        <v>10699</v>
      </c>
      <c r="H969" s="281">
        <v>3.5</v>
      </c>
      <c r="I969" s="281" t="s">
        <v>449</v>
      </c>
      <c r="J969" s="281" t="s">
        <v>11567</v>
      </c>
      <c r="K969" s="281">
        <v>4</v>
      </c>
      <c r="L969" s="281" t="s">
        <v>451</v>
      </c>
      <c r="M969" s="288">
        <v>800</v>
      </c>
      <c r="N969" s="281" t="s">
        <v>465</v>
      </c>
      <c r="O969" s="288" t="s">
        <v>10701</v>
      </c>
      <c r="P969" s="281"/>
      <c r="Q969" s="281" t="s">
        <v>18</v>
      </c>
      <c r="R969" s="283" t="s">
        <v>10042</v>
      </c>
      <c r="S969" s="283"/>
      <c r="T969" s="283"/>
      <c r="U969" s="283"/>
      <c r="V969" s="281"/>
      <c r="W969" s="281"/>
      <c r="X969" s="281"/>
      <c r="Y969" s="281"/>
      <c r="Z969" s="281"/>
      <c r="AA969" s="258"/>
      <c r="AB969" s="258"/>
      <c r="AC969" s="258"/>
    </row>
    <row r="970" spans="1:29" ht="15.75" hidden="1" customHeight="1">
      <c r="A970" s="280">
        <v>44784</v>
      </c>
      <c r="B970" s="281" t="s">
        <v>411</v>
      </c>
      <c r="C970" s="282">
        <v>4</v>
      </c>
      <c r="D970" s="281" t="s">
        <v>10140</v>
      </c>
      <c r="E970" s="281" t="s">
        <v>3</v>
      </c>
      <c r="F970" s="281" t="s">
        <v>460</v>
      </c>
      <c r="G970" s="281" t="s">
        <v>10141</v>
      </c>
      <c r="H970" s="281">
        <v>4</v>
      </c>
      <c r="I970" s="281" t="s">
        <v>488</v>
      </c>
      <c r="J970" s="281" t="s">
        <v>10142</v>
      </c>
      <c r="K970" s="281">
        <v>4</v>
      </c>
      <c r="L970" s="281" t="s">
        <v>478</v>
      </c>
      <c r="M970" s="288">
        <v>8000000</v>
      </c>
      <c r="N970" s="281" t="s">
        <v>452</v>
      </c>
      <c r="O970" s="288" t="s">
        <v>10143</v>
      </c>
      <c r="P970" s="281"/>
      <c r="Q970" s="281" t="s">
        <v>18</v>
      </c>
      <c r="R970" s="283"/>
      <c r="S970" s="283"/>
      <c r="T970" s="283"/>
      <c r="U970" s="283"/>
      <c r="V970" s="281"/>
      <c r="W970" s="281"/>
      <c r="X970" s="281"/>
      <c r="Y970" s="281"/>
      <c r="Z970" s="281"/>
      <c r="AA970" s="258"/>
      <c r="AB970" s="258"/>
      <c r="AC970" s="258"/>
    </row>
    <row r="971" spans="1:29" ht="15.75" customHeight="1">
      <c r="A971" s="398">
        <v>44784</v>
      </c>
      <c r="B971" s="272" t="s">
        <v>7550</v>
      </c>
      <c r="C971" s="269">
        <v>2</v>
      </c>
      <c r="D971" s="272" t="s">
        <v>7553</v>
      </c>
      <c r="E971" s="270" t="s">
        <v>4</v>
      </c>
      <c r="F971" s="272" t="s">
        <v>602</v>
      </c>
      <c r="G971" s="272" t="s">
        <v>7554</v>
      </c>
      <c r="H971" s="272">
        <v>2</v>
      </c>
      <c r="I971" s="272" t="s">
        <v>1054</v>
      </c>
      <c r="J971" s="272" t="s">
        <v>7555</v>
      </c>
      <c r="K971" s="272">
        <v>2</v>
      </c>
      <c r="L971" s="272" t="s">
        <v>784</v>
      </c>
      <c r="M971" s="273">
        <v>500000</v>
      </c>
      <c r="N971" s="272" t="s">
        <v>452</v>
      </c>
      <c r="O971" s="273" t="s">
        <v>452</v>
      </c>
      <c r="P971" s="272"/>
      <c r="Q971" s="272" t="s">
        <v>24</v>
      </c>
      <c r="R971" s="272"/>
      <c r="S971" s="272" t="str">
        <f>IFERROR(VLOOKUP(B971,'2022-2023 Third Reviews'!$C:$S,9,FALSE),"")</f>
        <v/>
      </c>
      <c r="T971" s="272"/>
      <c r="U971" s="272"/>
      <c r="V971" s="224"/>
      <c r="W971" s="224"/>
      <c r="X971" s="224"/>
      <c r="Y971" s="224"/>
      <c r="Z971" s="224"/>
      <c r="AA971" s="224"/>
      <c r="AB971" s="224"/>
      <c r="AC971" s="224"/>
    </row>
    <row r="972" spans="1:29" ht="15.75" customHeight="1">
      <c r="A972" s="248">
        <v>44797</v>
      </c>
      <c r="B972" s="219" t="s">
        <v>7558</v>
      </c>
      <c r="C972" s="315">
        <v>2</v>
      </c>
      <c r="D972" s="219" t="s">
        <v>10377</v>
      </c>
      <c r="E972" s="219" t="s">
        <v>4</v>
      </c>
      <c r="F972" s="219" t="s">
        <v>460</v>
      </c>
      <c r="G972" s="219" t="s">
        <v>7562</v>
      </c>
      <c r="H972" s="219">
        <v>2</v>
      </c>
      <c r="I972" s="219" t="s">
        <v>1045</v>
      </c>
      <c r="J972" s="219" t="s">
        <v>7563</v>
      </c>
      <c r="K972" s="219">
        <v>2</v>
      </c>
      <c r="L972" s="219" t="s">
        <v>451</v>
      </c>
      <c r="M972" s="219">
        <v>4000000</v>
      </c>
      <c r="N972" s="219" t="s">
        <v>465</v>
      </c>
      <c r="O972" s="219" t="s">
        <v>452</v>
      </c>
      <c r="P972" s="219"/>
      <c r="Q972" s="219" t="s">
        <v>24</v>
      </c>
      <c r="R972" s="219"/>
      <c r="S972" s="219" t="str">
        <f>IFERROR(VLOOKUP(B972,'2022-2023 Third Reviews'!$C:$S,9,FALSE),"")</f>
        <v/>
      </c>
      <c r="T972" s="219"/>
      <c r="U972" s="219"/>
      <c r="V972" s="219"/>
      <c r="W972" s="219"/>
      <c r="X972" s="219"/>
      <c r="Y972" s="219"/>
      <c r="Z972" s="219"/>
      <c r="AA972" s="219"/>
      <c r="AB972" s="219"/>
      <c r="AC972" s="219"/>
    </row>
    <row r="973" spans="1:29" ht="15.75" customHeight="1">
      <c r="A973" s="220">
        <v>44776</v>
      </c>
      <c r="B973" s="221" t="s">
        <v>7566</v>
      </c>
      <c r="C973" s="214">
        <v>2</v>
      </c>
      <c r="D973" s="221" t="s">
        <v>7569</v>
      </c>
      <c r="E973" s="215" t="s">
        <v>4</v>
      </c>
      <c r="F973" s="221" t="s">
        <v>602</v>
      </c>
      <c r="G973" s="221" t="s">
        <v>7570</v>
      </c>
      <c r="H973" s="221">
        <v>2</v>
      </c>
      <c r="I973" s="221" t="s">
        <v>727</v>
      </c>
      <c r="J973" s="221" t="s">
        <v>7571</v>
      </c>
      <c r="K973" s="221">
        <v>2</v>
      </c>
      <c r="L973" s="221" t="s">
        <v>451</v>
      </c>
      <c r="M973" s="221">
        <v>400000</v>
      </c>
      <c r="N973" s="221" t="s">
        <v>452</v>
      </c>
      <c r="O973" s="221" t="s">
        <v>7572</v>
      </c>
      <c r="P973" s="145"/>
      <c r="Q973" s="221" t="s">
        <v>24</v>
      </c>
      <c r="R973" s="221">
        <f t="array" ref="R973">INDEX(Notes!C:C,MATCH($B973,Notes!$A:$A,0))</f>
        <v>0</v>
      </c>
      <c r="S973" s="221" t="str">
        <f>IFERROR(VLOOKUP(B973,'2022-2023 Third Reviews'!$C:$S,9,FALSE),"")</f>
        <v/>
      </c>
      <c r="T973" s="221"/>
      <c r="U973" s="221"/>
      <c r="V973" s="224"/>
      <c r="W973" s="224"/>
      <c r="X973" s="224"/>
      <c r="Y973" s="224"/>
      <c r="Z973" s="224"/>
      <c r="AA973" s="224"/>
      <c r="AB973" s="224"/>
      <c r="AC973" s="224"/>
    </row>
    <row r="974" spans="1:29" ht="15.75" customHeight="1">
      <c r="A974" s="248">
        <v>44796</v>
      </c>
      <c r="B974" s="219" t="s">
        <v>7574</v>
      </c>
      <c r="C974" s="315">
        <v>2</v>
      </c>
      <c r="D974" s="219"/>
      <c r="E974" s="219" t="s">
        <v>4</v>
      </c>
      <c r="F974" s="219" t="s">
        <v>725</v>
      </c>
      <c r="G974" s="219"/>
      <c r="H974" s="219">
        <v>2</v>
      </c>
      <c r="I974" s="219" t="s">
        <v>1045</v>
      </c>
      <c r="J974" s="219" t="s">
        <v>7577</v>
      </c>
      <c r="K974" s="219">
        <v>2</v>
      </c>
      <c r="L974" s="219" t="s">
        <v>2190</v>
      </c>
      <c r="M974" s="219">
        <v>1000000</v>
      </c>
      <c r="N974" s="219" t="s">
        <v>452</v>
      </c>
      <c r="O974" s="219" t="s">
        <v>7578</v>
      </c>
      <c r="P974" s="219" t="s">
        <v>7579</v>
      </c>
      <c r="Q974" s="219" t="s">
        <v>24</v>
      </c>
      <c r="R974" s="219"/>
      <c r="S974" s="219" t="str">
        <f>IFERROR(VLOOKUP(B974,'2022-2023 Third Reviews'!$C:$S,9,FALSE),"")</f>
        <v/>
      </c>
      <c r="T974" s="219"/>
      <c r="U974" s="219"/>
      <c r="V974" s="306"/>
      <c r="W974" s="306"/>
      <c r="X974" s="306"/>
      <c r="Y974" s="306"/>
      <c r="Z974" s="306"/>
      <c r="AA974" s="306"/>
      <c r="AB974" s="306"/>
      <c r="AC974" s="306"/>
    </row>
    <row r="975" spans="1:29" ht="15.75" hidden="1" customHeight="1">
      <c r="A975" s="253">
        <v>44782</v>
      </c>
      <c r="B975" s="224" t="s">
        <v>336</v>
      </c>
      <c r="C975" s="249">
        <v>4.25</v>
      </c>
      <c r="D975" s="224" t="s">
        <v>1899</v>
      </c>
      <c r="E975" s="250" t="s">
        <v>3</v>
      </c>
      <c r="F975" s="224" t="s">
        <v>460</v>
      </c>
      <c r="G975" s="224" t="s">
        <v>1900</v>
      </c>
      <c r="H975" s="224">
        <v>4.5</v>
      </c>
      <c r="I975" s="224" t="s">
        <v>941</v>
      </c>
      <c r="J975" s="224"/>
      <c r="K975" s="224">
        <v>4</v>
      </c>
      <c r="L975" s="224" t="s">
        <v>451</v>
      </c>
      <c r="M975" s="224" t="s">
        <v>1901</v>
      </c>
      <c r="N975" s="224" t="s">
        <v>452</v>
      </c>
      <c r="O975" s="224" t="s">
        <v>452</v>
      </c>
      <c r="P975" s="224"/>
      <c r="Q975" s="224" t="s">
        <v>18</v>
      </c>
      <c r="R975" s="254"/>
      <c r="S975" s="254"/>
      <c r="T975" s="254"/>
      <c r="U975" s="254"/>
      <c r="V975" s="252"/>
      <c r="W975" s="252"/>
      <c r="X975" s="252"/>
      <c r="Y975" s="224"/>
      <c r="Z975" s="224"/>
      <c r="AA975" s="224"/>
      <c r="AB975" s="224"/>
      <c r="AC975" s="224"/>
    </row>
    <row r="976" spans="1:29" ht="15.75" customHeight="1">
      <c r="A976" s="398">
        <v>44784</v>
      </c>
      <c r="B976" s="268" t="s">
        <v>7582</v>
      </c>
      <c r="C976" s="269">
        <v>2</v>
      </c>
      <c r="D976" s="268" t="s">
        <v>7585</v>
      </c>
      <c r="E976" s="270" t="s">
        <v>4</v>
      </c>
      <c r="F976" s="268" t="s">
        <v>727</v>
      </c>
      <c r="G976" s="268" t="s">
        <v>10734</v>
      </c>
      <c r="H976" s="268">
        <v>2</v>
      </c>
      <c r="I976" s="268" t="s">
        <v>1054</v>
      </c>
      <c r="J976" s="268" t="s">
        <v>7587</v>
      </c>
      <c r="K976" s="268">
        <v>2</v>
      </c>
      <c r="L976" s="268"/>
      <c r="M976" s="268"/>
      <c r="N976" s="268" t="s">
        <v>465</v>
      </c>
      <c r="O976" s="268" t="s">
        <v>7588</v>
      </c>
      <c r="P976" s="268"/>
      <c r="Q976" s="268" t="s">
        <v>24</v>
      </c>
      <c r="R976" s="268"/>
      <c r="S976" s="268" t="str">
        <f>IFERROR(VLOOKUP(B976,'2022-2023 Third Reviews'!$C:$S,9,FALSE),"")</f>
        <v/>
      </c>
      <c r="T976" s="268"/>
      <c r="U976" s="268"/>
      <c r="V976" s="252"/>
      <c r="W976" s="252"/>
      <c r="X976" s="252"/>
      <c r="Y976" s="219"/>
      <c r="Z976" s="219"/>
      <c r="AA976" s="219"/>
      <c r="AB976" s="219"/>
      <c r="AC976" s="219"/>
    </row>
    <row r="977" spans="1:29" ht="15.75" customHeight="1">
      <c r="A977" s="253">
        <v>44789</v>
      </c>
      <c r="B977" s="224" t="s">
        <v>7591</v>
      </c>
      <c r="C977" s="249">
        <v>2</v>
      </c>
      <c r="D977" s="224" t="s">
        <v>7594</v>
      </c>
      <c r="E977" s="250" t="s">
        <v>4</v>
      </c>
      <c r="F977" s="224" t="s">
        <v>727</v>
      </c>
      <c r="G977" s="224"/>
      <c r="H977" s="224">
        <v>2</v>
      </c>
      <c r="I977" s="224" t="s">
        <v>1045</v>
      </c>
      <c r="J977" s="224" t="s">
        <v>7595</v>
      </c>
      <c r="K977" s="224">
        <v>2</v>
      </c>
      <c r="L977" s="224" t="s">
        <v>784</v>
      </c>
      <c r="M977" s="311">
        <v>4000000</v>
      </c>
      <c r="N977" s="224" t="s">
        <v>452</v>
      </c>
      <c r="O977" s="224" t="s">
        <v>7596</v>
      </c>
      <c r="P977" s="224"/>
      <c r="Q977" s="224" t="s">
        <v>24</v>
      </c>
      <c r="R977" s="224"/>
      <c r="S977" s="224" t="str">
        <f>IFERROR(VLOOKUP(B977,'2022-2023 Third Reviews'!$C:$S,9,FALSE),"")</f>
        <v/>
      </c>
      <c r="T977" s="224"/>
      <c r="U977" s="224"/>
      <c r="V977" s="224"/>
      <c r="W977" s="224"/>
      <c r="X977" s="224"/>
      <c r="Y977" s="224"/>
      <c r="Z977" s="224"/>
      <c r="AA977" s="224"/>
      <c r="AB977" s="224"/>
      <c r="AC977" s="224"/>
    </row>
    <row r="978" spans="1:29" ht="15.75" hidden="1" customHeight="1">
      <c r="A978" s="541">
        <v>44796</v>
      </c>
      <c r="B978" s="306" t="s">
        <v>9022</v>
      </c>
      <c r="C978" s="542"/>
      <c r="D978" s="306" t="s">
        <v>10670</v>
      </c>
      <c r="E978" s="306" t="s">
        <v>3</v>
      </c>
      <c r="F978" s="306" t="s">
        <v>460</v>
      </c>
      <c r="G978" s="306" t="s">
        <v>9026</v>
      </c>
      <c r="H978" s="306">
        <v>2</v>
      </c>
      <c r="I978" s="306" t="s">
        <v>462</v>
      </c>
      <c r="J978" s="306" t="s">
        <v>13231</v>
      </c>
      <c r="K978" s="306"/>
      <c r="L978" s="306" t="s">
        <v>784</v>
      </c>
      <c r="M978" s="545">
        <v>400000</v>
      </c>
      <c r="N978" s="306" t="s">
        <v>452</v>
      </c>
      <c r="O978" s="306" t="s">
        <v>9029</v>
      </c>
      <c r="P978" s="306"/>
      <c r="Q978" s="306"/>
      <c r="R978" s="543"/>
      <c r="S978" s="543"/>
      <c r="T978" s="543"/>
      <c r="U978" s="543"/>
      <c r="V978" s="219"/>
      <c r="W978" s="219"/>
      <c r="X978" s="219"/>
      <c r="Y978" s="219"/>
      <c r="Z978" s="219"/>
      <c r="AA978" s="219"/>
      <c r="AB978" s="219"/>
      <c r="AC978" s="219"/>
    </row>
    <row r="979" spans="1:29" ht="15.75" hidden="1" customHeight="1">
      <c r="A979" s="253">
        <v>44796</v>
      </c>
      <c r="B979" s="224" t="s">
        <v>9022</v>
      </c>
      <c r="C979" s="316">
        <v>2.25</v>
      </c>
      <c r="D979" s="224" t="s">
        <v>10670</v>
      </c>
      <c r="E979" s="224" t="s">
        <v>3</v>
      </c>
      <c r="F979" s="224" t="s">
        <v>460</v>
      </c>
      <c r="G979" s="224" t="s">
        <v>9026</v>
      </c>
      <c r="H979" s="224">
        <v>2</v>
      </c>
      <c r="I979" s="224" t="s">
        <v>462</v>
      </c>
      <c r="J979" s="224" t="s">
        <v>9027</v>
      </c>
      <c r="K979" s="224">
        <v>2.5</v>
      </c>
      <c r="L979" s="224" t="s">
        <v>784</v>
      </c>
      <c r="M979" s="224" t="s">
        <v>9028</v>
      </c>
      <c r="N979" s="224" t="s">
        <v>452</v>
      </c>
      <c r="O979" s="224" t="s">
        <v>9029</v>
      </c>
      <c r="P979" s="224"/>
      <c r="Q979" s="224" t="s">
        <v>24</v>
      </c>
      <c r="R979" s="254"/>
      <c r="S979" s="254"/>
      <c r="T979" s="254"/>
      <c r="U979" s="254"/>
      <c r="V979" s="224"/>
      <c r="W979" s="224"/>
      <c r="X979" s="224"/>
      <c r="Y979" s="224"/>
      <c r="Z979" s="224"/>
      <c r="AA979" s="224"/>
      <c r="AB979" s="224"/>
      <c r="AC979" s="224"/>
    </row>
    <row r="980" spans="1:29" ht="15.75" hidden="1" customHeight="1">
      <c r="A980" s="248">
        <v>44782</v>
      </c>
      <c r="B980" s="219" t="s">
        <v>3052</v>
      </c>
      <c r="C980" s="249">
        <v>3</v>
      </c>
      <c r="D980" s="219" t="s">
        <v>3055</v>
      </c>
      <c r="E980" s="250" t="s">
        <v>5</v>
      </c>
      <c r="F980" s="219" t="s">
        <v>447</v>
      </c>
      <c r="G980" s="219" t="s">
        <v>11203</v>
      </c>
      <c r="H980" s="219">
        <v>3</v>
      </c>
      <c r="I980" s="219" t="s">
        <v>622</v>
      </c>
      <c r="J980" s="219" t="s">
        <v>3057</v>
      </c>
      <c r="K980" s="219">
        <v>3</v>
      </c>
      <c r="L980" s="219"/>
      <c r="M980" s="219"/>
      <c r="N980" s="219" t="s">
        <v>452</v>
      </c>
      <c r="O980" s="219" t="s">
        <v>452</v>
      </c>
      <c r="P980" s="219"/>
      <c r="Q980" s="219" t="s">
        <v>24</v>
      </c>
      <c r="R980" s="251"/>
      <c r="S980" s="251"/>
      <c r="T980" s="251"/>
      <c r="U980" s="251"/>
      <c r="V980" s="252"/>
      <c r="W980" s="252"/>
      <c r="X980" s="252"/>
      <c r="Y980" s="219"/>
      <c r="Z980" s="219"/>
      <c r="AA980" s="219"/>
      <c r="AB980" s="219"/>
      <c r="AC980" s="219"/>
    </row>
    <row r="981" spans="1:29" ht="15.75" customHeight="1">
      <c r="A981" s="253">
        <v>44791</v>
      </c>
      <c r="B981" s="224" t="s">
        <v>7599</v>
      </c>
      <c r="C981" s="316">
        <v>2</v>
      </c>
      <c r="D981" s="224" t="s">
        <v>7602</v>
      </c>
      <c r="E981" s="224" t="s">
        <v>4</v>
      </c>
      <c r="F981" s="224" t="s">
        <v>725</v>
      </c>
      <c r="G981" s="224"/>
      <c r="H981" s="224">
        <v>2</v>
      </c>
      <c r="I981" s="224" t="s">
        <v>1045</v>
      </c>
      <c r="J981" s="224" t="s">
        <v>7603</v>
      </c>
      <c r="K981" s="224">
        <v>2</v>
      </c>
      <c r="L981" s="224" t="s">
        <v>451</v>
      </c>
      <c r="M981" s="307">
        <v>3500000</v>
      </c>
      <c r="N981" s="224" t="s">
        <v>465</v>
      </c>
      <c r="O981" s="224" t="s">
        <v>7604</v>
      </c>
      <c r="P981" s="224"/>
      <c r="Q981" s="322" t="s">
        <v>24</v>
      </c>
      <c r="R981" s="224"/>
      <c r="S981" s="224" t="str">
        <f>IFERROR(VLOOKUP(B981,'2022-2023 Third Reviews'!$C:$S,9,FALSE),"")</f>
        <v/>
      </c>
      <c r="T981" s="224"/>
      <c r="U981" s="224"/>
      <c r="V981" s="224"/>
      <c r="W981" s="224"/>
      <c r="X981" s="224"/>
      <c r="Y981" s="224"/>
      <c r="Z981" s="224"/>
      <c r="AA981" s="224"/>
      <c r="AB981" s="224"/>
      <c r="AC981" s="224"/>
    </row>
    <row r="982" spans="1:29" ht="15.75" customHeight="1">
      <c r="A982" s="248">
        <v>44796</v>
      </c>
      <c r="B982" s="219" t="s">
        <v>7607</v>
      </c>
      <c r="C982" s="315">
        <v>2</v>
      </c>
      <c r="D982" s="219" t="s">
        <v>7610</v>
      </c>
      <c r="E982" s="219" t="s">
        <v>4</v>
      </c>
      <c r="F982" s="219" t="s">
        <v>602</v>
      </c>
      <c r="G982" s="219" t="s">
        <v>7611</v>
      </c>
      <c r="H982" s="219">
        <v>2</v>
      </c>
      <c r="I982" s="219" t="s">
        <v>1045</v>
      </c>
      <c r="J982" s="219" t="s">
        <v>7612</v>
      </c>
      <c r="K982" s="219">
        <v>2</v>
      </c>
      <c r="L982" s="219"/>
      <c r="M982" s="219"/>
      <c r="N982" s="219" t="s">
        <v>452</v>
      </c>
      <c r="O982" s="219" t="s">
        <v>3420</v>
      </c>
      <c r="P982" s="219" t="s">
        <v>725</v>
      </c>
      <c r="Q982" s="219" t="s">
        <v>24</v>
      </c>
      <c r="R982" s="219"/>
      <c r="S982" s="219" t="str">
        <f>IFERROR(VLOOKUP(B982,'2022-2023 Third Reviews'!$C:$S,9,FALSE),"")</f>
        <v/>
      </c>
      <c r="T982" s="219"/>
      <c r="U982" s="219"/>
      <c r="V982" s="306"/>
      <c r="W982" s="306"/>
      <c r="X982" s="306"/>
      <c r="Y982" s="306"/>
      <c r="Z982" s="306"/>
      <c r="AA982" s="306"/>
      <c r="AB982" s="306"/>
      <c r="AC982" s="306"/>
    </row>
    <row r="983" spans="1:29" ht="15.75" hidden="1" customHeight="1">
      <c r="A983" s="253">
        <v>44782</v>
      </c>
      <c r="B983" s="224" t="s">
        <v>3060</v>
      </c>
      <c r="C983" s="249">
        <v>2.25</v>
      </c>
      <c r="D983" s="224" t="s">
        <v>3063</v>
      </c>
      <c r="E983" s="250" t="s">
        <v>5</v>
      </c>
      <c r="F983" s="224" t="s">
        <v>447</v>
      </c>
      <c r="G983" s="224" t="s">
        <v>10399</v>
      </c>
      <c r="H983" s="224">
        <v>2.5</v>
      </c>
      <c r="I983" s="224" t="s">
        <v>476</v>
      </c>
      <c r="J983" s="224" t="s">
        <v>10400</v>
      </c>
      <c r="K983" s="224">
        <v>2</v>
      </c>
      <c r="L983" s="224"/>
      <c r="M983" s="224"/>
      <c r="N983" s="224" t="s">
        <v>452</v>
      </c>
      <c r="O983" s="224" t="s">
        <v>452</v>
      </c>
      <c r="P983" s="224"/>
      <c r="Q983" s="224" t="s">
        <v>24</v>
      </c>
      <c r="R983" s="254"/>
      <c r="S983" s="254"/>
      <c r="T983" s="254"/>
      <c r="U983" s="254"/>
      <c r="V983" s="252"/>
      <c r="W983" s="252"/>
      <c r="X983" s="252"/>
      <c r="Y983" s="224"/>
      <c r="Z983" s="224"/>
      <c r="AA983" s="224"/>
      <c r="AB983" s="224"/>
      <c r="AC983" s="224"/>
    </row>
    <row r="984" spans="1:29" ht="15.75" customHeight="1">
      <c r="A984" s="248">
        <v>44797</v>
      </c>
      <c r="B984" s="219" t="s">
        <v>7615</v>
      </c>
      <c r="C984" s="315">
        <v>2</v>
      </c>
      <c r="D984" s="219" t="s">
        <v>7618</v>
      </c>
      <c r="E984" s="219" t="s">
        <v>4</v>
      </c>
      <c r="F984" s="219" t="s">
        <v>602</v>
      </c>
      <c r="G984" s="219" t="s">
        <v>7619</v>
      </c>
      <c r="H984" s="219">
        <v>2</v>
      </c>
      <c r="I984" s="219" t="s">
        <v>1350</v>
      </c>
      <c r="J984" s="219" t="s">
        <v>7620</v>
      </c>
      <c r="K984" s="219">
        <v>2</v>
      </c>
      <c r="L984" s="219"/>
      <c r="M984" s="219"/>
      <c r="N984" s="219" t="s">
        <v>454</v>
      </c>
      <c r="O984" s="219" t="s">
        <v>7621</v>
      </c>
      <c r="P984" s="219" t="s">
        <v>7622</v>
      </c>
      <c r="Q984" s="219" t="s">
        <v>24</v>
      </c>
      <c r="R984" s="219"/>
      <c r="S984" s="219" t="str">
        <f>IFERROR(VLOOKUP(B984,'2022-2023 Third Reviews'!$C:$S,9,FALSE),"")</f>
        <v/>
      </c>
      <c r="T984" s="219"/>
      <c r="U984" s="219"/>
      <c r="V984" s="252"/>
      <c r="W984" s="252"/>
      <c r="X984" s="252"/>
      <c r="Y984" s="219"/>
      <c r="Z984" s="219"/>
      <c r="AA984" s="219"/>
      <c r="AB984" s="219"/>
      <c r="AC984" s="219"/>
    </row>
    <row r="985" spans="1:29" ht="15.75" customHeight="1">
      <c r="A985" s="253">
        <v>44791</v>
      </c>
      <c r="B985" s="224" t="s">
        <v>7625</v>
      </c>
      <c r="C985" s="316">
        <v>2</v>
      </c>
      <c r="D985" s="224" t="s">
        <v>7628</v>
      </c>
      <c r="E985" s="224" t="s">
        <v>4</v>
      </c>
      <c r="F985" s="224" t="s">
        <v>602</v>
      </c>
      <c r="G985" s="224" t="s">
        <v>7629</v>
      </c>
      <c r="H985" s="224">
        <v>2</v>
      </c>
      <c r="I985" s="224" t="s">
        <v>1045</v>
      </c>
      <c r="J985" s="224" t="s">
        <v>7630</v>
      </c>
      <c r="K985" s="224">
        <v>2</v>
      </c>
      <c r="L985" s="224" t="s">
        <v>451</v>
      </c>
      <c r="M985" s="307">
        <v>1500000</v>
      </c>
      <c r="N985" s="224" t="s">
        <v>452</v>
      </c>
      <c r="O985" s="224" t="s">
        <v>7631</v>
      </c>
      <c r="P985" s="224" t="s">
        <v>7632</v>
      </c>
      <c r="Q985" s="322" t="s">
        <v>24</v>
      </c>
      <c r="R985" s="224"/>
      <c r="S985" s="224" t="str">
        <f>IFERROR(VLOOKUP(B985,'2022-2023 Third Reviews'!$C:$S,9,FALSE),"")</f>
        <v/>
      </c>
      <c r="T985" s="224"/>
      <c r="U985" s="224"/>
      <c r="V985" s="258"/>
      <c r="W985" s="258"/>
      <c r="X985" s="258"/>
      <c r="Y985" s="258"/>
      <c r="Z985" s="258"/>
      <c r="AA985" s="258"/>
      <c r="AB985" s="258"/>
      <c r="AC985" s="258"/>
    </row>
    <row r="986" spans="1:29" ht="15.75" hidden="1" customHeight="1">
      <c r="A986" s="541">
        <v>44791</v>
      </c>
      <c r="B986" s="306" t="s">
        <v>337</v>
      </c>
      <c r="C986" s="542"/>
      <c r="D986" s="306" t="s">
        <v>1906</v>
      </c>
      <c r="E986" s="306" t="s">
        <v>3</v>
      </c>
      <c r="F986" s="306" t="s">
        <v>460</v>
      </c>
      <c r="G986" s="306"/>
      <c r="H986" s="306"/>
      <c r="I986" s="306" t="s">
        <v>462</v>
      </c>
      <c r="J986" s="306" t="s">
        <v>10939</v>
      </c>
      <c r="K986" s="306">
        <v>4.5</v>
      </c>
      <c r="L986" s="306" t="s">
        <v>451</v>
      </c>
      <c r="M986" s="306" t="s">
        <v>1909</v>
      </c>
      <c r="N986" s="306" t="s">
        <v>452</v>
      </c>
      <c r="O986" s="306" t="s">
        <v>10940</v>
      </c>
      <c r="P986" s="306" t="s">
        <v>1911</v>
      </c>
      <c r="Q986" s="306"/>
      <c r="R986" s="543"/>
      <c r="S986" s="543"/>
      <c r="T986" s="543"/>
      <c r="U986" s="543"/>
      <c r="V986" s="306"/>
      <c r="W986" s="306"/>
      <c r="X986" s="306"/>
      <c r="Y986" s="306"/>
      <c r="Z986" s="306"/>
      <c r="AA986" s="306"/>
      <c r="AB986" s="306"/>
      <c r="AC986" s="306"/>
    </row>
    <row r="987" spans="1:29" ht="15.75" hidden="1" customHeight="1">
      <c r="A987" s="257">
        <v>44791</v>
      </c>
      <c r="B987" s="258" t="s">
        <v>337</v>
      </c>
      <c r="C987" s="263">
        <v>4.25</v>
      </c>
      <c r="D987" s="258" t="s">
        <v>1906</v>
      </c>
      <c r="E987" s="258" t="s">
        <v>3</v>
      </c>
      <c r="F987" s="258" t="s">
        <v>460</v>
      </c>
      <c r="G987" s="258" t="s">
        <v>10938</v>
      </c>
      <c r="H987" s="258">
        <v>4</v>
      </c>
      <c r="I987" s="258" t="s">
        <v>462</v>
      </c>
      <c r="J987" s="258" t="s">
        <v>10939</v>
      </c>
      <c r="K987" s="258">
        <v>4.5</v>
      </c>
      <c r="L987" s="258" t="s">
        <v>451</v>
      </c>
      <c r="M987" s="309" t="s">
        <v>1909</v>
      </c>
      <c r="N987" s="258" t="s">
        <v>452</v>
      </c>
      <c r="O987" s="258" t="s">
        <v>10940</v>
      </c>
      <c r="P987" s="258" t="s">
        <v>1911</v>
      </c>
      <c r="Q987" s="258" t="s">
        <v>18</v>
      </c>
      <c r="R987" s="259" t="s">
        <v>11646</v>
      </c>
      <c r="S987" s="259"/>
      <c r="T987" s="259"/>
      <c r="U987" s="259"/>
      <c r="V987" s="258"/>
      <c r="W987" s="258"/>
      <c r="X987" s="258"/>
      <c r="Y987" s="258"/>
      <c r="Z987" s="258"/>
      <c r="AA987" s="258"/>
      <c r="AB987" s="258"/>
      <c r="AC987" s="258"/>
    </row>
    <row r="988" spans="1:29" ht="15.75" hidden="1" customHeight="1">
      <c r="A988" s="248">
        <v>44789</v>
      </c>
      <c r="B988" s="219" t="s">
        <v>338</v>
      </c>
      <c r="C988" s="249">
        <v>5</v>
      </c>
      <c r="D988" s="219" t="s">
        <v>1917</v>
      </c>
      <c r="E988" s="250" t="s">
        <v>3</v>
      </c>
      <c r="F988" s="219" t="s">
        <v>460</v>
      </c>
      <c r="G988" s="219" t="s">
        <v>1918</v>
      </c>
      <c r="H988" s="219">
        <v>5</v>
      </c>
      <c r="I988" s="219" t="s">
        <v>941</v>
      </c>
      <c r="J988" s="219" t="s">
        <v>1919</v>
      </c>
      <c r="K988" s="219">
        <v>5</v>
      </c>
      <c r="L988" s="219" t="s">
        <v>1920</v>
      </c>
      <c r="M988" s="219" t="s">
        <v>1921</v>
      </c>
      <c r="N988" s="219" t="s">
        <v>452</v>
      </c>
      <c r="O988" s="219" t="s">
        <v>10980</v>
      </c>
      <c r="P988" s="219" t="s">
        <v>1924</v>
      </c>
      <c r="Q988" s="219" t="s">
        <v>18</v>
      </c>
      <c r="R988" s="251"/>
      <c r="S988" s="251"/>
      <c r="T988" s="251"/>
      <c r="U988" s="251"/>
      <c r="V988" s="252"/>
      <c r="W988" s="252"/>
      <c r="X988" s="252"/>
      <c r="Y988" s="219"/>
      <c r="Z988" s="219"/>
      <c r="AA988" s="219"/>
      <c r="AB988" s="219"/>
      <c r="AC988" s="219"/>
    </row>
    <row r="989" spans="1:29" ht="15.75" hidden="1" customHeight="1">
      <c r="A989" s="220">
        <v>44776</v>
      </c>
      <c r="B989" s="221" t="s">
        <v>108</v>
      </c>
      <c r="C989" s="214">
        <v>5</v>
      </c>
      <c r="D989" s="221" t="s">
        <v>791</v>
      </c>
      <c r="E989" s="215" t="s">
        <v>5</v>
      </c>
      <c r="F989" s="221" t="s">
        <v>447</v>
      </c>
      <c r="G989" s="221" t="s">
        <v>792</v>
      </c>
      <c r="H989" s="221">
        <v>5</v>
      </c>
      <c r="I989" s="221" t="s">
        <v>543</v>
      </c>
      <c r="J989" s="221" t="s">
        <v>11399</v>
      </c>
      <c r="K989" s="221">
        <v>5</v>
      </c>
      <c r="L989" s="221" t="s">
        <v>478</v>
      </c>
      <c r="M989" s="222">
        <v>30000000</v>
      </c>
      <c r="N989" s="221" t="s">
        <v>452</v>
      </c>
      <c r="O989" s="221" t="s">
        <v>794</v>
      </c>
      <c r="P989" s="145"/>
      <c r="Q989" s="221" t="str">
        <f t="array" ref="Q989">INDEX(Notes!B:B,MATCH($B989,Notes!$A:$A,0))</f>
        <v>Invite</v>
      </c>
      <c r="R989" s="223">
        <f t="array" ref="R989">INDEX(Notes!C:C,MATCH($B989,Notes!$A:$A,0))</f>
        <v>0</v>
      </c>
      <c r="S989" s="223"/>
      <c r="T989" s="223"/>
      <c r="U989" s="223"/>
      <c r="V989" s="218"/>
      <c r="W989" s="218"/>
      <c r="X989" s="218"/>
      <c r="Y989" s="224"/>
      <c r="Z989" s="224"/>
      <c r="AA989" s="224"/>
      <c r="AB989" s="224"/>
      <c r="AC989" s="224"/>
    </row>
    <row r="990" spans="1:29" ht="15.75" hidden="1" customHeight="1">
      <c r="A990" s="248">
        <v>44789</v>
      </c>
      <c r="B990" s="219" t="s">
        <v>339</v>
      </c>
      <c r="C990" s="249">
        <v>4.25</v>
      </c>
      <c r="D990" s="219" t="s">
        <v>1929</v>
      </c>
      <c r="E990" s="250" t="s">
        <v>3</v>
      </c>
      <c r="F990" s="219" t="s">
        <v>460</v>
      </c>
      <c r="G990" s="219" t="s">
        <v>1930</v>
      </c>
      <c r="H990" s="219">
        <v>4.5</v>
      </c>
      <c r="I990" s="219" t="s">
        <v>941</v>
      </c>
      <c r="J990" s="219" t="s">
        <v>11018</v>
      </c>
      <c r="K990" s="219">
        <v>4</v>
      </c>
      <c r="L990" s="219" t="s">
        <v>451</v>
      </c>
      <c r="M990" s="312">
        <v>8000000</v>
      </c>
      <c r="N990" s="219" t="s">
        <v>465</v>
      </c>
      <c r="O990" s="219" t="s">
        <v>1932</v>
      </c>
      <c r="P990" s="219"/>
      <c r="Q990" s="219" t="s">
        <v>18</v>
      </c>
      <c r="R990" s="251"/>
      <c r="S990" s="251"/>
      <c r="T990" s="251"/>
      <c r="U990" s="251"/>
      <c r="V990" s="252"/>
      <c r="W990" s="252"/>
      <c r="X990" s="252"/>
      <c r="Y990" s="219"/>
      <c r="Z990" s="219"/>
      <c r="AA990" s="219"/>
      <c r="AB990" s="219"/>
      <c r="AC990" s="219"/>
    </row>
    <row r="991" spans="1:29" ht="15.75" hidden="1" customHeight="1">
      <c r="A991" s="257">
        <v>44782</v>
      </c>
      <c r="B991" s="258" t="s">
        <v>9031</v>
      </c>
      <c r="C991" s="249">
        <v>3</v>
      </c>
      <c r="D991" s="258" t="s">
        <v>9034</v>
      </c>
      <c r="E991" s="250" t="s">
        <v>3</v>
      </c>
      <c r="F991" s="258" t="s">
        <v>460</v>
      </c>
      <c r="G991" s="258" t="s">
        <v>9035</v>
      </c>
      <c r="H991" s="258">
        <v>3</v>
      </c>
      <c r="I991" s="258" t="s">
        <v>488</v>
      </c>
      <c r="J991" s="258"/>
      <c r="K991" s="258">
        <v>3</v>
      </c>
      <c r="L991" s="258" t="s">
        <v>784</v>
      </c>
      <c r="M991" s="258" t="s">
        <v>4444</v>
      </c>
      <c r="N991" s="258" t="s">
        <v>452</v>
      </c>
      <c r="O991" s="258" t="s">
        <v>11219</v>
      </c>
      <c r="P991" s="258" t="s">
        <v>9037</v>
      </c>
      <c r="Q991" s="258" t="s">
        <v>24</v>
      </c>
      <c r="R991" s="259" t="s">
        <v>11220</v>
      </c>
      <c r="S991" s="259"/>
      <c r="T991" s="259"/>
      <c r="U991" s="259"/>
      <c r="V991" s="258"/>
      <c r="W991" s="258"/>
      <c r="X991" s="258"/>
      <c r="Y991" s="258"/>
      <c r="Z991" s="258"/>
      <c r="AA991" s="258"/>
      <c r="AB991" s="258"/>
      <c r="AC991" s="258"/>
    </row>
    <row r="992" spans="1:29" ht="15.75" customHeight="1">
      <c r="A992" s="248">
        <v>44782</v>
      </c>
      <c r="B992" s="219" t="s">
        <v>7634</v>
      </c>
      <c r="C992" s="249">
        <v>2</v>
      </c>
      <c r="D992" s="219" t="s">
        <v>7637</v>
      </c>
      <c r="E992" s="250" t="s">
        <v>4</v>
      </c>
      <c r="F992" s="219" t="s">
        <v>602</v>
      </c>
      <c r="G992" s="219" t="s">
        <v>7638</v>
      </c>
      <c r="H992" s="219">
        <v>2</v>
      </c>
      <c r="I992" s="219" t="s">
        <v>1054</v>
      </c>
      <c r="J992" s="219" t="s">
        <v>7639</v>
      </c>
      <c r="K992" s="219">
        <v>2</v>
      </c>
      <c r="L992" s="219"/>
      <c r="M992" s="219"/>
      <c r="N992" s="219" t="s">
        <v>452</v>
      </c>
      <c r="O992" s="219" t="s">
        <v>7640</v>
      </c>
      <c r="P992" s="219"/>
      <c r="Q992" s="219" t="s">
        <v>24</v>
      </c>
      <c r="R992" s="219"/>
      <c r="S992" s="384" t="str">
        <f ca="1">IFERROR(VLOOKUP(B992,'2022-2023 Third Reviews'!$C:$S,9,FALSE),"")</f>
        <v>Chris Millisits
2</v>
      </c>
      <c r="T992" s="384"/>
      <c r="U992" s="219"/>
      <c r="V992" s="252"/>
      <c r="W992" s="252"/>
      <c r="X992" s="252"/>
      <c r="Y992" s="219"/>
      <c r="Z992" s="219"/>
      <c r="AA992" s="219"/>
      <c r="AB992" s="219"/>
      <c r="AC992" s="219"/>
    </row>
    <row r="993" spans="1:29" ht="15.75" customHeight="1">
      <c r="A993" s="253">
        <v>44791</v>
      </c>
      <c r="B993" s="224" t="s">
        <v>7642</v>
      </c>
      <c r="C993" s="316">
        <v>1.75</v>
      </c>
      <c r="D993" s="224" t="s">
        <v>7645</v>
      </c>
      <c r="E993" s="224" t="s">
        <v>4</v>
      </c>
      <c r="F993" s="224" t="s">
        <v>602</v>
      </c>
      <c r="G993" s="224" t="s">
        <v>7646</v>
      </c>
      <c r="H993" s="224">
        <v>2.5</v>
      </c>
      <c r="I993" s="224" t="s">
        <v>1036</v>
      </c>
      <c r="J993" s="224" t="s">
        <v>7647</v>
      </c>
      <c r="K993" s="224">
        <v>1</v>
      </c>
      <c r="L993" s="224"/>
      <c r="M993" s="224"/>
      <c r="N993" s="224" t="s">
        <v>452</v>
      </c>
      <c r="O993" s="224" t="s">
        <v>1119</v>
      </c>
      <c r="P993" s="224"/>
      <c r="Q993" s="322" t="s">
        <v>24</v>
      </c>
      <c r="R993" s="224"/>
      <c r="S993" s="224" t="str">
        <f>IFERROR(VLOOKUP(B993,'2022-2023 Third Reviews'!$C:$S,9,FALSE),"")</f>
        <v/>
      </c>
      <c r="T993" s="224"/>
      <c r="U993" s="224"/>
      <c r="V993" s="224"/>
      <c r="W993" s="224"/>
      <c r="X993" s="224"/>
      <c r="Y993" s="224"/>
      <c r="Z993" s="224"/>
      <c r="AA993" s="224"/>
      <c r="AB993" s="224"/>
      <c r="AC993" s="224"/>
    </row>
    <row r="994" spans="1:29" ht="15.75" customHeight="1">
      <c r="A994" s="248">
        <v>44796</v>
      </c>
      <c r="B994" s="219" t="s">
        <v>7650</v>
      </c>
      <c r="C994" s="315">
        <v>1.75</v>
      </c>
      <c r="D994" s="219" t="s">
        <v>10789</v>
      </c>
      <c r="E994" s="219" t="s">
        <v>4</v>
      </c>
      <c r="F994" s="219" t="s">
        <v>725</v>
      </c>
      <c r="G994" s="219" t="s">
        <v>10790</v>
      </c>
      <c r="H994" s="219">
        <v>2.5</v>
      </c>
      <c r="I994" s="219" t="s">
        <v>1036</v>
      </c>
      <c r="J994" s="219" t="s">
        <v>7655</v>
      </c>
      <c r="K994" s="219">
        <v>1</v>
      </c>
      <c r="L994" s="219"/>
      <c r="M994" s="219"/>
      <c r="N994" s="219" t="s">
        <v>454</v>
      </c>
      <c r="O994" s="219" t="s">
        <v>7656</v>
      </c>
      <c r="P994" s="219"/>
      <c r="Q994" s="219" t="s">
        <v>24</v>
      </c>
      <c r="R994" s="219"/>
      <c r="S994" s="219" t="str">
        <f>IFERROR(VLOOKUP(B994,'2022-2023 Third Reviews'!$C:$S,9,FALSE),"")</f>
        <v/>
      </c>
      <c r="T994" s="219"/>
      <c r="U994" s="219"/>
      <c r="V994" s="219"/>
      <c r="W994" s="219"/>
      <c r="X994" s="219"/>
      <c r="Y994" s="219"/>
      <c r="Z994" s="219"/>
      <c r="AA994" s="219"/>
      <c r="AB994" s="219"/>
      <c r="AC994" s="219"/>
    </row>
    <row r="995" spans="1:29" ht="15.75" customHeight="1">
      <c r="A995" s="253">
        <v>44789</v>
      </c>
      <c r="B995" s="224" t="s">
        <v>7659</v>
      </c>
      <c r="C995" s="249">
        <v>1.75</v>
      </c>
      <c r="D995" s="224" t="s">
        <v>7662</v>
      </c>
      <c r="E995" s="250" t="s">
        <v>4</v>
      </c>
      <c r="F995" s="224" t="s">
        <v>602</v>
      </c>
      <c r="G995" s="224" t="s">
        <v>7663</v>
      </c>
      <c r="H995" s="224">
        <v>2</v>
      </c>
      <c r="I995" s="224" t="s">
        <v>476</v>
      </c>
      <c r="J995" s="224" t="s">
        <v>11109</v>
      </c>
      <c r="K995" s="224">
        <v>1.5</v>
      </c>
      <c r="L995" s="224" t="s">
        <v>451</v>
      </c>
      <c r="M995" s="311">
        <v>500000</v>
      </c>
      <c r="N995" s="224" t="s">
        <v>452</v>
      </c>
      <c r="O995" s="224" t="s">
        <v>452</v>
      </c>
      <c r="P995" s="224"/>
      <c r="Q995" s="224" t="s">
        <v>24</v>
      </c>
      <c r="R995" s="224"/>
      <c r="S995" s="224" t="str">
        <f>IFERROR(VLOOKUP(B995,'2022-2023 Third Reviews'!$C:$S,9,FALSE),"")</f>
        <v/>
      </c>
      <c r="T995" s="224" t="s">
        <v>13051</v>
      </c>
      <c r="U995" s="224"/>
      <c r="V995" s="224"/>
      <c r="W995" s="224"/>
      <c r="X995" s="224"/>
      <c r="Y995" s="224"/>
      <c r="Z995" s="224"/>
      <c r="AA995" s="224"/>
      <c r="AB995" s="224"/>
      <c r="AC995" s="224"/>
    </row>
    <row r="996" spans="1:29" ht="15.75" customHeight="1">
      <c r="A996" s="248">
        <v>44789</v>
      </c>
      <c r="B996" s="219" t="s">
        <v>7667</v>
      </c>
      <c r="C996" s="249">
        <v>1.75</v>
      </c>
      <c r="D996" s="219" t="s">
        <v>7670</v>
      </c>
      <c r="E996" s="250" t="s">
        <v>4</v>
      </c>
      <c r="F996" s="219" t="s">
        <v>602</v>
      </c>
      <c r="G996" s="219" t="s">
        <v>7671</v>
      </c>
      <c r="H996" s="219">
        <v>2</v>
      </c>
      <c r="I996" s="219" t="s">
        <v>476</v>
      </c>
      <c r="J996" s="219" t="s">
        <v>10895</v>
      </c>
      <c r="K996" s="219">
        <v>1.5</v>
      </c>
      <c r="L996" s="219" t="s">
        <v>451</v>
      </c>
      <c r="M996" s="312">
        <v>1500000</v>
      </c>
      <c r="N996" s="219" t="s">
        <v>452</v>
      </c>
      <c r="O996" s="219" t="s">
        <v>11077</v>
      </c>
      <c r="P996" s="219"/>
      <c r="Q996" s="219" t="s">
        <v>24</v>
      </c>
      <c r="R996" s="219"/>
      <c r="S996" s="219" t="str">
        <f>IFERROR(VLOOKUP(B996,'2022-2023 Third Reviews'!$C:$S,9,FALSE),"")</f>
        <v/>
      </c>
      <c r="T996" s="219" t="s">
        <v>13276</v>
      </c>
      <c r="U996" s="219"/>
      <c r="V996" s="219"/>
      <c r="W996" s="219"/>
      <c r="X996" s="219"/>
      <c r="Y996" s="219"/>
      <c r="Z996" s="219"/>
      <c r="AA996" s="219"/>
      <c r="AB996" s="219"/>
      <c r="AC996" s="219"/>
    </row>
    <row r="997" spans="1:29" ht="15.75" hidden="1" customHeight="1">
      <c r="A997" s="541">
        <v>44791</v>
      </c>
      <c r="B997" s="306" t="s">
        <v>9041</v>
      </c>
      <c r="C997" s="542"/>
      <c r="D997" s="306" t="s">
        <v>9044</v>
      </c>
      <c r="E997" s="306" t="s">
        <v>3</v>
      </c>
      <c r="F997" s="306" t="s">
        <v>460</v>
      </c>
      <c r="G997" s="306"/>
      <c r="H997" s="306"/>
      <c r="I997" s="306" t="s">
        <v>941</v>
      </c>
      <c r="J997" s="306" t="s">
        <v>9046</v>
      </c>
      <c r="K997" s="306">
        <v>3</v>
      </c>
      <c r="L997" s="306" t="s">
        <v>973</v>
      </c>
      <c r="M997" s="306" t="s">
        <v>9047</v>
      </c>
      <c r="N997" s="306" t="s">
        <v>452</v>
      </c>
      <c r="O997" s="306" t="s">
        <v>9048</v>
      </c>
      <c r="P997" s="306"/>
      <c r="Q997" s="306"/>
      <c r="R997" s="543"/>
      <c r="S997" s="543"/>
      <c r="T997" s="543"/>
      <c r="U997" s="543"/>
      <c r="V997" s="306"/>
      <c r="W997" s="306"/>
      <c r="X997" s="306"/>
      <c r="Y997" s="306"/>
      <c r="Z997" s="306"/>
      <c r="AA997" s="306"/>
      <c r="AB997" s="306"/>
      <c r="AC997" s="306"/>
    </row>
    <row r="998" spans="1:29" ht="15.75" hidden="1" customHeight="1">
      <c r="A998" s="248">
        <v>44791</v>
      </c>
      <c r="B998" s="219" t="s">
        <v>9041</v>
      </c>
      <c r="C998" s="315">
        <v>3.25</v>
      </c>
      <c r="D998" s="219" t="s">
        <v>9044</v>
      </c>
      <c r="E998" s="219" t="s">
        <v>3</v>
      </c>
      <c r="F998" s="219" t="s">
        <v>460</v>
      </c>
      <c r="G998" s="219" t="s">
        <v>9045</v>
      </c>
      <c r="H998" s="219">
        <v>3.5</v>
      </c>
      <c r="I998" s="219" t="s">
        <v>941</v>
      </c>
      <c r="J998" s="219" t="s">
        <v>9046</v>
      </c>
      <c r="K998" s="219">
        <v>3</v>
      </c>
      <c r="L998" s="219" t="s">
        <v>973</v>
      </c>
      <c r="M998" s="219" t="s">
        <v>9047</v>
      </c>
      <c r="N998" s="219" t="s">
        <v>452</v>
      </c>
      <c r="O998" s="219" t="s">
        <v>9048</v>
      </c>
      <c r="P998" s="219"/>
      <c r="Q998" s="322" t="s">
        <v>24</v>
      </c>
      <c r="R998" s="251"/>
      <c r="S998" s="251"/>
      <c r="T998" s="251"/>
      <c r="U998" s="251"/>
      <c r="V998" s="219"/>
      <c r="W998" s="219"/>
      <c r="X998" s="219"/>
      <c r="Y998" s="219"/>
      <c r="Z998" s="219"/>
      <c r="AA998" s="219"/>
      <c r="AB998" s="219"/>
      <c r="AC998" s="219"/>
    </row>
    <row r="999" spans="1:29" ht="15.75" customHeight="1">
      <c r="A999" s="253">
        <v>44789</v>
      </c>
      <c r="B999" s="224" t="s">
        <v>7675</v>
      </c>
      <c r="C999" s="249">
        <v>1.75</v>
      </c>
      <c r="D999" s="224" t="s">
        <v>7678</v>
      </c>
      <c r="E999" s="250" t="s">
        <v>4</v>
      </c>
      <c r="F999" s="224" t="s">
        <v>727</v>
      </c>
      <c r="G999" s="224" t="s">
        <v>10219</v>
      </c>
      <c r="H999" s="224">
        <v>2</v>
      </c>
      <c r="I999" s="224" t="s">
        <v>1045</v>
      </c>
      <c r="J999" s="224" t="s">
        <v>7680</v>
      </c>
      <c r="K999" s="224">
        <v>1.5</v>
      </c>
      <c r="L999" s="224"/>
      <c r="M999" s="307"/>
      <c r="N999" s="224" t="s">
        <v>454</v>
      </c>
      <c r="O999" s="224" t="s">
        <v>452</v>
      </c>
      <c r="P999" s="224" t="s">
        <v>7681</v>
      </c>
      <c r="Q999" s="224" t="s">
        <v>24</v>
      </c>
      <c r="R999" s="224"/>
      <c r="S999" s="224" t="str">
        <f>IFERROR(VLOOKUP(B999,'2022-2023 Third Reviews'!$C:$S,9,FALSE),"")</f>
        <v/>
      </c>
      <c r="T999" s="224"/>
      <c r="U999" s="224"/>
      <c r="V999" s="224"/>
      <c r="W999" s="224"/>
      <c r="X999" s="224"/>
      <c r="Y999" s="224"/>
      <c r="Z999" s="224"/>
      <c r="AA999" s="224"/>
      <c r="AB999" s="224"/>
      <c r="AC999" s="224"/>
    </row>
    <row r="1000" spans="1:29" ht="15.75" customHeight="1">
      <c r="A1000" s="398">
        <v>44784</v>
      </c>
      <c r="B1000" s="268" t="s">
        <v>7683</v>
      </c>
      <c r="C1000" s="269">
        <v>1.75</v>
      </c>
      <c r="D1000" s="268" t="s">
        <v>7686</v>
      </c>
      <c r="E1000" s="270" t="s">
        <v>4</v>
      </c>
      <c r="F1000" s="268" t="s">
        <v>602</v>
      </c>
      <c r="G1000" s="268" t="s">
        <v>7687</v>
      </c>
      <c r="H1000" s="268">
        <v>2</v>
      </c>
      <c r="I1000" s="268" t="s">
        <v>476</v>
      </c>
      <c r="J1000" s="268" t="s">
        <v>7688</v>
      </c>
      <c r="K1000" s="268">
        <v>1.5</v>
      </c>
      <c r="L1000" s="268"/>
      <c r="M1000" s="268"/>
      <c r="N1000" s="268" t="s">
        <v>452</v>
      </c>
      <c r="O1000" s="268" t="s">
        <v>1119</v>
      </c>
      <c r="P1000" s="268"/>
      <c r="Q1000" s="268" t="s">
        <v>24</v>
      </c>
      <c r="R1000" s="268"/>
      <c r="S1000" s="268" t="str">
        <f>IFERROR(VLOOKUP(B1000,'2022-2023 Third Reviews'!$C:$S,9,FALSE),"")</f>
        <v/>
      </c>
      <c r="T1000" s="268"/>
      <c r="U1000" s="268"/>
      <c r="V1000" s="219"/>
      <c r="W1000" s="219"/>
      <c r="X1000" s="219"/>
      <c r="Y1000" s="219"/>
      <c r="Z1000" s="219"/>
      <c r="AA1000" s="219"/>
      <c r="AB1000" s="219"/>
      <c r="AC1000" s="219"/>
    </row>
    <row r="1001" spans="1:29" ht="15.75" customHeight="1">
      <c r="A1001" s="253">
        <v>44796</v>
      </c>
      <c r="B1001" s="224" t="s">
        <v>10598</v>
      </c>
      <c r="C1001" s="316">
        <v>1.75</v>
      </c>
      <c r="D1001" s="224" t="s">
        <v>7693</v>
      </c>
      <c r="E1001" s="224" t="s">
        <v>4</v>
      </c>
      <c r="F1001" s="224" t="s">
        <v>727</v>
      </c>
      <c r="G1001" s="224" t="s">
        <v>10599</v>
      </c>
      <c r="H1001" s="224">
        <v>2.5</v>
      </c>
      <c r="I1001" s="224" t="s">
        <v>1371</v>
      </c>
      <c r="J1001" s="224" t="s">
        <v>7695</v>
      </c>
      <c r="K1001" s="224">
        <v>1</v>
      </c>
      <c r="L1001" s="224" t="s">
        <v>451</v>
      </c>
      <c r="M1001" s="311">
        <v>2000000</v>
      </c>
      <c r="N1001" s="224" t="s">
        <v>452</v>
      </c>
      <c r="O1001" s="224" t="s">
        <v>7696</v>
      </c>
      <c r="P1001" s="224"/>
      <c r="Q1001" s="224" t="s">
        <v>24</v>
      </c>
      <c r="R1001" s="224"/>
      <c r="S1001" s="224" t="str">
        <f>IFERROR(VLOOKUP(B1001,'2022-2023 Third Reviews'!$C:$S,9,FALSE),"")</f>
        <v/>
      </c>
      <c r="T1001" s="224"/>
      <c r="U1001" s="224"/>
      <c r="V1001" s="258"/>
      <c r="W1001" s="258"/>
      <c r="X1001" s="258"/>
      <c r="Y1001" s="258"/>
      <c r="Z1001" s="258"/>
      <c r="AA1001" s="258"/>
      <c r="AB1001" s="258"/>
      <c r="AC1001" s="258"/>
    </row>
    <row r="1002" spans="1:29" ht="15.75" customHeight="1">
      <c r="A1002" s="248">
        <v>44789</v>
      </c>
      <c r="B1002" s="219" t="s">
        <v>7699</v>
      </c>
      <c r="C1002" s="249">
        <v>1.75</v>
      </c>
      <c r="D1002" s="219" t="s">
        <v>7702</v>
      </c>
      <c r="E1002" s="250" t="s">
        <v>4</v>
      </c>
      <c r="F1002" s="219" t="s">
        <v>727</v>
      </c>
      <c r="G1002" s="219" t="s">
        <v>10680</v>
      </c>
      <c r="H1002" s="219">
        <v>2.5</v>
      </c>
      <c r="I1002" s="219" t="s">
        <v>476</v>
      </c>
      <c r="J1002" s="219" t="s">
        <v>7704</v>
      </c>
      <c r="K1002" s="219">
        <v>1</v>
      </c>
      <c r="L1002" s="219" t="s">
        <v>784</v>
      </c>
      <c r="M1002" s="219">
        <v>750000</v>
      </c>
      <c r="N1002" s="219" t="s">
        <v>452</v>
      </c>
      <c r="O1002" s="219" t="s">
        <v>7705</v>
      </c>
      <c r="P1002" s="219"/>
      <c r="Q1002" s="219" t="s">
        <v>24</v>
      </c>
      <c r="R1002" s="219"/>
      <c r="S1002" s="219" t="str">
        <f ca="1">IFERROR(VLOOKUP(B1002,'2022-2023 Third Reviews'!$C:$S,9,FALSE),"")</f>
        <v>Joshua Rubnitz
2</v>
      </c>
      <c r="T1002" s="219" t="s">
        <v>13277</v>
      </c>
      <c r="U1002" s="219"/>
      <c r="V1002" s="219"/>
      <c r="W1002" s="219"/>
      <c r="X1002" s="219"/>
      <c r="Y1002" s="219"/>
      <c r="Z1002" s="219"/>
      <c r="AA1002" s="219"/>
      <c r="AB1002" s="219"/>
      <c r="AC1002" s="219"/>
    </row>
    <row r="1003" spans="1:29" ht="15.75" hidden="1" customHeight="1">
      <c r="A1003" s="267">
        <v>44784</v>
      </c>
      <c r="B1003" s="272" t="s">
        <v>3068</v>
      </c>
      <c r="C1003" s="269">
        <v>3</v>
      </c>
      <c r="D1003" s="272" t="s">
        <v>3071</v>
      </c>
      <c r="E1003" s="270" t="s">
        <v>5</v>
      </c>
      <c r="F1003" s="272" t="s">
        <v>447</v>
      </c>
      <c r="G1003" s="272" t="s">
        <v>10450</v>
      </c>
      <c r="H1003" s="272">
        <v>3</v>
      </c>
      <c r="I1003" s="272" t="s">
        <v>449</v>
      </c>
      <c r="J1003" s="272" t="s">
        <v>11585</v>
      </c>
      <c r="K1003" s="272">
        <v>3</v>
      </c>
      <c r="L1003" s="272"/>
      <c r="M1003" s="272"/>
      <c r="N1003" s="272" t="s">
        <v>452</v>
      </c>
      <c r="O1003" s="272" t="s">
        <v>3074</v>
      </c>
      <c r="P1003" s="272"/>
      <c r="Q1003" s="272" t="s">
        <v>24</v>
      </c>
      <c r="R1003" s="274"/>
      <c r="S1003" s="274"/>
      <c r="T1003" s="274"/>
      <c r="U1003" s="274"/>
      <c r="V1003" s="272"/>
      <c r="W1003" s="272"/>
      <c r="X1003" s="272"/>
      <c r="Y1003" s="272"/>
      <c r="Z1003" s="272"/>
      <c r="AA1003" s="224"/>
      <c r="AB1003" s="224"/>
      <c r="AC1003" s="224"/>
    </row>
    <row r="1004" spans="1:29" ht="15.75" customHeight="1">
      <c r="A1004" s="248">
        <v>44796</v>
      </c>
      <c r="B1004" s="219" t="s">
        <v>7708</v>
      </c>
      <c r="C1004" s="315">
        <v>1.75</v>
      </c>
      <c r="D1004" s="219" t="s">
        <v>7711</v>
      </c>
      <c r="E1004" s="219" t="s">
        <v>4</v>
      </c>
      <c r="F1004" s="219" t="s">
        <v>725</v>
      </c>
      <c r="G1004" s="219" t="s">
        <v>7712</v>
      </c>
      <c r="H1004" s="219">
        <v>2</v>
      </c>
      <c r="I1004" s="219" t="s">
        <v>476</v>
      </c>
      <c r="J1004" s="219" t="s">
        <v>11097</v>
      </c>
      <c r="K1004" s="219">
        <v>1.5</v>
      </c>
      <c r="L1004" s="219" t="s">
        <v>4416</v>
      </c>
      <c r="M1004" s="331">
        <v>1500000</v>
      </c>
      <c r="N1004" s="219" t="s">
        <v>452</v>
      </c>
      <c r="O1004" s="219" t="s">
        <v>7714</v>
      </c>
      <c r="P1004" s="219"/>
      <c r="Q1004" s="219" t="s">
        <v>24</v>
      </c>
      <c r="R1004" s="219"/>
      <c r="S1004" s="219" t="str">
        <f ca="1">IFERROR(VLOOKUP(B1004,'2022-2023 Third Reviews'!$C:$S,9,FALSE),"")</f>
        <v>Jason Yu
3</v>
      </c>
      <c r="T1004" s="219" t="s">
        <v>13264</v>
      </c>
      <c r="U1004" s="219"/>
      <c r="V1004" s="219"/>
      <c r="W1004" s="219"/>
      <c r="X1004" s="219"/>
      <c r="Y1004" s="219"/>
      <c r="Z1004" s="219"/>
      <c r="AA1004" s="219"/>
      <c r="AB1004" s="219"/>
      <c r="AC1004" s="219"/>
    </row>
    <row r="1005" spans="1:29" ht="15.75" customHeight="1">
      <c r="A1005" s="253">
        <v>44782</v>
      </c>
      <c r="B1005" s="224" t="s">
        <v>7717</v>
      </c>
      <c r="C1005" s="249">
        <v>1.75</v>
      </c>
      <c r="D1005" s="224" t="s">
        <v>11470</v>
      </c>
      <c r="E1005" s="250" t="s">
        <v>4</v>
      </c>
      <c r="F1005" s="224" t="s">
        <v>602</v>
      </c>
      <c r="G1005" s="224" t="s">
        <v>11471</v>
      </c>
      <c r="H1005" s="224">
        <v>2.5</v>
      </c>
      <c r="I1005" s="224" t="s">
        <v>1054</v>
      </c>
      <c r="J1005" s="224" t="s">
        <v>7722</v>
      </c>
      <c r="K1005" s="224">
        <v>1</v>
      </c>
      <c r="L1005" s="224"/>
      <c r="M1005" s="224"/>
      <c r="N1005" s="224" t="s">
        <v>452</v>
      </c>
      <c r="O1005" s="224" t="s">
        <v>452</v>
      </c>
      <c r="P1005" s="224"/>
      <c r="Q1005" s="224" t="s">
        <v>24</v>
      </c>
      <c r="R1005" s="224"/>
      <c r="S1005" s="224" t="str">
        <f ca="1">IFERROR(VLOOKUP(B1005,'2022-2023 Third Reviews'!$C:$S,9,FALSE),"")</f>
        <v>Chris Millisits
4</v>
      </c>
      <c r="T1005" s="224"/>
      <c r="U1005" s="224"/>
      <c r="V1005" s="224"/>
      <c r="W1005" s="224"/>
      <c r="X1005" s="224"/>
      <c r="Y1005" s="224"/>
      <c r="Z1005" s="224"/>
      <c r="AA1005" s="224"/>
      <c r="AB1005" s="224"/>
      <c r="AC1005" s="224"/>
    </row>
    <row r="1006" spans="1:29" ht="15.75" hidden="1" customHeight="1">
      <c r="A1006" s="541">
        <v>44796</v>
      </c>
      <c r="B1006" s="306" t="s">
        <v>9051</v>
      </c>
      <c r="C1006" s="542"/>
      <c r="D1006" s="306" t="s">
        <v>9054</v>
      </c>
      <c r="E1006" s="306" t="s">
        <v>3</v>
      </c>
      <c r="F1006" s="306" t="s">
        <v>460</v>
      </c>
      <c r="G1006" s="306"/>
      <c r="H1006" s="306"/>
      <c r="I1006" s="306" t="s">
        <v>462</v>
      </c>
      <c r="J1006" s="306"/>
      <c r="K1006" s="306"/>
      <c r="L1006" s="306" t="s">
        <v>451</v>
      </c>
      <c r="M1006" s="306">
        <v>1000000</v>
      </c>
      <c r="N1006" s="306" t="s">
        <v>452</v>
      </c>
      <c r="O1006" s="306" t="s">
        <v>9057</v>
      </c>
      <c r="P1006" s="306"/>
      <c r="Q1006" s="306"/>
      <c r="R1006" s="543"/>
      <c r="S1006" s="543"/>
      <c r="T1006" s="543"/>
      <c r="U1006" s="543"/>
      <c r="V1006" s="306"/>
      <c r="W1006" s="306"/>
      <c r="X1006" s="306"/>
      <c r="Y1006" s="306"/>
      <c r="Z1006" s="306"/>
      <c r="AA1006" s="306"/>
      <c r="AB1006" s="306"/>
      <c r="AC1006" s="306"/>
    </row>
    <row r="1007" spans="1:29" ht="15.75" hidden="1" customHeight="1">
      <c r="A1007" s="255">
        <v>44796</v>
      </c>
      <c r="B1007" s="239" t="s">
        <v>9051</v>
      </c>
      <c r="C1007" s="262">
        <v>3</v>
      </c>
      <c r="D1007" s="239" t="s">
        <v>9054</v>
      </c>
      <c r="E1007" s="239" t="s">
        <v>3</v>
      </c>
      <c r="F1007" s="239" t="s">
        <v>460</v>
      </c>
      <c r="G1007" s="239" t="s">
        <v>10743</v>
      </c>
      <c r="H1007" s="239">
        <v>3</v>
      </c>
      <c r="I1007" s="239" t="s">
        <v>462</v>
      </c>
      <c r="J1007" s="239" t="s">
        <v>9056</v>
      </c>
      <c r="K1007" s="239">
        <v>3</v>
      </c>
      <c r="L1007" s="239" t="s">
        <v>451</v>
      </c>
      <c r="M1007" s="239">
        <v>1000000</v>
      </c>
      <c r="N1007" s="239" t="s">
        <v>452</v>
      </c>
      <c r="O1007" s="239" t="s">
        <v>9057</v>
      </c>
      <c r="P1007" s="239"/>
      <c r="Q1007" s="239" t="s">
        <v>24</v>
      </c>
      <c r="R1007" s="256" t="s">
        <v>1477</v>
      </c>
      <c r="S1007" s="256"/>
      <c r="T1007" s="256"/>
      <c r="U1007" s="256"/>
      <c r="V1007" s="239"/>
      <c r="W1007" s="239"/>
      <c r="X1007" s="239"/>
      <c r="Y1007" s="239"/>
      <c r="Z1007" s="239"/>
      <c r="AA1007" s="239"/>
      <c r="AB1007" s="239"/>
      <c r="AC1007" s="239"/>
    </row>
    <row r="1008" spans="1:29" ht="15.75" customHeight="1">
      <c r="A1008" s="248">
        <v>44797</v>
      </c>
      <c r="B1008" s="219" t="s">
        <v>7725</v>
      </c>
      <c r="C1008" s="315">
        <v>1.75</v>
      </c>
      <c r="D1008" s="219" t="s">
        <v>7728</v>
      </c>
      <c r="E1008" s="219" t="s">
        <v>4</v>
      </c>
      <c r="F1008" s="219" t="s">
        <v>1045</v>
      </c>
      <c r="G1008" s="219" t="s">
        <v>7729</v>
      </c>
      <c r="H1008" s="219">
        <v>1.5</v>
      </c>
      <c r="I1008" s="219" t="s">
        <v>1350</v>
      </c>
      <c r="J1008" s="219" t="s">
        <v>7730</v>
      </c>
      <c r="K1008" s="219">
        <v>2</v>
      </c>
      <c r="L1008" s="219"/>
      <c r="M1008" s="219"/>
      <c r="N1008" s="219" t="s">
        <v>452</v>
      </c>
      <c r="O1008" s="219" t="s">
        <v>7731</v>
      </c>
      <c r="P1008" s="219"/>
      <c r="Q1008" s="219" t="s">
        <v>24</v>
      </c>
      <c r="R1008" s="219"/>
      <c r="S1008" s="219" t="str">
        <f ca="1">IFERROR(VLOOKUP(B1008,'2022-2023 Third Reviews'!$C:$S,9,FALSE),"")</f>
        <v>Chris Millisits
4</v>
      </c>
      <c r="T1008" s="219"/>
      <c r="U1008" s="219"/>
      <c r="V1008" s="219"/>
      <c r="W1008" s="219"/>
      <c r="X1008" s="219"/>
      <c r="Y1008" s="219"/>
      <c r="Z1008" s="219"/>
      <c r="AA1008" s="219"/>
      <c r="AB1008" s="219"/>
      <c r="AC1008" s="219"/>
    </row>
    <row r="1009" spans="1:29" ht="15.75" customHeight="1">
      <c r="A1009" s="253">
        <v>44789</v>
      </c>
      <c r="B1009" s="224" t="s">
        <v>7734</v>
      </c>
      <c r="C1009" s="249">
        <v>1.75</v>
      </c>
      <c r="D1009" s="224" t="s">
        <v>7737</v>
      </c>
      <c r="E1009" s="250" t="s">
        <v>4</v>
      </c>
      <c r="F1009" s="224" t="s">
        <v>602</v>
      </c>
      <c r="G1009" s="224" t="s">
        <v>7738</v>
      </c>
      <c r="H1009" s="224">
        <v>2.5</v>
      </c>
      <c r="I1009" s="224" t="s">
        <v>476</v>
      </c>
      <c r="J1009" s="224" t="s">
        <v>10895</v>
      </c>
      <c r="K1009" s="224">
        <v>1</v>
      </c>
      <c r="L1009" s="224" t="s">
        <v>451</v>
      </c>
      <c r="M1009" s="307">
        <v>2000000</v>
      </c>
      <c r="N1009" s="224" t="s">
        <v>452</v>
      </c>
      <c r="O1009" s="224" t="s">
        <v>7739</v>
      </c>
      <c r="P1009" s="224"/>
      <c r="Q1009" s="224" t="s">
        <v>24</v>
      </c>
      <c r="R1009" s="224"/>
      <c r="S1009" s="224" t="str">
        <f>IFERROR(VLOOKUP(B1009,'2022-2023 Third Reviews'!$C:$S,9,FALSE),"")</f>
        <v/>
      </c>
      <c r="T1009" s="224" t="s">
        <v>13278</v>
      </c>
      <c r="U1009" s="224"/>
      <c r="V1009" s="306"/>
      <c r="W1009" s="306"/>
      <c r="X1009" s="306"/>
      <c r="Y1009" s="306"/>
      <c r="Z1009" s="306"/>
      <c r="AA1009" s="306"/>
      <c r="AB1009" s="306"/>
      <c r="AC1009" s="306"/>
    </row>
    <row r="1010" spans="1:29" ht="15.75" hidden="1" customHeight="1">
      <c r="A1010" s="248">
        <v>44782</v>
      </c>
      <c r="B1010" s="219" t="s">
        <v>382</v>
      </c>
      <c r="C1010" s="249">
        <v>4</v>
      </c>
      <c r="D1010" s="219" t="s">
        <v>10047</v>
      </c>
      <c r="E1010" s="250" t="s">
        <v>5</v>
      </c>
      <c r="F1010" s="219" t="s">
        <v>447</v>
      </c>
      <c r="G1010" s="219" t="s">
        <v>10509</v>
      </c>
      <c r="H1010" s="219">
        <v>4</v>
      </c>
      <c r="I1010" s="219" t="s">
        <v>543</v>
      </c>
      <c r="J1010" s="219"/>
      <c r="K1010" s="219">
        <v>4</v>
      </c>
      <c r="L1010" s="219" t="s">
        <v>784</v>
      </c>
      <c r="M1010" s="219">
        <v>1200000</v>
      </c>
      <c r="N1010" s="219" t="s">
        <v>452</v>
      </c>
      <c r="O1010" s="219" t="s">
        <v>10049</v>
      </c>
      <c r="P1010" s="219" t="s">
        <v>10050</v>
      </c>
      <c r="Q1010" s="219" t="s">
        <v>18</v>
      </c>
      <c r="R1010" s="251"/>
      <c r="S1010" s="251"/>
      <c r="T1010" s="251"/>
      <c r="U1010" s="251"/>
      <c r="V1010" s="252"/>
      <c r="W1010" s="252"/>
      <c r="X1010" s="252"/>
      <c r="Y1010" s="219"/>
      <c r="Z1010" s="219"/>
      <c r="AA1010" s="219"/>
      <c r="AB1010" s="219"/>
      <c r="AC1010" s="219"/>
    </row>
    <row r="1011" spans="1:29" ht="15.75" customHeight="1">
      <c r="A1011" s="253">
        <v>44796</v>
      </c>
      <c r="B1011" s="224" t="s">
        <v>11155</v>
      </c>
      <c r="C1011" s="316">
        <v>1.75</v>
      </c>
      <c r="D1011" s="224" t="s">
        <v>7745</v>
      </c>
      <c r="E1011" s="224" t="s">
        <v>4</v>
      </c>
      <c r="F1011" s="224" t="s">
        <v>602</v>
      </c>
      <c r="G1011" s="224" t="s">
        <v>7746</v>
      </c>
      <c r="H1011" s="224">
        <v>2</v>
      </c>
      <c r="I1011" s="224" t="s">
        <v>1045</v>
      </c>
      <c r="J1011" s="224" t="s">
        <v>7747</v>
      </c>
      <c r="K1011" s="224">
        <v>1.5</v>
      </c>
      <c r="L1011" s="224"/>
      <c r="M1011" s="224"/>
      <c r="N1011" s="224" t="s">
        <v>454</v>
      </c>
      <c r="O1011" s="224" t="s">
        <v>7748</v>
      </c>
      <c r="P1011" s="224"/>
      <c r="Q1011" s="224" t="s">
        <v>24</v>
      </c>
      <c r="R1011" s="224"/>
      <c r="S1011" s="224" t="str">
        <f>IFERROR(VLOOKUP(B1011,'2022-2023 Third Reviews'!$C:$S,9,FALSE),"")</f>
        <v/>
      </c>
      <c r="T1011" s="224"/>
      <c r="U1011" s="224"/>
      <c r="V1011" s="306"/>
      <c r="W1011" s="306"/>
      <c r="X1011" s="306"/>
      <c r="Y1011" s="306"/>
      <c r="Z1011" s="306"/>
      <c r="AA1011" s="306"/>
      <c r="AB1011" s="306"/>
      <c r="AC1011" s="306"/>
    </row>
    <row r="1012" spans="1:29" ht="15.75" customHeight="1">
      <c r="A1012" s="248">
        <v>44782</v>
      </c>
      <c r="B1012" s="219" t="s">
        <v>7751</v>
      </c>
      <c r="C1012" s="249">
        <v>1.5</v>
      </c>
      <c r="D1012" s="219" t="s">
        <v>10481</v>
      </c>
      <c r="E1012" s="250" t="s">
        <v>4</v>
      </c>
      <c r="F1012" s="219" t="s">
        <v>602</v>
      </c>
      <c r="G1012" s="219" t="s">
        <v>7755</v>
      </c>
      <c r="H1012" s="219">
        <v>2</v>
      </c>
      <c r="I1012" s="219" t="s">
        <v>1054</v>
      </c>
      <c r="J1012" s="219"/>
      <c r="K1012" s="219">
        <v>1</v>
      </c>
      <c r="L1012" s="219" t="s">
        <v>451</v>
      </c>
      <c r="M1012" s="219">
        <v>1000000</v>
      </c>
      <c r="N1012" s="219" t="s">
        <v>452</v>
      </c>
      <c r="O1012" s="219" t="s">
        <v>452</v>
      </c>
      <c r="P1012" s="219"/>
      <c r="Q1012" s="219" t="s">
        <v>24</v>
      </c>
      <c r="R1012" s="219"/>
      <c r="S1012" s="219" t="str">
        <f>IFERROR(VLOOKUP(B1012,'2022-2023 Third Reviews'!$C:$S,9,FALSE),"")</f>
        <v/>
      </c>
      <c r="T1012" s="219"/>
      <c r="U1012" s="219"/>
      <c r="V1012" s="258"/>
      <c r="W1012" s="258"/>
      <c r="X1012" s="258"/>
      <c r="Y1012" s="258"/>
      <c r="Z1012" s="258"/>
      <c r="AA1012" s="258"/>
      <c r="AB1012" s="258"/>
      <c r="AC1012" s="258"/>
    </row>
    <row r="1013" spans="1:29" ht="15.75" customHeight="1">
      <c r="A1013" s="253">
        <v>44796</v>
      </c>
      <c r="B1013" s="224" t="s">
        <v>7758</v>
      </c>
      <c r="C1013" s="316">
        <v>1.5</v>
      </c>
      <c r="D1013" s="224" t="s">
        <v>7761</v>
      </c>
      <c r="E1013" s="224" t="s">
        <v>4</v>
      </c>
      <c r="F1013" s="224" t="s">
        <v>725</v>
      </c>
      <c r="G1013" s="224"/>
      <c r="H1013" s="224">
        <v>1</v>
      </c>
      <c r="I1013" s="224" t="s">
        <v>1036</v>
      </c>
      <c r="J1013" s="224" t="s">
        <v>7762</v>
      </c>
      <c r="K1013" s="224">
        <v>2</v>
      </c>
      <c r="L1013" s="224"/>
      <c r="M1013" s="224"/>
      <c r="N1013" s="224" t="s">
        <v>465</v>
      </c>
      <c r="O1013" s="224" t="s">
        <v>10771</v>
      </c>
      <c r="P1013" s="224"/>
      <c r="Q1013" s="224" t="s">
        <v>24</v>
      </c>
      <c r="R1013" s="224"/>
      <c r="S1013" s="224" t="str">
        <f>IFERROR(VLOOKUP(B1013,'2022-2023 Third Reviews'!$C:$S,9,FALSE),"")</f>
        <v/>
      </c>
      <c r="T1013" s="224"/>
      <c r="U1013" s="224"/>
      <c r="V1013" s="252"/>
      <c r="W1013" s="252"/>
      <c r="X1013" s="252"/>
      <c r="Y1013" s="224"/>
      <c r="Z1013" s="224"/>
      <c r="AA1013" s="224"/>
      <c r="AB1013" s="224"/>
      <c r="AC1013" s="224"/>
    </row>
    <row r="1014" spans="1:29" ht="15.75" hidden="1" customHeight="1">
      <c r="A1014" s="541">
        <v>44796</v>
      </c>
      <c r="B1014" s="306" t="s">
        <v>9060</v>
      </c>
      <c r="C1014" s="542"/>
      <c r="D1014" s="306" t="s">
        <v>10673</v>
      </c>
      <c r="E1014" s="306" t="s">
        <v>3</v>
      </c>
      <c r="F1014" s="306" t="s">
        <v>460</v>
      </c>
      <c r="G1014" s="306" t="s">
        <v>9064</v>
      </c>
      <c r="H1014" s="306">
        <v>3</v>
      </c>
      <c r="I1014" s="306" t="s">
        <v>462</v>
      </c>
      <c r="J1014" s="306"/>
      <c r="K1014" s="306"/>
      <c r="L1014" s="306" t="s">
        <v>3138</v>
      </c>
      <c r="M1014" s="306" t="s">
        <v>9066</v>
      </c>
      <c r="N1014" s="306" t="s">
        <v>452</v>
      </c>
      <c r="O1014" s="306" t="s">
        <v>10674</v>
      </c>
      <c r="P1014" s="306"/>
      <c r="Q1014" s="306"/>
      <c r="R1014" s="543"/>
      <c r="S1014" s="543"/>
      <c r="T1014" s="543"/>
      <c r="U1014" s="543"/>
      <c r="V1014" s="306"/>
      <c r="W1014" s="306"/>
      <c r="X1014" s="306"/>
      <c r="Y1014" s="306"/>
      <c r="Z1014" s="306"/>
      <c r="AA1014" s="306"/>
      <c r="AB1014" s="306"/>
      <c r="AC1014" s="306"/>
    </row>
    <row r="1015" spans="1:29" ht="15.75" hidden="1" customHeight="1">
      <c r="A1015" s="253">
        <v>44796</v>
      </c>
      <c r="B1015" s="224" t="s">
        <v>9060</v>
      </c>
      <c r="C1015" s="316">
        <v>2.5</v>
      </c>
      <c r="D1015" s="224" t="s">
        <v>10673</v>
      </c>
      <c r="E1015" s="224" t="s">
        <v>3</v>
      </c>
      <c r="F1015" s="224" t="s">
        <v>460</v>
      </c>
      <c r="G1015" s="224" t="s">
        <v>9064</v>
      </c>
      <c r="H1015" s="224">
        <v>3</v>
      </c>
      <c r="I1015" s="224" t="s">
        <v>462</v>
      </c>
      <c r="J1015" s="224" t="s">
        <v>9065</v>
      </c>
      <c r="K1015" s="224">
        <v>2</v>
      </c>
      <c r="L1015" s="224" t="s">
        <v>3138</v>
      </c>
      <c r="M1015" s="224" t="s">
        <v>9066</v>
      </c>
      <c r="N1015" s="224" t="s">
        <v>452</v>
      </c>
      <c r="O1015" s="224" t="s">
        <v>10674</v>
      </c>
      <c r="P1015" s="224"/>
      <c r="Q1015" s="224" t="s">
        <v>24</v>
      </c>
      <c r="R1015" s="254"/>
      <c r="S1015" s="254"/>
      <c r="T1015" s="254"/>
      <c r="U1015" s="254"/>
      <c r="V1015" s="224"/>
      <c r="W1015" s="224"/>
      <c r="X1015" s="224"/>
      <c r="Y1015" s="224"/>
      <c r="Z1015" s="224"/>
      <c r="AA1015" s="224"/>
      <c r="AB1015" s="224"/>
      <c r="AC1015" s="224"/>
    </row>
    <row r="1016" spans="1:29" ht="15.75" customHeight="1">
      <c r="A1016" s="248">
        <v>44789</v>
      </c>
      <c r="B1016" s="219" t="s">
        <v>7766</v>
      </c>
      <c r="C1016" s="249">
        <v>1.5</v>
      </c>
      <c r="D1016" s="219" t="s">
        <v>7769</v>
      </c>
      <c r="E1016" s="250" t="s">
        <v>4</v>
      </c>
      <c r="F1016" s="219" t="s">
        <v>727</v>
      </c>
      <c r="G1016" s="219" t="s">
        <v>7770</v>
      </c>
      <c r="H1016" s="219">
        <v>2</v>
      </c>
      <c r="I1016" s="219" t="s">
        <v>1045</v>
      </c>
      <c r="J1016" s="219" t="s">
        <v>7771</v>
      </c>
      <c r="K1016" s="219">
        <v>1</v>
      </c>
      <c r="L1016" s="219" t="s">
        <v>784</v>
      </c>
      <c r="M1016" s="310">
        <v>500000</v>
      </c>
      <c r="N1016" s="219" t="s">
        <v>452</v>
      </c>
      <c r="O1016" s="219" t="s">
        <v>575</v>
      </c>
      <c r="P1016" s="219" t="s">
        <v>447</v>
      </c>
      <c r="Q1016" s="219" t="s">
        <v>24</v>
      </c>
      <c r="R1016" s="219"/>
      <c r="S1016" s="219" t="str">
        <f>IFERROR(VLOOKUP(B1016,'2022-2023 Third Reviews'!$C:$S,9,FALSE),"")</f>
        <v/>
      </c>
      <c r="T1016" s="219"/>
      <c r="U1016" s="219"/>
      <c r="V1016" s="252"/>
      <c r="W1016" s="252"/>
      <c r="X1016" s="252"/>
      <c r="Y1016" s="219"/>
      <c r="Z1016" s="219"/>
      <c r="AA1016" s="219"/>
      <c r="AB1016" s="219"/>
      <c r="AC1016" s="219"/>
    </row>
    <row r="1017" spans="1:29" ht="15.75" customHeight="1">
      <c r="A1017" s="253">
        <v>44797</v>
      </c>
      <c r="B1017" s="224" t="s">
        <v>7774</v>
      </c>
      <c r="C1017" s="316">
        <v>1.5</v>
      </c>
      <c r="D1017" s="224" t="s">
        <v>11340</v>
      </c>
      <c r="E1017" s="224" t="s">
        <v>4</v>
      </c>
      <c r="F1017" s="224" t="s">
        <v>602</v>
      </c>
      <c r="G1017" s="224" t="s">
        <v>7778</v>
      </c>
      <c r="H1017" s="224">
        <v>2</v>
      </c>
      <c r="I1017" s="224" t="s">
        <v>1036</v>
      </c>
      <c r="J1017" s="224" t="s">
        <v>7779</v>
      </c>
      <c r="K1017" s="224">
        <v>1</v>
      </c>
      <c r="L1017" s="224"/>
      <c r="M1017" s="224"/>
      <c r="N1017" s="224" t="s">
        <v>452</v>
      </c>
      <c r="O1017" s="224" t="s">
        <v>11341</v>
      </c>
      <c r="P1017" s="224"/>
      <c r="Q1017" s="224" t="s">
        <v>24</v>
      </c>
      <c r="R1017" s="224"/>
      <c r="S1017" s="224" t="str">
        <f>IFERROR(VLOOKUP(B1017,'2022-2023 Third Reviews'!$C:$S,9,FALSE),"")</f>
        <v/>
      </c>
      <c r="T1017" s="224"/>
      <c r="U1017" s="224"/>
      <c r="V1017" s="224"/>
      <c r="W1017" s="224"/>
      <c r="X1017" s="224"/>
      <c r="Y1017" s="224"/>
      <c r="Z1017" s="224"/>
      <c r="AA1017" s="224"/>
      <c r="AB1017" s="224"/>
      <c r="AC1017" s="224"/>
    </row>
    <row r="1018" spans="1:29" ht="15.75" hidden="1" customHeight="1">
      <c r="A1018" s="248">
        <v>44789</v>
      </c>
      <c r="B1018" s="219" t="s">
        <v>3077</v>
      </c>
      <c r="C1018" s="249">
        <v>1.5</v>
      </c>
      <c r="D1018" s="219" t="s">
        <v>3080</v>
      </c>
      <c r="E1018" s="250" t="s">
        <v>5</v>
      </c>
      <c r="F1018" s="219" t="s">
        <v>447</v>
      </c>
      <c r="G1018" s="219" t="s">
        <v>10826</v>
      </c>
      <c r="H1018" s="219">
        <v>1</v>
      </c>
      <c r="I1018" s="219" t="s">
        <v>543</v>
      </c>
      <c r="J1018" s="219" t="s">
        <v>10827</v>
      </c>
      <c r="K1018" s="219">
        <v>2</v>
      </c>
      <c r="L1018" s="219" t="s">
        <v>3083</v>
      </c>
      <c r="M1018" s="219" t="s">
        <v>3084</v>
      </c>
      <c r="N1018" s="219" t="s">
        <v>452</v>
      </c>
      <c r="O1018" s="219" t="s">
        <v>452</v>
      </c>
      <c r="P1018" s="219"/>
      <c r="Q1018" s="219" t="s">
        <v>24</v>
      </c>
      <c r="R1018" s="251"/>
      <c r="S1018" s="251"/>
      <c r="T1018" s="251"/>
      <c r="U1018" s="251"/>
      <c r="V1018" s="252"/>
      <c r="W1018" s="252"/>
      <c r="X1018" s="252"/>
      <c r="Y1018" s="219"/>
      <c r="Z1018" s="219"/>
      <c r="AA1018" s="219"/>
      <c r="AB1018" s="219"/>
      <c r="AC1018" s="219"/>
    </row>
    <row r="1019" spans="1:29" ht="15.75" hidden="1" customHeight="1">
      <c r="A1019" s="280">
        <v>44784</v>
      </c>
      <c r="B1019" s="281" t="s">
        <v>9816</v>
      </c>
      <c r="C1019" s="282">
        <v>2.5</v>
      </c>
      <c r="D1019" s="281" t="s">
        <v>9819</v>
      </c>
      <c r="E1019" s="281" t="s">
        <v>3</v>
      </c>
      <c r="F1019" s="281" t="s">
        <v>460</v>
      </c>
      <c r="G1019" s="281" t="s">
        <v>9820</v>
      </c>
      <c r="H1019" s="281">
        <v>3</v>
      </c>
      <c r="I1019" s="281" t="s">
        <v>488</v>
      </c>
      <c r="J1019" s="281" t="s">
        <v>11593</v>
      </c>
      <c r="K1019" s="281">
        <v>2</v>
      </c>
      <c r="L1019" s="281"/>
      <c r="M1019" s="281"/>
      <c r="N1019" s="281" t="s">
        <v>454</v>
      </c>
      <c r="O1019" s="281" t="s">
        <v>452</v>
      </c>
      <c r="P1019" s="281"/>
      <c r="Q1019" s="281" t="s">
        <v>23</v>
      </c>
      <c r="R1019" s="283" t="s">
        <v>9822</v>
      </c>
      <c r="S1019" s="283"/>
      <c r="T1019" s="283"/>
      <c r="U1019" s="283"/>
      <c r="V1019" s="281"/>
      <c r="W1019" s="281"/>
      <c r="X1019" s="281"/>
      <c r="Y1019" s="281"/>
      <c r="Z1019" s="281"/>
      <c r="AA1019" s="258"/>
      <c r="AB1019" s="258"/>
      <c r="AC1019" s="258"/>
    </row>
    <row r="1020" spans="1:29" ht="15.75" hidden="1" customHeight="1">
      <c r="A1020" s="541">
        <v>44791</v>
      </c>
      <c r="B1020" s="306" t="s">
        <v>13228</v>
      </c>
      <c r="C1020" s="542"/>
      <c r="D1020" s="306"/>
      <c r="E1020" s="306" t="s">
        <v>3</v>
      </c>
      <c r="F1020" s="306"/>
      <c r="G1020" s="306"/>
      <c r="H1020" s="306"/>
      <c r="I1020" s="306"/>
      <c r="J1020" s="306"/>
      <c r="K1020" s="306"/>
      <c r="L1020" s="306"/>
      <c r="M1020" s="306"/>
      <c r="N1020" s="306" t="s">
        <v>454</v>
      </c>
      <c r="O1020" s="306" t="s">
        <v>452</v>
      </c>
      <c r="P1020" s="306"/>
      <c r="Q1020" s="306"/>
      <c r="R1020" s="543"/>
      <c r="S1020" s="543"/>
      <c r="T1020" s="543"/>
      <c r="U1020" s="543"/>
      <c r="V1020" s="306"/>
      <c r="W1020" s="306"/>
      <c r="X1020" s="306"/>
      <c r="Y1020" s="306"/>
      <c r="Z1020" s="306"/>
      <c r="AA1020" s="306"/>
      <c r="AB1020" s="306"/>
      <c r="AC1020" s="306"/>
    </row>
    <row r="1021" spans="1:29" ht="15.75" hidden="1" customHeight="1">
      <c r="A1021" s="541">
        <v>44796</v>
      </c>
      <c r="B1021" s="306" t="s">
        <v>13228</v>
      </c>
      <c r="C1021" s="542"/>
      <c r="D1021" s="306"/>
      <c r="E1021" s="306" t="s">
        <v>3</v>
      </c>
      <c r="F1021" s="306" t="s">
        <v>460</v>
      </c>
      <c r="G1021" s="306"/>
      <c r="H1021" s="306"/>
      <c r="I1021" s="306" t="s">
        <v>488</v>
      </c>
      <c r="J1021" s="306"/>
      <c r="K1021" s="306"/>
      <c r="L1021" s="306"/>
      <c r="M1021" s="306"/>
      <c r="N1021" s="306" t="s">
        <v>454</v>
      </c>
      <c r="O1021" s="306" t="s">
        <v>452</v>
      </c>
      <c r="P1021" s="306"/>
      <c r="Q1021" s="306"/>
      <c r="R1021" s="543"/>
      <c r="S1021" s="543"/>
      <c r="T1021" s="543"/>
      <c r="U1021" s="543"/>
      <c r="V1021" s="224"/>
      <c r="W1021" s="224"/>
      <c r="X1021" s="224"/>
      <c r="Y1021" s="224"/>
      <c r="Z1021" s="224"/>
      <c r="AA1021" s="224"/>
      <c r="AB1021" s="224"/>
      <c r="AC1021" s="224"/>
    </row>
    <row r="1022" spans="1:29" ht="15.75" hidden="1" customHeight="1">
      <c r="A1022" s="248">
        <v>44791</v>
      </c>
      <c r="B1022" s="219" t="s">
        <v>109</v>
      </c>
      <c r="C1022" s="315">
        <v>4</v>
      </c>
      <c r="D1022" s="219" t="s">
        <v>799</v>
      </c>
      <c r="E1022" s="219" t="s">
        <v>5</v>
      </c>
      <c r="F1022" s="219" t="s">
        <v>447</v>
      </c>
      <c r="G1022" s="219" t="s">
        <v>11152</v>
      </c>
      <c r="H1022" s="219">
        <v>4</v>
      </c>
      <c r="I1022" s="219" t="s">
        <v>449</v>
      </c>
      <c r="J1022" s="219" t="s">
        <v>11661</v>
      </c>
      <c r="K1022" s="219">
        <v>4</v>
      </c>
      <c r="L1022" s="219" t="s">
        <v>478</v>
      </c>
      <c r="M1022" s="312">
        <v>12000000</v>
      </c>
      <c r="N1022" s="219" t="s">
        <v>452</v>
      </c>
      <c r="O1022" s="219" t="s">
        <v>452</v>
      </c>
      <c r="P1022" s="219"/>
      <c r="Q1022" s="219" t="s">
        <v>18</v>
      </c>
      <c r="R1022" s="251"/>
      <c r="S1022" s="251"/>
      <c r="T1022" s="251"/>
      <c r="U1022" s="251"/>
      <c r="V1022" s="219"/>
      <c r="W1022" s="219"/>
      <c r="X1022" s="219"/>
      <c r="Y1022" s="219"/>
      <c r="Z1022" s="219"/>
      <c r="AA1022" s="219"/>
      <c r="AB1022" s="219"/>
      <c r="AC1022" s="219"/>
    </row>
    <row r="1023" spans="1:29" ht="15.75" hidden="1" customHeight="1">
      <c r="A1023" s="253">
        <v>44789</v>
      </c>
      <c r="B1023" s="224" t="s">
        <v>9070</v>
      </c>
      <c r="C1023" s="249">
        <v>3.5</v>
      </c>
      <c r="D1023" s="224" t="s">
        <v>9073</v>
      </c>
      <c r="E1023" s="250" t="s">
        <v>3</v>
      </c>
      <c r="F1023" s="224" t="s">
        <v>460</v>
      </c>
      <c r="G1023" s="224" t="s">
        <v>9074</v>
      </c>
      <c r="H1023" s="224">
        <v>3</v>
      </c>
      <c r="I1023" s="224" t="s">
        <v>941</v>
      </c>
      <c r="J1023" s="224" t="s">
        <v>9075</v>
      </c>
      <c r="K1023" s="224">
        <v>4</v>
      </c>
      <c r="L1023" s="224"/>
      <c r="M1023" s="224"/>
      <c r="N1023" s="224" t="s">
        <v>452</v>
      </c>
      <c r="O1023" s="224" t="s">
        <v>11046</v>
      </c>
      <c r="P1023" s="224"/>
      <c r="Q1023" s="224" t="s">
        <v>24</v>
      </c>
      <c r="R1023" s="254"/>
      <c r="S1023" s="254"/>
      <c r="T1023" s="254"/>
      <c r="U1023" s="254"/>
      <c r="V1023" s="252"/>
      <c r="W1023" s="252"/>
      <c r="X1023" s="252"/>
      <c r="Y1023" s="224"/>
      <c r="Z1023" s="224"/>
      <c r="AA1023" s="224"/>
      <c r="AB1023" s="224"/>
      <c r="AC1023" s="224"/>
    </row>
    <row r="1024" spans="1:29" ht="15.75" hidden="1" customHeight="1">
      <c r="A1024" s="267">
        <v>44784</v>
      </c>
      <c r="B1024" s="268" t="s">
        <v>112</v>
      </c>
      <c r="C1024" s="269">
        <v>4</v>
      </c>
      <c r="D1024" s="268" t="s">
        <v>806</v>
      </c>
      <c r="E1024" s="270" t="s">
        <v>5</v>
      </c>
      <c r="F1024" s="268" t="s">
        <v>602</v>
      </c>
      <c r="G1024" s="268" t="s">
        <v>807</v>
      </c>
      <c r="H1024" s="268">
        <v>4.5</v>
      </c>
      <c r="I1024" s="268" t="s">
        <v>449</v>
      </c>
      <c r="J1024" s="268" t="s">
        <v>11561</v>
      </c>
      <c r="K1024" s="268">
        <v>3.5</v>
      </c>
      <c r="L1024" s="268"/>
      <c r="M1024" s="268"/>
      <c r="N1024" s="268" t="s">
        <v>452</v>
      </c>
      <c r="O1024" s="268" t="s">
        <v>809</v>
      </c>
      <c r="P1024" s="268" t="s">
        <v>602</v>
      </c>
      <c r="Q1024" s="268" t="s">
        <v>19</v>
      </c>
      <c r="R1024" s="271" t="s">
        <v>810</v>
      </c>
      <c r="S1024" s="271"/>
      <c r="T1024" s="271"/>
      <c r="U1024" s="271"/>
      <c r="V1024" s="268"/>
      <c r="W1024" s="268"/>
      <c r="X1024" s="268"/>
      <c r="Y1024" s="268"/>
      <c r="Z1024" s="268"/>
      <c r="AA1024" s="219"/>
      <c r="AB1024" s="219"/>
      <c r="AC1024" s="219"/>
    </row>
    <row r="1025" spans="1:29" ht="15.75" hidden="1" customHeight="1">
      <c r="A1025" s="257">
        <v>44789</v>
      </c>
      <c r="B1025" s="258" t="s">
        <v>3087</v>
      </c>
      <c r="C1025" s="263">
        <v>3.25</v>
      </c>
      <c r="D1025" s="258" t="s">
        <v>3090</v>
      </c>
      <c r="E1025" s="258" t="s">
        <v>5</v>
      </c>
      <c r="F1025" s="258" t="s">
        <v>622</v>
      </c>
      <c r="G1025" s="258" t="s">
        <v>10283</v>
      </c>
      <c r="H1025" s="258">
        <v>3</v>
      </c>
      <c r="I1025" s="258" t="s">
        <v>449</v>
      </c>
      <c r="J1025" s="258" t="s">
        <v>13400</v>
      </c>
      <c r="K1025" s="258">
        <v>3.5</v>
      </c>
      <c r="L1025" s="258" t="s">
        <v>451</v>
      </c>
      <c r="M1025" s="309">
        <v>6000000</v>
      </c>
      <c r="N1025" s="258" t="s">
        <v>465</v>
      </c>
      <c r="O1025" s="258" t="s">
        <v>3093</v>
      </c>
      <c r="P1025" s="258"/>
      <c r="Q1025" s="258" t="s">
        <v>24</v>
      </c>
      <c r="R1025" s="259" t="s">
        <v>3094</v>
      </c>
      <c r="S1025" s="259"/>
      <c r="T1025" s="259"/>
      <c r="U1025" s="259"/>
      <c r="V1025" s="258"/>
      <c r="W1025" s="258"/>
      <c r="X1025" s="258"/>
      <c r="Y1025" s="258"/>
      <c r="Z1025" s="258"/>
      <c r="AA1025" s="258"/>
      <c r="AB1025" s="258"/>
      <c r="AC1025" s="258"/>
    </row>
    <row r="1026" spans="1:29" ht="15.75" hidden="1" customHeight="1">
      <c r="A1026" s="276">
        <v>44784</v>
      </c>
      <c r="B1026" s="277" t="s">
        <v>121</v>
      </c>
      <c r="C1026" s="278">
        <v>2.5</v>
      </c>
      <c r="D1026" s="277" t="s">
        <v>10776</v>
      </c>
      <c r="E1026" s="277" t="s">
        <v>5</v>
      </c>
      <c r="F1026" s="277" t="s">
        <v>460</v>
      </c>
      <c r="G1026" s="277" t="s">
        <v>3100</v>
      </c>
      <c r="H1026" s="277">
        <v>2</v>
      </c>
      <c r="I1026" s="277" t="s">
        <v>941</v>
      </c>
      <c r="J1026" s="277" t="s">
        <v>3101</v>
      </c>
      <c r="K1026" s="277">
        <v>3</v>
      </c>
      <c r="L1026" s="277" t="s">
        <v>973</v>
      </c>
      <c r="M1026" s="287">
        <v>3000000</v>
      </c>
      <c r="N1026" s="277" t="s">
        <v>452</v>
      </c>
      <c r="O1026" s="287" t="s">
        <v>575</v>
      </c>
      <c r="P1026" s="277"/>
      <c r="Q1026" s="277" t="s">
        <v>19</v>
      </c>
      <c r="R1026" s="279" t="s">
        <v>3102</v>
      </c>
      <c r="S1026" s="279"/>
      <c r="T1026" s="279"/>
      <c r="U1026" s="279"/>
      <c r="V1026" s="277"/>
      <c r="W1026" s="277"/>
      <c r="X1026" s="277"/>
      <c r="Y1026" s="277"/>
      <c r="Z1026" s="277"/>
      <c r="AA1026" s="239"/>
      <c r="AB1026" s="239"/>
      <c r="AC1026" s="239"/>
    </row>
    <row r="1027" spans="1:29" ht="15.75" hidden="1" customHeight="1">
      <c r="A1027" s="253">
        <v>44782</v>
      </c>
      <c r="B1027" s="224" t="s">
        <v>113</v>
      </c>
      <c r="C1027" s="249">
        <v>4</v>
      </c>
      <c r="D1027" s="224" t="s">
        <v>814</v>
      </c>
      <c r="E1027" s="250" t="s">
        <v>5</v>
      </c>
      <c r="F1027" s="224" t="s">
        <v>447</v>
      </c>
      <c r="G1027" s="224" t="s">
        <v>10521</v>
      </c>
      <c r="H1027" s="224">
        <v>4</v>
      </c>
      <c r="I1027" s="224" t="s">
        <v>449</v>
      </c>
      <c r="J1027" s="224" t="s">
        <v>13400</v>
      </c>
      <c r="K1027" s="224">
        <v>4</v>
      </c>
      <c r="L1027" s="224" t="s">
        <v>451</v>
      </c>
      <c r="M1027" s="224">
        <v>2000000</v>
      </c>
      <c r="N1027" s="224" t="s">
        <v>454</v>
      </c>
      <c r="O1027" s="224" t="s">
        <v>452</v>
      </c>
      <c r="P1027" s="224"/>
      <c r="Q1027" s="224" t="s">
        <v>18</v>
      </c>
      <c r="R1027" s="254" t="s">
        <v>817</v>
      </c>
      <c r="S1027" s="254"/>
      <c r="T1027" s="254"/>
      <c r="U1027" s="254"/>
      <c r="V1027" s="252"/>
      <c r="W1027" s="252"/>
      <c r="X1027" s="252"/>
      <c r="Y1027" s="224"/>
      <c r="Z1027" s="224"/>
      <c r="AA1027" s="224"/>
      <c r="AB1027" s="224"/>
      <c r="AC1027" s="224"/>
    </row>
    <row r="1028" spans="1:29" ht="15.75" customHeight="1">
      <c r="A1028" s="248">
        <v>44796</v>
      </c>
      <c r="B1028" s="219" t="s">
        <v>7783</v>
      </c>
      <c r="C1028" s="315">
        <v>1.5</v>
      </c>
      <c r="D1028" s="219" t="s">
        <v>7786</v>
      </c>
      <c r="E1028" s="219" t="s">
        <v>4</v>
      </c>
      <c r="F1028" s="219" t="s">
        <v>447</v>
      </c>
      <c r="G1028" s="219" t="s">
        <v>10920</v>
      </c>
      <c r="H1028" s="219">
        <v>2</v>
      </c>
      <c r="I1028" s="219" t="s">
        <v>1036</v>
      </c>
      <c r="J1028" s="219" t="s">
        <v>7788</v>
      </c>
      <c r="K1028" s="219">
        <v>1</v>
      </c>
      <c r="L1028" s="219" t="s">
        <v>451</v>
      </c>
      <c r="M1028" s="219">
        <v>1000000</v>
      </c>
      <c r="N1028" s="219" t="s">
        <v>452</v>
      </c>
      <c r="O1028" s="219" t="s">
        <v>10921</v>
      </c>
      <c r="P1028" s="219"/>
      <c r="Q1028" s="219" t="s">
        <v>24</v>
      </c>
      <c r="R1028" s="219"/>
      <c r="S1028" s="219" t="str">
        <f>IFERROR(VLOOKUP(B1028,'2022-2023 Third Reviews'!$C:$S,9,FALSE),"")</f>
        <v/>
      </c>
      <c r="T1028" s="219"/>
      <c r="U1028" s="219"/>
      <c r="V1028" s="219"/>
      <c r="W1028" s="219"/>
      <c r="X1028" s="219"/>
      <c r="Y1028" s="219"/>
      <c r="Z1028" s="219"/>
      <c r="AA1028" s="219"/>
      <c r="AB1028" s="219"/>
      <c r="AC1028" s="219"/>
    </row>
    <row r="1029" spans="1:29" ht="15.75" customHeight="1">
      <c r="A1029" s="253">
        <v>44796</v>
      </c>
      <c r="B1029" s="224" t="s">
        <v>7792</v>
      </c>
      <c r="C1029" s="316">
        <v>1.5</v>
      </c>
      <c r="D1029" s="224" t="s">
        <v>7795</v>
      </c>
      <c r="E1029" s="224" t="s">
        <v>4</v>
      </c>
      <c r="F1029" s="224" t="s">
        <v>727</v>
      </c>
      <c r="G1029" s="224" t="s">
        <v>10416</v>
      </c>
      <c r="H1029" s="224">
        <v>2</v>
      </c>
      <c r="I1029" s="224" t="s">
        <v>1036</v>
      </c>
      <c r="J1029" s="224" t="s">
        <v>7797</v>
      </c>
      <c r="K1029" s="224">
        <v>1</v>
      </c>
      <c r="L1029" s="224" t="s">
        <v>7798</v>
      </c>
      <c r="M1029" s="224" t="s">
        <v>7799</v>
      </c>
      <c r="N1029" s="224" t="s">
        <v>452</v>
      </c>
      <c r="O1029" s="224" t="s">
        <v>7800</v>
      </c>
      <c r="P1029" s="224"/>
      <c r="Q1029" s="224" t="s">
        <v>24</v>
      </c>
      <c r="R1029" s="224"/>
      <c r="S1029" s="224" t="str">
        <f>IFERROR(VLOOKUP(B1029,'2022-2023 Third Reviews'!$C:$S,9,FALSE),"")</f>
        <v/>
      </c>
      <c r="T1029" s="224"/>
      <c r="U1029" s="224"/>
      <c r="V1029" s="306"/>
      <c r="W1029" s="306"/>
      <c r="X1029" s="306"/>
      <c r="Y1029" s="306"/>
      <c r="Z1029" s="306"/>
      <c r="AA1029" s="306"/>
      <c r="AB1029" s="306"/>
      <c r="AC1029" s="306"/>
    </row>
    <row r="1030" spans="1:29" ht="15.75" hidden="1" customHeight="1">
      <c r="A1030" s="255">
        <v>44796</v>
      </c>
      <c r="B1030" s="239" t="s">
        <v>123</v>
      </c>
      <c r="C1030" s="262">
        <v>4</v>
      </c>
      <c r="D1030" s="239" t="s">
        <v>9473</v>
      </c>
      <c r="E1030" s="239" t="s">
        <v>5</v>
      </c>
      <c r="F1030" s="239" t="s">
        <v>488</v>
      </c>
      <c r="G1030" s="239" t="s">
        <v>9474</v>
      </c>
      <c r="H1030" s="239">
        <v>4</v>
      </c>
      <c r="I1030" s="239" t="s">
        <v>941</v>
      </c>
      <c r="J1030" s="239" t="s">
        <v>9475</v>
      </c>
      <c r="K1030" s="239">
        <v>4</v>
      </c>
      <c r="L1030" s="239"/>
      <c r="M1030" s="239"/>
      <c r="N1030" s="239" t="s">
        <v>452</v>
      </c>
      <c r="O1030" s="239" t="s">
        <v>9476</v>
      </c>
      <c r="P1030" s="239"/>
      <c r="Q1030" s="239" t="s">
        <v>20</v>
      </c>
      <c r="R1030" s="256" t="s">
        <v>9477</v>
      </c>
      <c r="S1030" s="256"/>
      <c r="T1030" s="256"/>
      <c r="U1030" s="256"/>
      <c r="V1030" s="239"/>
      <c r="W1030" s="239"/>
      <c r="X1030" s="239"/>
      <c r="Y1030" s="239"/>
      <c r="Z1030" s="239"/>
      <c r="AA1030" s="239"/>
      <c r="AB1030" s="239"/>
      <c r="AC1030" s="239"/>
    </row>
    <row r="1031" spans="1:29" ht="15.75" hidden="1" customHeight="1">
      <c r="A1031" s="541">
        <v>44796</v>
      </c>
      <c r="B1031" s="306" t="s">
        <v>114</v>
      </c>
      <c r="C1031" s="542"/>
      <c r="D1031" s="306" t="s">
        <v>822</v>
      </c>
      <c r="E1031" s="306" t="s">
        <v>5</v>
      </c>
      <c r="F1031" s="306" t="s">
        <v>447</v>
      </c>
      <c r="G1031" s="306" t="s">
        <v>11492</v>
      </c>
      <c r="H1031" s="306">
        <v>4.5</v>
      </c>
      <c r="I1031" s="306" t="s">
        <v>622</v>
      </c>
      <c r="J1031" s="306"/>
      <c r="K1031" s="306"/>
      <c r="L1031" s="306" t="s">
        <v>478</v>
      </c>
      <c r="M1031" s="545">
        <v>15000000</v>
      </c>
      <c r="N1031" s="306" t="s">
        <v>452</v>
      </c>
      <c r="O1031" s="306" t="s">
        <v>825</v>
      </c>
      <c r="P1031" s="306"/>
      <c r="Q1031" s="306"/>
      <c r="R1031" s="543"/>
      <c r="S1031" s="543"/>
      <c r="T1031" s="543"/>
      <c r="U1031" s="543"/>
      <c r="V1031" s="224"/>
      <c r="W1031" s="224"/>
      <c r="X1031" s="224"/>
      <c r="Y1031" s="224"/>
      <c r="Z1031" s="224"/>
      <c r="AA1031" s="224"/>
      <c r="AB1031" s="224"/>
      <c r="AC1031" s="224"/>
    </row>
    <row r="1032" spans="1:29" ht="15.75" hidden="1" customHeight="1">
      <c r="A1032" s="248">
        <v>44796</v>
      </c>
      <c r="B1032" s="219" t="s">
        <v>114</v>
      </c>
      <c r="C1032" s="315">
        <v>4</v>
      </c>
      <c r="D1032" s="219" t="s">
        <v>822</v>
      </c>
      <c r="E1032" s="219" t="s">
        <v>5</v>
      </c>
      <c r="F1032" s="219" t="s">
        <v>447</v>
      </c>
      <c r="G1032" s="219" t="s">
        <v>11492</v>
      </c>
      <c r="H1032" s="219">
        <v>4.5</v>
      </c>
      <c r="I1032" s="219" t="s">
        <v>622</v>
      </c>
      <c r="J1032" s="219" t="s">
        <v>11712</v>
      </c>
      <c r="K1032" s="219">
        <v>3.5</v>
      </c>
      <c r="L1032" s="219" t="s">
        <v>478</v>
      </c>
      <c r="M1032" s="331">
        <v>15000000</v>
      </c>
      <c r="N1032" s="219" t="s">
        <v>452</v>
      </c>
      <c r="O1032" s="219" t="s">
        <v>825</v>
      </c>
      <c r="P1032" s="219"/>
      <c r="Q1032" s="219" t="s">
        <v>18</v>
      </c>
      <c r="R1032" s="251"/>
      <c r="S1032" s="251"/>
      <c r="T1032" s="251"/>
      <c r="U1032" s="251"/>
      <c r="V1032" s="219"/>
      <c r="W1032" s="219"/>
      <c r="X1032" s="219"/>
      <c r="Y1032" s="219"/>
      <c r="Z1032" s="219"/>
      <c r="AA1032" s="219"/>
      <c r="AB1032" s="219"/>
      <c r="AC1032" s="219"/>
    </row>
    <row r="1033" spans="1:29" ht="15.75" hidden="1" customHeight="1">
      <c r="A1033" s="253">
        <v>44796</v>
      </c>
      <c r="B1033" s="224" t="s">
        <v>3105</v>
      </c>
      <c r="C1033" s="316">
        <v>3</v>
      </c>
      <c r="D1033" s="224" t="s">
        <v>3108</v>
      </c>
      <c r="E1033" s="224" t="s">
        <v>5</v>
      </c>
      <c r="F1033" s="224" t="s">
        <v>447</v>
      </c>
      <c r="G1033" s="224" t="s">
        <v>11306</v>
      </c>
      <c r="H1033" s="224">
        <v>3</v>
      </c>
      <c r="I1033" s="224" t="s">
        <v>543</v>
      </c>
      <c r="J1033" s="224" t="s">
        <v>13400</v>
      </c>
      <c r="K1033" s="224">
        <v>3</v>
      </c>
      <c r="L1033" s="224" t="s">
        <v>3111</v>
      </c>
      <c r="M1033" s="224" t="s">
        <v>3112</v>
      </c>
      <c r="N1033" s="224" t="s">
        <v>452</v>
      </c>
      <c r="O1033" s="224"/>
      <c r="P1033" s="224"/>
      <c r="Q1033" s="224" t="s">
        <v>24</v>
      </c>
      <c r="R1033" s="254"/>
      <c r="S1033" s="254"/>
      <c r="T1033" s="254"/>
      <c r="U1033" s="254"/>
      <c r="V1033" s="224"/>
      <c r="W1033" s="224"/>
      <c r="X1033" s="224"/>
      <c r="Y1033" s="224"/>
      <c r="Z1033" s="224"/>
      <c r="AA1033" s="224"/>
      <c r="AB1033" s="224"/>
      <c r="AC1033" s="224"/>
    </row>
    <row r="1034" spans="1:29" ht="15.75" customHeight="1">
      <c r="A1034" s="248">
        <v>44791</v>
      </c>
      <c r="B1034" s="219" t="s">
        <v>10890</v>
      </c>
      <c r="C1034" s="315">
        <v>1.5</v>
      </c>
      <c r="D1034" s="219" t="s">
        <v>7806</v>
      </c>
      <c r="E1034" s="219" t="s">
        <v>4</v>
      </c>
      <c r="F1034" s="219" t="s">
        <v>602</v>
      </c>
      <c r="G1034" s="219" t="s">
        <v>7807</v>
      </c>
      <c r="H1034" s="219">
        <v>1</v>
      </c>
      <c r="I1034" s="219" t="s">
        <v>1073</v>
      </c>
      <c r="J1034" s="219"/>
      <c r="K1034" s="219">
        <v>2</v>
      </c>
      <c r="L1034" s="219" t="s">
        <v>451</v>
      </c>
      <c r="M1034" s="310" t="s">
        <v>7808</v>
      </c>
      <c r="N1034" s="219" t="s">
        <v>452</v>
      </c>
      <c r="O1034" s="219" t="s">
        <v>452</v>
      </c>
      <c r="P1034" s="219"/>
      <c r="Q1034" s="322" t="s">
        <v>24</v>
      </c>
      <c r="R1034" s="219"/>
      <c r="S1034" s="219" t="str">
        <f>IFERROR(VLOOKUP(B1034,'2022-2023 Third Reviews'!$C:$S,9,FALSE),"")</f>
        <v/>
      </c>
      <c r="T1034" s="219"/>
      <c r="U1034" s="219"/>
      <c r="V1034" s="306"/>
      <c r="W1034" s="306"/>
      <c r="X1034" s="306"/>
      <c r="Y1034" s="306"/>
      <c r="Z1034" s="306"/>
      <c r="AA1034" s="306"/>
      <c r="AB1034" s="306"/>
      <c r="AC1034" s="306"/>
    </row>
    <row r="1035" spans="1:29" ht="15.75" customHeight="1">
      <c r="A1035" s="253">
        <v>44796</v>
      </c>
      <c r="B1035" s="224" t="s">
        <v>7811</v>
      </c>
      <c r="C1035" s="316">
        <v>1.5</v>
      </c>
      <c r="D1035" s="224" t="s">
        <v>7814</v>
      </c>
      <c r="E1035" s="224" t="s">
        <v>4</v>
      </c>
      <c r="F1035" s="224" t="s">
        <v>1045</v>
      </c>
      <c r="G1035" s="224" t="s">
        <v>7815</v>
      </c>
      <c r="H1035" s="224">
        <v>1</v>
      </c>
      <c r="I1035" s="224" t="s">
        <v>1073</v>
      </c>
      <c r="J1035" s="224" t="s">
        <v>7816</v>
      </c>
      <c r="K1035" s="224">
        <v>2</v>
      </c>
      <c r="L1035" s="224"/>
      <c r="M1035" s="224"/>
      <c r="N1035" s="224" t="s">
        <v>454</v>
      </c>
      <c r="O1035" s="224" t="s">
        <v>452</v>
      </c>
      <c r="P1035" s="224"/>
      <c r="Q1035" s="224" t="s">
        <v>24</v>
      </c>
      <c r="R1035" s="224"/>
      <c r="S1035" s="224" t="str">
        <f>IFERROR(VLOOKUP(B1035,'2022-2023 Third Reviews'!$C:$S,9,FALSE),"")</f>
        <v/>
      </c>
      <c r="T1035" s="224"/>
      <c r="U1035" s="224"/>
      <c r="V1035" s="224"/>
      <c r="W1035" s="224"/>
      <c r="X1035" s="224"/>
      <c r="Y1035" s="224"/>
      <c r="Z1035" s="224"/>
      <c r="AA1035" s="224"/>
      <c r="AB1035" s="224"/>
      <c r="AC1035" s="224"/>
    </row>
    <row r="1036" spans="1:29" ht="15.75" customHeight="1">
      <c r="A1036" s="248">
        <v>44789</v>
      </c>
      <c r="B1036" s="219" t="s">
        <v>7819</v>
      </c>
      <c r="C1036" s="249">
        <v>1.5</v>
      </c>
      <c r="D1036" s="219" t="s">
        <v>10873</v>
      </c>
      <c r="E1036" s="250" t="s">
        <v>4</v>
      </c>
      <c r="F1036" s="219" t="s">
        <v>602</v>
      </c>
      <c r="G1036" s="219" t="s">
        <v>7823</v>
      </c>
      <c r="H1036" s="219">
        <v>1</v>
      </c>
      <c r="I1036" s="219" t="s">
        <v>1054</v>
      </c>
      <c r="J1036" s="219" t="s">
        <v>7824</v>
      </c>
      <c r="K1036" s="219">
        <v>2</v>
      </c>
      <c r="L1036" s="219"/>
      <c r="M1036" s="312"/>
      <c r="N1036" s="219" t="s">
        <v>454</v>
      </c>
      <c r="O1036" s="219" t="s">
        <v>452</v>
      </c>
      <c r="P1036" s="219"/>
      <c r="Q1036" s="219" t="s">
        <v>24</v>
      </c>
      <c r="R1036" s="219"/>
      <c r="S1036" s="219" t="str">
        <f>IFERROR(VLOOKUP(B1036,'2022-2023 Third Reviews'!$C:$S,9,FALSE),"")</f>
        <v/>
      </c>
      <c r="T1036" s="219"/>
      <c r="U1036" s="219"/>
      <c r="V1036" s="219"/>
      <c r="W1036" s="219"/>
      <c r="X1036" s="219"/>
      <c r="Y1036" s="219"/>
      <c r="Z1036" s="219"/>
      <c r="AA1036" s="219"/>
      <c r="AB1036" s="219"/>
      <c r="AC1036" s="219"/>
    </row>
    <row r="1037" spans="1:29" ht="15.75" customHeight="1">
      <c r="A1037" s="220">
        <v>44776</v>
      </c>
      <c r="B1037" s="221" t="s">
        <v>7826</v>
      </c>
      <c r="C1037" s="214">
        <v>1.5</v>
      </c>
      <c r="D1037" s="221" t="s">
        <v>7829</v>
      </c>
      <c r="E1037" s="215" t="s">
        <v>4</v>
      </c>
      <c r="F1037" s="221" t="s">
        <v>602</v>
      </c>
      <c r="G1037" s="221" t="s">
        <v>11434</v>
      </c>
      <c r="H1037" s="221">
        <v>2</v>
      </c>
      <c r="I1037" s="221" t="s">
        <v>1054</v>
      </c>
      <c r="J1037" s="221" t="s">
        <v>7831</v>
      </c>
      <c r="K1037" s="221">
        <v>1</v>
      </c>
      <c r="L1037" s="221" t="s">
        <v>784</v>
      </c>
      <c r="M1037" s="221">
        <v>300000</v>
      </c>
      <c r="N1037" s="221" t="s">
        <v>452</v>
      </c>
      <c r="O1037" s="221" t="s">
        <v>7832</v>
      </c>
      <c r="P1037" s="145"/>
      <c r="Q1037" s="221" t="s">
        <v>24</v>
      </c>
      <c r="R1037" s="221">
        <f t="array" ref="R1037">INDEX(Notes!C:C,MATCH($B1037,Notes!$A:$A,0))</f>
        <v>0</v>
      </c>
      <c r="S1037" s="221" t="str">
        <f>IFERROR(VLOOKUP(B1037,'2022-2023 Third Reviews'!$C:$S,9,FALSE),"")</f>
        <v/>
      </c>
      <c r="T1037" s="221"/>
      <c r="U1037" s="221"/>
      <c r="V1037" s="224"/>
      <c r="W1037" s="224"/>
      <c r="X1037" s="224"/>
      <c r="Y1037" s="224"/>
      <c r="Z1037" s="224"/>
      <c r="AA1037" s="224"/>
      <c r="AB1037" s="224"/>
      <c r="AC1037" s="224"/>
    </row>
    <row r="1038" spans="1:29" ht="15.75" customHeight="1">
      <c r="A1038" s="248">
        <v>44796</v>
      </c>
      <c r="B1038" s="219" t="s">
        <v>7835</v>
      </c>
      <c r="C1038" s="315">
        <v>1.5</v>
      </c>
      <c r="D1038" s="219" t="s">
        <v>11316</v>
      </c>
      <c r="E1038" s="219" t="s">
        <v>4</v>
      </c>
      <c r="F1038" s="219" t="s">
        <v>725</v>
      </c>
      <c r="G1038" s="219" t="s">
        <v>11317</v>
      </c>
      <c r="H1038" s="219">
        <v>1</v>
      </c>
      <c r="I1038" s="219" t="s">
        <v>1187</v>
      </c>
      <c r="J1038" s="219" t="s">
        <v>7840</v>
      </c>
      <c r="K1038" s="219">
        <v>2</v>
      </c>
      <c r="L1038" s="219"/>
      <c r="M1038" s="219"/>
      <c r="N1038" s="219" t="s">
        <v>452</v>
      </c>
      <c r="O1038" s="219" t="s">
        <v>11318</v>
      </c>
      <c r="P1038" s="219"/>
      <c r="Q1038" s="219" t="s">
        <v>24</v>
      </c>
      <c r="R1038" s="219"/>
      <c r="S1038" s="219" t="str">
        <f>IFERROR(VLOOKUP(B1038,'2022-2023 Third Reviews'!$C:$S,9,FALSE),"")</f>
        <v/>
      </c>
      <c r="T1038" s="219"/>
      <c r="U1038" s="219"/>
      <c r="V1038" s="219"/>
      <c r="W1038" s="219"/>
      <c r="X1038" s="219"/>
      <c r="Y1038" s="219"/>
      <c r="Z1038" s="219"/>
      <c r="AA1038" s="219"/>
      <c r="AB1038" s="219"/>
      <c r="AC1038" s="219"/>
    </row>
    <row r="1039" spans="1:29" ht="15.75" customHeight="1">
      <c r="A1039" s="253">
        <v>44796</v>
      </c>
      <c r="B1039" s="224" t="s">
        <v>7843</v>
      </c>
      <c r="C1039" s="316">
        <v>1.5</v>
      </c>
      <c r="D1039" s="224" t="s">
        <v>10800</v>
      </c>
      <c r="E1039" s="224" t="s">
        <v>4</v>
      </c>
      <c r="F1039" s="224" t="s">
        <v>725</v>
      </c>
      <c r="G1039" s="224" t="s">
        <v>10801</v>
      </c>
      <c r="H1039" s="224">
        <v>1</v>
      </c>
      <c r="I1039" s="224" t="s">
        <v>1237</v>
      </c>
      <c r="J1039" s="224"/>
      <c r="K1039" s="224">
        <v>2</v>
      </c>
      <c r="L1039" s="224"/>
      <c r="M1039" s="224"/>
      <c r="N1039" s="224" t="s">
        <v>454</v>
      </c>
      <c r="O1039" s="224" t="s">
        <v>10802</v>
      </c>
      <c r="P1039" s="224"/>
      <c r="Q1039" s="224" t="s">
        <v>24</v>
      </c>
      <c r="R1039" s="224"/>
      <c r="S1039" s="224" t="str">
        <f>IFERROR(VLOOKUP(B1039,'2022-2023 Third Reviews'!$C:$S,9,FALSE),"")</f>
        <v/>
      </c>
      <c r="T1039" s="224"/>
      <c r="U1039" s="224"/>
      <c r="V1039" s="224"/>
      <c r="W1039" s="224"/>
      <c r="X1039" s="224"/>
      <c r="Y1039" s="224"/>
      <c r="Z1039" s="224"/>
      <c r="AA1039" s="224"/>
      <c r="AB1039" s="224"/>
      <c r="AC1039" s="224"/>
    </row>
    <row r="1040" spans="1:29" ht="15.75" hidden="1" customHeight="1">
      <c r="A1040" s="301">
        <v>44789</v>
      </c>
      <c r="B1040" s="303" t="s">
        <v>115</v>
      </c>
      <c r="C1040" s="269"/>
      <c r="D1040" s="303" t="s">
        <v>829</v>
      </c>
      <c r="E1040" s="270" t="s">
        <v>5</v>
      </c>
      <c r="F1040" s="303" t="s">
        <v>725</v>
      </c>
      <c r="G1040" s="303"/>
      <c r="H1040" s="303"/>
      <c r="I1040" s="303" t="s">
        <v>449</v>
      </c>
      <c r="J1040" s="303" t="s">
        <v>13279</v>
      </c>
      <c r="K1040" s="303">
        <v>5</v>
      </c>
      <c r="L1040" s="303" t="s">
        <v>451</v>
      </c>
      <c r="M1040" s="303">
        <v>2000000</v>
      </c>
      <c r="N1040" s="303" t="s">
        <v>452</v>
      </c>
      <c r="O1040" s="303" t="s">
        <v>832</v>
      </c>
      <c r="P1040" s="303"/>
      <c r="Q1040" s="303"/>
      <c r="R1040" s="305"/>
      <c r="S1040" s="305"/>
      <c r="T1040" s="305"/>
      <c r="U1040" s="305"/>
      <c r="V1040" s="303"/>
      <c r="W1040" s="303"/>
      <c r="X1040" s="303"/>
      <c r="Y1040" s="303"/>
      <c r="Z1040" s="303"/>
      <c r="AA1040" s="306"/>
      <c r="AB1040" s="306"/>
      <c r="AC1040" s="306"/>
    </row>
    <row r="1041" spans="1:29" ht="15.75" hidden="1" customHeight="1">
      <c r="A1041" s="257">
        <v>44789</v>
      </c>
      <c r="B1041" s="258" t="s">
        <v>115</v>
      </c>
      <c r="C1041" s="263">
        <v>4.5</v>
      </c>
      <c r="D1041" s="258" t="s">
        <v>829</v>
      </c>
      <c r="E1041" s="258" t="s">
        <v>5</v>
      </c>
      <c r="F1041" s="258" t="s">
        <v>447</v>
      </c>
      <c r="G1041" s="258" t="s">
        <v>10769</v>
      </c>
      <c r="H1041" s="258">
        <v>4</v>
      </c>
      <c r="I1041" s="258" t="s">
        <v>449</v>
      </c>
      <c r="J1041" s="258" t="e">
        <f>+Credible and passionate Team
+Compiling vision and roadmap
+Novel and propriety Tech
+MVP and trials with hospital
+Large potential market</f>
        <v>#NAME?</v>
      </c>
      <c r="K1041" s="258">
        <v>5</v>
      </c>
      <c r="L1041" s="258" t="s">
        <v>451</v>
      </c>
      <c r="M1041" s="258">
        <v>2000000</v>
      </c>
      <c r="N1041" s="258" t="s">
        <v>452</v>
      </c>
      <c r="O1041" s="258" t="s">
        <v>832</v>
      </c>
      <c r="P1041" s="258"/>
      <c r="Q1041" s="258" t="s">
        <v>18</v>
      </c>
      <c r="R1041" s="259" t="s">
        <v>11613</v>
      </c>
      <c r="S1041" s="259"/>
      <c r="T1041" s="259"/>
      <c r="U1041" s="259"/>
      <c r="V1041" s="258"/>
      <c r="W1041" s="258"/>
      <c r="X1041" s="258"/>
      <c r="Y1041" s="258"/>
      <c r="Z1041" s="258"/>
      <c r="AA1041" s="258"/>
      <c r="AB1041" s="258"/>
      <c r="AC1041" s="258"/>
    </row>
    <row r="1042" spans="1:29" ht="15.75" customHeight="1">
      <c r="A1042" s="248">
        <v>44791</v>
      </c>
      <c r="B1042" s="219" t="s">
        <v>7851</v>
      </c>
      <c r="C1042" s="315">
        <v>1.5</v>
      </c>
      <c r="D1042" s="219" t="s">
        <v>7854</v>
      </c>
      <c r="E1042" s="219" t="s">
        <v>4</v>
      </c>
      <c r="F1042" s="219" t="s">
        <v>602</v>
      </c>
      <c r="G1042" s="219" t="s">
        <v>7855</v>
      </c>
      <c r="H1042" s="219">
        <v>2</v>
      </c>
      <c r="I1042" s="219" t="s">
        <v>1237</v>
      </c>
      <c r="J1042" s="219"/>
      <c r="K1042" s="219">
        <v>1</v>
      </c>
      <c r="L1042" s="219" t="s">
        <v>451</v>
      </c>
      <c r="M1042" s="219" t="s">
        <v>7856</v>
      </c>
      <c r="N1042" s="219" t="s">
        <v>452</v>
      </c>
      <c r="O1042" s="219" t="s">
        <v>3420</v>
      </c>
      <c r="P1042" s="219" t="s">
        <v>7857</v>
      </c>
      <c r="Q1042" s="322" t="s">
        <v>24</v>
      </c>
      <c r="R1042" s="219"/>
      <c r="S1042" s="219" t="str">
        <f>IFERROR(VLOOKUP(B1042,'2022-2023 Third Reviews'!$C:$S,9,FALSE),"")</f>
        <v/>
      </c>
      <c r="T1042" s="219"/>
      <c r="U1042" s="219"/>
      <c r="V1042" s="219"/>
      <c r="W1042" s="219"/>
      <c r="X1042" s="219"/>
      <c r="Y1042" s="219"/>
      <c r="Z1042" s="219"/>
      <c r="AA1042" s="219"/>
      <c r="AB1042" s="219"/>
      <c r="AC1042" s="219"/>
    </row>
    <row r="1043" spans="1:29" ht="15.75" customHeight="1">
      <c r="A1043" s="253">
        <v>44796</v>
      </c>
      <c r="B1043" s="224" t="s">
        <v>7860</v>
      </c>
      <c r="C1043" s="316">
        <v>1.5</v>
      </c>
      <c r="D1043" s="224" t="s">
        <v>7863</v>
      </c>
      <c r="E1043" s="224" t="s">
        <v>4</v>
      </c>
      <c r="F1043" s="224" t="s">
        <v>727</v>
      </c>
      <c r="G1043" s="224" t="s">
        <v>10563</v>
      </c>
      <c r="H1043" s="224">
        <v>2</v>
      </c>
      <c r="I1043" s="224" t="s">
        <v>1045</v>
      </c>
      <c r="J1043" s="224" t="s">
        <v>7865</v>
      </c>
      <c r="K1043" s="224">
        <v>1</v>
      </c>
      <c r="L1043" s="224"/>
      <c r="M1043" s="224"/>
      <c r="N1043" s="224" t="s">
        <v>465</v>
      </c>
      <c r="O1043" s="224" t="s">
        <v>10564</v>
      </c>
      <c r="P1043" s="224"/>
      <c r="Q1043" s="224" t="s">
        <v>24</v>
      </c>
      <c r="R1043" s="224"/>
      <c r="S1043" s="224" t="str">
        <f>IFERROR(VLOOKUP(B1043,'2022-2023 Third Reviews'!$C:$S,9,FALSE),"")</f>
        <v/>
      </c>
      <c r="T1043" s="224"/>
      <c r="U1043" s="224"/>
      <c r="V1043" s="224"/>
      <c r="W1043" s="224"/>
      <c r="X1043" s="224"/>
      <c r="Y1043" s="224"/>
      <c r="Z1043" s="224"/>
      <c r="AA1043" s="224"/>
      <c r="AB1043" s="224"/>
      <c r="AC1043" s="224"/>
    </row>
    <row r="1044" spans="1:29" ht="15.75" customHeight="1">
      <c r="A1044" s="398">
        <v>44784</v>
      </c>
      <c r="B1044" s="268" t="s">
        <v>7868</v>
      </c>
      <c r="C1044" s="269">
        <v>1.5</v>
      </c>
      <c r="D1044" s="268" t="s">
        <v>7871</v>
      </c>
      <c r="E1044" s="270" t="s">
        <v>4</v>
      </c>
      <c r="F1044" s="268" t="s">
        <v>727</v>
      </c>
      <c r="G1044" s="268" t="s">
        <v>10740</v>
      </c>
      <c r="H1044" s="268">
        <v>2</v>
      </c>
      <c r="I1044" s="268" t="s">
        <v>476</v>
      </c>
      <c r="J1044" s="268" t="s">
        <v>7873</v>
      </c>
      <c r="K1044" s="268">
        <v>1</v>
      </c>
      <c r="L1044" s="268"/>
      <c r="M1044" s="268"/>
      <c r="N1044" s="268" t="s">
        <v>454</v>
      </c>
      <c r="O1044" s="268" t="s">
        <v>7874</v>
      </c>
      <c r="P1044" s="268"/>
      <c r="Q1044" s="268" t="s">
        <v>24</v>
      </c>
      <c r="R1044" s="268"/>
      <c r="S1044" s="268" t="str">
        <f>IFERROR(VLOOKUP(B1044,'2022-2023 Third Reviews'!$C:$S,9,FALSE),"")</f>
        <v/>
      </c>
      <c r="T1044" s="268"/>
      <c r="U1044" s="268"/>
      <c r="V1044" s="258"/>
      <c r="W1044" s="258"/>
      <c r="X1044" s="258"/>
      <c r="Y1044" s="258"/>
      <c r="Z1044" s="258"/>
      <c r="AA1044" s="258"/>
      <c r="AB1044" s="258"/>
      <c r="AC1044" s="258"/>
    </row>
    <row r="1045" spans="1:29" ht="15.75" customHeight="1">
      <c r="A1045" s="253">
        <v>44797</v>
      </c>
      <c r="B1045" s="224" t="s">
        <v>7877</v>
      </c>
      <c r="C1045" s="316">
        <v>1.5</v>
      </c>
      <c r="D1045" s="224" t="s">
        <v>11351</v>
      </c>
      <c r="E1045" s="224" t="s">
        <v>4</v>
      </c>
      <c r="F1045" s="224" t="s">
        <v>725</v>
      </c>
      <c r="G1045" s="224" t="s">
        <v>7881</v>
      </c>
      <c r="H1045" s="224">
        <v>1</v>
      </c>
      <c r="I1045" s="224" t="s">
        <v>1281</v>
      </c>
      <c r="J1045" s="224" t="s">
        <v>7882</v>
      </c>
      <c r="K1045" s="224">
        <v>2</v>
      </c>
      <c r="L1045" s="224" t="s">
        <v>451</v>
      </c>
      <c r="M1045" s="224">
        <v>1000000</v>
      </c>
      <c r="N1045" s="224" t="s">
        <v>465</v>
      </c>
      <c r="O1045" s="224" t="s">
        <v>7883</v>
      </c>
      <c r="P1045" s="224" t="s">
        <v>7884</v>
      </c>
      <c r="Q1045" s="224" t="s">
        <v>24</v>
      </c>
      <c r="R1045" s="224"/>
      <c r="S1045" s="224" t="str">
        <f>IFERROR(VLOOKUP(B1045,'2022-2023 Third Reviews'!$C:$S,9,FALSE),"")</f>
        <v/>
      </c>
      <c r="T1045" s="224"/>
      <c r="U1045" s="224"/>
      <c r="V1045" s="224"/>
      <c r="W1045" s="224"/>
      <c r="X1045" s="224"/>
      <c r="Y1045" s="224"/>
      <c r="Z1045" s="224"/>
      <c r="AA1045" s="224"/>
      <c r="AB1045" s="224"/>
      <c r="AC1045" s="224"/>
    </row>
    <row r="1046" spans="1:29" ht="15.75" customHeight="1">
      <c r="A1046" s="248">
        <v>44796</v>
      </c>
      <c r="B1046" s="219" t="s">
        <v>7886</v>
      </c>
      <c r="C1046" s="315">
        <v>1.5</v>
      </c>
      <c r="D1046" s="219"/>
      <c r="E1046" s="219" t="s">
        <v>4</v>
      </c>
      <c r="F1046" s="219" t="s">
        <v>725</v>
      </c>
      <c r="G1046" s="219"/>
      <c r="H1046" s="219">
        <v>1</v>
      </c>
      <c r="I1046" s="219" t="s">
        <v>1298</v>
      </c>
      <c r="J1046" s="219" t="s">
        <v>7889</v>
      </c>
      <c r="K1046" s="219">
        <v>2</v>
      </c>
      <c r="L1046" s="219" t="s">
        <v>2190</v>
      </c>
      <c r="M1046" s="219">
        <v>2000000</v>
      </c>
      <c r="N1046" s="219" t="s">
        <v>452</v>
      </c>
      <c r="O1046" s="219" t="s">
        <v>7890</v>
      </c>
      <c r="P1046" s="219"/>
      <c r="Q1046" s="219" t="s">
        <v>24</v>
      </c>
      <c r="R1046" s="219"/>
      <c r="S1046" s="219" t="str">
        <f>IFERROR(VLOOKUP(B1046,'2022-2023 Third Reviews'!$C:$S,9,FALSE),"")</f>
        <v/>
      </c>
      <c r="T1046" s="219"/>
      <c r="U1046" s="219"/>
      <c r="V1046" s="219"/>
      <c r="W1046" s="219"/>
      <c r="X1046" s="219"/>
      <c r="Y1046" s="219"/>
      <c r="Z1046" s="219"/>
      <c r="AA1046" s="219"/>
      <c r="AB1046" s="219"/>
      <c r="AC1046" s="219"/>
    </row>
    <row r="1047" spans="1:29" ht="15.75" customHeight="1">
      <c r="A1047" s="253">
        <v>44796</v>
      </c>
      <c r="B1047" s="224" t="s">
        <v>7893</v>
      </c>
      <c r="C1047" s="316">
        <v>1.5</v>
      </c>
      <c r="D1047" s="224"/>
      <c r="E1047" s="224" t="s">
        <v>4</v>
      </c>
      <c r="F1047" s="224" t="s">
        <v>725</v>
      </c>
      <c r="G1047" s="224" t="s">
        <v>7896</v>
      </c>
      <c r="H1047" s="224">
        <v>2</v>
      </c>
      <c r="I1047" s="224" t="s">
        <v>1298</v>
      </c>
      <c r="J1047" s="224" t="s">
        <v>7897</v>
      </c>
      <c r="K1047" s="224">
        <v>1</v>
      </c>
      <c r="L1047" s="224" t="s">
        <v>2190</v>
      </c>
      <c r="M1047" s="224">
        <v>1250000</v>
      </c>
      <c r="N1047" s="224" t="s">
        <v>452</v>
      </c>
      <c r="O1047" s="224" t="s">
        <v>7898</v>
      </c>
      <c r="P1047" s="224"/>
      <c r="Q1047" s="224" t="s">
        <v>24</v>
      </c>
      <c r="R1047" s="224"/>
      <c r="S1047" s="224" t="str">
        <f>IFERROR(VLOOKUP(B1047,'2022-2023 Third Reviews'!$C:$S,9,FALSE),"")</f>
        <v/>
      </c>
      <c r="T1047" s="224"/>
      <c r="U1047" s="224"/>
      <c r="V1047" s="306"/>
      <c r="W1047" s="306"/>
      <c r="X1047" s="306"/>
      <c r="Y1047" s="306"/>
      <c r="Z1047" s="306"/>
      <c r="AA1047" s="306"/>
      <c r="AB1047" s="306"/>
      <c r="AC1047" s="306"/>
    </row>
    <row r="1048" spans="1:29" ht="15.75" customHeight="1">
      <c r="A1048" s="248">
        <v>44791</v>
      </c>
      <c r="B1048" s="219" t="s">
        <v>10747</v>
      </c>
      <c r="C1048" s="315">
        <v>1.5</v>
      </c>
      <c r="D1048" s="219" t="s">
        <v>7904</v>
      </c>
      <c r="E1048" s="219" t="s">
        <v>4</v>
      </c>
      <c r="F1048" s="219" t="s">
        <v>725</v>
      </c>
      <c r="G1048" s="219" t="s">
        <v>10748</v>
      </c>
      <c r="H1048" s="219">
        <v>1</v>
      </c>
      <c r="I1048" s="219" t="s">
        <v>1298</v>
      </c>
      <c r="J1048" s="219" t="s">
        <v>7906</v>
      </c>
      <c r="K1048" s="219">
        <v>2</v>
      </c>
      <c r="L1048" s="219"/>
      <c r="M1048" s="310"/>
      <c r="N1048" s="219" t="s">
        <v>465</v>
      </c>
      <c r="O1048" s="219" t="s">
        <v>7907</v>
      </c>
      <c r="P1048" s="219"/>
      <c r="Q1048" s="322" t="s">
        <v>24</v>
      </c>
      <c r="R1048" s="219"/>
      <c r="S1048" s="219" t="str">
        <f>IFERROR(VLOOKUP(B1048,'2022-2023 Third Reviews'!$C:$S,9,FALSE),"")</f>
        <v/>
      </c>
      <c r="T1048" s="219"/>
      <c r="U1048" s="219"/>
      <c r="V1048" s="306"/>
      <c r="W1048" s="306"/>
      <c r="X1048" s="306"/>
      <c r="Y1048" s="306"/>
      <c r="Z1048" s="306"/>
      <c r="AA1048" s="306"/>
      <c r="AB1048" s="306"/>
      <c r="AC1048" s="306"/>
    </row>
    <row r="1049" spans="1:29" ht="15.75" customHeight="1">
      <c r="A1049" s="253">
        <v>44789</v>
      </c>
      <c r="B1049" s="224" t="s">
        <v>7910</v>
      </c>
      <c r="C1049" s="249">
        <v>1.5</v>
      </c>
      <c r="D1049" s="224" t="s">
        <v>7913</v>
      </c>
      <c r="E1049" s="250" t="s">
        <v>4</v>
      </c>
      <c r="F1049" s="224" t="s">
        <v>602</v>
      </c>
      <c r="G1049" s="224"/>
      <c r="H1049" s="224">
        <v>2</v>
      </c>
      <c r="I1049" s="224" t="s">
        <v>476</v>
      </c>
      <c r="J1049" s="224" t="s">
        <v>10902</v>
      </c>
      <c r="K1049" s="224">
        <v>1</v>
      </c>
      <c r="L1049" s="224"/>
      <c r="M1049" s="224"/>
      <c r="N1049" s="224" t="s">
        <v>452</v>
      </c>
      <c r="O1049" s="224" t="s">
        <v>10903</v>
      </c>
      <c r="P1049" s="224"/>
      <c r="Q1049" s="224" t="s">
        <v>24</v>
      </c>
      <c r="R1049" s="224"/>
      <c r="S1049" s="224" t="str">
        <f>IFERROR(VLOOKUP(B1049,'2022-2023 Third Reviews'!$C:$S,9,FALSE),"")</f>
        <v/>
      </c>
      <c r="T1049" s="224"/>
      <c r="U1049" s="224"/>
      <c r="V1049" s="224"/>
      <c r="W1049" s="224"/>
      <c r="X1049" s="224"/>
      <c r="Y1049" s="224"/>
      <c r="Z1049" s="224"/>
      <c r="AA1049" s="224"/>
      <c r="AB1049" s="224"/>
      <c r="AC1049" s="224"/>
    </row>
    <row r="1050" spans="1:29" ht="15.75" customHeight="1">
      <c r="A1050" s="248">
        <v>44782</v>
      </c>
      <c r="B1050" s="219" t="s">
        <v>7918</v>
      </c>
      <c r="C1050" s="249">
        <v>1.5</v>
      </c>
      <c r="D1050" s="219" t="s">
        <v>7921</v>
      </c>
      <c r="E1050" s="250" t="s">
        <v>4</v>
      </c>
      <c r="F1050" s="219" t="s">
        <v>602</v>
      </c>
      <c r="G1050" s="219" t="s">
        <v>7922</v>
      </c>
      <c r="H1050" s="219">
        <v>2</v>
      </c>
      <c r="I1050" s="219" t="s">
        <v>1054</v>
      </c>
      <c r="J1050" s="219" t="s">
        <v>7923</v>
      </c>
      <c r="K1050" s="219">
        <v>1</v>
      </c>
      <c r="L1050" s="219" t="s">
        <v>451</v>
      </c>
      <c r="M1050" s="219">
        <v>3000000</v>
      </c>
      <c r="N1050" s="219" t="s">
        <v>465</v>
      </c>
      <c r="O1050" s="219" t="s">
        <v>452</v>
      </c>
      <c r="P1050" s="219"/>
      <c r="Q1050" s="219" t="s">
        <v>24</v>
      </c>
      <c r="R1050" s="219"/>
      <c r="S1050" s="219" t="str">
        <f ca="1">IFERROR(VLOOKUP(B1050,'2022-2023 Third Reviews'!$C:$S,9,FALSE),"")</f>
        <v>John McDonald
5</v>
      </c>
      <c r="T1050" s="219"/>
      <c r="U1050" s="219"/>
      <c r="V1050" s="219"/>
      <c r="W1050" s="219"/>
      <c r="X1050" s="219"/>
      <c r="Y1050" s="219"/>
      <c r="Z1050" s="219"/>
      <c r="AA1050" s="219"/>
      <c r="AB1050" s="219"/>
      <c r="AC1050" s="219"/>
    </row>
    <row r="1051" spans="1:29" ht="15.75" customHeight="1">
      <c r="A1051" s="253">
        <v>44797</v>
      </c>
      <c r="B1051" s="224" t="s">
        <v>7925</v>
      </c>
      <c r="C1051" s="316">
        <v>1.5</v>
      </c>
      <c r="D1051" s="224"/>
      <c r="E1051" s="224" t="s">
        <v>4</v>
      </c>
      <c r="F1051" s="224" t="s">
        <v>725</v>
      </c>
      <c r="G1051" s="224" t="s">
        <v>11498</v>
      </c>
      <c r="H1051" s="224">
        <v>1</v>
      </c>
      <c r="I1051" s="224" t="s">
        <v>1350</v>
      </c>
      <c r="J1051" s="224" t="s">
        <v>7929</v>
      </c>
      <c r="K1051" s="224">
        <v>2</v>
      </c>
      <c r="L1051" s="224" t="s">
        <v>2190</v>
      </c>
      <c r="M1051" s="224">
        <v>1000000</v>
      </c>
      <c r="N1051" s="224" t="s">
        <v>452</v>
      </c>
      <c r="O1051" s="224" t="s">
        <v>7930</v>
      </c>
      <c r="P1051" s="224" t="s">
        <v>1343</v>
      </c>
      <c r="Q1051" s="224" t="s">
        <v>24</v>
      </c>
      <c r="R1051" s="224"/>
      <c r="S1051" s="224" t="str">
        <f>IFERROR(VLOOKUP(B1051,'2022-2023 Third Reviews'!$C:$S,9,FALSE),"")</f>
        <v/>
      </c>
      <c r="T1051" s="224"/>
      <c r="U1051" s="224"/>
      <c r="V1051" s="306"/>
      <c r="W1051" s="306"/>
      <c r="X1051" s="306"/>
      <c r="Y1051" s="306"/>
      <c r="Z1051" s="306"/>
      <c r="AA1051" s="306"/>
      <c r="AB1051" s="306"/>
      <c r="AC1051" s="306"/>
    </row>
    <row r="1052" spans="1:29" ht="15.75" customHeight="1">
      <c r="A1052" s="248">
        <v>44796</v>
      </c>
      <c r="B1052" s="219" t="s">
        <v>7933</v>
      </c>
      <c r="C1052" s="315">
        <v>1.5</v>
      </c>
      <c r="D1052" s="219" t="s">
        <v>7936</v>
      </c>
      <c r="E1052" s="219" t="s">
        <v>4</v>
      </c>
      <c r="F1052" s="219" t="s">
        <v>727</v>
      </c>
      <c r="G1052" s="219" t="s">
        <v>10587</v>
      </c>
      <c r="H1052" s="219">
        <v>2</v>
      </c>
      <c r="I1052" s="219" t="s">
        <v>1371</v>
      </c>
      <c r="J1052" s="219" t="s">
        <v>7938</v>
      </c>
      <c r="K1052" s="219">
        <v>1</v>
      </c>
      <c r="L1052" s="219"/>
      <c r="M1052" s="219"/>
      <c r="N1052" s="219" t="s">
        <v>454</v>
      </c>
      <c r="O1052" s="219" t="s">
        <v>452</v>
      </c>
      <c r="P1052" s="219"/>
      <c r="Q1052" s="219" t="s">
        <v>24</v>
      </c>
      <c r="R1052" s="219"/>
      <c r="S1052" s="219" t="str">
        <f>IFERROR(VLOOKUP(B1052,'2022-2023 Third Reviews'!$C:$S,9,FALSE),"")</f>
        <v/>
      </c>
      <c r="T1052" s="219"/>
      <c r="U1052" s="219"/>
      <c r="V1052" s="306"/>
      <c r="W1052" s="306"/>
      <c r="X1052" s="306"/>
      <c r="Y1052" s="306"/>
      <c r="Z1052" s="306"/>
      <c r="AA1052" s="306"/>
      <c r="AB1052" s="306"/>
      <c r="AC1052" s="306"/>
    </row>
    <row r="1053" spans="1:29" ht="15.75" customHeight="1">
      <c r="A1053" s="398">
        <v>44784</v>
      </c>
      <c r="B1053" s="272" t="s">
        <v>7940</v>
      </c>
      <c r="C1053" s="269">
        <v>1.5</v>
      </c>
      <c r="D1053" s="272" t="s">
        <v>7943</v>
      </c>
      <c r="E1053" s="270" t="s">
        <v>4</v>
      </c>
      <c r="F1053" s="272" t="s">
        <v>602</v>
      </c>
      <c r="G1053" s="272"/>
      <c r="H1053" s="272">
        <v>2</v>
      </c>
      <c r="I1053" s="272" t="s">
        <v>476</v>
      </c>
      <c r="J1053" s="272"/>
      <c r="K1053" s="272">
        <v>1</v>
      </c>
      <c r="L1053" s="272" t="s">
        <v>451</v>
      </c>
      <c r="M1053" s="272">
        <v>1500000</v>
      </c>
      <c r="N1053" s="272" t="s">
        <v>452</v>
      </c>
      <c r="O1053" s="272" t="s">
        <v>11601</v>
      </c>
      <c r="P1053" s="272"/>
      <c r="Q1053" s="272" t="s">
        <v>24</v>
      </c>
      <c r="R1053" s="272"/>
      <c r="S1053" s="272" t="str">
        <f>IFERROR(VLOOKUP(B1053,'2022-2023 Third Reviews'!$C:$S,9,FALSE),"")</f>
        <v/>
      </c>
      <c r="T1053" s="272" t="s">
        <v>13259</v>
      </c>
      <c r="U1053" s="272"/>
      <c r="V1053" s="224"/>
      <c r="W1053" s="224"/>
      <c r="X1053" s="224"/>
      <c r="Y1053" s="224"/>
      <c r="Z1053" s="224"/>
      <c r="AA1053" s="224"/>
      <c r="AB1053" s="224"/>
      <c r="AC1053" s="224"/>
    </row>
    <row r="1054" spans="1:29" ht="15.75" hidden="1" customHeight="1">
      <c r="A1054" s="541">
        <v>44796</v>
      </c>
      <c r="B1054" s="306" t="s">
        <v>340</v>
      </c>
      <c r="C1054" s="542"/>
      <c r="D1054" s="306" t="s">
        <v>1937</v>
      </c>
      <c r="E1054" s="306" t="s">
        <v>3</v>
      </c>
      <c r="F1054" s="306" t="s">
        <v>488</v>
      </c>
      <c r="G1054" s="306"/>
      <c r="H1054" s="306"/>
      <c r="I1054" s="306" t="s">
        <v>941</v>
      </c>
      <c r="J1054" s="306"/>
      <c r="K1054" s="306"/>
      <c r="L1054" s="306"/>
      <c r="M1054" s="306"/>
      <c r="N1054" s="306" t="s">
        <v>452</v>
      </c>
      <c r="O1054" s="306" t="s">
        <v>1940</v>
      </c>
      <c r="P1054" s="306" t="s">
        <v>1941</v>
      </c>
      <c r="Q1054" s="306"/>
      <c r="R1054" s="543"/>
      <c r="S1054" s="543"/>
      <c r="T1054" s="543"/>
      <c r="U1054" s="543"/>
      <c r="V1054" s="219"/>
      <c r="W1054" s="219"/>
      <c r="X1054" s="219"/>
      <c r="Y1054" s="219"/>
      <c r="Z1054" s="219"/>
      <c r="AA1054" s="219"/>
      <c r="AB1054" s="219"/>
      <c r="AC1054" s="219"/>
    </row>
    <row r="1055" spans="1:29" ht="15.75" hidden="1" customHeight="1">
      <c r="A1055" s="541">
        <v>44797</v>
      </c>
      <c r="B1055" s="306" t="s">
        <v>340</v>
      </c>
      <c r="C1055" s="542"/>
      <c r="D1055" s="306" t="s">
        <v>1937</v>
      </c>
      <c r="E1055" s="306" t="s">
        <v>3</v>
      </c>
      <c r="F1055" s="306" t="s">
        <v>488</v>
      </c>
      <c r="G1055" s="306"/>
      <c r="H1055" s="306"/>
      <c r="I1055" s="306" t="s">
        <v>941</v>
      </c>
      <c r="J1055" s="306"/>
      <c r="K1055" s="306"/>
      <c r="L1055" s="306"/>
      <c r="M1055" s="306"/>
      <c r="N1055" s="306" t="s">
        <v>452</v>
      </c>
      <c r="O1055" s="306" t="s">
        <v>1940</v>
      </c>
      <c r="P1055" s="306" t="s">
        <v>1941</v>
      </c>
      <c r="Q1055" s="306"/>
      <c r="R1055" s="543"/>
      <c r="S1055" s="543"/>
      <c r="T1055" s="543"/>
      <c r="U1055" s="543"/>
      <c r="V1055" s="306"/>
      <c r="W1055" s="306"/>
      <c r="X1055" s="306"/>
      <c r="Y1055" s="306"/>
      <c r="Z1055" s="306"/>
      <c r="AA1055" s="306"/>
      <c r="AB1055" s="306"/>
      <c r="AC1055" s="306"/>
    </row>
    <row r="1056" spans="1:29" ht="15.75" hidden="1" customHeight="1">
      <c r="A1056" s="248">
        <v>44797</v>
      </c>
      <c r="B1056" s="219" t="s">
        <v>340</v>
      </c>
      <c r="C1056" s="315">
        <v>4</v>
      </c>
      <c r="D1056" s="219" t="s">
        <v>1937</v>
      </c>
      <c r="E1056" s="219" t="s">
        <v>3</v>
      </c>
      <c r="F1056" s="219" t="s">
        <v>460</v>
      </c>
      <c r="G1056" s="219" t="s">
        <v>11261</v>
      </c>
      <c r="H1056" s="219">
        <v>4</v>
      </c>
      <c r="I1056" s="219" t="s">
        <v>941</v>
      </c>
      <c r="J1056" s="219" t="s">
        <v>1939</v>
      </c>
      <c r="K1056" s="219">
        <v>4</v>
      </c>
      <c r="L1056" s="219"/>
      <c r="M1056" s="219"/>
      <c r="N1056" s="219" t="s">
        <v>452</v>
      </c>
      <c r="O1056" s="219" t="s">
        <v>1940</v>
      </c>
      <c r="P1056" s="219" t="s">
        <v>1941</v>
      </c>
      <c r="Q1056" s="219" t="s">
        <v>18</v>
      </c>
      <c r="R1056" s="251"/>
      <c r="S1056" s="251"/>
      <c r="T1056" s="251"/>
      <c r="U1056" s="251"/>
      <c r="V1056" s="219"/>
      <c r="W1056" s="219"/>
      <c r="X1056" s="219"/>
      <c r="Y1056" s="219"/>
      <c r="Z1056" s="219"/>
      <c r="AA1056" s="219"/>
      <c r="AB1056" s="219"/>
      <c r="AC1056" s="219"/>
    </row>
    <row r="1057" spans="1:29" ht="15.75" hidden="1" customHeight="1">
      <c r="A1057" s="541">
        <v>44796</v>
      </c>
      <c r="B1057" s="306" t="s">
        <v>3115</v>
      </c>
      <c r="C1057" s="542"/>
      <c r="D1057" s="306" t="s">
        <v>3118</v>
      </c>
      <c r="E1057" s="306" t="s">
        <v>5</v>
      </c>
      <c r="F1057" s="306" t="s">
        <v>447</v>
      </c>
      <c r="G1057" s="306" t="s">
        <v>3119</v>
      </c>
      <c r="H1057" s="306">
        <v>3.5</v>
      </c>
      <c r="I1057" s="306" t="s">
        <v>543</v>
      </c>
      <c r="J1057" s="306"/>
      <c r="K1057" s="306"/>
      <c r="L1057" s="306"/>
      <c r="M1057" s="306"/>
      <c r="N1057" s="306" t="s">
        <v>465</v>
      </c>
      <c r="O1057" s="306" t="s">
        <v>3121</v>
      </c>
      <c r="P1057" s="306" t="s">
        <v>725</v>
      </c>
      <c r="Q1057" s="306"/>
      <c r="R1057" s="543"/>
      <c r="S1057" s="543"/>
      <c r="T1057" s="543"/>
      <c r="U1057" s="543"/>
      <c r="V1057" s="224"/>
      <c r="W1057" s="224"/>
      <c r="X1057" s="224"/>
      <c r="Y1057" s="224"/>
      <c r="Z1057" s="224"/>
      <c r="AA1057" s="224"/>
      <c r="AB1057" s="224"/>
      <c r="AC1057" s="224"/>
    </row>
    <row r="1058" spans="1:29" ht="15.75" hidden="1" customHeight="1">
      <c r="A1058" s="248">
        <v>44796</v>
      </c>
      <c r="B1058" s="219" t="s">
        <v>3115</v>
      </c>
      <c r="C1058" s="315">
        <v>3.5</v>
      </c>
      <c r="D1058" s="219" t="s">
        <v>3118</v>
      </c>
      <c r="E1058" s="219" t="s">
        <v>5</v>
      </c>
      <c r="F1058" s="219" t="s">
        <v>447</v>
      </c>
      <c r="G1058" s="219" t="s">
        <v>3119</v>
      </c>
      <c r="H1058" s="219">
        <v>3.5</v>
      </c>
      <c r="I1058" s="219" t="s">
        <v>543</v>
      </c>
      <c r="J1058" s="219" t="s">
        <v>11729</v>
      </c>
      <c r="K1058" s="219">
        <v>3.5</v>
      </c>
      <c r="L1058" s="219"/>
      <c r="M1058" s="219"/>
      <c r="N1058" s="219" t="s">
        <v>465</v>
      </c>
      <c r="O1058" s="219" t="s">
        <v>3121</v>
      </c>
      <c r="P1058" s="219" t="s">
        <v>725</v>
      </c>
      <c r="Q1058" s="219" t="s">
        <v>24</v>
      </c>
      <c r="R1058" s="251"/>
      <c r="S1058" s="251"/>
      <c r="T1058" s="251"/>
      <c r="U1058" s="251"/>
      <c r="V1058" s="219"/>
      <c r="W1058" s="219"/>
      <c r="X1058" s="219"/>
      <c r="Y1058" s="219"/>
      <c r="Z1058" s="219"/>
      <c r="AA1058" s="219"/>
      <c r="AB1058" s="219"/>
      <c r="AC1058" s="219"/>
    </row>
    <row r="1059" spans="1:29" ht="15.75" customHeight="1">
      <c r="A1059" s="253">
        <v>44789</v>
      </c>
      <c r="B1059" s="224" t="s">
        <v>7947</v>
      </c>
      <c r="C1059" s="249">
        <v>1.5</v>
      </c>
      <c r="D1059" s="224" t="s">
        <v>11029</v>
      </c>
      <c r="E1059" s="250" t="s">
        <v>4</v>
      </c>
      <c r="F1059" s="224" t="s">
        <v>602</v>
      </c>
      <c r="G1059" s="224"/>
      <c r="H1059" s="224">
        <v>2</v>
      </c>
      <c r="I1059" s="224" t="s">
        <v>1054</v>
      </c>
      <c r="J1059" s="224" t="s">
        <v>7951</v>
      </c>
      <c r="K1059" s="224">
        <v>1</v>
      </c>
      <c r="L1059" s="224"/>
      <c r="M1059" s="224"/>
      <c r="N1059" s="224" t="s">
        <v>452</v>
      </c>
      <c r="O1059" s="224" t="s">
        <v>575</v>
      </c>
      <c r="P1059" s="224"/>
      <c r="Q1059" s="224" t="s">
        <v>24</v>
      </c>
      <c r="R1059" s="224"/>
      <c r="S1059" s="224" t="str">
        <f>IFERROR(VLOOKUP(B1059,'2022-2023 Third Reviews'!$C:$S,9,FALSE),"")</f>
        <v/>
      </c>
      <c r="T1059" s="224"/>
      <c r="U1059" s="224"/>
      <c r="V1059" s="306"/>
      <c r="W1059" s="306"/>
      <c r="X1059" s="306"/>
      <c r="Y1059" s="306"/>
      <c r="Z1059" s="306"/>
      <c r="AA1059" s="306"/>
      <c r="AB1059" s="306"/>
      <c r="AC1059" s="306"/>
    </row>
    <row r="1060" spans="1:29" ht="15.75" customHeight="1">
      <c r="A1060" s="248">
        <v>44797</v>
      </c>
      <c r="B1060" s="219" t="s">
        <v>7962</v>
      </c>
      <c r="C1060" s="315">
        <v>1.5</v>
      </c>
      <c r="D1060" s="219" t="s">
        <v>7965</v>
      </c>
      <c r="E1060" s="219" t="s">
        <v>4</v>
      </c>
      <c r="F1060" s="219" t="s">
        <v>1045</v>
      </c>
      <c r="G1060" s="219" t="s">
        <v>7966</v>
      </c>
      <c r="H1060" s="219">
        <v>2</v>
      </c>
      <c r="I1060" s="219" t="s">
        <v>1371</v>
      </c>
      <c r="J1060" s="219" t="s">
        <v>7967</v>
      </c>
      <c r="K1060" s="219">
        <v>1</v>
      </c>
      <c r="L1060" s="219" t="s">
        <v>451</v>
      </c>
      <c r="M1060" s="331">
        <v>1000000</v>
      </c>
      <c r="N1060" s="219" t="s">
        <v>454</v>
      </c>
      <c r="O1060" s="219" t="s">
        <v>452</v>
      </c>
      <c r="P1060" s="219"/>
      <c r="Q1060" s="219" t="s">
        <v>24</v>
      </c>
      <c r="R1060" s="219"/>
      <c r="S1060" s="219" t="str">
        <f>IFERROR(VLOOKUP(B1060,'2022-2023 Third Reviews'!$C:$S,9,FALSE),"")</f>
        <v/>
      </c>
      <c r="T1060" s="219"/>
      <c r="U1060" s="219"/>
      <c r="V1060" s="306"/>
      <c r="W1060" s="306"/>
      <c r="X1060" s="306"/>
      <c r="Y1060" s="306"/>
      <c r="Z1060" s="306"/>
      <c r="AA1060" s="306"/>
      <c r="AB1060" s="306"/>
      <c r="AC1060" s="306"/>
    </row>
    <row r="1061" spans="1:29" ht="15.75" customHeight="1">
      <c r="A1061" s="253">
        <v>44796</v>
      </c>
      <c r="B1061" s="224" t="s">
        <v>7970</v>
      </c>
      <c r="C1061" s="316">
        <v>1.5</v>
      </c>
      <c r="D1061" s="224" t="s">
        <v>11111</v>
      </c>
      <c r="E1061" s="224" t="s">
        <v>4</v>
      </c>
      <c r="F1061" s="224" t="s">
        <v>447</v>
      </c>
      <c r="G1061" s="224" t="s">
        <v>11112</v>
      </c>
      <c r="H1061" s="224">
        <v>1</v>
      </c>
      <c r="I1061" s="224" t="s">
        <v>1371</v>
      </c>
      <c r="J1061" s="224" t="s">
        <v>7975</v>
      </c>
      <c r="K1061" s="224">
        <v>2</v>
      </c>
      <c r="L1061" s="224"/>
      <c r="M1061" s="224"/>
      <c r="N1061" s="224" t="s">
        <v>454</v>
      </c>
      <c r="O1061" s="224" t="s">
        <v>1028</v>
      </c>
      <c r="P1061" s="224"/>
      <c r="Q1061" s="224" t="s">
        <v>24</v>
      </c>
      <c r="R1061" s="224"/>
      <c r="S1061" s="224" t="str">
        <f>IFERROR(VLOOKUP(B1061,'2022-2023 Third Reviews'!$C:$S,9,FALSE),"")</f>
        <v/>
      </c>
      <c r="T1061" s="224"/>
      <c r="U1061" s="224"/>
      <c r="V1061" s="306"/>
      <c r="W1061" s="306"/>
      <c r="X1061" s="306"/>
      <c r="Y1061" s="306"/>
      <c r="Z1061" s="306"/>
      <c r="AA1061" s="306"/>
      <c r="AB1061" s="306"/>
      <c r="AC1061" s="306"/>
    </row>
    <row r="1062" spans="1:29" ht="15.75" customHeight="1">
      <c r="A1062" s="248">
        <v>44791</v>
      </c>
      <c r="B1062" s="219" t="s">
        <v>7978</v>
      </c>
      <c r="C1062" s="315">
        <v>1.5</v>
      </c>
      <c r="D1062" s="219" t="s">
        <v>7981</v>
      </c>
      <c r="E1062" s="219" t="s">
        <v>4</v>
      </c>
      <c r="F1062" s="219" t="s">
        <v>725</v>
      </c>
      <c r="G1062" s="219" t="s">
        <v>11118</v>
      </c>
      <c r="H1062" s="219">
        <v>2</v>
      </c>
      <c r="I1062" s="219" t="s">
        <v>476</v>
      </c>
      <c r="J1062" s="219" t="s">
        <v>7983</v>
      </c>
      <c r="K1062" s="219">
        <v>1</v>
      </c>
      <c r="L1062" s="219" t="s">
        <v>451</v>
      </c>
      <c r="M1062" s="219" t="s">
        <v>7984</v>
      </c>
      <c r="N1062" s="219" t="s">
        <v>452</v>
      </c>
      <c r="O1062" s="219" t="s">
        <v>7985</v>
      </c>
      <c r="P1062" s="219"/>
      <c r="Q1062" s="322" t="s">
        <v>24</v>
      </c>
      <c r="R1062" s="219"/>
      <c r="S1062" s="219" t="str">
        <f>IFERROR(VLOOKUP(B1062,'2022-2023 Third Reviews'!$C:$S,9,FALSE),"")</f>
        <v/>
      </c>
      <c r="T1062" s="219" t="s">
        <v>13051</v>
      </c>
      <c r="U1062" s="219"/>
      <c r="V1062" s="219"/>
      <c r="W1062" s="219"/>
      <c r="X1062" s="219"/>
      <c r="Y1062" s="219"/>
      <c r="Z1062" s="219"/>
      <c r="AA1062" s="219"/>
      <c r="AB1062" s="219"/>
      <c r="AC1062" s="219"/>
    </row>
    <row r="1063" spans="1:29" ht="15.75" customHeight="1">
      <c r="A1063" s="398">
        <v>44784</v>
      </c>
      <c r="B1063" s="272" t="s">
        <v>7988</v>
      </c>
      <c r="C1063" s="269">
        <v>1.5</v>
      </c>
      <c r="D1063" s="272" t="s">
        <v>7991</v>
      </c>
      <c r="E1063" s="270" t="s">
        <v>4</v>
      </c>
      <c r="F1063" s="272" t="s">
        <v>727</v>
      </c>
      <c r="G1063" s="272" t="s">
        <v>11129</v>
      </c>
      <c r="H1063" s="272">
        <v>2</v>
      </c>
      <c r="I1063" s="272" t="s">
        <v>476</v>
      </c>
      <c r="J1063" s="272" t="s">
        <v>11602</v>
      </c>
      <c r="K1063" s="272">
        <v>1</v>
      </c>
      <c r="L1063" s="272"/>
      <c r="M1063" s="272"/>
      <c r="N1063" s="272" t="s">
        <v>465</v>
      </c>
      <c r="O1063" s="272" t="s">
        <v>7994</v>
      </c>
      <c r="P1063" s="272"/>
      <c r="Q1063" s="272" t="s">
        <v>24</v>
      </c>
      <c r="R1063" s="272"/>
      <c r="S1063" s="272" t="str">
        <f>IFERROR(VLOOKUP(B1063,'2022-2023 Third Reviews'!$C:$S,9,FALSE),"")</f>
        <v/>
      </c>
      <c r="T1063" s="272"/>
      <c r="U1063" s="272"/>
      <c r="V1063" s="224"/>
      <c r="W1063" s="224"/>
      <c r="X1063" s="224"/>
      <c r="Y1063" s="224"/>
      <c r="Z1063" s="224"/>
      <c r="AA1063" s="224"/>
      <c r="AB1063" s="224"/>
      <c r="AC1063" s="224"/>
    </row>
    <row r="1064" spans="1:29" ht="15.75" customHeight="1">
      <c r="A1064" s="248">
        <v>44796</v>
      </c>
      <c r="B1064" s="219" t="s">
        <v>7997</v>
      </c>
      <c r="C1064" s="315">
        <v>1.5</v>
      </c>
      <c r="D1064" s="219" t="s">
        <v>8000</v>
      </c>
      <c r="E1064" s="219" t="s">
        <v>4</v>
      </c>
      <c r="F1064" s="219" t="s">
        <v>602</v>
      </c>
      <c r="G1064" s="219" t="s">
        <v>8001</v>
      </c>
      <c r="H1064" s="219">
        <v>2</v>
      </c>
      <c r="I1064" s="219" t="s">
        <v>1371</v>
      </c>
      <c r="J1064" s="219" t="s">
        <v>8002</v>
      </c>
      <c r="K1064" s="219">
        <v>1</v>
      </c>
      <c r="L1064" s="219" t="s">
        <v>451</v>
      </c>
      <c r="M1064" s="331">
        <v>500000</v>
      </c>
      <c r="N1064" s="219" t="s">
        <v>452</v>
      </c>
      <c r="O1064" s="219" t="s">
        <v>8003</v>
      </c>
      <c r="P1064" s="219"/>
      <c r="Q1064" s="219" t="s">
        <v>24</v>
      </c>
      <c r="R1064" s="219"/>
      <c r="S1064" s="219" t="str">
        <f>IFERROR(VLOOKUP(B1064,'2022-2023 Third Reviews'!$C:$S,9,FALSE),"")</f>
        <v/>
      </c>
      <c r="T1064" s="219"/>
      <c r="U1064" s="219"/>
      <c r="V1064" s="306"/>
      <c r="W1064" s="306"/>
      <c r="X1064" s="306"/>
      <c r="Y1064" s="306"/>
      <c r="Z1064" s="306"/>
      <c r="AA1064" s="306"/>
      <c r="AB1064" s="306"/>
      <c r="AC1064" s="306"/>
    </row>
    <row r="1065" spans="1:29" ht="15.75" hidden="1" customHeight="1">
      <c r="A1065" s="227">
        <v>44776</v>
      </c>
      <c r="B1065" s="228" t="s">
        <v>3124</v>
      </c>
      <c r="C1065" s="214">
        <v>3</v>
      </c>
      <c r="D1065" s="228" t="s">
        <v>3127</v>
      </c>
      <c r="E1065" s="215" t="s">
        <v>5</v>
      </c>
      <c r="F1065" s="228" t="s">
        <v>447</v>
      </c>
      <c r="G1065" s="228" t="s">
        <v>3128</v>
      </c>
      <c r="H1065" s="228">
        <v>3</v>
      </c>
      <c r="I1065" s="228" t="s">
        <v>449</v>
      </c>
      <c r="J1065" s="228" t="e">
        <f ca="1">+They are trying to help people with insomnia through therapy(sounds and lighting controlled by devices) instead of drugs
+the Have multiple patents and academic research
+They Have raised a Large amoount of money through grants and Have some MRR
-product seems to require user to already Have lots of smart devices and Have them compatible with their application</f>
        <v>#NAME?</v>
      </c>
      <c r="K1065" s="228">
        <v>3</v>
      </c>
      <c r="L1065" s="228"/>
      <c r="M1065" s="228"/>
      <c r="N1065" s="228" t="s">
        <v>452</v>
      </c>
      <c r="O1065" s="228" t="s">
        <v>3130</v>
      </c>
      <c r="P1065" s="230"/>
      <c r="Q1065" s="228" t="s">
        <v>24</v>
      </c>
      <c r="R1065" s="231" t="s">
        <v>3131</v>
      </c>
      <c r="S1065" s="231"/>
      <c r="T1065" s="231"/>
      <c r="U1065" s="231"/>
      <c r="V1065" s="228"/>
      <c r="W1065" s="228"/>
      <c r="X1065" s="228"/>
      <c r="Y1065" s="224"/>
      <c r="Z1065" s="224"/>
      <c r="AA1065" s="224"/>
      <c r="AB1065" s="224"/>
      <c r="AC1065" s="224"/>
    </row>
    <row r="1066" spans="1:29" ht="15.75" customHeight="1">
      <c r="A1066" s="248">
        <v>44789</v>
      </c>
      <c r="B1066" s="219" t="s">
        <v>8006</v>
      </c>
      <c r="C1066" s="249">
        <v>1.5</v>
      </c>
      <c r="D1066" s="219" t="s">
        <v>8009</v>
      </c>
      <c r="E1066" s="250" t="s">
        <v>4</v>
      </c>
      <c r="F1066" s="219" t="s">
        <v>727</v>
      </c>
      <c r="G1066" s="219" t="s">
        <v>10661</v>
      </c>
      <c r="H1066" s="219">
        <v>1.5</v>
      </c>
      <c r="I1066" s="219" t="s">
        <v>1045</v>
      </c>
      <c r="J1066" s="219" t="s">
        <v>8011</v>
      </c>
      <c r="K1066" s="219">
        <v>1.5</v>
      </c>
      <c r="L1066" s="219"/>
      <c r="M1066" s="219"/>
      <c r="N1066" s="219" t="s">
        <v>454</v>
      </c>
      <c r="O1066" s="219" t="s">
        <v>452</v>
      </c>
      <c r="P1066" s="219"/>
      <c r="Q1066" s="219" t="s">
        <v>24</v>
      </c>
      <c r="R1066" s="219"/>
      <c r="S1066" s="219" t="str">
        <f ca="1">IFERROR(VLOOKUP(B1066,'2022-2023 Third Reviews'!$C:$S,9,FALSE),"")</f>
        <v>Chris Millisits
4</v>
      </c>
      <c r="T1066" s="219"/>
      <c r="U1066" s="219"/>
      <c r="V1066" s="219"/>
      <c r="W1066" s="219"/>
      <c r="X1066" s="219"/>
      <c r="Y1066" s="219"/>
      <c r="Z1066" s="219"/>
      <c r="AA1066" s="219"/>
      <c r="AB1066" s="219"/>
      <c r="AC1066" s="219"/>
    </row>
    <row r="1067" spans="1:29" ht="15.75" customHeight="1">
      <c r="A1067" s="220">
        <v>44776</v>
      </c>
      <c r="B1067" s="221" t="s">
        <v>8014</v>
      </c>
      <c r="C1067" s="214">
        <v>1.5</v>
      </c>
      <c r="D1067" s="221" t="s">
        <v>8017</v>
      </c>
      <c r="E1067" s="215" t="s">
        <v>4</v>
      </c>
      <c r="F1067" s="221" t="s">
        <v>602</v>
      </c>
      <c r="G1067" s="221" t="s">
        <v>10628</v>
      </c>
      <c r="H1067" s="221">
        <v>2</v>
      </c>
      <c r="I1067" s="221" t="s">
        <v>1054</v>
      </c>
      <c r="J1067" s="221" t="s">
        <v>8019</v>
      </c>
      <c r="K1067" s="221">
        <v>1</v>
      </c>
      <c r="L1067" s="221" t="s">
        <v>784</v>
      </c>
      <c r="M1067" s="221">
        <v>500000</v>
      </c>
      <c r="N1067" s="221" t="s">
        <v>452</v>
      </c>
      <c r="O1067" s="221" t="s">
        <v>575</v>
      </c>
      <c r="P1067" s="145"/>
      <c r="Q1067" s="221" t="s">
        <v>24</v>
      </c>
      <c r="R1067" s="221">
        <f t="array" ref="R1067">INDEX(Notes!C:C,MATCH($B1067,Notes!$A:$A,0))</f>
        <v>0</v>
      </c>
      <c r="S1067" s="221" t="str">
        <f ca="1">IFERROR(VLOOKUP(B1067,'2022-2023 Third Reviews'!$C:$S,9,FALSE),"")</f>
        <v>Chris Millisits
4</v>
      </c>
      <c r="T1067" s="221"/>
      <c r="U1067" s="221"/>
      <c r="V1067" s="306"/>
      <c r="W1067" s="306"/>
      <c r="X1067" s="306"/>
      <c r="Y1067" s="306"/>
      <c r="Z1067" s="306"/>
      <c r="AA1067" s="306"/>
      <c r="AB1067" s="306"/>
      <c r="AC1067" s="306"/>
    </row>
    <row r="1068" spans="1:29" ht="15.75" hidden="1" customHeight="1">
      <c r="A1068" s="248">
        <v>44782</v>
      </c>
      <c r="B1068" s="219" t="s">
        <v>384</v>
      </c>
      <c r="C1068" s="249">
        <v>3.75</v>
      </c>
      <c r="D1068" s="219" t="s">
        <v>10054</v>
      </c>
      <c r="E1068" s="250" t="s">
        <v>5</v>
      </c>
      <c r="F1068" s="219" t="s">
        <v>447</v>
      </c>
      <c r="G1068" s="219" t="s">
        <v>10055</v>
      </c>
      <c r="H1068" s="219">
        <v>3.5</v>
      </c>
      <c r="I1068" s="219" t="s">
        <v>622</v>
      </c>
      <c r="J1068" s="219" t="s">
        <v>10056</v>
      </c>
      <c r="K1068" s="219">
        <v>4</v>
      </c>
      <c r="L1068" s="219" t="s">
        <v>451</v>
      </c>
      <c r="M1068" s="219">
        <v>5000000</v>
      </c>
      <c r="N1068" s="219" t="s">
        <v>452</v>
      </c>
      <c r="O1068" s="219" t="s">
        <v>10057</v>
      </c>
      <c r="P1068" s="219" t="s">
        <v>725</v>
      </c>
      <c r="Q1068" s="219" t="s">
        <v>20</v>
      </c>
      <c r="R1068" s="251" t="s">
        <v>10058</v>
      </c>
      <c r="S1068" s="251"/>
      <c r="T1068" s="251"/>
      <c r="U1068" s="251"/>
      <c r="V1068" s="252"/>
      <c r="W1068" s="252"/>
      <c r="X1068" s="252"/>
      <c r="Y1068" s="219"/>
      <c r="Z1068" s="219"/>
      <c r="AA1068" s="219"/>
      <c r="AB1068" s="219"/>
      <c r="AC1068" s="219"/>
    </row>
    <row r="1069" spans="1:29" ht="15.75" hidden="1" customHeight="1">
      <c r="A1069" s="541">
        <v>44791</v>
      </c>
      <c r="B1069" s="306" t="s">
        <v>9825</v>
      </c>
      <c r="C1069" s="542"/>
      <c r="D1069" s="306" t="s">
        <v>9828</v>
      </c>
      <c r="E1069" s="306" t="s">
        <v>3</v>
      </c>
      <c r="F1069" s="306" t="s">
        <v>488</v>
      </c>
      <c r="G1069" s="306" t="s">
        <v>13224</v>
      </c>
      <c r="H1069" s="306"/>
      <c r="I1069" s="306" t="s">
        <v>462</v>
      </c>
      <c r="J1069" s="306"/>
      <c r="K1069" s="306"/>
      <c r="L1069" s="306" t="s">
        <v>451</v>
      </c>
      <c r="M1069" s="544">
        <v>6000000</v>
      </c>
      <c r="N1069" s="306" t="s">
        <v>452</v>
      </c>
      <c r="O1069" s="306" t="s">
        <v>452</v>
      </c>
      <c r="P1069" s="306" t="s">
        <v>9831</v>
      </c>
      <c r="Q1069" s="306"/>
      <c r="R1069" s="543"/>
      <c r="S1069" s="543"/>
      <c r="T1069" s="543"/>
      <c r="U1069" s="543"/>
      <c r="V1069" s="306"/>
      <c r="W1069" s="306"/>
      <c r="X1069" s="306"/>
      <c r="Y1069" s="306"/>
      <c r="Z1069" s="306"/>
      <c r="AA1069" s="306"/>
      <c r="AB1069" s="306"/>
      <c r="AC1069" s="306"/>
    </row>
    <row r="1070" spans="1:29" ht="15.75" hidden="1" customHeight="1">
      <c r="A1070" s="541">
        <v>44796</v>
      </c>
      <c r="B1070" s="306" t="s">
        <v>9825</v>
      </c>
      <c r="C1070" s="542"/>
      <c r="D1070" s="306" t="s">
        <v>9828</v>
      </c>
      <c r="E1070" s="306" t="s">
        <v>3</v>
      </c>
      <c r="F1070" s="306" t="s">
        <v>488</v>
      </c>
      <c r="G1070" s="306" t="s">
        <v>13224</v>
      </c>
      <c r="H1070" s="306"/>
      <c r="I1070" s="306" t="s">
        <v>462</v>
      </c>
      <c r="J1070" s="306"/>
      <c r="K1070" s="306"/>
      <c r="L1070" s="306" t="s">
        <v>451</v>
      </c>
      <c r="M1070" s="544">
        <v>6000000</v>
      </c>
      <c r="N1070" s="306" t="s">
        <v>452</v>
      </c>
      <c r="O1070" s="306" t="s">
        <v>452</v>
      </c>
      <c r="P1070" s="306" t="s">
        <v>9831</v>
      </c>
      <c r="Q1070" s="306"/>
      <c r="R1070" s="543"/>
      <c r="S1070" s="543"/>
      <c r="T1070" s="543"/>
      <c r="U1070" s="543"/>
      <c r="V1070" s="306"/>
      <c r="W1070" s="306"/>
      <c r="X1070" s="306"/>
      <c r="Y1070" s="306"/>
      <c r="Z1070" s="306"/>
      <c r="AA1070" s="306"/>
      <c r="AB1070" s="306"/>
      <c r="AC1070" s="306"/>
    </row>
    <row r="1071" spans="1:29" ht="15.75" hidden="1" customHeight="1">
      <c r="A1071" s="257">
        <v>44796</v>
      </c>
      <c r="B1071" s="258" t="s">
        <v>9825</v>
      </c>
      <c r="C1071" s="263">
        <v>3.25</v>
      </c>
      <c r="D1071" s="258" t="s">
        <v>9828</v>
      </c>
      <c r="E1071" s="258" t="s">
        <v>3</v>
      </c>
      <c r="F1071" s="258" t="s">
        <v>488</v>
      </c>
      <c r="G1071" s="258" t="s">
        <v>9829</v>
      </c>
      <c r="H1071" s="258">
        <v>3.5</v>
      </c>
      <c r="I1071" s="258" t="s">
        <v>462</v>
      </c>
      <c r="J1071" s="258" t="s">
        <v>10761</v>
      </c>
      <c r="K1071" s="258">
        <v>3</v>
      </c>
      <c r="L1071" s="258" t="s">
        <v>451</v>
      </c>
      <c r="M1071" s="328">
        <v>6000000</v>
      </c>
      <c r="N1071" s="258" t="s">
        <v>452</v>
      </c>
      <c r="O1071" s="258" t="s">
        <v>452</v>
      </c>
      <c r="P1071" s="258" t="s">
        <v>9831</v>
      </c>
      <c r="Q1071" s="258" t="s">
        <v>23</v>
      </c>
      <c r="R1071" s="259" t="s">
        <v>9832</v>
      </c>
      <c r="S1071" s="259"/>
      <c r="T1071" s="259"/>
      <c r="U1071" s="259"/>
      <c r="V1071" s="258"/>
      <c r="W1071" s="258"/>
      <c r="X1071" s="258"/>
      <c r="Y1071" s="258"/>
      <c r="Z1071" s="258"/>
      <c r="AA1071" s="258"/>
      <c r="AB1071" s="258"/>
      <c r="AC1071" s="258"/>
    </row>
    <row r="1072" spans="1:29" ht="15.75" hidden="1" customHeight="1">
      <c r="A1072" s="257">
        <v>44782</v>
      </c>
      <c r="B1072" s="258" t="s">
        <v>374</v>
      </c>
      <c r="C1072" s="249">
        <v>3</v>
      </c>
      <c r="D1072" s="258" t="s">
        <v>9837</v>
      </c>
      <c r="E1072" s="250" t="s">
        <v>3</v>
      </c>
      <c r="F1072" s="258" t="s">
        <v>460</v>
      </c>
      <c r="G1072" s="258" t="s">
        <v>9838</v>
      </c>
      <c r="H1072" s="258">
        <v>2</v>
      </c>
      <c r="I1072" s="258" t="s">
        <v>462</v>
      </c>
      <c r="J1072" s="258" t="s">
        <v>11422</v>
      </c>
      <c r="K1072" s="258">
        <v>4</v>
      </c>
      <c r="L1072" s="258"/>
      <c r="M1072" s="258">
        <v>5000000</v>
      </c>
      <c r="N1072" s="258" t="s">
        <v>452</v>
      </c>
      <c r="O1072" s="258" t="s">
        <v>11423</v>
      </c>
      <c r="P1072" s="258"/>
      <c r="Q1072" s="258" t="s">
        <v>19</v>
      </c>
      <c r="R1072" s="259" t="s">
        <v>9841</v>
      </c>
      <c r="S1072" s="259"/>
      <c r="T1072" s="259"/>
      <c r="U1072" s="259"/>
      <c r="V1072" s="258"/>
      <c r="W1072" s="258"/>
      <c r="X1072" s="258"/>
      <c r="Y1072" s="258"/>
      <c r="Z1072" s="258"/>
      <c r="AA1072" s="258"/>
      <c r="AB1072" s="258"/>
      <c r="AC1072" s="258"/>
    </row>
    <row r="1073" spans="1:29" ht="15.75" customHeight="1">
      <c r="A1073" s="253">
        <v>44789</v>
      </c>
      <c r="B1073" s="224" t="s">
        <v>8022</v>
      </c>
      <c r="C1073" s="249">
        <v>1.5</v>
      </c>
      <c r="D1073" s="224" t="s">
        <v>8025</v>
      </c>
      <c r="E1073" s="250" t="s">
        <v>4</v>
      </c>
      <c r="F1073" s="224" t="s">
        <v>602</v>
      </c>
      <c r="G1073" s="224" t="s">
        <v>8026</v>
      </c>
      <c r="H1073" s="224">
        <v>2</v>
      </c>
      <c r="I1073" s="224" t="s">
        <v>476</v>
      </c>
      <c r="J1073" s="224" t="s">
        <v>11101</v>
      </c>
      <c r="K1073" s="224">
        <v>1</v>
      </c>
      <c r="L1073" s="224" t="s">
        <v>8028</v>
      </c>
      <c r="M1073" s="224" t="s">
        <v>8029</v>
      </c>
      <c r="N1073" s="224" t="s">
        <v>452</v>
      </c>
      <c r="O1073" s="224" t="s">
        <v>11102</v>
      </c>
      <c r="P1073" s="224"/>
      <c r="Q1073" s="224" t="s">
        <v>24</v>
      </c>
      <c r="R1073" s="224"/>
      <c r="S1073" s="224" t="str">
        <f ca="1">IFERROR(VLOOKUP(B1073,'2022-2023 Third Reviews'!$C:$S,9,FALSE),"")</f>
        <v>Chris Millisits
4</v>
      </c>
      <c r="T1073" s="224" t="s">
        <v>13280</v>
      </c>
      <c r="U1073" s="224"/>
      <c r="V1073" s="224"/>
      <c r="W1073" s="224"/>
      <c r="X1073" s="224"/>
      <c r="Y1073" s="224"/>
      <c r="Z1073" s="224"/>
      <c r="AA1073" s="224"/>
      <c r="AB1073" s="224"/>
      <c r="AC1073" s="224"/>
    </row>
    <row r="1074" spans="1:29" ht="15.75" hidden="1" customHeight="1">
      <c r="A1074" s="541">
        <v>44791</v>
      </c>
      <c r="B1074" s="306" t="s">
        <v>342</v>
      </c>
      <c r="C1074" s="542"/>
      <c r="D1074" s="306"/>
      <c r="E1074" s="306" t="s">
        <v>3</v>
      </c>
      <c r="F1074" s="306" t="s">
        <v>488</v>
      </c>
      <c r="G1074" s="306" t="s">
        <v>1947</v>
      </c>
      <c r="H1074" s="306"/>
      <c r="I1074" s="306" t="s">
        <v>462</v>
      </c>
      <c r="J1074" s="306"/>
      <c r="K1074" s="306"/>
      <c r="L1074" s="306" t="s">
        <v>1949</v>
      </c>
      <c r="M1074" s="306" t="s">
        <v>1950</v>
      </c>
      <c r="N1074" s="306" t="s">
        <v>452</v>
      </c>
      <c r="O1074" s="306" t="s">
        <v>452</v>
      </c>
      <c r="P1074" s="306"/>
      <c r="Q1074" s="306"/>
      <c r="R1074" s="543"/>
      <c r="S1074" s="543"/>
      <c r="T1074" s="543"/>
      <c r="U1074" s="543"/>
      <c r="V1074" s="306"/>
      <c r="W1074" s="306"/>
      <c r="X1074" s="306"/>
      <c r="Y1074" s="306"/>
      <c r="Z1074" s="306"/>
      <c r="AA1074" s="306"/>
      <c r="AB1074" s="306"/>
      <c r="AC1074" s="306"/>
    </row>
    <row r="1075" spans="1:29" ht="15.75" hidden="1" customHeight="1">
      <c r="A1075" s="541">
        <v>44796</v>
      </c>
      <c r="B1075" s="306" t="s">
        <v>342</v>
      </c>
      <c r="C1075" s="542"/>
      <c r="D1075" s="306"/>
      <c r="E1075" s="306" t="s">
        <v>3</v>
      </c>
      <c r="F1075" s="306" t="s">
        <v>488</v>
      </c>
      <c r="G1075" s="306" t="s">
        <v>1947</v>
      </c>
      <c r="H1075" s="306"/>
      <c r="I1075" s="306" t="s">
        <v>462</v>
      </c>
      <c r="J1075" s="306"/>
      <c r="K1075" s="306"/>
      <c r="L1075" s="306" t="s">
        <v>1949</v>
      </c>
      <c r="M1075" s="306" t="s">
        <v>1950</v>
      </c>
      <c r="N1075" s="306" t="s">
        <v>452</v>
      </c>
      <c r="O1075" s="306" t="s">
        <v>452</v>
      </c>
      <c r="P1075" s="306"/>
      <c r="Q1075" s="306"/>
      <c r="R1075" s="543"/>
      <c r="S1075" s="543"/>
      <c r="T1075" s="543"/>
      <c r="U1075" s="543"/>
      <c r="V1075" s="224"/>
      <c r="W1075" s="224"/>
      <c r="X1075" s="224"/>
      <c r="Y1075" s="224"/>
      <c r="Z1075" s="224"/>
      <c r="AA1075" s="224"/>
      <c r="AB1075" s="224"/>
      <c r="AC1075" s="224"/>
    </row>
    <row r="1076" spans="1:29" ht="15.75" hidden="1" customHeight="1">
      <c r="A1076" s="541">
        <v>44797</v>
      </c>
      <c r="B1076" s="306" t="s">
        <v>342</v>
      </c>
      <c r="C1076" s="542"/>
      <c r="D1076" s="306"/>
      <c r="E1076" s="306" t="s">
        <v>3</v>
      </c>
      <c r="F1076" s="306" t="s">
        <v>488</v>
      </c>
      <c r="G1076" s="306" t="s">
        <v>1947</v>
      </c>
      <c r="H1076" s="306"/>
      <c r="I1076" s="306" t="s">
        <v>462</v>
      </c>
      <c r="J1076" s="306" t="s">
        <v>1948</v>
      </c>
      <c r="K1076" s="306">
        <v>5</v>
      </c>
      <c r="L1076" s="306" t="s">
        <v>1949</v>
      </c>
      <c r="M1076" s="306" t="s">
        <v>1950</v>
      </c>
      <c r="N1076" s="306" t="s">
        <v>452</v>
      </c>
      <c r="O1076" s="306" t="s">
        <v>452</v>
      </c>
      <c r="P1076" s="306"/>
      <c r="Q1076" s="306"/>
      <c r="R1076" s="543"/>
      <c r="S1076" s="543"/>
      <c r="T1076" s="543"/>
      <c r="U1076" s="543"/>
      <c r="V1076" s="306"/>
      <c r="W1076" s="306"/>
      <c r="X1076" s="306"/>
      <c r="Y1076" s="306"/>
      <c r="Z1076" s="306"/>
      <c r="AA1076" s="306"/>
      <c r="AB1076" s="306"/>
      <c r="AC1076" s="306"/>
    </row>
    <row r="1077" spans="1:29" ht="15.75" hidden="1" customHeight="1">
      <c r="A1077" s="253">
        <v>44797</v>
      </c>
      <c r="B1077" s="224" t="s">
        <v>342</v>
      </c>
      <c r="C1077" s="316">
        <v>4.5</v>
      </c>
      <c r="D1077" s="224" t="s">
        <v>1946</v>
      </c>
      <c r="E1077" s="224" t="s">
        <v>3</v>
      </c>
      <c r="F1077" s="224" t="s">
        <v>488</v>
      </c>
      <c r="G1077" s="224" t="s">
        <v>1947</v>
      </c>
      <c r="H1077" s="224">
        <v>4</v>
      </c>
      <c r="I1077" s="224" t="s">
        <v>462</v>
      </c>
      <c r="J1077" s="224" t="s">
        <v>1948</v>
      </c>
      <c r="K1077" s="224">
        <v>5</v>
      </c>
      <c r="L1077" s="224" t="s">
        <v>1949</v>
      </c>
      <c r="M1077" s="224" t="s">
        <v>1950</v>
      </c>
      <c r="N1077" s="224" t="s">
        <v>452</v>
      </c>
      <c r="O1077" s="224" t="s">
        <v>452</v>
      </c>
      <c r="P1077" s="224"/>
      <c r="Q1077" s="224" t="s">
        <v>18</v>
      </c>
      <c r="R1077" s="254"/>
      <c r="S1077" s="254"/>
      <c r="T1077" s="254"/>
      <c r="U1077" s="254"/>
      <c r="V1077" s="224"/>
      <c r="W1077" s="224"/>
      <c r="X1077" s="224"/>
      <c r="Y1077" s="224"/>
      <c r="Z1077" s="224"/>
      <c r="AA1077" s="224"/>
      <c r="AB1077" s="224"/>
      <c r="AC1077" s="224"/>
    </row>
    <row r="1078" spans="1:29" ht="15.75" hidden="1" customHeight="1">
      <c r="A1078" s="248">
        <v>44789</v>
      </c>
      <c r="B1078" s="219" t="s">
        <v>343</v>
      </c>
      <c r="C1078" s="249">
        <v>4</v>
      </c>
      <c r="D1078" s="219" t="s">
        <v>11338</v>
      </c>
      <c r="E1078" s="250" t="s">
        <v>3</v>
      </c>
      <c r="F1078" s="219" t="s">
        <v>488</v>
      </c>
      <c r="G1078" s="219" t="s">
        <v>11339</v>
      </c>
      <c r="H1078" s="219">
        <v>4</v>
      </c>
      <c r="I1078" s="219" t="s">
        <v>941</v>
      </c>
      <c r="J1078" s="219" t="s">
        <v>1957</v>
      </c>
      <c r="K1078" s="219">
        <v>4</v>
      </c>
      <c r="L1078" s="219" t="s">
        <v>923</v>
      </c>
      <c r="M1078" s="219" t="s">
        <v>1958</v>
      </c>
      <c r="N1078" s="219" t="s">
        <v>452</v>
      </c>
      <c r="O1078" s="219" t="s">
        <v>575</v>
      </c>
      <c r="P1078" s="219" t="s">
        <v>1959</v>
      </c>
      <c r="Q1078" s="219" t="s">
        <v>18</v>
      </c>
      <c r="R1078" s="251"/>
      <c r="S1078" s="251"/>
      <c r="T1078" s="251"/>
      <c r="U1078" s="251"/>
      <c r="V1078" s="252"/>
      <c r="W1078" s="252"/>
      <c r="X1078" s="252"/>
      <c r="Y1078" s="219"/>
      <c r="Z1078" s="219"/>
      <c r="AA1078" s="219"/>
      <c r="AB1078" s="219"/>
      <c r="AC1078" s="219"/>
    </row>
    <row r="1079" spans="1:29" ht="15.75" hidden="1" customHeight="1">
      <c r="A1079" s="541">
        <v>44791</v>
      </c>
      <c r="B1079" s="306" t="s">
        <v>9843</v>
      </c>
      <c r="C1079" s="542"/>
      <c r="D1079" s="306" t="s">
        <v>9846</v>
      </c>
      <c r="E1079" s="306" t="s">
        <v>3</v>
      </c>
      <c r="F1079" s="306" t="s">
        <v>460</v>
      </c>
      <c r="G1079" s="306"/>
      <c r="H1079" s="306"/>
      <c r="I1079" s="306" t="s">
        <v>462</v>
      </c>
      <c r="J1079" s="306" t="s">
        <v>9848</v>
      </c>
      <c r="K1079" s="306">
        <v>3.5</v>
      </c>
      <c r="L1079" s="306" t="s">
        <v>784</v>
      </c>
      <c r="M1079" s="544">
        <v>2000000</v>
      </c>
      <c r="N1079" s="306" t="s">
        <v>452</v>
      </c>
      <c r="O1079" s="306" t="s">
        <v>9849</v>
      </c>
      <c r="P1079" s="306"/>
      <c r="Q1079" s="306"/>
      <c r="R1079" s="543"/>
      <c r="S1079" s="543"/>
      <c r="T1079" s="543"/>
      <c r="U1079" s="543"/>
      <c r="V1079" s="306"/>
      <c r="W1079" s="306"/>
      <c r="X1079" s="306"/>
      <c r="Y1079" s="306"/>
      <c r="Z1079" s="306"/>
      <c r="AA1079" s="306"/>
      <c r="AB1079" s="306"/>
      <c r="AC1079" s="306"/>
    </row>
    <row r="1080" spans="1:29" ht="15.75" hidden="1" customHeight="1">
      <c r="A1080" s="257">
        <v>44791</v>
      </c>
      <c r="B1080" s="258" t="s">
        <v>9843</v>
      </c>
      <c r="C1080" s="263">
        <v>3.5</v>
      </c>
      <c r="D1080" s="258" t="s">
        <v>9846</v>
      </c>
      <c r="E1080" s="258" t="s">
        <v>3</v>
      </c>
      <c r="F1080" s="258" t="s">
        <v>460</v>
      </c>
      <c r="G1080" s="258" t="s">
        <v>9847</v>
      </c>
      <c r="H1080" s="258">
        <v>3.5</v>
      </c>
      <c r="I1080" s="258" t="s">
        <v>462</v>
      </c>
      <c r="J1080" s="258" t="s">
        <v>9848</v>
      </c>
      <c r="K1080" s="258">
        <v>3.5</v>
      </c>
      <c r="L1080" s="258" t="s">
        <v>784</v>
      </c>
      <c r="M1080" s="309">
        <v>2000000</v>
      </c>
      <c r="N1080" s="258" t="s">
        <v>452</v>
      </c>
      <c r="O1080" s="258" t="s">
        <v>9849</v>
      </c>
      <c r="P1080" s="258"/>
      <c r="Q1080" s="258" t="s">
        <v>23</v>
      </c>
      <c r="R1080" s="259" t="s">
        <v>9850</v>
      </c>
      <c r="S1080" s="259"/>
      <c r="T1080" s="259"/>
      <c r="U1080" s="259"/>
      <c r="V1080" s="258"/>
      <c r="W1080" s="258"/>
      <c r="X1080" s="258"/>
      <c r="Y1080" s="258"/>
      <c r="Z1080" s="258"/>
      <c r="AA1080" s="258"/>
      <c r="AB1080" s="258"/>
      <c r="AC1080" s="258"/>
    </row>
    <row r="1081" spans="1:29" ht="15.75" hidden="1" customHeight="1">
      <c r="A1081" s="253">
        <v>44791</v>
      </c>
      <c r="B1081" s="224" t="s">
        <v>3133</v>
      </c>
      <c r="C1081" s="316">
        <v>3.25</v>
      </c>
      <c r="D1081" s="224" t="s">
        <v>3136</v>
      </c>
      <c r="E1081" s="224" t="s">
        <v>5</v>
      </c>
      <c r="F1081" s="224" t="s">
        <v>447</v>
      </c>
      <c r="G1081" s="224" t="s">
        <v>11014</v>
      </c>
      <c r="H1081" s="224">
        <v>3</v>
      </c>
      <c r="I1081" s="224" t="s">
        <v>622</v>
      </c>
      <c r="J1081" s="224"/>
      <c r="K1081" s="224">
        <v>3.5</v>
      </c>
      <c r="L1081" s="224" t="s">
        <v>3138</v>
      </c>
      <c r="M1081" s="307">
        <v>2</v>
      </c>
      <c r="N1081" s="224" t="s">
        <v>452</v>
      </c>
      <c r="O1081" s="224" t="s">
        <v>452</v>
      </c>
      <c r="P1081" s="224"/>
      <c r="Q1081" s="322" t="s">
        <v>24</v>
      </c>
      <c r="R1081" s="254"/>
      <c r="S1081" s="254"/>
      <c r="T1081" s="254"/>
      <c r="U1081" s="254"/>
      <c r="V1081" s="224"/>
      <c r="W1081" s="224"/>
      <c r="X1081" s="224"/>
      <c r="Y1081" s="224"/>
      <c r="Z1081" s="224"/>
      <c r="AA1081" s="224"/>
      <c r="AB1081" s="224"/>
      <c r="AC1081" s="224"/>
    </row>
    <row r="1082" spans="1:29" ht="15.75" hidden="1" customHeight="1">
      <c r="A1082" s="267">
        <v>44784</v>
      </c>
      <c r="B1082" s="268" t="s">
        <v>9079</v>
      </c>
      <c r="C1082" s="269">
        <v>2</v>
      </c>
      <c r="D1082" s="268" t="s">
        <v>9082</v>
      </c>
      <c r="E1082" s="270" t="s">
        <v>3</v>
      </c>
      <c r="F1082" s="268" t="s">
        <v>460</v>
      </c>
      <c r="G1082" s="268" t="s">
        <v>9083</v>
      </c>
      <c r="H1082" s="268">
        <v>2</v>
      </c>
      <c r="I1082" s="268" t="s">
        <v>941</v>
      </c>
      <c r="J1082" s="268" t="s">
        <v>9084</v>
      </c>
      <c r="K1082" s="268">
        <v>2</v>
      </c>
      <c r="L1082" s="268"/>
      <c r="M1082" s="268"/>
      <c r="N1082" s="268" t="s">
        <v>452</v>
      </c>
      <c r="O1082" s="268" t="s">
        <v>9085</v>
      </c>
      <c r="P1082" s="268"/>
      <c r="Q1082" s="268" t="s">
        <v>24</v>
      </c>
      <c r="R1082" s="271"/>
      <c r="S1082" s="271"/>
      <c r="T1082" s="271"/>
      <c r="U1082" s="271"/>
      <c r="V1082" s="268"/>
      <c r="W1082" s="268"/>
      <c r="X1082" s="268"/>
      <c r="Y1082" s="268"/>
      <c r="Z1082" s="268"/>
      <c r="AA1082" s="219"/>
      <c r="AB1082" s="219"/>
      <c r="AC1082" s="219"/>
    </row>
    <row r="1083" spans="1:29" ht="15.75" hidden="1" customHeight="1">
      <c r="A1083" s="257">
        <v>44791</v>
      </c>
      <c r="B1083" s="258" t="s">
        <v>377</v>
      </c>
      <c r="C1083" s="263">
        <v>4</v>
      </c>
      <c r="D1083" s="258" t="s">
        <v>9855</v>
      </c>
      <c r="E1083" s="258" t="s">
        <v>3</v>
      </c>
      <c r="F1083" s="258" t="s">
        <v>488</v>
      </c>
      <c r="G1083" s="258" t="s">
        <v>10265</v>
      </c>
      <c r="H1083" s="258">
        <v>4</v>
      </c>
      <c r="I1083" s="258" t="s">
        <v>941</v>
      </c>
      <c r="J1083" s="258" t="s">
        <v>9857</v>
      </c>
      <c r="K1083" s="258">
        <v>4</v>
      </c>
      <c r="L1083" s="258" t="s">
        <v>478</v>
      </c>
      <c r="M1083" s="309">
        <v>9400000</v>
      </c>
      <c r="N1083" s="258" t="s">
        <v>452</v>
      </c>
      <c r="O1083" s="258" t="s">
        <v>1119</v>
      </c>
      <c r="P1083" s="258" t="s">
        <v>9858</v>
      </c>
      <c r="Q1083" s="258" t="s">
        <v>19</v>
      </c>
      <c r="R1083" s="259" t="s">
        <v>9859</v>
      </c>
      <c r="S1083" s="259"/>
      <c r="T1083" s="259"/>
      <c r="U1083" s="259"/>
      <c r="V1083" s="258"/>
      <c r="W1083" s="258"/>
      <c r="X1083" s="258"/>
      <c r="Y1083" s="258"/>
      <c r="Z1083" s="258"/>
      <c r="AA1083" s="258"/>
      <c r="AB1083" s="258"/>
      <c r="AC1083" s="258"/>
    </row>
    <row r="1084" spans="1:29" ht="15.75" hidden="1" customHeight="1">
      <c r="A1084" s="248">
        <v>44791</v>
      </c>
      <c r="B1084" s="219" t="s">
        <v>116</v>
      </c>
      <c r="C1084" s="315">
        <v>4</v>
      </c>
      <c r="D1084" s="219" t="s">
        <v>1399</v>
      </c>
      <c r="E1084" s="219" t="s">
        <v>5</v>
      </c>
      <c r="F1084" s="219" t="s">
        <v>447</v>
      </c>
      <c r="G1084" s="219" t="s">
        <v>10881</v>
      </c>
      <c r="H1084" s="219">
        <v>4</v>
      </c>
      <c r="I1084" s="219" t="s">
        <v>449</v>
      </c>
      <c r="J1084" s="219" t="s">
        <v>11658</v>
      </c>
      <c r="K1084" s="219">
        <v>4</v>
      </c>
      <c r="L1084" s="219" t="s">
        <v>451</v>
      </c>
      <c r="M1084" s="310">
        <v>5000000</v>
      </c>
      <c r="N1084" s="219" t="s">
        <v>452</v>
      </c>
      <c r="O1084" s="219" t="s">
        <v>1402</v>
      </c>
      <c r="P1084" s="219"/>
      <c r="Q1084" s="219" t="s">
        <v>18</v>
      </c>
      <c r="R1084" s="251"/>
      <c r="S1084" s="251"/>
      <c r="T1084" s="251"/>
      <c r="U1084" s="251"/>
      <c r="V1084" s="219"/>
      <c r="W1084" s="219"/>
      <c r="X1084" s="219"/>
      <c r="Y1084" s="219"/>
      <c r="Z1084" s="219"/>
      <c r="AA1084" s="219"/>
      <c r="AB1084" s="219"/>
      <c r="AC1084" s="219"/>
    </row>
    <row r="1085" spans="1:29" ht="15.75" customHeight="1">
      <c r="A1085" s="253">
        <v>44796</v>
      </c>
      <c r="B1085" s="224" t="s">
        <v>8033</v>
      </c>
      <c r="C1085" s="316">
        <v>1.5</v>
      </c>
      <c r="D1085" s="224" t="s">
        <v>8036</v>
      </c>
      <c r="E1085" s="224" t="s">
        <v>4</v>
      </c>
      <c r="F1085" s="224" t="s">
        <v>725</v>
      </c>
      <c r="G1085" s="224" t="s">
        <v>8037</v>
      </c>
      <c r="H1085" s="224">
        <v>2</v>
      </c>
      <c r="I1085" s="224" t="s">
        <v>4054</v>
      </c>
      <c r="J1085" s="224"/>
      <c r="K1085" s="224">
        <v>1</v>
      </c>
      <c r="L1085" s="224"/>
      <c r="M1085" s="224"/>
      <c r="N1085" s="224" t="s">
        <v>465</v>
      </c>
      <c r="O1085" s="224" t="s">
        <v>8038</v>
      </c>
      <c r="P1085" s="224"/>
      <c r="Q1085" s="224" t="s">
        <v>24</v>
      </c>
      <c r="R1085" s="224"/>
      <c r="S1085" s="224" t="str">
        <f>IFERROR(VLOOKUP(B1085,'2022-2023 Third Reviews'!$C:$S,9,FALSE),"")</f>
        <v/>
      </c>
      <c r="T1085" s="224"/>
      <c r="U1085" s="224"/>
      <c r="V1085" s="224"/>
      <c r="W1085" s="224"/>
      <c r="X1085" s="224"/>
      <c r="Y1085" s="224"/>
      <c r="Z1085" s="224"/>
      <c r="AA1085" s="224"/>
      <c r="AB1085" s="224"/>
      <c r="AC1085" s="224"/>
    </row>
    <row r="1086" spans="1:29" ht="15.75" customHeight="1">
      <c r="A1086" s="398">
        <v>44784</v>
      </c>
      <c r="B1086" s="268" t="s">
        <v>8041</v>
      </c>
      <c r="C1086" s="269">
        <v>1.5</v>
      </c>
      <c r="D1086" s="268" t="s">
        <v>8044</v>
      </c>
      <c r="E1086" s="270" t="s">
        <v>4</v>
      </c>
      <c r="F1086" s="268" t="s">
        <v>602</v>
      </c>
      <c r="G1086" s="268" t="s">
        <v>8045</v>
      </c>
      <c r="H1086" s="268">
        <v>1</v>
      </c>
      <c r="I1086" s="268" t="s">
        <v>476</v>
      </c>
      <c r="J1086" s="268" t="s">
        <v>11455</v>
      </c>
      <c r="K1086" s="268">
        <v>2</v>
      </c>
      <c r="L1086" s="268" t="s">
        <v>478</v>
      </c>
      <c r="M1086" s="268">
        <v>3000</v>
      </c>
      <c r="N1086" s="268" t="s">
        <v>452</v>
      </c>
      <c r="O1086" s="268" t="s">
        <v>8047</v>
      </c>
      <c r="P1086" s="268"/>
      <c r="Q1086" s="268" t="s">
        <v>24</v>
      </c>
      <c r="R1086" s="268"/>
      <c r="S1086" s="268" t="str">
        <f>IFERROR(VLOOKUP(B1086,'2022-2023 Third Reviews'!$C:$S,9,FALSE),"")</f>
        <v/>
      </c>
      <c r="T1086" s="268"/>
      <c r="U1086" s="268"/>
      <c r="V1086" s="219"/>
      <c r="W1086" s="219"/>
      <c r="X1086" s="219"/>
      <c r="Y1086" s="219"/>
      <c r="Z1086" s="219"/>
      <c r="AA1086" s="219"/>
      <c r="AB1086" s="219"/>
      <c r="AC1086" s="219"/>
    </row>
    <row r="1087" spans="1:29" ht="15.75" customHeight="1">
      <c r="A1087" s="253">
        <v>44789</v>
      </c>
      <c r="B1087" s="224" t="s">
        <v>10894</v>
      </c>
      <c r="C1087" s="249">
        <v>1.5</v>
      </c>
      <c r="D1087" s="224" t="s">
        <v>8053</v>
      </c>
      <c r="E1087" s="250" t="s">
        <v>4</v>
      </c>
      <c r="F1087" s="224" t="s">
        <v>602</v>
      </c>
      <c r="G1087" s="224" t="s">
        <v>8054</v>
      </c>
      <c r="H1087" s="224">
        <v>2</v>
      </c>
      <c r="I1087" s="224" t="s">
        <v>476</v>
      </c>
      <c r="J1087" s="224" t="s">
        <v>10895</v>
      </c>
      <c r="K1087" s="224">
        <v>1</v>
      </c>
      <c r="L1087" s="224"/>
      <c r="M1087" s="311"/>
      <c r="N1087" s="224" t="s">
        <v>454</v>
      </c>
      <c r="O1087" s="224" t="s">
        <v>452</v>
      </c>
      <c r="P1087" s="224"/>
      <c r="Q1087" s="224" t="s">
        <v>24</v>
      </c>
      <c r="R1087" s="224"/>
      <c r="S1087" s="224" t="str">
        <f>IFERROR(VLOOKUP(B1087,'2022-2023 Third Reviews'!$C:$S,9,FALSE),"")</f>
        <v/>
      </c>
      <c r="T1087" s="224" t="s">
        <v>13242</v>
      </c>
      <c r="U1087" s="224"/>
      <c r="V1087" s="224"/>
      <c r="W1087" s="224"/>
      <c r="X1087" s="224"/>
      <c r="Y1087" s="224"/>
      <c r="Z1087" s="224"/>
      <c r="AA1087" s="224"/>
      <c r="AB1087" s="224"/>
      <c r="AC1087" s="224"/>
    </row>
    <row r="1088" spans="1:29" ht="15.75" hidden="1" customHeight="1">
      <c r="A1088" s="257">
        <v>44796</v>
      </c>
      <c r="B1088" s="258" t="s">
        <v>9087</v>
      </c>
      <c r="C1088" s="263">
        <v>3.75</v>
      </c>
      <c r="D1088" s="258" t="s">
        <v>9090</v>
      </c>
      <c r="E1088" s="258" t="s">
        <v>3</v>
      </c>
      <c r="F1088" s="258" t="s">
        <v>460</v>
      </c>
      <c r="G1088" s="258" t="s">
        <v>9091</v>
      </c>
      <c r="H1088" s="258">
        <v>3.5</v>
      </c>
      <c r="I1088" s="258" t="s">
        <v>462</v>
      </c>
      <c r="J1088" s="258" t="s">
        <v>9092</v>
      </c>
      <c r="K1088" s="258">
        <v>4</v>
      </c>
      <c r="L1088" s="258" t="s">
        <v>478</v>
      </c>
      <c r="M1088" s="328">
        <v>10000000</v>
      </c>
      <c r="N1088" s="258" t="s">
        <v>452</v>
      </c>
      <c r="O1088" s="258" t="s">
        <v>1119</v>
      </c>
      <c r="P1088" s="258"/>
      <c r="Q1088" s="258" t="s">
        <v>24</v>
      </c>
      <c r="R1088" s="259" t="s">
        <v>11716</v>
      </c>
      <c r="S1088" s="259"/>
      <c r="T1088" s="259"/>
      <c r="U1088" s="259"/>
      <c r="V1088" s="258"/>
      <c r="W1088" s="258"/>
      <c r="X1088" s="258"/>
      <c r="Y1088" s="258"/>
      <c r="Z1088" s="258"/>
      <c r="AA1088" s="258"/>
      <c r="AB1088" s="258"/>
      <c r="AC1088" s="258"/>
    </row>
    <row r="1089" spans="1:29" ht="15.75" hidden="1" customHeight="1">
      <c r="A1089" s="541">
        <v>44796</v>
      </c>
      <c r="B1089" s="306" t="s">
        <v>11157</v>
      </c>
      <c r="C1089" s="542"/>
      <c r="D1089" s="306" t="s">
        <v>3144</v>
      </c>
      <c r="E1089" s="306" t="s">
        <v>5</v>
      </c>
      <c r="F1089" s="306" t="s">
        <v>447</v>
      </c>
      <c r="G1089" s="306"/>
      <c r="H1089" s="306"/>
      <c r="I1089" s="306" t="s">
        <v>543</v>
      </c>
      <c r="J1089" s="306" t="s">
        <v>13400</v>
      </c>
      <c r="K1089" s="306">
        <v>4</v>
      </c>
      <c r="L1089" s="306" t="s">
        <v>451</v>
      </c>
      <c r="M1089" s="544">
        <v>2250000</v>
      </c>
      <c r="N1089" s="306" t="s">
        <v>452</v>
      </c>
      <c r="O1089" s="306" t="s">
        <v>452</v>
      </c>
      <c r="P1089" s="306" t="s">
        <v>585</v>
      </c>
      <c r="Q1089" s="306"/>
      <c r="R1089" s="543"/>
      <c r="S1089" s="543"/>
      <c r="T1089" s="543"/>
      <c r="U1089" s="543"/>
      <c r="V1089" s="224"/>
      <c r="W1089" s="224"/>
      <c r="X1089" s="224"/>
      <c r="Y1089" s="224"/>
      <c r="Z1089" s="224"/>
      <c r="AA1089" s="224"/>
      <c r="AB1089" s="224"/>
      <c r="AC1089" s="224"/>
    </row>
    <row r="1090" spans="1:29" ht="15.75" hidden="1" customHeight="1">
      <c r="A1090" s="248">
        <v>44796</v>
      </c>
      <c r="B1090" s="219" t="s">
        <v>11157</v>
      </c>
      <c r="C1090" s="315">
        <v>3.25</v>
      </c>
      <c r="D1090" s="219" t="s">
        <v>3144</v>
      </c>
      <c r="E1090" s="219" t="s">
        <v>5</v>
      </c>
      <c r="F1090" s="219" t="s">
        <v>447</v>
      </c>
      <c r="G1090" s="219" t="s">
        <v>11158</v>
      </c>
      <c r="H1090" s="219">
        <v>3</v>
      </c>
      <c r="I1090" s="219" t="s">
        <v>543</v>
      </c>
      <c r="J1090" s="219" t="s">
        <v>13400</v>
      </c>
      <c r="K1090" s="219">
        <v>3.5</v>
      </c>
      <c r="L1090" s="219" t="s">
        <v>451</v>
      </c>
      <c r="M1090" s="331">
        <v>2250000</v>
      </c>
      <c r="N1090" s="219" t="s">
        <v>452</v>
      </c>
      <c r="O1090" s="219" t="s">
        <v>452</v>
      </c>
      <c r="P1090" s="219" t="s">
        <v>585</v>
      </c>
      <c r="Q1090" s="219" t="s">
        <v>24</v>
      </c>
      <c r="R1090" s="251"/>
      <c r="S1090" s="251"/>
      <c r="T1090" s="251"/>
      <c r="U1090" s="251"/>
      <c r="V1090" s="219"/>
      <c r="W1090" s="219"/>
      <c r="X1090" s="219"/>
      <c r="Y1090" s="219"/>
      <c r="Z1090" s="219"/>
      <c r="AA1090" s="219"/>
      <c r="AB1090" s="219"/>
      <c r="AC1090" s="219"/>
    </row>
    <row r="1091" spans="1:29" ht="15.75" hidden="1" customHeight="1">
      <c r="A1091" s="253">
        <v>44791</v>
      </c>
      <c r="B1091" s="224" t="s">
        <v>9096</v>
      </c>
      <c r="C1091" s="316">
        <v>2</v>
      </c>
      <c r="D1091" s="224" t="s">
        <v>9099</v>
      </c>
      <c r="E1091" s="224" t="s">
        <v>3</v>
      </c>
      <c r="F1091" s="224" t="s">
        <v>460</v>
      </c>
      <c r="G1091" s="224" t="s">
        <v>9100</v>
      </c>
      <c r="H1091" s="224">
        <v>2</v>
      </c>
      <c r="I1091" s="224" t="s">
        <v>462</v>
      </c>
      <c r="J1091" s="224" t="s">
        <v>9101</v>
      </c>
      <c r="K1091" s="224">
        <v>2</v>
      </c>
      <c r="L1091" s="224" t="s">
        <v>451</v>
      </c>
      <c r="M1091" s="224">
        <v>5000000</v>
      </c>
      <c r="N1091" s="224" t="s">
        <v>454</v>
      </c>
      <c r="O1091" s="224" t="s">
        <v>452</v>
      </c>
      <c r="P1091" s="224" t="s">
        <v>9102</v>
      </c>
      <c r="Q1091" s="322" t="s">
        <v>24</v>
      </c>
      <c r="R1091" s="254"/>
      <c r="S1091" s="254"/>
      <c r="T1091" s="254"/>
      <c r="U1091" s="254"/>
      <c r="V1091" s="224"/>
      <c r="W1091" s="224"/>
      <c r="X1091" s="224"/>
      <c r="Y1091" s="224"/>
      <c r="Z1091" s="224"/>
      <c r="AA1091" s="224"/>
      <c r="AB1091" s="224"/>
      <c r="AC1091" s="224"/>
    </row>
    <row r="1092" spans="1:29" ht="15.75" customHeight="1">
      <c r="A1092" s="248">
        <v>44796</v>
      </c>
      <c r="B1092" s="219" t="s">
        <v>10214</v>
      </c>
      <c r="C1092" s="315">
        <v>1.5</v>
      </c>
      <c r="D1092" s="219" t="s">
        <v>8059</v>
      </c>
      <c r="E1092" s="219" t="s">
        <v>4</v>
      </c>
      <c r="F1092" s="219" t="s">
        <v>727</v>
      </c>
      <c r="G1092" s="219" t="s">
        <v>10215</v>
      </c>
      <c r="H1092" s="219">
        <v>2</v>
      </c>
      <c r="I1092" s="219" t="s">
        <v>476</v>
      </c>
      <c r="J1092" s="219" t="s">
        <v>8061</v>
      </c>
      <c r="K1092" s="219">
        <v>1</v>
      </c>
      <c r="L1092" s="219" t="s">
        <v>451</v>
      </c>
      <c r="M1092" s="331">
        <v>900000</v>
      </c>
      <c r="N1092" s="219" t="s">
        <v>452</v>
      </c>
      <c r="O1092" s="219" t="s">
        <v>8062</v>
      </c>
      <c r="P1092" s="219" t="s">
        <v>8063</v>
      </c>
      <c r="Q1092" s="219" t="s">
        <v>24</v>
      </c>
      <c r="R1092" s="219"/>
      <c r="S1092" s="219" t="str">
        <f>IFERROR(VLOOKUP(B1092,'2022-2023 Third Reviews'!$C:$S,9,FALSE),"")</f>
        <v/>
      </c>
      <c r="T1092" s="219" t="s">
        <v>13273</v>
      </c>
      <c r="U1092" s="219"/>
      <c r="V1092" s="219"/>
      <c r="W1092" s="219"/>
      <c r="X1092" s="219"/>
      <c r="Y1092" s="219"/>
      <c r="Z1092" s="219"/>
      <c r="AA1092" s="219"/>
      <c r="AB1092" s="219"/>
      <c r="AC1092" s="219"/>
    </row>
    <row r="1093" spans="1:29" ht="15.75" hidden="1" customHeight="1">
      <c r="A1093" s="541">
        <v>44796</v>
      </c>
      <c r="B1093" s="306" t="s">
        <v>3149</v>
      </c>
      <c r="C1093" s="542"/>
      <c r="D1093" s="306" t="s">
        <v>3152</v>
      </c>
      <c r="E1093" s="306" t="s">
        <v>5</v>
      </c>
      <c r="F1093" s="306" t="s">
        <v>447</v>
      </c>
      <c r="G1093" s="306"/>
      <c r="H1093" s="306"/>
      <c r="I1093" s="306" t="s">
        <v>622</v>
      </c>
      <c r="J1093" s="306"/>
      <c r="K1093" s="306"/>
      <c r="L1093" s="306"/>
      <c r="M1093" s="306"/>
      <c r="N1093" s="306" t="s">
        <v>452</v>
      </c>
      <c r="O1093" s="306" t="s">
        <v>452</v>
      </c>
      <c r="P1093" s="306"/>
      <c r="Q1093" s="306"/>
      <c r="R1093" s="543"/>
      <c r="S1093" s="543"/>
      <c r="T1093" s="543"/>
      <c r="U1093" s="543"/>
      <c r="V1093" s="224"/>
      <c r="W1093" s="224"/>
      <c r="X1093" s="224"/>
      <c r="Y1093" s="224"/>
      <c r="Z1093" s="224"/>
      <c r="AA1093" s="224"/>
      <c r="AB1093" s="224"/>
      <c r="AC1093" s="224"/>
    </row>
    <row r="1094" spans="1:29" ht="15.75" hidden="1" customHeight="1">
      <c r="A1094" s="248">
        <v>44796</v>
      </c>
      <c r="B1094" s="219" t="s">
        <v>3149</v>
      </c>
      <c r="C1094" s="315">
        <v>3.5</v>
      </c>
      <c r="D1094" s="219" t="s">
        <v>3152</v>
      </c>
      <c r="E1094" s="219" t="s">
        <v>5</v>
      </c>
      <c r="F1094" s="219" t="s">
        <v>447</v>
      </c>
      <c r="G1094" s="219" t="s">
        <v>11083</v>
      </c>
      <c r="H1094" s="219">
        <v>3</v>
      </c>
      <c r="I1094" s="219" t="s">
        <v>622</v>
      </c>
      <c r="J1094" s="219" t="s">
        <v>11730</v>
      </c>
      <c r="K1094" s="219">
        <v>4</v>
      </c>
      <c r="L1094" s="219"/>
      <c r="M1094" s="219"/>
      <c r="N1094" s="219" t="s">
        <v>452</v>
      </c>
      <c r="O1094" s="219" t="s">
        <v>452</v>
      </c>
      <c r="P1094" s="219"/>
      <c r="Q1094" s="219" t="s">
        <v>24</v>
      </c>
      <c r="R1094" s="251"/>
      <c r="S1094" s="251"/>
      <c r="T1094" s="251"/>
      <c r="U1094" s="251"/>
      <c r="V1094" s="219"/>
      <c r="W1094" s="219"/>
      <c r="X1094" s="219"/>
      <c r="Y1094" s="219"/>
      <c r="Z1094" s="219"/>
      <c r="AA1094" s="219"/>
      <c r="AB1094" s="219"/>
      <c r="AC1094" s="219"/>
    </row>
    <row r="1095" spans="1:29" ht="15.75" hidden="1" customHeight="1">
      <c r="A1095" s="257">
        <v>44791</v>
      </c>
      <c r="B1095" s="258" t="s">
        <v>117</v>
      </c>
      <c r="C1095" s="263">
        <v>3.25</v>
      </c>
      <c r="D1095" s="258" t="s">
        <v>838</v>
      </c>
      <c r="E1095" s="258" t="s">
        <v>5</v>
      </c>
      <c r="F1095" s="258" t="s">
        <v>447</v>
      </c>
      <c r="G1095" s="258" t="s">
        <v>11116</v>
      </c>
      <c r="H1095" s="258">
        <v>3</v>
      </c>
      <c r="I1095" s="258" t="s">
        <v>449</v>
      </c>
      <c r="J1095" s="258" t="s">
        <v>11814</v>
      </c>
      <c r="K1095" s="258">
        <v>3.5</v>
      </c>
      <c r="L1095" s="258"/>
      <c r="M1095" s="258"/>
      <c r="N1095" s="258" t="s">
        <v>452</v>
      </c>
      <c r="O1095" s="258" t="s">
        <v>452</v>
      </c>
      <c r="P1095" s="258" t="s">
        <v>725</v>
      </c>
      <c r="Q1095" s="258" t="s">
        <v>19</v>
      </c>
      <c r="R1095" s="259" t="s">
        <v>841</v>
      </c>
      <c r="S1095" s="259"/>
      <c r="T1095" s="259"/>
      <c r="U1095" s="259"/>
      <c r="V1095" s="258"/>
      <c r="W1095" s="258"/>
      <c r="X1095" s="258"/>
      <c r="Y1095" s="258"/>
      <c r="Z1095" s="258"/>
      <c r="AA1095" s="258"/>
      <c r="AB1095" s="258"/>
      <c r="AC1095" s="258"/>
    </row>
    <row r="1096" spans="1:29" ht="15.75" hidden="1" customHeight="1">
      <c r="A1096" s="541">
        <v>44796</v>
      </c>
      <c r="B1096" s="306" t="s">
        <v>117</v>
      </c>
      <c r="C1096" s="542"/>
      <c r="D1096" s="306" t="s">
        <v>838</v>
      </c>
      <c r="E1096" s="306" t="s">
        <v>5</v>
      </c>
      <c r="F1096" s="306" t="s">
        <v>447</v>
      </c>
      <c r="G1096" s="306"/>
      <c r="H1096" s="306"/>
      <c r="I1096" s="306" t="s">
        <v>449</v>
      </c>
      <c r="J1096" s="306" t="e">
        <f>+Credible passionate Team
+Industry experience
+successful parent company
-Qlimate itself does not seem to be a Startup</f>
        <v>#NAME?</v>
      </c>
      <c r="K1096" s="306">
        <v>3.5</v>
      </c>
      <c r="L1096" s="306"/>
      <c r="M1096" s="306"/>
      <c r="N1096" s="306" t="s">
        <v>452</v>
      </c>
      <c r="O1096" s="306" t="s">
        <v>452</v>
      </c>
      <c r="P1096" s="306" t="s">
        <v>725</v>
      </c>
      <c r="Q1096" s="306"/>
      <c r="R1096" s="543"/>
      <c r="S1096" s="543"/>
      <c r="T1096" s="543"/>
      <c r="U1096" s="543"/>
      <c r="V1096" s="219"/>
      <c r="W1096" s="219"/>
      <c r="X1096" s="219"/>
      <c r="Y1096" s="219"/>
      <c r="Z1096" s="219"/>
      <c r="AA1096" s="219"/>
      <c r="AB1096" s="219"/>
      <c r="AC1096" s="219"/>
    </row>
    <row r="1097" spans="1:29" ht="15.75" hidden="1" customHeight="1">
      <c r="A1097" s="253">
        <v>44796</v>
      </c>
      <c r="B1097" s="224" t="s">
        <v>117</v>
      </c>
      <c r="C1097" s="316">
        <v>3.25</v>
      </c>
      <c r="D1097" s="224" t="s">
        <v>838</v>
      </c>
      <c r="E1097" s="224" t="s">
        <v>5</v>
      </c>
      <c r="F1097" s="224" t="s">
        <v>447</v>
      </c>
      <c r="G1097" s="224" t="s">
        <v>11116</v>
      </c>
      <c r="H1097" s="224">
        <v>3</v>
      </c>
      <c r="I1097" s="224" t="s">
        <v>449</v>
      </c>
      <c r="J1097" s="224" t="e">
        <f>+Credible passionate Team
+Industry experience
+successful parent company
-Qlimate itself does not seem to be a Startup</f>
        <v>#NAME?</v>
      </c>
      <c r="K1097" s="224">
        <v>3.5</v>
      </c>
      <c r="L1097" s="224"/>
      <c r="M1097" s="224"/>
      <c r="N1097" s="224" t="s">
        <v>452</v>
      </c>
      <c r="O1097" s="224" t="s">
        <v>452</v>
      </c>
      <c r="P1097" s="224" t="s">
        <v>725</v>
      </c>
      <c r="Q1097" s="224" t="s">
        <v>24</v>
      </c>
      <c r="R1097" s="254"/>
      <c r="S1097" s="254"/>
      <c r="T1097" s="254"/>
      <c r="U1097" s="254"/>
      <c r="V1097" s="224"/>
      <c r="W1097" s="224"/>
      <c r="X1097" s="224"/>
      <c r="Y1097" s="224"/>
      <c r="Z1097" s="224"/>
      <c r="AA1097" s="224"/>
      <c r="AB1097" s="224"/>
      <c r="AC1097" s="224"/>
    </row>
    <row r="1098" spans="1:29" ht="15.75" customHeight="1">
      <c r="A1098" s="248">
        <v>44796</v>
      </c>
      <c r="B1098" s="219" t="s">
        <v>8065</v>
      </c>
      <c r="C1098" s="315">
        <v>1.25</v>
      </c>
      <c r="D1098" s="219" t="s">
        <v>8068</v>
      </c>
      <c r="E1098" s="219" t="s">
        <v>4</v>
      </c>
      <c r="F1098" s="219" t="s">
        <v>725</v>
      </c>
      <c r="G1098" s="219"/>
      <c r="H1098" s="219">
        <v>1</v>
      </c>
      <c r="I1098" s="219" t="s">
        <v>1045</v>
      </c>
      <c r="J1098" s="219" t="s">
        <v>8069</v>
      </c>
      <c r="K1098" s="219">
        <v>1.5</v>
      </c>
      <c r="L1098" s="219" t="s">
        <v>784</v>
      </c>
      <c r="M1098" s="331">
        <v>100000</v>
      </c>
      <c r="N1098" s="219" t="s">
        <v>465</v>
      </c>
      <c r="O1098" s="219" t="s">
        <v>8070</v>
      </c>
      <c r="P1098" s="219"/>
      <c r="Q1098" s="219" t="s">
        <v>24</v>
      </c>
      <c r="R1098" s="219"/>
      <c r="S1098" s="219" t="str">
        <f>IFERROR(VLOOKUP(B1098,'2022-2023 Third Reviews'!$C:$S,9,FALSE),"")</f>
        <v/>
      </c>
      <c r="T1098" s="219"/>
      <c r="U1098" s="219"/>
      <c r="V1098" s="306"/>
      <c r="W1098" s="306"/>
      <c r="X1098" s="306"/>
      <c r="Y1098" s="306"/>
      <c r="Z1098" s="306"/>
      <c r="AA1098" s="306"/>
      <c r="AB1098" s="306"/>
      <c r="AC1098" s="306"/>
    </row>
    <row r="1099" spans="1:29" ht="15.75" hidden="1" customHeight="1">
      <c r="A1099" s="541">
        <v>44796</v>
      </c>
      <c r="B1099" s="306" t="s">
        <v>378</v>
      </c>
      <c r="C1099" s="542"/>
      <c r="D1099" s="306" t="s">
        <v>9864</v>
      </c>
      <c r="E1099" s="306" t="s">
        <v>3</v>
      </c>
      <c r="F1099" s="306" t="s">
        <v>488</v>
      </c>
      <c r="G1099" s="306"/>
      <c r="H1099" s="306"/>
      <c r="I1099" s="306" t="s">
        <v>941</v>
      </c>
      <c r="J1099" s="306"/>
      <c r="K1099" s="306"/>
      <c r="L1099" s="306" t="s">
        <v>451</v>
      </c>
      <c r="M1099" s="544" t="s">
        <v>9867</v>
      </c>
      <c r="N1099" s="306" t="s">
        <v>452</v>
      </c>
      <c r="O1099" s="306" t="s">
        <v>452</v>
      </c>
      <c r="P1099" s="306" t="s">
        <v>9868</v>
      </c>
      <c r="Q1099" s="306"/>
      <c r="R1099" s="543"/>
      <c r="S1099" s="543"/>
      <c r="T1099" s="543"/>
      <c r="U1099" s="543"/>
      <c r="V1099" s="224"/>
      <c r="W1099" s="224"/>
      <c r="X1099" s="224"/>
      <c r="Y1099" s="224"/>
      <c r="Z1099" s="224"/>
      <c r="AA1099" s="224"/>
      <c r="AB1099" s="224"/>
      <c r="AC1099" s="224"/>
    </row>
    <row r="1100" spans="1:29" ht="15.75" hidden="1" customHeight="1">
      <c r="A1100" s="541">
        <v>44797</v>
      </c>
      <c r="B1100" s="306" t="s">
        <v>378</v>
      </c>
      <c r="C1100" s="542"/>
      <c r="D1100" s="306" t="s">
        <v>9864</v>
      </c>
      <c r="E1100" s="306" t="s">
        <v>3</v>
      </c>
      <c r="F1100" s="306" t="s">
        <v>488</v>
      </c>
      <c r="G1100" s="306"/>
      <c r="H1100" s="306"/>
      <c r="I1100" s="306" t="s">
        <v>941</v>
      </c>
      <c r="J1100" s="306" t="s">
        <v>9866</v>
      </c>
      <c r="K1100" s="306">
        <v>4</v>
      </c>
      <c r="L1100" s="306" t="s">
        <v>451</v>
      </c>
      <c r="M1100" s="306" t="s">
        <v>9867</v>
      </c>
      <c r="N1100" s="306" t="s">
        <v>452</v>
      </c>
      <c r="O1100" s="306" t="s">
        <v>452</v>
      </c>
      <c r="P1100" s="306" t="s">
        <v>9868</v>
      </c>
      <c r="Q1100" s="306"/>
      <c r="R1100" s="543"/>
      <c r="S1100" s="543"/>
      <c r="T1100" s="543"/>
      <c r="U1100" s="543"/>
      <c r="V1100" s="306"/>
      <c r="W1100" s="306"/>
      <c r="X1100" s="306"/>
      <c r="Y1100" s="306"/>
      <c r="Z1100" s="306"/>
      <c r="AA1100" s="306"/>
      <c r="AB1100" s="306"/>
      <c r="AC1100" s="306"/>
    </row>
    <row r="1101" spans="1:29" ht="15.75" hidden="1" customHeight="1">
      <c r="A1101" s="257">
        <v>44797</v>
      </c>
      <c r="B1101" s="258" t="s">
        <v>378</v>
      </c>
      <c r="C1101" s="263">
        <v>3.75</v>
      </c>
      <c r="D1101" s="258" t="s">
        <v>9864</v>
      </c>
      <c r="E1101" s="258" t="s">
        <v>3</v>
      </c>
      <c r="F1101" s="258" t="s">
        <v>488</v>
      </c>
      <c r="G1101" s="258" t="s">
        <v>9865</v>
      </c>
      <c r="H1101" s="258">
        <v>3.5</v>
      </c>
      <c r="I1101" s="258" t="s">
        <v>941</v>
      </c>
      <c r="J1101" s="258" t="s">
        <v>9866</v>
      </c>
      <c r="K1101" s="258">
        <v>4</v>
      </c>
      <c r="L1101" s="258" t="s">
        <v>451</v>
      </c>
      <c r="M1101" s="258" t="s">
        <v>9867</v>
      </c>
      <c r="N1101" s="258" t="s">
        <v>452</v>
      </c>
      <c r="O1101" s="258" t="s">
        <v>452</v>
      </c>
      <c r="P1101" s="258" t="s">
        <v>9868</v>
      </c>
      <c r="Q1101" s="258" t="s">
        <v>20</v>
      </c>
      <c r="R1101" s="259" t="s">
        <v>9869</v>
      </c>
      <c r="S1101" s="259"/>
      <c r="T1101" s="259"/>
      <c r="U1101" s="259"/>
      <c r="V1101" s="258"/>
      <c r="W1101" s="258"/>
      <c r="X1101" s="258"/>
      <c r="Y1101" s="258"/>
      <c r="Z1101" s="258"/>
      <c r="AA1101" s="258"/>
      <c r="AB1101" s="258"/>
      <c r="AC1101" s="258"/>
    </row>
    <row r="1102" spans="1:29" ht="15.75" customHeight="1">
      <c r="A1102" s="248">
        <v>44796</v>
      </c>
      <c r="B1102" s="219" t="s">
        <v>8073</v>
      </c>
      <c r="C1102" s="315">
        <v>1.25</v>
      </c>
      <c r="D1102" s="219" t="s">
        <v>8076</v>
      </c>
      <c r="E1102" s="219" t="s">
        <v>4</v>
      </c>
      <c r="F1102" s="219" t="s">
        <v>727</v>
      </c>
      <c r="G1102" s="219" t="s">
        <v>10568</v>
      </c>
      <c r="H1102" s="219">
        <v>1</v>
      </c>
      <c r="I1102" s="219" t="s">
        <v>1045</v>
      </c>
      <c r="J1102" s="219" t="s">
        <v>8078</v>
      </c>
      <c r="K1102" s="219">
        <v>1.5</v>
      </c>
      <c r="L1102" s="219" t="s">
        <v>451</v>
      </c>
      <c r="M1102" s="219" t="s">
        <v>8079</v>
      </c>
      <c r="N1102" s="219" t="s">
        <v>454</v>
      </c>
      <c r="O1102" s="219" t="s">
        <v>3420</v>
      </c>
      <c r="P1102" s="219"/>
      <c r="Q1102" s="219" t="s">
        <v>24</v>
      </c>
      <c r="R1102" s="219"/>
      <c r="S1102" s="219" t="str">
        <f>IFERROR(VLOOKUP(B1102,'2022-2023 Third Reviews'!$C:$S,9,FALSE),"")</f>
        <v/>
      </c>
      <c r="T1102" s="219"/>
      <c r="U1102" s="219"/>
      <c r="V1102" s="219"/>
      <c r="W1102" s="219"/>
      <c r="X1102" s="219"/>
      <c r="Y1102" s="219"/>
      <c r="Z1102" s="219"/>
      <c r="AA1102" s="219"/>
      <c r="AB1102" s="219"/>
      <c r="AC1102" s="219"/>
    </row>
    <row r="1103" spans="1:29" ht="15.75" hidden="1" customHeight="1">
      <c r="A1103" s="253">
        <v>44796</v>
      </c>
      <c r="B1103" s="224" t="s">
        <v>3157</v>
      </c>
      <c r="C1103" s="316">
        <v>3</v>
      </c>
      <c r="D1103" s="224" t="s">
        <v>3160</v>
      </c>
      <c r="E1103" s="224" t="s">
        <v>5</v>
      </c>
      <c r="F1103" s="224" t="s">
        <v>447</v>
      </c>
      <c r="G1103" s="224" t="s">
        <v>11323</v>
      </c>
      <c r="H1103" s="224">
        <v>3</v>
      </c>
      <c r="I1103" s="224" t="s">
        <v>449</v>
      </c>
      <c r="J1103" s="224" t="s">
        <v>11324</v>
      </c>
      <c r="K1103" s="224">
        <v>3</v>
      </c>
      <c r="L1103" s="224" t="s">
        <v>3163</v>
      </c>
      <c r="M1103" s="224">
        <v>2000000</v>
      </c>
      <c r="N1103" s="224" t="s">
        <v>452</v>
      </c>
      <c r="O1103" s="224" t="s">
        <v>3164</v>
      </c>
      <c r="P1103" s="224"/>
      <c r="Q1103" s="224" t="s">
        <v>24</v>
      </c>
      <c r="R1103" s="254"/>
      <c r="S1103" s="254"/>
      <c r="T1103" s="254"/>
      <c r="U1103" s="254"/>
      <c r="V1103" s="224"/>
      <c r="W1103" s="224"/>
      <c r="X1103" s="224"/>
      <c r="Y1103" s="224"/>
      <c r="Z1103" s="224"/>
      <c r="AA1103" s="224"/>
      <c r="AB1103" s="224"/>
      <c r="AC1103" s="224"/>
    </row>
    <row r="1104" spans="1:29" ht="15.75" hidden="1" customHeight="1">
      <c r="A1104" s="257">
        <v>44782</v>
      </c>
      <c r="B1104" s="258" t="s">
        <v>3167</v>
      </c>
      <c r="C1104" s="249">
        <v>3.25</v>
      </c>
      <c r="D1104" s="258" t="s">
        <v>3170</v>
      </c>
      <c r="E1104" s="250" t="s">
        <v>5</v>
      </c>
      <c r="F1104" s="258" t="s">
        <v>447</v>
      </c>
      <c r="G1104" s="258" t="s">
        <v>11207</v>
      </c>
      <c r="H1104" s="258">
        <v>3</v>
      </c>
      <c r="I1104" s="258" t="s">
        <v>543</v>
      </c>
      <c r="J1104" s="258" t="s">
        <v>3172</v>
      </c>
      <c r="K1104" s="258">
        <v>3.5</v>
      </c>
      <c r="L1104" s="258" t="s">
        <v>923</v>
      </c>
      <c r="M1104" s="258">
        <v>10000000</v>
      </c>
      <c r="N1104" s="258" t="s">
        <v>452</v>
      </c>
      <c r="O1104" s="258" t="s">
        <v>3173</v>
      </c>
      <c r="P1104" s="258"/>
      <c r="Q1104" s="258" t="s">
        <v>24</v>
      </c>
      <c r="R1104" s="259" t="s">
        <v>3174</v>
      </c>
      <c r="S1104" s="259"/>
      <c r="T1104" s="259"/>
      <c r="U1104" s="259"/>
      <c r="V1104" s="258"/>
      <c r="W1104" s="258"/>
      <c r="X1104" s="258"/>
      <c r="Y1104" s="258"/>
      <c r="Z1104" s="258"/>
      <c r="AA1104" s="258"/>
      <c r="AB1104" s="258"/>
      <c r="AC1104" s="258"/>
    </row>
    <row r="1105" spans="1:29" ht="15.75" customHeight="1">
      <c r="A1105" s="398">
        <v>44784</v>
      </c>
      <c r="B1105" s="272" t="s">
        <v>8082</v>
      </c>
      <c r="C1105" s="269">
        <v>1.25</v>
      </c>
      <c r="D1105" s="272" t="s">
        <v>8085</v>
      </c>
      <c r="E1105" s="270" t="s">
        <v>4</v>
      </c>
      <c r="F1105" s="272" t="s">
        <v>602</v>
      </c>
      <c r="G1105" s="272" t="s">
        <v>8086</v>
      </c>
      <c r="H1105" s="272">
        <v>1</v>
      </c>
      <c r="I1105" s="272" t="s">
        <v>476</v>
      </c>
      <c r="J1105" s="272" t="s">
        <v>11605</v>
      </c>
      <c r="K1105" s="272">
        <v>1.5</v>
      </c>
      <c r="L1105" s="272" t="s">
        <v>451</v>
      </c>
      <c r="M1105" s="272">
        <v>2000000</v>
      </c>
      <c r="N1105" s="272" t="s">
        <v>454</v>
      </c>
      <c r="O1105" s="272" t="s">
        <v>8088</v>
      </c>
      <c r="P1105" s="272"/>
      <c r="Q1105" s="272" t="s">
        <v>24</v>
      </c>
      <c r="R1105" s="272"/>
      <c r="S1105" s="272" t="str">
        <f>IFERROR(VLOOKUP(B1105,'2022-2023 Third Reviews'!$C:$S,9,FALSE),"")</f>
        <v/>
      </c>
      <c r="T1105" s="272"/>
      <c r="U1105" s="272"/>
      <c r="V1105" s="224"/>
      <c r="W1105" s="224"/>
      <c r="X1105" s="224"/>
      <c r="Y1105" s="224"/>
      <c r="Z1105" s="224"/>
      <c r="AA1105" s="224"/>
      <c r="AB1105" s="224"/>
      <c r="AC1105" s="224"/>
    </row>
    <row r="1106" spans="1:29" ht="15.75" customHeight="1">
      <c r="A1106" s="398">
        <v>44784</v>
      </c>
      <c r="B1106" s="268" t="s">
        <v>8090</v>
      </c>
      <c r="C1106" s="269">
        <v>1</v>
      </c>
      <c r="D1106" s="268" t="s">
        <v>11606</v>
      </c>
      <c r="E1106" s="270" t="s">
        <v>4</v>
      </c>
      <c r="F1106" s="268" t="s">
        <v>602</v>
      </c>
      <c r="G1106" s="268" t="s">
        <v>8094</v>
      </c>
      <c r="H1106" s="268">
        <v>1</v>
      </c>
      <c r="I1106" s="268" t="s">
        <v>1054</v>
      </c>
      <c r="J1106" s="268" t="s">
        <v>8095</v>
      </c>
      <c r="K1106" s="268">
        <v>1</v>
      </c>
      <c r="L1106" s="268" t="s">
        <v>8096</v>
      </c>
      <c r="M1106" s="268" t="s">
        <v>8097</v>
      </c>
      <c r="N1106" s="268" t="s">
        <v>454</v>
      </c>
      <c r="O1106" s="268" t="s">
        <v>452</v>
      </c>
      <c r="P1106" s="268"/>
      <c r="Q1106" s="268" t="s">
        <v>24</v>
      </c>
      <c r="R1106" s="268"/>
      <c r="S1106" s="268" t="str">
        <f>IFERROR(VLOOKUP(B1106,'2022-2023 Third Reviews'!$C:$S,9,FALSE),"")</f>
        <v/>
      </c>
      <c r="T1106" s="268"/>
      <c r="U1106" s="268"/>
      <c r="V1106" s="219"/>
      <c r="W1106" s="219"/>
      <c r="X1106" s="219"/>
      <c r="Y1106" s="219"/>
      <c r="Z1106" s="219"/>
      <c r="AA1106" s="219"/>
      <c r="AB1106" s="219"/>
      <c r="AC1106" s="219"/>
    </row>
    <row r="1107" spans="1:29" ht="15.75" hidden="1" customHeight="1">
      <c r="A1107" s="301">
        <v>44789</v>
      </c>
      <c r="B1107" s="303" t="s">
        <v>344</v>
      </c>
      <c r="C1107" s="269"/>
      <c r="D1107" s="303" t="s">
        <v>1964</v>
      </c>
      <c r="E1107" s="270" t="s">
        <v>3</v>
      </c>
      <c r="F1107" s="303" t="s">
        <v>725</v>
      </c>
      <c r="G1107" s="303"/>
      <c r="H1107" s="303"/>
      <c r="I1107" s="303" t="s">
        <v>462</v>
      </c>
      <c r="J1107" s="303"/>
      <c r="K1107" s="303"/>
      <c r="L1107" s="303" t="s">
        <v>478</v>
      </c>
      <c r="M1107" s="538">
        <v>10000000</v>
      </c>
      <c r="N1107" s="303" t="s">
        <v>452</v>
      </c>
      <c r="O1107" s="538" t="s">
        <v>10608</v>
      </c>
      <c r="P1107" s="303"/>
      <c r="Q1107" s="303"/>
      <c r="R1107" s="305"/>
      <c r="S1107" s="305"/>
      <c r="T1107" s="305"/>
      <c r="U1107" s="305"/>
      <c r="V1107" s="303"/>
      <c r="W1107" s="303"/>
      <c r="X1107" s="303"/>
      <c r="Y1107" s="303"/>
      <c r="Z1107" s="303"/>
      <c r="AA1107" s="306"/>
      <c r="AB1107" s="306"/>
      <c r="AC1107" s="306"/>
    </row>
    <row r="1108" spans="1:29" ht="15.75" hidden="1" customHeight="1">
      <c r="A1108" s="248">
        <v>44791</v>
      </c>
      <c r="B1108" s="219" t="s">
        <v>344</v>
      </c>
      <c r="C1108" s="315">
        <v>4.5</v>
      </c>
      <c r="D1108" s="219" t="s">
        <v>1964</v>
      </c>
      <c r="E1108" s="219" t="s">
        <v>3</v>
      </c>
      <c r="F1108" s="219" t="s">
        <v>725</v>
      </c>
      <c r="G1108" s="219" t="s">
        <v>10607</v>
      </c>
      <c r="H1108" s="219">
        <v>4.5</v>
      </c>
      <c r="I1108" s="219" t="s">
        <v>462</v>
      </c>
      <c r="J1108" s="219" t="s">
        <v>1966</v>
      </c>
      <c r="K1108" s="219">
        <v>4.5</v>
      </c>
      <c r="L1108" s="219" t="s">
        <v>478</v>
      </c>
      <c r="M1108" s="310">
        <v>10000000</v>
      </c>
      <c r="N1108" s="219" t="s">
        <v>452</v>
      </c>
      <c r="O1108" s="219" t="s">
        <v>10608</v>
      </c>
      <c r="P1108" s="219"/>
      <c r="Q1108" s="219" t="s">
        <v>18</v>
      </c>
      <c r="R1108" s="251"/>
      <c r="S1108" s="251"/>
      <c r="T1108" s="251"/>
      <c r="U1108" s="251"/>
      <c r="V1108" s="219"/>
      <c r="W1108" s="219"/>
      <c r="X1108" s="219"/>
      <c r="Y1108" s="219"/>
      <c r="Z1108" s="219"/>
      <c r="AA1108" s="219"/>
      <c r="AB1108" s="219"/>
      <c r="AC1108" s="219"/>
    </row>
    <row r="1109" spans="1:29" ht="15.75" hidden="1" customHeight="1">
      <c r="A1109" s="257">
        <v>44782</v>
      </c>
      <c r="B1109" s="258" t="s">
        <v>9872</v>
      </c>
      <c r="C1109" s="249">
        <v>3.75</v>
      </c>
      <c r="D1109" s="258" t="s">
        <v>9875</v>
      </c>
      <c r="E1109" s="250" t="s">
        <v>3</v>
      </c>
      <c r="F1109" s="258" t="s">
        <v>460</v>
      </c>
      <c r="G1109" s="258" t="s">
        <v>9876</v>
      </c>
      <c r="H1109" s="258">
        <v>3.5</v>
      </c>
      <c r="I1109" s="258" t="s">
        <v>488</v>
      </c>
      <c r="J1109" s="258" t="s">
        <v>9877</v>
      </c>
      <c r="K1109" s="258">
        <v>4</v>
      </c>
      <c r="L1109" s="258" t="s">
        <v>451</v>
      </c>
      <c r="M1109" s="258">
        <v>1000000</v>
      </c>
      <c r="N1109" s="258" t="s">
        <v>452</v>
      </c>
      <c r="O1109" s="258" t="s">
        <v>452</v>
      </c>
      <c r="P1109" s="258" t="s">
        <v>11386</v>
      </c>
      <c r="Q1109" s="258" t="s">
        <v>23</v>
      </c>
      <c r="R1109" s="259" t="s">
        <v>9879</v>
      </c>
      <c r="S1109" s="259"/>
      <c r="T1109" s="259"/>
      <c r="U1109" s="259"/>
      <c r="V1109" s="258"/>
      <c r="W1109" s="258"/>
      <c r="X1109" s="258"/>
      <c r="Y1109" s="258"/>
      <c r="Z1109" s="258"/>
      <c r="AA1109" s="258"/>
      <c r="AB1109" s="258"/>
      <c r="AC1109" s="258"/>
    </row>
    <row r="1110" spans="1:29" ht="15.75" customHeight="1">
      <c r="A1110" s="248">
        <v>44791</v>
      </c>
      <c r="B1110" s="219" t="s">
        <v>8100</v>
      </c>
      <c r="C1110" s="315">
        <v>1</v>
      </c>
      <c r="D1110" s="219" t="s">
        <v>8103</v>
      </c>
      <c r="E1110" s="219" t="s">
        <v>4</v>
      </c>
      <c r="F1110" s="219" t="s">
        <v>602</v>
      </c>
      <c r="G1110" s="219" t="s">
        <v>7807</v>
      </c>
      <c r="H1110" s="219">
        <v>1</v>
      </c>
      <c r="I1110" s="219" t="s">
        <v>1045</v>
      </c>
      <c r="J1110" s="219" t="s">
        <v>8104</v>
      </c>
      <c r="K1110" s="219">
        <v>1</v>
      </c>
      <c r="L1110" s="219"/>
      <c r="M1110" s="219"/>
      <c r="N1110" s="219" t="s">
        <v>465</v>
      </c>
      <c r="O1110" s="219" t="s">
        <v>575</v>
      </c>
      <c r="P1110" s="219"/>
      <c r="Q1110" s="322" t="s">
        <v>24</v>
      </c>
      <c r="R1110" s="219"/>
      <c r="S1110" s="219" t="str">
        <f>IFERROR(VLOOKUP(B1110,'2022-2023 Third Reviews'!$C:$S,9,FALSE),"")</f>
        <v/>
      </c>
      <c r="T1110" s="219"/>
      <c r="U1110" s="219"/>
      <c r="V1110" s="252"/>
      <c r="W1110" s="252"/>
      <c r="X1110" s="252"/>
      <c r="Y1110" s="219"/>
      <c r="Z1110" s="219"/>
      <c r="AA1110" s="219"/>
      <c r="AB1110" s="219"/>
      <c r="AC1110" s="219"/>
    </row>
    <row r="1111" spans="1:29" ht="15.75" customHeight="1">
      <c r="A1111" s="253">
        <v>44796</v>
      </c>
      <c r="B1111" s="224" t="s">
        <v>8107</v>
      </c>
      <c r="C1111" s="316">
        <v>1</v>
      </c>
      <c r="D1111" s="224" t="s">
        <v>8110</v>
      </c>
      <c r="E1111" s="224" t="s">
        <v>4</v>
      </c>
      <c r="F1111" s="224" t="s">
        <v>725</v>
      </c>
      <c r="G1111" s="224" t="s">
        <v>8111</v>
      </c>
      <c r="H1111" s="224">
        <v>1</v>
      </c>
      <c r="I1111" s="224" t="s">
        <v>476</v>
      </c>
      <c r="J1111" s="224" t="s">
        <v>8112</v>
      </c>
      <c r="K1111" s="224">
        <v>1</v>
      </c>
      <c r="L1111" s="224"/>
      <c r="M1111" s="224"/>
      <c r="N1111" s="224" t="s">
        <v>452</v>
      </c>
      <c r="O1111" s="224" t="s">
        <v>11233</v>
      </c>
      <c r="P1111" s="224"/>
      <c r="Q1111" s="224" t="s">
        <v>24</v>
      </c>
      <c r="R1111" s="224"/>
      <c r="S1111" s="224" t="str">
        <f>IFERROR(VLOOKUP(B1111,'2022-2023 Third Reviews'!$C:$S,9,FALSE),"")</f>
        <v/>
      </c>
      <c r="T1111" s="224" t="s">
        <v>13281</v>
      </c>
      <c r="U1111" s="224"/>
      <c r="V1111" s="306"/>
      <c r="W1111" s="306"/>
      <c r="X1111" s="306"/>
      <c r="Y1111" s="306"/>
      <c r="Z1111" s="306"/>
      <c r="AA1111" s="306"/>
      <c r="AB1111" s="306"/>
      <c r="AC1111" s="306"/>
    </row>
    <row r="1112" spans="1:29" ht="15.75" hidden="1" customHeight="1">
      <c r="A1112" s="276">
        <v>44784</v>
      </c>
      <c r="B1112" s="277" t="s">
        <v>130</v>
      </c>
      <c r="C1112" s="278">
        <v>2.75</v>
      </c>
      <c r="D1112" s="277" t="s">
        <v>3179</v>
      </c>
      <c r="E1112" s="277" t="s">
        <v>5</v>
      </c>
      <c r="F1112" s="277" t="s">
        <v>460</v>
      </c>
      <c r="G1112" s="277" t="s">
        <v>3180</v>
      </c>
      <c r="H1112" s="277">
        <v>3</v>
      </c>
      <c r="I1112" s="277" t="s">
        <v>488</v>
      </c>
      <c r="J1112" s="277" t="s">
        <v>11590</v>
      </c>
      <c r="K1112" s="277">
        <v>2.5</v>
      </c>
      <c r="L1112" s="277" t="s">
        <v>784</v>
      </c>
      <c r="M1112" s="277">
        <v>3000000</v>
      </c>
      <c r="N1112" s="277" t="s">
        <v>452</v>
      </c>
      <c r="O1112" s="277" t="s">
        <v>3182</v>
      </c>
      <c r="P1112" s="277"/>
      <c r="Q1112" s="277" t="s">
        <v>19</v>
      </c>
      <c r="R1112" s="279" t="s">
        <v>3183</v>
      </c>
      <c r="S1112" s="279"/>
      <c r="T1112" s="279"/>
      <c r="U1112" s="279"/>
      <c r="V1112" s="277"/>
      <c r="W1112" s="277"/>
      <c r="X1112" s="277"/>
      <c r="Y1112" s="277"/>
      <c r="Z1112" s="277"/>
      <c r="AA1112" s="239"/>
      <c r="AB1112" s="239"/>
      <c r="AC1112" s="239"/>
    </row>
    <row r="1113" spans="1:29" ht="15.75" hidden="1" customHeight="1">
      <c r="A1113" s="541">
        <v>44796</v>
      </c>
      <c r="B1113" s="306" t="s">
        <v>9105</v>
      </c>
      <c r="C1113" s="542"/>
      <c r="D1113" s="306" t="s">
        <v>11354</v>
      </c>
      <c r="E1113" s="306" t="s">
        <v>3</v>
      </c>
      <c r="F1113" s="306" t="s">
        <v>488</v>
      </c>
      <c r="G1113" s="306"/>
      <c r="H1113" s="306"/>
      <c r="I1113" s="306" t="s">
        <v>941</v>
      </c>
      <c r="J1113" s="306"/>
      <c r="K1113" s="306"/>
      <c r="L1113" s="306" t="s">
        <v>478</v>
      </c>
      <c r="M1113" s="306" t="s">
        <v>3555</v>
      </c>
      <c r="N1113" s="306" t="s">
        <v>452</v>
      </c>
      <c r="O1113" s="306" t="s">
        <v>11355</v>
      </c>
      <c r="P1113" s="306"/>
      <c r="Q1113" s="306"/>
      <c r="R1113" s="543"/>
      <c r="S1113" s="543"/>
      <c r="T1113" s="543"/>
      <c r="U1113" s="543"/>
      <c r="V1113" s="224"/>
      <c r="W1113" s="224"/>
      <c r="X1113" s="224"/>
      <c r="Y1113" s="224"/>
      <c r="Z1113" s="224"/>
      <c r="AA1113" s="224"/>
      <c r="AB1113" s="224"/>
      <c r="AC1113" s="224"/>
    </row>
    <row r="1114" spans="1:29" ht="15.75" hidden="1" customHeight="1">
      <c r="A1114" s="541">
        <v>44797</v>
      </c>
      <c r="B1114" s="306" t="s">
        <v>9105</v>
      </c>
      <c r="C1114" s="542"/>
      <c r="D1114" s="306" t="s">
        <v>11354</v>
      </c>
      <c r="E1114" s="306" t="s">
        <v>3</v>
      </c>
      <c r="F1114" s="306" t="s">
        <v>488</v>
      </c>
      <c r="G1114" s="306"/>
      <c r="H1114" s="306">
        <v>3</v>
      </c>
      <c r="I1114" s="306" t="s">
        <v>941</v>
      </c>
      <c r="J1114" s="306"/>
      <c r="K1114" s="306"/>
      <c r="L1114" s="306" t="s">
        <v>478</v>
      </c>
      <c r="M1114" s="306" t="s">
        <v>3555</v>
      </c>
      <c r="N1114" s="306" t="s">
        <v>452</v>
      </c>
      <c r="O1114" s="306" t="s">
        <v>11355</v>
      </c>
      <c r="P1114" s="306"/>
      <c r="Q1114" s="306"/>
      <c r="R1114" s="543"/>
      <c r="S1114" s="543"/>
      <c r="T1114" s="543"/>
      <c r="U1114" s="543"/>
      <c r="V1114" s="306"/>
      <c r="W1114" s="306"/>
      <c r="X1114" s="306"/>
      <c r="Y1114" s="306"/>
      <c r="Z1114" s="306"/>
      <c r="AA1114" s="306"/>
      <c r="AB1114" s="306"/>
      <c r="AC1114" s="306"/>
    </row>
    <row r="1115" spans="1:29" ht="15.75" hidden="1" customHeight="1">
      <c r="A1115" s="253">
        <v>44797</v>
      </c>
      <c r="B1115" s="224" t="s">
        <v>9105</v>
      </c>
      <c r="C1115" s="316">
        <v>3</v>
      </c>
      <c r="D1115" s="224" t="s">
        <v>11354</v>
      </c>
      <c r="E1115" s="224" t="s">
        <v>3</v>
      </c>
      <c r="F1115" s="224" t="s">
        <v>488</v>
      </c>
      <c r="G1115" s="224" t="s">
        <v>9109</v>
      </c>
      <c r="H1115" s="224">
        <v>3</v>
      </c>
      <c r="I1115" s="224" t="s">
        <v>941</v>
      </c>
      <c r="J1115" s="224" t="s">
        <v>9110</v>
      </c>
      <c r="K1115" s="224">
        <v>3</v>
      </c>
      <c r="L1115" s="224" t="s">
        <v>478</v>
      </c>
      <c r="M1115" s="224" t="s">
        <v>3555</v>
      </c>
      <c r="N1115" s="224" t="s">
        <v>452</v>
      </c>
      <c r="O1115" s="224" t="s">
        <v>11355</v>
      </c>
      <c r="P1115" s="224"/>
      <c r="Q1115" s="224" t="s">
        <v>24</v>
      </c>
      <c r="R1115" s="254"/>
      <c r="S1115" s="254"/>
      <c r="T1115" s="254"/>
      <c r="U1115" s="254"/>
      <c r="V1115" s="224"/>
      <c r="W1115" s="224"/>
      <c r="X1115" s="224"/>
      <c r="Y1115" s="224"/>
      <c r="Z1115" s="224"/>
      <c r="AA1115" s="224"/>
      <c r="AB1115" s="224"/>
      <c r="AC1115" s="224"/>
    </row>
    <row r="1116" spans="1:29" ht="15.75" hidden="1" customHeight="1">
      <c r="A1116" s="255">
        <v>44782</v>
      </c>
      <c r="B1116" s="239" t="s">
        <v>131</v>
      </c>
      <c r="C1116" s="249">
        <v>3.75</v>
      </c>
      <c r="D1116" s="239" t="s">
        <v>9362</v>
      </c>
      <c r="E1116" s="250" t="s">
        <v>5</v>
      </c>
      <c r="F1116" s="239" t="s">
        <v>447</v>
      </c>
      <c r="G1116" s="239" t="s">
        <v>9363</v>
      </c>
      <c r="H1116" s="239">
        <v>3.5</v>
      </c>
      <c r="I1116" s="239" t="s">
        <v>543</v>
      </c>
      <c r="J1116" s="239" t="s">
        <v>13400</v>
      </c>
      <c r="K1116" s="239">
        <v>4</v>
      </c>
      <c r="L1116" s="239" t="s">
        <v>478</v>
      </c>
      <c r="M1116" s="239" t="s">
        <v>4956</v>
      </c>
      <c r="N1116" s="239" t="s">
        <v>452</v>
      </c>
      <c r="O1116" s="239" t="s">
        <v>9365</v>
      </c>
      <c r="P1116" s="239"/>
      <c r="Q1116" s="239" t="s">
        <v>19</v>
      </c>
      <c r="R1116" s="256" t="s">
        <v>1334</v>
      </c>
      <c r="S1116" s="256"/>
      <c r="T1116" s="256"/>
      <c r="U1116" s="256"/>
      <c r="V1116" s="239"/>
      <c r="W1116" s="239"/>
      <c r="X1116" s="239"/>
      <c r="Y1116" s="239"/>
      <c r="Z1116" s="239"/>
      <c r="AA1116" s="239"/>
      <c r="AB1116" s="239"/>
      <c r="AC1116" s="239"/>
    </row>
    <row r="1117" spans="1:29" ht="15.75" hidden="1" customHeight="1">
      <c r="A1117" s="257">
        <v>44796</v>
      </c>
      <c r="B1117" s="258" t="s">
        <v>9882</v>
      </c>
      <c r="C1117" s="263">
        <v>3.5</v>
      </c>
      <c r="D1117" s="258" t="s">
        <v>9885</v>
      </c>
      <c r="E1117" s="258" t="s">
        <v>3</v>
      </c>
      <c r="F1117" s="258" t="s">
        <v>488</v>
      </c>
      <c r="G1117" s="258" t="s">
        <v>11728</v>
      </c>
      <c r="H1117" s="258">
        <v>3.5</v>
      </c>
      <c r="I1117" s="258" t="s">
        <v>462</v>
      </c>
      <c r="J1117" s="258" t="s">
        <v>9887</v>
      </c>
      <c r="K1117" s="258">
        <v>3.5</v>
      </c>
      <c r="L1117" s="258" t="s">
        <v>451</v>
      </c>
      <c r="M1117" s="261">
        <v>6000000</v>
      </c>
      <c r="N1117" s="258" t="s">
        <v>465</v>
      </c>
      <c r="O1117" s="258" t="s">
        <v>9888</v>
      </c>
      <c r="P1117" s="258"/>
      <c r="Q1117" s="258" t="s">
        <v>23</v>
      </c>
      <c r="R1117" s="259" t="s">
        <v>9889</v>
      </c>
      <c r="S1117" s="259"/>
      <c r="T1117" s="259"/>
      <c r="U1117" s="259"/>
      <c r="V1117" s="258"/>
      <c r="W1117" s="258"/>
      <c r="X1117" s="258"/>
      <c r="Y1117" s="258"/>
      <c r="Z1117" s="258"/>
      <c r="AA1117" s="258"/>
      <c r="AB1117" s="258"/>
      <c r="AC1117" s="258"/>
    </row>
    <row r="1118" spans="1:29" ht="15.75" customHeight="1">
      <c r="A1118" s="248">
        <v>44796</v>
      </c>
      <c r="B1118" s="219" t="s">
        <v>8116</v>
      </c>
      <c r="C1118" s="315">
        <v>1</v>
      </c>
      <c r="D1118" s="219" t="s">
        <v>8119</v>
      </c>
      <c r="E1118" s="219" t="s">
        <v>4</v>
      </c>
      <c r="F1118" s="219" t="s">
        <v>725</v>
      </c>
      <c r="G1118" s="219" t="s">
        <v>10264</v>
      </c>
      <c r="H1118" s="219">
        <v>1</v>
      </c>
      <c r="I1118" s="219" t="s">
        <v>1036</v>
      </c>
      <c r="J1118" s="219" t="s">
        <v>8121</v>
      </c>
      <c r="K1118" s="219">
        <v>1</v>
      </c>
      <c r="L1118" s="219"/>
      <c r="M1118" s="219"/>
      <c r="N1118" s="219" t="s">
        <v>454</v>
      </c>
      <c r="O1118" s="219" t="s">
        <v>1119</v>
      </c>
      <c r="P1118" s="219"/>
      <c r="Q1118" s="219" t="s">
        <v>24</v>
      </c>
      <c r="R1118" s="219"/>
      <c r="S1118" s="219" t="str">
        <f>IFERROR(VLOOKUP(B1118,'2022-2023 Third Reviews'!$C:$S,9,FALSE),"")</f>
        <v/>
      </c>
      <c r="T1118" s="219"/>
      <c r="U1118" s="219"/>
      <c r="V1118" s="219"/>
      <c r="W1118" s="219"/>
      <c r="X1118" s="219"/>
      <c r="Y1118" s="219"/>
      <c r="Z1118" s="219"/>
      <c r="AA1118" s="219"/>
      <c r="AB1118" s="219"/>
      <c r="AC1118" s="219"/>
    </row>
    <row r="1119" spans="1:29" ht="15.75" hidden="1" customHeight="1">
      <c r="A1119" s="253">
        <v>44789</v>
      </c>
      <c r="B1119" s="224" t="s">
        <v>9114</v>
      </c>
      <c r="C1119" s="249">
        <v>2.5</v>
      </c>
      <c r="D1119" s="224"/>
      <c r="E1119" s="250" t="s">
        <v>3</v>
      </c>
      <c r="F1119" s="224" t="s">
        <v>488</v>
      </c>
      <c r="G1119" s="224" t="s">
        <v>11319</v>
      </c>
      <c r="H1119" s="224">
        <v>3</v>
      </c>
      <c r="I1119" s="224" t="s">
        <v>941</v>
      </c>
      <c r="J1119" s="224" t="s">
        <v>9118</v>
      </c>
      <c r="K1119" s="224">
        <v>2</v>
      </c>
      <c r="L1119" s="224" t="s">
        <v>2190</v>
      </c>
      <c r="M1119" s="224" t="s">
        <v>9119</v>
      </c>
      <c r="N1119" s="224" t="s">
        <v>452</v>
      </c>
      <c r="O1119" s="224" t="s">
        <v>9120</v>
      </c>
      <c r="P1119" s="224" t="s">
        <v>9121</v>
      </c>
      <c r="Q1119" s="224" t="s">
        <v>24</v>
      </c>
      <c r="R1119" s="254"/>
      <c r="S1119" s="254"/>
      <c r="T1119" s="254"/>
      <c r="U1119" s="254"/>
      <c r="V1119" s="252"/>
      <c r="W1119" s="252"/>
      <c r="X1119" s="252"/>
      <c r="Y1119" s="224"/>
      <c r="Z1119" s="224"/>
      <c r="AA1119" s="224"/>
      <c r="AB1119" s="224"/>
      <c r="AC1119" s="224"/>
    </row>
    <row r="1120" spans="1:29" ht="15.75" customHeight="1">
      <c r="A1120" s="248">
        <v>44796</v>
      </c>
      <c r="B1120" s="219" t="s">
        <v>8124</v>
      </c>
      <c r="C1120" s="315">
        <v>1</v>
      </c>
      <c r="D1120" s="219" t="s">
        <v>8127</v>
      </c>
      <c r="E1120" s="219" t="s">
        <v>4</v>
      </c>
      <c r="F1120" s="219" t="s">
        <v>1045</v>
      </c>
      <c r="G1120" s="219" t="s">
        <v>8128</v>
      </c>
      <c r="H1120" s="219">
        <v>1</v>
      </c>
      <c r="I1120" s="219" t="s">
        <v>1036</v>
      </c>
      <c r="J1120" s="219" t="s">
        <v>8129</v>
      </c>
      <c r="K1120" s="219">
        <v>1</v>
      </c>
      <c r="L1120" s="219" t="s">
        <v>784</v>
      </c>
      <c r="M1120" s="331">
        <v>800000</v>
      </c>
      <c r="N1120" s="219" t="s">
        <v>454</v>
      </c>
      <c r="O1120" s="219" t="s">
        <v>8130</v>
      </c>
      <c r="P1120" s="219" t="s">
        <v>8131</v>
      </c>
      <c r="Q1120" s="219" t="s">
        <v>24</v>
      </c>
      <c r="R1120" s="219"/>
      <c r="S1120" s="219" t="str">
        <f>IFERROR(VLOOKUP(B1120,'2022-2023 Third Reviews'!$C:$S,9,FALSE),"")</f>
        <v/>
      </c>
      <c r="T1120" s="219"/>
      <c r="U1120" s="219"/>
      <c r="V1120" s="258"/>
      <c r="W1120" s="258"/>
      <c r="X1120" s="258"/>
      <c r="Y1120" s="258"/>
      <c r="Z1120" s="258"/>
      <c r="AA1120" s="258"/>
      <c r="AB1120" s="258"/>
      <c r="AC1120" s="258"/>
    </row>
    <row r="1121" spans="1:29" ht="15.75" hidden="1" customHeight="1">
      <c r="A1121" s="257">
        <v>44782</v>
      </c>
      <c r="B1121" s="258" t="s">
        <v>132</v>
      </c>
      <c r="C1121" s="249">
        <v>3.75</v>
      </c>
      <c r="D1121" s="258" t="s">
        <v>10518</v>
      </c>
      <c r="E1121" s="250" t="s">
        <v>5</v>
      </c>
      <c r="F1121" s="258" t="s">
        <v>447</v>
      </c>
      <c r="G1121" s="258" t="s">
        <v>10519</v>
      </c>
      <c r="H1121" s="258">
        <v>3.5</v>
      </c>
      <c r="I1121" s="258" t="s">
        <v>543</v>
      </c>
      <c r="J1121" s="258" t="s">
        <v>13400</v>
      </c>
      <c r="K1121" s="258">
        <v>4</v>
      </c>
      <c r="L1121" s="258" t="s">
        <v>478</v>
      </c>
      <c r="M1121" s="258" t="s">
        <v>3191</v>
      </c>
      <c r="N1121" s="258" t="s">
        <v>452</v>
      </c>
      <c r="O1121" s="258" t="s">
        <v>3192</v>
      </c>
      <c r="P1121" s="258"/>
      <c r="Q1121" s="258" t="s">
        <v>20</v>
      </c>
      <c r="R1121" s="259" t="s">
        <v>3193</v>
      </c>
      <c r="S1121" s="259"/>
      <c r="T1121" s="259"/>
      <c r="U1121" s="259"/>
      <c r="V1121" s="258"/>
      <c r="W1121" s="258"/>
      <c r="X1121" s="258"/>
      <c r="Y1121" s="258"/>
      <c r="Z1121" s="258"/>
      <c r="AA1121" s="258"/>
      <c r="AB1121" s="258"/>
      <c r="AC1121" s="258"/>
    </row>
    <row r="1122" spans="1:29" ht="15.75" hidden="1" customHeight="1">
      <c r="A1122" s="301">
        <v>44789</v>
      </c>
      <c r="B1122" s="303" t="s">
        <v>380</v>
      </c>
      <c r="C1122" s="269"/>
      <c r="D1122" s="303" t="s">
        <v>9894</v>
      </c>
      <c r="E1122" s="270" t="s">
        <v>3</v>
      </c>
      <c r="F1122" s="303" t="s">
        <v>488</v>
      </c>
      <c r="G1122" s="303"/>
      <c r="H1122" s="303"/>
      <c r="I1122" s="303" t="s">
        <v>941</v>
      </c>
      <c r="J1122" s="303"/>
      <c r="K1122" s="303"/>
      <c r="L1122" s="303" t="s">
        <v>451</v>
      </c>
      <c r="M1122" s="304">
        <v>1500000</v>
      </c>
      <c r="N1122" s="303" t="s">
        <v>452</v>
      </c>
      <c r="O1122" s="304" t="s">
        <v>452</v>
      </c>
      <c r="P1122" s="303"/>
      <c r="Q1122" s="303"/>
      <c r="R1122" s="305"/>
      <c r="S1122" s="305"/>
      <c r="T1122" s="305"/>
      <c r="U1122" s="305"/>
      <c r="V1122" s="303"/>
      <c r="W1122" s="303"/>
      <c r="X1122" s="303"/>
      <c r="Y1122" s="303"/>
      <c r="Z1122" s="303"/>
      <c r="AA1122" s="306"/>
      <c r="AB1122" s="306"/>
      <c r="AC1122" s="306"/>
    </row>
    <row r="1123" spans="1:29" ht="15.75" hidden="1" customHeight="1">
      <c r="A1123" s="541">
        <v>44791</v>
      </c>
      <c r="B1123" s="306" t="s">
        <v>380</v>
      </c>
      <c r="C1123" s="542"/>
      <c r="D1123" s="306" t="s">
        <v>9894</v>
      </c>
      <c r="E1123" s="306" t="s">
        <v>3</v>
      </c>
      <c r="F1123" s="306" t="s">
        <v>488</v>
      </c>
      <c r="G1123" s="306"/>
      <c r="H1123" s="306"/>
      <c r="I1123" s="306" t="s">
        <v>941</v>
      </c>
      <c r="J1123" s="306"/>
      <c r="K1123" s="306"/>
      <c r="L1123" s="306" t="s">
        <v>451</v>
      </c>
      <c r="M1123" s="544">
        <v>1500000</v>
      </c>
      <c r="N1123" s="306" t="s">
        <v>452</v>
      </c>
      <c r="O1123" s="306" t="s">
        <v>452</v>
      </c>
      <c r="P1123" s="306"/>
      <c r="Q1123" s="306"/>
      <c r="R1123" s="543"/>
      <c r="S1123" s="543"/>
      <c r="T1123" s="543"/>
      <c r="U1123" s="543"/>
      <c r="V1123" s="306"/>
      <c r="W1123" s="306"/>
      <c r="X1123" s="306"/>
      <c r="Y1123" s="306"/>
      <c r="Z1123" s="306"/>
      <c r="AA1123" s="306"/>
      <c r="AB1123" s="306"/>
      <c r="AC1123" s="306"/>
    </row>
    <row r="1124" spans="1:29" ht="15.75" hidden="1" customHeight="1">
      <c r="A1124" s="541">
        <v>44796</v>
      </c>
      <c r="B1124" s="306" t="s">
        <v>380</v>
      </c>
      <c r="C1124" s="542"/>
      <c r="D1124" s="306" t="s">
        <v>9894</v>
      </c>
      <c r="E1124" s="306" t="s">
        <v>3</v>
      </c>
      <c r="F1124" s="306" t="s">
        <v>488</v>
      </c>
      <c r="G1124" s="306"/>
      <c r="H1124" s="306"/>
      <c r="I1124" s="306" t="s">
        <v>941</v>
      </c>
      <c r="J1124" s="306"/>
      <c r="K1124" s="306"/>
      <c r="L1124" s="306" t="s">
        <v>451</v>
      </c>
      <c r="M1124" s="544">
        <v>1500000</v>
      </c>
      <c r="N1124" s="306" t="s">
        <v>452</v>
      </c>
      <c r="O1124" s="306" t="s">
        <v>452</v>
      </c>
      <c r="P1124" s="306"/>
      <c r="Q1124" s="306"/>
      <c r="R1124" s="543"/>
      <c r="S1124" s="543"/>
      <c r="T1124" s="543"/>
      <c r="U1124" s="543"/>
      <c r="V1124" s="306"/>
      <c r="W1124" s="306"/>
      <c r="X1124" s="306"/>
      <c r="Y1124" s="306"/>
      <c r="Z1124" s="306"/>
      <c r="AA1124" s="306"/>
      <c r="AB1124" s="306"/>
      <c r="AC1124" s="306"/>
    </row>
    <row r="1125" spans="1:29" ht="15.75" hidden="1" customHeight="1">
      <c r="A1125" s="253">
        <v>44796</v>
      </c>
      <c r="B1125" s="224" t="s">
        <v>380</v>
      </c>
      <c r="C1125" s="316">
        <v>4</v>
      </c>
      <c r="D1125" s="224" t="s">
        <v>9894</v>
      </c>
      <c r="E1125" s="224" t="s">
        <v>3</v>
      </c>
      <c r="F1125" s="224" t="s">
        <v>725</v>
      </c>
      <c r="G1125" s="224" t="s">
        <v>10784</v>
      </c>
      <c r="H1125" s="224">
        <v>4</v>
      </c>
      <c r="I1125" s="224" t="s">
        <v>941</v>
      </c>
      <c r="J1125" s="224" t="s">
        <v>9896</v>
      </c>
      <c r="K1125" s="224">
        <v>4</v>
      </c>
      <c r="L1125" s="224" t="s">
        <v>451</v>
      </c>
      <c r="M1125" s="330">
        <v>1500000</v>
      </c>
      <c r="N1125" s="224" t="s">
        <v>452</v>
      </c>
      <c r="O1125" s="224" t="s">
        <v>452</v>
      </c>
      <c r="P1125" s="224"/>
      <c r="Q1125" s="224" t="s">
        <v>18</v>
      </c>
      <c r="R1125" s="254"/>
      <c r="S1125" s="254"/>
      <c r="T1125" s="254"/>
      <c r="U1125" s="254"/>
      <c r="V1125" s="224"/>
      <c r="W1125" s="224"/>
      <c r="X1125" s="224"/>
      <c r="Y1125" s="224"/>
      <c r="Z1125" s="224"/>
      <c r="AA1125" s="224"/>
      <c r="AB1125" s="224"/>
      <c r="AC1125" s="224"/>
    </row>
    <row r="1126" spans="1:29" ht="15.75" hidden="1" customHeight="1">
      <c r="A1126" s="276">
        <v>44784</v>
      </c>
      <c r="B1126" s="277" t="s">
        <v>118</v>
      </c>
      <c r="C1126" s="278">
        <v>3.75</v>
      </c>
      <c r="D1126" s="277" t="s">
        <v>11563</v>
      </c>
      <c r="E1126" s="277" t="s">
        <v>5</v>
      </c>
      <c r="F1126" s="277" t="s">
        <v>460</v>
      </c>
      <c r="G1126" s="277" t="s">
        <v>847</v>
      </c>
      <c r="H1126" s="277">
        <v>4</v>
      </c>
      <c r="I1126" s="277" t="s">
        <v>488</v>
      </c>
      <c r="J1126" s="277" t="s">
        <v>848</v>
      </c>
      <c r="K1126" s="277">
        <v>3.5</v>
      </c>
      <c r="L1126" s="277" t="s">
        <v>451</v>
      </c>
      <c r="M1126" s="289">
        <v>3000000</v>
      </c>
      <c r="N1126" s="277" t="s">
        <v>452</v>
      </c>
      <c r="O1126" s="289" t="s">
        <v>11564</v>
      </c>
      <c r="P1126" s="277"/>
      <c r="Q1126" s="277" t="s">
        <v>20</v>
      </c>
      <c r="R1126" s="279" t="s">
        <v>850</v>
      </c>
      <c r="S1126" s="279"/>
      <c r="T1126" s="279"/>
      <c r="U1126" s="279"/>
      <c r="V1126" s="277"/>
      <c r="W1126" s="277"/>
      <c r="X1126" s="277"/>
      <c r="Y1126" s="277"/>
      <c r="Z1126" s="277"/>
      <c r="AA1126" s="239"/>
      <c r="AB1126" s="239"/>
      <c r="AC1126" s="239"/>
    </row>
    <row r="1127" spans="1:29" ht="15.75" customHeight="1">
      <c r="A1127" s="253">
        <v>44791</v>
      </c>
      <c r="B1127" s="224" t="s">
        <v>8133</v>
      </c>
      <c r="C1127" s="316">
        <v>1</v>
      </c>
      <c r="D1127" s="224" t="s">
        <v>10883</v>
      </c>
      <c r="E1127" s="224" t="s">
        <v>4</v>
      </c>
      <c r="F1127" s="224" t="s">
        <v>602</v>
      </c>
      <c r="G1127" s="224" t="s">
        <v>8137</v>
      </c>
      <c r="H1127" s="224">
        <v>1</v>
      </c>
      <c r="I1127" s="224" t="s">
        <v>1045</v>
      </c>
      <c r="J1127" s="224" t="s">
        <v>8138</v>
      </c>
      <c r="K1127" s="224">
        <v>1</v>
      </c>
      <c r="L1127" s="224"/>
      <c r="M1127" s="224"/>
      <c r="N1127" s="224" t="s">
        <v>452</v>
      </c>
      <c r="O1127" s="224" t="s">
        <v>452</v>
      </c>
      <c r="P1127" s="224" t="s">
        <v>8139</v>
      </c>
      <c r="Q1127" s="322" t="s">
        <v>24</v>
      </c>
      <c r="R1127" s="224"/>
      <c r="S1127" s="224" t="str">
        <f>IFERROR(VLOOKUP(B1127,'2022-2023 Third Reviews'!$C:$S,9,FALSE),"")</f>
        <v/>
      </c>
      <c r="T1127" s="224"/>
      <c r="U1127" s="224"/>
      <c r="V1127" s="272"/>
      <c r="W1127" s="272"/>
      <c r="X1127" s="272"/>
      <c r="Y1127" s="272"/>
      <c r="Z1127" s="272"/>
      <c r="AA1127" s="224"/>
      <c r="AB1127" s="224"/>
      <c r="AC1127" s="224"/>
    </row>
    <row r="1128" spans="1:29" ht="15.75" customHeight="1">
      <c r="A1128" s="248">
        <v>44796</v>
      </c>
      <c r="B1128" s="219" t="s">
        <v>8142</v>
      </c>
      <c r="C1128" s="315">
        <v>1</v>
      </c>
      <c r="D1128" s="219"/>
      <c r="E1128" s="219" t="s">
        <v>4</v>
      </c>
      <c r="F1128" s="219" t="s">
        <v>725</v>
      </c>
      <c r="G1128" s="219" t="s">
        <v>8145</v>
      </c>
      <c r="H1128" s="219">
        <v>1</v>
      </c>
      <c r="I1128" s="219" t="s">
        <v>1036</v>
      </c>
      <c r="J1128" s="219" t="s">
        <v>8146</v>
      </c>
      <c r="K1128" s="219">
        <v>1</v>
      </c>
      <c r="L1128" s="219" t="s">
        <v>2152</v>
      </c>
      <c r="M1128" s="219">
        <v>2100000</v>
      </c>
      <c r="N1128" s="219" t="s">
        <v>454</v>
      </c>
      <c r="O1128" s="219" t="s">
        <v>8147</v>
      </c>
      <c r="P1128" s="219"/>
      <c r="Q1128" s="219" t="s">
        <v>24</v>
      </c>
      <c r="R1128" s="219"/>
      <c r="S1128" s="219" t="str">
        <f>IFERROR(VLOOKUP(B1128,'2022-2023 Third Reviews'!$C:$S,9,FALSE),"")</f>
        <v/>
      </c>
      <c r="T1128" s="219"/>
      <c r="U1128" s="219"/>
      <c r="V1128" s="219"/>
      <c r="W1128" s="219"/>
      <c r="X1128" s="219"/>
      <c r="Y1128" s="219"/>
      <c r="Z1128" s="219"/>
      <c r="AA1128" s="219"/>
      <c r="AB1128" s="219"/>
      <c r="AC1128" s="219"/>
    </row>
    <row r="1129" spans="1:29" ht="15.75" customHeight="1">
      <c r="A1129" s="253">
        <v>44782</v>
      </c>
      <c r="B1129" s="224" t="s">
        <v>8150</v>
      </c>
      <c r="C1129" s="249">
        <v>1</v>
      </c>
      <c r="D1129" s="224" t="s">
        <v>8153</v>
      </c>
      <c r="E1129" s="250" t="s">
        <v>4</v>
      </c>
      <c r="F1129" s="224" t="s">
        <v>727</v>
      </c>
      <c r="G1129" s="224" t="s">
        <v>8154</v>
      </c>
      <c r="H1129" s="224">
        <v>1</v>
      </c>
      <c r="I1129" s="224" t="s">
        <v>476</v>
      </c>
      <c r="J1129" s="224" t="s">
        <v>10372</v>
      </c>
      <c r="K1129" s="224">
        <v>1</v>
      </c>
      <c r="L1129" s="224" t="s">
        <v>784</v>
      </c>
      <c r="M1129" s="224">
        <v>600000</v>
      </c>
      <c r="N1129" s="224" t="s">
        <v>452</v>
      </c>
      <c r="O1129" s="224" t="s">
        <v>452</v>
      </c>
      <c r="P1129" s="224"/>
      <c r="Q1129" s="224" t="s">
        <v>24</v>
      </c>
      <c r="R1129" s="224"/>
      <c r="S1129" s="224" t="str">
        <f>IFERROR(VLOOKUP(B1129,'2022-2023 Third Reviews'!$C:$S,9,FALSE),"")</f>
        <v/>
      </c>
      <c r="T1129" s="224"/>
      <c r="U1129" s="224"/>
      <c r="V1129" s="272"/>
      <c r="W1129" s="272"/>
      <c r="X1129" s="272"/>
      <c r="Y1129" s="272"/>
      <c r="Z1129" s="272"/>
      <c r="AA1129" s="224"/>
      <c r="AB1129" s="224"/>
      <c r="AC1129" s="224"/>
    </row>
    <row r="1130" spans="1:29" ht="15.75" hidden="1" customHeight="1">
      <c r="A1130" s="257">
        <v>44782</v>
      </c>
      <c r="B1130" s="258" t="s">
        <v>134</v>
      </c>
      <c r="C1130" s="249">
        <v>3.75</v>
      </c>
      <c r="D1130" s="258" t="s">
        <v>9369</v>
      </c>
      <c r="E1130" s="250" t="s">
        <v>5</v>
      </c>
      <c r="F1130" s="258" t="s">
        <v>447</v>
      </c>
      <c r="G1130" s="258" t="s">
        <v>9370</v>
      </c>
      <c r="H1130" s="258">
        <v>4</v>
      </c>
      <c r="I1130" s="258" t="s">
        <v>476</v>
      </c>
      <c r="J1130" s="258" t="s">
        <v>13400</v>
      </c>
      <c r="K1130" s="258">
        <v>3.5</v>
      </c>
      <c r="L1130" s="258" t="s">
        <v>451</v>
      </c>
      <c r="M1130" s="258">
        <v>1000000</v>
      </c>
      <c r="N1130" s="258" t="s">
        <v>454</v>
      </c>
      <c r="O1130" s="258" t="s">
        <v>452</v>
      </c>
      <c r="P1130" s="258"/>
      <c r="Q1130" s="258" t="s">
        <v>19</v>
      </c>
      <c r="R1130" s="259" t="s">
        <v>9372</v>
      </c>
      <c r="S1130" s="259"/>
      <c r="T1130" s="259"/>
      <c r="U1130" s="259"/>
      <c r="V1130" s="258"/>
      <c r="W1130" s="258"/>
      <c r="X1130" s="258"/>
      <c r="Y1130" s="258"/>
      <c r="Z1130" s="258"/>
      <c r="AA1130" s="258"/>
      <c r="AB1130" s="258"/>
      <c r="AC1130" s="258"/>
    </row>
    <row r="1131" spans="1:29" ht="15.75" hidden="1" customHeight="1">
      <c r="A1131" s="257">
        <v>44782</v>
      </c>
      <c r="B1131" s="258" t="s">
        <v>3196</v>
      </c>
      <c r="C1131" s="249">
        <v>2.5</v>
      </c>
      <c r="D1131" s="258" t="s">
        <v>3199</v>
      </c>
      <c r="E1131" s="250" t="s">
        <v>5</v>
      </c>
      <c r="F1131" s="258" t="s">
        <v>447</v>
      </c>
      <c r="G1131" s="258" t="s">
        <v>10289</v>
      </c>
      <c r="H1131" s="258">
        <v>3</v>
      </c>
      <c r="I1131" s="258" t="s">
        <v>449</v>
      </c>
      <c r="J1131" s="258" t="s">
        <v>13400</v>
      </c>
      <c r="K1131" s="258">
        <v>2</v>
      </c>
      <c r="L1131" s="258"/>
      <c r="M1131" s="258"/>
      <c r="N1131" s="258" t="s">
        <v>465</v>
      </c>
      <c r="O1131" s="258" t="s">
        <v>3202</v>
      </c>
      <c r="P1131" s="258"/>
      <c r="Q1131" s="228" t="s">
        <v>24</v>
      </c>
      <c r="R1131" s="259" t="s">
        <v>3203</v>
      </c>
      <c r="S1131" s="259"/>
      <c r="T1131" s="259"/>
      <c r="U1131" s="259"/>
      <c r="V1131" s="258"/>
      <c r="W1131" s="258"/>
      <c r="X1131" s="258"/>
      <c r="Y1131" s="258"/>
      <c r="Z1131" s="258"/>
      <c r="AA1131" s="258"/>
      <c r="AB1131" s="258"/>
      <c r="AC1131" s="258"/>
    </row>
    <row r="1132" spans="1:29" ht="15.75" customHeight="1">
      <c r="A1132" s="248">
        <v>44796</v>
      </c>
      <c r="B1132" s="219" t="s">
        <v>8158</v>
      </c>
      <c r="C1132" s="315">
        <v>1</v>
      </c>
      <c r="D1132" s="219" t="s">
        <v>8161</v>
      </c>
      <c r="E1132" s="219" t="s">
        <v>4</v>
      </c>
      <c r="F1132" s="219" t="s">
        <v>727</v>
      </c>
      <c r="G1132" s="219" t="s">
        <v>10398</v>
      </c>
      <c r="H1132" s="219">
        <v>1</v>
      </c>
      <c r="I1132" s="219" t="s">
        <v>1187</v>
      </c>
      <c r="J1132" s="219" t="s">
        <v>8163</v>
      </c>
      <c r="K1132" s="219">
        <v>1</v>
      </c>
      <c r="L1132" s="219"/>
      <c r="M1132" s="219"/>
      <c r="N1132" s="219" t="s">
        <v>452</v>
      </c>
      <c r="O1132" s="219" t="s">
        <v>8164</v>
      </c>
      <c r="P1132" s="219"/>
      <c r="Q1132" s="219" t="s">
        <v>24</v>
      </c>
      <c r="R1132" s="219"/>
      <c r="S1132" s="219" t="str">
        <f>IFERROR(VLOOKUP(B1132,'2022-2023 Third Reviews'!$C:$S,9,FALSE),"")</f>
        <v/>
      </c>
      <c r="T1132" s="219"/>
      <c r="U1132" s="219"/>
      <c r="V1132" s="219"/>
      <c r="W1132" s="219"/>
      <c r="X1132" s="219"/>
      <c r="Y1132" s="219"/>
      <c r="Z1132" s="219"/>
      <c r="AA1132" s="219"/>
      <c r="AB1132" s="219"/>
      <c r="AC1132" s="219"/>
    </row>
    <row r="1133" spans="1:29" ht="15.75" customHeight="1">
      <c r="A1133" s="253">
        <v>44796</v>
      </c>
      <c r="B1133" s="224" t="s">
        <v>8167</v>
      </c>
      <c r="C1133" s="316">
        <v>1</v>
      </c>
      <c r="D1133" s="224"/>
      <c r="E1133" s="224" t="s">
        <v>4</v>
      </c>
      <c r="F1133" s="224" t="s">
        <v>725</v>
      </c>
      <c r="G1133" s="224" t="s">
        <v>8170</v>
      </c>
      <c r="H1133" s="224">
        <v>1</v>
      </c>
      <c r="I1133" s="224" t="s">
        <v>1237</v>
      </c>
      <c r="J1133" s="224"/>
      <c r="K1133" s="224">
        <v>1</v>
      </c>
      <c r="L1133" s="224" t="s">
        <v>8171</v>
      </c>
      <c r="M1133" s="224">
        <v>2000000</v>
      </c>
      <c r="N1133" s="224" t="s">
        <v>465</v>
      </c>
      <c r="O1133" s="224" t="s">
        <v>8172</v>
      </c>
      <c r="P1133" s="224"/>
      <c r="Q1133" s="224" t="s">
        <v>24</v>
      </c>
      <c r="R1133" s="224"/>
      <c r="S1133" s="224" t="str">
        <f>IFERROR(VLOOKUP(B1133,'2022-2023 Third Reviews'!$C:$S,9,FALSE),"")</f>
        <v/>
      </c>
      <c r="T1133" s="224"/>
      <c r="U1133" s="224"/>
      <c r="V1133" s="224"/>
      <c r="W1133" s="224"/>
      <c r="X1133" s="224"/>
      <c r="Y1133" s="224"/>
      <c r="Z1133" s="224"/>
      <c r="AA1133" s="224"/>
      <c r="AB1133" s="224"/>
      <c r="AC1133" s="224"/>
    </row>
    <row r="1134" spans="1:29" ht="15.75" customHeight="1">
      <c r="A1134" s="248">
        <v>44796</v>
      </c>
      <c r="B1134" s="219" t="s">
        <v>10622</v>
      </c>
      <c r="C1134" s="315">
        <v>1</v>
      </c>
      <c r="D1134" s="219" t="s">
        <v>8178</v>
      </c>
      <c r="E1134" s="219" t="s">
        <v>4</v>
      </c>
      <c r="F1134" s="219" t="s">
        <v>725</v>
      </c>
      <c r="G1134" s="219" t="s">
        <v>10623</v>
      </c>
      <c r="H1134" s="219">
        <v>1</v>
      </c>
      <c r="I1134" s="219" t="s">
        <v>1237</v>
      </c>
      <c r="J1134" s="219"/>
      <c r="K1134" s="219">
        <v>1</v>
      </c>
      <c r="L1134" s="219"/>
      <c r="M1134" s="219"/>
      <c r="N1134" s="219" t="s">
        <v>452</v>
      </c>
      <c r="O1134" s="219" t="s">
        <v>8180</v>
      </c>
      <c r="P1134" s="219"/>
      <c r="Q1134" s="219" t="s">
        <v>24</v>
      </c>
      <c r="R1134" s="219"/>
      <c r="S1134" s="219" t="str">
        <f>IFERROR(VLOOKUP(B1134,'2022-2023 Third Reviews'!$C:$S,9,FALSE),"")</f>
        <v/>
      </c>
      <c r="T1134" s="219"/>
      <c r="U1134" s="219"/>
      <c r="V1134" s="306"/>
      <c r="W1134" s="306"/>
      <c r="X1134" s="306"/>
      <c r="Y1134" s="306"/>
      <c r="Z1134" s="306"/>
      <c r="AA1134" s="306"/>
      <c r="AB1134" s="306"/>
      <c r="AC1134" s="306"/>
    </row>
    <row r="1135" spans="1:29" ht="15.75" hidden="1" customHeight="1">
      <c r="A1135" s="267">
        <v>44784</v>
      </c>
      <c r="B1135" s="272" t="s">
        <v>3206</v>
      </c>
      <c r="C1135" s="269">
        <v>2.5</v>
      </c>
      <c r="D1135" s="272" t="s">
        <v>3209</v>
      </c>
      <c r="E1135" s="270" t="s">
        <v>5</v>
      </c>
      <c r="F1135" s="272" t="s">
        <v>447</v>
      </c>
      <c r="G1135" s="272" t="s">
        <v>10640</v>
      </c>
      <c r="H1135" s="272">
        <v>2</v>
      </c>
      <c r="I1135" s="272" t="s">
        <v>449</v>
      </c>
      <c r="J1135" s="272" t="s">
        <v>11597</v>
      </c>
      <c r="K1135" s="272">
        <v>3</v>
      </c>
      <c r="L1135" s="272" t="s">
        <v>451</v>
      </c>
      <c r="M1135" s="273">
        <v>3000000</v>
      </c>
      <c r="N1135" s="272" t="s">
        <v>452</v>
      </c>
      <c r="O1135" s="273" t="s">
        <v>452</v>
      </c>
      <c r="P1135" s="272" t="s">
        <v>3212</v>
      </c>
      <c r="Q1135" s="272" t="s">
        <v>24</v>
      </c>
      <c r="R1135" s="274"/>
      <c r="S1135" s="274"/>
      <c r="T1135" s="274"/>
      <c r="U1135" s="274"/>
      <c r="V1135" s="272"/>
      <c r="W1135" s="272"/>
      <c r="X1135" s="272"/>
      <c r="Y1135" s="272"/>
      <c r="Z1135" s="272"/>
      <c r="AA1135" s="224"/>
      <c r="AB1135" s="224"/>
      <c r="AC1135" s="224"/>
    </row>
    <row r="1136" spans="1:29" ht="15.75" customHeight="1">
      <c r="A1136" s="398">
        <v>44784</v>
      </c>
      <c r="B1136" s="268" t="s">
        <v>8183</v>
      </c>
      <c r="C1136" s="269">
        <v>1</v>
      </c>
      <c r="D1136" s="268" t="s">
        <v>8186</v>
      </c>
      <c r="E1136" s="270" t="s">
        <v>4</v>
      </c>
      <c r="F1136" s="268" t="s">
        <v>602</v>
      </c>
      <c r="G1136" s="268" t="s">
        <v>8187</v>
      </c>
      <c r="H1136" s="268">
        <v>1</v>
      </c>
      <c r="I1136" s="268" t="s">
        <v>476</v>
      </c>
      <c r="J1136" s="268" t="s">
        <v>11465</v>
      </c>
      <c r="K1136" s="268">
        <v>1</v>
      </c>
      <c r="L1136" s="268" t="s">
        <v>451</v>
      </c>
      <c r="M1136" s="268" t="s">
        <v>8189</v>
      </c>
      <c r="N1136" s="268" t="s">
        <v>452</v>
      </c>
      <c r="O1136" s="268" t="s">
        <v>8190</v>
      </c>
      <c r="P1136" s="268"/>
      <c r="Q1136" s="268" t="s">
        <v>24</v>
      </c>
      <c r="R1136" s="268"/>
      <c r="S1136" s="268" t="str">
        <f>IFERROR(VLOOKUP(B1136,'2022-2023 Third Reviews'!$C:$S,9,FALSE),"")</f>
        <v/>
      </c>
      <c r="T1136" s="268" t="s">
        <v>13282</v>
      </c>
      <c r="U1136" s="268"/>
      <c r="V1136" s="219"/>
      <c r="W1136" s="219"/>
      <c r="X1136" s="219"/>
      <c r="Y1136" s="219"/>
      <c r="Z1136" s="219"/>
      <c r="AA1136" s="219"/>
      <c r="AB1136" s="219"/>
      <c r="AC1136" s="219"/>
    </row>
    <row r="1137" spans="1:29" ht="15.75" hidden="1" customHeight="1">
      <c r="A1137" s="253">
        <v>44782</v>
      </c>
      <c r="B1137" s="224" t="s">
        <v>119</v>
      </c>
      <c r="C1137" s="249">
        <v>4.25</v>
      </c>
      <c r="D1137" s="224" t="s">
        <v>855</v>
      </c>
      <c r="E1137" s="250" t="s">
        <v>5</v>
      </c>
      <c r="F1137" s="224" t="s">
        <v>447</v>
      </c>
      <c r="G1137" s="224" t="s">
        <v>10635</v>
      </c>
      <c r="H1137" s="224">
        <v>4.5</v>
      </c>
      <c r="I1137" s="224" t="s">
        <v>543</v>
      </c>
      <c r="J1137" s="224" t="s">
        <v>13400</v>
      </c>
      <c r="K1137" s="224">
        <v>4</v>
      </c>
      <c r="L1137" s="224" t="s">
        <v>451</v>
      </c>
      <c r="M1137" s="224">
        <v>2000000</v>
      </c>
      <c r="N1137" s="224" t="s">
        <v>452</v>
      </c>
      <c r="O1137" s="224" t="s">
        <v>858</v>
      </c>
      <c r="P1137" s="224" t="s">
        <v>859</v>
      </c>
      <c r="Q1137" s="224" t="s">
        <v>18</v>
      </c>
      <c r="R1137" s="254"/>
      <c r="S1137" s="254"/>
      <c r="T1137" s="254"/>
      <c r="U1137" s="254"/>
      <c r="V1137" s="252"/>
      <c r="W1137" s="252"/>
      <c r="X1137" s="252"/>
      <c r="Y1137" s="224"/>
      <c r="Z1137" s="224"/>
      <c r="AA1137" s="224"/>
      <c r="AB1137" s="224"/>
      <c r="AC1137" s="224"/>
    </row>
    <row r="1138" spans="1:29" ht="15.75" hidden="1" customHeight="1">
      <c r="A1138" s="248">
        <v>44789</v>
      </c>
      <c r="B1138" s="219" t="s">
        <v>3215</v>
      </c>
      <c r="C1138" s="249">
        <v>3.25</v>
      </c>
      <c r="D1138" s="219" t="s">
        <v>10744</v>
      </c>
      <c r="E1138" s="250" t="s">
        <v>5</v>
      </c>
      <c r="F1138" s="219" t="s">
        <v>447</v>
      </c>
      <c r="G1138" s="219" t="s">
        <v>10745</v>
      </c>
      <c r="H1138" s="219">
        <v>3</v>
      </c>
      <c r="I1138" s="219" t="s">
        <v>543</v>
      </c>
      <c r="J1138" s="219" t="e">
        <f>+ Creates inspection robots for inaccessible places.
+small scale prototype in place
- Pilot is not in place and MVP should be started
- lot of work is already being done in terms of autonomous monitoring or remote monitoring of gas pipelines in arteria service-based company
+a robot that can switch between rolling on the ground or flying</f>
        <v>#NAME?</v>
      </c>
      <c r="K1138" s="219">
        <v>3.5</v>
      </c>
      <c r="L1138" s="219"/>
      <c r="M1138" s="219"/>
      <c r="N1138" s="219" t="s">
        <v>452</v>
      </c>
      <c r="O1138" s="219" t="s">
        <v>3221</v>
      </c>
      <c r="P1138" s="219"/>
      <c r="Q1138" s="219" t="s">
        <v>24</v>
      </c>
      <c r="R1138" s="251"/>
      <c r="S1138" s="251"/>
      <c r="T1138" s="251"/>
      <c r="U1138" s="251"/>
      <c r="V1138" s="252"/>
      <c r="W1138" s="252"/>
      <c r="X1138" s="252"/>
      <c r="Y1138" s="219"/>
      <c r="Z1138" s="219"/>
      <c r="AA1138" s="219"/>
      <c r="AB1138" s="219"/>
      <c r="AC1138" s="219"/>
    </row>
    <row r="1139" spans="1:29" ht="15.75" customHeight="1">
      <c r="A1139" s="253">
        <v>44791</v>
      </c>
      <c r="B1139" s="224" t="s">
        <v>10741</v>
      </c>
      <c r="C1139" s="316">
        <v>1</v>
      </c>
      <c r="D1139" s="224" t="s">
        <v>8196</v>
      </c>
      <c r="E1139" s="224" t="s">
        <v>4</v>
      </c>
      <c r="F1139" s="224" t="s">
        <v>725</v>
      </c>
      <c r="G1139" s="224"/>
      <c r="H1139" s="224">
        <v>1</v>
      </c>
      <c r="I1139" s="224" t="s">
        <v>476</v>
      </c>
      <c r="J1139" s="224" t="s">
        <v>8061</v>
      </c>
      <c r="K1139" s="224">
        <v>1</v>
      </c>
      <c r="L1139" s="224" t="s">
        <v>784</v>
      </c>
      <c r="M1139" s="307">
        <v>400000</v>
      </c>
      <c r="N1139" s="224" t="s">
        <v>452</v>
      </c>
      <c r="O1139" s="224" t="s">
        <v>575</v>
      </c>
      <c r="P1139" s="224" t="s">
        <v>8197</v>
      </c>
      <c r="Q1139" s="322" t="s">
        <v>24</v>
      </c>
      <c r="R1139" s="224"/>
      <c r="S1139" s="224" t="str">
        <f>IFERROR(VLOOKUP(B1139,'2022-2023 Third Reviews'!$C:$S,9,FALSE),"")</f>
        <v/>
      </c>
      <c r="T1139" s="224"/>
      <c r="U1139" s="224"/>
      <c r="V1139" s="224"/>
      <c r="W1139" s="224"/>
      <c r="X1139" s="224"/>
      <c r="Y1139" s="224"/>
      <c r="Z1139" s="224"/>
      <c r="AA1139" s="224"/>
      <c r="AB1139" s="224"/>
      <c r="AC1139" s="224"/>
    </row>
    <row r="1140" spans="1:29" ht="15.75" customHeight="1">
      <c r="A1140" s="248">
        <v>44796</v>
      </c>
      <c r="B1140" s="219" t="s">
        <v>8200</v>
      </c>
      <c r="C1140" s="315">
        <v>1</v>
      </c>
      <c r="D1140" s="219" t="s">
        <v>8203</v>
      </c>
      <c r="E1140" s="219" t="s">
        <v>4</v>
      </c>
      <c r="F1140" s="219" t="s">
        <v>725</v>
      </c>
      <c r="G1140" s="219" t="s">
        <v>8204</v>
      </c>
      <c r="H1140" s="219">
        <v>1</v>
      </c>
      <c r="I1140" s="219" t="s">
        <v>1298</v>
      </c>
      <c r="J1140" s="219" t="s">
        <v>8205</v>
      </c>
      <c r="K1140" s="219">
        <v>1</v>
      </c>
      <c r="L1140" s="219" t="s">
        <v>451</v>
      </c>
      <c r="M1140" s="219" t="s">
        <v>8206</v>
      </c>
      <c r="N1140" s="219" t="s">
        <v>452</v>
      </c>
      <c r="O1140" s="219" t="s">
        <v>8207</v>
      </c>
      <c r="P1140" s="219" t="s">
        <v>8208</v>
      </c>
      <c r="Q1140" s="219" t="s">
        <v>24</v>
      </c>
      <c r="R1140" s="219"/>
      <c r="S1140" s="219" t="str">
        <f>IFERROR(VLOOKUP(B1140,'2022-2023 Third Reviews'!$C:$S,9,FALSE),"")</f>
        <v/>
      </c>
      <c r="T1140" s="219"/>
      <c r="U1140" s="219"/>
      <c r="V1140" s="252"/>
      <c r="W1140" s="252"/>
      <c r="X1140" s="252"/>
      <c r="Y1140" s="219"/>
      <c r="Z1140" s="219"/>
      <c r="AA1140" s="219"/>
      <c r="AB1140" s="219"/>
      <c r="AC1140" s="219"/>
    </row>
    <row r="1141" spans="1:29" ht="15.75" hidden="1" customHeight="1">
      <c r="A1141" s="253">
        <v>44789</v>
      </c>
      <c r="B1141" s="224" t="s">
        <v>3224</v>
      </c>
      <c r="C1141" s="249">
        <v>3</v>
      </c>
      <c r="D1141" s="224" t="s">
        <v>3227</v>
      </c>
      <c r="E1141" s="250" t="s">
        <v>5</v>
      </c>
      <c r="F1141" s="224" t="s">
        <v>447</v>
      </c>
      <c r="G1141" s="224" t="s">
        <v>11496</v>
      </c>
      <c r="H1141" s="224">
        <v>3</v>
      </c>
      <c r="I1141" s="224" t="s">
        <v>449</v>
      </c>
      <c r="J1141" s="224" t="e">
        <f>+Credible founder
+Novel technology
-Might be to early for EFL</f>
        <v>#NAME?</v>
      </c>
      <c r="K1141" s="224">
        <v>3</v>
      </c>
      <c r="L1141" s="224"/>
      <c r="M1141" s="224"/>
      <c r="N1141" s="224" t="s">
        <v>452</v>
      </c>
      <c r="O1141" s="224" t="s">
        <v>3230</v>
      </c>
      <c r="P1141" s="224" t="s">
        <v>3231</v>
      </c>
      <c r="Q1141" s="224" t="s">
        <v>24</v>
      </c>
      <c r="R1141" s="254"/>
      <c r="S1141" s="254"/>
      <c r="T1141" s="254"/>
      <c r="U1141" s="254"/>
      <c r="V1141" s="252"/>
      <c r="W1141" s="252"/>
      <c r="X1141" s="252"/>
      <c r="Y1141" s="224"/>
      <c r="Z1141" s="224"/>
      <c r="AA1141" s="224"/>
      <c r="AB1141" s="224"/>
      <c r="AC1141" s="224"/>
    </row>
    <row r="1142" spans="1:29" ht="15.75" hidden="1" customHeight="1">
      <c r="A1142" s="257">
        <v>44796</v>
      </c>
      <c r="B1142" s="258" t="s">
        <v>9899</v>
      </c>
      <c r="C1142" s="263">
        <v>3.75</v>
      </c>
      <c r="D1142" s="258" t="s">
        <v>9902</v>
      </c>
      <c r="E1142" s="258" t="s">
        <v>3</v>
      </c>
      <c r="F1142" s="258" t="s">
        <v>460</v>
      </c>
      <c r="G1142" s="258" t="s">
        <v>9903</v>
      </c>
      <c r="H1142" s="258">
        <v>3.5</v>
      </c>
      <c r="I1142" s="258" t="s">
        <v>462</v>
      </c>
      <c r="J1142" s="258" t="s">
        <v>9904</v>
      </c>
      <c r="K1142" s="258">
        <v>4</v>
      </c>
      <c r="L1142" s="258" t="s">
        <v>478</v>
      </c>
      <c r="M1142" s="258" t="s">
        <v>4966</v>
      </c>
      <c r="N1142" s="258" t="s">
        <v>465</v>
      </c>
      <c r="O1142" s="258" t="s">
        <v>9905</v>
      </c>
      <c r="P1142" s="258" t="s">
        <v>9906</v>
      </c>
      <c r="Q1142" s="258" t="s">
        <v>23</v>
      </c>
      <c r="R1142" s="259" t="s">
        <v>9907</v>
      </c>
      <c r="S1142" s="259"/>
      <c r="T1142" s="259"/>
      <c r="U1142" s="259"/>
      <c r="V1142" s="258"/>
      <c r="W1142" s="258"/>
      <c r="X1142" s="258"/>
      <c r="Y1142" s="258"/>
      <c r="Z1142" s="258"/>
      <c r="AA1142" s="258"/>
      <c r="AB1142" s="258"/>
      <c r="AC1142" s="258"/>
    </row>
    <row r="1143" spans="1:29" ht="15.75" hidden="1" customHeight="1">
      <c r="A1143" s="220">
        <v>44776</v>
      </c>
      <c r="B1143" s="221" t="s">
        <v>136</v>
      </c>
      <c r="C1143" s="240">
        <v>3.5</v>
      </c>
      <c r="D1143" s="221" t="s">
        <v>3235</v>
      </c>
      <c r="E1143" s="244" t="s">
        <v>5</v>
      </c>
      <c r="F1143" s="221" t="s">
        <v>447</v>
      </c>
      <c r="G1143" s="221" t="e">
        <f>+ the Team has a good understanding of the problem and has the right structure of people with diverse backgrounds
- need more info on how They can challenge the existing systems and sustain in the market</f>
        <v>#NAME?</v>
      </c>
      <c r="H1143" s="221">
        <v>3</v>
      </c>
      <c r="I1143" s="221" t="s">
        <v>476</v>
      </c>
      <c r="J1143" s="221" t="s">
        <v>11481</v>
      </c>
      <c r="K1143" s="221">
        <v>4</v>
      </c>
      <c r="L1143" s="221" t="s">
        <v>451</v>
      </c>
      <c r="M1143" s="221">
        <v>500000</v>
      </c>
      <c r="N1143" s="221" t="s">
        <v>452</v>
      </c>
      <c r="O1143" s="221" t="s">
        <v>11482</v>
      </c>
      <c r="P1143" s="145"/>
      <c r="Q1143" s="221" t="str">
        <f t="array" ref="Q1143">INDEX(Notes!B:B,MATCH($B1143,Notes!$A:$A,0))</f>
        <v>Revisit</v>
      </c>
      <c r="R1143" s="223" t="s">
        <v>3239</v>
      </c>
      <c r="S1143" s="223"/>
      <c r="T1143" s="223"/>
      <c r="U1143" s="223"/>
      <c r="V1143" s="218"/>
      <c r="W1143" s="218"/>
      <c r="X1143" s="218"/>
      <c r="Y1143" s="224"/>
      <c r="Z1143" s="224"/>
      <c r="AA1143" s="224"/>
      <c r="AB1143" s="224"/>
      <c r="AC1143" s="224"/>
    </row>
    <row r="1144" spans="1:29" ht="15.75" customHeight="1">
      <c r="A1144" s="248">
        <v>44796</v>
      </c>
      <c r="B1144" s="219" t="s">
        <v>8210</v>
      </c>
      <c r="C1144" s="315">
        <v>1</v>
      </c>
      <c r="D1144" s="219" t="s">
        <v>8213</v>
      </c>
      <c r="E1144" s="219" t="s">
        <v>4</v>
      </c>
      <c r="F1144" s="219" t="s">
        <v>1045</v>
      </c>
      <c r="G1144" s="219" t="s">
        <v>8214</v>
      </c>
      <c r="H1144" s="219">
        <v>1</v>
      </c>
      <c r="I1144" s="219" t="s">
        <v>1298</v>
      </c>
      <c r="J1144" s="219" t="s">
        <v>8215</v>
      </c>
      <c r="K1144" s="219">
        <v>1</v>
      </c>
      <c r="L1144" s="219" t="s">
        <v>784</v>
      </c>
      <c r="M1144" s="310">
        <v>2500000</v>
      </c>
      <c r="N1144" s="219" t="s">
        <v>452</v>
      </c>
      <c r="O1144" s="219" t="s">
        <v>8216</v>
      </c>
      <c r="P1144" s="219" t="s">
        <v>725</v>
      </c>
      <c r="Q1144" s="219" t="s">
        <v>24</v>
      </c>
      <c r="R1144" s="219"/>
      <c r="S1144" s="219" t="str">
        <f>IFERROR(VLOOKUP(B1144,'2022-2023 Third Reviews'!$C:$S,9,FALSE),"")</f>
        <v/>
      </c>
      <c r="T1144" s="219"/>
      <c r="U1144" s="219"/>
      <c r="V1144" s="219"/>
      <c r="W1144" s="219"/>
      <c r="X1144" s="219"/>
      <c r="Y1144" s="219"/>
      <c r="Z1144" s="219"/>
      <c r="AA1144" s="219"/>
      <c r="AB1144" s="219"/>
      <c r="AC1144" s="219"/>
    </row>
    <row r="1145" spans="1:29" ht="15.75" customHeight="1">
      <c r="A1145" s="253">
        <v>44796</v>
      </c>
      <c r="B1145" s="224" t="s">
        <v>8218</v>
      </c>
      <c r="C1145" s="316">
        <v>1</v>
      </c>
      <c r="D1145" s="224" t="s">
        <v>8221</v>
      </c>
      <c r="E1145" s="224" t="s">
        <v>4</v>
      </c>
      <c r="F1145" s="224" t="s">
        <v>727</v>
      </c>
      <c r="G1145" s="224" t="s">
        <v>10514</v>
      </c>
      <c r="H1145" s="224">
        <v>1</v>
      </c>
      <c r="I1145" s="224" t="s">
        <v>1298</v>
      </c>
      <c r="J1145" s="224" t="s">
        <v>8223</v>
      </c>
      <c r="K1145" s="224">
        <v>1</v>
      </c>
      <c r="L1145" s="224"/>
      <c r="M1145" s="224"/>
      <c r="N1145" s="224" t="s">
        <v>454</v>
      </c>
      <c r="O1145" s="224" t="s">
        <v>8224</v>
      </c>
      <c r="P1145" s="224"/>
      <c r="Q1145" s="224" t="s">
        <v>24</v>
      </c>
      <c r="R1145" s="224"/>
      <c r="S1145" s="224" t="str">
        <f>IFERROR(VLOOKUP(B1145,'2022-2023 Third Reviews'!$C:$S,9,FALSE),"")</f>
        <v/>
      </c>
      <c r="T1145" s="224"/>
      <c r="U1145" s="224"/>
      <c r="V1145" s="252"/>
      <c r="W1145" s="252"/>
      <c r="X1145" s="252"/>
      <c r="Y1145" s="224"/>
      <c r="Z1145" s="224"/>
      <c r="AA1145" s="224"/>
      <c r="AB1145" s="224"/>
      <c r="AC1145" s="224"/>
    </row>
    <row r="1146" spans="1:29" ht="15.75" hidden="1" customHeight="1">
      <c r="A1146" s="212">
        <v>44776</v>
      </c>
      <c r="B1146" s="213" t="s">
        <v>137</v>
      </c>
      <c r="C1146" s="240">
        <v>3.5</v>
      </c>
      <c r="D1146" s="213" t="s">
        <v>11212</v>
      </c>
      <c r="E1146" s="244" t="s">
        <v>5</v>
      </c>
      <c r="F1146" s="213" t="s">
        <v>622</v>
      </c>
      <c r="G1146" s="213" t="s">
        <v>11213</v>
      </c>
      <c r="H1146" s="213">
        <v>3</v>
      </c>
      <c r="I1146" s="213" t="s">
        <v>449</v>
      </c>
      <c r="J1146" s="213" t="e">
        <f>+the Team is very Credible and passionate
+the small satellite launch market is growing
+They need funding
-their engine design is not mature</f>
        <v>#NAME?</v>
      </c>
      <c r="K1146" s="213">
        <v>4</v>
      </c>
      <c r="L1146" s="213" t="s">
        <v>478</v>
      </c>
      <c r="M1146" s="225">
        <v>2000000</v>
      </c>
      <c r="N1146" s="213" t="s">
        <v>465</v>
      </c>
      <c r="O1146" s="213" t="s">
        <v>3247</v>
      </c>
      <c r="P1146" s="143"/>
      <c r="Q1146" s="213" t="str">
        <f t="array" ref="Q1146">INDEX(Notes!B:B,MATCH($B1146,Notes!$A:$A,0))</f>
        <v>Revisit</v>
      </c>
      <c r="R1146" s="226" t="s">
        <v>2747</v>
      </c>
      <c r="S1146" s="226"/>
      <c r="T1146" s="226"/>
      <c r="U1146" s="226"/>
      <c r="V1146" s="218"/>
      <c r="W1146" s="218"/>
      <c r="X1146" s="218"/>
      <c r="Y1146" s="219"/>
      <c r="Z1146" s="219"/>
      <c r="AA1146" s="219"/>
      <c r="AB1146" s="219"/>
      <c r="AC1146" s="219"/>
    </row>
    <row r="1147" spans="1:29" ht="15.75" hidden="1" customHeight="1">
      <c r="A1147" s="541">
        <v>44796</v>
      </c>
      <c r="B1147" s="306" t="s">
        <v>246</v>
      </c>
      <c r="C1147" s="542"/>
      <c r="D1147" s="306" t="s">
        <v>1437</v>
      </c>
      <c r="E1147" s="306" t="s">
        <v>3</v>
      </c>
      <c r="F1147" s="306" t="s">
        <v>460</v>
      </c>
      <c r="G1147" s="306" t="s">
        <v>13232</v>
      </c>
      <c r="H1147" s="306"/>
      <c r="I1147" s="306" t="s">
        <v>462</v>
      </c>
      <c r="J1147" s="306" t="s">
        <v>1439</v>
      </c>
      <c r="K1147" s="306">
        <v>4</v>
      </c>
      <c r="L1147" s="306" t="s">
        <v>451</v>
      </c>
      <c r="M1147" s="545">
        <v>2000000</v>
      </c>
      <c r="N1147" s="306" t="s">
        <v>452</v>
      </c>
      <c r="O1147" s="306" t="s">
        <v>1440</v>
      </c>
      <c r="P1147" s="306"/>
      <c r="Q1147" s="306"/>
      <c r="R1147" s="543"/>
      <c r="S1147" s="543"/>
      <c r="T1147" s="543"/>
      <c r="U1147" s="543"/>
      <c r="V1147" s="224"/>
      <c r="W1147" s="224"/>
      <c r="X1147" s="224"/>
      <c r="Y1147" s="224"/>
      <c r="Z1147" s="224"/>
      <c r="AA1147" s="224"/>
      <c r="AB1147" s="224"/>
      <c r="AC1147" s="224"/>
    </row>
    <row r="1148" spans="1:29" ht="15.75" hidden="1" customHeight="1">
      <c r="A1148" s="280">
        <v>44784</v>
      </c>
      <c r="B1148" s="281" t="s">
        <v>386</v>
      </c>
      <c r="C1148" s="282">
        <v>3.75</v>
      </c>
      <c r="D1148" s="281" t="s">
        <v>10063</v>
      </c>
      <c r="E1148" s="281" t="s">
        <v>5</v>
      </c>
      <c r="F1148" s="281" t="s">
        <v>447</v>
      </c>
      <c r="G1148" s="281" t="s">
        <v>10380</v>
      </c>
      <c r="H1148" s="281">
        <v>3.5</v>
      </c>
      <c r="I1148" s="281" t="s">
        <v>622</v>
      </c>
      <c r="J1148" s="281" t="s">
        <v>10065</v>
      </c>
      <c r="K1148" s="281">
        <v>4</v>
      </c>
      <c r="L1148" s="281" t="s">
        <v>478</v>
      </c>
      <c r="M1148" s="281" t="s">
        <v>10066</v>
      </c>
      <c r="N1148" s="281" t="s">
        <v>452</v>
      </c>
      <c r="O1148" s="281" t="s">
        <v>10381</v>
      </c>
      <c r="P1148" s="281"/>
      <c r="Q1148" s="281" t="s">
        <v>20</v>
      </c>
      <c r="R1148" s="283" t="s">
        <v>10068</v>
      </c>
      <c r="S1148" s="283"/>
      <c r="T1148" s="283"/>
      <c r="U1148" s="283"/>
      <c r="V1148" s="281"/>
      <c r="W1148" s="281"/>
      <c r="X1148" s="281"/>
      <c r="Y1148" s="281"/>
      <c r="Z1148" s="281"/>
      <c r="AA1148" s="258"/>
      <c r="AB1148" s="258"/>
      <c r="AC1148" s="258"/>
    </row>
    <row r="1149" spans="1:29" ht="15.75" customHeight="1">
      <c r="A1149" s="253">
        <v>44791</v>
      </c>
      <c r="B1149" s="224" t="s">
        <v>8227</v>
      </c>
      <c r="C1149" s="316">
        <v>1</v>
      </c>
      <c r="D1149" s="224" t="s">
        <v>8230</v>
      </c>
      <c r="E1149" s="224" t="s">
        <v>4</v>
      </c>
      <c r="F1149" s="224" t="s">
        <v>725</v>
      </c>
      <c r="G1149" s="224" t="s">
        <v>10356</v>
      </c>
      <c r="H1149" s="224">
        <v>1</v>
      </c>
      <c r="I1149" s="224" t="s">
        <v>1045</v>
      </c>
      <c r="J1149" s="224" t="s">
        <v>8232</v>
      </c>
      <c r="K1149" s="224">
        <v>1</v>
      </c>
      <c r="L1149" s="224" t="s">
        <v>784</v>
      </c>
      <c r="M1149" s="307">
        <v>200000</v>
      </c>
      <c r="N1149" s="224" t="s">
        <v>465</v>
      </c>
      <c r="O1149" s="224" t="s">
        <v>8233</v>
      </c>
      <c r="P1149" s="224"/>
      <c r="Q1149" s="322" t="s">
        <v>24</v>
      </c>
      <c r="R1149" s="224"/>
      <c r="S1149" s="224" t="str">
        <f>IFERROR(VLOOKUP(B1149,'2022-2023 Third Reviews'!$C:$S,9,FALSE),"")</f>
        <v/>
      </c>
      <c r="T1149" s="224"/>
      <c r="U1149" s="224"/>
      <c r="V1149" s="224"/>
      <c r="W1149" s="224"/>
      <c r="X1149" s="224"/>
      <c r="Y1149" s="224"/>
      <c r="Z1149" s="224"/>
      <c r="AA1149" s="224"/>
      <c r="AB1149" s="224"/>
      <c r="AC1149" s="224"/>
    </row>
    <row r="1150" spans="1:29" ht="15.75" customHeight="1">
      <c r="A1150" s="248">
        <v>44791</v>
      </c>
      <c r="B1150" s="219" t="s">
        <v>8236</v>
      </c>
      <c r="C1150" s="315">
        <v>1</v>
      </c>
      <c r="D1150" s="219" t="s">
        <v>8239</v>
      </c>
      <c r="E1150" s="219" t="s">
        <v>4</v>
      </c>
      <c r="F1150" s="219" t="s">
        <v>727</v>
      </c>
      <c r="G1150" s="219"/>
      <c r="H1150" s="219">
        <v>1</v>
      </c>
      <c r="I1150" s="219" t="s">
        <v>1298</v>
      </c>
      <c r="J1150" s="219" t="s">
        <v>8240</v>
      </c>
      <c r="K1150" s="219">
        <v>1</v>
      </c>
      <c r="L1150" s="219"/>
      <c r="M1150" s="219"/>
      <c r="N1150" s="219" t="s">
        <v>465</v>
      </c>
      <c r="O1150" s="219" t="s">
        <v>8241</v>
      </c>
      <c r="P1150" s="219" t="s">
        <v>8242</v>
      </c>
      <c r="Q1150" s="322" t="s">
        <v>24</v>
      </c>
      <c r="R1150" s="219"/>
      <c r="S1150" s="219" t="str">
        <f>IFERROR(VLOOKUP(B1150,'2022-2023 Third Reviews'!$C:$S,9,FALSE),"")</f>
        <v/>
      </c>
      <c r="T1150" s="219"/>
      <c r="U1150" s="219"/>
      <c r="V1150" s="219"/>
      <c r="W1150" s="219"/>
      <c r="X1150" s="219"/>
      <c r="Y1150" s="219"/>
      <c r="Z1150" s="219"/>
      <c r="AA1150" s="219"/>
      <c r="AB1150" s="219"/>
      <c r="AC1150" s="219"/>
    </row>
    <row r="1151" spans="1:29" ht="15.75" customHeight="1">
      <c r="A1151" s="253">
        <v>44797</v>
      </c>
      <c r="B1151" s="224" t="s">
        <v>8245</v>
      </c>
      <c r="C1151" s="316">
        <v>1</v>
      </c>
      <c r="D1151" s="224" t="s">
        <v>8248</v>
      </c>
      <c r="E1151" s="224" t="s">
        <v>4</v>
      </c>
      <c r="F1151" s="224" t="s">
        <v>447</v>
      </c>
      <c r="G1151" s="224" t="s">
        <v>10295</v>
      </c>
      <c r="H1151" s="224">
        <v>1</v>
      </c>
      <c r="I1151" s="224" t="s">
        <v>1371</v>
      </c>
      <c r="J1151" s="224" t="s">
        <v>8250</v>
      </c>
      <c r="K1151" s="224">
        <v>1</v>
      </c>
      <c r="L1151" s="224" t="s">
        <v>451</v>
      </c>
      <c r="M1151" s="224" t="s">
        <v>8189</v>
      </c>
      <c r="N1151" s="224" t="s">
        <v>452</v>
      </c>
      <c r="O1151" s="224" t="s">
        <v>10296</v>
      </c>
      <c r="P1151" s="224"/>
      <c r="Q1151" s="224" t="s">
        <v>24</v>
      </c>
      <c r="R1151" s="224"/>
      <c r="S1151" s="224" t="str">
        <f>IFERROR(VLOOKUP(B1151,'2022-2023 Third Reviews'!$C:$S,9,FALSE),"")</f>
        <v/>
      </c>
      <c r="T1151" s="224"/>
      <c r="U1151" s="224"/>
      <c r="V1151" s="252"/>
      <c r="W1151" s="252"/>
      <c r="X1151" s="252"/>
      <c r="Y1151" s="224"/>
      <c r="Z1151" s="224"/>
      <c r="AA1151" s="224"/>
      <c r="AB1151" s="224"/>
      <c r="AC1151" s="224"/>
    </row>
    <row r="1152" spans="1:29" ht="15.75" customHeight="1">
      <c r="A1152" s="398">
        <v>44784</v>
      </c>
      <c r="B1152" s="268" t="s">
        <v>8254</v>
      </c>
      <c r="C1152" s="269">
        <v>1</v>
      </c>
      <c r="D1152" s="268" t="s">
        <v>8257</v>
      </c>
      <c r="E1152" s="270" t="s">
        <v>4</v>
      </c>
      <c r="F1152" s="268" t="s">
        <v>602</v>
      </c>
      <c r="G1152" s="268" t="s">
        <v>8258</v>
      </c>
      <c r="H1152" s="268">
        <v>1</v>
      </c>
      <c r="I1152" s="268" t="s">
        <v>1054</v>
      </c>
      <c r="J1152" s="268" t="s">
        <v>8259</v>
      </c>
      <c r="K1152" s="268">
        <v>1</v>
      </c>
      <c r="L1152" s="268"/>
      <c r="M1152" s="268"/>
      <c r="N1152" s="268" t="s">
        <v>452</v>
      </c>
      <c r="O1152" s="268" t="s">
        <v>8260</v>
      </c>
      <c r="P1152" s="268"/>
      <c r="Q1152" s="268" t="s">
        <v>24</v>
      </c>
      <c r="R1152" s="268"/>
      <c r="S1152" s="268" t="str">
        <f>IFERROR(VLOOKUP(B1152,'2022-2023 Third Reviews'!$C:$S,9,FALSE),"")</f>
        <v/>
      </c>
      <c r="T1152" s="268"/>
      <c r="U1152" s="268"/>
      <c r="V1152" s="219"/>
      <c r="W1152" s="219"/>
      <c r="X1152" s="219"/>
      <c r="Y1152" s="219"/>
      <c r="Z1152" s="219"/>
      <c r="AA1152" s="219"/>
      <c r="AB1152" s="219"/>
      <c r="AC1152" s="219"/>
    </row>
    <row r="1153" spans="1:29" ht="15.75" customHeight="1">
      <c r="A1153" s="253">
        <v>44796</v>
      </c>
      <c r="B1153" s="224" t="s">
        <v>8263</v>
      </c>
      <c r="C1153" s="316">
        <v>1</v>
      </c>
      <c r="D1153" s="224" t="s">
        <v>10304</v>
      </c>
      <c r="E1153" s="224" t="s">
        <v>4</v>
      </c>
      <c r="F1153" s="224" t="s">
        <v>727</v>
      </c>
      <c r="G1153" s="224" t="s">
        <v>10305</v>
      </c>
      <c r="H1153" s="224">
        <v>1</v>
      </c>
      <c r="I1153" s="224" t="s">
        <v>1371</v>
      </c>
      <c r="J1153" s="224" t="s">
        <v>8268</v>
      </c>
      <c r="K1153" s="224">
        <v>1</v>
      </c>
      <c r="L1153" s="224" t="s">
        <v>784</v>
      </c>
      <c r="M1153" s="224">
        <v>500000</v>
      </c>
      <c r="N1153" s="224" t="s">
        <v>452</v>
      </c>
      <c r="O1153" s="224" t="s">
        <v>10306</v>
      </c>
      <c r="P1153" s="224"/>
      <c r="Q1153" s="224" t="s">
        <v>24</v>
      </c>
      <c r="R1153" s="224"/>
      <c r="S1153" s="224" t="str">
        <f>IFERROR(VLOOKUP(B1153,'2022-2023 Third Reviews'!$C:$S,9,FALSE),"")</f>
        <v/>
      </c>
      <c r="T1153" s="224"/>
      <c r="U1153" s="224"/>
      <c r="V1153" s="252"/>
      <c r="W1153" s="252"/>
      <c r="X1153" s="252"/>
      <c r="Y1153" s="224"/>
      <c r="Z1153" s="224"/>
      <c r="AA1153" s="224"/>
      <c r="AB1153" s="224"/>
      <c r="AC1153" s="224"/>
    </row>
    <row r="1154" spans="1:29" ht="15.75" customHeight="1">
      <c r="A1154" s="248">
        <v>44796</v>
      </c>
      <c r="B1154" s="219" t="s">
        <v>8271</v>
      </c>
      <c r="C1154" s="315">
        <v>1</v>
      </c>
      <c r="D1154" s="219" t="s">
        <v>8274</v>
      </c>
      <c r="E1154" s="219" t="s">
        <v>4</v>
      </c>
      <c r="F1154" s="219" t="s">
        <v>447</v>
      </c>
      <c r="G1154" s="219" t="s">
        <v>11325</v>
      </c>
      <c r="H1154" s="219">
        <v>1</v>
      </c>
      <c r="I1154" s="219" t="s">
        <v>1371</v>
      </c>
      <c r="J1154" s="219" t="s">
        <v>8276</v>
      </c>
      <c r="K1154" s="219">
        <v>1</v>
      </c>
      <c r="L1154" s="219"/>
      <c r="M1154" s="219"/>
      <c r="N1154" s="219" t="s">
        <v>454</v>
      </c>
      <c r="O1154" s="219" t="s">
        <v>452</v>
      </c>
      <c r="P1154" s="219" t="s">
        <v>8277</v>
      </c>
      <c r="Q1154" s="219" t="s">
        <v>24</v>
      </c>
      <c r="R1154" s="219"/>
      <c r="S1154" s="219" t="str">
        <f>IFERROR(VLOOKUP(B1154,'2022-2023 Third Reviews'!$C:$S,9,FALSE),"")</f>
        <v/>
      </c>
      <c r="T1154" s="219"/>
      <c r="U1154" s="219"/>
      <c r="V1154" s="306"/>
      <c r="W1154" s="306"/>
      <c r="X1154" s="306"/>
      <c r="Y1154" s="306"/>
      <c r="Z1154" s="306"/>
      <c r="AA1154" s="306"/>
      <c r="AB1154" s="306"/>
      <c r="AC1154" s="306"/>
    </row>
    <row r="1155" spans="1:29" ht="15.75" customHeight="1">
      <c r="A1155" s="253">
        <v>44796</v>
      </c>
      <c r="B1155" s="224" t="s">
        <v>8280</v>
      </c>
      <c r="C1155" s="316">
        <v>1</v>
      </c>
      <c r="D1155" s="224" t="s">
        <v>8283</v>
      </c>
      <c r="E1155" s="224" t="s">
        <v>4</v>
      </c>
      <c r="F1155" s="224" t="s">
        <v>725</v>
      </c>
      <c r="G1155" s="224" t="s">
        <v>7191</v>
      </c>
      <c r="H1155" s="224">
        <v>1</v>
      </c>
      <c r="I1155" s="224" t="s">
        <v>1371</v>
      </c>
      <c r="J1155" s="224" t="s">
        <v>8284</v>
      </c>
      <c r="K1155" s="224">
        <v>1</v>
      </c>
      <c r="L1155" s="224"/>
      <c r="M1155" s="224"/>
      <c r="N1155" s="224" t="s">
        <v>452</v>
      </c>
      <c r="O1155" s="224" t="s">
        <v>8285</v>
      </c>
      <c r="P1155" s="224"/>
      <c r="Q1155" s="224" t="s">
        <v>24</v>
      </c>
      <c r="R1155" s="224"/>
      <c r="S1155" s="224" t="str">
        <f>IFERROR(VLOOKUP(B1155,'2022-2023 Third Reviews'!$C:$S,9,FALSE),"")</f>
        <v/>
      </c>
      <c r="T1155" s="224"/>
      <c r="U1155" s="224"/>
      <c r="V1155" s="224"/>
      <c r="W1155" s="224"/>
      <c r="X1155" s="224"/>
      <c r="Y1155" s="224"/>
      <c r="Z1155" s="224"/>
      <c r="AA1155" s="224"/>
      <c r="AB1155" s="224"/>
      <c r="AC1155" s="224"/>
    </row>
    <row r="1156" spans="1:29" ht="15.75" hidden="1" customHeight="1">
      <c r="A1156" s="212">
        <v>44776</v>
      </c>
      <c r="B1156" s="213" t="s">
        <v>3250</v>
      </c>
      <c r="C1156" s="214">
        <v>2.5</v>
      </c>
      <c r="D1156" s="213" t="s">
        <v>3253</v>
      </c>
      <c r="E1156" s="215" t="s">
        <v>5</v>
      </c>
      <c r="F1156" s="213" t="s">
        <v>447</v>
      </c>
      <c r="G1156" s="213" t="s">
        <v>3254</v>
      </c>
      <c r="H1156" s="213">
        <v>2</v>
      </c>
      <c r="I1156" s="213" t="s">
        <v>602</v>
      </c>
      <c r="J1156" s="213" t="s">
        <v>3255</v>
      </c>
      <c r="K1156" s="213">
        <v>3</v>
      </c>
      <c r="L1156" s="213" t="s">
        <v>451</v>
      </c>
      <c r="M1156" s="213" t="s">
        <v>3256</v>
      </c>
      <c r="N1156" s="213" t="s">
        <v>452</v>
      </c>
      <c r="O1156" s="213" t="s">
        <v>452</v>
      </c>
      <c r="P1156" s="143"/>
      <c r="Q1156" s="213" t="s">
        <v>24</v>
      </c>
      <c r="R1156" s="226">
        <f t="array" ref="R1156">INDEX(Notes!C:C,MATCH($B1156,Notes!$A:$A,0))</f>
        <v>0</v>
      </c>
      <c r="S1156" s="226"/>
      <c r="T1156" s="226"/>
      <c r="U1156" s="226"/>
      <c r="V1156" s="218"/>
      <c r="W1156" s="218"/>
      <c r="X1156" s="218"/>
      <c r="Y1156" s="219"/>
      <c r="Z1156" s="219"/>
      <c r="AA1156" s="219"/>
      <c r="AB1156" s="219"/>
      <c r="AC1156" s="219"/>
    </row>
    <row r="1157" spans="1:29" ht="15.75" customHeight="1">
      <c r="A1157" s="253">
        <v>44796</v>
      </c>
      <c r="B1157" s="224" t="s">
        <v>8296</v>
      </c>
      <c r="C1157" s="316">
        <v>1</v>
      </c>
      <c r="D1157" s="224" t="s">
        <v>8299</v>
      </c>
      <c r="E1157" s="224" t="s">
        <v>4</v>
      </c>
      <c r="F1157" s="224" t="s">
        <v>725</v>
      </c>
      <c r="G1157" s="224" t="s">
        <v>8300</v>
      </c>
      <c r="H1157" s="224">
        <v>1</v>
      </c>
      <c r="I1157" s="224" t="s">
        <v>1045</v>
      </c>
      <c r="J1157" s="224" t="s">
        <v>8301</v>
      </c>
      <c r="K1157" s="224">
        <v>1</v>
      </c>
      <c r="L1157" s="224"/>
      <c r="M1157" s="224"/>
      <c r="N1157" s="224" t="s">
        <v>465</v>
      </c>
      <c r="O1157" s="224" t="s">
        <v>10767</v>
      </c>
      <c r="P1157" s="224"/>
      <c r="Q1157" s="224" t="s">
        <v>24</v>
      </c>
      <c r="R1157" s="224"/>
      <c r="S1157" s="224" t="str">
        <f>IFERROR(VLOOKUP(B1157,'2022-2023 Third Reviews'!$C:$S,9,FALSE),"")</f>
        <v/>
      </c>
      <c r="T1157" s="224"/>
      <c r="U1157" s="224"/>
      <c r="V1157" s="306"/>
      <c r="W1157" s="306"/>
      <c r="X1157" s="306"/>
      <c r="Y1157" s="306"/>
      <c r="Z1157" s="306"/>
      <c r="AA1157" s="306"/>
      <c r="AB1157" s="306"/>
      <c r="AC1157" s="306"/>
    </row>
    <row r="1158" spans="1:29" ht="15.75" hidden="1" customHeight="1">
      <c r="A1158" s="541">
        <v>44791</v>
      </c>
      <c r="B1158" s="306" t="s">
        <v>345</v>
      </c>
      <c r="C1158" s="542"/>
      <c r="D1158" s="306" t="s">
        <v>1972</v>
      </c>
      <c r="E1158" s="306" t="s">
        <v>3</v>
      </c>
      <c r="F1158" s="306" t="s">
        <v>460</v>
      </c>
      <c r="G1158" s="306"/>
      <c r="H1158" s="306"/>
      <c r="I1158" s="306" t="s">
        <v>462</v>
      </c>
      <c r="J1158" s="306" t="s">
        <v>1974</v>
      </c>
      <c r="K1158" s="306">
        <v>5</v>
      </c>
      <c r="L1158" s="306" t="s">
        <v>478</v>
      </c>
      <c r="M1158" s="306" t="s">
        <v>1975</v>
      </c>
      <c r="N1158" s="306" t="s">
        <v>452</v>
      </c>
      <c r="O1158" s="306" t="s">
        <v>1976</v>
      </c>
      <c r="P1158" s="306" t="s">
        <v>725</v>
      </c>
      <c r="Q1158" s="306"/>
      <c r="R1158" s="543"/>
      <c r="S1158" s="543"/>
      <c r="T1158" s="543"/>
      <c r="U1158" s="543"/>
      <c r="V1158" s="306"/>
      <c r="W1158" s="306"/>
      <c r="X1158" s="306"/>
      <c r="Y1158" s="306"/>
      <c r="Z1158" s="306"/>
      <c r="AA1158" s="306"/>
      <c r="AB1158" s="306"/>
      <c r="AC1158" s="306"/>
    </row>
    <row r="1159" spans="1:29" ht="15.75" hidden="1" customHeight="1">
      <c r="A1159" s="253">
        <v>44791</v>
      </c>
      <c r="B1159" s="224" t="s">
        <v>345</v>
      </c>
      <c r="C1159" s="316">
        <v>4.75</v>
      </c>
      <c r="D1159" s="224" t="s">
        <v>1972</v>
      </c>
      <c r="E1159" s="224" t="s">
        <v>3</v>
      </c>
      <c r="F1159" s="224" t="s">
        <v>460</v>
      </c>
      <c r="G1159" s="224" t="s">
        <v>1973</v>
      </c>
      <c r="H1159" s="224">
        <v>4.5</v>
      </c>
      <c r="I1159" s="224" t="s">
        <v>462</v>
      </c>
      <c r="J1159" s="224" t="s">
        <v>1974</v>
      </c>
      <c r="K1159" s="224">
        <v>5</v>
      </c>
      <c r="L1159" s="224" t="s">
        <v>478</v>
      </c>
      <c r="M1159" s="224" t="s">
        <v>1975</v>
      </c>
      <c r="N1159" s="224" t="s">
        <v>452</v>
      </c>
      <c r="O1159" s="224" t="s">
        <v>1976</v>
      </c>
      <c r="P1159" s="224" t="s">
        <v>725</v>
      </c>
      <c r="Q1159" s="224" t="s">
        <v>18</v>
      </c>
      <c r="R1159" s="254" t="s">
        <v>1977</v>
      </c>
      <c r="S1159" s="254"/>
      <c r="T1159" s="254"/>
      <c r="U1159" s="254"/>
      <c r="V1159" s="224"/>
      <c r="W1159" s="224"/>
      <c r="X1159" s="224"/>
      <c r="Y1159" s="224"/>
      <c r="Z1159" s="224"/>
      <c r="AA1159" s="224"/>
      <c r="AB1159" s="224"/>
      <c r="AC1159" s="224"/>
    </row>
    <row r="1160" spans="1:29" ht="15.75" hidden="1" customHeight="1">
      <c r="A1160" s="276">
        <v>44784</v>
      </c>
      <c r="B1160" s="277" t="s">
        <v>139</v>
      </c>
      <c r="C1160" s="278">
        <v>3.75</v>
      </c>
      <c r="D1160" s="277" t="s">
        <v>10333</v>
      </c>
      <c r="E1160" s="277" t="s">
        <v>5</v>
      </c>
      <c r="F1160" s="277" t="s">
        <v>727</v>
      </c>
      <c r="G1160" s="277" t="s">
        <v>10334</v>
      </c>
      <c r="H1160" s="277">
        <v>3.5</v>
      </c>
      <c r="I1160" s="277" t="s">
        <v>1054</v>
      </c>
      <c r="J1160" s="277" t="s">
        <v>3263</v>
      </c>
      <c r="K1160" s="277">
        <v>4</v>
      </c>
      <c r="L1160" s="277" t="s">
        <v>451</v>
      </c>
      <c r="M1160" s="277" t="s">
        <v>3264</v>
      </c>
      <c r="N1160" s="277" t="s">
        <v>452</v>
      </c>
      <c r="O1160" s="277" t="s">
        <v>452</v>
      </c>
      <c r="P1160" s="277" t="s">
        <v>460</v>
      </c>
      <c r="Q1160" s="277" t="s">
        <v>19</v>
      </c>
      <c r="R1160" s="279" t="s">
        <v>3265</v>
      </c>
      <c r="S1160" s="279"/>
      <c r="T1160" s="279"/>
      <c r="U1160" s="279"/>
      <c r="V1160" s="277"/>
      <c r="W1160" s="277"/>
      <c r="X1160" s="277"/>
      <c r="Y1160" s="277"/>
      <c r="Z1160" s="277"/>
      <c r="AA1160" s="239"/>
      <c r="AB1160" s="239"/>
      <c r="AC1160" s="239"/>
    </row>
    <row r="1161" spans="1:29" ht="15.75" customHeight="1">
      <c r="A1161" s="253">
        <v>44796</v>
      </c>
      <c r="B1161" s="224" t="s">
        <v>8305</v>
      </c>
      <c r="C1161" s="316">
        <v>1</v>
      </c>
      <c r="D1161" s="224"/>
      <c r="E1161" s="224" t="s">
        <v>4</v>
      </c>
      <c r="F1161" s="224" t="s">
        <v>725</v>
      </c>
      <c r="G1161" s="224" t="s">
        <v>11292</v>
      </c>
      <c r="H1161" s="224">
        <v>1</v>
      </c>
      <c r="I1161" s="224" t="s">
        <v>1045</v>
      </c>
      <c r="J1161" s="224" t="s">
        <v>8309</v>
      </c>
      <c r="K1161" s="224">
        <v>1</v>
      </c>
      <c r="L1161" s="224" t="s">
        <v>2190</v>
      </c>
      <c r="M1161" s="224">
        <v>500000</v>
      </c>
      <c r="N1161" s="224" t="s">
        <v>452</v>
      </c>
      <c r="O1161" s="224" t="s">
        <v>8310</v>
      </c>
      <c r="P1161" s="224"/>
      <c r="Q1161" s="224" t="s">
        <v>24</v>
      </c>
      <c r="R1161" s="224"/>
      <c r="S1161" s="224" t="str">
        <f>IFERROR(VLOOKUP(B1161,'2022-2023 Third Reviews'!$C:$S,9,FALSE),"")</f>
        <v/>
      </c>
      <c r="T1161" s="224"/>
      <c r="U1161" s="224"/>
      <c r="V1161" s="224"/>
      <c r="W1161" s="224"/>
      <c r="X1161" s="224"/>
      <c r="Y1161" s="224"/>
      <c r="Z1161" s="224"/>
      <c r="AA1161" s="224"/>
      <c r="AB1161" s="224"/>
      <c r="AC1161" s="224"/>
    </row>
    <row r="1162" spans="1:29" ht="15.75" hidden="1" customHeight="1">
      <c r="A1162" s="541">
        <v>44796</v>
      </c>
      <c r="B1162" s="306" t="s">
        <v>346</v>
      </c>
      <c r="C1162" s="542"/>
      <c r="D1162" s="306" t="s">
        <v>1982</v>
      </c>
      <c r="E1162" s="306" t="s">
        <v>3</v>
      </c>
      <c r="F1162" s="306" t="s">
        <v>488</v>
      </c>
      <c r="G1162" s="306"/>
      <c r="H1162" s="306"/>
      <c r="I1162" s="306" t="s">
        <v>941</v>
      </c>
      <c r="J1162" s="306"/>
      <c r="K1162" s="306"/>
      <c r="L1162" s="306" t="s">
        <v>478</v>
      </c>
      <c r="M1162" s="306">
        <v>6000000</v>
      </c>
      <c r="N1162" s="306" t="s">
        <v>454</v>
      </c>
      <c r="O1162" s="306" t="s">
        <v>452</v>
      </c>
      <c r="P1162" s="306"/>
      <c r="Q1162" s="306"/>
      <c r="R1162" s="543"/>
      <c r="S1162" s="543"/>
      <c r="T1162" s="543"/>
      <c r="U1162" s="543"/>
      <c r="V1162" s="219"/>
      <c r="W1162" s="219"/>
      <c r="X1162" s="219"/>
      <c r="Y1162" s="219"/>
      <c r="Z1162" s="219"/>
      <c r="AA1162" s="219"/>
      <c r="AB1162" s="219"/>
      <c r="AC1162" s="219"/>
    </row>
    <row r="1163" spans="1:29" ht="15.75" hidden="1" customHeight="1">
      <c r="A1163" s="541">
        <v>44797</v>
      </c>
      <c r="B1163" s="306" t="s">
        <v>346</v>
      </c>
      <c r="C1163" s="542"/>
      <c r="D1163" s="306" t="s">
        <v>1982</v>
      </c>
      <c r="E1163" s="306" t="s">
        <v>3</v>
      </c>
      <c r="F1163" s="306" t="s">
        <v>488</v>
      </c>
      <c r="G1163" s="306"/>
      <c r="H1163" s="306"/>
      <c r="I1163" s="306" t="s">
        <v>941</v>
      </c>
      <c r="J1163" s="306"/>
      <c r="K1163" s="306"/>
      <c r="L1163" s="306" t="s">
        <v>478</v>
      </c>
      <c r="M1163" s="306">
        <v>6000000</v>
      </c>
      <c r="N1163" s="306" t="s">
        <v>454</v>
      </c>
      <c r="O1163" s="306" t="s">
        <v>452</v>
      </c>
      <c r="P1163" s="306"/>
      <c r="Q1163" s="306"/>
      <c r="R1163" s="543"/>
      <c r="S1163" s="543"/>
      <c r="T1163" s="543"/>
      <c r="U1163" s="543"/>
      <c r="V1163" s="306"/>
      <c r="W1163" s="306"/>
      <c r="X1163" s="306"/>
      <c r="Y1163" s="306"/>
      <c r="Z1163" s="306"/>
      <c r="AA1163" s="306"/>
      <c r="AB1163" s="306"/>
      <c r="AC1163" s="306"/>
    </row>
    <row r="1164" spans="1:29" ht="15.75" hidden="1" customHeight="1">
      <c r="A1164" s="257">
        <v>44797</v>
      </c>
      <c r="B1164" s="258" t="s">
        <v>346</v>
      </c>
      <c r="C1164" s="263">
        <v>4.25</v>
      </c>
      <c r="D1164" s="258" t="s">
        <v>1982</v>
      </c>
      <c r="E1164" s="258" t="s">
        <v>3</v>
      </c>
      <c r="F1164" s="258" t="s">
        <v>460</v>
      </c>
      <c r="G1164" s="258" t="s">
        <v>1983</v>
      </c>
      <c r="H1164" s="258">
        <v>4.5</v>
      </c>
      <c r="I1164" s="258" t="s">
        <v>941</v>
      </c>
      <c r="J1164" s="258" t="s">
        <v>1984</v>
      </c>
      <c r="K1164" s="258">
        <v>4</v>
      </c>
      <c r="L1164" s="258" t="s">
        <v>478</v>
      </c>
      <c r="M1164" s="258">
        <v>6000000</v>
      </c>
      <c r="N1164" s="258" t="s">
        <v>454</v>
      </c>
      <c r="O1164" s="258" t="s">
        <v>452</v>
      </c>
      <c r="P1164" s="258"/>
      <c r="Q1164" s="258" t="s">
        <v>18</v>
      </c>
      <c r="R1164" s="259" t="s">
        <v>11739</v>
      </c>
      <c r="S1164" s="259"/>
      <c r="T1164" s="259"/>
      <c r="U1164" s="259"/>
      <c r="V1164" s="258"/>
      <c r="W1164" s="258"/>
      <c r="X1164" s="258"/>
      <c r="Y1164" s="258"/>
      <c r="Z1164" s="258"/>
      <c r="AA1164" s="258"/>
      <c r="AB1164" s="258"/>
      <c r="AC1164" s="258"/>
    </row>
    <row r="1165" spans="1:29" ht="15.75" customHeight="1">
      <c r="A1165" s="541">
        <v>44796</v>
      </c>
      <c r="B1165" s="306" t="s">
        <v>177</v>
      </c>
      <c r="C1165" s="542"/>
      <c r="D1165" s="306" t="s">
        <v>3701</v>
      </c>
      <c r="E1165" s="306" t="s">
        <v>4</v>
      </c>
      <c r="F1165" s="306" t="s">
        <v>727</v>
      </c>
      <c r="G1165" s="306"/>
      <c r="H1165" s="306"/>
      <c r="I1165" s="306" t="s">
        <v>990</v>
      </c>
      <c r="J1165" s="306" t="s">
        <v>3703</v>
      </c>
      <c r="K1165" s="306">
        <v>4</v>
      </c>
      <c r="L1165" s="306" t="s">
        <v>451</v>
      </c>
      <c r="M1165" s="544" t="s">
        <v>3704</v>
      </c>
      <c r="N1165" s="306" t="s">
        <v>452</v>
      </c>
      <c r="O1165" s="306" t="s">
        <v>3705</v>
      </c>
      <c r="P1165" s="306"/>
      <c r="Q1165" s="306"/>
      <c r="R1165" s="306"/>
      <c r="S1165" s="306" t="str">
        <f>IFERROR(VLOOKUP(B1165,'2022-2023 Third Reviews'!$C:$S,9,FALSE),"")</f>
        <v/>
      </c>
      <c r="T1165" s="306"/>
      <c r="U1165" s="306"/>
      <c r="V1165" s="224"/>
      <c r="W1165" s="224"/>
      <c r="X1165" s="224"/>
      <c r="Y1165" s="224"/>
      <c r="Z1165" s="224"/>
      <c r="AA1165" s="224"/>
      <c r="AB1165" s="224"/>
      <c r="AC1165" s="224"/>
    </row>
    <row r="1166" spans="1:29" ht="15.75" hidden="1" customHeight="1">
      <c r="A1166" s="541">
        <v>44791</v>
      </c>
      <c r="B1166" s="306" t="s">
        <v>9124</v>
      </c>
      <c r="C1166" s="542"/>
      <c r="D1166" s="306"/>
      <c r="E1166" s="306" t="s">
        <v>3</v>
      </c>
      <c r="F1166" s="306" t="s">
        <v>488</v>
      </c>
      <c r="G1166" s="306"/>
      <c r="H1166" s="306"/>
      <c r="I1166" s="306" t="s">
        <v>941</v>
      </c>
      <c r="J1166" s="306"/>
      <c r="K1166" s="306"/>
      <c r="L1166" s="306" t="s">
        <v>2190</v>
      </c>
      <c r="M1166" s="306">
        <v>3000000</v>
      </c>
      <c r="N1166" s="306" t="s">
        <v>452</v>
      </c>
      <c r="O1166" s="306" t="s">
        <v>9129</v>
      </c>
      <c r="P1166" s="306"/>
      <c r="Q1166" s="306"/>
      <c r="R1166" s="543"/>
      <c r="S1166" s="543"/>
      <c r="T1166" s="543"/>
      <c r="U1166" s="543"/>
      <c r="V1166" s="306"/>
      <c r="W1166" s="306"/>
      <c r="X1166" s="306"/>
      <c r="Y1166" s="306"/>
      <c r="Z1166" s="306"/>
      <c r="AA1166" s="306"/>
      <c r="AB1166" s="306"/>
      <c r="AC1166" s="306"/>
    </row>
    <row r="1167" spans="1:29" ht="15.75" hidden="1" customHeight="1">
      <c r="A1167" s="541">
        <v>44796</v>
      </c>
      <c r="B1167" s="306" t="s">
        <v>9124</v>
      </c>
      <c r="C1167" s="542"/>
      <c r="D1167" s="306"/>
      <c r="E1167" s="306" t="s">
        <v>3</v>
      </c>
      <c r="F1167" s="306" t="s">
        <v>488</v>
      </c>
      <c r="G1167" s="306"/>
      <c r="H1167" s="306"/>
      <c r="I1167" s="306" t="s">
        <v>941</v>
      </c>
      <c r="J1167" s="306"/>
      <c r="K1167" s="306"/>
      <c r="L1167" s="306" t="s">
        <v>2190</v>
      </c>
      <c r="M1167" s="306">
        <v>3000000</v>
      </c>
      <c r="N1167" s="306" t="s">
        <v>452</v>
      </c>
      <c r="O1167" s="306" t="s">
        <v>9129</v>
      </c>
      <c r="P1167" s="306"/>
      <c r="Q1167" s="306"/>
      <c r="R1167" s="543"/>
      <c r="S1167" s="543"/>
      <c r="T1167" s="543"/>
      <c r="U1167" s="543"/>
      <c r="V1167" s="224"/>
      <c r="W1167" s="224"/>
      <c r="X1167" s="224"/>
      <c r="Y1167" s="224"/>
      <c r="Z1167" s="224"/>
      <c r="AA1167" s="224"/>
      <c r="AB1167" s="224"/>
      <c r="AC1167" s="224"/>
    </row>
    <row r="1168" spans="1:29" ht="15.75" hidden="1" customHeight="1">
      <c r="A1168" s="541">
        <v>44797</v>
      </c>
      <c r="B1168" s="306" t="s">
        <v>9124</v>
      </c>
      <c r="C1168" s="542"/>
      <c r="D1168" s="306"/>
      <c r="E1168" s="306" t="s">
        <v>3</v>
      </c>
      <c r="F1168" s="306" t="s">
        <v>488</v>
      </c>
      <c r="G1168" s="306"/>
      <c r="H1168" s="306"/>
      <c r="I1168" s="306" t="s">
        <v>941</v>
      </c>
      <c r="J1168" s="306"/>
      <c r="K1168" s="306"/>
      <c r="L1168" s="306" t="s">
        <v>2190</v>
      </c>
      <c r="M1168" s="306">
        <v>3000000</v>
      </c>
      <c r="N1168" s="306" t="s">
        <v>452</v>
      </c>
      <c r="O1168" s="306" t="s">
        <v>9129</v>
      </c>
      <c r="P1168" s="306"/>
      <c r="Q1168" s="306"/>
      <c r="R1168" s="543"/>
      <c r="S1168" s="543"/>
      <c r="T1168" s="543"/>
      <c r="U1168" s="543"/>
      <c r="V1168" s="306"/>
      <c r="W1168" s="306"/>
      <c r="X1168" s="306"/>
      <c r="Y1168" s="306"/>
      <c r="Z1168" s="306"/>
      <c r="AA1168" s="306"/>
      <c r="AB1168" s="306"/>
      <c r="AC1168" s="306"/>
    </row>
    <row r="1169" spans="1:29" ht="15.75" hidden="1" customHeight="1">
      <c r="A1169" s="253">
        <v>44797</v>
      </c>
      <c r="B1169" s="224" t="s">
        <v>9124</v>
      </c>
      <c r="C1169" s="316">
        <v>2</v>
      </c>
      <c r="D1169" s="224"/>
      <c r="E1169" s="224" t="s">
        <v>3</v>
      </c>
      <c r="F1169" s="224" t="s">
        <v>488</v>
      </c>
      <c r="G1169" s="224" t="s">
        <v>9127</v>
      </c>
      <c r="H1169" s="224">
        <v>2</v>
      </c>
      <c r="I1169" s="224" t="s">
        <v>941</v>
      </c>
      <c r="J1169" s="224" t="s">
        <v>9128</v>
      </c>
      <c r="K1169" s="224">
        <v>2</v>
      </c>
      <c r="L1169" s="224" t="s">
        <v>2190</v>
      </c>
      <c r="M1169" s="224">
        <v>3000000</v>
      </c>
      <c r="N1169" s="224" t="s">
        <v>452</v>
      </c>
      <c r="O1169" s="224" t="s">
        <v>9129</v>
      </c>
      <c r="P1169" s="224"/>
      <c r="Q1169" s="224" t="s">
        <v>24</v>
      </c>
      <c r="R1169" s="254"/>
      <c r="S1169" s="254"/>
      <c r="T1169" s="254"/>
      <c r="U1169" s="254"/>
      <c r="V1169" s="224"/>
      <c r="W1169" s="224"/>
      <c r="X1169" s="224"/>
      <c r="Y1169" s="224"/>
      <c r="Z1169" s="224"/>
      <c r="AA1169" s="224"/>
      <c r="AB1169" s="224"/>
      <c r="AC1169" s="224"/>
    </row>
    <row r="1170" spans="1:29" ht="15.75" hidden="1" customHeight="1">
      <c r="A1170" s="255">
        <v>44789</v>
      </c>
      <c r="B1170" s="239" t="s">
        <v>3268</v>
      </c>
      <c r="C1170" s="262">
        <v>3.5</v>
      </c>
      <c r="D1170" s="239" t="s">
        <v>10808</v>
      </c>
      <c r="E1170" s="239" t="s">
        <v>5</v>
      </c>
      <c r="F1170" s="239" t="s">
        <v>447</v>
      </c>
      <c r="G1170" s="239" t="s">
        <v>10809</v>
      </c>
      <c r="H1170" s="239">
        <v>3.5</v>
      </c>
      <c r="I1170" s="239" t="s">
        <v>543</v>
      </c>
      <c r="J1170" s="239" t="e">
        <f>+combining Lab-on-Chip technology with AI for real-time,
multi-parametric, automated condition monitoring.
- company need more funds and customers as it has full scale ready to use</f>
        <v>#NAME?</v>
      </c>
      <c r="K1170" s="239">
        <v>3.5</v>
      </c>
      <c r="L1170" s="239" t="s">
        <v>451</v>
      </c>
      <c r="M1170" s="314">
        <v>1600000</v>
      </c>
      <c r="N1170" s="239" t="s">
        <v>452</v>
      </c>
      <c r="O1170" s="239" t="s">
        <v>3274</v>
      </c>
      <c r="P1170" s="239"/>
      <c r="Q1170" s="239" t="s">
        <v>24</v>
      </c>
      <c r="R1170" s="256" t="s">
        <v>1477</v>
      </c>
      <c r="S1170" s="256"/>
      <c r="T1170" s="256"/>
      <c r="U1170" s="256"/>
      <c r="V1170" s="239"/>
      <c r="W1170" s="239"/>
      <c r="X1170" s="239"/>
      <c r="Y1170" s="239"/>
      <c r="Z1170" s="239"/>
      <c r="AA1170" s="239"/>
      <c r="AB1170" s="239"/>
      <c r="AC1170" s="239"/>
    </row>
    <row r="1171" spans="1:29" ht="15.75" hidden="1" customHeight="1">
      <c r="A1171" s="255">
        <v>44789</v>
      </c>
      <c r="B1171" s="239" t="s">
        <v>140</v>
      </c>
      <c r="C1171" s="262">
        <v>3.5</v>
      </c>
      <c r="D1171" s="239" t="s">
        <v>9376</v>
      </c>
      <c r="E1171" s="239" t="s">
        <v>5</v>
      </c>
      <c r="F1171" s="239" t="s">
        <v>447</v>
      </c>
      <c r="G1171" s="239" t="s">
        <v>10616</v>
      </c>
      <c r="H1171" s="239">
        <v>3.5</v>
      </c>
      <c r="I1171" s="239" t="s">
        <v>543</v>
      </c>
      <c r="J1171" s="239" t="s">
        <v>11628</v>
      </c>
      <c r="K1171" s="239">
        <v>3.5</v>
      </c>
      <c r="L1171" s="239" t="s">
        <v>923</v>
      </c>
      <c r="M1171" s="314">
        <v>5000000</v>
      </c>
      <c r="N1171" s="239" t="s">
        <v>465</v>
      </c>
      <c r="O1171" s="239" t="s">
        <v>9379</v>
      </c>
      <c r="P1171" s="239" t="s">
        <v>725</v>
      </c>
      <c r="Q1171" s="239" t="s">
        <v>19</v>
      </c>
      <c r="R1171" s="256" t="s">
        <v>1477</v>
      </c>
      <c r="S1171" s="256"/>
      <c r="T1171" s="256"/>
      <c r="U1171" s="256"/>
      <c r="V1171" s="239"/>
      <c r="W1171" s="239"/>
      <c r="X1171" s="239"/>
      <c r="Y1171" s="239"/>
      <c r="Z1171" s="239"/>
      <c r="AA1171" s="239"/>
      <c r="AB1171" s="239"/>
      <c r="AC1171" s="239"/>
    </row>
    <row r="1172" spans="1:29" ht="15.75" customHeight="1">
      <c r="A1172" s="541">
        <v>44796</v>
      </c>
      <c r="B1172" s="306" t="s">
        <v>6940</v>
      </c>
      <c r="C1172" s="542"/>
      <c r="D1172" s="306" t="s">
        <v>6943</v>
      </c>
      <c r="E1172" s="306" t="s">
        <v>4</v>
      </c>
      <c r="F1172" s="306" t="s">
        <v>725</v>
      </c>
      <c r="G1172" s="306"/>
      <c r="H1172" s="306"/>
      <c r="I1172" s="306" t="s">
        <v>1045</v>
      </c>
      <c r="J1172" s="306"/>
      <c r="K1172" s="306"/>
      <c r="L1172" s="306"/>
      <c r="M1172" s="545"/>
      <c r="N1172" s="306" t="s">
        <v>454</v>
      </c>
      <c r="O1172" s="306" t="s">
        <v>452</v>
      </c>
      <c r="P1172" s="306"/>
      <c r="Q1172" s="306"/>
      <c r="R1172" s="306"/>
      <c r="S1172" s="306" t="str">
        <f>IFERROR(VLOOKUP(B1172,'2022-2023 Third Reviews'!$C:$S,9,FALSE),"")</f>
        <v/>
      </c>
      <c r="T1172" s="306"/>
      <c r="U1172" s="306"/>
      <c r="V1172" s="252"/>
      <c r="W1172" s="252"/>
      <c r="X1172" s="252"/>
      <c r="Y1172" s="219"/>
      <c r="Z1172" s="219"/>
      <c r="AA1172" s="219"/>
      <c r="AB1172" s="219"/>
      <c r="AC1172" s="219"/>
    </row>
    <row r="1173" spans="1:29" ht="15.75" hidden="1" customHeight="1">
      <c r="A1173" s="253">
        <v>44791</v>
      </c>
      <c r="B1173" s="224" t="s">
        <v>9132</v>
      </c>
      <c r="C1173" s="316">
        <v>1.5</v>
      </c>
      <c r="D1173" s="224" t="s">
        <v>9135</v>
      </c>
      <c r="E1173" s="224" t="s">
        <v>3</v>
      </c>
      <c r="F1173" s="224" t="s">
        <v>460</v>
      </c>
      <c r="G1173" s="224" t="s">
        <v>9136</v>
      </c>
      <c r="H1173" s="224">
        <v>1</v>
      </c>
      <c r="I1173" s="224" t="s">
        <v>462</v>
      </c>
      <c r="J1173" s="224" t="s">
        <v>9137</v>
      </c>
      <c r="K1173" s="224">
        <v>2</v>
      </c>
      <c r="L1173" s="224"/>
      <c r="M1173" s="224"/>
      <c r="N1173" s="224" t="s">
        <v>454</v>
      </c>
      <c r="O1173" s="224" t="s">
        <v>452</v>
      </c>
      <c r="P1173" s="224" t="s">
        <v>9138</v>
      </c>
      <c r="Q1173" s="322" t="s">
        <v>24</v>
      </c>
      <c r="R1173" s="254"/>
      <c r="S1173" s="254"/>
      <c r="T1173" s="254"/>
      <c r="U1173" s="254"/>
      <c r="V1173" s="224"/>
      <c r="W1173" s="224"/>
      <c r="X1173" s="224"/>
      <c r="Y1173" s="224"/>
      <c r="Z1173" s="224"/>
      <c r="AA1173" s="224"/>
      <c r="AB1173" s="224"/>
      <c r="AC1173" s="224"/>
    </row>
    <row r="1174" spans="1:29" ht="15.75" hidden="1" customHeight="1">
      <c r="A1174" s="255">
        <v>44782</v>
      </c>
      <c r="B1174" s="239" t="s">
        <v>141</v>
      </c>
      <c r="C1174" s="249">
        <v>3.5</v>
      </c>
      <c r="D1174" s="239" t="s">
        <v>11534</v>
      </c>
      <c r="E1174" s="250" t="s">
        <v>5</v>
      </c>
      <c r="F1174" s="239" t="s">
        <v>447</v>
      </c>
      <c r="G1174" s="239" t="s">
        <v>10438</v>
      </c>
      <c r="H1174" s="239">
        <v>3</v>
      </c>
      <c r="I1174" s="239" t="s">
        <v>449</v>
      </c>
      <c r="J1174" s="239" t="s">
        <v>13400</v>
      </c>
      <c r="K1174" s="239">
        <v>4</v>
      </c>
      <c r="L1174" s="239" t="s">
        <v>451</v>
      </c>
      <c r="M1174" s="239">
        <v>1500000</v>
      </c>
      <c r="N1174" s="239" t="s">
        <v>452</v>
      </c>
      <c r="O1174" s="239" t="s">
        <v>9485</v>
      </c>
      <c r="P1174" s="239"/>
      <c r="Q1174" s="239" t="s">
        <v>20</v>
      </c>
      <c r="R1174" s="256" t="s">
        <v>9486</v>
      </c>
      <c r="S1174" s="256"/>
      <c r="T1174" s="256"/>
      <c r="U1174" s="256"/>
      <c r="V1174" s="239"/>
      <c r="W1174" s="239"/>
      <c r="X1174" s="239"/>
      <c r="Y1174" s="239"/>
      <c r="Z1174" s="239"/>
      <c r="AA1174" s="239"/>
      <c r="AB1174" s="239"/>
      <c r="AC1174" s="239"/>
    </row>
    <row r="1175" spans="1:29" ht="15.75" hidden="1" customHeight="1">
      <c r="A1175" s="301">
        <v>44789</v>
      </c>
      <c r="B1175" s="303" t="s">
        <v>383</v>
      </c>
      <c r="C1175" s="269"/>
      <c r="D1175" s="303" t="s">
        <v>9911</v>
      </c>
      <c r="E1175" s="270" t="s">
        <v>3</v>
      </c>
      <c r="F1175" s="303" t="s">
        <v>488</v>
      </c>
      <c r="G1175" s="303"/>
      <c r="H1175" s="303"/>
      <c r="I1175" s="303" t="s">
        <v>941</v>
      </c>
      <c r="J1175" s="303"/>
      <c r="K1175" s="303"/>
      <c r="L1175" s="303"/>
      <c r="M1175" s="303"/>
      <c r="N1175" s="303" t="s">
        <v>465</v>
      </c>
      <c r="O1175" s="303" t="s">
        <v>9914</v>
      </c>
      <c r="P1175" s="303"/>
      <c r="Q1175" s="303"/>
      <c r="R1175" s="305"/>
      <c r="S1175" s="305"/>
      <c r="T1175" s="305"/>
      <c r="U1175" s="305"/>
      <c r="V1175" s="303"/>
      <c r="W1175" s="303"/>
      <c r="X1175" s="303"/>
      <c r="Y1175" s="303"/>
      <c r="Z1175" s="303"/>
      <c r="AA1175" s="306"/>
      <c r="AB1175" s="306"/>
      <c r="AC1175" s="306"/>
    </row>
    <row r="1176" spans="1:29" ht="15.75" hidden="1" customHeight="1">
      <c r="A1176" s="541">
        <v>44791</v>
      </c>
      <c r="B1176" s="306" t="s">
        <v>383</v>
      </c>
      <c r="C1176" s="542"/>
      <c r="D1176" s="306" t="s">
        <v>9911</v>
      </c>
      <c r="E1176" s="306" t="s">
        <v>3</v>
      </c>
      <c r="F1176" s="306" t="s">
        <v>488</v>
      </c>
      <c r="G1176" s="306"/>
      <c r="H1176" s="306"/>
      <c r="I1176" s="306" t="s">
        <v>941</v>
      </c>
      <c r="J1176" s="306"/>
      <c r="K1176" s="306"/>
      <c r="L1176" s="306"/>
      <c r="M1176" s="306"/>
      <c r="N1176" s="306" t="s">
        <v>465</v>
      </c>
      <c r="O1176" s="306" t="s">
        <v>9914</v>
      </c>
      <c r="P1176" s="306"/>
      <c r="Q1176" s="306"/>
      <c r="R1176" s="543"/>
      <c r="S1176" s="543"/>
      <c r="T1176" s="543"/>
      <c r="U1176" s="543"/>
      <c r="V1176" s="306"/>
      <c r="W1176" s="306"/>
      <c r="X1176" s="306"/>
      <c r="Y1176" s="306"/>
      <c r="Z1176" s="306"/>
      <c r="AA1176" s="306"/>
      <c r="AB1176" s="306"/>
      <c r="AC1176" s="306"/>
    </row>
    <row r="1177" spans="1:29" ht="15.75" hidden="1" customHeight="1">
      <c r="A1177" s="257">
        <v>44791</v>
      </c>
      <c r="B1177" s="258" t="s">
        <v>383</v>
      </c>
      <c r="C1177" s="263">
        <v>3.25</v>
      </c>
      <c r="D1177" s="258" t="s">
        <v>9911</v>
      </c>
      <c r="E1177" s="258" t="s">
        <v>3</v>
      </c>
      <c r="F1177" s="258" t="s">
        <v>488</v>
      </c>
      <c r="G1177" s="258" t="s">
        <v>11138</v>
      </c>
      <c r="H1177" s="258">
        <v>3.5</v>
      </c>
      <c r="I1177" s="258" t="s">
        <v>941</v>
      </c>
      <c r="J1177" s="258" t="s">
        <v>9913</v>
      </c>
      <c r="K1177" s="258">
        <v>3</v>
      </c>
      <c r="L1177" s="258"/>
      <c r="M1177" s="258"/>
      <c r="N1177" s="258" t="s">
        <v>465</v>
      </c>
      <c r="O1177" s="258" t="s">
        <v>9914</v>
      </c>
      <c r="P1177" s="258"/>
      <c r="Q1177" s="258" t="s">
        <v>19</v>
      </c>
      <c r="R1177" s="259"/>
      <c r="S1177" s="259"/>
      <c r="T1177" s="259"/>
      <c r="U1177" s="259"/>
      <c r="V1177" s="258"/>
      <c r="W1177" s="258"/>
      <c r="X1177" s="258"/>
      <c r="Y1177" s="258"/>
      <c r="Z1177" s="258"/>
      <c r="AA1177" s="258"/>
      <c r="AB1177" s="258"/>
      <c r="AC1177" s="258"/>
    </row>
    <row r="1178" spans="1:29" ht="15.75" hidden="1" customHeight="1">
      <c r="A1178" s="541">
        <v>44796</v>
      </c>
      <c r="B1178" s="306" t="s">
        <v>347</v>
      </c>
      <c r="C1178" s="542"/>
      <c r="D1178" s="306" t="s">
        <v>1990</v>
      </c>
      <c r="E1178" s="306" t="s">
        <v>3</v>
      </c>
      <c r="F1178" s="306" t="s">
        <v>488</v>
      </c>
      <c r="G1178" s="306"/>
      <c r="H1178" s="306"/>
      <c r="I1178" s="306" t="s">
        <v>941</v>
      </c>
      <c r="J1178" s="306"/>
      <c r="K1178" s="306"/>
      <c r="L1178" s="306"/>
      <c r="M1178" s="545"/>
      <c r="N1178" s="306" t="s">
        <v>452</v>
      </c>
      <c r="O1178" s="306" t="s">
        <v>575</v>
      </c>
      <c r="P1178" s="306" t="s">
        <v>1993</v>
      </c>
      <c r="Q1178" s="306"/>
      <c r="R1178" s="543"/>
      <c r="S1178" s="543"/>
      <c r="T1178" s="543"/>
      <c r="U1178" s="543"/>
      <c r="V1178" s="219"/>
      <c r="W1178" s="219"/>
      <c r="X1178" s="219"/>
      <c r="Y1178" s="219"/>
      <c r="Z1178" s="219"/>
      <c r="AA1178" s="219"/>
      <c r="AB1178" s="219"/>
      <c r="AC1178" s="219"/>
    </row>
    <row r="1179" spans="1:29" ht="15.75" hidden="1" customHeight="1">
      <c r="A1179" s="541">
        <v>44797</v>
      </c>
      <c r="B1179" s="306" t="s">
        <v>347</v>
      </c>
      <c r="C1179" s="542"/>
      <c r="D1179" s="306" t="s">
        <v>1990</v>
      </c>
      <c r="E1179" s="306" t="s">
        <v>3</v>
      </c>
      <c r="F1179" s="306" t="s">
        <v>488</v>
      </c>
      <c r="G1179" s="306"/>
      <c r="H1179" s="306"/>
      <c r="I1179" s="306" t="s">
        <v>941</v>
      </c>
      <c r="J1179" s="306" t="s">
        <v>1992</v>
      </c>
      <c r="K1179" s="306">
        <v>4</v>
      </c>
      <c r="L1179" s="306"/>
      <c r="M1179" s="306"/>
      <c r="N1179" s="306" t="s">
        <v>452</v>
      </c>
      <c r="O1179" s="306" t="s">
        <v>575</v>
      </c>
      <c r="P1179" s="306" t="s">
        <v>1993</v>
      </c>
      <c r="Q1179" s="306"/>
      <c r="R1179" s="543"/>
      <c r="S1179" s="543"/>
      <c r="T1179" s="543"/>
      <c r="U1179" s="543"/>
      <c r="V1179" s="306"/>
      <c r="W1179" s="306"/>
      <c r="X1179" s="306"/>
      <c r="Y1179" s="306"/>
      <c r="Z1179" s="306"/>
      <c r="AA1179" s="306"/>
      <c r="AB1179" s="306"/>
      <c r="AC1179" s="306"/>
    </row>
    <row r="1180" spans="1:29" ht="15.75" hidden="1" customHeight="1">
      <c r="A1180" s="248">
        <v>44797</v>
      </c>
      <c r="B1180" s="219" t="s">
        <v>347</v>
      </c>
      <c r="C1180" s="315">
        <v>4</v>
      </c>
      <c r="D1180" s="219" t="s">
        <v>1990</v>
      </c>
      <c r="E1180" s="219" t="s">
        <v>3</v>
      </c>
      <c r="F1180" s="219" t="s">
        <v>488</v>
      </c>
      <c r="G1180" s="219" t="s">
        <v>1991</v>
      </c>
      <c r="H1180" s="219">
        <v>4</v>
      </c>
      <c r="I1180" s="219" t="s">
        <v>941</v>
      </c>
      <c r="J1180" s="219" t="s">
        <v>1992</v>
      </c>
      <c r="K1180" s="219">
        <v>4</v>
      </c>
      <c r="L1180" s="219"/>
      <c r="M1180" s="219"/>
      <c r="N1180" s="219" t="s">
        <v>452</v>
      </c>
      <c r="O1180" s="219" t="s">
        <v>575</v>
      </c>
      <c r="P1180" s="219" t="s">
        <v>1993</v>
      </c>
      <c r="Q1180" s="219" t="s">
        <v>18</v>
      </c>
      <c r="R1180" s="251"/>
      <c r="S1180" s="251"/>
      <c r="T1180" s="251"/>
      <c r="U1180" s="251"/>
      <c r="V1180" s="219"/>
      <c r="W1180" s="219"/>
      <c r="X1180" s="219"/>
      <c r="Y1180" s="219"/>
      <c r="Z1180" s="219"/>
      <c r="AA1180" s="219"/>
      <c r="AB1180" s="219"/>
      <c r="AC1180" s="219"/>
    </row>
    <row r="1181" spans="1:29" ht="15.75" customHeight="1">
      <c r="A1181" s="479">
        <v>44789</v>
      </c>
      <c r="B1181" s="303" t="s">
        <v>178</v>
      </c>
      <c r="C1181" s="269"/>
      <c r="D1181" s="303" t="s">
        <v>3710</v>
      </c>
      <c r="E1181" s="270" t="s">
        <v>4</v>
      </c>
      <c r="F1181" s="303" t="s">
        <v>727</v>
      </c>
      <c r="G1181" s="303" t="s">
        <v>10228</v>
      </c>
      <c r="H1181" s="303">
        <v>4</v>
      </c>
      <c r="I1181" s="303" t="s">
        <v>602</v>
      </c>
      <c r="J1181" s="303"/>
      <c r="K1181" s="303"/>
      <c r="L1181" s="303" t="s">
        <v>784</v>
      </c>
      <c r="M1181" s="303" t="s">
        <v>3713</v>
      </c>
      <c r="N1181" s="303" t="s">
        <v>452</v>
      </c>
      <c r="O1181" s="303" t="s">
        <v>3714</v>
      </c>
      <c r="P1181" s="303" t="s">
        <v>3715</v>
      </c>
      <c r="Q1181" s="303"/>
      <c r="R1181" s="303"/>
      <c r="S1181" s="303" t="str">
        <f>IFERROR(VLOOKUP(B1181,'2022-2023 Third Reviews'!$C:$S,9,FALSE),"")</f>
        <v/>
      </c>
      <c r="T1181" s="303"/>
      <c r="U1181" s="303"/>
      <c r="V1181" s="224"/>
      <c r="W1181" s="224"/>
      <c r="X1181" s="224"/>
      <c r="Y1181" s="224"/>
      <c r="Z1181" s="224"/>
      <c r="AA1181" s="224"/>
      <c r="AB1181" s="224"/>
      <c r="AC1181" s="224"/>
    </row>
    <row r="1182" spans="1:29" ht="15.75" hidden="1" customHeight="1">
      <c r="A1182" s="227">
        <v>44776</v>
      </c>
      <c r="B1182" s="228" t="s">
        <v>385</v>
      </c>
      <c r="C1182" s="214">
        <v>4</v>
      </c>
      <c r="D1182" s="228" t="s">
        <v>9919</v>
      </c>
      <c r="E1182" s="215" t="s">
        <v>3</v>
      </c>
      <c r="F1182" s="228" t="s">
        <v>460</v>
      </c>
      <c r="G1182" s="228" t="s">
        <v>9920</v>
      </c>
      <c r="H1182" s="228">
        <v>4</v>
      </c>
      <c r="I1182" s="228" t="s">
        <v>941</v>
      </c>
      <c r="J1182" s="228" t="s">
        <v>9921</v>
      </c>
      <c r="K1182" s="228">
        <v>4</v>
      </c>
      <c r="L1182" s="228" t="s">
        <v>784</v>
      </c>
      <c r="M1182" s="232">
        <v>2000000</v>
      </c>
      <c r="N1182" s="228" t="s">
        <v>452</v>
      </c>
      <c r="O1182" s="228" t="s">
        <v>9922</v>
      </c>
      <c r="P1182" s="230"/>
      <c r="Q1182" s="228" t="s">
        <v>18</v>
      </c>
      <c r="R1182" s="231" t="str">
        <f t="array" ref="R1182">INDEX(Notes!C:C,MATCH($B1182,Notes!$A:$A,0))</f>
        <v>Fully integrated lab data system; nyu and Columbia have similar systems that dominate market, but this company is still pulling in 15k/month despite this. Track change to digital tech</v>
      </c>
      <c r="S1182" s="231"/>
      <c r="T1182" s="231"/>
      <c r="U1182" s="231"/>
      <c r="V1182" s="228"/>
      <c r="W1182" s="228"/>
      <c r="X1182" s="228"/>
      <c r="Y1182" s="219"/>
      <c r="Z1182" s="219"/>
      <c r="AA1182" s="219"/>
      <c r="AB1182" s="219"/>
      <c r="AC1182" s="219"/>
    </row>
    <row r="1183" spans="1:29" ht="15.75" customHeight="1">
      <c r="A1183" s="541">
        <v>44796</v>
      </c>
      <c r="B1183" s="306" t="s">
        <v>4553</v>
      </c>
      <c r="C1183" s="542"/>
      <c r="D1183" s="306" t="s">
        <v>4556</v>
      </c>
      <c r="E1183" s="306" t="s">
        <v>4</v>
      </c>
      <c r="F1183" s="306" t="s">
        <v>727</v>
      </c>
      <c r="G1183" s="306"/>
      <c r="H1183" s="306"/>
      <c r="I1183" s="306" t="s">
        <v>990</v>
      </c>
      <c r="J1183" s="306" t="s">
        <v>4558</v>
      </c>
      <c r="K1183" s="306">
        <v>4</v>
      </c>
      <c r="L1183" s="306"/>
      <c r="M1183" s="544"/>
      <c r="N1183" s="306" t="s">
        <v>452</v>
      </c>
      <c r="O1183" s="306" t="s">
        <v>4559</v>
      </c>
      <c r="P1183" s="306" t="s">
        <v>2180</v>
      </c>
      <c r="Q1183" s="306"/>
      <c r="R1183" s="306"/>
      <c r="S1183" s="306" t="str">
        <f>IFERROR(VLOOKUP(B1183,'2022-2023 Third Reviews'!$C:$S,9,FALSE),"")</f>
        <v/>
      </c>
      <c r="T1183" s="306"/>
      <c r="U1183" s="306"/>
      <c r="V1183" s="224"/>
      <c r="W1183" s="224"/>
      <c r="X1183" s="224"/>
      <c r="Y1183" s="224"/>
      <c r="Z1183" s="224"/>
      <c r="AA1183" s="224"/>
      <c r="AB1183" s="224"/>
      <c r="AC1183" s="224"/>
    </row>
    <row r="1184" spans="1:29" ht="15.75" customHeight="1">
      <c r="A1184" s="541">
        <v>44796</v>
      </c>
      <c r="B1184" s="306" t="s">
        <v>4132</v>
      </c>
      <c r="C1184" s="542"/>
      <c r="D1184" s="306" t="s">
        <v>4135</v>
      </c>
      <c r="E1184" s="306" t="s">
        <v>4</v>
      </c>
      <c r="F1184" s="306" t="s">
        <v>725</v>
      </c>
      <c r="G1184" s="306"/>
      <c r="H1184" s="306"/>
      <c r="I1184" s="306" t="s">
        <v>476</v>
      </c>
      <c r="J1184" s="306" t="s">
        <v>13400</v>
      </c>
      <c r="K1184" s="306">
        <v>4</v>
      </c>
      <c r="L1184" s="306"/>
      <c r="M1184" s="306"/>
      <c r="N1184" s="306" t="s">
        <v>452</v>
      </c>
      <c r="O1184" s="306" t="s">
        <v>4138</v>
      </c>
      <c r="P1184" s="306"/>
      <c r="Q1184" s="306"/>
      <c r="R1184" s="306"/>
      <c r="S1184" s="306" t="str">
        <f>IFERROR(VLOOKUP(B1184,'2022-2023 Third Reviews'!$C:$S,9,FALSE),"")</f>
        <v/>
      </c>
      <c r="T1184" s="306"/>
      <c r="U1184" s="306"/>
      <c r="V1184" s="219"/>
      <c r="W1184" s="219"/>
      <c r="X1184" s="219"/>
      <c r="Y1184" s="219"/>
      <c r="Z1184" s="219"/>
      <c r="AA1184" s="219"/>
      <c r="AB1184" s="219"/>
      <c r="AC1184" s="219"/>
    </row>
    <row r="1185" spans="1:29" ht="15.75" customHeight="1">
      <c r="A1185" s="541">
        <v>44796</v>
      </c>
      <c r="B1185" s="306" t="s">
        <v>4987</v>
      </c>
      <c r="C1185" s="542"/>
      <c r="D1185" s="306" t="s">
        <v>4990</v>
      </c>
      <c r="E1185" s="306" t="s">
        <v>4</v>
      </c>
      <c r="F1185" s="306" t="s">
        <v>725</v>
      </c>
      <c r="G1185" s="306"/>
      <c r="H1185" s="306"/>
      <c r="I1185" s="306" t="s">
        <v>476</v>
      </c>
      <c r="J1185" s="306" t="s">
        <v>13400</v>
      </c>
      <c r="K1185" s="306">
        <v>3</v>
      </c>
      <c r="L1185" s="306" t="s">
        <v>4993</v>
      </c>
      <c r="M1185" s="544" t="s">
        <v>4370</v>
      </c>
      <c r="N1185" s="306" t="s">
        <v>452</v>
      </c>
      <c r="O1185" s="306" t="s">
        <v>452</v>
      </c>
      <c r="P1185" s="306"/>
      <c r="Q1185" s="306"/>
      <c r="R1185" s="306"/>
      <c r="S1185" s="306" t="str">
        <f>IFERROR(VLOOKUP(B1185,'2022-2023 Third Reviews'!$C:$S,9,FALSE),"")</f>
        <v/>
      </c>
      <c r="T1185" s="306"/>
      <c r="U1185" s="306"/>
      <c r="V1185" s="252"/>
      <c r="W1185" s="252"/>
      <c r="X1185" s="252"/>
      <c r="Y1185" s="224"/>
      <c r="Z1185" s="224"/>
      <c r="AA1185" s="224"/>
      <c r="AB1185" s="224"/>
      <c r="AC1185" s="224"/>
    </row>
    <row r="1186" spans="1:29" ht="15.75" customHeight="1">
      <c r="A1186" s="541">
        <v>44796</v>
      </c>
      <c r="B1186" s="306" t="s">
        <v>148</v>
      </c>
      <c r="C1186" s="542"/>
      <c r="D1186" s="306" t="s">
        <v>997</v>
      </c>
      <c r="E1186" s="306" t="s">
        <v>4</v>
      </c>
      <c r="F1186" s="306" t="s">
        <v>725</v>
      </c>
      <c r="G1186" s="306"/>
      <c r="H1186" s="306"/>
      <c r="I1186" s="306" t="s">
        <v>990</v>
      </c>
      <c r="J1186" s="306" t="s">
        <v>999</v>
      </c>
      <c r="K1186" s="306">
        <v>5</v>
      </c>
      <c r="L1186" s="306" t="s">
        <v>451</v>
      </c>
      <c r="M1186" s="544">
        <v>5000000</v>
      </c>
      <c r="N1186" s="306" t="s">
        <v>452</v>
      </c>
      <c r="O1186" s="306" t="s">
        <v>1000</v>
      </c>
      <c r="P1186" s="306"/>
      <c r="Q1186" s="306"/>
      <c r="R1186" s="306"/>
      <c r="S1186" s="306" t="str">
        <f>IFERROR(VLOOKUP(B1186,'2022-2023 Third Reviews'!$C:$S,9,FALSE),"")</f>
        <v/>
      </c>
      <c r="T1186" s="306"/>
      <c r="U1186" s="306"/>
      <c r="V1186" s="219"/>
      <c r="W1186" s="219"/>
      <c r="X1186" s="219"/>
      <c r="Y1186" s="219"/>
      <c r="Z1186" s="219"/>
      <c r="AA1186" s="219"/>
      <c r="AB1186" s="219"/>
      <c r="AC1186" s="219"/>
    </row>
    <row r="1187" spans="1:29" ht="15.75" customHeight="1">
      <c r="A1187" s="541">
        <v>44797</v>
      </c>
      <c r="B1187" s="306" t="s">
        <v>11314</v>
      </c>
      <c r="C1187" s="542"/>
      <c r="D1187" s="306" t="s">
        <v>3727</v>
      </c>
      <c r="E1187" s="306" t="s">
        <v>4</v>
      </c>
      <c r="F1187" s="306" t="s">
        <v>488</v>
      </c>
      <c r="G1187" s="306"/>
      <c r="H1187" s="306"/>
      <c r="I1187" s="306" t="s">
        <v>990</v>
      </c>
      <c r="J1187" s="306" t="s">
        <v>3729</v>
      </c>
      <c r="K1187" s="306">
        <v>5</v>
      </c>
      <c r="L1187" s="306"/>
      <c r="M1187" s="306"/>
      <c r="N1187" s="306" t="s">
        <v>452</v>
      </c>
      <c r="O1187" s="306" t="s">
        <v>11315</v>
      </c>
      <c r="P1187" s="306"/>
      <c r="Q1187" s="306"/>
      <c r="R1187" s="306"/>
      <c r="S1187" s="306" t="str">
        <f>IFERROR(VLOOKUP(B1187,'2022-2023 Third Reviews'!$C:$S,9,FALSE),"")</f>
        <v/>
      </c>
      <c r="T1187" s="306"/>
      <c r="U1187" s="306"/>
      <c r="V1187" s="224"/>
      <c r="W1187" s="224"/>
      <c r="X1187" s="224"/>
      <c r="Y1187" s="224"/>
      <c r="Z1187" s="224"/>
      <c r="AA1187" s="224"/>
      <c r="AB1187" s="224"/>
      <c r="AC1187" s="224"/>
    </row>
    <row r="1188" spans="1:29" ht="15.75" customHeight="1">
      <c r="A1188" s="541">
        <v>44797</v>
      </c>
      <c r="B1188" s="306" t="s">
        <v>5354</v>
      </c>
      <c r="C1188" s="542"/>
      <c r="D1188" s="306" t="s">
        <v>5357</v>
      </c>
      <c r="E1188" s="306" t="s">
        <v>4</v>
      </c>
      <c r="F1188" s="306" t="s">
        <v>488</v>
      </c>
      <c r="G1188" s="306"/>
      <c r="H1188" s="306"/>
      <c r="I1188" s="306" t="s">
        <v>990</v>
      </c>
      <c r="J1188" s="306" t="s">
        <v>5359</v>
      </c>
      <c r="K1188" s="306">
        <v>4</v>
      </c>
      <c r="L1188" s="306" t="s">
        <v>451</v>
      </c>
      <c r="M1188" s="546">
        <v>1000000</v>
      </c>
      <c r="N1188" s="306" t="s">
        <v>452</v>
      </c>
      <c r="O1188" s="306" t="s">
        <v>452</v>
      </c>
      <c r="P1188" s="306"/>
      <c r="Q1188" s="306"/>
      <c r="R1188" s="306"/>
      <c r="S1188" s="306" t="str">
        <f>IFERROR(VLOOKUP(B1188,'2022-2023 Third Reviews'!$C:$S,9,FALSE),"")</f>
        <v/>
      </c>
      <c r="T1188" s="306"/>
      <c r="U1188" s="306"/>
      <c r="V1188" s="306"/>
      <c r="W1188" s="306"/>
      <c r="X1188" s="306"/>
      <c r="Y1188" s="306"/>
      <c r="Z1188" s="306"/>
      <c r="AA1188" s="306"/>
      <c r="AB1188" s="306"/>
      <c r="AC1188" s="306"/>
    </row>
    <row r="1189" spans="1:29" ht="15.75" customHeight="1">
      <c r="A1189" s="541">
        <v>44796</v>
      </c>
      <c r="B1189" s="306" t="s">
        <v>7025</v>
      </c>
      <c r="C1189" s="542"/>
      <c r="D1189" s="306" t="s">
        <v>7028</v>
      </c>
      <c r="E1189" s="306" t="s">
        <v>4</v>
      </c>
      <c r="F1189" s="306" t="s">
        <v>725</v>
      </c>
      <c r="G1189" s="306"/>
      <c r="H1189" s="306"/>
      <c r="I1189" s="306" t="s">
        <v>1045</v>
      </c>
      <c r="J1189" s="306"/>
      <c r="K1189" s="306"/>
      <c r="L1189" s="306"/>
      <c r="M1189" s="306"/>
      <c r="N1189" s="306" t="s">
        <v>454</v>
      </c>
      <c r="O1189" s="306" t="s">
        <v>452</v>
      </c>
      <c r="P1189" s="306"/>
      <c r="Q1189" s="306"/>
      <c r="R1189" s="306"/>
      <c r="S1189" s="306" t="str">
        <f>IFERROR(VLOOKUP(B1189,'2022-2023 Third Reviews'!$C:$S,9,FALSE),"")</f>
        <v/>
      </c>
      <c r="T1189" s="306"/>
      <c r="U1189" s="306"/>
      <c r="V1189" s="258"/>
      <c r="W1189" s="258"/>
      <c r="X1189" s="258"/>
      <c r="Y1189" s="258"/>
      <c r="Z1189" s="258"/>
      <c r="AA1189" s="258"/>
      <c r="AB1189" s="258"/>
      <c r="AC1189" s="258"/>
    </row>
    <row r="1190" spans="1:29" ht="15.75" hidden="1" customHeight="1">
      <c r="A1190" s="541">
        <v>44791</v>
      </c>
      <c r="B1190" s="306" t="s">
        <v>9141</v>
      </c>
      <c r="C1190" s="542"/>
      <c r="D1190" s="306" t="s">
        <v>9144</v>
      </c>
      <c r="E1190" s="306" t="s">
        <v>3</v>
      </c>
      <c r="F1190" s="306" t="s">
        <v>488</v>
      </c>
      <c r="G1190" s="306" t="s">
        <v>13225</v>
      </c>
      <c r="H1190" s="306"/>
      <c r="I1190" s="306" t="s">
        <v>941</v>
      </c>
      <c r="J1190" s="306"/>
      <c r="K1190" s="306"/>
      <c r="L1190" s="306"/>
      <c r="M1190" s="306"/>
      <c r="N1190" s="306" t="s">
        <v>452</v>
      </c>
      <c r="O1190" s="306" t="s">
        <v>10775</v>
      </c>
      <c r="P1190" s="306"/>
      <c r="Q1190" s="306"/>
      <c r="R1190" s="543"/>
      <c r="S1190" s="543"/>
      <c r="T1190" s="543"/>
      <c r="U1190" s="543"/>
      <c r="V1190" s="306"/>
      <c r="W1190" s="306"/>
      <c r="X1190" s="306"/>
      <c r="Y1190" s="306"/>
      <c r="Z1190" s="306"/>
      <c r="AA1190" s="306"/>
      <c r="AB1190" s="306"/>
      <c r="AC1190" s="306"/>
    </row>
    <row r="1191" spans="1:29" ht="15.75" hidden="1" customHeight="1">
      <c r="A1191" s="257">
        <v>44791</v>
      </c>
      <c r="B1191" s="258" t="s">
        <v>9141</v>
      </c>
      <c r="C1191" s="263">
        <v>3.88</v>
      </c>
      <c r="D1191" s="258" t="s">
        <v>9144</v>
      </c>
      <c r="E1191" s="258" t="s">
        <v>3</v>
      </c>
      <c r="F1191" s="258" t="s">
        <v>488</v>
      </c>
      <c r="G1191" s="258" t="s">
        <v>11664</v>
      </c>
      <c r="H1191" s="258">
        <v>3.75</v>
      </c>
      <c r="I1191" s="258" t="s">
        <v>941</v>
      </c>
      <c r="J1191" s="258" t="s">
        <v>9146</v>
      </c>
      <c r="K1191" s="258">
        <v>4</v>
      </c>
      <c r="L1191" s="258"/>
      <c r="M1191" s="258"/>
      <c r="N1191" s="258"/>
      <c r="O1191" s="258"/>
      <c r="P1191" s="258"/>
      <c r="Q1191" s="258" t="s">
        <v>24</v>
      </c>
      <c r="R1191" s="259" t="s">
        <v>9148</v>
      </c>
      <c r="S1191" s="259"/>
      <c r="T1191" s="259"/>
      <c r="U1191" s="259"/>
      <c r="V1191" s="258"/>
      <c r="W1191" s="258"/>
      <c r="X1191" s="258"/>
      <c r="Y1191" s="258"/>
      <c r="Z1191" s="258"/>
      <c r="AA1191" s="258"/>
      <c r="AB1191" s="258"/>
      <c r="AC1191" s="258"/>
    </row>
    <row r="1192" spans="1:29" ht="15.75" hidden="1" customHeight="1">
      <c r="A1192" s="257">
        <v>44782</v>
      </c>
      <c r="B1192" s="258" t="s">
        <v>9151</v>
      </c>
      <c r="C1192" s="249">
        <v>2.5</v>
      </c>
      <c r="D1192" s="258" t="s">
        <v>9154</v>
      </c>
      <c r="E1192" s="250" t="s">
        <v>3</v>
      </c>
      <c r="F1192" s="258" t="s">
        <v>460</v>
      </c>
      <c r="G1192" s="258" t="s">
        <v>9155</v>
      </c>
      <c r="H1192" s="258">
        <v>2</v>
      </c>
      <c r="I1192" s="258" t="s">
        <v>488</v>
      </c>
      <c r="J1192" s="258" t="s">
        <v>11428</v>
      </c>
      <c r="K1192" s="258">
        <v>3</v>
      </c>
      <c r="L1192" s="258" t="s">
        <v>973</v>
      </c>
      <c r="M1192" s="258">
        <v>7500000</v>
      </c>
      <c r="N1192" s="258" t="s">
        <v>452</v>
      </c>
      <c r="O1192" s="258" t="s">
        <v>1119</v>
      </c>
      <c r="P1192" s="258"/>
      <c r="Q1192" s="258" t="s">
        <v>24</v>
      </c>
      <c r="R1192" s="259" t="s">
        <v>9157</v>
      </c>
      <c r="S1192" s="259"/>
      <c r="T1192" s="259"/>
      <c r="U1192" s="259"/>
      <c r="V1192" s="258"/>
      <c r="W1192" s="258"/>
      <c r="X1192" s="258"/>
      <c r="Y1192" s="258"/>
      <c r="Z1192" s="258"/>
      <c r="AA1192" s="258"/>
      <c r="AB1192" s="258"/>
      <c r="AC1192" s="258"/>
    </row>
    <row r="1193" spans="1:29" ht="15.75" customHeight="1">
      <c r="A1193" s="479">
        <v>44789</v>
      </c>
      <c r="B1193" s="303" t="s">
        <v>5848</v>
      </c>
      <c r="C1193" s="269"/>
      <c r="D1193" s="303" t="s">
        <v>5851</v>
      </c>
      <c r="E1193" s="270" t="s">
        <v>4</v>
      </c>
      <c r="F1193" s="303" t="s">
        <v>727</v>
      </c>
      <c r="G1193" s="303" t="s">
        <v>10236</v>
      </c>
      <c r="H1193" s="303">
        <v>3</v>
      </c>
      <c r="I1193" s="303" t="s">
        <v>602</v>
      </c>
      <c r="J1193" s="303"/>
      <c r="K1193" s="303"/>
      <c r="L1193" s="303"/>
      <c r="M1193" s="303"/>
      <c r="N1193" s="303" t="s">
        <v>452</v>
      </c>
      <c r="O1193" s="303" t="s">
        <v>5854</v>
      </c>
      <c r="P1193" s="303" t="s">
        <v>727</v>
      </c>
      <c r="Q1193" s="303"/>
      <c r="R1193" s="303"/>
      <c r="S1193" s="303" t="str">
        <f>IFERROR(VLOOKUP(B1193,'2022-2023 Third Reviews'!$C:$S,9,FALSE),"")</f>
        <v/>
      </c>
      <c r="T1193" s="303"/>
      <c r="U1193" s="303"/>
      <c r="V1193" s="252"/>
      <c r="W1193" s="252"/>
      <c r="X1193" s="252"/>
      <c r="Y1193" s="224"/>
      <c r="Z1193" s="224"/>
      <c r="AA1193" s="224"/>
      <c r="AB1193" s="224"/>
      <c r="AC1193" s="224"/>
    </row>
    <row r="1194" spans="1:29" ht="15.75" customHeight="1">
      <c r="A1194" s="541">
        <v>44797</v>
      </c>
      <c r="B1194" s="306" t="s">
        <v>6173</v>
      </c>
      <c r="C1194" s="542"/>
      <c r="D1194" s="306" t="s">
        <v>11357</v>
      </c>
      <c r="E1194" s="306" t="s">
        <v>4</v>
      </c>
      <c r="F1194" s="306" t="s">
        <v>488</v>
      </c>
      <c r="G1194" s="306"/>
      <c r="H1194" s="306"/>
      <c r="I1194" s="306" t="s">
        <v>990</v>
      </c>
      <c r="J1194" s="306" t="s">
        <v>6178</v>
      </c>
      <c r="K1194" s="306">
        <v>4</v>
      </c>
      <c r="L1194" s="306"/>
      <c r="M1194" s="306"/>
      <c r="N1194" s="306" t="s">
        <v>452</v>
      </c>
      <c r="O1194" s="306" t="s">
        <v>6179</v>
      </c>
      <c r="P1194" s="306"/>
      <c r="Q1194" s="306"/>
      <c r="R1194" s="306"/>
      <c r="S1194" s="306" t="str">
        <f>IFERROR(VLOOKUP(B1194,'2022-2023 Third Reviews'!$C:$S,9,FALSE),"")</f>
        <v/>
      </c>
      <c r="T1194" s="306"/>
      <c r="U1194" s="306"/>
      <c r="V1194" s="306"/>
      <c r="W1194" s="306"/>
      <c r="X1194" s="306"/>
      <c r="Y1194" s="306"/>
      <c r="Z1194" s="306"/>
      <c r="AA1194" s="306"/>
      <c r="AB1194" s="306"/>
      <c r="AC1194" s="306"/>
    </row>
    <row r="1195" spans="1:29" ht="15.75" hidden="1" customHeight="1">
      <c r="A1195" s="253">
        <v>44796</v>
      </c>
      <c r="B1195" s="224" t="s">
        <v>412</v>
      </c>
      <c r="C1195" s="316">
        <v>4</v>
      </c>
      <c r="D1195" s="224" t="s">
        <v>10149</v>
      </c>
      <c r="E1195" s="224" t="s">
        <v>3</v>
      </c>
      <c r="F1195" s="224" t="s">
        <v>725</v>
      </c>
      <c r="G1195" s="224" t="s">
        <v>10798</v>
      </c>
      <c r="H1195" s="224">
        <v>4</v>
      </c>
      <c r="I1195" s="224" t="s">
        <v>941</v>
      </c>
      <c r="J1195" s="224" t="s">
        <v>10151</v>
      </c>
      <c r="K1195" s="224">
        <v>4</v>
      </c>
      <c r="L1195" s="224" t="s">
        <v>478</v>
      </c>
      <c r="M1195" s="224" t="s">
        <v>10152</v>
      </c>
      <c r="N1195" s="224" t="s">
        <v>452</v>
      </c>
      <c r="O1195" s="224" t="s">
        <v>10153</v>
      </c>
      <c r="P1195" s="224" t="s">
        <v>10154</v>
      </c>
      <c r="Q1195" s="224" t="s">
        <v>18</v>
      </c>
      <c r="R1195" s="254"/>
      <c r="S1195" s="254"/>
      <c r="T1195" s="254"/>
      <c r="U1195" s="254"/>
      <c r="V1195" s="224"/>
      <c r="W1195" s="224"/>
      <c r="X1195" s="224"/>
      <c r="Y1195" s="224"/>
      <c r="Z1195" s="224"/>
      <c r="AA1195" s="224"/>
      <c r="AB1195" s="224"/>
      <c r="AC1195" s="224"/>
    </row>
    <row r="1196" spans="1:29" ht="15.75" customHeight="1">
      <c r="A1196" s="479">
        <v>44789</v>
      </c>
      <c r="B1196" s="303" t="s">
        <v>10205</v>
      </c>
      <c r="C1196" s="269"/>
      <c r="D1196" s="303" t="s">
        <v>6650</v>
      </c>
      <c r="E1196" s="270" t="s">
        <v>4</v>
      </c>
      <c r="F1196" s="303" t="s">
        <v>727</v>
      </c>
      <c r="G1196" s="539" t="s">
        <v>11634</v>
      </c>
      <c r="H1196" s="303">
        <v>3</v>
      </c>
      <c r="I1196" s="303" t="s">
        <v>602</v>
      </c>
      <c r="J1196" s="303"/>
      <c r="K1196" s="303"/>
      <c r="L1196" s="303" t="s">
        <v>451</v>
      </c>
      <c r="M1196" s="538">
        <v>1500000</v>
      </c>
      <c r="N1196" s="303" t="s">
        <v>452</v>
      </c>
      <c r="O1196" s="538" t="s">
        <v>6653</v>
      </c>
      <c r="P1196" s="303"/>
      <c r="Q1196" s="303"/>
      <c r="R1196" s="303"/>
      <c r="S1196" s="303" t="str">
        <f>IFERROR(VLOOKUP(B1196,'2022-2023 Third Reviews'!$C:$S,9,FALSE),"")</f>
        <v/>
      </c>
      <c r="T1196" s="303"/>
      <c r="U1196" s="303"/>
      <c r="V1196" s="306"/>
      <c r="W1196" s="306"/>
      <c r="X1196" s="306"/>
      <c r="Y1196" s="306"/>
      <c r="Z1196" s="306"/>
      <c r="AA1196" s="306"/>
      <c r="AB1196" s="306"/>
      <c r="AC1196" s="306"/>
    </row>
    <row r="1197" spans="1:29" ht="15.75" customHeight="1">
      <c r="A1197" s="541">
        <v>44796</v>
      </c>
      <c r="B1197" s="306" t="s">
        <v>4181</v>
      </c>
      <c r="C1197" s="542"/>
      <c r="D1197" s="306" t="s">
        <v>4184</v>
      </c>
      <c r="E1197" s="306" t="s">
        <v>4</v>
      </c>
      <c r="F1197" s="306" t="s">
        <v>725</v>
      </c>
      <c r="G1197" s="306"/>
      <c r="H1197" s="306"/>
      <c r="I1197" s="306" t="s">
        <v>1045</v>
      </c>
      <c r="J1197" s="306"/>
      <c r="K1197" s="306"/>
      <c r="L1197" s="306" t="s">
        <v>451</v>
      </c>
      <c r="M1197" s="544">
        <v>1600000</v>
      </c>
      <c r="N1197" s="306" t="s">
        <v>452</v>
      </c>
      <c r="O1197" s="306" t="s">
        <v>1119</v>
      </c>
      <c r="P1197" s="306"/>
      <c r="Q1197" s="306"/>
      <c r="R1197" s="306"/>
      <c r="S1197" s="306" t="str">
        <f>IFERROR(VLOOKUP(B1197,'2022-2023 Third Reviews'!$C:$S,9,FALSE),"")</f>
        <v/>
      </c>
      <c r="T1197" s="306"/>
      <c r="U1197" s="306"/>
      <c r="V1197" s="306"/>
      <c r="W1197" s="306"/>
      <c r="X1197" s="306"/>
      <c r="Y1197" s="306"/>
      <c r="Z1197" s="306"/>
      <c r="AA1197" s="306"/>
      <c r="AB1197" s="306"/>
      <c r="AC1197" s="306"/>
    </row>
    <row r="1198" spans="1:29" ht="15.75" customHeight="1">
      <c r="A1198" s="541">
        <v>44796</v>
      </c>
      <c r="B1198" s="306" t="s">
        <v>7758</v>
      </c>
      <c r="C1198" s="542"/>
      <c r="D1198" s="306" t="s">
        <v>7761</v>
      </c>
      <c r="E1198" s="306" t="s">
        <v>4</v>
      </c>
      <c r="F1198" s="306" t="s">
        <v>725</v>
      </c>
      <c r="G1198" s="306"/>
      <c r="H1198" s="306"/>
      <c r="I1198" s="306" t="s">
        <v>1036</v>
      </c>
      <c r="J1198" s="306" t="s">
        <v>7762</v>
      </c>
      <c r="K1198" s="306">
        <v>2</v>
      </c>
      <c r="L1198" s="306"/>
      <c r="M1198" s="306"/>
      <c r="N1198" s="306" t="s">
        <v>465</v>
      </c>
      <c r="O1198" s="306" t="s">
        <v>10771</v>
      </c>
      <c r="P1198" s="306"/>
      <c r="Q1198" s="306"/>
      <c r="R1198" s="306"/>
      <c r="S1198" s="306" t="str">
        <f>IFERROR(VLOOKUP(B1198,'2022-2023 Third Reviews'!$C:$S,9,FALSE),"")</f>
        <v/>
      </c>
      <c r="T1198" s="306"/>
      <c r="U1198" s="306"/>
      <c r="V1198" s="306"/>
      <c r="W1198" s="306"/>
      <c r="X1198" s="306"/>
      <c r="Y1198" s="306"/>
      <c r="Z1198" s="306"/>
      <c r="AA1198" s="306"/>
      <c r="AB1198" s="306"/>
      <c r="AC1198" s="306"/>
    </row>
    <row r="1199" spans="1:29" ht="15.75" customHeight="1">
      <c r="A1199" s="541">
        <v>44796</v>
      </c>
      <c r="B1199" s="306" t="s">
        <v>7068</v>
      </c>
      <c r="C1199" s="542"/>
      <c r="D1199" s="306" t="s">
        <v>7071</v>
      </c>
      <c r="E1199" s="306" t="s">
        <v>4</v>
      </c>
      <c r="F1199" s="306" t="s">
        <v>725</v>
      </c>
      <c r="G1199" s="306"/>
      <c r="H1199" s="306"/>
      <c r="I1199" s="306" t="s">
        <v>1036</v>
      </c>
      <c r="J1199" s="306" t="s">
        <v>7073</v>
      </c>
      <c r="K1199" s="306">
        <v>2</v>
      </c>
      <c r="L1199" s="306"/>
      <c r="M1199" s="306"/>
      <c r="N1199" s="306" t="s">
        <v>452</v>
      </c>
      <c r="O1199" s="306" t="s">
        <v>452</v>
      </c>
      <c r="P1199" s="306" t="s">
        <v>7074</v>
      </c>
      <c r="Q1199" s="306"/>
      <c r="R1199" s="306"/>
      <c r="S1199" s="306" t="str">
        <f>IFERROR(VLOOKUP(B1199,'2022-2023 Third Reviews'!$C:$S,9,FALSE),"")</f>
        <v/>
      </c>
      <c r="T1199" s="306"/>
      <c r="U1199" s="306"/>
      <c r="V1199" s="258"/>
      <c r="W1199" s="258"/>
      <c r="X1199" s="258"/>
      <c r="Y1199" s="258"/>
      <c r="Z1199" s="258"/>
      <c r="AA1199" s="258"/>
      <c r="AB1199" s="258"/>
      <c r="AC1199" s="258"/>
    </row>
    <row r="1200" spans="1:29" ht="15.75" customHeight="1">
      <c r="A1200" s="479">
        <v>44789</v>
      </c>
      <c r="B1200" s="303" t="s">
        <v>5005</v>
      </c>
      <c r="C1200" s="269"/>
      <c r="D1200" s="303" t="s">
        <v>10508</v>
      </c>
      <c r="E1200" s="270" t="s">
        <v>4</v>
      </c>
      <c r="F1200" s="303" t="s">
        <v>727</v>
      </c>
      <c r="G1200" s="303" t="s">
        <v>5009</v>
      </c>
      <c r="H1200" s="303">
        <v>3</v>
      </c>
      <c r="I1200" s="303" t="s">
        <v>622</v>
      </c>
      <c r="J1200" s="303"/>
      <c r="K1200" s="303"/>
      <c r="L1200" s="303"/>
      <c r="M1200" s="303"/>
      <c r="N1200" s="303" t="s">
        <v>452</v>
      </c>
      <c r="O1200" s="303" t="s">
        <v>452</v>
      </c>
      <c r="P1200" s="303"/>
      <c r="Q1200" s="303"/>
      <c r="R1200" s="303"/>
      <c r="S1200" s="303" t="str">
        <f>IFERROR(VLOOKUP(B1200,'2022-2023 Third Reviews'!$C:$S,9,FALSE),"")</f>
        <v/>
      </c>
      <c r="T1200" s="303"/>
      <c r="U1200" s="303"/>
      <c r="V1200" s="303"/>
      <c r="W1200" s="303"/>
      <c r="X1200" s="303"/>
      <c r="Y1200" s="303"/>
      <c r="Z1200" s="303"/>
      <c r="AA1200" s="306"/>
      <c r="AB1200" s="306"/>
      <c r="AC1200" s="306"/>
    </row>
    <row r="1201" spans="1:29" ht="15.75" customHeight="1">
      <c r="A1201" s="541">
        <v>44797</v>
      </c>
      <c r="B1201" s="306" t="s">
        <v>7774</v>
      </c>
      <c r="C1201" s="542"/>
      <c r="D1201" s="306" t="s">
        <v>11340</v>
      </c>
      <c r="E1201" s="306" t="s">
        <v>4</v>
      </c>
      <c r="F1201" s="306" t="s">
        <v>488</v>
      </c>
      <c r="G1201" s="306"/>
      <c r="H1201" s="306"/>
      <c r="I1201" s="306" t="s">
        <v>1036</v>
      </c>
      <c r="J1201" s="306" t="s">
        <v>7779</v>
      </c>
      <c r="K1201" s="306">
        <v>1</v>
      </c>
      <c r="L1201" s="306"/>
      <c r="M1201" s="306"/>
      <c r="N1201" s="306" t="s">
        <v>452</v>
      </c>
      <c r="O1201" s="306" t="s">
        <v>11341</v>
      </c>
      <c r="P1201" s="306"/>
      <c r="Q1201" s="306"/>
      <c r="R1201" s="306"/>
      <c r="S1201" s="306" t="str">
        <f>IFERROR(VLOOKUP(B1201,'2022-2023 Third Reviews'!$C:$S,9,FALSE),"")</f>
        <v/>
      </c>
      <c r="T1201" s="306"/>
      <c r="U1201" s="306"/>
      <c r="V1201" s="252"/>
      <c r="W1201" s="252"/>
      <c r="X1201" s="252"/>
      <c r="Y1201" s="224"/>
      <c r="Z1201" s="224"/>
      <c r="AA1201" s="224"/>
      <c r="AB1201" s="224"/>
      <c r="AC1201" s="224"/>
    </row>
    <row r="1202" spans="1:29" ht="15.75" customHeight="1">
      <c r="A1202" s="479">
        <v>44789</v>
      </c>
      <c r="B1202" s="303" t="s">
        <v>157</v>
      </c>
      <c r="C1202" s="269"/>
      <c r="D1202" s="303" t="s">
        <v>1060</v>
      </c>
      <c r="E1202" s="270" t="s">
        <v>4</v>
      </c>
      <c r="F1202" s="303" t="s">
        <v>602</v>
      </c>
      <c r="G1202" s="303" t="s">
        <v>1061</v>
      </c>
      <c r="H1202" s="303">
        <v>4</v>
      </c>
      <c r="I1202" s="303" t="s">
        <v>1054</v>
      </c>
      <c r="J1202" s="303"/>
      <c r="K1202" s="303"/>
      <c r="L1202" s="303" t="s">
        <v>1063</v>
      </c>
      <c r="M1202" s="303" t="s">
        <v>1064</v>
      </c>
      <c r="N1202" s="303" t="s">
        <v>452</v>
      </c>
      <c r="O1202" s="303" t="s">
        <v>10907</v>
      </c>
      <c r="P1202" s="303" t="s">
        <v>1066</v>
      </c>
      <c r="Q1202" s="303"/>
      <c r="R1202" s="303"/>
      <c r="S1202" s="303" t="str">
        <f>IFERROR(VLOOKUP(B1202,'2022-2023 Third Reviews'!$C:$S,9,FALSE),"")</f>
        <v/>
      </c>
      <c r="T1202" s="303"/>
      <c r="U1202" s="303"/>
      <c r="V1202" s="239"/>
      <c r="W1202" s="239"/>
      <c r="X1202" s="239"/>
      <c r="Y1202" s="239"/>
      <c r="Z1202" s="239"/>
      <c r="AA1202" s="239"/>
      <c r="AB1202" s="239"/>
      <c r="AC1202" s="239"/>
    </row>
    <row r="1203" spans="1:29" ht="15.75" customHeight="1">
      <c r="A1203" s="541">
        <v>44797</v>
      </c>
      <c r="B1203" s="306" t="s">
        <v>189</v>
      </c>
      <c r="C1203" s="542"/>
      <c r="D1203" s="306"/>
      <c r="E1203" s="306" t="s">
        <v>4</v>
      </c>
      <c r="F1203" s="306" t="s">
        <v>725</v>
      </c>
      <c r="G1203" s="306" t="s">
        <v>11274</v>
      </c>
      <c r="H1203" s="306">
        <v>4</v>
      </c>
      <c r="I1203" s="306" t="s">
        <v>462</v>
      </c>
      <c r="J1203" s="306"/>
      <c r="K1203" s="306"/>
      <c r="L1203" s="306" t="s">
        <v>1656</v>
      </c>
      <c r="M1203" s="546">
        <v>20000000</v>
      </c>
      <c r="N1203" s="306" t="s">
        <v>452</v>
      </c>
      <c r="O1203" s="306" t="s">
        <v>575</v>
      </c>
      <c r="P1203" s="306"/>
      <c r="Q1203" s="306"/>
      <c r="R1203" s="306"/>
      <c r="S1203" s="306" t="str">
        <f>IFERROR(VLOOKUP(B1203,'2022-2023 Third Reviews'!$C:$S,9,FALSE),"")</f>
        <v/>
      </c>
      <c r="T1203" s="306"/>
      <c r="U1203" s="306"/>
      <c r="V1203" s="224"/>
      <c r="W1203" s="224"/>
      <c r="X1203" s="224"/>
      <c r="Y1203" s="224"/>
      <c r="Z1203" s="224"/>
      <c r="AA1203" s="224"/>
      <c r="AB1203" s="224"/>
      <c r="AC1203" s="224"/>
    </row>
    <row r="1204" spans="1:29" ht="15.75" customHeight="1">
      <c r="A1204" s="541">
        <v>44797</v>
      </c>
      <c r="B1204" s="306" t="s">
        <v>161</v>
      </c>
      <c r="C1204" s="542"/>
      <c r="D1204" s="306" t="s">
        <v>1079</v>
      </c>
      <c r="E1204" s="306" t="s">
        <v>4</v>
      </c>
      <c r="F1204" s="306" t="s">
        <v>725</v>
      </c>
      <c r="G1204" s="306"/>
      <c r="H1204" s="306">
        <v>4.5</v>
      </c>
      <c r="I1204" s="306" t="s">
        <v>462</v>
      </c>
      <c r="J1204" s="306"/>
      <c r="K1204" s="306"/>
      <c r="L1204" s="306" t="s">
        <v>451</v>
      </c>
      <c r="M1204" s="306">
        <v>10000000</v>
      </c>
      <c r="N1204" s="306" t="s">
        <v>452</v>
      </c>
      <c r="O1204" s="306" t="s">
        <v>974</v>
      </c>
      <c r="P1204" s="306"/>
      <c r="Q1204" s="306"/>
      <c r="R1204" s="306"/>
      <c r="S1204" s="306" t="str">
        <f>IFERROR(VLOOKUP(B1204,'2022-2023 Third Reviews'!$C:$S,9,FALSE),"")</f>
        <v/>
      </c>
      <c r="T1204" s="306"/>
      <c r="U1204" s="306"/>
      <c r="V1204" s="219"/>
      <c r="W1204" s="219"/>
      <c r="X1204" s="219"/>
      <c r="Y1204" s="219"/>
      <c r="Z1204" s="219"/>
      <c r="AA1204" s="219"/>
      <c r="AB1204" s="219"/>
      <c r="AC1204" s="219"/>
    </row>
    <row r="1205" spans="1:29" ht="15.75" customHeight="1">
      <c r="A1205" s="541">
        <v>44796</v>
      </c>
      <c r="B1205" s="306" t="s">
        <v>5876</v>
      </c>
      <c r="C1205" s="542"/>
      <c r="D1205" s="306" t="s">
        <v>5879</v>
      </c>
      <c r="E1205" s="306" t="s">
        <v>4</v>
      </c>
      <c r="F1205" s="306" t="s">
        <v>727</v>
      </c>
      <c r="G1205" s="306"/>
      <c r="H1205" s="306"/>
      <c r="I1205" s="306" t="s">
        <v>1073</v>
      </c>
      <c r="J1205" s="306" t="s">
        <v>5880</v>
      </c>
      <c r="K1205" s="306">
        <v>3</v>
      </c>
      <c r="L1205" s="306"/>
      <c r="M1205" s="544"/>
      <c r="N1205" s="306" t="s">
        <v>452</v>
      </c>
      <c r="O1205" s="306" t="s">
        <v>452</v>
      </c>
      <c r="P1205" s="306"/>
      <c r="Q1205" s="306"/>
      <c r="R1205" s="306"/>
      <c r="S1205" s="306" t="str">
        <f>IFERROR(VLOOKUP(B1205,'2022-2023 Third Reviews'!$C:$S,9,FALSE),"")</f>
        <v/>
      </c>
      <c r="T1205" s="306"/>
      <c r="U1205" s="306"/>
      <c r="V1205" s="224"/>
      <c r="W1205" s="224"/>
      <c r="X1205" s="224"/>
      <c r="Y1205" s="224"/>
      <c r="Z1205" s="224"/>
      <c r="AA1205" s="224"/>
      <c r="AB1205" s="224"/>
      <c r="AC1205" s="224"/>
    </row>
    <row r="1206" spans="1:29" ht="15.75" hidden="1" customHeight="1">
      <c r="A1206" s="248">
        <v>44791</v>
      </c>
      <c r="B1206" s="219" t="s">
        <v>3277</v>
      </c>
      <c r="C1206" s="315">
        <v>3</v>
      </c>
      <c r="D1206" s="219" t="s">
        <v>3280</v>
      </c>
      <c r="E1206" s="219" t="s">
        <v>5</v>
      </c>
      <c r="F1206" s="219" t="s">
        <v>447</v>
      </c>
      <c r="G1206" s="219" t="s">
        <v>10879</v>
      </c>
      <c r="H1206" s="219">
        <v>3</v>
      </c>
      <c r="I1206" s="219" t="s">
        <v>543</v>
      </c>
      <c r="J1206" s="219" t="s">
        <v>11688</v>
      </c>
      <c r="K1206" s="219">
        <v>3</v>
      </c>
      <c r="L1206" s="219"/>
      <c r="M1206" s="219"/>
      <c r="N1206" s="219" t="s">
        <v>452</v>
      </c>
      <c r="O1206" s="219" t="s">
        <v>452</v>
      </c>
      <c r="P1206" s="219"/>
      <c r="Q1206" s="322" t="s">
        <v>24</v>
      </c>
      <c r="R1206" s="251"/>
      <c r="S1206" s="251"/>
      <c r="T1206" s="251"/>
      <c r="U1206" s="251"/>
      <c r="V1206" s="219"/>
      <c r="W1206" s="219"/>
      <c r="X1206" s="219"/>
      <c r="Y1206" s="219"/>
      <c r="Z1206" s="219"/>
      <c r="AA1206" s="219"/>
      <c r="AB1206" s="219"/>
      <c r="AC1206" s="219"/>
    </row>
    <row r="1207" spans="1:29" ht="15.75" hidden="1" customHeight="1">
      <c r="A1207" s="253">
        <v>44782</v>
      </c>
      <c r="B1207" s="224" t="s">
        <v>414</v>
      </c>
      <c r="C1207" s="249">
        <v>4.25</v>
      </c>
      <c r="D1207" s="224" t="s">
        <v>10440</v>
      </c>
      <c r="E1207" s="250" t="s">
        <v>3</v>
      </c>
      <c r="F1207" s="224" t="s">
        <v>460</v>
      </c>
      <c r="G1207" s="224" t="s">
        <v>10441</v>
      </c>
      <c r="H1207" s="224">
        <v>4.5</v>
      </c>
      <c r="I1207" s="224" t="s">
        <v>941</v>
      </c>
      <c r="J1207" s="224"/>
      <c r="K1207" s="224">
        <v>4</v>
      </c>
      <c r="L1207" s="224" t="s">
        <v>478</v>
      </c>
      <c r="M1207" s="224">
        <v>10000000</v>
      </c>
      <c r="N1207" s="224" t="s">
        <v>452</v>
      </c>
      <c r="O1207" s="224" t="s">
        <v>452</v>
      </c>
      <c r="P1207" s="224"/>
      <c r="Q1207" s="224" t="s">
        <v>18</v>
      </c>
      <c r="R1207" s="254"/>
      <c r="S1207" s="254"/>
      <c r="T1207" s="254"/>
      <c r="U1207" s="254"/>
      <c r="V1207" s="252"/>
      <c r="W1207" s="252"/>
      <c r="X1207" s="252"/>
      <c r="Y1207" s="224"/>
      <c r="Z1207" s="224"/>
      <c r="AA1207" s="224"/>
      <c r="AB1207" s="224"/>
      <c r="AC1207" s="224"/>
    </row>
    <row r="1208" spans="1:29" ht="15.75" customHeight="1">
      <c r="A1208" s="541">
        <v>44797</v>
      </c>
      <c r="B1208" s="306" t="s">
        <v>7102</v>
      </c>
      <c r="C1208" s="542"/>
      <c r="D1208" s="306" t="s">
        <v>7105</v>
      </c>
      <c r="E1208" s="306" t="s">
        <v>4</v>
      </c>
      <c r="F1208" s="306" t="s">
        <v>488</v>
      </c>
      <c r="G1208" s="306"/>
      <c r="H1208" s="306"/>
      <c r="I1208" s="306" t="s">
        <v>1073</v>
      </c>
      <c r="J1208" s="306" t="s">
        <v>7107</v>
      </c>
      <c r="K1208" s="306">
        <v>2</v>
      </c>
      <c r="L1208" s="306"/>
      <c r="M1208" s="306"/>
      <c r="N1208" s="306" t="s">
        <v>452</v>
      </c>
      <c r="O1208" s="306" t="s">
        <v>1028</v>
      </c>
      <c r="P1208" s="306" t="s">
        <v>7108</v>
      </c>
      <c r="Q1208" s="306"/>
      <c r="R1208" s="306"/>
      <c r="S1208" s="306" t="str">
        <f>IFERROR(VLOOKUP(B1208,'2022-2023 Third Reviews'!$C:$S,9,FALSE),"")</f>
        <v/>
      </c>
      <c r="T1208" s="306"/>
      <c r="U1208" s="306"/>
      <c r="V1208" s="219"/>
      <c r="W1208" s="219"/>
      <c r="X1208" s="219"/>
      <c r="Y1208" s="219"/>
      <c r="Z1208" s="219"/>
      <c r="AA1208" s="219"/>
      <c r="AB1208" s="219"/>
      <c r="AC1208" s="219"/>
    </row>
    <row r="1209" spans="1:29" ht="15.75" hidden="1" customHeight="1">
      <c r="A1209" s="257">
        <v>44782</v>
      </c>
      <c r="B1209" s="258" t="s">
        <v>120</v>
      </c>
      <c r="C1209" s="249">
        <v>3.75</v>
      </c>
      <c r="D1209" s="258" t="s">
        <v>864</v>
      </c>
      <c r="E1209" s="250" t="s">
        <v>5</v>
      </c>
      <c r="F1209" s="258" t="s">
        <v>447</v>
      </c>
      <c r="G1209" s="258" t="s">
        <v>10457</v>
      </c>
      <c r="H1209" s="258">
        <v>3.5</v>
      </c>
      <c r="I1209" s="258" t="s">
        <v>543</v>
      </c>
      <c r="J1209" s="258" t="s">
        <v>866</v>
      </c>
      <c r="K1209" s="258">
        <v>4</v>
      </c>
      <c r="L1209" s="258"/>
      <c r="M1209" s="258"/>
      <c r="N1209" s="258" t="s">
        <v>452</v>
      </c>
      <c r="O1209" s="258" t="s">
        <v>452</v>
      </c>
      <c r="P1209" s="258"/>
      <c r="Q1209" s="258" t="s">
        <v>18</v>
      </c>
      <c r="R1209" s="259" t="s">
        <v>867</v>
      </c>
      <c r="S1209" s="259"/>
      <c r="T1209" s="259"/>
      <c r="U1209" s="259"/>
      <c r="V1209" s="258"/>
      <c r="W1209" s="258"/>
      <c r="X1209" s="258"/>
      <c r="Y1209" s="258"/>
      <c r="Z1209" s="258"/>
      <c r="AA1209" s="258"/>
      <c r="AB1209" s="258"/>
      <c r="AC1209" s="258"/>
    </row>
    <row r="1210" spans="1:29" ht="15.75" customHeight="1">
      <c r="A1210" s="541">
        <v>44791</v>
      </c>
      <c r="B1210" s="306" t="s">
        <v>10240</v>
      </c>
      <c r="C1210" s="542"/>
      <c r="D1210" s="306" t="s">
        <v>5405</v>
      </c>
      <c r="E1210" s="306" t="s">
        <v>4</v>
      </c>
      <c r="F1210" s="306"/>
      <c r="G1210" s="306"/>
      <c r="H1210" s="306"/>
      <c r="I1210" s="306"/>
      <c r="J1210" s="306"/>
      <c r="K1210" s="306"/>
      <c r="L1210" s="306" t="s">
        <v>478</v>
      </c>
      <c r="M1210" s="306" t="s">
        <v>5408</v>
      </c>
      <c r="N1210" s="306" t="s">
        <v>452</v>
      </c>
      <c r="O1210" s="306" t="s">
        <v>10242</v>
      </c>
      <c r="P1210" s="306" t="s">
        <v>602</v>
      </c>
      <c r="Q1210" s="306"/>
      <c r="R1210" s="306"/>
      <c r="S1210" s="306" t="str">
        <f>IFERROR(VLOOKUP(B1210,'2022-2023 Third Reviews'!$C:$S,9,FALSE),"")</f>
        <v/>
      </c>
      <c r="T1210" s="306"/>
      <c r="U1210" s="306"/>
      <c r="V1210" s="219"/>
      <c r="W1210" s="219"/>
      <c r="X1210" s="219"/>
      <c r="Y1210" s="219"/>
      <c r="Z1210" s="219"/>
      <c r="AA1210" s="219"/>
      <c r="AB1210" s="219"/>
      <c r="AC1210" s="219"/>
    </row>
    <row r="1211" spans="1:29" ht="15.75" customHeight="1">
      <c r="A1211" s="541">
        <v>44796</v>
      </c>
      <c r="B1211" s="306" t="s">
        <v>192</v>
      </c>
      <c r="C1211" s="542"/>
      <c r="D1211" s="306" t="s">
        <v>3778</v>
      </c>
      <c r="E1211" s="306" t="s">
        <v>4</v>
      </c>
      <c r="F1211" s="306" t="s">
        <v>725</v>
      </c>
      <c r="G1211" s="306"/>
      <c r="H1211" s="306"/>
      <c r="I1211" s="306" t="s">
        <v>476</v>
      </c>
      <c r="J1211" s="306" t="s">
        <v>13400</v>
      </c>
      <c r="K1211" s="306">
        <v>3.5</v>
      </c>
      <c r="L1211" s="306" t="s">
        <v>451</v>
      </c>
      <c r="M1211" s="545">
        <v>2500000</v>
      </c>
      <c r="N1211" s="306" t="s">
        <v>452</v>
      </c>
      <c r="O1211" s="306" t="s">
        <v>3781</v>
      </c>
      <c r="P1211" s="306"/>
      <c r="Q1211" s="306"/>
      <c r="R1211" s="306"/>
      <c r="S1211" s="306" t="str">
        <f>IFERROR(VLOOKUP(B1211,'2022-2023 Third Reviews'!$C:$S,9,FALSE),"")</f>
        <v/>
      </c>
      <c r="T1211" s="306"/>
      <c r="U1211" s="306"/>
      <c r="V1211" s="224"/>
      <c r="W1211" s="224"/>
      <c r="X1211" s="224"/>
      <c r="Y1211" s="224"/>
      <c r="Z1211" s="224"/>
      <c r="AA1211" s="224"/>
      <c r="AB1211" s="224"/>
      <c r="AC1211" s="224"/>
    </row>
    <row r="1212" spans="1:29" ht="15.75" customHeight="1">
      <c r="A1212" s="479">
        <v>44789</v>
      </c>
      <c r="B1212" s="303" t="s">
        <v>6673</v>
      </c>
      <c r="C1212" s="269"/>
      <c r="D1212" s="303" t="s">
        <v>6676</v>
      </c>
      <c r="E1212" s="270" t="s">
        <v>4</v>
      </c>
      <c r="F1212" s="303" t="s">
        <v>727</v>
      </c>
      <c r="G1212" s="303" t="s">
        <v>6677</v>
      </c>
      <c r="H1212" s="303">
        <v>2.5</v>
      </c>
      <c r="I1212" s="303" t="s">
        <v>602</v>
      </c>
      <c r="J1212" s="303"/>
      <c r="K1212" s="303"/>
      <c r="L1212" s="303" t="s">
        <v>451</v>
      </c>
      <c r="M1212" s="303">
        <v>2800000</v>
      </c>
      <c r="N1212" s="303" t="s">
        <v>452</v>
      </c>
      <c r="O1212" s="303" t="s">
        <v>6679</v>
      </c>
      <c r="P1212" s="303"/>
      <c r="Q1212" s="303"/>
      <c r="R1212" s="303"/>
      <c r="S1212" s="303" t="str">
        <f>IFERROR(VLOOKUP(B1212,'2022-2023 Third Reviews'!$C:$S,9,FALSE),"")</f>
        <v/>
      </c>
      <c r="T1212" s="303"/>
      <c r="U1212" s="303"/>
      <c r="V1212" s="219"/>
      <c r="W1212" s="219"/>
      <c r="X1212" s="219"/>
      <c r="Y1212" s="219"/>
      <c r="Z1212" s="219"/>
      <c r="AA1212" s="219"/>
      <c r="AB1212" s="219"/>
      <c r="AC1212" s="219"/>
    </row>
    <row r="1213" spans="1:29" ht="15.75" customHeight="1">
      <c r="A1213" s="479">
        <v>44789</v>
      </c>
      <c r="B1213" s="303" t="s">
        <v>6208</v>
      </c>
      <c r="C1213" s="269"/>
      <c r="D1213" s="303" t="s">
        <v>6211</v>
      </c>
      <c r="E1213" s="270" t="s">
        <v>4</v>
      </c>
      <c r="F1213" s="303" t="s">
        <v>727</v>
      </c>
      <c r="G1213" s="303" t="s">
        <v>10225</v>
      </c>
      <c r="H1213" s="303">
        <v>3</v>
      </c>
      <c r="I1213" s="303" t="s">
        <v>602</v>
      </c>
      <c r="J1213" s="303"/>
      <c r="K1213" s="303"/>
      <c r="L1213" s="303" t="s">
        <v>451</v>
      </c>
      <c r="M1213" s="303">
        <v>1000000</v>
      </c>
      <c r="N1213" s="303" t="s">
        <v>465</v>
      </c>
      <c r="O1213" s="539" t="s">
        <v>6214</v>
      </c>
      <c r="P1213" s="303" t="s">
        <v>6215</v>
      </c>
      <c r="Q1213" s="303"/>
      <c r="R1213" s="303"/>
      <c r="S1213" s="303" t="str">
        <f>IFERROR(VLOOKUP(B1213,'2022-2023 Third Reviews'!$C:$S,9,FALSE),"")</f>
        <v/>
      </c>
      <c r="T1213" s="303"/>
      <c r="U1213" s="303"/>
      <c r="V1213" s="306"/>
      <c r="W1213" s="306"/>
      <c r="X1213" s="306"/>
      <c r="Y1213" s="306"/>
      <c r="Z1213" s="306"/>
      <c r="AA1213" s="306"/>
      <c r="AB1213" s="306"/>
      <c r="AC1213" s="306"/>
    </row>
    <row r="1214" spans="1:29" ht="15.75" hidden="1" customHeight="1">
      <c r="A1214" s="280">
        <v>44784</v>
      </c>
      <c r="B1214" s="281" t="s">
        <v>388</v>
      </c>
      <c r="C1214" s="282">
        <v>3.5</v>
      </c>
      <c r="D1214" s="281" t="s">
        <v>9927</v>
      </c>
      <c r="E1214" s="281" t="s">
        <v>3</v>
      </c>
      <c r="F1214" s="281" t="s">
        <v>460</v>
      </c>
      <c r="G1214" s="281" t="s">
        <v>9928</v>
      </c>
      <c r="H1214" s="281">
        <v>3</v>
      </c>
      <c r="I1214" s="281" t="s">
        <v>462</v>
      </c>
      <c r="J1214" s="281" t="s">
        <v>9929</v>
      </c>
      <c r="K1214" s="281">
        <v>4</v>
      </c>
      <c r="L1214" s="281" t="s">
        <v>923</v>
      </c>
      <c r="M1214" s="288">
        <v>4000000</v>
      </c>
      <c r="N1214" s="281" t="s">
        <v>452</v>
      </c>
      <c r="O1214" s="288" t="s">
        <v>9930</v>
      </c>
      <c r="P1214" s="281" t="s">
        <v>460</v>
      </c>
      <c r="Q1214" s="281" t="s">
        <v>20</v>
      </c>
      <c r="R1214" s="283" t="s">
        <v>9931</v>
      </c>
      <c r="S1214" s="283"/>
      <c r="T1214" s="283"/>
      <c r="U1214" s="283"/>
      <c r="V1214" s="281"/>
      <c r="W1214" s="281"/>
      <c r="X1214" s="281"/>
      <c r="Y1214" s="281"/>
      <c r="Z1214" s="281"/>
      <c r="AA1214" s="258"/>
      <c r="AB1214" s="258"/>
      <c r="AC1214" s="258"/>
    </row>
    <row r="1215" spans="1:29" ht="15.75" hidden="1" customHeight="1">
      <c r="A1215" s="253">
        <v>44789</v>
      </c>
      <c r="B1215" s="224" t="s">
        <v>9160</v>
      </c>
      <c r="C1215" s="249">
        <v>3</v>
      </c>
      <c r="D1215" s="224" t="s">
        <v>9163</v>
      </c>
      <c r="E1215" s="250" t="s">
        <v>3</v>
      </c>
      <c r="F1215" s="224" t="s">
        <v>460</v>
      </c>
      <c r="G1215" s="224" t="s">
        <v>9164</v>
      </c>
      <c r="H1215" s="224">
        <v>3</v>
      </c>
      <c r="I1215" s="224" t="s">
        <v>462</v>
      </c>
      <c r="J1215" s="224" t="s">
        <v>9165</v>
      </c>
      <c r="K1215" s="224">
        <v>3</v>
      </c>
      <c r="L1215" s="224"/>
      <c r="M1215" s="224"/>
      <c r="N1215" s="224" t="s">
        <v>454</v>
      </c>
      <c r="O1215" s="224" t="s">
        <v>10945</v>
      </c>
      <c r="P1215" s="224"/>
      <c r="Q1215" s="224" t="s">
        <v>24</v>
      </c>
      <c r="R1215" s="254"/>
      <c r="S1215" s="254"/>
      <c r="T1215" s="254"/>
      <c r="U1215" s="254"/>
      <c r="V1215" s="252"/>
      <c r="W1215" s="252"/>
      <c r="X1215" s="252"/>
      <c r="Y1215" s="224"/>
      <c r="Z1215" s="224"/>
      <c r="AA1215" s="224"/>
      <c r="AB1215" s="224"/>
      <c r="AC1215" s="224"/>
    </row>
    <row r="1216" spans="1:29" ht="15.75" hidden="1" customHeight="1">
      <c r="A1216" s="541">
        <v>44791</v>
      </c>
      <c r="B1216" s="306" t="s">
        <v>9934</v>
      </c>
      <c r="C1216" s="542"/>
      <c r="D1216" s="306" t="s">
        <v>9937</v>
      </c>
      <c r="E1216" s="306" t="s">
        <v>3</v>
      </c>
      <c r="F1216" s="306" t="s">
        <v>460</v>
      </c>
      <c r="G1216" s="306"/>
      <c r="H1216" s="306"/>
      <c r="I1216" s="306" t="s">
        <v>941</v>
      </c>
      <c r="J1216" s="306" t="s">
        <v>9939</v>
      </c>
      <c r="K1216" s="306">
        <v>3.5</v>
      </c>
      <c r="L1216" s="306"/>
      <c r="M1216" s="544"/>
      <c r="N1216" s="306" t="s">
        <v>454</v>
      </c>
      <c r="O1216" s="306" t="s">
        <v>10891</v>
      </c>
      <c r="P1216" s="306"/>
      <c r="Q1216" s="306"/>
      <c r="R1216" s="543"/>
      <c r="S1216" s="543"/>
      <c r="T1216" s="543"/>
      <c r="U1216" s="543"/>
      <c r="V1216" s="306"/>
      <c r="W1216" s="306"/>
      <c r="X1216" s="306"/>
      <c r="Y1216" s="306"/>
      <c r="Z1216" s="306"/>
      <c r="AA1216" s="306"/>
      <c r="AB1216" s="306"/>
      <c r="AC1216" s="306"/>
    </row>
    <row r="1217" spans="1:29" ht="15.75" hidden="1" customHeight="1">
      <c r="A1217" s="257">
        <v>44791</v>
      </c>
      <c r="B1217" s="258" t="s">
        <v>9934</v>
      </c>
      <c r="C1217" s="263">
        <v>3.25</v>
      </c>
      <c r="D1217" s="258" t="s">
        <v>9937</v>
      </c>
      <c r="E1217" s="258" t="s">
        <v>3</v>
      </c>
      <c r="F1217" s="258" t="s">
        <v>460</v>
      </c>
      <c r="G1217" s="258" t="s">
        <v>9938</v>
      </c>
      <c r="H1217" s="258">
        <v>3</v>
      </c>
      <c r="I1217" s="258" t="s">
        <v>941</v>
      </c>
      <c r="J1217" s="258" t="s">
        <v>9939</v>
      </c>
      <c r="K1217" s="258">
        <v>3.5</v>
      </c>
      <c r="L1217" s="258"/>
      <c r="M1217" s="258"/>
      <c r="N1217" s="258" t="s">
        <v>454</v>
      </c>
      <c r="O1217" s="258" t="s">
        <v>10891</v>
      </c>
      <c r="P1217" s="258"/>
      <c r="Q1217" s="258" t="s">
        <v>23</v>
      </c>
      <c r="R1217" s="259" t="s">
        <v>9941</v>
      </c>
      <c r="S1217" s="259"/>
      <c r="T1217" s="259"/>
      <c r="U1217" s="259"/>
      <c r="V1217" s="258"/>
      <c r="W1217" s="258"/>
      <c r="X1217" s="258"/>
      <c r="Y1217" s="258"/>
      <c r="Z1217" s="258"/>
      <c r="AA1217" s="258"/>
      <c r="AB1217" s="258"/>
      <c r="AC1217" s="258"/>
    </row>
    <row r="1218" spans="1:29" ht="15.75" hidden="1" customHeight="1">
      <c r="A1218" s="541">
        <v>44796</v>
      </c>
      <c r="B1218" s="306" t="s">
        <v>348</v>
      </c>
      <c r="C1218" s="542"/>
      <c r="D1218" s="306" t="s">
        <v>1998</v>
      </c>
      <c r="E1218" s="306" t="s">
        <v>3</v>
      </c>
      <c r="F1218" s="306" t="s">
        <v>488</v>
      </c>
      <c r="G1218" s="306"/>
      <c r="H1218" s="306"/>
      <c r="I1218" s="306" t="s">
        <v>941</v>
      </c>
      <c r="J1218" s="306"/>
      <c r="K1218" s="306"/>
      <c r="L1218" s="306" t="s">
        <v>478</v>
      </c>
      <c r="M1218" s="306" t="s">
        <v>2001</v>
      </c>
      <c r="N1218" s="306" t="s">
        <v>452</v>
      </c>
      <c r="O1218" s="306" t="s">
        <v>452</v>
      </c>
      <c r="P1218" s="306" t="s">
        <v>2002</v>
      </c>
      <c r="Q1218" s="306"/>
      <c r="R1218" s="543"/>
      <c r="S1218" s="543"/>
      <c r="T1218" s="543"/>
      <c r="U1218" s="543"/>
      <c r="V1218" s="219"/>
      <c r="W1218" s="219"/>
      <c r="X1218" s="219"/>
      <c r="Y1218" s="219"/>
      <c r="Z1218" s="219"/>
      <c r="AA1218" s="219"/>
      <c r="AB1218" s="219"/>
      <c r="AC1218" s="219"/>
    </row>
    <row r="1219" spans="1:29" ht="15.75" hidden="1" customHeight="1">
      <c r="A1219" s="541">
        <v>44797</v>
      </c>
      <c r="B1219" s="306" t="s">
        <v>348</v>
      </c>
      <c r="C1219" s="542"/>
      <c r="D1219" s="306" t="s">
        <v>1998</v>
      </c>
      <c r="E1219" s="306" t="s">
        <v>3</v>
      </c>
      <c r="F1219" s="306" t="s">
        <v>488</v>
      </c>
      <c r="G1219" s="306"/>
      <c r="H1219" s="306"/>
      <c r="I1219" s="306" t="s">
        <v>941</v>
      </c>
      <c r="J1219" s="306"/>
      <c r="K1219" s="306"/>
      <c r="L1219" s="306" t="s">
        <v>478</v>
      </c>
      <c r="M1219" s="306" t="s">
        <v>2001</v>
      </c>
      <c r="N1219" s="306" t="s">
        <v>452</v>
      </c>
      <c r="O1219" s="306" t="s">
        <v>452</v>
      </c>
      <c r="P1219" s="306" t="s">
        <v>2002</v>
      </c>
      <c r="Q1219" s="306"/>
      <c r="R1219" s="543"/>
      <c r="S1219" s="543"/>
      <c r="T1219" s="543"/>
      <c r="U1219" s="543"/>
      <c r="V1219" s="306"/>
      <c r="W1219" s="306"/>
      <c r="X1219" s="306"/>
      <c r="Y1219" s="306"/>
      <c r="Z1219" s="306"/>
      <c r="AA1219" s="306"/>
      <c r="AB1219" s="306"/>
      <c r="AC1219" s="306"/>
    </row>
    <row r="1220" spans="1:29" ht="15.75" hidden="1" customHeight="1">
      <c r="A1220" s="257">
        <v>44797</v>
      </c>
      <c r="B1220" s="258" t="s">
        <v>348</v>
      </c>
      <c r="C1220" s="263">
        <v>4.75</v>
      </c>
      <c r="D1220" s="258" t="s">
        <v>1998</v>
      </c>
      <c r="E1220" s="258" t="s">
        <v>3</v>
      </c>
      <c r="F1220" s="258" t="s">
        <v>460</v>
      </c>
      <c r="G1220" s="258" t="s">
        <v>1999</v>
      </c>
      <c r="H1220" s="258">
        <v>4.5</v>
      </c>
      <c r="I1220" s="258" t="s">
        <v>941</v>
      </c>
      <c r="J1220" s="258" t="s">
        <v>2000</v>
      </c>
      <c r="K1220" s="258">
        <v>5</v>
      </c>
      <c r="L1220" s="258" t="s">
        <v>478</v>
      </c>
      <c r="M1220" s="258" t="s">
        <v>2001</v>
      </c>
      <c r="N1220" s="258" t="s">
        <v>452</v>
      </c>
      <c r="O1220" s="258" t="s">
        <v>452</v>
      </c>
      <c r="P1220" s="258" t="s">
        <v>2002</v>
      </c>
      <c r="Q1220" s="258" t="s">
        <v>18</v>
      </c>
      <c r="R1220" s="259" t="s">
        <v>2003</v>
      </c>
      <c r="S1220" s="259"/>
      <c r="T1220" s="259"/>
      <c r="U1220" s="259"/>
      <c r="V1220" s="258"/>
      <c r="W1220" s="258"/>
      <c r="X1220" s="258"/>
      <c r="Y1220" s="258"/>
      <c r="Z1220" s="258"/>
      <c r="AA1220" s="258"/>
      <c r="AB1220" s="258"/>
      <c r="AC1220" s="258"/>
    </row>
    <row r="1221" spans="1:29" ht="15.75" hidden="1" customHeight="1">
      <c r="A1221" s="253">
        <v>44782</v>
      </c>
      <c r="B1221" s="224" t="s">
        <v>349</v>
      </c>
      <c r="C1221" s="249">
        <v>4.25</v>
      </c>
      <c r="D1221" s="224" t="s">
        <v>2008</v>
      </c>
      <c r="E1221" s="250" t="s">
        <v>3</v>
      </c>
      <c r="F1221" s="224" t="s">
        <v>460</v>
      </c>
      <c r="G1221" s="224" t="s">
        <v>2009</v>
      </c>
      <c r="H1221" s="224">
        <v>4.5</v>
      </c>
      <c r="I1221" s="224" t="s">
        <v>941</v>
      </c>
      <c r="J1221" s="224"/>
      <c r="K1221" s="224">
        <v>4</v>
      </c>
      <c r="L1221" s="224" t="s">
        <v>451</v>
      </c>
      <c r="M1221" s="224" t="s">
        <v>2010</v>
      </c>
      <c r="N1221" s="224" t="s">
        <v>452</v>
      </c>
      <c r="O1221" s="224" t="s">
        <v>452</v>
      </c>
      <c r="P1221" s="224"/>
      <c r="Q1221" s="224" t="s">
        <v>18</v>
      </c>
      <c r="R1221" s="254"/>
      <c r="S1221" s="254"/>
      <c r="T1221" s="254"/>
      <c r="U1221" s="254"/>
      <c r="V1221" s="252"/>
      <c r="W1221" s="252"/>
      <c r="X1221" s="252"/>
      <c r="Y1221" s="224"/>
      <c r="Z1221" s="224"/>
      <c r="AA1221" s="224"/>
      <c r="AB1221" s="224"/>
      <c r="AC1221" s="224"/>
    </row>
    <row r="1222" spans="1:29" ht="15.75" customHeight="1">
      <c r="A1222" s="541">
        <v>44797</v>
      </c>
      <c r="B1222" s="306" t="s">
        <v>4585</v>
      </c>
      <c r="C1222" s="542"/>
      <c r="D1222" s="306" t="s">
        <v>4588</v>
      </c>
      <c r="E1222" s="306" t="s">
        <v>4</v>
      </c>
      <c r="F1222" s="306" t="s">
        <v>488</v>
      </c>
      <c r="G1222" s="306"/>
      <c r="H1222" s="306"/>
      <c r="I1222" s="306" t="s">
        <v>1073</v>
      </c>
      <c r="J1222" s="306" t="s">
        <v>4590</v>
      </c>
      <c r="K1222" s="306">
        <v>5</v>
      </c>
      <c r="L1222" s="306" t="s">
        <v>784</v>
      </c>
      <c r="M1222" s="306">
        <v>500000</v>
      </c>
      <c r="N1222" s="306" t="s">
        <v>452</v>
      </c>
      <c r="O1222" s="306" t="s">
        <v>4591</v>
      </c>
      <c r="P1222" s="306"/>
      <c r="Q1222" s="306"/>
      <c r="R1222" s="306"/>
      <c r="S1222" s="306" t="str">
        <f>IFERROR(VLOOKUP(B1222,'2022-2023 Third Reviews'!$C:$S,9,FALSE),"")</f>
        <v/>
      </c>
      <c r="T1222" s="306"/>
      <c r="U1222" s="306"/>
      <c r="V1222" s="219"/>
      <c r="W1222" s="219"/>
      <c r="X1222" s="219"/>
      <c r="Y1222" s="219"/>
      <c r="Z1222" s="219"/>
      <c r="AA1222" s="219"/>
      <c r="AB1222" s="219"/>
      <c r="AC1222" s="219"/>
    </row>
    <row r="1223" spans="1:29" ht="15.75" customHeight="1">
      <c r="A1223" s="541">
        <v>44796</v>
      </c>
      <c r="B1223" s="306" t="s">
        <v>4925</v>
      </c>
      <c r="C1223" s="542"/>
      <c r="D1223" s="306" t="s">
        <v>4928</v>
      </c>
      <c r="E1223" s="306" t="s">
        <v>4</v>
      </c>
      <c r="F1223" s="306" t="s">
        <v>727</v>
      </c>
      <c r="G1223" s="306"/>
      <c r="H1223" s="306"/>
      <c r="I1223" s="306" t="s">
        <v>1073</v>
      </c>
      <c r="J1223" s="306"/>
      <c r="K1223" s="306">
        <v>3</v>
      </c>
      <c r="L1223" s="306"/>
      <c r="M1223" s="306"/>
      <c r="N1223" s="306" t="s">
        <v>452</v>
      </c>
      <c r="O1223" s="306" t="s">
        <v>10574</v>
      </c>
      <c r="P1223" s="306"/>
      <c r="Q1223" s="306"/>
      <c r="R1223" s="306"/>
      <c r="S1223" s="306" t="str">
        <f>IFERROR(VLOOKUP(B1223,'2022-2023 Third Reviews'!$C:$S,9,FALSE),"")</f>
        <v/>
      </c>
      <c r="T1223" s="306"/>
      <c r="U1223" s="306"/>
      <c r="V1223" s="252"/>
      <c r="W1223" s="252"/>
      <c r="X1223" s="252"/>
      <c r="Y1223" s="224"/>
      <c r="Z1223" s="224"/>
      <c r="AA1223" s="224"/>
      <c r="AB1223" s="224"/>
      <c r="AC1223" s="224"/>
    </row>
    <row r="1224" spans="1:29" ht="15.75" hidden="1" customHeight="1">
      <c r="A1224" s="257">
        <v>44789</v>
      </c>
      <c r="B1224" s="258" t="s">
        <v>122</v>
      </c>
      <c r="C1224" s="263">
        <v>4.25</v>
      </c>
      <c r="D1224" s="258" t="s">
        <v>872</v>
      </c>
      <c r="E1224" s="258" t="s">
        <v>5</v>
      </c>
      <c r="F1224" s="258" t="s">
        <v>447</v>
      </c>
      <c r="G1224" s="258" t="s">
        <v>11614</v>
      </c>
      <c r="H1224" s="258">
        <v>4</v>
      </c>
      <c r="I1224" s="258" t="s">
        <v>543</v>
      </c>
      <c r="J1224" s="258" t="e">
        <f>+design, geometry and self-ballasted nature of the Solar Station
+Creating Solar Station, a modular, portable EV and Micro mobility charger ready for any location
+Team looks good and the founder has Startup experience
- need scale fast</f>
        <v>#NAME?</v>
      </c>
      <c r="K1224" s="258">
        <v>4.5</v>
      </c>
      <c r="L1224" s="258" t="s">
        <v>451</v>
      </c>
      <c r="M1224" s="258" t="s">
        <v>874</v>
      </c>
      <c r="N1224" s="258" t="s">
        <v>452</v>
      </c>
      <c r="O1224" s="258" t="s">
        <v>875</v>
      </c>
      <c r="P1224" s="258" t="s">
        <v>876</v>
      </c>
      <c r="Q1224" s="258" t="s">
        <v>18</v>
      </c>
      <c r="R1224" s="259" t="s">
        <v>877</v>
      </c>
      <c r="S1224" s="259"/>
      <c r="T1224" s="259"/>
      <c r="U1224" s="259"/>
      <c r="V1224" s="258"/>
      <c r="W1224" s="258"/>
      <c r="X1224" s="258"/>
      <c r="Y1224" s="258"/>
      <c r="Z1224" s="258"/>
      <c r="AA1224" s="258"/>
      <c r="AB1224" s="258"/>
      <c r="AC1224" s="258"/>
    </row>
    <row r="1225" spans="1:29" ht="15.75" hidden="1" customHeight="1">
      <c r="A1225" s="280">
        <v>44784</v>
      </c>
      <c r="B1225" s="281" t="s">
        <v>144</v>
      </c>
      <c r="C1225" s="282">
        <v>3.75</v>
      </c>
      <c r="D1225" s="281" t="s">
        <v>10432</v>
      </c>
      <c r="E1225" s="281" t="s">
        <v>5</v>
      </c>
      <c r="F1225" s="281" t="s">
        <v>447</v>
      </c>
      <c r="G1225" s="281" t="s">
        <v>10433</v>
      </c>
      <c r="H1225" s="281">
        <v>3.5</v>
      </c>
      <c r="I1225" s="281" t="s">
        <v>449</v>
      </c>
      <c r="J1225" s="281" t="s">
        <v>11565</v>
      </c>
      <c r="K1225" s="281">
        <v>4</v>
      </c>
      <c r="L1225" s="281"/>
      <c r="M1225" s="281"/>
      <c r="N1225" s="281" t="s">
        <v>452</v>
      </c>
      <c r="O1225" s="281" t="s">
        <v>3290</v>
      </c>
      <c r="P1225" s="281"/>
      <c r="Q1225" s="281" t="s">
        <v>20</v>
      </c>
      <c r="R1225" s="283" t="s">
        <v>3291</v>
      </c>
      <c r="S1225" s="283"/>
      <c r="T1225" s="283"/>
      <c r="U1225" s="283"/>
      <c r="V1225" s="281"/>
      <c r="W1225" s="281"/>
      <c r="X1225" s="281"/>
      <c r="Y1225" s="281"/>
      <c r="Z1225" s="281"/>
      <c r="AA1225" s="258"/>
      <c r="AB1225" s="258"/>
      <c r="AC1225" s="258"/>
    </row>
    <row r="1226" spans="1:29" ht="15.75" customHeight="1">
      <c r="A1226" s="541">
        <v>44797</v>
      </c>
      <c r="B1226" s="306" t="s">
        <v>4593</v>
      </c>
      <c r="C1226" s="542"/>
      <c r="D1226" s="306" t="s">
        <v>4596</v>
      </c>
      <c r="E1226" s="306" t="s">
        <v>4</v>
      </c>
      <c r="F1226" s="306" t="s">
        <v>488</v>
      </c>
      <c r="G1226" s="306"/>
      <c r="H1226" s="306"/>
      <c r="I1226" s="306" t="s">
        <v>1073</v>
      </c>
      <c r="J1226" s="306" t="s">
        <v>4598</v>
      </c>
      <c r="K1226" s="306">
        <v>4</v>
      </c>
      <c r="L1226" s="306"/>
      <c r="M1226" s="306"/>
      <c r="N1226" s="306" t="s">
        <v>452</v>
      </c>
      <c r="O1226" s="306" t="s">
        <v>1119</v>
      </c>
      <c r="P1226" s="306"/>
      <c r="Q1226" s="306"/>
      <c r="R1226" s="306"/>
      <c r="S1226" s="306" t="str">
        <f>IFERROR(VLOOKUP(B1226,'2022-2023 Third Reviews'!$C:$S,9,FALSE),"")</f>
        <v/>
      </c>
      <c r="T1226" s="306"/>
      <c r="U1226" s="306"/>
      <c r="V1226" s="258"/>
      <c r="W1226" s="258"/>
      <c r="X1226" s="258"/>
      <c r="Y1226" s="258"/>
      <c r="Z1226" s="258"/>
      <c r="AA1226" s="258"/>
      <c r="AB1226" s="258"/>
      <c r="AC1226" s="258"/>
    </row>
    <row r="1227" spans="1:29" ht="15.75" customHeight="1">
      <c r="A1227" s="541">
        <v>44797</v>
      </c>
      <c r="B1227" s="306" t="s">
        <v>7119</v>
      </c>
      <c r="C1227" s="542"/>
      <c r="D1227" s="306" t="s">
        <v>7122</v>
      </c>
      <c r="E1227" s="306" t="s">
        <v>4</v>
      </c>
      <c r="F1227" s="306" t="s">
        <v>488</v>
      </c>
      <c r="G1227" s="306"/>
      <c r="H1227" s="306"/>
      <c r="I1227" s="306" t="s">
        <v>1073</v>
      </c>
      <c r="J1227" s="306"/>
      <c r="K1227" s="306">
        <v>2</v>
      </c>
      <c r="L1227" s="306"/>
      <c r="M1227" s="306"/>
      <c r="N1227" s="306" t="s">
        <v>452</v>
      </c>
      <c r="O1227" s="306" t="s">
        <v>11225</v>
      </c>
      <c r="P1227" s="306"/>
      <c r="Q1227" s="306"/>
      <c r="R1227" s="306"/>
      <c r="S1227" s="306" t="str">
        <f>IFERROR(VLOOKUP(B1227,'2022-2023 Third Reviews'!$C:$S,9,FALSE),"")</f>
        <v/>
      </c>
      <c r="T1227" s="306"/>
      <c r="U1227" s="306"/>
      <c r="V1227" s="224"/>
      <c r="W1227" s="224"/>
      <c r="X1227" s="224"/>
      <c r="Y1227" s="224"/>
      <c r="Z1227" s="224"/>
      <c r="AA1227" s="224"/>
      <c r="AB1227" s="224"/>
      <c r="AC1227" s="224"/>
    </row>
    <row r="1228" spans="1:29" ht="15.75" hidden="1" customHeight="1">
      <c r="A1228" s="248">
        <v>44782</v>
      </c>
      <c r="B1228" s="219" t="s">
        <v>3294</v>
      </c>
      <c r="C1228" s="249">
        <v>2.75</v>
      </c>
      <c r="D1228" s="219" t="s">
        <v>3297</v>
      </c>
      <c r="E1228" s="250" t="s">
        <v>5</v>
      </c>
      <c r="F1228" s="219" t="s">
        <v>447</v>
      </c>
      <c r="G1228" s="219" t="s">
        <v>11183</v>
      </c>
      <c r="H1228" s="219">
        <v>3</v>
      </c>
      <c r="I1228" s="219" t="s">
        <v>622</v>
      </c>
      <c r="J1228" s="219" t="s">
        <v>11538</v>
      </c>
      <c r="K1228" s="219">
        <v>2.5</v>
      </c>
      <c r="L1228" s="219" t="s">
        <v>784</v>
      </c>
      <c r="M1228" s="219">
        <v>500000</v>
      </c>
      <c r="N1228" s="219" t="s">
        <v>452</v>
      </c>
      <c r="O1228" s="219" t="s">
        <v>3300</v>
      </c>
      <c r="P1228" s="219"/>
      <c r="Q1228" s="219" t="s">
        <v>24</v>
      </c>
      <c r="R1228" s="251"/>
      <c r="S1228" s="251"/>
      <c r="T1228" s="251"/>
      <c r="U1228" s="251"/>
      <c r="V1228" s="252"/>
      <c r="W1228" s="252"/>
      <c r="X1228" s="252"/>
      <c r="Y1228" s="219"/>
      <c r="Z1228" s="219"/>
      <c r="AA1228" s="219"/>
      <c r="AB1228" s="219"/>
      <c r="AC1228" s="219"/>
    </row>
    <row r="1229" spans="1:29" ht="15.75" customHeight="1">
      <c r="A1229" s="541">
        <v>44797</v>
      </c>
      <c r="B1229" s="306" t="s">
        <v>170</v>
      </c>
      <c r="C1229" s="542"/>
      <c r="D1229" s="306"/>
      <c r="E1229" s="306" t="s">
        <v>4</v>
      </c>
      <c r="F1229" s="306" t="s">
        <v>725</v>
      </c>
      <c r="G1229" s="306"/>
      <c r="H1229" s="306">
        <v>4.5</v>
      </c>
      <c r="I1229" s="306" t="s">
        <v>462</v>
      </c>
      <c r="J1229" s="306"/>
      <c r="K1229" s="306"/>
      <c r="L1229" s="306" t="s">
        <v>1103</v>
      </c>
      <c r="M1229" s="546">
        <v>8000000</v>
      </c>
      <c r="N1229" s="306" t="s">
        <v>452</v>
      </c>
      <c r="O1229" s="306" t="s">
        <v>575</v>
      </c>
      <c r="P1229" s="306"/>
      <c r="Q1229" s="306"/>
      <c r="R1229" s="306"/>
      <c r="S1229" s="306" t="str">
        <f>IFERROR(VLOOKUP(B1229,'2022-2023 Third Reviews'!$C:$S,9,FALSE),"")</f>
        <v/>
      </c>
      <c r="T1229" s="306"/>
      <c r="U1229" s="306"/>
      <c r="V1229" s="224"/>
      <c r="W1229" s="224"/>
      <c r="X1229" s="224"/>
      <c r="Y1229" s="224"/>
      <c r="Z1229" s="224"/>
      <c r="AA1229" s="224"/>
      <c r="AB1229" s="224"/>
      <c r="AC1229" s="224"/>
    </row>
    <row r="1230" spans="1:29" ht="15.75" customHeight="1">
      <c r="A1230" s="541">
        <v>44796</v>
      </c>
      <c r="B1230" s="306" t="s">
        <v>6228</v>
      </c>
      <c r="C1230" s="542"/>
      <c r="D1230" s="306" t="s">
        <v>6231</v>
      </c>
      <c r="E1230" s="306" t="s">
        <v>4</v>
      </c>
      <c r="F1230" s="306" t="s">
        <v>725</v>
      </c>
      <c r="G1230" s="306"/>
      <c r="H1230" s="306"/>
      <c r="I1230" s="306" t="s">
        <v>1073</v>
      </c>
      <c r="J1230" s="306"/>
      <c r="K1230" s="306">
        <v>3</v>
      </c>
      <c r="L1230" s="306"/>
      <c r="M1230" s="544"/>
      <c r="N1230" s="306" t="s">
        <v>452</v>
      </c>
      <c r="O1230" s="306" t="s">
        <v>452</v>
      </c>
      <c r="P1230" s="306"/>
      <c r="Q1230" s="306"/>
      <c r="R1230" s="306"/>
      <c r="S1230" s="306" t="str">
        <f>IFERROR(VLOOKUP(B1230,'2022-2023 Third Reviews'!$C:$S,9,FALSE),"")</f>
        <v/>
      </c>
      <c r="T1230" s="306"/>
      <c r="U1230" s="306"/>
      <c r="V1230" s="268"/>
      <c r="W1230" s="268"/>
      <c r="X1230" s="268"/>
      <c r="Y1230" s="268"/>
      <c r="Z1230" s="268"/>
      <c r="AA1230" s="219"/>
      <c r="AB1230" s="219"/>
      <c r="AC1230" s="219"/>
    </row>
    <row r="1231" spans="1:29" ht="15.75" customHeight="1">
      <c r="A1231" s="541">
        <v>44796</v>
      </c>
      <c r="B1231" s="306" t="s">
        <v>6235</v>
      </c>
      <c r="C1231" s="542"/>
      <c r="D1231" s="306" t="s">
        <v>6238</v>
      </c>
      <c r="E1231" s="306" t="s">
        <v>4</v>
      </c>
      <c r="F1231" s="306" t="s">
        <v>725</v>
      </c>
      <c r="G1231" s="306"/>
      <c r="H1231" s="306"/>
      <c r="I1231" s="306" t="s">
        <v>476</v>
      </c>
      <c r="J1231" s="306" t="s">
        <v>11143</v>
      </c>
      <c r="K1231" s="306">
        <v>2</v>
      </c>
      <c r="L1231" s="306" t="s">
        <v>451</v>
      </c>
      <c r="M1231" s="306" t="s">
        <v>6241</v>
      </c>
      <c r="N1231" s="306" t="s">
        <v>452</v>
      </c>
      <c r="O1231" s="306" t="s">
        <v>6242</v>
      </c>
      <c r="P1231" s="306"/>
      <c r="Q1231" s="306"/>
      <c r="R1231" s="306"/>
      <c r="S1231" s="306" t="str">
        <f>IFERROR(VLOOKUP(B1231,'2022-2023 Third Reviews'!$C:$S,9,FALSE),"")</f>
        <v/>
      </c>
      <c r="T1231" s="306"/>
      <c r="U1231" s="306"/>
      <c r="V1231" s="252"/>
      <c r="W1231" s="252"/>
      <c r="X1231" s="252"/>
      <c r="Y1231" s="224"/>
      <c r="Z1231" s="224"/>
      <c r="AA1231" s="224"/>
      <c r="AB1231" s="224"/>
      <c r="AC1231" s="224"/>
    </row>
    <row r="1232" spans="1:29" ht="15.75" customHeight="1">
      <c r="A1232" s="541">
        <v>44796</v>
      </c>
      <c r="B1232" s="306" t="s">
        <v>5427</v>
      </c>
      <c r="C1232" s="542"/>
      <c r="D1232" s="306" t="s">
        <v>5430</v>
      </c>
      <c r="E1232" s="306" t="s">
        <v>4</v>
      </c>
      <c r="F1232" s="306" t="s">
        <v>725</v>
      </c>
      <c r="G1232" s="306"/>
      <c r="H1232" s="306"/>
      <c r="I1232" s="306" t="s">
        <v>1045</v>
      </c>
      <c r="J1232" s="306"/>
      <c r="K1232" s="306"/>
      <c r="L1232" s="306" t="s">
        <v>451</v>
      </c>
      <c r="M1232" s="545">
        <v>2500000</v>
      </c>
      <c r="N1232" s="306" t="s">
        <v>465</v>
      </c>
      <c r="O1232" s="306" t="s">
        <v>11126</v>
      </c>
      <c r="P1232" s="306"/>
      <c r="Q1232" s="306"/>
      <c r="R1232" s="306"/>
      <c r="S1232" s="306" t="str">
        <f>IFERROR(VLOOKUP(B1232,'2022-2023 Third Reviews'!$C:$S,9,FALSE),"")</f>
        <v/>
      </c>
      <c r="T1232" s="306"/>
      <c r="U1232" s="306"/>
      <c r="V1232" s="252"/>
      <c r="W1232" s="252"/>
      <c r="X1232" s="252"/>
      <c r="Y1232" s="219"/>
      <c r="Z1232" s="219"/>
      <c r="AA1232" s="219"/>
      <c r="AB1232" s="219"/>
      <c r="AC1232" s="219"/>
    </row>
    <row r="1233" spans="1:29" ht="15.75" customHeight="1">
      <c r="A1233" s="541">
        <v>44796</v>
      </c>
      <c r="B1233" s="306" t="s">
        <v>5883</v>
      </c>
      <c r="C1233" s="542"/>
      <c r="D1233" s="306" t="s">
        <v>5886</v>
      </c>
      <c r="E1233" s="306" t="s">
        <v>4</v>
      </c>
      <c r="F1233" s="306" t="s">
        <v>725</v>
      </c>
      <c r="G1233" s="306"/>
      <c r="H1233" s="306"/>
      <c r="I1233" s="306" t="s">
        <v>1045</v>
      </c>
      <c r="J1233" s="306"/>
      <c r="K1233" s="306"/>
      <c r="L1233" s="306" t="s">
        <v>451</v>
      </c>
      <c r="M1233" s="306" t="s">
        <v>5889</v>
      </c>
      <c r="N1233" s="306" t="s">
        <v>452</v>
      </c>
      <c r="O1233" s="306" t="s">
        <v>5890</v>
      </c>
      <c r="P1233" s="306" t="s">
        <v>5891</v>
      </c>
      <c r="Q1233" s="306"/>
      <c r="R1233" s="306"/>
      <c r="S1233" s="306" t="str">
        <f>IFERROR(VLOOKUP(B1233,'2022-2023 Third Reviews'!$C:$S,9,FALSE),"")</f>
        <v/>
      </c>
      <c r="T1233" s="306"/>
      <c r="U1233" s="306"/>
      <c r="V1233" s="252"/>
      <c r="W1233" s="252"/>
      <c r="X1233" s="252"/>
      <c r="Y1233" s="224"/>
      <c r="Z1233" s="224"/>
      <c r="AA1233" s="224"/>
      <c r="AB1233" s="224"/>
      <c r="AC1233" s="224"/>
    </row>
    <row r="1234" spans="1:29" ht="15.75" hidden="1" customHeight="1">
      <c r="A1234" s="267">
        <v>44784</v>
      </c>
      <c r="B1234" s="268" t="s">
        <v>124</v>
      </c>
      <c r="C1234" s="269">
        <v>4</v>
      </c>
      <c r="D1234" s="268" t="s">
        <v>882</v>
      </c>
      <c r="E1234" s="270" t="s">
        <v>5</v>
      </c>
      <c r="F1234" s="268" t="s">
        <v>447</v>
      </c>
      <c r="G1234" s="268" t="s">
        <v>10553</v>
      </c>
      <c r="H1234" s="268">
        <v>4</v>
      </c>
      <c r="I1234" s="268" t="s">
        <v>449</v>
      </c>
      <c r="J1234" s="268" t="s">
        <v>11554</v>
      </c>
      <c r="K1234" s="268">
        <v>4</v>
      </c>
      <c r="L1234" s="268" t="s">
        <v>885</v>
      </c>
      <c r="M1234" s="268" t="s">
        <v>886</v>
      </c>
      <c r="N1234" s="268" t="s">
        <v>452</v>
      </c>
      <c r="O1234" s="268" t="s">
        <v>10555</v>
      </c>
      <c r="P1234" s="268"/>
      <c r="Q1234" s="268" t="s">
        <v>18</v>
      </c>
      <c r="R1234" s="271"/>
      <c r="S1234" s="271"/>
      <c r="T1234" s="271"/>
      <c r="U1234" s="271"/>
      <c r="V1234" s="268"/>
      <c r="W1234" s="268"/>
      <c r="X1234" s="268"/>
      <c r="Y1234" s="268"/>
      <c r="Z1234" s="268"/>
      <c r="AA1234" s="219"/>
      <c r="AB1234" s="219"/>
      <c r="AC1234" s="219"/>
    </row>
    <row r="1235" spans="1:29" ht="15.75" hidden="1" customHeight="1">
      <c r="A1235" s="253">
        <v>44791</v>
      </c>
      <c r="B1235" s="224" t="s">
        <v>3303</v>
      </c>
      <c r="C1235" s="316">
        <v>3</v>
      </c>
      <c r="D1235" s="224" t="s">
        <v>3306</v>
      </c>
      <c r="E1235" s="224" t="s">
        <v>5</v>
      </c>
      <c r="F1235" s="224" t="s">
        <v>447</v>
      </c>
      <c r="G1235" s="224" t="s">
        <v>11283</v>
      </c>
      <c r="H1235" s="224">
        <v>3</v>
      </c>
      <c r="I1235" s="224" t="s">
        <v>543</v>
      </c>
      <c r="J1235" s="224" t="s">
        <v>11693</v>
      </c>
      <c r="K1235" s="224">
        <v>3</v>
      </c>
      <c r="L1235" s="224" t="s">
        <v>2961</v>
      </c>
      <c r="M1235" s="224">
        <v>1500000</v>
      </c>
      <c r="N1235" s="224" t="s">
        <v>454</v>
      </c>
      <c r="O1235" s="224" t="s">
        <v>3309</v>
      </c>
      <c r="P1235" s="224"/>
      <c r="Q1235" s="322" t="s">
        <v>24</v>
      </c>
      <c r="R1235" s="254"/>
      <c r="S1235" s="254"/>
      <c r="T1235" s="254"/>
      <c r="U1235" s="254"/>
      <c r="V1235" s="224"/>
      <c r="W1235" s="224"/>
      <c r="X1235" s="224"/>
      <c r="Y1235" s="224"/>
      <c r="Z1235" s="224"/>
      <c r="AA1235" s="224"/>
      <c r="AB1235" s="224"/>
      <c r="AC1235" s="224"/>
    </row>
    <row r="1236" spans="1:29" ht="15.75" customHeight="1">
      <c r="A1236" s="541">
        <v>44797</v>
      </c>
      <c r="B1236" s="306" t="s">
        <v>7146</v>
      </c>
      <c r="C1236" s="542"/>
      <c r="D1236" s="306" t="s">
        <v>7149</v>
      </c>
      <c r="E1236" s="306" t="s">
        <v>4</v>
      </c>
      <c r="F1236" s="306" t="s">
        <v>488</v>
      </c>
      <c r="G1236" s="306"/>
      <c r="H1236" s="306"/>
      <c r="I1236" s="306" t="s">
        <v>462</v>
      </c>
      <c r="J1236" s="306"/>
      <c r="K1236" s="306"/>
      <c r="L1236" s="306" t="s">
        <v>2152</v>
      </c>
      <c r="M1236" s="306">
        <v>15000</v>
      </c>
      <c r="N1236" s="306" t="s">
        <v>452</v>
      </c>
      <c r="O1236" s="306" t="s">
        <v>11487</v>
      </c>
      <c r="P1236" s="306"/>
      <c r="Q1236" s="306"/>
      <c r="R1236" s="306"/>
      <c r="S1236" s="306" t="str">
        <f>IFERROR(VLOOKUP(B1236,'2022-2023 Third Reviews'!$C:$S,9,FALSE),"")</f>
        <v/>
      </c>
      <c r="T1236" s="306"/>
      <c r="U1236" s="306"/>
      <c r="V1236" s="219"/>
      <c r="W1236" s="219"/>
      <c r="X1236" s="219"/>
      <c r="Y1236" s="219"/>
      <c r="Z1236" s="219"/>
      <c r="AA1236" s="219"/>
      <c r="AB1236" s="219"/>
      <c r="AC1236" s="219"/>
    </row>
    <row r="1237" spans="1:29" ht="15.75" customHeight="1">
      <c r="A1237" s="541">
        <v>44796</v>
      </c>
      <c r="B1237" s="306" t="s">
        <v>4601</v>
      </c>
      <c r="C1237" s="542"/>
      <c r="D1237" s="306" t="s">
        <v>4604</v>
      </c>
      <c r="E1237" s="306" t="s">
        <v>4</v>
      </c>
      <c r="F1237" s="306" t="s">
        <v>727</v>
      </c>
      <c r="G1237" s="306"/>
      <c r="H1237" s="306"/>
      <c r="I1237" s="306" t="s">
        <v>604</v>
      </c>
      <c r="J1237" s="306" t="s">
        <v>10494</v>
      </c>
      <c r="K1237" s="306">
        <v>3</v>
      </c>
      <c r="L1237" s="306" t="s">
        <v>923</v>
      </c>
      <c r="M1237" s="306">
        <v>1500000</v>
      </c>
      <c r="N1237" s="306" t="s">
        <v>452</v>
      </c>
      <c r="O1237" s="306" t="s">
        <v>10495</v>
      </c>
      <c r="P1237" s="306"/>
      <c r="Q1237" s="306"/>
      <c r="R1237" s="306"/>
      <c r="S1237" s="306" t="str">
        <f>IFERROR(VLOOKUP(B1237,'2022-2023 Third Reviews'!$C:$S,9,FALSE),"")</f>
        <v/>
      </c>
      <c r="T1237" s="306"/>
      <c r="U1237" s="306"/>
      <c r="V1237" s="224"/>
      <c r="W1237" s="224"/>
      <c r="X1237" s="224"/>
      <c r="Y1237" s="224"/>
      <c r="Z1237" s="224"/>
      <c r="AA1237" s="224"/>
      <c r="AB1237" s="224"/>
      <c r="AC1237" s="224"/>
    </row>
    <row r="1238" spans="1:29" ht="15.75" customHeight="1">
      <c r="A1238" s="541">
        <v>44797</v>
      </c>
      <c r="B1238" s="306" t="s">
        <v>4610</v>
      </c>
      <c r="C1238" s="542"/>
      <c r="D1238" s="306" t="s">
        <v>4613</v>
      </c>
      <c r="E1238" s="306" t="s">
        <v>4</v>
      </c>
      <c r="F1238" s="306" t="s">
        <v>1045</v>
      </c>
      <c r="G1238" s="306"/>
      <c r="H1238" s="306"/>
      <c r="I1238" s="306" t="s">
        <v>604</v>
      </c>
      <c r="J1238" s="306" t="s">
        <v>11154</v>
      </c>
      <c r="K1238" s="306">
        <v>4</v>
      </c>
      <c r="L1238" s="306" t="s">
        <v>784</v>
      </c>
      <c r="M1238" s="545">
        <v>750000</v>
      </c>
      <c r="N1238" s="306" t="s">
        <v>454</v>
      </c>
      <c r="O1238" s="306" t="s">
        <v>4616</v>
      </c>
      <c r="P1238" s="306"/>
      <c r="Q1238" s="306"/>
      <c r="R1238" s="306"/>
      <c r="S1238" s="306" t="str">
        <f>IFERROR(VLOOKUP(B1238,'2022-2023 Third Reviews'!$C:$S,9,FALSE),"")</f>
        <v/>
      </c>
      <c r="T1238" s="306"/>
      <c r="U1238" s="306"/>
      <c r="V1238" s="303"/>
      <c r="W1238" s="303"/>
      <c r="X1238" s="303"/>
      <c r="Y1238" s="303"/>
      <c r="Z1238" s="303"/>
      <c r="AA1238" s="306"/>
      <c r="AB1238" s="306"/>
      <c r="AC1238" s="306"/>
    </row>
    <row r="1239" spans="1:29" ht="15.75" hidden="1" customHeight="1">
      <c r="A1239" s="541">
        <v>44796</v>
      </c>
      <c r="B1239" s="306" t="s">
        <v>283</v>
      </c>
      <c r="C1239" s="542"/>
      <c r="D1239" s="306" t="s">
        <v>9171</v>
      </c>
      <c r="E1239" s="306" t="s">
        <v>3</v>
      </c>
      <c r="F1239" s="306" t="s">
        <v>488</v>
      </c>
      <c r="G1239" s="306"/>
      <c r="H1239" s="306"/>
      <c r="I1239" s="306" t="s">
        <v>941</v>
      </c>
      <c r="J1239" s="306"/>
      <c r="K1239" s="306"/>
      <c r="L1239" s="306" t="s">
        <v>451</v>
      </c>
      <c r="M1239" s="306" t="s">
        <v>2604</v>
      </c>
      <c r="N1239" s="306" t="s">
        <v>452</v>
      </c>
      <c r="O1239" s="306" t="s">
        <v>9174</v>
      </c>
      <c r="P1239" s="306" t="s">
        <v>604</v>
      </c>
      <c r="Q1239" s="306"/>
      <c r="R1239" s="543"/>
      <c r="S1239" s="543"/>
      <c r="T1239" s="543"/>
      <c r="U1239" s="543"/>
      <c r="V1239" s="224"/>
      <c r="W1239" s="224"/>
      <c r="X1239" s="224"/>
      <c r="Y1239" s="224"/>
      <c r="Z1239" s="224"/>
      <c r="AA1239" s="224"/>
      <c r="AB1239" s="224"/>
      <c r="AC1239" s="224"/>
    </row>
    <row r="1240" spans="1:29" ht="15.75" hidden="1" customHeight="1">
      <c r="A1240" s="257">
        <v>44797</v>
      </c>
      <c r="B1240" s="258" t="s">
        <v>283</v>
      </c>
      <c r="C1240" s="263">
        <v>3.5</v>
      </c>
      <c r="D1240" s="258" t="s">
        <v>9171</v>
      </c>
      <c r="E1240" s="258" t="s">
        <v>3</v>
      </c>
      <c r="F1240" s="258" t="s">
        <v>488</v>
      </c>
      <c r="G1240" s="258" t="s">
        <v>11907</v>
      </c>
      <c r="H1240" s="258">
        <v>3</v>
      </c>
      <c r="I1240" s="258" t="s">
        <v>941</v>
      </c>
      <c r="J1240" s="258" t="s">
        <v>9173</v>
      </c>
      <c r="K1240" s="258">
        <v>4</v>
      </c>
      <c r="L1240" s="258" t="s">
        <v>451</v>
      </c>
      <c r="M1240" s="258" t="s">
        <v>2604</v>
      </c>
      <c r="N1240" s="258" t="s">
        <v>452</v>
      </c>
      <c r="O1240" s="258" t="s">
        <v>9174</v>
      </c>
      <c r="P1240" s="258" t="s">
        <v>604</v>
      </c>
      <c r="Q1240" s="258"/>
      <c r="R1240" s="259"/>
      <c r="S1240" s="259"/>
      <c r="T1240" s="259"/>
      <c r="U1240" s="259"/>
      <c r="V1240" s="258"/>
      <c r="W1240" s="258"/>
      <c r="X1240" s="258"/>
      <c r="Y1240" s="258"/>
      <c r="Z1240" s="258"/>
      <c r="AA1240" s="258"/>
      <c r="AB1240" s="258"/>
      <c r="AC1240" s="258"/>
    </row>
    <row r="1241" spans="1:29" ht="15.75" hidden="1" customHeight="1">
      <c r="A1241" s="253">
        <v>44789</v>
      </c>
      <c r="B1241" s="224" t="s">
        <v>9177</v>
      </c>
      <c r="C1241" s="249">
        <v>2.25</v>
      </c>
      <c r="D1241" s="224" t="s">
        <v>9180</v>
      </c>
      <c r="E1241" s="250" t="s">
        <v>3</v>
      </c>
      <c r="F1241" s="224" t="s">
        <v>488</v>
      </c>
      <c r="G1241" s="224" t="s">
        <v>9181</v>
      </c>
      <c r="H1241" s="224">
        <v>2.5</v>
      </c>
      <c r="I1241" s="224" t="s">
        <v>941</v>
      </c>
      <c r="J1241" s="224"/>
      <c r="K1241" s="224">
        <v>2</v>
      </c>
      <c r="L1241" s="224" t="s">
        <v>923</v>
      </c>
      <c r="M1241" s="307">
        <v>1000000</v>
      </c>
      <c r="N1241" s="224" t="s">
        <v>452</v>
      </c>
      <c r="O1241" s="224" t="s">
        <v>9182</v>
      </c>
      <c r="P1241" s="224" t="s">
        <v>9183</v>
      </c>
      <c r="Q1241" s="224" t="s">
        <v>24</v>
      </c>
      <c r="R1241" s="254"/>
      <c r="S1241" s="254"/>
      <c r="T1241" s="254"/>
      <c r="U1241" s="254"/>
      <c r="V1241" s="252"/>
      <c r="W1241" s="252"/>
      <c r="X1241" s="252"/>
      <c r="Y1241" s="224"/>
      <c r="Z1241" s="224"/>
      <c r="AA1241" s="224"/>
      <c r="AB1241" s="224"/>
      <c r="AC1241" s="224"/>
    </row>
    <row r="1242" spans="1:29" ht="15.75" hidden="1" customHeight="1">
      <c r="A1242" s="257">
        <v>44796</v>
      </c>
      <c r="B1242" s="258" t="s">
        <v>9186</v>
      </c>
      <c r="C1242" s="263">
        <v>3.75</v>
      </c>
      <c r="D1242" s="258" t="s">
        <v>9189</v>
      </c>
      <c r="E1242" s="258" t="s">
        <v>3</v>
      </c>
      <c r="F1242" s="258" t="s">
        <v>725</v>
      </c>
      <c r="G1242" s="258" t="s">
        <v>9190</v>
      </c>
      <c r="H1242" s="258">
        <v>3.5</v>
      </c>
      <c r="I1242" s="258" t="s">
        <v>462</v>
      </c>
      <c r="J1242" s="258" t="s">
        <v>10822</v>
      </c>
      <c r="K1242" s="258">
        <v>4</v>
      </c>
      <c r="L1242" s="258"/>
      <c r="M1242" s="258"/>
      <c r="N1242" s="258" t="s">
        <v>452</v>
      </c>
      <c r="O1242" s="258" t="s">
        <v>1119</v>
      </c>
      <c r="P1242" s="258"/>
      <c r="Q1242" s="258" t="s">
        <v>24</v>
      </c>
      <c r="R1242" s="259" t="s">
        <v>11723</v>
      </c>
      <c r="S1242" s="259"/>
      <c r="T1242" s="259"/>
      <c r="U1242" s="259"/>
      <c r="V1242" s="258"/>
      <c r="W1242" s="258"/>
      <c r="X1242" s="258"/>
      <c r="Y1242" s="258"/>
      <c r="Z1242" s="258"/>
      <c r="AA1242" s="258"/>
      <c r="AB1242" s="258"/>
      <c r="AC1242" s="258"/>
    </row>
    <row r="1243" spans="1:29" ht="15.75" hidden="1" customHeight="1">
      <c r="A1243" s="220">
        <v>44776</v>
      </c>
      <c r="B1243" s="221" t="s">
        <v>9195</v>
      </c>
      <c r="C1243" s="214">
        <v>1</v>
      </c>
      <c r="D1243" s="221" t="s">
        <v>10183</v>
      </c>
      <c r="E1243" s="215" t="s">
        <v>3</v>
      </c>
      <c r="F1243" s="221" t="s">
        <v>460</v>
      </c>
      <c r="G1243" s="221"/>
      <c r="H1243" s="221">
        <v>1</v>
      </c>
      <c r="I1243" s="221" t="s">
        <v>462</v>
      </c>
      <c r="J1243" s="221"/>
      <c r="K1243" s="221">
        <v>1</v>
      </c>
      <c r="L1243" s="221" t="s">
        <v>451</v>
      </c>
      <c r="M1243" s="247">
        <v>150000</v>
      </c>
      <c r="N1243" s="221" t="s">
        <v>452</v>
      </c>
      <c r="O1243" s="221" t="s">
        <v>452</v>
      </c>
      <c r="P1243" s="145"/>
      <c r="Q1243" s="221" t="s">
        <v>24</v>
      </c>
      <c r="R1243" s="223">
        <f t="array" ref="R1243">INDEX(Notes!C:C,MATCH($B1243,Notes!$A:$A,0))</f>
        <v>0</v>
      </c>
      <c r="S1243" s="223"/>
      <c r="T1243" s="223"/>
      <c r="U1243" s="223"/>
      <c r="V1243" s="218"/>
      <c r="W1243" s="218"/>
      <c r="X1243" s="218"/>
      <c r="Y1243" s="224"/>
      <c r="Z1243" s="224"/>
      <c r="AA1243" s="224"/>
      <c r="AB1243" s="224"/>
      <c r="AC1243" s="224"/>
    </row>
    <row r="1244" spans="1:29" ht="15.75" customHeight="1">
      <c r="A1244" s="479">
        <v>44789</v>
      </c>
      <c r="B1244" s="303" t="s">
        <v>183</v>
      </c>
      <c r="C1244" s="269"/>
      <c r="D1244" s="303" t="s">
        <v>1159</v>
      </c>
      <c r="E1244" s="270" t="s">
        <v>4</v>
      </c>
      <c r="F1244" s="303" t="s">
        <v>727</v>
      </c>
      <c r="G1244" s="303" t="s">
        <v>13221</v>
      </c>
      <c r="H1244" s="303">
        <v>4</v>
      </c>
      <c r="I1244" s="303" t="s">
        <v>602</v>
      </c>
      <c r="J1244" s="303"/>
      <c r="K1244" s="303"/>
      <c r="L1244" s="303"/>
      <c r="M1244" s="303"/>
      <c r="N1244" s="303"/>
      <c r="O1244" s="303" t="s">
        <v>1162</v>
      </c>
      <c r="P1244" s="303"/>
      <c r="Q1244" s="303"/>
      <c r="R1244" s="303"/>
      <c r="S1244" s="303" t="str">
        <f>IFERROR(VLOOKUP(B1244,'2022-2023 Third Reviews'!$C:$S,9,FALSE),"")</f>
        <v/>
      </c>
      <c r="T1244" s="303"/>
      <c r="U1244" s="303"/>
      <c r="V1244" s="219"/>
      <c r="W1244" s="219"/>
      <c r="X1244" s="219"/>
      <c r="Y1244" s="219"/>
      <c r="Z1244" s="219"/>
      <c r="AA1244" s="219"/>
      <c r="AB1244" s="219"/>
      <c r="AC1244" s="219"/>
    </row>
    <row r="1245" spans="1:29" ht="15.75" hidden="1" customHeight="1">
      <c r="A1245" s="220">
        <v>44776</v>
      </c>
      <c r="B1245" s="221" t="s">
        <v>394</v>
      </c>
      <c r="C1245" s="214">
        <v>4</v>
      </c>
      <c r="D1245" s="221" t="s">
        <v>9947</v>
      </c>
      <c r="E1245" s="215" t="s">
        <v>3</v>
      </c>
      <c r="F1245" s="221" t="s">
        <v>460</v>
      </c>
      <c r="G1245" s="221" t="s">
        <v>9948</v>
      </c>
      <c r="H1245" s="221">
        <v>4</v>
      </c>
      <c r="I1245" s="221" t="s">
        <v>941</v>
      </c>
      <c r="J1245" s="221"/>
      <c r="K1245" s="221">
        <v>4</v>
      </c>
      <c r="L1245" s="221" t="s">
        <v>478</v>
      </c>
      <c r="M1245" s="221" t="s">
        <v>9949</v>
      </c>
      <c r="N1245" s="221" t="s">
        <v>454</v>
      </c>
      <c r="O1245" s="221" t="s">
        <v>9950</v>
      </c>
      <c r="P1245" s="145"/>
      <c r="Q1245" s="221" t="s">
        <v>18</v>
      </c>
      <c r="R1245" s="223">
        <f t="array" ref="R1245">INDEX(Notes!C:C,MATCH($B1245,Notes!$A:$A,0))</f>
        <v>0</v>
      </c>
      <c r="S1245" s="223"/>
      <c r="T1245" s="223"/>
      <c r="U1245" s="223"/>
      <c r="V1245" s="218"/>
      <c r="W1245" s="218"/>
      <c r="X1245" s="218"/>
      <c r="Y1245" s="224"/>
      <c r="Z1245" s="224"/>
      <c r="AA1245" s="224"/>
      <c r="AB1245" s="224"/>
      <c r="AC1245" s="224"/>
    </row>
    <row r="1246" spans="1:29" ht="15.75" customHeight="1">
      <c r="A1246" s="541">
        <v>44796</v>
      </c>
      <c r="B1246" s="306" t="s">
        <v>204</v>
      </c>
      <c r="C1246" s="542"/>
      <c r="D1246" s="306" t="s">
        <v>3819</v>
      </c>
      <c r="E1246" s="306" t="s">
        <v>4</v>
      </c>
      <c r="F1246" s="306" t="s">
        <v>725</v>
      </c>
      <c r="G1246" s="306"/>
      <c r="H1246" s="306"/>
      <c r="I1246" s="306" t="s">
        <v>604</v>
      </c>
      <c r="J1246" s="306" t="s">
        <v>10768</v>
      </c>
      <c r="K1246" s="306">
        <v>4</v>
      </c>
      <c r="L1246" s="306" t="s">
        <v>3822</v>
      </c>
      <c r="M1246" s="306">
        <v>1800000</v>
      </c>
      <c r="N1246" s="306" t="s">
        <v>452</v>
      </c>
      <c r="O1246" s="306" t="s">
        <v>3823</v>
      </c>
      <c r="P1246" s="306"/>
      <c r="Q1246" s="306"/>
      <c r="R1246" s="306"/>
      <c r="S1246" s="306" t="str">
        <f>IFERROR(VLOOKUP(B1246,'2022-2023 Third Reviews'!$C:$S,9,FALSE),"")</f>
        <v/>
      </c>
      <c r="T1246" s="306"/>
      <c r="U1246" s="306"/>
      <c r="V1246" s="268"/>
      <c r="W1246" s="268"/>
      <c r="X1246" s="268"/>
      <c r="Y1246" s="268"/>
      <c r="Z1246" s="268"/>
      <c r="AA1246" s="219"/>
      <c r="AB1246" s="219"/>
      <c r="AC1246" s="219"/>
    </row>
    <row r="1247" spans="1:29" ht="15.75" customHeight="1">
      <c r="A1247" s="541">
        <v>44796</v>
      </c>
      <c r="B1247" s="306" t="s">
        <v>7178</v>
      </c>
      <c r="C1247" s="542"/>
      <c r="D1247" s="306" t="s">
        <v>11176</v>
      </c>
      <c r="E1247" s="306" t="s">
        <v>4</v>
      </c>
      <c r="F1247" s="306" t="s">
        <v>725</v>
      </c>
      <c r="G1247" s="306"/>
      <c r="H1247" s="306"/>
      <c r="I1247" s="306" t="s">
        <v>476</v>
      </c>
      <c r="J1247" s="306" t="s">
        <v>13400</v>
      </c>
      <c r="K1247" s="306">
        <v>2</v>
      </c>
      <c r="L1247" s="306"/>
      <c r="M1247" s="544"/>
      <c r="N1247" s="306" t="s">
        <v>452</v>
      </c>
      <c r="O1247" s="306" t="s">
        <v>11178</v>
      </c>
      <c r="P1247" s="306"/>
      <c r="Q1247" s="306"/>
      <c r="R1247" s="306"/>
      <c r="S1247" s="306" t="str">
        <f>IFERROR(VLOOKUP(B1247,'2022-2023 Third Reviews'!$C:$S,9,FALSE),"")</f>
        <v/>
      </c>
      <c r="T1247" s="306"/>
      <c r="U1247" s="306"/>
      <c r="V1247" s="224"/>
      <c r="W1247" s="224"/>
      <c r="X1247" s="224"/>
      <c r="Y1247" s="224"/>
      <c r="Z1247" s="224"/>
      <c r="AA1247" s="224"/>
      <c r="AB1247" s="224"/>
      <c r="AC1247" s="224"/>
    </row>
    <row r="1248" spans="1:29" ht="15.75" hidden="1" customHeight="1">
      <c r="A1248" s="248">
        <v>44791</v>
      </c>
      <c r="B1248" s="219" t="s">
        <v>9201</v>
      </c>
      <c r="C1248" s="315">
        <v>1</v>
      </c>
      <c r="D1248" s="219" t="s">
        <v>9204</v>
      </c>
      <c r="E1248" s="219" t="s">
        <v>3</v>
      </c>
      <c r="F1248" s="219" t="s">
        <v>460</v>
      </c>
      <c r="G1248" s="219" t="s">
        <v>9205</v>
      </c>
      <c r="H1248" s="219">
        <v>1</v>
      </c>
      <c r="I1248" s="219" t="s">
        <v>462</v>
      </c>
      <c r="J1248" s="219" t="s">
        <v>9206</v>
      </c>
      <c r="K1248" s="219">
        <v>1</v>
      </c>
      <c r="L1248" s="219"/>
      <c r="M1248" s="219"/>
      <c r="N1248" s="219" t="s">
        <v>452</v>
      </c>
      <c r="O1248" s="219" t="s">
        <v>9207</v>
      </c>
      <c r="P1248" s="219"/>
      <c r="Q1248" s="322" t="s">
        <v>24</v>
      </c>
      <c r="R1248" s="251"/>
      <c r="S1248" s="251"/>
      <c r="T1248" s="251"/>
      <c r="U1248" s="251"/>
      <c r="V1248" s="219"/>
      <c r="W1248" s="219"/>
      <c r="X1248" s="219"/>
      <c r="Y1248" s="219"/>
      <c r="Z1248" s="219"/>
      <c r="AA1248" s="219"/>
      <c r="AB1248" s="219"/>
      <c r="AC1248" s="219"/>
    </row>
    <row r="1249" spans="1:29" ht="15.75" customHeight="1">
      <c r="A1249" s="541">
        <v>44797</v>
      </c>
      <c r="B1249" s="306" t="s">
        <v>4628</v>
      </c>
      <c r="C1249" s="542"/>
      <c r="D1249" s="306" t="s">
        <v>4631</v>
      </c>
      <c r="E1249" s="306" t="s">
        <v>4</v>
      </c>
      <c r="F1249" s="306" t="s">
        <v>488</v>
      </c>
      <c r="G1249" s="306"/>
      <c r="H1249" s="306"/>
      <c r="I1249" s="306" t="s">
        <v>604</v>
      </c>
      <c r="J1249" s="306" t="s">
        <v>4633</v>
      </c>
      <c r="K1249" s="306">
        <v>3</v>
      </c>
      <c r="L1249" s="306" t="s">
        <v>2190</v>
      </c>
      <c r="M1249" s="306">
        <v>1000000</v>
      </c>
      <c r="N1249" s="306" t="s">
        <v>465</v>
      </c>
      <c r="O1249" s="306"/>
      <c r="P1249" s="306" t="s">
        <v>4634</v>
      </c>
      <c r="Q1249" s="306"/>
      <c r="R1249" s="306"/>
      <c r="S1249" s="306" t="str">
        <f>IFERROR(VLOOKUP(B1249,'2022-2023 Third Reviews'!$C:$S,9,FALSE),"")</f>
        <v/>
      </c>
      <c r="T1249" s="306"/>
      <c r="U1249" s="306"/>
      <c r="V1249" s="224"/>
      <c r="W1249" s="224"/>
      <c r="X1249" s="224"/>
      <c r="Y1249" s="224"/>
      <c r="Z1249" s="224"/>
      <c r="AA1249" s="224"/>
      <c r="AB1249" s="224"/>
      <c r="AC1249" s="224"/>
    </row>
    <row r="1250" spans="1:29" ht="15.75" customHeight="1">
      <c r="A1250" s="541">
        <v>44797</v>
      </c>
      <c r="B1250" s="306" t="s">
        <v>10541</v>
      </c>
      <c r="C1250" s="542"/>
      <c r="D1250" s="306" t="s">
        <v>10542</v>
      </c>
      <c r="E1250" s="306" t="s">
        <v>4</v>
      </c>
      <c r="F1250" s="306" t="s">
        <v>727</v>
      </c>
      <c r="G1250" s="306" t="s">
        <v>10543</v>
      </c>
      <c r="H1250" s="306">
        <v>3.5</v>
      </c>
      <c r="I1250" s="306" t="s">
        <v>449</v>
      </c>
      <c r="J1250" s="306"/>
      <c r="K1250" s="306"/>
      <c r="L1250" s="306" t="s">
        <v>478</v>
      </c>
      <c r="M1250" s="306" t="s">
        <v>5052</v>
      </c>
      <c r="N1250" s="306" t="s">
        <v>452</v>
      </c>
      <c r="O1250" s="306" t="s">
        <v>452</v>
      </c>
      <c r="P1250" s="306"/>
      <c r="Q1250" s="306"/>
      <c r="R1250" s="306"/>
      <c r="S1250" s="306" t="str">
        <f>IFERROR(VLOOKUP(B1250,'2022-2023 Third Reviews'!$C:$S,9,FALSE),"")</f>
        <v/>
      </c>
      <c r="T1250" s="306"/>
      <c r="U1250" s="306"/>
      <c r="V1250" s="258"/>
      <c r="W1250" s="258"/>
      <c r="X1250" s="258"/>
      <c r="Y1250" s="258"/>
      <c r="Z1250" s="258"/>
      <c r="AA1250" s="258"/>
      <c r="AB1250" s="258"/>
      <c r="AC1250" s="258"/>
    </row>
    <row r="1251" spans="1:29" ht="15.75" hidden="1" customHeight="1">
      <c r="A1251" s="541">
        <v>44796</v>
      </c>
      <c r="B1251" s="306" t="s">
        <v>356</v>
      </c>
      <c r="C1251" s="542"/>
      <c r="D1251" s="306" t="s">
        <v>10667</v>
      </c>
      <c r="E1251" s="306" t="s">
        <v>3</v>
      </c>
      <c r="F1251" s="306" t="s">
        <v>460</v>
      </c>
      <c r="G1251" s="306" t="s">
        <v>2016</v>
      </c>
      <c r="H1251" s="306">
        <v>4.5</v>
      </c>
      <c r="I1251" s="306" t="s">
        <v>462</v>
      </c>
      <c r="J1251" s="306"/>
      <c r="K1251" s="306"/>
      <c r="L1251" s="306" t="s">
        <v>451</v>
      </c>
      <c r="M1251" s="544" t="s">
        <v>2018</v>
      </c>
      <c r="N1251" s="306" t="s">
        <v>452</v>
      </c>
      <c r="O1251" s="306" t="s">
        <v>575</v>
      </c>
      <c r="P1251" s="306" t="s">
        <v>1187</v>
      </c>
      <c r="Q1251" s="306"/>
      <c r="R1251" s="543"/>
      <c r="S1251" s="543"/>
      <c r="T1251" s="543"/>
      <c r="U1251" s="543"/>
      <c r="V1251" s="224"/>
      <c r="W1251" s="224"/>
      <c r="X1251" s="224"/>
      <c r="Y1251" s="224"/>
      <c r="Z1251" s="224"/>
      <c r="AA1251" s="224"/>
      <c r="AB1251" s="224"/>
      <c r="AC1251" s="224"/>
    </row>
    <row r="1252" spans="1:29" ht="15.75" hidden="1" customHeight="1">
      <c r="A1252" s="248">
        <v>44796</v>
      </c>
      <c r="B1252" s="219" t="s">
        <v>356</v>
      </c>
      <c r="C1252" s="315">
        <v>4.25</v>
      </c>
      <c r="D1252" s="219" t="s">
        <v>10667</v>
      </c>
      <c r="E1252" s="219" t="s">
        <v>3</v>
      </c>
      <c r="F1252" s="219" t="s">
        <v>460</v>
      </c>
      <c r="G1252" s="219" t="s">
        <v>2016</v>
      </c>
      <c r="H1252" s="219">
        <v>4.5</v>
      </c>
      <c r="I1252" s="219" t="s">
        <v>462</v>
      </c>
      <c r="J1252" s="219" t="s">
        <v>2017</v>
      </c>
      <c r="K1252" s="219">
        <v>4</v>
      </c>
      <c r="L1252" s="219" t="s">
        <v>451</v>
      </c>
      <c r="M1252" s="219" t="s">
        <v>2018</v>
      </c>
      <c r="N1252" s="219" t="s">
        <v>452</v>
      </c>
      <c r="O1252" s="219" t="s">
        <v>575</v>
      </c>
      <c r="P1252" s="219" t="s">
        <v>1187</v>
      </c>
      <c r="Q1252" s="219" t="s">
        <v>18</v>
      </c>
      <c r="R1252" s="251"/>
      <c r="S1252" s="251"/>
      <c r="T1252" s="251"/>
      <c r="U1252" s="251"/>
      <c r="V1252" s="219"/>
      <c r="W1252" s="219"/>
      <c r="X1252" s="219"/>
      <c r="Y1252" s="219"/>
      <c r="Z1252" s="219"/>
      <c r="AA1252" s="219"/>
      <c r="AB1252" s="219"/>
      <c r="AC1252" s="219"/>
    </row>
    <row r="1253" spans="1:29" ht="15.75" customHeight="1">
      <c r="A1253" s="541">
        <v>44797</v>
      </c>
      <c r="B1253" s="306" t="s">
        <v>5486</v>
      </c>
      <c r="C1253" s="542"/>
      <c r="D1253" s="306" t="s">
        <v>10787</v>
      </c>
      <c r="E1253" s="306" t="s">
        <v>4</v>
      </c>
      <c r="F1253" s="306" t="s">
        <v>488</v>
      </c>
      <c r="G1253" s="306"/>
      <c r="H1253" s="306"/>
      <c r="I1253" s="306" t="s">
        <v>604</v>
      </c>
      <c r="J1253" s="306" t="s">
        <v>10788</v>
      </c>
      <c r="K1253" s="306">
        <v>3</v>
      </c>
      <c r="L1253" s="306" t="s">
        <v>451</v>
      </c>
      <c r="M1253" s="546">
        <v>500000</v>
      </c>
      <c r="N1253" s="306" t="s">
        <v>454</v>
      </c>
      <c r="O1253" s="306" t="s">
        <v>5492</v>
      </c>
      <c r="P1253" s="306" t="s">
        <v>727</v>
      </c>
      <c r="Q1253" s="306"/>
      <c r="R1253" s="306"/>
      <c r="S1253" s="306" t="str">
        <f>IFERROR(VLOOKUP(B1253,'2022-2023 Third Reviews'!$C:$S,9,FALSE),"")</f>
        <v/>
      </c>
      <c r="T1253" s="306"/>
      <c r="U1253" s="306"/>
      <c r="V1253" s="224"/>
      <c r="W1253" s="224"/>
      <c r="X1253" s="224"/>
      <c r="Y1253" s="224"/>
      <c r="Z1253" s="224"/>
      <c r="AA1253" s="224"/>
      <c r="AB1253" s="224"/>
      <c r="AC1253" s="224"/>
    </row>
    <row r="1254" spans="1:29" ht="15.75" customHeight="1">
      <c r="A1254" s="541">
        <v>44796</v>
      </c>
      <c r="B1254" s="306" t="s">
        <v>185</v>
      </c>
      <c r="C1254" s="542"/>
      <c r="D1254" s="306" t="s">
        <v>1176</v>
      </c>
      <c r="E1254" s="306" t="s">
        <v>4</v>
      </c>
      <c r="F1254" s="306" t="s">
        <v>725</v>
      </c>
      <c r="G1254" s="306"/>
      <c r="H1254" s="306"/>
      <c r="I1254" s="306" t="s">
        <v>1045</v>
      </c>
      <c r="J1254" s="306"/>
      <c r="K1254" s="306"/>
      <c r="L1254" s="306"/>
      <c r="M1254" s="544"/>
      <c r="N1254" s="306" t="s">
        <v>452</v>
      </c>
      <c r="O1254" s="306" t="s">
        <v>11133</v>
      </c>
      <c r="P1254" s="306"/>
      <c r="Q1254" s="306"/>
      <c r="R1254" s="306"/>
      <c r="S1254" s="306" t="str">
        <f>IFERROR(VLOOKUP(B1254,'2022-2023 Third Reviews'!$C:$S,9,FALSE),"")</f>
        <v/>
      </c>
      <c r="T1254" s="306"/>
      <c r="U1254" s="306"/>
      <c r="V1254" s="268"/>
      <c r="W1254" s="268"/>
      <c r="X1254" s="268"/>
      <c r="Y1254" s="268"/>
      <c r="Z1254" s="268"/>
      <c r="AA1254" s="219"/>
      <c r="AB1254" s="219"/>
      <c r="AC1254" s="219"/>
    </row>
    <row r="1255" spans="1:29" ht="15.75" customHeight="1">
      <c r="A1255" s="541">
        <v>44797</v>
      </c>
      <c r="B1255" s="306" t="s">
        <v>4645</v>
      </c>
      <c r="C1255" s="542"/>
      <c r="D1255" s="306" t="s">
        <v>4648</v>
      </c>
      <c r="E1255" s="306" t="s">
        <v>4</v>
      </c>
      <c r="F1255" s="306" t="s">
        <v>488</v>
      </c>
      <c r="G1255" s="306"/>
      <c r="H1255" s="306"/>
      <c r="I1255" s="306" t="s">
        <v>604</v>
      </c>
      <c r="J1255" s="306" t="s">
        <v>11304</v>
      </c>
      <c r="K1255" s="306">
        <v>4</v>
      </c>
      <c r="L1255" s="306" t="s">
        <v>1656</v>
      </c>
      <c r="M1255" s="306">
        <v>3000000</v>
      </c>
      <c r="N1255" s="306" t="s">
        <v>452</v>
      </c>
      <c r="O1255" s="306" t="s">
        <v>4651</v>
      </c>
      <c r="P1255" s="306"/>
      <c r="Q1255" s="306"/>
      <c r="R1255" s="306"/>
      <c r="S1255" s="306" t="str">
        <f>IFERROR(VLOOKUP(B1255,'2022-2023 Third Reviews'!$C:$S,9,FALSE),"")</f>
        <v/>
      </c>
      <c r="T1255" s="306"/>
      <c r="U1255" s="306"/>
      <c r="V1255" s="252"/>
      <c r="W1255" s="252"/>
      <c r="X1255" s="252"/>
      <c r="Y1255" s="224"/>
      <c r="Z1255" s="224"/>
      <c r="AA1255" s="224"/>
      <c r="AB1255" s="224"/>
      <c r="AC1255" s="224"/>
    </row>
    <row r="1256" spans="1:29" ht="15.75" hidden="1" customHeight="1">
      <c r="A1256" s="248">
        <v>44791</v>
      </c>
      <c r="B1256" s="219" t="s">
        <v>3312</v>
      </c>
      <c r="C1256" s="315">
        <v>3</v>
      </c>
      <c r="D1256" s="219" t="s">
        <v>11011</v>
      </c>
      <c r="E1256" s="219" t="s">
        <v>5</v>
      </c>
      <c r="F1256" s="219" t="s">
        <v>447</v>
      </c>
      <c r="G1256" s="219" t="s">
        <v>11012</v>
      </c>
      <c r="H1256" s="219">
        <v>3</v>
      </c>
      <c r="I1256" s="219" t="s">
        <v>449</v>
      </c>
      <c r="J1256" s="219" t="s">
        <v>11690</v>
      </c>
      <c r="K1256" s="219">
        <v>3</v>
      </c>
      <c r="L1256" s="219"/>
      <c r="M1256" s="219"/>
      <c r="N1256" s="219" t="s">
        <v>465</v>
      </c>
      <c r="O1256" s="219" t="s">
        <v>575</v>
      </c>
      <c r="P1256" s="219"/>
      <c r="Q1256" s="322" t="s">
        <v>24</v>
      </c>
      <c r="R1256" s="251"/>
      <c r="S1256" s="251"/>
      <c r="T1256" s="251"/>
      <c r="U1256" s="251"/>
      <c r="V1256" s="219"/>
      <c r="W1256" s="219"/>
      <c r="X1256" s="219"/>
      <c r="Y1256" s="219"/>
      <c r="Z1256" s="219"/>
      <c r="AA1256" s="219"/>
      <c r="AB1256" s="219"/>
      <c r="AC1256" s="219"/>
    </row>
    <row r="1257" spans="1:29" ht="15.75" customHeight="1">
      <c r="A1257" s="541">
        <v>44797</v>
      </c>
      <c r="B1257" s="306" t="s">
        <v>211</v>
      </c>
      <c r="C1257" s="542"/>
      <c r="D1257" s="306" t="s">
        <v>3867</v>
      </c>
      <c r="E1257" s="306" t="s">
        <v>4</v>
      </c>
      <c r="F1257" s="306" t="s">
        <v>488</v>
      </c>
      <c r="G1257" s="306"/>
      <c r="H1257" s="306"/>
      <c r="I1257" s="306" t="s">
        <v>1187</v>
      </c>
      <c r="J1257" s="306" t="s">
        <v>3869</v>
      </c>
      <c r="K1257" s="306">
        <v>4</v>
      </c>
      <c r="L1257" s="306" t="s">
        <v>451</v>
      </c>
      <c r="M1257" s="306" t="s">
        <v>3870</v>
      </c>
      <c r="N1257" s="306" t="s">
        <v>452</v>
      </c>
      <c r="O1257" s="306" t="s">
        <v>454</v>
      </c>
      <c r="P1257" s="306"/>
      <c r="Q1257" s="306"/>
      <c r="R1257" s="306"/>
      <c r="S1257" s="306" t="str">
        <f>IFERROR(VLOOKUP(B1257,'2022-2023 Third Reviews'!$C:$S,9,FALSE),"")</f>
        <v/>
      </c>
      <c r="T1257" s="306"/>
      <c r="U1257" s="306"/>
      <c r="V1257" s="224"/>
      <c r="W1257" s="224"/>
      <c r="X1257" s="224"/>
      <c r="Y1257" s="224"/>
      <c r="Z1257" s="224"/>
      <c r="AA1257" s="224"/>
      <c r="AB1257" s="224"/>
      <c r="AC1257" s="224"/>
    </row>
    <row r="1258" spans="1:29" ht="15.75" customHeight="1">
      <c r="A1258" s="541">
        <v>44797</v>
      </c>
      <c r="B1258" s="306" t="s">
        <v>191</v>
      </c>
      <c r="C1258" s="542"/>
      <c r="D1258" s="306" t="s">
        <v>1194</v>
      </c>
      <c r="E1258" s="306" t="s">
        <v>4</v>
      </c>
      <c r="F1258" s="306" t="s">
        <v>1045</v>
      </c>
      <c r="G1258" s="306"/>
      <c r="H1258" s="306"/>
      <c r="I1258" s="306" t="s">
        <v>1187</v>
      </c>
      <c r="J1258" s="306" t="s">
        <v>1196</v>
      </c>
      <c r="K1258" s="306">
        <v>4</v>
      </c>
      <c r="L1258" s="306" t="s">
        <v>451</v>
      </c>
      <c r="M1258" s="306">
        <v>3000000</v>
      </c>
      <c r="N1258" s="306" t="s">
        <v>465</v>
      </c>
      <c r="O1258" s="306" t="s">
        <v>1197</v>
      </c>
      <c r="P1258" s="306"/>
      <c r="Q1258" s="306"/>
      <c r="R1258" s="306"/>
      <c r="S1258" s="306" t="str">
        <f>IFERROR(VLOOKUP(B1258,'2022-2023 Third Reviews'!$C:$S,9,FALSE),"")</f>
        <v/>
      </c>
      <c r="T1258" s="306"/>
      <c r="U1258" s="306"/>
      <c r="V1258" s="306"/>
      <c r="W1258" s="306"/>
      <c r="X1258" s="306"/>
      <c r="Y1258" s="306"/>
      <c r="Z1258" s="306"/>
      <c r="AA1258" s="306"/>
      <c r="AB1258" s="306"/>
      <c r="AC1258" s="306"/>
    </row>
    <row r="1259" spans="1:29" ht="15.75" hidden="1" customHeight="1">
      <c r="A1259" s="253">
        <v>44789</v>
      </c>
      <c r="B1259" s="224" t="s">
        <v>3320</v>
      </c>
      <c r="C1259" s="249">
        <v>3</v>
      </c>
      <c r="D1259" s="224" t="s">
        <v>3323</v>
      </c>
      <c r="E1259" s="250" t="s">
        <v>5</v>
      </c>
      <c r="F1259" s="224" t="s">
        <v>447</v>
      </c>
      <c r="G1259" s="224" t="s">
        <v>10985</v>
      </c>
      <c r="H1259" s="224">
        <v>3</v>
      </c>
      <c r="I1259" s="224" t="s">
        <v>543</v>
      </c>
      <c r="J1259" s="224" t="e">
        <f>+ Methane to methanol conversion at the oil wellhead ending flaring with carbon emissions
+ Direct partial oxidation which combines natural gas with oxygen at elevated temperature and pressure to produce methanol
                                                                                                                                                                                                                                                                it- still in the prototype phase and need to quickly come up with actual model and acquire customers</f>
        <v>#NAME?</v>
      </c>
      <c r="K1259" s="224">
        <v>3</v>
      </c>
      <c r="L1259" s="224" t="s">
        <v>451</v>
      </c>
      <c r="M1259" s="307">
        <v>1200000</v>
      </c>
      <c r="N1259" s="224" t="s">
        <v>452</v>
      </c>
      <c r="O1259" s="224" t="s">
        <v>3326</v>
      </c>
      <c r="P1259" s="224" t="s">
        <v>3327</v>
      </c>
      <c r="Q1259" s="224" t="s">
        <v>24</v>
      </c>
      <c r="R1259" s="254"/>
      <c r="S1259" s="254"/>
      <c r="T1259" s="254"/>
      <c r="U1259" s="254"/>
      <c r="V1259" s="252"/>
      <c r="W1259" s="252"/>
      <c r="X1259" s="252"/>
      <c r="Y1259" s="224"/>
      <c r="Z1259" s="224"/>
      <c r="AA1259" s="224"/>
      <c r="AB1259" s="224"/>
      <c r="AC1259" s="224"/>
    </row>
    <row r="1260" spans="1:29" ht="15.75" hidden="1" customHeight="1">
      <c r="A1260" s="255">
        <v>44782</v>
      </c>
      <c r="B1260" s="239" t="s">
        <v>146</v>
      </c>
      <c r="C1260" s="249">
        <v>3.75</v>
      </c>
      <c r="D1260" s="239" t="s">
        <v>9383</v>
      </c>
      <c r="E1260" s="250" t="s">
        <v>5</v>
      </c>
      <c r="F1260" s="239" t="s">
        <v>447</v>
      </c>
      <c r="G1260" s="239" t="s">
        <v>10475</v>
      </c>
      <c r="H1260" s="239">
        <v>3.5</v>
      </c>
      <c r="I1260" s="239" t="s">
        <v>449</v>
      </c>
      <c r="J1260" s="239" t="s">
        <v>13400</v>
      </c>
      <c r="K1260" s="239">
        <v>4</v>
      </c>
      <c r="L1260" s="239" t="s">
        <v>784</v>
      </c>
      <c r="M1260" s="239">
        <v>250000</v>
      </c>
      <c r="N1260" s="239" t="s">
        <v>454</v>
      </c>
      <c r="O1260" s="239" t="s">
        <v>9386</v>
      </c>
      <c r="P1260" s="239"/>
      <c r="Q1260" s="239" t="s">
        <v>19</v>
      </c>
      <c r="R1260" s="256" t="s">
        <v>1334</v>
      </c>
      <c r="S1260" s="256"/>
      <c r="T1260" s="256"/>
      <c r="U1260" s="256"/>
      <c r="V1260" s="239"/>
      <c r="W1260" s="239"/>
      <c r="X1260" s="239"/>
      <c r="Y1260" s="239"/>
      <c r="Z1260" s="239"/>
      <c r="AA1260" s="239"/>
      <c r="AB1260" s="239"/>
      <c r="AC1260" s="239"/>
    </row>
    <row r="1261" spans="1:29" ht="15.75" hidden="1" customHeight="1">
      <c r="A1261" s="255">
        <v>44782</v>
      </c>
      <c r="B1261" s="239" t="s">
        <v>147</v>
      </c>
      <c r="C1261" s="249">
        <v>3.25</v>
      </c>
      <c r="D1261" s="239" t="s">
        <v>9391</v>
      </c>
      <c r="E1261" s="250" t="s">
        <v>5</v>
      </c>
      <c r="F1261" s="239" t="s">
        <v>447</v>
      </c>
      <c r="G1261" s="239" t="s">
        <v>11205</v>
      </c>
      <c r="H1261" s="239">
        <v>3</v>
      </c>
      <c r="I1261" s="239" t="s">
        <v>543</v>
      </c>
      <c r="J1261" s="239" t="s">
        <v>13400</v>
      </c>
      <c r="K1261" s="239">
        <v>3.5</v>
      </c>
      <c r="L1261" s="239" t="s">
        <v>478</v>
      </c>
      <c r="M1261" s="239">
        <v>3000000</v>
      </c>
      <c r="N1261" s="239" t="s">
        <v>465</v>
      </c>
      <c r="O1261" s="239" t="s">
        <v>11206</v>
      </c>
      <c r="P1261" s="239"/>
      <c r="Q1261" s="239" t="s">
        <v>19</v>
      </c>
      <c r="R1261" s="256" t="s">
        <v>9395</v>
      </c>
      <c r="S1261" s="256"/>
      <c r="T1261" s="256"/>
      <c r="U1261" s="256"/>
      <c r="V1261" s="239"/>
      <c r="W1261" s="239"/>
      <c r="X1261" s="239"/>
      <c r="Y1261" s="239"/>
      <c r="Z1261" s="239"/>
      <c r="AA1261" s="239"/>
      <c r="AB1261" s="239"/>
      <c r="AC1261" s="239"/>
    </row>
    <row r="1262" spans="1:29" ht="15.75" customHeight="1">
      <c r="A1262" s="541">
        <v>44797</v>
      </c>
      <c r="B1262" s="306" t="s">
        <v>166</v>
      </c>
      <c r="C1262" s="542"/>
      <c r="D1262" s="306" t="s">
        <v>3650</v>
      </c>
      <c r="E1262" s="306" t="s">
        <v>4</v>
      </c>
      <c r="F1262" s="306" t="s">
        <v>488</v>
      </c>
      <c r="G1262" s="306"/>
      <c r="H1262" s="306"/>
      <c r="I1262" s="306" t="s">
        <v>1187</v>
      </c>
      <c r="J1262" s="306" t="s">
        <v>3652</v>
      </c>
      <c r="K1262" s="306">
        <v>5</v>
      </c>
      <c r="L1262" s="306" t="s">
        <v>451</v>
      </c>
      <c r="M1262" s="306">
        <v>2320000</v>
      </c>
      <c r="N1262" s="306" t="s">
        <v>452</v>
      </c>
      <c r="O1262" s="306" t="s">
        <v>3653</v>
      </c>
      <c r="P1262" s="306"/>
      <c r="Q1262" s="306"/>
      <c r="R1262" s="306"/>
      <c r="S1262" s="306" t="str">
        <f>IFERROR(VLOOKUP(B1262,'2022-2023 Third Reviews'!$C:$S,9,FALSE),"")</f>
        <v/>
      </c>
      <c r="T1262" s="306"/>
      <c r="U1262" s="306"/>
      <c r="V1262" s="219"/>
      <c r="W1262" s="219"/>
      <c r="X1262" s="219"/>
      <c r="Y1262" s="219"/>
      <c r="Z1262" s="219"/>
      <c r="AA1262" s="219"/>
      <c r="AB1262" s="219"/>
      <c r="AC1262" s="219"/>
    </row>
    <row r="1263" spans="1:29" ht="15.75" hidden="1" customHeight="1">
      <c r="A1263" s="253">
        <v>44789</v>
      </c>
      <c r="B1263" s="224" t="s">
        <v>3330</v>
      </c>
      <c r="C1263" s="249">
        <v>2.5</v>
      </c>
      <c r="D1263" s="224" t="s">
        <v>3333</v>
      </c>
      <c r="E1263" s="250" t="s">
        <v>5</v>
      </c>
      <c r="F1263" s="224" t="s">
        <v>447</v>
      </c>
      <c r="G1263" s="224" t="s">
        <v>10870</v>
      </c>
      <c r="H1263" s="224">
        <v>3</v>
      </c>
      <c r="I1263" s="224" t="s">
        <v>449</v>
      </c>
      <c r="J1263" s="224" t="s">
        <v>13400</v>
      </c>
      <c r="K1263" s="224">
        <v>2</v>
      </c>
      <c r="L1263" s="224" t="s">
        <v>784</v>
      </c>
      <c r="M1263" s="224" t="s">
        <v>3336</v>
      </c>
      <c r="N1263" s="224" t="s">
        <v>454</v>
      </c>
      <c r="O1263" s="224" t="s">
        <v>10872</v>
      </c>
      <c r="P1263" s="224"/>
      <c r="Q1263" s="224" t="s">
        <v>24</v>
      </c>
      <c r="R1263" s="254"/>
      <c r="S1263" s="254"/>
      <c r="T1263" s="254"/>
      <c r="U1263" s="254"/>
      <c r="V1263" s="252"/>
      <c r="W1263" s="252"/>
      <c r="X1263" s="252"/>
      <c r="Y1263" s="224"/>
      <c r="Z1263" s="224"/>
      <c r="AA1263" s="224"/>
      <c r="AB1263" s="224"/>
      <c r="AC1263" s="224"/>
    </row>
    <row r="1264" spans="1:29" ht="15.75" customHeight="1">
      <c r="A1264" s="541">
        <v>44797</v>
      </c>
      <c r="B1264" s="306" t="s">
        <v>5529</v>
      </c>
      <c r="C1264" s="542"/>
      <c r="D1264" s="306" t="s">
        <v>5532</v>
      </c>
      <c r="E1264" s="306" t="s">
        <v>4</v>
      </c>
      <c r="F1264" s="306" t="s">
        <v>488</v>
      </c>
      <c r="G1264" s="306"/>
      <c r="H1264" s="306"/>
      <c r="I1264" s="306" t="s">
        <v>1187</v>
      </c>
      <c r="J1264" s="306" t="s">
        <v>5534</v>
      </c>
      <c r="K1264" s="306">
        <v>4</v>
      </c>
      <c r="L1264" s="306"/>
      <c r="M1264" s="306"/>
      <c r="N1264" s="306" t="s">
        <v>452</v>
      </c>
      <c r="O1264" s="306" t="s">
        <v>5535</v>
      </c>
      <c r="P1264" s="306"/>
      <c r="Q1264" s="306"/>
      <c r="R1264" s="306"/>
      <c r="S1264" s="306" t="str">
        <f>IFERROR(VLOOKUP(B1264,'2022-2023 Third Reviews'!$C:$S,9,FALSE),"")</f>
        <v/>
      </c>
      <c r="T1264" s="306"/>
      <c r="U1264" s="306"/>
      <c r="V1264" s="219"/>
      <c r="W1264" s="219"/>
      <c r="X1264" s="219"/>
      <c r="Y1264" s="219"/>
      <c r="Z1264" s="219"/>
      <c r="AA1264" s="219"/>
      <c r="AB1264" s="219"/>
      <c r="AC1264" s="219"/>
    </row>
    <row r="1265" spans="1:29" ht="15.75" customHeight="1">
      <c r="A1265" s="541">
        <v>44797</v>
      </c>
      <c r="B1265" s="306" t="s">
        <v>7236</v>
      </c>
      <c r="C1265" s="542"/>
      <c r="D1265" s="306" t="s">
        <v>7239</v>
      </c>
      <c r="E1265" s="306" t="s">
        <v>4</v>
      </c>
      <c r="F1265" s="306" t="s">
        <v>488</v>
      </c>
      <c r="G1265" s="306"/>
      <c r="H1265" s="306"/>
      <c r="I1265" s="306" t="s">
        <v>1187</v>
      </c>
      <c r="J1265" s="306" t="s">
        <v>7241</v>
      </c>
      <c r="K1265" s="306">
        <v>3</v>
      </c>
      <c r="L1265" s="306" t="s">
        <v>451</v>
      </c>
      <c r="M1265" s="545">
        <v>2000000</v>
      </c>
      <c r="N1265" s="306" t="s">
        <v>465</v>
      </c>
      <c r="O1265" s="306" t="s">
        <v>452</v>
      </c>
      <c r="P1265" s="306"/>
      <c r="Q1265" s="306"/>
      <c r="R1265" s="306"/>
      <c r="S1265" s="306" t="str">
        <f>IFERROR(VLOOKUP(B1265,'2022-2023 Third Reviews'!$C:$S,9,FALSE),"")</f>
        <v/>
      </c>
      <c r="T1265" s="306"/>
      <c r="U1265" s="306"/>
      <c r="V1265" s="224"/>
      <c r="W1265" s="224"/>
      <c r="X1265" s="224"/>
      <c r="Y1265" s="224"/>
      <c r="Z1265" s="224"/>
      <c r="AA1265" s="224"/>
      <c r="AB1265" s="224"/>
      <c r="AC1265" s="224"/>
    </row>
    <row r="1266" spans="1:29" ht="15.75" customHeight="1">
      <c r="A1266" s="541">
        <v>44797</v>
      </c>
      <c r="B1266" s="306" t="s">
        <v>4245</v>
      </c>
      <c r="C1266" s="542"/>
      <c r="D1266" s="306" t="s">
        <v>4248</v>
      </c>
      <c r="E1266" s="306" t="s">
        <v>4</v>
      </c>
      <c r="F1266" s="306" t="s">
        <v>1045</v>
      </c>
      <c r="G1266" s="306"/>
      <c r="H1266" s="306"/>
      <c r="I1266" s="306" t="s">
        <v>1187</v>
      </c>
      <c r="J1266" s="306" t="s">
        <v>4250</v>
      </c>
      <c r="K1266" s="306">
        <v>4</v>
      </c>
      <c r="L1266" s="306" t="s">
        <v>784</v>
      </c>
      <c r="M1266" s="546">
        <v>500000</v>
      </c>
      <c r="N1266" s="306" t="s">
        <v>454</v>
      </c>
      <c r="O1266" s="306" t="s">
        <v>10911</v>
      </c>
      <c r="P1266" s="306" t="s">
        <v>4252</v>
      </c>
      <c r="Q1266" s="306"/>
      <c r="R1266" s="306"/>
      <c r="S1266" s="306" t="str">
        <f>IFERROR(VLOOKUP(B1266,'2022-2023 Third Reviews'!$C:$S,9,FALSE),"")</f>
        <v/>
      </c>
      <c r="T1266" s="306"/>
      <c r="U1266" s="306"/>
      <c r="V1266" s="306"/>
      <c r="W1266" s="306"/>
      <c r="X1266" s="306"/>
      <c r="Y1266" s="306"/>
      <c r="Z1266" s="306"/>
      <c r="AA1266" s="306"/>
      <c r="AB1266" s="306"/>
      <c r="AC1266" s="306"/>
    </row>
    <row r="1267" spans="1:29" ht="15.75" customHeight="1">
      <c r="A1267" s="541">
        <v>44797</v>
      </c>
      <c r="B1267" s="306" t="s">
        <v>7268</v>
      </c>
      <c r="C1267" s="542"/>
      <c r="D1267" s="306" t="s">
        <v>7271</v>
      </c>
      <c r="E1267" s="306" t="s">
        <v>4</v>
      </c>
      <c r="F1267" s="306" t="s">
        <v>488</v>
      </c>
      <c r="G1267" s="306"/>
      <c r="H1267" s="306"/>
      <c r="I1267" s="306" t="s">
        <v>1237</v>
      </c>
      <c r="J1267" s="306"/>
      <c r="K1267" s="306">
        <v>2</v>
      </c>
      <c r="L1267" s="306" t="s">
        <v>451</v>
      </c>
      <c r="M1267" s="306">
        <v>3000000</v>
      </c>
      <c r="N1267" s="306" t="s">
        <v>452</v>
      </c>
      <c r="O1267" s="306" t="s">
        <v>7273</v>
      </c>
      <c r="P1267" s="306"/>
      <c r="Q1267" s="306"/>
      <c r="R1267" s="306"/>
      <c r="S1267" s="306" t="str">
        <f>IFERROR(VLOOKUP(B1267,'2022-2023 Third Reviews'!$C:$S,9,FALSE),"")</f>
        <v/>
      </c>
      <c r="T1267" s="306"/>
      <c r="U1267" s="306"/>
      <c r="V1267" s="224"/>
      <c r="W1267" s="224"/>
      <c r="X1267" s="224"/>
      <c r="Y1267" s="224"/>
      <c r="Z1267" s="224"/>
      <c r="AA1267" s="224"/>
      <c r="AB1267" s="224"/>
      <c r="AC1267" s="224"/>
    </row>
    <row r="1268" spans="1:29" ht="15.75" customHeight="1">
      <c r="A1268" s="541">
        <v>44797</v>
      </c>
      <c r="B1268" s="306" t="s">
        <v>7276</v>
      </c>
      <c r="C1268" s="542"/>
      <c r="D1268" s="306" t="s">
        <v>7279</v>
      </c>
      <c r="E1268" s="306" t="s">
        <v>4</v>
      </c>
      <c r="F1268" s="306" t="s">
        <v>1045</v>
      </c>
      <c r="G1268" s="306"/>
      <c r="H1268" s="306"/>
      <c r="I1268" s="306" t="s">
        <v>1237</v>
      </c>
      <c r="J1268" s="306"/>
      <c r="K1268" s="306">
        <v>2</v>
      </c>
      <c r="L1268" s="306"/>
      <c r="M1268" s="306"/>
      <c r="N1268" s="306" t="s">
        <v>452</v>
      </c>
      <c r="O1268" s="306" t="s">
        <v>7281</v>
      </c>
      <c r="P1268" s="306"/>
      <c r="Q1268" s="306"/>
      <c r="R1268" s="306"/>
      <c r="S1268" s="306" t="str">
        <f>IFERROR(VLOOKUP(B1268,'2022-2023 Third Reviews'!$C:$S,9,FALSE),"")</f>
        <v/>
      </c>
      <c r="T1268" s="306"/>
      <c r="U1268" s="306"/>
      <c r="V1268" s="219"/>
      <c r="W1268" s="219"/>
      <c r="X1268" s="219"/>
      <c r="Y1268" s="219"/>
      <c r="Z1268" s="219"/>
      <c r="AA1268" s="219"/>
      <c r="AB1268" s="219"/>
      <c r="AC1268" s="219"/>
    </row>
    <row r="1269" spans="1:29" ht="15.75" customHeight="1">
      <c r="A1269" s="541">
        <v>44797</v>
      </c>
      <c r="B1269" s="306" t="s">
        <v>6285</v>
      </c>
      <c r="C1269" s="542"/>
      <c r="D1269" s="306" t="s">
        <v>11296</v>
      </c>
      <c r="E1269" s="306" t="s">
        <v>4</v>
      </c>
      <c r="F1269" s="306" t="s">
        <v>488</v>
      </c>
      <c r="G1269" s="306"/>
      <c r="H1269" s="306"/>
      <c r="I1269" s="306" t="s">
        <v>1237</v>
      </c>
      <c r="J1269" s="306"/>
      <c r="K1269" s="306">
        <v>2</v>
      </c>
      <c r="L1269" s="306"/>
      <c r="M1269" s="306"/>
      <c r="N1269" s="306" t="s">
        <v>454</v>
      </c>
      <c r="O1269" s="306" t="s">
        <v>6289</v>
      </c>
      <c r="P1269" s="306"/>
      <c r="Q1269" s="306"/>
      <c r="R1269" s="306"/>
      <c r="S1269" s="306" t="str">
        <f>IFERROR(VLOOKUP(B1269,'2022-2023 Third Reviews'!$C:$S,9,FALSE),"")</f>
        <v/>
      </c>
      <c r="T1269" s="306"/>
      <c r="U1269" s="306"/>
      <c r="V1269" s="306"/>
      <c r="W1269" s="306"/>
      <c r="X1269" s="306"/>
      <c r="Y1269" s="306"/>
      <c r="Z1269" s="306"/>
      <c r="AA1269" s="306"/>
      <c r="AB1269" s="306"/>
      <c r="AC1269" s="306"/>
    </row>
    <row r="1270" spans="1:29" ht="15.75" customHeight="1">
      <c r="A1270" s="541">
        <v>44796</v>
      </c>
      <c r="B1270" s="306" t="s">
        <v>4289</v>
      </c>
      <c r="C1270" s="542"/>
      <c r="D1270" s="306" t="s">
        <v>4292</v>
      </c>
      <c r="E1270" s="306" t="s">
        <v>4</v>
      </c>
      <c r="F1270" s="306" t="s">
        <v>725</v>
      </c>
      <c r="G1270" s="306"/>
      <c r="H1270" s="306"/>
      <c r="I1270" s="306" t="s">
        <v>1237</v>
      </c>
      <c r="J1270" s="306"/>
      <c r="K1270" s="306">
        <v>4</v>
      </c>
      <c r="L1270" s="306"/>
      <c r="M1270" s="545"/>
      <c r="N1270" s="306" t="s">
        <v>452</v>
      </c>
      <c r="O1270" s="306" t="s">
        <v>454</v>
      </c>
      <c r="P1270" s="306"/>
      <c r="Q1270" s="306"/>
      <c r="R1270" s="306"/>
      <c r="S1270" s="306" t="str">
        <f>IFERROR(VLOOKUP(B1270,'2022-2023 Third Reviews'!$C:$S,9,FALSE),"")</f>
        <v/>
      </c>
      <c r="T1270" s="306"/>
      <c r="U1270" s="306"/>
      <c r="V1270" s="219"/>
      <c r="W1270" s="219"/>
      <c r="X1270" s="219"/>
      <c r="Y1270" s="219"/>
      <c r="Z1270" s="219"/>
      <c r="AA1270" s="219"/>
      <c r="AB1270" s="219"/>
      <c r="AC1270" s="219"/>
    </row>
    <row r="1271" spans="1:29" ht="15.75" customHeight="1">
      <c r="A1271" s="479">
        <v>44789</v>
      </c>
      <c r="B1271" s="303" t="s">
        <v>7675</v>
      </c>
      <c r="C1271" s="269"/>
      <c r="D1271" s="303" t="s">
        <v>7678</v>
      </c>
      <c r="E1271" s="270" t="s">
        <v>4</v>
      </c>
      <c r="F1271" s="303" t="s">
        <v>727</v>
      </c>
      <c r="G1271" s="303" t="s">
        <v>10219</v>
      </c>
      <c r="H1271" s="303">
        <v>2</v>
      </c>
      <c r="I1271" s="303" t="s">
        <v>602</v>
      </c>
      <c r="J1271" s="303"/>
      <c r="K1271" s="303"/>
      <c r="L1271" s="303"/>
      <c r="M1271" s="303"/>
      <c r="N1271" s="303" t="s">
        <v>454</v>
      </c>
      <c r="O1271" s="303" t="s">
        <v>452</v>
      </c>
      <c r="P1271" s="303" t="s">
        <v>7681</v>
      </c>
      <c r="Q1271" s="303"/>
      <c r="R1271" s="303"/>
      <c r="S1271" s="303" t="str">
        <f>IFERROR(VLOOKUP(B1271,'2022-2023 Third Reviews'!$C:$S,9,FALSE),"")</f>
        <v/>
      </c>
      <c r="T1271" s="303"/>
      <c r="U1271" s="303"/>
      <c r="V1271" s="306"/>
      <c r="W1271" s="306"/>
      <c r="X1271" s="306"/>
      <c r="Y1271" s="306"/>
      <c r="Z1271" s="306"/>
      <c r="AA1271" s="306"/>
      <c r="AB1271" s="306"/>
      <c r="AC1271" s="306"/>
    </row>
    <row r="1272" spans="1:29" ht="15.75" customHeight="1">
      <c r="A1272" s="541">
        <v>44796</v>
      </c>
      <c r="B1272" s="306" t="s">
        <v>7860</v>
      </c>
      <c r="C1272" s="542"/>
      <c r="D1272" s="306" t="s">
        <v>7863</v>
      </c>
      <c r="E1272" s="306" t="s">
        <v>4</v>
      </c>
      <c r="F1272" s="306" t="s">
        <v>727</v>
      </c>
      <c r="G1272" s="306"/>
      <c r="H1272" s="306"/>
      <c r="I1272" s="306" t="s">
        <v>1045</v>
      </c>
      <c r="J1272" s="306" t="s">
        <v>7865</v>
      </c>
      <c r="K1272" s="306">
        <v>1</v>
      </c>
      <c r="L1272" s="306"/>
      <c r="M1272" s="306"/>
      <c r="N1272" s="306" t="s">
        <v>465</v>
      </c>
      <c r="O1272" s="306" t="s">
        <v>10564</v>
      </c>
      <c r="P1272" s="306"/>
      <c r="Q1272" s="306"/>
      <c r="R1272" s="306"/>
      <c r="S1272" s="306" t="str">
        <f>IFERROR(VLOOKUP(B1272,'2022-2023 Third Reviews'!$C:$S,9,FALSE),"")</f>
        <v/>
      </c>
      <c r="T1272" s="306"/>
      <c r="U1272" s="306"/>
      <c r="V1272" s="219"/>
      <c r="W1272" s="219"/>
      <c r="X1272" s="219"/>
      <c r="Y1272" s="219"/>
      <c r="Z1272" s="219"/>
      <c r="AA1272" s="219"/>
      <c r="AB1272" s="219"/>
      <c r="AC1272" s="219"/>
    </row>
    <row r="1273" spans="1:29" ht="15.75" customHeight="1">
      <c r="A1273" s="541">
        <v>44797</v>
      </c>
      <c r="B1273" s="306" t="s">
        <v>5600</v>
      </c>
      <c r="C1273" s="542"/>
      <c r="D1273" s="306" t="s">
        <v>5603</v>
      </c>
      <c r="E1273" s="306" t="s">
        <v>4</v>
      </c>
      <c r="F1273" s="306" t="s">
        <v>1045</v>
      </c>
      <c r="G1273" s="306"/>
      <c r="H1273" s="306"/>
      <c r="I1273" s="306" t="s">
        <v>1281</v>
      </c>
      <c r="J1273" s="306" t="s">
        <v>11170</v>
      </c>
      <c r="K1273" s="306">
        <v>3</v>
      </c>
      <c r="L1273" s="306"/>
      <c r="M1273" s="306"/>
      <c r="N1273" s="306" t="s">
        <v>454</v>
      </c>
      <c r="O1273" s="306" t="s">
        <v>1119</v>
      </c>
      <c r="P1273" s="306"/>
      <c r="Q1273" s="306"/>
      <c r="R1273" s="306"/>
      <c r="S1273" s="306" t="str">
        <f>IFERROR(VLOOKUP(B1273,'2022-2023 Third Reviews'!$C:$S,9,FALSE),"")</f>
        <v/>
      </c>
      <c r="T1273" s="306"/>
      <c r="U1273" s="306"/>
      <c r="V1273" s="218"/>
      <c r="W1273" s="218"/>
      <c r="X1273" s="218"/>
      <c r="Y1273" s="224"/>
      <c r="Z1273" s="224"/>
      <c r="AA1273" s="224"/>
      <c r="AB1273" s="224"/>
      <c r="AC1273" s="224"/>
    </row>
    <row r="1274" spans="1:29" ht="15.75" hidden="1" customHeight="1">
      <c r="A1274" s="248">
        <v>44782</v>
      </c>
      <c r="B1274" s="219" t="s">
        <v>397</v>
      </c>
      <c r="C1274" s="249">
        <v>4</v>
      </c>
      <c r="D1274" s="219" t="s">
        <v>9955</v>
      </c>
      <c r="E1274" s="250" t="s">
        <v>3</v>
      </c>
      <c r="F1274" s="219" t="s">
        <v>460</v>
      </c>
      <c r="G1274" s="219" t="s">
        <v>9956</v>
      </c>
      <c r="H1274" s="219">
        <v>4</v>
      </c>
      <c r="I1274" s="219" t="s">
        <v>462</v>
      </c>
      <c r="J1274" s="219" t="s">
        <v>9957</v>
      </c>
      <c r="K1274" s="219">
        <v>4</v>
      </c>
      <c r="L1274" s="219" t="s">
        <v>451</v>
      </c>
      <c r="M1274" s="219">
        <v>10000000</v>
      </c>
      <c r="N1274" s="219" t="s">
        <v>452</v>
      </c>
      <c r="O1274" s="219" t="s">
        <v>10210</v>
      </c>
      <c r="P1274" s="219"/>
      <c r="Q1274" s="213" t="s">
        <v>18</v>
      </c>
      <c r="R1274" s="251"/>
      <c r="S1274" s="251"/>
      <c r="T1274" s="251"/>
      <c r="U1274" s="251"/>
      <c r="V1274" s="252"/>
      <c r="W1274" s="252"/>
      <c r="X1274" s="252"/>
      <c r="Y1274" s="219"/>
      <c r="Z1274" s="219"/>
      <c r="AA1274" s="219"/>
      <c r="AB1274" s="219"/>
      <c r="AC1274" s="219"/>
    </row>
    <row r="1275" spans="1:29" ht="15.75" customHeight="1">
      <c r="A1275" s="541">
        <v>44797</v>
      </c>
      <c r="B1275" s="306" t="s">
        <v>7877</v>
      </c>
      <c r="C1275" s="542"/>
      <c r="D1275" s="306" t="s">
        <v>11351</v>
      </c>
      <c r="E1275" s="306" t="s">
        <v>4</v>
      </c>
      <c r="F1275" s="306" t="s">
        <v>488</v>
      </c>
      <c r="G1275" s="306"/>
      <c r="H1275" s="306"/>
      <c r="I1275" s="306" t="s">
        <v>1281</v>
      </c>
      <c r="J1275" s="306" t="s">
        <v>7882</v>
      </c>
      <c r="K1275" s="306">
        <v>2</v>
      </c>
      <c r="L1275" s="306" t="s">
        <v>451</v>
      </c>
      <c r="M1275" s="306">
        <v>1000000</v>
      </c>
      <c r="N1275" s="306" t="s">
        <v>465</v>
      </c>
      <c r="O1275" s="306" t="s">
        <v>7883</v>
      </c>
      <c r="P1275" s="306" t="s">
        <v>7884</v>
      </c>
      <c r="Q1275" s="306"/>
      <c r="R1275" s="306"/>
      <c r="S1275" s="306" t="str">
        <f>IFERROR(VLOOKUP(B1275,'2022-2023 Third Reviews'!$C:$S,9,FALSE),"")</f>
        <v/>
      </c>
      <c r="T1275" s="306"/>
      <c r="U1275" s="306"/>
      <c r="V1275" s="224"/>
      <c r="W1275" s="224"/>
      <c r="X1275" s="224"/>
      <c r="Y1275" s="224"/>
      <c r="Z1275" s="224"/>
      <c r="AA1275" s="224"/>
      <c r="AB1275" s="224"/>
      <c r="AC1275" s="224"/>
    </row>
    <row r="1276" spans="1:29" ht="15.75" customHeight="1">
      <c r="A1276" s="541">
        <v>44797</v>
      </c>
      <c r="B1276" s="306" t="s">
        <v>302</v>
      </c>
      <c r="C1276" s="542"/>
      <c r="D1276" s="306" t="s">
        <v>11285</v>
      </c>
      <c r="E1276" s="306" t="s">
        <v>4</v>
      </c>
      <c r="F1276" s="306" t="s">
        <v>488</v>
      </c>
      <c r="G1276" s="306"/>
      <c r="H1276" s="306"/>
      <c r="I1276" s="306" t="s">
        <v>1281</v>
      </c>
      <c r="J1276" s="306" t="s">
        <v>9434</v>
      </c>
      <c r="K1276" s="306">
        <v>4</v>
      </c>
      <c r="L1276" s="306" t="s">
        <v>451</v>
      </c>
      <c r="M1276" s="306" t="s">
        <v>9435</v>
      </c>
      <c r="N1276" s="306" t="s">
        <v>452</v>
      </c>
      <c r="O1276" s="306" t="s">
        <v>575</v>
      </c>
      <c r="P1276" s="306"/>
      <c r="Q1276" s="306"/>
      <c r="R1276" s="306"/>
      <c r="S1276" s="306" t="str">
        <f>IFERROR(VLOOKUP(B1276,'2022-2023 Third Reviews'!$C:$S,9,FALSE),"")</f>
        <v/>
      </c>
      <c r="T1276" s="306"/>
      <c r="U1276" s="306"/>
      <c r="V1276" s="258"/>
      <c r="W1276" s="258"/>
      <c r="X1276" s="258"/>
      <c r="Y1276" s="258"/>
      <c r="Z1276" s="258"/>
      <c r="AA1276" s="258"/>
      <c r="AB1276" s="258"/>
      <c r="AC1276" s="258"/>
    </row>
    <row r="1277" spans="1:29" ht="15.75" customHeight="1">
      <c r="A1277" s="541">
        <v>44797</v>
      </c>
      <c r="B1277" s="306" t="s">
        <v>7347</v>
      </c>
      <c r="C1277" s="542"/>
      <c r="D1277" s="306" t="s">
        <v>10211</v>
      </c>
      <c r="E1277" s="306" t="s">
        <v>4</v>
      </c>
      <c r="F1277" s="306" t="s">
        <v>488</v>
      </c>
      <c r="G1277" s="306"/>
      <c r="H1277" s="306"/>
      <c r="I1277" s="306" t="s">
        <v>1281</v>
      </c>
      <c r="J1277" s="306" t="s">
        <v>7352</v>
      </c>
      <c r="K1277" s="306">
        <v>3</v>
      </c>
      <c r="L1277" s="306" t="s">
        <v>451</v>
      </c>
      <c r="M1277" s="546">
        <v>3000000</v>
      </c>
      <c r="N1277" s="306" t="s">
        <v>465</v>
      </c>
      <c r="O1277" s="306" t="s">
        <v>7353</v>
      </c>
      <c r="P1277" s="306"/>
      <c r="Q1277" s="306"/>
      <c r="R1277" s="306"/>
      <c r="S1277" s="306" t="str">
        <f>IFERROR(VLOOKUP(B1277,'2022-2023 Third Reviews'!$C:$S,9,FALSE),"")</f>
        <v/>
      </c>
      <c r="T1277" s="306"/>
      <c r="U1277" s="306"/>
      <c r="V1277" s="224"/>
      <c r="W1277" s="224"/>
      <c r="X1277" s="224"/>
      <c r="Y1277" s="224"/>
      <c r="Z1277" s="224"/>
      <c r="AA1277" s="224"/>
      <c r="AB1277" s="224"/>
      <c r="AC1277" s="224"/>
    </row>
    <row r="1278" spans="1:29" ht="15.75" hidden="1" customHeight="1">
      <c r="A1278" s="248">
        <v>44782</v>
      </c>
      <c r="B1278" s="219" t="s">
        <v>9210</v>
      </c>
      <c r="C1278" s="249">
        <v>3.25</v>
      </c>
      <c r="D1278" s="219" t="s">
        <v>9213</v>
      </c>
      <c r="E1278" s="250" t="s">
        <v>3</v>
      </c>
      <c r="F1278" s="219" t="s">
        <v>727</v>
      </c>
      <c r="G1278" s="219" t="s">
        <v>10271</v>
      </c>
      <c r="H1278" s="219">
        <v>3</v>
      </c>
      <c r="I1278" s="219" t="s">
        <v>1054</v>
      </c>
      <c r="J1278" s="219"/>
      <c r="K1278" s="219">
        <v>3.5</v>
      </c>
      <c r="L1278" s="219" t="s">
        <v>478</v>
      </c>
      <c r="M1278" s="219" t="s">
        <v>9215</v>
      </c>
      <c r="N1278" s="219" t="s">
        <v>452</v>
      </c>
      <c r="O1278" s="219" t="s">
        <v>9216</v>
      </c>
      <c r="P1278" s="219"/>
      <c r="Q1278" s="219" t="s">
        <v>24</v>
      </c>
      <c r="R1278" s="251"/>
      <c r="S1278" s="251"/>
      <c r="T1278" s="251"/>
      <c r="U1278" s="251"/>
      <c r="V1278" s="252"/>
      <c r="W1278" s="252"/>
      <c r="X1278" s="252"/>
      <c r="Y1278" s="219"/>
      <c r="Z1278" s="219"/>
      <c r="AA1278" s="219"/>
      <c r="AB1278" s="219"/>
      <c r="AC1278" s="219"/>
    </row>
    <row r="1279" spans="1:29" ht="15.75" hidden="1" customHeight="1">
      <c r="A1279" s="253">
        <v>44796</v>
      </c>
      <c r="B1279" s="224" t="s">
        <v>3340</v>
      </c>
      <c r="C1279" s="316">
        <v>2.5</v>
      </c>
      <c r="D1279" s="224"/>
      <c r="E1279" s="224" t="s">
        <v>5</v>
      </c>
      <c r="F1279" s="224" t="s">
        <v>447</v>
      </c>
      <c r="G1279" s="224" t="s">
        <v>11371</v>
      </c>
      <c r="H1279" s="224">
        <v>2</v>
      </c>
      <c r="I1279" s="224" t="s">
        <v>449</v>
      </c>
      <c r="J1279" s="224" t="s">
        <v>11372</v>
      </c>
      <c r="K1279" s="224">
        <v>3</v>
      </c>
      <c r="L1279" s="224" t="s">
        <v>913</v>
      </c>
      <c r="M1279" s="224" t="s">
        <v>3345</v>
      </c>
      <c r="N1279" s="224" t="s">
        <v>452</v>
      </c>
      <c r="O1279" s="224" t="s">
        <v>3346</v>
      </c>
      <c r="P1279" s="224"/>
      <c r="Q1279" s="224" t="s">
        <v>24</v>
      </c>
      <c r="R1279" s="254"/>
      <c r="S1279" s="254"/>
      <c r="T1279" s="254"/>
      <c r="U1279" s="254"/>
      <c r="V1279" s="224"/>
      <c r="W1279" s="224"/>
      <c r="X1279" s="224"/>
      <c r="Y1279" s="224"/>
      <c r="Z1279" s="224"/>
      <c r="AA1279" s="224"/>
      <c r="AB1279" s="224"/>
      <c r="AC1279" s="224"/>
    </row>
    <row r="1280" spans="1:29" ht="15.75" hidden="1" customHeight="1">
      <c r="A1280" s="248">
        <v>44789</v>
      </c>
      <c r="B1280" s="219" t="s">
        <v>9219</v>
      </c>
      <c r="C1280" s="249">
        <v>1</v>
      </c>
      <c r="D1280" s="219" t="s">
        <v>9222</v>
      </c>
      <c r="E1280" s="250" t="s">
        <v>3</v>
      </c>
      <c r="F1280" s="219" t="s">
        <v>488</v>
      </c>
      <c r="G1280" s="219"/>
      <c r="H1280" s="219">
        <v>1</v>
      </c>
      <c r="I1280" s="219" t="s">
        <v>462</v>
      </c>
      <c r="J1280" s="219" t="s">
        <v>9223</v>
      </c>
      <c r="K1280" s="219">
        <v>1</v>
      </c>
      <c r="L1280" s="219"/>
      <c r="M1280" s="310"/>
      <c r="N1280" s="219" t="s">
        <v>454</v>
      </c>
      <c r="O1280" s="219" t="s">
        <v>575</v>
      </c>
      <c r="P1280" s="219"/>
      <c r="Q1280" s="219" t="s">
        <v>24</v>
      </c>
      <c r="R1280" s="251"/>
      <c r="S1280" s="251"/>
      <c r="T1280" s="251"/>
      <c r="U1280" s="251"/>
      <c r="V1280" s="252"/>
      <c r="W1280" s="252"/>
      <c r="X1280" s="252"/>
      <c r="Y1280" s="219"/>
      <c r="Z1280" s="219"/>
      <c r="AA1280" s="219"/>
      <c r="AB1280" s="219"/>
      <c r="AC1280" s="219"/>
    </row>
    <row r="1281" spans="1:29" ht="15.75" customHeight="1">
      <c r="A1281" s="541">
        <v>44797</v>
      </c>
      <c r="B1281" s="306" t="s">
        <v>5635</v>
      </c>
      <c r="C1281" s="542"/>
      <c r="D1281" s="306" t="s">
        <v>5638</v>
      </c>
      <c r="E1281" s="306" t="s">
        <v>4</v>
      </c>
      <c r="F1281" s="306" t="s">
        <v>488</v>
      </c>
      <c r="G1281" s="306"/>
      <c r="H1281" s="306"/>
      <c r="I1281" s="306" t="s">
        <v>1281</v>
      </c>
      <c r="J1281" s="306" t="s">
        <v>5640</v>
      </c>
      <c r="K1281" s="306">
        <v>3</v>
      </c>
      <c r="L1281" s="306"/>
      <c r="M1281" s="306"/>
      <c r="N1281" s="306" t="s">
        <v>452</v>
      </c>
      <c r="O1281" s="306" t="s">
        <v>452</v>
      </c>
      <c r="P1281" s="306" t="s">
        <v>725</v>
      </c>
      <c r="Q1281" s="306"/>
      <c r="R1281" s="306"/>
      <c r="S1281" s="306" t="str">
        <f>IFERROR(VLOOKUP(B1281,'2022-2023 Third Reviews'!$C:$S,9,FALSE),"")</f>
        <v/>
      </c>
      <c r="T1281" s="306"/>
      <c r="U1281" s="306"/>
      <c r="V1281" s="303"/>
      <c r="W1281" s="303"/>
      <c r="X1281" s="303"/>
      <c r="Y1281" s="303"/>
      <c r="Z1281" s="303"/>
      <c r="AA1281" s="306"/>
      <c r="AB1281" s="306"/>
      <c r="AC1281" s="306"/>
    </row>
    <row r="1282" spans="1:29" ht="15.75" customHeight="1">
      <c r="A1282" s="541">
        <v>44797</v>
      </c>
      <c r="B1282" s="306" t="s">
        <v>5643</v>
      </c>
      <c r="C1282" s="542"/>
      <c r="D1282" s="306" t="s">
        <v>5646</v>
      </c>
      <c r="E1282" s="306" t="s">
        <v>4</v>
      </c>
      <c r="F1282" s="306" t="s">
        <v>488</v>
      </c>
      <c r="G1282" s="306"/>
      <c r="H1282" s="306"/>
      <c r="I1282" s="306" t="s">
        <v>1281</v>
      </c>
      <c r="J1282" s="306" t="s">
        <v>5648</v>
      </c>
      <c r="K1282" s="306">
        <v>3</v>
      </c>
      <c r="L1282" s="306"/>
      <c r="M1282" s="306"/>
      <c r="N1282" s="306" t="s">
        <v>452</v>
      </c>
      <c r="O1282" s="306" t="s">
        <v>5649</v>
      </c>
      <c r="P1282" s="306"/>
      <c r="Q1282" s="306"/>
      <c r="R1282" s="306"/>
      <c r="S1282" s="306" t="str">
        <f>IFERROR(VLOOKUP(B1282,'2022-2023 Third Reviews'!$C:$S,9,FALSE),"")</f>
        <v/>
      </c>
      <c r="T1282" s="306"/>
      <c r="U1282" s="306"/>
      <c r="V1282" s="306"/>
      <c r="W1282" s="306"/>
      <c r="X1282" s="306"/>
      <c r="Y1282" s="306"/>
      <c r="Z1282" s="306"/>
      <c r="AA1282" s="306"/>
      <c r="AB1282" s="306"/>
      <c r="AC1282" s="306"/>
    </row>
    <row r="1283" spans="1:29" ht="15.75" customHeight="1">
      <c r="A1283" s="541">
        <v>44797</v>
      </c>
      <c r="B1283" s="306" t="s">
        <v>226</v>
      </c>
      <c r="C1283" s="542"/>
      <c r="D1283" s="306" t="s">
        <v>3937</v>
      </c>
      <c r="E1283" s="306" t="s">
        <v>4</v>
      </c>
      <c r="F1283" s="306" t="s">
        <v>1045</v>
      </c>
      <c r="G1283" s="306"/>
      <c r="H1283" s="306"/>
      <c r="I1283" s="306" t="s">
        <v>1350</v>
      </c>
      <c r="J1283" s="306" t="s">
        <v>3939</v>
      </c>
      <c r="K1283" s="306">
        <v>4.5</v>
      </c>
      <c r="L1283" s="306"/>
      <c r="M1283" s="306"/>
      <c r="N1283" s="306" t="s">
        <v>452</v>
      </c>
      <c r="O1283" s="306" t="s">
        <v>3940</v>
      </c>
      <c r="P1283" s="306"/>
      <c r="Q1283" s="306"/>
      <c r="R1283" s="306"/>
      <c r="S1283" s="306" t="str">
        <f>IFERROR(VLOOKUP(B1283,'2022-2023 Third Reviews'!$C:$S,9,FALSE),"")</f>
        <v/>
      </c>
      <c r="T1283" s="306"/>
      <c r="U1283" s="306"/>
      <c r="V1283" s="224"/>
      <c r="W1283" s="224"/>
      <c r="X1283" s="224"/>
      <c r="Y1283" s="224"/>
      <c r="Z1283" s="224"/>
      <c r="AA1283" s="224"/>
      <c r="AB1283" s="224"/>
      <c r="AC1283" s="224"/>
    </row>
    <row r="1284" spans="1:29" ht="15.75" customHeight="1">
      <c r="A1284" s="479">
        <v>44789</v>
      </c>
      <c r="B1284" s="303" t="s">
        <v>6763</v>
      </c>
      <c r="C1284" s="269"/>
      <c r="D1284" s="303" t="s">
        <v>6766</v>
      </c>
      <c r="E1284" s="270" t="s">
        <v>4</v>
      </c>
      <c r="F1284" s="303" t="s">
        <v>727</v>
      </c>
      <c r="G1284" s="303" t="s">
        <v>10280</v>
      </c>
      <c r="H1284" s="303">
        <v>2.5</v>
      </c>
      <c r="I1284" s="303" t="s">
        <v>602</v>
      </c>
      <c r="J1284" s="303"/>
      <c r="K1284" s="303"/>
      <c r="L1284" s="303" t="s">
        <v>478</v>
      </c>
      <c r="M1284" s="304">
        <v>5000000</v>
      </c>
      <c r="N1284" s="303" t="s">
        <v>465</v>
      </c>
      <c r="O1284" s="304" t="s">
        <v>6769</v>
      </c>
      <c r="P1284" s="303"/>
      <c r="Q1284" s="303"/>
      <c r="R1284" s="303"/>
      <c r="S1284" s="303" t="str">
        <f>IFERROR(VLOOKUP(B1284,'2022-2023 Third Reviews'!$C:$S,9,FALSE),"")</f>
        <v/>
      </c>
      <c r="T1284" s="303"/>
      <c r="U1284" s="303"/>
      <c r="V1284" s="219"/>
      <c r="W1284" s="219"/>
      <c r="X1284" s="219"/>
      <c r="Y1284" s="219"/>
      <c r="Z1284" s="219"/>
      <c r="AA1284" s="219"/>
      <c r="AB1284" s="219"/>
      <c r="AC1284" s="219"/>
    </row>
    <row r="1285" spans="1:29" ht="15.75" hidden="1" customHeight="1">
      <c r="A1285" s="253">
        <v>44782</v>
      </c>
      <c r="B1285" s="224" t="s">
        <v>125</v>
      </c>
      <c r="C1285" s="249">
        <v>4.25</v>
      </c>
      <c r="D1285" s="224" t="s">
        <v>892</v>
      </c>
      <c r="E1285" s="250" t="s">
        <v>5</v>
      </c>
      <c r="F1285" s="224" t="s">
        <v>447</v>
      </c>
      <c r="G1285" s="224" t="s">
        <v>10251</v>
      </c>
      <c r="H1285" s="224">
        <v>4</v>
      </c>
      <c r="I1285" s="224" t="s">
        <v>543</v>
      </c>
      <c r="J1285" s="224" t="s">
        <v>894</v>
      </c>
      <c r="K1285" s="224">
        <v>4.5</v>
      </c>
      <c r="L1285" s="224" t="s">
        <v>478</v>
      </c>
      <c r="M1285" s="224">
        <v>3000000</v>
      </c>
      <c r="N1285" s="224" t="s">
        <v>452</v>
      </c>
      <c r="O1285" s="224" t="s">
        <v>895</v>
      </c>
      <c r="P1285" s="224"/>
      <c r="Q1285" s="221" t="s">
        <v>18</v>
      </c>
      <c r="R1285" s="254" t="s">
        <v>896</v>
      </c>
      <c r="S1285" s="254"/>
      <c r="T1285" s="254"/>
      <c r="U1285" s="254"/>
      <c r="V1285" s="252"/>
      <c r="W1285" s="252"/>
      <c r="X1285" s="252"/>
      <c r="Y1285" s="224"/>
      <c r="Z1285" s="224"/>
      <c r="AA1285" s="224"/>
      <c r="AB1285" s="224"/>
      <c r="AC1285" s="224"/>
    </row>
    <row r="1286" spans="1:29" ht="15.75" customHeight="1">
      <c r="A1286" s="541">
        <v>44796</v>
      </c>
      <c r="B1286" s="306" t="s">
        <v>206</v>
      </c>
      <c r="C1286" s="542"/>
      <c r="D1286" s="306" t="s">
        <v>1279</v>
      </c>
      <c r="E1286" s="306" t="s">
        <v>4</v>
      </c>
      <c r="F1286" s="306" t="s">
        <v>725</v>
      </c>
      <c r="G1286" s="306"/>
      <c r="H1286" s="306"/>
      <c r="I1286" s="306" t="s">
        <v>1281</v>
      </c>
      <c r="J1286" s="306" t="s">
        <v>1282</v>
      </c>
      <c r="K1286" s="306">
        <v>4</v>
      </c>
      <c r="L1286" s="306" t="s">
        <v>451</v>
      </c>
      <c r="M1286" s="545">
        <v>350000</v>
      </c>
      <c r="N1286" s="306" t="s">
        <v>452</v>
      </c>
      <c r="O1286" s="306" t="s">
        <v>1283</v>
      </c>
      <c r="P1286" s="306"/>
      <c r="Q1286" s="306"/>
      <c r="R1286" s="306"/>
      <c r="S1286" s="306" t="str">
        <f>IFERROR(VLOOKUP(B1286,'2022-2023 Third Reviews'!$C:$S,9,FALSE),"")</f>
        <v/>
      </c>
      <c r="T1286" s="306"/>
      <c r="U1286" s="306"/>
      <c r="V1286" s="219"/>
      <c r="W1286" s="219"/>
      <c r="X1286" s="219"/>
      <c r="Y1286" s="219"/>
      <c r="Z1286" s="219"/>
      <c r="AA1286" s="219"/>
      <c r="AB1286" s="219"/>
      <c r="AC1286" s="219"/>
    </row>
    <row r="1287" spans="1:29" ht="15.75" hidden="1" customHeight="1">
      <c r="A1287" s="253">
        <v>44796</v>
      </c>
      <c r="B1287" s="224" t="s">
        <v>398</v>
      </c>
      <c r="C1287" s="316">
        <v>4</v>
      </c>
      <c r="D1287" s="224" t="s">
        <v>9963</v>
      </c>
      <c r="E1287" s="224" t="s">
        <v>3</v>
      </c>
      <c r="F1287" s="224" t="s">
        <v>460</v>
      </c>
      <c r="G1287" s="224" t="s">
        <v>9964</v>
      </c>
      <c r="H1287" s="224">
        <v>4</v>
      </c>
      <c r="I1287" s="224" t="s">
        <v>462</v>
      </c>
      <c r="J1287" s="224" t="s">
        <v>10556</v>
      </c>
      <c r="K1287" s="224">
        <v>4</v>
      </c>
      <c r="L1287" s="224" t="s">
        <v>451</v>
      </c>
      <c r="M1287" s="224">
        <v>2000000</v>
      </c>
      <c r="N1287" s="224" t="s">
        <v>452</v>
      </c>
      <c r="O1287" s="224" t="s">
        <v>9966</v>
      </c>
      <c r="P1287" s="224"/>
      <c r="Q1287" s="224" t="s">
        <v>18</v>
      </c>
      <c r="R1287" s="254"/>
      <c r="S1287" s="254"/>
      <c r="T1287" s="254"/>
      <c r="U1287" s="254"/>
      <c r="V1287" s="224"/>
      <c r="W1287" s="224"/>
      <c r="X1287" s="224"/>
      <c r="Y1287" s="224"/>
      <c r="Z1287" s="224"/>
      <c r="AA1287" s="224"/>
      <c r="AB1287" s="224"/>
      <c r="AC1287" s="224"/>
    </row>
    <row r="1288" spans="1:29" ht="15.75" hidden="1" customHeight="1">
      <c r="A1288" s="541">
        <v>44791</v>
      </c>
      <c r="B1288" s="306" t="s">
        <v>9226</v>
      </c>
      <c r="C1288" s="542"/>
      <c r="D1288" s="306"/>
      <c r="E1288" s="306" t="s">
        <v>3</v>
      </c>
      <c r="F1288" s="306" t="s">
        <v>488</v>
      </c>
      <c r="G1288" s="306"/>
      <c r="H1288" s="306"/>
      <c r="I1288" s="306" t="s">
        <v>941</v>
      </c>
      <c r="J1288" s="306"/>
      <c r="K1288" s="306"/>
      <c r="L1288" s="306" t="s">
        <v>2190</v>
      </c>
      <c r="M1288" s="306">
        <v>0</v>
      </c>
      <c r="N1288" s="306" t="s">
        <v>452</v>
      </c>
      <c r="O1288" s="306" t="s">
        <v>575</v>
      </c>
      <c r="P1288" s="306"/>
      <c r="Q1288" s="306"/>
      <c r="R1288" s="543"/>
      <c r="S1288" s="543"/>
      <c r="T1288" s="543"/>
      <c r="U1288" s="543"/>
      <c r="V1288" s="306"/>
      <c r="W1288" s="306"/>
      <c r="X1288" s="306"/>
      <c r="Y1288" s="306"/>
      <c r="Z1288" s="306"/>
      <c r="AA1288" s="306"/>
      <c r="AB1288" s="306"/>
      <c r="AC1288" s="306"/>
    </row>
    <row r="1289" spans="1:29" ht="15.75" hidden="1" customHeight="1">
      <c r="A1289" s="257">
        <v>44791</v>
      </c>
      <c r="B1289" s="258" t="s">
        <v>9226</v>
      </c>
      <c r="C1289" s="263">
        <v>3.5</v>
      </c>
      <c r="D1289" s="258" t="s">
        <v>9229</v>
      </c>
      <c r="E1289" s="258" t="s">
        <v>3</v>
      </c>
      <c r="F1289" s="258" t="s">
        <v>488</v>
      </c>
      <c r="G1289" s="258" t="s">
        <v>11228</v>
      </c>
      <c r="H1289" s="258">
        <v>3</v>
      </c>
      <c r="I1289" s="258" t="s">
        <v>941</v>
      </c>
      <c r="J1289" s="258" t="s">
        <v>9231</v>
      </c>
      <c r="K1289" s="258">
        <v>4</v>
      </c>
      <c r="L1289" s="258" t="s">
        <v>2190</v>
      </c>
      <c r="M1289" s="309">
        <v>0</v>
      </c>
      <c r="N1289" s="258" t="s">
        <v>452</v>
      </c>
      <c r="O1289" s="258" t="s">
        <v>575</v>
      </c>
      <c r="P1289" s="258"/>
      <c r="Q1289" s="258" t="s">
        <v>24</v>
      </c>
      <c r="R1289" s="259" t="s">
        <v>9232</v>
      </c>
      <c r="S1289" s="259"/>
      <c r="T1289" s="259"/>
      <c r="U1289" s="259"/>
      <c r="V1289" s="258"/>
      <c r="W1289" s="258"/>
      <c r="X1289" s="258"/>
      <c r="Y1289" s="258"/>
      <c r="Z1289" s="258"/>
      <c r="AA1289" s="258"/>
      <c r="AB1289" s="258"/>
      <c r="AC1289" s="258"/>
    </row>
    <row r="1290" spans="1:29" ht="15.75" customHeight="1">
      <c r="A1290" s="541">
        <v>44797</v>
      </c>
      <c r="B1290" s="306" t="s">
        <v>5113</v>
      </c>
      <c r="C1290" s="542"/>
      <c r="D1290" s="306" t="s">
        <v>5116</v>
      </c>
      <c r="E1290" s="306" t="s">
        <v>4</v>
      </c>
      <c r="F1290" s="306" t="s">
        <v>602</v>
      </c>
      <c r="G1290" s="306" t="s">
        <v>5117</v>
      </c>
      <c r="H1290" s="306">
        <v>3</v>
      </c>
      <c r="I1290" s="306" t="s">
        <v>1350</v>
      </c>
      <c r="J1290" s="306"/>
      <c r="K1290" s="306"/>
      <c r="L1290" s="306"/>
      <c r="M1290" s="306"/>
      <c r="N1290" s="306" t="s">
        <v>452</v>
      </c>
      <c r="O1290" s="306" t="s">
        <v>10833</v>
      </c>
      <c r="P1290" s="306"/>
      <c r="Q1290" s="306"/>
      <c r="R1290" s="306"/>
      <c r="S1290" s="306" t="str">
        <f>IFERROR(VLOOKUP(B1290,'2022-2023 Third Reviews'!$C:$S,9,FALSE),"")</f>
        <v/>
      </c>
      <c r="T1290" s="306"/>
      <c r="U1290" s="306"/>
      <c r="V1290" s="219"/>
      <c r="W1290" s="219"/>
      <c r="X1290" s="219"/>
      <c r="Y1290" s="219"/>
      <c r="Z1290" s="219"/>
      <c r="AA1290" s="219"/>
      <c r="AB1290" s="219"/>
      <c r="AC1290" s="219"/>
    </row>
    <row r="1291" spans="1:29" ht="15.75" customHeight="1">
      <c r="A1291" s="541">
        <v>44796</v>
      </c>
      <c r="B1291" s="306" t="s">
        <v>6348</v>
      </c>
      <c r="C1291" s="542"/>
      <c r="D1291" s="306" t="s">
        <v>6351</v>
      </c>
      <c r="E1291" s="306" t="s">
        <v>4</v>
      </c>
      <c r="F1291" s="306" t="s">
        <v>727</v>
      </c>
      <c r="G1291" s="306"/>
      <c r="H1291" s="306"/>
      <c r="I1291" s="306" t="s">
        <v>1045</v>
      </c>
      <c r="J1291" s="306" t="s">
        <v>6352</v>
      </c>
      <c r="K1291" s="306">
        <v>3</v>
      </c>
      <c r="L1291" s="306" t="s">
        <v>451</v>
      </c>
      <c r="M1291" s="306">
        <v>5000000</v>
      </c>
      <c r="N1291" s="306" t="s">
        <v>452</v>
      </c>
      <c r="O1291" s="306" t="s">
        <v>11232</v>
      </c>
      <c r="P1291" s="306"/>
      <c r="Q1291" s="306"/>
      <c r="R1291" s="306"/>
      <c r="S1291" s="306" t="str">
        <f>IFERROR(VLOOKUP(B1291,'2022-2023 Third Reviews'!$C:$S,9,FALSE),"")</f>
        <v/>
      </c>
      <c r="T1291" s="306"/>
      <c r="U1291" s="306"/>
      <c r="V1291" s="224"/>
      <c r="W1291" s="224"/>
      <c r="X1291" s="224"/>
      <c r="Y1291" s="224"/>
      <c r="Z1291" s="224"/>
      <c r="AA1291" s="224"/>
      <c r="AB1291" s="224"/>
      <c r="AC1291" s="224"/>
    </row>
    <row r="1292" spans="1:29" ht="15.75" customHeight="1">
      <c r="A1292" s="541">
        <v>44796</v>
      </c>
      <c r="B1292" s="306" t="s">
        <v>5978</v>
      </c>
      <c r="C1292" s="542"/>
      <c r="D1292" s="306" t="s">
        <v>5981</v>
      </c>
      <c r="E1292" s="306" t="s">
        <v>4</v>
      </c>
      <c r="F1292" s="306" t="s">
        <v>727</v>
      </c>
      <c r="G1292" s="306"/>
      <c r="H1292" s="306"/>
      <c r="I1292" s="306" t="s">
        <v>1298</v>
      </c>
      <c r="J1292" s="306" t="s">
        <v>5983</v>
      </c>
      <c r="K1292" s="306">
        <v>2</v>
      </c>
      <c r="L1292" s="306" t="s">
        <v>923</v>
      </c>
      <c r="M1292" s="544">
        <v>3000000</v>
      </c>
      <c r="N1292" s="306" t="s">
        <v>452</v>
      </c>
      <c r="O1292" s="306" t="s">
        <v>452</v>
      </c>
      <c r="P1292" s="306" t="s">
        <v>447</v>
      </c>
      <c r="Q1292" s="306"/>
      <c r="R1292" s="306"/>
      <c r="S1292" s="306" t="str">
        <f>IFERROR(VLOOKUP(B1292,'2022-2023 Third Reviews'!$C:$S,9,FALSE),"")</f>
        <v/>
      </c>
      <c r="T1292" s="306"/>
      <c r="U1292" s="306"/>
      <c r="V1292" s="303"/>
      <c r="W1292" s="303"/>
      <c r="X1292" s="303"/>
      <c r="Y1292" s="303"/>
      <c r="Z1292" s="303"/>
      <c r="AA1292" s="306"/>
      <c r="AB1292" s="306"/>
      <c r="AC1292" s="306"/>
    </row>
    <row r="1293" spans="1:29" ht="15.75" customHeight="1">
      <c r="A1293" s="479">
        <v>44789</v>
      </c>
      <c r="B1293" s="303" t="s">
        <v>4484</v>
      </c>
      <c r="C1293" s="269"/>
      <c r="D1293" s="303" t="s">
        <v>10369</v>
      </c>
      <c r="E1293" s="270" t="s">
        <v>4</v>
      </c>
      <c r="F1293" s="303" t="s">
        <v>725</v>
      </c>
      <c r="G1293" s="303"/>
      <c r="H1293" s="303"/>
      <c r="I1293" s="303" t="s">
        <v>727</v>
      </c>
      <c r="J1293" s="303" t="s">
        <v>10371</v>
      </c>
      <c r="K1293" s="303">
        <v>3.75</v>
      </c>
      <c r="L1293" s="303" t="s">
        <v>784</v>
      </c>
      <c r="M1293" s="538">
        <v>300000</v>
      </c>
      <c r="N1293" s="303" t="s">
        <v>465</v>
      </c>
      <c r="O1293" s="538" t="s">
        <v>452</v>
      </c>
      <c r="P1293" s="303"/>
      <c r="Q1293" s="303"/>
      <c r="R1293" s="303"/>
      <c r="S1293" s="303" t="str">
        <f>IFERROR(VLOOKUP(B1293,'2022-2023 Third Reviews'!$C:$S,9,FALSE),"")</f>
        <v/>
      </c>
      <c r="T1293" s="303"/>
      <c r="U1293" s="303"/>
      <c r="V1293" s="306"/>
      <c r="W1293" s="306"/>
      <c r="X1293" s="306"/>
      <c r="Y1293" s="306"/>
      <c r="Z1293" s="306"/>
      <c r="AA1293" s="306"/>
      <c r="AB1293" s="306"/>
      <c r="AC1293" s="306"/>
    </row>
    <row r="1294" spans="1:29" ht="15.75" customHeight="1">
      <c r="A1294" s="541">
        <v>44796</v>
      </c>
      <c r="B1294" s="306" t="s">
        <v>218</v>
      </c>
      <c r="C1294" s="542"/>
      <c r="D1294" s="306" t="s">
        <v>1303</v>
      </c>
      <c r="E1294" s="306" t="s">
        <v>4</v>
      </c>
      <c r="F1294" s="306" t="s">
        <v>725</v>
      </c>
      <c r="G1294" s="306"/>
      <c r="H1294" s="306"/>
      <c r="I1294" s="306" t="s">
        <v>1045</v>
      </c>
      <c r="J1294" s="306" t="s">
        <v>1305</v>
      </c>
      <c r="K1294" s="306">
        <v>3.5</v>
      </c>
      <c r="L1294" s="306" t="s">
        <v>451</v>
      </c>
      <c r="M1294" s="306" t="s">
        <v>1306</v>
      </c>
      <c r="N1294" s="306" t="s">
        <v>452</v>
      </c>
      <c r="O1294" s="306" t="s">
        <v>1307</v>
      </c>
      <c r="P1294" s="306" t="s">
        <v>1308</v>
      </c>
      <c r="Q1294" s="306"/>
      <c r="R1294" s="306"/>
      <c r="S1294" s="306" t="str">
        <f>IFERROR(VLOOKUP(B1294,'2022-2023 Third Reviews'!$C:$S,9,FALSE),"")</f>
        <v/>
      </c>
      <c r="T1294" s="306"/>
      <c r="U1294" s="306"/>
      <c r="V1294" s="306"/>
      <c r="W1294" s="306"/>
      <c r="X1294" s="306"/>
      <c r="Y1294" s="306"/>
      <c r="Z1294" s="306"/>
      <c r="AA1294" s="306"/>
      <c r="AB1294" s="306"/>
      <c r="AC1294" s="306"/>
    </row>
    <row r="1295" spans="1:29" ht="15.75" customHeight="1">
      <c r="A1295" s="541">
        <v>44796</v>
      </c>
      <c r="B1295" s="306" t="s">
        <v>4776</v>
      </c>
      <c r="C1295" s="542"/>
      <c r="D1295" s="306" t="s">
        <v>4779</v>
      </c>
      <c r="E1295" s="306" t="s">
        <v>4</v>
      </c>
      <c r="F1295" s="306" t="s">
        <v>727</v>
      </c>
      <c r="G1295" s="306"/>
      <c r="H1295" s="306"/>
      <c r="I1295" s="306" t="s">
        <v>1045</v>
      </c>
      <c r="J1295" s="306" t="s">
        <v>4781</v>
      </c>
      <c r="K1295" s="306">
        <v>3</v>
      </c>
      <c r="L1295" s="306"/>
      <c r="M1295" s="544"/>
      <c r="N1295" s="306" t="s">
        <v>452</v>
      </c>
      <c r="O1295" s="306" t="s">
        <v>452</v>
      </c>
      <c r="P1295" s="306"/>
      <c r="Q1295" s="306"/>
      <c r="R1295" s="306"/>
      <c r="S1295" s="306" t="str">
        <f>IFERROR(VLOOKUP(B1295,'2022-2023 Third Reviews'!$C:$S,9,FALSE),"")</f>
        <v/>
      </c>
      <c r="T1295" s="306"/>
      <c r="U1295" s="306"/>
      <c r="V1295" s="224"/>
      <c r="W1295" s="224"/>
      <c r="X1295" s="224"/>
      <c r="Y1295" s="224"/>
      <c r="Z1295" s="224"/>
      <c r="AA1295" s="224"/>
      <c r="AB1295" s="224"/>
      <c r="AC1295" s="224"/>
    </row>
    <row r="1296" spans="1:29" ht="15.75" hidden="1" customHeight="1">
      <c r="A1296" s="301">
        <v>44789</v>
      </c>
      <c r="B1296" s="303" t="s">
        <v>358</v>
      </c>
      <c r="C1296" s="269"/>
      <c r="D1296" s="303" t="s">
        <v>10548</v>
      </c>
      <c r="E1296" s="270" t="s">
        <v>3</v>
      </c>
      <c r="F1296" s="303" t="s">
        <v>725</v>
      </c>
      <c r="G1296" s="303"/>
      <c r="H1296" s="303"/>
      <c r="I1296" s="303" t="s">
        <v>941</v>
      </c>
      <c r="J1296" s="303" t="s">
        <v>2025</v>
      </c>
      <c r="K1296" s="303">
        <v>4</v>
      </c>
      <c r="L1296" s="303" t="s">
        <v>478</v>
      </c>
      <c r="M1296" s="303" t="s">
        <v>2026</v>
      </c>
      <c r="N1296" s="303" t="s">
        <v>452</v>
      </c>
      <c r="O1296" s="303" t="s">
        <v>452</v>
      </c>
      <c r="P1296" s="303"/>
      <c r="Q1296" s="303"/>
      <c r="R1296" s="305"/>
      <c r="S1296" s="305"/>
      <c r="T1296" s="305"/>
      <c r="U1296" s="305"/>
      <c r="V1296" s="303"/>
      <c r="W1296" s="303"/>
      <c r="X1296" s="303"/>
      <c r="Y1296" s="303"/>
      <c r="Z1296" s="303"/>
      <c r="AA1296" s="306"/>
      <c r="AB1296" s="306"/>
      <c r="AC1296" s="306"/>
    </row>
    <row r="1297" spans="1:29" ht="15.75" hidden="1" customHeight="1">
      <c r="A1297" s="257">
        <v>44789</v>
      </c>
      <c r="B1297" s="258" t="s">
        <v>358</v>
      </c>
      <c r="C1297" s="263">
        <v>4.25</v>
      </c>
      <c r="D1297" s="258" t="s">
        <v>10548</v>
      </c>
      <c r="E1297" s="258" t="s">
        <v>3</v>
      </c>
      <c r="F1297" s="258" t="s">
        <v>725</v>
      </c>
      <c r="G1297" s="258" t="s">
        <v>10549</v>
      </c>
      <c r="H1297" s="258">
        <v>4.5</v>
      </c>
      <c r="I1297" s="258" t="s">
        <v>941</v>
      </c>
      <c r="J1297" s="258" t="s">
        <v>2025</v>
      </c>
      <c r="K1297" s="258">
        <v>4</v>
      </c>
      <c r="L1297" s="258" t="s">
        <v>478</v>
      </c>
      <c r="M1297" s="258" t="s">
        <v>2026</v>
      </c>
      <c r="N1297" s="258" t="s">
        <v>452</v>
      </c>
      <c r="O1297" s="258" t="s">
        <v>452</v>
      </c>
      <c r="P1297" s="258"/>
      <c r="Q1297" s="258" t="s">
        <v>18</v>
      </c>
      <c r="R1297" s="259" t="s">
        <v>2027</v>
      </c>
      <c r="S1297" s="259"/>
      <c r="T1297" s="259"/>
      <c r="U1297" s="259"/>
      <c r="V1297" s="258"/>
      <c r="W1297" s="258"/>
      <c r="X1297" s="258"/>
      <c r="Y1297" s="258"/>
      <c r="Z1297" s="258"/>
      <c r="AA1297" s="258"/>
      <c r="AB1297" s="258"/>
      <c r="AC1297" s="258"/>
    </row>
    <row r="1298" spans="1:29" ht="15.75" customHeight="1">
      <c r="A1298" s="479">
        <v>44789</v>
      </c>
      <c r="B1298" s="303" t="s">
        <v>5668</v>
      </c>
      <c r="C1298" s="269"/>
      <c r="D1298" s="303" t="s">
        <v>5671</v>
      </c>
      <c r="E1298" s="270" t="s">
        <v>4</v>
      </c>
      <c r="F1298" s="303" t="s">
        <v>727</v>
      </c>
      <c r="G1298" s="303" t="s">
        <v>11444</v>
      </c>
      <c r="H1298" s="303">
        <v>3</v>
      </c>
      <c r="I1298" s="303" t="s">
        <v>602</v>
      </c>
      <c r="J1298" s="303"/>
      <c r="K1298" s="303"/>
      <c r="L1298" s="303" t="s">
        <v>451</v>
      </c>
      <c r="M1298" s="304">
        <v>750000</v>
      </c>
      <c r="N1298" s="303" t="s">
        <v>452</v>
      </c>
      <c r="O1298" s="304" t="s">
        <v>5674</v>
      </c>
      <c r="P1298" s="303"/>
      <c r="Q1298" s="303"/>
      <c r="R1298" s="303"/>
      <c r="S1298" s="303" t="str">
        <f>IFERROR(VLOOKUP(B1298,'2022-2023 Third Reviews'!$C:$S,9,FALSE),"")</f>
        <v/>
      </c>
      <c r="T1298" s="303"/>
      <c r="U1298" s="303"/>
      <c r="V1298" s="303"/>
      <c r="W1298" s="303"/>
      <c r="X1298" s="303"/>
      <c r="Y1298" s="303"/>
      <c r="Z1298" s="303"/>
      <c r="AA1298" s="306"/>
      <c r="AB1298" s="306"/>
      <c r="AC1298" s="306"/>
    </row>
    <row r="1299" spans="1:29" ht="15.75" customHeight="1">
      <c r="A1299" s="541">
        <v>44796</v>
      </c>
      <c r="B1299" s="306" t="s">
        <v>4784</v>
      </c>
      <c r="C1299" s="542"/>
      <c r="D1299" s="306" t="s">
        <v>10762</v>
      </c>
      <c r="E1299" s="306" t="s">
        <v>4</v>
      </c>
      <c r="F1299" s="306" t="s">
        <v>725</v>
      </c>
      <c r="G1299" s="306"/>
      <c r="H1299" s="306"/>
      <c r="I1299" s="306" t="s">
        <v>1298</v>
      </c>
      <c r="J1299" s="306" t="s">
        <v>4789</v>
      </c>
      <c r="K1299" s="306">
        <v>3</v>
      </c>
      <c r="L1299" s="306" t="s">
        <v>478</v>
      </c>
      <c r="M1299" s="306" t="s">
        <v>4790</v>
      </c>
      <c r="N1299" s="306" t="s">
        <v>452</v>
      </c>
      <c r="O1299" s="306" t="s">
        <v>575</v>
      </c>
      <c r="P1299" s="306"/>
      <c r="Q1299" s="306"/>
      <c r="R1299" s="306"/>
      <c r="S1299" s="306" t="str">
        <f>IFERROR(VLOOKUP(B1299,'2022-2023 Third Reviews'!$C:$S,9,FALSE),"")</f>
        <v/>
      </c>
      <c r="T1299" s="306"/>
      <c r="U1299" s="306"/>
      <c r="V1299" s="224"/>
      <c r="W1299" s="224"/>
      <c r="X1299" s="224"/>
      <c r="Y1299" s="224"/>
      <c r="Z1299" s="224"/>
      <c r="AA1299" s="224"/>
      <c r="AB1299" s="224"/>
      <c r="AC1299" s="224"/>
    </row>
    <row r="1300" spans="1:29" ht="15.75" customHeight="1">
      <c r="A1300" s="541">
        <v>44796</v>
      </c>
      <c r="B1300" s="306" t="s">
        <v>219</v>
      </c>
      <c r="C1300" s="542"/>
      <c r="D1300" s="306" t="s">
        <v>1313</v>
      </c>
      <c r="E1300" s="306" t="s">
        <v>4</v>
      </c>
      <c r="F1300" s="306" t="s">
        <v>727</v>
      </c>
      <c r="G1300" s="306"/>
      <c r="H1300" s="306"/>
      <c r="I1300" s="306" t="s">
        <v>1045</v>
      </c>
      <c r="J1300" s="306"/>
      <c r="K1300" s="306"/>
      <c r="L1300" s="306" t="s">
        <v>478</v>
      </c>
      <c r="M1300" s="306">
        <v>8000000</v>
      </c>
      <c r="N1300" s="306" t="s">
        <v>452</v>
      </c>
      <c r="O1300" s="306" t="s">
        <v>452</v>
      </c>
      <c r="P1300" s="306"/>
      <c r="Q1300" s="306"/>
      <c r="R1300" s="306"/>
      <c r="S1300" s="306" t="str">
        <f>IFERROR(VLOOKUP(B1300,'2022-2023 Third Reviews'!$C:$S,9,FALSE),"")</f>
        <v/>
      </c>
      <c r="T1300" s="306"/>
      <c r="U1300" s="306"/>
      <c r="V1300" s="219"/>
      <c r="W1300" s="219"/>
      <c r="X1300" s="219"/>
      <c r="Y1300" s="219"/>
      <c r="Z1300" s="219"/>
      <c r="AA1300" s="219"/>
      <c r="AB1300" s="219"/>
      <c r="AC1300" s="219"/>
    </row>
    <row r="1301" spans="1:29" ht="15.75" customHeight="1">
      <c r="A1301" s="479">
        <v>44789</v>
      </c>
      <c r="B1301" s="303" t="s">
        <v>220</v>
      </c>
      <c r="C1301" s="269"/>
      <c r="D1301" s="303" t="s">
        <v>1320</v>
      </c>
      <c r="E1301" s="270" t="s">
        <v>4</v>
      </c>
      <c r="F1301" s="303" t="s">
        <v>727</v>
      </c>
      <c r="G1301" s="303" t="s">
        <v>11446</v>
      </c>
      <c r="H1301" s="303">
        <v>4</v>
      </c>
      <c r="I1301" s="303" t="s">
        <v>602</v>
      </c>
      <c r="J1301" s="303"/>
      <c r="K1301" s="303"/>
      <c r="L1301" s="303" t="s">
        <v>451</v>
      </c>
      <c r="M1301" s="303" t="s">
        <v>1323</v>
      </c>
      <c r="N1301" s="303" t="s">
        <v>454</v>
      </c>
      <c r="O1301" s="303" t="s">
        <v>452</v>
      </c>
      <c r="P1301" s="303" t="s">
        <v>1324</v>
      </c>
      <c r="Q1301" s="303"/>
      <c r="R1301" s="303"/>
      <c r="S1301" s="303" t="str">
        <f ca="1">IFERROR(VLOOKUP(B1301,'2022-2023 Third Reviews'!$C:$S,9,FALSE),"")</f>
        <v>Jason Yu
4</v>
      </c>
      <c r="T1301" s="303"/>
      <c r="U1301" s="303"/>
      <c r="V1301" s="224"/>
      <c r="W1301" s="224"/>
      <c r="X1301" s="224"/>
      <c r="Y1301" s="224"/>
      <c r="Z1301" s="224"/>
      <c r="AA1301" s="224"/>
      <c r="AB1301" s="224"/>
      <c r="AC1301" s="224"/>
    </row>
    <row r="1302" spans="1:29" ht="15.75" customHeight="1">
      <c r="A1302" s="541">
        <v>44796</v>
      </c>
      <c r="B1302" s="306" t="s">
        <v>4348</v>
      </c>
      <c r="C1302" s="542"/>
      <c r="D1302" s="306" t="s">
        <v>4351</v>
      </c>
      <c r="E1302" s="306" t="s">
        <v>4</v>
      </c>
      <c r="F1302" s="306" t="s">
        <v>727</v>
      </c>
      <c r="G1302" s="306"/>
      <c r="H1302" s="306"/>
      <c r="I1302" s="306" t="s">
        <v>13187</v>
      </c>
      <c r="J1302" s="306"/>
      <c r="K1302" s="306"/>
      <c r="L1302" s="306"/>
      <c r="M1302" s="306"/>
      <c r="N1302" s="306" t="s">
        <v>452</v>
      </c>
      <c r="O1302" s="306" t="s">
        <v>10500</v>
      </c>
      <c r="P1302" s="306"/>
      <c r="Q1302" s="306"/>
      <c r="R1302" s="306"/>
      <c r="S1302" s="306" t="str">
        <f>IFERROR(VLOOKUP(B1302,'2022-2023 Third Reviews'!$C:$S,9,FALSE),"")</f>
        <v/>
      </c>
      <c r="T1302" s="306"/>
      <c r="U1302" s="306"/>
      <c r="V1302" s="219"/>
      <c r="W1302" s="219"/>
      <c r="X1302" s="219"/>
      <c r="Y1302" s="219"/>
      <c r="Z1302" s="219"/>
      <c r="AA1302" s="219"/>
      <c r="AB1302" s="219"/>
      <c r="AC1302" s="219"/>
    </row>
    <row r="1303" spans="1:29" ht="15.75" customHeight="1">
      <c r="A1303" s="541">
        <v>44797</v>
      </c>
      <c r="B1303" s="306" t="s">
        <v>4804</v>
      </c>
      <c r="C1303" s="542"/>
      <c r="D1303" s="306" t="s">
        <v>4807</v>
      </c>
      <c r="E1303" s="306" t="s">
        <v>4</v>
      </c>
      <c r="F1303" s="306" t="s">
        <v>1457</v>
      </c>
      <c r="G1303" s="306" t="s">
        <v>4808</v>
      </c>
      <c r="H1303" s="306">
        <v>3</v>
      </c>
      <c r="I1303" s="306" t="s">
        <v>1350</v>
      </c>
      <c r="J1303" s="306"/>
      <c r="K1303" s="306"/>
      <c r="L1303" s="306" t="s">
        <v>784</v>
      </c>
      <c r="M1303" s="306" t="s">
        <v>4810</v>
      </c>
      <c r="N1303" s="306" t="s">
        <v>452</v>
      </c>
      <c r="O1303" s="306" t="s">
        <v>4811</v>
      </c>
      <c r="P1303" s="306"/>
      <c r="Q1303" s="306"/>
      <c r="R1303" s="306"/>
      <c r="S1303" s="306" t="str">
        <f>IFERROR(VLOOKUP(B1303,'2022-2023 Third Reviews'!$C:$S,9,FALSE),"")</f>
        <v/>
      </c>
      <c r="T1303" s="306"/>
      <c r="U1303" s="306"/>
      <c r="V1303" s="224"/>
      <c r="W1303" s="224"/>
      <c r="X1303" s="224"/>
      <c r="Y1303" s="224"/>
      <c r="Z1303" s="224"/>
      <c r="AA1303" s="224"/>
      <c r="AB1303" s="224"/>
      <c r="AC1303" s="224"/>
    </row>
    <row r="1304" spans="1:29" ht="15.75" hidden="1" customHeight="1">
      <c r="A1304" s="248">
        <v>44791</v>
      </c>
      <c r="B1304" s="219" t="s">
        <v>3349</v>
      </c>
      <c r="C1304" s="315">
        <v>3</v>
      </c>
      <c r="D1304" s="219" t="s">
        <v>11258</v>
      </c>
      <c r="E1304" s="219" t="s">
        <v>5</v>
      </c>
      <c r="F1304" s="219" t="s">
        <v>447</v>
      </c>
      <c r="G1304" s="219" t="s">
        <v>11259</v>
      </c>
      <c r="H1304" s="219">
        <v>3</v>
      </c>
      <c r="I1304" s="219" t="s">
        <v>622</v>
      </c>
      <c r="J1304" s="219" t="s">
        <v>3354</v>
      </c>
      <c r="K1304" s="219">
        <v>3</v>
      </c>
      <c r="L1304" s="219" t="s">
        <v>784</v>
      </c>
      <c r="M1304" s="312">
        <v>500000</v>
      </c>
      <c r="N1304" s="219" t="s">
        <v>452</v>
      </c>
      <c r="O1304" s="219" t="s">
        <v>11260</v>
      </c>
      <c r="P1304" s="219"/>
      <c r="Q1304" s="322" t="s">
        <v>24</v>
      </c>
      <c r="R1304" s="251"/>
      <c r="S1304" s="251"/>
      <c r="T1304" s="251"/>
      <c r="U1304" s="251"/>
      <c r="V1304" s="219"/>
      <c r="W1304" s="219"/>
      <c r="X1304" s="219"/>
      <c r="Y1304" s="219"/>
      <c r="Z1304" s="219"/>
      <c r="AA1304" s="219"/>
      <c r="AB1304" s="219"/>
      <c r="AC1304" s="219"/>
    </row>
    <row r="1305" spans="1:29" ht="15.75" hidden="1" customHeight="1">
      <c r="A1305" s="253">
        <v>44789</v>
      </c>
      <c r="B1305" s="224" t="s">
        <v>9235</v>
      </c>
      <c r="C1305" s="249">
        <v>2</v>
      </c>
      <c r="D1305" s="224" t="s">
        <v>9238</v>
      </c>
      <c r="E1305" s="250" t="s">
        <v>3</v>
      </c>
      <c r="F1305" s="224" t="s">
        <v>460</v>
      </c>
      <c r="G1305" s="224" t="s">
        <v>9239</v>
      </c>
      <c r="H1305" s="224">
        <v>2</v>
      </c>
      <c r="I1305" s="224" t="s">
        <v>941</v>
      </c>
      <c r="J1305" s="224" t="s">
        <v>9240</v>
      </c>
      <c r="K1305" s="224">
        <v>2</v>
      </c>
      <c r="L1305" s="224" t="s">
        <v>451</v>
      </c>
      <c r="M1305" s="224">
        <v>800000</v>
      </c>
      <c r="N1305" s="224" t="s">
        <v>452</v>
      </c>
      <c r="O1305" s="224" t="s">
        <v>452</v>
      </c>
      <c r="P1305" s="224"/>
      <c r="Q1305" s="224" t="s">
        <v>24</v>
      </c>
      <c r="R1305" s="254"/>
      <c r="S1305" s="254"/>
      <c r="T1305" s="254"/>
      <c r="U1305" s="254"/>
      <c r="V1305" s="252"/>
      <c r="W1305" s="252"/>
      <c r="X1305" s="252"/>
      <c r="Y1305" s="224"/>
      <c r="Z1305" s="224"/>
      <c r="AA1305" s="224"/>
      <c r="AB1305" s="224"/>
      <c r="AC1305" s="224"/>
    </row>
    <row r="1306" spans="1:29" ht="15.75" customHeight="1">
      <c r="A1306" s="541">
        <v>44797</v>
      </c>
      <c r="B1306" s="306" t="s">
        <v>6407</v>
      </c>
      <c r="C1306" s="542"/>
      <c r="D1306" s="306" t="s">
        <v>6410</v>
      </c>
      <c r="E1306" s="306" t="s">
        <v>4</v>
      </c>
      <c r="F1306" s="306" t="s">
        <v>725</v>
      </c>
      <c r="G1306" s="306" t="s">
        <v>6411</v>
      </c>
      <c r="H1306" s="306">
        <v>2</v>
      </c>
      <c r="I1306" s="306" t="s">
        <v>1350</v>
      </c>
      <c r="J1306" s="306"/>
      <c r="K1306" s="306"/>
      <c r="L1306" s="306" t="s">
        <v>11227</v>
      </c>
      <c r="M1306" s="306">
        <v>2000000</v>
      </c>
      <c r="N1306" s="306" t="s">
        <v>452</v>
      </c>
      <c r="O1306" s="306" t="s">
        <v>6414</v>
      </c>
      <c r="P1306" s="306"/>
      <c r="Q1306" s="306"/>
      <c r="R1306" s="306"/>
      <c r="S1306" s="306" t="str">
        <f>IFERROR(VLOOKUP(B1306,'2022-2023 Third Reviews'!$C:$S,9,FALSE),"")</f>
        <v/>
      </c>
      <c r="T1306" s="306"/>
      <c r="U1306" s="306"/>
      <c r="V1306" s="252"/>
      <c r="W1306" s="252"/>
      <c r="X1306" s="252"/>
      <c r="Y1306" s="219"/>
      <c r="Z1306" s="219"/>
      <c r="AA1306" s="219"/>
      <c r="AB1306" s="219"/>
      <c r="AC1306" s="219"/>
    </row>
    <row r="1307" spans="1:29" ht="15.75" customHeight="1">
      <c r="A1307" s="541">
        <v>44797</v>
      </c>
      <c r="B1307" s="306" t="s">
        <v>5994</v>
      </c>
      <c r="C1307" s="542"/>
      <c r="D1307" s="306"/>
      <c r="E1307" s="306" t="s">
        <v>4</v>
      </c>
      <c r="F1307" s="306" t="s">
        <v>725</v>
      </c>
      <c r="G1307" s="306" t="s">
        <v>11254</v>
      </c>
      <c r="H1307" s="306">
        <v>2</v>
      </c>
      <c r="I1307" s="306" t="s">
        <v>1350</v>
      </c>
      <c r="J1307" s="306"/>
      <c r="K1307" s="306"/>
      <c r="L1307" s="306" t="s">
        <v>1656</v>
      </c>
      <c r="M1307" s="306">
        <v>20000000</v>
      </c>
      <c r="N1307" s="306" t="s">
        <v>452</v>
      </c>
      <c r="O1307" s="306" t="s">
        <v>5999</v>
      </c>
      <c r="P1307" s="306"/>
      <c r="Q1307" s="306"/>
      <c r="R1307" s="306"/>
      <c r="S1307" s="306" t="str">
        <f>IFERROR(VLOOKUP(B1307,'2022-2023 Third Reviews'!$C:$S,9,FALSE),"")</f>
        <v/>
      </c>
      <c r="T1307" s="306"/>
      <c r="U1307" s="306"/>
      <c r="V1307" s="224"/>
      <c r="W1307" s="224"/>
      <c r="X1307" s="224"/>
      <c r="Y1307" s="224"/>
      <c r="Z1307" s="224"/>
      <c r="AA1307" s="224"/>
      <c r="AB1307" s="224"/>
      <c r="AC1307" s="224"/>
    </row>
    <row r="1308" spans="1:29" ht="15.75" hidden="1" customHeight="1">
      <c r="A1308" s="248">
        <v>44791</v>
      </c>
      <c r="B1308" s="219" t="s">
        <v>3358</v>
      </c>
      <c r="C1308" s="315">
        <v>2.75</v>
      </c>
      <c r="D1308" s="219" t="s">
        <v>11375</v>
      </c>
      <c r="E1308" s="219" t="s">
        <v>5</v>
      </c>
      <c r="F1308" s="219" t="s">
        <v>447</v>
      </c>
      <c r="G1308" s="219" t="s">
        <v>11376</v>
      </c>
      <c r="H1308" s="219">
        <v>2</v>
      </c>
      <c r="I1308" s="219" t="s">
        <v>449</v>
      </c>
      <c r="J1308" s="219" t="s">
        <v>11697</v>
      </c>
      <c r="K1308" s="219">
        <v>3.5</v>
      </c>
      <c r="L1308" s="219"/>
      <c r="M1308" s="219"/>
      <c r="N1308" s="219" t="s">
        <v>452</v>
      </c>
      <c r="O1308" s="219" t="s">
        <v>3364</v>
      </c>
      <c r="P1308" s="219"/>
      <c r="Q1308" s="322" t="s">
        <v>24</v>
      </c>
      <c r="R1308" s="251"/>
      <c r="S1308" s="251"/>
      <c r="T1308" s="251"/>
      <c r="U1308" s="251"/>
      <c r="V1308" s="219"/>
      <c r="W1308" s="219"/>
      <c r="X1308" s="219"/>
      <c r="Y1308" s="219"/>
      <c r="Z1308" s="219"/>
      <c r="AA1308" s="219"/>
      <c r="AB1308" s="219"/>
      <c r="AC1308" s="219"/>
    </row>
    <row r="1309" spans="1:29" ht="15.75" customHeight="1">
      <c r="A1309" s="541">
        <v>44797</v>
      </c>
      <c r="B1309" s="306" t="s">
        <v>7925</v>
      </c>
      <c r="C1309" s="542"/>
      <c r="D1309" s="306"/>
      <c r="E1309" s="306" t="s">
        <v>4</v>
      </c>
      <c r="F1309" s="306" t="s">
        <v>725</v>
      </c>
      <c r="G1309" s="306" t="s">
        <v>11498</v>
      </c>
      <c r="H1309" s="306">
        <v>1</v>
      </c>
      <c r="I1309" s="306" t="s">
        <v>1350</v>
      </c>
      <c r="J1309" s="306"/>
      <c r="K1309" s="306"/>
      <c r="L1309" s="306" t="s">
        <v>2190</v>
      </c>
      <c r="M1309" s="306">
        <v>1000000</v>
      </c>
      <c r="N1309" s="306" t="s">
        <v>452</v>
      </c>
      <c r="O1309" s="306" t="s">
        <v>7930</v>
      </c>
      <c r="P1309" s="306" t="s">
        <v>1343</v>
      </c>
      <c r="Q1309" s="306"/>
      <c r="R1309" s="306"/>
      <c r="S1309" s="306" t="str">
        <f>IFERROR(VLOOKUP(B1309,'2022-2023 Third Reviews'!$C:$S,9,FALSE),"")</f>
        <v/>
      </c>
      <c r="T1309" s="306"/>
      <c r="U1309" s="306"/>
      <c r="V1309" s="224"/>
      <c r="W1309" s="224"/>
      <c r="X1309" s="224"/>
      <c r="Y1309" s="224"/>
      <c r="Z1309" s="224"/>
      <c r="AA1309" s="224"/>
      <c r="AB1309" s="224"/>
      <c r="AC1309" s="224"/>
    </row>
    <row r="1310" spans="1:29" ht="15.75" customHeight="1">
      <c r="A1310" s="541">
        <v>44796</v>
      </c>
      <c r="B1310" s="306" t="s">
        <v>4364</v>
      </c>
      <c r="C1310" s="542"/>
      <c r="D1310" s="306" t="s">
        <v>4367</v>
      </c>
      <c r="E1310" s="306" t="s">
        <v>4</v>
      </c>
      <c r="F1310" s="306" t="s">
        <v>727</v>
      </c>
      <c r="G1310" s="306"/>
      <c r="H1310" s="306"/>
      <c r="I1310" s="306" t="s">
        <v>13187</v>
      </c>
      <c r="J1310" s="306"/>
      <c r="K1310" s="306"/>
      <c r="L1310" s="306" t="s">
        <v>451</v>
      </c>
      <c r="M1310" s="306" t="s">
        <v>4370</v>
      </c>
      <c r="N1310" s="306" t="s">
        <v>452</v>
      </c>
      <c r="O1310" s="306" t="s">
        <v>10591</v>
      </c>
      <c r="P1310" s="306"/>
      <c r="Q1310" s="306"/>
      <c r="R1310" s="306"/>
      <c r="S1310" s="306" t="str">
        <f>IFERROR(VLOOKUP(B1310,'2022-2023 Third Reviews'!$C:$S,9,FALSE),"")</f>
        <v/>
      </c>
      <c r="T1310" s="306"/>
      <c r="U1310" s="306"/>
      <c r="V1310" s="219"/>
      <c r="W1310" s="219"/>
      <c r="X1310" s="219"/>
      <c r="Y1310" s="219"/>
      <c r="Z1310" s="219"/>
      <c r="AA1310" s="219"/>
      <c r="AB1310" s="219"/>
      <c r="AC1310" s="219"/>
    </row>
    <row r="1311" spans="1:29" ht="15.75" customHeight="1">
      <c r="A1311" s="541">
        <v>44796</v>
      </c>
      <c r="B1311" s="306" t="s">
        <v>5147</v>
      </c>
      <c r="C1311" s="542"/>
      <c r="D1311" s="306" t="s">
        <v>5150</v>
      </c>
      <c r="E1311" s="306" t="s">
        <v>4</v>
      </c>
      <c r="F1311" s="306" t="s">
        <v>727</v>
      </c>
      <c r="G1311" s="306" t="s">
        <v>10691</v>
      </c>
      <c r="H1311" s="306">
        <v>3</v>
      </c>
      <c r="I1311" s="306" t="s">
        <v>13187</v>
      </c>
      <c r="J1311" s="306"/>
      <c r="K1311" s="306"/>
      <c r="L1311" s="306"/>
      <c r="M1311" s="306"/>
      <c r="N1311" s="306" t="s">
        <v>452</v>
      </c>
      <c r="O1311" s="306" t="s">
        <v>5153</v>
      </c>
      <c r="P1311" s="306"/>
      <c r="Q1311" s="306"/>
      <c r="R1311" s="306"/>
      <c r="S1311" s="306" t="str">
        <f>IFERROR(VLOOKUP(B1311,'2022-2023 Third Reviews'!$C:$S,9,FALSE),"")</f>
        <v/>
      </c>
      <c r="T1311" s="306"/>
      <c r="U1311" s="306"/>
      <c r="V1311" s="252"/>
      <c r="W1311" s="252"/>
      <c r="X1311" s="252"/>
      <c r="Y1311" s="224"/>
      <c r="Z1311" s="224"/>
      <c r="AA1311" s="224"/>
      <c r="AB1311" s="224"/>
      <c r="AC1311" s="224"/>
    </row>
    <row r="1312" spans="1:29" ht="15.75" customHeight="1">
      <c r="A1312" s="541">
        <v>44796</v>
      </c>
      <c r="B1312" s="306" t="s">
        <v>4814</v>
      </c>
      <c r="C1312" s="542"/>
      <c r="D1312" s="306" t="s">
        <v>4817</v>
      </c>
      <c r="E1312" s="306" t="s">
        <v>4</v>
      </c>
      <c r="F1312" s="306" t="s">
        <v>727</v>
      </c>
      <c r="G1312" s="306" t="s">
        <v>10656</v>
      </c>
      <c r="H1312" s="306">
        <v>3.5</v>
      </c>
      <c r="I1312" s="306" t="s">
        <v>13187</v>
      </c>
      <c r="J1312" s="306"/>
      <c r="K1312" s="306"/>
      <c r="L1312" s="306" t="s">
        <v>451</v>
      </c>
      <c r="M1312" s="545">
        <v>5000000</v>
      </c>
      <c r="N1312" s="306" t="s">
        <v>452</v>
      </c>
      <c r="O1312" s="306" t="s">
        <v>10657</v>
      </c>
      <c r="P1312" s="306"/>
      <c r="Q1312" s="306"/>
      <c r="R1312" s="306"/>
      <c r="S1312" s="306" t="str">
        <f>IFERROR(VLOOKUP(B1312,'2022-2023 Third Reviews'!$C:$S,9,FALSE),"")</f>
        <v/>
      </c>
      <c r="T1312" s="306"/>
      <c r="U1312" s="306"/>
      <c r="V1312" s="306"/>
      <c r="W1312" s="306"/>
      <c r="X1312" s="306"/>
      <c r="Y1312" s="306"/>
      <c r="Z1312" s="306"/>
      <c r="AA1312" s="306"/>
      <c r="AB1312" s="306"/>
      <c r="AC1312" s="306"/>
    </row>
    <row r="1313" spans="1:29" ht="15.75" customHeight="1">
      <c r="A1313" s="541">
        <v>44796</v>
      </c>
      <c r="B1313" s="306" t="s">
        <v>5156</v>
      </c>
      <c r="C1313" s="542"/>
      <c r="D1313" s="306" t="s">
        <v>11087</v>
      </c>
      <c r="E1313" s="306" t="s">
        <v>4</v>
      </c>
      <c r="F1313" s="306" t="s">
        <v>602</v>
      </c>
      <c r="G1313" s="306" t="s">
        <v>5160</v>
      </c>
      <c r="H1313" s="306">
        <v>3</v>
      </c>
      <c r="I1313" s="306" t="s">
        <v>13187</v>
      </c>
      <c r="J1313" s="306"/>
      <c r="K1313" s="306"/>
      <c r="L1313" s="306"/>
      <c r="M1313" s="544"/>
      <c r="N1313" s="306" t="s">
        <v>452</v>
      </c>
      <c r="O1313" s="306" t="s">
        <v>5162</v>
      </c>
      <c r="P1313" s="306"/>
      <c r="Q1313" s="306"/>
      <c r="R1313" s="306"/>
      <c r="S1313" s="306" t="str">
        <f>IFERROR(VLOOKUP(B1313,'2022-2023 Third Reviews'!$C:$S,9,FALSE),"")</f>
        <v/>
      </c>
      <c r="T1313" s="306"/>
      <c r="U1313" s="306"/>
      <c r="V1313" s="224"/>
      <c r="W1313" s="224"/>
      <c r="X1313" s="224"/>
      <c r="Y1313" s="224"/>
      <c r="Z1313" s="224"/>
      <c r="AA1313" s="224"/>
      <c r="AB1313" s="224"/>
      <c r="AC1313" s="224"/>
    </row>
    <row r="1314" spans="1:29" ht="15.75" hidden="1" customHeight="1">
      <c r="A1314" s="280">
        <v>44784</v>
      </c>
      <c r="B1314" s="281" t="s">
        <v>127</v>
      </c>
      <c r="C1314" s="282">
        <v>4</v>
      </c>
      <c r="D1314" s="281" t="s">
        <v>901</v>
      </c>
      <c r="E1314" s="281" t="s">
        <v>5</v>
      </c>
      <c r="F1314" s="281" t="s">
        <v>447</v>
      </c>
      <c r="G1314" s="281" t="s">
        <v>10588</v>
      </c>
      <c r="H1314" s="281">
        <v>4</v>
      </c>
      <c r="I1314" s="281" t="s">
        <v>449</v>
      </c>
      <c r="J1314" s="281" t="s">
        <v>11556</v>
      </c>
      <c r="K1314" s="281">
        <v>4</v>
      </c>
      <c r="L1314" s="281" t="s">
        <v>451</v>
      </c>
      <c r="M1314" s="288">
        <v>4000000</v>
      </c>
      <c r="N1314" s="281" t="s">
        <v>452</v>
      </c>
      <c r="O1314" s="288" t="s">
        <v>904</v>
      </c>
      <c r="P1314" s="281"/>
      <c r="Q1314" s="281" t="s">
        <v>18</v>
      </c>
      <c r="R1314" s="283"/>
      <c r="S1314" s="283"/>
      <c r="T1314" s="283"/>
      <c r="U1314" s="283"/>
      <c r="V1314" s="281"/>
      <c r="W1314" s="281"/>
      <c r="X1314" s="281"/>
      <c r="Y1314" s="281"/>
      <c r="Z1314" s="281"/>
      <c r="AA1314" s="258"/>
      <c r="AB1314" s="258"/>
      <c r="AC1314" s="258"/>
    </row>
    <row r="1315" spans="1:29" ht="15.75" hidden="1" customHeight="1">
      <c r="A1315" s="541">
        <v>44791</v>
      </c>
      <c r="B1315" s="306" t="s">
        <v>3367</v>
      </c>
      <c r="C1315" s="542"/>
      <c r="D1315" s="306" t="s">
        <v>10912</v>
      </c>
      <c r="E1315" s="306" t="s">
        <v>3</v>
      </c>
      <c r="F1315" s="306" t="s">
        <v>460</v>
      </c>
      <c r="G1315" s="306"/>
      <c r="H1315" s="306"/>
      <c r="I1315" s="306" t="s">
        <v>462</v>
      </c>
      <c r="J1315" s="306" t="s">
        <v>13226</v>
      </c>
      <c r="K1315" s="306"/>
      <c r="L1315" s="306"/>
      <c r="M1315" s="306"/>
      <c r="N1315" s="306" t="s">
        <v>452</v>
      </c>
      <c r="O1315" s="306" t="s">
        <v>3373</v>
      </c>
      <c r="P1315" s="306" t="s">
        <v>460</v>
      </c>
      <c r="Q1315" s="306"/>
      <c r="R1315" s="543"/>
      <c r="S1315" s="543"/>
      <c r="T1315" s="543"/>
      <c r="U1315" s="543"/>
      <c r="V1315" s="306"/>
      <c r="W1315" s="306"/>
      <c r="X1315" s="306"/>
      <c r="Y1315" s="306"/>
      <c r="Z1315" s="306"/>
      <c r="AA1315" s="306"/>
      <c r="AB1315" s="306"/>
      <c r="AC1315" s="306"/>
    </row>
    <row r="1316" spans="1:29" ht="15.75" hidden="1" customHeight="1">
      <c r="A1316" s="255">
        <v>44791</v>
      </c>
      <c r="B1316" s="239" t="s">
        <v>3367</v>
      </c>
      <c r="C1316" s="262">
        <v>3</v>
      </c>
      <c r="D1316" s="239" t="s">
        <v>10912</v>
      </c>
      <c r="E1316" s="239" t="s">
        <v>5</v>
      </c>
      <c r="F1316" s="239" t="s">
        <v>460</v>
      </c>
      <c r="G1316" s="239" t="s">
        <v>3371</v>
      </c>
      <c r="H1316" s="239">
        <v>3</v>
      </c>
      <c r="I1316" s="239" t="s">
        <v>462</v>
      </c>
      <c r="J1316" s="239" t="s">
        <v>3372</v>
      </c>
      <c r="K1316" s="239">
        <v>3</v>
      </c>
      <c r="L1316" s="239"/>
      <c r="M1316" s="239"/>
      <c r="N1316" s="239" t="s">
        <v>452</v>
      </c>
      <c r="O1316" s="239" t="s">
        <v>3373</v>
      </c>
      <c r="P1316" s="239" t="s">
        <v>460</v>
      </c>
      <c r="Q1316" s="239" t="s">
        <v>24</v>
      </c>
      <c r="R1316" s="256" t="s">
        <v>3374</v>
      </c>
      <c r="S1316" s="256"/>
      <c r="T1316" s="256"/>
      <c r="U1316" s="256"/>
      <c r="V1316" s="239"/>
      <c r="W1316" s="239"/>
      <c r="X1316" s="239"/>
      <c r="Y1316" s="239"/>
      <c r="Z1316" s="239"/>
      <c r="AA1316" s="239"/>
      <c r="AB1316" s="239"/>
      <c r="AC1316" s="239"/>
    </row>
    <row r="1317" spans="1:29" ht="15.75" hidden="1" customHeight="1">
      <c r="A1317" s="267">
        <v>44784</v>
      </c>
      <c r="B1317" s="272" t="s">
        <v>360</v>
      </c>
      <c r="C1317" s="269">
        <v>5</v>
      </c>
      <c r="D1317" s="272" t="s">
        <v>2032</v>
      </c>
      <c r="E1317" s="270" t="s">
        <v>3</v>
      </c>
      <c r="F1317" s="272" t="s">
        <v>460</v>
      </c>
      <c r="G1317" s="272" t="s">
        <v>2033</v>
      </c>
      <c r="H1317" s="272">
        <v>5</v>
      </c>
      <c r="I1317" s="272" t="s">
        <v>462</v>
      </c>
      <c r="J1317" s="272" t="s">
        <v>2034</v>
      </c>
      <c r="K1317" s="272">
        <v>5</v>
      </c>
      <c r="L1317" s="272" t="s">
        <v>478</v>
      </c>
      <c r="M1317" s="284">
        <v>3000000</v>
      </c>
      <c r="N1317" s="272" t="s">
        <v>465</v>
      </c>
      <c r="O1317" s="284" t="s">
        <v>452</v>
      </c>
      <c r="P1317" s="272"/>
      <c r="Q1317" s="272" t="s">
        <v>18</v>
      </c>
      <c r="R1317" s="274" t="s">
        <v>2035</v>
      </c>
      <c r="S1317" s="274"/>
      <c r="T1317" s="274"/>
      <c r="U1317" s="274"/>
      <c r="V1317" s="272"/>
      <c r="W1317" s="272"/>
      <c r="X1317" s="272"/>
      <c r="Y1317" s="272"/>
      <c r="Z1317" s="272"/>
      <c r="AA1317" s="224"/>
      <c r="AB1317" s="224"/>
      <c r="AC1317" s="224"/>
    </row>
    <row r="1318" spans="1:29" ht="15.75" hidden="1" customHeight="1">
      <c r="A1318" s="248">
        <v>44782</v>
      </c>
      <c r="B1318" s="219" t="s">
        <v>3377</v>
      </c>
      <c r="C1318" s="249">
        <v>3.25</v>
      </c>
      <c r="D1318" s="219" t="s">
        <v>10391</v>
      </c>
      <c r="E1318" s="250" t="s">
        <v>5</v>
      </c>
      <c r="F1318" s="219" t="s">
        <v>447</v>
      </c>
      <c r="G1318" s="219" t="s">
        <v>10392</v>
      </c>
      <c r="H1318" s="219">
        <v>3.5</v>
      </c>
      <c r="I1318" s="219" t="s">
        <v>476</v>
      </c>
      <c r="J1318" s="219" t="s">
        <v>13400</v>
      </c>
      <c r="K1318" s="219">
        <v>3</v>
      </c>
      <c r="L1318" s="219" t="s">
        <v>478</v>
      </c>
      <c r="M1318" s="219">
        <v>5000000</v>
      </c>
      <c r="N1318" s="219" t="s">
        <v>3383</v>
      </c>
      <c r="O1318" s="219" t="s">
        <v>10394</v>
      </c>
      <c r="P1318" s="219"/>
      <c r="Q1318" s="219" t="s">
        <v>24</v>
      </c>
      <c r="R1318" s="251"/>
      <c r="S1318" s="251"/>
      <c r="T1318" s="251"/>
      <c r="U1318" s="251"/>
      <c r="V1318" s="252"/>
      <c r="W1318" s="252"/>
      <c r="X1318" s="252"/>
      <c r="Y1318" s="219"/>
      <c r="Z1318" s="219"/>
      <c r="AA1318" s="219"/>
      <c r="AB1318" s="219"/>
      <c r="AC1318" s="219"/>
    </row>
    <row r="1319" spans="1:29" ht="15.75" hidden="1" customHeight="1">
      <c r="A1319" s="253">
        <v>44789</v>
      </c>
      <c r="B1319" s="224" t="s">
        <v>3387</v>
      </c>
      <c r="C1319" s="249">
        <v>3</v>
      </c>
      <c r="D1319" s="224" t="s">
        <v>3390</v>
      </c>
      <c r="E1319" s="250" t="s">
        <v>5</v>
      </c>
      <c r="F1319" s="224" t="s">
        <v>447</v>
      </c>
      <c r="G1319" s="224"/>
      <c r="H1319" s="224">
        <v>3</v>
      </c>
      <c r="I1319" s="224" t="s">
        <v>543</v>
      </c>
      <c r="J1319" s="224" t="s">
        <v>10899</v>
      </c>
      <c r="K1319" s="224">
        <v>3</v>
      </c>
      <c r="L1319" s="224"/>
      <c r="M1319" s="224"/>
      <c r="N1319" s="224" t="s">
        <v>452</v>
      </c>
      <c r="O1319" s="224" t="s">
        <v>10900</v>
      </c>
      <c r="P1319" s="224"/>
      <c r="Q1319" s="224" t="s">
        <v>24</v>
      </c>
      <c r="R1319" s="254"/>
      <c r="S1319" s="254"/>
      <c r="T1319" s="254"/>
      <c r="U1319" s="254"/>
      <c r="V1319" s="252"/>
      <c r="W1319" s="252"/>
      <c r="X1319" s="252"/>
      <c r="Y1319" s="224"/>
      <c r="Z1319" s="224"/>
      <c r="AA1319" s="224"/>
      <c r="AB1319" s="224"/>
      <c r="AC1319" s="224"/>
    </row>
    <row r="1320" spans="1:29" ht="15.75" customHeight="1">
      <c r="A1320" s="541">
        <v>44797</v>
      </c>
      <c r="B1320" s="306" t="s">
        <v>5692</v>
      </c>
      <c r="C1320" s="542"/>
      <c r="D1320" s="306" t="s">
        <v>5695</v>
      </c>
      <c r="E1320" s="306" t="s">
        <v>4</v>
      </c>
      <c r="F1320" s="306" t="s">
        <v>447</v>
      </c>
      <c r="G1320" s="306" t="s">
        <v>11113</v>
      </c>
      <c r="H1320" s="306">
        <v>3.5</v>
      </c>
      <c r="I1320" s="306" t="s">
        <v>1350</v>
      </c>
      <c r="J1320" s="306"/>
      <c r="K1320" s="306"/>
      <c r="L1320" s="306"/>
      <c r="M1320" s="306"/>
      <c r="N1320" s="306" t="s">
        <v>452</v>
      </c>
      <c r="O1320" s="306" t="s">
        <v>11115</v>
      </c>
      <c r="P1320" s="306"/>
      <c r="Q1320" s="306"/>
      <c r="R1320" s="306"/>
      <c r="S1320" s="306" t="str">
        <f>IFERROR(VLOOKUP(B1320,'2022-2023 Third Reviews'!$C:$S,9,FALSE),"")</f>
        <v/>
      </c>
      <c r="T1320" s="306"/>
      <c r="U1320" s="306"/>
      <c r="V1320" s="219"/>
      <c r="W1320" s="219"/>
      <c r="X1320" s="219"/>
      <c r="Y1320" s="219"/>
      <c r="Z1320" s="219"/>
      <c r="AA1320" s="219"/>
      <c r="AB1320" s="219"/>
      <c r="AC1320" s="219"/>
    </row>
    <row r="1321" spans="1:29" ht="15.75" customHeight="1">
      <c r="A1321" s="541">
        <v>44796</v>
      </c>
      <c r="B1321" s="306" t="s">
        <v>7397</v>
      </c>
      <c r="C1321" s="542"/>
      <c r="D1321" s="306" t="s">
        <v>7400</v>
      </c>
      <c r="E1321" s="306" t="s">
        <v>4</v>
      </c>
      <c r="F1321" s="306" t="s">
        <v>727</v>
      </c>
      <c r="G1321" s="306"/>
      <c r="H1321" s="306"/>
      <c r="I1321" s="306" t="s">
        <v>1054</v>
      </c>
      <c r="J1321" s="306" t="s">
        <v>7402</v>
      </c>
      <c r="K1321" s="306">
        <v>2</v>
      </c>
      <c r="L1321" s="306" t="s">
        <v>451</v>
      </c>
      <c r="M1321" s="545">
        <v>200000</v>
      </c>
      <c r="N1321" s="306" t="s">
        <v>452</v>
      </c>
      <c r="O1321" s="306" t="s">
        <v>7403</v>
      </c>
      <c r="P1321" s="306"/>
      <c r="Q1321" s="306"/>
      <c r="R1321" s="306"/>
      <c r="S1321" s="306" t="str">
        <f ca="1">IFERROR(VLOOKUP(B1321,'2022-2023 Third Reviews'!$C:$S,9,FALSE),"")</f>
        <v>Ahmed Bahgat
1</v>
      </c>
      <c r="T1321" s="306"/>
      <c r="U1321" s="306"/>
      <c r="V1321" s="306"/>
      <c r="W1321" s="306"/>
      <c r="X1321" s="306"/>
      <c r="Y1321" s="306"/>
      <c r="Z1321" s="306"/>
      <c r="AA1321" s="306"/>
      <c r="AB1321" s="306"/>
      <c r="AC1321" s="306"/>
    </row>
    <row r="1322" spans="1:29" ht="15.75" customHeight="1">
      <c r="A1322" s="541">
        <v>44796</v>
      </c>
      <c r="B1322" s="306" t="s">
        <v>5164</v>
      </c>
      <c r="C1322" s="542"/>
      <c r="D1322" s="306" t="s">
        <v>5167</v>
      </c>
      <c r="E1322" s="306" t="s">
        <v>4</v>
      </c>
      <c r="F1322" s="306" t="s">
        <v>727</v>
      </c>
      <c r="G1322" s="306"/>
      <c r="H1322" s="306"/>
      <c r="I1322" s="306" t="s">
        <v>1054</v>
      </c>
      <c r="J1322" s="306" t="s">
        <v>11002</v>
      </c>
      <c r="K1322" s="306">
        <v>3.5</v>
      </c>
      <c r="L1322" s="306" t="s">
        <v>5170</v>
      </c>
      <c r="M1322" s="544" t="s">
        <v>5171</v>
      </c>
      <c r="N1322" s="306" t="s">
        <v>454</v>
      </c>
      <c r="O1322" s="306" t="s">
        <v>11003</v>
      </c>
      <c r="P1322" s="306"/>
      <c r="Q1322" s="306"/>
      <c r="R1322" s="306"/>
      <c r="S1322" s="306" t="str">
        <f ca="1">IFERROR(VLOOKUP(B1322,'2022-2023 Third Reviews'!$C:$S,9,FALSE),"")</f>
        <v>Ahmed Bahgat
5</v>
      </c>
      <c r="T1322" s="306"/>
      <c r="U1322" s="306"/>
      <c r="V1322" s="219"/>
      <c r="W1322" s="219"/>
      <c r="X1322" s="219"/>
      <c r="Y1322" s="219"/>
      <c r="Z1322" s="219"/>
      <c r="AA1322" s="219"/>
      <c r="AB1322" s="219"/>
      <c r="AC1322" s="219"/>
    </row>
    <row r="1323" spans="1:29" ht="15.75" customHeight="1">
      <c r="A1323" s="541">
        <v>44796</v>
      </c>
      <c r="B1323" s="306" t="s">
        <v>224</v>
      </c>
      <c r="C1323" s="542"/>
      <c r="D1323" s="306" t="s">
        <v>1348</v>
      </c>
      <c r="E1323" s="306" t="s">
        <v>4</v>
      </c>
      <c r="F1323" s="306" t="s">
        <v>727</v>
      </c>
      <c r="G1323" s="306"/>
      <c r="H1323" s="306"/>
      <c r="I1323" s="306" t="s">
        <v>13187</v>
      </c>
      <c r="J1323" s="306"/>
      <c r="K1323" s="306"/>
      <c r="L1323" s="306"/>
      <c r="M1323" s="545"/>
      <c r="N1323" s="306" t="s">
        <v>465</v>
      </c>
      <c r="O1323" s="306" t="s">
        <v>1352</v>
      </c>
      <c r="P1323" s="306"/>
      <c r="Q1323" s="306"/>
      <c r="R1323" s="306"/>
      <c r="S1323" s="306" t="str">
        <f>IFERROR(VLOOKUP(B1323,'2022-2023 Third Reviews'!$C:$S,9,FALSE),"")</f>
        <v/>
      </c>
      <c r="T1323" s="306"/>
      <c r="U1323" s="306"/>
      <c r="V1323" s="224"/>
      <c r="W1323" s="224"/>
      <c r="X1323" s="224"/>
      <c r="Y1323" s="224"/>
      <c r="Z1323" s="224"/>
      <c r="AA1323" s="224"/>
      <c r="AB1323" s="224"/>
      <c r="AC1323" s="224"/>
    </row>
    <row r="1324" spans="1:29" ht="15.75" customHeight="1">
      <c r="A1324" s="541">
        <v>44797</v>
      </c>
      <c r="B1324" s="306" t="s">
        <v>224</v>
      </c>
      <c r="C1324" s="542"/>
      <c r="D1324" s="306" t="s">
        <v>1348</v>
      </c>
      <c r="E1324" s="306" t="s">
        <v>4</v>
      </c>
      <c r="F1324" s="306" t="s">
        <v>727</v>
      </c>
      <c r="G1324" s="306" t="s">
        <v>10340</v>
      </c>
      <c r="H1324" s="306">
        <v>4.5</v>
      </c>
      <c r="I1324" s="306" t="s">
        <v>1350</v>
      </c>
      <c r="J1324" s="306"/>
      <c r="K1324" s="306"/>
      <c r="L1324" s="306"/>
      <c r="M1324" s="306"/>
      <c r="N1324" s="306" t="s">
        <v>465</v>
      </c>
      <c r="O1324" s="306" t="s">
        <v>1352</v>
      </c>
      <c r="P1324" s="306"/>
      <c r="Q1324" s="306"/>
      <c r="R1324" s="306"/>
      <c r="S1324" s="306" t="str">
        <f>IFERROR(VLOOKUP(B1324,'2022-2023 Third Reviews'!$C:$S,9,FALSE),"")</f>
        <v/>
      </c>
      <c r="T1324" s="306"/>
      <c r="U1324" s="306"/>
      <c r="V1324" s="219"/>
      <c r="W1324" s="219"/>
      <c r="X1324" s="219"/>
      <c r="Y1324" s="219"/>
      <c r="Z1324" s="219"/>
      <c r="AA1324" s="219"/>
      <c r="AB1324" s="219"/>
      <c r="AC1324" s="219"/>
    </row>
    <row r="1325" spans="1:29" ht="15.75" hidden="1" customHeight="1">
      <c r="A1325" s="541">
        <v>44796</v>
      </c>
      <c r="B1325" s="306" t="s">
        <v>9243</v>
      </c>
      <c r="C1325" s="542"/>
      <c r="D1325" s="306" t="s">
        <v>9246</v>
      </c>
      <c r="E1325" s="306" t="s">
        <v>3</v>
      </c>
      <c r="F1325" s="306" t="s">
        <v>460</v>
      </c>
      <c r="G1325" s="306"/>
      <c r="H1325" s="306"/>
      <c r="I1325" s="306" t="s">
        <v>462</v>
      </c>
      <c r="J1325" s="306"/>
      <c r="K1325" s="306"/>
      <c r="L1325" s="306"/>
      <c r="M1325" s="544"/>
      <c r="N1325" s="306" t="s">
        <v>454</v>
      </c>
      <c r="O1325" s="306" t="s">
        <v>452</v>
      </c>
      <c r="P1325" s="306" t="s">
        <v>725</v>
      </c>
      <c r="Q1325" s="306"/>
      <c r="R1325" s="543"/>
      <c r="S1325" s="543"/>
      <c r="T1325" s="543"/>
      <c r="U1325" s="543"/>
      <c r="V1325" s="306"/>
      <c r="W1325" s="306"/>
      <c r="X1325" s="306"/>
      <c r="Y1325" s="306"/>
      <c r="Z1325" s="306"/>
      <c r="AA1325" s="306"/>
      <c r="AB1325" s="306"/>
      <c r="AC1325" s="306"/>
    </row>
    <row r="1326" spans="1:29" ht="15.75" hidden="1" customHeight="1">
      <c r="A1326" s="248">
        <v>44796</v>
      </c>
      <c r="B1326" s="219" t="s">
        <v>9243</v>
      </c>
      <c r="C1326" s="315">
        <v>1.5</v>
      </c>
      <c r="D1326" s="219" t="s">
        <v>9246</v>
      </c>
      <c r="E1326" s="219" t="s">
        <v>3</v>
      </c>
      <c r="F1326" s="219" t="s">
        <v>460</v>
      </c>
      <c r="G1326" s="219" t="s">
        <v>9247</v>
      </c>
      <c r="H1326" s="219">
        <v>1</v>
      </c>
      <c r="I1326" s="219" t="s">
        <v>462</v>
      </c>
      <c r="J1326" s="219" t="s">
        <v>9248</v>
      </c>
      <c r="K1326" s="219">
        <v>2</v>
      </c>
      <c r="L1326" s="219"/>
      <c r="M1326" s="219"/>
      <c r="N1326" s="219" t="s">
        <v>454</v>
      </c>
      <c r="O1326" s="219" t="s">
        <v>452</v>
      </c>
      <c r="P1326" s="219" t="s">
        <v>725</v>
      </c>
      <c r="Q1326" s="219" t="s">
        <v>24</v>
      </c>
      <c r="R1326" s="251"/>
      <c r="S1326" s="251"/>
      <c r="T1326" s="251"/>
      <c r="U1326" s="251"/>
      <c r="V1326" s="219"/>
      <c r="W1326" s="219"/>
      <c r="X1326" s="219"/>
      <c r="Y1326" s="219"/>
      <c r="Z1326" s="219"/>
      <c r="AA1326" s="219"/>
      <c r="AB1326" s="219"/>
      <c r="AC1326" s="219"/>
    </row>
    <row r="1327" spans="1:29" ht="15.75" customHeight="1">
      <c r="A1327" s="541">
        <v>44797</v>
      </c>
      <c r="B1327" s="306" t="s">
        <v>5700</v>
      </c>
      <c r="C1327" s="542"/>
      <c r="D1327" s="306" t="s">
        <v>5703</v>
      </c>
      <c r="E1327" s="306" t="s">
        <v>4</v>
      </c>
      <c r="F1327" s="306" t="s">
        <v>447</v>
      </c>
      <c r="G1327" s="306" t="s">
        <v>10936</v>
      </c>
      <c r="H1327" s="306">
        <v>2.5</v>
      </c>
      <c r="I1327" s="306" t="s">
        <v>1350</v>
      </c>
      <c r="J1327" s="306"/>
      <c r="K1327" s="306"/>
      <c r="L1327" s="306"/>
      <c r="M1327" s="306"/>
      <c r="N1327" s="306" t="s">
        <v>452</v>
      </c>
      <c r="O1327" s="306" t="s">
        <v>10937</v>
      </c>
      <c r="P1327" s="306"/>
      <c r="Q1327" s="306"/>
      <c r="R1327" s="306"/>
      <c r="S1327" s="306" t="str">
        <f>IFERROR(VLOOKUP(B1327,'2022-2023 Third Reviews'!$C:$S,9,FALSE),"")</f>
        <v/>
      </c>
      <c r="T1327" s="306"/>
      <c r="U1327" s="306"/>
      <c r="V1327" s="224"/>
      <c r="W1327" s="224"/>
      <c r="X1327" s="224"/>
      <c r="Y1327" s="224"/>
      <c r="Z1327" s="224"/>
      <c r="AA1327" s="224"/>
      <c r="AB1327" s="224"/>
      <c r="AC1327" s="224"/>
    </row>
    <row r="1328" spans="1:29" ht="15.75" customHeight="1">
      <c r="A1328" s="541">
        <v>44796</v>
      </c>
      <c r="B1328" s="306" t="s">
        <v>8065</v>
      </c>
      <c r="C1328" s="542"/>
      <c r="D1328" s="306" t="s">
        <v>8068</v>
      </c>
      <c r="E1328" s="306" t="s">
        <v>4</v>
      </c>
      <c r="F1328" s="306" t="s">
        <v>725</v>
      </c>
      <c r="G1328" s="306"/>
      <c r="H1328" s="306"/>
      <c r="I1328" s="306" t="s">
        <v>1045</v>
      </c>
      <c r="J1328" s="306"/>
      <c r="K1328" s="306"/>
      <c r="L1328" s="306" t="s">
        <v>784</v>
      </c>
      <c r="M1328" s="544">
        <v>100000</v>
      </c>
      <c r="N1328" s="306" t="s">
        <v>465</v>
      </c>
      <c r="O1328" s="306" t="s">
        <v>8070</v>
      </c>
      <c r="P1328" s="306"/>
      <c r="Q1328" s="306"/>
      <c r="R1328" s="306"/>
      <c r="S1328" s="306" t="str">
        <f>IFERROR(VLOOKUP(B1328,'2022-2023 Third Reviews'!$C:$S,9,FALSE),"")</f>
        <v/>
      </c>
      <c r="T1328" s="306"/>
      <c r="U1328" s="306"/>
      <c r="V1328" s="219"/>
      <c r="W1328" s="219"/>
      <c r="X1328" s="219"/>
      <c r="Y1328" s="219"/>
      <c r="Z1328" s="219"/>
      <c r="AA1328" s="219"/>
      <c r="AB1328" s="219"/>
      <c r="AC1328" s="219"/>
    </row>
    <row r="1329" spans="1:29" ht="15.75" customHeight="1">
      <c r="A1329" s="541">
        <v>44797</v>
      </c>
      <c r="B1329" s="306" t="s">
        <v>5175</v>
      </c>
      <c r="C1329" s="542"/>
      <c r="D1329" s="306" t="s">
        <v>5178</v>
      </c>
      <c r="E1329" s="306" t="s">
        <v>4</v>
      </c>
      <c r="F1329" s="306" t="s">
        <v>1045</v>
      </c>
      <c r="G1329" s="306" t="s">
        <v>5179</v>
      </c>
      <c r="H1329" s="306">
        <v>3.5</v>
      </c>
      <c r="I1329" s="306" t="s">
        <v>1350</v>
      </c>
      <c r="J1329" s="306"/>
      <c r="K1329" s="306"/>
      <c r="L1329" s="306" t="s">
        <v>451</v>
      </c>
      <c r="M1329" s="306">
        <v>2000000</v>
      </c>
      <c r="N1329" s="306" t="s">
        <v>452</v>
      </c>
      <c r="O1329" s="306" t="s">
        <v>11165</v>
      </c>
      <c r="P1329" s="306"/>
      <c r="Q1329" s="306"/>
      <c r="R1329" s="306"/>
      <c r="S1329" s="306" t="str">
        <f>IFERROR(VLOOKUP(B1329,'2022-2023 Third Reviews'!$C:$S,9,FALSE),"")</f>
        <v/>
      </c>
      <c r="T1329" s="306"/>
      <c r="U1329" s="306"/>
      <c r="V1329" s="224"/>
      <c r="W1329" s="224"/>
      <c r="X1329" s="224"/>
      <c r="Y1329" s="224"/>
      <c r="Z1329" s="224"/>
      <c r="AA1329" s="224"/>
      <c r="AB1329" s="224"/>
      <c r="AC1329" s="224"/>
    </row>
    <row r="1330" spans="1:29" ht="15.75" customHeight="1">
      <c r="A1330" s="541">
        <v>44797</v>
      </c>
      <c r="B1330" s="306" t="s">
        <v>4831</v>
      </c>
      <c r="C1330" s="542"/>
      <c r="D1330" s="306" t="s">
        <v>4834</v>
      </c>
      <c r="E1330" s="306" t="s">
        <v>4</v>
      </c>
      <c r="F1330" s="306" t="s">
        <v>725</v>
      </c>
      <c r="G1330" s="306" t="s">
        <v>10779</v>
      </c>
      <c r="H1330" s="306">
        <v>3.5</v>
      </c>
      <c r="I1330" s="306" t="s">
        <v>1350</v>
      </c>
      <c r="J1330" s="306"/>
      <c r="K1330" s="306"/>
      <c r="L1330" s="306" t="s">
        <v>451</v>
      </c>
      <c r="M1330" s="546">
        <v>2000000</v>
      </c>
      <c r="N1330" s="306" t="s">
        <v>452</v>
      </c>
      <c r="O1330" s="306" t="s">
        <v>452</v>
      </c>
      <c r="P1330" s="306"/>
      <c r="Q1330" s="306"/>
      <c r="R1330" s="306"/>
      <c r="S1330" s="306" t="str">
        <f>IFERROR(VLOOKUP(B1330,'2022-2023 Third Reviews'!$C:$S,9,FALSE),"")</f>
        <v/>
      </c>
      <c r="T1330" s="306"/>
      <c r="U1330" s="306"/>
      <c r="V1330" s="219"/>
      <c r="W1330" s="219"/>
      <c r="X1330" s="219"/>
      <c r="Y1330" s="219"/>
      <c r="Z1330" s="219"/>
      <c r="AA1330" s="219"/>
      <c r="AB1330" s="219"/>
      <c r="AC1330" s="219"/>
    </row>
    <row r="1331" spans="1:29" ht="15.75" customHeight="1">
      <c r="A1331" s="541">
        <v>44797</v>
      </c>
      <c r="B1331" s="306" t="s">
        <v>6806</v>
      </c>
      <c r="C1331" s="542"/>
      <c r="D1331" s="306" t="s">
        <v>11156</v>
      </c>
      <c r="E1331" s="306" t="s">
        <v>4</v>
      </c>
      <c r="F1331" s="306" t="s">
        <v>1045</v>
      </c>
      <c r="G1331" s="306" t="s">
        <v>6810</v>
      </c>
      <c r="H1331" s="306">
        <v>2</v>
      </c>
      <c r="I1331" s="306" t="s">
        <v>1350</v>
      </c>
      <c r="J1331" s="306"/>
      <c r="K1331" s="306"/>
      <c r="L1331" s="306"/>
      <c r="M1331" s="306"/>
      <c r="N1331" s="306" t="s">
        <v>452</v>
      </c>
      <c r="O1331" s="306" t="s">
        <v>6812</v>
      </c>
      <c r="P1331" s="306" t="s">
        <v>6813</v>
      </c>
      <c r="Q1331" s="306"/>
      <c r="R1331" s="306"/>
      <c r="S1331" s="306" t="str">
        <f>IFERROR(VLOOKUP(B1331,'2022-2023 Third Reviews'!$C:$S,9,FALSE),"")</f>
        <v/>
      </c>
      <c r="T1331" s="306"/>
      <c r="U1331" s="306"/>
      <c r="V1331" s="224"/>
      <c r="W1331" s="224"/>
      <c r="X1331" s="224"/>
      <c r="Y1331" s="224"/>
      <c r="Z1331" s="224"/>
      <c r="AA1331" s="224"/>
      <c r="AB1331" s="224"/>
      <c r="AC1331" s="224"/>
    </row>
    <row r="1332" spans="1:29" ht="15.75" hidden="1" customHeight="1">
      <c r="A1332" s="280">
        <v>44784</v>
      </c>
      <c r="B1332" s="281" t="s">
        <v>3395</v>
      </c>
      <c r="C1332" s="282">
        <v>3</v>
      </c>
      <c r="D1332" s="281" t="s">
        <v>3398</v>
      </c>
      <c r="E1332" s="281" t="s">
        <v>5</v>
      </c>
      <c r="F1332" s="281" t="s">
        <v>447</v>
      </c>
      <c r="G1332" s="281" t="s">
        <v>10462</v>
      </c>
      <c r="H1332" s="281">
        <v>3</v>
      </c>
      <c r="I1332" s="281" t="s">
        <v>543</v>
      </c>
      <c r="J1332" s="281" t="s">
        <v>11586</v>
      </c>
      <c r="K1332" s="281">
        <v>3</v>
      </c>
      <c r="L1332" s="281" t="s">
        <v>451</v>
      </c>
      <c r="M1332" s="281">
        <v>1000000</v>
      </c>
      <c r="N1332" s="281" t="s">
        <v>452</v>
      </c>
      <c r="O1332" s="281" t="s">
        <v>10464</v>
      </c>
      <c r="P1332" s="281"/>
      <c r="Q1332" s="281" t="s">
        <v>24</v>
      </c>
      <c r="R1332" s="283" t="s">
        <v>2260</v>
      </c>
      <c r="S1332" s="283"/>
      <c r="T1332" s="283"/>
      <c r="U1332" s="283"/>
      <c r="V1332" s="281"/>
      <c r="W1332" s="281"/>
      <c r="X1332" s="281"/>
      <c r="Y1332" s="281"/>
      <c r="Z1332" s="281"/>
      <c r="AA1332" s="258"/>
      <c r="AB1332" s="258"/>
      <c r="AC1332" s="258"/>
    </row>
    <row r="1333" spans="1:29" ht="15.75" hidden="1" customHeight="1">
      <c r="A1333" s="541">
        <v>44796</v>
      </c>
      <c r="B1333" s="306" t="s">
        <v>268</v>
      </c>
      <c r="C1333" s="542"/>
      <c r="D1333" s="306" t="s">
        <v>1550</v>
      </c>
      <c r="E1333" s="306" t="s">
        <v>3</v>
      </c>
      <c r="F1333" s="306" t="s">
        <v>460</v>
      </c>
      <c r="G1333" s="306"/>
      <c r="H1333" s="306"/>
      <c r="I1333" s="306" t="s">
        <v>462</v>
      </c>
      <c r="J1333" s="306"/>
      <c r="K1333" s="306"/>
      <c r="L1333" s="306" t="s">
        <v>478</v>
      </c>
      <c r="M1333" s="544">
        <v>6000000</v>
      </c>
      <c r="N1333" s="306" t="s">
        <v>452</v>
      </c>
      <c r="O1333" s="306" t="s">
        <v>10358</v>
      </c>
      <c r="P1333" s="306"/>
      <c r="Q1333" s="306"/>
      <c r="R1333" s="543"/>
      <c r="S1333" s="543"/>
      <c r="T1333" s="543"/>
      <c r="U1333" s="543"/>
      <c r="V1333" s="306"/>
      <c r="W1333" s="306"/>
      <c r="X1333" s="306"/>
      <c r="Y1333" s="306"/>
      <c r="Z1333" s="306"/>
      <c r="AA1333" s="306"/>
      <c r="AB1333" s="306"/>
      <c r="AC1333" s="306"/>
    </row>
    <row r="1334" spans="1:29" ht="15.75" hidden="1" customHeight="1">
      <c r="A1334" s="276">
        <v>44784</v>
      </c>
      <c r="B1334" s="277" t="s">
        <v>150</v>
      </c>
      <c r="C1334" s="278">
        <v>4.5</v>
      </c>
      <c r="D1334" s="277" t="s">
        <v>3406</v>
      </c>
      <c r="E1334" s="277" t="s">
        <v>5</v>
      </c>
      <c r="F1334" s="277" t="s">
        <v>460</v>
      </c>
      <c r="G1334" s="277" t="s">
        <v>10278</v>
      </c>
      <c r="H1334" s="277">
        <v>4.5</v>
      </c>
      <c r="I1334" s="277" t="s">
        <v>462</v>
      </c>
      <c r="J1334" s="277" t="s">
        <v>3408</v>
      </c>
      <c r="K1334" s="277">
        <v>4.5</v>
      </c>
      <c r="L1334" s="277"/>
      <c r="M1334" s="277"/>
      <c r="N1334" s="277" t="s">
        <v>452</v>
      </c>
      <c r="O1334" s="277" t="s">
        <v>10279</v>
      </c>
      <c r="P1334" s="277"/>
      <c r="Q1334" s="277" t="s">
        <v>18</v>
      </c>
      <c r="R1334" s="279" t="s">
        <v>3410</v>
      </c>
      <c r="S1334" s="279"/>
      <c r="T1334" s="279"/>
      <c r="U1334" s="279"/>
      <c r="V1334" s="277"/>
      <c r="W1334" s="277"/>
      <c r="X1334" s="277"/>
      <c r="Y1334" s="277"/>
      <c r="Z1334" s="277"/>
      <c r="AA1334" s="239"/>
      <c r="AB1334" s="239"/>
      <c r="AC1334" s="239"/>
    </row>
    <row r="1335" spans="1:29" ht="15.75" hidden="1" customHeight="1">
      <c r="A1335" s="255">
        <v>44797</v>
      </c>
      <c r="B1335" s="239" t="s">
        <v>61</v>
      </c>
      <c r="C1335" s="262">
        <v>4</v>
      </c>
      <c r="D1335" s="239" t="s">
        <v>11742</v>
      </c>
      <c r="E1335" s="239" t="s">
        <v>5</v>
      </c>
      <c r="F1335" s="239" t="s">
        <v>725</v>
      </c>
      <c r="G1335" s="239" t="s">
        <v>11308</v>
      </c>
      <c r="H1335" s="239">
        <v>4</v>
      </c>
      <c r="I1335" s="239" t="s">
        <v>447</v>
      </c>
      <c r="J1335" s="239" t="s">
        <v>11309</v>
      </c>
      <c r="K1335" s="239">
        <v>4</v>
      </c>
      <c r="L1335" s="239" t="s">
        <v>913</v>
      </c>
      <c r="M1335" s="239">
        <v>850000</v>
      </c>
      <c r="N1335" s="239" t="s">
        <v>452</v>
      </c>
      <c r="O1335" s="239" t="s">
        <v>914</v>
      </c>
      <c r="P1335" s="239"/>
      <c r="Q1335" s="239" t="s">
        <v>18</v>
      </c>
      <c r="R1335" s="256" t="s">
        <v>915</v>
      </c>
      <c r="S1335" s="256"/>
      <c r="T1335" s="256"/>
      <c r="U1335" s="256"/>
      <c r="V1335" s="239"/>
      <c r="W1335" s="239"/>
      <c r="X1335" s="239"/>
      <c r="Y1335" s="239"/>
      <c r="Z1335" s="239"/>
      <c r="AA1335" s="239"/>
      <c r="AB1335" s="239"/>
      <c r="AC1335" s="239"/>
    </row>
    <row r="1336" spans="1:29" ht="15.75" customHeight="1">
      <c r="A1336" s="541">
        <v>44797</v>
      </c>
      <c r="B1336" s="306" t="s">
        <v>6002</v>
      </c>
      <c r="C1336" s="542"/>
      <c r="D1336" s="306" t="s">
        <v>6005</v>
      </c>
      <c r="E1336" s="306" t="s">
        <v>4</v>
      </c>
      <c r="F1336" s="306" t="s">
        <v>447</v>
      </c>
      <c r="G1336" s="306" t="s">
        <v>11085</v>
      </c>
      <c r="H1336" s="306">
        <v>2.5</v>
      </c>
      <c r="I1336" s="306" t="s">
        <v>1350</v>
      </c>
      <c r="J1336" s="306"/>
      <c r="K1336" s="306"/>
      <c r="L1336" s="306" t="s">
        <v>451</v>
      </c>
      <c r="M1336" s="306">
        <v>5000000</v>
      </c>
      <c r="N1336" s="306" t="s">
        <v>465</v>
      </c>
      <c r="O1336" s="306" t="s">
        <v>6008</v>
      </c>
      <c r="P1336" s="306"/>
      <c r="Q1336" s="306"/>
      <c r="R1336" s="306"/>
      <c r="S1336" s="306" t="str">
        <f>IFERROR(VLOOKUP(B1336,'2022-2023 Third Reviews'!$C:$S,9,FALSE),"")</f>
        <v/>
      </c>
      <c r="T1336" s="306"/>
      <c r="U1336" s="306"/>
      <c r="V1336" s="219"/>
      <c r="W1336" s="219"/>
      <c r="X1336" s="219"/>
      <c r="Y1336" s="219"/>
      <c r="Z1336" s="219"/>
      <c r="AA1336" s="219"/>
      <c r="AB1336" s="219"/>
      <c r="AC1336" s="219"/>
    </row>
    <row r="1337" spans="1:29" ht="15.75" customHeight="1">
      <c r="A1337" s="541">
        <v>44797</v>
      </c>
      <c r="B1337" s="306" t="s">
        <v>5709</v>
      </c>
      <c r="C1337" s="542"/>
      <c r="D1337" s="306" t="s">
        <v>11442</v>
      </c>
      <c r="E1337" s="306" t="s">
        <v>4</v>
      </c>
      <c r="F1337" s="306" t="s">
        <v>1045</v>
      </c>
      <c r="G1337" s="306" t="s">
        <v>5713</v>
      </c>
      <c r="H1337" s="306">
        <v>2.5</v>
      </c>
      <c r="I1337" s="306" t="s">
        <v>1350</v>
      </c>
      <c r="J1337" s="306"/>
      <c r="K1337" s="306"/>
      <c r="L1337" s="306" t="s">
        <v>451</v>
      </c>
      <c r="M1337" s="546">
        <v>615000</v>
      </c>
      <c r="N1337" s="306" t="s">
        <v>454</v>
      </c>
      <c r="O1337" s="306" t="s">
        <v>11443</v>
      </c>
      <c r="P1337" s="306"/>
      <c r="Q1337" s="306"/>
      <c r="R1337" s="306"/>
      <c r="S1337" s="306" t="str">
        <f>IFERROR(VLOOKUP(B1337,'2022-2023 Third Reviews'!$C:$S,9,FALSE),"")</f>
        <v/>
      </c>
      <c r="T1337" s="306"/>
      <c r="U1337" s="306"/>
      <c r="V1337" s="224"/>
      <c r="W1337" s="224"/>
      <c r="X1337" s="224"/>
      <c r="Y1337" s="224"/>
      <c r="Z1337" s="224"/>
      <c r="AA1337" s="224"/>
      <c r="AB1337" s="224"/>
      <c r="AC1337" s="224"/>
    </row>
    <row r="1338" spans="1:29" ht="15.75" hidden="1" customHeight="1">
      <c r="A1338" s="227">
        <v>44776</v>
      </c>
      <c r="B1338" s="228" t="s">
        <v>3413</v>
      </c>
      <c r="C1338" s="214">
        <v>1.5</v>
      </c>
      <c r="D1338" s="228" t="s">
        <v>10223</v>
      </c>
      <c r="E1338" s="215" t="s">
        <v>5</v>
      </c>
      <c r="F1338" s="228" t="s">
        <v>447</v>
      </c>
      <c r="G1338" s="228" t="s">
        <v>3417</v>
      </c>
      <c r="H1338" s="228">
        <v>1</v>
      </c>
      <c r="I1338" s="228" t="s">
        <v>449</v>
      </c>
      <c r="J1338" s="228" t="e">
        <f>+Coin exchange app
-seems like other apps like Coinbase or PayPal already do this
-early Startup
-No Revenue</f>
        <v>#NAME?</v>
      </c>
      <c r="K1338" s="228">
        <v>2</v>
      </c>
      <c r="L1338" s="228"/>
      <c r="M1338" s="228" t="s">
        <v>3419</v>
      </c>
      <c r="N1338" s="228" t="s">
        <v>452</v>
      </c>
      <c r="O1338" s="228" t="s">
        <v>3420</v>
      </c>
      <c r="P1338" s="230"/>
      <c r="Q1338" s="228" t="s">
        <v>24</v>
      </c>
      <c r="R1338" s="231" t="s">
        <v>3421</v>
      </c>
      <c r="S1338" s="231"/>
      <c r="T1338" s="231"/>
      <c r="U1338" s="231"/>
      <c r="V1338" s="228"/>
      <c r="W1338" s="228"/>
      <c r="X1338" s="228"/>
      <c r="Y1338" s="219"/>
      <c r="Z1338" s="219"/>
      <c r="AA1338" s="219"/>
      <c r="AB1338" s="219"/>
      <c r="AC1338" s="219"/>
    </row>
    <row r="1339" spans="1:29" ht="15.75" customHeight="1">
      <c r="A1339" s="541">
        <v>44797</v>
      </c>
      <c r="B1339" s="306" t="s">
        <v>6425</v>
      </c>
      <c r="C1339" s="542"/>
      <c r="D1339" s="306" t="s">
        <v>6428</v>
      </c>
      <c r="E1339" s="306" t="s">
        <v>4</v>
      </c>
      <c r="F1339" s="306" t="s">
        <v>488</v>
      </c>
      <c r="G1339" s="306"/>
      <c r="H1339" s="306"/>
      <c r="I1339" s="306" t="s">
        <v>1350</v>
      </c>
      <c r="J1339" s="306" t="s">
        <v>6430</v>
      </c>
      <c r="K1339" s="306">
        <v>3</v>
      </c>
      <c r="L1339" s="306" t="s">
        <v>784</v>
      </c>
      <c r="M1339" s="546">
        <v>125000</v>
      </c>
      <c r="N1339" s="306" t="s">
        <v>465</v>
      </c>
      <c r="O1339" s="306" t="s">
        <v>6431</v>
      </c>
      <c r="P1339" s="306"/>
      <c r="Q1339" s="306"/>
      <c r="R1339" s="306"/>
      <c r="S1339" s="306" t="str">
        <f>IFERROR(VLOOKUP(B1339,'2022-2023 Third Reviews'!$C:$S,9,FALSE),"")</f>
        <v/>
      </c>
      <c r="T1339" s="306"/>
      <c r="U1339" s="306"/>
      <c r="V1339" s="272"/>
      <c r="W1339" s="272"/>
      <c r="X1339" s="272"/>
      <c r="Y1339" s="272"/>
      <c r="Z1339" s="272"/>
      <c r="AA1339" s="224"/>
      <c r="AB1339" s="224"/>
      <c r="AC1339" s="224"/>
    </row>
    <row r="1340" spans="1:29" ht="15.75" hidden="1" customHeight="1">
      <c r="A1340" s="212">
        <v>44776</v>
      </c>
      <c r="B1340" s="213" t="s">
        <v>3424</v>
      </c>
      <c r="C1340" s="214">
        <v>2.5</v>
      </c>
      <c r="D1340" s="213" t="s">
        <v>3427</v>
      </c>
      <c r="E1340" s="215" t="s">
        <v>5</v>
      </c>
      <c r="F1340" s="213" t="s">
        <v>447</v>
      </c>
      <c r="G1340" s="213" t="s">
        <v>3428</v>
      </c>
      <c r="H1340" s="213">
        <v>3</v>
      </c>
      <c r="I1340" s="213" t="s">
        <v>449</v>
      </c>
      <c r="J1340" s="213" t="e">
        <f ca="1">+They are a biostasis(preservation of dead body) company that wants to make the practice more mainstream and accessible
+the Have raised a significant amount of money and Have a few customers
+Have insurance and longterm storage partners</f>
        <v>#NAME?</v>
      </c>
      <c r="K1340" s="213">
        <v>2</v>
      </c>
      <c r="L1340" s="213"/>
      <c r="M1340" s="213"/>
      <c r="N1340" s="213" t="s">
        <v>452</v>
      </c>
      <c r="O1340" s="213" t="s">
        <v>452</v>
      </c>
      <c r="P1340" s="143"/>
      <c r="Q1340" s="213" t="s">
        <v>24</v>
      </c>
      <c r="R1340" s="226">
        <f t="array" ref="R1340">INDEX(Notes!C:C,MATCH($B1340,Notes!$A:$A,0))</f>
        <v>0</v>
      </c>
      <c r="S1340" s="226"/>
      <c r="T1340" s="226"/>
      <c r="U1340" s="226"/>
      <c r="V1340" s="218"/>
      <c r="W1340" s="218"/>
      <c r="X1340" s="218"/>
      <c r="Y1340" s="219"/>
      <c r="Z1340" s="219"/>
      <c r="AA1340" s="219"/>
      <c r="AB1340" s="219"/>
      <c r="AC1340" s="219"/>
    </row>
    <row r="1341" spans="1:29" ht="15.75" customHeight="1">
      <c r="A1341" s="541">
        <v>44797</v>
      </c>
      <c r="B1341" s="306" t="s">
        <v>11023</v>
      </c>
      <c r="C1341" s="542"/>
      <c r="D1341" s="306" t="s">
        <v>7428</v>
      </c>
      <c r="E1341" s="306" t="s">
        <v>4</v>
      </c>
      <c r="F1341" s="306" t="s">
        <v>725</v>
      </c>
      <c r="G1341" s="306" t="s">
        <v>7429</v>
      </c>
      <c r="H1341" s="306">
        <v>2</v>
      </c>
      <c r="I1341" s="306" t="s">
        <v>1350</v>
      </c>
      <c r="J1341" s="306"/>
      <c r="K1341" s="306"/>
      <c r="L1341" s="306"/>
      <c r="M1341" s="306"/>
      <c r="N1341" s="306" t="s">
        <v>452</v>
      </c>
      <c r="O1341" s="306" t="s">
        <v>11024</v>
      </c>
      <c r="P1341" s="306" t="s">
        <v>447</v>
      </c>
      <c r="Q1341" s="306"/>
      <c r="R1341" s="306"/>
      <c r="S1341" s="306" t="str">
        <f>IFERROR(VLOOKUP(B1341,'2022-2023 Third Reviews'!$C:$S,9,FALSE),"")</f>
        <v/>
      </c>
      <c r="T1341" s="306"/>
      <c r="U1341" s="306"/>
      <c r="V1341" s="224"/>
      <c r="W1341" s="224"/>
      <c r="X1341" s="224"/>
      <c r="Y1341" s="224"/>
      <c r="Z1341" s="224"/>
      <c r="AA1341" s="224"/>
      <c r="AB1341" s="224"/>
      <c r="AC1341" s="224"/>
    </row>
    <row r="1342" spans="1:29" ht="15.75" customHeight="1">
      <c r="A1342" s="541">
        <v>44796</v>
      </c>
      <c r="B1342" s="306" t="s">
        <v>7933</v>
      </c>
      <c r="C1342" s="542"/>
      <c r="D1342" s="306" t="s">
        <v>7936</v>
      </c>
      <c r="E1342" s="306" t="s">
        <v>4</v>
      </c>
      <c r="F1342" s="306" t="s">
        <v>727</v>
      </c>
      <c r="G1342" s="306"/>
      <c r="H1342" s="306"/>
      <c r="I1342" s="306" t="s">
        <v>1371</v>
      </c>
      <c r="J1342" s="306" t="s">
        <v>7938</v>
      </c>
      <c r="K1342" s="306">
        <v>1</v>
      </c>
      <c r="L1342" s="306"/>
      <c r="M1342" s="544"/>
      <c r="N1342" s="306" t="s">
        <v>454</v>
      </c>
      <c r="O1342" s="306" t="s">
        <v>452</v>
      </c>
      <c r="P1342" s="306"/>
      <c r="Q1342" s="306"/>
      <c r="R1342" s="306"/>
      <c r="S1342" s="306" t="str">
        <f>IFERROR(VLOOKUP(B1342,'2022-2023 Third Reviews'!$C:$S,9,FALSE),"")</f>
        <v/>
      </c>
      <c r="T1342" s="306"/>
      <c r="U1342" s="306"/>
      <c r="V1342" s="306"/>
      <c r="W1342" s="306"/>
      <c r="X1342" s="306"/>
      <c r="Y1342" s="306"/>
      <c r="Z1342" s="306"/>
      <c r="AA1342" s="306"/>
      <c r="AB1342" s="306"/>
      <c r="AC1342" s="306"/>
    </row>
    <row r="1343" spans="1:29" ht="15.75" hidden="1" customHeight="1">
      <c r="A1343" s="280">
        <v>44784</v>
      </c>
      <c r="B1343" s="281" t="s">
        <v>3432</v>
      </c>
      <c r="C1343" s="282">
        <v>3</v>
      </c>
      <c r="D1343" s="281" t="s">
        <v>3435</v>
      </c>
      <c r="E1343" s="281" t="s">
        <v>5</v>
      </c>
      <c r="F1343" s="281" t="s">
        <v>447</v>
      </c>
      <c r="G1343" s="281" t="s">
        <v>10256</v>
      </c>
      <c r="H1343" s="281">
        <v>3</v>
      </c>
      <c r="I1343" s="281" t="s">
        <v>476</v>
      </c>
      <c r="J1343" s="281" t="s">
        <v>11583</v>
      </c>
      <c r="K1343" s="281">
        <v>3</v>
      </c>
      <c r="L1343" s="281"/>
      <c r="M1343" s="281"/>
      <c r="N1343" s="281" t="s">
        <v>465</v>
      </c>
      <c r="O1343" s="281" t="s">
        <v>452</v>
      </c>
      <c r="P1343" s="281"/>
      <c r="Q1343" s="281" t="s">
        <v>24</v>
      </c>
      <c r="R1343" s="283" t="s">
        <v>3438</v>
      </c>
      <c r="S1343" s="283"/>
      <c r="T1343" s="283"/>
      <c r="U1343" s="283"/>
      <c r="V1343" s="281"/>
      <c r="W1343" s="281"/>
      <c r="X1343" s="281"/>
      <c r="Y1343" s="281"/>
      <c r="Z1343" s="281"/>
      <c r="AA1343" s="258"/>
      <c r="AB1343" s="258"/>
      <c r="AC1343" s="258"/>
    </row>
    <row r="1344" spans="1:29" ht="15.75" hidden="1" customHeight="1">
      <c r="A1344" s="248">
        <v>44782</v>
      </c>
      <c r="B1344" s="219" t="s">
        <v>3441</v>
      </c>
      <c r="C1344" s="249">
        <v>2.25</v>
      </c>
      <c r="D1344" s="219" t="s">
        <v>3444</v>
      </c>
      <c r="E1344" s="250" t="s">
        <v>5</v>
      </c>
      <c r="F1344" s="219" t="s">
        <v>447</v>
      </c>
      <c r="G1344" s="219" t="s">
        <v>10465</v>
      </c>
      <c r="H1344" s="219">
        <v>2</v>
      </c>
      <c r="I1344" s="219" t="s">
        <v>476</v>
      </c>
      <c r="J1344" s="219" t="s">
        <v>13400</v>
      </c>
      <c r="K1344" s="219">
        <v>2.5</v>
      </c>
      <c r="L1344" s="219"/>
      <c r="M1344" s="219"/>
      <c r="N1344" s="219" t="s">
        <v>452</v>
      </c>
      <c r="O1344" s="219" t="s">
        <v>3447</v>
      </c>
      <c r="P1344" s="219"/>
      <c r="Q1344" s="219" t="s">
        <v>24</v>
      </c>
      <c r="R1344" s="251"/>
      <c r="S1344" s="251"/>
      <c r="T1344" s="251"/>
      <c r="U1344" s="251"/>
      <c r="V1344" s="252"/>
      <c r="W1344" s="252"/>
      <c r="X1344" s="252"/>
      <c r="Y1344" s="219"/>
      <c r="Z1344" s="219"/>
      <c r="AA1344" s="219"/>
      <c r="AB1344" s="219"/>
      <c r="AC1344" s="219"/>
    </row>
    <row r="1345" spans="1:29" ht="15.75" customHeight="1">
      <c r="A1345" s="541">
        <v>44797</v>
      </c>
      <c r="B1345" s="306" t="s">
        <v>8245</v>
      </c>
      <c r="C1345" s="542"/>
      <c r="D1345" s="306" t="s">
        <v>8248</v>
      </c>
      <c r="E1345" s="306" t="s">
        <v>4</v>
      </c>
      <c r="F1345" s="306" t="s">
        <v>488</v>
      </c>
      <c r="G1345" s="306"/>
      <c r="H1345" s="306"/>
      <c r="I1345" s="306" t="s">
        <v>1371</v>
      </c>
      <c r="J1345" s="306" t="s">
        <v>8250</v>
      </c>
      <c r="K1345" s="306">
        <v>1</v>
      </c>
      <c r="L1345" s="306" t="s">
        <v>451</v>
      </c>
      <c r="M1345" s="306" t="s">
        <v>8189</v>
      </c>
      <c r="N1345" s="306" t="s">
        <v>452</v>
      </c>
      <c r="O1345" s="306" t="s">
        <v>10296</v>
      </c>
      <c r="P1345" s="306"/>
      <c r="Q1345" s="306"/>
      <c r="R1345" s="306"/>
      <c r="S1345" s="306" t="str">
        <f>IFERROR(VLOOKUP(B1345,'2022-2023 Third Reviews'!$C:$S,9,FALSE),"")</f>
        <v/>
      </c>
      <c r="T1345" s="306"/>
      <c r="U1345" s="306"/>
      <c r="V1345" s="224"/>
      <c r="W1345" s="224"/>
      <c r="X1345" s="224"/>
      <c r="Y1345" s="224"/>
      <c r="Z1345" s="224"/>
      <c r="AA1345" s="224"/>
      <c r="AB1345" s="224"/>
      <c r="AC1345" s="224"/>
    </row>
    <row r="1346" spans="1:29" ht="15.75" hidden="1" customHeight="1">
      <c r="A1346" s="248">
        <v>44791</v>
      </c>
      <c r="B1346" s="219" t="s">
        <v>3449</v>
      </c>
      <c r="C1346" s="315">
        <v>2.25</v>
      </c>
      <c r="D1346" s="219" t="s">
        <v>3452</v>
      </c>
      <c r="E1346" s="219" t="s">
        <v>5</v>
      </c>
      <c r="F1346" s="219" t="s">
        <v>447</v>
      </c>
      <c r="G1346" s="219" t="s">
        <v>11277</v>
      </c>
      <c r="H1346" s="219">
        <v>2.5</v>
      </c>
      <c r="I1346" s="219" t="s">
        <v>543</v>
      </c>
      <c r="J1346" s="219" t="s">
        <v>11278</v>
      </c>
      <c r="K1346" s="219">
        <v>2</v>
      </c>
      <c r="L1346" s="219"/>
      <c r="M1346" s="310"/>
      <c r="N1346" s="219" t="s">
        <v>454</v>
      </c>
      <c r="O1346" s="219" t="s">
        <v>452</v>
      </c>
      <c r="P1346" s="219"/>
      <c r="Q1346" s="322" t="s">
        <v>24</v>
      </c>
      <c r="R1346" s="251"/>
      <c r="S1346" s="251"/>
      <c r="T1346" s="251"/>
      <c r="U1346" s="251"/>
      <c r="V1346" s="219"/>
      <c r="W1346" s="219"/>
      <c r="X1346" s="219"/>
      <c r="Y1346" s="219"/>
      <c r="Z1346" s="219"/>
      <c r="AA1346" s="219"/>
      <c r="AB1346" s="219"/>
      <c r="AC1346" s="219"/>
    </row>
    <row r="1347" spans="1:29" ht="15.75" customHeight="1">
      <c r="A1347" s="541">
        <v>44797</v>
      </c>
      <c r="B1347" s="306" t="s">
        <v>10829</v>
      </c>
      <c r="C1347" s="542"/>
      <c r="D1347" s="306" t="s">
        <v>5204</v>
      </c>
      <c r="E1347" s="306" t="s">
        <v>4</v>
      </c>
      <c r="F1347" s="306" t="s">
        <v>725</v>
      </c>
      <c r="G1347" s="306" t="s">
        <v>10830</v>
      </c>
      <c r="H1347" s="306">
        <v>3.5</v>
      </c>
      <c r="I1347" s="306" t="s">
        <v>622</v>
      </c>
      <c r="J1347" s="306"/>
      <c r="K1347" s="306"/>
      <c r="L1347" s="306" t="s">
        <v>451</v>
      </c>
      <c r="M1347" s="306" t="s">
        <v>5207</v>
      </c>
      <c r="N1347" s="306" t="s">
        <v>452</v>
      </c>
      <c r="O1347" s="306" t="s">
        <v>452</v>
      </c>
      <c r="P1347" s="306"/>
      <c r="Q1347" s="306"/>
      <c r="R1347" s="306"/>
      <c r="S1347" s="306" t="str">
        <f>IFERROR(VLOOKUP(B1347,'2022-2023 Third Reviews'!$C:$S,9,FALSE),"")</f>
        <v/>
      </c>
      <c r="T1347" s="306"/>
      <c r="U1347" s="306"/>
      <c r="V1347" s="224"/>
      <c r="W1347" s="224"/>
      <c r="X1347" s="224"/>
      <c r="Y1347" s="224"/>
      <c r="Z1347" s="224"/>
      <c r="AA1347" s="224"/>
      <c r="AB1347" s="224"/>
      <c r="AC1347" s="224"/>
    </row>
    <row r="1348" spans="1:29" ht="15.75" hidden="1" customHeight="1">
      <c r="A1348" s="248">
        <v>44789</v>
      </c>
      <c r="B1348" s="219" t="s">
        <v>9251</v>
      </c>
      <c r="C1348" s="249">
        <v>3.5</v>
      </c>
      <c r="D1348" s="219" t="s">
        <v>9254</v>
      </c>
      <c r="E1348" s="250" t="s">
        <v>3</v>
      </c>
      <c r="F1348" s="219" t="s">
        <v>460</v>
      </c>
      <c r="G1348" s="219" t="s">
        <v>9255</v>
      </c>
      <c r="H1348" s="219">
        <v>3.5</v>
      </c>
      <c r="I1348" s="219" t="s">
        <v>462</v>
      </c>
      <c r="J1348" s="219" t="s">
        <v>9256</v>
      </c>
      <c r="K1348" s="219">
        <v>3.5</v>
      </c>
      <c r="L1348" s="219" t="s">
        <v>451</v>
      </c>
      <c r="M1348" s="312">
        <v>3000000</v>
      </c>
      <c r="N1348" s="219" t="s">
        <v>452</v>
      </c>
      <c r="O1348" s="219" t="s">
        <v>1028</v>
      </c>
      <c r="P1348" s="219"/>
      <c r="Q1348" s="219"/>
      <c r="R1348" s="251"/>
      <c r="S1348" s="251"/>
      <c r="T1348" s="251"/>
      <c r="U1348" s="251"/>
      <c r="V1348" s="252"/>
      <c r="W1348" s="252"/>
      <c r="X1348" s="252"/>
      <c r="Y1348" s="219"/>
      <c r="Z1348" s="219"/>
      <c r="AA1348" s="219"/>
      <c r="AB1348" s="219"/>
      <c r="AC1348" s="219"/>
    </row>
    <row r="1349" spans="1:29" ht="15.75" hidden="1" customHeight="1">
      <c r="A1349" s="267">
        <v>44784</v>
      </c>
      <c r="B1349" s="272" t="s">
        <v>9258</v>
      </c>
      <c r="C1349" s="269">
        <v>1.5</v>
      </c>
      <c r="D1349" s="272" t="s">
        <v>11603</v>
      </c>
      <c r="E1349" s="270" t="s">
        <v>3</v>
      </c>
      <c r="F1349" s="272" t="s">
        <v>460</v>
      </c>
      <c r="G1349" s="272" t="s">
        <v>9262</v>
      </c>
      <c r="H1349" s="272">
        <v>2</v>
      </c>
      <c r="I1349" s="272" t="s">
        <v>488</v>
      </c>
      <c r="J1349" s="272" t="s">
        <v>11604</v>
      </c>
      <c r="K1349" s="272">
        <v>1</v>
      </c>
      <c r="L1349" s="272"/>
      <c r="M1349" s="272"/>
      <c r="N1349" s="272" t="s">
        <v>465</v>
      </c>
      <c r="O1349" s="272" t="s">
        <v>452</v>
      </c>
      <c r="P1349" s="272"/>
      <c r="Q1349" s="272" t="s">
        <v>24</v>
      </c>
      <c r="R1349" s="274"/>
      <c r="S1349" s="274"/>
      <c r="T1349" s="274"/>
      <c r="U1349" s="274"/>
      <c r="V1349" s="272"/>
      <c r="W1349" s="272"/>
      <c r="X1349" s="272"/>
      <c r="Y1349" s="272"/>
      <c r="Z1349" s="272"/>
      <c r="AA1349" s="224"/>
      <c r="AB1349" s="224"/>
      <c r="AC1349" s="224"/>
    </row>
    <row r="1350" spans="1:29" ht="15.75" customHeight="1">
      <c r="A1350" s="541">
        <v>44796</v>
      </c>
      <c r="B1350" s="306" t="s">
        <v>10598</v>
      </c>
      <c r="C1350" s="542"/>
      <c r="D1350" s="306" t="s">
        <v>7693</v>
      </c>
      <c r="E1350" s="306" t="s">
        <v>4</v>
      </c>
      <c r="F1350" s="306" t="s">
        <v>727</v>
      </c>
      <c r="G1350" s="306"/>
      <c r="H1350" s="306"/>
      <c r="I1350" s="306" t="s">
        <v>13187</v>
      </c>
      <c r="J1350" s="306"/>
      <c r="K1350" s="306"/>
      <c r="L1350" s="306" t="s">
        <v>451</v>
      </c>
      <c r="M1350" s="544">
        <v>2000000</v>
      </c>
      <c r="N1350" s="306" t="s">
        <v>452</v>
      </c>
      <c r="O1350" s="306" t="s">
        <v>7696</v>
      </c>
      <c r="P1350" s="306"/>
      <c r="Q1350" s="306"/>
      <c r="R1350" s="306"/>
      <c r="S1350" s="306" t="str">
        <f>IFERROR(VLOOKUP(B1350,'2022-2023 Third Reviews'!$C:$S,9,FALSE),"")</f>
        <v/>
      </c>
      <c r="T1350" s="306"/>
      <c r="U1350" s="306"/>
      <c r="V1350" s="268"/>
      <c r="W1350" s="268"/>
      <c r="X1350" s="268"/>
      <c r="Y1350" s="268"/>
      <c r="Z1350" s="268"/>
      <c r="AA1350" s="219"/>
      <c r="AB1350" s="219"/>
      <c r="AC1350" s="219"/>
    </row>
    <row r="1351" spans="1:29" ht="15.75" customHeight="1">
      <c r="A1351" s="479">
        <v>44789</v>
      </c>
      <c r="B1351" s="303" t="s">
        <v>7954</v>
      </c>
      <c r="C1351" s="269"/>
      <c r="D1351" s="303" t="s">
        <v>7957</v>
      </c>
      <c r="E1351" s="270" t="s">
        <v>4</v>
      </c>
      <c r="F1351" s="303" t="s">
        <v>725</v>
      </c>
      <c r="G1351" s="303"/>
      <c r="H1351" s="303"/>
      <c r="I1351" s="303" t="s">
        <v>727</v>
      </c>
      <c r="J1351" s="303" t="s">
        <v>13212</v>
      </c>
      <c r="K1351" s="303">
        <v>1</v>
      </c>
      <c r="L1351" s="303" t="s">
        <v>784</v>
      </c>
      <c r="M1351" s="304">
        <v>275000</v>
      </c>
      <c r="N1351" s="303" t="s">
        <v>452</v>
      </c>
      <c r="O1351" s="304" t="s">
        <v>452</v>
      </c>
      <c r="P1351" s="539" t="s">
        <v>7960</v>
      </c>
      <c r="Q1351" s="303"/>
      <c r="R1351" s="303"/>
      <c r="S1351" s="303" t="str">
        <f>IFERROR(VLOOKUP(B1351,'2022-2023 Third Reviews'!$C:$S,9,FALSE),"")</f>
        <v/>
      </c>
      <c r="T1351" s="303"/>
      <c r="U1351" s="303"/>
      <c r="V1351" s="224"/>
      <c r="W1351" s="224"/>
      <c r="X1351" s="224"/>
      <c r="Y1351" s="224"/>
      <c r="Z1351" s="224"/>
      <c r="AA1351" s="224"/>
      <c r="AB1351" s="224"/>
      <c r="AC1351" s="224"/>
    </row>
    <row r="1352" spans="1:29" ht="15.75" customHeight="1">
      <c r="A1352" s="541">
        <v>44791</v>
      </c>
      <c r="B1352" s="306" t="s">
        <v>7954</v>
      </c>
      <c r="C1352" s="542"/>
      <c r="D1352" s="306" t="s">
        <v>7957</v>
      </c>
      <c r="E1352" s="306" t="s">
        <v>4</v>
      </c>
      <c r="F1352" s="306"/>
      <c r="G1352" s="306"/>
      <c r="H1352" s="306"/>
      <c r="I1352" s="306" t="s">
        <v>727</v>
      </c>
      <c r="J1352" s="306" t="s">
        <v>13212</v>
      </c>
      <c r="K1352" s="306">
        <v>1</v>
      </c>
      <c r="L1352" s="306" t="s">
        <v>784</v>
      </c>
      <c r="M1352" s="544">
        <v>275000</v>
      </c>
      <c r="N1352" s="306" t="s">
        <v>452</v>
      </c>
      <c r="O1352" s="306" t="s">
        <v>452</v>
      </c>
      <c r="P1352" s="306" t="s">
        <v>7960</v>
      </c>
      <c r="Q1352" s="306"/>
      <c r="R1352" s="306"/>
      <c r="S1352" s="306" t="str">
        <f>IFERROR(VLOOKUP(B1352,'2022-2023 Third Reviews'!$C:$S,9,FALSE),"")</f>
        <v/>
      </c>
      <c r="T1352" s="306"/>
      <c r="U1352" s="306"/>
      <c r="V1352" s="219"/>
      <c r="W1352" s="219"/>
      <c r="X1352" s="219"/>
      <c r="Y1352" s="219"/>
      <c r="Z1352" s="219"/>
      <c r="AA1352" s="219"/>
      <c r="AB1352" s="219"/>
      <c r="AC1352" s="219"/>
    </row>
    <row r="1353" spans="1:29" ht="15.75" customHeight="1">
      <c r="A1353" s="541">
        <v>44797</v>
      </c>
      <c r="B1353" s="306" t="s">
        <v>7962</v>
      </c>
      <c r="C1353" s="542"/>
      <c r="D1353" s="306" t="s">
        <v>7965</v>
      </c>
      <c r="E1353" s="306" t="s">
        <v>4</v>
      </c>
      <c r="F1353" s="306" t="s">
        <v>1045</v>
      </c>
      <c r="G1353" s="306"/>
      <c r="H1353" s="306"/>
      <c r="I1353" s="306" t="s">
        <v>1371</v>
      </c>
      <c r="J1353" s="306" t="s">
        <v>7967</v>
      </c>
      <c r="K1353" s="306">
        <v>1</v>
      </c>
      <c r="L1353" s="306" t="s">
        <v>451</v>
      </c>
      <c r="M1353" s="546">
        <v>1000000</v>
      </c>
      <c r="N1353" s="306" t="s">
        <v>454</v>
      </c>
      <c r="O1353" s="306" t="s">
        <v>452</v>
      </c>
      <c r="P1353" s="306"/>
      <c r="Q1353" s="306"/>
      <c r="R1353" s="306"/>
      <c r="S1353" s="306" t="str">
        <f>IFERROR(VLOOKUP(B1353,'2022-2023 Third Reviews'!$C:$S,9,FALSE),"")</f>
        <v/>
      </c>
      <c r="T1353" s="306"/>
      <c r="U1353" s="306"/>
      <c r="V1353" s="224"/>
      <c r="W1353" s="224"/>
      <c r="X1353" s="224"/>
      <c r="Y1353" s="224"/>
      <c r="Z1353" s="224"/>
      <c r="AA1353" s="224"/>
      <c r="AB1353" s="224"/>
      <c r="AC1353" s="224"/>
    </row>
    <row r="1354" spans="1:29" ht="15.75" customHeight="1">
      <c r="A1354" s="479">
        <v>44789</v>
      </c>
      <c r="B1354" s="303" t="s">
        <v>13177</v>
      </c>
      <c r="C1354" s="269"/>
      <c r="D1354" s="303" t="s">
        <v>6454</v>
      </c>
      <c r="E1354" s="270" t="s">
        <v>4</v>
      </c>
      <c r="F1354" s="303" t="s">
        <v>727</v>
      </c>
      <c r="G1354" s="303" t="s">
        <v>6455</v>
      </c>
      <c r="H1354" s="303">
        <v>2.5</v>
      </c>
      <c r="I1354" s="303" t="s">
        <v>602</v>
      </c>
      <c r="J1354" s="303"/>
      <c r="K1354" s="303"/>
      <c r="L1354" s="303" t="s">
        <v>784</v>
      </c>
      <c r="M1354" s="304">
        <v>1200000</v>
      </c>
      <c r="N1354" s="303" t="s">
        <v>452</v>
      </c>
      <c r="O1354" s="304" t="s">
        <v>1119</v>
      </c>
      <c r="P1354" s="303"/>
      <c r="Q1354" s="303"/>
      <c r="R1354" s="303"/>
      <c r="S1354" s="303" t="str">
        <f>IFERROR(VLOOKUP(B1354,'2022-2023 Third Reviews'!$C:$S,9,FALSE),"")</f>
        <v/>
      </c>
      <c r="T1354" s="303"/>
      <c r="U1354" s="303"/>
      <c r="V1354" s="258"/>
      <c r="W1354" s="258"/>
      <c r="X1354" s="258"/>
      <c r="Y1354" s="258"/>
      <c r="Z1354" s="258"/>
      <c r="AA1354" s="258"/>
      <c r="AB1354" s="258"/>
      <c r="AC1354" s="258"/>
    </row>
    <row r="1355" spans="1:29" ht="15.75" customHeight="1">
      <c r="A1355" s="541">
        <v>44796</v>
      </c>
      <c r="B1355" s="306" t="s">
        <v>237</v>
      </c>
      <c r="C1355" s="542"/>
      <c r="D1355" s="306" t="s">
        <v>1390</v>
      </c>
      <c r="E1355" s="306" t="s">
        <v>4</v>
      </c>
      <c r="F1355" s="306" t="s">
        <v>727</v>
      </c>
      <c r="G1355" s="306"/>
      <c r="H1355" s="306"/>
      <c r="I1355" s="306" t="s">
        <v>1371</v>
      </c>
      <c r="J1355" s="306" t="s">
        <v>1392</v>
      </c>
      <c r="K1355" s="306">
        <v>5</v>
      </c>
      <c r="L1355" s="306" t="s">
        <v>478</v>
      </c>
      <c r="M1355" s="306">
        <v>8000000</v>
      </c>
      <c r="N1355" s="306" t="s">
        <v>452</v>
      </c>
      <c r="O1355" s="306" t="s">
        <v>10576</v>
      </c>
      <c r="P1355" s="306"/>
      <c r="Q1355" s="306"/>
      <c r="R1355" s="306"/>
      <c r="S1355" s="306" t="str">
        <f>IFERROR(VLOOKUP(B1355,'2022-2023 Third Reviews'!$C:$S,9,FALSE),"")</f>
        <v/>
      </c>
      <c r="T1355" s="306"/>
      <c r="U1355" s="306"/>
      <c r="V1355" s="224"/>
      <c r="W1355" s="224"/>
      <c r="X1355" s="224"/>
      <c r="Y1355" s="224"/>
      <c r="Z1355" s="224"/>
      <c r="AA1355" s="224"/>
      <c r="AB1355" s="224"/>
      <c r="AC1355" s="224"/>
    </row>
    <row r="1356" spans="1:29" ht="15.75" customHeight="1">
      <c r="A1356" s="541">
        <v>44796</v>
      </c>
      <c r="B1356" s="306" t="s">
        <v>7443</v>
      </c>
      <c r="C1356" s="542"/>
      <c r="D1356" s="306" t="s">
        <v>7446</v>
      </c>
      <c r="E1356" s="306" t="s">
        <v>4</v>
      </c>
      <c r="F1356" s="306" t="s">
        <v>727</v>
      </c>
      <c r="G1356" s="306"/>
      <c r="H1356" s="306"/>
      <c r="I1356" s="306" t="s">
        <v>1045</v>
      </c>
      <c r="J1356" s="306" t="s">
        <v>7448</v>
      </c>
      <c r="K1356" s="306">
        <v>2</v>
      </c>
      <c r="L1356" s="306" t="s">
        <v>451</v>
      </c>
      <c r="M1356" s="306">
        <v>2000000</v>
      </c>
      <c r="N1356" s="306" t="s">
        <v>452</v>
      </c>
      <c r="O1356" s="306" t="s">
        <v>7449</v>
      </c>
      <c r="P1356" s="306"/>
      <c r="Q1356" s="306"/>
      <c r="R1356" s="306"/>
      <c r="S1356" s="306" t="str">
        <f>IFERROR(VLOOKUP(B1356,'2022-2023 Third Reviews'!$C:$S,9,FALSE),"")</f>
        <v/>
      </c>
      <c r="T1356" s="306"/>
      <c r="U1356" s="306"/>
      <c r="V1356" s="219"/>
      <c r="W1356" s="219"/>
      <c r="X1356" s="219"/>
      <c r="Y1356" s="219"/>
      <c r="Z1356" s="219"/>
      <c r="AA1356" s="219"/>
      <c r="AB1356" s="219"/>
      <c r="AC1356" s="219"/>
    </row>
    <row r="1357" spans="1:29" ht="15.75" hidden="1" customHeight="1">
      <c r="A1357" s="253">
        <v>44791</v>
      </c>
      <c r="B1357" s="224" t="s">
        <v>387</v>
      </c>
      <c r="C1357" s="316">
        <v>4</v>
      </c>
      <c r="D1357" s="224" t="s">
        <v>10073</v>
      </c>
      <c r="E1357" s="224" t="s">
        <v>5</v>
      </c>
      <c r="F1357" s="224" t="s">
        <v>447</v>
      </c>
      <c r="G1357" s="224" t="s">
        <v>10877</v>
      </c>
      <c r="H1357" s="224">
        <v>4</v>
      </c>
      <c r="I1357" s="224" t="s">
        <v>449</v>
      </c>
      <c r="J1357" s="224" t="s">
        <v>11652</v>
      </c>
      <c r="K1357" s="224">
        <v>4</v>
      </c>
      <c r="L1357" s="224" t="s">
        <v>10076</v>
      </c>
      <c r="M1357" s="307">
        <v>8000000</v>
      </c>
      <c r="N1357" s="224" t="s">
        <v>452</v>
      </c>
      <c r="O1357" s="224" t="s">
        <v>10077</v>
      </c>
      <c r="P1357" s="224"/>
      <c r="Q1357" s="224" t="s">
        <v>18</v>
      </c>
      <c r="R1357" s="254"/>
      <c r="S1357" s="254"/>
      <c r="T1357" s="254"/>
      <c r="U1357" s="254"/>
      <c r="V1357" s="224"/>
      <c r="W1357" s="224"/>
      <c r="X1357" s="224"/>
      <c r="Y1357" s="224"/>
      <c r="Z1357" s="224"/>
      <c r="AA1357" s="224"/>
      <c r="AB1357" s="224"/>
      <c r="AC1357" s="224"/>
    </row>
    <row r="1358" spans="1:29" ht="15.75" hidden="1" customHeight="1">
      <c r="A1358" s="267">
        <v>44784</v>
      </c>
      <c r="B1358" s="268" t="s">
        <v>128</v>
      </c>
      <c r="C1358" s="269">
        <v>5</v>
      </c>
      <c r="D1358" s="268" t="s">
        <v>920</v>
      </c>
      <c r="E1358" s="270" t="s">
        <v>5</v>
      </c>
      <c r="F1358" s="268" t="s">
        <v>447</v>
      </c>
      <c r="G1358" s="268" t="s">
        <v>10430</v>
      </c>
      <c r="H1358" s="268">
        <v>5</v>
      </c>
      <c r="I1358" s="268" t="s">
        <v>543</v>
      </c>
      <c r="J1358" s="268" t="s">
        <v>11545</v>
      </c>
      <c r="K1358" s="268">
        <v>5</v>
      </c>
      <c r="L1358" s="268" t="s">
        <v>923</v>
      </c>
      <c r="M1358" s="285">
        <v>3000000</v>
      </c>
      <c r="N1358" s="268" t="s">
        <v>452</v>
      </c>
      <c r="O1358" s="285" t="s">
        <v>924</v>
      </c>
      <c r="P1358" s="268"/>
      <c r="Q1358" s="268" t="s">
        <v>18</v>
      </c>
      <c r="R1358" s="271" t="s">
        <v>925</v>
      </c>
      <c r="S1358" s="271"/>
      <c r="T1358" s="271"/>
      <c r="U1358" s="271"/>
      <c r="V1358" s="268"/>
      <c r="W1358" s="268"/>
      <c r="X1358" s="268"/>
      <c r="Y1358" s="268"/>
      <c r="Z1358" s="268"/>
      <c r="AA1358" s="219"/>
      <c r="AB1358" s="219"/>
      <c r="AC1358" s="219"/>
    </row>
    <row r="1359" spans="1:29" ht="15.75" hidden="1" customHeight="1">
      <c r="A1359" s="301">
        <v>44789</v>
      </c>
      <c r="B1359" s="303" t="s">
        <v>10631</v>
      </c>
      <c r="C1359" s="269"/>
      <c r="D1359" s="303" t="s">
        <v>13176</v>
      </c>
      <c r="E1359" s="270" t="s">
        <v>5</v>
      </c>
      <c r="F1359" s="303" t="s">
        <v>447</v>
      </c>
      <c r="G1359" s="303" t="s">
        <v>10633</v>
      </c>
      <c r="H1359" s="303">
        <v>3</v>
      </c>
      <c r="I1359" s="303" t="s">
        <v>622</v>
      </c>
      <c r="J1359" s="303"/>
      <c r="K1359" s="303"/>
      <c r="L1359" s="303"/>
      <c r="M1359" s="303"/>
      <c r="N1359" s="303" t="s">
        <v>452</v>
      </c>
      <c r="O1359" s="303" t="s">
        <v>1119</v>
      </c>
      <c r="P1359" s="303" t="s">
        <v>3463</v>
      </c>
      <c r="Q1359" s="303"/>
      <c r="R1359" s="305"/>
      <c r="S1359" s="305"/>
      <c r="T1359" s="305"/>
      <c r="U1359" s="305"/>
      <c r="V1359" s="303"/>
      <c r="W1359" s="303"/>
      <c r="X1359" s="303"/>
      <c r="Y1359" s="303"/>
      <c r="Z1359" s="303"/>
      <c r="AA1359" s="306"/>
      <c r="AB1359" s="306"/>
      <c r="AC1359" s="306"/>
    </row>
    <row r="1360" spans="1:29" ht="15.75" hidden="1" customHeight="1">
      <c r="A1360" s="248">
        <v>44789</v>
      </c>
      <c r="B1360" s="219" t="s">
        <v>10631</v>
      </c>
      <c r="C1360" s="249">
        <v>2.75</v>
      </c>
      <c r="D1360" s="219" t="s">
        <v>10632</v>
      </c>
      <c r="E1360" s="250" t="s">
        <v>5</v>
      </c>
      <c r="F1360" s="219" t="s">
        <v>447</v>
      </c>
      <c r="G1360" s="219" t="s">
        <v>10633</v>
      </c>
      <c r="H1360" s="219">
        <v>3</v>
      </c>
      <c r="I1360" s="219" t="s">
        <v>622</v>
      </c>
      <c r="J1360" s="219" t="s">
        <v>10634</v>
      </c>
      <c r="K1360" s="219">
        <v>2.5</v>
      </c>
      <c r="L1360" s="219"/>
      <c r="M1360" s="219"/>
      <c r="N1360" s="219" t="s">
        <v>452</v>
      </c>
      <c r="O1360" s="219" t="s">
        <v>1119</v>
      </c>
      <c r="P1360" s="219" t="s">
        <v>3463</v>
      </c>
      <c r="Q1360" s="219" t="s">
        <v>24</v>
      </c>
      <c r="R1360" s="251"/>
      <c r="S1360" s="251"/>
      <c r="T1360" s="251"/>
      <c r="U1360" s="251"/>
      <c r="V1360" s="252"/>
      <c r="W1360" s="252"/>
      <c r="X1360" s="252"/>
      <c r="Y1360" s="219"/>
      <c r="Z1360" s="219"/>
      <c r="AA1360" s="219"/>
      <c r="AB1360" s="219"/>
      <c r="AC1360" s="219"/>
    </row>
    <row r="1361" spans="1:29" ht="15.75" hidden="1" customHeight="1">
      <c r="A1361" s="541">
        <v>44796</v>
      </c>
      <c r="B1361" s="306" t="s">
        <v>361</v>
      </c>
      <c r="C1361" s="542"/>
      <c r="D1361" s="306" t="s">
        <v>10832</v>
      </c>
      <c r="E1361" s="306" t="s">
        <v>3</v>
      </c>
      <c r="F1361" s="306" t="s">
        <v>488</v>
      </c>
      <c r="G1361" s="306"/>
      <c r="H1361" s="306"/>
      <c r="I1361" s="306" t="s">
        <v>941</v>
      </c>
      <c r="J1361" s="306"/>
      <c r="K1361" s="306"/>
      <c r="L1361" s="306" t="s">
        <v>451</v>
      </c>
      <c r="M1361" s="544">
        <v>15000000</v>
      </c>
      <c r="N1361" s="306" t="s">
        <v>452</v>
      </c>
      <c r="O1361" s="306" t="s">
        <v>452</v>
      </c>
      <c r="P1361" s="306" t="s">
        <v>2043</v>
      </c>
      <c r="Q1361" s="306"/>
      <c r="R1361" s="543"/>
      <c r="S1361" s="543"/>
      <c r="T1361" s="543"/>
      <c r="U1361" s="543"/>
      <c r="V1361" s="224"/>
      <c r="W1361" s="224"/>
      <c r="X1361" s="224"/>
      <c r="Y1361" s="224"/>
      <c r="Z1361" s="224"/>
      <c r="AA1361" s="224"/>
      <c r="AB1361" s="224"/>
      <c r="AC1361" s="224"/>
    </row>
    <row r="1362" spans="1:29" ht="15.75" hidden="1" customHeight="1">
      <c r="A1362" s="257">
        <v>44796</v>
      </c>
      <c r="B1362" s="258" t="s">
        <v>361</v>
      </c>
      <c r="C1362" s="263">
        <v>4.75</v>
      </c>
      <c r="D1362" s="258" t="s">
        <v>10832</v>
      </c>
      <c r="E1362" s="258" t="s">
        <v>3</v>
      </c>
      <c r="F1362" s="258" t="s">
        <v>725</v>
      </c>
      <c r="G1362" s="258" t="s">
        <v>2041</v>
      </c>
      <c r="H1362" s="258">
        <v>5</v>
      </c>
      <c r="I1362" s="258" t="s">
        <v>941</v>
      </c>
      <c r="J1362" s="258" t="s">
        <v>2042</v>
      </c>
      <c r="K1362" s="258">
        <v>4.5</v>
      </c>
      <c r="L1362" s="258" t="s">
        <v>451</v>
      </c>
      <c r="M1362" s="328">
        <v>15000000</v>
      </c>
      <c r="N1362" s="258" t="s">
        <v>452</v>
      </c>
      <c r="O1362" s="258" t="s">
        <v>452</v>
      </c>
      <c r="P1362" s="258" t="s">
        <v>2043</v>
      </c>
      <c r="Q1362" s="258" t="s">
        <v>18</v>
      </c>
      <c r="R1362" s="259" t="s">
        <v>2044</v>
      </c>
      <c r="S1362" s="259"/>
      <c r="T1362" s="259"/>
      <c r="U1362" s="259"/>
      <c r="V1362" s="258"/>
      <c r="W1362" s="258"/>
      <c r="X1362" s="258"/>
      <c r="Y1362" s="258"/>
      <c r="Z1362" s="258"/>
      <c r="AA1362" s="258"/>
      <c r="AB1362" s="258"/>
      <c r="AC1362" s="258"/>
    </row>
    <row r="1363" spans="1:29" ht="15.75" customHeight="1">
      <c r="A1363" s="541">
        <v>44796</v>
      </c>
      <c r="B1363" s="306" t="s">
        <v>7451</v>
      </c>
      <c r="C1363" s="542"/>
      <c r="D1363" s="306" t="s">
        <v>10772</v>
      </c>
      <c r="E1363" s="306" t="s">
        <v>4</v>
      </c>
      <c r="F1363" s="306" t="s">
        <v>725</v>
      </c>
      <c r="G1363" s="306"/>
      <c r="H1363" s="306"/>
      <c r="I1363" s="306" t="s">
        <v>1371</v>
      </c>
      <c r="J1363" s="306" t="s">
        <v>7456</v>
      </c>
      <c r="K1363" s="306">
        <v>2</v>
      </c>
      <c r="L1363" s="306" t="s">
        <v>478</v>
      </c>
      <c r="M1363" s="306">
        <v>3000000</v>
      </c>
      <c r="N1363" s="306" t="s">
        <v>452</v>
      </c>
      <c r="O1363" s="306" t="s">
        <v>452</v>
      </c>
      <c r="P1363" s="306"/>
      <c r="Q1363" s="306"/>
      <c r="R1363" s="306"/>
      <c r="S1363" s="306" t="str">
        <f>IFERROR(VLOOKUP(B1363,'2022-2023 Third Reviews'!$C:$S,9,FALSE),"")</f>
        <v/>
      </c>
      <c r="T1363" s="306"/>
      <c r="U1363" s="306"/>
      <c r="V1363" s="306"/>
      <c r="W1363" s="306"/>
      <c r="X1363" s="306"/>
      <c r="Y1363" s="306"/>
      <c r="Z1363" s="306"/>
      <c r="AA1363" s="306"/>
      <c r="AB1363" s="306"/>
      <c r="AC1363" s="306"/>
    </row>
    <row r="1364" spans="1:29" ht="15.75" customHeight="1">
      <c r="A1364" s="541">
        <v>44797</v>
      </c>
      <c r="B1364" s="306" t="s">
        <v>240</v>
      </c>
      <c r="C1364" s="542"/>
      <c r="D1364" s="306" t="s">
        <v>10823</v>
      </c>
      <c r="E1364" s="306" t="s">
        <v>4</v>
      </c>
      <c r="F1364" s="306" t="s">
        <v>1045</v>
      </c>
      <c r="G1364" s="306" t="s">
        <v>1407</v>
      </c>
      <c r="H1364" s="306">
        <v>4</v>
      </c>
      <c r="I1364" s="306" t="s">
        <v>1350</v>
      </c>
      <c r="J1364" s="306"/>
      <c r="K1364" s="306"/>
      <c r="L1364" s="306"/>
      <c r="M1364" s="306"/>
      <c r="N1364" s="306" t="s">
        <v>454</v>
      </c>
      <c r="O1364" s="306" t="s">
        <v>1409</v>
      </c>
      <c r="P1364" s="306"/>
      <c r="Q1364" s="306"/>
      <c r="R1364" s="306"/>
      <c r="S1364" s="306" t="str">
        <f>IFERROR(VLOOKUP(B1364,'2022-2023 Third Reviews'!$C:$S,9,FALSE),"")</f>
        <v/>
      </c>
      <c r="T1364" s="306"/>
      <c r="U1364" s="306"/>
      <c r="V1364" s="219"/>
      <c r="W1364" s="219"/>
      <c r="X1364" s="219"/>
      <c r="Y1364" s="219"/>
      <c r="Z1364" s="219"/>
      <c r="AA1364" s="219"/>
      <c r="AB1364" s="219"/>
      <c r="AC1364" s="219"/>
    </row>
    <row r="1365" spans="1:29" ht="15.75" customHeight="1">
      <c r="A1365" s="541">
        <v>44797</v>
      </c>
      <c r="B1365" s="306" t="s">
        <v>6475</v>
      </c>
      <c r="C1365" s="542"/>
      <c r="D1365" s="306" t="s">
        <v>11288</v>
      </c>
      <c r="E1365" s="306" t="s">
        <v>4</v>
      </c>
      <c r="F1365" s="306" t="s">
        <v>488</v>
      </c>
      <c r="G1365" s="306"/>
      <c r="H1365" s="306"/>
      <c r="I1365" s="306" t="s">
        <v>1371</v>
      </c>
      <c r="J1365" s="306" t="s">
        <v>6480</v>
      </c>
      <c r="K1365" s="306">
        <v>3</v>
      </c>
      <c r="L1365" s="306" t="s">
        <v>451</v>
      </c>
      <c r="M1365" s="306">
        <v>1000000</v>
      </c>
      <c r="N1365" s="306" t="s">
        <v>452</v>
      </c>
      <c r="O1365" s="306" t="s">
        <v>11289</v>
      </c>
      <c r="P1365" s="306"/>
      <c r="Q1365" s="306"/>
      <c r="R1365" s="306"/>
      <c r="S1365" s="306" t="str">
        <f>IFERROR(VLOOKUP(B1365,'2022-2023 Third Reviews'!$C:$S,9,FALSE),"")</f>
        <v/>
      </c>
      <c r="T1365" s="306"/>
      <c r="U1365" s="306"/>
      <c r="V1365" s="224"/>
      <c r="W1365" s="224"/>
      <c r="X1365" s="224"/>
      <c r="Y1365" s="224"/>
      <c r="Z1365" s="224"/>
      <c r="AA1365" s="224"/>
      <c r="AB1365" s="224"/>
      <c r="AC1365" s="224"/>
    </row>
    <row r="1366" spans="1:29" ht="15.75" hidden="1" customHeight="1">
      <c r="A1366" s="541">
        <v>44791</v>
      </c>
      <c r="B1366" s="306" t="s">
        <v>9266</v>
      </c>
      <c r="C1366" s="542"/>
      <c r="D1366" s="306" t="s">
        <v>11067</v>
      </c>
      <c r="E1366" s="306" t="s">
        <v>3</v>
      </c>
      <c r="F1366" s="306" t="s">
        <v>460</v>
      </c>
      <c r="G1366" s="306"/>
      <c r="H1366" s="306"/>
      <c r="I1366" s="306" t="s">
        <v>941</v>
      </c>
      <c r="J1366" s="306"/>
      <c r="K1366" s="306"/>
      <c r="L1366" s="306" t="s">
        <v>451</v>
      </c>
      <c r="M1366" s="306">
        <v>5000000</v>
      </c>
      <c r="N1366" s="306" t="s">
        <v>452</v>
      </c>
      <c r="O1366" s="306" t="s">
        <v>9272</v>
      </c>
      <c r="P1366" s="306" t="s">
        <v>9273</v>
      </c>
      <c r="Q1366" s="306"/>
      <c r="R1366" s="543"/>
      <c r="S1366" s="543"/>
      <c r="T1366" s="543"/>
      <c r="U1366" s="543"/>
      <c r="V1366" s="306"/>
      <c r="W1366" s="306"/>
      <c r="X1366" s="306"/>
      <c r="Y1366" s="306"/>
      <c r="Z1366" s="306"/>
      <c r="AA1366" s="306"/>
      <c r="AB1366" s="306"/>
      <c r="AC1366" s="306"/>
    </row>
    <row r="1367" spans="1:29" ht="15.75" hidden="1" customHeight="1">
      <c r="A1367" s="253">
        <v>44791</v>
      </c>
      <c r="B1367" s="224" t="s">
        <v>9266</v>
      </c>
      <c r="C1367" s="316">
        <v>2</v>
      </c>
      <c r="D1367" s="224" t="s">
        <v>11067</v>
      </c>
      <c r="E1367" s="224" t="s">
        <v>3</v>
      </c>
      <c r="F1367" s="224" t="s">
        <v>460</v>
      </c>
      <c r="G1367" s="224" t="s">
        <v>9270</v>
      </c>
      <c r="H1367" s="224">
        <v>2</v>
      </c>
      <c r="I1367" s="224" t="s">
        <v>941</v>
      </c>
      <c r="J1367" s="224" t="s">
        <v>9271</v>
      </c>
      <c r="K1367" s="224">
        <v>2</v>
      </c>
      <c r="L1367" s="224" t="s">
        <v>451</v>
      </c>
      <c r="M1367" s="307">
        <v>5000000</v>
      </c>
      <c r="N1367" s="224" t="s">
        <v>452</v>
      </c>
      <c r="O1367" s="224" t="s">
        <v>9272</v>
      </c>
      <c r="P1367" s="224" t="s">
        <v>9273</v>
      </c>
      <c r="Q1367" s="322" t="s">
        <v>24</v>
      </c>
      <c r="R1367" s="254"/>
      <c r="S1367" s="254"/>
      <c r="T1367" s="254"/>
      <c r="U1367" s="254"/>
      <c r="V1367" s="224"/>
      <c r="W1367" s="224"/>
      <c r="X1367" s="224"/>
      <c r="Y1367" s="224"/>
      <c r="Z1367" s="224"/>
      <c r="AA1367" s="224"/>
      <c r="AB1367" s="224"/>
      <c r="AC1367" s="224"/>
    </row>
    <row r="1368" spans="1:29" ht="15.75" hidden="1" customHeight="1">
      <c r="A1368" s="248">
        <v>44782</v>
      </c>
      <c r="B1368" s="219" t="s">
        <v>129</v>
      </c>
      <c r="C1368" s="249">
        <v>4</v>
      </c>
      <c r="D1368" s="219" t="s">
        <v>10363</v>
      </c>
      <c r="E1368" s="250" t="s">
        <v>5</v>
      </c>
      <c r="F1368" s="219" t="s">
        <v>447</v>
      </c>
      <c r="G1368" s="219" t="s">
        <v>931</v>
      </c>
      <c r="H1368" s="219">
        <v>4</v>
      </c>
      <c r="I1368" s="219" t="s">
        <v>449</v>
      </c>
      <c r="J1368" s="219" t="s">
        <v>13400</v>
      </c>
      <c r="K1368" s="219">
        <v>4</v>
      </c>
      <c r="L1368" s="219" t="s">
        <v>478</v>
      </c>
      <c r="M1368" s="219">
        <v>5000000</v>
      </c>
      <c r="N1368" s="219" t="s">
        <v>452</v>
      </c>
      <c r="O1368" s="219" t="s">
        <v>933</v>
      </c>
      <c r="P1368" s="219" t="s">
        <v>934</v>
      </c>
      <c r="Q1368" s="219" t="s">
        <v>18</v>
      </c>
      <c r="R1368" s="251"/>
      <c r="S1368" s="251"/>
      <c r="T1368" s="251"/>
      <c r="U1368" s="251"/>
      <c r="V1368" s="252"/>
      <c r="W1368" s="252"/>
      <c r="X1368" s="252"/>
      <c r="Y1368" s="219"/>
      <c r="Z1368" s="219"/>
      <c r="AA1368" s="219"/>
      <c r="AB1368" s="219"/>
      <c r="AC1368" s="219"/>
    </row>
    <row r="1369" spans="1:29" ht="15.75" customHeight="1">
      <c r="A1369" s="479">
        <v>44789</v>
      </c>
      <c r="B1369" s="303" t="s">
        <v>5210</v>
      </c>
      <c r="C1369" s="269"/>
      <c r="D1369" s="303" t="s">
        <v>5213</v>
      </c>
      <c r="E1369" s="270" t="s">
        <v>4</v>
      </c>
      <c r="F1369" s="303" t="s">
        <v>727</v>
      </c>
      <c r="G1369" s="303" t="s">
        <v>11449</v>
      </c>
      <c r="H1369" s="303">
        <v>3.5</v>
      </c>
      <c r="I1369" s="303" t="s">
        <v>602</v>
      </c>
      <c r="J1369" s="303"/>
      <c r="K1369" s="303"/>
      <c r="L1369" s="303" t="s">
        <v>451</v>
      </c>
      <c r="M1369" s="303">
        <v>3600000</v>
      </c>
      <c r="N1369" s="303" t="s">
        <v>465</v>
      </c>
      <c r="O1369" s="303" t="s">
        <v>452</v>
      </c>
      <c r="P1369" s="303"/>
      <c r="Q1369" s="303"/>
      <c r="R1369" s="303"/>
      <c r="S1369" s="303" t="str">
        <f>IFERROR(VLOOKUP(B1369,'2022-2023 Third Reviews'!$C:$S,9,FALSE),"")</f>
        <v/>
      </c>
      <c r="T1369" s="303"/>
      <c r="U1369" s="303"/>
      <c r="V1369" s="224"/>
      <c r="W1369" s="224"/>
      <c r="X1369" s="224"/>
      <c r="Y1369" s="224"/>
      <c r="Z1369" s="224"/>
      <c r="AA1369" s="224"/>
      <c r="AB1369" s="224"/>
      <c r="AC1369" s="224"/>
    </row>
    <row r="1370" spans="1:29" ht="15.75" customHeight="1">
      <c r="A1370" s="541">
        <v>44797</v>
      </c>
      <c r="B1370" s="306" t="s">
        <v>234</v>
      </c>
      <c r="C1370" s="542"/>
      <c r="D1370" s="306" t="s">
        <v>3980</v>
      </c>
      <c r="E1370" s="306" t="s">
        <v>4</v>
      </c>
      <c r="F1370" s="306" t="s">
        <v>488</v>
      </c>
      <c r="G1370" s="306"/>
      <c r="H1370" s="306"/>
      <c r="I1370" s="306" t="s">
        <v>1371</v>
      </c>
      <c r="J1370" s="306" t="s">
        <v>3982</v>
      </c>
      <c r="K1370" s="306">
        <v>5</v>
      </c>
      <c r="L1370" s="306"/>
      <c r="M1370" s="306"/>
      <c r="N1370" s="306" t="s">
        <v>452</v>
      </c>
      <c r="O1370" s="306" t="s">
        <v>3983</v>
      </c>
      <c r="P1370" s="306"/>
      <c r="Q1370" s="306"/>
      <c r="R1370" s="306"/>
      <c r="S1370" s="306" t="str">
        <f>IFERROR(VLOOKUP(B1370,'2022-2023 Third Reviews'!$C:$S,9,FALSE),"")</f>
        <v/>
      </c>
      <c r="T1370" s="306"/>
      <c r="U1370" s="306"/>
      <c r="V1370" s="306"/>
      <c r="W1370" s="306"/>
      <c r="X1370" s="306"/>
      <c r="Y1370" s="306"/>
      <c r="Z1370" s="306"/>
      <c r="AA1370" s="306"/>
      <c r="AB1370" s="306"/>
      <c r="AC1370" s="306"/>
    </row>
    <row r="1371" spans="1:29" ht="15.75" hidden="1" customHeight="1">
      <c r="A1371" s="301">
        <v>44789</v>
      </c>
      <c r="B1371" s="303" t="s">
        <v>10524</v>
      </c>
      <c r="C1371" s="269"/>
      <c r="D1371" s="303" t="s">
        <v>9279</v>
      </c>
      <c r="E1371" s="270" t="s">
        <v>3</v>
      </c>
      <c r="F1371" s="303" t="s">
        <v>725</v>
      </c>
      <c r="G1371" s="303"/>
      <c r="H1371" s="303"/>
      <c r="I1371" s="303" t="s">
        <v>488</v>
      </c>
      <c r="J1371" s="303" t="s">
        <v>13214</v>
      </c>
      <c r="K1371" s="303">
        <v>3</v>
      </c>
      <c r="L1371" s="303" t="s">
        <v>784</v>
      </c>
      <c r="M1371" s="304">
        <v>500000</v>
      </c>
      <c r="N1371" s="303" t="s">
        <v>452</v>
      </c>
      <c r="O1371" s="304" t="s">
        <v>10527</v>
      </c>
      <c r="P1371" s="303"/>
      <c r="Q1371" s="303"/>
      <c r="R1371" s="305"/>
      <c r="S1371" s="305"/>
      <c r="T1371" s="305"/>
      <c r="U1371" s="305"/>
      <c r="V1371" s="303"/>
      <c r="W1371" s="303"/>
      <c r="X1371" s="303"/>
      <c r="Y1371" s="303"/>
      <c r="Z1371" s="303"/>
      <c r="AA1371" s="306"/>
      <c r="AB1371" s="306"/>
      <c r="AC1371" s="306"/>
    </row>
    <row r="1372" spans="1:29" ht="15.75" hidden="1" customHeight="1">
      <c r="A1372" s="248">
        <v>44791</v>
      </c>
      <c r="B1372" s="219" t="s">
        <v>10524</v>
      </c>
      <c r="C1372" s="315">
        <v>3</v>
      </c>
      <c r="D1372" s="219" t="s">
        <v>9279</v>
      </c>
      <c r="E1372" s="219" t="s">
        <v>3</v>
      </c>
      <c r="F1372" s="219" t="s">
        <v>725</v>
      </c>
      <c r="G1372" s="219" t="s">
        <v>10525</v>
      </c>
      <c r="H1372" s="219">
        <v>3</v>
      </c>
      <c r="I1372" s="219" t="s">
        <v>488</v>
      </c>
      <c r="J1372" s="219" t="s">
        <v>10526</v>
      </c>
      <c r="K1372" s="219">
        <v>3</v>
      </c>
      <c r="L1372" s="219" t="s">
        <v>784</v>
      </c>
      <c r="M1372" s="312">
        <v>500000</v>
      </c>
      <c r="N1372" s="219" t="s">
        <v>452</v>
      </c>
      <c r="O1372" s="219" t="s">
        <v>10527</v>
      </c>
      <c r="P1372" s="219"/>
      <c r="Q1372" s="322" t="s">
        <v>24</v>
      </c>
      <c r="R1372" s="251"/>
      <c r="S1372" s="251"/>
      <c r="T1372" s="251"/>
      <c r="U1372" s="251"/>
      <c r="V1372" s="219"/>
      <c r="W1372" s="219"/>
      <c r="X1372" s="219"/>
      <c r="Y1372" s="219"/>
      <c r="Z1372" s="219"/>
      <c r="AA1372" s="219"/>
      <c r="AB1372" s="219"/>
      <c r="AC1372" s="219"/>
    </row>
    <row r="1373" spans="1:29" ht="15.75" customHeight="1">
      <c r="A1373" s="479">
        <v>44789</v>
      </c>
      <c r="B1373" s="303" t="s">
        <v>4848</v>
      </c>
      <c r="C1373" s="269"/>
      <c r="D1373" s="303" t="s">
        <v>4851</v>
      </c>
      <c r="E1373" s="270" t="s">
        <v>4</v>
      </c>
      <c r="F1373" s="303" t="s">
        <v>727</v>
      </c>
      <c r="G1373" s="303" t="s">
        <v>11387</v>
      </c>
      <c r="H1373" s="303">
        <v>3.5</v>
      </c>
      <c r="I1373" s="303" t="s">
        <v>602</v>
      </c>
      <c r="J1373" s="303"/>
      <c r="K1373" s="303"/>
      <c r="L1373" s="303"/>
      <c r="M1373" s="303"/>
      <c r="N1373" s="303" t="s">
        <v>452</v>
      </c>
      <c r="O1373" s="303" t="s">
        <v>575</v>
      </c>
      <c r="P1373" s="303"/>
      <c r="Q1373" s="303"/>
      <c r="R1373" s="303"/>
      <c r="S1373" s="303" t="str">
        <f ca="1">IFERROR(VLOOKUP(B1373,'2022-2023 Third Reviews'!$C:$S,9,FALSE),"")</f>
        <v>Joshua Rubnitz
3</v>
      </c>
      <c r="T1373" s="303"/>
      <c r="U1373" s="303"/>
      <c r="V1373" s="258"/>
      <c r="W1373" s="258"/>
      <c r="X1373" s="258"/>
      <c r="Y1373" s="258"/>
      <c r="Z1373" s="258"/>
      <c r="AA1373" s="258"/>
      <c r="AB1373" s="258"/>
      <c r="AC1373" s="258"/>
    </row>
    <row r="1374" spans="1:29" ht="15.75" customHeight="1">
      <c r="A1374" s="541">
        <v>44797</v>
      </c>
      <c r="B1374" s="306" t="s">
        <v>251</v>
      </c>
      <c r="C1374" s="542"/>
      <c r="D1374" s="306" t="s">
        <v>1455</v>
      </c>
      <c r="E1374" s="306" t="s">
        <v>4</v>
      </c>
      <c r="F1374" s="306" t="s">
        <v>488</v>
      </c>
      <c r="G1374" s="306"/>
      <c r="H1374" s="306"/>
      <c r="I1374" s="306" t="s">
        <v>1457</v>
      </c>
      <c r="J1374" s="306" t="s">
        <v>1458</v>
      </c>
      <c r="K1374" s="306">
        <v>4</v>
      </c>
      <c r="L1374" s="306" t="s">
        <v>784</v>
      </c>
      <c r="M1374" s="306">
        <v>750000</v>
      </c>
      <c r="N1374" s="306" t="s">
        <v>452</v>
      </c>
      <c r="O1374" s="306" t="s">
        <v>11381</v>
      </c>
      <c r="P1374" s="306"/>
      <c r="Q1374" s="306"/>
      <c r="R1374" s="306"/>
      <c r="S1374" s="306" t="str">
        <f>IFERROR(VLOOKUP(B1374,'2022-2023 Third Reviews'!$C:$S,9,FALSE),"")</f>
        <v/>
      </c>
      <c r="T1374" s="306"/>
      <c r="U1374" s="306"/>
      <c r="V1374" s="219"/>
      <c r="W1374" s="219"/>
      <c r="X1374" s="219"/>
      <c r="Y1374" s="219"/>
      <c r="Z1374" s="219"/>
      <c r="AA1374" s="219"/>
      <c r="AB1374" s="219"/>
      <c r="AC1374" s="219"/>
    </row>
    <row r="1375" spans="1:29" ht="15.75" customHeight="1">
      <c r="A1375" s="541">
        <v>44797</v>
      </c>
      <c r="B1375" s="306" t="s">
        <v>5740</v>
      </c>
      <c r="C1375" s="542"/>
      <c r="D1375" s="306" t="s">
        <v>11193</v>
      </c>
      <c r="E1375" s="306" t="s">
        <v>4</v>
      </c>
      <c r="F1375" s="306" t="s">
        <v>1045</v>
      </c>
      <c r="G1375" s="306"/>
      <c r="H1375" s="306"/>
      <c r="I1375" s="306" t="s">
        <v>1457</v>
      </c>
      <c r="J1375" s="306" t="s">
        <v>5745</v>
      </c>
      <c r="K1375" s="306">
        <v>3</v>
      </c>
      <c r="L1375" s="306" t="s">
        <v>451</v>
      </c>
      <c r="M1375" s="306">
        <v>500000</v>
      </c>
      <c r="N1375" s="306" t="s">
        <v>452</v>
      </c>
      <c r="O1375" s="306" t="s">
        <v>11194</v>
      </c>
      <c r="P1375" s="306"/>
      <c r="Q1375" s="306"/>
      <c r="R1375" s="306"/>
      <c r="S1375" s="306" t="str">
        <f>IFERROR(VLOOKUP(B1375,'2022-2023 Third Reviews'!$C:$S,9,FALSE),"")</f>
        <v/>
      </c>
      <c r="T1375" s="306"/>
      <c r="U1375" s="306"/>
      <c r="V1375" s="306"/>
      <c r="W1375" s="306"/>
      <c r="X1375" s="306"/>
      <c r="Y1375" s="306"/>
      <c r="Z1375" s="306"/>
      <c r="AA1375" s="306"/>
      <c r="AB1375" s="306"/>
      <c r="AC1375" s="306"/>
    </row>
    <row r="1376" spans="1:29" ht="15.75" customHeight="1">
      <c r="A1376" s="541">
        <v>44796</v>
      </c>
      <c r="B1376" s="306" t="s">
        <v>5244</v>
      </c>
      <c r="C1376" s="542"/>
      <c r="D1376" s="306" t="s">
        <v>5247</v>
      </c>
      <c r="E1376" s="306" t="s">
        <v>4</v>
      </c>
      <c r="F1376" s="306" t="s">
        <v>725</v>
      </c>
      <c r="G1376" s="306"/>
      <c r="H1376" s="306"/>
      <c r="I1376" s="306" t="s">
        <v>1457</v>
      </c>
      <c r="J1376" s="306" t="s">
        <v>5249</v>
      </c>
      <c r="K1376" s="306">
        <v>3</v>
      </c>
      <c r="L1376" s="306"/>
      <c r="M1376" s="544"/>
      <c r="N1376" s="306" t="s">
        <v>452</v>
      </c>
      <c r="O1376" s="306" t="s">
        <v>452</v>
      </c>
      <c r="P1376" s="306" t="s">
        <v>5250</v>
      </c>
      <c r="Q1376" s="306"/>
      <c r="R1376" s="306"/>
      <c r="S1376" s="306" t="str">
        <f>IFERROR(VLOOKUP(B1376,'2022-2023 Third Reviews'!$C:$S,9,FALSE),"")</f>
        <v/>
      </c>
      <c r="T1376" s="306"/>
      <c r="U1376" s="306"/>
      <c r="V1376" s="219"/>
      <c r="W1376" s="219"/>
      <c r="X1376" s="219"/>
      <c r="Y1376" s="219"/>
      <c r="Z1376" s="219"/>
      <c r="AA1376" s="219"/>
      <c r="AB1376" s="219"/>
      <c r="AC1376" s="219"/>
    </row>
    <row r="1377" spans="1:29" ht="15.75" hidden="1" customHeight="1">
      <c r="A1377" s="255">
        <v>44789</v>
      </c>
      <c r="B1377" s="239" t="s">
        <v>3466</v>
      </c>
      <c r="C1377" s="262">
        <v>3.25</v>
      </c>
      <c r="D1377" s="239" t="s">
        <v>11629</v>
      </c>
      <c r="E1377" s="239" t="s">
        <v>5</v>
      </c>
      <c r="F1377" s="239" t="s">
        <v>447</v>
      </c>
      <c r="G1377" s="239" t="s">
        <v>11630</v>
      </c>
      <c r="H1377" s="239">
        <v>3.5</v>
      </c>
      <c r="I1377" s="239" t="s">
        <v>449</v>
      </c>
      <c r="J1377" s="239" t="s">
        <v>11631</v>
      </c>
      <c r="K1377" s="239">
        <v>3</v>
      </c>
      <c r="L1377" s="239"/>
      <c r="M1377" s="239"/>
      <c r="N1377" s="239"/>
      <c r="O1377" s="239"/>
      <c r="P1377" s="239"/>
      <c r="Q1377" s="239" t="s">
        <v>24</v>
      </c>
      <c r="R1377" s="256" t="s">
        <v>3475</v>
      </c>
      <c r="S1377" s="256"/>
      <c r="T1377" s="256"/>
      <c r="U1377" s="256"/>
      <c r="V1377" s="239"/>
      <c r="W1377" s="239"/>
      <c r="X1377" s="239"/>
      <c r="Y1377" s="239"/>
      <c r="Z1377" s="239"/>
      <c r="AA1377" s="239"/>
      <c r="AB1377" s="239"/>
      <c r="AC1377" s="239"/>
    </row>
    <row r="1378" spans="1:29" ht="15.75" hidden="1" customHeight="1">
      <c r="A1378" s="248">
        <v>44789</v>
      </c>
      <c r="B1378" s="219" t="s">
        <v>3478</v>
      </c>
      <c r="C1378" s="249">
        <v>3</v>
      </c>
      <c r="D1378" s="219" t="s">
        <v>3481</v>
      </c>
      <c r="E1378" s="250" t="s">
        <v>5</v>
      </c>
      <c r="F1378" s="219" t="s">
        <v>447</v>
      </c>
      <c r="G1378" s="219" t="s">
        <v>10346</v>
      </c>
      <c r="H1378" s="219">
        <v>3</v>
      </c>
      <c r="I1378" s="219" t="s">
        <v>622</v>
      </c>
      <c r="J1378" s="219" t="s">
        <v>3483</v>
      </c>
      <c r="K1378" s="219">
        <v>3</v>
      </c>
      <c r="L1378" s="219" t="s">
        <v>451</v>
      </c>
      <c r="M1378" s="312">
        <v>650000</v>
      </c>
      <c r="N1378" s="219" t="s">
        <v>452</v>
      </c>
      <c r="O1378" s="219" t="s">
        <v>3484</v>
      </c>
      <c r="P1378" s="219"/>
      <c r="Q1378" s="219" t="s">
        <v>24</v>
      </c>
      <c r="R1378" s="251"/>
      <c r="S1378" s="251"/>
      <c r="T1378" s="251"/>
      <c r="U1378" s="251"/>
      <c r="V1378" s="252"/>
      <c r="W1378" s="252"/>
      <c r="X1378" s="252"/>
      <c r="Y1378" s="219"/>
      <c r="Z1378" s="219"/>
      <c r="AA1378" s="219"/>
      <c r="AB1378" s="219"/>
      <c r="AC1378" s="219"/>
    </row>
    <row r="1379" spans="1:29" ht="15.75" customHeight="1">
      <c r="A1379" s="479">
        <v>44789</v>
      </c>
      <c r="B1379" s="303" t="s">
        <v>257</v>
      </c>
      <c r="C1379" s="269"/>
      <c r="D1379" s="303" t="s">
        <v>1482</v>
      </c>
      <c r="E1379" s="270" t="s">
        <v>4</v>
      </c>
      <c r="F1379" s="303" t="s">
        <v>602</v>
      </c>
      <c r="G1379" s="303" t="s">
        <v>1483</v>
      </c>
      <c r="H1379" s="303">
        <v>4</v>
      </c>
      <c r="I1379" s="303" t="s">
        <v>1054</v>
      </c>
      <c r="J1379" s="303"/>
      <c r="K1379" s="303"/>
      <c r="L1379" s="303" t="s">
        <v>784</v>
      </c>
      <c r="M1379" s="303">
        <v>682000</v>
      </c>
      <c r="N1379" s="303" t="s">
        <v>465</v>
      </c>
      <c r="O1379" s="539" t="s">
        <v>1485</v>
      </c>
      <c r="P1379" s="303" t="s">
        <v>1486</v>
      </c>
      <c r="Q1379" s="303"/>
      <c r="R1379" s="303"/>
      <c r="S1379" s="303" t="str">
        <f ca="1">IFERROR(VLOOKUP(B1379,'2022-2023 Third Reviews'!$C:$S,9,FALSE),"")</f>
        <v>Joshua Rubnitz
5</v>
      </c>
      <c r="T1379" s="303"/>
      <c r="U1379" s="303"/>
      <c r="V1379" s="224"/>
      <c r="W1379" s="224"/>
      <c r="X1379" s="224"/>
      <c r="Y1379" s="224"/>
      <c r="Z1379" s="224"/>
      <c r="AA1379" s="224"/>
      <c r="AB1379" s="224"/>
      <c r="AC1379" s="224"/>
    </row>
    <row r="1380" spans="1:29" ht="15.75" customHeight="1">
      <c r="A1380" s="541">
        <v>44791</v>
      </c>
      <c r="B1380" s="306" t="s">
        <v>257</v>
      </c>
      <c r="C1380" s="542"/>
      <c r="D1380" s="306" t="s">
        <v>1482</v>
      </c>
      <c r="E1380" s="306" t="s">
        <v>4</v>
      </c>
      <c r="F1380" s="306" t="s">
        <v>602</v>
      </c>
      <c r="G1380" s="306" t="s">
        <v>1483</v>
      </c>
      <c r="H1380" s="306">
        <v>4</v>
      </c>
      <c r="I1380" s="306" t="s">
        <v>941</v>
      </c>
      <c r="J1380" s="306"/>
      <c r="K1380" s="306"/>
      <c r="L1380" s="306" t="s">
        <v>784</v>
      </c>
      <c r="M1380" s="306">
        <v>682000</v>
      </c>
      <c r="N1380" s="306" t="s">
        <v>465</v>
      </c>
      <c r="O1380" s="306" t="s">
        <v>1485</v>
      </c>
      <c r="P1380" s="306" t="s">
        <v>1486</v>
      </c>
      <c r="Q1380" s="306"/>
      <c r="R1380" s="306"/>
      <c r="S1380" s="306" t="str">
        <f ca="1">IFERROR(VLOOKUP(B1380,'2022-2023 Third Reviews'!$C:$S,9,FALSE),"")</f>
        <v>Joshua Rubnitz
5</v>
      </c>
      <c r="T1380" s="306"/>
      <c r="U1380" s="306"/>
      <c r="V1380" s="219"/>
      <c r="W1380" s="219"/>
      <c r="X1380" s="219"/>
      <c r="Y1380" s="219"/>
      <c r="Z1380" s="219"/>
      <c r="AA1380" s="219"/>
      <c r="AB1380" s="219"/>
      <c r="AC1380" s="219"/>
    </row>
    <row r="1381" spans="1:29" ht="15.75" hidden="1" customHeight="1">
      <c r="A1381" s="541">
        <v>44796</v>
      </c>
      <c r="B1381" s="306" t="s">
        <v>362</v>
      </c>
      <c r="C1381" s="542"/>
      <c r="D1381" s="306" t="s">
        <v>2049</v>
      </c>
      <c r="E1381" s="306" t="s">
        <v>3</v>
      </c>
      <c r="F1381" s="306" t="s">
        <v>488</v>
      </c>
      <c r="G1381" s="306"/>
      <c r="H1381" s="306"/>
      <c r="I1381" s="306" t="s">
        <v>941</v>
      </c>
      <c r="J1381" s="306"/>
      <c r="K1381" s="306"/>
      <c r="L1381" s="306" t="s">
        <v>478</v>
      </c>
      <c r="M1381" s="544">
        <v>5920000</v>
      </c>
      <c r="N1381" s="306" t="s">
        <v>452</v>
      </c>
      <c r="O1381" s="306" t="s">
        <v>452</v>
      </c>
      <c r="P1381" s="306"/>
      <c r="Q1381" s="306"/>
      <c r="R1381" s="543"/>
      <c r="S1381" s="543"/>
      <c r="T1381" s="543"/>
      <c r="U1381" s="543"/>
      <c r="V1381" s="224"/>
      <c r="W1381" s="224"/>
      <c r="X1381" s="224"/>
      <c r="Y1381" s="224"/>
      <c r="Z1381" s="224"/>
      <c r="AA1381" s="224"/>
      <c r="AB1381" s="224"/>
      <c r="AC1381" s="224"/>
    </row>
    <row r="1382" spans="1:29" ht="15.75" hidden="1" customHeight="1">
      <c r="A1382" s="541">
        <v>44797</v>
      </c>
      <c r="B1382" s="306" t="s">
        <v>362</v>
      </c>
      <c r="C1382" s="542"/>
      <c r="D1382" s="306" t="s">
        <v>2049</v>
      </c>
      <c r="E1382" s="306" t="s">
        <v>3</v>
      </c>
      <c r="F1382" s="306" t="s">
        <v>488</v>
      </c>
      <c r="G1382" s="306"/>
      <c r="H1382" s="306"/>
      <c r="I1382" s="306" t="s">
        <v>941</v>
      </c>
      <c r="J1382" s="306"/>
      <c r="K1382" s="306"/>
      <c r="L1382" s="306" t="s">
        <v>478</v>
      </c>
      <c r="M1382" s="546">
        <v>5920000</v>
      </c>
      <c r="N1382" s="306" t="s">
        <v>452</v>
      </c>
      <c r="O1382" s="306" t="s">
        <v>452</v>
      </c>
      <c r="P1382" s="306"/>
      <c r="Q1382" s="306"/>
      <c r="R1382" s="543"/>
      <c r="S1382" s="543"/>
      <c r="T1382" s="543"/>
      <c r="U1382" s="543"/>
      <c r="V1382" s="306"/>
      <c r="W1382" s="306"/>
      <c r="X1382" s="306"/>
      <c r="Y1382" s="306"/>
      <c r="Z1382" s="306"/>
      <c r="AA1382" s="306"/>
      <c r="AB1382" s="306"/>
      <c r="AC1382" s="306"/>
    </row>
    <row r="1383" spans="1:29" ht="15.75" hidden="1" customHeight="1">
      <c r="A1383" s="253">
        <v>44797</v>
      </c>
      <c r="B1383" s="224" t="s">
        <v>362</v>
      </c>
      <c r="C1383" s="316">
        <v>4</v>
      </c>
      <c r="D1383" s="224" t="s">
        <v>2049</v>
      </c>
      <c r="E1383" s="224" t="s">
        <v>3</v>
      </c>
      <c r="F1383" s="224" t="s">
        <v>460</v>
      </c>
      <c r="G1383" s="224" t="s">
        <v>2050</v>
      </c>
      <c r="H1383" s="224">
        <v>4</v>
      </c>
      <c r="I1383" s="224" t="s">
        <v>941</v>
      </c>
      <c r="J1383" s="224" t="s">
        <v>2051</v>
      </c>
      <c r="K1383" s="224">
        <v>4</v>
      </c>
      <c r="L1383" s="224" t="s">
        <v>478</v>
      </c>
      <c r="M1383" s="330">
        <v>5920000</v>
      </c>
      <c r="N1383" s="224" t="s">
        <v>452</v>
      </c>
      <c r="O1383" s="224" t="s">
        <v>452</v>
      </c>
      <c r="P1383" s="224"/>
      <c r="Q1383" s="224" t="s">
        <v>18</v>
      </c>
      <c r="R1383" s="254"/>
      <c r="S1383" s="254"/>
      <c r="T1383" s="254"/>
      <c r="U1383" s="254"/>
      <c r="V1383" s="224"/>
      <c r="W1383" s="224"/>
      <c r="X1383" s="224"/>
      <c r="Y1383" s="224"/>
      <c r="Z1383" s="224"/>
      <c r="AA1383" s="224"/>
      <c r="AB1383" s="224"/>
      <c r="AC1383" s="224"/>
    </row>
    <row r="1384" spans="1:29" ht="15.75" hidden="1" customHeight="1">
      <c r="A1384" s="248">
        <v>44796</v>
      </c>
      <c r="B1384" s="219" t="s">
        <v>3487</v>
      </c>
      <c r="C1384" s="315">
        <v>3.25</v>
      </c>
      <c r="D1384" s="219" t="s">
        <v>11229</v>
      </c>
      <c r="E1384" s="219" t="s">
        <v>5</v>
      </c>
      <c r="F1384" s="219" t="s">
        <v>447</v>
      </c>
      <c r="G1384" s="219" t="s">
        <v>11230</v>
      </c>
      <c r="H1384" s="219">
        <v>3</v>
      </c>
      <c r="I1384" s="219" t="s">
        <v>543</v>
      </c>
      <c r="J1384" s="219" t="s">
        <v>13400</v>
      </c>
      <c r="K1384" s="219">
        <v>3.5</v>
      </c>
      <c r="L1384" s="219" t="s">
        <v>3493</v>
      </c>
      <c r="M1384" s="219" t="s">
        <v>3494</v>
      </c>
      <c r="N1384" s="219" t="s">
        <v>452</v>
      </c>
      <c r="O1384" s="219" t="s">
        <v>1119</v>
      </c>
      <c r="P1384" s="219"/>
      <c r="Q1384" s="219" t="s">
        <v>24</v>
      </c>
      <c r="R1384" s="251"/>
      <c r="S1384" s="251"/>
      <c r="T1384" s="251"/>
      <c r="U1384" s="251"/>
      <c r="V1384" s="219"/>
      <c r="W1384" s="219"/>
      <c r="X1384" s="219"/>
      <c r="Y1384" s="219"/>
      <c r="Z1384" s="219"/>
      <c r="AA1384" s="219"/>
      <c r="AB1384" s="219"/>
      <c r="AC1384" s="219"/>
    </row>
    <row r="1385" spans="1:29" ht="15.75" customHeight="1">
      <c r="A1385" s="541">
        <v>44796</v>
      </c>
      <c r="B1385" s="306" t="s">
        <v>257</v>
      </c>
      <c r="C1385" s="542"/>
      <c r="D1385" s="306" t="s">
        <v>1482</v>
      </c>
      <c r="E1385" s="306" t="s">
        <v>4</v>
      </c>
      <c r="F1385" s="306" t="s">
        <v>602</v>
      </c>
      <c r="G1385" s="306" t="s">
        <v>1483</v>
      </c>
      <c r="H1385" s="306">
        <v>4</v>
      </c>
      <c r="I1385" s="306" t="s">
        <v>941</v>
      </c>
      <c r="J1385" s="306"/>
      <c r="K1385" s="306"/>
      <c r="L1385" s="306" t="s">
        <v>784</v>
      </c>
      <c r="M1385" s="306">
        <v>682000</v>
      </c>
      <c r="N1385" s="306" t="s">
        <v>465</v>
      </c>
      <c r="O1385" s="306" t="s">
        <v>1485</v>
      </c>
      <c r="P1385" s="306" t="s">
        <v>1486</v>
      </c>
      <c r="Q1385" s="306"/>
      <c r="R1385" s="306"/>
      <c r="S1385" s="306" t="str">
        <f ca="1">IFERROR(VLOOKUP(B1385,'2022-2023 Third Reviews'!$C:$S,9,FALSE),"")</f>
        <v>Joshua Rubnitz
5</v>
      </c>
      <c r="T1385" s="306"/>
      <c r="U1385" s="306"/>
      <c r="V1385" s="224"/>
      <c r="W1385" s="224"/>
      <c r="X1385" s="224"/>
      <c r="Y1385" s="224"/>
      <c r="Z1385" s="224"/>
      <c r="AA1385" s="224"/>
      <c r="AB1385" s="224"/>
      <c r="AC1385" s="224"/>
    </row>
    <row r="1386" spans="1:29" ht="15.75" customHeight="1">
      <c r="A1386" s="541">
        <v>44797</v>
      </c>
      <c r="B1386" s="306" t="s">
        <v>257</v>
      </c>
      <c r="C1386" s="542"/>
      <c r="D1386" s="306" t="s">
        <v>1482</v>
      </c>
      <c r="E1386" s="306" t="s">
        <v>4</v>
      </c>
      <c r="F1386" s="306" t="s">
        <v>602</v>
      </c>
      <c r="G1386" s="306" t="s">
        <v>1483</v>
      </c>
      <c r="H1386" s="306">
        <v>4</v>
      </c>
      <c r="I1386" s="306" t="s">
        <v>1350</v>
      </c>
      <c r="J1386" s="306"/>
      <c r="K1386" s="306"/>
      <c r="L1386" s="306" t="s">
        <v>784</v>
      </c>
      <c r="M1386" s="306">
        <v>682000</v>
      </c>
      <c r="N1386" s="306" t="s">
        <v>465</v>
      </c>
      <c r="O1386" s="306" t="s">
        <v>1485</v>
      </c>
      <c r="P1386" s="306" t="s">
        <v>1486</v>
      </c>
      <c r="Q1386" s="306"/>
      <c r="R1386" s="306"/>
      <c r="S1386" s="306" t="str">
        <f ca="1">IFERROR(VLOOKUP(B1386,'2022-2023 Third Reviews'!$C:$S,9,FALSE),"")</f>
        <v>Joshua Rubnitz
5</v>
      </c>
      <c r="T1386" s="306"/>
      <c r="U1386" s="306"/>
      <c r="V1386" s="219"/>
      <c r="W1386" s="219"/>
      <c r="X1386" s="219"/>
      <c r="Y1386" s="219"/>
      <c r="Z1386" s="219"/>
      <c r="AA1386" s="219"/>
      <c r="AB1386" s="219"/>
      <c r="AC1386" s="219"/>
    </row>
    <row r="1387" spans="1:29" ht="15.75" hidden="1" customHeight="1">
      <c r="A1387" s="541">
        <v>44791</v>
      </c>
      <c r="B1387" s="306" t="s">
        <v>133</v>
      </c>
      <c r="C1387" s="542"/>
      <c r="D1387" s="306" t="s">
        <v>11036</v>
      </c>
      <c r="E1387" s="306" t="s">
        <v>3</v>
      </c>
      <c r="F1387" s="306" t="s">
        <v>460</v>
      </c>
      <c r="G1387" s="306"/>
      <c r="H1387" s="306"/>
      <c r="I1387" s="306" t="s">
        <v>941</v>
      </c>
      <c r="J1387" s="306" t="s">
        <v>11037</v>
      </c>
      <c r="K1387" s="306">
        <v>5</v>
      </c>
      <c r="L1387" s="306" t="s">
        <v>923</v>
      </c>
      <c r="M1387" s="544" t="s">
        <v>943</v>
      </c>
      <c r="N1387" s="306" t="s">
        <v>454</v>
      </c>
      <c r="O1387" s="306" t="s">
        <v>11038</v>
      </c>
      <c r="P1387" s="306" t="s">
        <v>945</v>
      </c>
      <c r="Q1387" s="306"/>
      <c r="R1387" s="543"/>
      <c r="S1387" s="543"/>
      <c r="T1387" s="543"/>
      <c r="U1387" s="543"/>
      <c r="V1387" s="306"/>
      <c r="W1387" s="306"/>
      <c r="X1387" s="306"/>
      <c r="Y1387" s="306"/>
      <c r="Z1387" s="306"/>
      <c r="AA1387" s="306"/>
      <c r="AB1387" s="306"/>
      <c r="AC1387" s="306"/>
    </row>
    <row r="1388" spans="1:29" ht="15.75" hidden="1" customHeight="1">
      <c r="A1388" s="255">
        <v>44791</v>
      </c>
      <c r="B1388" s="239" t="s">
        <v>133</v>
      </c>
      <c r="C1388" s="262">
        <v>4.75</v>
      </c>
      <c r="D1388" s="239" t="s">
        <v>11036</v>
      </c>
      <c r="E1388" s="239" t="s">
        <v>5</v>
      </c>
      <c r="F1388" s="239" t="s">
        <v>460</v>
      </c>
      <c r="G1388" s="239" t="s">
        <v>11641</v>
      </c>
      <c r="H1388" s="239">
        <v>4.5</v>
      </c>
      <c r="I1388" s="239" t="s">
        <v>941</v>
      </c>
      <c r="J1388" s="239" t="s">
        <v>11037</v>
      </c>
      <c r="K1388" s="239">
        <v>5</v>
      </c>
      <c r="L1388" s="239" t="s">
        <v>923</v>
      </c>
      <c r="M1388" s="239" t="s">
        <v>943</v>
      </c>
      <c r="N1388" s="239" t="s">
        <v>454</v>
      </c>
      <c r="O1388" s="239" t="s">
        <v>11038</v>
      </c>
      <c r="P1388" s="239" t="s">
        <v>945</v>
      </c>
      <c r="Q1388" s="239" t="s">
        <v>18</v>
      </c>
      <c r="R1388" s="256" t="s">
        <v>946</v>
      </c>
      <c r="S1388" s="256"/>
      <c r="T1388" s="256"/>
      <c r="U1388" s="256"/>
      <c r="V1388" s="239"/>
      <c r="W1388" s="239"/>
      <c r="X1388" s="239"/>
      <c r="Y1388" s="239"/>
      <c r="Z1388" s="239"/>
      <c r="AA1388" s="239"/>
      <c r="AB1388" s="239"/>
      <c r="AC1388" s="239"/>
    </row>
    <row r="1389" spans="1:29" ht="15.75" customHeight="1">
      <c r="A1389" s="541">
        <v>44797</v>
      </c>
      <c r="B1389" s="306" t="s">
        <v>4856</v>
      </c>
      <c r="C1389" s="542"/>
      <c r="D1389" s="306" t="s">
        <v>4859</v>
      </c>
      <c r="E1389" s="306" t="s">
        <v>4</v>
      </c>
      <c r="F1389" s="306" t="s">
        <v>1045</v>
      </c>
      <c r="G1389" s="306"/>
      <c r="H1389" s="306"/>
      <c r="I1389" s="306" t="s">
        <v>1457</v>
      </c>
      <c r="J1389" s="306" t="s">
        <v>4861</v>
      </c>
      <c r="K1389" s="306">
        <v>4</v>
      </c>
      <c r="L1389" s="306"/>
      <c r="M1389" s="306"/>
      <c r="N1389" s="306" t="s">
        <v>465</v>
      </c>
      <c r="O1389" s="306" t="s">
        <v>4862</v>
      </c>
      <c r="P1389" s="306"/>
      <c r="Q1389" s="306"/>
      <c r="R1389" s="306"/>
      <c r="S1389" s="306" t="str">
        <f>IFERROR(VLOOKUP(B1389,'2022-2023 Third Reviews'!$C:$S,9,FALSE),"")</f>
        <v/>
      </c>
      <c r="T1389" s="306"/>
      <c r="U1389" s="306"/>
      <c r="V1389" s="224"/>
      <c r="W1389" s="224"/>
      <c r="X1389" s="224"/>
      <c r="Y1389" s="224"/>
      <c r="Z1389" s="224"/>
      <c r="AA1389" s="224"/>
      <c r="AB1389" s="224"/>
      <c r="AC1389" s="224"/>
    </row>
    <row r="1390" spans="1:29" ht="15.75" customHeight="1">
      <c r="A1390" s="541">
        <v>44797</v>
      </c>
      <c r="B1390" s="306" t="s">
        <v>7492</v>
      </c>
      <c r="C1390" s="542"/>
      <c r="D1390" s="306" t="s">
        <v>7495</v>
      </c>
      <c r="E1390" s="306" t="s">
        <v>4</v>
      </c>
      <c r="F1390" s="306" t="s">
        <v>488</v>
      </c>
      <c r="G1390" s="306"/>
      <c r="H1390" s="306"/>
      <c r="I1390" s="306" t="s">
        <v>1457</v>
      </c>
      <c r="J1390" s="306" t="s">
        <v>7497</v>
      </c>
      <c r="K1390" s="306">
        <v>2</v>
      </c>
      <c r="L1390" s="306" t="s">
        <v>784</v>
      </c>
      <c r="M1390" s="545">
        <v>1000000</v>
      </c>
      <c r="N1390" s="306" t="s">
        <v>452</v>
      </c>
      <c r="O1390" s="306" t="s">
        <v>7498</v>
      </c>
      <c r="P1390" s="306"/>
      <c r="Q1390" s="306"/>
      <c r="R1390" s="306"/>
      <c r="S1390" s="306" t="str">
        <f>IFERROR(VLOOKUP(B1390,'2022-2023 Third Reviews'!$C:$S,9,FALSE),"")</f>
        <v/>
      </c>
      <c r="T1390" s="306"/>
      <c r="U1390" s="306"/>
      <c r="V1390" s="219"/>
      <c r="W1390" s="219"/>
      <c r="X1390" s="219"/>
      <c r="Y1390" s="219"/>
      <c r="Z1390" s="219"/>
      <c r="AA1390" s="219"/>
      <c r="AB1390" s="219"/>
      <c r="AC1390" s="219"/>
    </row>
    <row r="1391" spans="1:29" ht="15.75" customHeight="1">
      <c r="A1391" s="541">
        <v>44797</v>
      </c>
      <c r="B1391" s="306" t="s">
        <v>6849</v>
      </c>
      <c r="C1391" s="542"/>
      <c r="D1391" s="306" t="s">
        <v>6852</v>
      </c>
      <c r="E1391" s="306" t="s">
        <v>4</v>
      </c>
      <c r="F1391" s="306" t="s">
        <v>488</v>
      </c>
      <c r="G1391" s="306"/>
      <c r="H1391" s="306"/>
      <c r="I1391" s="306" t="s">
        <v>1457</v>
      </c>
      <c r="J1391" s="306" t="s">
        <v>6854</v>
      </c>
      <c r="K1391" s="306">
        <v>1</v>
      </c>
      <c r="L1391" s="306"/>
      <c r="M1391" s="306"/>
      <c r="N1391" s="306" t="s">
        <v>452</v>
      </c>
      <c r="O1391" s="306" t="s">
        <v>452</v>
      </c>
      <c r="P1391" s="306" t="s">
        <v>725</v>
      </c>
      <c r="Q1391" s="306"/>
      <c r="R1391" s="306"/>
      <c r="S1391" s="306" t="str">
        <f>IFERROR(VLOOKUP(B1391,'2022-2023 Third Reviews'!$C:$S,9,FALSE),"")</f>
        <v/>
      </c>
      <c r="T1391" s="306"/>
      <c r="U1391" s="306"/>
      <c r="V1391" s="306"/>
      <c r="W1391" s="306"/>
      <c r="X1391" s="306"/>
      <c r="Y1391" s="306"/>
      <c r="Z1391" s="306"/>
      <c r="AA1391" s="306"/>
      <c r="AB1391" s="306"/>
      <c r="AC1391" s="306"/>
    </row>
    <row r="1392" spans="1:29" ht="15.75" customHeight="1">
      <c r="A1392" s="541">
        <v>44796</v>
      </c>
      <c r="B1392" s="306" t="s">
        <v>6044</v>
      </c>
      <c r="C1392" s="542"/>
      <c r="D1392" s="306" t="s">
        <v>10603</v>
      </c>
      <c r="E1392" s="306" t="s">
        <v>4</v>
      </c>
      <c r="F1392" s="306" t="s">
        <v>727</v>
      </c>
      <c r="G1392" s="306"/>
      <c r="H1392" s="306"/>
      <c r="I1392" s="306" t="s">
        <v>1457</v>
      </c>
      <c r="J1392" s="306" t="s">
        <v>6048</v>
      </c>
      <c r="K1392" s="306">
        <v>3</v>
      </c>
      <c r="L1392" s="306" t="s">
        <v>784</v>
      </c>
      <c r="M1392" s="545">
        <v>167000</v>
      </c>
      <c r="N1392" s="306" t="s">
        <v>452</v>
      </c>
      <c r="O1392" s="306" t="s">
        <v>6049</v>
      </c>
      <c r="P1392" s="306"/>
      <c r="Q1392" s="306"/>
      <c r="R1392" s="306"/>
      <c r="S1392" s="306" t="str">
        <f>IFERROR(VLOOKUP(B1392,'2022-2023 Third Reviews'!$C:$S,9,FALSE),"")</f>
        <v/>
      </c>
      <c r="T1392" s="306"/>
      <c r="U1392" s="306"/>
      <c r="V1392" s="306"/>
      <c r="W1392" s="306"/>
      <c r="X1392" s="306"/>
      <c r="Y1392" s="306"/>
      <c r="Z1392" s="306"/>
      <c r="AA1392" s="306"/>
      <c r="AB1392" s="306"/>
      <c r="AC1392" s="306"/>
    </row>
    <row r="1393" spans="1:29" ht="15.75" customHeight="1">
      <c r="A1393" s="541">
        <v>44797</v>
      </c>
      <c r="B1393" s="306" t="s">
        <v>244</v>
      </c>
      <c r="C1393" s="542"/>
      <c r="D1393" s="306" t="s">
        <v>4036</v>
      </c>
      <c r="E1393" s="306" t="s">
        <v>4</v>
      </c>
      <c r="F1393" s="306" t="s">
        <v>488</v>
      </c>
      <c r="G1393" s="306"/>
      <c r="H1393" s="306"/>
      <c r="I1393" s="306" t="s">
        <v>1457</v>
      </c>
      <c r="J1393" s="306" t="s">
        <v>4038</v>
      </c>
      <c r="K1393" s="306">
        <v>4</v>
      </c>
      <c r="L1393" s="306"/>
      <c r="M1393" s="306"/>
      <c r="N1393" s="306" t="s">
        <v>454</v>
      </c>
      <c r="O1393" s="306" t="s">
        <v>452</v>
      </c>
      <c r="P1393" s="306"/>
      <c r="Q1393" s="306"/>
      <c r="R1393" s="306"/>
      <c r="S1393" s="306" t="str">
        <f>IFERROR(VLOOKUP(B1393,'2022-2023 Third Reviews'!$C:$S,9,FALSE),"")</f>
        <v/>
      </c>
      <c r="T1393" s="306"/>
      <c r="U1393" s="306"/>
      <c r="V1393" s="224"/>
      <c r="W1393" s="224"/>
      <c r="X1393" s="224"/>
      <c r="Y1393" s="224"/>
      <c r="Z1393" s="224"/>
      <c r="AA1393" s="224"/>
      <c r="AB1393" s="224"/>
      <c r="AC1393" s="224"/>
    </row>
    <row r="1394" spans="1:29" ht="15.75" hidden="1" customHeight="1">
      <c r="A1394" s="541">
        <v>44796</v>
      </c>
      <c r="B1394" s="306" t="s">
        <v>3497</v>
      </c>
      <c r="C1394" s="542"/>
      <c r="D1394" s="306" t="s">
        <v>3500</v>
      </c>
      <c r="E1394" s="306" t="s">
        <v>3</v>
      </c>
      <c r="F1394" s="306" t="s">
        <v>488</v>
      </c>
      <c r="G1394" s="306"/>
      <c r="H1394" s="306"/>
      <c r="I1394" s="306" t="s">
        <v>941</v>
      </c>
      <c r="J1394" s="306"/>
      <c r="K1394" s="306"/>
      <c r="L1394" s="306"/>
      <c r="M1394" s="544"/>
      <c r="N1394" s="306" t="s">
        <v>452</v>
      </c>
      <c r="O1394" s="306" t="s">
        <v>3503</v>
      </c>
      <c r="P1394" s="306" t="s">
        <v>3504</v>
      </c>
      <c r="Q1394" s="306"/>
      <c r="R1394" s="543"/>
      <c r="S1394" s="543"/>
      <c r="T1394" s="543"/>
      <c r="U1394" s="543"/>
      <c r="V1394" s="306"/>
      <c r="W1394" s="306"/>
      <c r="X1394" s="306"/>
      <c r="Y1394" s="306"/>
      <c r="Z1394" s="306"/>
      <c r="AA1394" s="306"/>
      <c r="AB1394" s="306"/>
      <c r="AC1394" s="306"/>
    </row>
    <row r="1395" spans="1:29" ht="15.75" hidden="1" customHeight="1">
      <c r="A1395" s="255">
        <v>44796</v>
      </c>
      <c r="B1395" s="239" t="s">
        <v>3497</v>
      </c>
      <c r="C1395" s="262">
        <v>3</v>
      </c>
      <c r="D1395" s="239" t="s">
        <v>3500</v>
      </c>
      <c r="E1395" s="239" t="s">
        <v>5</v>
      </c>
      <c r="F1395" s="239" t="s">
        <v>488</v>
      </c>
      <c r="G1395" s="239" t="s">
        <v>3501</v>
      </c>
      <c r="H1395" s="239">
        <v>3</v>
      </c>
      <c r="I1395" s="239" t="s">
        <v>941</v>
      </c>
      <c r="J1395" s="239" t="s">
        <v>3502</v>
      </c>
      <c r="K1395" s="239">
        <v>3</v>
      </c>
      <c r="L1395" s="239"/>
      <c r="M1395" s="239"/>
      <c r="N1395" s="239" t="s">
        <v>452</v>
      </c>
      <c r="O1395" s="239" t="s">
        <v>3503</v>
      </c>
      <c r="P1395" s="239" t="s">
        <v>3504</v>
      </c>
      <c r="Q1395" s="239" t="s">
        <v>24</v>
      </c>
      <c r="R1395" s="256"/>
      <c r="S1395" s="256"/>
      <c r="T1395" s="256"/>
      <c r="U1395" s="256"/>
      <c r="V1395" s="239"/>
      <c r="W1395" s="239"/>
      <c r="X1395" s="239"/>
      <c r="Y1395" s="239"/>
      <c r="Z1395" s="239"/>
      <c r="AA1395" s="239"/>
      <c r="AB1395" s="239"/>
      <c r="AC1395" s="239"/>
    </row>
    <row r="1396" spans="1:29" ht="15.75" hidden="1" customHeight="1">
      <c r="A1396" s="255">
        <v>44782</v>
      </c>
      <c r="B1396" s="239" t="s">
        <v>155</v>
      </c>
      <c r="C1396" s="249">
        <v>3.25</v>
      </c>
      <c r="D1396" s="239" t="s">
        <v>10478</v>
      </c>
      <c r="E1396" s="250" t="s">
        <v>5</v>
      </c>
      <c r="F1396" s="239" t="s">
        <v>447</v>
      </c>
      <c r="G1396" s="239" t="s">
        <v>10479</v>
      </c>
      <c r="H1396" s="239">
        <v>3.5</v>
      </c>
      <c r="I1396" s="239" t="s">
        <v>543</v>
      </c>
      <c r="J1396" s="239" t="s">
        <v>10480</v>
      </c>
      <c r="K1396" s="239">
        <v>3</v>
      </c>
      <c r="L1396" s="239" t="s">
        <v>478</v>
      </c>
      <c r="M1396" s="239" t="s">
        <v>9403</v>
      </c>
      <c r="N1396" s="239" t="s">
        <v>452</v>
      </c>
      <c r="O1396" s="239" t="s">
        <v>452</v>
      </c>
      <c r="P1396" s="239"/>
      <c r="Q1396" s="239" t="s">
        <v>19</v>
      </c>
      <c r="R1396" s="256" t="s">
        <v>2260</v>
      </c>
      <c r="S1396" s="256"/>
      <c r="T1396" s="256"/>
      <c r="U1396" s="256"/>
      <c r="V1396" s="239"/>
      <c r="W1396" s="239"/>
      <c r="X1396" s="239"/>
      <c r="Y1396" s="239"/>
      <c r="Z1396" s="239"/>
      <c r="AA1396" s="239"/>
      <c r="AB1396" s="239"/>
      <c r="AC1396" s="239"/>
    </row>
    <row r="1397" spans="1:29" ht="15.75" hidden="1" customHeight="1">
      <c r="A1397" s="257">
        <v>44782</v>
      </c>
      <c r="B1397" s="258" t="s">
        <v>9285</v>
      </c>
      <c r="C1397" s="249">
        <v>2.5</v>
      </c>
      <c r="D1397" s="258" t="s">
        <v>9288</v>
      </c>
      <c r="E1397" s="250" t="s">
        <v>3</v>
      </c>
      <c r="F1397" s="258" t="s">
        <v>460</v>
      </c>
      <c r="G1397" s="258" t="s">
        <v>9289</v>
      </c>
      <c r="H1397" s="258">
        <v>2</v>
      </c>
      <c r="I1397" s="258" t="s">
        <v>941</v>
      </c>
      <c r="J1397" s="258"/>
      <c r="K1397" s="258">
        <v>3</v>
      </c>
      <c r="L1397" s="258" t="s">
        <v>784</v>
      </c>
      <c r="M1397" s="258">
        <v>1600000</v>
      </c>
      <c r="N1397" s="258" t="s">
        <v>452</v>
      </c>
      <c r="O1397" s="258" t="s">
        <v>11414</v>
      </c>
      <c r="P1397" s="258" t="s">
        <v>9291</v>
      </c>
      <c r="Q1397" s="258" t="s">
        <v>24</v>
      </c>
      <c r="R1397" s="259" t="s">
        <v>9292</v>
      </c>
      <c r="S1397" s="259"/>
      <c r="T1397" s="259"/>
      <c r="U1397" s="259"/>
      <c r="V1397" s="258"/>
      <c r="W1397" s="258"/>
      <c r="X1397" s="258"/>
      <c r="Y1397" s="258"/>
      <c r="Z1397" s="258"/>
      <c r="AA1397" s="258"/>
      <c r="AB1397" s="258"/>
      <c r="AC1397" s="258"/>
    </row>
    <row r="1398" spans="1:29" ht="15.75" hidden="1" customHeight="1">
      <c r="A1398" s="257">
        <v>44796</v>
      </c>
      <c r="B1398" s="258" t="s">
        <v>135</v>
      </c>
      <c r="C1398" s="263">
        <v>4.25</v>
      </c>
      <c r="D1398" s="258" t="s">
        <v>952</v>
      </c>
      <c r="E1398" s="258" t="s">
        <v>5</v>
      </c>
      <c r="F1398" s="258" t="s">
        <v>447</v>
      </c>
      <c r="G1398" s="258" t="s">
        <v>11704</v>
      </c>
      <c r="H1398" s="258">
        <v>4.5</v>
      </c>
      <c r="I1398" s="258" t="s">
        <v>622</v>
      </c>
      <c r="J1398" s="258" t="s">
        <v>11705</v>
      </c>
      <c r="K1398" s="258">
        <v>4</v>
      </c>
      <c r="L1398" s="258"/>
      <c r="M1398" s="258"/>
      <c r="N1398" s="258" t="s">
        <v>452</v>
      </c>
      <c r="O1398" s="258" t="s">
        <v>955</v>
      </c>
      <c r="P1398" s="258"/>
      <c r="Q1398" s="258" t="s">
        <v>18</v>
      </c>
      <c r="R1398" s="259" t="s">
        <v>11706</v>
      </c>
      <c r="S1398" s="259"/>
      <c r="T1398" s="259"/>
      <c r="U1398" s="259"/>
      <c r="V1398" s="258"/>
      <c r="W1398" s="258"/>
      <c r="X1398" s="258"/>
      <c r="Y1398" s="258"/>
      <c r="Z1398" s="258"/>
      <c r="AA1398" s="258"/>
      <c r="AB1398" s="258"/>
      <c r="AC1398" s="258"/>
    </row>
    <row r="1399" spans="1:29" ht="15.75" customHeight="1">
      <c r="A1399" s="541">
        <v>44797</v>
      </c>
      <c r="B1399" s="306" t="s">
        <v>247</v>
      </c>
      <c r="C1399" s="542"/>
      <c r="D1399" s="306" t="s">
        <v>4043</v>
      </c>
      <c r="E1399" s="306" t="s">
        <v>4</v>
      </c>
      <c r="F1399" s="306" t="s">
        <v>488</v>
      </c>
      <c r="G1399" s="306"/>
      <c r="H1399" s="306"/>
      <c r="I1399" s="306" t="s">
        <v>1457</v>
      </c>
      <c r="J1399" s="306" t="s">
        <v>4045</v>
      </c>
      <c r="K1399" s="306">
        <v>4</v>
      </c>
      <c r="L1399" s="306" t="s">
        <v>451</v>
      </c>
      <c r="M1399" s="545">
        <v>1500000</v>
      </c>
      <c r="N1399" s="306" t="s">
        <v>452</v>
      </c>
      <c r="O1399" s="306" t="s">
        <v>4046</v>
      </c>
      <c r="P1399" s="306" t="s">
        <v>4047</v>
      </c>
      <c r="Q1399" s="306"/>
      <c r="R1399" s="306"/>
      <c r="S1399" s="306" t="str">
        <f>IFERROR(VLOOKUP(B1399,'2022-2023 Third Reviews'!$C:$S,9,FALSE),"")</f>
        <v/>
      </c>
      <c r="T1399" s="306"/>
      <c r="U1399" s="306"/>
      <c r="V1399" s="306"/>
      <c r="W1399" s="306"/>
      <c r="X1399" s="306"/>
      <c r="Y1399" s="306"/>
      <c r="Z1399" s="306"/>
      <c r="AA1399" s="306"/>
      <c r="AB1399" s="306"/>
      <c r="AC1399" s="306"/>
    </row>
    <row r="1400" spans="1:29" ht="15.75" customHeight="1">
      <c r="A1400" s="541">
        <v>44797</v>
      </c>
      <c r="B1400" s="306" t="s">
        <v>6531</v>
      </c>
      <c r="C1400" s="542"/>
      <c r="D1400" s="306" t="s">
        <v>6534</v>
      </c>
      <c r="E1400" s="306" t="s">
        <v>4</v>
      </c>
      <c r="F1400" s="306" t="s">
        <v>488</v>
      </c>
      <c r="G1400" s="306"/>
      <c r="H1400" s="306"/>
      <c r="I1400" s="306" t="s">
        <v>1457</v>
      </c>
      <c r="J1400" s="306" t="s">
        <v>6536</v>
      </c>
      <c r="K1400" s="306">
        <v>2</v>
      </c>
      <c r="L1400" s="306" t="s">
        <v>478</v>
      </c>
      <c r="M1400" s="306" t="s">
        <v>6537</v>
      </c>
      <c r="N1400" s="306" t="s">
        <v>452</v>
      </c>
      <c r="O1400" s="306" t="s">
        <v>575</v>
      </c>
      <c r="P1400" s="306"/>
      <c r="Q1400" s="306"/>
      <c r="R1400" s="306"/>
      <c r="S1400" s="306" t="str">
        <f>IFERROR(VLOOKUP(B1400,'2022-2023 Third Reviews'!$C:$S,9,FALSE),"")</f>
        <v/>
      </c>
      <c r="T1400" s="306"/>
      <c r="U1400" s="306"/>
      <c r="V1400" s="252"/>
      <c r="W1400" s="252"/>
      <c r="X1400" s="252"/>
      <c r="Y1400" s="219"/>
      <c r="Z1400" s="219"/>
      <c r="AA1400" s="219"/>
      <c r="AB1400" s="219"/>
      <c r="AC1400" s="219"/>
    </row>
    <row r="1401" spans="1:29" ht="15.75" customHeight="1">
      <c r="A1401" s="541">
        <v>44796</v>
      </c>
      <c r="B1401" s="306" t="s">
        <v>7708</v>
      </c>
      <c r="C1401" s="542"/>
      <c r="D1401" s="306" t="s">
        <v>7711</v>
      </c>
      <c r="E1401" s="306" t="s">
        <v>4</v>
      </c>
      <c r="F1401" s="306" t="s">
        <v>725</v>
      </c>
      <c r="G1401" s="306"/>
      <c r="H1401" s="306"/>
      <c r="I1401" s="306" t="s">
        <v>476</v>
      </c>
      <c r="J1401" s="306" t="s">
        <v>11097</v>
      </c>
      <c r="K1401" s="306">
        <v>1.5</v>
      </c>
      <c r="L1401" s="306" t="s">
        <v>4416</v>
      </c>
      <c r="M1401" s="544">
        <v>1500000</v>
      </c>
      <c r="N1401" s="306" t="s">
        <v>452</v>
      </c>
      <c r="O1401" s="306" t="s">
        <v>7714</v>
      </c>
      <c r="P1401" s="306"/>
      <c r="Q1401" s="306"/>
      <c r="R1401" s="306"/>
      <c r="S1401" s="306" t="str">
        <f ca="1">IFERROR(VLOOKUP(B1401,'2022-2023 Third Reviews'!$C:$S,9,FALSE),"")</f>
        <v>Jason Yu
3</v>
      </c>
      <c r="T1401" s="306"/>
      <c r="U1401" s="306"/>
      <c r="V1401" s="224"/>
      <c r="W1401" s="224"/>
      <c r="X1401" s="224"/>
      <c r="Y1401" s="224"/>
      <c r="Z1401" s="224"/>
      <c r="AA1401" s="224"/>
      <c r="AB1401" s="224"/>
      <c r="AC1401" s="224"/>
    </row>
    <row r="1402" spans="1:29" ht="15.75" hidden="1" customHeight="1">
      <c r="A1402" s="255">
        <v>44796</v>
      </c>
      <c r="B1402" s="239" t="s">
        <v>138</v>
      </c>
      <c r="C1402" s="262">
        <v>4.5</v>
      </c>
      <c r="D1402" s="239" t="s">
        <v>961</v>
      </c>
      <c r="E1402" s="239" t="s">
        <v>5</v>
      </c>
      <c r="F1402" s="239" t="s">
        <v>725</v>
      </c>
      <c r="G1402" s="239" t="s">
        <v>11491</v>
      </c>
      <c r="H1402" s="239">
        <v>4.5</v>
      </c>
      <c r="I1402" s="239" t="s">
        <v>462</v>
      </c>
      <c r="J1402" s="239" t="s">
        <v>963</v>
      </c>
      <c r="K1402" s="239">
        <v>4.5</v>
      </c>
      <c r="L1402" s="239"/>
      <c r="M1402" s="239"/>
      <c r="N1402" s="239" t="s">
        <v>452</v>
      </c>
      <c r="O1402" s="239" t="s">
        <v>964</v>
      </c>
      <c r="P1402" s="239"/>
      <c r="Q1402" s="239" t="s">
        <v>18</v>
      </c>
      <c r="R1402" s="256" t="s">
        <v>965</v>
      </c>
      <c r="S1402" s="256"/>
      <c r="T1402" s="256"/>
      <c r="U1402" s="256"/>
      <c r="V1402" s="239"/>
      <c r="W1402" s="239"/>
      <c r="X1402" s="239"/>
      <c r="Y1402" s="239"/>
      <c r="Z1402" s="239"/>
      <c r="AA1402" s="239"/>
      <c r="AB1402" s="239"/>
      <c r="AC1402" s="239"/>
    </row>
    <row r="1403" spans="1:29" ht="15.75" customHeight="1">
      <c r="A1403" s="541">
        <v>44796</v>
      </c>
      <c r="B1403" s="306" t="s">
        <v>13230</v>
      </c>
      <c r="C1403" s="542"/>
      <c r="D1403" s="306" t="s">
        <v>1517</v>
      </c>
      <c r="E1403" s="306" t="s">
        <v>4</v>
      </c>
      <c r="F1403" s="306" t="s">
        <v>727</v>
      </c>
      <c r="G1403" s="306" t="s">
        <v>1518</v>
      </c>
      <c r="H1403" s="306">
        <v>4.5</v>
      </c>
      <c r="I1403" s="306" t="s">
        <v>13187</v>
      </c>
      <c r="J1403" s="306"/>
      <c r="K1403" s="306"/>
      <c r="L1403" s="306"/>
      <c r="M1403" s="544"/>
      <c r="N1403" s="306" t="s">
        <v>452</v>
      </c>
      <c r="O1403" s="306" t="s">
        <v>10649</v>
      </c>
      <c r="P1403" s="306"/>
      <c r="Q1403" s="306"/>
      <c r="R1403" s="306"/>
      <c r="S1403" s="306" t="str">
        <f>IFERROR(VLOOKUP(B1403,'2022-2023 Third Reviews'!$C:$S,9,FALSE),"")</f>
        <v/>
      </c>
      <c r="T1403" s="306"/>
      <c r="U1403" s="306"/>
      <c r="V1403" s="224"/>
      <c r="W1403" s="224"/>
      <c r="X1403" s="224"/>
      <c r="Y1403" s="224"/>
      <c r="Z1403" s="224"/>
      <c r="AA1403" s="224"/>
      <c r="AB1403" s="224"/>
      <c r="AC1403" s="224"/>
    </row>
    <row r="1404" spans="1:29" ht="15.75" hidden="1" customHeight="1">
      <c r="A1404" s="227">
        <v>44776</v>
      </c>
      <c r="B1404" s="228" t="s">
        <v>158</v>
      </c>
      <c r="C1404" s="240">
        <v>3</v>
      </c>
      <c r="D1404" s="228" t="s">
        <v>3509</v>
      </c>
      <c r="E1404" s="244" t="s">
        <v>5</v>
      </c>
      <c r="F1404" s="228" t="s">
        <v>447</v>
      </c>
      <c r="G1404" s="228" t="s">
        <v>11394</v>
      </c>
      <c r="H1404" s="228">
        <v>3.5</v>
      </c>
      <c r="I1404" s="228" t="s">
        <v>476</v>
      </c>
      <c r="J1404" s="228" t="s">
        <v>13400</v>
      </c>
      <c r="K1404" s="228">
        <v>2.5</v>
      </c>
      <c r="L1404" s="228"/>
      <c r="M1404" s="228"/>
      <c r="N1404" s="228" t="s">
        <v>452</v>
      </c>
      <c r="O1404" s="228" t="s">
        <v>3512</v>
      </c>
      <c r="P1404" s="230"/>
      <c r="Q1404" s="228" t="s">
        <v>20</v>
      </c>
      <c r="R1404" s="231" t="s">
        <v>3513</v>
      </c>
      <c r="S1404" s="231"/>
      <c r="T1404" s="231"/>
      <c r="U1404" s="231"/>
      <c r="V1404" s="228"/>
      <c r="W1404" s="228"/>
      <c r="X1404" s="228"/>
      <c r="Y1404" s="219"/>
      <c r="Z1404" s="219"/>
      <c r="AA1404" s="219"/>
      <c r="AB1404" s="219"/>
      <c r="AC1404" s="219"/>
    </row>
    <row r="1405" spans="1:29" ht="15.75" customHeight="1">
      <c r="A1405" s="541">
        <v>44797</v>
      </c>
      <c r="B1405" s="306" t="s">
        <v>13230</v>
      </c>
      <c r="C1405" s="542"/>
      <c r="D1405" s="306" t="s">
        <v>1517</v>
      </c>
      <c r="E1405" s="306" t="s">
        <v>4</v>
      </c>
      <c r="F1405" s="306" t="s">
        <v>727</v>
      </c>
      <c r="G1405" s="306" t="s">
        <v>1518</v>
      </c>
      <c r="H1405" s="306">
        <v>4.5</v>
      </c>
      <c r="I1405" s="306" t="s">
        <v>543</v>
      </c>
      <c r="J1405" s="306"/>
      <c r="K1405" s="306"/>
      <c r="L1405" s="306"/>
      <c r="M1405" s="306"/>
      <c r="N1405" s="306" t="s">
        <v>452</v>
      </c>
      <c r="O1405" s="306" t="s">
        <v>10649</v>
      </c>
      <c r="P1405" s="306"/>
      <c r="Q1405" s="306"/>
      <c r="R1405" s="306"/>
      <c r="S1405" s="306" t="str">
        <f>IFERROR(VLOOKUP(B1405,'2022-2023 Third Reviews'!$C:$S,9,FALSE),"")</f>
        <v/>
      </c>
      <c r="T1405" s="306"/>
      <c r="U1405" s="306"/>
      <c r="V1405" s="252"/>
      <c r="W1405" s="252"/>
      <c r="X1405" s="252"/>
      <c r="Y1405" s="224"/>
      <c r="Z1405" s="224"/>
      <c r="AA1405" s="224"/>
      <c r="AB1405" s="224"/>
      <c r="AC1405" s="224"/>
    </row>
    <row r="1406" spans="1:29" ht="15.75" customHeight="1">
      <c r="A1406" s="541">
        <v>44796</v>
      </c>
      <c r="B1406" s="306" t="s">
        <v>248</v>
      </c>
      <c r="C1406" s="542"/>
      <c r="D1406" s="306" t="s">
        <v>4052</v>
      </c>
      <c r="E1406" s="306" t="s">
        <v>4</v>
      </c>
      <c r="F1406" s="306" t="s">
        <v>725</v>
      </c>
      <c r="G1406" s="306"/>
      <c r="H1406" s="306"/>
      <c r="I1406" s="306" t="s">
        <v>4054</v>
      </c>
      <c r="J1406" s="306" t="s">
        <v>4055</v>
      </c>
      <c r="K1406" s="306">
        <v>4</v>
      </c>
      <c r="L1406" s="306" t="s">
        <v>4056</v>
      </c>
      <c r="M1406" s="306" t="s">
        <v>4057</v>
      </c>
      <c r="N1406" s="306" t="s">
        <v>465</v>
      </c>
      <c r="O1406" s="306" t="s">
        <v>4058</v>
      </c>
      <c r="P1406" s="306"/>
      <c r="Q1406" s="306"/>
      <c r="R1406" s="306"/>
      <c r="S1406" s="306" t="str">
        <f>IFERROR(VLOOKUP(B1406,'2022-2023 Third Reviews'!$C:$S,9,FALSE),"")</f>
        <v/>
      </c>
      <c r="T1406" s="306"/>
      <c r="U1406" s="306"/>
      <c r="V1406" s="219"/>
      <c r="W1406" s="219"/>
      <c r="X1406" s="219"/>
      <c r="Y1406" s="219"/>
      <c r="Z1406" s="219"/>
      <c r="AA1406" s="219"/>
      <c r="AB1406" s="219"/>
      <c r="AC1406" s="219"/>
    </row>
    <row r="1407" spans="1:29" ht="15.75" customHeight="1">
      <c r="A1407" s="541">
        <v>44796</v>
      </c>
      <c r="B1407" s="306" t="s">
        <v>6858</v>
      </c>
      <c r="C1407" s="542"/>
      <c r="D1407" s="306" t="s">
        <v>6861</v>
      </c>
      <c r="E1407" s="306" t="s">
        <v>4</v>
      </c>
      <c r="F1407" s="306" t="s">
        <v>725</v>
      </c>
      <c r="G1407" s="306"/>
      <c r="H1407" s="306"/>
      <c r="I1407" s="306" t="s">
        <v>4054</v>
      </c>
      <c r="J1407" s="306"/>
      <c r="K1407" s="306">
        <v>2</v>
      </c>
      <c r="L1407" s="306"/>
      <c r="M1407" s="306"/>
      <c r="N1407" s="306" t="s">
        <v>452</v>
      </c>
      <c r="O1407" s="306" t="s">
        <v>452</v>
      </c>
      <c r="P1407" s="306"/>
      <c r="Q1407" s="306"/>
      <c r="R1407" s="306"/>
      <c r="S1407" s="306" t="str">
        <f>IFERROR(VLOOKUP(B1407,'2022-2023 Third Reviews'!$C:$S,9,FALSE),"")</f>
        <v/>
      </c>
      <c r="T1407" s="306"/>
      <c r="U1407" s="306"/>
      <c r="V1407" s="224"/>
      <c r="W1407" s="224"/>
      <c r="X1407" s="224"/>
      <c r="Y1407" s="224"/>
      <c r="Z1407" s="224"/>
      <c r="AA1407" s="224"/>
      <c r="AB1407" s="224"/>
      <c r="AC1407" s="224"/>
    </row>
    <row r="1408" spans="1:29" ht="15.75" customHeight="1">
      <c r="A1408" s="541">
        <v>44797</v>
      </c>
      <c r="B1408" s="306" t="s">
        <v>6865</v>
      </c>
      <c r="C1408" s="542"/>
      <c r="D1408" s="306" t="s">
        <v>6868</v>
      </c>
      <c r="E1408" s="306" t="s">
        <v>4</v>
      </c>
      <c r="F1408" s="306" t="s">
        <v>1045</v>
      </c>
      <c r="G1408" s="306" t="s">
        <v>6869</v>
      </c>
      <c r="H1408" s="306">
        <v>2</v>
      </c>
      <c r="I1408" s="306" t="s">
        <v>1350</v>
      </c>
      <c r="J1408" s="306"/>
      <c r="K1408" s="306"/>
      <c r="L1408" s="306" t="s">
        <v>784</v>
      </c>
      <c r="M1408" s="306">
        <v>180000</v>
      </c>
      <c r="N1408" s="306" t="s">
        <v>452</v>
      </c>
      <c r="O1408" s="306" t="s">
        <v>6871</v>
      </c>
      <c r="P1408" s="306"/>
      <c r="Q1408" s="306"/>
      <c r="R1408" s="306"/>
      <c r="S1408" s="306" t="str">
        <f ca="1">IFERROR(VLOOKUP(B1408,'2022-2023 Third Reviews'!$C:$S,9,FALSE),"")</f>
        <v>Chris Millisits
4</v>
      </c>
      <c r="T1408" s="306"/>
      <c r="U1408" s="306"/>
      <c r="V1408" s="219"/>
      <c r="W1408" s="219"/>
      <c r="X1408" s="219"/>
      <c r="Y1408" s="219"/>
      <c r="Z1408" s="219"/>
      <c r="AA1408" s="219"/>
      <c r="AB1408" s="219"/>
      <c r="AC1408" s="219"/>
    </row>
    <row r="1409" spans="1:29" ht="15.75" hidden="1" customHeight="1">
      <c r="A1409" s="253">
        <v>44796</v>
      </c>
      <c r="B1409" s="224" t="s">
        <v>407</v>
      </c>
      <c r="C1409" s="316">
        <v>4</v>
      </c>
      <c r="D1409" s="224" t="s">
        <v>9970</v>
      </c>
      <c r="E1409" s="224" t="s">
        <v>3</v>
      </c>
      <c r="F1409" s="224" t="s">
        <v>725</v>
      </c>
      <c r="G1409" s="224" t="s">
        <v>9971</v>
      </c>
      <c r="H1409" s="224">
        <v>4</v>
      </c>
      <c r="I1409" s="224" t="s">
        <v>941</v>
      </c>
      <c r="J1409" s="224" t="s">
        <v>9972</v>
      </c>
      <c r="K1409" s="224">
        <v>4</v>
      </c>
      <c r="L1409" s="224" t="s">
        <v>478</v>
      </c>
      <c r="M1409" s="327">
        <v>20000000</v>
      </c>
      <c r="N1409" s="224" t="s">
        <v>465</v>
      </c>
      <c r="O1409" s="224" t="s">
        <v>6922</v>
      </c>
      <c r="P1409" s="224"/>
      <c r="Q1409" s="224" t="s">
        <v>18</v>
      </c>
      <c r="R1409" s="254"/>
      <c r="S1409" s="254"/>
      <c r="T1409" s="254"/>
      <c r="U1409" s="254"/>
      <c r="V1409" s="224"/>
      <c r="W1409" s="224"/>
      <c r="X1409" s="224"/>
      <c r="Y1409" s="224"/>
      <c r="Z1409" s="224"/>
      <c r="AA1409" s="224"/>
      <c r="AB1409" s="224"/>
      <c r="AC1409" s="224"/>
    </row>
    <row r="1410" spans="1:29" ht="15.75" customHeight="1">
      <c r="A1410" s="541">
        <v>44796</v>
      </c>
      <c r="B1410" s="306" t="s">
        <v>4509</v>
      </c>
      <c r="C1410" s="542"/>
      <c r="D1410" s="306" t="s">
        <v>4512</v>
      </c>
      <c r="E1410" s="306" t="s">
        <v>4</v>
      </c>
      <c r="F1410" s="306" t="s">
        <v>727</v>
      </c>
      <c r="G1410" s="306" t="s">
        <v>4513</v>
      </c>
      <c r="H1410" s="306">
        <v>3.75</v>
      </c>
      <c r="I1410" s="306" t="s">
        <v>13187</v>
      </c>
      <c r="J1410" s="306"/>
      <c r="K1410" s="306"/>
      <c r="L1410" s="306"/>
      <c r="M1410" s="306"/>
      <c r="N1410" s="306" t="s">
        <v>452</v>
      </c>
      <c r="O1410" s="306" t="s">
        <v>4515</v>
      </c>
      <c r="P1410" s="306"/>
      <c r="Q1410" s="306"/>
      <c r="R1410" s="306"/>
      <c r="S1410" s="306" t="str">
        <f>IFERROR(VLOOKUP(B1410,'2022-2023 Third Reviews'!$C:$S,9,FALSE),"")</f>
        <v/>
      </c>
      <c r="T1410" s="306"/>
      <c r="U1410" s="306"/>
      <c r="V1410" s="219"/>
      <c r="W1410" s="219"/>
      <c r="X1410" s="219"/>
      <c r="Y1410" s="219"/>
      <c r="Z1410" s="219"/>
      <c r="AA1410" s="219"/>
      <c r="AB1410" s="219"/>
      <c r="AC1410" s="219"/>
    </row>
    <row r="1411" spans="1:29" ht="15.75" hidden="1" customHeight="1">
      <c r="A1411" s="220">
        <v>44776</v>
      </c>
      <c r="B1411" s="221" t="s">
        <v>363</v>
      </c>
      <c r="C1411" s="214">
        <v>4.5</v>
      </c>
      <c r="D1411" s="221" t="s">
        <v>2056</v>
      </c>
      <c r="E1411" s="215" t="s">
        <v>3</v>
      </c>
      <c r="F1411" s="221" t="s">
        <v>460</v>
      </c>
      <c r="G1411" s="221" t="s">
        <v>2057</v>
      </c>
      <c r="H1411" s="221">
        <v>4</v>
      </c>
      <c r="I1411" s="221" t="s">
        <v>941</v>
      </c>
      <c r="J1411" s="221"/>
      <c r="K1411" s="221">
        <v>5</v>
      </c>
      <c r="L1411" s="221" t="s">
        <v>784</v>
      </c>
      <c r="M1411" s="221" t="s">
        <v>11510</v>
      </c>
      <c r="N1411" s="221" t="s">
        <v>452</v>
      </c>
      <c r="O1411" s="221" t="s">
        <v>452</v>
      </c>
      <c r="P1411" s="145" t="s">
        <v>2059</v>
      </c>
      <c r="Q1411" s="221" t="str">
        <f t="array" ref="Q1411">INDEX(Notes!B:B,MATCH($B1411,Notes!$A:$A,0))</f>
        <v>Invite</v>
      </c>
      <c r="R1411" s="223">
        <f t="array" ref="R1411">INDEX(Notes!C:C,MATCH($B1411,Notes!$A:$A,0))</f>
        <v>0</v>
      </c>
      <c r="S1411" s="223"/>
      <c r="T1411" s="223"/>
      <c r="U1411" s="223"/>
      <c r="V1411" s="218"/>
      <c r="W1411" s="218"/>
      <c r="X1411" s="218"/>
      <c r="Y1411" s="224"/>
      <c r="Z1411" s="224"/>
      <c r="AA1411" s="224"/>
      <c r="AB1411" s="224"/>
      <c r="AC1411" s="224"/>
    </row>
    <row r="1412" spans="1:29" ht="15.75" customHeight="1">
      <c r="A1412" s="541">
        <v>44797</v>
      </c>
      <c r="B1412" s="306" t="s">
        <v>4509</v>
      </c>
      <c r="C1412" s="542"/>
      <c r="D1412" s="306" t="s">
        <v>4512</v>
      </c>
      <c r="E1412" s="306" t="s">
        <v>4</v>
      </c>
      <c r="F1412" s="306" t="s">
        <v>727</v>
      </c>
      <c r="G1412" s="306" t="s">
        <v>4513</v>
      </c>
      <c r="H1412" s="306">
        <v>3.75</v>
      </c>
      <c r="I1412" s="306" t="s">
        <v>543</v>
      </c>
      <c r="J1412" s="306"/>
      <c r="K1412" s="306"/>
      <c r="L1412" s="306"/>
      <c r="M1412" s="306"/>
      <c r="N1412" s="306" t="s">
        <v>452</v>
      </c>
      <c r="O1412" s="306" t="s">
        <v>4515</v>
      </c>
      <c r="P1412" s="306"/>
      <c r="Q1412" s="306"/>
      <c r="R1412" s="306"/>
      <c r="S1412" s="306" t="str">
        <f>IFERROR(VLOOKUP(B1412,'2022-2023 Third Reviews'!$C:$S,9,FALSE),"")</f>
        <v/>
      </c>
      <c r="T1412" s="306"/>
      <c r="U1412" s="306"/>
      <c r="V1412" s="252"/>
      <c r="W1412" s="252"/>
      <c r="X1412" s="252"/>
      <c r="Y1412" s="219"/>
      <c r="Z1412" s="219"/>
      <c r="AA1412" s="219"/>
      <c r="AB1412" s="219"/>
      <c r="AC1412" s="219"/>
    </row>
    <row r="1413" spans="1:29" ht="15.75" hidden="1" customHeight="1">
      <c r="A1413" s="253">
        <v>44789</v>
      </c>
      <c r="B1413" s="224" t="s">
        <v>3516</v>
      </c>
      <c r="C1413" s="316">
        <v>2.75</v>
      </c>
      <c r="D1413" s="224" t="s">
        <v>3519</v>
      </c>
      <c r="E1413" s="224" t="s">
        <v>5</v>
      </c>
      <c r="F1413" s="224" t="s">
        <v>447</v>
      </c>
      <c r="G1413" s="224" t="s">
        <v>10350</v>
      </c>
      <c r="H1413" s="224">
        <v>2.5</v>
      </c>
      <c r="I1413" s="224" t="s">
        <v>622</v>
      </c>
      <c r="J1413" s="224"/>
      <c r="K1413" s="224">
        <v>3</v>
      </c>
      <c r="L1413" s="224" t="s">
        <v>451</v>
      </c>
      <c r="M1413" s="307">
        <v>500000</v>
      </c>
      <c r="N1413" s="224" t="s">
        <v>452</v>
      </c>
      <c r="O1413" s="224" t="s">
        <v>3521</v>
      </c>
      <c r="P1413" s="224"/>
      <c r="Q1413" s="224" t="s">
        <v>24</v>
      </c>
      <c r="R1413" s="254"/>
      <c r="S1413" s="254"/>
      <c r="T1413" s="254"/>
      <c r="U1413" s="254"/>
      <c r="V1413" s="224"/>
      <c r="W1413" s="224"/>
      <c r="X1413" s="224"/>
      <c r="Y1413" s="224"/>
      <c r="Z1413" s="224"/>
      <c r="AA1413" s="224"/>
      <c r="AB1413" s="224"/>
      <c r="AC1413" s="224"/>
    </row>
    <row r="1414" spans="1:29" ht="15.75" hidden="1" customHeight="1">
      <c r="A1414" s="267">
        <v>44784</v>
      </c>
      <c r="B1414" s="268" t="s">
        <v>3524</v>
      </c>
      <c r="C1414" s="269">
        <v>2.75</v>
      </c>
      <c r="D1414" s="268" t="s">
        <v>3527</v>
      </c>
      <c r="E1414" s="270" t="s">
        <v>5</v>
      </c>
      <c r="F1414" s="268" t="s">
        <v>447</v>
      </c>
      <c r="G1414" s="268" t="s">
        <v>10702</v>
      </c>
      <c r="H1414" s="268">
        <v>2.5</v>
      </c>
      <c r="I1414" s="268" t="s">
        <v>449</v>
      </c>
      <c r="J1414" s="268" t="s">
        <v>11591</v>
      </c>
      <c r="K1414" s="268">
        <v>3</v>
      </c>
      <c r="L1414" s="268"/>
      <c r="M1414" s="268"/>
      <c r="N1414" s="268" t="s">
        <v>452</v>
      </c>
      <c r="O1414" s="268" t="s">
        <v>452</v>
      </c>
      <c r="P1414" s="268"/>
      <c r="Q1414" s="268" t="s">
        <v>24</v>
      </c>
      <c r="R1414" s="271"/>
      <c r="S1414" s="271"/>
      <c r="T1414" s="271"/>
      <c r="U1414" s="271"/>
      <c r="V1414" s="268"/>
      <c r="W1414" s="268"/>
      <c r="X1414" s="268"/>
      <c r="Y1414" s="268"/>
      <c r="Z1414" s="268"/>
      <c r="AA1414" s="219"/>
      <c r="AB1414" s="219"/>
      <c r="AC1414" s="219"/>
    </row>
    <row r="1415" spans="1:29" ht="15.75" hidden="1" customHeight="1">
      <c r="A1415" s="253">
        <v>44796</v>
      </c>
      <c r="B1415" s="224" t="s">
        <v>11092</v>
      </c>
      <c r="C1415" s="316">
        <v>2.5</v>
      </c>
      <c r="D1415" s="224" t="s">
        <v>11093</v>
      </c>
      <c r="E1415" s="224" t="s">
        <v>5</v>
      </c>
      <c r="F1415" s="224" t="s">
        <v>447</v>
      </c>
      <c r="G1415" s="224" t="s">
        <v>11094</v>
      </c>
      <c r="H1415" s="224">
        <v>2.5</v>
      </c>
      <c r="I1415" s="224" t="s">
        <v>449</v>
      </c>
      <c r="J1415" s="224" t="s">
        <v>11095</v>
      </c>
      <c r="K1415" s="224">
        <v>2.5</v>
      </c>
      <c r="L1415" s="224"/>
      <c r="M1415" s="224"/>
      <c r="N1415" s="224" t="s">
        <v>454</v>
      </c>
      <c r="O1415" s="224" t="s">
        <v>1119</v>
      </c>
      <c r="P1415" s="224" t="s">
        <v>3538</v>
      </c>
      <c r="Q1415" s="224" t="s">
        <v>24</v>
      </c>
      <c r="R1415" s="254"/>
      <c r="S1415" s="254"/>
      <c r="T1415" s="254"/>
      <c r="U1415" s="254"/>
      <c r="V1415" s="224"/>
      <c r="W1415" s="224"/>
      <c r="X1415" s="224"/>
      <c r="Y1415" s="224"/>
      <c r="Z1415" s="224"/>
      <c r="AA1415" s="224"/>
      <c r="AB1415" s="224"/>
      <c r="AC1415" s="224"/>
    </row>
    <row r="1416" spans="1:29" ht="15.75" hidden="1" customHeight="1">
      <c r="A1416" s="248">
        <v>44791</v>
      </c>
      <c r="B1416" s="219" t="s">
        <v>3541</v>
      </c>
      <c r="C1416" s="315">
        <v>3</v>
      </c>
      <c r="D1416" s="219" t="s">
        <v>3544</v>
      </c>
      <c r="E1416" s="219" t="s">
        <v>5</v>
      </c>
      <c r="F1416" s="219" t="s">
        <v>447</v>
      </c>
      <c r="G1416" s="219" t="s">
        <v>11362</v>
      </c>
      <c r="H1416" s="219">
        <v>3</v>
      </c>
      <c r="I1416" s="219" t="s">
        <v>622</v>
      </c>
      <c r="J1416" s="219" t="s">
        <v>3546</v>
      </c>
      <c r="K1416" s="219">
        <v>3</v>
      </c>
      <c r="L1416" s="219" t="s">
        <v>451</v>
      </c>
      <c r="M1416" s="310" t="s">
        <v>3547</v>
      </c>
      <c r="N1416" s="219" t="s">
        <v>454</v>
      </c>
      <c r="O1416" s="219" t="s">
        <v>11363</v>
      </c>
      <c r="P1416" s="219"/>
      <c r="Q1416" s="322" t="s">
        <v>24</v>
      </c>
      <c r="R1416" s="251"/>
      <c r="S1416" s="251"/>
      <c r="T1416" s="251"/>
      <c r="U1416" s="251"/>
      <c r="V1416" s="219"/>
      <c r="W1416" s="219"/>
      <c r="X1416" s="219"/>
      <c r="Y1416" s="219"/>
      <c r="Z1416" s="219"/>
      <c r="AA1416" s="219"/>
      <c r="AB1416" s="219"/>
      <c r="AC1416" s="219"/>
    </row>
    <row r="1417" spans="1:29" ht="15.75" customHeight="1">
      <c r="A1417" s="541">
        <v>44797</v>
      </c>
      <c r="B1417" s="306" t="s">
        <v>253</v>
      </c>
      <c r="C1417" s="542"/>
      <c r="D1417" s="306" t="s">
        <v>10413</v>
      </c>
      <c r="E1417" s="306" t="s">
        <v>4</v>
      </c>
      <c r="F1417" s="306" t="s">
        <v>727</v>
      </c>
      <c r="G1417" s="306" t="s">
        <v>10414</v>
      </c>
      <c r="H1417" s="306">
        <v>4</v>
      </c>
      <c r="I1417" s="306" t="s">
        <v>449</v>
      </c>
      <c r="J1417" s="306"/>
      <c r="K1417" s="306"/>
      <c r="L1417" s="306" t="s">
        <v>478</v>
      </c>
      <c r="M1417" s="306" t="s">
        <v>4076</v>
      </c>
      <c r="N1417" s="306" t="s">
        <v>452</v>
      </c>
      <c r="O1417" s="306" t="s">
        <v>4077</v>
      </c>
      <c r="P1417" s="306"/>
      <c r="Q1417" s="306"/>
      <c r="R1417" s="306"/>
      <c r="S1417" s="306" t="str">
        <f>IFERROR(VLOOKUP(B1417,'2022-2023 Third Reviews'!$C:$S,9,FALSE),"")</f>
        <v/>
      </c>
      <c r="T1417" s="306"/>
      <c r="U1417" s="306"/>
      <c r="V1417" s="224"/>
      <c r="W1417" s="224"/>
      <c r="X1417" s="224"/>
      <c r="Y1417" s="224"/>
      <c r="Z1417" s="224"/>
      <c r="AA1417" s="224"/>
      <c r="AB1417" s="224"/>
      <c r="AC1417" s="224"/>
    </row>
    <row r="1418" spans="1:29" ht="15.75" hidden="1" customHeight="1">
      <c r="A1418" s="541">
        <v>44791</v>
      </c>
      <c r="B1418" s="306" t="s">
        <v>159</v>
      </c>
      <c r="C1418" s="542"/>
      <c r="D1418" s="306" t="s">
        <v>3552</v>
      </c>
      <c r="E1418" s="306" t="s">
        <v>3</v>
      </c>
      <c r="F1418" s="306" t="s">
        <v>460</v>
      </c>
      <c r="G1418" s="306"/>
      <c r="H1418" s="306"/>
      <c r="I1418" s="306" t="s">
        <v>462</v>
      </c>
      <c r="J1418" s="306" t="s">
        <v>10948</v>
      </c>
      <c r="K1418" s="306">
        <v>4.5</v>
      </c>
      <c r="L1418" s="306" t="s">
        <v>923</v>
      </c>
      <c r="M1418" s="306" t="s">
        <v>3555</v>
      </c>
      <c r="N1418" s="306" t="s">
        <v>454</v>
      </c>
      <c r="O1418" s="306" t="s">
        <v>10949</v>
      </c>
      <c r="P1418" s="306"/>
      <c r="Q1418" s="306"/>
      <c r="R1418" s="543"/>
      <c r="S1418" s="543"/>
      <c r="T1418" s="543"/>
      <c r="U1418" s="543"/>
      <c r="V1418" s="306"/>
      <c r="W1418" s="306"/>
      <c r="X1418" s="306"/>
      <c r="Y1418" s="306"/>
      <c r="Z1418" s="306"/>
      <c r="AA1418" s="306"/>
      <c r="AB1418" s="306"/>
      <c r="AC1418" s="306"/>
    </row>
    <row r="1419" spans="1:29" ht="15.75" hidden="1" customHeight="1">
      <c r="A1419" s="264">
        <v>44791</v>
      </c>
      <c r="B1419" s="265" t="s">
        <v>159</v>
      </c>
      <c r="C1419" s="317">
        <v>4.25</v>
      </c>
      <c r="D1419" s="265" t="s">
        <v>3552</v>
      </c>
      <c r="E1419" s="265" t="s">
        <v>5</v>
      </c>
      <c r="F1419" s="265" t="s">
        <v>460</v>
      </c>
      <c r="G1419" s="265" t="s">
        <v>3553</v>
      </c>
      <c r="H1419" s="265">
        <v>4</v>
      </c>
      <c r="I1419" s="265" t="s">
        <v>462</v>
      </c>
      <c r="J1419" s="265" t="s">
        <v>10948</v>
      </c>
      <c r="K1419" s="265">
        <v>4.5</v>
      </c>
      <c r="L1419" s="265" t="s">
        <v>923</v>
      </c>
      <c r="M1419" s="318" t="s">
        <v>3555</v>
      </c>
      <c r="N1419" s="265" t="s">
        <v>454</v>
      </c>
      <c r="O1419" s="265" t="s">
        <v>10949</v>
      </c>
      <c r="P1419" s="265"/>
      <c r="Q1419" s="265" t="s">
        <v>19</v>
      </c>
      <c r="R1419" s="266" t="s">
        <v>3557</v>
      </c>
      <c r="S1419" s="266"/>
      <c r="T1419" s="266"/>
      <c r="U1419" s="266"/>
      <c r="V1419" s="265"/>
      <c r="W1419" s="265"/>
      <c r="X1419" s="265"/>
      <c r="Y1419" s="265"/>
      <c r="Z1419" s="265"/>
      <c r="AA1419" s="265"/>
      <c r="AB1419" s="265"/>
      <c r="AC1419" s="265"/>
    </row>
    <row r="1420" spans="1:29" ht="15.75" hidden="1" customHeight="1">
      <c r="A1420" s="255">
        <v>44796</v>
      </c>
      <c r="B1420" s="239" t="s">
        <v>3560</v>
      </c>
      <c r="C1420" s="262">
        <v>3.25</v>
      </c>
      <c r="D1420" s="239" t="s">
        <v>3563</v>
      </c>
      <c r="E1420" s="239" t="s">
        <v>5</v>
      </c>
      <c r="F1420" s="239" t="s">
        <v>488</v>
      </c>
      <c r="G1420" s="239"/>
      <c r="H1420" s="239">
        <v>3</v>
      </c>
      <c r="I1420" s="239" t="s">
        <v>941</v>
      </c>
      <c r="J1420" s="239" t="s">
        <v>3564</v>
      </c>
      <c r="K1420" s="239">
        <v>3.5</v>
      </c>
      <c r="L1420" s="239" t="s">
        <v>451</v>
      </c>
      <c r="M1420" s="239">
        <v>22000000</v>
      </c>
      <c r="N1420" s="239" t="s">
        <v>452</v>
      </c>
      <c r="O1420" s="239" t="s">
        <v>3565</v>
      </c>
      <c r="P1420" s="239"/>
      <c r="Q1420" s="239" t="s">
        <v>24</v>
      </c>
      <c r="R1420" s="256" t="s">
        <v>2341</v>
      </c>
      <c r="S1420" s="256"/>
      <c r="T1420" s="256"/>
      <c r="U1420" s="256"/>
      <c r="V1420" s="239"/>
      <c r="W1420" s="239"/>
      <c r="X1420" s="239"/>
      <c r="Y1420" s="239"/>
      <c r="Z1420" s="239"/>
      <c r="AA1420" s="239"/>
      <c r="AB1420" s="239"/>
      <c r="AC1420" s="239"/>
    </row>
    <row r="1421" spans="1:29" ht="15.75" hidden="1" customHeight="1">
      <c r="A1421" s="253">
        <v>44791</v>
      </c>
      <c r="B1421" s="224" t="s">
        <v>3568</v>
      </c>
      <c r="C1421" s="316">
        <v>2.75</v>
      </c>
      <c r="D1421" s="224" t="s">
        <v>3571</v>
      </c>
      <c r="E1421" s="224" t="s">
        <v>5</v>
      </c>
      <c r="F1421" s="224" t="s">
        <v>447</v>
      </c>
      <c r="G1421" s="224" t="s">
        <v>11335</v>
      </c>
      <c r="H1421" s="224">
        <v>3</v>
      </c>
      <c r="I1421" s="224" t="s">
        <v>622</v>
      </c>
      <c r="J1421" s="224" t="s">
        <v>11336</v>
      </c>
      <c r="K1421" s="224">
        <v>2.5</v>
      </c>
      <c r="L1421" s="224" t="s">
        <v>784</v>
      </c>
      <c r="M1421" s="224" t="s">
        <v>3574</v>
      </c>
      <c r="N1421" s="224" t="s">
        <v>465</v>
      </c>
      <c r="O1421" s="224" t="s">
        <v>11337</v>
      </c>
      <c r="P1421" s="224"/>
      <c r="Q1421" s="322" t="s">
        <v>24</v>
      </c>
      <c r="R1421" s="254"/>
      <c r="S1421" s="254"/>
      <c r="T1421" s="254"/>
      <c r="U1421" s="254"/>
      <c r="V1421" s="224"/>
      <c r="W1421" s="224"/>
      <c r="X1421" s="224"/>
      <c r="Y1421" s="224"/>
      <c r="Z1421" s="224"/>
      <c r="AA1421" s="224"/>
      <c r="AB1421" s="224"/>
      <c r="AC1421" s="224"/>
    </row>
    <row r="1422" spans="1:29" ht="15.75" hidden="1" customHeight="1">
      <c r="A1422" s="233">
        <v>44776</v>
      </c>
      <c r="B1422" s="234" t="s">
        <v>389</v>
      </c>
      <c r="C1422" s="235">
        <v>4</v>
      </c>
      <c r="D1422" s="234" t="s">
        <v>10082</v>
      </c>
      <c r="E1422" s="234" t="s">
        <v>5</v>
      </c>
      <c r="F1422" s="234" t="s">
        <v>460</v>
      </c>
      <c r="G1422" s="234"/>
      <c r="H1422" s="234">
        <v>4</v>
      </c>
      <c r="I1422" s="234" t="s">
        <v>488</v>
      </c>
      <c r="J1422" s="234" t="s">
        <v>10282</v>
      </c>
      <c r="K1422" s="234">
        <v>4</v>
      </c>
      <c r="L1422" s="234" t="s">
        <v>923</v>
      </c>
      <c r="M1422" s="236">
        <v>1000000</v>
      </c>
      <c r="N1422" s="234" t="s">
        <v>452</v>
      </c>
      <c r="O1422" s="234" t="s">
        <v>1119</v>
      </c>
      <c r="P1422" s="237"/>
      <c r="Q1422" s="234" t="s">
        <v>18</v>
      </c>
      <c r="R1422" s="238" t="s">
        <v>10084</v>
      </c>
      <c r="S1422" s="238"/>
      <c r="T1422" s="238"/>
      <c r="U1422" s="238"/>
      <c r="V1422" s="234"/>
      <c r="W1422" s="234"/>
      <c r="X1422" s="234"/>
      <c r="Y1422" s="239"/>
      <c r="Z1422" s="239"/>
      <c r="AA1422" s="239"/>
      <c r="AB1422" s="239"/>
      <c r="AC1422" s="239"/>
    </row>
    <row r="1423" spans="1:29" ht="15.75" hidden="1" customHeight="1">
      <c r="A1423" s="253">
        <v>44796</v>
      </c>
      <c r="B1423" s="224" t="s">
        <v>3578</v>
      </c>
      <c r="C1423" s="316">
        <v>3</v>
      </c>
      <c r="D1423" s="224" t="s">
        <v>3581</v>
      </c>
      <c r="E1423" s="224" t="s">
        <v>5</v>
      </c>
      <c r="F1423" s="224" t="s">
        <v>447</v>
      </c>
      <c r="G1423" s="224" t="s">
        <v>11360</v>
      </c>
      <c r="H1423" s="224">
        <v>3</v>
      </c>
      <c r="I1423" s="224" t="s">
        <v>449</v>
      </c>
      <c r="J1423" s="224" t="s">
        <v>11361</v>
      </c>
      <c r="K1423" s="224">
        <v>3</v>
      </c>
      <c r="L1423" s="224" t="s">
        <v>784</v>
      </c>
      <c r="M1423" s="330">
        <v>300000</v>
      </c>
      <c r="N1423" s="224" t="s">
        <v>454</v>
      </c>
      <c r="O1423" s="224" t="s">
        <v>452</v>
      </c>
      <c r="P1423" s="224" t="s">
        <v>3584</v>
      </c>
      <c r="Q1423" s="224" t="s">
        <v>24</v>
      </c>
      <c r="R1423" s="254"/>
      <c r="S1423" s="254"/>
      <c r="T1423" s="254"/>
      <c r="U1423" s="254"/>
      <c r="V1423" s="224"/>
      <c r="W1423" s="224"/>
      <c r="X1423" s="224"/>
      <c r="Y1423" s="224"/>
      <c r="Z1423" s="224"/>
      <c r="AA1423" s="224"/>
      <c r="AB1423" s="224"/>
      <c r="AC1423" s="224"/>
    </row>
    <row r="1424" spans="1:29" ht="15.75" customHeight="1">
      <c r="A1424" s="541">
        <v>44796</v>
      </c>
      <c r="B1424" s="306" t="s">
        <v>6052</v>
      </c>
      <c r="C1424" s="542"/>
      <c r="D1424" s="306" t="s">
        <v>6055</v>
      </c>
      <c r="E1424" s="306" t="s">
        <v>4</v>
      </c>
      <c r="F1424" s="306" t="s">
        <v>727</v>
      </c>
      <c r="G1424" s="306"/>
      <c r="H1424" s="306"/>
      <c r="I1424" s="306" t="s">
        <v>13187</v>
      </c>
      <c r="J1424" s="306"/>
      <c r="K1424" s="306"/>
      <c r="L1424" s="306" t="s">
        <v>973</v>
      </c>
      <c r="M1424" s="545">
        <v>10000000</v>
      </c>
      <c r="N1424" s="306" t="s">
        <v>465</v>
      </c>
      <c r="O1424" s="306" t="s">
        <v>6058</v>
      </c>
      <c r="P1424" s="306"/>
      <c r="Q1424" s="306"/>
      <c r="R1424" s="306"/>
      <c r="S1424" s="306" t="str">
        <f>IFERROR(VLOOKUP(B1424,'2022-2023 Third Reviews'!$C:$S,9,FALSE),"")</f>
        <v/>
      </c>
      <c r="T1424" s="306"/>
      <c r="U1424" s="306"/>
      <c r="V1424" s="219"/>
      <c r="W1424" s="219"/>
      <c r="X1424" s="219"/>
      <c r="Y1424" s="219"/>
      <c r="Z1424" s="219"/>
      <c r="AA1424" s="219"/>
      <c r="AB1424" s="219"/>
      <c r="AC1424" s="219"/>
    </row>
    <row r="1425" spans="1:29" ht="15.75" customHeight="1">
      <c r="A1425" s="541">
        <v>44797</v>
      </c>
      <c r="B1425" s="306" t="s">
        <v>6052</v>
      </c>
      <c r="C1425" s="542"/>
      <c r="D1425" s="306" t="s">
        <v>6055</v>
      </c>
      <c r="E1425" s="306" t="s">
        <v>4</v>
      </c>
      <c r="F1425" s="306" t="s">
        <v>727</v>
      </c>
      <c r="G1425" s="306" t="s">
        <v>10489</v>
      </c>
      <c r="H1425" s="306">
        <v>2.5</v>
      </c>
      <c r="I1425" s="306" t="s">
        <v>449</v>
      </c>
      <c r="J1425" s="306"/>
      <c r="K1425" s="306"/>
      <c r="L1425" s="306" t="s">
        <v>973</v>
      </c>
      <c r="M1425" s="306">
        <v>10000000</v>
      </c>
      <c r="N1425" s="306" t="s">
        <v>465</v>
      </c>
      <c r="O1425" s="306" t="s">
        <v>6058</v>
      </c>
      <c r="P1425" s="306"/>
      <c r="Q1425" s="306"/>
      <c r="R1425" s="306"/>
      <c r="S1425" s="306" t="str">
        <f>IFERROR(VLOOKUP(B1425,'2022-2023 Third Reviews'!$C:$S,9,FALSE),"")</f>
        <v/>
      </c>
      <c r="T1425" s="306"/>
      <c r="U1425" s="306"/>
      <c r="V1425" s="224"/>
      <c r="W1425" s="224"/>
      <c r="X1425" s="224"/>
      <c r="Y1425" s="224"/>
      <c r="Z1425" s="224"/>
      <c r="AA1425" s="224"/>
      <c r="AB1425" s="224"/>
      <c r="AC1425" s="224"/>
    </row>
    <row r="1426" spans="1:29" ht="15.75" customHeight="1">
      <c r="A1426" s="541">
        <v>44797</v>
      </c>
      <c r="B1426" s="306" t="s">
        <v>10385</v>
      </c>
      <c r="C1426" s="542"/>
      <c r="D1426" s="306" t="s">
        <v>10386</v>
      </c>
      <c r="E1426" s="306" t="s">
        <v>4</v>
      </c>
      <c r="F1426" s="306" t="s">
        <v>1045</v>
      </c>
      <c r="G1426" s="306" t="s">
        <v>7535</v>
      </c>
      <c r="H1426" s="306">
        <v>2</v>
      </c>
      <c r="I1426" s="306" t="s">
        <v>449</v>
      </c>
      <c r="J1426" s="306"/>
      <c r="K1426" s="306"/>
      <c r="L1426" s="306" t="s">
        <v>451</v>
      </c>
      <c r="M1426" s="306">
        <v>1200000</v>
      </c>
      <c r="N1426" s="306" t="s">
        <v>452</v>
      </c>
      <c r="O1426" s="306" t="s">
        <v>10388</v>
      </c>
      <c r="P1426" s="306"/>
      <c r="Q1426" s="306"/>
      <c r="R1426" s="306"/>
      <c r="S1426" s="306" t="str">
        <f>IFERROR(VLOOKUP(B1426,'2022-2023 Third Reviews'!$C:$S,9,FALSE),"")</f>
        <v/>
      </c>
      <c r="T1426" s="306"/>
      <c r="U1426" s="306"/>
      <c r="V1426" s="268"/>
      <c r="W1426" s="268"/>
      <c r="X1426" s="268"/>
      <c r="Y1426" s="268"/>
      <c r="Z1426" s="268"/>
      <c r="AA1426" s="219"/>
      <c r="AB1426" s="219"/>
      <c r="AC1426" s="219"/>
    </row>
    <row r="1427" spans="1:29" ht="15.75" customHeight="1">
      <c r="A1427" s="541">
        <v>44797</v>
      </c>
      <c r="B1427" s="306" t="s">
        <v>7725</v>
      </c>
      <c r="C1427" s="542"/>
      <c r="D1427" s="306" t="s">
        <v>7728</v>
      </c>
      <c r="E1427" s="306" t="s">
        <v>4</v>
      </c>
      <c r="F1427" s="306" t="s">
        <v>1045</v>
      </c>
      <c r="G1427" s="306" t="s">
        <v>7729</v>
      </c>
      <c r="H1427" s="306">
        <v>1.5</v>
      </c>
      <c r="I1427" s="306" t="s">
        <v>1350</v>
      </c>
      <c r="J1427" s="306"/>
      <c r="K1427" s="306"/>
      <c r="L1427" s="306"/>
      <c r="M1427" s="306"/>
      <c r="N1427" s="306" t="s">
        <v>452</v>
      </c>
      <c r="O1427" s="306" t="s">
        <v>7731</v>
      </c>
      <c r="P1427" s="306"/>
      <c r="Q1427" s="306"/>
      <c r="R1427" s="306"/>
      <c r="S1427" s="306" t="str">
        <f ca="1">IFERROR(VLOOKUP(B1427,'2022-2023 Third Reviews'!$C:$S,9,FALSE),"")</f>
        <v>Chris Millisits
4</v>
      </c>
      <c r="T1427" s="306"/>
      <c r="U1427" s="306"/>
      <c r="V1427" s="224"/>
      <c r="W1427" s="224"/>
      <c r="X1427" s="224"/>
      <c r="Y1427" s="224"/>
      <c r="Z1427" s="224"/>
      <c r="AA1427" s="224"/>
      <c r="AB1427" s="224"/>
      <c r="AC1427" s="224"/>
    </row>
    <row r="1428" spans="1:29" ht="15.75" customHeight="1">
      <c r="A1428" s="541">
        <v>44797</v>
      </c>
      <c r="B1428" s="306" t="s">
        <v>6564</v>
      </c>
      <c r="C1428" s="542"/>
      <c r="D1428" s="306" t="s">
        <v>6567</v>
      </c>
      <c r="E1428" s="306" t="s">
        <v>4</v>
      </c>
      <c r="F1428" s="306" t="s">
        <v>488</v>
      </c>
      <c r="G1428" s="306"/>
      <c r="H1428" s="306"/>
      <c r="I1428" s="306" t="s">
        <v>4054</v>
      </c>
      <c r="J1428" s="306"/>
      <c r="K1428" s="306">
        <v>2</v>
      </c>
      <c r="L1428" s="306" t="s">
        <v>451</v>
      </c>
      <c r="M1428" s="546">
        <v>5000000</v>
      </c>
      <c r="N1428" s="306" t="s">
        <v>452</v>
      </c>
      <c r="O1428" s="306" t="s">
        <v>6569</v>
      </c>
      <c r="P1428" s="306"/>
      <c r="Q1428" s="306"/>
      <c r="R1428" s="306"/>
      <c r="S1428" s="306" t="str">
        <f>IFERROR(VLOOKUP(B1428,'2022-2023 Third Reviews'!$C:$S,9,FALSE),"")</f>
        <v/>
      </c>
      <c r="T1428" s="306"/>
      <c r="U1428" s="306"/>
      <c r="V1428" s="219"/>
      <c r="W1428" s="219"/>
      <c r="X1428" s="219"/>
      <c r="Y1428" s="219"/>
      <c r="Z1428" s="219"/>
      <c r="AA1428" s="219"/>
      <c r="AB1428" s="219"/>
      <c r="AC1428" s="219"/>
    </row>
    <row r="1429" spans="1:29" ht="15.75" customHeight="1">
      <c r="A1429" s="541">
        <v>44796</v>
      </c>
      <c r="B1429" s="306" t="s">
        <v>175</v>
      </c>
      <c r="C1429" s="542"/>
      <c r="D1429" s="306" t="s">
        <v>10557</v>
      </c>
      <c r="E1429" s="306" t="s">
        <v>4</v>
      </c>
      <c r="F1429" s="306" t="s">
        <v>727</v>
      </c>
      <c r="G1429" s="306"/>
      <c r="H1429" s="306"/>
      <c r="I1429" s="306" t="s">
        <v>13187</v>
      </c>
      <c r="J1429" s="306"/>
      <c r="K1429" s="306"/>
      <c r="L1429" s="306" t="s">
        <v>923</v>
      </c>
      <c r="M1429" s="544">
        <v>3000000</v>
      </c>
      <c r="N1429" s="306" t="s">
        <v>452</v>
      </c>
      <c r="O1429" s="306" t="s">
        <v>452</v>
      </c>
      <c r="P1429" s="306"/>
      <c r="Q1429" s="306"/>
      <c r="R1429" s="306"/>
      <c r="S1429" s="306" t="str">
        <f>IFERROR(VLOOKUP(B1429,'2022-2023 Third Reviews'!$C:$S,9,FALSE),"")</f>
        <v/>
      </c>
      <c r="T1429" s="306"/>
      <c r="U1429" s="306"/>
      <c r="V1429" s="224"/>
      <c r="W1429" s="224"/>
      <c r="X1429" s="224"/>
      <c r="Y1429" s="224"/>
      <c r="Z1429" s="224"/>
      <c r="AA1429" s="224"/>
      <c r="AB1429" s="224"/>
      <c r="AC1429" s="224"/>
    </row>
    <row r="1430" spans="1:29" ht="15.75" hidden="1" customHeight="1">
      <c r="A1430" s="248">
        <v>44791</v>
      </c>
      <c r="B1430" s="219" t="s">
        <v>3587</v>
      </c>
      <c r="C1430" s="315">
        <v>3</v>
      </c>
      <c r="D1430" s="219" t="s">
        <v>3590</v>
      </c>
      <c r="E1430" s="219" t="s">
        <v>5</v>
      </c>
      <c r="F1430" s="219" t="s">
        <v>447</v>
      </c>
      <c r="G1430" s="219" t="s">
        <v>10957</v>
      </c>
      <c r="H1430" s="219">
        <v>3</v>
      </c>
      <c r="I1430" s="219" t="s">
        <v>622</v>
      </c>
      <c r="J1430" s="219"/>
      <c r="K1430" s="219">
        <v>3</v>
      </c>
      <c r="L1430" s="219" t="s">
        <v>478</v>
      </c>
      <c r="M1430" s="219" t="s">
        <v>3592</v>
      </c>
      <c r="N1430" s="219" t="s">
        <v>465</v>
      </c>
      <c r="O1430" s="219" t="s">
        <v>3593</v>
      </c>
      <c r="P1430" s="219"/>
      <c r="Q1430" s="322" t="s">
        <v>24</v>
      </c>
      <c r="R1430" s="251"/>
      <c r="S1430" s="251"/>
      <c r="T1430" s="251"/>
      <c r="U1430" s="251"/>
      <c r="V1430" s="219"/>
      <c r="W1430" s="219"/>
      <c r="X1430" s="219"/>
      <c r="Y1430" s="219"/>
      <c r="Z1430" s="219"/>
      <c r="AA1430" s="219"/>
      <c r="AB1430" s="219"/>
      <c r="AC1430" s="219"/>
    </row>
    <row r="1431" spans="1:29" ht="15.75" customHeight="1">
      <c r="A1431" s="541">
        <v>44797</v>
      </c>
      <c r="B1431" s="306" t="s">
        <v>175</v>
      </c>
      <c r="C1431" s="542"/>
      <c r="D1431" s="306" t="s">
        <v>10557</v>
      </c>
      <c r="E1431" s="306" t="s">
        <v>4</v>
      </c>
      <c r="F1431" s="306" t="s">
        <v>727</v>
      </c>
      <c r="G1431" s="306" t="s">
        <v>10558</v>
      </c>
      <c r="H1431" s="306">
        <v>4.5</v>
      </c>
      <c r="I1431" s="306" t="s">
        <v>449</v>
      </c>
      <c r="J1431" s="306"/>
      <c r="K1431" s="306"/>
      <c r="L1431" s="306" t="s">
        <v>923</v>
      </c>
      <c r="M1431" s="546">
        <v>3000000</v>
      </c>
      <c r="N1431" s="306" t="s">
        <v>452</v>
      </c>
      <c r="O1431" s="306" t="s">
        <v>452</v>
      </c>
      <c r="P1431" s="306"/>
      <c r="Q1431" s="306"/>
      <c r="R1431" s="306"/>
      <c r="S1431" s="306" t="str">
        <f>IFERROR(VLOOKUP(B1431,'2022-2023 Third Reviews'!$C:$S,9,FALSE),"")</f>
        <v/>
      </c>
      <c r="T1431" s="306"/>
      <c r="U1431" s="306"/>
      <c r="V1431" s="306"/>
      <c r="W1431" s="306"/>
      <c r="X1431" s="306"/>
      <c r="Y1431" s="306"/>
      <c r="Z1431" s="306"/>
      <c r="AA1431" s="306"/>
      <c r="AB1431" s="306"/>
      <c r="AC1431" s="306"/>
    </row>
    <row r="1432" spans="1:29" ht="15.75" customHeight="1">
      <c r="A1432" s="541">
        <v>44796</v>
      </c>
      <c r="B1432" s="306" t="s">
        <v>6873</v>
      </c>
      <c r="C1432" s="542"/>
      <c r="D1432" s="306" t="s">
        <v>6876</v>
      </c>
      <c r="E1432" s="306" t="s">
        <v>4</v>
      </c>
      <c r="F1432" s="306" t="s">
        <v>727</v>
      </c>
      <c r="G1432" s="306" t="s">
        <v>10688</v>
      </c>
      <c r="H1432" s="306">
        <v>2.5</v>
      </c>
      <c r="I1432" s="306" t="s">
        <v>13187</v>
      </c>
      <c r="J1432" s="306"/>
      <c r="K1432" s="306"/>
      <c r="L1432" s="306" t="s">
        <v>784</v>
      </c>
      <c r="M1432" s="544">
        <v>720000</v>
      </c>
      <c r="N1432" s="306" t="s">
        <v>452</v>
      </c>
      <c r="O1432" s="306" t="s">
        <v>6879</v>
      </c>
      <c r="P1432" s="306"/>
      <c r="Q1432" s="306"/>
      <c r="R1432" s="306"/>
      <c r="S1432" s="306" t="str">
        <f>IFERROR(VLOOKUP(B1432,'2022-2023 Third Reviews'!$C:$S,9,FALSE),"")</f>
        <v/>
      </c>
      <c r="T1432" s="306"/>
      <c r="U1432" s="306"/>
      <c r="V1432" s="239"/>
      <c r="W1432" s="239"/>
      <c r="X1432" s="239"/>
      <c r="Y1432" s="239"/>
      <c r="Z1432" s="239"/>
      <c r="AA1432" s="239"/>
      <c r="AB1432" s="239"/>
      <c r="AC1432" s="239"/>
    </row>
    <row r="1433" spans="1:29" ht="15.75" hidden="1" customHeight="1">
      <c r="A1433" s="257">
        <v>44789</v>
      </c>
      <c r="B1433" s="258" t="s">
        <v>410</v>
      </c>
      <c r="C1433" s="263">
        <v>3.75</v>
      </c>
      <c r="D1433" s="258" t="s">
        <v>9977</v>
      </c>
      <c r="E1433" s="258" t="s">
        <v>3</v>
      </c>
      <c r="F1433" s="258" t="s">
        <v>460</v>
      </c>
      <c r="G1433" s="258" t="s">
        <v>9978</v>
      </c>
      <c r="H1433" s="258">
        <v>4</v>
      </c>
      <c r="I1433" s="258" t="s">
        <v>462</v>
      </c>
      <c r="J1433" s="258" t="s">
        <v>9979</v>
      </c>
      <c r="K1433" s="258">
        <v>3.5</v>
      </c>
      <c r="L1433" s="258" t="s">
        <v>784</v>
      </c>
      <c r="M1433" s="309">
        <v>500000</v>
      </c>
      <c r="N1433" s="258" t="s">
        <v>452</v>
      </c>
      <c r="O1433" s="258" t="s">
        <v>452</v>
      </c>
      <c r="P1433" s="258" t="s">
        <v>9980</v>
      </c>
      <c r="Q1433" s="258" t="s">
        <v>20</v>
      </c>
      <c r="R1433" s="259" t="s">
        <v>9981</v>
      </c>
      <c r="S1433" s="259"/>
      <c r="T1433" s="259"/>
      <c r="U1433" s="259"/>
      <c r="V1433" s="258"/>
      <c r="W1433" s="258"/>
      <c r="X1433" s="258"/>
      <c r="Y1433" s="258"/>
      <c r="Z1433" s="258"/>
      <c r="AA1433" s="258"/>
      <c r="AB1433" s="258"/>
      <c r="AC1433" s="258"/>
    </row>
    <row r="1434" spans="1:29" ht="15.75" customHeight="1">
      <c r="A1434" s="541">
        <v>44797</v>
      </c>
      <c r="B1434" s="306" t="s">
        <v>6873</v>
      </c>
      <c r="C1434" s="542"/>
      <c r="D1434" s="306" t="s">
        <v>6876</v>
      </c>
      <c r="E1434" s="306" t="s">
        <v>4</v>
      </c>
      <c r="F1434" s="306" t="s">
        <v>727</v>
      </c>
      <c r="G1434" s="306" t="s">
        <v>10688</v>
      </c>
      <c r="H1434" s="306">
        <v>2.5</v>
      </c>
      <c r="I1434" s="306" t="s">
        <v>543</v>
      </c>
      <c r="J1434" s="306"/>
      <c r="K1434" s="306"/>
      <c r="L1434" s="306" t="s">
        <v>784</v>
      </c>
      <c r="M1434" s="306">
        <v>720000</v>
      </c>
      <c r="N1434" s="306" t="s">
        <v>452</v>
      </c>
      <c r="O1434" s="306" t="s">
        <v>6879</v>
      </c>
      <c r="P1434" s="306"/>
      <c r="Q1434" s="306"/>
      <c r="R1434" s="306"/>
      <c r="S1434" s="306" t="str">
        <f>IFERROR(VLOOKUP(B1434,'2022-2023 Third Reviews'!$C:$S,9,FALSE),"")</f>
        <v/>
      </c>
      <c r="T1434" s="306"/>
      <c r="U1434" s="306"/>
      <c r="V1434" s="219"/>
      <c r="W1434" s="219"/>
      <c r="X1434" s="219"/>
      <c r="Y1434" s="219"/>
      <c r="Z1434" s="219"/>
      <c r="AA1434" s="219"/>
      <c r="AB1434" s="219"/>
      <c r="AC1434" s="219"/>
    </row>
    <row r="1435" spans="1:29" ht="15.75" customHeight="1">
      <c r="A1435" s="541">
        <v>44797</v>
      </c>
      <c r="B1435" s="306" t="s">
        <v>6882</v>
      </c>
      <c r="C1435" s="542"/>
      <c r="D1435" s="306" t="s">
        <v>6885</v>
      </c>
      <c r="E1435" s="306" t="s">
        <v>4</v>
      </c>
      <c r="F1435" s="306" t="s">
        <v>602</v>
      </c>
      <c r="G1435" s="306" t="s">
        <v>6886</v>
      </c>
      <c r="H1435" s="306">
        <v>2.5</v>
      </c>
      <c r="I1435" s="306" t="s">
        <v>543</v>
      </c>
      <c r="J1435" s="306"/>
      <c r="K1435" s="306"/>
      <c r="L1435" s="306" t="s">
        <v>6888</v>
      </c>
      <c r="M1435" s="306" t="s">
        <v>6889</v>
      </c>
      <c r="N1435" s="306" t="s">
        <v>452</v>
      </c>
      <c r="O1435" s="306" t="s">
        <v>452</v>
      </c>
      <c r="P1435" s="306" t="s">
        <v>585</v>
      </c>
      <c r="Q1435" s="306"/>
      <c r="R1435" s="306"/>
      <c r="S1435" s="306" t="str">
        <f>IFERROR(VLOOKUP(B1435,'2022-2023 Third Reviews'!$C:$S,9,FALSE),"")</f>
        <v/>
      </c>
      <c r="T1435" s="306"/>
      <c r="U1435" s="306"/>
      <c r="V1435" s="258"/>
      <c r="W1435" s="258"/>
      <c r="X1435" s="258"/>
      <c r="Y1435" s="258"/>
      <c r="Z1435" s="258"/>
      <c r="AA1435" s="258"/>
      <c r="AB1435" s="258"/>
      <c r="AC1435" s="258"/>
    </row>
    <row r="1436" spans="1:29" ht="15.75" hidden="1" customHeight="1">
      <c r="A1436" s="257">
        <v>44789</v>
      </c>
      <c r="B1436" s="258" t="s">
        <v>9294</v>
      </c>
      <c r="C1436" s="263">
        <v>3.25</v>
      </c>
      <c r="D1436" s="258" t="s">
        <v>11632</v>
      </c>
      <c r="E1436" s="258" t="s">
        <v>3</v>
      </c>
      <c r="F1436" s="258" t="s">
        <v>460</v>
      </c>
      <c r="G1436" s="258" t="s">
        <v>9298</v>
      </c>
      <c r="H1436" s="258">
        <v>3</v>
      </c>
      <c r="I1436" s="258" t="s">
        <v>462</v>
      </c>
      <c r="J1436" s="258" t="s">
        <v>9299</v>
      </c>
      <c r="K1436" s="258">
        <v>3.5</v>
      </c>
      <c r="L1436" s="258" t="s">
        <v>9300</v>
      </c>
      <c r="M1436" s="258" t="s">
        <v>9301</v>
      </c>
      <c r="N1436" s="258" t="s">
        <v>465</v>
      </c>
      <c r="O1436" s="258" t="s">
        <v>452</v>
      </c>
      <c r="P1436" s="258"/>
      <c r="Q1436" s="258" t="s">
        <v>24</v>
      </c>
      <c r="R1436" s="259" t="s">
        <v>9302</v>
      </c>
      <c r="S1436" s="259"/>
      <c r="T1436" s="259"/>
      <c r="U1436" s="259"/>
      <c r="V1436" s="258"/>
      <c r="W1436" s="258"/>
      <c r="X1436" s="258"/>
      <c r="Y1436" s="258"/>
      <c r="Z1436" s="258"/>
      <c r="AA1436" s="258"/>
      <c r="AB1436" s="258"/>
      <c r="AC1436" s="258"/>
    </row>
    <row r="1437" spans="1:29" ht="15.75" customHeight="1">
      <c r="A1437" s="541">
        <v>44797</v>
      </c>
      <c r="B1437" s="306" t="s">
        <v>61</v>
      </c>
      <c r="C1437" s="542"/>
      <c r="D1437" s="306"/>
      <c r="E1437" s="306" t="s">
        <v>4</v>
      </c>
      <c r="F1437" s="306" t="s">
        <v>725</v>
      </c>
      <c r="G1437" s="306" t="s">
        <v>11308</v>
      </c>
      <c r="H1437" s="306">
        <v>4</v>
      </c>
      <c r="I1437" s="306" t="s">
        <v>622</v>
      </c>
      <c r="J1437" s="306"/>
      <c r="K1437" s="306"/>
      <c r="L1437" s="306" t="s">
        <v>913</v>
      </c>
      <c r="M1437" s="306">
        <v>850000</v>
      </c>
      <c r="N1437" s="306" t="s">
        <v>452</v>
      </c>
      <c r="O1437" s="306" t="s">
        <v>914</v>
      </c>
      <c r="P1437" s="306"/>
      <c r="Q1437" s="306"/>
      <c r="R1437" s="306"/>
      <c r="S1437" s="306" t="str">
        <f>IFERROR(VLOOKUP(B1437,'2022-2023 Third Reviews'!$C:$S,9,FALSE),"")</f>
        <v/>
      </c>
      <c r="T1437" s="306"/>
      <c r="U1437" s="306"/>
      <c r="V1437" s="252"/>
      <c r="W1437" s="252"/>
      <c r="X1437" s="252"/>
      <c r="Y1437" s="224"/>
      <c r="Z1437" s="224"/>
      <c r="AA1437" s="224"/>
      <c r="AB1437" s="224"/>
      <c r="AC1437" s="224"/>
    </row>
    <row r="1438" spans="1:29" ht="15.75" hidden="1" customHeight="1">
      <c r="A1438" s="248">
        <v>44791</v>
      </c>
      <c r="B1438" s="219" t="s">
        <v>142</v>
      </c>
      <c r="C1438" s="315">
        <v>4</v>
      </c>
      <c r="D1438" s="219" t="s">
        <v>970</v>
      </c>
      <c r="E1438" s="219" t="s">
        <v>5</v>
      </c>
      <c r="F1438" s="219" t="s">
        <v>447</v>
      </c>
      <c r="G1438" s="219" t="s">
        <v>11346</v>
      </c>
      <c r="H1438" s="219">
        <v>4</v>
      </c>
      <c r="I1438" s="219" t="s">
        <v>449</v>
      </c>
      <c r="J1438" s="219" t="s">
        <v>11657</v>
      </c>
      <c r="K1438" s="219">
        <v>4</v>
      </c>
      <c r="L1438" s="219" t="s">
        <v>973</v>
      </c>
      <c r="M1438" s="312" t="s">
        <v>708</v>
      </c>
      <c r="N1438" s="219" t="s">
        <v>452</v>
      </c>
      <c r="O1438" s="219" t="s">
        <v>974</v>
      </c>
      <c r="P1438" s="219"/>
      <c r="Q1438" s="219" t="s">
        <v>18</v>
      </c>
      <c r="R1438" s="251"/>
      <c r="S1438" s="251"/>
      <c r="T1438" s="251"/>
      <c r="U1438" s="251"/>
      <c r="V1438" s="219"/>
      <c r="W1438" s="219"/>
      <c r="X1438" s="219"/>
      <c r="Y1438" s="219"/>
      <c r="Z1438" s="219"/>
      <c r="AA1438" s="219"/>
      <c r="AB1438" s="219"/>
      <c r="AC1438" s="219"/>
    </row>
    <row r="1439" spans="1:29" ht="15.75" customHeight="1">
      <c r="A1439" s="541">
        <v>44796</v>
      </c>
      <c r="B1439" s="306" t="s">
        <v>8073</v>
      </c>
      <c r="C1439" s="542"/>
      <c r="D1439" s="306" t="s">
        <v>8076</v>
      </c>
      <c r="E1439" s="306" t="s">
        <v>4</v>
      </c>
      <c r="F1439" s="306" t="s">
        <v>727</v>
      </c>
      <c r="G1439" s="306"/>
      <c r="H1439" s="306"/>
      <c r="I1439" s="306" t="s">
        <v>1045</v>
      </c>
      <c r="J1439" s="306" t="s">
        <v>8078</v>
      </c>
      <c r="K1439" s="306">
        <v>1.5</v>
      </c>
      <c r="L1439" s="306" t="s">
        <v>451</v>
      </c>
      <c r="M1439" s="306" t="s">
        <v>8079</v>
      </c>
      <c r="N1439" s="306" t="s">
        <v>454</v>
      </c>
      <c r="O1439" s="306" t="s">
        <v>3420</v>
      </c>
      <c r="P1439" s="306"/>
      <c r="Q1439" s="306"/>
      <c r="R1439" s="306"/>
      <c r="S1439" s="306" t="str">
        <f>IFERROR(VLOOKUP(B1439,'2022-2023 Third Reviews'!$C:$S,9,FALSE),"")</f>
        <v/>
      </c>
      <c r="T1439" s="306"/>
      <c r="U1439" s="306"/>
      <c r="V1439" s="252"/>
      <c r="W1439" s="252"/>
      <c r="X1439" s="252"/>
      <c r="Y1439" s="224"/>
      <c r="Z1439" s="224"/>
      <c r="AA1439" s="224"/>
      <c r="AB1439" s="224"/>
      <c r="AC1439" s="224"/>
    </row>
    <row r="1440" spans="1:29" ht="15.75" hidden="1" customHeight="1">
      <c r="A1440" s="257">
        <v>44789</v>
      </c>
      <c r="B1440" s="258" t="s">
        <v>162</v>
      </c>
      <c r="C1440" s="263">
        <v>4</v>
      </c>
      <c r="D1440" s="258" t="s">
        <v>9596</v>
      </c>
      <c r="E1440" s="258" t="s">
        <v>5</v>
      </c>
      <c r="F1440" s="258" t="s">
        <v>447</v>
      </c>
      <c r="G1440" s="258" t="s">
        <v>10803</v>
      </c>
      <c r="H1440" s="258">
        <v>3</v>
      </c>
      <c r="I1440" s="258" t="s">
        <v>449</v>
      </c>
      <c r="J1440" s="258" t="s">
        <v>11617</v>
      </c>
      <c r="K1440" s="258">
        <v>5</v>
      </c>
      <c r="L1440" s="258" t="s">
        <v>9599</v>
      </c>
      <c r="M1440" s="258">
        <v>909783</v>
      </c>
      <c r="N1440" s="258" t="s">
        <v>452</v>
      </c>
      <c r="O1440" s="258" t="s">
        <v>9600</v>
      </c>
      <c r="P1440" s="258"/>
      <c r="Q1440" s="258" t="s">
        <v>18</v>
      </c>
      <c r="R1440" s="259" t="s">
        <v>9601</v>
      </c>
      <c r="S1440" s="259"/>
      <c r="T1440" s="259"/>
      <c r="U1440" s="259"/>
      <c r="V1440" s="258"/>
      <c r="W1440" s="258"/>
      <c r="X1440" s="258"/>
      <c r="Y1440" s="258"/>
      <c r="Z1440" s="258"/>
      <c r="AA1440" s="258"/>
      <c r="AB1440" s="258"/>
      <c r="AC1440" s="258"/>
    </row>
    <row r="1441" spans="1:29" ht="15.75" hidden="1" customHeight="1">
      <c r="A1441" s="220">
        <v>44776</v>
      </c>
      <c r="B1441" s="221" t="s">
        <v>3596</v>
      </c>
      <c r="C1441" s="214">
        <v>2</v>
      </c>
      <c r="D1441" s="221" t="s">
        <v>3599</v>
      </c>
      <c r="E1441" s="215" t="s">
        <v>5</v>
      </c>
      <c r="F1441" s="221" t="s">
        <v>447</v>
      </c>
      <c r="G1441" s="221" t="s">
        <v>11400</v>
      </c>
      <c r="H1441" s="221">
        <v>2</v>
      </c>
      <c r="I1441" s="221" t="s">
        <v>602</v>
      </c>
      <c r="J1441" s="221" t="s">
        <v>11401</v>
      </c>
      <c r="K1441" s="221">
        <v>2</v>
      </c>
      <c r="L1441" s="221" t="s">
        <v>451</v>
      </c>
      <c r="M1441" s="222">
        <v>1500000</v>
      </c>
      <c r="N1441" s="221" t="s">
        <v>452</v>
      </c>
      <c r="O1441" s="221" t="s">
        <v>3602</v>
      </c>
      <c r="P1441" s="145"/>
      <c r="Q1441" s="221" t="s">
        <v>24</v>
      </c>
      <c r="R1441" s="223">
        <f t="array" ref="R1441">INDEX(Notes!C:C,MATCH($B1441,Notes!$A:$A,0))</f>
        <v>0</v>
      </c>
      <c r="S1441" s="223"/>
      <c r="T1441" s="223"/>
      <c r="U1441" s="223"/>
      <c r="V1441" s="218"/>
      <c r="W1441" s="218"/>
      <c r="X1441" s="218"/>
      <c r="Y1441" s="224"/>
      <c r="Z1441" s="224"/>
      <c r="AA1441" s="224"/>
      <c r="AB1441" s="224"/>
      <c r="AC1441" s="224"/>
    </row>
    <row r="1442" spans="1:29" ht="15.75" hidden="1" customHeight="1">
      <c r="A1442" s="267">
        <v>44784</v>
      </c>
      <c r="B1442" s="268" t="s">
        <v>368</v>
      </c>
      <c r="C1442" s="269">
        <v>5</v>
      </c>
      <c r="D1442" s="268" t="s">
        <v>2064</v>
      </c>
      <c r="E1442" s="270" t="s">
        <v>3</v>
      </c>
      <c r="F1442" s="268" t="s">
        <v>460</v>
      </c>
      <c r="G1442" s="268" t="s">
        <v>2065</v>
      </c>
      <c r="H1442" s="268">
        <v>5</v>
      </c>
      <c r="I1442" s="268" t="s">
        <v>488</v>
      </c>
      <c r="J1442" s="268" t="s">
        <v>2066</v>
      </c>
      <c r="K1442" s="268">
        <v>5</v>
      </c>
      <c r="L1442" s="268" t="s">
        <v>973</v>
      </c>
      <c r="M1442" s="268" t="s">
        <v>2067</v>
      </c>
      <c r="N1442" s="268" t="s">
        <v>465</v>
      </c>
      <c r="O1442" s="268" t="s">
        <v>2068</v>
      </c>
      <c r="P1442" s="268"/>
      <c r="Q1442" s="268" t="s">
        <v>18</v>
      </c>
      <c r="R1442" s="271" t="s">
        <v>2069</v>
      </c>
      <c r="S1442" s="271"/>
      <c r="T1442" s="271"/>
      <c r="U1442" s="271"/>
      <c r="V1442" s="268"/>
      <c r="W1442" s="268"/>
      <c r="X1442" s="268"/>
      <c r="Y1442" s="268"/>
      <c r="Z1442" s="268"/>
      <c r="AA1442" s="219"/>
      <c r="AB1442" s="219"/>
      <c r="AC1442" s="219"/>
    </row>
    <row r="1443" spans="1:29" ht="15.75" customHeight="1">
      <c r="A1443" s="541">
        <v>44797</v>
      </c>
      <c r="B1443" s="306" t="s">
        <v>269</v>
      </c>
      <c r="C1443" s="542"/>
      <c r="D1443" s="306" t="s">
        <v>1559</v>
      </c>
      <c r="E1443" s="306" t="s">
        <v>4</v>
      </c>
      <c r="F1443" s="306" t="s">
        <v>727</v>
      </c>
      <c r="G1443" s="306" t="s">
        <v>10512</v>
      </c>
      <c r="H1443" s="306">
        <v>4.5</v>
      </c>
      <c r="I1443" s="306" t="s">
        <v>449</v>
      </c>
      <c r="J1443" s="306"/>
      <c r="K1443" s="306"/>
      <c r="L1443" s="306" t="s">
        <v>451</v>
      </c>
      <c r="M1443" s="306">
        <v>6000000</v>
      </c>
      <c r="N1443" s="306" t="s">
        <v>452</v>
      </c>
      <c r="O1443" s="306" t="s">
        <v>452</v>
      </c>
      <c r="P1443" s="306" t="s">
        <v>1562</v>
      </c>
      <c r="Q1443" s="306"/>
      <c r="R1443" s="306"/>
      <c r="S1443" s="306" t="str">
        <f>IFERROR(VLOOKUP(B1443,'2022-2023 Third Reviews'!$C:$S,9,FALSE),"")</f>
        <v/>
      </c>
      <c r="T1443" s="306"/>
      <c r="U1443" s="306"/>
      <c r="V1443" s="224"/>
      <c r="W1443" s="224"/>
      <c r="X1443" s="224"/>
      <c r="Y1443" s="224"/>
      <c r="Z1443" s="224"/>
      <c r="AA1443" s="224"/>
      <c r="AB1443" s="224"/>
      <c r="AC1443" s="224"/>
    </row>
    <row r="1444" spans="1:29" ht="15.75" hidden="1" customHeight="1">
      <c r="A1444" s="541">
        <v>44791</v>
      </c>
      <c r="B1444" s="306" t="s">
        <v>369</v>
      </c>
      <c r="C1444" s="542"/>
      <c r="D1444" s="306" t="s">
        <v>2074</v>
      </c>
      <c r="E1444" s="306" t="s">
        <v>3</v>
      </c>
      <c r="F1444" s="306" t="s">
        <v>488</v>
      </c>
      <c r="G1444" s="306" t="s">
        <v>2075</v>
      </c>
      <c r="H1444" s="306">
        <v>5</v>
      </c>
      <c r="I1444" s="306" t="s">
        <v>462</v>
      </c>
      <c r="J1444" s="306"/>
      <c r="K1444" s="306"/>
      <c r="L1444" s="306" t="s">
        <v>478</v>
      </c>
      <c r="M1444" s="306" t="s">
        <v>2077</v>
      </c>
      <c r="N1444" s="306" t="s">
        <v>452</v>
      </c>
      <c r="O1444" s="306" t="s">
        <v>2078</v>
      </c>
      <c r="P1444" s="306"/>
      <c r="Q1444" s="306"/>
      <c r="R1444" s="543"/>
      <c r="S1444" s="543"/>
      <c r="T1444" s="543"/>
      <c r="U1444" s="543"/>
      <c r="V1444" s="306"/>
      <c r="W1444" s="306"/>
      <c r="X1444" s="306"/>
      <c r="Y1444" s="306"/>
      <c r="Z1444" s="306"/>
      <c r="AA1444" s="306"/>
      <c r="AB1444" s="306"/>
      <c r="AC1444" s="306"/>
    </row>
    <row r="1445" spans="1:29" ht="15.75" hidden="1" customHeight="1">
      <c r="A1445" s="541">
        <v>44796</v>
      </c>
      <c r="B1445" s="306" t="s">
        <v>369</v>
      </c>
      <c r="C1445" s="542"/>
      <c r="D1445" s="306" t="s">
        <v>2074</v>
      </c>
      <c r="E1445" s="306" t="s">
        <v>3</v>
      </c>
      <c r="F1445" s="306" t="s">
        <v>488</v>
      </c>
      <c r="G1445" s="306" t="s">
        <v>2075</v>
      </c>
      <c r="H1445" s="306">
        <v>5</v>
      </c>
      <c r="I1445" s="306" t="s">
        <v>462</v>
      </c>
      <c r="J1445" s="306"/>
      <c r="K1445" s="306"/>
      <c r="L1445" s="306" t="s">
        <v>478</v>
      </c>
      <c r="M1445" s="544" t="s">
        <v>2077</v>
      </c>
      <c r="N1445" s="306" t="s">
        <v>452</v>
      </c>
      <c r="O1445" s="306" t="s">
        <v>2078</v>
      </c>
      <c r="P1445" s="306"/>
      <c r="Q1445" s="306"/>
      <c r="R1445" s="543"/>
      <c r="S1445" s="543"/>
      <c r="T1445" s="543"/>
      <c r="U1445" s="543"/>
      <c r="V1445" s="224"/>
      <c r="W1445" s="224"/>
      <c r="X1445" s="224"/>
      <c r="Y1445" s="224"/>
      <c r="Z1445" s="224"/>
      <c r="AA1445" s="224"/>
      <c r="AB1445" s="224"/>
      <c r="AC1445" s="224"/>
    </row>
    <row r="1446" spans="1:29" ht="15.75" hidden="1" customHeight="1">
      <c r="A1446" s="257">
        <v>44796</v>
      </c>
      <c r="B1446" s="258" t="s">
        <v>369</v>
      </c>
      <c r="C1446" s="263">
        <v>4.75</v>
      </c>
      <c r="D1446" s="258" t="s">
        <v>2074</v>
      </c>
      <c r="E1446" s="258" t="s">
        <v>3</v>
      </c>
      <c r="F1446" s="258" t="s">
        <v>488</v>
      </c>
      <c r="G1446" s="258" t="s">
        <v>2075</v>
      </c>
      <c r="H1446" s="258">
        <v>5</v>
      </c>
      <c r="I1446" s="258" t="s">
        <v>462</v>
      </c>
      <c r="J1446" s="258" t="s">
        <v>2076</v>
      </c>
      <c r="K1446" s="258">
        <v>4.5</v>
      </c>
      <c r="L1446" s="258" t="s">
        <v>478</v>
      </c>
      <c r="M1446" s="258" t="s">
        <v>2077</v>
      </c>
      <c r="N1446" s="258" t="s">
        <v>452</v>
      </c>
      <c r="O1446" s="258" t="s">
        <v>2078</v>
      </c>
      <c r="P1446" s="258"/>
      <c r="Q1446" s="258" t="s">
        <v>18</v>
      </c>
      <c r="R1446" s="259" t="s">
        <v>2079</v>
      </c>
      <c r="S1446" s="259"/>
      <c r="T1446" s="259"/>
      <c r="U1446" s="259"/>
      <c r="V1446" s="258"/>
      <c r="W1446" s="258"/>
      <c r="X1446" s="258"/>
      <c r="Y1446" s="258"/>
      <c r="Z1446" s="258"/>
      <c r="AA1446" s="258"/>
      <c r="AB1446" s="258"/>
      <c r="AC1446" s="258"/>
    </row>
    <row r="1447" spans="1:29" ht="15.75" hidden="1" customHeight="1">
      <c r="A1447" s="220">
        <v>44776</v>
      </c>
      <c r="B1447" s="221" t="s">
        <v>143</v>
      </c>
      <c r="C1447" s="214">
        <v>4</v>
      </c>
      <c r="D1447" s="221" t="s">
        <v>979</v>
      </c>
      <c r="E1447" s="215" t="s">
        <v>5</v>
      </c>
      <c r="F1447" s="221" t="s">
        <v>447</v>
      </c>
      <c r="G1447" s="221" t="s">
        <v>13400</v>
      </c>
      <c r="H1447" s="221">
        <v>4</v>
      </c>
      <c r="I1447" s="221" t="s">
        <v>476</v>
      </c>
      <c r="J1447" s="221" t="s">
        <v>13400</v>
      </c>
      <c r="K1447" s="221">
        <v>4</v>
      </c>
      <c r="L1447" s="221" t="s">
        <v>451</v>
      </c>
      <c r="M1447" s="221" t="s">
        <v>982</v>
      </c>
      <c r="N1447" s="221" t="s">
        <v>452</v>
      </c>
      <c r="O1447" s="221" t="s">
        <v>983</v>
      </c>
      <c r="P1447" s="145"/>
      <c r="Q1447" s="221" t="s">
        <v>18</v>
      </c>
      <c r="R1447" s="223">
        <f t="array" ref="R1447">INDEX(Notes!C:C,MATCH($B1447,Notes!$A:$A,0))</f>
        <v>0</v>
      </c>
      <c r="S1447" s="223"/>
      <c r="T1447" s="223"/>
      <c r="U1447" s="223"/>
      <c r="V1447" s="218"/>
      <c r="W1447" s="218"/>
      <c r="X1447" s="218"/>
      <c r="Y1447" s="224"/>
      <c r="Z1447" s="224"/>
      <c r="AA1447" s="224"/>
      <c r="AB1447" s="224"/>
      <c r="AC1447" s="224"/>
    </row>
    <row r="1448" spans="1:29" ht="15.75" hidden="1" customHeight="1">
      <c r="A1448" s="255">
        <v>44782</v>
      </c>
      <c r="B1448" s="239" t="s">
        <v>164</v>
      </c>
      <c r="C1448" s="249">
        <v>2.5</v>
      </c>
      <c r="D1448" s="239" t="s">
        <v>9491</v>
      </c>
      <c r="E1448" s="250" t="s">
        <v>5</v>
      </c>
      <c r="F1448" s="239" t="s">
        <v>447</v>
      </c>
      <c r="G1448" s="239" t="s">
        <v>11140</v>
      </c>
      <c r="H1448" s="239">
        <v>3</v>
      </c>
      <c r="I1448" s="239" t="s">
        <v>449</v>
      </c>
      <c r="J1448" s="239" t="s">
        <v>13400</v>
      </c>
      <c r="K1448" s="239">
        <v>2</v>
      </c>
      <c r="L1448" s="239"/>
      <c r="M1448" s="239"/>
      <c r="N1448" s="239" t="s">
        <v>452</v>
      </c>
      <c r="O1448" s="239" t="s">
        <v>9494</v>
      </c>
      <c r="P1448" s="239"/>
      <c r="Q1448" s="239" t="s">
        <v>20</v>
      </c>
      <c r="R1448" s="256" t="s">
        <v>9495</v>
      </c>
      <c r="S1448" s="256"/>
      <c r="T1448" s="256"/>
      <c r="U1448" s="256"/>
      <c r="V1448" s="239"/>
      <c r="W1448" s="239"/>
      <c r="X1448" s="239"/>
      <c r="Y1448" s="239"/>
      <c r="Z1448" s="239"/>
      <c r="AA1448" s="239"/>
      <c r="AB1448" s="239"/>
      <c r="AC1448" s="239"/>
    </row>
    <row r="1449" spans="1:29" ht="15.75" customHeight="1">
      <c r="A1449" s="541">
        <v>44797</v>
      </c>
      <c r="B1449" s="306" t="s">
        <v>254</v>
      </c>
      <c r="C1449" s="542"/>
      <c r="D1449" s="306" t="s">
        <v>11293</v>
      </c>
      <c r="E1449" s="306" t="s">
        <v>4</v>
      </c>
      <c r="F1449" s="306" t="s">
        <v>488</v>
      </c>
      <c r="G1449" s="306"/>
      <c r="H1449" s="306"/>
      <c r="I1449" s="306" t="s">
        <v>4054</v>
      </c>
      <c r="J1449" s="306"/>
      <c r="K1449" s="306">
        <v>4</v>
      </c>
      <c r="L1449" s="306" t="s">
        <v>451</v>
      </c>
      <c r="M1449" s="306">
        <v>500000</v>
      </c>
      <c r="N1449" s="306" t="s">
        <v>452</v>
      </c>
      <c r="O1449" s="306" t="s">
        <v>4084</v>
      </c>
      <c r="P1449" s="306"/>
      <c r="Q1449" s="306"/>
      <c r="R1449" s="306"/>
      <c r="S1449" s="306" t="str">
        <f>IFERROR(VLOOKUP(B1449,'2022-2023 Third Reviews'!$C:$S,9,FALSE),"")</f>
        <v/>
      </c>
      <c r="T1449" s="306"/>
      <c r="U1449" s="306"/>
      <c r="V1449" s="224"/>
      <c r="W1449" s="224"/>
      <c r="X1449" s="224"/>
      <c r="Y1449" s="224"/>
      <c r="Z1449" s="224"/>
      <c r="AA1449" s="224"/>
      <c r="AB1449" s="224"/>
      <c r="AC1449" s="224"/>
    </row>
    <row r="1450" spans="1:29" ht="15.75" customHeight="1">
      <c r="A1450" s="541">
        <v>44797</v>
      </c>
      <c r="B1450" s="306" t="s">
        <v>5774</v>
      </c>
      <c r="C1450" s="542"/>
      <c r="D1450" s="306" t="s">
        <v>5777</v>
      </c>
      <c r="E1450" s="306" t="s">
        <v>4</v>
      </c>
      <c r="F1450" s="306" t="s">
        <v>725</v>
      </c>
      <c r="G1450" s="306" t="s">
        <v>10261</v>
      </c>
      <c r="H1450" s="306">
        <v>3</v>
      </c>
      <c r="I1450" s="306" t="s">
        <v>622</v>
      </c>
      <c r="J1450" s="306"/>
      <c r="K1450" s="306"/>
      <c r="L1450" s="306" t="s">
        <v>451</v>
      </c>
      <c r="M1450" s="306">
        <v>2200000</v>
      </c>
      <c r="N1450" s="306" t="s">
        <v>452</v>
      </c>
      <c r="O1450" s="306" t="s">
        <v>10263</v>
      </c>
      <c r="P1450" s="306"/>
      <c r="Q1450" s="306"/>
      <c r="R1450" s="306"/>
      <c r="S1450" s="306" t="str">
        <f>IFERROR(VLOOKUP(B1450,'2022-2023 Third Reviews'!$C:$S,9,FALSE),"")</f>
        <v/>
      </c>
      <c r="T1450" s="306"/>
      <c r="U1450" s="306"/>
      <c r="V1450" s="303"/>
      <c r="W1450" s="303"/>
      <c r="X1450" s="303"/>
      <c r="Y1450" s="303"/>
      <c r="Z1450" s="303"/>
      <c r="AA1450" s="306"/>
      <c r="AB1450" s="306"/>
      <c r="AC1450" s="306"/>
    </row>
    <row r="1451" spans="1:29" ht="15.75" hidden="1" customHeight="1">
      <c r="A1451" s="541">
        <v>44796</v>
      </c>
      <c r="B1451" s="306" t="s">
        <v>290</v>
      </c>
      <c r="C1451" s="542"/>
      <c r="D1451" s="306" t="s">
        <v>9441</v>
      </c>
      <c r="E1451" s="306" t="s">
        <v>5</v>
      </c>
      <c r="F1451" s="306" t="s">
        <v>447</v>
      </c>
      <c r="G1451" s="306"/>
      <c r="H1451" s="306"/>
      <c r="I1451" s="306" t="s">
        <v>622</v>
      </c>
      <c r="J1451" s="306"/>
      <c r="K1451" s="306"/>
      <c r="L1451" s="306" t="s">
        <v>478</v>
      </c>
      <c r="M1451" s="544">
        <v>10000000</v>
      </c>
      <c r="N1451" s="306" t="s">
        <v>452</v>
      </c>
      <c r="O1451" s="306" t="s">
        <v>9444</v>
      </c>
      <c r="P1451" s="306"/>
      <c r="Q1451" s="306"/>
      <c r="R1451" s="543"/>
      <c r="S1451" s="543"/>
      <c r="T1451" s="543"/>
      <c r="U1451" s="543"/>
      <c r="V1451" s="224"/>
      <c r="W1451" s="224"/>
      <c r="X1451" s="224"/>
      <c r="Y1451" s="224"/>
      <c r="Z1451" s="224"/>
      <c r="AA1451" s="224"/>
      <c r="AB1451" s="224"/>
      <c r="AC1451" s="224"/>
    </row>
    <row r="1452" spans="1:29" ht="15.75" customHeight="1">
      <c r="A1452" s="541">
        <v>44797</v>
      </c>
      <c r="B1452" s="306" t="s">
        <v>270</v>
      </c>
      <c r="C1452" s="542"/>
      <c r="D1452" s="306" t="s">
        <v>11150</v>
      </c>
      <c r="E1452" s="306" t="s">
        <v>4</v>
      </c>
      <c r="F1452" s="306" t="s">
        <v>1045</v>
      </c>
      <c r="G1452" s="306" t="s">
        <v>1568</v>
      </c>
      <c r="H1452" s="306">
        <v>4</v>
      </c>
      <c r="I1452" s="306" t="s">
        <v>543</v>
      </c>
      <c r="J1452" s="306"/>
      <c r="K1452" s="306"/>
      <c r="L1452" s="306" t="s">
        <v>923</v>
      </c>
      <c r="M1452" s="306">
        <v>5000000</v>
      </c>
      <c r="N1452" s="306" t="s">
        <v>452</v>
      </c>
      <c r="O1452" s="306" t="s">
        <v>1570</v>
      </c>
      <c r="P1452" s="306"/>
      <c r="Q1452" s="306"/>
      <c r="R1452" s="306"/>
      <c r="S1452" s="306" t="str">
        <f>IFERROR(VLOOKUP(B1452,'2022-2023 Third Reviews'!$C:$S,9,FALSE),"")</f>
        <v/>
      </c>
      <c r="T1452" s="306"/>
      <c r="U1452" s="306"/>
      <c r="V1452" s="219"/>
      <c r="W1452" s="219"/>
      <c r="X1452" s="219"/>
      <c r="Y1452" s="219"/>
      <c r="Z1452" s="219"/>
      <c r="AA1452" s="219"/>
      <c r="AB1452" s="219"/>
      <c r="AC1452" s="219"/>
    </row>
    <row r="1453" spans="1:29" ht="15.75" customHeight="1">
      <c r="A1453" s="541">
        <v>44797</v>
      </c>
      <c r="B1453" s="306" t="s">
        <v>4421</v>
      </c>
      <c r="C1453" s="542"/>
      <c r="D1453" s="306" t="s">
        <v>4424</v>
      </c>
      <c r="E1453" s="306" t="s">
        <v>4</v>
      </c>
      <c r="F1453" s="306" t="s">
        <v>602</v>
      </c>
      <c r="G1453" s="306" t="s">
        <v>4425</v>
      </c>
      <c r="H1453" s="306">
        <v>4</v>
      </c>
      <c r="I1453" s="306" t="s">
        <v>543</v>
      </c>
      <c r="J1453" s="306"/>
      <c r="K1453" s="306"/>
      <c r="L1453" s="306" t="s">
        <v>784</v>
      </c>
      <c r="M1453" s="545">
        <v>2000000</v>
      </c>
      <c r="N1453" s="306" t="s">
        <v>452</v>
      </c>
      <c r="O1453" s="306" t="s">
        <v>4427</v>
      </c>
      <c r="P1453" s="306"/>
      <c r="Q1453" s="306"/>
      <c r="R1453" s="306"/>
      <c r="S1453" s="306" t="str">
        <f>IFERROR(VLOOKUP(B1453,'2022-2023 Third Reviews'!$C:$S,9,FALSE),"")</f>
        <v/>
      </c>
      <c r="T1453" s="306"/>
      <c r="U1453" s="306"/>
      <c r="V1453" s="306"/>
      <c r="W1453" s="306"/>
      <c r="X1453" s="306"/>
      <c r="Y1453" s="306"/>
      <c r="Z1453" s="306"/>
      <c r="AA1453" s="306"/>
      <c r="AB1453" s="306"/>
      <c r="AC1453" s="306"/>
    </row>
    <row r="1454" spans="1:29" ht="15.75" hidden="1" customHeight="1">
      <c r="A1454" s="280">
        <v>44784</v>
      </c>
      <c r="B1454" s="281" t="s">
        <v>370</v>
      </c>
      <c r="C1454" s="282">
        <v>3.75</v>
      </c>
      <c r="D1454" s="281" t="s">
        <v>2084</v>
      </c>
      <c r="E1454" s="281" t="s">
        <v>3</v>
      </c>
      <c r="F1454" s="281" t="s">
        <v>460</v>
      </c>
      <c r="G1454" s="281" t="s">
        <v>2085</v>
      </c>
      <c r="H1454" s="281">
        <v>4</v>
      </c>
      <c r="I1454" s="281" t="s">
        <v>941</v>
      </c>
      <c r="J1454" s="281" t="s">
        <v>2086</v>
      </c>
      <c r="K1454" s="281">
        <v>3.5</v>
      </c>
      <c r="L1454" s="281" t="s">
        <v>451</v>
      </c>
      <c r="M1454" s="288">
        <v>7500000</v>
      </c>
      <c r="N1454" s="281" t="s">
        <v>465</v>
      </c>
      <c r="O1454" s="288" t="s">
        <v>452</v>
      </c>
      <c r="P1454" s="281"/>
      <c r="Q1454" s="281" t="s">
        <v>20</v>
      </c>
      <c r="R1454" s="283" t="s">
        <v>2087</v>
      </c>
      <c r="S1454" s="283"/>
      <c r="T1454" s="283"/>
      <c r="U1454" s="283"/>
      <c r="V1454" s="281"/>
      <c r="W1454" s="281"/>
      <c r="X1454" s="281"/>
      <c r="Y1454" s="281"/>
      <c r="Z1454" s="281"/>
      <c r="AA1454" s="258"/>
      <c r="AB1454" s="258"/>
      <c r="AC1454" s="258"/>
    </row>
    <row r="1455" spans="1:29" ht="15.75" customHeight="1">
      <c r="A1455" s="541">
        <v>44797</v>
      </c>
      <c r="B1455" s="306" t="s">
        <v>272</v>
      </c>
      <c r="C1455" s="542"/>
      <c r="D1455" s="306" t="s">
        <v>10791</v>
      </c>
      <c r="E1455" s="306" t="s">
        <v>4</v>
      </c>
      <c r="F1455" s="306" t="s">
        <v>488</v>
      </c>
      <c r="G1455" s="306"/>
      <c r="H1455" s="306"/>
      <c r="I1455" s="306" t="s">
        <v>622</v>
      </c>
      <c r="J1455" s="306"/>
      <c r="K1455" s="306"/>
      <c r="L1455" s="306" t="s">
        <v>1578</v>
      </c>
      <c r="M1455" s="306" t="s">
        <v>1579</v>
      </c>
      <c r="N1455" s="306" t="s">
        <v>452</v>
      </c>
      <c r="O1455" s="306" t="s">
        <v>1580</v>
      </c>
      <c r="P1455" s="306"/>
      <c r="Q1455" s="306"/>
      <c r="R1455" s="306"/>
      <c r="S1455" s="306" t="str">
        <f>IFERROR(VLOOKUP(B1455,'2022-2023 Third Reviews'!$C:$S,9,FALSE),"")</f>
        <v/>
      </c>
      <c r="T1455" s="306"/>
      <c r="U1455" s="306"/>
      <c r="V1455" s="272"/>
      <c r="W1455" s="272"/>
      <c r="X1455" s="272"/>
      <c r="Y1455" s="272"/>
      <c r="Z1455" s="272"/>
      <c r="AA1455" s="224"/>
      <c r="AB1455" s="224"/>
      <c r="AC1455" s="224"/>
    </row>
    <row r="1456" spans="1:29" ht="15.75" customHeight="1">
      <c r="A1456" s="541">
        <v>44797</v>
      </c>
      <c r="B1456" s="306" t="s">
        <v>5271</v>
      </c>
      <c r="C1456" s="542"/>
      <c r="D1456" s="306" t="s">
        <v>5274</v>
      </c>
      <c r="E1456" s="306" t="s">
        <v>4</v>
      </c>
      <c r="F1456" s="306" t="s">
        <v>1045</v>
      </c>
      <c r="G1456" s="306"/>
      <c r="H1456" s="306"/>
      <c r="I1456" s="306" t="s">
        <v>1350</v>
      </c>
      <c r="J1456" s="306"/>
      <c r="K1456" s="306"/>
      <c r="L1456" s="306"/>
      <c r="M1456" s="306"/>
      <c r="N1456" s="306" t="s">
        <v>452</v>
      </c>
      <c r="O1456" s="306" t="s">
        <v>5277</v>
      </c>
      <c r="P1456" s="306"/>
      <c r="Q1456" s="306"/>
      <c r="R1456" s="306"/>
      <c r="S1456" s="306" t="str">
        <f>IFERROR(VLOOKUP(B1456,'2022-2023 Third Reviews'!$C:$S,9,FALSE),"")</f>
        <v/>
      </c>
      <c r="T1456" s="306"/>
      <c r="U1456" s="306"/>
      <c r="V1456" s="306"/>
      <c r="W1456" s="306"/>
      <c r="X1456" s="306"/>
      <c r="Y1456" s="306"/>
      <c r="Z1456" s="306"/>
      <c r="AA1456" s="306"/>
      <c r="AB1456" s="306"/>
      <c r="AC1456" s="306"/>
    </row>
    <row r="1457" spans="1:29" ht="15.75" customHeight="1">
      <c r="A1457" s="541">
        <v>44796</v>
      </c>
      <c r="B1457" s="306" t="s">
        <v>10214</v>
      </c>
      <c r="C1457" s="542"/>
      <c r="D1457" s="306" t="s">
        <v>8059</v>
      </c>
      <c r="E1457" s="306" t="s">
        <v>4</v>
      </c>
      <c r="F1457" s="306" t="s">
        <v>727</v>
      </c>
      <c r="G1457" s="306"/>
      <c r="H1457" s="306"/>
      <c r="I1457" s="306" t="s">
        <v>476</v>
      </c>
      <c r="J1457" s="306" t="s">
        <v>8061</v>
      </c>
      <c r="K1457" s="306">
        <v>1</v>
      </c>
      <c r="L1457" s="306" t="s">
        <v>451</v>
      </c>
      <c r="M1457" s="544">
        <v>900000</v>
      </c>
      <c r="N1457" s="306" t="s">
        <v>452</v>
      </c>
      <c r="O1457" s="306" t="s">
        <v>8062</v>
      </c>
      <c r="P1457" s="306" t="s">
        <v>8063</v>
      </c>
      <c r="Q1457" s="306"/>
      <c r="R1457" s="306"/>
      <c r="S1457" s="306" t="str">
        <f>IFERROR(VLOOKUP(B1457,'2022-2023 Third Reviews'!$C:$S,9,FALSE),"")</f>
        <v/>
      </c>
      <c r="T1457" s="306"/>
      <c r="U1457" s="306"/>
      <c r="V1457" s="224"/>
      <c r="W1457" s="224"/>
      <c r="X1457" s="224"/>
      <c r="Y1457" s="224"/>
      <c r="Z1457" s="224"/>
      <c r="AA1457" s="224"/>
      <c r="AB1457" s="224"/>
      <c r="AC1457" s="224"/>
    </row>
    <row r="1458" spans="1:29" ht="15.75" hidden="1" customHeight="1">
      <c r="A1458" s="248">
        <v>44796</v>
      </c>
      <c r="B1458" s="219" t="s">
        <v>9305</v>
      </c>
      <c r="C1458" s="315">
        <v>1.5</v>
      </c>
      <c r="D1458" s="219" t="s">
        <v>11370</v>
      </c>
      <c r="E1458" s="219" t="s">
        <v>3</v>
      </c>
      <c r="F1458" s="219" t="s">
        <v>488</v>
      </c>
      <c r="G1458" s="219"/>
      <c r="H1458" s="219">
        <v>2</v>
      </c>
      <c r="I1458" s="219" t="s">
        <v>941</v>
      </c>
      <c r="J1458" s="219"/>
      <c r="K1458" s="219">
        <v>1</v>
      </c>
      <c r="L1458" s="219" t="s">
        <v>451</v>
      </c>
      <c r="M1458" s="219">
        <v>2000000</v>
      </c>
      <c r="N1458" s="219" t="s">
        <v>452</v>
      </c>
      <c r="O1458" s="219" t="s">
        <v>452</v>
      </c>
      <c r="P1458" s="219" t="s">
        <v>2180</v>
      </c>
      <c r="Q1458" s="219" t="s">
        <v>24</v>
      </c>
      <c r="R1458" s="251"/>
      <c r="S1458" s="251"/>
      <c r="T1458" s="251"/>
      <c r="U1458" s="251"/>
      <c r="V1458" s="219"/>
      <c r="W1458" s="219"/>
      <c r="X1458" s="219"/>
      <c r="Y1458" s="219"/>
      <c r="Z1458" s="219"/>
      <c r="AA1458" s="219"/>
      <c r="AB1458" s="219"/>
      <c r="AC1458" s="219"/>
    </row>
    <row r="1459" spans="1:29" ht="15.75" customHeight="1">
      <c r="A1459" s="541">
        <v>44797</v>
      </c>
      <c r="B1459" s="306" t="s">
        <v>4086</v>
      </c>
      <c r="C1459" s="542"/>
      <c r="D1459" s="306" t="s">
        <v>4089</v>
      </c>
      <c r="E1459" s="306" t="s">
        <v>4</v>
      </c>
      <c r="F1459" s="306" t="s">
        <v>1045</v>
      </c>
      <c r="G1459" s="306"/>
      <c r="H1459" s="306"/>
      <c r="I1459" s="306" t="s">
        <v>1350</v>
      </c>
      <c r="J1459" s="306"/>
      <c r="K1459" s="306"/>
      <c r="L1459" s="306" t="s">
        <v>784</v>
      </c>
      <c r="M1459" s="306" t="s">
        <v>4092</v>
      </c>
      <c r="N1459" s="306" t="s">
        <v>452</v>
      </c>
      <c r="O1459" s="306" t="s">
        <v>4093</v>
      </c>
      <c r="P1459" s="306"/>
      <c r="Q1459" s="306"/>
      <c r="R1459" s="306"/>
      <c r="S1459" s="306" t="str">
        <f>IFERROR(VLOOKUP(B1459,'2022-2023 Third Reviews'!$C:$S,9,FALSE),"")</f>
        <v/>
      </c>
      <c r="T1459" s="306"/>
      <c r="U1459" s="306"/>
      <c r="V1459" s="224"/>
      <c r="W1459" s="224"/>
      <c r="X1459" s="224"/>
      <c r="Y1459" s="224"/>
      <c r="Z1459" s="224"/>
      <c r="AA1459" s="224"/>
      <c r="AB1459" s="224"/>
      <c r="AC1459" s="224"/>
    </row>
    <row r="1460" spans="1:29" ht="15.75" customHeight="1">
      <c r="A1460" s="479">
        <v>44789</v>
      </c>
      <c r="B1460" s="303" t="s">
        <v>255</v>
      </c>
      <c r="C1460" s="269"/>
      <c r="D1460" s="303" t="s">
        <v>13218</v>
      </c>
      <c r="E1460" s="270" t="s">
        <v>4</v>
      </c>
      <c r="F1460" s="303" t="s">
        <v>602</v>
      </c>
      <c r="G1460" s="303"/>
      <c r="H1460" s="303">
        <v>4</v>
      </c>
      <c r="I1460" s="303" t="s">
        <v>1054</v>
      </c>
      <c r="J1460" s="303"/>
      <c r="K1460" s="303"/>
      <c r="L1460" s="303"/>
      <c r="M1460" s="303"/>
      <c r="N1460" s="303" t="s">
        <v>465</v>
      </c>
      <c r="O1460" s="303" t="s">
        <v>4102</v>
      </c>
      <c r="P1460" s="303"/>
      <c r="Q1460" s="303"/>
      <c r="R1460" s="303"/>
      <c r="S1460" s="303" t="str">
        <f ca="1">IFERROR(VLOOKUP(B1460,'2022-2023 Third Reviews'!$C:$S,9,FALSE),"")</f>
        <v>Chris Millisits
3</v>
      </c>
      <c r="T1460" s="303"/>
      <c r="U1460" s="303"/>
      <c r="V1460" s="252"/>
      <c r="W1460" s="252"/>
      <c r="X1460" s="252"/>
      <c r="Y1460" s="219"/>
      <c r="Z1460" s="219"/>
      <c r="AA1460" s="219"/>
      <c r="AB1460" s="219"/>
      <c r="AC1460" s="219"/>
    </row>
    <row r="1461" spans="1:29" ht="15.75" customHeight="1">
      <c r="A1461" s="541">
        <v>44797</v>
      </c>
      <c r="B1461" s="306" t="s">
        <v>7558</v>
      </c>
      <c r="C1461" s="542"/>
      <c r="D1461" s="306" t="s">
        <v>10377</v>
      </c>
      <c r="E1461" s="306" t="s">
        <v>4</v>
      </c>
      <c r="F1461" s="306" t="s">
        <v>1457</v>
      </c>
      <c r="G1461" s="306"/>
      <c r="H1461" s="306"/>
      <c r="I1461" s="306" t="s">
        <v>1045</v>
      </c>
      <c r="J1461" s="306" t="s">
        <v>7563</v>
      </c>
      <c r="K1461" s="306">
        <v>2</v>
      </c>
      <c r="L1461" s="306" t="s">
        <v>451</v>
      </c>
      <c r="M1461" s="306">
        <v>4000000</v>
      </c>
      <c r="N1461" s="306" t="s">
        <v>465</v>
      </c>
      <c r="O1461" s="306" t="s">
        <v>452</v>
      </c>
      <c r="P1461" s="306"/>
      <c r="Q1461" s="306"/>
      <c r="R1461" s="306"/>
      <c r="S1461" s="306" t="str">
        <f>IFERROR(VLOOKUP(B1461,'2022-2023 Third Reviews'!$C:$S,9,FALSE),"")</f>
        <v/>
      </c>
      <c r="T1461" s="306"/>
      <c r="U1461" s="306"/>
      <c r="V1461" s="224"/>
      <c r="W1461" s="224"/>
      <c r="X1461" s="224"/>
      <c r="Y1461" s="224"/>
      <c r="Z1461" s="224"/>
      <c r="AA1461" s="224"/>
      <c r="AB1461" s="224"/>
      <c r="AC1461" s="224"/>
    </row>
    <row r="1462" spans="1:29" ht="15.75" customHeight="1">
      <c r="A1462" s="479">
        <v>44789</v>
      </c>
      <c r="B1462" s="303" t="s">
        <v>6061</v>
      </c>
      <c r="C1462" s="269"/>
      <c r="D1462" s="303" t="s">
        <v>6064</v>
      </c>
      <c r="E1462" s="270" t="s">
        <v>4</v>
      </c>
      <c r="F1462" s="303" t="s">
        <v>725</v>
      </c>
      <c r="G1462" s="303"/>
      <c r="H1462" s="303"/>
      <c r="I1462" s="303" t="s">
        <v>1054</v>
      </c>
      <c r="J1462" s="303" t="s">
        <v>6066</v>
      </c>
      <c r="K1462" s="303">
        <v>2.5</v>
      </c>
      <c r="L1462" s="303"/>
      <c r="M1462" s="303"/>
      <c r="N1462" s="303" t="s">
        <v>452</v>
      </c>
      <c r="O1462" s="303" t="s">
        <v>6067</v>
      </c>
      <c r="P1462" s="303"/>
      <c r="Q1462" s="303"/>
      <c r="R1462" s="303"/>
      <c r="S1462" s="303" t="str">
        <f>IFERROR(VLOOKUP(B1462,'2022-2023 Third Reviews'!$C:$S,9,FALSE),"")</f>
        <v/>
      </c>
      <c r="T1462" s="303"/>
      <c r="U1462" s="303"/>
      <c r="V1462" s="219"/>
      <c r="W1462" s="219"/>
      <c r="X1462" s="219"/>
      <c r="Y1462" s="219"/>
      <c r="Z1462" s="219"/>
      <c r="AA1462" s="219"/>
      <c r="AB1462" s="219"/>
      <c r="AC1462" s="219"/>
    </row>
    <row r="1463" spans="1:29" ht="15.75" customHeight="1">
      <c r="A1463" s="541">
        <v>44797</v>
      </c>
      <c r="B1463" s="306" t="s">
        <v>10473</v>
      </c>
      <c r="C1463" s="542"/>
      <c r="D1463" s="306" t="s">
        <v>9642</v>
      </c>
      <c r="E1463" s="306" t="s">
        <v>4</v>
      </c>
      <c r="F1463" s="306" t="s">
        <v>1457</v>
      </c>
      <c r="G1463" s="306"/>
      <c r="H1463" s="306"/>
      <c r="I1463" s="306" t="s">
        <v>1045</v>
      </c>
      <c r="J1463" s="306" t="s">
        <v>9644</v>
      </c>
      <c r="K1463" s="306">
        <v>3.5</v>
      </c>
      <c r="L1463" s="306"/>
      <c r="M1463" s="306"/>
      <c r="N1463" s="306" t="s">
        <v>465</v>
      </c>
      <c r="O1463" s="306" t="s">
        <v>9645</v>
      </c>
      <c r="P1463" s="306" t="s">
        <v>9646</v>
      </c>
      <c r="Q1463" s="306"/>
      <c r="R1463" s="306"/>
      <c r="S1463" s="306" t="str">
        <f>IFERROR(VLOOKUP(B1463,'2022-2023 Third Reviews'!$C:$S,9,FALSE),"")</f>
        <v/>
      </c>
      <c r="T1463" s="306"/>
      <c r="U1463" s="306"/>
      <c r="V1463" s="224"/>
      <c r="W1463" s="224"/>
      <c r="X1463" s="224"/>
      <c r="Y1463" s="224"/>
      <c r="Z1463" s="224"/>
      <c r="AA1463" s="224"/>
      <c r="AB1463" s="224"/>
      <c r="AC1463" s="224"/>
    </row>
    <row r="1464" spans="1:29" ht="15.75" customHeight="1">
      <c r="A1464" s="541">
        <v>44797</v>
      </c>
      <c r="B1464" s="306" t="s">
        <v>7615</v>
      </c>
      <c r="C1464" s="542"/>
      <c r="D1464" s="306" t="s">
        <v>7618</v>
      </c>
      <c r="E1464" s="306" t="s">
        <v>4</v>
      </c>
      <c r="F1464" s="306" t="s">
        <v>602</v>
      </c>
      <c r="G1464" s="306" t="s">
        <v>7619</v>
      </c>
      <c r="H1464" s="306">
        <v>2</v>
      </c>
      <c r="I1464" s="306" t="s">
        <v>1350</v>
      </c>
      <c r="J1464" s="306"/>
      <c r="K1464" s="306"/>
      <c r="L1464" s="306"/>
      <c r="M1464" s="306"/>
      <c r="N1464" s="306" t="s">
        <v>454</v>
      </c>
      <c r="O1464" s="306" t="s">
        <v>7621</v>
      </c>
      <c r="P1464" s="306" t="s">
        <v>7622</v>
      </c>
      <c r="Q1464" s="306"/>
      <c r="R1464" s="306"/>
      <c r="S1464" s="306" t="str">
        <f>IFERROR(VLOOKUP(B1464,'2022-2023 Third Reviews'!$C:$S,9,FALSE),"")</f>
        <v/>
      </c>
      <c r="T1464" s="306"/>
      <c r="U1464" s="306"/>
      <c r="V1464" s="252"/>
      <c r="W1464" s="252"/>
      <c r="X1464" s="252"/>
      <c r="Y1464" s="219"/>
      <c r="Z1464" s="219"/>
      <c r="AA1464" s="219"/>
      <c r="AB1464" s="219"/>
      <c r="AC1464" s="219"/>
    </row>
    <row r="1465" spans="1:29" ht="15.75" hidden="1" customHeight="1">
      <c r="A1465" s="253">
        <v>44789</v>
      </c>
      <c r="B1465" s="224" t="s">
        <v>9311</v>
      </c>
      <c r="C1465" s="249">
        <v>3</v>
      </c>
      <c r="D1465" s="224" t="s">
        <v>9314</v>
      </c>
      <c r="E1465" s="250" t="s">
        <v>3</v>
      </c>
      <c r="F1465" s="224" t="s">
        <v>460</v>
      </c>
      <c r="G1465" s="224" t="s">
        <v>9315</v>
      </c>
      <c r="H1465" s="224">
        <v>3</v>
      </c>
      <c r="I1465" s="224" t="s">
        <v>462</v>
      </c>
      <c r="J1465" s="224" t="s">
        <v>9316</v>
      </c>
      <c r="K1465" s="224">
        <v>3</v>
      </c>
      <c r="L1465" s="224" t="s">
        <v>451</v>
      </c>
      <c r="M1465" s="307">
        <v>500000</v>
      </c>
      <c r="N1465" s="224" t="s">
        <v>452</v>
      </c>
      <c r="O1465" s="224" t="s">
        <v>452</v>
      </c>
      <c r="P1465" s="224"/>
      <c r="Q1465" s="224" t="s">
        <v>24</v>
      </c>
      <c r="R1465" s="254"/>
      <c r="S1465" s="254"/>
      <c r="T1465" s="254"/>
      <c r="U1465" s="254"/>
      <c r="V1465" s="252"/>
      <c r="W1465" s="252"/>
      <c r="X1465" s="252"/>
      <c r="Y1465" s="224"/>
      <c r="Z1465" s="224"/>
      <c r="AA1465" s="224"/>
      <c r="AB1465" s="224"/>
      <c r="AC1465" s="224"/>
    </row>
    <row r="1466" spans="1:29" ht="15.75" hidden="1" customHeight="1">
      <c r="A1466" s="255">
        <v>44796</v>
      </c>
      <c r="B1466" s="239" t="s">
        <v>352</v>
      </c>
      <c r="C1466" s="262">
        <v>4</v>
      </c>
      <c r="D1466" s="239" t="s">
        <v>3608</v>
      </c>
      <c r="E1466" s="239" t="s">
        <v>5</v>
      </c>
      <c r="F1466" s="239" t="s">
        <v>460</v>
      </c>
      <c r="G1466" s="239" t="s">
        <v>10570</v>
      </c>
      <c r="H1466" s="239">
        <v>4</v>
      </c>
      <c r="I1466" s="239" t="s">
        <v>462</v>
      </c>
      <c r="J1466" s="239" t="s">
        <v>3610</v>
      </c>
      <c r="K1466" s="239">
        <v>4</v>
      </c>
      <c r="L1466" s="239"/>
      <c r="M1466" s="239"/>
      <c r="N1466" s="239" t="s">
        <v>452</v>
      </c>
      <c r="O1466" s="239" t="s">
        <v>3611</v>
      </c>
      <c r="P1466" s="239"/>
      <c r="Q1466" s="239" t="s">
        <v>20</v>
      </c>
      <c r="R1466" s="256" t="s">
        <v>11709</v>
      </c>
      <c r="S1466" s="256"/>
      <c r="T1466" s="256"/>
      <c r="U1466" s="256"/>
      <c r="V1466" s="239"/>
      <c r="W1466" s="239"/>
      <c r="X1466" s="239"/>
      <c r="Y1466" s="239"/>
      <c r="Z1466" s="239"/>
      <c r="AA1466" s="239"/>
      <c r="AB1466" s="239"/>
      <c r="AC1466" s="239"/>
    </row>
    <row r="1467" spans="1:29" ht="15.75" customHeight="1">
      <c r="A1467" s="541">
        <v>44796</v>
      </c>
      <c r="B1467" s="306" t="s">
        <v>4438</v>
      </c>
      <c r="C1467" s="542"/>
      <c r="D1467" s="306" t="s">
        <v>11123</v>
      </c>
      <c r="E1467" s="306" t="s">
        <v>4</v>
      </c>
      <c r="F1467" s="306" t="s">
        <v>725</v>
      </c>
      <c r="G1467" s="306"/>
      <c r="H1467" s="306"/>
      <c r="I1467" s="306" t="s">
        <v>1045</v>
      </c>
      <c r="J1467" s="306"/>
      <c r="K1467" s="306"/>
      <c r="L1467" s="306" t="s">
        <v>451</v>
      </c>
      <c r="M1467" s="306" t="s">
        <v>4444</v>
      </c>
      <c r="N1467" s="306" t="s">
        <v>452</v>
      </c>
      <c r="O1467" s="306" t="s">
        <v>4445</v>
      </c>
      <c r="P1467" s="306"/>
      <c r="Q1467" s="306"/>
      <c r="R1467" s="306"/>
      <c r="S1467" s="306" t="str">
        <f>IFERROR(VLOOKUP(B1467,'2022-2023 Third Reviews'!$C:$S,9,FALSE),"")</f>
        <v/>
      </c>
      <c r="T1467" s="306"/>
      <c r="U1467" s="306"/>
      <c r="V1467" s="224"/>
      <c r="W1467" s="224"/>
      <c r="X1467" s="224"/>
      <c r="Y1467" s="224"/>
      <c r="Z1467" s="224"/>
      <c r="AA1467" s="224"/>
      <c r="AB1467" s="224"/>
      <c r="AC1467" s="224"/>
    </row>
    <row r="1468" spans="1:29" ht="15.75" hidden="1" customHeight="1">
      <c r="A1468" s="301">
        <v>44789</v>
      </c>
      <c r="B1468" s="303" t="s">
        <v>3614</v>
      </c>
      <c r="C1468" s="269"/>
      <c r="D1468" s="303" t="s">
        <v>3617</v>
      </c>
      <c r="E1468" s="270" t="s">
        <v>5</v>
      </c>
      <c r="F1468" s="303" t="s">
        <v>447</v>
      </c>
      <c r="G1468" s="303" t="s">
        <v>10716</v>
      </c>
      <c r="H1468" s="303">
        <v>3</v>
      </c>
      <c r="I1468" s="303" t="s">
        <v>622</v>
      </c>
      <c r="J1468" s="303"/>
      <c r="K1468" s="303"/>
      <c r="L1468" s="303"/>
      <c r="M1468" s="303"/>
      <c r="N1468" s="303" t="s">
        <v>465</v>
      </c>
      <c r="O1468" s="539" t="s">
        <v>10718</v>
      </c>
      <c r="P1468" s="303"/>
      <c r="Q1468" s="303"/>
      <c r="R1468" s="305"/>
      <c r="S1468" s="305"/>
      <c r="T1468" s="305"/>
      <c r="U1468" s="305"/>
      <c r="V1468" s="303"/>
      <c r="W1468" s="303"/>
      <c r="X1468" s="303"/>
      <c r="Y1468" s="303"/>
      <c r="Z1468" s="303"/>
      <c r="AA1468" s="306"/>
      <c r="AB1468" s="306"/>
      <c r="AC1468" s="306"/>
    </row>
    <row r="1469" spans="1:29" ht="15.75" hidden="1" customHeight="1">
      <c r="A1469" s="253">
        <v>44789</v>
      </c>
      <c r="B1469" s="224" t="s">
        <v>3614</v>
      </c>
      <c r="C1469" s="249">
        <v>2.75</v>
      </c>
      <c r="D1469" s="224" t="s">
        <v>3617</v>
      </c>
      <c r="E1469" s="250" t="s">
        <v>5</v>
      </c>
      <c r="F1469" s="224" t="s">
        <v>447</v>
      </c>
      <c r="G1469" s="224" t="s">
        <v>10716</v>
      </c>
      <c r="H1469" s="224">
        <v>3</v>
      </c>
      <c r="I1469" s="224" t="s">
        <v>622</v>
      </c>
      <c r="J1469" s="224" t="s">
        <v>10717</v>
      </c>
      <c r="K1469" s="224">
        <v>2.5</v>
      </c>
      <c r="L1469" s="224"/>
      <c r="M1469" s="224"/>
      <c r="N1469" s="224" t="s">
        <v>465</v>
      </c>
      <c r="O1469" s="224" t="s">
        <v>10718</v>
      </c>
      <c r="P1469" s="224"/>
      <c r="Q1469" s="224" t="s">
        <v>24</v>
      </c>
      <c r="R1469" s="254"/>
      <c r="S1469" s="254"/>
      <c r="T1469" s="254"/>
      <c r="U1469" s="254"/>
      <c r="V1469" s="252"/>
      <c r="W1469" s="252"/>
      <c r="X1469" s="252"/>
      <c r="Y1469" s="224"/>
      <c r="Z1469" s="224"/>
      <c r="AA1469" s="224"/>
      <c r="AB1469" s="224"/>
      <c r="AC1469" s="224"/>
    </row>
    <row r="1470" spans="1:29" ht="15.75" customHeight="1">
      <c r="A1470" s="541">
        <v>44797</v>
      </c>
      <c r="B1470" s="306" t="s">
        <v>11352</v>
      </c>
      <c r="C1470" s="542"/>
      <c r="D1470" s="306" t="s">
        <v>5301</v>
      </c>
      <c r="E1470" s="306" t="s">
        <v>4</v>
      </c>
      <c r="F1470" s="306" t="s">
        <v>602</v>
      </c>
      <c r="G1470" s="306"/>
      <c r="H1470" s="306"/>
      <c r="I1470" s="306" t="s">
        <v>1350</v>
      </c>
      <c r="J1470" s="306"/>
      <c r="K1470" s="306"/>
      <c r="L1470" s="306" t="s">
        <v>451</v>
      </c>
      <c r="M1470" s="545">
        <v>3000000</v>
      </c>
      <c r="N1470" s="306" t="s">
        <v>452</v>
      </c>
      <c r="O1470" s="306" t="s">
        <v>11353</v>
      </c>
      <c r="P1470" s="306"/>
      <c r="Q1470" s="306"/>
      <c r="R1470" s="306"/>
      <c r="S1470" s="306" t="str">
        <f>IFERROR(VLOOKUP(B1470,'2022-2023 Third Reviews'!$C:$S,9,FALSE),"")</f>
        <v/>
      </c>
      <c r="T1470" s="306"/>
      <c r="U1470" s="306"/>
      <c r="V1470" s="219"/>
      <c r="W1470" s="219"/>
      <c r="X1470" s="219"/>
      <c r="Y1470" s="219"/>
      <c r="Z1470" s="219"/>
      <c r="AA1470" s="219"/>
      <c r="AB1470" s="219"/>
      <c r="AC1470" s="219"/>
    </row>
    <row r="1471" spans="1:29" ht="15.75" hidden="1" customHeight="1">
      <c r="A1471" s="301">
        <v>44789</v>
      </c>
      <c r="B1471" s="303" t="s">
        <v>393</v>
      </c>
      <c r="C1471" s="269"/>
      <c r="D1471" s="303" t="s">
        <v>11070</v>
      </c>
      <c r="E1471" s="270" t="s">
        <v>3</v>
      </c>
      <c r="F1471" s="303" t="s">
        <v>488</v>
      </c>
      <c r="G1471" s="303"/>
      <c r="H1471" s="303"/>
      <c r="I1471" s="303" t="s">
        <v>462</v>
      </c>
      <c r="J1471" s="303"/>
      <c r="K1471" s="303"/>
      <c r="L1471" s="303"/>
      <c r="M1471" s="303"/>
      <c r="N1471" s="303" t="s">
        <v>452</v>
      </c>
      <c r="O1471" s="303" t="s">
        <v>11072</v>
      </c>
      <c r="P1471" s="303"/>
      <c r="Q1471" s="303"/>
      <c r="R1471" s="305"/>
      <c r="S1471" s="305"/>
      <c r="T1471" s="305"/>
      <c r="U1471" s="305"/>
      <c r="V1471" s="303"/>
      <c r="W1471" s="303"/>
      <c r="X1471" s="303"/>
      <c r="Y1471" s="303"/>
      <c r="Z1471" s="303"/>
      <c r="AA1471" s="306"/>
      <c r="AB1471" s="306"/>
      <c r="AC1471" s="306"/>
    </row>
    <row r="1472" spans="1:29" ht="15.75" hidden="1" customHeight="1">
      <c r="A1472" s="541">
        <v>44791</v>
      </c>
      <c r="B1472" s="306" t="s">
        <v>393</v>
      </c>
      <c r="C1472" s="542"/>
      <c r="D1472" s="306" t="s">
        <v>11070</v>
      </c>
      <c r="E1472" s="306" t="s">
        <v>3</v>
      </c>
      <c r="F1472" s="306" t="s">
        <v>488</v>
      </c>
      <c r="G1472" s="306"/>
      <c r="H1472" s="306"/>
      <c r="I1472" s="306" t="s">
        <v>462</v>
      </c>
      <c r="J1472" s="306"/>
      <c r="K1472" s="306"/>
      <c r="L1472" s="306"/>
      <c r="M1472" s="544"/>
      <c r="N1472" s="306" t="s">
        <v>452</v>
      </c>
      <c r="O1472" s="306" t="s">
        <v>11072</v>
      </c>
      <c r="P1472" s="306"/>
      <c r="Q1472" s="306"/>
      <c r="R1472" s="543"/>
      <c r="S1472" s="543"/>
      <c r="T1472" s="543"/>
      <c r="U1472" s="543"/>
      <c r="V1472" s="306"/>
      <c r="W1472" s="306"/>
      <c r="X1472" s="306"/>
      <c r="Y1472" s="306"/>
      <c r="Z1472" s="306"/>
      <c r="AA1472" s="306"/>
      <c r="AB1472" s="306"/>
      <c r="AC1472" s="306"/>
    </row>
    <row r="1473" spans="1:29" ht="15.75" hidden="1" customHeight="1">
      <c r="A1473" s="255">
        <v>44791</v>
      </c>
      <c r="B1473" s="239" t="s">
        <v>393</v>
      </c>
      <c r="C1473" s="262">
        <v>3.5</v>
      </c>
      <c r="D1473" s="239" t="s">
        <v>11070</v>
      </c>
      <c r="E1473" s="239" t="s">
        <v>5</v>
      </c>
      <c r="F1473" s="239" t="s">
        <v>488</v>
      </c>
      <c r="G1473" s="239" t="s">
        <v>11071</v>
      </c>
      <c r="H1473" s="239">
        <v>3</v>
      </c>
      <c r="I1473" s="239" t="s">
        <v>462</v>
      </c>
      <c r="J1473" s="239" t="s">
        <v>3626</v>
      </c>
      <c r="K1473" s="239">
        <v>4</v>
      </c>
      <c r="L1473" s="239"/>
      <c r="M1473" s="239"/>
      <c r="N1473" s="239" t="s">
        <v>452</v>
      </c>
      <c r="O1473" s="239" t="s">
        <v>11072</v>
      </c>
      <c r="P1473" s="239"/>
      <c r="Q1473" s="239" t="s">
        <v>20</v>
      </c>
      <c r="R1473" s="256" t="s">
        <v>11674</v>
      </c>
      <c r="S1473" s="256"/>
      <c r="T1473" s="256"/>
      <c r="U1473" s="256"/>
      <c r="V1473" s="239"/>
      <c r="W1473" s="239"/>
      <c r="X1473" s="239"/>
      <c r="Y1473" s="239"/>
      <c r="Z1473" s="239"/>
      <c r="AA1473" s="239"/>
      <c r="AB1473" s="239"/>
      <c r="AC1473" s="239"/>
    </row>
    <row r="1474" spans="1:29" ht="15.75" customHeight="1">
      <c r="A1474" s="541">
        <v>44797</v>
      </c>
      <c r="B1474" s="306" t="s">
        <v>5818</v>
      </c>
      <c r="C1474" s="542"/>
      <c r="D1474" s="306" t="s">
        <v>5821</v>
      </c>
      <c r="E1474" s="306" t="s">
        <v>4</v>
      </c>
      <c r="F1474" s="306" t="s">
        <v>1045</v>
      </c>
      <c r="G1474" s="306" t="s">
        <v>5822</v>
      </c>
      <c r="H1474" s="306">
        <v>3.5</v>
      </c>
      <c r="I1474" s="306" t="s">
        <v>1350</v>
      </c>
      <c r="J1474" s="306"/>
      <c r="K1474" s="306"/>
      <c r="L1474" s="306" t="s">
        <v>451</v>
      </c>
      <c r="M1474" s="306">
        <v>2000000</v>
      </c>
      <c r="N1474" s="306" t="s">
        <v>452</v>
      </c>
      <c r="O1474" s="306" t="s">
        <v>452</v>
      </c>
      <c r="P1474" s="306"/>
      <c r="Q1474" s="306"/>
      <c r="R1474" s="306"/>
      <c r="S1474" s="306" t="str">
        <f>IFERROR(VLOOKUP(B1474,'2022-2023 Third Reviews'!$C:$S,9,FALSE),"")</f>
        <v/>
      </c>
      <c r="T1474" s="306"/>
      <c r="U1474" s="306"/>
      <c r="V1474" s="306"/>
      <c r="W1474" s="306"/>
      <c r="X1474" s="306"/>
      <c r="Y1474" s="306"/>
      <c r="Z1474" s="306"/>
      <c r="AA1474" s="306"/>
      <c r="AB1474" s="306"/>
      <c r="AC1474" s="306"/>
    </row>
    <row r="1475" spans="1:29" ht="15.75" customHeight="1">
      <c r="A1475" s="479">
        <v>44789</v>
      </c>
      <c r="B1475" s="303" t="s">
        <v>309</v>
      </c>
      <c r="C1475" s="269"/>
      <c r="D1475" s="303" t="s">
        <v>1593</v>
      </c>
      <c r="E1475" s="270" t="s">
        <v>4</v>
      </c>
      <c r="F1475" s="303" t="s">
        <v>727</v>
      </c>
      <c r="G1475" s="303" t="s">
        <v>11460</v>
      </c>
      <c r="H1475" s="303">
        <v>5</v>
      </c>
      <c r="I1475" s="303" t="s">
        <v>602</v>
      </c>
      <c r="J1475" s="303"/>
      <c r="K1475" s="303"/>
      <c r="L1475" s="303" t="s">
        <v>451</v>
      </c>
      <c r="M1475" s="303">
        <v>1500000</v>
      </c>
      <c r="N1475" s="303" t="s">
        <v>452</v>
      </c>
      <c r="O1475" s="303" t="s">
        <v>1119</v>
      </c>
      <c r="P1475" s="303"/>
      <c r="Q1475" s="303"/>
      <c r="R1475" s="303"/>
      <c r="S1475" s="303" t="str">
        <f>IFERROR(VLOOKUP(B1475,'2022-2023 Third Reviews'!$C:$S,9,FALSE),"")</f>
        <v/>
      </c>
      <c r="T1475" s="303"/>
      <c r="U1475" s="303"/>
      <c r="V1475" s="258"/>
      <c r="W1475" s="258"/>
      <c r="X1475" s="258"/>
      <c r="Y1475" s="258"/>
      <c r="Z1475" s="258"/>
      <c r="AA1475" s="258"/>
      <c r="AB1475" s="258"/>
      <c r="AC1475" s="258"/>
    </row>
    <row r="1476" spans="1:29" ht="15.75" hidden="1" customHeight="1">
      <c r="A1476" s="212">
        <v>44776</v>
      </c>
      <c r="B1476" s="213" t="s">
        <v>3631</v>
      </c>
      <c r="C1476" s="214">
        <v>1</v>
      </c>
      <c r="D1476" s="213" t="s">
        <v>3634</v>
      </c>
      <c r="E1476" s="215" t="s">
        <v>5</v>
      </c>
      <c r="F1476" s="213" t="s">
        <v>447</v>
      </c>
      <c r="G1476" s="213" t="s">
        <v>3635</v>
      </c>
      <c r="H1476" s="213">
        <v>1</v>
      </c>
      <c r="I1476" s="213" t="s">
        <v>476</v>
      </c>
      <c r="J1476" s="213" t="s">
        <v>10227</v>
      </c>
      <c r="K1476" s="213">
        <v>1</v>
      </c>
      <c r="L1476" s="213"/>
      <c r="M1476" s="213"/>
      <c r="N1476" s="213" t="s">
        <v>454</v>
      </c>
      <c r="O1476" s="213" t="s">
        <v>3637</v>
      </c>
      <c r="P1476" s="143"/>
      <c r="Q1476" s="213" t="s">
        <v>24</v>
      </c>
      <c r="R1476" s="226">
        <f t="array" ref="R1476">INDEX(Notes!C:C,MATCH($B1476,Notes!$A:$A,0))</f>
        <v>0</v>
      </c>
      <c r="S1476" s="226"/>
      <c r="T1476" s="226"/>
      <c r="U1476" s="226"/>
      <c r="V1476" s="218"/>
      <c r="W1476" s="218"/>
      <c r="X1476" s="218"/>
      <c r="Y1476" s="219"/>
      <c r="Z1476" s="219"/>
      <c r="AA1476" s="219"/>
      <c r="AB1476" s="219"/>
      <c r="AC1476" s="219"/>
    </row>
  </sheetData>
  <autoFilter ref="A1:AC1476" xr:uid="{00000000-0009-0000-0000-000015000000}">
    <filterColumn colId="4">
      <filters>
        <filter val="Digital Tech"/>
      </filters>
    </filterColumn>
  </autoFilter>
  <conditionalFormatting sqref="A1:A1476">
    <cfRule type="expression" dxfId="5" priority="5">
      <formula>AND(ISTEXT(A1), COUNTIF(A:A, A1)&gt;1)</formula>
    </cfRule>
  </conditionalFormatting>
  <conditionalFormatting sqref="Q2:U2">
    <cfRule type="notContainsBlanks" dxfId="4" priority="1">
      <formula>LEN(TRIM(Q2))&gt;0</formula>
    </cfRule>
  </conditionalFormatting>
  <conditionalFormatting sqref="R2:U76">
    <cfRule type="expression" dxfId="3" priority="2">
      <formula>AND(#REF!=TRUE,$E3="Digital Tech")</formula>
    </cfRule>
    <cfRule type="expression" dxfId="2" priority="3">
      <formula>AND(#REF!=TRUE,$E3="Deep Tech")</formula>
    </cfRule>
    <cfRule type="expression" dxfId="1" priority="4">
      <formula>AND(#REF!=TRUE,$E3="Life Sciences")</formula>
    </cfRule>
  </conditionalFormatting>
  <dataValidations count="2">
    <dataValidation type="list" allowBlank="1" sqref="U132 Q2:Q1476" xr:uid="{00000000-0002-0000-1500-000000000000}">
      <formula1>"Invite,Reject,Revisit,Special Reject,Invite Next Year,Revisit/ Cluster,"</formula1>
    </dataValidation>
    <dataValidation type="list" allowBlank="1" sqref="E5:E7 E10 E17:E18 E21 E26:E29 E31 E34:E35 E37:E38 E40:E42 E44:E45 E53 E55 E57 E60:E61 E63:E65 E67:E68 E71 E73 E78:E79 E82:E85 E87 E90:E93 E97 E102:E104 E106:E107 E109 E111:E113 E115:E116 E120 E123 E129 E139 E142 E147 E152 E154 E157 E163 E165 E173:E174 E177 E179 E186 E191:E192 E196:E197 E201 E204 E207 E210 E213:E218 E227 E230 E238:E239 E249:E252 E259 E263 E265 E269:E272 E274:E275 E277 E284 E287 E292 E299 E301 E304:E306 E308:E310 E312 E317 E326 E328 E330 E334 E340:E341 E347 E353 E356 E361 E364:E365 E369 E381 E383 E387 E393 E395 E399:E401 E406 E408:E410 E413 E417 E420 E422 E426 E428:E429 E432 E435 E437:E438 E441:E442 E444:E452 E454:E456 E461 E466 E471:E474 E478 E487:E488 E493 E498 E500 E502 E505 E508:E511 E513 E516 E520:E521 E525 E527 E533 E535 E537 E540 E544:E546 E550 E562:E563 E569 E571 E573 E577 E583 E586 E589:E590 E592 E595 E597 E605 E607 E620:E622 E625:E627 E632:E633 E639 E645:E648 E652:E654 E656 E658 E670:E672 E674:E675 E686:E687 E689 E692 E694 E697 E699 E703 E706:E709 E713:E720 E723:E724 E729 E733 E765 E778 E787:E788 E791:E792 E797:E799 E808 E810 E814 E824 E828:E829 E831 E834 E838 E843:E844 E848 E852 E860:E861 E866 E871:E872 E877 E879 E886:E887 E892:E893 E900:E902 E907:E908 E917 E922 E926 E928 E930:E931 E934 E940 E943:E944 E947:E948 E951 E955:E956 E965:E967 E972 E974 E979 E982 E984 E994 E1001 E1004 E1007:E1008 E1011 E1013 E1015 E1017 E1028:E1030 E1032:E1033 E1035 E1038:E1039 E1043 E1045:E1047 E1051:E1052 E1055:E1056 E1058 E1060:E1061 E1064 E1071 E1076:E1077 E1085 E1088 E1090 E1092 E1094 E1097:E1098 E1100:E1103 E1111 E1114:E1115 E1117:E1118 E1120 E1125 E1128 E1132:E1134 E1140 E1142 E1144:E1145 E1151 E1153:E1155 E1157 E1161 E1163:E1164 E1168:E1169 E1179:E1180 E1187:E1188 E1194:E1195 E1201 E1203:E1204 E1208 E1219:E1220 E1222 E1226:E1227 E1229 E1236 E1238 E1240 E1242 E1249:E1250 E1252:E1253 E1255 E1257:E1258 E1262 E1264:E1269 E1273 E1275:E1277 E1279 E1281:E1283 E1287 E1290 E1303 E1306:E1307 E1309 E1320 E1324 E1326:E1327 E1329:E1331 E1335:E1337 E1339 E1341 E1345 E1347 E1353 E1362 E1364:E1365 E1370 E1374:E1375 E1382:E1384 E1386 E1389:E1391 E1393 E1395 E1398:E1400 E1402 E1405 E1408:E1409 E1412 E1415 E1417 E1420 E1423 E1425:E1428 E1431 E1434:E1435 E1437 E1443 E1446 E1449:E1450 E1452:E1453 E1455:E1456 E1458:E1459 E1461 E1463:E1464 E1466 E1470 E1474" xr:uid="{00000000-0002-0000-1500-000001000000}">
      <formula1>"Life Sciences,Digital Tech,Deep Tech"</formula1>
    </dataValidation>
  </dataValidations>
  <hyperlinks>
    <hyperlink ref="G30" r:id="rId1" xr:uid="{00000000-0004-0000-1500-000000000000}"/>
    <hyperlink ref="G58" r:id="rId2" location="xj4y7vzkg" xr:uid="{00000000-0004-0000-1500-000001000000}"/>
    <hyperlink ref="B70" r:id="rId3" xr:uid="{00000000-0004-0000-1500-000002000000}"/>
    <hyperlink ref="O145" r:id="rId4" xr:uid="{00000000-0004-0000-1500-000003000000}"/>
    <hyperlink ref="O188" r:id="rId5" xr:uid="{00000000-0004-0000-1500-000004000000}"/>
    <hyperlink ref="O209" r:id="rId6" xr:uid="{00000000-0004-0000-1500-000005000000}"/>
    <hyperlink ref="B323" r:id="rId7" xr:uid="{00000000-0004-0000-1500-000006000000}"/>
    <hyperlink ref="O439" r:id="rId8" xr:uid="{00000000-0004-0000-1500-000007000000}"/>
    <hyperlink ref="B529" r:id="rId9" xr:uid="{00000000-0004-0000-1500-000008000000}"/>
    <hyperlink ref="D549" r:id="rId10" xr:uid="{00000000-0004-0000-1500-000009000000}"/>
    <hyperlink ref="B636" r:id="rId11" xr:uid="{00000000-0004-0000-1500-00000A000000}"/>
    <hyperlink ref="G638" r:id="rId12" xr:uid="{00000000-0004-0000-1500-00000B000000}"/>
    <hyperlink ref="O641" r:id="rId13" xr:uid="{00000000-0004-0000-1500-00000C000000}"/>
    <hyperlink ref="O655" r:id="rId14" xr:uid="{00000000-0004-0000-1500-00000D000000}"/>
    <hyperlink ref="O727" r:id="rId15" xr:uid="{00000000-0004-0000-1500-00000E000000}"/>
    <hyperlink ref="D766" r:id="rId16" xr:uid="{00000000-0004-0000-1500-00000F000000}"/>
    <hyperlink ref="P936" r:id="rId17" xr:uid="{00000000-0004-0000-1500-000010000000}"/>
    <hyperlink ref="G1196" r:id="rId18" xr:uid="{00000000-0004-0000-1500-000011000000}"/>
    <hyperlink ref="O1213" r:id="rId19" xr:uid="{00000000-0004-0000-1500-000012000000}"/>
    <hyperlink ref="P1351" r:id="rId20" xr:uid="{00000000-0004-0000-1500-000013000000}"/>
    <hyperlink ref="O1379" r:id="rId21" xr:uid="{00000000-0004-0000-1500-000014000000}"/>
    <hyperlink ref="O1468" r:id="rId22" xr:uid="{00000000-0004-0000-1500-000015000000}"/>
  </hyperlinks>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Z3"/>
  <sheetViews>
    <sheetView workbookViewId="0"/>
  </sheetViews>
  <sheetFormatPr baseColWidth="10" defaultColWidth="14.5" defaultRowHeight="15" customHeight="1"/>
  <sheetData>
    <row r="1" spans="1:26" ht="15.75" customHeight="1">
      <c r="A1" s="257">
        <v>44782</v>
      </c>
      <c r="B1" s="258" t="s">
        <v>416</v>
      </c>
      <c r="C1" s="249">
        <v>4.5</v>
      </c>
      <c r="D1" s="258" t="s">
        <v>1219</v>
      </c>
      <c r="E1" s="250" t="s">
        <v>5</v>
      </c>
      <c r="F1" s="258" t="s">
        <v>447</v>
      </c>
      <c r="G1" s="258" t="s">
        <v>11525</v>
      </c>
      <c r="H1" s="258">
        <v>4</v>
      </c>
      <c r="I1" s="258" t="s">
        <v>449</v>
      </c>
      <c r="J1" s="258" t="s">
        <v>13400</v>
      </c>
      <c r="K1" s="258">
        <v>5</v>
      </c>
      <c r="L1" s="258" t="s">
        <v>478</v>
      </c>
      <c r="M1" s="258">
        <v>15000000</v>
      </c>
      <c r="N1" s="258" t="s">
        <v>454</v>
      </c>
      <c r="O1" s="258" t="s">
        <v>1221</v>
      </c>
      <c r="P1" s="258"/>
      <c r="Q1" s="258" t="s">
        <v>18</v>
      </c>
      <c r="R1" s="259" t="s">
        <v>1222</v>
      </c>
      <c r="S1" s="258"/>
      <c r="T1" s="258"/>
      <c r="U1" s="258"/>
      <c r="V1" s="258"/>
      <c r="W1" s="258"/>
      <c r="X1" s="258"/>
      <c r="Y1" s="258"/>
      <c r="Z1" s="258"/>
    </row>
    <row r="2" spans="1:26" ht="15.75" customHeight="1">
      <c r="A2" s="255">
        <v>44782</v>
      </c>
      <c r="B2" s="239" t="s">
        <v>1327</v>
      </c>
      <c r="C2" s="249">
        <v>3.5</v>
      </c>
      <c r="D2" s="239" t="s">
        <v>1330</v>
      </c>
      <c r="E2" s="250" t="s">
        <v>5</v>
      </c>
      <c r="F2" s="239" t="s">
        <v>447</v>
      </c>
      <c r="G2" s="239" t="s">
        <v>10325</v>
      </c>
      <c r="H2" s="239">
        <v>3.5</v>
      </c>
      <c r="I2" s="239" t="s">
        <v>543</v>
      </c>
      <c r="J2" s="239" t="s">
        <v>1332</v>
      </c>
      <c r="K2" s="239">
        <v>3.5</v>
      </c>
      <c r="L2" s="239"/>
      <c r="M2" s="239"/>
      <c r="N2" s="239" t="s">
        <v>452</v>
      </c>
      <c r="O2" s="239" t="s">
        <v>10326</v>
      </c>
      <c r="P2" s="239"/>
      <c r="Q2" s="239" t="s">
        <v>19</v>
      </c>
      <c r="R2" s="256" t="s">
        <v>1334</v>
      </c>
      <c r="S2" s="239"/>
      <c r="T2" s="239"/>
      <c r="U2" s="239"/>
      <c r="V2" s="239"/>
      <c r="W2" s="239"/>
      <c r="X2" s="239"/>
      <c r="Y2" s="239"/>
      <c r="Z2" s="239"/>
    </row>
    <row r="3" spans="1:26" ht="15.75" customHeight="1">
      <c r="A3" s="255">
        <v>44782</v>
      </c>
      <c r="B3" s="239" t="s">
        <v>173</v>
      </c>
      <c r="C3" s="249">
        <v>4.25</v>
      </c>
      <c r="D3" s="239" t="s">
        <v>10368</v>
      </c>
      <c r="E3" s="250" t="s">
        <v>4</v>
      </c>
      <c r="F3" s="239" t="s">
        <v>460</v>
      </c>
      <c r="G3" s="239" t="s">
        <v>1127</v>
      </c>
      <c r="H3" s="239">
        <v>4.5</v>
      </c>
      <c r="I3" s="239" t="s">
        <v>462</v>
      </c>
      <c r="J3" s="239" t="s">
        <v>1128</v>
      </c>
      <c r="K3" s="239">
        <v>4</v>
      </c>
      <c r="L3" s="239" t="s">
        <v>451</v>
      </c>
      <c r="M3" s="239">
        <v>2000000</v>
      </c>
      <c r="N3" s="239" t="s">
        <v>452</v>
      </c>
      <c r="O3" s="239" t="s">
        <v>1129</v>
      </c>
      <c r="P3" s="239"/>
      <c r="Q3" s="239" t="s">
        <v>18</v>
      </c>
      <c r="R3" s="256" t="s">
        <v>1130</v>
      </c>
      <c r="S3" s="239"/>
      <c r="T3" s="239"/>
      <c r="U3" s="239"/>
      <c r="V3" s="239"/>
      <c r="W3" s="239"/>
      <c r="X3" s="239"/>
      <c r="Y3" s="239"/>
      <c r="Z3" s="239"/>
    </row>
  </sheetData>
  <conditionalFormatting sqref="A1:A3">
    <cfRule type="expression" dxfId="0" priority="1">
      <formula>AND(ISTEXT(A1), COUNTIF(A:A, A1)&gt;1)</formula>
    </cfRule>
  </conditionalFormatting>
  <dataValidations count="1">
    <dataValidation type="list" allowBlank="1" sqref="Q1:Q3" xr:uid="{00000000-0002-0000-1600-000000000000}">
      <formula1>"Invite,Reject,Revisit,Special Reject,Invite Next Year,Revisit/ Cluster,"</formula1>
    </dataValidation>
  </dataValidation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W1123"/>
  <sheetViews>
    <sheetView workbookViewId="0"/>
  </sheetViews>
  <sheetFormatPr baseColWidth="10" defaultColWidth="14.5" defaultRowHeight="15" customHeight="1"/>
  <sheetData>
    <row r="1" spans="1:23">
      <c r="A1" s="6" t="str">
        <f ca="1">IFERROR(__xludf.DUMMYFUNCTION("IMPORTRANGE(""https://docs.google.com/spreadsheets/d/1vN3BCmpX0R2tWKyx69xcpH1X4GcxxRQIAhg1nEajZBc/edit#gid=0"",""Import!A:W"")"),"Team Composition")</f>
        <v>Team Composition</v>
      </c>
      <c r="B1" s="6" t="str">
        <f ca="1">IFERROR(__xludf.DUMMYFUNCTION("""COMPUTED_VALUE"""),"Opportunity Name")</f>
        <v>Opportunity Name</v>
      </c>
      <c r="C1" s="6" t="str">
        <f ca="1">IFERROR(__xludf.DUMMYFUNCTION("""COMPUTED_VALUE"""),"Track")</f>
        <v>Track</v>
      </c>
      <c r="D1" s="6" t="str">
        <f ca="1">IFERROR(__xludf.DUMMYFUNCTION("""COMPUTED_VALUE"""),"Address")</f>
        <v>Address</v>
      </c>
      <c r="E1" s="6" t="str">
        <f ca="1">IFERROR(__xludf.DUMMYFUNCTION("""COMPUTED_VALUE"""),"Region")</f>
        <v>Region</v>
      </c>
      <c r="F1" s="6" t="str">
        <f ca="1">IFERROR(__xludf.DUMMYFUNCTION("""COMPUTED_VALUE"""),"Founder 1 gender identification")</f>
        <v>Founder 1 gender identification</v>
      </c>
      <c r="G1" s="6" t="str">
        <f ca="1">IFERROR(__xludf.DUMMYFUNCTION("""COMPUTED_VALUE"""),"Founder 2 gender identification")</f>
        <v>Founder 2 gender identification</v>
      </c>
      <c r="H1" s="6" t="str">
        <f ca="1">IFERROR(__xludf.DUMMYFUNCTION("""COMPUTED_VALUE"""),"Founder 3 gender identification")</f>
        <v>Founder 3 gender identification</v>
      </c>
      <c r="I1" s="6" t="str">
        <f ca="1">IFERROR(__xludf.DUMMYFUNCTION("""COMPUTED_VALUE"""),"Founder 4 gender identification")</f>
        <v>Founder 4 gender identification</v>
      </c>
      <c r="J1" s="6" t="str">
        <f ca="1">IFERROR(__xludf.DUMMYFUNCTION("""COMPUTED_VALUE"""),"Founder 5 gender identification")</f>
        <v>Founder 5 gender identification</v>
      </c>
      <c r="K1" s="6" t="str">
        <f ca="1">IFERROR(__xludf.DUMMYFUNCTION("""COMPUTED_VALUE"""),"Founder 6 gender identification")</f>
        <v>Founder 6 gender identification</v>
      </c>
      <c r="L1" s="6" t="str">
        <f ca="1">IFERROR(__xludf.DUMMYFUNCTION("""COMPUTED_VALUE"""),"NYU Affiliation Y/N")</f>
        <v>NYU Affiliation Y/N</v>
      </c>
      <c r="M1" s="6" t="str">
        <f ca="1">IFERROR(__xludf.DUMMYFUNCTION("""COMPUTED_VALUE"""),"NYU Affiliation Details")</f>
        <v>NYU Affiliation Details</v>
      </c>
      <c r="N1" s="6" t="str">
        <f ca="1">IFERROR(__xludf.DUMMYFUNCTION("""COMPUTED_VALUE"""),"NYU Affiliation Other")</f>
        <v>NYU Affiliation Other</v>
      </c>
      <c r="O1" s="6" t="str">
        <f ca="1">IFERROR(__xludf.DUMMYFUNCTION("""COMPUTED_VALUE"""),"How did you hear of EFL")</f>
        <v>How did you hear of EFL</v>
      </c>
      <c r="P1" s="6" t="str">
        <f ca="1">IFERROR(__xludf.DUMMYFUNCTION("""COMPUTED_VALUE"""),"Other how did you hear of EFL")</f>
        <v>Other how did you hear of EFL</v>
      </c>
      <c r="Q1" s="6" t="str">
        <f ca="1">IFERROR(__xludf.DUMMYFUNCTION("""COMPUTED_VALUE"""),"previously applied to EFL")</f>
        <v>previously applied to EFL</v>
      </c>
      <c r="R1" s="6" t="str">
        <f ca="1">IFERROR(__xludf.DUMMYFUNCTION("""COMPUTED_VALUE"""),"Founding team size")</f>
        <v>Founding team size</v>
      </c>
      <c r="S1" s="6" t="str">
        <f ca="1">IFERROR(__xludf.DUMMYFUNCTION("""COMPUTED_VALUE"""),"Types of funding")</f>
        <v>Types of funding</v>
      </c>
      <c r="T1" s="6"/>
      <c r="U1" s="6" t="str">
        <f ca="1">IFERROR(__xludf.DUMMYFUNCTION("""COMPUTED_VALUE"""),"split")</f>
        <v>split</v>
      </c>
      <c r="V1" s="6"/>
      <c r="W1" s="6" t="str">
        <f ca="1">IFERROR(__xludf.DUMMYFUNCTION("""COMPUTED_VALUE"""),"Invite Status")</f>
        <v>Invite Status</v>
      </c>
    </row>
    <row r="2" spans="1:23">
      <c r="A2" s="6" t="str">
        <f ca="1">IFERROR(__xludf.DUMMYFUNCTION("""COMPUTED_VALUE"""),"Man, Man, Man")</f>
        <v>Man, Man, Man</v>
      </c>
      <c r="B2" s="6" t="str">
        <f ca="1">IFERROR(__xludf.DUMMYFUNCTION("""COMPUTED_VALUE"""),"AMATEC _2022")</f>
        <v>AMATEC _2022</v>
      </c>
      <c r="C2" s="6" t="str">
        <f ca="1">IFERROR(__xludf.DUMMYFUNCTION("""COMPUTED_VALUE"""),"Deep Tech")</f>
        <v>Deep Tech</v>
      </c>
      <c r="D2" s="6" t="str">
        <f ca="1">IFERROR(__xludf.DUMMYFUNCTION("""COMPUTED_VALUE"""),"North York, Toronto Ontario, Canada")</f>
        <v>North York, Toronto Ontario, Canada</v>
      </c>
      <c r="E2" s="6" t="str">
        <f ca="1">IFERROR(__xludf.DUMMYFUNCTION("""COMPUTED_VALUE"""),"International - Americas")</f>
        <v>International - Americas</v>
      </c>
      <c r="F2" s="6" t="str">
        <f ca="1">IFERROR(__xludf.DUMMYFUNCTION("""COMPUTED_VALUE"""),"Man")</f>
        <v>Man</v>
      </c>
      <c r="G2" s="6" t="str">
        <f ca="1">IFERROR(__xludf.DUMMYFUNCTION("""COMPUTED_VALUE"""),"Man")</f>
        <v>Man</v>
      </c>
      <c r="H2" s="6" t="str">
        <f ca="1">IFERROR(__xludf.DUMMYFUNCTION("""COMPUTED_VALUE"""),"Man")</f>
        <v>Man</v>
      </c>
      <c r="I2" s="6"/>
      <c r="J2" s="6"/>
      <c r="K2" s="6"/>
      <c r="L2" s="6" t="str">
        <f ca="1">IFERROR(__xludf.DUMMYFUNCTION("""COMPUTED_VALUE"""),"No")</f>
        <v>No</v>
      </c>
      <c r="M2" s="6"/>
      <c r="N2" s="6"/>
      <c r="O2" s="6" t="str">
        <f ca="1">IFERROR(__xludf.DUMMYFUNCTION("""COMPUTED_VALUE"""),"Email")</f>
        <v>Email</v>
      </c>
      <c r="P2" s="6"/>
      <c r="Q2" s="6" t="str">
        <f ca="1">IFERROR(__xludf.DUMMYFUNCTION("""COMPUTED_VALUE"""),"No")</f>
        <v>No</v>
      </c>
      <c r="R2" s="6">
        <f ca="1">IFERROR(__xludf.DUMMYFUNCTION("""COMPUTED_VALUE"""),3)</f>
        <v>3</v>
      </c>
      <c r="S2" s="6" t="str">
        <f ca="1">IFERROR(__xludf.DUMMYFUNCTION("""COMPUTED_VALUE"""),"Pre-seed")</f>
        <v>Pre-seed</v>
      </c>
      <c r="T2" s="6" t="str">
        <f ca="1">IFERROR(__xludf.DUMMYFUNCTION("""COMPUTED_VALUE"""),"Pre-seed")</f>
        <v>Pre-seed</v>
      </c>
      <c r="U2" s="6" t="str">
        <f ca="1">IFERROR(__xludf.DUMMYFUNCTION("""COMPUTED_VALUE"""),"Pre-seed")</f>
        <v>Pre-seed</v>
      </c>
      <c r="V2" s="6"/>
      <c r="W2" s="6" t="str">
        <f ca="1">IFERROR(__xludf.DUMMYFUNCTION("""COMPUTED_VALUE"""),"Invite Next Year")</f>
        <v>Invite Next Year</v>
      </c>
    </row>
    <row r="3" spans="1:23">
      <c r="A3" s="6" t="str">
        <f ca="1">IFERROR(__xludf.DUMMYFUNCTION("""COMPUTED_VALUE"""),"Woman, Man, Man")</f>
        <v>Woman, Man, Man</v>
      </c>
      <c r="B3" s="6" t="str">
        <f ca="1">IFERROR(__xludf.DUMMYFUNCTION("""COMPUTED_VALUE"""),"Truffle Health, Inc. _2022")</f>
        <v>Truffle Health, Inc. _2022</v>
      </c>
      <c r="C3" s="6" t="str">
        <f ca="1">IFERROR(__xludf.DUMMYFUNCTION("""COMPUTED_VALUE"""),"Digital Tech")</f>
        <v>Digital Tech</v>
      </c>
      <c r="D3" s="6" t="str">
        <f ca="1">IFERROR(__xludf.DUMMYFUNCTION("""COMPUTED_VALUE"""),"New York New York
United States")</f>
        <v>New York New York
United States</v>
      </c>
      <c r="E3" s="6" t="str">
        <f ca="1">IFERROR(__xludf.DUMMYFUNCTION("""COMPUTED_VALUE"""),"New York")</f>
        <v>New York</v>
      </c>
      <c r="F3" s="6" t="str">
        <f ca="1">IFERROR(__xludf.DUMMYFUNCTION("""COMPUTED_VALUE"""),"Woman")</f>
        <v>Woman</v>
      </c>
      <c r="G3" s="6" t="str">
        <f ca="1">IFERROR(__xludf.DUMMYFUNCTION("""COMPUTED_VALUE"""),"Man")</f>
        <v>Man</v>
      </c>
      <c r="H3" s="6" t="str">
        <f ca="1">IFERROR(__xludf.DUMMYFUNCTION("""COMPUTED_VALUE"""),"Man")</f>
        <v>Man</v>
      </c>
      <c r="I3" s="6"/>
      <c r="J3" s="6"/>
      <c r="K3" s="6"/>
      <c r="L3" s="6" t="str">
        <f ca="1">IFERROR(__xludf.DUMMYFUNCTION("""COMPUTED_VALUE"""),"No")</f>
        <v>No</v>
      </c>
      <c r="M3" s="6"/>
      <c r="N3" s="6"/>
      <c r="O3" s="6" t="str">
        <f ca="1">IFERROR(__xludf.DUMMYFUNCTION("""COMPUTED_VALUE"""),"Email")</f>
        <v>Email</v>
      </c>
      <c r="P3" s="6"/>
      <c r="Q3" s="6" t="str">
        <f ca="1">IFERROR(__xludf.DUMMYFUNCTION("""COMPUTED_VALUE"""),"No")</f>
        <v>No</v>
      </c>
      <c r="R3" s="6">
        <f ca="1">IFERROR(__xludf.DUMMYFUNCTION("""COMPUTED_VALUE"""),3)</f>
        <v>3</v>
      </c>
      <c r="S3" s="6" t="str">
        <f ca="1">IFERROR(__xludf.DUMMYFUNCTION("""COMPUTED_VALUE"""),"Pre seed")</f>
        <v>Pre seed</v>
      </c>
      <c r="T3" s="6" t="str">
        <f ca="1">IFERROR(__xludf.DUMMYFUNCTION("""COMPUTED_VALUE"""),"Pre seed")</f>
        <v>Pre seed</v>
      </c>
      <c r="U3" s="6" t="str">
        <f ca="1">IFERROR(__xludf.DUMMYFUNCTION("""COMPUTED_VALUE"""),"Pre seed")</f>
        <v>Pre seed</v>
      </c>
      <c r="V3" s="6"/>
      <c r="W3" s="6" t="str">
        <f ca="1">IFERROR(__xludf.DUMMYFUNCTION("""COMPUTED_VALUE"""),"Invite")</f>
        <v>Invite</v>
      </c>
    </row>
    <row r="4" spans="1:23">
      <c r="A4" s="6" t="str">
        <f ca="1">IFERROR(__xludf.DUMMYFUNCTION("""COMPUTED_VALUE"""),"Man")</f>
        <v>Man</v>
      </c>
      <c r="B4" s="6" t="str">
        <f ca="1">IFERROR(__xludf.DUMMYFUNCTION("""COMPUTED_VALUE"""),"CRANENANO LLC _2022")</f>
        <v>CRANENANO LLC _2022</v>
      </c>
      <c r="C4" s="6" t="str">
        <f ca="1">IFERROR(__xludf.DUMMYFUNCTION("""COMPUTED_VALUE"""),"Deep Tech")</f>
        <v>Deep Tech</v>
      </c>
      <c r="D4" s="6" t="str">
        <f ca="1">IFERROR(__xludf.DUMMYFUNCTION("""COMPUTED_VALUE"""),"31 Orchard Drive Maryland, United States")</f>
        <v>31 Orchard Drive Maryland, United States</v>
      </c>
      <c r="E4" s="6" t="str">
        <f ca="1">IFERROR(__xludf.DUMMYFUNCTION("""COMPUTED_VALUE"""),"East Coast")</f>
        <v>East Coast</v>
      </c>
      <c r="F4" s="6" t="str">
        <f ca="1">IFERROR(__xludf.DUMMYFUNCTION("""COMPUTED_VALUE"""),"Man")</f>
        <v>Man</v>
      </c>
      <c r="G4" s="6"/>
      <c r="H4" s="6"/>
      <c r="I4" s="6"/>
      <c r="J4" s="6"/>
      <c r="K4" s="6"/>
      <c r="L4" s="6" t="str">
        <f ca="1">IFERROR(__xludf.DUMMYFUNCTION("""COMPUTED_VALUE"""),"No")</f>
        <v>No</v>
      </c>
      <c r="M4" s="6"/>
      <c r="N4" s="6"/>
      <c r="O4" s="6" t="str">
        <f ca="1">IFERROR(__xludf.DUMMYFUNCTION("""COMPUTED_VALUE"""),"Email")</f>
        <v>Email</v>
      </c>
      <c r="P4" s="6"/>
      <c r="Q4" s="6" t="str">
        <f ca="1">IFERROR(__xludf.DUMMYFUNCTION("""COMPUTED_VALUE"""),"No")</f>
        <v>No</v>
      </c>
      <c r="R4" s="6">
        <f ca="1">IFERROR(__xludf.DUMMYFUNCTION("""COMPUTED_VALUE"""),1)</f>
        <v>1</v>
      </c>
      <c r="S4" s="6" t="str">
        <f ca="1">IFERROR(__xludf.DUMMYFUNCTION("""COMPUTED_VALUE"""),"Grants")</f>
        <v>Grants</v>
      </c>
      <c r="T4" s="6" t="str">
        <f ca="1">IFERROR(__xludf.DUMMYFUNCTION("""COMPUTED_VALUE"""),"Grants")</f>
        <v>Grants</v>
      </c>
      <c r="U4" s="6" t="str">
        <f ca="1">IFERROR(__xludf.DUMMYFUNCTION("""COMPUTED_VALUE"""),"Grants")</f>
        <v>Grants</v>
      </c>
      <c r="V4" s="6"/>
      <c r="W4" s="6" t="str">
        <f ca="1">IFERROR(__xludf.DUMMYFUNCTION("""COMPUTED_VALUE"""),"Invite Next Year")</f>
        <v>Invite Next Year</v>
      </c>
    </row>
    <row r="5" spans="1:23">
      <c r="A5" s="6" t="str">
        <f ca="1">IFERROR(__xludf.DUMMYFUNCTION("""COMPUTED_VALUE"""),"Man")</f>
        <v>Man</v>
      </c>
      <c r="B5" s="6" t="str">
        <f ca="1">IFERROR(__xludf.DUMMYFUNCTION("""COMPUTED_VALUE"""),"Decentralized Data and Research (DDR) _2022")</f>
        <v>Decentralized Data and Research (DDR) _2022</v>
      </c>
      <c r="C5" s="6" t="str">
        <f ca="1">IFERROR(__xludf.DUMMYFUNCTION("""COMPUTED_VALUE"""),"Digital Tech")</f>
        <v>Digital Tech</v>
      </c>
      <c r="D5" s="6" t="str">
        <f ca="1">IFERROR(__xludf.DUMMYFUNCTION("""COMPUTED_VALUE"""),"Beijing/ San Francisco Beijing, China")</f>
        <v>Beijing/ San Francisco Beijing, China</v>
      </c>
      <c r="E5" s="6" t="str">
        <f ca="1">IFERROR(__xludf.DUMMYFUNCTION("""COMPUTED_VALUE"""),"International - Asia")</f>
        <v>International - Asia</v>
      </c>
      <c r="F5" s="6" t="str">
        <f ca="1">IFERROR(__xludf.DUMMYFUNCTION("""COMPUTED_VALUE"""),"Man")</f>
        <v>Man</v>
      </c>
      <c r="G5" s="6"/>
      <c r="H5" s="6"/>
      <c r="I5" s="6"/>
      <c r="J5" s="6"/>
      <c r="K5" s="6"/>
      <c r="L5" s="6" t="str">
        <f ca="1">IFERROR(__xludf.DUMMYFUNCTION("""COMPUTED_VALUE"""),"No")</f>
        <v>No</v>
      </c>
      <c r="M5" s="6"/>
      <c r="N5" s="6"/>
      <c r="O5" s="6" t="str">
        <f ca="1">IFERROR(__xludf.DUMMYFUNCTION("""COMPUTED_VALUE"""),"LinkedIn")</f>
        <v>LinkedIn</v>
      </c>
      <c r="P5" s="6"/>
      <c r="Q5" s="6" t="str">
        <f ca="1">IFERROR(__xludf.DUMMYFUNCTION("""COMPUTED_VALUE"""),"No")</f>
        <v>No</v>
      </c>
      <c r="R5" s="6">
        <f ca="1">IFERROR(__xludf.DUMMYFUNCTION("""COMPUTED_VALUE"""),1)</f>
        <v>1</v>
      </c>
      <c r="S5" s="6" t="str">
        <f ca="1">IFERROR(__xludf.DUMMYFUNCTION("""COMPUTED_VALUE"""),"Grants")</f>
        <v>Grants</v>
      </c>
      <c r="T5" s="6" t="str">
        <f ca="1">IFERROR(__xludf.DUMMYFUNCTION("""COMPUTED_VALUE"""),"Grants")</f>
        <v>Grants</v>
      </c>
      <c r="U5" s="6" t="str">
        <f ca="1">IFERROR(__xludf.DUMMYFUNCTION("""COMPUTED_VALUE"""),"Grants")</f>
        <v>Grants</v>
      </c>
      <c r="V5" s="6"/>
      <c r="W5" s="6" t="str">
        <f ca="1">IFERROR(__xludf.DUMMYFUNCTION("""COMPUTED_VALUE"""),"Invite Next Year")</f>
        <v>Invite Next Year</v>
      </c>
    </row>
    <row r="6" spans="1:23">
      <c r="A6" s="6" t="str">
        <f ca="1">IFERROR(__xludf.DUMMYFUNCTION("""COMPUTED_VALUE"""),"Man, Man")</f>
        <v>Man, Man</v>
      </c>
      <c r="B6" s="6" t="str">
        <f ca="1">IFERROR(__xludf.DUMMYFUNCTION("""COMPUTED_VALUE"""),"Upword _2022")</f>
        <v>Upword _2022</v>
      </c>
      <c r="C6" s="6" t="str">
        <f ca="1">IFERROR(__xludf.DUMMYFUNCTION("""COMPUTED_VALUE"""),"Deep Tech")</f>
        <v>Deep Tech</v>
      </c>
      <c r="D6" s="6" t="str">
        <f ca="1">IFERROR(__xludf.DUMMYFUNCTION("""COMPUTED_VALUE"""),"7th Arizona ave, Santa Monica California, Israel")</f>
        <v>7th Arizona ave, Santa Monica California, Israel</v>
      </c>
      <c r="E6" s="6" t="str">
        <f ca="1">IFERROR(__xludf.DUMMYFUNCTION("""COMPUTED_VALUE"""),"West Coast")</f>
        <v>West Coast</v>
      </c>
      <c r="F6" s="6" t="str">
        <f ca="1">IFERROR(__xludf.DUMMYFUNCTION("""COMPUTED_VALUE"""),"Man")</f>
        <v>Man</v>
      </c>
      <c r="G6" s="6" t="str">
        <f ca="1">IFERROR(__xludf.DUMMYFUNCTION("""COMPUTED_VALUE"""),"Man")</f>
        <v>Man</v>
      </c>
      <c r="H6" s="6"/>
      <c r="I6" s="6"/>
      <c r="J6" s="6"/>
      <c r="K6" s="6"/>
      <c r="L6" s="6" t="str">
        <f ca="1">IFERROR(__xludf.DUMMYFUNCTION("""COMPUTED_VALUE"""),"No")</f>
        <v>No</v>
      </c>
      <c r="M6" s="6"/>
      <c r="N6" s="6"/>
      <c r="O6" s="6" t="str">
        <f ca="1">IFERROR(__xludf.DUMMYFUNCTION("""COMPUTED_VALUE"""),"Email")</f>
        <v>Email</v>
      </c>
      <c r="P6" s="6"/>
      <c r="Q6" s="6" t="str">
        <f ca="1">IFERROR(__xludf.DUMMYFUNCTION("""COMPUTED_VALUE"""),"No")</f>
        <v>No</v>
      </c>
      <c r="R6" s="6">
        <f ca="1">IFERROR(__xludf.DUMMYFUNCTION("""COMPUTED_VALUE"""),2)</f>
        <v>2</v>
      </c>
      <c r="S6" s="6" t="str">
        <f ca="1">IFERROR(__xludf.DUMMYFUNCTION("""COMPUTED_VALUE"""),"Pre-seed")</f>
        <v>Pre-seed</v>
      </c>
      <c r="T6" s="6" t="str">
        <f ca="1">IFERROR(__xludf.DUMMYFUNCTION("""COMPUTED_VALUE"""),"Pre-seed")</f>
        <v>Pre-seed</v>
      </c>
      <c r="U6" s="6" t="str">
        <f ca="1">IFERROR(__xludf.DUMMYFUNCTION("""COMPUTED_VALUE"""),"Pre-seed")</f>
        <v>Pre-seed</v>
      </c>
      <c r="V6" s="6"/>
      <c r="W6" s="6" t="str">
        <f ca="1">IFERROR(__xludf.DUMMYFUNCTION("""COMPUTED_VALUE"""),"Invite Next Year")</f>
        <v>Invite Next Year</v>
      </c>
    </row>
    <row r="7" spans="1:23">
      <c r="A7" s="6" t="str">
        <f ca="1">IFERROR(__xludf.DUMMYFUNCTION("""COMPUTED_VALUE"""),"Woman, Woman")</f>
        <v>Woman, Woman</v>
      </c>
      <c r="B7" s="6" t="str">
        <f ca="1">IFERROR(__xludf.DUMMYFUNCTION("""COMPUTED_VALUE"""),"Conan Medtech Corp. _2022")</f>
        <v>Conan Medtech Corp. _2022</v>
      </c>
      <c r="C7" s="6" t="str">
        <f ca="1">IFERROR(__xludf.DUMMYFUNCTION("""COMPUTED_VALUE"""),"Life Sciences")</f>
        <v>Life Sciences</v>
      </c>
      <c r="D7" s="6" t="str">
        <f ca="1">IFERROR(__xludf.DUMMYFUNCTION("""COMPUTED_VALUE"""),"Ithaca NY
United States")</f>
        <v>Ithaca NY
United States</v>
      </c>
      <c r="E7" s="6" t="str">
        <f ca="1">IFERROR(__xludf.DUMMYFUNCTION("""COMPUTED_VALUE"""),"East Coast")</f>
        <v>East Coast</v>
      </c>
      <c r="F7" s="6" t="str">
        <f ca="1">IFERROR(__xludf.DUMMYFUNCTION("""COMPUTED_VALUE"""),"Woman")</f>
        <v>Woman</v>
      </c>
      <c r="G7" s="6" t="str">
        <f ca="1">IFERROR(__xludf.DUMMYFUNCTION("""COMPUTED_VALUE"""),"Woman")</f>
        <v>Woman</v>
      </c>
      <c r="H7" s="6"/>
      <c r="I7" s="6"/>
      <c r="J7" s="6"/>
      <c r="K7" s="6"/>
      <c r="L7" s="6" t="str">
        <f ca="1">IFERROR(__xludf.DUMMYFUNCTION("""COMPUTED_VALUE"""),"No")</f>
        <v>No</v>
      </c>
      <c r="M7" s="6"/>
      <c r="N7" s="6"/>
      <c r="O7" s="6" t="str">
        <f ca="1">IFERROR(__xludf.DUMMYFUNCTION("""COMPUTED_VALUE"""),"Email")</f>
        <v>Email</v>
      </c>
      <c r="P7" s="6"/>
      <c r="Q7" s="6" t="str">
        <f ca="1">IFERROR(__xludf.DUMMYFUNCTION("""COMPUTED_VALUE"""),"No")</f>
        <v>No</v>
      </c>
      <c r="R7" s="6">
        <f ca="1">IFERROR(__xludf.DUMMYFUNCTION("""COMPUTED_VALUE"""),2)</f>
        <v>2</v>
      </c>
      <c r="S7" s="6" t="str">
        <f ca="1">IFERROR(__xludf.DUMMYFUNCTION("""COMPUTED_VALUE"""),"Pre-seed
Grants")</f>
        <v>Pre-seed
Grants</v>
      </c>
      <c r="T7" s="6" t="str">
        <f ca="1">IFERROR(__xludf.DUMMYFUNCTION("""COMPUTED_VALUE"""),"Pre-seed, Grants")</f>
        <v>Pre-seed, Grants</v>
      </c>
      <c r="U7" s="6" t="str">
        <f ca="1">IFERROR(__xludf.DUMMYFUNCTION("""COMPUTED_VALUE"""),"Pre-seed, Grants")</f>
        <v>Pre-seed, Grants</v>
      </c>
      <c r="V7" s="6"/>
      <c r="W7" s="6" t="str">
        <f ca="1">IFERROR(__xludf.DUMMYFUNCTION("""COMPUTED_VALUE"""),"Invite Next Year")</f>
        <v>Invite Next Year</v>
      </c>
    </row>
    <row r="8" spans="1:23">
      <c r="A8" s="6" t="str">
        <f ca="1">IFERROR(__xludf.DUMMYFUNCTION("""COMPUTED_VALUE"""),"Woman")</f>
        <v>Woman</v>
      </c>
      <c r="B8" s="6" t="str">
        <f ca="1">IFERROR(__xludf.DUMMYFUNCTION("""COMPUTED_VALUE"""),"Energao, Inc. _2022")</f>
        <v>Energao, Inc. _2022</v>
      </c>
      <c r="C8" s="6" t="str">
        <f ca="1">IFERROR(__xludf.DUMMYFUNCTION("""COMPUTED_VALUE"""),"Deep Tech")</f>
        <v>Deep Tech</v>
      </c>
      <c r="D8" s="6" t="str">
        <f ca="1">IFERROR(__xludf.DUMMYFUNCTION("""COMPUTED_VALUE"""),"Carbondale Illinois, United States")</f>
        <v>Carbondale Illinois, United States</v>
      </c>
      <c r="E8" s="6" t="str">
        <f ca="1">IFERROR(__xludf.DUMMYFUNCTION("""COMPUTED_VALUE"""),"Midwest")</f>
        <v>Midwest</v>
      </c>
      <c r="F8" s="6" t="str">
        <f ca="1">IFERROR(__xludf.DUMMYFUNCTION("""COMPUTED_VALUE"""),"Woman")</f>
        <v>Woman</v>
      </c>
      <c r="G8" s="6"/>
      <c r="H8" s="6"/>
      <c r="I8" s="6"/>
      <c r="J8" s="6"/>
      <c r="K8" s="6"/>
      <c r="L8" s="6" t="str">
        <f ca="1">IFERROR(__xludf.DUMMYFUNCTION("""COMPUTED_VALUE"""),"No")</f>
        <v>No</v>
      </c>
      <c r="M8" s="6"/>
      <c r="N8" s="6"/>
      <c r="O8" s="6" t="str">
        <f ca="1">IFERROR(__xludf.DUMMYFUNCTION("""COMPUTED_VALUE"""),"Email")</f>
        <v>Email</v>
      </c>
      <c r="P8" s="6"/>
      <c r="Q8" s="6" t="str">
        <f ca="1">IFERROR(__xludf.DUMMYFUNCTION("""COMPUTED_VALUE"""),"No")</f>
        <v>No</v>
      </c>
      <c r="R8" s="6">
        <f ca="1">IFERROR(__xludf.DUMMYFUNCTION("""COMPUTED_VALUE"""),1)</f>
        <v>1</v>
      </c>
      <c r="S8" s="6" t="str">
        <f ca="1">IFERROR(__xludf.DUMMYFUNCTION("""COMPUTED_VALUE"""),"Grants")</f>
        <v>Grants</v>
      </c>
      <c r="T8" s="6" t="str">
        <f ca="1">IFERROR(__xludf.DUMMYFUNCTION("""COMPUTED_VALUE"""),"Grants")</f>
        <v>Grants</v>
      </c>
      <c r="U8" s="6" t="str">
        <f ca="1">IFERROR(__xludf.DUMMYFUNCTION("""COMPUTED_VALUE"""),"Grants")</f>
        <v>Grants</v>
      </c>
      <c r="V8" s="6"/>
      <c r="W8" s="6" t="str">
        <f ca="1">IFERROR(__xludf.DUMMYFUNCTION("""COMPUTED_VALUE"""),"Invite Next Year")</f>
        <v>Invite Next Year</v>
      </c>
    </row>
    <row r="9" spans="1:23">
      <c r="A9" s="6" t="str">
        <f ca="1">IFERROR(__xludf.DUMMYFUNCTION("""COMPUTED_VALUE"""),"Woman, Man")</f>
        <v>Woman, Man</v>
      </c>
      <c r="B9" s="6" t="str">
        <f ca="1">IFERROR(__xludf.DUMMYFUNCTION("""COMPUTED_VALUE"""),"myAir Smart Wellness _2022")</f>
        <v>myAir Smart Wellness _2022</v>
      </c>
      <c r="C9" s="6" t="str">
        <f ca="1">IFERROR(__xludf.DUMMYFUNCTION("""COMPUTED_VALUE"""),"Digital Tech")</f>
        <v>Digital Tech</v>
      </c>
      <c r="D9" s="6" t="str">
        <f ca="1">IFERROR(__xludf.DUMMYFUNCTION("""COMPUTED_VALUE"""),"Tel Aviv Israel, Israel")</f>
        <v>Tel Aviv Israel, Israel</v>
      </c>
      <c r="E9" s="6" t="str">
        <f ca="1">IFERROR(__xludf.DUMMYFUNCTION("""COMPUTED_VALUE"""),"International - Middle East")</f>
        <v>International - Middle East</v>
      </c>
      <c r="F9" s="6" t="str">
        <f ca="1">IFERROR(__xludf.DUMMYFUNCTION("""COMPUTED_VALUE"""),"Woman")</f>
        <v>Woman</v>
      </c>
      <c r="G9" s="6" t="str">
        <f ca="1">IFERROR(__xludf.DUMMYFUNCTION("""COMPUTED_VALUE"""),"Man")</f>
        <v>Man</v>
      </c>
      <c r="H9" s="6"/>
      <c r="I9" s="6"/>
      <c r="J9" s="6"/>
      <c r="K9" s="6"/>
      <c r="L9" s="6" t="str">
        <f ca="1">IFERROR(__xludf.DUMMYFUNCTION("""COMPUTED_VALUE"""),"No")</f>
        <v>No</v>
      </c>
      <c r="M9" s="6"/>
      <c r="N9" s="6"/>
      <c r="O9" s="6" t="str">
        <f ca="1">IFERROR(__xludf.DUMMYFUNCTION("""COMPUTED_VALUE"""),"Referral")</f>
        <v>Referral</v>
      </c>
      <c r="P9" s="6"/>
      <c r="Q9" s="6" t="str">
        <f ca="1">IFERROR(__xludf.DUMMYFUNCTION("""COMPUTED_VALUE"""),"No")</f>
        <v>No</v>
      </c>
      <c r="R9" s="6">
        <f ca="1">IFERROR(__xludf.DUMMYFUNCTION("""COMPUTED_VALUE"""),2)</f>
        <v>2</v>
      </c>
      <c r="S9" s="6" t="str">
        <f ca="1">IFERROR(__xludf.DUMMYFUNCTION("""COMPUTED_VALUE"""),"Seed")</f>
        <v>Seed</v>
      </c>
      <c r="T9" s="6" t="str">
        <f ca="1">IFERROR(__xludf.DUMMYFUNCTION("""COMPUTED_VALUE"""),"Seed")</f>
        <v>Seed</v>
      </c>
      <c r="U9" s="6" t="str">
        <f ca="1">IFERROR(__xludf.DUMMYFUNCTION("""COMPUTED_VALUE"""),"Seed")</f>
        <v>Seed</v>
      </c>
      <c r="V9" s="6"/>
      <c r="W9" s="6" t="str">
        <f ca="1">IFERROR(__xludf.DUMMYFUNCTION("""COMPUTED_VALUE"""),"Invite Next Year")</f>
        <v>Invite Next Year</v>
      </c>
    </row>
    <row r="10" spans="1:23">
      <c r="A10" s="6" t="str">
        <f ca="1">IFERROR(__xludf.DUMMYFUNCTION("""COMPUTED_VALUE"""),"Man, Man")</f>
        <v>Man, Man</v>
      </c>
      <c r="B10" s="6" t="str">
        <f ca="1">IFERROR(__xludf.DUMMYFUNCTION("""COMPUTED_VALUE"""),"NaNotics, LLC _2022")</f>
        <v>NaNotics, LLC _2022</v>
      </c>
      <c r="C10" s="6" t="str">
        <f ca="1">IFERROR(__xludf.DUMMYFUNCTION("""COMPUTED_VALUE"""),"Life Sciences")</f>
        <v>Life Sciences</v>
      </c>
      <c r="D10" s="6" t="str">
        <f ca="1">IFERROR(__xludf.DUMMYFUNCTION("""COMPUTED_VALUE"""),"100 Shoreline Hwy, Ste B100 California, United States")</f>
        <v>100 Shoreline Hwy, Ste B100 California, United States</v>
      </c>
      <c r="E10" s="6" t="str">
        <f ca="1">IFERROR(__xludf.DUMMYFUNCTION("""COMPUTED_VALUE"""),"West Coast")</f>
        <v>West Coast</v>
      </c>
      <c r="F10" s="6" t="str">
        <f ca="1">IFERROR(__xludf.DUMMYFUNCTION("""COMPUTED_VALUE"""),"Man")</f>
        <v>Man</v>
      </c>
      <c r="G10" s="6" t="str">
        <f ca="1">IFERROR(__xludf.DUMMYFUNCTION("""COMPUTED_VALUE"""),"Man")</f>
        <v>Man</v>
      </c>
      <c r="H10" s="6"/>
      <c r="I10" s="6"/>
      <c r="J10" s="6"/>
      <c r="K10" s="6"/>
      <c r="L10" s="6" t="str">
        <f ca="1">IFERROR(__xludf.DUMMYFUNCTION("""COMPUTED_VALUE"""),"No")</f>
        <v>No</v>
      </c>
      <c r="M10" s="6"/>
      <c r="N10" s="6"/>
      <c r="O10" s="6" t="str">
        <f ca="1">IFERROR(__xludf.DUMMYFUNCTION("""COMPUTED_VALUE"""),"Email")</f>
        <v>Email</v>
      </c>
      <c r="P10" s="6"/>
      <c r="Q10" s="6" t="str">
        <f ca="1">IFERROR(__xludf.DUMMYFUNCTION("""COMPUTED_VALUE"""),"No")</f>
        <v>No</v>
      </c>
      <c r="R10" s="6">
        <f ca="1">IFERROR(__xludf.DUMMYFUNCTION("""COMPUTED_VALUE"""),2)</f>
        <v>2</v>
      </c>
      <c r="S10" s="6" t="str">
        <f ca="1">IFERROR(__xludf.DUMMYFUNCTION("""COMPUTED_VALUE"""),"Bridge|Series B and above|Grants|0")</f>
        <v>Bridge|Series B and above|Grants|0</v>
      </c>
      <c r="T10" s="6" t="str">
        <f ca="1">IFERROR(__xludf.DUMMYFUNCTION("""COMPUTED_VALUE"""),"Bridge, Series B and above, Grants, 0")</f>
        <v>Bridge, Series B and above, Grants, 0</v>
      </c>
      <c r="U10" s="6" t="str">
        <f ca="1">IFERROR(__xludf.DUMMYFUNCTION("""COMPUTED_VALUE"""),"Bridge, Series B and above, Grants, 0")</f>
        <v>Bridge, Series B and above, Grants, 0</v>
      </c>
      <c r="V10" s="6"/>
      <c r="W10" s="6" t="str">
        <f ca="1">IFERROR(__xludf.DUMMYFUNCTION("""COMPUTED_VALUE"""),"Invite")</f>
        <v>Invite</v>
      </c>
    </row>
    <row r="11" spans="1:23">
      <c r="A11" s="6" t="str">
        <f ca="1">IFERROR(__xludf.DUMMYFUNCTION("""COMPUTED_VALUE"""),"Man")</f>
        <v>Man</v>
      </c>
      <c r="B11" s="6" t="str">
        <f ca="1">IFERROR(__xludf.DUMMYFUNCTION("""COMPUTED_VALUE"""),"Nettoyer Automotives PVT LTD _2022")</f>
        <v>Nettoyer Automotives PVT LTD _2022</v>
      </c>
      <c r="C11" s="6" t="str">
        <f ca="1">IFERROR(__xludf.DUMMYFUNCTION("""COMPUTED_VALUE"""),"Deep Tech")</f>
        <v>Deep Tech</v>
      </c>
      <c r="D11" s="6" t="str">
        <f ca="1">IFERROR(__xludf.DUMMYFUNCTION("""COMPUTED_VALUE"""),"H-Block, Plot No. C-181 Chinchwad East Old Mumbai-Pune Highway Pune,  Maharashtra., India")</f>
        <v>H-Block, Plot No. C-181 Chinchwad East Old Mumbai-Pune Highway Pune,  Maharashtra., India</v>
      </c>
      <c r="E11" s="6" t="str">
        <f ca="1">IFERROR(__xludf.DUMMYFUNCTION("""COMPUTED_VALUE"""),"International - Asia")</f>
        <v>International - Asia</v>
      </c>
      <c r="F11" s="6" t="str">
        <f ca="1">IFERROR(__xludf.DUMMYFUNCTION("""COMPUTED_VALUE"""),"Man")</f>
        <v>Man</v>
      </c>
      <c r="G11" s="6"/>
      <c r="H11" s="6"/>
      <c r="I11" s="6"/>
      <c r="J11" s="6"/>
      <c r="K11" s="6"/>
      <c r="L11" s="6" t="str">
        <f ca="1">IFERROR(__xludf.DUMMYFUNCTION("""COMPUTED_VALUE"""),"No")</f>
        <v>No</v>
      </c>
      <c r="M11" s="6"/>
      <c r="N11" s="6"/>
      <c r="O11" s="6" t="str">
        <f ca="1">IFERROR(__xludf.DUMMYFUNCTION("""COMPUTED_VALUE"""),"Search Engine")</f>
        <v>Search Engine</v>
      </c>
      <c r="P11" s="6"/>
      <c r="Q11" s="6" t="str">
        <f ca="1">IFERROR(__xludf.DUMMYFUNCTION("""COMPUTED_VALUE"""),"No")</f>
        <v>No</v>
      </c>
      <c r="R11" s="6">
        <f ca="1">IFERROR(__xludf.DUMMYFUNCTION("""COMPUTED_VALUE"""),1)</f>
        <v>1</v>
      </c>
      <c r="S11" s="6" t="str">
        <f ca="1">IFERROR(__xludf.DUMMYFUNCTION("""COMPUTED_VALUE"""),"Grants")</f>
        <v>Grants</v>
      </c>
      <c r="T11" s="6" t="str">
        <f ca="1">IFERROR(__xludf.DUMMYFUNCTION("""COMPUTED_VALUE"""),"Grants")</f>
        <v>Grants</v>
      </c>
      <c r="U11" s="6" t="str">
        <f ca="1">IFERROR(__xludf.DUMMYFUNCTION("""COMPUTED_VALUE"""),"Grants")</f>
        <v>Grants</v>
      </c>
      <c r="V11" s="6"/>
      <c r="W11" s="6" t="str">
        <f ca="1">IFERROR(__xludf.DUMMYFUNCTION("""COMPUTED_VALUE"""),"Invite Next Year")</f>
        <v>Invite Next Year</v>
      </c>
    </row>
    <row r="12" spans="1:23">
      <c r="A12" s="6" t="str">
        <f ca="1">IFERROR(__xludf.DUMMYFUNCTION("""COMPUTED_VALUE"""),"Man, Man, Man")</f>
        <v>Man, Man, Man</v>
      </c>
      <c r="B12" s="6" t="str">
        <f ca="1">IFERROR(__xludf.DUMMYFUNCTION("""COMPUTED_VALUE"""),"Norma _2022")</f>
        <v>Norma _2022</v>
      </c>
      <c r="C12" s="6" t="str">
        <f ca="1">IFERROR(__xludf.DUMMYFUNCTION("""COMPUTED_VALUE"""),"Digital Tech")</f>
        <v>Digital Tech</v>
      </c>
      <c r="D12" s="6" t="str">
        <f ca="1">IFERROR(__xludf.DUMMYFUNCTION("""COMPUTED_VALUE"""),"Istanbul, Kalam??
Turkey")</f>
        <v>Istanbul, Kalam??
Turkey</v>
      </c>
      <c r="E12" s="6" t="str">
        <f ca="1">IFERROR(__xludf.DUMMYFUNCTION("""COMPUTED_VALUE"""),"International - Asia")</f>
        <v>International - Asia</v>
      </c>
      <c r="F12" s="6" t="str">
        <f ca="1">IFERROR(__xludf.DUMMYFUNCTION("""COMPUTED_VALUE"""),"Man")</f>
        <v>Man</v>
      </c>
      <c r="G12" s="6" t="str">
        <f ca="1">IFERROR(__xludf.DUMMYFUNCTION("""COMPUTED_VALUE"""),"Man")</f>
        <v>Man</v>
      </c>
      <c r="H12" s="6" t="str">
        <f ca="1">IFERROR(__xludf.DUMMYFUNCTION("""COMPUTED_VALUE"""),"Man")</f>
        <v>Man</v>
      </c>
      <c r="I12" s="6"/>
      <c r="J12" s="6"/>
      <c r="K12" s="6"/>
      <c r="L12" s="6" t="str">
        <f ca="1">IFERROR(__xludf.DUMMYFUNCTION("""COMPUTED_VALUE"""),"No")</f>
        <v>No</v>
      </c>
      <c r="M12" s="6"/>
      <c r="N12" s="6"/>
      <c r="O12" s="6" t="str">
        <f ca="1">IFERROR(__xludf.DUMMYFUNCTION("""COMPUTED_VALUE"""),"Email")</f>
        <v>Email</v>
      </c>
      <c r="P12" s="6"/>
      <c r="Q12" s="6" t="str">
        <f ca="1">IFERROR(__xludf.DUMMYFUNCTION("""COMPUTED_VALUE"""),"No")</f>
        <v>No</v>
      </c>
      <c r="R12" s="6">
        <f ca="1">IFERROR(__xludf.DUMMYFUNCTION("""COMPUTED_VALUE"""),3)</f>
        <v>3</v>
      </c>
      <c r="S12" s="6" t="str">
        <f ca="1">IFERROR(__xludf.DUMMYFUNCTION("""COMPUTED_VALUE"""),"Pre-seed
Seed")</f>
        <v>Pre-seed
Seed</v>
      </c>
      <c r="T12" s="6" t="str">
        <f ca="1">IFERROR(__xludf.DUMMYFUNCTION("""COMPUTED_VALUE"""),"Pre-seed, Seed")</f>
        <v>Pre-seed, Seed</v>
      </c>
      <c r="U12" s="6" t="str">
        <f ca="1">IFERROR(__xludf.DUMMYFUNCTION("""COMPUTED_VALUE"""),"Pre-seed, Seed")</f>
        <v>Pre-seed, Seed</v>
      </c>
      <c r="V12" s="6"/>
      <c r="W12" s="6" t="str">
        <f ca="1">IFERROR(__xludf.DUMMYFUNCTION("""COMPUTED_VALUE"""),"Invite Next Year")</f>
        <v>Invite Next Year</v>
      </c>
    </row>
    <row r="13" spans="1:23">
      <c r="A13" s="6" t="str">
        <f ca="1">IFERROR(__xludf.DUMMYFUNCTION("""COMPUTED_VALUE"""),"Man")</f>
        <v>Man</v>
      </c>
      <c r="B13" s="6" t="str">
        <f ca="1">IFERROR(__xludf.DUMMYFUNCTION("""COMPUTED_VALUE"""),"Synaps Dx _2022")</f>
        <v>Synaps Dx _2022</v>
      </c>
      <c r="C13" s="6" t="str">
        <f ca="1">IFERROR(__xludf.DUMMYFUNCTION("""COMPUTED_VALUE"""),"Life Sciences")</f>
        <v>Life Sciences</v>
      </c>
      <c r="D13" s="6" t="str">
        <f ca="1">IFERROR(__xludf.DUMMYFUNCTION("""COMPUTED_VALUE"""),"Rockville Maryland, United States")</f>
        <v>Rockville Maryland, United States</v>
      </c>
      <c r="E13" s="6" t="str">
        <f ca="1">IFERROR(__xludf.DUMMYFUNCTION("""COMPUTED_VALUE"""),"East Coast")</f>
        <v>East Coast</v>
      </c>
      <c r="F13" s="6" t="str">
        <f ca="1">IFERROR(__xludf.DUMMYFUNCTION("""COMPUTED_VALUE"""),"Man")</f>
        <v>Man</v>
      </c>
      <c r="G13" s="6"/>
      <c r="H13" s="6"/>
      <c r="I13" s="6"/>
      <c r="J13" s="6"/>
      <c r="K13" s="6"/>
      <c r="L13" s="6" t="str">
        <f ca="1">IFERROR(__xludf.DUMMYFUNCTION("""COMPUTED_VALUE"""),"No")</f>
        <v>No</v>
      </c>
      <c r="M13" s="6"/>
      <c r="N13" s="6"/>
      <c r="O13" s="6" t="str">
        <f ca="1">IFERROR(__xludf.DUMMYFUNCTION("""COMPUTED_VALUE"""),"Other")</f>
        <v>Other</v>
      </c>
      <c r="P13" s="6" t="str">
        <f ca="1">IFERROR(__xludf.DUMMYFUNCTION("""COMPUTED_VALUE"""),"my CEO")</f>
        <v>my CEO</v>
      </c>
      <c r="Q13" s="6" t="str">
        <f ca="1">IFERROR(__xludf.DUMMYFUNCTION("""COMPUTED_VALUE"""),"No")</f>
        <v>No</v>
      </c>
      <c r="R13" s="6">
        <f ca="1">IFERROR(__xludf.DUMMYFUNCTION("""COMPUTED_VALUE"""),1)</f>
        <v>1</v>
      </c>
      <c r="S13" s="6" t="str">
        <f ca="1">IFERROR(__xludf.DUMMYFUNCTION("""COMPUTED_VALUE"""),"None")</f>
        <v>None</v>
      </c>
      <c r="T13" s="6" t="str">
        <f ca="1">IFERROR(__xludf.DUMMYFUNCTION("""COMPUTED_VALUE"""),"None")</f>
        <v>None</v>
      </c>
      <c r="U13" s="6" t="str">
        <f ca="1">IFERROR(__xludf.DUMMYFUNCTION("""COMPUTED_VALUE"""),"None")</f>
        <v>None</v>
      </c>
      <c r="V13" s="6"/>
      <c r="W13" s="6" t="str">
        <f ca="1">IFERROR(__xludf.DUMMYFUNCTION("""COMPUTED_VALUE"""),"Invite Next Year")</f>
        <v>Invite Next Year</v>
      </c>
    </row>
    <row r="14" spans="1:23">
      <c r="A14" s="6" t="str">
        <f ca="1">IFERROR(__xludf.DUMMYFUNCTION("""COMPUTED_VALUE"""),"Man, Man")</f>
        <v>Man, Man</v>
      </c>
      <c r="B14" s="6" t="str">
        <f ca="1">IFERROR(__xludf.DUMMYFUNCTION("""COMPUTED_VALUE"""),"Vectra Automation Inc. _2022")</f>
        <v>Vectra Automation Inc. _2022</v>
      </c>
      <c r="C14" s="6" t="str">
        <f ca="1">IFERROR(__xludf.DUMMYFUNCTION("""COMPUTED_VALUE"""),"Deep Tech")</f>
        <v>Deep Tech</v>
      </c>
      <c r="D14" s="6" t="str">
        <f ca="1">IFERROR(__xludf.DUMMYFUNCTION("""COMPUTED_VALUE"""),"Cary NC, United States")</f>
        <v>Cary NC, United States</v>
      </c>
      <c r="E14" s="6" t="str">
        <f ca="1">IFERROR(__xludf.DUMMYFUNCTION("""COMPUTED_VALUE"""),"East Coast")</f>
        <v>East Coast</v>
      </c>
      <c r="F14" s="6" t="str">
        <f ca="1">IFERROR(__xludf.DUMMYFUNCTION("""COMPUTED_VALUE"""),"Man")</f>
        <v>Man</v>
      </c>
      <c r="G14" s="6" t="str">
        <f ca="1">IFERROR(__xludf.DUMMYFUNCTION("""COMPUTED_VALUE"""),"Man")</f>
        <v>Man</v>
      </c>
      <c r="H14" s="6"/>
      <c r="I14" s="6"/>
      <c r="J14" s="6"/>
      <c r="K14" s="6"/>
      <c r="L14" s="6" t="str">
        <f ca="1">IFERROR(__xludf.DUMMYFUNCTION("""COMPUTED_VALUE"""),"No")</f>
        <v>No</v>
      </c>
      <c r="M14" s="6"/>
      <c r="N14" s="6"/>
      <c r="O14" s="6" t="str">
        <f ca="1">IFERROR(__xludf.DUMMYFUNCTION("""COMPUTED_VALUE"""),"Email")</f>
        <v>Email</v>
      </c>
      <c r="P14" s="6"/>
      <c r="Q14" s="6" t="str">
        <f ca="1">IFERROR(__xludf.DUMMYFUNCTION("""COMPUTED_VALUE"""),"No")</f>
        <v>No</v>
      </c>
      <c r="R14" s="6">
        <f ca="1">IFERROR(__xludf.DUMMYFUNCTION("""COMPUTED_VALUE"""),2)</f>
        <v>2</v>
      </c>
      <c r="S14" s="6" t="str">
        <f ca="1">IFERROR(__xludf.DUMMYFUNCTION("""COMPUTED_VALUE"""),"Seed|Bridge")</f>
        <v>Seed|Bridge</v>
      </c>
      <c r="T14" s="6" t="str">
        <f ca="1">IFERROR(__xludf.DUMMYFUNCTION("""COMPUTED_VALUE"""),"Seed, Bridge")</f>
        <v>Seed, Bridge</v>
      </c>
      <c r="U14" s="6" t="str">
        <f ca="1">IFERROR(__xludf.DUMMYFUNCTION("""COMPUTED_VALUE"""),"Seed, Bridge")</f>
        <v>Seed, Bridge</v>
      </c>
      <c r="V14" s="6"/>
      <c r="W14" s="6" t="str">
        <f ca="1">IFERROR(__xludf.DUMMYFUNCTION("""COMPUTED_VALUE"""),"Invite Next Year")</f>
        <v>Invite Next Year</v>
      </c>
    </row>
    <row r="15" spans="1:23">
      <c r="A15" s="6" t="str">
        <f ca="1">IFERROR(__xludf.DUMMYFUNCTION("""COMPUTED_VALUE"""),"Man, Man, Man")</f>
        <v>Man, Man, Man</v>
      </c>
      <c r="B15" s="6" t="str">
        <f ca="1">IFERROR(__xludf.DUMMYFUNCTION("""COMPUTED_VALUE"""),"BioShade _2022")</f>
        <v>BioShade _2022</v>
      </c>
      <c r="C15" s="6" t="str">
        <f ca="1">IFERROR(__xludf.DUMMYFUNCTION("""COMPUTED_VALUE"""),"Deep Tech")</f>
        <v>Deep Tech</v>
      </c>
      <c r="D15" s="6" t="str">
        <f ca="1">IFERROR(__xludf.DUMMYFUNCTION("""COMPUTED_VALUE"""),"Tel-Aviv, Tel-Aviv")</f>
        <v>Tel-Aviv, Tel-Aviv</v>
      </c>
      <c r="E15" s="6" t="str">
        <f ca="1">IFERROR(__xludf.DUMMYFUNCTION("""COMPUTED_VALUE"""),"International - Europe")</f>
        <v>International - Europe</v>
      </c>
      <c r="F15" s="6" t="str">
        <f ca="1">IFERROR(__xludf.DUMMYFUNCTION("""COMPUTED_VALUE"""),"Man")</f>
        <v>Man</v>
      </c>
      <c r="G15" s="6" t="str">
        <f ca="1">IFERROR(__xludf.DUMMYFUNCTION("""COMPUTED_VALUE"""),"Man")</f>
        <v>Man</v>
      </c>
      <c r="H15" s="6" t="str">
        <f ca="1">IFERROR(__xludf.DUMMYFUNCTION("""COMPUTED_VALUE"""),"Man")</f>
        <v>Man</v>
      </c>
      <c r="I15" s="6"/>
      <c r="J15" s="6"/>
      <c r="K15" s="6"/>
      <c r="L15" s="6" t="str">
        <f ca="1">IFERROR(__xludf.DUMMYFUNCTION("""COMPUTED_VALUE"""),"No")</f>
        <v>No</v>
      </c>
      <c r="M15" s="6"/>
      <c r="N15" s="6"/>
      <c r="O15" s="6" t="str">
        <f ca="1">IFERROR(__xludf.DUMMYFUNCTION("""COMPUTED_VALUE"""),"LinkedIn")</f>
        <v>LinkedIn</v>
      </c>
      <c r="P15" s="6"/>
      <c r="Q15" s="6" t="str">
        <f ca="1">IFERROR(__xludf.DUMMYFUNCTION("""COMPUTED_VALUE"""),"No")</f>
        <v>No</v>
      </c>
      <c r="R15" s="6">
        <f ca="1">IFERROR(__xludf.DUMMYFUNCTION("""COMPUTED_VALUE"""),3)</f>
        <v>3</v>
      </c>
      <c r="S15" s="6" t="str">
        <f ca="1">IFERROR(__xludf.DUMMYFUNCTION("""COMPUTED_VALUE"""),"Pre-seed")</f>
        <v>Pre-seed</v>
      </c>
      <c r="T15" s="6" t="str">
        <f ca="1">IFERROR(__xludf.DUMMYFUNCTION("""COMPUTED_VALUE"""),"Pre-seed")</f>
        <v>Pre-seed</v>
      </c>
      <c r="U15" s="6" t="str">
        <f ca="1">IFERROR(__xludf.DUMMYFUNCTION("""COMPUTED_VALUE"""),"Pre-seed")</f>
        <v>Pre-seed</v>
      </c>
      <c r="V15" s="6"/>
      <c r="W15" s="6" t="str">
        <f ca="1">IFERROR(__xludf.DUMMYFUNCTION("""COMPUTED_VALUE"""),"Invite Next Year")</f>
        <v>Invite Next Year</v>
      </c>
    </row>
    <row r="16" spans="1:23">
      <c r="A16" s="6" t="str">
        <f ca="1">IFERROR(__xludf.DUMMYFUNCTION("""COMPUTED_VALUE"""),"Man, Man")</f>
        <v>Man, Man</v>
      </c>
      <c r="B16" s="6" t="str">
        <f ca="1">IFERROR(__xludf.DUMMYFUNCTION("""COMPUTED_VALUE"""),"Omnifia _2022")</f>
        <v>Omnifia _2022</v>
      </c>
      <c r="C16" s="6" t="str">
        <f ca="1">IFERROR(__xludf.DUMMYFUNCTION("""COMPUTED_VALUE"""),"Deep Tech")</f>
        <v>Deep Tech</v>
      </c>
      <c r="D16" s="6" t="str">
        <f ca="1">IFERROR(__xludf.DUMMYFUNCTION("""COMPUTED_VALUE"""),"London, London")</f>
        <v>London, London</v>
      </c>
      <c r="E16" s="6" t="str">
        <f ca="1">IFERROR(__xludf.DUMMYFUNCTION("""COMPUTED_VALUE"""),"International - Europe")</f>
        <v>International - Europe</v>
      </c>
      <c r="F16" s="6" t="str">
        <f ca="1">IFERROR(__xludf.DUMMYFUNCTION("""COMPUTED_VALUE"""),"Man")</f>
        <v>Man</v>
      </c>
      <c r="G16" s="6" t="str">
        <f ca="1">IFERROR(__xludf.DUMMYFUNCTION("""COMPUTED_VALUE"""),"Man")</f>
        <v>Man</v>
      </c>
      <c r="H16" s="6"/>
      <c r="I16" s="6"/>
      <c r="J16" s="6"/>
      <c r="K16" s="6"/>
      <c r="L16" s="6" t="str">
        <f ca="1">IFERROR(__xludf.DUMMYFUNCTION("""COMPUTED_VALUE"""),"--Please select--")</f>
        <v>--Please select--</v>
      </c>
      <c r="M16" s="6"/>
      <c r="N16" s="6"/>
      <c r="O16" s="6" t="str">
        <f ca="1">IFERROR(__xludf.DUMMYFUNCTION("""COMPUTED_VALUE"""),"Email")</f>
        <v>Email</v>
      </c>
      <c r="P16" s="6"/>
      <c r="Q16" s="6" t="str">
        <f ca="1">IFERROR(__xludf.DUMMYFUNCTION("""COMPUTED_VALUE"""),"No")</f>
        <v>No</v>
      </c>
      <c r="R16" s="6">
        <f ca="1">IFERROR(__xludf.DUMMYFUNCTION("""COMPUTED_VALUE"""),2)</f>
        <v>2</v>
      </c>
      <c r="S16" s="6" t="str">
        <f ca="1">IFERROR(__xludf.DUMMYFUNCTION("""COMPUTED_VALUE"""),"Pre-seed")</f>
        <v>Pre-seed</v>
      </c>
      <c r="T16" s="6" t="str">
        <f ca="1">IFERROR(__xludf.DUMMYFUNCTION("""COMPUTED_VALUE"""),"Pre-seed")</f>
        <v>Pre-seed</v>
      </c>
      <c r="U16" s="6" t="str">
        <f ca="1">IFERROR(__xludf.DUMMYFUNCTION("""COMPUTED_VALUE"""),"Pre-seed")</f>
        <v>Pre-seed</v>
      </c>
      <c r="V16" s="6"/>
      <c r="W16" s="6" t="str">
        <f ca="1">IFERROR(__xludf.DUMMYFUNCTION("""COMPUTED_VALUE"""),"Invite Next Year")</f>
        <v>Invite Next Year</v>
      </c>
    </row>
    <row r="17" spans="1:23">
      <c r="A17" s="6" t="str">
        <f ca="1">IFERROR(__xludf.DUMMYFUNCTION("""COMPUTED_VALUE"""),"Woman, Man")</f>
        <v>Woman, Man</v>
      </c>
      <c r="B17" s="6" t="str">
        <f ca="1">IFERROR(__xludf.DUMMYFUNCTION("""COMPUTED_VALUE"""),"Neurohue _2022")</f>
        <v>Neurohue _2022</v>
      </c>
      <c r="C17" s="6" t="str">
        <f ca="1">IFERROR(__xludf.DUMMYFUNCTION("""COMPUTED_VALUE"""),"Life Sciences")</f>
        <v>Life Sciences</v>
      </c>
      <c r="D17" s="6" t="str">
        <f ca="1">IFERROR(__xludf.DUMMYFUNCTION("""COMPUTED_VALUE"""),"600 N Broad Street, Suite 5 #3720 DE, United States")</f>
        <v>600 N Broad Street, Suite 5 #3720 DE, United States</v>
      </c>
      <c r="E17" s="6" t="str">
        <f ca="1">IFERROR(__xludf.DUMMYFUNCTION("""COMPUTED_VALUE"""),"East Coast")</f>
        <v>East Coast</v>
      </c>
      <c r="F17" s="6" t="str">
        <f ca="1">IFERROR(__xludf.DUMMYFUNCTION("""COMPUTED_VALUE"""),"Woman")</f>
        <v>Woman</v>
      </c>
      <c r="G17" s="6" t="str">
        <f ca="1">IFERROR(__xludf.DUMMYFUNCTION("""COMPUTED_VALUE"""),"Man")</f>
        <v>Man</v>
      </c>
      <c r="H17" s="6"/>
      <c r="I17" s="6"/>
      <c r="J17" s="6"/>
      <c r="K17" s="6"/>
      <c r="L17" s="6" t="str">
        <f ca="1">IFERROR(__xludf.DUMMYFUNCTION("""COMPUTED_VALUE"""),"Yes")</f>
        <v>Yes</v>
      </c>
      <c r="M17" s="6" t="str">
        <f ca="1">IFERROR(__xludf.DUMMYFUNCTION("""COMPUTED_VALUE"""),"NYU Alumni")</f>
        <v>NYU Alumni</v>
      </c>
      <c r="N17" s="6"/>
      <c r="O17" s="6" t="str">
        <f ca="1">IFERROR(__xludf.DUMMYFUNCTION("""COMPUTED_VALUE"""),"Email")</f>
        <v>Email</v>
      </c>
      <c r="P17" s="6"/>
      <c r="Q17" s="6" t="str">
        <f ca="1">IFERROR(__xludf.DUMMYFUNCTION("""COMPUTED_VALUE"""),"No")</f>
        <v>No</v>
      </c>
      <c r="R17" s="6">
        <f ca="1">IFERROR(__xludf.DUMMYFUNCTION("""COMPUTED_VALUE"""),2)</f>
        <v>2</v>
      </c>
      <c r="S17" s="6" t="str">
        <f ca="1">IFERROR(__xludf.DUMMYFUNCTION("""COMPUTED_VALUE"""),"Grants")</f>
        <v>Grants</v>
      </c>
      <c r="T17" s="6" t="str">
        <f ca="1">IFERROR(__xludf.DUMMYFUNCTION("""COMPUTED_VALUE"""),"Grants")</f>
        <v>Grants</v>
      </c>
      <c r="U17" s="6" t="str">
        <f ca="1">IFERROR(__xludf.DUMMYFUNCTION("""COMPUTED_VALUE"""),"Grants")</f>
        <v>Grants</v>
      </c>
      <c r="V17" s="6"/>
      <c r="W17" s="6" t="str">
        <f ca="1">IFERROR(__xludf.DUMMYFUNCTION("""COMPUTED_VALUE"""),"Invite Next Year")</f>
        <v>Invite Next Year</v>
      </c>
    </row>
    <row r="18" spans="1:23">
      <c r="A18" s="6" t="str">
        <f ca="1">IFERROR(__xludf.DUMMYFUNCTION("""COMPUTED_VALUE"""),"Man, Man")</f>
        <v>Man, Man</v>
      </c>
      <c r="B18" s="6" t="str">
        <f ca="1">IFERROR(__xludf.DUMMYFUNCTION("""COMPUTED_VALUE"""),"MDDx, Inc. _2022")</f>
        <v>MDDx, Inc. _2022</v>
      </c>
      <c r="C18" s="6" t="str">
        <f ca="1">IFERROR(__xludf.DUMMYFUNCTION("""COMPUTED_VALUE"""),"Life Sciences")</f>
        <v>Life Sciences</v>
      </c>
      <c r="D18" s="6" t="str">
        <f ca="1">IFERROR(__xludf.DUMMYFUNCTION("""COMPUTED_VALUE"""),"150 White Plains Road, Suite 208, Tarrytown NY, United States")</f>
        <v>150 White Plains Road, Suite 208, Tarrytown NY, United States</v>
      </c>
      <c r="E18" s="6" t="str">
        <f ca="1">IFERROR(__xludf.DUMMYFUNCTION("""COMPUTED_VALUE"""),"East Coast")</f>
        <v>East Coast</v>
      </c>
      <c r="F18" s="6" t="str">
        <f ca="1">IFERROR(__xludf.DUMMYFUNCTION("""COMPUTED_VALUE"""),"Man")</f>
        <v>Man</v>
      </c>
      <c r="G18" s="6" t="str">
        <f ca="1">IFERROR(__xludf.DUMMYFUNCTION("""COMPUTED_VALUE"""),"Man")</f>
        <v>Man</v>
      </c>
      <c r="H18" s="6"/>
      <c r="I18" s="6"/>
      <c r="J18" s="6"/>
      <c r="K18" s="6"/>
      <c r="L18" s="6" t="str">
        <f ca="1">IFERROR(__xludf.DUMMYFUNCTION("""COMPUTED_VALUE"""),"No")</f>
        <v>No</v>
      </c>
      <c r="M18" s="6"/>
      <c r="N18" s="6"/>
      <c r="O18" s="6" t="str">
        <f ca="1">IFERROR(__xludf.DUMMYFUNCTION("""COMPUTED_VALUE"""),"Other")</f>
        <v>Other</v>
      </c>
      <c r="P18" s="6" t="str">
        <f ca="1">IFERROR(__xludf.DUMMYFUNCTION("""COMPUTED_VALUE"""),"The program was recommended to us by Nicole McKnight")</f>
        <v>The program was recommended to us by Nicole McKnight</v>
      </c>
      <c r="Q18" s="6" t="str">
        <f ca="1">IFERROR(__xludf.DUMMYFUNCTION("""COMPUTED_VALUE"""),"No")</f>
        <v>No</v>
      </c>
      <c r="R18" s="6">
        <f ca="1">IFERROR(__xludf.DUMMYFUNCTION("""COMPUTED_VALUE"""),2)</f>
        <v>2</v>
      </c>
      <c r="S18" s="6" t="str">
        <f ca="1">IFERROR(__xludf.DUMMYFUNCTION("""COMPUTED_VALUE"""),"Grants")</f>
        <v>Grants</v>
      </c>
      <c r="T18" s="6" t="str">
        <f ca="1">IFERROR(__xludf.DUMMYFUNCTION("""COMPUTED_VALUE"""),"Grants")</f>
        <v>Grants</v>
      </c>
      <c r="U18" s="6" t="str">
        <f ca="1">IFERROR(__xludf.DUMMYFUNCTION("""COMPUTED_VALUE"""),"Grants")</f>
        <v>Grants</v>
      </c>
      <c r="V18" s="6"/>
      <c r="W18" s="6" t="str">
        <f ca="1">IFERROR(__xludf.DUMMYFUNCTION("""COMPUTED_VALUE"""),"Revisit/ Cluster")</f>
        <v>Revisit/ Cluster</v>
      </c>
    </row>
    <row r="19" spans="1:23">
      <c r="A19" s="6" t="str">
        <f ca="1">IFERROR(__xludf.DUMMYFUNCTION("""COMPUTED_VALUE"""),"Man, Woman")</f>
        <v>Man, Woman</v>
      </c>
      <c r="B19" s="6" t="str">
        <f ca="1">IFERROR(__xludf.DUMMYFUNCTION("""COMPUTED_VALUE"""),"Evercity _2022")</f>
        <v>Evercity _2022</v>
      </c>
      <c r="C19" s="6" t="str">
        <f ca="1">IFERROR(__xludf.DUMMYFUNCTION("""COMPUTED_VALUE"""),"Digital Tech")</f>
        <v>Digital Tech</v>
      </c>
      <c r="D19" s="6" t="str">
        <f ca="1">IFERROR(__xludf.DUMMYFUNCTION("""COMPUTED_VALUE"""),"Neumannstraße 135 13189 Berlin, Germany")</f>
        <v>Neumannstraße 135 13189 Berlin, Germany</v>
      </c>
      <c r="E19" s="6" t="str">
        <f ca="1">IFERROR(__xludf.DUMMYFUNCTION("""COMPUTED_VALUE"""),"International - Europe")</f>
        <v>International - Europe</v>
      </c>
      <c r="F19" s="6" t="str">
        <f ca="1">IFERROR(__xludf.DUMMYFUNCTION("""COMPUTED_VALUE"""),"Man")</f>
        <v>Man</v>
      </c>
      <c r="G19" s="6" t="str">
        <f ca="1">IFERROR(__xludf.DUMMYFUNCTION("""COMPUTED_VALUE"""),"Woman")</f>
        <v>Woman</v>
      </c>
      <c r="H19" s="6"/>
      <c r="I19" s="6"/>
      <c r="J19" s="6"/>
      <c r="K19" s="6"/>
      <c r="L19" s="6" t="str">
        <f ca="1">IFERROR(__xludf.DUMMYFUNCTION("""COMPUTED_VALUE"""),"No")</f>
        <v>No</v>
      </c>
      <c r="M19" s="6"/>
      <c r="N19" s="6"/>
      <c r="O19" s="6" t="str">
        <f ca="1">IFERROR(__xludf.DUMMYFUNCTION("""COMPUTED_VALUE"""),"Email")</f>
        <v>Email</v>
      </c>
      <c r="P19" s="6"/>
      <c r="Q19" s="6" t="str">
        <f ca="1">IFERROR(__xludf.DUMMYFUNCTION("""COMPUTED_VALUE"""),"Yes|No")</f>
        <v>Yes|No</v>
      </c>
      <c r="R19" s="6">
        <f ca="1">IFERROR(__xludf.DUMMYFUNCTION("""COMPUTED_VALUE"""),2)</f>
        <v>2</v>
      </c>
      <c r="S19" s="6" t="str">
        <f ca="1">IFERROR(__xludf.DUMMYFUNCTION("""COMPUTED_VALUE"""),"Pre-seed")</f>
        <v>Pre-seed</v>
      </c>
      <c r="T19" s="6" t="str">
        <f ca="1">IFERROR(__xludf.DUMMYFUNCTION("""COMPUTED_VALUE"""),"Pre-seed")</f>
        <v>Pre-seed</v>
      </c>
      <c r="U19" s="6" t="str">
        <f ca="1">IFERROR(__xludf.DUMMYFUNCTION("""COMPUTED_VALUE"""),"Pre-seed")</f>
        <v>Pre-seed</v>
      </c>
      <c r="V19" s="6"/>
      <c r="W19" s="6" t="str">
        <f ca="1">IFERROR(__xludf.DUMMYFUNCTION("""COMPUTED_VALUE"""),"Invite")</f>
        <v>Invite</v>
      </c>
    </row>
    <row r="20" spans="1:23">
      <c r="A20" s="6" t="str">
        <f ca="1">IFERROR(__xludf.DUMMYFUNCTION("""COMPUTED_VALUE"""),"Man, Man, Woman")</f>
        <v>Man, Man, Woman</v>
      </c>
      <c r="B20" s="6" t="str">
        <f ca="1">IFERROR(__xludf.DUMMYFUNCTION("""COMPUTED_VALUE"""),"Nu-Credits _2022")</f>
        <v>Nu-Credits _2022</v>
      </c>
      <c r="C20" s="6" t="str">
        <f ca="1">IFERROR(__xludf.DUMMYFUNCTION("""COMPUTED_VALUE"""),"Digital Tech")</f>
        <v>Digital Tech</v>
      </c>
      <c r="D20" s="6" t="str">
        <f ca="1">IFERROR(__xludf.DUMMYFUNCTION("""COMPUTED_VALUE"""),"London England, United Kingdom")</f>
        <v>London England, United Kingdom</v>
      </c>
      <c r="E20" s="6" t="str">
        <f ca="1">IFERROR(__xludf.DUMMYFUNCTION("""COMPUTED_VALUE"""),"International - Europe")</f>
        <v>International - Europe</v>
      </c>
      <c r="F20" s="6" t="str">
        <f ca="1">IFERROR(__xludf.DUMMYFUNCTION("""COMPUTED_VALUE"""),"Man")</f>
        <v>Man</v>
      </c>
      <c r="G20" s="6" t="str">
        <f ca="1">IFERROR(__xludf.DUMMYFUNCTION("""COMPUTED_VALUE"""),"Man")</f>
        <v>Man</v>
      </c>
      <c r="H20" s="6" t="str">
        <f ca="1">IFERROR(__xludf.DUMMYFUNCTION("""COMPUTED_VALUE"""),"Woman")</f>
        <v>Woman</v>
      </c>
      <c r="I20" s="6"/>
      <c r="J20" s="6"/>
      <c r="K20" s="6"/>
      <c r="L20" s="6" t="str">
        <f ca="1">IFERROR(__xludf.DUMMYFUNCTION("""COMPUTED_VALUE"""),"No")</f>
        <v>No</v>
      </c>
      <c r="M20" s="6"/>
      <c r="N20" s="6"/>
      <c r="O20" s="6" t="str">
        <f ca="1">IFERROR(__xludf.DUMMYFUNCTION("""COMPUTED_VALUE"""),"Email")</f>
        <v>Email</v>
      </c>
      <c r="P20" s="6"/>
      <c r="Q20" s="6" t="str">
        <f ca="1">IFERROR(__xludf.DUMMYFUNCTION("""COMPUTED_VALUE"""),"No")</f>
        <v>No</v>
      </c>
      <c r="R20" s="6">
        <f ca="1">IFERROR(__xludf.DUMMYFUNCTION("""COMPUTED_VALUE"""),3)</f>
        <v>3</v>
      </c>
      <c r="S20" s="6" t="str">
        <f ca="1">IFERROR(__xludf.DUMMYFUNCTION("""COMPUTED_VALUE"""),"Seed")</f>
        <v>Seed</v>
      </c>
      <c r="T20" s="6" t="str">
        <f ca="1">IFERROR(__xludf.DUMMYFUNCTION("""COMPUTED_VALUE"""),"Seed")</f>
        <v>Seed</v>
      </c>
      <c r="U20" s="6" t="str">
        <f ca="1">IFERROR(__xludf.DUMMYFUNCTION("""COMPUTED_VALUE"""),"Seed")</f>
        <v>Seed</v>
      </c>
      <c r="V20" s="6"/>
      <c r="W20" s="6" t="str">
        <f ca="1">IFERROR(__xludf.DUMMYFUNCTION("""COMPUTED_VALUE"""),"Invite Next Year")</f>
        <v>Invite Next Year</v>
      </c>
    </row>
    <row r="21" spans="1:23">
      <c r="A21" s="6" t="str">
        <f ca="1">IFERROR(__xludf.DUMMYFUNCTION("""COMPUTED_VALUE"""),"Man")</f>
        <v>Man</v>
      </c>
      <c r="B21" s="6" t="str">
        <f ca="1">IFERROR(__xludf.DUMMYFUNCTION("""COMPUTED_VALUE"""),"Bureau, Inc. _2022")</f>
        <v>Bureau, Inc. _2022</v>
      </c>
      <c r="C21" s="6" t="str">
        <f ca="1">IFERROR(__xludf.DUMMYFUNCTION("""COMPUTED_VALUE"""),"Digital Tech")</f>
        <v>Digital Tech</v>
      </c>
      <c r="D21" s="6" t="str">
        <f ca="1">IFERROR(__xludf.DUMMYFUNCTION("""COMPUTED_VALUE"""),"San Francisco California
United States")</f>
        <v>San Francisco California
United States</v>
      </c>
      <c r="E21" s="6" t="str">
        <f ca="1">IFERROR(__xludf.DUMMYFUNCTION("""COMPUTED_VALUE"""),"West Coast")</f>
        <v>West Coast</v>
      </c>
      <c r="F21" s="6" t="str">
        <f ca="1">IFERROR(__xludf.DUMMYFUNCTION("""COMPUTED_VALUE"""),"Man")</f>
        <v>Man</v>
      </c>
      <c r="G21" s="6"/>
      <c r="H21" s="6"/>
      <c r="I21" s="6"/>
      <c r="J21" s="6"/>
      <c r="K21" s="6"/>
      <c r="L21" s="6" t="str">
        <f ca="1">IFERROR(__xludf.DUMMYFUNCTION("""COMPUTED_VALUE"""),"No")</f>
        <v>No</v>
      </c>
      <c r="M21" s="6"/>
      <c r="N21" s="6"/>
      <c r="O21" s="6" t="str">
        <f ca="1">IFERROR(__xludf.DUMMYFUNCTION("""COMPUTED_VALUE"""),"Email")</f>
        <v>Email</v>
      </c>
      <c r="P21" s="6"/>
      <c r="Q21" s="6" t="str">
        <f ca="1">IFERROR(__xludf.DUMMYFUNCTION("""COMPUTED_VALUE"""),"No")</f>
        <v>No</v>
      </c>
      <c r="R21" s="6">
        <f ca="1">IFERROR(__xludf.DUMMYFUNCTION("""COMPUTED_VALUE"""),1)</f>
        <v>1</v>
      </c>
      <c r="S21" s="6" t="str">
        <f ca="1">IFERROR(__xludf.DUMMYFUNCTION("""COMPUTED_VALUE"""),"Seed
Series A")</f>
        <v>Seed
Series A</v>
      </c>
      <c r="T21" s="6" t="str">
        <f ca="1">IFERROR(__xludf.DUMMYFUNCTION("""COMPUTED_VALUE"""),"Seed, Series A")</f>
        <v>Seed, Series A</v>
      </c>
      <c r="U21" s="6" t="str">
        <f ca="1">IFERROR(__xludf.DUMMYFUNCTION("""COMPUTED_VALUE"""),"Seed, Series A")</f>
        <v>Seed, Series A</v>
      </c>
      <c r="V21" s="6"/>
      <c r="W21" s="6" t="str">
        <f ca="1">IFERROR(__xludf.DUMMYFUNCTION("""COMPUTED_VALUE"""),"Invite")</f>
        <v>Invite</v>
      </c>
    </row>
    <row r="22" spans="1:23">
      <c r="A22" s="6" t="str">
        <f ca="1">IFERROR(__xludf.DUMMYFUNCTION("""COMPUTED_VALUE"""),"Woman, Man, Man")</f>
        <v>Woman, Man, Man</v>
      </c>
      <c r="B22" s="6" t="str">
        <f ca="1">IFERROR(__xludf.DUMMYFUNCTION("""COMPUTED_VALUE"""),"Etha _2022")</f>
        <v>Etha _2022</v>
      </c>
      <c r="C22" s="6" t="str">
        <f ca="1">IFERROR(__xludf.DUMMYFUNCTION("""COMPUTED_VALUE"""),"Digital Tech")</f>
        <v>Digital Tech</v>
      </c>
      <c r="D22" s="6" t="str">
        <f ca="1">IFERROR(__xludf.DUMMYFUNCTION("""COMPUTED_VALUE"""),"New York City NY, United States")</f>
        <v>New York City NY, United States</v>
      </c>
      <c r="E22" s="6" t="str">
        <f ca="1">IFERROR(__xludf.DUMMYFUNCTION("""COMPUTED_VALUE"""),"New York")</f>
        <v>New York</v>
      </c>
      <c r="F22" s="6" t="str">
        <f ca="1">IFERROR(__xludf.DUMMYFUNCTION("""COMPUTED_VALUE"""),"Woman")</f>
        <v>Woman</v>
      </c>
      <c r="G22" s="6" t="str">
        <f ca="1">IFERROR(__xludf.DUMMYFUNCTION("""COMPUTED_VALUE"""),"Man")</f>
        <v>Man</v>
      </c>
      <c r="H22" s="6" t="str">
        <f ca="1">IFERROR(__xludf.DUMMYFUNCTION("""COMPUTED_VALUE"""),"Man")</f>
        <v>Man</v>
      </c>
      <c r="I22" s="6"/>
      <c r="J22" s="6"/>
      <c r="K22" s="6"/>
      <c r="L22" s="6" t="str">
        <f ca="1">IFERROR(__xludf.DUMMYFUNCTION("""COMPUTED_VALUE"""),"--Please select--")</f>
        <v>--Please select--</v>
      </c>
      <c r="M22" s="6"/>
      <c r="N22" s="6"/>
      <c r="O22" s="6" t="str">
        <f ca="1">IFERROR(__xludf.DUMMYFUNCTION("""COMPUTED_VALUE"""),"Referral")</f>
        <v>Referral</v>
      </c>
      <c r="P22" s="6"/>
      <c r="Q22" s="6" t="str">
        <f ca="1">IFERROR(__xludf.DUMMYFUNCTION("""COMPUTED_VALUE"""),"No")</f>
        <v>No</v>
      </c>
      <c r="R22" s="6">
        <f ca="1">IFERROR(__xludf.DUMMYFUNCTION("""COMPUTED_VALUE"""),3)</f>
        <v>3</v>
      </c>
      <c r="S22" s="6" t="str">
        <f ca="1">IFERROR(__xludf.DUMMYFUNCTION("""COMPUTED_VALUE"""),"Pre-seed")</f>
        <v>Pre-seed</v>
      </c>
      <c r="T22" s="6" t="str">
        <f ca="1">IFERROR(__xludf.DUMMYFUNCTION("""COMPUTED_VALUE"""),"Pre-seed")</f>
        <v>Pre-seed</v>
      </c>
      <c r="U22" s="6" t="str">
        <f ca="1">IFERROR(__xludf.DUMMYFUNCTION("""COMPUTED_VALUE"""),"Pre-seed")</f>
        <v>Pre-seed</v>
      </c>
      <c r="V22" s="6"/>
      <c r="W22" s="6" t="str">
        <f ca="1">IFERROR(__xludf.DUMMYFUNCTION("""COMPUTED_VALUE"""),"Invite Next Year")</f>
        <v>Invite Next Year</v>
      </c>
    </row>
    <row r="23" spans="1:23">
      <c r="A23" s="6" t="str">
        <f ca="1">IFERROR(__xludf.DUMMYFUNCTION("""COMPUTED_VALUE"""),"Man")</f>
        <v>Man</v>
      </c>
      <c r="B23" s="6" t="str">
        <f ca="1">IFERROR(__xludf.DUMMYFUNCTION("""COMPUTED_VALUE"""),"Ascend Manufacturing Inc. _2022")</f>
        <v>Ascend Manufacturing Inc. _2022</v>
      </c>
      <c r="C23" s="6" t="str">
        <f ca="1">IFERROR(__xludf.DUMMYFUNCTION("""COMPUTED_VALUE"""),"Deep Tech")</f>
        <v>Deep Tech</v>
      </c>
      <c r="D23" s="6" t="str">
        <f ca="1">IFERROR(__xludf.DUMMYFUNCTION("""COMPUTED_VALUE"""),"Knoxville Tennessee, United States")</f>
        <v>Knoxville Tennessee, United States</v>
      </c>
      <c r="E23" s="6" t="str">
        <f ca="1">IFERROR(__xludf.DUMMYFUNCTION("""COMPUTED_VALUE"""),"South")</f>
        <v>South</v>
      </c>
      <c r="F23" s="6" t="str">
        <f ca="1">IFERROR(__xludf.DUMMYFUNCTION("""COMPUTED_VALUE"""),"Man")</f>
        <v>Man</v>
      </c>
      <c r="G23" s="6"/>
      <c r="H23" s="6"/>
      <c r="I23" s="6"/>
      <c r="J23" s="6"/>
      <c r="K23" s="6"/>
      <c r="L23" s="6" t="str">
        <f ca="1">IFERROR(__xludf.DUMMYFUNCTION("""COMPUTED_VALUE"""),"--Please select--")</f>
        <v>--Please select--</v>
      </c>
      <c r="M23" s="6"/>
      <c r="N23" s="6"/>
      <c r="O23" s="6" t="str">
        <f ca="1">IFERROR(__xludf.DUMMYFUNCTION("""COMPUTED_VALUE"""),"Referral")</f>
        <v>Referral</v>
      </c>
      <c r="P23" s="6"/>
      <c r="Q23" s="6" t="str">
        <f ca="1">IFERROR(__xludf.DUMMYFUNCTION("""COMPUTED_VALUE"""),"Yes")</f>
        <v>Yes</v>
      </c>
      <c r="R23" s="6">
        <f ca="1">IFERROR(__xludf.DUMMYFUNCTION("""COMPUTED_VALUE"""),1)</f>
        <v>1</v>
      </c>
      <c r="S23" s="6" t="str">
        <f ca="1">IFERROR(__xludf.DUMMYFUNCTION("""COMPUTED_VALUE"""),"Pre-seed")</f>
        <v>Pre-seed</v>
      </c>
      <c r="T23" s="6" t="str">
        <f ca="1">IFERROR(__xludf.DUMMYFUNCTION("""COMPUTED_VALUE"""),"Pre-seed")</f>
        <v>Pre-seed</v>
      </c>
      <c r="U23" s="6" t="str">
        <f ca="1">IFERROR(__xludf.DUMMYFUNCTION("""COMPUTED_VALUE"""),"Pre-seed")</f>
        <v>Pre-seed</v>
      </c>
      <c r="V23" s="6"/>
      <c r="W23" s="6" t="str">
        <f ca="1">IFERROR(__xludf.DUMMYFUNCTION("""COMPUTED_VALUE"""),"Invite Next Year")</f>
        <v>Invite Next Year</v>
      </c>
    </row>
    <row r="24" spans="1:23">
      <c r="A24" s="6" t="str">
        <f ca="1">IFERROR(__xludf.DUMMYFUNCTION("""COMPUTED_VALUE"""),"Man")</f>
        <v>Man</v>
      </c>
      <c r="B24" s="6" t="str">
        <f ca="1">IFERROR(__xludf.DUMMYFUNCTION("""COMPUTED_VALUE"""),"C-End, LLC _2022")</f>
        <v>C-End, LLC _2022</v>
      </c>
      <c r="C24" s="6" t="str">
        <f ca="1">IFERROR(__xludf.DUMMYFUNCTION("""COMPUTED_VALUE"""),"Digital Tech")</f>
        <v>Digital Tech</v>
      </c>
      <c r="D24" s="6" t="str">
        <f ca="1">IFERROR(__xludf.DUMMYFUNCTION("""COMPUTED_VALUE"""),"54 Easton Avenue, RI")</f>
        <v>54 Easton Avenue, RI</v>
      </c>
      <c r="E24" s="6" t="str">
        <f ca="1">IFERROR(__xludf.DUMMYFUNCTION("""COMPUTED_VALUE"""),"East Coast")</f>
        <v>East Coast</v>
      </c>
      <c r="F24" s="6" t="str">
        <f ca="1">IFERROR(__xludf.DUMMYFUNCTION("""COMPUTED_VALUE"""),"Man")</f>
        <v>Man</v>
      </c>
      <c r="G24" s="6"/>
      <c r="H24" s="6"/>
      <c r="I24" s="6"/>
      <c r="J24" s="6"/>
      <c r="K24" s="6"/>
      <c r="L24" s="6" t="str">
        <f ca="1">IFERROR(__xludf.DUMMYFUNCTION("""COMPUTED_VALUE"""),"No")</f>
        <v>No</v>
      </c>
      <c r="M24" s="6"/>
      <c r="N24" s="6"/>
      <c r="O24" s="6" t="str">
        <f ca="1">IFERROR(__xludf.DUMMYFUNCTION("""COMPUTED_VALUE"""),"Email")</f>
        <v>Email</v>
      </c>
      <c r="P24" s="6"/>
      <c r="Q24" s="6" t="str">
        <f ca="1">IFERROR(__xludf.DUMMYFUNCTION("""COMPUTED_VALUE"""),"No")</f>
        <v>No</v>
      </c>
      <c r="R24" s="6">
        <f ca="1">IFERROR(__xludf.DUMMYFUNCTION("""COMPUTED_VALUE"""),1)</f>
        <v>1</v>
      </c>
      <c r="S24" s="6" t="str">
        <f ca="1">IFERROR(__xludf.DUMMYFUNCTION("""COMPUTED_VALUE"""),"Seed")</f>
        <v>Seed</v>
      </c>
      <c r="T24" s="6" t="str">
        <f ca="1">IFERROR(__xludf.DUMMYFUNCTION("""COMPUTED_VALUE"""),"Seed")</f>
        <v>Seed</v>
      </c>
      <c r="U24" s="6" t="str">
        <f ca="1">IFERROR(__xludf.DUMMYFUNCTION("""COMPUTED_VALUE"""),"Seed")</f>
        <v>Seed</v>
      </c>
      <c r="V24" s="6"/>
      <c r="W24" s="6" t="str">
        <f ca="1">IFERROR(__xludf.DUMMYFUNCTION("""COMPUTED_VALUE"""),"Invite")</f>
        <v>Invite</v>
      </c>
    </row>
    <row r="25" spans="1:23">
      <c r="A25" s="6" t="str">
        <f ca="1">IFERROR(__xludf.DUMMYFUNCTION("""COMPUTED_VALUE"""),"Man, Woman")</f>
        <v>Man, Woman</v>
      </c>
      <c r="B25" s="6" t="str">
        <f ca="1">IFERROR(__xludf.DUMMYFUNCTION("""COMPUTED_VALUE"""),"Kyomei _2022")</f>
        <v>Kyomei _2022</v>
      </c>
      <c r="C25" s="6" t="str">
        <f ca="1">IFERROR(__xludf.DUMMYFUNCTION("""COMPUTED_VALUE"""),"Deep Tech")</f>
        <v>Deep Tech</v>
      </c>
      <c r="D25" s="6" t="str">
        <f ca="1">IFERROR(__xludf.DUMMYFUNCTION("""COMPUTED_VALUE"""),"Park Farm Barn 4 Villa Rd Impington Histon Cambridge Cambridgeshire, United Kingdom")</f>
        <v>Park Farm Barn 4 Villa Rd Impington Histon Cambridge Cambridgeshire, United Kingdom</v>
      </c>
      <c r="E25" s="6" t="str">
        <f ca="1">IFERROR(__xludf.DUMMYFUNCTION("""COMPUTED_VALUE"""),"International - Europe")</f>
        <v>International - Europe</v>
      </c>
      <c r="F25" s="6" t="str">
        <f ca="1">IFERROR(__xludf.DUMMYFUNCTION("""COMPUTED_VALUE"""),"Man")</f>
        <v>Man</v>
      </c>
      <c r="G25" s="6" t="str">
        <f ca="1">IFERROR(__xludf.DUMMYFUNCTION("""COMPUTED_VALUE"""),"Woman")</f>
        <v>Woman</v>
      </c>
      <c r="H25" s="6"/>
      <c r="I25" s="6"/>
      <c r="J25" s="6"/>
      <c r="K25" s="6"/>
      <c r="L25" s="6" t="str">
        <f ca="1">IFERROR(__xludf.DUMMYFUNCTION("""COMPUTED_VALUE"""),"No")</f>
        <v>No</v>
      </c>
      <c r="M25" s="6"/>
      <c r="N25" s="6"/>
      <c r="O25" s="6" t="str">
        <f ca="1">IFERROR(__xludf.DUMMYFUNCTION("""COMPUTED_VALUE"""),"Email")</f>
        <v>Email</v>
      </c>
      <c r="P25" s="6"/>
      <c r="Q25" s="6" t="str">
        <f ca="1">IFERROR(__xludf.DUMMYFUNCTION("""COMPUTED_VALUE"""),"No")</f>
        <v>No</v>
      </c>
      <c r="R25" s="6">
        <f ca="1">IFERROR(__xludf.DUMMYFUNCTION("""COMPUTED_VALUE"""),2)</f>
        <v>2</v>
      </c>
      <c r="S25" s="6" t="str">
        <f ca="1">IFERROR(__xludf.DUMMYFUNCTION("""COMPUTED_VALUE"""),"Seed")</f>
        <v>Seed</v>
      </c>
      <c r="T25" s="6" t="str">
        <f ca="1">IFERROR(__xludf.DUMMYFUNCTION("""COMPUTED_VALUE"""),"Seed")</f>
        <v>Seed</v>
      </c>
      <c r="U25" s="6" t="str">
        <f ca="1">IFERROR(__xludf.DUMMYFUNCTION("""COMPUTED_VALUE"""),"Seed")</f>
        <v>Seed</v>
      </c>
      <c r="V25" s="6"/>
      <c r="W25" s="6" t="str">
        <f ca="1">IFERROR(__xludf.DUMMYFUNCTION("""COMPUTED_VALUE"""),"Invite")</f>
        <v>Invite</v>
      </c>
    </row>
    <row r="26" spans="1:23">
      <c r="A26" s="6" t="str">
        <f ca="1">IFERROR(__xludf.DUMMYFUNCTION("""COMPUTED_VALUE"""),"Man, Woman, Woman, Woman")</f>
        <v>Man, Woman, Woman, Woman</v>
      </c>
      <c r="B26" s="6" t="str">
        <f ca="1">IFERROR(__xludf.DUMMYFUNCTION("""COMPUTED_VALUE"""),"Solais Ventures LLC _2022")</f>
        <v>Solais Ventures LLC _2022</v>
      </c>
      <c r="C26" s="6" t="str">
        <f ca="1">IFERROR(__xludf.DUMMYFUNCTION("""COMPUTED_VALUE"""),"Deep Tech")</f>
        <v>Deep Tech</v>
      </c>
      <c r="D26" s="6" t="str">
        <f ca="1">IFERROR(__xludf.DUMMYFUNCTION("""COMPUTED_VALUE"""),"Belle Mead NJ, United States")</f>
        <v>Belle Mead NJ, United States</v>
      </c>
      <c r="E26" s="6" t="str">
        <f ca="1">IFERROR(__xludf.DUMMYFUNCTION("""COMPUTED_VALUE"""),"East Coast")</f>
        <v>East Coast</v>
      </c>
      <c r="F26" s="6" t="str">
        <f ca="1">IFERROR(__xludf.DUMMYFUNCTION("""COMPUTED_VALUE"""),"Man")</f>
        <v>Man</v>
      </c>
      <c r="G26" s="6" t="str">
        <f ca="1">IFERROR(__xludf.DUMMYFUNCTION("""COMPUTED_VALUE"""),"Woman")</f>
        <v>Woman</v>
      </c>
      <c r="H26" s="6" t="str">
        <f ca="1">IFERROR(__xludf.DUMMYFUNCTION("""COMPUTED_VALUE"""),"Woman")</f>
        <v>Woman</v>
      </c>
      <c r="I26" s="6" t="str">
        <f ca="1">IFERROR(__xludf.DUMMYFUNCTION("""COMPUTED_VALUE"""),"Woman")</f>
        <v>Woman</v>
      </c>
      <c r="J26" s="6"/>
      <c r="K26" s="6"/>
      <c r="L26" s="6" t="str">
        <f ca="1">IFERROR(__xludf.DUMMYFUNCTION("""COMPUTED_VALUE"""),"Yes")</f>
        <v>Yes</v>
      </c>
      <c r="M26" s="6" t="str">
        <f ca="1">IFERROR(__xludf.DUMMYFUNCTION("""COMPUTED_VALUE"""),"NYU Student")</f>
        <v>NYU Student</v>
      </c>
      <c r="N26" s="6"/>
      <c r="O26" s="6" t="str">
        <f ca="1">IFERROR(__xludf.DUMMYFUNCTION("""COMPUTED_VALUE"""),"Email")</f>
        <v>Email</v>
      </c>
      <c r="P26" s="6"/>
      <c r="Q26" s="6" t="str">
        <f ca="1">IFERROR(__xludf.DUMMYFUNCTION("""COMPUTED_VALUE"""),"No")</f>
        <v>No</v>
      </c>
      <c r="R26" s="6">
        <f ca="1">IFERROR(__xludf.DUMMYFUNCTION("""COMPUTED_VALUE"""),4)</f>
        <v>4</v>
      </c>
      <c r="S26" s="6" t="str">
        <f ca="1">IFERROR(__xludf.DUMMYFUNCTION("""COMPUTED_VALUE"""),"Pre-seed")</f>
        <v>Pre-seed</v>
      </c>
      <c r="T26" s="6" t="str">
        <f ca="1">IFERROR(__xludf.DUMMYFUNCTION("""COMPUTED_VALUE"""),"Pre-seed")</f>
        <v>Pre-seed</v>
      </c>
      <c r="U26" s="6" t="str">
        <f ca="1">IFERROR(__xludf.DUMMYFUNCTION("""COMPUTED_VALUE"""),"Pre-seed")</f>
        <v>Pre-seed</v>
      </c>
      <c r="V26" s="6"/>
      <c r="W26" s="6" t="str">
        <f ca="1">IFERROR(__xludf.DUMMYFUNCTION("""COMPUTED_VALUE"""),"Invite Next Year")</f>
        <v>Invite Next Year</v>
      </c>
    </row>
    <row r="27" spans="1:23">
      <c r="A27" s="6" t="str">
        <f ca="1">IFERROR(__xludf.DUMMYFUNCTION("""COMPUTED_VALUE"""),"Man, Man")</f>
        <v>Man, Man</v>
      </c>
      <c r="B27" s="6" t="str">
        <f ca="1">IFERROR(__xludf.DUMMYFUNCTION("""COMPUTED_VALUE"""),"Breakthru _2022")</f>
        <v>Breakthru _2022</v>
      </c>
      <c r="C27" s="6" t="str">
        <f ca="1">IFERROR(__xludf.DUMMYFUNCTION("""COMPUTED_VALUE"""),"Digital Tech")</f>
        <v>Digital Tech</v>
      </c>
      <c r="D27" s="6" t="str">
        <f ca="1">IFERROR(__xludf.DUMMYFUNCTION("""COMPUTED_VALUE"""),"Brooklyn NY, United States")</f>
        <v>Brooklyn NY, United States</v>
      </c>
      <c r="E27" s="6" t="str">
        <f ca="1">IFERROR(__xludf.DUMMYFUNCTION("""COMPUTED_VALUE"""),"New York")</f>
        <v>New York</v>
      </c>
      <c r="F27" s="6" t="str">
        <f ca="1">IFERROR(__xludf.DUMMYFUNCTION("""COMPUTED_VALUE"""),"Man")</f>
        <v>Man</v>
      </c>
      <c r="G27" s="6" t="str">
        <f ca="1">IFERROR(__xludf.DUMMYFUNCTION("""COMPUTED_VALUE"""),"Man")</f>
        <v>Man</v>
      </c>
      <c r="H27" s="6"/>
      <c r="I27" s="6"/>
      <c r="J27" s="6"/>
      <c r="K27" s="6"/>
      <c r="L27" s="6" t="str">
        <f ca="1">IFERROR(__xludf.DUMMYFUNCTION("""COMPUTED_VALUE"""),"Yes")</f>
        <v>Yes</v>
      </c>
      <c r="M27" s="6" t="str">
        <f ca="1">IFERROR(__xludf.DUMMYFUNCTION("""COMPUTED_VALUE"""),"Other (please specify)")</f>
        <v>Other (please specify)</v>
      </c>
      <c r="N27" s="6" t="str">
        <f ca="1">IFERROR(__xludf.DUMMYFUNCTION("""COMPUTED_VALUE"""),"We were a member of StartEd when it was partnered with NYU")</f>
        <v>We were a member of StartEd when it was partnered with NYU</v>
      </c>
      <c r="O27" s="6" t="str">
        <f ca="1">IFERROR(__xludf.DUMMYFUNCTION("""COMPUTED_VALUE"""),"Email")</f>
        <v>Email</v>
      </c>
      <c r="P27" s="6"/>
      <c r="Q27" s="6" t="str">
        <f ca="1">IFERROR(__xludf.DUMMYFUNCTION("""COMPUTED_VALUE"""),"No")</f>
        <v>No</v>
      </c>
      <c r="R27" s="6">
        <f ca="1">IFERROR(__xludf.DUMMYFUNCTION("""COMPUTED_VALUE"""),2)</f>
        <v>2</v>
      </c>
      <c r="S27" s="6" t="str">
        <f ca="1">IFERROR(__xludf.DUMMYFUNCTION("""COMPUTED_VALUE"""),"Pre-seed|Seed")</f>
        <v>Pre-seed|Seed</v>
      </c>
      <c r="T27" s="6" t="str">
        <f ca="1">IFERROR(__xludf.DUMMYFUNCTION("""COMPUTED_VALUE"""),"Pre-seed, Seed")</f>
        <v>Pre-seed, Seed</v>
      </c>
      <c r="U27" s="6" t="str">
        <f ca="1">IFERROR(__xludf.DUMMYFUNCTION("""COMPUTED_VALUE"""),"Pre-seed, Seed")</f>
        <v>Pre-seed, Seed</v>
      </c>
      <c r="V27" s="6"/>
      <c r="W27" s="6" t="str">
        <f ca="1">IFERROR(__xludf.DUMMYFUNCTION("""COMPUTED_VALUE"""),"Invite Next Year")</f>
        <v>Invite Next Year</v>
      </c>
    </row>
    <row r="28" spans="1:23">
      <c r="A28" s="6" t="str">
        <f ca="1">IFERROR(__xludf.DUMMYFUNCTION("""COMPUTED_VALUE"""),"Man, Man")</f>
        <v>Man, Man</v>
      </c>
      <c r="B28" s="6" t="str">
        <f ca="1">IFERROR(__xludf.DUMMYFUNCTION("""COMPUTED_VALUE"""),"Nutrivide Inc. _2022")</f>
        <v>Nutrivide Inc. _2022</v>
      </c>
      <c r="C28" s="6" t="str">
        <f ca="1">IFERROR(__xludf.DUMMYFUNCTION("""COMPUTED_VALUE"""),"Life Sciences")</f>
        <v>Life Sciences</v>
      </c>
      <c r="D28" s="6" t="str">
        <f ca="1">IFERROR(__xludf.DUMMYFUNCTION("""COMPUTED_VALUE"""),"North Brunswick New Jersey, United States")</f>
        <v>North Brunswick New Jersey, United States</v>
      </c>
      <c r="E28" s="6" t="str">
        <f ca="1">IFERROR(__xludf.DUMMYFUNCTION("""COMPUTED_VALUE"""),"East Coast")</f>
        <v>East Coast</v>
      </c>
      <c r="F28" s="6" t="str">
        <f ca="1">IFERROR(__xludf.DUMMYFUNCTION("""COMPUTED_VALUE"""),"Man")</f>
        <v>Man</v>
      </c>
      <c r="G28" s="6" t="str">
        <f ca="1">IFERROR(__xludf.DUMMYFUNCTION("""COMPUTED_VALUE"""),"Man")</f>
        <v>Man</v>
      </c>
      <c r="H28" s="6"/>
      <c r="I28" s="6"/>
      <c r="J28" s="6"/>
      <c r="K28" s="6"/>
      <c r="L28" s="6" t="str">
        <f ca="1">IFERROR(__xludf.DUMMYFUNCTION("""COMPUTED_VALUE"""),"No")</f>
        <v>No</v>
      </c>
      <c r="M28" s="6"/>
      <c r="N28" s="6"/>
      <c r="O28" s="6" t="str">
        <f ca="1">IFERROR(__xludf.DUMMYFUNCTION("""COMPUTED_VALUE"""),"Other")</f>
        <v>Other</v>
      </c>
      <c r="P28" s="6" t="str">
        <f ca="1">IFERROR(__xludf.DUMMYFUNCTION("""COMPUTED_VALUE"""),"Applied previously &amp; returned")</f>
        <v>Applied previously &amp; returned</v>
      </c>
      <c r="Q28" s="6" t="str">
        <f ca="1">IFERROR(__xludf.DUMMYFUNCTION("""COMPUTED_VALUE"""),"Yes")</f>
        <v>Yes</v>
      </c>
      <c r="R28" s="6">
        <f ca="1">IFERROR(__xludf.DUMMYFUNCTION("""COMPUTED_VALUE"""),2)</f>
        <v>2</v>
      </c>
      <c r="S28" s="6" t="str">
        <f ca="1">IFERROR(__xludf.DUMMYFUNCTION("""COMPUTED_VALUE"""),"Grants")</f>
        <v>Grants</v>
      </c>
      <c r="T28" s="6" t="str">
        <f ca="1">IFERROR(__xludf.DUMMYFUNCTION("""COMPUTED_VALUE"""),"Grants")</f>
        <v>Grants</v>
      </c>
      <c r="U28" s="6" t="str">
        <f ca="1">IFERROR(__xludf.DUMMYFUNCTION("""COMPUTED_VALUE"""),"Grants")</f>
        <v>Grants</v>
      </c>
      <c r="V28" s="6"/>
      <c r="W28" s="6" t="str">
        <f ca="1">IFERROR(__xludf.DUMMYFUNCTION("""COMPUTED_VALUE"""),"Invite Next Year")</f>
        <v>Invite Next Year</v>
      </c>
    </row>
    <row r="29" spans="1:23">
      <c r="A29" s="6" t="str">
        <f ca="1">IFERROR(__xludf.DUMMYFUNCTION("""COMPUTED_VALUE"""),"Man, Man")</f>
        <v>Man, Man</v>
      </c>
      <c r="B29" s="6" t="str">
        <f ca="1">IFERROR(__xludf.DUMMYFUNCTION("""COMPUTED_VALUE"""),"Videoster Inc. _2022")</f>
        <v>Videoster Inc. _2022</v>
      </c>
      <c r="C29" s="6" t="str">
        <f ca="1">IFERROR(__xludf.DUMMYFUNCTION("""COMPUTED_VALUE"""),"Digital Tech")</f>
        <v>Digital Tech</v>
      </c>
      <c r="D29" s="6" t="str">
        <f ca="1">IFERROR(__xludf.DUMMYFUNCTION("""COMPUTED_VALUE"""),"Mississauga Ontario, Canada")</f>
        <v>Mississauga Ontario, Canada</v>
      </c>
      <c r="E29" s="6" t="str">
        <f ca="1">IFERROR(__xludf.DUMMYFUNCTION("""COMPUTED_VALUE"""),"International - Americas")</f>
        <v>International - Americas</v>
      </c>
      <c r="F29" s="6" t="str">
        <f ca="1">IFERROR(__xludf.DUMMYFUNCTION("""COMPUTED_VALUE"""),"Man")</f>
        <v>Man</v>
      </c>
      <c r="G29" s="6" t="str">
        <f ca="1">IFERROR(__xludf.DUMMYFUNCTION("""COMPUTED_VALUE"""),"Man")</f>
        <v>Man</v>
      </c>
      <c r="H29" s="6"/>
      <c r="I29" s="6"/>
      <c r="J29" s="6"/>
      <c r="K29" s="6"/>
      <c r="L29" s="6" t="str">
        <f ca="1">IFERROR(__xludf.DUMMYFUNCTION("""COMPUTED_VALUE"""),"No")</f>
        <v>No</v>
      </c>
      <c r="M29" s="6"/>
      <c r="N29" s="6"/>
      <c r="O29" s="6" t="str">
        <f ca="1">IFERROR(__xludf.DUMMYFUNCTION("""COMPUTED_VALUE"""),"Email")</f>
        <v>Email</v>
      </c>
      <c r="P29" s="6"/>
      <c r="Q29" s="6" t="str">
        <f ca="1">IFERROR(__xludf.DUMMYFUNCTION("""COMPUTED_VALUE"""),"No")</f>
        <v>No</v>
      </c>
      <c r="R29" s="6">
        <f ca="1">IFERROR(__xludf.DUMMYFUNCTION("""COMPUTED_VALUE"""),2)</f>
        <v>2</v>
      </c>
      <c r="S29" s="6" t="str">
        <f ca="1">IFERROR(__xludf.DUMMYFUNCTION("""COMPUTED_VALUE"""),"None")</f>
        <v>None</v>
      </c>
      <c r="T29" s="6" t="str">
        <f ca="1">IFERROR(__xludf.DUMMYFUNCTION("""COMPUTED_VALUE"""),"None")</f>
        <v>None</v>
      </c>
      <c r="U29" s="6" t="str">
        <f ca="1">IFERROR(__xludf.DUMMYFUNCTION("""COMPUTED_VALUE"""),"None")</f>
        <v>None</v>
      </c>
      <c r="V29" s="6"/>
      <c r="W29" s="6" t="str">
        <f ca="1">IFERROR(__xludf.DUMMYFUNCTION("""COMPUTED_VALUE"""),"Invite Next Year")</f>
        <v>Invite Next Year</v>
      </c>
    </row>
    <row r="30" spans="1:23">
      <c r="A30" s="6" t="str">
        <f ca="1">IFERROR(__xludf.DUMMYFUNCTION("""COMPUTED_VALUE"""),"Woman, Man, Woman")</f>
        <v>Woman, Man, Woman</v>
      </c>
      <c r="B30" s="6" t="str">
        <f ca="1">IFERROR(__xludf.DUMMYFUNCTION("""COMPUTED_VALUE"""),"Oncoliq _2022")</f>
        <v>Oncoliq _2022</v>
      </c>
      <c r="C30" s="6" t="str">
        <f ca="1">IFERROR(__xludf.DUMMYFUNCTION("""COMPUTED_VALUE"""),"Life Sciences")</f>
        <v>Life Sciences</v>
      </c>
      <c r="D30" s="6" t="str">
        <f ca="1">IFERROR(__xludf.DUMMYFUNCTION("""COMPUTED_VALUE"""),"CORRO CANONIGO MIGUEL CALIXTO DEL 312 Córdoba, Argentina")</f>
        <v>CORRO CANONIGO MIGUEL CALIXTO DEL 312 Córdoba, Argentina</v>
      </c>
      <c r="E30" s="6" t="str">
        <f ca="1">IFERROR(__xludf.DUMMYFUNCTION("""COMPUTED_VALUE"""),"International - Americas")</f>
        <v>International - Americas</v>
      </c>
      <c r="F30" s="6" t="str">
        <f ca="1">IFERROR(__xludf.DUMMYFUNCTION("""COMPUTED_VALUE"""),"Woman")</f>
        <v>Woman</v>
      </c>
      <c r="G30" s="6" t="str">
        <f ca="1">IFERROR(__xludf.DUMMYFUNCTION("""COMPUTED_VALUE"""),"Man")</f>
        <v>Man</v>
      </c>
      <c r="H30" s="6" t="str">
        <f ca="1">IFERROR(__xludf.DUMMYFUNCTION("""COMPUTED_VALUE"""),"Woman")</f>
        <v>Woman</v>
      </c>
      <c r="I30" s="6"/>
      <c r="J30" s="6"/>
      <c r="K30" s="6"/>
      <c r="L30" s="6" t="str">
        <f ca="1">IFERROR(__xludf.DUMMYFUNCTION("""COMPUTED_VALUE"""),"No")</f>
        <v>No</v>
      </c>
      <c r="M30" s="6"/>
      <c r="N30" s="6"/>
      <c r="O30" s="6" t="str">
        <f ca="1">IFERROR(__xludf.DUMMYFUNCTION("""COMPUTED_VALUE"""),"LinkedIn")</f>
        <v>LinkedIn</v>
      </c>
      <c r="P30" s="6"/>
      <c r="Q30" s="6" t="str">
        <f ca="1">IFERROR(__xludf.DUMMYFUNCTION("""COMPUTED_VALUE"""),"No")</f>
        <v>No</v>
      </c>
      <c r="R30" s="6">
        <f ca="1">IFERROR(__xludf.DUMMYFUNCTION("""COMPUTED_VALUE"""),3)</f>
        <v>3</v>
      </c>
      <c r="S30" s="6" t="str">
        <f ca="1">IFERROR(__xludf.DUMMYFUNCTION("""COMPUTED_VALUE"""),"Seed|Grants")</f>
        <v>Seed|Grants</v>
      </c>
      <c r="T30" s="6" t="str">
        <f ca="1">IFERROR(__xludf.DUMMYFUNCTION("""COMPUTED_VALUE"""),"Seed, Grants")</f>
        <v>Seed, Grants</v>
      </c>
      <c r="U30" s="6" t="str">
        <f ca="1">IFERROR(__xludf.DUMMYFUNCTION("""COMPUTED_VALUE"""),"Seed, Grants")</f>
        <v>Seed, Grants</v>
      </c>
      <c r="V30" s="6"/>
      <c r="W30" s="6" t="str">
        <f ca="1">IFERROR(__xludf.DUMMYFUNCTION("""COMPUTED_VALUE"""),"Invite Next Year")</f>
        <v>Invite Next Year</v>
      </c>
    </row>
    <row r="31" spans="1:23">
      <c r="A31" s="6" t="str">
        <f ca="1">IFERROR(__xludf.DUMMYFUNCTION("""COMPUTED_VALUE"""),"Man, Man, Man")</f>
        <v>Man, Man, Man</v>
      </c>
      <c r="B31" s="6" t="str">
        <f ca="1">IFERROR(__xludf.DUMMYFUNCTION("""COMPUTED_VALUE"""),"Protabit LLC _2022")</f>
        <v>Protabit LLC _2022</v>
      </c>
      <c r="C31" s="6" t="str">
        <f ca="1">IFERROR(__xludf.DUMMYFUNCTION("""COMPUTED_VALUE"""),"Life Sciences")</f>
        <v>Life Sciences</v>
      </c>
      <c r="D31" s="6" t="str">
        <f ca="1">IFERROR(__xludf.DUMMYFUNCTION("""COMPUTED_VALUE"""),"111 Waverly Drive, Pasadena CA, United States")</f>
        <v>111 Waverly Drive, Pasadena CA, United States</v>
      </c>
      <c r="E31" s="6" t="str">
        <f ca="1">IFERROR(__xludf.DUMMYFUNCTION("""COMPUTED_VALUE"""),"West Coast")</f>
        <v>West Coast</v>
      </c>
      <c r="F31" s="6" t="str">
        <f ca="1">IFERROR(__xludf.DUMMYFUNCTION("""COMPUTED_VALUE"""),"Man")</f>
        <v>Man</v>
      </c>
      <c r="G31" s="6" t="str">
        <f ca="1">IFERROR(__xludf.DUMMYFUNCTION("""COMPUTED_VALUE"""),"Man")</f>
        <v>Man</v>
      </c>
      <c r="H31" s="6" t="str">
        <f ca="1">IFERROR(__xludf.DUMMYFUNCTION("""COMPUTED_VALUE"""),"Man")</f>
        <v>Man</v>
      </c>
      <c r="I31" s="6"/>
      <c r="J31" s="6"/>
      <c r="K31" s="6"/>
      <c r="L31" s="6" t="str">
        <f ca="1">IFERROR(__xludf.DUMMYFUNCTION("""COMPUTED_VALUE"""),"No")</f>
        <v>No</v>
      </c>
      <c r="M31" s="6"/>
      <c r="N31" s="6"/>
      <c r="O31" s="6" t="str">
        <f ca="1">IFERROR(__xludf.DUMMYFUNCTION("""COMPUTED_VALUE"""),"Email")</f>
        <v>Email</v>
      </c>
      <c r="P31" s="6"/>
      <c r="Q31" s="6" t="str">
        <f ca="1">IFERROR(__xludf.DUMMYFUNCTION("""COMPUTED_VALUE"""),"No")</f>
        <v>No</v>
      </c>
      <c r="R31" s="6">
        <f ca="1">IFERROR(__xludf.DUMMYFUNCTION("""COMPUTED_VALUE"""),3)</f>
        <v>3</v>
      </c>
      <c r="S31" s="6" t="str">
        <f ca="1">IFERROR(__xludf.DUMMYFUNCTION("""COMPUTED_VALUE"""),"Other: Strategic partnerships, SBIR and STTR grants (NIH, NSF, ARPAE, DOE)")</f>
        <v>Other: Strategic partnerships, SBIR and STTR grants (NIH, NSF, ARPAE, DOE)</v>
      </c>
      <c r="T31" s="6" t="str">
        <f ca="1">IFERROR(__xludf.DUMMYFUNCTION("""COMPUTED_VALUE"""),"Other: Strategic partnerships, SBIR and STTR grants (NIH, NSF, ARPAE, DOE)")</f>
        <v>Other: Strategic partnerships, SBIR and STTR grants (NIH, NSF, ARPAE, DOE)</v>
      </c>
      <c r="U31" s="6" t="str">
        <f ca="1">IFERROR(__xludf.DUMMYFUNCTION("""COMPUTED_VALUE"""),"Strategic partnerships, SBIR and STTR grants (NIH, NSF, ARPAE, DOE)")</f>
        <v>Strategic partnerships, SBIR and STTR grants (NIH, NSF, ARPAE, DOE)</v>
      </c>
      <c r="V31" s="6"/>
      <c r="W31" s="6" t="str">
        <f ca="1">IFERROR(__xludf.DUMMYFUNCTION("""COMPUTED_VALUE"""),"Invite")</f>
        <v>Invite</v>
      </c>
    </row>
    <row r="32" spans="1:23">
      <c r="A32" s="6" t="str">
        <f ca="1">IFERROR(__xludf.DUMMYFUNCTION("""COMPUTED_VALUE"""),"Man, Man, Man")</f>
        <v>Man, Man, Man</v>
      </c>
      <c r="B32" s="6" t="str">
        <f ca="1">IFERROR(__xludf.DUMMYFUNCTION("""COMPUTED_VALUE"""),"Holocron Technologies _2022")</f>
        <v>Holocron Technologies _2022</v>
      </c>
      <c r="C32" s="6" t="str">
        <f ca="1">IFERROR(__xludf.DUMMYFUNCTION("""COMPUTED_VALUE"""),"Digital Tech")</f>
        <v>Digital Tech</v>
      </c>
      <c r="D32" s="6" t="str">
        <f ca="1">IFERROR(__xludf.DUMMYFUNCTION("""COMPUTED_VALUE"""),"511 Amsterdam Ave. #3N. New York New York, United States")</f>
        <v>511 Amsterdam Ave. #3N. New York New York, United States</v>
      </c>
      <c r="E32" s="6" t="str">
        <f ca="1">IFERROR(__xludf.DUMMYFUNCTION("""COMPUTED_VALUE"""),"New York")</f>
        <v>New York</v>
      </c>
      <c r="F32" s="6" t="str">
        <f ca="1">IFERROR(__xludf.DUMMYFUNCTION("""COMPUTED_VALUE"""),"Man")</f>
        <v>Man</v>
      </c>
      <c r="G32" s="6" t="str">
        <f ca="1">IFERROR(__xludf.DUMMYFUNCTION("""COMPUTED_VALUE"""),"Man")</f>
        <v>Man</v>
      </c>
      <c r="H32" s="6" t="str">
        <f ca="1">IFERROR(__xludf.DUMMYFUNCTION("""COMPUTED_VALUE"""),"Man")</f>
        <v>Man</v>
      </c>
      <c r="I32" s="6"/>
      <c r="J32" s="6"/>
      <c r="K32" s="6"/>
      <c r="L32" s="6" t="str">
        <f ca="1">IFERROR(__xludf.DUMMYFUNCTION("""COMPUTED_VALUE"""),"Yes")</f>
        <v>Yes</v>
      </c>
      <c r="M32" s="6" t="str">
        <f ca="1">IFERROR(__xludf.DUMMYFUNCTION("""COMPUTED_VALUE"""),"NYU Student")</f>
        <v>NYU Student</v>
      </c>
      <c r="N32" s="6"/>
      <c r="O32" s="6" t="str">
        <f ca="1">IFERROR(__xludf.DUMMYFUNCTION("""COMPUTED_VALUE"""),"Referral")</f>
        <v>Referral</v>
      </c>
      <c r="P32" s="6"/>
      <c r="Q32" s="6" t="str">
        <f ca="1">IFERROR(__xludf.DUMMYFUNCTION("""COMPUTED_VALUE"""),"No")</f>
        <v>No</v>
      </c>
      <c r="R32" s="6">
        <f ca="1">IFERROR(__xludf.DUMMYFUNCTION("""COMPUTED_VALUE"""),3)</f>
        <v>3</v>
      </c>
      <c r="S32" s="6" t="str">
        <f ca="1">IFERROR(__xludf.DUMMYFUNCTION("""COMPUTED_VALUE"""),"Grants")</f>
        <v>Grants</v>
      </c>
      <c r="T32" s="6" t="str">
        <f ca="1">IFERROR(__xludf.DUMMYFUNCTION("""COMPUTED_VALUE"""),"Grants")</f>
        <v>Grants</v>
      </c>
      <c r="U32" s="6" t="str">
        <f ca="1">IFERROR(__xludf.DUMMYFUNCTION("""COMPUTED_VALUE"""),"Grants")</f>
        <v>Grants</v>
      </c>
      <c r="V32" s="6"/>
      <c r="W32" s="6" t="str">
        <f ca="1">IFERROR(__xludf.DUMMYFUNCTION("""COMPUTED_VALUE"""),"Invite Next Year")</f>
        <v>Invite Next Year</v>
      </c>
    </row>
    <row r="33" spans="1:23">
      <c r="A33" s="6" t="str">
        <f ca="1">IFERROR(__xludf.DUMMYFUNCTION("""COMPUTED_VALUE"""),"Man, Man, Man, Man, Woman")</f>
        <v>Man, Man, Man, Man, Woman</v>
      </c>
      <c r="B33" s="6" t="str">
        <f ca="1">IFERROR(__xludf.DUMMYFUNCTION("""COMPUTED_VALUE"""),"Fifty Bricks _2022")</f>
        <v>Fifty Bricks _2022</v>
      </c>
      <c r="C33" s="6" t="str">
        <f ca="1">IFERROR(__xludf.DUMMYFUNCTION("""COMPUTED_VALUE"""),"Digital Tech")</f>
        <v>Digital Tech</v>
      </c>
      <c r="D33" s="6" t="str">
        <f ca="1">IFERROR(__xludf.DUMMYFUNCTION("""COMPUTED_VALUE"""),"47 Tentenerstrooss Septfontaines, Luxembourg")</f>
        <v>47 Tentenerstrooss Septfontaines, Luxembourg</v>
      </c>
      <c r="E33" s="6" t="str">
        <f ca="1">IFERROR(__xludf.DUMMYFUNCTION("""COMPUTED_VALUE"""),"International - Europe")</f>
        <v>International - Europe</v>
      </c>
      <c r="F33" s="6" t="str">
        <f ca="1">IFERROR(__xludf.DUMMYFUNCTION("""COMPUTED_VALUE"""),"Man")</f>
        <v>Man</v>
      </c>
      <c r="G33" s="6" t="str">
        <f ca="1">IFERROR(__xludf.DUMMYFUNCTION("""COMPUTED_VALUE"""),"Man")</f>
        <v>Man</v>
      </c>
      <c r="H33" s="6" t="str">
        <f ca="1">IFERROR(__xludf.DUMMYFUNCTION("""COMPUTED_VALUE"""),"Man")</f>
        <v>Man</v>
      </c>
      <c r="I33" s="6" t="str">
        <f ca="1">IFERROR(__xludf.DUMMYFUNCTION("""COMPUTED_VALUE"""),"Man")</f>
        <v>Man</v>
      </c>
      <c r="J33" s="6" t="str">
        <f ca="1">IFERROR(__xludf.DUMMYFUNCTION("""COMPUTED_VALUE"""),"Woman")</f>
        <v>Woman</v>
      </c>
      <c r="K33" s="6"/>
      <c r="L33" s="6" t="str">
        <f ca="1">IFERROR(__xludf.DUMMYFUNCTION("""COMPUTED_VALUE"""),"--Please select--")</f>
        <v>--Please select--</v>
      </c>
      <c r="M33" s="6"/>
      <c r="N33" s="6"/>
      <c r="O33" s="6" t="str">
        <f ca="1">IFERROR(__xludf.DUMMYFUNCTION("""COMPUTED_VALUE"""),"Referral")</f>
        <v>Referral</v>
      </c>
      <c r="P33" s="6"/>
      <c r="Q33" s="6" t="str">
        <f ca="1">IFERROR(__xludf.DUMMYFUNCTION("""COMPUTED_VALUE"""),"No")</f>
        <v>No</v>
      </c>
      <c r="R33" s="6">
        <f ca="1">IFERROR(__xludf.DUMMYFUNCTION("""COMPUTED_VALUE"""),5)</f>
        <v>5</v>
      </c>
      <c r="S33" s="6" t="str">
        <f ca="1">IFERROR(__xludf.DUMMYFUNCTION("""COMPUTED_VALUE"""),"Pre-seed")</f>
        <v>Pre-seed</v>
      </c>
      <c r="T33" s="6" t="str">
        <f ca="1">IFERROR(__xludf.DUMMYFUNCTION("""COMPUTED_VALUE"""),"Pre-seed")</f>
        <v>Pre-seed</v>
      </c>
      <c r="U33" s="6" t="str">
        <f ca="1">IFERROR(__xludf.DUMMYFUNCTION("""COMPUTED_VALUE"""),"Pre-seed")</f>
        <v>Pre-seed</v>
      </c>
      <c r="V33" s="6"/>
      <c r="W33" s="6" t="str">
        <f ca="1">IFERROR(__xludf.DUMMYFUNCTION("""COMPUTED_VALUE"""),"Invite Next Year")</f>
        <v>Invite Next Year</v>
      </c>
    </row>
    <row r="34" spans="1:23">
      <c r="A34" s="6" t="str">
        <f ca="1">IFERROR(__xludf.DUMMYFUNCTION("""COMPUTED_VALUE"""),"Woman")</f>
        <v>Woman</v>
      </c>
      <c r="B34" s="6" t="str">
        <f ca="1">IFERROR(__xludf.DUMMYFUNCTION("""COMPUTED_VALUE"""),"O'Peers _2022")</f>
        <v>O'Peers _2022</v>
      </c>
      <c r="C34" s="6" t="str">
        <f ca="1">IFERROR(__xludf.DUMMYFUNCTION("""COMPUTED_VALUE"""),"Digital Tech")</f>
        <v>Digital Tech</v>
      </c>
      <c r="D34" s="6" t="str">
        <f ca="1">IFERROR(__xludf.DUMMYFUNCTION("""COMPUTED_VALUE"""),"San Francisco CA, United States")</f>
        <v>San Francisco CA, United States</v>
      </c>
      <c r="E34" s="6" t="str">
        <f ca="1">IFERROR(__xludf.DUMMYFUNCTION("""COMPUTED_VALUE"""),"East Coast")</f>
        <v>East Coast</v>
      </c>
      <c r="F34" s="6" t="str">
        <f ca="1">IFERROR(__xludf.DUMMYFUNCTION("""COMPUTED_VALUE"""),"Woman")</f>
        <v>Woman</v>
      </c>
      <c r="G34" s="6"/>
      <c r="H34" s="6"/>
      <c r="I34" s="6"/>
      <c r="J34" s="6"/>
      <c r="K34" s="6"/>
      <c r="L34" s="6" t="str">
        <f ca="1">IFERROR(__xludf.DUMMYFUNCTION("""COMPUTED_VALUE"""),"No")</f>
        <v>No</v>
      </c>
      <c r="M34" s="6"/>
      <c r="N34" s="6"/>
      <c r="O34" s="6" t="str">
        <f ca="1">IFERROR(__xludf.DUMMYFUNCTION("""COMPUTED_VALUE"""),"Referral")</f>
        <v>Referral</v>
      </c>
      <c r="P34" s="6"/>
      <c r="Q34" s="6" t="str">
        <f ca="1">IFERROR(__xludf.DUMMYFUNCTION("""COMPUTED_VALUE"""),"No")</f>
        <v>No</v>
      </c>
      <c r="R34" s="6">
        <f ca="1">IFERROR(__xludf.DUMMYFUNCTION("""COMPUTED_VALUE"""),1)</f>
        <v>1</v>
      </c>
      <c r="S34" s="6" t="str">
        <f ca="1">IFERROR(__xludf.DUMMYFUNCTION("""COMPUTED_VALUE"""),"None")</f>
        <v>None</v>
      </c>
      <c r="T34" s="6" t="str">
        <f ca="1">IFERROR(__xludf.DUMMYFUNCTION("""COMPUTED_VALUE"""),"None")</f>
        <v>None</v>
      </c>
      <c r="U34" s="6" t="str">
        <f ca="1">IFERROR(__xludf.DUMMYFUNCTION("""COMPUTED_VALUE"""),"None")</f>
        <v>None</v>
      </c>
      <c r="V34" s="6"/>
      <c r="W34" s="6" t="str">
        <f ca="1">IFERROR(__xludf.DUMMYFUNCTION("""COMPUTED_VALUE"""),"Invite Next Year")</f>
        <v>Invite Next Year</v>
      </c>
    </row>
    <row r="35" spans="1:23">
      <c r="A35" s="6" t="str">
        <f ca="1">IFERROR(__xludf.DUMMYFUNCTION("""COMPUTED_VALUE"""),"Woman, Man, Woman")</f>
        <v>Woman, Man, Woman</v>
      </c>
      <c r="B35" s="6" t="str">
        <f ca="1">IFERROR(__xludf.DUMMYFUNCTION("""COMPUTED_VALUE"""),"3D-OPS _2022")</f>
        <v>3D-OPS _2022</v>
      </c>
      <c r="C35" s="6" t="str">
        <f ca="1">IFERROR(__xludf.DUMMYFUNCTION("""COMPUTED_VALUE"""),"Life Sciences")</f>
        <v>Life Sciences</v>
      </c>
      <c r="D35" s="6" t="str">
        <f ca="1">IFERROR(__xludf.DUMMYFUNCTION("""COMPUTED_VALUE"""),"Davis CA, United States")</f>
        <v>Davis CA, United States</v>
      </c>
      <c r="E35" s="6" t="str">
        <f ca="1">IFERROR(__xludf.DUMMYFUNCTION("""COMPUTED_VALUE"""),"West Coast")</f>
        <v>West Coast</v>
      </c>
      <c r="F35" s="6" t="str">
        <f ca="1">IFERROR(__xludf.DUMMYFUNCTION("""COMPUTED_VALUE"""),"Woman")</f>
        <v>Woman</v>
      </c>
      <c r="G35" s="6" t="str">
        <f ca="1">IFERROR(__xludf.DUMMYFUNCTION("""COMPUTED_VALUE"""),"Man")</f>
        <v>Man</v>
      </c>
      <c r="H35" s="6" t="str">
        <f ca="1">IFERROR(__xludf.DUMMYFUNCTION("""COMPUTED_VALUE"""),"Woman")</f>
        <v>Woman</v>
      </c>
      <c r="I35" s="6"/>
      <c r="J35" s="6"/>
      <c r="K35" s="6"/>
      <c r="L35" s="6" t="str">
        <f ca="1">IFERROR(__xludf.DUMMYFUNCTION("""COMPUTED_VALUE"""),"No")</f>
        <v>No</v>
      </c>
      <c r="M35" s="6"/>
      <c r="N35" s="6"/>
      <c r="O35" s="6" t="str">
        <f ca="1">IFERROR(__xludf.DUMMYFUNCTION("""COMPUTED_VALUE"""),"Referral")</f>
        <v>Referral</v>
      </c>
      <c r="P35" s="6"/>
      <c r="Q35" s="6" t="str">
        <f ca="1">IFERROR(__xludf.DUMMYFUNCTION("""COMPUTED_VALUE"""),"No")</f>
        <v>No</v>
      </c>
      <c r="R35" s="6">
        <f ca="1">IFERROR(__xludf.DUMMYFUNCTION("""COMPUTED_VALUE"""),3)</f>
        <v>3</v>
      </c>
      <c r="S35" s="6" t="str">
        <f ca="1">IFERROR(__xludf.DUMMYFUNCTION("""COMPUTED_VALUE"""),"Grants|Other: Competition Winnings")</f>
        <v>Grants|Other: Competition Winnings</v>
      </c>
      <c r="T35" s="6" t="str">
        <f ca="1">IFERROR(__xludf.DUMMYFUNCTION("""COMPUTED_VALUE"""),"Grants, Other: Competition Winnings")</f>
        <v>Grants, Other: Competition Winnings</v>
      </c>
      <c r="U35" s="6" t="str">
        <f ca="1">IFERROR(__xludf.DUMMYFUNCTION("""COMPUTED_VALUE"""),"Grants, ")</f>
        <v xml:space="preserve">Grants, </v>
      </c>
      <c r="V35" s="6" t="str">
        <f ca="1">IFERROR(__xludf.DUMMYFUNCTION("""COMPUTED_VALUE"""),"Competition Winnings")</f>
        <v>Competition Winnings</v>
      </c>
      <c r="W35" s="6" t="str">
        <f ca="1">IFERROR(__xludf.DUMMYFUNCTION("""COMPUTED_VALUE"""),"Invite Next Year")</f>
        <v>Invite Next Year</v>
      </c>
    </row>
    <row r="36" spans="1:23">
      <c r="A36" s="6" t="str">
        <f ca="1">IFERROR(__xludf.DUMMYFUNCTION("""COMPUTED_VALUE"""),"Man, Woman, Man, Man")</f>
        <v>Man, Woman, Man, Man</v>
      </c>
      <c r="B36" s="6" t="str">
        <f ca="1">IFERROR(__xludf.DUMMYFUNCTION("""COMPUTED_VALUE"""),"NTherma Corporation _2022")</f>
        <v>NTherma Corporation _2022</v>
      </c>
      <c r="C36" s="6" t="str">
        <f ca="1">IFERROR(__xludf.DUMMYFUNCTION("""COMPUTED_VALUE"""),"Deep Tech")</f>
        <v>Deep Tech</v>
      </c>
      <c r="D36" s="6" t="str">
        <f ca="1">IFERROR(__xludf.DUMMYFUNCTION("""COMPUTED_VALUE"""),"Fremont, California")</f>
        <v>Fremont, California</v>
      </c>
      <c r="E36" s="6" t="str">
        <f ca="1">IFERROR(__xludf.DUMMYFUNCTION("""COMPUTED_VALUE"""),"West Coast")</f>
        <v>West Coast</v>
      </c>
      <c r="F36" s="6" t="str">
        <f ca="1">IFERROR(__xludf.DUMMYFUNCTION("""COMPUTED_VALUE"""),"Man")</f>
        <v>Man</v>
      </c>
      <c r="G36" s="6" t="str">
        <f ca="1">IFERROR(__xludf.DUMMYFUNCTION("""COMPUTED_VALUE"""),"Woman")</f>
        <v>Woman</v>
      </c>
      <c r="H36" s="6" t="str">
        <f ca="1">IFERROR(__xludf.DUMMYFUNCTION("""COMPUTED_VALUE"""),"Man")</f>
        <v>Man</v>
      </c>
      <c r="I36" s="6" t="str">
        <f ca="1">IFERROR(__xludf.DUMMYFUNCTION("""COMPUTED_VALUE"""),"Man")</f>
        <v>Man</v>
      </c>
      <c r="J36" s="6"/>
      <c r="K36" s="6"/>
      <c r="L36" s="6" t="str">
        <f ca="1">IFERROR(__xludf.DUMMYFUNCTION("""COMPUTED_VALUE"""),"No")</f>
        <v>No</v>
      </c>
      <c r="M36" s="6"/>
      <c r="N36" s="6"/>
      <c r="O36" s="6" t="str">
        <f ca="1">IFERROR(__xludf.DUMMYFUNCTION("""COMPUTED_VALUE"""),"Email")</f>
        <v>Email</v>
      </c>
      <c r="P36" s="6"/>
      <c r="Q36" s="6" t="str">
        <f ca="1">IFERROR(__xludf.DUMMYFUNCTION("""COMPUTED_VALUE"""),"No")</f>
        <v>No</v>
      </c>
      <c r="R36" s="6">
        <f ca="1">IFERROR(__xludf.DUMMYFUNCTION("""COMPUTED_VALUE"""),4)</f>
        <v>4</v>
      </c>
      <c r="S36" s="6" t="str">
        <f ca="1">IFERROR(__xludf.DUMMYFUNCTION("""COMPUTED_VALUE"""),"Pre-seed|Seed|Debt financing")</f>
        <v>Pre-seed|Seed|Debt financing</v>
      </c>
      <c r="T36" s="6" t="str">
        <f ca="1">IFERROR(__xludf.DUMMYFUNCTION("""COMPUTED_VALUE"""),"Pre-seed, Seed, Debt financing")</f>
        <v>Pre-seed, Seed, Debt financing</v>
      </c>
      <c r="U36" s="6" t="str">
        <f ca="1">IFERROR(__xludf.DUMMYFUNCTION("""COMPUTED_VALUE"""),"Pre-seed, Seed, Debt financing")</f>
        <v>Pre-seed, Seed, Debt financing</v>
      </c>
      <c r="V36" s="6"/>
      <c r="W36" s="6" t="str">
        <f ca="1">IFERROR(__xludf.DUMMYFUNCTION("""COMPUTED_VALUE"""),"Invite")</f>
        <v>Invite</v>
      </c>
    </row>
    <row r="37" spans="1:23">
      <c r="A37" s="6" t="str">
        <f ca="1">IFERROR(__xludf.DUMMYFUNCTION("""COMPUTED_VALUE"""),"Man, Man")</f>
        <v>Man, Man</v>
      </c>
      <c r="B37" s="6" t="str">
        <f ca="1">IFERROR(__xludf.DUMMYFUNCTION("""COMPUTED_VALUE"""),"Arterez, Inc. _2022")</f>
        <v>Arterez, Inc. _2022</v>
      </c>
      <c r="C37" s="6" t="str">
        <f ca="1">IFERROR(__xludf.DUMMYFUNCTION("""COMPUTED_VALUE"""),"Life Sciences")</f>
        <v>Life Sciences</v>
      </c>
      <c r="D37" s="6" t="str">
        <f ca="1">IFERROR(__xludf.DUMMYFUNCTION("""COMPUTED_VALUE"""),"West Bloomfield, MI")</f>
        <v>West Bloomfield, MI</v>
      </c>
      <c r="E37" s="6" t="str">
        <f ca="1">IFERROR(__xludf.DUMMYFUNCTION("""COMPUTED_VALUE"""),"Midwest")</f>
        <v>Midwest</v>
      </c>
      <c r="F37" s="6" t="str">
        <f ca="1">IFERROR(__xludf.DUMMYFUNCTION("""COMPUTED_VALUE"""),"Man")</f>
        <v>Man</v>
      </c>
      <c r="G37" s="6" t="str">
        <f ca="1">IFERROR(__xludf.DUMMYFUNCTION("""COMPUTED_VALUE"""),"Man")</f>
        <v>Man</v>
      </c>
      <c r="H37" s="6"/>
      <c r="I37" s="6"/>
      <c r="J37" s="6"/>
      <c r="K37" s="6"/>
      <c r="L37" s="6" t="str">
        <f ca="1">IFERROR(__xludf.DUMMYFUNCTION("""COMPUTED_VALUE"""),"Yes")</f>
        <v>Yes</v>
      </c>
      <c r="M37" s="6" t="str">
        <f ca="1">IFERROR(__xludf.DUMMYFUNCTION("""COMPUTED_VALUE"""),"NYU Alumni")</f>
        <v>NYU Alumni</v>
      </c>
      <c r="N37" s="6"/>
      <c r="O37" s="6" t="str">
        <f ca="1">IFERROR(__xludf.DUMMYFUNCTION("""COMPUTED_VALUE"""),"Email")</f>
        <v>Email</v>
      </c>
      <c r="P37" s="6"/>
      <c r="Q37" s="6" t="str">
        <f ca="1">IFERROR(__xludf.DUMMYFUNCTION("""COMPUTED_VALUE"""),"No")</f>
        <v>No</v>
      </c>
      <c r="R37" s="6">
        <f ca="1">IFERROR(__xludf.DUMMYFUNCTION("""COMPUTED_VALUE"""),2)</f>
        <v>2</v>
      </c>
      <c r="S37" s="6" t="str">
        <f ca="1">IFERROR(__xludf.DUMMYFUNCTION("""COMPUTED_VALUE"""),"Seed|Bridge")</f>
        <v>Seed|Bridge</v>
      </c>
      <c r="T37" s="6" t="str">
        <f ca="1">IFERROR(__xludf.DUMMYFUNCTION("""COMPUTED_VALUE"""),"Seed, Bridge")</f>
        <v>Seed, Bridge</v>
      </c>
      <c r="U37" s="6" t="str">
        <f ca="1">IFERROR(__xludf.DUMMYFUNCTION("""COMPUTED_VALUE"""),"Seed, Bridge")</f>
        <v>Seed, Bridge</v>
      </c>
      <c r="V37" s="6"/>
      <c r="W37" s="6" t="str">
        <f ca="1">IFERROR(__xludf.DUMMYFUNCTION("""COMPUTED_VALUE"""),"Invite")</f>
        <v>Invite</v>
      </c>
    </row>
    <row r="38" spans="1:23">
      <c r="A38" s="6" t="str">
        <f ca="1">IFERROR(__xludf.DUMMYFUNCTION("""COMPUTED_VALUE"""),"Man, Man, Man, Man")</f>
        <v>Man, Man, Man, Man</v>
      </c>
      <c r="B38" s="6" t="str">
        <f ca="1">IFERROR(__xludf.DUMMYFUNCTION("""COMPUTED_VALUE"""),"Fatakpay _2022")</f>
        <v>Fatakpay _2022</v>
      </c>
      <c r="C38" s="6" t="str">
        <f ca="1">IFERROR(__xludf.DUMMYFUNCTION("""COMPUTED_VALUE"""),"Digital Tech")</f>
        <v>Digital Tech</v>
      </c>
      <c r="D38" s="6" t="str">
        <f ca="1">IFERROR(__xludf.DUMMYFUNCTION("""COMPUTED_VALUE"""),"Mumbai Maharashtra, India")</f>
        <v>Mumbai Maharashtra, India</v>
      </c>
      <c r="E38" s="6" t="str">
        <f ca="1">IFERROR(__xludf.DUMMYFUNCTION("""COMPUTED_VALUE"""),"International - Asia")</f>
        <v>International - Asia</v>
      </c>
      <c r="F38" s="6" t="str">
        <f ca="1">IFERROR(__xludf.DUMMYFUNCTION("""COMPUTED_VALUE"""),"Man")</f>
        <v>Man</v>
      </c>
      <c r="G38" s="6" t="str">
        <f ca="1">IFERROR(__xludf.DUMMYFUNCTION("""COMPUTED_VALUE"""),"Man")</f>
        <v>Man</v>
      </c>
      <c r="H38" s="6" t="str">
        <f ca="1">IFERROR(__xludf.DUMMYFUNCTION("""COMPUTED_VALUE"""),"Man")</f>
        <v>Man</v>
      </c>
      <c r="I38" s="6" t="str">
        <f ca="1">IFERROR(__xludf.DUMMYFUNCTION("""COMPUTED_VALUE"""),"Man")</f>
        <v>Man</v>
      </c>
      <c r="J38" s="6"/>
      <c r="K38" s="6"/>
      <c r="L38" s="6" t="str">
        <f ca="1">IFERROR(__xludf.DUMMYFUNCTION("""COMPUTED_VALUE"""),"No")</f>
        <v>No</v>
      </c>
      <c r="M38" s="6"/>
      <c r="N38" s="6"/>
      <c r="O38" s="6" t="str">
        <f ca="1">IFERROR(__xludf.DUMMYFUNCTION("""COMPUTED_VALUE"""),"Search Engine")</f>
        <v>Search Engine</v>
      </c>
      <c r="P38" s="6"/>
      <c r="Q38" s="6" t="str">
        <f ca="1">IFERROR(__xludf.DUMMYFUNCTION("""COMPUTED_VALUE"""),"No")</f>
        <v>No</v>
      </c>
      <c r="R38" s="6">
        <f ca="1">IFERROR(__xludf.DUMMYFUNCTION("""COMPUTED_VALUE"""),4)</f>
        <v>4</v>
      </c>
      <c r="S38" s="6" t="str">
        <f ca="1">IFERROR(__xludf.DUMMYFUNCTION("""COMPUTED_VALUE"""),"Seed")</f>
        <v>Seed</v>
      </c>
      <c r="T38" s="6" t="str">
        <f ca="1">IFERROR(__xludf.DUMMYFUNCTION("""COMPUTED_VALUE"""),"Seed")</f>
        <v>Seed</v>
      </c>
      <c r="U38" s="6" t="str">
        <f ca="1">IFERROR(__xludf.DUMMYFUNCTION("""COMPUTED_VALUE"""),"Seed")</f>
        <v>Seed</v>
      </c>
      <c r="V38" s="6"/>
      <c r="W38" s="6" t="str">
        <f ca="1">IFERROR(__xludf.DUMMYFUNCTION("""COMPUTED_VALUE"""),"Invite Next Year")</f>
        <v>Invite Next Year</v>
      </c>
    </row>
    <row r="39" spans="1:23">
      <c r="A39" s="6" t="str">
        <f ca="1">IFERROR(__xludf.DUMMYFUNCTION("""COMPUTED_VALUE"""),"Man, Man, Man, Man")</f>
        <v>Man, Man, Man, Man</v>
      </c>
      <c r="B39" s="6" t="str">
        <f ca="1">IFERROR(__xludf.DUMMYFUNCTION("""COMPUTED_VALUE"""),"IonMedicine _2022")</f>
        <v>IonMedicine _2022</v>
      </c>
      <c r="C39" s="6" t="str">
        <f ca="1">IFERROR(__xludf.DUMMYFUNCTION("""COMPUTED_VALUE"""),"Life Sciences")</f>
        <v>Life Sciences</v>
      </c>
      <c r="D39" s="6" t="str">
        <f ca="1">IFERROR(__xludf.DUMMYFUNCTION("""COMPUTED_VALUE"""),"São Paulo São Paulo (SP), Brazil")</f>
        <v>São Paulo São Paulo (SP), Brazil</v>
      </c>
      <c r="E39" s="6" t="str">
        <f ca="1">IFERROR(__xludf.DUMMYFUNCTION("""COMPUTED_VALUE"""),"International - Americas")</f>
        <v>International - Americas</v>
      </c>
      <c r="F39" s="6" t="str">
        <f ca="1">IFERROR(__xludf.DUMMYFUNCTION("""COMPUTED_VALUE"""),"Man")</f>
        <v>Man</v>
      </c>
      <c r="G39" s="6" t="str">
        <f ca="1">IFERROR(__xludf.DUMMYFUNCTION("""COMPUTED_VALUE"""),"Man")</f>
        <v>Man</v>
      </c>
      <c r="H39" s="6" t="str">
        <f ca="1">IFERROR(__xludf.DUMMYFUNCTION("""COMPUTED_VALUE"""),"Man")</f>
        <v>Man</v>
      </c>
      <c r="I39" s="6" t="str">
        <f ca="1">IFERROR(__xludf.DUMMYFUNCTION("""COMPUTED_VALUE"""),"Man")</f>
        <v>Man</v>
      </c>
      <c r="J39" s="6"/>
      <c r="K39" s="6"/>
      <c r="L39" s="6" t="str">
        <f ca="1">IFERROR(__xludf.DUMMYFUNCTION("""COMPUTED_VALUE"""),"Yes")</f>
        <v>Yes</v>
      </c>
      <c r="M39" s="6" t="str">
        <f ca="1">IFERROR(__xludf.DUMMYFUNCTION("""COMPUTED_VALUE"""),"NYU Student")</f>
        <v>NYU Student</v>
      </c>
      <c r="N39" s="6"/>
      <c r="O39" s="6" t="str">
        <f ca="1">IFERROR(__xludf.DUMMYFUNCTION("""COMPUTED_VALUE"""),"NYU Newsletter")</f>
        <v>NYU Newsletter</v>
      </c>
      <c r="P39" s="6"/>
      <c r="Q39" s="6" t="str">
        <f ca="1">IFERROR(__xludf.DUMMYFUNCTION("""COMPUTED_VALUE"""),"No")</f>
        <v>No</v>
      </c>
      <c r="R39" s="6">
        <f ca="1">IFERROR(__xludf.DUMMYFUNCTION("""COMPUTED_VALUE"""),4)</f>
        <v>4</v>
      </c>
      <c r="S39" s="6" t="str">
        <f ca="1">IFERROR(__xludf.DUMMYFUNCTION("""COMPUTED_VALUE"""),"Pre-seed|Seed")</f>
        <v>Pre-seed|Seed</v>
      </c>
      <c r="T39" s="6" t="str">
        <f ca="1">IFERROR(__xludf.DUMMYFUNCTION("""COMPUTED_VALUE"""),"Pre-seed, Seed")</f>
        <v>Pre-seed, Seed</v>
      </c>
      <c r="U39" s="6" t="str">
        <f ca="1">IFERROR(__xludf.DUMMYFUNCTION("""COMPUTED_VALUE"""),"Pre-seed, Seed")</f>
        <v>Pre-seed, Seed</v>
      </c>
      <c r="V39" s="6"/>
      <c r="W39" s="6" t="str">
        <f ca="1">IFERROR(__xludf.DUMMYFUNCTION("""COMPUTED_VALUE"""),"Invite Next Year")</f>
        <v>Invite Next Year</v>
      </c>
    </row>
    <row r="40" spans="1:23">
      <c r="A40" s="6" t="str">
        <f ca="1">IFERROR(__xludf.DUMMYFUNCTION("""COMPUTED_VALUE"""),"Woman, Man, Man, Man, Man")</f>
        <v>Woman, Man, Man, Man, Man</v>
      </c>
      <c r="B40" s="6" t="str">
        <f ca="1">IFERROR(__xludf.DUMMYFUNCTION("""COMPUTED_VALUE"""),"Nemosia AG _2022")</f>
        <v>Nemosia AG _2022</v>
      </c>
      <c r="C40" s="6" t="str">
        <f ca="1">IFERROR(__xludf.DUMMYFUNCTION("""COMPUTED_VALUE"""),"Life Sciences")</f>
        <v>Life Sciences</v>
      </c>
      <c r="D40" s="6" t="str">
        <f ca="1">IFERROR(__xludf.DUMMYFUNCTION("""COMPUTED_VALUE"""),"Winterthur Zurich, Switzerland")</f>
        <v>Winterthur Zurich, Switzerland</v>
      </c>
      <c r="E40" s="6" t="str">
        <f ca="1">IFERROR(__xludf.DUMMYFUNCTION("""COMPUTED_VALUE"""),"International - Europe")</f>
        <v>International - Europe</v>
      </c>
      <c r="F40" s="6" t="str">
        <f ca="1">IFERROR(__xludf.DUMMYFUNCTION("""COMPUTED_VALUE"""),"Woman")</f>
        <v>Woman</v>
      </c>
      <c r="G40" s="6" t="str">
        <f ca="1">IFERROR(__xludf.DUMMYFUNCTION("""COMPUTED_VALUE"""),"Man")</f>
        <v>Man</v>
      </c>
      <c r="H40" s="6" t="str">
        <f ca="1">IFERROR(__xludf.DUMMYFUNCTION("""COMPUTED_VALUE"""),"Man")</f>
        <v>Man</v>
      </c>
      <c r="I40" s="6" t="str">
        <f ca="1">IFERROR(__xludf.DUMMYFUNCTION("""COMPUTED_VALUE"""),"Man")</f>
        <v>Man</v>
      </c>
      <c r="J40" s="6" t="str">
        <f ca="1">IFERROR(__xludf.DUMMYFUNCTION("""COMPUTED_VALUE"""),"Man")</f>
        <v>Man</v>
      </c>
      <c r="K40" s="6"/>
      <c r="L40" s="6" t="str">
        <f ca="1">IFERROR(__xludf.DUMMYFUNCTION("""COMPUTED_VALUE"""),"No")</f>
        <v>No</v>
      </c>
      <c r="M40" s="6"/>
      <c r="N40" s="6"/>
      <c r="O40" s="6" t="str">
        <f ca="1">IFERROR(__xludf.DUMMYFUNCTION("""COMPUTED_VALUE"""),"Info Session")</f>
        <v>Info Session</v>
      </c>
      <c r="P40" s="6"/>
      <c r="Q40" s="6" t="str">
        <f ca="1">IFERROR(__xludf.DUMMYFUNCTION("""COMPUTED_VALUE"""),"No")</f>
        <v>No</v>
      </c>
      <c r="R40" s="6">
        <f ca="1">IFERROR(__xludf.DUMMYFUNCTION("""COMPUTED_VALUE"""),5)</f>
        <v>5</v>
      </c>
      <c r="S40" s="6" t="str">
        <f ca="1">IFERROR(__xludf.DUMMYFUNCTION("""COMPUTED_VALUE"""),"None")</f>
        <v>None</v>
      </c>
      <c r="T40" s="6" t="str">
        <f ca="1">IFERROR(__xludf.DUMMYFUNCTION("""COMPUTED_VALUE"""),"None")</f>
        <v>None</v>
      </c>
      <c r="U40" s="6" t="str">
        <f ca="1">IFERROR(__xludf.DUMMYFUNCTION("""COMPUTED_VALUE"""),"None")</f>
        <v>None</v>
      </c>
      <c r="V40" s="6"/>
      <c r="W40" s="6" t="str">
        <f ca="1">IFERROR(__xludf.DUMMYFUNCTION("""COMPUTED_VALUE"""),"Invite Next Year")</f>
        <v>Invite Next Year</v>
      </c>
    </row>
    <row r="41" spans="1:23">
      <c r="A41" s="6" t="str">
        <f ca="1">IFERROR(__xludf.DUMMYFUNCTION("""COMPUTED_VALUE"""),"Man, Man, Man, Man")</f>
        <v>Man, Man, Man, Man</v>
      </c>
      <c r="B41" s="6" t="str">
        <f ca="1">IFERROR(__xludf.DUMMYFUNCTION("""COMPUTED_VALUE"""),"Plastic Green Power Ltd _2022")</f>
        <v>Plastic Green Power Ltd _2022</v>
      </c>
      <c r="C41" s="6" t="str">
        <f ca="1">IFERROR(__xludf.DUMMYFUNCTION("""COMPUTED_VALUE"""),"Deep Tech")</f>
        <v>Deep Tech</v>
      </c>
      <c r="D41" s="6" t="str">
        <f ca="1">IFERROR(__xludf.DUMMYFUNCTION("""COMPUTED_VALUE"""),"Crispins Manor Farm Lane, Michelmersh, SO51 0NT Romsey, United Kingdom")</f>
        <v>Crispins Manor Farm Lane, Michelmersh, SO51 0NT Romsey, United Kingdom</v>
      </c>
      <c r="E41" s="6" t="str">
        <f ca="1">IFERROR(__xludf.DUMMYFUNCTION("""COMPUTED_VALUE"""),"International - Europe")</f>
        <v>International - Europe</v>
      </c>
      <c r="F41" s="6" t="str">
        <f ca="1">IFERROR(__xludf.DUMMYFUNCTION("""COMPUTED_VALUE"""),"Man")</f>
        <v>Man</v>
      </c>
      <c r="G41" s="6" t="str">
        <f ca="1">IFERROR(__xludf.DUMMYFUNCTION("""COMPUTED_VALUE"""),"Man")</f>
        <v>Man</v>
      </c>
      <c r="H41" s="6" t="str">
        <f ca="1">IFERROR(__xludf.DUMMYFUNCTION("""COMPUTED_VALUE"""),"Man")</f>
        <v>Man</v>
      </c>
      <c r="I41" s="6" t="str">
        <f ca="1">IFERROR(__xludf.DUMMYFUNCTION("""COMPUTED_VALUE"""),"Man")</f>
        <v>Man</v>
      </c>
      <c r="J41" s="6"/>
      <c r="K41" s="6"/>
      <c r="L41" s="6" t="str">
        <f ca="1">IFERROR(__xludf.DUMMYFUNCTION("""COMPUTED_VALUE"""),"No")</f>
        <v>No</v>
      </c>
      <c r="M41" s="6"/>
      <c r="N41" s="6"/>
      <c r="O41" s="6" t="str">
        <f ca="1">IFERROR(__xludf.DUMMYFUNCTION("""COMPUTED_VALUE"""),"Email")</f>
        <v>Email</v>
      </c>
      <c r="P41" s="6"/>
      <c r="Q41" s="6" t="str">
        <f ca="1">IFERROR(__xludf.DUMMYFUNCTION("""COMPUTED_VALUE"""),"No")</f>
        <v>No</v>
      </c>
      <c r="R41" s="6">
        <f ca="1">IFERROR(__xludf.DUMMYFUNCTION("""COMPUTED_VALUE"""),4)</f>
        <v>4</v>
      </c>
      <c r="S41" s="6" t="str">
        <f ca="1">IFERROR(__xludf.DUMMYFUNCTION("""COMPUTED_VALUE"""),"Pre-seed")</f>
        <v>Pre-seed</v>
      </c>
      <c r="T41" s="6" t="str">
        <f ca="1">IFERROR(__xludf.DUMMYFUNCTION("""COMPUTED_VALUE"""),"Pre-seed")</f>
        <v>Pre-seed</v>
      </c>
      <c r="U41" s="6" t="str">
        <f ca="1">IFERROR(__xludf.DUMMYFUNCTION("""COMPUTED_VALUE"""),"Pre-seed")</f>
        <v>Pre-seed</v>
      </c>
      <c r="V41" s="6"/>
      <c r="W41" s="6" t="str">
        <f ca="1">IFERROR(__xludf.DUMMYFUNCTION("""COMPUTED_VALUE"""),"Invite Next Year")</f>
        <v>Invite Next Year</v>
      </c>
    </row>
    <row r="42" spans="1:23">
      <c r="A42" s="6" t="str">
        <f ca="1">IFERROR(__xludf.DUMMYFUNCTION("""COMPUTED_VALUE"""),"Man, Man")</f>
        <v>Man, Man</v>
      </c>
      <c r="B42" s="6" t="str">
        <f ca="1">IFERROR(__xludf.DUMMYFUNCTION("""COMPUTED_VALUE"""),"Timedrips Kft. _2022")</f>
        <v>Timedrips Kft. _2022</v>
      </c>
      <c r="C42" s="6" t="str">
        <f ca="1">IFERROR(__xludf.DUMMYFUNCTION("""COMPUTED_VALUE"""),"Deep Tech")</f>
        <v>Deep Tech</v>
      </c>
      <c r="D42" s="6" t="str">
        <f ca="1">IFERROR(__xludf.DUMMYFUNCTION("""COMPUTED_VALUE"""),"Hatvan Heves, Hungary")</f>
        <v>Hatvan Heves, Hungary</v>
      </c>
      <c r="E42" s="6" t="str">
        <f ca="1">IFERROR(__xludf.DUMMYFUNCTION("""COMPUTED_VALUE"""),"International - Europe")</f>
        <v>International - Europe</v>
      </c>
      <c r="F42" s="6" t="str">
        <f ca="1">IFERROR(__xludf.DUMMYFUNCTION("""COMPUTED_VALUE"""),"Man")</f>
        <v>Man</v>
      </c>
      <c r="G42" s="6" t="str">
        <f ca="1">IFERROR(__xludf.DUMMYFUNCTION("""COMPUTED_VALUE"""),"Man")</f>
        <v>Man</v>
      </c>
      <c r="H42" s="6"/>
      <c r="I42" s="6"/>
      <c r="J42" s="6"/>
      <c r="K42" s="6"/>
      <c r="L42" s="6" t="str">
        <f ca="1">IFERROR(__xludf.DUMMYFUNCTION("""COMPUTED_VALUE"""),"No")</f>
        <v>No</v>
      </c>
      <c r="M42" s="6"/>
      <c r="N42" s="6"/>
      <c r="O42" s="6" t="str">
        <f ca="1">IFERROR(__xludf.DUMMYFUNCTION("""COMPUTED_VALUE"""),"Email")</f>
        <v>Email</v>
      </c>
      <c r="P42" s="6"/>
      <c r="Q42" s="6" t="str">
        <f ca="1">IFERROR(__xludf.DUMMYFUNCTION("""COMPUTED_VALUE"""),"No")</f>
        <v>No</v>
      </c>
      <c r="R42" s="6">
        <f ca="1">IFERROR(__xludf.DUMMYFUNCTION("""COMPUTED_VALUE"""),2)</f>
        <v>2</v>
      </c>
      <c r="S42" s="6" t="str">
        <f ca="1">IFERROR(__xludf.DUMMYFUNCTION("""COMPUTED_VALUE"""),"Pre-seed")</f>
        <v>Pre-seed</v>
      </c>
      <c r="T42" s="6" t="str">
        <f ca="1">IFERROR(__xludf.DUMMYFUNCTION("""COMPUTED_VALUE"""),"Pre-seed")</f>
        <v>Pre-seed</v>
      </c>
      <c r="U42" s="6" t="str">
        <f ca="1">IFERROR(__xludf.DUMMYFUNCTION("""COMPUTED_VALUE"""),"Pre-seed")</f>
        <v>Pre-seed</v>
      </c>
      <c r="V42" s="6"/>
      <c r="W42" s="6" t="str">
        <f ca="1">IFERROR(__xludf.DUMMYFUNCTION("""COMPUTED_VALUE"""),"Invite")</f>
        <v>Invite</v>
      </c>
    </row>
    <row r="43" spans="1:23">
      <c r="A43" s="6" t="str">
        <f ca="1">IFERROR(__xludf.DUMMYFUNCTION("""COMPUTED_VALUE"""),"Man, Man, Man")</f>
        <v>Man, Man, Man</v>
      </c>
      <c r="B43" s="6" t="str">
        <f ca="1">IFERROR(__xludf.DUMMYFUNCTION("""COMPUTED_VALUE"""),"Intelline _2022")</f>
        <v>Intelline _2022</v>
      </c>
      <c r="C43" s="6" t="str">
        <f ca="1">IFERROR(__xludf.DUMMYFUNCTION("""COMPUTED_VALUE"""),"Deep Tech")</f>
        <v>Deep Tech</v>
      </c>
      <c r="D43" s="6" t="str">
        <f ca="1">IFERROR(__xludf.DUMMYFUNCTION("""COMPUTED_VALUE"""),"Waterloo Ontario, Canada")</f>
        <v>Waterloo Ontario, Canada</v>
      </c>
      <c r="E43" s="6" t="str">
        <f ca="1">IFERROR(__xludf.DUMMYFUNCTION("""COMPUTED_VALUE"""),"International - Americas")</f>
        <v>International - Americas</v>
      </c>
      <c r="F43" s="6" t="str">
        <f ca="1">IFERROR(__xludf.DUMMYFUNCTION("""COMPUTED_VALUE"""),"Man")</f>
        <v>Man</v>
      </c>
      <c r="G43" s="6" t="str">
        <f ca="1">IFERROR(__xludf.DUMMYFUNCTION("""COMPUTED_VALUE"""),"Man")</f>
        <v>Man</v>
      </c>
      <c r="H43" s="6" t="str">
        <f ca="1">IFERROR(__xludf.DUMMYFUNCTION("""COMPUTED_VALUE"""),"Man")</f>
        <v>Man</v>
      </c>
      <c r="I43" s="6"/>
      <c r="J43" s="6"/>
      <c r="K43" s="6"/>
      <c r="L43" s="6" t="str">
        <f ca="1">IFERROR(__xludf.DUMMYFUNCTION("""COMPUTED_VALUE"""),"No")</f>
        <v>No</v>
      </c>
      <c r="M43" s="6"/>
      <c r="N43" s="6"/>
      <c r="O43" s="6" t="str">
        <f ca="1">IFERROR(__xludf.DUMMYFUNCTION("""COMPUTED_VALUE"""),"Email")</f>
        <v>Email</v>
      </c>
      <c r="P43" s="6"/>
      <c r="Q43" s="6" t="str">
        <f ca="1">IFERROR(__xludf.DUMMYFUNCTION("""COMPUTED_VALUE"""),"No")</f>
        <v>No</v>
      </c>
      <c r="R43" s="6">
        <f ca="1">IFERROR(__xludf.DUMMYFUNCTION("""COMPUTED_VALUE"""),3)</f>
        <v>3</v>
      </c>
      <c r="S43" s="6" t="str">
        <f ca="1">IFERROR(__xludf.DUMMYFUNCTION("""COMPUTED_VALUE"""),"Pre-seed|Seed|Grants")</f>
        <v>Pre-seed|Seed|Grants</v>
      </c>
      <c r="T43" s="6" t="str">
        <f ca="1">IFERROR(__xludf.DUMMYFUNCTION("""COMPUTED_VALUE"""),"Pre-seed, Seed, Grants")</f>
        <v>Pre-seed, Seed, Grants</v>
      </c>
      <c r="U43" s="6" t="str">
        <f ca="1">IFERROR(__xludf.DUMMYFUNCTION("""COMPUTED_VALUE"""),"Pre-seed, Seed, Grants")</f>
        <v>Pre-seed, Seed, Grants</v>
      </c>
      <c r="V43" s="6"/>
      <c r="W43" s="6" t="str">
        <f ca="1">IFERROR(__xludf.DUMMYFUNCTION("""COMPUTED_VALUE"""),"Invite Next Year")</f>
        <v>Invite Next Year</v>
      </c>
    </row>
    <row r="44" spans="1:23">
      <c r="A44" s="6" t="str">
        <f ca="1">IFERROR(__xludf.DUMMYFUNCTION("""COMPUTED_VALUE"""),"Woman, Man")</f>
        <v>Woman, Man</v>
      </c>
      <c r="B44" s="6" t="str">
        <f ca="1">IFERROR(__xludf.DUMMYFUNCTION("""COMPUTED_VALUE"""),"MedExplain, Inc. _2022")</f>
        <v>MedExplain, Inc. _2022</v>
      </c>
      <c r="C44" s="6" t="str">
        <f ca="1">IFERROR(__xludf.DUMMYFUNCTION("""COMPUTED_VALUE"""),"Digital Tech")</f>
        <v>Digital Tech</v>
      </c>
      <c r="D44" s="6" t="str">
        <f ca="1">IFERROR(__xludf.DUMMYFUNCTION("""COMPUTED_VALUE"""),"Port Washington New York, United States")</f>
        <v>Port Washington New York, United States</v>
      </c>
      <c r="E44" s="6" t="str">
        <f ca="1">IFERROR(__xludf.DUMMYFUNCTION("""COMPUTED_VALUE"""),"East Coast")</f>
        <v>East Coast</v>
      </c>
      <c r="F44" s="6" t="str">
        <f ca="1">IFERROR(__xludf.DUMMYFUNCTION("""COMPUTED_VALUE"""),"Woman")</f>
        <v>Woman</v>
      </c>
      <c r="G44" s="6" t="str">
        <f ca="1">IFERROR(__xludf.DUMMYFUNCTION("""COMPUTED_VALUE"""),"Man")</f>
        <v>Man</v>
      </c>
      <c r="H44" s="6"/>
      <c r="I44" s="6"/>
      <c r="J44" s="6"/>
      <c r="K44" s="6"/>
      <c r="L44" s="6" t="str">
        <f ca="1">IFERROR(__xludf.DUMMYFUNCTION("""COMPUTED_VALUE"""),"No")</f>
        <v>No</v>
      </c>
      <c r="M44" s="6"/>
      <c r="N44" s="6"/>
      <c r="O44" s="6" t="str">
        <f ca="1">IFERROR(__xludf.DUMMYFUNCTION("""COMPUTED_VALUE"""),"Email")</f>
        <v>Email</v>
      </c>
      <c r="P44" s="6"/>
      <c r="Q44" s="6" t="str">
        <f ca="1">IFERROR(__xludf.DUMMYFUNCTION("""COMPUTED_VALUE"""),"No")</f>
        <v>No</v>
      </c>
      <c r="R44" s="6">
        <f ca="1">IFERROR(__xludf.DUMMYFUNCTION("""COMPUTED_VALUE"""),2)</f>
        <v>2</v>
      </c>
      <c r="S44" s="6" t="str">
        <f ca="1">IFERROR(__xludf.DUMMYFUNCTION("""COMPUTED_VALUE"""),"Pre-seed")</f>
        <v>Pre-seed</v>
      </c>
      <c r="T44" s="6" t="str">
        <f ca="1">IFERROR(__xludf.DUMMYFUNCTION("""COMPUTED_VALUE"""),"Pre-seed")</f>
        <v>Pre-seed</v>
      </c>
      <c r="U44" s="6" t="str">
        <f ca="1">IFERROR(__xludf.DUMMYFUNCTION("""COMPUTED_VALUE"""),"Pre-seed")</f>
        <v>Pre-seed</v>
      </c>
      <c r="V44" s="6"/>
      <c r="W44" s="6" t="str">
        <f ca="1">IFERROR(__xludf.DUMMYFUNCTION("""COMPUTED_VALUE"""),"Invite Next Year")</f>
        <v>Invite Next Year</v>
      </c>
    </row>
    <row r="45" spans="1:23">
      <c r="A45" s="6" t="str">
        <f ca="1">IFERROR(__xludf.DUMMYFUNCTION("""COMPUTED_VALUE"""),"Man")</f>
        <v>Man</v>
      </c>
      <c r="B45" s="6" t="str">
        <f ca="1">IFERROR(__xludf.DUMMYFUNCTION("""COMPUTED_VALUE"""),"Salve Therapeutics _2022")</f>
        <v>Salve Therapeutics _2022</v>
      </c>
      <c r="C45" s="6" t="str">
        <f ca="1">IFERROR(__xludf.DUMMYFUNCTION("""COMPUTED_VALUE"""),"Life Sciences")</f>
        <v>Life Sciences</v>
      </c>
      <c r="D45" s="6" t="str">
        <f ca="1">IFERROR(__xludf.DUMMYFUNCTION("""COMPUTED_VALUE"""),"Los Angeles California, United States")</f>
        <v>Los Angeles California, United States</v>
      </c>
      <c r="E45" s="6" t="str">
        <f ca="1">IFERROR(__xludf.DUMMYFUNCTION("""COMPUTED_VALUE"""),"West Coast")</f>
        <v>West Coast</v>
      </c>
      <c r="F45" s="6" t="str">
        <f ca="1">IFERROR(__xludf.DUMMYFUNCTION("""COMPUTED_VALUE"""),"Man")</f>
        <v>Man</v>
      </c>
      <c r="G45" s="6"/>
      <c r="H45" s="6"/>
      <c r="I45" s="6"/>
      <c r="J45" s="6"/>
      <c r="K45" s="6"/>
      <c r="L45" s="6" t="str">
        <f ca="1">IFERROR(__xludf.DUMMYFUNCTION("""COMPUTED_VALUE"""),"No")</f>
        <v>No</v>
      </c>
      <c r="M45" s="6"/>
      <c r="N45" s="6"/>
      <c r="O45" s="6" t="str">
        <f ca="1">IFERROR(__xludf.DUMMYFUNCTION("""COMPUTED_VALUE"""),"Email")</f>
        <v>Email</v>
      </c>
      <c r="P45" s="6"/>
      <c r="Q45" s="6" t="str">
        <f ca="1">IFERROR(__xludf.DUMMYFUNCTION("""COMPUTED_VALUE"""),"No")</f>
        <v>No</v>
      </c>
      <c r="R45" s="6">
        <f ca="1">IFERROR(__xludf.DUMMYFUNCTION("""COMPUTED_VALUE"""),1)</f>
        <v>1</v>
      </c>
      <c r="S45" s="6" t="str">
        <f ca="1">IFERROR(__xludf.DUMMYFUNCTION("""COMPUTED_VALUE"""),"Other: Self-funded and student funding from Hopkins.")</f>
        <v>Other: Self-funded and student funding from Hopkins.</v>
      </c>
      <c r="T45" s="6" t="str">
        <f ca="1">IFERROR(__xludf.DUMMYFUNCTION("""COMPUTED_VALUE"""),"Other: Self-funded and student funding from Hopkins.")</f>
        <v>Other: Self-funded and student funding from Hopkins.</v>
      </c>
      <c r="U45" s="6" t="str">
        <f ca="1">IFERROR(__xludf.DUMMYFUNCTION("""COMPUTED_VALUE"""),"Self-funded and student funding from Hopkins.")</f>
        <v>Self-funded and student funding from Hopkins.</v>
      </c>
      <c r="V45" s="6"/>
      <c r="W45" s="6" t="str">
        <f ca="1">IFERROR(__xludf.DUMMYFUNCTION("""COMPUTED_VALUE"""),"Invite Next Year")</f>
        <v>Invite Next Year</v>
      </c>
    </row>
    <row r="46" spans="1:23">
      <c r="A46" s="6" t="str">
        <f ca="1">IFERROR(__xludf.DUMMYFUNCTION("""COMPUTED_VALUE"""),"Man, Woman")</f>
        <v>Man, Woman</v>
      </c>
      <c r="B46" s="6" t="str">
        <f ca="1">IFERROR(__xludf.DUMMYFUNCTION("""COMPUTED_VALUE"""),"Re-Colonize _2022")</f>
        <v>Re-Colonize _2022</v>
      </c>
      <c r="C46" s="6" t="str">
        <f ca="1">IFERROR(__xludf.DUMMYFUNCTION("""COMPUTED_VALUE"""),"Life Sciences")</f>
        <v>Life Sciences</v>
      </c>
      <c r="D46" s="6" t="str">
        <f ca="1">IFERROR(__xludf.DUMMYFUNCTION("""COMPUTED_VALUE"""),"San Diego CA, United States")</f>
        <v>San Diego CA, United States</v>
      </c>
      <c r="E46" s="6" t="str">
        <f ca="1">IFERROR(__xludf.DUMMYFUNCTION("""COMPUTED_VALUE"""),"West Coast")</f>
        <v>West Coast</v>
      </c>
      <c r="F46" s="6" t="str">
        <f ca="1">IFERROR(__xludf.DUMMYFUNCTION("""COMPUTED_VALUE"""),"Man")</f>
        <v>Man</v>
      </c>
      <c r="G46" s="6" t="str">
        <f ca="1">IFERROR(__xludf.DUMMYFUNCTION("""COMPUTED_VALUE"""),"Woman")</f>
        <v>Woman</v>
      </c>
      <c r="H46" s="6"/>
      <c r="I46" s="6"/>
      <c r="J46" s="6"/>
      <c r="K46" s="6"/>
      <c r="L46" s="6" t="str">
        <f ca="1">IFERROR(__xludf.DUMMYFUNCTION("""COMPUTED_VALUE"""),"No")</f>
        <v>No</v>
      </c>
      <c r="M46" s="6"/>
      <c r="N46" s="6"/>
      <c r="O46" s="6" t="str">
        <f ca="1">IFERROR(__xludf.DUMMYFUNCTION("""COMPUTED_VALUE"""),"Referral")</f>
        <v>Referral</v>
      </c>
      <c r="P46" s="6"/>
      <c r="Q46" s="6" t="str">
        <f ca="1">IFERROR(__xludf.DUMMYFUNCTION("""COMPUTED_VALUE"""),"No")</f>
        <v>No</v>
      </c>
      <c r="R46" s="6">
        <f ca="1">IFERROR(__xludf.DUMMYFUNCTION("""COMPUTED_VALUE"""),2)</f>
        <v>2</v>
      </c>
      <c r="S46" s="6" t="str">
        <f ca="1">IFERROR(__xludf.DUMMYFUNCTION("""COMPUTED_VALUE"""),"None")</f>
        <v>None</v>
      </c>
      <c r="T46" s="6" t="str">
        <f ca="1">IFERROR(__xludf.DUMMYFUNCTION("""COMPUTED_VALUE"""),"None")</f>
        <v>None</v>
      </c>
      <c r="U46" s="6" t="str">
        <f ca="1">IFERROR(__xludf.DUMMYFUNCTION("""COMPUTED_VALUE"""),"None")</f>
        <v>None</v>
      </c>
      <c r="V46" s="6"/>
      <c r="W46" s="6" t="str">
        <f ca="1">IFERROR(__xludf.DUMMYFUNCTION("""COMPUTED_VALUE"""),"Invite Next Year")</f>
        <v>Invite Next Year</v>
      </c>
    </row>
    <row r="47" spans="1:23">
      <c r="A47" s="6" t="str">
        <f ca="1">IFERROR(__xludf.DUMMYFUNCTION("""COMPUTED_VALUE"""),"Man, Man, Man")</f>
        <v>Man, Man, Man</v>
      </c>
      <c r="B47" s="6" t="str">
        <f ca="1">IFERROR(__xludf.DUMMYFUNCTION("""COMPUTED_VALUE"""),"Quantic Brains Technologies SL _2022")</f>
        <v>Quantic Brains Technologies SL _2022</v>
      </c>
      <c r="C47" s="6" t="str">
        <f ca="1">IFERROR(__xludf.DUMMYFUNCTION("""COMPUTED_VALUE"""),"Deep Tech")</f>
        <v>Deep Tech</v>
      </c>
      <c r="D47" s="6" t="str">
        <f ca="1">IFERROR(__xludf.DUMMYFUNCTION("""COMPUTED_VALUE"""),"Valencia Valencia, Spain")</f>
        <v>Valencia Valencia, Spain</v>
      </c>
      <c r="E47" s="6" t="str">
        <f ca="1">IFERROR(__xludf.DUMMYFUNCTION("""COMPUTED_VALUE"""),"International - Europe")</f>
        <v>International - Europe</v>
      </c>
      <c r="F47" s="6" t="str">
        <f ca="1">IFERROR(__xludf.DUMMYFUNCTION("""COMPUTED_VALUE"""),"Man")</f>
        <v>Man</v>
      </c>
      <c r="G47" s="6" t="str">
        <f ca="1">IFERROR(__xludf.DUMMYFUNCTION("""COMPUTED_VALUE"""),"Man")</f>
        <v>Man</v>
      </c>
      <c r="H47" s="6" t="str">
        <f ca="1">IFERROR(__xludf.DUMMYFUNCTION("""COMPUTED_VALUE"""),"Man")</f>
        <v>Man</v>
      </c>
      <c r="I47" s="6"/>
      <c r="J47" s="6"/>
      <c r="K47" s="6"/>
      <c r="L47" s="6" t="str">
        <f ca="1">IFERROR(__xludf.DUMMYFUNCTION("""COMPUTED_VALUE"""),"No")</f>
        <v>No</v>
      </c>
      <c r="M47" s="6"/>
      <c r="N47" s="6"/>
      <c r="O47" s="6" t="str">
        <f ca="1">IFERROR(__xludf.DUMMYFUNCTION("""COMPUTED_VALUE"""),"Email")</f>
        <v>Email</v>
      </c>
      <c r="P47" s="6"/>
      <c r="Q47" s="6" t="str">
        <f ca="1">IFERROR(__xludf.DUMMYFUNCTION("""COMPUTED_VALUE"""),"No")</f>
        <v>No</v>
      </c>
      <c r="R47" s="6">
        <f ca="1">IFERROR(__xludf.DUMMYFUNCTION("""COMPUTED_VALUE"""),3)</f>
        <v>3</v>
      </c>
      <c r="S47" s="6" t="str">
        <f ca="1">IFERROR(__xludf.DUMMYFUNCTION("""COMPUTED_VALUE"""),"Seed")</f>
        <v>Seed</v>
      </c>
      <c r="T47" s="6" t="str">
        <f ca="1">IFERROR(__xludf.DUMMYFUNCTION("""COMPUTED_VALUE"""),"Seed")</f>
        <v>Seed</v>
      </c>
      <c r="U47" s="6" t="str">
        <f ca="1">IFERROR(__xludf.DUMMYFUNCTION("""COMPUTED_VALUE"""),"Seed")</f>
        <v>Seed</v>
      </c>
      <c r="V47" s="6"/>
      <c r="W47" s="6" t="str">
        <f ca="1">IFERROR(__xludf.DUMMYFUNCTION("""COMPUTED_VALUE"""),"Invite Next Year")</f>
        <v>Invite Next Year</v>
      </c>
    </row>
    <row r="48" spans="1:23">
      <c r="A48" s="6" t="str">
        <f ca="1">IFERROR(__xludf.DUMMYFUNCTION("""COMPUTED_VALUE"""),"Woman, Woman")</f>
        <v>Woman, Woman</v>
      </c>
      <c r="B48" s="6" t="str">
        <f ca="1">IFERROR(__xludf.DUMMYFUNCTION("""COMPUTED_VALUE"""),"Satocci (Legal name Satocci Finance AB) _2022")</f>
        <v>Satocci (Legal name Satocci Finance AB) _2022</v>
      </c>
      <c r="C48" s="6" t="str">
        <f ca="1">IFERROR(__xludf.DUMMYFUNCTION("""COMPUTED_VALUE"""),"Digital Tech")</f>
        <v>Digital Tech</v>
      </c>
      <c r="D48" s="6" t="str">
        <f ca="1">IFERROR(__xludf.DUMMYFUNCTION("""COMPUTED_VALUE"""),"Swedenborgsgatan 12, 75334 Uppsala, Sweden")</f>
        <v>Swedenborgsgatan 12, 75334 Uppsala, Sweden</v>
      </c>
      <c r="E48" s="6" t="str">
        <f ca="1">IFERROR(__xludf.DUMMYFUNCTION("""COMPUTED_VALUE"""),"International - Europe")</f>
        <v>International - Europe</v>
      </c>
      <c r="F48" s="6" t="str">
        <f ca="1">IFERROR(__xludf.DUMMYFUNCTION("""COMPUTED_VALUE"""),"Woman")</f>
        <v>Woman</v>
      </c>
      <c r="G48" s="6" t="str">
        <f ca="1">IFERROR(__xludf.DUMMYFUNCTION("""COMPUTED_VALUE"""),"Woman")</f>
        <v>Woman</v>
      </c>
      <c r="H48" s="6"/>
      <c r="I48" s="6"/>
      <c r="J48" s="6"/>
      <c r="K48" s="6"/>
      <c r="L48" s="6" t="str">
        <f ca="1">IFERROR(__xludf.DUMMYFUNCTION("""COMPUTED_VALUE"""),"--Please select--")</f>
        <v>--Please select--</v>
      </c>
      <c r="M48" s="6"/>
      <c r="N48" s="6"/>
      <c r="O48" s="6" t="str">
        <f ca="1">IFERROR(__xludf.DUMMYFUNCTION("""COMPUTED_VALUE"""),"Conference")</f>
        <v>Conference</v>
      </c>
      <c r="P48" s="6"/>
      <c r="Q48" s="6" t="str">
        <f ca="1">IFERROR(__xludf.DUMMYFUNCTION("""COMPUTED_VALUE"""),"No")</f>
        <v>No</v>
      </c>
      <c r="R48" s="6">
        <f ca="1">IFERROR(__xludf.DUMMYFUNCTION("""COMPUTED_VALUE"""),2)</f>
        <v>2</v>
      </c>
      <c r="S48" s="6" t="str">
        <f ca="1">IFERROR(__xludf.DUMMYFUNCTION("""COMPUTED_VALUE"""),"Pre-seed")</f>
        <v>Pre-seed</v>
      </c>
      <c r="T48" s="6" t="str">
        <f ca="1">IFERROR(__xludf.DUMMYFUNCTION("""COMPUTED_VALUE"""),"Pre-seed")</f>
        <v>Pre-seed</v>
      </c>
      <c r="U48" s="6" t="str">
        <f ca="1">IFERROR(__xludf.DUMMYFUNCTION("""COMPUTED_VALUE"""),"Pre-seed")</f>
        <v>Pre-seed</v>
      </c>
      <c r="V48" s="6"/>
      <c r="W48" s="6" t="str">
        <f ca="1">IFERROR(__xludf.DUMMYFUNCTION("""COMPUTED_VALUE"""),"Invite Next Year")</f>
        <v>Invite Next Year</v>
      </c>
    </row>
    <row r="49" spans="1:23">
      <c r="A49" s="6" t="str">
        <f ca="1">IFERROR(__xludf.DUMMYFUNCTION("""COMPUTED_VALUE"""),"Woman, Man, Woman")</f>
        <v>Woman, Man, Woman</v>
      </c>
      <c r="B49" s="6" t="str">
        <f ca="1">IFERROR(__xludf.DUMMYFUNCTION("""COMPUTED_VALUE"""),"HeyLayer _2022")</f>
        <v>HeyLayer _2022</v>
      </c>
      <c r="C49" s="6" t="str">
        <f ca="1">IFERROR(__xludf.DUMMYFUNCTION("""COMPUTED_VALUE"""),"Digital Tech")</f>
        <v>Digital Tech</v>
      </c>
      <c r="D49" s="6" t="str">
        <f ca="1">IFERROR(__xludf.DUMMYFUNCTION("""COMPUTED_VALUE"""),"St. John Florida, United States")</f>
        <v>St. John Florida, United States</v>
      </c>
      <c r="E49" s="6" t="str">
        <f ca="1">IFERROR(__xludf.DUMMYFUNCTION("""COMPUTED_VALUE"""),"East Coast")</f>
        <v>East Coast</v>
      </c>
      <c r="F49" s="6" t="str">
        <f ca="1">IFERROR(__xludf.DUMMYFUNCTION("""COMPUTED_VALUE"""),"Woman")</f>
        <v>Woman</v>
      </c>
      <c r="G49" s="6" t="str">
        <f ca="1">IFERROR(__xludf.DUMMYFUNCTION("""COMPUTED_VALUE"""),"Man")</f>
        <v>Man</v>
      </c>
      <c r="H49" s="6" t="str">
        <f ca="1">IFERROR(__xludf.DUMMYFUNCTION("""COMPUTED_VALUE"""),"Woman")</f>
        <v>Woman</v>
      </c>
      <c r="I49" s="6"/>
      <c r="J49" s="6"/>
      <c r="K49" s="6"/>
      <c r="L49" s="6" t="str">
        <f ca="1">IFERROR(__xludf.DUMMYFUNCTION("""COMPUTED_VALUE"""),"--Please select--")</f>
        <v>--Please select--</v>
      </c>
      <c r="M49" s="6"/>
      <c r="N49" s="6"/>
      <c r="O49" s="6" t="str">
        <f ca="1">IFERROR(__xludf.DUMMYFUNCTION("""COMPUTED_VALUE"""),"Conference")</f>
        <v>Conference</v>
      </c>
      <c r="P49" s="6"/>
      <c r="Q49" s="6" t="str">
        <f ca="1">IFERROR(__xludf.DUMMYFUNCTION("""COMPUTED_VALUE"""),"No")</f>
        <v>No</v>
      </c>
      <c r="R49" s="6">
        <f ca="1">IFERROR(__xludf.DUMMYFUNCTION("""COMPUTED_VALUE"""),3)</f>
        <v>3</v>
      </c>
      <c r="S49" s="6" t="str">
        <f ca="1">IFERROR(__xludf.DUMMYFUNCTION("""COMPUTED_VALUE"""),"Pre-seed")</f>
        <v>Pre-seed</v>
      </c>
      <c r="T49" s="6" t="str">
        <f ca="1">IFERROR(__xludf.DUMMYFUNCTION("""COMPUTED_VALUE"""),"Pre-seed")</f>
        <v>Pre-seed</v>
      </c>
      <c r="U49" s="6" t="str">
        <f ca="1">IFERROR(__xludf.DUMMYFUNCTION("""COMPUTED_VALUE"""),"Pre-seed")</f>
        <v>Pre-seed</v>
      </c>
      <c r="V49" s="6"/>
      <c r="W49" s="6" t="str">
        <f ca="1">IFERROR(__xludf.DUMMYFUNCTION("""COMPUTED_VALUE"""),"Invite Next Year")</f>
        <v>Invite Next Year</v>
      </c>
    </row>
    <row r="50" spans="1:23">
      <c r="A50" s="6" t="str">
        <f ca="1">IFERROR(__xludf.DUMMYFUNCTION("""COMPUTED_VALUE"""),"Man")</f>
        <v>Man</v>
      </c>
      <c r="B50" s="6" t="str">
        <f ca="1">IFERROR(__xludf.DUMMYFUNCTION("""COMPUTED_VALUE"""),"Allset _2022")</f>
        <v>Allset _2022</v>
      </c>
      <c r="C50" s="6" t="str">
        <f ca="1">IFERROR(__xludf.DUMMYFUNCTION("""COMPUTED_VALUE"""),"Digital Tech")</f>
        <v>Digital Tech</v>
      </c>
      <c r="D50" s="6" t="str">
        <f ca="1">IFERROR(__xludf.DUMMYFUNCTION("""COMPUTED_VALUE"""),"Lehi UT, United States")</f>
        <v>Lehi UT, United States</v>
      </c>
      <c r="E50" s="6" t="str">
        <f ca="1">IFERROR(__xludf.DUMMYFUNCTION("""COMPUTED_VALUE"""),"West")</f>
        <v>West</v>
      </c>
      <c r="F50" s="6" t="str">
        <f ca="1">IFERROR(__xludf.DUMMYFUNCTION("""COMPUTED_VALUE"""),"Man")</f>
        <v>Man</v>
      </c>
      <c r="G50" s="6"/>
      <c r="H50" s="6"/>
      <c r="I50" s="6"/>
      <c r="J50" s="6"/>
      <c r="K50" s="6"/>
      <c r="L50" s="6" t="str">
        <f ca="1">IFERROR(__xludf.DUMMYFUNCTION("""COMPUTED_VALUE"""),"--Please select--")</f>
        <v>--Please select--</v>
      </c>
      <c r="M50" s="6"/>
      <c r="N50" s="6"/>
      <c r="O50" s="6" t="str">
        <f ca="1">IFERROR(__xludf.DUMMYFUNCTION("""COMPUTED_VALUE"""),"Email")</f>
        <v>Email</v>
      </c>
      <c r="P50" s="6"/>
      <c r="Q50" s="6" t="str">
        <f ca="1">IFERROR(__xludf.DUMMYFUNCTION("""COMPUTED_VALUE"""),"No")</f>
        <v>No</v>
      </c>
      <c r="R50" s="6">
        <f ca="1">IFERROR(__xludf.DUMMYFUNCTION("""COMPUTED_VALUE"""),1)</f>
        <v>1</v>
      </c>
      <c r="S50" s="6" t="str">
        <f ca="1">IFERROR(__xludf.DUMMYFUNCTION("""COMPUTED_VALUE"""),"Pre-seed")</f>
        <v>Pre-seed</v>
      </c>
      <c r="T50" s="6" t="str">
        <f ca="1">IFERROR(__xludf.DUMMYFUNCTION("""COMPUTED_VALUE"""),"Pre-seed")</f>
        <v>Pre-seed</v>
      </c>
      <c r="U50" s="6" t="str">
        <f ca="1">IFERROR(__xludf.DUMMYFUNCTION("""COMPUTED_VALUE"""),"Pre-seed")</f>
        <v>Pre-seed</v>
      </c>
      <c r="V50" s="6"/>
      <c r="W50" s="6" t="str">
        <f ca="1">IFERROR(__xludf.DUMMYFUNCTION("""COMPUTED_VALUE"""),"Invite")</f>
        <v>Invite</v>
      </c>
    </row>
    <row r="51" spans="1:23">
      <c r="A51" s="6" t="str">
        <f ca="1">IFERROR(__xludf.DUMMYFUNCTION("""COMPUTED_VALUE"""),"Man, Man, Man, Man")</f>
        <v>Man, Man, Man, Man</v>
      </c>
      <c r="B51" s="6" t="str">
        <f ca="1">IFERROR(__xludf.DUMMYFUNCTION("""COMPUTED_VALUE"""),"Creative Blockchain Solutions SRL _2022")</f>
        <v>Creative Blockchain Solutions SRL _2022</v>
      </c>
      <c r="C51" s="6" t="str">
        <f ca="1">IFERROR(__xludf.DUMMYFUNCTION("""COMPUTED_VALUE"""),"Digital Tech")</f>
        <v>Digital Tech</v>
      </c>
      <c r="D51" s="6" t="str">
        <f ca="1">IFERROR(__xludf.DUMMYFUNCTION("""COMPUTED_VALUE"""),"Bucharest, Romania")</f>
        <v>Bucharest, Romania</v>
      </c>
      <c r="E51" s="6" t="str">
        <f ca="1">IFERROR(__xludf.DUMMYFUNCTION("""COMPUTED_VALUE"""),"International - Europe")</f>
        <v>International - Europe</v>
      </c>
      <c r="F51" s="6" t="str">
        <f ca="1">IFERROR(__xludf.DUMMYFUNCTION("""COMPUTED_VALUE"""),"Man")</f>
        <v>Man</v>
      </c>
      <c r="G51" s="6" t="str">
        <f ca="1">IFERROR(__xludf.DUMMYFUNCTION("""COMPUTED_VALUE"""),"Man")</f>
        <v>Man</v>
      </c>
      <c r="H51" s="6" t="str">
        <f ca="1">IFERROR(__xludf.DUMMYFUNCTION("""COMPUTED_VALUE"""),"Man")</f>
        <v>Man</v>
      </c>
      <c r="I51" s="6" t="str">
        <f ca="1">IFERROR(__xludf.DUMMYFUNCTION("""COMPUTED_VALUE"""),"Man")</f>
        <v>Man</v>
      </c>
      <c r="J51" s="6"/>
      <c r="K51" s="6"/>
      <c r="L51" s="6" t="str">
        <f ca="1">IFERROR(__xludf.DUMMYFUNCTION("""COMPUTED_VALUE"""),"No")</f>
        <v>No</v>
      </c>
      <c r="M51" s="6"/>
      <c r="N51" s="6"/>
      <c r="O51" s="6" t="str">
        <f ca="1">IFERROR(__xludf.DUMMYFUNCTION("""COMPUTED_VALUE"""),"Email")</f>
        <v>Email</v>
      </c>
      <c r="P51" s="6"/>
      <c r="Q51" s="6" t="str">
        <f ca="1">IFERROR(__xludf.DUMMYFUNCTION("""COMPUTED_VALUE"""),"No")</f>
        <v>No</v>
      </c>
      <c r="R51" s="6">
        <f ca="1">IFERROR(__xludf.DUMMYFUNCTION("""COMPUTED_VALUE"""),4)</f>
        <v>4</v>
      </c>
      <c r="S51" s="6" t="str">
        <f ca="1">IFERROR(__xludf.DUMMYFUNCTION("""COMPUTED_VALUE"""),"Pre-seed")</f>
        <v>Pre-seed</v>
      </c>
      <c r="T51" s="6" t="str">
        <f ca="1">IFERROR(__xludf.DUMMYFUNCTION("""COMPUTED_VALUE"""),"Pre-seed")</f>
        <v>Pre-seed</v>
      </c>
      <c r="U51" s="6" t="str">
        <f ca="1">IFERROR(__xludf.DUMMYFUNCTION("""COMPUTED_VALUE"""),"Pre-seed")</f>
        <v>Pre-seed</v>
      </c>
      <c r="V51" s="6"/>
      <c r="W51" s="6" t="str">
        <f ca="1">IFERROR(__xludf.DUMMYFUNCTION("""COMPUTED_VALUE"""),"Invite")</f>
        <v>Invite</v>
      </c>
    </row>
    <row r="52" spans="1:23">
      <c r="A52" s="6" t="str">
        <f ca="1">IFERROR(__xludf.DUMMYFUNCTION("""COMPUTED_VALUE"""),"Woman, Man, Woman")</f>
        <v>Woman, Man, Woman</v>
      </c>
      <c r="B52" s="6" t="str">
        <f ca="1">IFERROR(__xludf.DUMMYFUNCTION("""COMPUTED_VALUE"""),"iPondr SBC _2022")</f>
        <v>iPondr SBC _2022</v>
      </c>
      <c r="C52" s="6" t="str">
        <f ca="1">IFERROR(__xludf.DUMMYFUNCTION("""COMPUTED_VALUE"""),"Digital Tech")</f>
        <v>Digital Tech</v>
      </c>
      <c r="D52" s="6" t="str">
        <f ca="1">IFERROR(__xludf.DUMMYFUNCTION("""COMPUTED_VALUE"""),"1625 Hennepin Ave, Minneapolis Minnesota, 55419, United States")</f>
        <v>1625 Hennepin Ave, Minneapolis Minnesota, 55419, United States</v>
      </c>
      <c r="E52" s="6" t="str">
        <f ca="1">IFERROR(__xludf.DUMMYFUNCTION("""COMPUTED_VALUE"""),"Midwest")</f>
        <v>Midwest</v>
      </c>
      <c r="F52" s="6" t="str">
        <f ca="1">IFERROR(__xludf.DUMMYFUNCTION("""COMPUTED_VALUE"""),"Woman")</f>
        <v>Woman</v>
      </c>
      <c r="G52" s="6" t="str">
        <f ca="1">IFERROR(__xludf.DUMMYFUNCTION("""COMPUTED_VALUE"""),"Man")</f>
        <v>Man</v>
      </c>
      <c r="H52" s="6" t="str">
        <f ca="1">IFERROR(__xludf.DUMMYFUNCTION("""COMPUTED_VALUE"""),"Woman")</f>
        <v>Woman</v>
      </c>
      <c r="I52" s="6"/>
      <c r="J52" s="6"/>
      <c r="K52" s="6"/>
      <c r="L52" s="6" t="str">
        <f ca="1">IFERROR(__xludf.DUMMYFUNCTION("""COMPUTED_VALUE"""),"No")</f>
        <v>No</v>
      </c>
      <c r="M52" s="6"/>
      <c r="N52" s="6"/>
      <c r="O52" s="6" t="str">
        <f ca="1">IFERROR(__xludf.DUMMYFUNCTION("""COMPUTED_VALUE"""),"Referral")</f>
        <v>Referral</v>
      </c>
      <c r="P52" s="6"/>
      <c r="Q52" s="6" t="str">
        <f ca="1">IFERROR(__xludf.DUMMYFUNCTION("""COMPUTED_VALUE"""),"Yes")</f>
        <v>Yes</v>
      </c>
      <c r="R52" s="6">
        <f ca="1">IFERROR(__xludf.DUMMYFUNCTION("""COMPUTED_VALUE"""),3)</f>
        <v>3</v>
      </c>
      <c r="S52" s="6" t="str">
        <f ca="1">IFERROR(__xludf.DUMMYFUNCTION("""COMPUTED_VALUE"""),"Pre-seed|Seed")</f>
        <v>Pre-seed|Seed</v>
      </c>
      <c r="T52" s="6" t="str">
        <f ca="1">IFERROR(__xludf.DUMMYFUNCTION("""COMPUTED_VALUE"""),"Pre-seed, Seed")</f>
        <v>Pre-seed, Seed</v>
      </c>
      <c r="U52" s="6" t="str">
        <f ca="1">IFERROR(__xludf.DUMMYFUNCTION("""COMPUTED_VALUE"""),"Pre-seed, Seed")</f>
        <v>Pre-seed, Seed</v>
      </c>
      <c r="V52" s="6"/>
      <c r="W52" s="6" t="str">
        <f ca="1">IFERROR(__xludf.DUMMYFUNCTION("""COMPUTED_VALUE"""),"Invite Next Year")</f>
        <v>Invite Next Year</v>
      </c>
    </row>
    <row r="53" spans="1:23">
      <c r="A53" s="6" t="str">
        <f ca="1">IFERROR(__xludf.DUMMYFUNCTION("""COMPUTED_VALUE"""),"Woman")</f>
        <v>Woman</v>
      </c>
      <c r="B53" s="6" t="str">
        <f ca="1">IFERROR(__xludf.DUMMYFUNCTION("""COMPUTED_VALUE"""),"eXeer Biotech, Inc _2022")</f>
        <v>eXeer Biotech, Inc _2022</v>
      </c>
      <c r="C53" s="6" t="str">
        <f ca="1">IFERROR(__xludf.DUMMYFUNCTION("""COMPUTED_VALUE"""),"Life Sciences")</f>
        <v>Life Sciences</v>
      </c>
      <c r="D53" s="6" t="str">
        <f ca="1">IFERROR(__xludf.DUMMYFUNCTION("""COMPUTED_VALUE"""),"299 Franklin St #258 San Francisco, United States")</f>
        <v>299 Franklin St #258 San Francisco, United States</v>
      </c>
      <c r="E53" s="6" t="str">
        <f ca="1">IFERROR(__xludf.DUMMYFUNCTION("""COMPUTED_VALUE"""),"West Coast")</f>
        <v>West Coast</v>
      </c>
      <c r="F53" s="6" t="str">
        <f ca="1">IFERROR(__xludf.DUMMYFUNCTION("""COMPUTED_VALUE"""),"Woman")</f>
        <v>Woman</v>
      </c>
      <c r="G53" s="6"/>
      <c r="H53" s="6"/>
      <c r="I53" s="6"/>
      <c r="J53" s="6"/>
      <c r="K53" s="6"/>
      <c r="L53" s="6" t="str">
        <f ca="1">IFERROR(__xludf.DUMMYFUNCTION("""COMPUTED_VALUE"""),"No")</f>
        <v>No</v>
      </c>
      <c r="M53" s="6"/>
      <c r="N53" s="6"/>
      <c r="O53" s="6" t="str">
        <f ca="1">IFERROR(__xludf.DUMMYFUNCTION("""COMPUTED_VALUE"""),"Referral")</f>
        <v>Referral</v>
      </c>
      <c r="P53" s="6"/>
      <c r="Q53" s="6" t="str">
        <f ca="1">IFERROR(__xludf.DUMMYFUNCTION("""COMPUTED_VALUE"""),"No")</f>
        <v>No</v>
      </c>
      <c r="R53" s="6">
        <f ca="1">IFERROR(__xludf.DUMMYFUNCTION("""COMPUTED_VALUE"""),1)</f>
        <v>1</v>
      </c>
      <c r="S53" s="6" t="str">
        <f ca="1">IFERROR(__xludf.DUMMYFUNCTION("""COMPUTED_VALUE"""),"None")</f>
        <v>None</v>
      </c>
      <c r="T53" s="6" t="str">
        <f ca="1">IFERROR(__xludf.DUMMYFUNCTION("""COMPUTED_VALUE"""),"None")</f>
        <v>None</v>
      </c>
      <c r="U53" s="6" t="str">
        <f ca="1">IFERROR(__xludf.DUMMYFUNCTION("""COMPUTED_VALUE"""),"None")</f>
        <v>None</v>
      </c>
      <c r="V53" s="6"/>
      <c r="W53" s="6" t="str">
        <f ca="1">IFERROR(__xludf.DUMMYFUNCTION("""COMPUTED_VALUE"""),"Invite Next Year")</f>
        <v>Invite Next Year</v>
      </c>
    </row>
    <row r="54" spans="1:23">
      <c r="A54" s="6" t="str">
        <f ca="1">IFERROR(__xludf.DUMMYFUNCTION("""COMPUTED_VALUE"""),"Woman, Man, Man, Man")</f>
        <v>Woman, Man, Man, Man</v>
      </c>
      <c r="B54" s="6" t="str">
        <f ca="1">IFERROR(__xludf.DUMMYFUNCTION("""COMPUTED_VALUE"""),"Orbit Genomics, Inc. _2022")</f>
        <v>Orbit Genomics, Inc. _2022</v>
      </c>
      <c r="C54" s="6" t="str">
        <f ca="1">IFERROR(__xludf.DUMMYFUNCTION("""COMPUTED_VALUE"""),"Life Sciences")</f>
        <v>Life Sciences</v>
      </c>
      <c r="D54" s="6" t="str">
        <f ca="1">IFERROR(__xludf.DUMMYFUNCTION("""COMPUTED_VALUE"""),"4665 Nautilus Ct S, Ste 300, Boulder CO, United States")</f>
        <v>4665 Nautilus Ct S, Ste 300, Boulder CO, United States</v>
      </c>
      <c r="E54" s="6" t="str">
        <f ca="1">IFERROR(__xludf.DUMMYFUNCTION("""COMPUTED_VALUE"""),"West")</f>
        <v>West</v>
      </c>
      <c r="F54" s="6" t="str">
        <f ca="1">IFERROR(__xludf.DUMMYFUNCTION("""COMPUTED_VALUE"""),"Woman")</f>
        <v>Woman</v>
      </c>
      <c r="G54" s="6" t="str">
        <f ca="1">IFERROR(__xludf.DUMMYFUNCTION("""COMPUTED_VALUE"""),"Man")</f>
        <v>Man</v>
      </c>
      <c r="H54" s="6" t="str">
        <f ca="1">IFERROR(__xludf.DUMMYFUNCTION("""COMPUTED_VALUE"""),"Man")</f>
        <v>Man</v>
      </c>
      <c r="I54" s="6" t="str">
        <f ca="1">IFERROR(__xludf.DUMMYFUNCTION("""COMPUTED_VALUE"""),"Man")</f>
        <v>Man</v>
      </c>
      <c r="J54" s="6"/>
      <c r="K54" s="6"/>
      <c r="L54" s="6" t="str">
        <f ca="1">IFERROR(__xludf.DUMMYFUNCTION("""COMPUTED_VALUE"""),"No")</f>
        <v>No</v>
      </c>
      <c r="M54" s="6"/>
      <c r="N54" s="6"/>
      <c r="O54" s="6" t="str">
        <f ca="1">IFERROR(__xludf.DUMMYFUNCTION("""COMPUTED_VALUE"""),"Email")</f>
        <v>Email</v>
      </c>
      <c r="P54" s="6"/>
      <c r="Q54" s="6" t="str">
        <f ca="1">IFERROR(__xludf.DUMMYFUNCTION("""COMPUTED_VALUE"""),"No")</f>
        <v>No</v>
      </c>
      <c r="R54" s="6">
        <f ca="1">IFERROR(__xludf.DUMMYFUNCTION("""COMPUTED_VALUE"""),4)</f>
        <v>4</v>
      </c>
      <c r="S54" s="6" t="str">
        <f ca="1">IFERROR(__xludf.DUMMYFUNCTION("""COMPUTED_VALUE"""),"Series A|Grants")</f>
        <v>Series A|Grants</v>
      </c>
      <c r="T54" s="6" t="str">
        <f ca="1">IFERROR(__xludf.DUMMYFUNCTION("""COMPUTED_VALUE"""),"Series A, Grants")</f>
        <v>Series A, Grants</v>
      </c>
      <c r="U54" s="6" t="str">
        <f ca="1">IFERROR(__xludf.DUMMYFUNCTION("""COMPUTED_VALUE"""),"Series A, Grants")</f>
        <v>Series A, Grants</v>
      </c>
      <c r="V54" s="6"/>
      <c r="W54" s="6" t="str">
        <f ca="1">IFERROR(__xludf.DUMMYFUNCTION("""COMPUTED_VALUE"""),"Revisit/ Cluster")</f>
        <v>Revisit/ Cluster</v>
      </c>
    </row>
    <row r="55" spans="1:23">
      <c r="A55" s="6" t="str">
        <f ca="1">IFERROR(__xludf.DUMMYFUNCTION("""COMPUTED_VALUE"""),"Woman")</f>
        <v>Woman</v>
      </c>
      <c r="B55" s="6" t="str">
        <f ca="1">IFERROR(__xludf.DUMMYFUNCTION("""COMPUTED_VALUE"""),"Metaiss _2022")</f>
        <v>Metaiss _2022</v>
      </c>
      <c r="C55" s="6" t="str">
        <f ca="1">IFERROR(__xludf.DUMMYFUNCTION("""COMPUTED_VALUE"""),"Digital Tech")</f>
        <v>Digital Tech</v>
      </c>
      <c r="D55" s="6" t="str">
        <f ca="1">IFERROR(__xludf.DUMMYFUNCTION("""COMPUTED_VALUE"""),"Greenwich CT, United States")</f>
        <v>Greenwich CT, United States</v>
      </c>
      <c r="E55" s="6" t="str">
        <f ca="1">IFERROR(__xludf.DUMMYFUNCTION("""COMPUTED_VALUE"""),"East Coast")</f>
        <v>East Coast</v>
      </c>
      <c r="F55" s="6" t="str">
        <f ca="1">IFERROR(__xludf.DUMMYFUNCTION("""COMPUTED_VALUE"""),"Woman")</f>
        <v>Woman</v>
      </c>
      <c r="G55" s="6"/>
      <c r="H55" s="6"/>
      <c r="I55" s="6"/>
      <c r="J55" s="6"/>
      <c r="K55" s="6"/>
      <c r="L55" s="6" t="str">
        <f ca="1">IFERROR(__xludf.DUMMYFUNCTION("""COMPUTED_VALUE"""),"No")</f>
        <v>No</v>
      </c>
      <c r="M55" s="6"/>
      <c r="N55" s="6"/>
      <c r="O55" s="6" t="str">
        <f ca="1">IFERROR(__xludf.DUMMYFUNCTION("""COMPUTED_VALUE"""),"A web posting")</f>
        <v>A web posting</v>
      </c>
      <c r="P55" s="6"/>
      <c r="Q55" s="6" t="str">
        <f ca="1">IFERROR(__xludf.DUMMYFUNCTION("""COMPUTED_VALUE"""),"No")</f>
        <v>No</v>
      </c>
      <c r="R55" s="6">
        <f ca="1">IFERROR(__xludf.DUMMYFUNCTION("""COMPUTED_VALUE"""),1)</f>
        <v>1</v>
      </c>
      <c r="S55" s="6" t="str">
        <f ca="1">IFERROR(__xludf.DUMMYFUNCTION("""COMPUTED_VALUE"""),"None")</f>
        <v>None</v>
      </c>
      <c r="T55" s="6" t="str">
        <f ca="1">IFERROR(__xludf.DUMMYFUNCTION("""COMPUTED_VALUE"""),"None")</f>
        <v>None</v>
      </c>
      <c r="U55" s="6" t="str">
        <f ca="1">IFERROR(__xludf.DUMMYFUNCTION("""COMPUTED_VALUE"""),"None")</f>
        <v>None</v>
      </c>
      <c r="V55" s="6"/>
      <c r="W55" s="6" t="str">
        <f ca="1">IFERROR(__xludf.DUMMYFUNCTION("""COMPUTED_VALUE"""),"Invite Next Year")</f>
        <v>Invite Next Year</v>
      </c>
    </row>
    <row r="56" spans="1:23">
      <c r="A56" s="6" t="str">
        <f ca="1">IFERROR(__xludf.DUMMYFUNCTION("""COMPUTED_VALUE"""),"Man, Man, Man")</f>
        <v>Man, Man, Man</v>
      </c>
      <c r="B56" s="6" t="str">
        <f ca="1">IFERROR(__xludf.DUMMYFUNCTION("""COMPUTED_VALUE"""),"StreamBee _2022")</f>
        <v>StreamBee _2022</v>
      </c>
      <c r="C56" s="6" t="str">
        <f ca="1">IFERROR(__xludf.DUMMYFUNCTION("""COMPUTED_VALUE"""),"Digital Tech")</f>
        <v>Digital Tech</v>
      </c>
      <c r="D56" s="6" t="str">
        <f ca="1">IFERROR(__xludf.DUMMYFUNCTION("""COMPUTED_VALUE"""),"Brno Brno, Czech Republic")</f>
        <v>Brno Brno, Czech Republic</v>
      </c>
      <c r="E56" s="6" t="str">
        <f ca="1">IFERROR(__xludf.DUMMYFUNCTION("""COMPUTED_VALUE"""),"International - Europe")</f>
        <v>International - Europe</v>
      </c>
      <c r="F56" s="6" t="str">
        <f ca="1">IFERROR(__xludf.DUMMYFUNCTION("""COMPUTED_VALUE"""),"Man")</f>
        <v>Man</v>
      </c>
      <c r="G56" s="6" t="str">
        <f ca="1">IFERROR(__xludf.DUMMYFUNCTION("""COMPUTED_VALUE"""),"Man")</f>
        <v>Man</v>
      </c>
      <c r="H56" s="6" t="str">
        <f ca="1">IFERROR(__xludf.DUMMYFUNCTION("""COMPUTED_VALUE"""),"Man")</f>
        <v>Man</v>
      </c>
      <c r="I56" s="6"/>
      <c r="J56" s="6"/>
      <c r="K56" s="6"/>
      <c r="L56" s="6" t="str">
        <f ca="1">IFERROR(__xludf.DUMMYFUNCTION("""COMPUTED_VALUE"""),"--Please select--")</f>
        <v>--Please select--</v>
      </c>
      <c r="M56" s="6"/>
      <c r="N56" s="6"/>
      <c r="O56" s="6" t="str">
        <f ca="1">IFERROR(__xludf.DUMMYFUNCTION("""COMPUTED_VALUE"""),"Email")</f>
        <v>Email</v>
      </c>
      <c r="P56" s="6"/>
      <c r="Q56" s="6" t="str">
        <f ca="1">IFERROR(__xludf.DUMMYFUNCTION("""COMPUTED_VALUE"""),"No")</f>
        <v>No</v>
      </c>
      <c r="R56" s="6">
        <f ca="1">IFERROR(__xludf.DUMMYFUNCTION("""COMPUTED_VALUE"""),3)</f>
        <v>3</v>
      </c>
      <c r="S56" s="6" t="str">
        <f ca="1">IFERROR(__xludf.DUMMYFUNCTION("""COMPUTED_VALUE"""),"Pre-seed")</f>
        <v>Pre-seed</v>
      </c>
      <c r="T56" s="6" t="str">
        <f ca="1">IFERROR(__xludf.DUMMYFUNCTION("""COMPUTED_VALUE"""),"Pre-seed")</f>
        <v>Pre-seed</v>
      </c>
      <c r="U56" s="6" t="str">
        <f ca="1">IFERROR(__xludf.DUMMYFUNCTION("""COMPUTED_VALUE"""),"Pre-seed")</f>
        <v>Pre-seed</v>
      </c>
      <c r="V56" s="6"/>
      <c r="W56" s="6" t="str">
        <f ca="1">IFERROR(__xludf.DUMMYFUNCTION("""COMPUTED_VALUE"""),"Invite Next Year")</f>
        <v>Invite Next Year</v>
      </c>
    </row>
    <row r="57" spans="1:23">
      <c r="A57" s="6" t="str">
        <f ca="1">IFERROR(__xludf.DUMMYFUNCTION("""COMPUTED_VALUE"""),"Woman, Man, Man")</f>
        <v>Woman, Man, Man</v>
      </c>
      <c r="B57" s="6" t="str">
        <f ca="1">IFERROR(__xludf.DUMMYFUNCTION("""COMPUTED_VALUE"""),"Alyve Medical _2022")</f>
        <v>Alyve Medical _2022</v>
      </c>
      <c r="C57" s="6" t="str">
        <f ca="1">IFERROR(__xludf.DUMMYFUNCTION("""COMPUTED_VALUE"""),"Life Sciences")</f>
        <v>Life Sciences</v>
      </c>
      <c r="D57" s="6" t="str">
        <f ca="1">IFERROR(__xludf.DUMMYFUNCTION("""COMPUTED_VALUE"""),"250 Fillmore St.   Suite 150,  Denver Colorado, United States")</f>
        <v>250 Fillmore St.   Suite 150,  Denver Colorado, United States</v>
      </c>
      <c r="E57" s="6" t="str">
        <f ca="1">IFERROR(__xludf.DUMMYFUNCTION("""COMPUTED_VALUE"""),"West")</f>
        <v>West</v>
      </c>
      <c r="F57" s="6" t="str">
        <f ca="1">IFERROR(__xludf.DUMMYFUNCTION("""COMPUTED_VALUE"""),"Woman")</f>
        <v>Woman</v>
      </c>
      <c r="G57" s="6" t="str">
        <f ca="1">IFERROR(__xludf.DUMMYFUNCTION("""COMPUTED_VALUE"""),"Man")</f>
        <v>Man</v>
      </c>
      <c r="H57" s="6" t="str">
        <f ca="1">IFERROR(__xludf.DUMMYFUNCTION("""COMPUTED_VALUE"""),"Man")</f>
        <v>Man</v>
      </c>
      <c r="I57" s="6"/>
      <c r="J57" s="6"/>
      <c r="K57" s="6"/>
      <c r="L57" s="6" t="str">
        <f ca="1">IFERROR(__xludf.DUMMYFUNCTION("""COMPUTED_VALUE"""),"No")</f>
        <v>No</v>
      </c>
      <c r="M57" s="6"/>
      <c r="N57" s="6"/>
      <c r="O57" s="6" t="str">
        <f ca="1">IFERROR(__xludf.DUMMYFUNCTION("""COMPUTED_VALUE"""),"Other")</f>
        <v>Other</v>
      </c>
      <c r="P57" s="6" t="str">
        <f ca="1">IFERROR(__xludf.DUMMYFUNCTION("""COMPUTED_VALUE"""),"I was approached by one of your team after I had presented at a conference")</f>
        <v>I was approached by one of your team after I had presented at a conference</v>
      </c>
      <c r="Q57" s="6" t="str">
        <f ca="1">IFERROR(__xludf.DUMMYFUNCTION("""COMPUTED_VALUE"""),"No")</f>
        <v>No</v>
      </c>
      <c r="R57" s="6">
        <f ca="1">IFERROR(__xludf.DUMMYFUNCTION("""COMPUTED_VALUE"""),3)</f>
        <v>3</v>
      </c>
      <c r="S57" s="6" t="str">
        <f ca="1">IFERROR(__xludf.DUMMYFUNCTION("""COMPUTED_VALUE"""),"Pre-seed")</f>
        <v>Pre-seed</v>
      </c>
      <c r="T57" s="6" t="str">
        <f ca="1">IFERROR(__xludf.DUMMYFUNCTION("""COMPUTED_VALUE"""),"Pre-seed")</f>
        <v>Pre-seed</v>
      </c>
      <c r="U57" s="6" t="str">
        <f ca="1">IFERROR(__xludf.DUMMYFUNCTION("""COMPUTED_VALUE"""),"Pre-seed")</f>
        <v>Pre-seed</v>
      </c>
      <c r="V57" s="6"/>
      <c r="W57" s="6" t="str">
        <f ca="1">IFERROR(__xludf.DUMMYFUNCTION("""COMPUTED_VALUE"""),"Invite Next Year")</f>
        <v>Invite Next Year</v>
      </c>
    </row>
    <row r="58" spans="1:23">
      <c r="A58" s="6" t="str">
        <f ca="1">IFERROR(__xludf.DUMMYFUNCTION("""COMPUTED_VALUE"""),"Man, Woman")</f>
        <v>Man, Woman</v>
      </c>
      <c r="B58" s="6" t="str">
        <f ca="1">IFERROR(__xludf.DUMMYFUNCTION("""COMPUTED_VALUE"""),"AgriVijay _2022")</f>
        <v>AgriVijay _2022</v>
      </c>
      <c r="C58" s="6" t="str">
        <f ca="1">IFERROR(__xludf.DUMMYFUNCTION("""COMPUTED_VALUE"""),"Deep Tech")</f>
        <v>Deep Tech</v>
      </c>
      <c r="D58" s="6" t="str">
        <f ca="1">IFERROR(__xludf.DUMMYFUNCTION("""COMPUTED_VALUE"""),"Pune Maharashtra, India")</f>
        <v>Pune Maharashtra, India</v>
      </c>
      <c r="E58" s="6" t="str">
        <f ca="1">IFERROR(__xludf.DUMMYFUNCTION("""COMPUTED_VALUE"""),"International - Asia")</f>
        <v>International - Asia</v>
      </c>
      <c r="F58" s="6" t="str">
        <f ca="1">IFERROR(__xludf.DUMMYFUNCTION("""COMPUTED_VALUE"""),"Man")</f>
        <v>Man</v>
      </c>
      <c r="G58" s="6" t="str">
        <f ca="1">IFERROR(__xludf.DUMMYFUNCTION("""COMPUTED_VALUE"""),"Woman")</f>
        <v>Woman</v>
      </c>
      <c r="H58" s="6"/>
      <c r="I58" s="6"/>
      <c r="J58" s="6"/>
      <c r="K58" s="6"/>
      <c r="L58" s="6" t="str">
        <f ca="1">IFERROR(__xludf.DUMMYFUNCTION("""COMPUTED_VALUE"""),"No")</f>
        <v>No</v>
      </c>
      <c r="M58" s="6"/>
      <c r="N58" s="6"/>
      <c r="O58" s="6" t="str">
        <f ca="1">IFERROR(__xludf.DUMMYFUNCTION("""COMPUTED_VALUE"""),"Email")</f>
        <v>Email</v>
      </c>
      <c r="P58" s="6"/>
      <c r="Q58" s="6" t="str">
        <f ca="1">IFERROR(__xludf.DUMMYFUNCTION("""COMPUTED_VALUE"""),"No")</f>
        <v>No</v>
      </c>
      <c r="R58" s="6">
        <f ca="1">IFERROR(__xludf.DUMMYFUNCTION("""COMPUTED_VALUE"""),2)</f>
        <v>2</v>
      </c>
      <c r="S58" s="6" t="str">
        <f ca="1">IFERROR(__xludf.DUMMYFUNCTION("""COMPUTED_VALUE"""),"Seed")</f>
        <v>Seed</v>
      </c>
      <c r="T58" s="6" t="str">
        <f ca="1">IFERROR(__xludf.DUMMYFUNCTION("""COMPUTED_VALUE"""),"Seed")</f>
        <v>Seed</v>
      </c>
      <c r="U58" s="6" t="str">
        <f ca="1">IFERROR(__xludf.DUMMYFUNCTION("""COMPUTED_VALUE"""),"Seed")</f>
        <v>Seed</v>
      </c>
      <c r="V58" s="6"/>
      <c r="W58" s="6" t="str">
        <f ca="1">IFERROR(__xludf.DUMMYFUNCTION("""COMPUTED_VALUE"""),"Invite Next Year")</f>
        <v>Invite Next Year</v>
      </c>
    </row>
    <row r="59" spans="1:23">
      <c r="A59" s="6" t="str">
        <f ca="1">IFERROR(__xludf.DUMMYFUNCTION("""COMPUTED_VALUE"""),"Man, Man")</f>
        <v>Man, Man</v>
      </c>
      <c r="B59" s="6" t="str">
        <f ca="1">IFERROR(__xludf.DUMMYFUNCTION("""COMPUTED_VALUE"""),"Addinex Technologies, Inc. _2022")</f>
        <v>Addinex Technologies, Inc. _2022</v>
      </c>
      <c r="C59" s="6" t="str">
        <f ca="1">IFERROR(__xludf.DUMMYFUNCTION("""COMPUTED_VALUE"""),"Life Sciences")</f>
        <v>Life Sciences</v>
      </c>
      <c r="D59" s="6" t="str">
        <f ca="1">IFERROR(__xludf.DUMMYFUNCTION("""COMPUTED_VALUE"""),"New York New York, United States")</f>
        <v>New York New York, United States</v>
      </c>
      <c r="E59" s="6" t="str">
        <f ca="1">IFERROR(__xludf.DUMMYFUNCTION("""COMPUTED_VALUE"""),"New York")</f>
        <v>New York</v>
      </c>
      <c r="F59" s="6" t="str">
        <f ca="1">IFERROR(__xludf.DUMMYFUNCTION("""COMPUTED_VALUE"""),"Man")</f>
        <v>Man</v>
      </c>
      <c r="G59" s="6" t="str">
        <f ca="1">IFERROR(__xludf.DUMMYFUNCTION("""COMPUTED_VALUE"""),"Man")</f>
        <v>Man</v>
      </c>
      <c r="H59" s="6"/>
      <c r="I59" s="6"/>
      <c r="J59" s="6"/>
      <c r="K59" s="6"/>
      <c r="L59" s="6" t="str">
        <f ca="1">IFERROR(__xludf.DUMMYFUNCTION("""COMPUTED_VALUE"""),"No")</f>
        <v>No</v>
      </c>
      <c r="M59" s="6"/>
      <c r="N59" s="6"/>
      <c r="O59" s="6" t="str">
        <f ca="1">IFERROR(__xludf.DUMMYFUNCTION("""COMPUTED_VALUE"""),"Email")</f>
        <v>Email</v>
      </c>
      <c r="P59" s="6"/>
      <c r="Q59" s="6" t="str">
        <f ca="1">IFERROR(__xludf.DUMMYFUNCTION("""COMPUTED_VALUE"""),"Yes|No")</f>
        <v>Yes|No</v>
      </c>
      <c r="R59" s="6">
        <f ca="1">IFERROR(__xludf.DUMMYFUNCTION("""COMPUTED_VALUE"""),2)</f>
        <v>2</v>
      </c>
      <c r="S59" s="6" t="str">
        <f ca="1">IFERROR(__xludf.DUMMYFUNCTION("""COMPUTED_VALUE"""),"Pre-seed")</f>
        <v>Pre-seed</v>
      </c>
      <c r="T59" s="6" t="str">
        <f ca="1">IFERROR(__xludf.DUMMYFUNCTION("""COMPUTED_VALUE"""),"Pre-seed")</f>
        <v>Pre-seed</v>
      </c>
      <c r="U59" s="6" t="str">
        <f ca="1">IFERROR(__xludf.DUMMYFUNCTION("""COMPUTED_VALUE"""),"Pre-seed")</f>
        <v>Pre-seed</v>
      </c>
      <c r="V59" s="6"/>
      <c r="W59" s="6" t="str">
        <f ca="1">IFERROR(__xludf.DUMMYFUNCTION("""COMPUTED_VALUE"""),"Invite Next Year")</f>
        <v>Invite Next Year</v>
      </c>
    </row>
    <row r="60" spans="1:23">
      <c r="A60" s="6" t="str">
        <f ca="1">IFERROR(__xludf.DUMMYFUNCTION("""COMPUTED_VALUE"""),"Woman, Man")</f>
        <v>Woman, Man</v>
      </c>
      <c r="B60" s="6" t="str">
        <f ca="1">IFERROR(__xludf.DUMMYFUNCTION("""COMPUTED_VALUE"""),"Assemble _2022")</f>
        <v>Assemble _2022</v>
      </c>
      <c r="C60" s="6" t="str">
        <f ca="1">IFERROR(__xludf.DUMMYFUNCTION("""COMPUTED_VALUE"""),"Digital Tech")</f>
        <v>Digital Tech</v>
      </c>
      <c r="D60" s="6" t="str">
        <f ca="1">IFERROR(__xludf.DUMMYFUNCTION("""COMPUTED_VALUE"""),"Brooklyn, New York")</f>
        <v>Brooklyn, New York</v>
      </c>
      <c r="E60" s="6" t="str">
        <f ca="1">IFERROR(__xludf.DUMMYFUNCTION("""COMPUTED_VALUE"""),"New York")</f>
        <v>New York</v>
      </c>
      <c r="F60" s="6" t="str">
        <f ca="1">IFERROR(__xludf.DUMMYFUNCTION("""COMPUTED_VALUE"""),"Woman")</f>
        <v>Woman</v>
      </c>
      <c r="G60" s="6" t="str">
        <f ca="1">IFERROR(__xludf.DUMMYFUNCTION("""COMPUTED_VALUE"""),"Man")</f>
        <v>Man</v>
      </c>
      <c r="H60" s="6"/>
      <c r="I60" s="6"/>
      <c r="J60" s="6"/>
      <c r="K60" s="6"/>
      <c r="L60" s="6" t="str">
        <f ca="1">IFERROR(__xludf.DUMMYFUNCTION("""COMPUTED_VALUE"""),"No")</f>
        <v>No</v>
      </c>
      <c r="M60" s="6"/>
      <c r="N60" s="6"/>
      <c r="O60" s="6" t="str">
        <f ca="1">IFERROR(__xludf.DUMMYFUNCTION("""COMPUTED_VALUE"""),"Email")</f>
        <v>Email</v>
      </c>
      <c r="P60" s="6"/>
      <c r="Q60" s="6" t="str">
        <f ca="1">IFERROR(__xludf.DUMMYFUNCTION("""COMPUTED_VALUE"""),"No")</f>
        <v>No</v>
      </c>
      <c r="R60" s="6">
        <f ca="1">IFERROR(__xludf.DUMMYFUNCTION("""COMPUTED_VALUE"""),2)</f>
        <v>2</v>
      </c>
      <c r="S60" s="6" t="str">
        <f ca="1">IFERROR(__xludf.DUMMYFUNCTION("""COMPUTED_VALUE"""),"None")</f>
        <v>None</v>
      </c>
      <c r="T60" s="6" t="str">
        <f ca="1">IFERROR(__xludf.DUMMYFUNCTION("""COMPUTED_VALUE"""),"None")</f>
        <v>None</v>
      </c>
      <c r="U60" s="6" t="str">
        <f ca="1">IFERROR(__xludf.DUMMYFUNCTION("""COMPUTED_VALUE"""),"None")</f>
        <v>None</v>
      </c>
      <c r="V60" s="6"/>
      <c r="W60" s="6" t="str">
        <f ca="1">IFERROR(__xludf.DUMMYFUNCTION("""COMPUTED_VALUE"""),"Invite Next Year")</f>
        <v>Invite Next Year</v>
      </c>
    </row>
    <row r="61" spans="1:23">
      <c r="A61" s="6" t="str">
        <f ca="1">IFERROR(__xludf.DUMMYFUNCTION("""COMPUTED_VALUE"""),"Man")</f>
        <v>Man</v>
      </c>
      <c r="B61" s="6" t="str">
        <f ca="1">IFERROR(__xludf.DUMMYFUNCTION("""COMPUTED_VALUE"""),"Vertikal X, Inc _2022")</f>
        <v>Vertikal X, Inc _2022</v>
      </c>
      <c r="C61" s="6" t="str">
        <f ca="1">IFERROR(__xludf.DUMMYFUNCTION("""COMPUTED_VALUE"""),"Digital Tech")</f>
        <v>Digital Tech</v>
      </c>
      <c r="D61" s="6" t="str">
        <f ca="1">IFERROR(__xludf.DUMMYFUNCTION("""COMPUTED_VALUE"""),"8121 Bee Cave Rd. #150 Austin Texas, United States")</f>
        <v>8121 Bee Cave Rd. #150 Austin Texas, United States</v>
      </c>
      <c r="E61" s="6" t="str">
        <f ca="1">IFERROR(__xludf.DUMMYFUNCTION("""COMPUTED_VALUE"""),"South")</f>
        <v>South</v>
      </c>
      <c r="F61" s="6" t="str">
        <f ca="1">IFERROR(__xludf.DUMMYFUNCTION("""COMPUTED_VALUE"""),"Man")</f>
        <v>Man</v>
      </c>
      <c r="G61" s="6"/>
      <c r="H61" s="6"/>
      <c r="I61" s="6"/>
      <c r="J61" s="6"/>
      <c r="K61" s="6"/>
      <c r="L61" s="6" t="str">
        <f ca="1">IFERROR(__xludf.DUMMYFUNCTION("""COMPUTED_VALUE"""),"No")</f>
        <v>No</v>
      </c>
      <c r="M61" s="6"/>
      <c r="N61" s="6"/>
      <c r="O61" s="6" t="str">
        <f ca="1">IFERROR(__xludf.DUMMYFUNCTION("""COMPUTED_VALUE"""),"Referral")</f>
        <v>Referral</v>
      </c>
      <c r="P61" s="6"/>
      <c r="Q61" s="6" t="str">
        <f ca="1">IFERROR(__xludf.DUMMYFUNCTION("""COMPUTED_VALUE"""),"No")</f>
        <v>No</v>
      </c>
      <c r="R61" s="6">
        <f ca="1">IFERROR(__xludf.DUMMYFUNCTION("""COMPUTED_VALUE"""),1)</f>
        <v>1</v>
      </c>
      <c r="S61" s="6" t="str">
        <f ca="1">IFERROR(__xludf.DUMMYFUNCTION("""COMPUTED_VALUE"""),"Other: Bootstrapping")</f>
        <v>Other: Bootstrapping</v>
      </c>
      <c r="T61" s="6" t="str">
        <f ca="1">IFERROR(__xludf.DUMMYFUNCTION("""COMPUTED_VALUE"""),"Other: Bootstrapping")</f>
        <v>Other: Bootstrapping</v>
      </c>
      <c r="U61" s="6" t="str">
        <f ca="1">IFERROR(__xludf.DUMMYFUNCTION("""COMPUTED_VALUE"""),"Bootstrapping")</f>
        <v>Bootstrapping</v>
      </c>
      <c r="V61" s="6"/>
      <c r="W61" s="6" t="str">
        <f ca="1">IFERROR(__xludf.DUMMYFUNCTION("""COMPUTED_VALUE"""),"Invite Next Year")</f>
        <v>Invite Next Year</v>
      </c>
    </row>
    <row r="62" spans="1:23">
      <c r="A62" s="6" t="str">
        <f ca="1">IFERROR(__xludf.DUMMYFUNCTION("""COMPUTED_VALUE"""),"Man, Man, Man, Man")</f>
        <v>Man, Man, Man, Man</v>
      </c>
      <c r="B62" s="6" t="str">
        <f ca="1">IFERROR(__xludf.DUMMYFUNCTION("""COMPUTED_VALUE"""),"Surplusmap AS _2022")</f>
        <v>Surplusmap AS _2022</v>
      </c>
      <c r="C62" s="6" t="str">
        <f ca="1">IFERROR(__xludf.DUMMYFUNCTION("""COMPUTED_VALUE"""),"Deep Tech")</f>
        <v>Deep Tech</v>
      </c>
      <c r="D62" s="6" t="str">
        <f ca="1">IFERROR(__xludf.DUMMYFUNCTION("""COMPUTED_VALUE"""),"Apoteker Gate 10 Spaces 0180, Oslo")</f>
        <v>Apoteker Gate 10 Spaces 0180, Oslo</v>
      </c>
      <c r="E62" s="6" t="str">
        <f ca="1">IFERROR(__xludf.DUMMYFUNCTION("""COMPUTED_VALUE"""),"International - Europe")</f>
        <v>International - Europe</v>
      </c>
      <c r="F62" s="6" t="str">
        <f ca="1">IFERROR(__xludf.DUMMYFUNCTION("""COMPUTED_VALUE"""),"Man")</f>
        <v>Man</v>
      </c>
      <c r="G62" s="6" t="str">
        <f ca="1">IFERROR(__xludf.DUMMYFUNCTION("""COMPUTED_VALUE"""),"Man")</f>
        <v>Man</v>
      </c>
      <c r="H62" s="6" t="str">
        <f ca="1">IFERROR(__xludf.DUMMYFUNCTION("""COMPUTED_VALUE"""),"Man")</f>
        <v>Man</v>
      </c>
      <c r="I62" s="6" t="str">
        <f ca="1">IFERROR(__xludf.DUMMYFUNCTION("""COMPUTED_VALUE"""),"Man")</f>
        <v>Man</v>
      </c>
      <c r="J62" s="6"/>
      <c r="K62" s="6"/>
      <c r="L62" s="6" t="str">
        <f ca="1">IFERROR(__xludf.DUMMYFUNCTION("""COMPUTED_VALUE"""),"No")</f>
        <v>No</v>
      </c>
      <c r="M62" s="6"/>
      <c r="N62" s="6"/>
      <c r="O62" s="6" t="str">
        <f ca="1">IFERROR(__xludf.DUMMYFUNCTION("""COMPUTED_VALUE"""),"Other")</f>
        <v>Other</v>
      </c>
      <c r="P62" s="6" t="str">
        <f ca="1">IFERROR(__xludf.DUMMYFUNCTION("""COMPUTED_VALUE"""),"You reached out to us")</f>
        <v>You reached out to us</v>
      </c>
      <c r="Q62" s="6" t="str">
        <f ca="1">IFERROR(__xludf.DUMMYFUNCTION("""COMPUTED_VALUE"""),"No")</f>
        <v>No</v>
      </c>
      <c r="R62" s="6">
        <f ca="1">IFERROR(__xludf.DUMMYFUNCTION("""COMPUTED_VALUE"""),4)</f>
        <v>4</v>
      </c>
      <c r="S62" s="6" t="str">
        <f ca="1">IFERROR(__xludf.DUMMYFUNCTION("""COMPUTED_VALUE"""),"Pre-seed|Grants|Other: Price money from EUSPA EUR 10 000")</f>
        <v>Pre-seed|Grants|Other: Price money from EUSPA EUR 10 000</v>
      </c>
      <c r="T62" s="6" t="str">
        <f ca="1">IFERROR(__xludf.DUMMYFUNCTION("""COMPUTED_VALUE"""),"Pre-seed, Grants, Other: Price money from EUSPA EUR 10 000")</f>
        <v>Pre-seed, Grants, Other: Price money from EUSPA EUR 10 000</v>
      </c>
      <c r="U62" s="6" t="str">
        <f ca="1">IFERROR(__xludf.DUMMYFUNCTION("""COMPUTED_VALUE"""),"Pre-seed, Grants, ")</f>
        <v xml:space="preserve">Pre-seed, Grants, </v>
      </c>
      <c r="V62" s="6" t="str">
        <f ca="1">IFERROR(__xludf.DUMMYFUNCTION("""COMPUTED_VALUE"""),"Price money from EUSPA EUR 10 000")</f>
        <v>Price money from EUSPA EUR 10 000</v>
      </c>
      <c r="W62" s="6" t="str">
        <f ca="1">IFERROR(__xludf.DUMMYFUNCTION("""COMPUTED_VALUE"""),"Invite Next Year")</f>
        <v>Invite Next Year</v>
      </c>
    </row>
    <row r="63" spans="1:23">
      <c r="A63" s="6" t="str">
        <f ca="1">IFERROR(__xludf.DUMMYFUNCTION("""COMPUTED_VALUE"""),"Man, Man")</f>
        <v>Man, Man</v>
      </c>
      <c r="B63" s="6" t="str">
        <f ca="1">IFERROR(__xludf.DUMMYFUNCTION("""COMPUTED_VALUE"""),"AirMid Critical Care Products, Inc. _2022")</f>
        <v>AirMid Critical Care Products, Inc. _2022</v>
      </c>
      <c r="C63" s="6" t="str">
        <f ca="1">IFERROR(__xludf.DUMMYFUNCTION("""COMPUTED_VALUE"""),"Deep Tech")</f>
        <v>Deep Tech</v>
      </c>
      <c r="D63" s="6" t="str">
        <f ca="1">IFERROR(__xludf.DUMMYFUNCTION("""COMPUTED_VALUE"""),"1140 3rd Street NE, Suite 200, District of Columbia")</f>
        <v>1140 3rd Street NE, Suite 200, District of Columbia</v>
      </c>
      <c r="E63" s="6" t="str">
        <f ca="1">IFERROR(__xludf.DUMMYFUNCTION("""COMPUTED_VALUE"""),"East Coast")</f>
        <v>East Coast</v>
      </c>
      <c r="F63" s="6" t="str">
        <f ca="1">IFERROR(__xludf.DUMMYFUNCTION("""COMPUTED_VALUE"""),"Man")</f>
        <v>Man</v>
      </c>
      <c r="G63" s="6" t="str">
        <f ca="1">IFERROR(__xludf.DUMMYFUNCTION("""COMPUTED_VALUE"""),"Man")</f>
        <v>Man</v>
      </c>
      <c r="H63" s="6"/>
      <c r="I63" s="6"/>
      <c r="J63" s="6"/>
      <c r="K63" s="6"/>
      <c r="L63" s="6" t="str">
        <f ca="1">IFERROR(__xludf.DUMMYFUNCTION("""COMPUTED_VALUE"""),"No")</f>
        <v>No</v>
      </c>
      <c r="M63" s="6"/>
      <c r="N63" s="6"/>
      <c r="O63" s="6" t="str">
        <f ca="1">IFERROR(__xludf.DUMMYFUNCTION("""COMPUTED_VALUE"""),"Referral")</f>
        <v>Referral</v>
      </c>
      <c r="P63" s="6"/>
      <c r="Q63" s="6" t="str">
        <f ca="1">IFERROR(__xludf.DUMMYFUNCTION("""COMPUTED_VALUE"""),"No")</f>
        <v>No</v>
      </c>
      <c r="R63" s="6">
        <f ca="1">IFERROR(__xludf.DUMMYFUNCTION("""COMPUTED_VALUE"""),2)</f>
        <v>2</v>
      </c>
      <c r="S63" s="6" t="str">
        <f ca="1">IFERROR(__xludf.DUMMYFUNCTION("""COMPUTED_VALUE"""),"Pre-seed|Seed")</f>
        <v>Pre-seed|Seed</v>
      </c>
      <c r="T63" s="6" t="str">
        <f ca="1">IFERROR(__xludf.DUMMYFUNCTION("""COMPUTED_VALUE"""),"Pre-seed, Seed")</f>
        <v>Pre-seed, Seed</v>
      </c>
      <c r="U63" s="6" t="str">
        <f ca="1">IFERROR(__xludf.DUMMYFUNCTION("""COMPUTED_VALUE"""),"Pre-seed, Seed")</f>
        <v>Pre-seed, Seed</v>
      </c>
      <c r="V63" s="6"/>
      <c r="W63" s="6" t="str">
        <f ca="1">IFERROR(__xludf.DUMMYFUNCTION("""COMPUTED_VALUE"""),"Invite Next Year")</f>
        <v>Invite Next Year</v>
      </c>
    </row>
    <row r="64" spans="1:23">
      <c r="A64" s="6" t="str">
        <f ca="1">IFERROR(__xludf.DUMMYFUNCTION("""COMPUTED_VALUE"""),"Man, Man, Man")</f>
        <v>Man, Man, Man</v>
      </c>
      <c r="B64" s="6" t="str">
        <f ca="1">IFERROR(__xludf.DUMMYFUNCTION("""COMPUTED_VALUE"""),"Sustain Group Holdings LLC _2022")</f>
        <v>Sustain Group Holdings LLC _2022</v>
      </c>
      <c r="C64" s="6" t="str">
        <f ca="1">IFERROR(__xludf.DUMMYFUNCTION("""COMPUTED_VALUE"""),"Digital Tech")</f>
        <v>Digital Tech</v>
      </c>
      <c r="D64" s="6" t="str">
        <f ca="1">IFERROR(__xludf.DUMMYFUNCTION("""COMPUTED_VALUE"""),"Amherst, MA 
United States")</f>
        <v>Amherst, MA 
United States</v>
      </c>
      <c r="E64" s="6" t="str">
        <f ca="1">IFERROR(__xludf.DUMMYFUNCTION("""COMPUTED_VALUE"""),"East Coast")</f>
        <v>East Coast</v>
      </c>
      <c r="F64" s="6" t="str">
        <f ca="1">IFERROR(__xludf.DUMMYFUNCTION("""COMPUTED_VALUE"""),"Man")</f>
        <v>Man</v>
      </c>
      <c r="G64" s="6" t="str">
        <f ca="1">IFERROR(__xludf.DUMMYFUNCTION("""COMPUTED_VALUE"""),"Man")</f>
        <v>Man</v>
      </c>
      <c r="H64" s="6" t="str">
        <f ca="1">IFERROR(__xludf.DUMMYFUNCTION("""COMPUTED_VALUE"""),"Man")</f>
        <v>Man</v>
      </c>
      <c r="I64" s="6"/>
      <c r="J64" s="6"/>
      <c r="K64" s="6"/>
      <c r="L64" s="6" t="str">
        <f ca="1">IFERROR(__xludf.DUMMYFUNCTION("""COMPUTED_VALUE"""),"Yes")</f>
        <v>Yes</v>
      </c>
      <c r="M64" s="6" t="str">
        <f ca="1">IFERROR(__xludf.DUMMYFUNCTION("""COMPUTED_VALUE"""),"Former NYU Fellow/Faculty/Staff")</f>
        <v>Former NYU Fellow/Faculty/Staff</v>
      </c>
      <c r="N64" s="6"/>
      <c r="O64" s="6" t="str">
        <f ca="1">IFERROR(__xludf.DUMMYFUNCTION("""COMPUTED_VALUE"""),"Referral")</f>
        <v>Referral</v>
      </c>
      <c r="P64" s="6"/>
      <c r="Q64" s="6" t="str">
        <f ca="1">IFERROR(__xludf.DUMMYFUNCTION("""COMPUTED_VALUE"""),"No")</f>
        <v>No</v>
      </c>
      <c r="R64" s="6">
        <f ca="1">IFERROR(__xludf.DUMMYFUNCTION("""COMPUTED_VALUE"""),3)</f>
        <v>3</v>
      </c>
      <c r="S64" s="6" t="str">
        <f ca="1">IFERROR(__xludf.DUMMYFUNCTION("""COMPUTED_VALUE"""),"Pre-seed")</f>
        <v>Pre-seed</v>
      </c>
      <c r="T64" s="6" t="str">
        <f ca="1">IFERROR(__xludf.DUMMYFUNCTION("""COMPUTED_VALUE"""),"Pre-seed")</f>
        <v>Pre-seed</v>
      </c>
      <c r="U64" s="6" t="str">
        <f ca="1">IFERROR(__xludf.DUMMYFUNCTION("""COMPUTED_VALUE"""),"Pre-seed")</f>
        <v>Pre-seed</v>
      </c>
      <c r="V64" s="6"/>
      <c r="W64" s="6" t="str">
        <f ca="1">IFERROR(__xludf.DUMMYFUNCTION("""COMPUTED_VALUE"""),"Invite")</f>
        <v>Invite</v>
      </c>
    </row>
    <row r="65" spans="1:23">
      <c r="A65" s="6" t="str">
        <f ca="1">IFERROR(__xludf.DUMMYFUNCTION("""COMPUTED_VALUE"""),"Man, Man, Man")</f>
        <v>Man, Man, Man</v>
      </c>
      <c r="B65" s="6" t="str">
        <f ca="1">IFERROR(__xludf.DUMMYFUNCTION("""COMPUTED_VALUE"""),"Coflow Jet, LLC _2022")</f>
        <v>Coflow Jet, LLC _2022</v>
      </c>
      <c r="C65" s="6" t="str">
        <f ca="1">IFERROR(__xludf.DUMMYFUNCTION("""COMPUTED_VALUE"""),"Deep Tech")</f>
        <v>Deep Tech</v>
      </c>
      <c r="D65" s="6" t="str">
        <f ca="1">IFERROR(__xludf.DUMMYFUNCTION("""COMPUTED_VALUE"""),"22231 SW 92nd PL, Miami, FL 
United States")</f>
        <v>22231 SW 92nd PL, Miami, FL 
United States</v>
      </c>
      <c r="E65" s="6" t="str">
        <f ca="1">IFERROR(__xludf.DUMMYFUNCTION("""COMPUTED_VALUE"""),"East Coast")</f>
        <v>East Coast</v>
      </c>
      <c r="F65" s="6" t="str">
        <f ca="1">IFERROR(__xludf.DUMMYFUNCTION("""COMPUTED_VALUE"""),"Man")</f>
        <v>Man</v>
      </c>
      <c r="G65" s="6" t="str">
        <f ca="1">IFERROR(__xludf.DUMMYFUNCTION("""COMPUTED_VALUE"""),"Man")</f>
        <v>Man</v>
      </c>
      <c r="H65" s="6" t="str">
        <f ca="1">IFERROR(__xludf.DUMMYFUNCTION("""COMPUTED_VALUE"""),"Man")</f>
        <v>Man</v>
      </c>
      <c r="I65" s="6"/>
      <c r="J65" s="6"/>
      <c r="K65" s="6"/>
      <c r="L65" s="6" t="str">
        <f ca="1">IFERROR(__xludf.DUMMYFUNCTION("""COMPUTED_VALUE"""),"No")</f>
        <v>No</v>
      </c>
      <c r="M65" s="6"/>
      <c r="N65" s="6"/>
      <c r="O65" s="6" t="str">
        <f ca="1">IFERROR(__xludf.DUMMYFUNCTION("""COMPUTED_VALUE"""),"Other")</f>
        <v>Other</v>
      </c>
      <c r="P65" s="6"/>
      <c r="Q65" s="6" t="str">
        <f ca="1">IFERROR(__xludf.DUMMYFUNCTION("""COMPUTED_VALUE"""),"Yes")</f>
        <v>Yes</v>
      </c>
      <c r="R65" s="6">
        <f ca="1">IFERROR(__xludf.DUMMYFUNCTION("""COMPUTED_VALUE"""),3)</f>
        <v>3</v>
      </c>
      <c r="S65" s="6" t="str">
        <f ca="1">IFERROR(__xludf.DUMMYFUNCTION("""COMPUTED_VALUE"""),"Pre-seed")</f>
        <v>Pre-seed</v>
      </c>
      <c r="T65" s="6" t="str">
        <f ca="1">IFERROR(__xludf.DUMMYFUNCTION("""COMPUTED_VALUE"""),"Pre-seed")</f>
        <v>Pre-seed</v>
      </c>
      <c r="U65" s="6" t="str">
        <f ca="1">IFERROR(__xludf.DUMMYFUNCTION("""COMPUTED_VALUE"""),"Pre-seed")</f>
        <v>Pre-seed</v>
      </c>
      <c r="V65" s="6"/>
      <c r="W65" s="6" t="str">
        <f ca="1">IFERROR(__xludf.DUMMYFUNCTION("""COMPUTED_VALUE"""),"Invite")</f>
        <v>Invite</v>
      </c>
    </row>
    <row r="66" spans="1:23">
      <c r="A66" s="6" t="str">
        <f ca="1">IFERROR(__xludf.DUMMYFUNCTION("""COMPUTED_VALUE"""),"Man")</f>
        <v>Man</v>
      </c>
      <c r="B66" s="6" t="str">
        <f ca="1">IFERROR(__xludf.DUMMYFUNCTION("""COMPUTED_VALUE"""),"Efani Secure Mobile _2022")</f>
        <v>Efani Secure Mobile _2022</v>
      </c>
      <c r="C66" s="6" t="str">
        <f ca="1">IFERROR(__xludf.DUMMYFUNCTION("""COMPUTED_VALUE"""),"Digital Tech")</f>
        <v>Digital Tech</v>
      </c>
      <c r="D66" s="6" t="str">
        <f ca="1">IFERROR(__xludf.DUMMYFUNCTION("""COMPUTED_VALUE"""),"San Francisco, CA 
United States")</f>
        <v>San Francisco, CA 
United States</v>
      </c>
      <c r="E66" s="6" t="str">
        <f ca="1">IFERROR(__xludf.DUMMYFUNCTION("""COMPUTED_VALUE"""),"West Coast")</f>
        <v>West Coast</v>
      </c>
      <c r="F66" s="6" t="str">
        <f ca="1">IFERROR(__xludf.DUMMYFUNCTION("""COMPUTED_VALUE"""),"Man")</f>
        <v>Man</v>
      </c>
      <c r="G66" s="6"/>
      <c r="H66" s="6"/>
      <c r="I66" s="6"/>
      <c r="J66" s="6"/>
      <c r="K66" s="6"/>
      <c r="L66" s="6" t="str">
        <f ca="1">IFERROR(__xludf.DUMMYFUNCTION("""COMPUTED_VALUE"""),"No")</f>
        <v>No</v>
      </c>
      <c r="M66" s="6"/>
      <c r="N66" s="6"/>
      <c r="O66" s="6" t="str">
        <f ca="1">IFERROR(__xludf.DUMMYFUNCTION("""COMPUTED_VALUE"""),"Referral")</f>
        <v>Referral</v>
      </c>
      <c r="P66" s="6"/>
      <c r="Q66" s="6" t="str">
        <f ca="1">IFERROR(__xludf.DUMMYFUNCTION("""COMPUTED_VALUE"""),"No")</f>
        <v>No</v>
      </c>
      <c r="R66" s="6">
        <f ca="1">IFERROR(__xludf.DUMMYFUNCTION("""COMPUTED_VALUE"""),1)</f>
        <v>1</v>
      </c>
      <c r="S66" s="6" t="str">
        <f ca="1">IFERROR(__xludf.DUMMYFUNCTION("""COMPUTED_VALUE"""),"Seed")</f>
        <v>Seed</v>
      </c>
      <c r="T66" s="6" t="str">
        <f ca="1">IFERROR(__xludf.DUMMYFUNCTION("""COMPUTED_VALUE"""),"Seed")</f>
        <v>Seed</v>
      </c>
      <c r="U66" s="6" t="str">
        <f ca="1">IFERROR(__xludf.DUMMYFUNCTION("""COMPUTED_VALUE"""),"Seed")</f>
        <v>Seed</v>
      </c>
      <c r="V66" s="6"/>
      <c r="W66" s="6" t="str">
        <f ca="1">IFERROR(__xludf.DUMMYFUNCTION("""COMPUTED_VALUE"""),"Invite")</f>
        <v>Invite</v>
      </c>
    </row>
    <row r="67" spans="1:23">
      <c r="A67" s="6" t="str">
        <f ca="1">IFERROR(__xludf.DUMMYFUNCTION("""COMPUTED_VALUE"""),"Man, Man, Man")</f>
        <v>Man, Man, Man</v>
      </c>
      <c r="B67" s="6" t="str">
        <f ca="1">IFERROR(__xludf.DUMMYFUNCTION("""COMPUTED_VALUE"""),"Spiritory GmbH _2022")</f>
        <v>Spiritory GmbH _2022</v>
      </c>
      <c r="C67" s="6" t="str">
        <f ca="1">IFERROR(__xludf.DUMMYFUNCTION("""COMPUTED_VALUE"""),"Digital Tech")</f>
        <v>Digital Tech</v>
      </c>
      <c r="D67" s="6" t="str">
        <f ca="1">IFERROR(__xludf.DUMMYFUNCTION("""COMPUTED_VALUE"""),"Munich, Bavaria 
Germany")</f>
        <v>Munich, Bavaria 
Germany</v>
      </c>
      <c r="E67" s="6" t="str">
        <f ca="1">IFERROR(__xludf.DUMMYFUNCTION("""COMPUTED_VALUE"""),"International - Europe")</f>
        <v>International - Europe</v>
      </c>
      <c r="F67" s="6" t="str">
        <f ca="1">IFERROR(__xludf.DUMMYFUNCTION("""COMPUTED_VALUE"""),"Man")</f>
        <v>Man</v>
      </c>
      <c r="G67" s="6" t="str">
        <f ca="1">IFERROR(__xludf.DUMMYFUNCTION("""COMPUTED_VALUE"""),"Man")</f>
        <v>Man</v>
      </c>
      <c r="H67" s="6" t="str">
        <f ca="1">IFERROR(__xludf.DUMMYFUNCTION("""COMPUTED_VALUE"""),"Man")</f>
        <v>Man</v>
      </c>
      <c r="I67" s="6"/>
      <c r="J67" s="6"/>
      <c r="K67" s="6"/>
      <c r="L67" s="6" t="str">
        <f ca="1">IFERROR(__xludf.DUMMYFUNCTION("""COMPUTED_VALUE"""),"--Please select--")</f>
        <v>--Please select--</v>
      </c>
      <c r="M67" s="6"/>
      <c r="N67" s="6"/>
      <c r="O67" s="6" t="str">
        <f ca="1">IFERROR(__xludf.DUMMYFUNCTION("""COMPUTED_VALUE"""),"Email")</f>
        <v>Email</v>
      </c>
      <c r="P67" s="6"/>
      <c r="Q67" s="6" t="str">
        <f ca="1">IFERROR(__xludf.DUMMYFUNCTION("""COMPUTED_VALUE"""),"No")</f>
        <v>No</v>
      </c>
      <c r="R67" s="6">
        <f ca="1">IFERROR(__xludf.DUMMYFUNCTION("""COMPUTED_VALUE"""),3)</f>
        <v>3</v>
      </c>
      <c r="S67" s="6" t="str">
        <f ca="1">IFERROR(__xludf.DUMMYFUNCTION("""COMPUTED_VALUE"""),"None")</f>
        <v>None</v>
      </c>
      <c r="T67" s="6" t="str">
        <f ca="1">IFERROR(__xludf.DUMMYFUNCTION("""COMPUTED_VALUE"""),"None")</f>
        <v>None</v>
      </c>
      <c r="U67" s="6" t="str">
        <f ca="1">IFERROR(__xludf.DUMMYFUNCTION("""COMPUTED_VALUE"""),"None")</f>
        <v>None</v>
      </c>
      <c r="V67" s="6"/>
      <c r="W67" s="6" t="str">
        <f ca="1">IFERROR(__xludf.DUMMYFUNCTION("""COMPUTED_VALUE"""),"Invite Next Year")</f>
        <v>Invite Next Year</v>
      </c>
    </row>
    <row r="68" spans="1:23">
      <c r="A68" s="6" t="str">
        <f ca="1">IFERROR(__xludf.DUMMYFUNCTION("""COMPUTED_VALUE"""),"Woman, Man")</f>
        <v>Woman, Man</v>
      </c>
      <c r="B68" s="6" t="str">
        <f ca="1">IFERROR(__xludf.DUMMYFUNCTION("""COMPUTED_VALUE"""),"ChargeHorizons _2022")</f>
        <v>ChargeHorizons _2022</v>
      </c>
      <c r="C68" s="6" t="str">
        <f ca="1">IFERROR(__xludf.DUMMYFUNCTION("""COMPUTED_VALUE"""),"Deep Tech")</f>
        <v>Deep Tech</v>
      </c>
      <c r="D68" s="6" t="str">
        <f ca="1">IFERROR(__xludf.DUMMYFUNCTION("""COMPUTED_VALUE"""),"Dresden, Saxony 
Germany")</f>
        <v>Dresden, Saxony 
Germany</v>
      </c>
      <c r="E68" s="6" t="str">
        <f ca="1">IFERROR(__xludf.DUMMYFUNCTION("""COMPUTED_VALUE"""),"International - Europe")</f>
        <v>International - Europe</v>
      </c>
      <c r="F68" s="6" t="str">
        <f ca="1">IFERROR(__xludf.DUMMYFUNCTION("""COMPUTED_VALUE"""),"Woman")</f>
        <v>Woman</v>
      </c>
      <c r="G68" s="6" t="str">
        <f ca="1">IFERROR(__xludf.DUMMYFUNCTION("""COMPUTED_VALUE"""),"Man")</f>
        <v>Man</v>
      </c>
      <c r="H68" s="6"/>
      <c r="I68" s="6"/>
      <c r="J68" s="6"/>
      <c r="K68" s="6"/>
      <c r="L68" s="6" t="str">
        <f ca="1">IFERROR(__xludf.DUMMYFUNCTION("""COMPUTED_VALUE"""),"No")</f>
        <v>No</v>
      </c>
      <c r="M68" s="6"/>
      <c r="N68" s="6"/>
      <c r="O68" s="6" t="str">
        <f ca="1">IFERROR(__xludf.DUMMYFUNCTION("""COMPUTED_VALUE"""),"Email")</f>
        <v>Email</v>
      </c>
      <c r="P68" s="6"/>
      <c r="Q68" s="6" t="str">
        <f ca="1">IFERROR(__xludf.DUMMYFUNCTION("""COMPUTED_VALUE"""),"No")</f>
        <v>No</v>
      </c>
      <c r="R68" s="6">
        <f ca="1">IFERROR(__xludf.DUMMYFUNCTION("""COMPUTED_VALUE"""),2)</f>
        <v>2</v>
      </c>
      <c r="S68" s="6" t="str">
        <f ca="1">IFERROR(__xludf.DUMMYFUNCTION("""COMPUTED_VALUE"""),"Seed")</f>
        <v>Seed</v>
      </c>
      <c r="T68" s="6" t="str">
        <f ca="1">IFERROR(__xludf.DUMMYFUNCTION("""COMPUTED_VALUE"""),"Seed")</f>
        <v>Seed</v>
      </c>
      <c r="U68" s="6" t="str">
        <f ca="1">IFERROR(__xludf.DUMMYFUNCTION("""COMPUTED_VALUE"""),"Seed")</f>
        <v>Seed</v>
      </c>
      <c r="V68" s="6"/>
      <c r="W68" s="6" t="str">
        <f ca="1">IFERROR(__xludf.DUMMYFUNCTION("""COMPUTED_VALUE"""),"Invite Next Year")</f>
        <v>Invite Next Year</v>
      </c>
    </row>
    <row r="69" spans="1:23">
      <c r="A69" s="6" t="str">
        <f ca="1">IFERROR(__xludf.DUMMYFUNCTION("""COMPUTED_VALUE"""),"Man, Man, Woman")</f>
        <v>Man, Man, Woman</v>
      </c>
      <c r="B69" s="6" t="str">
        <f ca="1">IFERROR(__xludf.DUMMYFUNCTION("""COMPUTED_VALUE"""),"Southern Dairy Products _2022")</f>
        <v>Southern Dairy Products _2022</v>
      </c>
      <c r="C69" s="6" t="str">
        <f ca="1">IFERROR(__xludf.DUMMYFUNCTION("""COMPUTED_VALUE"""),"Life Sciences")</f>
        <v>Life Sciences</v>
      </c>
      <c r="D69" s="6" t="str">
        <f ca="1">IFERROR(__xludf.DUMMYFUNCTION("""COMPUTED_VALUE"""),"P..O. Box 841, Blantyre, Southern Region 
Malawi")</f>
        <v>P..O. Box 841, Blantyre, Southern Region 
Malawi</v>
      </c>
      <c r="E69" s="6" t="str">
        <f ca="1">IFERROR(__xludf.DUMMYFUNCTION("""COMPUTED_VALUE"""),"International - Other")</f>
        <v>International - Other</v>
      </c>
      <c r="F69" s="6" t="str">
        <f ca="1">IFERROR(__xludf.DUMMYFUNCTION("""COMPUTED_VALUE"""),"Man")</f>
        <v>Man</v>
      </c>
      <c r="G69" s="6" t="str">
        <f ca="1">IFERROR(__xludf.DUMMYFUNCTION("""COMPUTED_VALUE"""),"Man")</f>
        <v>Man</v>
      </c>
      <c r="H69" s="6" t="str">
        <f ca="1">IFERROR(__xludf.DUMMYFUNCTION("""COMPUTED_VALUE"""),"Woman")</f>
        <v>Woman</v>
      </c>
      <c r="I69" s="6"/>
      <c r="J69" s="6"/>
      <c r="K69" s="6"/>
      <c r="L69" s="6" t="str">
        <f ca="1">IFERROR(__xludf.DUMMYFUNCTION("""COMPUTED_VALUE"""),"No")</f>
        <v>No</v>
      </c>
      <c r="M69" s="6"/>
      <c r="N69" s="6"/>
      <c r="O69" s="6" t="str">
        <f ca="1">IFERROR(__xludf.DUMMYFUNCTION("""COMPUTED_VALUE"""),"A web posting")</f>
        <v>A web posting</v>
      </c>
      <c r="P69" s="6"/>
      <c r="Q69" s="6" t="str">
        <f ca="1">IFERROR(__xludf.DUMMYFUNCTION("""COMPUTED_VALUE"""),"No")</f>
        <v>No</v>
      </c>
      <c r="R69" s="6">
        <f ca="1">IFERROR(__xludf.DUMMYFUNCTION("""COMPUTED_VALUE"""),3)</f>
        <v>3</v>
      </c>
      <c r="S69" s="6" t="str">
        <f ca="1">IFERROR(__xludf.DUMMYFUNCTION("""COMPUTED_VALUE"""),"Pre-seed")</f>
        <v>Pre-seed</v>
      </c>
      <c r="T69" s="6" t="str">
        <f ca="1">IFERROR(__xludf.DUMMYFUNCTION("""COMPUTED_VALUE"""),"Pre-seed")</f>
        <v>Pre-seed</v>
      </c>
      <c r="U69" s="6" t="str">
        <f ca="1">IFERROR(__xludf.DUMMYFUNCTION("""COMPUTED_VALUE"""),"Pre-seed")</f>
        <v>Pre-seed</v>
      </c>
      <c r="V69" s="6"/>
      <c r="W69" s="6" t="str">
        <f ca="1">IFERROR(__xludf.DUMMYFUNCTION("""COMPUTED_VALUE"""),"Invite Next Year")</f>
        <v>Invite Next Year</v>
      </c>
    </row>
    <row r="70" spans="1:23">
      <c r="A70" s="6" t="str">
        <f ca="1">IFERROR(__xludf.DUMMYFUNCTION("""COMPUTED_VALUE"""),"Man, Man")</f>
        <v>Man, Man</v>
      </c>
      <c r="B70" s="6" t="str">
        <f ca="1">IFERROR(__xludf.DUMMYFUNCTION("""COMPUTED_VALUE"""),"Linshom Medical, Inc. _2022")</f>
        <v>Linshom Medical, Inc. _2022</v>
      </c>
      <c r="C70" s="6" t="str">
        <f ca="1">IFERROR(__xludf.DUMMYFUNCTION("""COMPUTED_VALUE"""),"Deep Tech")</f>
        <v>Deep Tech</v>
      </c>
      <c r="D70" s="6" t="str">
        <f ca="1">IFERROR(__xludf.DUMMYFUNCTION("""COMPUTED_VALUE"""),"1997 Annapolis Exchange, Suite 300, MD 
United States")</f>
        <v>1997 Annapolis Exchange, Suite 300, MD 
United States</v>
      </c>
      <c r="E70" s="6" t="str">
        <f ca="1">IFERROR(__xludf.DUMMYFUNCTION("""COMPUTED_VALUE"""),"East Coast")</f>
        <v>East Coast</v>
      </c>
      <c r="F70" s="6" t="str">
        <f ca="1">IFERROR(__xludf.DUMMYFUNCTION("""COMPUTED_VALUE"""),"Man")</f>
        <v>Man</v>
      </c>
      <c r="G70" s="6" t="str">
        <f ca="1">IFERROR(__xludf.DUMMYFUNCTION("""COMPUTED_VALUE"""),"Man")</f>
        <v>Man</v>
      </c>
      <c r="H70" s="6"/>
      <c r="I70" s="6"/>
      <c r="J70" s="6"/>
      <c r="K70" s="6"/>
      <c r="L70" s="6" t="str">
        <f ca="1">IFERROR(__xludf.DUMMYFUNCTION("""COMPUTED_VALUE"""),"No")</f>
        <v>No</v>
      </c>
      <c r="M70" s="6"/>
      <c r="N70" s="6"/>
      <c r="O70" s="6" t="str">
        <f ca="1">IFERROR(__xludf.DUMMYFUNCTION("""COMPUTED_VALUE"""),"Referral")</f>
        <v>Referral</v>
      </c>
      <c r="P70" s="6"/>
      <c r="Q70" s="6" t="str">
        <f ca="1">IFERROR(__xludf.DUMMYFUNCTION("""COMPUTED_VALUE"""),"No")</f>
        <v>No</v>
      </c>
      <c r="R70" s="6">
        <f ca="1">IFERROR(__xludf.DUMMYFUNCTION("""COMPUTED_VALUE"""),2)</f>
        <v>2</v>
      </c>
      <c r="S70" s="6" t="str">
        <f ca="1">IFERROR(__xludf.DUMMYFUNCTION("""COMPUTED_VALUE"""),"Pre-seed
Seed
Grants")</f>
        <v>Pre-seed
Seed
Grants</v>
      </c>
      <c r="T70" s="6" t="str">
        <f ca="1">IFERROR(__xludf.DUMMYFUNCTION("""COMPUTED_VALUE"""),"Pre-seed, Seed, Grants")</f>
        <v>Pre-seed, Seed, Grants</v>
      </c>
      <c r="U70" s="6" t="str">
        <f ca="1">IFERROR(__xludf.DUMMYFUNCTION("""COMPUTED_VALUE"""),"Pre-seed, Seed, Grants")</f>
        <v>Pre-seed, Seed, Grants</v>
      </c>
      <c r="V70" s="6"/>
      <c r="W70" s="6" t="str">
        <f ca="1">IFERROR(__xludf.DUMMYFUNCTION("""COMPUTED_VALUE"""),"Invite Next Year")</f>
        <v>Invite Next Year</v>
      </c>
    </row>
    <row r="71" spans="1:23">
      <c r="A71" s="6" t="str">
        <f ca="1">IFERROR(__xludf.DUMMYFUNCTION("""COMPUTED_VALUE"""),"Man, Man")</f>
        <v>Man, Man</v>
      </c>
      <c r="B71" s="6" t="str">
        <f ca="1">IFERROR(__xludf.DUMMYFUNCTION("""COMPUTED_VALUE"""),"Bidmii _2022")</f>
        <v>Bidmii _2022</v>
      </c>
      <c r="C71" s="6" t="str">
        <f ca="1">IFERROR(__xludf.DUMMYFUNCTION("""COMPUTED_VALUE"""),"Digital Tech")</f>
        <v>Digital Tech</v>
      </c>
      <c r="D71" s="6" t="str">
        <f ca="1">IFERROR(__xludf.DUMMYFUNCTION("""COMPUTED_VALUE"""),"Toronto, Ontario 
Canada")</f>
        <v>Toronto, Ontario 
Canada</v>
      </c>
      <c r="E71" s="6" t="str">
        <f ca="1">IFERROR(__xludf.DUMMYFUNCTION("""COMPUTED_VALUE"""),"International - Americas")</f>
        <v>International - Americas</v>
      </c>
      <c r="F71" s="6" t="str">
        <f ca="1">IFERROR(__xludf.DUMMYFUNCTION("""COMPUTED_VALUE"""),"Man")</f>
        <v>Man</v>
      </c>
      <c r="G71" s="6" t="str">
        <f ca="1">IFERROR(__xludf.DUMMYFUNCTION("""COMPUTED_VALUE"""),"Man")</f>
        <v>Man</v>
      </c>
      <c r="H71" s="6"/>
      <c r="I71" s="6"/>
      <c r="J71" s="6"/>
      <c r="K71" s="6"/>
      <c r="L71" s="6" t="str">
        <f ca="1">IFERROR(__xludf.DUMMYFUNCTION("""COMPUTED_VALUE"""),"No")</f>
        <v>No</v>
      </c>
      <c r="M71" s="6"/>
      <c r="N71" s="6"/>
      <c r="O71" s="6" t="str">
        <f ca="1">IFERROR(__xludf.DUMMYFUNCTION("""COMPUTED_VALUE"""),"Other")</f>
        <v>Other</v>
      </c>
      <c r="P71" s="6"/>
      <c r="Q71" s="6" t="str">
        <f ca="1">IFERROR(__xludf.DUMMYFUNCTION("""COMPUTED_VALUE"""),"No")</f>
        <v>No</v>
      </c>
      <c r="R71" s="6">
        <f ca="1">IFERROR(__xludf.DUMMYFUNCTION("""COMPUTED_VALUE"""),2)</f>
        <v>2</v>
      </c>
      <c r="S71" s="6" t="str">
        <f ca="1">IFERROR(__xludf.DUMMYFUNCTION("""COMPUTED_VALUE"""),"Pre-seed")</f>
        <v>Pre-seed</v>
      </c>
      <c r="T71" s="6" t="str">
        <f ca="1">IFERROR(__xludf.DUMMYFUNCTION("""COMPUTED_VALUE"""),"Pre-seed")</f>
        <v>Pre-seed</v>
      </c>
      <c r="U71" s="6" t="str">
        <f ca="1">IFERROR(__xludf.DUMMYFUNCTION("""COMPUTED_VALUE"""),"Pre-seed")</f>
        <v>Pre-seed</v>
      </c>
      <c r="V71" s="6"/>
      <c r="W71" s="6" t="str">
        <f ca="1">IFERROR(__xludf.DUMMYFUNCTION("""COMPUTED_VALUE"""),"Revisit")</f>
        <v>Revisit</v>
      </c>
    </row>
    <row r="72" spans="1:23">
      <c r="A72" s="6" t="str">
        <f ca="1">IFERROR(__xludf.DUMMYFUNCTION("""COMPUTED_VALUE"""),"Man")</f>
        <v>Man</v>
      </c>
      <c r="B72" s="6" t="str">
        <f ca="1">IFERROR(__xludf.DUMMYFUNCTION("""COMPUTED_VALUE"""),"ION Medical Safety _2022")</f>
        <v>ION Medical Safety _2022</v>
      </c>
      <c r="C72" s="6" t="str">
        <f ca="1">IFERROR(__xludf.DUMMYFUNCTION("""COMPUTED_VALUE"""),"Life Sciences")</f>
        <v>Life Sciences</v>
      </c>
      <c r="D72" s="6" t="str">
        <f ca="1">IFERROR(__xludf.DUMMYFUNCTION("""COMPUTED_VALUE"""),"3315 East Russell Road A4 435, Las Vegas , Nevada 
United States")</f>
        <v>3315 East Russell Road A4 435, Las Vegas , Nevada 
United States</v>
      </c>
      <c r="E72" s="6" t="str">
        <f ca="1">IFERROR(__xludf.DUMMYFUNCTION("""COMPUTED_VALUE"""),"West")</f>
        <v>West</v>
      </c>
      <c r="F72" s="6" t="str">
        <f ca="1">IFERROR(__xludf.DUMMYFUNCTION("""COMPUTED_VALUE"""),"Man")</f>
        <v>Man</v>
      </c>
      <c r="G72" s="6"/>
      <c r="H72" s="6"/>
      <c r="I72" s="6"/>
      <c r="J72" s="6"/>
      <c r="K72" s="6"/>
      <c r="L72" s="6" t="str">
        <f ca="1">IFERROR(__xludf.DUMMYFUNCTION("""COMPUTED_VALUE"""),"--Please select--")</f>
        <v>--Please select--</v>
      </c>
      <c r="M72" s="6"/>
      <c r="N72" s="6"/>
      <c r="O72" s="6" t="str">
        <f ca="1">IFERROR(__xludf.DUMMYFUNCTION("""COMPUTED_VALUE"""),"Email")</f>
        <v>Email</v>
      </c>
      <c r="P72" s="6"/>
      <c r="Q72" s="6" t="str">
        <f ca="1">IFERROR(__xludf.DUMMYFUNCTION("""COMPUTED_VALUE"""),"No")</f>
        <v>No</v>
      </c>
      <c r="R72" s="6">
        <f ca="1">IFERROR(__xludf.DUMMYFUNCTION("""COMPUTED_VALUE"""),1)</f>
        <v>1</v>
      </c>
      <c r="S72" s="6" t="str">
        <f ca="1">IFERROR(__xludf.DUMMYFUNCTION("""COMPUTED_VALUE"""),"Other: Personal credit and funding")</f>
        <v>Other: Personal credit and funding</v>
      </c>
      <c r="T72" s="6" t="str">
        <f ca="1">IFERROR(__xludf.DUMMYFUNCTION("""COMPUTED_VALUE"""),"Other: Personal credit and funding")</f>
        <v>Other: Personal credit and funding</v>
      </c>
      <c r="U72" s="6" t="str">
        <f ca="1">IFERROR(__xludf.DUMMYFUNCTION("""COMPUTED_VALUE"""),"Personal credit and funding")</f>
        <v>Personal credit and funding</v>
      </c>
      <c r="V72" s="6"/>
      <c r="W72" s="6" t="str">
        <f ca="1">IFERROR(__xludf.DUMMYFUNCTION("""COMPUTED_VALUE"""),"Invite Next Year")</f>
        <v>Invite Next Year</v>
      </c>
    </row>
    <row r="73" spans="1:23">
      <c r="A73" s="6" t="str">
        <f ca="1">IFERROR(__xludf.DUMMYFUNCTION("""COMPUTED_VALUE"""),"Man")</f>
        <v>Man</v>
      </c>
      <c r="B73" s="6" t="str">
        <f ca="1">IFERROR(__xludf.DUMMYFUNCTION("""COMPUTED_VALUE"""),"Scholarship Advisors _2022")</f>
        <v>Scholarship Advisors _2022</v>
      </c>
      <c r="C73" s="6" t="str">
        <f ca="1">IFERROR(__xludf.DUMMYFUNCTION("""COMPUTED_VALUE"""),"Digital Tech")</f>
        <v>Digital Tech</v>
      </c>
      <c r="D73" s="6" t="str">
        <f ca="1">IFERROR(__xludf.DUMMYFUNCTION("""COMPUTED_VALUE"""),"Desq Works, Gurgaon, India, Haryana 
India")</f>
        <v>Desq Works, Gurgaon, India, Haryana 
India</v>
      </c>
      <c r="E73" s="6" t="str">
        <f ca="1">IFERROR(__xludf.DUMMYFUNCTION("""COMPUTED_VALUE"""),"International - Asia")</f>
        <v>International - Asia</v>
      </c>
      <c r="F73" s="6" t="str">
        <f ca="1">IFERROR(__xludf.DUMMYFUNCTION("""COMPUTED_VALUE"""),"Man")</f>
        <v>Man</v>
      </c>
      <c r="G73" s="6"/>
      <c r="H73" s="6"/>
      <c r="I73" s="6"/>
      <c r="J73" s="6"/>
      <c r="K73" s="6"/>
      <c r="L73" s="6" t="str">
        <f ca="1">IFERROR(__xludf.DUMMYFUNCTION("""COMPUTED_VALUE"""),"No")</f>
        <v>No</v>
      </c>
      <c r="M73" s="6"/>
      <c r="N73" s="6"/>
      <c r="O73" s="6" t="str">
        <f ca="1">IFERROR(__xludf.DUMMYFUNCTION("""COMPUTED_VALUE"""),"Email")</f>
        <v>Email</v>
      </c>
      <c r="P73" s="6"/>
      <c r="Q73" s="6" t="str">
        <f ca="1">IFERROR(__xludf.DUMMYFUNCTION("""COMPUTED_VALUE"""),"No")</f>
        <v>No</v>
      </c>
      <c r="R73" s="6">
        <f ca="1">IFERROR(__xludf.DUMMYFUNCTION("""COMPUTED_VALUE"""),1)</f>
        <v>1</v>
      </c>
      <c r="S73" s="6" t="str">
        <f ca="1">IFERROR(__xludf.DUMMYFUNCTION("""COMPUTED_VALUE"""),"Seed")</f>
        <v>Seed</v>
      </c>
      <c r="T73" s="6" t="str">
        <f ca="1">IFERROR(__xludf.DUMMYFUNCTION("""COMPUTED_VALUE"""),"Seed")</f>
        <v>Seed</v>
      </c>
      <c r="U73" s="6" t="str">
        <f ca="1">IFERROR(__xludf.DUMMYFUNCTION("""COMPUTED_VALUE"""),"Seed")</f>
        <v>Seed</v>
      </c>
      <c r="V73" s="6"/>
      <c r="W73" s="6" t="str">
        <f ca="1">IFERROR(__xludf.DUMMYFUNCTION("""COMPUTED_VALUE"""),"Invite Next Year")</f>
        <v>Invite Next Year</v>
      </c>
    </row>
    <row r="74" spans="1:23">
      <c r="A74" s="6" t="str">
        <f ca="1">IFERROR(__xludf.DUMMYFUNCTION("""COMPUTED_VALUE"""),"Man, Man")</f>
        <v>Man, Man</v>
      </c>
      <c r="B74" s="6" t="str">
        <f ca="1">IFERROR(__xludf.DUMMYFUNCTION("""COMPUTED_VALUE"""),"AGR Health, LLC _2022")</f>
        <v>AGR Health, LLC _2022</v>
      </c>
      <c r="C74" s="6" t="str">
        <f ca="1">IFERROR(__xludf.DUMMYFUNCTION("""COMPUTED_VALUE"""),"Digital Tech")</f>
        <v>Digital Tech</v>
      </c>
      <c r="D74" s="6" t="str">
        <f ca="1">IFERROR(__xludf.DUMMYFUNCTION("""COMPUTED_VALUE"""),"327 Dickerson Dr N, NY 
United States")</f>
        <v>327 Dickerson Dr N, NY 
United States</v>
      </c>
      <c r="E74" s="6" t="str">
        <f ca="1">IFERROR(__xludf.DUMMYFUNCTION("""COMPUTED_VALUE"""),"New York")</f>
        <v>New York</v>
      </c>
      <c r="F74" s="6" t="str">
        <f ca="1">IFERROR(__xludf.DUMMYFUNCTION("""COMPUTED_VALUE"""),"Man")</f>
        <v>Man</v>
      </c>
      <c r="G74" s="6" t="str">
        <f ca="1">IFERROR(__xludf.DUMMYFUNCTION("""COMPUTED_VALUE"""),"Man")</f>
        <v>Man</v>
      </c>
      <c r="H74" s="6"/>
      <c r="I74" s="6"/>
      <c r="J74" s="6"/>
      <c r="K74" s="6"/>
      <c r="L74" s="6" t="str">
        <f ca="1">IFERROR(__xludf.DUMMYFUNCTION("""COMPUTED_VALUE"""),"No")</f>
        <v>No</v>
      </c>
      <c r="M74" s="6"/>
      <c r="N74" s="6"/>
      <c r="O74" s="6" t="str">
        <f ca="1">IFERROR(__xludf.DUMMYFUNCTION("""COMPUTED_VALUE"""),"Email")</f>
        <v>Email</v>
      </c>
      <c r="P74" s="6"/>
      <c r="Q74" s="6" t="str">
        <f ca="1">IFERROR(__xludf.DUMMYFUNCTION("""COMPUTED_VALUE"""),"No")</f>
        <v>No</v>
      </c>
      <c r="R74" s="6">
        <f ca="1">IFERROR(__xludf.DUMMYFUNCTION("""COMPUTED_VALUE"""),2)</f>
        <v>2</v>
      </c>
      <c r="S74" s="6" t="str">
        <f ca="1">IFERROR(__xludf.DUMMYFUNCTION("""COMPUTED_VALUE"""),"Pre-seed")</f>
        <v>Pre-seed</v>
      </c>
      <c r="T74" s="6" t="str">
        <f ca="1">IFERROR(__xludf.DUMMYFUNCTION("""COMPUTED_VALUE"""),"Pre-seed")</f>
        <v>Pre-seed</v>
      </c>
      <c r="U74" s="6" t="str">
        <f ca="1">IFERROR(__xludf.DUMMYFUNCTION("""COMPUTED_VALUE"""),"Pre-seed")</f>
        <v>Pre-seed</v>
      </c>
      <c r="V74" s="6"/>
      <c r="W74" s="6" t="str">
        <f ca="1">IFERROR(__xludf.DUMMYFUNCTION("""COMPUTED_VALUE"""),"Invite Next Year")</f>
        <v>Invite Next Year</v>
      </c>
    </row>
    <row r="75" spans="1:23">
      <c r="A75" s="6" t="str">
        <f ca="1">IFERROR(__xludf.DUMMYFUNCTION("""COMPUTED_VALUE"""),"Man, Woman")</f>
        <v>Man, Woman</v>
      </c>
      <c r="B75" s="6" t="str">
        <f ca="1">IFERROR(__xludf.DUMMYFUNCTION("""COMPUTED_VALUE"""),"Mumerz for Ecommerce _2022")</f>
        <v>Mumerz for Ecommerce _2022</v>
      </c>
      <c r="C75" s="6" t="str">
        <f ca="1">IFERROR(__xludf.DUMMYFUNCTION("""COMPUTED_VALUE"""),"Digital Tech")</f>
        <v>Digital Tech</v>
      </c>
      <c r="D75" s="6" t="str">
        <f ca="1">IFERROR(__xludf.DUMMYFUNCTION("""COMPUTED_VALUE"""),"Cairo Business Plaza office 401, Cairo 
Egypt")</f>
        <v>Cairo Business Plaza office 401, Cairo 
Egypt</v>
      </c>
      <c r="E75" s="6" t="str">
        <f ca="1">IFERROR(__xludf.DUMMYFUNCTION("""COMPUTED_VALUE"""),"International - Middle East")</f>
        <v>International - Middle East</v>
      </c>
      <c r="F75" s="6" t="str">
        <f ca="1">IFERROR(__xludf.DUMMYFUNCTION("""COMPUTED_VALUE"""),"Man")</f>
        <v>Man</v>
      </c>
      <c r="G75" s="6" t="str">
        <f ca="1">IFERROR(__xludf.DUMMYFUNCTION("""COMPUTED_VALUE"""),"Woman")</f>
        <v>Woman</v>
      </c>
      <c r="H75" s="6"/>
      <c r="I75" s="6"/>
      <c r="J75" s="6"/>
      <c r="K75" s="6"/>
      <c r="L75" s="6" t="str">
        <f ca="1">IFERROR(__xludf.DUMMYFUNCTION("""COMPUTED_VALUE"""),"No")</f>
        <v>No</v>
      </c>
      <c r="M75" s="6"/>
      <c r="N75" s="6"/>
      <c r="O75" s="6" t="str">
        <f ca="1">IFERROR(__xludf.DUMMYFUNCTION("""COMPUTED_VALUE"""),"Email")</f>
        <v>Email</v>
      </c>
      <c r="P75" s="6"/>
      <c r="Q75" s="6" t="str">
        <f ca="1">IFERROR(__xludf.DUMMYFUNCTION("""COMPUTED_VALUE"""),"No")</f>
        <v>No</v>
      </c>
      <c r="R75" s="6">
        <f ca="1">IFERROR(__xludf.DUMMYFUNCTION("""COMPUTED_VALUE"""),2)</f>
        <v>2</v>
      </c>
      <c r="S75" s="6" t="str">
        <f ca="1">IFERROR(__xludf.DUMMYFUNCTION("""COMPUTED_VALUE"""),"Pre-seed")</f>
        <v>Pre-seed</v>
      </c>
      <c r="T75" s="6" t="str">
        <f ca="1">IFERROR(__xludf.DUMMYFUNCTION("""COMPUTED_VALUE"""),"Pre-seed")</f>
        <v>Pre-seed</v>
      </c>
      <c r="U75" s="6" t="str">
        <f ca="1">IFERROR(__xludf.DUMMYFUNCTION("""COMPUTED_VALUE"""),"Pre-seed")</f>
        <v>Pre-seed</v>
      </c>
      <c r="V75" s="6"/>
      <c r="W75" s="6" t="str">
        <f ca="1">IFERROR(__xludf.DUMMYFUNCTION("""COMPUTED_VALUE"""),"Invite Next Year")</f>
        <v>Invite Next Year</v>
      </c>
    </row>
    <row r="76" spans="1:23">
      <c r="A76" s="6" t="str">
        <f ca="1">IFERROR(__xludf.DUMMYFUNCTION("""COMPUTED_VALUE"""),"Woman, Man")</f>
        <v>Woman, Man</v>
      </c>
      <c r="B76" s="6" t="str">
        <f ca="1">IFERROR(__xludf.DUMMYFUNCTION("""COMPUTED_VALUE"""),"Blind Tiger, LLC D/B/A Blind Tiger Spirit-Free Cocktails _2022")</f>
        <v>Blind Tiger, LLC D/B/A Blind Tiger Spirit-Free Cocktails _2022</v>
      </c>
      <c r="C76" s="6" t="str">
        <f ca="1">IFERROR(__xludf.DUMMYFUNCTION("""COMPUTED_VALUE"""),"Life Sciences")</f>
        <v>Life Sciences</v>
      </c>
      <c r="D76" s="6" t="str">
        <f ca="1">IFERROR(__xludf.DUMMYFUNCTION("""COMPUTED_VALUE"""),"Erie, Pennsylvania 
United States")</f>
        <v>Erie, Pennsylvania 
United States</v>
      </c>
      <c r="E76" s="6" t="str">
        <f ca="1">IFERROR(__xludf.DUMMYFUNCTION("""COMPUTED_VALUE"""),"East Coast")</f>
        <v>East Coast</v>
      </c>
      <c r="F76" s="6" t="str">
        <f ca="1">IFERROR(__xludf.DUMMYFUNCTION("""COMPUTED_VALUE"""),"Woman")</f>
        <v>Woman</v>
      </c>
      <c r="G76" s="6" t="str">
        <f ca="1">IFERROR(__xludf.DUMMYFUNCTION("""COMPUTED_VALUE"""),"Man")</f>
        <v>Man</v>
      </c>
      <c r="H76" s="6"/>
      <c r="I76" s="6"/>
      <c r="J76" s="6"/>
      <c r="K76" s="6"/>
      <c r="L76" s="6" t="str">
        <f ca="1">IFERROR(__xludf.DUMMYFUNCTION("""COMPUTED_VALUE"""),"No")</f>
        <v>No</v>
      </c>
      <c r="M76" s="6"/>
      <c r="N76" s="6"/>
      <c r="O76" s="6" t="str">
        <f ca="1">IFERROR(__xludf.DUMMYFUNCTION("""COMPUTED_VALUE"""),"Email")</f>
        <v>Email</v>
      </c>
      <c r="P76" s="6"/>
      <c r="Q76" s="6" t="str">
        <f ca="1">IFERROR(__xludf.DUMMYFUNCTION("""COMPUTED_VALUE"""),"No")</f>
        <v>No</v>
      </c>
      <c r="R76" s="6">
        <f ca="1">IFERROR(__xludf.DUMMYFUNCTION("""COMPUTED_VALUE"""),2)</f>
        <v>2</v>
      </c>
      <c r="S76" s="6" t="str">
        <f ca="1">IFERROR(__xludf.DUMMYFUNCTION("""COMPUTED_VALUE"""),"Debt financing
Grants")</f>
        <v>Debt financing
Grants</v>
      </c>
      <c r="T76" s="6" t="str">
        <f ca="1">IFERROR(__xludf.DUMMYFUNCTION("""COMPUTED_VALUE"""),"Debt financing, Grants")</f>
        <v>Debt financing, Grants</v>
      </c>
      <c r="U76" s="6" t="str">
        <f ca="1">IFERROR(__xludf.DUMMYFUNCTION("""COMPUTED_VALUE"""),"Debt financing, Grants")</f>
        <v>Debt financing, Grants</v>
      </c>
      <c r="V76" s="6"/>
      <c r="W76" s="6" t="str">
        <f ca="1">IFERROR(__xludf.DUMMYFUNCTION("""COMPUTED_VALUE"""),"Reject")</f>
        <v>Reject</v>
      </c>
    </row>
    <row r="77" spans="1:23">
      <c r="A77" s="6" t="str">
        <f ca="1">IFERROR(__xludf.DUMMYFUNCTION("""COMPUTED_VALUE"""),"Man, Man, Woman")</f>
        <v>Man, Man, Woman</v>
      </c>
      <c r="B77" s="6" t="str">
        <f ca="1">IFERROR(__xludf.DUMMYFUNCTION("""COMPUTED_VALUE"""),"Health Cost IQ _2022")</f>
        <v>Health Cost IQ _2022</v>
      </c>
      <c r="C77" s="6" t="str">
        <f ca="1">IFERROR(__xludf.DUMMYFUNCTION("""COMPUTED_VALUE"""),"Digital Tech")</f>
        <v>Digital Tech</v>
      </c>
      <c r="D77" s="6" t="str">
        <f ca="1">IFERROR(__xludf.DUMMYFUNCTION("""COMPUTED_VALUE"""),"Phoenix, Arizona 
United States")</f>
        <v>Phoenix, Arizona 
United States</v>
      </c>
      <c r="E77" s="6" t="str">
        <f ca="1">IFERROR(__xludf.DUMMYFUNCTION("""COMPUTED_VALUE"""),"West")</f>
        <v>West</v>
      </c>
      <c r="F77" s="6" t="str">
        <f ca="1">IFERROR(__xludf.DUMMYFUNCTION("""COMPUTED_VALUE"""),"Man")</f>
        <v>Man</v>
      </c>
      <c r="G77" s="6" t="str">
        <f ca="1">IFERROR(__xludf.DUMMYFUNCTION("""COMPUTED_VALUE"""),"Man")</f>
        <v>Man</v>
      </c>
      <c r="H77" s="6" t="str">
        <f ca="1">IFERROR(__xludf.DUMMYFUNCTION("""COMPUTED_VALUE"""),"Woman")</f>
        <v>Woman</v>
      </c>
      <c r="I77" s="6"/>
      <c r="J77" s="6"/>
      <c r="K77" s="6"/>
      <c r="L77" s="6" t="str">
        <f ca="1">IFERROR(__xludf.DUMMYFUNCTION("""COMPUTED_VALUE"""),"--Please select--")</f>
        <v>--Please select--</v>
      </c>
      <c r="M77" s="6"/>
      <c r="N77" s="6"/>
      <c r="O77" s="6" t="str">
        <f ca="1">IFERROR(__xludf.DUMMYFUNCTION("""COMPUTED_VALUE"""),"Email")</f>
        <v>Email</v>
      </c>
      <c r="P77" s="6"/>
      <c r="Q77" s="6" t="str">
        <f ca="1">IFERROR(__xludf.DUMMYFUNCTION("""COMPUTED_VALUE"""),"No")</f>
        <v>No</v>
      </c>
      <c r="R77" s="6">
        <f ca="1">IFERROR(__xludf.DUMMYFUNCTION("""COMPUTED_VALUE"""),3)</f>
        <v>3</v>
      </c>
      <c r="S77" s="6" t="str">
        <f ca="1">IFERROR(__xludf.DUMMYFUNCTION("""COMPUTED_VALUE"""),"Pre-seed
Seed")</f>
        <v>Pre-seed
Seed</v>
      </c>
      <c r="T77" s="6" t="str">
        <f ca="1">IFERROR(__xludf.DUMMYFUNCTION("""COMPUTED_VALUE"""),"Pre-seed, Seed")</f>
        <v>Pre-seed, Seed</v>
      </c>
      <c r="U77" s="6" t="str">
        <f ca="1">IFERROR(__xludf.DUMMYFUNCTION("""COMPUTED_VALUE"""),"Pre-seed, Seed")</f>
        <v>Pre-seed, Seed</v>
      </c>
      <c r="V77" s="6"/>
      <c r="W77" s="6" t="str">
        <f ca="1">IFERROR(__xludf.DUMMYFUNCTION("""COMPUTED_VALUE"""),"Invite")</f>
        <v>Invite</v>
      </c>
    </row>
    <row r="78" spans="1:23">
      <c r="A78" s="6" t="str">
        <f ca="1">IFERROR(__xludf.DUMMYFUNCTION("""COMPUTED_VALUE"""),"Man")</f>
        <v>Man</v>
      </c>
      <c r="B78" s="6" t="str">
        <f ca="1">IFERROR(__xludf.DUMMYFUNCTION("""COMPUTED_VALUE"""),"DigiBuild _2022")</f>
        <v>DigiBuild _2022</v>
      </c>
      <c r="C78" s="6" t="str">
        <f ca="1">IFERROR(__xludf.DUMMYFUNCTION("""COMPUTED_VALUE"""),"Digital Tech")</f>
        <v>Digital Tech</v>
      </c>
      <c r="D78" s="6" t="str">
        <f ca="1">IFERROR(__xludf.DUMMYFUNCTION("""COMPUTED_VALUE"""),"1000 Brickell Ave, Florida 
United States")</f>
        <v>1000 Brickell Ave, Florida 
United States</v>
      </c>
      <c r="E78" s="6" t="str">
        <f ca="1">IFERROR(__xludf.DUMMYFUNCTION("""COMPUTED_VALUE"""),"East Coast")</f>
        <v>East Coast</v>
      </c>
      <c r="F78" s="6" t="str">
        <f ca="1">IFERROR(__xludf.DUMMYFUNCTION("""COMPUTED_VALUE"""),"Man")</f>
        <v>Man</v>
      </c>
      <c r="G78" s="6"/>
      <c r="H78" s="6"/>
      <c r="I78" s="6"/>
      <c r="J78" s="6"/>
      <c r="K78" s="6"/>
      <c r="L78" s="6" t="str">
        <f ca="1">IFERROR(__xludf.DUMMYFUNCTION("""COMPUTED_VALUE"""),"No")</f>
        <v>No</v>
      </c>
      <c r="M78" s="6"/>
      <c r="N78" s="6"/>
      <c r="O78" s="6" t="str">
        <f ca="1">IFERROR(__xludf.DUMMYFUNCTION("""COMPUTED_VALUE"""),"Email")</f>
        <v>Email</v>
      </c>
      <c r="P78" s="6"/>
      <c r="Q78" s="6" t="str">
        <f ca="1">IFERROR(__xludf.DUMMYFUNCTION("""COMPUTED_VALUE"""),"No")</f>
        <v>No</v>
      </c>
      <c r="R78" s="6">
        <f ca="1">IFERROR(__xludf.DUMMYFUNCTION("""COMPUTED_VALUE"""),1)</f>
        <v>1</v>
      </c>
      <c r="S78" s="6" t="str">
        <f ca="1">IFERROR(__xludf.DUMMYFUNCTION("""COMPUTED_VALUE"""),"Seed")</f>
        <v>Seed</v>
      </c>
      <c r="T78" s="6" t="str">
        <f ca="1">IFERROR(__xludf.DUMMYFUNCTION("""COMPUTED_VALUE"""),"Seed")</f>
        <v>Seed</v>
      </c>
      <c r="U78" s="6" t="str">
        <f ca="1">IFERROR(__xludf.DUMMYFUNCTION("""COMPUTED_VALUE"""),"Seed")</f>
        <v>Seed</v>
      </c>
      <c r="V78" s="6"/>
      <c r="W78" s="6" t="str">
        <f ca="1">IFERROR(__xludf.DUMMYFUNCTION("""COMPUTED_VALUE"""),"Invite Next Year")</f>
        <v>Invite Next Year</v>
      </c>
    </row>
    <row r="79" spans="1:23">
      <c r="A79" s="6" t="str">
        <f ca="1">IFERROR(__xludf.DUMMYFUNCTION("""COMPUTED_VALUE"""),"Man, Man")</f>
        <v>Man, Man</v>
      </c>
      <c r="B79" s="6" t="str">
        <f ca="1">IFERROR(__xludf.DUMMYFUNCTION("""COMPUTED_VALUE"""),"Maalexi _2022")</f>
        <v>Maalexi _2022</v>
      </c>
      <c r="C79" s="6" t="str">
        <f ca="1">IFERROR(__xludf.DUMMYFUNCTION("""COMPUTED_VALUE"""),"Digital Tech")</f>
        <v>Digital Tech</v>
      </c>
      <c r="D79" s="6" t="str">
        <f ca="1">IFERROR(__xludf.DUMMYFUNCTION("""COMPUTED_VALUE"""),"Wilmington, Delaware 
United States")</f>
        <v>Wilmington, Delaware 
United States</v>
      </c>
      <c r="E79" s="6" t="str">
        <f ca="1">IFERROR(__xludf.DUMMYFUNCTION("""COMPUTED_VALUE"""),"East Coast")</f>
        <v>East Coast</v>
      </c>
      <c r="F79" s="6" t="str">
        <f ca="1">IFERROR(__xludf.DUMMYFUNCTION("""COMPUTED_VALUE"""),"Man")</f>
        <v>Man</v>
      </c>
      <c r="G79" s="6" t="str">
        <f ca="1">IFERROR(__xludf.DUMMYFUNCTION("""COMPUTED_VALUE"""),"Man")</f>
        <v>Man</v>
      </c>
      <c r="H79" s="6"/>
      <c r="I79" s="6"/>
      <c r="J79" s="6"/>
      <c r="K79" s="6"/>
      <c r="L79" s="6" t="str">
        <f ca="1">IFERROR(__xludf.DUMMYFUNCTION("""COMPUTED_VALUE"""),"No")</f>
        <v>No</v>
      </c>
      <c r="M79" s="6"/>
      <c r="N79" s="6"/>
      <c r="O79" s="6" t="str">
        <f ca="1">IFERROR(__xludf.DUMMYFUNCTION("""COMPUTED_VALUE"""),"Email")</f>
        <v>Email</v>
      </c>
      <c r="P79" s="6"/>
      <c r="Q79" s="6" t="str">
        <f ca="1">IFERROR(__xludf.DUMMYFUNCTION("""COMPUTED_VALUE"""),"No")</f>
        <v>No</v>
      </c>
      <c r="R79" s="6">
        <f ca="1">IFERROR(__xludf.DUMMYFUNCTION("""COMPUTED_VALUE"""),2)</f>
        <v>2</v>
      </c>
      <c r="S79" s="6" t="str">
        <f ca="1">IFERROR(__xludf.DUMMYFUNCTION("""COMPUTED_VALUE"""),"Pre-seed")</f>
        <v>Pre-seed</v>
      </c>
      <c r="T79" s="6" t="str">
        <f ca="1">IFERROR(__xludf.DUMMYFUNCTION("""COMPUTED_VALUE"""),"Pre-seed")</f>
        <v>Pre-seed</v>
      </c>
      <c r="U79" s="6" t="str">
        <f ca="1">IFERROR(__xludf.DUMMYFUNCTION("""COMPUTED_VALUE"""),"Pre-seed")</f>
        <v>Pre-seed</v>
      </c>
      <c r="V79" s="6"/>
      <c r="W79" s="6" t="str">
        <f ca="1">IFERROR(__xludf.DUMMYFUNCTION("""COMPUTED_VALUE"""),"Invite Next Year")</f>
        <v>Invite Next Year</v>
      </c>
    </row>
    <row r="80" spans="1:23">
      <c r="A80" s="6" t="str">
        <f ca="1">IFERROR(__xludf.DUMMYFUNCTION("""COMPUTED_VALUE"""),"Man, Woman, Man")</f>
        <v>Man, Woman, Man</v>
      </c>
      <c r="B80" s="6" t="str">
        <f ca="1">IFERROR(__xludf.DUMMYFUNCTION("""COMPUTED_VALUE"""),"Bankuish _2022")</f>
        <v>Bankuish _2022</v>
      </c>
      <c r="C80" s="6" t="str">
        <f ca="1">IFERROR(__xludf.DUMMYFUNCTION("""COMPUTED_VALUE"""),"Digital Tech")</f>
        <v>Digital Tech</v>
      </c>
      <c r="D80" s="6" t="str">
        <f ca="1">IFERROR(__xludf.DUMMYFUNCTION("""COMPUTED_VALUE"""),"New York, NY 
United States")</f>
        <v>New York, NY 
United States</v>
      </c>
      <c r="E80" s="6" t="str">
        <f ca="1">IFERROR(__xludf.DUMMYFUNCTION("""COMPUTED_VALUE"""),"New York")</f>
        <v>New York</v>
      </c>
      <c r="F80" s="6" t="str">
        <f ca="1">IFERROR(__xludf.DUMMYFUNCTION("""COMPUTED_VALUE"""),"Man")</f>
        <v>Man</v>
      </c>
      <c r="G80" s="6" t="str">
        <f ca="1">IFERROR(__xludf.DUMMYFUNCTION("""COMPUTED_VALUE"""),"Woman")</f>
        <v>Woman</v>
      </c>
      <c r="H80" s="6" t="str">
        <f ca="1">IFERROR(__xludf.DUMMYFUNCTION("""COMPUTED_VALUE"""),"Man")</f>
        <v>Man</v>
      </c>
      <c r="I80" s="6"/>
      <c r="J80" s="6"/>
      <c r="K80" s="6"/>
      <c r="L80" s="6" t="str">
        <f ca="1">IFERROR(__xludf.DUMMYFUNCTION("""COMPUTED_VALUE"""),"No")</f>
        <v>No</v>
      </c>
      <c r="M80" s="6"/>
      <c r="N80" s="6"/>
      <c r="O80" s="6" t="str">
        <f ca="1">IFERROR(__xludf.DUMMYFUNCTION("""COMPUTED_VALUE"""),"NYU Newsletter")</f>
        <v>NYU Newsletter</v>
      </c>
      <c r="P80" s="6"/>
      <c r="Q80" s="6" t="str">
        <f ca="1">IFERROR(__xludf.DUMMYFUNCTION("""COMPUTED_VALUE"""),"No")</f>
        <v>No</v>
      </c>
      <c r="R80" s="6">
        <f ca="1">IFERROR(__xludf.DUMMYFUNCTION("""COMPUTED_VALUE"""),3)</f>
        <v>3</v>
      </c>
      <c r="S80" s="6" t="str">
        <f ca="1">IFERROR(__xludf.DUMMYFUNCTION("""COMPUTED_VALUE"""),"Pre-seed")</f>
        <v>Pre-seed</v>
      </c>
      <c r="T80" s="6" t="str">
        <f ca="1">IFERROR(__xludf.DUMMYFUNCTION("""COMPUTED_VALUE"""),"Pre-seed")</f>
        <v>Pre-seed</v>
      </c>
      <c r="U80" s="6" t="str">
        <f ca="1">IFERROR(__xludf.DUMMYFUNCTION("""COMPUTED_VALUE"""),"Pre-seed")</f>
        <v>Pre-seed</v>
      </c>
      <c r="V80" s="6"/>
      <c r="W80" s="6" t="str">
        <f ca="1">IFERROR(__xludf.DUMMYFUNCTION("""COMPUTED_VALUE"""),"Invite")</f>
        <v>Invite</v>
      </c>
    </row>
    <row r="81" spans="1:23">
      <c r="A81" s="6" t="str">
        <f ca="1">IFERROR(__xludf.DUMMYFUNCTION("""COMPUTED_VALUE"""),"Woman, Woman")</f>
        <v>Woman, Woman</v>
      </c>
      <c r="B81" s="6" t="str">
        <f ca="1">IFERROR(__xludf.DUMMYFUNCTION("""COMPUTED_VALUE"""),"Seccuri _2022")</f>
        <v>Seccuri _2022</v>
      </c>
      <c r="C81" s="6" t="str">
        <f ca="1">IFERROR(__xludf.DUMMYFUNCTION("""COMPUTED_VALUE"""),"Digital Tech")</f>
        <v>Digital Tech</v>
      </c>
      <c r="D81" s="6" t="str">
        <f ca="1">IFERROR(__xludf.DUMMYFUNCTION("""COMPUTED_VALUE"""),"102 Tennyson Avenue, California 
United States")</f>
        <v>102 Tennyson Avenue, California 
United States</v>
      </c>
      <c r="E81" s="6" t="str">
        <f ca="1">IFERROR(__xludf.DUMMYFUNCTION("""COMPUTED_VALUE"""),"West Coast")</f>
        <v>West Coast</v>
      </c>
      <c r="F81" s="6" t="str">
        <f ca="1">IFERROR(__xludf.DUMMYFUNCTION("""COMPUTED_VALUE"""),"Woman")</f>
        <v>Woman</v>
      </c>
      <c r="G81" s="6" t="str">
        <f ca="1">IFERROR(__xludf.DUMMYFUNCTION("""COMPUTED_VALUE"""),"Woman")</f>
        <v>Woman</v>
      </c>
      <c r="H81" s="6"/>
      <c r="I81" s="6"/>
      <c r="J81" s="6"/>
      <c r="K81" s="6"/>
      <c r="L81" s="6" t="str">
        <f ca="1">IFERROR(__xludf.DUMMYFUNCTION("""COMPUTED_VALUE"""),"No")</f>
        <v>No</v>
      </c>
      <c r="M81" s="6"/>
      <c r="N81" s="6"/>
      <c r="O81" s="6" t="str">
        <f ca="1">IFERROR(__xludf.DUMMYFUNCTION("""COMPUTED_VALUE"""),"Referral")</f>
        <v>Referral</v>
      </c>
      <c r="P81" s="6"/>
      <c r="Q81" s="6" t="str">
        <f ca="1">IFERROR(__xludf.DUMMYFUNCTION("""COMPUTED_VALUE"""),"No")</f>
        <v>No</v>
      </c>
      <c r="R81" s="6">
        <f ca="1">IFERROR(__xludf.DUMMYFUNCTION("""COMPUTED_VALUE"""),2)</f>
        <v>2</v>
      </c>
      <c r="S81" s="6" t="str">
        <f ca="1">IFERROR(__xludf.DUMMYFUNCTION("""COMPUTED_VALUE"""),"Pre-seed")</f>
        <v>Pre-seed</v>
      </c>
      <c r="T81" s="6" t="str">
        <f ca="1">IFERROR(__xludf.DUMMYFUNCTION("""COMPUTED_VALUE"""),"Pre-seed")</f>
        <v>Pre-seed</v>
      </c>
      <c r="U81" s="6" t="str">
        <f ca="1">IFERROR(__xludf.DUMMYFUNCTION("""COMPUTED_VALUE"""),"Pre-seed")</f>
        <v>Pre-seed</v>
      </c>
      <c r="V81" s="6"/>
      <c r="W81" s="6" t="str">
        <f ca="1">IFERROR(__xludf.DUMMYFUNCTION("""COMPUTED_VALUE"""),"Invite Next Year")</f>
        <v>Invite Next Year</v>
      </c>
    </row>
    <row r="82" spans="1:23">
      <c r="A82" s="6" t="str">
        <f ca="1">IFERROR(__xludf.DUMMYFUNCTION("""COMPUTED_VALUE"""),"Man, Man")</f>
        <v>Man, Man</v>
      </c>
      <c r="B82" s="6" t="str">
        <f ca="1">IFERROR(__xludf.DUMMYFUNCTION("""COMPUTED_VALUE"""),"Pressto _2022")</f>
        <v>Pressto _2022</v>
      </c>
      <c r="C82" s="6" t="str">
        <f ca="1">IFERROR(__xludf.DUMMYFUNCTION("""COMPUTED_VALUE"""),"Digital Tech")</f>
        <v>Digital Tech</v>
      </c>
      <c r="D82" s="6" t="str">
        <f ca="1">IFERROR(__xludf.DUMMYFUNCTION("""COMPUTED_VALUE"""),"Brooklyn, NY 
United States")</f>
        <v>Brooklyn, NY 
United States</v>
      </c>
      <c r="E82" s="6" t="str">
        <f ca="1">IFERROR(__xludf.DUMMYFUNCTION("""COMPUTED_VALUE"""),"New York")</f>
        <v>New York</v>
      </c>
      <c r="F82" s="6" t="str">
        <f ca="1">IFERROR(__xludf.DUMMYFUNCTION("""COMPUTED_VALUE"""),"Man")</f>
        <v>Man</v>
      </c>
      <c r="G82" s="6" t="str">
        <f ca="1">IFERROR(__xludf.DUMMYFUNCTION("""COMPUTED_VALUE"""),"Man")</f>
        <v>Man</v>
      </c>
      <c r="H82" s="6"/>
      <c r="I82" s="6"/>
      <c r="J82" s="6"/>
      <c r="K82" s="6"/>
      <c r="L82" s="6" t="str">
        <f ca="1">IFERROR(__xludf.DUMMYFUNCTION("""COMPUTED_VALUE"""),"No")</f>
        <v>No</v>
      </c>
      <c r="M82" s="6"/>
      <c r="N82" s="6"/>
      <c r="O82" s="6" t="str">
        <f ca="1">IFERROR(__xludf.DUMMYFUNCTION("""COMPUTED_VALUE"""),"Email")</f>
        <v>Email</v>
      </c>
      <c r="P82" s="6"/>
      <c r="Q82" s="6" t="str">
        <f ca="1">IFERROR(__xludf.DUMMYFUNCTION("""COMPUTED_VALUE"""),"No")</f>
        <v>No</v>
      </c>
      <c r="R82" s="6">
        <f ca="1">IFERROR(__xludf.DUMMYFUNCTION("""COMPUTED_VALUE"""),2)</f>
        <v>2</v>
      </c>
      <c r="S82" s="6" t="str">
        <f ca="1">IFERROR(__xludf.DUMMYFUNCTION("""COMPUTED_VALUE"""),"Pre-seed")</f>
        <v>Pre-seed</v>
      </c>
      <c r="T82" s="6" t="str">
        <f ca="1">IFERROR(__xludf.DUMMYFUNCTION("""COMPUTED_VALUE"""),"Pre-seed")</f>
        <v>Pre-seed</v>
      </c>
      <c r="U82" s="6" t="str">
        <f ca="1">IFERROR(__xludf.DUMMYFUNCTION("""COMPUTED_VALUE"""),"Pre-seed")</f>
        <v>Pre-seed</v>
      </c>
      <c r="V82" s="6"/>
      <c r="W82" s="6" t="str">
        <f ca="1">IFERROR(__xludf.DUMMYFUNCTION("""COMPUTED_VALUE"""),"Invite Next Year")</f>
        <v>Invite Next Year</v>
      </c>
    </row>
    <row r="83" spans="1:23">
      <c r="A83" s="6" t="str">
        <f ca="1">IFERROR(__xludf.DUMMYFUNCTION("""COMPUTED_VALUE"""),"Man, Man, Man")</f>
        <v>Man, Man, Man</v>
      </c>
      <c r="B83" s="6" t="str">
        <f ca="1">IFERROR(__xludf.DUMMYFUNCTION("""COMPUTED_VALUE"""),"noktos _2022")</f>
        <v>noktos _2022</v>
      </c>
      <c r="C83" s="6" t="str">
        <f ca="1">IFERROR(__xludf.DUMMYFUNCTION("""COMPUTED_VALUE"""),"Digital Tech")</f>
        <v>Digital Tech</v>
      </c>
      <c r="D83" s="6" t="str">
        <f ca="1">IFERROR(__xludf.DUMMYFUNCTION("""COMPUTED_VALUE"""),"San Diego, California 
United States")</f>
        <v>San Diego, California 
United States</v>
      </c>
      <c r="E83" s="6" t="str">
        <f ca="1">IFERROR(__xludf.DUMMYFUNCTION("""COMPUTED_VALUE"""),"West Coast")</f>
        <v>West Coast</v>
      </c>
      <c r="F83" s="6" t="str">
        <f ca="1">IFERROR(__xludf.DUMMYFUNCTION("""COMPUTED_VALUE"""),"Man")</f>
        <v>Man</v>
      </c>
      <c r="G83" s="6" t="str">
        <f ca="1">IFERROR(__xludf.DUMMYFUNCTION("""COMPUTED_VALUE"""),"Man")</f>
        <v>Man</v>
      </c>
      <c r="H83" s="6" t="str">
        <f ca="1">IFERROR(__xludf.DUMMYFUNCTION("""COMPUTED_VALUE"""),"Man")</f>
        <v>Man</v>
      </c>
      <c r="I83" s="6"/>
      <c r="J83" s="6"/>
      <c r="K83" s="6"/>
      <c r="L83" s="6" t="str">
        <f ca="1">IFERROR(__xludf.DUMMYFUNCTION("""COMPUTED_VALUE"""),"No")</f>
        <v>No</v>
      </c>
      <c r="M83" s="6"/>
      <c r="N83" s="6"/>
      <c r="O83" s="6" t="str">
        <f ca="1">IFERROR(__xludf.DUMMYFUNCTION("""COMPUTED_VALUE"""),"Email")</f>
        <v>Email</v>
      </c>
      <c r="P83" s="6"/>
      <c r="Q83" s="6" t="str">
        <f ca="1">IFERROR(__xludf.DUMMYFUNCTION("""COMPUTED_VALUE"""),"No")</f>
        <v>No</v>
      </c>
      <c r="R83" s="6">
        <f ca="1">IFERROR(__xludf.DUMMYFUNCTION("""COMPUTED_VALUE"""),3)</f>
        <v>3</v>
      </c>
      <c r="S83" s="6" t="str">
        <f ca="1">IFERROR(__xludf.DUMMYFUNCTION("""COMPUTED_VALUE"""),"Pre-seed")</f>
        <v>Pre-seed</v>
      </c>
      <c r="T83" s="6" t="str">
        <f ca="1">IFERROR(__xludf.DUMMYFUNCTION("""COMPUTED_VALUE"""),"Pre-seed")</f>
        <v>Pre-seed</v>
      </c>
      <c r="U83" s="6" t="str">
        <f ca="1">IFERROR(__xludf.DUMMYFUNCTION("""COMPUTED_VALUE"""),"Pre-seed")</f>
        <v>Pre-seed</v>
      </c>
      <c r="V83" s="6"/>
      <c r="W83" s="6" t="str">
        <f ca="1">IFERROR(__xludf.DUMMYFUNCTION("""COMPUTED_VALUE"""),"Invite Next Year")</f>
        <v>Invite Next Year</v>
      </c>
    </row>
    <row r="84" spans="1:23">
      <c r="A84" s="6" t="str">
        <f ca="1">IFERROR(__xludf.DUMMYFUNCTION("""COMPUTED_VALUE"""),"Woman, Woman, Woman")</f>
        <v>Woman, Woman, Woman</v>
      </c>
      <c r="B84" s="6" t="str">
        <f ca="1">IFERROR(__xludf.DUMMYFUNCTION("""COMPUTED_VALUE"""),"Kaveat _2022")</f>
        <v>Kaveat _2022</v>
      </c>
      <c r="C84" s="6" t="str">
        <f ca="1">IFERROR(__xludf.DUMMYFUNCTION("""COMPUTED_VALUE"""),"Digital Tech")</f>
        <v>Digital Tech</v>
      </c>
      <c r="D84" s="6" t="str">
        <f ca="1">IFERROR(__xludf.DUMMYFUNCTION("""COMPUTED_VALUE"""),"New York, New York 
United States")</f>
        <v>New York, New York 
United States</v>
      </c>
      <c r="E84" s="6" t="str">
        <f ca="1">IFERROR(__xludf.DUMMYFUNCTION("""COMPUTED_VALUE"""),"New York")</f>
        <v>New York</v>
      </c>
      <c r="F84" s="6" t="str">
        <f ca="1">IFERROR(__xludf.DUMMYFUNCTION("""COMPUTED_VALUE"""),"Woman")</f>
        <v>Woman</v>
      </c>
      <c r="G84" s="6" t="str">
        <f ca="1">IFERROR(__xludf.DUMMYFUNCTION("""COMPUTED_VALUE"""),"Woman")</f>
        <v>Woman</v>
      </c>
      <c r="H84" s="6" t="str">
        <f ca="1">IFERROR(__xludf.DUMMYFUNCTION("""COMPUTED_VALUE"""),"Woman")</f>
        <v>Woman</v>
      </c>
      <c r="I84" s="6"/>
      <c r="J84" s="6"/>
      <c r="K84" s="6"/>
      <c r="L84" s="6" t="str">
        <f ca="1">IFERROR(__xludf.DUMMYFUNCTION("""COMPUTED_VALUE"""),"--Please select--")</f>
        <v>--Please select--</v>
      </c>
      <c r="M84" s="6"/>
      <c r="N84" s="6"/>
      <c r="O84" s="6" t="str">
        <f ca="1">IFERROR(__xludf.DUMMYFUNCTION("""COMPUTED_VALUE"""),"Referral")</f>
        <v>Referral</v>
      </c>
      <c r="P84" s="6"/>
      <c r="Q84" s="6" t="str">
        <f ca="1">IFERROR(__xludf.DUMMYFUNCTION("""COMPUTED_VALUE"""),"No")</f>
        <v>No</v>
      </c>
      <c r="R84" s="6">
        <f ca="1">IFERROR(__xludf.DUMMYFUNCTION("""COMPUTED_VALUE"""),3)</f>
        <v>3</v>
      </c>
      <c r="S84" s="6" t="str">
        <f ca="1">IFERROR(__xludf.DUMMYFUNCTION("""COMPUTED_VALUE"""),"Pre-seed")</f>
        <v>Pre-seed</v>
      </c>
      <c r="T84" s="6" t="str">
        <f ca="1">IFERROR(__xludf.DUMMYFUNCTION("""COMPUTED_VALUE"""),"Pre-seed")</f>
        <v>Pre-seed</v>
      </c>
      <c r="U84" s="6" t="str">
        <f ca="1">IFERROR(__xludf.DUMMYFUNCTION("""COMPUTED_VALUE"""),"Pre-seed")</f>
        <v>Pre-seed</v>
      </c>
      <c r="V84" s="6"/>
      <c r="W84" s="6" t="str">
        <f ca="1">IFERROR(__xludf.DUMMYFUNCTION("""COMPUTED_VALUE"""),"Invite Next Year")</f>
        <v>Invite Next Year</v>
      </c>
    </row>
    <row r="85" spans="1:23">
      <c r="A85" s="6" t="str">
        <f ca="1">IFERROR(__xludf.DUMMYFUNCTION("""COMPUTED_VALUE"""),"Man, Woman, Man")</f>
        <v>Man, Woman, Man</v>
      </c>
      <c r="B85" s="6" t="str">
        <f ca="1">IFERROR(__xludf.DUMMYFUNCTION("""COMPUTED_VALUE"""),"iCover _2022")</f>
        <v>iCover _2022</v>
      </c>
      <c r="C85" s="6" t="str">
        <f ca="1">IFERROR(__xludf.DUMMYFUNCTION("""COMPUTED_VALUE"""),"Digital Tech")</f>
        <v>Digital Tech</v>
      </c>
      <c r="D85" s="6" t="str">
        <f ca="1">IFERROR(__xludf.DUMMYFUNCTION("""COMPUTED_VALUE"""),"15510 Olive , Suite 205, Chesterfield, MO 
United States")</f>
        <v>15510 Olive , Suite 205, Chesterfield, MO 
United States</v>
      </c>
      <c r="E85" s="6" t="str">
        <f ca="1">IFERROR(__xludf.DUMMYFUNCTION("""COMPUTED_VALUE"""),"Midwest")</f>
        <v>Midwest</v>
      </c>
      <c r="F85" s="6" t="str">
        <f ca="1">IFERROR(__xludf.DUMMYFUNCTION("""COMPUTED_VALUE"""),"Man")</f>
        <v>Man</v>
      </c>
      <c r="G85" s="6" t="str">
        <f ca="1">IFERROR(__xludf.DUMMYFUNCTION("""COMPUTED_VALUE"""),"Woman")</f>
        <v>Woman</v>
      </c>
      <c r="H85" s="6" t="str">
        <f ca="1">IFERROR(__xludf.DUMMYFUNCTION("""COMPUTED_VALUE"""),"Man")</f>
        <v>Man</v>
      </c>
      <c r="I85" s="6"/>
      <c r="J85" s="6"/>
      <c r="K85" s="6"/>
      <c r="L85" s="6" t="str">
        <f ca="1">IFERROR(__xludf.DUMMYFUNCTION("""COMPUTED_VALUE"""),"No")</f>
        <v>No</v>
      </c>
      <c r="M85" s="6"/>
      <c r="N85" s="6"/>
      <c r="O85" s="6" t="str">
        <f ca="1">IFERROR(__xludf.DUMMYFUNCTION("""COMPUTED_VALUE"""),"Email")</f>
        <v>Email</v>
      </c>
      <c r="P85" s="6"/>
      <c r="Q85" s="6" t="str">
        <f ca="1">IFERROR(__xludf.DUMMYFUNCTION("""COMPUTED_VALUE"""),"No")</f>
        <v>No</v>
      </c>
      <c r="R85" s="6">
        <f ca="1">IFERROR(__xludf.DUMMYFUNCTION("""COMPUTED_VALUE"""),3)</f>
        <v>3</v>
      </c>
      <c r="S85" s="6" t="str">
        <f ca="1">IFERROR(__xludf.DUMMYFUNCTION("""COMPUTED_VALUE"""),"Seed")</f>
        <v>Seed</v>
      </c>
      <c r="T85" s="6" t="str">
        <f ca="1">IFERROR(__xludf.DUMMYFUNCTION("""COMPUTED_VALUE"""),"Seed")</f>
        <v>Seed</v>
      </c>
      <c r="U85" s="6" t="str">
        <f ca="1">IFERROR(__xludf.DUMMYFUNCTION("""COMPUTED_VALUE"""),"Seed")</f>
        <v>Seed</v>
      </c>
      <c r="V85" s="6"/>
      <c r="W85" s="6" t="str">
        <f ca="1">IFERROR(__xludf.DUMMYFUNCTION("""COMPUTED_VALUE"""),"Invite Next Year")</f>
        <v>Invite Next Year</v>
      </c>
    </row>
    <row r="86" spans="1:23">
      <c r="A86" s="6" t="str">
        <f ca="1">IFERROR(__xludf.DUMMYFUNCTION("""COMPUTED_VALUE"""),"Man, Man")</f>
        <v>Man, Man</v>
      </c>
      <c r="B86" s="6" t="str">
        <f ca="1">IFERROR(__xludf.DUMMYFUNCTION("""COMPUTED_VALUE"""),"Structure Financial _2022")</f>
        <v>Structure Financial _2022</v>
      </c>
      <c r="C86" s="6" t="str">
        <f ca="1">IFERROR(__xludf.DUMMYFUNCTION("""COMPUTED_VALUE"""),"Digital Tech")</f>
        <v>Digital Tech</v>
      </c>
      <c r="D86" s="6" t="str">
        <f ca="1">IFERROR(__xludf.DUMMYFUNCTION("""COMPUTED_VALUE"""),"Road Town, Tortola 
Virgin Islands, British")</f>
        <v>Road Town, Tortola 
Virgin Islands, British</v>
      </c>
      <c r="E86" s="6" t="str">
        <f ca="1">IFERROR(__xludf.DUMMYFUNCTION("""COMPUTED_VALUE"""),"International - Americas")</f>
        <v>International - Americas</v>
      </c>
      <c r="F86" s="6" t="str">
        <f ca="1">IFERROR(__xludf.DUMMYFUNCTION("""COMPUTED_VALUE"""),"Man")</f>
        <v>Man</v>
      </c>
      <c r="G86" s="6" t="str">
        <f ca="1">IFERROR(__xludf.DUMMYFUNCTION("""COMPUTED_VALUE"""),"Man")</f>
        <v>Man</v>
      </c>
      <c r="H86" s="6"/>
      <c r="I86" s="6"/>
      <c r="J86" s="6"/>
      <c r="K86" s="6"/>
      <c r="L86" s="6" t="str">
        <f ca="1">IFERROR(__xludf.DUMMYFUNCTION("""COMPUTED_VALUE"""),"No")</f>
        <v>No</v>
      </c>
      <c r="M86" s="6"/>
      <c r="N86" s="6"/>
      <c r="O86" s="6" t="str">
        <f ca="1">IFERROR(__xludf.DUMMYFUNCTION("""COMPUTED_VALUE"""),"Email")</f>
        <v>Email</v>
      </c>
      <c r="P86" s="6"/>
      <c r="Q86" s="6" t="str">
        <f ca="1">IFERROR(__xludf.DUMMYFUNCTION("""COMPUTED_VALUE"""),"No")</f>
        <v>No</v>
      </c>
      <c r="R86" s="6">
        <f ca="1">IFERROR(__xludf.DUMMYFUNCTION("""COMPUTED_VALUE"""),2)</f>
        <v>2</v>
      </c>
      <c r="S86" s="6" t="str">
        <f ca="1">IFERROR(__xludf.DUMMYFUNCTION("""COMPUTED_VALUE"""),"Pre-seed
Seed")</f>
        <v>Pre-seed
Seed</v>
      </c>
      <c r="T86" s="6" t="str">
        <f ca="1">IFERROR(__xludf.DUMMYFUNCTION("""COMPUTED_VALUE"""),"Pre-seed, Seed")</f>
        <v>Pre-seed, Seed</v>
      </c>
      <c r="U86" s="6" t="str">
        <f ca="1">IFERROR(__xludf.DUMMYFUNCTION("""COMPUTED_VALUE"""),"Pre-seed, Seed")</f>
        <v>Pre-seed, Seed</v>
      </c>
      <c r="V86" s="6"/>
      <c r="W86" s="6" t="str">
        <f ca="1">IFERROR(__xludf.DUMMYFUNCTION("""COMPUTED_VALUE"""),"Invite")</f>
        <v>Invite</v>
      </c>
    </row>
    <row r="87" spans="1:23">
      <c r="A87" s="6" t="str">
        <f ca="1">IFERROR(__xludf.DUMMYFUNCTION("""COMPUTED_VALUE"""),"Man, Man")</f>
        <v>Man, Man</v>
      </c>
      <c r="B87" s="6" t="str">
        <f ca="1">IFERROR(__xludf.DUMMYFUNCTION("""COMPUTED_VALUE"""),"Realtimate Labs Private Limited _2022")</f>
        <v>Realtimate Labs Private Limited _2022</v>
      </c>
      <c r="C87" s="6" t="str">
        <f ca="1">IFERROR(__xludf.DUMMYFUNCTION("""COMPUTED_VALUE"""),"Digital Tech")</f>
        <v>Digital Tech</v>
      </c>
      <c r="D87" s="6" t="str">
        <f ca="1">IFERROR(__xludf.DUMMYFUNCTION("""COMPUTED_VALUE"""),"Bengaluru, Karnataka 
India")</f>
        <v>Bengaluru, Karnataka 
India</v>
      </c>
      <c r="E87" s="6" t="str">
        <f ca="1">IFERROR(__xludf.DUMMYFUNCTION("""COMPUTED_VALUE"""),"International - Asia")</f>
        <v>International - Asia</v>
      </c>
      <c r="F87" s="6" t="str">
        <f ca="1">IFERROR(__xludf.DUMMYFUNCTION("""COMPUTED_VALUE"""),"Man")</f>
        <v>Man</v>
      </c>
      <c r="G87" s="6" t="str">
        <f ca="1">IFERROR(__xludf.DUMMYFUNCTION("""COMPUTED_VALUE"""),"Man")</f>
        <v>Man</v>
      </c>
      <c r="H87" s="6"/>
      <c r="I87" s="6"/>
      <c r="J87" s="6"/>
      <c r="K87" s="6"/>
      <c r="L87" s="6" t="str">
        <f ca="1">IFERROR(__xludf.DUMMYFUNCTION("""COMPUTED_VALUE"""),"No")</f>
        <v>No</v>
      </c>
      <c r="M87" s="6"/>
      <c r="N87" s="6"/>
      <c r="O87" s="6" t="str">
        <f ca="1">IFERROR(__xludf.DUMMYFUNCTION("""COMPUTED_VALUE"""),"Referral")</f>
        <v>Referral</v>
      </c>
      <c r="P87" s="6"/>
      <c r="Q87" s="6" t="str">
        <f ca="1">IFERROR(__xludf.DUMMYFUNCTION("""COMPUTED_VALUE"""),"No")</f>
        <v>No</v>
      </c>
      <c r="R87" s="6">
        <f ca="1">IFERROR(__xludf.DUMMYFUNCTION("""COMPUTED_VALUE"""),2)</f>
        <v>2</v>
      </c>
      <c r="S87" s="6" t="str">
        <f ca="1">IFERROR(__xludf.DUMMYFUNCTION("""COMPUTED_VALUE"""),"Pre-seed
Other: Bootstrapped")</f>
        <v>Pre-seed
Other: Bootstrapped</v>
      </c>
      <c r="T87" s="6" t="str">
        <f ca="1">IFERROR(__xludf.DUMMYFUNCTION("""COMPUTED_VALUE"""),"Pre-seed, Other: Bootstrapped")</f>
        <v>Pre-seed, Other: Bootstrapped</v>
      </c>
      <c r="U87" s="6" t="str">
        <f ca="1">IFERROR(__xludf.DUMMYFUNCTION("""COMPUTED_VALUE"""),"Pre-seed, ")</f>
        <v xml:space="preserve">Pre-seed, </v>
      </c>
      <c r="V87" s="6" t="str">
        <f ca="1">IFERROR(__xludf.DUMMYFUNCTION("""COMPUTED_VALUE"""),"Bootstrapped")</f>
        <v>Bootstrapped</v>
      </c>
      <c r="W87" s="6" t="str">
        <f ca="1">IFERROR(__xludf.DUMMYFUNCTION("""COMPUTED_VALUE"""),"Invite Next Year")</f>
        <v>Invite Next Year</v>
      </c>
    </row>
    <row r="88" spans="1:23">
      <c r="A88" s="6" t="str">
        <f ca="1">IFERROR(__xludf.DUMMYFUNCTION("""COMPUTED_VALUE"""),"Man, Man, Man, Man")</f>
        <v>Man, Man, Man, Man</v>
      </c>
      <c r="B88" s="6" t="str">
        <f ca="1">IFERROR(__xludf.DUMMYFUNCTION("""COMPUTED_VALUE"""),"Edupay _2022")</f>
        <v>Edupay _2022</v>
      </c>
      <c r="C88" s="6" t="str">
        <f ca="1">IFERROR(__xludf.DUMMYFUNCTION("""COMPUTED_VALUE"""),"Digital Tech")</f>
        <v>Digital Tech</v>
      </c>
      <c r="D88" s="6" t="str">
        <f ca="1">IFERROR(__xludf.DUMMYFUNCTION("""COMPUTED_VALUE"""),"Cairo, Cairo 
Egypt")</f>
        <v>Cairo, Cairo 
Egypt</v>
      </c>
      <c r="E88" s="6" t="str">
        <f ca="1">IFERROR(__xludf.DUMMYFUNCTION("""COMPUTED_VALUE"""),"International - Middle East")</f>
        <v>International - Middle East</v>
      </c>
      <c r="F88" s="6" t="str">
        <f ca="1">IFERROR(__xludf.DUMMYFUNCTION("""COMPUTED_VALUE"""),"Man")</f>
        <v>Man</v>
      </c>
      <c r="G88" s="6" t="str">
        <f ca="1">IFERROR(__xludf.DUMMYFUNCTION("""COMPUTED_VALUE"""),"Man")</f>
        <v>Man</v>
      </c>
      <c r="H88" s="6" t="str">
        <f ca="1">IFERROR(__xludf.DUMMYFUNCTION("""COMPUTED_VALUE"""),"Man")</f>
        <v>Man</v>
      </c>
      <c r="I88" s="6" t="str">
        <f ca="1">IFERROR(__xludf.DUMMYFUNCTION("""COMPUTED_VALUE"""),"Man")</f>
        <v>Man</v>
      </c>
      <c r="J88" s="6"/>
      <c r="K88" s="6"/>
      <c r="L88" s="6" t="str">
        <f ca="1">IFERROR(__xludf.DUMMYFUNCTION("""COMPUTED_VALUE"""),"No")</f>
        <v>No</v>
      </c>
      <c r="M88" s="6"/>
      <c r="N88" s="6"/>
      <c r="O88" s="6" t="str">
        <f ca="1">IFERROR(__xludf.DUMMYFUNCTION("""COMPUTED_VALUE"""),"Referral")</f>
        <v>Referral</v>
      </c>
      <c r="P88" s="6"/>
      <c r="Q88" s="6" t="str">
        <f ca="1">IFERROR(__xludf.DUMMYFUNCTION("""COMPUTED_VALUE"""),"No")</f>
        <v>No</v>
      </c>
      <c r="R88" s="6">
        <f ca="1">IFERROR(__xludf.DUMMYFUNCTION("""COMPUTED_VALUE"""),4)</f>
        <v>4</v>
      </c>
      <c r="S88" s="6" t="str">
        <f ca="1">IFERROR(__xludf.DUMMYFUNCTION("""COMPUTED_VALUE"""),"Other: Incubator")</f>
        <v>Other: Incubator</v>
      </c>
      <c r="T88" s="6" t="str">
        <f ca="1">IFERROR(__xludf.DUMMYFUNCTION("""COMPUTED_VALUE"""),"Other: Incubator")</f>
        <v>Other: Incubator</v>
      </c>
      <c r="U88" s="6" t="str">
        <f ca="1">IFERROR(__xludf.DUMMYFUNCTION("""COMPUTED_VALUE"""),"Incubator")</f>
        <v>Incubator</v>
      </c>
      <c r="V88" s="6"/>
      <c r="W88" s="6" t="str">
        <f ca="1">IFERROR(__xludf.DUMMYFUNCTION("""COMPUTED_VALUE"""),"Invite Next Year")</f>
        <v>Invite Next Year</v>
      </c>
    </row>
    <row r="89" spans="1:23">
      <c r="A89" s="6" t="str">
        <f ca="1">IFERROR(__xludf.DUMMYFUNCTION("""COMPUTED_VALUE"""),"Woman, Woman, Man, Transgender")</f>
        <v>Woman, Woman, Man, Transgender</v>
      </c>
      <c r="B89" s="6" t="str">
        <f ca="1">IFERROR(__xludf.DUMMYFUNCTION("""COMPUTED_VALUE"""),"Seek AI Inc. _2022")</f>
        <v>Seek AI Inc. _2022</v>
      </c>
      <c r="C89" s="6" t="str">
        <f ca="1">IFERROR(__xludf.DUMMYFUNCTION("""COMPUTED_VALUE"""),"Digital Tech")</f>
        <v>Digital Tech</v>
      </c>
      <c r="D89" s="6" t="str">
        <f ca="1">IFERROR(__xludf.DUMMYFUNCTION("""COMPUTED_VALUE"""),"145 6th Ave, Floor 7, NY 
United States")</f>
        <v>145 6th Ave, Floor 7, NY 
United States</v>
      </c>
      <c r="E89" s="6" t="str">
        <f ca="1">IFERROR(__xludf.DUMMYFUNCTION("""COMPUTED_VALUE"""),"New York")</f>
        <v>New York</v>
      </c>
      <c r="F89" s="6" t="str">
        <f ca="1">IFERROR(__xludf.DUMMYFUNCTION("""COMPUTED_VALUE"""),"Woman")</f>
        <v>Woman</v>
      </c>
      <c r="G89" s="6" t="str">
        <f ca="1">IFERROR(__xludf.DUMMYFUNCTION("""COMPUTED_VALUE"""),"Woman")</f>
        <v>Woman</v>
      </c>
      <c r="H89" s="6" t="str">
        <f ca="1">IFERROR(__xludf.DUMMYFUNCTION("""COMPUTED_VALUE"""),"Man")</f>
        <v>Man</v>
      </c>
      <c r="I89" s="6" t="str">
        <f ca="1">IFERROR(__xludf.DUMMYFUNCTION("""COMPUTED_VALUE"""),"Transgender")</f>
        <v>Transgender</v>
      </c>
      <c r="J89" s="6"/>
      <c r="K89" s="6"/>
      <c r="L89" s="6" t="str">
        <f ca="1">IFERROR(__xludf.DUMMYFUNCTION("""COMPUTED_VALUE"""),"Yes")</f>
        <v>Yes</v>
      </c>
      <c r="M89" s="6" t="str">
        <f ca="1">IFERROR(__xludf.DUMMYFUNCTION("""COMPUTED_VALUE"""),"NYU Student")</f>
        <v>NYU Student</v>
      </c>
      <c r="N89" s="6"/>
      <c r="O89" s="6" t="str">
        <f ca="1">IFERROR(__xludf.DUMMYFUNCTION("""COMPUTED_VALUE"""),"Email")</f>
        <v>Email</v>
      </c>
      <c r="P89" s="6"/>
      <c r="Q89" s="6" t="str">
        <f ca="1">IFERROR(__xludf.DUMMYFUNCTION("""COMPUTED_VALUE"""),"No")</f>
        <v>No</v>
      </c>
      <c r="R89" s="6">
        <f ca="1">IFERROR(__xludf.DUMMYFUNCTION("""COMPUTED_VALUE"""),4)</f>
        <v>4</v>
      </c>
      <c r="S89" s="6" t="str">
        <f ca="1">IFERROR(__xludf.DUMMYFUNCTION("""COMPUTED_VALUE"""),"Pre-seed")</f>
        <v>Pre-seed</v>
      </c>
      <c r="T89" s="6" t="str">
        <f ca="1">IFERROR(__xludf.DUMMYFUNCTION("""COMPUTED_VALUE"""),"Pre-seed")</f>
        <v>Pre-seed</v>
      </c>
      <c r="U89" s="6" t="str">
        <f ca="1">IFERROR(__xludf.DUMMYFUNCTION("""COMPUTED_VALUE"""),"Pre-seed")</f>
        <v>Pre-seed</v>
      </c>
      <c r="V89" s="6"/>
      <c r="W89" s="6" t="str">
        <f ca="1">IFERROR(__xludf.DUMMYFUNCTION("""COMPUTED_VALUE"""),"Invite")</f>
        <v>Invite</v>
      </c>
    </row>
    <row r="90" spans="1:23">
      <c r="A90" s="6" t="str">
        <f ca="1">IFERROR(__xludf.DUMMYFUNCTION("""COMPUTED_VALUE"""),"Man, Man")</f>
        <v>Man, Man</v>
      </c>
      <c r="B90" s="6" t="str">
        <f ca="1">IFERROR(__xludf.DUMMYFUNCTION("""COMPUTED_VALUE"""),"Scispot.io, Inc.  _2022")</f>
        <v>Scispot.io, Inc.  _2022</v>
      </c>
      <c r="C90" s="6" t="str">
        <f ca="1">IFERROR(__xludf.DUMMYFUNCTION("""COMPUTED_VALUE"""),"Life Sciences")</f>
        <v>Life Sciences</v>
      </c>
      <c r="D90" s="6" t="str">
        <f ca="1">IFERROR(__xludf.DUMMYFUNCTION("""COMPUTED_VALUE"""),"Kitchener, Ontario 
Canada")</f>
        <v>Kitchener, Ontario 
Canada</v>
      </c>
      <c r="E90" s="6" t="str">
        <f ca="1">IFERROR(__xludf.DUMMYFUNCTION("""COMPUTED_VALUE"""),"International - Americas")</f>
        <v>International - Americas</v>
      </c>
      <c r="F90" s="6" t="str">
        <f ca="1">IFERROR(__xludf.DUMMYFUNCTION("""COMPUTED_VALUE"""),"Man")</f>
        <v>Man</v>
      </c>
      <c r="G90" s="6" t="str">
        <f ca="1">IFERROR(__xludf.DUMMYFUNCTION("""COMPUTED_VALUE"""),"Man")</f>
        <v>Man</v>
      </c>
      <c r="H90" s="6"/>
      <c r="I90" s="6"/>
      <c r="J90" s="6"/>
      <c r="K90" s="6"/>
      <c r="L90" s="6" t="str">
        <f ca="1">IFERROR(__xludf.DUMMYFUNCTION("""COMPUTED_VALUE"""),"No")</f>
        <v>No</v>
      </c>
      <c r="M90" s="6"/>
      <c r="N90" s="6"/>
      <c r="O90" s="6" t="str">
        <f ca="1">IFERROR(__xludf.DUMMYFUNCTION("""COMPUTED_VALUE"""),"Email")</f>
        <v>Email</v>
      </c>
      <c r="P90" s="6"/>
      <c r="Q90" s="6" t="str">
        <f ca="1">IFERROR(__xludf.DUMMYFUNCTION("""COMPUTED_VALUE"""),"No")</f>
        <v>No</v>
      </c>
      <c r="R90" s="6">
        <f ca="1">IFERROR(__xludf.DUMMYFUNCTION("""COMPUTED_VALUE"""),2)</f>
        <v>2</v>
      </c>
      <c r="S90" s="6" t="str">
        <f ca="1">IFERROR(__xludf.DUMMYFUNCTION("""COMPUTED_VALUE"""),"Pre-seed")</f>
        <v>Pre-seed</v>
      </c>
      <c r="T90" s="6" t="str">
        <f ca="1">IFERROR(__xludf.DUMMYFUNCTION("""COMPUTED_VALUE"""),"Pre-seed")</f>
        <v>Pre-seed</v>
      </c>
      <c r="U90" s="6" t="str">
        <f ca="1">IFERROR(__xludf.DUMMYFUNCTION("""COMPUTED_VALUE"""),"Pre-seed")</f>
        <v>Pre-seed</v>
      </c>
      <c r="V90" s="6"/>
      <c r="W90" s="6" t="str">
        <f ca="1">IFERROR(__xludf.DUMMYFUNCTION("""COMPUTED_VALUE"""),"Invite")</f>
        <v>Invite</v>
      </c>
    </row>
    <row r="91" spans="1:23">
      <c r="A91" s="6" t="str">
        <f ca="1">IFERROR(__xludf.DUMMYFUNCTION("""COMPUTED_VALUE"""),"Man, Man")</f>
        <v>Man, Man</v>
      </c>
      <c r="B91" s="6" t="str">
        <f ca="1">IFERROR(__xludf.DUMMYFUNCTION("""COMPUTED_VALUE"""),"Exirio _2022")</f>
        <v>Exirio _2022</v>
      </c>
      <c r="C91" s="6" t="str">
        <f ca="1">IFERROR(__xludf.DUMMYFUNCTION("""COMPUTED_VALUE"""),"Digital Tech")</f>
        <v>Digital Tech</v>
      </c>
      <c r="D91" s="6" t="str">
        <f ca="1">IFERROR(__xludf.DUMMYFUNCTION("""COMPUTED_VALUE"""),"Miami, FL 
United States")</f>
        <v>Miami, FL 
United States</v>
      </c>
      <c r="E91" s="6" t="str">
        <f ca="1">IFERROR(__xludf.DUMMYFUNCTION("""COMPUTED_VALUE"""),"East Coast")</f>
        <v>East Coast</v>
      </c>
      <c r="F91" s="6" t="str">
        <f ca="1">IFERROR(__xludf.DUMMYFUNCTION("""COMPUTED_VALUE"""),"Man")</f>
        <v>Man</v>
      </c>
      <c r="G91" s="6" t="str">
        <f ca="1">IFERROR(__xludf.DUMMYFUNCTION("""COMPUTED_VALUE"""),"Man")</f>
        <v>Man</v>
      </c>
      <c r="H91" s="6"/>
      <c r="I91" s="6"/>
      <c r="J91" s="6"/>
      <c r="K91" s="6"/>
      <c r="L91" s="6" t="str">
        <f ca="1">IFERROR(__xludf.DUMMYFUNCTION("""COMPUTED_VALUE"""),"No")</f>
        <v>No</v>
      </c>
      <c r="M91" s="6"/>
      <c r="N91" s="6"/>
      <c r="O91" s="6" t="str">
        <f ca="1">IFERROR(__xludf.DUMMYFUNCTION("""COMPUTED_VALUE"""),"Email")</f>
        <v>Email</v>
      </c>
      <c r="P91" s="6"/>
      <c r="Q91" s="6" t="str">
        <f ca="1">IFERROR(__xludf.DUMMYFUNCTION("""COMPUTED_VALUE"""),"No")</f>
        <v>No</v>
      </c>
      <c r="R91" s="6">
        <f ca="1">IFERROR(__xludf.DUMMYFUNCTION("""COMPUTED_VALUE"""),2)</f>
        <v>2</v>
      </c>
      <c r="S91" s="6" t="str">
        <f ca="1">IFERROR(__xludf.DUMMYFUNCTION("""COMPUTED_VALUE"""),"Pre-seed")</f>
        <v>Pre-seed</v>
      </c>
      <c r="T91" s="6" t="str">
        <f ca="1">IFERROR(__xludf.DUMMYFUNCTION("""COMPUTED_VALUE"""),"Pre-seed")</f>
        <v>Pre-seed</v>
      </c>
      <c r="U91" s="6" t="str">
        <f ca="1">IFERROR(__xludf.DUMMYFUNCTION("""COMPUTED_VALUE"""),"Pre-seed")</f>
        <v>Pre-seed</v>
      </c>
      <c r="V91" s="6"/>
      <c r="W91" s="6" t="str">
        <f ca="1">IFERROR(__xludf.DUMMYFUNCTION("""COMPUTED_VALUE"""),"Invite Next Year")</f>
        <v>Invite Next Year</v>
      </c>
    </row>
    <row r="92" spans="1:23">
      <c r="A92" s="6" t="str">
        <f ca="1">IFERROR(__xludf.DUMMYFUNCTION("""COMPUTED_VALUE"""),"Man, Man")</f>
        <v>Man, Man</v>
      </c>
      <c r="B92" s="6" t="str">
        <f ca="1">IFERROR(__xludf.DUMMYFUNCTION("""COMPUTED_VALUE"""),"Tomorrow Biostasis _2022")</f>
        <v>Tomorrow Biostasis _2022</v>
      </c>
      <c r="C92" s="6" t="str">
        <f ca="1">IFERROR(__xludf.DUMMYFUNCTION("""COMPUTED_VALUE"""),"Deep Tech")</f>
        <v>Deep Tech</v>
      </c>
      <c r="D92" s="6" t="str">
        <f ca="1">IFERROR(__xludf.DUMMYFUNCTION("""COMPUTED_VALUE"""),"Grafestr. 11, Berlin 
Germany")</f>
        <v>Grafestr. 11, Berlin 
Germany</v>
      </c>
      <c r="E92" s="6" t="str">
        <f ca="1">IFERROR(__xludf.DUMMYFUNCTION("""COMPUTED_VALUE"""),"International - Europe")</f>
        <v>International - Europe</v>
      </c>
      <c r="F92" s="6" t="str">
        <f ca="1">IFERROR(__xludf.DUMMYFUNCTION("""COMPUTED_VALUE"""),"Man")</f>
        <v>Man</v>
      </c>
      <c r="G92" s="6" t="str">
        <f ca="1">IFERROR(__xludf.DUMMYFUNCTION("""COMPUTED_VALUE"""),"Man")</f>
        <v>Man</v>
      </c>
      <c r="H92" s="6"/>
      <c r="I92" s="6"/>
      <c r="J92" s="6"/>
      <c r="K92" s="6"/>
      <c r="L92" s="6" t="str">
        <f ca="1">IFERROR(__xludf.DUMMYFUNCTION("""COMPUTED_VALUE"""),"No")</f>
        <v>No</v>
      </c>
      <c r="M92" s="6"/>
      <c r="N92" s="6"/>
      <c r="O92" s="6" t="str">
        <f ca="1">IFERROR(__xludf.DUMMYFUNCTION("""COMPUTED_VALUE"""),"Email")</f>
        <v>Email</v>
      </c>
      <c r="P92" s="6"/>
      <c r="Q92" s="6" t="str">
        <f ca="1">IFERROR(__xludf.DUMMYFUNCTION("""COMPUTED_VALUE"""),"No")</f>
        <v>No</v>
      </c>
      <c r="R92" s="6">
        <f ca="1">IFERROR(__xludf.DUMMYFUNCTION("""COMPUTED_VALUE"""),2)</f>
        <v>2</v>
      </c>
      <c r="S92" s="6" t="str">
        <f ca="1">IFERROR(__xludf.DUMMYFUNCTION("""COMPUTED_VALUE"""),"Pre-seed")</f>
        <v>Pre-seed</v>
      </c>
      <c r="T92" s="6" t="str">
        <f ca="1">IFERROR(__xludf.DUMMYFUNCTION("""COMPUTED_VALUE"""),"Pre-seed")</f>
        <v>Pre-seed</v>
      </c>
      <c r="U92" s="6" t="str">
        <f ca="1">IFERROR(__xludf.DUMMYFUNCTION("""COMPUTED_VALUE"""),"Pre-seed")</f>
        <v>Pre-seed</v>
      </c>
      <c r="V92" s="6"/>
      <c r="W92" s="6" t="str">
        <f ca="1">IFERROR(__xludf.DUMMYFUNCTION("""COMPUTED_VALUE"""),"Invite Next Year")</f>
        <v>Invite Next Year</v>
      </c>
    </row>
    <row r="93" spans="1:23">
      <c r="A93" s="6" t="str">
        <f ca="1">IFERROR(__xludf.DUMMYFUNCTION("""COMPUTED_VALUE"""),"Man, Man")</f>
        <v>Man, Man</v>
      </c>
      <c r="B93" s="6" t="str">
        <f ca="1">IFERROR(__xludf.DUMMYFUNCTION("""COMPUTED_VALUE"""),"REEV _2022")</f>
        <v>REEV _2022</v>
      </c>
      <c r="C93" s="6" t="str">
        <f ca="1">IFERROR(__xludf.DUMMYFUNCTION("""COMPUTED_VALUE"""),"Deep Tech")</f>
        <v>Deep Tech</v>
      </c>
      <c r="D93" s="6" t="str">
        <f ca="1">IFERROR(__xludf.DUMMYFUNCTION("""COMPUTED_VALUE"""),"Toulouse, Occitanie 
France")</f>
        <v>Toulouse, Occitanie 
France</v>
      </c>
      <c r="E93" s="6" t="str">
        <f ca="1">IFERROR(__xludf.DUMMYFUNCTION("""COMPUTED_VALUE"""),"International - Europe")</f>
        <v>International - Europe</v>
      </c>
      <c r="F93" s="6" t="str">
        <f ca="1">IFERROR(__xludf.DUMMYFUNCTION("""COMPUTED_VALUE"""),"Man")</f>
        <v>Man</v>
      </c>
      <c r="G93" s="6" t="str">
        <f ca="1">IFERROR(__xludf.DUMMYFUNCTION("""COMPUTED_VALUE"""),"Man")</f>
        <v>Man</v>
      </c>
      <c r="H93" s="6"/>
      <c r="I93" s="6"/>
      <c r="J93" s="6"/>
      <c r="K93" s="6"/>
      <c r="L93" s="6" t="str">
        <f ca="1">IFERROR(__xludf.DUMMYFUNCTION("""COMPUTED_VALUE"""),"No")</f>
        <v>No</v>
      </c>
      <c r="M93" s="6"/>
      <c r="N93" s="6"/>
      <c r="O93" s="6" t="str">
        <f ca="1">IFERROR(__xludf.DUMMYFUNCTION("""COMPUTED_VALUE"""),"Email")</f>
        <v>Email</v>
      </c>
      <c r="P93" s="6"/>
      <c r="Q93" s="6" t="str">
        <f ca="1">IFERROR(__xludf.DUMMYFUNCTION("""COMPUTED_VALUE"""),"No")</f>
        <v>No</v>
      </c>
      <c r="R93" s="6">
        <f ca="1">IFERROR(__xludf.DUMMYFUNCTION("""COMPUTED_VALUE"""),2)</f>
        <v>2</v>
      </c>
      <c r="S93" s="6" t="str">
        <f ca="1">IFERROR(__xludf.DUMMYFUNCTION("""COMPUTED_VALUE"""),"Grants")</f>
        <v>Grants</v>
      </c>
      <c r="T93" s="6" t="str">
        <f ca="1">IFERROR(__xludf.DUMMYFUNCTION("""COMPUTED_VALUE"""),"Grants")</f>
        <v>Grants</v>
      </c>
      <c r="U93" s="6" t="str">
        <f ca="1">IFERROR(__xludf.DUMMYFUNCTION("""COMPUTED_VALUE"""),"Grants")</f>
        <v>Grants</v>
      </c>
      <c r="V93" s="6"/>
      <c r="W93" s="6" t="str">
        <f ca="1">IFERROR(__xludf.DUMMYFUNCTION("""COMPUTED_VALUE"""),"Revisit/ Cluster")</f>
        <v>Revisit/ Cluster</v>
      </c>
    </row>
    <row r="94" spans="1:23">
      <c r="A94" s="6" t="str">
        <f ca="1">IFERROR(__xludf.DUMMYFUNCTION("""COMPUTED_VALUE"""),"Man, Man")</f>
        <v>Man, Man</v>
      </c>
      <c r="B94" s="6" t="str">
        <f ca="1">IFERROR(__xludf.DUMMYFUNCTION("""COMPUTED_VALUE"""),"Exovolar Industries Corp. _2022")</f>
        <v>Exovolar Industries Corp. _2022</v>
      </c>
      <c r="C94" s="6" t="str">
        <f ca="1">IFERROR(__xludf.DUMMYFUNCTION("""COMPUTED_VALUE"""),"Deep Tech")</f>
        <v>Deep Tech</v>
      </c>
      <c r="D94" s="6" t="str">
        <f ca="1">IFERROR(__xludf.DUMMYFUNCTION("""COMPUTED_VALUE"""),"Union City, NJ 
United States")</f>
        <v>Union City, NJ 
United States</v>
      </c>
      <c r="E94" s="6" t="str">
        <f ca="1">IFERROR(__xludf.DUMMYFUNCTION("""COMPUTED_VALUE"""),"East Coast")</f>
        <v>East Coast</v>
      </c>
      <c r="F94" s="6" t="str">
        <f ca="1">IFERROR(__xludf.DUMMYFUNCTION("""COMPUTED_VALUE"""),"Man")</f>
        <v>Man</v>
      </c>
      <c r="G94" s="6" t="str">
        <f ca="1">IFERROR(__xludf.DUMMYFUNCTION("""COMPUTED_VALUE"""),"Man")</f>
        <v>Man</v>
      </c>
      <c r="H94" s="6"/>
      <c r="I94" s="6"/>
      <c r="J94" s="6"/>
      <c r="K94" s="6"/>
      <c r="L94" s="6" t="str">
        <f ca="1">IFERROR(__xludf.DUMMYFUNCTION("""COMPUTED_VALUE"""),"No")</f>
        <v>No</v>
      </c>
      <c r="M94" s="6"/>
      <c r="N94" s="6"/>
      <c r="O94" s="6" t="str">
        <f ca="1">IFERROR(__xludf.DUMMYFUNCTION("""COMPUTED_VALUE"""),"Other")</f>
        <v>Other</v>
      </c>
      <c r="P94" s="6"/>
      <c r="Q94" s="6" t="str">
        <f ca="1">IFERROR(__xludf.DUMMYFUNCTION("""COMPUTED_VALUE"""),"No")</f>
        <v>No</v>
      </c>
      <c r="R94" s="6">
        <f ca="1">IFERROR(__xludf.DUMMYFUNCTION("""COMPUTED_VALUE"""),2)</f>
        <v>2</v>
      </c>
      <c r="S94" s="6" t="str">
        <f ca="1">IFERROR(__xludf.DUMMYFUNCTION("""COMPUTED_VALUE"""),"Pre-seed")</f>
        <v>Pre-seed</v>
      </c>
      <c r="T94" s="6" t="str">
        <f ca="1">IFERROR(__xludf.DUMMYFUNCTION("""COMPUTED_VALUE"""),"Pre-seed")</f>
        <v>Pre-seed</v>
      </c>
      <c r="U94" s="6" t="str">
        <f ca="1">IFERROR(__xludf.DUMMYFUNCTION("""COMPUTED_VALUE"""),"Pre-seed")</f>
        <v>Pre-seed</v>
      </c>
      <c r="V94" s="6"/>
      <c r="W94" s="6" t="str">
        <f ca="1">IFERROR(__xludf.DUMMYFUNCTION("""COMPUTED_VALUE"""),"Invite Next Year")</f>
        <v>Invite Next Year</v>
      </c>
    </row>
    <row r="95" spans="1:23">
      <c r="A95" s="6" t="str">
        <f ca="1">IFERROR(__xludf.DUMMYFUNCTION("""COMPUTED_VALUE"""),"Man, Man, Man, Man")</f>
        <v>Man, Man, Man, Man</v>
      </c>
      <c r="B95" s="6" t="str">
        <f ca="1">IFERROR(__xludf.DUMMYFUNCTION("""COMPUTED_VALUE"""),"Niura _2022")</f>
        <v>Niura _2022</v>
      </c>
      <c r="C95" s="6" t="str">
        <f ca="1">IFERROR(__xludf.DUMMYFUNCTION("""COMPUTED_VALUE"""),"Deep Tech")</f>
        <v>Deep Tech</v>
      </c>
      <c r="D95" s="6" t="str">
        <f ca="1">IFERROR(__xludf.DUMMYFUNCTION("""COMPUTED_VALUE"""),"Kew Gardens, NY 
United States")</f>
        <v>Kew Gardens, NY 
United States</v>
      </c>
      <c r="E95" s="6" t="str">
        <f ca="1">IFERROR(__xludf.DUMMYFUNCTION("""COMPUTED_VALUE"""),"East Coast")</f>
        <v>East Coast</v>
      </c>
      <c r="F95" s="6" t="str">
        <f ca="1">IFERROR(__xludf.DUMMYFUNCTION("""COMPUTED_VALUE"""),"Man")</f>
        <v>Man</v>
      </c>
      <c r="G95" s="6" t="str">
        <f ca="1">IFERROR(__xludf.DUMMYFUNCTION("""COMPUTED_VALUE"""),"Man")</f>
        <v>Man</v>
      </c>
      <c r="H95" s="6" t="str">
        <f ca="1">IFERROR(__xludf.DUMMYFUNCTION("""COMPUTED_VALUE"""),"Man")</f>
        <v>Man</v>
      </c>
      <c r="I95" s="6" t="str">
        <f ca="1">IFERROR(__xludf.DUMMYFUNCTION("""COMPUTED_VALUE"""),"Man")</f>
        <v>Man</v>
      </c>
      <c r="J95" s="6"/>
      <c r="K95" s="6"/>
      <c r="L95" s="6" t="str">
        <f ca="1">IFERROR(__xludf.DUMMYFUNCTION("""COMPUTED_VALUE"""),"Yes")</f>
        <v>Yes</v>
      </c>
      <c r="M95" s="6" t="str">
        <f ca="1">IFERROR(__xludf.DUMMYFUNCTION("""COMPUTED_VALUE"""),"NYU Student")</f>
        <v>NYU Student</v>
      </c>
      <c r="N95" s="6"/>
      <c r="O95" s="6" t="str">
        <f ca="1">IFERROR(__xludf.DUMMYFUNCTION("""COMPUTED_VALUE"""),"NYU Newsletter")</f>
        <v>NYU Newsletter</v>
      </c>
      <c r="P95" s="6"/>
      <c r="Q95" s="6" t="str">
        <f ca="1">IFERROR(__xludf.DUMMYFUNCTION("""COMPUTED_VALUE"""),"No")</f>
        <v>No</v>
      </c>
      <c r="R95" s="6">
        <f ca="1">IFERROR(__xludf.DUMMYFUNCTION("""COMPUTED_VALUE"""),4)</f>
        <v>4</v>
      </c>
      <c r="S95" s="6" t="str">
        <f ca="1">IFERROR(__xludf.DUMMYFUNCTION("""COMPUTED_VALUE"""),"Other: Competition prize money")</f>
        <v>Other: Competition prize money</v>
      </c>
      <c r="T95" s="6" t="str">
        <f ca="1">IFERROR(__xludf.DUMMYFUNCTION("""COMPUTED_VALUE"""),"Other: Competition prize money")</f>
        <v>Other: Competition prize money</v>
      </c>
      <c r="U95" s="6" t="str">
        <f ca="1">IFERROR(__xludf.DUMMYFUNCTION("""COMPUTED_VALUE"""),"Competition prize money")</f>
        <v>Competition prize money</v>
      </c>
      <c r="V95" s="6"/>
      <c r="W95" s="6" t="str">
        <f ca="1">IFERROR(__xludf.DUMMYFUNCTION("""COMPUTED_VALUE"""),"Special Reject")</f>
        <v>Special Reject</v>
      </c>
    </row>
    <row r="96" spans="1:23">
      <c r="A96" s="6" t="str">
        <f ca="1">IFERROR(__xludf.DUMMYFUNCTION("""COMPUTED_VALUE"""),"Man, Man, Man")</f>
        <v>Man, Man, Man</v>
      </c>
      <c r="B96" s="6" t="str">
        <f ca="1">IFERROR(__xludf.DUMMYFUNCTION("""COMPUTED_VALUE"""),"Believyn  _2022")</f>
        <v>Believyn  _2022</v>
      </c>
      <c r="C96" s="6" t="str">
        <f ca="1">IFERROR(__xludf.DUMMYFUNCTION("""COMPUTED_VALUE"""),"Digital Tech")</f>
        <v>Digital Tech</v>
      </c>
      <c r="D96" s="6" t="str">
        <f ca="1">IFERROR(__xludf.DUMMYFUNCTION("""COMPUTED_VALUE"""),"Gordon 39, Tel Aviv 
Israel")</f>
        <v>Gordon 39, Tel Aviv 
Israel</v>
      </c>
      <c r="E96" s="6" t="str">
        <f ca="1">IFERROR(__xludf.DUMMYFUNCTION("""COMPUTED_VALUE"""),"International - Middle East")</f>
        <v>International - Middle East</v>
      </c>
      <c r="F96" s="6" t="str">
        <f ca="1">IFERROR(__xludf.DUMMYFUNCTION("""COMPUTED_VALUE"""),"Man")</f>
        <v>Man</v>
      </c>
      <c r="G96" s="6" t="str">
        <f ca="1">IFERROR(__xludf.DUMMYFUNCTION("""COMPUTED_VALUE"""),"Man")</f>
        <v>Man</v>
      </c>
      <c r="H96" s="6" t="str">
        <f ca="1">IFERROR(__xludf.DUMMYFUNCTION("""COMPUTED_VALUE"""),"Man")</f>
        <v>Man</v>
      </c>
      <c r="I96" s="6"/>
      <c r="J96" s="6"/>
      <c r="K96" s="6"/>
      <c r="L96" s="6" t="str">
        <f ca="1">IFERROR(__xludf.DUMMYFUNCTION("""COMPUTED_VALUE"""),"No")</f>
        <v>No</v>
      </c>
      <c r="M96" s="6"/>
      <c r="N96" s="6"/>
      <c r="O96" s="6" t="str">
        <f ca="1">IFERROR(__xludf.DUMMYFUNCTION("""COMPUTED_VALUE"""),"LinkedIn")</f>
        <v>LinkedIn</v>
      </c>
      <c r="P96" s="6"/>
      <c r="Q96" s="6" t="str">
        <f ca="1">IFERROR(__xludf.DUMMYFUNCTION("""COMPUTED_VALUE"""),"No")</f>
        <v>No</v>
      </c>
      <c r="R96" s="6">
        <f ca="1">IFERROR(__xludf.DUMMYFUNCTION("""COMPUTED_VALUE"""),3)</f>
        <v>3</v>
      </c>
      <c r="S96" s="6" t="str">
        <f ca="1">IFERROR(__xludf.DUMMYFUNCTION("""COMPUTED_VALUE"""),"Pre-seed")</f>
        <v>Pre-seed</v>
      </c>
      <c r="T96" s="6" t="str">
        <f ca="1">IFERROR(__xludf.DUMMYFUNCTION("""COMPUTED_VALUE"""),"Pre-seed")</f>
        <v>Pre-seed</v>
      </c>
      <c r="U96" s="6" t="str">
        <f ca="1">IFERROR(__xludf.DUMMYFUNCTION("""COMPUTED_VALUE"""),"Pre-seed")</f>
        <v>Pre-seed</v>
      </c>
      <c r="V96" s="6"/>
      <c r="W96" s="6" t="str">
        <f ca="1">IFERROR(__xludf.DUMMYFUNCTION("""COMPUTED_VALUE"""),"Invite Next Year")</f>
        <v>Invite Next Year</v>
      </c>
    </row>
    <row r="97" spans="1:23">
      <c r="A97" s="6" t="str">
        <f ca="1">IFERROR(__xludf.DUMMYFUNCTION("""COMPUTED_VALUE"""),"Man, Man")</f>
        <v>Man, Man</v>
      </c>
      <c r="B97" s="6" t="str">
        <f ca="1">IFERROR(__xludf.DUMMYFUNCTION("""COMPUTED_VALUE"""),"Nourish _2022")</f>
        <v>Nourish _2022</v>
      </c>
      <c r="C97" s="6" t="str">
        <f ca="1">IFERROR(__xludf.DUMMYFUNCTION("""COMPUTED_VALUE"""),"Deep Tech")</f>
        <v>Deep Tech</v>
      </c>
      <c r="D97" s="6" t="str">
        <f ca="1">IFERROR(__xludf.DUMMYFUNCTION("""COMPUTED_VALUE"""),"New York City, NY 
United States")</f>
        <v>New York City, NY 
United States</v>
      </c>
      <c r="E97" s="6" t="str">
        <f ca="1">IFERROR(__xludf.DUMMYFUNCTION("""COMPUTED_VALUE"""),"New York")</f>
        <v>New York</v>
      </c>
      <c r="F97" s="6" t="str">
        <f ca="1">IFERROR(__xludf.DUMMYFUNCTION("""COMPUTED_VALUE"""),"Man")</f>
        <v>Man</v>
      </c>
      <c r="G97" s="6" t="str">
        <f ca="1">IFERROR(__xludf.DUMMYFUNCTION("""COMPUTED_VALUE"""),"Man")</f>
        <v>Man</v>
      </c>
      <c r="H97" s="6"/>
      <c r="I97" s="6"/>
      <c r="J97" s="6"/>
      <c r="K97" s="6"/>
      <c r="L97" s="6" t="str">
        <f ca="1">IFERROR(__xludf.DUMMYFUNCTION("""COMPUTED_VALUE"""),"Yes")</f>
        <v>Yes</v>
      </c>
      <c r="M97" s="6" t="str">
        <f ca="1">IFERROR(__xludf.DUMMYFUNCTION("""COMPUTED_VALUE"""),"NYU Student")</f>
        <v>NYU Student</v>
      </c>
      <c r="N97" s="6"/>
      <c r="O97" s="6" t="str">
        <f ca="1">IFERROR(__xludf.DUMMYFUNCTION("""COMPUTED_VALUE"""),"NYU Newsletter")</f>
        <v>NYU Newsletter</v>
      </c>
      <c r="P97" s="6"/>
      <c r="Q97" s="6" t="str">
        <f ca="1">IFERROR(__xludf.DUMMYFUNCTION("""COMPUTED_VALUE"""),"No")</f>
        <v>No</v>
      </c>
      <c r="R97" s="6">
        <f ca="1">IFERROR(__xludf.DUMMYFUNCTION("""COMPUTED_VALUE"""),2)</f>
        <v>2</v>
      </c>
      <c r="S97" s="6" t="str">
        <f ca="1">IFERROR(__xludf.DUMMYFUNCTION("""COMPUTED_VALUE"""),"Pre-seed")</f>
        <v>Pre-seed</v>
      </c>
      <c r="T97" s="6" t="str">
        <f ca="1">IFERROR(__xludf.DUMMYFUNCTION("""COMPUTED_VALUE"""),"Pre-seed")</f>
        <v>Pre-seed</v>
      </c>
      <c r="U97" s="6" t="str">
        <f ca="1">IFERROR(__xludf.DUMMYFUNCTION("""COMPUTED_VALUE"""),"Pre-seed")</f>
        <v>Pre-seed</v>
      </c>
      <c r="V97" s="6"/>
      <c r="W97" s="6" t="str">
        <f ca="1">IFERROR(__xludf.DUMMYFUNCTION("""COMPUTED_VALUE"""),"Invite Next Year")</f>
        <v>Invite Next Year</v>
      </c>
    </row>
    <row r="98" spans="1:23">
      <c r="A98" s="6" t="str">
        <f ca="1">IFERROR(__xludf.DUMMYFUNCTION("""COMPUTED_VALUE"""),"Woman, Man")</f>
        <v>Woman, Man</v>
      </c>
      <c r="B98" s="6" t="str">
        <f ca="1">IFERROR(__xludf.DUMMYFUNCTION("""COMPUTED_VALUE"""),"ShanX Medtech BV _2022")</f>
        <v>ShanX Medtech BV _2022</v>
      </c>
      <c r="C98" s="6" t="str">
        <f ca="1">IFERROR(__xludf.DUMMYFUNCTION("""COMPUTED_VALUE"""),"Digital Tech")</f>
        <v>Digital Tech</v>
      </c>
      <c r="D98" s="6" t="str">
        <f ca="1">IFERROR(__xludf.DUMMYFUNCTION("""COMPUTED_VALUE"""),"Eindhoven, Noord Brabant 
Netherlands")</f>
        <v>Eindhoven, Noord Brabant 
Netherlands</v>
      </c>
      <c r="E98" s="6" t="str">
        <f ca="1">IFERROR(__xludf.DUMMYFUNCTION("""COMPUTED_VALUE"""),"International - Europe")</f>
        <v>International - Europe</v>
      </c>
      <c r="F98" s="6" t="str">
        <f ca="1">IFERROR(__xludf.DUMMYFUNCTION("""COMPUTED_VALUE"""),"Woman")</f>
        <v>Woman</v>
      </c>
      <c r="G98" s="6" t="str">
        <f ca="1">IFERROR(__xludf.DUMMYFUNCTION("""COMPUTED_VALUE"""),"Man")</f>
        <v>Man</v>
      </c>
      <c r="H98" s="6"/>
      <c r="I98" s="6"/>
      <c r="J98" s="6"/>
      <c r="K98" s="6"/>
      <c r="L98" s="6" t="str">
        <f ca="1">IFERROR(__xludf.DUMMYFUNCTION("""COMPUTED_VALUE"""),"--Please select--")</f>
        <v>--Please select--</v>
      </c>
      <c r="M98" s="6"/>
      <c r="N98" s="6"/>
      <c r="O98" s="6" t="str">
        <f ca="1">IFERROR(__xludf.DUMMYFUNCTION("""COMPUTED_VALUE"""),"Referral")</f>
        <v>Referral</v>
      </c>
      <c r="P98" s="6"/>
      <c r="Q98" s="6" t="str">
        <f ca="1">IFERROR(__xludf.DUMMYFUNCTION("""COMPUTED_VALUE"""),"No")</f>
        <v>No</v>
      </c>
      <c r="R98" s="6">
        <f ca="1">IFERROR(__xludf.DUMMYFUNCTION("""COMPUTED_VALUE"""),2)</f>
        <v>2</v>
      </c>
      <c r="S98" s="6" t="str">
        <f ca="1">IFERROR(__xludf.DUMMYFUNCTION("""COMPUTED_VALUE"""),"Debt financing
Grants
Other: Angel")</f>
        <v>Debt financing
Grants
Other: Angel</v>
      </c>
      <c r="T98" s="6" t="str">
        <f ca="1">IFERROR(__xludf.DUMMYFUNCTION("""COMPUTED_VALUE"""),"Debt financing, Grants, Other: Angel")</f>
        <v>Debt financing, Grants, Other: Angel</v>
      </c>
      <c r="U98" s="6" t="str">
        <f ca="1">IFERROR(__xludf.DUMMYFUNCTION("""COMPUTED_VALUE"""),"Debt financing, Grants, ")</f>
        <v xml:space="preserve">Debt financing, Grants, </v>
      </c>
      <c r="V98" s="6" t="str">
        <f ca="1">IFERROR(__xludf.DUMMYFUNCTION("""COMPUTED_VALUE"""),"Angel")</f>
        <v>Angel</v>
      </c>
      <c r="W98" s="6" t="str">
        <f ca="1">IFERROR(__xludf.DUMMYFUNCTION("""COMPUTED_VALUE"""),"Invite")</f>
        <v>Invite</v>
      </c>
    </row>
    <row r="99" spans="1:23">
      <c r="A99" s="6" t="str">
        <f ca="1">IFERROR(__xludf.DUMMYFUNCTION("""COMPUTED_VALUE"""),"Man, Man, Man, Man, Man")</f>
        <v>Man, Man, Man, Man, Man</v>
      </c>
      <c r="B99" s="6" t="str">
        <f ca="1">IFERROR(__xludf.DUMMYFUNCTION("""COMPUTED_VALUE"""),"Beegol Corp _2022")</f>
        <v>Beegol Corp _2022</v>
      </c>
      <c r="C99" s="6" t="str">
        <f ca="1">IFERROR(__xludf.DUMMYFUNCTION("""COMPUTED_VALUE"""),"Deep Tech")</f>
        <v>Deep Tech</v>
      </c>
      <c r="D99" s="6" t="str">
        <f ca="1">IFERROR(__xludf.DUMMYFUNCTION("""COMPUTED_VALUE"""),"8 The Green. Ste H, Dover County, 19901, Delaware 
United States")</f>
        <v>8 The Green. Ste H, Dover County, 19901, Delaware 
United States</v>
      </c>
      <c r="E99" s="6" t="str">
        <f ca="1">IFERROR(__xludf.DUMMYFUNCTION("""COMPUTED_VALUE"""),"East Coast")</f>
        <v>East Coast</v>
      </c>
      <c r="F99" s="6" t="str">
        <f ca="1">IFERROR(__xludf.DUMMYFUNCTION("""COMPUTED_VALUE"""),"Man")</f>
        <v>Man</v>
      </c>
      <c r="G99" s="6" t="str">
        <f ca="1">IFERROR(__xludf.DUMMYFUNCTION("""COMPUTED_VALUE"""),"Man")</f>
        <v>Man</v>
      </c>
      <c r="H99" s="6" t="str">
        <f ca="1">IFERROR(__xludf.DUMMYFUNCTION("""COMPUTED_VALUE"""),"Man")</f>
        <v>Man</v>
      </c>
      <c r="I99" s="6" t="str">
        <f ca="1">IFERROR(__xludf.DUMMYFUNCTION("""COMPUTED_VALUE"""),"Man")</f>
        <v>Man</v>
      </c>
      <c r="J99" s="6" t="str">
        <f ca="1">IFERROR(__xludf.DUMMYFUNCTION("""COMPUTED_VALUE"""),"Man")</f>
        <v>Man</v>
      </c>
      <c r="K99" s="6"/>
      <c r="L99" s="6" t="str">
        <f ca="1">IFERROR(__xludf.DUMMYFUNCTION("""COMPUTED_VALUE"""),"No")</f>
        <v>No</v>
      </c>
      <c r="M99" s="6"/>
      <c r="N99" s="6"/>
      <c r="O99" s="6" t="str">
        <f ca="1">IFERROR(__xludf.DUMMYFUNCTION("""COMPUTED_VALUE"""),"NYU Newsletter")</f>
        <v>NYU Newsletter</v>
      </c>
      <c r="P99" s="6"/>
      <c r="Q99" s="6" t="str">
        <f ca="1">IFERROR(__xludf.DUMMYFUNCTION("""COMPUTED_VALUE"""),"No")</f>
        <v>No</v>
      </c>
      <c r="R99" s="6">
        <f ca="1">IFERROR(__xludf.DUMMYFUNCTION("""COMPUTED_VALUE"""),5)</f>
        <v>5</v>
      </c>
      <c r="S99" s="6" t="str">
        <f ca="1">IFERROR(__xludf.DUMMYFUNCTION("""COMPUTED_VALUE"""),"Series A")</f>
        <v>Series A</v>
      </c>
      <c r="T99" s="6" t="str">
        <f ca="1">IFERROR(__xludf.DUMMYFUNCTION("""COMPUTED_VALUE"""),"Series A")</f>
        <v>Series A</v>
      </c>
      <c r="U99" s="6" t="str">
        <f ca="1">IFERROR(__xludf.DUMMYFUNCTION("""COMPUTED_VALUE"""),"Series A")</f>
        <v>Series A</v>
      </c>
      <c r="V99" s="6"/>
      <c r="W99" s="6" t="str">
        <f ca="1">IFERROR(__xludf.DUMMYFUNCTION("""COMPUTED_VALUE"""),"Revisit/ Cluster")</f>
        <v>Revisit/ Cluster</v>
      </c>
    </row>
    <row r="100" spans="1:23">
      <c r="A100" s="6" t="str">
        <f ca="1">IFERROR(__xludf.DUMMYFUNCTION("""COMPUTED_VALUE"""),"Man, Man, Man")</f>
        <v>Man, Man, Man</v>
      </c>
      <c r="B100" s="6" t="str">
        <f ca="1">IFERROR(__xludf.DUMMYFUNCTION("""COMPUTED_VALUE"""),"Amberstone Biosciences Inc _2022")</f>
        <v>Amberstone Biosciences Inc _2022</v>
      </c>
      <c r="C100" s="6" t="str">
        <f ca="1">IFERROR(__xludf.DUMMYFUNCTION("""COMPUTED_VALUE"""),"Life Sciences")</f>
        <v>Life Sciences</v>
      </c>
      <c r="D100" s="6" t="str">
        <f ca="1">IFERROR(__xludf.DUMMYFUNCTION("""COMPUTED_VALUE"""),"23181 Verdugo Drive, Suite 106, CA 
United States")</f>
        <v>23181 Verdugo Drive, Suite 106, CA 
United States</v>
      </c>
      <c r="E100" s="6" t="str">
        <f ca="1">IFERROR(__xludf.DUMMYFUNCTION("""COMPUTED_VALUE"""),"West Coast")</f>
        <v>West Coast</v>
      </c>
      <c r="F100" s="6" t="str">
        <f ca="1">IFERROR(__xludf.DUMMYFUNCTION("""COMPUTED_VALUE"""),"Man")</f>
        <v>Man</v>
      </c>
      <c r="G100" s="6" t="str">
        <f ca="1">IFERROR(__xludf.DUMMYFUNCTION("""COMPUTED_VALUE"""),"Man")</f>
        <v>Man</v>
      </c>
      <c r="H100" s="6" t="str">
        <f ca="1">IFERROR(__xludf.DUMMYFUNCTION("""COMPUTED_VALUE"""),"Man")</f>
        <v>Man</v>
      </c>
      <c r="I100" s="6"/>
      <c r="J100" s="6"/>
      <c r="K100" s="6"/>
      <c r="L100" s="6" t="str">
        <f ca="1">IFERROR(__xludf.DUMMYFUNCTION("""COMPUTED_VALUE"""),"No")</f>
        <v>No</v>
      </c>
      <c r="M100" s="6"/>
      <c r="N100" s="6"/>
      <c r="O100" s="6" t="str">
        <f ca="1">IFERROR(__xludf.DUMMYFUNCTION("""COMPUTED_VALUE"""),"Email")</f>
        <v>Email</v>
      </c>
      <c r="P100" s="6"/>
      <c r="Q100" s="6" t="str">
        <f ca="1">IFERROR(__xludf.DUMMYFUNCTION("""COMPUTED_VALUE"""),"No")</f>
        <v>No</v>
      </c>
      <c r="R100" s="6">
        <f ca="1">IFERROR(__xludf.DUMMYFUNCTION("""COMPUTED_VALUE"""),3)</f>
        <v>3</v>
      </c>
      <c r="S100" s="6" t="str">
        <f ca="1">IFERROR(__xludf.DUMMYFUNCTION("""COMPUTED_VALUE"""),"Pre-seed
Seed
Series A")</f>
        <v>Pre-seed
Seed
Series A</v>
      </c>
      <c r="T100" s="6" t="str">
        <f ca="1">IFERROR(__xludf.DUMMYFUNCTION("""COMPUTED_VALUE"""),"Pre-seed, Seed, Series A")</f>
        <v>Pre-seed, Seed, Series A</v>
      </c>
      <c r="U100" s="6" t="str">
        <f ca="1">IFERROR(__xludf.DUMMYFUNCTION("""COMPUTED_VALUE"""),"Pre-seed, Seed, Series A")</f>
        <v>Pre-seed, Seed, Series A</v>
      </c>
      <c r="V100" s="6"/>
      <c r="W100" s="6" t="str">
        <f ca="1">IFERROR(__xludf.DUMMYFUNCTION("""COMPUTED_VALUE"""),"Invite")</f>
        <v>Invite</v>
      </c>
    </row>
    <row r="101" spans="1:23">
      <c r="A101" s="6" t="str">
        <f ca="1">IFERROR(__xludf.DUMMYFUNCTION("""COMPUTED_VALUE"""),"Man")</f>
        <v>Man</v>
      </c>
      <c r="B101" s="6" t="str">
        <f ca="1">IFERROR(__xludf.DUMMYFUNCTION("""COMPUTED_VALUE"""),"SPG Therapeutics, Inc.  _2022")</f>
        <v>SPG Therapeutics, Inc.  _2022</v>
      </c>
      <c r="C101" s="6" t="str">
        <f ca="1">IFERROR(__xludf.DUMMYFUNCTION("""COMPUTED_VALUE"""),"Life Sciences")</f>
        <v>Life Sciences</v>
      </c>
      <c r="D101" s="6" t="str">
        <f ca="1">IFERROR(__xludf.DUMMYFUNCTION("""COMPUTED_VALUE"""),"PO Box 280703, Northridge, CA 
United States")</f>
        <v>PO Box 280703, Northridge, CA 
United States</v>
      </c>
      <c r="E101" s="6" t="str">
        <f ca="1">IFERROR(__xludf.DUMMYFUNCTION("""COMPUTED_VALUE"""),"West Coast")</f>
        <v>West Coast</v>
      </c>
      <c r="F101" s="6" t="str">
        <f ca="1">IFERROR(__xludf.DUMMYFUNCTION("""COMPUTED_VALUE"""),"Man")</f>
        <v>Man</v>
      </c>
      <c r="G101" s="6"/>
      <c r="H101" s="6"/>
      <c r="I101" s="6"/>
      <c r="J101" s="6"/>
      <c r="K101" s="6"/>
      <c r="L101" s="6" t="str">
        <f ca="1">IFERROR(__xludf.DUMMYFUNCTION("""COMPUTED_VALUE"""),"Yes")</f>
        <v>Yes</v>
      </c>
      <c r="M101" s="6" t="str">
        <f ca="1">IFERROR(__xludf.DUMMYFUNCTION("""COMPUTED_VALUE"""),"Other (please specify)")</f>
        <v>Other (please specify)</v>
      </c>
      <c r="N101" s="6" t="str">
        <f ca="1">IFERROR(__xludf.DUMMYFUNCTION("""COMPUTED_VALUE"""),"N/A")</f>
        <v>N/A</v>
      </c>
      <c r="O101" s="6" t="str">
        <f ca="1">IFERROR(__xludf.DUMMYFUNCTION("""COMPUTED_VALUE"""),"Search Engine")</f>
        <v>Search Engine</v>
      </c>
      <c r="P101" s="6"/>
      <c r="Q101" s="6" t="str">
        <f ca="1">IFERROR(__xludf.DUMMYFUNCTION("""COMPUTED_VALUE"""),"Yes")</f>
        <v>Yes</v>
      </c>
      <c r="R101" s="6">
        <f ca="1">IFERROR(__xludf.DUMMYFUNCTION("""COMPUTED_VALUE"""),1)</f>
        <v>1</v>
      </c>
      <c r="S101" s="6" t="str">
        <f ca="1">IFERROR(__xludf.DUMMYFUNCTION("""COMPUTED_VALUE"""),"Seed")</f>
        <v>Seed</v>
      </c>
      <c r="T101" s="6" t="str">
        <f ca="1">IFERROR(__xludf.DUMMYFUNCTION("""COMPUTED_VALUE"""),"Seed")</f>
        <v>Seed</v>
      </c>
      <c r="U101" s="6" t="str">
        <f ca="1">IFERROR(__xludf.DUMMYFUNCTION("""COMPUTED_VALUE"""),"Seed")</f>
        <v>Seed</v>
      </c>
      <c r="V101" s="6"/>
      <c r="W101" s="6" t="str">
        <f ca="1">IFERROR(__xludf.DUMMYFUNCTION("""COMPUTED_VALUE"""),"Invite")</f>
        <v>Invite</v>
      </c>
    </row>
    <row r="102" spans="1:23">
      <c r="A102" s="6" t="str">
        <f ca="1">IFERROR(__xludf.DUMMYFUNCTION("""COMPUTED_VALUE"""),"Man, Man")</f>
        <v>Man, Man</v>
      </c>
      <c r="B102" s="6" t="str">
        <f ca="1">IFERROR(__xludf.DUMMYFUNCTION("""COMPUTED_VALUE"""),"Amplo Biotechnology _2022")</f>
        <v>Amplo Biotechnology _2022</v>
      </c>
      <c r="C102" s="6" t="str">
        <f ca="1">IFERROR(__xludf.DUMMYFUNCTION("""COMPUTED_VALUE"""),"Life Sciences")</f>
        <v>Life Sciences</v>
      </c>
      <c r="D102" s="6" t="str">
        <f ca="1">IFERROR(__xludf.DUMMYFUNCTION("""COMPUTED_VALUE"""),"2637E Atlantic Ave., Pompano Beach, Florida 
United States")</f>
        <v>2637E Atlantic Ave., Pompano Beach, Florida 
United States</v>
      </c>
      <c r="E102" s="6" t="str">
        <f ca="1">IFERROR(__xludf.DUMMYFUNCTION("""COMPUTED_VALUE"""),"South")</f>
        <v>South</v>
      </c>
      <c r="F102" s="6" t="str">
        <f ca="1">IFERROR(__xludf.DUMMYFUNCTION("""COMPUTED_VALUE"""),"Man")</f>
        <v>Man</v>
      </c>
      <c r="G102" s="6" t="str">
        <f ca="1">IFERROR(__xludf.DUMMYFUNCTION("""COMPUTED_VALUE"""),"Man")</f>
        <v>Man</v>
      </c>
      <c r="H102" s="6"/>
      <c r="I102" s="6"/>
      <c r="J102" s="6"/>
      <c r="K102" s="6"/>
      <c r="L102" s="6" t="str">
        <f ca="1">IFERROR(__xludf.DUMMYFUNCTION("""COMPUTED_VALUE"""),"No")</f>
        <v>No</v>
      </c>
      <c r="M102" s="6"/>
      <c r="N102" s="6"/>
      <c r="O102" s="6" t="str">
        <f ca="1">IFERROR(__xludf.DUMMYFUNCTION("""COMPUTED_VALUE"""),"Email")</f>
        <v>Email</v>
      </c>
      <c r="P102" s="6"/>
      <c r="Q102" s="6" t="str">
        <f ca="1">IFERROR(__xludf.DUMMYFUNCTION("""COMPUTED_VALUE"""),"No")</f>
        <v>No</v>
      </c>
      <c r="R102" s="6">
        <f ca="1">IFERROR(__xludf.DUMMYFUNCTION("""COMPUTED_VALUE"""),2)</f>
        <v>2</v>
      </c>
      <c r="S102" s="6" t="str">
        <f ca="1">IFERROR(__xludf.DUMMYFUNCTION("""COMPUTED_VALUE"""),"Seed")</f>
        <v>Seed</v>
      </c>
      <c r="T102" s="6" t="str">
        <f ca="1">IFERROR(__xludf.DUMMYFUNCTION("""COMPUTED_VALUE"""),"Seed")</f>
        <v>Seed</v>
      </c>
      <c r="U102" s="6" t="str">
        <f ca="1">IFERROR(__xludf.DUMMYFUNCTION("""COMPUTED_VALUE"""),"Seed")</f>
        <v>Seed</v>
      </c>
      <c r="V102" s="6"/>
      <c r="W102" s="6" t="str">
        <f ca="1">IFERROR(__xludf.DUMMYFUNCTION("""COMPUTED_VALUE"""),"Invite")</f>
        <v>Invite</v>
      </c>
    </row>
    <row r="103" spans="1:23">
      <c r="A103" s="6" t="str">
        <f ca="1">IFERROR(__xludf.DUMMYFUNCTION("""COMPUTED_VALUE"""),"Man, Man")</f>
        <v>Man, Man</v>
      </c>
      <c r="B103" s="6" t="str">
        <f ca="1">IFERROR(__xludf.DUMMYFUNCTION("""COMPUTED_VALUE"""),"Active Energy Systems _2022")</f>
        <v>Active Energy Systems _2022</v>
      </c>
      <c r="C103" s="6" t="str">
        <f ca="1">IFERROR(__xludf.DUMMYFUNCTION("""COMPUTED_VALUE"""),"Deep Tech")</f>
        <v>Deep Tech</v>
      </c>
      <c r="D103" s="6" t="str">
        <f ca="1">IFERROR(__xludf.DUMMYFUNCTION("""COMPUTED_VALUE"""),"Oak Ridge, TN 
United States")</f>
        <v>Oak Ridge, TN 
United States</v>
      </c>
      <c r="E103" s="6" t="str">
        <f ca="1">IFERROR(__xludf.DUMMYFUNCTION("""COMPUTED_VALUE"""),"South")</f>
        <v>South</v>
      </c>
      <c r="F103" s="6" t="str">
        <f ca="1">IFERROR(__xludf.DUMMYFUNCTION("""COMPUTED_VALUE"""),"Man")</f>
        <v>Man</v>
      </c>
      <c r="G103" s="6" t="str">
        <f ca="1">IFERROR(__xludf.DUMMYFUNCTION("""COMPUTED_VALUE"""),"Man")</f>
        <v>Man</v>
      </c>
      <c r="H103" s="6"/>
      <c r="I103" s="6"/>
      <c r="J103" s="6"/>
      <c r="K103" s="6"/>
      <c r="L103" s="6" t="str">
        <f ca="1">IFERROR(__xludf.DUMMYFUNCTION("""COMPUTED_VALUE"""),"No")</f>
        <v>No</v>
      </c>
      <c r="M103" s="6"/>
      <c r="N103" s="6"/>
      <c r="O103" s="6" t="str">
        <f ca="1">IFERROR(__xludf.DUMMYFUNCTION("""COMPUTED_VALUE"""),"Search Engine")</f>
        <v>Search Engine</v>
      </c>
      <c r="P103" s="6"/>
      <c r="Q103" s="6" t="str">
        <f ca="1">IFERROR(__xludf.DUMMYFUNCTION("""COMPUTED_VALUE"""),"Yes")</f>
        <v>Yes</v>
      </c>
      <c r="R103" s="6">
        <f ca="1">IFERROR(__xludf.DUMMYFUNCTION("""COMPUTED_VALUE"""),2)</f>
        <v>2</v>
      </c>
      <c r="S103" s="6" t="str">
        <f ca="1">IFERROR(__xludf.DUMMYFUNCTION("""COMPUTED_VALUE"""),"Seed")</f>
        <v>Seed</v>
      </c>
      <c r="T103" s="6" t="str">
        <f ca="1">IFERROR(__xludf.DUMMYFUNCTION("""COMPUTED_VALUE"""),"Seed")</f>
        <v>Seed</v>
      </c>
      <c r="U103" s="6" t="str">
        <f ca="1">IFERROR(__xludf.DUMMYFUNCTION("""COMPUTED_VALUE"""),"Seed")</f>
        <v>Seed</v>
      </c>
      <c r="V103" s="6"/>
      <c r="W103" s="6" t="str">
        <f ca="1">IFERROR(__xludf.DUMMYFUNCTION("""COMPUTED_VALUE"""),"Invite Next Year")</f>
        <v>Invite Next Year</v>
      </c>
    </row>
    <row r="104" spans="1:23">
      <c r="A104" s="6" t="str">
        <f ca="1">IFERROR(__xludf.DUMMYFUNCTION("""COMPUTED_VALUE"""),"Man, Man")</f>
        <v>Man, Man</v>
      </c>
      <c r="B104" s="6" t="str">
        <f ca="1">IFERROR(__xludf.DUMMYFUNCTION("""COMPUTED_VALUE"""),"Summit Biomedical Imaging _2022")</f>
        <v>Summit Biomedical Imaging _2022</v>
      </c>
      <c r="C104" s="6" t="str">
        <f ca="1">IFERROR(__xludf.DUMMYFUNCTION("""COMPUTED_VALUE"""),"Life Sciences")</f>
        <v>Life Sciences</v>
      </c>
      <c r="D104" s="6" t="str">
        <f ca="1">IFERROR(__xludf.DUMMYFUNCTION("""COMPUTED_VALUE"""),"New York, NY 
United States")</f>
        <v>New York, NY 
United States</v>
      </c>
      <c r="E104" s="6" t="str">
        <f ca="1">IFERROR(__xludf.DUMMYFUNCTION("""COMPUTED_VALUE"""),"New York")</f>
        <v>New York</v>
      </c>
      <c r="F104" s="6" t="str">
        <f ca="1">IFERROR(__xludf.DUMMYFUNCTION("""COMPUTED_VALUE"""),"Man")</f>
        <v>Man</v>
      </c>
      <c r="G104" s="6" t="str">
        <f ca="1">IFERROR(__xludf.DUMMYFUNCTION("""COMPUTED_VALUE"""),"Man")</f>
        <v>Man</v>
      </c>
      <c r="H104" s="6"/>
      <c r="I104" s="6"/>
      <c r="J104" s="6"/>
      <c r="K104" s="6"/>
      <c r="L104" s="6" t="str">
        <f ca="1">IFERROR(__xludf.DUMMYFUNCTION("""COMPUTED_VALUE"""),"No")</f>
        <v>No</v>
      </c>
      <c r="M104" s="6"/>
      <c r="N104" s="6"/>
      <c r="O104" s="6" t="str">
        <f ca="1">IFERROR(__xludf.DUMMYFUNCTION("""COMPUTED_VALUE"""),"Email")</f>
        <v>Email</v>
      </c>
      <c r="P104" s="6"/>
      <c r="Q104" s="6" t="str">
        <f ca="1">IFERROR(__xludf.DUMMYFUNCTION("""COMPUTED_VALUE"""),"No")</f>
        <v>No</v>
      </c>
      <c r="R104" s="6">
        <f ca="1">IFERROR(__xludf.DUMMYFUNCTION("""COMPUTED_VALUE"""),2)</f>
        <v>2</v>
      </c>
      <c r="S104" s="6" t="str">
        <f ca="1">IFERROR(__xludf.DUMMYFUNCTION("""COMPUTED_VALUE"""),"Pre-seed
Grants")</f>
        <v>Pre-seed
Grants</v>
      </c>
      <c r="T104" s="6" t="str">
        <f ca="1">IFERROR(__xludf.DUMMYFUNCTION("""COMPUTED_VALUE"""),"Pre-seed, Grants")</f>
        <v>Pre-seed, Grants</v>
      </c>
      <c r="U104" s="6" t="str">
        <f ca="1">IFERROR(__xludf.DUMMYFUNCTION("""COMPUTED_VALUE"""),"Pre-seed, Grants")</f>
        <v>Pre-seed, Grants</v>
      </c>
      <c r="V104" s="6"/>
      <c r="W104" s="6" t="str">
        <f ca="1">IFERROR(__xludf.DUMMYFUNCTION("""COMPUTED_VALUE"""),"Invite")</f>
        <v>Invite</v>
      </c>
    </row>
    <row r="105" spans="1:23">
      <c r="A105" s="6" t="str">
        <f ca="1">IFERROR(__xludf.DUMMYFUNCTION("""COMPUTED_VALUE"""),"Man, Man")</f>
        <v>Man, Man</v>
      </c>
      <c r="B105" s="6" t="str">
        <f ca="1">IFERROR(__xludf.DUMMYFUNCTION("""COMPUTED_VALUE"""),"Kitchefy _2022")</f>
        <v>Kitchefy _2022</v>
      </c>
      <c r="C105" s="6" t="str">
        <f ca="1">IFERROR(__xludf.DUMMYFUNCTION("""COMPUTED_VALUE"""),"Digital Tech")</f>
        <v>Digital Tech</v>
      </c>
      <c r="D105" s="6" t="str">
        <f ca="1">IFERROR(__xludf.DUMMYFUNCTION("""COMPUTED_VALUE"""),"Amman, - 
Jordan")</f>
        <v>Amman, - 
Jordan</v>
      </c>
      <c r="E105" s="6" t="str">
        <f ca="1">IFERROR(__xludf.DUMMYFUNCTION("""COMPUTED_VALUE"""),"International - Middle East")</f>
        <v>International - Middle East</v>
      </c>
      <c r="F105" s="6" t="str">
        <f ca="1">IFERROR(__xludf.DUMMYFUNCTION("""COMPUTED_VALUE"""),"Man")</f>
        <v>Man</v>
      </c>
      <c r="G105" s="6" t="str">
        <f ca="1">IFERROR(__xludf.DUMMYFUNCTION("""COMPUTED_VALUE"""),"Man")</f>
        <v>Man</v>
      </c>
      <c r="H105" s="6"/>
      <c r="I105" s="6"/>
      <c r="J105" s="6"/>
      <c r="K105" s="6"/>
      <c r="L105" s="6" t="str">
        <f ca="1">IFERROR(__xludf.DUMMYFUNCTION("""COMPUTED_VALUE"""),"--Please select--")</f>
        <v>--Please select--</v>
      </c>
      <c r="M105" s="6"/>
      <c r="N105" s="6"/>
      <c r="O105" s="6" t="str">
        <f ca="1">IFERROR(__xludf.DUMMYFUNCTION("""COMPUTED_VALUE"""),"Email")</f>
        <v>Email</v>
      </c>
      <c r="P105" s="6"/>
      <c r="Q105" s="6" t="str">
        <f ca="1">IFERROR(__xludf.DUMMYFUNCTION("""COMPUTED_VALUE"""),"No")</f>
        <v>No</v>
      </c>
      <c r="R105" s="6">
        <f ca="1">IFERROR(__xludf.DUMMYFUNCTION("""COMPUTED_VALUE"""),2)</f>
        <v>2</v>
      </c>
      <c r="S105" s="6" t="str">
        <f ca="1">IFERROR(__xludf.DUMMYFUNCTION("""COMPUTED_VALUE"""),"Pre-seed")</f>
        <v>Pre-seed</v>
      </c>
      <c r="T105" s="6" t="str">
        <f ca="1">IFERROR(__xludf.DUMMYFUNCTION("""COMPUTED_VALUE"""),"Pre-seed")</f>
        <v>Pre-seed</v>
      </c>
      <c r="U105" s="6" t="str">
        <f ca="1">IFERROR(__xludf.DUMMYFUNCTION("""COMPUTED_VALUE"""),"Pre-seed")</f>
        <v>Pre-seed</v>
      </c>
      <c r="V105" s="6"/>
      <c r="W105" s="6" t="str">
        <f ca="1">IFERROR(__xludf.DUMMYFUNCTION("""COMPUTED_VALUE"""),"Invite Next Year")</f>
        <v>Invite Next Year</v>
      </c>
    </row>
    <row r="106" spans="1:23">
      <c r="A106" s="6" t="str">
        <f ca="1">IFERROR(__xludf.DUMMYFUNCTION("""COMPUTED_VALUE"""),"Man, Man")</f>
        <v>Man, Man</v>
      </c>
      <c r="B106" s="6" t="str">
        <f ca="1">IFERROR(__xludf.DUMMYFUNCTION("""COMPUTED_VALUE"""),"Sova Health _2022")</f>
        <v>Sova Health _2022</v>
      </c>
      <c r="C106" s="6" t="str">
        <f ca="1">IFERROR(__xludf.DUMMYFUNCTION("""COMPUTED_VALUE"""),"Digital Tech")</f>
        <v>Digital Tech</v>
      </c>
      <c r="D106" s="6" t="str">
        <f ca="1">IFERROR(__xludf.DUMMYFUNCTION("""COMPUTED_VALUE"""),"68 Circular Road, #02-01 , Singapore 
Singapore")</f>
        <v>68 Circular Road, #02-01 , Singapore 
Singapore</v>
      </c>
      <c r="E106" s="6" t="str">
        <f ca="1">IFERROR(__xludf.DUMMYFUNCTION("""COMPUTED_VALUE"""),"International - Asia")</f>
        <v>International - Asia</v>
      </c>
      <c r="F106" s="6" t="str">
        <f ca="1">IFERROR(__xludf.DUMMYFUNCTION("""COMPUTED_VALUE"""),"Man")</f>
        <v>Man</v>
      </c>
      <c r="G106" s="6" t="str">
        <f ca="1">IFERROR(__xludf.DUMMYFUNCTION("""COMPUTED_VALUE"""),"Man")</f>
        <v>Man</v>
      </c>
      <c r="H106" s="6"/>
      <c r="I106" s="6"/>
      <c r="J106" s="6"/>
      <c r="K106" s="6"/>
      <c r="L106" s="6" t="str">
        <f ca="1">IFERROR(__xludf.DUMMYFUNCTION("""COMPUTED_VALUE"""),"No")</f>
        <v>No</v>
      </c>
      <c r="M106" s="6"/>
      <c r="N106" s="6"/>
      <c r="O106" s="6" t="str">
        <f ca="1">IFERROR(__xludf.DUMMYFUNCTION("""COMPUTED_VALUE"""),"Referral")</f>
        <v>Referral</v>
      </c>
      <c r="P106" s="6"/>
      <c r="Q106" s="6" t="str">
        <f ca="1">IFERROR(__xludf.DUMMYFUNCTION("""COMPUTED_VALUE"""),"No")</f>
        <v>No</v>
      </c>
      <c r="R106" s="6">
        <f ca="1">IFERROR(__xludf.DUMMYFUNCTION("""COMPUTED_VALUE"""),2)</f>
        <v>2</v>
      </c>
      <c r="S106" s="6" t="str">
        <f ca="1">IFERROR(__xludf.DUMMYFUNCTION("""COMPUTED_VALUE"""),"Pre-seed
Seed")</f>
        <v>Pre-seed
Seed</v>
      </c>
      <c r="T106" s="6" t="str">
        <f ca="1">IFERROR(__xludf.DUMMYFUNCTION("""COMPUTED_VALUE"""),"Pre-seed, Seed")</f>
        <v>Pre-seed, Seed</v>
      </c>
      <c r="U106" s="6" t="str">
        <f ca="1">IFERROR(__xludf.DUMMYFUNCTION("""COMPUTED_VALUE"""),"Pre-seed, Seed")</f>
        <v>Pre-seed, Seed</v>
      </c>
      <c r="V106" s="6"/>
      <c r="W106" s="6" t="str">
        <f ca="1">IFERROR(__xludf.DUMMYFUNCTION("""COMPUTED_VALUE"""),"Invite")</f>
        <v>Invite</v>
      </c>
    </row>
    <row r="107" spans="1:23">
      <c r="A107" s="6" t="str">
        <f ca="1">IFERROR(__xludf.DUMMYFUNCTION("""COMPUTED_VALUE"""),"Man, Man, Woman, Woman")</f>
        <v>Man, Man, Woman, Woman</v>
      </c>
      <c r="B107" s="6" t="str">
        <f ca="1">IFERROR(__xludf.DUMMYFUNCTION("""COMPUTED_VALUE"""),"UnityActs  _2022")</f>
        <v>UnityActs  _2022</v>
      </c>
      <c r="C107" s="6" t="str">
        <f ca="1">IFERROR(__xludf.DUMMYFUNCTION("""COMPUTED_VALUE"""),"Digital Tech")</f>
        <v>Digital Tech</v>
      </c>
      <c r="D107" s="6" t="str">
        <f ca="1">IFERROR(__xludf.DUMMYFUNCTION("""COMPUTED_VALUE"""),"Dover, DE 
United States")</f>
        <v>Dover, DE 
United States</v>
      </c>
      <c r="E107" s="6" t="str">
        <f ca="1">IFERROR(__xludf.DUMMYFUNCTION("""COMPUTED_VALUE"""),"East Coast")</f>
        <v>East Coast</v>
      </c>
      <c r="F107" s="6" t="str">
        <f ca="1">IFERROR(__xludf.DUMMYFUNCTION("""COMPUTED_VALUE"""),"Man")</f>
        <v>Man</v>
      </c>
      <c r="G107" s="6" t="str">
        <f ca="1">IFERROR(__xludf.DUMMYFUNCTION("""COMPUTED_VALUE"""),"Man")</f>
        <v>Man</v>
      </c>
      <c r="H107" s="6" t="str">
        <f ca="1">IFERROR(__xludf.DUMMYFUNCTION("""COMPUTED_VALUE"""),"Woman")</f>
        <v>Woman</v>
      </c>
      <c r="I107" s="6" t="str">
        <f ca="1">IFERROR(__xludf.DUMMYFUNCTION("""COMPUTED_VALUE"""),"Woman")</f>
        <v>Woman</v>
      </c>
      <c r="J107" s="6"/>
      <c r="K107" s="6"/>
      <c r="L107" s="6" t="str">
        <f ca="1">IFERROR(__xludf.DUMMYFUNCTION("""COMPUTED_VALUE"""),"No")</f>
        <v>No</v>
      </c>
      <c r="M107" s="6"/>
      <c r="N107" s="6"/>
      <c r="O107" s="6" t="str">
        <f ca="1">IFERROR(__xludf.DUMMYFUNCTION("""COMPUTED_VALUE"""),"Referral")</f>
        <v>Referral</v>
      </c>
      <c r="P107" s="6"/>
      <c r="Q107" s="6" t="str">
        <f ca="1">IFERROR(__xludf.DUMMYFUNCTION("""COMPUTED_VALUE"""),"No")</f>
        <v>No</v>
      </c>
      <c r="R107" s="6">
        <f ca="1">IFERROR(__xludf.DUMMYFUNCTION("""COMPUTED_VALUE"""),4)</f>
        <v>4</v>
      </c>
      <c r="S107" s="6" t="str">
        <f ca="1">IFERROR(__xludf.DUMMYFUNCTION("""COMPUTED_VALUE"""),"Pre-seed")</f>
        <v>Pre-seed</v>
      </c>
      <c r="T107" s="6" t="str">
        <f ca="1">IFERROR(__xludf.DUMMYFUNCTION("""COMPUTED_VALUE"""),"Pre-seed")</f>
        <v>Pre-seed</v>
      </c>
      <c r="U107" s="6" t="str">
        <f ca="1">IFERROR(__xludf.DUMMYFUNCTION("""COMPUTED_VALUE"""),"Pre-seed")</f>
        <v>Pre-seed</v>
      </c>
      <c r="V107" s="6"/>
      <c r="W107" s="6" t="str">
        <f ca="1">IFERROR(__xludf.DUMMYFUNCTION("""COMPUTED_VALUE"""),"Invite Next Year")</f>
        <v>Invite Next Year</v>
      </c>
    </row>
    <row r="108" spans="1:23">
      <c r="A108" s="6" t="str">
        <f ca="1">IFERROR(__xludf.DUMMYFUNCTION("""COMPUTED_VALUE"""),"Man, Woman, Man, Man")</f>
        <v>Man, Woman, Man, Man</v>
      </c>
      <c r="B108" s="6" t="str">
        <f ca="1">IFERROR(__xludf.DUMMYFUNCTION("""COMPUTED_VALUE"""),"Maxwell Biosciences _2022")</f>
        <v>Maxwell Biosciences _2022</v>
      </c>
      <c r="C108" s="6" t="str">
        <f ca="1">IFERROR(__xludf.DUMMYFUNCTION("""COMPUTED_VALUE"""),"Life Sciences")</f>
        <v>Life Sciences</v>
      </c>
      <c r="D108" s="6" t="str">
        <f ca="1">IFERROR(__xludf.DUMMYFUNCTION("""COMPUTED_VALUE"""),"Austin, Texas 
United States")</f>
        <v>Austin, Texas 
United States</v>
      </c>
      <c r="E108" s="6" t="str">
        <f ca="1">IFERROR(__xludf.DUMMYFUNCTION("""COMPUTED_VALUE"""),"South")</f>
        <v>South</v>
      </c>
      <c r="F108" s="6" t="str">
        <f ca="1">IFERROR(__xludf.DUMMYFUNCTION("""COMPUTED_VALUE"""),"Man")</f>
        <v>Man</v>
      </c>
      <c r="G108" s="6" t="str">
        <f ca="1">IFERROR(__xludf.DUMMYFUNCTION("""COMPUTED_VALUE"""),"Woman")</f>
        <v>Woman</v>
      </c>
      <c r="H108" s="6" t="str">
        <f ca="1">IFERROR(__xludf.DUMMYFUNCTION("""COMPUTED_VALUE"""),"Man")</f>
        <v>Man</v>
      </c>
      <c r="I108" s="6" t="str">
        <f ca="1">IFERROR(__xludf.DUMMYFUNCTION("""COMPUTED_VALUE"""),"Man")</f>
        <v>Man</v>
      </c>
      <c r="J108" s="6"/>
      <c r="K108" s="6"/>
      <c r="L108" s="6" t="str">
        <f ca="1">IFERROR(__xludf.DUMMYFUNCTION("""COMPUTED_VALUE"""),"Yes")</f>
        <v>Yes</v>
      </c>
      <c r="M108" s="6" t="str">
        <f ca="1">IFERROR(__xludf.DUMMYFUNCTION("""COMPUTED_VALUE"""),"NYU Faculty")</f>
        <v>NYU Faculty</v>
      </c>
      <c r="N108" s="6"/>
      <c r="O108" s="6" t="str">
        <f ca="1">IFERROR(__xludf.DUMMYFUNCTION("""COMPUTED_VALUE"""),"Referral")</f>
        <v>Referral</v>
      </c>
      <c r="P108" s="6"/>
      <c r="Q108" s="6" t="str">
        <f ca="1">IFERROR(__xludf.DUMMYFUNCTION("""COMPUTED_VALUE"""),"No")</f>
        <v>No</v>
      </c>
      <c r="R108" s="6">
        <f ca="1">IFERROR(__xludf.DUMMYFUNCTION("""COMPUTED_VALUE"""),4)</f>
        <v>4</v>
      </c>
      <c r="S108" s="6" t="str">
        <f ca="1">IFERROR(__xludf.DUMMYFUNCTION("""COMPUTED_VALUE"""),"Pre-seed")</f>
        <v>Pre-seed</v>
      </c>
      <c r="T108" s="6" t="str">
        <f ca="1">IFERROR(__xludf.DUMMYFUNCTION("""COMPUTED_VALUE"""),"Pre-seed")</f>
        <v>Pre-seed</v>
      </c>
      <c r="U108" s="6" t="str">
        <f ca="1">IFERROR(__xludf.DUMMYFUNCTION("""COMPUTED_VALUE"""),"Pre-seed")</f>
        <v>Pre-seed</v>
      </c>
      <c r="V108" s="6"/>
      <c r="W108" s="6" t="str">
        <f ca="1">IFERROR(__xludf.DUMMYFUNCTION("""COMPUTED_VALUE"""),"Invite")</f>
        <v>Invite</v>
      </c>
    </row>
    <row r="109" spans="1:23">
      <c r="A109" s="6" t="str">
        <f ca="1">IFERROR(__xludf.DUMMYFUNCTION("""COMPUTED_VALUE"""),"Man, Man")</f>
        <v>Man, Man</v>
      </c>
      <c r="B109" s="6" t="str">
        <f ca="1">IFERROR(__xludf.DUMMYFUNCTION("""COMPUTED_VALUE"""),"Counter-Intuitive Cooking Inc. _2022")</f>
        <v>Counter-Intuitive Cooking Inc. _2022</v>
      </c>
      <c r="C109" s="6" t="str">
        <f ca="1">IFERROR(__xludf.DUMMYFUNCTION("""COMPUTED_VALUE"""),"Deep Tech")</f>
        <v>Deep Tech</v>
      </c>
      <c r="D109" s="6" t="str">
        <f ca="1">IFERROR(__xludf.DUMMYFUNCTION("""COMPUTED_VALUE"""),"Eldersburg, MD 
United States")</f>
        <v>Eldersburg, MD 
United States</v>
      </c>
      <c r="E109" s="6" t="str">
        <f ca="1">IFERROR(__xludf.DUMMYFUNCTION("""COMPUTED_VALUE"""),"East Coast")</f>
        <v>East Coast</v>
      </c>
      <c r="F109" s="6" t="str">
        <f ca="1">IFERROR(__xludf.DUMMYFUNCTION("""COMPUTED_VALUE"""),"Man")</f>
        <v>Man</v>
      </c>
      <c r="G109" s="6" t="str">
        <f ca="1">IFERROR(__xludf.DUMMYFUNCTION("""COMPUTED_VALUE"""),"Man")</f>
        <v>Man</v>
      </c>
      <c r="H109" s="6"/>
      <c r="I109" s="6"/>
      <c r="J109" s="6"/>
      <c r="K109" s="6"/>
      <c r="L109" s="6" t="str">
        <f ca="1">IFERROR(__xludf.DUMMYFUNCTION("""COMPUTED_VALUE"""),"No")</f>
        <v>No</v>
      </c>
      <c r="M109" s="6"/>
      <c r="N109" s="6"/>
      <c r="O109" s="6" t="str">
        <f ca="1">IFERROR(__xludf.DUMMYFUNCTION("""COMPUTED_VALUE"""),"Referral")</f>
        <v>Referral</v>
      </c>
      <c r="P109" s="6"/>
      <c r="Q109" s="6" t="str">
        <f ca="1">IFERROR(__xludf.DUMMYFUNCTION("""COMPUTED_VALUE"""),"No")</f>
        <v>No</v>
      </c>
      <c r="R109" s="6">
        <f ca="1">IFERROR(__xludf.DUMMYFUNCTION("""COMPUTED_VALUE"""),2)</f>
        <v>2</v>
      </c>
      <c r="S109" s="6" t="str">
        <f ca="1">IFERROR(__xludf.DUMMYFUNCTION("""COMPUTED_VALUE"""),"Pre-seed")</f>
        <v>Pre-seed</v>
      </c>
      <c r="T109" s="6" t="str">
        <f ca="1">IFERROR(__xludf.DUMMYFUNCTION("""COMPUTED_VALUE"""),"Pre-seed")</f>
        <v>Pre-seed</v>
      </c>
      <c r="U109" s="6" t="str">
        <f ca="1">IFERROR(__xludf.DUMMYFUNCTION("""COMPUTED_VALUE"""),"Pre-seed")</f>
        <v>Pre-seed</v>
      </c>
      <c r="V109" s="6"/>
      <c r="W109" s="6" t="str">
        <f ca="1">IFERROR(__xludf.DUMMYFUNCTION("""COMPUTED_VALUE"""),"Invite Next Year")</f>
        <v>Invite Next Year</v>
      </c>
    </row>
    <row r="110" spans="1:23">
      <c r="A110" s="6" t="str">
        <f ca="1">IFERROR(__xludf.DUMMYFUNCTION("""COMPUTED_VALUE"""),"Man")</f>
        <v>Man</v>
      </c>
      <c r="B110" s="6" t="str">
        <f ca="1">IFERROR(__xludf.DUMMYFUNCTION("""COMPUTED_VALUE"""),"New Age Hygienic Systems, Inc. _2022")</f>
        <v>New Age Hygienic Systems, Inc. _2022</v>
      </c>
      <c r="C110" s="6" t="str">
        <f ca="1">IFERROR(__xludf.DUMMYFUNCTION("""COMPUTED_VALUE"""),"Life Sciences")</f>
        <v>Life Sciences</v>
      </c>
      <c r="D110" s="6" t="str">
        <f ca="1">IFERROR(__xludf.DUMMYFUNCTION("""COMPUTED_VALUE"""),"530-B Harkle Road, Suite 100, Santa Fe, New Mexico, NM 87505, NM 
United States")</f>
        <v>530-B Harkle Road, Suite 100, Santa Fe, New Mexico, NM 87505, NM 
United States</v>
      </c>
      <c r="E110" s="6" t="str">
        <f ca="1">IFERROR(__xludf.DUMMYFUNCTION("""COMPUTED_VALUE"""),"West")</f>
        <v>West</v>
      </c>
      <c r="F110" s="6" t="str">
        <f ca="1">IFERROR(__xludf.DUMMYFUNCTION("""COMPUTED_VALUE"""),"Man")</f>
        <v>Man</v>
      </c>
      <c r="G110" s="6"/>
      <c r="H110" s="6"/>
      <c r="I110" s="6"/>
      <c r="J110" s="6"/>
      <c r="K110" s="6"/>
      <c r="L110" s="6" t="str">
        <f ca="1">IFERROR(__xludf.DUMMYFUNCTION("""COMPUTED_VALUE"""),"No")</f>
        <v>No</v>
      </c>
      <c r="M110" s="6"/>
      <c r="N110" s="6"/>
      <c r="O110" s="6" t="str">
        <f ca="1">IFERROR(__xludf.DUMMYFUNCTION("""COMPUTED_VALUE"""),"Email")</f>
        <v>Email</v>
      </c>
      <c r="P110" s="6"/>
      <c r="Q110" s="6" t="str">
        <f ca="1">IFERROR(__xludf.DUMMYFUNCTION("""COMPUTED_VALUE"""),"No")</f>
        <v>No</v>
      </c>
      <c r="R110" s="6">
        <f ca="1">IFERROR(__xludf.DUMMYFUNCTION("""COMPUTED_VALUE"""),1)</f>
        <v>1</v>
      </c>
      <c r="S110" s="6" t="str">
        <f ca="1">IFERROR(__xludf.DUMMYFUNCTION("""COMPUTED_VALUE"""),"Pre-seed")</f>
        <v>Pre-seed</v>
      </c>
      <c r="T110" s="6" t="str">
        <f ca="1">IFERROR(__xludf.DUMMYFUNCTION("""COMPUTED_VALUE"""),"Pre-seed")</f>
        <v>Pre-seed</v>
      </c>
      <c r="U110" s="6" t="str">
        <f ca="1">IFERROR(__xludf.DUMMYFUNCTION("""COMPUTED_VALUE"""),"Pre-seed")</f>
        <v>Pre-seed</v>
      </c>
      <c r="V110" s="6"/>
      <c r="W110" s="6" t="str">
        <f ca="1">IFERROR(__xludf.DUMMYFUNCTION("""COMPUTED_VALUE"""),"Invite Next Year")</f>
        <v>Invite Next Year</v>
      </c>
    </row>
    <row r="111" spans="1:23">
      <c r="A111" s="6" t="str">
        <f ca="1">IFERROR(__xludf.DUMMYFUNCTION("""COMPUTED_VALUE"""),"Prefer not to respond, Prefer not to respond")</f>
        <v>Prefer not to respond, Prefer not to respond</v>
      </c>
      <c r="B111" s="6" t="str">
        <f ca="1">IFERROR(__xludf.DUMMYFUNCTION("""COMPUTED_VALUE"""),"DEX Insight _2022")</f>
        <v>DEX Insight _2022</v>
      </c>
      <c r="C111" s="6" t="str">
        <f ca="1">IFERROR(__xludf.DUMMYFUNCTION("""COMPUTED_VALUE"""),"Digital Tech")</f>
        <v>Digital Tech</v>
      </c>
      <c r="D111" s="6" t="str">
        <f ca="1">IFERROR(__xludf.DUMMYFUNCTION("""COMPUTED_VALUE"""),"2637 Glenview Road, Glenview, Illinois 
United States")</f>
        <v>2637 Glenview Road, Glenview, Illinois 
United States</v>
      </c>
      <c r="E111" s="6" t="str">
        <f ca="1">IFERROR(__xludf.DUMMYFUNCTION("""COMPUTED_VALUE"""),"Midwest")</f>
        <v>Midwest</v>
      </c>
      <c r="F111" s="6" t="str">
        <f ca="1">IFERROR(__xludf.DUMMYFUNCTION("""COMPUTED_VALUE"""),"Prefer not to respond")</f>
        <v>Prefer not to respond</v>
      </c>
      <c r="G111" s="6" t="str">
        <f ca="1">IFERROR(__xludf.DUMMYFUNCTION("""COMPUTED_VALUE"""),"Prefer not to respond")</f>
        <v>Prefer not to respond</v>
      </c>
      <c r="H111" s="6"/>
      <c r="I111" s="6"/>
      <c r="J111" s="6"/>
      <c r="K111" s="6"/>
      <c r="L111" s="6" t="str">
        <f ca="1">IFERROR(__xludf.DUMMYFUNCTION("""COMPUTED_VALUE"""),"--Please select--")</f>
        <v>--Please select--</v>
      </c>
      <c r="M111" s="6"/>
      <c r="N111" s="6"/>
      <c r="O111" s="6" t="str">
        <f ca="1">IFERROR(__xludf.DUMMYFUNCTION("""COMPUTED_VALUE"""),"Email")</f>
        <v>Email</v>
      </c>
      <c r="P111" s="6"/>
      <c r="Q111" s="6" t="str">
        <f ca="1">IFERROR(__xludf.DUMMYFUNCTION("""COMPUTED_VALUE"""),"No")</f>
        <v>No</v>
      </c>
      <c r="R111" s="6">
        <f ca="1">IFERROR(__xludf.DUMMYFUNCTION("""COMPUTED_VALUE"""),2)</f>
        <v>2</v>
      </c>
      <c r="S111" s="6" t="str">
        <f ca="1">IFERROR(__xludf.DUMMYFUNCTION("""COMPUTED_VALUE"""),"Pre-seed")</f>
        <v>Pre-seed</v>
      </c>
      <c r="T111" s="6" t="str">
        <f ca="1">IFERROR(__xludf.DUMMYFUNCTION("""COMPUTED_VALUE"""),"Pre-seed")</f>
        <v>Pre-seed</v>
      </c>
      <c r="U111" s="6" t="str">
        <f ca="1">IFERROR(__xludf.DUMMYFUNCTION("""COMPUTED_VALUE"""),"Pre-seed")</f>
        <v>Pre-seed</v>
      </c>
      <c r="V111" s="6"/>
      <c r="W111" s="6" t="str">
        <f ca="1">IFERROR(__xludf.DUMMYFUNCTION("""COMPUTED_VALUE"""),"Invite Next Year")</f>
        <v>Invite Next Year</v>
      </c>
    </row>
    <row r="112" spans="1:23">
      <c r="A112" s="6" t="str">
        <f ca="1">IFERROR(__xludf.DUMMYFUNCTION("""COMPUTED_VALUE"""),"Man, Man")</f>
        <v>Man, Man</v>
      </c>
      <c r="B112" s="6" t="str">
        <f ca="1">IFERROR(__xludf.DUMMYFUNCTION("""COMPUTED_VALUE"""),"IN-HOUSE _2022")</f>
        <v>IN-HOUSE _2022</v>
      </c>
      <c r="C112" s="6" t="str">
        <f ca="1">IFERROR(__xludf.DUMMYFUNCTION("""COMPUTED_VALUE"""),"Digital Tech")</f>
        <v>Digital Tech</v>
      </c>
      <c r="D112" s="6" t="str">
        <f ca="1">IFERROR(__xludf.DUMMYFUNCTION("""COMPUTED_VALUE"""),"New York, NY 
United States")</f>
        <v>New York, NY 
United States</v>
      </c>
      <c r="E112" s="6" t="str">
        <f ca="1">IFERROR(__xludf.DUMMYFUNCTION("""COMPUTED_VALUE"""),"New York")</f>
        <v>New York</v>
      </c>
      <c r="F112" s="6" t="str">
        <f ca="1">IFERROR(__xludf.DUMMYFUNCTION("""COMPUTED_VALUE"""),"Man")</f>
        <v>Man</v>
      </c>
      <c r="G112" s="6" t="str">
        <f ca="1">IFERROR(__xludf.DUMMYFUNCTION("""COMPUTED_VALUE"""),"Man")</f>
        <v>Man</v>
      </c>
      <c r="H112" s="6"/>
      <c r="I112" s="6"/>
      <c r="J112" s="6"/>
      <c r="K112" s="6"/>
      <c r="L112" s="6" t="str">
        <f ca="1">IFERROR(__xludf.DUMMYFUNCTION("""COMPUTED_VALUE"""),"Yes")</f>
        <v>Yes</v>
      </c>
      <c r="M112" s="6" t="str">
        <f ca="1">IFERROR(__xludf.DUMMYFUNCTION("""COMPUTED_VALUE"""),"Other (please specify)")</f>
        <v>Other (please specify)</v>
      </c>
      <c r="N112" s="6" t="str">
        <f ca="1">IFERROR(__xludf.DUMMYFUNCTION("""COMPUTED_VALUE"""),"2022-2023 EFL Mentor")</f>
        <v>2022-2023 EFL Mentor</v>
      </c>
      <c r="O112" s="6" t="str">
        <f ca="1">IFERROR(__xludf.DUMMYFUNCTION("""COMPUTED_VALUE"""),"Referral")</f>
        <v>Referral</v>
      </c>
      <c r="P112" s="6"/>
      <c r="Q112" s="6" t="str">
        <f ca="1">IFERROR(__xludf.DUMMYFUNCTION("""COMPUTED_VALUE"""),"No")</f>
        <v>No</v>
      </c>
      <c r="R112" s="6">
        <f ca="1">IFERROR(__xludf.DUMMYFUNCTION("""COMPUTED_VALUE"""),2)</f>
        <v>2</v>
      </c>
      <c r="S112" s="6" t="str">
        <f ca="1">IFERROR(__xludf.DUMMYFUNCTION("""COMPUTED_VALUE"""),"Pre-seed
Seed")</f>
        <v>Pre-seed
Seed</v>
      </c>
      <c r="T112" s="6" t="str">
        <f ca="1">IFERROR(__xludf.DUMMYFUNCTION("""COMPUTED_VALUE"""),"Pre-seed, Seed")</f>
        <v>Pre-seed, Seed</v>
      </c>
      <c r="U112" s="6" t="str">
        <f ca="1">IFERROR(__xludf.DUMMYFUNCTION("""COMPUTED_VALUE"""),"Pre-seed, Seed")</f>
        <v>Pre-seed, Seed</v>
      </c>
      <c r="V112" s="6"/>
      <c r="W112" s="6" t="str">
        <f ca="1">IFERROR(__xludf.DUMMYFUNCTION("""COMPUTED_VALUE"""),"Invite Next Year")</f>
        <v>Invite Next Year</v>
      </c>
    </row>
    <row r="113" spans="1:23">
      <c r="A113" s="6" t="str">
        <f ca="1">IFERROR(__xludf.DUMMYFUNCTION("""COMPUTED_VALUE"""),"Man")</f>
        <v>Man</v>
      </c>
      <c r="B113" s="6" t="str">
        <f ca="1">IFERROR(__xludf.DUMMYFUNCTION("""COMPUTED_VALUE"""),"Monocle _2022")</f>
        <v>Monocle _2022</v>
      </c>
      <c r="C113" s="6" t="str">
        <f ca="1">IFERROR(__xludf.DUMMYFUNCTION("""COMPUTED_VALUE"""),"Digital Tech")</f>
        <v>Digital Tech</v>
      </c>
      <c r="D113" s="6" t="str">
        <f ca="1">IFERROR(__xludf.DUMMYFUNCTION("""COMPUTED_VALUE"""),"Jersey City, NJ 
United States")</f>
        <v>Jersey City, NJ 
United States</v>
      </c>
      <c r="E113" s="6" t="str">
        <f ca="1">IFERROR(__xludf.DUMMYFUNCTION("""COMPUTED_VALUE"""),"East Coast")</f>
        <v>East Coast</v>
      </c>
      <c r="F113" s="6" t="str">
        <f ca="1">IFERROR(__xludf.DUMMYFUNCTION("""COMPUTED_VALUE"""),"Man")</f>
        <v>Man</v>
      </c>
      <c r="G113" s="6"/>
      <c r="H113" s="6"/>
      <c r="I113" s="6"/>
      <c r="J113" s="6"/>
      <c r="K113" s="6"/>
      <c r="L113" s="6" t="str">
        <f ca="1">IFERROR(__xludf.DUMMYFUNCTION("""COMPUTED_VALUE"""),"--Please select--")</f>
        <v>--Please select--</v>
      </c>
      <c r="M113" s="6"/>
      <c r="N113" s="6"/>
      <c r="O113" s="6" t="str">
        <f ca="1">IFERROR(__xludf.DUMMYFUNCTION("""COMPUTED_VALUE"""),"LinkedIn")</f>
        <v>LinkedIn</v>
      </c>
      <c r="P113" s="6"/>
      <c r="Q113" s="6" t="str">
        <f ca="1">IFERROR(__xludf.DUMMYFUNCTION("""COMPUTED_VALUE"""),"No")</f>
        <v>No</v>
      </c>
      <c r="R113" s="6">
        <f ca="1">IFERROR(__xludf.DUMMYFUNCTION("""COMPUTED_VALUE"""),1)</f>
        <v>1</v>
      </c>
      <c r="S113" s="6" t="str">
        <f ca="1">IFERROR(__xludf.DUMMYFUNCTION("""COMPUTED_VALUE"""),"None")</f>
        <v>None</v>
      </c>
      <c r="T113" s="6" t="str">
        <f ca="1">IFERROR(__xludf.DUMMYFUNCTION("""COMPUTED_VALUE"""),"None")</f>
        <v>None</v>
      </c>
      <c r="U113" s="6" t="str">
        <f ca="1">IFERROR(__xludf.DUMMYFUNCTION("""COMPUTED_VALUE"""),"None")</f>
        <v>None</v>
      </c>
      <c r="V113" s="6"/>
      <c r="W113" s="6" t="str">
        <f ca="1">IFERROR(__xludf.DUMMYFUNCTION("""COMPUTED_VALUE"""),"Invite Next Year")</f>
        <v>Invite Next Year</v>
      </c>
    </row>
    <row r="114" spans="1:23">
      <c r="A114" s="6" t="str">
        <f ca="1">IFERROR(__xludf.DUMMYFUNCTION("""COMPUTED_VALUE"""),"Woman, Man")</f>
        <v>Woman, Man</v>
      </c>
      <c r="B114" s="6" t="str">
        <f ca="1">IFERROR(__xludf.DUMMYFUNCTION("""COMPUTED_VALUE"""),"KabCash Inc. _2022")</f>
        <v>KabCash Inc. _2022</v>
      </c>
      <c r="C114" s="6" t="str">
        <f ca="1">IFERROR(__xludf.DUMMYFUNCTION("""COMPUTED_VALUE"""),"Digital Tech")</f>
        <v>Digital Tech</v>
      </c>
      <c r="D114" s="6" t="str">
        <f ca="1">IFERROR(__xludf.DUMMYFUNCTION("""COMPUTED_VALUE"""),"Seattle, Washington 
United States")</f>
        <v>Seattle, Washington 
United States</v>
      </c>
      <c r="E114" s="6" t="str">
        <f ca="1">IFERROR(__xludf.DUMMYFUNCTION("""COMPUTED_VALUE"""),"West Coast")</f>
        <v>West Coast</v>
      </c>
      <c r="F114" s="6" t="str">
        <f ca="1">IFERROR(__xludf.DUMMYFUNCTION("""COMPUTED_VALUE"""),"Woman")</f>
        <v>Woman</v>
      </c>
      <c r="G114" s="6" t="str">
        <f ca="1">IFERROR(__xludf.DUMMYFUNCTION("""COMPUTED_VALUE"""),"Man")</f>
        <v>Man</v>
      </c>
      <c r="H114" s="6"/>
      <c r="I114" s="6"/>
      <c r="J114" s="6"/>
      <c r="K114" s="6"/>
      <c r="L114" s="6" t="str">
        <f ca="1">IFERROR(__xludf.DUMMYFUNCTION("""COMPUTED_VALUE"""),"No")</f>
        <v>No</v>
      </c>
      <c r="M114" s="6"/>
      <c r="N114" s="6"/>
      <c r="O114" s="6" t="str">
        <f ca="1">IFERROR(__xludf.DUMMYFUNCTION("""COMPUTED_VALUE"""),"Referral")</f>
        <v>Referral</v>
      </c>
      <c r="P114" s="6"/>
      <c r="Q114" s="6" t="str">
        <f ca="1">IFERROR(__xludf.DUMMYFUNCTION("""COMPUTED_VALUE"""),"No")</f>
        <v>No</v>
      </c>
      <c r="R114" s="6">
        <f ca="1">IFERROR(__xludf.DUMMYFUNCTION("""COMPUTED_VALUE"""),2)</f>
        <v>2</v>
      </c>
      <c r="S114" s="6" t="str">
        <f ca="1">IFERROR(__xludf.DUMMYFUNCTION("""COMPUTED_VALUE"""),"Pre-seed")</f>
        <v>Pre-seed</v>
      </c>
      <c r="T114" s="6" t="str">
        <f ca="1">IFERROR(__xludf.DUMMYFUNCTION("""COMPUTED_VALUE"""),"Pre-seed")</f>
        <v>Pre-seed</v>
      </c>
      <c r="U114" s="6" t="str">
        <f ca="1">IFERROR(__xludf.DUMMYFUNCTION("""COMPUTED_VALUE"""),"Pre-seed")</f>
        <v>Pre-seed</v>
      </c>
      <c r="V114" s="6"/>
      <c r="W114" s="6" t="str">
        <f ca="1">IFERROR(__xludf.DUMMYFUNCTION("""COMPUTED_VALUE"""),"Invite Next Year")</f>
        <v>Invite Next Year</v>
      </c>
    </row>
    <row r="115" spans="1:23">
      <c r="A115" s="6" t="str">
        <f ca="1">IFERROR(__xludf.DUMMYFUNCTION("""COMPUTED_VALUE"""),"Woman, Woman")</f>
        <v>Woman, Woman</v>
      </c>
      <c r="B115" s="6" t="str">
        <f ca="1">IFERROR(__xludf.DUMMYFUNCTION("""COMPUTED_VALUE"""),"Pool Party Co. _2022")</f>
        <v>Pool Party Co. _2022</v>
      </c>
      <c r="C115" s="6" t="str">
        <f ca="1">IFERROR(__xludf.DUMMYFUNCTION("""COMPUTED_VALUE"""),"Digital Tech")</f>
        <v>Digital Tech</v>
      </c>
      <c r="D115" s="6" t="str">
        <f ca="1">IFERROR(__xludf.DUMMYFUNCTION("""COMPUTED_VALUE"""),"St. Louis, MO 
United States")</f>
        <v>St. Louis, MO 
United States</v>
      </c>
      <c r="E115" s="6" t="str">
        <f ca="1">IFERROR(__xludf.DUMMYFUNCTION("""COMPUTED_VALUE"""),"Midwest")</f>
        <v>Midwest</v>
      </c>
      <c r="F115" s="6" t="str">
        <f ca="1">IFERROR(__xludf.DUMMYFUNCTION("""COMPUTED_VALUE"""),"Woman")</f>
        <v>Woman</v>
      </c>
      <c r="G115" s="6" t="str">
        <f ca="1">IFERROR(__xludf.DUMMYFUNCTION("""COMPUTED_VALUE"""),"Woman")</f>
        <v>Woman</v>
      </c>
      <c r="H115" s="6"/>
      <c r="I115" s="6"/>
      <c r="J115" s="6"/>
      <c r="K115" s="6"/>
      <c r="L115" s="6" t="str">
        <f ca="1">IFERROR(__xludf.DUMMYFUNCTION("""COMPUTED_VALUE"""),"No")</f>
        <v>No</v>
      </c>
      <c r="M115" s="6"/>
      <c r="N115" s="6"/>
      <c r="O115" s="6" t="str">
        <f ca="1">IFERROR(__xludf.DUMMYFUNCTION("""COMPUTED_VALUE"""),"Email")</f>
        <v>Email</v>
      </c>
      <c r="P115" s="6"/>
      <c r="Q115" s="6" t="str">
        <f ca="1">IFERROR(__xludf.DUMMYFUNCTION("""COMPUTED_VALUE"""),"No")</f>
        <v>No</v>
      </c>
      <c r="R115" s="6">
        <f ca="1">IFERROR(__xludf.DUMMYFUNCTION("""COMPUTED_VALUE"""),2)</f>
        <v>2</v>
      </c>
      <c r="S115" s="6" t="str">
        <f ca="1">IFERROR(__xludf.DUMMYFUNCTION("""COMPUTED_VALUE"""),"Pre-seed")</f>
        <v>Pre-seed</v>
      </c>
      <c r="T115" s="6" t="str">
        <f ca="1">IFERROR(__xludf.DUMMYFUNCTION("""COMPUTED_VALUE"""),"Pre-seed")</f>
        <v>Pre-seed</v>
      </c>
      <c r="U115" s="6" t="str">
        <f ca="1">IFERROR(__xludf.DUMMYFUNCTION("""COMPUTED_VALUE"""),"Pre-seed")</f>
        <v>Pre-seed</v>
      </c>
      <c r="V115" s="6"/>
      <c r="W115" s="6" t="str">
        <f ca="1">IFERROR(__xludf.DUMMYFUNCTION("""COMPUTED_VALUE"""),"Invite Next Year")</f>
        <v>Invite Next Year</v>
      </c>
    </row>
    <row r="116" spans="1:23">
      <c r="A116" s="6" t="str">
        <f ca="1">IFERROR(__xludf.DUMMYFUNCTION("""COMPUTED_VALUE"""),"Man, Man, Man")</f>
        <v>Man, Man, Man</v>
      </c>
      <c r="B116" s="6" t="str">
        <f ca="1">IFERROR(__xludf.DUMMYFUNCTION("""COMPUTED_VALUE"""),"Heartland _2022")</f>
        <v>Heartland _2022</v>
      </c>
      <c r="C116" s="6" t="str">
        <f ca="1">IFERROR(__xludf.DUMMYFUNCTION("""COMPUTED_VALUE"""),"Deep Tech")</f>
        <v>Deep Tech</v>
      </c>
      <c r="D116" s="6" t="str">
        <f ca="1">IFERROR(__xludf.DUMMYFUNCTION("""COMPUTED_VALUE"""),"330 East Liberty, Ann Arbor, MI 
United States")</f>
        <v>330 East Liberty, Ann Arbor, MI 
United States</v>
      </c>
      <c r="E116" s="6" t="str">
        <f ca="1">IFERROR(__xludf.DUMMYFUNCTION("""COMPUTED_VALUE"""),"Midwest")</f>
        <v>Midwest</v>
      </c>
      <c r="F116" s="6" t="str">
        <f ca="1">IFERROR(__xludf.DUMMYFUNCTION("""COMPUTED_VALUE"""),"Man")</f>
        <v>Man</v>
      </c>
      <c r="G116" s="6" t="str">
        <f ca="1">IFERROR(__xludf.DUMMYFUNCTION("""COMPUTED_VALUE"""),"Man")</f>
        <v>Man</v>
      </c>
      <c r="H116" s="6" t="str">
        <f ca="1">IFERROR(__xludf.DUMMYFUNCTION("""COMPUTED_VALUE"""),"Man")</f>
        <v>Man</v>
      </c>
      <c r="I116" s="6"/>
      <c r="J116" s="6"/>
      <c r="K116" s="6"/>
      <c r="L116" s="6" t="str">
        <f ca="1">IFERROR(__xludf.DUMMYFUNCTION("""COMPUTED_VALUE"""),"No")</f>
        <v>No</v>
      </c>
      <c r="M116" s="6"/>
      <c r="N116" s="6"/>
      <c r="O116" s="6" t="str">
        <f ca="1">IFERROR(__xludf.DUMMYFUNCTION("""COMPUTED_VALUE"""),"Email")</f>
        <v>Email</v>
      </c>
      <c r="P116" s="6"/>
      <c r="Q116" s="6" t="str">
        <f ca="1">IFERROR(__xludf.DUMMYFUNCTION("""COMPUTED_VALUE"""),"No")</f>
        <v>No</v>
      </c>
      <c r="R116" s="6">
        <f ca="1">IFERROR(__xludf.DUMMYFUNCTION("""COMPUTED_VALUE"""),3)</f>
        <v>3</v>
      </c>
      <c r="S116" s="6" t="str">
        <f ca="1">IFERROR(__xludf.DUMMYFUNCTION("""COMPUTED_VALUE"""),"Pre-seed
Seed")</f>
        <v>Pre-seed
Seed</v>
      </c>
      <c r="T116" s="6" t="str">
        <f ca="1">IFERROR(__xludf.DUMMYFUNCTION("""COMPUTED_VALUE"""),"Pre-seed, Seed")</f>
        <v>Pre-seed, Seed</v>
      </c>
      <c r="U116" s="6" t="str">
        <f ca="1">IFERROR(__xludf.DUMMYFUNCTION("""COMPUTED_VALUE"""),"Pre-seed, Seed")</f>
        <v>Pre-seed, Seed</v>
      </c>
      <c r="V116" s="6"/>
      <c r="W116" s="6" t="str">
        <f ca="1">IFERROR(__xludf.DUMMYFUNCTION("""COMPUTED_VALUE"""),"Invite Next Year")</f>
        <v>Invite Next Year</v>
      </c>
    </row>
    <row r="117" spans="1:23">
      <c r="A117" s="6" t="str">
        <f ca="1">IFERROR(__xludf.DUMMYFUNCTION("""COMPUTED_VALUE"""),"Man")</f>
        <v>Man</v>
      </c>
      <c r="B117" s="6" t="str">
        <f ca="1">IFERROR(__xludf.DUMMYFUNCTION("""COMPUTED_VALUE"""),"Tokenizer Banx _2022")</f>
        <v>Tokenizer Banx _2022</v>
      </c>
      <c r="C117" s="6" t="str">
        <f ca="1">IFERROR(__xludf.DUMMYFUNCTION("""COMPUTED_VALUE"""),"Deep Tech")</f>
        <v>Deep Tech</v>
      </c>
      <c r="D117" s="6" t="str">
        <f ca="1">IFERROR(__xludf.DUMMYFUNCTION("""COMPUTED_VALUE"""),"Seychelles, Se 
Saint Barthelemy")</f>
        <v>Seychelles, Se 
Saint Barthelemy</v>
      </c>
      <c r="E117" s="6" t="str">
        <f ca="1">IFERROR(__xludf.DUMMYFUNCTION("""COMPUTED_VALUE"""),"International - Americas")</f>
        <v>International - Americas</v>
      </c>
      <c r="F117" s="6" t="str">
        <f ca="1">IFERROR(__xludf.DUMMYFUNCTION("""COMPUTED_VALUE"""),"Man")</f>
        <v>Man</v>
      </c>
      <c r="G117" s="6"/>
      <c r="H117" s="6"/>
      <c r="I117" s="6"/>
      <c r="J117" s="6"/>
      <c r="K117" s="6"/>
      <c r="L117" s="6" t="str">
        <f ca="1">IFERROR(__xludf.DUMMYFUNCTION("""COMPUTED_VALUE"""),"No")</f>
        <v>No</v>
      </c>
      <c r="M117" s="6"/>
      <c r="N117" s="6"/>
      <c r="O117" s="6" t="str">
        <f ca="1">IFERROR(__xludf.DUMMYFUNCTION("""COMPUTED_VALUE"""),"Email")</f>
        <v>Email</v>
      </c>
      <c r="P117" s="6"/>
      <c r="Q117" s="6" t="str">
        <f ca="1">IFERROR(__xludf.DUMMYFUNCTION("""COMPUTED_VALUE"""),"No")</f>
        <v>No</v>
      </c>
      <c r="R117" s="6">
        <f ca="1">IFERROR(__xludf.DUMMYFUNCTION("""COMPUTED_VALUE"""),1)</f>
        <v>1</v>
      </c>
      <c r="S117" s="6" t="str">
        <f ca="1">IFERROR(__xludf.DUMMYFUNCTION("""COMPUTED_VALUE"""),"Pre-seed
Seed
Other: ICO and Private")</f>
        <v>Pre-seed
Seed
Other: ICO and Private</v>
      </c>
      <c r="T117" s="6" t="str">
        <f ca="1">IFERROR(__xludf.DUMMYFUNCTION("""COMPUTED_VALUE"""),"Pre-seed, Seed, Other: ICO and Private")</f>
        <v>Pre-seed, Seed, Other: ICO and Private</v>
      </c>
      <c r="U117" s="6" t="str">
        <f ca="1">IFERROR(__xludf.DUMMYFUNCTION("""COMPUTED_VALUE"""),"Pre-seed, Seed, ")</f>
        <v xml:space="preserve">Pre-seed, Seed, </v>
      </c>
      <c r="V117" s="6" t="str">
        <f ca="1">IFERROR(__xludf.DUMMYFUNCTION("""COMPUTED_VALUE"""),"ICO and Private")</f>
        <v>ICO and Private</v>
      </c>
      <c r="W117" s="6" t="str">
        <f ca="1">IFERROR(__xludf.DUMMYFUNCTION("""COMPUTED_VALUE"""),"Invite Next Year")</f>
        <v>Invite Next Year</v>
      </c>
    </row>
    <row r="118" spans="1:23">
      <c r="A118" s="6" t="str">
        <f ca="1">IFERROR(__xludf.DUMMYFUNCTION("""COMPUTED_VALUE"""),"Woman, Man")</f>
        <v>Woman, Man</v>
      </c>
      <c r="B118" s="6" t="str">
        <f ca="1">IFERROR(__xludf.DUMMYFUNCTION("""COMPUTED_VALUE"""),"Clever Forever Education AG _2022")</f>
        <v>Clever Forever Education AG _2022</v>
      </c>
      <c r="C118" s="6" t="str">
        <f ca="1">IFERROR(__xludf.DUMMYFUNCTION("""COMPUTED_VALUE"""),"Digital Tech")</f>
        <v>Digital Tech</v>
      </c>
      <c r="D118" s="6" t="str">
        <f ca="1">IFERROR(__xludf.DUMMYFUNCTION("""COMPUTED_VALUE"""),"Lerchenfeldstrasse 3, 9401 St. Gallen 
Switzerland")</f>
        <v>Lerchenfeldstrasse 3, 9401 St. Gallen 
Switzerland</v>
      </c>
      <c r="E118" s="6" t="str">
        <f ca="1">IFERROR(__xludf.DUMMYFUNCTION("""COMPUTED_VALUE"""),"International - Europe")</f>
        <v>International - Europe</v>
      </c>
      <c r="F118" s="6" t="str">
        <f ca="1">IFERROR(__xludf.DUMMYFUNCTION("""COMPUTED_VALUE"""),"Woman")</f>
        <v>Woman</v>
      </c>
      <c r="G118" s="6" t="str">
        <f ca="1">IFERROR(__xludf.DUMMYFUNCTION("""COMPUTED_VALUE"""),"Man")</f>
        <v>Man</v>
      </c>
      <c r="H118" s="6"/>
      <c r="I118" s="6"/>
      <c r="J118" s="6"/>
      <c r="K118" s="6"/>
      <c r="L118" s="6" t="str">
        <f ca="1">IFERROR(__xludf.DUMMYFUNCTION("""COMPUTED_VALUE"""),"--Please select--")</f>
        <v>--Please select--</v>
      </c>
      <c r="M118" s="6"/>
      <c r="N118" s="6"/>
      <c r="O118" s="6" t="str">
        <f ca="1">IFERROR(__xludf.DUMMYFUNCTION("""COMPUTED_VALUE"""),"Referral")</f>
        <v>Referral</v>
      </c>
      <c r="P118" s="6"/>
      <c r="Q118" s="6" t="str">
        <f ca="1">IFERROR(__xludf.DUMMYFUNCTION("""COMPUTED_VALUE"""),"No")</f>
        <v>No</v>
      </c>
      <c r="R118" s="6">
        <f ca="1">IFERROR(__xludf.DUMMYFUNCTION("""COMPUTED_VALUE"""),2)</f>
        <v>2</v>
      </c>
      <c r="S118" s="6" t="str">
        <f ca="1">IFERROR(__xludf.DUMMYFUNCTION("""COMPUTED_VALUE"""),"Pre-seed")</f>
        <v>Pre-seed</v>
      </c>
      <c r="T118" s="6" t="str">
        <f ca="1">IFERROR(__xludf.DUMMYFUNCTION("""COMPUTED_VALUE"""),"Pre-seed")</f>
        <v>Pre-seed</v>
      </c>
      <c r="U118" s="6" t="str">
        <f ca="1">IFERROR(__xludf.DUMMYFUNCTION("""COMPUTED_VALUE"""),"Pre-seed")</f>
        <v>Pre-seed</v>
      </c>
      <c r="V118" s="6"/>
      <c r="W118" s="6" t="str">
        <f ca="1">IFERROR(__xludf.DUMMYFUNCTION("""COMPUTED_VALUE"""),"Invite Next Year")</f>
        <v>Invite Next Year</v>
      </c>
    </row>
    <row r="119" spans="1:23">
      <c r="A119" s="6" t="str">
        <f ca="1">IFERROR(__xludf.DUMMYFUNCTION("""COMPUTED_VALUE"""),"Woman, Man")</f>
        <v>Woman, Man</v>
      </c>
      <c r="B119" s="6" t="str">
        <f ca="1">IFERROR(__xludf.DUMMYFUNCTION("""COMPUTED_VALUE"""),"the klubb _2022")</f>
        <v>the klubb _2022</v>
      </c>
      <c r="C119" s="6" t="str">
        <f ca="1">IFERROR(__xludf.DUMMYFUNCTION("""COMPUTED_VALUE"""),"Digital Tech")</f>
        <v>Digital Tech</v>
      </c>
      <c r="D119" s="6" t="str">
        <f ca="1">IFERROR(__xludf.DUMMYFUNCTION("""COMPUTED_VALUE"""),"535 W. 23rd St. Apt S08H, New York 
United States")</f>
        <v>535 W. 23rd St. Apt S08H, New York 
United States</v>
      </c>
      <c r="E119" s="6" t="str">
        <f ca="1">IFERROR(__xludf.DUMMYFUNCTION("""COMPUTED_VALUE"""),"New York")</f>
        <v>New York</v>
      </c>
      <c r="F119" s="6" t="str">
        <f ca="1">IFERROR(__xludf.DUMMYFUNCTION("""COMPUTED_VALUE"""),"Woman")</f>
        <v>Woman</v>
      </c>
      <c r="G119" s="6" t="str">
        <f ca="1">IFERROR(__xludf.DUMMYFUNCTION("""COMPUTED_VALUE"""),"Man")</f>
        <v>Man</v>
      </c>
      <c r="H119" s="6"/>
      <c r="I119" s="6"/>
      <c r="J119" s="6"/>
      <c r="K119" s="6"/>
      <c r="L119" s="6" t="str">
        <f ca="1">IFERROR(__xludf.DUMMYFUNCTION("""COMPUTED_VALUE"""),"--Please select--")</f>
        <v>--Please select--</v>
      </c>
      <c r="M119" s="6"/>
      <c r="N119" s="6"/>
      <c r="O119" s="6" t="str">
        <f ca="1">IFERROR(__xludf.DUMMYFUNCTION("""COMPUTED_VALUE"""),"Other")</f>
        <v>Other</v>
      </c>
      <c r="P119" s="6"/>
      <c r="Q119" s="6" t="str">
        <f ca="1">IFERROR(__xludf.DUMMYFUNCTION("""COMPUTED_VALUE"""),"No")</f>
        <v>No</v>
      </c>
      <c r="R119" s="6">
        <f ca="1">IFERROR(__xludf.DUMMYFUNCTION("""COMPUTED_VALUE"""),2)</f>
        <v>2</v>
      </c>
      <c r="S119" s="6" t="str">
        <f ca="1">IFERROR(__xludf.DUMMYFUNCTION("""COMPUTED_VALUE"""),"None")</f>
        <v>None</v>
      </c>
      <c r="T119" s="6" t="str">
        <f ca="1">IFERROR(__xludf.DUMMYFUNCTION("""COMPUTED_VALUE"""),"None")</f>
        <v>None</v>
      </c>
      <c r="U119" s="6" t="str">
        <f ca="1">IFERROR(__xludf.DUMMYFUNCTION("""COMPUTED_VALUE"""),"None")</f>
        <v>None</v>
      </c>
      <c r="V119" s="6"/>
      <c r="W119" s="6" t="str">
        <f ca="1">IFERROR(__xludf.DUMMYFUNCTION("""COMPUTED_VALUE"""),"Invite Next Year")</f>
        <v>Invite Next Year</v>
      </c>
    </row>
    <row r="120" spans="1:23">
      <c r="A120" s="6" t="str">
        <f ca="1">IFERROR(__xludf.DUMMYFUNCTION("""COMPUTED_VALUE"""),"Man, Man")</f>
        <v>Man, Man</v>
      </c>
      <c r="B120" s="6" t="str">
        <f ca="1">IFERROR(__xludf.DUMMYFUNCTION("""COMPUTED_VALUE"""),"AIWaysion, Inc. _2022")</f>
        <v>AIWaysion, Inc. _2022</v>
      </c>
      <c r="C120" s="6" t="str">
        <f ca="1">IFERROR(__xludf.DUMMYFUNCTION("""COMPUTED_VALUE"""),"Digital Tech")</f>
        <v>Digital Tech</v>
      </c>
      <c r="D120" s="6" t="str">
        <f ca="1">IFERROR(__xludf.DUMMYFUNCTION("""COMPUTED_VALUE"""),"Seattle, Washington 
United States")</f>
        <v>Seattle, Washington 
United States</v>
      </c>
      <c r="E120" s="6" t="str">
        <f ca="1">IFERROR(__xludf.DUMMYFUNCTION("""COMPUTED_VALUE"""),"West Coast")</f>
        <v>West Coast</v>
      </c>
      <c r="F120" s="6" t="str">
        <f ca="1">IFERROR(__xludf.DUMMYFUNCTION("""COMPUTED_VALUE"""),"Man")</f>
        <v>Man</v>
      </c>
      <c r="G120" s="6" t="str">
        <f ca="1">IFERROR(__xludf.DUMMYFUNCTION("""COMPUTED_VALUE"""),"Man")</f>
        <v>Man</v>
      </c>
      <c r="H120" s="6"/>
      <c r="I120" s="6"/>
      <c r="J120" s="6"/>
      <c r="K120" s="6"/>
      <c r="L120" s="6" t="str">
        <f ca="1">IFERROR(__xludf.DUMMYFUNCTION("""COMPUTED_VALUE"""),"No")</f>
        <v>No</v>
      </c>
      <c r="M120" s="6"/>
      <c r="N120" s="6"/>
      <c r="O120" s="6" t="str">
        <f ca="1">IFERROR(__xludf.DUMMYFUNCTION("""COMPUTED_VALUE"""),"Referral")</f>
        <v>Referral</v>
      </c>
      <c r="P120" s="6"/>
      <c r="Q120" s="6" t="str">
        <f ca="1">IFERROR(__xludf.DUMMYFUNCTION("""COMPUTED_VALUE"""),"No")</f>
        <v>No</v>
      </c>
      <c r="R120" s="6">
        <f ca="1">IFERROR(__xludf.DUMMYFUNCTION("""COMPUTED_VALUE"""),2)</f>
        <v>2</v>
      </c>
      <c r="S120" s="6" t="str">
        <f ca="1">IFERROR(__xludf.DUMMYFUNCTION("""COMPUTED_VALUE"""),"Seed")</f>
        <v>Seed</v>
      </c>
      <c r="T120" s="6" t="str">
        <f ca="1">IFERROR(__xludf.DUMMYFUNCTION("""COMPUTED_VALUE"""),"Seed")</f>
        <v>Seed</v>
      </c>
      <c r="U120" s="6" t="str">
        <f ca="1">IFERROR(__xludf.DUMMYFUNCTION("""COMPUTED_VALUE"""),"Seed")</f>
        <v>Seed</v>
      </c>
      <c r="V120" s="6"/>
      <c r="W120" s="6" t="str">
        <f ca="1">IFERROR(__xludf.DUMMYFUNCTION("""COMPUTED_VALUE"""),"Revisit/ Cluster")</f>
        <v>Revisit/ Cluster</v>
      </c>
    </row>
    <row r="121" spans="1:23">
      <c r="A121" s="6" t="str">
        <f ca="1">IFERROR(__xludf.DUMMYFUNCTION("""COMPUTED_VALUE"""),"Man")</f>
        <v>Man</v>
      </c>
      <c r="B121" s="6" t="str">
        <f ca="1">IFERROR(__xludf.DUMMYFUNCTION("""COMPUTED_VALUE"""),"ZRC - AI-powered HVAC solutions _2022")</f>
        <v>ZRC - AI-powered HVAC solutions _2022</v>
      </c>
      <c r="C121" s="6" t="str">
        <f ca="1">IFERROR(__xludf.DUMMYFUNCTION("""COMPUTED_VALUE"""),"Deep Tech")</f>
        <v>Deep Tech</v>
      </c>
      <c r="D121" s="6" t="str">
        <f ca="1">IFERROR(__xludf.DUMMYFUNCTION("""COMPUTED_VALUE"""),"Abu Dhabi, Al Rahba Post Office, PO Box 137622, Abu Dhabi 
United Arab Emirates")</f>
        <v>Abu Dhabi, Al Rahba Post Office, PO Box 137622, Abu Dhabi 
United Arab Emirates</v>
      </c>
      <c r="E121" s="6" t="str">
        <f ca="1">IFERROR(__xludf.DUMMYFUNCTION("""COMPUTED_VALUE"""),"International - Middle East")</f>
        <v>International - Middle East</v>
      </c>
      <c r="F121" s="6" t="str">
        <f ca="1">IFERROR(__xludf.DUMMYFUNCTION("""COMPUTED_VALUE"""),"Man")</f>
        <v>Man</v>
      </c>
      <c r="G121" s="6"/>
      <c r="H121" s="6"/>
      <c r="I121" s="6"/>
      <c r="J121" s="6"/>
      <c r="K121" s="6"/>
      <c r="L121" s="6" t="str">
        <f ca="1">IFERROR(__xludf.DUMMYFUNCTION("""COMPUTED_VALUE"""),"Yes")</f>
        <v>Yes</v>
      </c>
      <c r="M121" s="6" t="str">
        <f ca="1">IFERROR(__xludf.DUMMYFUNCTION("""COMPUTED_VALUE"""),"NYU Staff")</f>
        <v>NYU Staff</v>
      </c>
      <c r="N121" s="6"/>
      <c r="O121" s="6" t="str">
        <f ca="1">IFERROR(__xludf.DUMMYFUNCTION("""COMPUTED_VALUE"""),"Email")</f>
        <v>Email</v>
      </c>
      <c r="P121" s="6"/>
      <c r="Q121" s="6" t="str">
        <f ca="1">IFERROR(__xludf.DUMMYFUNCTION("""COMPUTED_VALUE"""),"No")</f>
        <v>No</v>
      </c>
      <c r="R121" s="6">
        <f ca="1">IFERROR(__xludf.DUMMYFUNCTION("""COMPUTED_VALUE"""),1)</f>
        <v>1</v>
      </c>
      <c r="S121" s="6" t="str">
        <f ca="1">IFERROR(__xludf.DUMMYFUNCTION("""COMPUTED_VALUE"""),"None")</f>
        <v>None</v>
      </c>
      <c r="T121" s="6" t="str">
        <f ca="1">IFERROR(__xludf.DUMMYFUNCTION("""COMPUTED_VALUE"""),"None")</f>
        <v>None</v>
      </c>
      <c r="U121" s="6" t="str">
        <f ca="1">IFERROR(__xludf.DUMMYFUNCTION("""COMPUTED_VALUE"""),"None")</f>
        <v>None</v>
      </c>
      <c r="V121" s="6"/>
      <c r="W121" s="6" t="str">
        <f ca="1">IFERROR(__xludf.DUMMYFUNCTION("""COMPUTED_VALUE"""),"Invite Next Year")</f>
        <v>Invite Next Year</v>
      </c>
    </row>
    <row r="122" spans="1:23">
      <c r="A122" s="6" t="str">
        <f ca="1">IFERROR(__xludf.DUMMYFUNCTION("""COMPUTED_VALUE"""),"Man, Woman, Woman")</f>
        <v>Man, Woman, Woman</v>
      </c>
      <c r="B122" s="6" t="str">
        <f ca="1">IFERROR(__xludf.DUMMYFUNCTION("""COMPUTED_VALUE"""),"Abstractive Health  _2022")</f>
        <v>Abstractive Health  _2022</v>
      </c>
      <c r="C122" s="6" t="str">
        <f ca="1">IFERROR(__xludf.DUMMYFUNCTION("""COMPUTED_VALUE"""),"Digital Tech")</f>
        <v>Digital Tech</v>
      </c>
      <c r="D122" s="6" t="str">
        <f ca="1">IFERROR(__xludf.DUMMYFUNCTION("""COMPUTED_VALUE"""),"New York , New York  
United States")</f>
        <v>New York , New York  
United States</v>
      </c>
      <c r="E122" s="6" t="str">
        <f ca="1">IFERROR(__xludf.DUMMYFUNCTION("""COMPUTED_VALUE"""),"New York")</f>
        <v>New York</v>
      </c>
      <c r="F122" s="6" t="str">
        <f ca="1">IFERROR(__xludf.DUMMYFUNCTION("""COMPUTED_VALUE"""),"Man")</f>
        <v>Man</v>
      </c>
      <c r="G122" s="6" t="str">
        <f ca="1">IFERROR(__xludf.DUMMYFUNCTION("""COMPUTED_VALUE"""),"Woman")</f>
        <v>Woman</v>
      </c>
      <c r="H122" s="6" t="str">
        <f ca="1">IFERROR(__xludf.DUMMYFUNCTION("""COMPUTED_VALUE"""),"Woman")</f>
        <v>Woman</v>
      </c>
      <c r="I122" s="6"/>
      <c r="J122" s="6"/>
      <c r="K122" s="6"/>
      <c r="L122" s="6" t="str">
        <f ca="1">IFERROR(__xludf.DUMMYFUNCTION("""COMPUTED_VALUE"""),"No")</f>
        <v>No</v>
      </c>
      <c r="M122" s="6"/>
      <c r="N122" s="6"/>
      <c r="O122" s="6" t="str">
        <f ca="1">IFERROR(__xludf.DUMMYFUNCTION("""COMPUTED_VALUE"""),"Referral")</f>
        <v>Referral</v>
      </c>
      <c r="P122" s="6"/>
      <c r="Q122" s="6" t="str">
        <f ca="1">IFERROR(__xludf.DUMMYFUNCTION("""COMPUTED_VALUE"""),"No")</f>
        <v>No</v>
      </c>
      <c r="R122" s="6">
        <f ca="1">IFERROR(__xludf.DUMMYFUNCTION("""COMPUTED_VALUE"""),3)</f>
        <v>3</v>
      </c>
      <c r="S122" s="6" t="str">
        <f ca="1">IFERROR(__xludf.DUMMYFUNCTION("""COMPUTED_VALUE"""),"Pre-seed")</f>
        <v>Pre-seed</v>
      </c>
      <c r="T122" s="6" t="str">
        <f ca="1">IFERROR(__xludf.DUMMYFUNCTION("""COMPUTED_VALUE"""),"Pre-seed")</f>
        <v>Pre-seed</v>
      </c>
      <c r="U122" s="6" t="str">
        <f ca="1">IFERROR(__xludf.DUMMYFUNCTION("""COMPUTED_VALUE"""),"Pre-seed")</f>
        <v>Pre-seed</v>
      </c>
      <c r="V122" s="6"/>
      <c r="W122" s="6" t="str">
        <f ca="1">IFERROR(__xludf.DUMMYFUNCTION("""COMPUTED_VALUE"""),"Invite")</f>
        <v>Invite</v>
      </c>
    </row>
    <row r="123" spans="1:23">
      <c r="A123" s="6" t="str">
        <f ca="1">IFERROR(__xludf.DUMMYFUNCTION("""COMPUTED_VALUE"""),"Man, Man")</f>
        <v>Man, Man</v>
      </c>
      <c r="B123" s="6" t="str">
        <f ca="1">IFERROR(__xludf.DUMMYFUNCTION("""COMPUTED_VALUE"""),"Tazah Technologies _2022")</f>
        <v>Tazah Technologies _2022</v>
      </c>
      <c r="C123" s="6" t="str">
        <f ca="1">IFERROR(__xludf.DUMMYFUNCTION("""COMPUTED_VALUE"""),"Digital Tech")</f>
        <v>Digital Tech</v>
      </c>
      <c r="D123" s="6" t="str">
        <f ca="1">IFERROR(__xludf.DUMMYFUNCTION("""COMPUTED_VALUE"""),"Lahore, Punjab 
Pakistan")</f>
        <v>Lahore, Punjab 
Pakistan</v>
      </c>
      <c r="E123" s="6" t="str">
        <f ca="1">IFERROR(__xludf.DUMMYFUNCTION("""COMPUTED_VALUE"""),"International - Asia")</f>
        <v>International - Asia</v>
      </c>
      <c r="F123" s="6" t="str">
        <f ca="1">IFERROR(__xludf.DUMMYFUNCTION("""COMPUTED_VALUE"""),"Man")</f>
        <v>Man</v>
      </c>
      <c r="G123" s="6" t="str">
        <f ca="1">IFERROR(__xludf.DUMMYFUNCTION("""COMPUTED_VALUE"""),"Man")</f>
        <v>Man</v>
      </c>
      <c r="H123" s="6"/>
      <c r="I123" s="6"/>
      <c r="J123" s="6"/>
      <c r="K123" s="6"/>
      <c r="L123" s="6" t="str">
        <f ca="1">IFERROR(__xludf.DUMMYFUNCTION("""COMPUTED_VALUE"""),"No")</f>
        <v>No</v>
      </c>
      <c r="M123" s="6"/>
      <c r="N123" s="6"/>
      <c r="O123" s="6" t="str">
        <f ca="1">IFERROR(__xludf.DUMMYFUNCTION("""COMPUTED_VALUE"""),"Email")</f>
        <v>Email</v>
      </c>
      <c r="P123" s="6"/>
      <c r="Q123" s="6" t="str">
        <f ca="1">IFERROR(__xludf.DUMMYFUNCTION("""COMPUTED_VALUE"""),"No")</f>
        <v>No</v>
      </c>
      <c r="R123" s="6">
        <f ca="1">IFERROR(__xludf.DUMMYFUNCTION("""COMPUTED_VALUE"""),2)</f>
        <v>2</v>
      </c>
      <c r="S123" s="6" t="str">
        <f ca="1">IFERROR(__xludf.DUMMYFUNCTION("""COMPUTED_VALUE"""),"Pre-seed")</f>
        <v>Pre-seed</v>
      </c>
      <c r="T123" s="6" t="str">
        <f ca="1">IFERROR(__xludf.DUMMYFUNCTION("""COMPUTED_VALUE"""),"Pre-seed")</f>
        <v>Pre-seed</v>
      </c>
      <c r="U123" s="6" t="str">
        <f ca="1">IFERROR(__xludf.DUMMYFUNCTION("""COMPUTED_VALUE"""),"Pre-seed")</f>
        <v>Pre-seed</v>
      </c>
      <c r="V123" s="6"/>
      <c r="W123" s="6" t="str">
        <f ca="1">IFERROR(__xludf.DUMMYFUNCTION("""COMPUTED_VALUE"""),"Invite Next Year")</f>
        <v>Invite Next Year</v>
      </c>
    </row>
    <row r="124" spans="1:23">
      <c r="A124" s="6" t="str">
        <f ca="1">IFERROR(__xludf.DUMMYFUNCTION("""COMPUTED_VALUE"""),"Man")</f>
        <v>Man</v>
      </c>
      <c r="B124" s="6" t="str">
        <f ca="1">IFERROR(__xludf.DUMMYFUNCTION("""COMPUTED_VALUE"""),"InvVax _2022")</f>
        <v>InvVax _2022</v>
      </c>
      <c r="C124" s="6" t="str">
        <f ca="1">IFERROR(__xludf.DUMMYFUNCTION("""COMPUTED_VALUE"""),"Life Sciences")</f>
        <v>Life Sciences</v>
      </c>
      <c r="D124" s="6" t="str">
        <f ca="1">IFERROR(__xludf.DUMMYFUNCTION("""COMPUTED_VALUE"""),"Pasadena, CA 
United States")</f>
        <v>Pasadena, CA 
United States</v>
      </c>
      <c r="E124" s="6" t="str">
        <f ca="1">IFERROR(__xludf.DUMMYFUNCTION("""COMPUTED_VALUE"""),"West Coast")</f>
        <v>West Coast</v>
      </c>
      <c r="F124" s="6" t="str">
        <f ca="1">IFERROR(__xludf.DUMMYFUNCTION("""COMPUTED_VALUE"""),"Man")</f>
        <v>Man</v>
      </c>
      <c r="G124" s="6"/>
      <c r="H124" s="6"/>
      <c r="I124" s="6"/>
      <c r="J124" s="6"/>
      <c r="K124" s="6"/>
      <c r="L124" s="6" t="str">
        <f ca="1">IFERROR(__xludf.DUMMYFUNCTION("""COMPUTED_VALUE"""),"No")</f>
        <v>No</v>
      </c>
      <c r="M124" s="6"/>
      <c r="N124" s="6"/>
      <c r="O124" s="6" t="str">
        <f ca="1">IFERROR(__xludf.DUMMYFUNCTION("""COMPUTED_VALUE"""),"Email")</f>
        <v>Email</v>
      </c>
      <c r="P124" s="6"/>
      <c r="Q124" s="6" t="str">
        <f ca="1">IFERROR(__xludf.DUMMYFUNCTION("""COMPUTED_VALUE"""),"No")</f>
        <v>No</v>
      </c>
      <c r="R124" s="6">
        <f ca="1">IFERROR(__xludf.DUMMYFUNCTION("""COMPUTED_VALUE"""),1)</f>
        <v>1</v>
      </c>
      <c r="S124" s="6" t="str">
        <f ca="1">IFERROR(__xludf.DUMMYFUNCTION("""COMPUTED_VALUE"""),"Seed
Grants")</f>
        <v>Seed
Grants</v>
      </c>
      <c r="T124" s="6" t="str">
        <f ca="1">IFERROR(__xludf.DUMMYFUNCTION("""COMPUTED_VALUE"""),"Seed, Grants")</f>
        <v>Seed, Grants</v>
      </c>
      <c r="U124" s="6" t="str">
        <f ca="1">IFERROR(__xludf.DUMMYFUNCTION("""COMPUTED_VALUE"""),"Seed, Grants")</f>
        <v>Seed, Grants</v>
      </c>
      <c r="V124" s="6"/>
      <c r="W124" s="6" t="str">
        <f ca="1">IFERROR(__xludf.DUMMYFUNCTION("""COMPUTED_VALUE"""),"Invite")</f>
        <v>Invite</v>
      </c>
    </row>
    <row r="125" spans="1:23">
      <c r="A125" s="6" t="str">
        <f ca="1">IFERROR(__xludf.DUMMYFUNCTION("""COMPUTED_VALUE"""),"Man, Man, Man, Man, Man")</f>
        <v>Man, Man, Man, Man, Man</v>
      </c>
      <c r="B125" s="6" t="str">
        <f ca="1">IFERROR(__xludf.DUMMYFUNCTION("""COMPUTED_VALUE"""),"Azarc.io Inc _2022")</f>
        <v>Azarc.io Inc _2022</v>
      </c>
      <c r="C125" s="6" t="str">
        <f ca="1">IFERROR(__xludf.DUMMYFUNCTION("""COMPUTED_VALUE"""),"Digital Tech")</f>
        <v>Digital Tech</v>
      </c>
      <c r="D125" s="6" t="str">
        <f ca="1">IFERROR(__xludf.DUMMYFUNCTION("""COMPUTED_VALUE"""),"530 Technology Dr Suite 100 &amp; 200 Irvine, CA 92618, United States, CA 
United States")</f>
        <v>530 Technology Dr Suite 100 &amp; 200 Irvine, CA 92618, United States, CA 
United States</v>
      </c>
      <c r="E125" s="6" t="str">
        <f ca="1">IFERROR(__xludf.DUMMYFUNCTION("""COMPUTED_VALUE"""),"West Coast")</f>
        <v>West Coast</v>
      </c>
      <c r="F125" s="6" t="str">
        <f ca="1">IFERROR(__xludf.DUMMYFUNCTION("""COMPUTED_VALUE"""),"Man")</f>
        <v>Man</v>
      </c>
      <c r="G125" s="6" t="str">
        <f ca="1">IFERROR(__xludf.DUMMYFUNCTION("""COMPUTED_VALUE"""),"Man")</f>
        <v>Man</v>
      </c>
      <c r="H125" s="6" t="str">
        <f ca="1">IFERROR(__xludf.DUMMYFUNCTION("""COMPUTED_VALUE"""),"Man")</f>
        <v>Man</v>
      </c>
      <c r="I125" s="6" t="str">
        <f ca="1">IFERROR(__xludf.DUMMYFUNCTION("""COMPUTED_VALUE"""),"Man")</f>
        <v>Man</v>
      </c>
      <c r="J125" s="6" t="str">
        <f ca="1">IFERROR(__xludf.DUMMYFUNCTION("""COMPUTED_VALUE"""),"Man")</f>
        <v>Man</v>
      </c>
      <c r="K125" s="6"/>
      <c r="L125" s="6" t="str">
        <f ca="1">IFERROR(__xludf.DUMMYFUNCTION("""COMPUTED_VALUE"""),"No")</f>
        <v>No</v>
      </c>
      <c r="M125" s="6"/>
      <c r="N125" s="6"/>
      <c r="O125" s="6" t="str">
        <f ca="1">IFERROR(__xludf.DUMMYFUNCTION("""COMPUTED_VALUE"""),"Other")</f>
        <v>Other</v>
      </c>
      <c r="P125" s="6"/>
      <c r="Q125" s="6" t="str">
        <f ca="1">IFERROR(__xludf.DUMMYFUNCTION("""COMPUTED_VALUE"""),"Yes")</f>
        <v>Yes</v>
      </c>
      <c r="R125" s="6">
        <f ca="1">IFERROR(__xludf.DUMMYFUNCTION("""COMPUTED_VALUE"""),5)</f>
        <v>5</v>
      </c>
      <c r="S125" s="6" t="str">
        <f ca="1">IFERROR(__xludf.DUMMYFUNCTION("""COMPUTED_VALUE"""),"Pre-seed")</f>
        <v>Pre-seed</v>
      </c>
      <c r="T125" s="6" t="str">
        <f ca="1">IFERROR(__xludf.DUMMYFUNCTION("""COMPUTED_VALUE"""),"Pre-seed")</f>
        <v>Pre-seed</v>
      </c>
      <c r="U125" s="6" t="str">
        <f ca="1">IFERROR(__xludf.DUMMYFUNCTION("""COMPUTED_VALUE"""),"Pre-seed")</f>
        <v>Pre-seed</v>
      </c>
      <c r="V125" s="6"/>
      <c r="W125" s="6" t="str">
        <f ca="1">IFERROR(__xludf.DUMMYFUNCTION("""COMPUTED_VALUE"""),"Invite")</f>
        <v>Invite</v>
      </c>
    </row>
    <row r="126" spans="1:23">
      <c r="A126" s="6" t="str">
        <f ca="1">IFERROR(__xludf.DUMMYFUNCTION("""COMPUTED_VALUE"""),"Man")</f>
        <v>Man</v>
      </c>
      <c r="B126" s="6" t="str">
        <f ca="1">IFERROR(__xludf.DUMMYFUNCTION("""COMPUTED_VALUE"""),"Astrabeam LLC _2022")</f>
        <v>Astrabeam LLC _2022</v>
      </c>
      <c r="C126" s="6" t="str">
        <f ca="1">IFERROR(__xludf.DUMMYFUNCTION("""COMPUTED_VALUE"""),"Digital Tech")</f>
        <v>Digital Tech</v>
      </c>
      <c r="D126" s="6" t="str">
        <f ca="1">IFERROR(__xludf.DUMMYFUNCTION("""COMPUTED_VALUE"""),"Scarsdale, New York 
United States")</f>
        <v>Scarsdale, New York 
United States</v>
      </c>
      <c r="E126" s="6" t="str">
        <f ca="1">IFERROR(__xludf.DUMMYFUNCTION("""COMPUTED_VALUE"""),"East Coast")</f>
        <v>East Coast</v>
      </c>
      <c r="F126" s="6" t="str">
        <f ca="1">IFERROR(__xludf.DUMMYFUNCTION("""COMPUTED_VALUE"""),"Man")</f>
        <v>Man</v>
      </c>
      <c r="G126" s="6"/>
      <c r="H126" s="6"/>
      <c r="I126" s="6"/>
      <c r="J126" s="6"/>
      <c r="K126" s="6"/>
      <c r="L126" s="6" t="str">
        <f ca="1">IFERROR(__xludf.DUMMYFUNCTION("""COMPUTED_VALUE"""),"No")</f>
        <v>No</v>
      </c>
      <c r="M126" s="6"/>
      <c r="N126" s="6"/>
      <c r="O126" s="6" t="str">
        <f ca="1">IFERROR(__xludf.DUMMYFUNCTION("""COMPUTED_VALUE"""),"Referral")</f>
        <v>Referral</v>
      </c>
      <c r="P126" s="6"/>
      <c r="Q126" s="6" t="str">
        <f ca="1">IFERROR(__xludf.DUMMYFUNCTION("""COMPUTED_VALUE"""),"No")</f>
        <v>No</v>
      </c>
      <c r="R126" s="6">
        <f ca="1">IFERROR(__xludf.DUMMYFUNCTION("""COMPUTED_VALUE"""),1)</f>
        <v>1</v>
      </c>
      <c r="S126" s="6" t="str">
        <f ca="1">IFERROR(__xludf.DUMMYFUNCTION("""COMPUTED_VALUE"""),"Grants")</f>
        <v>Grants</v>
      </c>
      <c r="T126" s="6" t="str">
        <f ca="1">IFERROR(__xludf.DUMMYFUNCTION("""COMPUTED_VALUE"""),"Grants")</f>
        <v>Grants</v>
      </c>
      <c r="U126" s="6" t="str">
        <f ca="1">IFERROR(__xludf.DUMMYFUNCTION("""COMPUTED_VALUE"""),"Grants")</f>
        <v>Grants</v>
      </c>
      <c r="V126" s="6"/>
      <c r="W126" s="6" t="str">
        <f ca="1">IFERROR(__xludf.DUMMYFUNCTION("""COMPUTED_VALUE"""),"Invite Next Year")</f>
        <v>Invite Next Year</v>
      </c>
    </row>
    <row r="127" spans="1:23">
      <c r="A127" s="6" t="str">
        <f ca="1">IFERROR(__xludf.DUMMYFUNCTION("""COMPUTED_VALUE"""),"Man, Man")</f>
        <v>Man, Man</v>
      </c>
      <c r="B127" s="6" t="str">
        <f ca="1">IFERROR(__xludf.DUMMYFUNCTION("""COMPUTED_VALUE"""),"Autonopia Technologies Inc. _2022")</f>
        <v>Autonopia Technologies Inc. _2022</v>
      </c>
      <c r="C127" s="6" t="str">
        <f ca="1">IFERROR(__xludf.DUMMYFUNCTION("""COMPUTED_VALUE"""),"Deep Tech")</f>
        <v>Deep Tech</v>
      </c>
      <c r="D127" s="6" t="str">
        <f ca="1">IFERROR(__xludf.DUMMYFUNCTION("""COMPUTED_VALUE"""),"VANCOUVER, British Columbia 
Canada")</f>
        <v>VANCOUVER, British Columbia 
Canada</v>
      </c>
      <c r="E127" s="6" t="str">
        <f ca="1">IFERROR(__xludf.DUMMYFUNCTION("""COMPUTED_VALUE"""),"International - Americas")</f>
        <v>International - Americas</v>
      </c>
      <c r="F127" s="6" t="str">
        <f ca="1">IFERROR(__xludf.DUMMYFUNCTION("""COMPUTED_VALUE"""),"Man")</f>
        <v>Man</v>
      </c>
      <c r="G127" s="6" t="str">
        <f ca="1">IFERROR(__xludf.DUMMYFUNCTION("""COMPUTED_VALUE"""),"Man")</f>
        <v>Man</v>
      </c>
      <c r="H127" s="6"/>
      <c r="I127" s="6"/>
      <c r="J127" s="6"/>
      <c r="K127" s="6"/>
      <c r="L127" s="6" t="str">
        <f ca="1">IFERROR(__xludf.DUMMYFUNCTION("""COMPUTED_VALUE"""),"No")</f>
        <v>No</v>
      </c>
      <c r="M127" s="6"/>
      <c r="N127" s="6"/>
      <c r="O127" s="6" t="str">
        <f ca="1">IFERROR(__xludf.DUMMYFUNCTION("""COMPUTED_VALUE"""),"Referral")</f>
        <v>Referral</v>
      </c>
      <c r="P127" s="6"/>
      <c r="Q127" s="6" t="str">
        <f ca="1">IFERROR(__xludf.DUMMYFUNCTION("""COMPUTED_VALUE"""),"No")</f>
        <v>No</v>
      </c>
      <c r="R127" s="6">
        <f ca="1">IFERROR(__xludf.DUMMYFUNCTION("""COMPUTED_VALUE"""),2)</f>
        <v>2</v>
      </c>
      <c r="S127" s="6" t="str">
        <f ca="1">IFERROR(__xludf.DUMMYFUNCTION("""COMPUTED_VALUE"""),"Pre-seed
Grants
Other: Founder")</f>
        <v>Pre-seed
Grants
Other: Founder</v>
      </c>
      <c r="T127" s="6" t="str">
        <f ca="1">IFERROR(__xludf.DUMMYFUNCTION("""COMPUTED_VALUE"""),"Pre-seed, Grants, Other: Founder")</f>
        <v>Pre-seed, Grants, Other: Founder</v>
      </c>
      <c r="U127" s="6" t="str">
        <f ca="1">IFERROR(__xludf.DUMMYFUNCTION("""COMPUTED_VALUE"""),"Pre-seed, Grants, ")</f>
        <v xml:space="preserve">Pre-seed, Grants, </v>
      </c>
      <c r="V127" s="6" t="str">
        <f ca="1">IFERROR(__xludf.DUMMYFUNCTION("""COMPUTED_VALUE"""),"Founder")</f>
        <v>Founder</v>
      </c>
      <c r="W127" s="6" t="str">
        <f ca="1">IFERROR(__xludf.DUMMYFUNCTION("""COMPUTED_VALUE"""),"Invite Next Year")</f>
        <v>Invite Next Year</v>
      </c>
    </row>
    <row r="128" spans="1:23">
      <c r="A128" s="6" t="str">
        <f ca="1">IFERROR(__xludf.DUMMYFUNCTION("""COMPUTED_VALUE"""),"Man, Woman, Man")</f>
        <v>Man, Woman, Man</v>
      </c>
      <c r="B128" s="6" t="str">
        <f ca="1">IFERROR(__xludf.DUMMYFUNCTION("""COMPUTED_VALUE"""),"Chari Co.  _2022")</f>
        <v>Chari Co.  _2022</v>
      </c>
      <c r="C128" s="6" t="str">
        <f ca="1">IFERROR(__xludf.DUMMYFUNCTION("""COMPUTED_VALUE"""),"Digital Tech")</f>
        <v>Digital Tech</v>
      </c>
      <c r="D128" s="6" t="str">
        <f ca="1">IFERROR(__xludf.DUMMYFUNCTION("""COMPUTED_VALUE"""),"Zone Industrielle Ouled Saleh , Bouskoura, Casablanca 
Morocco")</f>
        <v>Zone Industrielle Ouled Saleh , Bouskoura, Casablanca 
Morocco</v>
      </c>
      <c r="E128" s="6" t="str">
        <f ca="1">IFERROR(__xludf.DUMMYFUNCTION("""COMPUTED_VALUE"""),"International - Other")</f>
        <v>International - Other</v>
      </c>
      <c r="F128" s="6" t="str">
        <f ca="1">IFERROR(__xludf.DUMMYFUNCTION("""COMPUTED_VALUE"""),"Man")</f>
        <v>Man</v>
      </c>
      <c r="G128" s="6" t="str">
        <f ca="1">IFERROR(__xludf.DUMMYFUNCTION("""COMPUTED_VALUE"""),"Woman")</f>
        <v>Woman</v>
      </c>
      <c r="H128" s="6" t="str">
        <f ca="1">IFERROR(__xludf.DUMMYFUNCTION("""COMPUTED_VALUE"""),"Man")</f>
        <v>Man</v>
      </c>
      <c r="I128" s="6"/>
      <c r="J128" s="6"/>
      <c r="K128" s="6"/>
      <c r="L128" s="6" t="str">
        <f ca="1">IFERROR(__xludf.DUMMYFUNCTION("""COMPUTED_VALUE"""),"No")</f>
        <v>No</v>
      </c>
      <c r="M128" s="6"/>
      <c r="N128" s="6"/>
      <c r="O128" s="6" t="str">
        <f ca="1">IFERROR(__xludf.DUMMYFUNCTION("""COMPUTED_VALUE"""),"Referral")</f>
        <v>Referral</v>
      </c>
      <c r="P128" s="6"/>
      <c r="Q128" s="6" t="str">
        <f ca="1">IFERROR(__xludf.DUMMYFUNCTION("""COMPUTED_VALUE"""),"No")</f>
        <v>No</v>
      </c>
      <c r="R128" s="6">
        <f ca="1">IFERROR(__xludf.DUMMYFUNCTION("""COMPUTED_VALUE"""),3)</f>
        <v>3</v>
      </c>
      <c r="S128" s="6" t="str">
        <f ca="1">IFERROR(__xludf.DUMMYFUNCTION("""COMPUTED_VALUE"""),"Seed")</f>
        <v>Seed</v>
      </c>
      <c r="T128" s="6" t="str">
        <f ca="1">IFERROR(__xludf.DUMMYFUNCTION("""COMPUTED_VALUE"""),"Seed")</f>
        <v>Seed</v>
      </c>
      <c r="U128" s="6" t="str">
        <f ca="1">IFERROR(__xludf.DUMMYFUNCTION("""COMPUTED_VALUE"""),"Seed")</f>
        <v>Seed</v>
      </c>
      <c r="V128" s="6"/>
      <c r="W128" s="6" t="str">
        <f ca="1">IFERROR(__xludf.DUMMYFUNCTION("""COMPUTED_VALUE"""),"Invite Next Year")</f>
        <v>Invite Next Year</v>
      </c>
    </row>
    <row r="129" spans="1:23">
      <c r="A129" s="6" t="str">
        <f ca="1">IFERROR(__xludf.DUMMYFUNCTION("""COMPUTED_VALUE"""),"Man, Man, Man")</f>
        <v>Man, Man, Man</v>
      </c>
      <c r="B129" s="6" t="str">
        <f ca="1">IFERROR(__xludf.DUMMYFUNCTION("""COMPUTED_VALUE"""),"IOTE2E INC _2022")</f>
        <v>IOTE2E INC _2022</v>
      </c>
      <c r="C129" s="6" t="str">
        <f ca="1">IFERROR(__xludf.DUMMYFUNCTION("""COMPUTED_VALUE"""),"Deep Tech")</f>
        <v>Deep Tech</v>
      </c>
      <c r="D129" s="6" t="str">
        <f ca="1">IFERROR(__xludf.DUMMYFUNCTION("""COMPUTED_VALUE"""),"Davis, CA 
United States")</f>
        <v>Davis, CA 
United States</v>
      </c>
      <c r="E129" s="6" t="str">
        <f ca="1">IFERROR(__xludf.DUMMYFUNCTION("""COMPUTED_VALUE"""),"West Coast")</f>
        <v>West Coast</v>
      </c>
      <c r="F129" s="6" t="str">
        <f ca="1">IFERROR(__xludf.DUMMYFUNCTION("""COMPUTED_VALUE"""),"Man")</f>
        <v>Man</v>
      </c>
      <c r="G129" s="6" t="str">
        <f ca="1">IFERROR(__xludf.DUMMYFUNCTION("""COMPUTED_VALUE"""),"Man")</f>
        <v>Man</v>
      </c>
      <c r="H129" s="6" t="str">
        <f ca="1">IFERROR(__xludf.DUMMYFUNCTION("""COMPUTED_VALUE"""),"Man")</f>
        <v>Man</v>
      </c>
      <c r="I129" s="6"/>
      <c r="J129" s="6"/>
      <c r="K129" s="6"/>
      <c r="L129" s="6" t="str">
        <f ca="1">IFERROR(__xludf.DUMMYFUNCTION("""COMPUTED_VALUE"""),"No")</f>
        <v>No</v>
      </c>
      <c r="M129" s="6"/>
      <c r="N129" s="6"/>
      <c r="O129" s="6" t="str">
        <f ca="1">IFERROR(__xludf.DUMMYFUNCTION("""COMPUTED_VALUE"""),"Email")</f>
        <v>Email</v>
      </c>
      <c r="P129" s="6"/>
      <c r="Q129" s="6" t="str">
        <f ca="1">IFERROR(__xludf.DUMMYFUNCTION("""COMPUTED_VALUE"""),"No")</f>
        <v>No</v>
      </c>
      <c r="R129" s="6">
        <f ca="1">IFERROR(__xludf.DUMMYFUNCTION("""COMPUTED_VALUE"""),3)</f>
        <v>3</v>
      </c>
      <c r="S129" s="6" t="str">
        <f ca="1">IFERROR(__xludf.DUMMYFUNCTION("""COMPUTED_VALUE"""),"None")</f>
        <v>None</v>
      </c>
      <c r="T129" s="6" t="str">
        <f ca="1">IFERROR(__xludf.DUMMYFUNCTION("""COMPUTED_VALUE"""),"None")</f>
        <v>None</v>
      </c>
      <c r="U129" s="6" t="str">
        <f ca="1">IFERROR(__xludf.DUMMYFUNCTION("""COMPUTED_VALUE"""),"None")</f>
        <v>None</v>
      </c>
      <c r="V129" s="6"/>
      <c r="W129" s="6" t="str">
        <f ca="1">IFERROR(__xludf.DUMMYFUNCTION("""COMPUTED_VALUE"""),"Invite Next Year")</f>
        <v>Invite Next Year</v>
      </c>
    </row>
    <row r="130" spans="1:23">
      <c r="A130" s="6" t="str">
        <f ca="1">IFERROR(__xludf.DUMMYFUNCTION("""COMPUTED_VALUE"""),"Man, Man")</f>
        <v>Man, Man</v>
      </c>
      <c r="B130" s="6" t="str">
        <f ca="1">IFERROR(__xludf.DUMMYFUNCTION("""COMPUTED_VALUE"""),"Yield Monitor _2022")</f>
        <v>Yield Monitor _2022</v>
      </c>
      <c r="C130" s="6" t="str">
        <f ca="1">IFERROR(__xludf.DUMMYFUNCTION("""COMPUTED_VALUE"""),"Digital Tech")</f>
        <v>Digital Tech</v>
      </c>
      <c r="D130" s="6" t="str">
        <f ca="1">IFERROR(__xludf.DUMMYFUNCTION("""COMPUTED_VALUE"""),"21 E. Main Street, Richmond VA 23219, Virginia 
United States")</f>
        <v>21 E. Main Street, Richmond VA 23219, Virginia 
United States</v>
      </c>
      <c r="E130" s="6" t="str">
        <f ca="1">IFERROR(__xludf.DUMMYFUNCTION("""COMPUTED_VALUE"""),"East Coast")</f>
        <v>East Coast</v>
      </c>
      <c r="F130" s="6" t="str">
        <f ca="1">IFERROR(__xludf.DUMMYFUNCTION("""COMPUTED_VALUE"""),"Man")</f>
        <v>Man</v>
      </c>
      <c r="G130" s="6" t="str">
        <f ca="1">IFERROR(__xludf.DUMMYFUNCTION("""COMPUTED_VALUE"""),"Man")</f>
        <v>Man</v>
      </c>
      <c r="H130" s="6"/>
      <c r="I130" s="6"/>
      <c r="J130" s="6"/>
      <c r="K130" s="6"/>
      <c r="L130" s="6" t="str">
        <f ca="1">IFERROR(__xludf.DUMMYFUNCTION("""COMPUTED_VALUE"""),"No")</f>
        <v>No</v>
      </c>
      <c r="M130" s="6"/>
      <c r="N130" s="6"/>
      <c r="O130" s="6" t="str">
        <f ca="1">IFERROR(__xludf.DUMMYFUNCTION("""COMPUTED_VALUE"""),"Email")</f>
        <v>Email</v>
      </c>
      <c r="P130" s="6"/>
      <c r="Q130" s="6" t="str">
        <f ca="1">IFERROR(__xludf.DUMMYFUNCTION("""COMPUTED_VALUE"""),"No")</f>
        <v>No</v>
      </c>
      <c r="R130" s="6">
        <f ca="1">IFERROR(__xludf.DUMMYFUNCTION("""COMPUTED_VALUE"""),2)</f>
        <v>2</v>
      </c>
      <c r="S130" s="6" t="str">
        <f ca="1">IFERROR(__xludf.DUMMYFUNCTION("""COMPUTED_VALUE"""),"Seed
Grants")</f>
        <v>Seed
Grants</v>
      </c>
      <c r="T130" s="6" t="str">
        <f ca="1">IFERROR(__xludf.DUMMYFUNCTION("""COMPUTED_VALUE"""),"Seed, Grants")</f>
        <v>Seed, Grants</v>
      </c>
      <c r="U130" s="6" t="str">
        <f ca="1">IFERROR(__xludf.DUMMYFUNCTION("""COMPUTED_VALUE"""),"Seed, Grants")</f>
        <v>Seed, Grants</v>
      </c>
      <c r="V130" s="6"/>
      <c r="W130" s="6" t="str">
        <f ca="1">IFERROR(__xludf.DUMMYFUNCTION("""COMPUTED_VALUE"""),"Invite Next Year")</f>
        <v>Invite Next Year</v>
      </c>
    </row>
    <row r="131" spans="1:23">
      <c r="A131" s="6" t="str">
        <f ca="1">IFERROR(__xludf.DUMMYFUNCTION("""COMPUTED_VALUE"""),"Man, Man")</f>
        <v>Man, Man</v>
      </c>
      <c r="B131" s="6" t="str">
        <f ca="1">IFERROR(__xludf.DUMMYFUNCTION("""COMPUTED_VALUE"""),"Innov2Learn _2022")</f>
        <v>Innov2Learn _2022</v>
      </c>
      <c r="C131" s="6" t="str">
        <f ca="1">IFERROR(__xludf.DUMMYFUNCTION("""COMPUTED_VALUE"""),"Life Sciences")</f>
        <v>Life Sciences</v>
      </c>
      <c r="D131" s="6" t="str">
        <f ca="1">IFERROR(__xludf.DUMMYFUNCTION("""COMPUTED_VALUE"""),"1001 rue Lenoir, SAuite B368, Quebec 
Canada")</f>
        <v>1001 rue Lenoir, SAuite B368, Quebec 
Canada</v>
      </c>
      <c r="E131" s="6" t="str">
        <f ca="1">IFERROR(__xludf.DUMMYFUNCTION("""COMPUTED_VALUE"""),"International - Americas")</f>
        <v>International - Americas</v>
      </c>
      <c r="F131" s="6" t="str">
        <f ca="1">IFERROR(__xludf.DUMMYFUNCTION("""COMPUTED_VALUE"""),"Man")</f>
        <v>Man</v>
      </c>
      <c r="G131" s="6" t="str">
        <f ca="1">IFERROR(__xludf.DUMMYFUNCTION("""COMPUTED_VALUE"""),"Man")</f>
        <v>Man</v>
      </c>
      <c r="H131" s="6"/>
      <c r="I131" s="6"/>
      <c r="J131" s="6"/>
      <c r="K131" s="6"/>
      <c r="L131" s="6" t="str">
        <f ca="1">IFERROR(__xludf.DUMMYFUNCTION("""COMPUTED_VALUE"""),"No")</f>
        <v>No</v>
      </c>
      <c r="M131" s="6"/>
      <c r="N131" s="6"/>
      <c r="O131" s="6" t="str">
        <f ca="1">IFERROR(__xludf.DUMMYFUNCTION("""COMPUTED_VALUE"""),"Email")</f>
        <v>Email</v>
      </c>
      <c r="P131" s="6"/>
      <c r="Q131" s="6" t="str">
        <f ca="1">IFERROR(__xludf.DUMMYFUNCTION("""COMPUTED_VALUE"""),"No")</f>
        <v>No</v>
      </c>
      <c r="R131" s="6">
        <f ca="1">IFERROR(__xludf.DUMMYFUNCTION("""COMPUTED_VALUE"""),2)</f>
        <v>2</v>
      </c>
      <c r="S131" s="6" t="str">
        <f ca="1">IFERROR(__xludf.DUMMYFUNCTION("""COMPUTED_VALUE"""),"Pre-seed")</f>
        <v>Pre-seed</v>
      </c>
      <c r="T131" s="6" t="str">
        <f ca="1">IFERROR(__xludf.DUMMYFUNCTION("""COMPUTED_VALUE"""),"Pre-seed")</f>
        <v>Pre-seed</v>
      </c>
      <c r="U131" s="6" t="str">
        <f ca="1">IFERROR(__xludf.DUMMYFUNCTION("""COMPUTED_VALUE"""),"Pre-seed")</f>
        <v>Pre-seed</v>
      </c>
      <c r="V131" s="6"/>
      <c r="W131" s="6" t="str">
        <f ca="1">IFERROR(__xludf.DUMMYFUNCTION("""COMPUTED_VALUE"""),"Invite Next Year")</f>
        <v>Invite Next Year</v>
      </c>
    </row>
    <row r="132" spans="1:23">
      <c r="A132" s="6" t="str">
        <f ca="1">IFERROR(__xludf.DUMMYFUNCTION("""COMPUTED_VALUE"""),"Man, Man, Man")</f>
        <v>Man, Man, Man</v>
      </c>
      <c r="B132" s="6" t="str">
        <f ca="1">IFERROR(__xludf.DUMMYFUNCTION("""COMPUTED_VALUE"""),"InsureTax _2022")</f>
        <v>InsureTax _2022</v>
      </c>
      <c r="C132" s="6" t="str">
        <f ca="1">IFERROR(__xludf.DUMMYFUNCTION("""COMPUTED_VALUE"""),"Digital Tech")</f>
        <v>Digital Tech</v>
      </c>
      <c r="D132" s="6" t="str">
        <f ca="1">IFERROR(__xludf.DUMMYFUNCTION("""COMPUTED_VALUE"""),"Tel Aviv, Israel 
Israel")</f>
        <v>Tel Aviv, Israel 
Israel</v>
      </c>
      <c r="E132" s="6" t="str">
        <f ca="1">IFERROR(__xludf.DUMMYFUNCTION("""COMPUTED_VALUE"""),"International - Middle East")</f>
        <v>International - Middle East</v>
      </c>
      <c r="F132" s="6" t="str">
        <f ca="1">IFERROR(__xludf.DUMMYFUNCTION("""COMPUTED_VALUE"""),"Man")</f>
        <v>Man</v>
      </c>
      <c r="G132" s="6" t="str">
        <f ca="1">IFERROR(__xludf.DUMMYFUNCTION("""COMPUTED_VALUE"""),"Man")</f>
        <v>Man</v>
      </c>
      <c r="H132" s="6" t="str">
        <f ca="1">IFERROR(__xludf.DUMMYFUNCTION("""COMPUTED_VALUE"""),"Man")</f>
        <v>Man</v>
      </c>
      <c r="I132" s="6"/>
      <c r="J132" s="6"/>
      <c r="K132" s="6"/>
      <c r="L132" s="6" t="str">
        <f ca="1">IFERROR(__xludf.DUMMYFUNCTION("""COMPUTED_VALUE"""),"No")</f>
        <v>No</v>
      </c>
      <c r="M132" s="6"/>
      <c r="N132" s="6"/>
      <c r="O132" s="6" t="str">
        <f ca="1">IFERROR(__xludf.DUMMYFUNCTION("""COMPUTED_VALUE"""),"Email")</f>
        <v>Email</v>
      </c>
      <c r="P132" s="6"/>
      <c r="Q132" s="6" t="str">
        <f ca="1">IFERROR(__xludf.DUMMYFUNCTION("""COMPUTED_VALUE"""),"No")</f>
        <v>No</v>
      </c>
      <c r="R132" s="6">
        <f ca="1">IFERROR(__xludf.DUMMYFUNCTION("""COMPUTED_VALUE"""),3)</f>
        <v>3</v>
      </c>
      <c r="S132" s="6" t="str">
        <f ca="1">IFERROR(__xludf.DUMMYFUNCTION("""COMPUTED_VALUE"""),"Pre-seed")</f>
        <v>Pre-seed</v>
      </c>
      <c r="T132" s="6" t="str">
        <f ca="1">IFERROR(__xludf.DUMMYFUNCTION("""COMPUTED_VALUE"""),"Pre-seed")</f>
        <v>Pre-seed</v>
      </c>
      <c r="U132" s="6" t="str">
        <f ca="1">IFERROR(__xludf.DUMMYFUNCTION("""COMPUTED_VALUE"""),"Pre-seed")</f>
        <v>Pre-seed</v>
      </c>
      <c r="V132" s="6"/>
      <c r="W132" s="6" t="str">
        <f ca="1">IFERROR(__xludf.DUMMYFUNCTION("""COMPUTED_VALUE"""),"Invite Next Year")</f>
        <v>Invite Next Year</v>
      </c>
    </row>
    <row r="133" spans="1:23">
      <c r="A133" s="6" t="str">
        <f ca="1">IFERROR(__xludf.DUMMYFUNCTION("""COMPUTED_VALUE"""),"Man, Woman, Man, Man, Woman")</f>
        <v>Man, Woman, Man, Man, Woman</v>
      </c>
      <c r="B133" s="6" t="str">
        <f ca="1">IFERROR(__xludf.DUMMYFUNCTION("""COMPUTED_VALUE"""),"Allergy Butler _2022")</f>
        <v>Allergy Butler _2022</v>
      </c>
      <c r="C133" s="6" t="str">
        <f ca="1">IFERROR(__xludf.DUMMYFUNCTION("""COMPUTED_VALUE"""),"Life Sciences")</f>
        <v>Life Sciences</v>
      </c>
      <c r="D133" s="6" t="str">
        <f ca="1">IFERROR(__xludf.DUMMYFUNCTION("""COMPUTED_VALUE"""),"Nashville, TN 
United States")</f>
        <v>Nashville, TN 
United States</v>
      </c>
      <c r="E133" s="6" t="str">
        <f ca="1">IFERROR(__xludf.DUMMYFUNCTION("""COMPUTED_VALUE"""),"South")</f>
        <v>South</v>
      </c>
      <c r="F133" s="6" t="str">
        <f ca="1">IFERROR(__xludf.DUMMYFUNCTION("""COMPUTED_VALUE"""),"Man")</f>
        <v>Man</v>
      </c>
      <c r="G133" s="6" t="str">
        <f ca="1">IFERROR(__xludf.DUMMYFUNCTION("""COMPUTED_VALUE"""),"Woman")</f>
        <v>Woman</v>
      </c>
      <c r="H133" s="6" t="str">
        <f ca="1">IFERROR(__xludf.DUMMYFUNCTION("""COMPUTED_VALUE"""),"Man")</f>
        <v>Man</v>
      </c>
      <c r="I133" s="6" t="str">
        <f ca="1">IFERROR(__xludf.DUMMYFUNCTION("""COMPUTED_VALUE"""),"Man")</f>
        <v>Man</v>
      </c>
      <c r="J133" s="6" t="str">
        <f ca="1">IFERROR(__xludf.DUMMYFUNCTION("""COMPUTED_VALUE"""),"Woman")</f>
        <v>Woman</v>
      </c>
      <c r="K133" s="6"/>
      <c r="L133" s="6" t="str">
        <f ca="1">IFERROR(__xludf.DUMMYFUNCTION("""COMPUTED_VALUE"""),"No")</f>
        <v>No</v>
      </c>
      <c r="M133" s="6"/>
      <c r="N133" s="6"/>
      <c r="O133" s="6" t="str">
        <f ca="1">IFERROR(__xludf.DUMMYFUNCTION("""COMPUTED_VALUE"""),"Referral")</f>
        <v>Referral</v>
      </c>
      <c r="P133" s="6"/>
      <c r="Q133" s="6" t="str">
        <f ca="1">IFERROR(__xludf.DUMMYFUNCTION("""COMPUTED_VALUE"""),"No")</f>
        <v>No</v>
      </c>
      <c r="R133" s="6">
        <f ca="1">IFERROR(__xludf.DUMMYFUNCTION("""COMPUTED_VALUE"""),5)</f>
        <v>5</v>
      </c>
      <c r="S133" s="6" t="str">
        <f ca="1">IFERROR(__xludf.DUMMYFUNCTION("""COMPUTED_VALUE"""),"Pre-seed")</f>
        <v>Pre-seed</v>
      </c>
      <c r="T133" s="6" t="str">
        <f ca="1">IFERROR(__xludf.DUMMYFUNCTION("""COMPUTED_VALUE"""),"Pre-seed")</f>
        <v>Pre-seed</v>
      </c>
      <c r="U133" s="6" t="str">
        <f ca="1">IFERROR(__xludf.DUMMYFUNCTION("""COMPUTED_VALUE"""),"Pre-seed")</f>
        <v>Pre-seed</v>
      </c>
      <c r="V133" s="6"/>
      <c r="W133" s="6" t="str">
        <f ca="1">IFERROR(__xludf.DUMMYFUNCTION("""COMPUTED_VALUE"""),"Invite")</f>
        <v>Invite</v>
      </c>
    </row>
    <row r="134" spans="1:23">
      <c r="A134" s="6" t="str">
        <f ca="1">IFERROR(__xludf.DUMMYFUNCTION("""COMPUTED_VALUE"""),"Man, Man")</f>
        <v>Man, Man</v>
      </c>
      <c r="B134" s="6" t="str">
        <f ca="1">IFERROR(__xludf.DUMMYFUNCTION("""COMPUTED_VALUE"""),"Blip Labs Technologies, Inc. _2022")</f>
        <v>Blip Labs Technologies, Inc. _2022</v>
      </c>
      <c r="C134" s="6" t="str">
        <f ca="1">IFERROR(__xludf.DUMMYFUNCTION("""COMPUTED_VALUE"""),"Digital Tech")</f>
        <v>Digital Tech</v>
      </c>
      <c r="D134" s="6" t="str">
        <f ca="1">IFERROR(__xludf.DUMMYFUNCTION("""COMPUTED_VALUE"""),"New York, NY 
United States")</f>
        <v>New York, NY 
United States</v>
      </c>
      <c r="E134" s="6" t="str">
        <f ca="1">IFERROR(__xludf.DUMMYFUNCTION("""COMPUTED_VALUE"""),"New York")</f>
        <v>New York</v>
      </c>
      <c r="F134" s="6" t="str">
        <f ca="1">IFERROR(__xludf.DUMMYFUNCTION("""COMPUTED_VALUE"""),"Man")</f>
        <v>Man</v>
      </c>
      <c r="G134" s="6" t="str">
        <f ca="1">IFERROR(__xludf.DUMMYFUNCTION("""COMPUTED_VALUE"""),"Man")</f>
        <v>Man</v>
      </c>
      <c r="H134" s="6"/>
      <c r="I134" s="6"/>
      <c r="J134" s="6"/>
      <c r="K134" s="6"/>
      <c r="L134" s="6" t="str">
        <f ca="1">IFERROR(__xludf.DUMMYFUNCTION("""COMPUTED_VALUE"""),"Yes")</f>
        <v>Yes</v>
      </c>
      <c r="M134" s="6" t="str">
        <f ca="1">IFERROR(__xludf.DUMMYFUNCTION("""COMPUTED_VALUE"""),"NYU Student")</f>
        <v>NYU Student</v>
      </c>
      <c r="N134" s="6"/>
      <c r="O134" s="6" t="str">
        <f ca="1">IFERROR(__xludf.DUMMYFUNCTION("""COMPUTED_VALUE"""),"Referral")</f>
        <v>Referral</v>
      </c>
      <c r="P134" s="6"/>
      <c r="Q134" s="6" t="str">
        <f ca="1">IFERROR(__xludf.DUMMYFUNCTION("""COMPUTED_VALUE"""),"No")</f>
        <v>No</v>
      </c>
      <c r="R134" s="6">
        <f ca="1">IFERROR(__xludf.DUMMYFUNCTION("""COMPUTED_VALUE"""),2)</f>
        <v>2</v>
      </c>
      <c r="S134" s="6" t="str">
        <f ca="1">IFERROR(__xludf.DUMMYFUNCTION("""COMPUTED_VALUE"""),"Seed")</f>
        <v>Seed</v>
      </c>
      <c r="T134" s="6" t="str">
        <f ca="1">IFERROR(__xludf.DUMMYFUNCTION("""COMPUTED_VALUE"""),"Seed")</f>
        <v>Seed</v>
      </c>
      <c r="U134" s="6" t="str">
        <f ca="1">IFERROR(__xludf.DUMMYFUNCTION("""COMPUTED_VALUE"""),"Seed")</f>
        <v>Seed</v>
      </c>
      <c r="V134" s="6"/>
      <c r="W134" s="6" t="str">
        <f ca="1">IFERROR(__xludf.DUMMYFUNCTION("""COMPUTED_VALUE"""),"Invite")</f>
        <v>Invite</v>
      </c>
    </row>
    <row r="135" spans="1:23">
      <c r="A135" s="6" t="str">
        <f ca="1">IFERROR(__xludf.DUMMYFUNCTION("""COMPUTED_VALUE"""),"Man, Man")</f>
        <v>Man, Man</v>
      </c>
      <c r="B135" s="6" t="str">
        <f ca="1">IFERROR(__xludf.DUMMYFUNCTION("""COMPUTED_VALUE"""),"Summer Robotics Inc _2022")</f>
        <v>Summer Robotics Inc _2022</v>
      </c>
      <c r="C135" s="6" t="str">
        <f ca="1">IFERROR(__xludf.DUMMYFUNCTION("""COMPUTED_VALUE"""),"Digital Tech")</f>
        <v>Digital Tech</v>
      </c>
      <c r="D135" s="6" t="str">
        <f ca="1">IFERROR(__xludf.DUMMYFUNCTION("""COMPUTED_VALUE"""),"Campbell, CA 
United States")</f>
        <v>Campbell, CA 
United States</v>
      </c>
      <c r="E135" s="6" t="str">
        <f ca="1">IFERROR(__xludf.DUMMYFUNCTION("""COMPUTED_VALUE"""),"West Coast")</f>
        <v>West Coast</v>
      </c>
      <c r="F135" s="6" t="str">
        <f ca="1">IFERROR(__xludf.DUMMYFUNCTION("""COMPUTED_VALUE"""),"Man")</f>
        <v>Man</v>
      </c>
      <c r="G135" s="6" t="str">
        <f ca="1">IFERROR(__xludf.DUMMYFUNCTION("""COMPUTED_VALUE"""),"Man")</f>
        <v>Man</v>
      </c>
      <c r="H135" s="6"/>
      <c r="I135" s="6"/>
      <c r="J135" s="6"/>
      <c r="K135" s="6"/>
      <c r="L135" s="6" t="str">
        <f ca="1">IFERROR(__xludf.DUMMYFUNCTION("""COMPUTED_VALUE"""),"No")</f>
        <v>No</v>
      </c>
      <c r="M135" s="6"/>
      <c r="N135" s="6"/>
      <c r="O135" s="6" t="str">
        <f ca="1">IFERROR(__xludf.DUMMYFUNCTION("""COMPUTED_VALUE"""),"Email")</f>
        <v>Email</v>
      </c>
      <c r="P135" s="6"/>
      <c r="Q135" s="6" t="str">
        <f ca="1">IFERROR(__xludf.DUMMYFUNCTION("""COMPUTED_VALUE"""),"No")</f>
        <v>No</v>
      </c>
      <c r="R135" s="6">
        <f ca="1">IFERROR(__xludf.DUMMYFUNCTION("""COMPUTED_VALUE"""),2)</f>
        <v>2</v>
      </c>
      <c r="S135" s="6" t="str">
        <f ca="1">IFERROR(__xludf.DUMMYFUNCTION("""COMPUTED_VALUE"""),"Pre-seed
Seed")</f>
        <v>Pre-seed
Seed</v>
      </c>
      <c r="T135" s="6" t="str">
        <f ca="1">IFERROR(__xludf.DUMMYFUNCTION("""COMPUTED_VALUE"""),"Pre-seed, Seed")</f>
        <v>Pre-seed, Seed</v>
      </c>
      <c r="U135" s="6" t="str">
        <f ca="1">IFERROR(__xludf.DUMMYFUNCTION("""COMPUTED_VALUE"""),"Pre-seed, Seed")</f>
        <v>Pre-seed, Seed</v>
      </c>
      <c r="V135" s="6"/>
      <c r="W135" s="6" t="str">
        <f ca="1">IFERROR(__xludf.DUMMYFUNCTION("""COMPUTED_VALUE"""),"Invite")</f>
        <v>Invite</v>
      </c>
    </row>
    <row r="136" spans="1:23">
      <c r="A136" s="6" t="str">
        <f ca="1">IFERROR(__xludf.DUMMYFUNCTION("""COMPUTED_VALUE"""),"Prefer not to respond, Prefer not to respond")</f>
        <v>Prefer not to respond, Prefer not to respond</v>
      </c>
      <c r="B136" s="6" t="str">
        <f ca="1">IFERROR(__xludf.DUMMYFUNCTION("""COMPUTED_VALUE"""),"Friendlyforce, Inc. _2022")</f>
        <v>Friendlyforce, Inc. _2022</v>
      </c>
      <c r="C136" s="6" t="str">
        <f ca="1">IFERROR(__xludf.DUMMYFUNCTION("""COMPUTED_VALUE"""),"Digital Tech")</f>
        <v>Digital Tech</v>
      </c>
      <c r="D136" s="6" t="str">
        <f ca="1">IFERROR(__xludf.DUMMYFUNCTION("""COMPUTED_VALUE"""),"3308 Windsor Road, TX 
United States")</f>
        <v>3308 Windsor Road, TX 
United States</v>
      </c>
      <c r="E136" s="6" t="str">
        <f ca="1">IFERROR(__xludf.DUMMYFUNCTION("""COMPUTED_VALUE"""),"South")</f>
        <v>South</v>
      </c>
      <c r="F136" s="6" t="str">
        <f ca="1">IFERROR(__xludf.DUMMYFUNCTION("""COMPUTED_VALUE"""),"Prefer not to respond")</f>
        <v>Prefer not to respond</v>
      </c>
      <c r="G136" s="6" t="str">
        <f ca="1">IFERROR(__xludf.DUMMYFUNCTION("""COMPUTED_VALUE"""),"Prefer not to respond")</f>
        <v>Prefer not to respond</v>
      </c>
      <c r="H136" s="6"/>
      <c r="I136" s="6"/>
      <c r="J136" s="6"/>
      <c r="K136" s="6"/>
      <c r="L136" s="6" t="str">
        <f ca="1">IFERROR(__xludf.DUMMYFUNCTION("""COMPUTED_VALUE"""),"--Please select--")</f>
        <v>--Please select--</v>
      </c>
      <c r="M136" s="6"/>
      <c r="N136" s="6"/>
      <c r="O136" s="6" t="str">
        <f ca="1">IFERROR(__xludf.DUMMYFUNCTION("""COMPUTED_VALUE"""),"Email")</f>
        <v>Email</v>
      </c>
      <c r="P136" s="6"/>
      <c r="Q136" s="6" t="str">
        <f ca="1">IFERROR(__xludf.DUMMYFUNCTION("""COMPUTED_VALUE"""),"No")</f>
        <v>No</v>
      </c>
      <c r="R136" s="6">
        <f ca="1">IFERROR(__xludf.DUMMYFUNCTION("""COMPUTED_VALUE"""),2)</f>
        <v>2</v>
      </c>
      <c r="S136" s="6" t="str">
        <f ca="1">IFERROR(__xludf.DUMMYFUNCTION("""COMPUTED_VALUE"""),"Pre-seed")</f>
        <v>Pre-seed</v>
      </c>
      <c r="T136" s="6" t="str">
        <f ca="1">IFERROR(__xludf.DUMMYFUNCTION("""COMPUTED_VALUE"""),"Pre-seed")</f>
        <v>Pre-seed</v>
      </c>
      <c r="U136" s="6" t="str">
        <f ca="1">IFERROR(__xludf.DUMMYFUNCTION("""COMPUTED_VALUE"""),"Pre-seed")</f>
        <v>Pre-seed</v>
      </c>
      <c r="V136" s="6"/>
      <c r="W136" s="6" t="str">
        <f ca="1">IFERROR(__xludf.DUMMYFUNCTION("""COMPUTED_VALUE"""),"Invite Next Year")</f>
        <v>Invite Next Year</v>
      </c>
    </row>
    <row r="137" spans="1:23">
      <c r="A137" s="6" t="str">
        <f ca="1">IFERROR(__xludf.DUMMYFUNCTION("""COMPUTED_VALUE"""),"Man, Man")</f>
        <v>Man, Man</v>
      </c>
      <c r="B137" s="6" t="str">
        <f ca="1">IFERROR(__xludf.DUMMYFUNCTION("""COMPUTED_VALUE"""),"Vivanta _2022")</f>
        <v>Vivanta _2022</v>
      </c>
      <c r="C137" s="6" t="str">
        <f ca="1">IFERROR(__xludf.DUMMYFUNCTION("""COMPUTED_VALUE"""),"Digital Tech")</f>
        <v>Digital Tech</v>
      </c>
      <c r="D137" s="6" t="str">
        <f ca="1">IFERROR(__xludf.DUMMYFUNCTION("""COMPUTED_VALUE"""),"Mexico City , Mexico City  
Mexico")</f>
        <v>Mexico City , Mexico City  
Mexico</v>
      </c>
      <c r="E137" s="6" t="str">
        <f ca="1">IFERROR(__xludf.DUMMYFUNCTION("""COMPUTED_VALUE"""),"International - Americas")</f>
        <v>International - Americas</v>
      </c>
      <c r="F137" s="6" t="str">
        <f ca="1">IFERROR(__xludf.DUMMYFUNCTION("""COMPUTED_VALUE"""),"Man")</f>
        <v>Man</v>
      </c>
      <c r="G137" s="6" t="str">
        <f ca="1">IFERROR(__xludf.DUMMYFUNCTION("""COMPUTED_VALUE"""),"Man")</f>
        <v>Man</v>
      </c>
      <c r="H137" s="6"/>
      <c r="I137" s="6"/>
      <c r="J137" s="6"/>
      <c r="K137" s="6"/>
      <c r="L137" s="6" t="str">
        <f ca="1">IFERROR(__xludf.DUMMYFUNCTION("""COMPUTED_VALUE"""),"No")</f>
        <v>No</v>
      </c>
      <c r="M137" s="6"/>
      <c r="N137" s="6"/>
      <c r="O137" s="6" t="str">
        <f ca="1">IFERROR(__xludf.DUMMYFUNCTION("""COMPUTED_VALUE"""),"Email")</f>
        <v>Email</v>
      </c>
      <c r="P137" s="6"/>
      <c r="Q137" s="6" t="str">
        <f ca="1">IFERROR(__xludf.DUMMYFUNCTION("""COMPUTED_VALUE"""),"No")</f>
        <v>No</v>
      </c>
      <c r="R137" s="6">
        <f ca="1">IFERROR(__xludf.DUMMYFUNCTION("""COMPUTED_VALUE"""),2)</f>
        <v>2</v>
      </c>
      <c r="S137" s="6" t="str">
        <f ca="1">IFERROR(__xludf.DUMMYFUNCTION("""COMPUTED_VALUE"""),"Pre-seed")</f>
        <v>Pre-seed</v>
      </c>
      <c r="T137" s="6" t="str">
        <f ca="1">IFERROR(__xludf.DUMMYFUNCTION("""COMPUTED_VALUE"""),"Pre-seed")</f>
        <v>Pre-seed</v>
      </c>
      <c r="U137" s="6" t="str">
        <f ca="1">IFERROR(__xludf.DUMMYFUNCTION("""COMPUTED_VALUE"""),"Pre-seed")</f>
        <v>Pre-seed</v>
      </c>
      <c r="V137" s="6"/>
      <c r="W137" s="6" t="str">
        <f ca="1">IFERROR(__xludf.DUMMYFUNCTION("""COMPUTED_VALUE"""),"Invite Next Year")</f>
        <v>Invite Next Year</v>
      </c>
    </row>
    <row r="138" spans="1:23">
      <c r="A138" s="6" t="str">
        <f ca="1">IFERROR(__xludf.DUMMYFUNCTION("""COMPUTED_VALUE"""),"Man, Man")</f>
        <v>Man, Man</v>
      </c>
      <c r="B138" s="6" t="str">
        <f ca="1">IFERROR(__xludf.DUMMYFUNCTION("""COMPUTED_VALUE"""),"DELIVERS.AI _2022")</f>
        <v>DELIVERS.AI _2022</v>
      </c>
      <c r="C138" s="6" t="str">
        <f ca="1">IFERROR(__xludf.DUMMYFUNCTION("""COMPUTED_VALUE"""),"Deep Tech")</f>
        <v>Deep Tech</v>
      </c>
      <c r="D138" s="6" t="str">
        <f ca="1">IFERROR(__xludf.DUMMYFUNCTION("""COMPUTED_VALUE"""),"20-22 Wenlock Road, N1 7GU, LONDON 
United Kingdom")</f>
        <v>20-22 Wenlock Road, N1 7GU, LONDON 
United Kingdom</v>
      </c>
      <c r="E138" s="6" t="str">
        <f ca="1">IFERROR(__xludf.DUMMYFUNCTION("""COMPUTED_VALUE"""),"International - Europe")</f>
        <v>International - Europe</v>
      </c>
      <c r="F138" s="6" t="str">
        <f ca="1">IFERROR(__xludf.DUMMYFUNCTION("""COMPUTED_VALUE"""),"Man")</f>
        <v>Man</v>
      </c>
      <c r="G138" s="6" t="str">
        <f ca="1">IFERROR(__xludf.DUMMYFUNCTION("""COMPUTED_VALUE"""),"Man")</f>
        <v>Man</v>
      </c>
      <c r="H138" s="6"/>
      <c r="I138" s="6"/>
      <c r="J138" s="6"/>
      <c r="K138" s="6"/>
      <c r="L138" s="6" t="str">
        <f ca="1">IFERROR(__xludf.DUMMYFUNCTION("""COMPUTED_VALUE"""),"No")</f>
        <v>No</v>
      </c>
      <c r="M138" s="6"/>
      <c r="N138" s="6"/>
      <c r="O138" s="6" t="str">
        <f ca="1">IFERROR(__xludf.DUMMYFUNCTION("""COMPUTED_VALUE"""),"Referral")</f>
        <v>Referral</v>
      </c>
      <c r="P138" s="6"/>
      <c r="Q138" s="6" t="str">
        <f ca="1">IFERROR(__xludf.DUMMYFUNCTION("""COMPUTED_VALUE"""),"No")</f>
        <v>No</v>
      </c>
      <c r="R138" s="6">
        <f ca="1">IFERROR(__xludf.DUMMYFUNCTION("""COMPUTED_VALUE"""),2)</f>
        <v>2</v>
      </c>
      <c r="S138" s="6" t="str">
        <f ca="1">IFERROR(__xludf.DUMMYFUNCTION("""COMPUTED_VALUE"""),"Seed")</f>
        <v>Seed</v>
      </c>
      <c r="T138" s="6" t="str">
        <f ca="1">IFERROR(__xludf.DUMMYFUNCTION("""COMPUTED_VALUE"""),"Seed")</f>
        <v>Seed</v>
      </c>
      <c r="U138" s="6" t="str">
        <f ca="1">IFERROR(__xludf.DUMMYFUNCTION("""COMPUTED_VALUE"""),"Seed")</f>
        <v>Seed</v>
      </c>
      <c r="V138" s="6"/>
      <c r="W138" s="6" t="str">
        <f ca="1">IFERROR(__xludf.DUMMYFUNCTION("""COMPUTED_VALUE"""),"Revisit/ Cluster")</f>
        <v>Revisit/ Cluster</v>
      </c>
    </row>
    <row r="139" spans="1:23">
      <c r="A139" s="6" t="str">
        <f ca="1">IFERROR(__xludf.DUMMYFUNCTION("""COMPUTED_VALUE"""),"Man")</f>
        <v>Man</v>
      </c>
      <c r="B139" s="6" t="str">
        <f ca="1">IFERROR(__xludf.DUMMYFUNCTION("""COMPUTED_VALUE"""),"Pyrojas Inc. _2022")</f>
        <v>Pyrojas Inc. _2022</v>
      </c>
      <c r="C139" s="6" t="str">
        <f ca="1">IFERROR(__xludf.DUMMYFUNCTION("""COMPUTED_VALUE"""),"Life Sciences")</f>
        <v>Life Sciences</v>
      </c>
      <c r="D139" s="6" t="str">
        <f ca="1">IFERROR(__xludf.DUMMYFUNCTION("""COMPUTED_VALUE"""),"360 New York Ave. Suite 412, New Jersey 
United States")</f>
        <v>360 New York Ave. Suite 412, New Jersey 
United States</v>
      </c>
      <c r="E139" s="6" t="str">
        <f ca="1">IFERROR(__xludf.DUMMYFUNCTION("""COMPUTED_VALUE"""),"East Coast")</f>
        <v>East Coast</v>
      </c>
      <c r="F139" s="6" t="str">
        <f ca="1">IFERROR(__xludf.DUMMYFUNCTION("""COMPUTED_VALUE"""),"Man")</f>
        <v>Man</v>
      </c>
      <c r="G139" s="6"/>
      <c r="H139" s="6"/>
      <c r="I139" s="6"/>
      <c r="J139" s="6"/>
      <c r="K139" s="6"/>
      <c r="L139" s="6" t="str">
        <f ca="1">IFERROR(__xludf.DUMMYFUNCTION("""COMPUTED_VALUE"""),"Yes")</f>
        <v>Yes</v>
      </c>
      <c r="M139" s="6" t="str">
        <f ca="1">IFERROR(__xludf.DUMMYFUNCTION("""COMPUTED_VALUE"""),"Other (please specify)")</f>
        <v>Other (please specify)</v>
      </c>
      <c r="N139" s="6" t="str">
        <f ca="1">IFERROR(__xludf.DUMMYFUNCTION("""COMPUTED_VALUE"""),"NYU BioLabs Member")</f>
        <v>NYU BioLabs Member</v>
      </c>
      <c r="O139" s="6" t="str">
        <f ca="1">IFERROR(__xludf.DUMMYFUNCTION("""COMPUTED_VALUE"""),"Referral")</f>
        <v>Referral</v>
      </c>
      <c r="P139" s="6"/>
      <c r="Q139" s="6" t="str">
        <f ca="1">IFERROR(__xludf.DUMMYFUNCTION("""COMPUTED_VALUE"""),"No")</f>
        <v>No</v>
      </c>
      <c r="R139" s="6">
        <f ca="1">IFERROR(__xludf.DUMMYFUNCTION("""COMPUTED_VALUE"""),1)</f>
        <v>1</v>
      </c>
      <c r="S139" s="6" t="str">
        <f ca="1">IFERROR(__xludf.DUMMYFUNCTION("""COMPUTED_VALUE"""),"Pre-seed")</f>
        <v>Pre-seed</v>
      </c>
      <c r="T139" s="6" t="str">
        <f ca="1">IFERROR(__xludf.DUMMYFUNCTION("""COMPUTED_VALUE"""),"Pre-seed")</f>
        <v>Pre-seed</v>
      </c>
      <c r="U139" s="6" t="str">
        <f ca="1">IFERROR(__xludf.DUMMYFUNCTION("""COMPUTED_VALUE"""),"Pre-seed")</f>
        <v>Pre-seed</v>
      </c>
      <c r="V139" s="6"/>
      <c r="W139" s="6" t="str">
        <f ca="1">IFERROR(__xludf.DUMMYFUNCTION("""COMPUTED_VALUE"""),"Invite Next Year")</f>
        <v>Invite Next Year</v>
      </c>
    </row>
    <row r="140" spans="1:23">
      <c r="A140" s="6" t="str">
        <f ca="1">IFERROR(__xludf.DUMMYFUNCTION("""COMPUTED_VALUE"""),"Man, Man, Man")</f>
        <v>Man, Man, Man</v>
      </c>
      <c r="B140" s="6" t="str">
        <f ca="1">IFERROR(__xludf.DUMMYFUNCTION("""COMPUTED_VALUE"""),"syGlass, Inc _2022")</f>
        <v>syGlass, Inc _2022</v>
      </c>
      <c r="C140" s="6" t="str">
        <f ca="1">IFERROR(__xludf.DUMMYFUNCTION("""COMPUTED_VALUE"""),"Deep Tech")</f>
        <v>Deep Tech</v>
      </c>
      <c r="D140" s="6" t="str">
        <f ca="1">IFERROR(__xludf.DUMMYFUNCTION("""COMPUTED_VALUE"""),"Morgantown, WV 
United States")</f>
        <v>Morgantown, WV 
United States</v>
      </c>
      <c r="E140" s="6" t="str">
        <f ca="1">IFERROR(__xludf.DUMMYFUNCTION("""COMPUTED_VALUE"""),"South")</f>
        <v>South</v>
      </c>
      <c r="F140" s="6" t="str">
        <f ca="1">IFERROR(__xludf.DUMMYFUNCTION("""COMPUTED_VALUE"""),"Man")</f>
        <v>Man</v>
      </c>
      <c r="G140" s="6" t="str">
        <f ca="1">IFERROR(__xludf.DUMMYFUNCTION("""COMPUTED_VALUE"""),"Man")</f>
        <v>Man</v>
      </c>
      <c r="H140" s="6" t="str">
        <f ca="1">IFERROR(__xludf.DUMMYFUNCTION("""COMPUTED_VALUE"""),"Man")</f>
        <v>Man</v>
      </c>
      <c r="I140" s="6"/>
      <c r="J140" s="6"/>
      <c r="K140" s="6"/>
      <c r="L140" s="6" t="str">
        <f ca="1">IFERROR(__xludf.DUMMYFUNCTION("""COMPUTED_VALUE"""),"No")</f>
        <v>No</v>
      </c>
      <c r="M140" s="6"/>
      <c r="N140" s="6"/>
      <c r="O140" s="6" t="str">
        <f ca="1">IFERROR(__xludf.DUMMYFUNCTION("""COMPUTED_VALUE"""),"Other")</f>
        <v>Other</v>
      </c>
      <c r="P140" s="6"/>
      <c r="Q140" s="6" t="str">
        <f ca="1">IFERROR(__xludf.DUMMYFUNCTION("""COMPUTED_VALUE"""),"No")</f>
        <v>No</v>
      </c>
      <c r="R140" s="6">
        <f ca="1">IFERROR(__xludf.DUMMYFUNCTION("""COMPUTED_VALUE"""),3)</f>
        <v>3</v>
      </c>
      <c r="S140" s="6" t="str">
        <f ca="1">IFERROR(__xludf.DUMMYFUNCTION("""COMPUTED_VALUE"""),"Seed")</f>
        <v>Seed</v>
      </c>
      <c r="T140" s="6" t="str">
        <f ca="1">IFERROR(__xludf.DUMMYFUNCTION("""COMPUTED_VALUE"""),"Seed")</f>
        <v>Seed</v>
      </c>
      <c r="U140" s="6" t="str">
        <f ca="1">IFERROR(__xludf.DUMMYFUNCTION("""COMPUTED_VALUE"""),"Seed")</f>
        <v>Seed</v>
      </c>
      <c r="V140" s="6"/>
      <c r="W140" s="6" t="str">
        <f ca="1">IFERROR(__xludf.DUMMYFUNCTION("""COMPUTED_VALUE"""),"Invite")</f>
        <v>Invite</v>
      </c>
    </row>
    <row r="141" spans="1:23">
      <c r="A141" s="6" t="str">
        <f ca="1">IFERROR(__xludf.DUMMYFUNCTION("""COMPUTED_VALUE"""),"Woman, Man")</f>
        <v>Woman, Man</v>
      </c>
      <c r="B141" s="6" t="str">
        <f ca="1">IFERROR(__xludf.DUMMYFUNCTION("""COMPUTED_VALUE"""),"Healthtracka _2022")</f>
        <v>Healthtracka _2022</v>
      </c>
      <c r="C141" s="6" t="str">
        <f ca="1">IFERROR(__xludf.DUMMYFUNCTION("""COMPUTED_VALUE"""),"Digital Tech")</f>
        <v>Digital Tech</v>
      </c>
      <c r="D141" s="6" t="str">
        <f ca="1">IFERROR(__xludf.DUMMYFUNCTION("""COMPUTED_VALUE"""),"Plot 6C Providence Street Lekki Phase 1 Lekki, Lagos 
Nigeria")</f>
        <v>Plot 6C Providence Street Lekki Phase 1 Lekki, Lagos 
Nigeria</v>
      </c>
      <c r="E141" s="6" t="str">
        <f ca="1">IFERROR(__xludf.DUMMYFUNCTION("""COMPUTED_VALUE"""),"International - Other")</f>
        <v>International - Other</v>
      </c>
      <c r="F141" s="6" t="str">
        <f ca="1">IFERROR(__xludf.DUMMYFUNCTION("""COMPUTED_VALUE"""),"Woman")</f>
        <v>Woman</v>
      </c>
      <c r="G141" s="6" t="str">
        <f ca="1">IFERROR(__xludf.DUMMYFUNCTION("""COMPUTED_VALUE"""),"Man")</f>
        <v>Man</v>
      </c>
      <c r="H141" s="6"/>
      <c r="I141" s="6"/>
      <c r="J141" s="6"/>
      <c r="K141" s="6"/>
      <c r="L141" s="6" t="str">
        <f ca="1">IFERROR(__xludf.DUMMYFUNCTION("""COMPUTED_VALUE"""),"No")</f>
        <v>No</v>
      </c>
      <c r="M141" s="6"/>
      <c r="N141" s="6"/>
      <c r="O141" s="6" t="str">
        <f ca="1">IFERROR(__xludf.DUMMYFUNCTION("""COMPUTED_VALUE"""),"Email")</f>
        <v>Email</v>
      </c>
      <c r="P141" s="6"/>
      <c r="Q141" s="6" t="str">
        <f ca="1">IFERROR(__xludf.DUMMYFUNCTION("""COMPUTED_VALUE"""),"No")</f>
        <v>No</v>
      </c>
      <c r="R141" s="6">
        <f ca="1">IFERROR(__xludf.DUMMYFUNCTION("""COMPUTED_VALUE"""),2)</f>
        <v>2</v>
      </c>
      <c r="S141" s="6" t="str">
        <f ca="1">IFERROR(__xludf.DUMMYFUNCTION("""COMPUTED_VALUE"""),"Seed")</f>
        <v>Seed</v>
      </c>
      <c r="T141" s="6" t="str">
        <f ca="1">IFERROR(__xludf.DUMMYFUNCTION("""COMPUTED_VALUE"""),"Seed")</f>
        <v>Seed</v>
      </c>
      <c r="U141" s="6" t="str">
        <f ca="1">IFERROR(__xludf.DUMMYFUNCTION("""COMPUTED_VALUE"""),"Seed")</f>
        <v>Seed</v>
      </c>
      <c r="V141" s="6"/>
      <c r="W141" s="6" t="str">
        <f ca="1">IFERROR(__xludf.DUMMYFUNCTION("""COMPUTED_VALUE"""),"Invite Next Year")</f>
        <v>Invite Next Year</v>
      </c>
    </row>
    <row r="142" spans="1:23">
      <c r="A142" s="6" t="str">
        <f ca="1">IFERROR(__xludf.DUMMYFUNCTION("""COMPUTED_VALUE"""),"Man")</f>
        <v>Man</v>
      </c>
      <c r="B142" s="6" t="str">
        <f ca="1">IFERROR(__xludf.DUMMYFUNCTION("""COMPUTED_VALUE"""),"Diversity Cyber Council _2022")</f>
        <v>Diversity Cyber Council _2022</v>
      </c>
      <c r="C142" s="6" t="str">
        <f ca="1">IFERROR(__xludf.DUMMYFUNCTION("""COMPUTED_VALUE"""),"Digital Tech")</f>
        <v>Digital Tech</v>
      </c>
      <c r="D142" s="6" t="str">
        <f ca="1">IFERROR(__xludf.DUMMYFUNCTION("""COMPUTED_VALUE"""),"3350 Riverwood Parkway, Georgia 
United States")</f>
        <v>3350 Riverwood Parkway, Georgia 
United States</v>
      </c>
      <c r="E142" s="6" t="str">
        <f ca="1">IFERROR(__xludf.DUMMYFUNCTION("""COMPUTED_VALUE"""),"East Coast")</f>
        <v>East Coast</v>
      </c>
      <c r="F142" s="6" t="str">
        <f ca="1">IFERROR(__xludf.DUMMYFUNCTION("""COMPUTED_VALUE"""),"Man")</f>
        <v>Man</v>
      </c>
      <c r="G142" s="6"/>
      <c r="H142" s="6"/>
      <c r="I142" s="6"/>
      <c r="J142" s="6"/>
      <c r="K142" s="6"/>
      <c r="L142" s="6" t="str">
        <f ca="1">IFERROR(__xludf.DUMMYFUNCTION("""COMPUTED_VALUE"""),"No")</f>
        <v>No</v>
      </c>
      <c r="M142" s="6"/>
      <c r="N142" s="6"/>
      <c r="O142" s="6" t="str">
        <f ca="1">IFERROR(__xludf.DUMMYFUNCTION("""COMPUTED_VALUE"""),"Other")</f>
        <v>Other</v>
      </c>
      <c r="P142" s="6"/>
      <c r="Q142" s="6" t="str">
        <f ca="1">IFERROR(__xludf.DUMMYFUNCTION("""COMPUTED_VALUE"""),"No")</f>
        <v>No</v>
      </c>
      <c r="R142" s="6">
        <f ca="1">IFERROR(__xludf.DUMMYFUNCTION("""COMPUTED_VALUE"""),1)</f>
        <v>1</v>
      </c>
      <c r="S142" s="6" t="str">
        <f ca="1">IFERROR(__xludf.DUMMYFUNCTION("""COMPUTED_VALUE"""),"Pre-seed")</f>
        <v>Pre-seed</v>
      </c>
      <c r="T142" s="6" t="str">
        <f ca="1">IFERROR(__xludf.DUMMYFUNCTION("""COMPUTED_VALUE"""),"Pre-seed")</f>
        <v>Pre-seed</v>
      </c>
      <c r="U142" s="6" t="str">
        <f ca="1">IFERROR(__xludf.DUMMYFUNCTION("""COMPUTED_VALUE"""),"Pre-seed")</f>
        <v>Pre-seed</v>
      </c>
      <c r="V142" s="6"/>
      <c r="W142" s="6" t="str">
        <f ca="1">IFERROR(__xludf.DUMMYFUNCTION("""COMPUTED_VALUE"""),"Invite Next Year")</f>
        <v>Invite Next Year</v>
      </c>
    </row>
    <row r="143" spans="1:23">
      <c r="A143" s="6" t="str">
        <f ca="1">IFERROR(__xludf.DUMMYFUNCTION("""COMPUTED_VALUE"""),"Man, Man")</f>
        <v>Man, Man</v>
      </c>
      <c r="B143" s="6" t="str">
        <f ca="1">IFERROR(__xludf.DUMMYFUNCTION("""COMPUTED_VALUE"""),"Anonymous Agent Inc. _2022")</f>
        <v>Anonymous Agent Inc. _2022</v>
      </c>
      <c r="C143" s="6" t="str">
        <f ca="1">IFERROR(__xludf.DUMMYFUNCTION("""COMPUTED_VALUE"""),"Digital Tech")</f>
        <v>Digital Tech</v>
      </c>
      <c r="D143" s="6" t="str">
        <f ca="1">IFERROR(__xludf.DUMMYFUNCTION("""COMPUTED_VALUE"""),"256 Chapman Road STE 105-4, Newark, DE 
United States")</f>
        <v>256 Chapman Road STE 105-4, Newark, DE 
United States</v>
      </c>
      <c r="E143" s="6" t="str">
        <f ca="1">IFERROR(__xludf.DUMMYFUNCTION("""COMPUTED_VALUE"""),"East Coast")</f>
        <v>East Coast</v>
      </c>
      <c r="F143" s="6" t="str">
        <f ca="1">IFERROR(__xludf.DUMMYFUNCTION("""COMPUTED_VALUE"""),"Man")</f>
        <v>Man</v>
      </c>
      <c r="G143" s="6" t="str">
        <f ca="1">IFERROR(__xludf.DUMMYFUNCTION("""COMPUTED_VALUE"""),"Man")</f>
        <v>Man</v>
      </c>
      <c r="H143" s="6"/>
      <c r="I143" s="6"/>
      <c r="J143" s="6"/>
      <c r="K143" s="6"/>
      <c r="L143" s="6" t="str">
        <f ca="1">IFERROR(__xludf.DUMMYFUNCTION("""COMPUTED_VALUE"""),"Yes")</f>
        <v>Yes</v>
      </c>
      <c r="M143" s="6" t="str">
        <f ca="1">IFERROR(__xludf.DUMMYFUNCTION("""COMPUTED_VALUE"""),"NYU Student")</f>
        <v>NYU Student</v>
      </c>
      <c r="N143" s="6"/>
      <c r="O143" s="6" t="str">
        <f ca="1">IFERROR(__xludf.DUMMYFUNCTION("""COMPUTED_VALUE"""),"Referral")</f>
        <v>Referral</v>
      </c>
      <c r="P143" s="6"/>
      <c r="Q143" s="6" t="str">
        <f ca="1">IFERROR(__xludf.DUMMYFUNCTION("""COMPUTED_VALUE"""),"No")</f>
        <v>No</v>
      </c>
      <c r="R143" s="6">
        <f ca="1">IFERROR(__xludf.DUMMYFUNCTION("""COMPUTED_VALUE"""),2)</f>
        <v>2</v>
      </c>
      <c r="S143" s="6" t="str">
        <f ca="1">IFERROR(__xludf.DUMMYFUNCTION("""COMPUTED_VALUE"""),"Pre-seed")</f>
        <v>Pre-seed</v>
      </c>
      <c r="T143" s="6" t="str">
        <f ca="1">IFERROR(__xludf.DUMMYFUNCTION("""COMPUTED_VALUE"""),"Pre-seed")</f>
        <v>Pre-seed</v>
      </c>
      <c r="U143" s="6" t="str">
        <f ca="1">IFERROR(__xludf.DUMMYFUNCTION("""COMPUTED_VALUE"""),"Pre-seed")</f>
        <v>Pre-seed</v>
      </c>
      <c r="V143" s="6"/>
      <c r="W143" s="6" t="str">
        <f ca="1">IFERROR(__xludf.DUMMYFUNCTION("""COMPUTED_VALUE"""),"Invite Next Year")</f>
        <v>Invite Next Year</v>
      </c>
    </row>
    <row r="144" spans="1:23">
      <c r="A144" s="6" t="str">
        <f ca="1">IFERROR(__xludf.DUMMYFUNCTION("""COMPUTED_VALUE"""),"Man")</f>
        <v>Man</v>
      </c>
      <c r="B144" s="6" t="str">
        <f ca="1">IFERROR(__xludf.DUMMYFUNCTION("""COMPUTED_VALUE"""),"Lux Wind Power Ltd. _2022")</f>
        <v>Lux Wind Power Ltd. _2022</v>
      </c>
      <c r="C144" s="6" t="str">
        <f ca="1">IFERROR(__xludf.DUMMYFUNCTION("""COMPUTED_VALUE"""),"Deep Tech")</f>
        <v>Deep Tech</v>
      </c>
      <c r="D144" s="6" t="str">
        <f ca="1">IFERROR(__xludf.DUMMYFUNCTION("""COMPUTED_VALUE"""),"Saskatoon, Saskatchewan 
Canada")</f>
        <v>Saskatoon, Saskatchewan 
Canada</v>
      </c>
      <c r="E144" s="6" t="str">
        <f ca="1">IFERROR(__xludf.DUMMYFUNCTION("""COMPUTED_VALUE"""),"International - Americas")</f>
        <v>International - Americas</v>
      </c>
      <c r="F144" s="6" t="str">
        <f ca="1">IFERROR(__xludf.DUMMYFUNCTION("""COMPUTED_VALUE"""),"Man")</f>
        <v>Man</v>
      </c>
      <c r="G144" s="6"/>
      <c r="H144" s="6"/>
      <c r="I144" s="6"/>
      <c r="J144" s="6"/>
      <c r="K144" s="6"/>
      <c r="L144" s="6" t="str">
        <f ca="1">IFERROR(__xludf.DUMMYFUNCTION("""COMPUTED_VALUE"""),"No")</f>
        <v>No</v>
      </c>
      <c r="M144" s="6"/>
      <c r="N144" s="6"/>
      <c r="O144" s="6" t="str">
        <f ca="1">IFERROR(__xludf.DUMMYFUNCTION("""COMPUTED_VALUE"""),"Other")</f>
        <v>Other</v>
      </c>
      <c r="P144" s="6"/>
      <c r="Q144" s="6" t="str">
        <f ca="1">IFERROR(__xludf.DUMMYFUNCTION("""COMPUTED_VALUE"""),"No")</f>
        <v>No</v>
      </c>
      <c r="R144" s="6">
        <f ca="1">IFERROR(__xludf.DUMMYFUNCTION("""COMPUTED_VALUE"""),1)</f>
        <v>1</v>
      </c>
      <c r="S144" s="6" t="str">
        <f ca="1">IFERROR(__xludf.DUMMYFUNCTION("""COMPUTED_VALUE"""),"Seed")</f>
        <v>Seed</v>
      </c>
      <c r="T144" s="6" t="str">
        <f ca="1">IFERROR(__xludf.DUMMYFUNCTION("""COMPUTED_VALUE"""),"Seed")</f>
        <v>Seed</v>
      </c>
      <c r="U144" s="6" t="str">
        <f ca="1">IFERROR(__xludf.DUMMYFUNCTION("""COMPUTED_VALUE"""),"Seed")</f>
        <v>Seed</v>
      </c>
      <c r="V144" s="6"/>
      <c r="W144" s="6" t="str">
        <f ca="1">IFERROR(__xludf.DUMMYFUNCTION("""COMPUTED_VALUE"""),"Revisit/ Cluster")</f>
        <v>Revisit/ Cluster</v>
      </c>
    </row>
    <row r="145" spans="1:23">
      <c r="A145" s="6" t="str">
        <f ca="1">IFERROR(__xludf.DUMMYFUNCTION("""COMPUTED_VALUE"""),"Woman, Woman, Man, Man, Woman, Man")</f>
        <v>Woman, Woman, Man, Man, Woman, Man</v>
      </c>
      <c r="B145" s="6" t="str">
        <f ca="1">IFERROR(__xludf.DUMMYFUNCTION("""COMPUTED_VALUE"""),"PurMinds NeuroPharma Inc. _2022")</f>
        <v>PurMinds NeuroPharma Inc. _2022</v>
      </c>
      <c r="C145" s="6" t="str">
        <f ca="1">IFERROR(__xludf.DUMMYFUNCTION("""COMPUTED_VALUE"""),"Life Sciences")</f>
        <v>Life Sciences</v>
      </c>
      <c r="D145" s="6" t="str">
        <f ca="1">IFERROR(__xludf.DUMMYFUNCTION("""COMPUTED_VALUE"""),"1 Concorde Gate, Suite 604, Toronto M3C 2R2, Ontario 
Canada")</f>
        <v>1 Concorde Gate, Suite 604, Toronto M3C 2R2, Ontario 
Canada</v>
      </c>
      <c r="E145" s="6" t="str">
        <f ca="1">IFERROR(__xludf.DUMMYFUNCTION("""COMPUTED_VALUE"""),"International - Americas")</f>
        <v>International - Americas</v>
      </c>
      <c r="F145" s="6" t="str">
        <f ca="1">IFERROR(__xludf.DUMMYFUNCTION("""COMPUTED_VALUE"""),"Woman")</f>
        <v>Woman</v>
      </c>
      <c r="G145" s="6" t="str">
        <f ca="1">IFERROR(__xludf.DUMMYFUNCTION("""COMPUTED_VALUE"""),"Woman")</f>
        <v>Woman</v>
      </c>
      <c r="H145" s="6" t="str">
        <f ca="1">IFERROR(__xludf.DUMMYFUNCTION("""COMPUTED_VALUE"""),"Man")</f>
        <v>Man</v>
      </c>
      <c r="I145" s="6" t="str">
        <f ca="1">IFERROR(__xludf.DUMMYFUNCTION("""COMPUTED_VALUE"""),"Man")</f>
        <v>Man</v>
      </c>
      <c r="J145" s="6" t="str">
        <f ca="1">IFERROR(__xludf.DUMMYFUNCTION("""COMPUTED_VALUE"""),"Woman")</f>
        <v>Woman</v>
      </c>
      <c r="K145" s="6" t="str">
        <f ca="1">IFERROR(__xludf.DUMMYFUNCTION("""COMPUTED_VALUE"""),"Man")</f>
        <v>Man</v>
      </c>
      <c r="L145" s="6" t="str">
        <f ca="1">IFERROR(__xludf.DUMMYFUNCTION("""COMPUTED_VALUE"""),"No")</f>
        <v>No</v>
      </c>
      <c r="M145" s="6"/>
      <c r="N145" s="6"/>
      <c r="O145" s="6" t="str">
        <f ca="1">IFERROR(__xludf.DUMMYFUNCTION("""COMPUTED_VALUE"""),"Email")</f>
        <v>Email</v>
      </c>
      <c r="P145" s="6"/>
      <c r="Q145" s="6" t="str">
        <f ca="1">IFERROR(__xludf.DUMMYFUNCTION("""COMPUTED_VALUE"""),"No")</f>
        <v>No</v>
      </c>
      <c r="R145" s="6">
        <f ca="1">IFERROR(__xludf.DUMMYFUNCTION("""COMPUTED_VALUE"""),6)</f>
        <v>6</v>
      </c>
      <c r="S145" s="6" t="str">
        <f ca="1">IFERROR(__xludf.DUMMYFUNCTION("""COMPUTED_VALUE"""),"Pre-seed
Seed")</f>
        <v>Pre-seed
Seed</v>
      </c>
      <c r="T145" s="6" t="str">
        <f ca="1">IFERROR(__xludf.DUMMYFUNCTION("""COMPUTED_VALUE"""),"Pre-seed, Seed")</f>
        <v>Pre-seed, Seed</v>
      </c>
      <c r="U145" s="6" t="str">
        <f ca="1">IFERROR(__xludf.DUMMYFUNCTION("""COMPUTED_VALUE"""),"Pre-seed, Seed")</f>
        <v>Pre-seed, Seed</v>
      </c>
      <c r="V145" s="6"/>
      <c r="W145" s="6" t="str">
        <f ca="1">IFERROR(__xludf.DUMMYFUNCTION("""COMPUTED_VALUE"""),"Invite Next Year")</f>
        <v>Invite Next Year</v>
      </c>
    </row>
    <row r="146" spans="1:23">
      <c r="A146" s="6" t="str">
        <f ca="1">IFERROR(__xludf.DUMMYFUNCTION("""COMPUTED_VALUE"""),"Man")</f>
        <v>Man</v>
      </c>
      <c r="B146" s="6" t="str">
        <f ca="1">IFERROR(__xludf.DUMMYFUNCTION("""COMPUTED_VALUE"""),"Boxes.im Inc dba Boxes Email _2022")</f>
        <v>Boxes.im Inc dba Boxes Email _2022</v>
      </c>
      <c r="C146" s="6" t="str">
        <f ca="1">IFERROR(__xludf.DUMMYFUNCTION("""COMPUTED_VALUE"""),"Digital Tech")</f>
        <v>Digital Tech</v>
      </c>
      <c r="D146" s="6" t="str">
        <f ca="1">IFERROR(__xludf.DUMMYFUNCTION("""COMPUTED_VALUE"""),"Poplar Bluff, Missouri 
United States")</f>
        <v>Poplar Bluff, Missouri 
United States</v>
      </c>
      <c r="E146" s="6" t="str">
        <f ca="1">IFERROR(__xludf.DUMMYFUNCTION("""COMPUTED_VALUE"""),"Midwest")</f>
        <v>Midwest</v>
      </c>
      <c r="F146" s="6" t="str">
        <f ca="1">IFERROR(__xludf.DUMMYFUNCTION("""COMPUTED_VALUE"""),"Man")</f>
        <v>Man</v>
      </c>
      <c r="G146" s="6"/>
      <c r="H146" s="6"/>
      <c r="I146" s="6"/>
      <c r="J146" s="6"/>
      <c r="K146" s="6"/>
      <c r="L146" s="6" t="str">
        <f ca="1">IFERROR(__xludf.DUMMYFUNCTION("""COMPUTED_VALUE"""),"No")</f>
        <v>No</v>
      </c>
      <c r="M146" s="6"/>
      <c r="N146" s="6"/>
      <c r="O146" s="6" t="str">
        <f ca="1">IFERROR(__xludf.DUMMYFUNCTION("""COMPUTED_VALUE"""),"Referral")</f>
        <v>Referral</v>
      </c>
      <c r="P146" s="6"/>
      <c r="Q146" s="6" t="str">
        <f ca="1">IFERROR(__xludf.DUMMYFUNCTION("""COMPUTED_VALUE"""),"No")</f>
        <v>No</v>
      </c>
      <c r="R146" s="6">
        <f ca="1">IFERROR(__xludf.DUMMYFUNCTION("""COMPUTED_VALUE"""),1)</f>
        <v>1</v>
      </c>
      <c r="S146" s="6" t="str">
        <f ca="1">IFERROR(__xludf.DUMMYFUNCTION("""COMPUTED_VALUE"""),"None
Other: Bootstrapped with $180k from Founder")</f>
        <v>None
Other: Bootstrapped with $180k from Founder</v>
      </c>
      <c r="T146" s="6" t="str">
        <f ca="1">IFERROR(__xludf.DUMMYFUNCTION("""COMPUTED_VALUE"""),"None, Other: Bootstrapped with $180k from Founder")</f>
        <v>None, Other: Bootstrapped with $180k from Founder</v>
      </c>
      <c r="U146" s="6" t="str">
        <f ca="1">IFERROR(__xludf.DUMMYFUNCTION("""COMPUTED_VALUE"""),"None, ")</f>
        <v xml:space="preserve">None, </v>
      </c>
      <c r="V146" s="6" t="str">
        <f ca="1">IFERROR(__xludf.DUMMYFUNCTION("""COMPUTED_VALUE"""),"Bootstrapped with $180k from Founder")</f>
        <v>Bootstrapped with $180k from Founder</v>
      </c>
      <c r="W146" s="6" t="str">
        <f ca="1">IFERROR(__xludf.DUMMYFUNCTION("""COMPUTED_VALUE"""),"Invite Next Year")</f>
        <v>Invite Next Year</v>
      </c>
    </row>
    <row r="147" spans="1:23">
      <c r="A147" s="6" t="str">
        <f ca="1">IFERROR(__xludf.DUMMYFUNCTION("""COMPUTED_VALUE"""),"Man, Man, Man, Man")</f>
        <v>Man, Man, Man, Man</v>
      </c>
      <c r="B147" s="6" t="str">
        <f ca="1">IFERROR(__xludf.DUMMYFUNCTION("""COMPUTED_VALUE"""),"Tooliqa Inc. _2022")</f>
        <v>Tooliqa Inc. _2022</v>
      </c>
      <c r="C147" s="6" t="str">
        <f ca="1">IFERROR(__xludf.DUMMYFUNCTION("""COMPUTED_VALUE"""),"Deep Tech")</f>
        <v>Deep Tech</v>
      </c>
      <c r="D147" s="6" t="str">
        <f ca="1">IFERROR(__xludf.DUMMYFUNCTION("""COMPUTED_VALUE"""),"1142, 11th Floor, JMD Megapolis, , Sector-48, Gurugram 
India")</f>
        <v>1142, 11th Floor, JMD Megapolis, , Sector-48, Gurugram 
India</v>
      </c>
      <c r="E147" s="6" t="str">
        <f ca="1">IFERROR(__xludf.DUMMYFUNCTION("""COMPUTED_VALUE"""),"International - Asia")</f>
        <v>International - Asia</v>
      </c>
      <c r="F147" s="6" t="str">
        <f ca="1">IFERROR(__xludf.DUMMYFUNCTION("""COMPUTED_VALUE"""),"Man")</f>
        <v>Man</v>
      </c>
      <c r="G147" s="6" t="str">
        <f ca="1">IFERROR(__xludf.DUMMYFUNCTION("""COMPUTED_VALUE"""),"Man")</f>
        <v>Man</v>
      </c>
      <c r="H147" s="6" t="str">
        <f ca="1">IFERROR(__xludf.DUMMYFUNCTION("""COMPUTED_VALUE"""),"Man")</f>
        <v>Man</v>
      </c>
      <c r="I147" s="6" t="str">
        <f ca="1">IFERROR(__xludf.DUMMYFUNCTION("""COMPUTED_VALUE"""),"Man")</f>
        <v>Man</v>
      </c>
      <c r="J147" s="6"/>
      <c r="K147" s="6"/>
      <c r="L147" s="6" t="str">
        <f ca="1">IFERROR(__xludf.DUMMYFUNCTION("""COMPUTED_VALUE"""),"--Please select--")</f>
        <v>--Please select--</v>
      </c>
      <c r="M147" s="6"/>
      <c r="N147" s="6"/>
      <c r="O147" s="6" t="str">
        <f ca="1">IFERROR(__xludf.DUMMYFUNCTION("""COMPUTED_VALUE"""),"Email")</f>
        <v>Email</v>
      </c>
      <c r="P147" s="6"/>
      <c r="Q147" s="6" t="str">
        <f ca="1">IFERROR(__xludf.DUMMYFUNCTION("""COMPUTED_VALUE"""),"No")</f>
        <v>No</v>
      </c>
      <c r="R147" s="6">
        <f ca="1">IFERROR(__xludf.DUMMYFUNCTION("""COMPUTED_VALUE"""),4)</f>
        <v>4</v>
      </c>
      <c r="S147" s="6" t="str">
        <f ca="1">IFERROR(__xludf.DUMMYFUNCTION("""COMPUTED_VALUE"""),"Pre-seed")</f>
        <v>Pre-seed</v>
      </c>
      <c r="T147" s="6" t="str">
        <f ca="1">IFERROR(__xludf.DUMMYFUNCTION("""COMPUTED_VALUE"""),"Pre-seed")</f>
        <v>Pre-seed</v>
      </c>
      <c r="U147" s="6" t="str">
        <f ca="1">IFERROR(__xludf.DUMMYFUNCTION("""COMPUTED_VALUE"""),"Pre-seed")</f>
        <v>Pre-seed</v>
      </c>
      <c r="V147" s="6"/>
      <c r="W147" s="6" t="str">
        <f ca="1">IFERROR(__xludf.DUMMYFUNCTION("""COMPUTED_VALUE"""),"Invite Next Year")</f>
        <v>Invite Next Year</v>
      </c>
    </row>
    <row r="148" spans="1:23">
      <c r="A148" s="6" t="str">
        <f ca="1">IFERROR(__xludf.DUMMYFUNCTION("""COMPUTED_VALUE"""),"Woman, Woman")</f>
        <v>Woman, Woman</v>
      </c>
      <c r="B148" s="6" t="str">
        <f ca="1">IFERROR(__xludf.DUMMYFUNCTION("""COMPUTED_VALUE"""),"LangInnov _2022")</f>
        <v>LangInnov _2022</v>
      </c>
      <c r="C148" s="6" t="str">
        <f ca="1">IFERROR(__xludf.DUMMYFUNCTION("""COMPUTED_VALUE"""),"Digital Tech")</f>
        <v>Digital Tech</v>
      </c>
      <c r="D148" s="6" t="str">
        <f ca="1">IFERROR(__xludf.DUMMYFUNCTION("""COMPUTED_VALUE"""),"New York, NY 
United States")</f>
        <v>New York, NY 
United States</v>
      </c>
      <c r="E148" s="6" t="str">
        <f ca="1">IFERROR(__xludf.DUMMYFUNCTION("""COMPUTED_VALUE"""),"New York")</f>
        <v>New York</v>
      </c>
      <c r="F148" s="6" t="str">
        <f ca="1">IFERROR(__xludf.DUMMYFUNCTION("""COMPUTED_VALUE"""),"Woman")</f>
        <v>Woman</v>
      </c>
      <c r="G148" s="6" t="str">
        <f ca="1">IFERROR(__xludf.DUMMYFUNCTION("""COMPUTED_VALUE"""),"Woman")</f>
        <v>Woman</v>
      </c>
      <c r="H148" s="6"/>
      <c r="I148" s="6"/>
      <c r="J148" s="6"/>
      <c r="K148" s="6"/>
      <c r="L148" s="6" t="str">
        <f ca="1">IFERROR(__xludf.DUMMYFUNCTION("""COMPUTED_VALUE"""),"No")</f>
        <v>No</v>
      </c>
      <c r="M148" s="6"/>
      <c r="N148" s="6"/>
      <c r="O148" s="6" t="str">
        <f ca="1">IFERROR(__xludf.DUMMYFUNCTION("""COMPUTED_VALUE"""),"Email")</f>
        <v>Email</v>
      </c>
      <c r="P148" s="6"/>
      <c r="Q148" s="6" t="str">
        <f ca="1">IFERROR(__xludf.DUMMYFUNCTION("""COMPUTED_VALUE"""),"No")</f>
        <v>No</v>
      </c>
      <c r="R148" s="6">
        <f ca="1">IFERROR(__xludf.DUMMYFUNCTION("""COMPUTED_VALUE"""),2)</f>
        <v>2</v>
      </c>
      <c r="S148" s="6" t="str">
        <f ca="1">IFERROR(__xludf.DUMMYFUNCTION("""COMPUTED_VALUE"""),"Pre-seed
Grants")</f>
        <v>Pre-seed
Grants</v>
      </c>
      <c r="T148" s="6" t="str">
        <f ca="1">IFERROR(__xludf.DUMMYFUNCTION("""COMPUTED_VALUE"""),"Pre-seed, Grants")</f>
        <v>Pre-seed, Grants</v>
      </c>
      <c r="U148" s="6" t="str">
        <f ca="1">IFERROR(__xludf.DUMMYFUNCTION("""COMPUTED_VALUE"""),"Pre-seed, Grants")</f>
        <v>Pre-seed, Grants</v>
      </c>
      <c r="V148" s="6"/>
      <c r="W148" s="6" t="str">
        <f ca="1">IFERROR(__xludf.DUMMYFUNCTION("""COMPUTED_VALUE"""),"Invite Next Year")</f>
        <v>Invite Next Year</v>
      </c>
    </row>
    <row r="149" spans="1:23">
      <c r="A149" s="6" t="str">
        <f ca="1">IFERROR(__xludf.DUMMYFUNCTION("""COMPUTED_VALUE"""),"Man, Man, Woman")</f>
        <v>Man, Man, Woman</v>
      </c>
      <c r="B149" s="6" t="str">
        <f ca="1">IFERROR(__xludf.DUMMYFUNCTION("""COMPUTED_VALUE"""),"Hypercell Technologies, Inc _2022")</f>
        <v>Hypercell Technologies, Inc _2022</v>
      </c>
      <c r="C149" s="6" t="str">
        <f ca="1">IFERROR(__xludf.DUMMYFUNCTION("""COMPUTED_VALUE"""),"Life Sciences")</f>
        <v>Life Sciences</v>
      </c>
      <c r="D149" s="6" t="str">
        <f ca="1">IFERROR(__xludf.DUMMYFUNCTION("""COMPUTED_VALUE"""),"1062 Bluffhavene way NE, Brookhaven, 30319, GA 
United States")</f>
        <v>1062 Bluffhavene way NE, Brookhaven, 30319, GA 
United States</v>
      </c>
      <c r="E149" s="6" t="str">
        <f ca="1">IFERROR(__xludf.DUMMYFUNCTION("""COMPUTED_VALUE"""),"East Coast")</f>
        <v>East Coast</v>
      </c>
      <c r="F149" s="6" t="str">
        <f ca="1">IFERROR(__xludf.DUMMYFUNCTION("""COMPUTED_VALUE"""),"Man")</f>
        <v>Man</v>
      </c>
      <c r="G149" s="6" t="str">
        <f ca="1">IFERROR(__xludf.DUMMYFUNCTION("""COMPUTED_VALUE"""),"Man")</f>
        <v>Man</v>
      </c>
      <c r="H149" s="6" t="str">
        <f ca="1">IFERROR(__xludf.DUMMYFUNCTION("""COMPUTED_VALUE"""),"Woman")</f>
        <v>Woman</v>
      </c>
      <c r="I149" s="6"/>
      <c r="J149" s="6"/>
      <c r="K149" s="6"/>
      <c r="L149" s="6" t="str">
        <f ca="1">IFERROR(__xludf.DUMMYFUNCTION("""COMPUTED_VALUE"""),"No")</f>
        <v>No</v>
      </c>
      <c r="M149" s="6"/>
      <c r="N149" s="6"/>
      <c r="O149" s="6" t="str">
        <f ca="1">IFERROR(__xludf.DUMMYFUNCTION("""COMPUTED_VALUE"""),"Email")</f>
        <v>Email</v>
      </c>
      <c r="P149" s="6"/>
      <c r="Q149" s="6" t="str">
        <f ca="1">IFERROR(__xludf.DUMMYFUNCTION("""COMPUTED_VALUE"""),"No")</f>
        <v>No</v>
      </c>
      <c r="R149" s="6">
        <f ca="1">IFERROR(__xludf.DUMMYFUNCTION("""COMPUTED_VALUE"""),3)</f>
        <v>3</v>
      </c>
      <c r="S149" s="6" t="str">
        <f ca="1">IFERROR(__xludf.DUMMYFUNCTION("""COMPUTED_VALUE"""),"Seed")</f>
        <v>Seed</v>
      </c>
      <c r="T149" s="6" t="str">
        <f ca="1">IFERROR(__xludf.DUMMYFUNCTION("""COMPUTED_VALUE"""),"Seed")</f>
        <v>Seed</v>
      </c>
      <c r="U149" s="6" t="str">
        <f ca="1">IFERROR(__xludf.DUMMYFUNCTION("""COMPUTED_VALUE"""),"Seed")</f>
        <v>Seed</v>
      </c>
      <c r="V149" s="6"/>
      <c r="W149" s="6" t="str">
        <f ca="1">IFERROR(__xludf.DUMMYFUNCTION("""COMPUTED_VALUE"""),"Invite Next Year")</f>
        <v>Invite Next Year</v>
      </c>
    </row>
    <row r="150" spans="1:23">
      <c r="A150" s="6" t="str">
        <f ca="1">IFERROR(__xludf.DUMMYFUNCTION("""COMPUTED_VALUE"""),"Man")</f>
        <v>Man</v>
      </c>
      <c r="B150" s="6" t="str">
        <f ca="1">IFERROR(__xludf.DUMMYFUNCTION("""COMPUTED_VALUE"""),"ACCELStars Inc. _2022")</f>
        <v>ACCELStars Inc. _2022</v>
      </c>
      <c r="C150" s="6" t="str">
        <f ca="1">IFERROR(__xludf.DUMMYFUNCTION("""COMPUTED_VALUE"""),"Deep Tech")</f>
        <v>Deep Tech</v>
      </c>
      <c r="D150" s="6" t="str">
        <f ca="1">IFERROR(__xludf.DUMMYFUNCTION("""COMPUTED_VALUE"""),"205 Entrepreneur Plaza, South Research Building, The University of Tokyo, 7-3-1 Hongo, Bunkyo-ku, Tokyo 
Japan")</f>
        <v>205 Entrepreneur Plaza, South Research Building, The University of Tokyo, 7-3-1 Hongo, Bunkyo-ku, Tokyo 
Japan</v>
      </c>
      <c r="E150" s="6" t="str">
        <f ca="1">IFERROR(__xludf.DUMMYFUNCTION("""COMPUTED_VALUE"""),"International - Asia")</f>
        <v>International - Asia</v>
      </c>
      <c r="F150" s="6" t="str">
        <f ca="1">IFERROR(__xludf.DUMMYFUNCTION("""COMPUTED_VALUE"""),"Man")</f>
        <v>Man</v>
      </c>
      <c r="G150" s="6"/>
      <c r="H150" s="6"/>
      <c r="I150" s="6"/>
      <c r="J150" s="6"/>
      <c r="K150" s="6"/>
      <c r="L150" s="6" t="str">
        <f ca="1">IFERROR(__xludf.DUMMYFUNCTION("""COMPUTED_VALUE"""),"--Please select--")</f>
        <v>--Please select--</v>
      </c>
      <c r="M150" s="6"/>
      <c r="N150" s="6"/>
      <c r="O150" s="6" t="str">
        <f ca="1">IFERROR(__xludf.DUMMYFUNCTION("""COMPUTED_VALUE"""),"Email")</f>
        <v>Email</v>
      </c>
      <c r="P150" s="6"/>
      <c r="Q150" s="6" t="str">
        <f ca="1">IFERROR(__xludf.DUMMYFUNCTION("""COMPUTED_VALUE"""),"No")</f>
        <v>No</v>
      </c>
      <c r="R150" s="6">
        <f ca="1">IFERROR(__xludf.DUMMYFUNCTION("""COMPUTED_VALUE"""),1)</f>
        <v>1</v>
      </c>
      <c r="S150" s="6" t="str">
        <f ca="1">IFERROR(__xludf.DUMMYFUNCTION("""COMPUTED_VALUE"""),"Pre-seed
Seed")</f>
        <v>Pre-seed
Seed</v>
      </c>
      <c r="T150" s="6" t="str">
        <f ca="1">IFERROR(__xludf.DUMMYFUNCTION("""COMPUTED_VALUE"""),"Pre-seed, Seed")</f>
        <v>Pre-seed, Seed</v>
      </c>
      <c r="U150" s="6" t="str">
        <f ca="1">IFERROR(__xludf.DUMMYFUNCTION("""COMPUTED_VALUE"""),"Pre-seed, Seed")</f>
        <v>Pre-seed, Seed</v>
      </c>
      <c r="V150" s="6"/>
      <c r="W150" s="6" t="str">
        <f ca="1">IFERROR(__xludf.DUMMYFUNCTION("""COMPUTED_VALUE"""),"Invite Next Year")</f>
        <v>Invite Next Year</v>
      </c>
    </row>
    <row r="151" spans="1:23">
      <c r="A151" s="6" t="str">
        <f ca="1">IFERROR(__xludf.DUMMYFUNCTION("""COMPUTED_VALUE"""),"Man, Woman")</f>
        <v>Man, Woman</v>
      </c>
      <c r="B151" s="6" t="str">
        <f ca="1">IFERROR(__xludf.DUMMYFUNCTION("""COMPUTED_VALUE"""),"Troc Circle _2022")</f>
        <v>Troc Circle _2022</v>
      </c>
      <c r="C151" s="6" t="str">
        <f ca="1">IFERROR(__xludf.DUMMYFUNCTION("""COMPUTED_VALUE"""),"Digital Tech")</f>
        <v>Digital Tech</v>
      </c>
      <c r="D151" s="6" t="str">
        <f ca="1">IFERROR(__xludf.DUMMYFUNCTION("""COMPUTED_VALUE"""),"San Francisco, California 
Lebanon")</f>
        <v>San Francisco, California 
Lebanon</v>
      </c>
      <c r="E151" s="6" t="str">
        <f ca="1">IFERROR(__xludf.DUMMYFUNCTION("""COMPUTED_VALUE"""),"West Coast")</f>
        <v>West Coast</v>
      </c>
      <c r="F151" s="6" t="str">
        <f ca="1">IFERROR(__xludf.DUMMYFUNCTION("""COMPUTED_VALUE"""),"Man")</f>
        <v>Man</v>
      </c>
      <c r="G151" s="6" t="str">
        <f ca="1">IFERROR(__xludf.DUMMYFUNCTION("""COMPUTED_VALUE"""),"Woman")</f>
        <v>Woman</v>
      </c>
      <c r="H151" s="6"/>
      <c r="I151" s="6"/>
      <c r="J151" s="6"/>
      <c r="K151" s="6"/>
      <c r="L151" s="6" t="str">
        <f ca="1">IFERROR(__xludf.DUMMYFUNCTION("""COMPUTED_VALUE"""),"No")</f>
        <v>No</v>
      </c>
      <c r="M151" s="6"/>
      <c r="N151" s="6"/>
      <c r="O151" s="6" t="str">
        <f ca="1">IFERROR(__xludf.DUMMYFUNCTION("""COMPUTED_VALUE"""),"Email")</f>
        <v>Email</v>
      </c>
      <c r="P151" s="6"/>
      <c r="Q151" s="6" t="str">
        <f ca="1">IFERROR(__xludf.DUMMYFUNCTION("""COMPUTED_VALUE"""),"No")</f>
        <v>No</v>
      </c>
      <c r="R151" s="6">
        <f ca="1">IFERROR(__xludf.DUMMYFUNCTION("""COMPUTED_VALUE"""),2)</f>
        <v>2</v>
      </c>
      <c r="S151" s="6" t="str">
        <f ca="1">IFERROR(__xludf.DUMMYFUNCTION("""COMPUTED_VALUE"""),"Pre-seed")</f>
        <v>Pre-seed</v>
      </c>
      <c r="T151" s="6" t="str">
        <f ca="1">IFERROR(__xludf.DUMMYFUNCTION("""COMPUTED_VALUE"""),"Pre-seed")</f>
        <v>Pre-seed</v>
      </c>
      <c r="U151" s="6" t="str">
        <f ca="1">IFERROR(__xludf.DUMMYFUNCTION("""COMPUTED_VALUE"""),"Pre-seed")</f>
        <v>Pre-seed</v>
      </c>
      <c r="V151" s="6"/>
      <c r="W151" s="6" t="str">
        <f ca="1">IFERROR(__xludf.DUMMYFUNCTION("""COMPUTED_VALUE"""),"Invite Next Year")</f>
        <v>Invite Next Year</v>
      </c>
    </row>
    <row r="152" spans="1:23">
      <c r="A152" s="6" t="str">
        <f ca="1">IFERROR(__xludf.DUMMYFUNCTION("""COMPUTED_VALUE"""),"Man, Man")</f>
        <v>Man, Man</v>
      </c>
      <c r="B152" s="6" t="str">
        <f ca="1">IFERROR(__xludf.DUMMYFUNCTION("""COMPUTED_VALUE"""),"Avatar Interview Training _2022")</f>
        <v>Avatar Interview Training _2022</v>
      </c>
      <c r="C152" s="6" t="str">
        <f ca="1">IFERROR(__xludf.DUMMYFUNCTION("""COMPUTED_VALUE"""),"Digital Tech")</f>
        <v>Digital Tech</v>
      </c>
      <c r="D152" s="6" t="str">
        <f ca="1">IFERROR(__xludf.DUMMYFUNCTION("""COMPUTED_VALUE"""),"NYU Shanghai, 1555 Century Avenue, Shanghai 
China")</f>
        <v>NYU Shanghai, 1555 Century Avenue, Shanghai 
China</v>
      </c>
      <c r="E152" s="6" t="str">
        <f ca="1">IFERROR(__xludf.DUMMYFUNCTION("""COMPUTED_VALUE"""),"International - Asia")</f>
        <v>International - Asia</v>
      </c>
      <c r="F152" s="6" t="str">
        <f ca="1">IFERROR(__xludf.DUMMYFUNCTION("""COMPUTED_VALUE"""),"Man")</f>
        <v>Man</v>
      </c>
      <c r="G152" s="6" t="str">
        <f ca="1">IFERROR(__xludf.DUMMYFUNCTION("""COMPUTED_VALUE"""),"Man")</f>
        <v>Man</v>
      </c>
      <c r="H152" s="6"/>
      <c r="I152" s="6"/>
      <c r="J152" s="6"/>
      <c r="K152" s="6"/>
      <c r="L152" s="6" t="str">
        <f ca="1">IFERROR(__xludf.DUMMYFUNCTION("""COMPUTED_VALUE"""),"Yes")</f>
        <v>Yes</v>
      </c>
      <c r="M152" s="6" t="str">
        <f ca="1">IFERROR(__xludf.DUMMYFUNCTION("""COMPUTED_VALUE"""),"NYU Faculty")</f>
        <v>NYU Faculty</v>
      </c>
      <c r="N152" s="6"/>
      <c r="O152" s="6" t="str">
        <f ca="1">IFERROR(__xludf.DUMMYFUNCTION("""COMPUTED_VALUE"""),"Email")</f>
        <v>Email</v>
      </c>
      <c r="P152" s="6"/>
      <c r="Q152" s="6" t="str">
        <f ca="1">IFERROR(__xludf.DUMMYFUNCTION("""COMPUTED_VALUE"""),"No")</f>
        <v>No</v>
      </c>
      <c r="R152" s="6">
        <f ca="1">IFERROR(__xludf.DUMMYFUNCTION("""COMPUTED_VALUE"""),2)</f>
        <v>2</v>
      </c>
      <c r="S152" s="6" t="str">
        <f ca="1">IFERROR(__xludf.DUMMYFUNCTION("""COMPUTED_VALUE"""),"Grants")</f>
        <v>Grants</v>
      </c>
      <c r="T152" s="6" t="str">
        <f ca="1">IFERROR(__xludf.DUMMYFUNCTION("""COMPUTED_VALUE"""),"Grants")</f>
        <v>Grants</v>
      </c>
      <c r="U152" s="6" t="str">
        <f ca="1">IFERROR(__xludf.DUMMYFUNCTION("""COMPUTED_VALUE"""),"Grants")</f>
        <v>Grants</v>
      </c>
      <c r="V152" s="6"/>
      <c r="W152" s="6" t="str">
        <f ca="1">IFERROR(__xludf.DUMMYFUNCTION("""COMPUTED_VALUE"""),"Invite Next Year")</f>
        <v>Invite Next Year</v>
      </c>
    </row>
    <row r="153" spans="1:23">
      <c r="A153" s="6" t="str">
        <f ca="1">IFERROR(__xludf.DUMMYFUNCTION("""COMPUTED_VALUE"""),"Woman, Man")</f>
        <v>Woman, Man</v>
      </c>
      <c r="B153" s="6" t="str">
        <f ca="1">IFERROR(__xludf.DUMMYFUNCTION("""COMPUTED_VALUE"""),"Autentica Industrial Platforms Ltd _2022")</f>
        <v>Autentica Industrial Platforms Ltd _2022</v>
      </c>
      <c r="C153" s="6" t="str">
        <f ca="1">IFERROR(__xludf.DUMMYFUNCTION("""COMPUTED_VALUE"""),"Digital Tech")</f>
        <v>Digital Tech</v>
      </c>
      <c r="D153" s="6" t="str">
        <f ca="1">IFERROR(__xludf.DUMMYFUNCTION("""COMPUTED_VALUE"""),"Campus technology hub - Sci-Tech Daresbury, Daresbury 
United Kingdom")</f>
        <v>Campus technology hub - Sci-Tech Daresbury, Daresbury 
United Kingdom</v>
      </c>
      <c r="E153" s="6" t="str">
        <f ca="1">IFERROR(__xludf.DUMMYFUNCTION("""COMPUTED_VALUE"""),"International - Europe")</f>
        <v>International - Europe</v>
      </c>
      <c r="F153" s="6" t="str">
        <f ca="1">IFERROR(__xludf.DUMMYFUNCTION("""COMPUTED_VALUE"""),"Woman")</f>
        <v>Woman</v>
      </c>
      <c r="G153" s="6" t="str">
        <f ca="1">IFERROR(__xludf.DUMMYFUNCTION("""COMPUTED_VALUE"""),"Man")</f>
        <v>Man</v>
      </c>
      <c r="H153" s="6"/>
      <c r="I153" s="6"/>
      <c r="J153" s="6"/>
      <c r="K153" s="6"/>
      <c r="L153" s="6" t="str">
        <f ca="1">IFERROR(__xludf.DUMMYFUNCTION("""COMPUTED_VALUE"""),"--Please select--")</f>
        <v>--Please select--</v>
      </c>
      <c r="M153" s="6"/>
      <c r="N153" s="6"/>
      <c r="O153" s="6" t="str">
        <f ca="1">IFERROR(__xludf.DUMMYFUNCTION("""COMPUTED_VALUE"""),"Email")</f>
        <v>Email</v>
      </c>
      <c r="P153" s="6"/>
      <c r="Q153" s="6" t="str">
        <f ca="1">IFERROR(__xludf.DUMMYFUNCTION("""COMPUTED_VALUE"""),"No")</f>
        <v>No</v>
      </c>
      <c r="R153" s="6">
        <f ca="1">IFERROR(__xludf.DUMMYFUNCTION("""COMPUTED_VALUE"""),2)</f>
        <v>2</v>
      </c>
      <c r="S153" s="6" t="str">
        <f ca="1">IFERROR(__xludf.DUMMYFUNCTION("""COMPUTED_VALUE"""),"Grants")</f>
        <v>Grants</v>
      </c>
      <c r="T153" s="6" t="str">
        <f ca="1">IFERROR(__xludf.DUMMYFUNCTION("""COMPUTED_VALUE"""),"Grants")</f>
        <v>Grants</v>
      </c>
      <c r="U153" s="6" t="str">
        <f ca="1">IFERROR(__xludf.DUMMYFUNCTION("""COMPUTED_VALUE"""),"Grants")</f>
        <v>Grants</v>
      </c>
      <c r="V153" s="6"/>
      <c r="W153" s="6" t="str">
        <f ca="1">IFERROR(__xludf.DUMMYFUNCTION("""COMPUTED_VALUE"""),"Invite Next Year")</f>
        <v>Invite Next Year</v>
      </c>
    </row>
    <row r="154" spans="1:23">
      <c r="A154" s="6" t="str">
        <f ca="1">IFERROR(__xludf.DUMMYFUNCTION("""COMPUTED_VALUE"""),"Prefer not to respond, Prefer not to respond, Prefer not to respond, Prefer not to respond, Prefer not to respond, Prefer not to respond")</f>
        <v>Prefer not to respond, Prefer not to respond, Prefer not to respond, Prefer not to respond, Prefer not to respond, Prefer not to respond</v>
      </c>
      <c r="B154" s="6" t="str">
        <f ca="1">IFERROR(__xludf.DUMMYFUNCTION("""COMPUTED_VALUE"""),"PRP Concepts, Inc. _2022")</f>
        <v>PRP Concepts, Inc. _2022</v>
      </c>
      <c r="C154" s="6" t="str">
        <f ca="1">IFERROR(__xludf.DUMMYFUNCTION("""COMPUTED_VALUE"""),"Life Sciences")</f>
        <v>Life Sciences</v>
      </c>
      <c r="D154" s="6" t="str">
        <f ca="1">IFERROR(__xludf.DUMMYFUNCTION("""COMPUTED_VALUE"""),"Red Bank, New Jersey 
United States")</f>
        <v>Red Bank, New Jersey 
United States</v>
      </c>
      <c r="E154" s="6" t="str">
        <f ca="1">IFERROR(__xludf.DUMMYFUNCTION("""COMPUTED_VALUE"""),"East Coast")</f>
        <v>East Coast</v>
      </c>
      <c r="F154" s="6" t="str">
        <f ca="1">IFERROR(__xludf.DUMMYFUNCTION("""COMPUTED_VALUE"""),"Prefer not to respond")</f>
        <v>Prefer not to respond</v>
      </c>
      <c r="G154" s="6" t="str">
        <f ca="1">IFERROR(__xludf.DUMMYFUNCTION("""COMPUTED_VALUE"""),"Prefer not to respond")</f>
        <v>Prefer not to respond</v>
      </c>
      <c r="H154" s="6" t="str">
        <f ca="1">IFERROR(__xludf.DUMMYFUNCTION("""COMPUTED_VALUE"""),"Prefer not to respond")</f>
        <v>Prefer not to respond</v>
      </c>
      <c r="I154" s="6" t="str">
        <f ca="1">IFERROR(__xludf.DUMMYFUNCTION("""COMPUTED_VALUE"""),"Prefer not to respond")</f>
        <v>Prefer not to respond</v>
      </c>
      <c r="J154" s="6" t="str">
        <f ca="1">IFERROR(__xludf.DUMMYFUNCTION("""COMPUTED_VALUE"""),"Prefer not to respond")</f>
        <v>Prefer not to respond</v>
      </c>
      <c r="K154" s="6" t="str">
        <f ca="1">IFERROR(__xludf.DUMMYFUNCTION("""COMPUTED_VALUE"""),"Prefer not to respond")</f>
        <v>Prefer not to respond</v>
      </c>
      <c r="L154" s="6" t="str">
        <f ca="1">IFERROR(__xludf.DUMMYFUNCTION("""COMPUTED_VALUE"""),"No")</f>
        <v>No</v>
      </c>
      <c r="M154" s="6"/>
      <c r="N154" s="6"/>
      <c r="O154" s="6" t="str">
        <f ca="1">IFERROR(__xludf.DUMMYFUNCTION("""COMPUTED_VALUE"""),"Referral")</f>
        <v>Referral</v>
      </c>
      <c r="P154" s="6"/>
      <c r="Q154" s="6" t="str">
        <f ca="1">IFERROR(__xludf.DUMMYFUNCTION("""COMPUTED_VALUE"""),"No")</f>
        <v>No</v>
      </c>
      <c r="R154" s="6">
        <f ca="1">IFERROR(__xludf.DUMMYFUNCTION("""COMPUTED_VALUE"""),6)</f>
        <v>6</v>
      </c>
      <c r="S154" s="6" t="str">
        <f ca="1">IFERROR(__xludf.DUMMYFUNCTION("""COMPUTED_VALUE"""),"Pre-seed
Seed")</f>
        <v>Pre-seed
Seed</v>
      </c>
      <c r="T154" s="6" t="str">
        <f ca="1">IFERROR(__xludf.DUMMYFUNCTION("""COMPUTED_VALUE"""),"Pre-seed, Seed")</f>
        <v>Pre-seed, Seed</v>
      </c>
      <c r="U154" s="6" t="str">
        <f ca="1">IFERROR(__xludf.DUMMYFUNCTION("""COMPUTED_VALUE"""),"Pre-seed, Seed")</f>
        <v>Pre-seed, Seed</v>
      </c>
      <c r="V154" s="6"/>
      <c r="W154" s="6" t="str">
        <f ca="1">IFERROR(__xludf.DUMMYFUNCTION("""COMPUTED_VALUE"""),"Revisit")</f>
        <v>Revisit</v>
      </c>
    </row>
    <row r="155" spans="1:23">
      <c r="A155" s="6" t="str">
        <f ca="1">IFERROR(__xludf.DUMMYFUNCTION("""COMPUTED_VALUE"""),"Man, Man")</f>
        <v>Man, Man</v>
      </c>
      <c r="B155" s="6" t="str">
        <f ca="1">IFERROR(__xludf.DUMMYFUNCTION("""COMPUTED_VALUE"""),"Webeyez _2022")</f>
        <v>Webeyez _2022</v>
      </c>
      <c r="C155" s="6" t="str">
        <f ca="1">IFERROR(__xludf.DUMMYFUNCTION("""COMPUTED_VALUE"""),"Digital Tech")</f>
        <v>Digital Tech</v>
      </c>
      <c r="D155" s="6" t="str">
        <f ca="1">IFERROR(__xludf.DUMMYFUNCTION("""COMPUTED_VALUE"""),"15 Halamish St. Northern Industrial Park, Caesaria 
Israel")</f>
        <v>15 Halamish St. Northern Industrial Park, Caesaria 
Israel</v>
      </c>
      <c r="E155" s="6" t="str">
        <f ca="1">IFERROR(__xludf.DUMMYFUNCTION("""COMPUTED_VALUE"""),"International - Middle East")</f>
        <v>International - Middle East</v>
      </c>
      <c r="F155" s="6" t="str">
        <f ca="1">IFERROR(__xludf.DUMMYFUNCTION("""COMPUTED_VALUE"""),"Man")</f>
        <v>Man</v>
      </c>
      <c r="G155" s="6" t="str">
        <f ca="1">IFERROR(__xludf.DUMMYFUNCTION("""COMPUTED_VALUE"""),"Man")</f>
        <v>Man</v>
      </c>
      <c r="H155" s="6"/>
      <c r="I155" s="6"/>
      <c r="J155" s="6"/>
      <c r="K155" s="6"/>
      <c r="L155" s="6" t="str">
        <f ca="1">IFERROR(__xludf.DUMMYFUNCTION("""COMPUTED_VALUE"""),"Yes")</f>
        <v>Yes</v>
      </c>
      <c r="M155" s="6" t="str">
        <f ca="1">IFERROR(__xludf.DUMMYFUNCTION("""COMPUTED_VALUE"""),"NYU Alumni")</f>
        <v>NYU Alumni</v>
      </c>
      <c r="N155" s="6"/>
      <c r="O155" s="6" t="str">
        <f ca="1">IFERROR(__xludf.DUMMYFUNCTION("""COMPUTED_VALUE"""),"Referral")</f>
        <v>Referral</v>
      </c>
      <c r="P155" s="6"/>
      <c r="Q155" s="6" t="str">
        <f ca="1">IFERROR(__xludf.DUMMYFUNCTION("""COMPUTED_VALUE"""),"No")</f>
        <v>No</v>
      </c>
      <c r="R155" s="6">
        <f ca="1">IFERROR(__xludf.DUMMYFUNCTION("""COMPUTED_VALUE"""),2)</f>
        <v>2</v>
      </c>
      <c r="S155" s="6" t="str">
        <f ca="1">IFERROR(__xludf.DUMMYFUNCTION("""COMPUTED_VALUE"""),"Seed")</f>
        <v>Seed</v>
      </c>
      <c r="T155" s="6" t="str">
        <f ca="1">IFERROR(__xludf.DUMMYFUNCTION("""COMPUTED_VALUE"""),"Seed")</f>
        <v>Seed</v>
      </c>
      <c r="U155" s="6" t="str">
        <f ca="1">IFERROR(__xludf.DUMMYFUNCTION("""COMPUTED_VALUE"""),"Seed")</f>
        <v>Seed</v>
      </c>
      <c r="V155" s="6"/>
      <c r="W155" s="6" t="str">
        <f ca="1">IFERROR(__xludf.DUMMYFUNCTION("""COMPUTED_VALUE"""),"Invite")</f>
        <v>Invite</v>
      </c>
    </row>
    <row r="156" spans="1:23">
      <c r="A156" s="6" t="str">
        <f ca="1">IFERROR(__xludf.DUMMYFUNCTION("""COMPUTED_VALUE"""),"Man")</f>
        <v>Man</v>
      </c>
      <c r="B156" s="6" t="str">
        <f ca="1">IFERROR(__xludf.DUMMYFUNCTION("""COMPUTED_VALUE"""),"InRento _2022")</f>
        <v>InRento _2022</v>
      </c>
      <c r="C156" s="6" t="str">
        <f ca="1">IFERROR(__xludf.DUMMYFUNCTION("""COMPUTED_VALUE"""),"Digital Tech")</f>
        <v>Digital Tech</v>
      </c>
      <c r="D156" s="6" t="str">
        <f ca="1">IFERROR(__xludf.DUMMYFUNCTION("""COMPUTED_VALUE"""),"Vilnius, Vilnius 
Lithuania")</f>
        <v>Vilnius, Vilnius 
Lithuania</v>
      </c>
      <c r="E156" s="6" t="str">
        <f ca="1">IFERROR(__xludf.DUMMYFUNCTION("""COMPUTED_VALUE"""),"International - Europe")</f>
        <v>International - Europe</v>
      </c>
      <c r="F156" s="6" t="str">
        <f ca="1">IFERROR(__xludf.DUMMYFUNCTION("""COMPUTED_VALUE"""),"Man")</f>
        <v>Man</v>
      </c>
      <c r="G156" s="6"/>
      <c r="H156" s="6"/>
      <c r="I156" s="6"/>
      <c r="J156" s="6"/>
      <c r="K156" s="6"/>
      <c r="L156" s="6" t="str">
        <f ca="1">IFERROR(__xludf.DUMMYFUNCTION("""COMPUTED_VALUE"""),"No")</f>
        <v>No</v>
      </c>
      <c r="M156" s="6"/>
      <c r="N156" s="6"/>
      <c r="O156" s="6" t="str">
        <f ca="1">IFERROR(__xludf.DUMMYFUNCTION("""COMPUTED_VALUE"""),"Referral")</f>
        <v>Referral</v>
      </c>
      <c r="P156" s="6"/>
      <c r="Q156" s="6" t="str">
        <f ca="1">IFERROR(__xludf.DUMMYFUNCTION("""COMPUTED_VALUE"""),"No")</f>
        <v>No</v>
      </c>
      <c r="R156" s="6">
        <f ca="1">IFERROR(__xludf.DUMMYFUNCTION("""COMPUTED_VALUE"""),1)</f>
        <v>1</v>
      </c>
      <c r="S156" s="6" t="str">
        <f ca="1">IFERROR(__xludf.DUMMYFUNCTION("""COMPUTED_VALUE"""),"Seed")</f>
        <v>Seed</v>
      </c>
      <c r="T156" s="6" t="str">
        <f ca="1">IFERROR(__xludf.DUMMYFUNCTION("""COMPUTED_VALUE"""),"Seed")</f>
        <v>Seed</v>
      </c>
      <c r="U156" s="6" t="str">
        <f ca="1">IFERROR(__xludf.DUMMYFUNCTION("""COMPUTED_VALUE"""),"Seed")</f>
        <v>Seed</v>
      </c>
      <c r="V156" s="6"/>
      <c r="W156" s="6" t="str">
        <f ca="1">IFERROR(__xludf.DUMMYFUNCTION("""COMPUTED_VALUE"""),"Invite Next Year")</f>
        <v>Invite Next Year</v>
      </c>
    </row>
    <row r="157" spans="1:23">
      <c r="A157" s="6" t="str">
        <f ca="1">IFERROR(__xludf.DUMMYFUNCTION("""COMPUTED_VALUE"""),"Man")</f>
        <v>Man</v>
      </c>
      <c r="B157" s="6" t="str">
        <f ca="1">IFERROR(__xludf.DUMMYFUNCTION("""COMPUTED_VALUE"""),"Lalo _2022")</f>
        <v>Lalo _2022</v>
      </c>
      <c r="C157" s="6" t="str">
        <f ca="1">IFERROR(__xludf.DUMMYFUNCTION("""COMPUTED_VALUE"""),"Digital Tech")</f>
        <v>Digital Tech</v>
      </c>
      <c r="D157" s="6" t="str">
        <f ca="1">IFERROR(__xludf.DUMMYFUNCTION("""COMPUTED_VALUE"""),"Bothell, WA 
United States")</f>
        <v>Bothell, WA 
United States</v>
      </c>
      <c r="E157" s="6" t="str">
        <f ca="1">IFERROR(__xludf.DUMMYFUNCTION("""COMPUTED_VALUE"""),"West Coast")</f>
        <v>West Coast</v>
      </c>
      <c r="F157" s="6" t="str">
        <f ca="1">IFERROR(__xludf.DUMMYFUNCTION("""COMPUTED_VALUE"""),"Man")</f>
        <v>Man</v>
      </c>
      <c r="G157" s="6"/>
      <c r="H157" s="6"/>
      <c r="I157" s="6"/>
      <c r="J157" s="6"/>
      <c r="K157" s="6"/>
      <c r="L157" s="6" t="str">
        <f ca="1">IFERROR(__xludf.DUMMYFUNCTION("""COMPUTED_VALUE"""),"No")</f>
        <v>No</v>
      </c>
      <c r="M157" s="6"/>
      <c r="N157" s="6"/>
      <c r="O157" s="6" t="str">
        <f ca="1">IFERROR(__xludf.DUMMYFUNCTION("""COMPUTED_VALUE"""),"Email")</f>
        <v>Email</v>
      </c>
      <c r="P157" s="6"/>
      <c r="Q157" s="6" t="str">
        <f ca="1">IFERROR(__xludf.DUMMYFUNCTION("""COMPUTED_VALUE"""),"No")</f>
        <v>No</v>
      </c>
      <c r="R157" s="6">
        <f ca="1">IFERROR(__xludf.DUMMYFUNCTION("""COMPUTED_VALUE"""),1)</f>
        <v>1</v>
      </c>
      <c r="S157" s="6" t="str">
        <f ca="1">IFERROR(__xludf.DUMMYFUNCTION("""COMPUTED_VALUE"""),"Pre-seed
Seed")</f>
        <v>Pre-seed
Seed</v>
      </c>
      <c r="T157" s="6" t="str">
        <f ca="1">IFERROR(__xludf.DUMMYFUNCTION("""COMPUTED_VALUE"""),"Pre-seed, Seed")</f>
        <v>Pre-seed, Seed</v>
      </c>
      <c r="U157" s="6" t="str">
        <f ca="1">IFERROR(__xludf.DUMMYFUNCTION("""COMPUTED_VALUE"""),"Pre-seed, Seed")</f>
        <v>Pre-seed, Seed</v>
      </c>
      <c r="V157" s="6"/>
      <c r="W157" s="6" t="str">
        <f ca="1">IFERROR(__xludf.DUMMYFUNCTION("""COMPUTED_VALUE"""),"Invite Next Year")</f>
        <v>Invite Next Year</v>
      </c>
    </row>
    <row r="158" spans="1:23">
      <c r="A158" s="6" t="str">
        <f ca="1">IFERROR(__xludf.DUMMYFUNCTION("""COMPUTED_VALUE"""),"Man, Man, Man")</f>
        <v>Man, Man, Man</v>
      </c>
      <c r="B158" s="6" t="str">
        <f ca="1">IFERROR(__xludf.DUMMYFUNCTION("""COMPUTED_VALUE"""),"INAEDIS _2022")</f>
        <v>INAEDIS _2022</v>
      </c>
      <c r="C158" s="6" t="str">
        <f ca="1">IFERROR(__xludf.DUMMYFUNCTION("""COMPUTED_VALUE"""),"Life Sciences")</f>
        <v>Life Sciences</v>
      </c>
      <c r="D158" s="6" t="str">
        <f ca="1">IFERROR(__xludf.DUMMYFUNCTION("""COMPUTED_VALUE"""),"Princeton, New Jersey 
United States")</f>
        <v>Princeton, New Jersey 
United States</v>
      </c>
      <c r="E158" s="6" t="str">
        <f ca="1">IFERROR(__xludf.DUMMYFUNCTION("""COMPUTED_VALUE"""),"East Coast")</f>
        <v>East Coast</v>
      </c>
      <c r="F158" s="6" t="str">
        <f ca="1">IFERROR(__xludf.DUMMYFUNCTION("""COMPUTED_VALUE"""),"Man")</f>
        <v>Man</v>
      </c>
      <c r="G158" s="6" t="str">
        <f ca="1">IFERROR(__xludf.DUMMYFUNCTION("""COMPUTED_VALUE"""),"Man")</f>
        <v>Man</v>
      </c>
      <c r="H158" s="6" t="str">
        <f ca="1">IFERROR(__xludf.DUMMYFUNCTION("""COMPUTED_VALUE"""),"Man")</f>
        <v>Man</v>
      </c>
      <c r="I158" s="6"/>
      <c r="J158" s="6"/>
      <c r="K158" s="6"/>
      <c r="L158" s="6" t="str">
        <f ca="1">IFERROR(__xludf.DUMMYFUNCTION("""COMPUTED_VALUE"""),"No")</f>
        <v>No</v>
      </c>
      <c r="M158" s="6"/>
      <c r="N158" s="6"/>
      <c r="O158" s="6" t="str">
        <f ca="1">IFERROR(__xludf.DUMMYFUNCTION("""COMPUTED_VALUE"""),"Referral")</f>
        <v>Referral</v>
      </c>
      <c r="P158" s="6"/>
      <c r="Q158" s="6" t="str">
        <f ca="1">IFERROR(__xludf.DUMMYFUNCTION("""COMPUTED_VALUE"""),"No")</f>
        <v>No</v>
      </c>
      <c r="R158" s="6">
        <f ca="1">IFERROR(__xludf.DUMMYFUNCTION("""COMPUTED_VALUE"""),3)</f>
        <v>3</v>
      </c>
      <c r="S158" s="6" t="str">
        <f ca="1">IFERROR(__xludf.DUMMYFUNCTION("""COMPUTED_VALUE"""),"Grants")</f>
        <v>Grants</v>
      </c>
      <c r="T158" s="6" t="str">
        <f ca="1">IFERROR(__xludf.DUMMYFUNCTION("""COMPUTED_VALUE"""),"Grants")</f>
        <v>Grants</v>
      </c>
      <c r="U158" s="6" t="str">
        <f ca="1">IFERROR(__xludf.DUMMYFUNCTION("""COMPUTED_VALUE"""),"Grants")</f>
        <v>Grants</v>
      </c>
      <c r="V158" s="6"/>
      <c r="W158" s="6" t="str">
        <f ca="1">IFERROR(__xludf.DUMMYFUNCTION("""COMPUTED_VALUE"""),"Invite")</f>
        <v>Invite</v>
      </c>
    </row>
    <row r="159" spans="1:23">
      <c r="A159" s="6" t="str">
        <f ca="1">IFERROR(__xludf.DUMMYFUNCTION("""COMPUTED_VALUE"""),"Woman, Man")</f>
        <v>Woman, Man</v>
      </c>
      <c r="B159" s="6" t="str">
        <f ca="1">IFERROR(__xludf.DUMMYFUNCTION("""COMPUTED_VALUE"""),"Vessl Prosthetics Inc. _2022")</f>
        <v>Vessl Prosthetics Inc. _2022</v>
      </c>
      <c r="C159" s="6" t="str">
        <f ca="1">IFERROR(__xludf.DUMMYFUNCTION("""COMPUTED_VALUE"""),"Deep Tech")</f>
        <v>Deep Tech</v>
      </c>
      <c r="D159" s="6" t="str">
        <f ca="1">IFERROR(__xludf.DUMMYFUNCTION("""COMPUTED_VALUE"""),"Ilderton, Ontario 
Canada")</f>
        <v>Ilderton, Ontario 
Canada</v>
      </c>
      <c r="E159" s="6" t="str">
        <f ca="1">IFERROR(__xludf.DUMMYFUNCTION("""COMPUTED_VALUE"""),"International - Americas")</f>
        <v>International - Americas</v>
      </c>
      <c r="F159" s="6" t="str">
        <f ca="1">IFERROR(__xludf.DUMMYFUNCTION("""COMPUTED_VALUE"""),"Woman")</f>
        <v>Woman</v>
      </c>
      <c r="G159" s="6" t="str">
        <f ca="1">IFERROR(__xludf.DUMMYFUNCTION("""COMPUTED_VALUE"""),"Man")</f>
        <v>Man</v>
      </c>
      <c r="H159" s="6"/>
      <c r="I159" s="6"/>
      <c r="J159" s="6"/>
      <c r="K159" s="6"/>
      <c r="L159" s="6" t="str">
        <f ca="1">IFERROR(__xludf.DUMMYFUNCTION("""COMPUTED_VALUE"""),"No")</f>
        <v>No</v>
      </c>
      <c r="M159" s="6"/>
      <c r="N159" s="6"/>
      <c r="O159" s="6" t="str">
        <f ca="1">IFERROR(__xludf.DUMMYFUNCTION("""COMPUTED_VALUE"""),"Referral")</f>
        <v>Referral</v>
      </c>
      <c r="P159" s="6"/>
      <c r="Q159" s="6" t="str">
        <f ca="1">IFERROR(__xludf.DUMMYFUNCTION("""COMPUTED_VALUE"""),"No")</f>
        <v>No</v>
      </c>
      <c r="R159" s="6">
        <f ca="1">IFERROR(__xludf.DUMMYFUNCTION("""COMPUTED_VALUE"""),2)</f>
        <v>2</v>
      </c>
      <c r="S159" s="6" t="str">
        <f ca="1">IFERROR(__xludf.DUMMYFUNCTION("""COMPUTED_VALUE"""),"Grants")</f>
        <v>Grants</v>
      </c>
      <c r="T159" s="6" t="str">
        <f ca="1">IFERROR(__xludf.DUMMYFUNCTION("""COMPUTED_VALUE"""),"Grants")</f>
        <v>Grants</v>
      </c>
      <c r="U159" s="6" t="str">
        <f ca="1">IFERROR(__xludf.DUMMYFUNCTION("""COMPUTED_VALUE"""),"Grants")</f>
        <v>Grants</v>
      </c>
      <c r="V159" s="6"/>
      <c r="W159" s="6" t="str">
        <f ca="1">IFERROR(__xludf.DUMMYFUNCTION("""COMPUTED_VALUE"""),"Invite Next Year")</f>
        <v>Invite Next Year</v>
      </c>
    </row>
    <row r="160" spans="1:23">
      <c r="A160" s="6" t="str">
        <f ca="1">IFERROR(__xludf.DUMMYFUNCTION("""COMPUTED_VALUE"""),"Man, Man, Man")</f>
        <v>Man, Man, Man</v>
      </c>
      <c r="B160" s="6" t="str">
        <f ca="1">IFERROR(__xludf.DUMMYFUNCTION("""COMPUTED_VALUE"""),"Engage Labs _2022")</f>
        <v>Engage Labs _2022</v>
      </c>
      <c r="C160" s="6" t="str">
        <f ca="1">IFERROR(__xludf.DUMMYFUNCTION("""COMPUTED_VALUE"""),"Digital Tech")</f>
        <v>Digital Tech</v>
      </c>
      <c r="D160" s="6" t="str">
        <f ca="1">IFERROR(__xludf.DUMMYFUNCTION("""COMPUTED_VALUE"""),"71 Potomac Ave SE, DC 
United States")</f>
        <v>71 Potomac Ave SE, DC 
United States</v>
      </c>
      <c r="E160" s="6" t="str">
        <f ca="1">IFERROR(__xludf.DUMMYFUNCTION("""COMPUTED_VALUE"""),"East Coast")</f>
        <v>East Coast</v>
      </c>
      <c r="F160" s="6" t="str">
        <f ca="1">IFERROR(__xludf.DUMMYFUNCTION("""COMPUTED_VALUE"""),"Man")</f>
        <v>Man</v>
      </c>
      <c r="G160" s="6" t="str">
        <f ca="1">IFERROR(__xludf.DUMMYFUNCTION("""COMPUTED_VALUE"""),"Man")</f>
        <v>Man</v>
      </c>
      <c r="H160" s="6" t="str">
        <f ca="1">IFERROR(__xludf.DUMMYFUNCTION("""COMPUTED_VALUE"""),"Man")</f>
        <v>Man</v>
      </c>
      <c r="I160" s="6"/>
      <c r="J160" s="6"/>
      <c r="K160" s="6"/>
      <c r="L160" s="6" t="str">
        <f ca="1">IFERROR(__xludf.DUMMYFUNCTION("""COMPUTED_VALUE"""),"No")</f>
        <v>No</v>
      </c>
      <c r="M160" s="6"/>
      <c r="N160" s="6"/>
      <c r="O160" s="6" t="str">
        <f ca="1">IFERROR(__xludf.DUMMYFUNCTION("""COMPUTED_VALUE"""),"Email")</f>
        <v>Email</v>
      </c>
      <c r="P160" s="6"/>
      <c r="Q160" s="6" t="str">
        <f ca="1">IFERROR(__xludf.DUMMYFUNCTION("""COMPUTED_VALUE"""),"No")</f>
        <v>No</v>
      </c>
      <c r="R160" s="6">
        <f ca="1">IFERROR(__xludf.DUMMYFUNCTION("""COMPUTED_VALUE"""),3)</f>
        <v>3</v>
      </c>
      <c r="S160" s="6" t="str">
        <f ca="1">IFERROR(__xludf.DUMMYFUNCTION("""COMPUTED_VALUE"""),"Pre-seed")</f>
        <v>Pre-seed</v>
      </c>
      <c r="T160" s="6" t="str">
        <f ca="1">IFERROR(__xludf.DUMMYFUNCTION("""COMPUTED_VALUE"""),"Pre-seed")</f>
        <v>Pre-seed</v>
      </c>
      <c r="U160" s="6" t="str">
        <f ca="1">IFERROR(__xludf.DUMMYFUNCTION("""COMPUTED_VALUE"""),"Pre-seed")</f>
        <v>Pre-seed</v>
      </c>
      <c r="V160" s="6"/>
      <c r="W160" s="6" t="str">
        <f ca="1">IFERROR(__xludf.DUMMYFUNCTION("""COMPUTED_VALUE"""),"Revisit/ Cluster")</f>
        <v>Revisit/ Cluster</v>
      </c>
    </row>
    <row r="161" spans="1:23">
      <c r="A161" s="6" t="str">
        <f ca="1">IFERROR(__xludf.DUMMYFUNCTION("""COMPUTED_VALUE"""),"Man")</f>
        <v>Man</v>
      </c>
      <c r="B161" s="6" t="str">
        <f ca="1">IFERROR(__xludf.DUMMYFUNCTION("""COMPUTED_VALUE"""),"Populemetry _2022")</f>
        <v>Populemetry _2022</v>
      </c>
      <c r="C161" s="6" t="str">
        <f ca="1">IFERROR(__xludf.DUMMYFUNCTION("""COMPUTED_VALUE"""),"Digital Tech")</f>
        <v>Digital Tech</v>
      </c>
      <c r="D161" s="6" t="str">
        <f ca="1">IFERROR(__xludf.DUMMYFUNCTION("""COMPUTED_VALUE"""),"Brooklyn, New York 
United States")</f>
        <v>Brooklyn, New York 
United States</v>
      </c>
      <c r="E161" s="6" t="str">
        <f ca="1">IFERROR(__xludf.DUMMYFUNCTION("""COMPUTED_VALUE"""),"New York")</f>
        <v>New York</v>
      </c>
      <c r="F161" s="6" t="str">
        <f ca="1">IFERROR(__xludf.DUMMYFUNCTION("""COMPUTED_VALUE"""),"Man")</f>
        <v>Man</v>
      </c>
      <c r="G161" s="6"/>
      <c r="H161" s="6"/>
      <c r="I161" s="6"/>
      <c r="J161" s="6"/>
      <c r="K161" s="6"/>
      <c r="L161" s="6" t="str">
        <f ca="1">IFERROR(__xludf.DUMMYFUNCTION("""COMPUTED_VALUE"""),"No")</f>
        <v>No</v>
      </c>
      <c r="M161" s="6"/>
      <c r="N161" s="6"/>
      <c r="O161" s="6" t="str">
        <f ca="1">IFERROR(__xludf.DUMMYFUNCTION("""COMPUTED_VALUE"""),"Referral")</f>
        <v>Referral</v>
      </c>
      <c r="P161" s="6"/>
      <c r="Q161" s="6" t="str">
        <f ca="1">IFERROR(__xludf.DUMMYFUNCTION("""COMPUTED_VALUE"""),"No")</f>
        <v>No</v>
      </c>
      <c r="R161" s="6">
        <f ca="1">IFERROR(__xludf.DUMMYFUNCTION("""COMPUTED_VALUE"""),1)</f>
        <v>1</v>
      </c>
      <c r="S161" s="6" t="str">
        <f ca="1">IFERROR(__xludf.DUMMYFUNCTION("""COMPUTED_VALUE"""),"None")</f>
        <v>None</v>
      </c>
      <c r="T161" s="6" t="str">
        <f ca="1">IFERROR(__xludf.DUMMYFUNCTION("""COMPUTED_VALUE"""),"None")</f>
        <v>None</v>
      </c>
      <c r="U161" s="6" t="str">
        <f ca="1">IFERROR(__xludf.DUMMYFUNCTION("""COMPUTED_VALUE"""),"None")</f>
        <v>None</v>
      </c>
      <c r="V161" s="6"/>
      <c r="W161" s="6" t="str">
        <f ca="1">IFERROR(__xludf.DUMMYFUNCTION("""COMPUTED_VALUE"""),"Invite Next Year")</f>
        <v>Invite Next Year</v>
      </c>
    </row>
    <row r="162" spans="1:23">
      <c r="A162" s="6" t="str">
        <f ca="1">IFERROR(__xludf.DUMMYFUNCTION("""COMPUTED_VALUE"""),"Woman, Man")</f>
        <v>Woman, Man</v>
      </c>
      <c r="B162" s="6" t="str">
        <f ca="1">IFERROR(__xludf.DUMMYFUNCTION("""COMPUTED_VALUE"""),"Meili Technologies _2022")</f>
        <v>Meili Technologies _2022</v>
      </c>
      <c r="C162" s="6" t="str">
        <f ca="1">IFERROR(__xludf.DUMMYFUNCTION("""COMPUTED_VALUE"""),"Digital Tech")</f>
        <v>Digital Tech</v>
      </c>
      <c r="D162" s="6" t="str">
        <f ca="1">IFERROR(__xludf.DUMMYFUNCTION("""COMPUTED_VALUE"""),"New York, NY 
United States")</f>
        <v>New York, NY 
United States</v>
      </c>
      <c r="E162" s="6" t="str">
        <f ca="1">IFERROR(__xludf.DUMMYFUNCTION("""COMPUTED_VALUE"""),"New York")</f>
        <v>New York</v>
      </c>
      <c r="F162" s="6" t="str">
        <f ca="1">IFERROR(__xludf.DUMMYFUNCTION("""COMPUTED_VALUE"""),"Woman")</f>
        <v>Woman</v>
      </c>
      <c r="G162" s="6" t="str">
        <f ca="1">IFERROR(__xludf.DUMMYFUNCTION("""COMPUTED_VALUE"""),"Man")</f>
        <v>Man</v>
      </c>
      <c r="H162" s="6"/>
      <c r="I162" s="6"/>
      <c r="J162" s="6"/>
      <c r="K162" s="6"/>
      <c r="L162" s="6" t="str">
        <f ca="1">IFERROR(__xludf.DUMMYFUNCTION("""COMPUTED_VALUE"""),"Yes")</f>
        <v>Yes</v>
      </c>
      <c r="M162" s="6" t="str">
        <f ca="1">IFERROR(__xludf.DUMMYFUNCTION("""COMPUTED_VALUE"""),"NYU Faculty")</f>
        <v>NYU Faculty</v>
      </c>
      <c r="N162" s="6"/>
      <c r="O162" s="6" t="str">
        <f ca="1">IFERROR(__xludf.DUMMYFUNCTION("""COMPUTED_VALUE"""),"Referral")</f>
        <v>Referral</v>
      </c>
      <c r="P162" s="6"/>
      <c r="Q162" s="6" t="str">
        <f ca="1">IFERROR(__xludf.DUMMYFUNCTION("""COMPUTED_VALUE"""),"No")</f>
        <v>No</v>
      </c>
      <c r="R162" s="6">
        <f ca="1">IFERROR(__xludf.DUMMYFUNCTION("""COMPUTED_VALUE"""),2)</f>
        <v>2</v>
      </c>
      <c r="S162" s="6" t="str">
        <f ca="1">IFERROR(__xludf.DUMMYFUNCTION("""COMPUTED_VALUE"""),"Pre-seed")</f>
        <v>Pre-seed</v>
      </c>
      <c r="T162" s="6" t="str">
        <f ca="1">IFERROR(__xludf.DUMMYFUNCTION("""COMPUTED_VALUE"""),"Pre-seed")</f>
        <v>Pre-seed</v>
      </c>
      <c r="U162" s="6" t="str">
        <f ca="1">IFERROR(__xludf.DUMMYFUNCTION("""COMPUTED_VALUE"""),"Pre-seed")</f>
        <v>Pre-seed</v>
      </c>
      <c r="V162" s="6"/>
      <c r="W162" s="6" t="str">
        <f ca="1">IFERROR(__xludf.DUMMYFUNCTION("""COMPUTED_VALUE"""),"Invite Next Year")</f>
        <v>Invite Next Year</v>
      </c>
    </row>
    <row r="163" spans="1:23">
      <c r="A163" s="6" t="str">
        <f ca="1">IFERROR(__xludf.DUMMYFUNCTION("""COMPUTED_VALUE"""),"Man")</f>
        <v>Man</v>
      </c>
      <c r="B163" s="6" t="str">
        <f ca="1">IFERROR(__xludf.DUMMYFUNCTION("""COMPUTED_VALUE"""),"Ujama Incorporated _2022")</f>
        <v>Ujama Incorporated _2022</v>
      </c>
      <c r="C163" s="6" t="str">
        <f ca="1">IFERROR(__xludf.DUMMYFUNCTION("""COMPUTED_VALUE"""),"Digital Tech")</f>
        <v>Digital Tech</v>
      </c>
      <c r="D163" s="6" t="str">
        <f ca="1">IFERROR(__xludf.DUMMYFUNCTION("""COMPUTED_VALUE"""),"19925 Stevens Creek Blvd, Suite 100, Cupertino, CA 
United States")</f>
        <v>19925 Stevens Creek Blvd, Suite 100, Cupertino, CA 
United States</v>
      </c>
      <c r="E163" s="6" t="str">
        <f ca="1">IFERROR(__xludf.DUMMYFUNCTION("""COMPUTED_VALUE"""),"West Coast")</f>
        <v>West Coast</v>
      </c>
      <c r="F163" s="6" t="str">
        <f ca="1">IFERROR(__xludf.DUMMYFUNCTION("""COMPUTED_VALUE"""),"Man")</f>
        <v>Man</v>
      </c>
      <c r="G163" s="6"/>
      <c r="H163" s="6"/>
      <c r="I163" s="6"/>
      <c r="J163" s="6"/>
      <c r="K163" s="6"/>
      <c r="L163" s="6" t="str">
        <f ca="1">IFERROR(__xludf.DUMMYFUNCTION("""COMPUTED_VALUE"""),"No")</f>
        <v>No</v>
      </c>
      <c r="M163" s="6"/>
      <c r="N163" s="6"/>
      <c r="O163" s="6" t="str">
        <f ca="1">IFERROR(__xludf.DUMMYFUNCTION("""COMPUTED_VALUE"""),"Email")</f>
        <v>Email</v>
      </c>
      <c r="P163" s="6"/>
      <c r="Q163" s="6" t="str">
        <f ca="1">IFERROR(__xludf.DUMMYFUNCTION("""COMPUTED_VALUE"""),"No")</f>
        <v>No</v>
      </c>
      <c r="R163" s="6">
        <f ca="1">IFERROR(__xludf.DUMMYFUNCTION("""COMPUTED_VALUE"""),1)</f>
        <v>1</v>
      </c>
      <c r="S163" s="6" t="str">
        <f ca="1">IFERROR(__xludf.DUMMYFUNCTION("""COMPUTED_VALUE"""),"Pre-seed")</f>
        <v>Pre-seed</v>
      </c>
      <c r="T163" s="6" t="str">
        <f ca="1">IFERROR(__xludf.DUMMYFUNCTION("""COMPUTED_VALUE"""),"Pre-seed")</f>
        <v>Pre-seed</v>
      </c>
      <c r="U163" s="6" t="str">
        <f ca="1">IFERROR(__xludf.DUMMYFUNCTION("""COMPUTED_VALUE"""),"Pre-seed")</f>
        <v>Pre-seed</v>
      </c>
      <c r="V163" s="6"/>
      <c r="W163" s="6" t="str">
        <f ca="1">IFERROR(__xludf.DUMMYFUNCTION("""COMPUTED_VALUE"""),"Invite Next Year")</f>
        <v>Invite Next Year</v>
      </c>
    </row>
    <row r="164" spans="1:23">
      <c r="A164" s="6" t="str">
        <f ca="1">IFERROR(__xludf.DUMMYFUNCTION("""COMPUTED_VALUE"""),"Man")</f>
        <v>Man</v>
      </c>
      <c r="B164" s="6" t="str">
        <f ca="1">IFERROR(__xludf.DUMMYFUNCTION("""COMPUTED_VALUE"""),"Suquino, Inc _2022")</f>
        <v>Suquino, Inc _2022</v>
      </c>
      <c r="C164" s="6" t="str">
        <f ca="1">IFERROR(__xludf.DUMMYFUNCTION("""COMPUTED_VALUE"""),"Life Sciences")</f>
        <v>Life Sciences</v>
      </c>
      <c r="D164" s="6" t="str">
        <f ca="1">IFERROR(__xludf.DUMMYFUNCTION("""COMPUTED_VALUE"""),"830 Stewart , Suite 241, Sunnyvale 
United States")</f>
        <v>830 Stewart , Suite 241, Sunnyvale 
United States</v>
      </c>
      <c r="E164" s="6" t="str">
        <f ca="1">IFERROR(__xludf.DUMMYFUNCTION("""COMPUTED_VALUE"""),"West Coast")</f>
        <v>West Coast</v>
      </c>
      <c r="F164" s="6" t="str">
        <f ca="1">IFERROR(__xludf.DUMMYFUNCTION("""COMPUTED_VALUE"""),"Man")</f>
        <v>Man</v>
      </c>
      <c r="G164" s="6"/>
      <c r="H164" s="6"/>
      <c r="I164" s="6"/>
      <c r="J164" s="6"/>
      <c r="K164" s="6"/>
      <c r="L164" s="6" t="str">
        <f ca="1">IFERROR(__xludf.DUMMYFUNCTION("""COMPUTED_VALUE"""),"No")</f>
        <v>No</v>
      </c>
      <c r="M164" s="6"/>
      <c r="N164" s="6"/>
      <c r="O164" s="6" t="str">
        <f ca="1">IFERROR(__xludf.DUMMYFUNCTION("""COMPUTED_VALUE"""),"Email")</f>
        <v>Email</v>
      </c>
      <c r="P164" s="6"/>
      <c r="Q164" s="6" t="str">
        <f ca="1">IFERROR(__xludf.DUMMYFUNCTION("""COMPUTED_VALUE"""),"No")</f>
        <v>No</v>
      </c>
      <c r="R164" s="6">
        <f ca="1">IFERROR(__xludf.DUMMYFUNCTION("""COMPUTED_VALUE"""),1)</f>
        <v>1</v>
      </c>
      <c r="S164" s="6" t="str">
        <f ca="1">IFERROR(__xludf.DUMMYFUNCTION("""COMPUTED_VALUE"""),"Pre-seed
Seed")</f>
        <v>Pre-seed
Seed</v>
      </c>
      <c r="T164" s="6" t="str">
        <f ca="1">IFERROR(__xludf.DUMMYFUNCTION("""COMPUTED_VALUE"""),"Pre-seed, Seed")</f>
        <v>Pre-seed, Seed</v>
      </c>
      <c r="U164" s="6" t="str">
        <f ca="1">IFERROR(__xludf.DUMMYFUNCTION("""COMPUTED_VALUE"""),"Pre-seed, Seed")</f>
        <v>Pre-seed, Seed</v>
      </c>
      <c r="V164" s="6"/>
      <c r="W164" s="6" t="str">
        <f ca="1">IFERROR(__xludf.DUMMYFUNCTION("""COMPUTED_VALUE"""),"Invite Next Year")</f>
        <v>Invite Next Year</v>
      </c>
    </row>
    <row r="165" spans="1:23">
      <c r="A165" s="6" t="str">
        <f ca="1">IFERROR(__xludf.DUMMYFUNCTION("""COMPUTED_VALUE"""),"Man, Man")</f>
        <v>Man, Man</v>
      </c>
      <c r="B165" s="6" t="str">
        <f ca="1">IFERROR(__xludf.DUMMYFUNCTION("""COMPUTED_VALUE"""),"Fig Finance _2022")</f>
        <v>Fig Finance _2022</v>
      </c>
      <c r="C165" s="6" t="str">
        <f ca="1">IFERROR(__xludf.DUMMYFUNCTION("""COMPUTED_VALUE"""),"Digital Tech")</f>
        <v>Digital Tech</v>
      </c>
      <c r="D165" s="6" t="str">
        <f ca="1">IFERROR(__xludf.DUMMYFUNCTION("""COMPUTED_VALUE"""),"Vancouver, BC 
Canada")</f>
        <v>Vancouver, BC 
Canada</v>
      </c>
      <c r="E165" s="6" t="str">
        <f ca="1">IFERROR(__xludf.DUMMYFUNCTION("""COMPUTED_VALUE"""),"International - Americas")</f>
        <v>International - Americas</v>
      </c>
      <c r="F165" s="6" t="str">
        <f ca="1">IFERROR(__xludf.DUMMYFUNCTION("""COMPUTED_VALUE"""),"Man")</f>
        <v>Man</v>
      </c>
      <c r="G165" s="6" t="str">
        <f ca="1">IFERROR(__xludf.DUMMYFUNCTION("""COMPUTED_VALUE"""),"Man")</f>
        <v>Man</v>
      </c>
      <c r="H165" s="6"/>
      <c r="I165" s="6"/>
      <c r="J165" s="6"/>
      <c r="K165" s="6"/>
      <c r="L165" s="6" t="str">
        <f ca="1">IFERROR(__xludf.DUMMYFUNCTION("""COMPUTED_VALUE"""),"No")</f>
        <v>No</v>
      </c>
      <c r="M165" s="6"/>
      <c r="N165" s="6"/>
      <c r="O165" s="6" t="str">
        <f ca="1">IFERROR(__xludf.DUMMYFUNCTION("""COMPUTED_VALUE"""),"Search Engine")</f>
        <v>Search Engine</v>
      </c>
      <c r="P165" s="6"/>
      <c r="Q165" s="6" t="str">
        <f ca="1">IFERROR(__xludf.DUMMYFUNCTION("""COMPUTED_VALUE"""),"No")</f>
        <v>No</v>
      </c>
      <c r="R165" s="6">
        <f ca="1">IFERROR(__xludf.DUMMYFUNCTION("""COMPUTED_VALUE"""),2)</f>
        <v>2</v>
      </c>
      <c r="S165" s="6" t="str">
        <f ca="1">IFERROR(__xludf.DUMMYFUNCTION("""COMPUTED_VALUE"""),"Pre-seed")</f>
        <v>Pre-seed</v>
      </c>
      <c r="T165" s="6" t="str">
        <f ca="1">IFERROR(__xludf.DUMMYFUNCTION("""COMPUTED_VALUE"""),"Pre-seed")</f>
        <v>Pre-seed</v>
      </c>
      <c r="U165" s="6" t="str">
        <f ca="1">IFERROR(__xludf.DUMMYFUNCTION("""COMPUTED_VALUE"""),"Pre-seed")</f>
        <v>Pre-seed</v>
      </c>
      <c r="V165" s="6"/>
      <c r="W165" s="6" t="str">
        <f ca="1">IFERROR(__xludf.DUMMYFUNCTION("""COMPUTED_VALUE"""),"Invite Next Year")</f>
        <v>Invite Next Year</v>
      </c>
    </row>
    <row r="166" spans="1:23">
      <c r="A166" s="6" t="str">
        <f ca="1">IFERROR(__xludf.DUMMYFUNCTION("""COMPUTED_VALUE"""),"Man")</f>
        <v>Man</v>
      </c>
      <c r="B166" s="6" t="str">
        <f ca="1">IFERROR(__xludf.DUMMYFUNCTION("""COMPUTED_VALUE"""),"Cogniant _2022")</f>
        <v>Cogniant _2022</v>
      </c>
      <c r="C166" s="6" t="str">
        <f ca="1">IFERROR(__xludf.DUMMYFUNCTION("""COMPUTED_VALUE"""),"Life Sciences")</f>
        <v>Life Sciences</v>
      </c>
      <c r="D166" s="6" t="str">
        <f ca="1">IFERROR(__xludf.DUMMYFUNCTION("""COMPUTED_VALUE"""),"Singapore, Singapore 
Singapore")</f>
        <v>Singapore, Singapore 
Singapore</v>
      </c>
      <c r="E166" s="6" t="str">
        <f ca="1">IFERROR(__xludf.DUMMYFUNCTION("""COMPUTED_VALUE"""),"International - Asia")</f>
        <v>International - Asia</v>
      </c>
      <c r="F166" s="6" t="str">
        <f ca="1">IFERROR(__xludf.DUMMYFUNCTION("""COMPUTED_VALUE"""),"Man")</f>
        <v>Man</v>
      </c>
      <c r="G166" s="6"/>
      <c r="H166" s="6"/>
      <c r="I166" s="6"/>
      <c r="J166" s="6"/>
      <c r="K166" s="6"/>
      <c r="L166" s="6" t="str">
        <f ca="1">IFERROR(__xludf.DUMMYFUNCTION("""COMPUTED_VALUE"""),"No")</f>
        <v>No</v>
      </c>
      <c r="M166" s="6"/>
      <c r="N166" s="6"/>
      <c r="O166" s="6" t="str">
        <f ca="1">IFERROR(__xludf.DUMMYFUNCTION("""COMPUTED_VALUE"""),"Referral")</f>
        <v>Referral</v>
      </c>
      <c r="P166" s="6"/>
      <c r="Q166" s="6" t="str">
        <f ca="1">IFERROR(__xludf.DUMMYFUNCTION("""COMPUTED_VALUE"""),"No")</f>
        <v>No</v>
      </c>
      <c r="R166" s="6">
        <f ca="1">IFERROR(__xludf.DUMMYFUNCTION("""COMPUTED_VALUE"""),1)</f>
        <v>1</v>
      </c>
      <c r="S166" s="6" t="str">
        <f ca="1">IFERROR(__xludf.DUMMYFUNCTION("""COMPUTED_VALUE"""),"Pre-seed")</f>
        <v>Pre-seed</v>
      </c>
      <c r="T166" s="6" t="str">
        <f ca="1">IFERROR(__xludf.DUMMYFUNCTION("""COMPUTED_VALUE"""),"Pre-seed")</f>
        <v>Pre-seed</v>
      </c>
      <c r="U166" s="6" t="str">
        <f ca="1">IFERROR(__xludf.DUMMYFUNCTION("""COMPUTED_VALUE"""),"Pre-seed")</f>
        <v>Pre-seed</v>
      </c>
      <c r="V166" s="6"/>
      <c r="W166" s="6" t="str">
        <f ca="1">IFERROR(__xludf.DUMMYFUNCTION("""COMPUTED_VALUE"""),"Invite Next Year")</f>
        <v>Invite Next Year</v>
      </c>
    </row>
    <row r="167" spans="1:23">
      <c r="A167" s="6" t="str">
        <f ca="1">IFERROR(__xludf.DUMMYFUNCTION("""COMPUTED_VALUE"""),"Man, Man")</f>
        <v>Man, Man</v>
      </c>
      <c r="B167" s="6" t="str">
        <f ca="1">IFERROR(__xludf.DUMMYFUNCTION("""COMPUTED_VALUE"""),"Meta Carbon Inc _2022")</f>
        <v>Meta Carbon Inc _2022</v>
      </c>
      <c r="C167" s="6" t="str">
        <f ca="1">IFERROR(__xludf.DUMMYFUNCTION("""COMPUTED_VALUE"""),"Digital Tech")</f>
        <v>Digital Tech</v>
      </c>
      <c r="D167" s="6" t="str">
        <f ca="1">IFERROR(__xludf.DUMMYFUNCTION("""COMPUTED_VALUE"""),"148 Old Studio Rd, New Canaan, CT 
United States")</f>
        <v>148 Old Studio Rd, New Canaan, CT 
United States</v>
      </c>
      <c r="E167" s="6" t="str">
        <f ca="1">IFERROR(__xludf.DUMMYFUNCTION("""COMPUTED_VALUE"""),"East Coast")</f>
        <v>East Coast</v>
      </c>
      <c r="F167" s="6" t="str">
        <f ca="1">IFERROR(__xludf.DUMMYFUNCTION("""COMPUTED_VALUE"""),"Man")</f>
        <v>Man</v>
      </c>
      <c r="G167" s="6" t="str">
        <f ca="1">IFERROR(__xludf.DUMMYFUNCTION("""COMPUTED_VALUE"""),"Man")</f>
        <v>Man</v>
      </c>
      <c r="H167" s="6"/>
      <c r="I167" s="6"/>
      <c r="J167" s="6"/>
      <c r="K167" s="6"/>
      <c r="L167" s="6" t="str">
        <f ca="1">IFERROR(__xludf.DUMMYFUNCTION("""COMPUTED_VALUE"""),"--Please select--")</f>
        <v>--Please select--</v>
      </c>
      <c r="M167" s="6"/>
      <c r="N167" s="6"/>
      <c r="O167" s="6" t="str">
        <f ca="1">IFERROR(__xludf.DUMMYFUNCTION("""COMPUTED_VALUE"""),"Email")</f>
        <v>Email</v>
      </c>
      <c r="P167" s="6"/>
      <c r="Q167" s="6" t="str">
        <f ca="1">IFERROR(__xludf.DUMMYFUNCTION("""COMPUTED_VALUE"""),"No")</f>
        <v>No</v>
      </c>
      <c r="R167" s="6">
        <f ca="1">IFERROR(__xludf.DUMMYFUNCTION("""COMPUTED_VALUE"""),2)</f>
        <v>2</v>
      </c>
      <c r="S167" s="6" t="str">
        <f ca="1">IFERROR(__xludf.DUMMYFUNCTION("""COMPUTED_VALUE"""),"Pre-seed
Seed")</f>
        <v>Pre-seed
Seed</v>
      </c>
      <c r="T167" s="6" t="str">
        <f ca="1">IFERROR(__xludf.DUMMYFUNCTION("""COMPUTED_VALUE"""),"Pre-seed, Seed")</f>
        <v>Pre-seed, Seed</v>
      </c>
      <c r="U167" s="6" t="str">
        <f ca="1">IFERROR(__xludf.DUMMYFUNCTION("""COMPUTED_VALUE"""),"Pre-seed, Seed")</f>
        <v>Pre-seed, Seed</v>
      </c>
      <c r="V167" s="6"/>
      <c r="W167" s="6" t="str">
        <f ca="1">IFERROR(__xludf.DUMMYFUNCTION("""COMPUTED_VALUE"""),"Invite Next Year")</f>
        <v>Invite Next Year</v>
      </c>
    </row>
    <row r="168" spans="1:23">
      <c r="A168" s="6" t="str">
        <f ca="1">IFERROR(__xludf.DUMMYFUNCTION("""COMPUTED_VALUE"""),"Man")</f>
        <v>Man</v>
      </c>
      <c r="B168" s="6" t="str">
        <f ca="1">IFERROR(__xludf.DUMMYFUNCTION("""COMPUTED_VALUE"""),"TrioWave Technologies _2022")</f>
        <v>TrioWave Technologies _2022</v>
      </c>
      <c r="C168" s="6" t="str">
        <f ca="1">IFERROR(__xludf.DUMMYFUNCTION("""COMPUTED_VALUE"""),"Life Sciences")</f>
        <v>Life Sciences</v>
      </c>
      <c r="D168" s="6" t="str">
        <f ca="1">IFERROR(__xludf.DUMMYFUNCTION("""COMPUTED_VALUE"""),"3984 Washington Blvd. #166, California 
United States")</f>
        <v>3984 Washington Blvd. #166, California 
United States</v>
      </c>
      <c r="E168" s="6" t="str">
        <f ca="1">IFERROR(__xludf.DUMMYFUNCTION("""COMPUTED_VALUE"""),"West Coast")</f>
        <v>West Coast</v>
      </c>
      <c r="F168" s="6" t="str">
        <f ca="1">IFERROR(__xludf.DUMMYFUNCTION("""COMPUTED_VALUE"""),"Man")</f>
        <v>Man</v>
      </c>
      <c r="G168" s="6"/>
      <c r="H168" s="6"/>
      <c r="I168" s="6"/>
      <c r="J168" s="6"/>
      <c r="K168" s="6"/>
      <c r="L168" s="6" t="str">
        <f ca="1">IFERROR(__xludf.DUMMYFUNCTION("""COMPUTED_VALUE"""),"--Please select--")</f>
        <v>--Please select--</v>
      </c>
      <c r="M168" s="6"/>
      <c r="N168" s="6"/>
      <c r="O168" s="6" t="str">
        <f ca="1">IFERROR(__xludf.DUMMYFUNCTION("""COMPUTED_VALUE"""),"Email")</f>
        <v>Email</v>
      </c>
      <c r="P168" s="6"/>
      <c r="Q168" s="6" t="str">
        <f ca="1">IFERROR(__xludf.DUMMYFUNCTION("""COMPUTED_VALUE"""),"No")</f>
        <v>No</v>
      </c>
      <c r="R168" s="6">
        <f ca="1">IFERROR(__xludf.DUMMYFUNCTION("""COMPUTED_VALUE"""),1)</f>
        <v>1</v>
      </c>
      <c r="S168" s="6" t="str">
        <f ca="1">IFERROR(__xludf.DUMMYFUNCTION("""COMPUTED_VALUE"""),"Seed")</f>
        <v>Seed</v>
      </c>
      <c r="T168" s="6" t="str">
        <f ca="1">IFERROR(__xludf.DUMMYFUNCTION("""COMPUTED_VALUE"""),"Seed")</f>
        <v>Seed</v>
      </c>
      <c r="U168" s="6" t="str">
        <f ca="1">IFERROR(__xludf.DUMMYFUNCTION("""COMPUTED_VALUE"""),"Seed")</f>
        <v>Seed</v>
      </c>
      <c r="V168" s="6"/>
      <c r="W168" s="6" t="str">
        <f ca="1">IFERROR(__xludf.DUMMYFUNCTION("""COMPUTED_VALUE"""),"Invite Next Year")</f>
        <v>Invite Next Year</v>
      </c>
    </row>
    <row r="169" spans="1:23">
      <c r="A169" s="6" t="str">
        <f ca="1">IFERROR(__xludf.DUMMYFUNCTION("""COMPUTED_VALUE"""),"Man")</f>
        <v>Man</v>
      </c>
      <c r="B169" s="6" t="str">
        <f ca="1">IFERROR(__xludf.DUMMYFUNCTION("""COMPUTED_VALUE"""),"PredictNow.ai _2022")</f>
        <v>PredictNow.ai _2022</v>
      </c>
      <c r="C169" s="6" t="str">
        <f ca="1">IFERROR(__xludf.DUMMYFUNCTION("""COMPUTED_VALUE"""),"Deep Tech")</f>
        <v>Deep Tech</v>
      </c>
      <c r="D169" s="6" t="str">
        <f ca="1">IFERROR(__xludf.DUMMYFUNCTION("""COMPUTED_VALUE"""),"Niagara-on-the-Lake, Ontario 
Canada")</f>
        <v>Niagara-on-the-Lake, Ontario 
Canada</v>
      </c>
      <c r="E169" s="6" t="str">
        <f ca="1">IFERROR(__xludf.DUMMYFUNCTION("""COMPUTED_VALUE"""),"International - Americas")</f>
        <v>International - Americas</v>
      </c>
      <c r="F169" s="6" t="str">
        <f ca="1">IFERROR(__xludf.DUMMYFUNCTION("""COMPUTED_VALUE"""),"Man")</f>
        <v>Man</v>
      </c>
      <c r="G169" s="6"/>
      <c r="H169" s="6"/>
      <c r="I169" s="6"/>
      <c r="J169" s="6"/>
      <c r="K169" s="6"/>
      <c r="L169" s="6" t="str">
        <f ca="1">IFERROR(__xludf.DUMMYFUNCTION("""COMPUTED_VALUE"""),"No")</f>
        <v>No</v>
      </c>
      <c r="M169" s="6"/>
      <c r="N169" s="6"/>
      <c r="O169" s="6" t="str">
        <f ca="1">IFERROR(__xludf.DUMMYFUNCTION("""COMPUTED_VALUE"""),"Search Engine")</f>
        <v>Search Engine</v>
      </c>
      <c r="P169" s="6"/>
      <c r="Q169" s="6" t="str">
        <f ca="1">IFERROR(__xludf.DUMMYFUNCTION("""COMPUTED_VALUE"""),"Yes")</f>
        <v>Yes</v>
      </c>
      <c r="R169" s="6">
        <f ca="1">IFERROR(__xludf.DUMMYFUNCTION("""COMPUTED_VALUE"""),1)</f>
        <v>1</v>
      </c>
      <c r="S169" s="6" t="str">
        <f ca="1">IFERROR(__xludf.DUMMYFUNCTION("""COMPUTED_VALUE"""),"Pre-seed")</f>
        <v>Pre-seed</v>
      </c>
      <c r="T169" s="6" t="str">
        <f ca="1">IFERROR(__xludf.DUMMYFUNCTION("""COMPUTED_VALUE"""),"Pre-seed")</f>
        <v>Pre-seed</v>
      </c>
      <c r="U169" s="6" t="str">
        <f ca="1">IFERROR(__xludf.DUMMYFUNCTION("""COMPUTED_VALUE"""),"Pre-seed")</f>
        <v>Pre-seed</v>
      </c>
      <c r="V169" s="6"/>
      <c r="W169" s="6" t="str">
        <f ca="1">IFERROR(__xludf.DUMMYFUNCTION("""COMPUTED_VALUE"""),"Revisit/ Cluster")</f>
        <v>Revisit/ Cluster</v>
      </c>
    </row>
    <row r="170" spans="1:23">
      <c r="A170" s="6" t="str">
        <f ca="1">IFERROR(__xludf.DUMMYFUNCTION("""COMPUTED_VALUE"""),"Woman")</f>
        <v>Woman</v>
      </c>
      <c r="B170" s="6" t="str">
        <f ca="1">IFERROR(__xludf.DUMMYFUNCTION("""COMPUTED_VALUE"""),"GigOut _2022")</f>
        <v>GigOut _2022</v>
      </c>
      <c r="C170" s="6" t="str">
        <f ca="1">IFERROR(__xludf.DUMMYFUNCTION("""COMPUTED_VALUE"""),"Digital Tech")</f>
        <v>Digital Tech</v>
      </c>
      <c r="D170" s="6" t="str">
        <f ca="1">IFERROR(__xludf.DUMMYFUNCTION("""COMPUTED_VALUE"""),"Burbank, CA 
United States")</f>
        <v>Burbank, CA 
United States</v>
      </c>
      <c r="E170" s="6" t="str">
        <f ca="1">IFERROR(__xludf.DUMMYFUNCTION("""COMPUTED_VALUE"""),"West Coast")</f>
        <v>West Coast</v>
      </c>
      <c r="F170" s="6" t="str">
        <f ca="1">IFERROR(__xludf.DUMMYFUNCTION("""COMPUTED_VALUE"""),"Woman")</f>
        <v>Woman</v>
      </c>
      <c r="G170" s="6"/>
      <c r="H170" s="6"/>
      <c r="I170" s="6"/>
      <c r="J170" s="6"/>
      <c r="K170" s="6"/>
      <c r="L170" s="6" t="str">
        <f ca="1">IFERROR(__xludf.DUMMYFUNCTION("""COMPUTED_VALUE"""),"--Please select--")</f>
        <v>--Please select--</v>
      </c>
      <c r="M170" s="6"/>
      <c r="N170" s="6"/>
      <c r="O170" s="6" t="str">
        <f ca="1">IFERROR(__xludf.DUMMYFUNCTION("""COMPUTED_VALUE"""),"Referral")</f>
        <v>Referral</v>
      </c>
      <c r="P170" s="6"/>
      <c r="Q170" s="6" t="str">
        <f ca="1">IFERROR(__xludf.DUMMYFUNCTION("""COMPUTED_VALUE"""),"No")</f>
        <v>No</v>
      </c>
      <c r="R170" s="6">
        <f ca="1">IFERROR(__xludf.DUMMYFUNCTION("""COMPUTED_VALUE"""),1)</f>
        <v>1</v>
      </c>
      <c r="S170" s="6" t="str">
        <f ca="1">IFERROR(__xludf.DUMMYFUNCTION("""COMPUTED_VALUE"""),"Pre-seed")</f>
        <v>Pre-seed</v>
      </c>
      <c r="T170" s="6" t="str">
        <f ca="1">IFERROR(__xludf.DUMMYFUNCTION("""COMPUTED_VALUE"""),"Pre-seed")</f>
        <v>Pre-seed</v>
      </c>
      <c r="U170" s="6" t="str">
        <f ca="1">IFERROR(__xludf.DUMMYFUNCTION("""COMPUTED_VALUE"""),"Pre-seed")</f>
        <v>Pre-seed</v>
      </c>
      <c r="V170" s="6"/>
      <c r="W170" s="6" t="str">
        <f ca="1">IFERROR(__xludf.DUMMYFUNCTION("""COMPUTED_VALUE"""),"Invite Next Year")</f>
        <v>Invite Next Year</v>
      </c>
    </row>
    <row r="171" spans="1:23">
      <c r="A171" s="6" t="str">
        <f ca="1">IFERROR(__xludf.DUMMYFUNCTION("""COMPUTED_VALUE"""),"Man, Man, Woman, Man")</f>
        <v>Man, Man, Woman, Man</v>
      </c>
      <c r="B171" s="6" t="str">
        <f ca="1">IFERROR(__xludf.DUMMYFUNCTION("""COMPUTED_VALUE"""),"TimberFish Technologies _2022")</f>
        <v>TimberFish Technologies _2022</v>
      </c>
      <c r="C171" s="6" t="str">
        <f ca="1">IFERROR(__xludf.DUMMYFUNCTION("""COMPUTED_VALUE"""),"Deep Tech")</f>
        <v>Deep Tech</v>
      </c>
      <c r="D171" s="6" t="str">
        <f ca="1">IFERROR(__xludf.DUMMYFUNCTION("""COMPUTED_VALUE"""),"TimberFish Technologies, 1961 Tonawanda Creek Road, Amherst, New York 
United States")</f>
        <v>TimberFish Technologies, 1961 Tonawanda Creek Road, Amherst, New York 
United States</v>
      </c>
      <c r="E171" s="6" t="str">
        <f ca="1">IFERROR(__xludf.DUMMYFUNCTION("""COMPUTED_VALUE"""),"East Coast")</f>
        <v>East Coast</v>
      </c>
      <c r="F171" s="6" t="str">
        <f ca="1">IFERROR(__xludf.DUMMYFUNCTION("""COMPUTED_VALUE"""),"Man")</f>
        <v>Man</v>
      </c>
      <c r="G171" s="6" t="str">
        <f ca="1">IFERROR(__xludf.DUMMYFUNCTION("""COMPUTED_VALUE"""),"Man")</f>
        <v>Man</v>
      </c>
      <c r="H171" s="6" t="str">
        <f ca="1">IFERROR(__xludf.DUMMYFUNCTION("""COMPUTED_VALUE"""),"Woman")</f>
        <v>Woman</v>
      </c>
      <c r="I171" s="6" t="str">
        <f ca="1">IFERROR(__xludf.DUMMYFUNCTION("""COMPUTED_VALUE"""),"Man")</f>
        <v>Man</v>
      </c>
      <c r="J171" s="6"/>
      <c r="K171" s="6"/>
      <c r="L171" s="6" t="str">
        <f ca="1">IFERROR(__xludf.DUMMYFUNCTION("""COMPUTED_VALUE"""),"No")</f>
        <v>No</v>
      </c>
      <c r="M171" s="6"/>
      <c r="N171" s="6"/>
      <c r="O171" s="6" t="str">
        <f ca="1">IFERROR(__xludf.DUMMYFUNCTION("""COMPUTED_VALUE"""),"Email")</f>
        <v>Email</v>
      </c>
      <c r="P171" s="6"/>
      <c r="Q171" s="6" t="str">
        <f ca="1">IFERROR(__xludf.DUMMYFUNCTION("""COMPUTED_VALUE"""),"No")</f>
        <v>No</v>
      </c>
      <c r="R171" s="6">
        <f ca="1">IFERROR(__xludf.DUMMYFUNCTION("""COMPUTED_VALUE"""),4)</f>
        <v>4</v>
      </c>
      <c r="S171" s="6" t="str">
        <f ca="1">IFERROR(__xludf.DUMMYFUNCTION("""COMPUTED_VALUE"""),"Pre-seed
Seed
Series A
Grants")</f>
        <v>Pre-seed
Seed
Series A
Grants</v>
      </c>
      <c r="T171" s="6" t="str">
        <f ca="1">IFERROR(__xludf.DUMMYFUNCTION("""COMPUTED_VALUE"""),"Pre-seed, Seed, Series A, Grants")</f>
        <v>Pre-seed, Seed, Series A, Grants</v>
      </c>
      <c r="U171" s="6" t="str">
        <f ca="1">IFERROR(__xludf.DUMMYFUNCTION("""COMPUTED_VALUE"""),"Pre-seed, Seed, Series A, Grants")</f>
        <v>Pre-seed, Seed, Series A, Grants</v>
      </c>
      <c r="V171" s="6"/>
      <c r="W171" s="6" t="str">
        <f ca="1">IFERROR(__xludf.DUMMYFUNCTION("""COMPUTED_VALUE"""),"Invite")</f>
        <v>Invite</v>
      </c>
    </row>
    <row r="172" spans="1:23">
      <c r="A172" s="6" t="str">
        <f ca="1">IFERROR(__xludf.DUMMYFUNCTION("""COMPUTED_VALUE"""),"Woman, Man, Woman, Woman")</f>
        <v>Woman, Man, Woman, Woman</v>
      </c>
      <c r="B172" s="6" t="str">
        <f ca="1">IFERROR(__xludf.DUMMYFUNCTION("""COMPUTED_VALUE"""),"Culina Health _2022")</f>
        <v>Culina Health _2022</v>
      </c>
      <c r="C172" s="6" t="str">
        <f ca="1">IFERROR(__xludf.DUMMYFUNCTION("""COMPUTED_VALUE"""),"Digital Tech")</f>
        <v>Digital Tech</v>
      </c>
      <c r="D172" s="6" t="str">
        <f ca="1">IFERROR(__xludf.DUMMYFUNCTION("""COMPUTED_VALUE"""),"Hoboken, NJ 
United States")</f>
        <v>Hoboken, NJ 
United States</v>
      </c>
      <c r="E172" s="6" t="str">
        <f ca="1">IFERROR(__xludf.DUMMYFUNCTION("""COMPUTED_VALUE"""),"East Coast")</f>
        <v>East Coast</v>
      </c>
      <c r="F172" s="6" t="str">
        <f ca="1">IFERROR(__xludf.DUMMYFUNCTION("""COMPUTED_VALUE"""),"Woman")</f>
        <v>Woman</v>
      </c>
      <c r="G172" s="6" t="str">
        <f ca="1">IFERROR(__xludf.DUMMYFUNCTION("""COMPUTED_VALUE"""),"Man")</f>
        <v>Man</v>
      </c>
      <c r="H172" s="6" t="str">
        <f ca="1">IFERROR(__xludf.DUMMYFUNCTION("""COMPUTED_VALUE"""),"Woman")</f>
        <v>Woman</v>
      </c>
      <c r="I172" s="6" t="str">
        <f ca="1">IFERROR(__xludf.DUMMYFUNCTION("""COMPUTED_VALUE"""),"Woman")</f>
        <v>Woman</v>
      </c>
      <c r="J172" s="6"/>
      <c r="K172" s="6"/>
      <c r="L172" s="6" t="str">
        <f ca="1">IFERROR(__xludf.DUMMYFUNCTION("""COMPUTED_VALUE"""),"--Please select--")</f>
        <v>--Please select--</v>
      </c>
      <c r="M172" s="6"/>
      <c r="N172" s="6"/>
      <c r="O172" s="6" t="str">
        <f ca="1">IFERROR(__xludf.DUMMYFUNCTION("""COMPUTED_VALUE"""),"Other")</f>
        <v>Other</v>
      </c>
      <c r="P172" s="6"/>
      <c r="Q172" s="6" t="str">
        <f ca="1">IFERROR(__xludf.DUMMYFUNCTION("""COMPUTED_VALUE"""),"No")</f>
        <v>No</v>
      </c>
      <c r="R172" s="6">
        <f ca="1">IFERROR(__xludf.DUMMYFUNCTION("""COMPUTED_VALUE"""),4)</f>
        <v>4</v>
      </c>
      <c r="S172" s="6" t="str">
        <f ca="1">IFERROR(__xludf.DUMMYFUNCTION("""COMPUTED_VALUE"""),"Seed")</f>
        <v>Seed</v>
      </c>
      <c r="T172" s="6" t="str">
        <f ca="1">IFERROR(__xludf.DUMMYFUNCTION("""COMPUTED_VALUE"""),"Seed")</f>
        <v>Seed</v>
      </c>
      <c r="U172" s="6" t="str">
        <f ca="1">IFERROR(__xludf.DUMMYFUNCTION("""COMPUTED_VALUE"""),"Seed")</f>
        <v>Seed</v>
      </c>
      <c r="V172" s="6"/>
      <c r="W172" s="6" t="str">
        <f ca="1">IFERROR(__xludf.DUMMYFUNCTION("""COMPUTED_VALUE"""),"Invite")</f>
        <v>Invite</v>
      </c>
    </row>
    <row r="173" spans="1:23">
      <c r="A173" s="6" t="str">
        <f ca="1">IFERROR(__xludf.DUMMYFUNCTION("""COMPUTED_VALUE"""),"Man, Woman, Man")</f>
        <v>Man, Woman, Man</v>
      </c>
      <c r="B173" s="6" t="str">
        <f ca="1">IFERROR(__xludf.DUMMYFUNCTION("""COMPUTED_VALUE"""),"Lagoon _2022")</f>
        <v>Lagoon _2022</v>
      </c>
      <c r="C173" s="6" t="str">
        <f ca="1">IFERROR(__xludf.DUMMYFUNCTION("""COMPUTED_VALUE"""),"Digital Tech")</f>
        <v>Digital Tech</v>
      </c>
      <c r="D173" s="6" t="str">
        <f ca="1">IFERROR(__xludf.DUMMYFUNCTION("""COMPUTED_VALUE"""),"Tel Aviv, Tel Aviv 
Israel")</f>
        <v>Tel Aviv, Tel Aviv 
Israel</v>
      </c>
      <c r="E173" s="6" t="str">
        <f ca="1">IFERROR(__xludf.DUMMYFUNCTION("""COMPUTED_VALUE"""),"International - Middle East")</f>
        <v>International - Middle East</v>
      </c>
      <c r="F173" s="6" t="str">
        <f ca="1">IFERROR(__xludf.DUMMYFUNCTION("""COMPUTED_VALUE"""),"Man")</f>
        <v>Man</v>
      </c>
      <c r="G173" s="6" t="str">
        <f ca="1">IFERROR(__xludf.DUMMYFUNCTION("""COMPUTED_VALUE"""),"Woman")</f>
        <v>Woman</v>
      </c>
      <c r="H173" s="6" t="str">
        <f ca="1">IFERROR(__xludf.DUMMYFUNCTION("""COMPUTED_VALUE"""),"Man")</f>
        <v>Man</v>
      </c>
      <c r="I173" s="6"/>
      <c r="J173" s="6"/>
      <c r="K173" s="6"/>
      <c r="L173" s="6" t="str">
        <f ca="1">IFERROR(__xludf.DUMMYFUNCTION("""COMPUTED_VALUE"""),"--Please select--")</f>
        <v>--Please select--</v>
      </c>
      <c r="M173" s="6"/>
      <c r="N173" s="6"/>
      <c r="O173" s="6" t="str">
        <f ca="1">IFERROR(__xludf.DUMMYFUNCTION("""COMPUTED_VALUE"""),"--Please select--")</f>
        <v>--Please select--</v>
      </c>
      <c r="P173" s="6"/>
      <c r="Q173" s="6" t="str">
        <f ca="1">IFERROR(__xludf.DUMMYFUNCTION("""COMPUTED_VALUE"""),"No")</f>
        <v>No</v>
      </c>
      <c r="R173" s="6">
        <f ca="1">IFERROR(__xludf.DUMMYFUNCTION("""COMPUTED_VALUE"""),3)</f>
        <v>3</v>
      </c>
      <c r="S173" s="6" t="str">
        <f ca="1">IFERROR(__xludf.DUMMYFUNCTION("""COMPUTED_VALUE"""),"Seed")</f>
        <v>Seed</v>
      </c>
      <c r="T173" s="6" t="str">
        <f ca="1">IFERROR(__xludf.DUMMYFUNCTION("""COMPUTED_VALUE"""),"Seed")</f>
        <v>Seed</v>
      </c>
      <c r="U173" s="6" t="str">
        <f ca="1">IFERROR(__xludf.DUMMYFUNCTION("""COMPUTED_VALUE"""),"Seed")</f>
        <v>Seed</v>
      </c>
      <c r="V173" s="6"/>
      <c r="W173" s="6" t="str">
        <f ca="1">IFERROR(__xludf.DUMMYFUNCTION("""COMPUTED_VALUE"""),"Invite Next Year")</f>
        <v>Invite Next Year</v>
      </c>
    </row>
    <row r="174" spans="1:23">
      <c r="A174" s="6" t="str">
        <f ca="1">IFERROR(__xludf.DUMMYFUNCTION("""COMPUTED_VALUE"""),"Man, Man")</f>
        <v>Man, Man</v>
      </c>
      <c r="B174" s="6" t="str">
        <f ca="1">IFERROR(__xludf.DUMMYFUNCTION("""COMPUTED_VALUE"""),"Spiky.ai _2022")</f>
        <v>Spiky.ai _2022</v>
      </c>
      <c r="C174" s="6" t="str">
        <f ca="1">IFERROR(__xludf.DUMMYFUNCTION("""COMPUTED_VALUE"""),"Digital Tech")</f>
        <v>Digital Tech</v>
      </c>
      <c r="D174" s="6" t="str">
        <f ca="1">IFERROR(__xludf.DUMMYFUNCTION("""COMPUTED_VALUE"""),"838 Walker Street, Suite 21-2, Dover, County of Kent, 19904, Delaware, USA , Delaware 
United States")</f>
        <v>838 Walker Street, Suite 21-2, Dover, County of Kent, 19904, Delaware, USA , Delaware 
United States</v>
      </c>
      <c r="E174" s="6" t="str">
        <f ca="1">IFERROR(__xludf.DUMMYFUNCTION("""COMPUTED_VALUE"""),"East Coast")</f>
        <v>East Coast</v>
      </c>
      <c r="F174" s="6" t="str">
        <f ca="1">IFERROR(__xludf.DUMMYFUNCTION("""COMPUTED_VALUE"""),"Man")</f>
        <v>Man</v>
      </c>
      <c r="G174" s="6" t="str">
        <f ca="1">IFERROR(__xludf.DUMMYFUNCTION("""COMPUTED_VALUE"""),"Man")</f>
        <v>Man</v>
      </c>
      <c r="H174" s="6"/>
      <c r="I174" s="6"/>
      <c r="J174" s="6"/>
      <c r="K174" s="6"/>
      <c r="L174" s="6" t="str">
        <f ca="1">IFERROR(__xludf.DUMMYFUNCTION("""COMPUTED_VALUE"""),"--Please select--")</f>
        <v>--Please select--</v>
      </c>
      <c r="M174" s="6"/>
      <c r="N174" s="6"/>
      <c r="O174" s="6" t="str">
        <f ca="1">IFERROR(__xludf.DUMMYFUNCTION("""COMPUTED_VALUE"""),"Email")</f>
        <v>Email</v>
      </c>
      <c r="P174" s="6"/>
      <c r="Q174" s="6" t="str">
        <f ca="1">IFERROR(__xludf.DUMMYFUNCTION("""COMPUTED_VALUE"""),"No")</f>
        <v>No</v>
      </c>
      <c r="R174" s="6">
        <f ca="1">IFERROR(__xludf.DUMMYFUNCTION("""COMPUTED_VALUE"""),2)</f>
        <v>2</v>
      </c>
      <c r="S174" s="6" t="str">
        <f ca="1">IFERROR(__xludf.DUMMYFUNCTION("""COMPUTED_VALUE"""),"Pre-seed")</f>
        <v>Pre-seed</v>
      </c>
      <c r="T174" s="6" t="str">
        <f ca="1">IFERROR(__xludf.DUMMYFUNCTION("""COMPUTED_VALUE"""),"Pre-seed")</f>
        <v>Pre-seed</v>
      </c>
      <c r="U174" s="6" t="str">
        <f ca="1">IFERROR(__xludf.DUMMYFUNCTION("""COMPUTED_VALUE"""),"Pre-seed")</f>
        <v>Pre-seed</v>
      </c>
      <c r="V174" s="6"/>
      <c r="W174" s="6" t="str">
        <f ca="1">IFERROR(__xludf.DUMMYFUNCTION("""COMPUTED_VALUE"""),"Revisit/ Cluster")</f>
        <v>Revisit/ Cluster</v>
      </c>
    </row>
    <row r="175" spans="1:23">
      <c r="A175" s="6" t="str">
        <f ca="1">IFERROR(__xludf.DUMMYFUNCTION("""COMPUTED_VALUE"""),"Prefer not to respond")</f>
        <v>Prefer not to respond</v>
      </c>
      <c r="B175" s="6" t="str">
        <f ca="1">IFERROR(__xludf.DUMMYFUNCTION("""COMPUTED_VALUE"""),"Watershed Therapeutics _2022")</f>
        <v>Watershed Therapeutics _2022</v>
      </c>
      <c r="C175" s="6" t="str">
        <f ca="1">IFERROR(__xludf.DUMMYFUNCTION("""COMPUTED_VALUE"""),"Deep Tech")</f>
        <v>Deep Tech</v>
      </c>
      <c r="D175" s="6" t="str">
        <f ca="1">IFERROR(__xludf.DUMMYFUNCTION("""COMPUTED_VALUE"""),"Bellevue, WA 
United States")</f>
        <v>Bellevue, WA 
United States</v>
      </c>
      <c r="E175" s="6" t="str">
        <f ca="1">IFERROR(__xludf.DUMMYFUNCTION("""COMPUTED_VALUE"""),"West Coast")</f>
        <v>West Coast</v>
      </c>
      <c r="F175" s="6" t="str">
        <f ca="1">IFERROR(__xludf.DUMMYFUNCTION("""COMPUTED_VALUE"""),"Prefer not to respond")</f>
        <v>Prefer not to respond</v>
      </c>
      <c r="G175" s="6"/>
      <c r="H175" s="6"/>
      <c r="I175" s="6"/>
      <c r="J175" s="6"/>
      <c r="K175" s="6"/>
      <c r="L175" s="6" t="str">
        <f ca="1">IFERROR(__xludf.DUMMYFUNCTION("""COMPUTED_VALUE"""),"No")</f>
        <v>No</v>
      </c>
      <c r="M175" s="6"/>
      <c r="N175" s="6"/>
      <c r="O175" s="6" t="str">
        <f ca="1">IFERROR(__xludf.DUMMYFUNCTION("""COMPUTED_VALUE"""),"Email")</f>
        <v>Email</v>
      </c>
      <c r="P175" s="6"/>
      <c r="Q175" s="6" t="str">
        <f ca="1">IFERROR(__xludf.DUMMYFUNCTION("""COMPUTED_VALUE"""),"No")</f>
        <v>No</v>
      </c>
      <c r="R175" s="6">
        <f ca="1">IFERROR(__xludf.DUMMYFUNCTION("""COMPUTED_VALUE"""),1)</f>
        <v>1</v>
      </c>
      <c r="S175" s="6" t="str">
        <f ca="1">IFERROR(__xludf.DUMMYFUNCTION("""COMPUTED_VALUE"""),"Pre-seed
Seed")</f>
        <v>Pre-seed
Seed</v>
      </c>
      <c r="T175" s="6" t="str">
        <f ca="1">IFERROR(__xludf.DUMMYFUNCTION("""COMPUTED_VALUE"""),"Pre-seed, Seed")</f>
        <v>Pre-seed, Seed</v>
      </c>
      <c r="U175" s="6" t="str">
        <f ca="1">IFERROR(__xludf.DUMMYFUNCTION("""COMPUTED_VALUE"""),"Pre-seed, Seed")</f>
        <v>Pre-seed, Seed</v>
      </c>
      <c r="V175" s="6"/>
      <c r="W175" s="6" t="str">
        <f ca="1">IFERROR(__xludf.DUMMYFUNCTION("""COMPUTED_VALUE"""),"Invite")</f>
        <v>Invite</v>
      </c>
    </row>
    <row r="176" spans="1:23">
      <c r="A176" s="6" t="str">
        <f ca="1">IFERROR(__xludf.DUMMYFUNCTION("""COMPUTED_VALUE"""),"Man, Man, Man")</f>
        <v>Man, Man, Man</v>
      </c>
      <c r="B176" s="6" t="str">
        <f ca="1">IFERROR(__xludf.DUMMYFUNCTION("""COMPUTED_VALUE"""),"Aclid, Inc. _2022")</f>
        <v>Aclid, Inc. _2022</v>
      </c>
      <c r="C176" s="6" t="str">
        <f ca="1">IFERROR(__xludf.DUMMYFUNCTION("""COMPUTED_VALUE"""),"Life Sciences")</f>
        <v>Life Sciences</v>
      </c>
      <c r="D176" s="6" t="str">
        <f ca="1">IFERROR(__xludf.DUMMYFUNCTION("""COMPUTED_VALUE"""),"New York, New York 
United States")</f>
        <v>New York, New York 
United States</v>
      </c>
      <c r="E176" s="6" t="str">
        <f ca="1">IFERROR(__xludf.DUMMYFUNCTION("""COMPUTED_VALUE"""),"New York")</f>
        <v>New York</v>
      </c>
      <c r="F176" s="6" t="str">
        <f ca="1">IFERROR(__xludf.DUMMYFUNCTION("""COMPUTED_VALUE"""),"Man")</f>
        <v>Man</v>
      </c>
      <c r="G176" s="6" t="str">
        <f ca="1">IFERROR(__xludf.DUMMYFUNCTION("""COMPUTED_VALUE"""),"Man")</f>
        <v>Man</v>
      </c>
      <c r="H176" s="6" t="str">
        <f ca="1">IFERROR(__xludf.DUMMYFUNCTION("""COMPUTED_VALUE"""),"Man")</f>
        <v>Man</v>
      </c>
      <c r="I176" s="6"/>
      <c r="J176" s="6"/>
      <c r="K176" s="6"/>
      <c r="L176" s="6" t="str">
        <f ca="1">IFERROR(__xludf.DUMMYFUNCTION("""COMPUTED_VALUE"""),"No")</f>
        <v>No</v>
      </c>
      <c r="M176" s="6"/>
      <c r="N176" s="6"/>
      <c r="O176" s="6" t="str">
        <f ca="1">IFERROR(__xludf.DUMMYFUNCTION("""COMPUTED_VALUE"""),"Email")</f>
        <v>Email</v>
      </c>
      <c r="P176" s="6"/>
      <c r="Q176" s="6" t="str">
        <f ca="1">IFERROR(__xludf.DUMMYFUNCTION("""COMPUTED_VALUE"""),"No")</f>
        <v>No</v>
      </c>
      <c r="R176" s="6">
        <f ca="1">IFERROR(__xludf.DUMMYFUNCTION("""COMPUTED_VALUE"""),3)</f>
        <v>3</v>
      </c>
      <c r="S176" s="6" t="str">
        <f ca="1">IFERROR(__xludf.DUMMYFUNCTION("""COMPUTED_VALUE"""),"Pre-seed")</f>
        <v>Pre-seed</v>
      </c>
      <c r="T176" s="6" t="str">
        <f ca="1">IFERROR(__xludf.DUMMYFUNCTION("""COMPUTED_VALUE"""),"Pre-seed")</f>
        <v>Pre-seed</v>
      </c>
      <c r="U176" s="6" t="str">
        <f ca="1">IFERROR(__xludf.DUMMYFUNCTION("""COMPUTED_VALUE"""),"Pre-seed")</f>
        <v>Pre-seed</v>
      </c>
      <c r="V176" s="6"/>
      <c r="W176" s="6" t="str">
        <f ca="1">IFERROR(__xludf.DUMMYFUNCTION("""COMPUTED_VALUE"""),"Invite")</f>
        <v>Invite</v>
      </c>
    </row>
    <row r="177" spans="1:23">
      <c r="A177" s="6" t="str">
        <f ca="1">IFERROR(__xludf.DUMMYFUNCTION("""COMPUTED_VALUE"""),"Man, Man, Man, Man, Man")</f>
        <v>Man, Man, Man, Man, Man</v>
      </c>
      <c r="B177" s="6" t="str">
        <f ca="1">IFERROR(__xludf.DUMMYFUNCTION("""COMPUTED_VALUE"""),"phelas GmbH _2022")</f>
        <v>phelas GmbH _2022</v>
      </c>
      <c r="C177" s="6" t="str">
        <f ca="1">IFERROR(__xludf.DUMMYFUNCTION("""COMPUTED_VALUE"""),"Deep Tech")</f>
        <v>Deep Tech</v>
      </c>
      <c r="D177" s="6" t="str">
        <f ca="1">IFERROR(__xludf.DUMMYFUNCTION("""COMPUTED_VALUE"""),"Gilching, Bavaria 
Germany")</f>
        <v>Gilching, Bavaria 
Germany</v>
      </c>
      <c r="E177" s="6" t="str">
        <f ca="1">IFERROR(__xludf.DUMMYFUNCTION("""COMPUTED_VALUE"""),"International - Europe")</f>
        <v>International - Europe</v>
      </c>
      <c r="F177" s="6" t="str">
        <f ca="1">IFERROR(__xludf.DUMMYFUNCTION("""COMPUTED_VALUE"""),"Man")</f>
        <v>Man</v>
      </c>
      <c r="G177" s="6" t="str">
        <f ca="1">IFERROR(__xludf.DUMMYFUNCTION("""COMPUTED_VALUE"""),"Man")</f>
        <v>Man</v>
      </c>
      <c r="H177" s="6" t="str">
        <f ca="1">IFERROR(__xludf.DUMMYFUNCTION("""COMPUTED_VALUE"""),"Man")</f>
        <v>Man</v>
      </c>
      <c r="I177" s="6" t="str">
        <f ca="1">IFERROR(__xludf.DUMMYFUNCTION("""COMPUTED_VALUE"""),"Man")</f>
        <v>Man</v>
      </c>
      <c r="J177" s="6" t="str">
        <f ca="1">IFERROR(__xludf.DUMMYFUNCTION("""COMPUTED_VALUE"""),"Man")</f>
        <v>Man</v>
      </c>
      <c r="K177" s="6"/>
      <c r="L177" s="6" t="str">
        <f ca="1">IFERROR(__xludf.DUMMYFUNCTION("""COMPUTED_VALUE"""),"--Please select--")</f>
        <v>--Please select--</v>
      </c>
      <c r="M177" s="6"/>
      <c r="N177" s="6"/>
      <c r="O177" s="6" t="str">
        <f ca="1">IFERROR(__xludf.DUMMYFUNCTION("""COMPUTED_VALUE"""),"LinkedIn")</f>
        <v>LinkedIn</v>
      </c>
      <c r="P177" s="6"/>
      <c r="Q177" s="6" t="str">
        <f ca="1">IFERROR(__xludf.DUMMYFUNCTION("""COMPUTED_VALUE"""),"No")</f>
        <v>No</v>
      </c>
      <c r="R177" s="6">
        <f ca="1">IFERROR(__xludf.DUMMYFUNCTION("""COMPUTED_VALUE"""),5)</f>
        <v>5</v>
      </c>
      <c r="S177" s="6" t="str">
        <f ca="1">IFERROR(__xludf.DUMMYFUNCTION("""COMPUTED_VALUE"""),"Pre-seed")</f>
        <v>Pre-seed</v>
      </c>
      <c r="T177" s="6" t="str">
        <f ca="1">IFERROR(__xludf.DUMMYFUNCTION("""COMPUTED_VALUE"""),"Pre-seed")</f>
        <v>Pre-seed</v>
      </c>
      <c r="U177" s="6" t="str">
        <f ca="1">IFERROR(__xludf.DUMMYFUNCTION("""COMPUTED_VALUE"""),"Pre-seed")</f>
        <v>Pre-seed</v>
      </c>
      <c r="V177" s="6"/>
      <c r="W177" s="6" t="str">
        <f ca="1">IFERROR(__xludf.DUMMYFUNCTION("""COMPUTED_VALUE"""),"Invite Next Year")</f>
        <v>Invite Next Year</v>
      </c>
    </row>
    <row r="178" spans="1:23">
      <c r="A178" s="6" t="str">
        <f ca="1">IFERROR(__xludf.DUMMYFUNCTION("""COMPUTED_VALUE"""),"Woman, Man")</f>
        <v>Woman, Man</v>
      </c>
      <c r="B178" s="6" t="str">
        <f ca="1">IFERROR(__xludf.DUMMYFUNCTION("""COMPUTED_VALUE"""),"Ingenii Inc _2022")</f>
        <v>Ingenii Inc _2022</v>
      </c>
      <c r="C178" s="6" t="str">
        <f ca="1">IFERROR(__xludf.DUMMYFUNCTION("""COMPUTED_VALUE"""),"Deep Tech")</f>
        <v>Deep Tech</v>
      </c>
      <c r="D178" s="6" t="str">
        <f ca="1">IFERROR(__xludf.DUMMYFUNCTION("""COMPUTED_VALUE"""),"447 Broadway Suite 678, New York 
United States")</f>
        <v>447 Broadway Suite 678, New York 
United States</v>
      </c>
      <c r="E178" s="6" t="str">
        <f ca="1">IFERROR(__xludf.DUMMYFUNCTION("""COMPUTED_VALUE"""),"New York")</f>
        <v>New York</v>
      </c>
      <c r="F178" s="6" t="str">
        <f ca="1">IFERROR(__xludf.DUMMYFUNCTION("""COMPUTED_VALUE"""),"Woman")</f>
        <v>Woman</v>
      </c>
      <c r="G178" s="6" t="str">
        <f ca="1">IFERROR(__xludf.DUMMYFUNCTION("""COMPUTED_VALUE"""),"Man")</f>
        <v>Man</v>
      </c>
      <c r="H178" s="6"/>
      <c r="I178" s="6"/>
      <c r="J178" s="6"/>
      <c r="K178" s="6"/>
      <c r="L178" s="6" t="str">
        <f ca="1">IFERROR(__xludf.DUMMYFUNCTION("""COMPUTED_VALUE"""),"No")</f>
        <v>No</v>
      </c>
      <c r="M178" s="6"/>
      <c r="N178" s="6"/>
      <c r="O178" s="6" t="str">
        <f ca="1">IFERROR(__xludf.DUMMYFUNCTION("""COMPUTED_VALUE"""),"Referral")</f>
        <v>Referral</v>
      </c>
      <c r="P178" s="6"/>
      <c r="Q178" s="6" t="str">
        <f ca="1">IFERROR(__xludf.DUMMYFUNCTION("""COMPUTED_VALUE"""),"No")</f>
        <v>No</v>
      </c>
      <c r="R178" s="6">
        <f ca="1">IFERROR(__xludf.DUMMYFUNCTION("""COMPUTED_VALUE"""),2)</f>
        <v>2</v>
      </c>
      <c r="S178" s="6" t="str">
        <f ca="1">IFERROR(__xludf.DUMMYFUNCTION("""COMPUTED_VALUE"""),"Pre-seed")</f>
        <v>Pre-seed</v>
      </c>
      <c r="T178" s="6" t="str">
        <f ca="1">IFERROR(__xludf.DUMMYFUNCTION("""COMPUTED_VALUE"""),"Pre-seed")</f>
        <v>Pre-seed</v>
      </c>
      <c r="U178" s="6" t="str">
        <f ca="1">IFERROR(__xludf.DUMMYFUNCTION("""COMPUTED_VALUE"""),"Pre-seed")</f>
        <v>Pre-seed</v>
      </c>
      <c r="V178" s="6"/>
      <c r="W178" s="6" t="str">
        <f ca="1">IFERROR(__xludf.DUMMYFUNCTION("""COMPUTED_VALUE"""),"Invite")</f>
        <v>Invite</v>
      </c>
    </row>
    <row r="179" spans="1:23">
      <c r="A179" s="6" t="str">
        <f ca="1">IFERROR(__xludf.DUMMYFUNCTION("""COMPUTED_VALUE"""),"Man, Man")</f>
        <v>Man, Man</v>
      </c>
      <c r="B179" s="6" t="str">
        <f ca="1">IFERROR(__xludf.DUMMYFUNCTION("""COMPUTED_VALUE"""),"Yacht Labs Inc. _2022")</f>
        <v>Yacht Labs Inc. _2022</v>
      </c>
      <c r="C179" s="6" t="str">
        <f ca="1">IFERROR(__xludf.DUMMYFUNCTION("""COMPUTED_VALUE"""),"Digital Tech")</f>
        <v>Digital Tech</v>
      </c>
      <c r="D179" s="6" t="str">
        <f ca="1">IFERROR(__xludf.DUMMYFUNCTION("""COMPUTED_VALUE"""),"Austin, TX 
United States")</f>
        <v>Austin, TX 
United States</v>
      </c>
      <c r="E179" s="6" t="str">
        <f ca="1">IFERROR(__xludf.DUMMYFUNCTION("""COMPUTED_VALUE"""),"South")</f>
        <v>South</v>
      </c>
      <c r="F179" s="6" t="str">
        <f ca="1">IFERROR(__xludf.DUMMYFUNCTION("""COMPUTED_VALUE"""),"Man")</f>
        <v>Man</v>
      </c>
      <c r="G179" s="6" t="str">
        <f ca="1">IFERROR(__xludf.DUMMYFUNCTION("""COMPUTED_VALUE"""),"Man")</f>
        <v>Man</v>
      </c>
      <c r="H179" s="6"/>
      <c r="I179" s="6"/>
      <c r="J179" s="6"/>
      <c r="K179" s="6"/>
      <c r="L179" s="6" t="str">
        <f ca="1">IFERROR(__xludf.DUMMYFUNCTION("""COMPUTED_VALUE"""),"No")</f>
        <v>No</v>
      </c>
      <c r="M179" s="6"/>
      <c r="N179" s="6"/>
      <c r="O179" s="6" t="str">
        <f ca="1">IFERROR(__xludf.DUMMYFUNCTION("""COMPUTED_VALUE"""),"Referral")</f>
        <v>Referral</v>
      </c>
      <c r="P179" s="6"/>
      <c r="Q179" s="6" t="str">
        <f ca="1">IFERROR(__xludf.DUMMYFUNCTION("""COMPUTED_VALUE"""),"No")</f>
        <v>No</v>
      </c>
      <c r="R179" s="6">
        <f ca="1">IFERROR(__xludf.DUMMYFUNCTION("""COMPUTED_VALUE"""),2)</f>
        <v>2</v>
      </c>
      <c r="S179" s="6" t="str">
        <f ca="1">IFERROR(__xludf.DUMMYFUNCTION("""COMPUTED_VALUE"""),"None")</f>
        <v>None</v>
      </c>
      <c r="T179" s="6" t="str">
        <f ca="1">IFERROR(__xludf.DUMMYFUNCTION("""COMPUTED_VALUE"""),"None")</f>
        <v>None</v>
      </c>
      <c r="U179" s="6" t="str">
        <f ca="1">IFERROR(__xludf.DUMMYFUNCTION("""COMPUTED_VALUE"""),"None")</f>
        <v>None</v>
      </c>
      <c r="V179" s="6"/>
      <c r="W179" s="6" t="str">
        <f ca="1">IFERROR(__xludf.DUMMYFUNCTION("""COMPUTED_VALUE"""),"Invite Next Year")</f>
        <v>Invite Next Year</v>
      </c>
    </row>
    <row r="180" spans="1:23">
      <c r="A180" s="6" t="str">
        <f ca="1">IFERROR(__xludf.DUMMYFUNCTION("""COMPUTED_VALUE"""),"Man, Woman")</f>
        <v>Man, Woman</v>
      </c>
      <c r="B180" s="6" t="str">
        <f ca="1">IFERROR(__xludf.DUMMYFUNCTION("""COMPUTED_VALUE"""),"Lodos Theranostics _2022")</f>
        <v>Lodos Theranostics _2022</v>
      </c>
      <c r="C180" s="6" t="str">
        <f ca="1">IFERROR(__xludf.DUMMYFUNCTION("""COMPUTED_VALUE"""),"Life Sciences")</f>
        <v>Life Sciences</v>
      </c>
      <c r="D180" s="6" t="str">
        <f ca="1">IFERROR(__xludf.DUMMYFUNCTION("""COMPUTED_VALUE"""),"West Lafayette, IN 
United States")</f>
        <v>West Lafayette, IN 
United States</v>
      </c>
      <c r="E180" s="6" t="str">
        <f ca="1">IFERROR(__xludf.DUMMYFUNCTION("""COMPUTED_VALUE"""),"Midwest")</f>
        <v>Midwest</v>
      </c>
      <c r="F180" s="6" t="str">
        <f ca="1">IFERROR(__xludf.DUMMYFUNCTION("""COMPUTED_VALUE"""),"Man")</f>
        <v>Man</v>
      </c>
      <c r="G180" s="6" t="str">
        <f ca="1">IFERROR(__xludf.DUMMYFUNCTION("""COMPUTED_VALUE"""),"Woman")</f>
        <v>Woman</v>
      </c>
      <c r="H180" s="6"/>
      <c r="I180" s="6"/>
      <c r="J180" s="6"/>
      <c r="K180" s="6"/>
      <c r="L180" s="6" t="str">
        <f ca="1">IFERROR(__xludf.DUMMYFUNCTION("""COMPUTED_VALUE"""),"No")</f>
        <v>No</v>
      </c>
      <c r="M180" s="6"/>
      <c r="N180" s="6"/>
      <c r="O180" s="6" t="str">
        <f ca="1">IFERROR(__xludf.DUMMYFUNCTION("""COMPUTED_VALUE"""),"Email")</f>
        <v>Email</v>
      </c>
      <c r="P180" s="6"/>
      <c r="Q180" s="6" t="str">
        <f ca="1">IFERROR(__xludf.DUMMYFUNCTION("""COMPUTED_VALUE"""),"No")</f>
        <v>No</v>
      </c>
      <c r="R180" s="6">
        <f ca="1">IFERROR(__xludf.DUMMYFUNCTION("""COMPUTED_VALUE"""),2)</f>
        <v>2</v>
      </c>
      <c r="S180" s="6" t="str">
        <f ca="1">IFERROR(__xludf.DUMMYFUNCTION("""COMPUTED_VALUE"""),"Pre-seed")</f>
        <v>Pre-seed</v>
      </c>
      <c r="T180" s="6" t="str">
        <f ca="1">IFERROR(__xludf.DUMMYFUNCTION("""COMPUTED_VALUE"""),"Pre-seed")</f>
        <v>Pre-seed</v>
      </c>
      <c r="U180" s="6" t="str">
        <f ca="1">IFERROR(__xludf.DUMMYFUNCTION("""COMPUTED_VALUE"""),"Pre-seed")</f>
        <v>Pre-seed</v>
      </c>
      <c r="V180" s="6"/>
      <c r="W180" s="6" t="str">
        <f ca="1">IFERROR(__xludf.DUMMYFUNCTION("""COMPUTED_VALUE"""),"Special Reject")</f>
        <v>Special Reject</v>
      </c>
    </row>
    <row r="181" spans="1:23">
      <c r="A181" s="6" t="str">
        <f ca="1">IFERROR(__xludf.DUMMYFUNCTION("""COMPUTED_VALUE"""),"Man, Man, Man")</f>
        <v>Man, Man, Man</v>
      </c>
      <c r="B181" s="6" t="str">
        <f ca="1">IFERROR(__xludf.DUMMYFUNCTION("""COMPUTED_VALUE"""),"Eachday, INC. _2022")</f>
        <v>Eachday, INC. _2022</v>
      </c>
      <c r="C181" s="6" t="str">
        <f ca="1">IFERROR(__xludf.DUMMYFUNCTION("""COMPUTED_VALUE"""),"Digital Tech")</f>
        <v>Digital Tech</v>
      </c>
      <c r="D181" s="6" t="str">
        <f ca="1">IFERROR(__xludf.DUMMYFUNCTION("""COMPUTED_VALUE"""),"LEWES, DE 
United States")</f>
        <v>LEWES, DE 
United States</v>
      </c>
      <c r="E181" s="6" t="str">
        <f ca="1">IFERROR(__xludf.DUMMYFUNCTION("""COMPUTED_VALUE"""),"East Coast")</f>
        <v>East Coast</v>
      </c>
      <c r="F181" s="6" t="str">
        <f ca="1">IFERROR(__xludf.DUMMYFUNCTION("""COMPUTED_VALUE"""),"Man")</f>
        <v>Man</v>
      </c>
      <c r="G181" s="6" t="str">
        <f ca="1">IFERROR(__xludf.DUMMYFUNCTION("""COMPUTED_VALUE"""),"Man")</f>
        <v>Man</v>
      </c>
      <c r="H181" s="6" t="str">
        <f ca="1">IFERROR(__xludf.DUMMYFUNCTION("""COMPUTED_VALUE"""),"Man")</f>
        <v>Man</v>
      </c>
      <c r="I181" s="6"/>
      <c r="J181" s="6"/>
      <c r="K181" s="6"/>
      <c r="L181" s="6" t="str">
        <f ca="1">IFERROR(__xludf.DUMMYFUNCTION("""COMPUTED_VALUE"""),"No")</f>
        <v>No</v>
      </c>
      <c r="M181" s="6"/>
      <c r="N181" s="6"/>
      <c r="O181" s="6" t="str">
        <f ca="1">IFERROR(__xludf.DUMMYFUNCTION("""COMPUTED_VALUE"""),"Referral")</f>
        <v>Referral</v>
      </c>
      <c r="P181" s="6"/>
      <c r="Q181" s="6" t="str">
        <f ca="1">IFERROR(__xludf.DUMMYFUNCTION("""COMPUTED_VALUE"""),"No")</f>
        <v>No</v>
      </c>
      <c r="R181" s="6">
        <f ca="1">IFERROR(__xludf.DUMMYFUNCTION("""COMPUTED_VALUE"""),3)</f>
        <v>3</v>
      </c>
      <c r="S181" s="6" t="str">
        <f ca="1">IFERROR(__xludf.DUMMYFUNCTION("""COMPUTED_VALUE"""),"Pre-seed")</f>
        <v>Pre-seed</v>
      </c>
      <c r="T181" s="6" t="str">
        <f ca="1">IFERROR(__xludf.DUMMYFUNCTION("""COMPUTED_VALUE"""),"Pre-seed")</f>
        <v>Pre-seed</v>
      </c>
      <c r="U181" s="6" t="str">
        <f ca="1">IFERROR(__xludf.DUMMYFUNCTION("""COMPUTED_VALUE"""),"Pre-seed")</f>
        <v>Pre-seed</v>
      </c>
      <c r="V181" s="6"/>
      <c r="W181" s="6" t="str">
        <f ca="1">IFERROR(__xludf.DUMMYFUNCTION("""COMPUTED_VALUE"""),"Invite")</f>
        <v>Invite</v>
      </c>
    </row>
    <row r="182" spans="1:23">
      <c r="A182" s="6" t="str">
        <f ca="1">IFERROR(__xludf.DUMMYFUNCTION("""COMPUTED_VALUE"""),"Woman, Woman, Man")</f>
        <v>Woman, Woman, Man</v>
      </c>
      <c r="B182" s="6" t="str">
        <f ca="1">IFERROR(__xludf.DUMMYFUNCTION("""COMPUTED_VALUE"""),"Metalmark Innovations PBC _2022")</f>
        <v>Metalmark Innovations PBC _2022</v>
      </c>
      <c r="C182" s="6" t="str">
        <f ca="1">IFERROR(__xludf.DUMMYFUNCTION("""COMPUTED_VALUE"""),"Deep Tech")</f>
        <v>Deep Tech</v>
      </c>
      <c r="D182" s="6" t="str">
        <f ca="1">IFERROR(__xludf.DUMMYFUNCTION("""COMPUTED_VALUE"""),"Cambridge, MA 
United States")</f>
        <v>Cambridge, MA 
United States</v>
      </c>
      <c r="E182" s="6" t="str">
        <f ca="1">IFERROR(__xludf.DUMMYFUNCTION("""COMPUTED_VALUE"""),"East Coast")</f>
        <v>East Coast</v>
      </c>
      <c r="F182" s="6" t="str">
        <f ca="1">IFERROR(__xludf.DUMMYFUNCTION("""COMPUTED_VALUE"""),"Woman")</f>
        <v>Woman</v>
      </c>
      <c r="G182" s="6" t="str">
        <f ca="1">IFERROR(__xludf.DUMMYFUNCTION("""COMPUTED_VALUE"""),"Woman")</f>
        <v>Woman</v>
      </c>
      <c r="H182" s="6" t="str">
        <f ca="1">IFERROR(__xludf.DUMMYFUNCTION("""COMPUTED_VALUE"""),"Man")</f>
        <v>Man</v>
      </c>
      <c r="I182" s="6"/>
      <c r="J182" s="6"/>
      <c r="K182" s="6"/>
      <c r="L182" s="6" t="str">
        <f ca="1">IFERROR(__xludf.DUMMYFUNCTION("""COMPUTED_VALUE"""),"No")</f>
        <v>No</v>
      </c>
      <c r="M182" s="6"/>
      <c r="N182" s="6"/>
      <c r="O182" s="6" t="str">
        <f ca="1">IFERROR(__xludf.DUMMYFUNCTION("""COMPUTED_VALUE"""),"Referral")</f>
        <v>Referral</v>
      </c>
      <c r="P182" s="6"/>
      <c r="Q182" s="6" t="str">
        <f ca="1">IFERROR(__xludf.DUMMYFUNCTION("""COMPUTED_VALUE"""),"No")</f>
        <v>No</v>
      </c>
      <c r="R182" s="6">
        <f ca="1">IFERROR(__xludf.DUMMYFUNCTION("""COMPUTED_VALUE"""),3)</f>
        <v>3</v>
      </c>
      <c r="S182" s="6" t="str">
        <f ca="1">IFERROR(__xludf.DUMMYFUNCTION("""COMPUTED_VALUE"""),"Seed")</f>
        <v>Seed</v>
      </c>
      <c r="T182" s="6" t="str">
        <f ca="1">IFERROR(__xludf.DUMMYFUNCTION("""COMPUTED_VALUE"""),"Seed")</f>
        <v>Seed</v>
      </c>
      <c r="U182" s="6" t="str">
        <f ca="1">IFERROR(__xludf.DUMMYFUNCTION("""COMPUTED_VALUE"""),"Seed")</f>
        <v>Seed</v>
      </c>
      <c r="V182" s="6"/>
      <c r="W182" s="6" t="str">
        <f ca="1">IFERROR(__xludf.DUMMYFUNCTION("""COMPUTED_VALUE"""),"Invite")</f>
        <v>Invite</v>
      </c>
    </row>
    <row r="183" spans="1:23">
      <c r="A183" s="6" t="str">
        <f ca="1">IFERROR(__xludf.DUMMYFUNCTION("""COMPUTED_VALUE"""),"Woman, Woman, Woman")</f>
        <v>Woman, Woman, Woman</v>
      </c>
      <c r="B183" s="6" t="str">
        <f ca="1">IFERROR(__xludf.DUMMYFUNCTION("""COMPUTED_VALUE"""),"Areto Labs _2022")</f>
        <v>Areto Labs _2022</v>
      </c>
      <c r="C183" s="6" t="str">
        <f ca="1">IFERROR(__xludf.DUMMYFUNCTION("""COMPUTED_VALUE"""),"Digital Tech")</f>
        <v>Digital Tech</v>
      </c>
      <c r="D183" s="6" t="str">
        <f ca="1">IFERROR(__xludf.DUMMYFUNCTION("""COMPUTED_VALUE"""),"Edmonton, Alberta 
Canada")</f>
        <v>Edmonton, Alberta 
Canada</v>
      </c>
      <c r="E183" s="6" t="str">
        <f ca="1">IFERROR(__xludf.DUMMYFUNCTION("""COMPUTED_VALUE"""),"International - Americas")</f>
        <v>International - Americas</v>
      </c>
      <c r="F183" s="6" t="str">
        <f ca="1">IFERROR(__xludf.DUMMYFUNCTION("""COMPUTED_VALUE"""),"Woman")</f>
        <v>Woman</v>
      </c>
      <c r="G183" s="6" t="str">
        <f ca="1">IFERROR(__xludf.DUMMYFUNCTION("""COMPUTED_VALUE"""),"Woman")</f>
        <v>Woman</v>
      </c>
      <c r="H183" s="6" t="str">
        <f ca="1">IFERROR(__xludf.DUMMYFUNCTION("""COMPUTED_VALUE"""),"Woman")</f>
        <v>Woman</v>
      </c>
      <c r="I183" s="6"/>
      <c r="J183" s="6"/>
      <c r="K183" s="6"/>
      <c r="L183" s="6" t="str">
        <f ca="1">IFERROR(__xludf.DUMMYFUNCTION("""COMPUTED_VALUE"""),"No")</f>
        <v>No</v>
      </c>
      <c r="M183" s="6"/>
      <c r="N183" s="6"/>
      <c r="O183" s="6" t="str">
        <f ca="1">IFERROR(__xludf.DUMMYFUNCTION("""COMPUTED_VALUE"""),"Email")</f>
        <v>Email</v>
      </c>
      <c r="P183" s="6"/>
      <c r="Q183" s="6" t="str">
        <f ca="1">IFERROR(__xludf.DUMMYFUNCTION("""COMPUTED_VALUE"""),"No")</f>
        <v>No</v>
      </c>
      <c r="R183" s="6">
        <f ca="1">IFERROR(__xludf.DUMMYFUNCTION("""COMPUTED_VALUE"""),3)</f>
        <v>3</v>
      </c>
      <c r="S183" s="6" t="str">
        <f ca="1">IFERROR(__xludf.DUMMYFUNCTION("""COMPUTED_VALUE"""),"Pre-seed")</f>
        <v>Pre-seed</v>
      </c>
      <c r="T183" s="6" t="str">
        <f ca="1">IFERROR(__xludf.DUMMYFUNCTION("""COMPUTED_VALUE"""),"Pre-seed")</f>
        <v>Pre-seed</v>
      </c>
      <c r="U183" s="6" t="str">
        <f ca="1">IFERROR(__xludf.DUMMYFUNCTION("""COMPUTED_VALUE"""),"Pre-seed")</f>
        <v>Pre-seed</v>
      </c>
      <c r="V183" s="6"/>
      <c r="W183" s="6" t="str">
        <f ca="1">IFERROR(__xludf.DUMMYFUNCTION("""COMPUTED_VALUE"""),"Invite Next Year")</f>
        <v>Invite Next Year</v>
      </c>
    </row>
    <row r="184" spans="1:23">
      <c r="A184" s="6" t="str">
        <f ca="1">IFERROR(__xludf.DUMMYFUNCTION("""COMPUTED_VALUE"""),"Man, Man")</f>
        <v>Man, Man</v>
      </c>
      <c r="B184" s="6" t="str">
        <f ca="1">IFERROR(__xludf.DUMMYFUNCTION("""COMPUTED_VALUE"""),"GenoFAB, Inc. _2022")</f>
        <v>GenoFAB, Inc. _2022</v>
      </c>
      <c r="C184" s="6" t="str">
        <f ca="1">IFERROR(__xludf.DUMMYFUNCTION("""COMPUTED_VALUE"""),"Life Sciences")</f>
        <v>Life Sciences</v>
      </c>
      <c r="D184" s="6" t="str">
        <f ca="1">IFERROR(__xludf.DUMMYFUNCTION("""COMPUTED_VALUE"""),"2519 S Shields St. Suite 1K #558, CO 
United States")</f>
        <v>2519 S Shields St. Suite 1K #558, CO 
United States</v>
      </c>
      <c r="E184" s="6" t="str">
        <f ca="1">IFERROR(__xludf.DUMMYFUNCTION("""COMPUTED_VALUE"""),"West")</f>
        <v>West</v>
      </c>
      <c r="F184" s="6" t="str">
        <f ca="1">IFERROR(__xludf.DUMMYFUNCTION("""COMPUTED_VALUE"""),"Man")</f>
        <v>Man</v>
      </c>
      <c r="G184" s="6" t="str">
        <f ca="1">IFERROR(__xludf.DUMMYFUNCTION("""COMPUTED_VALUE"""),"Man")</f>
        <v>Man</v>
      </c>
      <c r="H184" s="6"/>
      <c r="I184" s="6"/>
      <c r="J184" s="6"/>
      <c r="K184" s="6"/>
      <c r="L184" s="6" t="str">
        <f ca="1">IFERROR(__xludf.DUMMYFUNCTION("""COMPUTED_VALUE"""),"No")</f>
        <v>No</v>
      </c>
      <c r="M184" s="6"/>
      <c r="N184" s="6"/>
      <c r="O184" s="6" t="str">
        <f ca="1">IFERROR(__xludf.DUMMYFUNCTION("""COMPUTED_VALUE"""),"Other")</f>
        <v>Other</v>
      </c>
      <c r="P184" s="6"/>
      <c r="Q184" s="6" t="str">
        <f ca="1">IFERROR(__xludf.DUMMYFUNCTION("""COMPUTED_VALUE"""),"No")</f>
        <v>No</v>
      </c>
      <c r="R184" s="6">
        <f ca="1">IFERROR(__xludf.DUMMYFUNCTION("""COMPUTED_VALUE"""),2)</f>
        <v>2</v>
      </c>
      <c r="S184" s="6" t="str">
        <f ca="1">IFERROR(__xludf.DUMMYFUNCTION("""COMPUTED_VALUE"""),"Pre-seed")</f>
        <v>Pre-seed</v>
      </c>
      <c r="T184" s="6" t="str">
        <f ca="1">IFERROR(__xludf.DUMMYFUNCTION("""COMPUTED_VALUE"""),"Pre-seed")</f>
        <v>Pre-seed</v>
      </c>
      <c r="U184" s="6" t="str">
        <f ca="1">IFERROR(__xludf.DUMMYFUNCTION("""COMPUTED_VALUE"""),"Pre-seed")</f>
        <v>Pre-seed</v>
      </c>
      <c r="V184" s="6"/>
      <c r="W184" s="6" t="str">
        <f ca="1">IFERROR(__xludf.DUMMYFUNCTION("""COMPUTED_VALUE"""),"Invite Next Year")</f>
        <v>Invite Next Year</v>
      </c>
    </row>
    <row r="185" spans="1:23">
      <c r="A185" s="6" t="str">
        <f ca="1">IFERROR(__xludf.DUMMYFUNCTION("""COMPUTED_VALUE"""),"Woman")</f>
        <v>Woman</v>
      </c>
      <c r="B185" s="6" t="str">
        <f ca="1">IFERROR(__xludf.DUMMYFUNCTION("""COMPUTED_VALUE"""),"Snap Vision Ltd _2022")</f>
        <v>Snap Vision Ltd _2022</v>
      </c>
      <c r="C185" s="6" t="str">
        <f ca="1">IFERROR(__xludf.DUMMYFUNCTION("""COMPUTED_VALUE"""),"Digital Tech")</f>
        <v>Digital Tech</v>
      </c>
      <c r="D185" s="6" t="str">
        <f ca="1">IFERROR(__xludf.DUMMYFUNCTION("""COMPUTED_VALUE"""),"2 Underwood Row, London 
United Kingdom")</f>
        <v>2 Underwood Row, London 
United Kingdom</v>
      </c>
      <c r="E185" s="6" t="str">
        <f ca="1">IFERROR(__xludf.DUMMYFUNCTION("""COMPUTED_VALUE"""),"International - Europe")</f>
        <v>International - Europe</v>
      </c>
      <c r="F185" s="6" t="str">
        <f ca="1">IFERROR(__xludf.DUMMYFUNCTION("""COMPUTED_VALUE"""),"Woman")</f>
        <v>Woman</v>
      </c>
      <c r="G185" s="6"/>
      <c r="H185" s="6"/>
      <c r="I185" s="6"/>
      <c r="J185" s="6"/>
      <c r="K185" s="6"/>
      <c r="L185" s="6" t="str">
        <f ca="1">IFERROR(__xludf.DUMMYFUNCTION("""COMPUTED_VALUE"""),"No")</f>
        <v>No</v>
      </c>
      <c r="M185" s="6"/>
      <c r="N185" s="6"/>
      <c r="O185" s="6" t="str">
        <f ca="1">IFERROR(__xludf.DUMMYFUNCTION("""COMPUTED_VALUE"""),"Email")</f>
        <v>Email</v>
      </c>
      <c r="P185" s="6"/>
      <c r="Q185" s="6" t="str">
        <f ca="1">IFERROR(__xludf.DUMMYFUNCTION("""COMPUTED_VALUE"""),"No")</f>
        <v>No</v>
      </c>
      <c r="R185" s="6">
        <f ca="1">IFERROR(__xludf.DUMMYFUNCTION("""COMPUTED_VALUE"""),1)</f>
        <v>1</v>
      </c>
      <c r="S185" s="6" t="str">
        <f ca="1">IFERROR(__xludf.DUMMYFUNCTION("""COMPUTED_VALUE"""),"Pre-seed")</f>
        <v>Pre-seed</v>
      </c>
      <c r="T185" s="6" t="str">
        <f ca="1">IFERROR(__xludf.DUMMYFUNCTION("""COMPUTED_VALUE"""),"Pre-seed")</f>
        <v>Pre-seed</v>
      </c>
      <c r="U185" s="6" t="str">
        <f ca="1">IFERROR(__xludf.DUMMYFUNCTION("""COMPUTED_VALUE"""),"Pre-seed")</f>
        <v>Pre-seed</v>
      </c>
      <c r="V185" s="6"/>
      <c r="W185" s="6" t="str">
        <f ca="1">IFERROR(__xludf.DUMMYFUNCTION("""COMPUTED_VALUE"""),"Invite Next Year")</f>
        <v>Invite Next Year</v>
      </c>
    </row>
    <row r="186" spans="1:23">
      <c r="A186" s="6" t="str">
        <f ca="1">IFERROR(__xludf.DUMMYFUNCTION("""COMPUTED_VALUE"""),"Woman, Man")</f>
        <v>Woman, Man</v>
      </c>
      <c r="B186" s="6" t="str">
        <f ca="1">IFERROR(__xludf.DUMMYFUNCTION("""COMPUTED_VALUE"""),"Rensselaer Polytechnic Institute _2022")</f>
        <v>Rensselaer Polytechnic Institute _2022</v>
      </c>
      <c r="C186" s="6" t="str">
        <f ca="1">IFERROR(__xludf.DUMMYFUNCTION("""COMPUTED_VALUE"""),"Deep Tech")</f>
        <v>Deep Tech</v>
      </c>
      <c r="D186" s="6" t="str">
        <f ca="1">IFERROR(__xludf.DUMMYFUNCTION("""COMPUTED_VALUE"""),"9433 van Arsdale Drive , VA 
United States")</f>
        <v>9433 van Arsdale Drive , VA 
United States</v>
      </c>
      <c r="E186" s="6" t="str">
        <f ca="1">IFERROR(__xludf.DUMMYFUNCTION("""COMPUTED_VALUE"""),"East Coast")</f>
        <v>East Coast</v>
      </c>
      <c r="F186" s="6" t="str">
        <f ca="1">IFERROR(__xludf.DUMMYFUNCTION("""COMPUTED_VALUE"""),"Woman")</f>
        <v>Woman</v>
      </c>
      <c r="G186" s="6" t="str">
        <f ca="1">IFERROR(__xludf.DUMMYFUNCTION("""COMPUTED_VALUE"""),"Man")</f>
        <v>Man</v>
      </c>
      <c r="H186" s="6"/>
      <c r="I186" s="6"/>
      <c r="J186" s="6"/>
      <c r="K186" s="6"/>
      <c r="L186" s="6" t="str">
        <f ca="1">IFERROR(__xludf.DUMMYFUNCTION("""COMPUTED_VALUE"""),"--Please select--")</f>
        <v>--Please select--</v>
      </c>
      <c r="M186" s="6"/>
      <c r="N186" s="6"/>
      <c r="O186" s="6" t="str">
        <f ca="1">IFERROR(__xludf.DUMMYFUNCTION("""COMPUTED_VALUE"""),"Email")</f>
        <v>Email</v>
      </c>
      <c r="P186" s="6"/>
      <c r="Q186" s="6" t="str">
        <f ca="1">IFERROR(__xludf.DUMMYFUNCTION("""COMPUTED_VALUE"""),"No")</f>
        <v>No</v>
      </c>
      <c r="R186" s="6">
        <f ca="1">IFERROR(__xludf.DUMMYFUNCTION("""COMPUTED_VALUE"""),2)</f>
        <v>2</v>
      </c>
      <c r="S186" s="6" t="str">
        <f ca="1">IFERROR(__xludf.DUMMYFUNCTION("""COMPUTED_VALUE"""),"None")</f>
        <v>None</v>
      </c>
      <c r="T186" s="6" t="str">
        <f ca="1">IFERROR(__xludf.DUMMYFUNCTION("""COMPUTED_VALUE"""),"None")</f>
        <v>None</v>
      </c>
      <c r="U186" s="6" t="str">
        <f ca="1">IFERROR(__xludf.DUMMYFUNCTION("""COMPUTED_VALUE"""),"None")</f>
        <v>None</v>
      </c>
      <c r="V186" s="6"/>
      <c r="W186" s="6" t="str">
        <f ca="1">IFERROR(__xludf.DUMMYFUNCTION("""COMPUTED_VALUE"""),"Invite Next Year")</f>
        <v>Invite Next Year</v>
      </c>
    </row>
    <row r="187" spans="1:23">
      <c r="A187" s="6" t="str">
        <f ca="1">IFERROR(__xludf.DUMMYFUNCTION("""COMPUTED_VALUE"""),"Man")</f>
        <v>Man</v>
      </c>
      <c r="B187" s="6" t="str">
        <f ca="1">IFERROR(__xludf.DUMMYFUNCTION("""COMPUTED_VALUE"""),"MRPeasy _2022")</f>
        <v>MRPeasy _2022</v>
      </c>
      <c r="C187" s="6" t="str">
        <f ca="1">IFERROR(__xludf.DUMMYFUNCTION("""COMPUTED_VALUE"""),"Digital Tech")</f>
        <v>Digital Tech</v>
      </c>
      <c r="D187" s="6" t="str">
        <f ca="1">IFERROR(__xludf.DUMMYFUNCTION("""COMPUTED_VALUE"""),"Pärnu mnt 139e/2, 11317, Tallinn, , Harju maakond 
Estonia")</f>
        <v>Pärnu mnt 139e/2, 11317, Tallinn, , Harju maakond 
Estonia</v>
      </c>
      <c r="E187" s="6" t="str">
        <f ca="1">IFERROR(__xludf.DUMMYFUNCTION("""COMPUTED_VALUE"""),"International - Europe")</f>
        <v>International - Europe</v>
      </c>
      <c r="F187" s="6" t="str">
        <f ca="1">IFERROR(__xludf.DUMMYFUNCTION("""COMPUTED_VALUE"""),"Man")</f>
        <v>Man</v>
      </c>
      <c r="G187" s="6"/>
      <c r="H187" s="6"/>
      <c r="I187" s="6"/>
      <c r="J187" s="6"/>
      <c r="K187" s="6"/>
      <c r="L187" s="6" t="str">
        <f ca="1">IFERROR(__xludf.DUMMYFUNCTION("""COMPUTED_VALUE"""),"--Please select--")</f>
        <v>--Please select--</v>
      </c>
      <c r="M187" s="6"/>
      <c r="N187" s="6"/>
      <c r="O187" s="6" t="str">
        <f ca="1">IFERROR(__xludf.DUMMYFUNCTION("""COMPUTED_VALUE"""),"Email")</f>
        <v>Email</v>
      </c>
      <c r="P187" s="6"/>
      <c r="Q187" s="6" t="str">
        <f ca="1">IFERROR(__xludf.DUMMYFUNCTION("""COMPUTED_VALUE"""),"No")</f>
        <v>No</v>
      </c>
      <c r="R187" s="6">
        <f ca="1">IFERROR(__xludf.DUMMYFUNCTION("""COMPUTED_VALUE"""),1)</f>
        <v>1</v>
      </c>
      <c r="S187" s="6" t="str">
        <f ca="1">IFERROR(__xludf.DUMMYFUNCTION("""COMPUTED_VALUE"""),"None")</f>
        <v>None</v>
      </c>
      <c r="T187" s="6" t="str">
        <f ca="1">IFERROR(__xludf.DUMMYFUNCTION("""COMPUTED_VALUE"""),"None")</f>
        <v>None</v>
      </c>
      <c r="U187" s="6" t="str">
        <f ca="1">IFERROR(__xludf.DUMMYFUNCTION("""COMPUTED_VALUE"""),"None")</f>
        <v>None</v>
      </c>
      <c r="V187" s="6"/>
      <c r="W187" s="6" t="str">
        <f ca="1">IFERROR(__xludf.DUMMYFUNCTION("""COMPUTED_VALUE"""),"Invite Next Year")</f>
        <v>Invite Next Year</v>
      </c>
    </row>
    <row r="188" spans="1:23">
      <c r="A188" s="6" t="str">
        <f ca="1">IFERROR(__xludf.DUMMYFUNCTION("""COMPUTED_VALUE"""),"Man")</f>
        <v>Man</v>
      </c>
      <c r="B188" s="6" t="str">
        <f ca="1">IFERROR(__xludf.DUMMYFUNCTION("""COMPUTED_VALUE"""),"Acquire Invest _2022")</f>
        <v>Acquire Invest _2022</v>
      </c>
      <c r="C188" s="6" t="str">
        <f ca="1">IFERROR(__xludf.DUMMYFUNCTION("""COMPUTED_VALUE"""),"Digital Tech")</f>
        <v>Digital Tech</v>
      </c>
      <c r="D188" s="6" t="str">
        <f ca="1">IFERROR(__xludf.DUMMYFUNCTION("""COMPUTED_VALUE"""),"Nashville, TN 
United States")</f>
        <v>Nashville, TN 
United States</v>
      </c>
      <c r="E188" s="6" t="str">
        <f ca="1">IFERROR(__xludf.DUMMYFUNCTION("""COMPUTED_VALUE"""),"South")</f>
        <v>South</v>
      </c>
      <c r="F188" s="6" t="str">
        <f ca="1">IFERROR(__xludf.DUMMYFUNCTION("""COMPUTED_VALUE"""),"Man")</f>
        <v>Man</v>
      </c>
      <c r="G188" s="6"/>
      <c r="H188" s="6"/>
      <c r="I188" s="6"/>
      <c r="J188" s="6"/>
      <c r="K188" s="6"/>
      <c r="L188" s="6" t="str">
        <f ca="1">IFERROR(__xludf.DUMMYFUNCTION("""COMPUTED_VALUE"""),"No")</f>
        <v>No</v>
      </c>
      <c r="M188" s="6"/>
      <c r="N188" s="6"/>
      <c r="O188" s="6" t="str">
        <f ca="1">IFERROR(__xludf.DUMMYFUNCTION("""COMPUTED_VALUE"""),"Search Engine")</f>
        <v>Search Engine</v>
      </c>
      <c r="P188" s="6"/>
      <c r="Q188" s="6" t="str">
        <f ca="1">IFERROR(__xludf.DUMMYFUNCTION("""COMPUTED_VALUE"""),"No")</f>
        <v>No</v>
      </c>
      <c r="R188" s="6">
        <f ca="1">IFERROR(__xludf.DUMMYFUNCTION("""COMPUTED_VALUE"""),1)</f>
        <v>1</v>
      </c>
      <c r="S188" s="6" t="str">
        <f ca="1">IFERROR(__xludf.DUMMYFUNCTION("""COMPUTED_VALUE"""),"Pre-seed")</f>
        <v>Pre-seed</v>
      </c>
      <c r="T188" s="6" t="str">
        <f ca="1">IFERROR(__xludf.DUMMYFUNCTION("""COMPUTED_VALUE"""),"Pre-seed")</f>
        <v>Pre-seed</v>
      </c>
      <c r="U188" s="6" t="str">
        <f ca="1">IFERROR(__xludf.DUMMYFUNCTION("""COMPUTED_VALUE"""),"Pre-seed")</f>
        <v>Pre-seed</v>
      </c>
      <c r="V188" s="6"/>
      <c r="W188" s="6" t="str">
        <f ca="1">IFERROR(__xludf.DUMMYFUNCTION("""COMPUTED_VALUE"""),"Invite Next Year")</f>
        <v>Invite Next Year</v>
      </c>
    </row>
    <row r="189" spans="1:23">
      <c r="A189" s="6" t="str">
        <f ca="1">IFERROR(__xludf.DUMMYFUNCTION("""COMPUTED_VALUE"""),"Prefer not to respond")</f>
        <v>Prefer not to respond</v>
      </c>
      <c r="B189" s="6" t="str">
        <f ca="1">IFERROR(__xludf.DUMMYFUNCTION("""COMPUTED_VALUE"""),"Novamp Pharma Pack _2022")</f>
        <v>Novamp Pharma Pack _2022</v>
      </c>
      <c r="C189" s="6" t="str">
        <f ca="1">IFERROR(__xludf.DUMMYFUNCTION("""COMPUTED_VALUE"""),"Life Sciences")</f>
        <v>Life Sciences</v>
      </c>
      <c r="D189" s="6" t="str">
        <f ca="1">IFERROR(__xludf.DUMMYFUNCTION("""COMPUTED_VALUE"""),"Patan, Gujarat 
India")</f>
        <v>Patan, Gujarat 
India</v>
      </c>
      <c r="E189" s="6" t="str">
        <f ca="1">IFERROR(__xludf.DUMMYFUNCTION("""COMPUTED_VALUE"""),"International - Asia")</f>
        <v>International - Asia</v>
      </c>
      <c r="F189" s="6" t="str">
        <f ca="1">IFERROR(__xludf.DUMMYFUNCTION("""COMPUTED_VALUE"""),"Prefer not to respond")</f>
        <v>Prefer not to respond</v>
      </c>
      <c r="G189" s="6"/>
      <c r="H189" s="6"/>
      <c r="I189" s="6"/>
      <c r="J189" s="6"/>
      <c r="K189" s="6"/>
      <c r="L189" s="6" t="str">
        <f ca="1">IFERROR(__xludf.DUMMYFUNCTION("""COMPUTED_VALUE"""),"No")</f>
        <v>No</v>
      </c>
      <c r="M189" s="6"/>
      <c r="N189" s="6"/>
      <c r="O189" s="6" t="str">
        <f ca="1">IFERROR(__xludf.DUMMYFUNCTION("""COMPUTED_VALUE"""),"Other")</f>
        <v>Other</v>
      </c>
      <c r="P189" s="6"/>
      <c r="Q189" s="6" t="str">
        <f ca="1">IFERROR(__xludf.DUMMYFUNCTION("""COMPUTED_VALUE"""),"No")</f>
        <v>No</v>
      </c>
      <c r="R189" s="6">
        <f ca="1">IFERROR(__xludf.DUMMYFUNCTION("""COMPUTED_VALUE"""),1)</f>
        <v>1</v>
      </c>
      <c r="S189" s="6" t="str">
        <f ca="1">IFERROR(__xludf.DUMMYFUNCTION("""COMPUTED_VALUE"""),"None")</f>
        <v>None</v>
      </c>
      <c r="T189" s="6" t="str">
        <f ca="1">IFERROR(__xludf.DUMMYFUNCTION("""COMPUTED_VALUE"""),"None")</f>
        <v>None</v>
      </c>
      <c r="U189" s="6" t="str">
        <f ca="1">IFERROR(__xludf.DUMMYFUNCTION("""COMPUTED_VALUE"""),"None")</f>
        <v>None</v>
      </c>
      <c r="V189" s="6"/>
      <c r="W189" s="6" t="str">
        <f ca="1">IFERROR(__xludf.DUMMYFUNCTION("""COMPUTED_VALUE"""),"Invite Next Year")</f>
        <v>Invite Next Year</v>
      </c>
    </row>
    <row r="190" spans="1:23">
      <c r="A190" s="6" t="str">
        <f ca="1">IFERROR(__xludf.DUMMYFUNCTION("""COMPUTED_VALUE"""),"Woman, Man, Man")</f>
        <v>Woman, Man, Man</v>
      </c>
      <c r="B190" s="6" t="str">
        <f ca="1">IFERROR(__xludf.DUMMYFUNCTION("""COMPUTED_VALUE"""),"Witty Health Inc _2022")</f>
        <v>Witty Health Inc _2022</v>
      </c>
      <c r="C190" s="6" t="str">
        <f ca="1">IFERROR(__xludf.DUMMYFUNCTION("""COMPUTED_VALUE"""),"Digital Tech")</f>
        <v>Digital Tech</v>
      </c>
      <c r="D190" s="6" t="str">
        <f ca="1">IFERROR(__xludf.DUMMYFUNCTION("""COMPUTED_VALUE"""),"Houston, Texas 
United States")</f>
        <v>Houston, Texas 
United States</v>
      </c>
      <c r="E190" s="6" t="str">
        <f ca="1">IFERROR(__xludf.DUMMYFUNCTION("""COMPUTED_VALUE"""),"South")</f>
        <v>South</v>
      </c>
      <c r="F190" s="6" t="str">
        <f ca="1">IFERROR(__xludf.DUMMYFUNCTION("""COMPUTED_VALUE"""),"Woman")</f>
        <v>Woman</v>
      </c>
      <c r="G190" s="6" t="str">
        <f ca="1">IFERROR(__xludf.DUMMYFUNCTION("""COMPUTED_VALUE"""),"Man")</f>
        <v>Man</v>
      </c>
      <c r="H190" s="6" t="str">
        <f ca="1">IFERROR(__xludf.DUMMYFUNCTION("""COMPUTED_VALUE"""),"Man")</f>
        <v>Man</v>
      </c>
      <c r="I190" s="6"/>
      <c r="J190" s="6"/>
      <c r="K190" s="6"/>
      <c r="L190" s="6" t="str">
        <f ca="1">IFERROR(__xludf.DUMMYFUNCTION("""COMPUTED_VALUE"""),"No")</f>
        <v>No</v>
      </c>
      <c r="M190" s="6"/>
      <c r="N190" s="6"/>
      <c r="O190" s="6" t="str">
        <f ca="1">IFERROR(__xludf.DUMMYFUNCTION("""COMPUTED_VALUE"""),"Referral")</f>
        <v>Referral</v>
      </c>
      <c r="P190" s="6"/>
      <c r="Q190" s="6" t="str">
        <f ca="1">IFERROR(__xludf.DUMMYFUNCTION("""COMPUTED_VALUE"""),"No")</f>
        <v>No</v>
      </c>
      <c r="R190" s="6">
        <f ca="1">IFERROR(__xludf.DUMMYFUNCTION("""COMPUTED_VALUE"""),3)</f>
        <v>3</v>
      </c>
      <c r="S190" s="6" t="str">
        <f ca="1">IFERROR(__xludf.DUMMYFUNCTION("""COMPUTED_VALUE"""),"Pre-seed
Seed")</f>
        <v>Pre-seed
Seed</v>
      </c>
      <c r="T190" s="6" t="str">
        <f ca="1">IFERROR(__xludf.DUMMYFUNCTION("""COMPUTED_VALUE"""),"Pre-seed, Seed")</f>
        <v>Pre-seed, Seed</v>
      </c>
      <c r="U190" s="6" t="str">
        <f ca="1">IFERROR(__xludf.DUMMYFUNCTION("""COMPUTED_VALUE"""),"Pre-seed, Seed")</f>
        <v>Pre-seed, Seed</v>
      </c>
      <c r="V190" s="6"/>
      <c r="W190" s="6" t="str">
        <f ca="1">IFERROR(__xludf.DUMMYFUNCTION("""COMPUTED_VALUE"""),"Invite Next Year")</f>
        <v>Invite Next Year</v>
      </c>
    </row>
    <row r="191" spans="1:23">
      <c r="A191" s="6" t="str">
        <f ca="1">IFERROR(__xludf.DUMMYFUNCTION("""COMPUTED_VALUE"""),"Woman, Man")</f>
        <v>Woman, Man</v>
      </c>
      <c r="B191" s="6" t="str">
        <f ca="1">IFERROR(__xludf.DUMMYFUNCTION("""COMPUTED_VALUE"""),"People Pulse _2022")</f>
        <v>People Pulse _2022</v>
      </c>
      <c r="C191" s="6" t="str">
        <f ca="1">IFERROR(__xludf.DUMMYFUNCTION("""COMPUTED_VALUE"""),"Digital Tech")</f>
        <v>Digital Tech</v>
      </c>
      <c r="D191" s="6" t="str">
        <f ca="1">IFERROR(__xludf.DUMMYFUNCTION("""COMPUTED_VALUE"""),"Gurugram, Haryana 
India")</f>
        <v>Gurugram, Haryana 
India</v>
      </c>
      <c r="E191" s="6" t="str">
        <f ca="1">IFERROR(__xludf.DUMMYFUNCTION("""COMPUTED_VALUE"""),"International - Asia")</f>
        <v>International - Asia</v>
      </c>
      <c r="F191" s="6" t="str">
        <f ca="1">IFERROR(__xludf.DUMMYFUNCTION("""COMPUTED_VALUE"""),"Woman")</f>
        <v>Woman</v>
      </c>
      <c r="G191" s="6" t="str">
        <f ca="1">IFERROR(__xludf.DUMMYFUNCTION("""COMPUTED_VALUE"""),"Man")</f>
        <v>Man</v>
      </c>
      <c r="H191" s="6"/>
      <c r="I191" s="6"/>
      <c r="J191" s="6"/>
      <c r="K191" s="6"/>
      <c r="L191" s="6" t="str">
        <f ca="1">IFERROR(__xludf.DUMMYFUNCTION("""COMPUTED_VALUE"""),"No")</f>
        <v>No</v>
      </c>
      <c r="M191" s="6"/>
      <c r="N191" s="6"/>
      <c r="O191" s="6" t="str">
        <f ca="1">IFERROR(__xludf.DUMMYFUNCTION("""COMPUTED_VALUE"""),"LinkedIn")</f>
        <v>LinkedIn</v>
      </c>
      <c r="P191" s="6"/>
      <c r="Q191" s="6" t="str">
        <f ca="1">IFERROR(__xludf.DUMMYFUNCTION("""COMPUTED_VALUE"""),"No")</f>
        <v>No</v>
      </c>
      <c r="R191" s="6">
        <f ca="1">IFERROR(__xludf.DUMMYFUNCTION("""COMPUTED_VALUE"""),2)</f>
        <v>2</v>
      </c>
      <c r="S191" s="6" t="str">
        <f ca="1">IFERROR(__xludf.DUMMYFUNCTION("""COMPUTED_VALUE"""),"None")</f>
        <v>None</v>
      </c>
      <c r="T191" s="6" t="str">
        <f ca="1">IFERROR(__xludf.DUMMYFUNCTION("""COMPUTED_VALUE"""),"None")</f>
        <v>None</v>
      </c>
      <c r="U191" s="6" t="str">
        <f ca="1">IFERROR(__xludf.DUMMYFUNCTION("""COMPUTED_VALUE"""),"None")</f>
        <v>None</v>
      </c>
      <c r="V191" s="6"/>
      <c r="W191" s="6" t="str">
        <f ca="1">IFERROR(__xludf.DUMMYFUNCTION("""COMPUTED_VALUE"""),"Invite Next Year")</f>
        <v>Invite Next Year</v>
      </c>
    </row>
    <row r="192" spans="1:23">
      <c r="A192" s="6" t="str">
        <f ca="1">IFERROR(__xludf.DUMMYFUNCTION("""COMPUTED_VALUE"""),"Man, Man")</f>
        <v>Man, Man</v>
      </c>
      <c r="B192" s="6" t="str">
        <f ca="1">IFERROR(__xludf.DUMMYFUNCTION("""COMPUTED_VALUE"""),"Koshex Inc. _2022")</f>
        <v>Koshex Inc. _2022</v>
      </c>
      <c r="C192" s="6" t="str">
        <f ca="1">IFERROR(__xludf.DUMMYFUNCTION("""COMPUTED_VALUE"""),"Digital Tech")</f>
        <v>Digital Tech</v>
      </c>
      <c r="D192" s="6" t="str">
        <f ca="1">IFERROR(__xludf.DUMMYFUNCTION("""COMPUTED_VALUE"""),"355 BRYANT ST UNIT 403 SAN FRANCISCO, CALIFORNIA 
United States")</f>
        <v>355 BRYANT ST UNIT 403 SAN FRANCISCO, CALIFORNIA 
United States</v>
      </c>
      <c r="E192" s="6" t="str">
        <f ca="1">IFERROR(__xludf.DUMMYFUNCTION("""COMPUTED_VALUE"""),"West Coast")</f>
        <v>West Coast</v>
      </c>
      <c r="F192" s="6" t="str">
        <f ca="1">IFERROR(__xludf.DUMMYFUNCTION("""COMPUTED_VALUE"""),"Man")</f>
        <v>Man</v>
      </c>
      <c r="G192" s="6" t="str">
        <f ca="1">IFERROR(__xludf.DUMMYFUNCTION("""COMPUTED_VALUE"""),"Man")</f>
        <v>Man</v>
      </c>
      <c r="H192" s="6"/>
      <c r="I192" s="6"/>
      <c r="J192" s="6"/>
      <c r="K192" s="6"/>
      <c r="L192" s="6" t="str">
        <f ca="1">IFERROR(__xludf.DUMMYFUNCTION("""COMPUTED_VALUE"""),"No")</f>
        <v>No</v>
      </c>
      <c r="M192" s="6"/>
      <c r="N192" s="6"/>
      <c r="O192" s="6" t="str">
        <f ca="1">IFERROR(__xludf.DUMMYFUNCTION("""COMPUTED_VALUE"""),"Email")</f>
        <v>Email</v>
      </c>
      <c r="P192" s="6"/>
      <c r="Q192" s="6" t="str">
        <f ca="1">IFERROR(__xludf.DUMMYFUNCTION("""COMPUTED_VALUE"""),"No")</f>
        <v>No</v>
      </c>
      <c r="R192" s="6">
        <f ca="1">IFERROR(__xludf.DUMMYFUNCTION("""COMPUTED_VALUE"""),2)</f>
        <v>2</v>
      </c>
      <c r="S192" s="6" t="str">
        <f ca="1">IFERROR(__xludf.DUMMYFUNCTION("""COMPUTED_VALUE"""),"Seed")</f>
        <v>Seed</v>
      </c>
      <c r="T192" s="6" t="str">
        <f ca="1">IFERROR(__xludf.DUMMYFUNCTION("""COMPUTED_VALUE"""),"Seed")</f>
        <v>Seed</v>
      </c>
      <c r="U192" s="6" t="str">
        <f ca="1">IFERROR(__xludf.DUMMYFUNCTION("""COMPUTED_VALUE"""),"Seed")</f>
        <v>Seed</v>
      </c>
      <c r="V192" s="6"/>
      <c r="W192" s="6" t="str">
        <f ca="1">IFERROR(__xludf.DUMMYFUNCTION("""COMPUTED_VALUE"""),"Invite Next Year")</f>
        <v>Invite Next Year</v>
      </c>
    </row>
    <row r="193" spans="1:23">
      <c r="A193" s="6" t="str">
        <f ca="1">IFERROR(__xludf.DUMMYFUNCTION("""COMPUTED_VALUE"""),"Man, Man")</f>
        <v>Man, Man</v>
      </c>
      <c r="B193" s="6" t="str">
        <f ca="1">IFERROR(__xludf.DUMMYFUNCTION("""COMPUTED_VALUE"""),"Radiolife _2022")</f>
        <v>Radiolife _2022</v>
      </c>
      <c r="C193" s="6" t="str">
        <f ca="1">IFERROR(__xludf.DUMMYFUNCTION("""COMPUTED_VALUE"""),"Deep Tech")</f>
        <v>Deep Tech</v>
      </c>
      <c r="D193" s="6" t="str">
        <f ca="1">IFERROR(__xludf.DUMMYFUNCTION("""COMPUTED_VALUE"""),"Wilmington, DE 
United States")</f>
        <v>Wilmington, DE 
United States</v>
      </c>
      <c r="E193" s="6" t="str">
        <f ca="1">IFERROR(__xludf.DUMMYFUNCTION("""COMPUTED_VALUE"""),"East Coast")</f>
        <v>East Coast</v>
      </c>
      <c r="F193" s="6" t="str">
        <f ca="1">IFERROR(__xludf.DUMMYFUNCTION("""COMPUTED_VALUE"""),"Man")</f>
        <v>Man</v>
      </c>
      <c r="G193" s="6" t="str">
        <f ca="1">IFERROR(__xludf.DUMMYFUNCTION("""COMPUTED_VALUE"""),"Man")</f>
        <v>Man</v>
      </c>
      <c r="H193" s="6"/>
      <c r="I193" s="6"/>
      <c r="J193" s="6"/>
      <c r="K193" s="6"/>
      <c r="L193" s="6" t="str">
        <f ca="1">IFERROR(__xludf.DUMMYFUNCTION("""COMPUTED_VALUE"""),"No")</f>
        <v>No</v>
      </c>
      <c r="M193" s="6"/>
      <c r="N193" s="6"/>
      <c r="O193" s="6" t="str">
        <f ca="1">IFERROR(__xludf.DUMMYFUNCTION("""COMPUTED_VALUE"""),"Email")</f>
        <v>Email</v>
      </c>
      <c r="P193" s="6"/>
      <c r="Q193" s="6" t="str">
        <f ca="1">IFERROR(__xludf.DUMMYFUNCTION("""COMPUTED_VALUE"""),"Yes")</f>
        <v>Yes</v>
      </c>
      <c r="R193" s="6">
        <f ca="1">IFERROR(__xludf.DUMMYFUNCTION("""COMPUTED_VALUE"""),2)</f>
        <v>2</v>
      </c>
      <c r="S193" s="6" t="str">
        <f ca="1">IFERROR(__xludf.DUMMYFUNCTION("""COMPUTED_VALUE"""),"None")</f>
        <v>None</v>
      </c>
      <c r="T193" s="6" t="str">
        <f ca="1">IFERROR(__xludf.DUMMYFUNCTION("""COMPUTED_VALUE"""),"None")</f>
        <v>None</v>
      </c>
      <c r="U193" s="6" t="str">
        <f ca="1">IFERROR(__xludf.DUMMYFUNCTION("""COMPUTED_VALUE"""),"None")</f>
        <v>None</v>
      </c>
      <c r="V193" s="6"/>
      <c r="W193" s="6" t="str">
        <f ca="1">IFERROR(__xludf.DUMMYFUNCTION("""COMPUTED_VALUE"""),"Revisit")</f>
        <v>Revisit</v>
      </c>
    </row>
    <row r="194" spans="1:23">
      <c r="A194" s="6" t="str">
        <f ca="1">IFERROR(__xludf.DUMMYFUNCTION("""COMPUTED_VALUE"""),"Man")</f>
        <v>Man</v>
      </c>
      <c r="B194" s="6" t="str">
        <f ca="1">IFERROR(__xludf.DUMMYFUNCTION("""COMPUTED_VALUE"""),"Beast Mobile _2022")</f>
        <v>Beast Mobile _2022</v>
      </c>
      <c r="C194" s="6" t="str">
        <f ca="1">IFERROR(__xludf.DUMMYFUNCTION("""COMPUTED_VALUE"""),"Deep Tech")</f>
        <v>Deep Tech</v>
      </c>
      <c r="D194" s="6" t="str">
        <f ca="1">IFERROR(__xludf.DUMMYFUNCTION("""COMPUTED_VALUE"""),"Seattle, WA 
United States")</f>
        <v>Seattle, WA 
United States</v>
      </c>
      <c r="E194" s="6" t="str">
        <f ca="1">IFERROR(__xludf.DUMMYFUNCTION("""COMPUTED_VALUE"""),"West Coast")</f>
        <v>West Coast</v>
      </c>
      <c r="F194" s="6" t="str">
        <f ca="1">IFERROR(__xludf.DUMMYFUNCTION("""COMPUTED_VALUE"""),"Man")</f>
        <v>Man</v>
      </c>
      <c r="G194" s="6"/>
      <c r="H194" s="6"/>
      <c r="I194" s="6"/>
      <c r="J194" s="6"/>
      <c r="K194" s="6"/>
      <c r="L194" s="6" t="str">
        <f ca="1">IFERROR(__xludf.DUMMYFUNCTION("""COMPUTED_VALUE"""),"--Please select--")</f>
        <v>--Please select--</v>
      </c>
      <c r="M194" s="6"/>
      <c r="N194" s="6"/>
      <c r="O194" s="6" t="str">
        <f ca="1">IFERROR(__xludf.DUMMYFUNCTION("""COMPUTED_VALUE"""),"Email")</f>
        <v>Email</v>
      </c>
      <c r="P194" s="6"/>
      <c r="Q194" s="6" t="str">
        <f ca="1">IFERROR(__xludf.DUMMYFUNCTION("""COMPUTED_VALUE"""),"No")</f>
        <v>No</v>
      </c>
      <c r="R194" s="6">
        <f ca="1">IFERROR(__xludf.DUMMYFUNCTION("""COMPUTED_VALUE"""),1)</f>
        <v>1</v>
      </c>
      <c r="S194" s="6" t="str">
        <f ca="1">IFERROR(__xludf.DUMMYFUNCTION("""COMPUTED_VALUE"""),"Pre-seed
Seed")</f>
        <v>Pre-seed
Seed</v>
      </c>
      <c r="T194" s="6" t="str">
        <f ca="1">IFERROR(__xludf.DUMMYFUNCTION("""COMPUTED_VALUE"""),"Pre-seed, Seed")</f>
        <v>Pre-seed, Seed</v>
      </c>
      <c r="U194" s="6" t="str">
        <f ca="1">IFERROR(__xludf.DUMMYFUNCTION("""COMPUTED_VALUE"""),"Pre-seed, Seed")</f>
        <v>Pre-seed, Seed</v>
      </c>
      <c r="V194" s="6"/>
      <c r="W194" s="6" t="str">
        <f ca="1">IFERROR(__xludf.DUMMYFUNCTION("""COMPUTED_VALUE"""),"Invite Next Year")</f>
        <v>Invite Next Year</v>
      </c>
    </row>
    <row r="195" spans="1:23">
      <c r="A195" s="6" t="str">
        <f ca="1">IFERROR(__xludf.DUMMYFUNCTION("""COMPUTED_VALUE"""),"Man, Man")</f>
        <v>Man, Man</v>
      </c>
      <c r="B195" s="6" t="str">
        <f ca="1">IFERROR(__xludf.DUMMYFUNCTION("""COMPUTED_VALUE"""),"Exero Medical _2022")</f>
        <v>Exero Medical _2022</v>
      </c>
      <c r="C195" s="6" t="str">
        <f ca="1">IFERROR(__xludf.DUMMYFUNCTION("""COMPUTED_VALUE"""),"Life Sciences")</f>
        <v>Life Sciences</v>
      </c>
      <c r="D195" s="6" t="str">
        <f ca="1">IFERROR(__xludf.DUMMYFUNCTION("""COMPUTED_VALUE"""),"8 Ariel Sharon Blvd. Or Yehuda,  
Israel")</f>
        <v>8 Ariel Sharon Blvd. Or Yehuda,  
Israel</v>
      </c>
      <c r="E195" s="6" t="str">
        <f ca="1">IFERROR(__xludf.DUMMYFUNCTION("""COMPUTED_VALUE"""),"International - Middle East")</f>
        <v>International - Middle East</v>
      </c>
      <c r="F195" s="6" t="str">
        <f ca="1">IFERROR(__xludf.DUMMYFUNCTION("""COMPUTED_VALUE"""),"Man")</f>
        <v>Man</v>
      </c>
      <c r="G195" s="6" t="str">
        <f ca="1">IFERROR(__xludf.DUMMYFUNCTION("""COMPUTED_VALUE"""),"Man")</f>
        <v>Man</v>
      </c>
      <c r="H195" s="6"/>
      <c r="I195" s="6"/>
      <c r="J195" s="6"/>
      <c r="K195" s="6"/>
      <c r="L195" s="6" t="str">
        <f ca="1">IFERROR(__xludf.DUMMYFUNCTION("""COMPUTED_VALUE"""),"No")</f>
        <v>No</v>
      </c>
      <c r="M195" s="6"/>
      <c r="N195" s="6"/>
      <c r="O195" s="6" t="str">
        <f ca="1">IFERROR(__xludf.DUMMYFUNCTION("""COMPUTED_VALUE"""),"Other")</f>
        <v>Other</v>
      </c>
      <c r="P195" s="6"/>
      <c r="Q195" s="6" t="str">
        <f ca="1">IFERROR(__xludf.DUMMYFUNCTION("""COMPUTED_VALUE"""),"No")</f>
        <v>No</v>
      </c>
      <c r="R195" s="6">
        <f ca="1">IFERROR(__xludf.DUMMYFUNCTION("""COMPUTED_VALUE"""),2)</f>
        <v>2</v>
      </c>
      <c r="S195" s="6" t="str">
        <f ca="1">IFERROR(__xludf.DUMMYFUNCTION("""COMPUTED_VALUE"""),"Seed
Bridge
Grants")</f>
        <v>Seed
Bridge
Grants</v>
      </c>
      <c r="T195" s="6" t="str">
        <f ca="1">IFERROR(__xludf.DUMMYFUNCTION("""COMPUTED_VALUE"""),"Seed, Bridge, Grants")</f>
        <v>Seed, Bridge, Grants</v>
      </c>
      <c r="U195" s="6" t="str">
        <f ca="1">IFERROR(__xludf.DUMMYFUNCTION("""COMPUTED_VALUE"""),"Seed, Bridge, Grants")</f>
        <v>Seed, Bridge, Grants</v>
      </c>
      <c r="V195" s="6"/>
      <c r="W195" s="6" t="str">
        <f ca="1">IFERROR(__xludf.DUMMYFUNCTION("""COMPUTED_VALUE"""),"Invite")</f>
        <v>Invite</v>
      </c>
    </row>
    <row r="196" spans="1:23">
      <c r="A196" s="6" t="str">
        <f ca="1">IFERROR(__xludf.DUMMYFUNCTION("""COMPUTED_VALUE"""),"Woman, Man, Man, Man, Woman, Man")</f>
        <v>Woman, Man, Man, Man, Woman, Man</v>
      </c>
      <c r="B196" s="6" t="str">
        <f ca="1">IFERROR(__xludf.DUMMYFUNCTION("""COMPUTED_VALUE"""),"LightCode Photonics _2022")</f>
        <v>LightCode Photonics _2022</v>
      </c>
      <c r="C196" s="6" t="str">
        <f ca="1">IFERROR(__xludf.DUMMYFUNCTION("""COMPUTED_VALUE"""),"Deep Tech")</f>
        <v>Deep Tech</v>
      </c>
      <c r="D196" s="6" t="str">
        <f ca="1">IFERROR(__xludf.DUMMYFUNCTION("""COMPUTED_VALUE"""),"Teaduspargi 11, Tartu, Tartumaa 
Estonia")</f>
        <v>Teaduspargi 11, Tartu, Tartumaa 
Estonia</v>
      </c>
      <c r="E196" s="6" t="str">
        <f ca="1">IFERROR(__xludf.DUMMYFUNCTION("""COMPUTED_VALUE"""),"International - Europe")</f>
        <v>International - Europe</v>
      </c>
      <c r="F196" s="6" t="str">
        <f ca="1">IFERROR(__xludf.DUMMYFUNCTION("""COMPUTED_VALUE"""),"Woman")</f>
        <v>Woman</v>
      </c>
      <c r="G196" s="6" t="str">
        <f ca="1">IFERROR(__xludf.DUMMYFUNCTION("""COMPUTED_VALUE"""),"Man")</f>
        <v>Man</v>
      </c>
      <c r="H196" s="6" t="str">
        <f ca="1">IFERROR(__xludf.DUMMYFUNCTION("""COMPUTED_VALUE"""),"Man")</f>
        <v>Man</v>
      </c>
      <c r="I196" s="6" t="str">
        <f ca="1">IFERROR(__xludf.DUMMYFUNCTION("""COMPUTED_VALUE"""),"Man")</f>
        <v>Man</v>
      </c>
      <c r="J196" s="6" t="str">
        <f ca="1">IFERROR(__xludf.DUMMYFUNCTION("""COMPUTED_VALUE"""),"Woman")</f>
        <v>Woman</v>
      </c>
      <c r="K196" s="6" t="str">
        <f ca="1">IFERROR(__xludf.DUMMYFUNCTION("""COMPUTED_VALUE"""),"Man")</f>
        <v>Man</v>
      </c>
      <c r="L196" s="6" t="str">
        <f ca="1">IFERROR(__xludf.DUMMYFUNCTION("""COMPUTED_VALUE"""),"No")</f>
        <v>No</v>
      </c>
      <c r="M196" s="6"/>
      <c r="N196" s="6"/>
      <c r="O196" s="6" t="str">
        <f ca="1">IFERROR(__xludf.DUMMYFUNCTION("""COMPUTED_VALUE"""),"Referral")</f>
        <v>Referral</v>
      </c>
      <c r="P196" s="6"/>
      <c r="Q196" s="6" t="str">
        <f ca="1">IFERROR(__xludf.DUMMYFUNCTION("""COMPUTED_VALUE"""),"No")</f>
        <v>No</v>
      </c>
      <c r="R196" s="6">
        <f ca="1">IFERROR(__xludf.DUMMYFUNCTION("""COMPUTED_VALUE"""),6)</f>
        <v>6</v>
      </c>
      <c r="S196" s="6" t="str">
        <f ca="1">IFERROR(__xludf.DUMMYFUNCTION("""COMPUTED_VALUE"""),"Pre-seed
Bridge")</f>
        <v>Pre-seed
Bridge</v>
      </c>
      <c r="T196" s="6" t="str">
        <f ca="1">IFERROR(__xludf.DUMMYFUNCTION("""COMPUTED_VALUE"""),"Pre-seed, Bridge")</f>
        <v>Pre-seed, Bridge</v>
      </c>
      <c r="U196" s="6" t="str">
        <f ca="1">IFERROR(__xludf.DUMMYFUNCTION("""COMPUTED_VALUE"""),"Pre-seed, Bridge")</f>
        <v>Pre-seed, Bridge</v>
      </c>
      <c r="V196" s="6"/>
      <c r="W196" s="6" t="str">
        <f ca="1">IFERROR(__xludf.DUMMYFUNCTION("""COMPUTED_VALUE"""),"Invite")</f>
        <v>Invite</v>
      </c>
    </row>
    <row r="197" spans="1:23">
      <c r="A197" s="6" t="str">
        <f ca="1">IFERROR(__xludf.DUMMYFUNCTION("""COMPUTED_VALUE"""),"Man, Man")</f>
        <v>Man, Man</v>
      </c>
      <c r="B197" s="6" t="str">
        <f ca="1">IFERROR(__xludf.DUMMYFUNCTION("""COMPUTED_VALUE"""),"Augment Health, Inc. _2022")</f>
        <v>Augment Health, Inc. _2022</v>
      </c>
      <c r="C197" s="6" t="str">
        <f ca="1">IFERROR(__xludf.DUMMYFUNCTION("""COMPUTED_VALUE"""),"Deep Tech")</f>
        <v>Deep Tech</v>
      </c>
      <c r="D197" s="6" t="str">
        <f ca="1">IFERROR(__xludf.DUMMYFUNCTION("""COMPUTED_VALUE"""),"Franklin, Tennessee 
United States")</f>
        <v>Franklin, Tennessee 
United States</v>
      </c>
      <c r="E197" s="6" t="str">
        <f ca="1">IFERROR(__xludf.DUMMYFUNCTION("""COMPUTED_VALUE"""),"South")</f>
        <v>South</v>
      </c>
      <c r="F197" s="6" t="str">
        <f ca="1">IFERROR(__xludf.DUMMYFUNCTION("""COMPUTED_VALUE"""),"Man")</f>
        <v>Man</v>
      </c>
      <c r="G197" s="6" t="str">
        <f ca="1">IFERROR(__xludf.DUMMYFUNCTION("""COMPUTED_VALUE"""),"Man")</f>
        <v>Man</v>
      </c>
      <c r="H197" s="6"/>
      <c r="I197" s="6"/>
      <c r="J197" s="6"/>
      <c r="K197" s="6"/>
      <c r="L197" s="6" t="str">
        <f ca="1">IFERROR(__xludf.DUMMYFUNCTION("""COMPUTED_VALUE"""),"--Please select--")</f>
        <v>--Please select--</v>
      </c>
      <c r="M197" s="6"/>
      <c r="N197" s="6"/>
      <c r="O197" s="6" t="str">
        <f ca="1">IFERROR(__xludf.DUMMYFUNCTION("""COMPUTED_VALUE"""),"Email")</f>
        <v>Email</v>
      </c>
      <c r="P197" s="6"/>
      <c r="Q197" s="6" t="str">
        <f ca="1">IFERROR(__xludf.DUMMYFUNCTION("""COMPUTED_VALUE"""),"No")</f>
        <v>No</v>
      </c>
      <c r="R197" s="6">
        <f ca="1">IFERROR(__xludf.DUMMYFUNCTION("""COMPUTED_VALUE"""),2)</f>
        <v>2</v>
      </c>
      <c r="S197" s="6" t="str">
        <f ca="1">IFERROR(__xludf.DUMMYFUNCTION("""COMPUTED_VALUE"""),"Pre-seed")</f>
        <v>Pre-seed</v>
      </c>
      <c r="T197" s="6" t="str">
        <f ca="1">IFERROR(__xludf.DUMMYFUNCTION("""COMPUTED_VALUE"""),"Pre-seed")</f>
        <v>Pre-seed</v>
      </c>
      <c r="U197" s="6" t="str">
        <f ca="1">IFERROR(__xludf.DUMMYFUNCTION("""COMPUTED_VALUE"""),"Pre-seed")</f>
        <v>Pre-seed</v>
      </c>
      <c r="V197" s="6"/>
      <c r="W197" s="6" t="str">
        <f ca="1">IFERROR(__xludf.DUMMYFUNCTION("""COMPUTED_VALUE"""),"Invite Next Year")</f>
        <v>Invite Next Year</v>
      </c>
    </row>
    <row r="198" spans="1:23">
      <c r="A198" s="6" t="str">
        <f ca="1">IFERROR(__xludf.DUMMYFUNCTION("""COMPUTED_VALUE"""),"Man, Man, Man")</f>
        <v>Man, Man, Man</v>
      </c>
      <c r="B198" s="6" t="str">
        <f ca="1">IFERROR(__xludf.DUMMYFUNCTION("""COMPUTED_VALUE"""),"Woven Orthopedic Technologies, LLC _2022")</f>
        <v>Woven Orthopedic Technologies, LLC _2022</v>
      </c>
      <c r="C198" s="6" t="str">
        <f ca="1">IFERROR(__xludf.DUMMYFUNCTION("""COMPUTED_VALUE"""),"Life Sciences")</f>
        <v>Life Sciences</v>
      </c>
      <c r="D198" s="6" t="str">
        <f ca="1">IFERROR(__xludf.DUMMYFUNCTION("""COMPUTED_VALUE"""),"Manchester, CT 
United States")</f>
        <v>Manchester, CT 
United States</v>
      </c>
      <c r="E198" s="6" t="str">
        <f ca="1">IFERROR(__xludf.DUMMYFUNCTION("""COMPUTED_VALUE"""),"East Coast")</f>
        <v>East Coast</v>
      </c>
      <c r="F198" s="6" t="str">
        <f ca="1">IFERROR(__xludf.DUMMYFUNCTION("""COMPUTED_VALUE"""),"Man")</f>
        <v>Man</v>
      </c>
      <c r="G198" s="6" t="str">
        <f ca="1">IFERROR(__xludf.DUMMYFUNCTION("""COMPUTED_VALUE"""),"Man")</f>
        <v>Man</v>
      </c>
      <c r="H198" s="6" t="str">
        <f ca="1">IFERROR(__xludf.DUMMYFUNCTION("""COMPUTED_VALUE"""),"Man")</f>
        <v>Man</v>
      </c>
      <c r="I198" s="6"/>
      <c r="J198" s="6"/>
      <c r="K198" s="6"/>
      <c r="L198" s="6" t="str">
        <f ca="1">IFERROR(__xludf.DUMMYFUNCTION("""COMPUTED_VALUE"""),"--Please select--")</f>
        <v>--Please select--</v>
      </c>
      <c r="M198" s="6"/>
      <c r="N198" s="6"/>
      <c r="O198" s="6" t="str">
        <f ca="1">IFERROR(__xludf.DUMMYFUNCTION("""COMPUTED_VALUE"""),"Email")</f>
        <v>Email</v>
      </c>
      <c r="P198" s="6"/>
      <c r="Q198" s="6" t="str">
        <f ca="1">IFERROR(__xludf.DUMMYFUNCTION("""COMPUTED_VALUE"""),"No")</f>
        <v>No</v>
      </c>
      <c r="R198" s="6">
        <f ca="1">IFERROR(__xludf.DUMMYFUNCTION("""COMPUTED_VALUE"""),3)</f>
        <v>3</v>
      </c>
      <c r="S198" s="6" t="str">
        <f ca="1">IFERROR(__xludf.DUMMYFUNCTION("""COMPUTED_VALUE"""),"Pre-seed
Seed
Series A")</f>
        <v>Pre-seed
Seed
Series A</v>
      </c>
      <c r="T198" s="6" t="str">
        <f ca="1">IFERROR(__xludf.DUMMYFUNCTION("""COMPUTED_VALUE"""),"Pre-seed, Seed, Series A")</f>
        <v>Pre-seed, Seed, Series A</v>
      </c>
      <c r="U198" s="6" t="str">
        <f ca="1">IFERROR(__xludf.DUMMYFUNCTION("""COMPUTED_VALUE"""),"Pre-seed, Seed, Series A")</f>
        <v>Pre-seed, Seed, Series A</v>
      </c>
      <c r="V198" s="6"/>
      <c r="W198" s="6" t="str">
        <f ca="1">IFERROR(__xludf.DUMMYFUNCTION("""COMPUTED_VALUE"""),"Invite")</f>
        <v>Invite</v>
      </c>
    </row>
    <row r="199" spans="1:23">
      <c r="A199" s="6" t="str">
        <f ca="1">IFERROR(__xludf.DUMMYFUNCTION("""COMPUTED_VALUE"""),"Man, Man")</f>
        <v>Man, Man</v>
      </c>
      <c r="B199" s="6" t="str">
        <f ca="1">IFERROR(__xludf.DUMMYFUNCTION("""COMPUTED_VALUE"""),"Antlia Bioscience, Inc.   _2022")</f>
        <v>Antlia Bioscience, Inc.   _2022</v>
      </c>
      <c r="C199" s="6" t="str">
        <f ca="1">IFERROR(__xludf.DUMMYFUNCTION("""COMPUTED_VALUE"""),"Life Sciences")</f>
        <v>Life Sciences</v>
      </c>
      <c r="D199" s="6" t="str">
        <f ca="1">IFERROR(__xludf.DUMMYFUNCTION("""COMPUTED_VALUE"""),"Encinitas, CA 
United States")</f>
        <v>Encinitas, CA 
United States</v>
      </c>
      <c r="E199" s="6" t="str">
        <f ca="1">IFERROR(__xludf.DUMMYFUNCTION("""COMPUTED_VALUE"""),"West Coast")</f>
        <v>West Coast</v>
      </c>
      <c r="F199" s="6" t="str">
        <f ca="1">IFERROR(__xludf.DUMMYFUNCTION("""COMPUTED_VALUE"""),"Man")</f>
        <v>Man</v>
      </c>
      <c r="G199" s="6" t="str">
        <f ca="1">IFERROR(__xludf.DUMMYFUNCTION("""COMPUTED_VALUE"""),"Man")</f>
        <v>Man</v>
      </c>
      <c r="H199" s="6"/>
      <c r="I199" s="6"/>
      <c r="J199" s="6"/>
      <c r="K199" s="6"/>
      <c r="L199" s="6" t="str">
        <f ca="1">IFERROR(__xludf.DUMMYFUNCTION("""COMPUTED_VALUE"""),"No")</f>
        <v>No</v>
      </c>
      <c r="M199" s="6"/>
      <c r="N199" s="6"/>
      <c r="O199" s="6" t="str">
        <f ca="1">IFERROR(__xludf.DUMMYFUNCTION("""COMPUTED_VALUE"""),"Referral")</f>
        <v>Referral</v>
      </c>
      <c r="P199" s="6"/>
      <c r="Q199" s="6" t="str">
        <f ca="1">IFERROR(__xludf.DUMMYFUNCTION("""COMPUTED_VALUE"""),"No")</f>
        <v>No</v>
      </c>
      <c r="R199" s="6">
        <f ca="1">IFERROR(__xludf.DUMMYFUNCTION("""COMPUTED_VALUE"""),2)</f>
        <v>2</v>
      </c>
      <c r="S199" s="6" t="str">
        <f ca="1">IFERROR(__xludf.DUMMYFUNCTION("""COMPUTED_VALUE"""),"Pre-seed
Seed")</f>
        <v>Pre-seed
Seed</v>
      </c>
      <c r="T199" s="6" t="str">
        <f ca="1">IFERROR(__xludf.DUMMYFUNCTION("""COMPUTED_VALUE"""),"Pre-seed, Seed")</f>
        <v>Pre-seed, Seed</v>
      </c>
      <c r="U199" s="6" t="str">
        <f ca="1">IFERROR(__xludf.DUMMYFUNCTION("""COMPUTED_VALUE"""),"Pre-seed, Seed")</f>
        <v>Pre-seed, Seed</v>
      </c>
      <c r="V199" s="6"/>
      <c r="W199" s="6" t="str">
        <f ca="1">IFERROR(__xludf.DUMMYFUNCTION("""COMPUTED_VALUE"""),"Invite")</f>
        <v>Invite</v>
      </c>
    </row>
    <row r="200" spans="1:23">
      <c r="A200" s="6" t="str">
        <f ca="1">IFERROR(__xludf.DUMMYFUNCTION("""COMPUTED_VALUE"""),"Woman")</f>
        <v>Woman</v>
      </c>
      <c r="B200" s="6" t="str">
        <f ca="1">IFERROR(__xludf.DUMMYFUNCTION("""COMPUTED_VALUE"""),"Raylon (subject to change) _2022")</f>
        <v>Raylon (subject to change) _2022</v>
      </c>
      <c r="C200" s="6" t="str">
        <f ca="1">IFERROR(__xludf.DUMMYFUNCTION("""COMPUTED_VALUE"""),"Digital Tech")</f>
        <v>Digital Tech</v>
      </c>
      <c r="D200" s="6" t="str">
        <f ca="1">IFERROR(__xludf.DUMMYFUNCTION("""COMPUTED_VALUE"""),"Cambridge, MA 
United States")</f>
        <v>Cambridge, MA 
United States</v>
      </c>
      <c r="E200" s="6" t="str">
        <f ca="1">IFERROR(__xludf.DUMMYFUNCTION("""COMPUTED_VALUE"""),"East Coast")</f>
        <v>East Coast</v>
      </c>
      <c r="F200" s="6" t="str">
        <f ca="1">IFERROR(__xludf.DUMMYFUNCTION("""COMPUTED_VALUE"""),"Woman")</f>
        <v>Woman</v>
      </c>
      <c r="G200" s="6"/>
      <c r="H200" s="6"/>
      <c r="I200" s="6"/>
      <c r="J200" s="6"/>
      <c r="K200" s="6"/>
      <c r="L200" s="6" t="str">
        <f ca="1">IFERROR(__xludf.DUMMYFUNCTION("""COMPUTED_VALUE"""),"No")</f>
        <v>No</v>
      </c>
      <c r="M200" s="6"/>
      <c r="N200" s="6"/>
      <c r="O200" s="6" t="str">
        <f ca="1">IFERROR(__xludf.DUMMYFUNCTION("""COMPUTED_VALUE"""),"Other")</f>
        <v>Other</v>
      </c>
      <c r="P200" s="6"/>
      <c r="Q200" s="6" t="str">
        <f ca="1">IFERROR(__xludf.DUMMYFUNCTION("""COMPUTED_VALUE"""),"No")</f>
        <v>No</v>
      </c>
      <c r="R200" s="6">
        <f ca="1">IFERROR(__xludf.DUMMYFUNCTION("""COMPUTED_VALUE"""),1)</f>
        <v>1</v>
      </c>
      <c r="S200" s="6" t="str">
        <f ca="1">IFERROR(__xludf.DUMMYFUNCTION("""COMPUTED_VALUE"""),"Other: University funding")</f>
        <v>Other: University funding</v>
      </c>
      <c r="T200" s="6" t="str">
        <f ca="1">IFERROR(__xludf.DUMMYFUNCTION("""COMPUTED_VALUE"""),"Other: University funding")</f>
        <v>Other: University funding</v>
      </c>
      <c r="U200" s="6" t="str">
        <f ca="1">IFERROR(__xludf.DUMMYFUNCTION("""COMPUTED_VALUE"""),"University funding")</f>
        <v>University funding</v>
      </c>
      <c r="V200" s="6"/>
      <c r="W200" s="6" t="str">
        <f ca="1">IFERROR(__xludf.DUMMYFUNCTION("""COMPUTED_VALUE"""),"Invite Next Year")</f>
        <v>Invite Next Year</v>
      </c>
    </row>
    <row r="201" spans="1:23">
      <c r="A201" s="6" t="str">
        <f ca="1">IFERROR(__xludf.DUMMYFUNCTION("""COMPUTED_VALUE"""),"Man")</f>
        <v>Man</v>
      </c>
      <c r="B201" s="6" t="str">
        <f ca="1">IFERROR(__xludf.DUMMYFUNCTION("""COMPUTED_VALUE"""),"Crypto-Z _2022")</f>
        <v>Crypto-Z _2022</v>
      </c>
      <c r="C201" s="6" t="str">
        <f ca="1">IFERROR(__xludf.DUMMYFUNCTION("""COMPUTED_VALUE"""),"Digital Tech")</f>
        <v>Digital Tech</v>
      </c>
      <c r="D201" s="6" t="str">
        <f ca="1">IFERROR(__xludf.DUMMYFUNCTION("""COMPUTED_VALUE"""),"Cape Coral, Florida 
United States")</f>
        <v>Cape Coral, Florida 
United States</v>
      </c>
      <c r="E201" s="6" t="str">
        <f ca="1">IFERROR(__xludf.DUMMYFUNCTION("""COMPUTED_VALUE"""),"East Coast")</f>
        <v>East Coast</v>
      </c>
      <c r="F201" s="6" t="str">
        <f ca="1">IFERROR(__xludf.DUMMYFUNCTION("""COMPUTED_VALUE"""),"Man")</f>
        <v>Man</v>
      </c>
      <c r="G201" s="6"/>
      <c r="H201" s="6"/>
      <c r="I201" s="6"/>
      <c r="J201" s="6"/>
      <c r="K201" s="6"/>
      <c r="L201" s="6" t="str">
        <f ca="1">IFERROR(__xludf.DUMMYFUNCTION("""COMPUTED_VALUE"""),"Yes")</f>
        <v>Yes</v>
      </c>
      <c r="M201" s="6" t="str">
        <f ca="1">IFERROR(__xludf.DUMMYFUNCTION("""COMPUTED_VALUE"""),"NYU Faculty")</f>
        <v>NYU Faculty</v>
      </c>
      <c r="N201" s="6"/>
      <c r="O201" s="6" t="str">
        <f ca="1">IFERROR(__xludf.DUMMYFUNCTION("""COMPUTED_VALUE"""),"Referral")</f>
        <v>Referral</v>
      </c>
      <c r="P201" s="6"/>
      <c r="Q201" s="6" t="str">
        <f ca="1">IFERROR(__xludf.DUMMYFUNCTION("""COMPUTED_VALUE"""),"No")</f>
        <v>No</v>
      </c>
      <c r="R201" s="6">
        <f ca="1">IFERROR(__xludf.DUMMYFUNCTION("""COMPUTED_VALUE"""),1)</f>
        <v>1</v>
      </c>
      <c r="S201" s="6" t="str">
        <f ca="1">IFERROR(__xludf.DUMMYFUNCTION("""COMPUTED_VALUE"""),"None")</f>
        <v>None</v>
      </c>
      <c r="T201" s="6" t="str">
        <f ca="1">IFERROR(__xludf.DUMMYFUNCTION("""COMPUTED_VALUE"""),"None")</f>
        <v>None</v>
      </c>
      <c r="U201" s="6" t="str">
        <f ca="1">IFERROR(__xludf.DUMMYFUNCTION("""COMPUTED_VALUE"""),"None")</f>
        <v>None</v>
      </c>
      <c r="V201" s="6"/>
      <c r="W201" s="6" t="str">
        <f ca="1">IFERROR(__xludf.DUMMYFUNCTION("""COMPUTED_VALUE"""),"Invite Next Year")</f>
        <v>Invite Next Year</v>
      </c>
    </row>
    <row r="202" spans="1:23">
      <c r="A202" s="6" t="str">
        <f ca="1">IFERROR(__xludf.DUMMYFUNCTION("""COMPUTED_VALUE"""),"Man, --Please select--, --Please select--")</f>
        <v>Man, --Please select--, --Please select--</v>
      </c>
      <c r="B202" s="6" t="str">
        <f ca="1">IFERROR(__xludf.DUMMYFUNCTION("""COMPUTED_VALUE"""),"Iocure, Inc. _2022")</f>
        <v>Iocure, Inc. _2022</v>
      </c>
      <c r="C202" s="6" t="str">
        <f ca="1">IFERROR(__xludf.DUMMYFUNCTION("""COMPUTED_VALUE"""),"Life Sciences")</f>
        <v>Life Sciences</v>
      </c>
      <c r="D202" s="6" t="str">
        <f ca="1">IFERROR(__xludf.DUMMYFUNCTION("""COMPUTED_VALUE"""),"Lawrence, NY 
United States")</f>
        <v>Lawrence, NY 
United States</v>
      </c>
      <c r="E202" s="6" t="str">
        <f ca="1">IFERROR(__xludf.DUMMYFUNCTION("""COMPUTED_VALUE"""),"New York")</f>
        <v>New York</v>
      </c>
      <c r="F202" s="6" t="str">
        <f ca="1">IFERROR(__xludf.DUMMYFUNCTION("""COMPUTED_VALUE"""),"Man")</f>
        <v>Man</v>
      </c>
      <c r="G202" s="6" t="str">
        <f ca="1">IFERROR(__xludf.DUMMYFUNCTION("""COMPUTED_VALUE"""),"--Please select--")</f>
        <v>--Please select--</v>
      </c>
      <c r="H202" s="6" t="str">
        <f ca="1">IFERROR(__xludf.DUMMYFUNCTION("""COMPUTED_VALUE"""),"--Please select--")</f>
        <v>--Please select--</v>
      </c>
      <c r="I202" s="6"/>
      <c r="J202" s="6"/>
      <c r="K202" s="6"/>
      <c r="L202" s="6" t="str">
        <f ca="1">IFERROR(__xludf.DUMMYFUNCTION("""COMPUTED_VALUE"""),"No")</f>
        <v>No</v>
      </c>
      <c r="M202" s="6"/>
      <c r="N202" s="6"/>
      <c r="O202" s="6" t="str">
        <f ca="1">IFERROR(__xludf.DUMMYFUNCTION("""COMPUTED_VALUE"""),"Referral")</f>
        <v>Referral</v>
      </c>
      <c r="P202" s="6"/>
      <c r="Q202" s="6" t="str">
        <f ca="1">IFERROR(__xludf.DUMMYFUNCTION("""COMPUTED_VALUE"""),"No")</f>
        <v>No</v>
      </c>
      <c r="R202" s="6">
        <f ca="1">IFERROR(__xludf.DUMMYFUNCTION("""COMPUTED_VALUE"""),3)</f>
        <v>3</v>
      </c>
      <c r="S202" s="6" t="str">
        <f ca="1">IFERROR(__xludf.DUMMYFUNCTION("""COMPUTED_VALUE"""),"Pre-seed")</f>
        <v>Pre-seed</v>
      </c>
      <c r="T202" s="6" t="str">
        <f ca="1">IFERROR(__xludf.DUMMYFUNCTION("""COMPUTED_VALUE"""),"Pre-seed")</f>
        <v>Pre-seed</v>
      </c>
      <c r="U202" s="6" t="str">
        <f ca="1">IFERROR(__xludf.DUMMYFUNCTION("""COMPUTED_VALUE"""),"Pre-seed")</f>
        <v>Pre-seed</v>
      </c>
      <c r="V202" s="6"/>
      <c r="W202" s="6" t="str">
        <f ca="1">IFERROR(__xludf.DUMMYFUNCTION("""COMPUTED_VALUE"""),"Invite Next Year")</f>
        <v>Invite Next Year</v>
      </c>
    </row>
    <row r="203" spans="1:23">
      <c r="A203" s="6" t="str">
        <f ca="1">IFERROR(__xludf.DUMMYFUNCTION("""COMPUTED_VALUE"""),"Man, Man")</f>
        <v>Man, Man</v>
      </c>
      <c r="B203" s="6" t="str">
        <f ca="1">IFERROR(__xludf.DUMMYFUNCTION("""COMPUTED_VALUE"""),"Celise BioProducts _2022")</f>
        <v>Celise BioProducts _2022</v>
      </c>
      <c r="C203" s="6" t="str">
        <f ca="1">IFERROR(__xludf.DUMMYFUNCTION("""COMPUTED_VALUE"""),"Deep Tech")</f>
        <v>Deep Tech</v>
      </c>
      <c r="D203" s="6" t="str">
        <f ca="1">IFERROR(__xludf.DUMMYFUNCTION("""COMPUTED_VALUE"""),"Arlington, Virginia 
United States")</f>
        <v>Arlington, Virginia 
United States</v>
      </c>
      <c r="E203" s="6" t="str">
        <f ca="1">IFERROR(__xludf.DUMMYFUNCTION("""COMPUTED_VALUE"""),"East Coast")</f>
        <v>East Coast</v>
      </c>
      <c r="F203" s="6" t="str">
        <f ca="1">IFERROR(__xludf.DUMMYFUNCTION("""COMPUTED_VALUE"""),"Man")</f>
        <v>Man</v>
      </c>
      <c r="G203" s="6" t="str">
        <f ca="1">IFERROR(__xludf.DUMMYFUNCTION("""COMPUTED_VALUE"""),"Man")</f>
        <v>Man</v>
      </c>
      <c r="H203" s="6"/>
      <c r="I203" s="6"/>
      <c r="J203" s="6"/>
      <c r="K203" s="6"/>
      <c r="L203" s="6" t="str">
        <f ca="1">IFERROR(__xludf.DUMMYFUNCTION("""COMPUTED_VALUE"""),"No")</f>
        <v>No</v>
      </c>
      <c r="M203" s="6"/>
      <c r="N203" s="6"/>
      <c r="O203" s="6" t="str">
        <f ca="1">IFERROR(__xludf.DUMMYFUNCTION("""COMPUTED_VALUE"""),"Email")</f>
        <v>Email</v>
      </c>
      <c r="P203" s="6"/>
      <c r="Q203" s="6" t="str">
        <f ca="1">IFERROR(__xludf.DUMMYFUNCTION("""COMPUTED_VALUE"""),"No")</f>
        <v>No</v>
      </c>
      <c r="R203" s="6">
        <f ca="1">IFERROR(__xludf.DUMMYFUNCTION("""COMPUTED_VALUE"""),2)</f>
        <v>2</v>
      </c>
      <c r="S203" s="6" t="str">
        <f ca="1">IFERROR(__xludf.DUMMYFUNCTION("""COMPUTED_VALUE"""),"Seed
Other: Over $90,000 in collegiate pitch competition winnings used to bootstrap the business in early days")</f>
        <v>Seed
Other: Over $90,000 in collegiate pitch competition winnings used to bootstrap the business in early days</v>
      </c>
      <c r="T203" s="6" t="str">
        <f ca="1">IFERROR(__xludf.DUMMYFUNCTION("""COMPUTED_VALUE"""),"Seed, Other: Over $90,000 in collegiate pitch competition winnings used to bootstrap the business in early days")</f>
        <v>Seed, Other: Over $90,000 in collegiate pitch competition winnings used to bootstrap the business in early days</v>
      </c>
      <c r="U203" s="6" t="str">
        <f ca="1">IFERROR(__xludf.DUMMYFUNCTION("""COMPUTED_VALUE"""),"Seed, ")</f>
        <v xml:space="preserve">Seed, </v>
      </c>
      <c r="V203" s="6" t="str">
        <f ca="1">IFERROR(__xludf.DUMMYFUNCTION("""COMPUTED_VALUE"""),"Over $90,000 in collegiate pitch competition winnings used to bootstrap the business in early days")</f>
        <v>Over $90,000 in collegiate pitch competition winnings used to bootstrap the business in early days</v>
      </c>
      <c r="W203" s="6" t="str">
        <f ca="1">IFERROR(__xludf.DUMMYFUNCTION("""COMPUTED_VALUE"""),"Invite Next Year")</f>
        <v>Invite Next Year</v>
      </c>
    </row>
    <row r="204" spans="1:23">
      <c r="A204" s="6" t="str">
        <f ca="1">IFERROR(__xludf.DUMMYFUNCTION("""COMPUTED_VALUE"""),"Man, Woman, Man")</f>
        <v>Man, Woman, Man</v>
      </c>
      <c r="B204" s="6" t="str">
        <f ca="1">IFERROR(__xludf.DUMMYFUNCTION("""COMPUTED_VALUE"""),"A&amp;K Robotics _2022")</f>
        <v>A&amp;K Robotics _2022</v>
      </c>
      <c r="C204" s="6" t="str">
        <f ca="1">IFERROR(__xludf.DUMMYFUNCTION("""COMPUTED_VALUE"""),"Deep Tech")</f>
        <v>Deep Tech</v>
      </c>
      <c r="D204" s="6" t="str">
        <f ca="1">IFERROR(__xludf.DUMMYFUNCTION("""COMPUTED_VALUE"""),"Vancouver , BC 
Canada")</f>
        <v>Vancouver , BC 
Canada</v>
      </c>
      <c r="E204" s="6" t="str">
        <f ca="1">IFERROR(__xludf.DUMMYFUNCTION("""COMPUTED_VALUE"""),"International - Americas")</f>
        <v>International - Americas</v>
      </c>
      <c r="F204" s="6" t="str">
        <f ca="1">IFERROR(__xludf.DUMMYFUNCTION("""COMPUTED_VALUE"""),"Man")</f>
        <v>Man</v>
      </c>
      <c r="G204" s="6" t="str">
        <f ca="1">IFERROR(__xludf.DUMMYFUNCTION("""COMPUTED_VALUE"""),"Woman")</f>
        <v>Woman</v>
      </c>
      <c r="H204" s="6" t="str">
        <f ca="1">IFERROR(__xludf.DUMMYFUNCTION("""COMPUTED_VALUE"""),"Man")</f>
        <v>Man</v>
      </c>
      <c r="I204" s="6"/>
      <c r="J204" s="6"/>
      <c r="K204" s="6"/>
      <c r="L204" s="6" t="str">
        <f ca="1">IFERROR(__xludf.DUMMYFUNCTION("""COMPUTED_VALUE"""),"No")</f>
        <v>No</v>
      </c>
      <c r="M204" s="6"/>
      <c r="N204" s="6"/>
      <c r="O204" s="6" t="str">
        <f ca="1">IFERROR(__xludf.DUMMYFUNCTION("""COMPUTED_VALUE"""),"Email")</f>
        <v>Email</v>
      </c>
      <c r="P204" s="6"/>
      <c r="Q204" s="6" t="str">
        <f ca="1">IFERROR(__xludf.DUMMYFUNCTION("""COMPUTED_VALUE"""),"No")</f>
        <v>No</v>
      </c>
      <c r="R204" s="6">
        <f ca="1">IFERROR(__xludf.DUMMYFUNCTION("""COMPUTED_VALUE"""),3)</f>
        <v>3</v>
      </c>
      <c r="S204" s="6" t="str">
        <f ca="1">IFERROR(__xludf.DUMMYFUNCTION("""COMPUTED_VALUE"""),"Pre-seed
Seed
Grants")</f>
        <v>Pre-seed
Seed
Grants</v>
      </c>
      <c r="T204" s="6" t="str">
        <f ca="1">IFERROR(__xludf.DUMMYFUNCTION("""COMPUTED_VALUE"""),"Pre-seed, Seed, Grants")</f>
        <v>Pre-seed, Seed, Grants</v>
      </c>
      <c r="U204" s="6" t="str">
        <f ca="1">IFERROR(__xludf.DUMMYFUNCTION("""COMPUTED_VALUE"""),"Pre-seed, Seed, Grants")</f>
        <v>Pre-seed, Seed, Grants</v>
      </c>
      <c r="V204" s="6"/>
      <c r="W204" s="6" t="str">
        <f ca="1">IFERROR(__xludf.DUMMYFUNCTION("""COMPUTED_VALUE"""),"Invite")</f>
        <v>Invite</v>
      </c>
    </row>
    <row r="205" spans="1:23">
      <c r="A205" s="6" t="str">
        <f ca="1">IFERROR(__xludf.DUMMYFUNCTION("""COMPUTED_VALUE"""),"Woman, Man")</f>
        <v>Woman, Man</v>
      </c>
      <c r="B205" s="6" t="str">
        <f ca="1">IFERROR(__xludf.DUMMYFUNCTION("""COMPUTED_VALUE"""),"Nume _2022")</f>
        <v>Nume _2022</v>
      </c>
      <c r="C205" s="6" t="str">
        <f ca="1">IFERROR(__xludf.DUMMYFUNCTION("""COMPUTED_VALUE"""),"Digital Tech")</f>
        <v>Digital Tech</v>
      </c>
      <c r="D205" s="6" t="str">
        <f ca="1">IFERROR(__xludf.DUMMYFUNCTION("""COMPUTED_VALUE"""),"Solon 210, CDMX 
Mexico")</f>
        <v>Solon 210, CDMX 
Mexico</v>
      </c>
      <c r="E205" s="6" t="str">
        <f ca="1">IFERROR(__xludf.DUMMYFUNCTION("""COMPUTED_VALUE"""),"International - Americas")</f>
        <v>International - Americas</v>
      </c>
      <c r="F205" s="6" t="str">
        <f ca="1">IFERROR(__xludf.DUMMYFUNCTION("""COMPUTED_VALUE"""),"Woman")</f>
        <v>Woman</v>
      </c>
      <c r="G205" s="6" t="str">
        <f ca="1">IFERROR(__xludf.DUMMYFUNCTION("""COMPUTED_VALUE"""),"Man")</f>
        <v>Man</v>
      </c>
      <c r="H205" s="6"/>
      <c r="I205" s="6"/>
      <c r="J205" s="6"/>
      <c r="K205" s="6"/>
      <c r="L205" s="6" t="str">
        <f ca="1">IFERROR(__xludf.DUMMYFUNCTION("""COMPUTED_VALUE"""),"No")</f>
        <v>No</v>
      </c>
      <c r="M205" s="6"/>
      <c r="N205" s="6"/>
      <c r="O205" s="6" t="str">
        <f ca="1">IFERROR(__xludf.DUMMYFUNCTION("""COMPUTED_VALUE"""),"Email")</f>
        <v>Email</v>
      </c>
      <c r="P205" s="6"/>
      <c r="Q205" s="6" t="str">
        <f ca="1">IFERROR(__xludf.DUMMYFUNCTION("""COMPUTED_VALUE"""),"No")</f>
        <v>No</v>
      </c>
      <c r="R205" s="6">
        <f ca="1">IFERROR(__xludf.DUMMYFUNCTION("""COMPUTED_VALUE"""),2)</f>
        <v>2</v>
      </c>
      <c r="S205" s="6" t="str">
        <f ca="1">IFERROR(__xludf.DUMMYFUNCTION("""COMPUTED_VALUE"""),"Pre-seed")</f>
        <v>Pre-seed</v>
      </c>
      <c r="T205" s="6" t="str">
        <f ca="1">IFERROR(__xludf.DUMMYFUNCTION("""COMPUTED_VALUE"""),"Pre-seed")</f>
        <v>Pre-seed</v>
      </c>
      <c r="U205" s="6" t="str">
        <f ca="1">IFERROR(__xludf.DUMMYFUNCTION("""COMPUTED_VALUE"""),"Pre-seed")</f>
        <v>Pre-seed</v>
      </c>
      <c r="V205" s="6"/>
      <c r="W205" s="6" t="str">
        <f ca="1">IFERROR(__xludf.DUMMYFUNCTION("""COMPUTED_VALUE"""),"Invite Next Year")</f>
        <v>Invite Next Year</v>
      </c>
    </row>
    <row r="206" spans="1:23">
      <c r="A206" s="6" t="str">
        <f ca="1">IFERROR(__xludf.DUMMYFUNCTION("""COMPUTED_VALUE"""),"Man, Man")</f>
        <v>Man, Man</v>
      </c>
      <c r="B206" s="6" t="str">
        <f ca="1">IFERROR(__xludf.DUMMYFUNCTION("""COMPUTED_VALUE"""),"Lumirithmic Limited _2022")</f>
        <v>Lumirithmic Limited _2022</v>
      </c>
      <c r="C206" s="6" t="str">
        <f ca="1">IFERROR(__xludf.DUMMYFUNCTION("""COMPUTED_VALUE"""),"Deep Tech")</f>
        <v>Deep Tech</v>
      </c>
      <c r="D206" s="6" t="str">
        <f ca="1">IFERROR(__xludf.DUMMYFUNCTION("""COMPUTED_VALUE"""),"63 St Mary Axe, London 
United Kingdom")</f>
        <v>63 St Mary Axe, London 
United Kingdom</v>
      </c>
      <c r="E206" s="6" t="str">
        <f ca="1">IFERROR(__xludf.DUMMYFUNCTION("""COMPUTED_VALUE"""),"International - Europe")</f>
        <v>International - Europe</v>
      </c>
      <c r="F206" s="6" t="str">
        <f ca="1">IFERROR(__xludf.DUMMYFUNCTION("""COMPUTED_VALUE"""),"Man")</f>
        <v>Man</v>
      </c>
      <c r="G206" s="6" t="str">
        <f ca="1">IFERROR(__xludf.DUMMYFUNCTION("""COMPUTED_VALUE"""),"Man")</f>
        <v>Man</v>
      </c>
      <c r="H206" s="6"/>
      <c r="I206" s="6"/>
      <c r="J206" s="6"/>
      <c r="K206" s="6"/>
      <c r="L206" s="6" t="str">
        <f ca="1">IFERROR(__xludf.DUMMYFUNCTION("""COMPUTED_VALUE"""),"Yes")</f>
        <v>Yes</v>
      </c>
      <c r="M206" s="6" t="str">
        <f ca="1">IFERROR(__xludf.DUMMYFUNCTION("""COMPUTED_VALUE"""),"NYU Alumni")</f>
        <v>NYU Alumni</v>
      </c>
      <c r="N206" s="6"/>
      <c r="O206" s="6" t="str">
        <f ca="1">IFERROR(__xludf.DUMMYFUNCTION("""COMPUTED_VALUE"""),"Other")</f>
        <v>Other</v>
      </c>
      <c r="P206" s="6"/>
      <c r="Q206" s="6" t="str">
        <f ca="1">IFERROR(__xludf.DUMMYFUNCTION("""COMPUTED_VALUE"""),"No")</f>
        <v>No</v>
      </c>
      <c r="R206" s="6">
        <f ca="1">IFERROR(__xludf.DUMMYFUNCTION("""COMPUTED_VALUE"""),2)</f>
        <v>2</v>
      </c>
      <c r="S206" s="6" t="str">
        <f ca="1">IFERROR(__xludf.DUMMYFUNCTION("""COMPUTED_VALUE"""),"Pre-seed
Seed
Grants")</f>
        <v>Pre-seed
Seed
Grants</v>
      </c>
      <c r="T206" s="6" t="str">
        <f ca="1">IFERROR(__xludf.DUMMYFUNCTION("""COMPUTED_VALUE"""),"Pre-seed, Seed, Grants")</f>
        <v>Pre-seed, Seed, Grants</v>
      </c>
      <c r="U206" s="6" t="str">
        <f ca="1">IFERROR(__xludf.DUMMYFUNCTION("""COMPUTED_VALUE"""),"Pre-seed, Seed, Grants")</f>
        <v>Pre-seed, Seed, Grants</v>
      </c>
      <c r="V206" s="6"/>
      <c r="W206" s="6" t="str">
        <f ca="1">IFERROR(__xludf.DUMMYFUNCTION("""COMPUTED_VALUE"""),"Invite")</f>
        <v>Invite</v>
      </c>
    </row>
    <row r="207" spans="1:23">
      <c r="A207" s="6" t="str">
        <f ca="1">IFERROR(__xludf.DUMMYFUNCTION("""COMPUTED_VALUE"""),"Man, Woman, Man, Man")</f>
        <v>Man, Woman, Man, Man</v>
      </c>
      <c r="B207" s="6" t="str">
        <f ca="1">IFERROR(__xludf.DUMMYFUNCTION("""COMPUTED_VALUE"""),"Renew Risk _2022")</f>
        <v>Renew Risk _2022</v>
      </c>
      <c r="C207" s="6" t="str">
        <f ca="1">IFERROR(__xludf.DUMMYFUNCTION("""COMPUTED_VALUE"""),"Deep Tech")</f>
        <v>Deep Tech</v>
      </c>
      <c r="D207" s="6" t="str">
        <f ca="1">IFERROR(__xludf.DUMMYFUNCTION("""COMPUTED_VALUE"""),"63 St Mary Axe, London 
United Kingdom")</f>
        <v>63 St Mary Axe, London 
United Kingdom</v>
      </c>
      <c r="E207" s="6" t="str">
        <f ca="1">IFERROR(__xludf.DUMMYFUNCTION("""COMPUTED_VALUE"""),"International - Europe")</f>
        <v>International - Europe</v>
      </c>
      <c r="F207" s="6" t="str">
        <f ca="1">IFERROR(__xludf.DUMMYFUNCTION("""COMPUTED_VALUE"""),"Man")</f>
        <v>Man</v>
      </c>
      <c r="G207" s="6" t="str">
        <f ca="1">IFERROR(__xludf.DUMMYFUNCTION("""COMPUTED_VALUE"""),"Woman")</f>
        <v>Woman</v>
      </c>
      <c r="H207" s="6" t="str">
        <f ca="1">IFERROR(__xludf.DUMMYFUNCTION("""COMPUTED_VALUE"""),"Man")</f>
        <v>Man</v>
      </c>
      <c r="I207" s="6" t="str">
        <f ca="1">IFERROR(__xludf.DUMMYFUNCTION("""COMPUTED_VALUE"""),"Man")</f>
        <v>Man</v>
      </c>
      <c r="J207" s="6"/>
      <c r="K207" s="6"/>
      <c r="L207" s="6" t="str">
        <f ca="1">IFERROR(__xludf.DUMMYFUNCTION("""COMPUTED_VALUE"""),"Yes")</f>
        <v>Yes</v>
      </c>
      <c r="M207" s="6" t="str">
        <f ca="1">IFERROR(__xludf.DUMMYFUNCTION("""COMPUTED_VALUE"""),"NYU Alumni")</f>
        <v>NYU Alumni</v>
      </c>
      <c r="N207" s="6"/>
      <c r="O207" s="6" t="str">
        <f ca="1">IFERROR(__xludf.DUMMYFUNCTION("""COMPUTED_VALUE"""),"Other")</f>
        <v>Other</v>
      </c>
      <c r="P207" s="6"/>
      <c r="Q207" s="6" t="str">
        <f ca="1">IFERROR(__xludf.DUMMYFUNCTION("""COMPUTED_VALUE"""),"No")</f>
        <v>No</v>
      </c>
      <c r="R207" s="6">
        <f ca="1">IFERROR(__xludf.DUMMYFUNCTION("""COMPUTED_VALUE"""),4)</f>
        <v>4</v>
      </c>
      <c r="S207" s="6" t="str">
        <f ca="1">IFERROR(__xludf.DUMMYFUNCTION("""COMPUTED_VALUE"""),"Pre-seed
Grants")</f>
        <v>Pre-seed
Grants</v>
      </c>
      <c r="T207" s="6" t="str">
        <f ca="1">IFERROR(__xludf.DUMMYFUNCTION("""COMPUTED_VALUE"""),"Pre-seed, Grants")</f>
        <v>Pre-seed, Grants</v>
      </c>
      <c r="U207" s="6" t="str">
        <f ca="1">IFERROR(__xludf.DUMMYFUNCTION("""COMPUTED_VALUE"""),"Pre-seed, Grants")</f>
        <v>Pre-seed, Grants</v>
      </c>
      <c r="V207" s="6"/>
      <c r="W207" s="6" t="str">
        <f ca="1">IFERROR(__xludf.DUMMYFUNCTION("""COMPUTED_VALUE"""),"Revisit")</f>
        <v>Revisit</v>
      </c>
    </row>
    <row r="208" spans="1:23">
      <c r="A208" s="6" t="str">
        <f ca="1">IFERROR(__xludf.DUMMYFUNCTION("""COMPUTED_VALUE"""),"Man, Man, Man, Man")</f>
        <v>Man, Man, Man, Man</v>
      </c>
      <c r="B208" s="6" t="str">
        <f ca="1">IFERROR(__xludf.DUMMYFUNCTION("""COMPUTED_VALUE"""),"vadimUS _2022")</f>
        <v>vadimUS _2022</v>
      </c>
      <c r="C208" s="6" t="str">
        <f ca="1">IFERROR(__xludf.DUMMYFUNCTION("""COMPUTED_VALUE"""),"Digital Tech")</f>
        <v>Digital Tech</v>
      </c>
      <c r="D208" s="6" t="str">
        <f ca="1">IFERROR(__xludf.DUMMYFUNCTION("""COMPUTED_VALUE"""),"1275, avenue des Canadiens-de-Montréal, Québec 
Canada")</f>
        <v>1275, avenue des Canadiens-de-Montréal, Québec 
Canada</v>
      </c>
      <c r="E208" s="6" t="str">
        <f ca="1">IFERROR(__xludf.DUMMYFUNCTION("""COMPUTED_VALUE"""),"International - Americas")</f>
        <v>International - Americas</v>
      </c>
      <c r="F208" s="6" t="str">
        <f ca="1">IFERROR(__xludf.DUMMYFUNCTION("""COMPUTED_VALUE"""),"Man")</f>
        <v>Man</v>
      </c>
      <c r="G208" s="6" t="str">
        <f ca="1">IFERROR(__xludf.DUMMYFUNCTION("""COMPUTED_VALUE"""),"Man")</f>
        <v>Man</v>
      </c>
      <c r="H208" s="6" t="str">
        <f ca="1">IFERROR(__xludf.DUMMYFUNCTION("""COMPUTED_VALUE"""),"Man")</f>
        <v>Man</v>
      </c>
      <c r="I208" s="6" t="str">
        <f ca="1">IFERROR(__xludf.DUMMYFUNCTION("""COMPUTED_VALUE"""),"Man")</f>
        <v>Man</v>
      </c>
      <c r="J208" s="6"/>
      <c r="K208" s="6"/>
      <c r="L208" s="6" t="str">
        <f ca="1">IFERROR(__xludf.DUMMYFUNCTION("""COMPUTED_VALUE"""),"--Please select--")</f>
        <v>--Please select--</v>
      </c>
      <c r="M208" s="6"/>
      <c r="N208" s="6"/>
      <c r="O208" s="6" t="str">
        <f ca="1">IFERROR(__xludf.DUMMYFUNCTION("""COMPUTED_VALUE"""),"Other")</f>
        <v>Other</v>
      </c>
      <c r="P208" s="6"/>
      <c r="Q208" s="6" t="str">
        <f ca="1">IFERROR(__xludf.DUMMYFUNCTION("""COMPUTED_VALUE"""),"No")</f>
        <v>No</v>
      </c>
      <c r="R208" s="6">
        <f ca="1">IFERROR(__xludf.DUMMYFUNCTION("""COMPUTED_VALUE"""),4)</f>
        <v>4</v>
      </c>
      <c r="S208" s="6" t="str">
        <f ca="1">IFERROR(__xludf.DUMMYFUNCTION("""COMPUTED_VALUE"""),"Series A")</f>
        <v>Series A</v>
      </c>
      <c r="T208" s="6" t="str">
        <f ca="1">IFERROR(__xludf.DUMMYFUNCTION("""COMPUTED_VALUE"""),"Series A")</f>
        <v>Series A</v>
      </c>
      <c r="U208" s="6" t="str">
        <f ca="1">IFERROR(__xludf.DUMMYFUNCTION("""COMPUTED_VALUE"""),"Series A")</f>
        <v>Series A</v>
      </c>
      <c r="V208" s="6"/>
      <c r="W208" s="6" t="str">
        <f ca="1">IFERROR(__xludf.DUMMYFUNCTION("""COMPUTED_VALUE"""),"Invite")</f>
        <v>Invite</v>
      </c>
    </row>
    <row r="209" spans="1:23">
      <c r="A209" s="6" t="str">
        <f ca="1">IFERROR(__xludf.DUMMYFUNCTION("""COMPUTED_VALUE"""),"Man")</f>
        <v>Man</v>
      </c>
      <c r="B209" s="6" t="str">
        <f ca="1">IFERROR(__xludf.DUMMYFUNCTION("""COMPUTED_VALUE"""),"Axyz (Bundled, Inc.) _2022")</f>
        <v>Axyz (Bundled, Inc.) _2022</v>
      </c>
      <c r="C209" s="6" t="str">
        <f ca="1">IFERROR(__xludf.DUMMYFUNCTION("""COMPUTED_VALUE"""),"Digital Tech")</f>
        <v>Digital Tech</v>
      </c>
      <c r="D209" s="6" t="str">
        <f ca="1">IFERROR(__xludf.DUMMYFUNCTION("""COMPUTED_VALUE"""),"San Clemente, California 
United States")</f>
        <v>San Clemente, California 
United States</v>
      </c>
      <c r="E209" s="6" t="str">
        <f ca="1">IFERROR(__xludf.DUMMYFUNCTION("""COMPUTED_VALUE"""),"West Coast")</f>
        <v>West Coast</v>
      </c>
      <c r="F209" s="6" t="str">
        <f ca="1">IFERROR(__xludf.DUMMYFUNCTION("""COMPUTED_VALUE"""),"Man")</f>
        <v>Man</v>
      </c>
      <c r="G209" s="6"/>
      <c r="H209" s="6"/>
      <c r="I209" s="6"/>
      <c r="J209" s="6"/>
      <c r="K209" s="6"/>
      <c r="L209" s="6" t="str">
        <f ca="1">IFERROR(__xludf.DUMMYFUNCTION("""COMPUTED_VALUE"""),"No")</f>
        <v>No</v>
      </c>
      <c r="M209" s="6"/>
      <c r="N209" s="6"/>
      <c r="O209" s="6" t="str">
        <f ca="1">IFERROR(__xludf.DUMMYFUNCTION("""COMPUTED_VALUE"""),"Email")</f>
        <v>Email</v>
      </c>
      <c r="P209" s="6"/>
      <c r="Q209" s="6" t="str">
        <f ca="1">IFERROR(__xludf.DUMMYFUNCTION("""COMPUTED_VALUE"""),"No")</f>
        <v>No</v>
      </c>
      <c r="R209" s="6">
        <f ca="1">IFERROR(__xludf.DUMMYFUNCTION("""COMPUTED_VALUE"""),1)</f>
        <v>1</v>
      </c>
      <c r="S209" s="6" t="str">
        <f ca="1">IFERROR(__xludf.DUMMYFUNCTION("""COMPUTED_VALUE"""),"None")</f>
        <v>None</v>
      </c>
      <c r="T209" s="6" t="str">
        <f ca="1">IFERROR(__xludf.DUMMYFUNCTION("""COMPUTED_VALUE"""),"None")</f>
        <v>None</v>
      </c>
      <c r="U209" s="6" t="str">
        <f ca="1">IFERROR(__xludf.DUMMYFUNCTION("""COMPUTED_VALUE"""),"None")</f>
        <v>None</v>
      </c>
      <c r="V209" s="6"/>
      <c r="W209" s="6" t="str">
        <f ca="1">IFERROR(__xludf.DUMMYFUNCTION("""COMPUTED_VALUE"""),"Invite Next Year")</f>
        <v>Invite Next Year</v>
      </c>
    </row>
    <row r="210" spans="1:23">
      <c r="A210" s="6" t="str">
        <f ca="1">IFERROR(__xludf.DUMMYFUNCTION("""COMPUTED_VALUE"""),"Woman, Man")</f>
        <v>Woman, Man</v>
      </c>
      <c r="B210" s="6" t="str">
        <f ca="1">IFERROR(__xludf.DUMMYFUNCTION("""COMPUTED_VALUE"""),"Mirrori _2022")</f>
        <v>Mirrori _2022</v>
      </c>
      <c r="C210" s="6" t="str">
        <f ca="1">IFERROR(__xludf.DUMMYFUNCTION("""COMPUTED_VALUE"""),"Digital Tech")</f>
        <v>Digital Tech</v>
      </c>
      <c r="D210" s="6" t="str">
        <f ca="1">IFERROR(__xludf.DUMMYFUNCTION("""COMPUTED_VALUE"""),"Haifa, North 
Israel")</f>
        <v>Haifa, North 
Israel</v>
      </c>
      <c r="E210" s="6" t="str">
        <f ca="1">IFERROR(__xludf.DUMMYFUNCTION("""COMPUTED_VALUE"""),"International - Middle East")</f>
        <v>International - Middle East</v>
      </c>
      <c r="F210" s="6" t="str">
        <f ca="1">IFERROR(__xludf.DUMMYFUNCTION("""COMPUTED_VALUE"""),"Woman")</f>
        <v>Woman</v>
      </c>
      <c r="G210" s="6" t="str">
        <f ca="1">IFERROR(__xludf.DUMMYFUNCTION("""COMPUTED_VALUE"""),"Man")</f>
        <v>Man</v>
      </c>
      <c r="H210" s="6"/>
      <c r="I210" s="6"/>
      <c r="J210" s="6"/>
      <c r="K210" s="6"/>
      <c r="L210" s="6" t="str">
        <f ca="1">IFERROR(__xludf.DUMMYFUNCTION("""COMPUTED_VALUE"""),"No")</f>
        <v>No</v>
      </c>
      <c r="M210" s="6"/>
      <c r="N210" s="6"/>
      <c r="O210" s="6" t="str">
        <f ca="1">IFERROR(__xludf.DUMMYFUNCTION("""COMPUTED_VALUE"""),"Search Engine")</f>
        <v>Search Engine</v>
      </c>
      <c r="P210" s="6"/>
      <c r="Q210" s="6" t="str">
        <f ca="1">IFERROR(__xludf.DUMMYFUNCTION("""COMPUTED_VALUE"""),"No")</f>
        <v>No</v>
      </c>
      <c r="R210" s="6">
        <f ca="1">IFERROR(__xludf.DUMMYFUNCTION("""COMPUTED_VALUE"""),2)</f>
        <v>2</v>
      </c>
      <c r="S210" s="6" t="str">
        <f ca="1">IFERROR(__xludf.DUMMYFUNCTION("""COMPUTED_VALUE"""),"Pre-seed")</f>
        <v>Pre-seed</v>
      </c>
      <c r="T210" s="6" t="str">
        <f ca="1">IFERROR(__xludf.DUMMYFUNCTION("""COMPUTED_VALUE"""),"Pre-seed")</f>
        <v>Pre-seed</v>
      </c>
      <c r="U210" s="6" t="str">
        <f ca="1">IFERROR(__xludf.DUMMYFUNCTION("""COMPUTED_VALUE"""),"Pre-seed")</f>
        <v>Pre-seed</v>
      </c>
      <c r="V210" s="6"/>
      <c r="W210" s="6" t="str">
        <f ca="1">IFERROR(__xludf.DUMMYFUNCTION("""COMPUTED_VALUE"""),"Invite Next Year")</f>
        <v>Invite Next Year</v>
      </c>
    </row>
    <row r="211" spans="1:23">
      <c r="A211" s="6" t="str">
        <f ca="1">IFERROR(__xludf.DUMMYFUNCTION("""COMPUTED_VALUE"""),"Man, Man, Man")</f>
        <v>Man, Man, Man</v>
      </c>
      <c r="B211" s="6" t="str">
        <f ca="1">IFERROR(__xludf.DUMMYFUNCTION("""COMPUTED_VALUE"""),"GetChkd Inc. _2022")</f>
        <v>GetChkd Inc. _2022</v>
      </c>
      <c r="C211" s="6" t="str">
        <f ca="1">IFERROR(__xludf.DUMMYFUNCTION("""COMPUTED_VALUE"""),"Digital Tech")</f>
        <v>Digital Tech</v>
      </c>
      <c r="D211" s="6" t="str">
        <f ca="1">IFERROR(__xludf.DUMMYFUNCTION("""COMPUTED_VALUE"""),"Dallas, TX 
United States")</f>
        <v>Dallas, TX 
United States</v>
      </c>
      <c r="E211" s="6" t="str">
        <f ca="1">IFERROR(__xludf.DUMMYFUNCTION("""COMPUTED_VALUE"""),"South")</f>
        <v>South</v>
      </c>
      <c r="F211" s="6" t="str">
        <f ca="1">IFERROR(__xludf.DUMMYFUNCTION("""COMPUTED_VALUE"""),"Man")</f>
        <v>Man</v>
      </c>
      <c r="G211" s="6" t="str">
        <f ca="1">IFERROR(__xludf.DUMMYFUNCTION("""COMPUTED_VALUE"""),"Man")</f>
        <v>Man</v>
      </c>
      <c r="H211" s="6" t="str">
        <f ca="1">IFERROR(__xludf.DUMMYFUNCTION("""COMPUTED_VALUE"""),"Man")</f>
        <v>Man</v>
      </c>
      <c r="I211" s="6"/>
      <c r="J211" s="6"/>
      <c r="K211" s="6"/>
      <c r="L211" s="6" t="str">
        <f ca="1">IFERROR(__xludf.DUMMYFUNCTION("""COMPUTED_VALUE"""),"No")</f>
        <v>No</v>
      </c>
      <c r="M211" s="6"/>
      <c r="N211" s="6"/>
      <c r="O211" s="6" t="str">
        <f ca="1">IFERROR(__xludf.DUMMYFUNCTION("""COMPUTED_VALUE"""),"Referral")</f>
        <v>Referral</v>
      </c>
      <c r="P211" s="6"/>
      <c r="Q211" s="6" t="str">
        <f ca="1">IFERROR(__xludf.DUMMYFUNCTION("""COMPUTED_VALUE"""),"No")</f>
        <v>No</v>
      </c>
      <c r="R211" s="6">
        <f ca="1">IFERROR(__xludf.DUMMYFUNCTION("""COMPUTED_VALUE"""),3)</f>
        <v>3</v>
      </c>
      <c r="S211" s="6" t="str">
        <f ca="1">IFERROR(__xludf.DUMMYFUNCTION("""COMPUTED_VALUE"""),"Pre-seed")</f>
        <v>Pre-seed</v>
      </c>
      <c r="T211" s="6" t="str">
        <f ca="1">IFERROR(__xludf.DUMMYFUNCTION("""COMPUTED_VALUE"""),"Pre-seed")</f>
        <v>Pre-seed</v>
      </c>
      <c r="U211" s="6" t="str">
        <f ca="1">IFERROR(__xludf.DUMMYFUNCTION("""COMPUTED_VALUE"""),"Pre-seed")</f>
        <v>Pre-seed</v>
      </c>
      <c r="V211" s="6"/>
      <c r="W211" s="6" t="str">
        <f ca="1">IFERROR(__xludf.DUMMYFUNCTION("""COMPUTED_VALUE"""),"Invite Next Year")</f>
        <v>Invite Next Year</v>
      </c>
    </row>
    <row r="212" spans="1:23">
      <c r="A212" s="6" t="str">
        <f ca="1">IFERROR(__xludf.DUMMYFUNCTION("""COMPUTED_VALUE"""),"Woman")</f>
        <v>Woman</v>
      </c>
      <c r="B212" s="6" t="str">
        <f ca="1">IFERROR(__xludf.DUMMYFUNCTION("""COMPUTED_VALUE"""),"LumosTech, Inc. _2022")</f>
        <v>LumosTech, Inc. _2022</v>
      </c>
      <c r="C212" s="6" t="str">
        <f ca="1">IFERROR(__xludf.DUMMYFUNCTION("""COMPUTED_VALUE"""),"Deep Tech")</f>
        <v>Deep Tech</v>
      </c>
      <c r="D212" s="6" t="str">
        <f ca="1">IFERROR(__xludf.DUMMYFUNCTION("""COMPUTED_VALUE"""),"San Francisco, California 
United States")</f>
        <v>San Francisco, California 
United States</v>
      </c>
      <c r="E212" s="6" t="str">
        <f ca="1">IFERROR(__xludf.DUMMYFUNCTION("""COMPUTED_VALUE"""),"West Coast")</f>
        <v>West Coast</v>
      </c>
      <c r="F212" s="6" t="str">
        <f ca="1">IFERROR(__xludf.DUMMYFUNCTION("""COMPUTED_VALUE"""),"Woman")</f>
        <v>Woman</v>
      </c>
      <c r="G212" s="6"/>
      <c r="H212" s="6"/>
      <c r="I212" s="6"/>
      <c r="J212" s="6"/>
      <c r="K212" s="6"/>
      <c r="L212" s="6" t="str">
        <f ca="1">IFERROR(__xludf.DUMMYFUNCTION("""COMPUTED_VALUE"""),"No")</f>
        <v>No</v>
      </c>
      <c r="M212" s="6"/>
      <c r="N212" s="6"/>
      <c r="O212" s="6" t="str">
        <f ca="1">IFERROR(__xludf.DUMMYFUNCTION("""COMPUTED_VALUE"""),"Email")</f>
        <v>Email</v>
      </c>
      <c r="P212" s="6"/>
      <c r="Q212" s="6" t="str">
        <f ca="1">IFERROR(__xludf.DUMMYFUNCTION("""COMPUTED_VALUE"""),"No")</f>
        <v>No</v>
      </c>
      <c r="R212" s="6">
        <f ca="1">IFERROR(__xludf.DUMMYFUNCTION("""COMPUTED_VALUE"""),1)</f>
        <v>1</v>
      </c>
      <c r="S212" s="6" t="str">
        <f ca="1">IFERROR(__xludf.DUMMYFUNCTION("""COMPUTED_VALUE"""),"Pre-seed")</f>
        <v>Pre-seed</v>
      </c>
      <c r="T212" s="6" t="str">
        <f ca="1">IFERROR(__xludf.DUMMYFUNCTION("""COMPUTED_VALUE"""),"Pre-seed")</f>
        <v>Pre-seed</v>
      </c>
      <c r="U212" s="6" t="str">
        <f ca="1">IFERROR(__xludf.DUMMYFUNCTION("""COMPUTED_VALUE"""),"Pre-seed")</f>
        <v>Pre-seed</v>
      </c>
      <c r="V212" s="6"/>
      <c r="W212" s="6" t="str">
        <f ca="1">IFERROR(__xludf.DUMMYFUNCTION("""COMPUTED_VALUE"""),"Invite")</f>
        <v>Invite</v>
      </c>
    </row>
    <row r="213" spans="1:23">
      <c r="A213" s="6" t="str">
        <f ca="1">IFERROR(__xludf.DUMMYFUNCTION("""COMPUTED_VALUE"""),"Prefer not to respond, Man, Non-binary, Man")</f>
        <v>Prefer not to respond, Man, Non-binary, Man</v>
      </c>
      <c r="B213" s="6" t="str">
        <f ca="1">IFERROR(__xludf.DUMMYFUNCTION("""COMPUTED_VALUE"""),"Nixtla _2022")</f>
        <v>Nixtla _2022</v>
      </c>
      <c r="C213" s="6" t="str">
        <f ca="1">IFERROR(__xludf.DUMMYFUNCTION("""COMPUTED_VALUE"""),"Deep Tech")</f>
        <v>Deep Tech</v>
      </c>
      <c r="D213" s="6" t="str">
        <f ca="1">IFERROR(__xludf.DUMMYFUNCTION("""COMPUTED_VALUE"""),"PITTSBURGH, PA 
United States")</f>
        <v>PITTSBURGH, PA 
United States</v>
      </c>
      <c r="E213" s="6" t="str">
        <f ca="1">IFERROR(__xludf.DUMMYFUNCTION("""COMPUTED_VALUE"""),"East Coast")</f>
        <v>East Coast</v>
      </c>
      <c r="F213" s="6" t="str">
        <f ca="1">IFERROR(__xludf.DUMMYFUNCTION("""COMPUTED_VALUE"""),"Prefer not to respond")</f>
        <v>Prefer not to respond</v>
      </c>
      <c r="G213" s="6" t="str">
        <f ca="1">IFERROR(__xludf.DUMMYFUNCTION("""COMPUTED_VALUE"""),"Man")</f>
        <v>Man</v>
      </c>
      <c r="H213" s="6" t="str">
        <f ca="1">IFERROR(__xludf.DUMMYFUNCTION("""COMPUTED_VALUE"""),"Non-binary")</f>
        <v>Non-binary</v>
      </c>
      <c r="I213" s="6" t="str">
        <f ca="1">IFERROR(__xludf.DUMMYFUNCTION("""COMPUTED_VALUE"""),"Man")</f>
        <v>Man</v>
      </c>
      <c r="J213" s="6"/>
      <c r="K213" s="6"/>
      <c r="L213" s="6" t="str">
        <f ca="1">IFERROR(__xludf.DUMMYFUNCTION("""COMPUTED_VALUE"""),"No")</f>
        <v>No</v>
      </c>
      <c r="M213" s="6"/>
      <c r="N213" s="6"/>
      <c r="O213" s="6" t="str">
        <f ca="1">IFERROR(__xludf.DUMMYFUNCTION("""COMPUTED_VALUE"""),"A web posting")</f>
        <v>A web posting</v>
      </c>
      <c r="P213" s="6"/>
      <c r="Q213" s="6" t="str">
        <f ca="1">IFERROR(__xludf.DUMMYFUNCTION("""COMPUTED_VALUE"""),"No")</f>
        <v>No</v>
      </c>
      <c r="R213" s="6">
        <f ca="1">IFERROR(__xludf.DUMMYFUNCTION("""COMPUTED_VALUE"""),4)</f>
        <v>4</v>
      </c>
      <c r="S213" s="6" t="str">
        <f ca="1">IFERROR(__xludf.DUMMYFUNCTION("""COMPUTED_VALUE"""),"Pre-seed")</f>
        <v>Pre-seed</v>
      </c>
      <c r="T213" s="6" t="str">
        <f ca="1">IFERROR(__xludf.DUMMYFUNCTION("""COMPUTED_VALUE"""),"Pre-seed")</f>
        <v>Pre-seed</v>
      </c>
      <c r="U213" s="6" t="str">
        <f ca="1">IFERROR(__xludf.DUMMYFUNCTION("""COMPUTED_VALUE"""),"Pre-seed")</f>
        <v>Pre-seed</v>
      </c>
      <c r="V213" s="6"/>
      <c r="W213" s="6" t="str">
        <f ca="1">IFERROR(__xludf.DUMMYFUNCTION("""COMPUTED_VALUE"""),"Revisit")</f>
        <v>Revisit</v>
      </c>
    </row>
    <row r="214" spans="1:23">
      <c r="A214" s="6" t="str">
        <f ca="1">IFERROR(__xludf.DUMMYFUNCTION("""COMPUTED_VALUE"""),"Man")</f>
        <v>Man</v>
      </c>
      <c r="B214" s="6" t="str">
        <f ca="1">IFERROR(__xludf.DUMMYFUNCTION("""COMPUTED_VALUE"""),"Logie _2022")</f>
        <v>Logie _2022</v>
      </c>
      <c r="C214" s="6" t="str">
        <f ca="1">IFERROR(__xludf.DUMMYFUNCTION("""COMPUTED_VALUE"""),"Digital Tech")</f>
        <v>Digital Tech</v>
      </c>
      <c r="D214" s="6" t="str">
        <f ca="1">IFERROR(__xludf.DUMMYFUNCTION("""COMPUTED_VALUE"""),"Union City, NJ 
United States")</f>
        <v>Union City, NJ 
United States</v>
      </c>
      <c r="E214" s="6" t="str">
        <f ca="1">IFERROR(__xludf.DUMMYFUNCTION("""COMPUTED_VALUE"""),"East Coast")</f>
        <v>East Coast</v>
      </c>
      <c r="F214" s="6" t="str">
        <f ca="1">IFERROR(__xludf.DUMMYFUNCTION("""COMPUTED_VALUE"""),"Man")</f>
        <v>Man</v>
      </c>
      <c r="G214" s="6"/>
      <c r="H214" s="6"/>
      <c r="I214" s="6"/>
      <c r="J214" s="6"/>
      <c r="K214" s="6"/>
      <c r="L214" s="6" t="str">
        <f ca="1">IFERROR(__xludf.DUMMYFUNCTION("""COMPUTED_VALUE"""),"No")</f>
        <v>No</v>
      </c>
      <c r="M214" s="6"/>
      <c r="N214" s="6"/>
      <c r="O214" s="6" t="str">
        <f ca="1">IFERROR(__xludf.DUMMYFUNCTION("""COMPUTED_VALUE"""),"Other")</f>
        <v>Other</v>
      </c>
      <c r="P214" s="6"/>
      <c r="Q214" s="6" t="str">
        <f ca="1">IFERROR(__xludf.DUMMYFUNCTION("""COMPUTED_VALUE"""),"No")</f>
        <v>No</v>
      </c>
      <c r="R214" s="6">
        <f ca="1">IFERROR(__xludf.DUMMYFUNCTION("""COMPUTED_VALUE"""),1)</f>
        <v>1</v>
      </c>
      <c r="S214" s="6" t="str">
        <f ca="1">IFERROR(__xludf.DUMMYFUNCTION("""COMPUTED_VALUE"""),"Pre-seed")</f>
        <v>Pre-seed</v>
      </c>
      <c r="T214" s="6" t="str">
        <f ca="1">IFERROR(__xludf.DUMMYFUNCTION("""COMPUTED_VALUE"""),"Pre-seed")</f>
        <v>Pre-seed</v>
      </c>
      <c r="U214" s="6" t="str">
        <f ca="1">IFERROR(__xludf.DUMMYFUNCTION("""COMPUTED_VALUE"""),"Pre-seed")</f>
        <v>Pre-seed</v>
      </c>
      <c r="V214" s="6"/>
      <c r="W214" s="6" t="str">
        <f ca="1">IFERROR(__xludf.DUMMYFUNCTION("""COMPUTED_VALUE"""),"Invite Next Year")</f>
        <v>Invite Next Year</v>
      </c>
    </row>
    <row r="215" spans="1:23">
      <c r="A215" s="6" t="str">
        <f ca="1">IFERROR(__xludf.DUMMYFUNCTION("""COMPUTED_VALUE"""),"Man, Man")</f>
        <v>Man, Man</v>
      </c>
      <c r="B215" s="6" t="str">
        <f ca="1">IFERROR(__xludf.DUMMYFUNCTION("""COMPUTED_VALUE"""),"PlateRate _2022")</f>
        <v>PlateRate _2022</v>
      </c>
      <c r="C215" s="6" t="str">
        <f ca="1">IFERROR(__xludf.DUMMYFUNCTION("""COMPUTED_VALUE"""),"Digital Tech")</f>
        <v>Digital Tech</v>
      </c>
      <c r="D215" s="6" t="str">
        <f ca="1">IFERROR(__xludf.DUMMYFUNCTION("""COMPUTED_VALUE"""),"457 FDR Dr. Suite A105, New York 
United States")</f>
        <v>457 FDR Dr. Suite A105, New York 
United States</v>
      </c>
      <c r="E215" s="6" t="str">
        <f ca="1">IFERROR(__xludf.DUMMYFUNCTION("""COMPUTED_VALUE"""),"New York")</f>
        <v>New York</v>
      </c>
      <c r="F215" s="6" t="str">
        <f ca="1">IFERROR(__xludf.DUMMYFUNCTION("""COMPUTED_VALUE"""),"Man")</f>
        <v>Man</v>
      </c>
      <c r="G215" s="6" t="str">
        <f ca="1">IFERROR(__xludf.DUMMYFUNCTION("""COMPUTED_VALUE"""),"Man")</f>
        <v>Man</v>
      </c>
      <c r="H215" s="6"/>
      <c r="I215" s="6"/>
      <c r="J215" s="6"/>
      <c r="K215" s="6"/>
      <c r="L215" s="6" t="str">
        <f ca="1">IFERROR(__xludf.DUMMYFUNCTION("""COMPUTED_VALUE"""),"No")</f>
        <v>No</v>
      </c>
      <c r="M215" s="6"/>
      <c r="N215" s="6"/>
      <c r="O215" s="6" t="str">
        <f ca="1">IFERROR(__xludf.DUMMYFUNCTION("""COMPUTED_VALUE"""),"Other")</f>
        <v>Other</v>
      </c>
      <c r="P215" s="6"/>
      <c r="Q215" s="6" t="str">
        <f ca="1">IFERROR(__xludf.DUMMYFUNCTION("""COMPUTED_VALUE"""),"No")</f>
        <v>No</v>
      </c>
      <c r="R215" s="6">
        <f ca="1">IFERROR(__xludf.DUMMYFUNCTION("""COMPUTED_VALUE"""),2)</f>
        <v>2</v>
      </c>
      <c r="S215" s="6" t="str">
        <f ca="1">IFERROR(__xludf.DUMMYFUNCTION("""COMPUTED_VALUE"""),"Other: Funded by founders only")</f>
        <v>Other: Funded by founders only</v>
      </c>
      <c r="T215" s="6" t="str">
        <f ca="1">IFERROR(__xludf.DUMMYFUNCTION("""COMPUTED_VALUE"""),"Other: Funded by founders only")</f>
        <v>Other: Funded by founders only</v>
      </c>
      <c r="U215" s="6" t="str">
        <f ca="1">IFERROR(__xludf.DUMMYFUNCTION("""COMPUTED_VALUE"""),"Funded by founders only")</f>
        <v>Funded by founders only</v>
      </c>
      <c r="V215" s="6"/>
      <c r="W215" s="6" t="str">
        <f ca="1">IFERROR(__xludf.DUMMYFUNCTION("""COMPUTED_VALUE"""),"Invite Next Year")</f>
        <v>Invite Next Year</v>
      </c>
    </row>
    <row r="216" spans="1:23">
      <c r="A216" s="6" t="str">
        <f ca="1">IFERROR(__xludf.DUMMYFUNCTION("""COMPUTED_VALUE"""),"Man")</f>
        <v>Man</v>
      </c>
      <c r="B216" s="6" t="str">
        <f ca="1">IFERROR(__xludf.DUMMYFUNCTION("""COMPUTED_VALUE"""),"iThrive _2022")</f>
        <v>iThrive _2022</v>
      </c>
      <c r="C216" s="6" t="str">
        <f ca="1">IFERROR(__xludf.DUMMYFUNCTION("""COMPUTED_VALUE"""),"Digital Tech")</f>
        <v>Digital Tech</v>
      </c>
      <c r="D216" s="6" t="str">
        <f ca="1">IFERROR(__xludf.DUMMYFUNCTION("""COMPUTED_VALUE"""),"620 Newport Center Drive, Newport Center - Suite 1100, Newport Beach, California 
United States")</f>
        <v>620 Newport Center Drive, Newport Center - Suite 1100, Newport Beach, California 
United States</v>
      </c>
      <c r="E216" s="6" t="str">
        <f ca="1">IFERROR(__xludf.DUMMYFUNCTION("""COMPUTED_VALUE"""),"East Coast")</f>
        <v>East Coast</v>
      </c>
      <c r="F216" s="6" t="str">
        <f ca="1">IFERROR(__xludf.DUMMYFUNCTION("""COMPUTED_VALUE"""),"Man")</f>
        <v>Man</v>
      </c>
      <c r="G216" s="6"/>
      <c r="H216" s="6"/>
      <c r="I216" s="6"/>
      <c r="J216" s="6"/>
      <c r="K216" s="6"/>
      <c r="L216" s="6" t="str">
        <f ca="1">IFERROR(__xludf.DUMMYFUNCTION("""COMPUTED_VALUE"""),"No")</f>
        <v>No</v>
      </c>
      <c r="M216" s="6"/>
      <c r="N216" s="6"/>
      <c r="O216" s="6" t="str">
        <f ca="1">IFERROR(__xludf.DUMMYFUNCTION("""COMPUTED_VALUE"""),"Referral")</f>
        <v>Referral</v>
      </c>
      <c r="P216" s="6"/>
      <c r="Q216" s="6" t="str">
        <f ca="1">IFERROR(__xludf.DUMMYFUNCTION("""COMPUTED_VALUE"""),"No")</f>
        <v>No</v>
      </c>
      <c r="R216" s="6">
        <f ca="1">IFERROR(__xludf.DUMMYFUNCTION("""COMPUTED_VALUE"""),1)</f>
        <v>1</v>
      </c>
      <c r="S216" s="6" t="str">
        <f ca="1">IFERROR(__xludf.DUMMYFUNCTION("""COMPUTED_VALUE"""),"None")</f>
        <v>None</v>
      </c>
      <c r="T216" s="6" t="str">
        <f ca="1">IFERROR(__xludf.DUMMYFUNCTION("""COMPUTED_VALUE"""),"None")</f>
        <v>None</v>
      </c>
      <c r="U216" s="6" t="str">
        <f ca="1">IFERROR(__xludf.DUMMYFUNCTION("""COMPUTED_VALUE"""),"None")</f>
        <v>None</v>
      </c>
      <c r="V216" s="6"/>
      <c r="W216" s="6" t="str">
        <f ca="1">IFERROR(__xludf.DUMMYFUNCTION("""COMPUTED_VALUE"""),"Invite Next Year")</f>
        <v>Invite Next Year</v>
      </c>
    </row>
    <row r="217" spans="1:23">
      <c r="A217" s="6" t="str">
        <f ca="1">IFERROR(__xludf.DUMMYFUNCTION("""COMPUTED_VALUE"""),"Man")</f>
        <v>Man</v>
      </c>
      <c r="B217" s="6" t="str">
        <f ca="1">IFERROR(__xludf.DUMMYFUNCTION("""COMPUTED_VALUE"""),"Safety Arms Systems _2022")</f>
        <v>Safety Arms Systems _2022</v>
      </c>
      <c r="C217" s="6" t="str">
        <f ca="1">IFERROR(__xludf.DUMMYFUNCTION("""COMPUTED_VALUE"""),"Deep Tech")</f>
        <v>Deep Tech</v>
      </c>
      <c r="D217" s="6" t="str">
        <f ca="1">IFERROR(__xludf.DUMMYFUNCTION("""COMPUTED_VALUE"""),"21457 Pumice Ln. Wildomar, California 
United States")</f>
        <v>21457 Pumice Ln. Wildomar, California 
United States</v>
      </c>
      <c r="E217" s="6" t="str">
        <f ca="1">IFERROR(__xludf.DUMMYFUNCTION("""COMPUTED_VALUE"""),"West Coast")</f>
        <v>West Coast</v>
      </c>
      <c r="F217" s="6" t="str">
        <f ca="1">IFERROR(__xludf.DUMMYFUNCTION("""COMPUTED_VALUE"""),"Man")</f>
        <v>Man</v>
      </c>
      <c r="G217" s="6"/>
      <c r="H217" s="6"/>
      <c r="I217" s="6"/>
      <c r="J217" s="6"/>
      <c r="K217" s="6"/>
      <c r="L217" s="6" t="str">
        <f ca="1">IFERROR(__xludf.DUMMYFUNCTION("""COMPUTED_VALUE"""),"No")</f>
        <v>No</v>
      </c>
      <c r="M217" s="6"/>
      <c r="N217" s="6"/>
      <c r="O217" s="6" t="str">
        <f ca="1">IFERROR(__xludf.DUMMYFUNCTION("""COMPUTED_VALUE"""),"Referral")</f>
        <v>Referral</v>
      </c>
      <c r="P217" s="6"/>
      <c r="Q217" s="6" t="str">
        <f ca="1">IFERROR(__xludf.DUMMYFUNCTION("""COMPUTED_VALUE"""),"No")</f>
        <v>No</v>
      </c>
      <c r="R217" s="6">
        <f ca="1">IFERROR(__xludf.DUMMYFUNCTION("""COMPUTED_VALUE"""),1)</f>
        <v>1</v>
      </c>
      <c r="S217" s="6" t="str">
        <f ca="1">IFERROR(__xludf.DUMMYFUNCTION("""COMPUTED_VALUE"""),"None")</f>
        <v>None</v>
      </c>
      <c r="T217" s="6" t="str">
        <f ca="1">IFERROR(__xludf.DUMMYFUNCTION("""COMPUTED_VALUE"""),"None")</f>
        <v>None</v>
      </c>
      <c r="U217" s="6" t="str">
        <f ca="1">IFERROR(__xludf.DUMMYFUNCTION("""COMPUTED_VALUE"""),"None")</f>
        <v>None</v>
      </c>
      <c r="V217" s="6"/>
      <c r="W217" s="6" t="str">
        <f ca="1">IFERROR(__xludf.DUMMYFUNCTION("""COMPUTED_VALUE"""),"Revisit")</f>
        <v>Revisit</v>
      </c>
    </row>
    <row r="218" spans="1:23">
      <c r="A218" s="6" t="str">
        <f ca="1">IFERROR(__xludf.DUMMYFUNCTION("""COMPUTED_VALUE"""),"Man, Man")</f>
        <v>Man, Man</v>
      </c>
      <c r="B218" s="6" t="str">
        <f ca="1">IFERROR(__xludf.DUMMYFUNCTION("""COMPUTED_VALUE"""),"ADRESS AS _2022")</f>
        <v>ADRESS AS _2022</v>
      </c>
      <c r="C218" s="6" t="str">
        <f ca="1">IFERROR(__xludf.DUMMYFUNCTION("""COMPUTED_VALUE"""),"Digital Tech")</f>
        <v>Digital Tech</v>
      </c>
      <c r="D218" s="6" t="str">
        <f ca="1">IFERROR(__xludf.DUMMYFUNCTION("""COMPUTED_VALUE"""),"Oslo, Oslo 
Norway")</f>
        <v>Oslo, Oslo 
Norway</v>
      </c>
      <c r="E218" s="6" t="str">
        <f ca="1">IFERROR(__xludf.DUMMYFUNCTION("""COMPUTED_VALUE"""),"International - Europe")</f>
        <v>International - Europe</v>
      </c>
      <c r="F218" s="6" t="str">
        <f ca="1">IFERROR(__xludf.DUMMYFUNCTION("""COMPUTED_VALUE"""),"Man")</f>
        <v>Man</v>
      </c>
      <c r="G218" s="6" t="str">
        <f ca="1">IFERROR(__xludf.DUMMYFUNCTION("""COMPUTED_VALUE"""),"Man")</f>
        <v>Man</v>
      </c>
      <c r="H218" s="6"/>
      <c r="I218" s="6"/>
      <c r="J218" s="6"/>
      <c r="K218" s="6"/>
      <c r="L218" s="6" t="str">
        <f ca="1">IFERROR(__xludf.DUMMYFUNCTION("""COMPUTED_VALUE"""),"No")</f>
        <v>No</v>
      </c>
      <c r="M218" s="6"/>
      <c r="N218" s="6"/>
      <c r="O218" s="6" t="str">
        <f ca="1">IFERROR(__xludf.DUMMYFUNCTION("""COMPUTED_VALUE"""),"NYU Newsletter")</f>
        <v>NYU Newsletter</v>
      </c>
      <c r="P218" s="6"/>
      <c r="Q218" s="6" t="str">
        <f ca="1">IFERROR(__xludf.DUMMYFUNCTION("""COMPUTED_VALUE"""),"No")</f>
        <v>No</v>
      </c>
      <c r="R218" s="6">
        <f ca="1">IFERROR(__xludf.DUMMYFUNCTION("""COMPUTED_VALUE"""),2)</f>
        <v>2</v>
      </c>
      <c r="S218" s="6" t="str">
        <f ca="1">IFERROR(__xludf.DUMMYFUNCTION("""COMPUTED_VALUE"""),"Pre-seed")</f>
        <v>Pre-seed</v>
      </c>
      <c r="T218" s="6" t="str">
        <f ca="1">IFERROR(__xludf.DUMMYFUNCTION("""COMPUTED_VALUE"""),"Pre-seed")</f>
        <v>Pre-seed</v>
      </c>
      <c r="U218" s="6" t="str">
        <f ca="1">IFERROR(__xludf.DUMMYFUNCTION("""COMPUTED_VALUE"""),"Pre-seed")</f>
        <v>Pre-seed</v>
      </c>
      <c r="V218" s="6"/>
      <c r="W218" s="6" t="str">
        <f ca="1">IFERROR(__xludf.DUMMYFUNCTION("""COMPUTED_VALUE"""),"Invite Next Year")</f>
        <v>Invite Next Year</v>
      </c>
    </row>
    <row r="219" spans="1:23">
      <c r="A219" s="6" t="str">
        <f ca="1">IFERROR(__xludf.DUMMYFUNCTION("""COMPUTED_VALUE"""),"Woman, Woman")</f>
        <v>Woman, Woman</v>
      </c>
      <c r="B219" s="6" t="str">
        <f ca="1">IFERROR(__xludf.DUMMYFUNCTION("""COMPUTED_VALUE"""),"Factinsect _2022")</f>
        <v>Factinsect _2022</v>
      </c>
      <c r="C219" s="6" t="str">
        <f ca="1">IFERROR(__xludf.DUMMYFUNCTION("""COMPUTED_VALUE"""),"Digital Tech")</f>
        <v>Digital Tech</v>
      </c>
      <c r="D219" s="6" t="str">
        <f ca="1">IFERROR(__xludf.DUMMYFUNCTION("""COMPUTED_VALUE"""),"Stremayrgasse 16/IV 8010 Graz, Steiermark 
Austria")</f>
        <v>Stremayrgasse 16/IV 8010 Graz, Steiermark 
Austria</v>
      </c>
      <c r="E219" s="6" t="str">
        <f ca="1">IFERROR(__xludf.DUMMYFUNCTION("""COMPUTED_VALUE"""),"International - Europe")</f>
        <v>International - Europe</v>
      </c>
      <c r="F219" s="6" t="str">
        <f ca="1">IFERROR(__xludf.DUMMYFUNCTION("""COMPUTED_VALUE"""),"Woman")</f>
        <v>Woman</v>
      </c>
      <c r="G219" s="6" t="str">
        <f ca="1">IFERROR(__xludf.DUMMYFUNCTION("""COMPUTED_VALUE"""),"Woman")</f>
        <v>Woman</v>
      </c>
      <c r="H219" s="6"/>
      <c r="I219" s="6"/>
      <c r="J219" s="6"/>
      <c r="K219" s="6"/>
      <c r="L219" s="6" t="str">
        <f ca="1">IFERROR(__xludf.DUMMYFUNCTION("""COMPUTED_VALUE"""),"No")</f>
        <v>No</v>
      </c>
      <c r="M219" s="6"/>
      <c r="N219" s="6"/>
      <c r="O219" s="6" t="str">
        <f ca="1">IFERROR(__xludf.DUMMYFUNCTION("""COMPUTED_VALUE"""),"Conference")</f>
        <v>Conference</v>
      </c>
      <c r="P219" s="6"/>
      <c r="Q219" s="6" t="str">
        <f ca="1">IFERROR(__xludf.DUMMYFUNCTION("""COMPUTED_VALUE"""),"No")</f>
        <v>No</v>
      </c>
      <c r="R219" s="6">
        <f ca="1">IFERROR(__xludf.DUMMYFUNCTION("""COMPUTED_VALUE"""),2)</f>
        <v>2</v>
      </c>
      <c r="S219" s="6" t="str">
        <f ca="1">IFERROR(__xludf.DUMMYFUNCTION("""COMPUTED_VALUE"""),"Pre-seed
Grants")</f>
        <v>Pre-seed
Grants</v>
      </c>
      <c r="T219" s="6" t="str">
        <f ca="1">IFERROR(__xludf.DUMMYFUNCTION("""COMPUTED_VALUE"""),"Pre-seed, Grants")</f>
        <v>Pre-seed, Grants</v>
      </c>
      <c r="U219" s="6" t="str">
        <f ca="1">IFERROR(__xludf.DUMMYFUNCTION("""COMPUTED_VALUE"""),"Pre-seed, Grants")</f>
        <v>Pre-seed, Grants</v>
      </c>
      <c r="V219" s="6"/>
      <c r="W219" s="6" t="str">
        <f ca="1">IFERROR(__xludf.DUMMYFUNCTION("""COMPUTED_VALUE"""),"Invite Next Year")</f>
        <v>Invite Next Year</v>
      </c>
    </row>
    <row r="220" spans="1:23">
      <c r="A220" s="6" t="str">
        <f ca="1">IFERROR(__xludf.DUMMYFUNCTION("""COMPUTED_VALUE"""),"Man")</f>
        <v>Man</v>
      </c>
      <c r="B220" s="6" t="str">
        <f ca="1">IFERROR(__xludf.DUMMYFUNCTION("""COMPUTED_VALUE"""),"SAGEFirst, Inc. _2022")</f>
        <v>SAGEFirst, Inc. _2022</v>
      </c>
      <c r="C220" s="6" t="str">
        <f ca="1">IFERROR(__xludf.DUMMYFUNCTION("""COMPUTED_VALUE"""),"Digital Tech")</f>
        <v>Digital Tech</v>
      </c>
      <c r="D220" s="6" t="str">
        <f ca="1">IFERROR(__xludf.DUMMYFUNCTION("""COMPUTED_VALUE"""),"P.O. Box 10092 Amarillo , Texas 
United States")</f>
        <v>P.O. Box 10092 Amarillo , Texas 
United States</v>
      </c>
      <c r="E220" s="6" t="str">
        <f ca="1">IFERROR(__xludf.DUMMYFUNCTION("""COMPUTED_VALUE"""),"South")</f>
        <v>South</v>
      </c>
      <c r="F220" s="6" t="str">
        <f ca="1">IFERROR(__xludf.DUMMYFUNCTION("""COMPUTED_VALUE"""),"Man")</f>
        <v>Man</v>
      </c>
      <c r="G220" s="6"/>
      <c r="H220" s="6"/>
      <c r="I220" s="6"/>
      <c r="J220" s="6"/>
      <c r="K220" s="6"/>
      <c r="L220" s="6" t="str">
        <f ca="1">IFERROR(__xludf.DUMMYFUNCTION("""COMPUTED_VALUE"""),"No")</f>
        <v>No</v>
      </c>
      <c r="M220" s="6"/>
      <c r="N220" s="6"/>
      <c r="O220" s="6" t="str">
        <f ca="1">IFERROR(__xludf.DUMMYFUNCTION("""COMPUTED_VALUE"""),"NYU Newsletter")</f>
        <v>NYU Newsletter</v>
      </c>
      <c r="P220" s="6"/>
      <c r="Q220" s="6" t="str">
        <f ca="1">IFERROR(__xludf.DUMMYFUNCTION("""COMPUTED_VALUE"""),"No")</f>
        <v>No</v>
      </c>
      <c r="R220" s="6">
        <f ca="1">IFERROR(__xludf.DUMMYFUNCTION("""COMPUTED_VALUE"""),1)</f>
        <v>1</v>
      </c>
      <c r="S220" s="6" t="str">
        <f ca="1">IFERROR(__xludf.DUMMYFUNCTION("""COMPUTED_VALUE"""),"None
Other: Self-funded")</f>
        <v>None
Other: Self-funded</v>
      </c>
      <c r="T220" s="6" t="str">
        <f ca="1">IFERROR(__xludf.DUMMYFUNCTION("""COMPUTED_VALUE"""),"None, Other: Self-funded")</f>
        <v>None, Other: Self-funded</v>
      </c>
      <c r="U220" s="6" t="str">
        <f ca="1">IFERROR(__xludf.DUMMYFUNCTION("""COMPUTED_VALUE"""),"None, ")</f>
        <v xml:space="preserve">None, </v>
      </c>
      <c r="V220" s="6" t="str">
        <f ca="1">IFERROR(__xludf.DUMMYFUNCTION("""COMPUTED_VALUE"""),"Self-funded")</f>
        <v>Self-funded</v>
      </c>
      <c r="W220" s="6" t="str">
        <f ca="1">IFERROR(__xludf.DUMMYFUNCTION("""COMPUTED_VALUE"""),"Invite Next Year")</f>
        <v>Invite Next Year</v>
      </c>
    </row>
    <row r="221" spans="1:23">
      <c r="A221" s="6" t="str">
        <f ca="1">IFERROR(__xludf.DUMMYFUNCTION("""COMPUTED_VALUE"""),"Man, Man, Man")</f>
        <v>Man, Man, Man</v>
      </c>
      <c r="B221" s="6" t="str">
        <f ca="1">IFERROR(__xludf.DUMMYFUNCTION("""COMPUTED_VALUE"""),"Biodimension Technology Pvt Ltd _2022")</f>
        <v>Biodimension Technology Pvt Ltd _2022</v>
      </c>
      <c r="C221" s="6" t="str">
        <f ca="1">IFERROR(__xludf.DUMMYFUNCTION("""COMPUTED_VALUE"""),"Life Sciences")</f>
        <v>Life Sciences</v>
      </c>
      <c r="D221" s="6" t="str">
        <f ca="1">IFERROR(__xludf.DUMMYFUNCTION("""COMPUTED_VALUE"""),"002C&amp;D, Technology Tower, VIT University, Vellore-632014, Tamilnadu 
India")</f>
        <v>002C&amp;D, Technology Tower, VIT University, Vellore-632014, Tamilnadu 
India</v>
      </c>
      <c r="E221" s="6" t="str">
        <f ca="1">IFERROR(__xludf.DUMMYFUNCTION("""COMPUTED_VALUE"""),"International - Asia")</f>
        <v>International - Asia</v>
      </c>
      <c r="F221" s="6" t="str">
        <f ca="1">IFERROR(__xludf.DUMMYFUNCTION("""COMPUTED_VALUE"""),"Man")</f>
        <v>Man</v>
      </c>
      <c r="G221" s="6" t="str">
        <f ca="1">IFERROR(__xludf.DUMMYFUNCTION("""COMPUTED_VALUE"""),"Man")</f>
        <v>Man</v>
      </c>
      <c r="H221" s="6" t="str">
        <f ca="1">IFERROR(__xludf.DUMMYFUNCTION("""COMPUTED_VALUE"""),"Man")</f>
        <v>Man</v>
      </c>
      <c r="I221" s="6"/>
      <c r="J221" s="6"/>
      <c r="K221" s="6"/>
      <c r="L221" s="6" t="str">
        <f ca="1">IFERROR(__xludf.DUMMYFUNCTION("""COMPUTED_VALUE"""),"No")</f>
        <v>No</v>
      </c>
      <c r="M221" s="6"/>
      <c r="N221" s="6"/>
      <c r="O221" s="6" t="str">
        <f ca="1">IFERROR(__xludf.DUMMYFUNCTION("""COMPUTED_VALUE"""),"Referral")</f>
        <v>Referral</v>
      </c>
      <c r="P221" s="6"/>
      <c r="Q221" s="6" t="str">
        <f ca="1">IFERROR(__xludf.DUMMYFUNCTION("""COMPUTED_VALUE"""),"No")</f>
        <v>No</v>
      </c>
      <c r="R221" s="6">
        <f ca="1">IFERROR(__xludf.DUMMYFUNCTION("""COMPUTED_VALUE"""),3)</f>
        <v>3</v>
      </c>
      <c r="S221" s="6" t="str">
        <f ca="1">IFERROR(__xludf.DUMMYFUNCTION("""COMPUTED_VALUE"""),"Pre-seed")</f>
        <v>Pre-seed</v>
      </c>
      <c r="T221" s="6" t="str">
        <f ca="1">IFERROR(__xludf.DUMMYFUNCTION("""COMPUTED_VALUE"""),"Pre-seed")</f>
        <v>Pre-seed</v>
      </c>
      <c r="U221" s="6" t="str">
        <f ca="1">IFERROR(__xludf.DUMMYFUNCTION("""COMPUTED_VALUE"""),"Pre-seed")</f>
        <v>Pre-seed</v>
      </c>
      <c r="V221" s="6"/>
      <c r="W221" s="6" t="str">
        <f ca="1">IFERROR(__xludf.DUMMYFUNCTION("""COMPUTED_VALUE"""),"Invite Next Year")</f>
        <v>Invite Next Year</v>
      </c>
    </row>
    <row r="222" spans="1:23">
      <c r="A222" s="6" t="str">
        <f ca="1">IFERROR(__xludf.DUMMYFUNCTION("""COMPUTED_VALUE"""),"Man, Man, Man")</f>
        <v>Man, Man, Man</v>
      </c>
      <c r="B222" s="6" t="str">
        <f ca="1">IFERROR(__xludf.DUMMYFUNCTION("""COMPUTED_VALUE"""),"Aqua Development _2022")</f>
        <v>Aqua Development _2022</v>
      </c>
      <c r="C222" s="6" t="str">
        <f ca="1">IFERROR(__xludf.DUMMYFUNCTION("""COMPUTED_VALUE"""),"Deep Tech")</f>
        <v>Deep Tech</v>
      </c>
      <c r="D222" s="6" t="str">
        <f ca="1">IFERROR(__xludf.DUMMYFUNCTION("""COMPUTED_VALUE"""),"336 Olympic Road, Seoul 
Korea, Republic of")</f>
        <v>336 Olympic Road, Seoul 
Korea, Republic of</v>
      </c>
      <c r="E222" s="6" t="str">
        <f ca="1">IFERROR(__xludf.DUMMYFUNCTION("""COMPUTED_VALUE"""),"International - Asia")</f>
        <v>International - Asia</v>
      </c>
      <c r="F222" s="6" t="str">
        <f ca="1">IFERROR(__xludf.DUMMYFUNCTION("""COMPUTED_VALUE"""),"Man")</f>
        <v>Man</v>
      </c>
      <c r="G222" s="6" t="str">
        <f ca="1">IFERROR(__xludf.DUMMYFUNCTION("""COMPUTED_VALUE"""),"Man")</f>
        <v>Man</v>
      </c>
      <c r="H222" s="6" t="str">
        <f ca="1">IFERROR(__xludf.DUMMYFUNCTION("""COMPUTED_VALUE"""),"Man")</f>
        <v>Man</v>
      </c>
      <c r="I222" s="6"/>
      <c r="J222" s="6"/>
      <c r="K222" s="6"/>
      <c r="L222" s="6" t="str">
        <f ca="1">IFERROR(__xludf.DUMMYFUNCTION("""COMPUTED_VALUE"""),"No")</f>
        <v>No</v>
      </c>
      <c r="M222" s="6"/>
      <c r="N222" s="6"/>
      <c r="O222" s="6" t="str">
        <f ca="1">IFERROR(__xludf.DUMMYFUNCTION("""COMPUTED_VALUE"""),"Other")</f>
        <v>Other</v>
      </c>
      <c r="P222" s="6"/>
      <c r="Q222" s="6" t="str">
        <f ca="1">IFERROR(__xludf.DUMMYFUNCTION("""COMPUTED_VALUE"""),"No")</f>
        <v>No</v>
      </c>
      <c r="R222" s="6">
        <f ca="1">IFERROR(__xludf.DUMMYFUNCTION("""COMPUTED_VALUE"""),3)</f>
        <v>3</v>
      </c>
      <c r="S222" s="6" t="str">
        <f ca="1">IFERROR(__xludf.DUMMYFUNCTION("""COMPUTED_VALUE"""),"Seed
Bridge
Debt financing")</f>
        <v>Seed
Bridge
Debt financing</v>
      </c>
      <c r="T222" s="6" t="str">
        <f ca="1">IFERROR(__xludf.DUMMYFUNCTION("""COMPUTED_VALUE"""),"Seed, Bridge, Debt financing")</f>
        <v>Seed, Bridge, Debt financing</v>
      </c>
      <c r="U222" s="6" t="str">
        <f ca="1">IFERROR(__xludf.DUMMYFUNCTION("""COMPUTED_VALUE"""),"Seed, Bridge, Debt financing")</f>
        <v>Seed, Bridge, Debt financing</v>
      </c>
      <c r="V222" s="6"/>
      <c r="W222" s="6" t="str">
        <f ca="1">IFERROR(__xludf.DUMMYFUNCTION("""COMPUTED_VALUE"""),"Invite Next Year")</f>
        <v>Invite Next Year</v>
      </c>
    </row>
    <row r="223" spans="1:23">
      <c r="A223" s="6" t="str">
        <f ca="1">IFERROR(__xludf.DUMMYFUNCTION("""COMPUTED_VALUE"""),"Man, Man, Woman")</f>
        <v>Man, Man, Woman</v>
      </c>
      <c r="B223" s="6" t="str">
        <f ca="1">IFERROR(__xludf.DUMMYFUNCTION("""COMPUTED_VALUE"""),"LevelFields _2022")</f>
        <v>LevelFields _2022</v>
      </c>
      <c r="C223" s="6" t="str">
        <f ca="1">IFERROR(__xludf.DUMMYFUNCTION("""COMPUTED_VALUE"""),"Digital Tech")</f>
        <v>Digital Tech</v>
      </c>
      <c r="D223" s="6" t="str">
        <f ca="1">IFERROR(__xludf.DUMMYFUNCTION("""COMPUTED_VALUE"""),"vienna, va 
United States")</f>
        <v>vienna, va 
United States</v>
      </c>
      <c r="E223" s="6" t="str">
        <f ca="1">IFERROR(__xludf.DUMMYFUNCTION("""COMPUTED_VALUE"""),"East Coast")</f>
        <v>East Coast</v>
      </c>
      <c r="F223" s="6" t="str">
        <f ca="1">IFERROR(__xludf.DUMMYFUNCTION("""COMPUTED_VALUE"""),"Man")</f>
        <v>Man</v>
      </c>
      <c r="G223" s="6" t="str">
        <f ca="1">IFERROR(__xludf.DUMMYFUNCTION("""COMPUTED_VALUE"""),"Man")</f>
        <v>Man</v>
      </c>
      <c r="H223" s="6" t="str">
        <f ca="1">IFERROR(__xludf.DUMMYFUNCTION("""COMPUTED_VALUE"""),"Woman")</f>
        <v>Woman</v>
      </c>
      <c r="I223" s="6"/>
      <c r="J223" s="6"/>
      <c r="K223" s="6"/>
      <c r="L223" s="6" t="str">
        <f ca="1">IFERROR(__xludf.DUMMYFUNCTION("""COMPUTED_VALUE"""),"No")</f>
        <v>No</v>
      </c>
      <c r="M223" s="6"/>
      <c r="N223" s="6"/>
      <c r="O223" s="6" t="str">
        <f ca="1">IFERROR(__xludf.DUMMYFUNCTION("""COMPUTED_VALUE"""),"Email")</f>
        <v>Email</v>
      </c>
      <c r="P223" s="6"/>
      <c r="Q223" s="6" t="str">
        <f ca="1">IFERROR(__xludf.DUMMYFUNCTION("""COMPUTED_VALUE"""),"No")</f>
        <v>No</v>
      </c>
      <c r="R223" s="6">
        <f ca="1">IFERROR(__xludf.DUMMYFUNCTION("""COMPUTED_VALUE"""),3)</f>
        <v>3</v>
      </c>
      <c r="S223" s="6" t="str">
        <f ca="1">IFERROR(__xludf.DUMMYFUNCTION("""COMPUTED_VALUE"""),"Pre-seed
Grants")</f>
        <v>Pre-seed
Grants</v>
      </c>
      <c r="T223" s="6" t="str">
        <f ca="1">IFERROR(__xludf.DUMMYFUNCTION("""COMPUTED_VALUE"""),"Pre-seed, Grants")</f>
        <v>Pre-seed, Grants</v>
      </c>
      <c r="U223" s="6" t="str">
        <f ca="1">IFERROR(__xludf.DUMMYFUNCTION("""COMPUTED_VALUE"""),"Pre-seed, Grants")</f>
        <v>Pre-seed, Grants</v>
      </c>
      <c r="V223" s="6"/>
      <c r="W223" s="6" t="str">
        <f ca="1">IFERROR(__xludf.DUMMYFUNCTION("""COMPUTED_VALUE"""),"Invite")</f>
        <v>Invite</v>
      </c>
    </row>
    <row r="224" spans="1:23">
      <c r="A224" s="6" t="str">
        <f ca="1">IFERROR(__xludf.DUMMYFUNCTION("""COMPUTED_VALUE"""),"Man")</f>
        <v>Man</v>
      </c>
      <c r="B224" s="6" t="str">
        <f ca="1">IFERROR(__xludf.DUMMYFUNCTION("""COMPUTED_VALUE"""),"Biomedix SA, Geneva, Switzerland _2022")</f>
        <v>Biomedix SA, Geneva, Switzerland _2022</v>
      </c>
      <c r="C224" s="6" t="str">
        <f ca="1">IFERROR(__xludf.DUMMYFUNCTION("""COMPUTED_VALUE"""),"Life Sciences")</f>
        <v>Life Sciences</v>
      </c>
      <c r="D224" s="6" t="str">
        <f ca="1">IFERROR(__xludf.DUMMYFUNCTION("""COMPUTED_VALUE"""),"14 Quai du Seujet, Geneva 
Switzerland")</f>
        <v>14 Quai du Seujet, Geneva 
Switzerland</v>
      </c>
      <c r="E224" s="6" t="str">
        <f ca="1">IFERROR(__xludf.DUMMYFUNCTION("""COMPUTED_VALUE"""),"International - Europe")</f>
        <v>International - Europe</v>
      </c>
      <c r="F224" s="6" t="str">
        <f ca="1">IFERROR(__xludf.DUMMYFUNCTION("""COMPUTED_VALUE"""),"Man")</f>
        <v>Man</v>
      </c>
      <c r="G224" s="6"/>
      <c r="H224" s="6"/>
      <c r="I224" s="6"/>
      <c r="J224" s="6"/>
      <c r="K224" s="6"/>
      <c r="L224" s="6" t="str">
        <f ca="1">IFERROR(__xludf.DUMMYFUNCTION("""COMPUTED_VALUE"""),"No")</f>
        <v>No</v>
      </c>
      <c r="M224" s="6"/>
      <c r="N224" s="6"/>
      <c r="O224" s="6" t="str">
        <f ca="1">IFERROR(__xludf.DUMMYFUNCTION("""COMPUTED_VALUE"""),"Other")</f>
        <v>Other</v>
      </c>
      <c r="P224" s="6"/>
      <c r="Q224" s="6" t="str">
        <f ca="1">IFERROR(__xludf.DUMMYFUNCTION("""COMPUTED_VALUE"""),"No")</f>
        <v>No</v>
      </c>
      <c r="R224" s="6">
        <f ca="1">IFERROR(__xludf.DUMMYFUNCTION("""COMPUTED_VALUE"""),1)</f>
        <v>1</v>
      </c>
      <c r="S224" s="6" t="str">
        <f ca="1">IFERROR(__xludf.DUMMYFUNCTION("""COMPUTED_VALUE"""),"Other: Self investment")</f>
        <v>Other: Self investment</v>
      </c>
      <c r="T224" s="6" t="str">
        <f ca="1">IFERROR(__xludf.DUMMYFUNCTION("""COMPUTED_VALUE"""),"Other: Self investment")</f>
        <v>Other: Self investment</v>
      </c>
      <c r="U224" s="6" t="str">
        <f ca="1">IFERROR(__xludf.DUMMYFUNCTION("""COMPUTED_VALUE"""),"Self investment")</f>
        <v>Self investment</v>
      </c>
      <c r="V224" s="6"/>
      <c r="W224" s="6" t="str">
        <f ca="1">IFERROR(__xludf.DUMMYFUNCTION("""COMPUTED_VALUE"""),"Invite Next Year")</f>
        <v>Invite Next Year</v>
      </c>
    </row>
    <row r="225" spans="1:23">
      <c r="A225" s="6" t="str">
        <f ca="1">IFERROR(__xludf.DUMMYFUNCTION("""COMPUTED_VALUE"""),"Man, Man, Woman")</f>
        <v>Man, Man, Woman</v>
      </c>
      <c r="B225" s="6" t="str">
        <f ca="1">IFERROR(__xludf.DUMMYFUNCTION("""COMPUTED_VALUE"""),"Vocal Image _2022")</f>
        <v>Vocal Image _2022</v>
      </c>
      <c r="C225" s="6" t="str">
        <f ca="1">IFERROR(__xludf.DUMMYFUNCTION("""COMPUTED_VALUE"""),"Digital Tech")</f>
        <v>Digital Tech</v>
      </c>
      <c r="D225" s="6" t="str">
        <f ca="1">IFERROR(__xludf.DUMMYFUNCTION("""COMPUTED_VALUE"""),"Tallinn, Harju Maakond 
Estonia")</f>
        <v>Tallinn, Harju Maakond 
Estonia</v>
      </c>
      <c r="E225" s="6" t="str">
        <f ca="1">IFERROR(__xludf.DUMMYFUNCTION("""COMPUTED_VALUE"""),"International - Europe")</f>
        <v>International - Europe</v>
      </c>
      <c r="F225" s="6" t="str">
        <f ca="1">IFERROR(__xludf.DUMMYFUNCTION("""COMPUTED_VALUE"""),"Man")</f>
        <v>Man</v>
      </c>
      <c r="G225" s="6" t="str">
        <f ca="1">IFERROR(__xludf.DUMMYFUNCTION("""COMPUTED_VALUE"""),"Man")</f>
        <v>Man</v>
      </c>
      <c r="H225" s="6" t="str">
        <f ca="1">IFERROR(__xludf.DUMMYFUNCTION("""COMPUTED_VALUE"""),"Woman")</f>
        <v>Woman</v>
      </c>
      <c r="I225" s="6"/>
      <c r="J225" s="6"/>
      <c r="K225" s="6"/>
      <c r="L225" s="6" t="str">
        <f ca="1">IFERROR(__xludf.DUMMYFUNCTION("""COMPUTED_VALUE"""),"No")</f>
        <v>No</v>
      </c>
      <c r="M225" s="6"/>
      <c r="N225" s="6"/>
      <c r="O225" s="6" t="str">
        <f ca="1">IFERROR(__xludf.DUMMYFUNCTION("""COMPUTED_VALUE"""),"Email")</f>
        <v>Email</v>
      </c>
      <c r="P225" s="6"/>
      <c r="Q225" s="6" t="str">
        <f ca="1">IFERROR(__xludf.DUMMYFUNCTION("""COMPUTED_VALUE"""),"No")</f>
        <v>No</v>
      </c>
      <c r="R225" s="6">
        <f ca="1">IFERROR(__xludf.DUMMYFUNCTION("""COMPUTED_VALUE"""),3)</f>
        <v>3</v>
      </c>
      <c r="S225" s="6" t="str">
        <f ca="1">IFERROR(__xludf.DUMMYFUNCTION("""COMPUTED_VALUE"""),"Pre-seed")</f>
        <v>Pre-seed</v>
      </c>
      <c r="T225" s="6" t="str">
        <f ca="1">IFERROR(__xludf.DUMMYFUNCTION("""COMPUTED_VALUE"""),"Pre-seed")</f>
        <v>Pre-seed</v>
      </c>
      <c r="U225" s="6" t="str">
        <f ca="1">IFERROR(__xludf.DUMMYFUNCTION("""COMPUTED_VALUE"""),"Pre-seed")</f>
        <v>Pre-seed</v>
      </c>
      <c r="V225" s="6"/>
      <c r="W225" s="6" t="str">
        <f ca="1">IFERROR(__xludf.DUMMYFUNCTION("""COMPUTED_VALUE"""),"Invite Next Year")</f>
        <v>Invite Next Year</v>
      </c>
    </row>
    <row r="226" spans="1:23">
      <c r="A226" s="6" t="str">
        <f ca="1">IFERROR(__xludf.DUMMYFUNCTION("""COMPUTED_VALUE"""),"Man, Woman")</f>
        <v>Man, Woman</v>
      </c>
      <c r="B226" s="6" t="str">
        <f ca="1">IFERROR(__xludf.DUMMYFUNCTION("""COMPUTED_VALUE"""),"Cognitive IVF s.r.o. _2022")</f>
        <v>Cognitive IVF s.r.o. _2022</v>
      </c>
      <c r="C226" s="6" t="str">
        <f ca="1">IFERROR(__xludf.DUMMYFUNCTION("""COMPUTED_VALUE"""),"Life Sciences")</f>
        <v>Life Sciences</v>
      </c>
      <c r="D226" s="6" t="str">
        <f ca="1">IFERROR(__xludf.DUMMYFUNCTION("""COMPUTED_VALUE"""),"Olivova 6, Prague  
Czech Republic")</f>
        <v>Olivova 6, Prague  
Czech Republic</v>
      </c>
      <c r="E226" s="6" t="str">
        <f ca="1">IFERROR(__xludf.DUMMYFUNCTION("""COMPUTED_VALUE"""),"International - Europe")</f>
        <v>International - Europe</v>
      </c>
      <c r="F226" s="6" t="str">
        <f ca="1">IFERROR(__xludf.DUMMYFUNCTION("""COMPUTED_VALUE"""),"Man")</f>
        <v>Man</v>
      </c>
      <c r="G226" s="6" t="str">
        <f ca="1">IFERROR(__xludf.DUMMYFUNCTION("""COMPUTED_VALUE"""),"Woman")</f>
        <v>Woman</v>
      </c>
      <c r="H226" s="6"/>
      <c r="I226" s="6"/>
      <c r="J226" s="6"/>
      <c r="K226" s="6"/>
      <c r="L226" s="6" t="str">
        <f ca="1">IFERROR(__xludf.DUMMYFUNCTION("""COMPUTED_VALUE"""),"No")</f>
        <v>No</v>
      </c>
      <c r="M226" s="6"/>
      <c r="N226" s="6"/>
      <c r="O226" s="6" t="str">
        <f ca="1">IFERROR(__xludf.DUMMYFUNCTION("""COMPUTED_VALUE"""),"NYU Newsletter")</f>
        <v>NYU Newsletter</v>
      </c>
      <c r="P226" s="6"/>
      <c r="Q226" s="6" t="str">
        <f ca="1">IFERROR(__xludf.DUMMYFUNCTION("""COMPUTED_VALUE"""),"No")</f>
        <v>No</v>
      </c>
      <c r="R226" s="6">
        <f ca="1">IFERROR(__xludf.DUMMYFUNCTION("""COMPUTED_VALUE"""),2)</f>
        <v>2</v>
      </c>
      <c r="S226" s="6" t="str">
        <f ca="1">IFERROR(__xludf.DUMMYFUNCTION("""COMPUTED_VALUE"""),"Series A")</f>
        <v>Series A</v>
      </c>
      <c r="T226" s="6" t="str">
        <f ca="1">IFERROR(__xludf.DUMMYFUNCTION("""COMPUTED_VALUE"""),"Series A")</f>
        <v>Series A</v>
      </c>
      <c r="U226" s="6" t="str">
        <f ca="1">IFERROR(__xludf.DUMMYFUNCTION("""COMPUTED_VALUE"""),"Series A")</f>
        <v>Series A</v>
      </c>
      <c r="V226" s="6"/>
      <c r="W226" s="6" t="str">
        <f ca="1">IFERROR(__xludf.DUMMYFUNCTION("""COMPUTED_VALUE"""),"Invite Next Year")</f>
        <v>Invite Next Year</v>
      </c>
    </row>
    <row r="227" spans="1:23">
      <c r="A227" s="6" t="str">
        <f ca="1">IFERROR(__xludf.DUMMYFUNCTION("""COMPUTED_VALUE"""),"Man, Woman, Man")</f>
        <v>Man, Woman, Man</v>
      </c>
      <c r="B227" s="6" t="str">
        <f ca="1">IFERROR(__xludf.DUMMYFUNCTION("""COMPUTED_VALUE"""),"ORNA Inc. _2022")</f>
        <v>ORNA Inc. _2022</v>
      </c>
      <c r="C227" s="6" t="str">
        <f ca="1">IFERROR(__xludf.DUMMYFUNCTION("""COMPUTED_VALUE"""),"Digital Tech")</f>
        <v>Digital Tech</v>
      </c>
      <c r="D227" s="6" t="str">
        <f ca="1">IFERROR(__xludf.DUMMYFUNCTION("""COMPUTED_VALUE"""),"Toronto, Ontario 
Canada")</f>
        <v>Toronto, Ontario 
Canada</v>
      </c>
      <c r="E227" s="6" t="str">
        <f ca="1">IFERROR(__xludf.DUMMYFUNCTION("""COMPUTED_VALUE"""),"International - Americas")</f>
        <v>International - Americas</v>
      </c>
      <c r="F227" s="6" t="str">
        <f ca="1">IFERROR(__xludf.DUMMYFUNCTION("""COMPUTED_VALUE"""),"Man")</f>
        <v>Man</v>
      </c>
      <c r="G227" s="6" t="str">
        <f ca="1">IFERROR(__xludf.DUMMYFUNCTION("""COMPUTED_VALUE"""),"Woman")</f>
        <v>Woman</v>
      </c>
      <c r="H227" s="6" t="str">
        <f ca="1">IFERROR(__xludf.DUMMYFUNCTION("""COMPUTED_VALUE"""),"Man")</f>
        <v>Man</v>
      </c>
      <c r="I227" s="6"/>
      <c r="J227" s="6"/>
      <c r="K227" s="6"/>
      <c r="L227" s="6" t="str">
        <f ca="1">IFERROR(__xludf.DUMMYFUNCTION("""COMPUTED_VALUE"""),"--Please select--")</f>
        <v>--Please select--</v>
      </c>
      <c r="M227" s="6"/>
      <c r="N227" s="6"/>
      <c r="O227" s="6" t="str">
        <f ca="1">IFERROR(__xludf.DUMMYFUNCTION("""COMPUTED_VALUE"""),"Search Engine")</f>
        <v>Search Engine</v>
      </c>
      <c r="P227" s="6"/>
      <c r="Q227" s="6" t="str">
        <f ca="1">IFERROR(__xludf.DUMMYFUNCTION("""COMPUTED_VALUE"""),"No")</f>
        <v>No</v>
      </c>
      <c r="R227" s="6">
        <f ca="1">IFERROR(__xludf.DUMMYFUNCTION("""COMPUTED_VALUE"""),3)</f>
        <v>3</v>
      </c>
      <c r="S227" s="6" t="str">
        <f ca="1">IFERROR(__xludf.DUMMYFUNCTION("""COMPUTED_VALUE"""),"Seed")</f>
        <v>Seed</v>
      </c>
      <c r="T227" s="6" t="str">
        <f ca="1">IFERROR(__xludf.DUMMYFUNCTION("""COMPUTED_VALUE"""),"Seed")</f>
        <v>Seed</v>
      </c>
      <c r="U227" s="6" t="str">
        <f ca="1">IFERROR(__xludf.DUMMYFUNCTION("""COMPUTED_VALUE"""),"Seed")</f>
        <v>Seed</v>
      </c>
      <c r="V227" s="6"/>
      <c r="W227" s="6" t="str">
        <f ca="1">IFERROR(__xludf.DUMMYFUNCTION("""COMPUTED_VALUE"""),"Invite")</f>
        <v>Invite</v>
      </c>
    </row>
    <row r="228" spans="1:23">
      <c r="A228" s="6" t="str">
        <f ca="1">IFERROR(__xludf.DUMMYFUNCTION("""COMPUTED_VALUE"""),"Woman, Man, Man")</f>
        <v>Woman, Man, Man</v>
      </c>
      <c r="B228" s="6" t="str">
        <f ca="1">IFERROR(__xludf.DUMMYFUNCTION("""COMPUTED_VALUE"""),"EllieGrid _2022")</f>
        <v>EllieGrid _2022</v>
      </c>
      <c r="C228" s="6" t="str">
        <f ca="1">IFERROR(__xludf.DUMMYFUNCTION("""COMPUTED_VALUE"""),"Deep Tech")</f>
        <v>Deep Tech</v>
      </c>
      <c r="D228" s="6" t="str">
        <f ca="1">IFERROR(__xludf.DUMMYFUNCTION("""COMPUTED_VALUE"""),"Houston, TX 
United States")</f>
        <v>Houston, TX 
United States</v>
      </c>
      <c r="E228" s="6" t="str">
        <f ca="1">IFERROR(__xludf.DUMMYFUNCTION("""COMPUTED_VALUE"""),"South")</f>
        <v>South</v>
      </c>
      <c r="F228" s="6" t="str">
        <f ca="1">IFERROR(__xludf.DUMMYFUNCTION("""COMPUTED_VALUE"""),"Woman")</f>
        <v>Woman</v>
      </c>
      <c r="G228" s="6" t="str">
        <f ca="1">IFERROR(__xludf.DUMMYFUNCTION("""COMPUTED_VALUE"""),"Man")</f>
        <v>Man</v>
      </c>
      <c r="H228" s="6" t="str">
        <f ca="1">IFERROR(__xludf.DUMMYFUNCTION("""COMPUTED_VALUE"""),"Man")</f>
        <v>Man</v>
      </c>
      <c r="I228" s="6"/>
      <c r="J228" s="6"/>
      <c r="K228" s="6"/>
      <c r="L228" s="6" t="str">
        <f ca="1">IFERROR(__xludf.DUMMYFUNCTION("""COMPUTED_VALUE"""),"No")</f>
        <v>No</v>
      </c>
      <c r="M228" s="6"/>
      <c r="N228" s="6"/>
      <c r="O228" s="6" t="str">
        <f ca="1">IFERROR(__xludf.DUMMYFUNCTION("""COMPUTED_VALUE"""),"Referral")</f>
        <v>Referral</v>
      </c>
      <c r="P228" s="6"/>
      <c r="Q228" s="6" t="str">
        <f ca="1">IFERROR(__xludf.DUMMYFUNCTION("""COMPUTED_VALUE"""),"No")</f>
        <v>No</v>
      </c>
      <c r="R228" s="6">
        <f ca="1">IFERROR(__xludf.DUMMYFUNCTION("""COMPUTED_VALUE"""),3)</f>
        <v>3</v>
      </c>
      <c r="S228" s="6" t="str">
        <f ca="1">IFERROR(__xludf.DUMMYFUNCTION("""COMPUTED_VALUE"""),"Pre-seed
Grants")</f>
        <v>Pre-seed
Grants</v>
      </c>
      <c r="T228" s="6" t="str">
        <f ca="1">IFERROR(__xludf.DUMMYFUNCTION("""COMPUTED_VALUE"""),"Pre-seed, Grants")</f>
        <v>Pre-seed, Grants</v>
      </c>
      <c r="U228" s="6" t="str">
        <f ca="1">IFERROR(__xludf.DUMMYFUNCTION("""COMPUTED_VALUE"""),"Pre-seed, Grants")</f>
        <v>Pre-seed, Grants</v>
      </c>
      <c r="V228" s="6"/>
      <c r="W228" s="6" t="str">
        <f ca="1">IFERROR(__xludf.DUMMYFUNCTION("""COMPUTED_VALUE"""),"Invite")</f>
        <v>Invite</v>
      </c>
    </row>
    <row r="229" spans="1:23">
      <c r="A229" s="6" t="str">
        <f ca="1">IFERROR(__xludf.DUMMYFUNCTION("""COMPUTED_VALUE"""),"Woman, Man")</f>
        <v>Woman, Man</v>
      </c>
      <c r="B229" s="6" t="str">
        <f ca="1">IFERROR(__xludf.DUMMYFUNCTION("""COMPUTED_VALUE"""),"FINWEDGE _2022")</f>
        <v>FINWEDGE _2022</v>
      </c>
      <c r="C229" s="6" t="str">
        <f ca="1">IFERROR(__xludf.DUMMYFUNCTION("""COMPUTED_VALUE"""),"Digital Tech")</f>
        <v>Digital Tech</v>
      </c>
      <c r="D229" s="6" t="str">
        <f ca="1">IFERROR(__xludf.DUMMYFUNCTION("""COMPUTED_VALUE"""),"1047, allée Pierre Ziller 06560 Sophia-Antipolis (Valbonne), Alpes-Maritimes 
France")</f>
        <v>1047, allée Pierre Ziller 06560 Sophia-Antipolis (Valbonne), Alpes-Maritimes 
France</v>
      </c>
      <c r="E229" s="6" t="str">
        <f ca="1">IFERROR(__xludf.DUMMYFUNCTION("""COMPUTED_VALUE"""),"International - Europe")</f>
        <v>International - Europe</v>
      </c>
      <c r="F229" s="6" t="str">
        <f ca="1">IFERROR(__xludf.DUMMYFUNCTION("""COMPUTED_VALUE"""),"Woman")</f>
        <v>Woman</v>
      </c>
      <c r="G229" s="6" t="str">
        <f ca="1">IFERROR(__xludf.DUMMYFUNCTION("""COMPUTED_VALUE"""),"Man")</f>
        <v>Man</v>
      </c>
      <c r="H229" s="6"/>
      <c r="I229" s="6"/>
      <c r="J229" s="6"/>
      <c r="K229" s="6"/>
      <c r="L229" s="6" t="str">
        <f ca="1">IFERROR(__xludf.DUMMYFUNCTION("""COMPUTED_VALUE"""),"Yes")</f>
        <v>Yes</v>
      </c>
      <c r="M229" s="6" t="str">
        <f ca="1">IFERROR(__xludf.DUMMYFUNCTION("""COMPUTED_VALUE"""),"Other (please specify)")</f>
        <v>Other (please specify)</v>
      </c>
      <c r="N229" s="6" t="str">
        <f ca="1">IFERROR(__xludf.DUMMYFUNCTION("""COMPUTED_VALUE"""),"EFL mentor")</f>
        <v>EFL mentor</v>
      </c>
      <c r="O229" s="6" t="str">
        <f ca="1">IFERROR(__xludf.DUMMYFUNCTION("""COMPUTED_VALUE"""),"Email")</f>
        <v>Email</v>
      </c>
      <c r="P229" s="6"/>
      <c r="Q229" s="6" t="str">
        <f ca="1">IFERROR(__xludf.DUMMYFUNCTION("""COMPUTED_VALUE"""),"No")</f>
        <v>No</v>
      </c>
      <c r="R229" s="6">
        <f ca="1">IFERROR(__xludf.DUMMYFUNCTION("""COMPUTED_VALUE"""),2)</f>
        <v>2</v>
      </c>
      <c r="S229" s="6" t="str">
        <f ca="1">IFERROR(__xludf.DUMMYFUNCTION("""COMPUTED_VALUE"""),"Grants")</f>
        <v>Grants</v>
      </c>
      <c r="T229" s="6" t="str">
        <f ca="1">IFERROR(__xludf.DUMMYFUNCTION("""COMPUTED_VALUE"""),"Grants")</f>
        <v>Grants</v>
      </c>
      <c r="U229" s="6" t="str">
        <f ca="1">IFERROR(__xludf.DUMMYFUNCTION("""COMPUTED_VALUE"""),"Grants")</f>
        <v>Grants</v>
      </c>
      <c r="V229" s="6"/>
      <c r="W229" s="6" t="str">
        <f ca="1">IFERROR(__xludf.DUMMYFUNCTION("""COMPUTED_VALUE"""),"Invite Next Year")</f>
        <v>Invite Next Year</v>
      </c>
    </row>
    <row r="230" spans="1:23">
      <c r="A230" s="6" t="str">
        <f ca="1">IFERROR(__xludf.DUMMYFUNCTION("""COMPUTED_VALUE"""),"Man, Man, Woman, Man, Woman")</f>
        <v>Man, Man, Woman, Man, Woman</v>
      </c>
      <c r="B230" s="6" t="str">
        <f ca="1">IFERROR(__xludf.DUMMYFUNCTION("""COMPUTED_VALUE"""),"LISA Insurtech _2022")</f>
        <v>LISA Insurtech _2022</v>
      </c>
      <c r="C230" s="6" t="str">
        <f ca="1">IFERROR(__xludf.DUMMYFUNCTION("""COMPUTED_VALUE"""),"Digital Tech")</f>
        <v>Digital Tech</v>
      </c>
      <c r="D230" s="6" t="str">
        <f ca="1">IFERROR(__xludf.DUMMYFUNCTION("""COMPUTED_VALUE"""),"Columbus, Ohio 
United States")</f>
        <v>Columbus, Ohio 
United States</v>
      </c>
      <c r="E230" s="6" t="str">
        <f ca="1">IFERROR(__xludf.DUMMYFUNCTION("""COMPUTED_VALUE"""),"Midwest")</f>
        <v>Midwest</v>
      </c>
      <c r="F230" s="6" t="str">
        <f ca="1">IFERROR(__xludf.DUMMYFUNCTION("""COMPUTED_VALUE"""),"Man")</f>
        <v>Man</v>
      </c>
      <c r="G230" s="6" t="str">
        <f ca="1">IFERROR(__xludf.DUMMYFUNCTION("""COMPUTED_VALUE"""),"Man")</f>
        <v>Man</v>
      </c>
      <c r="H230" s="6" t="str">
        <f ca="1">IFERROR(__xludf.DUMMYFUNCTION("""COMPUTED_VALUE"""),"Woman")</f>
        <v>Woman</v>
      </c>
      <c r="I230" s="6" t="str">
        <f ca="1">IFERROR(__xludf.DUMMYFUNCTION("""COMPUTED_VALUE"""),"Man")</f>
        <v>Man</v>
      </c>
      <c r="J230" s="6" t="str">
        <f ca="1">IFERROR(__xludf.DUMMYFUNCTION("""COMPUTED_VALUE"""),"Woman")</f>
        <v>Woman</v>
      </c>
      <c r="K230" s="6"/>
      <c r="L230" s="6" t="str">
        <f ca="1">IFERROR(__xludf.DUMMYFUNCTION("""COMPUTED_VALUE"""),"No")</f>
        <v>No</v>
      </c>
      <c r="M230" s="6"/>
      <c r="N230" s="6"/>
      <c r="O230" s="6" t="str">
        <f ca="1">IFERROR(__xludf.DUMMYFUNCTION("""COMPUTED_VALUE"""),"Email")</f>
        <v>Email</v>
      </c>
      <c r="P230" s="6"/>
      <c r="Q230" s="6" t="str">
        <f ca="1">IFERROR(__xludf.DUMMYFUNCTION("""COMPUTED_VALUE"""),"No")</f>
        <v>No</v>
      </c>
      <c r="R230" s="6">
        <f ca="1">IFERROR(__xludf.DUMMYFUNCTION("""COMPUTED_VALUE"""),5)</f>
        <v>5</v>
      </c>
      <c r="S230" s="6" t="str">
        <f ca="1">IFERROR(__xludf.DUMMYFUNCTION("""COMPUTED_VALUE"""),"Pre-seed
Seed")</f>
        <v>Pre-seed
Seed</v>
      </c>
      <c r="T230" s="6" t="str">
        <f ca="1">IFERROR(__xludf.DUMMYFUNCTION("""COMPUTED_VALUE"""),"Pre-seed, Seed")</f>
        <v>Pre-seed, Seed</v>
      </c>
      <c r="U230" s="6" t="str">
        <f ca="1">IFERROR(__xludf.DUMMYFUNCTION("""COMPUTED_VALUE"""),"Pre-seed, Seed")</f>
        <v>Pre-seed, Seed</v>
      </c>
      <c r="V230" s="6"/>
      <c r="W230" s="6" t="str">
        <f ca="1">IFERROR(__xludf.DUMMYFUNCTION("""COMPUTED_VALUE"""),"Invite")</f>
        <v>Invite</v>
      </c>
    </row>
    <row r="231" spans="1:23">
      <c r="A231" s="6" t="str">
        <f ca="1">IFERROR(__xludf.DUMMYFUNCTION("""COMPUTED_VALUE"""),"Woman, Woman, Woman, Man")</f>
        <v>Woman, Woman, Woman, Man</v>
      </c>
      <c r="B231" s="6" t="str">
        <f ca="1">IFERROR(__xludf.DUMMYFUNCTION("""COMPUTED_VALUE"""),"PraxiLabs _2022")</f>
        <v>PraxiLabs _2022</v>
      </c>
      <c r="C231" s="6" t="str">
        <f ca="1">IFERROR(__xludf.DUMMYFUNCTION("""COMPUTED_VALUE"""),"Digital Tech")</f>
        <v>Digital Tech</v>
      </c>
      <c r="D231" s="6" t="str">
        <f ca="1">IFERROR(__xludf.DUMMYFUNCTION("""COMPUTED_VALUE"""),"25 Dr El Sobky St, Dokki , Giza 
Egypt")</f>
        <v>25 Dr El Sobky St, Dokki , Giza 
Egypt</v>
      </c>
      <c r="E231" s="6" t="str">
        <f ca="1">IFERROR(__xludf.DUMMYFUNCTION("""COMPUTED_VALUE"""),"International - Middle East")</f>
        <v>International - Middle East</v>
      </c>
      <c r="F231" s="6" t="str">
        <f ca="1">IFERROR(__xludf.DUMMYFUNCTION("""COMPUTED_VALUE"""),"Woman")</f>
        <v>Woman</v>
      </c>
      <c r="G231" s="6" t="str">
        <f ca="1">IFERROR(__xludf.DUMMYFUNCTION("""COMPUTED_VALUE"""),"Woman")</f>
        <v>Woman</v>
      </c>
      <c r="H231" s="6" t="str">
        <f ca="1">IFERROR(__xludf.DUMMYFUNCTION("""COMPUTED_VALUE"""),"Woman")</f>
        <v>Woman</v>
      </c>
      <c r="I231" s="6" t="str">
        <f ca="1">IFERROR(__xludf.DUMMYFUNCTION("""COMPUTED_VALUE"""),"Man")</f>
        <v>Man</v>
      </c>
      <c r="J231" s="6"/>
      <c r="K231" s="6"/>
      <c r="L231" s="6" t="str">
        <f ca="1">IFERROR(__xludf.DUMMYFUNCTION("""COMPUTED_VALUE"""),"No")</f>
        <v>No</v>
      </c>
      <c r="M231" s="6"/>
      <c r="N231" s="6"/>
      <c r="O231" s="6" t="str">
        <f ca="1">IFERROR(__xludf.DUMMYFUNCTION("""COMPUTED_VALUE"""),"Email")</f>
        <v>Email</v>
      </c>
      <c r="P231" s="6"/>
      <c r="Q231" s="6" t="str">
        <f ca="1">IFERROR(__xludf.DUMMYFUNCTION("""COMPUTED_VALUE"""),"No")</f>
        <v>No</v>
      </c>
      <c r="R231" s="6">
        <f ca="1">IFERROR(__xludf.DUMMYFUNCTION("""COMPUTED_VALUE"""),4)</f>
        <v>4</v>
      </c>
      <c r="S231" s="6" t="str">
        <f ca="1">IFERROR(__xludf.DUMMYFUNCTION("""COMPUTED_VALUE"""),"Pre-seed
Other: Katapult Accelerator")</f>
        <v>Pre-seed
Other: Katapult Accelerator</v>
      </c>
      <c r="T231" s="6" t="str">
        <f ca="1">IFERROR(__xludf.DUMMYFUNCTION("""COMPUTED_VALUE"""),"Pre-seed, Other: Katapult Accelerator")</f>
        <v>Pre-seed, Other: Katapult Accelerator</v>
      </c>
      <c r="U231" s="6" t="str">
        <f ca="1">IFERROR(__xludf.DUMMYFUNCTION("""COMPUTED_VALUE"""),"Pre-seed, ")</f>
        <v xml:space="preserve">Pre-seed, </v>
      </c>
      <c r="V231" s="6" t="str">
        <f ca="1">IFERROR(__xludf.DUMMYFUNCTION("""COMPUTED_VALUE"""),"Katapult Accelerator")</f>
        <v>Katapult Accelerator</v>
      </c>
      <c r="W231" s="6" t="str">
        <f ca="1">IFERROR(__xludf.DUMMYFUNCTION("""COMPUTED_VALUE"""),"Invite Next Year")</f>
        <v>Invite Next Year</v>
      </c>
    </row>
    <row r="232" spans="1:23">
      <c r="A232" s="6" t="str">
        <f ca="1">IFERROR(__xludf.DUMMYFUNCTION("""COMPUTED_VALUE"""),"Man")</f>
        <v>Man</v>
      </c>
      <c r="B232" s="6" t="str">
        <f ca="1">IFERROR(__xludf.DUMMYFUNCTION("""COMPUTED_VALUE"""),"UZME _2022")</f>
        <v>UZME _2022</v>
      </c>
      <c r="C232" s="6" t="str">
        <f ca="1">IFERROR(__xludf.DUMMYFUNCTION("""COMPUTED_VALUE"""),"Deep Tech")</f>
        <v>Deep Tech</v>
      </c>
      <c r="D232" s="6" t="str">
        <f ca="1">IFERROR(__xludf.DUMMYFUNCTION("""COMPUTED_VALUE"""),"Torres Vedras, Lisbon 
Portugal")</f>
        <v>Torres Vedras, Lisbon 
Portugal</v>
      </c>
      <c r="E232" s="6" t="str">
        <f ca="1">IFERROR(__xludf.DUMMYFUNCTION("""COMPUTED_VALUE"""),"International - Europe")</f>
        <v>International - Europe</v>
      </c>
      <c r="F232" s="6" t="str">
        <f ca="1">IFERROR(__xludf.DUMMYFUNCTION("""COMPUTED_VALUE"""),"Man")</f>
        <v>Man</v>
      </c>
      <c r="G232" s="6"/>
      <c r="H232" s="6"/>
      <c r="I232" s="6"/>
      <c r="J232" s="6"/>
      <c r="K232" s="6"/>
      <c r="L232" s="6" t="str">
        <f ca="1">IFERROR(__xludf.DUMMYFUNCTION("""COMPUTED_VALUE"""),"No")</f>
        <v>No</v>
      </c>
      <c r="M232" s="6"/>
      <c r="N232" s="6"/>
      <c r="O232" s="6" t="str">
        <f ca="1">IFERROR(__xludf.DUMMYFUNCTION("""COMPUTED_VALUE"""),"Email")</f>
        <v>Email</v>
      </c>
      <c r="P232" s="6"/>
      <c r="Q232" s="6" t="str">
        <f ca="1">IFERROR(__xludf.DUMMYFUNCTION("""COMPUTED_VALUE"""),"No")</f>
        <v>No</v>
      </c>
      <c r="R232" s="6">
        <f ca="1">IFERROR(__xludf.DUMMYFUNCTION("""COMPUTED_VALUE"""),1)</f>
        <v>1</v>
      </c>
      <c r="S232" s="6" t="str">
        <f ca="1">IFERROR(__xludf.DUMMYFUNCTION("""COMPUTED_VALUE"""),"Pre-seed")</f>
        <v>Pre-seed</v>
      </c>
      <c r="T232" s="6" t="str">
        <f ca="1">IFERROR(__xludf.DUMMYFUNCTION("""COMPUTED_VALUE"""),"Pre-seed")</f>
        <v>Pre-seed</v>
      </c>
      <c r="U232" s="6" t="str">
        <f ca="1">IFERROR(__xludf.DUMMYFUNCTION("""COMPUTED_VALUE"""),"Pre-seed")</f>
        <v>Pre-seed</v>
      </c>
      <c r="V232" s="6"/>
      <c r="W232" s="6" t="str">
        <f ca="1">IFERROR(__xludf.DUMMYFUNCTION("""COMPUTED_VALUE"""),"Invite Next Year")</f>
        <v>Invite Next Year</v>
      </c>
    </row>
    <row r="233" spans="1:23">
      <c r="A233" s="6" t="str">
        <f ca="1">IFERROR(__xludf.DUMMYFUNCTION("""COMPUTED_VALUE"""),"Man, Man, Man")</f>
        <v>Man, Man, Man</v>
      </c>
      <c r="B233" s="6" t="str">
        <f ca="1">IFERROR(__xludf.DUMMYFUNCTION("""COMPUTED_VALUE"""),"Shipturtle Apps Pvt Ltd _2022")</f>
        <v>Shipturtle Apps Pvt Ltd _2022</v>
      </c>
      <c r="C233" s="6" t="str">
        <f ca="1">IFERROR(__xludf.DUMMYFUNCTION("""COMPUTED_VALUE"""),"Digital Tech")</f>
        <v>Digital Tech</v>
      </c>
      <c r="D233" s="6" t="str">
        <f ca="1">IFERROR(__xludf.DUMMYFUNCTION("""COMPUTED_VALUE"""),"Ahmedabad , Gujarat 
India")</f>
        <v>Ahmedabad , Gujarat 
India</v>
      </c>
      <c r="E233" s="6" t="str">
        <f ca="1">IFERROR(__xludf.DUMMYFUNCTION("""COMPUTED_VALUE"""),"International - Asia")</f>
        <v>International - Asia</v>
      </c>
      <c r="F233" s="6" t="str">
        <f ca="1">IFERROR(__xludf.DUMMYFUNCTION("""COMPUTED_VALUE"""),"Man")</f>
        <v>Man</v>
      </c>
      <c r="G233" s="6" t="str">
        <f ca="1">IFERROR(__xludf.DUMMYFUNCTION("""COMPUTED_VALUE"""),"Man")</f>
        <v>Man</v>
      </c>
      <c r="H233" s="6" t="str">
        <f ca="1">IFERROR(__xludf.DUMMYFUNCTION("""COMPUTED_VALUE"""),"Man")</f>
        <v>Man</v>
      </c>
      <c r="I233" s="6"/>
      <c r="J233" s="6"/>
      <c r="K233" s="6"/>
      <c r="L233" s="6" t="str">
        <f ca="1">IFERROR(__xludf.DUMMYFUNCTION("""COMPUTED_VALUE"""),"No")</f>
        <v>No</v>
      </c>
      <c r="M233" s="6"/>
      <c r="N233" s="6"/>
      <c r="O233" s="6" t="str">
        <f ca="1">IFERROR(__xludf.DUMMYFUNCTION("""COMPUTED_VALUE"""),"Email")</f>
        <v>Email</v>
      </c>
      <c r="P233" s="6"/>
      <c r="Q233" s="6" t="str">
        <f ca="1">IFERROR(__xludf.DUMMYFUNCTION("""COMPUTED_VALUE"""),"No")</f>
        <v>No</v>
      </c>
      <c r="R233" s="6">
        <f ca="1">IFERROR(__xludf.DUMMYFUNCTION("""COMPUTED_VALUE"""),3)</f>
        <v>3</v>
      </c>
      <c r="S233" s="6" t="str">
        <f ca="1">IFERROR(__xludf.DUMMYFUNCTION("""COMPUTED_VALUE"""),"None")</f>
        <v>None</v>
      </c>
      <c r="T233" s="6" t="str">
        <f ca="1">IFERROR(__xludf.DUMMYFUNCTION("""COMPUTED_VALUE"""),"None")</f>
        <v>None</v>
      </c>
      <c r="U233" s="6" t="str">
        <f ca="1">IFERROR(__xludf.DUMMYFUNCTION("""COMPUTED_VALUE"""),"None")</f>
        <v>None</v>
      </c>
      <c r="V233" s="6"/>
      <c r="W233" s="6" t="str">
        <f ca="1">IFERROR(__xludf.DUMMYFUNCTION("""COMPUTED_VALUE"""),"Invite Next Year")</f>
        <v>Invite Next Year</v>
      </c>
    </row>
    <row r="234" spans="1:23">
      <c r="A234" s="6" t="str">
        <f ca="1">IFERROR(__xludf.DUMMYFUNCTION("""COMPUTED_VALUE"""),"Man, Man, Man")</f>
        <v>Man, Man, Man</v>
      </c>
      <c r="B234" s="6" t="str">
        <f ca="1">IFERROR(__xludf.DUMMYFUNCTION("""COMPUTED_VALUE"""),"Acciopay Pte. Ltd. _2022")</f>
        <v>Acciopay Pte. Ltd. _2022</v>
      </c>
      <c r="C234" s="6" t="str">
        <f ca="1">IFERROR(__xludf.DUMMYFUNCTION("""COMPUTED_VALUE"""),"Digital Tech")</f>
        <v>Digital Tech</v>
      </c>
      <c r="D234" s="6" t="str">
        <f ca="1">IFERROR(__xludf.DUMMYFUNCTION("""COMPUTED_VALUE"""),"Singapore, Singapore 
Singapore")</f>
        <v>Singapore, Singapore 
Singapore</v>
      </c>
      <c r="E234" s="6" t="str">
        <f ca="1">IFERROR(__xludf.DUMMYFUNCTION("""COMPUTED_VALUE"""),"International - Asia")</f>
        <v>International - Asia</v>
      </c>
      <c r="F234" s="6" t="str">
        <f ca="1">IFERROR(__xludf.DUMMYFUNCTION("""COMPUTED_VALUE"""),"Man")</f>
        <v>Man</v>
      </c>
      <c r="G234" s="6" t="str">
        <f ca="1">IFERROR(__xludf.DUMMYFUNCTION("""COMPUTED_VALUE"""),"Man")</f>
        <v>Man</v>
      </c>
      <c r="H234" s="6" t="str">
        <f ca="1">IFERROR(__xludf.DUMMYFUNCTION("""COMPUTED_VALUE"""),"Man")</f>
        <v>Man</v>
      </c>
      <c r="I234" s="6"/>
      <c r="J234" s="6"/>
      <c r="K234" s="6"/>
      <c r="L234" s="6" t="str">
        <f ca="1">IFERROR(__xludf.DUMMYFUNCTION("""COMPUTED_VALUE"""),"--Please select--")</f>
        <v>--Please select--</v>
      </c>
      <c r="M234" s="6"/>
      <c r="N234" s="6"/>
      <c r="O234" s="6" t="str">
        <f ca="1">IFERROR(__xludf.DUMMYFUNCTION("""COMPUTED_VALUE"""),"Search Engine")</f>
        <v>Search Engine</v>
      </c>
      <c r="P234" s="6"/>
      <c r="Q234" s="6" t="str">
        <f ca="1">IFERROR(__xludf.DUMMYFUNCTION("""COMPUTED_VALUE"""),"No")</f>
        <v>No</v>
      </c>
      <c r="R234" s="6">
        <f ca="1">IFERROR(__xludf.DUMMYFUNCTION("""COMPUTED_VALUE"""),3)</f>
        <v>3</v>
      </c>
      <c r="S234" s="6" t="str">
        <f ca="1">IFERROR(__xludf.DUMMYFUNCTION("""COMPUTED_VALUE"""),"Pre-seed")</f>
        <v>Pre-seed</v>
      </c>
      <c r="T234" s="6" t="str">
        <f ca="1">IFERROR(__xludf.DUMMYFUNCTION("""COMPUTED_VALUE"""),"Pre-seed")</f>
        <v>Pre-seed</v>
      </c>
      <c r="U234" s="6" t="str">
        <f ca="1">IFERROR(__xludf.DUMMYFUNCTION("""COMPUTED_VALUE"""),"Pre-seed")</f>
        <v>Pre-seed</v>
      </c>
      <c r="V234" s="6"/>
      <c r="W234" s="6" t="str">
        <f ca="1">IFERROR(__xludf.DUMMYFUNCTION("""COMPUTED_VALUE"""),"Invite Next Year")</f>
        <v>Invite Next Year</v>
      </c>
    </row>
    <row r="235" spans="1:23">
      <c r="A235" s="6" t="str">
        <f ca="1">IFERROR(__xludf.DUMMYFUNCTION("""COMPUTED_VALUE"""),"Man, Man, Man")</f>
        <v>Man, Man, Man</v>
      </c>
      <c r="B235" s="6" t="str">
        <f ca="1">IFERROR(__xludf.DUMMYFUNCTION("""COMPUTED_VALUE"""),"Endeema _2022")</f>
        <v>Endeema _2022</v>
      </c>
      <c r="C235" s="6" t="str">
        <f ca="1">IFERROR(__xludf.DUMMYFUNCTION("""COMPUTED_VALUE"""),"Digital Tech")</f>
        <v>Digital Tech</v>
      </c>
      <c r="D235" s="6" t="str">
        <f ca="1">IFERROR(__xludf.DUMMYFUNCTION("""COMPUTED_VALUE"""),"Freiburg im Breisgau, Baden-Württemberg 
Germany")</f>
        <v>Freiburg im Breisgau, Baden-Württemberg 
Germany</v>
      </c>
      <c r="E235" s="6" t="str">
        <f ca="1">IFERROR(__xludf.DUMMYFUNCTION("""COMPUTED_VALUE"""),"International - Europe")</f>
        <v>International - Europe</v>
      </c>
      <c r="F235" s="6" t="str">
        <f ca="1">IFERROR(__xludf.DUMMYFUNCTION("""COMPUTED_VALUE"""),"Man")</f>
        <v>Man</v>
      </c>
      <c r="G235" s="6" t="str">
        <f ca="1">IFERROR(__xludf.DUMMYFUNCTION("""COMPUTED_VALUE"""),"Man")</f>
        <v>Man</v>
      </c>
      <c r="H235" s="6" t="str">
        <f ca="1">IFERROR(__xludf.DUMMYFUNCTION("""COMPUTED_VALUE"""),"Man")</f>
        <v>Man</v>
      </c>
      <c r="I235" s="6"/>
      <c r="J235" s="6"/>
      <c r="K235" s="6"/>
      <c r="L235" s="6" t="str">
        <f ca="1">IFERROR(__xludf.DUMMYFUNCTION("""COMPUTED_VALUE"""),"No")</f>
        <v>No</v>
      </c>
      <c r="M235" s="6"/>
      <c r="N235" s="6"/>
      <c r="O235" s="6" t="str">
        <f ca="1">IFERROR(__xludf.DUMMYFUNCTION("""COMPUTED_VALUE"""),"Info Session")</f>
        <v>Info Session</v>
      </c>
      <c r="P235" s="6"/>
      <c r="Q235" s="6" t="str">
        <f ca="1">IFERROR(__xludf.DUMMYFUNCTION("""COMPUTED_VALUE"""),"No")</f>
        <v>No</v>
      </c>
      <c r="R235" s="6">
        <f ca="1">IFERROR(__xludf.DUMMYFUNCTION("""COMPUTED_VALUE"""),3)</f>
        <v>3</v>
      </c>
      <c r="S235" s="6" t="str">
        <f ca="1">IFERROR(__xludf.DUMMYFUNCTION("""COMPUTED_VALUE"""),"Pre-seed")</f>
        <v>Pre-seed</v>
      </c>
      <c r="T235" s="6" t="str">
        <f ca="1">IFERROR(__xludf.DUMMYFUNCTION("""COMPUTED_VALUE"""),"Pre-seed")</f>
        <v>Pre-seed</v>
      </c>
      <c r="U235" s="6" t="str">
        <f ca="1">IFERROR(__xludf.DUMMYFUNCTION("""COMPUTED_VALUE"""),"Pre-seed")</f>
        <v>Pre-seed</v>
      </c>
      <c r="V235" s="6"/>
      <c r="W235" s="6" t="str">
        <f ca="1">IFERROR(__xludf.DUMMYFUNCTION("""COMPUTED_VALUE"""),"Invite Next Year")</f>
        <v>Invite Next Year</v>
      </c>
    </row>
    <row r="236" spans="1:23">
      <c r="A236" s="6" t="str">
        <f ca="1">IFERROR(__xludf.DUMMYFUNCTION("""COMPUTED_VALUE"""),"Man")</f>
        <v>Man</v>
      </c>
      <c r="B236" s="6" t="str">
        <f ca="1">IFERROR(__xludf.DUMMYFUNCTION("""COMPUTED_VALUE"""),"BWISECORP Blue Whale Invention Safety Energy Corporation  _2022")</f>
        <v>BWISECORP Blue Whale Invention Safety Energy Corporation  _2022</v>
      </c>
      <c r="C236" s="6" t="str">
        <f ca="1">IFERROR(__xludf.DUMMYFUNCTION("""COMPUTED_VALUE"""),"Life Sciences")</f>
        <v>Life Sciences</v>
      </c>
      <c r="D236" s="6" t="str">
        <f ca="1">IFERROR(__xludf.DUMMYFUNCTION("""COMPUTED_VALUE"""),"11261 Hwy 12 , Orange / Texas  
United States")</f>
        <v>11261 Hwy 12 , Orange / Texas  
United States</v>
      </c>
      <c r="E236" s="6" t="str">
        <f ca="1">IFERROR(__xludf.DUMMYFUNCTION("""COMPUTED_VALUE"""),"South")</f>
        <v>South</v>
      </c>
      <c r="F236" s="6" t="str">
        <f ca="1">IFERROR(__xludf.DUMMYFUNCTION("""COMPUTED_VALUE"""),"Man")</f>
        <v>Man</v>
      </c>
      <c r="G236" s="6"/>
      <c r="H236" s="6"/>
      <c r="I236" s="6"/>
      <c r="J236" s="6"/>
      <c r="K236" s="6"/>
      <c r="L236" s="6" t="str">
        <f ca="1">IFERROR(__xludf.DUMMYFUNCTION("""COMPUTED_VALUE"""),"No")</f>
        <v>No</v>
      </c>
      <c r="M236" s="6"/>
      <c r="N236" s="6"/>
      <c r="O236" s="6" t="str">
        <f ca="1">IFERROR(__xludf.DUMMYFUNCTION("""COMPUTED_VALUE"""),"LinkedIn")</f>
        <v>LinkedIn</v>
      </c>
      <c r="P236" s="6"/>
      <c r="Q236" s="6" t="str">
        <f ca="1">IFERROR(__xludf.DUMMYFUNCTION("""COMPUTED_VALUE"""),"No")</f>
        <v>No</v>
      </c>
      <c r="R236" s="6">
        <f ca="1">IFERROR(__xludf.DUMMYFUNCTION("""COMPUTED_VALUE"""),1)</f>
        <v>1</v>
      </c>
      <c r="S236" s="6" t="str">
        <f ca="1">IFERROR(__xludf.DUMMYFUNCTION("""COMPUTED_VALUE"""),"Pre-seed")</f>
        <v>Pre-seed</v>
      </c>
      <c r="T236" s="6" t="str">
        <f ca="1">IFERROR(__xludf.DUMMYFUNCTION("""COMPUTED_VALUE"""),"Pre-seed")</f>
        <v>Pre-seed</v>
      </c>
      <c r="U236" s="6" t="str">
        <f ca="1">IFERROR(__xludf.DUMMYFUNCTION("""COMPUTED_VALUE"""),"Pre-seed")</f>
        <v>Pre-seed</v>
      </c>
      <c r="V236" s="6"/>
      <c r="W236" s="6" t="str">
        <f ca="1">IFERROR(__xludf.DUMMYFUNCTION("""COMPUTED_VALUE"""),"Invite Next Year")</f>
        <v>Invite Next Year</v>
      </c>
    </row>
    <row r="237" spans="1:23">
      <c r="A237" s="6" t="str">
        <f ca="1">IFERROR(__xludf.DUMMYFUNCTION("""COMPUTED_VALUE"""),"Man, Man")</f>
        <v>Man, Man</v>
      </c>
      <c r="B237" s="6" t="str">
        <f ca="1">IFERROR(__xludf.DUMMYFUNCTION("""COMPUTED_VALUE"""),"Volatile AI _2022")</f>
        <v>Volatile AI _2022</v>
      </c>
      <c r="C237" s="6" t="str">
        <f ca="1">IFERROR(__xludf.DUMMYFUNCTION("""COMPUTED_VALUE"""),"Deep Tech")</f>
        <v>Deep Tech</v>
      </c>
      <c r="D237" s="6" t="str">
        <f ca="1">IFERROR(__xludf.DUMMYFUNCTION("""COMPUTED_VALUE"""),"London, London 
United Kingdom")</f>
        <v>London, London 
United Kingdom</v>
      </c>
      <c r="E237" s="6" t="str">
        <f ca="1">IFERROR(__xludf.DUMMYFUNCTION("""COMPUTED_VALUE"""),"International - Europe")</f>
        <v>International - Europe</v>
      </c>
      <c r="F237" s="6" t="str">
        <f ca="1">IFERROR(__xludf.DUMMYFUNCTION("""COMPUTED_VALUE"""),"Man")</f>
        <v>Man</v>
      </c>
      <c r="G237" s="6" t="str">
        <f ca="1">IFERROR(__xludf.DUMMYFUNCTION("""COMPUTED_VALUE"""),"Man")</f>
        <v>Man</v>
      </c>
      <c r="H237" s="6"/>
      <c r="I237" s="6"/>
      <c r="J237" s="6"/>
      <c r="K237" s="6"/>
      <c r="L237" s="6" t="str">
        <f ca="1">IFERROR(__xludf.DUMMYFUNCTION("""COMPUTED_VALUE"""),"No")</f>
        <v>No</v>
      </c>
      <c r="M237" s="6"/>
      <c r="N237" s="6"/>
      <c r="O237" s="6" t="str">
        <f ca="1">IFERROR(__xludf.DUMMYFUNCTION("""COMPUTED_VALUE"""),"Email")</f>
        <v>Email</v>
      </c>
      <c r="P237" s="6"/>
      <c r="Q237" s="6" t="str">
        <f ca="1">IFERROR(__xludf.DUMMYFUNCTION("""COMPUTED_VALUE"""),"No")</f>
        <v>No</v>
      </c>
      <c r="R237" s="6">
        <f ca="1">IFERROR(__xludf.DUMMYFUNCTION("""COMPUTED_VALUE"""),2)</f>
        <v>2</v>
      </c>
      <c r="S237" s="6" t="str">
        <f ca="1">IFERROR(__xludf.DUMMYFUNCTION("""COMPUTED_VALUE"""),"Pre-seed")</f>
        <v>Pre-seed</v>
      </c>
      <c r="T237" s="6" t="str">
        <f ca="1">IFERROR(__xludf.DUMMYFUNCTION("""COMPUTED_VALUE"""),"Pre-seed")</f>
        <v>Pre-seed</v>
      </c>
      <c r="U237" s="6" t="str">
        <f ca="1">IFERROR(__xludf.DUMMYFUNCTION("""COMPUTED_VALUE"""),"Pre-seed")</f>
        <v>Pre-seed</v>
      </c>
      <c r="V237" s="6"/>
      <c r="W237" s="6" t="str">
        <f ca="1">IFERROR(__xludf.DUMMYFUNCTION("""COMPUTED_VALUE"""),"Invite Next Year")</f>
        <v>Invite Next Year</v>
      </c>
    </row>
    <row r="238" spans="1:23">
      <c r="A238" s="6" t="str">
        <f ca="1">IFERROR(__xludf.DUMMYFUNCTION("""COMPUTED_VALUE"""),"Man, Man, Man")</f>
        <v>Man, Man, Man</v>
      </c>
      <c r="B238" s="6" t="str">
        <f ca="1">IFERROR(__xludf.DUMMYFUNCTION("""COMPUTED_VALUE"""),"Packworks _2022")</f>
        <v>Packworks _2022</v>
      </c>
      <c r="C238" s="6" t="str">
        <f ca="1">IFERROR(__xludf.DUMMYFUNCTION("""COMPUTED_VALUE"""),"Digital Tech")</f>
        <v>Digital Tech</v>
      </c>
      <c r="D238" s="6" t="str">
        <f ca="1">IFERROR(__xludf.DUMMYFUNCTION("""COMPUTED_VALUE"""),"106, Greenbelt Mansions, Perea, Legazpi Village, Makati, NCR 
Philippines")</f>
        <v>106, Greenbelt Mansions, Perea, Legazpi Village, Makati, NCR 
Philippines</v>
      </c>
      <c r="E238" s="6" t="str">
        <f ca="1">IFERROR(__xludf.DUMMYFUNCTION("""COMPUTED_VALUE"""),"International - Asia")</f>
        <v>International - Asia</v>
      </c>
      <c r="F238" s="6" t="str">
        <f ca="1">IFERROR(__xludf.DUMMYFUNCTION("""COMPUTED_VALUE"""),"Man")</f>
        <v>Man</v>
      </c>
      <c r="G238" s="6" t="str">
        <f ca="1">IFERROR(__xludf.DUMMYFUNCTION("""COMPUTED_VALUE"""),"Man")</f>
        <v>Man</v>
      </c>
      <c r="H238" s="6" t="str">
        <f ca="1">IFERROR(__xludf.DUMMYFUNCTION("""COMPUTED_VALUE"""),"Man")</f>
        <v>Man</v>
      </c>
      <c r="I238" s="6"/>
      <c r="J238" s="6"/>
      <c r="K238" s="6"/>
      <c r="L238" s="6" t="str">
        <f ca="1">IFERROR(__xludf.DUMMYFUNCTION("""COMPUTED_VALUE"""),"No")</f>
        <v>No</v>
      </c>
      <c r="M238" s="6"/>
      <c r="N238" s="6"/>
      <c r="O238" s="6" t="str">
        <f ca="1">IFERROR(__xludf.DUMMYFUNCTION("""COMPUTED_VALUE"""),"Referral")</f>
        <v>Referral</v>
      </c>
      <c r="P238" s="6"/>
      <c r="Q238" s="6" t="str">
        <f ca="1">IFERROR(__xludf.DUMMYFUNCTION("""COMPUTED_VALUE"""),"No")</f>
        <v>No</v>
      </c>
      <c r="R238" s="6">
        <f ca="1">IFERROR(__xludf.DUMMYFUNCTION("""COMPUTED_VALUE"""),3)</f>
        <v>3</v>
      </c>
      <c r="S238" s="6" t="str">
        <f ca="1">IFERROR(__xludf.DUMMYFUNCTION("""COMPUTED_VALUE"""),"Pre-seed
Seed")</f>
        <v>Pre-seed
Seed</v>
      </c>
      <c r="T238" s="6" t="str">
        <f ca="1">IFERROR(__xludf.DUMMYFUNCTION("""COMPUTED_VALUE"""),"Pre-seed, Seed")</f>
        <v>Pre-seed, Seed</v>
      </c>
      <c r="U238" s="6" t="str">
        <f ca="1">IFERROR(__xludf.DUMMYFUNCTION("""COMPUTED_VALUE"""),"Pre-seed, Seed")</f>
        <v>Pre-seed, Seed</v>
      </c>
      <c r="V238" s="6"/>
      <c r="W238" s="6" t="str">
        <f ca="1">IFERROR(__xludf.DUMMYFUNCTION("""COMPUTED_VALUE"""),"Invite Next Year")</f>
        <v>Invite Next Year</v>
      </c>
    </row>
    <row r="239" spans="1:23">
      <c r="A239" s="6" t="str">
        <f ca="1">IFERROR(__xludf.DUMMYFUNCTION("""COMPUTED_VALUE"""),"Man, Man")</f>
        <v>Man, Man</v>
      </c>
      <c r="B239" s="6" t="str">
        <f ca="1">IFERROR(__xludf.DUMMYFUNCTION("""COMPUTED_VALUE"""),"Semeris _2022")</f>
        <v>Semeris _2022</v>
      </c>
      <c r="C239" s="6" t="str">
        <f ca="1">IFERROR(__xludf.DUMMYFUNCTION("""COMPUTED_VALUE"""),"Digital Tech")</f>
        <v>Digital Tech</v>
      </c>
      <c r="D239" s="6" t="str">
        <f ca="1">IFERROR(__xludf.DUMMYFUNCTION("""COMPUTED_VALUE"""),"Hamilton House, Mabledon Place, London WC1H 9BB, London 
United Kingdom")</f>
        <v>Hamilton House, Mabledon Place, London WC1H 9BB, London 
United Kingdom</v>
      </c>
      <c r="E239" s="6" t="str">
        <f ca="1">IFERROR(__xludf.DUMMYFUNCTION("""COMPUTED_VALUE"""),"International - Europe")</f>
        <v>International - Europe</v>
      </c>
      <c r="F239" s="6" t="str">
        <f ca="1">IFERROR(__xludf.DUMMYFUNCTION("""COMPUTED_VALUE"""),"Man")</f>
        <v>Man</v>
      </c>
      <c r="G239" s="6" t="str">
        <f ca="1">IFERROR(__xludf.DUMMYFUNCTION("""COMPUTED_VALUE"""),"Man")</f>
        <v>Man</v>
      </c>
      <c r="H239" s="6"/>
      <c r="I239" s="6"/>
      <c r="J239" s="6"/>
      <c r="K239" s="6"/>
      <c r="L239" s="6" t="str">
        <f ca="1">IFERROR(__xludf.DUMMYFUNCTION("""COMPUTED_VALUE"""),"--Please select--")</f>
        <v>--Please select--</v>
      </c>
      <c r="M239" s="6"/>
      <c r="N239" s="6"/>
      <c r="O239" s="6" t="str">
        <f ca="1">IFERROR(__xludf.DUMMYFUNCTION("""COMPUTED_VALUE"""),"Other")</f>
        <v>Other</v>
      </c>
      <c r="P239" s="6"/>
      <c r="Q239" s="6" t="str">
        <f ca="1">IFERROR(__xludf.DUMMYFUNCTION("""COMPUTED_VALUE"""),"No")</f>
        <v>No</v>
      </c>
      <c r="R239" s="6">
        <f ca="1">IFERROR(__xludf.DUMMYFUNCTION("""COMPUTED_VALUE"""),2)</f>
        <v>2</v>
      </c>
      <c r="S239" s="6" t="str">
        <f ca="1">IFERROR(__xludf.DUMMYFUNCTION("""COMPUTED_VALUE"""),"Pre-seed
Seed")</f>
        <v>Pre-seed
Seed</v>
      </c>
      <c r="T239" s="6" t="str">
        <f ca="1">IFERROR(__xludf.DUMMYFUNCTION("""COMPUTED_VALUE"""),"Pre-seed, Seed")</f>
        <v>Pre-seed, Seed</v>
      </c>
      <c r="U239" s="6" t="str">
        <f ca="1">IFERROR(__xludf.DUMMYFUNCTION("""COMPUTED_VALUE"""),"Pre-seed, Seed")</f>
        <v>Pre-seed, Seed</v>
      </c>
      <c r="V239" s="6"/>
      <c r="W239" s="6" t="str">
        <f ca="1">IFERROR(__xludf.DUMMYFUNCTION("""COMPUTED_VALUE"""),"Revisit/ Cluster")</f>
        <v>Revisit/ Cluster</v>
      </c>
    </row>
    <row r="240" spans="1:23">
      <c r="A240" s="6" t="str">
        <f ca="1">IFERROR(__xludf.DUMMYFUNCTION("""COMPUTED_VALUE"""),"Man, Man")</f>
        <v>Man, Man</v>
      </c>
      <c r="B240" s="6" t="str">
        <f ca="1">IFERROR(__xludf.DUMMYFUNCTION("""COMPUTED_VALUE"""),"GameAir _2022")</f>
        <v>GameAir _2022</v>
      </c>
      <c r="C240" s="6" t="str">
        <f ca="1">IFERROR(__xludf.DUMMYFUNCTION("""COMPUTED_VALUE"""),"Deep Tech")</f>
        <v>Deep Tech</v>
      </c>
      <c r="D240" s="6" t="str">
        <f ca="1">IFERROR(__xludf.DUMMYFUNCTION("""COMPUTED_VALUE"""),"Tel Aviv, Israel 
Israel")</f>
        <v>Tel Aviv, Israel 
Israel</v>
      </c>
      <c r="E240" s="6" t="str">
        <f ca="1">IFERROR(__xludf.DUMMYFUNCTION("""COMPUTED_VALUE"""),"International - Middle East")</f>
        <v>International - Middle East</v>
      </c>
      <c r="F240" s="6" t="str">
        <f ca="1">IFERROR(__xludf.DUMMYFUNCTION("""COMPUTED_VALUE"""),"Man")</f>
        <v>Man</v>
      </c>
      <c r="G240" s="6" t="str">
        <f ca="1">IFERROR(__xludf.DUMMYFUNCTION("""COMPUTED_VALUE"""),"Man")</f>
        <v>Man</v>
      </c>
      <c r="H240" s="6"/>
      <c r="I240" s="6"/>
      <c r="J240" s="6"/>
      <c r="K240" s="6"/>
      <c r="L240" s="6" t="str">
        <f ca="1">IFERROR(__xludf.DUMMYFUNCTION("""COMPUTED_VALUE"""),"No")</f>
        <v>No</v>
      </c>
      <c r="M240" s="6"/>
      <c r="N240" s="6"/>
      <c r="O240" s="6" t="str">
        <f ca="1">IFERROR(__xludf.DUMMYFUNCTION("""COMPUTED_VALUE"""),"Other")</f>
        <v>Other</v>
      </c>
      <c r="P240" s="6"/>
      <c r="Q240" s="6" t="str">
        <f ca="1">IFERROR(__xludf.DUMMYFUNCTION("""COMPUTED_VALUE"""),"No")</f>
        <v>No</v>
      </c>
      <c r="R240" s="6">
        <f ca="1">IFERROR(__xludf.DUMMYFUNCTION("""COMPUTED_VALUE"""),2)</f>
        <v>2</v>
      </c>
      <c r="S240" s="6" t="str">
        <f ca="1">IFERROR(__xludf.DUMMYFUNCTION("""COMPUTED_VALUE"""),"None")</f>
        <v>None</v>
      </c>
      <c r="T240" s="6" t="str">
        <f ca="1">IFERROR(__xludf.DUMMYFUNCTION("""COMPUTED_VALUE"""),"None")</f>
        <v>None</v>
      </c>
      <c r="U240" s="6" t="str">
        <f ca="1">IFERROR(__xludf.DUMMYFUNCTION("""COMPUTED_VALUE"""),"None")</f>
        <v>None</v>
      </c>
      <c r="V240" s="6"/>
      <c r="W240" s="6" t="str">
        <f ca="1">IFERROR(__xludf.DUMMYFUNCTION("""COMPUTED_VALUE"""),"Invite Next Year")</f>
        <v>Invite Next Year</v>
      </c>
    </row>
    <row r="241" spans="1:23">
      <c r="A241" s="6" t="str">
        <f ca="1">IFERROR(__xludf.DUMMYFUNCTION("""COMPUTED_VALUE"""),"Man, Man, Woman")</f>
        <v>Man, Man, Woman</v>
      </c>
      <c r="B241" s="6" t="str">
        <f ca="1">IFERROR(__xludf.DUMMYFUNCTION("""COMPUTED_VALUE"""),"MUST HAD _2022")</f>
        <v>MUST HAD _2022</v>
      </c>
      <c r="C241" s="6" t="str">
        <f ca="1">IFERROR(__xludf.DUMMYFUNCTION("""COMPUTED_VALUE"""),"Digital Tech")</f>
        <v>Digital Tech</v>
      </c>
      <c r="D241" s="6" t="str">
        <f ca="1">IFERROR(__xludf.DUMMYFUNCTION("""COMPUTED_VALUE"""),"TORINO, TORINO 
Italy")</f>
        <v>TORINO, TORINO 
Italy</v>
      </c>
      <c r="E241" s="6" t="str">
        <f ca="1">IFERROR(__xludf.DUMMYFUNCTION("""COMPUTED_VALUE"""),"International - Europe")</f>
        <v>International - Europe</v>
      </c>
      <c r="F241" s="6" t="str">
        <f ca="1">IFERROR(__xludf.DUMMYFUNCTION("""COMPUTED_VALUE"""),"Man")</f>
        <v>Man</v>
      </c>
      <c r="G241" s="6" t="str">
        <f ca="1">IFERROR(__xludf.DUMMYFUNCTION("""COMPUTED_VALUE"""),"Man")</f>
        <v>Man</v>
      </c>
      <c r="H241" s="6" t="str">
        <f ca="1">IFERROR(__xludf.DUMMYFUNCTION("""COMPUTED_VALUE"""),"Woman")</f>
        <v>Woman</v>
      </c>
      <c r="I241" s="6"/>
      <c r="J241" s="6"/>
      <c r="K241" s="6"/>
      <c r="L241" s="6" t="str">
        <f ca="1">IFERROR(__xludf.DUMMYFUNCTION("""COMPUTED_VALUE"""),"--Please select--")</f>
        <v>--Please select--</v>
      </c>
      <c r="M241" s="6"/>
      <c r="N241" s="6"/>
      <c r="O241" s="6" t="str">
        <f ca="1">IFERROR(__xludf.DUMMYFUNCTION("""COMPUTED_VALUE"""),"Email")</f>
        <v>Email</v>
      </c>
      <c r="P241" s="6"/>
      <c r="Q241" s="6" t="str">
        <f ca="1">IFERROR(__xludf.DUMMYFUNCTION("""COMPUTED_VALUE"""),"No")</f>
        <v>No</v>
      </c>
      <c r="R241" s="6">
        <f ca="1">IFERROR(__xludf.DUMMYFUNCTION("""COMPUTED_VALUE"""),3)</f>
        <v>3</v>
      </c>
      <c r="S241" s="6" t="str">
        <f ca="1">IFERROR(__xludf.DUMMYFUNCTION("""COMPUTED_VALUE"""),"Pre-seed")</f>
        <v>Pre-seed</v>
      </c>
      <c r="T241" s="6" t="str">
        <f ca="1">IFERROR(__xludf.DUMMYFUNCTION("""COMPUTED_VALUE"""),"Pre-seed")</f>
        <v>Pre-seed</v>
      </c>
      <c r="U241" s="6" t="str">
        <f ca="1">IFERROR(__xludf.DUMMYFUNCTION("""COMPUTED_VALUE"""),"Pre-seed")</f>
        <v>Pre-seed</v>
      </c>
      <c r="V241" s="6"/>
      <c r="W241" s="6" t="str">
        <f ca="1">IFERROR(__xludf.DUMMYFUNCTION("""COMPUTED_VALUE"""),"Invite Next Year")</f>
        <v>Invite Next Year</v>
      </c>
    </row>
    <row r="242" spans="1:23">
      <c r="A242" s="6" t="str">
        <f ca="1">IFERROR(__xludf.DUMMYFUNCTION("""COMPUTED_VALUE"""),"Man, Man, Man, Man, Man")</f>
        <v>Man, Man, Man, Man, Man</v>
      </c>
      <c r="B242" s="6" t="str">
        <f ca="1">IFERROR(__xludf.DUMMYFUNCTION("""COMPUTED_VALUE"""),"THYROSCOPE INC. _2022")</f>
        <v>THYROSCOPE INC. _2022</v>
      </c>
      <c r="C242" s="6" t="str">
        <f ca="1">IFERROR(__xludf.DUMMYFUNCTION("""COMPUTED_VALUE"""),"Digital Tech")</f>
        <v>Digital Tech</v>
      </c>
      <c r="D242" s="6" t="str">
        <f ca="1">IFERROR(__xludf.DUMMYFUNCTION("""COMPUTED_VALUE"""),"Ulsan, Ulsan 
Korea, Republic of")</f>
        <v>Ulsan, Ulsan 
Korea, Republic of</v>
      </c>
      <c r="E242" s="6" t="str">
        <f ca="1">IFERROR(__xludf.DUMMYFUNCTION("""COMPUTED_VALUE"""),"International - Asia")</f>
        <v>International - Asia</v>
      </c>
      <c r="F242" s="6" t="str">
        <f ca="1">IFERROR(__xludf.DUMMYFUNCTION("""COMPUTED_VALUE"""),"Man")</f>
        <v>Man</v>
      </c>
      <c r="G242" s="6" t="str">
        <f ca="1">IFERROR(__xludf.DUMMYFUNCTION("""COMPUTED_VALUE"""),"Man")</f>
        <v>Man</v>
      </c>
      <c r="H242" s="6" t="str">
        <f ca="1">IFERROR(__xludf.DUMMYFUNCTION("""COMPUTED_VALUE"""),"Man")</f>
        <v>Man</v>
      </c>
      <c r="I242" s="6" t="str">
        <f ca="1">IFERROR(__xludf.DUMMYFUNCTION("""COMPUTED_VALUE"""),"Man")</f>
        <v>Man</v>
      </c>
      <c r="J242" s="6" t="str">
        <f ca="1">IFERROR(__xludf.DUMMYFUNCTION("""COMPUTED_VALUE"""),"Man")</f>
        <v>Man</v>
      </c>
      <c r="K242" s="6"/>
      <c r="L242" s="6" t="str">
        <f ca="1">IFERROR(__xludf.DUMMYFUNCTION("""COMPUTED_VALUE"""),"No")</f>
        <v>No</v>
      </c>
      <c r="M242" s="6"/>
      <c r="N242" s="6"/>
      <c r="O242" s="6" t="str">
        <f ca="1">IFERROR(__xludf.DUMMYFUNCTION("""COMPUTED_VALUE"""),"Email")</f>
        <v>Email</v>
      </c>
      <c r="P242" s="6"/>
      <c r="Q242" s="6" t="str">
        <f ca="1">IFERROR(__xludf.DUMMYFUNCTION("""COMPUTED_VALUE"""),"No")</f>
        <v>No</v>
      </c>
      <c r="R242" s="6">
        <f ca="1">IFERROR(__xludf.DUMMYFUNCTION("""COMPUTED_VALUE"""),5)</f>
        <v>5</v>
      </c>
      <c r="S242" s="6" t="str">
        <f ca="1">IFERROR(__xludf.DUMMYFUNCTION("""COMPUTED_VALUE"""),"Other: Pre-series A")</f>
        <v>Other: Pre-series A</v>
      </c>
      <c r="T242" s="6" t="str">
        <f ca="1">IFERROR(__xludf.DUMMYFUNCTION("""COMPUTED_VALUE"""),"Other: Pre-series A")</f>
        <v>Other: Pre-series A</v>
      </c>
      <c r="U242" s="6" t="str">
        <f ca="1">IFERROR(__xludf.DUMMYFUNCTION("""COMPUTED_VALUE"""),"Pre-series A")</f>
        <v>Pre-series A</v>
      </c>
      <c r="V242" s="6"/>
      <c r="W242" s="6" t="str">
        <f ca="1">IFERROR(__xludf.DUMMYFUNCTION("""COMPUTED_VALUE"""),"Revisit/ Cluster")</f>
        <v>Revisit/ Cluster</v>
      </c>
    </row>
    <row r="243" spans="1:23">
      <c r="A243" s="6" t="str">
        <f ca="1">IFERROR(__xludf.DUMMYFUNCTION("""COMPUTED_VALUE"""),"Woman, Man, Man")</f>
        <v>Woman, Man, Man</v>
      </c>
      <c r="B243" s="6" t="str">
        <f ca="1">IFERROR(__xludf.DUMMYFUNCTION("""COMPUTED_VALUE"""),"Nomitri _2022")</f>
        <v>Nomitri _2022</v>
      </c>
      <c r="C243" s="6" t="str">
        <f ca="1">IFERROR(__xludf.DUMMYFUNCTION("""COMPUTED_VALUE"""),"Deep Tech")</f>
        <v>Deep Tech</v>
      </c>
      <c r="D243" s="6" t="str">
        <f ca="1">IFERROR(__xludf.DUMMYFUNCTION("""COMPUTED_VALUE"""),"Berlin, Berlin 
Germany")</f>
        <v>Berlin, Berlin 
Germany</v>
      </c>
      <c r="E243" s="6" t="str">
        <f ca="1">IFERROR(__xludf.DUMMYFUNCTION("""COMPUTED_VALUE"""),"International - Europe")</f>
        <v>International - Europe</v>
      </c>
      <c r="F243" s="6" t="str">
        <f ca="1">IFERROR(__xludf.DUMMYFUNCTION("""COMPUTED_VALUE"""),"Woman")</f>
        <v>Woman</v>
      </c>
      <c r="G243" s="6" t="str">
        <f ca="1">IFERROR(__xludf.DUMMYFUNCTION("""COMPUTED_VALUE"""),"Man")</f>
        <v>Man</v>
      </c>
      <c r="H243" s="6" t="str">
        <f ca="1">IFERROR(__xludf.DUMMYFUNCTION("""COMPUTED_VALUE"""),"Man")</f>
        <v>Man</v>
      </c>
      <c r="I243" s="6"/>
      <c r="J243" s="6"/>
      <c r="K243" s="6"/>
      <c r="L243" s="6" t="str">
        <f ca="1">IFERROR(__xludf.DUMMYFUNCTION("""COMPUTED_VALUE"""),"No")</f>
        <v>No</v>
      </c>
      <c r="M243" s="6"/>
      <c r="N243" s="6"/>
      <c r="O243" s="6" t="str">
        <f ca="1">IFERROR(__xludf.DUMMYFUNCTION("""COMPUTED_VALUE"""),"Other")</f>
        <v>Other</v>
      </c>
      <c r="P243" s="6"/>
      <c r="Q243" s="6" t="str">
        <f ca="1">IFERROR(__xludf.DUMMYFUNCTION("""COMPUTED_VALUE"""),"Yes")</f>
        <v>Yes</v>
      </c>
      <c r="R243" s="6">
        <f ca="1">IFERROR(__xludf.DUMMYFUNCTION("""COMPUTED_VALUE"""),3)</f>
        <v>3</v>
      </c>
      <c r="S243" s="6" t="str">
        <f ca="1">IFERROR(__xludf.DUMMYFUNCTION("""COMPUTED_VALUE"""),"Pre-seed
Seed
Debt financing
Grants")</f>
        <v>Pre-seed
Seed
Debt financing
Grants</v>
      </c>
      <c r="T243" s="6" t="str">
        <f ca="1">IFERROR(__xludf.DUMMYFUNCTION("""COMPUTED_VALUE"""),"Pre-seed, Seed, Debt financing, Grants")</f>
        <v>Pre-seed, Seed, Debt financing, Grants</v>
      </c>
      <c r="U243" s="6" t="str">
        <f ca="1">IFERROR(__xludf.DUMMYFUNCTION("""COMPUTED_VALUE"""),"Pre-seed, Seed, Debt financing, Grants")</f>
        <v>Pre-seed, Seed, Debt financing, Grants</v>
      </c>
      <c r="V243" s="6"/>
      <c r="W243" s="6" t="str">
        <f ca="1">IFERROR(__xludf.DUMMYFUNCTION("""COMPUTED_VALUE"""),"Revisit")</f>
        <v>Revisit</v>
      </c>
    </row>
    <row r="244" spans="1:23">
      <c r="A244" s="6" t="str">
        <f ca="1">IFERROR(__xludf.DUMMYFUNCTION("""COMPUTED_VALUE"""),"Woman, Man")</f>
        <v>Woman, Man</v>
      </c>
      <c r="B244" s="6" t="str">
        <f ca="1">IFERROR(__xludf.DUMMYFUNCTION("""COMPUTED_VALUE"""),"Street2school _2022")</f>
        <v>Street2school _2022</v>
      </c>
      <c r="C244" s="6" t="str">
        <f ca="1">IFERROR(__xludf.DUMMYFUNCTION("""COMPUTED_VALUE"""),"Digital Tech")</f>
        <v>Digital Tech</v>
      </c>
      <c r="D244" s="6" t="str">
        <f ca="1">IFERROR(__xludf.DUMMYFUNCTION("""COMPUTED_VALUE"""),"Abuja, Abuja 
Nigeria")</f>
        <v>Abuja, Abuja 
Nigeria</v>
      </c>
      <c r="E244" s="6" t="str">
        <f ca="1">IFERROR(__xludf.DUMMYFUNCTION("""COMPUTED_VALUE"""),"International - Other")</f>
        <v>International - Other</v>
      </c>
      <c r="F244" s="6" t="str">
        <f ca="1">IFERROR(__xludf.DUMMYFUNCTION("""COMPUTED_VALUE"""),"Woman")</f>
        <v>Woman</v>
      </c>
      <c r="G244" s="6" t="str">
        <f ca="1">IFERROR(__xludf.DUMMYFUNCTION("""COMPUTED_VALUE"""),"Man")</f>
        <v>Man</v>
      </c>
      <c r="H244" s="6"/>
      <c r="I244" s="6"/>
      <c r="J244" s="6"/>
      <c r="K244" s="6"/>
      <c r="L244" s="6" t="str">
        <f ca="1">IFERROR(__xludf.DUMMYFUNCTION("""COMPUTED_VALUE"""),"--Please select--")</f>
        <v>--Please select--</v>
      </c>
      <c r="M244" s="6"/>
      <c r="N244" s="6"/>
      <c r="O244" s="6" t="str">
        <f ca="1">IFERROR(__xludf.DUMMYFUNCTION("""COMPUTED_VALUE"""),"NYU Newsletter")</f>
        <v>NYU Newsletter</v>
      </c>
      <c r="P244" s="6"/>
      <c r="Q244" s="6" t="str">
        <f ca="1">IFERROR(__xludf.DUMMYFUNCTION("""COMPUTED_VALUE"""),"No")</f>
        <v>No</v>
      </c>
      <c r="R244" s="6">
        <f ca="1">IFERROR(__xludf.DUMMYFUNCTION("""COMPUTED_VALUE"""),2)</f>
        <v>2</v>
      </c>
      <c r="S244" s="6" t="str">
        <f ca="1">IFERROR(__xludf.DUMMYFUNCTION("""COMPUTED_VALUE"""),"Grants")</f>
        <v>Grants</v>
      </c>
      <c r="T244" s="6" t="str">
        <f ca="1">IFERROR(__xludf.DUMMYFUNCTION("""COMPUTED_VALUE"""),"Grants")</f>
        <v>Grants</v>
      </c>
      <c r="U244" s="6" t="str">
        <f ca="1">IFERROR(__xludf.DUMMYFUNCTION("""COMPUTED_VALUE"""),"Grants")</f>
        <v>Grants</v>
      </c>
      <c r="V244" s="6"/>
      <c r="W244" s="6" t="str">
        <f ca="1">IFERROR(__xludf.DUMMYFUNCTION("""COMPUTED_VALUE"""),"Invite Next Year")</f>
        <v>Invite Next Year</v>
      </c>
    </row>
    <row r="245" spans="1:23">
      <c r="A245" s="6" t="str">
        <f ca="1">IFERROR(__xludf.DUMMYFUNCTION("""COMPUTED_VALUE"""),"Man")</f>
        <v>Man</v>
      </c>
      <c r="B245" s="6" t="str">
        <f ca="1">IFERROR(__xludf.DUMMYFUNCTION("""COMPUTED_VALUE"""),"IPS HEART _2022")</f>
        <v>IPS HEART _2022</v>
      </c>
      <c r="C245" s="6" t="str">
        <f ca="1">IFERROR(__xludf.DUMMYFUNCTION("""COMPUTED_VALUE"""),"Life Sciences")</f>
        <v>Life Sciences</v>
      </c>
      <c r="D245" s="6" t="str">
        <f ca="1">IFERROR(__xludf.DUMMYFUNCTION("""COMPUTED_VALUE"""),"104090 Southwest Freeway, Suite 300, TX 
United States")</f>
        <v>104090 Southwest Freeway, Suite 300, TX 
United States</v>
      </c>
      <c r="E245" s="6" t="str">
        <f ca="1">IFERROR(__xludf.DUMMYFUNCTION("""COMPUTED_VALUE"""),"South")</f>
        <v>South</v>
      </c>
      <c r="F245" s="6" t="str">
        <f ca="1">IFERROR(__xludf.DUMMYFUNCTION("""COMPUTED_VALUE"""),"Man")</f>
        <v>Man</v>
      </c>
      <c r="G245" s="6"/>
      <c r="H245" s="6"/>
      <c r="I245" s="6"/>
      <c r="J245" s="6"/>
      <c r="K245" s="6"/>
      <c r="L245" s="6" t="str">
        <f ca="1">IFERROR(__xludf.DUMMYFUNCTION("""COMPUTED_VALUE"""),"--Please select--")</f>
        <v>--Please select--</v>
      </c>
      <c r="M245" s="6"/>
      <c r="N245" s="6"/>
      <c r="O245" s="6" t="str">
        <f ca="1">IFERROR(__xludf.DUMMYFUNCTION("""COMPUTED_VALUE"""),"Email")</f>
        <v>Email</v>
      </c>
      <c r="P245" s="6"/>
      <c r="Q245" s="6" t="str">
        <f ca="1">IFERROR(__xludf.DUMMYFUNCTION("""COMPUTED_VALUE"""),"No")</f>
        <v>No</v>
      </c>
      <c r="R245" s="6">
        <f ca="1">IFERROR(__xludf.DUMMYFUNCTION("""COMPUTED_VALUE"""),1)</f>
        <v>1</v>
      </c>
      <c r="S245" s="6" t="str">
        <f ca="1">IFERROR(__xludf.DUMMYFUNCTION("""COMPUTED_VALUE"""),"Seed
Grants")</f>
        <v>Seed
Grants</v>
      </c>
      <c r="T245" s="6" t="str">
        <f ca="1">IFERROR(__xludf.DUMMYFUNCTION("""COMPUTED_VALUE"""),"Seed, Grants")</f>
        <v>Seed, Grants</v>
      </c>
      <c r="U245" s="6" t="str">
        <f ca="1">IFERROR(__xludf.DUMMYFUNCTION("""COMPUTED_VALUE"""),"Seed, Grants")</f>
        <v>Seed, Grants</v>
      </c>
      <c r="V245" s="6"/>
      <c r="W245" s="6" t="str">
        <f ca="1">IFERROR(__xludf.DUMMYFUNCTION("""COMPUTED_VALUE"""),"Invite")</f>
        <v>Invite</v>
      </c>
    </row>
    <row r="246" spans="1:23">
      <c r="A246" s="6" t="str">
        <f ca="1">IFERROR(__xludf.DUMMYFUNCTION("""COMPUTED_VALUE"""),"Man, Man")</f>
        <v>Man, Man</v>
      </c>
      <c r="B246" s="6" t="str">
        <f ca="1">IFERROR(__xludf.DUMMYFUNCTION("""COMPUTED_VALUE"""),"Undesert Corporation _2022")</f>
        <v>Undesert Corporation _2022</v>
      </c>
      <c r="C246" s="6" t="str">
        <f ca="1">IFERROR(__xludf.DUMMYFUNCTION("""COMPUTED_VALUE"""),"Deep Tech")</f>
        <v>Deep Tech</v>
      </c>
      <c r="D246" s="6" t="str">
        <f ca="1">IFERROR(__xludf.DUMMYFUNCTION("""COMPUTED_VALUE"""),"Los Alamos, NM 
United States")</f>
        <v>Los Alamos, NM 
United States</v>
      </c>
      <c r="E246" s="6" t="str">
        <f ca="1">IFERROR(__xludf.DUMMYFUNCTION("""COMPUTED_VALUE"""),"West")</f>
        <v>West</v>
      </c>
      <c r="F246" s="6" t="str">
        <f ca="1">IFERROR(__xludf.DUMMYFUNCTION("""COMPUTED_VALUE"""),"Man")</f>
        <v>Man</v>
      </c>
      <c r="G246" s="6" t="str">
        <f ca="1">IFERROR(__xludf.DUMMYFUNCTION("""COMPUTED_VALUE"""),"Man")</f>
        <v>Man</v>
      </c>
      <c r="H246" s="6"/>
      <c r="I246" s="6"/>
      <c r="J246" s="6"/>
      <c r="K246" s="6"/>
      <c r="L246" s="6" t="str">
        <f ca="1">IFERROR(__xludf.DUMMYFUNCTION("""COMPUTED_VALUE"""),"No")</f>
        <v>No</v>
      </c>
      <c r="M246" s="6"/>
      <c r="N246" s="6"/>
      <c r="O246" s="6" t="str">
        <f ca="1">IFERROR(__xludf.DUMMYFUNCTION("""COMPUTED_VALUE"""),"Referral")</f>
        <v>Referral</v>
      </c>
      <c r="P246" s="6"/>
      <c r="Q246" s="6" t="str">
        <f ca="1">IFERROR(__xludf.DUMMYFUNCTION("""COMPUTED_VALUE"""),"No")</f>
        <v>No</v>
      </c>
      <c r="R246" s="6">
        <f ca="1">IFERROR(__xludf.DUMMYFUNCTION("""COMPUTED_VALUE"""),2)</f>
        <v>2</v>
      </c>
      <c r="S246" s="6" t="str">
        <f ca="1">IFERROR(__xludf.DUMMYFUNCTION("""COMPUTED_VALUE"""),"Pre-seed")</f>
        <v>Pre-seed</v>
      </c>
      <c r="T246" s="6" t="str">
        <f ca="1">IFERROR(__xludf.DUMMYFUNCTION("""COMPUTED_VALUE"""),"Pre-seed")</f>
        <v>Pre-seed</v>
      </c>
      <c r="U246" s="6" t="str">
        <f ca="1">IFERROR(__xludf.DUMMYFUNCTION("""COMPUTED_VALUE"""),"Pre-seed")</f>
        <v>Pre-seed</v>
      </c>
      <c r="V246" s="6"/>
      <c r="W246" s="6" t="str">
        <f ca="1">IFERROR(__xludf.DUMMYFUNCTION("""COMPUTED_VALUE"""),"Invite")</f>
        <v>Invite</v>
      </c>
    </row>
    <row r="247" spans="1:23">
      <c r="A247" s="6" t="str">
        <f ca="1">IFERROR(__xludf.DUMMYFUNCTION("""COMPUTED_VALUE"""),"Man, Woman, Man")</f>
        <v>Man, Woman, Man</v>
      </c>
      <c r="B247" s="6" t="str">
        <f ca="1">IFERROR(__xludf.DUMMYFUNCTION("""COMPUTED_VALUE"""),"Hummingbirds AI _2022")</f>
        <v>Hummingbirds AI _2022</v>
      </c>
      <c r="C247" s="6" t="str">
        <f ca="1">IFERROR(__xludf.DUMMYFUNCTION("""COMPUTED_VALUE"""),"Digital Tech")</f>
        <v>Digital Tech</v>
      </c>
      <c r="D247" s="6" t="str">
        <f ca="1">IFERROR(__xludf.DUMMYFUNCTION("""COMPUTED_VALUE"""),"Miami beach, fl 
United States")</f>
        <v>Miami beach, fl 
United States</v>
      </c>
      <c r="E247" s="6" t="str">
        <f ca="1">IFERROR(__xludf.DUMMYFUNCTION("""COMPUTED_VALUE"""),"East Coast")</f>
        <v>East Coast</v>
      </c>
      <c r="F247" s="6" t="str">
        <f ca="1">IFERROR(__xludf.DUMMYFUNCTION("""COMPUTED_VALUE"""),"Man")</f>
        <v>Man</v>
      </c>
      <c r="G247" s="6" t="str">
        <f ca="1">IFERROR(__xludf.DUMMYFUNCTION("""COMPUTED_VALUE"""),"Woman")</f>
        <v>Woman</v>
      </c>
      <c r="H247" s="6" t="str">
        <f ca="1">IFERROR(__xludf.DUMMYFUNCTION("""COMPUTED_VALUE"""),"Man")</f>
        <v>Man</v>
      </c>
      <c r="I247" s="6"/>
      <c r="J247" s="6"/>
      <c r="K247" s="6"/>
      <c r="L247" s="6" t="str">
        <f ca="1">IFERROR(__xludf.DUMMYFUNCTION("""COMPUTED_VALUE"""),"No")</f>
        <v>No</v>
      </c>
      <c r="M247" s="6"/>
      <c r="N247" s="6"/>
      <c r="O247" s="6" t="str">
        <f ca="1">IFERROR(__xludf.DUMMYFUNCTION("""COMPUTED_VALUE"""),"Email")</f>
        <v>Email</v>
      </c>
      <c r="P247" s="6"/>
      <c r="Q247" s="6" t="str">
        <f ca="1">IFERROR(__xludf.DUMMYFUNCTION("""COMPUTED_VALUE"""),"No")</f>
        <v>No</v>
      </c>
      <c r="R247" s="6">
        <f ca="1">IFERROR(__xludf.DUMMYFUNCTION("""COMPUTED_VALUE"""),3)</f>
        <v>3</v>
      </c>
      <c r="S247" s="6" t="str">
        <f ca="1">IFERROR(__xludf.DUMMYFUNCTION("""COMPUTED_VALUE"""),"Debt financing")</f>
        <v>Debt financing</v>
      </c>
      <c r="T247" s="6" t="str">
        <f ca="1">IFERROR(__xludf.DUMMYFUNCTION("""COMPUTED_VALUE"""),"Debt financing")</f>
        <v>Debt financing</v>
      </c>
      <c r="U247" s="6" t="str">
        <f ca="1">IFERROR(__xludf.DUMMYFUNCTION("""COMPUTED_VALUE"""),"Debt financing")</f>
        <v>Debt financing</v>
      </c>
      <c r="V247" s="6"/>
      <c r="W247" s="6" t="str">
        <f ca="1">IFERROR(__xludf.DUMMYFUNCTION("""COMPUTED_VALUE"""),"Invite")</f>
        <v>Invite</v>
      </c>
    </row>
    <row r="248" spans="1:23">
      <c r="A248" s="6" t="str">
        <f ca="1">IFERROR(__xludf.DUMMYFUNCTION("""COMPUTED_VALUE"""),"Man, Man, Woman, Man, Man, Woman")</f>
        <v>Man, Man, Woman, Man, Man, Woman</v>
      </c>
      <c r="B248" s="6" t="str">
        <f ca="1">IFERROR(__xludf.DUMMYFUNCTION("""COMPUTED_VALUE"""),"Infinity Gaming Media _2022")</f>
        <v>Infinity Gaming Media _2022</v>
      </c>
      <c r="C248" s="6" t="str">
        <f ca="1">IFERROR(__xludf.DUMMYFUNCTION("""COMPUTED_VALUE"""),"Digital Tech")</f>
        <v>Digital Tech</v>
      </c>
      <c r="D248" s="6" t="str">
        <f ca="1">IFERROR(__xludf.DUMMYFUNCTION("""COMPUTED_VALUE"""),"Mexico City, CDMX 
Mexico")</f>
        <v>Mexico City, CDMX 
Mexico</v>
      </c>
      <c r="E248" s="6" t="str">
        <f ca="1">IFERROR(__xludf.DUMMYFUNCTION("""COMPUTED_VALUE"""),"International - Americas")</f>
        <v>International - Americas</v>
      </c>
      <c r="F248" s="6" t="str">
        <f ca="1">IFERROR(__xludf.DUMMYFUNCTION("""COMPUTED_VALUE"""),"Man")</f>
        <v>Man</v>
      </c>
      <c r="G248" s="6" t="str">
        <f ca="1">IFERROR(__xludf.DUMMYFUNCTION("""COMPUTED_VALUE"""),"Man")</f>
        <v>Man</v>
      </c>
      <c r="H248" s="6" t="str">
        <f ca="1">IFERROR(__xludf.DUMMYFUNCTION("""COMPUTED_VALUE"""),"Woman")</f>
        <v>Woman</v>
      </c>
      <c r="I248" s="6" t="str">
        <f ca="1">IFERROR(__xludf.DUMMYFUNCTION("""COMPUTED_VALUE"""),"Man")</f>
        <v>Man</v>
      </c>
      <c r="J248" s="6" t="str">
        <f ca="1">IFERROR(__xludf.DUMMYFUNCTION("""COMPUTED_VALUE"""),"Man")</f>
        <v>Man</v>
      </c>
      <c r="K248" s="6" t="str">
        <f ca="1">IFERROR(__xludf.DUMMYFUNCTION("""COMPUTED_VALUE"""),"Woman")</f>
        <v>Woman</v>
      </c>
      <c r="L248" s="6" t="str">
        <f ca="1">IFERROR(__xludf.DUMMYFUNCTION("""COMPUTED_VALUE"""),"No")</f>
        <v>No</v>
      </c>
      <c r="M248" s="6"/>
      <c r="N248" s="6"/>
      <c r="O248" s="6" t="str">
        <f ca="1">IFERROR(__xludf.DUMMYFUNCTION("""COMPUTED_VALUE"""),"Email")</f>
        <v>Email</v>
      </c>
      <c r="P248" s="6"/>
      <c r="Q248" s="6" t="str">
        <f ca="1">IFERROR(__xludf.DUMMYFUNCTION("""COMPUTED_VALUE"""),"No")</f>
        <v>No</v>
      </c>
      <c r="R248" s="6">
        <f ca="1">IFERROR(__xludf.DUMMYFUNCTION("""COMPUTED_VALUE"""),6)</f>
        <v>6</v>
      </c>
      <c r="S248" s="6" t="str">
        <f ca="1">IFERROR(__xludf.DUMMYFUNCTION("""COMPUTED_VALUE"""),"Pre-seed
Seed")</f>
        <v>Pre-seed
Seed</v>
      </c>
      <c r="T248" s="6" t="str">
        <f ca="1">IFERROR(__xludf.DUMMYFUNCTION("""COMPUTED_VALUE"""),"Pre-seed, Seed")</f>
        <v>Pre-seed, Seed</v>
      </c>
      <c r="U248" s="6" t="str">
        <f ca="1">IFERROR(__xludf.DUMMYFUNCTION("""COMPUTED_VALUE"""),"Pre-seed, Seed")</f>
        <v>Pre-seed, Seed</v>
      </c>
      <c r="V248" s="6"/>
      <c r="W248" s="6" t="str">
        <f ca="1">IFERROR(__xludf.DUMMYFUNCTION("""COMPUTED_VALUE"""),"Invite")</f>
        <v>Invite</v>
      </c>
    </row>
    <row r="249" spans="1:23">
      <c r="A249" s="6" t="str">
        <f ca="1">IFERROR(__xludf.DUMMYFUNCTION("""COMPUTED_VALUE"""),"Man, Man")</f>
        <v>Man, Man</v>
      </c>
      <c r="B249" s="6" t="str">
        <f ca="1">IFERROR(__xludf.DUMMYFUNCTION("""COMPUTED_VALUE"""),"CRISP-HR Therapeutics _2022")</f>
        <v>CRISP-HR Therapeutics _2022</v>
      </c>
      <c r="C249" s="6" t="str">
        <f ca="1">IFERROR(__xludf.DUMMYFUNCTION("""COMPUTED_VALUE"""),"Life Sciences")</f>
        <v>Life Sciences</v>
      </c>
      <c r="D249" s="6" t="str">
        <f ca="1">IFERROR(__xludf.DUMMYFUNCTION("""COMPUTED_VALUE"""),"930 Brittan Ave, San Carlos , California 
United States")</f>
        <v>930 Brittan Ave, San Carlos , California 
United States</v>
      </c>
      <c r="E249" s="6" t="str">
        <f ca="1">IFERROR(__xludf.DUMMYFUNCTION("""COMPUTED_VALUE"""),"West Coast")</f>
        <v>West Coast</v>
      </c>
      <c r="F249" s="6" t="str">
        <f ca="1">IFERROR(__xludf.DUMMYFUNCTION("""COMPUTED_VALUE"""),"Man")</f>
        <v>Man</v>
      </c>
      <c r="G249" s="6" t="str">
        <f ca="1">IFERROR(__xludf.DUMMYFUNCTION("""COMPUTED_VALUE"""),"Man")</f>
        <v>Man</v>
      </c>
      <c r="H249" s="6"/>
      <c r="I249" s="6"/>
      <c r="J249" s="6"/>
      <c r="K249" s="6"/>
      <c r="L249" s="6" t="str">
        <f ca="1">IFERROR(__xludf.DUMMYFUNCTION("""COMPUTED_VALUE"""),"Yes")</f>
        <v>Yes</v>
      </c>
      <c r="M249" s="6" t="str">
        <f ca="1">IFERROR(__xludf.DUMMYFUNCTION("""COMPUTED_VALUE"""),"--Please select--")</f>
        <v>--Please select--</v>
      </c>
      <c r="N249" s="6"/>
      <c r="O249" s="6" t="str">
        <f ca="1">IFERROR(__xludf.DUMMYFUNCTION("""COMPUTED_VALUE"""),"Referral")</f>
        <v>Referral</v>
      </c>
      <c r="P249" s="6"/>
      <c r="Q249" s="6" t="str">
        <f ca="1">IFERROR(__xludf.DUMMYFUNCTION("""COMPUTED_VALUE"""),"No")</f>
        <v>No</v>
      </c>
      <c r="R249" s="6">
        <f ca="1">IFERROR(__xludf.DUMMYFUNCTION("""COMPUTED_VALUE"""),2)</f>
        <v>2</v>
      </c>
      <c r="S249" s="6" t="str">
        <f ca="1">IFERROR(__xludf.DUMMYFUNCTION("""COMPUTED_VALUE"""),"Pre-seed")</f>
        <v>Pre-seed</v>
      </c>
      <c r="T249" s="6" t="str">
        <f ca="1">IFERROR(__xludf.DUMMYFUNCTION("""COMPUTED_VALUE"""),"Pre-seed")</f>
        <v>Pre-seed</v>
      </c>
      <c r="U249" s="6" t="str">
        <f ca="1">IFERROR(__xludf.DUMMYFUNCTION("""COMPUTED_VALUE"""),"Pre-seed")</f>
        <v>Pre-seed</v>
      </c>
      <c r="V249" s="6"/>
      <c r="W249" s="6" t="str">
        <f ca="1">IFERROR(__xludf.DUMMYFUNCTION("""COMPUTED_VALUE"""),"Revisit/ Cluster")</f>
        <v>Revisit/ Cluster</v>
      </c>
    </row>
    <row r="250" spans="1:23">
      <c r="A250" s="6" t="str">
        <f ca="1">IFERROR(__xludf.DUMMYFUNCTION("""COMPUTED_VALUE"""),"Man")</f>
        <v>Man</v>
      </c>
      <c r="B250" s="6" t="str">
        <f ca="1">IFERROR(__xludf.DUMMYFUNCTION("""COMPUTED_VALUE"""),"Foundry Spatial _2022")</f>
        <v>Foundry Spatial _2022</v>
      </c>
      <c r="C250" s="6" t="str">
        <f ca="1">IFERROR(__xludf.DUMMYFUNCTION("""COMPUTED_VALUE"""),"Digital Tech")</f>
        <v>Digital Tech</v>
      </c>
      <c r="D250" s="6" t="str">
        <f ca="1">IFERROR(__xludf.DUMMYFUNCTION("""COMPUTED_VALUE"""),"Victoria, BC 
Canada")</f>
        <v>Victoria, BC 
Canada</v>
      </c>
      <c r="E250" s="6" t="str">
        <f ca="1">IFERROR(__xludf.DUMMYFUNCTION("""COMPUTED_VALUE"""),"International - Americas")</f>
        <v>International - Americas</v>
      </c>
      <c r="F250" s="6" t="str">
        <f ca="1">IFERROR(__xludf.DUMMYFUNCTION("""COMPUTED_VALUE"""),"Man")</f>
        <v>Man</v>
      </c>
      <c r="G250" s="6"/>
      <c r="H250" s="6"/>
      <c r="I250" s="6"/>
      <c r="J250" s="6"/>
      <c r="K250" s="6"/>
      <c r="L250" s="6" t="str">
        <f ca="1">IFERROR(__xludf.DUMMYFUNCTION("""COMPUTED_VALUE"""),"--Please select--")</f>
        <v>--Please select--</v>
      </c>
      <c r="M250" s="6"/>
      <c r="N250" s="6"/>
      <c r="O250" s="6" t="str">
        <f ca="1">IFERROR(__xludf.DUMMYFUNCTION("""COMPUTED_VALUE"""),"Email")</f>
        <v>Email</v>
      </c>
      <c r="P250" s="6"/>
      <c r="Q250" s="6" t="str">
        <f ca="1">IFERROR(__xludf.DUMMYFUNCTION("""COMPUTED_VALUE"""),"No")</f>
        <v>No</v>
      </c>
      <c r="R250" s="6">
        <f ca="1">IFERROR(__xludf.DUMMYFUNCTION("""COMPUTED_VALUE"""),1)</f>
        <v>1</v>
      </c>
      <c r="S250" s="6" t="str">
        <f ca="1">IFERROR(__xludf.DUMMYFUNCTION("""COMPUTED_VALUE"""),"Grants")</f>
        <v>Grants</v>
      </c>
      <c r="T250" s="6" t="str">
        <f ca="1">IFERROR(__xludf.DUMMYFUNCTION("""COMPUTED_VALUE"""),"Grants")</f>
        <v>Grants</v>
      </c>
      <c r="U250" s="6" t="str">
        <f ca="1">IFERROR(__xludf.DUMMYFUNCTION("""COMPUTED_VALUE"""),"Grants")</f>
        <v>Grants</v>
      </c>
      <c r="V250" s="6"/>
      <c r="W250" s="6" t="str">
        <f ca="1">IFERROR(__xludf.DUMMYFUNCTION("""COMPUTED_VALUE"""),"Invite Next Year")</f>
        <v>Invite Next Year</v>
      </c>
    </row>
    <row r="251" spans="1:23">
      <c r="A251" s="6" t="str">
        <f ca="1">IFERROR(__xludf.DUMMYFUNCTION("""COMPUTED_VALUE"""),"Man, Man")</f>
        <v>Man, Man</v>
      </c>
      <c r="B251" s="6" t="str">
        <f ca="1">IFERROR(__xludf.DUMMYFUNCTION("""COMPUTED_VALUE"""),"DataPrime _2022")</f>
        <v>DataPrime _2022</v>
      </c>
      <c r="C251" s="6" t="str">
        <f ca="1">IFERROR(__xludf.DUMMYFUNCTION("""COMPUTED_VALUE"""),"Digital Tech")</f>
        <v>Digital Tech</v>
      </c>
      <c r="D251" s="6" t="str">
        <f ca="1">IFERROR(__xludf.DUMMYFUNCTION("""COMPUTED_VALUE"""),"880 Harrison St SE, Ste 138, Virginia 
United States")</f>
        <v>880 Harrison St SE, Ste 138, Virginia 
United States</v>
      </c>
      <c r="E251" s="6" t="str">
        <f ca="1">IFERROR(__xludf.DUMMYFUNCTION("""COMPUTED_VALUE"""),"East Coast")</f>
        <v>East Coast</v>
      </c>
      <c r="F251" s="6" t="str">
        <f ca="1">IFERROR(__xludf.DUMMYFUNCTION("""COMPUTED_VALUE"""),"Man")</f>
        <v>Man</v>
      </c>
      <c r="G251" s="6" t="str">
        <f ca="1">IFERROR(__xludf.DUMMYFUNCTION("""COMPUTED_VALUE"""),"Man")</f>
        <v>Man</v>
      </c>
      <c r="H251" s="6"/>
      <c r="I251" s="6"/>
      <c r="J251" s="6"/>
      <c r="K251" s="6"/>
      <c r="L251" s="6" t="str">
        <f ca="1">IFERROR(__xludf.DUMMYFUNCTION("""COMPUTED_VALUE"""),"No")</f>
        <v>No</v>
      </c>
      <c r="M251" s="6"/>
      <c r="N251" s="6"/>
      <c r="O251" s="6" t="str">
        <f ca="1">IFERROR(__xludf.DUMMYFUNCTION("""COMPUTED_VALUE"""),"Email")</f>
        <v>Email</v>
      </c>
      <c r="P251" s="6"/>
      <c r="Q251" s="6" t="str">
        <f ca="1">IFERROR(__xludf.DUMMYFUNCTION("""COMPUTED_VALUE"""),"No")</f>
        <v>No</v>
      </c>
      <c r="R251" s="6">
        <f ca="1">IFERROR(__xludf.DUMMYFUNCTION("""COMPUTED_VALUE"""),2)</f>
        <v>2</v>
      </c>
      <c r="S251" s="6" t="str">
        <f ca="1">IFERROR(__xludf.DUMMYFUNCTION("""COMPUTED_VALUE"""),"Pre-seed
Seed")</f>
        <v>Pre-seed
Seed</v>
      </c>
      <c r="T251" s="6" t="str">
        <f ca="1">IFERROR(__xludf.DUMMYFUNCTION("""COMPUTED_VALUE"""),"Pre-seed, Seed")</f>
        <v>Pre-seed, Seed</v>
      </c>
      <c r="U251" s="6" t="str">
        <f ca="1">IFERROR(__xludf.DUMMYFUNCTION("""COMPUTED_VALUE"""),"Pre-seed, Seed")</f>
        <v>Pre-seed, Seed</v>
      </c>
      <c r="V251" s="6"/>
      <c r="W251" s="6" t="str">
        <f ca="1">IFERROR(__xludf.DUMMYFUNCTION("""COMPUTED_VALUE"""),"Invite")</f>
        <v>Invite</v>
      </c>
    </row>
    <row r="252" spans="1:23">
      <c r="A252" s="6" t="str">
        <f ca="1">IFERROR(__xludf.DUMMYFUNCTION("""COMPUTED_VALUE"""),"Man, Man, Man, Man")</f>
        <v>Man, Man, Man, Man</v>
      </c>
      <c r="B252" s="6" t="str">
        <f ca="1">IFERROR(__xludf.DUMMYFUNCTION("""COMPUTED_VALUE"""),"Mobility Partners Inc. _2022")</f>
        <v>Mobility Partners Inc. _2022</v>
      </c>
      <c r="C252" s="6" t="str">
        <f ca="1">IFERROR(__xludf.DUMMYFUNCTION("""COMPUTED_VALUE"""),"Digital Tech")</f>
        <v>Digital Tech</v>
      </c>
      <c r="D252" s="6" t="str">
        <f ca="1">IFERROR(__xludf.DUMMYFUNCTION("""COMPUTED_VALUE"""),"Lewes, DE 
United States")</f>
        <v>Lewes, DE 
United States</v>
      </c>
      <c r="E252" s="6" t="str">
        <f ca="1">IFERROR(__xludf.DUMMYFUNCTION("""COMPUTED_VALUE"""),"East Coast")</f>
        <v>East Coast</v>
      </c>
      <c r="F252" s="6" t="str">
        <f ca="1">IFERROR(__xludf.DUMMYFUNCTION("""COMPUTED_VALUE"""),"Man")</f>
        <v>Man</v>
      </c>
      <c r="G252" s="6" t="str">
        <f ca="1">IFERROR(__xludf.DUMMYFUNCTION("""COMPUTED_VALUE"""),"Man")</f>
        <v>Man</v>
      </c>
      <c r="H252" s="6" t="str">
        <f ca="1">IFERROR(__xludf.DUMMYFUNCTION("""COMPUTED_VALUE"""),"Man")</f>
        <v>Man</v>
      </c>
      <c r="I252" s="6" t="str">
        <f ca="1">IFERROR(__xludf.DUMMYFUNCTION("""COMPUTED_VALUE"""),"Man")</f>
        <v>Man</v>
      </c>
      <c r="J252" s="6"/>
      <c r="K252" s="6"/>
      <c r="L252" s="6" t="str">
        <f ca="1">IFERROR(__xludf.DUMMYFUNCTION("""COMPUTED_VALUE"""),"--Please select--")</f>
        <v>--Please select--</v>
      </c>
      <c r="M252" s="6"/>
      <c r="N252" s="6"/>
      <c r="O252" s="6" t="str">
        <f ca="1">IFERROR(__xludf.DUMMYFUNCTION("""COMPUTED_VALUE"""),"Search Engine")</f>
        <v>Search Engine</v>
      </c>
      <c r="P252" s="6"/>
      <c r="Q252" s="6" t="str">
        <f ca="1">IFERROR(__xludf.DUMMYFUNCTION("""COMPUTED_VALUE"""),"No")</f>
        <v>No</v>
      </c>
      <c r="R252" s="6">
        <f ca="1">IFERROR(__xludf.DUMMYFUNCTION("""COMPUTED_VALUE"""),4)</f>
        <v>4</v>
      </c>
      <c r="S252" s="6" t="str">
        <f ca="1">IFERROR(__xludf.DUMMYFUNCTION("""COMPUTED_VALUE"""),"Pre-seed")</f>
        <v>Pre-seed</v>
      </c>
      <c r="T252" s="6" t="str">
        <f ca="1">IFERROR(__xludf.DUMMYFUNCTION("""COMPUTED_VALUE"""),"Pre-seed")</f>
        <v>Pre-seed</v>
      </c>
      <c r="U252" s="6" t="str">
        <f ca="1">IFERROR(__xludf.DUMMYFUNCTION("""COMPUTED_VALUE"""),"Pre-seed")</f>
        <v>Pre-seed</v>
      </c>
      <c r="V252" s="6"/>
      <c r="W252" s="6" t="str">
        <f ca="1">IFERROR(__xludf.DUMMYFUNCTION("""COMPUTED_VALUE"""),"Invite Next Year")</f>
        <v>Invite Next Year</v>
      </c>
    </row>
    <row r="253" spans="1:23">
      <c r="A253" s="6" t="str">
        <f ca="1">IFERROR(__xludf.DUMMYFUNCTION("""COMPUTED_VALUE"""),"Other, Man")</f>
        <v>Other, Man</v>
      </c>
      <c r="B253" s="6" t="str">
        <f ca="1">IFERROR(__xludf.DUMMYFUNCTION("""COMPUTED_VALUE"""),"Promin Aerospace _2022")</f>
        <v>Promin Aerospace _2022</v>
      </c>
      <c r="C253" s="6" t="str">
        <f ca="1">IFERROR(__xludf.DUMMYFUNCTION("""COMPUTED_VALUE"""),"Deep Tech")</f>
        <v>Deep Tech</v>
      </c>
      <c r="D253" s="6" t="str">
        <f ca="1">IFERROR(__xludf.DUMMYFUNCTION("""COMPUTED_VALUE"""),"Kyiv, Kyiv city 
Ukraine")</f>
        <v>Kyiv, Kyiv city 
Ukraine</v>
      </c>
      <c r="E253" s="6" t="str">
        <f ca="1">IFERROR(__xludf.DUMMYFUNCTION("""COMPUTED_VALUE"""),"International - Europe")</f>
        <v>International - Europe</v>
      </c>
      <c r="F253" s="6" t="str">
        <f ca="1">IFERROR(__xludf.DUMMYFUNCTION("""COMPUTED_VALUE"""),"Other")</f>
        <v>Other</v>
      </c>
      <c r="G253" s="6" t="str">
        <f ca="1">IFERROR(__xludf.DUMMYFUNCTION("""COMPUTED_VALUE"""),"Man")</f>
        <v>Man</v>
      </c>
      <c r="H253" s="6"/>
      <c r="I253" s="6"/>
      <c r="J253" s="6"/>
      <c r="K253" s="6"/>
      <c r="L253" s="6" t="str">
        <f ca="1">IFERROR(__xludf.DUMMYFUNCTION("""COMPUTED_VALUE"""),"No")</f>
        <v>No</v>
      </c>
      <c r="M253" s="6"/>
      <c r="N253" s="6"/>
      <c r="O253" s="6" t="str">
        <f ca="1">IFERROR(__xludf.DUMMYFUNCTION("""COMPUTED_VALUE"""),"Referral")</f>
        <v>Referral</v>
      </c>
      <c r="P253" s="6"/>
      <c r="Q253" s="6" t="str">
        <f ca="1">IFERROR(__xludf.DUMMYFUNCTION("""COMPUTED_VALUE"""),"No")</f>
        <v>No</v>
      </c>
      <c r="R253" s="6">
        <f ca="1">IFERROR(__xludf.DUMMYFUNCTION("""COMPUTED_VALUE"""),2)</f>
        <v>2</v>
      </c>
      <c r="S253" s="6" t="str">
        <f ca="1">IFERROR(__xludf.DUMMYFUNCTION("""COMPUTED_VALUE"""),"Pre-seed
Grants")</f>
        <v>Pre-seed
Grants</v>
      </c>
      <c r="T253" s="6" t="str">
        <f ca="1">IFERROR(__xludf.DUMMYFUNCTION("""COMPUTED_VALUE"""),"Pre-seed, Grants")</f>
        <v>Pre-seed, Grants</v>
      </c>
      <c r="U253" s="6" t="str">
        <f ca="1">IFERROR(__xludf.DUMMYFUNCTION("""COMPUTED_VALUE"""),"Pre-seed, Grants")</f>
        <v>Pre-seed, Grants</v>
      </c>
      <c r="V253" s="6"/>
      <c r="W253" s="6" t="str">
        <f ca="1">IFERROR(__xludf.DUMMYFUNCTION("""COMPUTED_VALUE"""),"Revisit/ Cluster")</f>
        <v>Revisit/ Cluster</v>
      </c>
    </row>
    <row r="254" spans="1:23">
      <c r="A254" s="6" t="str">
        <f ca="1">IFERROR(__xludf.DUMMYFUNCTION("""COMPUTED_VALUE"""),"Man")</f>
        <v>Man</v>
      </c>
      <c r="B254" s="6" t="str">
        <f ca="1">IFERROR(__xludf.DUMMYFUNCTION("""COMPUTED_VALUE"""),"Foundhowt _2022")</f>
        <v>Foundhowt _2022</v>
      </c>
      <c r="C254" s="6" t="str">
        <f ca="1">IFERROR(__xludf.DUMMYFUNCTION("""COMPUTED_VALUE"""),"Digital Tech")</f>
        <v>Digital Tech</v>
      </c>
      <c r="D254" s="6" t="str">
        <f ca="1">IFERROR(__xludf.DUMMYFUNCTION("""COMPUTED_VALUE"""),"605 Pavonia Ave, Jersey City 
United States")</f>
        <v>605 Pavonia Ave, Jersey City 
United States</v>
      </c>
      <c r="E254" s="6" t="str">
        <f ca="1">IFERROR(__xludf.DUMMYFUNCTION("""COMPUTED_VALUE"""),"East Coast")</f>
        <v>East Coast</v>
      </c>
      <c r="F254" s="6" t="str">
        <f ca="1">IFERROR(__xludf.DUMMYFUNCTION("""COMPUTED_VALUE"""),"Man")</f>
        <v>Man</v>
      </c>
      <c r="G254" s="6"/>
      <c r="H254" s="6"/>
      <c r="I254" s="6"/>
      <c r="J254" s="6"/>
      <c r="K254" s="6"/>
      <c r="L254" s="6" t="str">
        <f ca="1">IFERROR(__xludf.DUMMYFUNCTION("""COMPUTED_VALUE"""),"No")</f>
        <v>No</v>
      </c>
      <c r="M254" s="6"/>
      <c r="N254" s="6"/>
      <c r="O254" s="6" t="str">
        <f ca="1">IFERROR(__xludf.DUMMYFUNCTION("""COMPUTED_VALUE"""),"NYU Newsletter")</f>
        <v>NYU Newsletter</v>
      </c>
      <c r="P254" s="6"/>
      <c r="Q254" s="6" t="str">
        <f ca="1">IFERROR(__xludf.DUMMYFUNCTION("""COMPUTED_VALUE"""),"No")</f>
        <v>No</v>
      </c>
      <c r="R254" s="6">
        <f ca="1">IFERROR(__xludf.DUMMYFUNCTION("""COMPUTED_VALUE"""),1)</f>
        <v>1</v>
      </c>
      <c r="S254" s="6" t="str">
        <f ca="1">IFERROR(__xludf.DUMMYFUNCTION("""COMPUTED_VALUE"""),"None")</f>
        <v>None</v>
      </c>
      <c r="T254" s="6" t="str">
        <f ca="1">IFERROR(__xludf.DUMMYFUNCTION("""COMPUTED_VALUE"""),"None")</f>
        <v>None</v>
      </c>
      <c r="U254" s="6" t="str">
        <f ca="1">IFERROR(__xludf.DUMMYFUNCTION("""COMPUTED_VALUE"""),"None")</f>
        <v>None</v>
      </c>
      <c r="V254" s="6"/>
      <c r="W254" s="6" t="str">
        <f ca="1">IFERROR(__xludf.DUMMYFUNCTION("""COMPUTED_VALUE"""),"Invite Next Year")</f>
        <v>Invite Next Year</v>
      </c>
    </row>
    <row r="255" spans="1:23">
      <c r="A255" s="6" t="str">
        <f ca="1">IFERROR(__xludf.DUMMYFUNCTION("""COMPUTED_VALUE"""),"Man")</f>
        <v>Man</v>
      </c>
      <c r="B255" s="6" t="str">
        <f ca="1">IFERROR(__xludf.DUMMYFUNCTION("""COMPUTED_VALUE"""),"Genflow Biosciences _2022")</f>
        <v>Genflow Biosciences _2022</v>
      </c>
      <c r="C255" s="6" t="str">
        <f ca="1">IFERROR(__xludf.DUMMYFUNCTION("""COMPUTED_VALUE"""),"Life Sciences")</f>
        <v>Life Sciences</v>
      </c>
      <c r="D255" s="6" t="str">
        <f ca="1">IFERROR(__xludf.DUMMYFUNCTION("""COMPUTED_VALUE"""),"Biopark Gosselies rue Auguste Piccard 48 6041 Charleroi, WB 
Belgium")</f>
        <v>Biopark Gosselies rue Auguste Piccard 48 6041 Charleroi, WB 
Belgium</v>
      </c>
      <c r="E255" s="6" t="str">
        <f ca="1">IFERROR(__xludf.DUMMYFUNCTION("""COMPUTED_VALUE"""),"International - Europe")</f>
        <v>International - Europe</v>
      </c>
      <c r="F255" s="6" t="str">
        <f ca="1">IFERROR(__xludf.DUMMYFUNCTION("""COMPUTED_VALUE"""),"Man")</f>
        <v>Man</v>
      </c>
      <c r="G255" s="6"/>
      <c r="H255" s="6"/>
      <c r="I255" s="6"/>
      <c r="J255" s="6"/>
      <c r="K255" s="6"/>
      <c r="L255" s="6" t="str">
        <f ca="1">IFERROR(__xludf.DUMMYFUNCTION("""COMPUTED_VALUE"""),"No")</f>
        <v>No</v>
      </c>
      <c r="M255" s="6"/>
      <c r="N255" s="6"/>
      <c r="O255" s="6" t="str">
        <f ca="1">IFERROR(__xludf.DUMMYFUNCTION("""COMPUTED_VALUE"""),"Email")</f>
        <v>Email</v>
      </c>
      <c r="P255" s="6"/>
      <c r="Q255" s="6" t="str">
        <f ca="1">IFERROR(__xludf.DUMMYFUNCTION("""COMPUTED_VALUE"""),"No")</f>
        <v>No</v>
      </c>
      <c r="R255" s="6">
        <f ca="1">IFERROR(__xludf.DUMMYFUNCTION("""COMPUTED_VALUE"""),1)</f>
        <v>1</v>
      </c>
      <c r="S255" s="6" t="str">
        <f ca="1">IFERROR(__xludf.DUMMYFUNCTION("""COMPUTED_VALUE"""),"Seed
Other: pre-IPO round (1m GBP) follwed by 3.5M GBP London Stock Exchange  IPO")</f>
        <v>Seed
Other: pre-IPO round (1m GBP) follwed by 3.5M GBP London Stock Exchange  IPO</v>
      </c>
      <c r="T255" s="6" t="str">
        <f ca="1">IFERROR(__xludf.DUMMYFUNCTION("""COMPUTED_VALUE"""),"Seed, Other: pre-IPO round (1m GBP) follwed by 3.5M GBP London Stock Exchange  IPO")</f>
        <v>Seed, Other: pre-IPO round (1m GBP) follwed by 3.5M GBP London Stock Exchange  IPO</v>
      </c>
      <c r="U255" s="6" t="str">
        <f ca="1">IFERROR(__xludf.DUMMYFUNCTION("""COMPUTED_VALUE"""),"Seed, ")</f>
        <v xml:space="preserve">Seed, </v>
      </c>
      <c r="V255" s="6" t="str">
        <f ca="1">IFERROR(__xludf.DUMMYFUNCTION("""COMPUTED_VALUE"""),"pre-IPO round (1m GBP) follwed by 3.5M GBP London Stock Exchange  IPO")</f>
        <v>pre-IPO round (1m GBP) follwed by 3.5M GBP London Stock Exchange  IPO</v>
      </c>
      <c r="W255" s="6" t="str">
        <f ca="1">IFERROR(__xludf.DUMMYFUNCTION("""COMPUTED_VALUE"""),"Invite Next Year")</f>
        <v>Invite Next Year</v>
      </c>
    </row>
    <row r="256" spans="1:23">
      <c r="A256" s="6" t="str">
        <f ca="1">IFERROR(__xludf.DUMMYFUNCTION("""COMPUTED_VALUE"""),"Man, Man, Woman")</f>
        <v>Man, Man, Woman</v>
      </c>
      <c r="B256" s="6" t="str">
        <f ca="1">IFERROR(__xludf.DUMMYFUNCTION("""COMPUTED_VALUE"""),"CryptoMate _2022")</f>
        <v>CryptoMate _2022</v>
      </c>
      <c r="C256" s="6" t="str">
        <f ca="1">IFERROR(__xludf.DUMMYFUNCTION("""COMPUTED_VALUE"""),"Digital Tech")</f>
        <v>Digital Tech</v>
      </c>
      <c r="D256" s="6" t="str">
        <f ca="1">IFERROR(__xludf.DUMMYFUNCTION("""COMPUTED_VALUE"""),"Wilmington, Delaware 
United States")</f>
        <v>Wilmington, Delaware 
United States</v>
      </c>
      <c r="E256" s="6" t="str">
        <f ca="1">IFERROR(__xludf.DUMMYFUNCTION("""COMPUTED_VALUE"""),"East Coast")</f>
        <v>East Coast</v>
      </c>
      <c r="F256" s="6" t="str">
        <f ca="1">IFERROR(__xludf.DUMMYFUNCTION("""COMPUTED_VALUE"""),"Man")</f>
        <v>Man</v>
      </c>
      <c r="G256" s="6" t="str">
        <f ca="1">IFERROR(__xludf.DUMMYFUNCTION("""COMPUTED_VALUE"""),"Man")</f>
        <v>Man</v>
      </c>
      <c r="H256" s="6" t="str">
        <f ca="1">IFERROR(__xludf.DUMMYFUNCTION("""COMPUTED_VALUE"""),"Woman")</f>
        <v>Woman</v>
      </c>
      <c r="I256" s="6"/>
      <c r="J256" s="6"/>
      <c r="K256" s="6"/>
      <c r="L256" s="6" t="str">
        <f ca="1">IFERROR(__xludf.DUMMYFUNCTION("""COMPUTED_VALUE"""),"No")</f>
        <v>No</v>
      </c>
      <c r="M256" s="6"/>
      <c r="N256" s="6"/>
      <c r="O256" s="6" t="str">
        <f ca="1">IFERROR(__xludf.DUMMYFUNCTION("""COMPUTED_VALUE"""),"LinkedIn")</f>
        <v>LinkedIn</v>
      </c>
      <c r="P256" s="6"/>
      <c r="Q256" s="6" t="str">
        <f ca="1">IFERROR(__xludf.DUMMYFUNCTION("""COMPUTED_VALUE"""),"No")</f>
        <v>No</v>
      </c>
      <c r="R256" s="6">
        <f ca="1">IFERROR(__xludf.DUMMYFUNCTION("""COMPUTED_VALUE"""),3)</f>
        <v>3</v>
      </c>
      <c r="S256" s="6" t="str">
        <f ca="1">IFERROR(__xludf.DUMMYFUNCTION("""COMPUTED_VALUE"""),"Pre-seed")</f>
        <v>Pre-seed</v>
      </c>
      <c r="T256" s="6" t="str">
        <f ca="1">IFERROR(__xludf.DUMMYFUNCTION("""COMPUTED_VALUE"""),"Pre-seed")</f>
        <v>Pre-seed</v>
      </c>
      <c r="U256" s="6" t="str">
        <f ca="1">IFERROR(__xludf.DUMMYFUNCTION("""COMPUTED_VALUE"""),"Pre-seed")</f>
        <v>Pre-seed</v>
      </c>
      <c r="V256" s="6"/>
      <c r="W256" s="6" t="str">
        <f ca="1">IFERROR(__xludf.DUMMYFUNCTION("""COMPUTED_VALUE"""),"Invite Next Year")</f>
        <v>Invite Next Year</v>
      </c>
    </row>
    <row r="257" spans="1:23">
      <c r="A257" s="6" t="str">
        <f ca="1">IFERROR(__xludf.DUMMYFUNCTION("""COMPUTED_VALUE"""),"Man, Man, Man")</f>
        <v>Man, Man, Man</v>
      </c>
      <c r="B257" s="6" t="str">
        <f ca="1">IFERROR(__xludf.DUMMYFUNCTION("""COMPUTED_VALUE"""),"AIXSCAN _2022")</f>
        <v>AIXSCAN _2022</v>
      </c>
      <c r="C257" s="6" t="str">
        <f ca="1">IFERROR(__xludf.DUMMYFUNCTION("""COMPUTED_VALUE"""),"Deep Tech")</f>
        <v>Deep Tech</v>
      </c>
      <c r="D257" s="6" t="str">
        <f ca="1">IFERROR(__xludf.DUMMYFUNCTION("""COMPUTED_VALUE"""),"Sunnyvale, CA 
United States")</f>
        <v>Sunnyvale, CA 
United States</v>
      </c>
      <c r="E257" s="6" t="str">
        <f ca="1">IFERROR(__xludf.DUMMYFUNCTION("""COMPUTED_VALUE"""),"West Coast")</f>
        <v>West Coast</v>
      </c>
      <c r="F257" s="6" t="str">
        <f ca="1">IFERROR(__xludf.DUMMYFUNCTION("""COMPUTED_VALUE"""),"Man")</f>
        <v>Man</v>
      </c>
      <c r="G257" s="6" t="str">
        <f ca="1">IFERROR(__xludf.DUMMYFUNCTION("""COMPUTED_VALUE"""),"Man")</f>
        <v>Man</v>
      </c>
      <c r="H257" s="6" t="str">
        <f ca="1">IFERROR(__xludf.DUMMYFUNCTION("""COMPUTED_VALUE"""),"Man")</f>
        <v>Man</v>
      </c>
      <c r="I257" s="6"/>
      <c r="J257" s="6"/>
      <c r="K257" s="6"/>
      <c r="L257" s="6" t="str">
        <f ca="1">IFERROR(__xludf.DUMMYFUNCTION("""COMPUTED_VALUE"""),"No")</f>
        <v>No</v>
      </c>
      <c r="M257" s="6"/>
      <c r="N257" s="6"/>
      <c r="O257" s="6" t="str">
        <f ca="1">IFERROR(__xludf.DUMMYFUNCTION("""COMPUTED_VALUE"""),"Email")</f>
        <v>Email</v>
      </c>
      <c r="P257" s="6"/>
      <c r="Q257" s="6" t="str">
        <f ca="1">IFERROR(__xludf.DUMMYFUNCTION("""COMPUTED_VALUE"""),"No")</f>
        <v>No</v>
      </c>
      <c r="R257" s="6">
        <f ca="1">IFERROR(__xludf.DUMMYFUNCTION("""COMPUTED_VALUE"""),3)</f>
        <v>3</v>
      </c>
      <c r="S257" s="6" t="str">
        <f ca="1">IFERROR(__xludf.DUMMYFUNCTION("""COMPUTED_VALUE"""),"Series A")</f>
        <v>Series A</v>
      </c>
      <c r="T257" s="6" t="str">
        <f ca="1">IFERROR(__xludf.DUMMYFUNCTION("""COMPUTED_VALUE"""),"Series A")</f>
        <v>Series A</v>
      </c>
      <c r="U257" s="6" t="str">
        <f ca="1">IFERROR(__xludf.DUMMYFUNCTION("""COMPUTED_VALUE"""),"Series A")</f>
        <v>Series A</v>
      </c>
      <c r="V257" s="6"/>
      <c r="W257" s="6" t="str">
        <f ca="1">IFERROR(__xludf.DUMMYFUNCTION("""COMPUTED_VALUE"""),"Revisit/ Cluster")</f>
        <v>Revisit/ Cluster</v>
      </c>
    </row>
    <row r="258" spans="1:23">
      <c r="A258" s="6" t="str">
        <f ca="1">IFERROR(__xludf.DUMMYFUNCTION("""COMPUTED_VALUE"""),"Man")</f>
        <v>Man</v>
      </c>
      <c r="B258" s="6" t="str">
        <f ca="1">IFERROR(__xludf.DUMMYFUNCTION("""COMPUTED_VALUE"""),"Influcracy Inc _2022")</f>
        <v>Influcracy Inc _2022</v>
      </c>
      <c r="C258" s="6" t="str">
        <f ca="1">IFERROR(__xludf.DUMMYFUNCTION("""COMPUTED_VALUE"""),"Digital Tech")</f>
        <v>Digital Tech</v>
      </c>
      <c r="D258" s="6" t="str">
        <f ca="1">IFERROR(__xludf.DUMMYFUNCTION("""COMPUTED_VALUE"""),"AUSTIN, TEXAS 
United States")</f>
        <v>AUSTIN, TEXAS 
United States</v>
      </c>
      <c r="E258" s="6" t="str">
        <f ca="1">IFERROR(__xludf.DUMMYFUNCTION("""COMPUTED_VALUE"""),"South")</f>
        <v>South</v>
      </c>
      <c r="F258" s="6" t="str">
        <f ca="1">IFERROR(__xludf.DUMMYFUNCTION("""COMPUTED_VALUE"""),"Man")</f>
        <v>Man</v>
      </c>
      <c r="G258" s="6"/>
      <c r="H258" s="6"/>
      <c r="I258" s="6"/>
      <c r="J258" s="6"/>
      <c r="K258" s="6"/>
      <c r="L258" s="6" t="str">
        <f ca="1">IFERROR(__xludf.DUMMYFUNCTION("""COMPUTED_VALUE"""),"No")</f>
        <v>No</v>
      </c>
      <c r="M258" s="6"/>
      <c r="N258" s="6"/>
      <c r="O258" s="6" t="str">
        <f ca="1">IFERROR(__xludf.DUMMYFUNCTION("""COMPUTED_VALUE"""),"Email")</f>
        <v>Email</v>
      </c>
      <c r="P258" s="6"/>
      <c r="Q258" s="6" t="str">
        <f ca="1">IFERROR(__xludf.DUMMYFUNCTION("""COMPUTED_VALUE"""),"No")</f>
        <v>No</v>
      </c>
      <c r="R258" s="6">
        <f ca="1">IFERROR(__xludf.DUMMYFUNCTION("""COMPUTED_VALUE"""),1)</f>
        <v>1</v>
      </c>
      <c r="S258" s="6" t="str">
        <f ca="1">IFERROR(__xludf.DUMMYFUNCTION("""COMPUTED_VALUE"""),"None")</f>
        <v>None</v>
      </c>
      <c r="T258" s="6" t="str">
        <f ca="1">IFERROR(__xludf.DUMMYFUNCTION("""COMPUTED_VALUE"""),"None")</f>
        <v>None</v>
      </c>
      <c r="U258" s="6" t="str">
        <f ca="1">IFERROR(__xludf.DUMMYFUNCTION("""COMPUTED_VALUE"""),"None")</f>
        <v>None</v>
      </c>
      <c r="V258" s="6"/>
      <c r="W258" s="6" t="str">
        <f ca="1">IFERROR(__xludf.DUMMYFUNCTION("""COMPUTED_VALUE"""),"Invite Next Year")</f>
        <v>Invite Next Year</v>
      </c>
    </row>
    <row r="259" spans="1:23">
      <c r="A259" s="6" t="str">
        <f ca="1">IFERROR(__xludf.DUMMYFUNCTION("""COMPUTED_VALUE"""),"Man, Man, Woman, Man")</f>
        <v>Man, Man, Woman, Man</v>
      </c>
      <c r="B259" s="6" t="str">
        <f ca="1">IFERROR(__xludf.DUMMYFUNCTION("""COMPUTED_VALUE"""),"Vansanity, Inc. _2022")</f>
        <v>Vansanity, Inc. _2022</v>
      </c>
      <c r="C259" s="6" t="str">
        <f ca="1">IFERROR(__xludf.DUMMYFUNCTION("""COMPUTED_VALUE"""),"Digital Tech")</f>
        <v>Digital Tech</v>
      </c>
      <c r="D259" s="6" t="str">
        <f ca="1">IFERROR(__xludf.DUMMYFUNCTION("""COMPUTED_VALUE"""),"Lexington, MA 
United States")</f>
        <v>Lexington, MA 
United States</v>
      </c>
      <c r="E259" s="6" t="str">
        <f ca="1">IFERROR(__xludf.DUMMYFUNCTION("""COMPUTED_VALUE"""),"East Coast")</f>
        <v>East Coast</v>
      </c>
      <c r="F259" s="6" t="str">
        <f ca="1">IFERROR(__xludf.DUMMYFUNCTION("""COMPUTED_VALUE"""),"Man")</f>
        <v>Man</v>
      </c>
      <c r="G259" s="6" t="str">
        <f ca="1">IFERROR(__xludf.DUMMYFUNCTION("""COMPUTED_VALUE"""),"Man")</f>
        <v>Man</v>
      </c>
      <c r="H259" s="6" t="str">
        <f ca="1">IFERROR(__xludf.DUMMYFUNCTION("""COMPUTED_VALUE"""),"Woman")</f>
        <v>Woman</v>
      </c>
      <c r="I259" s="6" t="str">
        <f ca="1">IFERROR(__xludf.DUMMYFUNCTION("""COMPUTED_VALUE"""),"Man")</f>
        <v>Man</v>
      </c>
      <c r="J259" s="6"/>
      <c r="K259" s="6"/>
      <c r="L259" s="6" t="str">
        <f ca="1">IFERROR(__xludf.DUMMYFUNCTION("""COMPUTED_VALUE"""),"--Please select--")</f>
        <v>--Please select--</v>
      </c>
      <c r="M259" s="6"/>
      <c r="N259" s="6"/>
      <c r="O259" s="6" t="str">
        <f ca="1">IFERROR(__xludf.DUMMYFUNCTION("""COMPUTED_VALUE"""),"Email")</f>
        <v>Email</v>
      </c>
      <c r="P259" s="6"/>
      <c r="Q259" s="6" t="str">
        <f ca="1">IFERROR(__xludf.DUMMYFUNCTION("""COMPUTED_VALUE"""),"No")</f>
        <v>No</v>
      </c>
      <c r="R259" s="6">
        <f ca="1">IFERROR(__xludf.DUMMYFUNCTION("""COMPUTED_VALUE"""),4)</f>
        <v>4</v>
      </c>
      <c r="S259" s="6" t="str">
        <f ca="1">IFERROR(__xludf.DUMMYFUNCTION("""COMPUTED_VALUE"""),"Debt financing
Grants
Other: SAFEs")</f>
        <v>Debt financing
Grants
Other: SAFEs</v>
      </c>
      <c r="T259" s="6" t="str">
        <f ca="1">IFERROR(__xludf.DUMMYFUNCTION("""COMPUTED_VALUE"""),"Debt financing, Grants, Other: SAFEs")</f>
        <v>Debt financing, Grants, Other: SAFEs</v>
      </c>
      <c r="U259" s="6" t="str">
        <f ca="1">IFERROR(__xludf.DUMMYFUNCTION("""COMPUTED_VALUE"""),"Debt financing, Grants, ")</f>
        <v xml:space="preserve">Debt financing, Grants, </v>
      </c>
      <c r="V259" s="6" t="str">
        <f ca="1">IFERROR(__xludf.DUMMYFUNCTION("""COMPUTED_VALUE"""),"SAFEs")</f>
        <v>SAFEs</v>
      </c>
      <c r="W259" s="6" t="str">
        <f ca="1">IFERROR(__xludf.DUMMYFUNCTION("""COMPUTED_VALUE"""),"Invite Next Year")</f>
        <v>Invite Next Year</v>
      </c>
    </row>
    <row r="260" spans="1:23">
      <c r="A260" s="6" t="str">
        <f ca="1">IFERROR(__xludf.DUMMYFUNCTION("""COMPUTED_VALUE"""),"Man, Man")</f>
        <v>Man, Man</v>
      </c>
      <c r="B260" s="6" t="str">
        <f ca="1">IFERROR(__xludf.DUMMYFUNCTION("""COMPUTED_VALUE"""),"Astek Diagnostics Inc. _2022")</f>
        <v>Astek Diagnostics Inc. _2022</v>
      </c>
      <c r="C260" s="6" t="str">
        <f ca="1">IFERROR(__xludf.DUMMYFUNCTION("""COMPUTED_VALUE"""),"Deep Tech")</f>
        <v>Deep Tech</v>
      </c>
      <c r="D260" s="6" t="str">
        <f ca="1">IFERROR(__xludf.DUMMYFUNCTION("""COMPUTED_VALUE"""),"Baltimore, Maryland 
United States")</f>
        <v>Baltimore, Maryland 
United States</v>
      </c>
      <c r="E260" s="6" t="str">
        <f ca="1">IFERROR(__xludf.DUMMYFUNCTION("""COMPUTED_VALUE"""),"East Coast")</f>
        <v>East Coast</v>
      </c>
      <c r="F260" s="6" t="str">
        <f ca="1">IFERROR(__xludf.DUMMYFUNCTION("""COMPUTED_VALUE"""),"Man")</f>
        <v>Man</v>
      </c>
      <c r="G260" s="6" t="str">
        <f ca="1">IFERROR(__xludf.DUMMYFUNCTION("""COMPUTED_VALUE"""),"Man")</f>
        <v>Man</v>
      </c>
      <c r="H260" s="6"/>
      <c r="I260" s="6"/>
      <c r="J260" s="6"/>
      <c r="K260" s="6"/>
      <c r="L260" s="6" t="str">
        <f ca="1">IFERROR(__xludf.DUMMYFUNCTION("""COMPUTED_VALUE"""),"No")</f>
        <v>No</v>
      </c>
      <c r="M260" s="6"/>
      <c r="N260" s="6"/>
      <c r="O260" s="6" t="str">
        <f ca="1">IFERROR(__xludf.DUMMYFUNCTION("""COMPUTED_VALUE"""),"Twitter")</f>
        <v>Twitter</v>
      </c>
      <c r="P260" s="6"/>
      <c r="Q260" s="6" t="str">
        <f ca="1">IFERROR(__xludf.DUMMYFUNCTION("""COMPUTED_VALUE"""),"No")</f>
        <v>No</v>
      </c>
      <c r="R260" s="6">
        <f ca="1">IFERROR(__xludf.DUMMYFUNCTION("""COMPUTED_VALUE"""),2)</f>
        <v>2</v>
      </c>
      <c r="S260" s="6" t="str">
        <f ca="1">IFERROR(__xludf.DUMMYFUNCTION("""COMPUTED_VALUE"""),"Pre-seed")</f>
        <v>Pre-seed</v>
      </c>
      <c r="T260" s="6" t="str">
        <f ca="1">IFERROR(__xludf.DUMMYFUNCTION("""COMPUTED_VALUE"""),"Pre-seed")</f>
        <v>Pre-seed</v>
      </c>
      <c r="U260" s="6" t="str">
        <f ca="1">IFERROR(__xludf.DUMMYFUNCTION("""COMPUTED_VALUE"""),"Pre-seed")</f>
        <v>Pre-seed</v>
      </c>
      <c r="V260" s="6"/>
      <c r="W260" s="6" t="str">
        <f ca="1">IFERROR(__xludf.DUMMYFUNCTION("""COMPUTED_VALUE"""),"Invite")</f>
        <v>Invite</v>
      </c>
    </row>
    <row r="261" spans="1:23">
      <c r="A261" s="6" t="str">
        <f ca="1">IFERROR(__xludf.DUMMYFUNCTION("""COMPUTED_VALUE"""),"Man, Woman, Man")</f>
        <v>Man, Woman, Man</v>
      </c>
      <c r="B261" s="6" t="str">
        <f ca="1">IFERROR(__xludf.DUMMYFUNCTION("""COMPUTED_VALUE"""),"Sahara Cloud _2022")</f>
        <v>Sahara Cloud _2022</v>
      </c>
      <c r="C261" s="6" t="str">
        <f ca="1">IFERROR(__xludf.DUMMYFUNCTION("""COMPUTED_VALUE"""),"Digital Tech")</f>
        <v>Digital Tech</v>
      </c>
      <c r="D261" s="6" t="str">
        <f ca="1">IFERROR(__xludf.DUMMYFUNCTION("""COMPUTED_VALUE"""),"Los Angeles, CA 
United States")</f>
        <v>Los Angeles, CA 
United States</v>
      </c>
      <c r="E261" s="6" t="str">
        <f ca="1">IFERROR(__xludf.DUMMYFUNCTION("""COMPUTED_VALUE"""),"West Coast")</f>
        <v>West Coast</v>
      </c>
      <c r="F261" s="6" t="str">
        <f ca="1">IFERROR(__xludf.DUMMYFUNCTION("""COMPUTED_VALUE"""),"Man")</f>
        <v>Man</v>
      </c>
      <c r="G261" s="6" t="str">
        <f ca="1">IFERROR(__xludf.DUMMYFUNCTION("""COMPUTED_VALUE"""),"Woman")</f>
        <v>Woman</v>
      </c>
      <c r="H261" s="6" t="str">
        <f ca="1">IFERROR(__xludf.DUMMYFUNCTION("""COMPUTED_VALUE"""),"Man")</f>
        <v>Man</v>
      </c>
      <c r="I261" s="6"/>
      <c r="J261" s="6"/>
      <c r="K261" s="6"/>
      <c r="L261" s="6" t="str">
        <f ca="1">IFERROR(__xludf.DUMMYFUNCTION("""COMPUTED_VALUE"""),"No")</f>
        <v>No</v>
      </c>
      <c r="M261" s="6"/>
      <c r="N261" s="6"/>
      <c r="O261" s="6" t="str">
        <f ca="1">IFERROR(__xludf.DUMMYFUNCTION("""COMPUTED_VALUE"""),"Other")</f>
        <v>Other</v>
      </c>
      <c r="P261" s="6"/>
      <c r="Q261" s="6" t="str">
        <f ca="1">IFERROR(__xludf.DUMMYFUNCTION("""COMPUTED_VALUE"""),"No")</f>
        <v>No</v>
      </c>
      <c r="R261" s="6">
        <f ca="1">IFERROR(__xludf.DUMMYFUNCTION("""COMPUTED_VALUE"""),3)</f>
        <v>3</v>
      </c>
      <c r="S261" s="6" t="str">
        <f ca="1">IFERROR(__xludf.DUMMYFUNCTION("""COMPUTED_VALUE"""),"Pre-seed")</f>
        <v>Pre-seed</v>
      </c>
      <c r="T261" s="6" t="str">
        <f ca="1">IFERROR(__xludf.DUMMYFUNCTION("""COMPUTED_VALUE"""),"Pre-seed")</f>
        <v>Pre-seed</v>
      </c>
      <c r="U261" s="6" t="str">
        <f ca="1">IFERROR(__xludf.DUMMYFUNCTION("""COMPUTED_VALUE"""),"Pre-seed")</f>
        <v>Pre-seed</v>
      </c>
      <c r="V261" s="6"/>
      <c r="W261" s="6" t="str">
        <f ca="1">IFERROR(__xludf.DUMMYFUNCTION("""COMPUTED_VALUE"""),"Special Reject")</f>
        <v>Special Reject</v>
      </c>
    </row>
    <row r="262" spans="1:23">
      <c r="A262" s="6" t="str">
        <f ca="1">IFERROR(__xludf.DUMMYFUNCTION("""COMPUTED_VALUE"""),"Man, Man")</f>
        <v>Man, Man</v>
      </c>
      <c r="B262" s="6" t="str">
        <f ca="1">IFERROR(__xludf.DUMMYFUNCTION("""COMPUTED_VALUE"""),"Rockland Technimed limited _2022")</f>
        <v>Rockland Technimed limited _2022</v>
      </c>
      <c r="C262" s="6" t="str">
        <f ca="1">IFERROR(__xludf.DUMMYFUNCTION("""COMPUTED_VALUE"""),"Deep Tech")</f>
        <v>Deep Tech</v>
      </c>
      <c r="D262" s="6" t="str">
        <f ca="1">IFERROR(__xludf.DUMMYFUNCTION("""COMPUTED_VALUE"""),"One International Blvd, Suite 400, Mahwah, , NJ 
United States")</f>
        <v>One International Blvd, Suite 400, Mahwah, , NJ 
United States</v>
      </c>
      <c r="E262" s="6" t="str">
        <f ca="1">IFERROR(__xludf.DUMMYFUNCTION("""COMPUTED_VALUE"""),"East Coast")</f>
        <v>East Coast</v>
      </c>
      <c r="F262" s="6" t="str">
        <f ca="1">IFERROR(__xludf.DUMMYFUNCTION("""COMPUTED_VALUE"""),"Man")</f>
        <v>Man</v>
      </c>
      <c r="G262" s="6" t="str">
        <f ca="1">IFERROR(__xludf.DUMMYFUNCTION("""COMPUTED_VALUE"""),"Man")</f>
        <v>Man</v>
      </c>
      <c r="H262" s="6"/>
      <c r="I262" s="6"/>
      <c r="J262" s="6"/>
      <c r="K262" s="6"/>
      <c r="L262" s="6" t="str">
        <f ca="1">IFERROR(__xludf.DUMMYFUNCTION("""COMPUTED_VALUE"""),"No")</f>
        <v>No</v>
      </c>
      <c r="M262" s="6"/>
      <c r="N262" s="6"/>
      <c r="O262" s="6" t="str">
        <f ca="1">IFERROR(__xludf.DUMMYFUNCTION("""COMPUTED_VALUE"""),"Email")</f>
        <v>Email</v>
      </c>
      <c r="P262" s="6"/>
      <c r="Q262" s="6" t="str">
        <f ca="1">IFERROR(__xludf.DUMMYFUNCTION("""COMPUTED_VALUE"""),"No")</f>
        <v>No</v>
      </c>
      <c r="R262" s="6">
        <f ca="1">IFERROR(__xludf.DUMMYFUNCTION("""COMPUTED_VALUE"""),2)</f>
        <v>2</v>
      </c>
      <c r="S262" s="6" t="str">
        <f ca="1">IFERROR(__xludf.DUMMYFUNCTION("""COMPUTED_VALUE"""),"Pre-seed
Seed
Grants")</f>
        <v>Pre-seed
Seed
Grants</v>
      </c>
      <c r="T262" s="6" t="str">
        <f ca="1">IFERROR(__xludf.DUMMYFUNCTION("""COMPUTED_VALUE"""),"Pre-seed, Seed, Grants")</f>
        <v>Pre-seed, Seed, Grants</v>
      </c>
      <c r="U262" s="6" t="str">
        <f ca="1">IFERROR(__xludf.DUMMYFUNCTION("""COMPUTED_VALUE"""),"Pre-seed, Seed, Grants")</f>
        <v>Pre-seed, Seed, Grants</v>
      </c>
      <c r="V262" s="6"/>
      <c r="W262" s="6" t="str">
        <f ca="1">IFERROR(__xludf.DUMMYFUNCTION("""COMPUTED_VALUE"""),"Revisit/ Cluster")</f>
        <v>Revisit/ Cluster</v>
      </c>
    </row>
    <row r="263" spans="1:23">
      <c r="A263" s="6" t="str">
        <f ca="1">IFERROR(__xludf.DUMMYFUNCTION("""COMPUTED_VALUE"""),"Woman, --Please select--")</f>
        <v>Woman, --Please select--</v>
      </c>
      <c r="B263" s="6" t="str">
        <f ca="1">IFERROR(__xludf.DUMMYFUNCTION("""COMPUTED_VALUE"""),"Periomics Care _2022")</f>
        <v>Periomics Care _2022</v>
      </c>
      <c r="C263" s="6" t="str">
        <f ca="1">IFERROR(__xludf.DUMMYFUNCTION("""COMPUTED_VALUE"""),"Life Sciences")</f>
        <v>Life Sciences</v>
      </c>
      <c r="D263" s="6" t="str">
        <f ca="1">IFERROR(__xludf.DUMMYFUNCTION("""COMPUTED_VALUE"""),"201 E 28th Street Ste 11-A, New York, NY 
United States")</f>
        <v>201 E 28th Street Ste 11-A, New York, NY 
United States</v>
      </c>
      <c r="E263" s="6" t="str">
        <f ca="1">IFERROR(__xludf.DUMMYFUNCTION("""COMPUTED_VALUE"""),"New York")</f>
        <v>New York</v>
      </c>
      <c r="F263" s="6" t="str">
        <f ca="1">IFERROR(__xludf.DUMMYFUNCTION("""COMPUTED_VALUE"""),"Woman")</f>
        <v>Woman</v>
      </c>
      <c r="G263" s="6" t="str">
        <f ca="1">IFERROR(__xludf.DUMMYFUNCTION("""COMPUTED_VALUE"""),"--Please select--")</f>
        <v>--Please select--</v>
      </c>
      <c r="H263" s="6"/>
      <c r="I263" s="6"/>
      <c r="J263" s="6"/>
      <c r="K263" s="6"/>
      <c r="L263" s="6" t="str">
        <f ca="1">IFERROR(__xludf.DUMMYFUNCTION("""COMPUTED_VALUE"""),"Yes")</f>
        <v>Yes</v>
      </c>
      <c r="M263" s="6" t="str">
        <f ca="1">IFERROR(__xludf.DUMMYFUNCTION("""COMPUTED_VALUE"""),"NYU Faculty")</f>
        <v>NYU Faculty</v>
      </c>
      <c r="N263" s="6"/>
      <c r="O263" s="6" t="str">
        <f ca="1">IFERROR(__xludf.DUMMYFUNCTION("""COMPUTED_VALUE"""),"NYU Newsletter")</f>
        <v>NYU Newsletter</v>
      </c>
      <c r="P263" s="6"/>
      <c r="Q263" s="6" t="str">
        <f ca="1">IFERROR(__xludf.DUMMYFUNCTION("""COMPUTED_VALUE"""),"Yes")</f>
        <v>Yes</v>
      </c>
      <c r="R263" s="6">
        <f ca="1">IFERROR(__xludf.DUMMYFUNCTION("""COMPUTED_VALUE"""),2)</f>
        <v>2</v>
      </c>
      <c r="S263" s="6" t="str">
        <f ca="1">IFERROR(__xludf.DUMMYFUNCTION("""COMPUTED_VALUE"""),"Grants")</f>
        <v>Grants</v>
      </c>
      <c r="T263" s="6" t="str">
        <f ca="1">IFERROR(__xludf.DUMMYFUNCTION("""COMPUTED_VALUE"""),"Grants")</f>
        <v>Grants</v>
      </c>
      <c r="U263" s="6" t="str">
        <f ca="1">IFERROR(__xludf.DUMMYFUNCTION("""COMPUTED_VALUE"""),"Grants")</f>
        <v>Grants</v>
      </c>
      <c r="V263" s="6"/>
      <c r="W263" s="6" t="str">
        <f ca="1">IFERROR(__xludf.DUMMYFUNCTION("""COMPUTED_VALUE"""),"Special Reject")</f>
        <v>Special Reject</v>
      </c>
    </row>
    <row r="264" spans="1:23">
      <c r="A264" s="6" t="str">
        <f ca="1">IFERROR(__xludf.DUMMYFUNCTION("""COMPUTED_VALUE"""),"Man, Man, Woman, Man")</f>
        <v>Man, Man, Woman, Man</v>
      </c>
      <c r="B264" s="6" t="str">
        <f ca="1">IFERROR(__xludf.DUMMYFUNCTION("""COMPUTED_VALUE"""),"IX Swap _2022")</f>
        <v>IX Swap _2022</v>
      </c>
      <c r="C264" s="6" t="str">
        <f ca="1">IFERROR(__xludf.DUMMYFUNCTION("""COMPUTED_VALUE"""),"Digital Tech")</f>
        <v>Digital Tech</v>
      </c>
      <c r="D264" s="6" t="str">
        <f ca="1">IFERROR(__xludf.DUMMYFUNCTION("""COMPUTED_VALUE"""),"5 Shenton Way, #10-02 UIC Building, Singapore 
Singapore")</f>
        <v>5 Shenton Way, #10-02 UIC Building, Singapore 
Singapore</v>
      </c>
      <c r="E264" s="6" t="str">
        <f ca="1">IFERROR(__xludf.DUMMYFUNCTION("""COMPUTED_VALUE"""),"International - Asia")</f>
        <v>International - Asia</v>
      </c>
      <c r="F264" s="6" t="str">
        <f ca="1">IFERROR(__xludf.DUMMYFUNCTION("""COMPUTED_VALUE"""),"Man")</f>
        <v>Man</v>
      </c>
      <c r="G264" s="6" t="str">
        <f ca="1">IFERROR(__xludf.DUMMYFUNCTION("""COMPUTED_VALUE"""),"Man")</f>
        <v>Man</v>
      </c>
      <c r="H264" s="6" t="str">
        <f ca="1">IFERROR(__xludf.DUMMYFUNCTION("""COMPUTED_VALUE"""),"Woman")</f>
        <v>Woman</v>
      </c>
      <c r="I264" s="6" t="str">
        <f ca="1">IFERROR(__xludf.DUMMYFUNCTION("""COMPUTED_VALUE"""),"Man")</f>
        <v>Man</v>
      </c>
      <c r="J264" s="6"/>
      <c r="K264" s="6"/>
      <c r="L264" s="6" t="str">
        <f ca="1">IFERROR(__xludf.DUMMYFUNCTION("""COMPUTED_VALUE"""),"--Please select--")</f>
        <v>--Please select--</v>
      </c>
      <c r="M264" s="6"/>
      <c r="N264" s="6"/>
      <c r="O264" s="6" t="str">
        <f ca="1">IFERROR(__xludf.DUMMYFUNCTION("""COMPUTED_VALUE"""),"Email")</f>
        <v>Email</v>
      </c>
      <c r="P264" s="6"/>
      <c r="Q264" s="6" t="str">
        <f ca="1">IFERROR(__xludf.DUMMYFUNCTION("""COMPUTED_VALUE"""),"No")</f>
        <v>No</v>
      </c>
      <c r="R264" s="6">
        <f ca="1">IFERROR(__xludf.DUMMYFUNCTION("""COMPUTED_VALUE"""),4)</f>
        <v>4</v>
      </c>
      <c r="S264" s="6" t="str">
        <f ca="1">IFERROR(__xludf.DUMMYFUNCTION("""COMPUTED_VALUE"""),"Pre-seed")</f>
        <v>Pre-seed</v>
      </c>
      <c r="T264" s="6" t="str">
        <f ca="1">IFERROR(__xludf.DUMMYFUNCTION("""COMPUTED_VALUE"""),"Pre-seed")</f>
        <v>Pre-seed</v>
      </c>
      <c r="U264" s="6" t="str">
        <f ca="1">IFERROR(__xludf.DUMMYFUNCTION("""COMPUTED_VALUE"""),"Pre-seed")</f>
        <v>Pre-seed</v>
      </c>
      <c r="V264" s="6"/>
      <c r="W264" s="6" t="str">
        <f ca="1">IFERROR(__xludf.DUMMYFUNCTION("""COMPUTED_VALUE"""),"Invite")</f>
        <v>Invite</v>
      </c>
    </row>
    <row r="265" spans="1:23">
      <c r="A265" s="6" t="str">
        <f ca="1">IFERROR(__xludf.DUMMYFUNCTION("""COMPUTED_VALUE"""),"Man")</f>
        <v>Man</v>
      </c>
      <c r="B265" s="6" t="str">
        <f ca="1">IFERROR(__xludf.DUMMYFUNCTION("""COMPUTED_VALUE"""),"Biodesign Innovation Labs _2022")</f>
        <v>Biodesign Innovation Labs _2022</v>
      </c>
      <c r="C265" s="6" t="str">
        <f ca="1">IFERROR(__xludf.DUMMYFUNCTION("""COMPUTED_VALUE"""),"Deep Tech")</f>
        <v>Deep Tech</v>
      </c>
      <c r="D265" s="6" t="str">
        <f ca="1">IFERROR(__xludf.DUMMYFUNCTION("""COMPUTED_VALUE"""),"Delware, Delware 
United States")</f>
        <v>Delware, Delware 
United States</v>
      </c>
      <c r="E265" s="6" t="str">
        <f ca="1">IFERROR(__xludf.DUMMYFUNCTION("""COMPUTED_VALUE"""),"East Coast")</f>
        <v>East Coast</v>
      </c>
      <c r="F265" s="6" t="str">
        <f ca="1">IFERROR(__xludf.DUMMYFUNCTION("""COMPUTED_VALUE"""),"Man")</f>
        <v>Man</v>
      </c>
      <c r="G265" s="6"/>
      <c r="H265" s="6"/>
      <c r="I265" s="6"/>
      <c r="J265" s="6"/>
      <c r="K265" s="6"/>
      <c r="L265" s="6" t="str">
        <f ca="1">IFERROR(__xludf.DUMMYFUNCTION("""COMPUTED_VALUE"""),"No")</f>
        <v>No</v>
      </c>
      <c r="M265" s="6"/>
      <c r="N265" s="6"/>
      <c r="O265" s="6" t="str">
        <f ca="1">IFERROR(__xludf.DUMMYFUNCTION("""COMPUTED_VALUE"""),"Referral")</f>
        <v>Referral</v>
      </c>
      <c r="P265" s="6"/>
      <c r="Q265" s="6" t="str">
        <f ca="1">IFERROR(__xludf.DUMMYFUNCTION("""COMPUTED_VALUE"""),"No")</f>
        <v>No</v>
      </c>
      <c r="R265" s="6">
        <f ca="1">IFERROR(__xludf.DUMMYFUNCTION("""COMPUTED_VALUE"""),1)</f>
        <v>1</v>
      </c>
      <c r="S265" s="6" t="str">
        <f ca="1">IFERROR(__xludf.DUMMYFUNCTION("""COMPUTED_VALUE"""),"Grants")</f>
        <v>Grants</v>
      </c>
      <c r="T265" s="6" t="str">
        <f ca="1">IFERROR(__xludf.DUMMYFUNCTION("""COMPUTED_VALUE"""),"Grants")</f>
        <v>Grants</v>
      </c>
      <c r="U265" s="6" t="str">
        <f ca="1">IFERROR(__xludf.DUMMYFUNCTION("""COMPUTED_VALUE"""),"Grants")</f>
        <v>Grants</v>
      </c>
      <c r="V265" s="6"/>
      <c r="W265" s="6" t="str">
        <f ca="1">IFERROR(__xludf.DUMMYFUNCTION("""COMPUTED_VALUE"""),"Revisit/ Cluster")</f>
        <v>Revisit/ Cluster</v>
      </c>
    </row>
    <row r="266" spans="1:23">
      <c r="A266" s="6" t="str">
        <f ca="1">IFERROR(__xludf.DUMMYFUNCTION("""COMPUTED_VALUE"""),"Man, Woman, Man")</f>
        <v>Man, Woman, Man</v>
      </c>
      <c r="B266" s="6" t="str">
        <f ca="1">IFERROR(__xludf.DUMMYFUNCTION("""COMPUTED_VALUE"""),"TAMP  _2022")</f>
        <v>TAMP  _2022</v>
      </c>
      <c r="C266" s="6" t="str">
        <f ca="1">IFERROR(__xludf.DUMMYFUNCTION("""COMPUTED_VALUE"""),"Digital Tech")</f>
        <v>Digital Tech</v>
      </c>
      <c r="D266" s="6" t="str">
        <f ca="1">IFERROR(__xludf.DUMMYFUNCTION("""COMPUTED_VALUE"""),"2035 Sunset Lake Rd Suite B-2, DE 
United States")</f>
        <v>2035 Sunset Lake Rd Suite B-2, DE 
United States</v>
      </c>
      <c r="E266" s="6" t="str">
        <f ca="1">IFERROR(__xludf.DUMMYFUNCTION("""COMPUTED_VALUE"""),"East Coast")</f>
        <v>East Coast</v>
      </c>
      <c r="F266" s="6" t="str">
        <f ca="1">IFERROR(__xludf.DUMMYFUNCTION("""COMPUTED_VALUE"""),"Man")</f>
        <v>Man</v>
      </c>
      <c r="G266" s="6" t="str">
        <f ca="1">IFERROR(__xludf.DUMMYFUNCTION("""COMPUTED_VALUE"""),"Woman")</f>
        <v>Woman</v>
      </c>
      <c r="H266" s="6" t="str">
        <f ca="1">IFERROR(__xludf.DUMMYFUNCTION("""COMPUTED_VALUE"""),"Man")</f>
        <v>Man</v>
      </c>
      <c r="I266" s="6"/>
      <c r="J266" s="6"/>
      <c r="K266" s="6"/>
      <c r="L266" s="6" t="str">
        <f ca="1">IFERROR(__xludf.DUMMYFUNCTION("""COMPUTED_VALUE"""),"No")</f>
        <v>No</v>
      </c>
      <c r="M266" s="6"/>
      <c r="N266" s="6"/>
      <c r="O266" s="6" t="str">
        <f ca="1">IFERROR(__xludf.DUMMYFUNCTION("""COMPUTED_VALUE"""),"Other")</f>
        <v>Other</v>
      </c>
      <c r="P266" s="6"/>
      <c r="Q266" s="6" t="str">
        <f ca="1">IFERROR(__xludf.DUMMYFUNCTION("""COMPUTED_VALUE"""),"No")</f>
        <v>No</v>
      </c>
      <c r="R266" s="6">
        <f ca="1">IFERROR(__xludf.DUMMYFUNCTION("""COMPUTED_VALUE"""),3)</f>
        <v>3</v>
      </c>
      <c r="S266" s="6" t="str">
        <f ca="1">IFERROR(__xludf.DUMMYFUNCTION("""COMPUTED_VALUE"""),"Seed")</f>
        <v>Seed</v>
      </c>
      <c r="T266" s="6" t="str">
        <f ca="1">IFERROR(__xludf.DUMMYFUNCTION("""COMPUTED_VALUE"""),"Seed")</f>
        <v>Seed</v>
      </c>
      <c r="U266" s="6" t="str">
        <f ca="1">IFERROR(__xludf.DUMMYFUNCTION("""COMPUTED_VALUE"""),"Seed")</f>
        <v>Seed</v>
      </c>
      <c r="V266" s="6"/>
      <c r="W266" s="6" t="str">
        <f ca="1">IFERROR(__xludf.DUMMYFUNCTION("""COMPUTED_VALUE"""),"Invite Next Year")</f>
        <v>Invite Next Year</v>
      </c>
    </row>
    <row r="267" spans="1:23">
      <c r="A267" s="6" t="str">
        <f ca="1">IFERROR(__xludf.DUMMYFUNCTION("""COMPUTED_VALUE"""),"Man, Man")</f>
        <v>Man, Man</v>
      </c>
      <c r="B267" s="6" t="str">
        <f ca="1">IFERROR(__xludf.DUMMYFUNCTION("""COMPUTED_VALUE"""),"nmodes _2022")</f>
        <v>nmodes _2022</v>
      </c>
      <c r="C267" s="6" t="str">
        <f ca="1">IFERROR(__xludf.DUMMYFUNCTION("""COMPUTED_VALUE"""),"Digital Tech")</f>
        <v>Digital Tech</v>
      </c>
      <c r="D267" s="6" t="str">
        <f ca="1">IFERROR(__xludf.DUMMYFUNCTION("""COMPUTED_VALUE"""),"Erie , PA 
Canada")</f>
        <v>Erie , PA 
Canada</v>
      </c>
      <c r="E267" s="6" t="str">
        <f ca="1">IFERROR(__xludf.DUMMYFUNCTION("""COMPUTED_VALUE"""),"East Coast")</f>
        <v>East Coast</v>
      </c>
      <c r="F267" s="6" t="str">
        <f ca="1">IFERROR(__xludf.DUMMYFUNCTION("""COMPUTED_VALUE"""),"Man")</f>
        <v>Man</v>
      </c>
      <c r="G267" s="6" t="str">
        <f ca="1">IFERROR(__xludf.DUMMYFUNCTION("""COMPUTED_VALUE"""),"Man")</f>
        <v>Man</v>
      </c>
      <c r="H267" s="6"/>
      <c r="I267" s="6"/>
      <c r="J267" s="6"/>
      <c r="K267" s="6"/>
      <c r="L267" s="6" t="str">
        <f ca="1">IFERROR(__xludf.DUMMYFUNCTION("""COMPUTED_VALUE"""),"No")</f>
        <v>No</v>
      </c>
      <c r="M267" s="6"/>
      <c r="N267" s="6"/>
      <c r="O267" s="6" t="str">
        <f ca="1">IFERROR(__xludf.DUMMYFUNCTION("""COMPUTED_VALUE"""),"Twitter")</f>
        <v>Twitter</v>
      </c>
      <c r="P267" s="6"/>
      <c r="Q267" s="6" t="str">
        <f ca="1">IFERROR(__xludf.DUMMYFUNCTION("""COMPUTED_VALUE"""),"No")</f>
        <v>No</v>
      </c>
      <c r="R267" s="6">
        <f ca="1">IFERROR(__xludf.DUMMYFUNCTION("""COMPUTED_VALUE"""),2)</f>
        <v>2</v>
      </c>
      <c r="S267" s="6" t="str">
        <f ca="1">IFERROR(__xludf.DUMMYFUNCTION("""COMPUTED_VALUE"""),"Pre-seed")</f>
        <v>Pre-seed</v>
      </c>
      <c r="T267" s="6" t="str">
        <f ca="1">IFERROR(__xludf.DUMMYFUNCTION("""COMPUTED_VALUE"""),"Pre-seed")</f>
        <v>Pre-seed</v>
      </c>
      <c r="U267" s="6" t="str">
        <f ca="1">IFERROR(__xludf.DUMMYFUNCTION("""COMPUTED_VALUE"""),"Pre-seed")</f>
        <v>Pre-seed</v>
      </c>
      <c r="V267" s="6"/>
      <c r="W267" s="6" t="str">
        <f ca="1">IFERROR(__xludf.DUMMYFUNCTION("""COMPUTED_VALUE"""),"Invite Next Year")</f>
        <v>Invite Next Year</v>
      </c>
    </row>
    <row r="268" spans="1:23">
      <c r="A268" s="6" t="str">
        <f ca="1">IFERROR(__xludf.DUMMYFUNCTION("""COMPUTED_VALUE"""),"Man, Man, Man")</f>
        <v>Man, Man, Man</v>
      </c>
      <c r="B268" s="6" t="str">
        <f ca="1">IFERROR(__xludf.DUMMYFUNCTION("""COMPUTED_VALUE"""),"Reyets: Social Justice Network _2022")</f>
        <v>Reyets: Social Justice Network _2022</v>
      </c>
      <c r="C268" s="6" t="str">
        <f ca="1">IFERROR(__xludf.DUMMYFUNCTION("""COMPUTED_VALUE"""),"Digital Tech")</f>
        <v>Digital Tech</v>
      </c>
      <c r="D268" s="6" t="str">
        <f ca="1">IFERROR(__xludf.DUMMYFUNCTION("""COMPUTED_VALUE"""),"1201 Wilson Blvd, 27th floor, Arlington, Virginia 
United States")</f>
        <v>1201 Wilson Blvd, 27th floor, Arlington, Virginia 
United States</v>
      </c>
      <c r="E268" s="6" t="str">
        <f ca="1">IFERROR(__xludf.DUMMYFUNCTION("""COMPUTED_VALUE"""),"East Coast")</f>
        <v>East Coast</v>
      </c>
      <c r="F268" s="6" t="str">
        <f ca="1">IFERROR(__xludf.DUMMYFUNCTION("""COMPUTED_VALUE"""),"Man")</f>
        <v>Man</v>
      </c>
      <c r="G268" s="6" t="str">
        <f ca="1">IFERROR(__xludf.DUMMYFUNCTION("""COMPUTED_VALUE"""),"Man")</f>
        <v>Man</v>
      </c>
      <c r="H268" s="6" t="str">
        <f ca="1">IFERROR(__xludf.DUMMYFUNCTION("""COMPUTED_VALUE"""),"Man")</f>
        <v>Man</v>
      </c>
      <c r="I268" s="6"/>
      <c r="J268" s="6"/>
      <c r="K268" s="6"/>
      <c r="L268" s="6" t="str">
        <f ca="1">IFERROR(__xludf.DUMMYFUNCTION("""COMPUTED_VALUE"""),"No")</f>
        <v>No</v>
      </c>
      <c r="M268" s="6"/>
      <c r="N268" s="6"/>
      <c r="O268" s="6" t="str">
        <f ca="1">IFERROR(__xludf.DUMMYFUNCTION("""COMPUTED_VALUE"""),"Email")</f>
        <v>Email</v>
      </c>
      <c r="P268" s="6"/>
      <c r="Q268" s="6" t="str">
        <f ca="1">IFERROR(__xludf.DUMMYFUNCTION("""COMPUTED_VALUE"""),"No")</f>
        <v>No</v>
      </c>
      <c r="R268" s="6">
        <f ca="1">IFERROR(__xludf.DUMMYFUNCTION("""COMPUTED_VALUE"""),3)</f>
        <v>3</v>
      </c>
      <c r="S268" s="6" t="str">
        <f ca="1">IFERROR(__xludf.DUMMYFUNCTION("""COMPUTED_VALUE"""),"Pre-seed
Grants")</f>
        <v>Pre-seed
Grants</v>
      </c>
      <c r="T268" s="6" t="str">
        <f ca="1">IFERROR(__xludf.DUMMYFUNCTION("""COMPUTED_VALUE"""),"Pre-seed, Grants")</f>
        <v>Pre-seed, Grants</v>
      </c>
      <c r="U268" s="6" t="str">
        <f ca="1">IFERROR(__xludf.DUMMYFUNCTION("""COMPUTED_VALUE"""),"Pre-seed, Grants")</f>
        <v>Pre-seed, Grants</v>
      </c>
      <c r="V268" s="6"/>
      <c r="W268" s="6" t="str">
        <f ca="1">IFERROR(__xludf.DUMMYFUNCTION("""COMPUTED_VALUE"""),"Invite Next Year")</f>
        <v>Invite Next Year</v>
      </c>
    </row>
    <row r="269" spans="1:23">
      <c r="A269" s="6" t="str">
        <f ca="1">IFERROR(__xludf.DUMMYFUNCTION("""COMPUTED_VALUE"""),"Man, Man, Man, Man, Man")</f>
        <v>Man, Man, Man, Man, Man</v>
      </c>
      <c r="B269" s="6" t="str">
        <f ca="1">IFERROR(__xludf.DUMMYFUNCTION("""COMPUTED_VALUE"""),"Yodacart _2022")</f>
        <v>Yodacart _2022</v>
      </c>
      <c r="C269" s="6" t="str">
        <f ca="1">IFERROR(__xludf.DUMMYFUNCTION("""COMPUTED_VALUE"""),"Digital Tech")</f>
        <v>Digital Tech</v>
      </c>
      <c r="D269" s="6" t="str">
        <f ca="1">IFERROR(__xludf.DUMMYFUNCTION("""COMPUTED_VALUE"""),"Mumbai, Maharashtra 
India")</f>
        <v>Mumbai, Maharashtra 
India</v>
      </c>
      <c r="E269" s="6" t="str">
        <f ca="1">IFERROR(__xludf.DUMMYFUNCTION("""COMPUTED_VALUE"""),"International - Asia")</f>
        <v>International - Asia</v>
      </c>
      <c r="F269" s="6" t="str">
        <f ca="1">IFERROR(__xludf.DUMMYFUNCTION("""COMPUTED_VALUE"""),"Man")</f>
        <v>Man</v>
      </c>
      <c r="G269" s="6" t="str">
        <f ca="1">IFERROR(__xludf.DUMMYFUNCTION("""COMPUTED_VALUE"""),"Man")</f>
        <v>Man</v>
      </c>
      <c r="H269" s="6" t="str">
        <f ca="1">IFERROR(__xludf.DUMMYFUNCTION("""COMPUTED_VALUE"""),"Man")</f>
        <v>Man</v>
      </c>
      <c r="I269" s="6" t="str">
        <f ca="1">IFERROR(__xludf.DUMMYFUNCTION("""COMPUTED_VALUE"""),"Man")</f>
        <v>Man</v>
      </c>
      <c r="J269" s="6" t="str">
        <f ca="1">IFERROR(__xludf.DUMMYFUNCTION("""COMPUTED_VALUE"""),"Man")</f>
        <v>Man</v>
      </c>
      <c r="K269" s="6"/>
      <c r="L269" s="6" t="str">
        <f ca="1">IFERROR(__xludf.DUMMYFUNCTION("""COMPUTED_VALUE"""),"No")</f>
        <v>No</v>
      </c>
      <c r="M269" s="6"/>
      <c r="N269" s="6"/>
      <c r="O269" s="6" t="str">
        <f ca="1">IFERROR(__xludf.DUMMYFUNCTION("""COMPUTED_VALUE"""),"Email")</f>
        <v>Email</v>
      </c>
      <c r="P269" s="6"/>
      <c r="Q269" s="6" t="str">
        <f ca="1">IFERROR(__xludf.DUMMYFUNCTION("""COMPUTED_VALUE"""),"No")</f>
        <v>No</v>
      </c>
      <c r="R269" s="6">
        <f ca="1">IFERROR(__xludf.DUMMYFUNCTION("""COMPUTED_VALUE"""),5)</f>
        <v>5</v>
      </c>
      <c r="S269" s="6" t="str">
        <f ca="1">IFERROR(__xludf.DUMMYFUNCTION("""COMPUTED_VALUE"""),"Pre-seed")</f>
        <v>Pre-seed</v>
      </c>
      <c r="T269" s="6" t="str">
        <f ca="1">IFERROR(__xludf.DUMMYFUNCTION("""COMPUTED_VALUE"""),"Pre-seed")</f>
        <v>Pre-seed</v>
      </c>
      <c r="U269" s="6" t="str">
        <f ca="1">IFERROR(__xludf.DUMMYFUNCTION("""COMPUTED_VALUE"""),"Pre-seed")</f>
        <v>Pre-seed</v>
      </c>
      <c r="V269" s="6"/>
      <c r="W269" s="6" t="str">
        <f ca="1">IFERROR(__xludf.DUMMYFUNCTION("""COMPUTED_VALUE"""),"Invite Next Year")</f>
        <v>Invite Next Year</v>
      </c>
    </row>
    <row r="270" spans="1:23">
      <c r="A270" s="6" t="str">
        <f ca="1">IFERROR(__xludf.DUMMYFUNCTION("""COMPUTED_VALUE"""),"Man, Man")</f>
        <v>Man, Man</v>
      </c>
      <c r="B270" s="6" t="str">
        <f ca="1">IFERROR(__xludf.DUMMYFUNCTION("""COMPUTED_VALUE"""),"Agrapp _2022")</f>
        <v>Agrapp _2022</v>
      </c>
      <c r="C270" s="6" t="str">
        <f ca="1">IFERROR(__xludf.DUMMYFUNCTION("""COMPUTED_VALUE"""),"Digital Tech")</f>
        <v>Digital Tech</v>
      </c>
      <c r="D270" s="6" t="str">
        <f ca="1">IFERROR(__xludf.DUMMYFUNCTION("""COMPUTED_VALUE"""),"Bogotá , Cundinamarca  
Colombia")</f>
        <v>Bogotá , Cundinamarca  
Colombia</v>
      </c>
      <c r="E270" s="6" t="str">
        <f ca="1">IFERROR(__xludf.DUMMYFUNCTION("""COMPUTED_VALUE"""),"International - Americas")</f>
        <v>International - Americas</v>
      </c>
      <c r="F270" s="6" t="str">
        <f ca="1">IFERROR(__xludf.DUMMYFUNCTION("""COMPUTED_VALUE"""),"Man")</f>
        <v>Man</v>
      </c>
      <c r="G270" s="6" t="str">
        <f ca="1">IFERROR(__xludf.DUMMYFUNCTION("""COMPUTED_VALUE"""),"Man")</f>
        <v>Man</v>
      </c>
      <c r="H270" s="6"/>
      <c r="I270" s="6"/>
      <c r="J270" s="6"/>
      <c r="K270" s="6"/>
      <c r="L270" s="6" t="str">
        <f ca="1">IFERROR(__xludf.DUMMYFUNCTION("""COMPUTED_VALUE"""),"No")</f>
        <v>No</v>
      </c>
      <c r="M270" s="6"/>
      <c r="N270" s="6"/>
      <c r="O270" s="6" t="str">
        <f ca="1">IFERROR(__xludf.DUMMYFUNCTION("""COMPUTED_VALUE"""),"Email")</f>
        <v>Email</v>
      </c>
      <c r="P270" s="6"/>
      <c r="Q270" s="6" t="str">
        <f ca="1">IFERROR(__xludf.DUMMYFUNCTION("""COMPUTED_VALUE"""),"No")</f>
        <v>No</v>
      </c>
      <c r="R270" s="6">
        <f ca="1">IFERROR(__xludf.DUMMYFUNCTION("""COMPUTED_VALUE"""),2)</f>
        <v>2</v>
      </c>
      <c r="S270" s="6" t="str">
        <f ca="1">IFERROR(__xludf.DUMMYFUNCTION("""COMPUTED_VALUE"""),"Pre-seed")</f>
        <v>Pre-seed</v>
      </c>
      <c r="T270" s="6" t="str">
        <f ca="1">IFERROR(__xludf.DUMMYFUNCTION("""COMPUTED_VALUE"""),"Pre-seed")</f>
        <v>Pre-seed</v>
      </c>
      <c r="U270" s="6" t="str">
        <f ca="1">IFERROR(__xludf.DUMMYFUNCTION("""COMPUTED_VALUE"""),"Pre-seed")</f>
        <v>Pre-seed</v>
      </c>
      <c r="V270" s="6"/>
      <c r="W270" s="6" t="str">
        <f ca="1">IFERROR(__xludf.DUMMYFUNCTION("""COMPUTED_VALUE"""),"Invite Next Year")</f>
        <v>Invite Next Year</v>
      </c>
    </row>
    <row r="271" spans="1:23">
      <c r="A271" s="6" t="str">
        <f ca="1">IFERROR(__xludf.DUMMYFUNCTION("""COMPUTED_VALUE"""),"Man")</f>
        <v>Man</v>
      </c>
      <c r="B271" s="6" t="str">
        <f ca="1">IFERROR(__xludf.DUMMYFUNCTION("""COMPUTED_VALUE"""),"Plant an App _2022")</f>
        <v>Plant an App _2022</v>
      </c>
      <c r="C271" s="6" t="str">
        <f ca="1">IFERROR(__xludf.DUMMYFUNCTION("""COMPUTED_VALUE"""),"Digital Tech")</f>
        <v>Digital Tech</v>
      </c>
      <c r="D271" s="6" t="str">
        <f ca="1">IFERROR(__xludf.DUMMYFUNCTION("""COMPUTED_VALUE"""),"244 Fifth Avenue, Suite 1201 New York, N.Y. 10001, New York 
United States")</f>
        <v>244 Fifth Avenue, Suite 1201 New York, N.Y. 10001, New York 
United States</v>
      </c>
      <c r="E271" s="6" t="str">
        <f ca="1">IFERROR(__xludf.DUMMYFUNCTION("""COMPUTED_VALUE"""),"New York")</f>
        <v>New York</v>
      </c>
      <c r="F271" s="6" t="str">
        <f ca="1">IFERROR(__xludf.DUMMYFUNCTION("""COMPUTED_VALUE"""),"Man")</f>
        <v>Man</v>
      </c>
      <c r="G271" s="6"/>
      <c r="H271" s="6"/>
      <c r="I271" s="6"/>
      <c r="J271" s="6"/>
      <c r="K271" s="6"/>
      <c r="L271" s="6" t="str">
        <f ca="1">IFERROR(__xludf.DUMMYFUNCTION("""COMPUTED_VALUE"""),"--Please select--")</f>
        <v>--Please select--</v>
      </c>
      <c r="M271" s="6"/>
      <c r="N271" s="6"/>
      <c r="O271" s="6" t="str">
        <f ca="1">IFERROR(__xludf.DUMMYFUNCTION("""COMPUTED_VALUE"""),"Email")</f>
        <v>Email</v>
      </c>
      <c r="P271" s="6"/>
      <c r="Q271" s="6" t="str">
        <f ca="1">IFERROR(__xludf.DUMMYFUNCTION("""COMPUTED_VALUE"""),"No")</f>
        <v>No</v>
      </c>
      <c r="R271" s="6">
        <f ca="1">IFERROR(__xludf.DUMMYFUNCTION("""COMPUTED_VALUE"""),1)</f>
        <v>1</v>
      </c>
      <c r="S271" s="6" t="str">
        <f ca="1">IFERROR(__xludf.DUMMYFUNCTION("""COMPUTED_VALUE"""),"Seed")</f>
        <v>Seed</v>
      </c>
      <c r="T271" s="6" t="str">
        <f ca="1">IFERROR(__xludf.DUMMYFUNCTION("""COMPUTED_VALUE"""),"Seed")</f>
        <v>Seed</v>
      </c>
      <c r="U271" s="6" t="str">
        <f ca="1">IFERROR(__xludf.DUMMYFUNCTION("""COMPUTED_VALUE"""),"Seed")</f>
        <v>Seed</v>
      </c>
      <c r="V271" s="6"/>
      <c r="W271" s="6" t="str">
        <f ca="1">IFERROR(__xludf.DUMMYFUNCTION("""COMPUTED_VALUE"""),"Invite")</f>
        <v>Invite</v>
      </c>
    </row>
    <row r="272" spans="1:23">
      <c r="A272" s="6" t="str">
        <f ca="1">IFERROR(__xludf.DUMMYFUNCTION("""COMPUTED_VALUE"""),"Man")</f>
        <v>Man</v>
      </c>
      <c r="B272" s="6" t="str">
        <f ca="1">IFERROR(__xludf.DUMMYFUNCTION("""COMPUTED_VALUE"""),"Terra Carbon Development, Inc. _2022")</f>
        <v>Terra Carbon Development, Inc. _2022</v>
      </c>
      <c r="C272" s="6" t="str">
        <f ca="1">IFERROR(__xludf.DUMMYFUNCTION("""COMPUTED_VALUE"""),"Deep Tech")</f>
        <v>Deep Tech</v>
      </c>
      <c r="D272" s="6" t="str">
        <f ca="1">IFERROR(__xludf.DUMMYFUNCTION("""COMPUTED_VALUE"""),"1131 Dodson Drive, Tennessee 
United States")</f>
        <v>1131 Dodson Drive, Tennessee 
United States</v>
      </c>
      <c r="E272" s="6" t="str">
        <f ca="1">IFERROR(__xludf.DUMMYFUNCTION("""COMPUTED_VALUE"""),"South")</f>
        <v>South</v>
      </c>
      <c r="F272" s="6" t="str">
        <f ca="1">IFERROR(__xludf.DUMMYFUNCTION("""COMPUTED_VALUE"""),"Man")</f>
        <v>Man</v>
      </c>
      <c r="G272" s="6"/>
      <c r="H272" s="6"/>
      <c r="I272" s="6"/>
      <c r="J272" s="6"/>
      <c r="K272" s="6"/>
      <c r="L272" s="6" t="str">
        <f ca="1">IFERROR(__xludf.DUMMYFUNCTION("""COMPUTED_VALUE"""),"Jose Francisco Malfa")</f>
        <v>Jose Francisco Malfa</v>
      </c>
      <c r="M272" s="6" t="str">
        <f ca="1">IFERROR(__xludf.DUMMYFUNCTION("""COMPUTED_VALUE"""),"NYU Alumni")</f>
        <v>NYU Alumni</v>
      </c>
      <c r="N272" s="6"/>
      <c r="O272" s="6" t="str">
        <f ca="1">IFERROR(__xludf.DUMMYFUNCTION("""COMPUTED_VALUE"""),"Conference")</f>
        <v>Conference</v>
      </c>
      <c r="P272" s="6"/>
      <c r="Q272" s="6" t="str">
        <f ca="1">IFERROR(__xludf.DUMMYFUNCTION("""COMPUTED_VALUE"""),"No")</f>
        <v>No</v>
      </c>
      <c r="R272" s="6">
        <f ca="1">IFERROR(__xludf.DUMMYFUNCTION("""COMPUTED_VALUE"""),1)</f>
        <v>1</v>
      </c>
      <c r="S272" s="6" t="str">
        <f ca="1">IFERROR(__xludf.DUMMYFUNCTION("""COMPUTED_VALUE"""),"Pre-seed
Seed")</f>
        <v>Pre-seed
Seed</v>
      </c>
      <c r="T272" s="6" t="str">
        <f ca="1">IFERROR(__xludf.DUMMYFUNCTION("""COMPUTED_VALUE"""),"Pre-seed, Seed")</f>
        <v>Pre-seed, Seed</v>
      </c>
      <c r="U272" s="6" t="str">
        <f ca="1">IFERROR(__xludf.DUMMYFUNCTION("""COMPUTED_VALUE"""),"Pre-seed, Seed")</f>
        <v>Pre-seed, Seed</v>
      </c>
      <c r="V272" s="6"/>
      <c r="W272" s="6" t="str">
        <f ca="1">IFERROR(__xludf.DUMMYFUNCTION("""COMPUTED_VALUE"""),"Invite Next Year")</f>
        <v>Invite Next Year</v>
      </c>
    </row>
    <row r="273" spans="1:23">
      <c r="A273" s="6" t="str">
        <f ca="1">IFERROR(__xludf.DUMMYFUNCTION("""COMPUTED_VALUE"""),"Woman, Woman, Woman, Man")</f>
        <v>Woman, Woman, Woman, Man</v>
      </c>
      <c r="B273" s="6" t="str">
        <f ca="1">IFERROR(__xludf.DUMMYFUNCTION("""COMPUTED_VALUE"""),"JelikaLite Corp _2022")</f>
        <v>JelikaLite Corp _2022</v>
      </c>
      <c r="C273" s="6" t="str">
        <f ca="1">IFERROR(__xludf.DUMMYFUNCTION("""COMPUTED_VALUE"""),"Deep Tech")</f>
        <v>Deep Tech</v>
      </c>
      <c r="D273" s="6" t="str">
        <f ca="1">IFERROR(__xludf.DUMMYFUNCTION("""COMPUTED_VALUE"""),"30 Wall Street, 8th Floor, New York 
United States")</f>
        <v>30 Wall Street, 8th Floor, New York 
United States</v>
      </c>
      <c r="E273" s="6" t="str">
        <f ca="1">IFERROR(__xludf.DUMMYFUNCTION("""COMPUTED_VALUE"""),"New York")</f>
        <v>New York</v>
      </c>
      <c r="F273" s="6" t="str">
        <f ca="1">IFERROR(__xludf.DUMMYFUNCTION("""COMPUTED_VALUE"""),"Woman")</f>
        <v>Woman</v>
      </c>
      <c r="G273" s="6" t="str">
        <f ca="1">IFERROR(__xludf.DUMMYFUNCTION("""COMPUTED_VALUE"""),"Woman")</f>
        <v>Woman</v>
      </c>
      <c r="H273" s="6" t="str">
        <f ca="1">IFERROR(__xludf.DUMMYFUNCTION("""COMPUTED_VALUE"""),"Woman")</f>
        <v>Woman</v>
      </c>
      <c r="I273" s="6" t="str">
        <f ca="1">IFERROR(__xludf.DUMMYFUNCTION("""COMPUTED_VALUE"""),"Man")</f>
        <v>Man</v>
      </c>
      <c r="J273" s="6"/>
      <c r="K273" s="6"/>
      <c r="L273" s="6" t="str">
        <f ca="1">IFERROR(__xludf.DUMMYFUNCTION("""COMPUTED_VALUE"""),"No")</f>
        <v>No</v>
      </c>
      <c r="M273" s="6"/>
      <c r="N273" s="6"/>
      <c r="O273" s="6" t="str">
        <f ca="1">IFERROR(__xludf.DUMMYFUNCTION("""COMPUTED_VALUE"""),"Other")</f>
        <v>Other</v>
      </c>
      <c r="P273" s="6"/>
      <c r="Q273" s="6" t="str">
        <f ca="1">IFERROR(__xludf.DUMMYFUNCTION("""COMPUTED_VALUE"""),"No")</f>
        <v>No</v>
      </c>
      <c r="R273" s="6">
        <f ca="1">IFERROR(__xludf.DUMMYFUNCTION("""COMPUTED_VALUE"""),4)</f>
        <v>4</v>
      </c>
      <c r="S273" s="6" t="str">
        <f ca="1">IFERROR(__xludf.DUMMYFUNCTION("""COMPUTED_VALUE"""),"Pre-seed")</f>
        <v>Pre-seed</v>
      </c>
      <c r="T273" s="6" t="str">
        <f ca="1">IFERROR(__xludf.DUMMYFUNCTION("""COMPUTED_VALUE"""),"Pre-seed")</f>
        <v>Pre-seed</v>
      </c>
      <c r="U273" s="6" t="str">
        <f ca="1">IFERROR(__xludf.DUMMYFUNCTION("""COMPUTED_VALUE"""),"Pre-seed")</f>
        <v>Pre-seed</v>
      </c>
      <c r="V273" s="6"/>
      <c r="W273" s="6" t="str">
        <f ca="1">IFERROR(__xludf.DUMMYFUNCTION("""COMPUTED_VALUE"""),"Invite")</f>
        <v>Invite</v>
      </c>
    </row>
    <row r="274" spans="1:23">
      <c r="A274" s="6" t="str">
        <f ca="1">IFERROR(__xludf.DUMMYFUNCTION("""COMPUTED_VALUE"""),"Woman, Woman")</f>
        <v>Woman, Woman</v>
      </c>
      <c r="B274" s="6" t="str">
        <f ca="1">IFERROR(__xludf.DUMMYFUNCTION("""COMPUTED_VALUE"""),"Olokun Minerals _2022")</f>
        <v>Olokun Minerals _2022</v>
      </c>
      <c r="C274" s="6" t="str">
        <f ca="1">IFERROR(__xludf.DUMMYFUNCTION("""COMPUTED_VALUE"""),"Deep Tech")</f>
        <v>Deep Tech</v>
      </c>
      <c r="D274" s="6" t="str">
        <f ca="1">IFERROR(__xludf.DUMMYFUNCTION("""COMPUTED_VALUE"""),"Los Angeles, CA 
United States")</f>
        <v>Los Angeles, CA 
United States</v>
      </c>
      <c r="E274" s="6" t="str">
        <f ca="1">IFERROR(__xludf.DUMMYFUNCTION("""COMPUTED_VALUE"""),"West Coast")</f>
        <v>West Coast</v>
      </c>
      <c r="F274" s="6" t="str">
        <f ca="1">IFERROR(__xludf.DUMMYFUNCTION("""COMPUTED_VALUE"""),"Woman")</f>
        <v>Woman</v>
      </c>
      <c r="G274" s="6" t="str">
        <f ca="1">IFERROR(__xludf.DUMMYFUNCTION("""COMPUTED_VALUE"""),"Woman")</f>
        <v>Woman</v>
      </c>
      <c r="H274" s="6"/>
      <c r="I274" s="6"/>
      <c r="J274" s="6"/>
      <c r="K274" s="6"/>
      <c r="L274" s="6" t="str">
        <f ca="1">IFERROR(__xludf.DUMMYFUNCTION("""COMPUTED_VALUE"""),"No")</f>
        <v>No</v>
      </c>
      <c r="M274" s="6"/>
      <c r="N274" s="6"/>
      <c r="O274" s="6" t="str">
        <f ca="1">IFERROR(__xludf.DUMMYFUNCTION("""COMPUTED_VALUE"""),"Referral")</f>
        <v>Referral</v>
      </c>
      <c r="P274" s="6"/>
      <c r="Q274" s="6" t="str">
        <f ca="1">IFERROR(__xludf.DUMMYFUNCTION("""COMPUTED_VALUE"""),"No")</f>
        <v>No</v>
      </c>
      <c r="R274" s="6">
        <f ca="1">IFERROR(__xludf.DUMMYFUNCTION("""COMPUTED_VALUE"""),2)</f>
        <v>2</v>
      </c>
      <c r="S274" s="6" t="str">
        <f ca="1">IFERROR(__xludf.DUMMYFUNCTION("""COMPUTED_VALUE"""),"Grants")</f>
        <v>Grants</v>
      </c>
      <c r="T274" s="6" t="str">
        <f ca="1">IFERROR(__xludf.DUMMYFUNCTION("""COMPUTED_VALUE"""),"Grants")</f>
        <v>Grants</v>
      </c>
      <c r="U274" s="6" t="str">
        <f ca="1">IFERROR(__xludf.DUMMYFUNCTION("""COMPUTED_VALUE"""),"Grants")</f>
        <v>Grants</v>
      </c>
      <c r="V274" s="6"/>
      <c r="W274" s="6" t="str">
        <f ca="1">IFERROR(__xludf.DUMMYFUNCTION("""COMPUTED_VALUE"""),"Invite Next Year")</f>
        <v>Invite Next Year</v>
      </c>
    </row>
    <row r="275" spans="1:23">
      <c r="A275" s="6" t="str">
        <f ca="1">IFERROR(__xludf.DUMMYFUNCTION("""COMPUTED_VALUE"""),"Man")</f>
        <v>Man</v>
      </c>
      <c r="B275" s="6" t="str">
        <f ca="1">IFERROR(__xludf.DUMMYFUNCTION("""COMPUTED_VALUE"""),"Goody Basket Games, LLC _2022")</f>
        <v>Goody Basket Games, LLC _2022</v>
      </c>
      <c r="C275" s="6" t="str">
        <f ca="1">IFERROR(__xludf.DUMMYFUNCTION("""COMPUTED_VALUE"""),"Digital Tech")</f>
        <v>Digital Tech</v>
      </c>
      <c r="D275" s="6" t="str">
        <f ca="1">IFERROR(__xludf.DUMMYFUNCTION("""COMPUTED_VALUE"""),"Whiting, NJ 
United States")</f>
        <v>Whiting, NJ 
United States</v>
      </c>
      <c r="E275" s="6" t="str">
        <f ca="1">IFERROR(__xludf.DUMMYFUNCTION("""COMPUTED_VALUE"""),"East Coast")</f>
        <v>East Coast</v>
      </c>
      <c r="F275" s="6" t="str">
        <f ca="1">IFERROR(__xludf.DUMMYFUNCTION("""COMPUTED_VALUE"""),"Man")</f>
        <v>Man</v>
      </c>
      <c r="G275" s="6"/>
      <c r="H275" s="6"/>
      <c r="I275" s="6"/>
      <c r="J275" s="6"/>
      <c r="K275" s="6"/>
      <c r="L275" s="6" t="str">
        <f ca="1">IFERROR(__xludf.DUMMYFUNCTION("""COMPUTED_VALUE"""),"No")</f>
        <v>No</v>
      </c>
      <c r="M275" s="6"/>
      <c r="N275" s="6"/>
      <c r="O275" s="6" t="str">
        <f ca="1">IFERROR(__xludf.DUMMYFUNCTION("""COMPUTED_VALUE"""),"Email")</f>
        <v>Email</v>
      </c>
      <c r="P275" s="6"/>
      <c r="Q275" s="6" t="str">
        <f ca="1">IFERROR(__xludf.DUMMYFUNCTION("""COMPUTED_VALUE"""),"No")</f>
        <v>No</v>
      </c>
      <c r="R275" s="6">
        <f ca="1">IFERROR(__xludf.DUMMYFUNCTION("""COMPUTED_VALUE"""),1)</f>
        <v>1</v>
      </c>
      <c r="S275" s="6" t="str">
        <f ca="1">IFERROR(__xludf.DUMMYFUNCTION("""COMPUTED_VALUE"""),"None")</f>
        <v>None</v>
      </c>
      <c r="T275" s="6" t="str">
        <f ca="1">IFERROR(__xludf.DUMMYFUNCTION("""COMPUTED_VALUE"""),"None")</f>
        <v>None</v>
      </c>
      <c r="U275" s="6" t="str">
        <f ca="1">IFERROR(__xludf.DUMMYFUNCTION("""COMPUTED_VALUE"""),"None")</f>
        <v>None</v>
      </c>
      <c r="V275" s="6"/>
      <c r="W275" s="6" t="str">
        <f ca="1">IFERROR(__xludf.DUMMYFUNCTION("""COMPUTED_VALUE"""),"Invite Next Year")</f>
        <v>Invite Next Year</v>
      </c>
    </row>
    <row r="276" spans="1:23">
      <c r="A276" s="6" t="str">
        <f ca="1">IFERROR(__xludf.DUMMYFUNCTION("""COMPUTED_VALUE"""),"Man, Man")</f>
        <v>Man, Man</v>
      </c>
      <c r="B276" s="6" t="str">
        <f ca="1">IFERROR(__xludf.DUMMYFUNCTION("""COMPUTED_VALUE"""),"Palapa _2022")</f>
        <v>Palapa _2022</v>
      </c>
      <c r="C276" s="6" t="str">
        <f ca="1">IFERROR(__xludf.DUMMYFUNCTION("""COMPUTED_VALUE"""),"Deep Tech")</f>
        <v>Deep Tech</v>
      </c>
      <c r="D276" s="6" t="str">
        <f ca="1">IFERROR(__xludf.DUMMYFUNCTION("""COMPUTED_VALUE"""),"1438 York St Mahwah, New Jersey 
United States")</f>
        <v>1438 York St Mahwah, New Jersey 
United States</v>
      </c>
      <c r="E276" s="6" t="str">
        <f ca="1">IFERROR(__xludf.DUMMYFUNCTION("""COMPUTED_VALUE"""),"East Coast")</f>
        <v>East Coast</v>
      </c>
      <c r="F276" s="6" t="str">
        <f ca="1">IFERROR(__xludf.DUMMYFUNCTION("""COMPUTED_VALUE"""),"Man")</f>
        <v>Man</v>
      </c>
      <c r="G276" s="6" t="str">
        <f ca="1">IFERROR(__xludf.DUMMYFUNCTION("""COMPUTED_VALUE"""),"Man")</f>
        <v>Man</v>
      </c>
      <c r="H276" s="6"/>
      <c r="I276" s="6"/>
      <c r="J276" s="6"/>
      <c r="K276" s="6"/>
      <c r="L276" s="6" t="str">
        <f ca="1">IFERROR(__xludf.DUMMYFUNCTION("""COMPUTED_VALUE"""),"No")</f>
        <v>No</v>
      </c>
      <c r="M276" s="6"/>
      <c r="N276" s="6"/>
      <c r="O276" s="6" t="str">
        <f ca="1">IFERROR(__xludf.DUMMYFUNCTION("""COMPUTED_VALUE"""),"Search Engine")</f>
        <v>Search Engine</v>
      </c>
      <c r="P276" s="6"/>
      <c r="Q276" s="6" t="str">
        <f ca="1">IFERROR(__xludf.DUMMYFUNCTION("""COMPUTED_VALUE"""),"Yes")</f>
        <v>Yes</v>
      </c>
      <c r="R276" s="6">
        <f ca="1">IFERROR(__xludf.DUMMYFUNCTION("""COMPUTED_VALUE"""),2)</f>
        <v>2</v>
      </c>
      <c r="S276" s="6" t="str">
        <f ca="1">IFERROR(__xludf.DUMMYFUNCTION("""COMPUTED_VALUE"""),"None")</f>
        <v>None</v>
      </c>
      <c r="T276" s="6" t="str">
        <f ca="1">IFERROR(__xludf.DUMMYFUNCTION("""COMPUTED_VALUE"""),"None")</f>
        <v>None</v>
      </c>
      <c r="U276" s="6" t="str">
        <f ca="1">IFERROR(__xludf.DUMMYFUNCTION("""COMPUTED_VALUE"""),"None")</f>
        <v>None</v>
      </c>
      <c r="V276" s="6"/>
      <c r="W276" s="6" t="str">
        <f ca="1">IFERROR(__xludf.DUMMYFUNCTION("""COMPUTED_VALUE"""),"Invite Next Year")</f>
        <v>Invite Next Year</v>
      </c>
    </row>
    <row r="277" spans="1:23">
      <c r="A277" s="6" t="str">
        <f ca="1">IFERROR(__xludf.DUMMYFUNCTION("""COMPUTED_VALUE"""),"Man, Man")</f>
        <v>Man, Man</v>
      </c>
      <c r="B277" s="6" t="str">
        <f ca="1">IFERROR(__xludf.DUMMYFUNCTION("""COMPUTED_VALUE"""),"ABBY by GOGOTECH _2022")</f>
        <v>ABBY by GOGOTECH _2022</v>
      </c>
      <c r="C277" s="6" t="str">
        <f ca="1">IFERROR(__xludf.DUMMYFUNCTION("""COMPUTED_VALUE"""),"Deep Tech")</f>
        <v>Deep Tech</v>
      </c>
      <c r="D277" s="6" t="str">
        <f ca="1">IFERROR(__xludf.DUMMYFUNCTION("""COMPUTED_VALUE"""),"Wilmington, DE 
United States")</f>
        <v>Wilmington, DE 
United States</v>
      </c>
      <c r="E277" s="6" t="str">
        <f ca="1">IFERROR(__xludf.DUMMYFUNCTION("""COMPUTED_VALUE"""),"East Coast")</f>
        <v>East Coast</v>
      </c>
      <c r="F277" s="6" t="str">
        <f ca="1">IFERROR(__xludf.DUMMYFUNCTION("""COMPUTED_VALUE"""),"Man")</f>
        <v>Man</v>
      </c>
      <c r="G277" s="6" t="str">
        <f ca="1">IFERROR(__xludf.DUMMYFUNCTION("""COMPUTED_VALUE"""),"Man")</f>
        <v>Man</v>
      </c>
      <c r="H277" s="6"/>
      <c r="I277" s="6"/>
      <c r="J277" s="6"/>
      <c r="K277" s="6"/>
      <c r="L277" s="6" t="str">
        <f ca="1">IFERROR(__xludf.DUMMYFUNCTION("""COMPUTED_VALUE"""),"--Please select--")</f>
        <v>--Please select--</v>
      </c>
      <c r="M277" s="6"/>
      <c r="N277" s="6"/>
      <c r="O277" s="6" t="str">
        <f ca="1">IFERROR(__xludf.DUMMYFUNCTION("""COMPUTED_VALUE"""),"Email")</f>
        <v>Email</v>
      </c>
      <c r="P277" s="6"/>
      <c r="Q277" s="6" t="str">
        <f ca="1">IFERROR(__xludf.DUMMYFUNCTION("""COMPUTED_VALUE"""),"No")</f>
        <v>No</v>
      </c>
      <c r="R277" s="6">
        <f ca="1">IFERROR(__xludf.DUMMYFUNCTION("""COMPUTED_VALUE"""),2)</f>
        <v>2</v>
      </c>
      <c r="S277" s="6" t="str">
        <f ca="1">IFERROR(__xludf.DUMMYFUNCTION("""COMPUTED_VALUE"""),"Pre-seed")</f>
        <v>Pre-seed</v>
      </c>
      <c r="T277" s="6" t="str">
        <f ca="1">IFERROR(__xludf.DUMMYFUNCTION("""COMPUTED_VALUE"""),"Pre-seed")</f>
        <v>Pre-seed</v>
      </c>
      <c r="U277" s="6" t="str">
        <f ca="1">IFERROR(__xludf.DUMMYFUNCTION("""COMPUTED_VALUE"""),"Pre-seed")</f>
        <v>Pre-seed</v>
      </c>
      <c r="V277" s="6"/>
      <c r="W277" s="6" t="str">
        <f ca="1">IFERROR(__xludf.DUMMYFUNCTION("""COMPUTED_VALUE"""),"Invite Next Year")</f>
        <v>Invite Next Year</v>
      </c>
    </row>
    <row r="278" spans="1:23">
      <c r="A278" s="6" t="str">
        <f ca="1">IFERROR(__xludf.DUMMYFUNCTION("""COMPUTED_VALUE"""),"Man, Man, Man")</f>
        <v>Man, Man, Man</v>
      </c>
      <c r="B278" s="6" t="str">
        <f ca="1">IFERROR(__xludf.DUMMYFUNCTION("""COMPUTED_VALUE"""),"Soli _2022")</f>
        <v>Soli _2022</v>
      </c>
      <c r="C278" s="6" t="str">
        <f ca="1">IFERROR(__xludf.DUMMYFUNCTION("""COMPUTED_VALUE"""),"Digital Tech")</f>
        <v>Digital Tech</v>
      </c>
      <c r="D278" s="6" t="str">
        <f ca="1">IFERROR(__xludf.DUMMYFUNCTION("""COMPUTED_VALUE"""),"New York, NY 
United States")</f>
        <v>New York, NY 
United States</v>
      </c>
      <c r="E278" s="6" t="str">
        <f ca="1">IFERROR(__xludf.DUMMYFUNCTION("""COMPUTED_VALUE"""),"New York")</f>
        <v>New York</v>
      </c>
      <c r="F278" s="6" t="str">
        <f ca="1">IFERROR(__xludf.DUMMYFUNCTION("""COMPUTED_VALUE"""),"Man")</f>
        <v>Man</v>
      </c>
      <c r="G278" s="6" t="str">
        <f ca="1">IFERROR(__xludf.DUMMYFUNCTION("""COMPUTED_VALUE"""),"Man")</f>
        <v>Man</v>
      </c>
      <c r="H278" s="6" t="str">
        <f ca="1">IFERROR(__xludf.DUMMYFUNCTION("""COMPUTED_VALUE"""),"Man")</f>
        <v>Man</v>
      </c>
      <c r="I278" s="6"/>
      <c r="J278" s="6"/>
      <c r="K278" s="6"/>
      <c r="L278" s="6" t="str">
        <f ca="1">IFERROR(__xludf.DUMMYFUNCTION("""COMPUTED_VALUE"""),"No")</f>
        <v>No</v>
      </c>
      <c r="M278" s="6"/>
      <c r="N278" s="6"/>
      <c r="O278" s="6" t="str">
        <f ca="1">IFERROR(__xludf.DUMMYFUNCTION("""COMPUTED_VALUE"""),"Email")</f>
        <v>Email</v>
      </c>
      <c r="P278" s="6"/>
      <c r="Q278" s="6" t="str">
        <f ca="1">IFERROR(__xludf.DUMMYFUNCTION("""COMPUTED_VALUE"""),"No")</f>
        <v>No</v>
      </c>
      <c r="R278" s="6">
        <f ca="1">IFERROR(__xludf.DUMMYFUNCTION("""COMPUTED_VALUE"""),3)</f>
        <v>3</v>
      </c>
      <c r="S278" s="6" t="str">
        <f ca="1">IFERROR(__xludf.DUMMYFUNCTION("""COMPUTED_VALUE"""),"Pre-seed")</f>
        <v>Pre-seed</v>
      </c>
      <c r="T278" s="6" t="str">
        <f ca="1">IFERROR(__xludf.DUMMYFUNCTION("""COMPUTED_VALUE"""),"Pre-seed")</f>
        <v>Pre-seed</v>
      </c>
      <c r="U278" s="6" t="str">
        <f ca="1">IFERROR(__xludf.DUMMYFUNCTION("""COMPUTED_VALUE"""),"Pre-seed")</f>
        <v>Pre-seed</v>
      </c>
      <c r="V278" s="6"/>
      <c r="W278" s="6" t="str">
        <f ca="1">IFERROR(__xludf.DUMMYFUNCTION("""COMPUTED_VALUE"""),"Invite Next Year")</f>
        <v>Invite Next Year</v>
      </c>
    </row>
    <row r="279" spans="1:23">
      <c r="A279" s="6" t="str">
        <f ca="1">IFERROR(__xludf.DUMMYFUNCTION("""COMPUTED_VALUE"""),"Prefer not to respond, Man")</f>
        <v>Prefer not to respond, Man</v>
      </c>
      <c r="B279" s="6" t="str">
        <f ca="1">IFERROR(__xludf.DUMMYFUNCTION("""COMPUTED_VALUE"""),"YRIKKA _2022")</f>
        <v>YRIKKA _2022</v>
      </c>
      <c r="C279" s="6" t="str">
        <f ca="1">IFERROR(__xludf.DUMMYFUNCTION("""COMPUTED_VALUE"""),"Digital Tech")</f>
        <v>Digital Tech</v>
      </c>
      <c r="D279" s="6" t="str">
        <f ca="1">IFERROR(__xludf.DUMMYFUNCTION("""COMPUTED_VALUE"""),"Wilmington, Delaware 
United States")</f>
        <v>Wilmington, Delaware 
United States</v>
      </c>
      <c r="E279" s="6" t="str">
        <f ca="1">IFERROR(__xludf.DUMMYFUNCTION("""COMPUTED_VALUE"""),"East Coast")</f>
        <v>East Coast</v>
      </c>
      <c r="F279" s="6" t="str">
        <f ca="1">IFERROR(__xludf.DUMMYFUNCTION("""COMPUTED_VALUE"""),"Prefer not to respond")</f>
        <v>Prefer not to respond</v>
      </c>
      <c r="G279" s="6" t="str">
        <f ca="1">IFERROR(__xludf.DUMMYFUNCTION("""COMPUTED_VALUE"""),"Man")</f>
        <v>Man</v>
      </c>
      <c r="H279" s="6"/>
      <c r="I279" s="6"/>
      <c r="J279" s="6"/>
      <c r="K279" s="6"/>
      <c r="L279" s="6" t="str">
        <f ca="1">IFERROR(__xludf.DUMMYFUNCTION("""COMPUTED_VALUE"""),"No")</f>
        <v>No</v>
      </c>
      <c r="M279" s="6"/>
      <c r="N279" s="6"/>
      <c r="O279" s="6" t="str">
        <f ca="1">IFERROR(__xludf.DUMMYFUNCTION("""COMPUTED_VALUE"""),"Other")</f>
        <v>Other</v>
      </c>
      <c r="P279" s="6"/>
      <c r="Q279" s="6" t="str">
        <f ca="1">IFERROR(__xludf.DUMMYFUNCTION("""COMPUTED_VALUE"""),"No")</f>
        <v>No</v>
      </c>
      <c r="R279" s="6">
        <f ca="1">IFERROR(__xludf.DUMMYFUNCTION("""COMPUTED_VALUE"""),2)</f>
        <v>2</v>
      </c>
      <c r="S279" s="6" t="str">
        <f ca="1">IFERROR(__xludf.DUMMYFUNCTION("""COMPUTED_VALUE"""),"None")</f>
        <v>None</v>
      </c>
      <c r="T279" s="6" t="str">
        <f ca="1">IFERROR(__xludf.DUMMYFUNCTION("""COMPUTED_VALUE"""),"None")</f>
        <v>None</v>
      </c>
      <c r="U279" s="6" t="str">
        <f ca="1">IFERROR(__xludf.DUMMYFUNCTION("""COMPUTED_VALUE"""),"None")</f>
        <v>None</v>
      </c>
      <c r="V279" s="6"/>
      <c r="W279" s="6" t="str">
        <f ca="1">IFERROR(__xludf.DUMMYFUNCTION("""COMPUTED_VALUE"""),"Invite Next Year")</f>
        <v>Invite Next Year</v>
      </c>
    </row>
    <row r="280" spans="1:23">
      <c r="A280" s="6" t="str">
        <f ca="1">IFERROR(__xludf.DUMMYFUNCTION("""COMPUTED_VALUE"""),"Man, Man, Man")</f>
        <v>Man, Man, Man</v>
      </c>
      <c r="B280" s="6" t="str">
        <f ca="1">IFERROR(__xludf.DUMMYFUNCTION("""COMPUTED_VALUE"""),"Mon4t _2022")</f>
        <v>Mon4t _2022</v>
      </c>
      <c r="C280" s="6" t="str">
        <f ca="1">IFERROR(__xludf.DUMMYFUNCTION("""COMPUTED_VALUE"""),"Digital Tech")</f>
        <v>Digital Tech</v>
      </c>
      <c r="D280" s="6" t="str">
        <f ca="1">IFERROR(__xludf.DUMMYFUNCTION("""COMPUTED_VALUE"""),"New York , NY 
United States")</f>
        <v>New York , NY 
United States</v>
      </c>
      <c r="E280" s="6" t="str">
        <f ca="1">IFERROR(__xludf.DUMMYFUNCTION("""COMPUTED_VALUE"""),"New York")</f>
        <v>New York</v>
      </c>
      <c r="F280" s="6" t="str">
        <f ca="1">IFERROR(__xludf.DUMMYFUNCTION("""COMPUTED_VALUE"""),"Man")</f>
        <v>Man</v>
      </c>
      <c r="G280" s="6" t="str">
        <f ca="1">IFERROR(__xludf.DUMMYFUNCTION("""COMPUTED_VALUE"""),"Man")</f>
        <v>Man</v>
      </c>
      <c r="H280" s="6" t="str">
        <f ca="1">IFERROR(__xludf.DUMMYFUNCTION("""COMPUTED_VALUE"""),"Man")</f>
        <v>Man</v>
      </c>
      <c r="I280" s="6"/>
      <c r="J280" s="6"/>
      <c r="K280" s="6"/>
      <c r="L280" s="6" t="str">
        <f ca="1">IFERROR(__xludf.DUMMYFUNCTION("""COMPUTED_VALUE"""),"Yes")</f>
        <v>Yes</v>
      </c>
      <c r="M280" s="6" t="str">
        <f ca="1">IFERROR(__xludf.DUMMYFUNCTION("""COMPUTED_VALUE"""),"NYU Alumni")</f>
        <v>NYU Alumni</v>
      </c>
      <c r="N280" s="6"/>
      <c r="O280" s="6" t="str">
        <f ca="1">IFERROR(__xludf.DUMMYFUNCTION("""COMPUTED_VALUE"""),"Referral")</f>
        <v>Referral</v>
      </c>
      <c r="P280" s="6"/>
      <c r="Q280" s="6" t="str">
        <f ca="1">IFERROR(__xludf.DUMMYFUNCTION("""COMPUTED_VALUE"""),"No")</f>
        <v>No</v>
      </c>
      <c r="R280" s="6">
        <f ca="1">IFERROR(__xludf.DUMMYFUNCTION("""COMPUTED_VALUE"""),3)</f>
        <v>3</v>
      </c>
      <c r="S280" s="6" t="str">
        <f ca="1">IFERROR(__xludf.DUMMYFUNCTION("""COMPUTED_VALUE"""),"Pre-seed")</f>
        <v>Pre-seed</v>
      </c>
      <c r="T280" s="6" t="str">
        <f ca="1">IFERROR(__xludf.DUMMYFUNCTION("""COMPUTED_VALUE"""),"Pre-seed")</f>
        <v>Pre-seed</v>
      </c>
      <c r="U280" s="6" t="str">
        <f ca="1">IFERROR(__xludf.DUMMYFUNCTION("""COMPUTED_VALUE"""),"Pre-seed")</f>
        <v>Pre-seed</v>
      </c>
      <c r="V280" s="6"/>
      <c r="W280" s="6" t="str">
        <f ca="1">IFERROR(__xludf.DUMMYFUNCTION("""COMPUTED_VALUE"""),"Invite")</f>
        <v>Invite</v>
      </c>
    </row>
    <row r="281" spans="1:23">
      <c r="A281" s="6" t="str">
        <f ca="1">IFERROR(__xludf.DUMMYFUNCTION("""COMPUTED_VALUE"""),"Man, Man")</f>
        <v>Man, Man</v>
      </c>
      <c r="B281" s="6" t="str">
        <f ca="1">IFERROR(__xludf.DUMMYFUNCTION("""COMPUTED_VALUE"""),"DrainBot  _2022")</f>
        <v>DrainBot  _2022</v>
      </c>
      <c r="C281" s="6" t="str">
        <f ca="1">IFERROR(__xludf.DUMMYFUNCTION("""COMPUTED_VALUE"""),"Deep Tech")</f>
        <v>Deep Tech</v>
      </c>
      <c r="D281" s="6" t="str">
        <f ca="1">IFERROR(__xludf.DUMMYFUNCTION("""COMPUTED_VALUE"""),"Eggersdorf bei Graz, Styria 
Austria")</f>
        <v>Eggersdorf bei Graz, Styria 
Austria</v>
      </c>
      <c r="E281" s="6" t="str">
        <f ca="1">IFERROR(__xludf.DUMMYFUNCTION("""COMPUTED_VALUE"""),"International - Europe")</f>
        <v>International - Europe</v>
      </c>
      <c r="F281" s="6" t="str">
        <f ca="1">IFERROR(__xludf.DUMMYFUNCTION("""COMPUTED_VALUE"""),"Man")</f>
        <v>Man</v>
      </c>
      <c r="G281" s="6" t="str">
        <f ca="1">IFERROR(__xludf.DUMMYFUNCTION("""COMPUTED_VALUE"""),"Man")</f>
        <v>Man</v>
      </c>
      <c r="H281" s="6"/>
      <c r="I281" s="6"/>
      <c r="J281" s="6"/>
      <c r="K281" s="6"/>
      <c r="L281" s="6" t="str">
        <f ca="1">IFERROR(__xludf.DUMMYFUNCTION("""COMPUTED_VALUE"""),"No")</f>
        <v>No</v>
      </c>
      <c r="M281" s="6"/>
      <c r="N281" s="6"/>
      <c r="O281" s="6" t="str">
        <f ca="1">IFERROR(__xludf.DUMMYFUNCTION("""COMPUTED_VALUE"""),"Referral")</f>
        <v>Referral</v>
      </c>
      <c r="P281" s="6"/>
      <c r="Q281" s="6" t="str">
        <f ca="1">IFERROR(__xludf.DUMMYFUNCTION("""COMPUTED_VALUE"""),"No")</f>
        <v>No</v>
      </c>
      <c r="R281" s="6">
        <f ca="1">IFERROR(__xludf.DUMMYFUNCTION("""COMPUTED_VALUE"""),2)</f>
        <v>2</v>
      </c>
      <c r="S281" s="6" t="str">
        <f ca="1">IFERROR(__xludf.DUMMYFUNCTION("""COMPUTED_VALUE"""),"Pre-seed
Seed")</f>
        <v>Pre-seed
Seed</v>
      </c>
      <c r="T281" s="6" t="str">
        <f ca="1">IFERROR(__xludf.DUMMYFUNCTION("""COMPUTED_VALUE"""),"Pre-seed, Seed")</f>
        <v>Pre-seed, Seed</v>
      </c>
      <c r="U281" s="6" t="str">
        <f ca="1">IFERROR(__xludf.DUMMYFUNCTION("""COMPUTED_VALUE"""),"Pre-seed, Seed")</f>
        <v>Pre-seed, Seed</v>
      </c>
      <c r="V281" s="6"/>
      <c r="W281" s="6" t="str">
        <f ca="1">IFERROR(__xludf.DUMMYFUNCTION("""COMPUTED_VALUE"""),"Revisit")</f>
        <v>Revisit</v>
      </c>
    </row>
    <row r="282" spans="1:23">
      <c r="A282" s="6" t="str">
        <f ca="1">IFERROR(__xludf.DUMMYFUNCTION("""COMPUTED_VALUE"""),"Man, Man")</f>
        <v>Man, Man</v>
      </c>
      <c r="B282" s="6" t="str">
        <f ca="1">IFERROR(__xludf.DUMMYFUNCTION("""COMPUTED_VALUE"""),"Blue Velvet Innovations LTD t/a Cook My Grub _2022")</f>
        <v>Blue Velvet Innovations LTD t/a Cook My Grub _2022</v>
      </c>
      <c r="C282" s="6" t="str">
        <f ca="1">IFERROR(__xludf.DUMMYFUNCTION("""COMPUTED_VALUE"""),"Digital Tech")</f>
        <v>Digital Tech</v>
      </c>
      <c r="D282" s="6" t="str">
        <f ca="1">IFERROR(__xludf.DUMMYFUNCTION("""COMPUTED_VALUE"""),"Maidenhead, Berkshire 
United Kingdom")</f>
        <v>Maidenhead, Berkshire 
United Kingdom</v>
      </c>
      <c r="E282" s="6" t="str">
        <f ca="1">IFERROR(__xludf.DUMMYFUNCTION("""COMPUTED_VALUE"""),"International - Europe")</f>
        <v>International - Europe</v>
      </c>
      <c r="F282" s="6" t="str">
        <f ca="1">IFERROR(__xludf.DUMMYFUNCTION("""COMPUTED_VALUE"""),"Man")</f>
        <v>Man</v>
      </c>
      <c r="G282" s="6" t="str">
        <f ca="1">IFERROR(__xludf.DUMMYFUNCTION("""COMPUTED_VALUE"""),"Man")</f>
        <v>Man</v>
      </c>
      <c r="H282" s="6"/>
      <c r="I282" s="6"/>
      <c r="J282" s="6"/>
      <c r="K282" s="6"/>
      <c r="L282" s="6" t="str">
        <f ca="1">IFERROR(__xludf.DUMMYFUNCTION("""COMPUTED_VALUE"""),"--Please select--")</f>
        <v>--Please select--</v>
      </c>
      <c r="M282" s="6"/>
      <c r="N282" s="6"/>
      <c r="O282" s="6" t="str">
        <f ca="1">IFERROR(__xludf.DUMMYFUNCTION("""COMPUTED_VALUE"""),"Email")</f>
        <v>Email</v>
      </c>
      <c r="P282" s="6"/>
      <c r="Q282" s="6" t="str">
        <f ca="1">IFERROR(__xludf.DUMMYFUNCTION("""COMPUTED_VALUE"""),"No")</f>
        <v>No</v>
      </c>
      <c r="R282" s="6">
        <f ca="1">IFERROR(__xludf.DUMMYFUNCTION("""COMPUTED_VALUE"""),2)</f>
        <v>2</v>
      </c>
      <c r="S282" s="6" t="str">
        <f ca="1">IFERROR(__xludf.DUMMYFUNCTION("""COMPUTED_VALUE"""),"Pre-seed")</f>
        <v>Pre-seed</v>
      </c>
      <c r="T282" s="6" t="str">
        <f ca="1">IFERROR(__xludf.DUMMYFUNCTION("""COMPUTED_VALUE"""),"Pre-seed")</f>
        <v>Pre-seed</v>
      </c>
      <c r="U282" s="6" t="str">
        <f ca="1">IFERROR(__xludf.DUMMYFUNCTION("""COMPUTED_VALUE"""),"Pre-seed")</f>
        <v>Pre-seed</v>
      </c>
      <c r="V282" s="6"/>
      <c r="W282" s="6" t="str">
        <f ca="1">IFERROR(__xludf.DUMMYFUNCTION("""COMPUTED_VALUE"""),"Invite Next Year")</f>
        <v>Invite Next Year</v>
      </c>
    </row>
    <row r="283" spans="1:23">
      <c r="A283" s="6" t="str">
        <f ca="1">IFERROR(__xludf.DUMMYFUNCTION("""COMPUTED_VALUE"""),"Man")</f>
        <v>Man</v>
      </c>
      <c r="B283" s="6" t="str">
        <f ca="1">IFERROR(__xludf.DUMMYFUNCTION("""COMPUTED_VALUE"""),"Chargewheel Co. _2022")</f>
        <v>Chargewheel Co. _2022</v>
      </c>
      <c r="C283" s="6" t="str">
        <f ca="1">IFERROR(__xludf.DUMMYFUNCTION("""COMPUTED_VALUE"""),"Deep Tech")</f>
        <v>Deep Tech</v>
      </c>
      <c r="D283" s="6" t="str">
        <f ca="1">IFERROR(__xludf.DUMMYFUNCTION("""COMPUTED_VALUE"""),"Los Angeles , CA 
United States")</f>
        <v>Los Angeles , CA 
United States</v>
      </c>
      <c r="E283" s="6" t="str">
        <f ca="1">IFERROR(__xludf.DUMMYFUNCTION("""COMPUTED_VALUE"""),"West Coast")</f>
        <v>West Coast</v>
      </c>
      <c r="F283" s="6" t="str">
        <f ca="1">IFERROR(__xludf.DUMMYFUNCTION("""COMPUTED_VALUE"""),"Man")</f>
        <v>Man</v>
      </c>
      <c r="G283" s="6"/>
      <c r="H283" s="6"/>
      <c r="I283" s="6"/>
      <c r="J283" s="6"/>
      <c r="K283" s="6"/>
      <c r="L283" s="6" t="str">
        <f ca="1">IFERROR(__xludf.DUMMYFUNCTION("""COMPUTED_VALUE"""),"--Please select--")</f>
        <v>--Please select--</v>
      </c>
      <c r="M283" s="6"/>
      <c r="N283" s="6"/>
      <c r="O283" s="6" t="str">
        <f ca="1">IFERROR(__xludf.DUMMYFUNCTION("""COMPUTED_VALUE"""),"Email")</f>
        <v>Email</v>
      </c>
      <c r="P283" s="6"/>
      <c r="Q283" s="6" t="str">
        <f ca="1">IFERROR(__xludf.DUMMYFUNCTION("""COMPUTED_VALUE"""),"No")</f>
        <v>No</v>
      </c>
      <c r="R283" s="6">
        <f ca="1">IFERROR(__xludf.DUMMYFUNCTION("""COMPUTED_VALUE"""),1)</f>
        <v>1</v>
      </c>
      <c r="S283" s="6" t="str">
        <f ca="1">IFERROR(__xludf.DUMMYFUNCTION("""COMPUTED_VALUE"""),"Pre-seed")</f>
        <v>Pre-seed</v>
      </c>
      <c r="T283" s="6" t="str">
        <f ca="1">IFERROR(__xludf.DUMMYFUNCTION("""COMPUTED_VALUE"""),"Pre-seed")</f>
        <v>Pre-seed</v>
      </c>
      <c r="U283" s="6" t="str">
        <f ca="1">IFERROR(__xludf.DUMMYFUNCTION("""COMPUTED_VALUE"""),"Pre-seed")</f>
        <v>Pre-seed</v>
      </c>
      <c r="V283" s="6"/>
      <c r="W283" s="6" t="str">
        <f ca="1">IFERROR(__xludf.DUMMYFUNCTION("""COMPUTED_VALUE"""),"Invite")</f>
        <v>Invite</v>
      </c>
    </row>
    <row r="284" spans="1:23">
      <c r="A284" s="6" t="str">
        <f ca="1">IFERROR(__xludf.DUMMYFUNCTION("""COMPUTED_VALUE"""),"Woman, Man")</f>
        <v>Woman, Man</v>
      </c>
      <c r="B284" s="6" t="str">
        <f ca="1">IFERROR(__xludf.DUMMYFUNCTION("""COMPUTED_VALUE"""),"Nash fintechX _2022")</f>
        <v>Nash fintechX _2022</v>
      </c>
      <c r="C284" s="6" t="str">
        <f ca="1">IFERROR(__xludf.DUMMYFUNCTION("""COMPUTED_VALUE"""),"Digital Tech")</f>
        <v>Digital Tech</v>
      </c>
      <c r="D284" s="6" t="str">
        <f ca="1">IFERROR(__xludf.DUMMYFUNCTION("""COMPUTED_VALUE"""),"25, Rue Principale, Goeblange, Koerich 
Luxembourg")</f>
        <v>25, Rue Principale, Goeblange, Koerich 
Luxembourg</v>
      </c>
      <c r="E284" s="6" t="str">
        <f ca="1">IFERROR(__xludf.DUMMYFUNCTION("""COMPUTED_VALUE"""),"International - Europe")</f>
        <v>International - Europe</v>
      </c>
      <c r="F284" s="6" t="str">
        <f ca="1">IFERROR(__xludf.DUMMYFUNCTION("""COMPUTED_VALUE"""),"Woman")</f>
        <v>Woman</v>
      </c>
      <c r="G284" s="6" t="str">
        <f ca="1">IFERROR(__xludf.DUMMYFUNCTION("""COMPUTED_VALUE"""),"Man")</f>
        <v>Man</v>
      </c>
      <c r="H284" s="6"/>
      <c r="I284" s="6"/>
      <c r="J284" s="6"/>
      <c r="K284" s="6"/>
      <c r="L284" s="6" t="str">
        <f ca="1">IFERROR(__xludf.DUMMYFUNCTION("""COMPUTED_VALUE"""),"--Please select--")</f>
        <v>--Please select--</v>
      </c>
      <c r="M284" s="6"/>
      <c r="N284" s="6"/>
      <c r="O284" s="6" t="str">
        <f ca="1">IFERROR(__xludf.DUMMYFUNCTION("""COMPUTED_VALUE"""),"LinkedIn")</f>
        <v>LinkedIn</v>
      </c>
      <c r="P284" s="6"/>
      <c r="Q284" s="6" t="str">
        <f ca="1">IFERROR(__xludf.DUMMYFUNCTION("""COMPUTED_VALUE"""),"No")</f>
        <v>No</v>
      </c>
      <c r="R284" s="6">
        <f ca="1">IFERROR(__xludf.DUMMYFUNCTION("""COMPUTED_VALUE"""),2)</f>
        <v>2</v>
      </c>
      <c r="S284" s="6" t="str">
        <f ca="1">IFERROR(__xludf.DUMMYFUNCTION("""COMPUTED_VALUE"""),"Pre-seed")</f>
        <v>Pre-seed</v>
      </c>
      <c r="T284" s="6" t="str">
        <f ca="1">IFERROR(__xludf.DUMMYFUNCTION("""COMPUTED_VALUE"""),"Pre-seed")</f>
        <v>Pre-seed</v>
      </c>
      <c r="U284" s="6" t="str">
        <f ca="1">IFERROR(__xludf.DUMMYFUNCTION("""COMPUTED_VALUE"""),"Pre-seed")</f>
        <v>Pre-seed</v>
      </c>
      <c r="V284" s="6"/>
      <c r="W284" s="6" t="str">
        <f ca="1">IFERROR(__xludf.DUMMYFUNCTION("""COMPUTED_VALUE"""),"Invite Next Year")</f>
        <v>Invite Next Year</v>
      </c>
    </row>
    <row r="285" spans="1:23">
      <c r="A285" s="6" t="str">
        <f ca="1">IFERROR(__xludf.DUMMYFUNCTION("""COMPUTED_VALUE"""),"Man, Man, Man, Man")</f>
        <v>Man, Man, Man, Man</v>
      </c>
      <c r="B285" s="6" t="str">
        <f ca="1">IFERROR(__xludf.DUMMYFUNCTION("""COMPUTED_VALUE"""),"ROCSOLE _2022")</f>
        <v>ROCSOLE _2022</v>
      </c>
      <c r="C285" s="6" t="str">
        <f ca="1">IFERROR(__xludf.DUMMYFUNCTION("""COMPUTED_VALUE"""),"Digital Tech")</f>
        <v>Digital Tech</v>
      </c>
      <c r="D285" s="6" t="str">
        <f ca="1">IFERROR(__xludf.DUMMYFUNCTION("""COMPUTED_VALUE"""),"Kuopio, Savonia 
Finland")</f>
        <v>Kuopio, Savonia 
Finland</v>
      </c>
      <c r="E285" s="6" t="str">
        <f ca="1">IFERROR(__xludf.DUMMYFUNCTION("""COMPUTED_VALUE"""),"International - Europe")</f>
        <v>International - Europe</v>
      </c>
      <c r="F285" s="6" t="str">
        <f ca="1">IFERROR(__xludf.DUMMYFUNCTION("""COMPUTED_VALUE"""),"Man")</f>
        <v>Man</v>
      </c>
      <c r="G285" s="6" t="str">
        <f ca="1">IFERROR(__xludf.DUMMYFUNCTION("""COMPUTED_VALUE"""),"Man")</f>
        <v>Man</v>
      </c>
      <c r="H285" s="6" t="str">
        <f ca="1">IFERROR(__xludf.DUMMYFUNCTION("""COMPUTED_VALUE"""),"Man")</f>
        <v>Man</v>
      </c>
      <c r="I285" s="6" t="str">
        <f ca="1">IFERROR(__xludf.DUMMYFUNCTION("""COMPUTED_VALUE"""),"Man")</f>
        <v>Man</v>
      </c>
      <c r="J285" s="6"/>
      <c r="K285" s="6"/>
      <c r="L285" s="6" t="str">
        <f ca="1">IFERROR(__xludf.DUMMYFUNCTION("""COMPUTED_VALUE"""),"No")</f>
        <v>No</v>
      </c>
      <c r="M285" s="6"/>
      <c r="N285" s="6"/>
      <c r="O285" s="6" t="str">
        <f ca="1">IFERROR(__xludf.DUMMYFUNCTION("""COMPUTED_VALUE"""),"Referral")</f>
        <v>Referral</v>
      </c>
      <c r="P285" s="6"/>
      <c r="Q285" s="6" t="str">
        <f ca="1">IFERROR(__xludf.DUMMYFUNCTION("""COMPUTED_VALUE"""),"No")</f>
        <v>No</v>
      </c>
      <c r="R285" s="6">
        <f ca="1">IFERROR(__xludf.DUMMYFUNCTION("""COMPUTED_VALUE"""),4)</f>
        <v>4</v>
      </c>
      <c r="S285" s="6" t="str">
        <f ca="1">IFERROR(__xludf.DUMMYFUNCTION("""COMPUTED_VALUE"""),"Seed
Series A
Bridge
Debt financing
Grants")</f>
        <v>Seed
Series A
Bridge
Debt financing
Grants</v>
      </c>
      <c r="T285" s="6" t="str">
        <f ca="1">IFERROR(__xludf.DUMMYFUNCTION("""COMPUTED_VALUE"""),"Seed, Series A, Bridge, Debt financing, Grants")</f>
        <v>Seed, Series A, Bridge, Debt financing, Grants</v>
      </c>
      <c r="U285" s="6" t="str">
        <f ca="1">IFERROR(__xludf.DUMMYFUNCTION("""COMPUTED_VALUE"""),"Seed, Series A, Bridge, Debt financing, Grants")</f>
        <v>Seed, Series A, Bridge, Debt financing, Grants</v>
      </c>
      <c r="V285" s="6"/>
      <c r="W285" s="6" t="str">
        <f ca="1">IFERROR(__xludf.DUMMYFUNCTION("""COMPUTED_VALUE"""),"Invite")</f>
        <v>Invite</v>
      </c>
    </row>
    <row r="286" spans="1:23">
      <c r="A286" s="6" t="str">
        <f ca="1">IFERROR(__xludf.DUMMYFUNCTION("""COMPUTED_VALUE"""),"Man, Woman, Man")</f>
        <v>Man, Woman, Man</v>
      </c>
      <c r="B286" s="6" t="str">
        <f ca="1">IFERROR(__xludf.DUMMYFUNCTION("""COMPUTED_VALUE"""),"sustamize  _2022")</f>
        <v>sustamize  _2022</v>
      </c>
      <c r="C286" s="6" t="str">
        <f ca="1">IFERROR(__xludf.DUMMYFUNCTION("""COMPUTED_VALUE"""),"Digital Tech")</f>
        <v>Digital Tech</v>
      </c>
      <c r="D286" s="6" t="str">
        <f ca="1">IFERROR(__xludf.DUMMYFUNCTION("""COMPUTED_VALUE"""),"Munich, Bayern 
Germany")</f>
        <v>Munich, Bayern 
Germany</v>
      </c>
      <c r="E286" s="6" t="str">
        <f ca="1">IFERROR(__xludf.DUMMYFUNCTION("""COMPUTED_VALUE"""),"International - Europe")</f>
        <v>International - Europe</v>
      </c>
      <c r="F286" s="6" t="str">
        <f ca="1">IFERROR(__xludf.DUMMYFUNCTION("""COMPUTED_VALUE"""),"Man")</f>
        <v>Man</v>
      </c>
      <c r="G286" s="6" t="str">
        <f ca="1">IFERROR(__xludf.DUMMYFUNCTION("""COMPUTED_VALUE"""),"Woman")</f>
        <v>Woman</v>
      </c>
      <c r="H286" s="6" t="str">
        <f ca="1">IFERROR(__xludf.DUMMYFUNCTION("""COMPUTED_VALUE"""),"Man")</f>
        <v>Man</v>
      </c>
      <c r="I286" s="6"/>
      <c r="J286" s="6"/>
      <c r="K286" s="6"/>
      <c r="L286" s="6" t="str">
        <f ca="1">IFERROR(__xludf.DUMMYFUNCTION("""COMPUTED_VALUE"""),"No")</f>
        <v>No</v>
      </c>
      <c r="M286" s="6"/>
      <c r="N286" s="6"/>
      <c r="O286" s="6" t="str">
        <f ca="1">IFERROR(__xludf.DUMMYFUNCTION("""COMPUTED_VALUE"""),"Email")</f>
        <v>Email</v>
      </c>
      <c r="P286" s="6"/>
      <c r="Q286" s="6" t="str">
        <f ca="1">IFERROR(__xludf.DUMMYFUNCTION("""COMPUTED_VALUE"""),"Yes")</f>
        <v>Yes</v>
      </c>
      <c r="R286" s="6">
        <f ca="1">IFERROR(__xludf.DUMMYFUNCTION("""COMPUTED_VALUE"""),3)</f>
        <v>3</v>
      </c>
      <c r="S286" s="6" t="str">
        <f ca="1">IFERROR(__xludf.DUMMYFUNCTION("""COMPUTED_VALUE"""),"Seed")</f>
        <v>Seed</v>
      </c>
      <c r="T286" s="6" t="str">
        <f ca="1">IFERROR(__xludf.DUMMYFUNCTION("""COMPUTED_VALUE"""),"Seed")</f>
        <v>Seed</v>
      </c>
      <c r="U286" s="6" t="str">
        <f ca="1">IFERROR(__xludf.DUMMYFUNCTION("""COMPUTED_VALUE"""),"Seed")</f>
        <v>Seed</v>
      </c>
      <c r="V286" s="6"/>
      <c r="W286" s="6" t="str">
        <f ca="1">IFERROR(__xludf.DUMMYFUNCTION("""COMPUTED_VALUE"""),"Invite")</f>
        <v>Invite</v>
      </c>
    </row>
    <row r="287" spans="1:23">
      <c r="A287" s="6" t="str">
        <f ca="1">IFERROR(__xludf.DUMMYFUNCTION("""COMPUTED_VALUE"""),"Man, Man, Man")</f>
        <v>Man, Man, Man</v>
      </c>
      <c r="B287" s="6" t="str">
        <f ca="1">IFERROR(__xludf.DUMMYFUNCTION("""COMPUTED_VALUE"""),"WeBoard _2022")</f>
        <v>WeBoard _2022</v>
      </c>
      <c r="C287" s="6" t="str">
        <f ca="1">IFERROR(__xludf.DUMMYFUNCTION("""COMPUTED_VALUE"""),"Digital Tech")</f>
        <v>Digital Tech</v>
      </c>
      <c r="D287" s="6" t="str">
        <f ca="1">IFERROR(__xludf.DUMMYFUNCTION("""COMPUTED_VALUE"""),"Prague, Prague 
Czech Republic")</f>
        <v>Prague, Prague 
Czech Republic</v>
      </c>
      <c r="E287" s="6" t="str">
        <f ca="1">IFERROR(__xludf.DUMMYFUNCTION("""COMPUTED_VALUE"""),"International - Europe")</f>
        <v>International - Europe</v>
      </c>
      <c r="F287" s="6" t="str">
        <f ca="1">IFERROR(__xludf.DUMMYFUNCTION("""COMPUTED_VALUE"""),"Man")</f>
        <v>Man</v>
      </c>
      <c r="G287" s="6" t="str">
        <f ca="1">IFERROR(__xludf.DUMMYFUNCTION("""COMPUTED_VALUE"""),"Man")</f>
        <v>Man</v>
      </c>
      <c r="H287" s="6" t="str">
        <f ca="1">IFERROR(__xludf.DUMMYFUNCTION("""COMPUTED_VALUE"""),"Man")</f>
        <v>Man</v>
      </c>
      <c r="I287" s="6"/>
      <c r="J287" s="6"/>
      <c r="K287" s="6"/>
      <c r="L287" s="6" t="str">
        <f ca="1">IFERROR(__xludf.DUMMYFUNCTION("""COMPUTED_VALUE"""),"No")</f>
        <v>No</v>
      </c>
      <c r="M287" s="6"/>
      <c r="N287" s="6"/>
      <c r="O287" s="6" t="str">
        <f ca="1">IFERROR(__xludf.DUMMYFUNCTION("""COMPUTED_VALUE"""),"Search Engine")</f>
        <v>Search Engine</v>
      </c>
      <c r="P287" s="6"/>
      <c r="Q287" s="6" t="str">
        <f ca="1">IFERROR(__xludf.DUMMYFUNCTION("""COMPUTED_VALUE"""),"No")</f>
        <v>No</v>
      </c>
      <c r="R287" s="6">
        <f ca="1">IFERROR(__xludf.DUMMYFUNCTION("""COMPUTED_VALUE"""),3)</f>
        <v>3</v>
      </c>
      <c r="S287" s="6" t="str">
        <f ca="1">IFERROR(__xludf.DUMMYFUNCTION("""COMPUTED_VALUE"""),"Pre-seed")</f>
        <v>Pre-seed</v>
      </c>
      <c r="T287" s="6" t="str">
        <f ca="1">IFERROR(__xludf.DUMMYFUNCTION("""COMPUTED_VALUE"""),"Pre-seed")</f>
        <v>Pre-seed</v>
      </c>
      <c r="U287" s="6" t="str">
        <f ca="1">IFERROR(__xludf.DUMMYFUNCTION("""COMPUTED_VALUE"""),"Pre-seed")</f>
        <v>Pre-seed</v>
      </c>
      <c r="V287" s="6"/>
      <c r="W287" s="6" t="str">
        <f ca="1">IFERROR(__xludf.DUMMYFUNCTION("""COMPUTED_VALUE"""),"Invite Next Year")</f>
        <v>Invite Next Year</v>
      </c>
    </row>
    <row r="288" spans="1:23">
      <c r="A288" s="6" t="str">
        <f ca="1">IFERROR(__xludf.DUMMYFUNCTION("""COMPUTED_VALUE"""),"Man, Man")</f>
        <v>Man, Man</v>
      </c>
      <c r="B288" s="6" t="str">
        <f ca="1">IFERROR(__xludf.DUMMYFUNCTION("""COMPUTED_VALUE"""),"Broom.id (PT Teknologi Usaha Nusantara) _2022")</f>
        <v>Broom.id (PT Teknologi Usaha Nusantara) _2022</v>
      </c>
      <c r="C288" s="6" t="str">
        <f ca="1">IFERROR(__xludf.DUMMYFUNCTION("""COMPUTED_VALUE"""),"Digital Tech")</f>
        <v>Digital Tech</v>
      </c>
      <c r="D288" s="6" t="str">
        <f ca="1">IFERROR(__xludf.DUMMYFUNCTION("""COMPUTED_VALUE"""),"South Jakarta, DKI Jakarta 
Indonesia")</f>
        <v>South Jakarta, DKI Jakarta 
Indonesia</v>
      </c>
      <c r="E288" s="6" t="str">
        <f ca="1">IFERROR(__xludf.DUMMYFUNCTION("""COMPUTED_VALUE"""),"International - Asia")</f>
        <v>International - Asia</v>
      </c>
      <c r="F288" s="6" t="str">
        <f ca="1">IFERROR(__xludf.DUMMYFUNCTION("""COMPUTED_VALUE"""),"Man")</f>
        <v>Man</v>
      </c>
      <c r="G288" s="6" t="str">
        <f ca="1">IFERROR(__xludf.DUMMYFUNCTION("""COMPUTED_VALUE"""),"Man")</f>
        <v>Man</v>
      </c>
      <c r="H288" s="6"/>
      <c r="I288" s="6"/>
      <c r="J288" s="6"/>
      <c r="K288" s="6"/>
      <c r="L288" s="6" t="str">
        <f ca="1">IFERROR(__xludf.DUMMYFUNCTION("""COMPUTED_VALUE"""),"No")</f>
        <v>No</v>
      </c>
      <c r="M288" s="6"/>
      <c r="N288" s="6"/>
      <c r="O288" s="6" t="str">
        <f ca="1">IFERROR(__xludf.DUMMYFUNCTION("""COMPUTED_VALUE"""),"Email")</f>
        <v>Email</v>
      </c>
      <c r="P288" s="6"/>
      <c r="Q288" s="6" t="str">
        <f ca="1">IFERROR(__xludf.DUMMYFUNCTION("""COMPUTED_VALUE"""),"No")</f>
        <v>No</v>
      </c>
      <c r="R288" s="6">
        <f ca="1">IFERROR(__xludf.DUMMYFUNCTION("""COMPUTED_VALUE"""),2)</f>
        <v>2</v>
      </c>
      <c r="S288" s="6" t="str">
        <f ca="1">IFERROR(__xludf.DUMMYFUNCTION("""COMPUTED_VALUE"""),"Pre-seed")</f>
        <v>Pre-seed</v>
      </c>
      <c r="T288" s="6" t="str">
        <f ca="1">IFERROR(__xludf.DUMMYFUNCTION("""COMPUTED_VALUE"""),"Pre-seed")</f>
        <v>Pre-seed</v>
      </c>
      <c r="U288" s="6" t="str">
        <f ca="1">IFERROR(__xludf.DUMMYFUNCTION("""COMPUTED_VALUE"""),"Pre-seed")</f>
        <v>Pre-seed</v>
      </c>
      <c r="V288" s="6"/>
      <c r="W288" s="6" t="str">
        <f ca="1">IFERROR(__xludf.DUMMYFUNCTION("""COMPUTED_VALUE"""),"Invite Next Year")</f>
        <v>Invite Next Year</v>
      </c>
    </row>
    <row r="289" spans="1:23">
      <c r="A289" s="6" t="str">
        <f ca="1">IFERROR(__xludf.DUMMYFUNCTION("""COMPUTED_VALUE"""),"Man, Man, Woman")</f>
        <v>Man, Man, Woman</v>
      </c>
      <c r="B289" s="6" t="str">
        <f ca="1">IFERROR(__xludf.DUMMYFUNCTION("""COMPUTED_VALUE"""),"Elementa Labs _2022")</f>
        <v>Elementa Labs _2022</v>
      </c>
      <c r="C289" s="6" t="str">
        <f ca="1">IFERROR(__xludf.DUMMYFUNCTION("""COMPUTED_VALUE"""),"Deep Tech")</f>
        <v>Deep Tech</v>
      </c>
      <c r="D289" s="6" t="str">
        <f ca="1">IFERROR(__xludf.DUMMYFUNCTION("""COMPUTED_VALUE"""),"Utrecht, Utrecht  
Netherlands")</f>
        <v>Utrecht, Utrecht  
Netherlands</v>
      </c>
      <c r="E289" s="6" t="str">
        <f ca="1">IFERROR(__xludf.DUMMYFUNCTION("""COMPUTED_VALUE"""),"International - Europe")</f>
        <v>International - Europe</v>
      </c>
      <c r="F289" s="6" t="str">
        <f ca="1">IFERROR(__xludf.DUMMYFUNCTION("""COMPUTED_VALUE"""),"Man")</f>
        <v>Man</v>
      </c>
      <c r="G289" s="6" t="str">
        <f ca="1">IFERROR(__xludf.DUMMYFUNCTION("""COMPUTED_VALUE"""),"Man")</f>
        <v>Man</v>
      </c>
      <c r="H289" s="6" t="str">
        <f ca="1">IFERROR(__xludf.DUMMYFUNCTION("""COMPUTED_VALUE"""),"Woman")</f>
        <v>Woman</v>
      </c>
      <c r="I289" s="6"/>
      <c r="J289" s="6"/>
      <c r="K289" s="6"/>
      <c r="L289" s="6" t="str">
        <f ca="1">IFERROR(__xludf.DUMMYFUNCTION("""COMPUTED_VALUE"""),"--Please select--")</f>
        <v>--Please select--</v>
      </c>
      <c r="M289" s="6"/>
      <c r="N289" s="6"/>
      <c r="O289" s="6" t="str">
        <f ca="1">IFERROR(__xludf.DUMMYFUNCTION("""COMPUTED_VALUE"""),"Email")</f>
        <v>Email</v>
      </c>
      <c r="P289" s="6"/>
      <c r="Q289" s="6" t="str">
        <f ca="1">IFERROR(__xludf.DUMMYFUNCTION("""COMPUTED_VALUE"""),"No")</f>
        <v>No</v>
      </c>
      <c r="R289" s="6">
        <f ca="1">IFERROR(__xludf.DUMMYFUNCTION("""COMPUTED_VALUE"""),3)</f>
        <v>3</v>
      </c>
      <c r="S289" s="6" t="str">
        <f ca="1">IFERROR(__xludf.DUMMYFUNCTION("""COMPUTED_VALUE"""),"Pre-seed")</f>
        <v>Pre-seed</v>
      </c>
      <c r="T289" s="6" t="str">
        <f ca="1">IFERROR(__xludf.DUMMYFUNCTION("""COMPUTED_VALUE"""),"Pre-seed")</f>
        <v>Pre-seed</v>
      </c>
      <c r="U289" s="6" t="str">
        <f ca="1">IFERROR(__xludf.DUMMYFUNCTION("""COMPUTED_VALUE"""),"Pre-seed")</f>
        <v>Pre-seed</v>
      </c>
      <c r="V289" s="6"/>
      <c r="W289" s="6" t="str">
        <f ca="1">IFERROR(__xludf.DUMMYFUNCTION("""COMPUTED_VALUE"""),"Invite Next Year")</f>
        <v>Invite Next Year</v>
      </c>
    </row>
    <row r="290" spans="1:23">
      <c r="A290" s="6" t="str">
        <f ca="1">IFERROR(__xludf.DUMMYFUNCTION("""COMPUTED_VALUE"""),"Woman, Woman, Man, Man")</f>
        <v>Woman, Woman, Man, Man</v>
      </c>
      <c r="B290" s="6" t="str">
        <f ca="1">IFERROR(__xludf.DUMMYFUNCTION("""COMPUTED_VALUE"""),"Untap _2022")</f>
        <v>Untap _2022</v>
      </c>
      <c r="C290" s="6" t="str">
        <f ca="1">IFERROR(__xludf.DUMMYFUNCTION("""COMPUTED_VALUE"""),"Digital Tech")</f>
        <v>Digital Tech</v>
      </c>
      <c r="D290" s="6" t="str">
        <f ca="1">IFERROR(__xludf.DUMMYFUNCTION("""COMPUTED_VALUE"""),"20 Ahmed El Shatouri Dokki, Giza 
Egypt")</f>
        <v>20 Ahmed El Shatouri Dokki, Giza 
Egypt</v>
      </c>
      <c r="E290" s="6" t="str">
        <f ca="1">IFERROR(__xludf.DUMMYFUNCTION("""COMPUTED_VALUE"""),"West Coast")</f>
        <v>West Coast</v>
      </c>
      <c r="F290" s="6" t="str">
        <f ca="1">IFERROR(__xludf.DUMMYFUNCTION("""COMPUTED_VALUE"""),"Woman")</f>
        <v>Woman</v>
      </c>
      <c r="G290" s="6" t="str">
        <f ca="1">IFERROR(__xludf.DUMMYFUNCTION("""COMPUTED_VALUE"""),"Woman")</f>
        <v>Woman</v>
      </c>
      <c r="H290" s="6" t="str">
        <f ca="1">IFERROR(__xludf.DUMMYFUNCTION("""COMPUTED_VALUE"""),"Man")</f>
        <v>Man</v>
      </c>
      <c r="I290" s="6" t="str">
        <f ca="1">IFERROR(__xludf.DUMMYFUNCTION("""COMPUTED_VALUE"""),"Man")</f>
        <v>Man</v>
      </c>
      <c r="J290" s="6"/>
      <c r="K290" s="6"/>
      <c r="L290" s="6" t="str">
        <f ca="1">IFERROR(__xludf.DUMMYFUNCTION("""COMPUTED_VALUE"""),"No")</f>
        <v>No</v>
      </c>
      <c r="M290" s="6"/>
      <c r="N290" s="6"/>
      <c r="O290" s="6" t="str">
        <f ca="1">IFERROR(__xludf.DUMMYFUNCTION("""COMPUTED_VALUE"""),"Email")</f>
        <v>Email</v>
      </c>
      <c r="P290" s="6"/>
      <c r="Q290" s="6" t="str">
        <f ca="1">IFERROR(__xludf.DUMMYFUNCTION("""COMPUTED_VALUE"""),"No")</f>
        <v>No</v>
      </c>
      <c r="R290" s="6">
        <f ca="1">IFERROR(__xludf.DUMMYFUNCTION("""COMPUTED_VALUE"""),4)</f>
        <v>4</v>
      </c>
      <c r="S290" s="6" t="str">
        <f ca="1">IFERROR(__xludf.DUMMYFUNCTION("""COMPUTED_VALUE"""),"Pre-seed")</f>
        <v>Pre-seed</v>
      </c>
      <c r="T290" s="6" t="str">
        <f ca="1">IFERROR(__xludf.DUMMYFUNCTION("""COMPUTED_VALUE"""),"Pre-seed")</f>
        <v>Pre-seed</v>
      </c>
      <c r="U290" s="6" t="str">
        <f ca="1">IFERROR(__xludf.DUMMYFUNCTION("""COMPUTED_VALUE"""),"Pre-seed")</f>
        <v>Pre-seed</v>
      </c>
      <c r="V290" s="6"/>
      <c r="W290" s="6" t="str">
        <f ca="1">IFERROR(__xludf.DUMMYFUNCTION("""COMPUTED_VALUE"""),"Invite Next Year")</f>
        <v>Invite Next Year</v>
      </c>
    </row>
    <row r="291" spans="1:23">
      <c r="A291" s="6" t="str">
        <f ca="1">IFERROR(__xludf.DUMMYFUNCTION("""COMPUTED_VALUE"""),"Man, Man")</f>
        <v>Man, Man</v>
      </c>
      <c r="B291" s="6" t="str">
        <f ca="1">IFERROR(__xludf.DUMMYFUNCTION("""COMPUTED_VALUE"""),"Aerones Inc _2022")</f>
        <v>Aerones Inc _2022</v>
      </c>
      <c r="C291" s="6" t="str">
        <f ca="1">IFERROR(__xludf.DUMMYFUNCTION("""COMPUTED_VALUE"""),"Deep Tech")</f>
        <v>Deep Tech</v>
      </c>
      <c r="D291" s="6" t="str">
        <f ca="1">IFERROR(__xludf.DUMMYFUNCTION("""COMPUTED_VALUE"""),"105 N 1st St #429 PMB 22980 San Jose,, CA 95103 
United States")</f>
        <v>105 N 1st St #429 PMB 22980 San Jose,, CA 95103 
United States</v>
      </c>
      <c r="E291" s="6" t="str">
        <f ca="1">IFERROR(__xludf.DUMMYFUNCTION("""COMPUTED_VALUE"""),"West Coast")</f>
        <v>West Coast</v>
      </c>
      <c r="F291" s="6" t="str">
        <f ca="1">IFERROR(__xludf.DUMMYFUNCTION("""COMPUTED_VALUE"""),"Man")</f>
        <v>Man</v>
      </c>
      <c r="G291" s="6" t="str">
        <f ca="1">IFERROR(__xludf.DUMMYFUNCTION("""COMPUTED_VALUE"""),"Man")</f>
        <v>Man</v>
      </c>
      <c r="H291" s="6"/>
      <c r="I291" s="6"/>
      <c r="J291" s="6"/>
      <c r="K291" s="6"/>
      <c r="L291" s="6" t="str">
        <f ca="1">IFERROR(__xludf.DUMMYFUNCTION("""COMPUTED_VALUE"""),"No")</f>
        <v>No</v>
      </c>
      <c r="M291" s="6"/>
      <c r="N291" s="6"/>
      <c r="O291" s="6" t="str">
        <f ca="1">IFERROR(__xludf.DUMMYFUNCTION("""COMPUTED_VALUE"""),"Email")</f>
        <v>Email</v>
      </c>
      <c r="P291" s="6"/>
      <c r="Q291" s="6" t="str">
        <f ca="1">IFERROR(__xludf.DUMMYFUNCTION("""COMPUTED_VALUE"""),"No")</f>
        <v>No</v>
      </c>
      <c r="R291" s="6">
        <f ca="1">IFERROR(__xludf.DUMMYFUNCTION("""COMPUTED_VALUE"""),2)</f>
        <v>2</v>
      </c>
      <c r="S291" s="6" t="str">
        <f ca="1">IFERROR(__xludf.DUMMYFUNCTION("""COMPUTED_VALUE"""),"Seed")</f>
        <v>Seed</v>
      </c>
      <c r="T291" s="6" t="str">
        <f ca="1">IFERROR(__xludf.DUMMYFUNCTION("""COMPUTED_VALUE"""),"Seed")</f>
        <v>Seed</v>
      </c>
      <c r="U291" s="6" t="str">
        <f ca="1">IFERROR(__xludf.DUMMYFUNCTION("""COMPUTED_VALUE"""),"Seed")</f>
        <v>Seed</v>
      </c>
      <c r="V291" s="6"/>
      <c r="W291" s="6" t="str">
        <f ca="1">IFERROR(__xludf.DUMMYFUNCTION("""COMPUTED_VALUE"""),"Invite")</f>
        <v>Invite</v>
      </c>
    </row>
    <row r="292" spans="1:23">
      <c r="A292" s="6" t="str">
        <f ca="1">IFERROR(__xludf.DUMMYFUNCTION("""COMPUTED_VALUE"""),"Man, Woman, Man, Woman")</f>
        <v>Man, Woman, Man, Woman</v>
      </c>
      <c r="B292" s="6" t="str">
        <f ca="1">IFERROR(__xludf.DUMMYFUNCTION("""COMPUTED_VALUE"""),"Lifeline Robotics _2022")</f>
        <v>Lifeline Robotics _2022</v>
      </c>
      <c r="C292" s="6" t="str">
        <f ca="1">IFERROR(__xludf.DUMMYFUNCTION("""COMPUTED_VALUE"""),"Deep Tech")</f>
        <v>Deep Tech</v>
      </c>
      <c r="D292" s="6" t="str">
        <f ca="1">IFERROR(__xludf.DUMMYFUNCTION("""COMPUTED_VALUE"""),"Sivlandvænget 3, 1. , Southern Denmark 
Denmark")</f>
        <v>Sivlandvænget 3, 1. , Southern Denmark 
Denmark</v>
      </c>
      <c r="E292" s="6" t="str">
        <f ca="1">IFERROR(__xludf.DUMMYFUNCTION("""COMPUTED_VALUE"""),"International - Europe")</f>
        <v>International - Europe</v>
      </c>
      <c r="F292" s="6" t="str">
        <f ca="1">IFERROR(__xludf.DUMMYFUNCTION("""COMPUTED_VALUE"""),"Man")</f>
        <v>Man</v>
      </c>
      <c r="G292" s="6" t="str">
        <f ca="1">IFERROR(__xludf.DUMMYFUNCTION("""COMPUTED_VALUE"""),"Woman")</f>
        <v>Woman</v>
      </c>
      <c r="H292" s="6" t="str">
        <f ca="1">IFERROR(__xludf.DUMMYFUNCTION("""COMPUTED_VALUE"""),"Man")</f>
        <v>Man</v>
      </c>
      <c r="I292" s="6" t="str">
        <f ca="1">IFERROR(__xludf.DUMMYFUNCTION("""COMPUTED_VALUE"""),"Woman")</f>
        <v>Woman</v>
      </c>
      <c r="J292" s="6"/>
      <c r="K292" s="6"/>
      <c r="L292" s="6" t="str">
        <f ca="1">IFERROR(__xludf.DUMMYFUNCTION("""COMPUTED_VALUE"""),"No")</f>
        <v>No</v>
      </c>
      <c r="M292" s="6"/>
      <c r="N292" s="6"/>
      <c r="O292" s="6" t="str">
        <f ca="1">IFERROR(__xludf.DUMMYFUNCTION("""COMPUTED_VALUE"""),"Email")</f>
        <v>Email</v>
      </c>
      <c r="P292" s="6"/>
      <c r="Q292" s="6" t="str">
        <f ca="1">IFERROR(__xludf.DUMMYFUNCTION("""COMPUTED_VALUE"""),"No")</f>
        <v>No</v>
      </c>
      <c r="R292" s="6">
        <f ca="1">IFERROR(__xludf.DUMMYFUNCTION("""COMPUTED_VALUE"""),4)</f>
        <v>4</v>
      </c>
      <c r="S292" s="6" t="str">
        <f ca="1">IFERROR(__xludf.DUMMYFUNCTION("""COMPUTED_VALUE"""),"Pre-seed")</f>
        <v>Pre-seed</v>
      </c>
      <c r="T292" s="6" t="str">
        <f ca="1">IFERROR(__xludf.DUMMYFUNCTION("""COMPUTED_VALUE"""),"Pre-seed")</f>
        <v>Pre-seed</v>
      </c>
      <c r="U292" s="6" t="str">
        <f ca="1">IFERROR(__xludf.DUMMYFUNCTION("""COMPUTED_VALUE"""),"Pre-seed")</f>
        <v>Pre-seed</v>
      </c>
      <c r="V292" s="6"/>
      <c r="W292" s="6" t="str">
        <f ca="1">IFERROR(__xludf.DUMMYFUNCTION("""COMPUTED_VALUE"""),"Revisit")</f>
        <v>Revisit</v>
      </c>
    </row>
    <row r="293" spans="1:23">
      <c r="A293" s="6" t="str">
        <f ca="1">IFERROR(__xludf.DUMMYFUNCTION("""COMPUTED_VALUE"""),"Man, Man")</f>
        <v>Man, Man</v>
      </c>
      <c r="B293" s="6" t="str">
        <f ca="1">IFERROR(__xludf.DUMMYFUNCTION("""COMPUTED_VALUE"""),"Countd _2022")</f>
        <v>Countd _2022</v>
      </c>
      <c r="C293" s="6" t="str">
        <f ca="1">IFERROR(__xludf.DUMMYFUNCTION("""COMPUTED_VALUE"""),"Digital Tech")</f>
        <v>Digital Tech</v>
      </c>
      <c r="D293" s="6" t="str">
        <f ca="1">IFERROR(__xludf.DUMMYFUNCTION("""COMPUTED_VALUE"""),"WeWork Level 51, ADGM, Abu Dhabi, Abu Dhabi 
United Arab Emirates")</f>
        <v>WeWork Level 51, ADGM, Abu Dhabi, Abu Dhabi 
United Arab Emirates</v>
      </c>
      <c r="E293" s="6" t="str">
        <f ca="1">IFERROR(__xludf.DUMMYFUNCTION("""COMPUTED_VALUE"""),"International - Middle East")</f>
        <v>International - Middle East</v>
      </c>
      <c r="F293" s="6" t="str">
        <f ca="1">IFERROR(__xludf.DUMMYFUNCTION("""COMPUTED_VALUE"""),"Man")</f>
        <v>Man</v>
      </c>
      <c r="G293" s="6" t="str">
        <f ca="1">IFERROR(__xludf.DUMMYFUNCTION("""COMPUTED_VALUE"""),"Man")</f>
        <v>Man</v>
      </c>
      <c r="H293" s="6"/>
      <c r="I293" s="6"/>
      <c r="J293" s="6"/>
      <c r="K293" s="6"/>
      <c r="L293" s="6" t="str">
        <f ca="1">IFERROR(__xludf.DUMMYFUNCTION("""COMPUTED_VALUE"""),"--Please select--")</f>
        <v>--Please select--</v>
      </c>
      <c r="M293" s="6"/>
      <c r="N293" s="6"/>
      <c r="O293" s="6" t="str">
        <f ca="1">IFERROR(__xludf.DUMMYFUNCTION("""COMPUTED_VALUE"""),"Email")</f>
        <v>Email</v>
      </c>
      <c r="P293" s="6"/>
      <c r="Q293" s="6" t="str">
        <f ca="1">IFERROR(__xludf.DUMMYFUNCTION("""COMPUTED_VALUE"""),"No")</f>
        <v>No</v>
      </c>
      <c r="R293" s="6">
        <f ca="1">IFERROR(__xludf.DUMMYFUNCTION("""COMPUTED_VALUE"""),2)</f>
        <v>2</v>
      </c>
      <c r="S293" s="6" t="str">
        <f ca="1">IFERROR(__xludf.DUMMYFUNCTION("""COMPUTED_VALUE"""),"Pre-seed")</f>
        <v>Pre-seed</v>
      </c>
      <c r="T293" s="6" t="str">
        <f ca="1">IFERROR(__xludf.DUMMYFUNCTION("""COMPUTED_VALUE"""),"Pre-seed")</f>
        <v>Pre-seed</v>
      </c>
      <c r="U293" s="6" t="str">
        <f ca="1">IFERROR(__xludf.DUMMYFUNCTION("""COMPUTED_VALUE"""),"Pre-seed")</f>
        <v>Pre-seed</v>
      </c>
      <c r="V293" s="6"/>
      <c r="W293" s="6" t="str">
        <f ca="1">IFERROR(__xludf.DUMMYFUNCTION("""COMPUTED_VALUE"""),"Invite Next Year")</f>
        <v>Invite Next Year</v>
      </c>
    </row>
    <row r="294" spans="1:23">
      <c r="A294" s="6" t="str">
        <f ca="1">IFERROR(__xludf.DUMMYFUNCTION("""COMPUTED_VALUE"""),"Man, Man")</f>
        <v>Man, Man</v>
      </c>
      <c r="B294" s="6" t="str">
        <f ca="1">IFERROR(__xludf.DUMMYFUNCTION("""COMPUTED_VALUE"""),"Qpick _2022")</f>
        <v>Qpick _2022</v>
      </c>
      <c r="C294" s="6" t="str">
        <f ca="1">IFERROR(__xludf.DUMMYFUNCTION("""COMPUTED_VALUE"""),"Digital Tech")</f>
        <v>Digital Tech</v>
      </c>
      <c r="D294" s="6" t="str">
        <f ca="1">IFERROR(__xludf.DUMMYFUNCTION("""COMPUTED_VALUE"""),"Wroclaw, Lower Silesian Voivodeship 
Poland")</f>
        <v>Wroclaw, Lower Silesian Voivodeship 
Poland</v>
      </c>
      <c r="E294" s="6" t="str">
        <f ca="1">IFERROR(__xludf.DUMMYFUNCTION("""COMPUTED_VALUE"""),"International - Europe")</f>
        <v>International - Europe</v>
      </c>
      <c r="F294" s="6" t="str">
        <f ca="1">IFERROR(__xludf.DUMMYFUNCTION("""COMPUTED_VALUE"""),"Man")</f>
        <v>Man</v>
      </c>
      <c r="G294" s="6" t="str">
        <f ca="1">IFERROR(__xludf.DUMMYFUNCTION("""COMPUTED_VALUE"""),"Man")</f>
        <v>Man</v>
      </c>
      <c r="H294" s="6"/>
      <c r="I294" s="6"/>
      <c r="J294" s="6"/>
      <c r="K294" s="6"/>
      <c r="L294" s="6" t="str">
        <f ca="1">IFERROR(__xludf.DUMMYFUNCTION("""COMPUTED_VALUE"""),"No")</f>
        <v>No</v>
      </c>
      <c r="M294" s="6"/>
      <c r="N294" s="6"/>
      <c r="O294" s="6" t="str">
        <f ca="1">IFERROR(__xludf.DUMMYFUNCTION("""COMPUTED_VALUE"""),"Email")</f>
        <v>Email</v>
      </c>
      <c r="P294" s="6"/>
      <c r="Q294" s="6" t="str">
        <f ca="1">IFERROR(__xludf.DUMMYFUNCTION("""COMPUTED_VALUE"""),"No")</f>
        <v>No</v>
      </c>
      <c r="R294" s="6">
        <f ca="1">IFERROR(__xludf.DUMMYFUNCTION("""COMPUTED_VALUE"""),2)</f>
        <v>2</v>
      </c>
      <c r="S294" s="6" t="str">
        <f ca="1">IFERROR(__xludf.DUMMYFUNCTION("""COMPUTED_VALUE"""),"Pre-seed
Grants")</f>
        <v>Pre-seed
Grants</v>
      </c>
      <c r="T294" s="6" t="str">
        <f ca="1">IFERROR(__xludf.DUMMYFUNCTION("""COMPUTED_VALUE"""),"Pre-seed, Grants")</f>
        <v>Pre-seed, Grants</v>
      </c>
      <c r="U294" s="6" t="str">
        <f ca="1">IFERROR(__xludf.DUMMYFUNCTION("""COMPUTED_VALUE"""),"Pre-seed, Grants")</f>
        <v>Pre-seed, Grants</v>
      </c>
      <c r="V294" s="6"/>
      <c r="W294" s="6" t="str">
        <f ca="1">IFERROR(__xludf.DUMMYFUNCTION("""COMPUTED_VALUE"""),"Invite Next Year")</f>
        <v>Invite Next Year</v>
      </c>
    </row>
    <row r="295" spans="1:23">
      <c r="A295" s="6" t="str">
        <f ca="1">IFERROR(__xludf.DUMMYFUNCTION("""COMPUTED_VALUE"""),"Man")</f>
        <v>Man</v>
      </c>
      <c r="B295" s="6" t="str">
        <f ca="1">IFERROR(__xludf.DUMMYFUNCTION("""COMPUTED_VALUE"""),"RaSpect _2022")</f>
        <v>RaSpect _2022</v>
      </c>
      <c r="C295" s="6" t="str">
        <f ca="1">IFERROR(__xludf.DUMMYFUNCTION("""COMPUTED_VALUE"""),"Deep Tech")</f>
        <v>Deep Tech</v>
      </c>
      <c r="D295" s="6" t="str">
        <f ca="1">IFERROR(__xludf.DUMMYFUNCTION("""COMPUTED_VALUE"""),"InnoCentre, 72 Tat Chee Avenue, Kowloon Tong, Kowloon 
Hong Kong")</f>
        <v>InnoCentre, 72 Tat Chee Avenue, Kowloon Tong, Kowloon 
Hong Kong</v>
      </c>
      <c r="E295" s="6" t="str">
        <f ca="1">IFERROR(__xludf.DUMMYFUNCTION("""COMPUTED_VALUE"""),"International - Asia")</f>
        <v>International - Asia</v>
      </c>
      <c r="F295" s="6" t="str">
        <f ca="1">IFERROR(__xludf.DUMMYFUNCTION("""COMPUTED_VALUE"""),"Man")</f>
        <v>Man</v>
      </c>
      <c r="G295" s="6"/>
      <c r="H295" s="6"/>
      <c r="I295" s="6"/>
      <c r="J295" s="6"/>
      <c r="K295" s="6"/>
      <c r="L295" s="6" t="str">
        <f ca="1">IFERROR(__xludf.DUMMYFUNCTION("""COMPUTED_VALUE"""),"No")</f>
        <v>No</v>
      </c>
      <c r="M295" s="6"/>
      <c r="N295" s="6"/>
      <c r="O295" s="6" t="str">
        <f ca="1">IFERROR(__xludf.DUMMYFUNCTION("""COMPUTED_VALUE"""),"Conference")</f>
        <v>Conference</v>
      </c>
      <c r="P295" s="6"/>
      <c r="Q295" s="6" t="str">
        <f ca="1">IFERROR(__xludf.DUMMYFUNCTION("""COMPUTED_VALUE"""),"No")</f>
        <v>No</v>
      </c>
      <c r="R295" s="6">
        <f ca="1">IFERROR(__xludf.DUMMYFUNCTION("""COMPUTED_VALUE"""),1)</f>
        <v>1</v>
      </c>
      <c r="S295" s="6" t="str">
        <f ca="1">IFERROR(__xludf.DUMMYFUNCTION("""COMPUTED_VALUE"""),"Seed")</f>
        <v>Seed</v>
      </c>
      <c r="T295" s="6" t="str">
        <f ca="1">IFERROR(__xludf.DUMMYFUNCTION("""COMPUTED_VALUE"""),"Seed")</f>
        <v>Seed</v>
      </c>
      <c r="U295" s="6" t="str">
        <f ca="1">IFERROR(__xludf.DUMMYFUNCTION("""COMPUTED_VALUE"""),"Seed")</f>
        <v>Seed</v>
      </c>
      <c r="V295" s="6"/>
      <c r="W295" s="6" t="str">
        <f ca="1">IFERROR(__xludf.DUMMYFUNCTION("""COMPUTED_VALUE"""),"Revisit")</f>
        <v>Revisit</v>
      </c>
    </row>
    <row r="296" spans="1:23">
      <c r="A296" s="6" t="str">
        <f ca="1">IFERROR(__xludf.DUMMYFUNCTION("""COMPUTED_VALUE"""),"Man, Man, Man")</f>
        <v>Man, Man, Man</v>
      </c>
      <c r="B296" s="6" t="str">
        <f ca="1">IFERROR(__xludf.DUMMYFUNCTION("""COMPUTED_VALUE"""),"Key2enable Assistive Technology _2022")</f>
        <v>Key2enable Assistive Technology _2022</v>
      </c>
      <c r="C296" s="6" t="str">
        <f ca="1">IFERROR(__xludf.DUMMYFUNCTION("""COMPUTED_VALUE"""),"Deep Tech")</f>
        <v>Deep Tech</v>
      </c>
      <c r="D296" s="6" t="str">
        <f ca="1">IFERROR(__xludf.DUMMYFUNCTION("""COMPUTED_VALUE"""),"St Louis, Missouri 
United States")</f>
        <v>St Louis, Missouri 
United States</v>
      </c>
      <c r="E296" s="6" t="str">
        <f ca="1">IFERROR(__xludf.DUMMYFUNCTION("""COMPUTED_VALUE"""),"South")</f>
        <v>South</v>
      </c>
      <c r="F296" s="6" t="str">
        <f ca="1">IFERROR(__xludf.DUMMYFUNCTION("""COMPUTED_VALUE"""),"Man")</f>
        <v>Man</v>
      </c>
      <c r="G296" s="6" t="str">
        <f ca="1">IFERROR(__xludf.DUMMYFUNCTION("""COMPUTED_VALUE"""),"Man")</f>
        <v>Man</v>
      </c>
      <c r="H296" s="6" t="str">
        <f ca="1">IFERROR(__xludf.DUMMYFUNCTION("""COMPUTED_VALUE"""),"Man")</f>
        <v>Man</v>
      </c>
      <c r="I296" s="6"/>
      <c r="J296" s="6"/>
      <c r="K296" s="6"/>
      <c r="L296" s="6" t="str">
        <f ca="1">IFERROR(__xludf.DUMMYFUNCTION("""COMPUTED_VALUE"""),"No")</f>
        <v>No</v>
      </c>
      <c r="M296" s="6"/>
      <c r="N296" s="6"/>
      <c r="O296" s="6" t="str">
        <f ca="1">IFERROR(__xludf.DUMMYFUNCTION("""COMPUTED_VALUE"""),"Email")</f>
        <v>Email</v>
      </c>
      <c r="P296" s="6"/>
      <c r="Q296" s="6" t="str">
        <f ca="1">IFERROR(__xludf.DUMMYFUNCTION("""COMPUTED_VALUE"""),"No")</f>
        <v>No</v>
      </c>
      <c r="R296" s="6">
        <f ca="1">IFERROR(__xludf.DUMMYFUNCTION("""COMPUTED_VALUE"""),3)</f>
        <v>3</v>
      </c>
      <c r="S296" s="6" t="str">
        <f ca="1">IFERROR(__xludf.DUMMYFUNCTION("""COMPUTED_VALUE"""),"Pre-seed")</f>
        <v>Pre-seed</v>
      </c>
      <c r="T296" s="6" t="str">
        <f ca="1">IFERROR(__xludf.DUMMYFUNCTION("""COMPUTED_VALUE"""),"Pre-seed")</f>
        <v>Pre-seed</v>
      </c>
      <c r="U296" s="6" t="str">
        <f ca="1">IFERROR(__xludf.DUMMYFUNCTION("""COMPUTED_VALUE"""),"Pre-seed")</f>
        <v>Pre-seed</v>
      </c>
      <c r="V296" s="6"/>
      <c r="W296" s="6" t="str">
        <f ca="1">IFERROR(__xludf.DUMMYFUNCTION("""COMPUTED_VALUE"""),"Invite Next Year")</f>
        <v>Invite Next Year</v>
      </c>
    </row>
    <row r="297" spans="1:23">
      <c r="A297" s="6" t="str">
        <f ca="1">IFERROR(__xludf.DUMMYFUNCTION("""COMPUTED_VALUE"""),"Woman")</f>
        <v>Woman</v>
      </c>
      <c r="B297" s="6" t="str">
        <f ca="1">IFERROR(__xludf.DUMMYFUNCTION("""COMPUTED_VALUE"""),"OmicsChart _2022")</f>
        <v>OmicsChart _2022</v>
      </c>
      <c r="C297" s="6" t="str">
        <f ca="1">IFERROR(__xludf.DUMMYFUNCTION("""COMPUTED_VALUE"""),"Digital Tech")</f>
        <v>Digital Tech</v>
      </c>
      <c r="D297" s="6" t="str">
        <f ca="1">IFERROR(__xludf.DUMMYFUNCTION("""COMPUTED_VALUE"""),"Munich, Bavaria 
Germany")</f>
        <v>Munich, Bavaria 
Germany</v>
      </c>
      <c r="E297" s="6" t="str">
        <f ca="1">IFERROR(__xludf.DUMMYFUNCTION("""COMPUTED_VALUE"""),"International - Europe")</f>
        <v>International - Europe</v>
      </c>
      <c r="F297" s="6" t="str">
        <f ca="1">IFERROR(__xludf.DUMMYFUNCTION("""COMPUTED_VALUE"""),"Woman")</f>
        <v>Woman</v>
      </c>
      <c r="G297" s="6"/>
      <c r="H297" s="6"/>
      <c r="I297" s="6"/>
      <c r="J297" s="6"/>
      <c r="K297" s="6"/>
      <c r="L297" s="6" t="str">
        <f ca="1">IFERROR(__xludf.DUMMYFUNCTION("""COMPUTED_VALUE"""),"No")</f>
        <v>No</v>
      </c>
      <c r="M297" s="6"/>
      <c r="N297" s="6"/>
      <c r="O297" s="6" t="str">
        <f ca="1">IFERROR(__xludf.DUMMYFUNCTION("""COMPUTED_VALUE"""),"Referral")</f>
        <v>Referral</v>
      </c>
      <c r="P297" s="6"/>
      <c r="Q297" s="6" t="str">
        <f ca="1">IFERROR(__xludf.DUMMYFUNCTION("""COMPUTED_VALUE"""),"No")</f>
        <v>No</v>
      </c>
      <c r="R297" s="6">
        <f ca="1">IFERROR(__xludf.DUMMYFUNCTION("""COMPUTED_VALUE"""),1)</f>
        <v>1</v>
      </c>
      <c r="S297" s="6" t="str">
        <f ca="1">IFERROR(__xludf.DUMMYFUNCTION("""COMPUTED_VALUE"""),"None")</f>
        <v>None</v>
      </c>
      <c r="T297" s="6" t="str">
        <f ca="1">IFERROR(__xludf.DUMMYFUNCTION("""COMPUTED_VALUE"""),"None")</f>
        <v>None</v>
      </c>
      <c r="U297" s="6" t="str">
        <f ca="1">IFERROR(__xludf.DUMMYFUNCTION("""COMPUTED_VALUE"""),"None")</f>
        <v>None</v>
      </c>
      <c r="V297" s="6"/>
      <c r="W297" s="6" t="str">
        <f ca="1">IFERROR(__xludf.DUMMYFUNCTION("""COMPUTED_VALUE"""),"Invite")</f>
        <v>Invite</v>
      </c>
    </row>
    <row r="298" spans="1:23">
      <c r="A298" s="6" t="str">
        <f ca="1">IFERROR(__xludf.DUMMYFUNCTION("""COMPUTED_VALUE"""),"Man, Man, Man")</f>
        <v>Man, Man, Man</v>
      </c>
      <c r="B298" s="6" t="str">
        <f ca="1">IFERROR(__xludf.DUMMYFUNCTION("""COMPUTED_VALUE"""),"Turion Space _2022")</f>
        <v>Turion Space _2022</v>
      </c>
      <c r="C298" s="6" t="str">
        <f ca="1">IFERROR(__xludf.DUMMYFUNCTION("""COMPUTED_VALUE"""),"Deep Tech")</f>
        <v>Deep Tech</v>
      </c>
      <c r="D298" s="6" t="str">
        <f ca="1">IFERROR(__xludf.DUMMYFUNCTION("""COMPUTED_VALUE"""),"Irvine, CA 
United States")</f>
        <v>Irvine, CA 
United States</v>
      </c>
      <c r="E298" s="6" t="str">
        <f ca="1">IFERROR(__xludf.DUMMYFUNCTION("""COMPUTED_VALUE"""),"West Coast")</f>
        <v>West Coast</v>
      </c>
      <c r="F298" s="6" t="str">
        <f ca="1">IFERROR(__xludf.DUMMYFUNCTION("""COMPUTED_VALUE"""),"Man")</f>
        <v>Man</v>
      </c>
      <c r="G298" s="6" t="str">
        <f ca="1">IFERROR(__xludf.DUMMYFUNCTION("""COMPUTED_VALUE"""),"Man")</f>
        <v>Man</v>
      </c>
      <c r="H298" s="6" t="str">
        <f ca="1">IFERROR(__xludf.DUMMYFUNCTION("""COMPUTED_VALUE"""),"Man")</f>
        <v>Man</v>
      </c>
      <c r="I298" s="6"/>
      <c r="J298" s="6"/>
      <c r="K298" s="6"/>
      <c r="L298" s="6" t="str">
        <f ca="1">IFERROR(__xludf.DUMMYFUNCTION("""COMPUTED_VALUE"""),"No")</f>
        <v>No</v>
      </c>
      <c r="M298" s="6"/>
      <c r="N298" s="6"/>
      <c r="O298" s="6" t="str">
        <f ca="1">IFERROR(__xludf.DUMMYFUNCTION("""COMPUTED_VALUE"""),"Email")</f>
        <v>Email</v>
      </c>
      <c r="P298" s="6"/>
      <c r="Q298" s="6" t="str">
        <f ca="1">IFERROR(__xludf.DUMMYFUNCTION("""COMPUTED_VALUE"""),"No")</f>
        <v>No</v>
      </c>
      <c r="R298" s="6">
        <f ca="1">IFERROR(__xludf.DUMMYFUNCTION("""COMPUTED_VALUE"""),3)</f>
        <v>3</v>
      </c>
      <c r="S298" s="6" t="str">
        <f ca="1">IFERROR(__xludf.DUMMYFUNCTION("""COMPUTED_VALUE"""),"Pre-seed
Seed")</f>
        <v>Pre-seed
Seed</v>
      </c>
      <c r="T298" s="6" t="str">
        <f ca="1">IFERROR(__xludf.DUMMYFUNCTION("""COMPUTED_VALUE"""),"Pre-seed, Seed")</f>
        <v>Pre-seed, Seed</v>
      </c>
      <c r="U298" s="6" t="str">
        <f ca="1">IFERROR(__xludf.DUMMYFUNCTION("""COMPUTED_VALUE"""),"Pre-seed, Seed")</f>
        <v>Pre-seed, Seed</v>
      </c>
      <c r="V298" s="6"/>
      <c r="W298" s="6" t="str">
        <f ca="1">IFERROR(__xludf.DUMMYFUNCTION("""COMPUTED_VALUE"""),"Invite")</f>
        <v>Invite</v>
      </c>
    </row>
    <row r="299" spans="1:23">
      <c r="A299" s="6" t="str">
        <f ca="1">IFERROR(__xludf.DUMMYFUNCTION("""COMPUTED_VALUE"""),"Man, Man")</f>
        <v>Man, Man</v>
      </c>
      <c r="B299" s="6" t="str">
        <f ca="1">IFERROR(__xludf.DUMMYFUNCTION("""COMPUTED_VALUE"""),"Skyline Nav AI Inc. _2022")</f>
        <v>Skyline Nav AI Inc. _2022</v>
      </c>
      <c r="C299" s="6" t="str">
        <f ca="1">IFERROR(__xludf.DUMMYFUNCTION("""COMPUTED_VALUE"""),"Deep Tech")</f>
        <v>Deep Tech</v>
      </c>
      <c r="D299" s="6" t="str">
        <f ca="1">IFERROR(__xludf.DUMMYFUNCTION("""COMPUTED_VALUE"""),"Cambridge, Massachusetts 
United States")</f>
        <v>Cambridge, Massachusetts 
United States</v>
      </c>
      <c r="E299" s="6" t="str">
        <f ca="1">IFERROR(__xludf.DUMMYFUNCTION("""COMPUTED_VALUE"""),"East Coast")</f>
        <v>East Coast</v>
      </c>
      <c r="F299" s="6" t="str">
        <f ca="1">IFERROR(__xludf.DUMMYFUNCTION("""COMPUTED_VALUE"""),"Man")</f>
        <v>Man</v>
      </c>
      <c r="G299" s="6" t="str">
        <f ca="1">IFERROR(__xludf.DUMMYFUNCTION("""COMPUTED_VALUE"""),"Man")</f>
        <v>Man</v>
      </c>
      <c r="H299" s="6"/>
      <c r="I299" s="6"/>
      <c r="J299" s="6"/>
      <c r="K299" s="6"/>
      <c r="L299" s="6" t="str">
        <f ca="1">IFERROR(__xludf.DUMMYFUNCTION("""COMPUTED_VALUE"""),"No")</f>
        <v>No</v>
      </c>
      <c r="M299" s="6"/>
      <c r="N299" s="6"/>
      <c r="O299" s="6" t="str">
        <f ca="1">IFERROR(__xludf.DUMMYFUNCTION("""COMPUTED_VALUE"""),"Email")</f>
        <v>Email</v>
      </c>
      <c r="P299" s="6"/>
      <c r="Q299" s="6" t="str">
        <f ca="1">IFERROR(__xludf.DUMMYFUNCTION("""COMPUTED_VALUE"""),"No")</f>
        <v>No</v>
      </c>
      <c r="R299" s="6">
        <f ca="1">IFERROR(__xludf.DUMMYFUNCTION("""COMPUTED_VALUE"""),2)</f>
        <v>2</v>
      </c>
      <c r="S299" s="6" t="str">
        <f ca="1">IFERROR(__xludf.DUMMYFUNCTION("""COMPUTED_VALUE"""),"Grants")</f>
        <v>Grants</v>
      </c>
      <c r="T299" s="6" t="str">
        <f ca="1">IFERROR(__xludf.DUMMYFUNCTION("""COMPUTED_VALUE"""),"Grants")</f>
        <v>Grants</v>
      </c>
      <c r="U299" s="6" t="str">
        <f ca="1">IFERROR(__xludf.DUMMYFUNCTION("""COMPUTED_VALUE"""),"Grants")</f>
        <v>Grants</v>
      </c>
      <c r="V299" s="6"/>
      <c r="W299" s="6" t="str">
        <f ca="1">IFERROR(__xludf.DUMMYFUNCTION("""COMPUTED_VALUE"""),"Revisit/ Cluster")</f>
        <v>Revisit/ Cluster</v>
      </c>
    </row>
    <row r="300" spans="1:23">
      <c r="A300" s="6" t="str">
        <f ca="1">IFERROR(__xludf.DUMMYFUNCTION("""COMPUTED_VALUE"""),"Man, Man")</f>
        <v>Man, Man</v>
      </c>
      <c r="B300" s="6" t="str">
        <f ca="1">IFERROR(__xludf.DUMMYFUNCTION("""COMPUTED_VALUE"""),"Alaria Biotech  _2022")</f>
        <v>Alaria Biotech  _2022</v>
      </c>
      <c r="C300" s="6" t="str">
        <f ca="1">IFERROR(__xludf.DUMMYFUNCTION("""COMPUTED_VALUE"""),"Life Sciences")</f>
        <v>Life Sciences</v>
      </c>
      <c r="D300" s="6" t="str">
        <f ca="1">IFERROR(__xludf.DUMMYFUNCTION("""COMPUTED_VALUE"""),"8013 RR San Marcos , Texas 
United States")</f>
        <v>8013 RR San Marcos , Texas 
United States</v>
      </c>
      <c r="E300" s="6" t="str">
        <f ca="1">IFERROR(__xludf.DUMMYFUNCTION("""COMPUTED_VALUE"""),"South")</f>
        <v>South</v>
      </c>
      <c r="F300" s="6" t="str">
        <f ca="1">IFERROR(__xludf.DUMMYFUNCTION("""COMPUTED_VALUE"""),"Man")</f>
        <v>Man</v>
      </c>
      <c r="G300" s="6" t="str">
        <f ca="1">IFERROR(__xludf.DUMMYFUNCTION("""COMPUTED_VALUE"""),"Man")</f>
        <v>Man</v>
      </c>
      <c r="H300" s="6"/>
      <c r="I300" s="6"/>
      <c r="J300" s="6"/>
      <c r="K300" s="6"/>
      <c r="L300" s="6" t="str">
        <f ca="1">IFERROR(__xludf.DUMMYFUNCTION("""COMPUTED_VALUE"""),"No")</f>
        <v>No</v>
      </c>
      <c r="M300" s="6"/>
      <c r="N300" s="6"/>
      <c r="O300" s="6" t="str">
        <f ca="1">IFERROR(__xludf.DUMMYFUNCTION("""COMPUTED_VALUE"""),"NYU Newsletter")</f>
        <v>NYU Newsletter</v>
      </c>
      <c r="P300" s="6"/>
      <c r="Q300" s="6" t="str">
        <f ca="1">IFERROR(__xludf.DUMMYFUNCTION("""COMPUTED_VALUE"""),"No")</f>
        <v>No</v>
      </c>
      <c r="R300" s="6">
        <f ca="1">IFERROR(__xludf.DUMMYFUNCTION("""COMPUTED_VALUE"""),2)</f>
        <v>2</v>
      </c>
      <c r="S300" s="6" t="str">
        <f ca="1">IFERROR(__xludf.DUMMYFUNCTION("""COMPUTED_VALUE"""),"Pre-seed")</f>
        <v>Pre-seed</v>
      </c>
      <c r="T300" s="6" t="str">
        <f ca="1">IFERROR(__xludf.DUMMYFUNCTION("""COMPUTED_VALUE"""),"Pre-seed")</f>
        <v>Pre-seed</v>
      </c>
      <c r="U300" s="6" t="str">
        <f ca="1">IFERROR(__xludf.DUMMYFUNCTION("""COMPUTED_VALUE"""),"Pre-seed")</f>
        <v>Pre-seed</v>
      </c>
      <c r="V300" s="6"/>
      <c r="W300" s="6" t="str">
        <f ca="1">IFERROR(__xludf.DUMMYFUNCTION("""COMPUTED_VALUE"""),"Invite Next Year")</f>
        <v>Invite Next Year</v>
      </c>
    </row>
    <row r="301" spans="1:23">
      <c r="A301" s="6" t="str">
        <f ca="1">IFERROR(__xludf.DUMMYFUNCTION("""COMPUTED_VALUE"""),"Man")</f>
        <v>Man</v>
      </c>
      <c r="B301" s="6" t="str">
        <f ca="1">IFERROR(__xludf.DUMMYFUNCTION("""COMPUTED_VALUE"""),"SAYA Life _2022")</f>
        <v>SAYA Life _2022</v>
      </c>
      <c r="C301" s="6" t="str">
        <f ca="1">IFERROR(__xludf.DUMMYFUNCTION("""COMPUTED_VALUE"""),"Deep Tech")</f>
        <v>Deep Tech</v>
      </c>
      <c r="D301" s="6" t="str">
        <f ca="1">IFERROR(__xludf.DUMMYFUNCTION("""COMPUTED_VALUE"""),"525 S Hewitt Street, CA 
United States")</f>
        <v>525 S Hewitt Street, CA 
United States</v>
      </c>
      <c r="E301" s="6" t="str">
        <f ca="1">IFERROR(__xludf.DUMMYFUNCTION("""COMPUTED_VALUE"""),"West Coast")</f>
        <v>West Coast</v>
      </c>
      <c r="F301" s="6" t="str">
        <f ca="1">IFERROR(__xludf.DUMMYFUNCTION("""COMPUTED_VALUE"""),"Man")</f>
        <v>Man</v>
      </c>
      <c r="G301" s="6"/>
      <c r="H301" s="6"/>
      <c r="I301" s="6"/>
      <c r="J301" s="6"/>
      <c r="K301" s="6"/>
      <c r="L301" s="6" t="str">
        <f ca="1">IFERROR(__xludf.DUMMYFUNCTION("""COMPUTED_VALUE"""),"No")</f>
        <v>No</v>
      </c>
      <c r="M301" s="6"/>
      <c r="N301" s="6"/>
      <c r="O301" s="6" t="str">
        <f ca="1">IFERROR(__xludf.DUMMYFUNCTION("""COMPUTED_VALUE"""),"Email")</f>
        <v>Email</v>
      </c>
      <c r="P301" s="6"/>
      <c r="Q301" s="6" t="str">
        <f ca="1">IFERROR(__xludf.DUMMYFUNCTION("""COMPUTED_VALUE"""),"No")</f>
        <v>No</v>
      </c>
      <c r="R301" s="6">
        <f ca="1">IFERROR(__xludf.DUMMYFUNCTION("""COMPUTED_VALUE"""),1)</f>
        <v>1</v>
      </c>
      <c r="S301" s="6" t="str">
        <f ca="1">IFERROR(__xludf.DUMMYFUNCTION("""COMPUTED_VALUE"""),"Seed")</f>
        <v>Seed</v>
      </c>
      <c r="T301" s="6" t="str">
        <f ca="1">IFERROR(__xludf.DUMMYFUNCTION("""COMPUTED_VALUE"""),"Seed")</f>
        <v>Seed</v>
      </c>
      <c r="U301" s="6" t="str">
        <f ca="1">IFERROR(__xludf.DUMMYFUNCTION("""COMPUTED_VALUE"""),"Seed")</f>
        <v>Seed</v>
      </c>
      <c r="V301" s="6"/>
      <c r="W301" s="6" t="str">
        <f ca="1">IFERROR(__xludf.DUMMYFUNCTION("""COMPUTED_VALUE"""),"Revisit/ Cluster")</f>
        <v>Revisit/ Cluster</v>
      </c>
    </row>
    <row r="302" spans="1:23">
      <c r="A302" s="6" t="str">
        <f ca="1">IFERROR(__xludf.DUMMYFUNCTION("""COMPUTED_VALUE"""),"Man, Woman, Man")</f>
        <v>Man, Woman, Man</v>
      </c>
      <c r="B302" s="6" t="str">
        <f ca="1">IFERROR(__xludf.DUMMYFUNCTION("""COMPUTED_VALUE"""),"SignPost Cancer Dx Inc. _2022")</f>
        <v>SignPost Cancer Dx Inc. _2022</v>
      </c>
      <c r="C302" s="6" t="str">
        <f ca="1">IFERROR(__xludf.DUMMYFUNCTION("""COMPUTED_VALUE"""),"Life Sciences")</f>
        <v>Life Sciences</v>
      </c>
      <c r="D302" s="6" t="str">
        <f ca="1">IFERROR(__xludf.DUMMYFUNCTION("""COMPUTED_VALUE"""),"Kingston, Ontario 
Canada")</f>
        <v>Kingston, Ontario 
Canada</v>
      </c>
      <c r="E302" s="6" t="str">
        <f ca="1">IFERROR(__xludf.DUMMYFUNCTION("""COMPUTED_VALUE"""),"International - Americas")</f>
        <v>International - Americas</v>
      </c>
      <c r="F302" s="6" t="str">
        <f ca="1">IFERROR(__xludf.DUMMYFUNCTION("""COMPUTED_VALUE"""),"Man")</f>
        <v>Man</v>
      </c>
      <c r="G302" s="6" t="str">
        <f ca="1">IFERROR(__xludf.DUMMYFUNCTION("""COMPUTED_VALUE"""),"Woman")</f>
        <v>Woman</v>
      </c>
      <c r="H302" s="6" t="str">
        <f ca="1">IFERROR(__xludf.DUMMYFUNCTION("""COMPUTED_VALUE"""),"Man")</f>
        <v>Man</v>
      </c>
      <c r="I302" s="6"/>
      <c r="J302" s="6"/>
      <c r="K302" s="6"/>
      <c r="L302" s="6" t="str">
        <f ca="1">IFERROR(__xludf.DUMMYFUNCTION("""COMPUTED_VALUE"""),"No")</f>
        <v>No</v>
      </c>
      <c r="M302" s="6"/>
      <c r="N302" s="6"/>
      <c r="O302" s="6" t="str">
        <f ca="1">IFERROR(__xludf.DUMMYFUNCTION("""COMPUTED_VALUE"""),"Email")</f>
        <v>Email</v>
      </c>
      <c r="P302" s="6"/>
      <c r="Q302" s="6" t="str">
        <f ca="1">IFERROR(__xludf.DUMMYFUNCTION("""COMPUTED_VALUE"""),"Yes")</f>
        <v>Yes</v>
      </c>
      <c r="R302" s="6">
        <f ca="1">IFERROR(__xludf.DUMMYFUNCTION("""COMPUTED_VALUE"""),3)</f>
        <v>3</v>
      </c>
      <c r="S302" s="6" t="str">
        <f ca="1">IFERROR(__xludf.DUMMYFUNCTION("""COMPUTED_VALUE"""),"Seed")</f>
        <v>Seed</v>
      </c>
      <c r="T302" s="6" t="str">
        <f ca="1">IFERROR(__xludf.DUMMYFUNCTION("""COMPUTED_VALUE"""),"Seed")</f>
        <v>Seed</v>
      </c>
      <c r="U302" s="6" t="str">
        <f ca="1">IFERROR(__xludf.DUMMYFUNCTION("""COMPUTED_VALUE"""),"Seed")</f>
        <v>Seed</v>
      </c>
      <c r="V302" s="6"/>
      <c r="W302" s="6" t="str">
        <f ca="1">IFERROR(__xludf.DUMMYFUNCTION("""COMPUTED_VALUE"""),"Invite")</f>
        <v>Invite</v>
      </c>
    </row>
    <row r="303" spans="1:23">
      <c r="A303" s="6" t="str">
        <f ca="1">IFERROR(__xludf.DUMMYFUNCTION("""COMPUTED_VALUE"""),"Man, Man")</f>
        <v>Man, Man</v>
      </c>
      <c r="B303" s="6" t="str">
        <f ca="1">IFERROR(__xludf.DUMMYFUNCTION("""COMPUTED_VALUE"""),"HPC-AI Technology Inc. _2022")</f>
        <v>HPC-AI Technology Inc. _2022</v>
      </c>
      <c r="C303" s="6" t="str">
        <f ca="1">IFERROR(__xludf.DUMMYFUNCTION("""COMPUTED_VALUE"""),"Deep Tech")</f>
        <v>Deep Tech</v>
      </c>
      <c r="D303" s="6" t="str">
        <f ca="1">IFERROR(__xludf.DUMMYFUNCTION("""COMPUTED_VALUE"""),"2 Venture Dr, VISION EXCHANGE, Singapore 
Singapore")</f>
        <v>2 Venture Dr, VISION EXCHANGE, Singapore 
Singapore</v>
      </c>
      <c r="E303" s="6" t="str">
        <f ca="1">IFERROR(__xludf.DUMMYFUNCTION("""COMPUTED_VALUE"""),"International - Asia")</f>
        <v>International - Asia</v>
      </c>
      <c r="F303" s="6" t="str">
        <f ca="1">IFERROR(__xludf.DUMMYFUNCTION("""COMPUTED_VALUE"""),"Man")</f>
        <v>Man</v>
      </c>
      <c r="G303" s="6" t="str">
        <f ca="1">IFERROR(__xludf.DUMMYFUNCTION("""COMPUTED_VALUE"""),"Man")</f>
        <v>Man</v>
      </c>
      <c r="H303" s="6"/>
      <c r="I303" s="6"/>
      <c r="J303" s="6"/>
      <c r="K303" s="6"/>
      <c r="L303" s="6" t="str">
        <f ca="1">IFERROR(__xludf.DUMMYFUNCTION("""COMPUTED_VALUE"""),"Yes")</f>
        <v>Yes</v>
      </c>
      <c r="M303" s="6" t="str">
        <f ca="1">IFERROR(__xludf.DUMMYFUNCTION("""COMPUTED_VALUE"""),"Former NYU Fellow/Faculty/Staff")</f>
        <v>Former NYU Fellow/Faculty/Staff</v>
      </c>
      <c r="N303" s="6"/>
      <c r="O303" s="6" t="str">
        <f ca="1">IFERROR(__xludf.DUMMYFUNCTION("""COMPUTED_VALUE"""),"Email")</f>
        <v>Email</v>
      </c>
      <c r="P303" s="6"/>
      <c r="Q303" s="6" t="str">
        <f ca="1">IFERROR(__xludf.DUMMYFUNCTION("""COMPUTED_VALUE"""),"No")</f>
        <v>No</v>
      </c>
      <c r="R303" s="6">
        <f ca="1">IFERROR(__xludf.DUMMYFUNCTION("""COMPUTED_VALUE"""),2)</f>
        <v>2</v>
      </c>
      <c r="S303" s="6" t="str">
        <f ca="1">IFERROR(__xludf.DUMMYFUNCTION("""COMPUTED_VALUE"""),"Seed")</f>
        <v>Seed</v>
      </c>
      <c r="T303" s="6" t="str">
        <f ca="1">IFERROR(__xludf.DUMMYFUNCTION("""COMPUTED_VALUE"""),"Seed")</f>
        <v>Seed</v>
      </c>
      <c r="U303" s="6" t="str">
        <f ca="1">IFERROR(__xludf.DUMMYFUNCTION("""COMPUTED_VALUE"""),"Seed")</f>
        <v>Seed</v>
      </c>
      <c r="V303" s="6"/>
      <c r="W303" s="6" t="str">
        <f ca="1">IFERROR(__xludf.DUMMYFUNCTION("""COMPUTED_VALUE"""),"Invite")</f>
        <v>Invite</v>
      </c>
    </row>
    <row r="304" spans="1:23">
      <c r="A304" s="6" t="str">
        <f ca="1">IFERROR(__xludf.DUMMYFUNCTION("""COMPUTED_VALUE"""),"Man")</f>
        <v>Man</v>
      </c>
      <c r="B304" s="6" t="str">
        <f ca="1">IFERROR(__xludf.DUMMYFUNCTION("""COMPUTED_VALUE"""),"Kaboodle, Inc. dba BooCooPets _2022")</f>
        <v>Kaboodle, Inc. dba BooCooPets _2022</v>
      </c>
      <c r="C304" s="6" t="str">
        <f ca="1">IFERROR(__xludf.DUMMYFUNCTION("""COMPUTED_VALUE"""),"Digital Tech")</f>
        <v>Digital Tech</v>
      </c>
      <c r="D304" s="6" t="str">
        <f ca="1">IFERROR(__xludf.DUMMYFUNCTION("""COMPUTED_VALUE"""),"San Mateo, California 
United States")</f>
        <v>San Mateo, California 
United States</v>
      </c>
      <c r="E304" s="6" t="str">
        <f ca="1">IFERROR(__xludf.DUMMYFUNCTION("""COMPUTED_VALUE"""),"West Coast")</f>
        <v>West Coast</v>
      </c>
      <c r="F304" s="6" t="str">
        <f ca="1">IFERROR(__xludf.DUMMYFUNCTION("""COMPUTED_VALUE"""),"Man")</f>
        <v>Man</v>
      </c>
      <c r="G304" s="6"/>
      <c r="H304" s="6"/>
      <c r="I304" s="6"/>
      <c r="J304" s="6"/>
      <c r="K304" s="6"/>
      <c r="L304" s="6" t="str">
        <f ca="1">IFERROR(__xludf.DUMMYFUNCTION("""COMPUTED_VALUE"""),"--Please select--")</f>
        <v>--Please select--</v>
      </c>
      <c r="M304" s="6"/>
      <c r="N304" s="6"/>
      <c r="O304" s="6" t="str">
        <f ca="1">IFERROR(__xludf.DUMMYFUNCTION("""COMPUTED_VALUE"""),"Email")</f>
        <v>Email</v>
      </c>
      <c r="P304" s="6"/>
      <c r="Q304" s="6" t="str">
        <f ca="1">IFERROR(__xludf.DUMMYFUNCTION("""COMPUTED_VALUE"""),"No")</f>
        <v>No</v>
      </c>
      <c r="R304" s="6">
        <f ca="1">IFERROR(__xludf.DUMMYFUNCTION("""COMPUTED_VALUE"""),1)</f>
        <v>1</v>
      </c>
      <c r="S304" s="6" t="str">
        <f ca="1">IFERROR(__xludf.DUMMYFUNCTION("""COMPUTED_VALUE"""),"Pre-seed")</f>
        <v>Pre-seed</v>
      </c>
      <c r="T304" s="6" t="str">
        <f ca="1">IFERROR(__xludf.DUMMYFUNCTION("""COMPUTED_VALUE"""),"Pre-seed")</f>
        <v>Pre-seed</v>
      </c>
      <c r="U304" s="6" t="str">
        <f ca="1">IFERROR(__xludf.DUMMYFUNCTION("""COMPUTED_VALUE"""),"Pre-seed")</f>
        <v>Pre-seed</v>
      </c>
      <c r="V304" s="6"/>
      <c r="W304" s="6" t="str">
        <f ca="1">IFERROR(__xludf.DUMMYFUNCTION("""COMPUTED_VALUE"""),"Invite Next Year")</f>
        <v>Invite Next Year</v>
      </c>
    </row>
    <row r="305" spans="1:23">
      <c r="A305" s="6" t="str">
        <f ca="1">IFERROR(__xludf.DUMMYFUNCTION("""COMPUTED_VALUE"""),"Man, Man, Woman")</f>
        <v>Man, Man, Woman</v>
      </c>
      <c r="B305" s="6" t="str">
        <f ca="1">IFERROR(__xludf.DUMMYFUNCTION("""COMPUTED_VALUE"""),"Keyper _2022")</f>
        <v>Keyper _2022</v>
      </c>
      <c r="C305" s="6" t="str">
        <f ca="1">IFERROR(__xludf.DUMMYFUNCTION("""COMPUTED_VALUE"""),"Digital Tech")</f>
        <v>Digital Tech</v>
      </c>
      <c r="D305" s="6" t="str">
        <f ca="1">IFERROR(__xludf.DUMMYFUNCTION("""COMPUTED_VALUE"""),"Dubai, Dubai 
United Arab Emirates")</f>
        <v>Dubai, Dubai 
United Arab Emirates</v>
      </c>
      <c r="E305" s="6" t="str">
        <f ca="1">IFERROR(__xludf.DUMMYFUNCTION("""COMPUTED_VALUE"""),"International - Middle East")</f>
        <v>International - Middle East</v>
      </c>
      <c r="F305" s="6" t="str">
        <f ca="1">IFERROR(__xludf.DUMMYFUNCTION("""COMPUTED_VALUE"""),"Man")</f>
        <v>Man</v>
      </c>
      <c r="G305" s="6" t="str">
        <f ca="1">IFERROR(__xludf.DUMMYFUNCTION("""COMPUTED_VALUE"""),"Man")</f>
        <v>Man</v>
      </c>
      <c r="H305" s="6" t="str">
        <f ca="1">IFERROR(__xludf.DUMMYFUNCTION("""COMPUTED_VALUE"""),"Woman")</f>
        <v>Woman</v>
      </c>
      <c r="I305" s="6"/>
      <c r="J305" s="6"/>
      <c r="K305" s="6"/>
      <c r="L305" s="6" t="str">
        <f ca="1">IFERROR(__xludf.DUMMYFUNCTION("""COMPUTED_VALUE"""),"--Please select--")</f>
        <v>--Please select--</v>
      </c>
      <c r="M305" s="6"/>
      <c r="N305" s="6"/>
      <c r="O305" s="6" t="str">
        <f ca="1">IFERROR(__xludf.DUMMYFUNCTION("""COMPUTED_VALUE"""),"Referral")</f>
        <v>Referral</v>
      </c>
      <c r="P305" s="6"/>
      <c r="Q305" s="6" t="str">
        <f ca="1">IFERROR(__xludf.DUMMYFUNCTION("""COMPUTED_VALUE"""),"No")</f>
        <v>No</v>
      </c>
      <c r="R305" s="6">
        <f ca="1">IFERROR(__xludf.DUMMYFUNCTION("""COMPUTED_VALUE"""),3)</f>
        <v>3</v>
      </c>
      <c r="S305" s="6" t="str">
        <f ca="1">IFERROR(__xludf.DUMMYFUNCTION("""COMPUTED_VALUE"""),"Pre-seed")</f>
        <v>Pre-seed</v>
      </c>
      <c r="T305" s="6" t="str">
        <f ca="1">IFERROR(__xludf.DUMMYFUNCTION("""COMPUTED_VALUE"""),"Pre-seed")</f>
        <v>Pre-seed</v>
      </c>
      <c r="U305" s="6" t="str">
        <f ca="1">IFERROR(__xludf.DUMMYFUNCTION("""COMPUTED_VALUE"""),"Pre-seed")</f>
        <v>Pre-seed</v>
      </c>
      <c r="V305" s="6"/>
      <c r="W305" s="6" t="str">
        <f ca="1">IFERROR(__xludf.DUMMYFUNCTION("""COMPUTED_VALUE"""),"Invite Next Year")</f>
        <v>Invite Next Year</v>
      </c>
    </row>
    <row r="306" spans="1:23">
      <c r="A306" s="6" t="str">
        <f ca="1">IFERROR(__xludf.DUMMYFUNCTION("""COMPUTED_VALUE"""),"Man, Man")</f>
        <v>Man, Man</v>
      </c>
      <c r="B306" s="6" t="str">
        <f ca="1">IFERROR(__xludf.DUMMYFUNCTION("""COMPUTED_VALUE"""),"LuftCar LLC _2022")</f>
        <v>LuftCar LLC _2022</v>
      </c>
      <c r="C306" s="6" t="str">
        <f ca="1">IFERROR(__xludf.DUMMYFUNCTION("""COMPUTED_VALUE"""),"Deep Tech")</f>
        <v>Deep Tech</v>
      </c>
      <c r="D306" s="6" t="str">
        <f ca="1">IFERROR(__xludf.DUMMYFUNCTION("""COMPUTED_VALUE"""),"12001 Research Parkway Suite 236, Orlando, FL 
United States")</f>
        <v>12001 Research Parkway Suite 236, Orlando, FL 
United States</v>
      </c>
      <c r="E306" s="6" t="str">
        <f ca="1">IFERROR(__xludf.DUMMYFUNCTION("""COMPUTED_VALUE"""),"East Coast")</f>
        <v>East Coast</v>
      </c>
      <c r="F306" s="6" t="str">
        <f ca="1">IFERROR(__xludf.DUMMYFUNCTION("""COMPUTED_VALUE"""),"Man")</f>
        <v>Man</v>
      </c>
      <c r="G306" s="6" t="str">
        <f ca="1">IFERROR(__xludf.DUMMYFUNCTION("""COMPUTED_VALUE"""),"Man")</f>
        <v>Man</v>
      </c>
      <c r="H306" s="6"/>
      <c r="I306" s="6"/>
      <c r="J306" s="6"/>
      <c r="K306" s="6"/>
      <c r="L306" s="6" t="str">
        <f ca="1">IFERROR(__xludf.DUMMYFUNCTION("""COMPUTED_VALUE"""),"No")</f>
        <v>No</v>
      </c>
      <c r="M306" s="6"/>
      <c r="N306" s="6"/>
      <c r="O306" s="6" t="str">
        <f ca="1">IFERROR(__xludf.DUMMYFUNCTION("""COMPUTED_VALUE"""),"Referral")</f>
        <v>Referral</v>
      </c>
      <c r="P306" s="6"/>
      <c r="Q306" s="6" t="str">
        <f ca="1">IFERROR(__xludf.DUMMYFUNCTION("""COMPUTED_VALUE"""),"No")</f>
        <v>No</v>
      </c>
      <c r="R306" s="6">
        <f ca="1">IFERROR(__xludf.DUMMYFUNCTION("""COMPUTED_VALUE"""),2)</f>
        <v>2</v>
      </c>
      <c r="S306" s="6" t="str">
        <f ca="1">IFERROR(__xludf.DUMMYFUNCTION("""COMPUTED_VALUE"""),"Pre-seed
Seed")</f>
        <v>Pre-seed
Seed</v>
      </c>
      <c r="T306" s="6" t="str">
        <f ca="1">IFERROR(__xludf.DUMMYFUNCTION("""COMPUTED_VALUE"""),"Pre-seed, Seed")</f>
        <v>Pre-seed, Seed</v>
      </c>
      <c r="U306" s="6" t="str">
        <f ca="1">IFERROR(__xludf.DUMMYFUNCTION("""COMPUTED_VALUE"""),"Pre-seed, Seed")</f>
        <v>Pre-seed, Seed</v>
      </c>
      <c r="V306" s="6"/>
      <c r="W306" s="6" t="str">
        <f ca="1">IFERROR(__xludf.DUMMYFUNCTION("""COMPUTED_VALUE"""),"Invite")</f>
        <v>Invite</v>
      </c>
    </row>
    <row r="307" spans="1:23">
      <c r="A307" s="6" t="str">
        <f ca="1">IFERROR(__xludf.DUMMYFUNCTION("""COMPUTED_VALUE"""),"Man")</f>
        <v>Man</v>
      </c>
      <c r="B307" s="6" t="str">
        <f ca="1">IFERROR(__xludf.DUMMYFUNCTION("""COMPUTED_VALUE"""),"Magic Valley _2022")</f>
        <v>Magic Valley _2022</v>
      </c>
      <c r="C307" s="6" t="str">
        <f ca="1">IFERROR(__xludf.DUMMYFUNCTION("""COMPUTED_VALUE"""),"Deep Tech")</f>
        <v>Deep Tech</v>
      </c>
      <c r="D307" s="6" t="str">
        <f ca="1">IFERROR(__xludf.DUMMYFUNCTION("""COMPUTED_VALUE"""),"Melbourne, Victoria 
Australia")</f>
        <v>Melbourne, Victoria 
Australia</v>
      </c>
      <c r="E307" s="6" t="str">
        <f ca="1">IFERROR(__xludf.DUMMYFUNCTION("""COMPUTED_VALUE"""),"International - Other")</f>
        <v>International - Other</v>
      </c>
      <c r="F307" s="6" t="str">
        <f ca="1">IFERROR(__xludf.DUMMYFUNCTION("""COMPUTED_VALUE"""),"Man")</f>
        <v>Man</v>
      </c>
      <c r="G307" s="6"/>
      <c r="H307" s="6"/>
      <c r="I307" s="6"/>
      <c r="J307" s="6"/>
      <c r="K307" s="6"/>
      <c r="L307" s="6" t="str">
        <f ca="1">IFERROR(__xludf.DUMMYFUNCTION("""COMPUTED_VALUE"""),"No")</f>
        <v>No</v>
      </c>
      <c r="M307" s="6"/>
      <c r="N307" s="6"/>
      <c r="O307" s="6" t="str">
        <f ca="1">IFERROR(__xludf.DUMMYFUNCTION("""COMPUTED_VALUE"""),"Email")</f>
        <v>Email</v>
      </c>
      <c r="P307" s="6"/>
      <c r="Q307" s="6" t="str">
        <f ca="1">IFERROR(__xludf.DUMMYFUNCTION("""COMPUTED_VALUE"""),"Yes")</f>
        <v>Yes</v>
      </c>
      <c r="R307" s="6">
        <f ca="1">IFERROR(__xludf.DUMMYFUNCTION("""COMPUTED_VALUE"""),1)</f>
        <v>1</v>
      </c>
      <c r="S307" s="6" t="str">
        <f ca="1">IFERROR(__xludf.DUMMYFUNCTION("""COMPUTED_VALUE"""),"Pre-seed")</f>
        <v>Pre-seed</v>
      </c>
      <c r="T307" s="6" t="str">
        <f ca="1">IFERROR(__xludf.DUMMYFUNCTION("""COMPUTED_VALUE"""),"Pre-seed")</f>
        <v>Pre-seed</v>
      </c>
      <c r="U307" s="6" t="str">
        <f ca="1">IFERROR(__xludf.DUMMYFUNCTION("""COMPUTED_VALUE"""),"Pre-seed")</f>
        <v>Pre-seed</v>
      </c>
      <c r="V307" s="6"/>
      <c r="W307" s="6" t="str">
        <f ca="1">IFERROR(__xludf.DUMMYFUNCTION("""COMPUTED_VALUE"""),"Invite Next Year")</f>
        <v>Invite Next Year</v>
      </c>
    </row>
    <row r="308" spans="1:23">
      <c r="A308" s="6" t="str">
        <f ca="1">IFERROR(__xludf.DUMMYFUNCTION("""COMPUTED_VALUE"""),"Man, Man")</f>
        <v>Man, Man</v>
      </c>
      <c r="B308" s="6" t="str">
        <f ca="1">IFERROR(__xludf.DUMMYFUNCTION("""COMPUTED_VALUE"""),"My Greens 2021 SL _2022")</f>
        <v>My Greens 2021 SL _2022</v>
      </c>
      <c r="C308" s="6" t="str">
        <f ca="1">IFERROR(__xludf.DUMMYFUNCTION("""COMPUTED_VALUE"""),"Life Sciences")</f>
        <v>Life Sciences</v>
      </c>
      <c r="D308" s="6" t="str">
        <f ca="1">IFERROR(__xludf.DUMMYFUNCTION("""COMPUTED_VALUE"""),"Calle Felicidad 9, Pizarra 
Spain")</f>
        <v>Calle Felicidad 9, Pizarra 
Spain</v>
      </c>
      <c r="E308" s="6" t="str">
        <f ca="1">IFERROR(__xludf.DUMMYFUNCTION("""COMPUTED_VALUE"""),"International - Europe")</f>
        <v>International - Europe</v>
      </c>
      <c r="F308" s="6" t="str">
        <f ca="1">IFERROR(__xludf.DUMMYFUNCTION("""COMPUTED_VALUE"""),"Man")</f>
        <v>Man</v>
      </c>
      <c r="G308" s="6" t="str">
        <f ca="1">IFERROR(__xludf.DUMMYFUNCTION("""COMPUTED_VALUE"""),"Man")</f>
        <v>Man</v>
      </c>
      <c r="H308" s="6"/>
      <c r="I308" s="6"/>
      <c r="J308" s="6"/>
      <c r="K308" s="6"/>
      <c r="L308" s="6" t="str">
        <f ca="1">IFERROR(__xludf.DUMMYFUNCTION("""COMPUTED_VALUE"""),"--Please select--")</f>
        <v>--Please select--</v>
      </c>
      <c r="M308" s="6"/>
      <c r="N308" s="6"/>
      <c r="O308" s="6" t="str">
        <f ca="1">IFERROR(__xludf.DUMMYFUNCTION("""COMPUTED_VALUE"""),"Email")</f>
        <v>Email</v>
      </c>
      <c r="P308" s="6"/>
      <c r="Q308" s="6" t="str">
        <f ca="1">IFERROR(__xludf.DUMMYFUNCTION("""COMPUTED_VALUE"""),"No")</f>
        <v>No</v>
      </c>
      <c r="R308" s="6">
        <f ca="1">IFERROR(__xludf.DUMMYFUNCTION("""COMPUTED_VALUE"""),2)</f>
        <v>2</v>
      </c>
      <c r="S308" s="6" t="str">
        <f ca="1">IFERROR(__xludf.DUMMYFUNCTION("""COMPUTED_VALUE"""),"Pre-seed
Seed")</f>
        <v>Pre-seed
Seed</v>
      </c>
      <c r="T308" s="6" t="str">
        <f ca="1">IFERROR(__xludf.DUMMYFUNCTION("""COMPUTED_VALUE"""),"Pre-seed, Seed")</f>
        <v>Pre-seed, Seed</v>
      </c>
      <c r="U308" s="6" t="str">
        <f ca="1">IFERROR(__xludf.DUMMYFUNCTION("""COMPUTED_VALUE"""),"Pre-seed, Seed")</f>
        <v>Pre-seed, Seed</v>
      </c>
      <c r="V308" s="6"/>
      <c r="W308" s="6" t="str">
        <f ca="1">IFERROR(__xludf.DUMMYFUNCTION("""COMPUTED_VALUE"""),"Invite Next Year")</f>
        <v>Invite Next Year</v>
      </c>
    </row>
    <row r="309" spans="1:23">
      <c r="A309" s="6" t="str">
        <f ca="1">IFERROR(__xludf.DUMMYFUNCTION("""COMPUTED_VALUE"""),"Woman")</f>
        <v>Woman</v>
      </c>
      <c r="B309" s="6" t="str">
        <f ca="1">IFERROR(__xludf.DUMMYFUNCTION("""COMPUTED_VALUE"""),"Peep _2022")</f>
        <v>Peep _2022</v>
      </c>
      <c r="C309" s="6" t="str">
        <f ca="1">IFERROR(__xludf.DUMMYFUNCTION("""COMPUTED_VALUE"""),"Deep Tech")</f>
        <v>Deep Tech</v>
      </c>
      <c r="D309" s="6" t="str">
        <f ca="1">IFERROR(__xludf.DUMMYFUNCTION("""COMPUTED_VALUE"""),"5135 Reeder Street Apt 512, NY 
United States")</f>
        <v>5135 Reeder Street Apt 512, NY 
United States</v>
      </c>
      <c r="E309" s="6" t="str">
        <f ca="1">IFERROR(__xludf.DUMMYFUNCTION("""COMPUTED_VALUE"""),"New York")</f>
        <v>New York</v>
      </c>
      <c r="F309" s="6" t="str">
        <f ca="1">IFERROR(__xludf.DUMMYFUNCTION("""COMPUTED_VALUE"""),"Woman")</f>
        <v>Woman</v>
      </c>
      <c r="G309" s="6"/>
      <c r="H309" s="6"/>
      <c r="I309" s="6"/>
      <c r="J309" s="6"/>
      <c r="K309" s="6"/>
      <c r="L309" s="6" t="str">
        <f ca="1">IFERROR(__xludf.DUMMYFUNCTION("""COMPUTED_VALUE"""),"No")</f>
        <v>No</v>
      </c>
      <c r="M309" s="6"/>
      <c r="N309" s="6"/>
      <c r="O309" s="6" t="str">
        <f ca="1">IFERROR(__xludf.DUMMYFUNCTION("""COMPUTED_VALUE"""),"Search Engine")</f>
        <v>Search Engine</v>
      </c>
      <c r="P309" s="6"/>
      <c r="Q309" s="6" t="str">
        <f ca="1">IFERROR(__xludf.DUMMYFUNCTION("""COMPUTED_VALUE"""),"No")</f>
        <v>No</v>
      </c>
      <c r="R309" s="6">
        <f ca="1">IFERROR(__xludf.DUMMYFUNCTION("""COMPUTED_VALUE"""),1)</f>
        <v>1</v>
      </c>
      <c r="S309" s="6" t="str">
        <f ca="1">IFERROR(__xludf.DUMMYFUNCTION("""COMPUTED_VALUE"""),"None")</f>
        <v>None</v>
      </c>
      <c r="T309" s="6" t="str">
        <f ca="1">IFERROR(__xludf.DUMMYFUNCTION("""COMPUTED_VALUE"""),"None")</f>
        <v>None</v>
      </c>
      <c r="U309" s="6" t="str">
        <f ca="1">IFERROR(__xludf.DUMMYFUNCTION("""COMPUTED_VALUE"""),"None")</f>
        <v>None</v>
      </c>
      <c r="V309" s="6"/>
      <c r="W309" s="6" t="str">
        <f ca="1">IFERROR(__xludf.DUMMYFUNCTION("""COMPUTED_VALUE"""),"Invite Next Year")</f>
        <v>Invite Next Year</v>
      </c>
    </row>
    <row r="310" spans="1:23">
      <c r="A310" s="6" t="str">
        <f ca="1">IFERROR(__xludf.DUMMYFUNCTION("""COMPUTED_VALUE"""),"Woman")</f>
        <v>Woman</v>
      </c>
      <c r="B310" s="6" t="str">
        <f ca="1">IFERROR(__xludf.DUMMYFUNCTION("""COMPUTED_VALUE"""),"Littlebird Connected Care _2022")</f>
        <v>Littlebird Connected Care _2022</v>
      </c>
      <c r="C310" s="6" t="str">
        <f ca="1">IFERROR(__xludf.DUMMYFUNCTION("""COMPUTED_VALUE"""),"Digital Tech")</f>
        <v>Digital Tech</v>
      </c>
      <c r="D310" s="6" t="str">
        <f ca="1">IFERROR(__xludf.DUMMYFUNCTION("""COMPUTED_VALUE"""),"1201 3rd Ave, suite 4900 Attn: M. Avent, WA 
United States")</f>
        <v>1201 3rd Ave, suite 4900 Attn: M. Avent, WA 
United States</v>
      </c>
      <c r="E310" s="6" t="str">
        <f ca="1">IFERROR(__xludf.DUMMYFUNCTION("""COMPUTED_VALUE"""),"West Coast")</f>
        <v>West Coast</v>
      </c>
      <c r="F310" s="6" t="str">
        <f ca="1">IFERROR(__xludf.DUMMYFUNCTION("""COMPUTED_VALUE"""),"Woman")</f>
        <v>Woman</v>
      </c>
      <c r="G310" s="6"/>
      <c r="H310" s="6"/>
      <c r="I310" s="6"/>
      <c r="J310" s="6"/>
      <c r="K310" s="6"/>
      <c r="L310" s="6" t="str">
        <f ca="1">IFERROR(__xludf.DUMMYFUNCTION("""COMPUTED_VALUE"""),"--Please select--")</f>
        <v>--Please select--</v>
      </c>
      <c r="M310" s="6"/>
      <c r="N310" s="6"/>
      <c r="O310" s="6" t="str">
        <f ca="1">IFERROR(__xludf.DUMMYFUNCTION("""COMPUTED_VALUE"""),"Email")</f>
        <v>Email</v>
      </c>
      <c r="P310" s="6"/>
      <c r="Q310" s="6" t="str">
        <f ca="1">IFERROR(__xludf.DUMMYFUNCTION("""COMPUTED_VALUE"""),"No")</f>
        <v>No</v>
      </c>
      <c r="R310" s="6">
        <f ca="1">IFERROR(__xludf.DUMMYFUNCTION("""COMPUTED_VALUE"""),1)</f>
        <v>1</v>
      </c>
      <c r="S310" s="6" t="str">
        <f ca="1">IFERROR(__xludf.DUMMYFUNCTION("""COMPUTED_VALUE"""),"Pre-seed")</f>
        <v>Pre-seed</v>
      </c>
      <c r="T310" s="6" t="str">
        <f ca="1">IFERROR(__xludf.DUMMYFUNCTION("""COMPUTED_VALUE"""),"Pre-seed")</f>
        <v>Pre-seed</v>
      </c>
      <c r="U310" s="6" t="str">
        <f ca="1">IFERROR(__xludf.DUMMYFUNCTION("""COMPUTED_VALUE"""),"Pre-seed")</f>
        <v>Pre-seed</v>
      </c>
      <c r="V310" s="6"/>
      <c r="W310" s="6" t="str">
        <f ca="1">IFERROR(__xludf.DUMMYFUNCTION("""COMPUTED_VALUE"""),"Invite Next Year")</f>
        <v>Invite Next Year</v>
      </c>
    </row>
    <row r="311" spans="1:23">
      <c r="A311" s="6" t="str">
        <f ca="1">IFERROR(__xludf.DUMMYFUNCTION("""COMPUTED_VALUE"""),"Man, Woman, Man, Man")</f>
        <v>Man, Woman, Man, Man</v>
      </c>
      <c r="B311" s="6" t="str">
        <f ca="1">IFERROR(__xludf.DUMMYFUNCTION("""COMPUTED_VALUE"""),"BintanGO _2022")</f>
        <v>BintanGO _2022</v>
      </c>
      <c r="C311" s="6" t="str">
        <f ca="1">IFERROR(__xludf.DUMMYFUNCTION("""COMPUTED_VALUE"""),"Digital Tech")</f>
        <v>Digital Tech</v>
      </c>
      <c r="D311" s="6" t="str">
        <f ca="1">IFERROR(__xludf.DUMMYFUNCTION("""COMPUTED_VALUE"""),"PT. Stargo Digital Indonesia, Cyber2 Tower, Jl. H. R. Rasuna Said No.13, RT.7/RW.2, Kuningan, Kuningan Tim., Kecamatan Setiabudi, Kota Jakarta Selatan, Daerah Khusus Ibukota Jakarta 12950, Jakarta 
Indonesia")</f>
        <v>PT. Stargo Digital Indonesia, Cyber2 Tower, Jl. H. R. Rasuna Said No.13, RT.7/RW.2, Kuningan, Kuningan Tim., Kecamatan Setiabudi, Kota Jakarta Selatan, Daerah Khusus Ibukota Jakarta 12950, Jakarta 
Indonesia</v>
      </c>
      <c r="E311" s="6" t="str">
        <f ca="1">IFERROR(__xludf.DUMMYFUNCTION("""COMPUTED_VALUE"""),"International - Asia")</f>
        <v>International - Asia</v>
      </c>
      <c r="F311" s="6" t="str">
        <f ca="1">IFERROR(__xludf.DUMMYFUNCTION("""COMPUTED_VALUE"""),"Man")</f>
        <v>Man</v>
      </c>
      <c r="G311" s="6" t="str">
        <f ca="1">IFERROR(__xludf.DUMMYFUNCTION("""COMPUTED_VALUE"""),"Woman")</f>
        <v>Woman</v>
      </c>
      <c r="H311" s="6" t="str">
        <f ca="1">IFERROR(__xludf.DUMMYFUNCTION("""COMPUTED_VALUE"""),"Man")</f>
        <v>Man</v>
      </c>
      <c r="I311" s="6" t="str">
        <f ca="1">IFERROR(__xludf.DUMMYFUNCTION("""COMPUTED_VALUE"""),"Man")</f>
        <v>Man</v>
      </c>
      <c r="J311" s="6"/>
      <c r="K311" s="6"/>
      <c r="L311" s="6" t="str">
        <f ca="1">IFERROR(__xludf.DUMMYFUNCTION("""COMPUTED_VALUE"""),"No")</f>
        <v>No</v>
      </c>
      <c r="M311" s="6"/>
      <c r="N311" s="6"/>
      <c r="O311" s="6" t="str">
        <f ca="1">IFERROR(__xludf.DUMMYFUNCTION("""COMPUTED_VALUE"""),"Email")</f>
        <v>Email</v>
      </c>
      <c r="P311" s="6"/>
      <c r="Q311" s="6" t="str">
        <f ca="1">IFERROR(__xludf.DUMMYFUNCTION("""COMPUTED_VALUE"""),"No")</f>
        <v>No</v>
      </c>
      <c r="R311" s="6">
        <f ca="1">IFERROR(__xludf.DUMMYFUNCTION("""COMPUTED_VALUE"""),4)</f>
        <v>4</v>
      </c>
      <c r="S311" s="6" t="str">
        <f ca="1">IFERROR(__xludf.DUMMYFUNCTION("""COMPUTED_VALUE"""),"Seed")</f>
        <v>Seed</v>
      </c>
      <c r="T311" s="6" t="str">
        <f ca="1">IFERROR(__xludf.DUMMYFUNCTION("""COMPUTED_VALUE"""),"Seed")</f>
        <v>Seed</v>
      </c>
      <c r="U311" s="6" t="str">
        <f ca="1">IFERROR(__xludf.DUMMYFUNCTION("""COMPUTED_VALUE"""),"Seed")</f>
        <v>Seed</v>
      </c>
      <c r="V311" s="6"/>
      <c r="W311" s="6" t="str">
        <f ca="1">IFERROR(__xludf.DUMMYFUNCTION("""COMPUTED_VALUE"""),"Invite")</f>
        <v>Invite</v>
      </c>
    </row>
    <row r="312" spans="1:23">
      <c r="A312" s="6" t="str">
        <f ca="1">IFERROR(__xludf.DUMMYFUNCTION("""COMPUTED_VALUE"""),"Man, Man, Man, Man, Man")</f>
        <v>Man, Man, Man, Man, Man</v>
      </c>
      <c r="B312" s="6" t="str">
        <f ca="1">IFERROR(__xludf.DUMMYFUNCTION("""COMPUTED_VALUE"""),"Bilayer Therapeutics _2022")</f>
        <v>Bilayer Therapeutics _2022</v>
      </c>
      <c r="C312" s="6" t="str">
        <f ca="1">IFERROR(__xludf.DUMMYFUNCTION("""COMPUTED_VALUE"""),"Life Sciences")</f>
        <v>Life Sciences</v>
      </c>
      <c r="D312" s="6" t="str">
        <f ca="1">IFERROR(__xludf.DUMMYFUNCTION("""COMPUTED_VALUE"""),"Cambridge, MA 
United States")</f>
        <v>Cambridge, MA 
United States</v>
      </c>
      <c r="E312" s="6" t="str">
        <f ca="1">IFERROR(__xludf.DUMMYFUNCTION("""COMPUTED_VALUE"""),"East Coast")</f>
        <v>East Coast</v>
      </c>
      <c r="F312" s="6" t="str">
        <f ca="1">IFERROR(__xludf.DUMMYFUNCTION("""COMPUTED_VALUE"""),"Man")</f>
        <v>Man</v>
      </c>
      <c r="G312" s="6" t="str">
        <f ca="1">IFERROR(__xludf.DUMMYFUNCTION("""COMPUTED_VALUE"""),"Man")</f>
        <v>Man</v>
      </c>
      <c r="H312" s="6" t="str">
        <f ca="1">IFERROR(__xludf.DUMMYFUNCTION("""COMPUTED_VALUE"""),"Man")</f>
        <v>Man</v>
      </c>
      <c r="I312" s="6" t="str">
        <f ca="1">IFERROR(__xludf.DUMMYFUNCTION("""COMPUTED_VALUE"""),"Man")</f>
        <v>Man</v>
      </c>
      <c r="J312" s="6" t="str">
        <f ca="1">IFERROR(__xludf.DUMMYFUNCTION("""COMPUTED_VALUE"""),"Man")</f>
        <v>Man</v>
      </c>
      <c r="K312" s="6"/>
      <c r="L312" s="6" t="str">
        <f ca="1">IFERROR(__xludf.DUMMYFUNCTION("""COMPUTED_VALUE"""),"No")</f>
        <v>No</v>
      </c>
      <c r="M312" s="6"/>
      <c r="N312" s="6"/>
      <c r="O312" s="6" t="str">
        <f ca="1">IFERROR(__xludf.DUMMYFUNCTION("""COMPUTED_VALUE"""),"Conference")</f>
        <v>Conference</v>
      </c>
      <c r="P312" s="6"/>
      <c r="Q312" s="6" t="str">
        <f ca="1">IFERROR(__xludf.DUMMYFUNCTION("""COMPUTED_VALUE"""),"Yes")</f>
        <v>Yes</v>
      </c>
      <c r="R312" s="6">
        <f ca="1">IFERROR(__xludf.DUMMYFUNCTION("""COMPUTED_VALUE"""),5)</f>
        <v>5</v>
      </c>
      <c r="S312" s="6" t="str">
        <f ca="1">IFERROR(__xludf.DUMMYFUNCTION("""COMPUTED_VALUE"""),"Seed")</f>
        <v>Seed</v>
      </c>
      <c r="T312" s="6" t="str">
        <f ca="1">IFERROR(__xludf.DUMMYFUNCTION("""COMPUTED_VALUE"""),"Seed")</f>
        <v>Seed</v>
      </c>
      <c r="U312" s="6" t="str">
        <f ca="1">IFERROR(__xludf.DUMMYFUNCTION("""COMPUTED_VALUE"""),"Seed")</f>
        <v>Seed</v>
      </c>
      <c r="V312" s="6"/>
      <c r="W312" s="6" t="str">
        <f ca="1">IFERROR(__xludf.DUMMYFUNCTION("""COMPUTED_VALUE"""),"Invite")</f>
        <v>Invite</v>
      </c>
    </row>
    <row r="313" spans="1:23">
      <c r="A313" s="6" t="str">
        <f ca="1">IFERROR(__xludf.DUMMYFUNCTION("""COMPUTED_VALUE"""),"Man, Man")</f>
        <v>Man, Man</v>
      </c>
      <c r="B313" s="6" t="str">
        <f ca="1">IFERROR(__xludf.DUMMYFUNCTION("""COMPUTED_VALUE"""),"Cara7 _2022")</f>
        <v>Cara7 _2022</v>
      </c>
      <c r="C313" s="6" t="str">
        <f ca="1">IFERROR(__xludf.DUMMYFUNCTION("""COMPUTED_VALUE"""),"Digital Tech")</f>
        <v>Digital Tech</v>
      </c>
      <c r="D313" s="6" t="str">
        <f ca="1">IFERROR(__xludf.DUMMYFUNCTION("""COMPUTED_VALUE"""),"2 bis, avenue de SEGUR 75007 PARIS, Île-de-France 
France")</f>
        <v>2 bis, avenue de SEGUR 75007 PARIS, Île-de-France 
France</v>
      </c>
      <c r="E313" s="6" t="str">
        <f ca="1">IFERROR(__xludf.DUMMYFUNCTION("""COMPUTED_VALUE"""),"International - Europe")</f>
        <v>International - Europe</v>
      </c>
      <c r="F313" s="6" t="str">
        <f ca="1">IFERROR(__xludf.DUMMYFUNCTION("""COMPUTED_VALUE"""),"Man")</f>
        <v>Man</v>
      </c>
      <c r="G313" s="6" t="str">
        <f ca="1">IFERROR(__xludf.DUMMYFUNCTION("""COMPUTED_VALUE"""),"Man")</f>
        <v>Man</v>
      </c>
      <c r="H313" s="6"/>
      <c r="I313" s="6"/>
      <c r="J313" s="6"/>
      <c r="K313" s="6"/>
      <c r="L313" s="6" t="str">
        <f ca="1">IFERROR(__xludf.DUMMYFUNCTION("""COMPUTED_VALUE"""),"No")</f>
        <v>No</v>
      </c>
      <c r="M313" s="6"/>
      <c r="N313" s="6"/>
      <c r="O313" s="6" t="str">
        <f ca="1">IFERROR(__xludf.DUMMYFUNCTION("""COMPUTED_VALUE"""),"Email")</f>
        <v>Email</v>
      </c>
      <c r="P313" s="6"/>
      <c r="Q313" s="6" t="str">
        <f ca="1">IFERROR(__xludf.DUMMYFUNCTION("""COMPUTED_VALUE"""),"No")</f>
        <v>No</v>
      </c>
      <c r="R313" s="6">
        <f ca="1">IFERROR(__xludf.DUMMYFUNCTION("""COMPUTED_VALUE"""),2)</f>
        <v>2</v>
      </c>
      <c r="S313" s="6" t="str">
        <f ca="1">IFERROR(__xludf.DUMMYFUNCTION("""COMPUTED_VALUE"""),"Pre-seed")</f>
        <v>Pre-seed</v>
      </c>
      <c r="T313" s="6" t="str">
        <f ca="1">IFERROR(__xludf.DUMMYFUNCTION("""COMPUTED_VALUE"""),"Pre-seed")</f>
        <v>Pre-seed</v>
      </c>
      <c r="U313" s="6" t="str">
        <f ca="1">IFERROR(__xludf.DUMMYFUNCTION("""COMPUTED_VALUE"""),"Pre-seed")</f>
        <v>Pre-seed</v>
      </c>
      <c r="V313" s="6"/>
      <c r="W313" s="6" t="str">
        <f ca="1">IFERROR(__xludf.DUMMYFUNCTION("""COMPUTED_VALUE"""),"Invite Next Year")</f>
        <v>Invite Next Year</v>
      </c>
    </row>
    <row r="314" spans="1:23">
      <c r="A314" s="6" t="str">
        <f ca="1">IFERROR(__xludf.DUMMYFUNCTION("""COMPUTED_VALUE"""),"Man, Man")</f>
        <v>Man, Man</v>
      </c>
      <c r="B314" s="6" t="str">
        <f ca="1">IFERROR(__xludf.DUMMYFUNCTION("""COMPUTED_VALUE"""),"Silicon Technologies, Inc. _2022")</f>
        <v>Silicon Technologies, Inc. _2022</v>
      </c>
      <c r="C314" s="6" t="str">
        <f ca="1">IFERROR(__xludf.DUMMYFUNCTION("""COMPUTED_VALUE"""),"Deep Tech")</f>
        <v>Deep Tech</v>
      </c>
      <c r="D314" s="6" t="str">
        <f ca="1">IFERROR(__xludf.DUMMYFUNCTION("""COMPUTED_VALUE"""),"Salt Lake City, UT 
United States")</f>
        <v>Salt Lake City, UT 
United States</v>
      </c>
      <c r="E314" s="6" t="str">
        <f ca="1">IFERROR(__xludf.DUMMYFUNCTION("""COMPUTED_VALUE"""),"West")</f>
        <v>West</v>
      </c>
      <c r="F314" s="6" t="str">
        <f ca="1">IFERROR(__xludf.DUMMYFUNCTION("""COMPUTED_VALUE"""),"Man")</f>
        <v>Man</v>
      </c>
      <c r="G314" s="6" t="str">
        <f ca="1">IFERROR(__xludf.DUMMYFUNCTION("""COMPUTED_VALUE"""),"Man")</f>
        <v>Man</v>
      </c>
      <c r="H314" s="6"/>
      <c r="I314" s="6"/>
      <c r="J314" s="6"/>
      <c r="K314" s="6"/>
      <c r="L314" s="6" t="str">
        <f ca="1">IFERROR(__xludf.DUMMYFUNCTION("""COMPUTED_VALUE"""),"No")</f>
        <v>No</v>
      </c>
      <c r="M314" s="6"/>
      <c r="N314" s="6"/>
      <c r="O314" s="6" t="str">
        <f ca="1">IFERROR(__xludf.DUMMYFUNCTION("""COMPUTED_VALUE"""),"Email")</f>
        <v>Email</v>
      </c>
      <c r="P314" s="6"/>
      <c r="Q314" s="6" t="str">
        <f ca="1">IFERROR(__xludf.DUMMYFUNCTION("""COMPUTED_VALUE"""),"No")</f>
        <v>No</v>
      </c>
      <c r="R314" s="6">
        <f ca="1">IFERROR(__xludf.DUMMYFUNCTION("""COMPUTED_VALUE"""),2)</f>
        <v>2</v>
      </c>
      <c r="S314" s="6" t="str">
        <f ca="1">IFERROR(__xludf.DUMMYFUNCTION("""COMPUTED_VALUE"""),"Other: Funded by DoD")</f>
        <v>Other: Funded by DoD</v>
      </c>
      <c r="T314" s="6" t="str">
        <f ca="1">IFERROR(__xludf.DUMMYFUNCTION("""COMPUTED_VALUE"""),"Other: Funded by DoD")</f>
        <v>Other: Funded by DoD</v>
      </c>
      <c r="U314" s="6" t="str">
        <f ca="1">IFERROR(__xludf.DUMMYFUNCTION("""COMPUTED_VALUE"""),"Funded by DoD")</f>
        <v>Funded by DoD</v>
      </c>
      <c r="V314" s="6"/>
      <c r="W314" s="6" t="str">
        <f ca="1">IFERROR(__xludf.DUMMYFUNCTION("""COMPUTED_VALUE"""),"Invite")</f>
        <v>Invite</v>
      </c>
    </row>
    <row r="315" spans="1:23">
      <c r="A315" s="6" t="str">
        <f ca="1">IFERROR(__xludf.DUMMYFUNCTION("""COMPUTED_VALUE"""),"Man, Man, Man")</f>
        <v>Man, Man, Man</v>
      </c>
      <c r="B315" s="6" t="str">
        <f ca="1">IFERROR(__xludf.DUMMYFUNCTION("""COMPUTED_VALUE"""),"Fiomet Ventures, Inc. _2022")</f>
        <v>Fiomet Ventures, Inc. _2022</v>
      </c>
      <c r="C315" s="6" t="str">
        <f ca="1">IFERROR(__xludf.DUMMYFUNCTION("""COMPUTED_VALUE"""),"Digital Tech")</f>
        <v>Digital Tech</v>
      </c>
      <c r="D315" s="6" t="str">
        <f ca="1">IFERROR(__xludf.DUMMYFUNCTION("""COMPUTED_VALUE"""),"2005 1/2 Madison Road, Cincinnati, Ohio 
United States")</f>
        <v>2005 1/2 Madison Road, Cincinnati, Ohio 
United States</v>
      </c>
      <c r="E315" s="6" t="str">
        <f ca="1">IFERROR(__xludf.DUMMYFUNCTION("""COMPUTED_VALUE"""),"Midwest")</f>
        <v>Midwest</v>
      </c>
      <c r="F315" s="6" t="str">
        <f ca="1">IFERROR(__xludf.DUMMYFUNCTION("""COMPUTED_VALUE"""),"Man")</f>
        <v>Man</v>
      </c>
      <c r="G315" s="6" t="str">
        <f ca="1">IFERROR(__xludf.DUMMYFUNCTION("""COMPUTED_VALUE"""),"Man")</f>
        <v>Man</v>
      </c>
      <c r="H315" s="6" t="str">
        <f ca="1">IFERROR(__xludf.DUMMYFUNCTION("""COMPUTED_VALUE"""),"Man")</f>
        <v>Man</v>
      </c>
      <c r="I315" s="6"/>
      <c r="J315" s="6"/>
      <c r="K315" s="6"/>
      <c r="L315" s="6" t="str">
        <f ca="1">IFERROR(__xludf.DUMMYFUNCTION("""COMPUTED_VALUE"""),"No")</f>
        <v>No</v>
      </c>
      <c r="M315" s="6"/>
      <c r="N315" s="6"/>
      <c r="O315" s="6" t="str">
        <f ca="1">IFERROR(__xludf.DUMMYFUNCTION("""COMPUTED_VALUE"""),"Conference")</f>
        <v>Conference</v>
      </c>
      <c r="P315" s="6"/>
      <c r="Q315" s="6" t="str">
        <f ca="1">IFERROR(__xludf.DUMMYFUNCTION("""COMPUTED_VALUE"""),"No")</f>
        <v>No</v>
      </c>
      <c r="R315" s="6">
        <f ca="1">IFERROR(__xludf.DUMMYFUNCTION("""COMPUTED_VALUE"""),3)</f>
        <v>3</v>
      </c>
      <c r="S315" s="6" t="str">
        <f ca="1">IFERROR(__xludf.DUMMYFUNCTION("""COMPUTED_VALUE"""),"Pre-seed")</f>
        <v>Pre-seed</v>
      </c>
      <c r="T315" s="6" t="str">
        <f ca="1">IFERROR(__xludf.DUMMYFUNCTION("""COMPUTED_VALUE"""),"Pre-seed")</f>
        <v>Pre-seed</v>
      </c>
      <c r="U315" s="6" t="str">
        <f ca="1">IFERROR(__xludf.DUMMYFUNCTION("""COMPUTED_VALUE"""),"Pre-seed")</f>
        <v>Pre-seed</v>
      </c>
      <c r="V315" s="6"/>
      <c r="W315" s="6" t="str">
        <f ca="1">IFERROR(__xludf.DUMMYFUNCTION("""COMPUTED_VALUE"""),"Invite Next Year")</f>
        <v>Invite Next Year</v>
      </c>
    </row>
    <row r="316" spans="1:23">
      <c r="A316" s="6" t="str">
        <f ca="1">IFERROR(__xludf.DUMMYFUNCTION("""COMPUTED_VALUE"""),"Man, Man, Man, Man, Man, Man")</f>
        <v>Man, Man, Man, Man, Man, Man</v>
      </c>
      <c r="B316" s="6" t="str">
        <f ca="1">IFERROR(__xludf.DUMMYFUNCTION("""COMPUTED_VALUE"""),"Dryad Networks GmbH _2022")</f>
        <v>Dryad Networks GmbH _2022</v>
      </c>
      <c r="C316" s="6" t="str">
        <f ca="1">IFERROR(__xludf.DUMMYFUNCTION("""COMPUTED_VALUE"""),"Digital Tech")</f>
        <v>Digital Tech</v>
      </c>
      <c r="D316" s="6" t="str">
        <f ca="1">IFERROR(__xludf.DUMMYFUNCTION("""COMPUTED_VALUE"""),"Eberswalde, Brandenburg 
Germany")</f>
        <v>Eberswalde, Brandenburg 
Germany</v>
      </c>
      <c r="E316" s="6" t="str">
        <f ca="1">IFERROR(__xludf.DUMMYFUNCTION("""COMPUTED_VALUE"""),"International - Europe")</f>
        <v>International - Europe</v>
      </c>
      <c r="F316" s="6" t="str">
        <f ca="1">IFERROR(__xludf.DUMMYFUNCTION("""COMPUTED_VALUE"""),"Man")</f>
        <v>Man</v>
      </c>
      <c r="G316" s="6" t="str">
        <f ca="1">IFERROR(__xludf.DUMMYFUNCTION("""COMPUTED_VALUE"""),"Man")</f>
        <v>Man</v>
      </c>
      <c r="H316" s="6" t="str">
        <f ca="1">IFERROR(__xludf.DUMMYFUNCTION("""COMPUTED_VALUE"""),"Man")</f>
        <v>Man</v>
      </c>
      <c r="I316" s="6" t="str">
        <f ca="1">IFERROR(__xludf.DUMMYFUNCTION("""COMPUTED_VALUE"""),"Man")</f>
        <v>Man</v>
      </c>
      <c r="J316" s="6" t="str">
        <f ca="1">IFERROR(__xludf.DUMMYFUNCTION("""COMPUTED_VALUE"""),"Man")</f>
        <v>Man</v>
      </c>
      <c r="K316" s="6" t="str">
        <f ca="1">IFERROR(__xludf.DUMMYFUNCTION("""COMPUTED_VALUE"""),"Man")</f>
        <v>Man</v>
      </c>
      <c r="L316" s="6" t="str">
        <f ca="1">IFERROR(__xludf.DUMMYFUNCTION("""COMPUTED_VALUE"""),"No")</f>
        <v>No</v>
      </c>
      <c r="M316" s="6"/>
      <c r="N316" s="6"/>
      <c r="O316" s="6" t="str">
        <f ca="1">IFERROR(__xludf.DUMMYFUNCTION("""COMPUTED_VALUE"""),"Email")</f>
        <v>Email</v>
      </c>
      <c r="P316" s="6"/>
      <c r="Q316" s="6" t="str">
        <f ca="1">IFERROR(__xludf.DUMMYFUNCTION("""COMPUTED_VALUE"""),"No")</f>
        <v>No</v>
      </c>
      <c r="R316" s="6">
        <f ca="1">IFERROR(__xludf.DUMMYFUNCTION("""COMPUTED_VALUE"""),6)</f>
        <v>6</v>
      </c>
      <c r="S316" s="6" t="str">
        <f ca="1">IFERROR(__xludf.DUMMYFUNCTION("""COMPUTED_VALUE"""),"Seed
Grants")</f>
        <v>Seed
Grants</v>
      </c>
      <c r="T316" s="6" t="str">
        <f ca="1">IFERROR(__xludf.DUMMYFUNCTION("""COMPUTED_VALUE"""),"Seed, Grants")</f>
        <v>Seed, Grants</v>
      </c>
      <c r="U316" s="6" t="str">
        <f ca="1">IFERROR(__xludf.DUMMYFUNCTION("""COMPUTED_VALUE"""),"Seed, Grants")</f>
        <v>Seed, Grants</v>
      </c>
      <c r="V316" s="6"/>
      <c r="W316" s="6" t="str">
        <f ca="1">IFERROR(__xludf.DUMMYFUNCTION("""COMPUTED_VALUE"""),"Invite")</f>
        <v>Invite</v>
      </c>
    </row>
    <row r="317" spans="1:23">
      <c r="A317" s="6" t="str">
        <f ca="1">IFERROR(__xludf.DUMMYFUNCTION("""COMPUTED_VALUE"""),"Man")</f>
        <v>Man</v>
      </c>
      <c r="B317" s="6" t="str">
        <f ca="1">IFERROR(__xludf.DUMMYFUNCTION("""COMPUTED_VALUE"""),"Cochair Corp. _2022")</f>
        <v>Cochair Corp. _2022</v>
      </c>
      <c r="C317" s="6" t="str">
        <f ca="1">IFERROR(__xludf.DUMMYFUNCTION("""COMPUTED_VALUE"""),"Digital Tech")</f>
        <v>Digital Tech</v>
      </c>
      <c r="D317" s="6" t="str">
        <f ca="1">IFERROR(__xludf.DUMMYFUNCTION("""COMPUTED_VALUE"""),"Dover, Delaware 
United States")</f>
        <v>Dover, Delaware 
United States</v>
      </c>
      <c r="E317" s="6" t="str">
        <f ca="1">IFERROR(__xludf.DUMMYFUNCTION("""COMPUTED_VALUE"""),"East Coast")</f>
        <v>East Coast</v>
      </c>
      <c r="F317" s="6" t="str">
        <f ca="1">IFERROR(__xludf.DUMMYFUNCTION("""COMPUTED_VALUE"""),"Man")</f>
        <v>Man</v>
      </c>
      <c r="G317" s="6"/>
      <c r="H317" s="6"/>
      <c r="I317" s="6"/>
      <c r="J317" s="6"/>
      <c r="K317" s="6"/>
      <c r="L317" s="6" t="str">
        <f ca="1">IFERROR(__xludf.DUMMYFUNCTION("""COMPUTED_VALUE"""),"Yes")</f>
        <v>Yes</v>
      </c>
      <c r="M317" s="6" t="str">
        <f ca="1">IFERROR(__xludf.DUMMYFUNCTION("""COMPUTED_VALUE"""),"NYU Student")</f>
        <v>NYU Student</v>
      </c>
      <c r="N317" s="6"/>
      <c r="O317" s="6" t="str">
        <f ca="1">IFERROR(__xludf.DUMMYFUNCTION("""COMPUTED_VALUE"""),"Referral")</f>
        <v>Referral</v>
      </c>
      <c r="P317" s="6"/>
      <c r="Q317" s="6" t="str">
        <f ca="1">IFERROR(__xludf.DUMMYFUNCTION("""COMPUTED_VALUE"""),"No")</f>
        <v>No</v>
      </c>
      <c r="R317" s="6">
        <f ca="1">IFERROR(__xludf.DUMMYFUNCTION("""COMPUTED_VALUE"""),1)</f>
        <v>1</v>
      </c>
      <c r="S317" s="6" t="str">
        <f ca="1">IFERROR(__xludf.DUMMYFUNCTION("""COMPUTED_VALUE"""),"None")</f>
        <v>None</v>
      </c>
      <c r="T317" s="6" t="str">
        <f ca="1">IFERROR(__xludf.DUMMYFUNCTION("""COMPUTED_VALUE"""),"None")</f>
        <v>None</v>
      </c>
      <c r="U317" s="6" t="str">
        <f ca="1">IFERROR(__xludf.DUMMYFUNCTION("""COMPUTED_VALUE"""),"None")</f>
        <v>None</v>
      </c>
      <c r="V317" s="6"/>
      <c r="W317" s="6" t="str">
        <f ca="1">IFERROR(__xludf.DUMMYFUNCTION("""COMPUTED_VALUE"""),"Invite Next Year")</f>
        <v>Invite Next Year</v>
      </c>
    </row>
    <row r="318" spans="1:23">
      <c r="A318" s="6" t="str">
        <f ca="1">IFERROR(__xludf.DUMMYFUNCTION("""COMPUTED_VALUE"""),"Man, Man")</f>
        <v>Man, Man</v>
      </c>
      <c r="B318" s="6" t="str">
        <f ca="1">IFERROR(__xludf.DUMMYFUNCTION("""COMPUTED_VALUE"""),"ThoughtData _2022")</f>
        <v>ThoughtData _2022</v>
      </c>
      <c r="C318" s="6" t="str">
        <f ca="1">IFERROR(__xludf.DUMMYFUNCTION("""COMPUTED_VALUE"""),"Deep Tech")</f>
        <v>Deep Tech</v>
      </c>
      <c r="D318" s="6" t="str">
        <f ca="1">IFERROR(__xludf.DUMMYFUNCTION("""COMPUTED_VALUE"""),"9 Ledgerock way Acton, MA 
United States")</f>
        <v>9 Ledgerock way Acton, MA 
United States</v>
      </c>
      <c r="E318" s="6" t="str">
        <f ca="1">IFERROR(__xludf.DUMMYFUNCTION("""COMPUTED_VALUE"""),"East Coast")</f>
        <v>East Coast</v>
      </c>
      <c r="F318" s="6" t="str">
        <f ca="1">IFERROR(__xludf.DUMMYFUNCTION("""COMPUTED_VALUE"""),"Man")</f>
        <v>Man</v>
      </c>
      <c r="G318" s="6" t="str">
        <f ca="1">IFERROR(__xludf.DUMMYFUNCTION("""COMPUTED_VALUE"""),"Man")</f>
        <v>Man</v>
      </c>
      <c r="H318" s="6"/>
      <c r="I318" s="6"/>
      <c r="J318" s="6"/>
      <c r="K318" s="6"/>
      <c r="L318" s="6" t="str">
        <f ca="1">IFERROR(__xludf.DUMMYFUNCTION("""COMPUTED_VALUE"""),"No")</f>
        <v>No</v>
      </c>
      <c r="M318" s="6"/>
      <c r="N318" s="6"/>
      <c r="O318" s="6" t="str">
        <f ca="1">IFERROR(__xludf.DUMMYFUNCTION("""COMPUTED_VALUE"""),"Email")</f>
        <v>Email</v>
      </c>
      <c r="P318" s="6"/>
      <c r="Q318" s="6" t="str">
        <f ca="1">IFERROR(__xludf.DUMMYFUNCTION("""COMPUTED_VALUE"""),"No")</f>
        <v>No</v>
      </c>
      <c r="R318" s="6">
        <f ca="1">IFERROR(__xludf.DUMMYFUNCTION("""COMPUTED_VALUE"""),2)</f>
        <v>2</v>
      </c>
      <c r="S318" s="6" t="str">
        <f ca="1">IFERROR(__xludf.DUMMYFUNCTION("""COMPUTED_VALUE"""),"Seed")</f>
        <v>Seed</v>
      </c>
      <c r="T318" s="6" t="str">
        <f ca="1">IFERROR(__xludf.DUMMYFUNCTION("""COMPUTED_VALUE"""),"Seed")</f>
        <v>Seed</v>
      </c>
      <c r="U318" s="6" t="str">
        <f ca="1">IFERROR(__xludf.DUMMYFUNCTION("""COMPUTED_VALUE"""),"Seed")</f>
        <v>Seed</v>
      </c>
      <c r="V318" s="6"/>
      <c r="W318" s="6" t="str">
        <f ca="1">IFERROR(__xludf.DUMMYFUNCTION("""COMPUTED_VALUE"""),"Invite Next Year")</f>
        <v>Invite Next Year</v>
      </c>
    </row>
    <row r="319" spans="1:23">
      <c r="A319" s="6" t="str">
        <f ca="1">IFERROR(__xludf.DUMMYFUNCTION("""COMPUTED_VALUE"""),"Woman")</f>
        <v>Woman</v>
      </c>
      <c r="B319" s="6" t="str">
        <f ca="1">IFERROR(__xludf.DUMMYFUNCTION("""COMPUTED_VALUE"""),"TourMega _2022")</f>
        <v>TourMega _2022</v>
      </c>
      <c r="C319" s="6" t="str">
        <f ca="1">IFERROR(__xludf.DUMMYFUNCTION("""COMPUTED_VALUE"""),"Deep Tech")</f>
        <v>Deep Tech</v>
      </c>
      <c r="D319" s="6" t="str">
        <f ca="1">IFERROR(__xludf.DUMMYFUNCTION("""COMPUTED_VALUE"""),"Mountain View, CA 
United States")</f>
        <v>Mountain View, CA 
United States</v>
      </c>
      <c r="E319" s="6" t="str">
        <f ca="1">IFERROR(__xludf.DUMMYFUNCTION("""COMPUTED_VALUE"""),"West Coast")</f>
        <v>West Coast</v>
      </c>
      <c r="F319" s="6" t="str">
        <f ca="1">IFERROR(__xludf.DUMMYFUNCTION("""COMPUTED_VALUE"""),"Woman")</f>
        <v>Woman</v>
      </c>
      <c r="G319" s="6"/>
      <c r="H319" s="6"/>
      <c r="I319" s="6"/>
      <c r="J319" s="6"/>
      <c r="K319" s="6"/>
      <c r="L319" s="6" t="str">
        <f ca="1">IFERROR(__xludf.DUMMYFUNCTION("""COMPUTED_VALUE"""),"No")</f>
        <v>No</v>
      </c>
      <c r="M319" s="6"/>
      <c r="N319" s="6"/>
      <c r="O319" s="6" t="str">
        <f ca="1">IFERROR(__xludf.DUMMYFUNCTION("""COMPUTED_VALUE"""),"Info Session")</f>
        <v>Info Session</v>
      </c>
      <c r="P319" s="6"/>
      <c r="Q319" s="6" t="str">
        <f ca="1">IFERROR(__xludf.DUMMYFUNCTION("""COMPUTED_VALUE"""),"No")</f>
        <v>No</v>
      </c>
      <c r="R319" s="6">
        <f ca="1">IFERROR(__xludf.DUMMYFUNCTION("""COMPUTED_VALUE"""),1)</f>
        <v>1</v>
      </c>
      <c r="S319" s="6" t="str">
        <f ca="1">IFERROR(__xludf.DUMMYFUNCTION("""COMPUTED_VALUE"""),"Seed")</f>
        <v>Seed</v>
      </c>
      <c r="T319" s="6" t="str">
        <f ca="1">IFERROR(__xludf.DUMMYFUNCTION("""COMPUTED_VALUE"""),"Seed")</f>
        <v>Seed</v>
      </c>
      <c r="U319" s="6" t="str">
        <f ca="1">IFERROR(__xludf.DUMMYFUNCTION("""COMPUTED_VALUE"""),"Seed")</f>
        <v>Seed</v>
      </c>
      <c r="V319" s="6"/>
      <c r="W319" s="6" t="str">
        <f ca="1">IFERROR(__xludf.DUMMYFUNCTION("""COMPUTED_VALUE"""),"Invite Next Year")</f>
        <v>Invite Next Year</v>
      </c>
    </row>
    <row r="320" spans="1:23">
      <c r="A320" s="6" t="str">
        <f ca="1">IFERROR(__xludf.DUMMYFUNCTION("""COMPUTED_VALUE"""),"Man, Woman, Man")</f>
        <v>Man, Woman, Man</v>
      </c>
      <c r="B320" s="6" t="str">
        <f ca="1">IFERROR(__xludf.DUMMYFUNCTION("""COMPUTED_VALUE"""),"Sendit.Money Ltd _2022")</f>
        <v>Sendit.Money Ltd _2022</v>
      </c>
      <c r="C320" s="6" t="str">
        <f ca="1">IFERROR(__xludf.DUMMYFUNCTION("""COMPUTED_VALUE"""),"Digital Tech")</f>
        <v>Digital Tech</v>
      </c>
      <c r="D320" s="6" t="str">
        <f ca="1">IFERROR(__xludf.DUMMYFUNCTION("""COMPUTED_VALUE"""),"London, London 
United Kingdom")</f>
        <v>London, London 
United Kingdom</v>
      </c>
      <c r="E320" s="6" t="str">
        <f ca="1">IFERROR(__xludf.DUMMYFUNCTION("""COMPUTED_VALUE"""),"International - Europe")</f>
        <v>International - Europe</v>
      </c>
      <c r="F320" s="6" t="str">
        <f ca="1">IFERROR(__xludf.DUMMYFUNCTION("""COMPUTED_VALUE"""),"Man")</f>
        <v>Man</v>
      </c>
      <c r="G320" s="6" t="str">
        <f ca="1">IFERROR(__xludf.DUMMYFUNCTION("""COMPUTED_VALUE"""),"Woman")</f>
        <v>Woman</v>
      </c>
      <c r="H320" s="6" t="str">
        <f ca="1">IFERROR(__xludf.DUMMYFUNCTION("""COMPUTED_VALUE"""),"Man")</f>
        <v>Man</v>
      </c>
      <c r="I320" s="6"/>
      <c r="J320" s="6"/>
      <c r="K320" s="6"/>
      <c r="L320" s="6" t="str">
        <f ca="1">IFERROR(__xludf.DUMMYFUNCTION("""COMPUTED_VALUE"""),"No")</f>
        <v>No</v>
      </c>
      <c r="M320" s="6"/>
      <c r="N320" s="6"/>
      <c r="O320" s="6" t="str">
        <f ca="1">IFERROR(__xludf.DUMMYFUNCTION("""COMPUTED_VALUE"""),"Email")</f>
        <v>Email</v>
      </c>
      <c r="P320" s="6"/>
      <c r="Q320" s="6" t="str">
        <f ca="1">IFERROR(__xludf.DUMMYFUNCTION("""COMPUTED_VALUE"""),"No")</f>
        <v>No</v>
      </c>
      <c r="R320" s="6">
        <f ca="1">IFERROR(__xludf.DUMMYFUNCTION("""COMPUTED_VALUE"""),3)</f>
        <v>3</v>
      </c>
      <c r="S320" s="6" t="str">
        <f ca="1">IFERROR(__xludf.DUMMYFUNCTION("""COMPUTED_VALUE"""),"Pre-seed")</f>
        <v>Pre-seed</v>
      </c>
      <c r="T320" s="6" t="str">
        <f ca="1">IFERROR(__xludf.DUMMYFUNCTION("""COMPUTED_VALUE"""),"Pre-seed")</f>
        <v>Pre-seed</v>
      </c>
      <c r="U320" s="6" t="str">
        <f ca="1">IFERROR(__xludf.DUMMYFUNCTION("""COMPUTED_VALUE"""),"Pre-seed")</f>
        <v>Pre-seed</v>
      </c>
      <c r="V320" s="6"/>
      <c r="W320" s="6" t="str">
        <f ca="1">IFERROR(__xludf.DUMMYFUNCTION("""COMPUTED_VALUE"""),"Invite Next Year")</f>
        <v>Invite Next Year</v>
      </c>
    </row>
    <row r="321" spans="1:23">
      <c r="A321" s="6" t="str">
        <f ca="1">IFERROR(__xludf.DUMMYFUNCTION("""COMPUTED_VALUE"""),"Man, Woman, Man, Woman, Man")</f>
        <v>Man, Woman, Man, Woman, Man</v>
      </c>
      <c r="B321" s="6" t="str">
        <f ca="1">IFERROR(__xludf.DUMMYFUNCTION("""COMPUTED_VALUE"""),"First Person Solutions _2022")</f>
        <v>First Person Solutions _2022</v>
      </c>
      <c r="C321" s="6" t="str">
        <f ca="1">IFERROR(__xludf.DUMMYFUNCTION("""COMPUTED_VALUE"""),"Life Sciences")</f>
        <v>Life Sciences</v>
      </c>
      <c r="D321" s="6" t="str">
        <f ca="1">IFERROR(__xludf.DUMMYFUNCTION("""COMPUTED_VALUE"""),"85 Kingston Road, Media, Pennsylvania 
United States")</f>
        <v>85 Kingston Road, Media, Pennsylvania 
United States</v>
      </c>
      <c r="E321" s="6" t="str">
        <f ca="1">IFERROR(__xludf.DUMMYFUNCTION("""COMPUTED_VALUE"""),"East Coast")</f>
        <v>East Coast</v>
      </c>
      <c r="F321" s="6" t="str">
        <f ca="1">IFERROR(__xludf.DUMMYFUNCTION("""COMPUTED_VALUE"""),"Man")</f>
        <v>Man</v>
      </c>
      <c r="G321" s="6" t="str">
        <f ca="1">IFERROR(__xludf.DUMMYFUNCTION("""COMPUTED_VALUE"""),"Woman")</f>
        <v>Woman</v>
      </c>
      <c r="H321" s="6" t="str">
        <f ca="1">IFERROR(__xludf.DUMMYFUNCTION("""COMPUTED_VALUE"""),"Man")</f>
        <v>Man</v>
      </c>
      <c r="I321" s="6" t="str">
        <f ca="1">IFERROR(__xludf.DUMMYFUNCTION("""COMPUTED_VALUE"""),"Woman")</f>
        <v>Woman</v>
      </c>
      <c r="J321" s="6" t="str">
        <f ca="1">IFERROR(__xludf.DUMMYFUNCTION("""COMPUTED_VALUE"""),"Man")</f>
        <v>Man</v>
      </c>
      <c r="K321" s="6"/>
      <c r="L321" s="6" t="str">
        <f ca="1">IFERROR(__xludf.DUMMYFUNCTION("""COMPUTED_VALUE"""),"--Please select--")</f>
        <v>--Please select--</v>
      </c>
      <c r="M321" s="6"/>
      <c r="N321" s="6"/>
      <c r="O321" s="6" t="str">
        <f ca="1">IFERROR(__xludf.DUMMYFUNCTION("""COMPUTED_VALUE"""),"Email")</f>
        <v>Email</v>
      </c>
      <c r="P321" s="6"/>
      <c r="Q321" s="6" t="str">
        <f ca="1">IFERROR(__xludf.DUMMYFUNCTION("""COMPUTED_VALUE"""),"No")</f>
        <v>No</v>
      </c>
      <c r="R321" s="6">
        <f ca="1">IFERROR(__xludf.DUMMYFUNCTION("""COMPUTED_VALUE"""),5)</f>
        <v>5</v>
      </c>
      <c r="S321" s="6" t="str">
        <f ca="1">IFERROR(__xludf.DUMMYFUNCTION("""COMPUTED_VALUE"""),"Pre-seed
Seed")</f>
        <v>Pre-seed
Seed</v>
      </c>
      <c r="T321" s="6" t="str">
        <f ca="1">IFERROR(__xludf.DUMMYFUNCTION("""COMPUTED_VALUE"""),"Pre-seed, Seed")</f>
        <v>Pre-seed, Seed</v>
      </c>
      <c r="U321" s="6" t="str">
        <f ca="1">IFERROR(__xludf.DUMMYFUNCTION("""COMPUTED_VALUE"""),"Pre-seed, Seed")</f>
        <v>Pre-seed, Seed</v>
      </c>
      <c r="V321" s="6"/>
      <c r="W321" s="6" t="str">
        <f ca="1">IFERROR(__xludf.DUMMYFUNCTION("""COMPUTED_VALUE"""),"Invite Next Year")</f>
        <v>Invite Next Year</v>
      </c>
    </row>
    <row r="322" spans="1:23">
      <c r="A322" s="6" t="str">
        <f ca="1">IFERROR(__xludf.DUMMYFUNCTION("""COMPUTED_VALUE"""),"Man")</f>
        <v>Man</v>
      </c>
      <c r="B322" s="6" t="str">
        <f ca="1">IFERROR(__xludf.DUMMYFUNCTION("""COMPUTED_VALUE"""),"Loop _2022")</f>
        <v>Loop _2022</v>
      </c>
      <c r="C322" s="6" t="str">
        <f ca="1">IFERROR(__xludf.DUMMYFUNCTION("""COMPUTED_VALUE"""),"Deep Tech")</f>
        <v>Deep Tech</v>
      </c>
      <c r="D322" s="6" t="str">
        <f ca="1">IFERROR(__xludf.DUMMYFUNCTION("""COMPUTED_VALUE"""),"Denver, Colorado 
United States")</f>
        <v>Denver, Colorado 
United States</v>
      </c>
      <c r="E322" s="6" t="str">
        <f ca="1">IFERROR(__xludf.DUMMYFUNCTION("""COMPUTED_VALUE"""),"West")</f>
        <v>West</v>
      </c>
      <c r="F322" s="6" t="str">
        <f ca="1">IFERROR(__xludf.DUMMYFUNCTION("""COMPUTED_VALUE"""),"Man")</f>
        <v>Man</v>
      </c>
      <c r="G322" s="6"/>
      <c r="H322" s="6"/>
      <c r="I322" s="6"/>
      <c r="J322" s="6"/>
      <c r="K322" s="6"/>
      <c r="L322" s="6" t="str">
        <f ca="1">IFERROR(__xludf.DUMMYFUNCTION("""COMPUTED_VALUE"""),"No")</f>
        <v>No</v>
      </c>
      <c r="M322" s="6"/>
      <c r="N322" s="6"/>
      <c r="O322" s="6" t="str">
        <f ca="1">IFERROR(__xludf.DUMMYFUNCTION("""COMPUTED_VALUE"""),"Referral")</f>
        <v>Referral</v>
      </c>
      <c r="P322" s="6"/>
      <c r="Q322" s="6" t="str">
        <f ca="1">IFERROR(__xludf.DUMMYFUNCTION("""COMPUTED_VALUE"""),"No")</f>
        <v>No</v>
      </c>
      <c r="R322" s="6">
        <f ca="1">IFERROR(__xludf.DUMMYFUNCTION("""COMPUTED_VALUE"""),1)</f>
        <v>1</v>
      </c>
      <c r="S322" s="6" t="str">
        <f ca="1">IFERROR(__xludf.DUMMYFUNCTION("""COMPUTED_VALUE"""),"None")</f>
        <v>None</v>
      </c>
      <c r="T322" s="6" t="str">
        <f ca="1">IFERROR(__xludf.DUMMYFUNCTION("""COMPUTED_VALUE"""),"None")</f>
        <v>None</v>
      </c>
      <c r="U322" s="6" t="str">
        <f ca="1">IFERROR(__xludf.DUMMYFUNCTION("""COMPUTED_VALUE"""),"None")</f>
        <v>None</v>
      </c>
      <c r="V322" s="6"/>
      <c r="W322" s="6" t="str">
        <f ca="1">IFERROR(__xludf.DUMMYFUNCTION("""COMPUTED_VALUE"""),"Invite Next Year")</f>
        <v>Invite Next Year</v>
      </c>
    </row>
    <row r="323" spans="1:23">
      <c r="A323" s="6" t="str">
        <f ca="1">IFERROR(__xludf.DUMMYFUNCTION("""COMPUTED_VALUE"""),"Man, Man")</f>
        <v>Man, Man</v>
      </c>
      <c r="B323" s="6" t="str">
        <f ca="1">IFERROR(__xludf.DUMMYFUNCTION("""COMPUTED_VALUE"""),"Helical Fusion Co., Ltd. _2022")</f>
        <v>Helical Fusion Co., Ltd. _2022</v>
      </c>
      <c r="C323" s="6" t="str">
        <f ca="1">IFERROR(__xludf.DUMMYFUNCTION("""COMPUTED_VALUE"""),"Deep Tech")</f>
        <v>Deep Tech</v>
      </c>
      <c r="D323" s="6" t="str">
        <f ca="1">IFERROR(__xludf.DUMMYFUNCTION("""COMPUTED_VALUE"""),"Shin-Yurakucho building 10F, 1-12-1 Yurakucho, Chiyoda-ku, Tokyo 
Japan")</f>
        <v>Shin-Yurakucho building 10F, 1-12-1 Yurakucho, Chiyoda-ku, Tokyo 
Japan</v>
      </c>
      <c r="E323" s="6" t="str">
        <f ca="1">IFERROR(__xludf.DUMMYFUNCTION("""COMPUTED_VALUE"""),"International - Asia")</f>
        <v>International - Asia</v>
      </c>
      <c r="F323" s="6" t="str">
        <f ca="1">IFERROR(__xludf.DUMMYFUNCTION("""COMPUTED_VALUE"""),"Man")</f>
        <v>Man</v>
      </c>
      <c r="G323" s="6" t="str">
        <f ca="1">IFERROR(__xludf.DUMMYFUNCTION("""COMPUTED_VALUE"""),"Man")</f>
        <v>Man</v>
      </c>
      <c r="H323" s="6"/>
      <c r="I323" s="6"/>
      <c r="J323" s="6"/>
      <c r="K323" s="6"/>
      <c r="L323" s="6" t="str">
        <f ca="1">IFERROR(__xludf.DUMMYFUNCTION("""COMPUTED_VALUE"""),"No")</f>
        <v>No</v>
      </c>
      <c r="M323" s="6"/>
      <c r="N323" s="6"/>
      <c r="O323" s="6" t="str">
        <f ca="1">IFERROR(__xludf.DUMMYFUNCTION("""COMPUTED_VALUE"""),"Email")</f>
        <v>Email</v>
      </c>
      <c r="P323" s="6"/>
      <c r="Q323" s="6" t="str">
        <f ca="1">IFERROR(__xludf.DUMMYFUNCTION("""COMPUTED_VALUE"""),"No")</f>
        <v>No</v>
      </c>
      <c r="R323" s="6">
        <f ca="1">IFERROR(__xludf.DUMMYFUNCTION("""COMPUTED_VALUE"""),2)</f>
        <v>2</v>
      </c>
      <c r="S323" s="6" t="str">
        <f ca="1">IFERROR(__xludf.DUMMYFUNCTION("""COMPUTED_VALUE"""),"Pre-seed")</f>
        <v>Pre-seed</v>
      </c>
      <c r="T323" s="6" t="str">
        <f ca="1">IFERROR(__xludf.DUMMYFUNCTION("""COMPUTED_VALUE"""),"Pre-seed")</f>
        <v>Pre-seed</v>
      </c>
      <c r="U323" s="6" t="str">
        <f ca="1">IFERROR(__xludf.DUMMYFUNCTION("""COMPUTED_VALUE"""),"Pre-seed")</f>
        <v>Pre-seed</v>
      </c>
      <c r="V323" s="6"/>
      <c r="W323" s="6" t="str">
        <f ca="1">IFERROR(__xludf.DUMMYFUNCTION("""COMPUTED_VALUE"""),"Invite Next Year")</f>
        <v>Invite Next Year</v>
      </c>
    </row>
    <row r="324" spans="1:23">
      <c r="A324" s="6" t="str">
        <f ca="1">IFERROR(__xludf.DUMMYFUNCTION("""COMPUTED_VALUE"""),"Woman, Woman")</f>
        <v>Woman, Woman</v>
      </c>
      <c r="B324" s="6" t="str">
        <f ca="1">IFERROR(__xludf.DUMMYFUNCTION("""COMPUTED_VALUE"""),"Visi Health Technologies  _2022")</f>
        <v>Visi Health Technologies  _2022</v>
      </c>
      <c r="C324" s="6" t="str">
        <f ca="1">IFERROR(__xludf.DUMMYFUNCTION("""COMPUTED_VALUE"""),"Digital Tech")</f>
        <v>Digital Tech</v>
      </c>
      <c r="D324" s="6" t="str">
        <f ca="1">IFERROR(__xludf.DUMMYFUNCTION("""COMPUTED_VALUE"""),"Bronxville, New York  
United States")</f>
        <v>Bronxville, New York  
United States</v>
      </c>
      <c r="E324" s="6" t="str">
        <f ca="1">IFERROR(__xludf.DUMMYFUNCTION("""COMPUTED_VALUE"""),"East Coast")</f>
        <v>East Coast</v>
      </c>
      <c r="F324" s="6" t="str">
        <f ca="1">IFERROR(__xludf.DUMMYFUNCTION("""COMPUTED_VALUE"""),"Woman")</f>
        <v>Woman</v>
      </c>
      <c r="G324" s="6" t="str">
        <f ca="1">IFERROR(__xludf.DUMMYFUNCTION("""COMPUTED_VALUE"""),"Woman")</f>
        <v>Woman</v>
      </c>
      <c r="H324" s="6"/>
      <c r="I324" s="6"/>
      <c r="J324" s="6"/>
      <c r="K324" s="6"/>
      <c r="L324" s="6" t="str">
        <f ca="1">IFERROR(__xludf.DUMMYFUNCTION("""COMPUTED_VALUE"""),"--Please select--")</f>
        <v>--Please select--</v>
      </c>
      <c r="M324" s="6"/>
      <c r="N324" s="6"/>
      <c r="O324" s="6" t="str">
        <f ca="1">IFERROR(__xludf.DUMMYFUNCTION("""COMPUTED_VALUE"""),"Referral")</f>
        <v>Referral</v>
      </c>
      <c r="P324" s="6"/>
      <c r="Q324" s="6" t="str">
        <f ca="1">IFERROR(__xludf.DUMMYFUNCTION("""COMPUTED_VALUE"""),"No")</f>
        <v>No</v>
      </c>
      <c r="R324" s="6">
        <f ca="1">IFERROR(__xludf.DUMMYFUNCTION("""COMPUTED_VALUE"""),2)</f>
        <v>2</v>
      </c>
      <c r="S324" s="6" t="str">
        <f ca="1">IFERROR(__xludf.DUMMYFUNCTION("""COMPUTED_VALUE"""),"Pre-seed
Grants")</f>
        <v>Pre-seed
Grants</v>
      </c>
      <c r="T324" s="6" t="str">
        <f ca="1">IFERROR(__xludf.DUMMYFUNCTION("""COMPUTED_VALUE"""),"Pre-seed, Grants")</f>
        <v>Pre-seed, Grants</v>
      </c>
      <c r="U324" s="6" t="str">
        <f ca="1">IFERROR(__xludf.DUMMYFUNCTION("""COMPUTED_VALUE"""),"Pre-seed, Grants")</f>
        <v>Pre-seed, Grants</v>
      </c>
      <c r="V324" s="6"/>
      <c r="W324" s="6" t="str">
        <f ca="1">IFERROR(__xludf.DUMMYFUNCTION("""COMPUTED_VALUE"""),"Special Reject")</f>
        <v>Special Reject</v>
      </c>
    </row>
    <row r="325" spans="1:23">
      <c r="A325" s="6" t="str">
        <f ca="1">IFERROR(__xludf.DUMMYFUNCTION("""COMPUTED_VALUE"""),"Man, Man, Man")</f>
        <v>Man, Man, Man</v>
      </c>
      <c r="B325" s="6" t="str">
        <f ca="1">IFERROR(__xludf.DUMMYFUNCTION("""COMPUTED_VALUE"""),"Carteav _2022")</f>
        <v>Carteav _2022</v>
      </c>
      <c r="C325" s="6" t="str">
        <f ca="1">IFERROR(__xludf.DUMMYFUNCTION("""COMPUTED_VALUE"""),"Digital Tech")</f>
        <v>Digital Tech</v>
      </c>
      <c r="D325" s="6" t="str">
        <f ca="1">IFERROR(__xludf.DUMMYFUNCTION("""COMPUTED_VALUE"""),"Rishon Lezion, -- please choose -- 
Israel")</f>
        <v>Rishon Lezion, -- please choose -- 
Israel</v>
      </c>
      <c r="E325" s="6" t="str">
        <f ca="1">IFERROR(__xludf.DUMMYFUNCTION("""COMPUTED_VALUE"""),"International - Middle East")</f>
        <v>International - Middle East</v>
      </c>
      <c r="F325" s="6" t="str">
        <f ca="1">IFERROR(__xludf.DUMMYFUNCTION("""COMPUTED_VALUE"""),"Man")</f>
        <v>Man</v>
      </c>
      <c r="G325" s="6" t="str">
        <f ca="1">IFERROR(__xludf.DUMMYFUNCTION("""COMPUTED_VALUE"""),"Man")</f>
        <v>Man</v>
      </c>
      <c r="H325" s="6" t="str">
        <f ca="1">IFERROR(__xludf.DUMMYFUNCTION("""COMPUTED_VALUE"""),"Man")</f>
        <v>Man</v>
      </c>
      <c r="I325" s="6"/>
      <c r="J325" s="6"/>
      <c r="K325" s="6"/>
      <c r="L325" s="6" t="str">
        <f ca="1">IFERROR(__xludf.DUMMYFUNCTION("""COMPUTED_VALUE"""),"--Please select--")</f>
        <v>--Please select--</v>
      </c>
      <c r="M325" s="6"/>
      <c r="N325" s="6"/>
      <c r="O325" s="6" t="str">
        <f ca="1">IFERROR(__xludf.DUMMYFUNCTION("""COMPUTED_VALUE"""),"Email")</f>
        <v>Email</v>
      </c>
      <c r="P325" s="6"/>
      <c r="Q325" s="6" t="str">
        <f ca="1">IFERROR(__xludf.DUMMYFUNCTION("""COMPUTED_VALUE"""),"No")</f>
        <v>No</v>
      </c>
      <c r="R325" s="6">
        <f ca="1">IFERROR(__xludf.DUMMYFUNCTION("""COMPUTED_VALUE"""),3)</f>
        <v>3</v>
      </c>
      <c r="S325" s="6" t="str">
        <f ca="1">IFERROR(__xludf.DUMMYFUNCTION("""COMPUTED_VALUE"""),"Seed
Series A")</f>
        <v>Seed
Series A</v>
      </c>
      <c r="T325" s="6" t="str">
        <f ca="1">IFERROR(__xludf.DUMMYFUNCTION("""COMPUTED_VALUE"""),"Seed, Series A")</f>
        <v>Seed, Series A</v>
      </c>
      <c r="U325" s="6" t="str">
        <f ca="1">IFERROR(__xludf.DUMMYFUNCTION("""COMPUTED_VALUE"""),"Seed, Series A")</f>
        <v>Seed, Series A</v>
      </c>
      <c r="V325" s="6"/>
      <c r="W325" s="6" t="str">
        <f ca="1">IFERROR(__xludf.DUMMYFUNCTION("""COMPUTED_VALUE"""),"Invite Next Year")</f>
        <v>Invite Next Year</v>
      </c>
    </row>
    <row r="326" spans="1:23">
      <c r="A326" s="6" t="str">
        <f ca="1">IFERROR(__xludf.DUMMYFUNCTION("""COMPUTED_VALUE"""),"Man, Man, Man")</f>
        <v>Man, Man, Man</v>
      </c>
      <c r="B326" s="6" t="str">
        <f ca="1">IFERROR(__xludf.DUMMYFUNCTION("""COMPUTED_VALUE"""),"Straylight Systems _2022")</f>
        <v>Straylight Systems _2022</v>
      </c>
      <c r="C326" s="6" t="str">
        <f ca="1">IFERROR(__xludf.DUMMYFUNCTION("""COMPUTED_VALUE"""),"Deep Tech")</f>
        <v>Deep Tech</v>
      </c>
      <c r="D326" s="6" t="str">
        <f ca="1">IFERROR(__xludf.DUMMYFUNCTION("""COMPUTED_VALUE"""),"Brooklyn, NY 
United States")</f>
        <v>Brooklyn, NY 
United States</v>
      </c>
      <c r="E326" s="6" t="str">
        <f ca="1">IFERROR(__xludf.DUMMYFUNCTION("""COMPUTED_VALUE"""),"New York")</f>
        <v>New York</v>
      </c>
      <c r="F326" s="6" t="str">
        <f ca="1">IFERROR(__xludf.DUMMYFUNCTION("""COMPUTED_VALUE"""),"Man")</f>
        <v>Man</v>
      </c>
      <c r="G326" s="6" t="str">
        <f ca="1">IFERROR(__xludf.DUMMYFUNCTION("""COMPUTED_VALUE"""),"Man")</f>
        <v>Man</v>
      </c>
      <c r="H326" s="6" t="str">
        <f ca="1">IFERROR(__xludf.DUMMYFUNCTION("""COMPUTED_VALUE"""),"Man")</f>
        <v>Man</v>
      </c>
      <c r="I326" s="6"/>
      <c r="J326" s="6"/>
      <c r="K326" s="6"/>
      <c r="L326" s="6" t="str">
        <f ca="1">IFERROR(__xludf.DUMMYFUNCTION("""COMPUTED_VALUE"""),"Yes")</f>
        <v>Yes</v>
      </c>
      <c r="M326" s="6" t="str">
        <f ca="1">IFERROR(__xludf.DUMMYFUNCTION("""COMPUTED_VALUE"""),"Other (please specify)")</f>
        <v>Other (please specify)</v>
      </c>
      <c r="N326" s="6" t="str">
        <f ca="1">IFERROR(__xludf.DUMMYFUNCTION("""COMPUTED_VALUE"""),"NYU Veterans Futures Lab")</f>
        <v>NYU Veterans Futures Lab</v>
      </c>
      <c r="O326" s="6" t="str">
        <f ca="1">IFERROR(__xludf.DUMMYFUNCTION("""COMPUTED_VALUE"""),"NYU Newsletter")</f>
        <v>NYU Newsletter</v>
      </c>
      <c r="P326" s="6"/>
      <c r="Q326" s="6" t="str">
        <f ca="1">IFERROR(__xludf.DUMMYFUNCTION("""COMPUTED_VALUE"""),"No")</f>
        <v>No</v>
      </c>
      <c r="R326" s="6">
        <f ca="1">IFERROR(__xludf.DUMMYFUNCTION("""COMPUTED_VALUE"""),3)</f>
        <v>3</v>
      </c>
      <c r="S326" s="6" t="str">
        <f ca="1">IFERROR(__xludf.DUMMYFUNCTION("""COMPUTED_VALUE"""),"None")</f>
        <v>None</v>
      </c>
      <c r="T326" s="6" t="str">
        <f ca="1">IFERROR(__xludf.DUMMYFUNCTION("""COMPUTED_VALUE"""),"None")</f>
        <v>None</v>
      </c>
      <c r="U326" s="6" t="str">
        <f ca="1">IFERROR(__xludf.DUMMYFUNCTION("""COMPUTED_VALUE"""),"None")</f>
        <v>None</v>
      </c>
      <c r="V326" s="6"/>
      <c r="W326" s="6" t="str">
        <f ca="1">IFERROR(__xludf.DUMMYFUNCTION("""COMPUTED_VALUE"""),"Revisit")</f>
        <v>Revisit</v>
      </c>
    </row>
    <row r="327" spans="1:23">
      <c r="A327" s="6" t="str">
        <f ca="1">IFERROR(__xludf.DUMMYFUNCTION("""COMPUTED_VALUE"""),"Man, Woman, Man, Man, Man, Man")</f>
        <v>Man, Woman, Man, Man, Man, Man</v>
      </c>
      <c r="B327" s="6" t="str">
        <f ca="1">IFERROR(__xludf.DUMMYFUNCTION("""COMPUTED_VALUE"""),"IPwe _2022")</f>
        <v>IPwe _2022</v>
      </c>
      <c r="C327" s="6" t="str">
        <f ca="1">IFERROR(__xludf.DUMMYFUNCTION("""COMPUTED_VALUE"""),"Digital Tech")</f>
        <v>Digital Tech</v>
      </c>
      <c r="D327" s="6" t="str">
        <f ca="1">IFERROR(__xludf.DUMMYFUNCTION("""COMPUTED_VALUE"""),"2515 McKinney Ave #1000-B, Texas 
United States")</f>
        <v>2515 McKinney Ave #1000-B, Texas 
United States</v>
      </c>
      <c r="E327" s="6" t="str">
        <f ca="1">IFERROR(__xludf.DUMMYFUNCTION("""COMPUTED_VALUE"""),"South")</f>
        <v>South</v>
      </c>
      <c r="F327" s="6" t="str">
        <f ca="1">IFERROR(__xludf.DUMMYFUNCTION("""COMPUTED_VALUE"""),"Man")</f>
        <v>Man</v>
      </c>
      <c r="G327" s="6" t="str">
        <f ca="1">IFERROR(__xludf.DUMMYFUNCTION("""COMPUTED_VALUE"""),"Woman")</f>
        <v>Woman</v>
      </c>
      <c r="H327" s="6" t="str">
        <f ca="1">IFERROR(__xludf.DUMMYFUNCTION("""COMPUTED_VALUE"""),"Man")</f>
        <v>Man</v>
      </c>
      <c r="I327" s="6" t="str">
        <f ca="1">IFERROR(__xludf.DUMMYFUNCTION("""COMPUTED_VALUE"""),"Man")</f>
        <v>Man</v>
      </c>
      <c r="J327" s="6" t="str">
        <f ca="1">IFERROR(__xludf.DUMMYFUNCTION("""COMPUTED_VALUE"""),"Man")</f>
        <v>Man</v>
      </c>
      <c r="K327" s="6" t="str">
        <f ca="1">IFERROR(__xludf.DUMMYFUNCTION("""COMPUTED_VALUE"""),"Man")</f>
        <v>Man</v>
      </c>
      <c r="L327" s="6" t="str">
        <f ca="1">IFERROR(__xludf.DUMMYFUNCTION("""COMPUTED_VALUE"""),"--Please select--")</f>
        <v>--Please select--</v>
      </c>
      <c r="M327" s="6"/>
      <c r="N327" s="6"/>
      <c r="O327" s="6" t="str">
        <f ca="1">IFERROR(__xludf.DUMMYFUNCTION("""COMPUTED_VALUE"""),"Email")</f>
        <v>Email</v>
      </c>
      <c r="P327" s="6"/>
      <c r="Q327" s="6" t="str">
        <f ca="1">IFERROR(__xludf.DUMMYFUNCTION("""COMPUTED_VALUE"""),"No")</f>
        <v>No</v>
      </c>
      <c r="R327" s="6">
        <f ca="1">IFERROR(__xludf.DUMMYFUNCTION("""COMPUTED_VALUE"""),6)</f>
        <v>6</v>
      </c>
      <c r="S327" s="6" t="str">
        <f ca="1">IFERROR(__xludf.DUMMYFUNCTION("""COMPUTED_VALUE"""),"Series A")</f>
        <v>Series A</v>
      </c>
      <c r="T327" s="6" t="str">
        <f ca="1">IFERROR(__xludf.DUMMYFUNCTION("""COMPUTED_VALUE"""),"Series A")</f>
        <v>Series A</v>
      </c>
      <c r="U327" s="6" t="str">
        <f ca="1">IFERROR(__xludf.DUMMYFUNCTION("""COMPUTED_VALUE"""),"Series A")</f>
        <v>Series A</v>
      </c>
      <c r="V327" s="6"/>
      <c r="W327" s="6" t="str">
        <f ca="1">IFERROR(__xludf.DUMMYFUNCTION("""COMPUTED_VALUE"""),"Invite")</f>
        <v>Invite</v>
      </c>
    </row>
    <row r="328" spans="1:23">
      <c r="A328" s="6" t="str">
        <f ca="1">IFERROR(__xludf.DUMMYFUNCTION("""COMPUTED_VALUE"""),"Man, Man")</f>
        <v>Man, Man</v>
      </c>
      <c r="B328" s="6" t="str">
        <f ca="1">IFERROR(__xludf.DUMMYFUNCTION("""COMPUTED_VALUE"""),"Kazam _2022")</f>
        <v>Kazam _2022</v>
      </c>
      <c r="C328" s="6" t="str">
        <f ca="1">IFERROR(__xludf.DUMMYFUNCTION("""COMPUTED_VALUE"""),"Digital Tech")</f>
        <v>Digital Tech</v>
      </c>
      <c r="D328" s="6" t="str">
        <f ca="1">IFERROR(__xludf.DUMMYFUNCTION("""COMPUTED_VALUE"""),"Bangalore, Karnataka 
India")</f>
        <v>Bangalore, Karnataka 
India</v>
      </c>
      <c r="E328" s="6" t="str">
        <f ca="1">IFERROR(__xludf.DUMMYFUNCTION("""COMPUTED_VALUE"""),"International - Asia")</f>
        <v>International - Asia</v>
      </c>
      <c r="F328" s="6" t="str">
        <f ca="1">IFERROR(__xludf.DUMMYFUNCTION("""COMPUTED_VALUE"""),"Man")</f>
        <v>Man</v>
      </c>
      <c r="G328" s="6" t="str">
        <f ca="1">IFERROR(__xludf.DUMMYFUNCTION("""COMPUTED_VALUE"""),"Man")</f>
        <v>Man</v>
      </c>
      <c r="H328" s="6"/>
      <c r="I328" s="6"/>
      <c r="J328" s="6"/>
      <c r="K328" s="6"/>
      <c r="L328" s="6" t="str">
        <f ca="1">IFERROR(__xludf.DUMMYFUNCTION("""COMPUTED_VALUE"""),"No")</f>
        <v>No</v>
      </c>
      <c r="M328" s="6"/>
      <c r="N328" s="6"/>
      <c r="O328" s="6" t="str">
        <f ca="1">IFERROR(__xludf.DUMMYFUNCTION("""COMPUTED_VALUE"""),"Email")</f>
        <v>Email</v>
      </c>
      <c r="P328" s="6"/>
      <c r="Q328" s="6" t="str">
        <f ca="1">IFERROR(__xludf.DUMMYFUNCTION("""COMPUTED_VALUE"""),"No")</f>
        <v>No</v>
      </c>
      <c r="R328" s="6">
        <f ca="1">IFERROR(__xludf.DUMMYFUNCTION("""COMPUTED_VALUE"""),2)</f>
        <v>2</v>
      </c>
      <c r="S328" s="6" t="str">
        <f ca="1">IFERROR(__xludf.DUMMYFUNCTION("""COMPUTED_VALUE"""),"Seed
Bridge")</f>
        <v>Seed
Bridge</v>
      </c>
      <c r="T328" s="6" t="str">
        <f ca="1">IFERROR(__xludf.DUMMYFUNCTION("""COMPUTED_VALUE"""),"Seed, Bridge")</f>
        <v>Seed, Bridge</v>
      </c>
      <c r="U328" s="6" t="str">
        <f ca="1">IFERROR(__xludf.DUMMYFUNCTION("""COMPUTED_VALUE"""),"Seed, Bridge")</f>
        <v>Seed, Bridge</v>
      </c>
      <c r="V328" s="6"/>
      <c r="W328" s="6" t="str">
        <f ca="1">IFERROR(__xludf.DUMMYFUNCTION("""COMPUTED_VALUE"""),"Invite Next Year")</f>
        <v>Invite Next Year</v>
      </c>
    </row>
    <row r="329" spans="1:23">
      <c r="A329" s="6" t="str">
        <f ca="1">IFERROR(__xludf.DUMMYFUNCTION("""COMPUTED_VALUE"""),"Woman, Man")</f>
        <v>Woman, Man</v>
      </c>
      <c r="B329" s="6" t="str">
        <f ca="1">IFERROR(__xludf.DUMMYFUNCTION("""COMPUTED_VALUE"""),"Genomic Expression Inc _2022")</f>
        <v>Genomic Expression Inc _2022</v>
      </c>
      <c r="C329" s="6" t="str">
        <f ca="1">IFERROR(__xludf.DUMMYFUNCTION("""COMPUTED_VALUE"""),"Life Sciences")</f>
        <v>Life Sciences</v>
      </c>
      <c r="D329" s="6" t="str">
        <f ca="1">IFERROR(__xludf.DUMMYFUNCTION("""COMPUTED_VALUE"""),"Beverly, MA 
United States")</f>
        <v>Beverly, MA 
United States</v>
      </c>
      <c r="E329" s="6" t="str">
        <f ca="1">IFERROR(__xludf.DUMMYFUNCTION("""COMPUTED_VALUE"""),"East Coast")</f>
        <v>East Coast</v>
      </c>
      <c r="F329" s="6" t="str">
        <f ca="1">IFERROR(__xludf.DUMMYFUNCTION("""COMPUTED_VALUE"""),"Woman")</f>
        <v>Woman</v>
      </c>
      <c r="G329" s="6" t="str">
        <f ca="1">IFERROR(__xludf.DUMMYFUNCTION("""COMPUTED_VALUE"""),"Man")</f>
        <v>Man</v>
      </c>
      <c r="H329" s="6"/>
      <c r="I329" s="6"/>
      <c r="J329" s="6"/>
      <c r="K329" s="6"/>
      <c r="L329" s="6" t="str">
        <f ca="1">IFERROR(__xludf.DUMMYFUNCTION("""COMPUTED_VALUE"""),"Yes")</f>
        <v>Yes</v>
      </c>
      <c r="M329" s="6" t="str">
        <f ca="1">IFERROR(__xludf.DUMMYFUNCTION("""COMPUTED_VALUE"""),"NYU Staff")</f>
        <v>NYU Staff</v>
      </c>
      <c r="N329" s="6"/>
      <c r="O329" s="6" t="str">
        <f ca="1">IFERROR(__xludf.DUMMYFUNCTION("""COMPUTED_VALUE"""),"Email")</f>
        <v>Email</v>
      </c>
      <c r="P329" s="6"/>
      <c r="Q329" s="6" t="str">
        <f ca="1">IFERROR(__xludf.DUMMYFUNCTION("""COMPUTED_VALUE"""),"Yes")</f>
        <v>Yes</v>
      </c>
      <c r="R329" s="6">
        <f ca="1">IFERROR(__xludf.DUMMYFUNCTION("""COMPUTED_VALUE"""),2)</f>
        <v>2</v>
      </c>
      <c r="S329" s="6" t="str">
        <f ca="1">IFERROR(__xludf.DUMMYFUNCTION("""COMPUTED_VALUE"""),"Pre-seed
Seed
Debt financing
Grants")</f>
        <v>Pre-seed
Seed
Debt financing
Grants</v>
      </c>
      <c r="T329" s="6" t="str">
        <f ca="1">IFERROR(__xludf.DUMMYFUNCTION("""COMPUTED_VALUE"""),"Pre-seed, Seed, Debt financing, Grants")</f>
        <v>Pre-seed, Seed, Debt financing, Grants</v>
      </c>
      <c r="U329" s="6" t="str">
        <f ca="1">IFERROR(__xludf.DUMMYFUNCTION("""COMPUTED_VALUE"""),"Pre-seed, Seed, Debt financing, Grants")</f>
        <v>Pre-seed, Seed, Debt financing, Grants</v>
      </c>
      <c r="V329" s="6"/>
      <c r="W329" s="6" t="str">
        <f ca="1">IFERROR(__xludf.DUMMYFUNCTION("""COMPUTED_VALUE"""),"Invite")</f>
        <v>Invite</v>
      </c>
    </row>
    <row r="330" spans="1:23">
      <c r="A330" s="6" t="str">
        <f ca="1">IFERROR(__xludf.DUMMYFUNCTION("""COMPUTED_VALUE"""),"Man, Man")</f>
        <v>Man, Man</v>
      </c>
      <c r="B330" s="6" t="str">
        <f ca="1">IFERROR(__xludf.DUMMYFUNCTION("""COMPUTED_VALUE"""),"Veyond Metaverse, Inc _2022")</f>
        <v>Veyond Metaverse, Inc _2022</v>
      </c>
      <c r="C330" s="6" t="str">
        <f ca="1">IFERROR(__xludf.DUMMYFUNCTION("""COMPUTED_VALUE"""),"Deep Tech")</f>
        <v>Deep Tech</v>
      </c>
      <c r="D330" s="6" t="str">
        <f ca="1">IFERROR(__xludf.DUMMYFUNCTION("""COMPUTED_VALUE"""),"4061 E Castro Valley Blvd, Castro Valley, CA 
United States")</f>
        <v>4061 E Castro Valley Blvd, Castro Valley, CA 
United States</v>
      </c>
      <c r="E330" s="6" t="str">
        <f ca="1">IFERROR(__xludf.DUMMYFUNCTION("""COMPUTED_VALUE"""),"West Coast")</f>
        <v>West Coast</v>
      </c>
      <c r="F330" s="6" t="str">
        <f ca="1">IFERROR(__xludf.DUMMYFUNCTION("""COMPUTED_VALUE"""),"Man")</f>
        <v>Man</v>
      </c>
      <c r="G330" s="6" t="str">
        <f ca="1">IFERROR(__xludf.DUMMYFUNCTION("""COMPUTED_VALUE"""),"Man")</f>
        <v>Man</v>
      </c>
      <c r="H330" s="6"/>
      <c r="I330" s="6"/>
      <c r="J330" s="6"/>
      <c r="K330" s="6"/>
      <c r="L330" s="6" t="str">
        <f ca="1">IFERROR(__xludf.DUMMYFUNCTION("""COMPUTED_VALUE"""),"No")</f>
        <v>No</v>
      </c>
      <c r="M330" s="6"/>
      <c r="N330" s="6"/>
      <c r="O330" s="6" t="str">
        <f ca="1">IFERROR(__xludf.DUMMYFUNCTION("""COMPUTED_VALUE"""),"Email")</f>
        <v>Email</v>
      </c>
      <c r="P330" s="6"/>
      <c r="Q330" s="6" t="str">
        <f ca="1">IFERROR(__xludf.DUMMYFUNCTION("""COMPUTED_VALUE"""),"No")</f>
        <v>No</v>
      </c>
      <c r="R330" s="6">
        <f ca="1">IFERROR(__xludf.DUMMYFUNCTION("""COMPUTED_VALUE"""),2)</f>
        <v>2</v>
      </c>
      <c r="S330" s="6" t="str">
        <f ca="1">IFERROR(__xludf.DUMMYFUNCTION("""COMPUTED_VALUE"""),"Seed")</f>
        <v>Seed</v>
      </c>
      <c r="T330" s="6" t="str">
        <f ca="1">IFERROR(__xludf.DUMMYFUNCTION("""COMPUTED_VALUE"""),"Seed")</f>
        <v>Seed</v>
      </c>
      <c r="U330" s="6" t="str">
        <f ca="1">IFERROR(__xludf.DUMMYFUNCTION("""COMPUTED_VALUE"""),"Seed")</f>
        <v>Seed</v>
      </c>
      <c r="V330" s="6"/>
      <c r="W330" s="6" t="str">
        <f ca="1">IFERROR(__xludf.DUMMYFUNCTION("""COMPUTED_VALUE"""),"Revisit")</f>
        <v>Revisit</v>
      </c>
    </row>
    <row r="331" spans="1:23">
      <c r="A331" s="6" t="str">
        <f ca="1">IFERROR(__xludf.DUMMYFUNCTION("""COMPUTED_VALUE"""),"Man")</f>
        <v>Man</v>
      </c>
      <c r="B331" s="6" t="str">
        <f ca="1">IFERROR(__xludf.DUMMYFUNCTION("""COMPUTED_VALUE"""),"10Adventures _2022")</f>
        <v>10Adventures _2022</v>
      </c>
      <c r="C331" s="6" t="str">
        <f ca="1">IFERROR(__xludf.DUMMYFUNCTION("""COMPUTED_VALUE"""),"Digital Tech")</f>
        <v>Digital Tech</v>
      </c>
      <c r="D331" s="6" t="str">
        <f ca="1">IFERROR(__xludf.DUMMYFUNCTION("""COMPUTED_VALUE"""),"Calgary, Alberta 
Canada")</f>
        <v>Calgary, Alberta 
Canada</v>
      </c>
      <c r="E331" s="6" t="str">
        <f ca="1">IFERROR(__xludf.DUMMYFUNCTION("""COMPUTED_VALUE"""),"International - Americas")</f>
        <v>International - Americas</v>
      </c>
      <c r="F331" s="6" t="str">
        <f ca="1">IFERROR(__xludf.DUMMYFUNCTION("""COMPUTED_VALUE"""),"Man")</f>
        <v>Man</v>
      </c>
      <c r="G331" s="6"/>
      <c r="H331" s="6"/>
      <c r="I331" s="6"/>
      <c r="J331" s="6"/>
      <c r="K331" s="6"/>
      <c r="L331" s="6" t="str">
        <f ca="1">IFERROR(__xludf.DUMMYFUNCTION("""COMPUTED_VALUE"""),"No")</f>
        <v>No</v>
      </c>
      <c r="M331" s="6"/>
      <c r="N331" s="6"/>
      <c r="O331" s="6" t="str">
        <f ca="1">IFERROR(__xludf.DUMMYFUNCTION("""COMPUTED_VALUE"""),"Email")</f>
        <v>Email</v>
      </c>
      <c r="P331" s="6"/>
      <c r="Q331" s="6" t="str">
        <f ca="1">IFERROR(__xludf.DUMMYFUNCTION("""COMPUTED_VALUE"""),"No")</f>
        <v>No</v>
      </c>
      <c r="R331" s="6">
        <f ca="1">IFERROR(__xludf.DUMMYFUNCTION("""COMPUTED_VALUE"""),1)</f>
        <v>1</v>
      </c>
      <c r="S331" s="6" t="str">
        <f ca="1">IFERROR(__xludf.DUMMYFUNCTION("""COMPUTED_VALUE"""),"Pre-seed")</f>
        <v>Pre-seed</v>
      </c>
      <c r="T331" s="6" t="str">
        <f ca="1">IFERROR(__xludf.DUMMYFUNCTION("""COMPUTED_VALUE"""),"Pre-seed")</f>
        <v>Pre-seed</v>
      </c>
      <c r="U331" s="6" t="str">
        <f ca="1">IFERROR(__xludf.DUMMYFUNCTION("""COMPUTED_VALUE"""),"Pre-seed")</f>
        <v>Pre-seed</v>
      </c>
      <c r="V331" s="6"/>
      <c r="W331" s="6" t="str">
        <f ca="1">IFERROR(__xludf.DUMMYFUNCTION("""COMPUTED_VALUE"""),"Invite Next Year")</f>
        <v>Invite Next Year</v>
      </c>
    </row>
    <row r="332" spans="1:23">
      <c r="A332" s="6" t="str">
        <f ca="1">IFERROR(__xludf.DUMMYFUNCTION("""COMPUTED_VALUE"""),"Man, Man, Man")</f>
        <v>Man, Man, Man</v>
      </c>
      <c r="B332" s="6" t="str">
        <f ca="1">IFERROR(__xludf.DUMMYFUNCTION("""COMPUTED_VALUE"""),"MetaPals _2022")</f>
        <v>MetaPals _2022</v>
      </c>
      <c r="C332" s="6" t="str">
        <f ca="1">IFERROR(__xludf.DUMMYFUNCTION("""COMPUTED_VALUE"""),"Digital Tech")</f>
        <v>Digital Tech</v>
      </c>
      <c r="D332" s="6" t="str">
        <f ca="1">IFERROR(__xludf.DUMMYFUNCTION("""COMPUTED_VALUE"""),"Singapore, Singapore 
Singapore")</f>
        <v>Singapore, Singapore 
Singapore</v>
      </c>
      <c r="E332" s="6" t="str">
        <f ca="1">IFERROR(__xludf.DUMMYFUNCTION("""COMPUTED_VALUE"""),"International - Asia")</f>
        <v>International - Asia</v>
      </c>
      <c r="F332" s="6" t="str">
        <f ca="1">IFERROR(__xludf.DUMMYFUNCTION("""COMPUTED_VALUE"""),"Man")</f>
        <v>Man</v>
      </c>
      <c r="G332" s="6" t="str">
        <f ca="1">IFERROR(__xludf.DUMMYFUNCTION("""COMPUTED_VALUE"""),"Man")</f>
        <v>Man</v>
      </c>
      <c r="H332" s="6" t="str">
        <f ca="1">IFERROR(__xludf.DUMMYFUNCTION("""COMPUTED_VALUE"""),"Man")</f>
        <v>Man</v>
      </c>
      <c r="I332" s="6"/>
      <c r="J332" s="6"/>
      <c r="K332" s="6"/>
      <c r="L332" s="6" t="str">
        <f ca="1">IFERROR(__xludf.DUMMYFUNCTION("""COMPUTED_VALUE"""),"No")</f>
        <v>No</v>
      </c>
      <c r="M332" s="6"/>
      <c r="N332" s="6"/>
      <c r="O332" s="6" t="str">
        <f ca="1">IFERROR(__xludf.DUMMYFUNCTION("""COMPUTED_VALUE"""),"Referral")</f>
        <v>Referral</v>
      </c>
      <c r="P332" s="6"/>
      <c r="Q332" s="6" t="str">
        <f ca="1">IFERROR(__xludf.DUMMYFUNCTION("""COMPUTED_VALUE"""),"No")</f>
        <v>No</v>
      </c>
      <c r="R332" s="6">
        <f ca="1">IFERROR(__xludf.DUMMYFUNCTION("""COMPUTED_VALUE"""),3)</f>
        <v>3</v>
      </c>
      <c r="S332" s="6" t="str">
        <f ca="1">IFERROR(__xludf.DUMMYFUNCTION("""COMPUTED_VALUE"""),"Pre-seed")</f>
        <v>Pre-seed</v>
      </c>
      <c r="T332" s="6" t="str">
        <f ca="1">IFERROR(__xludf.DUMMYFUNCTION("""COMPUTED_VALUE"""),"Pre-seed")</f>
        <v>Pre-seed</v>
      </c>
      <c r="U332" s="6" t="str">
        <f ca="1">IFERROR(__xludf.DUMMYFUNCTION("""COMPUTED_VALUE"""),"Pre-seed")</f>
        <v>Pre-seed</v>
      </c>
      <c r="V332" s="6"/>
      <c r="W332" s="6" t="str">
        <f ca="1">IFERROR(__xludf.DUMMYFUNCTION("""COMPUTED_VALUE"""),"Invite Next Year")</f>
        <v>Invite Next Year</v>
      </c>
    </row>
    <row r="333" spans="1:23">
      <c r="A333" s="6" t="str">
        <f ca="1">IFERROR(__xludf.DUMMYFUNCTION("""COMPUTED_VALUE"""),"Man, Man")</f>
        <v>Man, Man</v>
      </c>
      <c r="B333" s="6" t="str">
        <f ca="1">IFERROR(__xludf.DUMMYFUNCTION("""COMPUTED_VALUE"""),"Beacon Street Innovations _2022")</f>
        <v>Beacon Street Innovations _2022</v>
      </c>
      <c r="C333" s="6" t="str">
        <f ca="1">IFERROR(__xludf.DUMMYFUNCTION("""COMPUTED_VALUE"""),"Deep Tech")</f>
        <v>Deep Tech</v>
      </c>
      <c r="D333" s="6" t="str">
        <f ca="1">IFERROR(__xludf.DUMMYFUNCTION("""COMPUTED_VALUE"""),"Gahanna, Ohio 
United States")</f>
        <v>Gahanna, Ohio 
United States</v>
      </c>
      <c r="E333" s="6" t="str">
        <f ca="1">IFERROR(__xludf.DUMMYFUNCTION("""COMPUTED_VALUE"""),"Midwest")</f>
        <v>Midwest</v>
      </c>
      <c r="F333" s="6" t="str">
        <f ca="1">IFERROR(__xludf.DUMMYFUNCTION("""COMPUTED_VALUE"""),"Man")</f>
        <v>Man</v>
      </c>
      <c r="G333" s="6" t="str">
        <f ca="1">IFERROR(__xludf.DUMMYFUNCTION("""COMPUTED_VALUE"""),"Man")</f>
        <v>Man</v>
      </c>
      <c r="H333" s="6"/>
      <c r="I333" s="6"/>
      <c r="J333" s="6"/>
      <c r="K333" s="6"/>
      <c r="L333" s="6" t="str">
        <f ca="1">IFERROR(__xludf.DUMMYFUNCTION("""COMPUTED_VALUE"""),"No")</f>
        <v>No</v>
      </c>
      <c r="M333" s="6"/>
      <c r="N333" s="6"/>
      <c r="O333" s="6" t="str">
        <f ca="1">IFERROR(__xludf.DUMMYFUNCTION("""COMPUTED_VALUE"""),"Email")</f>
        <v>Email</v>
      </c>
      <c r="P333" s="6"/>
      <c r="Q333" s="6" t="str">
        <f ca="1">IFERROR(__xludf.DUMMYFUNCTION("""COMPUTED_VALUE"""),"No")</f>
        <v>No</v>
      </c>
      <c r="R333" s="6">
        <f ca="1">IFERROR(__xludf.DUMMYFUNCTION("""COMPUTED_VALUE"""),2)</f>
        <v>2</v>
      </c>
      <c r="S333" s="6" t="str">
        <f ca="1">IFERROR(__xludf.DUMMYFUNCTION("""COMPUTED_VALUE"""),"Pre-seed")</f>
        <v>Pre-seed</v>
      </c>
      <c r="T333" s="6" t="str">
        <f ca="1">IFERROR(__xludf.DUMMYFUNCTION("""COMPUTED_VALUE"""),"Pre-seed")</f>
        <v>Pre-seed</v>
      </c>
      <c r="U333" s="6" t="str">
        <f ca="1">IFERROR(__xludf.DUMMYFUNCTION("""COMPUTED_VALUE"""),"Pre-seed")</f>
        <v>Pre-seed</v>
      </c>
      <c r="V333" s="6"/>
      <c r="W333" s="6" t="str">
        <f ca="1">IFERROR(__xludf.DUMMYFUNCTION("""COMPUTED_VALUE"""),"Invite Next Year")</f>
        <v>Invite Next Year</v>
      </c>
    </row>
    <row r="334" spans="1:23">
      <c r="A334" s="6" t="str">
        <f ca="1">IFERROR(__xludf.DUMMYFUNCTION("""COMPUTED_VALUE"""),"Man")</f>
        <v>Man</v>
      </c>
      <c r="B334" s="6" t="str">
        <f ca="1">IFERROR(__xludf.DUMMYFUNCTION("""COMPUTED_VALUE"""),"Hero Trainer Inc. _2022")</f>
        <v>Hero Trainer Inc. _2022</v>
      </c>
      <c r="C334" s="6" t="str">
        <f ca="1">IFERROR(__xludf.DUMMYFUNCTION("""COMPUTED_VALUE"""),"Digital Tech")</f>
        <v>Digital Tech</v>
      </c>
      <c r="D334" s="6" t="str">
        <f ca="1">IFERROR(__xludf.DUMMYFUNCTION("""COMPUTED_VALUE"""),"Pleasanton, CA 
United States")</f>
        <v>Pleasanton, CA 
United States</v>
      </c>
      <c r="E334" s="6" t="str">
        <f ca="1">IFERROR(__xludf.DUMMYFUNCTION("""COMPUTED_VALUE"""),"West Coast")</f>
        <v>West Coast</v>
      </c>
      <c r="F334" s="6" t="str">
        <f ca="1">IFERROR(__xludf.DUMMYFUNCTION("""COMPUTED_VALUE"""),"Man")</f>
        <v>Man</v>
      </c>
      <c r="G334" s="6"/>
      <c r="H334" s="6"/>
      <c r="I334" s="6"/>
      <c r="J334" s="6"/>
      <c r="K334" s="6"/>
      <c r="L334" s="6" t="str">
        <f ca="1">IFERROR(__xludf.DUMMYFUNCTION("""COMPUTED_VALUE"""),"No")</f>
        <v>No</v>
      </c>
      <c r="M334" s="6"/>
      <c r="N334" s="6"/>
      <c r="O334" s="6" t="str">
        <f ca="1">IFERROR(__xludf.DUMMYFUNCTION("""COMPUTED_VALUE"""),"Email")</f>
        <v>Email</v>
      </c>
      <c r="P334" s="6"/>
      <c r="Q334" s="6" t="str">
        <f ca="1">IFERROR(__xludf.DUMMYFUNCTION("""COMPUTED_VALUE"""),"No")</f>
        <v>No</v>
      </c>
      <c r="R334" s="6">
        <f ca="1">IFERROR(__xludf.DUMMYFUNCTION("""COMPUTED_VALUE"""),1)</f>
        <v>1</v>
      </c>
      <c r="S334" s="6" t="str">
        <f ca="1">IFERROR(__xludf.DUMMYFUNCTION("""COMPUTED_VALUE"""),"Pre-seed")</f>
        <v>Pre-seed</v>
      </c>
      <c r="T334" s="6" t="str">
        <f ca="1">IFERROR(__xludf.DUMMYFUNCTION("""COMPUTED_VALUE"""),"Pre-seed")</f>
        <v>Pre-seed</v>
      </c>
      <c r="U334" s="6" t="str">
        <f ca="1">IFERROR(__xludf.DUMMYFUNCTION("""COMPUTED_VALUE"""),"Pre-seed")</f>
        <v>Pre-seed</v>
      </c>
      <c r="V334" s="6"/>
      <c r="W334" s="6" t="str">
        <f ca="1">IFERROR(__xludf.DUMMYFUNCTION("""COMPUTED_VALUE"""),"Invite Next Year")</f>
        <v>Invite Next Year</v>
      </c>
    </row>
    <row r="335" spans="1:23">
      <c r="A335" s="6" t="str">
        <f ca="1">IFERROR(__xludf.DUMMYFUNCTION("""COMPUTED_VALUE"""),"Man, Man, Woman")</f>
        <v>Man, Man, Woman</v>
      </c>
      <c r="B335" s="6" t="str">
        <f ca="1">IFERROR(__xludf.DUMMYFUNCTION("""COMPUTED_VALUE"""),"5ire _2022")</f>
        <v>5ire _2022</v>
      </c>
      <c r="C335" s="6" t="str">
        <f ca="1">IFERROR(__xludf.DUMMYFUNCTION("""COMPUTED_VALUE"""),"Digital Tech")</f>
        <v>Digital Tech</v>
      </c>
      <c r="D335" s="6" t="str">
        <f ca="1">IFERROR(__xludf.DUMMYFUNCTION("""COMPUTED_VALUE"""),"Unit Number 101, IFZA Dubai - Building A2, Dubai Silicon Oasis, Dubai, United Arab Emirates, Dubai 
United Arab Emirates")</f>
        <v>Unit Number 101, IFZA Dubai - Building A2, Dubai Silicon Oasis, Dubai, United Arab Emirates, Dubai 
United Arab Emirates</v>
      </c>
      <c r="E335" s="6" t="str">
        <f ca="1">IFERROR(__xludf.DUMMYFUNCTION("""COMPUTED_VALUE"""),"International - Middle East")</f>
        <v>International - Middle East</v>
      </c>
      <c r="F335" s="6" t="str">
        <f ca="1">IFERROR(__xludf.DUMMYFUNCTION("""COMPUTED_VALUE"""),"Man")</f>
        <v>Man</v>
      </c>
      <c r="G335" s="6" t="str">
        <f ca="1">IFERROR(__xludf.DUMMYFUNCTION("""COMPUTED_VALUE"""),"Man")</f>
        <v>Man</v>
      </c>
      <c r="H335" s="6" t="str">
        <f ca="1">IFERROR(__xludf.DUMMYFUNCTION("""COMPUTED_VALUE"""),"Woman")</f>
        <v>Woman</v>
      </c>
      <c r="I335" s="6"/>
      <c r="J335" s="6"/>
      <c r="K335" s="6"/>
      <c r="L335" s="6" t="str">
        <f ca="1">IFERROR(__xludf.DUMMYFUNCTION("""COMPUTED_VALUE"""),"No")</f>
        <v>No</v>
      </c>
      <c r="M335" s="6"/>
      <c r="N335" s="6"/>
      <c r="O335" s="6" t="str">
        <f ca="1">IFERROR(__xludf.DUMMYFUNCTION("""COMPUTED_VALUE"""),"Email")</f>
        <v>Email</v>
      </c>
      <c r="P335" s="6"/>
      <c r="Q335" s="6" t="str">
        <f ca="1">IFERROR(__xludf.DUMMYFUNCTION("""COMPUTED_VALUE"""),"No")</f>
        <v>No</v>
      </c>
      <c r="R335" s="6">
        <f ca="1">IFERROR(__xludf.DUMMYFUNCTION("""COMPUTED_VALUE"""),3)</f>
        <v>3</v>
      </c>
      <c r="S335" s="6" t="str">
        <f ca="1">IFERROR(__xludf.DUMMYFUNCTION("""COMPUTED_VALUE"""),"Seed
Series A")</f>
        <v>Seed
Series A</v>
      </c>
      <c r="T335" s="6" t="str">
        <f ca="1">IFERROR(__xludf.DUMMYFUNCTION("""COMPUTED_VALUE"""),"Seed, Series A")</f>
        <v>Seed, Series A</v>
      </c>
      <c r="U335" s="6" t="str">
        <f ca="1">IFERROR(__xludf.DUMMYFUNCTION("""COMPUTED_VALUE"""),"Seed, Series A")</f>
        <v>Seed, Series A</v>
      </c>
      <c r="V335" s="6"/>
      <c r="W335" s="6" t="str">
        <f ca="1">IFERROR(__xludf.DUMMYFUNCTION("""COMPUTED_VALUE"""),"Invite Next Year")</f>
        <v>Invite Next Year</v>
      </c>
    </row>
    <row r="336" spans="1:23">
      <c r="A336" s="6" t="str">
        <f ca="1">IFERROR(__xludf.DUMMYFUNCTION("""COMPUTED_VALUE"""),"Man, Man, Woman")</f>
        <v>Man, Man, Woman</v>
      </c>
      <c r="B336" s="6" t="str">
        <f ca="1">IFERROR(__xludf.DUMMYFUNCTION("""COMPUTED_VALUE"""),"Aspisafe Solutions Inc. _2022")</f>
        <v>Aspisafe Solutions Inc. _2022</v>
      </c>
      <c r="C336" s="6" t="str">
        <f ca="1">IFERROR(__xludf.DUMMYFUNCTION("""COMPUTED_VALUE"""),"Deep Tech")</f>
        <v>Deep Tech</v>
      </c>
      <c r="D336" s="6" t="str">
        <f ca="1">IFERROR(__xludf.DUMMYFUNCTION("""COMPUTED_VALUE"""),"Brooklyn, NY 
United States")</f>
        <v>Brooklyn, NY 
United States</v>
      </c>
      <c r="E336" s="6" t="str">
        <f ca="1">IFERROR(__xludf.DUMMYFUNCTION("""COMPUTED_VALUE"""),"New York")</f>
        <v>New York</v>
      </c>
      <c r="F336" s="6" t="str">
        <f ca="1">IFERROR(__xludf.DUMMYFUNCTION("""COMPUTED_VALUE"""),"Man")</f>
        <v>Man</v>
      </c>
      <c r="G336" s="6" t="str">
        <f ca="1">IFERROR(__xludf.DUMMYFUNCTION("""COMPUTED_VALUE"""),"Man")</f>
        <v>Man</v>
      </c>
      <c r="H336" s="6" t="str">
        <f ca="1">IFERROR(__xludf.DUMMYFUNCTION("""COMPUTED_VALUE"""),"Woman")</f>
        <v>Woman</v>
      </c>
      <c r="I336" s="6"/>
      <c r="J336" s="6"/>
      <c r="K336" s="6"/>
      <c r="L336" s="6" t="str">
        <f ca="1">IFERROR(__xludf.DUMMYFUNCTION("""COMPUTED_VALUE"""),"Yes")</f>
        <v>Yes</v>
      </c>
      <c r="M336" s="6" t="str">
        <f ca="1">IFERROR(__xludf.DUMMYFUNCTION("""COMPUTED_VALUE"""),"NYU Faculty")</f>
        <v>NYU Faculty</v>
      </c>
      <c r="N336" s="6"/>
      <c r="O336" s="6" t="str">
        <f ca="1">IFERROR(__xludf.DUMMYFUNCTION("""COMPUTED_VALUE"""),"Email")</f>
        <v>Email</v>
      </c>
      <c r="P336" s="6"/>
      <c r="Q336" s="6" t="str">
        <f ca="1">IFERROR(__xludf.DUMMYFUNCTION("""COMPUTED_VALUE"""),"No")</f>
        <v>No</v>
      </c>
      <c r="R336" s="6">
        <f ca="1">IFERROR(__xludf.DUMMYFUNCTION("""COMPUTED_VALUE"""),3)</f>
        <v>3</v>
      </c>
      <c r="S336" s="6" t="str">
        <f ca="1">IFERROR(__xludf.DUMMYFUNCTION("""COMPUTED_VALUE"""),"Seed")</f>
        <v>Seed</v>
      </c>
      <c r="T336" s="6" t="str">
        <f ca="1">IFERROR(__xludf.DUMMYFUNCTION("""COMPUTED_VALUE"""),"Seed")</f>
        <v>Seed</v>
      </c>
      <c r="U336" s="6" t="str">
        <f ca="1">IFERROR(__xludf.DUMMYFUNCTION("""COMPUTED_VALUE"""),"Seed")</f>
        <v>Seed</v>
      </c>
      <c r="V336" s="6"/>
      <c r="W336" s="6" t="str">
        <f ca="1">IFERROR(__xludf.DUMMYFUNCTION("""COMPUTED_VALUE"""),"Invite Next Year")</f>
        <v>Invite Next Year</v>
      </c>
    </row>
    <row r="337" spans="1:23">
      <c r="A337" s="6" t="str">
        <f ca="1">IFERROR(__xludf.DUMMYFUNCTION("""COMPUTED_VALUE"""),"Man")</f>
        <v>Man</v>
      </c>
      <c r="B337" s="6" t="str">
        <f ca="1">IFERROR(__xludf.DUMMYFUNCTION("""COMPUTED_VALUE"""),"Joulez, Inc. _2022")</f>
        <v>Joulez, Inc. _2022</v>
      </c>
      <c r="C337" s="6" t="str">
        <f ca="1">IFERROR(__xludf.DUMMYFUNCTION("""COMPUTED_VALUE"""),"Digital Tech")</f>
        <v>Digital Tech</v>
      </c>
      <c r="D337" s="6" t="str">
        <f ca="1">IFERROR(__xludf.DUMMYFUNCTION("""COMPUTED_VALUE"""),"Bronx, NY 
United States")</f>
        <v>Bronx, NY 
United States</v>
      </c>
      <c r="E337" s="6" t="str">
        <f ca="1">IFERROR(__xludf.DUMMYFUNCTION("""COMPUTED_VALUE"""),"New York")</f>
        <v>New York</v>
      </c>
      <c r="F337" s="6" t="str">
        <f ca="1">IFERROR(__xludf.DUMMYFUNCTION("""COMPUTED_VALUE"""),"Man")</f>
        <v>Man</v>
      </c>
      <c r="G337" s="6"/>
      <c r="H337" s="6"/>
      <c r="I337" s="6"/>
      <c r="J337" s="6"/>
      <c r="K337" s="6"/>
      <c r="L337" s="6" t="str">
        <f ca="1">IFERROR(__xludf.DUMMYFUNCTION("""COMPUTED_VALUE"""),"No")</f>
        <v>No</v>
      </c>
      <c r="M337" s="6"/>
      <c r="N337" s="6"/>
      <c r="O337" s="6" t="str">
        <f ca="1">IFERROR(__xludf.DUMMYFUNCTION("""COMPUTED_VALUE"""),"Referral")</f>
        <v>Referral</v>
      </c>
      <c r="P337" s="6"/>
      <c r="Q337" s="6" t="str">
        <f ca="1">IFERROR(__xludf.DUMMYFUNCTION("""COMPUTED_VALUE"""),"No")</f>
        <v>No</v>
      </c>
      <c r="R337" s="6">
        <f ca="1">IFERROR(__xludf.DUMMYFUNCTION("""COMPUTED_VALUE"""),1)</f>
        <v>1</v>
      </c>
      <c r="S337" s="6" t="str">
        <f ca="1">IFERROR(__xludf.DUMMYFUNCTION("""COMPUTED_VALUE"""),"Other: RegCF")</f>
        <v>Other: RegCF</v>
      </c>
      <c r="T337" s="6" t="str">
        <f ca="1">IFERROR(__xludf.DUMMYFUNCTION("""COMPUTED_VALUE"""),"Other: RegCF")</f>
        <v>Other: RegCF</v>
      </c>
      <c r="U337" s="6" t="str">
        <f ca="1">IFERROR(__xludf.DUMMYFUNCTION("""COMPUTED_VALUE"""),"RegCF")</f>
        <v>RegCF</v>
      </c>
      <c r="V337" s="6"/>
      <c r="W337" s="6" t="str">
        <f ca="1">IFERROR(__xludf.DUMMYFUNCTION("""COMPUTED_VALUE"""),"Invite Next Year")</f>
        <v>Invite Next Year</v>
      </c>
    </row>
    <row r="338" spans="1:23">
      <c r="A338" s="6" t="str">
        <f ca="1">IFERROR(__xludf.DUMMYFUNCTION("""COMPUTED_VALUE"""),"Woman")</f>
        <v>Woman</v>
      </c>
      <c r="B338" s="6" t="str">
        <f ca="1">IFERROR(__xludf.DUMMYFUNCTION("""COMPUTED_VALUE"""),"Seek Health AI _2022")</f>
        <v>Seek Health AI _2022</v>
      </c>
      <c r="C338" s="6" t="str">
        <f ca="1">IFERROR(__xludf.DUMMYFUNCTION("""COMPUTED_VALUE"""),"Digital Tech")</f>
        <v>Digital Tech</v>
      </c>
      <c r="D338" s="6" t="str">
        <f ca="1">IFERROR(__xludf.DUMMYFUNCTION("""COMPUTED_VALUE"""),"132 Wayne St, New Jersey 
United States")</f>
        <v>132 Wayne St, New Jersey 
United States</v>
      </c>
      <c r="E338" s="6" t="str">
        <f ca="1">IFERROR(__xludf.DUMMYFUNCTION("""COMPUTED_VALUE"""),"East Coast")</f>
        <v>East Coast</v>
      </c>
      <c r="F338" s="6" t="str">
        <f ca="1">IFERROR(__xludf.DUMMYFUNCTION("""COMPUTED_VALUE"""),"Woman")</f>
        <v>Woman</v>
      </c>
      <c r="G338" s="6"/>
      <c r="H338" s="6"/>
      <c r="I338" s="6"/>
      <c r="J338" s="6"/>
      <c r="K338" s="6"/>
      <c r="L338" s="6" t="str">
        <f ca="1">IFERROR(__xludf.DUMMYFUNCTION("""COMPUTED_VALUE"""),"Yes")</f>
        <v>Yes</v>
      </c>
      <c r="M338" s="6" t="str">
        <f ca="1">IFERROR(__xludf.DUMMYFUNCTION("""COMPUTED_VALUE"""),"Former NYU Fellow/Faculty/Staff")</f>
        <v>Former NYU Fellow/Faculty/Staff</v>
      </c>
      <c r="N338" s="6"/>
      <c r="O338" s="6" t="str">
        <f ca="1">IFERROR(__xludf.DUMMYFUNCTION("""COMPUTED_VALUE"""),"Other")</f>
        <v>Other</v>
      </c>
      <c r="P338" s="6"/>
      <c r="Q338" s="6" t="str">
        <f ca="1">IFERROR(__xludf.DUMMYFUNCTION("""COMPUTED_VALUE"""),"No")</f>
        <v>No</v>
      </c>
      <c r="R338" s="6">
        <f ca="1">IFERROR(__xludf.DUMMYFUNCTION("""COMPUTED_VALUE"""),1)</f>
        <v>1</v>
      </c>
      <c r="S338" s="6" t="str">
        <f ca="1">IFERROR(__xludf.DUMMYFUNCTION("""COMPUTED_VALUE"""),"Pre-seed")</f>
        <v>Pre-seed</v>
      </c>
      <c r="T338" s="6" t="str">
        <f ca="1">IFERROR(__xludf.DUMMYFUNCTION("""COMPUTED_VALUE"""),"Pre-seed")</f>
        <v>Pre-seed</v>
      </c>
      <c r="U338" s="6" t="str">
        <f ca="1">IFERROR(__xludf.DUMMYFUNCTION("""COMPUTED_VALUE"""),"Pre-seed")</f>
        <v>Pre-seed</v>
      </c>
      <c r="V338" s="6"/>
      <c r="W338" s="6" t="str">
        <f ca="1">IFERROR(__xludf.DUMMYFUNCTION("""COMPUTED_VALUE"""),"Invite Next Year")</f>
        <v>Invite Next Year</v>
      </c>
    </row>
    <row r="339" spans="1:23">
      <c r="A339" s="6" t="str">
        <f ca="1">IFERROR(__xludf.DUMMYFUNCTION("""COMPUTED_VALUE"""),"Prefer not to respond")</f>
        <v>Prefer not to respond</v>
      </c>
      <c r="B339" s="6" t="str">
        <f ca="1">IFERROR(__xludf.DUMMYFUNCTION("""COMPUTED_VALUE"""),"CLYRA MEDICAL TECHNOLOGIES _2022")</f>
        <v>CLYRA MEDICAL TECHNOLOGIES _2022</v>
      </c>
      <c r="C339" s="6" t="str">
        <f ca="1">IFERROR(__xludf.DUMMYFUNCTION("""COMPUTED_VALUE"""),"Life Sciences")</f>
        <v>Life Sciences</v>
      </c>
      <c r="D339" s="6" t="str">
        <f ca="1">IFERROR(__xludf.DUMMYFUNCTION("""COMPUTED_VALUE"""),"Westminster, CA 
United States")</f>
        <v>Westminster, CA 
United States</v>
      </c>
      <c r="E339" s="6" t="str">
        <f ca="1">IFERROR(__xludf.DUMMYFUNCTION("""COMPUTED_VALUE"""),"West Coast")</f>
        <v>West Coast</v>
      </c>
      <c r="F339" s="6" t="str">
        <f ca="1">IFERROR(__xludf.DUMMYFUNCTION("""COMPUTED_VALUE"""),"Prefer not to respond")</f>
        <v>Prefer not to respond</v>
      </c>
      <c r="G339" s="6"/>
      <c r="H339" s="6"/>
      <c r="I339" s="6"/>
      <c r="J339" s="6"/>
      <c r="K339" s="6"/>
      <c r="L339" s="6" t="str">
        <f ca="1">IFERROR(__xludf.DUMMYFUNCTION("""COMPUTED_VALUE"""),"No")</f>
        <v>No</v>
      </c>
      <c r="M339" s="6"/>
      <c r="N339" s="6"/>
      <c r="O339" s="6" t="str">
        <f ca="1">IFERROR(__xludf.DUMMYFUNCTION("""COMPUTED_VALUE"""),"Email")</f>
        <v>Email</v>
      </c>
      <c r="P339" s="6"/>
      <c r="Q339" s="6" t="str">
        <f ca="1">IFERROR(__xludf.DUMMYFUNCTION("""COMPUTED_VALUE"""),"No")</f>
        <v>No</v>
      </c>
      <c r="R339" s="6">
        <f ca="1">IFERROR(__xludf.DUMMYFUNCTION("""COMPUTED_VALUE"""),1)</f>
        <v>1</v>
      </c>
      <c r="S339" s="6" t="str">
        <f ca="1">IFERROR(__xludf.DUMMYFUNCTION("""COMPUTED_VALUE"""),"Series A")</f>
        <v>Series A</v>
      </c>
      <c r="T339" s="6" t="str">
        <f ca="1">IFERROR(__xludf.DUMMYFUNCTION("""COMPUTED_VALUE"""),"Series A")</f>
        <v>Series A</v>
      </c>
      <c r="U339" s="6" t="str">
        <f ca="1">IFERROR(__xludf.DUMMYFUNCTION("""COMPUTED_VALUE"""),"Series A")</f>
        <v>Series A</v>
      </c>
      <c r="V339" s="6"/>
      <c r="W339" s="6" t="str">
        <f ca="1">IFERROR(__xludf.DUMMYFUNCTION("""COMPUTED_VALUE"""),"Invite Next Year")</f>
        <v>Invite Next Year</v>
      </c>
    </row>
    <row r="340" spans="1:23">
      <c r="A340" s="6" t="str">
        <f ca="1">IFERROR(__xludf.DUMMYFUNCTION("""COMPUTED_VALUE"""),"Man, Man, Man")</f>
        <v>Man, Man, Man</v>
      </c>
      <c r="B340" s="6" t="str">
        <f ca="1">IFERROR(__xludf.DUMMYFUNCTION("""COMPUTED_VALUE"""),"Nerbio _2022")</f>
        <v>Nerbio _2022</v>
      </c>
      <c r="C340" s="6" t="str">
        <f ca="1">IFERROR(__xludf.DUMMYFUNCTION("""COMPUTED_VALUE"""),"Digital Tech")</f>
        <v>Digital Tech</v>
      </c>
      <c r="D340" s="6" t="str">
        <f ca="1">IFERROR(__xludf.DUMMYFUNCTION("""COMPUTED_VALUE"""),"San Jose, CA 
United States")</f>
        <v>San Jose, CA 
United States</v>
      </c>
      <c r="E340" s="6" t="str">
        <f ca="1">IFERROR(__xludf.DUMMYFUNCTION("""COMPUTED_VALUE"""),"West Coast")</f>
        <v>West Coast</v>
      </c>
      <c r="F340" s="6" t="str">
        <f ca="1">IFERROR(__xludf.DUMMYFUNCTION("""COMPUTED_VALUE"""),"Man")</f>
        <v>Man</v>
      </c>
      <c r="G340" s="6" t="str">
        <f ca="1">IFERROR(__xludf.DUMMYFUNCTION("""COMPUTED_VALUE"""),"Man")</f>
        <v>Man</v>
      </c>
      <c r="H340" s="6" t="str">
        <f ca="1">IFERROR(__xludf.DUMMYFUNCTION("""COMPUTED_VALUE"""),"Man")</f>
        <v>Man</v>
      </c>
      <c r="I340" s="6"/>
      <c r="J340" s="6"/>
      <c r="K340" s="6"/>
      <c r="L340" s="6" t="str">
        <f ca="1">IFERROR(__xludf.DUMMYFUNCTION("""COMPUTED_VALUE"""),"No")</f>
        <v>No</v>
      </c>
      <c r="M340" s="6"/>
      <c r="N340" s="6"/>
      <c r="O340" s="6" t="str">
        <f ca="1">IFERROR(__xludf.DUMMYFUNCTION("""COMPUTED_VALUE"""),"Email")</f>
        <v>Email</v>
      </c>
      <c r="P340" s="6"/>
      <c r="Q340" s="6" t="str">
        <f ca="1">IFERROR(__xludf.DUMMYFUNCTION("""COMPUTED_VALUE"""),"No")</f>
        <v>No</v>
      </c>
      <c r="R340" s="6">
        <f ca="1">IFERROR(__xludf.DUMMYFUNCTION("""COMPUTED_VALUE"""),3)</f>
        <v>3</v>
      </c>
      <c r="S340" s="6" t="str">
        <f ca="1">IFERROR(__xludf.DUMMYFUNCTION("""COMPUTED_VALUE"""),"Other: internally financed by the Co founders and managment.")</f>
        <v>Other: internally financed by the Co founders and managment.</v>
      </c>
      <c r="T340" s="6" t="str">
        <f ca="1">IFERROR(__xludf.DUMMYFUNCTION("""COMPUTED_VALUE"""),"Other: internally financed by the Co founders and managment.")</f>
        <v>Other: internally financed by the Co founders and managment.</v>
      </c>
      <c r="U340" s="6" t="str">
        <f ca="1">IFERROR(__xludf.DUMMYFUNCTION("""COMPUTED_VALUE"""),"internally financed by the Co founders and managment.")</f>
        <v>internally financed by the Co founders and managment.</v>
      </c>
      <c r="V340" s="6"/>
      <c r="W340" s="6" t="str">
        <f ca="1">IFERROR(__xludf.DUMMYFUNCTION("""COMPUTED_VALUE"""),"Invite Next Year")</f>
        <v>Invite Next Year</v>
      </c>
    </row>
    <row r="341" spans="1:23">
      <c r="A341" s="6" t="str">
        <f ca="1">IFERROR(__xludf.DUMMYFUNCTION("""COMPUTED_VALUE"""),"Woman, Prefer not to respond")</f>
        <v>Woman, Prefer not to respond</v>
      </c>
      <c r="B341" s="6" t="str">
        <f ca="1">IFERROR(__xludf.DUMMYFUNCTION("""COMPUTED_VALUE"""),"GeneSkin _2022")</f>
        <v>GeneSkin _2022</v>
      </c>
      <c r="C341" s="6" t="str">
        <f ca="1">IFERROR(__xludf.DUMMYFUNCTION("""COMPUTED_VALUE"""),"Life Sciences")</f>
        <v>Life Sciences</v>
      </c>
      <c r="D341" s="6" t="str">
        <f ca="1">IFERROR(__xludf.DUMMYFUNCTION("""COMPUTED_VALUE"""),"One Broadway, Kendall Square, Cambridge, MA 
United States")</f>
        <v>One Broadway, Kendall Square, Cambridge, MA 
United States</v>
      </c>
      <c r="E341" s="6" t="str">
        <f ca="1">IFERROR(__xludf.DUMMYFUNCTION("""COMPUTED_VALUE"""),"East Coast")</f>
        <v>East Coast</v>
      </c>
      <c r="F341" s="6" t="str">
        <f ca="1">IFERROR(__xludf.DUMMYFUNCTION("""COMPUTED_VALUE"""),"Woman")</f>
        <v>Woman</v>
      </c>
      <c r="G341" s="6" t="str">
        <f ca="1">IFERROR(__xludf.DUMMYFUNCTION("""COMPUTED_VALUE"""),"Prefer not to respond")</f>
        <v>Prefer not to respond</v>
      </c>
      <c r="H341" s="6"/>
      <c r="I341" s="6"/>
      <c r="J341" s="6"/>
      <c r="K341" s="6"/>
      <c r="L341" s="6" t="str">
        <f ca="1">IFERROR(__xludf.DUMMYFUNCTION("""COMPUTED_VALUE"""),"No")</f>
        <v>No</v>
      </c>
      <c r="M341" s="6"/>
      <c r="N341" s="6"/>
      <c r="O341" s="6" t="str">
        <f ca="1">IFERROR(__xludf.DUMMYFUNCTION("""COMPUTED_VALUE"""),"Referral")</f>
        <v>Referral</v>
      </c>
      <c r="P341" s="6"/>
      <c r="Q341" s="6" t="str">
        <f ca="1">IFERROR(__xludf.DUMMYFUNCTION("""COMPUTED_VALUE"""),"No")</f>
        <v>No</v>
      </c>
      <c r="R341" s="6">
        <f ca="1">IFERROR(__xludf.DUMMYFUNCTION("""COMPUTED_VALUE"""),2)</f>
        <v>2</v>
      </c>
      <c r="S341" s="6" t="str">
        <f ca="1">IFERROR(__xludf.DUMMYFUNCTION("""COMPUTED_VALUE"""),"Grants")</f>
        <v>Grants</v>
      </c>
      <c r="T341" s="6" t="str">
        <f ca="1">IFERROR(__xludf.DUMMYFUNCTION("""COMPUTED_VALUE"""),"Grants")</f>
        <v>Grants</v>
      </c>
      <c r="U341" s="6" t="str">
        <f ca="1">IFERROR(__xludf.DUMMYFUNCTION("""COMPUTED_VALUE"""),"Grants")</f>
        <v>Grants</v>
      </c>
      <c r="V341" s="6"/>
      <c r="W341" s="6" t="str">
        <f ca="1">IFERROR(__xludf.DUMMYFUNCTION("""COMPUTED_VALUE"""),"Invite")</f>
        <v>Invite</v>
      </c>
    </row>
    <row r="342" spans="1:23">
      <c r="A342" s="6" t="str">
        <f ca="1">IFERROR(__xludf.DUMMYFUNCTION("""COMPUTED_VALUE"""),"Man")</f>
        <v>Man</v>
      </c>
      <c r="B342" s="6" t="str">
        <f ca="1">IFERROR(__xludf.DUMMYFUNCTION("""COMPUTED_VALUE"""),"A4i _2022")</f>
        <v>A4i _2022</v>
      </c>
      <c r="C342" s="6" t="str">
        <f ca="1">IFERROR(__xludf.DUMMYFUNCTION("""COMPUTED_VALUE"""),"Digital Tech")</f>
        <v>Digital Tech</v>
      </c>
      <c r="D342" s="6" t="str">
        <f ca="1">IFERROR(__xludf.DUMMYFUNCTION("""COMPUTED_VALUE"""),"Toronto, Ontario 
Canada")</f>
        <v>Toronto, Ontario 
Canada</v>
      </c>
      <c r="E342" s="6" t="str">
        <f ca="1">IFERROR(__xludf.DUMMYFUNCTION("""COMPUTED_VALUE"""),"International - Americas")</f>
        <v>International - Americas</v>
      </c>
      <c r="F342" s="6" t="str">
        <f ca="1">IFERROR(__xludf.DUMMYFUNCTION("""COMPUTED_VALUE"""),"Man")</f>
        <v>Man</v>
      </c>
      <c r="G342" s="6"/>
      <c r="H342" s="6"/>
      <c r="I342" s="6"/>
      <c r="J342" s="6"/>
      <c r="K342" s="6"/>
      <c r="L342" s="6" t="str">
        <f ca="1">IFERROR(__xludf.DUMMYFUNCTION("""COMPUTED_VALUE"""),"No")</f>
        <v>No</v>
      </c>
      <c r="M342" s="6"/>
      <c r="N342" s="6"/>
      <c r="O342" s="6" t="str">
        <f ca="1">IFERROR(__xludf.DUMMYFUNCTION("""COMPUTED_VALUE"""),"Email")</f>
        <v>Email</v>
      </c>
      <c r="P342" s="6"/>
      <c r="Q342" s="6" t="str">
        <f ca="1">IFERROR(__xludf.DUMMYFUNCTION("""COMPUTED_VALUE"""),"No")</f>
        <v>No</v>
      </c>
      <c r="R342" s="6">
        <f ca="1">IFERROR(__xludf.DUMMYFUNCTION("""COMPUTED_VALUE"""),1)</f>
        <v>1</v>
      </c>
      <c r="S342" s="6" t="str">
        <f ca="1">IFERROR(__xludf.DUMMYFUNCTION("""COMPUTED_VALUE"""),"Grants
Other: Paying customers")</f>
        <v>Grants
Other: Paying customers</v>
      </c>
      <c r="T342" s="6" t="str">
        <f ca="1">IFERROR(__xludf.DUMMYFUNCTION("""COMPUTED_VALUE"""),"Grants, Other: Paying customers")</f>
        <v>Grants, Other: Paying customers</v>
      </c>
      <c r="U342" s="6" t="str">
        <f ca="1">IFERROR(__xludf.DUMMYFUNCTION("""COMPUTED_VALUE"""),"Grants, ")</f>
        <v xml:space="preserve">Grants, </v>
      </c>
      <c r="V342" s="6" t="str">
        <f ca="1">IFERROR(__xludf.DUMMYFUNCTION("""COMPUTED_VALUE"""),"Paying customers")</f>
        <v>Paying customers</v>
      </c>
      <c r="W342" s="6" t="str">
        <f ca="1">IFERROR(__xludf.DUMMYFUNCTION("""COMPUTED_VALUE"""),"Invite")</f>
        <v>Invite</v>
      </c>
    </row>
    <row r="343" spans="1:23">
      <c r="A343" s="6" t="str">
        <f ca="1">IFERROR(__xludf.DUMMYFUNCTION("""COMPUTED_VALUE"""),"Man")</f>
        <v>Man</v>
      </c>
      <c r="B343" s="6" t="str">
        <f ca="1">IFERROR(__xludf.DUMMYFUNCTION("""COMPUTED_VALUE"""),"T4L Inc _2022")</f>
        <v>T4L Inc _2022</v>
      </c>
      <c r="C343" s="6" t="str">
        <f ca="1">IFERROR(__xludf.DUMMYFUNCTION("""COMPUTED_VALUE"""),"Digital Tech")</f>
        <v>Digital Tech</v>
      </c>
      <c r="D343" s="6" t="str">
        <f ca="1">IFERROR(__xludf.DUMMYFUNCTION("""COMPUTED_VALUE"""),"Naples, FL 
United States")</f>
        <v>Naples, FL 
United States</v>
      </c>
      <c r="E343" s="6" t="str">
        <f ca="1">IFERROR(__xludf.DUMMYFUNCTION("""COMPUTED_VALUE"""),"East Coast")</f>
        <v>East Coast</v>
      </c>
      <c r="F343" s="6" t="str">
        <f ca="1">IFERROR(__xludf.DUMMYFUNCTION("""COMPUTED_VALUE"""),"Man")</f>
        <v>Man</v>
      </c>
      <c r="G343" s="6"/>
      <c r="H343" s="6"/>
      <c r="I343" s="6"/>
      <c r="J343" s="6"/>
      <c r="K343" s="6"/>
      <c r="L343" s="6" t="str">
        <f ca="1">IFERROR(__xludf.DUMMYFUNCTION("""COMPUTED_VALUE"""),"--Please select--")</f>
        <v>--Please select--</v>
      </c>
      <c r="M343" s="6"/>
      <c r="N343" s="6"/>
      <c r="O343" s="6" t="str">
        <f ca="1">IFERROR(__xludf.DUMMYFUNCTION("""COMPUTED_VALUE"""),"Email")</f>
        <v>Email</v>
      </c>
      <c r="P343" s="6"/>
      <c r="Q343" s="6" t="str">
        <f ca="1">IFERROR(__xludf.DUMMYFUNCTION("""COMPUTED_VALUE"""),"No")</f>
        <v>No</v>
      </c>
      <c r="R343" s="6">
        <f ca="1">IFERROR(__xludf.DUMMYFUNCTION("""COMPUTED_VALUE"""),1)</f>
        <v>1</v>
      </c>
      <c r="S343" s="6" t="str">
        <f ca="1">IFERROR(__xludf.DUMMYFUNCTION("""COMPUTED_VALUE"""),"Pre-seed
Seed
Series A
Debt financing")</f>
        <v>Pre-seed
Seed
Series A
Debt financing</v>
      </c>
      <c r="T343" s="6" t="str">
        <f ca="1">IFERROR(__xludf.DUMMYFUNCTION("""COMPUTED_VALUE"""),"Pre-seed, Seed, Series A, Debt financing")</f>
        <v>Pre-seed, Seed, Series A, Debt financing</v>
      </c>
      <c r="U343" s="6" t="str">
        <f ca="1">IFERROR(__xludf.DUMMYFUNCTION("""COMPUTED_VALUE"""),"Pre-seed, Seed, Series A, Debt financing")</f>
        <v>Pre-seed, Seed, Series A, Debt financing</v>
      </c>
      <c r="V343" s="6"/>
      <c r="W343" s="6" t="str">
        <f ca="1">IFERROR(__xludf.DUMMYFUNCTION("""COMPUTED_VALUE"""),"Invite Next Year")</f>
        <v>Invite Next Year</v>
      </c>
    </row>
    <row r="344" spans="1:23">
      <c r="A344" s="6" t="str">
        <f ca="1">IFERROR(__xludf.DUMMYFUNCTION("""COMPUTED_VALUE"""),"Woman, Woman, Man")</f>
        <v>Woman, Woman, Man</v>
      </c>
      <c r="B344" s="6" t="str">
        <f ca="1">IFERROR(__xludf.DUMMYFUNCTION("""COMPUTED_VALUE"""),"Helex _2022")</f>
        <v>Helex _2022</v>
      </c>
      <c r="C344" s="6" t="str">
        <f ca="1">IFERROR(__xludf.DUMMYFUNCTION("""COMPUTED_VALUE"""),"Life Sciences")</f>
        <v>Life Sciences</v>
      </c>
      <c r="D344" s="6" t="str">
        <f ca="1">IFERROR(__xludf.DUMMYFUNCTION("""COMPUTED_VALUE"""),"New York, New York 
United States")</f>
        <v>New York, New York 
United States</v>
      </c>
      <c r="E344" s="6" t="str">
        <f ca="1">IFERROR(__xludf.DUMMYFUNCTION("""COMPUTED_VALUE"""),"New York")</f>
        <v>New York</v>
      </c>
      <c r="F344" s="6" t="str">
        <f ca="1">IFERROR(__xludf.DUMMYFUNCTION("""COMPUTED_VALUE"""),"Woman")</f>
        <v>Woman</v>
      </c>
      <c r="G344" s="6" t="str">
        <f ca="1">IFERROR(__xludf.DUMMYFUNCTION("""COMPUTED_VALUE"""),"Woman")</f>
        <v>Woman</v>
      </c>
      <c r="H344" s="6" t="str">
        <f ca="1">IFERROR(__xludf.DUMMYFUNCTION("""COMPUTED_VALUE"""),"Man")</f>
        <v>Man</v>
      </c>
      <c r="I344" s="6"/>
      <c r="J344" s="6"/>
      <c r="K344" s="6"/>
      <c r="L344" s="6" t="str">
        <f ca="1">IFERROR(__xludf.DUMMYFUNCTION("""COMPUTED_VALUE"""),"No")</f>
        <v>No</v>
      </c>
      <c r="M344" s="6"/>
      <c r="N344" s="6"/>
      <c r="O344" s="6" t="str">
        <f ca="1">IFERROR(__xludf.DUMMYFUNCTION("""COMPUTED_VALUE"""),"Referral")</f>
        <v>Referral</v>
      </c>
      <c r="P344" s="6"/>
      <c r="Q344" s="6" t="str">
        <f ca="1">IFERROR(__xludf.DUMMYFUNCTION("""COMPUTED_VALUE"""),"No")</f>
        <v>No</v>
      </c>
      <c r="R344" s="6">
        <f ca="1">IFERROR(__xludf.DUMMYFUNCTION("""COMPUTED_VALUE"""),3)</f>
        <v>3</v>
      </c>
      <c r="S344" s="6" t="str">
        <f ca="1">IFERROR(__xludf.DUMMYFUNCTION("""COMPUTED_VALUE"""),"Pre-seed")</f>
        <v>Pre-seed</v>
      </c>
      <c r="T344" s="6" t="str">
        <f ca="1">IFERROR(__xludf.DUMMYFUNCTION("""COMPUTED_VALUE"""),"Pre-seed")</f>
        <v>Pre-seed</v>
      </c>
      <c r="U344" s="6" t="str">
        <f ca="1">IFERROR(__xludf.DUMMYFUNCTION("""COMPUTED_VALUE"""),"Pre-seed")</f>
        <v>Pre-seed</v>
      </c>
      <c r="V344" s="6"/>
      <c r="W344" s="6" t="str">
        <f ca="1">IFERROR(__xludf.DUMMYFUNCTION("""COMPUTED_VALUE"""),"Revisit/ Cluster")</f>
        <v>Revisit/ Cluster</v>
      </c>
    </row>
    <row r="345" spans="1:23">
      <c r="A345" s="6" t="str">
        <f ca="1">IFERROR(__xludf.DUMMYFUNCTION("""COMPUTED_VALUE"""),"Man, Man")</f>
        <v>Man, Man</v>
      </c>
      <c r="B345" s="6" t="str">
        <f ca="1">IFERROR(__xludf.DUMMYFUNCTION("""COMPUTED_VALUE"""),"Minitable Tech, Inc _2022")</f>
        <v>Minitable Tech, Inc _2022</v>
      </c>
      <c r="C345" s="6" t="str">
        <f ca="1">IFERROR(__xludf.DUMMYFUNCTION("""COMPUTED_VALUE"""),"Digital Tech")</f>
        <v>Digital Tech</v>
      </c>
      <c r="D345" s="6" t="str">
        <f ca="1">IFERROR(__xludf.DUMMYFUNCTION("""COMPUTED_VALUE"""),"New York, NY 
United States")</f>
        <v>New York, NY 
United States</v>
      </c>
      <c r="E345" s="6" t="str">
        <f ca="1">IFERROR(__xludf.DUMMYFUNCTION("""COMPUTED_VALUE"""),"New York")</f>
        <v>New York</v>
      </c>
      <c r="F345" s="6" t="str">
        <f ca="1">IFERROR(__xludf.DUMMYFUNCTION("""COMPUTED_VALUE"""),"Man")</f>
        <v>Man</v>
      </c>
      <c r="G345" s="6" t="str">
        <f ca="1">IFERROR(__xludf.DUMMYFUNCTION("""COMPUTED_VALUE"""),"Man")</f>
        <v>Man</v>
      </c>
      <c r="H345" s="6"/>
      <c r="I345" s="6"/>
      <c r="J345" s="6"/>
      <c r="K345" s="6"/>
      <c r="L345" s="6" t="str">
        <f ca="1">IFERROR(__xludf.DUMMYFUNCTION("""COMPUTED_VALUE"""),"No")</f>
        <v>No</v>
      </c>
      <c r="M345" s="6"/>
      <c r="N345" s="6"/>
      <c r="O345" s="6" t="str">
        <f ca="1">IFERROR(__xludf.DUMMYFUNCTION("""COMPUTED_VALUE"""),"Referral")</f>
        <v>Referral</v>
      </c>
      <c r="P345" s="6"/>
      <c r="Q345" s="6" t="str">
        <f ca="1">IFERROR(__xludf.DUMMYFUNCTION("""COMPUTED_VALUE"""),"No")</f>
        <v>No</v>
      </c>
      <c r="R345" s="6">
        <f ca="1">IFERROR(__xludf.DUMMYFUNCTION("""COMPUTED_VALUE"""),2)</f>
        <v>2</v>
      </c>
      <c r="S345" s="6" t="str">
        <f ca="1">IFERROR(__xludf.DUMMYFUNCTION("""COMPUTED_VALUE"""),"Seed")</f>
        <v>Seed</v>
      </c>
      <c r="T345" s="6" t="str">
        <f ca="1">IFERROR(__xludf.DUMMYFUNCTION("""COMPUTED_VALUE"""),"Seed")</f>
        <v>Seed</v>
      </c>
      <c r="U345" s="6" t="str">
        <f ca="1">IFERROR(__xludf.DUMMYFUNCTION("""COMPUTED_VALUE"""),"Seed")</f>
        <v>Seed</v>
      </c>
      <c r="V345" s="6"/>
      <c r="W345" s="6" t="str">
        <f ca="1">IFERROR(__xludf.DUMMYFUNCTION("""COMPUTED_VALUE"""),"Invite Next Year")</f>
        <v>Invite Next Year</v>
      </c>
    </row>
    <row r="346" spans="1:23">
      <c r="A346" s="6" t="str">
        <f ca="1">IFERROR(__xludf.DUMMYFUNCTION("""COMPUTED_VALUE"""),"Man, Man, Woman, Woman")</f>
        <v>Man, Man, Woman, Woman</v>
      </c>
      <c r="B346" s="6" t="str">
        <f ca="1">IFERROR(__xludf.DUMMYFUNCTION("""COMPUTED_VALUE"""),"Descifra _2022")</f>
        <v>Descifra _2022</v>
      </c>
      <c r="C346" s="6" t="str">
        <f ca="1">IFERROR(__xludf.DUMMYFUNCTION("""COMPUTED_VALUE"""),"Digital Tech")</f>
        <v>Digital Tech</v>
      </c>
      <c r="D346" s="6" t="str">
        <f ca="1">IFERROR(__xludf.DUMMYFUNCTION("""COMPUTED_VALUE"""),"Insurgentes Sur 1806, Florida, CDMX 
Mexico")</f>
        <v>Insurgentes Sur 1806, Florida, CDMX 
Mexico</v>
      </c>
      <c r="E346" s="6" t="str">
        <f ca="1">IFERROR(__xludf.DUMMYFUNCTION("""COMPUTED_VALUE"""),"International - Americas")</f>
        <v>International - Americas</v>
      </c>
      <c r="F346" s="6" t="str">
        <f ca="1">IFERROR(__xludf.DUMMYFUNCTION("""COMPUTED_VALUE"""),"Man")</f>
        <v>Man</v>
      </c>
      <c r="G346" s="6" t="str">
        <f ca="1">IFERROR(__xludf.DUMMYFUNCTION("""COMPUTED_VALUE"""),"Man")</f>
        <v>Man</v>
      </c>
      <c r="H346" s="6" t="str">
        <f ca="1">IFERROR(__xludf.DUMMYFUNCTION("""COMPUTED_VALUE"""),"Woman")</f>
        <v>Woman</v>
      </c>
      <c r="I346" s="6" t="str">
        <f ca="1">IFERROR(__xludf.DUMMYFUNCTION("""COMPUTED_VALUE"""),"Woman")</f>
        <v>Woman</v>
      </c>
      <c r="J346" s="6"/>
      <c r="K346" s="6"/>
      <c r="L346" s="6" t="str">
        <f ca="1">IFERROR(__xludf.DUMMYFUNCTION("""COMPUTED_VALUE"""),"No")</f>
        <v>No</v>
      </c>
      <c r="M346" s="6"/>
      <c r="N346" s="6"/>
      <c r="O346" s="6" t="str">
        <f ca="1">IFERROR(__xludf.DUMMYFUNCTION("""COMPUTED_VALUE"""),"NYU Newsletter")</f>
        <v>NYU Newsletter</v>
      </c>
      <c r="P346" s="6"/>
      <c r="Q346" s="6" t="str">
        <f ca="1">IFERROR(__xludf.DUMMYFUNCTION("""COMPUTED_VALUE"""),"No")</f>
        <v>No</v>
      </c>
      <c r="R346" s="6">
        <f ca="1">IFERROR(__xludf.DUMMYFUNCTION("""COMPUTED_VALUE"""),4)</f>
        <v>4</v>
      </c>
      <c r="S346" s="6" t="str">
        <f ca="1">IFERROR(__xludf.DUMMYFUNCTION("""COMPUTED_VALUE"""),"Pre-seed
Seed")</f>
        <v>Pre-seed
Seed</v>
      </c>
      <c r="T346" s="6" t="str">
        <f ca="1">IFERROR(__xludf.DUMMYFUNCTION("""COMPUTED_VALUE"""),"Pre-seed, Seed")</f>
        <v>Pre-seed, Seed</v>
      </c>
      <c r="U346" s="6" t="str">
        <f ca="1">IFERROR(__xludf.DUMMYFUNCTION("""COMPUTED_VALUE"""),"Pre-seed, Seed")</f>
        <v>Pre-seed, Seed</v>
      </c>
      <c r="V346" s="6"/>
      <c r="W346" s="6" t="str">
        <f ca="1">IFERROR(__xludf.DUMMYFUNCTION("""COMPUTED_VALUE"""),"Invite Next Year")</f>
        <v>Invite Next Year</v>
      </c>
    </row>
    <row r="347" spans="1:23">
      <c r="A347" s="6" t="str">
        <f ca="1">IFERROR(__xludf.DUMMYFUNCTION("""COMPUTED_VALUE"""),"Man, Man, Man")</f>
        <v>Man, Man, Man</v>
      </c>
      <c r="B347" s="6" t="str">
        <f ca="1">IFERROR(__xludf.DUMMYFUNCTION("""COMPUTED_VALUE"""),"Kitchenita _2022")</f>
        <v>Kitchenita _2022</v>
      </c>
      <c r="C347" s="6" t="str">
        <f ca="1">IFERROR(__xludf.DUMMYFUNCTION("""COMPUTED_VALUE"""),"Digital Tech")</f>
        <v>Digital Tech</v>
      </c>
      <c r="D347" s="6" t="str">
        <f ca="1">IFERROR(__xludf.DUMMYFUNCTION("""COMPUTED_VALUE"""),"Sanchez de Bustamante 875, Buenos Aires 
Argentina")</f>
        <v>Sanchez de Bustamante 875, Buenos Aires 
Argentina</v>
      </c>
      <c r="E347" s="6" t="str">
        <f ca="1">IFERROR(__xludf.DUMMYFUNCTION("""COMPUTED_VALUE"""),"International - Americas")</f>
        <v>International - Americas</v>
      </c>
      <c r="F347" s="6" t="str">
        <f ca="1">IFERROR(__xludf.DUMMYFUNCTION("""COMPUTED_VALUE"""),"Man")</f>
        <v>Man</v>
      </c>
      <c r="G347" s="6" t="str">
        <f ca="1">IFERROR(__xludf.DUMMYFUNCTION("""COMPUTED_VALUE"""),"Man")</f>
        <v>Man</v>
      </c>
      <c r="H347" s="6" t="str">
        <f ca="1">IFERROR(__xludf.DUMMYFUNCTION("""COMPUTED_VALUE"""),"Man")</f>
        <v>Man</v>
      </c>
      <c r="I347" s="6"/>
      <c r="J347" s="6"/>
      <c r="K347" s="6"/>
      <c r="L347" s="6" t="str">
        <f ca="1">IFERROR(__xludf.DUMMYFUNCTION("""COMPUTED_VALUE"""),"No")</f>
        <v>No</v>
      </c>
      <c r="M347" s="6"/>
      <c r="N347" s="6"/>
      <c r="O347" s="6" t="str">
        <f ca="1">IFERROR(__xludf.DUMMYFUNCTION("""COMPUTED_VALUE"""),"Email")</f>
        <v>Email</v>
      </c>
      <c r="P347" s="6"/>
      <c r="Q347" s="6" t="str">
        <f ca="1">IFERROR(__xludf.DUMMYFUNCTION("""COMPUTED_VALUE"""),"No")</f>
        <v>No</v>
      </c>
      <c r="R347" s="6">
        <f ca="1">IFERROR(__xludf.DUMMYFUNCTION("""COMPUTED_VALUE"""),3)</f>
        <v>3</v>
      </c>
      <c r="S347" s="6" t="str">
        <f ca="1">IFERROR(__xludf.DUMMYFUNCTION("""COMPUTED_VALUE"""),"Pre-seed
Seed")</f>
        <v>Pre-seed
Seed</v>
      </c>
      <c r="T347" s="6" t="str">
        <f ca="1">IFERROR(__xludf.DUMMYFUNCTION("""COMPUTED_VALUE"""),"Pre-seed, Seed")</f>
        <v>Pre-seed, Seed</v>
      </c>
      <c r="U347" s="6" t="str">
        <f ca="1">IFERROR(__xludf.DUMMYFUNCTION("""COMPUTED_VALUE"""),"Pre-seed, Seed")</f>
        <v>Pre-seed, Seed</v>
      </c>
      <c r="V347" s="6"/>
      <c r="W347" s="6" t="str">
        <f ca="1">IFERROR(__xludf.DUMMYFUNCTION("""COMPUTED_VALUE"""),"Invite Next Year")</f>
        <v>Invite Next Year</v>
      </c>
    </row>
    <row r="348" spans="1:23">
      <c r="A348" s="6" t="str">
        <f ca="1">IFERROR(__xludf.DUMMYFUNCTION("""COMPUTED_VALUE"""),"Man, Man, Man")</f>
        <v>Man, Man, Man</v>
      </c>
      <c r="B348" s="6" t="str">
        <f ca="1">IFERROR(__xludf.DUMMYFUNCTION("""COMPUTED_VALUE"""),"Coinrule _2022")</f>
        <v>Coinrule _2022</v>
      </c>
      <c r="C348" s="6" t="str">
        <f ca="1">IFERROR(__xludf.DUMMYFUNCTION("""COMPUTED_VALUE"""),"Digital Tech")</f>
        <v>Digital Tech</v>
      </c>
      <c r="D348" s="6" t="str">
        <f ca="1">IFERROR(__xludf.DUMMYFUNCTION("""COMPUTED_VALUE"""),"London, London City 
United Kingdom")</f>
        <v>London, London City 
United Kingdom</v>
      </c>
      <c r="E348" s="6" t="str">
        <f ca="1">IFERROR(__xludf.DUMMYFUNCTION("""COMPUTED_VALUE"""),"International - Europe")</f>
        <v>International - Europe</v>
      </c>
      <c r="F348" s="6" t="str">
        <f ca="1">IFERROR(__xludf.DUMMYFUNCTION("""COMPUTED_VALUE"""),"Man")</f>
        <v>Man</v>
      </c>
      <c r="G348" s="6" t="str">
        <f ca="1">IFERROR(__xludf.DUMMYFUNCTION("""COMPUTED_VALUE"""),"Man")</f>
        <v>Man</v>
      </c>
      <c r="H348" s="6" t="str">
        <f ca="1">IFERROR(__xludf.DUMMYFUNCTION("""COMPUTED_VALUE"""),"Man")</f>
        <v>Man</v>
      </c>
      <c r="I348" s="6"/>
      <c r="J348" s="6"/>
      <c r="K348" s="6"/>
      <c r="L348" s="6" t="str">
        <f ca="1">IFERROR(__xludf.DUMMYFUNCTION("""COMPUTED_VALUE"""),"--Please select--")</f>
        <v>--Please select--</v>
      </c>
      <c r="M348" s="6"/>
      <c r="N348" s="6"/>
      <c r="O348" s="6" t="str">
        <f ca="1">IFERROR(__xludf.DUMMYFUNCTION("""COMPUTED_VALUE"""),"Email")</f>
        <v>Email</v>
      </c>
      <c r="P348" s="6"/>
      <c r="Q348" s="6" t="str">
        <f ca="1">IFERROR(__xludf.DUMMYFUNCTION("""COMPUTED_VALUE"""),"No")</f>
        <v>No</v>
      </c>
      <c r="R348" s="6">
        <f ca="1">IFERROR(__xludf.DUMMYFUNCTION("""COMPUTED_VALUE"""),3)</f>
        <v>3</v>
      </c>
      <c r="S348" s="6" t="str">
        <f ca="1">IFERROR(__xludf.DUMMYFUNCTION("""COMPUTED_VALUE"""),"Pre-seed
Seed")</f>
        <v>Pre-seed
Seed</v>
      </c>
      <c r="T348" s="6" t="str">
        <f ca="1">IFERROR(__xludf.DUMMYFUNCTION("""COMPUTED_VALUE"""),"Pre-seed, Seed")</f>
        <v>Pre-seed, Seed</v>
      </c>
      <c r="U348" s="6" t="str">
        <f ca="1">IFERROR(__xludf.DUMMYFUNCTION("""COMPUTED_VALUE"""),"Pre-seed, Seed")</f>
        <v>Pre-seed, Seed</v>
      </c>
      <c r="V348" s="6"/>
      <c r="W348" s="6" t="str">
        <f ca="1">IFERROR(__xludf.DUMMYFUNCTION("""COMPUTED_VALUE"""),"Revisit/ Cluster")</f>
        <v>Revisit/ Cluster</v>
      </c>
    </row>
    <row r="349" spans="1:23">
      <c r="A349" s="6" t="str">
        <f ca="1">IFERROR(__xludf.DUMMYFUNCTION("""COMPUTED_VALUE"""),"Prefer not to respond")</f>
        <v>Prefer not to respond</v>
      </c>
      <c r="B349" s="6" t="str">
        <f ca="1">IFERROR(__xludf.DUMMYFUNCTION("""COMPUTED_VALUE"""),"NextStep Health _2022")</f>
        <v>NextStep Health _2022</v>
      </c>
      <c r="C349" s="6" t="str">
        <f ca="1">IFERROR(__xludf.DUMMYFUNCTION("""COMPUTED_VALUE"""),"Digital Tech")</f>
        <v>Digital Tech</v>
      </c>
      <c r="D349" s="6" t="str">
        <f ca="1">IFERROR(__xludf.DUMMYFUNCTION("""COMPUTED_VALUE"""),"New York City, New York 
United States")</f>
        <v>New York City, New York 
United States</v>
      </c>
      <c r="E349" s="6" t="str">
        <f ca="1">IFERROR(__xludf.DUMMYFUNCTION("""COMPUTED_VALUE"""),"New York")</f>
        <v>New York</v>
      </c>
      <c r="F349" s="6" t="str">
        <f ca="1">IFERROR(__xludf.DUMMYFUNCTION("""COMPUTED_VALUE"""),"Prefer not to respond")</f>
        <v>Prefer not to respond</v>
      </c>
      <c r="G349" s="6"/>
      <c r="H349" s="6"/>
      <c r="I349" s="6"/>
      <c r="J349" s="6"/>
      <c r="K349" s="6"/>
      <c r="L349" s="6" t="str">
        <f ca="1">IFERROR(__xludf.DUMMYFUNCTION("""COMPUTED_VALUE"""),"No")</f>
        <v>No</v>
      </c>
      <c r="M349" s="6"/>
      <c r="N349" s="6"/>
      <c r="O349" s="6" t="str">
        <f ca="1">IFERROR(__xludf.DUMMYFUNCTION("""COMPUTED_VALUE"""),"Email")</f>
        <v>Email</v>
      </c>
      <c r="P349" s="6"/>
      <c r="Q349" s="6" t="str">
        <f ca="1">IFERROR(__xludf.DUMMYFUNCTION("""COMPUTED_VALUE"""),"No")</f>
        <v>No</v>
      </c>
      <c r="R349" s="6">
        <f ca="1">IFERROR(__xludf.DUMMYFUNCTION("""COMPUTED_VALUE"""),1)</f>
        <v>1</v>
      </c>
      <c r="S349" s="6" t="str">
        <f ca="1">IFERROR(__xludf.DUMMYFUNCTION("""COMPUTED_VALUE"""),"Debt financing
Grants")</f>
        <v>Debt financing
Grants</v>
      </c>
      <c r="T349" s="6" t="str">
        <f ca="1">IFERROR(__xludf.DUMMYFUNCTION("""COMPUTED_VALUE"""),"Debt financing, Grants")</f>
        <v>Debt financing, Grants</v>
      </c>
      <c r="U349" s="6" t="str">
        <f ca="1">IFERROR(__xludf.DUMMYFUNCTION("""COMPUTED_VALUE"""),"Debt financing, Grants")</f>
        <v>Debt financing, Grants</v>
      </c>
      <c r="V349" s="6"/>
      <c r="W349" s="6" t="str">
        <f ca="1">IFERROR(__xludf.DUMMYFUNCTION("""COMPUTED_VALUE"""),"Invite Next Year")</f>
        <v>Invite Next Year</v>
      </c>
    </row>
    <row r="350" spans="1:23">
      <c r="A350" s="6" t="str">
        <f ca="1">IFERROR(__xludf.DUMMYFUNCTION("""COMPUTED_VALUE"""),"Man")</f>
        <v>Man</v>
      </c>
      <c r="B350" s="6" t="str">
        <f ca="1">IFERROR(__xludf.DUMMYFUNCTION("""COMPUTED_VALUE"""),"IceBeanie  _2022")</f>
        <v>IceBeanie  _2022</v>
      </c>
      <c r="C350" s="6" t="str">
        <f ca="1">IFERROR(__xludf.DUMMYFUNCTION("""COMPUTED_VALUE"""),"Life Sciences")</f>
        <v>Life Sciences</v>
      </c>
      <c r="D350" s="6" t="str">
        <f ca="1">IFERROR(__xludf.DUMMYFUNCTION("""COMPUTED_VALUE"""),"Manhattan Beach, CA 
United States")</f>
        <v>Manhattan Beach, CA 
United States</v>
      </c>
      <c r="E350" s="6" t="str">
        <f ca="1">IFERROR(__xludf.DUMMYFUNCTION("""COMPUTED_VALUE"""),"West Coast")</f>
        <v>West Coast</v>
      </c>
      <c r="F350" s="6" t="str">
        <f ca="1">IFERROR(__xludf.DUMMYFUNCTION("""COMPUTED_VALUE"""),"Man")</f>
        <v>Man</v>
      </c>
      <c r="G350" s="6"/>
      <c r="H350" s="6"/>
      <c r="I350" s="6"/>
      <c r="J350" s="6"/>
      <c r="K350" s="6"/>
      <c r="L350" s="6" t="str">
        <f ca="1">IFERROR(__xludf.DUMMYFUNCTION("""COMPUTED_VALUE"""),"No")</f>
        <v>No</v>
      </c>
      <c r="M350" s="6"/>
      <c r="N350" s="6"/>
      <c r="O350" s="6" t="str">
        <f ca="1">IFERROR(__xludf.DUMMYFUNCTION("""COMPUTED_VALUE"""),"Email")</f>
        <v>Email</v>
      </c>
      <c r="P350" s="6"/>
      <c r="Q350" s="6" t="str">
        <f ca="1">IFERROR(__xludf.DUMMYFUNCTION("""COMPUTED_VALUE"""),"No")</f>
        <v>No</v>
      </c>
      <c r="R350" s="6">
        <f ca="1">IFERROR(__xludf.DUMMYFUNCTION("""COMPUTED_VALUE"""),1)</f>
        <v>1</v>
      </c>
      <c r="S350" s="6" t="str">
        <f ca="1">IFERROR(__xludf.DUMMYFUNCTION("""COMPUTED_VALUE"""),"Seed")</f>
        <v>Seed</v>
      </c>
      <c r="T350" s="6" t="str">
        <f ca="1">IFERROR(__xludf.DUMMYFUNCTION("""COMPUTED_VALUE"""),"Seed")</f>
        <v>Seed</v>
      </c>
      <c r="U350" s="6" t="str">
        <f ca="1">IFERROR(__xludf.DUMMYFUNCTION("""COMPUTED_VALUE"""),"Seed")</f>
        <v>Seed</v>
      </c>
      <c r="V350" s="6"/>
      <c r="W350" s="6" t="str">
        <f ca="1">IFERROR(__xludf.DUMMYFUNCTION("""COMPUTED_VALUE"""),"Invite Next Year")</f>
        <v>Invite Next Year</v>
      </c>
    </row>
    <row r="351" spans="1:23">
      <c r="A351" s="6" t="str">
        <f ca="1">IFERROR(__xludf.DUMMYFUNCTION("""COMPUTED_VALUE"""),"Woman, Man")</f>
        <v>Woman, Man</v>
      </c>
      <c r="B351" s="6" t="str">
        <f ca="1">IFERROR(__xludf.DUMMYFUNCTION("""COMPUTED_VALUE"""),"Portcast _2022")</f>
        <v>Portcast _2022</v>
      </c>
      <c r="C351" s="6" t="str">
        <f ca="1">IFERROR(__xludf.DUMMYFUNCTION("""COMPUTED_VALUE"""),"Digital Tech")</f>
        <v>Digital Tech</v>
      </c>
      <c r="D351" s="6" t="str">
        <f ca="1">IFERROR(__xludf.DUMMYFUNCTION("""COMPUTED_VALUE"""),"1 Kallang Junction, Level 6 Vanguard Campus, Singapore 339263, Singapore 
Singapore")</f>
        <v>1 Kallang Junction, Level 6 Vanguard Campus, Singapore 339263, Singapore 
Singapore</v>
      </c>
      <c r="E351" s="6" t="str">
        <f ca="1">IFERROR(__xludf.DUMMYFUNCTION("""COMPUTED_VALUE"""),"International - Asia")</f>
        <v>International - Asia</v>
      </c>
      <c r="F351" s="6" t="str">
        <f ca="1">IFERROR(__xludf.DUMMYFUNCTION("""COMPUTED_VALUE"""),"Woman")</f>
        <v>Woman</v>
      </c>
      <c r="G351" s="6" t="str">
        <f ca="1">IFERROR(__xludf.DUMMYFUNCTION("""COMPUTED_VALUE"""),"Man")</f>
        <v>Man</v>
      </c>
      <c r="H351" s="6"/>
      <c r="I351" s="6"/>
      <c r="J351" s="6"/>
      <c r="K351" s="6"/>
      <c r="L351" s="6" t="str">
        <f ca="1">IFERROR(__xludf.DUMMYFUNCTION("""COMPUTED_VALUE"""),"--Please select--")</f>
        <v>--Please select--</v>
      </c>
      <c r="M351" s="6"/>
      <c r="N351" s="6"/>
      <c r="O351" s="6" t="str">
        <f ca="1">IFERROR(__xludf.DUMMYFUNCTION("""COMPUTED_VALUE"""),"Referral")</f>
        <v>Referral</v>
      </c>
      <c r="P351" s="6"/>
      <c r="Q351" s="6" t="str">
        <f ca="1">IFERROR(__xludf.DUMMYFUNCTION("""COMPUTED_VALUE"""),"No")</f>
        <v>No</v>
      </c>
      <c r="R351" s="6">
        <f ca="1">IFERROR(__xludf.DUMMYFUNCTION("""COMPUTED_VALUE"""),2)</f>
        <v>2</v>
      </c>
      <c r="S351" s="6" t="str">
        <f ca="1">IFERROR(__xludf.DUMMYFUNCTION("""COMPUTED_VALUE"""),"Seed
Other: Seed and Pre-series A")</f>
        <v>Seed
Other: Seed and Pre-series A</v>
      </c>
      <c r="T351" s="6" t="str">
        <f ca="1">IFERROR(__xludf.DUMMYFUNCTION("""COMPUTED_VALUE"""),"Seed, Other: Seed and Pre-series A")</f>
        <v>Seed, Other: Seed and Pre-series A</v>
      </c>
      <c r="U351" s="6" t="str">
        <f ca="1">IFERROR(__xludf.DUMMYFUNCTION("""COMPUTED_VALUE"""),"Seed, ")</f>
        <v xml:space="preserve">Seed, </v>
      </c>
      <c r="V351" s="6" t="str">
        <f ca="1">IFERROR(__xludf.DUMMYFUNCTION("""COMPUTED_VALUE"""),"Seed and Pre-series A")</f>
        <v>Seed and Pre-series A</v>
      </c>
      <c r="W351" s="6" t="str">
        <f ca="1">IFERROR(__xludf.DUMMYFUNCTION("""COMPUTED_VALUE"""),"Invite")</f>
        <v>Invite</v>
      </c>
    </row>
    <row r="352" spans="1:23">
      <c r="A352" s="6" t="str">
        <f ca="1">IFERROR(__xludf.DUMMYFUNCTION("""COMPUTED_VALUE"""),"Woman, Woman, Man")</f>
        <v>Woman, Woman, Man</v>
      </c>
      <c r="B352" s="6" t="str">
        <f ca="1">IFERROR(__xludf.DUMMYFUNCTION("""COMPUTED_VALUE"""),"ArgenTAG _2022")</f>
        <v>ArgenTAG _2022</v>
      </c>
      <c r="C352" s="6" t="str">
        <f ca="1">IFERROR(__xludf.DUMMYFUNCTION("""COMPUTED_VALUE"""),"Deep Tech")</f>
        <v>Deep Tech</v>
      </c>
      <c r="D352" s="6" t="str">
        <f ca="1">IFERROR(__xludf.DUMMYFUNCTION("""COMPUTED_VALUE"""),"New York City, New York 
United States")</f>
        <v>New York City, New York 
United States</v>
      </c>
      <c r="E352" s="6" t="str">
        <f ca="1">IFERROR(__xludf.DUMMYFUNCTION("""COMPUTED_VALUE"""),"New York")</f>
        <v>New York</v>
      </c>
      <c r="F352" s="6" t="str">
        <f ca="1">IFERROR(__xludf.DUMMYFUNCTION("""COMPUTED_VALUE"""),"Woman")</f>
        <v>Woman</v>
      </c>
      <c r="G352" s="6" t="str">
        <f ca="1">IFERROR(__xludf.DUMMYFUNCTION("""COMPUTED_VALUE"""),"Woman")</f>
        <v>Woman</v>
      </c>
      <c r="H352" s="6" t="str">
        <f ca="1">IFERROR(__xludf.DUMMYFUNCTION("""COMPUTED_VALUE"""),"Man")</f>
        <v>Man</v>
      </c>
      <c r="I352" s="6"/>
      <c r="J352" s="6"/>
      <c r="K352" s="6"/>
      <c r="L352" s="6" t="str">
        <f ca="1">IFERROR(__xludf.DUMMYFUNCTION("""COMPUTED_VALUE"""),"No")</f>
        <v>No</v>
      </c>
      <c r="M352" s="6"/>
      <c r="N352" s="6"/>
      <c r="O352" s="6" t="str">
        <f ca="1">IFERROR(__xludf.DUMMYFUNCTION("""COMPUTED_VALUE"""),"Other")</f>
        <v>Other</v>
      </c>
      <c r="P352" s="6"/>
      <c r="Q352" s="6" t="str">
        <f ca="1">IFERROR(__xludf.DUMMYFUNCTION("""COMPUTED_VALUE"""),"Yes")</f>
        <v>Yes</v>
      </c>
      <c r="R352" s="6">
        <f ca="1">IFERROR(__xludf.DUMMYFUNCTION("""COMPUTED_VALUE"""),3)</f>
        <v>3</v>
      </c>
      <c r="S352" s="6" t="str">
        <f ca="1">IFERROR(__xludf.DUMMYFUNCTION("""COMPUTED_VALUE"""),"Pre-seed")</f>
        <v>Pre-seed</v>
      </c>
      <c r="T352" s="6" t="str">
        <f ca="1">IFERROR(__xludf.DUMMYFUNCTION("""COMPUTED_VALUE"""),"Pre-seed")</f>
        <v>Pre-seed</v>
      </c>
      <c r="U352" s="6" t="str">
        <f ca="1">IFERROR(__xludf.DUMMYFUNCTION("""COMPUTED_VALUE"""),"Pre-seed")</f>
        <v>Pre-seed</v>
      </c>
      <c r="V352" s="6"/>
      <c r="W352" s="6" t="str">
        <f ca="1">IFERROR(__xludf.DUMMYFUNCTION("""COMPUTED_VALUE"""),"Invite")</f>
        <v>Invite</v>
      </c>
    </row>
    <row r="353" spans="1:23">
      <c r="A353" s="6" t="str">
        <f ca="1">IFERROR(__xludf.DUMMYFUNCTION("""COMPUTED_VALUE"""),"Man, Man")</f>
        <v>Man, Man</v>
      </c>
      <c r="B353" s="6" t="str">
        <f ca="1">IFERROR(__xludf.DUMMYFUNCTION("""COMPUTED_VALUE"""),"Fortu Wealth _2022")</f>
        <v>Fortu Wealth _2022</v>
      </c>
      <c r="C353" s="6" t="str">
        <f ca="1">IFERROR(__xludf.DUMMYFUNCTION("""COMPUTED_VALUE"""),"Digital Tech")</f>
        <v>Digital Tech</v>
      </c>
      <c r="D353" s="6" t="str">
        <f ca="1">IFERROR(__xludf.DUMMYFUNCTION("""COMPUTED_VALUE"""),"london, london 
United Kingdom")</f>
        <v>london, london 
United Kingdom</v>
      </c>
      <c r="E353" s="6" t="str">
        <f ca="1">IFERROR(__xludf.DUMMYFUNCTION("""COMPUTED_VALUE"""),"International - Europe")</f>
        <v>International - Europe</v>
      </c>
      <c r="F353" s="6" t="str">
        <f ca="1">IFERROR(__xludf.DUMMYFUNCTION("""COMPUTED_VALUE"""),"Man")</f>
        <v>Man</v>
      </c>
      <c r="G353" s="6" t="str">
        <f ca="1">IFERROR(__xludf.DUMMYFUNCTION("""COMPUTED_VALUE"""),"Man")</f>
        <v>Man</v>
      </c>
      <c r="H353" s="6"/>
      <c r="I353" s="6"/>
      <c r="J353" s="6"/>
      <c r="K353" s="6"/>
      <c r="L353" s="6" t="str">
        <f ca="1">IFERROR(__xludf.DUMMYFUNCTION("""COMPUTED_VALUE"""),"No")</f>
        <v>No</v>
      </c>
      <c r="M353" s="6"/>
      <c r="N353" s="6"/>
      <c r="O353" s="6" t="str">
        <f ca="1">IFERROR(__xludf.DUMMYFUNCTION("""COMPUTED_VALUE"""),"Email")</f>
        <v>Email</v>
      </c>
      <c r="P353" s="6"/>
      <c r="Q353" s="6" t="str">
        <f ca="1">IFERROR(__xludf.DUMMYFUNCTION("""COMPUTED_VALUE"""),"No")</f>
        <v>No</v>
      </c>
      <c r="R353" s="6">
        <f ca="1">IFERROR(__xludf.DUMMYFUNCTION("""COMPUTED_VALUE"""),2)</f>
        <v>2</v>
      </c>
      <c r="S353" s="6" t="str">
        <f ca="1">IFERROR(__xludf.DUMMYFUNCTION("""COMPUTED_VALUE"""),"Pre-seed")</f>
        <v>Pre-seed</v>
      </c>
      <c r="T353" s="6" t="str">
        <f ca="1">IFERROR(__xludf.DUMMYFUNCTION("""COMPUTED_VALUE"""),"Pre-seed")</f>
        <v>Pre-seed</v>
      </c>
      <c r="U353" s="6" t="str">
        <f ca="1">IFERROR(__xludf.DUMMYFUNCTION("""COMPUTED_VALUE"""),"Pre-seed")</f>
        <v>Pre-seed</v>
      </c>
      <c r="V353" s="6"/>
      <c r="W353" s="6" t="str">
        <f ca="1">IFERROR(__xludf.DUMMYFUNCTION("""COMPUTED_VALUE"""),"Invite Next Year")</f>
        <v>Invite Next Year</v>
      </c>
    </row>
    <row r="354" spans="1:23">
      <c r="A354" s="6" t="str">
        <f ca="1">IFERROR(__xludf.DUMMYFUNCTION("""COMPUTED_VALUE"""),"Woman, Man")</f>
        <v>Woman, Man</v>
      </c>
      <c r="B354" s="6" t="str">
        <f ca="1">IFERROR(__xludf.DUMMYFUNCTION("""COMPUTED_VALUE"""),"Sleuth _2022")</f>
        <v>Sleuth _2022</v>
      </c>
      <c r="C354" s="6" t="str">
        <f ca="1">IFERROR(__xludf.DUMMYFUNCTION("""COMPUTED_VALUE"""),"Digital Tech")</f>
        <v>Digital Tech</v>
      </c>
      <c r="D354" s="6" t="str">
        <f ca="1">IFERROR(__xludf.DUMMYFUNCTION("""COMPUTED_VALUE"""),"19 Morris Ave, New York 
United States")</f>
        <v>19 Morris Ave, New York 
United States</v>
      </c>
      <c r="E354" s="6" t="str">
        <f ca="1">IFERROR(__xludf.DUMMYFUNCTION("""COMPUTED_VALUE"""),"East Coast")</f>
        <v>East Coast</v>
      </c>
      <c r="F354" s="6" t="str">
        <f ca="1">IFERROR(__xludf.DUMMYFUNCTION("""COMPUTED_VALUE"""),"Woman")</f>
        <v>Woman</v>
      </c>
      <c r="G354" s="6" t="str">
        <f ca="1">IFERROR(__xludf.DUMMYFUNCTION("""COMPUTED_VALUE"""),"Man")</f>
        <v>Man</v>
      </c>
      <c r="H354" s="6"/>
      <c r="I354" s="6"/>
      <c r="J354" s="6"/>
      <c r="K354" s="6"/>
      <c r="L354" s="6" t="str">
        <f ca="1">IFERROR(__xludf.DUMMYFUNCTION("""COMPUTED_VALUE"""),"--Please select--")</f>
        <v>--Please select--</v>
      </c>
      <c r="M354" s="6"/>
      <c r="N354" s="6"/>
      <c r="O354" s="6" t="str">
        <f ca="1">IFERROR(__xludf.DUMMYFUNCTION("""COMPUTED_VALUE"""),"Referral")</f>
        <v>Referral</v>
      </c>
      <c r="P354" s="6"/>
      <c r="Q354" s="6" t="str">
        <f ca="1">IFERROR(__xludf.DUMMYFUNCTION("""COMPUTED_VALUE"""),"No")</f>
        <v>No</v>
      </c>
      <c r="R354" s="6">
        <f ca="1">IFERROR(__xludf.DUMMYFUNCTION("""COMPUTED_VALUE"""),2)</f>
        <v>2</v>
      </c>
      <c r="S354" s="6" t="str">
        <f ca="1">IFERROR(__xludf.DUMMYFUNCTION("""COMPUTED_VALUE"""),"Pre-seed")</f>
        <v>Pre-seed</v>
      </c>
      <c r="T354" s="6" t="str">
        <f ca="1">IFERROR(__xludf.DUMMYFUNCTION("""COMPUTED_VALUE"""),"Pre-seed")</f>
        <v>Pre-seed</v>
      </c>
      <c r="U354" s="6" t="str">
        <f ca="1">IFERROR(__xludf.DUMMYFUNCTION("""COMPUTED_VALUE"""),"Pre-seed")</f>
        <v>Pre-seed</v>
      </c>
      <c r="V354" s="6"/>
      <c r="W354" s="6" t="str">
        <f ca="1">IFERROR(__xludf.DUMMYFUNCTION("""COMPUTED_VALUE"""),"Invite Next Year")</f>
        <v>Invite Next Year</v>
      </c>
    </row>
    <row r="355" spans="1:23">
      <c r="A355" s="6" t="str">
        <f ca="1">IFERROR(__xludf.DUMMYFUNCTION("""COMPUTED_VALUE"""),"Man")</f>
        <v>Man</v>
      </c>
      <c r="B355" s="6" t="str">
        <f ca="1">IFERROR(__xludf.DUMMYFUNCTION("""COMPUTED_VALUE"""),"Caravel Concepts, LLC _2022")</f>
        <v>Caravel Concepts, LLC _2022</v>
      </c>
      <c r="C355" s="6" t="str">
        <f ca="1">IFERROR(__xludf.DUMMYFUNCTION("""COMPUTED_VALUE"""),"Digital Tech")</f>
        <v>Digital Tech</v>
      </c>
      <c r="D355" s="6" t="str">
        <f ca="1">IFERROR(__xludf.DUMMYFUNCTION("""COMPUTED_VALUE"""),"Midlothian, Virginia 
United States")</f>
        <v>Midlothian, Virginia 
United States</v>
      </c>
      <c r="E355" s="6" t="str">
        <f ca="1">IFERROR(__xludf.DUMMYFUNCTION("""COMPUTED_VALUE"""),"East Coast")</f>
        <v>East Coast</v>
      </c>
      <c r="F355" s="6" t="str">
        <f ca="1">IFERROR(__xludf.DUMMYFUNCTION("""COMPUTED_VALUE"""),"Man")</f>
        <v>Man</v>
      </c>
      <c r="G355" s="6"/>
      <c r="H355" s="6"/>
      <c r="I355" s="6"/>
      <c r="J355" s="6"/>
      <c r="K355" s="6"/>
      <c r="L355" s="6" t="str">
        <f ca="1">IFERROR(__xludf.DUMMYFUNCTION("""COMPUTED_VALUE"""),"No")</f>
        <v>No</v>
      </c>
      <c r="M355" s="6"/>
      <c r="N355" s="6"/>
      <c r="O355" s="6" t="str">
        <f ca="1">IFERROR(__xludf.DUMMYFUNCTION("""COMPUTED_VALUE"""),"Email")</f>
        <v>Email</v>
      </c>
      <c r="P355" s="6"/>
      <c r="Q355" s="6" t="str">
        <f ca="1">IFERROR(__xludf.DUMMYFUNCTION("""COMPUTED_VALUE"""),"No")</f>
        <v>No</v>
      </c>
      <c r="R355" s="6">
        <f ca="1">IFERROR(__xludf.DUMMYFUNCTION("""COMPUTED_VALUE"""),1)</f>
        <v>1</v>
      </c>
      <c r="S355" s="6" t="str">
        <f ca="1">IFERROR(__xludf.DUMMYFUNCTION("""COMPUTED_VALUE"""),"Seed")</f>
        <v>Seed</v>
      </c>
      <c r="T355" s="6" t="str">
        <f ca="1">IFERROR(__xludf.DUMMYFUNCTION("""COMPUTED_VALUE"""),"Seed")</f>
        <v>Seed</v>
      </c>
      <c r="U355" s="6" t="str">
        <f ca="1">IFERROR(__xludf.DUMMYFUNCTION("""COMPUTED_VALUE"""),"Seed")</f>
        <v>Seed</v>
      </c>
      <c r="V355" s="6"/>
      <c r="W355" s="6" t="str">
        <f ca="1">IFERROR(__xludf.DUMMYFUNCTION("""COMPUTED_VALUE"""),"Invite Next Year")</f>
        <v>Invite Next Year</v>
      </c>
    </row>
    <row r="356" spans="1:23">
      <c r="A356" s="6" t="str">
        <f ca="1">IFERROR(__xludf.DUMMYFUNCTION("""COMPUTED_VALUE"""),"Man, Man, Man, Man, Man, Man")</f>
        <v>Man, Man, Man, Man, Man, Man</v>
      </c>
      <c r="B356" s="6" t="str">
        <f ca="1">IFERROR(__xludf.DUMMYFUNCTION("""COMPUTED_VALUE"""),"Terra Bioworks Corp _2022")</f>
        <v>Terra Bioworks Corp _2022</v>
      </c>
      <c r="C356" s="6" t="str">
        <f ca="1">IFERROR(__xludf.DUMMYFUNCTION("""COMPUTED_VALUE"""),"Life Sciences")</f>
        <v>Life Sciences</v>
      </c>
      <c r="D356" s="6" t="str">
        <f ca="1">IFERROR(__xludf.DUMMYFUNCTION("""COMPUTED_VALUE"""),"3220 Deming Way, Suite 100, Middleton, WI 
United States")</f>
        <v>3220 Deming Way, Suite 100, Middleton, WI 
United States</v>
      </c>
      <c r="E356" s="6" t="str">
        <f ca="1">IFERROR(__xludf.DUMMYFUNCTION("""COMPUTED_VALUE"""),"Midwest")</f>
        <v>Midwest</v>
      </c>
      <c r="F356" s="6" t="str">
        <f ca="1">IFERROR(__xludf.DUMMYFUNCTION("""COMPUTED_VALUE"""),"Man")</f>
        <v>Man</v>
      </c>
      <c r="G356" s="6" t="str">
        <f ca="1">IFERROR(__xludf.DUMMYFUNCTION("""COMPUTED_VALUE"""),"Man")</f>
        <v>Man</v>
      </c>
      <c r="H356" s="6" t="str">
        <f ca="1">IFERROR(__xludf.DUMMYFUNCTION("""COMPUTED_VALUE"""),"Man")</f>
        <v>Man</v>
      </c>
      <c r="I356" s="6" t="str">
        <f ca="1">IFERROR(__xludf.DUMMYFUNCTION("""COMPUTED_VALUE"""),"Man")</f>
        <v>Man</v>
      </c>
      <c r="J356" s="6" t="str">
        <f ca="1">IFERROR(__xludf.DUMMYFUNCTION("""COMPUTED_VALUE"""),"Man")</f>
        <v>Man</v>
      </c>
      <c r="K356" s="6" t="str">
        <f ca="1">IFERROR(__xludf.DUMMYFUNCTION("""COMPUTED_VALUE"""),"Man")</f>
        <v>Man</v>
      </c>
      <c r="L356" s="6" t="str">
        <f ca="1">IFERROR(__xludf.DUMMYFUNCTION("""COMPUTED_VALUE"""),"--Please select--")</f>
        <v>--Please select--</v>
      </c>
      <c r="M356" s="6"/>
      <c r="N356" s="6"/>
      <c r="O356" s="6" t="str">
        <f ca="1">IFERROR(__xludf.DUMMYFUNCTION("""COMPUTED_VALUE"""),"Email")</f>
        <v>Email</v>
      </c>
      <c r="P356" s="6"/>
      <c r="Q356" s="6" t="str">
        <f ca="1">IFERROR(__xludf.DUMMYFUNCTION("""COMPUTED_VALUE"""),"No")</f>
        <v>No</v>
      </c>
      <c r="R356" s="6">
        <f ca="1">IFERROR(__xludf.DUMMYFUNCTION("""COMPUTED_VALUE"""),6)</f>
        <v>6</v>
      </c>
      <c r="S356" s="6" t="str">
        <f ca="1">IFERROR(__xludf.DUMMYFUNCTION("""COMPUTED_VALUE"""),"Seed")</f>
        <v>Seed</v>
      </c>
      <c r="T356" s="6" t="str">
        <f ca="1">IFERROR(__xludf.DUMMYFUNCTION("""COMPUTED_VALUE"""),"Seed")</f>
        <v>Seed</v>
      </c>
      <c r="U356" s="6" t="str">
        <f ca="1">IFERROR(__xludf.DUMMYFUNCTION("""COMPUTED_VALUE"""),"Seed")</f>
        <v>Seed</v>
      </c>
      <c r="V356" s="6"/>
      <c r="W356" s="6" t="str">
        <f ca="1">IFERROR(__xludf.DUMMYFUNCTION("""COMPUTED_VALUE"""),"Invite")</f>
        <v>Invite</v>
      </c>
    </row>
    <row r="357" spans="1:23">
      <c r="A357" s="6" t="str">
        <f ca="1">IFERROR(__xludf.DUMMYFUNCTION("""COMPUTED_VALUE"""),"Woman, Man, Man, Woman")</f>
        <v>Woman, Man, Man, Woman</v>
      </c>
      <c r="B357" s="6" t="str">
        <f ca="1">IFERROR(__xludf.DUMMYFUNCTION("""COMPUTED_VALUE"""),"Charco Neurotech _2022")</f>
        <v>Charco Neurotech _2022</v>
      </c>
      <c r="C357" s="6" t="str">
        <f ca="1">IFERROR(__xludf.DUMMYFUNCTION("""COMPUTED_VALUE"""),"Life Sciences")</f>
        <v>Life Sciences</v>
      </c>
      <c r="D357" s="6" t="str">
        <f ca="1">IFERROR(__xludf.DUMMYFUNCTION("""COMPUTED_VALUE"""),"Wellington House, East Road, Cambridge, CB1 1BH, Cambridgeshire 
United Kingdom")</f>
        <v>Wellington House, East Road, Cambridge, CB1 1BH, Cambridgeshire 
United Kingdom</v>
      </c>
      <c r="E357" s="6" t="str">
        <f ca="1">IFERROR(__xludf.DUMMYFUNCTION("""COMPUTED_VALUE"""),"International - Europe")</f>
        <v>International - Europe</v>
      </c>
      <c r="F357" s="6" t="str">
        <f ca="1">IFERROR(__xludf.DUMMYFUNCTION("""COMPUTED_VALUE"""),"Woman")</f>
        <v>Woman</v>
      </c>
      <c r="G357" s="6" t="str">
        <f ca="1">IFERROR(__xludf.DUMMYFUNCTION("""COMPUTED_VALUE"""),"Man")</f>
        <v>Man</v>
      </c>
      <c r="H357" s="6" t="str">
        <f ca="1">IFERROR(__xludf.DUMMYFUNCTION("""COMPUTED_VALUE"""),"Man")</f>
        <v>Man</v>
      </c>
      <c r="I357" s="6" t="str">
        <f ca="1">IFERROR(__xludf.DUMMYFUNCTION("""COMPUTED_VALUE"""),"Woman")</f>
        <v>Woman</v>
      </c>
      <c r="J357" s="6"/>
      <c r="K357" s="6"/>
      <c r="L357" s="6" t="str">
        <f ca="1">IFERROR(__xludf.DUMMYFUNCTION("""COMPUTED_VALUE"""),"No")</f>
        <v>No</v>
      </c>
      <c r="M357" s="6"/>
      <c r="N357" s="6"/>
      <c r="O357" s="6" t="str">
        <f ca="1">IFERROR(__xludf.DUMMYFUNCTION("""COMPUTED_VALUE"""),"Referral")</f>
        <v>Referral</v>
      </c>
      <c r="P357" s="6"/>
      <c r="Q357" s="6" t="str">
        <f ca="1">IFERROR(__xludf.DUMMYFUNCTION("""COMPUTED_VALUE"""),"No")</f>
        <v>No</v>
      </c>
      <c r="R357" s="6">
        <f ca="1">IFERROR(__xludf.DUMMYFUNCTION("""COMPUTED_VALUE"""),4)</f>
        <v>4</v>
      </c>
      <c r="S357" s="6" t="str">
        <f ca="1">IFERROR(__xludf.DUMMYFUNCTION("""COMPUTED_VALUE"""),"Seed")</f>
        <v>Seed</v>
      </c>
      <c r="T357" s="6" t="str">
        <f ca="1">IFERROR(__xludf.DUMMYFUNCTION("""COMPUTED_VALUE"""),"Seed")</f>
        <v>Seed</v>
      </c>
      <c r="U357" s="6" t="str">
        <f ca="1">IFERROR(__xludf.DUMMYFUNCTION("""COMPUTED_VALUE"""),"Seed")</f>
        <v>Seed</v>
      </c>
      <c r="V357" s="6"/>
      <c r="W357" s="6" t="str">
        <f ca="1">IFERROR(__xludf.DUMMYFUNCTION("""COMPUTED_VALUE"""),"Invite")</f>
        <v>Invite</v>
      </c>
    </row>
    <row r="358" spans="1:23">
      <c r="A358" s="6" t="str">
        <f ca="1">IFERROR(__xludf.DUMMYFUNCTION("""COMPUTED_VALUE"""),"Man")</f>
        <v>Man</v>
      </c>
      <c r="B358" s="6" t="str">
        <f ca="1">IFERROR(__xludf.DUMMYFUNCTION("""COMPUTED_VALUE"""),"Cardiología Hiskin _2022")</f>
        <v>Cardiología Hiskin _2022</v>
      </c>
      <c r="C358" s="6" t="str">
        <f ca="1">IFERROR(__xludf.DUMMYFUNCTION("""COMPUTED_VALUE"""),"Life Sciences")</f>
        <v>Life Sciences</v>
      </c>
      <c r="D358" s="6" t="str">
        <f ca="1">IFERROR(__xludf.DUMMYFUNCTION("""COMPUTED_VALUE"""),"Pincén, Córdoba 
Argentina")</f>
        <v>Pincén, Córdoba 
Argentina</v>
      </c>
      <c r="E358" s="6" t="str">
        <f ca="1">IFERROR(__xludf.DUMMYFUNCTION("""COMPUTED_VALUE"""),"International - Americas")</f>
        <v>International - Americas</v>
      </c>
      <c r="F358" s="6" t="str">
        <f ca="1">IFERROR(__xludf.DUMMYFUNCTION("""COMPUTED_VALUE"""),"Man")</f>
        <v>Man</v>
      </c>
      <c r="G358" s="6"/>
      <c r="H358" s="6"/>
      <c r="I358" s="6"/>
      <c r="J358" s="6"/>
      <c r="K358" s="6"/>
      <c r="L358" s="6" t="str">
        <f ca="1">IFERROR(__xludf.DUMMYFUNCTION("""COMPUTED_VALUE"""),"No")</f>
        <v>No</v>
      </c>
      <c r="M358" s="6"/>
      <c r="N358" s="6"/>
      <c r="O358" s="6" t="str">
        <f ca="1">IFERROR(__xludf.DUMMYFUNCTION("""COMPUTED_VALUE"""),"Referral")</f>
        <v>Referral</v>
      </c>
      <c r="P358" s="6"/>
      <c r="Q358" s="6" t="str">
        <f ca="1">IFERROR(__xludf.DUMMYFUNCTION("""COMPUTED_VALUE"""),"No")</f>
        <v>No</v>
      </c>
      <c r="R358" s="6">
        <f ca="1">IFERROR(__xludf.DUMMYFUNCTION("""COMPUTED_VALUE"""),1)</f>
        <v>1</v>
      </c>
      <c r="S358" s="6" t="str">
        <f ca="1">IFERROR(__xludf.DUMMYFUNCTION("""COMPUTED_VALUE"""),"None")</f>
        <v>None</v>
      </c>
      <c r="T358" s="6" t="str">
        <f ca="1">IFERROR(__xludf.DUMMYFUNCTION("""COMPUTED_VALUE"""),"None")</f>
        <v>None</v>
      </c>
      <c r="U358" s="6" t="str">
        <f ca="1">IFERROR(__xludf.DUMMYFUNCTION("""COMPUTED_VALUE"""),"None")</f>
        <v>None</v>
      </c>
      <c r="V358" s="6"/>
      <c r="W358" s="6" t="str">
        <f ca="1">IFERROR(__xludf.DUMMYFUNCTION("""COMPUTED_VALUE"""),"Invite Next Year")</f>
        <v>Invite Next Year</v>
      </c>
    </row>
    <row r="359" spans="1:23">
      <c r="A359" s="6" t="str">
        <f ca="1">IFERROR(__xludf.DUMMYFUNCTION("""COMPUTED_VALUE"""),"Man, Man, Man")</f>
        <v>Man, Man, Man</v>
      </c>
      <c r="B359" s="6" t="str">
        <f ca="1">IFERROR(__xludf.DUMMYFUNCTION("""COMPUTED_VALUE"""),"Mediloq, Inc. _2022")</f>
        <v>Mediloq, Inc. _2022</v>
      </c>
      <c r="C359" s="6" t="str">
        <f ca="1">IFERROR(__xludf.DUMMYFUNCTION("""COMPUTED_VALUE"""),"Life Sciences")</f>
        <v>Life Sciences</v>
      </c>
      <c r="D359" s="6" t="str">
        <f ca="1">IFERROR(__xludf.DUMMYFUNCTION("""COMPUTED_VALUE"""),"Boulder, Colorado 
United States")</f>
        <v>Boulder, Colorado 
United States</v>
      </c>
      <c r="E359" s="6" t="str">
        <f ca="1">IFERROR(__xludf.DUMMYFUNCTION("""COMPUTED_VALUE"""),"West")</f>
        <v>West</v>
      </c>
      <c r="F359" s="6" t="str">
        <f ca="1">IFERROR(__xludf.DUMMYFUNCTION("""COMPUTED_VALUE"""),"Man")</f>
        <v>Man</v>
      </c>
      <c r="G359" s="6" t="str">
        <f ca="1">IFERROR(__xludf.DUMMYFUNCTION("""COMPUTED_VALUE"""),"Man")</f>
        <v>Man</v>
      </c>
      <c r="H359" s="6" t="str">
        <f ca="1">IFERROR(__xludf.DUMMYFUNCTION("""COMPUTED_VALUE"""),"Man")</f>
        <v>Man</v>
      </c>
      <c r="I359" s="6"/>
      <c r="J359" s="6"/>
      <c r="K359" s="6"/>
      <c r="L359" s="6" t="str">
        <f ca="1">IFERROR(__xludf.DUMMYFUNCTION("""COMPUTED_VALUE"""),"No")</f>
        <v>No</v>
      </c>
      <c r="M359" s="6"/>
      <c r="N359" s="6"/>
      <c r="O359" s="6" t="str">
        <f ca="1">IFERROR(__xludf.DUMMYFUNCTION("""COMPUTED_VALUE"""),"LinkedIn")</f>
        <v>LinkedIn</v>
      </c>
      <c r="P359" s="6"/>
      <c r="Q359" s="6" t="str">
        <f ca="1">IFERROR(__xludf.DUMMYFUNCTION("""COMPUTED_VALUE"""),"No")</f>
        <v>No</v>
      </c>
      <c r="R359" s="6">
        <f ca="1">IFERROR(__xludf.DUMMYFUNCTION("""COMPUTED_VALUE"""),3)</f>
        <v>3</v>
      </c>
      <c r="S359" s="6" t="str">
        <f ca="1">IFERROR(__xludf.DUMMYFUNCTION("""COMPUTED_VALUE"""),"Pre-seed")</f>
        <v>Pre-seed</v>
      </c>
      <c r="T359" s="6" t="str">
        <f ca="1">IFERROR(__xludf.DUMMYFUNCTION("""COMPUTED_VALUE"""),"Pre-seed")</f>
        <v>Pre-seed</v>
      </c>
      <c r="U359" s="6" t="str">
        <f ca="1">IFERROR(__xludf.DUMMYFUNCTION("""COMPUTED_VALUE"""),"Pre-seed")</f>
        <v>Pre-seed</v>
      </c>
      <c r="V359" s="6"/>
      <c r="W359" s="6" t="str">
        <f ca="1">IFERROR(__xludf.DUMMYFUNCTION("""COMPUTED_VALUE"""),"Invite Next Year")</f>
        <v>Invite Next Year</v>
      </c>
    </row>
    <row r="360" spans="1:23">
      <c r="A360" s="6" t="str">
        <f ca="1">IFERROR(__xludf.DUMMYFUNCTION("""COMPUTED_VALUE"""),"Man, Man")</f>
        <v>Man, Man</v>
      </c>
      <c r="B360" s="6" t="str">
        <f ca="1">IFERROR(__xludf.DUMMYFUNCTION("""COMPUTED_VALUE"""),"BoxyHQ _2022")</f>
        <v>BoxyHQ _2022</v>
      </c>
      <c r="C360" s="6" t="str">
        <f ca="1">IFERROR(__xludf.DUMMYFUNCTION("""COMPUTED_VALUE"""),"Digital Tech")</f>
        <v>Digital Tech</v>
      </c>
      <c r="D360" s="6" t="str">
        <f ca="1">IFERROR(__xludf.DUMMYFUNCTION("""COMPUTED_VALUE"""),"London, London 
United Kingdom")</f>
        <v>London, London 
United Kingdom</v>
      </c>
      <c r="E360" s="6" t="str">
        <f ca="1">IFERROR(__xludf.DUMMYFUNCTION("""COMPUTED_VALUE"""),"International - Europe")</f>
        <v>International - Europe</v>
      </c>
      <c r="F360" s="6" t="str">
        <f ca="1">IFERROR(__xludf.DUMMYFUNCTION("""COMPUTED_VALUE"""),"Man")</f>
        <v>Man</v>
      </c>
      <c r="G360" s="6" t="str">
        <f ca="1">IFERROR(__xludf.DUMMYFUNCTION("""COMPUTED_VALUE"""),"Man")</f>
        <v>Man</v>
      </c>
      <c r="H360" s="6"/>
      <c r="I360" s="6"/>
      <c r="J360" s="6"/>
      <c r="K360" s="6"/>
      <c r="L360" s="6" t="str">
        <f ca="1">IFERROR(__xludf.DUMMYFUNCTION("""COMPUTED_VALUE"""),"No")</f>
        <v>No</v>
      </c>
      <c r="M360" s="6"/>
      <c r="N360" s="6"/>
      <c r="O360" s="6" t="str">
        <f ca="1">IFERROR(__xludf.DUMMYFUNCTION("""COMPUTED_VALUE"""),"Email")</f>
        <v>Email</v>
      </c>
      <c r="P360" s="6"/>
      <c r="Q360" s="6" t="str">
        <f ca="1">IFERROR(__xludf.DUMMYFUNCTION("""COMPUTED_VALUE"""),"No")</f>
        <v>No</v>
      </c>
      <c r="R360" s="6">
        <f ca="1">IFERROR(__xludf.DUMMYFUNCTION("""COMPUTED_VALUE"""),2)</f>
        <v>2</v>
      </c>
      <c r="S360" s="6" t="str">
        <f ca="1">IFERROR(__xludf.DUMMYFUNCTION("""COMPUTED_VALUE"""),"Pre-seed")</f>
        <v>Pre-seed</v>
      </c>
      <c r="T360" s="6" t="str">
        <f ca="1">IFERROR(__xludf.DUMMYFUNCTION("""COMPUTED_VALUE"""),"Pre-seed")</f>
        <v>Pre-seed</v>
      </c>
      <c r="U360" s="6" t="str">
        <f ca="1">IFERROR(__xludf.DUMMYFUNCTION("""COMPUTED_VALUE"""),"Pre-seed")</f>
        <v>Pre-seed</v>
      </c>
      <c r="V360" s="6"/>
      <c r="W360" s="6" t="str">
        <f ca="1">IFERROR(__xludf.DUMMYFUNCTION("""COMPUTED_VALUE"""),"Invite Next Year")</f>
        <v>Invite Next Year</v>
      </c>
    </row>
    <row r="361" spans="1:23">
      <c r="A361" s="6" t="str">
        <f ca="1">IFERROR(__xludf.DUMMYFUNCTION("""COMPUTED_VALUE"""),"Man, Man, Man")</f>
        <v>Man, Man, Man</v>
      </c>
      <c r="B361" s="6" t="str">
        <f ca="1">IFERROR(__xludf.DUMMYFUNCTION("""COMPUTED_VALUE"""),"PentaBind Ltd _2022")</f>
        <v>PentaBind Ltd _2022</v>
      </c>
      <c r="C361" s="6" t="str">
        <f ca="1">IFERROR(__xludf.DUMMYFUNCTION("""COMPUTED_VALUE"""),"Deep Tech")</f>
        <v>Deep Tech</v>
      </c>
      <c r="D361" s="6" t="str">
        <f ca="1">IFERROR(__xludf.DUMMYFUNCTION("""COMPUTED_VALUE"""),"London, London 
United Kingdom")</f>
        <v>London, London 
United Kingdom</v>
      </c>
      <c r="E361" s="6" t="str">
        <f ca="1">IFERROR(__xludf.DUMMYFUNCTION("""COMPUTED_VALUE"""),"International - Europe")</f>
        <v>International - Europe</v>
      </c>
      <c r="F361" s="6" t="str">
        <f ca="1">IFERROR(__xludf.DUMMYFUNCTION("""COMPUTED_VALUE"""),"Man")</f>
        <v>Man</v>
      </c>
      <c r="G361" s="6" t="str">
        <f ca="1">IFERROR(__xludf.DUMMYFUNCTION("""COMPUTED_VALUE"""),"Man")</f>
        <v>Man</v>
      </c>
      <c r="H361" s="6" t="str">
        <f ca="1">IFERROR(__xludf.DUMMYFUNCTION("""COMPUTED_VALUE"""),"Man")</f>
        <v>Man</v>
      </c>
      <c r="I361" s="6"/>
      <c r="J361" s="6"/>
      <c r="K361" s="6"/>
      <c r="L361" s="6" t="str">
        <f ca="1">IFERROR(__xludf.DUMMYFUNCTION("""COMPUTED_VALUE"""),"No")</f>
        <v>No</v>
      </c>
      <c r="M361" s="6"/>
      <c r="N361" s="6"/>
      <c r="O361" s="6" t="str">
        <f ca="1">IFERROR(__xludf.DUMMYFUNCTION("""COMPUTED_VALUE"""),"Referral")</f>
        <v>Referral</v>
      </c>
      <c r="P361" s="6"/>
      <c r="Q361" s="6" t="str">
        <f ca="1">IFERROR(__xludf.DUMMYFUNCTION("""COMPUTED_VALUE"""),"No")</f>
        <v>No</v>
      </c>
      <c r="R361" s="6">
        <f ca="1">IFERROR(__xludf.DUMMYFUNCTION("""COMPUTED_VALUE"""),3)</f>
        <v>3</v>
      </c>
      <c r="S361" s="6" t="str">
        <f ca="1">IFERROR(__xludf.DUMMYFUNCTION("""COMPUTED_VALUE"""),"Pre-seed")</f>
        <v>Pre-seed</v>
      </c>
      <c r="T361" s="6" t="str">
        <f ca="1">IFERROR(__xludf.DUMMYFUNCTION("""COMPUTED_VALUE"""),"Pre-seed")</f>
        <v>Pre-seed</v>
      </c>
      <c r="U361" s="6" t="str">
        <f ca="1">IFERROR(__xludf.DUMMYFUNCTION("""COMPUTED_VALUE"""),"Pre-seed")</f>
        <v>Pre-seed</v>
      </c>
      <c r="V361" s="6"/>
      <c r="W361" s="6" t="str">
        <f ca="1">IFERROR(__xludf.DUMMYFUNCTION("""COMPUTED_VALUE"""),"Invite")</f>
        <v>Invite</v>
      </c>
    </row>
    <row r="362" spans="1:23">
      <c r="A362" s="6" t="str">
        <f ca="1">IFERROR(__xludf.DUMMYFUNCTION("""COMPUTED_VALUE"""),"Man, Woman, Man")</f>
        <v>Man, Woman, Man</v>
      </c>
      <c r="B362" s="6" t="str">
        <f ca="1">IFERROR(__xludf.DUMMYFUNCTION("""COMPUTED_VALUE"""),"Fastagger Inc _2022")</f>
        <v>Fastagger Inc _2022</v>
      </c>
      <c r="C362" s="6" t="str">
        <f ca="1">IFERROR(__xludf.DUMMYFUNCTION("""COMPUTED_VALUE"""),"Digital Tech")</f>
        <v>Digital Tech</v>
      </c>
      <c r="D362" s="6" t="str">
        <f ca="1">IFERROR(__xludf.DUMMYFUNCTION("""COMPUTED_VALUE"""),"10th floor, ABC Place, Waiyaki way, Westlands, Nairobi 
Kenya")</f>
        <v>10th floor, ABC Place, Waiyaki way, Westlands, Nairobi 
Kenya</v>
      </c>
      <c r="E362" s="6" t="str">
        <f ca="1">IFERROR(__xludf.DUMMYFUNCTION("""COMPUTED_VALUE"""),"International - Other")</f>
        <v>International - Other</v>
      </c>
      <c r="F362" s="6" t="str">
        <f ca="1">IFERROR(__xludf.DUMMYFUNCTION("""COMPUTED_VALUE"""),"Man")</f>
        <v>Man</v>
      </c>
      <c r="G362" s="6" t="str">
        <f ca="1">IFERROR(__xludf.DUMMYFUNCTION("""COMPUTED_VALUE"""),"Woman")</f>
        <v>Woman</v>
      </c>
      <c r="H362" s="6" t="str">
        <f ca="1">IFERROR(__xludf.DUMMYFUNCTION("""COMPUTED_VALUE"""),"Man")</f>
        <v>Man</v>
      </c>
      <c r="I362" s="6"/>
      <c r="J362" s="6"/>
      <c r="K362" s="6"/>
      <c r="L362" s="6" t="str">
        <f ca="1">IFERROR(__xludf.DUMMYFUNCTION("""COMPUTED_VALUE"""),"No")</f>
        <v>No</v>
      </c>
      <c r="M362" s="6"/>
      <c r="N362" s="6"/>
      <c r="O362" s="6" t="str">
        <f ca="1">IFERROR(__xludf.DUMMYFUNCTION("""COMPUTED_VALUE"""),"Email")</f>
        <v>Email</v>
      </c>
      <c r="P362" s="6"/>
      <c r="Q362" s="6" t="str">
        <f ca="1">IFERROR(__xludf.DUMMYFUNCTION("""COMPUTED_VALUE"""),"No")</f>
        <v>No</v>
      </c>
      <c r="R362" s="6">
        <f ca="1">IFERROR(__xludf.DUMMYFUNCTION("""COMPUTED_VALUE"""),3)</f>
        <v>3</v>
      </c>
      <c r="S362" s="6" t="str">
        <f ca="1">IFERROR(__xludf.DUMMYFUNCTION("""COMPUTED_VALUE"""),"Pre-seed")</f>
        <v>Pre-seed</v>
      </c>
      <c r="T362" s="6" t="str">
        <f ca="1">IFERROR(__xludf.DUMMYFUNCTION("""COMPUTED_VALUE"""),"Pre-seed")</f>
        <v>Pre-seed</v>
      </c>
      <c r="U362" s="6" t="str">
        <f ca="1">IFERROR(__xludf.DUMMYFUNCTION("""COMPUTED_VALUE"""),"Pre-seed")</f>
        <v>Pre-seed</v>
      </c>
      <c r="V362" s="6"/>
      <c r="W362" s="6" t="str">
        <f ca="1">IFERROR(__xludf.DUMMYFUNCTION("""COMPUTED_VALUE"""),"Invite Next Year")</f>
        <v>Invite Next Year</v>
      </c>
    </row>
    <row r="363" spans="1:23">
      <c r="A363" s="6" t="str">
        <f ca="1">IFERROR(__xludf.DUMMYFUNCTION("""COMPUTED_VALUE"""),"Woman")</f>
        <v>Woman</v>
      </c>
      <c r="B363" s="6" t="str">
        <f ca="1">IFERROR(__xludf.DUMMYFUNCTION("""COMPUTED_VALUE"""),"MyArtVisit _2022")</f>
        <v>MyArtVisit _2022</v>
      </c>
      <c r="C363" s="6" t="str">
        <f ca="1">IFERROR(__xludf.DUMMYFUNCTION("""COMPUTED_VALUE"""),"Digital Tech")</f>
        <v>Digital Tech</v>
      </c>
      <c r="D363" s="6" t="str">
        <f ca="1">IFERROR(__xludf.DUMMYFUNCTION("""COMPUTED_VALUE"""),"Manuela Pedraza 1679, Ciudad Autónoma de Buenos Aires 
Argentina")</f>
        <v>Manuela Pedraza 1679, Ciudad Autónoma de Buenos Aires 
Argentina</v>
      </c>
      <c r="E363" s="6" t="str">
        <f ca="1">IFERROR(__xludf.DUMMYFUNCTION("""COMPUTED_VALUE"""),"International - Americas")</f>
        <v>International - Americas</v>
      </c>
      <c r="F363" s="6" t="str">
        <f ca="1">IFERROR(__xludf.DUMMYFUNCTION("""COMPUTED_VALUE"""),"Woman")</f>
        <v>Woman</v>
      </c>
      <c r="G363" s="6"/>
      <c r="H363" s="6"/>
      <c r="I363" s="6"/>
      <c r="J363" s="6"/>
      <c r="K363" s="6"/>
      <c r="L363" s="6" t="str">
        <f ca="1">IFERROR(__xludf.DUMMYFUNCTION("""COMPUTED_VALUE"""),"--Please select--")</f>
        <v>--Please select--</v>
      </c>
      <c r="M363" s="6"/>
      <c r="N363" s="6"/>
      <c r="O363" s="6" t="str">
        <f ca="1">IFERROR(__xludf.DUMMYFUNCTION("""COMPUTED_VALUE"""),"Referral")</f>
        <v>Referral</v>
      </c>
      <c r="P363" s="6"/>
      <c r="Q363" s="6" t="str">
        <f ca="1">IFERROR(__xludf.DUMMYFUNCTION("""COMPUTED_VALUE"""),"No")</f>
        <v>No</v>
      </c>
      <c r="R363" s="6">
        <f ca="1">IFERROR(__xludf.DUMMYFUNCTION("""COMPUTED_VALUE"""),1)</f>
        <v>1</v>
      </c>
      <c r="S363" s="6" t="str">
        <f ca="1">IFERROR(__xludf.DUMMYFUNCTION("""COMPUTED_VALUE"""),"None")</f>
        <v>None</v>
      </c>
      <c r="T363" s="6" t="str">
        <f ca="1">IFERROR(__xludf.DUMMYFUNCTION("""COMPUTED_VALUE"""),"None")</f>
        <v>None</v>
      </c>
      <c r="U363" s="6" t="str">
        <f ca="1">IFERROR(__xludf.DUMMYFUNCTION("""COMPUTED_VALUE"""),"None")</f>
        <v>None</v>
      </c>
      <c r="V363" s="6"/>
      <c r="W363" s="6" t="str">
        <f ca="1">IFERROR(__xludf.DUMMYFUNCTION("""COMPUTED_VALUE"""),"Invite Next Year")</f>
        <v>Invite Next Year</v>
      </c>
    </row>
    <row r="364" spans="1:23">
      <c r="A364" s="6" t="str">
        <f ca="1">IFERROR(__xludf.DUMMYFUNCTION("""COMPUTED_VALUE"""),"Prefer not to respond, Prefer not to respond")</f>
        <v>Prefer not to respond, Prefer not to respond</v>
      </c>
      <c r="B364" s="6" t="str">
        <f ca="1">IFERROR(__xludf.DUMMYFUNCTION("""COMPUTED_VALUE"""),"BioXycle _2022")</f>
        <v>BioXycle _2022</v>
      </c>
      <c r="C364" s="6" t="str">
        <f ca="1">IFERROR(__xludf.DUMMYFUNCTION("""COMPUTED_VALUE"""),"Deep Tech")</f>
        <v>Deep Tech</v>
      </c>
      <c r="D364" s="6" t="str">
        <f ca="1">IFERROR(__xludf.DUMMYFUNCTION("""COMPUTED_VALUE"""),"Atlanta, Georgia 
United States")</f>
        <v>Atlanta, Georgia 
United States</v>
      </c>
      <c r="E364" s="6" t="str">
        <f ca="1">IFERROR(__xludf.DUMMYFUNCTION("""COMPUTED_VALUE"""),"East Coast")</f>
        <v>East Coast</v>
      </c>
      <c r="F364" s="6" t="str">
        <f ca="1">IFERROR(__xludf.DUMMYFUNCTION("""COMPUTED_VALUE"""),"Prefer not to respond")</f>
        <v>Prefer not to respond</v>
      </c>
      <c r="G364" s="6" t="str">
        <f ca="1">IFERROR(__xludf.DUMMYFUNCTION("""COMPUTED_VALUE"""),"Prefer not to respond")</f>
        <v>Prefer not to respond</v>
      </c>
      <c r="H364" s="6"/>
      <c r="I364" s="6"/>
      <c r="J364" s="6"/>
      <c r="K364" s="6"/>
      <c r="L364" s="6" t="str">
        <f ca="1">IFERROR(__xludf.DUMMYFUNCTION("""COMPUTED_VALUE"""),"--Please select--")</f>
        <v>--Please select--</v>
      </c>
      <c r="M364" s="6"/>
      <c r="N364" s="6"/>
      <c r="O364" s="6" t="str">
        <f ca="1">IFERROR(__xludf.DUMMYFUNCTION("""COMPUTED_VALUE"""),"Email")</f>
        <v>Email</v>
      </c>
      <c r="P364" s="6"/>
      <c r="Q364" s="6" t="str">
        <f ca="1">IFERROR(__xludf.DUMMYFUNCTION("""COMPUTED_VALUE"""),"No")</f>
        <v>No</v>
      </c>
      <c r="R364" s="6">
        <f ca="1">IFERROR(__xludf.DUMMYFUNCTION("""COMPUTED_VALUE"""),2)</f>
        <v>2</v>
      </c>
      <c r="S364" s="6" t="str">
        <f ca="1">IFERROR(__xludf.DUMMYFUNCTION("""COMPUTED_VALUE"""),"Pre-seed")</f>
        <v>Pre-seed</v>
      </c>
      <c r="T364" s="6" t="str">
        <f ca="1">IFERROR(__xludf.DUMMYFUNCTION("""COMPUTED_VALUE"""),"Pre-seed")</f>
        <v>Pre-seed</v>
      </c>
      <c r="U364" s="6" t="str">
        <f ca="1">IFERROR(__xludf.DUMMYFUNCTION("""COMPUTED_VALUE"""),"Pre-seed")</f>
        <v>Pre-seed</v>
      </c>
      <c r="V364" s="6"/>
      <c r="W364" s="6" t="str">
        <f ca="1">IFERROR(__xludf.DUMMYFUNCTION("""COMPUTED_VALUE"""),"Invite Next Year")</f>
        <v>Invite Next Year</v>
      </c>
    </row>
    <row r="365" spans="1:23">
      <c r="A365" s="6" t="str">
        <f ca="1">IFERROR(__xludf.DUMMYFUNCTION("""COMPUTED_VALUE"""),"Woman, Woman, Man, Man, Man")</f>
        <v>Woman, Woman, Man, Man, Man</v>
      </c>
      <c r="B365" s="6" t="str">
        <f ca="1">IFERROR(__xludf.DUMMYFUNCTION("""COMPUTED_VALUE"""),"HDAX Therapeutics _2022")</f>
        <v>HDAX Therapeutics _2022</v>
      </c>
      <c r="C365" s="6" t="str">
        <f ca="1">IFERROR(__xludf.DUMMYFUNCTION("""COMPUTED_VALUE"""),"Life Sciences")</f>
        <v>Life Sciences</v>
      </c>
      <c r="D365" s="6" t="str">
        <f ca="1">IFERROR(__xludf.DUMMYFUNCTION("""COMPUTED_VALUE"""),"Mississauga, Ontario 
Canada")</f>
        <v>Mississauga, Ontario 
Canada</v>
      </c>
      <c r="E365" s="6" t="str">
        <f ca="1">IFERROR(__xludf.DUMMYFUNCTION("""COMPUTED_VALUE"""),"International - Americas")</f>
        <v>International - Americas</v>
      </c>
      <c r="F365" s="6" t="str">
        <f ca="1">IFERROR(__xludf.DUMMYFUNCTION("""COMPUTED_VALUE"""),"Woman")</f>
        <v>Woman</v>
      </c>
      <c r="G365" s="6" t="str">
        <f ca="1">IFERROR(__xludf.DUMMYFUNCTION("""COMPUTED_VALUE"""),"Woman")</f>
        <v>Woman</v>
      </c>
      <c r="H365" s="6" t="str">
        <f ca="1">IFERROR(__xludf.DUMMYFUNCTION("""COMPUTED_VALUE"""),"Man")</f>
        <v>Man</v>
      </c>
      <c r="I365" s="6" t="str">
        <f ca="1">IFERROR(__xludf.DUMMYFUNCTION("""COMPUTED_VALUE"""),"Man")</f>
        <v>Man</v>
      </c>
      <c r="J365" s="6" t="str">
        <f ca="1">IFERROR(__xludf.DUMMYFUNCTION("""COMPUTED_VALUE"""),"Man")</f>
        <v>Man</v>
      </c>
      <c r="K365" s="6"/>
      <c r="L365" s="6" t="str">
        <f ca="1">IFERROR(__xludf.DUMMYFUNCTION("""COMPUTED_VALUE"""),"--Please select--")</f>
        <v>--Please select--</v>
      </c>
      <c r="M365" s="6"/>
      <c r="N365" s="6"/>
      <c r="O365" s="6" t="str">
        <f ca="1">IFERROR(__xludf.DUMMYFUNCTION("""COMPUTED_VALUE"""),"LinkedIn")</f>
        <v>LinkedIn</v>
      </c>
      <c r="P365" s="6"/>
      <c r="Q365" s="6" t="str">
        <f ca="1">IFERROR(__xludf.DUMMYFUNCTION("""COMPUTED_VALUE"""),"No")</f>
        <v>No</v>
      </c>
      <c r="R365" s="6">
        <f ca="1">IFERROR(__xludf.DUMMYFUNCTION("""COMPUTED_VALUE"""),5)</f>
        <v>5</v>
      </c>
      <c r="S365" s="6" t="str">
        <f ca="1">IFERROR(__xludf.DUMMYFUNCTION("""COMPUTED_VALUE"""),"Grants")</f>
        <v>Grants</v>
      </c>
      <c r="T365" s="6" t="str">
        <f ca="1">IFERROR(__xludf.DUMMYFUNCTION("""COMPUTED_VALUE"""),"Grants")</f>
        <v>Grants</v>
      </c>
      <c r="U365" s="6" t="str">
        <f ca="1">IFERROR(__xludf.DUMMYFUNCTION("""COMPUTED_VALUE"""),"Grants")</f>
        <v>Grants</v>
      </c>
      <c r="V365" s="6"/>
      <c r="W365" s="6" t="str">
        <f ca="1">IFERROR(__xludf.DUMMYFUNCTION("""COMPUTED_VALUE"""),"Invite")</f>
        <v>Invite</v>
      </c>
    </row>
    <row r="366" spans="1:23">
      <c r="A366" s="6" t="str">
        <f ca="1">IFERROR(__xludf.DUMMYFUNCTION("""COMPUTED_VALUE"""),"Man, Man")</f>
        <v>Man, Man</v>
      </c>
      <c r="B366" s="6" t="str">
        <f ca="1">IFERROR(__xludf.DUMMYFUNCTION("""COMPUTED_VALUE"""),"Tradewell Technologies Inc _2022")</f>
        <v>Tradewell Technologies Inc _2022</v>
      </c>
      <c r="C366" s="6" t="str">
        <f ca="1">IFERROR(__xludf.DUMMYFUNCTION("""COMPUTED_VALUE"""),"Digital Tech")</f>
        <v>Digital Tech</v>
      </c>
      <c r="D366" s="6" t="str">
        <f ca="1">IFERROR(__xludf.DUMMYFUNCTION("""COMPUTED_VALUE"""),"New York, NY 
United States")</f>
        <v>New York, NY 
United States</v>
      </c>
      <c r="E366" s="6" t="str">
        <f ca="1">IFERROR(__xludf.DUMMYFUNCTION("""COMPUTED_VALUE"""),"New York")</f>
        <v>New York</v>
      </c>
      <c r="F366" s="6" t="str">
        <f ca="1">IFERROR(__xludf.DUMMYFUNCTION("""COMPUTED_VALUE"""),"Man")</f>
        <v>Man</v>
      </c>
      <c r="G366" s="6" t="str">
        <f ca="1">IFERROR(__xludf.DUMMYFUNCTION("""COMPUTED_VALUE"""),"Man")</f>
        <v>Man</v>
      </c>
      <c r="H366" s="6"/>
      <c r="I366" s="6"/>
      <c r="J366" s="6"/>
      <c r="K366" s="6"/>
      <c r="L366" s="6" t="str">
        <f ca="1">IFERROR(__xludf.DUMMYFUNCTION("""COMPUTED_VALUE"""),"No")</f>
        <v>No</v>
      </c>
      <c r="M366" s="6"/>
      <c r="N366" s="6"/>
      <c r="O366" s="6" t="str">
        <f ca="1">IFERROR(__xludf.DUMMYFUNCTION("""COMPUTED_VALUE"""),"Referral")</f>
        <v>Referral</v>
      </c>
      <c r="P366" s="6"/>
      <c r="Q366" s="6" t="str">
        <f ca="1">IFERROR(__xludf.DUMMYFUNCTION("""COMPUTED_VALUE"""),"No")</f>
        <v>No</v>
      </c>
      <c r="R366" s="6">
        <f ca="1">IFERROR(__xludf.DUMMYFUNCTION("""COMPUTED_VALUE"""),2)</f>
        <v>2</v>
      </c>
      <c r="S366" s="6" t="str">
        <f ca="1">IFERROR(__xludf.DUMMYFUNCTION("""COMPUTED_VALUE"""),"Pre-seed")</f>
        <v>Pre-seed</v>
      </c>
      <c r="T366" s="6" t="str">
        <f ca="1">IFERROR(__xludf.DUMMYFUNCTION("""COMPUTED_VALUE"""),"Pre-seed")</f>
        <v>Pre-seed</v>
      </c>
      <c r="U366" s="6" t="str">
        <f ca="1">IFERROR(__xludf.DUMMYFUNCTION("""COMPUTED_VALUE"""),"Pre-seed")</f>
        <v>Pre-seed</v>
      </c>
      <c r="V366" s="6"/>
      <c r="W366" s="6" t="str">
        <f ca="1">IFERROR(__xludf.DUMMYFUNCTION("""COMPUTED_VALUE"""),"Invite")</f>
        <v>Invite</v>
      </c>
    </row>
    <row r="367" spans="1:23">
      <c r="A367" s="6" t="str">
        <f ca="1">IFERROR(__xludf.DUMMYFUNCTION("""COMPUTED_VALUE"""),"Woman, Man")</f>
        <v>Woman, Man</v>
      </c>
      <c r="B367" s="6" t="str">
        <f ca="1">IFERROR(__xludf.DUMMYFUNCTION("""COMPUTED_VALUE"""),"MOBU _2022")</f>
        <v>MOBU _2022</v>
      </c>
      <c r="C367" s="6" t="str">
        <f ca="1">IFERROR(__xludf.DUMMYFUNCTION("""COMPUTED_VALUE"""),"Digital Tech")</f>
        <v>Digital Tech</v>
      </c>
      <c r="D367" s="6" t="str">
        <f ca="1">IFERROR(__xludf.DUMMYFUNCTION("""COMPUTED_VALUE"""),"3180 Express Drive South, Suite E, Islandia, NY 11749, New York 
United States")</f>
        <v>3180 Express Drive South, Suite E, Islandia, NY 11749, New York 
United States</v>
      </c>
      <c r="E367" s="6" t="str">
        <f ca="1">IFERROR(__xludf.DUMMYFUNCTION("""COMPUTED_VALUE"""),"East Coast")</f>
        <v>East Coast</v>
      </c>
      <c r="F367" s="6" t="str">
        <f ca="1">IFERROR(__xludf.DUMMYFUNCTION("""COMPUTED_VALUE"""),"Woman")</f>
        <v>Woman</v>
      </c>
      <c r="G367" s="6" t="str">
        <f ca="1">IFERROR(__xludf.DUMMYFUNCTION("""COMPUTED_VALUE"""),"Man")</f>
        <v>Man</v>
      </c>
      <c r="H367" s="6"/>
      <c r="I367" s="6"/>
      <c r="J367" s="6"/>
      <c r="K367" s="6"/>
      <c r="L367" s="6" t="str">
        <f ca="1">IFERROR(__xludf.DUMMYFUNCTION("""COMPUTED_VALUE"""),"Yes")</f>
        <v>Yes</v>
      </c>
      <c r="M367" s="6" t="str">
        <f ca="1">IFERROR(__xludf.DUMMYFUNCTION("""COMPUTED_VALUE"""),"NYU Student")</f>
        <v>NYU Student</v>
      </c>
      <c r="N367" s="6"/>
      <c r="O367" s="6" t="str">
        <f ca="1">IFERROR(__xludf.DUMMYFUNCTION("""COMPUTED_VALUE"""),"Email")</f>
        <v>Email</v>
      </c>
      <c r="P367" s="6"/>
      <c r="Q367" s="6" t="str">
        <f ca="1">IFERROR(__xludf.DUMMYFUNCTION("""COMPUTED_VALUE"""),"No")</f>
        <v>No</v>
      </c>
      <c r="R367" s="6">
        <f ca="1">IFERROR(__xludf.DUMMYFUNCTION("""COMPUTED_VALUE"""),2)</f>
        <v>2</v>
      </c>
      <c r="S367" s="6" t="str">
        <f ca="1">IFERROR(__xludf.DUMMYFUNCTION("""COMPUTED_VALUE"""),"Other: The amount was raised but will not be used until beta is complete")</f>
        <v>Other: The amount was raised but will not be used until beta is complete</v>
      </c>
      <c r="T367" s="6" t="str">
        <f ca="1">IFERROR(__xludf.DUMMYFUNCTION("""COMPUTED_VALUE"""),"Other: The amount was raised but will not be used until beta is complete")</f>
        <v>Other: The amount was raised but will not be used until beta is complete</v>
      </c>
      <c r="U367" s="6" t="str">
        <f ca="1">IFERROR(__xludf.DUMMYFUNCTION("""COMPUTED_VALUE"""),"The amount was raised but will not be used until beta is complete")</f>
        <v>The amount was raised but will not be used until beta is complete</v>
      </c>
      <c r="V367" s="6"/>
      <c r="W367" s="6" t="str">
        <f ca="1">IFERROR(__xludf.DUMMYFUNCTION("""COMPUTED_VALUE"""),"Invite Next Year")</f>
        <v>Invite Next Year</v>
      </c>
    </row>
    <row r="368" spans="1:23">
      <c r="A368" s="6" t="str">
        <f ca="1">IFERROR(__xludf.DUMMYFUNCTION("""COMPUTED_VALUE"""),"Woman")</f>
        <v>Woman</v>
      </c>
      <c r="B368" s="6" t="str">
        <f ca="1">IFERROR(__xludf.DUMMYFUNCTION("""COMPUTED_VALUE"""),"Navigating AWEtism _2022")</f>
        <v>Navigating AWEtism _2022</v>
      </c>
      <c r="C368" s="6" t="str">
        <f ca="1">IFERROR(__xludf.DUMMYFUNCTION("""COMPUTED_VALUE"""),"Digital Tech")</f>
        <v>Digital Tech</v>
      </c>
      <c r="D368" s="6" t="str">
        <f ca="1">IFERROR(__xludf.DUMMYFUNCTION("""COMPUTED_VALUE"""),"Ithaca, New York 
United States")</f>
        <v>Ithaca, New York 
United States</v>
      </c>
      <c r="E368" s="6" t="str">
        <f ca="1">IFERROR(__xludf.DUMMYFUNCTION("""COMPUTED_VALUE"""),"East Coast")</f>
        <v>East Coast</v>
      </c>
      <c r="F368" s="6" t="str">
        <f ca="1">IFERROR(__xludf.DUMMYFUNCTION("""COMPUTED_VALUE"""),"Woman")</f>
        <v>Woman</v>
      </c>
      <c r="G368" s="6"/>
      <c r="H368" s="6"/>
      <c r="I368" s="6"/>
      <c r="J368" s="6"/>
      <c r="K368" s="6"/>
      <c r="L368" s="6" t="str">
        <f ca="1">IFERROR(__xludf.DUMMYFUNCTION("""COMPUTED_VALUE"""),"No")</f>
        <v>No</v>
      </c>
      <c r="M368" s="6"/>
      <c r="N368" s="6"/>
      <c r="O368" s="6" t="str">
        <f ca="1">IFERROR(__xludf.DUMMYFUNCTION("""COMPUTED_VALUE"""),"Referral")</f>
        <v>Referral</v>
      </c>
      <c r="P368" s="6"/>
      <c r="Q368" s="6" t="str">
        <f ca="1">IFERROR(__xludf.DUMMYFUNCTION("""COMPUTED_VALUE"""),"No")</f>
        <v>No</v>
      </c>
      <c r="R368" s="6">
        <f ca="1">IFERROR(__xludf.DUMMYFUNCTION("""COMPUTED_VALUE"""),1)</f>
        <v>1</v>
      </c>
      <c r="S368" s="6" t="str">
        <f ca="1">IFERROR(__xludf.DUMMYFUNCTION("""COMPUTED_VALUE"""),"Other: Family")</f>
        <v>Other: Family</v>
      </c>
      <c r="T368" s="6" t="str">
        <f ca="1">IFERROR(__xludf.DUMMYFUNCTION("""COMPUTED_VALUE"""),"Other: Family")</f>
        <v>Other: Family</v>
      </c>
      <c r="U368" s="6" t="str">
        <f ca="1">IFERROR(__xludf.DUMMYFUNCTION("""COMPUTED_VALUE"""),"Family")</f>
        <v>Family</v>
      </c>
      <c r="V368" s="6"/>
      <c r="W368" s="6" t="str">
        <f ca="1">IFERROR(__xludf.DUMMYFUNCTION("""COMPUTED_VALUE"""),"Invite Next Year")</f>
        <v>Invite Next Year</v>
      </c>
    </row>
    <row r="369" spans="1:23">
      <c r="A369" s="6" t="str">
        <f ca="1">IFERROR(__xludf.DUMMYFUNCTION("""COMPUTED_VALUE"""),"Man, Man, Man")</f>
        <v>Man, Man, Man</v>
      </c>
      <c r="B369" s="6" t="str">
        <f ca="1">IFERROR(__xludf.DUMMYFUNCTION("""COMPUTED_VALUE"""),"Fulfilld _2022")</f>
        <v>Fulfilld _2022</v>
      </c>
      <c r="C369" s="6" t="str">
        <f ca="1">IFERROR(__xludf.DUMMYFUNCTION("""COMPUTED_VALUE"""),"Digital Tech")</f>
        <v>Digital Tech</v>
      </c>
      <c r="D369" s="6" t="str">
        <f ca="1">IFERROR(__xludf.DUMMYFUNCTION("""COMPUTED_VALUE"""),"Denver, CO 
United States")</f>
        <v>Denver, CO 
United States</v>
      </c>
      <c r="E369" s="6" t="str">
        <f ca="1">IFERROR(__xludf.DUMMYFUNCTION("""COMPUTED_VALUE"""),"West")</f>
        <v>West</v>
      </c>
      <c r="F369" s="6" t="str">
        <f ca="1">IFERROR(__xludf.DUMMYFUNCTION("""COMPUTED_VALUE"""),"Man")</f>
        <v>Man</v>
      </c>
      <c r="G369" s="6" t="str">
        <f ca="1">IFERROR(__xludf.DUMMYFUNCTION("""COMPUTED_VALUE"""),"Man")</f>
        <v>Man</v>
      </c>
      <c r="H369" s="6" t="str">
        <f ca="1">IFERROR(__xludf.DUMMYFUNCTION("""COMPUTED_VALUE"""),"Man")</f>
        <v>Man</v>
      </c>
      <c r="I369" s="6"/>
      <c r="J369" s="6"/>
      <c r="K369" s="6"/>
      <c r="L369" s="6" t="str">
        <f ca="1">IFERROR(__xludf.DUMMYFUNCTION("""COMPUTED_VALUE"""),"No")</f>
        <v>No</v>
      </c>
      <c r="M369" s="6"/>
      <c r="N369" s="6"/>
      <c r="O369" s="6" t="str">
        <f ca="1">IFERROR(__xludf.DUMMYFUNCTION("""COMPUTED_VALUE"""),"LinkedIn")</f>
        <v>LinkedIn</v>
      </c>
      <c r="P369" s="6"/>
      <c r="Q369" s="6" t="str">
        <f ca="1">IFERROR(__xludf.DUMMYFUNCTION("""COMPUTED_VALUE"""),"No")</f>
        <v>No</v>
      </c>
      <c r="R369" s="6">
        <f ca="1">IFERROR(__xludf.DUMMYFUNCTION("""COMPUTED_VALUE"""),3)</f>
        <v>3</v>
      </c>
      <c r="S369" s="6" t="str">
        <f ca="1">IFERROR(__xludf.DUMMYFUNCTION("""COMPUTED_VALUE"""),"Pre-seed")</f>
        <v>Pre-seed</v>
      </c>
      <c r="T369" s="6" t="str">
        <f ca="1">IFERROR(__xludf.DUMMYFUNCTION("""COMPUTED_VALUE"""),"Pre-seed")</f>
        <v>Pre-seed</v>
      </c>
      <c r="U369" s="6" t="str">
        <f ca="1">IFERROR(__xludf.DUMMYFUNCTION("""COMPUTED_VALUE"""),"Pre-seed")</f>
        <v>Pre-seed</v>
      </c>
      <c r="V369" s="6"/>
      <c r="W369" s="6" t="str">
        <f ca="1">IFERROR(__xludf.DUMMYFUNCTION("""COMPUTED_VALUE"""),"Invite")</f>
        <v>Invite</v>
      </c>
    </row>
    <row r="370" spans="1:23">
      <c r="A370" s="6" t="str">
        <f ca="1">IFERROR(__xludf.DUMMYFUNCTION("""COMPUTED_VALUE"""),"Man, Man")</f>
        <v>Man, Man</v>
      </c>
      <c r="B370" s="6" t="str">
        <f ca="1">IFERROR(__xludf.DUMMYFUNCTION("""COMPUTED_VALUE"""),"Rebound Technologies, Inc.  _2022")</f>
        <v>Rebound Technologies, Inc.  _2022</v>
      </c>
      <c r="C370" s="6" t="str">
        <f ca="1">IFERROR(__xludf.DUMMYFUNCTION("""COMPUTED_VALUE"""),"Deep Tech")</f>
        <v>Deep Tech</v>
      </c>
      <c r="D370" s="6" t="str">
        <f ca="1">IFERROR(__xludf.DUMMYFUNCTION("""COMPUTED_VALUE"""),"5690 E. 56th Ave. Unit F, Colorado 
United States")</f>
        <v>5690 E. 56th Ave. Unit F, Colorado 
United States</v>
      </c>
      <c r="E370" s="6" t="str">
        <f ca="1">IFERROR(__xludf.DUMMYFUNCTION("""COMPUTED_VALUE"""),"West")</f>
        <v>West</v>
      </c>
      <c r="F370" s="6" t="str">
        <f ca="1">IFERROR(__xludf.DUMMYFUNCTION("""COMPUTED_VALUE"""),"Man")</f>
        <v>Man</v>
      </c>
      <c r="G370" s="6" t="str">
        <f ca="1">IFERROR(__xludf.DUMMYFUNCTION("""COMPUTED_VALUE"""),"Man")</f>
        <v>Man</v>
      </c>
      <c r="H370" s="6"/>
      <c r="I370" s="6"/>
      <c r="J370" s="6"/>
      <c r="K370" s="6"/>
      <c r="L370" s="6" t="str">
        <f ca="1">IFERROR(__xludf.DUMMYFUNCTION("""COMPUTED_VALUE"""),"No")</f>
        <v>No</v>
      </c>
      <c r="M370" s="6"/>
      <c r="N370" s="6"/>
      <c r="O370" s="6" t="str">
        <f ca="1">IFERROR(__xludf.DUMMYFUNCTION("""COMPUTED_VALUE"""),"Email")</f>
        <v>Email</v>
      </c>
      <c r="P370" s="6"/>
      <c r="Q370" s="6" t="str">
        <f ca="1">IFERROR(__xludf.DUMMYFUNCTION("""COMPUTED_VALUE"""),"No")</f>
        <v>No</v>
      </c>
      <c r="R370" s="6">
        <f ca="1">IFERROR(__xludf.DUMMYFUNCTION("""COMPUTED_VALUE"""),2)</f>
        <v>2</v>
      </c>
      <c r="S370" s="6" t="str">
        <f ca="1">IFERROR(__xludf.DUMMYFUNCTION("""COMPUTED_VALUE"""),"Seed
Series A")</f>
        <v>Seed
Series A</v>
      </c>
      <c r="T370" s="6" t="str">
        <f ca="1">IFERROR(__xludf.DUMMYFUNCTION("""COMPUTED_VALUE"""),"Seed, Series A")</f>
        <v>Seed, Series A</v>
      </c>
      <c r="U370" s="6" t="str">
        <f ca="1">IFERROR(__xludf.DUMMYFUNCTION("""COMPUTED_VALUE"""),"Seed, Series A")</f>
        <v>Seed, Series A</v>
      </c>
      <c r="V370" s="6"/>
      <c r="W370" s="6" t="str">
        <f ca="1">IFERROR(__xludf.DUMMYFUNCTION("""COMPUTED_VALUE"""),"Revisit/ Cluster")</f>
        <v>Revisit/ Cluster</v>
      </c>
    </row>
    <row r="371" spans="1:23">
      <c r="A371" s="6" t="str">
        <f ca="1">IFERROR(__xludf.DUMMYFUNCTION("""COMPUTED_VALUE"""),"Man, Man, Man, Man")</f>
        <v>Man, Man, Man, Man</v>
      </c>
      <c r="B371" s="6" t="str">
        <f ca="1">IFERROR(__xludf.DUMMYFUNCTION("""COMPUTED_VALUE"""),"Photon Vault _2022")</f>
        <v>Photon Vault _2022</v>
      </c>
      <c r="C371" s="6" t="str">
        <f ca="1">IFERROR(__xludf.DUMMYFUNCTION("""COMPUTED_VALUE"""),"Deep Tech")</f>
        <v>Deep Tech</v>
      </c>
      <c r="D371" s="6" t="str">
        <f ca="1">IFERROR(__xludf.DUMMYFUNCTION("""COMPUTED_VALUE"""),"San Ramon, California 
United States")</f>
        <v>San Ramon, California 
United States</v>
      </c>
      <c r="E371" s="6" t="str">
        <f ca="1">IFERROR(__xludf.DUMMYFUNCTION("""COMPUTED_VALUE"""),"West Coast")</f>
        <v>West Coast</v>
      </c>
      <c r="F371" s="6" t="str">
        <f ca="1">IFERROR(__xludf.DUMMYFUNCTION("""COMPUTED_VALUE"""),"Man")</f>
        <v>Man</v>
      </c>
      <c r="G371" s="6" t="str">
        <f ca="1">IFERROR(__xludf.DUMMYFUNCTION("""COMPUTED_VALUE"""),"Man")</f>
        <v>Man</v>
      </c>
      <c r="H371" s="6" t="str">
        <f ca="1">IFERROR(__xludf.DUMMYFUNCTION("""COMPUTED_VALUE"""),"Man")</f>
        <v>Man</v>
      </c>
      <c r="I371" s="6" t="str">
        <f ca="1">IFERROR(__xludf.DUMMYFUNCTION("""COMPUTED_VALUE"""),"Man")</f>
        <v>Man</v>
      </c>
      <c r="J371" s="6"/>
      <c r="K371" s="6"/>
      <c r="L371" s="6" t="str">
        <f ca="1">IFERROR(__xludf.DUMMYFUNCTION("""COMPUTED_VALUE"""),"Yes")</f>
        <v>Yes</v>
      </c>
      <c r="M371" s="6" t="str">
        <f ca="1">IFERROR(__xludf.DUMMYFUNCTION("""COMPUTED_VALUE"""),"NYU Alumni")</f>
        <v>NYU Alumni</v>
      </c>
      <c r="N371" s="6"/>
      <c r="O371" s="6" t="str">
        <f ca="1">IFERROR(__xludf.DUMMYFUNCTION("""COMPUTED_VALUE"""),"Other")</f>
        <v>Other</v>
      </c>
      <c r="P371" s="6"/>
      <c r="Q371" s="6" t="str">
        <f ca="1">IFERROR(__xludf.DUMMYFUNCTION("""COMPUTED_VALUE"""),"No")</f>
        <v>No</v>
      </c>
      <c r="R371" s="6">
        <f ca="1">IFERROR(__xludf.DUMMYFUNCTION("""COMPUTED_VALUE"""),4)</f>
        <v>4</v>
      </c>
      <c r="S371" s="6" t="str">
        <f ca="1">IFERROR(__xludf.DUMMYFUNCTION("""COMPUTED_VALUE"""),"None")</f>
        <v>None</v>
      </c>
      <c r="T371" s="6" t="str">
        <f ca="1">IFERROR(__xludf.DUMMYFUNCTION("""COMPUTED_VALUE"""),"None")</f>
        <v>None</v>
      </c>
      <c r="U371" s="6" t="str">
        <f ca="1">IFERROR(__xludf.DUMMYFUNCTION("""COMPUTED_VALUE"""),"None")</f>
        <v>None</v>
      </c>
      <c r="V371" s="6"/>
      <c r="W371" s="6" t="str">
        <f ca="1">IFERROR(__xludf.DUMMYFUNCTION("""COMPUTED_VALUE"""),"Invite")</f>
        <v>Invite</v>
      </c>
    </row>
    <row r="372" spans="1:23">
      <c r="A372" s="6" t="str">
        <f ca="1">IFERROR(__xludf.DUMMYFUNCTION("""COMPUTED_VALUE"""),"Woman")</f>
        <v>Woman</v>
      </c>
      <c r="B372" s="6" t="str">
        <f ca="1">IFERROR(__xludf.DUMMYFUNCTION("""COMPUTED_VALUE"""),"Frontline Gig _2022")</f>
        <v>Frontline Gig _2022</v>
      </c>
      <c r="C372" s="6" t="str">
        <f ca="1">IFERROR(__xludf.DUMMYFUNCTION("""COMPUTED_VALUE"""),"Digital Tech")</f>
        <v>Digital Tech</v>
      </c>
      <c r="D372" s="6" t="str">
        <f ca="1">IFERROR(__xludf.DUMMYFUNCTION("""COMPUTED_VALUE"""),"Norfolk, VA 
United States")</f>
        <v>Norfolk, VA 
United States</v>
      </c>
      <c r="E372" s="6" t="str">
        <f ca="1">IFERROR(__xludf.DUMMYFUNCTION("""COMPUTED_VALUE"""),"East Coast")</f>
        <v>East Coast</v>
      </c>
      <c r="F372" s="6" t="str">
        <f ca="1">IFERROR(__xludf.DUMMYFUNCTION("""COMPUTED_VALUE"""),"Woman")</f>
        <v>Woman</v>
      </c>
      <c r="G372" s="6"/>
      <c r="H372" s="6"/>
      <c r="I372" s="6"/>
      <c r="J372" s="6"/>
      <c r="K372" s="6"/>
      <c r="L372" s="6" t="str">
        <f ca="1">IFERROR(__xludf.DUMMYFUNCTION("""COMPUTED_VALUE"""),"No")</f>
        <v>No</v>
      </c>
      <c r="M372" s="6"/>
      <c r="N372" s="6"/>
      <c r="O372" s="6" t="str">
        <f ca="1">IFERROR(__xludf.DUMMYFUNCTION("""COMPUTED_VALUE"""),"Email")</f>
        <v>Email</v>
      </c>
      <c r="P372" s="6"/>
      <c r="Q372" s="6" t="str">
        <f ca="1">IFERROR(__xludf.DUMMYFUNCTION("""COMPUTED_VALUE"""),"No")</f>
        <v>No</v>
      </c>
      <c r="R372" s="6">
        <f ca="1">IFERROR(__xludf.DUMMYFUNCTION("""COMPUTED_VALUE"""),1)</f>
        <v>1</v>
      </c>
      <c r="S372" s="6" t="str">
        <f ca="1">IFERROR(__xludf.DUMMYFUNCTION("""COMPUTED_VALUE"""),"Grants")</f>
        <v>Grants</v>
      </c>
      <c r="T372" s="6" t="str">
        <f ca="1">IFERROR(__xludf.DUMMYFUNCTION("""COMPUTED_VALUE"""),"Grants")</f>
        <v>Grants</v>
      </c>
      <c r="U372" s="6" t="str">
        <f ca="1">IFERROR(__xludf.DUMMYFUNCTION("""COMPUTED_VALUE"""),"Grants")</f>
        <v>Grants</v>
      </c>
      <c r="V372" s="6"/>
      <c r="W372" s="6" t="str">
        <f ca="1">IFERROR(__xludf.DUMMYFUNCTION("""COMPUTED_VALUE"""),"Invite Next Year")</f>
        <v>Invite Next Year</v>
      </c>
    </row>
    <row r="373" spans="1:23">
      <c r="A373" s="6" t="str">
        <f ca="1">IFERROR(__xludf.DUMMYFUNCTION("""COMPUTED_VALUE"""),"Man, Man, Man, Man")</f>
        <v>Man, Man, Man, Man</v>
      </c>
      <c r="B373" s="6" t="str">
        <f ca="1">IFERROR(__xludf.DUMMYFUNCTION("""COMPUTED_VALUE"""),"EydisBio, Inc. _2022")</f>
        <v>EydisBio, Inc. _2022</v>
      </c>
      <c r="C373" s="6" t="str">
        <f ca="1">IFERROR(__xludf.DUMMYFUNCTION("""COMPUTED_VALUE"""),"Life Sciences")</f>
        <v>Life Sciences</v>
      </c>
      <c r="D373" s="6" t="str">
        <f ca="1">IFERROR(__xludf.DUMMYFUNCTION("""COMPUTED_VALUE"""),"Durham, North Carolina 
United States")</f>
        <v>Durham, North Carolina 
United States</v>
      </c>
      <c r="E373" s="6" t="str">
        <f ca="1">IFERROR(__xludf.DUMMYFUNCTION("""COMPUTED_VALUE"""),"East Coast")</f>
        <v>East Coast</v>
      </c>
      <c r="F373" s="6" t="str">
        <f ca="1">IFERROR(__xludf.DUMMYFUNCTION("""COMPUTED_VALUE"""),"Man")</f>
        <v>Man</v>
      </c>
      <c r="G373" s="6" t="str">
        <f ca="1">IFERROR(__xludf.DUMMYFUNCTION("""COMPUTED_VALUE"""),"Man")</f>
        <v>Man</v>
      </c>
      <c r="H373" s="6" t="str">
        <f ca="1">IFERROR(__xludf.DUMMYFUNCTION("""COMPUTED_VALUE"""),"Man")</f>
        <v>Man</v>
      </c>
      <c r="I373" s="6" t="str">
        <f ca="1">IFERROR(__xludf.DUMMYFUNCTION("""COMPUTED_VALUE"""),"Man")</f>
        <v>Man</v>
      </c>
      <c r="J373" s="6"/>
      <c r="K373" s="6"/>
      <c r="L373" s="6" t="str">
        <f ca="1">IFERROR(__xludf.DUMMYFUNCTION("""COMPUTED_VALUE"""),"--Please select--")</f>
        <v>--Please select--</v>
      </c>
      <c r="M373" s="6"/>
      <c r="N373" s="6"/>
      <c r="O373" s="6" t="str">
        <f ca="1">IFERROR(__xludf.DUMMYFUNCTION("""COMPUTED_VALUE"""),"Email")</f>
        <v>Email</v>
      </c>
      <c r="P373" s="6"/>
      <c r="Q373" s="6" t="str">
        <f ca="1">IFERROR(__xludf.DUMMYFUNCTION("""COMPUTED_VALUE"""),"No")</f>
        <v>No</v>
      </c>
      <c r="R373" s="6">
        <f ca="1">IFERROR(__xludf.DUMMYFUNCTION("""COMPUTED_VALUE"""),4)</f>
        <v>4</v>
      </c>
      <c r="S373" s="6" t="str">
        <f ca="1">IFERROR(__xludf.DUMMYFUNCTION("""COMPUTED_VALUE"""),"Grants")</f>
        <v>Grants</v>
      </c>
      <c r="T373" s="6" t="str">
        <f ca="1">IFERROR(__xludf.DUMMYFUNCTION("""COMPUTED_VALUE"""),"Grants")</f>
        <v>Grants</v>
      </c>
      <c r="U373" s="6" t="str">
        <f ca="1">IFERROR(__xludf.DUMMYFUNCTION("""COMPUTED_VALUE"""),"Grants")</f>
        <v>Grants</v>
      </c>
      <c r="V373" s="6"/>
      <c r="W373" s="6" t="str">
        <f ca="1">IFERROR(__xludf.DUMMYFUNCTION("""COMPUTED_VALUE"""),"Invite")</f>
        <v>Invite</v>
      </c>
    </row>
    <row r="374" spans="1:23">
      <c r="A374" s="6" t="str">
        <f ca="1">IFERROR(__xludf.DUMMYFUNCTION("""COMPUTED_VALUE"""),"Man, Man")</f>
        <v>Man, Man</v>
      </c>
      <c r="B374" s="6" t="str">
        <f ca="1">IFERROR(__xludf.DUMMYFUNCTION("""COMPUTED_VALUE"""),"Unlocked Labs Inc.  _2022")</f>
        <v>Unlocked Labs Inc.  _2022</v>
      </c>
      <c r="C374" s="6" t="str">
        <f ca="1">IFERROR(__xludf.DUMMYFUNCTION("""COMPUTED_VALUE"""),"Life Sciences")</f>
        <v>Life Sciences</v>
      </c>
      <c r="D374" s="6" t="str">
        <f ca="1">IFERROR(__xludf.DUMMYFUNCTION("""COMPUTED_VALUE"""),"Laramie, Wyoming 
United States")</f>
        <v>Laramie, Wyoming 
United States</v>
      </c>
      <c r="E374" s="6" t="str">
        <f ca="1">IFERROR(__xludf.DUMMYFUNCTION("""COMPUTED_VALUE"""),"West")</f>
        <v>West</v>
      </c>
      <c r="F374" s="6" t="str">
        <f ca="1">IFERROR(__xludf.DUMMYFUNCTION("""COMPUTED_VALUE"""),"Man")</f>
        <v>Man</v>
      </c>
      <c r="G374" s="6" t="str">
        <f ca="1">IFERROR(__xludf.DUMMYFUNCTION("""COMPUTED_VALUE"""),"Man")</f>
        <v>Man</v>
      </c>
      <c r="H374" s="6"/>
      <c r="I374" s="6"/>
      <c r="J374" s="6"/>
      <c r="K374" s="6"/>
      <c r="L374" s="6" t="str">
        <f ca="1">IFERROR(__xludf.DUMMYFUNCTION("""COMPUTED_VALUE"""),"No")</f>
        <v>No</v>
      </c>
      <c r="M374" s="6"/>
      <c r="N374" s="6"/>
      <c r="O374" s="6" t="str">
        <f ca="1">IFERROR(__xludf.DUMMYFUNCTION("""COMPUTED_VALUE"""),"Info Session")</f>
        <v>Info Session</v>
      </c>
      <c r="P374" s="6"/>
      <c r="Q374" s="6" t="str">
        <f ca="1">IFERROR(__xludf.DUMMYFUNCTION("""COMPUTED_VALUE"""),"No")</f>
        <v>No</v>
      </c>
      <c r="R374" s="6">
        <f ca="1">IFERROR(__xludf.DUMMYFUNCTION("""COMPUTED_VALUE"""),2)</f>
        <v>2</v>
      </c>
      <c r="S374" s="6" t="str">
        <f ca="1">IFERROR(__xludf.DUMMYFUNCTION("""COMPUTED_VALUE"""),"Pre-seed")</f>
        <v>Pre-seed</v>
      </c>
      <c r="T374" s="6" t="str">
        <f ca="1">IFERROR(__xludf.DUMMYFUNCTION("""COMPUTED_VALUE"""),"Pre-seed")</f>
        <v>Pre-seed</v>
      </c>
      <c r="U374" s="6" t="str">
        <f ca="1">IFERROR(__xludf.DUMMYFUNCTION("""COMPUTED_VALUE"""),"Pre-seed")</f>
        <v>Pre-seed</v>
      </c>
      <c r="V374" s="6"/>
      <c r="W374" s="6" t="str">
        <f ca="1">IFERROR(__xludf.DUMMYFUNCTION("""COMPUTED_VALUE"""),"Invite Next Year")</f>
        <v>Invite Next Year</v>
      </c>
    </row>
    <row r="375" spans="1:23">
      <c r="A375" s="6" t="str">
        <f ca="1">IFERROR(__xludf.DUMMYFUNCTION("""COMPUTED_VALUE"""),"Man")</f>
        <v>Man</v>
      </c>
      <c r="B375" s="6" t="str">
        <f ca="1">IFERROR(__xludf.DUMMYFUNCTION("""COMPUTED_VALUE"""),"EndObetes _2022")</f>
        <v>EndObetes _2022</v>
      </c>
      <c r="C375" s="6" t="str">
        <f ca="1">IFERROR(__xludf.DUMMYFUNCTION("""COMPUTED_VALUE"""),"Life Sciences")</f>
        <v>Life Sciences</v>
      </c>
      <c r="D375" s="6" t="str">
        <f ca="1">IFERROR(__xludf.DUMMYFUNCTION("""COMPUTED_VALUE"""),"143 Kensington Oval New Rochelle, NY 
United States")</f>
        <v>143 Kensington Oval New Rochelle, NY 
United States</v>
      </c>
      <c r="E375" s="6" t="str">
        <f ca="1">IFERROR(__xludf.DUMMYFUNCTION("""COMPUTED_VALUE"""),"East Coast")</f>
        <v>East Coast</v>
      </c>
      <c r="F375" s="6" t="str">
        <f ca="1">IFERROR(__xludf.DUMMYFUNCTION("""COMPUTED_VALUE"""),"Man")</f>
        <v>Man</v>
      </c>
      <c r="G375" s="6"/>
      <c r="H375" s="6"/>
      <c r="I375" s="6"/>
      <c r="J375" s="6"/>
      <c r="K375" s="6"/>
      <c r="L375" s="6" t="str">
        <f ca="1">IFERROR(__xludf.DUMMYFUNCTION("""COMPUTED_VALUE"""),"No")</f>
        <v>No</v>
      </c>
      <c r="M375" s="6"/>
      <c r="N375" s="6"/>
      <c r="O375" s="6" t="str">
        <f ca="1">IFERROR(__xludf.DUMMYFUNCTION("""COMPUTED_VALUE"""),"Referral")</f>
        <v>Referral</v>
      </c>
      <c r="P375" s="6"/>
      <c r="Q375" s="6" t="str">
        <f ca="1">IFERROR(__xludf.DUMMYFUNCTION("""COMPUTED_VALUE"""),"No")</f>
        <v>No</v>
      </c>
      <c r="R375" s="6">
        <f ca="1">IFERROR(__xludf.DUMMYFUNCTION("""COMPUTED_VALUE"""),1)</f>
        <v>1</v>
      </c>
      <c r="S375" s="6" t="str">
        <f ca="1">IFERROR(__xludf.DUMMYFUNCTION("""COMPUTED_VALUE"""),"Pre-seed")</f>
        <v>Pre-seed</v>
      </c>
      <c r="T375" s="6" t="str">
        <f ca="1">IFERROR(__xludf.DUMMYFUNCTION("""COMPUTED_VALUE"""),"Pre-seed")</f>
        <v>Pre-seed</v>
      </c>
      <c r="U375" s="6" t="str">
        <f ca="1">IFERROR(__xludf.DUMMYFUNCTION("""COMPUTED_VALUE"""),"Pre-seed")</f>
        <v>Pre-seed</v>
      </c>
      <c r="V375" s="6"/>
      <c r="W375" s="6" t="str">
        <f ca="1">IFERROR(__xludf.DUMMYFUNCTION("""COMPUTED_VALUE"""),"Invite")</f>
        <v>Invite</v>
      </c>
    </row>
    <row r="376" spans="1:23">
      <c r="A376" s="6" t="str">
        <f ca="1">IFERROR(__xludf.DUMMYFUNCTION("""COMPUTED_VALUE"""),"Man")</f>
        <v>Man</v>
      </c>
      <c r="B376" s="6" t="str">
        <f ca="1">IFERROR(__xludf.DUMMYFUNCTION("""COMPUTED_VALUE"""),"Gardian Technologies Pty Ltd _2022")</f>
        <v>Gardian Technologies Pty Ltd _2022</v>
      </c>
      <c r="C376" s="6" t="str">
        <f ca="1">IFERROR(__xludf.DUMMYFUNCTION("""COMPUTED_VALUE"""),"Digital Tech")</f>
        <v>Digital Tech</v>
      </c>
      <c r="D376" s="6" t="str">
        <f ca="1">IFERROR(__xludf.DUMMYFUNCTION("""COMPUTED_VALUE"""),"Southport, Queensland 
Australia")</f>
        <v>Southport, Queensland 
Australia</v>
      </c>
      <c r="E376" s="6" t="str">
        <f ca="1">IFERROR(__xludf.DUMMYFUNCTION("""COMPUTED_VALUE"""),"International - Other")</f>
        <v>International - Other</v>
      </c>
      <c r="F376" s="6" t="str">
        <f ca="1">IFERROR(__xludf.DUMMYFUNCTION("""COMPUTED_VALUE"""),"Man")</f>
        <v>Man</v>
      </c>
      <c r="G376" s="6"/>
      <c r="H376" s="6"/>
      <c r="I376" s="6"/>
      <c r="J376" s="6"/>
      <c r="K376" s="6"/>
      <c r="L376" s="6" t="str">
        <f ca="1">IFERROR(__xludf.DUMMYFUNCTION("""COMPUTED_VALUE"""),"No")</f>
        <v>No</v>
      </c>
      <c r="M376" s="6"/>
      <c r="N376" s="6"/>
      <c r="O376" s="6" t="str">
        <f ca="1">IFERROR(__xludf.DUMMYFUNCTION("""COMPUTED_VALUE"""),"Email")</f>
        <v>Email</v>
      </c>
      <c r="P376" s="6"/>
      <c r="Q376" s="6" t="str">
        <f ca="1">IFERROR(__xludf.DUMMYFUNCTION("""COMPUTED_VALUE"""),"No")</f>
        <v>No</v>
      </c>
      <c r="R376" s="6">
        <f ca="1">IFERROR(__xludf.DUMMYFUNCTION("""COMPUTED_VALUE"""),1)</f>
        <v>1</v>
      </c>
      <c r="S376" s="6" t="str">
        <f ca="1">IFERROR(__xludf.DUMMYFUNCTION("""COMPUTED_VALUE"""),"Pre-seed")</f>
        <v>Pre-seed</v>
      </c>
      <c r="T376" s="6" t="str">
        <f ca="1">IFERROR(__xludf.DUMMYFUNCTION("""COMPUTED_VALUE"""),"Pre-seed")</f>
        <v>Pre-seed</v>
      </c>
      <c r="U376" s="6" t="str">
        <f ca="1">IFERROR(__xludf.DUMMYFUNCTION("""COMPUTED_VALUE"""),"Pre-seed")</f>
        <v>Pre-seed</v>
      </c>
      <c r="V376" s="6"/>
      <c r="W376" s="6" t="str">
        <f ca="1">IFERROR(__xludf.DUMMYFUNCTION("""COMPUTED_VALUE"""),"Revisit/ Cluster")</f>
        <v>Revisit/ Cluster</v>
      </c>
    </row>
    <row r="377" spans="1:23">
      <c r="A377" s="6" t="str">
        <f ca="1">IFERROR(__xludf.DUMMYFUNCTION("""COMPUTED_VALUE"""),"Man, Man, Man")</f>
        <v>Man, Man, Man</v>
      </c>
      <c r="B377" s="6" t="str">
        <f ca="1">IFERROR(__xludf.DUMMYFUNCTION("""COMPUTED_VALUE"""),"Handprint _2022")</f>
        <v>Handprint _2022</v>
      </c>
      <c r="C377" s="6" t="str">
        <f ca="1">IFERROR(__xludf.DUMMYFUNCTION("""COMPUTED_VALUE"""),"Digital Tech")</f>
        <v>Digital Tech</v>
      </c>
      <c r="D377" s="6" t="str">
        <f ca="1">IFERROR(__xludf.DUMMYFUNCTION("""COMPUTED_VALUE"""),"Singapore, Singapore 
Singapore")</f>
        <v>Singapore, Singapore 
Singapore</v>
      </c>
      <c r="E377" s="6" t="str">
        <f ca="1">IFERROR(__xludf.DUMMYFUNCTION("""COMPUTED_VALUE"""),"International - Asia")</f>
        <v>International - Asia</v>
      </c>
      <c r="F377" s="6" t="str">
        <f ca="1">IFERROR(__xludf.DUMMYFUNCTION("""COMPUTED_VALUE"""),"Man")</f>
        <v>Man</v>
      </c>
      <c r="G377" s="6" t="str">
        <f ca="1">IFERROR(__xludf.DUMMYFUNCTION("""COMPUTED_VALUE"""),"Man")</f>
        <v>Man</v>
      </c>
      <c r="H377" s="6" t="str">
        <f ca="1">IFERROR(__xludf.DUMMYFUNCTION("""COMPUTED_VALUE"""),"Man")</f>
        <v>Man</v>
      </c>
      <c r="I377" s="6"/>
      <c r="J377" s="6"/>
      <c r="K377" s="6"/>
      <c r="L377" s="6" t="str">
        <f ca="1">IFERROR(__xludf.DUMMYFUNCTION("""COMPUTED_VALUE"""),"No")</f>
        <v>No</v>
      </c>
      <c r="M377" s="6"/>
      <c r="N377" s="6"/>
      <c r="O377" s="6" t="str">
        <f ca="1">IFERROR(__xludf.DUMMYFUNCTION("""COMPUTED_VALUE"""),"Email")</f>
        <v>Email</v>
      </c>
      <c r="P377" s="6"/>
      <c r="Q377" s="6" t="str">
        <f ca="1">IFERROR(__xludf.DUMMYFUNCTION("""COMPUTED_VALUE"""),"No")</f>
        <v>No</v>
      </c>
      <c r="R377" s="6">
        <f ca="1">IFERROR(__xludf.DUMMYFUNCTION("""COMPUTED_VALUE"""),3)</f>
        <v>3</v>
      </c>
      <c r="S377" s="6" t="str">
        <f ca="1">IFERROR(__xludf.DUMMYFUNCTION("""COMPUTED_VALUE"""),"Other: Pre Seed &amp; Seed")</f>
        <v>Other: Pre Seed &amp; Seed</v>
      </c>
      <c r="T377" s="6" t="str">
        <f ca="1">IFERROR(__xludf.DUMMYFUNCTION("""COMPUTED_VALUE"""),"Other: Pre Seed &amp; Seed")</f>
        <v>Other: Pre Seed &amp; Seed</v>
      </c>
      <c r="U377" s="6" t="str">
        <f ca="1">IFERROR(__xludf.DUMMYFUNCTION("""COMPUTED_VALUE"""),"Pre Seed &amp; Seed")</f>
        <v>Pre Seed &amp; Seed</v>
      </c>
      <c r="V377" s="6"/>
      <c r="W377" s="6" t="str">
        <f ca="1">IFERROR(__xludf.DUMMYFUNCTION("""COMPUTED_VALUE"""),"Invite Next Year")</f>
        <v>Invite Next Year</v>
      </c>
    </row>
    <row r="378" spans="1:23">
      <c r="A378" s="6" t="str">
        <f ca="1">IFERROR(__xludf.DUMMYFUNCTION("""COMPUTED_VALUE"""),"Woman, Man, Man, Man")</f>
        <v>Woman, Man, Man, Man</v>
      </c>
      <c r="B378" s="6" t="str">
        <f ca="1">IFERROR(__xludf.DUMMYFUNCTION("""COMPUTED_VALUE"""),"Ossiform _2022")</f>
        <v>Ossiform _2022</v>
      </c>
      <c r="C378" s="6" t="str">
        <f ca="1">IFERROR(__xludf.DUMMYFUNCTION("""COMPUTED_VALUE"""),"Life Sciences")</f>
        <v>Life Sciences</v>
      </c>
      <c r="D378" s="6" t="str">
        <f ca="1">IFERROR(__xludf.DUMMYFUNCTION("""COMPUTED_VALUE"""),"Odense , Southern Denmark 
Denmark")</f>
        <v>Odense , Southern Denmark 
Denmark</v>
      </c>
      <c r="E378" s="6" t="str">
        <f ca="1">IFERROR(__xludf.DUMMYFUNCTION("""COMPUTED_VALUE"""),"International - Europe")</f>
        <v>International - Europe</v>
      </c>
      <c r="F378" s="6" t="str">
        <f ca="1">IFERROR(__xludf.DUMMYFUNCTION("""COMPUTED_VALUE"""),"Woman")</f>
        <v>Woman</v>
      </c>
      <c r="G378" s="6" t="str">
        <f ca="1">IFERROR(__xludf.DUMMYFUNCTION("""COMPUTED_VALUE"""),"Man")</f>
        <v>Man</v>
      </c>
      <c r="H378" s="6" t="str">
        <f ca="1">IFERROR(__xludf.DUMMYFUNCTION("""COMPUTED_VALUE"""),"Man")</f>
        <v>Man</v>
      </c>
      <c r="I378" s="6" t="str">
        <f ca="1">IFERROR(__xludf.DUMMYFUNCTION("""COMPUTED_VALUE"""),"Man")</f>
        <v>Man</v>
      </c>
      <c r="J378" s="6"/>
      <c r="K378" s="6"/>
      <c r="L378" s="6" t="str">
        <f ca="1">IFERROR(__xludf.DUMMYFUNCTION("""COMPUTED_VALUE"""),"No")</f>
        <v>No</v>
      </c>
      <c r="M378" s="6"/>
      <c r="N378" s="6"/>
      <c r="O378" s="6" t="str">
        <f ca="1">IFERROR(__xludf.DUMMYFUNCTION("""COMPUTED_VALUE"""),"Email")</f>
        <v>Email</v>
      </c>
      <c r="P378" s="6"/>
      <c r="Q378" s="6" t="str">
        <f ca="1">IFERROR(__xludf.DUMMYFUNCTION("""COMPUTED_VALUE"""),"No")</f>
        <v>No</v>
      </c>
      <c r="R378" s="6">
        <f ca="1">IFERROR(__xludf.DUMMYFUNCTION("""COMPUTED_VALUE"""),4)</f>
        <v>4</v>
      </c>
      <c r="S378" s="6" t="str">
        <f ca="1">IFERROR(__xludf.DUMMYFUNCTION("""COMPUTED_VALUE"""),"Pre-seed
Seed
Grants")</f>
        <v>Pre-seed
Seed
Grants</v>
      </c>
      <c r="T378" s="6" t="str">
        <f ca="1">IFERROR(__xludf.DUMMYFUNCTION("""COMPUTED_VALUE"""),"Pre-seed, Seed, Grants")</f>
        <v>Pre-seed, Seed, Grants</v>
      </c>
      <c r="U378" s="6" t="str">
        <f ca="1">IFERROR(__xludf.DUMMYFUNCTION("""COMPUTED_VALUE"""),"Pre-seed, Seed, Grants")</f>
        <v>Pre-seed, Seed, Grants</v>
      </c>
      <c r="V378" s="6"/>
      <c r="W378" s="6" t="str">
        <f ca="1">IFERROR(__xludf.DUMMYFUNCTION("""COMPUTED_VALUE"""),"Invite")</f>
        <v>Invite</v>
      </c>
    </row>
    <row r="379" spans="1:23">
      <c r="A379" s="6" t="str">
        <f ca="1">IFERROR(__xludf.DUMMYFUNCTION("""COMPUTED_VALUE"""),"Man, Man")</f>
        <v>Man, Man</v>
      </c>
      <c r="B379" s="6" t="str">
        <f ca="1">IFERROR(__xludf.DUMMYFUNCTION("""COMPUTED_VALUE"""),"DIGITAL CENTURY LIMITED _2022")</f>
        <v>DIGITAL CENTURY LIMITED _2022</v>
      </c>
      <c r="C379" s="6" t="str">
        <f ca="1">IFERROR(__xludf.DUMMYFUNCTION("""COMPUTED_VALUE"""),"Digital Tech")</f>
        <v>Digital Tech</v>
      </c>
      <c r="D379" s="6" t="str">
        <f ca="1">IFERROR(__xludf.DUMMYFUNCTION("""COMPUTED_VALUE"""),"1601 Shui On Centre, 6-8 Harbour Road , Hong Kong 
Hong Kong")</f>
        <v>1601 Shui On Centre, 6-8 Harbour Road , Hong Kong 
Hong Kong</v>
      </c>
      <c r="E379" s="6" t="str">
        <f ca="1">IFERROR(__xludf.DUMMYFUNCTION("""COMPUTED_VALUE"""),"International - Asia")</f>
        <v>International - Asia</v>
      </c>
      <c r="F379" s="6" t="str">
        <f ca="1">IFERROR(__xludf.DUMMYFUNCTION("""COMPUTED_VALUE"""),"Man")</f>
        <v>Man</v>
      </c>
      <c r="G379" s="6" t="str">
        <f ca="1">IFERROR(__xludf.DUMMYFUNCTION("""COMPUTED_VALUE"""),"Man")</f>
        <v>Man</v>
      </c>
      <c r="H379" s="6"/>
      <c r="I379" s="6"/>
      <c r="J379" s="6"/>
      <c r="K379" s="6"/>
      <c r="L379" s="6" t="str">
        <f ca="1">IFERROR(__xludf.DUMMYFUNCTION("""COMPUTED_VALUE"""),"No")</f>
        <v>No</v>
      </c>
      <c r="M379" s="6"/>
      <c r="N379" s="6"/>
      <c r="O379" s="6" t="str">
        <f ca="1">IFERROR(__xludf.DUMMYFUNCTION("""COMPUTED_VALUE"""),"Referral")</f>
        <v>Referral</v>
      </c>
      <c r="P379" s="6"/>
      <c r="Q379" s="6" t="str">
        <f ca="1">IFERROR(__xludf.DUMMYFUNCTION("""COMPUTED_VALUE"""),"No")</f>
        <v>No</v>
      </c>
      <c r="R379" s="6">
        <f ca="1">IFERROR(__xludf.DUMMYFUNCTION("""COMPUTED_VALUE"""),2)</f>
        <v>2</v>
      </c>
      <c r="S379" s="6" t="str">
        <f ca="1">IFERROR(__xludf.DUMMYFUNCTION("""COMPUTED_VALUE"""),"Pre-seed")</f>
        <v>Pre-seed</v>
      </c>
      <c r="T379" s="6" t="str">
        <f ca="1">IFERROR(__xludf.DUMMYFUNCTION("""COMPUTED_VALUE"""),"Pre-seed")</f>
        <v>Pre-seed</v>
      </c>
      <c r="U379" s="6" t="str">
        <f ca="1">IFERROR(__xludf.DUMMYFUNCTION("""COMPUTED_VALUE"""),"Pre-seed")</f>
        <v>Pre-seed</v>
      </c>
      <c r="V379" s="6"/>
      <c r="W379" s="6" t="str">
        <f ca="1">IFERROR(__xludf.DUMMYFUNCTION("""COMPUTED_VALUE"""),"Invite Next Year")</f>
        <v>Invite Next Year</v>
      </c>
    </row>
    <row r="380" spans="1:23">
      <c r="A380" s="6" t="str">
        <f ca="1">IFERROR(__xludf.DUMMYFUNCTION("""COMPUTED_VALUE"""),"Man, Woman, Man")</f>
        <v>Man, Woman, Man</v>
      </c>
      <c r="B380" s="6" t="str">
        <f ca="1">IFERROR(__xludf.DUMMYFUNCTION("""COMPUTED_VALUE"""),"Kandola Network _2022")</f>
        <v>Kandola Network _2022</v>
      </c>
      <c r="C380" s="6" t="str">
        <f ca="1">IFERROR(__xludf.DUMMYFUNCTION("""COMPUTED_VALUE"""),"Digital Tech")</f>
        <v>Digital Tech</v>
      </c>
      <c r="D380" s="6" t="str">
        <f ca="1">IFERROR(__xludf.DUMMYFUNCTION("""COMPUTED_VALUE"""),"Suite 305, Griffith Corporate Centre, Kingstown 
Saint Vincent and the Grenadines")</f>
        <v>Suite 305, Griffith Corporate Centre, Kingstown 
Saint Vincent and the Grenadines</v>
      </c>
      <c r="E380" s="6" t="str">
        <f ca="1">IFERROR(__xludf.DUMMYFUNCTION("""COMPUTED_VALUE"""),"International - Americas")</f>
        <v>International - Americas</v>
      </c>
      <c r="F380" s="6" t="str">
        <f ca="1">IFERROR(__xludf.DUMMYFUNCTION("""COMPUTED_VALUE"""),"Man")</f>
        <v>Man</v>
      </c>
      <c r="G380" s="6" t="str">
        <f ca="1">IFERROR(__xludf.DUMMYFUNCTION("""COMPUTED_VALUE"""),"Woman")</f>
        <v>Woman</v>
      </c>
      <c r="H380" s="6" t="str">
        <f ca="1">IFERROR(__xludf.DUMMYFUNCTION("""COMPUTED_VALUE"""),"Man")</f>
        <v>Man</v>
      </c>
      <c r="I380" s="6"/>
      <c r="J380" s="6"/>
      <c r="K380" s="6"/>
      <c r="L380" s="6" t="str">
        <f ca="1">IFERROR(__xludf.DUMMYFUNCTION("""COMPUTED_VALUE"""),"No")</f>
        <v>No</v>
      </c>
      <c r="M380" s="6"/>
      <c r="N380" s="6"/>
      <c r="O380" s="6" t="str">
        <f ca="1">IFERROR(__xludf.DUMMYFUNCTION("""COMPUTED_VALUE"""),"Email")</f>
        <v>Email</v>
      </c>
      <c r="P380" s="6"/>
      <c r="Q380" s="6" t="str">
        <f ca="1">IFERROR(__xludf.DUMMYFUNCTION("""COMPUTED_VALUE"""),"No")</f>
        <v>No</v>
      </c>
      <c r="R380" s="6">
        <f ca="1">IFERROR(__xludf.DUMMYFUNCTION("""COMPUTED_VALUE"""),3)</f>
        <v>3</v>
      </c>
      <c r="S380" s="6" t="str">
        <f ca="1">IFERROR(__xludf.DUMMYFUNCTION("""COMPUTED_VALUE"""),"Pre-seed")</f>
        <v>Pre-seed</v>
      </c>
      <c r="T380" s="6" t="str">
        <f ca="1">IFERROR(__xludf.DUMMYFUNCTION("""COMPUTED_VALUE"""),"Pre-seed")</f>
        <v>Pre-seed</v>
      </c>
      <c r="U380" s="6" t="str">
        <f ca="1">IFERROR(__xludf.DUMMYFUNCTION("""COMPUTED_VALUE"""),"Pre-seed")</f>
        <v>Pre-seed</v>
      </c>
      <c r="V380" s="6"/>
      <c r="W380" s="6" t="str">
        <f ca="1">IFERROR(__xludf.DUMMYFUNCTION("""COMPUTED_VALUE"""),"Invite Next Year")</f>
        <v>Invite Next Year</v>
      </c>
    </row>
    <row r="381" spans="1:23">
      <c r="A381" s="6" t="str">
        <f ca="1">IFERROR(__xludf.DUMMYFUNCTION("""COMPUTED_VALUE"""),"Man")</f>
        <v>Man</v>
      </c>
      <c r="B381" s="6" t="str">
        <f ca="1">IFERROR(__xludf.DUMMYFUNCTION("""COMPUTED_VALUE"""),"Boto _2022")</f>
        <v>Boto _2022</v>
      </c>
      <c r="C381" s="6" t="str">
        <f ca="1">IFERROR(__xludf.DUMMYFUNCTION("""COMPUTED_VALUE"""),"Digital Tech")</f>
        <v>Digital Tech</v>
      </c>
      <c r="D381" s="6" t="str">
        <f ca="1">IFERROR(__xludf.DUMMYFUNCTION("""COMPUTED_VALUE"""),"16192 Coastal Highway, Delaware 
United States")</f>
        <v>16192 Coastal Highway, Delaware 
United States</v>
      </c>
      <c r="E381" s="6" t="str">
        <f ca="1">IFERROR(__xludf.DUMMYFUNCTION("""COMPUTED_VALUE"""),"East Coast")</f>
        <v>East Coast</v>
      </c>
      <c r="F381" s="6" t="str">
        <f ca="1">IFERROR(__xludf.DUMMYFUNCTION("""COMPUTED_VALUE"""),"Man")</f>
        <v>Man</v>
      </c>
      <c r="G381" s="6"/>
      <c r="H381" s="6"/>
      <c r="I381" s="6"/>
      <c r="J381" s="6"/>
      <c r="K381" s="6"/>
      <c r="L381" s="6" t="str">
        <f ca="1">IFERROR(__xludf.DUMMYFUNCTION("""COMPUTED_VALUE"""),"No")</f>
        <v>No</v>
      </c>
      <c r="M381" s="6"/>
      <c r="N381" s="6"/>
      <c r="O381" s="6" t="str">
        <f ca="1">IFERROR(__xludf.DUMMYFUNCTION("""COMPUTED_VALUE"""),"Email")</f>
        <v>Email</v>
      </c>
      <c r="P381" s="6"/>
      <c r="Q381" s="6" t="str">
        <f ca="1">IFERROR(__xludf.DUMMYFUNCTION("""COMPUTED_VALUE"""),"No")</f>
        <v>No</v>
      </c>
      <c r="R381" s="6">
        <f ca="1">IFERROR(__xludf.DUMMYFUNCTION("""COMPUTED_VALUE"""),1)</f>
        <v>1</v>
      </c>
      <c r="S381" s="6" t="str">
        <f ca="1">IFERROR(__xludf.DUMMYFUNCTION("""COMPUTED_VALUE"""),"Pre-seed
Seed")</f>
        <v>Pre-seed
Seed</v>
      </c>
      <c r="T381" s="6" t="str">
        <f ca="1">IFERROR(__xludf.DUMMYFUNCTION("""COMPUTED_VALUE"""),"Pre-seed, Seed")</f>
        <v>Pre-seed, Seed</v>
      </c>
      <c r="U381" s="6" t="str">
        <f ca="1">IFERROR(__xludf.DUMMYFUNCTION("""COMPUTED_VALUE"""),"Pre-seed, Seed")</f>
        <v>Pre-seed, Seed</v>
      </c>
      <c r="V381" s="6"/>
      <c r="W381" s="6" t="str">
        <f ca="1">IFERROR(__xludf.DUMMYFUNCTION("""COMPUTED_VALUE"""),"Invite Next Year")</f>
        <v>Invite Next Year</v>
      </c>
    </row>
    <row r="382" spans="1:23">
      <c r="A382" s="6" t="str">
        <f ca="1">IFERROR(__xludf.DUMMYFUNCTION("""COMPUTED_VALUE"""),"Man, Man")</f>
        <v>Man, Man</v>
      </c>
      <c r="B382" s="6" t="str">
        <f ca="1">IFERROR(__xludf.DUMMYFUNCTION("""COMPUTED_VALUE"""),"Eget Liber, Inc. _2022")</f>
        <v>Eget Liber, Inc. _2022</v>
      </c>
      <c r="C382" s="6" t="str">
        <f ca="1">IFERROR(__xludf.DUMMYFUNCTION("""COMPUTED_VALUE"""),"Deep Tech")</f>
        <v>Deep Tech</v>
      </c>
      <c r="D382" s="6" t="str">
        <f ca="1">IFERROR(__xludf.DUMMYFUNCTION("""COMPUTED_VALUE"""),"Syracuse, NY 
United States")</f>
        <v>Syracuse, NY 
United States</v>
      </c>
      <c r="E382" s="6" t="str">
        <f ca="1">IFERROR(__xludf.DUMMYFUNCTION("""COMPUTED_VALUE"""),"East Coast")</f>
        <v>East Coast</v>
      </c>
      <c r="F382" s="6" t="str">
        <f ca="1">IFERROR(__xludf.DUMMYFUNCTION("""COMPUTED_VALUE"""),"Man")</f>
        <v>Man</v>
      </c>
      <c r="G382" s="6" t="str">
        <f ca="1">IFERROR(__xludf.DUMMYFUNCTION("""COMPUTED_VALUE"""),"Man")</f>
        <v>Man</v>
      </c>
      <c r="H382" s="6"/>
      <c r="I382" s="6"/>
      <c r="J382" s="6"/>
      <c r="K382" s="6"/>
      <c r="L382" s="6" t="str">
        <f ca="1">IFERROR(__xludf.DUMMYFUNCTION("""COMPUTED_VALUE"""),"Yes")</f>
        <v>Yes</v>
      </c>
      <c r="M382" s="6" t="str">
        <f ca="1">IFERROR(__xludf.DUMMYFUNCTION("""COMPUTED_VALUE"""),"NYU Alumni")</f>
        <v>NYU Alumni</v>
      </c>
      <c r="N382" s="6"/>
      <c r="O382" s="6" t="str">
        <f ca="1">IFERROR(__xludf.DUMMYFUNCTION("""COMPUTED_VALUE"""),"Email")</f>
        <v>Email</v>
      </c>
      <c r="P382" s="6"/>
      <c r="Q382" s="6" t="str">
        <f ca="1">IFERROR(__xludf.DUMMYFUNCTION("""COMPUTED_VALUE"""),"No")</f>
        <v>No</v>
      </c>
      <c r="R382" s="6">
        <f ca="1">IFERROR(__xludf.DUMMYFUNCTION("""COMPUTED_VALUE"""),2)</f>
        <v>2</v>
      </c>
      <c r="S382" s="6" t="str">
        <f ca="1">IFERROR(__xludf.DUMMYFUNCTION("""COMPUTED_VALUE"""),"Grants")</f>
        <v>Grants</v>
      </c>
      <c r="T382" s="6" t="str">
        <f ca="1">IFERROR(__xludf.DUMMYFUNCTION("""COMPUTED_VALUE"""),"Grants")</f>
        <v>Grants</v>
      </c>
      <c r="U382" s="6" t="str">
        <f ca="1">IFERROR(__xludf.DUMMYFUNCTION("""COMPUTED_VALUE"""),"Grants")</f>
        <v>Grants</v>
      </c>
      <c r="V382" s="6"/>
      <c r="W382" s="6" t="str">
        <f ca="1">IFERROR(__xludf.DUMMYFUNCTION("""COMPUTED_VALUE"""),"Invite Next Year")</f>
        <v>Invite Next Year</v>
      </c>
    </row>
    <row r="383" spans="1:23">
      <c r="A383" s="6" t="str">
        <f ca="1">IFERROR(__xludf.DUMMYFUNCTION("""COMPUTED_VALUE"""),"Man")</f>
        <v>Man</v>
      </c>
      <c r="B383" s="6" t="str">
        <f ca="1">IFERROR(__xludf.DUMMYFUNCTION("""COMPUTED_VALUE"""),"VitalForm _2022")</f>
        <v>VitalForm _2022</v>
      </c>
      <c r="C383" s="6" t="str">
        <f ca="1">IFERROR(__xludf.DUMMYFUNCTION("""COMPUTED_VALUE"""),"Digital Tech")</f>
        <v>Digital Tech</v>
      </c>
      <c r="D383" s="6" t="str">
        <f ca="1">IFERROR(__xludf.DUMMYFUNCTION("""COMPUTED_VALUE"""),"1203, 12th Floor, Kamdhenu Commerz, Sector 14, Kharghar, Navi Mumbai, Maharashtra 410210, Maharashtra 
India")</f>
        <v>1203, 12th Floor, Kamdhenu Commerz, Sector 14, Kharghar, Navi Mumbai, Maharashtra 410210, Maharashtra 
India</v>
      </c>
      <c r="E383" s="6" t="str">
        <f ca="1">IFERROR(__xludf.DUMMYFUNCTION("""COMPUTED_VALUE"""),"International - Asia")</f>
        <v>International - Asia</v>
      </c>
      <c r="F383" s="6" t="str">
        <f ca="1">IFERROR(__xludf.DUMMYFUNCTION("""COMPUTED_VALUE"""),"Man")</f>
        <v>Man</v>
      </c>
      <c r="G383" s="6"/>
      <c r="H383" s="6"/>
      <c r="I383" s="6"/>
      <c r="J383" s="6"/>
      <c r="K383" s="6"/>
      <c r="L383" s="6" t="str">
        <f ca="1">IFERROR(__xludf.DUMMYFUNCTION("""COMPUTED_VALUE"""),"No")</f>
        <v>No</v>
      </c>
      <c r="M383" s="6"/>
      <c r="N383" s="6"/>
      <c r="O383" s="6" t="str">
        <f ca="1">IFERROR(__xludf.DUMMYFUNCTION("""COMPUTED_VALUE"""),"Search Engine")</f>
        <v>Search Engine</v>
      </c>
      <c r="P383" s="6"/>
      <c r="Q383" s="6" t="str">
        <f ca="1">IFERROR(__xludf.DUMMYFUNCTION("""COMPUTED_VALUE"""),"No")</f>
        <v>No</v>
      </c>
      <c r="R383" s="6">
        <f ca="1">IFERROR(__xludf.DUMMYFUNCTION("""COMPUTED_VALUE"""),1)</f>
        <v>1</v>
      </c>
      <c r="S383" s="6" t="str">
        <f ca="1">IFERROR(__xludf.DUMMYFUNCTION("""COMPUTED_VALUE"""),"None")</f>
        <v>None</v>
      </c>
      <c r="T383" s="6" t="str">
        <f ca="1">IFERROR(__xludf.DUMMYFUNCTION("""COMPUTED_VALUE"""),"None")</f>
        <v>None</v>
      </c>
      <c r="U383" s="6" t="str">
        <f ca="1">IFERROR(__xludf.DUMMYFUNCTION("""COMPUTED_VALUE"""),"None")</f>
        <v>None</v>
      </c>
      <c r="V383" s="6"/>
      <c r="W383" s="6" t="str">
        <f ca="1">IFERROR(__xludf.DUMMYFUNCTION("""COMPUTED_VALUE"""),"Invite Next Year")</f>
        <v>Invite Next Year</v>
      </c>
    </row>
    <row r="384" spans="1:23">
      <c r="A384" s="6" t="str">
        <f ca="1">IFERROR(__xludf.DUMMYFUNCTION("""COMPUTED_VALUE"""),"Man, Man")</f>
        <v>Man, Man</v>
      </c>
      <c r="B384" s="6" t="str">
        <f ca="1">IFERROR(__xludf.DUMMYFUNCTION("""COMPUTED_VALUE"""),"REVER _2022")</f>
        <v>REVER _2022</v>
      </c>
      <c r="C384" s="6" t="str">
        <f ca="1">IFERROR(__xludf.DUMMYFUNCTION("""COMPUTED_VALUE"""),"Digital Tech")</f>
        <v>Digital Tech</v>
      </c>
      <c r="D384" s="6" t="str">
        <f ca="1">IFERROR(__xludf.DUMMYFUNCTION("""COMPUTED_VALUE"""),"Passeig Joan de Borbó 99, 08039 , Catalonia 
Spain")</f>
        <v>Passeig Joan de Borbó 99, 08039 , Catalonia 
Spain</v>
      </c>
      <c r="E384" s="6" t="str">
        <f ca="1">IFERROR(__xludf.DUMMYFUNCTION("""COMPUTED_VALUE"""),"International - Europe")</f>
        <v>International - Europe</v>
      </c>
      <c r="F384" s="6" t="str">
        <f ca="1">IFERROR(__xludf.DUMMYFUNCTION("""COMPUTED_VALUE"""),"Man")</f>
        <v>Man</v>
      </c>
      <c r="G384" s="6" t="str">
        <f ca="1">IFERROR(__xludf.DUMMYFUNCTION("""COMPUTED_VALUE"""),"Man")</f>
        <v>Man</v>
      </c>
      <c r="H384" s="6"/>
      <c r="I384" s="6"/>
      <c r="J384" s="6"/>
      <c r="K384" s="6"/>
      <c r="L384" s="6" t="str">
        <f ca="1">IFERROR(__xludf.DUMMYFUNCTION("""COMPUTED_VALUE"""),"No")</f>
        <v>No</v>
      </c>
      <c r="M384" s="6"/>
      <c r="N384" s="6"/>
      <c r="O384" s="6" t="str">
        <f ca="1">IFERROR(__xludf.DUMMYFUNCTION("""COMPUTED_VALUE"""),"NYU Newsletter")</f>
        <v>NYU Newsletter</v>
      </c>
      <c r="P384" s="6"/>
      <c r="Q384" s="6" t="str">
        <f ca="1">IFERROR(__xludf.DUMMYFUNCTION("""COMPUTED_VALUE"""),"No")</f>
        <v>No</v>
      </c>
      <c r="R384" s="6">
        <f ca="1">IFERROR(__xludf.DUMMYFUNCTION("""COMPUTED_VALUE"""),2)</f>
        <v>2</v>
      </c>
      <c r="S384" s="6" t="str">
        <f ca="1">IFERROR(__xludf.DUMMYFUNCTION("""COMPUTED_VALUE"""),"Pre-seed")</f>
        <v>Pre-seed</v>
      </c>
      <c r="T384" s="6" t="str">
        <f ca="1">IFERROR(__xludf.DUMMYFUNCTION("""COMPUTED_VALUE"""),"Pre-seed")</f>
        <v>Pre-seed</v>
      </c>
      <c r="U384" s="6" t="str">
        <f ca="1">IFERROR(__xludf.DUMMYFUNCTION("""COMPUTED_VALUE"""),"Pre-seed")</f>
        <v>Pre-seed</v>
      </c>
      <c r="V384" s="6"/>
      <c r="W384" s="6" t="str">
        <f ca="1">IFERROR(__xludf.DUMMYFUNCTION("""COMPUTED_VALUE"""),"Invite")</f>
        <v>Invite</v>
      </c>
    </row>
    <row r="385" spans="1:23">
      <c r="A385" s="6" t="str">
        <f ca="1">IFERROR(__xludf.DUMMYFUNCTION("""COMPUTED_VALUE"""),"Man, Woman, Man")</f>
        <v>Man, Woman, Man</v>
      </c>
      <c r="B385" s="6" t="str">
        <f ca="1">IFERROR(__xludf.DUMMYFUNCTION("""COMPUTED_VALUE"""),"Eve World Platform Pte Ltd  _2022")</f>
        <v>Eve World Platform Pte Ltd  _2022</v>
      </c>
      <c r="C385" s="6" t="str">
        <f ca="1">IFERROR(__xludf.DUMMYFUNCTION("""COMPUTED_VALUE"""),"Digital Tech")</f>
        <v>Digital Tech</v>
      </c>
      <c r="D385" s="6" t="str">
        <f ca="1">IFERROR(__xludf.DUMMYFUNCTION("""COMPUTED_VALUE"""),"77 High Street, #03-10  High Street Plaza  Singapore 179433, Singapore  
Singapore")</f>
        <v>77 High Street, #03-10  High Street Plaza  Singapore 179433, Singapore  
Singapore</v>
      </c>
      <c r="E385" s="6" t="str">
        <f ca="1">IFERROR(__xludf.DUMMYFUNCTION("""COMPUTED_VALUE"""),"International - Asia")</f>
        <v>International - Asia</v>
      </c>
      <c r="F385" s="6" t="str">
        <f ca="1">IFERROR(__xludf.DUMMYFUNCTION("""COMPUTED_VALUE"""),"Man")</f>
        <v>Man</v>
      </c>
      <c r="G385" s="6" t="str">
        <f ca="1">IFERROR(__xludf.DUMMYFUNCTION("""COMPUTED_VALUE"""),"Woman")</f>
        <v>Woman</v>
      </c>
      <c r="H385" s="6" t="str">
        <f ca="1">IFERROR(__xludf.DUMMYFUNCTION("""COMPUTED_VALUE"""),"Man")</f>
        <v>Man</v>
      </c>
      <c r="I385" s="6"/>
      <c r="J385" s="6"/>
      <c r="K385" s="6"/>
      <c r="L385" s="6" t="str">
        <f ca="1">IFERROR(__xludf.DUMMYFUNCTION("""COMPUTED_VALUE"""),"No")</f>
        <v>No</v>
      </c>
      <c r="M385" s="6"/>
      <c r="N385" s="6"/>
      <c r="O385" s="6" t="str">
        <f ca="1">IFERROR(__xludf.DUMMYFUNCTION("""COMPUTED_VALUE"""),"Email")</f>
        <v>Email</v>
      </c>
      <c r="P385" s="6"/>
      <c r="Q385" s="6" t="str">
        <f ca="1">IFERROR(__xludf.DUMMYFUNCTION("""COMPUTED_VALUE"""),"No")</f>
        <v>No</v>
      </c>
      <c r="R385" s="6">
        <f ca="1">IFERROR(__xludf.DUMMYFUNCTION("""COMPUTED_VALUE"""),3)</f>
        <v>3</v>
      </c>
      <c r="S385" s="6" t="str">
        <f ca="1">IFERROR(__xludf.DUMMYFUNCTION("""COMPUTED_VALUE"""),"Seed")</f>
        <v>Seed</v>
      </c>
      <c r="T385" s="6" t="str">
        <f ca="1">IFERROR(__xludf.DUMMYFUNCTION("""COMPUTED_VALUE"""),"Seed")</f>
        <v>Seed</v>
      </c>
      <c r="U385" s="6" t="str">
        <f ca="1">IFERROR(__xludf.DUMMYFUNCTION("""COMPUTED_VALUE"""),"Seed")</f>
        <v>Seed</v>
      </c>
      <c r="V385" s="6"/>
      <c r="W385" s="6" t="str">
        <f ca="1">IFERROR(__xludf.DUMMYFUNCTION("""COMPUTED_VALUE"""),"Invite Next Year")</f>
        <v>Invite Next Year</v>
      </c>
    </row>
    <row r="386" spans="1:23">
      <c r="A386" s="6" t="str">
        <f ca="1">IFERROR(__xludf.DUMMYFUNCTION("""COMPUTED_VALUE"""),"Man, Man, Man")</f>
        <v>Man, Man, Man</v>
      </c>
      <c r="B386" s="6" t="str">
        <f ca="1">IFERROR(__xludf.DUMMYFUNCTION("""COMPUTED_VALUE"""),"Veris Behavior _2022")</f>
        <v>Veris Behavior _2022</v>
      </c>
      <c r="C386" s="6" t="str">
        <f ca="1">IFERROR(__xludf.DUMMYFUNCTION("""COMPUTED_VALUE"""),"Digital Tech")</f>
        <v>Digital Tech</v>
      </c>
      <c r="D386" s="6" t="str">
        <f ca="1">IFERROR(__xludf.DUMMYFUNCTION("""COMPUTED_VALUE"""),"Madrid, Madrid 
Spain")</f>
        <v>Madrid, Madrid 
Spain</v>
      </c>
      <c r="E386" s="6" t="str">
        <f ca="1">IFERROR(__xludf.DUMMYFUNCTION("""COMPUTED_VALUE"""),"International - Europe")</f>
        <v>International - Europe</v>
      </c>
      <c r="F386" s="6" t="str">
        <f ca="1">IFERROR(__xludf.DUMMYFUNCTION("""COMPUTED_VALUE"""),"Man")</f>
        <v>Man</v>
      </c>
      <c r="G386" s="6" t="str">
        <f ca="1">IFERROR(__xludf.DUMMYFUNCTION("""COMPUTED_VALUE"""),"Man")</f>
        <v>Man</v>
      </c>
      <c r="H386" s="6" t="str">
        <f ca="1">IFERROR(__xludf.DUMMYFUNCTION("""COMPUTED_VALUE"""),"Man")</f>
        <v>Man</v>
      </c>
      <c r="I386" s="6"/>
      <c r="J386" s="6"/>
      <c r="K386" s="6"/>
      <c r="L386" s="6" t="str">
        <f ca="1">IFERROR(__xludf.DUMMYFUNCTION("""COMPUTED_VALUE"""),"--Please select--")</f>
        <v>--Please select--</v>
      </c>
      <c r="M386" s="6"/>
      <c r="N386" s="6"/>
      <c r="O386" s="6" t="str">
        <f ca="1">IFERROR(__xludf.DUMMYFUNCTION("""COMPUTED_VALUE"""),"Email")</f>
        <v>Email</v>
      </c>
      <c r="P386" s="6"/>
      <c r="Q386" s="6" t="str">
        <f ca="1">IFERROR(__xludf.DUMMYFUNCTION("""COMPUTED_VALUE"""),"No")</f>
        <v>No</v>
      </c>
      <c r="R386" s="6">
        <f ca="1">IFERROR(__xludf.DUMMYFUNCTION("""COMPUTED_VALUE"""),3)</f>
        <v>3</v>
      </c>
      <c r="S386" s="6" t="str">
        <f ca="1">IFERROR(__xludf.DUMMYFUNCTION("""COMPUTED_VALUE"""),"Pre-seed")</f>
        <v>Pre-seed</v>
      </c>
      <c r="T386" s="6" t="str">
        <f ca="1">IFERROR(__xludf.DUMMYFUNCTION("""COMPUTED_VALUE"""),"Pre-seed")</f>
        <v>Pre-seed</v>
      </c>
      <c r="U386" s="6" t="str">
        <f ca="1">IFERROR(__xludf.DUMMYFUNCTION("""COMPUTED_VALUE"""),"Pre-seed")</f>
        <v>Pre-seed</v>
      </c>
      <c r="V386" s="6"/>
      <c r="W386" s="6" t="str">
        <f ca="1">IFERROR(__xludf.DUMMYFUNCTION("""COMPUTED_VALUE"""),"Invite Next Year")</f>
        <v>Invite Next Year</v>
      </c>
    </row>
    <row r="387" spans="1:23">
      <c r="A387" s="6" t="str">
        <f ca="1">IFERROR(__xludf.DUMMYFUNCTION("""COMPUTED_VALUE"""),"Woman, Man")</f>
        <v>Woman, Man</v>
      </c>
      <c r="B387" s="6" t="str">
        <f ca="1">IFERROR(__xludf.DUMMYFUNCTION("""COMPUTED_VALUE"""),"LEVI Diagnostics, Inc. _2022")</f>
        <v>LEVI Diagnostics, Inc. _2022</v>
      </c>
      <c r="C387" s="6" t="str">
        <f ca="1">IFERROR(__xludf.DUMMYFUNCTION("""COMPUTED_VALUE"""),"Life Sciences")</f>
        <v>Life Sciences</v>
      </c>
      <c r="D387" s="6" t="str">
        <f ca="1">IFERROR(__xludf.DUMMYFUNCTION("""COMPUTED_VALUE"""),"150 Harvard Sr., Fall River , MA 02720, Massachusetts  
United States")</f>
        <v>150 Harvard Sr., Fall River , MA 02720, Massachusetts  
United States</v>
      </c>
      <c r="E387" s="6" t="str">
        <f ca="1">IFERROR(__xludf.DUMMYFUNCTION("""COMPUTED_VALUE"""),"East Coast")</f>
        <v>East Coast</v>
      </c>
      <c r="F387" s="6" t="str">
        <f ca="1">IFERROR(__xludf.DUMMYFUNCTION("""COMPUTED_VALUE"""),"Woman")</f>
        <v>Woman</v>
      </c>
      <c r="G387" s="6" t="str">
        <f ca="1">IFERROR(__xludf.DUMMYFUNCTION("""COMPUTED_VALUE"""),"Man")</f>
        <v>Man</v>
      </c>
      <c r="H387" s="6"/>
      <c r="I387" s="6"/>
      <c r="J387" s="6"/>
      <c r="K387" s="6"/>
      <c r="L387" s="6" t="str">
        <f ca="1">IFERROR(__xludf.DUMMYFUNCTION("""COMPUTED_VALUE"""),"No")</f>
        <v>No</v>
      </c>
      <c r="M387" s="6"/>
      <c r="N387" s="6"/>
      <c r="O387" s="6" t="str">
        <f ca="1">IFERROR(__xludf.DUMMYFUNCTION("""COMPUTED_VALUE"""),"Email")</f>
        <v>Email</v>
      </c>
      <c r="P387" s="6"/>
      <c r="Q387" s="6" t="str">
        <f ca="1">IFERROR(__xludf.DUMMYFUNCTION("""COMPUTED_VALUE"""),"No")</f>
        <v>No</v>
      </c>
      <c r="R387" s="6">
        <f ca="1">IFERROR(__xludf.DUMMYFUNCTION("""COMPUTED_VALUE"""),2)</f>
        <v>2</v>
      </c>
      <c r="S387" s="6" t="str">
        <f ca="1">IFERROR(__xludf.DUMMYFUNCTION("""COMPUTED_VALUE"""),"Pre-seed")</f>
        <v>Pre-seed</v>
      </c>
      <c r="T387" s="6" t="str">
        <f ca="1">IFERROR(__xludf.DUMMYFUNCTION("""COMPUTED_VALUE"""),"Pre-seed")</f>
        <v>Pre-seed</v>
      </c>
      <c r="U387" s="6" t="str">
        <f ca="1">IFERROR(__xludf.DUMMYFUNCTION("""COMPUTED_VALUE"""),"Pre-seed")</f>
        <v>Pre-seed</v>
      </c>
      <c r="V387" s="6"/>
      <c r="W387" s="6" t="str">
        <f ca="1">IFERROR(__xludf.DUMMYFUNCTION("""COMPUTED_VALUE"""),"Invite")</f>
        <v>Invite</v>
      </c>
    </row>
    <row r="388" spans="1:23">
      <c r="A388" s="6" t="str">
        <f ca="1">IFERROR(__xludf.DUMMYFUNCTION("""COMPUTED_VALUE"""),"Woman")</f>
        <v>Woman</v>
      </c>
      <c r="B388" s="6" t="str">
        <f ca="1">IFERROR(__xludf.DUMMYFUNCTION("""COMPUTED_VALUE"""),"Tactical Therapeutics, Inc _2022")</f>
        <v>Tactical Therapeutics, Inc _2022</v>
      </c>
      <c r="C388" s="6" t="str">
        <f ca="1">IFERROR(__xludf.DUMMYFUNCTION("""COMPUTED_VALUE"""),"Life Sciences")</f>
        <v>Life Sciences</v>
      </c>
      <c r="D388" s="6" t="str">
        <f ca="1">IFERROR(__xludf.DUMMYFUNCTION("""COMPUTED_VALUE"""),"48 Wall Street,12th Floor, New York, NY 
United States")</f>
        <v>48 Wall Street,12th Floor, New York, NY 
United States</v>
      </c>
      <c r="E388" s="6" t="str">
        <f ca="1">IFERROR(__xludf.DUMMYFUNCTION("""COMPUTED_VALUE"""),"New York")</f>
        <v>New York</v>
      </c>
      <c r="F388" s="6" t="str">
        <f ca="1">IFERROR(__xludf.DUMMYFUNCTION("""COMPUTED_VALUE"""),"Woman")</f>
        <v>Woman</v>
      </c>
      <c r="G388" s="6"/>
      <c r="H388" s="6"/>
      <c r="I388" s="6"/>
      <c r="J388" s="6"/>
      <c r="K388" s="6"/>
      <c r="L388" s="6" t="str">
        <f ca="1">IFERROR(__xludf.DUMMYFUNCTION("""COMPUTED_VALUE"""),"No")</f>
        <v>No</v>
      </c>
      <c r="M388" s="6"/>
      <c r="N388" s="6"/>
      <c r="O388" s="6" t="str">
        <f ca="1">IFERROR(__xludf.DUMMYFUNCTION("""COMPUTED_VALUE"""),"Email")</f>
        <v>Email</v>
      </c>
      <c r="P388" s="6"/>
      <c r="Q388" s="6" t="str">
        <f ca="1">IFERROR(__xludf.DUMMYFUNCTION("""COMPUTED_VALUE"""),"No")</f>
        <v>No</v>
      </c>
      <c r="R388" s="6">
        <f ca="1">IFERROR(__xludf.DUMMYFUNCTION("""COMPUTED_VALUE"""),1)</f>
        <v>1</v>
      </c>
      <c r="S388" s="6" t="str">
        <f ca="1">IFERROR(__xludf.DUMMYFUNCTION("""COMPUTED_VALUE"""),"Series A")</f>
        <v>Series A</v>
      </c>
      <c r="T388" s="6" t="str">
        <f ca="1">IFERROR(__xludf.DUMMYFUNCTION("""COMPUTED_VALUE"""),"Series A")</f>
        <v>Series A</v>
      </c>
      <c r="U388" s="6" t="str">
        <f ca="1">IFERROR(__xludf.DUMMYFUNCTION("""COMPUTED_VALUE"""),"Series A")</f>
        <v>Series A</v>
      </c>
      <c r="V388" s="6"/>
      <c r="W388" s="6" t="str">
        <f ca="1">IFERROR(__xludf.DUMMYFUNCTION("""COMPUTED_VALUE"""),"Invite")</f>
        <v>Invite</v>
      </c>
    </row>
    <row r="389" spans="1:23">
      <c r="A389" s="6" t="str">
        <f ca="1">IFERROR(__xludf.DUMMYFUNCTION("""COMPUTED_VALUE"""),"Man")</f>
        <v>Man</v>
      </c>
      <c r="B389" s="6" t="str">
        <f ca="1">IFERROR(__xludf.DUMMYFUNCTION("""COMPUTED_VALUE"""),"ClinConnect _2022")</f>
        <v>ClinConnect _2022</v>
      </c>
      <c r="C389" s="6" t="str">
        <f ca="1">IFERROR(__xludf.DUMMYFUNCTION("""COMPUTED_VALUE"""),"Life Sciences")</f>
        <v>Life Sciences</v>
      </c>
      <c r="D389" s="6" t="str">
        <f ca="1">IFERROR(__xludf.DUMMYFUNCTION("""COMPUTED_VALUE"""),"10000 Santa Monica Blvd, Los Angeles, CA 
United States")</f>
        <v>10000 Santa Monica Blvd, Los Angeles, CA 
United States</v>
      </c>
      <c r="E389" s="6" t="str">
        <f ca="1">IFERROR(__xludf.DUMMYFUNCTION("""COMPUTED_VALUE"""),"West Coast")</f>
        <v>West Coast</v>
      </c>
      <c r="F389" s="6" t="str">
        <f ca="1">IFERROR(__xludf.DUMMYFUNCTION("""COMPUTED_VALUE"""),"Man")</f>
        <v>Man</v>
      </c>
      <c r="G389" s="6"/>
      <c r="H389" s="6"/>
      <c r="I389" s="6"/>
      <c r="J389" s="6"/>
      <c r="K389" s="6"/>
      <c r="L389" s="6" t="str">
        <f ca="1">IFERROR(__xludf.DUMMYFUNCTION("""COMPUTED_VALUE"""),"No")</f>
        <v>No</v>
      </c>
      <c r="M389" s="6"/>
      <c r="N389" s="6"/>
      <c r="O389" s="6" t="str">
        <f ca="1">IFERROR(__xludf.DUMMYFUNCTION("""COMPUTED_VALUE"""),"Email")</f>
        <v>Email</v>
      </c>
      <c r="P389" s="6"/>
      <c r="Q389" s="6" t="str">
        <f ca="1">IFERROR(__xludf.DUMMYFUNCTION("""COMPUTED_VALUE"""),"No")</f>
        <v>No</v>
      </c>
      <c r="R389" s="6">
        <f ca="1">IFERROR(__xludf.DUMMYFUNCTION("""COMPUTED_VALUE"""),1)</f>
        <v>1</v>
      </c>
      <c r="S389" s="6" t="str">
        <f ca="1">IFERROR(__xludf.DUMMYFUNCTION("""COMPUTED_VALUE"""),"Pre-seed")</f>
        <v>Pre-seed</v>
      </c>
      <c r="T389" s="6" t="str">
        <f ca="1">IFERROR(__xludf.DUMMYFUNCTION("""COMPUTED_VALUE"""),"Pre-seed")</f>
        <v>Pre-seed</v>
      </c>
      <c r="U389" s="6" t="str">
        <f ca="1">IFERROR(__xludf.DUMMYFUNCTION("""COMPUTED_VALUE"""),"Pre-seed")</f>
        <v>Pre-seed</v>
      </c>
      <c r="V389" s="6"/>
      <c r="W389" s="6" t="str">
        <f ca="1">IFERROR(__xludf.DUMMYFUNCTION("""COMPUTED_VALUE"""),"Invite Next Year")</f>
        <v>Invite Next Year</v>
      </c>
    </row>
    <row r="390" spans="1:23">
      <c r="A390" s="6" t="str">
        <f ca="1">IFERROR(__xludf.DUMMYFUNCTION("""COMPUTED_VALUE"""),"Man")</f>
        <v>Man</v>
      </c>
      <c r="B390" s="6" t="str">
        <f ca="1">IFERROR(__xludf.DUMMYFUNCTION("""COMPUTED_VALUE"""),"MarsCharge, Inc. _2022")</f>
        <v>MarsCharge, Inc. _2022</v>
      </c>
      <c r="C390" s="6" t="str">
        <f ca="1">IFERROR(__xludf.DUMMYFUNCTION("""COMPUTED_VALUE"""),"Deep Tech")</f>
        <v>Deep Tech</v>
      </c>
      <c r="D390" s="6" t="str">
        <f ca="1">IFERROR(__xludf.DUMMYFUNCTION("""COMPUTED_VALUE"""),"Mountain View, California 
United States")</f>
        <v>Mountain View, California 
United States</v>
      </c>
      <c r="E390" s="6" t="str">
        <f ca="1">IFERROR(__xludf.DUMMYFUNCTION("""COMPUTED_VALUE"""),"West Coast")</f>
        <v>West Coast</v>
      </c>
      <c r="F390" s="6" t="str">
        <f ca="1">IFERROR(__xludf.DUMMYFUNCTION("""COMPUTED_VALUE"""),"Man")</f>
        <v>Man</v>
      </c>
      <c r="G390" s="6"/>
      <c r="H390" s="6"/>
      <c r="I390" s="6"/>
      <c r="J390" s="6"/>
      <c r="K390" s="6"/>
      <c r="L390" s="6" t="str">
        <f ca="1">IFERROR(__xludf.DUMMYFUNCTION("""COMPUTED_VALUE"""),"Yes")</f>
        <v>Yes</v>
      </c>
      <c r="M390" s="6" t="str">
        <f ca="1">IFERROR(__xludf.DUMMYFUNCTION("""COMPUTED_VALUE"""),"Other (please specify)")</f>
        <v>Other (please specify)</v>
      </c>
      <c r="N390" s="6" t="str">
        <f ca="1">IFERROR(__xludf.DUMMYFUNCTION("""COMPUTED_VALUE"""),"Greg Besner - Adjunct Professor of Entrepreneurship in Stern")</f>
        <v>Greg Besner - Adjunct Professor of Entrepreneurship in Stern</v>
      </c>
      <c r="O390" s="6" t="str">
        <f ca="1">IFERROR(__xludf.DUMMYFUNCTION("""COMPUTED_VALUE"""),"Referral")</f>
        <v>Referral</v>
      </c>
      <c r="P390" s="6"/>
      <c r="Q390" s="6" t="str">
        <f ca="1">IFERROR(__xludf.DUMMYFUNCTION("""COMPUTED_VALUE"""),"No")</f>
        <v>No</v>
      </c>
      <c r="R390" s="6">
        <f ca="1">IFERROR(__xludf.DUMMYFUNCTION("""COMPUTED_VALUE"""),1)</f>
        <v>1</v>
      </c>
      <c r="S390" s="6" t="str">
        <f ca="1">IFERROR(__xludf.DUMMYFUNCTION("""COMPUTED_VALUE"""),"Pre-seed
Grants")</f>
        <v>Pre-seed
Grants</v>
      </c>
      <c r="T390" s="6" t="str">
        <f ca="1">IFERROR(__xludf.DUMMYFUNCTION("""COMPUTED_VALUE"""),"Pre-seed, Grants")</f>
        <v>Pre-seed, Grants</v>
      </c>
      <c r="U390" s="6" t="str">
        <f ca="1">IFERROR(__xludf.DUMMYFUNCTION("""COMPUTED_VALUE"""),"Pre-seed, Grants")</f>
        <v>Pre-seed, Grants</v>
      </c>
      <c r="V390" s="6"/>
      <c r="W390" s="6" t="str">
        <f ca="1">IFERROR(__xludf.DUMMYFUNCTION("""COMPUTED_VALUE"""),"Invite")</f>
        <v>Invite</v>
      </c>
    </row>
    <row r="391" spans="1:23">
      <c r="A391" s="6" t="str">
        <f ca="1">IFERROR(__xludf.DUMMYFUNCTION("""COMPUTED_VALUE"""),"Woman, Man")</f>
        <v>Woman, Man</v>
      </c>
      <c r="B391" s="6" t="str">
        <f ca="1">IFERROR(__xludf.DUMMYFUNCTION("""COMPUTED_VALUE"""),"Solaires Entreprises Inc _2022")</f>
        <v>Solaires Entreprises Inc _2022</v>
      </c>
      <c r="C391" s="6" t="str">
        <f ca="1">IFERROR(__xludf.DUMMYFUNCTION("""COMPUTED_VALUE"""),"Deep Tech")</f>
        <v>Deep Tech</v>
      </c>
      <c r="D391" s="6" t="str">
        <f ca="1">IFERROR(__xludf.DUMMYFUNCTION("""COMPUTED_VALUE"""),"201-2610 Douglas St, Victoria, British Columbia 
Canada")</f>
        <v>201-2610 Douglas St, Victoria, British Columbia 
Canada</v>
      </c>
      <c r="E391" s="6" t="str">
        <f ca="1">IFERROR(__xludf.DUMMYFUNCTION("""COMPUTED_VALUE"""),"International - Americas")</f>
        <v>International - Americas</v>
      </c>
      <c r="F391" s="6" t="str">
        <f ca="1">IFERROR(__xludf.DUMMYFUNCTION("""COMPUTED_VALUE"""),"Woman")</f>
        <v>Woman</v>
      </c>
      <c r="G391" s="6" t="str">
        <f ca="1">IFERROR(__xludf.DUMMYFUNCTION("""COMPUTED_VALUE"""),"Man")</f>
        <v>Man</v>
      </c>
      <c r="H391" s="6"/>
      <c r="I391" s="6"/>
      <c r="J391" s="6"/>
      <c r="K391" s="6"/>
      <c r="L391" s="6" t="str">
        <f ca="1">IFERROR(__xludf.DUMMYFUNCTION("""COMPUTED_VALUE"""),"No")</f>
        <v>No</v>
      </c>
      <c r="M391" s="6"/>
      <c r="N391" s="6"/>
      <c r="O391" s="6" t="str">
        <f ca="1">IFERROR(__xludf.DUMMYFUNCTION("""COMPUTED_VALUE"""),"Email")</f>
        <v>Email</v>
      </c>
      <c r="P391" s="6"/>
      <c r="Q391" s="6" t="str">
        <f ca="1">IFERROR(__xludf.DUMMYFUNCTION("""COMPUTED_VALUE"""),"Yes")</f>
        <v>Yes</v>
      </c>
      <c r="R391" s="6">
        <f ca="1">IFERROR(__xludf.DUMMYFUNCTION("""COMPUTED_VALUE"""),2)</f>
        <v>2</v>
      </c>
      <c r="S391" s="6" t="str">
        <f ca="1">IFERROR(__xludf.DUMMYFUNCTION("""COMPUTED_VALUE"""),"Pre-seed
Grants
Other:  Monetary awards at multiple international competitions")</f>
        <v>Pre-seed
Grants
Other:  Monetary awards at multiple international competitions</v>
      </c>
      <c r="T391" s="6" t="str">
        <f ca="1">IFERROR(__xludf.DUMMYFUNCTION("""COMPUTED_VALUE"""),"Pre-seed, Grants, Other:  Monetary awards at multiple international competitions")</f>
        <v>Pre-seed, Grants, Other:  Monetary awards at multiple international competitions</v>
      </c>
      <c r="U391" s="6" t="str">
        <f ca="1">IFERROR(__xludf.DUMMYFUNCTION("""COMPUTED_VALUE"""),"Pre-seed, Grants, ")</f>
        <v xml:space="preserve">Pre-seed, Grants, </v>
      </c>
      <c r="V391" s="6" t="str">
        <f ca="1">IFERROR(__xludf.DUMMYFUNCTION("""COMPUTED_VALUE""")," Monetary awards at multiple international competitions")</f>
        <v xml:space="preserve"> Monetary awards at multiple international competitions</v>
      </c>
      <c r="W391" s="6" t="str">
        <f ca="1">IFERROR(__xludf.DUMMYFUNCTION("""COMPUTED_VALUE"""),"Invite")</f>
        <v>Invite</v>
      </c>
    </row>
    <row r="392" spans="1:23">
      <c r="A392" s="6" t="str">
        <f ca="1">IFERROR(__xludf.DUMMYFUNCTION("""COMPUTED_VALUE"""),"Woman, Man")</f>
        <v>Woman, Man</v>
      </c>
      <c r="B392" s="6" t="str">
        <f ca="1">IFERROR(__xludf.DUMMYFUNCTION("""COMPUTED_VALUE"""),"Symphony Biosciences  _2022")</f>
        <v>Symphony Biosciences  _2022</v>
      </c>
      <c r="C392" s="6" t="str">
        <f ca="1">IFERROR(__xludf.DUMMYFUNCTION("""COMPUTED_VALUE"""),"Life Sciences")</f>
        <v>Life Sciences</v>
      </c>
      <c r="D392" s="6" t="str">
        <f ca="1">IFERROR(__xludf.DUMMYFUNCTION("""COMPUTED_VALUE"""),"Los Angeles, CA 
United States")</f>
        <v>Los Angeles, CA 
United States</v>
      </c>
      <c r="E392" s="6" t="str">
        <f ca="1">IFERROR(__xludf.DUMMYFUNCTION("""COMPUTED_VALUE"""),"West Coast")</f>
        <v>West Coast</v>
      </c>
      <c r="F392" s="6" t="str">
        <f ca="1">IFERROR(__xludf.DUMMYFUNCTION("""COMPUTED_VALUE"""),"Woman")</f>
        <v>Woman</v>
      </c>
      <c r="G392" s="6" t="str">
        <f ca="1">IFERROR(__xludf.DUMMYFUNCTION("""COMPUTED_VALUE"""),"Man")</f>
        <v>Man</v>
      </c>
      <c r="H392" s="6"/>
      <c r="I392" s="6"/>
      <c r="J392" s="6"/>
      <c r="K392" s="6"/>
      <c r="L392" s="6" t="str">
        <f ca="1">IFERROR(__xludf.DUMMYFUNCTION("""COMPUTED_VALUE"""),"No")</f>
        <v>No</v>
      </c>
      <c r="M392" s="6"/>
      <c r="N392" s="6"/>
      <c r="O392" s="6" t="str">
        <f ca="1">IFERROR(__xludf.DUMMYFUNCTION("""COMPUTED_VALUE"""),"A web posting")</f>
        <v>A web posting</v>
      </c>
      <c r="P392" s="6"/>
      <c r="Q392" s="6" t="str">
        <f ca="1">IFERROR(__xludf.DUMMYFUNCTION("""COMPUTED_VALUE"""),"No")</f>
        <v>No</v>
      </c>
      <c r="R392" s="6">
        <f ca="1">IFERROR(__xludf.DUMMYFUNCTION("""COMPUTED_VALUE"""),2)</f>
        <v>2</v>
      </c>
      <c r="S392" s="6" t="str">
        <f ca="1">IFERROR(__xludf.DUMMYFUNCTION("""COMPUTED_VALUE"""),"Pre-seed")</f>
        <v>Pre-seed</v>
      </c>
      <c r="T392" s="6" t="str">
        <f ca="1">IFERROR(__xludf.DUMMYFUNCTION("""COMPUTED_VALUE"""),"Pre-seed")</f>
        <v>Pre-seed</v>
      </c>
      <c r="U392" s="6" t="str">
        <f ca="1">IFERROR(__xludf.DUMMYFUNCTION("""COMPUTED_VALUE"""),"Pre-seed")</f>
        <v>Pre-seed</v>
      </c>
      <c r="V392" s="6"/>
      <c r="W392" s="6" t="str">
        <f ca="1">IFERROR(__xludf.DUMMYFUNCTION("""COMPUTED_VALUE"""),"Invite")</f>
        <v>Invite</v>
      </c>
    </row>
    <row r="393" spans="1:23">
      <c r="A393" s="6" t="str">
        <f ca="1">IFERROR(__xludf.DUMMYFUNCTION("""COMPUTED_VALUE"""),"Man")</f>
        <v>Man</v>
      </c>
      <c r="B393" s="6" t="str">
        <f ca="1">IFERROR(__xludf.DUMMYFUNCTION("""COMPUTED_VALUE"""),"Television Korea 24, Inc. (ESTV) _2022")</f>
        <v>Television Korea 24, Inc. (ESTV) _2022</v>
      </c>
      <c r="C393" s="6" t="str">
        <f ca="1">IFERROR(__xludf.DUMMYFUNCTION("""COMPUTED_VALUE"""),"Digital Tech")</f>
        <v>Digital Tech</v>
      </c>
      <c r="D393" s="6" t="str">
        <f ca="1">IFERROR(__xludf.DUMMYFUNCTION("""COMPUTED_VALUE"""),"Los Angeles, CA 
United States")</f>
        <v>Los Angeles, CA 
United States</v>
      </c>
      <c r="E393" s="6" t="str">
        <f ca="1">IFERROR(__xludf.DUMMYFUNCTION("""COMPUTED_VALUE"""),"West Coast")</f>
        <v>West Coast</v>
      </c>
      <c r="F393" s="6" t="str">
        <f ca="1">IFERROR(__xludf.DUMMYFUNCTION("""COMPUTED_VALUE"""),"Man")</f>
        <v>Man</v>
      </c>
      <c r="G393" s="6"/>
      <c r="H393" s="6"/>
      <c r="I393" s="6"/>
      <c r="J393" s="6"/>
      <c r="K393" s="6"/>
      <c r="L393" s="6" t="str">
        <f ca="1">IFERROR(__xludf.DUMMYFUNCTION("""COMPUTED_VALUE"""),"No")</f>
        <v>No</v>
      </c>
      <c r="M393" s="6"/>
      <c r="N393" s="6"/>
      <c r="O393" s="6" t="str">
        <f ca="1">IFERROR(__xludf.DUMMYFUNCTION("""COMPUTED_VALUE"""),"Email")</f>
        <v>Email</v>
      </c>
      <c r="P393" s="6"/>
      <c r="Q393" s="6" t="str">
        <f ca="1">IFERROR(__xludf.DUMMYFUNCTION("""COMPUTED_VALUE"""),"No")</f>
        <v>No</v>
      </c>
      <c r="R393" s="6">
        <f ca="1">IFERROR(__xludf.DUMMYFUNCTION("""COMPUTED_VALUE"""),1)</f>
        <v>1</v>
      </c>
      <c r="S393" s="6" t="str">
        <f ca="1">IFERROR(__xludf.DUMMYFUNCTION("""COMPUTED_VALUE"""),"Seed
Debt financing")</f>
        <v>Seed
Debt financing</v>
      </c>
      <c r="T393" s="6" t="str">
        <f ca="1">IFERROR(__xludf.DUMMYFUNCTION("""COMPUTED_VALUE"""),"Seed, Debt financing")</f>
        <v>Seed, Debt financing</v>
      </c>
      <c r="U393" s="6" t="str">
        <f ca="1">IFERROR(__xludf.DUMMYFUNCTION("""COMPUTED_VALUE"""),"Seed, Debt financing")</f>
        <v>Seed, Debt financing</v>
      </c>
      <c r="V393" s="6"/>
      <c r="W393" s="6" t="str">
        <f ca="1">IFERROR(__xludf.DUMMYFUNCTION("""COMPUTED_VALUE"""),"Invite")</f>
        <v>Invite</v>
      </c>
    </row>
    <row r="394" spans="1:23">
      <c r="A394" s="6" t="str">
        <f ca="1">IFERROR(__xludf.DUMMYFUNCTION("""COMPUTED_VALUE"""),"Woman, Man, Woman")</f>
        <v>Woman, Man, Woman</v>
      </c>
      <c r="B394" s="6" t="str">
        <f ca="1">IFERROR(__xludf.DUMMYFUNCTION("""COMPUTED_VALUE"""),"manot _2022")</f>
        <v>manot _2022</v>
      </c>
      <c r="C394" s="6" t="str">
        <f ca="1">IFERROR(__xludf.DUMMYFUNCTION("""COMPUTED_VALUE"""),"Digital Tech")</f>
        <v>Digital Tech</v>
      </c>
      <c r="D394" s="6" t="str">
        <f ca="1">IFERROR(__xludf.DUMMYFUNCTION("""COMPUTED_VALUE"""),"326 Mira Loma Ave, Glendale, CA 
United States")</f>
        <v>326 Mira Loma Ave, Glendale, CA 
United States</v>
      </c>
      <c r="E394" s="6" t="str">
        <f ca="1">IFERROR(__xludf.DUMMYFUNCTION("""COMPUTED_VALUE"""),"West Coast")</f>
        <v>West Coast</v>
      </c>
      <c r="F394" s="6" t="str">
        <f ca="1">IFERROR(__xludf.DUMMYFUNCTION("""COMPUTED_VALUE"""),"Woman")</f>
        <v>Woman</v>
      </c>
      <c r="G394" s="6" t="str">
        <f ca="1">IFERROR(__xludf.DUMMYFUNCTION("""COMPUTED_VALUE"""),"Man")</f>
        <v>Man</v>
      </c>
      <c r="H394" s="6" t="str">
        <f ca="1">IFERROR(__xludf.DUMMYFUNCTION("""COMPUTED_VALUE"""),"Woman")</f>
        <v>Woman</v>
      </c>
      <c r="I394" s="6"/>
      <c r="J394" s="6"/>
      <c r="K394" s="6"/>
      <c r="L394" s="6" t="str">
        <f ca="1">IFERROR(__xludf.DUMMYFUNCTION("""COMPUTED_VALUE"""),"No")</f>
        <v>No</v>
      </c>
      <c r="M394" s="6"/>
      <c r="N394" s="6"/>
      <c r="O394" s="6" t="str">
        <f ca="1">IFERROR(__xludf.DUMMYFUNCTION("""COMPUTED_VALUE"""),"Referral")</f>
        <v>Referral</v>
      </c>
      <c r="P394" s="6"/>
      <c r="Q394" s="6" t="str">
        <f ca="1">IFERROR(__xludf.DUMMYFUNCTION("""COMPUTED_VALUE"""),"No")</f>
        <v>No</v>
      </c>
      <c r="R394" s="6">
        <f ca="1">IFERROR(__xludf.DUMMYFUNCTION("""COMPUTED_VALUE"""),3)</f>
        <v>3</v>
      </c>
      <c r="S394" s="6" t="str">
        <f ca="1">IFERROR(__xludf.DUMMYFUNCTION("""COMPUTED_VALUE"""),"Pre-seed")</f>
        <v>Pre-seed</v>
      </c>
      <c r="T394" s="6" t="str">
        <f ca="1">IFERROR(__xludf.DUMMYFUNCTION("""COMPUTED_VALUE"""),"Pre-seed")</f>
        <v>Pre-seed</v>
      </c>
      <c r="U394" s="6" t="str">
        <f ca="1">IFERROR(__xludf.DUMMYFUNCTION("""COMPUTED_VALUE"""),"Pre-seed")</f>
        <v>Pre-seed</v>
      </c>
      <c r="V394" s="6"/>
      <c r="W394" s="6" t="str">
        <f ca="1">IFERROR(__xludf.DUMMYFUNCTION("""COMPUTED_VALUE"""),"Special Reject")</f>
        <v>Special Reject</v>
      </c>
    </row>
    <row r="395" spans="1:23">
      <c r="A395" s="6" t="str">
        <f ca="1">IFERROR(__xludf.DUMMYFUNCTION("""COMPUTED_VALUE"""),"Prefer not to respond, Prefer not to respond")</f>
        <v>Prefer not to respond, Prefer not to respond</v>
      </c>
      <c r="B395" s="6" t="str">
        <f ca="1">IFERROR(__xludf.DUMMYFUNCTION("""COMPUTED_VALUE"""),"CellChorus _2022")</f>
        <v>CellChorus _2022</v>
      </c>
      <c r="C395" s="6" t="str">
        <f ca="1">IFERROR(__xludf.DUMMYFUNCTION("""COMPUTED_VALUE"""),"Life Sciences")</f>
        <v>Life Sciences</v>
      </c>
      <c r="D395" s="6" t="str">
        <f ca="1">IFERROR(__xludf.DUMMYFUNCTION("""COMPUTED_VALUE"""),"Houston, TX 
United States")</f>
        <v>Houston, TX 
United States</v>
      </c>
      <c r="E395" s="6" t="str">
        <f ca="1">IFERROR(__xludf.DUMMYFUNCTION("""COMPUTED_VALUE"""),"South")</f>
        <v>South</v>
      </c>
      <c r="F395" s="6" t="str">
        <f ca="1">IFERROR(__xludf.DUMMYFUNCTION("""COMPUTED_VALUE"""),"Prefer not to respond")</f>
        <v>Prefer not to respond</v>
      </c>
      <c r="G395" s="6" t="str">
        <f ca="1">IFERROR(__xludf.DUMMYFUNCTION("""COMPUTED_VALUE"""),"Prefer not to respond")</f>
        <v>Prefer not to respond</v>
      </c>
      <c r="H395" s="6"/>
      <c r="I395" s="6"/>
      <c r="J395" s="6"/>
      <c r="K395" s="6"/>
      <c r="L395" s="6" t="str">
        <f ca="1">IFERROR(__xludf.DUMMYFUNCTION("""COMPUTED_VALUE"""),"No")</f>
        <v>No</v>
      </c>
      <c r="M395" s="6"/>
      <c r="N395" s="6"/>
      <c r="O395" s="6" t="str">
        <f ca="1">IFERROR(__xludf.DUMMYFUNCTION("""COMPUTED_VALUE"""),"Email")</f>
        <v>Email</v>
      </c>
      <c r="P395" s="6"/>
      <c r="Q395" s="6" t="str">
        <f ca="1">IFERROR(__xludf.DUMMYFUNCTION("""COMPUTED_VALUE"""),"No")</f>
        <v>No</v>
      </c>
      <c r="R395" s="6">
        <f ca="1">IFERROR(__xludf.DUMMYFUNCTION("""COMPUTED_VALUE"""),2)</f>
        <v>2</v>
      </c>
      <c r="S395" s="6" t="str">
        <f ca="1">IFERROR(__xludf.DUMMYFUNCTION("""COMPUTED_VALUE"""),"Pre-seed")</f>
        <v>Pre-seed</v>
      </c>
      <c r="T395" s="6" t="str">
        <f ca="1">IFERROR(__xludf.DUMMYFUNCTION("""COMPUTED_VALUE"""),"Pre-seed")</f>
        <v>Pre-seed</v>
      </c>
      <c r="U395" s="6" t="str">
        <f ca="1">IFERROR(__xludf.DUMMYFUNCTION("""COMPUTED_VALUE"""),"Pre-seed")</f>
        <v>Pre-seed</v>
      </c>
      <c r="V395" s="6"/>
      <c r="W395" s="6" t="str">
        <f ca="1">IFERROR(__xludf.DUMMYFUNCTION("""COMPUTED_VALUE"""),"Invite")</f>
        <v>Invite</v>
      </c>
    </row>
    <row r="396" spans="1:23">
      <c r="A396" s="6" t="str">
        <f ca="1">IFERROR(__xludf.DUMMYFUNCTION("""COMPUTED_VALUE"""),"Man, Man, Man")</f>
        <v>Man, Man, Man</v>
      </c>
      <c r="B396" s="6" t="str">
        <f ca="1">IFERROR(__xludf.DUMMYFUNCTION("""COMPUTED_VALUE"""),"CARI Health, Inc. _2022")</f>
        <v>CARI Health, Inc. _2022</v>
      </c>
      <c r="C396" s="6" t="str">
        <f ca="1">IFERROR(__xludf.DUMMYFUNCTION("""COMPUTED_VALUE"""),"Deep Tech")</f>
        <v>Deep Tech</v>
      </c>
      <c r="D396" s="6" t="str">
        <f ca="1">IFERROR(__xludf.DUMMYFUNCTION("""COMPUTED_VALUE"""),"San Diego, CA 
United States")</f>
        <v>San Diego, CA 
United States</v>
      </c>
      <c r="E396" s="6" t="str">
        <f ca="1">IFERROR(__xludf.DUMMYFUNCTION("""COMPUTED_VALUE"""),"West Coast")</f>
        <v>West Coast</v>
      </c>
      <c r="F396" s="6" t="str">
        <f ca="1">IFERROR(__xludf.DUMMYFUNCTION("""COMPUTED_VALUE"""),"Man")</f>
        <v>Man</v>
      </c>
      <c r="G396" s="6" t="str">
        <f ca="1">IFERROR(__xludf.DUMMYFUNCTION("""COMPUTED_VALUE"""),"Man")</f>
        <v>Man</v>
      </c>
      <c r="H396" s="6" t="str">
        <f ca="1">IFERROR(__xludf.DUMMYFUNCTION("""COMPUTED_VALUE"""),"Man")</f>
        <v>Man</v>
      </c>
      <c r="I396" s="6"/>
      <c r="J396" s="6"/>
      <c r="K396" s="6"/>
      <c r="L396" s="6" t="str">
        <f ca="1">IFERROR(__xludf.DUMMYFUNCTION("""COMPUTED_VALUE"""),"No")</f>
        <v>No</v>
      </c>
      <c r="M396" s="6"/>
      <c r="N396" s="6"/>
      <c r="O396" s="6" t="str">
        <f ca="1">IFERROR(__xludf.DUMMYFUNCTION("""COMPUTED_VALUE"""),"Email")</f>
        <v>Email</v>
      </c>
      <c r="P396" s="6"/>
      <c r="Q396" s="6" t="str">
        <f ca="1">IFERROR(__xludf.DUMMYFUNCTION("""COMPUTED_VALUE"""),"No")</f>
        <v>No</v>
      </c>
      <c r="R396" s="6">
        <f ca="1">IFERROR(__xludf.DUMMYFUNCTION("""COMPUTED_VALUE"""),3)</f>
        <v>3</v>
      </c>
      <c r="S396" s="6" t="str">
        <f ca="1">IFERROR(__xludf.DUMMYFUNCTION("""COMPUTED_VALUE"""),"Pre-seed
Seed
Grants")</f>
        <v>Pre-seed
Seed
Grants</v>
      </c>
      <c r="T396" s="6" t="str">
        <f ca="1">IFERROR(__xludf.DUMMYFUNCTION("""COMPUTED_VALUE"""),"Pre-seed, Seed, Grants")</f>
        <v>Pre-seed, Seed, Grants</v>
      </c>
      <c r="U396" s="6" t="str">
        <f ca="1">IFERROR(__xludf.DUMMYFUNCTION("""COMPUTED_VALUE"""),"Pre-seed, Seed, Grants")</f>
        <v>Pre-seed, Seed, Grants</v>
      </c>
      <c r="V396" s="6"/>
      <c r="W396" s="6" t="str">
        <f ca="1">IFERROR(__xludf.DUMMYFUNCTION("""COMPUTED_VALUE"""),"Revisit/ Cluster")</f>
        <v>Revisit/ Cluster</v>
      </c>
    </row>
    <row r="397" spans="1:23">
      <c r="A397" s="6" t="str">
        <f ca="1">IFERROR(__xludf.DUMMYFUNCTION("""COMPUTED_VALUE"""),"Man, Man")</f>
        <v>Man, Man</v>
      </c>
      <c r="B397" s="6" t="str">
        <f ca="1">IFERROR(__xludf.DUMMYFUNCTION("""COMPUTED_VALUE"""),"NEOMICS PHARMACEUTICALS LLC _2022")</f>
        <v>NEOMICS PHARMACEUTICALS LLC _2022</v>
      </c>
      <c r="C397" s="6" t="str">
        <f ca="1">IFERROR(__xludf.DUMMYFUNCTION("""COMPUTED_VALUE"""),"Life Sciences")</f>
        <v>Life Sciences</v>
      </c>
      <c r="D397" s="6" t="str">
        <f ca="1">IFERROR(__xludf.DUMMYFUNCTION("""COMPUTED_VALUE"""),"ROCKVILLE, MD 
United States")</f>
        <v>ROCKVILLE, MD 
United States</v>
      </c>
      <c r="E397" s="6" t="str">
        <f ca="1">IFERROR(__xludf.DUMMYFUNCTION("""COMPUTED_VALUE"""),"East Coast")</f>
        <v>East Coast</v>
      </c>
      <c r="F397" s="6" t="str">
        <f ca="1">IFERROR(__xludf.DUMMYFUNCTION("""COMPUTED_VALUE"""),"Man")</f>
        <v>Man</v>
      </c>
      <c r="G397" s="6" t="str">
        <f ca="1">IFERROR(__xludf.DUMMYFUNCTION("""COMPUTED_VALUE"""),"Man")</f>
        <v>Man</v>
      </c>
      <c r="H397" s="6"/>
      <c r="I397" s="6"/>
      <c r="J397" s="6"/>
      <c r="K397" s="6"/>
      <c r="L397" s="6" t="str">
        <f ca="1">IFERROR(__xludf.DUMMYFUNCTION("""COMPUTED_VALUE"""),"No")</f>
        <v>No</v>
      </c>
      <c r="M397" s="6"/>
      <c r="N397" s="6"/>
      <c r="O397" s="6" t="str">
        <f ca="1">IFERROR(__xludf.DUMMYFUNCTION("""COMPUTED_VALUE"""),"Email")</f>
        <v>Email</v>
      </c>
      <c r="P397" s="6"/>
      <c r="Q397" s="6" t="str">
        <f ca="1">IFERROR(__xludf.DUMMYFUNCTION("""COMPUTED_VALUE"""),"No")</f>
        <v>No</v>
      </c>
      <c r="R397" s="6">
        <f ca="1">IFERROR(__xludf.DUMMYFUNCTION("""COMPUTED_VALUE"""),2)</f>
        <v>2</v>
      </c>
      <c r="S397" s="6" t="str">
        <f ca="1">IFERROR(__xludf.DUMMYFUNCTION("""COMPUTED_VALUE"""),"Seed
Other: pre-A")</f>
        <v>Seed
Other: pre-A</v>
      </c>
      <c r="T397" s="6" t="str">
        <f ca="1">IFERROR(__xludf.DUMMYFUNCTION("""COMPUTED_VALUE"""),"Seed, Other: pre-A")</f>
        <v>Seed, Other: pre-A</v>
      </c>
      <c r="U397" s="6" t="str">
        <f ca="1">IFERROR(__xludf.DUMMYFUNCTION("""COMPUTED_VALUE"""),"Seed, ")</f>
        <v xml:space="preserve">Seed, </v>
      </c>
      <c r="V397" s="6" t="str">
        <f ca="1">IFERROR(__xludf.DUMMYFUNCTION("""COMPUTED_VALUE"""),"pre-A")</f>
        <v>pre-A</v>
      </c>
      <c r="W397" s="6" t="str">
        <f ca="1">IFERROR(__xludf.DUMMYFUNCTION("""COMPUTED_VALUE"""),"Invite Next Year")</f>
        <v>Invite Next Year</v>
      </c>
    </row>
    <row r="398" spans="1:23">
      <c r="A398" s="6" t="str">
        <f ca="1">IFERROR(__xludf.DUMMYFUNCTION("""COMPUTED_VALUE"""),"Man, Man, Man")</f>
        <v>Man, Man, Man</v>
      </c>
      <c r="B398" s="6" t="str">
        <f ca="1">IFERROR(__xludf.DUMMYFUNCTION("""COMPUTED_VALUE"""),"Multipl Fintech Solutions Pvt. LTD _2022")</f>
        <v>Multipl Fintech Solutions Pvt. LTD _2022</v>
      </c>
      <c r="C398" s="6" t="str">
        <f ca="1">IFERROR(__xludf.DUMMYFUNCTION("""COMPUTED_VALUE"""),"Digital Tech")</f>
        <v>Digital Tech</v>
      </c>
      <c r="D398" s="6" t="str">
        <f ca="1">IFERROR(__xludf.DUMMYFUNCTION("""COMPUTED_VALUE"""),"SLV Arcade, 2nd Floor, Building no: 57, Junction of 9th main and 40th cross, Jayanagar 5th Block, 560041, Karnataka 
India")</f>
        <v>SLV Arcade, 2nd Floor, Building no: 57, Junction of 9th main and 40th cross, Jayanagar 5th Block, 560041, Karnataka 
India</v>
      </c>
      <c r="E398" s="6" t="str">
        <f ca="1">IFERROR(__xludf.DUMMYFUNCTION("""COMPUTED_VALUE"""),"International - Asia")</f>
        <v>International - Asia</v>
      </c>
      <c r="F398" s="6" t="str">
        <f ca="1">IFERROR(__xludf.DUMMYFUNCTION("""COMPUTED_VALUE"""),"Man")</f>
        <v>Man</v>
      </c>
      <c r="G398" s="6" t="str">
        <f ca="1">IFERROR(__xludf.DUMMYFUNCTION("""COMPUTED_VALUE"""),"Man")</f>
        <v>Man</v>
      </c>
      <c r="H398" s="6" t="str">
        <f ca="1">IFERROR(__xludf.DUMMYFUNCTION("""COMPUTED_VALUE"""),"Man")</f>
        <v>Man</v>
      </c>
      <c r="I398" s="6"/>
      <c r="J398" s="6"/>
      <c r="K398" s="6"/>
      <c r="L398" s="6" t="str">
        <f ca="1">IFERROR(__xludf.DUMMYFUNCTION("""COMPUTED_VALUE"""),"No")</f>
        <v>No</v>
      </c>
      <c r="M398" s="6"/>
      <c r="N398" s="6"/>
      <c r="O398" s="6" t="str">
        <f ca="1">IFERROR(__xludf.DUMMYFUNCTION("""COMPUTED_VALUE"""),"Email")</f>
        <v>Email</v>
      </c>
      <c r="P398" s="6"/>
      <c r="Q398" s="6" t="str">
        <f ca="1">IFERROR(__xludf.DUMMYFUNCTION("""COMPUTED_VALUE"""),"No")</f>
        <v>No</v>
      </c>
      <c r="R398" s="6">
        <f ca="1">IFERROR(__xludf.DUMMYFUNCTION("""COMPUTED_VALUE"""),3)</f>
        <v>3</v>
      </c>
      <c r="S398" s="6" t="str">
        <f ca="1">IFERROR(__xludf.DUMMYFUNCTION("""COMPUTED_VALUE"""),"Seed")</f>
        <v>Seed</v>
      </c>
      <c r="T398" s="6" t="str">
        <f ca="1">IFERROR(__xludf.DUMMYFUNCTION("""COMPUTED_VALUE"""),"Seed")</f>
        <v>Seed</v>
      </c>
      <c r="U398" s="6" t="str">
        <f ca="1">IFERROR(__xludf.DUMMYFUNCTION("""COMPUTED_VALUE"""),"Seed")</f>
        <v>Seed</v>
      </c>
      <c r="V398" s="6"/>
      <c r="W398" s="6" t="str">
        <f ca="1">IFERROR(__xludf.DUMMYFUNCTION("""COMPUTED_VALUE"""),"Invite Next Year")</f>
        <v>Invite Next Year</v>
      </c>
    </row>
    <row r="399" spans="1:23">
      <c r="A399" s="6" t="str">
        <f ca="1">IFERROR(__xludf.DUMMYFUNCTION("""COMPUTED_VALUE"""),"Man, Man")</f>
        <v>Man, Man</v>
      </c>
      <c r="B399" s="6" t="str">
        <f ca="1">IFERROR(__xludf.DUMMYFUNCTION("""COMPUTED_VALUE"""),"Jovian _2022")</f>
        <v>Jovian _2022</v>
      </c>
      <c r="C399" s="6" t="str">
        <f ca="1">IFERROR(__xludf.DUMMYFUNCTION("""COMPUTED_VALUE"""),"Digital Tech")</f>
        <v>Digital Tech</v>
      </c>
      <c r="D399" s="6" t="str">
        <f ca="1">IFERROR(__xludf.DUMMYFUNCTION("""COMPUTED_VALUE"""),"Bengaluru, Karnataka 
India")</f>
        <v>Bengaluru, Karnataka 
India</v>
      </c>
      <c r="E399" s="6" t="str">
        <f ca="1">IFERROR(__xludf.DUMMYFUNCTION("""COMPUTED_VALUE"""),"International - Asia")</f>
        <v>International - Asia</v>
      </c>
      <c r="F399" s="6" t="str">
        <f ca="1">IFERROR(__xludf.DUMMYFUNCTION("""COMPUTED_VALUE"""),"Man")</f>
        <v>Man</v>
      </c>
      <c r="G399" s="6" t="str">
        <f ca="1">IFERROR(__xludf.DUMMYFUNCTION("""COMPUTED_VALUE"""),"Man")</f>
        <v>Man</v>
      </c>
      <c r="H399" s="6"/>
      <c r="I399" s="6"/>
      <c r="J399" s="6"/>
      <c r="K399" s="6"/>
      <c r="L399" s="6" t="str">
        <f ca="1">IFERROR(__xludf.DUMMYFUNCTION("""COMPUTED_VALUE"""),"--Please select--")</f>
        <v>--Please select--</v>
      </c>
      <c r="M399" s="6"/>
      <c r="N399" s="6"/>
      <c r="O399" s="6" t="str">
        <f ca="1">IFERROR(__xludf.DUMMYFUNCTION("""COMPUTED_VALUE"""),"Email")</f>
        <v>Email</v>
      </c>
      <c r="P399" s="6"/>
      <c r="Q399" s="6" t="str">
        <f ca="1">IFERROR(__xludf.DUMMYFUNCTION("""COMPUTED_VALUE"""),"No")</f>
        <v>No</v>
      </c>
      <c r="R399" s="6">
        <f ca="1">IFERROR(__xludf.DUMMYFUNCTION("""COMPUTED_VALUE"""),2)</f>
        <v>2</v>
      </c>
      <c r="S399" s="6" t="str">
        <f ca="1">IFERROR(__xludf.DUMMYFUNCTION("""COMPUTED_VALUE"""),"Pre-seed
Seed")</f>
        <v>Pre-seed
Seed</v>
      </c>
      <c r="T399" s="6" t="str">
        <f ca="1">IFERROR(__xludf.DUMMYFUNCTION("""COMPUTED_VALUE"""),"Pre-seed, Seed")</f>
        <v>Pre-seed, Seed</v>
      </c>
      <c r="U399" s="6" t="str">
        <f ca="1">IFERROR(__xludf.DUMMYFUNCTION("""COMPUTED_VALUE"""),"Pre-seed, Seed")</f>
        <v>Pre-seed, Seed</v>
      </c>
      <c r="V399" s="6"/>
      <c r="W399" s="6" t="str">
        <f ca="1">IFERROR(__xludf.DUMMYFUNCTION("""COMPUTED_VALUE"""),"Invite Next Year")</f>
        <v>Invite Next Year</v>
      </c>
    </row>
    <row r="400" spans="1:23">
      <c r="A400" s="6" t="str">
        <f ca="1">IFERROR(__xludf.DUMMYFUNCTION("""COMPUTED_VALUE"""),"Man, Woman, Man")</f>
        <v>Man, Woman, Man</v>
      </c>
      <c r="B400" s="6" t="str">
        <f ca="1">IFERROR(__xludf.DUMMYFUNCTION("""COMPUTED_VALUE"""),"prints.me _2022")</f>
        <v>prints.me _2022</v>
      </c>
      <c r="C400" s="6" t="str">
        <f ca="1">IFERROR(__xludf.DUMMYFUNCTION("""COMPUTED_VALUE"""),"Digital Tech")</f>
        <v>Digital Tech</v>
      </c>
      <c r="D400" s="6" t="str">
        <f ca="1">IFERROR(__xludf.DUMMYFUNCTION("""COMPUTED_VALUE"""),"Warsaw, Mazowieckie 
Poland")</f>
        <v>Warsaw, Mazowieckie 
Poland</v>
      </c>
      <c r="E400" s="6" t="str">
        <f ca="1">IFERROR(__xludf.DUMMYFUNCTION("""COMPUTED_VALUE"""),"International - Europe")</f>
        <v>International - Europe</v>
      </c>
      <c r="F400" s="6" t="str">
        <f ca="1">IFERROR(__xludf.DUMMYFUNCTION("""COMPUTED_VALUE"""),"Man")</f>
        <v>Man</v>
      </c>
      <c r="G400" s="6" t="str">
        <f ca="1">IFERROR(__xludf.DUMMYFUNCTION("""COMPUTED_VALUE"""),"Woman")</f>
        <v>Woman</v>
      </c>
      <c r="H400" s="6" t="str">
        <f ca="1">IFERROR(__xludf.DUMMYFUNCTION("""COMPUTED_VALUE"""),"Man")</f>
        <v>Man</v>
      </c>
      <c r="I400" s="6"/>
      <c r="J400" s="6"/>
      <c r="K400" s="6"/>
      <c r="L400" s="6" t="str">
        <f ca="1">IFERROR(__xludf.DUMMYFUNCTION("""COMPUTED_VALUE"""),"No")</f>
        <v>No</v>
      </c>
      <c r="M400" s="6"/>
      <c r="N400" s="6"/>
      <c r="O400" s="6" t="str">
        <f ca="1">IFERROR(__xludf.DUMMYFUNCTION("""COMPUTED_VALUE"""),"Email")</f>
        <v>Email</v>
      </c>
      <c r="P400" s="6"/>
      <c r="Q400" s="6" t="str">
        <f ca="1">IFERROR(__xludf.DUMMYFUNCTION("""COMPUTED_VALUE"""),"No")</f>
        <v>No</v>
      </c>
      <c r="R400" s="6">
        <f ca="1">IFERROR(__xludf.DUMMYFUNCTION("""COMPUTED_VALUE"""),3)</f>
        <v>3</v>
      </c>
      <c r="S400" s="6" t="str">
        <f ca="1">IFERROR(__xludf.DUMMYFUNCTION("""COMPUTED_VALUE"""),"Pre-seed
Grants")</f>
        <v>Pre-seed
Grants</v>
      </c>
      <c r="T400" s="6" t="str">
        <f ca="1">IFERROR(__xludf.DUMMYFUNCTION("""COMPUTED_VALUE"""),"Pre-seed, Grants")</f>
        <v>Pre-seed, Grants</v>
      </c>
      <c r="U400" s="6" t="str">
        <f ca="1">IFERROR(__xludf.DUMMYFUNCTION("""COMPUTED_VALUE"""),"Pre-seed, Grants")</f>
        <v>Pre-seed, Grants</v>
      </c>
      <c r="V400" s="6"/>
      <c r="W400" s="6" t="str">
        <f ca="1">IFERROR(__xludf.DUMMYFUNCTION("""COMPUTED_VALUE"""),"Invite Next Year")</f>
        <v>Invite Next Year</v>
      </c>
    </row>
    <row r="401" spans="1:23">
      <c r="A401" s="6" t="str">
        <f ca="1">IFERROR(__xludf.DUMMYFUNCTION("""COMPUTED_VALUE"""),"Man, Man, Man, Man")</f>
        <v>Man, Man, Man, Man</v>
      </c>
      <c r="B401" s="6" t="str">
        <f ca="1">IFERROR(__xludf.DUMMYFUNCTION("""COMPUTED_VALUE"""),"4A Financial Technology Private Limited _2022")</f>
        <v>4A Financial Technology Private Limited _2022</v>
      </c>
      <c r="C401" s="6" t="str">
        <f ca="1">IFERROR(__xludf.DUMMYFUNCTION("""COMPUTED_VALUE"""),"Digital Tech")</f>
        <v>Digital Tech</v>
      </c>
      <c r="D401" s="6" t="str">
        <f ca="1">IFERROR(__xludf.DUMMYFUNCTION("""COMPUTED_VALUE"""),"Pune, Maharashtra 
India")</f>
        <v>Pune, Maharashtra 
India</v>
      </c>
      <c r="E401" s="6" t="str">
        <f ca="1">IFERROR(__xludf.DUMMYFUNCTION("""COMPUTED_VALUE"""),"International - Asia")</f>
        <v>International - Asia</v>
      </c>
      <c r="F401" s="6" t="str">
        <f ca="1">IFERROR(__xludf.DUMMYFUNCTION("""COMPUTED_VALUE"""),"Man")</f>
        <v>Man</v>
      </c>
      <c r="G401" s="6" t="str">
        <f ca="1">IFERROR(__xludf.DUMMYFUNCTION("""COMPUTED_VALUE"""),"Man")</f>
        <v>Man</v>
      </c>
      <c r="H401" s="6" t="str">
        <f ca="1">IFERROR(__xludf.DUMMYFUNCTION("""COMPUTED_VALUE"""),"Man")</f>
        <v>Man</v>
      </c>
      <c r="I401" s="6" t="str">
        <f ca="1">IFERROR(__xludf.DUMMYFUNCTION("""COMPUTED_VALUE"""),"Man")</f>
        <v>Man</v>
      </c>
      <c r="J401" s="6"/>
      <c r="K401" s="6"/>
      <c r="L401" s="6" t="str">
        <f ca="1">IFERROR(__xludf.DUMMYFUNCTION("""COMPUTED_VALUE"""),"No")</f>
        <v>No</v>
      </c>
      <c r="M401" s="6"/>
      <c r="N401" s="6"/>
      <c r="O401" s="6" t="str">
        <f ca="1">IFERROR(__xludf.DUMMYFUNCTION("""COMPUTED_VALUE"""),"Email")</f>
        <v>Email</v>
      </c>
      <c r="P401" s="6"/>
      <c r="Q401" s="6" t="str">
        <f ca="1">IFERROR(__xludf.DUMMYFUNCTION("""COMPUTED_VALUE"""),"No")</f>
        <v>No</v>
      </c>
      <c r="R401" s="6">
        <f ca="1">IFERROR(__xludf.DUMMYFUNCTION("""COMPUTED_VALUE"""),4)</f>
        <v>4</v>
      </c>
      <c r="S401" s="6" t="str">
        <f ca="1">IFERROR(__xludf.DUMMYFUNCTION("""COMPUTED_VALUE"""),"Pre-seed
Seed")</f>
        <v>Pre-seed
Seed</v>
      </c>
      <c r="T401" s="6" t="str">
        <f ca="1">IFERROR(__xludf.DUMMYFUNCTION("""COMPUTED_VALUE"""),"Pre-seed, Seed")</f>
        <v>Pre-seed, Seed</v>
      </c>
      <c r="U401" s="6" t="str">
        <f ca="1">IFERROR(__xludf.DUMMYFUNCTION("""COMPUTED_VALUE"""),"Pre-seed, Seed")</f>
        <v>Pre-seed, Seed</v>
      </c>
      <c r="V401" s="6"/>
      <c r="W401" s="6" t="str">
        <f ca="1">IFERROR(__xludf.DUMMYFUNCTION("""COMPUTED_VALUE"""),"Invite Next Year")</f>
        <v>Invite Next Year</v>
      </c>
    </row>
    <row r="402" spans="1:23">
      <c r="A402" s="6" t="str">
        <f ca="1">IFERROR(__xludf.DUMMYFUNCTION("""COMPUTED_VALUE"""),"Woman, Man")</f>
        <v>Woman, Man</v>
      </c>
      <c r="B402" s="6" t="str">
        <f ca="1">IFERROR(__xludf.DUMMYFUNCTION("""COMPUTED_VALUE"""),"Isoprene Pharmaceuticals, Inc. _2022")</f>
        <v>Isoprene Pharmaceuticals, Inc. _2022</v>
      </c>
      <c r="C402" s="6" t="str">
        <f ca="1">IFERROR(__xludf.DUMMYFUNCTION("""COMPUTED_VALUE"""),"Life Sciences")</f>
        <v>Life Sciences</v>
      </c>
      <c r="D402" s="6" t="str">
        <f ca="1">IFERROR(__xludf.DUMMYFUNCTION("""COMPUTED_VALUE"""),"Suite 502J  801 West Baltimore Street , Baltimore MD 21201 
United States")</f>
        <v>Suite 502J  801 West Baltimore Street , Baltimore MD 21201 
United States</v>
      </c>
      <c r="E402" s="6" t="str">
        <f ca="1">IFERROR(__xludf.DUMMYFUNCTION("""COMPUTED_VALUE"""),"East Coast")</f>
        <v>East Coast</v>
      </c>
      <c r="F402" s="6" t="str">
        <f ca="1">IFERROR(__xludf.DUMMYFUNCTION("""COMPUTED_VALUE"""),"Woman")</f>
        <v>Woman</v>
      </c>
      <c r="G402" s="6" t="str">
        <f ca="1">IFERROR(__xludf.DUMMYFUNCTION("""COMPUTED_VALUE"""),"Man")</f>
        <v>Man</v>
      </c>
      <c r="H402" s="6"/>
      <c r="I402" s="6"/>
      <c r="J402" s="6"/>
      <c r="K402" s="6"/>
      <c r="L402" s="6" t="str">
        <f ca="1">IFERROR(__xludf.DUMMYFUNCTION("""COMPUTED_VALUE"""),"--Please select--")</f>
        <v>--Please select--</v>
      </c>
      <c r="M402" s="6"/>
      <c r="N402" s="6"/>
      <c r="O402" s="6" t="str">
        <f ca="1">IFERROR(__xludf.DUMMYFUNCTION("""COMPUTED_VALUE"""),"Other")</f>
        <v>Other</v>
      </c>
      <c r="P402" s="6"/>
      <c r="Q402" s="6" t="str">
        <f ca="1">IFERROR(__xludf.DUMMYFUNCTION("""COMPUTED_VALUE"""),"No")</f>
        <v>No</v>
      </c>
      <c r="R402" s="6">
        <f ca="1">IFERROR(__xludf.DUMMYFUNCTION("""COMPUTED_VALUE"""),2)</f>
        <v>2</v>
      </c>
      <c r="S402" s="6" t="str">
        <f ca="1">IFERROR(__xludf.DUMMYFUNCTION("""COMPUTED_VALUE"""),"Grants")</f>
        <v>Grants</v>
      </c>
      <c r="T402" s="6" t="str">
        <f ca="1">IFERROR(__xludf.DUMMYFUNCTION("""COMPUTED_VALUE"""),"Grants")</f>
        <v>Grants</v>
      </c>
      <c r="U402" s="6" t="str">
        <f ca="1">IFERROR(__xludf.DUMMYFUNCTION("""COMPUTED_VALUE"""),"Grants")</f>
        <v>Grants</v>
      </c>
      <c r="V402" s="6"/>
      <c r="W402" s="6" t="str">
        <f ca="1">IFERROR(__xludf.DUMMYFUNCTION("""COMPUTED_VALUE"""),"Invite")</f>
        <v>Invite</v>
      </c>
    </row>
    <row r="403" spans="1:23">
      <c r="A403" s="6" t="str">
        <f ca="1">IFERROR(__xludf.DUMMYFUNCTION("""COMPUTED_VALUE"""),"Man, Man")</f>
        <v>Man, Man</v>
      </c>
      <c r="B403" s="6" t="str">
        <f ca="1">IFERROR(__xludf.DUMMYFUNCTION("""COMPUTED_VALUE"""),"Too-King Technology _2022")</f>
        <v>Too-King Technology _2022</v>
      </c>
      <c r="C403" s="6" t="str">
        <f ca="1">IFERROR(__xludf.DUMMYFUNCTION("""COMPUTED_VALUE"""),"Digital Tech")</f>
        <v>Digital Tech</v>
      </c>
      <c r="D403" s="6" t="str">
        <f ca="1">IFERROR(__xludf.DUMMYFUNCTION("""COMPUTED_VALUE"""),"Daqing, HEILONGJIANG 
China")</f>
        <v>Daqing, HEILONGJIANG 
China</v>
      </c>
      <c r="E403" s="6" t="str">
        <f ca="1">IFERROR(__xludf.DUMMYFUNCTION("""COMPUTED_VALUE"""),"International - Asia")</f>
        <v>International - Asia</v>
      </c>
      <c r="F403" s="6" t="str">
        <f ca="1">IFERROR(__xludf.DUMMYFUNCTION("""COMPUTED_VALUE"""),"Man")</f>
        <v>Man</v>
      </c>
      <c r="G403" s="6" t="str">
        <f ca="1">IFERROR(__xludf.DUMMYFUNCTION("""COMPUTED_VALUE"""),"Man")</f>
        <v>Man</v>
      </c>
      <c r="H403" s="6"/>
      <c r="I403" s="6"/>
      <c r="J403" s="6"/>
      <c r="K403" s="6"/>
      <c r="L403" s="6" t="str">
        <f ca="1">IFERROR(__xludf.DUMMYFUNCTION("""COMPUTED_VALUE"""),"Yes")</f>
        <v>Yes</v>
      </c>
      <c r="M403" s="6" t="str">
        <f ca="1">IFERROR(__xludf.DUMMYFUNCTION("""COMPUTED_VALUE"""),"NYU Student")</f>
        <v>NYU Student</v>
      </c>
      <c r="N403" s="6"/>
      <c r="O403" s="6" t="str">
        <f ca="1">IFERROR(__xludf.DUMMYFUNCTION("""COMPUTED_VALUE"""),"NYU Newsletter")</f>
        <v>NYU Newsletter</v>
      </c>
      <c r="P403" s="6"/>
      <c r="Q403" s="6" t="str">
        <f ca="1">IFERROR(__xludf.DUMMYFUNCTION("""COMPUTED_VALUE"""),"No")</f>
        <v>No</v>
      </c>
      <c r="R403" s="6">
        <f ca="1">IFERROR(__xludf.DUMMYFUNCTION("""COMPUTED_VALUE"""),2)</f>
        <v>2</v>
      </c>
      <c r="S403" s="6" t="str">
        <f ca="1">IFERROR(__xludf.DUMMYFUNCTION("""COMPUTED_VALUE"""),"None")</f>
        <v>None</v>
      </c>
      <c r="T403" s="6" t="str">
        <f ca="1">IFERROR(__xludf.DUMMYFUNCTION("""COMPUTED_VALUE"""),"None")</f>
        <v>None</v>
      </c>
      <c r="U403" s="6" t="str">
        <f ca="1">IFERROR(__xludf.DUMMYFUNCTION("""COMPUTED_VALUE"""),"None")</f>
        <v>None</v>
      </c>
      <c r="V403" s="6"/>
      <c r="W403" s="6" t="str">
        <f ca="1">IFERROR(__xludf.DUMMYFUNCTION("""COMPUTED_VALUE"""),"Invite Next Year")</f>
        <v>Invite Next Year</v>
      </c>
    </row>
    <row r="404" spans="1:23">
      <c r="A404" s="6" t="str">
        <f ca="1">IFERROR(__xludf.DUMMYFUNCTION("""COMPUTED_VALUE"""),"Man, Man, Man, Man")</f>
        <v>Man, Man, Man, Man</v>
      </c>
      <c r="B404" s="6" t="str">
        <f ca="1">IFERROR(__xludf.DUMMYFUNCTION("""COMPUTED_VALUE"""),"Helico Bio  _2022")</f>
        <v>Helico Bio  _2022</v>
      </c>
      <c r="C404" s="6" t="str">
        <f ca="1">IFERROR(__xludf.DUMMYFUNCTION("""COMPUTED_VALUE"""),"Deep Tech")</f>
        <v>Deep Tech</v>
      </c>
      <c r="D404" s="6" t="str">
        <f ca="1">IFERROR(__xludf.DUMMYFUNCTION("""COMPUTED_VALUE"""),"24 Balfour Road , Auckland  
New Zealand")</f>
        <v>24 Balfour Road , Auckland  
New Zealand</v>
      </c>
      <c r="E404" s="6" t="str">
        <f ca="1">IFERROR(__xludf.DUMMYFUNCTION("""COMPUTED_VALUE"""),"International - Other")</f>
        <v>International - Other</v>
      </c>
      <c r="F404" s="6" t="str">
        <f ca="1">IFERROR(__xludf.DUMMYFUNCTION("""COMPUTED_VALUE"""),"Man")</f>
        <v>Man</v>
      </c>
      <c r="G404" s="6" t="str">
        <f ca="1">IFERROR(__xludf.DUMMYFUNCTION("""COMPUTED_VALUE"""),"Man")</f>
        <v>Man</v>
      </c>
      <c r="H404" s="6" t="str">
        <f ca="1">IFERROR(__xludf.DUMMYFUNCTION("""COMPUTED_VALUE"""),"Man")</f>
        <v>Man</v>
      </c>
      <c r="I404" s="6" t="str">
        <f ca="1">IFERROR(__xludf.DUMMYFUNCTION("""COMPUTED_VALUE"""),"Man")</f>
        <v>Man</v>
      </c>
      <c r="J404" s="6"/>
      <c r="K404" s="6"/>
      <c r="L404" s="6" t="str">
        <f ca="1">IFERROR(__xludf.DUMMYFUNCTION("""COMPUTED_VALUE"""),"No")</f>
        <v>No</v>
      </c>
      <c r="M404" s="6"/>
      <c r="N404" s="6"/>
      <c r="O404" s="6" t="str">
        <f ca="1">IFERROR(__xludf.DUMMYFUNCTION("""COMPUTED_VALUE"""),"Referral")</f>
        <v>Referral</v>
      </c>
      <c r="P404" s="6"/>
      <c r="Q404" s="6" t="str">
        <f ca="1">IFERROR(__xludf.DUMMYFUNCTION("""COMPUTED_VALUE"""),"No")</f>
        <v>No</v>
      </c>
      <c r="R404" s="6">
        <f ca="1">IFERROR(__xludf.DUMMYFUNCTION("""COMPUTED_VALUE"""),4)</f>
        <v>4</v>
      </c>
      <c r="S404" s="6" t="str">
        <f ca="1">IFERROR(__xludf.DUMMYFUNCTION("""COMPUTED_VALUE"""),"Seed")</f>
        <v>Seed</v>
      </c>
      <c r="T404" s="6" t="str">
        <f ca="1">IFERROR(__xludf.DUMMYFUNCTION("""COMPUTED_VALUE"""),"Seed")</f>
        <v>Seed</v>
      </c>
      <c r="U404" s="6" t="str">
        <f ca="1">IFERROR(__xludf.DUMMYFUNCTION("""COMPUTED_VALUE"""),"Seed")</f>
        <v>Seed</v>
      </c>
      <c r="V404" s="6"/>
      <c r="W404" s="6" t="str">
        <f ca="1">IFERROR(__xludf.DUMMYFUNCTION("""COMPUTED_VALUE"""),"Revisit/ Cluster")</f>
        <v>Revisit/ Cluster</v>
      </c>
    </row>
    <row r="405" spans="1:23">
      <c r="A405" s="6" t="str">
        <f ca="1">IFERROR(__xludf.DUMMYFUNCTION("""COMPUTED_VALUE"""),"Man, Man")</f>
        <v>Man, Man</v>
      </c>
      <c r="B405" s="6" t="str">
        <f ca="1">IFERROR(__xludf.DUMMYFUNCTION("""COMPUTED_VALUE"""),"ZiO Health  _2022")</f>
        <v>ZiO Health  _2022</v>
      </c>
      <c r="C405" s="6" t="str">
        <f ca="1">IFERROR(__xludf.DUMMYFUNCTION("""COMPUTED_VALUE"""),"Deep Tech")</f>
        <v>Deep Tech</v>
      </c>
      <c r="D405" s="6" t="str">
        <f ca="1">IFERROR(__xludf.DUMMYFUNCTION("""COMPUTED_VALUE"""),"London, London 
United Kingdom")</f>
        <v>London, London 
United Kingdom</v>
      </c>
      <c r="E405" s="6" t="str">
        <f ca="1">IFERROR(__xludf.DUMMYFUNCTION("""COMPUTED_VALUE"""),"International - Europe")</f>
        <v>International - Europe</v>
      </c>
      <c r="F405" s="6" t="str">
        <f ca="1">IFERROR(__xludf.DUMMYFUNCTION("""COMPUTED_VALUE"""),"Man")</f>
        <v>Man</v>
      </c>
      <c r="G405" s="6" t="str">
        <f ca="1">IFERROR(__xludf.DUMMYFUNCTION("""COMPUTED_VALUE"""),"Man")</f>
        <v>Man</v>
      </c>
      <c r="H405" s="6"/>
      <c r="I405" s="6"/>
      <c r="J405" s="6"/>
      <c r="K405" s="6"/>
      <c r="L405" s="6" t="str">
        <f ca="1">IFERROR(__xludf.DUMMYFUNCTION("""COMPUTED_VALUE"""),"No")</f>
        <v>No</v>
      </c>
      <c r="M405" s="6"/>
      <c r="N405" s="6"/>
      <c r="O405" s="6" t="str">
        <f ca="1">IFERROR(__xludf.DUMMYFUNCTION("""COMPUTED_VALUE"""),"Email")</f>
        <v>Email</v>
      </c>
      <c r="P405" s="6"/>
      <c r="Q405" s="6" t="str">
        <f ca="1">IFERROR(__xludf.DUMMYFUNCTION("""COMPUTED_VALUE"""),"No")</f>
        <v>No</v>
      </c>
      <c r="R405" s="6">
        <f ca="1">IFERROR(__xludf.DUMMYFUNCTION("""COMPUTED_VALUE"""),2)</f>
        <v>2</v>
      </c>
      <c r="S405" s="6" t="str">
        <f ca="1">IFERROR(__xludf.DUMMYFUNCTION("""COMPUTED_VALUE"""),"Pre-seed
Seed")</f>
        <v>Pre-seed
Seed</v>
      </c>
      <c r="T405" s="6" t="str">
        <f ca="1">IFERROR(__xludf.DUMMYFUNCTION("""COMPUTED_VALUE"""),"Pre-seed, Seed")</f>
        <v>Pre-seed, Seed</v>
      </c>
      <c r="U405" s="6" t="str">
        <f ca="1">IFERROR(__xludf.DUMMYFUNCTION("""COMPUTED_VALUE"""),"Pre-seed, Seed")</f>
        <v>Pre-seed, Seed</v>
      </c>
      <c r="V405" s="6"/>
      <c r="W405" s="6" t="str">
        <f ca="1">IFERROR(__xludf.DUMMYFUNCTION("""COMPUTED_VALUE"""),"Revisit/ Cluster")</f>
        <v>Revisit/ Cluster</v>
      </c>
    </row>
    <row r="406" spans="1:23">
      <c r="A406" s="6" t="str">
        <f ca="1">IFERROR(__xludf.DUMMYFUNCTION("""COMPUTED_VALUE"""),"Man, Man")</f>
        <v>Man, Man</v>
      </c>
      <c r="B406" s="6" t="str">
        <f ca="1">IFERROR(__xludf.DUMMYFUNCTION("""COMPUTED_VALUE"""),"Mindeye Solutions Pvt Ltd _2022")</f>
        <v>Mindeye Solutions Pvt Ltd _2022</v>
      </c>
      <c r="C406" s="6" t="str">
        <f ca="1">IFERROR(__xludf.DUMMYFUNCTION("""COMPUTED_VALUE"""),"Digital Tech")</f>
        <v>Digital Tech</v>
      </c>
      <c r="D406" s="6" t="str">
        <f ca="1">IFERROR(__xludf.DUMMYFUNCTION("""COMPUTED_VALUE"""),"1601, Tower 10, M3M Merlin, Sector 67, Gurgaon Gurgaon HR 122101 IN , Haryana 
India")</f>
        <v>1601, Tower 10, M3M Merlin, Sector 67, Gurgaon Gurgaon HR 122101 IN , Haryana 
India</v>
      </c>
      <c r="E406" s="6" t="str">
        <f ca="1">IFERROR(__xludf.DUMMYFUNCTION("""COMPUTED_VALUE"""),"International - Asia")</f>
        <v>International - Asia</v>
      </c>
      <c r="F406" s="6" t="str">
        <f ca="1">IFERROR(__xludf.DUMMYFUNCTION("""COMPUTED_VALUE"""),"Man")</f>
        <v>Man</v>
      </c>
      <c r="G406" s="6" t="str">
        <f ca="1">IFERROR(__xludf.DUMMYFUNCTION("""COMPUTED_VALUE"""),"Man")</f>
        <v>Man</v>
      </c>
      <c r="H406" s="6"/>
      <c r="I406" s="6"/>
      <c r="J406" s="6"/>
      <c r="K406" s="6"/>
      <c r="L406" s="6" t="str">
        <f ca="1">IFERROR(__xludf.DUMMYFUNCTION("""COMPUTED_VALUE"""),"No")</f>
        <v>No</v>
      </c>
      <c r="M406" s="6"/>
      <c r="N406" s="6"/>
      <c r="O406" s="6" t="str">
        <f ca="1">IFERROR(__xludf.DUMMYFUNCTION("""COMPUTED_VALUE"""),"Email")</f>
        <v>Email</v>
      </c>
      <c r="P406" s="6"/>
      <c r="Q406" s="6" t="str">
        <f ca="1">IFERROR(__xludf.DUMMYFUNCTION("""COMPUTED_VALUE"""),"No")</f>
        <v>No</v>
      </c>
      <c r="R406" s="6">
        <f ca="1">IFERROR(__xludf.DUMMYFUNCTION("""COMPUTED_VALUE"""),2)</f>
        <v>2</v>
      </c>
      <c r="S406" s="6" t="str">
        <f ca="1">IFERROR(__xludf.DUMMYFUNCTION("""COMPUTED_VALUE"""),"Pre-seed")</f>
        <v>Pre-seed</v>
      </c>
      <c r="T406" s="6" t="str">
        <f ca="1">IFERROR(__xludf.DUMMYFUNCTION("""COMPUTED_VALUE"""),"Pre-seed")</f>
        <v>Pre-seed</v>
      </c>
      <c r="U406" s="6" t="str">
        <f ca="1">IFERROR(__xludf.DUMMYFUNCTION("""COMPUTED_VALUE"""),"Pre-seed")</f>
        <v>Pre-seed</v>
      </c>
      <c r="V406" s="6"/>
      <c r="W406" s="6" t="str">
        <f ca="1">IFERROR(__xludf.DUMMYFUNCTION("""COMPUTED_VALUE"""),"Invite Next Year")</f>
        <v>Invite Next Year</v>
      </c>
    </row>
    <row r="407" spans="1:23">
      <c r="A407" s="6" t="str">
        <f ca="1">IFERROR(__xludf.DUMMYFUNCTION("""COMPUTED_VALUE"""),"Man, Man")</f>
        <v>Man, Man</v>
      </c>
      <c r="B407" s="6" t="str">
        <f ca="1">IFERROR(__xludf.DUMMYFUNCTION("""COMPUTED_VALUE"""),"Confidencial, Inc. _2022")</f>
        <v>Confidencial, Inc. _2022</v>
      </c>
      <c r="C407" s="6" t="str">
        <f ca="1">IFERROR(__xludf.DUMMYFUNCTION("""COMPUTED_VALUE"""),"Digital Tech")</f>
        <v>Digital Tech</v>
      </c>
      <c r="D407" s="6" t="str">
        <f ca="1">IFERROR(__xludf.DUMMYFUNCTION("""COMPUTED_VALUE"""),"333 Ravenswood Avenue, CA 
United States")</f>
        <v>333 Ravenswood Avenue, CA 
United States</v>
      </c>
      <c r="E407" s="6" t="str">
        <f ca="1">IFERROR(__xludf.DUMMYFUNCTION("""COMPUTED_VALUE"""),"West Coast")</f>
        <v>West Coast</v>
      </c>
      <c r="F407" s="6" t="str">
        <f ca="1">IFERROR(__xludf.DUMMYFUNCTION("""COMPUTED_VALUE"""),"Man")</f>
        <v>Man</v>
      </c>
      <c r="G407" s="6" t="str">
        <f ca="1">IFERROR(__xludf.DUMMYFUNCTION("""COMPUTED_VALUE"""),"Man")</f>
        <v>Man</v>
      </c>
      <c r="H407" s="6"/>
      <c r="I407" s="6"/>
      <c r="J407" s="6"/>
      <c r="K407" s="6"/>
      <c r="L407" s="6" t="str">
        <f ca="1">IFERROR(__xludf.DUMMYFUNCTION("""COMPUTED_VALUE"""),"No")</f>
        <v>No</v>
      </c>
      <c r="M407" s="6"/>
      <c r="N407" s="6"/>
      <c r="O407" s="6" t="str">
        <f ca="1">IFERROR(__xludf.DUMMYFUNCTION("""COMPUTED_VALUE"""),"Email")</f>
        <v>Email</v>
      </c>
      <c r="P407" s="6"/>
      <c r="Q407" s="6" t="str">
        <f ca="1">IFERROR(__xludf.DUMMYFUNCTION("""COMPUTED_VALUE"""),"No")</f>
        <v>No</v>
      </c>
      <c r="R407" s="6">
        <f ca="1">IFERROR(__xludf.DUMMYFUNCTION("""COMPUTED_VALUE"""),2)</f>
        <v>2</v>
      </c>
      <c r="S407" s="6" t="str">
        <f ca="1">IFERROR(__xludf.DUMMYFUNCTION("""COMPUTED_VALUE"""),"Pre-seed
Seed
Grants")</f>
        <v>Pre-seed
Seed
Grants</v>
      </c>
      <c r="T407" s="6" t="str">
        <f ca="1">IFERROR(__xludf.DUMMYFUNCTION("""COMPUTED_VALUE"""),"Pre-seed, Seed, Grants")</f>
        <v>Pre-seed, Seed, Grants</v>
      </c>
      <c r="U407" s="6" t="str">
        <f ca="1">IFERROR(__xludf.DUMMYFUNCTION("""COMPUTED_VALUE"""),"Pre-seed, Seed, Grants")</f>
        <v>Pre-seed, Seed, Grants</v>
      </c>
      <c r="V407" s="6"/>
      <c r="W407" s="6" t="str">
        <f ca="1">IFERROR(__xludf.DUMMYFUNCTION("""COMPUTED_VALUE"""),"Invite Next Year")</f>
        <v>Invite Next Year</v>
      </c>
    </row>
    <row r="408" spans="1:23">
      <c r="A408" s="6" t="str">
        <f ca="1">IFERROR(__xludf.DUMMYFUNCTION("""COMPUTED_VALUE"""),"Man, Man, Man")</f>
        <v>Man, Man, Man</v>
      </c>
      <c r="B408" s="6" t="str">
        <f ca="1">IFERROR(__xludf.DUMMYFUNCTION("""COMPUTED_VALUE"""),"Preteckt Inc _2022")</f>
        <v>Preteckt Inc _2022</v>
      </c>
      <c r="C408" s="6" t="str">
        <f ca="1">IFERROR(__xludf.DUMMYFUNCTION("""COMPUTED_VALUE"""),"Digital Tech")</f>
        <v>Digital Tech</v>
      </c>
      <c r="D408" s="6" t="str">
        <f ca="1">IFERROR(__xludf.DUMMYFUNCTION("""COMPUTED_VALUE"""),"Memphis, TN 
United States")</f>
        <v>Memphis, TN 
United States</v>
      </c>
      <c r="E408" s="6" t="str">
        <f ca="1">IFERROR(__xludf.DUMMYFUNCTION("""COMPUTED_VALUE"""),"South")</f>
        <v>South</v>
      </c>
      <c r="F408" s="6" t="str">
        <f ca="1">IFERROR(__xludf.DUMMYFUNCTION("""COMPUTED_VALUE"""),"Man")</f>
        <v>Man</v>
      </c>
      <c r="G408" s="6" t="str">
        <f ca="1">IFERROR(__xludf.DUMMYFUNCTION("""COMPUTED_VALUE"""),"Man")</f>
        <v>Man</v>
      </c>
      <c r="H408" s="6" t="str">
        <f ca="1">IFERROR(__xludf.DUMMYFUNCTION("""COMPUTED_VALUE"""),"Man")</f>
        <v>Man</v>
      </c>
      <c r="I408" s="6"/>
      <c r="J408" s="6"/>
      <c r="K408" s="6"/>
      <c r="L408" s="6" t="str">
        <f ca="1">IFERROR(__xludf.DUMMYFUNCTION("""COMPUTED_VALUE"""),"No")</f>
        <v>No</v>
      </c>
      <c r="M408" s="6"/>
      <c r="N408" s="6"/>
      <c r="O408" s="6" t="str">
        <f ca="1">IFERROR(__xludf.DUMMYFUNCTION("""COMPUTED_VALUE"""),"Email")</f>
        <v>Email</v>
      </c>
      <c r="P408" s="6"/>
      <c r="Q408" s="6" t="str">
        <f ca="1">IFERROR(__xludf.DUMMYFUNCTION("""COMPUTED_VALUE"""),"No")</f>
        <v>No</v>
      </c>
      <c r="R408" s="6">
        <f ca="1">IFERROR(__xludf.DUMMYFUNCTION("""COMPUTED_VALUE"""),3)</f>
        <v>3</v>
      </c>
      <c r="S408" s="6" t="str">
        <f ca="1">IFERROR(__xludf.DUMMYFUNCTION("""COMPUTED_VALUE"""),"Seed
Grants")</f>
        <v>Seed
Grants</v>
      </c>
      <c r="T408" s="6" t="str">
        <f ca="1">IFERROR(__xludf.DUMMYFUNCTION("""COMPUTED_VALUE"""),"Seed, Grants")</f>
        <v>Seed, Grants</v>
      </c>
      <c r="U408" s="6" t="str">
        <f ca="1">IFERROR(__xludf.DUMMYFUNCTION("""COMPUTED_VALUE"""),"Seed, Grants")</f>
        <v>Seed, Grants</v>
      </c>
      <c r="V408" s="6"/>
      <c r="W408" s="6" t="str">
        <f ca="1">IFERROR(__xludf.DUMMYFUNCTION("""COMPUTED_VALUE"""),"Invite")</f>
        <v>Invite</v>
      </c>
    </row>
    <row r="409" spans="1:23">
      <c r="A409" s="6" t="str">
        <f ca="1">IFERROR(__xludf.DUMMYFUNCTION("""COMPUTED_VALUE"""),"Man, Man")</f>
        <v>Man, Man</v>
      </c>
      <c r="B409" s="6" t="str">
        <f ca="1">IFERROR(__xludf.DUMMYFUNCTION("""COMPUTED_VALUE"""),"Adroit Surgical _2022")</f>
        <v>Adroit Surgical _2022</v>
      </c>
      <c r="C409" s="6" t="str">
        <f ca="1">IFERROR(__xludf.DUMMYFUNCTION("""COMPUTED_VALUE"""),"Life Sciences")</f>
        <v>Life Sciences</v>
      </c>
      <c r="D409" s="6" t="str">
        <f ca="1">IFERROR(__xludf.DUMMYFUNCTION("""COMPUTED_VALUE"""),"113904 Quailbrook Drive Oklahoma City, OK 73134, OK 
United States")</f>
        <v>113904 Quailbrook Drive Oklahoma City, OK 73134, OK 
United States</v>
      </c>
      <c r="E409" s="6" t="str">
        <f ca="1">IFERROR(__xludf.DUMMYFUNCTION("""COMPUTED_VALUE"""),"South")</f>
        <v>South</v>
      </c>
      <c r="F409" s="6" t="str">
        <f ca="1">IFERROR(__xludf.DUMMYFUNCTION("""COMPUTED_VALUE"""),"Man")</f>
        <v>Man</v>
      </c>
      <c r="G409" s="6" t="str">
        <f ca="1">IFERROR(__xludf.DUMMYFUNCTION("""COMPUTED_VALUE"""),"Man")</f>
        <v>Man</v>
      </c>
      <c r="H409" s="6"/>
      <c r="I409" s="6"/>
      <c r="J409" s="6"/>
      <c r="K409" s="6"/>
      <c r="L409" s="6" t="str">
        <f ca="1">IFERROR(__xludf.DUMMYFUNCTION("""COMPUTED_VALUE"""),"No")</f>
        <v>No</v>
      </c>
      <c r="M409" s="6"/>
      <c r="N409" s="6"/>
      <c r="O409" s="6" t="str">
        <f ca="1">IFERROR(__xludf.DUMMYFUNCTION("""COMPUTED_VALUE"""),"Other")</f>
        <v>Other</v>
      </c>
      <c r="P409" s="6"/>
      <c r="Q409" s="6" t="str">
        <f ca="1">IFERROR(__xludf.DUMMYFUNCTION("""COMPUTED_VALUE"""),"No")</f>
        <v>No</v>
      </c>
      <c r="R409" s="6">
        <f ca="1">IFERROR(__xludf.DUMMYFUNCTION("""COMPUTED_VALUE"""),2)</f>
        <v>2</v>
      </c>
      <c r="S409" s="6" t="str">
        <f ca="1">IFERROR(__xludf.DUMMYFUNCTION("""COMPUTED_VALUE"""),"Pre-seed
Seed")</f>
        <v>Pre-seed
Seed</v>
      </c>
      <c r="T409" s="6" t="str">
        <f ca="1">IFERROR(__xludf.DUMMYFUNCTION("""COMPUTED_VALUE"""),"Pre-seed, Seed")</f>
        <v>Pre-seed, Seed</v>
      </c>
      <c r="U409" s="6" t="str">
        <f ca="1">IFERROR(__xludf.DUMMYFUNCTION("""COMPUTED_VALUE"""),"Pre-seed, Seed")</f>
        <v>Pre-seed, Seed</v>
      </c>
      <c r="V409" s="6"/>
      <c r="W409" s="6" t="str">
        <f ca="1">IFERROR(__xludf.DUMMYFUNCTION("""COMPUTED_VALUE"""),"Invite Next Year")</f>
        <v>Invite Next Year</v>
      </c>
    </row>
    <row r="410" spans="1:23">
      <c r="A410" s="6" t="str">
        <f ca="1">IFERROR(__xludf.DUMMYFUNCTION("""COMPUTED_VALUE"""),"Woman, Man, Man")</f>
        <v>Woman, Man, Man</v>
      </c>
      <c r="B410" s="6" t="str">
        <f ca="1">IFERROR(__xludf.DUMMYFUNCTION("""COMPUTED_VALUE"""),"Metanovas Biotech _2022")</f>
        <v>Metanovas Biotech _2022</v>
      </c>
      <c r="C410" s="6" t="str">
        <f ca="1">IFERROR(__xludf.DUMMYFUNCTION("""COMPUTED_VALUE"""),"Life Sciences")</f>
        <v>Life Sciences</v>
      </c>
      <c r="D410" s="6" t="str">
        <f ca="1">IFERROR(__xludf.DUMMYFUNCTION("""COMPUTED_VALUE"""),"407 Cutter Ln, California 
United States")</f>
        <v>407 Cutter Ln, California 
United States</v>
      </c>
      <c r="E410" s="6" t="str">
        <f ca="1">IFERROR(__xludf.DUMMYFUNCTION("""COMPUTED_VALUE"""),"West Coast")</f>
        <v>West Coast</v>
      </c>
      <c r="F410" s="6" t="str">
        <f ca="1">IFERROR(__xludf.DUMMYFUNCTION("""COMPUTED_VALUE"""),"Woman")</f>
        <v>Woman</v>
      </c>
      <c r="G410" s="6" t="str">
        <f ca="1">IFERROR(__xludf.DUMMYFUNCTION("""COMPUTED_VALUE"""),"Man")</f>
        <v>Man</v>
      </c>
      <c r="H410" s="6" t="str">
        <f ca="1">IFERROR(__xludf.DUMMYFUNCTION("""COMPUTED_VALUE"""),"Man")</f>
        <v>Man</v>
      </c>
      <c r="I410" s="6"/>
      <c r="J410" s="6"/>
      <c r="K410" s="6"/>
      <c r="L410" s="6" t="str">
        <f ca="1">IFERROR(__xludf.DUMMYFUNCTION("""COMPUTED_VALUE"""),"No")</f>
        <v>No</v>
      </c>
      <c r="M410" s="6"/>
      <c r="N410" s="6"/>
      <c r="O410" s="6" t="str">
        <f ca="1">IFERROR(__xludf.DUMMYFUNCTION("""COMPUTED_VALUE"""),"Email")</f>
        <v>Email</v>
      </c>
      <c r="P410" s="6"/>
      <c r="Q410" s="6" t="str">
        <f ca="1">IFERROR(__xludf.DUMMYFUNCTION("""COMPUTED_VALUE"""),"No")</f>
        <v>No</v>
      </c>
      <c r="R410" s="6">
        <f ca="1">IFERROR(__xludf.DUMMYFUNCTION("""COMPUTED_VALUE"""),3)</f>
        <v>3</v>
      </c>
      <c r="S410" s="6" t="str">
        <f ca="1">IFERROR(__xludf.DUMMYFUNCTION("""COMPUTED_VALUE"""),"Pre-seed
Seed")</f>
        <v>Pre-seed
Seed</v>
      </c>
      <c r="T410" s="6" t="str">
        <f ca="1">IFERROR(__xludf.DUMMYFUNCTION("""COMPUTED_VALUE"""),"Pre-seed, Seed")</f>
        <v>Pre-seed, Seed</v>
      </c>
      <c r="U410" s="6" t="str">
        <f ca="1">IFERROR(__xludf.DUMMYFUNCTION("""COMPUTED_VALUE"""),"Pre-seed, Seed")</f>
        <v>Pre-seed, Seed</v>
      </c>
      <c r="V410" s="6"/>
      <c r="W410" s="6" t="str">
        <f ca="1">IFERROR(__xludf.DUMMYFUNCTION("""COMPUTED_VALUE"""),"Invite Next Year")</f>
        <v>Invite Next Year</v>
      </c>
    </row>
    <row r="411" spans="1:23">
      <c r="A411" s="6" t="str">
        <f ca="1">IFERROR(__xludf.DUMMYFUNCTION("""COMPUTED_VALUE"""),"Man, Man")</f>
        <v>Man, Man</v>
      </c>
      <c r="B411" s="6" t="str">
        <f ca="1">IFERROR(__xludf.DUMMYFUNCTION("""COMPUTED_VALUE"""),"NemaGen Discoveries, INC _2022")</f>
        <v>NemaGen Discoveries, INC _2022</v>
      </c>
      <c r="C411" s="6" t="str">
        <f ca="1">IFERROR(__xludf.DUMMYFUNCTION("""COMPUTED_VALUE"""),"Life Sciences")</f>
        <v>Life Sciences</v>
      </c>
      <c r="D411" s="6" t="str">
        <f ca="1">IFERROR(__xludf.DUMMYFUNCTION("""COMPUTED_VALUE"""),"155 Village Blvd. #130, Princeton, New Jersey 
United States")</f>
        <v>155 Village Blvd. #130, Princeton, New Jersey 
United States</v>
      </c>
      <c r="E411" s="6" t="str">
        <f ca="1">IFERROR(__xludf.DUMMYFUNCTION("""COMPUTED_VALUE"""),"East Coast")</f>
        <v>East Coast</v>
      </c>
      <c r="F411" s="6" t="str">
        <f ca="1">IFERROR(__xludf.DUMMYFUNCTION("""COMPUTED_VALUE"""),"Man")</f>
        <v>Man</v>
      </c>
      <c r="G411" s="6" t="str">
        <f ca="1">IFERROR(__xludf.DUMMYFUNCTION("""COMPUTED_VALUE"""),"Man")</f>
        <v>Man</v>
      </c>
      <c r="H411" s="6"/>
      <c r="I411" s="6"/>
      <c r="J411" s="6"/>
      <c r="K411" s="6"/>
      <c r="L411" s="6" t="str">
        <f ca="1">IFERROR(__xludf.DUMMYFUNCTION("""COMPUTED_VALUE"""),"No")</f>
        <v>No</v>
      </c>
      <c r="M411" s="6"/>
      <c r="N411" s="6"/>
      <c r="O411" s="6" t="str">
        <f ca="1">IFERROR(__xludf.DUMMYFUNCTION("""COMPUTED_VALUE"""),"Referral")</f>
        <v>Referral</v>
      </c>
      <c r="P411" s="6"/>
      <c r="Q411" s="6" t="str">
        <f ca="1">IFERROR(__xludf.DUMMYFUNCTION("""COMPUTED_VALUE"""),"Yes")</f>
        <v>Yes</v>
      </c>
      <c r="R411" s="6">
        <f ca="1">IFERROR(__xludf.DUMMYFUNCTION("""COMPUTED_VALUE"""),2)</f>
        <v>2</v>
      </c>
      <c r="S411" s="6" t="str">
        <f ca="1">IFERROR(__xludf.DUMMYFUNCTION("""COMPUTED_VALUE"""),"Seed
Grants")</f>
        <v>Seed
Grants</v>
      </c>
      <c r="T411" s="6" t="str">
        <f ca="1">IFERROR(__xludf.DUMMYFUNCTION("""COMPUTED_VALUE"""),"Seed, Grants")</f>
        <v>Seed, Grants</v>
      </c>
      <c r="U411" s="6" t="str">
        <f ca="1">IFERROR(__xludf.DUMMYFUNCTION("""COMPUTED_VALUE"""),"Seed, Grants")</f>
        <v>Seed, Grants</v>
      </c>
      <c r="V411" s="6"/>
      <c r="W411" s="6" t="str">
        <f ca="1">IFERROR(__xludf.DUMMYFUNCTION("""COMPUTED_VALUE"""),"Revisit/ Cluster")</f>
        <v>Revisit/ Cluster</v>
      </c>
    </row>
    <row r="412" spans="1:23">
      <c r="A412" s="6" t="str">
        <f ca="1">IFERROR(__xludf.DUMMYFUNCTION("""COMPUTED_VALUE"""),"Man, Man, Man")</f>
        <v>Man, Man, Man</v>
      </c>
      <c r="B412" s="6" t="str">
        <f ca="1">IFERROR(__xludf.DUMMYFUNCTION("""COMPUTED_VALUE"""),"BLUEWAVE Technologies _2022")</f>
        <v>BLUEWAVE Technologies _2022</v>
      </c>
      <c r="C412" s="6" t="str">
        <f ca="1">IFERROR(__xludf.DUMMYFUNCTION("""COMPUTED_VALUE"""),"Life Sciences")</f>
        <v>Life Sciences</v>
      </c>
      <c r="D412" s="6" t="str">
        <f ca="1">IFERROR(__xludf.DUMMYFUNCTION("""COMPUTED_VALUE"""),"New York, NY 
United States")</f>
        <v>New York, NY 
United States</v>
      </c>
      <c r="E412" s="6" t="str">
        <f ca="1">IFERROR(__xludf.DUMMYFUNCTION("""COMPUTED_VALUE"""),"New York")</f>
        <v>New York</v>
      </c>
      <c r="F412" s="6" t="str">
        <f ca="1">IFERROR(__xludf.DUMMYFUNCTION("""COMPUTED_VALUE"""),"Man")</f>
        <v>Man</v>
      </c>
      <c r="G412" s="6" t="str">
        <f ca="1">IFERROR(__xludf.DUMMYFUNCTION("""COMPUTED_VALUE"""),"Man")</f>
        <v>Man</v>
      </c>
      <c r="H412" s="6" t="str">
        <f ca="1">IFERROR(__xludf.DUMMYFUNCTION("""COMPUTED_VALUE"""),"Man")</f>
        <v>Man</v>
      </c>
      <c r="I412" s="6"/>
      <c r="J412" s="6"/>
      <c r="K412" s="6"/>
      <c r="L412" s="6" t="str">
        <f ca="1">IFERROR(__xludf.DUMMYFUNCTION("""COMPUTED_VALUE"""),"Yes")</f>
        <v>Yes</v>
      </c>
      <c r="M412" s="6" t="str">
        <f ca="1">IFERROR(__xludf.DUMMYFUNCTION("""COMPUTED_VALUE"""),"NYU Faculty")</f>
        <v>NYU Faculty</v>
      </c>
      <c r="N412" s="6"/>
      <c r="O412" s="6" t="str">
        <f ca="1">IFERROR(__xludf.DUMMYFUNCTION("""COMPUTED_VALUE"""),"Email")</f>
        <v>Email</v>
      </c>
      <c r="P412" s="6"/>
      <c r="Q412" s="6" t="str">
        <f ca="1">IFERROR(__xludf.DUMMYFUNCTION("""COMPUTED_VALUE"""),"No")</f>
        <v>No</v>
      </c>
      <c r="R412" s="6">
        <f ca="1">IFERROR(__xludf.DUMMYFUNCTION("""COMPUTED_VALUE"""),3)</f>
        <v>3</v>
      </c>
      <c r="S412" s="6" t="str">
        <f ca="1">IFERROR(__xludf.DUMMYFUNCTION("""COMPUTED_VALUE"""),"Pre-seed
Seed")</f>
        <v>Pre-seed
Seed</v>
      </c>
      <c r="T412" s="6" t="str">
        <f ca="1">IFERROR(__xludf.DUMMYFUNCTION("""COMPUTED_VALUE"""),"Pre-seed, Seed")</f>
        <v>Pre-seed, Seed</v>
      </c>
      <c r="U412" s="6" t="str">
        <f ca="1">IFERROR(__xludf.DUMMYFUNCTION("""COMPUTED_VALUE"""),"Pre-seed, Seed")</f>
        <v>Pre-seed, Seed</v>
      </c>
      <c r="V412" s="6"/>
      <c r="W412" s="6" t="str">
        <f ca="1">IFERROR(__xludf.DUMMYFUNCTION("""COMPUTED_VALUE"""),"Invite Next Year")</f>
        <v>Invite Next Year</v>
      </c>
    </row>
    <row r="413" spans="1:23">
      <c r="A413" s="6" t="str">
        <f ca="1">IFERROR(__xludf.DUMMYFUNCTION("""COMPUTED_VALUE"""),"Man, Man")</f>
        <v>Man, Man</v>
      </c>
      <c r="B413" s="6" t="str">
        <f ca="1">IFERROR(__xludf.DUMMYFUNCTION("""COMPUTED_VALUE"""),"ONEKEY GmbH _2022")</f>
        <v>ONEKEY GmbH _2022</v>
      </c>
      <c r="C413" s="6" t="str">
        <f ca="1">IFERROR(__xludf.DUMMYFUNCTION("""COMPUTED_VALUE"""),"Digital Tech")</f>
        <v>Digital Tech</v>
      </c>
      <c r="D413" s="6" t="str">
        <f ca="1">IFERROR(__xludf.DUMMYFUNCTION("""COMPUTED_VALUE"""),"Dusseldorf, NRW 
Germany")</f>
        <v>Dusseldorf, NRW 
Germany</v>
      </c>
      <c r="E413" s="6" t="str">
        <f ca="1">IFERROR(__xludf.DUMMYFUNCTION("""COMPUTED_VALUE"""),"International - Europe")</f>
        <v>International - Europe</v>
      </c>
      <c r="F413" s="6" t="str">
        <f ca="1">IFERROR(__xludf.DUMMYFUNCTION("""COMPUTED_VALUE"""),"Man")</f>
        <v>Man</v>
      </c>
      <c r="G413" s="6" t="str">
        <f ca="1">IFERROR(__xludf.DUMMYFUNCTION("""COMPUTED_VALUE"""),"Man")</f>
        <v>Man</v>
      </c>
      <c r="H413" s="6"/>
      <c r="I413" s="6"/>
      <c r="J413" s="6"/>
      <c r="K413" s="6"/>
      <c r="L413" s="6" t="str">
        <f ca="1">IFERROR(__xludf.DUMMYFUNCTION("""COMPUTED_VALUE"""),"No")</f>
        <v>No</v>
      </c>
      <c r="M413" s="6"/>
      <c r="N413" s="6"/>
      <c r="O413" s="6" t="str">
        <f ca="1">IFERROR(__xludf.DUMMYFUNCTION("""COMPUTED_VALUE"""),"Email")</f>
        <v>Email</v>
      </c>
      <c r="P413" s="6"/>
      <c r="Q413" s="6" t="str">
        <f ca="1">IFERROR(__xludf.DUMMYFUNCTION("""COMPUTED_VALUE"""),"No")</f>
        <v>No</v>
      </c>
      <c r="R413" s="6">
        <f ca="1">IFERROR(__xludf.DUMMYFUNCTION("""COMPUTED_VALUE"""),2)</f>
        <v>2</v>
      </c>
      <c r="S413" s="6" t="str">
        <f ca="1">IFERROR(__xludf.DUMMYFUNCTION("""COMPUTED_VALUE"""),"Pre-seed
Seed")</f>
        <v>Pre-seed
Seed</v>
      </c>
      <c r="T413" s="6" t="str">
        <f ca="1">IFERROR(__xludf.DUMMYFUNCTION("""COMPUTED_VALUE"""),"Pre-seed, Seed")</f>
        <v>Pre-seed, Seed</v>
      </c>
      <c r="U413" s="6" t="str">
        <f ca="1">IFERROR(__xludf.DUMMYFUNCTION("""COMPUTED_VALUE"""),"Pre-seed, Seed")</f>
        <v>Pre-seed, Seed</v>
      </c>
      <c r="V413" s="6"/>
      <c r="W413" s="6" t="str">
        <f ca="1">IFERROR(__xludf.DUMMYFUNCTION("""COMPUTED_VALUE"""),"Invite")</f>
        <v>Invite</v>
      </c>
    </row>
    <row r="414" spans="1:23">
      <c r="A414" s="6" t="str">
        <f ca="1">IFERROR(__xludf.DUMMYFUNCTION("""COMPUTED_VALUE"""),"Man, Man, Man")</f>
        <v>Man, Man, Man</v>
      </c>
      <c r="B414" s="6" t="str">
        <f ca="1">IFERROR(__xludf.DUMMYFUNCTION("""COMPUTED_VALUE"""),"GrowSquares _2022")</f>
        <v>GrowSquares _2022</v>
      </c>
      <c r="C414" s="6" t="str">
        <f ca="1">IFERROR(__xludf.DUMMYFUNCTION("""COMPUTED_VALUE"""),"Digital Tech")</f>
        <v>Digital Tech</v>
      </c>
      <c r="D414" s="6" t="str">
        <f ca="1">IFERROR(__xludf.DUMMYFUNCTION("""COMPUTED_VALUE"""),"Brooklyn, NY 
United States")</f>
        <v>Brooklyn, NY 
United States</v>
      </c>
      <c r="E414" s="6" t="str">
        <f ca="1">IFERROR(__xludf.DUMMYFUNCTION("""COMPUTED_VALUE"""),"New York")</f>
        <v>New York</v>
      </c>
      <c r="F414" s="6" t="str">
        <f ca="1">IFERROR(__xludf.DUMMYFUNCTION("""COMPUTED_VALUE"""),"Man")</f>
        <v>Man</v>
      </c>
      <c r="G414" s="6" t="str">
        <f ca="1">IFERROR(__xludf.DUMMYFUNCTION("""COMPUTED_VALUE"""),"Man")</f>
        <v>Man</v>
      </c>
      <c r="H414" s="6" t="str">
        <f ca="1">IFERROR(__xludf.DUMMYFUNCTION("""COMPUTED_VALUE"""),"Man")</f>
        <v>Man</v>
      </c>
      <c r="I414" s="6"/>
      <c r="J414" s="6"/>
      <c r="K414" s="6"/>
      <c r="L414" s="6" t="str">
        <f ca="1">IFERROR(__xludf.DUMMYFUNCTION("""COMPUTED_VALUE"""),"No")</f>
        <v>No</v>
      </c>
      <c r="M414" s="6"/>
      <c r="N414" s="6"/>
      <c r="O414" s="6" t="str">
        <f ca="1">IFERROR(__xludf.DUMMYFUNCTION("""COMPUTED_VALUE"""),"NYU Newsletter")</f>
        <v>NYU Newsletter</v>
      </c>
      <c r="P414" s="6"/>
      <c r="Q414" s="6" t="str">
        <f ca="1">IFERROR(__xludf.DUMMYFUNCTION("""COMPUTED_VALUE"""),"Yes")</f>
        <v>Yes</v>
      </c>
      <c r="R414" s="6">
        <f ca="1">IFERROR(__xludf.DUMMYFUNCTION("""COMPUTED_VALUE"""),3)</f>
        <v>3</v>
      </c>
      <c r="S414" s="6" t="str">
        <f ca="1">IFERROR(__xludf.DUMMYFUNCTION("""COMPUTED_VALUE"""),"Pre-seed")</f>
        <v>Pre-seed</v>
      </c>
      <c r="T414" s="6" t="str">
        <f ca="1">IFERROR(__xludf.DUMMYFUNCTION("""COMPUTED_VALUE"""),"Pre-seed")</f>
        <v>Pre-seed</v>
      </c>
      <c r="U414" s="6" t="str">
        <f ca="1">IFERROR(__xludf.DUMMYFUNCTION("""COMPUTED_VALUE"""),"Pre-seed")</f>
        <v>Pre-seed</v>
      </c>
      <c r="V414" s="6"/>
      <c r="W414" s="6" t="str">
        <f ca="1">IFERROR(__xludf.DUMMYFUNCTION("""COMPUTED_VALUE"""),"Invite Next Year")</f>
        <v>Invite Next Year</v>
      </c>
    </row>
    <row r="415" spans="1:23">
      <c r="A415" s="6" t="str">
        <f ca="1">IFERROR(__xludf.DUMMYFUNCTION("""COMPUTED_VALUE"""),"Man, Woman, Man")</f>
        <v>Man, Woman, Man</v>
      </c>
      <c r="B415" s="6" t="str">
        <f ca="1">IFERROR(__xludf.DUMMYFUNCTION("""COMPUTED_VALUE"""),"Melior AI, Inc. _2022")</f>
        <v>Melior AI, Inc. _2022</v>
      </c>
      <c r="C415" s="6" t="str">
        <f ca="1">IFERROR(__xludf.DUMMYFUNCTION("""COMPUTED_VALUE"""),"Digital Tech")</f>
        <v>Digital Tech</v>
      </c>
      <c r="D415" s="6" t="str">
        <f ca="1">IFERROR(__xludf.DUMMYFUNCTION("""COMPUTED_VALUE"""),"London (Bushey), WD23 2AR 
United Kingdom")</f>
        <v>London (Bushey), WD23 2AR 
United Kingdom</v>
      </c>
      <c r="E415" s="6" t="str">
        <f ca="1">IFERROR(__xludf.DUMMYFUNCTION("""COMPUTED_VALUE"""),"International - Europe")</f>
        <v>International - Europe</v>
      </c>
      <c r="F415" s="6" t="str">
        <f ca="1">IFERROR(__xludf.DUMMYFUNCTION("""COMPUTED_VALUE"""),"Man")</f>
        <v>Man</v>
      </c>
      <c r="G415" s="6" t="str">
        <f ca="1">IFERROR(__xludf.DUMMYFUNCTION("""COMPUTED_VALUE"""),"Woman")</f>
        <v>Woman</v>
      </c>
      <c r="H415" s="6" t="str">
        <f ca="1">IFERROR(__xludf.DUMMYFUNCTION("""COMPUTED_VALUE"""),"Man")</f>
        <v>Man</v>
      </c>
      <c r="I415" s="6"/>
      <c r="J415" s="6"/>
      <c r="K415" s="6"/>
      <c r="L415" s="6" t="str">
        <f ca="1">IFERROR(__xludf.DUMMYFUNCTION("""COMPUTED_VALUE"""),"--Please select--")</f>
        <v>--Please select--</v>
      </c>
      <c r="M415" s="6"/>
      <c r="N415" s="6"/>
      <c r="O415" s="6" t="str">
        <f ca="1">IFERROR(__xludf.DUMMYFUNCTION("""COMPUTED_VALUE"""),"Email")</f>
        <v>Email</v>
      </c>
      <c r="P415" s="6"/>
      <c r="Q415" s="6" t="str">
        <f ca="1">IFERROR(__xludf.DUMMYFUNCTION("""COMPUTED_VALUE"""),"No")</f>
        <v>No</v>
      </c>
      <c r="R415" s="6">
        <f ca="1">IFERROR(__xludf.DUMMYFUNCTION("""COMPUTED_VALUE"""),3)</f>
        <v>3</v>
      </c>
      <c r="S415" s="6" t="str">
        <f ca="1">IFERROR(__xludf.DUMMYFUNCTION("""COMPUTED_VALUE"""),"Pre-seed
Debt financing")</f>
        <v>Pre-seed
Debt financing</v>
      </c>
      <c r="T415" s="6" t="str">
        <f ca="1">IFERROR(__xludf.DUMMYFUNCTION("""COMPUTED_VALUE"""),"Pre-seed, Debt financing")</f>
        <v>Pre-seed, Debt financing</v>
      </c>
      <c r="U415" s="6" t="str">
        <f ca="1">IFERROR(__xludf.DUMMYFUNCTION("""COMPUTED_VALUE"""),"Pre-seed, Debt financing")</f>
        <v>Pre-seed, Debt financing</v>
      </c>
      <c r="V415" s="6"/>
      <c r="W415" s="6" t="str">
        <f ca="1">IFERROR(__xludf.DUMMYFUNCTION("""COMPUTED_VALUE"""),"Revisit/ Cluster")</f>
        <v>Revisit/ Cluster</v>
      </c>
    </row>
    <row r="416" spans="1:23">
      <c r="A416" s="6" t="str">
        <f ca="1">IFERROR(__xludf.DUMMYFUNCTION("""COMPUTED_VALUE"""),"Man")</f>
        <v>Man</v>
      </c>
      <c r="B416" s="6" t="str">
        <f ca="1">IFERROR(__xludf.DUMMYFUNCTION("""COMPUTED_VALUE"""),"Atlas _2022")</f>
        <v>Atlas _2022</v>
      </c>
      <c r="C416" s="6" t="str">
        <f ca="1">IFERROR(__xludf.DUMMYFUNCTION("""COMPUTED_VALUE"""),"Deep Tech")</f>
        <v>Deep Tech</v>
      </c>
      <c r="D416" s="6" t="str">
        <f ca="1">IFERROR(__xludf.DUMMYFUNCTION("""COMPUTED_VALUE"""),"Pacific Palisades, CA 
United States")</f>
        <v>Pacific Palisades, CA 
United States</v>
      </c>
      <c r="E416" s="6" t="str">
        <f ca="1">IFERROR(__xludf.DUMMYFUNCTION("""COMPUTED_VALUE"""),"West Coast")</f>
        <v>West Coast</v>
      </c>
      <c r="F416" s="6" t="str">
        <f ca="1">IFERROR(__xludf.DUMMYFUNCTION("""COMPUTED_VALUE"""),"Man")</f>
        <v>Man</v>
      </c>
      <c r="G416" s="6"/>
      <c r="H416" s="6"/>
      <c r="I416" s="6"/>
      <c r="J416" s="6"/>
      <c r="K416" s="6"/>
      <c r="L416" s="6" t="str">
        <f ca="1">IFERROR(__xludf.DUMMYFUNCTION("""COMPUTED_VALUE"""),"No")</f>
        <v>No</v>
      </c>
      <c r="M416" s="6"/>
      <c r="N416" s="6"/>
      <c r="O416" s="6" t="str">
        <f ca="1">IFERROR(__xludf.DUMMYFUNCTION("""COMPUTED_VALUE"""),"Email")</f>
        <v>Email</v>
      </c>
      <c r="P416" s="6"/>
      <c r="Q416" s="6" t="str">
        <f ca="1">IFERROR(__xludf.DUMMYFUNCTION("""COMPUTED_VALUE"""),"No")</f>
        <v>No</v>
      </c>
      <c r="R416" s="6">
        <f ca="1">IFERROR(__xludf.DUMMYFUNCTION("""COMPUTED_VALUE"""),1)</f>
        <v>1</v>
      </c>
      <c r="S416" s="6" t="str">
        <f ca="1">IFERROR(__xludf.DUMMYFUNCTION("""COMPUTED_VALUE"""),"None")</f>
        <v>None</v>
      </c>
      <c r="T416" s="6" t="str">
        <f ca="1">IFERROR(__xludf.DUMMYFUNCTION("""COMPUTED_VALUE"""),"None")</f>
        <v>None</v>
      </c>
      <c r="U416" s="6" t="str">
        <f ca="1">IFERROR(__xludf.DUMMYFUNCTION("""COMPUTED_VALUE"""),"None")</f>
        <v>None</v>
      </c>
      <c r="V416" s="6"/>
      <c r="W416" s="6" t="str">
        <f ca="1">IFERROR(__xludf.DUMMYFUNCTION("""COMPUTED_VALUE"""),"Reject")</f>
        <v>Reject</v>
      </c>
    </row>
    <row r="417" spans="1:23">
      <c r="A417" s="6" t="str">
        <f ca="1">IFERROR(__xludf.DUMMYFUNCTION("""COMPUTED_VALUE"""),"Man, Man, Man, Man, Man")</f>
        <v>Man, Man, Man, Man, Man</v>
      </c>
      <c r="B417" s="6" t="str">
        <f ca="1">IFERROR(__xludf.DUMMYFUNCTION("""COMPUTED_VALUE"""),"Pendulum _2022")</f>
        <v>Pendulum _2022</v>
      </c>
      <c r="C417" s="6" t="str">
        <f ca="1">IFERROR(__xludf.DUMMYFUNCTION("""COMPUTED_VALUE"""),"Digital Tech")</f>
        <v>Digital Tech</v>
      </c>
      <c r="D417" s="6" t="str">
        <f ca="1">IFERROR(__xludf.DUMMYFUNCTION("""COMPUTED_VALUE"""),"New York, New York 
United States")</f>
        <v>New York, New York 
United States</v>
      </c>
      <c r="E417" s="6" t="str">
        <f ca="1">IFERROR(__xludf.DUMMYFUNCTION("""COMPUTED_VALUE"""),"New York")</f>
        <v>New York</v>
      </c>
      <c r="F417" s="6" t="str">
        <f ca="1">IFERROR(__xludf.DUMMYFUNCTION("""COMPUTED_VALUE"""),"Man")</f>
        <v>Man</v>
      </c>
      <c r="G417" s="6" t="str">
        <f ca="1">IFERROR(__xludf.DUMMYFUNCTION("""COMPUTED_VALUE"""),"Man")</f>
        <v>Man</v>
      </c>
      <c r="H417" s="6" t="str">
        <f ca="1">IFERROR(__xludf.DUMMYFUNCTION("""COMPUTED_VALUE"""),"Man")</f>
        <v>Man</v>
      </c>
      <c r="I417" s="6" t="str">
        <f ca="1">IFERROR(__xludf.DUMMYFUNCTION("""COMPUTED_VALUE"""),"Man")</f>
        <v>Man</v>
      </c>
      <c r="J417" s="6" t="str">
        <f ca="1">IFERROR(__xludf.DUMMYFUNCTION("""COMPUTED_VALUE"""),"Man")</f>
        <v>Man</v>
      </c>
      <c r="K417" s="6"/>
      <c r="L417" s="6" t="str">
        <f ca="1">IFERROR(__xludf.DUMMYFUNCTION("""COMPUTED_VALUE"""),"Yes")</f>
        <v>Yes</v>
      </c>
      <c r="M417" s="6" t="str">
        <f ca="1">IFERROR(__xludf.DUMMYFUNCTION("""COMPUTED_VALUE"""),"NYU Student")</f>
        <v>NYU Student</v>
      </c>
      <c r="N417" s="6"/>
      <c r="O417" s="6" t="str">
        <f ca="1">IFERROR(__xludf.DUMMYFUNCTION("""COMPUTED_VALUE"""),"Info Session")</f>
        <v>Info Session</v>
      </c>
      <c r="P417" s="6"/>
      <c r="Q417" s="6" t="str">
        <f ca="1">IFERROR(__xludf.DUMMYFUNCTION("""COMPUTED_VALUE"""),"No")</f>
        <v>No</v>
      </c>
      <c r="R417" s="6">
        <f ca="1">IFERROR(__xludf.DUMMYFUNCTION("""COMPUTED_VALUE"""),5)</f>
        <v>5</v>
      </c>
      <c r="S417" s="6" t="str">
        <f ca="1">IFERROR(__xludf.DUMMYFUNCTION("""COMPUTED_VALUE"""),"Debt financing")</f>
        <v>Debt financing</v>
      </c>
      <c r="T417" s="6" t="str">
        <f ca="1">IFERROR(__xludf.DUMMYFUNCTION("""COMPUTED_VALUE"""),"Debt financing")</f>
        <v>Debt financing</v>
      </c>
      <c r="U417" s="6" t="str">
        <f ca="1">IFERROR(__xludf.DUMMYFUNCTION("""COMPUTED_VALUE"""),"Debt financing")</f>
        <v>Debt financing</v>
      </c>
      <c r="V417" s="6"/>
      <c r="W417" s="6" t="str">
        <f ca="1">IFERROR(__xludf.DUMMYFUNCTION("""COMPUTED_VALUE"""),"Invite Next Year")</f>
        <v>Invite Next Year</v>
      </c>
    </row>
    <row r="418" spans="1:23">
      <c r="A418" s="6" t="str">
        <f ca="1">IFERROR(__xludf.DUMMYFUNCTION("""COMPUTED_VALUE"""),"Man, Transgender")</f>
        <v>Man, Transgender</v>
      </c>
      <c r="B418" s="6" t="str">
        <f ca="1">IFERROR(__xludf.DUMMYFUNCTION("""COMPUTED_VALUE"""),"Terecircuits Corporation _2022")</f>
        <v>Terecircuits Corporation _2022</v>
      </c>
      <c r="C418" s="6" t="str">
        <f ca="1">IFERROR(__xludf.DUMMYFUNCTION("""COMPUTED_VALUE"""),"Deep Tech")</f>
        <v>Deep Tech</v>
      </c>
      <c r="D418" s="6" t="str">
        <f ca="1">IFERROR(__xludf.DUMMYFUNCTION("""COMPUTED_VALUE"""),"Mountain View, CA 
United States")</f>
        <v>Mountain View, CA 
United States</v>
      </c>
      <c r="E418" s="6" t="str">
        <f ca="1">IFERROR(__xludf.DUMMYFUNCTION("""COMPUTED_VALUE"""),"West Coast")</f>
        <v>West Coast</v>
      </c>
      <c r="F418" s="6" t="str">
        <f ca="1">IFERROR(__xludf.DUMMYFUNCTION("""COMPUTED_VALUE"""),"Man")</f>
        <v>Man</v>
      </c>
      <c r="G418" s="6" t="str">
        <f ca="1">IFERROR(__xludf.DUMMYFUNCTION("""COMPUTED_VALUE"""),"Transgender")</f>
        <v>Transgender</v>
      </c>
      <c r="H418" s="6"/>
      <c r="I418" s="6"/>
      <c r="J418" s="6"/>
      <c r="K418" s="6"/>
      <c r="L418" s="6" t="str">
        <f ca="1">IFERROR(__xludf.DUMMYFUNCTION("""COMPUTED_VALUE"""),"No")</f>
        <v>No</v>
      </c>
      <c r="M418" s="6"/>
      <c r="N418" s="6"/>
      <c r="O418" s="6" t="str">
        <f ca="1">IFERROR(__xludf.DUMMYFUNCTION("""COMPUTED_VALUE"""),"Email")</f>
        <v>Email</v>
      </c>
      <c r="P418" s="6"/>
      <c r="Q418" s="6" t="str">
        <f ca="1">IFERROR(__xludf.DUMMYFUNCTION("""COMPUTED_VALUE"""),"No")</f>
        <v>No</v>
      </c>
      <c r="R418" s="6">
        <f ca="1">IFERROR(__xludf.DUMMYFUNCTION("""COMPUTED_VALUE"""),2)</f>
        <v>2</v>
      </c>
      <c r="S418" s="6" t="str">
        <f ca="1">IFERROR(__xludf.DUMMYFUNCTION("""COMPUTED_VALUE"""),"Pre-seed
Seed
Grants")</f>
        <v>Pre-seed
Seed
Grants</v>
      </c>
      <c r="T418" s="6" t="str">
        <f ca="1">IFERROR(__xludf.DUMMYFUNCTION("""COMPUTED_VALUE"""),"Pre-seed, Seed, Grants")</f>
        <v>Pre-seed, Seed, Grants</v>
      </c>
      <c r="U418" s="6" t="str">
        <f ca="1">IFERROR(__xludf.DUMMYFUNCTION("""COMPUTED_VALUE"""),"Pre-seed, Seed, Grants")</f>
        <v>Pre-seed, Seed, Grants</v>
      </c>
      <c r="V418" s="6"/>
      <c r="W418" s="6" t="str">
        <f ca="1">IFERROR(__xludf.DUMMYFUNCTION("""COMPUTED_VALUE"""),"Invite")</f>
        <v>Invite</v>
      </c>
    </row>
    <row r="419" spans="1:23">
      <c r="A419" s="6" t="str">
        <f ca="1">IFERROR(__xludf.DUMMYFUNCTION("""COMPUTED_VALUE"""),"Man")</f>
        <v>Man</v>
      </c>
      <c r="B419" s="6" t="str">
        <f ca="1">IFERROR(__xludf.DUMMYFUNCTION("""COMPUTED_VALUE"""),"OBORTECHglobal OÜ _2022")</f>
        <v>OBORTECHglobal OÜ _2022</v>
      </c>
      <c r="C419" s="6" t="str">
        <f ca="1">IFERROR(__xludf.DUMMYFUNCTION("""COMPUTED_VALUE"""),"Digital Tech")</f>
        <v>Digital Tech</v>
      </c>
      <c r="D419" s="6" t="str">
        <f ca="1">IFERROR(__xludf.DUMMYFUNCTION("""COMPUTED_VALUE"""),"Harju maakond, Tallinn, Kesklinna linnaosa, Maakri tn 21, 10145, Tallinn 
Estonia")</f>
        <v>Harju maakond, Tallinn, Kesklinna linnaosa, Maakri tn 21, 10145, Tallinn 
Estonia</v>
      </c>
      <c r="E419" s="6" t="str">
        <f ca="1">IFERROR(__xludf.DUMMYFUNCTION("""COMPUTED_VALUE"""),"International - Europe")</f>
        <v>International - Europe</v>
      </c>
      <c r="F419" s="6" t="str">
        <f ca="1">IFERROR(__xludf.DUMMYFUNCTION("""COMPUTED_VALUE"""),"Man")</f>
        <v>Man</v>
      </c>
      <c r="G419" s="6"/>
      <c r="H419" s="6"/>
      <c r="I419" s="6"/>
      <c r="J419" s="6"/>
      <c r="K419" s="6"/>
      <c r="L419" s="6" t="str">
        <f ca="1">IFERROR(__xludf.DUMMYFUNCTION("""COMPUTED_VALUE"""),"No")</f>
        <v>No</v>
      </c>
      <c r="M419" s="6"/>
      <c r="N419" s="6"/>
      <c r="O419" s="6" t="str">
        <f ca="1">IFERROR(__xludf.DUMMYFUNCTION("""COMPUTED_VALUE"""),"Email")</f>
        <v>Email</v>
      </c>
      <c r="P419" s="6"/>
      <c r="Q419" s="6" t="str">
        <f ca="1">IFERROR(__xludf.DUMMYFUNCTION("""COMPUTED_VALUE"""),"No")</f>
        <v>No</v>
      </c>
      <c r="R419" s="6">
        <f ca="1">IFERROR(__xludf.DUMMYFUNCTION("""COMPUTED_VALUE"""),1)</f>
        <v>1</v>
      </c>
      <c r="S419" s="6" t="str">
        <f ca="1">IFERROR(__xludf.DUMMYFUNCTION("""COMPUTED_VALUE"""),"Seed")</f>
        <v>Seed</v>
      </c>
      <c r="T419" s="6" t="str">
        <f ca="1">IFERROR(__xludf.DUMMYFUNCTION("""COMPUTED_VALUE"""),"Seed")</f>
        <v>Seed</v>
      </c>
      <c r="U419" s="6" t="str">
        <f ca="1">IFERROR(__xludf.DUMMYFUNCTION("""COMPUTED_VALUE"""),"Seed")</f>
        <v>Seed</v>
      </c>
      <c r="V419" s="6"/>
      <c r="W419" s="6" t="str">
        <f ca="1">IFERROR(__xludf.DUMMYFUNCTION("""COMPUTED_VALUE"""),"Invite Next Year")</f>
        <v>Invite Next Year</v>
      </c>
    </row>
    <row r="420" spans="1:23">
      <c r="A420" s="6" t="str">
        <f ca="1">IFERROR(__xludf.DUMMYFUNCTION("""COMPUTED_VALUE"""),"Man, Woman, Man, Man")</f>
        <v>Man, Woman, Man, Man</v>
      </c>
      <c r="B420" s="6" t="str">
        <f ca="1">IFERROR(__xludf.DUMMYFUNCTION("""COMPUTED_VALUE"""),"Eoliann _2022")</f>
        <v>Eoliann _2022</v>
      </c>
      <c r="C420" s="6" t="str">
        <f ca="1">IFERROR(__xludf.DUMMYFUNCTION("""COMPUTED_VALUE"""),"Digital Tech")</f>
        <v>Digital Tech</v>
      </c>
      <c r="D420" s="6" t="str">
        <f ca="1">IFERROR(__xludf.DUMMYFUNCTION("""COMPUTED_VALUE"""),"Turin, Turin 
Italy")</f>
        <v>Turin, Turin 
Italy</v>
      </c>
      <c r="E420" s="6" t="str">
        <f ca="1">IFERROR(__xludf.DUMMYFUNCTION("""COMPUTED_VALUE"""),"International - Europe")</f>
        <v>International - Europe</v>
      </c>
      <c r="F420" s="6" t="str">
        <f ca="1">IFERROR(__xludf.DUMMYFUNCTION("""COMPUTED_VALUE"""),"Man")</f>
        <v>Man</v>
      </c>
      <c r="G420" s="6" t="str">
        <f ca="1">IFERROR(__xludf.DUMMYFUNCTION("""COMPUTED_VALUE"""),"Woman")</f>
        <v>Woman</v>
      </c>
      <c r="H420" s="6" t="str">
        <f ca="1">IFERROR(__xludf.DUMMYFUNCTION("""COMPUTED_VALUE"""),"Man")</f>
        <v>Man</v>
      </c>
      <c r="I420" s="6" t="str">
        <f ca="1">IFERROR(__xludf.DUMMYFUNCTION("""COMPUTED_VALUE"""),"Man")</f>
        <v>Man</v>
      </c>
      <c r="J420" s="6"/>
      <c r="K420" s="6"/>
      <c r="L420" s="6" t="str">
        <f ca="1">IFERROR(__xludf.DUMMYFUNCTION("""COMPUTED_VALUE"""),"No")</f>
        <v>No</v>
      </c>
      <c r="M420" s="6"/>
      <c r="N420" s="6"/>
      <c r="O420" s="6" t="str">
        <f ca="1">IFERROR(__xludf.DUMMYFUNCTION("""COMPUTED_VALUE"""),"Referral")</f>
        <v>Referral</v>
      </c>
      <c r="P420" s="6"/>
      <c r="Q420" s="6" t="str">
        <f ca="1">IFERROR(__xludf.DUMMYFUNCTION("""COMPUTED_VALUE"""),"No")</f>
        <v>No</v>
      </c>
      <c r="R420" s="6">
        <f ca="1">IFERROR(__xludf.DUMMYFUNCTION("""COMPUTED_VALUE"""),4)</f>
        <v>4</v>
      </c>
      <c r="S420" s="6" t="str">
        <f ca="1">IFERROR(__xludf.DUMMYFUNCTION("""COMPUTED_VALUE"""),"Seed")</f>
        <v>Seed</v>
      </c>
      <c r="T420" s="6" t="str">
        <f ca="1">IFERROR(__xludf.DUMMYFUNCTION("""COMPUTED_VALUE"""),"Seed")</f>
        <v>Seed</v>
      </c>
      <c r="U420" s="6" t="str">
        <f ca="1">IFERROR(__xludf.DUMMYFUNCTION("""COMPUTED_VALUE"""),"Seed")</f>
        <v>Seed</v>
      </c>
      <c r="V420" s="6"/>
      <c r="W420" s="6" t="str">
        <f ca="1">IFERROR(__xludf.DUMMYFUNCTION("""COMPUTED_VALUE"""),"Invite Next Year")</f>
        <v>Invite Next Year</v>
      </c>
    </row>
    <row r="421" spans="1:23">
      <c r="A421" s="6" t="str">
        <f ca="1">IFERROR(__xludf.DUMMYFUNCTION("""COMPUTED_VALUE"""),"Man, Woman")</f>
        <v>Man, Woman</v>
      </c>
      <c r="B421" s="6" t="str">
        <f ca="1">IFERROR(__xludf.DUMMYFUNCTION("""COMPUTED_VALUE"""),"iVoice Africa Media _2022")</f>
        <v>iVoice Africa Media _2022</v>
      </c>
      <c r="C421" s="6" t="str">
        <f ca="1">IFERROR(__xludf.DUMMYFUNCTION("""COMPUTED_VALUE"""),"Deep Tech")</f>
        <v>Deep Tech</v>
      </c>
      <c r="D421" s="6" t="str">
        <f ca="1">IFERROR(__xludf.DUMMYFUNCTION("""COMPUTED_VALUE"""),"Ikorodu, Lagos 
Nigeria")</f>
        <v>Ikorodu, Lagos 
Nigeria</v>
      </c>
      <c r="E421" s="6" t="str">
        <f ca="1">IFERROR(__xludf.DUMMYFUNCTION("""COMPUTED_VALUE"""),"International - Other")</f>
        <v>International - Other</v>
      </c>
      <c r="F421" s="6" t="str">
        <f ca="1">IFERROR(__xludf.DUMMYFUNCTION("""COMPUTED_VALUE"""),"Man")</f>
        <v>Man</v>
      </c>
      <c r="G421" s="6" t="str">
        <f ca="1">IFERROR(__xludf.DUMMYFUNCTION("""COMPUTED_VALUE"""),"Woman")</f>
        <v>Woman</v>
      </c>
      <c r="H421" s="6"/>
      <c r="I421" s="6"/>
      <c r="J421" s="6"/>
      <c r="K421" s="6"/>
      <c r="L421" s="6" t="str">
        <f ca="1">IFERROR(__xludf.DUMMYFUNCTION("""COMPUTED_VALUE"""),"No")</f>
        <v>No</v>
      </c>
      <c r="M421" s="6"/>
      <c r="N421" s="6"/>
      <c r="O421" s="6" t="str">
        <f ca="1">IFERROR(__xludf.DUMMYFUNCTION("""COMPUTED_VALUE"""),"LinkedIn")</f>
        <v>LinkedIn</v>
      </c>
      <c r="P421" s="6"/>
      <c r="Q421" s="6" t="str">
        <f ca="1">IFERROR(__xludf.DUMMYFUNCTION("""COMPUTED_VALUE"""),"No")</f>
        <v>No</v>
      </c>
      <c r="R421" s="6">
        <f ca="1">IFERROR(__xludf.DUMMYFUNCTION("""COMPUTED_VALUE"""),2)</f>
        <v>2</v>
      </c>
      <c r="S421" s="6" t="str">
        <f ca="1">IFERROR(__xludf.DUMMYFUNCTION("""COMPUTED_VALUE"""),"None")</f>
        <v>None</v>
      </c>
      <c r="T421" s="6" t="str">
        <f ca="1">IFERROR(__xludf.DUMMYFUNCTION("""COMPUTED_VALUE"""),"None")</f>
        <v>None</v>
      </c>
      <c r="U421" s="6" t="str">
        <f ca="1">IFERROR(__xludf.DUMMYFUNCTION("""COMPUTED_VALUE"""),"None")</f>
        <v>None</v>
      </c>
      <c r="V421" s="6"/>
      <c r="W421" s="6" t="str">
        <f ca="1">IFERROR(__xludf.DUMMYFUNCTION("""COMPUTED_VALUE"""),"Invite Next Year")</f>
        <v>Invite Next Year</v>
      </c>
    </row>
    <row r="422" spans="1:23">
      <c r="A422" s="6" t="str">
        <f ca="1">IFERROR(__xludf.DUMMYFUNCTION("""COMPUTED_VALUE"""),"Man, Man")</f>
        <v>Man, Man</v>
      </c>
      <c r="B422" s="6" t="str">
        <f ca="1">IFERROR(__xludf.DUMMYFUNCTION("""COMPUTED_VALUE"""),"Hello Space Co. _2022")</f>
        <v>Hello Space Co. _2022</v>
      </c>
      <c r="C422" s="6" t="str">
        <f ca="1">IFERROR(__xludf.DUMMYFUNCTION("""COMPUTED_VALUE"""),"Deep Tech")</f>
        <v>Deep Tech</v>
      </c>
      <c r="D422" s="6" t="str">
        <f ca="1">IFERROR(__xludf.DUMMYFUNCTION("""COMPUTED_VALUE"""),"1-12-27 CORE21 BLDG. Shimotori, Chuo-ku, Kumamoto City, Kumamoto 
Japan")</f>
        <v>1-12-27 CORE21 BLDG. Shimotori, Chuo-ku, Kumamoto City, Kumamoto 
Japan</v>
      </c>
      <c r="E422" s="6" t="str">
        <f ca="1">IFERROR(__xludf.DUMMYFUNCTION("""COMPUTED_VALUE"""),"International - Asia")</f>
        <v>International - Asia</v>
      </c>
      <c r="F422" s="6" t="str">
        <f ca="1">IFERROR(__xludf.DUMMYFUNCTION("""COMPUTED_VALUE"""),"Man")</f>
        <v>Man</v>
      </c>
      <c r="G422" s="6" t="str">
        <f ca="1">IFERROR(__xludf.DUMMYFUNCTION("""COMPUTED_VALUE"""),"Man")</f>
        <v>Man</v>
      </c>
      <c r="H422" s="6"/>
      <c r="I422" s="6"/>
      <c r="J422" s="6"/>
      <c r="K422" s="6"/>
      <c r="L422" s="6" t="str">
        <f ca="1">IFERROR(__xludf.DUMMYFUNCTION("""COMPUTED_VALUE"""),"No")</f>
        <v>No</v>
      </c>
      <c r="M422" s="6"/>
      <c r="N422" s="6"/>
      <c r="O422" s="6" t="str">
        <f ca="1">IFERROR(__xludf.DUMMYFUNCTION("""COMPUTED_VALUE"""),"Email")</f>
        <v>Email</v>
      </c>
      <c r="P422" s="6"/>
      <c r="Q422" s="6" t="str">
        <f ca="1">IFERROR(__xludf.DUMMYFUNCTION("""COMPUTED_VALUE"""),"No")</f>
        <v>No</v>
      </c>
      <c r="R422" s="6">
        <f ca="1">IFERROR(__xludf.DUMMYFUNCTION("""COMPUTED_VALUE"""),2)</f>
        <v>2</v>
      </c>
      <c r="S422" s="6" t="str">
        <f ca="1">IFERROR(__xludf.DUMMYFUNCTION("""COMPUTED_VALUE"""),"Seed
Debt financing
Grants")</f>
        <v>Seed
Debt financing
Grants</v>
      </c>
      <c r="T422" s="6" t="str">
        <f ca="1">IFERROR(__xludf.DUMMYFUNCTION("""COMPUTED_VALUE"""),"Seed, Debt financing, Grants")</f>
        <v>Seed, Debt financing, Grants</v>
      </c>
      <c r="U422" s="6" t="str">
        <f ca="1">IFERROR(__xludf.DUMMYFUNCTION("""COMPUTED_VALUE"""),"Seed, Debt financing, Grants")</f>
        <v>Seed, Debt financing, Grants</v>
      </c>
      <c r="V422" s="6"/>
      <c r="W422" s="6" t="str">
        <f ca="1">IFERROR(__xludf.DUMMYFUNCTION("""COMPUTED_VALUE"""),"Invite Next Year")</f>
        <v>Invite Next Year</v>
      </c>
    </row>
    <row r="423" spans="1:23">
      <c r="A423" s="6" t="str">
        <f ca="1">IFERROR(__xludf.DUMMYFUNCTION("""COMPUTED_VALUE"""),"Woman")</f>
        <v>Woman</v>
      </c>
      <c r="B423" s="6" t="str">
        <f ca="1">IFERROR(__xludf.DUMMYFUNCTION("""COMPUTED_VALUE"""),"Pixchange  _2022")</f>
        <v>Pixchange  _2022</v>
      </c>
      <c r="C423" s="6" t="str">
        <f ca="1">IFERROR(__xludf.DUMMYFUNCTION("""COMPUTED_VALUE"""),"Digital Tech")</f>
        <v>Digital Tech</v>
      </c>
      <c r="D423" s="6" t="str">
        <f ca="1">IFERROR(__xludf.DUMMYFUNCTION("""COMPUTED_VALUE"""),"Spitalgasse , 26 
Switzerland")</f>
        <v>Spitalgasse , 26 
Switzerland</v>
      </c>
      <c r="E423" s="6" t="str">
        <f ca="1">IFERROR(__xludf.DUMMYFUNCTION("""COMPUTED_VALUE"""),"International - Europe")</f>
        <v>International - Europe</v>
      </c>
      <c r="F423" s="6" t="str">
        <f ca="1">IFERROR(__xludf.DUMMYFUNCTION("""COMPUTED_VALUE"""),"Woman")</f>
        <v>Woman</v>
      </c>
      <c r="G423" s="6"/>
      <c r="H423" s="6"/>
      <c r="I423" s="6"/>
      <c r="J423" s="6"/>
      <c r="K423" s="6"/>
      <c r="L423" s="6" t="str">
        <f ca="1">IFERROR(__xludf.DUMMYFUNCTION("""COMPUTED_VALUE"""),"No")</f>
        <v>No</v>
      </c>
      <c r="M423" s="6"/>
      <c r="N423" s="6"/>
      <c r="O423" s="6" t="str">
        <f ca="1">IFERROR(__xludf.DUMMYFUNCTION("""COMPUTED_VALUE"""),"Email")</f>
        <v>Email</v>
      </c>
      <c r="P423" s="6"/>
      <c r="Q423" s="6" t="str">
        <f ca="1">IFERROR(__xludf.DUMMYFUNCTION("""COMPUTED_VALUE"""),"No")</f>
        <v>No</v>
      </c>
      <c r="R423" s="6">
        <f ca="1">IFERROR(__xludf.DUMMYFUNCTION("""COMPUTED_VALUE"""),1)</f>
        <v>1</v>
      </c>
      <c r="S423" s="6" t="str">
        <f ca="1">IFERROR(__xludf.DUMMYFUNCTION("""COMPUTED_VALUE"""),"Pre-seed")</f>
        <v>Pre-seed</v>
      </c>
      <c r="T423" s="6" t="str">
        <f ca="1">IFERROR(__xludf.DUMMYFUNCTION("""COMPUTED_VALUE"""),"Pre-seed")</f>
        <v>Pre-seed</v>
      </c>
      <c r="U423" s="6" t="str">
        <f ca="1">IFERROR(__xludf.DUMMYFUNCTION("""COMPUTED_VALUE"""),"Pre-seed")</f>
        <v>Pre-seed</v>
      </c>
      <c r="V423" s="6"/>
      <c r="W423" s="6" t="str">
        <f ca="1">IFERROR(__xludf.DUMMYFUNCTION("""COMPUTED_VALUE"""),"Invite Next Year")</f>
        <v>Invite Next Year</v>
      </c>
    </row>
    <row r="424" spans="1:23">
      <c r="A424" s="6" t="str">
        <f ca="1">IFERROR(__xludf.DUMMYFUNCTION("""COMPUTED_VALUE"""),"Man, Man, Woman")</f>
        <v>Man, Man, Woman</v>
      </c>
      <c r="B424" s="6" t="str">
        <f ca="1">IFERROR(__xludf.DUMMYFUNCTION("""COMPUTED_VALUE"""),"Orbify, Inc. _2022")</f>
        <v>Orbify, Inc. _2022</v>
      </c>
      <c r="C424" s="6" t="str">
        <f ca="1">IFERROR(__xludf.DUMMYFUNCTION("""COMPUTED_VALUE"""),"Deep Tech")</f>
        <v>Deep Tech</v>
      </c>
      <c r="D424" s="6" t="str">
        <f ca="1">IFERROR(__xludf.DUMMYFUNCTION("""COMPUTED_VALUE"""),"Kraków, malopolska 
Poland")</f>
        <v>Kraków, malopolska 
Poland</v>
      </c>
      <c r="E424" s="6" t="str">
        <f ca="1">IFERROR(__xludf.DUMMYFUNCTION("""COMPUTED_VALUE"""),"International - Europe")</f>
        <v>International - Europe</v>
      </c>
      <c r="F424" s="6" t="str">
        <f ca="1">IFERROR(__xludf.DUMMYFUNCTION("""COMPUTED_VALUE"""),"Man")</f>
        <v>Man</v>
      </c>
      <c r="G424" s="6" t="str">
        <f ca="1">IFERROR(__xludf.DUMMYFUNCTION("""COMPUTED_VALUE"""),"Man")</f>
        <v>Man</v>
      </c>
      <c r="H424" s="6" t="str">
        <f ca="1">IFERROR(__xludf.DUMMYFUNCTION("""COMPUTED_VALUE"""),"Woman")</f>
        <v>Woman</v>
      </c>
      <c r="I424" s="6"/>
      <c r="J424" s="6"/>
      <c r="K424" s="6"/>
      <c r="L424" s="6" t="str">
        <f ca="1">IFERROR(__xludf.DUMMYFUNCTION("""COMPUTED_VALUE"""),"--Please select--")</f>
        <v>--Please select--</v>
      </c>
      <c r="M424" s="6"/>
      <c r="N424" s="6"/>
      <c r="O424" s="6" t="str">
        <f ca="1">IFERROR(__xludf.DUMMYFUNCTION("""COMPUTED_VALUE"""),"Email")</f>
        <v>Email</v>
      </c>
      <c r="P424" s="6"/>
      <c r="Q424" s="6" t="str">
        <f ca="1">IFERROR(__xludf.DUMMYFUNCTION("""COMPUTED_VALUE"""),"No")</f>
        <v>No</v>
      </c>
      <c r="R424" s="6">
        <f ca="1">IFERROR(__xludf.DUMMYFUNCTION("""COMPUTED_VALUE"""),3)</f>
        <v>3</v>
      </c>
      <c r="S424" s="6" t="str">
        <f ca="1">IFERROR(__xludf.DUMMYFUNCTION("""COMPUTED_VALUE"""),"Pre-seed")</f>
        <v>Pre-seed</v>
      </c>
      <c r="T424" s="6" t="str">
        <f ca="1">IFERROR(__xludf.DUMMYFUNCTION("""COMPUTED_VALUE"""),"Pre-seed")</f>
        <v>Pre-seed</v>
      </c>
      <c r="U424" s="6" t="str">
        <f ca="1">IFERROR(__xludf.DUMMYFUNCTION("""COMPUTED_VALUE"""),"Pre-seed")</f>
        <v>Pre-seed</v>
      </c>
      <c r="V424" s="6"/>
      <c r="W424" s="6" t="str">
        <f ca="1">IFERROR(__xludf.DUMMYFUNCTION("""COMPUTED_VALUE"""),"Invite Next Year")</f>
        <v>Invite Next Year</v>
      </c>
    </row>
    <row r="425" spans="1:23">
      <c r="A425" s="6" t="str">
        <f ca="1">IFERROR(__xludf.DUMMYFUNCTION("""COMPUTED_VALUE"""),"Man, Woman, Man")</f>
        <v>Man, Woman, Man</v>
      </c>
      <c r="B425" s="6" t="str">
        <f ca="1">IFERROR(__xludf.DUMMYFUNCTION("""COMPUTED_VALUE"""),"MultiOmic Health Limited _2022")</f>
        <v>MultiOmic Health Limited _2022</v>
      </c>
      <c r="C425" s="6" t="str">
        <f ca="1">IFERROR(__xludf.DUMMYFUNCTION("""COMPUTED_VALUE"""),"Life Sciences")</f>
        <v>Life Sciences</v>
      </c>
      <c r="D425" s="6" t="str">
        <f ca="1">IFERROR(__xludf.DUMMYFUNCTION("""COMPUTED_VALUE"""),"Epworth House, 25 City Road, London , EC1Y 1AA 
United Kingdom")</f>
        <v>Epworth House, 25 City Road, London , EC1Y 1AA 
United Kingdom</v>
      </c>
      <c r="E425" s="6" t="str">
        <f ca="1">IFERROR(__xludf.DUMMYFUNCTION("""COMPUTED_VALUE"""),"International - Europe")</f>
        <v>International - Europe</v>
      </c>
      <c r="F425" s="6" t="str">
        <f ca="1">IFERROR(__xludf.DUMMYFUNCTION("""COMPUTED_VALUE"""),"Man")</f>
        <v>Man</v>
      </c>
      <c r="G425" s="6" t="str">
        <f ca="1">IFERROR(__xludf.DUMMYFUNCTION("""COMPUTED_VALUE"""),"Woman")</f>
        <v>Woman</v>
      </c>
      <c r="H425" s="6" t="str">
        <f ca="1">IFERROR(__xludf.DUMMYFUNCTION("""COMPUTED_VALUE"""),"Man")</f>
        <v>Man</v>
      </c>
      <c r="I425" s="6"/>
      <c r="J425" s="6"/>
      <c r="K425" s="6"/>
      <c r="L425" s="6" t="str">
        <f ca="1">IFERROR(__xludf.DUMMYFUNCTION("""COMPUTED_VALUE"""),"No")</f>
        <v>No</v>
      </c>
      <c r="M425" s="6"/>
      <c r="N425" s="6"/>
      <c r="O425" s="6" t="str">
        <f ca="1">IFERROR(__xludf.DUMMYFUNCTION("""COMPUTED_VALUE"""),"Email")</f>
        <v>Email</v>
      </c>
      <c r="P425" s="6"/>
      <c r="Q425" s="6" t="str">
        <f ca="1">IFERROR(__xludf.DUMMYFUNCTION("""COMPUTED_VALUE"""),"No")</f>
        <v>No</v>
      </c>
      <c r="R425" s="6">
        <f ca="1">IFERROR(__xludf.DUMMYFUNCTION("""COMPUTED_VALUE"""),3)</f>
        <v>3</v>
      </c>
      <c r="S425" s="6" t="str">
        <f ca="1">IFERROR(__xludf.DUMMYFUNCTION("""COMPUTED_VALUE"""),"Pre-seed
Seed")</f>
        <v>Pre-seed
Seed</v>
      </c>
      <c r="T425" s="6" t="str">
        <f ca="1">IFERROR(__xludf.DUMMYFUNCTION("""COMPUTED_VALUE"""),"Pre-seed, Seed")</f>
        <v>Pre-seed, Seed</v>
      </c>
      <c r="U425" s="6" t="str">
        <f ca="1">IFERROR(__xludf.DUMMYFUNCTION("""COMPUTED_VALUE"""),"Pre-seed, Seed")</f>
        <v>Pre-seed, Seed</v>
      </c>
      <c r="V425" s="6"/>
      <c r="W425" s="6" t="str">
        <f ca="1">IFERROR(__xludf.DUMMYFUNCTION("""COMPUTED_VALUE"""),"Invite Next Year")</f>
        <v>Invite Next Year</v>
      </c>
    </row>
    <row r="426" spans="1:23">
      <c r="A426" s="6" t="str">
        <f ca="1">IFERROR(__xludf.DUMMYFUNCTION("""COMPUTED_VALUE"""),"Man")</f>
        <v>Man</v>
      </c>
      <c r="B426" s="6" t="str">
        <f ca="1">IFERROR(__xludf.DUMMYFUNCTION("""COMPUTED_VALUE"""),"OR Link _2022")</f>
        <v>OR Link _2022</v>
      </c>
      <c r="C426" s="6" t="str">
        <f ca="1">IFERROR(__xludf.DUMMYFUNCTION("""COMPUTED_VALUE"""),"Digital Tech")</f>
        <v>Digital Tech</v>
      </c>
      <c r="D426" s="6" t="str">
        <f ca="1">IFERROR(__xludf.DUMMYFUNCTION("""COMPUTED_VALUE"""),"2104 Bridgeport Circle, Kentucky 
United States")</f>
        <v>2104 Bridgeport Circle, Kentucky 
United States</v>
      </c>
      <c r="E426" s="6" t="str">
        <f ca="1">IFERROR(__xludf.DUMMYFUNCTION("""COMPUTED_VALUE"""),"South")</f>
        <v>South</v>
      </c>
      <c r="F426" s="6" t="str">
        <f ca="1">IFERROR(__xludf.DUMMYFUNCTION("""COMPUTED_VALUE"""),"Man")</f>
        <v>Man</v>
      </c>
      <c r="G426" s="6"/>
      <c r="H426" s="6"/>
      <c r="I426" s="6"/>
      <c r="J426" s="6"/>
      <c r="K426" s="6"/>
      <c r="L426" s="6" t="str">
        <f ca="1">IFERROR(__xludf.DUMMYFUNCTION("""COMPUTED_VALUE"""),"Yes")</f>
        <v>Yes</v>
      </c>
      <c r="M426" s="6" t="str">
        <f ca="1">IFERROR(__xludf.DUMMYFUNCTION("""COMPUTED_VALUE"""),"NYU Alumni")</f>
        <v>NYU Alumni</v>
      </c>
      <c r="N426" s="6"/>
      <c r="O426" s="6" t="str">
        <f ca="1">IFERROR(__xludf.DUMMYFUNCTION("""COMPUTED_VALUE"""),"Referral")</f>
        <v>Referral</v>
      </c>
      <c r="P426" s="6"/>
      <c r="Q426" s="6" t="str">
        <f ca="1">IFERROR(__xludf.DUMMYFUNCTION("""COMPUTED_VALUE"""),"Yes")</f>
        <v>Yes</v>
      </c>
      <c r="R426" s="6">
        <f ca="1">IFERROR(__xludf.DUMMYFUNCTION("""COMPUTED_VALUE"""),1)</f>
        <v>1</v>
      </c>
      <c r="S426" s="6" t="str">
        <f ca="1">IFERROR(__xludf.DUMMYFUNCTION("""COMPUTED_VALUE"""),"Seed
Debt financing")</f>
        <v>Seed
Debt financing</v>
      </c>
      <c r="T426" s="6" t="str">
        <f ca="1">IFERROR(__xludf.DUMMYFUNCTION("""COMPUTED_VALUE"""),"Seed, Debt financing")</f>
        <v>Seed, Debt financing</v>
      </c>
      <c r="U426" s="6" t="str">
        <f ca="1">IFERROR(__xludf.DUMMYFUNCTION("""COMPUTED_VALUE"""),"Seed, Debt financing")</f>
        <v>Seed, Debt financing</v>
      </c>
      <c r="V426" s="6"/>
      <c r="W426" s="6" t="str">
        <f ca="1">IFERROR(__xludf.DUMMYFUNCTION("""COMPUTED_VALUE"""),"Special Reject")</f>
        <v>Special Reject</v>
      </c>
    </row>
    <row r="427" spans="1:23">
      <c r="A427" s="6" t="str">
        <f ca="1">IFERROR(__xludf.DUMMYFUNCTION("""COMPUTED_VALUE"""),"Man, Woman, Man")</f>
        <v>Man, Woman, Man</v>
      </c>
      <c r="B427" s="6" t="str">
        <f ca="1">IFERROR(__xludf.DUMMYFUNCTION("""COMPUTED_VALUE"""),"SimSkills _2022")</f>
        <v>SimSkills _2022</v>
      </c>
      <c r="C427" s="6" t="str">
        <f ca="1">IFERROR(__xludf.DUMMYFUNCTION("""COMPUTED_VALUE"""),"Digital Tech")</f>
        <v>Digital Tech</v>
      </c>
      <c r="D427" s="6" t="str">
        <f ca="1">IFERROR(__xludf.DUMMYFUNCTION("""COMPUTED_VALUE"""),"Calle de Velazquez 124, Madrid 
Spain")</f>
        <v>Calle de Velazquez 124, Madrid 
Spain</v>
      </c>
      <c r="E427" s="6" t="str">
        <f ca="1">IFERROR(__xludf.DUMMYFUNCTION("""COMPUTED_VALUE"""),"International - Europe")</f>
        <v>International - Europe</v>
      </c>
      <c r="F427" s="6" t="str">
        <f ca="1">IFERROR(__xludf.DUMMYFUNCTION("""COMPUTED_VALUE"""),"Man")</f>
        <v>Man</v>
      </c>
      <c r="G427" s="6" t="str">
        <f ca="1">IFERROR(__xludf.DUMMYFUNCTION("""COMPUTED_VALUE"""),"Woman")</f>
        <v>Woman</v>
      </c>
      <c r="H427" s="6" t="str">
        <f ca="1">IFERROR(__xludf.DUMMYFUNCTION("""COMPUTED_VALUE"""),"Man")</f>
        <v>Man</v>
      </c>
      <c r="I427" s="6"/>
      <c r="J427" s="6"/>
      <c r="K427" s="6"/>
      <c r="L427" s="6" t="str">
        <f ca="1">IFERROR(__xludf.DUMMYFUNCTION("""COMPUTED_VALUE"""),"No")</f>
        <v>No</v>
      </c>
      <c r="M427" s="6"/>
      <c r="N427" s="6"/>
      <c r="O427" s="6" t="str">
        <f ca="1">IFERROR(__xludf.DUMMYFUNCTION("""COMPUTED_VALUE"""),"Email")</f>
        <v>Email</v>
      </c>
      <c r="P427" s="6"/>
      <c r="Q427" s="6" t="str">
        <f ca="1">IFERROR(__xludf.DUMMYFUNCTION("""COMPUTED_VALUE"""),"No")</f>
        <v>No</v>
      </c>
      <c r="R427" s="6">
        <f ca="1">IFERROR(__xludf.DUMMYFUNCTION("""COMPUTED_VALUE"""),3)</f>
        <v>3</v>
      </c>
      <c r="S427" s="6" t="str">
        <f ca="1">IFERROR(__xludf.DUMMYFUNCTION("""COMPUTED_VALUE"""),"Pre-seed")</f>
        <v>Pre-seed</v>
      </c>
      <c r="T427" s="6" t="str">
        <f ca="1">IFERROR(__xludf.DUMMYFUNCTION("""COMPUTED_VALUE"""),"Pre-seed")</f>
        <v>Pre-seed</v>
      </c>
      <c r="U427" s="6" t="str">
        <f ca="1">IFERROR(__xludf.DUMMYFUNCTION("""COMPUTED_VALUE"""),"Pre-seed")</f>
        <v>Pre-seed</v>
      </c>
      <c r="V427" s="6"/>
      <c r="W427" s="6" t="str">
        <f ca="1">IFERROR(__xludf.DUMMYFUNCTION("""COMPUTED_VALUE"""),"Invite Next Year")</f>
        <v>Invite Next Year</v>
      </c>
    </row>
    <row r="428" spans="1:23">
      <c r="A428" s="6" t="str">
        <f ca="1">IFERROR(__xludf.DUMMYFUNCTION("""COMPUTED_VALUE"""),"Man, Man")</f>
        <v>Man, Man</v>
      </c>
      <c r="B428" s="6" t="str">
        <f ca="1">IFERROR(__xludf.DUMMYFUNCTION("""COMPUTED_VALUE"""),"Constellation4 Health _2022")</f>
        <v>Constellation4 Health _2022</v>
      </c>
      <c r="C428" s="6" t="str">
        <f ca="1">IFERROR(__xludf.DUMMYFUNCTION("""COMPUTED_VALUE"""),"Life Sciences")</f>
        <v>Life Sciences</v>
      </c>
      <c r="D428" s="6" t="str">
        <f ca="1">IFERROR(__xludf.DUMMYFUNCTION("""COMPUTED_VALUE"""),"14502 N. Dale Mabry Hwy Suite 200, Florida 
United States")</f>
        <v>14502 N. Dale Mabry Hwy Suite 200, Florida 
United States</v>
      </c>
      <c r="E428" s="6" t="str">
        <f ca="1">IFERROR(__xludf.DUMMYFUNCTION("""COMPUTED_VALUE"""),"East Coast")</f>
        <v>East Coast</v>
      </c>
      <c r="F428" s="6" t="str">
        <f ca="1">IFERROR(__xludf.DUMMYFUNCTION("""COMPUTED_VALUE"""),"Man")</f>
        <v>Man</v>
      </c>
      <c r="G428" s="6" t="str">
        <f ca="1">IFERROR(__xludf.DUMMYFUNCTION("""COMPUTED_VALUE"""),"Man")</f>
        <v>Man</v>
      </c>
      <c r="H428" s="6"/>
      <c r="I428" s="6"/>
      <c r="J428" s="6"/>
      <c r="K428" s="6"/>
      <c r="L428" s="6" t="str">
        <f ca="1">IFERROR(__xludf.DUMMYFUNCTION("""COMPUTED_VALUE"""),"No")</f>
        <v>No</v>
      </c>
      <c r="M428" s="6"/>
      <c r="N428" s="6"/>
      <c r="O428" s="6" t="str">
        <f ca="1">IFERROR(__xludf.DUMMYFUNCTION("""COMPUTED_VALUE"""),"Email")</f>
        <v>Email</v>
      </c>
      <c r="P428" s="6"/>
      <c r="Q428" s="6" t="str">
        <f ca="1">IFERROR(__xludf.DUMMYFUNCTION("""COMPUTED_VALUE"""),"No")</f>
        <v>No</v>
      </c>
      <c r="R428" s="6">
        <f ca="1">IFERROR(__xludf.DUMMYFUNCTION("""COMPUTED_VALUE"""),2)</f>
        <v>2</v>
      </c>
      <c r="S428" s="6" t="str">
        <f ca="1">IFERROR(__xludf.DUMMYFUNCTION("""COMPUTED_VALUE"""),"Pre-seed")</f>
        <v>Pre-seed</v>
      </c>
      <c r="T428" s="6" t="str">
        <f ca="1">IFERROR(__xludf.DUMMYFUNCTION("""COMPUTED_VALUE"""),"Pre-seed")</f>
        <v>Pre-seed</v>
      </c>
      <c r="U428" s="6" t="str">
        <f ca="1">IFERROR(__xludf.DUMMYFUNCTION("""COMPUTED_VALUE"""),"Pre-seed")</f>
        <v>Pre-seed</v>
      </c>
      <c r="V428" s="6"/>
      <c r="W428" s="6" t="str">
        <f ca="1">IFERROR(__xludf.DUMMYFUNCTION("""COMPUTED_VALUE"""),"Invite Next Year")</f>
        <v>Invite Next Year</v>
      </c>
    </row>
    <row r="429" spans="1:23">
      <c r="A429" s="6" t="str">
        <f ca="1">IFERROR(__xludf.DUMMYFUNCTION("""COMPUTED_VALUE"""),"Man, Woman, Man, Man, Man, Man")</f>
        <v>Man, Woman, Man, Man, Man, Man</v>
      </c>
      <c r="B429" s="6" t="str">
        <f ca="1">IFERROR(__xludf.DUMMYFUNCTION("""COMPUTED_VALUE"""),"QurCan Therapeutics Inc. _2022")</f>
        <v>QurCan Therapeutics Inc. _2022</v>
      </c>
      <c r="C429" s="6" t="str">
        <f ca="1">IFERROR(__xludf.DUMMYFUNCTION("""COMPUTED_VALUE"""),"Life Sciences")</f>
        <v>Life Sciences</v>
      </c>
      <c r="D429" s="6" t="str">
        <f ca="1">IFERROR(__xludf.DUMMYFUNCTION("""COMPUTED_VALUE"""),"JLabs, 661 University of Toronto, Ontario 
Canada")</f>
        <v>JLabs, 661 University of Toronto, Ontario 
Canada</v>
      </c>
      <c r="E429" s="6" t="str">
        <f ca="1">IFERROR(__xludf.DUMMYFUNCTION("""COMPUTED_VALUE"""),"International - Americas")</f>
        <v>International - Americas</v>
      </c>
      <c r="F429" s="6" t="str">
        <f ca="1">IFERROR(__xludf.DUMMYFUNCTION("""COMPUTED_VALUE"""),"Man")</f>
        <v>Man</v>
      </c>
      <c r="G429" s="6" t="str">
        <f ca="1">IFERROR(__xludf.DUMMYFUNCTION("""COMPUTED_VALUE"""),"Woman")</f>
        <v>Woman</v>
      </c>
      <c r="H429" s="6" t="str">
        <f ca="1">IFERROR(__xludf.DUMMYFUNCTION("""COMPUTED_VALUE"""),"Man")</f>
        <v>Man</v>
      </c>
      <c r="I429" s="6" t="str">
        <f ca="1">IFERROR(__xludf.DUMMYFUNCTION("""COMPUTED_VALUE"""),"Man")</f>
        <v>Man</v>
      </c>
      <c r="J429" s="6" t="str">
        <f ca="1">IFERROR(__xludf.DUMMYFUNCTION("""COMPUTED_VALUE"""),"Man")</f>
        <v>Man</v>
      </c>
      <c r="K429" s="6" t="str">
        <f ca="1">IFERROR(__xludf.DUMMYFUNCTION("""COMPUTED_VALUE"""),"Man")</f>
        <v>Man</v>
      </c>
      <c r="L429" s="6" t="str">
        <f ca="1">IFERROR(__xludf.DUMMYFUNCTION("""COMPUTED_VALUE"""),"No")</f>
        <v>No</v>
      </c>
      <c r="M429" s="6"/>
      <c r="N429" s="6"/>
      <c r="O429" s="6" t="str">
        <f ca="1">IFERROR(__xludf.DUMMYFUNCTION("""COMPUTED_VALUE"""),"Email")</f>
        <v>Email</v>
      </c>
      <c r="P429" s="6"/>
      <c r="Q429" s="6" t="str">
        <f ca="1">IFERROR(__xludf.DUMMYFUNCTION("""COMPUTED_VALUE"""),"No")</f>
        <v>No</v>
      </c>
      <c r="R429" s="6">
        <f ca="1">IFERROR(__xludf.DUMMYFUNCTION("""COMPUTED_VALUE"""),6)</f>
        <v>6</v>
      </c>
      <c r="S429" s="6" t="str">
        <f ca="1">IFERROR(__xludf.DUMMYFUNCTION("""COMPUTED_VALUE"""),"Seed")</f>
        <v>Seed</v>
      </c>
      <c r="T429" s="6" t="str">
        <f ca="1">IFERROR(__xludf.DUMMYFUNCTION("""COMPUTED_VALUE"""),"Seed")</f>
        <v>Seed</v>
      </c>
      <c r="U429" s="6" t="str">
        <f ca="1">IFERROR(__xludf.DUMMYFUNCTION("""COMPUTED_VALUE"""),"Seed")</f>
        <v>Seed</v>
      </c>
      <c r="V429" s="6"/>
      <c r="W429" s="6" t="str">
        <f ca="1">IFERROR(__xludf.DUMMYFUNCTION("""COMPUTED_VALUE"""),"Invite")</f>
        <v>Invite</v>
      </c>
    </row>
    <row r="430" spans="1:23">
      <c r="A430" s="6" t="str">
        <f ca="1">IFERROR(__xludf.DUMMYFUNCTION("""COMPUTED_VALUE"""),"Man, Man")</f>
        <v>Man, Man</v>
      </c>
      <c r="B430" s="6" t="str">
        <f ca="1">IFERROR(__xludf.DUMMYFUNCTION("""COMPUTED_VALUE"""),"Altafid _2022")</f>
        <v>Altafid _2022</v>
      </c>
      <c r="C430" s="6" t="str">
        <f ca="1">IFERROR(__xludf.DUMMYFUNCTION("""COMPUTED_VALUE"""),"Digital Tech")</f>
        <v>Digital Tech</v>
      </c>
      <c r="D430" s="6" t="str">
        <f ca="1">IFERROR(__xludf.DUMMYFUNCTION("""COMPUTED_VALUE"""),"Austin, Texas 
United States")</f>
        <v>Austin, Texas 
United States</v>
      </c>
      <c r="E430" s="6" t="str">
        <f ca="1">IFERROR(__xludf.DUMMYFUNCTION("""COMPUTED_VALUE"""),"South")</f>
        <v>South</v>
      </c>
      <c r="F430" s="6" t="str">
        <f ca="1">IFERROR(__xludf.DUMMYFUNCTION("""COMPUTED_VALUE"""),"Man")</f>
        <v>Man</v>
      </c>
      <c r="G430" s="6" t="str">
        <f ca="1">IFERROR(__xludf.DUMMYFUNCTION("""COMPUTED_VALUE"""),"Man")</f>
        <v>Man</v>
      </c>
      <c r="H430" s="6"/>
      <c r="I430" s="6"/>
      <c r="J430" s="6"/>
      <c r="K430" s="6"/>
      <c r="L430" s="6" t="str">
        <f ca="1">IFERROR(__xludf.DUMMYFUNCTION("""COMPUTED_VALUE"""),"No")</f>
        <v>No</v>
      </c>
      <c r="M430" s="6"/>
      <c r="N430" s="6"/>
      <c r="O430" s="6" t="str">
        <f ca="1">IFERROR(__xludf.DUMMYFUNCTION("""COMPUTED_VALUE"""),"Referral")</f>
        <v>Referral</v>
      </c>
      <c r="P430" s="6"/>
      <c r="Q430" s="6" t="str">
        <f ca="1">IFERROR(__xludf.DUMMYFUNCTION("""COMPUTED_VALUE"""),"No")</f>
        <v>No</v>
      </c>
      <c r="R430" s="6">
        <f ca="1">IFERROR(__xludf.DUMMYFUNCTION("""COMPUTED_VALUE"""),2)</f>
        <v>2</v>
      </c>
      <c r="S430" s="6" t="str">
        <f ca="1">IFERROR(__xludf.DUMMYFUNCTION("""COMPUTED_VALUE"""),"Pre-seed
Seed")</f>
        <v>Pre-seed
Seed</v>
      </c>
      <c r="T430" s="6" t="str">
        <f ca="1">IFERROR(__xludf.DUMMYFUNCTION("""COMPUTED_VALUE"""),"Pre-seed, Seed")</f>
        <v>Pre-seed, Seed</v>
      </c>
      <c r="U430" s="6" t="str">
        <f ca="1">IFERROR(__xludf.DUMMYFUNCTION("""COMPUTED_VALUE"""),"Pre-seed, Seed")</f>
        <v>Pre-seed, Seed</v>
      </c>
      <c r="V430" s="6"/>
      <c r="W430" s="6" t="str">
        <f ca="1">IFERROR(__xludf.DUMMYFUNCTION("""COMPUTED_VALUE"""),"Invite Next Year")</f>
        <v>Invite Next Year</v>
      </c>
    </row>
    <row r="431" spans="1:23">
      <c r="A431" s="6" t="str">
        <f ca="1">IFERROR(__xludf.DUMMYFUNCTION("""COMPUTED_VALUE"""),"Man, Woman")</f>
        <v>Man, Woman</v>
      </c>
      <c r="B431" s="6" t="str">
        <f ca="1">IFERROR(__xludf.DUMMYFUNCTION("""COMPUTED_VALUE"""),"Olympian Motors _2022")</f>
        <v>Olympian Motors _2022</v>
      </c>
      <c r="C431" s="6" t="str">
        <f ca="1">IFERROR(__xludf.DUMMYFUNCTION("""COMPUTED_VALUE"""),"Deep Tech")</f>
        <v>Deep Tech</v>
      </c>
      <c r="D431" s="6" t="str">
        <f ca="1">IFERROR(__xludf.DUMMYFUNCTION("""COMPUTED_VALUE"""),"609 Greenwich St, New York, NY 10014, NY 
United States")</f>
        <v>609 Greenwich St, New York, NY 10014, NY 
United States</v>
      </c>
      <c r="E431" s="6" t="str">
        <f ca="1">IFERROR(__xludf.DUMMYFUNCTION("""COMPUTED_VALUE"""),"New York")</f>
        <v>New York</v>
      </c>
      <c r="F431" s="6" t="str">
        <f ca="1">IFERROR(__xludf.DUMMYFUNCTION("""COMPUTED_VALUE"""),"Man")</f>
        <v>Man</v>
      </c>
      <c r="G431" s="6" t="str">
        <f ca="1">IFERROR(__xludf.DUMMYFUNCTION("""COMPUTED_VALUE"""),"Woman")</f>
        <v>Woman</v>
      </c>
      <c r="H431" s="6"/>
      <c r="I431" s="6"/>
      <c r="J431" s="6"/>
      <c r="K431" s="6"/>
      <c r="L431" s="6" t="str">
        <f ca="1">IFERROR(__xludf.DUMMYFUNCTION("""COMPUTED_VALUE"""),"--Please select--")</f>
        <v>--Please select--</v>
      </c>
      <c r="M431" s="6"/>
      <c r="N431" s="6"/>
      <c r="O431" s="6" t="str">
        <f ca="1">IFERROR(__xludf.DUMMYFUNCTION("""COMPUTED_VALUE"""),"Email")</f>
        <v>Email</v>
      </c>
      <c r="P431" s="6"/>
      <c r="Q431" s="6" t="str">
        <f ca="1">IFERROR(__xludf.DUMMYFUNCTION("""COMPUTED_VALUE"""),"No")</f>
        <v>No</v>
      </c>
      <c r="R431" s="6">
        <f ca="1">IFERROR(__xludf.DUMMYFUNCTION("""COMPUTED_VALUE"""),2)</f>
        <v>2</v>
      </c>
      <c r="S431" s="6" t="str">
        <f ca="1">IFERROR(__xludf.DUMMYFUNCTION("""COMPUTED_VALUE"""),"Pre-seed")</f>
        <v>Pre-seed</v>
      </c>
      <c r="T431" s="6" t="str">
        <f ca="1">IFERROR(__xludf.DUMMYFUNCTION("""COMPUTED_VALUE"""),"Pre-seed")</f>
        <v>Pre-seed</v>
      </c>
      <c r="U431" s="6" t="str">
        <f ca="1">IFERROR(__xludf.DUMMYFUNCTION("""COMPUTED_VALUE"""),"Pre-seed")</f>
        <v>Pre-seed</v>
      </c>
      <c r="V431" s="6"/>
      <c r="W431" s="6" t="str">
        <f ca="1">IFERROR(__xludf.DUMMYFUNCTION("""COMPUTED_VALUE"""),"Invite")</f>
        <v>Invite</v>
      </c>
    </row>
    <row r="432" spans="1:23">
      <c r="A432" s="6" t="str">
        <f ca="1">IFERROR(__xludf.DUMMYFUNCTION("""COMPUTED_VALUE"""),"Woman, Woman")</f>
        <v>Woman, Woman</v>
      </c>
      <c r="B432" s="6" t="str">
        <f ca="1">IFERROR(__xludf.DUMMYFUNCTION("""COMPUTED_VALUE"""),"Novel Farms _2022")</f>
        <v>Novel Farms _2022</v>
      </c>
      <c r="C432" s="6" t="str">
        <f ca="1">IFERROR(__xludf.DUMMYFUNCTION("""COMPUTED_VALUE"""),"Life Sciences")</f>
        <v>Life Sciences</v>
      </c>
      <c r="D432" s="6" t="str">
        <f ca="1">IFERROR(__xludf.DUMMYFUNCTION("""COMPUTED_VALUE"""),"2988 San Pablo Ave, California 
United States")</f>
        <v>2988 San Pablo Ave, California 
United States</v>
      </c>
      <c r="E432" s="6" t="str">
        <f ca="1">IFERROR(__xludf.DUMMYFUNCTION("""COMPUTED_VALUE"""),"West Coast")</f>
        <v>West Coast</v>
      </c>
      <c r="F432" s="6" t="str">
        <f ca="1">IFERROR(__xludf.DUMMYFUNCTION("""COMPUTED_VALUE"""),"Woman")</f>
        <v>Woman</v>
      </c>
      <c r="G432" s="6" t="str">
        <f ca="1">IFERROR(__xludf.DUMMYFUNCTION("""COMPUTED_VALUE"""),"Woman")</f>
        <v>Woman</v>
      </c>
      <c r="H432" s="6"/>
      <c r="I432" s="6"/>
      <c r="J432" s="6"/>
      <c r="K432" s="6"/>
      <c r="L432" s="6" t="str">
        <f ca="1">IFERROR(__xludf.DUMMYFUNCTION("""COMPUTED_VALUE"""),"No")</f>
        <v>No</v>
      </c>
      <c r="M432" s="6"/>
      <c r="N432" s="6"/>
      <c r="O432" s="6" t="str">
        <f ca="1">IFERROR(__xludf.DUMMYFUNCTION("""COMPUTED_VALUE"""),"Email")</f>
        <v>Email</v>
      </c>
      <c r="P432" s="6"/>
      <c r="Q432" s="6" t="str">
        <f ca="1">IFERROR(__xludf.DUMMYFUNCTION("""COMPUTED_VALUE"""),"No")</f>
        <v>No</v>
      </c>
      <c r="R432" s="6">
        <f ca="1">IFERROR(__xludf.DUMMYFUNCTION("""COMPUTED_VALUE"""),2)</f>
        <v>2</v>
      </c>
      <c r="S432" s="6" t="str">
        <f ca="1">IFERROR(__xludf.DUMMYFUNCTION("""COMPUTED_VALUE"""),"Pre-seed")</f>
        <v>Pre-seed</v>
      </c>
      <c r="T432" s="6" t="str">
        <f ca="1">IFERROR(__xludf.DUMMYFUNCTION("""COMPUTED_VALUE"""),"Pre-seed")</f>
        <v>Pre-seed</v>
      </c>
      <c r="U432" s="6" t="str">
        <f ca="1">IFERROR(__xludf.DUMMYFUNCTION("""COMPUTED_VALUE"""),"Pre-seed")</f>
        <v>Pre-seed</v>
      </c>
      <c r="V432" s="6"/>
      <c r="W432" s="6" t="str">
        <f ca="1">IFERROR(__xludf.DUMMYFUNCTION("""COMPUTED_VALUE"""),"Invite Next Year")</f>
        <v>Invite Next Year</v>
      </c>
    </row>
    <row r="433" spans="1:23">
      <c r="A433" s="6" t="str">
        <f ca="1">IFERROR(__xludf.DUMMYFUNCTION("""COMPUTED_VALUE"""),"Man, Man")</f>
        <v>Man, Man</v>
      </c>
      <c r="B433" s="6" t="str">
        <f ca="1">IFERROR(__xludf.DUMMYFUNCTION("""COMPUTED_VALUE"""),"Ndal Mfg Inc., Biofilm Medical _2022")</f>
        <v>Ndal Mfg Inc., Biofilm Medical _2022</v>
      </c>
      <c r="C433" s="6" t="str">
        <f ca="1">IFERROR(__xludf.DUMMYFUNCTION("""COMPUTED_VALUE"""),"Life Sciences")</f>
        <v>Life Sciences</v>
      </c>
      <c r="D433" s="6" t="str">
        <f ca="1">IFERROR(__xludf.DUMMYFUNCTION("""COMPUTED_VALUE"""),"80 Garden Court, STE 100, Monterey, CA 93940 
United States")</f>
        <v>80 Garden Court, STE 100, Monterey, CA 93940 
United States</v>
      </c>
      <c r="E433" s="6" t="str">
        <f ca="1">IFERROR(__xludf.DUMMYFUNCTION("""COMPUTED_VALUE"""),"West Coast")</f>
        <v>West Coast</v>
      </c>
      <c r="F433" s="6" t="str">
        <f ca="1">IFERROR(__xludf.DUMMYFUNCTION("""COMPUTED_VALUE"""),"Man")</f>
        <v>Man</v>
      </c>
      <c r="G433" s="6" t="str">
        <f ca="1">IFERROR(__xludf.DUMMYFUNCTION("""COMPUTED_VALUE"""),"Man")</f>
        <v>Man</v>
      </c>
      <c r="H433" s="6"/>
      <c r="I433" s="6"/>
      <c r="J433" s="6"/>
      <c r="K433" s="6"/>
      <c r="L433" s="6" t="str">
        <f ca="1">IFERROR(__xludf.DUMMYFUNCTION("""COMPUTED_VALUE"""),"No")</f>
        <v>No</v>
      </c>
      <c r="M433" s="6"/>
      <c r="N433" s="6"/>
      <c r="O433" s="6" t="str">
        <f ca="1">IFERROR(__xludf.DUMMYFUNCTION("""COMPUTED_VALUE"""),"Email")</f>
        <v>Email</v>
      </c>
      <c r="P433" s="6"/>
      <c r="Q433" s="6" t="str">
        <f ca="1">IFERROR(__xludf.DUMMYFUNCTION("""COMPUTED_VALUE"""),"No")</f>
        <v>No</v>
      </c>
      <c r="R433" s="6">
        <f ca="1">IFERROR(__xludf.DUMMYFUNCTION("""COMPUTED_VALUE"""),2)</f>
        <v>2</v>
      </c>
      <c r="S433" s="6" t="str">
        <f ca="1">IFERROR(__xludf.DUMMYFUNCTION("""COMPUTED_VALUE"""),"Pre-seed
Seed")</f>
        <v>Pre-seed
Seed</v>
      </c>
      <c r="T433" s="6" t="str">
        <f ca="1">IFERROR(__xludf.DUMMYFUNCTION("""COMPUTED_VALUE"""),"Pre-seed, Seed")</f>
        <v>Pre-seed, Seed</v>
      </c>
      <c r="U433" s="6" t="str">
        <f ca="1">IFERROR(__xludf.DUMMYFUNCTION("""COMPUTED_VALUE"""),"Pre-seed, Seed")</f>
        <v>Pre-seed, Seed</v>
      </c>
      <c r="V433" s="6"/>
      <c r="W433" s="6" t="str">
        <f ca="1">IFERROR(__xludf.DUMMYFUNCTION("""COMPUTED_VALUE"""),"Invite Next Year")</f>
        <v>Invite Next Year</v>
      </c>
    </row>
    <row r="434" spans="1:23">
      <c r="A434" s="6" t="str">
        <f ca="1">IFERROR(__xludf.DUMMYFUNCTION("""COMPUTED_VALUE"""),"Man")</f>
        <v>Man</v>
      </c>
      <c r="B434" s="6" t="str">
        <f ca="1">IFERROR(__xludf.DUMMYFUNCTION("""COMPUTED_VALUE"""),"Cleanlight _2022")</f>
        <v>Cleanlight _2022</v>
      </c>
      <c r="C434" s="6" t="str">
        <f ca="1">IFERROR(__xludf.DUMMYFUNCTION("""COMPUTED_VALUE"""),"Deep Tech")</f>
        <v>Deep Tech</v>
      </c>
      <c r="D434" s="6" t="str">
        <f ca="1">IFERROR(__xludf.DUMMYFUNCTION("""COMPUTED_VALUE"""),"Vespucio 551, Santiago 
Chile")</f>
        <v>Vespucio 551, Santiago 
Chile</v>
      </c>
      <c r="E434" s="6" t="str">
        <f ca="1">IFERROR(__xludf.DUMMYFUNCTION("""COMPUTED_VALUE"""),"International - Americas")</f>
        <v>International - Americas</v>
      </c>
      <c r="F434" s="6" t="str">
        <f ca="1">IFERROR(__xludf.DUMMYFUNCTION("""COMPUTED_VALUE"""),"Man")</f>
        <v>Man</v>
      </c>
      <c r="G434" s="6"/>
      <c r="H434" s="6"/>
      <c r="I434" s="6"/>
      <c r="J434" s="6"/>
      <c r="K434" s="6"/>
      <c r="L434" s="6" t="str">
        <f ca="1">IFERROR(__xludf.DUMMYFUNCTION("""COMPUTED_VALUE"""),"No")</f>
        <v>No</v>
      </c>
      <c r="M434" s="6"/>
      <c r="N434" s="6"/>
      <c r="O434" s="6" t="str">
        <f ca="1">IFERROR(__xludf.DUMMYFUNCTION("""COMPUTED_VALUE"""),"NYU Newsletter")</f>
        <v>NYU Newsletter</v>
      </c>
      <c r="P434" s="6"/>
      <c r="Q434" s="6" t="str">
        <f ca="1">IFERROR(__xludf.DUMMYFUNCTION("""COMPUTED_VALUE"""),"No")</f>
        <v>No</v>
      </c>
      <c r="R434" s="6">
        <f ca="1">IFERROR(__xludf.DUMMYFUNCTION("""COMPUTED_VALUE"""),1)</f>
        <v>1</v>
      </c>
      <c r="S434" s="6" t="str">
        <f ca="1">IFERROR(__xludf.DUMMYFUNCTION("""COMPUTED_VALUE"""),"Seed")</f>
        <v>Seed</v>
      </c>
      <c r="T434" s="6" t="str">
        <f ca="1">IFERROR(__xludf.DUMMYFUNCTION("""COMPUTED_VALUE"""),"Seed")</f>
        <v>Seed</v>
      </c>
      <c r="U434" s="6" t="str">
        <f ca="1">IFERROR(__xludf.DUMMYFUNCTION("""COMPUTED_VALUE"""),"Seed")</f>
        <v>Seed</v>
      </c>
      <c r="V434" s="6"/>
      <c r="W434" s="6" t="str">
        <f ca="1">IFERROR(__xludf.DUMMYFUNCTION("""COMPUTED_VALUE"""),"Invite Next Year")</f>
        <v>Invite Next Year</v>
      </c>
    </row>
    <row r="435" spans="1:23">
      <c r="A435" s="6" t="str">
        <f ca="1">IFERROR(__xludf.DUMMYFUNCTION("""COMPUTED_VALUE"""),"Man, Woman, Woman")</f>
        <v>Man, Woman, Woman</v>
      </c>
      <c r="B435" s="6" t="str">
        <f ca="1">IFERROR(__xludf.DUMMYFUNCTION("""COMPUTED_VALUE"""),"Ischemia Care _2022")</f>
        <v>Ischemia Care _2022</v>
      </c>
      <c r="C435" s="6" t="str">
        <f ca="1">IFERROR(__xludf.DUMMYFUNCTION("""COMPUTED_VALUE"""),"Life Sciences")</f>
        <v>Life Sciences</v>
      </c>
      <c r="D435" s="6" t="str">
        <f ca="1">IFERROR(__xludf.DUMMYFUNCTION("""COMPUTED_VALUE"""),"347 South College Avenue, Suite B, Oxford, Ohio 
United States")</f>
        <v>347 South College Avenue, Suite B, Oxford, Ohio 
United States</v>
      </c>
      <c r="E435" s="6" t="str">
        <f ca="1">IFERROR(__xludf.DUMMYFUNCTION("""COMPUTED_VALUE"""),"Midwest")</f>
        <v>Midwest</v>
      </c>
      <c r="F435" s="6" t="str">
        <f ca="1">IFERROR(__xludf.DUMMYFUNCTION("""COMPUTED_VALUE"""),"Man")</f>
        <v>Man</v>
      </c>
      <c r="G435" s="6" t="str">
        <f ca="1">IFERROR(__xludf.DUMMYFUNCTION("""COMPUTED_VALUE"""),"Woman")</f>
        <v>Woman</v>
      </c>
      <c r="H435" s="6" t="str">
        <f ca="1">IFERROR(__xludf.DUMMYFUNCTION("""COMPUTED_VALUE"""),"Woman")</f>
        <v>Woman</v>
      </c>
      <c r="I435" s="6"/>
      <c r="J435" s="6"/>
      <c r="K435" s="6"/>
      <c r="L435" s="6" t="str">
        <f ca="1">IFERROR(__xludf.DUMMYFUNCTION("""COMPUTED_VALUE"""),"No")</f>
        <v>No</v>
      </c>
      <c r="M435" s="6"/>
      <c r="N435" s="6"/>
      <c r="O435" s="6" t="str">
        <f ca="1">IFERROR(__xludf.DUMMYFUNCTION("""COMPUTED_VALUE"""),"Email")</f>
        <v>Email</v>
      </c>
      <c r="P435" s="6"/>
      <c r="Q435" s="6" t="str">
        <f ca="1">IFERROR(__xludf.DUMMYFUNCTION("""COMPUTED_VALUE"""),"No")</f>
        <v>No</v>
      </c>
      <c r="R435" s="6">
        <f ca="1">IFERROR(__xludf.DUMMYFUNCTION("""COMPUTED_VALUE"""),3)</f>
        <v>3</v>
      </c>
      <c r="S435" s="6" t="str">
        <f ca="1">IFERROR(__xludf.DUMMYFUNCTION("""COMPUTED_VALUE"""),"Seed
Grants")</f>
        <v>Seed
Grants</v>
      </c>
      <c r="T435" s="6" t="str">
        <f ca="1">IFERROR(__xludf.DUMMYFUNCTION("""COMPUTED_VALUE"""),"Seed, Grants")</f>
        <v>Seed, Grants</v>
      </c>
      <c r="U435" s="6" t="str">
        <f ca="1">IFERROR(__xludf.DUMMYFUNCTION("""COMPUTED_VALUE"""),"Seed, Grants")</f>
        <v>Seed, Grants</v>
      </c>
      <c r="V435" s="6"/>
      <c r="W435" s="6" t="str">
        <f ca="1">IFERROR(__xludf.DUMMYFUNCTION("""COMPUTED_VALUE"""),"Invite")</f>
        <v>Invite</v>
      </c>
    </row>
    <row r="436" spans="1:23">
      <c r="A436" s="6" t="str">
        <f ca="1">IFERROR(__xludf.DUMMYFUNCTION("""COMPUTED_VALUE"""),"Man, Woman, Man")</f>
        <v>Man, Woman, Man</v>
      </c>
      <c r="B436" s="6" t="str">
        <f ca="1">IFERROR(__xludf.DUMMYFUNCTION("""COMPUTED_VALUE"""),"satis.ai ltd _2022")</f>
        <v>satis.ai ltd _2022</v>
      </c>
      <c r="C436" s="6" t="str">
        <f ca="1">IFERROR(__xludf.DUMMYFUNCTION("""COMPUTED_VALUE"""),"Deep Tech")</f>
        <v>Deep Tech</v>
      </c>
      <c r="D436" s="6" t="str">
        <f ca="1">IFERROR(__xludf.DUMMYFUNCTION("""COMPUTED_VALUE"""),"London, London 
United Kingdom")</f>
        <v>London, London 
United Kingdom</v>
      </c>
      <c r="E436" s="6" t="str">
        <f ca="1">IFERROR(__xludf.DUMMYFUNCTION("""COMPUTED_VALUE"""),"International - Europe")</f>
        <v>International - Europe</v>
      </c>
      <c r="F436" s="6" t="str">
        <f ca="1">IFERROR(__xludf.DUMMYFUNCTION("""COMPUTED_VALUE"""),"Man")</f>
        <v>Man</v>
      </c>
      <c r="G436" s="6" t="str">
        <f ca="1">IFERROR(__xludf.DUMMYFUNCTION("""COMPUTED_VALUE"""),"Woman")</f>
        <v>Woman</v>
      </c>
      <c r="H436" s="6" t="str">
        <f ca="1">IFERROR(__xludf.DUMMYFUNCTION("""COMPUTED_VALUE"""),"Man")</f>
        <v>Man</v>
      </c>
      <c r="I436" s="6"/>
      <c r="J436" s="6"/>
      <c r="K436" s="6"/>
      <c r="L436" s="6" t="str">
        <f ca="1">IFERROR(__xludf.DUMMYFUNCTION("""COMPUTED_VALUE"""),"--Please select--")</f>
        <v>--Please select--</v>
      </c>
      <c r="M436" s="6"/>
      <c r="N436" s="6"/>
      <c r="O436" s="6" t="str">
        <f ca="1">IFERROR(__xludf.DUMMYFUNCTION("""COMPUTED_VALUE"""),"Referral")</f>
        <v>Referral</v>
      </c>
      <c r="P436" s="6"/>
      <c r="Q436" s="6" t="str">
        <f ca="1">IFERROR(__xludf.DUMMYFUNCTION("""COMPUTED_VALUE"""),"No")</f>
        <v>No</v>
      </c>
      <c r="R436" s="6">
        <f ca="1">IFERROR(__xludf.DUMMYFUNCTION("""COMPUTED_VALUE"""),3)</f>
        <v>3</v>
      </c>
      <c r="S436" s="6" t="str">
        <f ca="1">IFERROR(__xludf.DUMMYFUNCTION("""COMPUTED_VALUE"""),"Pre-seed")</f>
        <v>Pre-seed</v>
      </c>
      <c r="T436" s="6" t="str">
        <f ca="1">IFERROR(__xludf.DUMMYFUNCTION("""COMPUTED_VALUE"""),"Pre-seed")</f>
        <v>Pre-seed</v>
      </c>
      <c r="U436" s="6" t="str">
        <f ca="1">IFERROR(__xludf.DUMMYFUNCTION("""COMPUTED_VALUE"""),"Pre-seed")</f>
        <v>Pre-seed</v>
      </c>
      <c r="V436" s="6"/>
      <c r="W436" s="6" t="str">
        <f ca="1">IFERROR(__xludf.DUMMYFUNCTION("""COMPUTED_VALUE"""),"Revisit")</f>
        <v>Revisit</v>
      </c>
    </row>
    <row r="437" spans="1:23">
      <c r="A437" s="6" t="str">
        <f ca="1">IFERROR(__xludf.DUMMYFUNCTION("""COMPUTED_VALUE"""),"Man, Man, Man, Man")</f>
        <v>Man, Man, Man, Man</v>
      </c>
      <c r="B437" s="6" t="str">
        <f ca="1">IFERROR(__xludf.DUMMYFUNCTION("""COMPUTED_VALUE"""),"Hadada Global Limited _2022")</f>
        <v>Hadada Global Limited _2022</v>
      </c>
      <c r="C437" s="6" t="str">
        <f ca="1">IFERROR(__xludf.DUMMYFUNCTION("""COMPUTED_VALUE"""),"Digital Tech")</f>
        <v>Digital Tech</v>
      </c>
      <c r="D437" s="6" t="str">
        <f ca="1">IFERROR(__xludf.DUMMYFUNCTION("""COMPUTED_VALUE"""),"71-75 Shelton Street, London 
United Kingdom")</f>
        <v>71-75 Shelton Street, London 
United Kingdom</v>
      </c>
      <c r="E437" s="6" t="str">
        <f ca="1">IFERROR(__xludf.DUMMYFUNCTION("""COMPUTED_VALUE"""),"International - Europe")</f>
        <v>International - Europe</v>
      </c>
      <c r="F437" s="6" t="str">
        <f ca="1">IFERROR(__xludf.DUMMYFUNCTION("""COMPUTED_VALUE"""),"Man")</f>
        <v>Man</v>
      </c>
      <c r="G437" s="6" t="str">
        <f ca="1">IFERROR(__xludf.DUMMYFUNCTION("""COMPUTED_VALUE"""),"Man")</f>
        <v>Man</v>
      </c>
      <c r="H437" s="6" t="str">
        <f ca="1">IFERROR(__xludf.DUMMYFUNCTION("""COMPUTED_VALUE"""),"Man")</f>
        <v>Man</v>
      </c>
      <c r="I437" s="6" t="str">
        <f ca="1">IFERROR(__xludf.DUMMYFUNCTION("""COMPUTED_VALUE"""),"Man")</f>
        <v>Man</v>
      </c>
      <c r="J437" s="6"/>
      <c r="K437" s="6"/>
      <c r="L437" s="6" t="str">
        <f ca="1">IFERROR(__xludf.DUMMYFUNCTION("""COMPUTED_VALUE"""),"No")</f>
        <v>No</v>
      </c>
      <c r="M437" s="6"/>
      <c r="N437" s="6"/>
      <c r="O437" s="6" t="str">
        <f ca="1">IFERROR(__xludf.DUMMYFUNCTION("""COMPUTED_VALUE"""),"NYU Newsletter")</f>
        <v>NYU Newsletter</v>
      </c>
      <c r="P437" s="6"/>
      <c r="Q437" s="6" t="str">
        <f ca="1">IFERROR(__xludf.DUMMYFUNCTION("""COMPUTED_VALUE"""),"No")</f>
        <v>No</v>
      </c>
      <c r="R437" s="6">
        <f ca="1">IFERROR(__xludf.DUMMYFUNCTION("""COMPUTED_VALUE"""),4)</f>
        <v>4</v>
      </c>
      <c r="S437" s="6" t="str">
        <f ca="1">IFERROR(__xludf.DUMMYFUNCTION("""COMPUTED_VALUE"""),"Pre-seed")</f>
        <v>Pre-seed</v>
      </c>
      <c r="T437" s="6" t="str">
        <f ca="1">IFERROR(__xludf.DUMMYFUNCTION("""COMPUTED_VALUE"""),"Pre-seed")</f>
        <v>Pre-seed</v>
      </c>
      <c r="U437" s="6" t="str">
        <f ca="1">IFERROR(__xludf.DUMMYFUNCTION("""COMPUTED_VALUE"""),"Pre-seed")</f>
        <v>Pre-seed</v>
      </c>
      <c r="V437" s="6"/>
      <c r="W437" s="6" t="str">
        <f ca="1">IFERROR(__xludf.DUMMYFUNCTION("""COMPUTED_VALUE"""),"Invite Next Year")</f>
        <v>Invite Next Year</v>
      </c>
    </row>
    <row r="438" spans="1:23">
      <c r="A438" s="6" t="str">
        <f ca="1">IFERROR(__xludf.DUMMYFUNCTION("""COMPUTED_VALUE"""),"Man, Man, Man, Woman, Woman, Man")</f>
        <v>Man, Man, Man, Woman, Woman, Man</v>
      </c>
      <c r="B438" s="6" t="str">
        <f ca="1">IFERROR(__xludf.DUMMYFUNCTION("""COMPUTED_VALUE"""),"Anavah Health _2022")</f>
        <v>Anavah Health _2022</v>
      </c>
      <c r="C438" s="6" t="str">
        <f ca="1">IFERROR(__xludf.DUMMYFUNCTION("""COMPUTED_VALUE"""),"Digital Tech")</f>
        <v>Digital Tech</v>
      </c>
      <c r="D438" s="6" t="str">
        <f ca="1">IFERROR(__xludf.DUMMYFUNCTION("""COMPUTED_VALUE"""),"8 Swarthmore Road Wellesley, MA 02482, MA 
United States")</f>
        <v>8 Swarthmore Road Wellesley, MA 02482, MA 
United States</v>
      </c>
      <c r="E438" s="6" t="str">
        <f ca="1">IFERROR(__xludf.DUMMYFUNCTION("""COMPUTED_VALUE"""),"East Coast")</f>
        <v>East Coast</v>
      </c>
      <c r="F438" s="6" t="str">
        <f ca="1">IFERROR(__xludf.DUMMYFUNCTION("""COMPUTED_VALUE"""),"Man")</f>
        <v>Man</v>
      </c>
      <c r="G438" s="6" t="str">
        <f ca="1">IFERROR(__xludf.DUMMYFUNCTION("""COMPUTED_VALUE"""),"Man")</f>
        <v>Man</v>
      </c>
      <c r="H438" s="6" t="str">
        <f ca="1">IFERROR(__xludf.DUMMYFUNCTION("""COMPUTED_VALUE"""),"Man")</f>
        <v>Man</v>
      </c>
      <c r="I438" s="6" t="str">
        <f ca="1">IFERROR(__xludf.DUMMYFUNCTION("""COMPUTED_VALUE"""),"Woman")</f>
        <v>Woman</v>
      </c>
      <c r="J438" s="6" t="str">
        <f ca="1">IFERROR(__xludf.DUMMYFUNCTION("""COMPUTED_VALUE"""),"Woman")</f>
        <v>Woman</v>
      </c>
      <c r="K438" s="6" t="str">
        <f ca="1">IFERROR(__xludf.DUMMYFUNCTION("""COMPUTED_VALUE"""),"Man")</f>
        <v>Man</v>
      </c>
      <c r="L438" s="6" t="str">
        <f ca="1">IFERROR(__xludf.DUMMYFUNCTION("""COMPUTED_VALUE"""),"No")</f>
        <v>No</v>
      </c>
      <c r="M438" s="6"/>
      <c r="N438" s="6"/>
      <c r="O438" s="6" t="str">
        <f ca="1">IFERROR(__xludf.DUMMYFUNCTION("""COMPUTED_VALUE"""),"Email")</f>
        <v>Email</v>
      </c>
      <c r="P438" s="6"/>
      <c r="Q438" s="6" t="str">
        <f ca="1">IFERROR(__xludf.DUMMYFUNCTION("""COMPUTED_VALUE"""),"No")</f>
        <v>No</v>
      </c>
      <c r="R438" s="6">
        <f ca="1">IFERROR(__xludf.DUMMYFUNCTION("""COMPUTED_VALUE"""),6)</f>
        <v>6</v>
      </c>
      <c r="S438" s="6" t="str">
        <f ca="1">IFERROR(__xludf.DUMMYFUNCTION("""COMPUTED_VALUE"""),"Seed")</f>
        <v>Seed</v>
      </c>
      <c r="T438" s="6" t="str">
        <f ca="1">IFERROR(__xludf.DUMMYFUNCTION("""COMPUTED_VALUE"""),"Seed")</f>
        <v>Seed</v>
      </c>
      <c r="U438" s="6" t="str">
        <f ca="1">IFERROR(__xludf.DUMMYFUNCTION("""COMPUTED_VALUE"""),"Seed")</f>
        <v>Seed</v>
      </c>
      <c r="V438" s="6"/>
      <c r="W438" s="6" t="str">
        <f ca="1">IFERROR(__xludf.DUMMYFUNCTION("""COMPUTED_VALUE"""),"Invite Next Year")</f>
        <v>Invite Next Year</v>
      </c>
    </row>
    <row r="439" spans="1:23">
      <c r="A439" s="6" t="str">
        <f ca="1">IFERROR(__xludf.DUMMYFUNCTION("""COMPUTED_VALUE"""),"Man")</f>
        <v>Man</v>
      </c>
      <c r="B439" s="6" t="str">
        <f ca="1">IFERROR(__xludf.DUMMYFUNCTION("""COMPUTED_VALUE"""),"IT'SRAPID _2022")</f>
        <v>IT'SRAPID _2022</v>
      </c>
      <c r="C439" s="6" t="str">
        <f ca="1">IFERROR(__xludf.DUMMYFUNCTION("""COMPUTED_VALUE"""),"Digital Tech")</f>
        <v>Digital Tech</v>
      </c>
      <c r="D439" s="6" t="str">
        <f ca="1">IFERROR(__xludf.DUMMYFUNCTION("""COMPUTED_VALUE"""),"Palo Alto, CA 
United States")</f>
        <v>Palo Alto, CA 
United States</v>
      </c>
      <c r="E439" s="6" t="str">
        <f ca="1">IFERROR(__xludf.DUMMYFUNCTION("""COMPUTED_VALUE"""),"West Coast")</f>
        <v>West Coast</v>
      </c>
      <c r="F439" s="6" t="str">
        <f ca="1">IFERROR(__xludf.DUMMYFUNCTION("""COMPUTED_VALUE"""),"Man")</f>
        <v>Man</v>
      </c>
      <c r="G439" s="6"/>
      <c r="H439" s="6"/>
      <c r="I439" s="6"/>
      <c r="J439" s="6"/>
      <c r="K439" s="6"/>
      <c r="L439" s="6" t="str">
        <f ca="1">IFERROR(__xludf.DUMMYFUNCTION("""COMPUTED_VALUE"""),"No")</f>
        <v>No</v>
      </c>
      <c r="M439" s="6"/>
      <c r="N439" s="6"/>
      <c r="O439" s="6" t="str">
        <f ca="1">IFERROR(__xludf.DUMMYFUNCTION("""COMPUTED_VALUE"""),"Email")</f>
        <v>Email</v>
      </c>
      <c r="P439" s="6"/>
      <c r="Q439" s="6" t="str">
        <f ca="1">IFERROR(__xludf.DUMMYFUNCTION("""COMPUTED_VALUE"""),"No")</f>
        <v>No</v>
      </c>
      <c r="R439" s="6">
        <f ca="1">IFERROR(__xludf.DUMMYFUNCTION("""COMPUTED_VALUE"""),1)</f>
        <v>1</v>
      </c>
      <c r="S439" s="6" t="str">
        <f ca="1">IFERROR(__xludf.DUMMYFUNCTION("""COMPUTED_VALUE"""),"Pre-seed")</f>
        <v>Pre-seed</v>
      </c>
      <c r="T439" s="6" t="str">
        <f ca="1">IFERROR(__xludf.DUMMYFUNCTION("""COMPUTED_VALUE"""),"Pre-seed")</f>
        <v>Pre-seed</v>
      </c>
      <c r="U439" s="6" t="str">
        <f ca="1">IFERROR(__xludf.DUMMYFUNCTION("""COMPUTED_VALUE"""),"Pre-seed")</f>
        <v>Pre-seed</v>
      </c>
      <c r="V439" s="6"/>
      <c r="W439" s="6" t="str">
        <f ca="1">IFERROR(__xludf.DUMMYFUNCTION("""COMPUTED_VALUE"""),"Invite Next Year")</f>
        <v>Invite Next Year</v>
      </c>
    </row>
    <row r="440" spans="1:23">
      <c r="A440" s="6" t="str">
        <f ca="1">IFERROR(__xludf.DUMMYFUNCTION("""COMPUTED_VALUE"""),"Man")</f>
        <v>Man</v>
      </c>
      <c r="B440" s="6" t="str">
        <f ca="1">IFERROR(__xludf.DUMMYFUNCTION("""COMPUTED_VALUE"""),"Dteckt, Inc. _2022")</f>
        <v>Dteckt, Inc. _2022</v>
      </c>
      <c r="C440" s="6" t="str">
        <f ca="1">IFERROR(__xludf.DUMMYFUNCTION("""COMPUTED_VALUE"""),"Digital Tech")</f>
        <v>Digital Tech</v>
      </c>
      <c r="D440" s="6" t="str">
        <f ca="1">IFERROR(__xludf.DUMMYFUNCTION("""COMPUTED_VALUE"""),"4760 S Highland Drive Holladay UT 84117, Utah 
United States")</f>
        <v>4760 S Highland Drive Holladay UT 84117, Utah 
United States</v>
      </c>
      <c r="E440" s="6" t="str">
        <f ca="1">IFERROR(__xludf.DUMMYFUNCTION("""COMPUTED_VALUE"""),"West")</f>
        <v>West</v>
      </c>
      <c r="F440" s="6" t="str">
        <f ca="1">IFERROR(__xludf.DUMMYFUNCTION("""COMPUTED_VALUE"""),"Man")</f>
        <v>Man</v>
      </c>
      <c r="G440" s="6"/>
      <c r="H440" s="6"/>
      <c r="I440" s="6"/>
      <c r="J440" s="6"/>
      <c r="K440" s="6"/>
      <c r="L440" s="6" t="str">
        <f ca="1">IFERROR(__xludf.DUMMYFUNCTION("""COMPUTED_VALUE"""),"No")</f>
        <v>No</v>
      </c>
      <c r="M440" s="6"/>
      <c r="N440" s="6"/>
      <c r="O440" s="6" t="str">
        <f ca="1">IFERROR(__xludf.DUMMYFUNCTION("""COMPUTED_VALUE"""),"Email")</f>
        <v>Email</v>
      </c>
      <c r="P440" s="6"/>
      <c r="Q440" s="6" t="str">
        <f ca="1">IFERROR(__xludf.DUMMYFUNCTION("""COMPUTED_VALUE"""),"No")</f>
        <v>No</v>
      </c>
      <c r="R440" s="6">
        <f ca="1">IFERROR(__xludf.DUMMYFUNCTION("""COMPUTED_VALUE"""),1)</f>
        <v>1</v>
      </c>
      <c r="S440" s="6" t="str">
        <f ca="1">IFERROR(__xludf.DUMMYFUNCTION("""COMPUTED_VALUE"""),"Pre-seed")</f>
        <v>Pre-seed</v>
      </c>
      <c r="T440" s="6" t="str">
        <f ca="1">IFERROR(__xludf.DUMMYFUNCTION("""COMPUTED_VALUE"""),"Pre-seed")</f>
        <v>Pre-seed</v>
      </c>
      <c r="U440" s="6" t="str">
        <f ca="1">IFERROR(__xludf.DUMMYFUNCTION("""COMPUTED_VALUE"""),"Pre-seed")</f>
        <v>Pre-seed</v>
      </c>
      <c r="V440" s="6"/>
      <c r="W440" s="6" t="str">
        <f ca="1">IFERROR(__xludf.DUMMYFUNCTION("""COMPUTED_VALUE"""),"Invite")</f>
        <v>Invite</v>
      </c>
    </row>
    <row r="441" spans="1:23">
      <c r="A441" s="6" t="str">
        <f ca="1">IFERROR(__xludf.DUMMYFUNCTION("""COMPUTED_VALUE"""),"Woman")</f>
        <v>Woman</v>
      </c>
      <c r="B441" s="6" t="str">
        <f ca="1">IFERROR(__xludf.DUMMYFUNCTION("""COMPUTED_VALUE"""),"Intelpure  _2022")</f>
        <v>Intelpure  _2022</v>
      </c>
      <c r="C441" s="6" t="str">
        <f ca="1">IFERROR(__xludf.DUMMYFUNCTION("""COMPUTED_VALUE"""),"Digital Tech")</f>
        <v>Digital Tech</v>
      </c>
      <c r="D441" s="6" t="str">
        <f ca="1">IFERROR(__xludf.DUMMYFUNCTION("""COMPUTED_VALUE"""),"88 Clifton Place, H 111, Jersey city 
United States")</f>
        <v>88 Clifton Place, H 111, Jersey city 
United States</v>
      </c>
      <c r="E441" s="6" t="str">
        <f ca="1">IFERROR(__xludf.DUMMYFUNCTION("""COMPUTED_VALUE"""),"East Coast")</f>
        <v>East Coast</v>
      </c>
      <c r="F441" s="6" t="str">
        <f ca="1">IFERROR(__xludf.DUMMYFUNCTION("""COMPUTED_VALUE"""),"Woman")</f>
        <v>Woman</v>
      </c>
      <c r="G441" s="6"/>
      <c r="H441" s="6"/>
      <c r="I441" s="6"/>
      <c r="J441" s="6"/>
      <c r="K441" s="6"/>
      <c r="L441" s="6" t="str">
        <f ca="1">IFERROR(__xludf.DUMMYFUNCTION("""COMPUTED_VALUE"""),"No")</f>
        <v>No</v>
      </c>
      <c r="M441" s="6"/>
      <c r="N441" s="6"/>
      <c r="O441" s="6" t="str">
        <f ca="1">IFERROR(__xludf.DUMMYFUNCTION("""COMPUTED_VALUE"""),"Email")</f>
        <v>Email</v>
      </c>
      <c r="P441" s="6"/>
      <c r="Q441" s="6" t="str">
        <f ca="1">IFERROR(__xludf.DUMMYFUNCTION("""COMPUTED_VALUE"""),"No")</f>
        <v>No</v>
      </c>
      <c r="R441" s="6">
        <f ca="1">IFERROR(__xludf.DUMMYFUNCTION("""COMPUTED_VALUE"""),1)</f>
        <v>1</v>
      </c>
      <c r="S441" s="6" t="str">
        <f ca="1">IFERROR(__xludf.DUMMYFUNCTION("""COMPUTED_VALUE"""),"None")</f>
        <v>None</v>
      </c>
      <c r="T441" s="6" t="str">
        <f ca="1">IFERROR(__xludf.DUMMYFUNCTION("""COMPUTED_VALUE"""),"None")</f>
        <v>None</v>
      </c>
      <c r="U441" s="6" t="str">
        <f ca="1">IFERROR(__xludf.DUMMYFUNCTION("""COMPUTED_VALUE"""),"None")</f>
        <v>None</v>
      </c>
      <c r="V441" s="6"/>
      <c r="W441" s="6" t="str">
        <f ca="1">IFERROR(__xludf.DUMMYFUNCTION("""COMPUTED_VALUE"""),"Invite Next Year")</f>
        <v>Invite Next Year</v>
      </c>
    </row>
    <row r="442" spans="1:23">
      <c r="A442" s="6" t="str">
        <f ca="1">IFERROR(__xludf.DUMMYFUNCTION("""COMPUTED_VALUE"""),"Woman, Man")</f>
        <v>Woman, Man</v>
      </c>
      <c r="B442" s="6" t="str">
        <f ca="1">IFERROR(__xludf.DUMMYFUNCTION("""COMPUTED_VALUE"""),"Kano Therapeutics _2022")</f>
        <v>Kano Therapeutics _2022</v>
      </c>
      <c r="C442" s="6" t="str">
        <f ca="1">IFERROR(__xludf.DUMMYFUNCTION("""COMPUTED_VALUE"""),"Life Sciences")</f>
        <v>Life Sciences</v>
      </c>
      <c r="D442" s="6" t="str">
        <f ca="1">IFERROR(__xludf.DUMMYFUNCTION("""COMPUTED_VALUE"""),"61 Walnut Street, MA 
United States")</f>
        <v>61 Walnut Street, MA 
United States</v>
      </c>
      <c r="E442" s="6" t="str">
        <f ca="1">IFERROR(__xludf.DUMMYFUNCTION("""COMPUTED_VALUE"""),"East Coast")</f>
        <v>East Coast</v>
      </c>
      <c r="F442" s="6" t="str">
        <f ca="1">IFERROR(__xludf.DUMMYFUNCTION("""COMPUTED_VALUE"""),"Woman")</f>
        <v>Woman</v>
      </c>
      <c r="G442" s="6" t="str">
        <f ca="1">IFERROR(__xludf.DUMMYFUNCTION("""COMPUTED_VALUE"""),"Man")</f>
        <v>Man</v>
      </c>
      <c r="H442" s="6"/>
      <c r="I442" s="6"/>
      <c r="J442" s="6"/>
      <c r="K442" s="6"/>
      <c r="L442" s="6" t="str">
        <f ca="1">IFERROR(__xludf.DUMMYFUNCTION("""COMPUTED_VALUE"""),"--Please select--")</f>
        <v>--Please select--</v>
      </c>
      <c r="M442" s="6"/>
      <c r="N442" s="6"/>
      <c r="O442" s="6" t="str">
        <f ca="1">IFERROR(__xludf.DUMMYFUNCTION("""COMPUTED_VALUE"""),"Email")</f>
        <v>Email</v>
      </c>
      <c r="P442" s="6"/>
      <c r="Q442" s="6" t="str">
        <f ca="1">IFERROR(__xludf.DUMMYFUNCTION("""COMPUTED_VALUE"""),"Yes")</f>
        <v>Yes</v>
      </c>
      <c r="R442" s="6">
        <f ca="1">IFERROR(__xludf.DUMMYFUNCTION("""COMPUTED_VALUE"""),2)</f>
        <v>2</v>
      </c>
      <c r="S442" s="6" t="str">
        <f ca="1">IFERROR(__xludf.DUMMYFUNCTION("""COMPUTED_VALUE"""),"Seed")</f>
        <v>Seed</v>
      </c>
      <c r="T442" s="6" t="str">
        <f ca="1">IFERROR(__xludf.DUMMYFUNCTION("""COMPUTED_VALUE"""),"Seed")</f>
        <v>Seed</v>
      </c>
      <c r="U442" s="6" t="str">
        <f ca="1">IFERROR(__xludf.DUMMYFUNCTION("""COMPUTED_VALUE"""),"Seed")</f>
        <v>Seed</v>
      </c>
      <c r="V442" s="6"/>
      <c r="W442" s="6" t="str">
        <f ca="1">IFERROR(__xludf.DUMMYFUNCTION("""COMPUTED_VALUE"""),"Invite")</f>
        <v>Invite</v>
      </c>
    </row>
    <row r="443" spans="1:23">
      <c r="A443" s="6" t="str">
        <f ca="1">IFERROR(__xludf.DUMMYFUNCTION("""COMPUTED_VALUE"""),"Man, Woman, Woman, Man")</f>
        <v>Man, Woman, Woman, Man</v>
      </c>
      <c r="B443" s="6" t="str">
        <f ca="1">IFERROR(__xludf.DUMMYFUNCTION("""COMPUTED_VALUE"""),"AIHunters _2022")</f>
        <v>AIHunters _2022</v>
      </c>
      <c r="C443" s="6" t="str">
        <f ca="1">IFERROR(__xludf.DUMMYFUNCTION("""COMPUTED_VALUE"""),"Deep Tech")</f>
        <v>Deep Tech</v>
      </c>
      <c r="D443" s="6" t="str">
        <f ca="1">IFERROR(__xludf.DUMMYFUNCTION("""COMPUTED_VALUE"""),"Vilnius, Vilniaus 
Lithuania")</f>
        <v>Vilnius, Vilniaus 
Lithuania</v>
      </c>
      <c r="E443" s="6" t="str">
        <f ca="1">IFERROR(__xludf.DUMMYFUNCTION("""COMPUTED_VALUE"""),"International - Europe")</f>
        <v>International - Europe</v>
      </c>
      <c r="F443" s="6" t="str">
        <f ca="1">IFERROR(__xludf.DUMMYFUNCTION("""COMPUTED_VALUE"""),"Man")</f>
        <v>Man</v>
      </c>
      <c r="G443" s="6" t="str">
        <f ca="1">IFERROR(__xludf.DUMMYFUNCTION("""COMPUTED_VALUE"""),"Woman")</f>
        <v>Woman</v>
      </c>
      <c r="H443" s="6" t="str">
        <f ca="1">IFERROR(__xludf.DUMMYFUNCTION("""COMPUTED_VALUE"""),"Woman")</f>
        <v>Woman</v>
      </c>
      <c r="I443" s="6" t="str">
        <f ca="1">IFERROR(__xludf.DUMMYFUNCTION("""COMPUTED_VALUE"""),"Man")</f>
        <v>Man</v>
      </c>
      <c r="J443" s="6"/>
      <c r="K443" s="6"/>
      <c r="L443" s="6" t="str">
        <f ca="1">IFERROR(__xludf.DUMMYFUNCTION("""COMPUTED_VALUE"""),"No")</f>
        <v>No</v>
      </c>
      <c r="M443" s="6"/>
      <c r="N443" s="6"/>
      <c r="O443" s="6" t="str">
        <f ca="1">IFERROR(__xludf.DUMMYFUNCTION("""COMPUTED_VALUE"""),"Email")</f>
        <v>Email</v>
      </c>
      <c r="P443" s="6"/>
      <c r="Q443" s="6" t="str">
        <f ca="1">IFERROR(__xludf.DUMMYFUNCTION("""COMPUTED_VALUE"""),"No")</f>
        <v>No</v>
      </c>
      <c r="R443" s="6">
        <f ca="1">IFERROR(__xludf.DUMMYFUNCTION("""COMPUTED_VALUE"""),4)</f>
        <v>4</v>
      </c>
      <c r="S443" s="6" t="str">
        <f ca="1">IFERROR(__xludf.DUMMYFUNCTION("""COMPUTED_VALUE"""),"Pre-seed")</f>
        <v>Pre-seed</v>
      </c>
      <c r="T443" s="6" t="str">
        <f ca="1">IFERROR(__xludf.DUMMYFUNCTION("""COMPUTED_VALUE"""),"Pre-seed")</f>
        <v>Pre-seed</v>
      </c>
      <c r="U443" s="6" t="str">
        <f ca="1">IFERROR(__xludf.DUMMYFUNCTION("""COMPUTED_VALUE"""),"Pre-seed")</f>
        <v>Pre-seed</v>
      </c>
      <c r="V443" s="6"/>
      <c r="W443" s="6" t="str">
        <f ca="1">IFERROR(__xludf.DUMMYFUNCTION("""COMPUTED_VALUE"""),"Invite Next Year")</f>
        <v>Invite Next Year</v>
      </c>
    </row>
    <row r="444" spans="1:23">
      <c r="A444" s="6" t="str">
        <f ca="1">IFERROR(__xludf.DUMMYFUNCTION("""COMPUTED_VALUE"""),"Man, Man, Man")</f>
        <v>Man, Man, Man</v>
      </c>
      <c r="B444" s="6" t="str">
        <f ca="1">IFERROR(__xludf.DUMMYFUNCTION("""COMPUTED_VALUE"""),"Supporteo _2022")</f>
        <v>Supporteo _2022</v>
      </c>
      <c r="C444" s="6" t="str">
        <f ca="1">IFERROR(__xludf.DUMMYFUNCTION("""COMPUTED_VALUE"""),"Digital Tech")</f>
        <v>Digital Tech</v>
      </c>
      <c r="D444" s="6" t="str">
        <f ca="1">IFERROR(__xludf.DUMMYFUNCTION("""COMPUTED_VALUE"""),"Sunny Isles Beach, FL 
United States")</f>
        <v>Sunny Isles Beach, FL 
United States</v>
      </c>
      <c r="E444" s="6" t="str">
        <f ca="1">IFERROR(__xludf.DUMMYFUNCTION("""COMPUTED_VALUE"""),"East Coast")</f>
        <v>East Coast</v>
      </c>
      <c r="F444" s="6" t="str">
        <f ca="1">IFERROR(__xludf.DUMMYFUNCTION("""COMPUTED_VALUE"""),"Man")</f>
        <v>Man</v>
      </c>
      <c r="G444" s="6" t="str">
        <f ca="1">IFERROR(__xludf.DUMMYFUNCTION("""COMPUTED_VALUE"""),"Man")</f>
        <v>Man</v>
      </c>
      <c r="H444" s="6" t="str">
        <f ca="1">IFERROR(__xludf.DUMMYFUNCTION("""COMPUTED_VALUE"""),"Man")</f>
        <v>Man</v>
      </c>
      <c r="I444" s="6"/>
      <c r="J444" s="6"/>
      <c r="K444" s="6"/>
      <c r="L444" s="6" t="str">
        <f ca="1">IFERROR(__xludf.DUMMYFUNCTION("""COMPUTED_VALUE"""),"No")</f>
        <v>No</v>
      </c>
      <c r="M444" s="6"/>
      <c r="N444" s="6"/>
      <c r="O444" s="6" t="str">
        <f ca="1">IFERROR(__xludf.DUMMYFUNCTION("""COMPUTED_VALUE"""),"Email")</f>
        <v>Email</v>
      </c>
      <c r="P444" s="6"/>
      <c r="Q444" s="6" t="str">
        <f ca="1">IFERROR(__xludf.DUMMYFUNCTION("""COMPUTED_VALUE"""),"No")</f>
        <v>No</v>
      </c>
      <c r="R444" s="6">
        <f ca="1">IFERROR(__xludf.DUMMYFUNCTION("""COMPUTED_VALUE"""),3)</f>
        <v>3</v>
      </c>
      <c r="S444" s="6" t="str">
        <f ca="1">IFERROR(__xludf.DUMMYFUNCTION("""COMPUTED_VALUE"""),"Pre-seed")</f>
        <v>Pre-seed</v>
      </c>
      <c r="T444" s="6" t="str">
        <f ca="1">IFERROR(__xludf.DUMMYFUNCTION("""COMPUTED_VALUE"""),"Pre-seed")</f>
        <v>Pre-seed</v>
      </c>
      <c r="U444" s="6" t="str">
        <f ca="1">IFERROR(__xludf.DUMMYFUNCTION("""COMPUTED_VALUE"""),"Pre-seed")</f>
        <v>Pre-seed</v>
      </c>
      <c r="V444" s="6"/>
      <c r="W444" s="6" t="str">
        <f ca="1">IFERROR(__xludf.DUMMYFUNCTION("""COMPUTED_VALUE"""),"Invite Next Year")</f>
        <v>Invite Next Year</v>
      </c>
    </row>
    <row r="445" spans="1:23">
      <c r="A445" s="6" t="str">
        <f ca="1">IFERROR(__xludf.DUMMYFUNCTION("""COMPUTED_VALUE"""),"Man, Man")</f>
        <v>Man, Man</v>
      </c>
      <c r="B445" s="6" t="str">
        <f ca="1">IFERROR(__xludf.DUMMYFUNCTION("""COMPUTED_VALUE"""),"Rushnu _2022")</f>
        <v>Rushnu _2022</v>
      </c>
      <c r="C445" s="6" t="str">
        <f ca="1">IFERROR(__xludf.DUMMYFUNCTION("""COMPUTED_VALUE"""),"Deep Tech")</f>
        <v>Deep Tech</v>
      </c>
      <c r="D445" s="6" t="str">
        <f ca="1">IFERROR(__xludf.DUMMYFUNCTION("""COMPUTED_VALUE"""),"Pleasanton, California 
United States")</f>
        <v>Pleasanton, California 
United States</v>
      </c>
      <c r="E445" s="6" t="str">
        <f ca="1">IFERROR(__xludf.DUMMYFUNCTION("""COMPUTED_VALUE"""),"West Coast")</f>
        <v>West Coast</v>
      </c>
      <c r="F445" s="6" t="str">
        <f ca="1">IFERROR(__xludf.DUMMYFUNCTION("""COMPUTED_VALUE"""),"Man")</f>
        <v>Man</v>
      </c>
      <c r="G445" s="6" t="str">
        <f ca="1">IFERROR(__xludf.DUMMYFUNCTION("""COMPUTED_VALUE"""),"Man")</f>
        <v>Man</v>
      </c>
      <c r="H445" s="6"/>
      <c r="I445" s="6"/>
      <c r="J445" s="6"/>
      <c r="K445" s="6"/>
      <c r="L445" s="6" t="str">
        <f ca="1">IFERROR(__xludf.DUMMYFUNCTION("""COMPUTED_VALUE"""),"No")</f>
        <v>No</v>
      </c>
      <c r="M445" s="6"/>
      <c r="N445" s="6"/>
      <c r="O445" s="6" t="str">
        <f ca="1">IFERROR(__xludf.DUMMYFUNCTION("""COMPUTED_VALUE"""),"Other")</f>
        <v>Other</v>
      </c>
      <c r="P445" s="6"/>
      <c r="Q445" s="6" t="str">
        <f ca="1">IFERROR(__xludf.DUMMYFUNCTION("""COMPUTED_VALUE"""),"No")</f>
        <v>No</v>
      </c>
      <c r="R445" s="6">
        <f ca="1">IFERROR(__xludf.DUMMYFUNCTION("""COMPUTED_VALUE"""),2)</f>
        <v>2</v>
      </c>
      <c r="S445" s="6" t="str">
        <f ca="1">IFERROR(__xludf.DUMMYFUNCTION("""COMPUTED_VALUE"""),"None")</f>
        <v>None</v>
      </c>
      <c r="T445" s="6" t="str">
        <f ca="1">IFERROR(__xludf.DUMMYFUNCTION("""COMPUTED_VALUE"""),"None")</f>
        <v>None</v>
      </c>
      <c r="U445" s="6" t="str">
        <f ca="1">IFERROR(__xludf.DUMMYFUNCTION("""COMPUTED_VALUE"""),"None")</f>
        <v>None</v>
      </c>
      <c r="V445" s="6"/>
      <c r="W445" s="6" t="str">
        <f ca="1">IFERROR(__xludf.DUMMYFUNCTION("""COMPUTED_VALUE"""),"Invite Next Year")</f>
        <v>Invite Next Year</v>
      </c>
    </row>
    <row r="446" spans="1:23">
      <c r="A446" s="6" t="str">
        <f ca="1">IFERROR(__xludf.DUMMYFUNCTION("""COMPUTED_VALUE"""),"Man, Woman, Woman")</f>
        <v>Man, Woman, Woman</v>
      </c>
      <c r="B446" s="6" t="str">
        <f ca="1">IFERROR(__xludf.DUMMYFUNCTION("""COMPUTED_VALUE"""),"Nanotransfer _2022")</f>
        <v>Nanotransfer _2022</v>
      </c>
      <c r="C446" s="6" t="str">
        <f ca="1">IFERROR(__xludf.DUMMYFUNCTION("""COMPUTED_VALUE"""),"Life Sciences")</f>
        <v>Life Sciences</v>
      </c>
      <c r="D446" s="6" t="str">
        <f ca="1">IFERROR(__xludf.DUMMYFUNCTION("""COMPUTED_VALUE"""),"Cordoba, Cordoba 
Argentina")</f>
        <v>Cordoba, Cordoba 
Argentina</v>
      </c>
      <c r="E446" s="6" t="str">
        <f ca="1">IFERROR(__xludf.DUMMYFUNCTION("""COMPUTED_VALUE"""),"International - Americas")</f>
        <v>International - Americas</v>
      </c>
      <c r="F446" s="6" t="str">
        <f ca="1">IFERROR(__xludf.DUMMYFUNCTION("""COMPUTED_VALUE"""),"Man")</f>
        <v>Man</v>
      </c>
      <c r="G446" s="6" t="str">
        <f ca="1">IFERROR(__xludf.DUMMYFUNCTION("""COMPUTED_VALUE"""),"Woman")</f>
        <v>Woman</v>
      </c>
      <c r="H446" s="6" t="str">
        <f ca="1">IFERROR(__xludf.DUMMYFUNCTION("""COMPUTED_VALUE"""),"Woman")</f>
        <v>Woman</v>
      </c>
      <c r="I446" s="6"/>
      <c r="J446" s="6"/>
      <c r="K446" s="6"/>
      <c r="L446" s="6" t="str">
        <f ca="1">IFERROR(__xludf.DUMMYFUNCTION("""COMPUTED_VALUE"""),"No")</f>
        <v>No</v>
      </c>
      <c r="M446" s="6"/>
      <c r="N446" s="6"/>
      <c r="O446" s="6" t="str">
        <f ca="1">IFERROR(__xludf.DUMMYFUNCTION("""COMPUTED_VALUE"""),"Referral")</f>
        <v>Referral</v>
      </c>
      <c r="P446" s="6"/>
      <c r="Q446" s="6" t="str">
        <f ca="1">IFERROR(__xludf.DUMMYFUNCTION("""COMPUTED_VALUE"""),"Yes")</f>
        <v>Yes</v>
      </c>
      <c r="R446" s="6">
        <f ca="1">IFERROR(__xludf.DUMMYFUNCTION("""COMPUTED_VALUE"""),3)</f>
        <v>3</v>
      </c>
      <c r="S446" s="6" t="str">
        <f ca="1">IFERROR(__xludf.DUMMYFUNCTION("""COMPUTED_VALUE"""),"Pre-seed")</f>
        <v>Pre-seed</v>
      </c>
      <c r="T446" s="6" t="str">
        <f ca="1">IFERROR(__xludf.DUMMYFUNCTION("""COMPUTED_VALUE"""),"Pre-seed")</f>
        <v>Pre-seed</v>
      </c>
      <c r="U446" s="6" t="str">
        <f ca="1">IFERROR(__xludf.DUMMYFUNCTION("""COMPUTED_VALUE"""),"Pre-seed")</f>
        <v>Pre-seed</v>
      </c>
      <c r="V446" s="6"/>
      <c r="W446" s="6" t="str">
        <f ca="1">IFERROR(__xludf.DUMMYFUNCTION("""COMPUTED_VALUE"""),"Invite Next Year")</f>
        <v>Invite Next Year</v>
      </c>
    </row>
    <row r="447" spans="1:23">
      <c r="A447" s="6" t="str">
        <f ca="1">IFERROR(__xludf.DUMMYFUNCTION("""COMPUTED_VALUE"""),"Man, Man, Man")</f>
        <v>Man, Man, Man</v>
      </c>
      <c r="B447" s="6" t="str">
        <f ca="1">IFERROR(__xludf.DUMMYFUNCTION("""COMPUTED_VALUE"""),"Turn Plus Power LLC.  _2022")</f>
        <v>Turn Plus Power LLC.  _2022</v>
      </c>
      <c r="C447" s="6" t="str">
        <f ca="1">IFERROR(__xludf.DUMMYFUNCTION("""COMPUTED_VALUE"""),"Deep Tech")</f>
        <v>Deep Tech</v>
      </c>
      <c r="D447" s="6" t="str">
        <f ca="1">IFERROR(__xludf.DUMMYFUNCTION("""COMPUTED_VALUE"""),"Tehran, Tehran 
Iran, Islamic Republic of")</f>
        <v>Tehran, Tehran 
Iran, Islamic Republic of</v>
      </c>
      <c r="E447" s="6" t="str">
        <f ca="1">IFERROR(__xludf.DUMMYFUNCTION("""COMPUTED_VALUE"""),"International - Middle East")</f>
        <v>International - Middle East</v>
      </c>
      <c r="F447" s="6" t="str">
        <f ca="1">IFERROR(__xludf.DUMMYFUNCTION("""COMPUTED_VALUE"""),"Man")</f>
        <v>Man</v>
      </c>
      <c r="G447" s="6" t="str">
        <f ca="1">IFERROR(__xludf.DUMMYFUNCTION("""COMPUTED_VALUE"""),"Man")</f>
        <v>Man</v>
      </c>
      <c r="H447" s="6" t="str">
        <f ca="1">IFERROR(__xludf.DUMMYFUNCTION("""COMPUTED_VALUE"""),"Man")</f>
        <v>Man</v>
      </c>
      <c r="I447" s="6"/>
      <c r="J447" s="6"/>
      <c r="K447" s="6"/>
      <c r="L447" s="6" t="str">
        <f ca="1">IFERROR(__xludf.DUMMYFUNCTION("""COMPUTED_VALUE"""),"No")</f>
        <v>No</v>
      </c>
      <c r="M447" s="6"/>
      <c r="N447" s="6"/>
      <c r="O447" s="6" t="str">
        <f ca="1">IFERROR(__xludf.DUMMYFUNCTION("""COMPUTED_VALUE"""),"Referral")</f>
        <v>Referral</v>
      </c>
      <c r="P447" s="6"/>
      <c r="Q447" s="6" t="str">
        <f ca="1">IFERROR(__xludf.DUMMYFUNCTION("""COMPUTED_VALUE"""),"No")</f>
        <v>No</v>
      </c>
      <c r="R447" s="6">
        <f ca="1">IFERROR(__xludf.DUMMYFUNCTION("""COMPUTED_VALUE"""),3)</f>
        <v>3</v>
      </c>
      <c r="S447" s="6" t="str">
        <f ca="1">IFERROR(__xludf.DUMMYFUNCTION("""COMPUTED_VALUE"""),"None")</f>
        <v>None</v>
      </c>
      <c r="T447" s="6" t="str">
        <f ca="1">IFERROR(__xludf.DUMMYFUNCTION("""COMPUTED_VALUE"""),"None")</f>
        <v>None</v>
      </c>
      <c r="U447" s="6" t="str">
        <f ca="1">IFERROR(__xludf.DUMMYFUNCTION("""COMPUTED_VALUE"""),"None")</f>
        <v>None</v>
      </c>
      <c r="V447" s="6"/>
      <c r="W447" s="6" t="str">
        <f ca="1">IFERROR(__xludf.DUMMYFUNCTION("""COMPUTED_VALUE"""),"Invite Next Year")</f>
        <v>Invite Next Year</v>
      </c>
    </row>
    <row r="448" spans="1:23">
      <c r="A448" s="6" t="str">
        <f ca="1">IFERROR(__xludf.DUMMYFUNCTION("""COMPUTED_VALUE"""),"Woman, Man")</f>
        <v>Woman, Man</v>
      </c>
      <c r="B448" s="6" t="str">
        <f ca="1">IFERROR(__xludf.DUMMYFUNCTION("""COMPUTED_VALUE"""),"RevivBio Inc _2022")</f>
        <v>RevivBio Inc _2022</v>
      </c>
      <c r="C448" s="6" t="str">
        <f ca="1">IFERROR(__xludf.DUMMYFUNCTION("""COMPUTED_VALUE"""),"Deep Tech")</f>
        <v>Deep Tech</v>
      </c>
      <c r="D448" s="6" t="str">
        <f ca="1">IFERROR(__xludf.DUMMYFUNCTION("""COMPUTED_VALUE"""),"Boston, MA 
United States")</f>
        <v>Boston, MA 
United States</v>
      </c>
      <c r="E448" s="6" t="str">
        <f ca="1">IFERROR(__xludf.DUMMYFUNCTION("""COMPUTED_VALUE"""),"East Coast")</f>
        <v>East Coast</v>
      </c>
      <c r="F448" s="6" t="str">
        <f ca="1">IFERROR(__xludf.DUMMYFUNCTION("""COMPUTED_VALUE"""),"Woman")</f>
        <v>Woman</v>
      </c>
      <c r="G448" s="6" t="str">
        <f ca="1">IFERROR(__xludf.DUMMYFUNCTION("""COMPUTED_VALUE"""),"Man")</f>
        <v>Man</v>
      </c>
      <c r="H448" s="6"/>
      <c r="I448" s="6"/>
      <c r="J448" s="6"/>
      <c r="K448" s="6"/>
      <c r="L448" s="6" t="str">
        <f ca="1">IFERROR(__xludf.DUMMYFUNCTION("""COMPUTED_VALUE"""),"No")</f>
        <v>No</v>
      </c>
      <c r="M448" s="6"/>
      <c r="N448" s="6"/>
      <c r="O448" s="6" t="str">
        <f ca="1">IFERROR(__xludf.DUMMYFUNCTION("""COMPUTED_VALUE"""),"Referral")</f>
        <v>Referral</v>
      </c>
      <c r="P448" s="6"/>
      <c r="Q448" s="6" t="str">
        <f ca="1">IFERROR(__xludf.DUMMYFUNCTION("""COMPUTED_VALUE"""),"No")</f>
        <v>No</v>
      </c>
      <c r="R448" s="6">
        <f ca="1">IFERROR(__xludf.DUMMYFUNCTION("""COMPUTED_VALUE"""),2)</f>
        <v>2</v>
      </c>
      <c r="S448" s="6" t="str">
        <f ca="1">IFERROR(__xludf.DUMMYFUNCTION("""COMPUTED_VALUE"""),"Pre-seed")</f>
        <v>Pre-seed</v>
      </c>
      <c r="T448" s="6" t="str">
        <f ca="1">IFERROR(__xludf.DUMMYFUNCTION("""COMPUTED_VALUE"""),"Pre-seed")</f>
        <v>Pre-seed</v>
      </c>
      <c r="U448" s="6" t="str">
        <f ca="1">IFERROR(__xludf.DUMMYFUNCTION("""COMPUTED_VALUE"""),"Pre-seed")</f>
        <v>Pre-seed</v>
      </c>
      <c r="V448" s="6"/>
      <c r="W448" s="6" t="str">
        <f ca="1">IFERROR(__xludf.DUMMYFUNCTION("""COMPUTED_VALUE"""),"Invite")</f>
        <v>Invite</v>
      </c>
    </row>
    <row r="449" spans="1:23">
      <c r="A449" s="6" t="str">
        <f ca="1">IFERROR(__xludf.DUMMYFUNCTION("""COMPUTED_VALUE"""),"Man, Man")</f>
        <v>Man, Man</v>
      </c>
      <c r="B449" s="6" t="str">
        <f ca="1">IFERROR(__xludf.DUMMYFUNCTION("""COMPUTED_VALUE"""),"Ignitus Networks _2022")</f>
        <v>Ignitus Networks _2022</v>
      </c>
      <c r="C449" s="6" t="str">
        <f ca="1">IFERROR(__xludf.DUMMYFUNCTION("""COMPUTED_VALUE"""),"Digital Tech")</f>
        <v>Digital Tech</v>
      </c>
      <c r="D449" s="6" t="str">
        <f ca="1">IFERROR(__xludf.DUMMYFUNCTION("""COMPUTED_VALUE"""),"BANGALORE, Karnataka 
India")</f>
        <v>BANGALORE, Karnataka 
India</v>
      </c>
      <c r="E449" s="6" t="str">
        <f ca="1">IFERROR(__xludf.DUMMYFUNCTION("""COMPUTED_VALUE"""),"International - Asia")</f>
        <v>International - Asia</v>
      </c>
      <c r="F449" s="6" t="str">
        <f ca="1">IFERROR(__xludf.DUMMYFUNCTION("""COMPUTED_VALUE"""),"Man")</f>
        <v>Man</v>
      </c>
      <c r="G449" s="6" t="str">
        <f ca="1">IFERROR(__xludf.DUMMYFUNCTION("""COMPUTED_VALUE"""),"Man")</f>
        <v>Man</v>
      </c>
      <c r="H449" s="6"/>
      <c r="I449" s="6"/>
      <c r="J449" s="6"/>
      <c r="K449" s="6"/>
      <c r="L449" s="6" t="str">
        <f ca="1">IFERROR(__xludf.DUMMYFUNCTION("""COMPUTED_VALUE"""),"No")</f>
        <v>No</v>
      </c>
      <c r="M449" s="6"/>
      <c r="N449" s="6"/>
      <c r="O449" s="6" t="str">
        <f ca="1">IFERROR(__xludf.DUMMYFUNCTION("""COMPUTED_VALUE"""),"A web posting")</f>
        <v>A web posting</v>
      </c>
      <c r="P449" s="6"/>
      <c r="Q449" s="6" t="str">
        <f ca="1">IFERROR(__xludf.DUMMYFUNCTION("""COMPUTED_VALUE"""),"No")</f>
        <v>No</v>
      </c>
      <c r="R449" s="6">
        <f ca="1">IFERROR(__xludf.DUMMYFUNCTION("""COMPUTED_VALUE"""),2)</f>
        <v>2</v>
      </c>
      <c r="S449" s="6" t="str">
        <f ca="1">IFERROR(__xludf.DUMMYFUNCTION("""COMPUTED_VALUE"""),"Grants")</f>
        <v>Grants</v>
      </c>
      <c r="T449" s="6" t="str">
        <f ca="1">IFERROR(__xludf.DUMMYFUNCTION("""COMPUTED_VALUE"""),"Grants")</f>
        <v>Grants</v>
      </c>
      <c r="U449" s="6" t="str">
        <f ca="1">IFERROR(__xludf.DUMMYFUNCTION("""COMPUTED_VALUE"""),"Grants")</f>
        <v>Grants</v>
      </c>
      <c r="V449" s="6"/>
      <c r="W449" s="6" t="str">
        <f ca="1">IFERROR(__xludf.DUMMYFUNCTION("""COMPUTED_VALUE"""),"Invite Next Year")</f>
        <v>Invite Next Year</v>
      </c>
    </row>
    <row r="450" spans="1:23">
      <c r="A450" s="6" t="str">
        <f ca="1">IFERROR(__xludf.DUMMYFUNCTION("""COMPUTED_VALUE"""),"Man, Man, Woman")</f>
        <v>Man, Man, Woman</v>
      </c>
      <c r="B450" s="6" t="str">
        <f ca="1">IFERROR(__xludf.DUMMYFUNCTION("""COMPUTED_VALUE"""),"iQure Pharma Inc _2022")</f>
        <v>iQure Pharma Inc _2022</v>
      </c>
      <c r="C450" s="6" t="str">
        <f ca="1">IFERROR(__xludf.DUMMYFUNCTION("""COMPUTED_VALUE"""),"Life Sciences")</f>
        <v>Life Sciences</v>
      </c>
      <c r="D450" s="6" t="str">
        <f ca="1">IFERROR(__xludf.DUMMYFUNCTION("""COMPUTED_VALUE"""),"Princeton, NJ 
United States")</f>
        <v>Princeton, NJ 
United States</v>
      </c>
      <c r="E450" s="6" t="str">
        <f ca="1">IFERROR(__xludf.DUMMYFUNCTION("""COMPUTED_VALUE"""),"East Coast")</f>
        <v>East Coast</v>
      </c>
      <c r="F450" s="6" t="str">
        <f ca="1">IFERROR(__xludf.DUMMYFUNCTION("""COMPUTED_VALUE"""),"Man")</f>
        <v>Man</v>
      </c>
      <c r="G450" s="6" t="str">
        <f ca="1">IFERROR(__xludf.DUMMYFUNCTION("""COMPUTED_VALUE"""),"Man")</f>
        <v>Man</v>
      </c>
      <c r="H450" s="6" t="str">
        <f ca="1">IFERROR(__xludf.DUMMYFUNCTION("""COMPUTED_VALUE"""),"Woman")</f>
        <v>Woman</v>
      </c>
      <c r="I450" s="6"/>
      <c r="J450" s="6"/>
      <c r="K450" s="6"/>
      <c r="L450" s="6" t="str">
        <f ca="1">IFERROR(__xludf.DUMMYFUNCTION("""COMPUTED_VALUE"""),"No")</f>
        <v>No</v>
      </c>
      <c r="M450" s="6"/>
      <c r="N450" s="6"/>
      <c r="O450" s="6" t="str">
        <f ca="1">IFERROR(__xludf.DUMMYFUNCTION("""COMPUTED_VALUE"""),"Email")</f>
        <v>Email</v>
      </c>
      <c r="P450" s="6"/>
      <c r="Q450" s="6" t="str">
        <f ca="1">IFERROR(__xludf.DUMMYFUNCTION("""COMPUTED_VALUE"""),"No")</f>
        <v>No</v>
      </c>
      <c r="R450" s="6">
        <f ca="1">IFERROR(__xludf.DUMMYFUNCTION("""COMPUTED_VALUE"""),3)</f>
        <v>3</v>
      </c>
      <c r="S450" s="6" t="str">
        <f ca="1">IFERROR(__xludf.DUMMYFUNCTION("""COMPUTED_VALUE"""),"Seed")</f>
        <v>Seed</v>
      </c>
      <c r="T450" s="6" t="str">
        <f ca="1">IFERROR(__xludf.DUMMYFUNCTION("""COMPUTED_VALUE"""),"Seed")</f>
        <v>Seed</v>
      </c>
      <c r="U450" s="6" t="str">
        <f ca="1">IFERROR(__xludf.DUMMYFUNCTION("""COMPUTED_VALUE"""),"Seed")</f>
        <v>Seed</v>
      </c>
      <c r="V450" s="6"/>
      <c r="W450" s="6" t="str">
        <f ca="1">IFERROR(__xludf.DUMMYFUNCTION("""COMPUTED_VALUE"""),"Invite")</f>
        <v>Invite</v>
      </c>
    </row>
    <row r="451" spans="1:23">
      <c r="A451" s="6" t="str">
        <f ca="1">IFERROR(__xludf.DUMMYFUNCTION("""COMPUTED_VALUE"""),"Man, Man, Man, Man")</f>
        <v>Man, Man, Man, Man</v>
      </c>
      <c r="B451" s="6" t="str">
        <f ca="1">IFERROR(__xludf.DUMMYFUNCTION("""COMPUTED_VALUE"""),"Winvesta Ltd _2022")</f>
        <v>Winvesta Ltd _2022</v>
      </c>
      <c r="C451" s="6" t="str">
        <f ca="1">IFERROR(__xludf.DUMMYFUNCTION("""COMPUTED_VALUE"""),"Digital Tech")</f>
        <v>Digital Tech</v>
      </c>
      <c r="D451" s="6" t="str">
        <f ca="1">IFERROR(__xludf.DUMMYFUNCTION("""COMPUTED_VALUE"""),"27 Old Gloucester Street, London, WC1N 3AX, England 
United Kingdom")</f>
        <v>27 Old Gloucester Street, London, WC1N 3AX, England 
United Kingdom</v>
      </c>
      <c r="E451" s="6" t="str">
        <f ca="1">IFERROR(__xludf.DUMMYFUNCTION("""COMPUTED_VALUE"""),"International - Europe")</f>
        <v>International - Europe</v>
      </c>
      <c r="F451" s="6" t="str">
        <f ca="1">IFERROR(__xludf.DUMMYFUNCTION("""COMPUTED_VALUE"""),"Man")</f>
        <v>Man</v>
      </c>
      <c r="G451" s="6" t="str">
        <f ca="1">IFERROR(__xludf.DUMMYFUNCTION("""COMPUTED_VALUE"""),"Man")</f>
        <v>Man</v>
      </c>
      <c r="H451" s="6" t="str">
        <f ca="1">IFERROR(__xludf.DUMMYFUNCTION("""COMPUTED_VALUE"""),"Man")</f>
        <v>Man</v>
      </c>
      <c r="I451" s="6" t="str">
        <f ca="1">IFERROR(__xludf.DUMMYFUNCTION("""COMPUTED_VALUE"""),"Man")</f>
        <v>Man</v>
      </c>
      <c r="J451" s="6"/>
      <c r="K451" s="6"/>
      <c r="L451" s="6" t="str">
        <f ca="1">IFERROR(__xludf.DUMMYFUNCTION("""COMPUTED_VALUE"""),"No")</f>
        <v>No</v>
      </c>
      <c r="M451" s="6"/>
      <c r="N451" s="6"/>
      <c r="O451" s="6" t="str">
        <f ca="1">IFERROR(__xludf.DUMMYFUNCTION("""COMPUTED_VALUE"""),"Other")</f>
        <v>Other</v>
      </c>
      <c r="P451" s="6"/>
      <c r="Q451" s="6" t="str">
        <f ca="1">IFERROR(__xludf.DUMMYFUNCTION("""COMPUTED_VALUE"""),"No")</f>
        <v>No</v>
      </c>
      <c r="R451" s="6">
        <f ca="1">IFERROR(__xludf.DUMMYFUNCTION("""COMPUTED_VALUE"""),4)</f>
        <v>4</v>
      </c>
      <c r="S451" s="6" t="str">
        <f ca="1">IFERROR(__xludf.DUMMYFUNCTION("""COMPUTED_VALUE"""),"Seed")</f>
        <v>Seed</v>
      </c>
      <c r="T451" s="6" t="str">
        <f ca="1">IFERROR(__xludf.DUMMYFUNCTION("""COMPUTED_VALUE"""),"Seed")</f>
        <v>Seed</v>
      </c>
      <c r="U451" s="6" t="str">
        <f ca="1">IFERROR(__xludf.DUMMYFUNCTION("""COMPUTED_VALUE"""),"Seed")</f>
        <v>Seed</v>
      </c>
      <c r="V451" s="6"/>
      <c r="W451" s="6" t="str">
        <f ca="1">IFERROR(__xludf.DUMMYFUNCTION("""COMPUTED_VALUE"""),"Invite Next Year")</f>
        <v>Invite Next Year</v>
      </c>
    </row>
    <row r="452" spans="1:23">
      <c r="A452" s="6" t="str">
        <f ca="1">IFERROR(__xludf.DUMMYFUNCTION("""COMPUTED_VALUE"""),"Man, Man, Man")</f>
        <v>Man, Man, Man</v>
      </c>
      <c r="B452" s="6" t="str">
        <f ca="1">IFERROR(__xludf.DUMMYFUNCTION("""COMPUTED_VALUE"""),"Revamp Moto Pvt. Ltd. _2022")</f>
        <v>Revamp Moto Pvt. Ltd. _2022</v>
      </c>
      <c r="C452" s="6" t="str">
        <f ca="1">IFERROR(__xludf.DUMMYFUNCTION("""COMPUTED_VALUE"""),"Deep Tech")</f>
        <v>Deep Tech</v>
      </c>
      <c r="D452" s="6" t="str">
        <f ca="1">IFERROR(__xludf.DUMMYFUNCTION("""COMPUTED_VALUE"""),"Nashik, Maharashtra 
India")</f>
        <v>Nashik, Maharashtra 
India</v>
      </c>
      <c r="E452" s="6" t="str">
        <f ca="1">IFERROR(__xludf.DUMMYFUNCTION("""COMPUTED_VALUE"""),"International - Asia")</f>
        <v>International - Asia</v>
      </c>
      <c r="F452" s="6" t="str">
        <f ca="1">IFERROR(__xludf.DUMMYFUNCTION("""COMPUTED_VALUE"""),"Man")</f>
        <v>Man</v>
      </c>
      <c r="G452" s="6" t="str">
        <f ca="1">IFERROR(__xludf.DUMMYFUNCTION("""COMPUTED_VALUE"""),"Man")</f>
        <v>Man</v>
      </c>
      <c r="H452" s="6" t="str">
        <f ca="1">IFERROR(__xludf.DUMMYFUNCTION("""COMPUTED_VALUE"""),"Man")</f>
        <v>Man</v>
      </c>
      <c r="I452" s="6"/>
      <c r="J452" s="6"/>
      <c r="K452" s="6"/>
      <c r="L452" s="6" t="str">
        <f ca="1">IFERROR(__xludf.DUMMYFUNCTION("""COMPUTED_VALUE"""),"No")</f>
        <v>No</v>
      </c>
      <c r="M452" s="6"/>
      <c r="N452" s="6"/>
      <c r="O452" s="6" t="str">
        <f ca="1">IFERROR(__xludf.DUMMYFUNCTION("""COMPUTED_VALUE"""),"Referral")</f>
        <v>Referral</v>
      </c>
      <c r="P452" s="6"/>
      <c r="Q452" s="6" t="str">
        <f ca="1">IFERROR(__xludf.DUMMYFUNCTION("""COMPUTED_VALUE"""),"No")</f>
        <v>No</v>
      </c>
      <c r="R452" s="6">
        <f ca="1">IFERROR(__xludf.DUMMYFUNCTION("""COMPUTED_VALUE"""),3)</f>
        <v>3</v>
      </c>
      <c r="S452" s="6" t="str">
        <f ca="1">IFERROR(__xludf.DUMMYFUNCTION("""COMPUTED_VALUE"""),"Pre-seed")</f>
        <v>Pre-seed</v>
      </c>
      <c r="T452" s="6" t="str">
        <f ca="1">IFERROR(__xludf.DUMMYFUNCTION("""COMPUTED_VALUE"""),"Pre-seed")</f>
        <v>Pre-seed</v>
      </c>
      <c r="U452" s="6" t="str">
        <f ca="1">IFERROR(__xludf.DUMMYFUNCTION("""COMPUTED_VALUE"""),"Pre-seed")</f>
        <v>Pre-seed</v>
      </c>
      <c r="V452" s="6"/>
      <c r="W452" s="6" t="str">
        <f ca="1">IFERROR(__xludf.DUMMYFUNCTION("""COMPUTED_VALUE"""),"Invite Next Year")</f>
        <v>Invite Next Year</v>
      </c>
    </row>
    <row r="453" spans="1:23">
      <c r="A453" s="6" t="str">
        <f ca="1">IFERROR(__xludf.DUMMYFUNCTION("""COMPUTED_VALUE"""),"Man, Man")</f>
        <v>Man, Man</v>
      </c>
      <c r="B453" s="6" t="str">
        <f ca="1">IFERROR(__xludf.DUMMYFUNCTION("""COMPUTED_VALUE"""),"Behamics _2022")</f>
        <v>Behamics _2022</v>
      </c>
      <c r="C453" s="6" t="str">
        <f ca="1">IFERROR(__xludf.DUMMYFUNCTION("""COMPUTED_VALUE"""),"Digital Tech")</f>
        <v>Digital Tech</v>
      </c>
      <c r="D453" s="6" t="str">
        <f ca="1">IFERROR(__xludf.DUMMYFUNCTION("""COMPUTED_VALUE"""),"New York, New York 
United States")</f>
        <v>New York, New York 
United States</v>
      </c>
      <c r="E453" s="6" t="str">
        <f ca="1">IFERROR(__xludf.DUMMYFUNCTION("""COMPUTED_VALUE"""),"New York")</f>
        <v>New York</v>
      </c>
      <c r="F453" s="6" t="str">
        <f ca="1">IFERROR(__xludf.DUMMYFUNCTION("""COMPUTED_VALUE"""),"Man")</f>
        <v>Man</v>
      </c>
      <c r="G453" s="6" t="str">
        <f ca="1">IFERROR(__xludf.DUMMYFUNCTION("""COMPUTED_VALUE"""),"Man")</f>
        <v>Man</v>
      </c>
      <c r="H453" s="6"/>
      <c r="I453" s="6"/>
      <c r="J453" s="6"/>
      <c r="K453" s="6"/>
      <c r="L453" s="6" t="str">
        <f ca="1">IFERROR(__xludf.DUMMYFUNCTION("""COMPUTED_VALUE"""),"No")</f>
        <v>No</v>
      </c>
      <c r="M453" s="6"/>
      <c r="N453" s="6"/>
      <c r="O453" s="6" t="str">
        <f ca="1">IFERROR(__xludf.DUMMYFUNCTION("""COMPUTED_VALUE"""),"LinkedIn")</f>
        <v>LinkedIn</v>
      </c>
      <c r="P453" s="6"/>
      <c r="Q453" s="6" t="str">
        <f ca="1">IFERROR(__xludf.DUMMYFUNCTION("""COMPUTED_VALUE"""),"No")</f>
        <v>No</v>
      </c>
      <c r="R453" s="6">
        <f ca="1">IFERROR(__xludf.DUMMYFUNCTION("""COMPUTED_VALUE"""),2)</f>
        <v>2</v>
      </c>
      <c r="S453" s="6" t="str">
        <f ca="1">IFERROR(__xludf.DUMMYFUNCTION("""COMPUTED_VALUE"""),"Pre-seed")</f>
        <v>Pre-seed</v>
      </c>
      <c r="T453" s="6" t="str">
        <f ca="1">IFERROR(__xludf.DUMMYFUNCTION("""COMPUTED_VALUE"""),"Pre-seed")</f>
        <v>Pre-seed</v>
      </c>
      <c r="U453" s="6" t="str">
        <f ca="1">IFERROR(__xludf.DUMMYFUNCTION("""COMPUTED_VALUE"""),"Pre-seed")</f>
        <v>Pre-seed</v>
      </c>
      <c r="V453" s="6"/>
      <c r="W453" s="6" t="str">
        <f ca="1">IFERROR(__xludf.DUMMYFUNCTION("""COMPUTED_VALUE"""),"Revisit")</f>
        <v>Revisit</v>
      </c>
    </row>
    <row r="454" spans="1:23">
      <c r="A454" s="6" t="str">
        <f ca="1">IFERROR(__xludf.DUMMYFUNCTION("""COMPUTED_VALUE"""),"Man, Man, Woman")</f>
        <v>Man, Man, Woman</v>
      </c>
      <c r="B454" s="6" t="str">
        <f ca="1">IFERROR(__xludf.DUMMYFUNCTION("""COMPUTED_VALUE"""),"Encora Therapeutics _2022")</f>
        <v>Encora Therapeutics _2022</v>
      </c>
      <c r="C454" s="6" t="str">
        <f ca="1">IFERROR(__xludf.DUMMYFUNCTION("""COMPUTED_VALUE"""),"Deep Tech")</f>
        <v>Deep Tech</v>
      </c>
      <c r="D454" s="6" t="str">
        <f ca="1">IFERROR(__xludf.DUMMYFUNCTION("""COMPUTED_VALUE"""),"Boston, Massachusetts 
United States")</f>
        <v>Boston, Massachusetts 
United States</v>
      </c>
      <c r="E454" s="6" t="str">
        <f ca="1">IFERROR(__xludf.DUMMYFUNCTION("""COMPUTED_VALUE"""),"East Coast")</f>
        <v>East Coast</v>
      </c>
      <c r="F454" s="6" t="str">
        <f ca="1">IFERROR(__xludf.DUMMYFUNCTION("""COMPUTED_VALUE"""),"Man")</f>
        <v>Man</v>
      </c>
      <c r="G454" s="6" t="str">
        <f ca="1">IFERROR(__xludf.DUMMYFUNCTION("""COMPUTED_VALUE"""),"Man")</f>
        <v>Man</v>
      </c>
      <c r="H454" s="6" t="str">
        <f ca="1">IFERROR(__xludf.DUMMYFUNCTION("""COMPUTED_VALUE"""),"Woman")</f>
        <v>Woman</v>
      </c>
      <c r="I454" s="6"/>
      <c r="J454" s="6"/>
      <c r="K454" s="6"/>
      <c r="L454" s="6" t="str">
        <f ca="1">IFERROR(__xludf.DUMMYFUNCTION("""COMPUTED_VALUE"""),"No")</f>
        <v>No</v>
      </c>
      <c r="M454" s="6"/>
      <c r="N454" s="6"/>
      <c r="O454" s="6" t="str">
        <f ca="1">IFERROR(__xludf.DUMMYFUNCTION("""COMPUTED_VALUE"""),"Info Session")</f>
        <v>Info Session</v>
      </c>
      <c r="P454" s="6"/>
      <c r="Q454" s="6" t="str">
        <f ca="1">IFERROR(__xludf.DUMMYFUNCTION("""COMPUTED_VALUE"""),"Yes")</f>
        <v>Yes</v>
      </c>
      <c r="R454" s="6">
        <f ca="1">IFERROR(__xludf.DUMMYFUNCTION("""COMPUTED_VALUE"""),3)</f>
        <v>3</v>
      </c>
      <c r="S454" s="6" t="str">
        <f ca="1">IFERROR(__xludf.DUMMYFUNCTION("""COMPUTED_VALUE"""),"Pre-seed")</f>
        <v>Pre-seed</v>
      </c>
      <c r="T454" s="6" t="str">
        <f ca="1">IFERROR(__xludf.DUMMYFUNCTION("""COMPUTED_VALUE"""),"Pre-seed")</f>
        <v>Pre-seed</v>
      </c>
      <c r="U454" s="6" t="str">
        <f ca="1">IFERROR(__xludf.DUMMYFUNCTION("""COMPUTED_VALUE"""),"Pre-seed")</f>
        <v>Pre-seed</v>
      </c>
      <c r="V454" s="6"/>
      <c r="W454" s="6" t="str">
        <f ca="1">IFERROR(__xludf.DUMMYFUNCTION("""COMPUTED_VALUE"""),"Invite")</f>
        <v>Invite</v>
      </c>
    </row>
    <row r="455" spans="1:23">
      <c r="A455" s="6" t="str">
        <f ca="1">IFERROR(__xludf.DUMMYFUNCTION("""COMPUTED_VALUE"""),"Man, Man")</f>
        <v>Man, Man</v>
      </c>
      <c r="B455" s="6" t="str">
        <f ca="1">IFERROR(__xludf.DUMMYFUNCTION("""COMPUTED_VALUE"""),"Skydo Inc. _2022")</f>
        <v>Skydo Inc. _2022</v>
      </c>
      <c r="C455" s="6" t="str">
        <f ca="1">IFERROR(__xludf.DUMMYFUNCTION("""COMPUTED_VALUE"""),"Digital Tech")</f>
        <v>Digital Tech</v>
      </c>
      <c r="D455" s="6" t="str">
        <f ca="1">IFERROR(__xludf.DUMMYFUNCTION("""COMPUTED_VALUE"""),"Bangalore, Karnataka 
India")</f>
        <v>Bangalore, Karnataka 
India</v>
      </c>
      <c r="E455" s="6" t="str">
        <f ca="1">IFERROR(__xludf.DUMMYFUNCTION("""COMPUTED_VALUE"""),"International - Asia")</f>
        <v>International - Asia</v>
      </c>
      <c r="F455" s="6" t="str">
        <f ca="1">IFERROR(__xludf.DUMMYFUNCTION("""COMPUTED_VALUE"""),"Man")</f>
        <v>Man</v>
      </c>
      <c r="G455" s="6" t="str">
        <f ca="1">IFERROR(__xludf.DUMMYFUNCTION("""COMPUTED_VALUE"""),"Man")</f>
        <v>Man</v>
      </c>
      <c r="H455" s="6"/>
      <c r="I455" s="6"/>
      <c r="J455" s="6"/>
      <c r="K455" s="6"/>
      <c r="L455" s="6" t="str">
        <f ca="1">IFERROR(__xludf.DUMMYFUNCTION("""COMPUTED_VALUE"""),"No")</f>
        <v>No</v>
      </c>
      <c r="M455" s="6"/>
      <c r="N455" s="6"/>
      <c r="O455" s="6" t="str">
        <f ca="1">IFERROR(__xludf.DUMMYFUNCTION("""COMPUTED_VALUE"""),"Email")</f>
        <v>Email</v>
      </c>
      <c r="P455" s="6"/>
      <c r="Q455" s="6" t="str">
        <f ca="1">IFERROR(__xludf.DUMMYFUNCTION("""COMPUTED_VALUE"""),"No")</f>
        <v>No</v>
      </c>
      <c r="R455" s="6">
        <f ca="1">IFERROR(__xludf.DUMMYFUNCTION("""COMPUTED_VALUE"""),2)</f>
        <v>2</v>
      </c>
      <c r="S455" s="6" t="str">
        <f ca="1">IFERROR(__xludf.DUMMYFUNCTION("""COMPUTED_VALUE"""),"Seed")</f>
        <v>Seed</v>
      </c>
      <c r="T455" s="6" t="str">
        <f ca="1">IFERROR(__xludf.DUMMYFUNCTION("""COMPUTED_VALUE"""),"Seed")</f>
        <v>Seed</v>
      </c>
      <c r="U455" s="6" t="str">
        <f ca="1">IFERROR(__xludf.DUMMYFUNCTION("""COMPUTED_VALUE"""),"Seed")</f>
        <v>Seed</v>
      </c>
      <c r="V455" s="6"/>
      <c r="W455" s="6" t="str">
        <f ca="1">IFERROR(__xludf.DUMMYFUNCTION("""COMPUTED_VALUE"""),"Invite Next Year")</f>
        <v>Invite Next Year</v>
      </c>
    </row>
    <row r="456" spans="1:23">
      <c r="A456" s="6" t="str">
        <f ca="1">IFERROR(__xludf.DUMMYFUNCTION("""COMPUTED_VALUE"""),"Woman")</f>
        <v>Woman</v>
      </c>
      <c r="B456" s="6" t="str">
        <f ca="1">IFERROR(__xludf.DUMMYFUNCTION("""COMPUTED_VALUE"""),"DineUps  _2022")</f>
        <v>DineUps  _2022</v>
      </c>
      <c r="C456" s="6" t="str">
        <f ca="1">IFERROR(__xludf.DUMMYFUNCTION("""COMPUTED_VALUE"""),"Digital Tech")</f>
        <v>Digital Tech</v>
      </c>
      <c r="D456" s="6" t="str">
        <f ca="1">IFERROR(__xludf.DUMMYFUNCTION("""COMPUTED_VALUE"""),"552 bittersweet terrace , bridgewater ,  New jersey 
United States")</f>
        <v>552 bittersweet terrace , bridgewater ,  New jersey 
United States</v>
      </c>
      <c r="E456" s="6" t="str">
        <f ca="1">IFERROR(__xludf.DUMMYFUNCTION("""COMPUTED_VALUE"""),"East Coast")</f>
        <v>East Coast</v>
      </c>
      <c r="F456" s="6" t="str">
        <f ca="1">IFERROR(__xludf.DUMMYFUNCTION("""COMPUTED_VALUE"""),"Woman")</f>
        <v>Woman</v>
      </c>
      <c r="G456" s="6"/>
      <c r="H456" s="6"/>
      <c r="I456" s="6"/>
      <c r="J456" s="6"/>
      <c r="K456" s="6"/>
      <c r="L456" s="6" t="str">
        <f ca="1">IFERROR(__xludf.DUMMYFUNCTION("""COMPUTED_VALUE"""),"Yes")</f>
        <v>Yes</v>
      </c>
      <c r="M456" s="6" t="str">
        <f ca="1">IFERROR(__xludf.DUMMYFUNCTION("""COMPUTED_VALUE"""),"NYU Student")</f>
        <v>NYU Student</v>
      </c>
      <c r="N456" s="6"/>
      <c r="O456" s="6" t="str">
        <f ca="1">IFERROR(__xludf.DUMMYFUNCTION("""COMPUTED_VALUE"""),"Email")</f>
        <v>Email</v>
      </c>
      <c r="P456" s="6"/>
      <c r="Q456" s="6" t="str">
        <f ca="1">IFERROR(__xludf.DUMMYFUNCTION("""COMPUTED_VALUE"""),"No")</f>
        <v>No</v>
      </c>
      <c r="R456" s="6">
        <f ca="1">IFERROR(__xludf.DUMMYFUNCTION("""COMPUTED_VALUE"""),1)</f>
        <v>1</v>
      </c>
      <c r="S456" s="6" t="str">
        <f ca="1">IFERROR(__xludf.DUMMYFUNCTION("""COMPUTED_VALUE"""),"None")</f>
        <v>None</v>
      </c>
      <c r="T456" s="6" t="str">
        <f ca="1">IFERROR(__xludf.DUMMYFUNCTION("""COMPUTED_VALUE"""),"None")</f>
        <v>None</v>
      </c>
      <c r="U456" s="6" t="str">
        <f ca="1">IFERROR(__xludf.DUMMYFUNCTION("""COMPUTED_VALUE"""),"None")</f>
        <v>None</v>
      </c>
      <c r="V456" s="6"/>
      <c r="W456" s="6" t="str">
        <f ca="1">IFERROR(__xludf.DUMMYFUNCTION("""COMPUTED_VALUE"""),"Invite Next Year")</f>
        <v>Invite Next Year</v>
      </c>
    </row>
    <row r="457" spans="1:23">
      <c r="A457" s="6" t="str">
        <f ca="1">IFERROR(__xludf.DUMMYFUNCTION("""COMPUTED_VALUE"""),"Other, Man")</f>
        <v>Other, Man</v>
      </c>
      <c r="B457" s="6" t="str">
        <f ca="1">IFERROR(__xludf.DUMMYFUNCTION("""COMPUTED_VALUE"""),"Strong Network Inc. _2022")</f>
        <v>Strong Network Inc. _2022</v>
      </c>
      <c r="C457" s="6" t="str">
        <f ca="1">IFERROR(__xludf.DUMMYFUNCTION("""COMPUTED_VALUE"""),"Digital Tech")</f>
        <v>Digital Tech</v>
      </c>
      <c r="D457" s="6" t="str">
        <f ca="1">IFERROR(__xludf.DUMMYFUNCTION("""COMPUTED_VALUE"""),"Lausanne , Vaud  
Switzerland")</f>
        <v>Lausanne , Vaud  
Switzerland</v>
      </c>
      <c r="E457" s="6" t="str">
        <f ca="1">IFERROR(__xludf.DUMMYFUNCTION("""COMPUTED_VALUE"""),"International - Europe")</f>
        <v>International - Europe</v>
      </c>
      <c r="F457" s="6" t="str">
        <f ca="1">IFERROR(__xludf.DUMMYFUNCTION("""COMPUTED_VALUE"""),"Other")</f>
        <v>Other</v>
      </c>
      <c r="G457" s="6" t="str">
        <f ca="1">IFERROR(__xludf.DUMMYFUNCTION("""COMPUTED_VALUE"""),"Man")</f>
        <v>Man</v>
      </c>
      <c r="H457" s="6"/>
      <c r="I457" s="6"/>
      <c r="J457" s="6"/>
      <c r="K457" s="6"/>
      <c r="L457" s="6" t="str">
        <f ca="1">IFERROR(__xludf.DUMMYFUNCTION("""COMPUTED_VALUE"""),"No")</f>
        <v>No</v>
      </c>
      <c r="M457" s="6"/>
      <c r="N457" s="6"/>
      <c r="O457" s="6" t="str">
        <f ca="1">IFERROR(__xludf.DUMMYFUNCTION("""COMPUTED_VALUE"""),"Other")</f>
        <v>Other</v>
      </c>
      <c r="P457" s="6"/>
      <c r="Q457" s="6" t="str">
        <f ca="1">IFERROR(__xludf.DUMMYFUNCTION("""COMPUTED_VALUE"""),"No")</f>
        <v>No</v>
      </c>
      <c r="R457" s="6">
        <f ca="1">IFERROR(__xludf.DUMMYFUNCTION("""COMPUTED_VALUE"""),2)</f>
        <v>2</v>
      </c>
      <c r="S457" s="6" t="str">
        <f ca="1">IFERROR(__xludf.DUMMYFUNCTION("""COMPUTED_VALUE"""),"Pre-seed
Seed")</f>
        <v>Pre-seed
Seed</v>
      </c>
      <c r="T457" s="6" t="str">
        <f ca="1">IFERROR(__xludf.DUMMYFUNCTION("""COMPUTED_VALUE"""),"Pre-seed, Seed")</f>
        <v>Pre-seed, Seed</v>
      </c>
      <c r="U457" s="6" t="str">
        <f ca="1">IFERROR(__xludf.DUMMYFUNCTION("""COMPUTED_VALUE"""),"Pre-seed, Seed")</f>
        <v>Pre-seed, Seed</v>
      </c>
      <c r="V457" s="6"/>
      <c r="W457" s="6" t="str">
        <f ca="1">IFERROR(__xludf.DUMMYFUNCTION("""COMPUTED_VALUE"""),"Invite")</f>
        <v>Invite</v>
      </c>
    </row>
    <row r="458" spans="1:23">
      <c r="A458" s="6" t="str">
        <f ca="1">IFERROR(__xludf.DUMMYFUNCTION("""COMPUTED_VALUE"""),"Man, Woman, Man, Man")</f>
        <v>Man, Woman, Man, Man</v>
      </c>
      <c r="B458" s="6" t="str">
        <f ca="1">IFERROR(__xludf.DUMMYFUNCTION("""COMPUTED_VALUE"""),"Hudson Space Systems _2022")</f>
        <v>Hudson Space Systems _2022</v>
      </c>
      <c r="C458" s="6" t="str">
        <f ca="1">IFERROR(__xludf.DUMMYFUNCTION("""COMPUTED_VALUE"""),"Deep Tech")</f>
        <v>Deep Tech</v>
      </c>
      <c r="D458" s="6" t="str">
        <f ca="1">IFERROR(__xludf.DUMMYFUNCTION("""COMPUTED_VALUE"""),"Jersey City, New Jersey 
United States")</f>
        <v>Jersey City, New Jersey 
United States</v>
      </c>
      <c r="E458" s="6" t="str">
        <f ca="1">IFERROR(__xludf.DUMMYFUNCTION("""COMPUTED_VALUE"""),"East Coast")</f>
        <v>East Coast</v>
      </c>
      <c r="F458" s="6" t="str">
        <f ca="1">IFERROR(__xludf.DUMMYFUNCTION("""COMPUTED_VALUE"""),"Man")</f>
        <v>Man</v>
      </c>
      <c r="G458" s="6" t="str">
        <f ca="1">IFERROR(__xludf.DUMMYFUNCTION("""COMPUTED_VALUE"""),"Woman")</f>
        <v>Woman</v>
      </c>
      <c r="H458" s="6" t="str">
        <f ca="1">IFERROR(__xludf.DUMMYFUNCTION("""COMPUTED_VALUE"""),"Man")</f>
        <v>Man</v>
      </c>
      <c r="I458" s="6" t="str">
        <f ca="1">IFERROR(__xludf.DUMMYFUNCTION("""COMPUTED_VALUE"""),"Man")</f>
        <v>Man</v>
      </c>
      <c r="J458" s="6"/>
      <c r="K458" s="6"/>
      <c r="L458" s="6" t="str">
        <f ca="1">IFERROR(__xludf.DUMMYFUNCTION("""COMPUTED_VALUE"""),"Yes")</f>
        <v>Yes</v>
      </c>
      <c r="M458" s="6" t="str">
        <f ca="1">IFERROR(__xludf.DUMMYFUNCTION("""COMPUTED_VALUE"""),"NYU Alumni")</f>
        <v>NYU Alumni</v>
      </c>
      <c r="N458" s="6"/>
      <c r="O458" s="6" t="str">
        <f ca="1">IFERROR(__xludf.DUMMYFUNCTION("""COMPUTED_VALUE"""),"Email")</f>
        <v>Email</v>
      </c>
      <c r="P458" s="6"/>
      <c r="Q458" s="6" t="str">
        <f ca="1">IFERROR(__xludf.DUMMYFUNCTION("""COMPUTED_VALUE"""),"Yes")</f>
        <v>Yes</v>
      </c>
      <c r="R458" s="6">
        <f ca="1">IFERROR(__xludf.DUMMYFUNCTION("""COMPUTED_VALUE"""),4)</f>
        <v>4</v>
      </c>
      <c r="S458" s="6" t="str">
        <f ca="1">IFERROR(__xludf.DUMMYFUNCTION("""COMPUTED_VALUE"""),"Pre-seed")</f>
        <v>Pre-seed</v>
      </c>
      <c r="T458" s="6" t="str">
        <f ca="1">IFERROR(__xludf.DUMMYFUNCTION("""COMPUTED_VALUE"""),"Pre-seed")</f>
        <v>Pre-seed</v>
      </c>
      <c r="U458" s="6" t="str">
        <f ca="1">IFERROR(__xludf.DUMMYFUNCTION("""COMPUTED_VALUE"""),"Pre-seed")</f>
        <v>Pre-seed</v>
      </c>
      <c r="V458" s="6"/>
      <c r="W458" s="6" t="str">
        <f ca="1">IFERROR(__xludf.DUMMYFUNCTION("""COMPUTED_VALUE"""),"Invite Next Year")</f>
        <v>Invite Next Year</v>
      </c>
    </row>
    <row r="459" spans="1:23">
      <c r="A459" s="6" t="str">
        <f ca="1">IFERROR(__xludf.DUMMYFUNCTION("""COMPUTED_VALUE"""),"Man, Man, Man")</f>
        <v>Man, Man, Man</v>
      </c>
      <c r="B459" s="6" t="str">
        <f ca="1">IFERROR(__xludf.DUMMYFUNCTION("""COMPUTED_VALUE"""),"Impilo _2022")</f>
        <v>Impilo _2022</v>
      </c>
      <c r="C459" s="6" t="str">
        <f ca="1">IFERROR(__xludf.DUMMYFUNCTION("""COMPUTED_VALUE"""),"Digital Tech")</f>
        <v>Digital Tech</v>
      </c>
      <c r="D459" s="6" t="str">
        <f ca="1">IFERROR(__xludf.DUMMYFUNCTION("""COMPUTED_VALUE"""),"Eshchar, Israel 
Israel")</f>
        <v>Eshchar, Israel 
Israel</v>
      </c>
      <c r="E459" s="6" t="str">
        <f ca="1">IFERROR(__xludf.DUMMYFUNCTION("""COMPUTED_VALUE"""),"International - Middle East")</f>
        <v>International - Middle East</v>
      </c>
      <c r="F459" s="6" t="str">
        <f ca="1">IFERROR(__xludf.DUMMYFUNCTION("""COMPUTED_VALUE"""),"Man")</f>
        <v>Man</v>
      </c>
      <c r="G459" s="6" t="str">
        <f ca="1">IFERROR(__xludf.DUMMYFUNCTION("""COMPUTED_VALUE"""),"Man")</f>
        <v>Man</v>
      </c>
      <c r="H459" s="6" t="str">
        <f ca="1">IFERROR(__xludf.DUMMYFUNCTION("""COMPUTED_VALUE"""),"Man")</f>
        <v>Man</v>
      </c>
      <c r="I459" s="6"/>
      <c r="J459" s="6"/>
      <c r="K459" s="6"/>
      <c r="L459" s="6" t="str">
        <f ca="1">IFERROR(__xludf.DUMMYFUNCTION("""COMPUTED_VALUE"""),"No")</f>
        <v>No</v>
      </c>
      <c r="M459" s="6"/>
      <c r="N459" s="6"/>
      <c r="O459" s="6" t="str">
        <f ca="1">IFERROR(__xludf.DUMMYFUNCTION("""COMPUTED_VALUE"""),"Other")</f>
        <v>Other</v>
      </c>
      <c r="P459" s="6"/>
      <c r="Q459" s="6" t="str">
        <f ca="1">IFERROR(__xludf.DUMMYFUNCTION("""COMPUTED_VALUE"""),"No")</f>
        <v>No</v>
      </c>
      <c r="R459" s="6">
        <f ca="1">IFERROR(__xludf.DUMMYFUNCTION("""COMPUTED_VALUE"""),3)</f>
        <v>3</v>
      </c>
      <c r="S459" s="6" t="str">
        <f ca="1">IFERROR(__xludf.DUMMYFUNCTION("""COMPUTED_VALUE"""),"Grants
None
Other: Founders invested their own money, so far, to support the product development.")</f>
        <v>Grants
None
Other: Founders invested their own money, so far, to support the product development.</v>
      </c>
      <c r="T459" s="6" t="str">
        <f ca="1">IFERROR(__xludf.DUMMYFUNCTION("""COMPUTED_VALUE"""),"Grants, None, Other: Founders invested their own money, so far, to support the product development.")</f>
        <v>Grants, None, Other: Founders invested their own money, so far, to support the product development.</v>
      </c>
      <c r="U459" s="6" t="str">
        <f ca="1">IFERROR(__xludf.DUMMYFUNCTION("""COMPUTED_VALUE"""),"Grants, None, ")</f>
        <v xml:space="preserve">Grants, None, </v>
      </c>
      <c r="V459" s="6" t="str">
        <f ca="1">IFERROR(__xludf.DUMMYFUNCTION("""COMPUTED_VALUE"""),"Founders invested their own money, so far, to support the product development.")</f>
        <v>Founders invested their own money, so far, to support the product development.</v>
      </c>
      <c r="W459" s="6" t="str">
        <f ca="1">IFERROR(__xludf.DUMMYFUNCTION("""COMPUTED_VALUE"""),"Invite")</f>
        <v>Invite</v>
      </c>
    </row>
    <row r="460" spans="1:23">
      <c r="A460" s="6" t="str">
        <f ca="1">IFERROR(__xludf.DUMMYFUNCTION("""COMPUTED_VALUE"""),"Man, Woman")</f>
        <v>Man, Woman</v>
      </c>
      <c r="B460" s="6" t="str">
        <f ca="1">IFERROR(__xludf.DUMMYFUNCTION("""COMPUTED_VALUE"""),"Sustainaccount AG _2022")</f>
        <v>Sustainaccount AG _2022</v>
      </c>
      <c r="C460" s="6" t="str">
        <f ca="1">IFERROR(__xludf.DUMMYFUNCTION("""COMPUTED_VALUE"""),"Digital Tech")</f>
        <v>Digital Tech</v>
      </c>
      <c r="D460" s="6" t="str">
        <f ca="1">IFERROR(__xludf.DUMMYFUNCTION("""COMPUTED_VALUE"""),"Uetikon am See, Zurich 
Switzerland")</f>
        <v>Uetikon am See, Zurich 
Switzerland</v>
      </c>
      <c r="E460" s="6" t="str">
        <f ca="1">IFERROR(__xludf.DUMMYFUNCTION("""COMPUTED_VALUE"""),"International - Europe")</f>
        <v>International - Europe</v>
      </c>
      <c r="F460" s="6" t="str">
        <f ca="1">IFERROR(__xludf.DUMMYFUNCTION("""COMPUTED_VALUE"""),"Man")</f>
        <v>Man</v>
      </c>
      <c r="G460" s="6" t="str">
        <f ca="1">IFERROR(__xludf.DUMMYFUNCTION("""COMPUTED_VALUE"""),"Woman")</f>
        <v>Woman</v>
      </c>
      <c r="H460" s="6"/>
      <c r="I460" s="6"/>
      <c r="J460" s="6"/>
      <c r="K460" s="6"/>
      <c r="L460" s="6" t="str">
        <f ca="1">IFERROR(__xludf.DUMMYFUNCTION("""COMPUTED_VALUE"""),"No")</f>
        <v>No</v>
      </c>
      <c r="M460" s="6"/>
      <c r="N460" s="6"/>
      <c r="O460" s="6" t="str">
        <f ca="1">IFERROR(__xludf.DUMMYFUNCTION("""COMPUTED_VALUE"""),"Email")</f>
        <v>Email</v>
      </c>
      <c r="P460" s="6"/>
      <c r="Q460" s="6" t="str">
        <f ca="1">IFERROR(__xludf.DUMMYFUNCTION("""COMPUTED_VALUE"""),"No")</f>
        <v>No</v>
      </c>
      <c r="R460" s="6">
        <f ca="1">IFERROR(__xludf.DUMMYFUNCTION("""COMPUTED_VALUE"""),2)</f>
        <v>2</v>
      </c>
      <c r="S460" s="6" t="str">
        <f ca="1">IFERROR(__xludf.DUMMYFUNCTION("""COMPUTED_VALUE"""),"Grants")</f>
        <v>Grants</v>
      </c>
      <c r="T460" s="6" t="str">
        <f ca="1">IFERROR(__xludf.DUMMYFUNCTION("""COMPUTED_VALUE"""),"Grants")</f>
        <v>Grants</v>
      </c>
      <c r="U460" s="6" t="str">
        <f ca="1">IFERROR(__xludf.DUMMYFUNCTION("""COMPUTED_VALUE"""),"Grants")</f>
        <v>Grants</v>
      </c>
      <c r="V460" s="6"/>
      <c r="W460" s="6" t="str">
        <f ca="1">IFERROR(__xludf.DUMMYFUNCTION("""COMPUTED_VALUE"""),"Invite Next Year")</f>
        <v>Invite Next Year</v>
      </c>
    </row>
    <row r="461" spans="1:23">
      <c r="A461" s="6" t="str">
        <f ca="1">IFERROR(__xludf.DUMMYFUNCTION("""COMPUTED_VALUE"""),"Man, Man")</f>
        <v>Man, Man</v>
      </c>
      <c r="B461" s="6" t="str">
        <f ca="1">IFERROR(__xludf.DUMMYFUNCTION("""COMPUTED_VALUE"""),"Hyperhuman _2022")</f>
        <v>Hyperhuman _2022</v>
      </c>
      <c r="C461" s="6" t="str">
        <f ca="1">IFERROR(__xludf.DUMMYFUNCTION("""COMPUTED_VALUE"""),"Digital Tech")</f>
        <v>Digital Tech</v>
      </c>
      <c r="D461" s="6" t="str">
        <f ca="1">IFERROR(__xludf.DUMMYFUNCTION("""COMPUTED_VALUE"""),"Bucharest, Bucharest 
Romania")</f>
        <v>Bucharest, Bucharest 
Romania</v>
      </c>
      <c r="E461" s="6" t="str">
        <f ca="1">IFERROR(__xludf.DUMMYFUNCTION("""COMPUTED_VALUE"""),"International - Europe")</f>
        <v>International - Europe</v>
      </c>
      <c r="F461" s="6" t="str">
        <f ca="1">IFERROR(__xludf.DUMMYFUNCTION("""COMPUTED_VALUE"""),"Man")</f>
        <v>Man</v>
      </c>
      <c r="G461" s="6" t="str">
        <f ca="1">IFERROR(__xludf.DUMMYFUNCTION("""COMPUTED_VALUE"""),"Man")</f>
        <v>Man</v>
      </c>
      <c r="H461" s="6"/>
      <c r="I461" s="6"/>
      <c r="J461" s="6"/>
      <c r="K461" s="6"/>
      <c r="L461" s="6" t="str">
        <f ca="1">IFERROR(__xludf.DUMMYFUNCTION("""COMPUTED_VALUE"""),"No")</f>
        <v>No</v>
      </c>
      <c r="M461" s="6"/>
      <c r="N461" s="6"/>
      <c r="O461" s="6" t="str">
        <f ca="1">IFERROR(__xludf.DUMMYFUNCTION("""COMPUTED_VALUE"""),"Email")</f>
        <v>Email</v>
      </c>
      <c r="P461" s="6"/>
      <c r="Q461" s="6" t="str">
        <f ca="1">IFERROR(__xludf.DUMMYFUNCTION("""COMPUTED_VALUE"""),"No")</f>
        <v>No</v>
      </c>
      <c r="R461" s="6">
        <f ca="1">IFERROR(__xludf.DUMMYFUNCTION("""COMPUTED_VALUE"""),2)</f>
        <v>2</v>
      </c>
      <c r="S461" s="6" t="str">
        <f ca="1">IFERROR(__xludf.DUMMYFUNCTION("""COMPUTED_VALUE"""),"Pre-seed
Seed")</f>
        <v>Pre-seed
Seed</v>
      </c>
      <c r="T461" s="6" t="str">
        <f ca="1">IFERROR(__xludf.DUMMYFUNCTION("""COMPUTED_VALUE"""),"Pre-seed, Seed")</f>
        <v>Pre-seed, Seed</v>
      </c>
      <c r="U461" s="6" t="str">
        <f ca="1">IFERROR(__xludf.DUMMYFUNCTION("""COMPUTED_VALUE"""),"Pre-seed, Seed")</f>
        <v>Pre-seed, Seed</v>
      </c>
      <c r="V461" s="6"/>
      <c r="W461" s="6" t="str">
        <f ca="1">IFERROR(__xludf.DUMMYFUNCTION("""COMPUTED_VALUE"""),"Invite Next Year")</f>
        <v>Invite Next Year</v>
      </c>
    </row>
    <row r="462" spans="1:23">
      <c r="A462" s="6" t="str">
        <f ca="1">IFERROR(__xludf.DUMMYFUNCTION("""COMPUTED_VALUE"""),"Woman, Man")</f>
        <v>Woman, Man</v>
      </c>
      <c r="B462" s="6" t="str">
        <f ca="1">IFERROR(__xludf.DUMMYFUNCTION("""COMPUTED_VALUE"""),"Weather Trade Net _2022")</f>
        <v>Weather Trade Net _2022</v>
      </c>
      <c r="C462" s="6" t="str">
        <f ca="1">IFERROR(__xludf.DUMMYFUNCTION("""COMPUTED_VALUE"""),"Digital Tech")</f>
        <v>Digital Tech</v>
      </c>
      <c r="D462" s="6" t="str">
        <f ca="1">IFERROR(__xludf.DUMMYFUNCTION("""COMPUTED_VALUE"""),"26 rue George Sand, Paris 
France")</f>
        <v>26 rue George Sand, Paris 
France</v>
      </c>
      <c r="E462" s="6" t="str">
        <f ca="1">IFERROR(__xludf.DUMMYFUNCTION("""COMPUTED_VALUE"""),"International - Europe")</f>
        <v>International - Europe</v>
      </c>
      <c r="F462" s="6" t="str">
        <f ca="1">IFERROR(__xludf.DUMMYFUNCTION("""COMPUTED_VALUE"""),"Woman")</f>
        <v>Woman</v>
      </c>
      <c r="G462" s="6" t="str">
        <f ca="1">IFERROR(__xludf.DUMMYFUNCTION("""COMPUTED_VALUE"""),"Man")</f>
        <v>Man</v>
      </c>
      <c r="H462" s="6"/>
      <c r="I462" s="6"/>
      <c r="J462" s="6"/>
      <c r="K462" s="6"/>
      <c r="L462" s="6" t="str">
        <f ca="1">IFERROR(__xludf.DUMMYFUNCTION("""COMPUTED_VALUE"""),"--Please select--")</f>
        <v>--Please select--</v>
      </c>
      <c r="M462" s="6"/>
      <c r="N462" s="6"/>
      <c r="O462" s="6" t="str">
        <f ca="1">IFERROR(__xludf.DUMMYFUNCTION("""COMPUTED_VALUE"""),"LinkedIn")</f>
        <v>LinkedIn</v>
      </c>
      <c r="P462" s="6"/>
      <c r="Q462" s="6" t="str">
        <f ca="1">IFERROR(__xludf.DUMMYFUNCTION("""COMPUTED_VALUE"""),"No")</f>
        <v>No</v>
      </c>
      <c r="R462" s="6">
        <f ca="1">IFERROR(__xludf.DUMMYFUNCTION("""COMPUTED_VALUE"""),2)</f>
        <v>2</v>
      </c>
      <c r="S462" s="6" t="str">
        <f ca="1">IFERROR(__xludf.DUMMYFUNCTION("""COMPUTED_VALUE"""),"None")</f>
        <v>None</v>
      </c>
      <c r="T462" s="6" t="str">
        <f ca="1">IFERROR(__xludf.DUMMYFUNCTION("""COMPUTED_VALUE"""),"None")</f>
        <v>None</v>
      </c>
      <c r="U462" s="6" t="str">
        <f ca="1">IFERROR(__xludf.DUMMYFUNCTION("""COMPUTED_VALUE"""),"None")</f>
        <v>None</v>
      </c>
      <c r="V462" s="6"/>
      <c r="W462" s="6" t="str">
        <f ca="1">IFERROR(__xludf.DUMMYFUNCTION("""COMPUTED_VALUE"""),"Invite Next Year")</f>
        <v>Invite Next Year</v>
      </c>
    </row>
    <row r="463" spans="1:23">
      <c r="A463" s="6" t="str">
        <f ca="1">IFERROR(__xludf.DUMMYFUNCTION("""COMPUTED_VALUE"""),"Man, Man, Man")</f>
        <v>Man, Man, Man</v>
      </c>
      <c r="B463" s="6" t="str">
        <f ca="1">IFERROR(__xludf.DUMMYFUNCTION("""COMPUTED_VALUE"""),"Advisor.com _2022")</f>
        <v>Advisor.com _2022</v>
      </c>
      <c r="C463" s="6" t="str">
        <f ca="1">IFERROR(__xludf.DUMMYFUNCTION("""COMPUTED_VALUE"""),"Digital Tech")</f>
        <v>Digital Tech</v>
      </c>
      <c r="D463" s="6" t="str">
        <f ca="1">IFERROR(__xludf.DUMMYFUNCTION("""COMPUTED_VALUE"""),"Charleston, SC 
United States")</f>
        <v>Charleston, SC 
United States</v>
      </c>
      <c r="E463" s="6" t="str">
        <f ca="1">IFERROR(__xludf.DUMMYFUNCTION("""COMPUTED_VALUE"""),"East Coast")</f>
        <v>East Coast</v>
      </c>
      <c r="F463" s="6" t="str">
        <f ca="1">IFERROR(__xludf.DUMMYFUNCTION("""COMPUTED_VALUE"""),"Man")</f>
        <v>Man</v>
      </c>
      <c r="G463" s="6" t="str">
        <f ca="1">IFERROR(__xludf.DUMMYFUNCTION("""COMPUTED_VALUE"""),"Man")</f>
        <v>Man</v>
      </c>
      <c r="H463" s="6" t="str">
        <f ca="1">IFERROR(__xludf.DUMMYFUNCTION("""COMPUTED_VALUE"""),"Man")</f>
        <v>Man</v>
      </c>
      <c r="I463" s="6"/>
      <c r="J463" s="6"/>
      <c r="K463" s="6"/>
      <c r="L463" s="6" t="str">
        <f ca="1">IFERROR(__xludf.DUMMYFUNCTION("""COMPUTED_VALUE"""),"Yes")</f>
        <v>Yes</v>
      </c>
      <c r="M463" s="6" t="str">
        <f ca="1">IFERROR(__xludf.DUMMYFUNCTION("""COMPUTED_VALUE"""),"NYU Alumni")</f>
        <v>NYU Alumni</v>
      </c>
      <c r="N463" s="6"/>
      <c r="O463" s="6" t="str">
        <f ca="1">IFERROR(__xludf.DUMMYFUNCTION("""COMPUTED_VALUE"""),"Email")</f>
        <v>Email</v>
      </c>
      <c r="P463" s="6"/>
      <c r="Q463" s="6" t="str">
        <f ca="1">IFERROR(__xludf.DUMMYFUNCTION("""COMPUTED_VALUE"""),"No")</f>
        <v>No</v>
      </c>
      <c r="R463" s="6">
        <f ca="1">IFERROR(__xludf.DUMMYFUNCTION("""COMPUTED_VALUE"""),3)</f>
        <v>3</v>
      </c>
      <c r="S463" s="6" t="str">
        <f ca="1">IFERROR(__xludf.DUMMYFUNCTION("""COMPUTED_VALUE"""),"Seed")</f>
        <v>Seed</v>
      </c>
      <c r="T463" s="6" t="str">
        <f ca="1">IFERROR(__xludf.DUMMYFUNCTION("""COMPUTED_VALUE"""),"Seed")</f>
        <v>Seed</v>
      </c>
      <c r="U463" s="6" t="str">
        <f ca="1">IFERROR(__xludf.DUMMYFUNCTION("""COMPUTED_VALUE"""),"Seed")</f>
        <v>Seed</v>
      </c>
      <c r="V463" s="6"/>
      <c r="W463" s="6" t="str">
        <f ca="1">IFERROR(__xludf.DUMMYFUNCTION("""COMPUTED_VALUE"""),"Invite Next Year")</f>
        <v>Invite Next Year</v>
      </c>
    </row>
    <row r="464" spans="1:23">
      <c r="A464" s="6" t="str">
        <f ca="1">IFERROR(__xludf.DUMMYFUNCTION("""COMPUTED_VALUE"""),"Man")</f>
        <v>Man</v>
      </c>
      <c r="B464" s="6" t="str">
        <f ca="1">IFERROR(__xludf.DUMMYFUNCTION("""COMPUTED_VALUE"""),"ODWEN Inc _2022")</f>
        <v>ODWEN Inc _2022</v>
      </c>
      <c r="C464" s="6" t="str">
        <f ca="1">IFERROR(__xludf.DUMMYFUNCTION("""COMPUTED_VALUE"""),"Digital Tech")</f>
        <v>Digital Tech</v>
      </c>
      <c r="D464" s="6" t="str">
        <f ca="1">IFERROR(__xludf.DUMMYFUNCTION("""COMPUTED_VALUE"""),"San Francisco, California 
United States")</f>
        <v>San Francisco, California 
United States</v>
      </c>
      <c r="E464" s="6" t="str">
        <f ca="1">IFERROR(__xludf.DUMMYFUNCTION("""COMPUTED_VALUE"""),"West Coast")</f>
        <v>West Coast</v>
      </c>
      <c r="F464" s="6" t="str">
        <f ca="1">IFERROR(__xludf.DUMMYFUNCTION("""COMPUTED_VALUE"""),"Man")</f>
        <v>Man</v>
      </c>
      <c r="G464" s="6"/>
      <c r="H464" s="6"/>
      <c r="I464" s="6"/>
      <c r="J464" s="6"/>
      <c r="K464" s="6"/>
      <c r="L464" s="6" t="str">
        <f ca="1">IFERROR(__xludf.DUMMYFUNCTION("""COMPUTED_VALUE"""),"No")</f>
        <v>No</v>
      </c>
      <c r="M464" s="6"/>
      <c r="N464" s="6"/>
      <c r="O464" s="6" t="str">
        <f ca="1">IFERROR(__xludf.DUMMYFUNCTION("""COMPUTED_VALUE"""),"Email")</f>
        <v>Email</v>
      </c>
      <c r="P464" s="6"/>
      <c r="Q464" s="6" t="str">
        <f ca="1">IFERROR(__xludf.DUMMYFUNCTION("""COMPUTED_VALUE"""),"No")</f>
        <v>No</v>
      </c>
      <c r="R464" s="6">
        <f ca="1">IFERROR(__xludf.DUMMYFUNCTION("""COMPUTED_VALUE"""),1)</f>
        <v>1</v>
      </c>
      <c r="S464" s="6" t="str">
        <f ca="1">IFERROR(__xludf.DUMMYFUNCTION("""COMPUTED_VALUE"""),"Pre-seed")</f>
        <v>Pre-seed</v>
      </c>
      <c r="T464" s="6" t="str">
        <f ca="1">IFERROR(__xludf.DUMMYFUNCTION("""COMPUTED_VALUE"""),"Pre-seed")</f>
        <v>Pre-seed</v>
      </c>
      <c r="U464" s="6" t="str">
        <f ca="1">IFERROR(__xludf.DUMMYFUNCTION("""COMPUTED_VALUE"""),"Pre-seed")</f>
        <v>Pre-seed</v>
      </c>
      <c r="V464" s="6"/>
      <c r="W464" s="6" t="str">
        <f ca="1">IFERROR(__xludf.DUMMYFUNCTION("""COMPUTED_VALUE"""),"Invite Next Year")</f>
        <v>Invite Next Year</v>
      </c>
    </row>
    <row r="465" spans="1:23">
      <c r="A465" s="6" t="str">
        <f ca="1">IFERROR(__xludf.DUMMYFUNCTION("""COMPUTED_VALUE"""),"Woman")</f>
        <v>Woman</v>
      </c>
      <c r="B465" s="6" t="str">
        <f ca="1">IFERROR(__xludf.DUMMYFUNCTION("""COMPUTED_VALUE"""),"BPANALITYCAL S.A. _2022")</f>
        <v>BPANALITYCAL S.A. _2022</v>
      </c>
      <c r="C465" s="6" t="str">
        <f ca="1">IFERROR(__xludf.DUMMYFUNCTION("""COMPUTED_VALUE"""),"Deep Tech")</f>
        <v>Deep Tech</v>
      </c>
      <c r="D465" s="6" t="str">
        <f ca="1">IFERROR(__xludf.DUMMYFUNCTION("""COMPUTED_VALUE"""),"Carril Rodríguez Peña, 2163-Mendoza, Mendoza 
Argentina")</f>
        <v>Carril Rodríguez Peña, 2163-Mendoza, Mendoza 
Argentina</v>
      </c>
      <c r="E465" s="6" t="str">
        <f ca="1">IFERROR(__xludf.DUMMYFUNCTION("""COMPUTED_VALUE"""),"International - Americas")</f>
        <v>International - Americas</v>
      </c>
      <c r="F465" s="6" t="str">
        <f ca="1">IFERROR(__xludf.DUMMYFUNCTION("""COMPUTED_VALUE"""),"Woman")</f>
        <v>Woman</v>
      </c>
      <c r="G465" s="6"/>
      <c r="H465" s="6"/>
      <c r="I465" s="6"/>
      <c r="J465" s="6"/>
      <c r="K465" s="6"/>
      <c r="L465" s="6" t="str">
        <f ca="1">IFERROR(__xludf.DUMMYFUNCTION("""COMPUTED_VALUE"""),"No")</f>
        <v>No</v>
      </c>
      <c r="M465" s="6"/>
      <c r="N465" s="6"/>
      <c r="O465" s="6" t="str">
        <f ca="1">IFERROR(__xludf.DUMMYFUNCTION("""COMPUTED_VALUE"""),"Referral")</f>
        <v>Referral</v>
      </c>
      <c r="P465" s="6"/>
      <c r="Q465" s="6" t="str">
        <f ca="1">IFERROR(__xludf.DUMMYFUNCTION("""COMPUTED_VALUE"""),"No")</f>
        <v>No</v>
      </c>
      <c r="R465" s="6">
        <f ca="1">IFERROR(__xludf.DUMMYFUNCTION("""COMPUTED_VALUE"""),1)</f>
        <v>1</v>
      </c>
      <c r="S465" s="6" t="str">
        <f ca="1">IFERROR(__xludf.DUMMYFUNCTION("""COMPUTED_VALUE"""),"Grants")</f>
        <v>Grants</v>
      </c>
      <c r="T465" s="6" t="str">
        <f ca="1">IFERROR(__xludf.DUMMYFUNCTION("""COMPUTED_VALUE"""),"Grants")</f>
        <v>Grants</v>
      </c>
      <c r="U465" s="6" t="str">
        <f ca="1">IFERROR(__xludf.DUMMYFUNCTION("""COMPUTED_VALUE"""),"Grants")</f>
        <v>Grants</v>
      </c>
      <c r="V465" s="6"/>
      <c r="W465" s="6" t="str">
        <f ca="1">IFERROR(__xludf.DUMMYFUNCTION("""COMPUTED_VALUE"""),"Invite Next Year")</f>
        <v>Invite Next Year</v>
      </c>
    </row>
    <row r="466" spans="1:23">
      <c r="A466" s="6" t="str">
        <f ca="1">IFERROR(__xludf.DUMMYFUNCTION("""COMPUTED_VALUE"""),"Man, Woman")</f>
        <v>Man, Woman</v>
      </c>
      <c r="B466" s="6" t="str">
        <f ca="1">IFERROR(__xludf.DUMMYFUNCTION("""COMPUTED_VALUE"""),"Bowr _2022")</f>
        <v>Bowr _2022</v>
      </c>
      <c r="C466" s="6" t="str">
        <f ca="1">IFERROR(__xludf.DUMMYFUNCTION("""COMPUTED_VALUE"""),"Digital Tech")</f>
        <v>Digital Tech</v>
      </c>
      <c r="D466" s="6" t="str">
        <f ca="1">IFERROR(__xludf.DUMMYFUNCTION("""COMPUTED_VALUE"""),"256,Chapman road STE-105-4, Newark,new castle 19702 delaware 
United States")</f>
        <v>256,Chapman road STE-105-4, Newark,new castle 19702 delaware 
United States</v>
      </c>
      <c r="E466" s="6" t="str">
        <f ca="1">IFERROR(__xludf.DUMMYFUNCTION("""COMPUTED_VALUE"""),"East Coast")</f>
        <v>East Coast</v>
      </c>
      <c r="F466" s="6" t="str">
        <f ca="1">IFERROR(__xludf.DUMMYFUNCTION("""COMPUTED_VALUE"""),"Man")</f>
        <v>Man</v>
      </c>
      <c r="G466" s="6" t="str">
        <f ca="1">IFERROR(__xludf.DUMMYFUNCTION("""COMPUTED_VALUE"""),"Woman")</f>
        <v>Woman</v>
      </c>
      <c r="H466" s="6"/>
      <c r="I466" s="6"/>
      <c r="J466" s="6"/>
      <c r="K466" s="6"/>
      <c r="L466" s="6" t="str">
        <f ca="1">IFERROR(__xludf.DUMMYFUNCTION("""COMPUTED_VALUE"""),"No")</f>
        <v>No</v>
      </c>
      <c r="M466" s="6"/>
      <c r="N466" s="6"/>
      <c r="O466" s="6" t="str">
        <f ca="1">IFERROR(__xludf.DUMMYFUNCTION("""COMPUTED_VALUE"""),"Email")</f>
        <v>Email</v>
      </c>
      <c r="P466" s="6"/>
      <c r="Q466" s="6" t="str">
        <f ca="1">IFERROR(__xludf.DUMMYFUNCTION("""COMPUTED_VALUE"""),"No")</f>
        <v>No</v>
      </c>
      <c r="R466" s="6">
        <f ca="1">IFERROR(__xludf.DUMMYFUNCTION("""COMPUTED_VALUE"""),2)</f>
        <v>2</v>
      </c>
      <c r="S466" s="6" t="str">
        <f ca="1">IFERROR(__xludf.DUMMYFUNCTION("""COMPUTED_VALUE"""),"Seed")</f>
        <v>Seed</v>
      </c>
      <c r="T466" s="6" t="str">
        <f ca="1">IFERROR(__xludf.DUMMYFUNCTION("""COMPUTED_VALUE"""),"Seed")</f>
        <v>Seed</v>
      </c>
      <c r="U466" s="6" t="str">
        <f ca="1">IFERROR(__xludf.DUMMYFUNCTION("""COMPUTED_VALUE"""),"Seed")</f>
        <v>Seed</v>
      </c>
      <c r="V466" s="6"/>
      <c r="W466" s="6" t="str">
        <f ca="1">IFERROR(__xludf.DUMMYFUNCTION("""COMPUTED_VALUE"""),"Invite Next Year")</f>
        <v>Invite Next Year</v>
      </c>
    </row>
    <row r="467" spans="1:23">
      <c r="A467" s="6" t="str">
        <f ca="1">IFERROR(__xludf.DUMMYFUNCTION("""COMPUTED_VALUE"""),"Man, Man")</f>
        <v>Man, Man</v>
      </c>
      <c r="B467" s="6" t="str">
        <f ca="1">IFERROR(__xludf.DUMMYFUNCTION("""COMPUTED_VALUE"""),"Studentocity _2022")</f>
        <v>Studentocity _2022</v>
      </c>
      <c r="C467" s="6" t="str">
        <f ca="1">IFERROR(__xludf.DUMMYFUNCTION("""COMPUTED_VALUE"""),"Digital Tech")</f>
        <v>Digital Tech</v>
      </c>
      <c r="D467" s="6" t="str">
        <f ca="1">IFERROR(__xludf.DUMMYFUNCTION("""COMPUTED_VALUE"""),"Sheridan, Wyoming 
United States")</f>
        <v>Sheridan, Wyoming 
United States</v>
      </c>
      <c r="E467" s="6" t="str">
        <f ca="1">IFERROR(__xludf.DUMMYFUNCTION("""COMPUTED_VALUE"""),"West")</f>
        <v>West</v>
      </c>
      <c r="F467" s="6" t="str">
        <f ca="1">IFERROR(__xludf.DUMMYFUNCTION("""COMPUTED_VALUE"""),"Man")</f>
        <v>Man</v>
      </c>
      <c r="G467" s="6" t="str">
        <f ca="1">IFERROR(__xludf.DUMMYFUNCTION("""COMPUTED_VALUE"""),"Man")</f>
        <v>Man</v>
      </c>
      <c r="H467" s="6"/>
      <c r="I467" s="6"/>
      <c r="J467" s="6"/>
      <c r="K467" s="6"/>
      <c r="L467" s="6" t="str">
        <f ca="1">IFERROR(__xludf.DUMMYFUNCTION("""COMPUTED_VALUE"""),"Yes")</f>
        <v>Yes</v>
      </c>
      <c r="M467" s="6" t="str">
        <f ca="1">IFERROR(__xludf.DUMMYFUNCTION("""COMPUTED_VALUE"""),"NYU Student")</f>
        <v>NYU Student</v>
      </c>
      <c r="N467" s="6"/>
      <c r="O467" s="6" t="str">
        <f ca="1">IFERROR(__xludf.DUMMYFUNCTION("""COMPUTED_VALUE"""),"NYU Newsletter")</f>
        <v>NYU Newsletter</v>
      </c>
      <c r="P467" s="6"/>
      <c r="Q467" s="6" t="str">
        <f ca="1">IFERROR(__xludf.DUMMYFUNCTION("""COMPUTED_VALUE"""),"No")</f>
        <v>No</v>
      </c>
      <c r="R467" s="6">
        <f ca="1">IFERROR(__xludf.DUMMYFUNCTION("""COMPUTED_VALUE"""),2)</f>
        <v>2</v>
      </c>
      <c r="S467" s="6" t="str">
        <f ca="1">IFERROR(__xludf.DUMMYFUNCTION("""COMPUTED_VALUE"""),"None")</f>
        <v>None</v>
      </c>
      <c r="T467" s="6" t="str">
        <f ca="1">IFERROR(__xludf.DUMMYFUNCTION("""COMPUTED_VALUE"""),"None")</f>
        <v>None</v>
      </c>
      <c r="U467" s="6" t="str">
        <f ca="1">IFERROR(__xludf.DUMMYFUNCTION("""COMPUTED_VALUE"""),"None")</f>
        <v>None</v>
      </c>
      <c r="V467" s="6"/>
      <c r="W467" s="6" t="str">
        <f ca="1">IFERROR(__xludf.DUMMYFUNCTION("""COMPUTED_VALUE"""),"Invite Next Year")</f>
        <v>Invite Next Year</v>
      </c>
    </row>
    <row r="468" spans="1:23">
      <c r="A468" s="6" t="str">
        <f ca="1">IFERROR(__xludf.DUMMYFUNCTION("""COMPUTED_VALUE"""),"Man, Woman")</f>
        <v>Man, Woman</v>
      </c>
      <c r="B468" s="6" t="str">
        <f ca="1">IFERROR(__xludf.DUMMYFUNCTION("""COMPUTED_VALUE"""),"Nordetect _2022")</f>
        <v>Nordetect _2022</v>
      </c>
      <c r="C468" s="6" t="str">
        <f ca="1">IFERROR(__xludf.DUMMYFUNCTION("""COMPUTED_VALUE"""),"Deep Tech")</f>
        <v>Deep Tech</v>
      </c>
      <c r="D468" s="6" t="str">
        <f ca="1">IFERROR(__xludf.DUMMYFUNCTION("""COMPUTED_VALUE"""),"Copenhagen, Capital Region 
Denmark")</f>
        <v>Copenhagen, Capital Region 
Denmark</v>
      </c>
      <c r="E468" s="6" t="str">
        <f ca="1">IFERROR(__xludf.DUMMYFUNCTION("""COMPUTED_VALUE"""),"International - Europe")</f>
        <v>International - Europe</v>
      </c>
      <c r="F468" s="6" t="str">
        <f ca="1">IFERROR(__xludf.DUMMYFUNCTION("""COMPUTED_VALUE"""),"Man")</f>
        <v>Man</v>
      </c>
      <c r="G468" s="6" t="str">
        <f ca="1">IFERROR(__xludf.DUMMYFUNCTION("""COMPUTED_VALUE"""),"Woman")</f>
        <v>Woman</v>
      </c>
      <c r="H468" s="6"/>
      <c r="I468" s="6"/>
      <c r="J468" s="6"/>
      <c r="K468" s="6"/>
      <c r="L468" s="6" t="str">
        <f ca="1">IFERROR(__xludf.DUMMYFUNCTION("""COMPUTED_VALUE"""),"--Please select--")</f>
        <v>--Please select--</v>
      </c>
      <c r="M468" s="6"/>
      <c r="N468" s="6"/>
      <c r="O468" s="6" t="str">
        <f ca="1">IFERROR(__xludf.DUMMYFUNCTION("""COMPUTED_VALUE"""),"LinkedIn")</f>
        <v>LinkedIn</v>
      </c>
      <c r="P468" s="6"/>
      <c r="Q468" s="6" t="str">
        <f ca="1">IFERROR(__xludf.DUMMYFUNCTION("""COMPUTED_VALUE"""),"No")</f>
        <v>No</v>
      </c>
      <c r="R468" s="6">
        <f ca="1">IFERROR(__xludf.DUMMYFUNCTION("""COMPUTED_VALUE"""),2)</f>
        <v>2</v>
      </c>
      <c r="S468" s="6" t="str">
        <f ca="1">IFERROR(__xludf.DUMMYFUNCTION("""COMPUTED_VALUE"""),"Pre-seed
Seed
Grants")</f>
        <v>Pre-seed
Seed
Grants</v>
      </c>
      <c r="T468" s="6" t="str">
        <f ca="1">IFERROR(__xludf.DUMMYFUNCTION("""COMPUTED_VALUE"""),"Pre-seed, Seed, Grants")</f>
        <v>Pre-seed, Seed, Grants</v>
      </c>
      <c r="U468" s="6" t="str">
        <f ca="1">IFERROR(__xludf.DUMMYFUNCTION("""COMPUTED_VALUE"""),"Pre-seed, Seed, Grants")</f>
        <v>Pre-seed, Seed, Grants</v>
      </c>
      <c r="V468" s="6"/>
      <c r="W468" s="6" t="str">
        <f ca="1">IFERROR(__xludf.DUMMYFUNCTION("""COMPUTED_VALUE"""),"Invite Next Year")</f>
        <v>Invite Next Year</v>
      </c>
    </row>
    <row r="469" spans="1:23">
      <c r="A469" s="6" t="str">
        <f ca="1">IFERROR(__xludf.DUMMYFUNCTION("""COMPUTED_VALUE"""),"Man, Woman")</f>
        <v>Man, Woman</v>
      </c>
      <c r="B469" s="6" t="str">
        <f ca="1">IFERROR(__xludf.DUMMYFUNCTION("""COMPUTED_VALUE"""),"Emani trading as Collective Quotient Ltd _2022")</f>
        <v>Emani trading as Collective Quotient Ltd _2022</v>
      </c>
      <c r="C469" s="6" t="str">
        <f ca="1">IFERROR(__xludf.DUMMYFUNCTION("""COMPUTED_VALUE"""),"Digital Tech")</f>
        <v>Digital Tech</v>
      </c>
      <c r="D469" s="6" t="str">
        <f ca="1">IFERROR(__xludf.DUMMYFUNCTION("""COMPUTED_VALUE"""),"Collective Quotient Ltd 71-75 Shelton St, London, WC1H 9JQ, London 
United Kingdom")</f>
        <v>Collective Quotient Ltd 71-75 Shelton St, London, WC1H 9JQ, London 
United Kingdom</v>
      </c>
      <c r="E469" s="6" t="str">
        <f ca="1">IFERROR(__xludf.DUMMYFUNCTION("""COMPUTED_VALUE"""),"International - Europe")</f>
        <v>International - Europe</v>
      </c>
      <c r="F469" s="6" t="str">
        <f ca="1">IFERROR(__xludf.DUMMYFUNCTION("""COMPUTED_VALUE"""),"Man")</f>
        <v>Man</v>
      </c>
      <c r="G469" s="6" t="str">
        <f ca="1">IFERROR(__xludf.DUMMYFUNCTION("""COMPUTED_VALUE"""),"Woman")</f>
        <v>Woman</v>
      </c>
      <c r="H469" s="6"/>
      <c r="I469" s="6"/>
      <c r="J469" s="6"/>
      <c r="K469" s="6"/>
      <c r="L469" s="6" t="str">
        <f ca="1">IFERROR(__xludf.DUMMYFUNCTION("""COMPUTED_VALUE"""),"No")</f>
        <v>No</v>
      </c>
      <c r="M469" s="6"/>
      <c r="N469" s="6"/>
      <c r="O469" s="6" t="str">
        <f ca="1">IFERROR(__xludf.DUMMYFUNCTION("""COMPUTED_VALUE"""),"Other")</f>
        <v>Other</v>
      </c>
      <c r="P469" s="6"/>
      <c r="Q469" s="6" t="str">
        <f ca="1">IFERROR(__xludf.DUMMYFUNCTION("""COMPUTED_VALUE"""),"No")</f>
        <v>No</v>
      </c>
      <c r="R469" s="6">
        <f ca="1">IFERROR(__xludf.DUMMYFUNCTION("""COMPUTED_VALUE"""),2)</f>
        <v>2</v>
      </c>
      <c r="S469" s="6" t="str">
        <f ca="1">IFERROR(__xludf.DUMMYFUNCTION("""COMPUTED_VALUE"""),"Pre-seed")</f>
        <v>Pre-seed</v>
      </c>
      <c r="T469" s="6" t="str">
        <f ca="1">IFERROR(__xludf.DUMMYFUNCTION("""COMPUTED_VALUE"""),"Pre-seed")</f>
        <v>Pre-seed</v>
      </c>
      <c r="U469" s="6" t="str">
        <f ca="1">IFERROR(__xludf.DUMMYFUNCTION("""COMPUTED_VALUE"""),"Pre-seed")</f>
        <v>Pre-seed</v>
      </c>
      <c r="V469" s="6"/>
      <c r="W469" s="6" t="str">
        <f ca="1">IFERROR(__xludf.DUMMYFUNCTION("""COMPUTED_VALUE"""),"Invite")</f>
        <v>Invite</v>
      </c>
    </row>
    <row r="470" spans="1:23">
      <c r="A470" s="6" t="str">
        <f ca="1">IFERROR(__xludf.DUMMYFUNCTION("""COMPUTED_VALUE"""),"Woman, Man")</f>
        <v>Woman, Man</v>
      </c>
      <c r="B470" s="6" t="str">
        <f ca="1">IFERROR(__xludf.DUMMYFUNCTION("""COMPUTED_VALUE"""),"Stanford University Medical Center _2022")</f>
        <v>Stanford University Medical Center _2022</v>
      </c>
      <c r="C470" s="6" t="str">
        <f ca="1">IFERROR(__xludf.DUMMYFUNCTION("""COMPUTED_VALUE"""),"Life Sciences")</f>
        <v>Life Sciences</v>
      </c>
      <c r="D470" s="6" t="str">
        <f ca="1">IFERROR(__xludf.DUMMYFUNCTION("""COMPUTED_VALUE"""),"San Carlos, CA 
United States")</f>
        <v>San Carlos, CA 
United States</v>
      </c>
      <c r="E470" s="6" t="str">
        <f ca="1">IFERROR(__xludf.DUMMYFUNCTION("""COMPUTED_VALUE"""),"West Coast")</f>
        <v>West Coast</v>
      </c>
      <c r="F470" s="6" t="str">
        <f ca="1">IFERROR(__xludf.DUMMYFUNCTION("""COMPUTED_VALUE"""),"Woman")</f>
        <v>Woman</v>
      </c>
      <c r="G470" s="6" t="str">
        <f ca="1">IFERROR(__xludf.DUMMYFUNCTION("""COMPUTED_VALUE"""),"Man")</f>
        <v>Man</v>
      </c>
      <c r="H470" s="6"/>
      <c r="I470" s="6"/>
      <c r="J470" s="6"/>
      <c r="K470" s="6"/>
      <c r="L470" s="6" t="str">
        <f ca="1">IFERROR(__xludf.DUMMYFUNCTION("""COMPUTED_VALUE"""),"No")</f>
        <v>No</v>
      </c>
      <c r="M470" s="6"/>
      <c r="N470" s="6"/>
      <c r="O470" s="6" t="str">
        <f ca="1">IFERROR(__xludf.DUMMYFUNCTION("""COMPUTED_VALUE"""),"Referral")</f>
        <v>Referral</v>
      </c>
      <c r="P470" s="6"/>
      <c r="Q470" s="6" t="str">
        <f ca="1">IFERROR(__xludf.DUMMYFUNCTION("""COMPUTED_VALUE"""),"No")</f>
        <v>No</v>
      </c>
      <c r="R470" s="6">
        <f ca="1">IFERROR(__xludf.DUMMYFUNCTION("""COMPUTED_VALUE"""),2)</f>
        <v>2</v>
      </c>
      <c r="S470" s="6" t="str">
        <f ca="1">IFERROR(__xludf.DUMMYFUNCTION("""COMPUTED_VALUE"""),"Pre-seed
Seed")</f>
        <v>Pre-seed
Seed</v>
      </c>
      <c r="T470" s="6" t="str">
        <f ca="1">IFERROR(__xludf.DUMMYFUNCTION("""COMPUTED_VALUE"""),"Pre-seed, Seed")</f>
        <v>Pre-seed, Seed</v>
      </c>
      <c r="U470" s="6" t="str">
        <f ca="1">IFERROR(__xludf.DUMMYFUNCTION("""COMPUTED_VALUE"""),"Pre-seed, Seed")</f>
        <v>Pre-seed, Seed</v>
      </c>
      <c r="V470" s="6"/>
      <c r="W470" s="6" t="str">
        <f ca="1">IFERROR(__xludf.DUMMYFUNCTION("""COMPUTED_VALUE"""),"Invite")</f>
        <v>Invite</v>
      </c>
    </row>
    <row r="471" spans="1:23">
      <c r="A471" s="6" t="str">
        <f ca="1">IFERROR(__xludf.DUMMYFUNCTION("""COMPUTED_VALUE"""),"Woman, Man, Man")</f>
        <v>Woman, Man, Man</v>
      </c>
      <c r="B471" s="6" t="str">
        <f ca="1">IFERROR(__xludf.DUMMYFUNCTION("""COMPUTED_VALUE"""),"SecureCHEK AI, Inc. _2022")</f>
        <v>SecureCHEK AI, Inc. _2022</v>
      </c>
      <c r="C471" s="6" t="str">
        <f ca="1">IFERROR(__xludf.DUMMYFUNCTION("""COMPUTED_VALUE"""),"Digital Tech")</f>
        <v>Digital Tech</v>
      </c>
      <c r="D471" s="6" t="str">
        <f ca="1">IFERROR(__xludf.DUMMYFUNCTION("""COMPUTED_VALUE"""),"303 East 57th Street, NY 
United States")</f>
        <v>303 East 57th Street, NY 
United States</v>
      </c>
      <c r="E471" s="6" t="str">
        <f ca="1">IFERROR(__xludf.DUMMYFUNCTION("""COMPUTED_VALUE"""),"New York")</f>
        <v>New York</v>
      </c>
      <c r="F471" s="6" t="str">
        <f ca="1">IFERROR(__xludf.DUMMYFUNCTION("""COMPUTED_VALUE"""),"Woman")</f>
        <v>Woman</v>
      </c>
      <c r="G471" s="6" t="str">
        <f ca="1">IFERROR(__xludf.DUMMYFUNCTION("""COMPUTED_VALUE"""),"Man")</f>
        <v>Man</v>
      </c>
      <c r="H471" s="6" t="str">
        <f ca="1">IFERROR(__xludf.DUMMYFUNCTION("""COMPUTED_VALUE"""),"Man")</f>
        <v>Man</v>
      </c>
      <c r="I471" s="6"/>
      <c r="J471" s="6"/>
      <c r="K471" s="6"/>
      <c r="L471" s="6" t="str">
        <f ca="1">IFERROR(__xludf.DUMMYFUNCTION("""COMPUTED_VALUE"""),"Yes")</f>
        <v>Yes</v>
      </c>
      <c r="M471" s="6" t="str">
        <f ca="1">IFERROR(__xludf.DUMMYFUNCTION("""COMPUTED_VALUE"""),"NYU Alumni")</f>
        <v>NYU Alumni</v>
      </c>
      <c r="N471" s="6"/>
      <c r="O471" s="6" t="str">
        <f ca="1">IFERROR(__xludf.DUMMYFUNCTION("""COMPUTED_VALUE"""),"Conference")</f>
        <v>Conference</v>
      </c>
      <c r="P471" s="6"/>
      <c r="Q471" s="6" t="str">
        <f ca="1">IFERROR(__xludf.DUMMYFUNCTION("""COMPUTED_VALUE"""),"Yes")</f>
        <v>Yes</v>
      </c>
      <c r="R471" s="6">
        <f ca="1">IFERROR(__xludf.DUMMYFUNCTION("""COMPUTED_VALUE"""),3)</f>
        <v>3</v>
      </c>
      <c r="S471" s="6" t="str">
        <f ca="1">IFERROR(__xludf.DUMMYFUNCTION("""COMPUTED_VALUE"""),"Other: SAFE")</f>
        <v>Other: SAFE</v>
      </c>
      <c r="T471" s="6" t="str">
        <f ca="1">IFERROR(__xludf.DUMMYFUNCTION("""COMPUTED_VALUE"""),"Other: SAFE")</f>
        <v>Other: SAFE</v>
      </c>
      <c r="U471" s="6" t="str">
        <f ca="1">IFERROR(__xludf.DUMMYFUNCTION("""COMPUTED_VALUE"""),"SAFE")</f>
        <v>SAFE</v>
      </c>
      <c r="V471" s="6"/>
      <c r="W471" s="6" t="str">
        <f ca="1">IFERROR(__xludf.DUMMYFUNCTION("""COMPUTED_VALUE"""),"Invite")</f>
        <v>Invite</v>
      </c>
    </row>
    <row r="472" spans="1:23">
      <c r="A472" s="6" t="str">
        <f ca="1">IFERROR(__xludf.DUMMYFUNCTION("""COMPUTED_VALUE"""),"Woman, Woman, Man, Woman, Man, Man")</f>
        <v>Woman, Woman, Man, Woman, Man, Man</v>
      </c>
      <c r="B472" s="6" t="str">
        <f ca="1">IFERROR(__xludf.DUMMYFUNCTION("""COMPUTED_VALUE"""),"GiftE _2022")</f>
        <v>GiftE _2022</v>
      </c>
      <c r="C472" s="6" t="str">
        <f ca="1">IFERROR(__xludf.DUMMYFUNCTION("""COMPUTED_VALUE"""),"Digital Tech")</f>
        <v>Digital Tech</v>
      </c>
      <c r="D472" s="6" t="str">
        <f ca="1">IFERROR(__xludf.DUMMYFUNCTION("""COMPUTED_VALUE"""),"Austin, TX 
United States")</f>
        <v>Austin, TX 
United States</v>
      </c>
      <c r="E472" s="6" t="str">
        <f ca="1">IFERROR(__xludf.DUMMYFUNCTION("""COMPUTED_VALUE"""),"South")</f>
        <v>South</v>
      </c>
      <c r="F472" s="6" t="str">
        <f ca="1">IFERROR(__xludf.DUMMYFUNCTION("""COMPUTED_VALUE"""),"Woman")</f>
        <v>Woman</v>
      </c>
      <c r="G472" s="6" t="str">
        <f ca="1">IFERROR(__xludf.DUMMYFUNCTION("""COMPUTED_VALUE"""),"Woman")</f>
        <v>Woman</v>
      </c>
      <c r="H472" s="6" t="str">
        <f ca="1">IFERROR(__xludf.DUMMYFUNCTION("""COMPUTED_VALUE"""),"Man")</f>
        <v>Man</v>
      </c>
      <c r="I472" s="6" t="str">
        <f ca="1">IFERROR(__xludf.DUMMYFUNCTION("""COMPUTED_VALUE"""),"Woman")</f>
        <v>Woman</v>
      </c>
      <c r="J472" s="6" t="str">
        <f ca="1">IFERROR(__xludf.DUMMYFUNCTION("""COMPUTED_VALUE"""),"Man")</f>
        <v>Man</v>
      </c>
      <c r="K472" s="6" t="str">
        <f ca="1">IFERROR(__xludf.DUMMYFUNCTION("""COMPUTED_VALUE"""),"Man")</f>
        <v>Man</v>
      </c>
      <c r="L472" s="6" t="str">
        <f ca="1">IFERROR(__xludf.DUMMYFUNCTION("""COMPUTED_VALUE"""),"No")</f>
        <v>No</v>
      </c>
      <c r="M472" s="6"/>
      <c r="N472" s="6"/>
      <c r="O472" s="6" t="str">
        <f ca="1">IFERROR(__xludf.DUMMYFUNCTION("""COMPUTED_VALUE"""),"NYU Newsletter")</f>
        <v>NYU Newsletter</v>
      </c>
      <c r="P472" s="6"/>
      <c r="Q472" s="6" t="str">
        <f ca="1">IFERROR(__xludf.DUMMYFUNCTION("""COMPUTED_VALUE"""),"No")</f>
        <v>No</v>
      </c>
      <c r="R472" s="6">
        <f ca="1">IFERROR(__xludf.DUMMYFUNCTION("""COMPUTED_VALUE"""),6)</f>
        <v>6</v>
      </c>
      <c r="S472" s="6" t="str">
        <f ca="1">IFERROR(__xludf.DUMMYFUNCTION("""COMPUTED_VALUE"""),"Pre-seed")</f>
        <v>Pre-seed</v>
      </c>
      <c r="T472" s="6" t="str">
        <f ca="1">IFERROR(__xludf.DUMMYFUNCTION("""COMPUTED_VALUE"""),"Pre-seed")</f>
        <v>Pre-seed</v>
      </c>
      <c r="U472" s="6" t="str">
        <f ca="1">IFERROR(__xludf.DUMMYFUNCTION("""COMPUTED_VALUE"""),"Pre-seed")</f>
        <v>Pre-seed</v>
      </c>
      <c r="V472" s="6"/>
      <c r="W472" s="6" t="str">
        <f ca="1">IFERROR(__xludf.DUMMYFUNCTION("""COMPUTED_VALUE"""),"Invite Next Year")</f>
        <v>Invite Next Year</v>
      </c>
    </row>
    <row r="473" spans="1:23">
      <c r="A473" s="6" t="str">
        <f ca="1">IFERROR(__xludf.DUMMYFUNCTION("""COMPUTED_VALUE"""),"Non-binary, Man")</f>
        <v>Non-binary, Man</v>
      </c>
      <c r="B473" s="6" t="str">
        <f ca="1">IFERROR(__xludf.DUMMYFUNCTION("""COMPUTED_VALUE"""),"OYA Femtech Apparel _2022")</f>
        <v>OYA Femtech Apparel _2022</v>
      </c>
      <c r="C473" s="6" t="str">
        <f ca="1">IFERROR(__xludf.DUMMYFUNCTION("""COMPUTED_VALUE"""),"Life Sciences")</f>
        <v>Life Sciences</v>
      </c>
      <c r="D473" s="6" t="str">
        <f ca="1">IFERROR(__xludf.DUMMYFUNCTION("""COMPUTED_VALUE"""),"Los Angeles, CA 
United States")</f>
        <v>Los Angeles, CA 
United States</v>
      </c>
      <c r="E473" s="6" t="str">
        <f ca="1">IFERROR(__xludf.DUMMYFUNCTION("""COMPUTED_VALUE"""),"West Coast")</f>
        <v>West Coast</v>
      </c>
      <c r="F473" s="6" t="str">
        <f ca="1">IFERROR(__xludf.DUMMYFUNCTION("""COMPUTED_VALUE"""),"Non-binary")</f>
        <v>Non-binary</v>
      </c>
      <c r="G473" s="6" t="str">
        <f ca="1">IFERROR(__xludf.DUMMYFUNCTION("""COMPUTED_VALUE"""),"Man")</f>
        <v>Man</v>
      </c>
      <c r="H473" s="6"/>
      <c r="I473" s="6"/>
      <c r="J473" s="6"/>
      <c r="K473" s="6"/>
      <c r="L473" s="6" t="str">
        <f ca="1">IFERROR(__xludf.DUMMYFUNCTION("""COMPUTED_VALUE"""),"No")</f>
        <v>No</v>
      </c>
      <c r="M473" s="6"/>
      <c r="N473" s="6"/>
      <c r="O473" s="6" t="str">
        <f ca="1">IFERROR(__xludf.DUMMYFUNCTION("""COMPUTED_VALUE"""),"Info Session")</f>
        <v>Info Session</v>
      </c>
      <c r="P473" s="6"/>
      <c r="Q473" s="6" t="str">
        <f ca="1">IFERROR(__xludf.DUMMYFUNCTION("""COMPUTED_VALUE"""),"No")</f>
        <v>No</v>
      </c>
      <c r="R473" s="6">
        <f ca="1">IFERROR(__xludf.DUMMYFUNCTION("""COMPUTED_VALUE"""),2)</f>
        <v>2</v>
      </c>
      <c r="S473" s="6" t="str">
        <f ca="1">IFERROR(__xludf.DUMMYFUNCTION("""COMPUTED_VALUE"""),"Pre-seed")</f>
        <v>Pre-seed</v>
      </c>
      <c r="T473" s="6" t="str">
        <f ca="1">IFERROR(__xludf.DUMMYFUNCTION("""COMPUTED_VALUE"""),"Pre-seed")</f>
        <v>Pre-seed</v>
      </c>
      <c r="U473" s="6" t="str">
        <f ca="1">IFERROR(__xludf.DUMMYFUNCTION("""COMPUTED_VALUE"""),"Pre-seed")</f>
        <v>Pre-seed</v>
      </c>
      <c r="V473" s="6"/>
      <c r="W473" s="6" t="str">
        <f ca="1">IFERROR(__xludf.DUMMYFUNCTION("""COMPUTED_VALUE"""),"Invite Next Year")</f>
        <v>Invite Next Year</v>
      </c>
    </row>
    <row r="474" spans="1:23">
      <c r="A474" s="6" t="str">
        <f ca="1">IFERROR(__xludf.DUMMYFUNCTION("""COMPUTED_VALUE"""),"Man, Man")</f>
        <v>Man, Man</v>
      </c>
      <c r="B474" s="6" t="str">
        <f ca="1">IFERROR(__xludf.DUMMYFUNCTION("""COMPUTED_VALUE"""),"Datirium, LLC _2022")</f>
        <v>Datirium, LLC _2022</v>
      </c>
      <c r="C474" s="6" t="str">
        <f ca="1">IFERROR(__xludf.DUMMYFUNCTION("""COMPUTED_VALUE"""),"Digital Tech")</f>
        <v>Digital Tech</v>
      </c>
      <c r="D474" s="6" t="str">
        <f ca="1">IFERROR(__xludf.DUMMYFUNCTION("""COMPUTED_VALUE"""),"Cincinnati, OH 
United States")</f>
        <v>Cincinnati, OH 
United States</v>
      </c>
      <c r="E474" s="6" t="str">
        <f ca="1">IFERROR(__xludf.DUMMYFUNCTION("""COMPUTED_VALUE"""),"Midwest")</f>
        <v>Midwest</v>
      </c>
      <c r="F474" s="6" t="str">
        <f ca="1">IFERROR(__xludf.DUMMYFUNCTION("""COMPUTED_VALUE"""),"Man")</f>
        <v>Man</v>
      </c>
      <c r="G474" s="6" t="str">
        <f ca="1">IFERROR(__xludf.DUMMYFUNCTION("""COMPUTED_VALUE"""),"Man")</f>
        <v>Man</v>
      </c>
      <c r="H474" s="6"/>
      <c r="I474" s="6"/>
      <c r="J474" s="6"/>
      <c r="K474" s="6"/>
      <c r="L474" s="6" t="str">
        <f ca="1">IFERROR(__xludf.DUMMYFUNCTION("""COMPUTED_VALUE"""),"No")</f>
        <v>No</v>
      </c>
      <c r="M474" s="6"/>
      <c r="N474" s="6"/>
      <c r="O474" s="6" t="str">
        <f ca="1">IFERROR(__xludf.DUMMYFUNCTION("""COMPUTED_VALUE"""),"Email")</f>
        <v>Email</v>
      </c>
      <c r="P474" s="6"/>
      <c r="Q474" s="6" t="str">
        <f ca="1">IFERROR(__xludf.DUMMYFUNCTION("""COMPUTED_VALUE"""),"No")</f>
        <v>No</v>
      </c>
      <c r="R474" s="6">
        <f ca="1">IFERROR(__xludf.DUMMYFUNCTION("""COMPUTED_VALUE"""),2)</f>
        <v>2</v>
      </c>
      <c r="S474" s="6" t="str">
        <f ca="1">IFERROR(__xludf.DUMMYFUNCTION("""COMPUTED_VALUE"""),"Pre-seed
Grants")</f>
        <v>Pre-seed
Grants</v>
      </c>
      <c r="T474" s="6" t="str">
        <f ca="1">IFERROR(__xludf.DUMMYFUNCTION("""COMPUTED_VALUE"""),"Pre-seed, Grants")</f>
        <v>Pre-seed, Grants</v>
      </c>
      <c r="U474" s="6" t="str">
        <f ca="1">IFERROR(__xludf.DUMMYFUNCTION("""COMPUTED_VALUE"""),"Pre-seed, Grants")</f>
        <v>Pre-seed, Grants</v>
      </c>
      <c r="V474" s="6"/>
      <c r="W474" s="6" t="str">
        <f ca="1">IFERROR(__xludf.DUMMYFUNCTION("""COMPUTED_VALUE"""),"Invite")</f>
        <v>Invite</v>
      </c>
    </row>
    <row r="475" spans="1:23">
      <c r="A475" s="6" t="str">
        <f ca="1">IFERROR(__xludf.DUMMYFUNCTION("""COMPUTED_VALUE"""),"Man, Man, Man, Man")</f>
        <v>Man, Man, Man, Man</v>
      </c>
      <c r="B475" s="6" t="str">
        <f ca="1">IFERROR(__xludf.DUMMYFUNCTION("""COMPUTED_VALUE"""),"Peptris Technologies Private Limited _2022")</f>
        <v>Peptris Technologies Private Limited _2022</v>
      </c>
      <c r="C475" s="6" t="str">
        <f ca="1">IFERROR(__xludf.DUMMYFUNCTION("""COMPUTED_VALUE"""),"Life Sciences")</f>
        <v>Life Sciences</v>
      </c>
      <c r="D475" s="6" t="str">
        <f ca="1">IFERROR(__xludf.DUMMYFUNCTION("""COMPUTED_VALUE"""),"Centre for Cellular and Molecular Platforms (C-CAMP) UAS-GKVK Campus, Bellary Road, 560 065, Bangalore, Karnataka 
India")</f>
        <v>Centre for Cellular and Molecular Platforms (C-CAMP) UAS-GKVK Campus, Bellary Road, 560 065, Bangalore, Karnataka 
India</v>
      </c>
      <c r="E475" s="6" t="str">
        <f ca="1">IFERROR(__xludf.DUMMYFUNCTION("""COMPUTED_VALUE"""),"International - Asia")</f>
        <v>International - Asia</v>
      </c>
      <c r="F475" s="6" t="str">
        <f ca="1">IFERROR(__xludf.DUMMYFUNCTION("""COMPUTED_VALUE"""),"Man")</f>
        <v>Man</v>
      </c>
      <c r="G475" s="6" t="str">
        <f ca="1">IFERROR(__xludf.DUMMYFUNCTION("""COMPUTED_VALUE"""),"Man")</f>
        <v>Man</v>
      </c>
      <c r="H475" s="6" t="str">
        <f ca="1">IFERROR(__xludf.DUMMYFUNCTION("""COMPUTED_VALUE"""),"Man")</f>
        <v>Man</v>
      </c>
      <c r="I475" s="6" t="str">
        <f ca="1">IFERROR(__xludf.DUMMYFUNCTION("""COMPUTED_VALUE"""),"Man")</f>
        <v>Man</v>
      </c>
      <c r="J475" s="6"/>
      <c r="K475" s="6"/>
      <c r="L475" s="6" t="str">
        <f ca="1">IFERROR(__xludf.DUMMYFUNCTION("""COMPUTED_VALUE"""),"No")</f>
        <v>No</v>
      </c>
      <c r="M475" s="6"/>
      <c r="N475" s="6"/>
      <c r="O475" s="6" t="str">
        <f ca="1">IFERROR(__xludf.DUMMYFUNCTION("""COMPUTED_VALUE"""),"LinkedIn")</f>
        <v>LinkedIn</v>
      </c>
      <c r="P475" s="6"/>
      <c r="Q475" s="6" t="str">
        <f ca="1">IFERROR(__xludf.DUMMYFUNCTION("""COMPUTED_VALUE"""),"No")</f>
        <v>No</v>
      </c>
      <c r="R475" s="6">
        <f ca="1">IFERROR(__xludf.DUMMYFUNCTION("""COMPUTED_VALUE"""),4)</f>
        <v>4</v>
      </c>
      <c r="S475" s="6" t="str">
        <f ca="1">IFERROR(__xludf.DUMMYFUNCTION("""COMPUTED_VALUE"""),"Seed")</f>
        <v>Seed</v>
      </c>
      <c r="T475" s="6" t="str">
        <f ca="1">IFERROR(__xludf.DUMMYFUNCTION("""COMPUTED_VALUE"""),"Seed")</f>
        <v>Seed</v>
      </c>
      <c r="U475" s="6" t="str">
        <f ca="1">IFERROR(__xludf.DUMMYFUNCTION("""COMPUTED_VALUE"""),"Seed")</f>
        <v>Seed</v>
      </c>
      <c r="V475" s="6"/>
      <c r="W475" s="6" t="str">
        <f ca="1">IFERROR(__xludf.DUMMYFUNCTION("""COMPUTED_VALUE"""),"Invite Next Year")</f>
        <v>Invite Next Year</v>
      </c>
    </row>
    <row r="476" spans="1:23">
      <c r="A476" s="6" t="str">
        <f ca="1">IFERROR(__xludf.DUMMYFUNCTION("""COMPUTED_VALUE"""),"Woman, Man, Woman")</f>
        <v>Woman, Man, Woman</v>
      </c>
      <c r="B476" s="6" t="str">
        <f ca="1">IFERROR(__xludf.DUMMYFUNCTION("""COMPUTED_VALUE"""),"Relyon.ai _2022")</f>
        <v>Relyon.ai _2022</v>
      </c>
      <c r="C476" s="6" t="str">
        <f ca="1">IFERROR(__xludf.DUMMYFUNCTION("""COMPUTED_VALUE"""),"Digital Tech")</f>
        <v>Digital Tech</v>
      </c>
      <c r="D476" s="6" t="str">
        <f ca="1">IFERROR(__xludf.DUMMYFUNCTION("""COMPUTED_VALUE"""),"Tel Aviv, Israel 
Israel")</f>
        <v>Tel Aviv, Israel 
Israel</v>
      </c>
      <c r="E476" s="6" t="str">
        <f ca="1">IFERROR(__xludf.DUMMYFUNCTION("""COMPUTED_VALUE"""),"International - Middle East")</f>
        <v>International - Middle East</v>
      </c>
      <c r="F476" s="6" t="str">
        <f ca="1">IFERROR(__xludf.DUMMYFUNCTION("""COMPUTED_VALUE"""),"Woman")</f>
        <v>Woman</v>
      </c>
      <c r="G476" s="6" t="str">
        <f ca="1">IFERROR(__xludf.DUMMYFUNCTION("""COMPUTED_VALUE"""),"Man")</f>
        <v>Man</v>
      </c>
      <c r="H476" s="6" t="str">
        <f ca="1">IFERROR(__xludf.DUMMYFUNCTION("""COMPUTED_VALUE"""),"Woman")</f>
        <v>Woman</v>
      </c>
      <c r="I476" s="6"/>
      <c r="J476" s="6"/>
      <c r="K476" s="6"/>
      <c r="L476" s="6" t="str">
        <f ca="1">IFERROR(__xludf.DUMMYFUNCTION("""COMPUTED_VALUE"""),"No")</f>
        <v>No</v>
      </c>
      <c r="M476" s="6"/>
      <c r="N476" s="6"/>
      <c r="O476" s="6" t="str">
        <f ca="1">IFERROR(__xludf.DUMMYFUNCTION("""COMPUTED_VALUE"""),"Other")</f>
        <v>Other</v>
      </c>
      <c r="P476" s="6"/>
      <c r="Q476" s="6" t="str">
        <f ca="1">IFERROR(__xludf.DUMMYFUNCTION("""COMPUTED_VALUE"""),"No")</f>
        <v>No</v>
      </c>
      <c r="R476" s="6">
        <f ca="1">IFERROR(__xludf.DUMMYFUNCTION("""COMPUTED_VALUE"""),3)</f>
        <v>3</v>
      </c>
      <c r="S476" s="6" t="str">
        <f ca="1">IFERROR(__xludf.DUMMYFUNCTION("""COMPUTED_VALUE"""),"Pre-seed")</f>
        <v>Pre-seed</v>
      </c>
      <c r="T476" s="6" t="str">
        <f ca="1">IFERROR(__xludf.DUMMYFUNCTION("""COMPUTED_VALUE"""),"Pre-seed")</f>
        <v>Pre-seed</v>
      </c>
      <c r="U476" s="6" t="str">
        <f ca="1">IFERROR(__xludf.DUMMYFUNCTION("""COMPUTED_VALUE"""),"Pre-seed")</f>
        <v>Pre-seed</v>
      </c>
      <c r="V476" s="6"/>
      <c r="W476" s="6" t="str">
        <f ca="1">IFERROR(__xludf.DUMMYFUNCTION("""COMPUTED_VALUE"""),"Invite Next Year")</f>
        <v>Invite Next Year</v>
      </c>
    </row>
    <row r="477" spans="1:23">
      <c r="A477" s="6" t="str">
        <f ca="1">IFERROR(__xludf.DUMMYFUNCTION("""COMPUTED_VALUE"""),"Man, Man")</f>
        <v>Man, Man</v>
      </c>
      <c r="B477" s="6" t="str">
        <f ca="1">IFERROR(__xludf.DUMMYFUNCTION("""COMPUTED_VALUE"""),"Regtick Ltd _2022")</f>
        <v>Regtick Ltd _2022</v>
      </c>
      <c r="C477" s="6" t="str">
        <f ca="1">IFERROR(__xludf.DUMMYFUNCTION("""COMPUTED_VALUE"""),"Digital Tech")</f>
        <v>Digital Tech</v>
      </c>
      <c r="D477" s="6" t="str">
        <f ca="1">IFERROR(__xludf.DUMMYFUNCTION("""COMPUTED_VALUE"""),"24 Ormeau Avenue, Belfast, County Antrim, BT2 8HS, Northern Ireland 
United Kingdom")</f>
        <v>24 Ormeau Avenue, Belfast, County Antrim, BT2 8HS, Northern Ireland 
United Kingdom</v>
      </c>
      <c r="E477" s="6" t="str">
        <f ca="1">IFERROR(__xludf.DUMMYFUNCTION("""COMPUTED_VALUE"""),"International - Europe")</f>
        <v>International - Europe</v>
      </c>
      <c r="F477" s="6" t="str">
        <f ca="1">IFERROR(__xludf.DUMMYFUNCTION("""COMPUTED_VALUE"""),"Man")</f>
        <v>Man</v>
      </c>
      <c r="G477" s="6" t="str">
        <f ca="1">IFERROR(__xludf.DUMMYFUNCTION("""COMPUTED_VALUE"""),"Man")</f>
        <v>Man</v>
      </c>
      <c r="H477" s="6"/>
      <c r="I477" s="6"/>
      <c r="J477" s="6"/>
      <c r="K477" s="6"/>
      <c r="L477" s="6" t="str">
        <f ca="1">IFERROR(__xludf.DUMMYFUNCTION("""COMPUTED_VALUE"""),"No")</f>
        <v>No</v>
      </c>
      <c r="M477" s="6"/>
      <c r="N477" s="6"/>
      <c r="O477" s="6" t="str">
        <f ca="1">IFERROR(__xludf.DUMMYFUNCTION("""COMPUTED_VALUE"""),"Other")</f>
        <v>Other</v>
      </c>
      <c r="P477" s="6"/>
      <c r="Q477" s="6" t="str">
        <f ca="1">IFERROR(__xludf.DUMMYFUNCTION("""COMPUTED_VALUE"""),"No")</f>
        <v>No</v>
      </c>
      <c r="R477" s="6">
        <f ca="1">IFERROR(__xludf.DUMMYFUNCTION("""COMPUTED_VALUE"""),2)</f>
        <v>2</v>
      </c>
      <c r="S477" s="6" t="str">
        <f ca="1">IFERROR(__xludf.DUMMYFUNCTION("""COMPUTED_VALUE"""),"Seed")</f>
        <v>Seed</v>
      </c>
      <c r="T477" s="6" t="str">
        <f ca="1">IFERROR(__xludf.DUMMYFUNCTION("""COMPUTED_VALUE"""),"Seed")</f>
        <v>Seed</v>
      </c>
      <c r="U477" s="6" t="str">
        <f ca="1">IFERROR(__xludf.DUMMYFUNCTION("""COMPUTED_VALUE"""),"Seed")</f>
        <v>Seed</v>
      </c>
      <c r="V477" s="6"/>
      <c r="W477" s="6" t="str">
        <f ca="1">IFERROR(__xludf.DUMMYFUNCTION("""COMPUTED_VALUE"""),"Invite")</f>
        <v>Invite</v>
      </c>
    </row>
    <row r="478" spans="1:23">
      <c r="A478" s="6" t="str">
        <f ca="1">IFERROR(__xludf.DUMMYFUNCTION("""COMPUTED_VALUE"""),"Man, Man")</f>
        <v>Man, Man</v>
      </c>
      <c r="B478" s="6" t="str">
        <f ca="1">IFERROR(__xludf.DUMMYFUNCTION("""COMPUTED_VALUE"""),"Dana Fintech Limited _2022")</f>
        <v>Dana Fintech Limited _2022</v>
      </c>
      <c r="C478" s="6" t="str">
        <f ca="1">IFERROR(__xludf.DUMMYFUNCTION("""COMPUTED_VALUE"""),"Digital Tech")</f>
        <v>Digital Tech</v>
      </c>
      <c r="D478" s="6" t="str">
        <f ca="1">IFERROR(__xludf.DUMMYFUNCTION("""COMPUTED_VALUE"""),"Flat 6B, H 10, R 1, Block B, Niketan Gulshan, Bangladesh, Dhaka 
Bangladesh")</f>
        <v>Flat 6B, H 10, R 1, Block B, Niketan Gulshan, Bangladesh, Dhaka 
Bangladesh</v>
      </c>
      <c r="E478" s="6" t="str">
        <f ca="1">IFERROR(__xludf.DUMMYFUNCTION("""COMPUTED_VALUE"""),"International - Asia")</f>
        <v>International - Asia</v>
      </c>
      <c r="F478" s="6" t="str">
        <f ca="1">IFERROR(__xludf.DUMMYFUNCTION("""COMPUTED_VALUE"""),"Man")</f>
        <v>Man</v>
      </c>
      <c r="G478" s="6" t="str">
        <f ca="1">IFERROR(__xludf.DUMMYFUNCTION("""COMPUTED_VALUE"""),"Man")</f>
        <v>Man</v>
      </c>
      <c r="H478" s="6"/>
      <c r="I478" s="6"/>
      <c r="J478" s="6"/>
      <c r="K478" s="6"/>
      <c r="L478" s="6" t="str">
        <f ca="1">IFERROR(__xludf.DUMMYFUNCTION("""COMPUTED_VALUE"""),"No")</f>
        <v>No</v>
      </c>
      <c r="M478" s="6"/>
      <c r="N478" s="6"/>
      <c r="O478" s="6" t="str">
        <f ca="1">IFERROR(__xludf.DUMMYFUNCTION("""COMPUTED_VALUE"""),"LinkedIn")</f>
        <v>LinkedIn</v>
      </c>
      <c r="P478" s="6"/>
      <c r="Q478" s="6" t="str">
        <f ca="1">IFERROR(__xludf.DUMMYFUNCTION("""COMPUTED_VALUE"""),"No")</f>
        <v>No</v>
      </c>
      <c r="R478" s="6">
        <f ca="1">IFERROR(__xludf.DUMMYFUNCTION("""COMPUTED_VALUE"""),2)</f>
        <v>2</v>
      </c>
      <c r="S478" s="6" t="str">
        <f ca="1">IFERROR(__xludf.DUMMYFUNCTION("""COMPUTED_VALUE"""),"Seed")</f>
        <v>Seed</v>
      </c>
      <c r="T478" s="6" t="str">
        <f ca="1">IFERROR(__xludf.DUMMYFUNCTION("""COMPUTED_VALUE"""),"Seed")</f>
        <v>Seed</v>
      </c>
      <c r="U478" s="6" t="str">
        <f ca="1">IFERROR(__xludf.DUMMYFUNCTION("""COMPUTED_VALUE"""),"Seed")</f>
        <v>Seed</v>
      </c>
      <c r="V478" s="6"/>
      <c r="W478" s="6" t="str">
        <f ca="1">IFERROR(__xludf.DUMMYFUNCTION("""COMPUTED_VALUE"""),"Invite Next Year")</f>
        <v>Invite Next Year</v>
      </c>
    </row>
    <row r="479" spans="1:23">
      <c r="A479" s="6" t="str">
        <f ca="1">IFERROR(__xludf.DUMMYFUNCTION("""COMPUTED_VALUE"""),"Man, Man, Man")</f>
        <v>Man, Man, Man</v>
      </c>
      <c r="B479" s="6" t="str">
        <f ca="1">IFERROR(__xludf.DUMMYFUNCTION("""COMPUTED_VALUE"""),"Niftron (Pvt) Ltd _2022")</f>
        <v>Niftron (Pvt) Ltd _2022</v>
      </c>
      <c r="C479" s="6" t="str">
        <f ca="1">IFERROR(__xludf.DUMMYFUNCTION("""COMPUTED_VALUE"""),"Digital Tech")</f>
        <v>Digital Tech</v>
      </c>
      <c r="D479" s="6" t="str">
        <f ca="1">IFERROR(__xludf.DUMMYFUNCTION("""COMPUTED_VALUE"""),"No 49 , Sunflower Court, Dudley Senanayake Mawatha, Dehiwala, Western 
Sri Lanka")</f>
        <v>No 49 , Sunflower Court, Dudley Senanayake Mawatha, Dehiwala, Western 
Sri Lanka</v>
      </c>
      <c r="E479" s="6" t="str">
        <f ca="1">IFERROR(__xludf.DUMMYFUNCTION("""COMPUTED_VALUE"""),"International - Asia")</f>
        <v>International - Asia</v>
      </c>
      <c r="F479" s="6" t="str">
        <f ca="1">IFERROR(__xludf.DUMMYFUNCTION("""COMPUTED_VALUE"""),"Man")</f>
        <v>Man</v>
      </c>
      <c r="G479" s="6" t="str">
        <f ca="1">IFERROR(__xludf.DUMMYFUNCTION("""COMPUTED_VALUE"""),"Man")</f>
        <v>Man</v>
      </c>
      <c r="H479" s="6" t="str">
        <f ca="1">IFERROR(__xludf.DUMMYFUNCTION("""COMPUTED_VALUE"""),"Man")</f>
        <v>Man</v>
      </c>
      <c r="I479" s="6"/>
      <c r="J479" s="6"/>
      <c r="K479" s="6"/>
      <c r="L479" s="6" t="str">
        <f ca="1">IFERROR(__xludf.DUMMYFUNCTION("""COMPUTED_VALUE"""),"No")</f>
        <v>No</v>
      </c>
      <c r="M479" s="6"/>
      <c r="N479" s="6"/>
      <c r="O479" s="6" t="str">
        <f ca="1">IFERROR(__xludf.DUMMYFUNCTION("""COMPUTED_VALUE"""),"Email")</f>
        <v>Email</v>
      </c>
      <c r="P479" s="6"/>
      <c r="Q479" s="6" t="str">
        <f ca="1">IFERROR(__xludf.DUMMYFUNCTION("""COMPUTED_VALUE"""),"No")</f>
        <v>No</v>
      </c>
      <c r="R479" s="6">
        <f ca="1">IFERROR(__xludf.DUMMYFUNCTION("""COMPUTED_VALUE"""),3)</f>
        <v>3</v>
      </c>
      <c r="S479" s="6" t="str">
        <f ca="1">IFERROR(__xludf.DUMMYFUNCTION("""COMPUTED_VALUE"""),"Seed
Grants")</f>
        <v>Seed
Grants</v>
      </c>
      <c r="T479" s="6" t="str">
        <f ca="1">IFERROR(__xludf.DUMMYFUNCTION("""COMPUTED_VALUE"""),"Seed, Grants")</f>
        <v>Seed, Grants</v>
      </c>
      <c r="U479" s="6" t="str">
        <f ca="1">IFERROR(__xludf.DUMMYFUNCTION("""COMPUTED_VALUE"""),"Seed, Grants")</f>
        <v>Seed, Grants</v>
      </c>
      <c r="V479" s="6"/>
      <c r="W479" s="6" t="str">
        <f ca="1">IFERROR(__xludf.DUMMYFUNCTION("""COMPUTED_VALUE"""),"Invite Next Year")</f>
        <v>Invite Next Year</v>
      </c>
    </row>
    <row r="480" spans="1:23">
      <c r="A480" s="6" t="str">
        <f ca="1">IFERROR(__xludf.DUMMYFUNCTION("""COMPUTED_VALUE"""),"Man")</f>
        <v>Man</v>
      </c>
      <c r="B480" s="6" t="str">
        <f ca="1">IFERROR(__xludf.DUMMYFUNCTION("""COMPUTED_VALUE"""),"Sebb Inc _2022")</f>
        <v>Sebb Inc _2022</v>
      </c>
      <c r="C480" s="6" t="str">
        <f ca="1">IFERROR(__xludf.DUMMYFUNCTION("""COMPUTED_VALUE"""),"Digital Tech")</f>
        <v>Digital Tech</v>
      </c>
      <c r="D480" s="6" t="str">
        <f ca="1">IFERROR(__xludf.DUMMYFUNCTION("""COMPUTED_VALUE"""),"211, Vinayak Commercial Complex, Manjalpur, Vadodara 
India")</f>
        <v>211, Vinayak Commercial Complex, Manjalpur, Vadodara 
India</v>
      </c>
      <c r="E480" s="6" t="str">
        <f ca="1">IFERROR(__xludf.DUMMYFUNCTION("""COMPUTED_VALUE"""),"International - Asia")</f>
        <v>International - Asia</v>
      </c>
      <c r="F480" s="6" t="str">
        <f ca="1">IFERROR(__xludf.DUMMYFUNCTION("""COMPUTED_VALUE"""),"Man")</f>
        <v>Man</v>
      </c>
      <c r="G480" s="6"/>
      <c r="H480" s="6"/>
      <c r="I480" s="6"/>
      <c r="J480" s="6"/>
      <c r="K480" s="6"/>
      <c r="L480" s="6" t="str">
        <f ca="1">IFERROR(__xludf.DUMMYFUNCTION("""COMPUTED_VALUE"""),"No")</f>
        <v>No</v>
      </c>
      <c r="M480" s="6"/>
      <c r="N480" s="6"/>
      <c r="O480" s="6" t="str">
        <f ca="1">IFERROR(__xludf.DUMMYFUNCTION("""COMPUTED_VALUE"""),"Other")</f>
        <v>Other</v>
      </c>
      <c r="P480" s="6"/>
      <c r="Q480" s="6" t="str">
        <f ca="1">IFERROR(__xludf.DUMMYFUNCTION("""COMPUTED_VALUE"""),"No")</f>
        <v>No</v>
      </c>
      <c r="R480" s="6">
        <f ca="1">IFERROR(__xludf.DUMMYFUNCTION("""COMPUTED_VALUE"""),1)</f>
        <v>1</v>
      </c>
      <c r="S480" s="6" t="str">
        <f ca="1">IFERROR(__xludf.DUMMYFUNCTION("""COMPUTED_VALUE"""),"Pre-seed")</f>
        <v>Pre-seed</v>
      </c>
      <c r="T480" s="6" t="str">
        <f ca="1">IFERROR(__xludf.DUMMYFUNCTION("""COMPUTED_VALUE"""),"Pre-seed")</f>
        <v>Pre-seed</v>
      </c>
      <c r="U480" s="6" t="str">
        <f ca="1">IFERROR(__xludf.DUMMYFUNCTION("""COMPUTED_VALUE"""),"Pre-seed")</f>
        <v>Pre-seed</v>
      </c>
      <c r="V480" s="6"/>
      <c r="W480" s="6" t="str">
        <f ca="1">IFERROR(__xludf.DUMMYFUNCTION("""COMPUTED_VALUE"""),"Invite Next Year")</f>
        <v>Invite Next Year</v>
      </c>
    </row>
    <row r="481" spans="1:23">
      <c r="A481" s="6" t="str">
        <f ca="1">IFERROR(__xludf.DUMMYFUNCTION("""COMPUTED_VALUE"""),"Man, Man")</f>
        <v>Man, Man</v>
      </c>
      <c r="B481" s="6" t="str">
        <f ca="1">IFERROR(__xludf.DUMMYFUNCTION("""COMPUTED_VALUE"""),"FanAnywhere _2022")</f>
        <v>FanAnywhere _2022</v>
      </c>
      <c r="C481" s="6" t="str">
        <f ca="1">IFERROR(__xludf.DUMMYFUNCTION("""COMPUTED_VALUE"""),"Digital Tech")</f>
        <v>Digital Tech</v>
      </c>
      <c r="D481" s="6" t="str">
        <f ca="1">IFERROR(__xludf.DUMMYFUNCTION("""COMPUTED_VALUE"""),"Harju maakond, Tallinn, Kesklinna linnaosa,, Tallinn 
Estonia")</f>
        <v>Harju maakond, Tallinn, Kesklinna linnaosa,, Tallinn 
Estonia</v>
      </c>
      <c r="E481" s="6" t="str">
        <f ca="1">IFERROR(__xludf.DUMMYFUNCTION("""COMPUTED_VALUE"""),"International - Europe")</f>
        <v>International - Europe</v>
      </c>
      <c r="F481" s="6" t="str">
        <f ca="1">IFERROR(__xludf.DUMMYFUNCTION("""COMPUTED_VALUE"""),"Man")</f>
        <v>Man</v>
      </c>
      <c r="G481" s="6" t="str">
        <f ca="1">IFERROR(__xludf.DUMMYFUNCTION("""COMPUTED_VALUE"""),"Man")</f>
        <v>Man</v>
      </c>
      <c r="H481" s="6"/>
      <c r="I481" s="6"/>
      <c r="J481" s="6"/>
      <c r="K481" s="6"/>
      <c r="L481" s="6" t="str">
        <f ca="1">IFERROR(__xludf.DUMMYFUNCTION("""COMPUTED_VALUE"""),"No")</f>
        <v>No</v>
      </c>
      <c r="M481" s="6"/>
      <c r="N481" s="6"/>
      <c r="O481" s="6" t="str">
        <f ca="1">IFERROR(__xludf.DUMMYFUNCTION("""COMPUTED_VALUE"""),"Search Engine")</f>
        <v>Search Engine</v>
      </c>
      <c r="P481" s="6"/>
      <c r="Q481" s="6" t="str">
        <f ca="1">IFERROR(__xludf.DUMMYFUNCTION("""COMPUTED_VALUE"""),"No")</f>
        <v>No</v>
      </c>
      <c r="R481" s="6">
        <f ca="1">IFERROR(__xludf.DUMMYFUNCTION("""COMPUTED_VALUE"""),2)</f>
        <v>2</v>
      </c>
      <c r="S481" s="6" t="str">
        <f ca="1">IFERROR(__xludf.DUMMYFUNCTION("""COMPUTED_VALUE"""),"Other: Private token round")</f>
        <v>Other: Private token round</v>
      </c>
      <c r="T481" s="6" t="str">
        <f ca="1">IFERROR(__xludf.DUMMYFUNCTION("""COMPUTED_VALUE"""),"Other: Private token round")</f>
        <v>Other: Private token round</v>
      </c>
      <c r="U481" s="6" t="str">
        <f ca="1">IFERROR(__xludf.DUMMYFUNCTION("""COMPUTED_VALUE"""),"Private token round")</f>
        <v>Private token round</v>
      </c>
      <c r="V481" s="6"/>
      <c r="W481" s="6" t="str">
        <f ca="1">IFERROR(__xludf.DUMMYFUNCTION("""COMPUTED_VALUE"""),"Invite Next Year")</f>
        <v>Invite Next Year</v>
      </c>
    </row>
    <row r="482" spans="1:23">
      <c r="A482" s="6" t="str">
        <f ca="1">IFERROR(__xludf.DUMMYFUNCTION("""COMPUTED_VALUE"""),"Man, Man, Woman, Woman, Man, Man")</f>
        <v>Man, Man, Woman, Woman, Man, Man</v>
      </c>
      <c r="B482" s="6" t="str">
        <f ca="1">IFERROR(__xludf.DUMMYFUNCTION("""COMPUTED_VALUE"""),"carecircle AG _2022")</f>
        <v>carecircle AG _2022</v>
      </c>
      <c r="C482" s="6" t="str">
        <f ca="1">IFERROR(__xludf.DUMMYFUNCTION("""COMPUTED_VALUE"""),"Digital Tech")</f>
        <v>Digital Tech</v>
      </c>
      <c r="D482" s="6" t="str">
        <f ca="1">IFERROR(__xludf.DUMMYFUNCTION("""COMPUTED_VALUE"""),"Hammergut 6, 6330 Cham 
Switzerland")</f>
        <v>Hammergut 6, 6330 Cham 
Switzerland</v>
      </c>
      <c r="E482" s="6" t="str">
        <f ca="1">IFERROR(__xludf.DUMMYFUNCTION("""COMPUTED_VALUE"""),"International - Europe")</f>
        <v>International - Europe</v>
      </c>
      <c r="F482" s="6" t="str">
        <f ca="1">IFERROR(__xludf.DUMMYFUNCTION("""COMPUTED_VALUE"""),"Man")</f>
        <v>Man</v>
      </c>
      <c r="G482" s="6" t="str">
        <f ca="1">IFERROR(__xludf.DUMMYFUNCTION("""COMPUTED_VALUE"""),"Man")</f>
        <v>Man</v>
      </c>
      <c r="H482" s="6" t="str">
        <f ca="1">IFERROR(__xludf.DUMMYFUNCTION("""COMPUTED_VALUE"""),"Woman")</f>
        <v>Woman</v>
      </c>
      <c r="I482" s="6" t="str">
        <f ca="1">IFERROR(__xludf.DUMMYFUNCTION("""COMPUTED_VALUE"""),"Woman")</f>
        <v>Woman</v>
      </c>
      <c r="J482" s="6" t="str">
        <f ca="1">IFERROR(__xludf.DUMMYFUNCTION("""COMPUTED_VALUE"""),"Man")</f>
        <v>Man</v>
      </c>
      <c r="K482" s="6" t="str">
        <f ca="1">IFERROR(__xludf.DUMMYFUNCTION("""COMPUTED_VALUE"""),"Man")</f>
        <v>Man</v>
      </c>
      <c r="L482" s="6" t="str">
        <f ca="1">IFERROR(__xludf.DUMMYFUNCTION("""COMPUTED_VALUE"""),"No")</f>
        <v>No</v>
      </c>
      <c r="M482" s="6"/>
      <c r="N482" s="6"/>
      <c r="O482" s="6" t="str">
        <f ca="1">IFERROR(__xludf.DUMMYFUNCTION("""COMPUTED_VALUE"""),"Conference")</f>
        <v>Conference</v>
      </c>
      <c r="P482" s="6"/>
      <c r="Q482" s="6" t="str">
        <f ca="1">IFERROR(__xludf.DUMMYFUNCTION("""COMPUTED_VALUE"""),"No")</f>
        <v>No</v>
      </c>
      <c r="R482" s="6">
        <f ca="1">IFERROR(__xludf.DUMMYFUNCTION("""COMPUTED_VALUE"""),6)</f>
        <v>6</v>
      </c>
      <c r="S482" s="6" t="str">
        <f ca="1">IFERROR(__xludf.DUMMYFUNCTION("""COMPUTED_VALUE"""),"Pre-seed")</f>
        <v>Pre-seed</v>
      </c>
      <c r="T482" s="6" t="str">
        <f ca="1">IFERROR(__xludf.DUMMYFUNCTION("""COMPUTED_VALUE"""),"Pre-seed")</f>
        <v>Pre-seed</v>
      </c>
      <c r="U482" s="6" t="str">
        <f ca="1">IFERROR(__xludf.DUMMYFUNCTION("""COMPUTED_VALUE"""),"Pre-seed")</f>
        <v>Pre-seed</v>
      </c>
      <c r="V482" s="6"/>
      <c r="W482" s="6" t="str">
        <f ca="1">IFERROR(__xludf.DUMMYFUNCTION("""COMPUTED_VALUE"""),"Invite Next Year")</f>
        <v>Invite Next Year</v>
      </c>
    </row>
    <row r="483" spans="1:23">
      <c r="A483" s="6" t="str">
        <f ca="1">IFERROR(__xludf.DUMMYFUNCTION("""COMPUTED_VALUE"""),"Man, Man, Man")</f>
        <v>Man, Man, Man</v>
      </c>
      <c r="B483" s="6" t="str">
        <f ca="1">IFERROR(__xludf.DUMMYFUNCTION("""COMPUTED_VALUE"""),"Kima _2022")</f>
        <v>Kima _2022</v>
      </c>
      <c r="C483" s="6" t="str">
        <f ca="1">IFERROR(__xludf.DUMMYFUNCTION("""COMPUTED_VALUE"""),"Digital Tech")</f>
        <v>Digital Tech</v>
      </c>
      <c r="D483" s="6" t="str">
        <f ca="1">IFERROR(__xludf.DUMMYFUNCTION("""COMPUTED_VALUE"""),"Tel Aviv, IL 
Israel")</f>
        <v>Tel Aviv, IL 
Israel</v>
      </c>
      <c r="E483" s="6" t="str">
        <f ca="1">IFERROR(__xludf.DUMMYFUNCTION("""COMPUTED_VALUE"""),"International - Middle East")</f>
        <v>International - Middle East</v>
      </c>
      <c r="F483" s="6" t="str">
        <f ca="1">IFERROR(__xludf.DUMMYFUNCTION("""COMPUTED_VALUE"""),"Man")</f>
        <v>Man</v>
      </c>
      <c r="G483" s="6" t="str">
        <f ca="1">IFERROR(__xludf.DUMMYFUNCTION("""COMPUTED_VALUE"""),"Man")</f>
        <v>Man</v>
      </c>
      <c r="H483" s="6" t="str">
        <f ca="1">IFERROR(__xludf.DUMMYFUNCTION("""COMPUTED_VALUE"""),"Man")</f>
        <v>Man</v>
      </c>
      <c r="I483" s="6"/>
      <c r="J483" s="6"/>
      <c r="K483" s="6"/>
      <c r="L483" s="6" t="str">
        <f ca="1">IFERROR(__xludf.DUMMYFUNCTION("""COMPUTED_VALUE"""),"No")</f>
        <v>No</v>
      </c>
      <c r="M483" s="6"/>
      <c r="N483" s="6"/>
      <c r="O483" s="6" t="str">
        <f ca="1">IFERROR(__xludf.DUMMYFUNCTION("""COMPUTED_VALUE"""),"Other")</f>
        <v>Other</v>
      </c>
      <c r="P483" s="6"/>
      <c r="Q483" s="6" t="str">
        <f ca="1">IFERROR(__xludf.DUMMYFUNCTION("""COMPUTED_VALUE"""),"No")</f>
        <v>No</v>
      </c>
      <c r="R483" s="6">
        <f ca="1">IFERROR(__xludf.DUMMYFUNCTION("""COMPUTED_VALUE"""),3)</f>
        <v>3</v>
      </c>
      <c r="S483" s="6" t="str">
        <f ca="1">IFERROR(__xludf.DUMMYFUNCTION("""COMPUTED_VALUE"""),"Pre-seed")</f>
        <v>Pre-seed</v>
      </c>
      <c r="T483" s="6" t="str">
        <f ca="1">IFERROR(__xludf.DUMMYFUNCTION("""COMPUTED_VALUE"""),"Pre-seed")</f>
        <v>Pre-seed</v>
      </c>
      <c r="U483" s="6" t="str">
        <f ca="1">IFERROR(__xludf.DUMMYFUNCTION("""COMPUTED_VALUE"""),"Pre-seed")</f>
        <v>Pre-seed</v>
      </c>
      <c r="V483" s="6"/>
      <c r="W483" s="6" t="str">
        <f ca="1">IFERROR(__xludf.DUMMYFUNCTION("""COMPUTED_VALUE"""),"Invite Next Year")</f>
        <v>Invite Next Year</v>
      </c>
    </row>
    <row r="484" spans="1:23">
      <c r="A484" s="6" t="str">
        <f ca="1">IFERROR(__xludf.DUMMYFUNCTION("""COMPUTED_VALUE"""),"Woman, Man")</f>
        <v>Woman, Man</v>
      </c>
      <c r="B484" s="6" t="str">
        <f ca="1">IFERROR(__xludf.DUMMYFUNCTION("""COMPUTED_VALUE"""),"TEXpert AI Ltd _2022")</f>
        <v>TEXpert AI Ltd _2022</v>
      </c>
      <c r="C484" s="6" t="str">
        <f ca="1">IFERROR(__xludf.DUMMYFUNCTION("""COMPUTED_VALUE"""),"Digital Tech")</f>
        <v>Digital Tech</v>
      </c>
      <c r="D484" s="6" t="str">
        <f ca="1">IFERROR(__xludf.DUMMYFUNCTION("""COMPUTED_VALUE"""),"71-75 Shelton Street, London, Greater London, WC2H 9JQ, London 
United Kingdom")</f>
        <v>71-75 Shelton Street, London, Greater London, WC2H 9JQ, London 
United Kingdom</v>
      </c>
      <c r="E484" s="6" t="str">
        <f ca="1">IFERROR(__xludf.DUMMYFUNCTION("""COMPUTED_VALUE"""),"International - Europe")</f>
        <v>International - Europe</v>
      </c>
      <c r="F484" s="6" t="str">
        <f ca="1">IFERROR(__xludf.DUMMYFUNCTION("""COMPUTED_VALUE"""),"Woman")</f>
        <v>Woman</v>
      </c>
      <c r="G484" s="6" t="str">
        <f ca="1">IFERROR(__xludf.DUMMYFUNCTION("""COMPUTED_VALUE"""),"Man")</f>
        <v>Man</v>
      </c>
      <c r="H484" s="6"/>
      <c r="I484" s="6"/>
      <c r="J484" s="6"/>
      <c r="K484" s="6"/>
      <c r="L484" s="6" t="str">
        <f ca="1">IFERROR(__xludf.DUMMYFUNCTION("""COMPUTED_VALUE"""),"No")</f>
        <v>No</v>
      </c>
      <c r="M484" s="6"/>
      <c r="N484" s="6"/>
      <c r="O484" s="6" t="str">
        <f ca="1">IFERROR(__xludf.DUMMYFUNCTION("""COMPUTED_VALUE"""),"Email")</f>
        <v>Email</v>
      </c>
      <c r="P484" s="6"/>
      <c r="Q484" s="6" t="str">
        <f ca="1">IFERROR(__xludf.DUMMYFUNCTION("""COMPUTED_VALUE"""),"No")</f>
        <v>No</v>
      </c>
      <c r="R484" s="6">
        <f ca="1">IFERROR(__xludf.DUMMYFUNCTION("""COMPUTED_VALUE"""),2)</f>
        <v>2</v>
      </c>
      <c r="S484" s="6" t="str">
        <f ca="1">IFERROR(__xludf.DUMMYFUNCTION("""COMPUTED_VALUE"""),"Pre-seed")</f>
        <v>Pre-seed</v>
      </c>
      <c r="T484" s="6" t="str">
        <f ca="1">IFERROR(__xludf.DUMMYFUNCTION("""COMPUTED_VALUE"""),"Pre-seed")</f>
        <v>Pre-seed</v>
      </c>
      <c r="U484" s="6" t="str">
        <f ca="1">IFERROR(__xludf.DUMMYFUNCTION("""COMPUTED_VALUE"""),"Pre-seed")</f>
        <v>Pre-seed</v>
      </c>
      <c r="V484" s="6"/>
      <c r="W484" s="6" t="str">
        <f ca="1">IFERROR(__xludf.DUMMYFUNCTION("""COMPUTED_VALUE"""),"Invite Next Year")</f>
        <v>Invite Next Year</v>
      </c>
    </row>
    <row r="485" spans="1:23">
      <c r="A485" s="6" t="str">
        <f ca="1">IFERROR(__xludf.DUMMYFUNCTION("""COMPUTED_VALUE"""),"Man, Man")</f>
        <v>Man, Man</v>
      </c>
      <c r="B485" s="6" t="str">
        <f ca="1">IFERROR(__xludf.DUMMYFUNCTION("""COMPUTED_VALUE"""),"Avie AI _2022")</f>
        <v>Avie AI _2022</v>
      </c>
      <c r="C485" s="6" t="str">
        <f ca="1">IFERROR(__xludf.DUMMYFUNCTION("""COMPUTED_VALUE"""),"Digital Tech")</f>
        <v>Digital Tech</v>
      </c>
      <c r="D485" s="6" t="str">
        <f ca="1">IFERROR(__xludf.DUMMYFUNCTION("""COMPUTED_VALUE"""),"23 Finlay St, London, Greater London 
United Kingdom")</f>
        <v>23 Finlay St, London, Greater London 
United Kingdom</v>
      </c>
      <c r="E485" s="6" t="str">
        <f ca="1">IFERROR(__xludf.DUMMYFUNCTION("""COMPUTED_VALUE"""),"International - Europe")</f>
        <v>International - Europe</v>
      </c>
      <c r="F485" s="6" t="str">
        <f ca="1">IFERROR(__xludf.DUMMYFUNCTION("""COMPUTED_VALUE"""),"Man")</f>
        <v>Man</v>
      </c>
      <c r="G485" s="6" t="str">
        <f ca="1">IFERROR(__xludf.DUMMYFUNCTION("""COMPUTED_VALUE"""),"Man")</f>
        <v>Man</v>
      </c>
      <c r="H485" s="6"/>
      <c r="I485" s="6"/>
      <c r="J485" s="6"/>
      <c r="K485" s="6"/>
      <c r="L485" s="6" t="str">
        <f ca="1">IFERROR(__xludf.DUMMYFUNCTION("""COMPUTED_VALUE"""),"No")</f>
        <v>No</v>
      </c>
      <c r="M485" s="6"/>
      <c r="N485" s="6"/>
      <c r="O485" s="6" t="str">
        <f ca="1">IFERROR(__xludf.DUMMYFUNCTION("""COMPUTED_VALUE"""),"Email")</f>
        <v>Email</v>
      </c>
      <c r="P485" s="6"/>
      <c r="Q485" s="6" t="str">
        <f ca="1">IFERROR(__xludf.DUMMYFUNCTION("""COMPUTED_VALUE"""),"No")</f>
        <v>No</v>
      </c>
      <c r="R485" s="6">
        <f ca="1">IFERROR(__xludf.DUMMYFUNCTION("""COMPUTED_VALUE"""),2)</f>
        <v>2</v>
      </c>
      <c r="S485" s="6" t="str">
        <f ca="1">IFERROR(__xludf.DUMMYFUNCTION("""COMPUTED_VALUE"""),"Pre-seed")</f>
        <v>Pre-seed</v>
      </c>
      <c r="T485" s="6" t="str">
        <f ca="1">IFERROR(__xludf.DUMMYFUNCTION("""COMPUTED_VALUE"""),"Pre-seed")</f>
        <v>Pre-seed</v>
      </c>
      <c r="U485" s="6" t="str">
        <f ca="1">IFERROR(__xludf.DUMMYFUNCTION("""COMPUTED_VALUE"""),"Pre-seed")</f>
        <v>Pre-seed</v>
      </c>
      <c r="V485" s="6"/>
      <c r="W485" s="6" t="str">
        <f ca="1">IFERROR(__xludf.DUMMYFUNCTION("""COMPUTED_VALUE"""),"Invite Next Year")</f>
        <v>Invite Next Year</v>
      </c>
    </row>
    <row r="486" spans="1:23">
      <c r="A486" s="6" t="str">
        <f ca="1">IFERROR(__xludf.DUMMYFUNCTION("""COMPUTED_VALUE"""),"Man, Woman, Man")</f>
        <v>Man, Woman, Man</v>
      </c>
      <c r="B486" s="6" t="str">
        <f ca="1">IFERROR(__xludf.DUMMYFUNCTION("""COMPUTED_VALUE"""),"Ochy _2022")</f>
        <v>Ochy _2022</v>
      </c>
      <c r="C486" s="6" t="str">
        <f ca="1">IFERROR(__xludf.DUMMYFUNCTION("""COMPUTED_VALUE"""),"Digital Tech")</f>
        <v>Digital Tech</v>
      </c>
      <c r="D486" s="6" t="str">
        <f ca="1">IFERROR(__xludf.DUMMYFUNCTION("""COMPUTED_VALUE"""),"Rennes, Bretagne 
France")</f>
        <v>Rennes, Bretagne 
France</v>
      </c>
      <c r="E486" s="6" t="str">
        <f ca="1">IFERROR(__xludf.DUMMYFUNCTION("""COMPUTED_VALUE"""),"International - Europe")</f>
        <v>International - Europe</v>
      </c>
      <c r="F486" s="6" t="str">
        <f ca="1">IFERROR(__xludf.DUMMYFUNCTION("""COMPUTED_VALUE"""),"Man")</f>
        <v>Man</v>
      </c>
      <c r="G486" s="6" t="str">
        <f ca="1">IFERROR(__xludf.DUMMYFUNCTION("""COMPUTED_VALUE"""),"Woman")</f>
        <v>Woman</v>
      </c>
      <c r="H486" s="6" t="str">
        <f ca="1">IFERROR(__xludf.DUMMYFUNCTION("""COMPUTED_VALUE"""),"Man")</f>
        <v>Man</v>
      </c>
      <c r="I486" s="6"/>
      <c r="J486" s="6"/>
      <c r="K486" s="6"/>
      <c r="L486" s="6" t="str">
        <f ca="1">IFERROR(__xludf.DUMMYFUNCTION("""COMPUTED_VALUE"""),"No")</f>
        <v>No</v>
      </c>
      <c r="M486" s="6"/>
      <c r="N486" s="6"/>
      <c r="O486" s="6" t="str">
        <f ca="1">IFERROR(__xludf.DUMMYFUNCTION("""COMPUTED_VALUE"""),"Email")</f>
        <v>Email</v>
      </c>
      <c r="P486" s="6"/>
      <c r="Q486" s="6" t="str">
        <f ca="1">IFERROR(__xludf.DUMMYFUNCTION("""COMPUTED_VALUE"""),"No")</f>
        <v>No</v>
      </c>
      <c r="R486" s="6">
        <f ca="1">IFERROR(__xludf.DUMMYFUNCTION("""COMPUTED_VALUE"""),3)</f>
        <v>3</v>
      </c>
      <c r="S486" s="6" t="str">
        <f ca="1">IFERROR(__xludf.DUMMYFUNCTION("""COMPUTED_VALUE"""),"Debt financing
Grants
Other: In France its called Avance Remboursable""""")</f>
        <v>Debt financing
Grants
Other: In France its called Avance Remboursable""</v>
      </c>
      <c r="T486" s="6" t="str">
        <f ca="1">IFERROR(__xludf.DUMMYFUNCTION("""COMPUTED_VALUE"""),"Debt financing, Grants, Other: In France its called Avance Remboursable""""")</f>
        <v>Debt financing, Grants, Other: In France its called Avance Remboursable""</v>
      </c>
      <c r="U486" s="6" t="str">
        <f ca="1">IFERROR(__xludf.DUMMYFUNCTION("""COMPUTED_VALUE"""),"Debt financing, Grants, ")</f>
        <v xml:space="preserve">Debt financing, Grants, </v>
      </c>
      <c r="V486" s="6" t="str">
        <f ca="1">IFERROR(__xludf.DUMMYFUNCTION("""COMPUTED_VALUE"""),"In France its called Avance Remboursable""""")</f>
        <v>In France its called Avance Remboursable""</v>
      </c>
      <c r="W486" s="6" t="str">
        <f ca="1">IFERROR(__xludf.DUMMYFUNCTION("""COMPUTED_VALUE"""),"Invite Next Year")</f>
        <v>Invite Next Year</v>
      </c>
    </row>
    <row r="487" spans="1:23">
      <c r="A487" s="6" t="str">
        <f ca="1">IFERROR(__xludf.DUMMYFUNCTION("""COMPUTED_VALUE"""),"Woman")</f>
        <v>Woman</v>
      </c>
      <c r="B487" s="6" t="str">
        <f ca="1">IFERROR(__xludf.DUMMYFUNCTION("""COMPUTED_VALUE"""),"Immersive Fox Ltd _2022")</f>
        <v>Immersive Fox Ltd _2022</v>
      </c>
      <c r="C487" s="6" t="str">
        <f ca="1">IFERROR(__xludf.DUMMYFUNCTION("""COMPUTED_VALUE"""),"Digital Tech")</f>
        <v>Digital Tech</v>
      </c>
      <c r="D487" s="6" t="str">
        <f ca="1">IFERROR(__xludf.DUMMYFUNCTION("""COMPUTED_VALUE"""),"London, London 
United Kingdom")</f>
        <v>London, London 
United Kingdom</v>
      </c>
      <c r="E487" s="6" t="str">
        <f ca="1">IFERROR(__xludf.DUMMYFUNCTION("""COMPUTED_VALUE"""),"International - Europe")</f>
        <v>International - Europe</v>
      </c>
      <c r="F487" s="6" t="str">
        <f ca="1">IFERROR(__xludf.DUMMYFUNCTION("""COMPUTED_VALUE"""),"Woman")</f>
        <v>Woman</v>
      </c>
      <c r="G487" s="6"/>
      <c r="H487" s="6"/>
      <c r="I487" s="6"/>
      <c r="J487" s="6"/>
      <c r="K487" s="6"/>
      <c r="L487" s="6" t="str">
        <f ca="1">IFERROR(__xludf.DUMMYFUNCTION("""COMPUTED_VALUE"""),"No")</f>
        <v>No</v>
      </c>
      <c r="M487" s="6"/>
      <c r="N487" s="6"/>
      <c r="O487" s="6" t="str">
        <f ca="1">IFERROR(__xludf.DUMMYFUNCTION("""COMPUTED_VALUE"""),"Referral")</f>
        <v>Referral</v>
      </c>
      <c r="P487" s="6"/>
      <c r="Q487" s="6" t="str">
        <f ca="1">IFERROR(__xludf.DUMMYFUNCTION("""COMPUTED_VALUE"""),"No")</f>
        <v>No</v>
      </c>
      <c r="R487" s="6">
        <f ca="1">IFERROR(__xludf.DUMMYFUNCTION("""COMPUTED_VALUE"""),1)</f>
        <v>1</v>
      </c>
      <c r="S487" s="6" t="str">
        <f ca="1">IFERROR(__xludf.DUMMYFUNCTION("""COMPUTED_VALUE"""),"Pre-seed")</f>
        <v>Pre-seed</v>
      </c>
      <c r="T487" s="6" t="str">
        <f ca="1">IFERROR(__xludf.DUMMYFUNCTION("""COMPUTED_VALUE"""),"Pre-seed")</f>
        <v>Pre-seed</v>
      </c>
      <c r="U487" s="6" t="str">
        <f ca="1">IFERROR(__xludf.DUMMYFUNCTION("""COMPUTED_VALUE"""),"Pre-seed")</f>
        <v>Pre-seed</v>
      </c>
      <c r="V487" s="6"/>
      <c r="W487" s="6" t="str">
        <f ca="1">IFERROR(__xludf.DUMMYFUNCTION("""COMPUTED_VALUE"""),"Invite")</f>
        <v>Invite</v>
      </c>
    </row>
    <row r="488" spans="1:23">
      <c r="A488" s="6" t="str">
        <f ca="1">IFERROR(__xludf.DUMMYFUNCTION("""COMPUTED_VALUE"""),"Woman, Woman")</f>
        <v>Woman, Woman</v>
      </c>
      <c r="B488" s="6" t="str">
        <f ca="1">IFERROR(__xludf.DUMMYFUNCTION("""COMPUTED_VALUE"""),"Her Impact _2022")</f>
        <v>Her Impact _2022</v>
      </c>
      <c r="C488" s="6" t="str">
        <f ca="1">IFERROR(__xludf.DUMMYFUNCTION("""COMPUTED_VALUE"""),"Digital Tech")</f>
        <v>Digital Tech</v>
      </c>
      <c r="D488" s="6" t="str">
        <f ca="1">IFERROR(__xludf.DUMMYFUNCTION("""COMPUTED_VALUE"""),"Warsaw, Mazowieckie 
Poland")</f>
        <v>Warsaw, Mazowieckie 
Poland</v>
      </c>
      <c r="E488" s="6" t="str">
        <f ca="1">IFERROR(__xludf.DUMMYFUNCTION("""COMPUTED_VALUE"""),"International - Europe")</f>
        <v>International - Europe</v>
      </c>
      <c r="F488" s="6" t="str">
        <f ca="1">IFERROR(__xludf.DUMMYFUNCTION("""COMPUTED_VALUE"""),"Woman")</f>
        <v>Woman</v>
      </c>
      <c r="G488" s="6" t="str">
        <f ca="1">IFERROR(__xludf.DUMMYFUNCTION("""COMPUTED_VALUE"""),"Woman")</f>
        <v>Woman</v>
      </c>
      <c r="H488" s="6"/>
      <c r="I488" s="6"/>
      <c r="J488" s="6"/>
      <c r="K488" s="6"/>
      <c r="L488" s="6" t="str">
        <f ca="1">IFERROR(__xludf.DUMMYFUNCTION("""COMPUTED_VALUE"""),"No")</f>
        <v>No</v>
      </c>
      <c r="M488" s="6"/>
      <c r="N488" s="6"/>
      <c r="O488" s="6" t="str">
        <f ca="1">IFERROR(__xludf.DUMMYFUNCTION("""COMPUTED_VALUE"""),"Referral")</f>
        <v>Referral</v>
      </c>
      <c r="P488" s="6"/>
      <c r="Q488" s="6" t="str">
        <f ca="1">IFERROR(__xludf.DUMMYFUNCTION("""COMPUTED_VALUE"""),"No")</f>
        <v>No</v>
      </c>
      <c r="R488" s="6">
        <f ca="1">IFERROR(__xludf.DUMMYFUNCTION("""COMPUTED_VALUE"""),2)</f>
        <v>2</v>
      </c>
      <c r="S488" s="6" t="str">
        <f ca="1">IFERROR(__xludf.DUMMYFUNCTION("""COMPUTED_VALUE"""),"Seed")</f>
        <v>Seed</v>
      </c>
      <c r="T488" s="6" t="str">
        <f ca="1">IFERROR(__xludf.DUMMYFUNCTION("""COMPUTED_VALUE"""),"Seed")</f>
        <v>Seed</v>
      </c>
      <c r="U488" s="6" t="str">
        <f ca="1">IFERROR(__xludf.DUMMYFUNCTION("""COMPUTED_VALUE"""),"Seed")</f>
        <v>Seed</v>
      </c>
      <c r="V488" s="6"/>
      <c r="W488" s="6" t="str">
        <f ca="1">IFERROR(__xludf.DUMMYFUNCTION("""COMPUTED_VALUE"""),"Invite Next Year")</f>
        <v>Invite Next Year</v>
      </c>
    </row>
    <row r="489" spans="1:23">
      <c r="A489" s="6" t="str">
        <f ca="1">IFERROR(__xludf.DUMMYFUNCTION("""COMPUTED_VALUE"""),"Man, Man")</f>
        <v>Man, Man</v>
      </c>
      <c r="B489" s="6" t="str">
        <f ca="1">IFERROR(__xludf.DUMMYFUNCTION("""COMPUTED_VALUE"""),"FirstWork LLC  _2022")</f>
        <v>FirstWork LLC  _2022</v>
      </c>
      <c r="C489" s="6" t="str">
        <f ca="1">IFERROR(__xludf.DUMMYFUNCTION("""COMPUTED_VALUE"""),"Digital Tech")</f>
        <v>Digital Tech</v>
      </c>
      <c r="D489" s="6" t="str">
        <f ca="1">IFERROR(__xludf.DUMMYFUNCTION("""COMPUTED_VALUE"""),"7008 Capitol View Drive , VA 
United States")</f>
        <v>7008 Capitol View Drive , VA 
United States</v>
      </c>
      <c r="E489" s="6" t="str">
        <f ca="1">IFERROR(__xludf.DUMMYFUNCTION("""COMPUTED_VALUE"""),"East Coast")</f>
        <v>East Coast</v>
      </c>
      <c r="F489" s="6" t="str">
        <f ca="1">IFERROR(__xludf.DUMMYFUNCTION("""COMPUTED_VALUE"""),"Man")</f>
        <v>Man</v>
      </c>
      <c r="G489" s="6" t="str">
        <f ca="1">IFERROR(__xludf.DUMMYFUNCTION("""COMPUTED_VALUE"""),"Man")</f>
        <v>Man</v>
      </c>
      <c r="H489" s="6"/>
      <c r="I489" s="6"/>
      <c r="J489" s="6"/>
      <c r="K489" s="6"/>
      <c r="L489" s="6" t="str">
        <f ca="1">IFERROR(__xludf.DUMMYFUNCTION("""COMPUTED_VALUE"""),"No")</f>
        <v>No</v>
      </c>
      <c r="M489" s="6"/>
      <c r="N489" s="6"/>
      <c r="O489" s="6" t="str">
        <f ca="1">IFERROR(__xludf.DUMMYFUNCTION("""COMPUTED_VALUE"""),"Referral")</f>
        <v>Referral</v>
      </c>
      <c r="P489" s="6"/>
      <c r="Q489" s="6" t="str">
        <f ca="1">IFERROR(__xludf.DUMMYFUNCTION("""COMPUTED_VALUE"""),"No")</f>
        <v>No</v>
      </c>
      <c r="R489" s="6">
        <f ca="1">IFERROR(__xludf.DUMMYFUNCTION("""COMPUTED_VALUE"""),2)</f>
        <v>2</v>
      </c>
      <c r="S489" s="6" t="str">
        <f ca="1">IFERROR(__xludf.DUMMYFUNCTION("""COMPUTED_VALUE"""),"Pre-seed")</f>
        <v>Pre-seed</v>
      </c>
      <c r="T489" s="6" t="str">
        <f ca="1">IFERROR(__xludf.DUMMYFUNCTION("""COMPUTED_VALUE"""),"Pre-seed")</f>
        <v>Pre-seed</v>
      </c>
      <c r="U489" s="6" t="str">
        <f ca="1">IFERROR(__xludf.DUMMYFUNCTION("""COMPUTED_VALUE"""),"Pre-seed")</f>
        <v>Pre-seed</v>
      </c>
      <c r="V489" s="6"/>
      <c r="W489" s="6" t="str">
        <f ca="1">IFERROR(__xludf.DUMMYFUNCTION("""COMPUTED_VALUE"""),"Invite Next Year")</f>
        <v>Invite Next Year</v>
      </c>
    </row>
    <row r="490" spans="1:23">
      <c r="A490" s="6" t="str">
        <f ca="1">IFERROR(__xludf.DUMMYFUNCTION("""COMPUTED_VALUE"""),"Man, Man")</f>
        <v>Man, Man</v>
      </c>
      <c r="B490" s="6" t="str">
        <f ca="1">IFERROR(__xludf.DUMMYFUNCTION("""COMPUTED_VALUE"""),"Flying Ship Technologies, Corp. _2022")</f>
        <v>Flying Ship Technologies, Corp. _2022</v>
      </c>
      <c r="C490" s="6" t="str">
        <f ca="1">IFERROR(__xludf.DUMMYFUNCTION("""COMPUTED_VALUE"""),"Deep Tech")</f>
        <v>Deep Tech</v>
      </c>
      <c r="D490" s="6" t="str">
        <f ca="1">IFERROR(__xludf.DUMMYFUNCTION("""COMPUTED_VALUE"""),"Leesburg, VA 
United States")</f>
        <v>Leesburg, VA 
United States</v>
      </c>
      <c r="E490" s="6" t="str">
        <f ca="1">IFERROR(__xludf.DUMMYFUNCTION("""COMPUTED_VALUE"""),"East Coast")</f>
        <v>East Coast</v>
      </c>
      <c r="F490" s="6" t="str">
        <f ca="1">IFERROR(__xludf.DUMMYFUNCTION("""COMPUTED_VALUE"""),"Man")</f>
        <v>Man</v>
      </c>
      <c r="G490" s="6" t="str">
        <f ca="1">IFERROR(__xludf.DUMMYFUNCTION("""COMPUTED_VALUE"""),"Man")</f>
        <v>Man</v>
      </c>
      <c r="H490" s="6"/>
      <c r="I490" s="6"/>
      <c r="J490" s="6"/>
      <c r="K490" s="6"/>
      <c r="L490" s="6" t="str">
        <f ca="1">IFERROR(__xludf.DUMMYFUNCTION("""COMPUTED_VALUE"""),"No")</f>
        <v>No</v>
      </c>
      <c r="M490" s="6"/>
      <c r="N490" s="6"/>
      <c r="O490" s="6" t="str">
        <f ca="1">IFERROR(__xludf.DUMMYFUNCTION("""COMPUTED_VALUE"""),"Email")</f>
        <v>Email</v>
      </c>
      <c r="P490" s="6"/>
      <c r="Q490" s="6" t="str">
        <f ca="1">IFERROR(__xludf.DUMMYFUNCTION("""COMPUTED_VALUE"""),"No")</f>
        <v>No</v>
      </c>
      <c r="R490" s="6">
        <f ca="1">IFERROR(__xludf.DUMMYFUNCTION("""COMPUTED_VALUE"""),2)</f>
        <v>2</v>
      </c>
      <c r="S490" s="6" t="str">
        <f ca="1">IFERROR(__xludf.DUMMYFUNCTION("""COMPUTED_VALUE"""),"Seed")</f>
        <v>Seed</v>
      </c>
      <c r="T490" s="6" t="str">
        <f ca="1">IFERROR(__xludf.DUMMYFUNCTION("""COMPUTED_VALUE"""),"Seed")</f>
        <v>Seed</v>
      </c>
      <c r="U490" s="6" t="str">
        <f ca="1">IFERROR(__xludf.DUMMYFUNCTION("""COMPUTED_VALUE"""),"Seed")</f>
        <v>Seed</v>
      </c>
      <c r="V490" s="6"/>
      <c r="W490" s="6" t="str">
        <f ca="1">IFERROR(__xludf.DUMMYFUNCTION("""COMPUTED_VALUE"""),"Invite")</f>
        <v>Invite</v>
      </c>
    </row>
    <row r="491" spans="1:23">
      <c r="A491" s="6" t="str">
        <f ca="1">IFERROR(__xludf.DUMMYFUNCTION("""COMPUTED_VALUE"""),"Man, Woman, Man")</f>
        <v>Man, Woman, Man</v>
      </c>
      <c r="B491" s="6" t="str">
        <f ca="1">IFERROR(__xludf.DUMMYFUNCTION("""COMPUTED_VALUE"""),"Oscillum Biotechnology SL _2022")</f>
        <v>Oscillum Biotechnology SL _2022</v>
      </c>
      <c r="C491" s="6" t="str">
        <f ca="1">IFERROR(__xludf.DUMMYFUNCTION("""COMPUTED_VALUE"""),"Deep Tech")</f>
        <v>Deep Tech</v>
      </c>
      <c r="D491" s="6" t="str">
        <f ca="1">IFERROR(__xludf.DUMMYFUNCTION("""COMPUTED_VALUE"""),"Avenida de la Universidad s/n, Edificio Quorum III, 03202 (Elche), Alicante 
Spain")</f>
        <v>Avenida de la Universidad s/n, Edificio Quorum III, 03202 (Elche), Alicante 
Spain</v>
      </c>
      <c r="E491" s="6" t="str">
        <f ca="1">IFERROR(__xludf.DUMMYFUNCTION("""COMPUTED_VALUE"""),"International - Europe")</f>
        <v>International - Europe</v>
      </c>
      <c r="F491" s="6" t="str">
        <f ca="1">IFERROR(__xludf.DUMMYFUNCTION("""COMPUTED_VALUE"""),"Man")</f>
        <v>Man</v>
      </c>
      <c r="G491" s="6" t="str">
        <f ca="1">IFERROR(__xludf.DUMMYFUNCTION("""COMPUTED_VALUE"""),"Woman")</f>
        <v>Woman</v>
      </c>
      <c r="H491" s="6" t="str">
        <f ca="1">IFERROR(__xludf.DUMMYFUNCTION("""COMPUTED_VALUE"""),"Man")</f>
        <v>Man</v>
      </c>
      <c r="I491" s="6"/>
      <c r="J491" s="6"/>
      <c r="K491" s="6"/>
      <c r="L491" s="6" t="str">
        <f ca="1">IFERROR(__xludf.DUMMYFUNCTION("""COMPUTED_VALUE"""),"--Please select--")</f>
        <v>--Please select--</v>
      </c>
      <c r="M491" s="6"/>
      <c r="N491" s="6"/>
      <c r="O491" s="6" t="str">
        <f ca="1">IFERROR(__xludf.DUMMYFUNCTION("""COMPUTED_VALUE"""),"Other")</f>
        <v>Other</v>
      </c>
      <c r="P491" s="6"/>
      <c r="Q491" s="6" t="str">
        <f ca="1">IFERROR(__xludf.DUMMYFUNCTION("""COMPUTED_VALUE"""),"No")</f>
        <v>No</v>
      </c>
      <c r="R491" s="6">
        <f ca="1">IFERROR(__xludf.DUMMYFUNCTION("""COMPUTED_VALUE"""),3)</f>
        <v>3</v>
      </c>
      <c r="S491" s="6" t="str">
        <f ca="1">IFERROR(__xludf.DUMMYFUNCTION("""COMPUTED_VALUE"""),"Pre-seed")</f>
        <v>Pre-seed</v>
      </c>
      <c r="T491" s="6" t="str">
        <f ca="1">IFERROR(__xludf.DUMMYFUNCTION("""COMPUTED_VALUE"""),"Pre-seed")</f>
        <v>Pre-seed</v>
      </c>
      <c r="U491" s="6" t="str">
        <f ca="1">IFERROR(__xludf.DUMMYFUNCTION("""COMPUTED_VALUE"""),"Pre-seed")</f>
        <v>Pre-seed</v>
      </c>
      <c r="V491" s="6"/>
      <c r="W491" s="6" t="str">
        <f ca="1">IFERROR(__xludf.DUMMYFUNCTION("""COMPUTED_VALUE"""),"Invite")</f>
        <v>Invite</v>
      </c>
    </row>
    <row r="492" spans="1:23">
      <c r="A492" s="6" t="str">
        <f ca="1">IFERROR(__xludf.DUMMYFUNCTION("""COMPUTED_VALUE"""),"Man, Woman")</f>
        <v>Man, Woman</v>
      </c>
      <c r="B492" s="6" t="str">
        <f ca="1">IFERROR(__xludf.DUMMYFUNCTION("""COMPUTED_VALUE"""),"Voltiza Inc _2022")</f>
        <v>Voltiza Inc _2022</v>
      </c>
      <c r="C492" s="6" t="str">
        <f ca="1">IFERROR(__xludf.DUMMYFUNCTION("""COMPUTED_VALUE"""),"Deep Tech")</f>
        <v>Deep Tech</v>
      </c>
      <c r="D492" s="6" t="str">
        <f ca="1">IFERROR(__xludf.DUMMYFUNCTION("""COMPUTED_VALUE"""),"300 Delaware Avenue, Suite 210, Wilmington, Delaware 19801 
United States")</f>
        <v>300 Delaware Avenue, Suite 210, Wilmington, Delaware 19801 
United States</v>
      </c>
      <c r="E492" s="6" t="str">
        <f ca="1">IFERROR(__xludf.DUMMYFUNCTION("""COMPUTED_VALUE"""),"East Coast")</f>
        <v>East Coast</v>
      </c>
      <c r="F492" s="6" t="str">
        <f ca="1">IFERROR(__xludf.DUMMYFUNCTION("""COMPUTED_VALUE"""),"Man")</f>
        <v>Man</v>
      </c>
      <c r="G492" s="6" t="str">
        <f ca="1">IFERROR(__xludf.DUMMYFUNCTION("""COMPUTED_VALUE"""),"Woman")</f>
        <v>Woman</v>
      </c>
      <c r="H492" s="6"/>
      <c r="I492" s="6"/>
      <c r="J492" s="6"/>
      <c r="K492" s="6"/>
      <c r="L492" s="6" t="str">
        <f ca="1">IFERROR(__xludf.DUMMYFUNCTION("""COMPUTED_VALUE"""),"No")</f>
        <v>No</v>
      </c>
      <c r="M492" s="6"/>
      <c r="N492" s="6"/>
      <c r="O492" s="6" t="str">
        <f ca="1">IFERROR(__xludf.DUMMYFUNCTION("""COMPUTED_VALUE"""),"LinkedIn")</f>
        <v>LinkedIn</v>
      </c>
      <c r="P492" s="6"/>
      <c r="Q492" s="6" t="str">
        <f ca="1">IFERROR(__xludf.DUMMYFUNCTION("""COMPUTED_VALUE"""),"No")</f>
        <v>No</v>
      </c>
      <c r="R492" s="6">
        <f ca="1">IFERROR(__xludf.DUMMYFUNCTION("""COMPUTED_VALUE"""),2)</f>
        <v>2</v>
      </c>
      <c r="S492" s="6" t="str">
        <f ca="1">IFERROR(__xludf.DUMMYFUNCTION("""COMPUTED_VALUE"""),"None")</f>
        <v>None</v>
      </c>
      <c r="T492" s="6" t="str">
        <f ca="1">IFERROR(__xludf.DUMMYFUNCTION("""COMPUTED_VALUE"""),"None")</f>
        <v>None</v>
      </c>
      <c r="U492" s="6" t="str">
        <f ca="1">IFERROR(__xludf.DUMMYFUNCTION("""COMPUTED_VALUE"""),"None")</f>
        <v>None</v>
      </c>
      <c r="V492" s="6"/>
      <c r="W492" s="6" t="str">
        <f ca="1">IFERROR(__xludf.DUMMYFUNCTION("""COMPUTED_VALUE"""),"Invite Next Year")</f>
        <v>Invite Next Year</v>
      </c>
    </row>
    <row r="493" spans="1:23">
      <c r="A493" s="6" t="str">
        <f ca="1">IFERROR(__xludf.DUMMYFUNCTION("""COMPUTED_VALUE"""),"Man, Man, Man")</f>
        <v>Man, Man, Man</v>
      </c>
      <c r="B493" s="6" t="str">
        <f ca="1">IFERROR(__xludf.DUMMYFUNCTION("""COMPUTED_VALUE"""),"Sprayify (formerly known as Coatify) _2022")</f>
        <v>Sprayify (formerly known as Coatify) _2022</v>
      </c>
      <c r="C493" s="6" t="str">
        <f ca="1">IFERROR(__xludf.DUMMYFUNCTION("""COMPUTED_VALUE"""),"Life Sciences")</f>
        <v>Life Sciences</v>
      </c>
      <c r="D493" s="6" t="str">
        <f ca="1">IFERROR(__xludf.DUMMYFUNCTION("""COMPUTED_VALUE"""),"Riga, Riga 
Latvia")</f>
        <v>Riga, Riga 
Latvia</v>
      </c>
      <c r="E493" s="6" t="str">
        <f ca="1">IFERROR(__xludf.DUMMYFUNCTION("""COMPUTED_VALUE"""),"International - Europe")</f>
        <v>International - Europe</v>
      </c>
      <c r="F493" s="6" t="str">
        <f ca="1">IFERROR(__xludf.DUMMYFUNCTION("""COMPUTED_VALUE"""),"Man")</f>
        <v>Man</v>
      </c>
      <c r="G493" s="6" t="str">
        <f ca="1">IFERROR(__xludf.DUMMYFUNCTION("""COMPUTED_VALUE"""),"Man")</f>
        <v>Man</v>
      </c>
      <c r="H493" s="6" t="str">
        <f ca="1">IFERROR(__xludf.DUMMYFUNCTION("""COMPUTED_VALUE"""),"Man")</f>
        <v>Man</v>
      </c>
      <c r="I493" s="6"/>
      <c r="J493" s="6"/>
      <c r="K493" s="6"/>
      <c r="L493" s="6" t="str">
        <f ca="1">IFERROR(__xludf.DUMMYFUNCTION("""COMPUTED_VALUE"""),"No")</f>
        <v>No</v>
      </c>
      <c r="M493" s="6"/>
      <c r="N493" s="6"/>
      <c r="O493" s="6" t="str">
        <f ca="1">IFERROR(__xludf.DUMMYFUNCTION("""COMPUTED_VALUE"""),"Email")</f>
        <v>Email</v>
      </c>
      <c r="P493" s="6"/>
      <c r="Q493" s="6" t="str">
        <f ca="1">IFERROR(__xludf.DUMMYFUNCTION("""COMPUTED_VALUE"""),"No")</f>
        <v>No</v>
      </c>
      <c r="R493" s="6">
        <f ca="1">IFERROR(__xludf.DUMMYFUNCTION("""COMPUTED_VALUE"""),3)</f>
        <v>3</v>
      </c>
      <c r="S493" s="6" t="str">
        <f ca="1">IFERROR(__xludf.DUMMYFUNCTION("""COMPUTED_VALUE"""),"Pre-seed
Grants")</f>
        <v>Pre-seed
Grants</v>
      </c>
      <c r="T493" s="6" t="str">
        <f ca="1">IFERROR(__xludf.DUMMYFUNCTION("""COMPUTED_VALUE"""),"Pre-seed, Grants")</f>
        <v>Pre-seed, Grants</v>
      </c>
      <c r="U493" s="6" t="str">
        <f ca="1">IFERROR(__xludf.DUMMYFUNCTION("""COMPUTED_VALUE"""),"Pre-seed, Grants")</f>
        <v>Pre-seed, Grants</v>
      </c>
      <c r="V493" s="6"/>
      <c r="W493" s="6" t="str">
        <f ca="1">IFERROR(__xludf.DUMMYFUNCTION("""COMPUTED_VALUE"""),"Invite Next Year")</f>
        <v>Invite Next Year</v>
      </c>
    </row>
    <row r="494" spans="1:23">
      <c r="A494" s="6" t="str">
        <f ca="1">IFERROR(__xludf.DUMMYFUNCTION("""COMPUTED_VALUE"""),"Man")</f>
        <v>Man</v>
      </c>
      <c r="B494" s="6" t="str">
        <f ca="1">IFERROR(__xludf.DUMMYFUNCTION("""COMPUTED_VALUE"""),"The Results-Oriented Work School, LLC _2022")</f>
        <v>The Results-Oriented Work School, LLC _2022</v>
      </c>
      <c r="C494" s="6" t="str">
        <f ca="1">IFERROR(__xludf.DUMMYFUNCTION("""COMPUTED_VALUE"""),"Digital Tech")</f>
        <v>Digital Tech</v>
      </c>
      <c r="D494" s="6" t="str">
        <f ca="1">IFERROR(__xludf.DUMMYFUNCTION("""COMPUTED_VALUE"""),"Denver, Colorado 
United States")</f>
        <v>Denver, Colorado 
United States</v>
      </c>
      <c r="E494" s="6" t="str">
        <f ca="1">IFERROR(__xludf.DUMMYFUNCTION("""COMPUTED_VALUE"""),"West")</f>
        <v>West</v>
      </c>
      <c r="F494" s="6" t="str">
        <f ca="1">IFERROR(__xludf.DUMMYFUNCTION("""COMPUTED_VALUE"""),"Man")</f>
        <v>Man</v>
      </c>
      <c r="G494" s="6"/>
      <c r="H494" s="6"/>
      <c r="I494" s="6"/>
      <c r="J494" s="6"/>
      <c r="K494" s="6"/>
      <c r="L494" s="6" t="str">
        <f ca="1">IFERROR(__xludf.DUMMYFUNCTION("""COMPUTED_VALUE"""),"No")</f>
        <v>No</v>
      </c>
      <c r="M494" s="6"/>
      <c r="N494" s="6"/>
      <c r="O494" s="6" t="str">
        <f ca="1">IFERROR(__xludf.DUMMYFUNCTION("""COMPUTED_VALUE"""),"Referral")</f>
        <v>Referral</v>
      </c>
      <c r="P494" s="6"/>
      <c r="Q494" s="6" t="str">
        <f ca="1">IFERROR(__xludf.DUMMYFUNCTION("""COMPUTED_VALUE"""),"No")</f>
        <v>No</v>
      </c>
      <c r="R494" s="6">
        <f ca="1">IFERROR(__xludf.DUMMYFUNCTION("""COMPUTED_VALUE"""),1)</f>
        <v>1</v>
      </c>
      <c r="S494" s="6" t="str">
        <f ca="1">IFERROR(__xludf.DUMMYFUNCTION("""COMPUTED_VALUE"""),"Grants
Other: Futures Forum on Learning 2020")</f>
        <v>Grants
Other: Futures Forum on Learning 2020</v>
      </c>
      <c r="T494" s="6" t="str">
        <f ca="1">IFERROR(__xludf.DUMMYFUNCTION("""COMPUTED_VALUE"""),"Grants, Other: Futures Forum on Learning 2020")</f>
        <v>Grants, Other: Futures Forum on Learning 2020</v>
      </c>
      <c r="U494" s="6" t="str">
        <f ca="1">IFERROR(__xludf.DUMMYFUNCTION("""COMPUTED_VALUE"""),"Grants, ")</f>
        <v xml:space="preserve">Grants, </v>
      </c>
      <c r="V494" s="6" t="str">
        <f ca="1">IFERROR(__xludf.DUMMYFUNCTION("""COMPUTED_VALUE"""),"Futures Forum on Learning 2020")</f>
        <v>Futures Forum on Learning 2020</v>
      </c>
      <c r="W494" s="6" t="str">
        <f ca="1">IFERROR(__xludf.DUMMYFUNCTION("""COMPUTED_VALUE"""),"Invite Next Year")</f>
        <v>Invite Next Year</v>
      </c>
    </row>
    <row r="495" spans="1:23">
      <c r="A495" s="6" t="str">
        <f ca="1">IFERROR(__xludf.DUMMYFUNCTION("""COMPUTED_VALUE"""),"Woman, Woman, Woman")</f>
        <v>Woman, Woman, Woman</v>
      </c>
      <c r="B495" s="6" t="str">
        <f ca="1">IFERROR(__xludf.DUMMYFUNCTION("""COMPUTED_VALUE"""),"COMPOSTAME _2022")</f>
        <v>COMPOSTAME _2022</v>
      </c>
      <c r="C495" s="6" t="str">
        <f ca="1">IFERROR(__xludf.DUMMYFUNCTION("""COMPUTED_VALUE"""),"Life Sciences")</f>
        <v>Life Sciences</v>
      </c>
      <c r="D495" s="6" t="str">
        <f ca="1">IFERROR(__xludf.DUMMYFUNCTION("""COMPUTED_VALUE"""),"CIUDAD AUTÓNOMA DE BUENOS AIRES, BUENOS AIRES 
Argentina")</f>
        <v>CIUDAD AUTÓNOMA DE BUENOS AIRES, BUENOS AIRES 
Argentina</v>
      </c>
      <c r="E495" s="6" t="str">
        <f ca="1">IFERROR(__xludf.DUMMYFUNCTION("""COMPUTED_VALUE"""),"International - Americas")</f>
        <v>International - Americas</v>
      </c>
      <c r="F495" s="6" t="str">
        <f ca="1">IFERROR(__xludf.DUMMYFUNCTION("""COMPUTED_VALUE"""),"Woman")</f>
        <v>Woman</v>
      </c>
      <c r="G495" s="6" t="str">
        <f ca="1">IFERROR(__xludf.DUMMYFUNCTION("""COMPUTED_VALUE"""),"Woman")</f>
        <v>Woman</v>
      </c>
      <c r="H495" s="6" t="str">
        <f ca="1">IFERROR(__xludf.DUMMYFUNCTION("""COMPUTED_VALUE"""),"Woman")</f>
        <v>Woman</v>
      </c>
      <c r="I495" s="6"/>
      <c r="J495" s="6"/>
      <c r="K495" s="6"/>
      <c r="L495" s="6" t="str">
        <f ca="1">IFERROR(__xludf.DUMMYFUNCTION("""COMPUTED_VALUE"""),"No")</f>
        <v>No</v>
      </c>
      <c r="M495" s="6"/>
      <c r="N495" s="6"/>
      <c r="O495" s="6" t="str">
        <f ca="1">IFERROR(__xludf.DUMMYFUNCTION("""COMPUTED_VALUE"""),"Referral")</f>
        <v>Referral</v>
      </c>
      <c r="P495" s="6"/>
      <c r="Q495" s="6" t="str">
        <f ca="1">IFERROR(__xludf.DUMMYFUNCTION("""COMPUTED_VALUE"""),"No")</f>
        <v>No</v>
      </c>
      <c r="R495" s="6">
        <f ca="1">IFERROR(__xludf.DUMMYFUNCTION("""COMPUTED_VALUE"""),3)</f>
        <v>3</v>
      </c>
      <c r="S495" s="6" t="str">
        <f ca="1">IFERROR(__xludf.DUMMYFUNCTION("""COMPUTED_VALUE"""),"Seed
Debt financing
Grants")</f>
        <v>Seed
Debt financing
Grants</v>
      </c>
      <c r="T495" s="6" t="str">
        <f ca="1">IFERROR(__xludf.DUMMYFUNCTION("""COMPUTED_VALUE"""),"Seed, Debt financing, Grants")</f>
        <v>Seed, Debt financing, Grants</v>
      </c>
      <c r="U495" s="6" t="str">
        <f ca="1">IFERROR(__xludf.DUMMYFUNCTION("""COMPUTED_VALUE"""),"Seed, Debt financing, Grants")</f>
        <v>Seed, Debt financing, Grants</v>
      </c>
      <c r="V495" s="6"/>
      <c r="W495" s="6" t="str">
        <f ca="1">IFERROR(__xludf.DUMMYFUNCTION("""COMPUTED_VALUE"""),"Invite Next Year")</f>
        <v>Invite Next Year</v>
      </c>
    </row>
    <row r="496" spans="1:23">
      <c r="A496" s="6" t="str">
        <f ca="1">IFERROR(__xludf.DUMMYFUNCTION("""COMPUTED_VALUE"""),"Woman")</f>
        <v>Woman</v>
      </c>
      <c r="B496" s="6" t="str">
        <f ca="1">IFERROR(__xludf.DUMMYFUNCTION("""COMPUTED_VALUE"""),"Noala _2022")</f>
        <v>Noala _2022</v>
      </c>
      <c r="C496" s="6" t="str">
        <f ca="1">IFERROR(__xludf.DUMMYFUNCTION("""COMPUTED_VALUE"""),"Digital Tech")</f>
        <v>Digital Tech</v>
      </c>
      <c r="D496" s="6" t="str">
        <f ca="1">IFERROR(__xludf.DUMMYFUNCTION("""COMPUTED_VALUE"""),"London, London 
United Kingdom")</f>
        <v>London, London 
United Kingdom</v>
      </c>
      <c r="E496" s="6" t="str">
        <f ca="1">IFERROR(__xludf.DUMMYFUNCTION("""COMPUTED_VALUE"""),"International - Europe")</f>
        <v>International - Europe</v>
      </c>
      <c r="F496" s="6" t="str">
        <f ca="1">IFERROR(__xludf.DUMMYFUNCTION("""COMPUTED_VALUE"""),"Woman")</f>
        <v>Woman</v>
      </c>
      <c r="G496" s="6"/>
      <c r="H496" s="6"/>
      <c r="I496" s="6"/>
      <c r="J496" s="6"/>
      <c r="K496" s="6"/>
      <c r="L496" s="6" t="str">
        <f ca="1">IFERROR(__xludf.DUMMYFUNCTION("""COMPUTED_VALUE"""),"No")</f>
        <v>No</v>
      </c>
      <c r="M496" s="6"/>
      <c r="N496" s="6"/>
      <c r="O496" s="6" t="str">
        <f ca="1">IFERROR(__xludf.DUMMYFUNCTION("""COMPUTED_VALUE"""),"Email")</f>
        <v>Email</v>
      </c>
      <c r="P496" s="6"/>
      <c r="Q496" s="6" t="str">
        <f ca="1">IFERROR(__xludf.DUMMYFUNCTION("""COMPUTED_VALUE"""),"No")</f>
        <v>No</v>
      </c>
      <c r="R496" s="6">
        <f ca="1">IFERROR(__xludf.DUMMYFUNCTION("""COMPUTED_VALUE"""),1)</f>
        <v>1</v>
      </c>
      <c r="S496" s="6" t="str">
        <f ca="1">IFERROR(__xludf.DUMMYFUNCTION("""COMPUTED_VALUE"""),"Pre-seed
Seed")</f>
        <v>Pre-seed
Seed</v>
      </c>
      <c r="T496" s="6" t="str">
        <f ca="1">IFERROR(__xludf.DUMMYFUNCTION("""COMPUTED_VALUE"""),"Pre-seed, Seed")</f>
        <v>Pre-seed, Seed</v>
      </c>
      <c r="U496" s="6" t="str">
        <f ca="1">IFERROR(__xludf.DUMMYFUNCTION("""COMPUTED_VALUE"""),"Pre-seed, Seed")</f>
        <v>Pre-seed, Seed</v>
      </c>
      <c r="V496" s="6"/>
      <c r="W496" s="6" t="str">
        <f ca="1">IFERROR(__xludf.DUMMYFUNCTION("""COMPUTED_VALUE"""),"Invite")</f>
        <v>Invite</v>
      </c>
    </row>
    <row r="497" spans="1:23">
      <c r="A497" s="6" t="str">
        <f ca="1">IFERROR(__xludf.DUMMYFUNCTION("""COMPUTED_VALUE"""),"Man, Man, Man, Man")</f>
        <v>Man, Man, Man, Man</v>
      </c>
      <c r="B497" s="6" t="str">
        <f ca="1">IFERROR(__xludf.DUMMYFUNCTION("""COMPUTED_VALUE"""),"Chimera Therapeutics LLC _2022")</f>
        <v>Chimera Therapeutics LLC _2022</v>
      </c>
      <c r="C497" s="6" t="str">
        <f ca="1">IFERROR(__xludf.DUMMYFUNCTION("""COMPUTED_VALUE"""),"Life Sciences")</f>
        <v>Life Sciences</v>
      </c>
      <c r="D497" s="6" t="str">
        <f ca="1">IFERROR(__xludf.DUMMYFUNCTION("""COMPUTED_VALUE"""),"Alamo, CA 
United States")</f>
        <v>Alamo, CA 
United States</v>
      </c>
      <c r="E497" s="6" t="str">
        <f ca="1">IFERROR(__xludf.DUMMYFUNCTION("""COMPUTED_VALUE"""),"West Coast")</f>
        <v>West Coast</v>
      </c>
      <c r="F497" s="6" t="str">
        <f ca="1">IFERROR(__xludf.DUMMYFUNCTION("""COMPUTED_VALUE"""),"Man")</f>
        <v>Man</v>
      </c>
      <c r="G497" s="6" t="str">
        <f ca="1">IFERROR(__xludf.DUMMYFUNCTION("""COMPUTED_VALUE"""),"Man")</f>
        <v>Man</v>
      </c>
      <c r="H497" s="6" t="str">
        <f ca="1">IFERROR(__xludf.DUMMYFUNCTION("""COMPUTED_VALUE"""),"Man")</f>
        <v>Man</v>
      </c>
      <c r="I497" s="6" t="str">
        <f ca="1">IFERROR(__xludf.DUMMYFUNCTION("""COMPUTED_VALUE"""),"Man")</f>
        <v>Man</v>
      </c>
      <c r="J497" s="6"/>
      <c r="K497" s="6"/>
      <c r="L497" s="6" t="str">
        <f ca="1">IFERROR(__xludf.DUMMYFUNCTION("""COMPUTED_VALUE"""),"No")</f>
        <v>No</v>
      </c>
      <c r="M497" s="6"/>
      <c r="N497" s="6"/>
      <c r="O497" s="6" t="str">
        <f ca="1">IFERROR(__xludf.DUMMYFUNCTION("""COMPUTED_VALUE"""),"A web posting")</f>
        <v>A web posting</v>
      </c>
      <c r="P497" s="6"/>
      <c r="Q497" s="6" t="str">
        <f ca="1">IFERROR(__xludf.DUMMYFUNCTION("""COMPUTED_VALUE"""),"No")</f>
        <v>No</v>
      </c>
      <c r="R497" s="6">
        <f ca="1">IFERROR(__xludf.DUMMYFUNCTION("""COMPUTED_VALUE"""),4)</f>
        <v>4</v>
      </c>
      <c r="S497" s="6" t="str">
        <f ca="1">IFERROR(__xludf.DUMMYFUNCTION("""COMPUTED_VALUE"""),"None")</f>
        <v>None</v>
      </c>
      <c r="T497" s="6" t="str">
        <f ca="1">IFERROR(__xludf.DUMMYFUNCTION("""COMPUTED_VALUE"""),"None")</f>
        <v>None</v>
      </c>
      <c r="U497" s="6" t="str">
        <f ca="1">IFERROR(__xludf.DUMMYFUNCTION("""COMPUTED_VALUE"""),"None")</f>
        <v>None</v>
      </c>
      <c r="V497" s="6"/>
      <c r="W497" s="6" t="str">
        <f ca="1">IFERROR(__xludf.DUMMYFUNCTION("""COMPUTED_VALUE"""),"Invite")</f>
        <v>Invite</v>
      </c>
    </row>
    <row r="498" spans="1:23">
      <c r="A498" s="6" t="str">
        <f ca="1">IFERROR(__xludf.DUMMYFUNCTION("""COMPUTED_VALUE"""),"Man")</f>
        <v>Man</v>
      </c>
      <c r="B498" s="6" t="str">
        <f ca="1">IFERROR(__xludf.DUMMYFUNCTION("""COMPUTED_VALUE"""),"Lazy Trade _2022")</f>
        <v>Lazy Trade _2022</v>
      </c>
      <c r="C498" s="6" t="str">
        <f ca="1">IFERROR(__xludf.DUMMYFUNCTION("""COMPUTED_VALUE"""),"Digital Tech")</f>
        <v>Digital Tech</v>
      </c>
      <c r="D498" s="6" t="str">
        <f ca="1">IFERROR(__xludf.DUMMYFUNCTION("""COMPUTED_VALUE"""),"59 London Road, Shenley, Radlett, Hertfordshire 
United Kingdom")</f>
        <v>59 London Road, Shenley, Radlett, Hertfordshire 
United Kingdom</v>
      </c>
      <c r="E498" s="6" t="str">
        <f ca="1">IFERROR(__xludf.DUMMYFUNCTION("""COMPUTED_VALUE"""),"International - Europe")</f>
        <v>International - Europe</v>
      </c>
      <c r="F498" s="6" t="str">
        <f ca="1">IFERROR(__xludf.DUMMYFUNCTION("""COMPUTED_VALUE"""),"Man")</f>
        <v>Man</v>
      </c>
      <c r="G498" s="6"/>
      <c r="H498" s="6"/>
      <c r="I498" s="6"/>
      <c r="J498" s="6"/>
      <c r="K498" s="6"/>
      <c r="L498" s="6" t="str">
        <f ca="1">IFERROR(__xludf.DUMMYFUNCTION("""COMPUTED_VALUE"""),"No")</f>
        <v>No</v>
      </c>
      <c r="M498" s="6"/>
      <c r="N498" s="6"/>
      <c r="O498" s="6" t="str">
        <f ca="1">IFERROR(__xludf.DUMMYFUNCTION("""COMPUTED_VALUE"""),"Email")</f>
        <v>Email</v>
      </c>
      <c r="P498" s="6"/>
      <c r="Q498" s="6" t="str">
        <f ca="1">IFERROR(__xludf.DUMMYFUNCTION("""COMPUTED_VALUE"""),"No")</f>
        <v>No</v>
      </c>
      <c r="R498" s="6">
        <f ca="1">IFERROR(__xludf.DUMMYFUNCTION("""COMPUTED_VALUE"""),1)</f>
        <v>1</v>
      </c>
      <c r="S498" s="6" t="str">
        <f ca="1">IFERROR(__xludf.DUMMYFUNCTION("""COMPUTED_VALUE"""),"Pre-seed")</f>
        <v>Pre-seed</v>
      </c>
      <c r="T498" s="6" t="str">
        <f ca="1">IFERROR(__xludf.DUMMYFUNCTION("""COMPUTED_VALUE"""),"Pre-seed")</f>
        <v>Pre-seed</v>
      </c>
      <c r="U498" s="6" t="str">
        <f ca="1">IFERROR(__xludf.DUMMYFUNCTION("""COMPUTED_VALUE"""),"Pre-seed")</f>
        <v>Pre-seed</v>
      </c>
      <c r="V498" s="6"/>
      <c r="W498" s="6" t="str">
        <f ca="1">IFERROR(__xludf.DUMMYFUNCTION("""COMPUTED_VALUE"""),"Invite Next Year")</f>
        <v>Invite Next Year</v>
      </c>
    </row>
    <row r="499" spans="1:23">
      <c r="A499" s="6" t="str">
        <f ca="1">IFERROR(__xludf.DUMMYFUNCTION("""COMPUTED_VALUE"""),"Man, Man, Man, Man")</f>
        <v>Man, Man, Man, Man</v>
      </c>
      <c r="B499" s="6" t="str">
        <f ca="1">IFERROR(__xludf.DUMMYFUNCTION("""COMPUTED_VALUE"""),"CO2 Lock Corp.  _2022")</f>
        <v>CO2 Lock Corp.  _2022</v>
      </c>
      <c r="C499" s="6" t="str">
        <f ca="1">IFERROR(__xludf.DUMMYFUNCTION("""COMPUTED_VALUE"""),"Deep Tech")</f>
        <v>Deep Tech</v>
      </c>
      <c r="D499" s="6" t="str">
        <f ca="1">IFERROR(__xludf.DUMMYFUNCTION("""COMPUTED_VALUE"""),"Vancouver, British Columbia 
Canada")</f>
        <v>Vancouver, British Columbia 
Canada</v>
      </c>
      <c r="E499" s="6" t="str">
        <f ca="1">IFERROR(__xludf.DUMMYFUNCTION("""COMPUTED_VALUE"""),"International - Americas")</f>
        <v>International - Americas</v>
      </c>
      <c r="F499" s="6" t="str">
        <f ca="1">IFERROR(__xludf.DUMMYFUNCTION("""COMPUTED_VALUE"""),"Man")</f>
        <v>Man</v>
      </c>
      <c r="G499" s="6" t="str">
        <f ca="1">IFERROR(__xludf.DUMMYFUNCTION("""COMPUTED_VALUE"""),"Man")</f>
        <v>Man</v>
      </c>
      <c r="H499" s="6" t="str">
        <f ca="1">IFERROR(__xludf.DUMMYFUNCTION("""COMPUTED_VALUE"""),"Man")</f>
        <v>Man</v>
      </c>
      <c r="I499" s="6" t="str">
        <f ca="1">IFERROR(__xludf.DUMMYFUNCTION("""COMPUTED_VALUE"""),"Man")</f>
        <v>Man</v>
      </c>
      <c r="J499" s="6"/>
      <c r="K499" s="6"/>
      <c r="L499" s="6" t="str">
        <f ca="1">IFERROR(__xludf.DUMMYFUNCTION("""COMPUTED_VALUE"""),"No")</f>
        <v>No</v>
      </c>
      <c r="M499" s="6"/>
      <c r="N499" s="6"/>
      <c r="O499" s="6" t="str">
        <f ca="1">IFERROR(__xludf.DUMMYFUNCTION("""COMPUTED_VALUE"""),"Other")</f>
        <v>Other</v>
      </c>
      <c r="P499" s="6"/>
      <c r="Q499" s="6" t="str">
        <f ca="1">IFERROR(__xludf.DUMMYFUNCTION("""COMPUTED_VALUE"""),"No")</f>
        <v>No</v>
      </c>
      <c r="R499" s="6">
        <f ca="1">IFERROR(__xludf.DUMMYFUNCTION("""COMPUTED_VALUE"""),4)</f>
        <v>4</v>
      </c>
      <c r="S499" s="6" t="str">
        <f ca="1">IFERROR(__xludf.DUMMYFUNCTION("""COMPUTED_VALUE"""),"Pre-seed")</f>
        <v>Pre-seed</v>
      </c>
      <c r="T499" s="6" t="str">
        <f ca="1">IFERROR(__xludf.DUMMYFUNCTION("""COMPUTED_VALUE"""),"Pre-seed")</f>
        <v>Pre-seed</v>
      </c>
      <c r="U499" s="6" t="str">
        <f ca="1">IFERROR(__xludf.DUMMYFUNCTION("""COMPUTED_VALUE"""),"Pre-seed")</f>
        <v>Pre-seed</v>
      </c>
      <c r="V499" s="6"/>
      <c r="W499" s="6" t="str">
        <f ca="1">IFERROR(__xludf.DUMMYFUNCTION("""COMPUTED_VALUE"""),"Invite Next Year")</f>
        <v>Invite Next Year</v>
      </c>
    </row>
    <row r="500" spans="1:23">
      <c r="A500" s="6" t="str">
        <f ca="1">IFERROR(__xludf.DUMMYFUNCTION("""COMPUTED_VALUE"""),"Woman")</f>
        <v>Woman</v>
      </c>
      <c r="B500" s="6" t="str">
        <f ca="1">IFERROR(__xludf.DUMMYFUNCTION("""COMPUTED_VALUE"""),"Metavent _2022")</f>
        <v>Metavent _2022</v>
      </c>
      <c r="C500" s="6" t="str">
        <f ca="1">IFERROR(__xludf.DUMMYFUNCTION("""COMPUTED_VALUE"""),"Digital Tech")</f>
        <v>Digital Tech</v>
      </c>
      <c r="D500" s="6" t="str">
        <f ca="1">IFERROR(__xludf.DUMMYFUNCTION("""COMPUTED_VALUE"""),"San Francisco, CA 
United States")</f>
        <v>San Francisco, CA 
United States</v>
      </c>
      <c r="E500" s="6" t="str">
        <f ca="1">IFERROR(__xludf.DUMMYFUNCTION("""COMPUTED_VALUE"""),"West Coast")</f>
        <v>West Coast</v>
      </c>
      <c r="F500" s="6" t="str">
        <f ca="1">IFERROR(__xludf.DUMMYFUNCTION("""COMPUTED_VALUE"""),"Woman")</f>
        <v>Woman</v>
      </c>
      <c r="G500" s="6"/>
      <c r="H500" s="6"/>
      <c r="I500" s="6"/>
      <c r="J500" s="6"/>
      <c r="K500" s="6"/>
      <c r="L500" s="6" t="str">
        <f ca="1">IFERROR(__xludf.DUMMYFUNCTION("""COMPUTED_VALUE"""),"No")</f>
        <v>No</v>
      </c>
      <c r="M500" s="6"/>
      <c r="N500" s="6"/>
      <c r="O500" s="6" t="str">
        <f ca="1">IFERROR(__xludf.DUMMYFUNCTION("""COMPUTED_VALUE"""),"Email")</f>
        <v>Email</v>
      </c>
      <c r="P500" s="6"/>
      <c r="Q500" s="6" t="str">
        <f ca="1">IFERROR(__xludf.DUMMYFUNCTION("""COMPUTED_VALUE"""),"No")</f>
        <v>No</v>
      </c>
      <c r="R500" s="6">
        <f ca="1">IFERROR(__xludf.DUMMYFUNCTION("""COMPUTED_VALUE"""),1)</f>
        <v>1</v>
      </c>
      <c r="S500" s="6" t="str">
        <f ca="1">IFERROR(__xludf.DUMMYFUNCTION("""COMPUTED_VALUE"""),"Pre-seed")</f>
        <v>Pre-seed</v>
      </c>
      <c r="T500" s="6" t="str">
        <f ca="1">IFERROR(__xludf.DUMMYFUNCTION("""COMPUTED_VALUE"""),"Pre-seed")</f>
        <v>Pre-seed</v>
      </c>
      <c r="U500" s="6" t="str">
        <f ca="1">IFERROR(__xludf.DUMMYFUNCTION("""COMPUTED_VALUE"""),"Pre-seed")</f>
        <v>Pre-seed</v>
      </c>
      <c r="V500" s="6"/>
      <c r="W500" s="6" t="str">
        <f ca="1">IFERROR(__xludf.DUMMYFUNCTION("""COMPUTED_VALUE"""),"Invite Next Year")</f>
        <v>Invite Next Year</v>
      </c>
    </row>
    <row r="501" spans="1:23">
      <c r="A501" s="6" t="str">
        <f ca="1">IFERROR(__xludf.DUMMYFUNCTION("""COMPUTED_VALUE"""),"Man, Man")</f>
        <v>Man, Man</v>
      </c>
      <c r="B501" s="6" t="str">
        <f ca="1">IFERROR(__xludf.DUMMYFUNCTION("""COMPUTED_VALUE"""),"Snacka! _2022")</f>
        <v>Snacka! _2022</v>
      </c>
      <c r="C501" s="6" t="str">
        <f ca="1">IFERROR(__xludf.DUMMYFUNCTION("""COMPUTED_VALUE"""),"Digital Tech")</f>
        <v>Digital Tech</v>
      </c>
      <c r="D501" s="6" t="str">
        <f ca="1">IFERROR(__xludf.DUMMYFUNCTION("""COMPUTED_VALUE"""),"Tallinn, Harjumaa 
Estonia")</f>
        <v>Tallinn, Harjumaa 
Estonia</v>
      </c>
      <c r="E501" s="6" t="str">
        <f ca="1">IFERROR(__xludf.DUMMYFUNCTION("""COMPUTED_VALUE"""),"International - Europe")</f>
        <v>International - Europe</v>
      </c>
      <c r="F501" s="6" t="str">
        <f ca="1">IFERROR(__xludf.DUMMYFUNCTION("""COMPUTED_VALUE"""),"Man")</f>
        <v>Man</v>
      </c>
      <c r="G501" s="6" t="str">
        <f ca="1">IFERROR(__xludf.DUMMYFUNCTION("""COMPUTED_VALUE"""),"Man")</f>
        <v>Man</v>
      </c>
      <c r="H501" s="6"/>
      <c r="I501" s="6"/>
      <c r="J501" s="6"/>
      <c r="K501" s="6"/>
      <c r="L501" s="6" t="str">
        <f ca="1">IFERROR(__xludf.DUMMYFUNCTION("""COMPUTED_VALUE"""),"No")</f>
        <v>No</v>
      </c>
      <c r="M501" s="6"/>
      <c r="N501" s="6"/>
      <c r="O501" s="6" t="str">
        <f ca="1">IFERROR(__xludf.DUMMYFUNCTION("""COMPUTED_VALUE"""),"Email")</f>
        <v>Email</v>
      </c>
      <c r="P501" s="6"/>
      <c r="Q501" s="6" t="str">
        <f ca="1">IFERROR(__xludf.DUMMYFUNCTION("""COMPUTED_VALUE"""),"No")</f>
        <v>No</v>
      </c>
      <c r="R501" s="6">
        <f ca="1">IFERROR(__xludf.DUMMYFUNCTION("""COMPUTED_VALUE"""),2)</f>
        <v>2</v>
      </c>
      <c r="S501" s="6" t="str">
        <f ca="1">IFERROR(__xludf.DUMMYFUNCTION("""COMPUTED_VALUE"""),"Pre-seed")</f>
        <v>Pre-seed</v>
      </c>
      <c r="T501" s="6" t="str">
        <f ca="1">IFERROR(__xludf.DUMMYFUNCTION("""COMPUTED_VALUE"""),"Pre-seed")</f>
        <v>Pre-seed</v>
      </c>
      <c r="U501" s="6" t="str">
        <f ca="1">IFERROR(__xludf.DUMMYFUNCTION("""COMPUTED_VALUE"""),"Pre-seed")</f>
        <v>Pre-seed</v>
      </c>
      <c r="V501" s="6"/>
      <c r="W501" s="6" t="str">
        <f ca="1">IFERROR(__xludf.DUMMYFUNCTION("""COMPUTED_VALUE"""),"Invite Next Year")</f>
        <v>Invite Next Year</v>
      </c>
    </row>
    <row r="502" spans="1:23">
      <c r="A502" s="6" t="str">
        <f ca="1">IFERROR(__xludf.DUMMYFUNCTION("""COMPUTED_VALUE"""),"Man, Man, Man")</f>
        <v>Man, Man, Man</v>
      </c>
      <c r="B502" s="6" t="str">
        <f ca="1">IFERROR(__xludf.DUMMYFUNCTION("""COMPUTED_VALUE"""),"The Cumin Culinary Brands _2022")</f>
        <v>The Cumin Culinary Brands _2022</v>
      </c>
      <c r="C502" s="6" t="str">
        <f ca="1">IFERROR(__xludf.DUMMYFUNCTION("""COMPUTED_VALUE"""),"Life Sciences")</f>
        <v>Life Sciences</v>
      </c>
      <c r="D502" s="6" t="str">
        <f ca="1">IFERROR(__xludf.DUMMYFUNCTION("""COMPUTED_VALUE"""),"Chicago, IL 
United States")</f>
        <v>Chicago, IL 
United States</v>
      </c>
      <c r="E502" s="6" t="str">
        <f ca="1">IFERROR(__xludf.DUMMYFUNCTION("""COMPUTED_VALUE"""),"Midwest")</f>
        <v>Midwest</v>
      </c>
      <c r="F502" s="6" t="str">
        <f ca="1">IFERROR(__xludf.DUMMYFUNCTION("""COMPUTED_VALUE"""),"Man")</f>
        <v>Man</v>
      </c>
      <c r="G502" s="6" t="str">
        <f ca="1">IFERROR(__xludf.DUMMYFUNCTION("""COMPUTED_VALUE"""),"Man")</f>
        <v>Man</v>
      </c>
      <c r="H502" s="6" t="str">
        <f ca="1">IFERROR(__xludf.DUMMYFUNCTION("""COMPUTED_VALUE"""),"Man")</f>
        <v>Man</v>
      </c>
      <c r="I502" s="6"/>
      <c r="J502" s="6"/>
      <c r="K502" s="6"/>
      <c r="L502" s="6" t="str">
        <f ca="1">IFERROR(__xludf.DUMMYFUNCTION("""COMPUTED_VALUE"""),"Yes")</f>
        <v>Yes</v>
      </c>
      <c r="M502" s="6" t="str">
        <f ca="1">IFERROR(__xludf.DUMMYFUNCTION("""COMPUTED_VALUE"""),"NYU Alumni")</f>
        <v>NYU Alumni</v>
      </c>
      <c r="N502" s="6"/>
      <c r="O502" s="6" t="str">
        <f ca="1">IFERROR(__xludf.DUMMYFUNCTION("""COMPUTED_VALUE"""),"Referral")</f>
        <v>Referral</v>
      </c>
      <c r="P502" s="6"/>
      <c r="Q502" s="6" t="str">
        <f ca="1">IFERROR(__xludf.DUMMYFUNCTION("""COMPUTED_VALUE"""),"No")</f>
        <v>No</v>
      </c>
      <c r="R502" s="6">
        <f ca="1">IFERROR(__xludf.DUMMYFUNCTION("""COMPUTED_VALUE"""),3)</f>
        <v>3</v>
      </c>
      <c r="S502" s="6" t="str">
        <f ca="1">IFERROR(__xludf.DUMMYFUNCTION("""COMPUTED_VALUE"""),"Seed")</f>
        <v>Seed</v>
      </c>
      <c r="T502" s="6" t="str">
        <f ca="1">IFERROR(__xludf.DUMMYFUNCTION("""COMPUTED_VALUE"""),"Seed")</f>
        <v>Seed</v>
      </c>
      <c r="U502" s="6" t="str">
        <f ca="1">IFERROR(__xludf.DUMMYFUNCTION("""COMPUTED_VALUE"""),"Seed")</f>
        <v>Seed</v>
      </c>
      <c r="V502" s="6"/>
      <c r="W502" s="6" t="str">
        <f ca="1">IFERROR(__xludf.DUMMYFUNCTION("""COMPUTED_VALUE"""),"Invite Next Year")</f>
        <v>Invite Next Year</v>
      </c>
    </row>
    <row r="503" spans="1:23">
      <c r="A503" s="6" t="str">
        <f ca="1">IFERROR(__xludf.DUMMYFUNCTION("""COMPUTED_VALUE"""),"Man")</f>
        <v>Man</v>
      </c>
      <c r="B503" s="6" t="str">
        <f ca="1">IFERROR(__xludf.DUMMYFUNCTION("""COMPUTED_VALUE"""),"Ziscuit, Inc. _2022")</f>
        <v>Ziscuit, Inc. _2022</v>
      </c>
      <c r="C503" s="6" t="str">
        <f ca="1">IFERROR(__xludf.DUMMYFUNCTION("""COMPUTED_VALUE"""),"Deep Tech")</f>
        <v>Deep Tech</v>
      </c>
      <c r="D503" s="6" t="str">
        <f ca="1">IFERROR(__xludf.DUMMYFUNCTION("""COMPUTED_VALUE"""),"Atlanta, Georgia 
United States")</f>
        <v>Atlanta, Georgia 
United States</v>
      </c>
      <c r="E503" s="6" t="str">
        <f ca="1">IFERROR(__xludf.DUMMYFUNCTION("""COMPUTED_VALUE"""),"East Coast")</f>
        <v>East Coast</v>
      </c>
      <c r="F503" s="6" t="str">
        <f ca="1">IFERROR(__xludf.DUMMYFUNCTION("""COMPUTED_VALUE"""),"Man")</f>
        <v>Man</v>
      </c>
      <c r="G503" s="6"/>
      <c r="H503" s="6"/>
      <c r="I503" s="6"/>
      <c r="J503" s="6"/>
      <c r="K503" s="6"/>
      <c r="L503" s="6" t="str">
        <f ca="1">IFERROR(__xludf.DUMMYFUNCTION("""COMPUTED_VALUE"""),"--Please select--")</f>
        <v>--Please select--</v>
      </c>
      <c r="M503" s="6"/>
      <c r="N503" s="6"/>
      <c r="O503" s="6" t="str">
        <f ca="1">IFERROR(__xludf.DUMMYFUNCTION("""COMPUTED_VALUE"""),"Email")</f>
        <v>Email</v>
      </c>
      <c r="P503" s="6"/>
      <c r="Q503" s="6" t="str">
        <f ca="1">IFERROR(__xludf.DUMMYFUNCTION("""COMPUTED_VALUE"""),"No")</f>
        <v>No</v>
      </c>
      <c r="R503" s="6">
        <f ca="1">IFERROR(__xludf.DUMMYFUNCTION("""COMPUTED_VALUE"""),1)</f>
        <v>1</v>
      </c>
      <c r="S503" s="6" t="str">
        <f ca="1">IFERROR(__xludf.DUMMYFUNCTION("""COMPUTED_VALUE"""),"Grants
Other: Google Black Ambition Fund, Innovation Depot Fund, Bronze Valley Fund, Techstars, Velocity Accelerator")</f>
        <v>Grants
Other: Google Black Ambition Fund, Innovation Depot Fund, Bronze Valley Fund, Techstars, Velocity Accelerator</v>
      </c>
      <c r="T503" s="6" t="str">
        <f ca="1">IFERROR(__xludf.DUMMYFUNCTION("""COMPUTED_VALUE"""),"Grants, Other: Google Black Ambition Fund, Innovation Depot Fund, Bronze Valley Fund, Techstars, Velocity Accelerator")</f>
        <v>Grants, Other: Google Black Ambition Fund, Innovation Depot Fund, Bronze Valley Fund, Techstars, Velocity Accelerator</v>
      </c>
      <c r="U503" s="6" t="str">
        <f ca="1">IFERROR(__xludf.DUMMYFUNCTION("""COMPUTED_VALUE"""),"Grants, ")</f>
        <v xml:space="preserve">Grants, </v>
      </c>
      <c r="V503" s="6" t="str">
        <f ca="1">IFERROR(__xludf.DUMMYFUNCTION("""COMPUTED_VALUE"""),"Google Black Ambition Fund, Innovation Depot Fund, Bronze Valley Fund, Techstars, Velocity Accelerator")</f>
        <v>Google Black Ambition Fund, Innovation Depot Fund, Bronze Valley Fund, Techstars, Velocity Accelerator</v>
      </c>
      <c r="W503" s="6" t="str">
        <f ca="1">IFERROR(__xludf.DUMMYFUNCTION("""COMPUTED_VALUE"""),"Invite Next Year")</f>
        <v>Invite Next Year</v>
      </c>
    </row>
    <row r="504" spans="1:23">
      <c r="A504" s="6" t="str">
        <f ca="1">IFERROR(__xludf.DUMMYFUNCTION("""COMPUTED_VALUE"""),"Woman, Man")</f>
        <v>Woman, Man</v>
      </c>
      <c r="B504" s="6" t="str">
        <f ca="1">IFERROR(__xludf.DUMMYFUNCTION("""COMPUTED_VALUE"""),"Suru Together Ltd _2022")</f>
        <v>Suru Together Ltd _2022</v>
      </c>
      <c r="C504" s="6" t="str">
        <f ca="1">IFERROR(__xludf.DUMMYFUNCTION("""COMPUTED_VALUE"""),"Digital Tech")</f>
        <v>Digital Tech</v>
      </c>
      <c r="D504" s="6" t="str">
        <f ca="1">IFERROR(__xludf.DUMMYFUNCTION("""COMPUTED_VALUE"""),"The Black Church, St. Mary?s Place 
Ireland")</f>
        <v>The Black Church, St. Mary?s Place 
Ireland</v>
      </c>
      <c r="E504" s="6" t="str">
        <f ca="1">IFERROR(__xludf.DUMMYFUNCTION("""COMPUTED_VALUE"""),"International - Europe")</f>
        <v>International - Europe</v>
      </c>
      <c r="F504" s="6" t="str">
        <f ca="1">IFERROR(__xludf.DUMMYFUNCTION("""COMPUTED_VALUE"""),"Woman")</f>
        <v>Woman</v>
      </c>
      <c r="G504" s="6" t="str">
        <f ca="1">IFERROR(__xludf.DUMMYFUNCTION("""COMPUTED_VALUE"""),"Man")</f>
        <v>Man</v>
      </c>
      <c r="H504" s="6"/>
      <c r="I504" s="6"/>
      <c r="J504" s="6"/>
      <c r="K504" s="6"/>
      <c r="L504" s="6" t="str">
        <f ca="1">IFERROR(__xludf.DUMMYFUNCTION("""COMPUTED_VALUE"""),"No")</f>
        <v>No</v>
      </c>
      <c r="M504" s="6"/>
      <c r="N504" s="6"/>
      <c r="O504" s="6" t="str">
        <f ca="1">IFERROR(__xludf.DUMMYFUNCTION("""COMPUTED_VALUE"""),"Email")</f>
        <v>Email</v>
      </c>
      <c r="P504" s="6"/>
      <c r="Q504" s="6" t="str">
        <f ca="1">IFERROR(__xludf.DUMMYFUNCTION("""COMPUTED_VALUE"""),"No")</f>
        <v>No</v>
      </c>
      <c r="R504" s="6">
        <f ca="1">IFERROR(__xludf.DUMMYFUNCTION("""COMPUTED_VALUE"""),2)</f>
        <v>2</v>
      </c>
      <c r="S504" s="6" t="str">
        <f ca="1">IFERROR(__xludf.DUMMYFUNCTION("""COMPUTED_VALUE"""),"Pre-seed
Seed
Grants")</f>
        <v>Pre-seed
Seed
Grants</v>
      </c>
      <c r="T504" s="6" t="str">
        <f ca="1">IFERROR(__xludf.DUMMYFUNCTION("""COMPUTED_VALUE"""),"Pre-seed, Seed, Grants")</f>
        <v>Pre-seed, Seed, Grants</v>
      </c>
      <c r="U504" s="6" t="str">
        <f ca="1">IFERROR(__xludf.DUMMYFUNCTION("""COMPUTED_VALUE"""),"Pre-seed, Seed, Grants")</f>
        <v>Pre-seed, Seed, Grants</v>
      </c>
      <c r="V504" s="6"/>
      <c r="W504" s="6" t="str">
        <f ca="1">IFERROR(__xludf.DUMMYFUNCTION("""COMPUTED_VALUE"""),"Invite")</f>
        <v>Invite</v>
      </c>
    </row>
    <row r="505" spans="1:23">
      <c r="A505" s="6" t="str">
        <f ca="1">IFERROR(__xludf.DUMMYFUNCTION("""COMPUTED_VALUE"""),"Man, Man")</f>
        <v>Man, Man</v>
      </c>
      <c r="B505" s="6" t="str">
        <f ca="1">IFERROR(__xludf.DUMMYFUNCTION("""COMPUTED_VALUE"""),"L-Infinity Labs, Inc. _2022")</f>
        <v>L-Infinity Labs, Inc. _2022</v>
      </c>
      <c r="C505" s="6" t="str">
        <f ca="1">IFERROR(__xludf.DUMMYFUNCTION("""COMPUTED_VALUE"""),"Digital Tech")</f>
        <v>Digital Tech</v>
      </c>
      <c r="D505" s="6" t="str">
        <f ca="1">IFERROR(__xludf.DUMMYFUNCTION("""COMPUTED_VALUE"""),"378 Edmands Rd, MA 
United States")</f>
        <v>378 Edmands Rd, MA 
United States</v>
      </c>
      <c r="E505" s="6" t="str">
        <f ca="1">IFERROR(__xludf.DUMMYFUNCTION("""COMPUTED_VALUE"""),"East Coast")</f>
        <v>East Coast</v>
      </c>
      <c r="F505" s="6" t="str">
        <f ca="1">IFERROR(__xludf.DUMMYFUNCTION("""COMPUTED_VALUE"""),"Man")</f>
        <v>Man</v>
      </c>
      <c r="G505" s="6" t="str">
        <f ca="1">IFERROR(__xludf.DUMMYFUNCTION("""COMPUTED_VALUE"""),"Man")</f>
        <v>Man</v>
      </c>
      <c r="H505" s="6"/>
      <c r="I505" s="6"/>
      <c r="J505" s="6"/>
      <c r="K505" s="6"/>
      <c r="L505" s="6" t="str">
        <f ca="1">IFERROR(__xludf.DUMMYFUNCTION("""COMPUTED_VALUE"""),"Yes")</f>
        <v>Yes</v>
      </c>
      <c r="M505" s="6" t="str">
        <f ca="1">IFERROR(__xludf.DUMMYFUNCTION("""COMPUTED_VALUE"""),"NYU Faculty")</f>
        <v>NYU Faculty</v>
      </c>
      <c r="N505" s="6"/>
      <c r="O505" s="6" t="str">
        <f ca="1">IFERROR(__xludf.DUMMYFUNCTION("""COMPUTED_VALUE"""),"Other")</f>
        <v>Other</v>
      </c>
      <c r="P505" s="6"/>
      <c r="Q505" s="6" t="str">
        <f ca="1">IFERROR(__xludf.DUMMYFUNCTION("""COMPUTED_VALUE"""),"Yes")</f>
        <v>Yes</v>
      </c>
      <c r="R505" s="6">
        <f ca="1">IFERROR(__xludf.DUMMYFUNCTION("""COMPUTED_VALUE"""),2)</f>
        <v>2</v>
      </c>
      <c r="S505" s="6" t="str">
        <f ca="1">IFERROR(__xludf.DUMMYFUNCTION("""COMPUTED_VALUE"""),"Other: Founder contribution")</f>
        <v>Other: Founder contribution</v>
      </c>
      <c r="T505" s="6" t="str">
        <f ca="1">IFERROR(__xludf.DUMMYFUNCTION("""COMPUTED_VALUE"""),"Other: Founder contribution")</f>
        <v>Other: Founder contribution</v>
      </c>
      <c r="U505" s="6" t="str">
        <f ca="1">IFERROR(__xludf.DUMMYFUNCTION("""COMPUTED_VALUE"""),"Founder contribution")</f>
        <v>Founder contribution</v>
      </c>
      <c r="V505" s="6"/>
      <c r="W505" s="6" t="str">
        <f ca="1">IFERROR(__xludf.DUMMYFUNCTION("""COMPUTED_VALUE"""),"Invite Next Year")</f>
        <v>Invite Next Year</v>
      </c>
    </row>
    <row r="506" spans="1:23">
      <c r="A506" s="6" t="str">
        <f ca="1">IFERROR(__xludf.DUMMYFUNCTION("""COMPUTED_VALUE"""),"Man, Man")</f>
        <v>Man, Man</v>
      </c>
      <c r="B506" s="6" t="str">
        <f ca="1">IFERROR(__xludf.DUMMYFUNCTION("""COMPUTED_VALUE"""),"Blings.io _2022")</f>
        <v>Blings.io _2022</v>
      </c>
      <c r="C506" s="6" t="str">
        <f ca="1">IFERROR(__xludf.DUMMYFUNCTION("""COMPUTED_VALUE"""),"Digital Tech")</f>
        <v>Digital Tech</v>
      </c>
      <c r="D506" s="6" t="str">
        <f ca="1">IFERROR(__xludf.DUMMYFUNCTION("""COMPUTED_VALUE"""),"Carlebach 13 , Tel Aviv  
Israel")</f>
        <v>Carlebach 13 , Tel Aviv  
Israel</v>
      </c>
      <c r="E506" s="6" t="str">
        <f ca="1">IFERROR(__xludf.DUMMYFUNCTION("""COMPUTED_VALUE"""),"International - Middle East")</f>
        <v>International - Middle East</v>
      </c>
      <c r="F506" s="6" t="str">
        <f ca="1">IFERROR(__xludf.DUMMYFUNCTION("""COMPUTED_VALUE"""),"Man")</f>
        <v>Man</v>
      </c>
      <c r="G506" s="6" t="str">
        <f ca="1">IFERROR(__xludf.DUMMYFUNCTION("""COMPUTED_VALUE"""),"Man")</f>
        <v>Man</v>
      </c>
      <c r="H506" s="6"/>
      <c r="I506" s="6"/>
      <c r="J506" s="6"/>
      <c r="K506" s="6"/>
      <c r="L506" s="6" t="str">
        <f ca="1">IFERROR(__xludf.DUMMYFUNCTION("""COMPUTED_VALUE"""),"No")</f>
        <v>No</v>
      </c>
      <c r="M506" s="6"/>
      <c r="N506" s="6"/>
      <c r="O506" s="6" t="str">
        <f ca="1">IFERROR(__xludf.DUMMYFUNCTION("""COMPUTED_VALUE"""),"Email")</f>
        <v>Email</v>
      </c>
      <c r="P506" s="6"/>
      <c r="Q506" s="6" t="str">
        <f ca="1">IFERROR(__xludf.DUMMYFUNCTION("""COMPUTED_VALUE"""),"No")</f>
        <v>No</v>
      </c>
      <c r="R506" s="6">
        <f ca="1">IFERROR(__xludf.DUMMYFUNCTION("""COMPUTED_VALUE"""),2)</f>
        <v>2</v>
      </c>
      <c r="S506" s="6" t="str">
        <f ca="1">IFERROR(__xludf.DUMMYFUNCTION("""COMPUTED_VALUE"""),"Seed")</f>
        <v>Seed</v>
      </c>
      <c r="T506" s="6" t="str">
        <f ca="1">IFERROR(__xludf.DUMMYFUNCTION("""COMPUTED_VALUE"""),"Seed")</f>
        <v>Seed</v>
      </c>
      <c r="U506" s="6" t="str">
        <f ca="1">IFERROR(__xludf.DUMMYFUNCTION("""COMPUTED_VALUE"""),"Seed")</f>
        <v>Seed</v>
      </c>
      <c r="V506" s="6"/>
      <c r="W506" s="6" t="str">
        <f ca="1">IFERROR(__xludf.DUMMYFUNCTION("""COMPUTED_VALUE"""),"Invite")</f>
        <v>Invite</v>
      </c>
    </row>
    <row r="507" spans="1:23">
      <c r="A507" s="6" t="str">
        <f ca="1">IFERROR(__xludf.DUMMYFUNCTION("""COMPUTED_VALUE"""),"Man, Man, Man, Woman, Man")</f>
        <v>Man, Man, Man, Woman, Man</v>
      </c>
      <c r="B507" s="6" t="str">
        <f ca="1">IFERROR(__xludf.DUMMYFUNCTION("""COMPUTED_VALUE"""),"enspired _2022")</f>
        <v>enspired _2022</v>
      </c>
      <c r="C507" s="6" t="str">
        <f ca="1">IFERROR(__xludf.DUMMYFUNCTION("""COMPUTED_VALUE"""),"Digital Tech")</f>
        <v>Digital Tech</v>
      </c>
      <c r="D507" s="6" t="str">
        <f ca="1">IFERROR(__xludf.DUMMYFUNCTION("""COMPUTED_VALUE"""),"Meischlgasse 13, Vienna 
Austria")</f>
        <v>Meischlgasse 13, Vienna 
Austria</v>
      </c>
      <c r="E507" s="6" t="str">
        <f ca="1">IFERROR(__xludf.DUMMYFUNCTION("""COMPUTED_VALUE"""),"International - Europe")</f>
        <v>International - Europe</v>
      </c>
      <c r="F507" s="6" t="str">
        <f ca="1">IFERROR(__xludf.DUMMYFUNCTION("""COMPUTED_VALUE"""),"Man")</f>
        <v>Man</v>
      </c>
      <c r="G507" s="6" t="str">
        <f ca="1">IFERROR(__xludf.DUMMYFUNCTION("""COMPUTED_VALUE"""),"Man")</f>
        <v>Man</v>
      </c>
      <c r="H507" s="6" t="str">
        <f ca="1">IFERROR(__xludf.DUMMYFUNCTION("""COMPUTED_VALUE"""),"Man")</f>
        <v>Man</v>
      </c>
      <c r="I507" s="6" t="str">
        <f ca="1">IFERROR(__xludf.DUMMYFUNCTION("""COMPUTED_VALUE"""),"Woman")</f>
        <v>Woman</v>
      </c>
      <c r="J507" s="6" t="str">
        <f ca="1">IFERROR(__xludf.DUMMYFUNCTION("""COMPUTED_VALUE"""),"Man")</f>
        <v>Man</v>
      </c>
      <c r="K507" s="6"/>
      <c r="L507" s="6" t="str">
        <f ca="1">IFERROR(__xludf.DUMMYFUNCTION("""COMPUTED_VALUE"""),"No")</f>
        <v>No</v>
      </c>
      <c r="M507" s="6"/>
      <c r="N507" s="6"/>
      <c r="O507" s="6" t="str">
        <f ca="1">IFERROR(__xludf.DUMMYFUNCTION("""COMPUTED_VALUE"""),"Email")</f>
        <v>Email</v>
      </c>
      <c r="P507" s="6"/>
      <c r="Q507" s="6" t="str">
        <f ca="1">IFERROR(__xludf.DUMMYFUNCTION("""COMPUTED_VALUE"""),"No")</f>
        <v>No</v>
      </c>
      <c r="R507" s="6">
        <f ca="1">IFERROR(__xludf.DUMMYFUNCTION("""COMPUTED_VALUE"""),5)</f>
        <v>5</v>
      </c>
      <c r="S507" s="6" t="str">
        <f ca="1">IFERROR(__xludf.DUMMYFUNCTION("""COMPUTED_VALUE"""),"Series A")</f>
        <v>Series A</v>
      </c>
      <c r="T507" s="6" t="str">
        <f ca="1">IFERROR(__xludf.DUMMYFUNCTION("""COMPUTED_VALUE"""),"Series A")</f>
        <v>Series A</v>
      </c>
      <c r="U507" s="6" t="str">
        <f ca="1">IFERROR(__xludf.DUMMYFUNCTION("""COMPUTED_VALUE"""),"Series A")</f>
        <v>Series A</v>
      </c>
      <c r="V507" s="6"/>
      <c r="W507" s="6" t="str">
        <f ca="1">IFERROR(__xludf.DUMMYFUNCTION("""COMPUTED_VALUE"""),"Invite Next Year")</f>
        <v>Invite Next Year</v>
      </c>
    </row>
    <row r="508" spans="1:23">
      <c r="A508" s="6" t="str">
        <f ca="1">IFERROR(__xludf.DUMMYFUNCTION("""COMPUTED_VALUE"""),"Man")</f>
        <v>Man</v>
      </c>
      <c r="B508" s="6" t="str">
        <f ca="1">IFERROR(__xludf.DUMMYFUNCTION("""COMPUTED_VALUE"""),"ALTRA ERC LTD _2022")</f>
        <v>ALTRA ERC LTD _2022</v>
      </c>
      <c r="C508" s="6" t="str">
        <f ca="1">IFERROR(__xludf.DUMMYFUNCTION("""COMPUTED_VALUE"""),"Digital Tech")</f>
        <v>Digital Tech</v>
      </c>
      <c r="D508" s="6" t="str">
        <f ca="1">IFERROR(__xludf.DUMMYFUNCTION("""COMPUTED_VALUE"""),"EDINBURGH, Midlothian 
United Kingdom")</f>
        <v>EDINBURGH, Midlothian 
United Kingdom</v>
      </c>
      <c r="E508" s="6" t="str">
        <f ca="1">IFERROR(__xludf.DUMMYFUNCTION("""COMPUTED_VALUE"""),"International - Europe")</f>
        <v>International - Europe</v>
      </c>
      <c r="F508" s="6" t="str">
        <f ca="1">IFERROR(__xludf.DUMMYFUNCTION("""COMPUTED_VALUE"""),"Man")</f>
        <v>Man</v>
      </c>
      <c r="G508" s="6"/>
      <c r="H508" s="6"/>
      <c r="I508" s="6"/>
      <c r="J508" s="6"/>
      <c r="K508" s="6"/>
      <c r="L508" s="6" t="str">
        <f ca="1">IFERROR(__xludf.DUMMYFUNCTION("""COMPUTED_VALUE"""),"--Please select--")</f>
        <v>--Please select--</v>
      </c>
      <c r="M508" s="6"/>
      <c r="N508" s="6"/>
      <c r="O508" s="6" t="str">
        <f ca="1">IFERROR(__xludf.DUMMYFUNCTION("""COMPUTED_VALUE"""),"Referral")</f>
        <v>Referral</v>
      </c>
      <c r="P508" s="6"/>
      <c r="Q508" s="6" t="str">
        <f ca="1">IFERROR(__xludf.DUMMYFUNCTION("""COMPUTED_VALUE"""),"No")</f>
        <v>No</v>
      </c>
      <c r="R508" s="6">
        <f ca="1">IFERROR(__xludf.DUMMYFUNCTION("""COMPUTED_VALUE"""),1)</f>
        <v>1</v>
      </c>
      <c r="S508" s="6" t="str">
        <f ca="1">IFERROR(__xludf.DUMMYFUNCTION("""COMPUTED_VALUE"""),"Pre-seed")</f>
        <v>Pre-seed</v>
      </c>
      <c r="T508" s="6" t="str">
        <f ca="1">IFERROR(__xludf.DUMMYFUNCTION("""COMPUTED_VALUE"""),"Pre-seed")</f>
        <v>Pre-seed</v>
      </c>
      <c r="U508" s="6" t="str">
        <f ca="1">IFERROR(__xludf.DUMMYFUNCTION("""COMPUTED_VALUE"""),"Pre-seed")</f>
        <v>Pre-seed</v>
      </c>
      <c r="V508" s="6"/>
      <c r="W508" s="6" t="str">
        <f ca="1">IFERROR(__xludf.DUMMYFUNCTION("""COMPUTED_VALUE"""),"Invite Next Year")</f>
        <v>Invite Next Year</v>
      </c>
    </row>
    <row r="509" spans="1:23">
      <c r="A509" s="6" t="str">
        <f ca="1">IFERROR(__xludf.DUMMYFUNCTION("""COMPUTED_VALUE"""),"Woman")</f>
        <v>Woman</v>
      </c>
      <c r="B509" s="6" t="str">
        <f ca="1">IFERROR(__xludf.DUMMYFUNCTION("""COMPUTED_VALUE"""),"Etimo  _2022")</f>
        <v>Etimo  _2022</v>
      </c>
      <c r="C509" s="6" t="str">
        <f ca="1">IFERROR(__xludf.DUMMYFUNCTION("""COMPUTED_VALUE"""),"Deep Tech")</f>
        <v>Deep Tech</v>
      </c>
      <c r="D509" s="6" t="str">
        <f ca="1">IFERROR(__xludf.DUMMYFUNCTION("""COMPUTED_VALUE"""),"Algarrobo 1041, CABA 
Argentina")</f>
        <v>Algarrobo 1041, CABA 
Argentina</v>
      </c>
      <c r="E509" s="6" t="str">
        <f ca="1">IFERROR(__xludf.DUMMYFUNCTION("""COMPUTED_VALUE"""),"International - Americas")</f>
        <v>International - Americas</v>
      </c>
      <c r="F509" s="6" t="str">
        <f ca="1">IFERROR(__xludf.DUMMYFUNCTION("""COMPUTED_VALUE"""),"Woman")</f>
        <v>Woman</v>
      </c>
      <c r="G509" s="6"/>
      <c r="H509" s="6"/>
      <c r="I509" s="6"/>
      <c r="J509" s="6"/>
      <c r="K509" s="6"/>
      <c r="L509" s="6" t="str">
        <f ca="1">IFERROR(__xludf.DUMMYFUNCTION("""COMPUTED_VALUE"""),"No")</f>
        <v>No</v>
      </c>
      <c r="M509" s="6"/>
      <c r="N509" s="6"/>
      <c r="O509" s="6" t="str">
        <f ca="1">IFERROR(__xludf.DUMMYFUNCTION("""COMPUTED_VALUE"""),"Referral")</f>
        <v>Referral</v>
      </c>
      <c r="P509" s="6"/>
      <c r="Q509" s="6" t="str">
        <f ca="1">IFERROR(__xludf.DUMMYFUNCTION("""COMPUTED_VALUE"""),"No")</f>
        <v>No</v>
      </c>
      <c r="R509" s="6">
        <f ca="1">IFERROR(__xludf.DUMMYFUNCTION("""COMPUTED_VALUE"""),1)</f>
        <v>1</v>
      </c>
      <c r="S509" s="6" t="str">
        <f ca="1">IFERROR(__xludf.DUMMYFUNCTION("""COMPUTED_VALUE"""),"Seed")</f>
        <v>Seed</v>
      </c>
      <c r="T509" s="6" t="str">
        <f ca="1">IFERROR(__xludf.DUMMYFUNCTION("""COMPUTED_VALUE"""),"Seed")</f>
        <v>Seed</v>
      </c>
      <c r="U509" s="6" t="str">
        <f ca="1">IFERROR(__xludf.DUMMYFUNCTION("""COMPUTED_VALUE"""),"Seed")</f>
        <v>Seed</v>
      </c>
      <c r="V509" s="6"/>
      <c r="W509" s="6" t="str">
        <f ca="1">IFERROR(__xludf.DUMMYFUNCTION("""COMPUTED_VALUE"""),"Invite Next Year")</f>
        <v>Invite Next Year</v>
      </c>
    </row>
    <row r="510" spans="1:23">
      <c r="A510" s="6" t="str">
        <f ca="1">IFERROR(__xludf.DUMMYFUNCTION("""COMPUTED_VALUE"""),"Man, Man")</f>
        <v>Man, Man</v>
      </c>
      <c r="B510" s="6" t="str">
        <f ca="1">IFERROR(__xludf.DUMMYFUNCTION("""COMPUTED_VALUE"""),"EPDL LTD _2022")</f>
        <v>EPDL LTD _2022</v>
      </c>
      <c r="C510" s="6" t="str">
        <f ca="1">IFERROR(__xludf.DUMMYFUNCTION("""COMPUTED_VALUE"""),"Digital Tech")</f>
        <v>Digital Tech</v>
      </c>
      <c r="D510" s="6" t="str">
        <f ca="1">IFERROR(__xludf.DUMMYFUNCTION("""COMPUTED_VALUE"""),"Kumasi, Ashanti Region 
Ghana")</f>
        <v>Kumasi, Ashanti Region 
Ghana</v>
      </c>
      <c r="E510" s="6" t="str">
        <f ca="1">IFERROR(__xludf.DUMMYFUNCTION("""COMPUTED_VALUE"""),"International - Other")</f>
        <v>International - Other</v>
      </c>
      <c r="F510" s="6" t="str">
        <f ca="1">IFERROR(__xludf.DUMMYFUNCTION("""COMPUTED_VALUE"""),"Man")</f>
        <v>Man</v>
      </c>
      <c r="G510" s="6" t="str">
        <f ca="1">IFERROR(__xludf.DUMMYFUNCTION("""COMPUTED_VALUE"""),"Man")</f>
        <v>Man</v>
      </c>
      <c r="H510" s="6"/>
      <c r="I510" s="6"/>
      <c r="J510" s="6"/>
      <c r="K510" s="6"/>
      <c r="L510" s="6" t="str">
        <f ca="1">IFERROR(__xludf.DUMMYFUNCTION("""COMPUTED_VALUE"""),"No")</f>
        <v>No</v>
      </c>
      <c r="M510" s="6"/>
      <c r="N510" s="6"/>
      <c r="O510" s="6" t="str">
        <f ca="1">IFERROR(__xludf.DUMMYFUNCTION("""COMPUTED_VALUE"""),"Email")</f>
        <v>Email</v>
      </c>
      <c r="P510" s="6"/>
      <c r="Q510" s="6" t="str">
        <f ca="1">IFERROR(__xludf.DUMMYFUNCTION("""COMPUTED_VALUE"""),"No")</f>
        <v>No</v>
      </c>
      <c r="R510" s="6">
        <f ca="1">IFERROR(__xludf.DUMMYFUNCTION("""COMPUTED_VALUE"""),2)</f>
        <v>2</v>
      </c>
      <c r="S510" s="6" t="str">
        <f ca="1">IFERROR(__xludf.DUMMYFUNCTION("""COMPUTED_VALUE"""),"None")</f>
        <v>None</v>
      </c>
      <c r="T510" s="6" t="str">
        <f ca="1">IFERROR(__xludf.DUMMYFUNCTION("""COMPUTED_VALUE"""),"None")</f>
        <v>None</v>
      </c>
      <c r="U510" s="6" t="str">
        <f ca="1">IFERROR(__xludf.DUMMYFUNCTION("""COMPUTED_VALUE"""),"None")</f>
        <v>None</v>
      </c>
      <c r="V510" s="6"/>
      <c r="W510" s="6" t="str">
        <f ca="1">IFERROR(__xludf.DUMMYFUNCTION("""COMPUTED_VALUE"""),"Invite Next Year")</f>
        <v>Invite Next Year</v>
      </c>
    </row>
    <row r="511" spans="1:23">
      <c r="A511" s="6" t="str">
        <f ca="1">IFERROR(__xludf.DUMMYFUNCTION("""COMPUTED_VALUE"""),"Man, Man")</f>
        <v>Man, Man</v>
      </c>
      <c r="B511" s="6" t="str">
        <f ca="1">IFERROR(__xludf.DUMMYFUNCTION("""COMPUTED_VALUE"""),"AdHear Health _2022")</f>
        <v>AdHear Health _2022</v>
      </c>
      <c r="C511" s="6" t="str">
        <f ca="1">IFERROR(__xludf.DUMMYFUNCTION("""COMPUTED_VALUE"""),"Digital Tech")</f>
        <v>Digital Tech</v>
      </c>
      <c r="D511" s="6" t="str">
        <f ca="1">IFERROR(__xludf.DUMMYFUNCTION("""COMPUTED_VALUE"""),"Columbia, Maryland 
United States")</f>
        <v>Columbia, Maryland 
United States</v>
      </c>
      <c r="E511" s="6" t="str">
        <f ca="1">IFERROR(__xludf.DUMMYFUNCTION("""COMPUTED_VALUE"""),"East Coast")</f>
        <v>East Coast</v>
      </c>
      <c r="F511" s="6" t="str">
        <f ca="1">IFERROR(__xludf.DUMMYFUNCTION("""COMPUTED_VALUE"""),"Man")</f>
        <v>Man</v>
      </c>
      <c r="G511" s="6" t="str">
        <f ca="1">IFERROR(__xludf.DUMMYFUNCTION("""COMPUTED_VALUE"""),"Man")</f>
        <v>Man</v>
      </c>
      <c r="H511" s="6"/>
      <c r="I511" s="6"/>
      <c r="J511" s="6"/>
      <c r="K511" s="6"/>
      <c r="L511" s="6" t="str">
        <f ca="1">IFERROR(__xludf.DUMMYFUNCTION("""COMPUTED_VALUE"""),"Yes")</f>
        <v>Yes</v>
      </c>
      <c r="M511" s="6" t="str">
        <f ca="1">IFERROR(__xludf.DUMMYFUNCTION("""COMPUTED_VALUE"""),"NYU Student")</f>
        <v>NYU Student</v>
      </c>
      <c r="N511" s="6"/>
      <c r="O511" s="6" t="str">
        <f ca="1">IFERROR(__xludf.DUMMYFUNCTION("""COMPUTED_VALUE"""),"NYU Newsletter")</f>
        <v>NYU Newsletter</v>
      </c>
      <c r="P511" s="6"/>
      <c r="Q511" s="6" t="str">
        <f ca="1">IFERROR(__xludf.DUMMYFUNCTION("""COMPUTED_VALUE"""),"No")</f>
        <v>No</v>
      </c>
      <c r="R511" s="6">
        <f ca="1">IFERROR(__xludf.DUMMYFUNCTION("""COMPUTED_VALUE"""),2)</f>
        <v>2</v>
      </c>
      <c r="S511" s="6" t="str">
        <f ca="1">IFERROR(__xludf.DUMMYFUNCTION("""COMPUTED_VALUE"""),"None")</f>
        <v>None</v>
      </c>
      <c r="T511" s="6" t="str">
        <f ca="1">IFERROR(__xludf.DUMMYFUNCTION("""COMPUTED_VALUE"""),"None")</f>
        <v>None</v>
      </c>
      <c r="U511" s="6" t="str">
        <f ca="1">IFERROR(__xludf.DUMMYFUNCTION("""COMPUTED_VALUE"""),"None")</f>
        <v>None</v>
      </c>
      <c r="V511" s="6"/>
      <c r="W511" s="6" t="str">
        <f ca="1">IFERROR(__xludf.DUMMYFUNCTION("""COMPUTED_VALUE"""),"Invite Next Year")</f>
        <v>Invite Next Year</v>
      </c>
    </row>
    <row r="512" spans="1:23">
      <c r="A512" s="6" t="str">
        <f ca="1">IFERROR(__xludf.DUMMYFUNCTION("""COMPUTED_VALUE"""),"Man, Man")</f>
        <v>Man, Man</v>
      </c>
      <c r="B512" s="6" t="str">
        <f ca="1">IFERROR(__xludf.DUMMYFUNCTION("""COMPUTED_VALUE"""),"Wyblo srl  _2022")</f>
        <v>Wyblo srl  _2022</v>
      </c>
      <c r="C512" s="6" t="str">
        <f ca="1">IFERROR(__xludf.DUMMYFUNCTION("""COMPUTED_VALUE"""),"Digital Tech")</f>
        <v>Digital Tech</v>
      </c>
      <c r="D512" s="6" t="str">
        <f ca="1">IFERROR(__xludf.DUMMYFUNCTION("""COMPUTED_VALUE"""),"Borgo San Dalmazzo, CN 
Italy")</f>
        <v>Borgo San Dalmazzo, CN 
Italy</v>
      </c>
      <c r="E512" s="6" t="str">
        <f ca="1">IFERROR(__xludf.DUMMYFUNCTION("""COMPUTED_VALUE"""),"International - Europe")</f>
        <v>International - Europe</v>
      </c>
      <c r="F512" s="6" t="str">
        <f ca="1">IFERROR(__xludf.DUMMYFUNCTION("""COMPUTED_VALUE"""),"Man")</f>
        <v>Man</v>
      </c>
      <c r="G512" s="6" t="str">
        <f ca="1">IFERROR(__xludf.DUMMYFUNCTION("""COMPUTED_VALUE"""),"Man")</f>
        <v>Man</v>
      </c>
      <c r="H512" s="6"/>
      <c r="I512" s="6"/>
      <c r="J512" s="6"/>
      <c r="K512" s="6"/>
      <c r="L512" s="6" t="str">
        <f ca="1">IFERROR(__xludf.DUMMYFUNCTION("""COMPUTED_VALUE"""),"No")</f>
        <v>No</v>
      </c>
      <c r="M512" s="6"/>
      <c r="N512" s="6"/>
      <c r="O512" s="6" t="str">
        <f ca="1">IFERROR(__xludf.DUMMYFUNCTION("""COMPUTED_VALUE"""),"LinkedIn")</f>
        <v>LinkedIn</v>
      </c>
      <c r="P512" s="6"/>
      <c r="Q512" s="6" t="str">
        <f ca="1">IFERROR(__xludf.DUMMYFUNCTION("""COMPUTED_VALUE"""),"No")</f>
        <v>No</v>
      </c>
      <c r="R512" s="6">
        <f ca="1">IFERROR(__xludf.DUMMYFUNCTION("""COMPUTED_VALUE"""),2)</f>
        <v>2</v>
      </c>
      <c r="S512" s="6" t="str">
        <f ca="1">IFERROR(__xludf.DUMMYFUNCTION("""COMPUTED_VALUE"""),"Other: Angel Investment")</f>
        <v>Other: Angel Investment</v>
      </c>
      <c r="T512" s="6" t="str">
        <f ca="1">IFERROR(__xludf.DUMMYFUNCTION("""COMPUTED_VALUE"""),"Other: Angel Investment")</f>
        <v>Other: Angel Investment</v>
      </c>
      <c r="U512" s="6" t="str">
        <f ca="1">IFERROR(__xludf.DUMMYFUNCTION("""COMPUTED_VALUE"""),"Angel Investment")</f>
        <v>Angel Investment</v>
      </c>
      <c r="V512" s="6"/>
      <c r="W512" s="6" t="str">
        <f ca="1">IFERROR(__xludf.DUMMYFUNCTION("""COMPUTED_VALUE"""),"Invite Next Year")</f>
        <v>Invite Next Year</v>
      </c>
    </row>
    <row r="513" spans="1:23">
      <c r="A513" s="6" t="str">
        <f ca="1">IFERROR(__xludf.DUMMYFUNCTION("""COMPUTED_VALUE"""),"Man, Man, Man")</f>
        <v>Man, Man, Man</v>
      </c>
      <c r="B513" s="6" t="str">
        <f ca="1">IFERROR(__xludf.DUMMYFUNCTION("""COMPUTED_VALUE"""),"Doji _2022")</f>
        <v>Doji _2022</v>
      </c>
      <c r="C513" s="6" t="str">
        <f ca="1">IFERROR(__xludf.DUMMYFUNCTION("""COMPUTED_VALUE"""),"Digital Tech")</f>
        <v>Digital Tech</v>
      </c>
      <c r="D513" s="6" t="str">
        <f ca="1">IFERROR(__xludf.DUMMYFUNCTION("""COMPUTED_VALUE"""),"133 Glaisdale Drive West, Bilborough, Nottingham 
United Kingdom")</f>
        <v>133 Glaisdale Drive West, Bilborough, Nottingham 
United Kingdom</v>
      </c>
      <c r="E513" s="6" t="str">
        <f ca="1">IFERROR(__xludf.DUMMYFUNCTION("""COMPUTED_VALUE"""),"International - Europe")</f>
        <v>International - Europe</v>
      </c>
      <c r="F513" s="6" t="str">
        <f ca="1">IFERROR(__xludf.DUMMYFUNCTION("""COMPUTED_VALUE"""),"Man")</f>
        <v>Man</v>
      </c>
      <c r="G513" s="6" t="str">
        <f ca="1">IFERROR(__xludf.DUMMYFUNCTION("""COMPUTED_VALUE"""),"Man")</f>
        <v>Man</v>
      </c>
      <c r="H513" s="6" t="str">
        <f ca="1">IFERROR(__xludf.DUMMYFUNCTION("""COMPUTED_VALUE"""),"Man")</f>
        <v>Man</v>
      </c>
      <c r="I513" s="6"/>
      <c r="J513" s="6"/>
      <c r="K513" s="6"/>
      <c r="L513" s="6" t="str">
        <f ca="1">IFERROR(__xludf.DUMMYFUNCTION("""COMPUTED_VALUE"""),"No")</f>
        <v>No</v>
      </c>
      <c r="M513" s="6"/>
      <c r="N513" s="6"/>
      <c r="O513" s="6" t="str">
        <f ca="1">IFERROR(__xludf.DUMMYFUNCTION("""COMPUTED_VALUE"""),"Email")</f>
        <v>Email</v>
      </c>
      <c r="P513" s="6"/>
      <c r="Q513" s="6" t="str">
        <f ca="1">IFERROR(__xludf.DUMMYFUNCTION("""COMPUTED_VALUE"""),"No")</f>
        <v>No</v>
      </c>
      <c r="R513" s="6">
        <f ca="1">IFERROR(__xludf.DUMMYFUNCTION("""COMPUTED_VALUE"""),3)</f>
        <v>3</v>
      </c>
      <c r="S513" s="6" t="str">
        <f ca="1">IFERROR(__xludf.DUMMYFUNCTION("""COMPUTED_VALUE"""),"Pre-seed
Seed")</f>
        <v>Pre-seed
Seed</v>
      </c>
      <c r="T513" s="6" t="str">
        <f ca="1">IFERROR(__xludf.DUMMYFUNCTION("""COMPUTED_VALUE"""),"Pre-seed, Seed")</f>
        <v>Pre-seed, Seed</v>
      </c>
      <c r="U513" s="6" t="str">
        <f ca="1">IFERROR(__xludf.DUMMYFUNCTION("""COMPUTED_VALUE"""),"Pre-seed, Seed")</f>
        <v>Pre-seed, Seed</v>
      </c>
      <c r="V513" s="6"/>
      <c r="W513" s="6" t="str">
        <f ca="1">IFERROR(__xludf.DUMMYFUNCTION("""COMPUTED_VALUE"""),"Invite Next Year")</f>
        <v>Invite Next Year</v>
      </c>
    </row>
    <row r="514" spans="1:23">
      <c r="A514" s="6" t="str">
        <f ca="1">IFERROR(__xludf.DUMMYFUNCTION("""COMPUTED_VALUE"""),"Man, Man")</f>
        <v>Man, Man</v>
      </c>
      <c r="B514" s="6" t="str">
        <f ca="1">IFERROR(__xludf.DUMMYFUNCTION("""COMPUTED_VALUE"""),"Gomboc.ai _2022")</f>
        <v>Gomboc.ai _2022</v>
      </c>
      <c r="C514" s="6" t="str">
        <f ca="1">IFERROR(__xludf.DUMMYFUNCTION("""COMPUTED_VALUE"""),"Digital Tech")</f>
        <v>Digital Tech</v>
      </c>
      <c r="D514" s="6" t="str">
        <f ca="1">IFERROR(__xludf.DUMMYFUNCTION("""COMPUTED_VALUE"""),"New York, New York 
United States")</f>
        <v>New York, New York 
United States</v>
      </c>
      <c r="E514" s="6" t="str">
        <f ca="1">IFERROR(__xludf.DUMMYFUNCTION("""COMPUTED_VALUE"""),"New York")</f>
        <v>New York</v>
      </c>
      <c r="F514" s="6" t="str">
        <f ca="1">IFERROR(__xludf.DUMMYFUNCTION("""COMPUTED_VALUE"""),"Man")</f>
        <v>Man</v>
      </c>
      <c r="G514" s="6" t="str">
        <f ca="1">IFERROR(__xludf.DUMMYFUNCTION("""COMPUTED_VALUE"""),"Man")</f>
        <v>Man</v>
      </c>
      <c r="H514" s="6"/>
      <c r="I514" s="6"/>
      <c r="J514" s="6"/>
      <c r="K514" s="6"/>
      <c r="L514" s="6" t="str">
        <f ca="1">IFERROR(__xludf.DUMMYFUNCTION("""COMPUTED_VALUE"""),"No")</f>
        <v>No</v>
      </c>
      <c r="M514" s="6"/>
      <c r="N514" s="6"/>
      <c r="O514" s="6" t="str">
        <f ca="1">IFERROR(__xludf.DUMMYFUNCTION("""COMPUTED_VALUE"""),"Referral")</f>
        <v>Referral</v>
      </c>
      <c r="P514" s="6"/>
      <c r="Q514" s="6" t="str">
        <f ca="1">IFERROR(__xludf.DUMMYFUNCTION("""COMPUTED_VALUE"""),"No")</f>
        <v>No</v>
      </c>
      <c r="R514" s="6">
        <f ca="1">IFERROR(__xludf.DUMMYFUNCTION("""COMPUTED_VALUE"""),2)</f>
        <v>2</v>
      </c>
      <c r="S514" s="6" t="str">
        <f ca="1">IFERROR(__xludf.DUMMYFUNCTION("""COMPUTED_VALUE"""),"None")</f>
        <v>None</v>
      </c>
      <c r="T514" s="6" t="str">
        <f ca="1">IFERROR(__xludf.DUMMYFUNCTION("""COMPUTED_VALUE"""),"None")</f>
        <v>None</v>
      </c>
      <c r="U514" s="6" t="str">
        <f ca="1">IFERROR(__xludf.DUMMYFUNCTION("""COMPUTED_VALUE"""),"None")</f>
        <v>None</v>
      </c>
      <c r="V514" s="6"/>
      <c r="W514" s="6" t="str">
        <f ca="1">IFERROR(__xludf.DUMMYFUNCTION("""COMPUTED_VALUE"""),"Invite Next Year")</f>
        <v>Invite Next Year</v>
      </c>
    </row>
    <row r="515" spans="1:23">
      <c r="A515" s="6" t="str">
        <f ca="1">IFERROR(__xludf.DUMMYFUNCTION("""COMPUTED_VALUE"""),"Man")</f>
        <v>Man</v>
      </c>
      <c r="B515" s="6" t="str">
        <f ca="1">IFERROR(__xludf.DUMMYFUNCTION("""COMPUTED_VALUE"""),"Dealbook, Inc. _2022")</f>
        <v>Dealbook, Inc. _2022</v>
      </c>
      <c r="C515" s="6" t="str">
        <f ca="1">IFERROR(__xludf.DUMMYFUNCTION("""COMPUTED_VALUE"""),"Digital Tech")</f>
        <v>Digital Tech</v>
      </c>
      <c r="D515" s="6" t="str">
        <f ca="1">IFERROR(__xludf.DUMMYFUNCTION("""COMPUTED_VALUE"""),"San Diego, CA 
United States")</f>
        <v>San Diego, CA 
United States</v>
      </c>
      <c r="E515" s="6" t="str">
        <f ca="1">IFERROR(__xludf.DUMMYFUNCTION("""COMPUTED_VALUE"""),"West Coast")</f>
        <v>West Coast</v>
      </c>
      <c r="F515" s="6" t="str">
        <f ca="1">IFERROR(__xludf.DUMMYFUNCTION("""COMPUTED_VALUE"""),"Man")</f>
        <v>Man</v>
      </c>
      <c r="G515" s="6"/>
      <c r="H515" s="6"/>
      <c r="I515" s="6"/>
      <c r="J515" s="6"/>
      <c r="K515" s="6"/>
      <c r="L515" s="6" t="str">
        <f ca="1">IFERROR(__xludf.DUMMYFUNCTION("""COMPUTED_VALUE"""),"No")</f>
        <v>No</v>
      </c>
      <c r="M515" s="6"/>
      <c r="N515" s="6"/>
      <c r="O515" s="6" t="str">
        <f ca="1">IFERROR(__xludf.DUMMYFUNCTION("""COMPUTED_VALUE"""),"Email")</f>
        <v>Email</v>
      </c>
      <c r="P515" s="6"/>
      <c r="Q515" s="6" t="str">
        <f ca="1">IFERROR(__xludf.DUMMYFUNCTION("""COMPUTED_VALUE"""),"Yes")</f>
        <v>Yes</v>
      </c>
      <c r="R515" s="6">
        <f ca="1">IFERROR(__xludf.DUMMYFUNCTION("""COMPUTED_VALUE"""),1)</f>
        <v>1</v>
      </c>
      <c r="S515" s="6" t="str">
        <f ca="1">IFERROR(__xludf.DUMMYFUNCTION("""COMPUTED_VALUE"""),"Seed")</f>
        <v>Seed</v>
      </c>
      <c r="T515" s="6" t="str">
        <f ca="1">IFERROR(__xludf.DUMMYFUNCTION("""COMPUTED_VALUE"""),"Seed")</f>
        <v>Seed</v>
      </c>
      <c r="U515" s="6" t="str">
        <f ca="1">IFERROR(__xludf.DUMMYFUNCTION("""COMPUTED_VALUE"""),"Seed")</f>
        <v>Seed</v>
      </c>
      <c r="V515" s="6"/>
      <c r="W515" s="6" t="str">
        <f ca="1">IFERROR(__xludf.DUMMYFUNCTION("""COMPUTED_VALUE"""),"Invite Next Year")</f>
        <v>Invite Next Year</v>
      </c>
    </row>
    <row r="516" spans="1:23">
      <c r="A516" s="6" t="str">
        <f ca="1">IFERROR(__xludf.DUMMYFUNCTION("""COMPUTED_VALUE"""),"Man, Man")</f>
        <v>Man, Man</v>
      </c>
      <c r="B516" s="6" t="str">
        <f ca="1">IFERROR(__xludf.DUMMYFUNCTION("""COMPUTED_VALUE"""),"Selia _2022")</f>
        <v>Selia _2022</v>
      </c>
      <c r="C516" s="6" t="str">
        <f ca="1">IFERROR(__xludf.DUMMYFUNCTION("""COMPUTED_VALUE"""),"Digital Tech")</f>
        <v>Digital Tech</v>
      </c>
      <c r="D516" s="6" t="str">
        <f ca="1">IFERROR(__xludf.DUMMYFUNCTION("""COMPUTED_VALUE"""),"CLAYMONT, Delaware 
United States")</f>
        <v>CLAYMONT, Delaware 
United States</v>
      </c>
      <c r="E516" s="6" t="str">
        <f ca="1">IFERROR(__xludf.DUMMYFUNCTION("""COMPUTED_VALUE"""),"East Coast")</f>
        <v>East Coast</v>
      </c>
      <c r="F516" s="6" t="str">
        <f ca="1">IFERROR(__xludf.DUMMYFUNCTION("""COMPUTED_VALUE"""),"Man")</f>
        <v>Man</v>
      </c>
      <c r="G516" s="6" t="str">
        <f ca="1">IFERROR(__xludf.DUMMYFUNCTION("""COMPUTED_VALUE"""),"Man")</f>
        <v>Man</v>
      </c>
      <c r="H516" s="6"/>
      <c r="I516" s="6"/>
      <c r="J516" s="6"/>
      <c r="K516" s="6"/>
      <c r="L516" s="6" t="str">
        <f ca="1">IFERROR(__xludf.DUMMYFUNCTION("""COMPUTED_VALUE"""),"--Please select--")</f>
        <v>--Please select--</v>
      </c>
      <c r="M516" s="6"/>
      <c r="N516" s="6"/>
      <c r="O516" s="6" t="str">
        <f ca="1">IFERROR(__xludf.DUMMYFUNCTION("""COMPUTED_VALUE"""),"Email")</f>
        <v>Email</v>
      </c>
      <c r="P516" s="6"/>
      <c r="Q516" s="6" t="str">
        <f ca="1">IFERROR(__xludf.DUMMYFUNCTION("""COMPUTED_VALUE"""),"No")</f>
        <v>No</v>
      </c>
      <c r="R516" s="6">
        <f ca="1">IFERROR(__xludf.DUMMYFUNCTION("""COMPUTED_VALUE"""),2)</f>
        <v>2</v>
      </c>
      <c r="S516" s="6" t="str">
        <f ca="1">IFERROR(__xludf.DUMMYFUNCTION("""COMPUTED_VALUE"""),"Seed")</f>
        <v>Seed</v>
      </c>
      <c r="T516" s="6" t="str">
        <f ca="1">IFERROR(__xludf.DUMMYFUNCTION("""COMPUTED_VALUE"""),"Seed")</f>
        <v>Seed</v>
      </c>
      <c r="U516" s="6" t="str">
        <f ca="1">IFERROR(__xludf.DUMMYFUNCTION("""COMPUTED_VALUE"""),"Seed")</f>
        <v>Seed</v>
      </c>
      <c r="V516" s="6"/>
      <c r="W516" s="6" t="str">
        <f ca="1">IFERROR(__xludf.DUMMYFUNCTION("""COMPUTED_VALUE"""),"Invite")</f>
        <v>Invite</v>
      </c>
    </row>
    <row r="517" spans="1:23">
      <c r="A517" s="6" t="str">
        <f ca="1">IFERROR(__xludf.DUMMYFUNCTION("""COMPUTED_VALUE"""),"Man")</f>
        <v>Man</v>
      </c>
      <c r="B517" s="6" t="str">
        <f ca="1">IFERROR(__xludf.DUMMYFUNCTION("""COMPUTED_VALUE"""),"Gembridge Pte Ltd _2022")</f>
        <v>Gembridge Pte Ltd _2022</v>
      </c>
      <c r="C517" s="6" t="str">
        <f ca="1">IFERROR(__xludf.DUMMYFUNCTION("""COMPUTED_VALUE"""),"Digital Tech")</f>
        <v>Digital Tech</v>
      </c>
      <c r="D517" s="6" t="str">
        <f ca="1">IFERROR(__xludf.DUMMYFUNCTION("""COMPUTED_VALUE"""),"150 Cecil Street #03-02, Singapore 069543 
Singapore")</f>
        <v>150 Cecil Street #03-02, Singapore 069543 
Singapore</v>
      </c>
      <c r="E517" s="6" t="str">
        <f ca="1">IFERROR(__xludf.DUMMYFUNCTION("""COMPUTED_VALUE"""),"International - Asia")</f>
        <v>International - Asia</v>
      </c>
      <c r="F517" s="6" t="str">
        <f ca="1">IFERROR(__xludf.DUMMYFUNCTION("""COMPUTED_VALUE"""),"Man")</f>
        <v>Man</v>
      </c>
      <c r="G517" s="6"/>
      <c r="H517" s="6"/>
      <c r="I517" s="6"/>
      <c r="J517" s="6"/>
      <c r="K517" s="6"/>
      <c r="L517" s="6" t="str">
        <f ca="1">IFERROR(__xludf.DUMMYFUNCTION("""COMPUTED_VALUE"""),"--Please select--")</f>
        <v>--Please select--</v>
      </c>
      <c r="M517" s="6"/>
      <c r="N517" s="6"/>
      <c r="O517" s="6" t="str">
        <f ca="1">IFERROR(__xludf.DUMMYFUNCTION("""COMPUTED_VALUE"""),"Email")</f>
        <v>Email</v>
      </c>
      <c r="P517" s="6"/>
      <c r="Q517" s="6" t="str">
        <f ca="1">IFERROR(__xludf.DUMMYFUNCTION("""COMPUTED_VALUE"""),"No")</f>
        <v>No</v>
      </c>
      <c r="R517" s="6">
        <f ca="1">IFERROR(__xludf.DUMMYFUNCTION("""COMPUTED_VALUE"""),1)</f>
        <v>1</v>
      </c>
      <c r="S517" s="6" t="str">
        <f ca="1">IFERROR(__xludf.DUMMYFUNCTION("""COMPUTED_VALUE"""),"Pre-seed
Seed
Series A
Other: Our Series A round is US$5 mn. Gembridge has raised an initial US$1.17 mn in our Series A round in April 2022 at a pre-money valuation of US$20 mn. We want to complete the round by raising US$3.83 mn.")</f>
        <v>Pre-seed
Seed
Series A
Other: Our Series A round is US$5 mn. Gembridge has raised an initial US$1.17 mn in our Series A round in April 2022 at a pre-money valuation of US$20 mn. We want to complete the round by raising US$3.83 mn.</v>
      </c>
      <c r="T517" s="6" t="str">
        <f ca="1">IFERROR(__xludf.DUMMYFUNCTION("""COMPUTED_VALUE"""),"Pre-seed, Seed, Series A, Other: Our Series A round is US$5 mn. Gembridge has raised an initial US$1.17 mn in our Series A round in April 2022 at a pre-money valuation of US$20 mn. We want to complete the round by raising US$3.83 mn.")</f>
        <v>Pre-seed, Seed, Series A, Other: Our Series A round is US$5 mn. Gembridge has raised an initial US$1.17 mn in our Series A round in April 2022 at a pre-money valuation of US$20 mn. We want to complete the round by raising US$3.83 mn.</v>
      </c>
      <c r="U517" s="6" t="str">
        <f ca="1">IFERROR(__xludf.DUMMYFUNCTION("""COMPUTED_VALUE"""),"Pre-seed, Seed, Series A, ")</f>
        <v xml:space="preserve">Pre-seed, Seed, Series A, </v>
      </c>
      <c r="V517" s="6" t="str">
        <f ca="1">IFERROR(__xludf.DUMMYFUNCTION("""COMPUTED_VALUE"""),"Our Series A round is US$5 mn. Gembridge has raised an initial US$1.17 mn in our Series A round in April 2022 at a pre-money valuation of US$20 mn. We want to complete the round by raising US$3.83 mn.")</f>
        <v>Our Series A round is US$5 mn. Gembridge has raised an initial US$1.17 mn in our Series A round in April 2022 at a pre-money valuation of US$20 mn. We want to complete the round by raising US$3.83 mn.</v>
      </c>
      <c r="W517" s="6" t="str">
        <f ca="1">IFERROR(__xludf.DUMMYFUNCTION("""COMPUTED_VALUE"""),"Invite Next Year")</f>
        <v>Invite Next Year</v>
      </c>
    </row>
    <row r="518" spans="1:23">
      <c r="A518" s="6" t="str">
        <f ca="1">IFERROR(__xludf.DUMMYFUNCTION("""COMPUTED_VALUE"""),"Man, Man")</f>
        <v>Man, Man</v>
      </c>
      <c r="B518" s="6" t="str">
        <f ca="1">IFERROR(__xludf.DUMMYFUNCTION("""COMPUTED_VALUE"""),"Vinum Collection _2022")</f>
        <v>Vinum Collection _2022</v>
      </c>
      <c r="C518" s="6" t="str">
        <f ca="1">IFERROR(__xludf.DUMMYFUNCTION("""COMPUTED_VALUE"""),"Digital Tech")</f>
        <v>Digital Tech</v>
      </c>
      <c r="D518" s="6" t="str">
        <f ca="1">IFERROR(__xludf.DUMMYFUNCTION("""COMPUTED_VALUE"""),"Tbilisi, Tbilisi 
Georgia")</f>
        <v>Tbilisi, Tbilisi 
Georgia</v>
      </c>
      <c r="E518" s="6" t="str">
        <f ca="1">IFERROR(__xludf.DUMMYFUNCTION("""COMPUTED_VALUE"""),"International - Europe")</f>
        <v>International - Europe</v>
      </c>
      <c r="F518" s="6" t="str">
        <f ca="1">IFERROR(__xludf.DUMMYFUNCTION("""COMPUTED_VALUE"""),"Man")</f>
        <v>Man</v>
      </c>
      <c r="G518" s="6" t="str">
        <f ca="1">IFERROR(__xludf.DUMMYFUNCTION("""COMPUTED_VALUE"""),"Man")</f>
        <v>Man</v>
      </c>
      <c r="H518" s="6"/>
      <c r="I518" s="6"/>
      <c r="J518" s="6"/>
      <c r="K518" s="6"/>
      <c r="L518" s="6" t="str">
        <f ca="1">IFERROR(__xludf.DUMMYFUNCTION("""COMPUTED_VALUE"""),"--Please select--")</f>
        <v>--Please select--</v>
      </c>
      <c r="M518" s="6"/>
      <c r="N518" s="6"/>
      <c r="O518" s="6" t="str">
        <f ca="1">IFERROR(__xludf.DUMMYFUNCTION("""COMPUTED_VALUE"""),"NYU Newsletter")</f>
        <v>NYU Newsletter</v>
      </c>
      <c r="P518" s="6"/>
      <c r="Q518" s="6" t="str">
        <f ca="1">IFERROR(__xludf.DUMMYFUNCTION("""COMPUTED_VALUE"""),"No")</f>
        <v>No</v>
      </c>
      <c r="R518" s="6">
        <f ca="1">IFERROR(__xludf.DUMMYFUNCTION("""COMPUTED_VALUE"""),2)</f>
        <v>2</v>
      </c>
      <c r="S518" s="6" t="str">
        <f ca="1">IFERROR(__xludf.DUMMYFUNCTION("""COMPUTED_VALUE"""),"None")</f>
        <v>None</v>
      </c>
      <c r="T518" s="6" t="str">
        <f ca="1">IFERROR(__xludf.DUMMYFUNCTION("""COMPUTED_VALUE"""),"None")</f>
        <v>None</v>
      </c>
      <c r="U518" s="6" t="str">
        <f ca="1">IFERROR(__xludf.DUMMYFUNCTION("""COMPUTED_VALUE"""),"None")</f>
        <v>None</v>
      </c>
      <c r="V518" s="6"/>
      <c r="W518" s="6" t="str">
        <f ca="1">IFERROR(__xludf.DUMMYFUNCTION("""COMPUTED_VALUE"""),"Invite Next Year")</f>
        <v>Invite Next Year</v>
      </c>
    </row>
    <row r="519" spans="1:23">
      <c r="A519" s="6" t="str">
        <f ca="1">IFERROR(__xludf.DUMMYFUNCTION("""COMPUTED_VALUE"""),"Woman, Woman, Woman")</f>
        <v>Woman, Woman, Woman</v>
      </c>
      <c r="B519" s="6" t="str">
        <f ca="1">IFERROR(__xludf.DUMMYFUNCTION("""COMPUTED_VALUE"""),"Vinco _2022")</f>
        <v>Vinco _2022</v>
      </c>
      <c r="C519" s="6" t="str">
        <f ca="1">IFERROR(__xludf.DUMMYFUNCTION("""COMPUTED_VALUE"""),"Digital Tech")</f>
        <v>Digital Tech</v>
      </c>
      <c r="D519" s="6" t="str">
        <f ca="1">IFERROR(__xludf.DUMMYFUNCTION("""COMPUTED_VALUE"""),"Monterrey, Nuevo León 
Mexico")</f>
        <v>Monterrey, Nuevo León 
Mexico</v>
      </c>
      <c r="E519" s="6" t="str">
        <f ca="1">IFERROR(__xludf.DUMMYFUNCTION("""COMPUTED_VALUE"""),"International - Americas")</f>
        <v>International - Americas</v>
      </c>
      <c r="F519" s="6" t="str">
        <f ca="1">IFERROR(__xludf.DUMMYFUNCTION("""COMPUTED_VALUE"""),"Woman")</f>
        <v>Woman</v>
      </c>
      <c r="G519" s="6" t="str">
        <f ca="1">IFERROR(__xludf.DUMMYFUNCTION("""COMPUTED_VALUE"""),"Woman")</f>
        <v>Woman</v>
      </c>
      <c r="H519" s="6" t="str">
        <f ca="1">IFERROR(__xludf.DUMMYFUNCTION("""COMPUTED_VALUE"""),"Woman")</f>
        <v>Woman</v>
      </c>
      <c r="I519" s="6"/>
      <c r="J519" s="6"/>
      <c r="K519" s="6"/>
      <c r="L519" s="6" t="str">
        <f ca="1">IFERROR(__xludf.DUMMYFUNCTION("""COMPUTED_VALUE"""),"No")</f>
        <v>No</v>
      </c>
      <c r="M519" s="6"/>
      <c r="N519" s="6"/>
      <c r="O519" s="6" t="str">
        <f ca="1">IFERROR(__xludf.DUMMYFUNCTION("""COMPUTED_VALUE"""),"Email")</f>
        <v>Email</v>
      </c>
      <c r="P519" s="6"/>
      <c r="Q519" s="6" t="str">
        <f ca="1">IFERROR(__xludf.DUMMYFUNCTION("""COMPUTED_VALUE"""),"No")</f>
        <v>No</v>
      </c>
      <c r="R519" s="6">
        <f ca="1">IFERROR(__xludf.DUMMYFUNCTION("""COMPUTED_VALUE"""),3)</f>
        <v>3</v>
      </c>
      <c r="S519" s="6" t="str">
        <f ca="1">IFERROR(__xludf.DUMMYFUNCTION("""COMPUTED_VALUE"""),"Seed")</f>
        <v>Seed</v>
      </c>
      <c r="T519" s="6" t="str">
        <f ca="1">IFERROR(__xludf.DUMMYFUNCTION("""COMPUTED_VALUE"""),"Seed")</f>
        <v>Seed</v>
      </c>
      <c r="U519" s="6" t="str">
        <f ca="1">IFERROR(__xludf.DUMMYFUNCTION("""COMPUTED_VALUE"""),"Seed")</f>
        <v>Seed</v>
      </c>
      <c r="V519" s="6"/>
      <c r="W519" s="6" t="str">
        <f ca="1">IFERROR(__xludf.DUMMYFUNCTION("""COMPUTED_VALUE"""),"Invite Next Year")</f>
        <v>Invite Next Year</v>
      </c>
    </row>
    <row r="520" spans="1:23">
      <c r="A520" s="6" t="str">
        <f ca="1">IFERROR(__xludf.DUMMYFUNCTION("""COMPUTED_VALUE"""),"Woman, Woman, Man")</f>
        <v>Woman, Woman, Man</v>
      </c>
      <c r="B520" s="6" t="str">
        <f ca="1">IFERROR(__xludf.DUMMYFUNCTION("""COMPUTED_VALUE"""),"KARI _2022")</f>
        <v>KARI _2022</v>
      </c>
      <c r="C520" s="6" t="str">
        <f ca="1">IFERROR(__xludf.DUMMYFUNCTION("""COMPUTED_VALUE"""),"Digital Tech")</f>
        <v>Digital Tech</v>
      </c>
      <c r="D520" s="6" t="str">
        <f ca="1">IFERROR(__xludf.DUMMYFUNCTION("""COMPUTED_VALUE"""),"rabat, Rabat-Salé-Kénitra 
United States")</f>
        <v>rabat, Rabat-Salé-Kénitra 
United States</v>
      </c>
      <c r="E520" s="6" t="str">
        <f ca="1">IFERROR(__xludf.DUMMYFUNCTION("""COMPUTED_VALUE"""),"International - Other")</f>
        <v>International - Other</v>
      </c>
      <c r="F520" s="6" t="str">
        <f ca="1">IFERROR(__xludf.DUMMYFUNCTION("""COMPUTED_VALUE"""),"Woman")</f>
        <v>Woman</v>
      </c>
      <c r="G520" s="6" t="str">
        <f ca="1">IFERROR(__xludf.DUMMYFUNCTION("""COMPUTED_VALUE"""),"Woman")</f>
        <v>Woman</v>
      </c>
      <c r="H520" s="6" t="str">
        <f ca="1">IFERROR(__xludf.DUMMYFUNCTION("""COMPUTED_VALUE"""),"Man")</f>
        <v>Man</v>
      </c>
      <c r="I520" s="6"/>
      <c r="J520" s="6"/>
      <c r="K520" s="6"/>
      <c r="L520" s="6" t="str">
        <f ca="1">IFERROR(__xludf.DUMMYFUNCTION("""COMPUTED_VALUE"""),"Yes")</f>
        <v>Yes</v>
      </c>
      <c r="M520" s="6" t="str">
        <f ca="1">IFERROR(__xludf.DUMMYFUNCTION("""COMPUTED_VALUE"""),"NYU Student")</f>
        <v>NYU Student</v>
      </c>
      <c r="N520" s="6"/>
      <c r="O520" s="6" t="str">
        <f ca="1">IFERROR(__xludf.DUMMYFUNCTION("""COMPUTED_VALUE"""),"NYU Newsletter")</f>
        <v>NYU Newsletter</v>
      </c>
      <c r="P520" s="6"/>
      <c r="Q520" s="6" t="str">
        <f ca="1">IFERROR(__xludf.DUMMYFUNCTION("""COMPUTED_VALUE"""),"No")</f>
        <v>No</v>
      </c>
      <c r="R520" s="6">
        <f ca="1">IFERROR(__xludf.DUMMYFUNCTION("""COMPUTED_VALUE"""),3)</f>
        <v>3</v>
      </c>
      <c r="S520" s="6" t="str">
        <f ca="1">IFERROR(__xludf.DUMMYFUNCTION("""COMPUTED_VALUE"""),"None")</f>
        <v>None</v>
      </c>
      <c r="T520" s="6" t="str">
        <f ca="1">IFERROR(__xludf.DUMMYFUNCTION("""COMPUTED_VALUE"""),"None")</f>
        <v>None</v>
      </c>
      <c r="U520" s="6" t="str">
        <f ca="1">IFERROR(__xludf.DUMMYFUNCTION("""COMPUTED_VALUE"""),"None")</f>
        <v>None</v>
      </c>
      <c r="V520" s="6"/>
      <c r="W520" s="6" t="str">
        <f ca="1">IFERROR(__xludf.DUMMYFUNCTION("""COMPUTED_VALUE"""),"Invite Next Year")</f>
        <v>Invite Next Year</v>
      </c>
    </row>
    <row r="521" spans="1:23">
      <c r="A521" s="6" t="str">
        <f ca="1">IFERROR(__xludf.DUMMYFUNCTION("""COMPUTED_VALUE"""),"Woman")</f>
        <v>Woman</v>
      </c>
      <c r="B521" s="6" t="str">
        <f ca="1">IFERROR(__xludf.DUMMYFUNCTION("""COMPUTED_VALUE"""),"MAE  _2022")</f>
        <v>MAE  _2022</v>
      </c>
      <c r="C521" s="6" t="str">
        <f ca="1">IFERROR(__xludf.DUMMYFUNCTION("""COMPUTED_VALUE"""),"Digital Tech")</f>
        <v>Digital Tech</v>
      </c>
      <c r="D521" s="6" t="str">
        <f ca="1">IFERROR(__xludf.DUMMYFUNCTION("""COMPUTED_VALUE"""),"Buenos Aires, Capital Federal 
Argentina")</f>
        <v>Buenos Aires, Capital Federal 
Argentina</v>
      </c>
      <c r="E521" s="6" t="str">
        <f ca="1">IFERROR(__xludf.DUMMYFUNCTION("""COMPUTED_VALUE"""),"International - Americas")</f>
        <v>International - Americas</v>
      </c>
      <c r="F521" s="6" t="str">
        <f ca="1">IFERROR(__xludf.DUMMYFUNCTION("""COMPUTED_VALUE"""),"Woman")</f>
        <v>Woman</v>
      </c>
      <c r="G521" s="6"/>
      <c r="H521" s="6"/>
      <c r="I521" s="6"/>
      <c r="J521" s="6"/>
      <c r="K521" s="6"/>
      <c r="L521" s="6" t="str">
        <f ca="1">IFERROR(__xludf.DUMMYFUNCTION("""COMPUTED_VALUE"""),"No")</f>
        <v>No</v>
      </c>
      <c r="M521" s="6"/>
      <c r="N521" s="6"/>
      <c r="O521" s="6" t="str">
        <f ca="1">IFERROR(__xludf.DUMMYFUNCTION("""COMPUTED_VALUE"""),"Referral")</f>
        <v>Referral</v>
      </c>
      <c r="P521" s="6"/>
      <c r="Q521" s="6" t="str">
        <f ca="1">IFERROR(__xludf.DUMMYFUNCTION("""COMPUTED_VALUE"""),"No")</f>
        <v>No</v>
      </c>
      <c r="R521" s="6">
        <f ca="1">IFERROR(__xludf.DUMMYFUNCTION("""COMPUTED_VALUE"""),1)</f>
        <v>1</v>
      </c>
      <c r="S521" s="6" t="str">
        <f ca="1">IFERROR(__xludf.DUMMYFUNCTION("""COMPUTED_VALUE"""),"None")</f>
        <v>None</v>
      </c>
      <c r="T521" s="6" t="str">
        <f ca="1">IFERROR(__xludf.DUMMYFUNCTION("""COMPUTED_VALUE"""),"None")</f>
        <v>None</v>
      </c>
      <c r="U521" s="6" t="str">
        <f ca="1">IFERROR(__xludf.DUMMYFUNCTION("""COMPUTED_VALUE"""),"None")</f>
        <v>None</v>
      </c>
      <c r="V521" s="6"/>
      <c r="W521" s="6" t="str">
        <f ca="1">IFERROR(__xludf.DUMMYFUNCTION("""COMPUTED_VALUE"""),"Invite Next Year")</f>
        <v>Invite Next Year</v>
      </c>
    </row>
    <row r="522" spans="1:23">
      <c r="A522" s="6" t="str">
        <f ca="1">IFERROR(__xludf.DUMMYFUNCTION("""COMPUTED_VALUE"""),"Man, Man")</f>
        <v>Man, Man</v>
      </c>
      <c r="B522" s="6" t="str">
        <f ca="1">IFERROR(__xludf.DUMMYFUNCTION("""COMPUTED_VALUE"""),"TakeOne _2022")</f>
        <v>TakeOne _2022</v>
      </c>
      <c r="C522" s="6" t="str">
        <f ca="1">IFERROR(__xludf.DUMMYFUNCTION("""COMPUTED_VALUE"""),"Digital Tech")</f>
        <v>Digital Tech</v>
      </c>
      <c r="D522" s="6" t="str">
        <f ca="1">IFERROR(__xludf.DUMMYFUNCTION("""COMPUTED_VALUE"""),"220 E 14th st. 3F, NY 
United States")</f>
        <v>220 E 14th st. 3F, NY 
United States</v>
      </c>
      <c r="E522" s="6" t="str">
        <f ca="1">IFERROR(__xludf.DUMMYFUNCTION("""COMPUTED_VALUE"""),"New York")</f>
        <v>New York</v>
      </c>
      <c r="F522" s="6" t="str">
        <f ca="1">IFERROR(__xludf.DUMMYFUNCTION("""COMPUTED_VALUE"""),"Man")</f>
        <v>Man</v>
      </c>
      <c r="G522" s="6" t="str">
        <f ca="1">IFERROR(__xludf.DUMMYFUNCTION("""COMPUTED_VALUE"""),"Man")</f>
        <v>Man</v>
      </c>
      <c r="H522" s="6"/>
      <c r="I522" s="6"/>
      <c r="J522" s="6"/>
      <c r="K522" s="6"/>
      <c r="L522" s="6" t="str">
        <f ca="1">IFERROR(__xludf.DUMMYFUNCTION("""COMPUTED_VALUE"""),"Yes")</f>
        <v>Yes</v>
      </c>
      <c r="M522" s="6" t="str">
        <f ca="1">IFERROR(__xludf.DUMMYFUNCTION("""COMPUTED_VALUE"""),"NYU Alumni")</f>
        <v>NYU Alumni</v>
      </c>
      <c r="N522" s="6"/>
      <c r="O522" s="6" t="str">
        <f ca="1">IFERROR(__xludf.DUMMYFUNCTION("""COMPUTED_VALUE"""),"Email")</f>
        <v>Email</v>
      </c>
      <c r="P522" s="6"/>
      <c r="Q522" s="6" t="str">
        <f ca="1">IFERROR(__xludf.DUMMYFUNCTION("""COMPUTED_VALUE"""),"No")</f>
        <v>No</v>
      </c>
      <c r="R522" s="6">
        <f ca="1">IFERROR(__xludf.DUMMYFUNCTION("""COMPUTED_VALUE"""),2)</f>
        <v>2</v>
      </c>
      <c r="S522" s="6" t="str">
        <f ca="1">IFERROR(__xludf.DUMMYFUNCTION("""COMPUTED_VALUE"""),"Pre-seed")</f>
        <v>Pre-seed</v>
      </c>
      <c r="T522" s="6" t="str">
        <f ca="1">IFERROR(__xludf.DUMMYFUNCTION("""COMPUTED_VALUE"""),"Pre-seed")</f>
        <v>Pre-seed</v>
      </c>
      <c r="U522" s="6" t="str">
        <f ca="1">IFERROR(__xludf.DUMMYFUNCTION("""COMPUTED_VALUE"""),"Pre-seed")</f>
        <v>Pre-seed</v>
      </c>
      <c r="V522" s="6"/>
      <c r="W522" s="6" t="str">
        <f ca="1">IFERROR(__xludf.DUMMYFUNCTION("""COMPUTED_VALUE"""),"Invite")</f>
        <v>Invite</v>
      </c>
    </row>
    <row r="523" spans="1:23">
      <c r="A523" s="6" t="str">
        <f ca="1">IFERROR(__xludf.DUMMYFUNCTION("""COMPUTED_VALUE"""),"Man, Man, Man, Woman")</f>
        <v>Man, Man, Man, Woman</v>
      </c>
      <c r="B523" s="6" t="str">
        <f ca="1">IFERROR(__xludf.DUMMYFUNCTION("""COMPUTED_VALUE"""),"PEGASI INTERNATIONAL, INC. _2022")</f>
        <v>PEGASI INTERNATIONAL, INC. _2022</v>
      </c>
      <c r="C523" s="6" t="str">
        <f ca="1">IFERROR(__xludf.DUMMYFUNCTION("""COMPUTED_VALUE"""),"Life Sciences")</f>
        <v>Life Sciences</v>
      </c>
      <c r="D523" s="6" t="str">
        <f ca="1">IFERROR(__xludf.DUMMYFUNCTION("""COMPUTED_VALUE"""),"112 CAPITOL TRAIL, NEWARK, DELAWARE 
United States")</f>
        <v>112 CAPITOL TRAIL, NEWARK, DELAWARE 
United States</v>
      </c>
      <c r="E523" s="6" t="str">
        <f ca="1">IFERROR(__xludf.DUMMYFUNCTION("""COMPUTED_VALUE"""),"East Coast")</f>
        <v>East Coast</v>
      </c>
      <c r="F523" s="6" t="str">
        <f ca="1">IFERROR(__xludf.DUMMYFUNCTION("""COMPUTED_VALUE"""),"Man")</f>
        <v>Man</v>
      </c>
      <c r="G523" s="6" t="str">
        <f ca="1">IFERROR(__xludf.DUMMYFUNCTION("""COMPUTED_VALUE"""),"Man")</f>
        <v>Man</v>
      </c>
      <c r="H523" s="6" t="str">
        <f ca="1">IFERROR(__xludf.DUMMYFUNCTION("""COMPUTED_VALUE"""),"Man")</f>
        <v>Man</v>
      </c>
      <c r="I523" s="6" t="str">
        <f ca="1">IFERROR(__xludf.DUMMYFUNCTION("""COMPUTED_VALUE"""),"Woman")</f>
        <v>Woman</v>
      </c>
      <c r="J523" s="6"/>
      <c r="K523" s="6"/>
      <c r="L523" s="6" t="str">
        <f ca="1">IFERROR(__xludf.DUMMYFUNCTION("""COMPUTED_VALUE"""),"No")</f>
        <v>No</v>
      </c>
      <c r="M523" s="6"/>
      <c r="N523" s="6"/>
      <c r="O523" s="6" t="str">
        <f ca="1">IFERROR(__xludf.DUMMYFUNCTION("""COMPUTED_VALUE"""),"Email")</f>
        <v>Email</v>
      </c>
      <c r="P523" s="6"/>
      <c r="Q523" s="6" t="str">
        <f ca="1">IFERROR(__xludf.DUMMYFUNCTION("""COMPUTED_VALUE"""),"No")</f>
        <v>No</v>
      </c>
      <c r="R523" s="6">
        <f ca="1">IFERROR(__xludf.DUMMYFUNCTION("""COMPUTED_VALUE"""),4)</f>
        <v>4</v>
      </c>
      <c r="S523" s="6" t="str">
        <f ca="1">IFERROR(__xludf.DUMMYFUNCTION("""COMPUTED_VALUE"""),"Pre-seed
Grants")</f>
        <v>Pre-seed
Grants</v>
      </c>
      <c r="T523" s="6" t="str">
        <f ca="1">IFERROR(__xludf.DUMMYFUNCTION("""COMPUTED_VALUE"""),"Pre-seed, Grants")</f>
        <v>Pre-seed, Grants</v>
      </c>
      <c r="U523" s="6" t="str">
        <f ca="1">IFERROR(__xludf.DUMMYFUNCTION("""COMPUTED_VALUE"""),"Pre-seed, Grants")</f>
        <v>Pre-seed, Grants</v>
      </c>
      <c r="V523" s="6"/>
      <c r="W523" s="6" t="str">
        <f ca="1">IFERROR(__xludf.DUMMYFUNCTION("""COMPUTED_VALUE"""),"Invite Next Year")</f>
        <v>Invite Next Year</v>
      </c>
    </row>
    <row r="524" spans="1:23">
      <c r="A524" s="6" t="str">
        <f ca="1">IFERROR(__xludf.DUMMYFUNCTION("""COMPUTED_VALUE"""),"Man, Man, Man, Man")</f>
        <v>Man, Man, Man, Man</v>
      </c>
      <c r="B524" s="6" t="str">
        <f ca="1">IFERROR(__xludf.DUMMYFUNCTION("""COMPUTED_VALUE"""),"Say Ha _2022")</f>
        <v>Say Ha _2022</v>
      </c>
      <c r="C524" s="6" t="str">
        <f ca="1">IFERROR(__xludf.DUMMYFUNCTION("""COMPUTED_VALUE"""),"Life Sciences")</f>
        <v>Life Sciences</v>
      </c>
      <c r="D524" s="6" t="str">
        <f ca="1">IFERROR(__xludf.DUMMYFUNCTION("""COMPUTED_VALUE"""),"530 2nd ave, 2B, New York 
United States")</f>
        <v>530 2nd ave, 2B, New York 
United States</v>
      </c>
      <c r="E524" s="6" t="str">
        <f ca="1">IFERROR(__xludf.DUMMYFUNCTION("""COMPUTED_VALUE"""),"New York")</f>
        <v>New York</v>
      </c>
      <c r="F524" s="6" t="str">
        <f ca="1">IFERROR(__xludf.DUMMYFUNCTION("""COMPUTED_VALUE"""),"Man")</f>
        <v>Man</v>
      </c>
      <c r="G524" s="6" t="str">
        <f ca="1">IFERROR(__xludf.DUMMYFUNCTION("""COMPUTED_VALUE"""),"Man")</f>
        <v>Man</v>
      </c>
      <c r="H524" s="6" t="str">
        <f ca="1">IFERROR(__xludf.DUMMYFUNCTION("""COMPUTED_VALUE"""),"Man")</f>
        <v>Man</v>
      </c>
      <c r="I524" s="6" t="str">
        <f ca="1">IFERROR(__xludf.DUMMYFUNCTION("""COMPUTED_VALUE"""),"Man")</f>
        <v>Man</v>
      </c>
      <c r="J524" s="6"/>
      <c r="K524" s="6"/>
      <c r="L524" s="6" t="str">
        <f ca="1">IFERROR(__xludf.DUMMYFUNCTION("""COMPUTED_VALUE"""),"Yes")</f>
        <v>Yes</v>
      </c>
      <c r="M524" s="6" t="str">
        <f ca="1">IFERROR(__xludf.DUMMYFUNCTION("""COMPUTED_VALUE"""),"NYU Alumni")</f>
        <v>NYU Alumni</v>
      </c>
      <c r="N524" s="6"/>
      <c r="O524" s="6" t="str">
        <f ca="1">IFERROR(__xludf.DUMMYFUNCTION("""COMPUTED_VALUE"""),"Referral")</f>
        <v>Referral</v>
      </c>
      <c r="P524" s="6"/>
      <c r="Q524" s="6" t="str">
        <f ca="1">IFERROR(__xludf.DUMMYFUNCTION("""COMPUTED_VALUE"""),"No")</f>
        <v>No</v>
      </c>
      <c r="R524" s="6">
        <f ca="1">IFERROR(__xludf.DUMMYFUNCTION("""COMPUTED_VALUE"""),4)</f>
        <v>4</v>
      </c>
      <c r="S524" s="6" t="str">
        <f ca="1">IFERROR(__xludf.DUMMYFUNCTION("""COMPUTED_VALUE"""),"None")</f>
        <v>None</v>
      </c>
      <c r="T524" s="6" t="str">
        <f ca="1">IFERROR(__xludf.DUMMYFUNCTION("""COMPUTED_VALUE"""),"None")</f>
        <v>None</v>
      </c>
      <c r="U524" s="6" t="str">
        <f ca="1">IFERROR(__xludf.DUMMYFUNCTION("""COMPUTED_VALUE"""),"None")</f>
        <v>None</v>
      </c>
      <c r="V524" s="6"/>
      <c r="W524" s="6" t="str">
        <f ca="1">IFERROR(__xludf.DUMMYFUNCTION("""COMPUTED_VALUE"""),"Invite Next Year")</f>
        <v>Invite Next Year</v>
      </c>
    </row>
    <row r="525" spans="1:23">
      <c r="A525" s="6" t="str">
        <f ca="1">IFERROR(__xludf.DUMMYFUNCTION("""COMPUTED_VALUE"""),"Man, Man, Man, Man")</f>
        <v>Man, Man, Man, Man</v>
      </c>
      <c r="B525" s="6" t="str">
        <f ca="1">IFERROR(__xludf.DUMMYFUNCTION("""COMPUTED_VALUE"""),"Revolute Robotics _2022")</f>
        <v>Revolute Robotics _2022</v>
      </c>
      <c r="C525" s="6" t="str">
        <f ca="1">IFERROR(__xludf.DUMMYFUNCTION("""COMPUTED_VALUE"""),"Deep Tech")</f>
        <v>Deep Tech</v>
      </c>
      <c r="D525" s="6" t="str">
        <f ca="1">IFERROR(__xludf.DUMMYFUNCTION("""COMPUTED_VALUE"""),"Scottsdale, Az 
United States")</f>
        <v>Scottsdale, Az 
United States</v>
      </c>
      <c r="E525" s="6" t="str">
        <f ca="1">IFERROR(__xludf.DUMMYFUNCTION("""COMPUTED_VALUE"""),"West")</f>
        <v>West</v>
      </c>
      <c r="F525" s="6" t="str">
        <f ca="1">IFERROR(__xludf.DUMMYFUNCTION("""COMPUTED_VALUE"""),"Man")</f>
        <v>Man</v>
      </c>
      <c r="G525" s="6" t="str">
        <f ca="1">IFERROR(__xludf.DUMMYFUNCTION("""COMPUTED_VALUE"""),"Man")</f>
        <v>Man</v>
      </c>
      <c r="H525" s="6" t="str">
        <f ca="1">IFERROR(__xludf.DUMMYFUNCTION("""COMPUTED_VALUE"""),"Man")</f>
        <v>Man</v>
      </c>
      <c r="I525" s="6" t="str">
        <f ca="1">IFERROR(__xludf.DUMMYFUNCTION("""COMPUTED_VALUE"""),"Man")</f>
        <v>Man</v>
      </c>
      <c r="J525" s="6"/>
      <c r="K525" s="6"/>
      <c r="L525" s="6" t="str">
        <f ca="1">IFERROR(__xludf.DUMMYFUNCTION("""COMPUTED_VALUE"""),"No")</f>
        <v>No</v>
      </c>
      <c r="M525" s="6"/>
      <c r="N525" s="6"/>
      <c r="O525" s="6" t="str">
        <f ca="1">IFERROR(__xludf.DUMMYFUNCTION("""COMPUTED_VALUE"""),"Email")</f>
        <v>Email</v>
      </c>
      <c r="P525" s="6"/>
      <c r="Q525" s="6" t="str">
        <f ca="1">IFERROR(__xludf.DUMMYFUNCTION("""COMPUTED_VALUE"""),"No")</f>
        <v>No</v>
      </c>
      <c r="R525" s="6">
        <f ca="1">IFERROR(__xludf.DUMMYFUNCTION("""COMPUTED_VALUE"""),4)</f>
        <v>4</v>
      </c>
      <c r="S525" s="6" t="str">
        <f ca="1">IFERROR(__xludf.DUMMYFUNCTION("""COMPUTED_VALUE"""),"Grants
Other: Accelerator and Angel")</f>
        <v>Grants
Other: Accelerator and Angel</v>
      </c>
      <c r="T525" s="6" t="str">
        <f ca="1">IFERROR(__xludf.DUMMYFUNCTION("""COMPUTED_VALUE"""),"Grants, Other: Accelerator and Angel")</f>
        <v>Grants, Other: Accelerator and Angel</v>
      </c>
      <c r="U525" s="6" t="str">
        <f ca="1">IFERROR(__xludf.DUMMYFUNCTION("""COMPUTED_VALUE"""),"Grants, ")</f>
        <v xml:space="preserve">Grants, </v>
      </c>
      <c r="V525" s="6" t="str">
        <f ca="1">IFERROR(__xludf.DUMMYFUNCTION("""COMPUTED_VALUE"""),"Accelerator and Angel")</f>
        <v>Accelerator and Angel</v>
      </c>
      <c r="W525" s="6" t="str">
        <f ca="1">IFERROR(__xludf.DUMMYFUNCTION("""COMPUTED_VALUE"""),"Invite Next Year")</f>
        <v>Invite Next Year</v>
      </c>
    </row>
    <row r="526" spans="1:23">
      <c r="A526" s="6" t="str">
        <f ca="1">IFERROR(__xludf.DUMMYFUNCTION("""COMPUTED_VALUE"""),"Man")</f>
        <v>Man</v>
      </c>
      <c r="B526" s="6" t="str">
        <f ca="1">IFERROR(__xludf.DUMMYFUNCTION("""COMPUTED_VALUE"""),"Modernly Nerdish  _2022")</f>
        <v>Modernly Nerdish  _2022</v>
      </c>
      <c r="C526" s="6" t="str">
        <f ca="1">IFERROR(__xludf.DUMMYFUNCTION("""COMPUTED_VALUE"""),"Digital Tech")</f>
        <v>Digital Tech</v>
      </c>
      <c r="D526" s="6" t="str">
        <f ca="1">IFERROR(__xludf.DUMMYFUNCTION("""COMPUTED_VALUE"""),"200 west wilson ave. unit 2433, ca 
United States")</f>
        <v>200 west wilson ave. unit 2433, ca 
United States</v>
      </c>
      <c r="E526" s="6" t="str">
        <f ca="1">IFERROR(__xludf.DUMMYFUNCTION("""COMPUTED_VALUE"""),"West Coast")</f>
        <v>West Coast</v>
      </c>
      <c r="F526" s="6" t="str">
        <f ca="1">IFERROR(__xludf.DUMMYFUNCTION("""COMPUTED_VALUE"""),"Man")</f>
        <v>Man</v>
      </c>
      <c r="G526" s="6"/>
      <c r="H526" s="6"/>
      <c r="I526" s="6"/>
      <c r="J526" s="6"/>
      <c r="K526" s="6"/>
      <c r="L526" s="6" t="str">
        <f ca="1">IFERROR(__xludf.DUMMYFUNCTION("""COMPUTED_VALUE"""),"--Please select--")</f>
        <v>--Please select--</v>
      </c>
      <c r="M526" s="6"/>
      <c r="N526" s="6"/>
      <c r="O526" s="6" t="str">
        <f ca="1">IFERROR(__xludf.DUMMYFUNCTION("""COMPUTED_VALUE"""),"Search Engine")</f>
        <v>Search Engine</v>
      </c>
      <c r="P526" s="6"/>
      <c r="Q526" s="6" t="str">
        <f ca="1">IFERROR(__xludf.DUMMYFUNCTION("""COMPUTED_VALUE"""),"No")</f>
        <v>No</v>
      </c>
      <c r="R526" s="6">
        <f ca="1">IFERROR(__xludf.DUMMYFUNCTION("""COMPUTED_VALUE"""),1)</f>
        <v>1</v>
      </c>
      <c r="S526" s="6" t="str">
        <f ca="1">IFERROR(__xludf.DUMMYFUNCTION("""COMPUTED_VALUE"""),"None")</f>
        <v>None</v>
      </c>
      <c r="T526" s="6" t="str">
        <f ca="1">IFERROR(__xludf.DUMMYFUNCTION("""COMPUTED_VALUE"""),"None")</f>
        <v>None</v>
      </c>
      <c r="U526" s="6" t="str">
        <f ca="1">IFERROR(__xludf.DUMMYFUNCTION("""COMPUTED_VALUE"""),"None")</f>
        <v>None</v>
      </c>
      <c r="V526" s="6"/>
      <c r="W526" s="6" t="str">
        <f ca="1">IFERROR(__xludf.DUMMYFUNCTION("""COMPUTED_VALUE"""),"Invite Next Year")</f>
        <v>Invite Next Year</v>
      </c>
    </row>
    <row r="527" spans="1:23">
      <c r="A527" s="6" t="str">
        <f ca="1">IFERROR(__xludf.DUMMYFUNCTION("""COMPUTED_VALUE"""),"Man, Man, Man, Man")</f>
        <v>Man, Man, Man, Man</v>
      </c>
      <c r="B527" s="6" t="str">
        <f ca="1">IFERROR(__xludf.DUMMYFUNCTION("""COMPUTED_VALUE"""),"pragyaa.ai _2022")</f>
        <v>pragyaa.ai _2022</v>
      </c>
      <c r="C527" s="6" t="str">
        <f ca="1">IFERROR(__xludf.DUMMYFUNCTION("""COMPUTED_VALUE"""),"Digital Tech")</f>
        <v>Digital Tech</v>
      </c>
      <c r="D527" s="6" t="str">
        <f ca="1">IFERROR(__xludf.DUMMYFUNCTION("""COMPUTED_VALUE"""),"New Delhi, Delhi 
India")</f>
        <v>New Delhi, Delhi 
India</v>
      </c>
      <c r="E527" s="6" t="str">
        <f ca="1">IFERROR(__xludf.DUMMYFUNCTION("""COMPUTED_VALUE"""),"International - Asia")</f>
        <v>International - Asia</v>
      </c>
      <c r="F527" s="6" t="str">
        <f ca="1">IFERROR(__xludf.DUMMYFUNCTION("""COMPUTED_VALUE"""),"Man")</f>
        <v>Man</v>
      </c>
      <c r="G527" s="6" t="str">
        <f ca="1">IFERROR(__xludf.DUMMYFUNCTION("""COMPUTED_VALUE"""),"Man")</f>
        <v>Man</v>
      </c>
      <c r="H527" s="6" t="str">
        <f ca="1">IFERROR(__xludf.DUMMYFUNCTION("""COMPUTED_VALUE"""),"Man")</f>
        <v>Man</v>
      </c>
      <c r="I527" s="6" t="str">
        <f ca="1">IFERROR(__xludf.DUMMYFUNCTION("""COMPUTED_VALUE"""),"Man")</f>
        <v>Man</v>
      </c>
      <c r="J527" s="6"/>
      <c r="K527" s="6"/>
      <c r="L527" s="6" t="str">
        <f ca="1">IFERROR(__xludf.DUMMYFUNCTION("""COMPUTED_VALUE"""),"No")</f>
        <v>No</v>
      </c>
      <c r="M527" s="6"/>
      <c r="N527" s="6"/>
      <c r="O527" s="6" t="str">
        <f ca="1">IFERROR(__xludf.DUMMYFUNCTION("""COMPUTED_VALUE"""),"Referral")</f>
        <v>Referral</v>
      </c>
      <c r="P527" s="6"/>
      <c r="Q527" s="6" t="str">
        <f ca="1">IFERROR(__xludf.DUMMYFUNCTION("""COMPUTED_VALUE"""),"No")</f>
        <v>No</v>
      </c>
      <c r="R527" s="6">
        <f ca="1">IFERROR(__xludf.DUMMYFUNCTION("""COMPUTED_VALUE"""),4)</f>
        <v>4</v>
      </c>
      <c r="S527" s="6" t="str">
        <f ca="1">IFERROR(__xludf.DUMMYFUNCTION("""COMPUTED_VALUE"""),"None")</f>
        <v>None</v>
      </c>
      <c r="T527" s="6" t="str">
        <f ca="1">IFERROR(__xludf.DUMMYFUNCTION("""COMPUTED_VALUE"""),"None")</f>
        <v>None</v>
      </c>
      <c r="U527" s="6" t="str">
        <f ca="1">IFERROR(__xludf.DUMMYFUNCTION("""COMPUTED_VALUE"""),"None")</f>
        <v>None</v>
      </c>
      <c r="V527" s="6"/>
      <c r="W527" s="6" t="str">
        <f ca="1">IFERROR(__xludf.DUMMYFUNCTION("""COMPUTED_VALUE"""),"Invite")</f>
        <v>Invite</v>
      </c>
    </row>
    <row r="528" spans="1:23">
      <c r="A528" s="6" t="str">
        <f ca="1">IFERROR(__xludf.DUMMYFUNCTION("""COMPUTED_VALUE"""),"Man, Man, Man, Man")</f>
        <v>Man, Man, Man, Man</v>
      </c>
      <c r="B528" s="6" t="str">
        <f ca="1">IFERROR(__xludf.DUMMYFUNCTION("""COMPUTED_VALUE"""),"Novac _2022")</f>
        <v>Novac _2022</v>
      </c>
      <c r="C528" s="6" t="str">
        <f ca="1">IFERROR(__xludf.DUMMYFUNCTION("""COMPUTED_VALUE"""),"Deep Tech")</f>
        <v>Deep Tech</v>
      </c>
      <c r="D528" s="6" t="str">
        <f ca="1">IFERROR(__xludf.DUMMYFUNCTION("""COMPUTED_VALUE"""),"Modena, MO 
Italy")</f>
        <v>Modena, MO 
Italy</v>
      </c>
      <c r="E528" s="6" t="str">
        <f ca="1">IFERROR(__xludf.DUMMYFUNCTION("""COMPUTED_VALUE"""),"International - Europe")</f>
        <v>International - Europe</v>
      </c>
      <c r="F528" s="6" t="str">
        <f ca="1">IFERROR(__xludf.DUMMYFUNCTION("""COMPUTED_VALUE"""),"Man")</f>
        <v>Man</v>
      </c>
      <c r="G528" s="6" t="str">
        <f ca="1">IFERROR(__xludf.DUMMYFUNCTION("""COMPUTED_VALUE"""),"Man")</f>
        <v>Man</v>
      </c>
      <c r="H528" s="6" t="str">
        <f ca="1">IFERROR(__xludf.DUMMYFUNCTION("""COMPUTED_VALUE"""),"Man")</f>
        <v>Man</v>
      </c>
      <c r="I528" s="6" t="str">
        <f ca="1">IFERROR(__xludf.DUMMYFUNCTION("""COMPUTED_VALUE"""),"Man")</f>
        <v>Man</v>
      </c>
      <c r="J528" s="6"/>
      <c r="K528" s="6"/>
      <c r="L528" s="6" t="str">
        <f ca="1">IFERROR(__xludf.DUMMYFUNCTION("""COMPUTED_VALUE"""),"No")</f>
        <v>No</v>
      </c>
      <c r="M528" s="6"/>
      <c r="N528" s="6"/>
      <c r="O528" s="6" t="str">
        <f ca="1">IFERROR(__xludf.DUMMYFUNCTION("""COMPUTED_VALUE"""),"Email")</f>
        <v>Email</v>
      </c>
      <c r="P528" s="6"/>
      <c r="Q528" s="6" t="str">
        <f ca="1">IFERROR(__xludf.DUMMYFUNCTION("""COMPUTED_VALUE"""),"No")</f>
        <v>No</v>
      </c>
      <c r="R528" s="6">
        <f ca="1">IFERROR(__xludf.DUMMYFUNCTION("""COMPUTED_VALUE"""),4)</f>
        <v>4</v>
      </c>
      <c r="S528" s="6" t="str">
        <f ca="1">IFERROR(__xludf.DUMMYFUNCTION("""COMPUTED_VALUE"""),"Pre-seed")</f>
        <v>Pre-seed</v>
      </c>
      <c r="T528" s="6" t="str">
        <f ca="1">IFERROR(__xludf.DUMMYFUNCTION("""COMPUTED_VALUE"""),"Pre-seed")</f>
        <v>Pre-seed</v>
      </c>
      <c r="U528" s="6" t="str">
        <f ca="1">IFERROR(__xludf.DUMMYFUNCTION("""COMPUTED_VALUE"""),"Pre-seed")</f>
        <v>Pre-seed</v>
      </c>
      <c r="V528" s="6"/>
      <c r="W528" s="6" t="str">
        <f ca="1">IFERROR(__xludf.DUMMYFUNCTION("""COMPUTED_VALUE"""),"Invite")</f>
        <v>Invite</v>
      </c>
    </row>
    <row r="529" spans="1:23">
      <c r="A529" s="6" t="str">
        <f ca="1">IFERROR(__xludf.DUMMYFUNCTION("""COMPUTED_VALUE"""),"Man, Man")</f>
        <v>Man, Man</v>
      </c>
      <c r="B529" s="6" t="str">
        <f ca="1">IFERROR(__xludf.DUMMYFUNCTION("""COMPUTED_VALUE"""),"DFiant _2022")</f>
        <v>DFiant _2022</v>
      </c>
      <c r="C529" s="6" t="str">
        <f ca="1">IFERROR(__xludf.DUMMYFUNCTION("""COMPUTED_VALUE"""),"Digital Tech")</f>
        <v>Digital Tech</v>
      </c>
      <c r="D529" s="6" t="str">
        <f ca="1">IFERROR(__xludf.DUMMYFUNCTION("""COMPUTED_VALUE"""),"11 E Loop Rd, Suite 381, New York 
United States")</f>
        <v>11 E Loop Rd, Suite 381, New York 
United States</v>
      </c>
      <c r="E529" s="6" t="str">
        <f ca="1">IFERROR(__xludf.DUMMYFUNCTION("""COMPUTED_VALUE"""),"East Coast")</f>
        <v>East Coast</v>
      </c>
      <c r="F529" s="6" t="str">
        <f ca="1">IFERROR(__xludf.DUMMYFUNCTION("""COMPUTED_VALUE"""),"Man")</f>
        <v>Man</v>
      </c>
      <c r="G529" s="6" t="str">
        <f ca="1">IFERROR(__xludf.DUMMYFUNCTION("""COMPUTED_VALUE"""),"Man")</f>
        <v>Man</v>
      </c>
      <c r="H529" s="6"/>
      <c r="I529" s="6"/>
      <c r="J529" s="6"/>
      <c r="K529" s="6"/>
      <c r="L529" s="6" t="str">
        <f ca="1">IFERROR(__xludf.DUMMYFUNCTION("""COMPUTED_VALUE"""),"No")</f>
        <v>No</v>
      </c>
      <c r="M529" s="6"/>
      <c r="N529" s="6"/>
      <c r="O529" s="6" t="str">
        <f ca="1">IFERROR(__xludf.DUMMYFUNCTION("""COMPUTED_VALUE"""),"Info Session")</f>
        <v>Info Session</v>
      </c>
      <c r="P529" s="6"/>
      <c r="Q529" s="6" t="str">
        <f ca="1">IFERROR(__xludf.DUMMYFUNCTION("""COMPUTED_VALUE"""),"No")</f>
        <v>No</v>
      </c>
      <c r="R529" s="6">
        <f ca="1">IFERROR(__xludf.DUMMYFUNCTION("""COMPUTED_VALUE"""),2)</f>
        <v>2</v>
      </c>
      <c r="S529" s="6" t="str">
        <f ca="1">IFERROR(__xludf.DUMMYFUNCTION("""COMPUTED_VALUE"""),"Pre-seed")</f>
        <v>Pre-seed</v>
      </c>
      <c r="T529" s="6" t="str">
        <f ca="1">IFERROR(__xludf.DUMMYFUNCTION("""COMPUTED_VALUE"""),"Pre-seed")</f>
        <v>Pre-seed</v>
      </c>
      <c r="U529" s="6" t="str">
        <f ca="1">IFERROR(__xludf.DUMMYFUNCTION("""COMPUTED_VALUE"""),"Pre-seed")</f>
        <v>Pre-seed</v>
      </c>
      <c r="V529" s="6"/>
      <c r="W529" s="6" t="str">
        <f ca="1">IFERROR(__xludf.DUMMYFUNCTION("""COMPUTED_VALUE"""),"Invite Next Year")</f>
        <v>Invite Next Year</v>
      </c>
    </row>
    <row r="530" spans="1:23">
      <c r="A530" s="6" t="str">
        <f ca="1">IFERROR(__xludf.DUMMYFUNCTION("""COMPUTED_VALUE"""),"Man, Man, Man, Man")</f>
        <v>Man, Man, Man, Man</v>
      </c>
      <c r="B530" s="6" t="str">
        <f ca="1">IFERROR(__xludf.DUMMYFUNCTION("""COMPUTED_VALUE"""),"NewYou /ThePeopleChain/notyet _2022")</f>
        <v>NewYou /ThePeopleChain/notyet _2022</v>
      </c>
      <c r="C530" s="6" t="str">
        <f ca="1">IFERROR(__xludf.DUMMYFUNCTION("""COMPUTED_VALUE"""),"Life Sciences")</f>
        <v>Life Sciences</v>
      </c>
      <c r="D530" s="6" t="str">
        <f ca="1">IFERROR(__xludf.DUMMYFUNCTION("""COMPUTED_VALUE"""),"New York , New  York 
United States")</f>
        <v>New York , New  York 
United States</v>
      </c>
      <c r="E530" s="6" t="str">
        <f ca="1">IFERROR(__xludf.DUMMYFUNCTION("""COMPUTED_VALUE"""),"New York")</f>
        <v>New York</v>
      </c>
      <c r="F530" s="6" t="str">
        <f ca="1">IFERROR(__xludf.DUMMYFUNCTION("""COMPUTED_VALUE"""),"Man")</f>
        <v>Man</v>
      </c>
      <c r="G530" s="6" t="str">
        <f ca="1">IFERROR(__xludf.DUMMYFUNCTION("""COMPUTED_VALUE"""),"Man")</f>
        <v>Man</v>
      </c>
      <c r="H530" s="6" t="str">
        <f ca="1">IFERROR(__xludf.DUMMYFUNCTION("""COMPUTED_VALUE"""),"Man")</f>
        <v>Man</v>
      </c>
      <c r="I530" s="6" t="str">
        <f ca="1">IFERROR(__xludf.DUMMYFUNCTION("""COMPUTED_VALUE"""),"Man")</f>
        <v>Man</v>
      </c>
      <c r="J530" s="6"/>
      <c r="K530" s="6"/>
      <c r="L530" s="6" t="str">
        <f ca="1">IFERROR(__xludf.DUMMYFUNCTION("""COMPUTED_VALUE"""),"Yes")</f>
        <v>Yes</v>
      </c>
      <c r="M530" s="6" t="str">
        <f ca="1">IFERROR(__xludf.DUMMYFUNCTION("""COMPUTED_VALUE"""),"Other (please specify)")</f>
        <v>Other (please specify)</v>
      </c>
      <c r="N530" s="6" t="str">
        <f ca="1">IFERROR(__xludf.DUMMYFUNCTION("""COMPUTED_VALUE"""),"Students and Graduate student all from NYU for now.")</f>
        <v>Students and Graduate student all from NYU for now.</v>
      </c>
      <c r="O530" s="6" t="str">
        <f ca="1">IFERROR(__xludf.DUMMYFUNCTION("""COMPUTED_VALUE"""),"Email")</f>
        <v>Email</v>
      </c>
      <c r="P530" s="6"/>
      <c r="Q530" s="6" t="str">
        <f ca="1">IFERROR(__xludf.DUMMYFUNCTION("""COMPUTED_VALUE"""),"No")</f>
        <v>No</v>
      </c>
      <c r="R530" s="6">
        <f ca="1">IFERROR(__xludf.DUMMYFUNCTION("""COMPUTED_VALUE"""),4)</f>
        <v>4</v>
      </c>
      <c r="S530" s="6" t="str">
        <f ca="1">IFERROR(__xludf.DUMMYFUNCTION("""COMPUTED_VALUE"""),"None
Other: not yet")</f>
        <v>None
Other: not yet</v>
      </c>
      <c r="T530" s="6" t="str">
        <f ca="1">IFERROR(__xludf.DUMMYFUNCTION("""COMPUTED_VALUE"""),"None, Other: not yet")</f>
        <v>None, Other: not yet</v>
      </c>
      <c r="U530" s="6" t="str">
        <f ca="1">IFERROR(__xludf.DUMMYFUNCTION("""COMPUTED_VALUE"""),"None, ")</f>
        <v xml:space="preserve">None, </v>
      </c>
      <c r="V530" s="6" t="str">
        <f ca="1">IFERROR(__xludf.DUMMYFUNCTION("""COMPUTED_VALUE"""),"not yet")</f>
        <v>not yet</v>
      </c>
      <c r="W530" s="6" t="str">
        <f ca="1">IFERROR(__xludf.DUMMYFUNCTION("""COMPUTED_VALUE"""),"Invite Next Year")</f>
        <v>Invite Next Year</v>
      </c>
    </row>
    <row r="531" spans="1:23">
      <c r="A531" s="6" t="str">
        <f ca="1">IFERROR(__xludf.DUMMYFUNCTION("""COMPUTED_VALUE"""),"Man, Man, Man")</f>
        <v>Man, Man, Man</v>
      </c>
      <c r="B531" s="6" t="str">
        <f ca="1">IFERROR(__xludf.DUMMYFUNCTION("""COMPUTED_VALUE"""),"REX Property Holdings Corp _2022")</f>
        <v>REX Property Holdings Corp _2022</v>
      </c>
      <c r="C531" s="6" t="str">
        <f ca="1">IFERROR(__xludf.DUMMYFUNCTION("""COMPUTED_VALUE"""),"Digital Tech")</f>
        <v>Digital Tech</v>
      </c>
      <c r="D531" s="6" t="str">
        <f ca="1">IFERROR(__xludf.DUMMYFUNCTION("""COMPUTED_VALUE"""),"New York, NY 
United States")</f>
        <v>New York, NY 
United States</v>
      </c>
      <c r="E531" s="6" t="str">
        <f ca="1">IFERROR(__xludf.DUMMYFUNCTION("""COMPUTED_VALUE"""),"New York")</f>
        <v>New York</v>
      </c>
      <c r="F531" s="6" t="str">
        <f ca="1">IFERROR(__xludf.DUMMYFUNCTION("""COMPUTED_VALUE"""),"Man")</f>
        <v>Man</v>
      </c>
      <c r="G531" s="6" t="str">
        <f ca="1">IFERROR(__xludf.DUMMYFUNCTION("""COMPUTED_VALUE"""),"Man")</f>
        <v>Man</v>
      </c>
      <c r="H531" s="6" t="str">
        <f ca="1">IFERROR(__xludf.DUMMYFUNCTION("""COMPUTED_VALUE"""),"Man")</f>
        <v>Man</v>
      </c>
      <c r="I531" s="6"/>
      <c r="J531" s="6"/>
      <c r="K531" s="6"/>
      <c r="L531" s="6" t="str">
        <f ca="1">IFERROR(__xludf.DUMMYFUNCTION("""COMPUTED_VALUE"""),"Yes")</f>
        <v>Yes</v>
      </c>
      <c r="M531" s="6" t="str">
        <f ca="1">IFERROR(__xludf.DUMMYFUNCTION("""COMPUTED_VALUE"""),"NYU Faculty")</f>
        <v>NYU Faculty</v>
      </c>
      <c r="N531" s="6"/>
      <c r="O531" s="6" t="str">
        <f ca="1">IFERROR(__xludf.DUMMYFUNCTION("""COMPUTED_VALUE"""),"NYU Newsletter")</f>
        <v>NYU Newsletter</v>
      </c>
      <c r="P531" s="6"/>
      <c r="Q531" s="6" t="str">
        <f ca="1">IFERROR(__xludf.DUMMYFUNCTION("""COMPUTED_VALUE"""),"No")</f>
        <v>No</v>
      </c>
      <c r="R531" s="6">
        <f ca="1">IFERROR(__xludf.DUMMYFUNCTION("""COMPUTED_VALUE"""),3)</f>
        <v>3</v>
      </c>
      <c r="S531" s="6" t="str">
        <f ca="1">IFERROR(__xludf.DUMMYFUNCTION("""COMPUTED_VALUE"""),"None")</f>
        <v>None</v>
      </c>
      <c r="T531" s="6" t="str">
        <f ca="1">IFERROR(__xludf.DUMMYFUNCTION("""COMPUTED_VALUE"""),"None")</f>
        <v>None</v>
      </c>
      <c r="U531" s="6" t="str">
        <f ca="1">IFERROR(__xludf.DUMMYFUNCTION("""COMPUTED_VALUE"""),"None")</f>
        <v>None</v>
      </c>
      <c r="V531" s="6"/>
      <c r="W531" s="6" t="str">
        <f ca="1">IFERROR(__xludf.DUMMYFUNCTION("""COMPUTED_VALUE"""),"Special Reject")</f>
        <v>Special Reject</v>
      </c>
    </row>
    <row r="532" spans="1:23">
      <c r="A532" s="6" t="str">
        <f ca="1">IFERROR(__xludf.DUMMYFUNCTION("""COMPUTED_VALUE"""),"Man, Man")</f>
        <v>Man, Man</v>
      </c>
      <c r="B532" s="6" t="str">
        <f ca="1">IFERROR(__xludf.DUMMYFUNCTION("""COMPUTED_VALUE"""),"Tanél Heatlh _2022")</f>
        <v>Tanél Heatlh _2022</v>
      </c>
      <c r="C532" s="6" t="str">
        <f ca="1">IFERROR(__xludf.DUMMYFUNCTION("""COMPUTED_VALUE"""),"Digital Tech")</f>
        <v>Digital Tech</v>
      </c>
      <c r="D532" s="6" t="str">
        <f ca="1">IFERROR(__xludf.DUMMYFUNCTION("""COMPUTED_VALUE"""),"Lewis Center, Ohio 
United States")</f>
        <v>Lewis Center, Ohio 
United States</v>
      </c>
      <c r="E532" s="6" t="str">
        <f ca="1">IFERROR(__xludf.DUMMYFUNCTION("""COMPUTED_VALUE"""),"Midwest")</f>
        <v>Midwest</v>
      </c>
      <c r="F532" s="6" t="str">
        <f ca="1">IFERROR(__xludf.DUMMYFUNCTION("""COMPUTED_VALUE"""),"Man")</f>
        <v>Man</v>
      </c>
      <c r="G532" s="6" t="str">
        <f ca="1">IFERROR(__xludf.DUMMYFUNCTION("""COMPUTED_VALUE"""),"Man")</f>
        <v>Man</v>
      </c>
      <c r="H532" s="6"/>
      <c r="I532" s="6"/>
      <c r="J532" s="6"/>
      <c r="K532" s="6"/>
      <c r="L532" s="6" t="str">
        <f ca="1">IFERROR(__xludf.DUMMYFUNCTION("""COMPUTED_VALUE"""),"No")</f>
        <v>No</v>
      </c>
      <c r="M532" s="6"/>
      <c r="N532" s="6"/>
      <c r="O532" s="6" t="str">
        <f ca="1">IFERROR(__xludf.DUMMYFUNCTION("""COMPUTED_VALUE"""),"Referral")</f>
        <v>Referral</v>
      </c>
      <c r="P532" s="6"/>
      <c r="Q532" s="6" t="str">
        <f ca="1">IFERROR(__xludf.DUMMYFUNCTION("""COMPUTED_VALUE"""),"No")</f>
        <v>No</v>
      </c>
      <c r="R532" s="6">
        <f ca="1">IFERROR(__xludf.DUMMYFUNCTION("""COMPUTED_VALUE"""),2)</f>
        <v>2</v>
      </c>
      <c r="S532" s="6" t="str">
        <f ca="1">IFERROR(__xludf.DUMMYFUNCTION("""COMPUTED_VALUE"""),"Pre-seed")</f>
        <v>Pre-seed</v>
      </c>
      <c r="T532" s="6" t="str">
        <f ca="1">IFERROR(__xludf.DUMMYFUNCTION("""COMPUTED_VALUE"""),"Pre-seed")</f>
        <v>Pre-seed</v>
      </c>
      <c r="U532" s="6" t="str">
        <f ca="1">IFERROR(__xludf.DUMMYFUNCTION("""COMPUTED_VALUE"""),"Pre-seed")</f>
        <v>Pre-seed</v>
      </c>
      <c r="V532" s="6"/>
      <c r="W532" s="6" t="str">
        <f ca="1">IFERROR(__xludf.DUMMYFUNCTION("""COMPUTED_VALUE"""),"Invite Next Year")</f>
        <v>Invite Next Year</v>
      </c>
    </row>
    <row r="533" spans="1:23">
      <c r="A533" s="6" t="str">
        <f ca="1">IFERROR(__xludf.DUMMYFUNCTION("""COMPUTED_VALUE"""),"Man, Woman")</f>
        <v>Man, Woman</v>
      </c>
      <c r="B533" s="6" t="str">
        <f ca="1">IFERROR(__xludf.DUMMYFUNCTION("""COMPUTED_VALUE"""),"CLOWAK INNOVATIONS LLP _2022")</f>
        <v>CLOWAK INNOVATIONS LLP _2022</v>
      </c>
      <c r="C533" s="6" t="str">
        <f ca="1">IFERROR(__xludf.DUMMYFUNCTION("""COMPUTED_VALUE"""),"Life Sciences")</f>
        <v>Life Sciences</v>
      </c>
      <c r="D533" s="6" t="str">
        <f ca="1">IFERROR(__xludf.DUMMYFUNCTION("""COMPUTED_VALUE"""),"no 73/a vaibav nagar phase 3 katpadi, TAMIL NADU 
India")</f>
        <v>no 73/a vaibav nagar phase 3 katpadi, TAMIL NADU 
India</v>
      </c>
      <c r="E533" s="6" t="str">
        <f ca="1">IFERROR(__xludf.DUMMYFUNCTION("""COMPUTED_VALUE"""),"International - Asia")</f>
        <v>International - Asia</v>
      </c>
      <c r="F533" s="6" t="str">
        <f ca="1">IFERROR(__xludf.DUMMYFUNCTION("""COMPUTED_VALUE"""),"Man")</f>
        <v>Man</v>
      </c>
      <c r="G533" s="6" t="str">
        <f ca="1">IFERROR(__xludf.DUMMYFUNCTION("""COMPUTED_VALUE"""),"Woman")</f>
        <v>Woman</v>
      </c>
      <c r="H533" s="6"/>
      <c r="I533" s="6"/>
      <c r="J533" s="6"/>
      <c r="K533" s="6"/>
      <c r="L533" s="6" t="str">
        <f ca="1">IFERROR(__xludf.DUMMYFUNCTION("""COMPUTED_VALUE"""),"No")</f>
        <v>No</v>
      </c>
      <c r="M533" s="6"/>
      <c r="N533" s="6"/>
      <c r="O533" s="6" t="str">
        <f ca="1">IFERROR(__xludf.DUMMYFUNCTION("""COMPUTED_VALUE"""),"Search Engine")</f>
        <v>Search Engine</v>
      </c>
      <c r="P533" s="6"/>
      <c r="Q533" s="6" t="str">
        <f ca="1">IFERROR(__xludf.DUMMYFUNCTION("""COMPUTED_VALUE"""),"No")</f>
        <v>No</v>
      </c>
      <c r="R533" s="6">
        <f ca="1">IFERROR(__xludf.DUMMYFUNCTION("""COMPUTED_VALUE"""),2)</f>
        <v>2</v>
      </c>
      <c r="S533" s="6" t="str">
        <f ca="1">IFERROR(__xludf.DUMMYFUNCTION("""COMPUTED_VALUE"""),"Pre-seed")</f>
        <v>Pre-seed</v>
      </c>
      <c r="T533" s="6" t="str">
        <f ca="1">IFERROR(__xludf.DUMMYFUNCTION("""COMPUTED_VALUE"""),"Pre-seed")</f>
        <v>Pre-seed</v>
      </c>
      <c r="U533" s="6" t="str">
        <f ca="1">IFERROR(__xludf.DUMMYFUNCTION("""COMPUTED_VALUE"""),"Pre-seed")</f>
        <v>Pre-seed</v>
      </c>
      <c r="V533" s="6"/>
      <c r="W533" s="6" t="str">
        <f ca="1">IFERROR(__xludf.DUMMYFUNCTION("""COMPUTED_VALUE"""),"Invite Next Year")</f>
        <v>Invite Next Year</v>
      </c>
    </row>
    <row r="534" spans="1:23">
      <c r="A534" s="6" t="str">
        <f ca="1">IFERROR(__xludf.DUMMYFUNCTION("""COMPUTED_VALUE"""),"Man, Man")</f>
        <v>Man, Man</v>
      </c>
      <c r="B534" s="6" t="str">
        <f ca="1">IFERROR(__xludf.DUMMYFUNCTION("""COMPUTED_VALUE"""),"Podi.ai _2022")</f>
        <v>Podi.ai _2022</v>
      </c>
      <c r="C534" s="6" t="str">
        <f ca="1">IFERROR(__xludf.DUMMYFUNCTION("""COMPUTED_VALUE"""),"Digital Tech")</f>
        <v>Digital Tech</v>
      </c>
      <c r="D534" s="6" t="str">
        <f ca="1">IFERROR(__xludf.DUMMYFUNCTION("""COMPUTED_VALUE"""),"13th Brandeis st , Tel-Aviv 
Israel")</f>
        <v>13th Brandeis st , Tel-Aviv 
Israel</v>
      </c>
      <c r="E534" s="6" t="str">
        <f ca="1">IFERROR(__xludf.DUMMYFUNCTION("""COMPUTED_VALUE"""),"International - Middle East")</f>
        <v>International - Middle East</v>
      </c>
      <c r="F534" s="6" t="str">
        <f ca="1">IFERROR(__xludf.DUMMYFUNCTION("""COMPUTED_VALUE"""),"Man")</f>
        <v>Man</v>
      </c>
      <c r="G534" s="6" t="str">
        <f ca="1">IFERROR(__xludf.DUMMYFUNCTION("""COMPUTED_VALUE"""),"Man")</f>
        <v>Man</v>
      </c>
      <c r="H534" s="6"/>
      <c r="I534" s="6"/>
      <c r="J534" s="6"/>
      <c r="K534" s="6"/>
      <c r="L534" s="6" t="str">
        <f ca="1">IFERROR(__xludf.DUMMYFUNCTION("""COMPUTED_VALUE"""),"Yes")</f>
        <v>Yes</v>
      </c>
      <c r="M534" s="6" t="str">
        <f ca="1">IFERROR(__xludf.DUMMYFUNCTION("""COMPUTED_VALUE"""),"NYU Staff")</f>
        <v>NYU Staff</v>
      </c>
      <c r="N534" s="6"/>
      <c r="O534" s="6" t="str">
        <f ca="1">IFERROR(__xludf.DUMMYFUNCTION("""COMPUTED_VALUE"""),"Referral")</f>
        <v>Referral</v>
      </c>
      <c r="P534" s="6"/>
      <c r="Q534" s="6" t="str">
        <f ca="1">IFERROR(__xludf.DUMMYFUNCTION("""COMPUTED_VALUE"""),"No")</f>
        <v>No</v>
      </c>
      <c r="R534" s="6">
        <f ca="1">IFERROR(__xludf.DUMMYFUNCTION("""COMPUTED_VALUE"""),2)</f>
        <v>2</v>
      </c>
      <c r="S534" s="6" t="str">
        <f ca="1">IFERROR(__xludf.DUMMYFUNCTION("""COMPUTED_VALUE"""),"None
Other: Bootstraping :)")</f>
        <v>None
Other: Bootstraping :)</v>
      </c>
      <c r="T534" s="6" t="str">
        <f ca="1">IFERROR(__xludf.DUMMYFUNCTION("""COMPUTED_VALUE"""),"None, Other: Bootstraping :)")</f>
        <v>None, Other: Bootstraping :)</v>
      </c>
      <c r="U534" s="6" t="str">
        <f ca="1">IFERROR(__xludf.DUMMYFUNCTION("""COMPUTED_VALUE"""),"None, ")</f>
        <v xml:space="preserve">None, </v>
      </c>
      <c r="V534" s="6" t="str">
        <f ca="1">IFERROR(__xludf.DUMMYFUNCTION("""COMPUTED_VALUE"""),"Bootstraping :)")</f>
        <v>Bootstraping :)</v>
      </c>
      <c r="W534" s="6" t="str">
        <f ca="1">IFERROR(__xludf.DUMMYFUNCTION("""COMPUTED_VALUE"""),"Invite Next Year")</f>
        <v>Invite Next Year</v>
      </c>
    </row>
    <row r="535" spans="1:23">
      <c r="A535" s="6" t="str">
        <f ca="1">IFERROR(__xludf.DUMMYFUNCTION("""COMPUTED_VALUE"""),"Man, Man, Woman")</f>
        <v>Man, Man, Woman</v>
      </c>
      <c r="B535" s="6" t="str">
        <f ca="1">IFERROR(__xludf.DUMMYFUNCTION("""COMPUTED_VALUE"""),"Cortina Health _2022")</f>
        <v>Cortina Health _2022</v>
      </c>
      <c r="C535" s="6" t="str">
        <f ca="1">IFERROR(__xludf.DUMMYFUNCTION("""COMPUTED_VALUE"""),"Digital Tech")</f>
        <v>Digital Tech</v>
      </c>
      <c r="D535" s="6" t="str">
        <f ca="1">IFERROR(__xludf.DUMMYFUNCTION("""COMPUTED_VALUE"""),"Chattanooga, Tennessee 
United States")</f>
        <v>Chattanooga, Tennessee 
United States</v>
      </c>
      <c r="E535" s="6" t="str">
        <f ca="1">IFERROR(__xludf.DUMMYFUNCTION("""COMPUTED_VALUE"""),"South")</f>
        <v>South</v>
      </c>
      <c r="F535" s="6" t="str">
        <f ca="1">IFERROR(__xludf.DUMMYFUNCTION("""COMPUTED_VALUE"""),"Man")</f>
        <v>Man</v>
      </c>
      <c r="G535" s="6" t="str">
        <f ca="1">IFERROR(__xludf.DUMMYFUNCTION("""COMPUTED_VALUE"""),"Man")</f>
        <v>Man</v>
      </c>
      <c r="H535" s="6" t="str">
        <f ca="1">IFERROR(__xludf.DUMMYFUNCTION("""COMPUTED_VALUE"""),"Woman")</f>
        <v>Woman</v>
      </c>
      <c r="I535" s="6"/>
      <c r="J535" s="6"/>
      <c r="K535" s="6"/>
      <c r="L535" s="6" t="str">
        <f ca="1">IFERROR(__xludf.DUMMYFUNCTION("""COMPUTED_VALUE"""),"No")</f>
        <v>No</v>
      </c>
      <c r="M535" s="6"/>
      <c r="N535" s="6"/>
      <c r="O535" s="6" t="str">
        <f ca="1">IFERROR(__xludf.DUMMYFUNCTION("""COMPUTED_VALUE"""),"Referral")</f>
        <v>Referral</v>
      </c>
      <c r="P535" s="6"/>
      <c r="Q535" s="6" t="str">
        <f ca="1">IFERROR(__xludf.DUMMYFUNCTION("""COMPUTED_VALUE"""),"No")</f>
        <v>No</v>
      </c>
      <c r="R535" s="6">
        <f ca="1">IFERROR(__xludf.DUMMYFUNCTION("""COMPUTED_VALUE"""),3)</f>
        <v>3</v>
      </c>
      <c r="S535" s="6" t="str">
        <f ca="1">IFERROR(__xludf.DUMMYFUNCTION("""COMPUTED_VALUE"""),"Pre-seed
Seed")</f>
        <v>Pre-seed
Seed</v>
      </c>
      <c r="T535" s="6" t="str">
        <f ca="1">IFERROR(__xludf.DUMMYFUNCTION("""COMPUTED_VALUE"""),"Pre-seed, Seed")</f>
        <v>Pre-seed, Seed</v>
      </c>
      <c r="U535" s="6" t="str">
        <f ca="1">IFERROR(__xludf.DUMMYFUNCTION("""COMPUTED_VALUE"""),"Pre-seed, Seed")</f>
        <v>Pre-seed, Seed</v>
      </c>
      <c r="V535" s="6"/>
      <c r="W535" s="6" t="str">
        <f ca="1">IFERROR(__xludf.DUMMYFUNCTION("""COMPUTED_VALUE"""),"Invite")</f>
        <v>Invite</v>
      </c>
    </row>
    <row r="536" spans="1:23">
      <c r="A536" s="6" t="str">
        <f ca="1">IFERROR(__xludf.DUMMYFUNCTION("""COMPUTED_VALUE"""),"Woman")</f>
        <v>Woman</v>
      </c>
      <c r="B536" s="6" t="str">
        <f ca="1">IFERROR(__xludf.DUMMYFUNCTION("""COMPUTED_VALUE"""),"sustaident _2022")</f>
        <v>sustaident _2022</v>
      </c>
      <c r="C536" s="6" t="str">
        <f ca="1">IFERROR(__xludf.DUMMYFUNCTION("""COMPUTED_VALUE"""),"Life Sciences")</f>
        <v>Life Sciences</v>
      </c>
      <c r="D536" s="6" t="str">
        <f ca="1">IFERROR(__xludf.DUMMYFUNCTION("""COMPUTED_VALUE"""),"404 E 79 street , ny 
United States")</f>
        <v>404 E 79 street , ny 
United States</v>
      </c>
      <c r="E536" s="6" t="str">
        <f ca="1">IFERROR(__xludf.DUMMYFUNCTION("""COMPUTED_VALUE"""),"New York")</f>
        <v>New York</v>
      </c>
      <c r="F536" s="6" t="str">
        <f ca="1">IFERROR(__xludf.DUMMYFUNCTION("""COMPUTED_VALUE"""),"Woman")</f>
        <v>Woman</v>
      </c>
      <c r="G536" s="6"/>
      <c r="H536" s="6"/>
      <c r="I536" s="6"/>
      <c r="J536" s="6"/>
      <c r="K536" s="6"/>
      <c r="L536" s="6" t="str">
        <f ca="1">IFERROR(__xludf.DUMMYFUNCTION("""COMPUTED_VALUE"""),"Yes")</f>
        <v>Yes</v>
      </c>
      <c r="M536" s="6" t="str">
        <f ca="1">IFERROR(__xludf.DUMMYFUNCTION("""COMPUTED_VALUE"""),"NYU Faculty")</f>
        <v>NYU Faculty</v>
      </c>
      <c r="N536" s="6"/>
      <c r="O536" s="6" t="str">
        <f ca="1">IFERROR(__xludf.DUMMYFUNCTION("""COMPUTED_VALUE"""),"Email")</f>
        <v>Email</v>
      </c>
      <c r="P536" s="6"/>
      <c r="Q536" s="6" t="str">
        <f ca="1">IFERROR(__xludf.DUMMYFUNCTION("""COMPUTED_VALUE"""),"No")</f>
        <v>No</v>
      </c>
      <c r="R536" s="6">
        <f ca="1">IFERROR(__xludf.DUMMYFUNCTION("""COMPUTED_VALUE"""),1)</f>
        <v>1</v>
      </c>
      <c r="S536" s="6" t="str">
        <f ca="1">IFERROR(__xludf.DUMMYFUNCTION("""COMPUTED_VALUE"""),"None")</f>
        <v>None</v>
      </c>
      <c r="T536" s="6" t="str">
        <f ca="1">IFERROR(__xludf.DUMMYFUNCTION("""COMPUTED_VALUE"""),"None")</f>
        <v>None</v>
      </c>
      <c r="U536" s="6" t="str">
        <f ca="1">IFERROR(__xludf.DUMMYFUNCTION("""COMPUTED_VALUE"""),"None")</f>
        <v>None</v>
      </c>
      <c r="V536" s="6"/>
      <c r="W536" s="6" t="str">
        <f ca="1">IFERROR(__xludf.DUMMYFUNCTION("""COMPUTED_VALUE"""),"Invite Next Year")</f>
        <v>Invite Next Year</v>
      </c>
    </row>
    <row r="537" spans="1:23">
      <c r="A537" s="6" t="str">
        <f ca="1">IFERROR(__xludf.DUMMYFUNCTION("""COMPUTED_VALUE"""),"Man, Man, Woman")</f>
        <v>Man, Man, Woman</v>
      </c>
      <c r="B537" s="6" t="str">
        <f ca="1">IFERROR(__xludf.DUMMYFUNCTION("""COMPUTED_VALUE"""),"Promise Bio _2022")</f>
        <v>Promise Bio _2022</v>
      </c>
      <c r="C537" s="6" t="str">
        <f ca="1">IFERROR(__xludf.DUMMYFUNCTION("""COMPUTED_VALUE"""),"Life Sciences")</f>
        <v>Life Sciences</v>
      </c>
      <c r="D537" s="6" t="str">
        <f ca="1">IFERROR(__xludf.DUMMYFUNCTION("""COMPUTED_VALUE"""),"TEL AVIV, Israel 
Israel")</f>
        <v>TEL AVIV, Israel 
Israel</v>
      </c>
      <c r="E537" s="6" t="str">
        <f ca="1">IFERROR(__xludf.DUMMYFUNCTION("""COMPUTED_VALUE"""),"International - Middle East")</f>
        <v>International - Middle East</v>
      </c>
      <c r="F537" s="6" t="str">
        <f ca="1">IFERROR(__xludf.DUMMYFUNCTION("""COMPUTED_VALUE"""),"Man")</f>
        <v>Man</v>
      </c>
      <c r="G537" s="6" t="str">
        <f ca="1">IFERROR(__xludf.DUMMYFUNCTION("""COMPUTED_VALUE"""),"Man")</f>
        <v>Man</v>
      </c>
      <c r="H537" s="6" t="str">
        <f ca="1">IFERROR(__xludf.DUMMYFUNCTION("""COMPUTED_VALUE"""),"Woman")</f>
        <v>Woman</v>
      </c>
      <c r="I537" s="6"/>
      <c r="J537" s="6"/>
      <c r="K537" s="6"/>
      <c r="L537" s="6" t="str">
        <f ca="1">IFERROR(__xludf.DUMMYFUNCTION("""COMPUTED_VALUE"""),"No")</f>
        <v>No</v>
      </c>
      <c r="M537" s="6"/>
      <c r="N537" s="6"/>
      <c r="O537" s="6" t="str">
        <f ca="1">IFERROR(__xludf.DUMMYFUNCTION("""COMPUTED_VALUE"""),"Referral")</f>
        <v>Referral</v>
      </c>
      <c r="P537" s="6"/>
      <c r="Q537" s="6" t="str">
        <f ca="1">IFERROR(__xludf.DUMMYFUNCTION("""COMPUTED_VALUE"""),"No")</f>
        <v>No</v>
      </c>
      <c r="R537" s="6">
        <f ca="1">IFERROR(__xludf.DUMMYFUNCTION("""COMPUTED_VALUE"""),3)</f>
        <v>3</v>
      </c>
      <c r="S537" s="6" t="str">
        <f ca="1">IFERROR(__xludf.DUMMYFUNCTION("""COMPUTED_VALUE"""),"None")</f>
        <v>None</v>
      </c>
      <c r="T537" s="6" t="str">
        <f ca="1">IFERROR(__xludf.DUMMYFUNCTION("""COMPUTED_VALUE"""),"None")</f>
        <v>None</v>
      </c>
      <c r="U537" s="6" t="str">
        <f ca="1">IFERROR(__xludf.DUMMYFUNCTION("""COMPUTED_VALUE"""),"None")</f>
        <v>None</v>
      </c>
      <c r="V537" s="6"/>
      <c r="W537" s="6" t="str">
        <f ca="1">IFERROR(__xludf.DUMMYFUNCTION("""COMPUTED_VALUE"""),"Special Reject")</f>
        <v>Special Reject</v>
      </c>
    </row>
    <row r="538" spans="1:23">
      <c r="A538" s="6" t="str">
        <f ca="1">IFERROR(__xludf.DUMMYFUNCTION("""COMPUTED_VALUE"""),"Man, Man, Man")</f>
        <v>Man, Man, Man</v>
      </c>
      <c r="B538" s="6" t="str">
        <f ca="1">IFERROR(__xludf.DUMMYFUNCTION("""COMPUTED_VALUE"""),"nami.ai _2022")</f>
        <v>nami.ai _2022</v>
      </c>
      <c r="C538" s="6" t="str">
        <f ca="1">IFERROR(__xludf.DUMMYFUNCTION("""COMPUTED_VALUE"""),"Digital Tech")</f>
        <v>Digital Tech</v>
      </c>
      <c r="D538" s="6" t="str">
        <f ca="1">IFERROR(__xludf.DUMMYFUNCTION("""COMPUTED_VALUE"""),"25 Duxton Hill  #03, Singapore 
Singapore")</f>
        <v>25 Duxton Hill  #03, Singapore 
Singapore</v>
      </c>
      <c r="E538" s="6" t="str">
        <f ca="1">IFERROR(__xludf.DUMMYFUNCTION("""COMPUTED_VALUE"""),"International - Asia")</f>
        <v>International - Asia</v>
      </c>
      <c r="F538" s="6" t="str">
        <f ca="1">IFERROR(__xludf.DUMMYFUNCTION("""COMPUTED_VALUE"""),"Man")</f>
        <v>Man</v>
      </c>
      <c r="G538" s="6" t="str">
        <f ca="1">IFERROR(__xludf.DUMMYFUNCTION("""COMPUTED_VALUE"""),"Man")</f>
        <v>Man</v>
      </c>
      <c r="H538" s="6" t="str">
        <f ca="1">IFERROR(__xludf.DUMMYFUNCTION("""COMPUTED_VALUE"""),"Man")</f>
        <v>Man</v>
      </c>
      <c r="I538" s="6"/>
      <c r="J538" s="6"/>
      <c r="K538" s="6"/>
      <c r="L538" s="6" t="str">
        <f ca="1">IFERROR(__xludf.DUMMYFUNCTION("""COMPUTED_VALUE"""),"No")</f>
        <v>No</v>
      </c>
      <c r="M538" s="6"/>
      <c r="N538" s="6"/>
      <c r="O538" s="6" t="str">
        <f ca="1">IFERROR(__xludf.DUMMYFUNCTION("""COMPUTED_VALUE"""),"Email")</f>
        <v>Email</v>
      </c>
      <c r="P538" s="6"/>
      <c r="Q538" s="6" t="str">
        <f ca="1">IFERROR(__xludf.DUMMYFUNCTION("""COMPUTED_VALUE"""),"No")</f>
        <v>No</v>
      </c>
      <c r="R538" s="6">
        <f ca="1">IFERROR(__xludf.DUMMYFUNCTION("""COMPUTED_VALUE"""),3)</f>
        <v>3</v>
      </c>
      <c r="S538" s="6" t="str">
        <f ca="1">IFERROR(__xludf.DUMMYFUNCTION("""COMPUTED_VALUE"""),"Seed")</f>
        <v>Seed</v>
      </c>
      <c r="T538" s="6" t="str">
        <f ca="1">IFERROR(__xludf.DUMMYFUNCTION("""COMPUTED_VALUE"""),"Seed")</f>
        <v>Seed</v>
      </c>
      <c r="U538" s="6" t="str">
        <f ca="1">IFERROR(__xludf.DUMMYFUNCTION("""COMPUTED_VALUE"""),"Seed")</f>
        <v>Seed</v>
      </c>
      <c r="V538" s="6"/>
      <c r="W538" s="6" t="str">
        <f ca="1">IFERROR(__xludf.DUMMYFUNCTION("""COMPUTED_VALUE"""),"Invite Next Year")</f>
        <v>Invite Next Year</v>
      </c>
    </row>
    <row r="539" spans="1:23">
      <c r="A539" s="6" t="str">
        <f ca="1">IFERROR(__xludf.DUMMYFUNCTION("""COMPUTED_VALUE"""),"Woman")</f>
        <v>Woman</v>
      </c>
      <c r="B539" s="6" t="str">
        <f ca="1">IFERROR(__xludf.DUMMYFUNCTION("""COMPUTED_VALUE"""),"Make It Black _2022")</f>
        <v>Make It Black _2022</v>
      </c>
      <c r="C539" s="6" t="str">
        <f ca="1">IFERROR(__xludf.DUMMYFUNCTION("""COMPUTED_VALUE"""),"Deep Tech")</f>
        <v>Deep Tech</v>
      </c>
      <c r="D539" s="6" t="str">
        <f ca="1">IFERROR(__xludf.DUMMYFUNCTION("""COMPUTED_VALUE"""),"NEWLAB Building #128 19 Morris Avenue Brooklyn, New York  11205, New York 
United States")</f>
        <v>NEWLAB Building #128 19 Morris Avenue Brooklyn, New York  11205, New York 
United States</v>
      </c>
      <c r="E539" s="6" t="str">
        <f ca="1">IFERROR(__xludf.DUMMYFUNCTION("""COMPUTED_VALUE"""),"New York")</f>
        <v>New York</v>
      </c>
      <c r="F539" s="6" t="str">
        <f ca="1">IFERROR(__xludf.DUMMYFUNCTION("""COMPUTED_VALUE"""),"Woman")</f>
        <v>Woman</v>
      </c>
      <c r="G539" s="6"/>
      <c r="H539" s="6"/>
      <c r="I539" s="6"/>
      <c r="J539" s="6"/>
      <c r="K539" s="6"/>
      <c r="L539" s="6" t="str">
        <f ca="1">IFERROR(__xludf.DUMMYFUNCTION("""COMPUTED_VALUE"""),"No")</f>
        <v>No</v>
      </c>
      <c r="M539" s="6"/>
      <c r="N539" s="6"/>
      <c r="O539" s="6" t="str">
        <f ca="1">IFERROR(__xludf.DUMMYFUNCTION("""COMPUTED_VALUE"""),"Referral")</f>
        <v>Referral</v>
      </c>
      <c r="P539" s="6"/>
      <c r="Q539" s="6" t="str">
        <f ca="1">IFERROR(__xludf.DUMMYFUNCTION("""COMPUTED_VALUE"""),"No")</f>
        <v>No</v>
      </c>
      <c r="R539" s="6">
        <f ca="1">IFERROR(__xludf.DUMMYFUNCTION("""COMPUTED_VALUE"""),1)</f>
        <v>1</v>
      </c>
      <c r="S539" s="6" t="str">
        <f ca="1">IFERROR(__xludf.DUMMYFUNCTION("""COMPUTED_VALUE"""),"Grants")</f>
        <v>Grants</v>
      </c>
      <c r="T539" s="6" t="str">
        <f ca="1">IFERROR(__xludf.DUMMYFUNCTION("""COMPUTED_VALUE"""),"Grants")</f>
        <v>Grants</v>
      </c>
      <c r="U539" s="6" t="str">
        <f ca="1">IFERROR(__xludf.DUMMYFUNCTION("""COMPUTED_VALUE"""),"Grants")</f>
        <v>Grants</v>
      </c>
      <c r="V539" s="6"/>
      <c r="W539" s="6" t="str">
        <f ca="1">IFERROR(__xludf.DUMMYFUNCTION("""COMPUTED_VALUE"""),"Invite Next Year")</f>
        <v>Invite Next Year</v>
      </c>
    </row>
    <row r="540" spans="1:23">
      <c r="A540" s="6" t="str">
        <f ca="1">IFERROR(__xludf.DUMMYFUNCTION("""COMPUTED_VALUE"""),"Man, Man")</f>
        <v>Man, Man</v>
      </c>
      <c r="B540" s="6" t="str">
        <f ca="1">IFERROR(__xludf.DUMMYFUNCTION("""COMPUTED_VALUE"""),"Arpalus _2022")</f>
        <v>Arpalus _2022</v>
      </c>
      <c r="C540" s="6" t="str">
        <f ca="1">IFERROR(__xludf.DUMMYFUNCTION("""COMPUTED_VALUE"""),"Digital Tech")</f>
        <v>Digital Tech</v>
      </c>
      <c r="D540" s="6" t="str">
        <f ca="1">IFERROR(__xludf.DUMMYFUNCTION("""COMPUTED_VALUE"""),"Tenafly, NJ 
United States")</f>
        <v>Tenafly, NJ 
United States</v>
      </c>
      <c r="E540" s="6" t="str">
        <f ca="1">IFERROR(__xludf.DUMMYFUNCTION("""COMPUTED_VALUE"""),"East Coast")</f>
        <v>East Coast</v>
      </c>
      <c r="F540" s="6" t="str">
        <f ca="1">IFERROR(__xludf.DUMMYFUNCTION("""COMPUTED_VALUE"""),"Man")</f>
        <v>Man</v>
      </c>
      <c r="G540" s="6" t="str">
        <f ca="1">IFERROR(__xludf.DUMMYFUNCTION("""COMPUTED_VALUE"""),"Man")</f>
        <v>Man</v>
      </c>
      <c r="H540" s="6"/>
      <c r="I540" s="6"/>
      <c r="J540" s="6"/>
      <c r="K540" s="6"/>
      <c r="L540" s="6" t="str">
        <f ca="1">IFERROR(__xludf.DUMMYFUNCTION("""COMPUTED_VALUE"""),"No")</f>
        <v>No</v>
      </c>
      <c r="M540" s="6"/>
      <c r="N540" s="6"/>
      <c r="O540" s="6" t="str">
        <f ca="1">IFERROR(__xludf.DUMMYFUNCTION("""COMPUTED_VALUE"""),"Facebook")</f>
        <v>Facebook</v>
      </c>
      <c r="P540" s="6"/>
      <c r="Q540" s="6" t="str">
        <f ca="1">IFERROR(__xludf.DUMMYFUNCTION("""COMPUTED_VALUE"""),"No")</f>
        <v>No</v>
      </c>
      <c r="R540" s="6">
        <f ca="1">IFERROR(__xludf.DUMMYFUNCTION("""COMPUTED_VALUE"""),2)</f>
        <v>2</v>
      </c>
      <c r="S540" s="6" t="str">
        <f ca="1">IFERROR(__xludf.DUMMYFUNCTION("""COMPUTED_VALUE"""),"Pre-seed")</f>
        <v>Pre-seed</v>
      </c>
      <c r="T540" s="6" t="str">
        <f ca="1">IFERROR(__xludf.DUMMYFUNCTION("""COMPUTED_VALUE"""),"Pre-seed")</f>
        <v>Pre-seed</v>
      </c>
      <c r="U540" s="6" t="str">
        <f ca="1">IFERROR(__xludf.DUMMYFUNCTION("""COMPUTED_VALUE"""),"Pre-seed")</f>
        <v>Pre-seed</v>
      </c>
      <c r="V540" s="6"/>
      <c r="W540" s="6" t="str">
        <f ca="1">IFERROR(__xludf.DUMMYFUNCTION("""COMPUTED_VALUE"""),"Invite")</f>
        <v>Invite</v>
      </c>
    </row>
    <row r="541" spans="1:23">
      <c r="A541" s="6" t="str">
        <f ca="1">IFERROR(__xludf.DUMMYFUNCTION("""COMPUTED_VALUE"""),"Man, Man")</f>
        <v>Man, Man</v>
      </c>
      <c r="B541" s="6" t="str">
        <f ca="1">IFERROR(__xludf.DUMMYFUNCTION("""COMPUTED_VALUE"""),"BleBluBla _2022")</f>
        <v>BleBluBla _2022</v>
      </c>
      <c r="C541" s="6" t="str">
        <f ca="1">IFERROR(__xludf.DUMMYFUNCTION("""COMPUTED_VALUE"""),"Digital Tech")</f>
        <v>Digital Tech</v>
      </c>
      <c r="D541" s="6" t="str">
        <f ca="1">IFERROR(__xludf.DUMMYFUNCTION("""COMPUTED_VALUE"""),"Bend, OR 
United States")</f>
        <v>Bend, OR 
United States</v>
      </c>
      <c r="E541" s="6" t="str">
        <f ca="1">IFERROR(__xludf.DUMMYFUNCTION("""COMPUTED_VALUE"""),"West Coast")</f>
        <v>West Coast</v>
      </c>
      <c r="F541" s="6" t="str">
        <f ca="1">IFERROR(__xludf.DUMMYFUNCTION("""COMPUTED_VALUE"""),"Man")</f>
        <v>Man</v>
      </c>
      <c r="G541" s="6" t="str">
        <f ca="1">IFERROR(__xludf.DUMMYFUNCTION("""COMPUTED_VALUE"""),"Man")</f>
        <v>Man</v>
      </c>
      <c r="H541" s="6"/>
      <c r="I541" s="6"/>
      <c r="J541" s="6"/>
      <c r="K541" s="6"/>
      <c r="L541" s="6" t="str">
        <f ca="1">IFERROR(__xludf.DUMMYFUNCTION("""COMPUTED_VALUE"""),"No")</f>
        <v>No</v>
      </c>
      <c r="M541" s="6"/>
      <c r="N541" s="6"/>
      <c r="O541" s="6" t="str">
        <f ca="1">IFERROR(__xludf.DUMMYFUNCTION("""COMPUTED_VALUE"""),"Referral")</f>
        <v>Referral</v>
      </c>
      <c r="P541" s="6"/>
      <c r="Q541" s="6" t="str">
        <f ca="1">IFERROR(__xludf.DUMMYFUNCTION("""COMPUTED_VALUE"""),"No")</f>
        <v>No</v>
      </c>
      <c r="R541" s="6">
        <f ca="1">IFERROR(__xludf.DUMMYFUNCTION("""COMPUTED_VALUE"""),2)</f>
        <v>2</v>
      </c>
      <c r="S541" s="6" t="str">
        <f ca="1">IFERROR(__xludf.DUMMYFUNCTION("""COMPUTED_VALUE"""),"None")</f>
        <v>None</v>
      </c>
      <c r="T541" s="6" t="str">
        <f ca="1">IFERROR(__xludf.DUMMYFUNCTION("""COMPUTED_VALUE"""),"None")</f>
        <v>None</v>
      </c>
      <c r="U541" s="6" t="str">
        <f ca="1">IFERROR(__xludf.DUMMYFUNCTION("""COMPUTED_VALUE"""),"None")</f>
        <v>None</v>
      </c>
      <c r="V541" s="6"/>
      <c r="W541" s="6" t="str">
        <f ca="1">IFERROR(__xludf.DUMMYFUNCTION("""COMPUTED_VALUE"""),"Invite Next Year")</f>
        <v>Invite Next Year</v>
      </c>
    </row>
    <row r="542" spans="1:23">
      <c r="A542" s="6" t="str">
        <f ca="1">IFERROR(__xludf.DUMMYFUNCTION("""COMPUTED_VALUE"""),"Man, Man")</f>
        <v>Man, Man</v>
      </c>
      <c r="B542" s="6" t="str">
        <f ca="1">IFERROR(__xludf.DUMMYFUNCTION("""COMPUTED_VALUE"""),"IM SYSTEM Co. Ltd. _2022")</f>
        <v>IM SYSTEM Co. Ltd. _2022</v>
      </c>
      <c r="C542" s="6" t="str">
        <f ca="1">IFERROR(__xludf.DUMMYFUNCTION("""COMPUTED_VALUE"""),"Deep Tech")</f>
        <v>Deep Tech</v>
      </c>
      <c r="D542" s="6" t="str">
        <f ca="1">IFERROR(__xludf.DUMMYFUNCTION("""COMPUTED_VALUE"""),"Daegu, Daegu 
Korea, Republic of")</f>
        <v>Daegu, Daegu 
Korea, Republic of</v>
      </c>
      <c r="E542" s="6" t="str">
        <f ca="1">IFERROR(__xludf.DUMMYFUNCTION("""COMPUTED_VALUE"""),"International - Asia")</f>
        <v>International - Asia</v>
      </c>
      <c r="F542" s="6" t="str">
        <f ca="1">IFERROR(__xludf.DUMMYFUNCTION("""COMPUTED_VALUE"""),"Man")</f>
        <v>Man</v>
      </c>
      <c r="G542" s="6" t="str">
        <f ca="1">IFERROR(__xludf.DUMMYFUNCTION("""COMPUTED_VALUE"""),"Man")</f>
        <v>Man</v>
      </c>
      <c r="H542" s="6"/>
      <c r="I542" s="6"/>
      <c r="J542" s="6"/>
      <c r="K542" s="6"/>
      <c r="L542" s="6" t="str">
        <f ca="1">IFERROR(__xludf.DUMMYFUNCTION("""COMPUTED_VALUE"""),"No")</f>
        <v>No</v>
      </c>
      <c r="M542" s="6"/>
      <c r="N542" s="6"/>
      <c r="O542" s="6" t="str">
        <f ca="1">IFERROR(__xludf.DUMMYFUNCTION("""COMPUTED_VALUE"""),"Other")</f>
        <v>Other</v>
      </c>
      <c r="P542" s="6"/>
      <c r="Q542" s="6" t="str">
        <f ca="1">IFERROR(__xludf.DUMMYFUNCTION("""COMPUTED_VALUE"""),"No")</f>
        <v>No</v>
      </c>
      <c r="R542" s="6">
        <f ca="1">IFERROR(__xludf.DUMMYFUNCTION("""COMPUTED_VALUE"""),2)</f>
        <v>2</v>
      </c>
      <c r="S542" s="6" t="str">
        <f ca="1">IFERROR(__xludf.DUMMYFUNCTION("""COMPUTED_VALUE"""),"Seed")</f>
        <v>Seed</v>
      </c>
      <c r="T542" s="6" t="str">
        <f ca="1">IFERROR(__xludf.DUMMYFUNCTION("""COMPUTED_VALUE"""),"Seed")</f>
        <v>Seed</v>
      </c>
      <c r="U542" s="6" t="str">
        <f ca="1">IFERROR(__xludf.DUMMYFUNCTION("""COMPUTED_VALUE"""),"Seed")</f>
        <v>Seed</v>
      </c>
      <c r="V542" s="6"/>
      <c r="W542" s="6" t="str">
        <f ca="1">IFERROR(__xludf.DUMMYFUNCTION("""COMPUTED_VALUE"""),"Invite Next Year")</f>
        <v>Invite Next Year</v>
      </c>
    </row>
    <row r="543" spans="1:23">
      <c r="A543" s="6" t="str">
        <f ca="1">IFERROR(__xludf.DUMMYFUNCTION("""COMPUTED_VALUE"""),"Woman, Man")</f>
        <v>Woman, Man</v>
      </c>
      <c r="B543" s="6" t="str">
        <f ca="1">IFERROR(__xludf.DUMMYFUNCTION("""COMPUTED_VALUE"""),"Langoo _2022")</f>
        <v>Langoo _2022</v>
      </c>
      <c r="C543" s="6" t="str">
        <f ca="1">IFERROR(__xludf.DUMMYFUNCTION("""COMPUTED_VALUE"""),"Digital Tech")</f>
        <v>Digital Tech</v>
      </c>
      <c r="D543" s="6" t="str">
        <f ca="1">IFERROR(__xludf.DUMMYFUNCTION("""COMPUTED_VALUE"""),"Madrid, Madrid 
Spain")</f>
        <v>Madrid, Madrid 
Spain</v>
      </c>
      <c r="E543" s="6" t="str">
        <f ca="1">IFERROR(__xludf.DUMMYFUNCTION("""COMPUTED_VALUE"""),"International - Europe")</f>
        <v>International - Europe</v>
      </c>
      <c r="F543" s="6" t="str">
        <f ca="1">IFERROR(__xludf.DUMMYFUNCTION("""COMPUTED_VALUE"""),"Woman")</f>
        <v>Woman</v>
      </c>
      <c r="G543" s="6" t="str">
        <f ca="1">IFERROR(__xludf.DUMMYFUNCTION("""COMPUTED_VALUE"""),"Man")</f>
        <v>Man</v>
      </c>
      <c r="H543" s="6"/>
      <c r="I543" s="6"/>
      <c r="J543" s="6"/>
      <c r="K543" s="6"/>
      <c r="L543" s="6" t="str">
        <f ca="1">IFERROR(__xludf.DUMMYFUNCTION("""COMPUTED_VALUE"""),"--Please select--")</f>
        <v>--Please select--</v>
      </c>
      <c r="M543" s="6"/>
      <c r="N543" s="6"/>
      <c r="O543" s="6" t="str">
        <f ca="1">IFERROR(__xludf.DUMMYFUNCTION("""COMPUTED_VALUE"""),"Email")</f>
        <v>Email</v>
      </c>
      <c r="P543" s="6"/>
      <c r="Q543" s="6" t="str">
        <f ca="1">IFERROR(__xludf.DUMMYFUNCTION("""COMPUTED_VALUE"""),"No")</f>
        <v>No</v>
      </c>
      <c r="R543" s="6">
        <f ca="1">IFERROR(__xludf.DUMMYFUNCTION("""COMPUTED_VALUE"""),2)</f>
        <v>2</v>
      </c>
      <c r="S543" s="6" t="str">
        <f ca="1">IFERROR(__xludf.DUMMYFUNCTION("""COMPUTED_VALUE"""),"Pre-seed")</f>
        <v>Pre-seed</v>
      </c>
      <c r="T543" s="6" t="str">
        <f ca="1">IFERROR(__xludf.DUMMYFUNCTION("""COMPUTED_VALUE"""),"Pre-seed")</f>
        <v>Pre-seed</v>
      </c>
      <c r="U543" s="6" t="str">
        <f ca="1">IFERROR(__xludf.DUMMYFUNCTION("""COMPUTED_VALUE"""),"Pre-seed")</f>
        <v>Pre-seed</v>
      </c>
      <c r="V543" s="6"/>
      <c r="W543" s="6" t="str">
        <f ca="1">IFERROR(__xludf.DUMMYFUNCTION("""COMPUTED_VALUE"""),"Invite Next Year")</f>
        <v>Invite Next Year</v>
      </c>
    </row>
    <row r="544" spans="1:23">
      <c r="A544" s="6" t="str">
        <f ca="1">IFERROR(__xludf.DUMMYFUNCTION("""COMPUTED_VALUE"""),"Man, Man")</f>
        <v>Man, Man</v>
      </c>
      <c r="B544" s="6" t="str">
        <f ca="1">IFERROR(__xludf.DUMMYFUNCTION("""COMPUTED_VALUE"""),"SeoHong Tech Co., Ltd. _2022")</f>
        <v>SeoHong Tech Co., Ltd. _2022</v>
      </c>
      <c r="C544" s="6" t="str">
        <f ca="1">IFERROR(__xludf.DUMMYFUNCTION("""COMPUTED_VALUE"""),"Digital Tech")</f>
        <v>Digital Tech</v>
      </c>
      <c r="D544" s="6" t="str">
        <f ca="1">IFERROR(__xludf.DUMMYFUNCTION("""COMPUTED_VALUE"""),"30, Badeurae 1-gil, Dong-gu, Ulsan 
Korea, Republic of")</f>
        <v>30, Badeurae 1-gil, Dong-gu, Ulsan 
Korea, Republic of</v>
      </c>
      <c r="E544" s="6" t="str">
        <f ca="1">IFERROR(__xludf.DUMMYFUNCTION("""COMPUTED_VALUE"""),"International - Asia")</f>
        <v>International - Asia</v>
      </c>
      <c r="F544" s="6" t="str">
        <f ca="1">IFERROR(__xludf.DUMMYFUNCTION("""COMPUTED_VALUE"""),"Man")</f>
        <v>Man</v>
      </c>
      <c r="G544" s="6" t="str">
        <f ca="1">IFERROR(__xludf.DUMMYFUNCTION("""COMPUTED_VALUE"""),"Man")</f>
        <v>Man</v>
      </c>
      <c r="H544" s="6"/>
      <c r="I544" s="6"/>
      <c r="J544" s="6"/>
      <c r="K544" s="6"/>
      <c r="L544" s="6" t="str">
        <f ca="1">IFERROR(__xludf.DUMMYFUNCTION("""COMPUTED_VALUE"""),"No")</f>
        <v>No</v>
      </c>
      <c r="M544" s="6"/>
      <c r="N544" s="6"/>
      <c r="O544" s="6" t="str">
        <f ca="1">IFERROR(__xludf.DUMMYFUNCTION("""COMPUTED_VALUE"""),"Referral")</f>
        <v>Referral</v>
      </c>
      <c r="P544" s="6"/>
      <c r="Q544" s="6" t="str">
        <f ca="1">IFERROR(__xludf.DUMMYFUNCTION("""COMPUTED_VALUE"""),"No")</f>
        <v>No</v>
      </c>
      <c r="R544" s="6">
        <f ca="1">IFERROR(__xludf.DUMMYFUNCTION("""COMPUTED_VALUE"""),2)</f>
        <v>2</v>
      </c>
      <c r="S544" s="6" t="str">
        <f ca="1">IFERROR(__xludf.DUMMYFUNCTION("""COMPUTED_VALUE"""),"Pre-seed
Grants")</f>
        <v>Pre-seed
Grants</v>
      </c>
      <c r="T544" s="6" t="str">
        <f ca="1">IFERROR(__xludf.DUMMYFUNCTION("""COMPUTED_VALUE"""),"Pre-seed, Grants")</f>
        <v>Pre-seed, Grants</v>
      </c>
      <c r="U544" s="6" t="str">
        <f ca="1">IFERROR(__xludf.DUMMYFUNCTION("""COMPUTED_VALUE"""),"Pre-seed, Grants")</f>
        <v>Pre-seed, Grants</v>
      </c>
      <c r="V544" s="6"/>
      <c r="W544" s="6" t="str">
        <f ca="1">IFERROR(__xludf.DUMMYFUNCTION("""COMPUTED_VALUE"""),"Invite Next Year")</f>
        <v>Invite Next Year</v>
      </c>
    </row>
    <row r="545" spans="1:23">
      <c r="A545" s="6" t="str">
        <f ca="1">IFERROR(__xludf.DUMMYFUNCTION("""COMPUTED_VALUE"""),"Man")</f>
        <v>Man</v>
      </c>
      <c r="B545" s="6" t="str">
        <f ca="1">IFERROR(__xludf.DUMMYFUNCTION("""COMPUTED_VALUE"""),"OmniCyte, LLC _2022")</f>
        <v>OmniCyte, LLC _2022</v>
      </c>
      <c r="C545" s="6" t="str">
        <f ca="1">IFERROR(__xludf.DUMMYFUNCTION("""COMPUTED_VALUE"""),"Life Sciences")</f>
        <v>Life Sciences</v>
      </c>
      <c r="D545" s="6" t="str">
        <f ca="1">IFERROR(__xludf.DUMMYFUNCTION("""COMPUTED_VALUE"""),"Branford, CT 
United States")</f>
        <v>Branford, CT 
United States</v>
      </c>
      <c r="E545" s="6" t="str">
        <f ca="1">IFERROR(__xludf.DUMMYFUNCTION("""COMPUTED_VALUE"""),"East Coast")</f>
        <v>East Coast</v>
      </c>
      <c r="F545" s="6" t="str">
        <f ca="1">IFERROR(__xludf.DUMMYFUNCTION("""COMPUTED_VALUE"""),"Man")</f>
        <v>Man</v>
      </c>
      <c r="G545" s="6"/>
      <c r="H545" s="6"/>
      <c r="I545" s="6"/>
      <c r="J545" s="6"/>
      <c r="K545" s="6"/>
      <c r="L545" s="6" t="str">
        <f ca="1">IFERROR(__xludf.DUMMYFUNCTION("""COMPUTED_VALUE"""),"Yes")</f>
        <v>Yes</v>
      </c>
      <c r="M545" s="6" t="str">
        <f ca="1">IFERROR(__xludf.DUMMYFUNCTION("""COMPUTED_VALUE"""),"NYU Alumni")</f>
        <v>NYU Alumni</v>
      </c>
      <c r="N545" s="6"/>
      <c r="O545" s="6" t="str">
        <f ca="1">IFERROR(__xludf.DUMMYFUNCTION("""COMPUTED_VALUE"""),"Email")</f>
        <v>Email</v>
      </c>
      <c r="P545" s="6"/>
      <c r="Q545" s="6" t="str">
        <f ca="1">IFERROR(__xludf.DUMMYFUNCTION("""COMPUTED_VALUE"""),"No")</f>
        <v>No</v>
      </c>
      <c r="R545" s="6">
        <f ca="1">IFERROR(__xludf.DUMMYFUNCTION("""COMPUTED_VALUE"""),1)</f>
        <v>1</v>
      </c>
      <c r="S545" s="6" t="str">
        <f ca="1">IFERROR(__xludf.DUMMYFUNCTION("""COMPUTED_VALUE"""),"Seed")</f>
        <v>Seed</v>
      </c>
      <c r="T545" s="6" t="str">
        <f ca="1">IFERROR(__xludf.DUMMYFUNCTION("""COMPUTED_VALUE"""),"Seed")</f>
        <v>Seed</v>
      </c>
      <c r="U545" s="6" t="str">
        <f ca="1">IFERROR(__xludf.DUMMYFUNCTION("""COMPUTED_VALUE"""),"Seed")</f>
        <v>Seed</v>
      </c>
      <c r="V545" s="6"/>
      <c r="W545" s="6" t="str">
        <f ca="1">IFERROR(__xludf.DUMMYFUNCTION("""COMPUTED_VALUE"""),"Invite")</f>
        <v>Invite</v>
      </c>
    </row>
    <row r="546" spans="1:23">
      <c r="A546" s="6" t="str">
        <f ca="1">IFERROR(__xludf.DUMMYFUNCTION("""COMPUTED_VALUE"""),"Woman, Woman")</f>
        <v>Woman, Woman</v>
      </c>
      <c r="B546" s="6" t="str">
        <f ca="1">IFERROR(__xludf.DUMMYFUNCTION("""COMPUTED_VALUE"""),"Upfront _2022")</f>
        <v>Upfront _2022</v>
      </c>
      <c r="C546" s="6" t="str">
        <f ca="1">IFERROR(__xludf.DUMMYFUNCTION("""COMPUTED_VALUE"""),"Digital Tech")</f>
        <v>Digital Tech</v>
      </c>
      <c r="D546" s="6" t="str">
        <f ca="1">IFERROR(__xludf.DUMMYFUNCTION("""COMPUTED_VALUE"""),"249 E 118th St Apt 2D New York, NY 
United States")</f>
        <v>249 E 118th St Apt 2D New York, NY 
United States</v>
      </c>
      <c r="E546" s="6" t="str">
        <f ca="1">IFERROR(__xludf.DUMMYFUNCTION("""COMPUTED_VALUE"""),"New York")</f>
        <v>New York</v>
      </c>
      <c r="F546" s="6" t="str">
        <f ca="1">IFERROR(__xludf.DUMMYFUNCTION("""COMPUTED_VALUE"""),"Woman")</f>
        <v>Woman</v>
      </c>
      <c r="G546" s="6" t="str">
        <f ca="1">IFERROR(__xludf.DUMMYFUNCTION("""COMPUTED_VALUE"""),"Woman")</f>
        <v>Woman</v>
      </c>
      <c r="H546" s="6"/>
      <c r="I546" s="6"/>
      <c r="J546" s="6"/>
      <c r="K546" s="6"/>
      <c r="L546" s="6" t="str">
        <f ca="1">IFERROR(__xludf.DUMMYFUNCTION("""COMPUTED_VALUE"""),"--Please select--")</f>
        <v>--Please select--</v>
      </c>
      <c r="M546" s="6"/>
      <c r="N546" s="6"/>
      <c r="O546" s="6" t="str">
        <f ca="1">IFERROR(__xludf.DUMMYFUNCTION("""COMPUTED_VALUE"""),"Email")</f>
        <v>Email</v>
      </c>
      <c r="P546" s="6"/>
      <c r="Q546" s="6" t="str">
        <f ca="1">IFERROR(__xludf.DUMMYFUNCTION("""COMPUTED_VALUE"""),"No")</f>
        <v>No</v>
      </c>
      <c r="R546" s="6">
        <f ca="1">IFERROR(__xludf.DUMMYFUNCTION("""COMPUTED_VALUE"""),2)</f>
        <v>2</v>
      </c>
      <c r="S546" s="6" t="str">
        <f ca="1">IFERROR(__xludf.DUMMYFUNCTION("""COMPUTED_VALUE"""),"Grants")</f>
        <v>Grants</v>
      </c>
      <c r="T546" s="6" t="str">
        <f ca="1">IFERROR(__xludf.DUMMYFUNCTION("""COMPUTED_VALUE"""),"Grants")</f>
        <v>Grants</v>
      </c>
      <c r="U546" s="6" t="str">
        <f ca="1">IFERROR(__xludf.DUMMYFUNCTION("""COMPUTED_VALUE"""),"Grants")</f>
        <v>Grants</v>
      </c>
      <c r="V546" s="6"/>
      <c r="W546" s="6" t="str">
        <f ca="1">IFERROR(__xludf.DUMMYFUNCTION("""COMPUTED_VALUE"""),"Invite Next Year")</f>
        <v>Invite Next Year</v>
      </c>
    </row>
    <row r="547" spans="1:23">
      <c r="A547" s="6" t="str">
        <f ca="1">IFERROR(__xludf.DUMMYFUNCTION("""COMPUTED_VALUE"""),"Man, Man, Man")</f>
        <v>Man, Man, Man</v>
      </c>
      <c r="B547" s="6" t="str">
        <f ca="1">IFERROR(__xludf.DUMMYFUNCTION("""COMPUTED_VALUE"""),"Edverse Ltd _2022")</f>
        <v>Edverse Ltd _2022</v>
      </c>
      <c r="C547" s="6" t="str">
        <f ca="1">IFERROR(__xludf.DUMMYFUNCTION("""COMPUTED_VALUE"""),"Digital Tech")</f>
        <v>Digital Tech</v>
      </c>
      <c r="D547" s="6" t="str">
        <f ca="1">IFERROR(__xludf.DUMMYFUNCTION("""COMPUTED_VALUE"""),"Gurgaon, haryana 
India")</f>
        <v>Gurgaon, haryana 
India</v>
      </c>
      <c r="E547" s="6" t="str">
        <f ca="1">IFERROR(__xludf.DUMMYFUNCTION("""COMPUTED_VALUE"""),"International - Asia")</f>
        <v>International - Asia</v>
      </c>
      <c r="F547" s="6" t="str">
        <f ca="1">IFERROR(__xludf.DUMMYFUNCTION("""COMPUTED_VALUE"""),"Man")</f>
        <v>Man</v>
      </c>
      <c r="G547" s="6" t="str">
        <f ca="1">IFERROR(__xludf.DUMMYFUNCTION("""COMPUTED_VALUE"""),"Man")</f>
        <v>Man</v>
      </c>
      <c r="H547" s="6" t="str">
        <f ca="1">IFERROR(__xludf.DUMMYFUNCTION("""COMPUTED_VALUE"""),"Man")</f>
        <v>Man</v>
      </c>
      <c r="I547" s="6"/>
      <c r="J547" s="6"/>
      <c r="K547" s="6"/>
      <c r="L547" s="6" t="str">
        <f ca="1">IFERROR(__xludf.DUMMYFUNCTION("""COMPUTED_VALUE"""),"No")</f>
        <v>No</v>
      </c>
      <c r="M547" s="6"/>
      <c r="N547" s="6"/>
      <c r="O547" s="6" t="str">
        <f ca="1">IFERROR(__xludf.DUMMYFUNCTION("""COMPUTED_VALUE"""),"Other")</f>
        <v>Other</v>
      </c>
      <c r="P547" s="6"/>
      <c r="Q547" s="6" t="str">
        <f ca="1">IFERROR(__xludf.DUMMYFUNCTION("""COMPUTED_VALUE"""),"No")</f>
        <v>No</v>
      </c>
      <c r="R547" s="6">
        <f ca="1">IFERROR(__xludf.DUMMYFUNCTION("""COMPUTED_VALUE"""),3)</f>
        <v>3</v>
      </c>
      <c r="S547" s="6" t="str">
        <f ca="1">IFERROR(__xludf.DUMMYFUNCTION("""COMPUTED_VALUE"""),"Seed")</f>
        <v>Seed</v>
      </c>
      <c r="T547" s="6" t="str">
        <f ca="1">IFERROR(__xludf.DUMMYFUNCTION("""COMPUTED_VALUE"""),"Seed")</f>
        <v>Seed</v>
      </c>
      <c r="U547" s="6" t="str">
        <f ca="1">IFERROR(__xludf.DUMMYFUNCTION("""COMPUTED_VALUE"""),"Seed")</f>
        <v>Seed</v>
      </c>
      <c r="V547" s="6"/>
      <c r="W547" s="6" t="str">
        <f ca="1">IFERROR(__xludf.DUMMYFUNCTION("""COMPUTED_VALUE"""),"Invite")</f>
        <v>Invite</v>
      </c>
    </row>
    <row r="548" spans="1:23">
      <c r="A548" s="6" t="str">
        <f ca="1">IFERROR(__xludf.DUMMYFUNCTION("""COMPUTED_VALUE"""),"Man, Man")</f>
        <v>Man, Man</v>
      </c>
      <c r="B548" s="6" t="str">
        <f ca="1">IFERROR(__xludf.DUMMYFUNCTION("""COMPUTED_VALUE"""),"PONS _2022")</f>
        <v>PONS _2022</v>
      </c>
      <c r="C548" s="6" t="str">
        <f ca="1">IFERROR(__xludf.DUMMYFUNCTION("""COMPUTED_VALUE"""),"Deep Tech")</f>
        <v>Deep Tech</v>
      </c>
      <c r="D548" s="6" t="str">
        <f ca="1">IFERROR(__xludf.DUMMYFUNCTION("""COMPUTED_VALUE"""),"123 Town Square Place Jersey City, NJ 07310, New Jersey 
United States")</f>
        <v>123 Town Square Place Jersey City, NJ 07310, New Jersey 
United States</v>
      </c>
      <c r="E548" s="6" t="str">
        <f ca="1">IFERROR(__xludf.DUMMYFUNCTION("""COMPUTED_VALUE"""),"East Coast")</f>
        <v>East Coast</v>
      </c>
      <c r="F548" s="6" t="str">
        <f ca="1">IFERROR(__xludf.DUMMYFUNCTION("""COMPUTED_VALUE"""),"Man")</f>
        <v>Man</v>
      </c>
      <c r="G548" s="6" t="str">
        <f ca="1">IFERROR(__xludf.DUMMYFUNCTION("""COMPUTED_VALUE"""),"Man")</f>
        <v>Man</v>
      </c>
      <c r="H548" s="6"/>
      <c r="I548" s="6"/>
      <c r="J548" s="6"/>
      <c r="K548" s="6"/>
      <c r="L548" s="6" t="str">
        <f ca="1">IFERROR(__xludf.DUMMYFUNCTION("""COMPUTED_VALUE"""),"No")</f>
        <v>No</v>
      </c>
      <c r="M548" s="6"/>
      <c r="N548" s="6"/>
      <c r="O548" s="6" t="str">
        <f ca="1">IFERROR(__xludf.DUMMYFUNCTION("""COMPUTED_VALUE"""),"Email")</f>
        <v>Email</v>
      </c>
      <c r="P548" s="6"/>
      <c r="Q548" s="6" t="str">
        <f ca="1">IFERROR(__xludf.DUMMYFUNCTION("""COMPUTED_VALUE"""),"No")</f>
        <v>No</v>
      </c>
      <c r="R548" s="6">
        <f ca="1">IFERROR(__xludf.DUMMYFUNCTION("""COMPUTED_VALUE"""),2)</f>
        <v>2</v>
      </c>
      <c r="S548" s="6" t="str">
        <f ca="1">IFERROR(__xludf.DUMMYFUNCTION("""COMPUTED_VALUE"""),"Pre-seed")</f>
        <v>Pre-seed</v>
      </c>
      <c r="T548" s="6" t="str">
        <f ca="1">IFERROR(__xludf.DUMMYFUNCTION("""COMPUTED_VALUE"""),"Pre-seed")</f>
        <v>Pre-seed</v>
      </c>
      <c r="U548" s="6" t="str">
        <f ca="1">IFERROR(__xludf.DUMMYFUNCTION("""COMPUTED_VALUE"""),"Pre-seed")</f>
        <v>Pre-seed</v>
      </c>
      <c r="V548" s="6"/>
      <c r="W548" s="6" t="str">
        <f ca="1">IFERROR(__xludf.DUMMYFUNCTION("""COMPUTED_VALUE"""),"Invite")</f>
        <v>Invite</v>
      </c>
    </row>
    <row r="549" spans="1:23">
      <c r="A549" s="6" t="str">
        <f ca="1">IFERROR(__xludf.DUMMYFUNCTION("""COMPUTED_VALUE"""),"Man, Man, Man")</f>
        <v>Man, Man, Man</v>
      </c>
      <c r="B549" s="6" t="str">
        <f ca="1">IFERROR(__xludf.DUMMYFUNCTION("""COMPUTED_VALUE"""),"bistrochat software ltd _2022")</f>
        <v>bistrochat software ltd _2022</v>
      </c>
      <c r="C549" s="6" t="str">
        <f ca="1">IFERROR(__xludf.DUMMYFUNCTION("""COMPUTED_VALUE"""),"Digital Tech")</f>
        <v>Digital Tech</v>
      </c>
      <c r="D549" s="6" t="str">
        <f ca="1">IFERROR(__xludf.DUMMYFUNCTION("""COMPUTED_VALUE"""),"Hong Kong, Hong Kong 
Hong Kong")</f>
        <v>Hong Kong, Hong Kong 
Hong Kong</v>
      </c>
      <c r="E549" s="6" t="str">
        <f ca="1">IFERROR(__xludf.DUMMYFUNCTION("""COMPUTED_VALUE"""),"International - Asia")</f>
        <v>International - Asia</v>
      </c>
      <c r="F549" s="6" t="str">
        <f ca="1">IFERROR(__xludf.DUMMYFUNCTION("""COMPUTED_VALUE"""),"Man")</f>
        <v>Man</v>
      </c>
      <c r="G549" s="6" t="str">
        <f ca="1">IFERROR(__xludf.DUMMYFUNCTION("""COMPUTED_VALUE"""),"Man")</f>
        <v>Man</v>
      </c>
      <c r="H549" s="6" t="str">
        <f ca="1">IFERROR(__xludf.DUMMYFUNCTION("""COMPUTED_VALUE"""),"Man")</f>
        <v>Man</v>
      </c>
      <c r="I549" s="6"/>
      <c r="J549" s="6"/>
      <c r="K549" s="6"/>
      <c r="L549" s="6" t="str">
        <f ca="1">IFERROR(__xludf.DUMMYFUNCTION("""COMPUTED_VALUE"""),"--Please select--")</f>
        <v>--Please select--</v>
      </c>
      <c r="M549" s="6"/>
      <c r="N549" s="6"/>
      <c r="O549" s="6" t="str">
        <f ca="1">IFERROR(__xludf.DUMMYFUNCTION("""COMPUTED_VALUE"""),"Email")</f>
        <v>Email</v>
      </c>
      <c r="P549" s="6"/>
      <c r="Q549" s="6" t="str">
        <f ca="1">IFERROR(__xludf.DUMMYFUNCTION("""COMPUTED_VALUE"""),"No")</f>
        <v>No</v>
      </c>
      <c r="R549" s="6">
        <f ca="1">IFERROR(__xludf.DUMMYFUNCTION("""COMPUTED_VALUE"""),3)</f>
        <v>3</v>
      </c>
      <c r="S549" s="6" t="str">
        <f ca="1">IFERROR(__xludf.DUMMYFUNCTION("""COMPUTED_VALUE"""),"Pre-seed
Seed")</f>
        <v>Pre-seed
Seed</v>
      </c>
      <c r="T549" s="6" t="str">
        <f ca="1">IFERROR(__xludf.DUMMYFUNCTION("""COMPUTED_VALUE"""),"Pre-seed, Seed")</f>
        <v>Pre-seed, Seed</v>
      </c>
      <c r="U549" s="6" t="str">
        <f ca="1">IFERROR(__xludf.DUMMYFUNCTION("""COMPUTED_VALUE"""),"Pre-seed, Seed")</f>
        <v>Pre-seed, Seed</v>
      </c>
      <c r="V549" s="6"/>
      <c r="W549" s="6" t="str">
        <f ca="1">IFERROR(__xludf.DUMMYFUNCTION("""COMPUTED_VALUE"""),"Invite Next Year")</f>
        <v>Invite Next Year</v>
      </c>
    </row>
    <row r="550" spans="1:23">
      <c r="A550" s="6" t="str">
        <f ca="1">IFERROR(__xludf.DUMMYFUNCTION("""COMPUTED_VALUE"""),"Man, Man, Man")</f>
        <v>Man, Man, Man</v>
      </c>
      <c r="B550" s="6" t="str">
        <f ca="1">IFERROR(__xludf.DUMMYFUNCTION("""COMPUTED_VALUE"""),"Creditchek _2022")</f>
        <v>Creditchek _2022</v>
      </c>
      <c r="C550" s="6" t="str">
        <f ca="1">IFERROR(__xludf.DUMMYFUNCTION("""COMPUTED_VALUE"""),"Digital Tech")</f>
        <v>Digital Tech</v>
      </c>
      <c r="D550" s="6" t="str">
        <f ca="1">IFERROR(__xludf.DUMMYFUNCTION("""COMPUTED_VALUE"""),"Lekki, Lagos 
Nigeria")</f>
        <v>Lekki, Lagos 
Nigeria</v>
      </c>
      <c r="E550" s="6" t="str">
        <f ca="1">IFERROR(__xludf.DUMMYFUNCTION("""COMPUTED_VALUE"""),"International - Other")</f>
        <v>International - Other</v>
      </c>
      <c r="F550" s="6" t="str">
        <f ca="1">IFERROR(__xludf.DUMMYFUNCTION("""COMPUTED_VALUE"""),"Man")</f>
        <v>Man</v>
      </c>
      <c r="G550" s="6" t="str">
        <f ca="1">IFERROR(__xludf.DUMMYFUNCTION("""COMPUTED_VALUE"""),"Man")</f>
        <v>Man</v>
      </c>
      <c r="H550" s="6" t="str">
        <f ca="1">IFERROR(__xludf.DUMMYFUNCTION("""COMPUTED_VALUE"""),"Man")</f>
        <v>Man</v>
      </c>
      <c r="I550" s="6"/>
      <c r="J550" s="6"/>
      <c r="K550" s="6"/>
      <c r="L550" s="6" t="str">
        <f ca="1">IFERROR(__xludf.DUMMYFUNCTION("""COMPUTED_VALUE"""),"No")</f>
        <v>No</v>
      </c>
      <c r="M550" s="6"/>
      <c r="N550" s="6"/>
      <c r="O550" s="6" t="str">
        <f ca="1">IFERROR(__xludf.DUMMYFUNCTION("""COMPUTED_VALUE"""),"Email")</f>
        <v>Email</v>
      </c>
      <c r="P550" s="6"/>
      <c r="Q550" s="6" t="str">
        <f ca="1">IFERROR(__xludf.DUMMYFUNCTION("""COMPUTED_VALUE"""),"No")</f>
        <v>No</v>
      </c>
      <c r="R550" s="6">
        <f ca="1">IFERROR(__xludf.DUMMYFUNCTION("""COMPUTED_VALUE"""),3)</f>
        <v>3</v>
      </c>
      <c r="S550" s="6" t="str">
        <f ca="1">IFERROR(__xludf.DUMMYFUNCTION("""COMPUTED_VALUE"""),"Pre-seed")</f>
        <v>Pre-seed</v>
      </c>
      <c r="T550" s="6" t="str">
        <f ca="1">IFERROR(__xludf.DUMMYFUNCTION("""COMPUTED_VALUE"""),"Pre-seed")</f>
        <v>Pre-seed</v>
      </c>
      <c r="U550" s="6" t="str">
        <f ca="1">IFERROR(__xludf.DUMMYFUNCTION("""COMPUTED_VALUE"""),"Pre-seed")</f>
        <v>Pre-seed</v>
      </c>
      <c r="V550" s="6"/>
      <c r="W550" s="6" t="str">
        <f ca="1">IFERROR(__xludf.DUMMYFUNCTION("""COMPUTED_VALUE"""),"Invite Next Year")</f>
        <v>Invite Next Year</v>
      </c>
    </row>
    <row r="551" spans="1:23">
      <c r="A551" s="6" t="str">
        <f ca="1">IFERROR(__xludf.DUMMYFUNCTION("""COMPUTED_VALUE"""),"Man, Man")</f>
        <v>Man, Man</v>
      </c>
      <c r="B551" s="6" t="str">
        <f ca="1">IFERROR(__xludf.DUMMYFUNCTION("""COMPUTED_VALUE"""),"Progressive Generation Studios _2022")</f>
        <v>Progressive Generation Studios _2022</v>
      </c>
      <c r="C551" s="6" t="str">
        <f ca="1">IFERROR(__xludf.DUMMYFUNCTION("""COMPUTED_VALUE"""),"Digital Tech")</f>
        <v>Digital Tech</v>
      </c>
      <c r="D551" s="6" t="str">
        <f ca="1">IFERROR(__xludf.DUMMYFUNCTION("""COMPUTED_VALUE"""),"Amman, , Jabal Amman 
Jordan")</f>
        <v>Amman, , Jabal Amman 
Jordan</v>
      </c>
      <c r="E551" s="6" t="str">
        <f ca="1">IFERROR(__xludf.DUMMYFUNCTION("""COMPUTED_VALUE"""),"International - Middle East")</f>
        <v>International - Middle East</v>
      </c>
      <c r="F551" s="6" t="str">
        <f ca="1">IFERROR(__xludf.DUMMYFUNCTION("""COMPUTED_VALUE"""),"Man")</f>
        <v>Man</v>
      </c>
      <c r="G551" s="6" t="str">
        <f ca="1">IFERROR(__xludf.DUMMYFUNCTION("""COMPUTED_VALUE"""),"Man")</f>
        <v>Man</v>
      </c>
      <c r="H551" s="6"/>
      <c r="I551" s="6"/>
      <c r="J551" s="6"/>
      <c r="K551" s="6"/>
      <c r="L551" s="6" t="str">
        <f ca="1">IFERROR(__xludf.DUMMYFUNCTION("""COMPUTED_VALUE"""),"No")</f>
        <v>No</v>
      </c>
      <c r="M551" s="6"/>
      <c r="N551" s="6"/>
      <c r="O551" s="6" t="str">
        <f ca="1">IFERROR(__xludf.DUMMYFUNCTION("""COMPUTED_VALUE"""),"NYU Newsletter")</f>
        <v>NYU Newsletter</v>
      </c>
      <c r="P551" s="6"/>
      <c r="Q551" s="6" t="str">
        <f ca="1">IFERROR(__xludf.DUMMYFUNCTION("""COMPUTED_VALUE"""),"No")</f>
        <v>No</v>
      </c>
      <c r="R551" s="6">
        <f ca="1">IFERROR(__xludf.DUMMYFUNCTION("""COMPUTED_VALUE"""),2)</f>
        <v>2</v>
      </c>
      <c r="S551" s="6" t="str">
        <f ca="1">IFERROR(__xludf.DUMMYFUNCTION("""COMPUTED_VALUE"""),"Bridge")</f>
        <v>Bridge</v>
      </c>
      <c r="T551" s="6" t="str">
        <f ca="1">IFERROR(__xludf.DUMMYFUNCTION("""COMPUTED_VALUE"""),"Bridge")</f>
        <v>Bridge</v>
      </c>
      <c r="U551" s="6" t="str">
        <f ca="1">IFERROR(__xludf.DUMMYFUNCTION("""COMPUTED_VALUE"""),"Bridge")</f>
        <v>Bridge</v>
      </c>
      <c r="V551" s="6"/>
      <c r="W551" s="6" t="str">
        <f ca="1">IFERROR(__xludf.DUMMYFUNCTION("""COMPUTED_VALUE"""),"Invite Next Year")</f>
        <v>Invite Next Year</v>
      </c>
    </row>
    <row r="552" spans="1:23">
      <c r="A552" s="6" t="str">
        <f ca="1">IFERROR(__xludf.DUMMYFUNCTION("""COMPUTED_VALUE"""),"Man, Man")</f>
        <v>Man, Man</v>
      </c>
      <c r="B552" s="6" t="str">
        <f ca="1">IFERROR(__xludf.DUMMYFUNCTION("""COMPUTED_VALUE"""),"Sensible Biotechnologies _2022")</f>
        <v>Sensible Biotechnologies _2022</v>
      </c>
      <c r="C552" s="6" t="str">
        <f ca="1">IFERROR(__xludf.DUMMYFUNCTION("""COMPUTED_VALUE"""),"Life Sciences")</f>
        <v>Life Sciences</v>
      </c>
      <c r="D552" s="6" t="str">
        <f ca="1">IFERROR(__xludf.DUMMYFUNCTION("""COMPUTED_VALUE"""),"Claymont, Delaware 
United States")</f>
        <v>Claymont, Delaware 
United States</v>
      </c>
      <c r="E552" s="6" t="str">
        <f ca="1">IFERROR(__xludf.DUMMYFUNCTION("""COMPUTED_VALUE"""),"East Coast")</f>
        <v>East Coast</v>
      </c>
      <c r="F552" s="6" t="str">
        <f ca="1">IFERROR(__xludf.DUMMYFUNCTION("""COMPUTED_VALUE"""),"Man")</f>
        <v>Man</v>
      </c>
      <c r="G552" s="6" t="str">
        <f ca="1">IFERROR(__xludf.DUMMYFUNCTION("""COMPUTED_VALUE"""),"Man")</f>
        <v>Man</v>
      </c>
      <c r="H552" s="6"/>
      <c r="I552" s="6"/>
      <c r="J552" s="6"/>
      <c r="K552" s="6"/>
      <c r="L552" s="6" t="str">
        <f ca="1">IFERROR(__xludf.DUMMYFUNCTION("""COMPUTED_VALUE"""),"No")</f>
        <v>No</v>
      </c>
      <c r="M552" s="6"/>
      <c r="N552" s="6"/>
      <c r="O552" s="6" t="str">
        <f ca="1">IFERROR(__xludf.DUMMYFUNCTION("""COMPUTED_VALUE"""),"Other")</f>
        <v>Other</v>
      </c>
      <c r="P552" s="6"/>
      <c r="Q552" s="6" t="str">
        <f ca="1">IFERROR(__xludf.DUMMYFUNCTION("""COMPUTED_VALUE"""),"No")</f>
        <v>No</v>
      </c>
      <c r="R552" s="6">
        <f ca="1">IFERROR(__xludf.DUMMYFUNCTION("""COMPUTED_VALUE"""),2)</f>
        <v>2</v>
      </c>
      <c r="S552" s="6" t="str">
        <f ca="1">IFERROR(__xludf.DUMMYFUNCTION("""COMPUTED_VALUE"""),"Pre-seed")</f>
        <v>Pre-seed</v>
      </c>
      <c r="T552" s="6" t="str">
        <f ca="1">IFERROR(__xludf.DUMMYFUNCTION("""COMPUTED_VALUE"""),"Pre-seed")</f>
        <v>Pre-seed</v>
      </c>
      <c r="U552" s="6" t="str">
        <f ca="1">IFERROR(__xludf.DUMMYFUNCTION("""COMPUTED_VALUE"""),"Pre-seed")</f>
        <v>Pre-seed</v>
      </c>
      <c r="V552" s="6"/>
      <c r="W552" s="6" t="str">
        <f ca="1">IFERROR(__xludf.DUMMYFUNCTION("""COMPUTED_VALUE"""),"Invite Next Year")</f>
        <v>Invite Next Year</v>
      </c>
    </row>
    <row r="553" spans="1:23">
      <c r="A553" s="6" t="str">
        <f ca="1">IFERROR(__xludf.DUMMYFUNCTION("""COMPUTED_VALUE"""),"Man")</f>
        <v>Man</v>
      </c>
      <c r="B553" s="6" t="str">
        <f ca="1">IFERROR(__xludf.DUMMYFUNCTION("""COMPUTED_VALUE"""),"Vendor Infra Global Private limited _2022")</f>
        <v>Vendor Infra Global Private limited _2022</v>
      </c>
      <c r="C553" s="6" t="str">
        <f ca="1">IFERROR(__xludf.DUMMYFUNCTION("""COMPUTED_VALUE"""),"Digital Tech")</f>
        <v>Digital Tech</v>
      </c>
      <c r="D553" s="6" t="str">
        <f ca="1">IFERROR(__xludf.DUMMYFUNCTION("""COMPUTED_VALUE"""),"Unit no- 1436 - 1438, Uttar Pradesh 
India")</f>
        <v>Unit no- 1436 - 1438, Uttar Pradesh 
India</v>
      </c>
      <c r="E553" s="6" t="str">
        <f ca="1">IFERROR(__xludf.DUMMYFUNCTION("""COMPUTED_VALUE"""),"International - Asia")</f>
        <v>International - Asia</v>
      </c>
      <c r="F553" s="6" t="str">
        <f ca="1">IFERROR(__xludf.DUMMYFUNCTION("""COMPUTED_VALUE"""),"Man")</f>
        <v>Man</v>
      </c>
      <c r="G553" s="6"/>
      <c r="H553" s="6"/>
      <c r="I553" s="6"/>
      <c r="J553" s="6"/>
      <c r="K553" s="6"/>
      <c r="L553" s="6" t="str">
        <f ca="1">IFERROR(__xludf.DUMMYFUNCTION("""COMPUTED_VALUE"""),"No")</f>
        <v>No</v>
      </c>
      <c r="M553" s="6"/>
      <c r="N553" s="6"/>
      <c r="O553" s="6" t="str">
        <f ca="1">IFERROR(__xludf.DUMMYFUNCTION("""COMPUTED_VALUE"""),"Email")</f>
        <v>Email</v>
      </c>
      <c r="P553" s="6"/>
      <c r="Q553" s="6" t="str">
        <f ca="1">IFERROR(__xludf.DUMMYFUNCTION("""COMPUTED_VALUE"""),"No")</f>
        <v>No</v>
      </c>
      <c r="R553" s="6">
        <f ca="1">IFERROR(__xludf.DUMMYFUNCTION("""COMPUTED_VALUE"""),1)</f>
        <v>1</v>
      </c>
      <c r="S553" s="6" t="str">
        <f ca="1">IFERROR(__xludf.DUMMYFUNCTION("""COMPUTED_VALUE"""),"Seed")</f>
        <v>Seed</v>
      </c>
      <c r="T553" s="6" t="str">
        <f ca="1">IFERROR(__xludf.DUMMYFUNCTION("""COMPUTED_VALUE"""),"Seed")</f>
        <v>Seed</v>
      </c>
      <c r="U553" s="6" t="str">
        <f ca="1">IFERROR(__xludf.DUMMYFUNCTION("""COMPUTED_VALUE"""),"Seed")</f>
        <v>Seed</v>
      </c>
      <c r="V553" s="6"/>
      <c r="W553" s="6" t="str">
        <f ca="1">IFERROR(__xludf.DUMMYFUNCTION("""COMPUTED_VALUE"""),"Invite Next Year")</f>
        <v>Invite Next Year</v>
      </c>
    </row>
    <row r="554" spans="1:23">
      <c r="A554" s="6" t="str">
        <f ca="1">IFERROR(__xludf.DUMMYFUNCTION("""COMPUTED_VALUE"""),"Man, Man, Man")</f>
        <v>Man, Man, Man</v>
      </c>
      <c r="B554" s="6" t="str">
        <f ca="1">IFERROR(__xludf.DUMMYFUNCTION("""COMPUTED_VALUE"""),"MindTrace _2022")</f>
        <v>MindTrace _2022</v>
      </c>
      <c r="C554" s="6" t="str">
        <f ca="1">IFERROR(__xludf.DUMMYFUNCTION("""COMPUTED_VALUE"""),"Digital Tech")</f>
        <v>Digital Tech</v>
      </c>
      <c r="D554" s="6" t="str">
        <f ca="1">IFERROR(__xludf.DUMMYFUNCTION("""COMPUTED_VALUE"""),"Pittsburgh, PA 
United States")</f>
        <v>Pittsburgh, PA 
United States</v>
      </c>
      <c r="E554" s="6" t="str">
        <f ca="1">IFERROR(__xludf.DUMMYFUNCTION("""COMPUTED_VALUE"""),"East Coast")</f>
        <v>East Coast</v>
      </c>
      <c r="F554" s="6" t="str">
        <f ca="1">IFERROR(__xludf.DUMMYFUNCTION("""COMPUTED_VALUE"""),"Man")</f>
        <v>Man</v>
      </c>
      <c r="G554" s="6" t="str">
        <f ca="1">IFERROR(__xludf.DUMMYFUNCTION("""COMPUTED_VALUE"""),"Man")</f>
        <v>Man</v>
      </c>
      <c r="H554" s="6" t="str">
        <f ca="1">IFERROR(__xludf.DUMMYFUNCTION("""COMPUTED_VALUE"""),"Man")</f>
        <v>Man</v>
      </c>
      <c r="I554" s="6"/>
      <c r="J554" s="6"/>
      <c r="K554" s="6"/>
      <c r="L554" s="6" t="str">
        <f ca="1">IFERROR(__xludf.DUMMYFUNCTION("""COMPUTED_VALUE"""),"No")</f>
        <v>No</v>
      </c>
      <c r="M554" s="6"/>
      <c r="N554" s="6"/>
      <c r="O554" s="6" t="str">
        <f ca="1">IFERROR(__xludf.DUMMYFUNCTION("""COMPUTED_VALUE"""),"Email")</f>
        <v>Email</v>
      </c>
      <c r="P554" s="6"/>
      <c r="Q554" s="6" t="str">
        <f ca="1">IFERROR(__xludf.DUMMYFUNCTION("""COMPUTED_VALUE"""),"No")</f>
        <v>No</v>
      </c>
      <c r="R554" s="6">
        <f ca="1">IFERROR(__xludf.DUMMYFUNCTION("""COMPUTED_VALUE"""),3)</f>
        <v>3</v>
      </c>
      <c r="S554" s="6" t="str">
        <f ca="1">IFERROR(__xludf.DUMMYFUNCTION("""COMPUTED_VALUE"""),"Pre-seed
Grants")</f>
        <v>Pre-seed
Grants</v>
      </c>
      <c r="T554" s="6" t="str">
        <f ca="1">IFERROR(__xludf.DUMMYFUNCTION("""COMPUTED_VALUE"""),"Pre-seed, Grants")</f>
        <v>Pre-seed, Grants</v>
      </c>
      <c r="U554" s="6" t="str">
        <f ca="1">IFERROR(__xludf.DUMMYFUNCTION("""COMPUTED_VALUE"""),"Pre-seed, Grants")</f>
        <v>Pre-seed, Grants</v>
      </c>
      <c r="V554" s="6"/>
      <c r="W554" s="6" t="str">
        <f ca="1">IFERROR(__xludf.DUMMYFUNCTION("""COMPUTED_VALUE"""),"Invite")</f>
        <v>Invite</v>
      </c>
    </row>
    <row r="555" spans="1:23">
      <c r="A555" s="6" t="str">
        <f ca="1">IFERROR(__xludf.DUMMYFUNCTION("""COMPUTED_VALUE"""),"Man, Man, Man")</f>
        <v>Man, Man, Man</v>
      </c>
      <c r="B555" s="6" t="str">
        <f ca="1">IFERROR(__xludf.DUMMYFUNCTION("""COMPUTED_VALUE"""),"OnMyGrad _2022")</f>
        <v>OnMyGrad _2022</v>
      </c>
      <c r="C555" s="6" t="str">
        <f ca="1">IFERROR(__xludf.DUMMYFUNCTION("""COMPUTED_VALUE"""),"Digital Tech")</f>
        <v>Digital Tech</v>
      </c>
      <c r="D555" s="6" t="str">
        <f ca="1">IFERROR(__xludf.DUMMYFUNCTION("""COMPUTED_VALUE"""),"Wan Chai, Hong Kong Island 
Hong Kong")</f>
        <v>Wan Chai, Hong Kong Island 
Hong Kong</v>
      </c>
      <c r="E555" s="6" t="str">
        <f ca="1">IFERROR(__xludf.DUMMYFUNCTION("""COMPUTED_VALUE"""),"International - Asia")</f>
        <v>International - Asia</v>
      </c>
      <c r="F555" s="6" t="str">
        <f ca="1">IFERROR(__xludf.DUMMYFUNCTION("""COMPUTED_VALUE"""),"Man")</f>
        <v>Man</v>
      </c>
      <c r="G555" s="6" t="str">
        <f ca="1">IFERROR(__xludf.DUMMYFUNCTION("""COMPUTED_VALUE"""),"Man")</f>
        <v>Man</v>
      </c>
      <c r="H555" s="6" t="str">
        <f ca="1">IFERROR(__xludf.DUMMYFUNCTION("""COMPUTED_VALUE"""),"Man")</f>
        <v>Man</v>
      </c>
      <c r="I555" s="6"/>
      <c r="J555" s="6"/>
      <c r="K555" s="6"/>
      <c r="L555" s="6" t="str">
        <f ca="1">IFERROR(__xludf.DUMMYFUNCTION("""COMPUTED_VALUE"""),"No")</f>
        <v>No</v>
      </c>
      <c r="M555" s="6"/>
      <c r="N555" s="6"/>
      <c r="O555" s="6" t="str">
        <f ca="1">IFERROR(__xludf.DUMMYFUNCTION("""COMPUTED_VALUE"""),"Email")</f>
        <v>Email</v>
      </c>
      <c r="P555" s="6"/>
      <c r="Q555" s="6" t="str">
        <f ca="1">IFERROR(__xludf.DUMMYFUNCTION("""COMPUTED_VALUE"""),"No")</f>
        <v>No</v>
      </c>
      <c r="R555" s="6">
        <f ca="1">IFERROR(__xludf.DUMMYFUNCTION("""COMPUTED_VALUE"""),3)</f>
        <v>3</v>
      </c>
      <c r="S555" s="6" t="str">
        <f ca="1">IFERROR(__xludf.DUMMYFUNCTION("""COMPUTED_VALUE"""),"Pre-seed")</f>
        <v>Pre-seed</v>
      </c>
      <c r="T555" s="6" t="str">
        <f ca="1">IFERROR(__xludf.DUMMYFUNCTION("""COMPUTED_VALUE"""),"Pre-seed")</f>
        <v>Pre-seed</v>
      </c>
      <c r="U555" s="6" t="str">
        <f ca="1">IFERROR(__xludf.DUMMYFUNCTION("""COMPUTED_VALUE"""),"Pre-seed")</f>
        <v>Pre-seed</v>
      </c>
      <c r="V555" s="6"/>
      <c r="W555" s="6" t="str">
        <f ca="1">IFERROR(__xludf.DUMMYFUNCTION("""COMPUTED_VALUE"""),"Invite Next Year")</f>
        <v>Invite Next Year</v>
      </c>
    </row>
    <row r="556" spans="1:23">
      <c r="A556" s="6" t="str">
        <f ca="1">IFERROR(__xludf.DUMMYFUNCTION("""COMPUTED_VALUE"""),"Woman, Man, Man")</f>
        <v>Woman, Man, Man</v>
      </c>
      <c r="B556" s="6" t="str">
        <f ca="1">IFERROR(__xludf.DUMMYFUNCTION("""COMPUTED_VALUE"""),"Lychee Things Inc. _2022")</f>
        <v>Lychee Things Inc. _2022</v>
      </c>
      <c r="C556" s="6" t="str">
        <f ca="1">IFERROR(__xludf.DUMMYFUNCTION("""COMPUTED_VALUE"""),"Deep Tech")</f>
        <v>Deep Tech</v>
      </c>
      <c r="D556" s="6" t="str">
        <f ca="1">IFERROR(__xludf.DUMMYFUNCTION("""COMPUTED_VALUE"""),"37816 Spring Tide Rd, CA 
United States")</f>
        <v>37816 Spring Tide Rd, CA 
United States</v>
      </c>
      <c r="E556" s="6" t="str">
        <f ca="1">IFERROR(__xludf.DUMMYFUNCTION("""COMPUTED_VALUE"""),"West Coast")</f>
        <v>West Coast</v>
      </c>
      <c r="F556" s="6" t="str">
        <f ca="1">IFERROR(__xludf.DUMMYFUNCTION("""COMPUTED_VALUE"""),"Woman")</f>
        <v>Woman</v>
      </c>
      <c r="G556" s="6" t="str">
        <f ca="1">IFERROR(__xludf.DUMMYFUNCTION("""COMPUTED_VALUE"""),"Man")</f>
        <v>Man</v>
      </c>
      <c r="H556" s="6" t="str">
        <f ca="1">IFERROR(__xludf.DUMMYFUNCTION("""COMPUTED_VALUE"""),"Man")</f>
        <v>Man</v>
      </c>
      <c r="I556" s="6"/>
      <c r="J556" s="6"/>
      <c r="K556" s="6"/>
      <c r="L556" s="6" t="str">
        <f ca="1">IFERROR(__xludf.DUMMYFUNCTION("""COMPUTED_VALUE"""),"No")</f>
        <v>No</v>
      </c>
      <c r="M556" s="6"/>
      <c r="N556" s="6"/>
      <c r="O556" s="6" t="str">
        <f ca="1">IFERROR(__xludf.DUMMYFUNCTION("""COMPUTED_VALUE"""),"Email")</f>
        <v>Email</v>
      </c>
      <c r="P556" s="6"/>
      <c r="Q556" s="6" t="str">
        <f ca="1">IFERROR(__xludf.DUMMYFUNCTION("""COMPUTED_VALUE"""),"No")</f>
        <v>No</v>
      </c>
      <c r="R556" s="6">
        <f ca="1">IFERROR(__xludf.DUMMYFUNCTION("""COMPUTED_VALUE"""),3)</f>
        <v>3</v>
      </c>
      <c r="S556" s="6" t="str">
        <f ca="1">IFERROR(__xludf.DUMMYFUNCTION("""COMPUTED_VALUE"""),"Pre-seed")</f>
        <v>Pre-seed</v>
      </c>
      <c r="T556" s="6" t="str">
        <f ca="1">IFERROR(__xludf.DUMMYFUNCTION("""COMPUTED_VALUE"""),"Pre-seed")</f>
        <v>Pre-seed</v>
      </c>
      <c r="U556" s="6" t="str">
        <f ca="1">IFERROR(__xludf.DUMMYFUNCTION("""COMPUTED_VALUE"""),"Pre-seed")</f>
        <v>Pre-seed</v>
      </c>
      <c r="V556" s="6"/>
      <c r="W556" s="6" t="str">
        <f ca="1">IFERROR(__xludf.DUMMYFUNCTION("""COMPUTED_VALUE"""),"Invite Next Year")</f>
        <v>Invite Next Year</v>
      </c>
    </row>
    <row r="557" spans="1:23">
      <c r="A557" s="6" t="str">
        <f ca="1">IFERROR(__xludf.DUMMYFUNCTION("""COMPUTED_VALUE"""),"Man, Man, Man, Man")</f>
        <v>Man, Man, Man, Man</v>
      </c>
      <c r="B557" s="6" t="str">
        <f ca="1">IFERROR(__xludf.DUMMYFUNCTION("""COMPUTED_VALUE"""),"PALM ENERGY SYSTEMS _2022")</f>
        <v>PALM ENERGY SYSTEMS _2022</v>
      </c>
      <c r="C557" s="6" t="str">
        <f ca="1">IFERROR(__xludf.DUMMYFUNCTION("""COMPUTED_VALUE"""),"Digital Tech")</f>
        <v>Digital Tech</v>
      </c>
      <c r="D557" s="6" t="str">
        <f ca="1">IFERROR(__xludf.DUMMYFUNCTION("""COMPUTED_VALUE"""),"Cos Cob, Connecticut 
United States")</f>
        <v>Cos Cob, Connecticut 
United States</v>
      </c>
      <c r="E557" s="6" t="str">
        <f ca="1">IFERROR(__xludf.DUMMYFUNCTION("""COMPUTED_VALUE"""),"East Coast")</f>
        <v>East Coast</v>
      </c>
      <c r="F557" s="6" t="str">
        <f ca="1">IFERROR(__xludf.DUMMYFUNCTION("""COMPUTED_VALUE"""),"Man")</f>
        <v>Man</v>
      </c>
      <c r="G557" s="6" t="str">
        <f ca="1">IFERROR(__xludf.DUMMYFUNCTION("""COMPUTED_VALUE"""),"Man")</f>
        <v>Man</v>
      </c>
      <c r="H557" s="6" t="str">
        <f ca="1">IFERROR(__xludf.DUMMYFUNCTION("""COMPUTED_VALUE"""),"Man")</f>
        <v>Man</v>
      </c>
      <c r="I557" s="6" t="str">
        <f ca="1">IFERROR(__xludf.DUMMYFUNCTION("""COMPUTED_VALUE"""),"Man")</f>
        <v>Man</v>
      </c>
      <c r="J557" s="6"/>
      <c r="K557" s="6"/>
      <c r="L557" s="6" t="str">
        <f ca="1">IFERROR(__xludf.DUMMYFUNCTION("""COMPUTED_VALUE"""),"No")</f>
        <v>No</v>
      </c>
      <c r="M557" s="6"/>
      <c r="N557" s="6"/>
      <c r="O557" s="6" t="str">
        <f ca="1">IFERROR(__xludf.DUMMYFUNCTION("""COMPUTED_VALUE"""),"Email")</f>
        <v>Email</v>
      </c>
      <c r="P557" s="6"/>
      <c r="Q557" s="6" t="str">
        <f ca="1">IFERROR(__xludf.DUMMYFUNCTION("""COMPUTED_VALUE"""),"No")</f>
        <v>No</v>
      </c>
      <c r="R557" s="6">
        <f ca="1">IFERROR(__xludf.DUMMYFUNCTION("""COMPUTED_VALUE"""),4)</f>
        <v>4</v>
      </c>
      <c r="S557" s="6" t="str">
        <f ca="1">IFERROR(__xludf.DUMMYFUNCTION("""COMPUTED_VALUE"""),"Pre-seed
Seed")</f>
        <v>Pre-seed
Seed</v>
      </c>
      <c r="T557" s="6" t="str">
        <f ca="1">IFERROR(__xludf.DUMMYFUNCTION("""COMPUTED_VALUE"""),"Pre-seed, Seed")</f>
        <v>Pre-seed, Seed</v>
      </c>
      <c r="U557" s="6" t="str">
        <f ca="1">IFERROR(__xludf.DUMMYFUNCTION("""COMPUTED_VALUE"""),"Pre-seed, Seed")</f>
        <v>Pre-seed, Seed</v>
      </c>
      <c r="V557" s="6"/>
      <c r="W557" s="6" t="str">
        <f ca="1">IFERROR(__xludf.DUMMYFUNCTION("""COMPUTED_VALUE"""),"Invite Next Year")</f>
        <v>Invite Next Year</v>
      </c>
    </row>
    <row r="558" spans="1:23">
      <c r="A558" s="6" t="str">
        <f ca="1">IFERROR(__xludf.DUMMYFUNCTION("""COMPUTED_VALUE"""),"Man, Man")</f>
        <v>Man, Man</v>
      </c>
      <c r="B558" s="6" t="str">
        <f ca="1">IFERROR(__xludf.DUMMYFUNCTION("""COMPUTED_VALUE"""),"Ravata Solutions _2022")</f>
        <v>Ravata Solutions _2022</v>
      </c>
      <c r="C558" s="6" t="str">
        <f ca="1">IFERROR(__xludf.DUMMYFUNCTION("""COMPUTED_VALUE"""),"Life Sciences")</f>
        <v>Life Sciences</v>
      </c>
      <c r="D558" s="6" t="str">
        <f ca="1">IFERROR(__xludf.DUMMYFUNCTION("""COMPUTED_VALUE"""),"Davis, CA 
United States")</f>
        <v>Davis, CA 
United States</v>
      </c>
      <c r="E558" s="6" t="str">
        <f ca="1">IFERROR(__xludf.DUMMYFUNCTION("""COMPUTED_VALUE"""),"West Coast")</f>
        <v>West Coast</v>
      </c>
      <c r="F558" s="6" t="str">
        <f ca="1">IFERROR(__xludf.DUMMYFUNCTION("""COMPUTED_VALUE"""),"Man")</f>
        <v>Man</v>
      </c>
      <c r="G558" s="6" t="str">
        <f ca="1">IFERROR(__xludf.DUMMYFUNCTION("""COMPUTED_VALUE"""),"Man")</f>
        <v>Man</v>
      </c>
      <c r="H558" s="6"/>
      <c r="I558" s="6"/>
      <c r="J558" s="6"/>
      <c r="K558" s="6"/>
      <c r="L558" s="6" t="str">
        <f ca="1">IFERROR(__xludf.DUMMYFUNCTION("""COMPUTED_VALUE"""),"--Please select--")</f>
        <v>--Please select--</v>
      </c>
      <c r="M558" s="6"/>
      <c r="N558" s="6"/>
      <c r="O558" s="6" t="str">
        <f ca="1">IFERROR(__xludf.DUMMYFUNCTION("""COMPUTED_VALUE"""),"Email")</f>
        <v>Email</v>
      </c>
      <c r="P558" s="6"/>
      <c r="Q558" s="6" t="str">
        <f ca="1">IFERROR(__xludf.DUMMYFUNCTION("""COMPUTED_VALUE"""),"Yes")</f>
        <v>Yes</v>
      </c>
      <c r="R558" s="6">
        <f ca="1">IFERROR(__xludf.DUMMYFUNCTION("""COMPUTED_VALUE"""),2)</f>
        <v>2</v>
      </c>
      <c r="S558" s="6" t="str">
        <f ca="1">IFERROR(__xludf.DUMMYFUNCTION("""COMPUTED_VALUE"""),"Pre-seed")</f>
        <v>Pre-seed</v>
      </c>
      <c r="T558" s="6" t="str">
        <f ca="1">IFERROR(__xludf.DUMMYFUNCTION("""COMPUTED_VALUE"""),"Pre-seed")</f>
        <v>Pre-seed</v>
      </c>
      <c r="U558" s="6" t="str">
        <f ca="1">IFERROR(__xludf.DUMMYFUNCTION("""COMPUTED_VALUE"""),"Pre-seed")</f>
        <v>Pre-seed</v>
      </c>
      <c r="V558" s="6"/>
      <c r="W558" s="6" t="str">
        <f ca="1">IFERROR(__xludf.DUMMYFUNCTION("""COMPUTED_VALUE"""),"Special Reject")</f>
        <v>Special Reject</v>
      </c>
    </row>
    <row r="559" spans="1:23">
      <c r="A559" s="6" t="str">
        <f ca="1">IFERROR(__xludf.DUMMYFUNCTION("""COMPUTED_VALUE"""),"Man, Woman, Man")</f>
        <v>Man, Woman, Man</v>
      </c>
      <c r="B559" s="6" t="str">
        <f ca="1">IFERROR(__xludf.DUMMYFUNCTION("""COMPUTED_VALUE"""),"California Cultured _2022")</f>
        <v>California Cultured _2022</v>
      </c>
      <c r="C559" s="6" t="str">
        <f ca="1">IFERROR(__xludf.DUMMYFUNCTION("""COMPUTED_VALUE"""),"Deep Tech")</f>
        <v>Deep Tech</v>
      </c>
      <c r="D559" s="6" t="str">
        <f ca="1">IFERROR(__xludf.DUMMYFUNCTION("""COMPUTED_VALUE"""),"Davis &amp; West Sacramento, California 
United States")</f>
        <v>Davis &amp; West Sacramento, California 
United States</v>
      </c>
      <c r="E559" s="6" t="str">
        <f ca="1">IFERROR(__xludf.DUMMYFUNCTION("""COMPUTED_VALUE"""),"West Coast")</f>
        <v>West Coast</v>
      </c>
      <c r="F559" s="6" t="str">
        <f ca="1">IFERROR(__xludf.DUMMYFUNCTION("""COMPUTED_VALUE"""),"Man")</f>
        <v>Man</v>
      </c>
      <c r="G559" s="6" t="str">
        <f ca="1">IFERROR(__xludf.DUMMYFUNCTION("""COMPUTED_VALUE"""),"Woman")</f>
        <v>Woman</v>
      </c>
      <c r="H559" s="6" t="str">
        <f ca="1">IFERROR(__xludf.DUMMYFUNCTION("""COMPUTED_VALUE"""),"Man")</f>
        <v>Man</v>
      </c>
      <c r="I559" s="6"/>
      <c r="J559" s="6"/>
      <c r="K559" s="6"/>
      <c r="L559" s="6" t="str">
        <f ca="1">IFERROR(__xludf.DUMMYFUNCTION("""COMPUTED_VALUE"""),"Yes")</f>
        <v>Yes</v>
      </c>
      <c r="M559" s="6" t="str">
        <f ca="1">IFERROR(__xludf.DUMMYFUNCTION("""COMPUTED_VALUE"""),"NYU Alumni")</f>
        <v>NYU Alumni</v>
      </c>
      <c r="N559" s="6"/>
      <c r="O559" s="6" t="str">
        <f ca="1">IFERROR(__xludf.DUMMYFUNCTION("""COMPUTED_VALUE"""),"Email")</f>
        <v>Email</v>
      </c>
      <c r="P559" s="6"/>
      <c r="Q559" s="6" t="str">
        <f ca="1">IFERROR(__xludf.DUMMYFUNCTION("""COMPUTED_VALUE"""),"Yes")</f>
        <v>Yes</v>
      </c>
      <c r="R559" s="6">
        <f ca="1">IFERROR(__xludf.DUMMYFUNCTION("""COMPUTED_VALUE"""),3)</f>
        <v>3</v>
      </c>
      <c r="S559" s="6" t="str">
        <f ca="1">IFERROR(__xludf.DUMMYFUNCTION("""COMPUTED_VALUE"""),"Pre-seed
Seed")</f>
        <v>Pre-seed
Seed</v>
      </c>
      <c r="T559" s="6" t="str">
        <f ca="1">IFERROR(__xludf.DUMMYFUNCTION("""COMPUTED_VALUE"""),"Pre-seed, Seed")</f>
        <v>Pre-seed, Seed</v>
      </c>
      <c r="U559" s="6" t="str">
        <f ca="1">IFERROR(__xludf.DUMMYFUNCTION("""COMPUTED_VALUE"""),"Pre-seed, Seed")</f>
        <v>Pre-seed, Seed</v>
      </c>
      <c r="V559" s="6"/>
      <c r="W559" s="6" t="str">
        <f ca="1">IFERROR(__xludf.DUMMYFUNCTION("""COMPUTED_VALUE"""),"Invite")</f>
        <v>Invite</v>
      </c>
    </row>
    <row r="560" spans="1:23">
      <c r="A560" s="6" t="str">
        <f ca="1">IFERROR(__xludf.DUMMYFUNCTION("""COMPUTED_VALUE"""),"Man, Man")</f>
        <v>Man, Man</v>
      </c>
      <c r="B560" s="6" t="str">
        <f ca="1">IFERROR(__xludf.DUMMYFUNCTION("""COMPUTED_VALUE"""),"Red Arrow Therapeutics, Co. Ltd.  _2022")</f>
        <v>Red Arrow Therapeutics, Co. Ltd.  _2022</v>
      </c>
      <c r="C560" s="6" t="str">
        <f ca="1">IFERROR(__xludf.DUMMYFUNCTION("""COMPUTED_VALUE"""),"Life Sciences")</f>
        <v>Life Sciences</v>
      </c>
      <c r="D560" s="6" t="str">
        <f ca="1">IFERROR(__xludf.DUMMYFUNCTION("""COMPUTED_VALUE"""),"7-3-1 Hongo, Bunkyo, Tokyo 
Japan")</f>
        <v>7-3-1 Hongo, Bunkyo, Tokyo 
Japan</v>
      </c>
      <c r="E560" s="6" t="str">
        <f ca="1">IFERROR(__xludf.DUMMYFUNCTION("""COMPUTED_VALUE"""),"International - Asia")</f>
        <v>International - Asia</v>
      </c>
      <c r="F560" s="6" t="str">
        <f ca="1">IFERROR(__xludf.DUMMYFUNCTION("""COMPUTED_VALUE"""),"Man")</f>
        <v>Man</v>
      </c>
      <c r="G560" s="6" t="str">
        <f ca="1">IFERROR(__xludf.DUMMYFUNCTION("""COMPUTED_VALUE"""),"Man")</f>
        <v>Man</v>
      </c>
      <c r="H560" s="6"/>
      <c r="I560" s="6"/>
      <c r="J560" s="6"/>
      <c r="K560" s="6"/>
      <c r="L560" s="6" t="str">
        <f ca="1">IFERROR(__xludf.DUMMYFUNCTION("""COMPUTED_VALUE"""),"No")</f>
        <v>No</v>
      </c>
      <c r="M560" s="6"/>
      <c r="N560" s="6"/>
      <c r="O560" s="6" t="str">
        <f ca="1">IFERROR(__xludf.DUMMYFUNCTION("""COMPUTED_VALUE"""),"Info Session")</f>
        <v>Info Session</v>
      </c>
      <c r="P560" s="6"/>
      <c r="Q560" s="6" t="str">
        <f ca="1">IFERROR(__xludf.DUMMYFUNCTION("""COMPUTED_VALUE"""),"No")</f>
        <v>No</v>
      </c>
      <c r="R560" s="6">
        <f ca="1">IFERROR(__xludf.DUMMYFUNCTION("""COMPUTED_VALUE"""),2)</f>
        <v>2</v>
      </c>
      <c r="S560" s="6" t="str">
        <f ca="1">IFERROR(__xludf.DUMMYFUNCTION("""COMPUTED_VALUE"""),"Pre-seed")</f>
        <v>Pre-seed</v>
      </c>
      <c r="T560" s="6" t="str">
        <f ca="1">IFERROR(__xludf.DUMMYFUNCTION("""COMPUTED_VALUE"""),"Pre-seed")</f>
        <v>Pre-seed</v>
      </c>
      <c r="U560" s="6" t="str">
        <f ca="1">IFERROR(__xludf.DUMMYFUNCTION("""COMPUTED_VALUE"""),"Pre-seed")</f>
        <v>Pre-seed</v>
      </c>
      <c r="V560" s="6"/>
      <c r="W560" s="6" t="str">
        <f ca="1">IFERROR(__xludf.DUMMYFUNCTION("""COMPUTED_VALUE"""),"Invite")</f>
        <v>Invite</v>
      </c>
    </row>
    <row r="561" spans="1:23">
      <c r="A561" s="6" t="str">
        <f ca="1">IFERROR(__xludf.DUMMYFUNCTION("""COMPUTED_VALUE"""),"Woman, Man")</f>
        <v>Woman, Man</v>
      </c>
      <c r="B561" s="6" t="str">
        <f ca="1">IFERROR(__xludf.DUMMYFUNCTION("""COMPUTED_VALUE"""),"Untap Ltd _2022")</f>
        <v>Untap Ltd _2022</v>
      </c>
      <c r="C561" s="6" t="str">
        <f ca="1">IFERROR(__xludf.DUMMYFUNCTION("""COMPUTED_VALUE"""),"Digital Tech")</f>
        <v>Digital Tech</v>
      </c>
      <c r="D561" s="6" t="str">
        <f ca="1">IFERROR(__xludf.DUMMYFUNCTION("""COMPUTED_VALUE"""),"London, SE172PX, Southwark 
United Kingdom")</f>
        <v>London, SE172PX, Southwark 
United Kingdom</v>
      </c>
      <c r="E561" s="6" t="str">
        <f ca="1">IFERROR(__xludf.DUMMYFUNCTION("""COMPUTED_VALUE"""),"International - Europe")</f>
        <v>International - Europe</v>
      </c>
      <c r="F561" s="6" t="str">
        <f ca="1">IFERROR(__xludf.DUMMYFUNCTION("""COMPUTED_VALUE"""),"Woman")</f>
        <v>Woman</v>
      </c>
      <c r="G561" s="6" t="str">
        <f ca="1">IFERROR(__xludf.DUMMYFUNCTION("""COMPUTED_VALUE"""),"Man")</f>
        <v>Man</v>
      </c>
      <c r="H561" s="6"/>
      <c r="I561" s="6"/>
      <c r="J561" s="6"/>
      <c r="K561" s="6"/>
      <c r="L561" s="6" t="str">
        <f ca="1">IFERROR(__xludf.DUMMYFUNCTION("""COMPUTED_VALUE"""),"No")</f>
        <v>No</v>
      </c>
      <c r="M561" s="6"/>
      <c r="N561" s="6"/>
      <c r="O561" s="6" t="str">
        <f ca="1">IFERROR(__xludf.DUMMYFUNCTION("""COMPUTED_VALUE"""),"Info Session")</f>
        <v>Info Session</v>
      </c>
      <c r="P561" s="6"/>
      <c r="Q561" s="6" t="str">
        <f ca="1">IFERROR(__xludf.DUMMYFUNCTION("""COMPUTED_VALUE"""),"No")</f>
        <v>No</v>
      </c>
      <c r="R561" s="6">
        <f ca="1">IFERROR(__xludf.DUMMYFUNCTION("""COMPUTED_VALUE"""),2)</f>
        <v>2</v>
      </c>
      <c r="S561" s="6" t="str">
        <f ca="1">IFERROR(__xludf.DUMMYFUNCTION("""COMPUTED_VALUE"""),"Pre-seed")</f>
        <v>Pre-seed</v>
      </c>
      <c r="T561" s="6" t="str">
        <f ca="1">IFERROR(__xludf.DUMMYFUNCTION("""COMPUTED_VALUE"""),"Pre-seed")</f>
        <v>Pre-seed</v>
      </c>
      <c r="U561" s="6" t="str">
        <f ca="1">IFERROR(__xludf.DUMMYFUNCTION("""COMPUTED_VALUE"""),"Pre-seed")</f>
        <v>Pre-seed</v>
      </c>
      <c r="V561" s="6"/>
      <c r="W561" s="6" t="str">
        <f ca="1">IFERROR(__xludf.DUMMYFUNCTION("""COMPUTED_VALUE"""),"Invite Next Year")</f>
        <v>Invite Next Year</v>
      </c>
    </row>
    <row r="562" spans="1:23">
      <c r="A562" s="6" t="str">
        <f ca="1">IFERROR(__xludf.DUMMYFUNCTION("""COMPUTED_VALUE"""),"Man, Man, Woman")</f>
        <v>Man, Man, Woman</v>
      </c>
      <c r="B562" s="6" t="str">
        <f ca="1">IFERROR(__xludf.DUMMYFUNCTION("""COMPUTED_VALUE"""),"EPICA _2022")</f>
        <v>EPICA _2022</v>
      </c>
      <c r="C562" s="6" t="str">
        <f ca="1">IFERROR(__xludf.DUMMYFUNCTION("""COMPUTED_VALUE"""),"Digital Tech")</f>
        <v>Digital Tech</v>
      </c>
      <c r="D562" s="6" t="str">
        <f ca="1">IFERROR(__xludf.DUMMYFUNCTION("""COMPUTED_VALUE"""),"Miami, FLORIDA 
United States")</f>
        <v>Miami, FLORIDA 
United States</v>
      </c>
      <c r="E562" s="6" t="str">
        <f ca="1">IFERROR(__xludf.DUMMYFUNCTION("""COMPUTED_VALUE"""),"East Coast")</f>
        <v>East Coast</v>
      </c>
      <c r="F562" s="6" t="str">
        <f ca="1">IFERROR(__xludf.DUMMYFUNCTION("""COMPUTED_VALUE"""),"Man")</f>
        <v>Man</v>
      </c>
      <c r="G562" s="6" t="str">
        <f ca="1">IFERROR(__xludf.DUMMYFUNCTION("""COMPUTED_VALUE"""),"Man")</f>
        <v>Man</v>
      </c>
      <c r="H562" s="6" t="str">
        <f ca="1">IFERROR(__xludf.DUMMYFUNCTION("""COMPUTED_VALUE"""),"Woman")</f>
        <v>Woman</v>
      </c>
      <c r="I562" s="6"/>
      <c r="J562" s="6"/>
      <c r="K562" s="6"/>
      <c r="L562" s="6" t="str">
        <f ca="1">IFERROR(__xludf.DUMMYFUNCTION("""COMPUTED_VALUE"""),"--Please select--")</f>
        <v>--Please select--</v>
      </c>
      <c r="M562" s="6"/>
      <c r="N562" s="6"/>
      <c r="O562" s="6" t="str">
        <f ca="1">IFERROR(__xludf.DUMMYFUNCTION("""COMPUTED_VALUE"""),"Email")</f>
        <v>Email</v>
      </c>
      <c r="P562" s="6"/>
      <c r="Q562" s="6" t="str">
        <f ca="1">IFERROR(__xludf.DUMMYFUNCTION("""COMPUTED_VALUE"""),"No")</f>
        <v>No</v>
      </c>
      <c r="R562" s="6">
        <f ca="1">IFERROR(__xludf.DUMMYFUNCTION("""COMPUTED_VALUE"""),3)</f>
        <v>3</v>
      </c>
      <c r="S562" s="6" t="str">
        <f ca="1">IFERROR(__xludf.DUMMYFUNCTION("""COMPUTED_VALUE"""),"Pre-seed
Seed")</f>
        <v>Pre-seed
Seed</v>
      </c>
      <c r="T562" s="6" t="str">
        <f ca="1">IFERROR(__xludf.DUMMYFUNCTION("""COMPUTED_VALUE"""),"Pre-seed, Seed")</f>
        <v>Pre-seed, Seed</v>
      </c>
      <c r="U562" s="6" t="str">
        <f ca="1">IFERROR(__xludf.DUMMYFUNCTION("""COMPUTED_VALUE"""),"Pre-seed, Seed")</f>
        <v>Pre-seed, Seed</v>
      </c>
      <c r="V562" s="6"/>
      <c r="W562" s="6" t="str">
        <f ca="1">IFERROR(__xludf.DUMMYFUNCTION("""COMPUTED_VALUE"""),"Invite Next Year")</f>
        <v>Invite Next Year</v>
      </c>
    </row>
    <row r="563" spans="1:23">
      <c r="A563" s="6" t="str">
        <f ca="1">IFERROR(__xludf.DUMMYFUNCTION("""COMPUTED_VALUE"""),"Woman, Man, Man")</f>
        <v>Woman, Man, Man</v>
      </c>
      <c r="B563" s="6" t="str">
        <f ca="1">IFERROR(__xludf.DUMMYFUNCTION("""COMPUTED_VALUE"""),"eWitness Media Inc. _2022")</f>
        <v>eWitness Media Inc. _2022</v>
      </c>
      <c r="C563" s="6" t="str">
        <f ca="1">IFERROR(__xludf.DUMMYFUNCTION("""COMPUTED_VALUE"""),"Digital Tech")</f>
        <v>Digital Tech</v>
      </c>
      <c r="D563" s="6" t="str">
        <f ca="1">IFERROR(__xludf.DUMMYFUNCTION("""COMPUTED_VALUE"""),"215 W 125th Street, New York 
United States")</f>
        <v>215 W 125th Street, New York 
United States</v>
      </c>
      <c r="E563" s="6" t="str">
        <f ca="1">IFERROR(__xludf.DUMMYFUNCTION("""COMPUTED_VALUE"""),"New York")</f>
        <v>New York</v>
      </c>
      <c r="F563" s="6" t="str">
        <f ca="1">IFERROR(__xludf.DUMMYFUNCTION("""COMPUTED_VALUE"""),"Woman")</f>
        <v>Woman</v>
      </c>
      <c r="G563" s="6" t="str">
        <f ca="1">IFERROR(__xludf.DUMMYFUNCTION("""COMPUTED_VALUE"""),"Man")</f>
        <v>Man</v>
      </c>
      <c r="H563" s="6" t="str">
        <f ca="1">IFERROR(__xludf.DUMMYFUNCTION("""COMPUTED_VALUE"""),"Man")</f>
        <v>Man</v>
      </c>
      <c r="I563" s="6"/>
      <c r="J563" s="6"/>
      <c r="K563" s="6"/>
      <c r="L563" s="6" t="str">
        <f ca="1">IFERROR(__xludf.DUMMYFUNCTION("""COMPUTED_VALUE"""),"Yes")</f>
        <v>Yes</v>
      </c>
      <c r="M563" s="6" t="str">
        <f ca="1">IFERROR(__xludf.DUMMYFUNCTION("""COMPUTED_VALUE"""),"NYU Faculty")</f>
        <v>NYU Faculty</v>
      </c>
      <c r="N563" s="6"/>
      <c r="O563" s="6" t="str">
        <f ca="1">IFERROR(__xludf.DUMMYFUNCTION("""COMPUTED_VALUE"""),"Referral")</f>
        <v>Referral</v>
      </c>
      <c r="P563" s="6"/>
      <c r="Q563" s="6" t="str">
        <f ca="1">IFERROR(__xludf.DUMMYFUNCTION("""COMPUTED_VALUE"""),"Yes")</f>
        <v>Yes</v>
      </c>
      <c r="R563" s="6">
        <f ca="1">IFERROR(__xludf.DUMMYFUNCTION("""COMPUTED_VALUE"""),3)</f>
        <v>3</v>
      </c>
      <c r="S563" s="6" t="str">
        <f ca="1">IFERROR(__xludf.DUMMYFUNCTION("""COMPUTED_VALUE"""),"Grants")</f>
        <v>Grants</v>
      </c>
      <c r="T563" s="6" t="str">
        <f ca="1">IFERROR(__xludf.DUMMYFUNCTION("""COMPUTED_VALUE"""),"Grants")</f>
        <v>Grants</v>
      </c>
      <c r="U563" s="6" t="str">
        <f ca="1">IFERROR(__xludf.DUMMYFUNCTION("""COMPUTED_VALUE"""),"Grants")</f>
        <v>Grants</v>
      </c>
      <c r="V563" s="6"/>
      <c r="W563" s="6" t="str">
        <f ca="1">IFERROR(__xludf.DUMMYFUNCTION("""COMPUTED_VALUE"""),"Invite Next Year")</f>
        <v>Invite Next Year</v>
      </c>
    </row>
    <row r="564" spans="1:23">
      <c r="A564" s="6" t="str">
        <f ca="1">IFERROR(__xludf.DUMMYFUNCTION("""COMPUTED_VALUE"""),"Man")</f>
        <v>Man</v>
      </c>
      <c r="B564" s="6" t="str">
        <f ca="1">IFERROR(__xludf.DUMMYFUNCTION("""COMPUTED_VALUE"""),"Breeze _2022")</f>
        <v>Breeze _2022</v>
      </c>
      <c r="C564" s="6" t="str">
        <f ca="1">IFERROR(__xludf.DUMMYFUNCTION("""COMPUTED_VALUE"""),"Digital Tech")</f>
        <v>Digital Tech</v>
      </c>
      <c r="D564" s="6" t="str">
        <f ca="1">IFERROR(__xludf.DUMMYFUNCTION("""COMPUTED_VALUE"""),"Omaha, NE 
United States")</f>
        <v>Omaha, NE 
United States</v>
      </c>
      <c r="E564" s="6" t="str">
        <f ca="1">IFERROR(__xludf.DUMMYFUNCTION("""COMPUTED_VALUE"""),"West")</f>
        <v>West</v>
      </c>
      <c r="F564" s="6" t="str">
        <f ca="1">IFERROR(__xludf.DUMMYFUNCTION("""COMPUTED_VALUE"""),"Man")</f>
        <v>Man</v>
      </c>
      <c r="G564" s="6"/>
      <c r="H564" s="6"/>
      <c r="I564" s="6"/>
      <c r="J564" s="6"/>
      <c r="K564" s="6"/>
      <c r="L564" s="6" t="str">
        <f ca="1">IFERROR(__xludf.DUMMYFUNCTION("""COMPUTED_VALUE"""),"Yes")</f>
        <v>Yes</v>
      </c>
      <c r="M564" s="6" t="str">
        <f ca="1">IFERROR(__xludf.DUMMYFUNCTION("""COMPUTED_VALUE"""),"Other (please specify)")</f>
        <v>Other (please specify)</v>
      </c>
      <c r="N564" s="6" t="str">
        <f ca="1">IFERROR(__xludf.DUMMYFUNCTION("""COMPUTED_VALUE"""),"had verbal offer for adjunct position last spring that was contingent on relocating back to NYC after NYU resumed in-class sessions")</f>
        <v>had verbal offer for adjunct position last spring that was contingent on relocating back to NYC after NYU resumed in-class sessions</v>
      </c>
      <c r="O564" s="6" t="str">
        <f ca="1">IFERROR(__xludf.DUMMYFUNCTION("""COMPUTED_VALUE"""),"Other")</f>
        <v>Other</v>
      </c>
      <c r="P564" s="6"/>
      <c r="Q564" s="6" t="str">
        <f ca="1">IFERROR(__xludf.DUMMYFUNCTION("""COMPUTED_VALUE"""),"No")</f>
        <v>No</v>
      </c>
      <c r="R564" s="6">
        <f ca="1">IFERROR(__xludf.DUMMYFUNCTION("""COMPUTED_VALUE"""),1)</f>
        <v>1</v>
      </c>
      <c r="S564" s="6" t="str">
        <f ca="1">IFERROR(__xludf.DUMMYFUNCTION("""COMPUTED_VALUE"""),"Pre-seed")</f>
        <v>Pre-seed</v>
      </c>
      <c r="T564" s="6" t="str">
        <f ca="1">IFERROR(__xludf.DUMMYFUNCTION("""COMPUTED_VALUE"""),"Pre-seed")</f>
        <v>Pre-seed</v>
      </c>
      <c r="U564" s="6" t="str">
        <f ca="1">IFERROR(__xludf.DUMMYFUNCTION("""COMPUTED_VALUE"""),"Pre-seed")</f>
        <v>Pre-seed</v>
      </c>
      <c r="V564" s="6"/>
      <c r="W564" s="6" t="str">
        <f ca="1">IFERROR(__xludf.DUMMYFUNCTION("""COMPUTED_VALUE"""),"Invite Next Year")</f>
        <v>Invite Next Year</v>
      </c>
    </row>
    <row r="565" spans="1:23">
      <c r="A565" s="6" t="str">
        <f ca="1">IFERROR(__xludf.DUMMYFUNCTION("""COMPUTED_VALUE"""),"Man, Man")</f>
        <v>Man, Man</v>
      </c>
      <c r="B565" s="6" t="str">
        <f ca="1">IFERROR(__xludf.DUMMYFUNCTION("""COMPUTED_VALUE"""),"Skyhook Solar Corp. _2022")</f>
        <v>Skyhook Solar Corp. _2022</v>
      </c>
      <c r="C565" s="6" t="str">
        <f ca="1">IFERROR(__xludf.DUMMYFUNCTION("""COMPUTED_VALUE"""),"Deep Tech")</f>
        <v>Deep Tech</v>
      </c>
      <c r="D565" s="6" t="str">
        <f ca="1">IFERROR(__xludf.DUMMYFUNCTION("""COMPUTED_VALUE"""),"1280 S Ute Ave Suite 4, Aspen CO, 81611, Colorado 
United States")</f>
        <v>1280 S Ute Ave Suite 4, Aspen CO, 81611, Colorado 
United States</v>
      </c>
      <c r="E565" s="6" t="str">
        <f ca="1">IFERROR(__xludf.DUMMYFUNCTION("""COMPUTED_VALUE"""),"West")</f>
        <v>West</v>
      </c>
      <c r="F565" s="6" t="str">
        <f ca="1">IFERROR(__xludf.DUMMYFUNCTION("""COMPUTED_VALUE"""),"Man")</f>
        <v>Man</v>
      </c>
      <c r="G565" s="6" t="str">
        <f ca="1">IFERROR(__xludf.DUMMYFUNCTION("""COMPUTED_VALUE"""),"Man")</f>
        <v>Man</v>
      </c>
      <c r="H565" s="6"/>
      <c r="I565" s="6"/>
      <c r="J565" s="6"/>
      <c r="K565" s="6"/>
      <c r="L565" s="6" t="str">
        <f ca="1">IFERROR(__xludf.DUMMYFUNCTION("""COMPUTED_VALUE"""),"No")</f>
        <v>No</v>
      </c>
      <c r="M565" s="6"/>
      <c r="N565" s="6"/>
      <c r="O565" s="6" t="str">
        <f ca="1">IFERROR(__xludf.DUMMYFUNCTION("""COMPUTED_VALUE"""),"Referral")</f>
        <v>Referral</v>
      </c>
      <c r="P565" s="6"/>
      <c r="Q565" s="6" t="str">
        <f ca="1">IFERROR(__xludf.DUMMYFUNCTION("""COMPUTED_VALUE"""),"Yes")</f>
        <v>Yes</v>
      </c>
      <c r="R565" s="6">
        <f ca="1">IFERROR(__xludf.DUMMYFUNCTION("""COMPUTED_VALUE"""),2)</f>
        <v>2</v>
      </c>
      <c r="S565" s="6" t="str">
        <f ca="1">IFERROR(__xludf.DUMMYFUNCTION("""COMPUTED_VALUE"""),"Pre-seed")</f>
        <v>Pre-seed</v>
      </c>
      <c r="T565" s="6" t="str">
        <f ca="1">IFERROR(__xludf.DUMMYFUNCTION("""COMPUTED_VALUE"""),"Pre-seed")</f>
        <v>Pre-seed</v>
      </c>
      <c r="U565" s="6" t="str">
        <f ca="1">IFERROR(__xludf.DUMMYFUNCTION("""COMPUTED_VALUE"""),"Pre-seed")</f>
        <v>Pre-seed</v>
      </c>
      <c r="V565" s="6"/>
      <c r="W565" s="6" t="str">
        <f ca="1">IFERROR(__xludf.DUMMYFUNCTION("""COMPUTED_VALUE"""),"Invite")</f>
        <v>Invite</v>
      </c>
    </row>
    <row r="566" spans="1:23">
      <c r="A566" s="6" t="str">
        <f ca="1">IFERROR(__xludf.DUMMYFUNCTION("""COMPUTED_VALUE"""),"Man, Man, Man")</f>
        <v>Man, Man, Man</v>
      </c>
      <c r="B566" s="6" t="str">
        <f ca="1">IFERROR(__xludf.DUMMYFUNCTION("""COMPUTED_VALUE"""),"NUADA _2022")</f>
        <v>NUADA _2022</v>
      </c>
      <c r="C566" s="6" t="str">
        <f ca="1">IFERROR(__xludf.DUMMYFUNCTION("""COMPUTED_VALUE"""),"Deep Tech")</f>
        <v>Deep Tech</v>
      </c>
      <c r="D566" s="6" t="str">
        <f ca="1">IFERROR(__xludf.DUMMYFUNCTION("""COMPUTED_VALUE"""),"Braga, Braga 
Portugal")</f>
        <v>Braga, Braga 
Portugal</v>
      </c>
      <c r="E566" s="6" t="str">
        <f ca="1">IFERROR(__xludf.DUMMYFUNCTION("""COMPUTED_VALUE"""),"International - Europe")</f>
        <v>International - Europe</v>
      </c>
      <c r="F566" s="6" t="str">
        <f ca="1">IFERROR(__xludf.DUMMYFUNCTION("""COMPUTED_VALUE"""),"Man")</f>
        <v>Man</v>
      </c>
      <c r="G566" s="6" t="str">
        <f ca="1">IFERROR(__xludf.DUMMYFUNCTION("""COMPUTED_VALUE"""),"Man")</f>
        <v>Man</v>
      </c>
      <c r="H566" s="6" t="str">
        <f ca="1">IFERROR(__xludf.DUMMYFUNCTION("""COMPUTED_VALUE"""),"Man")</f>
        <v>Man</v>
      </c>
      <c r="I566" s="6"/>
      <c r="J566" s="6"/>
      <c r="K566" s="6"/>
      <c r="L566" s="6" t="str">
        <f ca="1">IFERROR(__xludf.DUMMYFUNCTION("""COMPUTED_VALUE"""),"No")</f>
        <v>No</v>
      </c>
      <c r="M566" s="6"/>
      <c r="N566" s="6"/>
      <c r="O566" s="6" t="str">
        <f ca="1">IFERROR(__xludf.DUMMYFUNCTION("""COMPUTED_VALUE"""),"A web posting")</f>
        <v>A web posting</v>
      </c>
      <c r="P566" s="6"/>
      <c r="Q566" s="6" t="str">
        <f ca="1">IFERROR(__xludf.DUMMYFUNCTION("""COMPUTED_VALUE"""),"No")</f>
        <v>No</v>
      </c>
      <c r="R566" s="6">
        <f ca="1">IFERROR(__xludf.DUMMYFUNCTION("""COMPUTED_VALUE"""),3)</f>
        <v>3</v>
      </c>
      <c r="S566" s="6" t="str">
        <f ca="1">IFERROR(__xludf.DUMMYFUNCTION("""COMPUTED_VALUE"""),"Pre-seed
Seed")</f>
        <v>Pre-seed
Seed</v>
      </c>
      <c r="T566" s="6" t="str">
        <f ca="1">IFERROR(__xludf.DUMMYFUNCTION("""COMPUTED_VALUE"""),"Pre-seed, Seed")</f>
        <v>Pre-seed, Seed</v>
      </c>
      <c r="U566" s="6" t="str">
        <f ca="1">IFERROR(__xludf.DUMMYFUNCTION("""COMPUTED_VALUE"""),"Pre-seed, Seed")</f>
        <v>Pre-seed, Seed</v>
      </c>
      <c r="V566" s="6"/>
      <c r="W566" s="6" t="str">
        <f ca="1">IFERROR(__xludf.DUMMYFUNCTION("""COMPUTED_VALUE"""),"Invite Next Year")</f>
        <v>Invite Next Year</v>
      </c>
    </row>
    <row r="567" spans="1:23">
      <c r="A567" s="6" t="str">
        <f ca="1">IFERROR(__xludf.DUMMYFUNCTION("""COMPUTED_VALUE"""),"Man, Man, Man, Man")</f>
        <v>Man, Man, Man, Man</v>
      </c>
      <c r="B567" s="6" t="str">
        <f ca="1">IFERROR(__xludf.DUMMYFUNCTION("""COMPUTED_VALUE"""),"Krystal Holdings Pte. Ltd. _2022")</f>
        <v>Krystal Holdings Pte. Ltd. _2022</v>
      </c>
      <c r="C567" s="6" t="str">
        <f ca="1">IFERROR(__xludf.DUMMYFUNCTION("""COMPUTED_VALUE"""),"Digital Tech")</f>
        <v>Digital Tech</v>
      </c>
      <c r="D567" s="6" t="str">
        <f ca="1">IFERROR(__xludf.DUMMYFUNCTION("""COMPUTED_VALUE"""),"1 Upper Circular Road, Singapore 
Singapore")</f>
        <v>1 Upper Circular Road, Singapore 
Singapore</v>
      </c>
      <c r="E567" s="6" t="str">
        <f ca="1">IFERROR(__xludf.DUMMYFUNCTION("""COMPUTED_VALUE"""),"International - Asia")</f>
        <v>International - Asia</v>
      </c>
      <c r="F567" s="6" t="str">
        <f ca="1">IFERROR(__xludf.DUMMYFUNCTION("""COMPUTED_VALUE"""),"Man")</f>
        <v>Man</v>
      </c>
      <c r="G567" s="6" t="str">
        <f ca="1">IFERROR(__xludf.DUMMYFUNCTION("""COMPUTED_VALUE"""),"Man")</f>
        <v>Man</v>
      </c>
      <c r="H567" s="6" t="str">
        <f ca="1">IFERROR(__xludf.DUMMYFUNCTION("""COMPUTED_VALUE"""),"Man")</f>
        <v>Man</v>
      </c>
      <c r="I567" s="6" t="str">
        <f ca="1">IFERROR(__xludf.DUMMYFUNCTION("""COMPUTED_VALUE"""),"Man")</f>
        <v>Man</v>
      </c>
      <c r="J567" s="6"/>
      <c r="K567" s="6"/>
      <c r="L567" s="6" t="str">
        <f ca="1">IFERROR(__xludf.DUMMYFUNCTION("""COMPUTED_VALUE"""),"No")</f>
        <v>No</v>
      </c>
      <c r="M567" s="6"/>
      <c r="N567" s="6"/>
      <c r="O567" s="6" t="str">
        <f ca="1">IFERROR(__xludf.DUMMYFUNCTION("""COMPUTED_VALUE"""),"NYU Newsletter")</f>
        <v>NYU Newsletter</v>
      </c>
      <c r="P567" s="6"/>
      <c r="Q567" s="6" t="str">
        <f ca="1">IFERROR(__xludf.DUMMYFUNCTION("""COMPUTED_VALUE"""),"No")</f>
        <v>No</v>
      </c>
      <c r="R567" s="6">
        <f ca="1">IFERROR(__xludf.DUMMYFUNCTION("""COMPUTED_VALUE"""),4)</f>
        <v>4</v>
      </c>
      <c r="S567" s="6" t="str">
        <f ca="1">IFERROR(__xludf.DUMMYFUNCTION("""COMPUTED_VALUE"""),"Seed")</f>
        <v>Seed</v>
      </c>
      <c r="T567" s="6" t="str">
        <f ca="1">IFERROR(__xludf.DUMMYFUNCTION("""COMPUTED_VALUE"""),"Seed")</f>
        <v>Seed</v>
      </c>
      <c r="U567" s="6" t="str">
        <f ca="1">IFERROR(__xludf.DUMMYFUNCTION("""COMPUTED_VALUE"""),"Seed")</f>
        <v>Seed</v>
      </c>
      <c r="V567" s="6"/>
      <c r="W567" s="6" t="str">
        <f ca="1">IFERROR(__xludf.DUMMYFUNCTION("""COMPUTED_VALUE"""),"Invite")</f>
        <v>Invite</v>
      </c>
    </row>
    <row r="568" spans="1:23">
      <c r="A568" s="6" t="str">
        <f ca="1">IFERROR(__xludf.DUMMYFUNCTION("""COMPUTED_VALUE"""),"Man, Man")</f>
        <v>Man, Man</v>
      </c>
      <c r="B568" s="6" t="str">
        <f ca="1">IFERROR(__xludf.DUMMYFUNCTION("""COMPUTED_VALUE"""),"Serenity Bioworks  _2022")</f>
        <v>Serenity Bioworks  _2022</v>
      </c>
      <c r="C568" s="6" t="str">
        <f ca="1">IFERROR(__xludf.DUMMYFUNCTION("""COMPUTED_VALUE"""),"Life Sciences")</f>
        <v>Life Sciences</v>
      </c>
      <c r="D568" s="6" t="str">
        <f ca="1">IFERROR(__xludf.DUMMYFUNCTION("""COMPUTED_VALUE"""),"Kitchener, Ontario 
Canada")</f>
        <v>Kitchener, Ontario 
Canada</v>
      </c>
      <c r="E568" s="6" t="str">
        <f ca="1">IFERROR(__xludf.DUMMYFUNCTION("""COMPUTED_VALUE"""),"International - Americas")</f>
        <v>International - Americas</v>
      </c>
      <c r="F568" s="6" t="str">
        <f ca="1">IFERROR(__xludf.DUMMYFUNCTION("""COMPUTED_VALUE"""),"Man")</f>
        <v>Man</v>
      </c>
      <c r="G568" s="6" t="str">
        <f ca="1">IFERROR(__xludf.DUMMYFUNCTION("""COMPUTED_VALUE"""),"Man")</f>
        <v>Man</v>
      </c>
      <c r="H568" s="6"/>
      <c r="I568" s="6"/>
      <c r="J568" s="6"/>
      <c r="K568" s="6"/>
      <c r="L568" s="6" t="str">
        <f ca="1">IFERROR(__xludf.DUMMYFUNCTION("""COMPUTED_VALUE"""),"No")</f>
        <v>No</v>
      </c>
      <c r="M568" s="6"/>
      <c r="N568" s="6"/>
      <c r="O568" s="6" t="str">
        <f ca="1">IFERROR(__xludf.DUMMYFUNCTION("""COMPUTED_VALUE"""),"Referral")</f>
        <v>Referral</v>
      </c>
      <c r="P568" s="6"/>
      <c r="Q568" s="6" t="str">
        <f ca="1">IFERROR(__xludf.DUMMYFUNCTION("""COMPUTED_VALUE"""),"No")</f>
        <v>No</v>
      </c>
      <c r="R568" s="6">
        <f ca="1">IFERROR(__xludf.DUMMYFUNCTION("""COMPUTED_VALUE"""),2)</f>
        <v>2</v>
      </c>
      <c r="S568" s="6" t="str">
        <f ca="1">IFERROR(__xludf.DUMMYFUNCTION("""COMPUTED_VALUE"""),"Seed")</f>
        <v>Seed</v>
      </c>
      <c r="T568" s="6" t="str">
        <f ca="1">IFERROR(__xludf.DUMMYFUNCTION("""COMPUTED_VALUE"""),"Seed")</f>
        <v>Seed</v>
      </c>
      <c r="U568" s="6" t="str">
        <f ca="1">IFERROR(__xludf.DUMMYFUNCTION("""COMPUTED_VALUE"""),"Seed")</f>
        <v>Seed</v>
      </c>
      <c r="V568" s="6"/>
      <c r="W568" s="6" t="str">
        <f ca="1">IFERROR(__xludf.DUMMYFUNCTION("""COMPUTED_VALUE"""),"Invite")</f>
        <v>Invite</v>
      </c>
    </row>
    <row r="569" spans="1:23">
      <c r="A569" s="6" t="str">
        <f ca="1">IFERROR(__xludf.DUMMYFUNCTION("""COMPUTED_VALUE"""),"Man, Man, Man")</f>
        <v>Man, Man, Man</v>
      </c>
      <c r="B569" s="6" t="str">
        <f ca="1">IFERROR(__xludf.DUMMYFUNCTION("""COMPUTED_VALUE"""),"Prospero.Ai _2022")</f>
        <v>Prospero.Ai _2022</v>
      </c>
      <c r="C569" s="6" t="str">
        <f ca="1">IFERROR(__xludf.DUMMYFUNCTION("""COMPUTED_VALUE"""),"Digital Tech")</f>
        <v>Digital Tech</v>
      </c>
      <c r="D569" s="6" t="str">
        <f ca="1">IFERROR(__xludf.DUMMYFUNCTION("""COMPUTED_VALUE"""),"885 Third Avenue, 20th Floor  New York, New York 10022-4834, NY 
United States")</f>
        <v>885 Third Avenue, 20th Floor  New York, New York 10022-4834, NY 
United States</v>
      </c>
      <c r="E569" s="6" t="str">
        <f ca="1">IFERROR(__xludf.DUMMYFUNCTION("""COMPUTED_VALUE"""),"New York")</f>
        <v>New York</v>
      </c>
      <c r="F569" s="6" t="str">
        <f ca="1">IFERROR(__xludf.DUMMYFUNCTION("""COMPUTED_VALUE"""),"Man")</f>
        <v>Man</v>
      </c>
      <c r="G569" s="6" t="str">
        <f ca="1">IFERROR(__xludf.DUMMYFUNCTION("""COMPUTED_VALUE"""),"Man")</f>
        <v>Man</v>
      </c>
      <c r="H569" s="6" t="str">
        <f ca="1">IFERROR(__xludf.DUMMYFUNCTION("""COMPUTED_VALUE"""),"Man")</f>
        <v>Man</v>
      </c>
      <c r="I569" s="6"/>
      <c r="J569" s="6"/>
      <c r="K569" s="6"/>
      <c r="L569" s="6" t="str">
        <f ca="1">IFERROR(__xludf.DUMMYFUNCTION("""COMPUTED_VALUE"""),"Yes")</f>
        <v>Yes</v>
      </c>
      <c r="M569" s="6" t="str">
        <f ca="1">IFERROR(__xludf.DUMMYFUNCTION("""COMPUTED_VALUE"""),"NYU Faculty")</f>
        <v>NYU Faculty</v>
      </c>
      <c r="N569" s="6"/>
      <c r="O569" s="6" t="str">
        <f ca="1">IFERROR(__xludf.DUMMYFUNCTION("""COMPUTED_VALUE"""),"Referral")</f>
        <v>Referral</v>
      </c>
      <c r="P569" s="6"/>
      <c r="Q569" s="6" t="str">
        <f ca="1">IFERROR(__xludf.DUMMYFUNCTION("""COMPUTED_VALUE"""),"No")</f>
        <v>No</v>
      </c>
      <c r="R569" s="6">
        <f ca="1">IFERROR(__xludf.DUMMYFUNCTION("""COMPUTED_VALUE"""),3)</f>
        <v>3</v>
      </c>
      <c r="S569" s="6" t="str">
        <f ca="1">IFERROR(__xludf.DUMMYFUNCTION("""COMPUTED_VALUE"""),"Pre-seed")</f>
        <v>Pre-seed</v>
      </c>
      <c r="T569" s="6" t="str">
        <f ca="1">IFERROR(__xludf.DUMMYFUNCTION("""COMPUTED_VALUE"""),"Pre-seed")</f>
        <v>Pre-seed</v>
      </c>
      <c r="U569" s="6" t="str">
        <f ca="1">IFERROR(__xludf.DUMMYFUNCTION("""COMPUTED_VALUE"""),"Pre-seed")</f>
        <v>Pre-seed</v>
      </c>
      <c r="V569" s="6"/>
      <c r="W569" s="6" t="str">
        <f ca="1">IFERROR(__xludf.DUMMYFUNCTION("""COMPUTED_VALUE"""),"Invite Next Year")</f>
        <v>Invite Next Year</v>
      </c>
    </row>
    <row r="570" spans="1:23">
      <c r="A570" s="6" t="str">
        <f ca="1">IFERROR(__xludf.DUMMYFUNCTION("""COMPUTED_VALUE"""),"Man, Man, Woman, Woman, Woman")</f>
        <v>Man, Man, Woman, Woman, Woman</v>
      </c>
      <c r="B570" s="6" t="str">
        <f ca="1">IFERROR(__xludf.DUMMYFUNCTION("""COMPUTED_VALUE"""),"Highsy, Inc. _2022")</f>
        <v>Highsy, Inc. _2022</v>
      </c>
      <c r="C570" s="6" t="str">
        <f ca="1">IFERROR(__xludf.DUMMYFUNCTION("""COMPUTED_VALUE"""),"Digital Tech")</f>
        <v>Digital Tech</v>
      </c>
      <c r="D570" s="6" t="str">
        <f ca="1">IFERROR(__xludf.DUMMYFUNCTION("""COMPUTED_VALUE"""),"Tampa, Florida 
United States")</f>
        <v>Tampa, Florida 
United States</v>
      </c>
      <c r="E570" s="6" t="str">
        <f ca="1">IFERROR(__xludf.DUMMYFUNCTION("""COMPUTED_VALUE"""),"East Coast")</f>
        <v>East Coast</v>
      </c>
      <c r="F570" s="6" t="str">
        <f ca="1">IFERROR(__xludf.DUMMYFUNCTION("""COMPUTED_VALUE"""),"Man")</f>
        <v>Man</v>
      </c>
      <c r="G570" s="6" t="str">
        <f ca="1">IFERROR(__xludf.DUMMYFUNCTION("""COMPUTED_VALUE"""),"Man")</f>
        <v>Man</v>
      </c>
      <c r="H570" s="6" t="str">
        <f ca="1">IFERROR(__xludf.DUMMYFUNCTION("""COMPUTED_VALUE"""),"Woman")</f>
        <v>Woman</v>
      </c>
      <c r="I570" s="6" t="str">
        <f ca="1">IFERROR(__xludf.DUMMYFUNCTION("""COMPUTED_VALUE"""),"Woman")</f>
        <v>Woman</v>
      </c>
      <c r="J570" s="6" t="str">
        <f ca="1">IFERROR(__xludf.DUMMYFUNCTION("""COMPUTED_VALUE"""),"Woman")</f>
        <v>Woman</v>
      </c>
      <c r="K570" s="6"/>
      <c r="L570" s="6" t="str">
        <f ca="1">IFERROR(__xludf.DUMMYFUNCTION("""COMPUTED_VALUE"""),"Yes")</f>
        <v>Yes</v>
      </c>
      <c r="M570" s="6" t="str">
        <f ca="1">IFERROR(__xludf.DUMMYFUNCTION("""COMPUTED_VALUE"""),"NYU Student")</f>
        <v>NYU Student</v>
      </c>
      <c r="N570" s="6"/>
      <c r="O570" s="6" t="str">
        <f ca="1">IFERROR(__xludf.DUMMYFUNCTION("""COMPUTED_VALUE"""),"NYU Newsletter")</f>
        <v>NYU Newsletter</v>
      </c>
      <c r="P570" s="6"/>
      <c r="Q570" s="6" t="str">
        <f ca="1">IFERROR(__xludf.DUMMYFUNCTION("""COMPUTED_VALUE"""),"No")</f>
        <v>No</v>
      </c>
      <c r="R570" s="6">
        <f ca="1">IFERROR(__xludf.DUMMYFUNCTION("""COMPUTED_VALUE"""),5)</f>
        <v>5</v>
      </c>
      <c r="S570" s="6" t="str">
        <f ca="1">IFERROR(__xludf.DUMMYFUNCTION("""COMPUTED_VALUE"""),"Seed")</f>
        <v>Seed</v>
      </c>
      <c r="T570" s="6" t="str">
        <f ca="1">IFERROR(__xludf.DUMMYFUNCTION("""COMPUTED_VALUE"""),"Seed")</f>
        <v>Seed</v>
      </c>
      <c r="U570" s="6" t="str">
        <f ca="1">IFERROR(__xludf.DUMMYFUNCTION("""COMPUTED_VALUE"""),"Seed")</f>
        <v>Seed</v>
      </c>
      <c r="V570" s="6"/>
      <c r="W570" s="6" t="str">
        <f ca="1">IFERROR(__xludf.DUMMYFUNCTION("""COMPUTED_VALUE"""),"Invite Next Year")</f>
        <v>Invite Next Year</v>
      </c>
    </row>
    <row r="571" spans="1:23">
      <c r="A571" s="6" t="str">
        <f ca="1">IFERROR(__xludf.DUMMYFUNCTION("""COMPUTED_VALUE"""),"Man")</f>
        <v>Man</v>
      </c>
      <c r="B571" s="6" t="str">
        <f ca="1">IFERROR(__xludf.DUMMYFUNCTION("""COMPUTED_VALUE"""),"H Quest Vanguard, Inc. _2022")</f>
        <v>H Quest Vanguard, Inc. _2022</v>
      </c>
      <c r="C571" s="6" t="str">
        <f ca="1">IFERROR(__xludf.DUMMYFUNCTION("""COMPUTED_VALUE"""),"Deep Tech")</f>
        <v>Deep Tech</v>
      </c>
      <c r="D571" s="6" t="str">
        <f ca="1">IFERROR(__xludf.DUMMYFUNCTION("""COMPUTED_VALUE"""),"Pittsburgh, Pennsylvania 
United States")</f>
        <v>Pittsburgh, Pennsylvania 
United States</v>
      </c>
      <c r="E571" s="6" t="str">
        <f ca="1">IFERROR(__xludf.DUMMYFUNCTION("""COMPUTED_VALUE"""),"East Coast")</f>
        <v>East Coast</v>
      </c>
      <c r="F571" s="6" t="str">
        <f ca="1">IFERROR(__xludf.DUMMYFUNCTION("""COMPUTED_VALUE"""),"Man")</f>
        <v>Man</v>
      </c>
      <c r="G571" s="6"/>
      <c r="H571" s="6"/>
      <c r="I571" s="6"/>
      <c r="J571" s="6"/>
      <c r="K571" s="6"/>
      <c r="L571" s="6" t="str">
        <f ca="1">IFERROR(__xludf.DUMMYFUNCTION("""COMPUTED_VALUE"""),"No")</f>
        <v>No</v>
      </c>
      <c r="M571" s="6"/>
      <c r="N571" s="6"/>
      <c r="O571" s="6" t="str">
        <f ca="1">IFERROR(__xludf.DUMMYFUNCTION("""COMPUTED_VALUE"""),"Other")</f>
        <v>Other</v>
      </c>
      <c r="P571" s="6"/>
      <c r="Q571" s="6" t="str">
        <f ca="1">IFERROR(__xludf.DUMMYFUNCTION("""COMPUTED_VALUE"""),"Yes")</f>
        <v>Yes</v>
      </c>
      <c r="R571" s="6">
        <f ca="1">IFERROR(__xludf.DUMMYFUNCTION("""COMPUTED_VALUE"""),1)</f>
        <v>1</v>
      </c>
      <c r="S571" s="6" t="str">
        <f ca="1">IFERROR(__xludf.DUMMYFUNCTION("""COMPUTED_VALUE"""),"Pre-seed
Seed")</f>
        <v>Pre-seed
Seed</v>
      </c>
      <c r="T571" s="6" t="str">
        <f ca="1">IFERROR(__xludf.DUMMYFUNCTION("""COMPUTED_VALUE"""),"Pre-seed, Seed")</f>
        <v>Pre-seed, Seed</v>
      </c>
      <c r="U571" s="6" t="str">
        <f ca="1">IFERROR(__xludf.DUMMYFUNCTION("""COMPUTED_VALUE"""),"Pre-seed, Seed")</f>
        <v>Pre-seed, Seed</v>
      </c>
      <c r="V571" s="6"/>
      <c r="W571" s="6" t="str">
        <f ca="1">IFERROR(__xludf.DUMMYFUNCTION("""COMPUTED_VALUE"""),"Invite")</f>
        <v>Invite</v>
      </c>
    </row>
    <row r="572" spans="1:23">
      <c r="A572" s="6" t="str">
        <f ca="1">IFERROR(__xludf.DUMMYFUNCTION("""COMPUTED_VALUE"""),"Man, Man, Man")</f>
        <v>Man, Man, Man</v>
      </c>
      <c r="B572" s="6" t="str">
        <f ca="1">IFERROR(__xludf.DUMMYFUNCTION("""COMPUTED_VALUE"""),"Wootzano Limited _2022")</f>
        <v>Wootzano Limited _2022</v>
      </c>
      <c r="C572" s="6" t="str">
        <f ca="1">IFERROR(__xludf.DUMMYFUNCTION("""COMPUTED_VALUE"""),"Deep Tech")</f>
        <v>Deep Tech</v>
      </c>
      <c r="D572" s="6" t="str">
        <f ca="1">IFERROR(__xludf.DUMMYFUNCTION("""COMPUTED_VALUE"""),"Explorer 2, Thomas Wright Way, Sedgefield, Co Durham 
United Kingdom")</f>
        <v>Explorer 2, Thomas Wright Way, Sedgefield, Co Durham 
United Kingdom</v>
      </c>
      <c r="E572" s="6" t="str">
        <f ca="1">IFERROR(__xludf.DUMMYFUNCTION("""COMPUTED_VALUE"""),"International - Europe")</f>
        <v>International - Europe</v>
      </c>
      <c r="F572" s="6" t="str">
        <f ca="1">IFERROR(__xludf.DUMMYFUNCTION("""COMPUTED_VALUE"""),"Man")</f>
        <v>Man</v>
      </c>
      <c r="G572" s="6" t="str">
        <f ca="1">IFERROR(__xludf.DUMMYFUNCTION("""COMPUTED_VALUE"""),"Man")</f>
        <v>Man</v>
      </c>
      <c r="H572" s="6" t="str">
        <f ca="1">IFERROR(__xludf.DUMMYFUNCTION("""COMPUTED_VALUE"""),"Man")</f>
        <v>Man</v>
      </c>
      <c r="I572" s="6"/>
      <c r="J572" s="6"/>
      <c r="K572" s="6"/>
      <c r="L572" s="6" t="str">
        <f ca="1">IFERROR(__xludf.DUMMYFUNCTION("""COMPUTED_VALUE"""),"No")</f>
        <v>No</v>
      </c>
      <c r="M572" s="6"/>
      <c r="N572" s="6"/>
      <c r="O572" s="6" t="str">
        <f ca="1">IFERROR(__xludf.DUMMYFUNCTION("""COMPUTED_VALUE"""),"Email")</f>
        <v>Email</v>
      </c>
      <c r="P572" s="6"/>
      <c r="Q572" s="6" t="str">
        <f ca="1">IFERROR(__xludf.DUMMYFUNCTION("""COMPUTED_VALUE"""),"No")</f>
        <v>No</v>
      </c>
      <c r="R572" s="6">
        <f ca="1">IFERROR(__xludf.DUMMYFUNCTION("""COMPUTED_VALUE"""),3)</f>
        <v>3</v>
      </c>
      <c r="S572" s="6" t="str">
        <f ca="1">IFERROR(__xludf.DUMMYFUNCTION("""COMPUTED_VALUE"""),"Seed
Debt financing
Grants")</f>
        <v>Seed
Debt financing
Grants</v>
      </c>
      <c r="T572" s="6" t="str">
        <f ca="1">IFERROR(__xludf.DUMMYFUNCTION("""COMPUTED_VALUE"""),"Seed, Debt financing, Grants")</f>
        <v>Seed, Debt financing, Grants</v>
      </c>
      <c r="U572" s="6" t="str">
        <f ca="1">IFERROR(__xludf.DUMMYFUNCTION("""COMPUTED_VALUE"""),"Seed, Debt financing, Grants")</f>
        <v>Seed, Debt financing, Grants</v>
      </c>
      <c r="V572" s="6"/>
      <c r="W572" s="6" t="str">
        <f ca="1">IFERROR(__xludf.DUMMYFUNCTION("""COMPUTED_VALUE"""),"Invite")</f>
        <v>Invite</v>
      </c>
    </row>
    <row r="573" spans="1:23">
      <c r="A573" s="6" t="str">
        <f ca="1">IFERROR(__xludf.DUMMYFUNCTION("""COMPUTED_VALUE"""),"Woman")</f>
        <v>Woman</v>
      </c>
      <c r="B573" s="6" t="str">
        <f ca="1">IFERROR(__xludf.DUMMYFUNCTION("""COMPUTED_VALUE"""),"Akesa Health _2022")</f>
        <v>Akesa Health _2022</v>
      </c>
      <c r="C573" s="6" t="str">
        <f ca="1">IFERROR(__xludf.DUMMYFUNCTION("""COMPUTED_VALUE"""),"Digital Tech")</f>
        <v>Digital Tech</v>
      </c>
      <c r="D573" s="6" t="str">
        <f ca="1">IFERROR(__xludf.DUMMYFUNCTION("""COMPUTED_VALUE"""),"San Ramon, CA 
United States")</f>
        <v>San Ramon, CA 
United States</v>
      </c>
      <c r="E573" s="6" t="str">
        <f ca="1">IFERROR(__xludf.DUMMYFUNCTION("""COMPUTED_VALUE"""),"West Coast")</f>
        <v>West Coast</v>
      </c>
      <c r="F573" s="6" t="str">
        <f ca="1">IFERROR(__xludf.DUMMYFUNCTION("""COMPUTED_VALUE"""),"Woman")</f>
        <v>Woman</v>
      </c>
      <c r="G573" s="6"/>
      <c r="H573" s="6"/>
      <c r="I573" s="6"/>
      <c r="J573" s="6"/>
      <c r="K573" s="6"/>
      <c r="L573" s="6" t="str">
        <f ca="1">IFERROR(__xludf.DUMMYFUNCTION("""COMPUTED_VALUE"""),"No")</f>
        <v>No</v>
      </c>
      <c r="M573" s="6"/>
      <c r="N573" s="6"/>
      <c r="O573" s="6" t="str">
        <f ca="1">IFERROR(__xludf.DUMMYFUNCTION("""COMPUTED_VALUE"""),"Other")</f>
        <v>Other</v>
      </c>
      <c r="P573" s="6"/>
      <c r="Q573" s="6" t="str">
        <f ca="1">IFERROR(__xludf.DUMMYFUNCTION("""COMPUTED_VALUE"""),"No")</f>
        <v>No</v>
      </c>
      <c r="R573" s="6">
        <f ca="1">IFERROR(__xludf.DUMMYFUNCTION("""COMPUTED_VALUE"""),1)</f>
        <v>1</v>
      </c>
      <c r="S573" s="6" t="str">
        <f ca="1">IFERROR(__xludf.DUMMYFUNCTION("""COMPUTED_VALUE"""),"Pre-seed")</f>
        <v>Pre-seed</v>
      </c>
      <c r="T573" s="6" t="str">
        <f ca="1">IFERROR(__xludf.DUMMYFUNCTION("""COMPUTED_VALUE"""),"Pre-seed")</f>
        <v>Pre-seed</v>
      </c>
      <c r="U573" s="6" t="str">
        <f ca="1">IFERROR(__xludf.DUMMYFUNCTION("""COMPUTED_VALUE"""),"Pre-seed")</f>
        <v>Pre-seed</v>
      </c>
      <c r="V573" s="6"/>
      <c r="W573" s="6" t="str">
        <f ca="1">IFERROR(__xludf.DUMMYFUNCTION("""COMPUTED_VALUE"""),"Invite Next Year")</f>
        <v>Invite Next Year</v>
      </c>
    </row>
    <row r="574" spans="1:23">
      <c r="A574" s="6" t="str">
        <f ca="1">IFERROR(__xludf.DUMMYFUNCTION("""COMPUTED_VALUE"""),"Prefer not to respond")</f>
        <v>Prefer not to respond</v>
      </c>
      <c r="B574" s="6" t="str">
        <f ca="1">IFERROR(__xludf.DUMMYFUNCTION("""COMPUTED_VALUE"""),"targo.digital UG (haftungsbeschraenkt) _2022")</f>
        <v>targo.digital UG (haftungsbeschraenkt) _2022</v>
      </c>
      <c r="C574" s="6" t="str">
        <f ca="1">IFERROR(__xludf.DUMMYFUNCTION("""COMPUTED_VALUE"""),"Digital Tech")</f>
        <v>Digital Tech</v>
      </c>
      <c r="D574" s="6" t="str">
        <f ca="1">IFERROR(__xludf.DUMMYFUNCTION("""COMPUTED_VALUE"""),"Haendelstr. 1, 81675 Munich, Bavaria 
Germany")</f>
        <v>Haendelstr. 1, 81675 Munich, Bavaria 
Germany</v>
      </c>
      <c r="E574" s="6" t="str">
        <f ca="1">IFERROR(__xludf.DUMMYFUNCTION("""COMPUTED_VALUE"""),"International - Europe")</f>
        <v>International - Europe</v>
      </c>
      <c r="F574" s="6" t="str">
        <f ca="1">IFERROR(__xludf.DUMMYFUNCTION("""COMPUTED_VALUE"""),"Prefer not to respond")</f>
        <v>Prefer not to respond</v>
      </c>
      <c r="G574" s="6"/>
      <c r="H574" s="6"/>
      <c r="I574" s="6"/>
      <c r="J574" s="6"/>
      <c r="K574" s="6"/>
      <c r="L574" s="6" t="str">
        <f ca="1">IFERROR(__xludf.DUMMYFUNCTION("""COMPUTED_VALUE"""),"No")</f>
        <v>No</v>
      </c>
      <c r="M574" s="6"/>
      <c r="N574" s="6"/>
      <c r="O574" s="6" t="str">
        <f ca="1">IFERROR(__xludf.DUMMYFUNCTION("""COMPUTED_VALUE"""),"Email")</f>
        <v>Email</v>
      </c>
      <c r="P574" s="6"/>
      <c r="Q574" s="6" t="str">
        <f ca="1">IFERROR(__xludf.DUMMYFUNCTION("""COMPUTED_VALUE"""),"No")</f>
        <v>No</v>
      </c>
      <c r="R574" s="6">
        <f ca="1">IFERROR(__xludf.DUMMYFUNCTION("""COMPUTED_VALUE"""),1)</f>
        <v>1</v>
      </c>
      <c r="S574" s="6" t="str">
        <f ca="1">IFERROR(__xludf.DUMMYFUNCTION("""COMPUTED_VALUE"""),"Other: my own")</f>
        <v>Other: my own</v>
      </c>
      <c r="T574" s="6" t="str">
        <f ca="1">IFERROR(__xludf.DUMMYFUNCTION("""COMPUTED_VALUE"""),"Other: my own")</f>
        <v>Other: my own</v>
      </c>
      <c r="U574" s="6" t="str">
        <f ca="1">IFERROR(__xludf.DUMMYFUNCTION("""COMPUTED_VALUE"""),"my own")</f>
        <v>my own</v>
      </c>
      <c r="V574" s="6"/>
      <c r="W574" s="6" t="str">
        <f ca="1">IFERROR(__xludf.DUMMYFUNCTION("""COMPUTED_VALUE"""),"Invite Next Year")</f>
        <v>Invite Next Year</v>
      </c>
    </row>
    <row r="575" spans="1:23">
      <c r="A575" s="6" t="str">
        <f ca="1">IFERROR(__xludf.DUMMYFUNCTION("""COMPUTED_VALUE"""),"Man, Man, Man, Man, Man, Man")</f>
        <v>Man, Man, Man, Man, Man, Man</v>
      </c>
      <c r="B575" s="6" t="str">
        <f ca="1">IFERROR(__xludf.DUMMYFUNCTION("""COMPUTED_VALUE"""),"Algor Lab _2022")</f>
        <v>Algor Lab _2022</v>
      </c>
      <c r="C575" s="6" t="str">
        <f ca="1">IFERROR(__xludf.DUMMYFUNCTION("""COMPUTED_VALUE"""),"Digital Tech")</f>
        <v>Digital Tech</v>
      </c>
      <c r="D575" s="6" t="str">
        <f ca="1">IFERROR(__xludf.DUMMYFUNCTION("""COMPUTED_VALUE"""),"Torino, Torino 
Italy")</f>
        <v>Torino, Torino 
Italy</v>
      </c>
      <c r="E575" s="6" t="str">
        <f ca="1">IFERROR(__xludf.DUMMYFUNCTION("""COMPUTED_VALUE"""),"International - Europe")</f>
        <v>International - Europe</v>
      </c>
      <c r="F575" s="6" t="str">
        <f ca="1">IFERROR(__xludf.DUMMYFUNCTION("""COMPUTED_VALUE"""),"Man")</f>
        <v>Man</v>
      </c>
      <c r="G575" s="6" t="str">
        <f ca="1">IFERROR(__xludf.DUMMYFUNCTION("""COMPUTED_VALUE"""),"Man")</f>
        <v>Man</v>
      </c>
      <c r="H575" s="6" t="str">
        <f ca="1">IFERROR(__xludf.DUMMYFUNCTION("""COMPUTED_VALUE"""),"Man")</f>
        <v>Man</v>
      </c>
      <c r="I575" s="6" t="str">
        <f ca="1">IFERROR(__xludf.DUMMYFUNCTION("""COMPUTED_VALUE"""),"Man")</f>
        <v>Man</v>
      </c>
      <c r="J575" s="6" t="str">
        <f ca="1">IFERROR(__xludf.DUMMYFUNCTION("""COMPUTED_VALUE"""),"Man")</f>
        <v>Man</v>
      </c>
      <c r="K575" s="6" t="str">
        <f ca="1">IFERROR(__xludf.DUMMYFUNCTION("""COMPUTED_VALUE"""),"Man")</f>
        <v>Man</v>
      </c>
      <c r="L575" s="6" t="str">
        <f ca="1">IFERROR(__xludf.DUMMYFUNCTION("""COMPUTED_VALUE"""),"--Please select--")</f>
        <v>--Please select--</v>
      </c>
      <c r="M575" s="6"/>
      <c r="N575" s="6"/>
      <c r="O575" s="6" t="str">
        <f ca="1">IFERROR(__xludf.DUMMYFUNCTION("""COMPUTED_VALUE"""),"Email")</f>
        <v>Email</v>
      </c>
      <c r="P575" s="6"/>
      <c r="Q575" s="6" t="str">
        <f ca="1">IFERROR(__xludf.DUMMYFUNCTION("""COMPUTED_VALUE"""),"No")</f>
        <v>No</v>
      </c>
      <c r="R575" s="6">
        <f ca="1">IFERROR(__xludf.DUMMYFUNCTION("""COMPUTED_VALUE"""),6)</f>
        <v>6</v>
      </c>
      <c r="S575" s="6" t="str">
        <f ca="1">IFERROR(__xludf.DUMMYFUNCTION("""COMPUTED_VALUE"""),"Pre-seed
Grants")</f>
        <v>Pre-seed
Grants</v>
      </c>
      <c r="T575" s="6" t="str">
        <f ca="1">IFERROR(__xludf.DUMMYFUNCTION("""COMPUTED_VALUE"""),"Pre-seed, Grants")</f>
        <v>Pre-seed, Grants</v>
      </c>
      <c r="U575" s="6" t="str">
        <f ca="1">IFERROR(__xludf.DUMMYFUNCTION("""COMPUTED_VALUE"""),"Pre-seed, Grants")</f>
        <v>Pre-seed, Grants</v>
      </c>
      <c r="V575" s="6"/>
      <c r="W575" s="6" t="str">
        <f ca="1">IFERROR(__xludf.DUMMYFUNCTION("""COMPUTED_VALUE"""),"Invite Next Year")</f>
        <v>Invite Next Year</v>
      </c>
    </row>
    <row r="576" spans="1:23">
      <c r="A576" s="6" t="str">
        <f ca="1">IFERROR(__xludf.DUMMYFUNCTION("""COMPUTED_VALUE"""),"Man, Woman")</f>
        <v>Man, Woman</v>
      </c>
      <c r="B576" s="6" t="str">
        <f ca="1">IFERROR(__xludf.DUMMYFUNCTION("""COMPUTED_VALUE"""),"StartupFuel Inc. _2022")</f>
        <v>StartupFuel Inc. _2022</v>
      </c>
      <c r="C576" s="6" t="str">
        <f ca="1">IFERROR(__xludf.DUMMYFUNCTION("""COMPUTED_VALUE"""),"Digital Tech")</f>
        <v>Digital Tech</v>
      </c>
      <c r="D576" s="6" t="str">
        <f ca="1">IFERROR(__xludf.DUMMYFUNCTION("""COMPUTED_VALUE"""),"Toronto, ON 
Canada")</f>
        <v>Toronto, ON 
Canada</v>
      </c>
      <c r="E576" s="6" t="str">
        <f ca="1">IFERROR(__xludf.DUMMYFUNCTION("""COMPUTED_VALUE"""),"International - Americas")</f>
        <v>International - Americas</v>
      </c>
      <c r="F576" s="6" t="str">
        <f ca="1">IFERROR(__xludf.DUMMYFUNCTION("""COMPUTED_VALUE"""),"Man")</f>
        <v>Man</v>
      </c>
      <c r="G576" s="6" t="str">
        <f ca="1">IFERROR(__xludf.DUMMYFUNCTION("""COMPUTED_VALUE"""),"Woman")</f>
        <v>Woman</v>
      </c>
      <c r="H576" s="6"/>
      <c r="I576" s="6"/>
      <c r="J576" s="6"/>
      <c r="K576" s="6"/>
      <c r="L576" s="6" t="str">
        <f ca="1">IFERROR(__xludf.DUMMYFUNCTION("""COMPUTED_VALUE"""),"No")</f>
        <v>No</v>
      </c>
      <c r="M576" s="6"/>
      <c r="N576" s="6"/>
      <c r="O576" s="6" t="str">
        <f ca="1">IFERROR(__xludf.DUMMYFUNCTION("""COMPUTED_VALUE"""),"Referral")</f>
        <v>Referral</v>
      </c>
      <c r="P576" s="6"/>
      <c r="Q576" s="6" t="str">
        <f ca="1">IFERROR(__xludf.DUMMYFUNCTION("""COMPUTED_VALUE"""),"No")</f>
        <v>No</v>
      </c>
      <c r="R576" s="6">
        <f ca="1">IFERROR(__xludf.DUMMYFUNCTION("""COMPUTED_VALUE"""),2)</f>
        <v>2</v>
      </c>
      <c r="S576" s="6" t="str">
        <f ca="1">IFERROR(__xludf.DUMMYFUNCTION("""COMPUTED_VALUE"""),"Pre-seed")</f>
        <v>Pre-seed</v>
      </c>
      <c r="T576" s="6" t="str">
        <f ca="1">IFERROR(__xludf.DUMMYFUNCTION("""COMPUTED_VALUE"""),"Pre-seed")</f>
        <v>Pre-seed</v>
      </c>
      <c r="U576" s="6" t="str">
        <f ca="1">IFERROR(__xludf.DUMMYFUNCTION("""COMPUTED_VALUE"""),"Pre-seed")</f>
        <v>Pre-seed</v>
      </c>
      <c r="V576" s="6"/>
      <c r="W576" s="6" t="str">
        <f ca="1">IFERROR(__xludf.DUMMYFUNCTION("""COMPUTED_VALUE"""),"Invite Next Year")</f>
        <v>Invite Next Year</v>
      </c>
    </row>
    <row r="577" spans="1:23">
      <c r="A577" s="6" t="str">
        <f ca="1">IFERROR(__xludf.DUMMYFUNCTION("""COMPUTED_VALUE"""),"Man, Man, Man")</f>
        <v>Man, Man, Man</v>
      </c>
      <c r="B577" s="6" t="str">
        <f ca="1">IFERROR(__xludf.DUMMYFUNCTION("""COMPUTED_VALUE"""),"Field 33 _2022")</f>
        <v>Field 33 _2022</v>
      </c>
      <c r="C577" s="6" t="str">
        <f ca="1">IFERROR(__xludf.DUMMYFUNCTION("""COMPUTED_VALUE"""),"Digital Tech")</f>
        <v>Digital Tech</v>
      </c>
      <c r="D577" s="6" t="str">
        <f ca="1">IFERROR(__xludf.DUMMYFUNCTION("""COMPUTED_VALUE"""),"Berlin, Berlin 
Germany")</f>
        <v>Berlin, Berlin 
Germany</v>
      </c>
      <c r="E577" s="6" t="str">
        <f ca="1">IFERROR(__xludf.DUMMYFUNCTION("""COMPUTED_VALUE"""),"International - Europe")</f>
        <v>International - Europe</v>
      </c>
      <c r="F577" s="6" t="str">
        <f ca="1">IFERROR(__xludf.DUMMYFUNCTION("""COMPUTED_VALUE"""),"Man")</f>
        <v>Man</v>
      </c>
      <c r="G577" s="6" t="str">
        <f ca="1">IFERROR(__xludf.DUMMYFUNCTION("""COMPUTED_VALUE"""),"Man")</f>
        <v>Man</v>
      </c>
      <c r="H577" s="6" t="str">
        <f ca="1">IFERROR(__xludf.DUMMYFUNCTION("""COMPUTED_VALUE"""),"Man")</f>
        <v>Man</v>
      </c>
      <c r="I577" s="6"/>
      <c r="J577" s="6"/>
      <c r="K577" s="6"/>
      <c r="L577" s="6" t="str">
        <f ca="1">IFERROR(__xludf.DUMMYFUNCTION("""COMPUTED_VALUE"""),"No")</f>
        <v>No</v>
      </c>
      <c r="M577" s="6"/>
      <c r="N577" s="6"/>
      <c r="O577" s="6" t="str">
        <f ca="1">IFERROR(__xludf.DUMMYFUNCTION("""COMPUTED_VALUE"""),"Email")</f>
        <v>Email</v>
      </c>
      <c r="P577" s="6"/>
      <c r="Q577" s="6" t="str">
        <f ca="1">IFERROR(__xludf.DUMMYFUNCTION("""COMPUTED_VALUE"""),"No")</f>
        <v>No</v>
      </c>
      <c r="R577" s="6">
        <f ca="1">IFERROR(__xludf.DUMMYFUNCTION("""COMPUTED_VALUE"""),3)</f>
        <v>3</v>
      </c>
      <c r="S577" s="6" t="str">
        <f ca="1">IFERROR(__xludf.DUMMYFUNCTION("""COMPUTED_VALUE"""),"Pre-seed")</f>
        <v>Pre-seed</v>
      </c>
      <c r="T577" s="6" t="str">
        <f ca="1">IFERROR(__xludf.DUMMYFUNCTION("""COMPUTED_VALUE"""),"Pre-seed")</f>
        <v>Pre-seed</v>
      </c>
      <c r="U577" s="6" t="str">
        <f ca="1">IFERROR(__xludf.DUMMYFUNCTION("""COMPUTED_VALUE"""),"Pre-seed")</f>
        <v>Pre-seed</v>
      </c>
      <c r="V577" s="6"/>
      <c r="W577" s="6" t="str">
        <f ca="1">IFERROR(__xludf.DUMMYFUNCTION("""COMPUTED_VALUE"""),"Invite")</f>
        <v>Invite</v>
      </c>
    </row>
    <row r="578" spans="1:23">
      <c r="A578" s="6" t="str">
        <f ca="1">IFERROR(__xludf.DUMMYFUNCTION("""COMPUTED_VALUE"""),"Man, Woman, Man")</f>
        <v>Man, Woman, Man</v>
      </c>
      <c r="B578" s="6" t="str">
        <f ca="1">IFERROR(__xludf.DUMMYFUNCTION("""COMPUTED_VALUE"""),"SanChip _2022")</f>
        <v>SanChip _2022</v>
      </c>
      <c r="C578" s="6" t="str">
        <f ca="1">IFERROR(__xludf.DUMMYFUNCTION("""COMPUTED_VALUE"""),"Deep Tech")</f>
        <v>Deep Tech</v>
      </c>
      <c r="D578" s="6" t="str">
        <f ca="1">IFERROR(__xludf.DUMMYFUNCTION("""COMPUTED_VALUE"""),"Capannori, Lucca 
Italy")</f>
        <v>Capannori, Lucca 
Italy</v>
      </c>
      <c r="E578" s="6" t="str">
        <f ca="1">IFERROR(__xludf.DUMMYFUNCTION("""COMPUTED_VALUE"""),"International - Europe")</f>
        <v>International - Europe</v>
      </c>
      <c r="F578" s="6" t="str">
        <f ca="1">IFERROR(__xludf.DUMMYFUNCTION("""COMPUTED_VALUE"""),"Man")</f>
        <v>Man</v>
      </c>
      <c r="G578" s="6" t="str">
        <f ca="1">IFERROR(__xludf.DUMMYFUNCTION("""COMPUTED_VALUE"""),"Woman")</f>
        <v>Woman</v>
      </c>
      <c r="H578" s="6" t="str">
        <f ca="1">IFERROR(__xludf.DUMMYFUNCTION("""COMPUTED_VALUE"""),"Man")</f>
        <v>Man</v>
      </c>
      <c r="I578" s="6"/>
      <c r="J578" s="6"/>
      <c r="K578" s="6"/>
      <c r="L578" s="6" t="str">
        <f ca="1">IFERROR(__xludf.DUMMYFUNCTION("""COMPUTED_VALUE"""),"No")</f>
        <v>No</v>
      </c>
      <c r="M578" s="6"/>
      <c r="N578" s="6"/>
      <c r="O578" s="6" t="str">
        <f ca="1">IFERROR(__xludf.DUMMYFUNCTION("""COMPUTED_VALUE"""),"Email")</f>
        <v>Email</v>
      </c>
      <c r="P578" s="6"/>
      <c r="Q578" s="6" t="str">
        <f ca="1">IFERROR(__xludf.DUMMYFUNCTION("""COMPUTED_VALUE"""),"No")</f>
        <v>No</v>
      </c>
      <c r="R578" s="6">
        <f ca="1">IFERROR(__xludf.DUMMYFUNCTION("""COMPUTED_VALUE"""),3)</f>
        <v>3</v>
      </c>
      <c r="S578" s="6" t="str">
        <f ca="1">IFERROR(__xludf.DUMMYFUNCTION("""COMPUTED_VALUE"""),"Grants")</f>
        <v>Grants</v>
      </c>
      <c r="T578" s="6" t="str">
        <f ca="1">IFERROR(__xludf.DUMMYFUNCTION("""COMPUTED_VALUE"""),"Grants")</f>
        <v>Grants</v>
      </c>
      <c r="U578" s="6" t="str">
        <f ca="1">IFERROR(__xludf.DUMMYFUNCTION("""COMPUTED_VALUE"""),"Grants")</f>
        <v>Grants</v>
      </c>
      <c r="V578" s="6"/>
      <c r="W578" s="6" t="str">
        <f ca="1">IFERROR(__xludf.DUMMYFUNCTION("""COMPUTED_VALUE"""),"Invite Next Year")</f>
        <v>Invite Next Year</v>
      </c>
    </row>
    <row r="579" spans="1:23">
      <c r="A579" s="6" t="str">
        <f ca="1">IFERROR(__xludf.DUMMYFUNCTION("""COMPUTED_VALUE"""),"Man")</f>
        <v>Man</v>
      </c>
      <c r="B579" s="6" t="str">
        <f ca="1">IFERROR(__xludf.DUMMYFUNCTION("""COMPUTED_VALUE"""),"Indrio Technologies Inc _2022")</f>
        <v>Indrio Technologies Inc _2022</v>
      </c>
      <c r="C579" s="6" t="str">
        <f ca="1">IFERROR(__xludf.DUMMYFUNCTION("""COMPUTED_VALUE"""),"Deep Tech")</f>
        <v>Deep Tech</v>
      </c>
      <c r="D579" s="6" t="str">
        <f ca="1">IFERROR(__xludf.DUMMYFUNCTION("""COMPUTED_VALUE"""),"San Jose, CA 
United States")</f>
        <v>San Jose, CA 
United States</v>
      </c>
      <c r="E579" s="6" t="str">
        <f ca="1">IFERROR(__xludf.DUMMYFUNCTION("""COMPUTED_VALUE"""),"West Coast")</f>
        <v>West Coast</v>
      </c>
      <c r="F579" s="6" t="str">
        <f ca="1">IFERROR(__xludf.DUMMYFUNCTION("""COMPUTED_VALUE"""),"Man")</f>
        <v>Man</v>
      </c>
      <c r="G579" s="6"/>
      <c r="H579" s="6"/>
      <c r="I579" s="6"/>
      <c r="J579" s="6"/>
      <c r="K579" s="6"/>
      <c r="L579" s="6" t="str">
        <f ca="1">IFERROR(__xludf.DUMMYFUNCTION("""COMPUTED_VALUE"""),"No")</f>
        <v>No</v>
      </c>
      <c r="M579" s="6"/>
      <c r="N579" s="6"/>
      <c r="O579" s="6" t="str">
        <f ca="1">IFERROR(__xludf.DUMMYFUNCTION("""COMPUTED_VALUE"""),"Email")</f>
        <v>Email</v>
      </c>
      <c r="P579" s="6"/>
      <c r="Q579" s="6" t="str">
        <f ca="1">IFERROR(__xludf.DUMMYFUNCTION("""COMPUTED_VALUE"""),"No")</f>
        <v>No</v>
      </c>
      <c r="R579" s="6">
        <f ca="1">IFERROR(__xludf.DUMMYFUNCTION("""COMPUTED_VALUE"""),1)</f>
        <v>1</v>
      </c>
      <c r="S579" s="6" t="str">
        <f ca="1">IFERROR(__xludf.DUMMYFUNCTION("""COMPUTED_VALUE"""),"Pre-seed
Seed")</f>
        <v>Pre-seed
Seed</v>
      </c>
      <c r="T579" s="6" t="str">
        <f ca="1">IFERROR(__xludf.DUMMYFUNCTION("""COMPUTED_VALUE"""),"Pre-seed, Seed")</f>
        <v>Pre-seed, Seed</v>
      </c>
      <c r="U579" s="6" t="str">
        <f ca="1">IFERROR(__xludf.DUMMYFUNCTION("""COMPUTED_VALUE"""),"Pre-seed, Seed")</f>
        <v>Pre-seed, Seed</v>
      </c>
      <c r="V579" s="6"/>
      <c r="W579" s="6" t="str">
        <f ca="1">IFERROR(__xludf.DUMMYFUNCTION("""COMPUTED_VALUE"""),"Invite Next Year")</f>
        <v>Invite Next Year</v>
      </c>
    </row>
    <row r="580" spans="1:23">
      <c r="A580" s="6" t="str">
        <f ca="1">IFERROR(__xludf.DUMMYFUNCTION("""COMPUTED_VALUE"""),"Man, Man")</f>
        <v>Man, Man</v>
      </c>
      <c r="B580" s="6" t="str">
        <f ca="1">IFERROR(__xludf.DUMMYFUNCTION("""COMPUTED_VALUE"""),"SuperFi Finance Ltd _2022")</f>
        <v>SuperFi Finance Ltd _2022</v>
      </c>
      <c r="C580" s="6" t="str">
        <f ca="1">IFERROR(__xludf.DUMMYFUNCTION("""COMPUTED_VALUE"""),"Digital Tech")</f>
        <v>Digital Tech</v>
      </c>
      <c r="D580" s="6" t="str">
        <f ca="1">IFERROR(__xludf.DUMMYFUNCTION("""COMPUTED_VALUE"""),"London, London 
United Kingdom")</f>
        <v>London, London 
United Kingdom</v>
      </c>
      <c r="E580" s="6" t="str">
        <f ca="1">IFERROR(__xludf.DUMMYFUNCTION("""COMPUTED_VALUE"""),"International - Europe")</f>
        <v>International - Europe</v>
      </c>
      <c r="F580" s="6" t="str">
        <f ca="1">IFERROR(__xludf.DUMMYFUNCTION("""COMPUTED_VALUE"""),"Man")</f>
        <v>Man</v>
      </c>
      <c r="G580" s="6" t="str">
        <f ca="1">IFERROR(__xludf.DUMMYFUNCTION("""COMPUTED_VALUE"""),"Man")</f>
        <v>Man</v>
      </c>
      <c r="H580" s="6"/>
      <c r="I580" s="6"/>
      <c r="J580" s="6"/>
      <c r="K580" s="6"/>
      <c r="L580" s="6" t="str">
        <f ca="1">IFERROR(__xludf.DUMMYFUNCTION("""COMPUTED_VALUE"""),"No")</f>
        <v>No</v>
      </c>
      <c r="M580" s="6"/>
      <c r="N580" s="6"/>
      <c r="O580" s="6" t="str">
        <f ca="1">IFERROR(__xludf.DUMMYFUNCTION("""COMPUTED_VALUE"""),"Search Engine")</f>
        <v>Search Engine</v>
      </c>
      <c r="P580" s="6"/>
      <c r="Q580" s="6" t="str">
        <f ca="1">IFERROR(__xludf.DUMMYFUNCTION("""COMPUTED_VALUE"""),"No")</f>
        <v>No</v>
      </c>
      <c r="R580" s="6">
        <f ca="1">IFERROR(__xludf.DUMMYFUNCTION("""COMPUTED_VALUE"""),2)</f>
        <v>2</v>
      </c>
      <c r="S580" s="6" t="str">
        <f ca="1">IFERROR(__xludf.DUMMYFUNCTION("""COMPUTED_VALUE"""),"Pre-seed")</f>
        <v>Pre-seed</v>
      </c>
      <c r="T580" s="6" t="str">
        <f ca="1">IFERROR(__xludf.DUMMYFUNCTION("""COMPUTED_VALUE"""),"Pre-seed")</f>
        <v>Pre-seed</v>
      </c>
      <c r="U580" s="6" t="str">
        <f ca="1">IFERROR(__xludf.DUMMYFUNCTION("""COMPUTED_VALUE"""),"Pre-seed")</f>
        <v>Pre-seed</v>
      </c>
      <c r="V580" s="6"/>
      <c r="W580" s="6" t="str">
        <f ca="1">IFERROR(__xludf.DUMMYFUNCTION("""COMPUTED_VALUE"""),"Invite Next Year")</f>
        <v>Invite Next Year</v>
      </c>
    </row>
    <row r="581" spans="1:23">
      <c r="A581" s="6" t="str">
        <f ca="1">IFERROR(__xludf.DUMMYFUNCTION("""COMPUTED_VALUE"""),"Man, Man")</f>
        <v>Man, Man</v>
      </c>
      <c r="B581" s="6" t="str">
        <f ca="1">IFERROR(__xludf.DUMMYFUNCTION("""COMPUTED_VALUE"""),"Elysium Therapeutics, Inc. _2022")</f>
        <v>Elysium Therapeutics, Inc. _2022</v>
      </c>
      <c r="C581" s="6" t="str">
        <f ca="1">IFERROR(__xludf.DUMMYFUNCTION("""COMPUTED_VALUE"""),"Life Sciences")</f>
        <v>Life Sciences</v>
      </c>
      <c r="D581" s="6" t="str">
        <f ca="1">IFERROR(__xludf.DUMMYFUNCTION("""COMPUTED_VALUE"""),"Akron, OH 
United States")</f>
        <v>Akron, OH 
United States</v>
      </c>
      <c r="E581" s="6" t="str">
        <f ca="1">IFERROR(__xludf.DUMMYFUNCTION("""COMPUTED_VALUE"""),"Midwest")</f>
        <v>Midwest</v>
      </c>
      <c r="F581" s="6" t="str">
        <f ca="1">IFERROR(__xludf.DUMMYFUNCTION("""COMPUTED_VALUE"""),"Man")</f>
        <v>Man</v>
      </c>
      <c r="G581" s="6" t="str">
        <f ca="1">IFERROR(__xludf.DUMMYFUNCTION("""COMPUTED_VALUE"""),"Man")</f>
        <v>Man</v>
      </c>
      <c r="H581" s="6"/>
      <c r="I581" s="6"/>
      <c r="J581" s="6"/>
      <c r="K581" s="6"/>
      <c r="L581" s="6" t="str">
        <f ca="1">IFERROR(__xludf.DUMMYFUNCTION("""COMPUTED_VALUE"""),"No")</f>
        <v>No</v>
      </c>
      <c r="M581" s="6"/>
      <c r="N581" s="6"/>
      <c r="O581" s="6" t="str">
        <f ca="1">IFERROR(__xludf.DUMMYFUNCTION("""COMPUTED_VALUE"""),"Email")</f>
        <v>Email</v>
      </c>
      <c r="P581" s="6"/>
      <c r="Q581" s="6" t="str">
        <f ca="1">IFERROR(__xludf.DUMMYFUNCTION("""COMPUTED_VALUE"""),"No")</f>
        <v>No</v>
      </c>
      <c r="R581" s="6">
        <f ca="1">IFERROR(__xludf.DUMMYFUNCTION("""COMPUTED_VALUE"""),2)</f>
        <v>2</v>
      </c>
      <c r="S581" s="6" t="str">
        <f ca="1">IFERROR(__xludf.DUMMYFUNCTION("""COMPUTED_VALUE"""),"Seed
Grants")</f>
        <v>Seed
Grants</v>
      </c>
      <c r="T581" s="6" t="str">
        <f ca="1">IFERROR(__xludf.DUMMYFUNCTION("""COMPUTED_VALUE"""),"Seed, Grants")</f>
        <v>Seed, Grants</v>
      </c>
      <c r="U581" s="6" t="str">
        <f ca="1">IFERROR(__xludf.DUMMYFUNCTION("""COMPUTED_VALUE"""),"Seed, Grants")</f>
        <v>Seed, Grants</v>
      </c>
      <c r="V581" s="6"/>
      <c r="W581" s="6" t="str">
        <f ca="1">IFERROR(__xludf.DUMMYFUNCTION("""COMPUTED_VALUE"""),"Invite")</f>
        <v>Invite</v>
      </c>
    </row>
    <row r="582" spans="1:23">
      <c r="A582" s="6" t="str">
        <f ca="1">IFERROR(__xludf.DUMMYFUNCTION("""COMPUTED_VALUE"""),"Man, Man, Man")</f>
        <v>Man, Man, Man</v>
      </c>
      <c r="B582" s="6" t="str">
        <f ca="1">IFERROR(__xludf.DUMMYFUNCTION("""COMPUTED_VALUE"""),"NOMA AI INC. _2022")</f>
        <v>NOMA AI INC. _2022</v>
      </c>
      <c r="C582" s="6" t="str">
        <f ca="1">IFERROR(__xludf.DUMMYFUNCTION("""COMPUTED_VALUE"""),"Digital Tech")</f>
        <v>Digital Tech</v>
      </c>
      <c r="D582" s="6" t="str">
        <f ca="1">IFERROR(__xludf.DUMMYFUNCTION("""COMPUTED_VALUE"""),"Pittsburgh, PENNSYLVANIA 
United States")</f>
        <v>Pittsburgh, PENNSYLVANIA 
United States</v>
      </c>
      <c r="E582" s="6" t="str">
        <f ca="1">IFERROR(__xludf.DUMMYFUNCTION("""COMPUTED_VALUE"""),"East Coast")</f>
        <v>East Coast</v>
      </c>
      <c r="F582" s="6" t="str">
        <f ca="1">IFERROR(__xludf.DUMMYFUNCTION("""COMPUTED_VALUE"""),"Man")</f>
        <v>Man</v>
      </c>
      <c r="G582" s="6" t="str">
        <f ca="1">IFERROR(__xludf.DUMMYFUNCTION("""COMPUTED_VALUE"""),"Man")</f>
        <v>Man</v>
      </c>
      <c r="H582" s="6" t="str">
        <f ca="1">IFERROR(__xludf.DUMMYFUNCTION("""COMPUTED_VALUE"""),"Man")</f>
        <v>Man</v>
      </c>
      <c r="I582" s="6"/>
      <c r="J582" s="6"/>
      <c r="K582" s="6"/>
      <c r="L582" s="6" t="str">
        <f ca="1">IFERROR(__xludf.DUMMYFUNCTION("""COMPUTED_VALUE"""),"No")</f>
        <v>No</v>
      </c>
      <c r="M582" s="6"/>
      <c r="N582" s="6"/>
      <c r="O582" s="6" t="str">
        <f ca="1">IFERROR(__xludf.DUMMYFUNCTION("""COMPUTED_VALUE"""),"Email")</f>
        <v>Email</v>
      </c>
      <c r="P582" s="6"/>
      <c r="Q582" s="6" t="str">
        <f ca="1">IFERROR(__xludf.DUMMYFUNCTION("""COMPUTED_VALUE"""),"No")</f>
        <v>No</v>
      </c>
      <c r="R582" s="6">
        <f ca="1">IFERROR(__xludf.DUMMYFUNCTION("""COMPUTED_VALUE"""),3)</f>
        <v>3</v>
      </c>
      <c r="S582" s="6" t="str">
        <f ca="1">IFERROR(__xludf.DUMMYFUNCTION("""COMPUTED_VALUE"""),"Pre-seed")</f>
        <v>Pre-seed</v>
      </c>
      <c r="T582" s="6" t="str">
        <f ca="1">IFERROR(__xludf.DUMMYFUNCTION("""COMPUTED_VALUE"""),"Pre-seed")</f>
        <v>Pre-seed</v>
      </c>
      <c r="U582" s="6" t="str">
        <f ca="1">IFERROR(__xludf.DUMMYFUNCTION("""COMPUTED_VALUE"""),"Pre-seed")</f>
        <v>Pre-seed</v>
      </c>
      <c r="V582" s="6"/>
      <c r="W582" s="6" t="str">
        <f ca="1">IFERROR(__xludf.DUMMYFUNCTION("""COMPUTED_VALUE"""),"Invite Next Year")</f>
        <v>Invite Next Year</v>
      </c>
    </row>
    <row r="583" spans="1:23">
      <c r="A583" s="6" t="str">
        <f ca="1">IFERROR(__xludf.DUMMYFUNCTION("""COMPUTED_VALUE"""),"Woman")</f>
        <v>Woman</v>
      </c>
      <c r="B583" s="6" t="str">
        <f ca="1">IFERROR(__xludf.DUMMYFUNCTION("""COMPUTED_VALUE"""),"Accelerate Wind _2022")</f>
        <v>Accelerate Wind _2022</v>
      </c>
      <c r="C583" s="6" t="str">
        <f ca="1">IFERROR(__xludf.DUMMYFUNCTION("""COMPUTED_VALUE"""),"Deep Tech")</f>
        <v>Deep Tech</v>
      </c>
      <c r="D583" s="6" t="str">
        <f ca="1">IFERROR(__xludf.DUMMYFUNCTION("""COMPUTED_VALUE"""),"Birmingham, Alabama 
United States")</f>
        <v>Birmingham, Alabama 
United States</v>
      </c>
      <c r="E583" s="6" t="str">
        <f ca="1">IFERROR(__xludf.DUMMYFUNCTION("""COMPUTED_VALUE"""),"South")</f>
        <v>South</v>
      </c>
      <c r="F583" s="6" t="str">
        <f ca="1">IFERROR(__xludf.DUMMYFUNCTION("""COMPUTED_VALUE"""),"Woman")</f>
        <v>Woman</v>
      </c>
      <c r="G583" s="6"/>
      <c r="H583" s="6"/>
      <c r="I583" s="6"/>
      <c r="J583" s="6"/>
      <c r="K583" s="6"/>
      <c r="L583" s="6" t="str">
        <f ca="1">IFERROR(__xludf.DUMMYFUNCTION("""COMPUTED_VALUE"""),"No")</f>
        <v>No</v>
      </c>
      <c r="M583" s="6"/>
      <c r="N583" s="6"/>
      <c r="O583" s="6" t="str">
        <f ca="1">IFERROR(__xludf.DUMMYFUNCTION("""COMPUTED_VALUE"""),"NYU Newsletter")</f>
        <v>NYU Newsletter</v>
      </c>
      <c r="P583" s="6"/>
      <c r="Q583" s="6" t="str">
        <f ca="1">IFERROR(__xludf.DUMMYFUNCTION("""COMPUTED_VALUE"""),"No")</f>
        <v>No</v>
      </c>
      <c r="R583" s="6">
        <f ca="1">IFERROR(__xludf.DUMMYFUNCTION("""COMPUTED_VALUE"""),1)</f>
        <v>1</v>
      </c>
      <c r="S583" s="6" t="str">
        <f ca="1">IFERROR(__xludf.DUMMYFUNCTION("""COMPUTED_VALUE"""),"Pre-seed
Grants")</f>
        <v>Pre-seed
Grants</v>
      </c>
      <c r="T583" s="6" t="str">
        <f ca="1">IFERROR(__xludf.DUMMYFUNCTION("""COMPUTED_VALUE"""),"Pre-seed, Grants")</f>
        <v>Pre-seed, Grants</v>
      </c>
      <c r="U583" s="6" t="str">
        <f ca="1">IFERROR(__xludf.DUMMYFUNCTION("""COMPUTED_VALUE"""),"Pre-seed, Grants")</f>
        <v>Pre-seed, Grants</v>
      </c>
      <c r="V583" s="6"/>
      <c r="W583" s="6" t="str">
        <f ca="1">IFERROR(__xludf.DUMMYFUNCTION("""COMPUTED_VALUE"""),"Revisit/ Cluster")</f>
        <v>Revisit/ Cluster</v>
      </c>
    </row>
    <row r="584" spans="1:23">
      <c r="A584" s="6" t="str">
        <f ca="1">IFERROR(__xludf.DUMMYFUNCTION("""COMPUTED_VALUE"""),"Man, Woman, Man, Man, Woman, Man")</f>
        <v>Man, Woman, Man, Man, Woman, Man</v>
      </c>
      <c r="B584" s="6" t="str">
        <f ca="1">IFERROR(__xludf.DUMMYFUNCTION("""COMPUTED_VALUE"""),"Senseidata, S.A. _2022")</f>
        <v>Senseidata, S.A. _2022</v>
      </c>
      <c r="C584" s="6" t="str">
        <f ca="1">IFERROR(__xludf.DUMMYFUNCTION("""COMPUTED_VALUE"""),"Digital Tech")</f>
        <v>Digital Tech</v>
      </c>
      <c r="D584" s="6" t="str">
        <f ca="1">IFERROR(__xludf.DUMMYFUNCTION("""COMPUTED_VALUE"""),"Av. Empresário, 1, 6000-767 Castelo Branco, Castelo Branco 
Portugal")</f>
        <v>Av. Empresário, 1, 6000-767 Castelo Branco, Castelo Branco 
Portugal</v>
      </c>
      <c r="E584" s="6" t="str">
        <f ca="1">IFERROR(__xludf.DUMMYFUNCTION("""COMPUTED_VALUE"""),"International - Europe")</f>
        <v>International - Europe</v>
      </c>
      <c r="F584" s="6" t="str">
        <f ca="1">IFERROR(__xludf.DUMMYFUNCTION("""COMPUTED_VALUE"""),"Man")</f>
        <v>Man</v>
      </c>
      <c r="G584" s="6" t="str">
        <f ca="1">IFERROR(__xludf.DUMMYFUNCTION("""COMPUTED_VALUE"""),"Woman")</f>
        <v>Woman</v>
      </c>
      <c r="H584" s="6" t="str">
        <f ca="1">IFERROR(__xludf.DUMMYFUNCTION("""COMPUTED_VALUE"""),"Man")</f>
        <v>Man</v>
      </c>
      <c r="I584" s="6" t="str">
        <f ca="1">IFERROR(__xludf.DUMMYFUNCTION("""COMPUTED_VALUE"""),"Man")</f>
        <v>Man</v>
      </c>
      <c r="J584" s="6" t="str">
        <f ca="1">IFERROR(__xludf.DUMMYFUNCTION("""COMPUTED_VALUE"""),"Woman")</f>
        <v>Woman</v>
      </c>
      <c r="K584" s="6" t="str">
        <f ca="1">IFERROR(__xludf.DUMMYFUNCTION("""COMPUTED_VALUE"""),"Man")</f>
        <v>Man</v>
      </c>
      <c r="L584" s="6" t="str">
        <f ca="1">IFERROR(__xludf.DUMMYFUNCTION("""COMPUTED_VALUE"""),"No")</f>
        <v>No</v>
      </c>
      <c r="M584" s="6"/>
      <c r="N584" s="6"/>
      <c r="O584" s="6" t="str">
        <f ca="1">IFERROR(__xludf.DUMMYFUNCTION("""COMPUTED_VALUE"""),"Referral")</f>
        <v>Referral</v>
      </c>
      <c r="P584" s="6"/>
      <c r="Q584" s="6" t="str">
        <f ca="1">IFERROR(__xludf.DUMMYFUNCTION("""COMPUTED_VALUE"""),"No")</f>
        <v>No</v>
      </c>
      <c r="R584" s="6">
        <f ca="1">IFERROR(__xludf.DUMMYFUNCTION("""COMPUTED_VALUE"""),6)</f>
        <v>6</v>
      </c>
      <c r="S584" s="6" t="str">
        <f ca="1">IFERROR(__xludf.DUMMYFUNCTION("""COMPUTED_VALUE"""),"Pre-seed
Seed")</f>
        <v>Pre-seed
Seed</v>
      </c>
      <c r="T584" s="6" t="str">
        <f ca="1">IFERROR(__xludf.DUMMYFUNCTION("""COMPUTED_VALUE"""),"Pre-seed, Seed")</f>
        <v>Pre-seed, Seed</v>
      </c>
      <c r="U584" s="6" t="str">
        <f ca="1">IFERROR(__xludf.DUMMYFUNCTION("""COMPUTED_VALUE"""),"Pre-seed, Seed")</f>
        <v>Pre-seed, Seed</v>
      </c>
      <c r="V584" s="6"/>
      <c r="W584" s="6" t="str">
        <f ca="1">IFERROR(__xludf.DUMMYFUNCTION("""COMPUTED_VALUE"""),"Invite")</f>
        <v>Invite</v>
      </c>
    </row>
    <row r="585" spans="1:23">
      <c r="A585" s="6" t="str">
        <f ca="1">IFERROR(__xludf.DUMMYFUNCTION("""COMPUTED_VALUE"""),"Woman, Man, Man, Man")</f>
        <v>Woman, Man, Man, Man</v>
      </c>
      <c r="B585" s="6" t="str">
        <f ca="1">IFERROR(__xludf.DUMMYFUNCTION("""COMPUTED_VALUE"""),"Sonostik LLC _2022")</f>
        <v>Sonostik LLC _2022</v>
      </c>
      <c r="C585" s="6" t="str">
        <f ca="1">IFERROR(__xludf.DUMMYFUNCTION("""COMPUTED_VALUE"""),"Life Sciences")</f>
        <v>Life Sciences</v>
      </c>
      <c r="D585" s="6" t="str">
        <f ca="1">IFERROR(__xludf.DUMMYFUNCTION("""COMPUTED_VALUE"""),"20 Jade Circle Canfield, OH 
United States")</f>
        <v>20 Jade Circle Canfield, OH 
United States</v>
      </c>
      <c r="E585" s="6" t="str">
        <f ca="1">IFERROR(__xludf.DUMMYFUNCTION("""COMPUTED_VALUE"""),"Midwest")</f>
        <v>Midwest</v>
      </c>
      <c r="F585" s="6" t="str">
        <f ca="1">IFERROR(__xludf.DUMMYFUNCTION("""COMPUTED_VALUE"""),"Woman")</f>
        <v>Woman</v>
      </c>
      <c r="G585" s="6" t="str">
        <f ca="1">IFERROR(__xludf.DUMMYFUNCTION("""COMPUTED_VALUE"""),"Man")</f>
        <v>Man</v>
      </c>
      <c r="H585" s="6" t="str">
        <f ca="1">IFERROR(__xludf.DUMMYFUNCTION("""COMPUTED_VALUE"""),"Man")</f>
        <v>Man</v>
      </c>
      <c r="I585" s="6" t="str">
        <f ca="1">IFERROR(__xludf.DUMMYFUNCTION("""COMPUTED_VALUE"""),"Man")</f>
        <v>Man</v>
      </c>
      <c r="J585" s="6"/>
      <c r="K585" s="6"/>
      <c r="L585" s="6" t="str">
        <f ca="1">IFERROR(__xludf.DUMMYFUNCTION("""COMPUTED_VALUE"""),"No")</f>
        <v>No</v>
      </c>
      <c r="M585" s="6"/>
      <c r="N585" s="6"/>
      <c r="O585" s="6" t="str">
        <f ca="1">IFERROR(__xludf.DUMMYFUNCTION("""COMPUTED_VALUE"""),"Email")</f>
        <v>Email</v>
      </c>
      <c r="P585" s="6"/>
      <c r="Q585" s="6" t="str">
        <f ca="1">IFERROR(__xludf.DUMMYFUNCTION("""COMPUTED_VALUE"""),"No")</f>
        <v>No</v>
      </c>
      <c r="R585" s="6">
        <f ca="1">IFERROR(__xludf.DUMMYFUNCTION("""COMPUTED_VALUE"""),4)</f>
        <v>4</v>
      </c>
      <c r="S585" s="6" t="str">
        <f ca="1">IFERROR(__xludf.DUMMYFUNCTION("""COMPUTED_VALUE"""),"Pre-seed
Series A
Other: $2M Friends &amp; Family, $2.1M SERIES A that probably should have been classified as a SEED Round.  This was done prior to my involvement.")</f>
        <v>Pre-seed
Series A
Other: $2M Friends &amp; Family, $2.1M SERIES A that probably should have been classified as a SEED Round.  This was done prior to my involvement.</v>
      </c>
      <c r="T585" s="6" t="str">
        <f ca="1">IFERROR(__xludf.DUMMYFUNCTION("""COMPUTED_VALUE"""),"Pre-seed, Series A, Other: $2M Friends &amp; Family, $2.1M SERIES A that probably should have been classified as a SEED Round.  This was done prior to my involvement.")</f>
        <v>Pre-seed, Series A, Other: $2M Friends &amp; Family, $2.1M SERIES A that probably should have been classified as a SEED Round.  This was done prior to my involvement.</v>
      </c>
      <c r="U585" s="6" t="str">
        <f ca="1">IFERROR(__xludf.DUMMYFUNCTION("""COMPUTED_VALUE"""),"Pre-seed, Series A, ")</f>
        <v xml:space="preserve">Pre-seed, Series A, </v>
      </c>
      <c r="V585" s="6" t="str">
        <f ca="1">IFERROR(__xludf.DUMMYFUNCTION("""COMPUTED_VALUE"""),"$2M Friends &amp; Family, $2.1M SERIES A that probably should have been classified as a SEED Round.  This was done prior to my involvement.")</f>
        <v>$2M Friends &amp; Family, $2.1M SERIES A that probably should have been classified as a SEED Round.  This was done prior to my involvement.</v>
      </c>
      <c r="W585" s="6" t="str">
        <f ca="1">IFERROR(__xludf.DUMMYFUNCTION("""COMPUTED_VALUE"""),"Invite Next Year")</f>
        <v>Invite Next Year</v>
      </c>
    </row>
    <row r="586" spans="1:23">
      <c r="A586" s="6" t="str">
        <f ca="1">IFERROR(__xludf.DUMMYFUNCTION("""COMPUTED_VALUE"""),"Man, Man")</f>
        <v>Man, Man</v>
      </c>
      <c r="B586" s="6" t="str">
        <f ca="1">IFERROR(__xludf.DUMMYFUNCTION("""COMPUTED_VALUE"""),"Pulzze Systems, INC (DBA Interactor) _2022")</f>
        <v>Pulzze Systems, INC (DBA Interactor) _2022</v>
      </c>
      <c r="C586" s="6" t="str">
        <f ca="1">IFERROR(__xludf.DUMMYFUNCTION("""COMPUTED_VALUE"""),"Digital Tech")</f>
        <v>Digital Tech</v>
      </c>
      <c r="D586" s="6" t="str">
        <f ca="1">IFERROR(__xludf.DUMMYFUNCTION("""COMPUTED_VALUE"""),"1290-B Reamwood Ave, Sunnyvale, California 
United States")</f>
        <v>1290-B Reamwood Ave, Sunnyvale, California 
United States</v>
      </c>
      <c r="E586" s="6" t="str">
        <f ca="1">IFERROR(__xludf.DUMMYFUNCTION("""COMPUTED_VALUE"""),"West Coast")</f>
        <v>West Coast</v>
      </c>
      <c r="F586" s="6" t="str">
        <f ca="1">IFERROR(__xludf.DUMMYFUNCTION("""COMPUTED_VALUE"""),"Man")</f>
        <v>Man</v>
      </c>
      <c r="G586" s="6" t="str">
        <f ca="1">IFERROR(__xludf.DUMMYFUNCTION("""COMPUTED_VALUE"""),"Man")</f>
        <v>Man</v>
      </c>
      <c r="H586" s="6"/>
      <c r="I586" s="6"/>
      <c r="J586" s="6"/>
      <c r="K586" s="6"/>
      <c r="L586" s="6" t="str">
        <f ca="1">IFERROR(__xludf.DUMMYFUNCTION("""COMPUTED_VALUE"""),"Yes")</f>
        <v>Yes</v>
      </c>
      <c r="M586" s="6" t="str">
        <f ca="1">IFERROR(__xludf.DUMMYFUNCTION("""COMPUTED_VALUE"""),"Former NYU Fellow/Faculty/Staff")</f>
        <v>Former NYU Fellow/Faculty/Staff</v>
      </c>
      <c r="N586" s="6"/>
      <c r="O586" s="6" t="str">
        <f ca="1">IFERROR(__xludf.DUMMYFUNCTION("""COMPUTED_VALUE"""),"Email")</f>
        <v>Email</v>
      </c>
      <c r="P586" s="6"/>
      <c r="Q586" s="6" t="str">
        <f ca="1">IFERROR(__xludf.DUMMYFUNCTION("""COMPUTED_VALUE"""),"No")</f>
        <v>No</v>
      </c>
      <c r="R586" s="6">
        <f ca="1">IFERROR(__xludf.DUMMYFUNCTION("""COMPUTED_VALUE"""),2)</f>
        <v>2</v>
      </c>
      <c r="S586" s="6" t="str">
        <f ca="1">IFERROR(__xludf.DUMMYFUNCTION("""COMPUTED_VALUE"""),"Seed")</f>
        <v>Seed</v>
      </c>
      <c r="T586" s="6" t="str">
        <f ca="1">IFERROR(__xludf.DUMMYFUNCTION("""COMPUTED_VALUE"""),"Seed")</f>
        <v>Seed</v>
      </c>
      <c r="U586" s="6" t="str">
        <f ca="1">IFERROR(__xludf.DUMMYFUNCTION("""COMPUTED_VALUE"""),"Seed")</f>
        <v>Seed</v>
      </c>
      <c r="V586" s="6"/>
      <c r="W586" s="6" t="str">
        <f ca="1">IFERROR(__xludf.DUMMYFUNCTION("""COMPUTED_VALUE"""),"Invite")</f>
        <v>Invite</v>
      </c>
    </row>
    <row r="587" spans="1:23">
      <c r="A587" s="6" t="str">
        <f ca="1">IFERROR(__xludf.DUMMYFUNCTION("""COMPUTED_VALUE"""),"Man")</f>
        <v>Man</v>
      </c>
      <c r="B587" s="6" t="str">
        <f ca="1">IFERROR(__xludf.DUMMYFUNCTION("""COMPUTED_VALUE"""),"Perfect Color Ventures LLC _2022")</f>
        <v>Perfect Color Ventures LLC _2022</v>
      </c>
      <c r="C587" s="6" t="str">
        <f ca="1">IFERROR(__xludf.DUMMYFUNCTION("""COMPUTED_VALUE"""),"Deep Tech")</f>
        <v>Deep Tech</v>
      </c>
      <c r="D587" s="6" t="str">
        <f ca="1">IFERROR(__xludf.DUMMYFUNCTION("""COMPUTED_VALUE"""),"Springfield, NJ 
United States")</f>
        <v>Springfield, NJ 
United States</v>
      </c>
      <c r="E587" s="6" t="str">
        <f ca="1">IFERROR(__xludf.DUMMYFUNCTION("""COMPUTED_VALUE"""),"East Coast")</f>
        <v>East Coast</v>
      </c>
      <c r="F587" s="6" t="str">
        <f ca="1">IFERROR(__xludf.DUMMYFUNCTION("""COMPUTED_VALUE"""),"Man")</f>
        <v>Man</v>
      </c>
      <c r="G587" s="6"/>
      <c r="H587" s="6"/>
      <c r="I587" s="6"/>
      <c r="J587" s="6"/>
      <c r="K587" s="6"/>
      <c r="L587" s="6" t="str">
        <f ca="1">IFERROR(__xludf.DUMMYFUNCTION("""COMPUTED_VALUE"""),"No")</f>
        <v>No</v>
      </c>
      <c r="M587" s="6"/>
      <c r="N587" s="6"/>
      <c r="O587" s="6" t="str">
        <f ca="1">IFERROR(__xludf.DUMMYFUNCTION("""COMPUTED_VALUE"""),"Other")</f>
        <v>Other</v>
      </c>
      <c r="P587" s="6"/>
      <c r="Q587" s="6" t="str">
        <f ca="1">IFERROR(__xludf.DUMMYFUNCTION("""COMPUTED_VALUE"""),"No")</f>
        <v>No</v>
      </c>
      <c r="R587" s="6">
        <f ca="1">IFERROR(__xludf.DUMMYFUNCTION("""COMPUTED_VALUE"""),1)</f>
        <v>1</v>
      </c>
      <c r="S587" s="6" t="str">
        <f ca="1">IFERROR(__xludf.DUMMYFUNCTION("""COMPUTED_VALUE"""),"Series A
Other: Convertible Note")</f>
        <v>Series A
Other: Convertible Note</v>
      </c>
      <c r="T587" s="6" t="str">
        <f ca="1">IFERROR(__xludf.DUMMYFUNCTION("""COMPUTED_VALUE"""),"Series A, Other: Convertible Note")</f>
        <v>Series A, Other: Convertible Note</v>
      </c>
      <c r="U587" s="6" t="str">
        <f ca="1">IFERROR(__xludf.DUMMYFUNCTION("""COMPUTED_VALUE"""),"Series A, ")</f>
        <v xml:space="preserve">Series A, </v>
      </c>
      <c r="V587" s="6" t="str">
        <f ca="1">IFERROR(__xludf.DUMMYFUNCTION("""COMPUTED_VALUE"""),"Convertible Note")</f>
        <v>Convertible Note</v>
      </c>
      <c r="W587" s="6" t="str">
        <f ca="1">IFERROR(__xludf.DUMMYFUNCTION("""COMPUTED_VALUE"""),"Invite Next Year")</f>
        <v>Invite Next Year</v>
      </c>
    </row>
    <row r="588" spans="1:23">
      <c r="A588" s="6" t="str">
        <f ca="1">IFERROR(__xludf.DUMMYFUNCTION("""COMPUTED_VALUE"""),"Man, Man")</f>
        <v>Man, Man</v>
      </c>
      <c r="B588" s="6" t="str">
        <f ca="1">IFERROR(__xludf.DUMMYFUNCTION("""COMPUTED_VALUE"""),"ByteLearn _2022")</f>
        <v>ByteLearn _2022</v>
      </c>
      <c r="C588" s="6" t="str">
        <f ca="1">IFERROR(__xludf.DUMMYFUNCTION("""COMPUTED_VALUE"""),"Digital Tech")</f>
        <v>Digital Tech</v>
      </c>
      <c r="D588" s="6" t="str">
        <f ca="1">IFERROR(__xludf.DUMMYFUNCTION("""COMPUTED_VALUE"""),"16192 Coastal Highway,  Lewes, Delaware 
United States")</f>
        <v>16192 Coastal Highway,  Lewes, Delaware 
United States</v>
      </c>
      <c r="E588" s="6" t="str">
        <f ca="1">IFERROR(__xludf.DUMMYFUNCTION("""COMPUTED_VALUE"""),"East Coast")</f>
        <v>East Coast</v>
      </c>
      <c r="F588" s="6" t="str">
        <f ca="1">IFERROR(__xludf.DUMMYFUNCTION("""COMPUTED_VALUE"""),"Man")</f>
        <v>Man</v>
      </c>
      <c r="G588" s="6" t="str">
        <f ca="1">IFERROR(__xludf.DUMMYFUNCTION("""COMPUTED_VALUE"""),"Man")</f>
        <v>Man</v>
      </c>
      <c r="H588" s="6"/>
      <c r="I588" s="6"/>
      <c r="J588" s="6"/>
      <c r="K588" s="6"/>
      <c r="L588" s="6" t="str">
        <f ca="1">IFERROR(__xludf.DUMMYFUNCTION("""COMPUTED_VALUE"""),"No")</f>
        <v>No</v>
      </c>
      <c r="M588" s="6"/>
      <c r="N588" s="6"/>
      <c r="O588" s="6" t="str">
        <f ca="1">IFERROR(__xludf.DUMMYFUNCTION("""COMPUTED_VALUE"""),"Email")</f>
        <v>Email</v>
      </c>
      <c r="P588" s="6"/>
      <c r="Q588" s="6" t="str">
        <f ca="1">IFERROR(__xludf.DUMMYFUNCTION("""COMPUTED_VALUE"""),"No")</f>
        <v>No</v>
      </c>
      <c r="R588" s="6">
        <f ca="1">IFERROR(__xludf.DUMMYFUNCTION("""COMPUTED_VALUE"""),2)</f>
        <v>2</v>
      </c>
      <c r="S588" s="6" t="str">
        <f ca="1">IFERROR(__xludf.DUMMYFUNCTION("""COMPUTED_VALUE"""),"Pre-seed
Seed")</f>
        <v>Pre-seed
Seed</v>
      </c>
      <c r="T588" s="6" t="str">
        <f ca="1">IFERROR(__xludf.DUMMYFUNCTION("""COMPUTED_VALUE"""),"Pre-seed, Seed")</f>
        <v>Pre-seed, Seed</v>
      </c>
      <c r="U588" s="6" t="str">
        <f ca="1">IFERROR(__xludf.DUMMYFUNCTION("""COMPUTED_VALUE"""),"Pre-seed, Seed")</f>
        <v>Pre-seed, Seed</v>
      </c>
      <c r="V588" s="6"/>
      <c r="W588" s="6" t="str">
        <f ca="1">IFERROR(__xludf.DUMMYFUNCTION("""COMPUTED_VALUE"""),"Invite Next Year")</f>
        <v>Invite Next Year</v>
      </c>
    </row>
    <row r="589" spans="1:23">
      <c r="A589" s="6" t="str">
        <f ca="1">IFERROR(__xludf.DUMMYFUNCTION("""COMPUTED_VALUE"""),"Man, Man, Woman, Woman, Man")</f>
        <v>Man, Man, Woman, Woman, Man</v>
      </c>
      <c r="B589" s="6" t="str">
        <f ca="1">IFERROR(__xludf.DUMMYFUNCTION("""COMPUTED_VALUE"""),"Perception Grid  _2022")</f>
        <v>Perception Grid  _2022</v>
      </c>
      <c r="C589" s="6" t="str">
        <f ca="1">IFERROR(__xludf.DUMMYFUNCTION("""COMPUTED_VALUE"""),"Digital Tech")</f>
        <v>Digital Tech</v>
      </c>
      <c r="D589" s="6" t="str">
        <f ca="1">IFERROR(__xludf.DUMMYFUNCTION("""COMPUTED_VALUE"""),"5877 Obama Blvd, Los Angeles, CA 
United States")</f>
        <v>5877 Obama Blvd, Los Angeles, CA 
United States</v>
      </c>
      <c r="E589" s="6" t="str">
        <f ca="1">IFERROR(__xludf.DUMMYFUNCTION("""COMPUTED_VALUE"""),"West Coast")</f>
        <v>West Coast</v>
      </c>
      <c r="F589" s="6" t="str">
        <f ca="1">IFERROR(__xludf.DUMMYFUNCTION("""COMPUTED_VALUE"""),"Man")</f>
        <v>Man</v>
      </c>
      <c r="G589" s="6" t="str">
        <f ca="1">IFERROR(__xludf.DUMMYFUNCTION("""COMPUTED_VALUE"""),"Man")</f>
        <v>Man</v>
      </c>
      <c r="H589" s="6" t="str">
        <f ca="1">IFERROR(__xludf.DUMMYFUNCTION("""COMPUTED_VALUE"""),"Woman")</f>
        <v>Woman</v>
      </c>
      <c r="I589" s="6" t="str">
        <f ca="1">IFERROR(__xludf.DUMMYFUNCTION("""COMPUTED_VALUE"""),"Woman")</f>
        <v>Woman</v>
      </c>
      <c r="J589" s="6" t="str">
        <f ca="1">IFERROR(__xludf.DUMMYFUNCTION("""COMPUTED_VALUE"""),"Man")</f>
        <v>Man</v>
      </c>
      <c r="K589" s="6"/>
      <c r="L589" s="6" t="str">
        <f ca="1">IFERROR(__xludf.DUMMYFUNCTION("""COMPUTED_VALUE"""),"No")</f>
        <v>No</v>
      </c>
      <c r="M589" s="6"/>
      <c r="N589" s="6"/>
      <c r="O589" s="6" t="str">
        <f ca="1">IFERROR(__xludf.DUMMYFUNCTION("""COMPUTED_VALUE"""),"Other")</f>
        <v>Other</v>
      </c>
      <c r="P589" s="6"/>
      <c r="Q589" s="6" t="str">
        <f ca="1">IFERROR(__xludf.DUMMYFUNCTION("""COMPUTED_VALUE"""),"No")</f>
        <v>No</v>
      </c>
      <c r="R589" s="6">
        <f ca="1">IFERROR(__xludf.DUMMYFUNCTION("""COMPUTED_VALUE"""),5)</f>
        <v>5</v>
      </c>
      <c r="S589" s="6" t="str">
        <f ca="1">IFERROR(__xludf.DUMMYFUNCTION("""COMPUTED_VALUE"""),"Other: Self-Funded")</f>
        <v>Other: Self-Funded</v>
      </c>
      <c r="T589" s="6" t="str">
        <f ca="1">IFERROR(__xludf.DUMMYFUNCTION("""COMPUTED_VALUE"""),"Other: Self-Funded")</f>
        <v>Other: Self-Funded</v>
      </c>
      <c r="U589" s="6" t="str">
        <f ca="1">IFERROR(__xludf.DUMMYFUNCTION("""COMPUTED_VALUE"""),"Self-Funded")</f>
        <v>Self-Funded</v>
      </c>
      <c r="V589" s="6"/>
      <c r="W589" s="6" t="str">
        <f ca="1">IFERROR(__xludf.DUMMYFUNCTION("""COMPUTED_VALUE"""),"Invite Next Year")</f>
        <v>Invite Next Year</v>
      </c>
    </row>
    <row r="590" spans="1:23">
      <c r="A590" s="6" t="str">
        <f ca="1">IFERROR(__xludf.DUMMYFUNCTION("""COMPUTED_VALUE"""),"Man, Man, Man")</f>
        <v>Man, Man, Man</v>
      </c>
      <c r="B590" s="6" t="str">
        <f ca="1">IFERROR(__xludf.DUMMYFUNCTION("""COMPUTED_VALUE"""),"Zedosh Limited (Attention Exchange®) _2022")</f>
        <v>Zedosh Limited (Attention Exchange®) _2022</v>
      </c>
      <c r="C590" s="6" t="str">
        <f ca="1">IFERROR(__xludf.DUMMYFUNCTION("""COMPUTED_VALUE"""),"Digital Tech")</f>
        <v>Digital Tech</v>
      </c>
      <c r="D590" s="6" t="str">
        <f ca="1">IFERROR(__xludf.DUMMYFUNCTION("""COMPUTED_VALUE"""),"London, London 
United Kingdom")</f>
        <v>London, London 
United Kingdom</v>
      </c>
      <c r="E590" s="6" t="str">
        <f ca="1">IFERROR(__xludf.DUMMYFUNCTION("""COMPUTED_VALUE"""),"International - Europe")</f>
        <v>International - Europe</v>
      </c>
      <c r="F590" s="6" t="str">
        <f ca="1">IFERROR(__xludf.DUMMYFUNCTION("""COMPUTED_VALUE"""),"Man")</f>
        <v>Man</v>
      </c>
      <c r="G590" s="6" t="str">
        <f ca="1">IFERROR(__xludf.DUMMYFUNCTION("""COMPUTED_VALUE"""),"Man")</f>
        <v>Man</v>
      </c>
      <c r="H590" s="6" t="str">
        <f ca="1">IFERROR(__xludf.DUMMYFUNCTION("""COMPUTED_VALUE"""),"Man")</f>
        <v>Man</v>
      </c>
      <c r="I590" s="6"/>
      <c r="J590" s="6"/>
      <c r="K590" s="6"/>
      <c r="L590" s="6" t="str">
        <f ca="1">IFERROR(__xludf.DUMMYFUNCTION("""COMPUTED_VALUE"""),"No")</f>
        <v>No</v>
      </c>
      <c r="M590" s="6"/>
      <c r="N590" s="6"/>
      <c r="O590" s="6" t="str">
        <f ca="1">IFERROR(__xludf.DUMMYFUNCTION("""COMPUTED_VALUE"""),"Email")</f>
        <v>Email</v>
      </c>
      <c r="P590" s="6"/>
      <c r="Q590" s="6" t="str">
        <f ca="1">IFERROR(__xludf.DUMMYFUNCTION("""COMPUTED_VALUE"""),"No")</f>
        <v>No</v>
      </c>
      <c r="R590" s="6">
        <f ca="1">IFERROR(__xludf.DUMMYFUNCTION("""COMPUTED_VALUE"""),3)</f>
        <v>3</v>
      </c>
      <c r="S590" s="6" t="str">
        <f ca="1">IFERROR(__xludf.DUMMYFUNCTION("""COMPUTED_VALUE"""),"Pre-seed")</f>
        <v>Pre-seed</v>
      </c>
      <c r="T590" s="6" t="str">
        <f ca="1">IFERROR(__xludf.DUMMYFUNCTION("""COMPUTED_VALUE"""),"Pre-seed")</f>
        <v>Pre-seed</v>
      </c>
      <c r="U590" s="6" t="str">
        <f ca="1">IFERROR(__xludf.DUMMYFUNCTION("""COMPUTED_VALUE"""),"Pre-seed")</f>
        <v>Pre-seed</v>
      </c>
      <c r="V590" s="6"/>
      <c r="W590" s="6" t="str">
        <f ca="1">IFERROR(__xludf.DUMMYFUNCTION("""COMPUTED_VALUE"""),"Invite Next Year")</f>
        <v>Invite Next Year</v>
      </c>
    </row>
    <row r="591" spans="1:23">
      <c r="A591" s="6" t="str">
        <f ca="1">IFERROR(__xludf.DUMMYFUNCTION("""COMPUTED_VALUE"""),"Woman")</f>
        <v>Woman</v>
      </c>
      <c r="B591" s="6" t="str">
        <f ca="1">IFERROR(__xludf.DUMMYFUNCTION("""COMPUTED_VALUE"""),"Edible Graveyards _2022")</f>
        <v>Edible Graveyards _2022</v>
      </c>
      <c r="C591" s="6" t="str">
        <f ca="1">IFERROR(__xludf.DUMMYFUNCTION("""COMPUTED_VALUE"""),"Life Sciences")</f>
        <v>Life Sciences</v>
      </c>
      <c r="D591" s="6" t="str">
        <f ca="1">IFERROR(__xludf.DUMMYFUNCTION("""COMPUTED_VALUE"""),"Croton on Hudson, NY 
United States")</f>
        <v>Croton on Hudson, NY 
United States</v>
      </c>
      <c r="E591" s="6" t="str">
        <f ca="1">IFERROR(__xludf.DUMMYFUNCTION("""COMPUTED_VALUE"""),"East Coast")</f>
        <v>East Coast</v>
      </c>
      <c r="F591" s="6" t="str">
        <f ca="1">IFERROR(__xludf.DUMMYFUNCTION("""COMPUTED_VALUE"""),"Woman")</f>
        <v>Woman</v>
      </c>
      <c r="G591" s="6"/>
      <c r="H591" s="6"/>
      <c r="I591" s="6"/>
      <c r="J591" s="6"/>
      <c r="K591" s="6"/>
      <c r="L591" s="6" t="str">
        <f ca="1">IFERROR(__xludf.DUMMYFUNCTION("""COMPUTED_VALUE"""),"Yes")</f>
        <v>Yes</v>
      </c>
      <c r="M591" s="6" t="str">
        <f ca="1">IFERROR(__xludf.DUMMYFUNCTION("""COMPUTED_VALUE"""),"NYU Student")</f>
        <v>NYU Student</v>
      </c>
      <c r="N591" s="6"/>
      <c r="O591" s="6" t="str">
        <f ca="1">IFERROR(__xludf.DUMMYFUNCTION("""COMPUTED_VALUE"""),"NYU Newsletter")</f>
        <v>NYU Newsletter</v>
      </c>
      <c r="P591" s="6"/>
      <c r="Q591" s="6" t="str">
        <f ca="1">IFERROR(__xludf.DUMMYFUNCTION("""COMPUTED_VALUE"""),"No")</f>
        <v>No</v>
      </c>
      <c r="R591" s="6">
        <f ca="1">IFERROR(__xludf.DUMMYFUNCTION("""COMPUTED_VALUE"""),1)</f>
        <v>1</v>
      </c>
      <c r="S591" s="6" t="str">
        <f ca="1">IFERROR(__xludf.DUMMYFUNCTION("""COMPUTED_VALUE"""),"None")</f>
        <v>None</v>
      </c>
      <c r="T591" s="6" t="str">
        <f ca="1">IFERROR(__xludf.DUMMYFUNCTION("""COMPUTED_VALUE"""),"None")</f>
        <v>None</v>
      </c>
      <c r="U591" s="6" t="str">
        <f ca="1">IFERROR(__xludf.DUMMYFUNCTION("""COMPUTED_VALUE"""),"None")</f>
        <v>None</v>
      </c>
      <c r="V591" s="6"/>
      <c r="W591" s="6" t="str">
        <f ca="1">IFERROR(__xludf.DUMMYFUNCTION("""COMPUTED_VALUE"""),"Invite Next Year")</f>
        <v>Invite Next Year</v>
      </c>
    </row>
    <row r="592" spans="1:23">
      <c r="A592" s="6" t="str">
        <f ca="1">IFERROR(__xludf.DUMMYFUNCTION("""COMPUTED_VALUE"""),"Man, Man, Man, Man")</f>
        <v>Man, Man, Man, Man</v>
      </c>
      <c r="B592" s="6" t="str">
        <f ca="1">IFERROR(__xludf.DUMMYFUNCTION("""COMPUTED_VALUE"""),"UbiquiTx, Inc. _2022")</f>
        <v>UbiquiTx, Inc. _2022</v>
      </c>
      <c r="C592" s="6" t="str">
        <f ca="1">IFERROR(__xludf.DUMMYFUNCTION("""COMPUTED_VALUE"""),"Life Sciences")</f>
        <v>Life Sciences</v>
      </c>
      <c r="D592" s="6" t="str">
        <f ca="1">IFERROR(__xludf.DUMMYFUNCTION("""COMPUTED_VALUE"""),"160 West 87th Street, 9d, New York 
United States")</f>
        <v>160 West 87th Street, 9d, New York 
United States</v>
      </c>
      <c r="E592" s="6" t="str">
        <f ca="1">IFERROR(__xludf.DUMMYFUNCTION("""COMPUTED_VALUE"""),"New York")</f>
        <v>New York</v>
      </c>
      <c r="F592" s="6" t="str">
        <f ca="1">IFERROR(__xludf.DUMMYFUNCTION("""COMPUTED_VALUE"""),"Man")</f>
        <v>Man</v>
      </c>
      <c r="G592" s="6" t="str">
        <f ca="1">IFERROR(__xludf.DUMMYFUNCTION("""COMPUTED_VALUE"""),"Man")</f>
        <v>Man</v>
      </c>
      <c r="H592" s="6" t="str">
        <f ca="1">IFERROR(__xludf.DUMMYFUNCTION("""COMPUTED_VALUE"""),"Man")</f>
        <v>Man</v>
      </c>
      <c r="I592" s="6" t="str">
        <f ca="1">IFERROR(__xludf.DUMMYFUNCTION("""COMPUTED_VALUE"""),"Man")</f>
        <v>Man</v>
      </c>
      <c r="J592" s="6"/>
      <c r="K592" s="6"/>
      <c r="L592" s="6" t="str">
        <f ca="1">IFERROR(__xludf.DUMMYFUNCTION("""COMPUTED_VALUE"""),"No")</f>
        <v>No</v>
      </c>
      <c r="M592" s="6"/>
      <c r="N592" s="6"/>
      <c r="O592" s="6" t="str">
        <f ca="1">IFERROR(__xludf.DUMMYFUNCTION("""COMPUTED_VALUE"""),"Referral")</f>
        <v>Referral</v>
      </c>
      <c r="P592" s="6"/>
      <c r="Q592" s="6" t="str">
        <f ca="1">IFERROR(__xludf.DUMMYFUNCTION("""COMPUTED_VALUE"""),"No")</f>
        <v>No</v>
      </c>
      <c r="R592" s="6">
        <f ca="1">IFERROR(__xludf.DUMMYFUNCTION("""COMPUTED_VALUE"""),4)</f>
        <v>4</v>
      </c>
      <c r="S592" s="6" t="str">
        <f ca="1">IFERROR(__xludf.DUMMYFUNCTION("""COMPUTED_VALUE"""),"Pre-seed")</f>
        <v>Pre-seed</v>
      </c>
      <c r="T592" s="6" t="str">
        <f ca="1">IFERROR(__xludf.DUMMYFUNCTION("""COMPUTED_VALUE"""),"Pre-seed")</f>
        <v>Pre-seed</v>
      </c>
      <c r="U592" s="6" t="str">
        <f ca="1">IFERROR(__xludf.DUMMYFUNCTION("""COMPUTED_VALUE"""),"Pre-seed")</f>
        <v>Pre-seed</v>
      </c>
      <c r="V592" s="6"/>
      <c r="W592" s="6" t="str">
        <f ca="1">IFERROR(__xludf.DUMMYFUNCTION("""COMPUTED_VALUE"""),"Invite")</f>
        <v>Invite</v>
      </c>
    </row>
    <row r="593" spans="1:23">
      <c r="A593" s="6" t="str">
        <f ca="1">IFERROR(__xludf.DUMMYFUNCTION("""COMPUTED_VALUE"""),"Woman")</f>
        <v>Woman</v>
      </c>
      <c r="B593" s="6" t="str">
        <f ca="1">IFERROR(__xludf.DUMMYFUNCTION("""COMPUTED_VALUE"""),"Liv Labs Inc. _2022")</f>
        <v>Liv Labs Inc. _2022</v>
      </c>
      <c r="C593" s="6" t="str">
        <f ca="1">IFERROR(__xludf.DUMMYFUNCTION("""COMPUTED_VALUE"""),"Digital Tech")</f>
        <v>Digital Tech</v>
      </c>
      <c r="D593" s="6" t="str">
        <f ca="1">IFERROR(__xludf.DUMMYFUNCTION("""COMPUTED_VALUE"""),"Chicago, Illinois 
United States")</f>
        <v>Chicago, Illinois 
United States</v>
      </c>
      <c r="E593" s="6" t="str">
        <f ca="1">IFERROR(__xludf.DUMMYFUNCTION("""COMPUTED_VALUE"""),"Midwest")</f>
        <v>Midwest</v>
      </c>
      <c r="F593" s="6" t="str">
        <f ca="1">IFERROR(__xludf.DUMMYFUNCTION("""COMPUTED_VALUE"""),"Woman")</f>
        <v>Woman</v>
      </c>
      <c r="G593" s="6"/>
      <c r="H593" s="6"/>
      <c r="I593" s="6"/>
      <c r="J593" s="6"/>
      <c r="K593" s="6"/>
      <c r="L593" s="6" t="str">
        <f ca="1">IFERROR(__xludf.DUMMYFUNCTION("""COMPUTED_VALUE"""),"No")</f>
        <v>No</v>
      </c>
      <c r="M593" s="6"/>
      <c r="N593" s="6"/>
      <c r="O593" s="6" t="str">
        <f ca="1">IFERROR(__xludf.DUMMYFUNCTION("""COMPUTED_VALUE"""),"Email")</f>
        <v>Email</v>
      </c>
      <c r="P593" s="6"/>
      <c r="Q593" s="6" t="str">
        <f ca="1">IFERROR(__xludf.DUMMYFUNCTION("""COMPUTED_VALUE"""),"No")</f>
        <v>No</v>
      </c>
      <c r="R593" s="6">
        <f ca="1">IFERROR(__xludf.DUMMYFUNCTION("""COMPUTED_VALUE"""),1)</f>
        <v>1</v>
      </c>
      <c r="S593" s="6" t="str">
        <f ca="1">IFERROR(__xludf.DUMMYFUNCTION("""COMPUTED_VALUE"""),"Pre-seed
Grants")</f>
        <v>Pre-seed
Grants</v>
      </c>
      <c r="T593" s="6" t="str">
        <f ca="1">IFERROR(__xludf.DUMMYFUNCTION("""COMPUTED_VALUE"""),"Pre-seed, Grants")</f>
        <v>Pre-seed, Grants</v>
      </c>
      <c r="U593" s="6" t="str">
        <f ca="1">IFERROR(__xludf.DUMMYFUNCTION("""COMPUTED_VALUE"""),"Pre-seed, Grants")</f>
        <v>Pre-seed, Grants</v>
      </c>
      <c r="V593" s="6"/>
      <c r="W593" s="6" t="str">
        <f ca="1">IFERROR(__xludf.DUMMYFUNCTION("""COMPUTED_VALUE"""),"Invite Next Year")</f>
        <v>Invite Next Year</v>
      </c>
    </row>
    <row r="594" spans="1:23">
      <c r="A594" s="6" t="str">
        <f ca="1">IFERROR(__xludf.DUMMYFUNCTION("""COMPUTED_VALUE"""),"Man, Man")</f>
        <v>Man, Man</v>
      </c>
      <c r="B594" s="6" t="str">
        <f ca="1">IFERROR(__xludf.DUMMYFUNCTION("""COMPUTED_VALUE"""),"Cornerstone AI _2022")</f>
        <v>Cornerstone AI _2022</v>
      </c>
      <c r="C594" s="6" t="str">
        <f ca="1">IFERROR(__xludf.DUMMYFUNCTION("""COMPUTED_VALUE"""),"Digital Tech")</f>
        <v>Digital Tech</v>
      </c>
      <c r="D594" s="6" t="str">
        <f ca="1">IFERROR(__xludf.DUMMYFUNCTION("""COMPUTED_VALUE"""),"San Mateo, CA 
United States")</f>
        <v>San Mateo, CA 
United States</v>
      </c>
      <c r="E594" s="6" t="str">
        <f ca="1">IFERROR(__xludf.DUMMYFUNCTION("""COMPUTED_VALUE"""),"West Coast")</f>
        <v>West Coast</v>
      </c>
      <c r="F594" s="6" t="str">
        <f ca="1">IFERROR(__xludf.DUMMYFUNCTION("""COMPUTED_VALUE"""),"Man")</f>
        <v>Man</v>
      </c>
      <c r="G594" s="6" t="str">
        <f ca="1">IFERROR(__xludf.DUMMYFUNCTION("""COMPUTED_VALUE"""),"Man")</f>
        <v>Man</v>
      </c>
      <c r="H594" s="6"/>
      <c r="I594" s="6"/>
      <c r="J594" s="6"/>
      <c r="K594" s="6"/>
      <c r="L594" s="6" t="str">
        <f ca="1">IFERROR(__xludf.DUMMYFUNCTION("""COMPUTED_VALUE"""),"No")</f>
        <v>No</v>
      </c>
      <c r="M594" s="6"/>
      <c r="N594" s="6"/>
      <c r="O594" s="6" t="str">
        <f ca="1">IFERROR(__xludf.DUMMYFUNCTION("""COMPUTED_VALUE"""),"Email")</f>
        <v>Email</v>
      </c>
      <c r="P594" s="6"/>
      <c r="Q594" s="6" t="str">
        <f ca="1">IFERROR(__xludf.DUMMYFUNCTION("""COMPUTED_VALUE"""),"No")</f>
        <v>No</v>
      </c>
      <c r="R594" s="6">
        <f ca="1">IFERROR(__xludf.DUMMYFUNCTION("""COMPUTED_VALUE"""),2)</f>
        <v>2</v>
      </c>
      <c r="S594" s="6" t="str">
        <f ca="1">IFERROR(__xludf.DUMMYFUNCTION("""COMPUTED_VALUE"""),"Pre-seed
Seed")</f>
        <v>Pre-seed
Seed</v>
      </c>
      <c r="T594" s="6" t="str">
        <f ca="1">IFERROR(__xludf.DUMMYFUNCTION("""COMPUTED_VALUE"""),"Pre-seed, Seed")</f>
        <v>Pre-seed, Seed</v>
      </c>
      <c r="U594" s="6" t="str">
        <f ca="1">IFERROR(__xludf.DUMMYFUNCTION("""COMPUTED_VALUE"""),"Pre-seed, Seed")</f>
        <v>Pre-seed, Seed</v>
      </c>
      <c r="V594" s="6"/>
      <c r="W594" s="6" t="str">
        <f ca="1">IFERROR(__xludf.DUMMYFUNCTION("""COMPUTED_VALUE"""),"Invite Next Year")</f>
        <v>Invite Next Year</v>
      </c>
    </row>
    <row r="595" spans="1:23">
      <c r="A595" s="6" t="str">
        <f ca="1">IFERROR(__xludf.DUMMYFUNCTION("""COMPUTED_VALUE"""),"Man, Man, Man, Man, Man")</f>
        <v>Man, Man, Man, Man, Man</v>
      </c>
      <c r="B595" s="6" t="str">
        <f ca="1">IFERROR(__xludf.DUMMYFUNCTION("""COMPUTED_VALUE"""),"EriVan Bio _2022")</f>
        <v>EriVan Bio _2022</v>
      </c>
      <c r="C595" s="6" t="str">
        <f ca="1">IFERROR(__xludf.DUMMYFUNCTION("""COMPUTED_VALUE"""),"Life Sciences")</f>
        <v>Life Sciences</v>
      </c>
      <c r="D595" s="6" t="str">
        <f ca="1">IFERROR(__xludf.DUMMYFUNCTION("""COMPUTED_VALUE"""),"12085 Research Drive, Alachua, 32615, Florida 
United States")</f>
        <v>12085 Research Drive, Alachua, 32615, Florida 
United States</v>
      </c>
      <c r="E595" s="6" t="str">
        <f ca="1">IFERROR(__xludf.DUMMYFUNCTION("""COMPUTED_VALUE"""),"East Coast")</f>
        <v>East Coast</v>
      </c>
      <c r="F595" s="6" t="str">
        <f ca="1">IFERROR(__xludf.DUMMYFUNCTION("""COMPUTED_VALUE"""),"Man")</f>
        <v>Man</v>
      </c>
      <c r="G595" s="6" t="str">
        <f ca="1">IFERROR(__xludf.DUMMYFUNCTION("""COMPUTED_VALUE"""),"Man")</f>
        <v>Man</v>
      </c>
      <c r="H595" s="6" t="str">
        <f ca="1">IFERROR(__xludf.DUMMYFUNCTION("""COMPUTED_VALUE"""),"Man")</f>
        <v>Man</v>
      </c>
      <c r="I595" s="6" t="str">
        <f ca="1">IFERROR(__xludf.DUMMYFUNCTION("""COMPUTED_VALUE"""),"Man")</f>
        <v>Man</v>
      </c>
      <c r="J595" s="6" t="str">
        <f ca="1">IFERROR(__xludf.DUMMYFUNCTION("""COMPUTED_VALUE"""),"Man")</f>
        <v>Man</v>
      </c>
      <c r="K595" s="6"/>
      <c r="L595" s="6" t="str">
        <f ca="1">IFERROR(__xludf.DUMMYFUNCTION("""COMPUTED_VALUE"""),"Yes")</f>
        <v>Yes</v>
      </c>
      <c r="M595" s="6" t="str">
        <f ca="1">IFERROR(__xludf.DUMMYFUNCTION("""COMPUTED_VALUE"""),"NYU Fellow")</f>
        <v>NYU Fellow</v>
      </c>
      <c r="N595" s="6"/>
      <c r="O595" s="6" t="str">
        <f ca="1">IFERROR(__xludf.DUMMYFUNCTION("""COMPUTED_VALUE"""),"Referral")</f>
        <v>Referral</v>
      </c>
      <c r="P595" s="6"/>
      <c r="Q595" s="6" t="str">
        <f ca="1">IFERROR(__xludf.DUMMYFUNCTION("""COMPUTED_VALUE"""),"No")</f>
        <v>No</v>
      </c>
      <c r="R595" s="6">
        <f ca="1">IFERROR(__xludf.DUMMYFUNCTION("""COMPUTED_VALUE"""),5)</f>
        <v>5</v>
      </c>
      <c r="S595" s="6" t="str">
        <f ca="1">IFERROR(__xludf.DUMMYFUNCTION("""COMPUTED_VALUE"""),"Pre-seed")</f>
        <v>Pre-seed</v>
      </c>
      <c r="T595" s="6" t="str">
        <f ca="1">IFERROR(__xludf.DUMMYFUNCTION("""COMPUTED_VALUE"""),"Pre-seed")</f>
        <v>Pre-seed</v>
      </c>
      <c r="U595" s="6" t="str">
        <f ca="1">IFERROR(__xludf.DUMMYFUNCTION("""COMPUTED_VALUE"""),"Pre-seed")</f>
        <v>Pre-seed</v>
      </c>
      <c r="V595" s="6"/>
      <c r="W595" s="6" t="str">
        <f ca="1">IFERROR(__xludf.DUMMYFUNCTION("""COMPUTED_VALUE"""),"Special Reject")</f>
        <v>Special Reject</v>
      </c>
    </row>
    <row r="596" spans="1:23">
      <c r="A596" s="6" t="str">
        <f ca="1">IFERROR(__xludf.DUMMYFUNCTION("""COMPUTED_VALUE"""),"Man, Man")</f>
        <v>Man, Man</v>
      </c>
      <c r="B596" s="6" t="str">
        <f ca="1">IFERROR(__xludf.DUMMYFUNCTION("""COMPUTED_VALUE"""),"Telebionix _2022")</f>
        <v>Telebionix _2022</v>
      </c>
      <c r="C596" s="6" t="str">
        <f ca="1">IFERROR(__xludf.DUMMYFUNCTION("""COMPUTED_VALUE"""),"Digital Tech")</f>
        <v>Digital Tech</v>
      </c>
      <c r="D596" s="6" t="str">
        <f ca="1">IFERROR(__xludf.DUMMYFUNCTION("""COMPUTED_VALUE"""),"MOORPARK, California 
United States")</f>
        <v>MOORPARK, California 
United States</v>
      </c>
      <c r="E596" s="6" t="str">
        <f ca="1">IFERROR(__xludf.DUMMYFUNCTION("""COMPUTED_VALUE"""),"West Coast")</f>
        <v>West Coast</v>
      </c>
      <c r="F596" s="6" t="str">
        <f ca="1">IFERROR(__xludf.DUMMYFUNCTION("""COMPUTED_VALUE"""),"Man")</f>
        <v>Man</v>
      </c>
      <c r="G596" s="6" t="str">
        <f ca="1">IFERROR(__xludf.DUMMYFUNCTION("""COMPUTED_VALUE"""),"Man")</f>
        <v>Man</v>
      </c>
      <c r="H596" s="6"/>
      <c r="I596" s="6"/>
      <c r="J596" s="6"/>
      <c r="K596" s="6"/>
      <c r="L596" s="6" t="str">
        <f ca="1">IFERROR(__xludf.DUMMYFUNCTION("""COMPUTED_VALUE"""),"No")</f>
        <v>No</v>
      </c>
      <c r="M596" s="6"/>
      <c r="N596" s="6"/>
      <c r="O596" s="6" t="str">
        <f ca="1">IFERROR(__xludf.DUMMYFUNCTION("""COMPUTED_VALUE"""),"Email")</f>
        <v>Email</v>
      </c>
      <c r="P596" s="6"/>
      <c r="Q596" s="6" t="str">
        <f ca="1">IFERROR(__xludf.DUMMYFUNCTION("""COMPUTED_VALUE"""),"No")</f>
        <v>No</v>
      </c>
      <c r="R596" s="6">
        <f ca="1">IFERROR(__xludf.DUMMYFUNCTION("""COMPUTED_VALUE"""),2)</f>
        <v>2</v>
      </c>
      <c r="S596" s="6" t="str">
        <f ca="1">IFERROR(__xludf.DUMMYFUNCTION("""COMPUTED_VALUE"""),"Pre-seed")</f>
        <v>Pre-seed</v>
      </c>
      <c r="T596" s="6" t="str">
        <f ca="1">IFERROR(__xludf.DUMMYFUNCTION("""COMPUTED_VALUE"""),"Pre-seed")</f>
        <v>Pre-seed</v>
      </c>
      <c r="U596" s="6" t="str">
        <f ca="1">IFERROR(__xludf.DUMMYFUNCTION("""COMPUTED_VALUE"""),"Pre-seed")</f>
        <v>Pre-seed</v>
      </c>
      <c r="V596" s="6"/>
      <c r="W596" s="6" t="str">
        <f ca="1">IFERROR(__xludf.DUMMYFUNCTION("""COMPUTED_VALUE"""),"Invite Next Year")</f>
        <v>Invite Next Year</v>
      </c>
    </row>
    <row r="597" spans="1:23">
      <c r="A597" s="6" t="str">
        <f ca="1">IFERROR(__xludf.DUMMYFUNCTION("""COMPUTED_VALUE"""),"Man, Man")</f>
        <v>Man, Man</v>
      </c>
      <c r="B597" s="6" t="str">
        <f ca="1">IFERROR(__xludf.DUMMYFUNCTION("""COMPUTED_VALUE"""),"Findustrial _2022")</f>
        <v>Findustrial _2022</v>
      </c>
      <c r="C597" s="6" t="str">
        <f ca="1">IFERROR(__xludf.DUMMYFUNCTION("""COMPUTED_VALUE"""),"Digital Tech")</f>
        <v>Digital Tech</v>
      </c>
      <c r="D597" s="6" t="str">
        <f ca="1">IFERROR(__xludf.DUMMYFUNCTION("""COMPUTED_VALUE"""),"Gahberggasse 9, Schörfling am Attersee, 4861 
Austria")</f>
        <v>Gahberggasse 9, Schörfling am Attersee, 4861 
Austria</v>
      </c>
      <c r="E597" s="6" t="str">
        <f ca="1">IFERROR(__xludf.DUMMYFUNCTION("""COMPUTED_VALUE"""),"International - Europe")</f>
        <v>International - Europe</v>
      </c>
      <c r="F597" s="6" t="str">
        <f ca="1">IFERROR(__xludf.DUMMYFUNCTION("""COMPUTED_VALUE"""),"Man")</f>
        <v>Man</v>
      </c>
      <c r="G597" s="6" t="str">
        <f ca="1">IFERROR(__xludf.DUMMYFUNCTION("""COMPUTED_VALUE"""),"Man")</f>
        <v>Man</v>
      </c>
      <c r="H597" s="6"/>
      <c r="I597" s="6"/>
      <c r="J597" s="6"/>
      <c r="K597" s="6"/>
      <c r="L597" s="6" t="str">
        <f ca="1">IFERROR(__xludf.DUMMYFUNCTION("""COMPUTED_VALUE"""),"No")</f>
        <v>No</v>
      </c>
      <c r="M597" s="6"/>
      <c r="N597" s="6"/>
      <c r="O597" s="6" t="str">
        <f ca="1">IFERROR(__xludf.DUMMYFUNCTION("""COMPUTED_VALUE"""),"Conference")</f>
        <v>Conference</v>
      </c>
      <c r="P597" s="6"/>
      <c r="Q597" s="6" t="str">
        <f ca="1">IFERROR(__xludf.DUMMYFUNCTION("""COMPUTED_VALUE"""),"No")</f>
        <v>No</v>
      </c>
      <c r="R597" s="6">
        <f ca="1">IFERROR(__xludf.DUMMYFUNCTION("""COMPUTED_VALUE"""),2)</f>
        <v>2</v>
      </c>
      <c r="S597" s="6" t="str">
        <f ca="1">IFERROR(__xludf.DUMMYFUNCTION("""COMPUTED_VALUE"""),"Seed")</f>
        <v>Seed</v>
      </c>
      <c r="T597" s="6" t="str">
        <f ca="1">IFERROR(__xludf.DUMMYFUNCTION("""COMPUTED_VALUE"""),"Seed")</f>
        <v>Seed</v>
      </c>
      <c r="U597" s="6" t="str">
        <f ca="1">IFERROR(__xludf.DUMMYFUNCTION("""COMPUTED_VALUE"""),"Seed")</f>
        <v>Seed</v>
      </c>
      <c r="V597" s="6"/>
      <c r="W597" s="6" t="str">
        <f ca="1">IFERROR(__xludf.DUMMYFUNCTION("""COMPUTED_VALUE"""),"Invite Next Year")</f>
        <v>Invite Next Year</v>
      </c>
    </row>
    <row r="598" spans="1:23">
      <c r="A598" s="6" t="str">
        <f ca="1">IFERROR(__xludf.DUMMYFUNCTION("""COMPUTED_VALUE"""),"Man, Man")</f>
        <v>Man, Man</v>
      </c>
      <c r="B598" s="6" t="str">
        <f ca="1">IFERROR(__xludf.DUMMYFUNCTION("""COMPUTED_VALUE"""),"Blyp.ai _2022")</f>
        <v>Blyp.ai _2022</v>
      </c>
      <c r="C598" s="6" t="str">
        <f ca="1">IFERROR(__xludf.DUMMYFUNCTION("""COMPUTED_VALUE"""),"Digital Tech")</f>
        <v>Digital Tech</v>
      </c>
      <c r="D598" s="6" t="str">
        <f ca="1">IFERROR(__xludf.DUMMYFUNCTION("""COMPUTED_VALUE"""),"7 World Trade Center, Greenwich Street NYC, NY 
United States")</f>
        <v>7 World Trade Center, Greenwich Street NYC, NY 
United States</v>
      </c>
      <c r="E598" s="6" t="str">
        <f ca="1">IFERROR(__xludf.DUMMYFUNCTION("""COMPUTED_VALUE"""),"New York")</f>
        <v>New York</v>
      </c>
      <c r="F598" s="6" t="str">
        <f ca="1">IFERROR(__xludf.DUMMYFUNCTION("""COMPUTED_VALUE"""),"Man")</f>
        <v>Man</v>
      </c>
      <c r="G598" s="6" t="str">
        <f ca="1">IFERROR(__xludf.DUMMYFUNCTION("""COMPUTED_VALUE"""),"Man")</f>
        <v>Man</v>
      </c>
      <c r="H598" s="6"/>
      <c r="I598" s="6"/>
      <c r="J598" s="6"/>
      <c r="K598" s="6"/>
      <c r="L598" s="6" t="str">
        <f ca="1">IFERROR(__xludf.DUMMYFUNCTION("""COMPUTED_VALUE"""),"No")</f>
        <v>No</v>
      </c>
      <c r="M598" s="6"/>
      <c r="N598" s="6"/>
      <c r="O598" s="6" t="str">
        <f ca="1">IFERROR(__xludf.DUMMYFUNCTION("""COMPUTED_VALUE"""),"Email")</f>
        <v>Email</v>
      </c>
      <c r="P598" s="6"/>
      <c r="Q598" s="6" t="str">
        <f ca="1">IFERROR(__xludf.DUMMYFUNCTION("""COMPUTED_VALUE"""),"No")</f>
        <v>No</v>
      </c>
      <c r="R598" s="6">
        <f ca="1">IFERROR(__xludf.DUMMYFUNCTION("""COMPUTED_VALUE"""),2)</f>
        <v>2</v>
      </c>
      <c r="S598" s="6" t="str">
        <f ca="1">IFERROR(__xludf.DUMMYFUNCTION("""COMPUTED_VALUE"""),"Seed")</f>
        <v>Seed</v>
      </c>
      <c r="T598" s="6" t="str">
        <f ca="1">IFERROR(__xludf.DUMMYFUNCTION("""COMPUTED_VALUE"""),"Seed")</f>
        <v>Seed</v>
      </c>
      <c r="U598" s="6" t="str">
        <f ca="1">IFERROR(__xludf.DUMMYFUNCTION("""COMPUTED_VALUE"""),"Seed")</f>
        <v>Seed</v>
      </c>
      <c r="V598" s="6"/>
      <c r="W598" s="6" t="str">
        <f ca="1">IFERROR(__xludf.DUMMYFUNCTION("""COMPUTED_VALUE"""),"Invite Next Year")</f>
        <v>Invite Next Year</v>
      </c>
    </row>
    <row r="599" spans="1:23">
      <c r="A599" s="6" t="str">
        <f ca="1">IFERROR(__xludf.DUMMYFUNCTION("""COMPUTED_VALUE"""),"Man, Man, Man")</f>
        <v>Man, Man, Man</v>
      </c>
      <c r="B599" s="6" t="str">
        <f ca="1">IFERROR(__xludf.DUMMYFUNCTION("""COMPUTED_VALUE"""),"Gabbit Trans Systems Pvt Ltd _2022")</f>
        <v>Gabbit Trans Systems Pvt Ltd _2022</v>
      </c>
      <c r="C599" s="6" t="str">
        <f ca="1">IFERROR(__xludf.DUMMYFUNCTION("""COMPUTED_VALUE"""),"Digital Tech")</f>
        <v>Digital Tech</v>
      </c>
      <c r="D599" s="6" t="str">
        <f ca="1">IFERROR(__xludf.DUMMYFUNCTION("""COMPUTED_VALUE"""),"GHAZIABAD, UTTAR PRADESH 
India")</f>
        <v>GHAZIABAD, UTTAR PRADESH 
India</v>
      </c>
      <c r="E599" s="6" t="str">
        <f ca="1">IFERROR(__xludf.DUMMYFUNCTION("""COMPUTED_VALUE"""),"International - Asia")</f>
        <v>International - Asia</v>
      </c>
      <c r="F599" s="6" t="str">
        <f ca="1">IFERROR(__xludf.DUMMYFUNCTION("""COMPUTED_VALUE"""),"Man")</f>
        <v>Man</v>
      </c>
      <c r="G599" s="6" t="str">
        <f ca="1">IFERROR(__xludf.DUMMYFUNCTION("""COMPUTED_VALUE"""),"Man")</f>
        <v>Man</v>
      </c>
      <c r="H599" s="6" t="str">
        <f ca="1">IFERROR(__xludf.DUMMYFUNCTION("""COMPUTED_VALUE"""),"Man")</f>
        <v>Man</v>
      </c>
      <c r="I599" s="6"/>
      <c r="J599" s="6"/>
      <c r="K599" s="6"/>
      <c r="L599" s="6" t="str">
        <f ca="1">IFERROR(__xludf.DUMMYFUNCTION("""COMPUTED_VALUE"""),"No")</f>
        <v>No</v>
      </c>
      <c r="M599" s="6"/>
      <c r="N599" s="6"/>
      <c r="O599" s="6" t="str">
        <f ca="1">IFERROR(__xludf.DUMMYFUNCTION("""COMPUTED_VALUE"""),"A web posting")</f>
        <v>A web posting</v>
      </c>
      <c r="P599" s="6"/>
      <c r="Q599" s="6" t="str">
        <f ca="1">IFERROR(__xludf.DUMMYFUNCTION("""COMPUTED_VALUE"""),"No")</f>
        <v>No</v>
      </c>
      <c r="R599" s="6">
        <f ca="1">IFERROR(__xludf.DUMMYFUNCTION("""COMPUTED_VALUE"""),3)</f>
        <v>3</v>
      </c>
      <c r="S599" s="6" t="str">
        <f ca="1">IFERROR(__xludf.DUMMYFUNCTION("""COMPUTED_VALUE"""),"Seed")</f>
        <v>Seed</v>
      </c>
      <c r="T599" s="6" t="str">
        <f ca="1">IFERROR(__xludf.DUMMYFUNCTION("""COMPUTED_VALUE"""),"Seed")</f>
        <v>Seed</v>
      </c>
      <c r="U599" s="6" t="str">
        <f ca="1">IFERROR(__xludf.DUMMYFUNCTION("""COMPUTED_VALUE"""),"Seed")</f>
        <v>Seed</v>
      </c>
      <c r="V599" s="6"/>
      <c r="W599" s="6" t="str">
        <f ca="1">IFERROR(__xludf.DUMMYFUNCTION("""COMPUTED_VALUE"""),"Invite Next Year")</f>
        <v>Invite Next Year</v>
      </c>
    </row>
    <row r="600" spans="1:23">
      <c r="A600" s="6" t="str">
        <f ca="1">IFERROR(__xludf.DUMMYFUNCTION("""COMPUTED_VALUE"""),"Man, Man, Man")</f>
        <v>Man, Man, Man</v>
      </c>
      <c r="B600" s="6" t="str">
        <f ca="1">IFERROR(__xludf.DUMMYFUNCTION("""COMPUTED_VALUE"""),"Gahez Market _2022")</f>
        <v>Gahez Market _2022</v>
      </c>
      <c r="C600" s="6" t="str">
        <f ca="1">IFERROR(__xludf.DUMMYFUNCTION("""COMPUTED_VALUE"""),"Digital Tech")</f>
        <v>Digital Tech</v>
      </c>
      <c r="D600" s="6" t="str">
        <f ca="1">IFERROR(__xludf.DUMMYFUNCTION("""COMPUTED_VALUE"""),"Building 60, district 9, 6th of October 
Egypt")</f>
        <v>Building 60, district 9, 6th of October 
Egypt</v>
      </c>
      <c r="E600" s="6" t="str">
        <f ca="1">IFERROR(__xludf.DUMMYFUNCTION("""COMPUTED_VALUE"""),"International - Middle East")</f>
        <v>International - Middle East</v>
      </c>
      <c r="F600" s="6" t="str">
        <f ca="1">IFERROR(__xludf.DUMMYFUNCTION("""COMPUTED_VALUE"""),"Man")</f>
        <v>Man</v>
      </c>
      <c r="G600" s="6" t="str">
        <f ca="1">IFERROR(__xludf.DUMMYFUNCTION("""COMPUTED_VALUE"""),"Man")</f>
        <v>Man</v>
      </c>
      <c r="H600" s="6" t="str">
        <f ca="1">IFERROR(__xludf.DUMMYFUNCTION("""COMPUTED_VALUE"""),"Man")</f>
        <v>Man</v>
      </c>
      <c r="I600" s="6"/>
      <c r="J600" s="6"/>
      <c r="K600" s="6"/>
      <c r="L600" s="6" t="str">
        <f ca="1">IFERROR(__xludf.DUMMYFUNCTION("""COMPUTED_VALUE"""),"--Please select--")</f>
        <v>--Please select--</v>
      </c>
      <c r="M600" s="6"/>
      <c r="N600" s="6"/>
      <c r="O600" s="6" t="str">
        <f ca="1">IFERROR(__xludf.DUMMYFUNCTION("""COMPUTED_VALUE"""),"Email")</f>
        <v>Email</v>
      </c>
      <c r="P600" s="6"/>
      <c r="Q600" s="6" t="str">
        <f ca="1">IFERROR(__xludf.DUMMYFUNCTION("""COMPUTED_VALUE"""),"No")</f>
        <v>No</v>
      </c>
      <c r="R600" s="6">
        <f ca="1">IFERROR(__xludf.DUMMYFUNCTION("""COMPUTED_VALUE"""),3)</f>
        <v>3</v>
      </c>
      <c r="S600" s="6" t="str">
        <f ca="1">IFERROR(__xludf.DUMMYFUNCTION("""COMPUTED_VALUE"""),"Pre-seed")</f>
        <v>Pre-seed</v>
      </c>
      <c r="T600" s="6" t="str">
        <f ca="1">IFERROR(__xludf.DUMMYFUNCTION("""COMPUTED_VALUE"""),"Pre-seed")</f>
        <v>Pre-seed</v>
      </c>
      <c r="U600" s="6" t="str">
        <f ca="1">IFERROR(__xludf.DUMMYFUNCTION("""COMPUTED_VALUE"""),"Pre-seed")</f>
        <v>Pre-seed</v>
      </c>
      <c r="V600" s="6"/>
      <c r="W600" s="6" t="str">
        <f ca="1">IFERROR(__xludf.DUMMYFUNCTION("""COMPUTED_VALUE"""),"Invite Next Year")</f>
        <v>Invite Next Year</v>
      </c>
    </row>
    <row r="601" spans="1:23">
      <c r="A601" s="6" t="str">
        <f ca="1">IFERROR(__xludf.DUMMYFUNCTION("""COMPUTED_VALUE"""),"Man, Man")</f>
        <v>Man, Man</v>
      </c>
      <c r="B601" s="6" t="str">
        <f ca="1">IFERROR(__xludf.DUMMYFUNCTION("""COMPUTED_VALUE"""),"Metamorphic Foods Pvt Ltd (Klever Meat) _2022")</f>
        <v>Metamorphic Foods Pvt Ltd (Klever Meat) _2022</v>
      </c>
      <c r="C601" s="6" t="str">
        <f ca="1">IFERROR(__xludf.DUMMYFUNCTION("""COMPUTED_VALUE"""),"Life Sciences")</f>
        <v>Life Sciences</v>
      </c>
      <c r="D601" s="6" t="str">
        <f ca="1">IFERROR(__xludf.DUMMYFUNCTION("""COMPUTED_VALUE"""),"A-501 ANUSHA ENCLAVE PASHAN SUS RD PUNE MAHARASTRA ? 411021, MAHARASHTRA 
India")</f>
        <v>A-501 ANUSHA ENCLAVE PASHAN SUS RD PUNE MAHARASTRA ? 411021, MAHARASHTRA 
India</v>
      </c>
      <c r="E601" s="6" t="str">
        <f ca="1">IFERROR(__xludf.DUMMYFUNCTION("""COMPUTED_VALUE"""),"International - Asia")</f>
        <v>International - Asia</v>
      </c>
      <c r="F601" s="6" t="str">
        <f ca="1">IFERROR(__xludf.DUMMYFUNCTION("""COMPUTED_VALUE"""),"Man")</f>
        <v>Man</v>
      </c>
      <c r="G601" s="6" t="str">
        <f ca="1">IFERROR(__xludf.DUMMYFUNCTION("""COMPUTED_VALUE"""),"Man")</f>
        <v>Man</v>
      </c>
      <c r="H601" s="6"/>
      <c r="I601" s="6"/>
      <c r="J601" s="6"/>
      <c r="K601" s="6"/>
      <c r="L601" s="6" t="str">
        <f ca="1">IFERROR(__xludf.DUMMYFUNCTION("""COMPUTED_VALUE"""),"No")</f>
        <v>No</v>
      </c>
      <c r="M601" s="6"/>
      <c r="N601" s="6"/>
      <c r="O601" s="6" t="str">
        <f ca="1">IFERROR(__xludf.DUMMYFUNCTION("""COMPUTED_VALUE"""),"A web posting")</f>
        <v>A web posting</v>
      </c>
      <c r="P601" s="6"/>
      <c r="Q601" s="6" t="str">
        <f ca="1">IFERROR(__xludf.DUMMYFUNCTION("""COMPUTED_VALUE"""),"No")</f>
        <v>No</v>
      </c>
      <c r="R601" s="6">
        <f ca="1">IFERROR(__xludf.DUMMYFUNCTION("""COMPUTED_VALUE"""),2)</f>
        <v>2</v>
      </c>
      <c r="S601" s="6" t="str">
        <f ca="1">IFERROR(__xludf.DUMMYFUNCTION("""COMPUTED_VALUE"""),"None")</f>
        <v>None</v>
      </c>
      <c r="T601" s="6" t="str">
        <f ca="1">IFERROR(__xludf.DUMMYFUNCTION("""COMPUTED_VALUE"""),"None")</f>
        <v>None</v>
      </c>
      <c r="U601" s="6" t="str">
        <f ca="1">IFERROR(__xludf.DUMMYFUNCTION("""COMPUTED_VALUE"""),"None")</f>
        <v>None</v>
      </c>
      <c r="V601" s="6"/>
      <c r="W601" s="6" t="str">
        <f ca="1">IFERROR(__xludf.DUMMYFUNCTION("""COMPUTED_VALUE"""),"Invite Next Year")</f>
        <v>Invite Next Year</v>
      </c>
    </row>
    <row r="602" spans="1:23">
      <c r="A602" s="6" t="str">
        <f ca="1">IFERROR(__xludf.DUMMYFUNCTION("""COMPUTED_VALUE"""),"Woman, Man")</f>
        <v>Woman, Man</v>
      </c>
      <c r="B602" s="6" t="str">
        <f ca="1">IFERROR(__xludf.DUMMYFUNCTION("""COMPUTED_VALUE"""),"Kolibri _2022")</f>
        <v>Kolibri _2022</v>
      </c>
      <c r="C602" s="6" t="str">
        <f ca="1">IFERROR(__xludf.DUMMYFUNCTION("""COMPUTED_VALUE"""),"Life Sciences")</f>
        <v>Life Sciences</v>
      </c>
      <c r="D602" s="6" t="str">
        <f ca="1">IFERROR(__xludf.DUMMYFUNCTION("""COMPUTED_VALUE"""),"36 rue Greuze, 75116 Paris 
France")</f>
        <v>36 rue Greuze, 75116 Paris 
France</v>
      </c>
      <c r="E602" s="6" t="str">
        <f ca="1">IFERROR(__xludf.DUMMYFUNCTION("""COMPUTED_VALUE"""),"International - Europe")</f>
        <v>International - Europe</v>
      </c>
      <c r="F602" s="6" t="str">
        <f ca="1">IFERROR(__xludf.DUMMYFUNCTION("""COMPUTED_VALUE"""),"Woman")</f>
        <v>Woman</v>
      </c>
      <c r="G602" s="6" t="str">
        <f ca="1">IFERROR(__xludf.DUMMYFUNCTION("""COMPUTED_VALUE"""),"Man")</f>
        <v>Man</v>
      </c>
      <c r="H602" s="6"/>
      <c r="I602" s="6"/>
      <c r="J602" s="6"/>
      <c r="K602" s="6"/>
      <c r="L602" s="6" t="str">
        <f ca="1">IFERROR(__xludf.DUMMYFUNCTION("""COMPUTED_VALUE"""),"No")</f>
        <v>No</v>
      </c>
      <c r="M602" s="6"/>
      <c r="N602" s="6"/>
      <c r="O602" s="6" t="str">
        <f ca="1">IFERROR(__xludf.DUMMYFUNCTION("""COMPUTED_VALUE"""),"Referral")</f>
        <v>Referral</v>
      </c>
      <c r="P602" s="6"/>
      <c r="Q602" s="6" t="str">
        <f ca="1">IFERROR(__xludf.DUMMYFUNCTION("""COMPUTED_VALUE"""),"No")</f>
        <v>No</v>
      </c>
      <c r="R602" s="6">
        <f ca="1">IFERROR(__xludf.DUMMYFUNCTION("""COMPUTED_VALUE"""),2)</f>
        <v>2</v>
      </c>
      <c r="S602" s="6" t="str">
        <f ca="1">IFERROR(__xludf.DUMMYFUNCTION("""COMPUTED_VALUE"""),"Pre-seed")</f>
        <v>Pre-seed</v>
      </c>
      <c r="T602" s="6" t="str">
        <f ca="1">IFERROR(__xludf.DUMMYFUNCTION("""COMPUTED_VALUE"""),"Pre-seed")</f>
        <v>Pre-seed</v>
      </c>
      <c r="U602" s="6" t="str">
        <f ca="1">IFERROR(__xludf.DUMMYFUNCTION("""COMPUTED_VALUE"""),"Pre-seed")</f>
        <v>Pre-seed</v>
      </c>
      <c r="V602" s="6"/>
      <c r="W602" s="6" t="str">
        <f ca="1">IFERROR(__xludf.DUMMYFUNCTION("""COMPUTED_VALUE"""),"Invite Next Year")</f>
        <v>Invite Next Year</v>
      </c>
    </row>
    <row r="603" spans="1:23">
      <c r="A603" s="6" t="str">
        <f ca="1">IFERROR(__xludf.DUMMYFUNCTION("""COMPUTED_VALUE"""),"Man, Man")</f>
        <v>Man, Man</v>
      </c>
      <c r="B603" s="6" t="str">
        <f ca="1">IFERROR(__xludf.DUMMYFUNCTION("""COMPUTED_VALUE"""),"Oral FLuid Testing Labs LLC _2022")</f>
        <v>Oral FLuid Testing Labs LLC _2022</v>
      </c>
      <c r="C603" s="6" t="str">
        <f ca="1">IFERROR(__xludf.DUMMYFUNCTION("""COMPUTED_VALUE"""),"Life Sciences")</f>
        <v>Life Sciences</v>
      </c>
      <c r="D603" s="6" t="str">
        <f ca="1">IFERROR(__xludf.DUMMYFUNCTION("""COMPUTED_VALUE"""),"Mount Laurel, New Jersey 
United States")</f>
        <v>Mount Laurel, New Jersey 
United States</v>
      </c>
      <c r="E603" s="6" t="str">
        <f ca="1">IFERROR(__xludf.DUMMYFUNCTION("""COMPUTED_VALUE"""),"East Coast")</f>
        <v>East Coast</v>
      </c>
      <c r="F603" s="6" t="str">
        <f ca="1">IFERROR(__xludf.DUMMYFUNCTION("""COMPUTED_VALUE"""),"Man")</f>
        <v>Man</v>
      </c>
      <c r="G603" s="6" t="str">
        <f ca="1">IFERROR(__xludf.DUMMYFUNCTION("""COMPUTED_VALUE"""),"Man")</f>
        <v>Man</v>
      </c>
      <c r="H603" s="6"/>
      <c r="I603" s="6"/>
      <c r="J603" s="6"/>
      <c r="K603" s="6"/>
      <c r="L603" s="6" t="str">
        <f ca="1">IFERROR(__xludf.DUMMYFUNCTION("""COMPUTED_VALUE"""),"No")</f>
        <v>No</v>
      </c>
      <c r="M603" s="6"/>
      <c r="N603" s="6"/>
      <c r="O603" s="6" t="str">
        <f ca="1">IFERROR(__xludf.DUMMYFUNCTION("""COMPUTED_VALUE"""),"Search Engine")</f>
        <v>Search Engine</v>
      </c>
      <c r="P603" s="6"/>
      <c r="Q603" s="6" t="str">
        <f ca="1">IFERROR(__xludf.DUMMYFUNCTION("""COMPUTED_VALUE"""),"No")</f>
        <v>No</v>
      </c>
      <c r="R603" s="6">
        <f ca="1">IFERROR(__xludf.DUMMYFUNCTION("""COMPUTED_VALUE"""),2)</f>
        <v>2</v>
      </c>
      <c r="S603" s="6" t="str">
        <f ca="1">IFERROR(__xludf.DUMMYFUNCTION("""COMPUTED_VALUE"""),"Other: capital raised from friends and family")</f>
        <v>Other: capital raised from friends and family</v>
      </c>
      <c r="T603" s="6" t="str">
        <f ca="1">IFERROR(__xludf.DUMMYFUNCTION("""COMPUTED_VALUE"""),"Other: capital raised from friends and family")</f>
        <v>Other: capital raised from friends and family</v>
      </c>
      <c r="U603" s="6" t="str">
        <f ca="1">IFERROR(__xludf.DUMMYFUNCTION("""COMPUTED_VALUE"""),"capital raised from friends and family")</f>
        <v>capital raised from friends and family</v>
      </c>
      <c r="V603" s="6"/>
      <c r="W603" s="6" t="str">
        <f ca="1">IFERROR(__xludf.DUMMYFUNCTION("""COMPUTED_VALUE"""),"Invite Next Year")</f>
        <v>Invite Next Year</v>
      </c>
    </row>
    <row r="604" spans="1:23">
      <c r="A604" s="6" t="str">
        <f ca="1">IFERROR(__xludf.DUMMYFUNCTION("""COMPUTED_VALUE"""),"Woman, Man")</f>
        <v>Woman, Man</v>
      </c>
      <c r="B604" s="6" t="str">
        <f ca="1">IFERROR(__xludf.DUMMYFUNCTION("""COMPUTED_VALUE"""),"Coala Pay _2022")</f>
        <v>Coala Pay _2022</v>
      </c>
      <c r="C604" s="6" t="str">
        <f ca="1">IFERROR(__xludf.DUMMYFUNCTION("""COMPUTED_VALUE"""),"Digital Tech")</f>
        <v>Digital Tech</v>
      </c>
      <c r="D604" s="6" t="str">
        <f ca="1">IFERROR(__xludf.DUMMYFUNCTION("""COMPUTED_VALUE"""),"Amsterdam, North Holland 
Netherlands")</f>
        <v>Amsterdam, North Holland 
Netherlands</v>
      </c>
      <c r="E604" s="6" t="str">
        <f ca="1">IFERROR(__xludf.DUMMYFUNCTION("""COMPUTED_VALUE"""),"International - Europe")</f>
        <v>International - Europe</v>
      </c>
      <c r="F604" s="6" t="str">
        <f ca="1">IFERROR(__xludf.DUMMYFUNCTION("""COMPUTED_VALUE"""),"Woman")</f>
        <v>Woman</v>
      </c>
      <c r="G604" s="6" t="str">
        <f ca="1">IFERROR(__xludf.DUMMYFUNCTION("""COMPUTED_VALUE"""),"Man")</f>
        <v>Man</v>
      </c>
      <c r="H604" s="6"/>
      <c r="I604" s="6"/>
      <c r="J604" s="6"/>
      <c r="K604" s="6"/>
      <c r="L604" s="6" t="str">
        <f ca="1">IFERROR(__xludf.DUMMYFUNCTION("""COMPUTED_VALUE"""),"No")</f>
        <v>No</v>
      </c>
      <c r="M604" s="6"/>
      <c r="N604" s="6"/>
      <c r="O604" s="6" t="str">
        <f ca="1">IFERROR(__xludf.DUMMYFUNCTION("""COMPUTED_VALUE"""),"LinkedIn")</f>
        <v>LinkedIn</v>
      </c>
      <c r="P604" s="6"/>
      <c r="Q604" s="6" t="str">
        <f ca="1">IFERROR(__xludf.DUMMYFUNCTION("""COMPUTED_VALUE"""),"No")</f>
        <v>No</v>
      </c>
      <c r="R604" s="6">
        <f ca="1">IFERROR(__xludf.DUMMYFUNCTION("""COMPUTED_VALUE"""),2)</f>
        <v>2</v>
      </c>
      <c r="S604" s="6" t="str">
        <f ca="1">IFERROR(__xludf.DUMMYFUNCTION("""COMPUTED_VALUE"""),"Grants")</f>
        <v>Grants</v>
      </c>
      <c r="T604" s="6" t="str">
        <f ca="1">IFERROR(__xludf.DUMMYFUNCTION("""COMPUTED_VALUE"""),"Grants")</f>
        <v>Grants</v>
      </c>
      <c r="U604" s="6" t="str">
        <f ca="1">IFERROR(__xludf.DUMMYFUNCTION("""COMPUTED_VALUE"""),"Grants")</f>
        <v>Grants</v>
      </c>
      <c r="V604" s="6"/>
      <c r="W604" s="6" t="str">
        <f ca="1">IFERROR(__xludf.DUMMYFUNCTION("""COMPUTED_VALUE"""),"Invite Next Year")</f>
        <v>Invite Next Year</v>
      </c>
    </row>
    <row r="605" spans="1:23">
      <c r="A605" s="6" t="str">
        <f ca="1">IFERROR(__xludf.DUMMYFUNCTION("""COMPUTED_VALUE"""),"Man, Woman")</f>
        <v>Man, Woman</v>
      </c>
      <c r="B605" s="6" t="str">
        <f ca="1">IFERROR(__xludf.DUMMYFUNCTION("""COMPUTED_VALUE"""),"Strich, Inc. _2022")</f>
        <v>Strich, Inc. _2022</v>
      </c>
      <c r="C605" s="6" t="str">
        <f ca="1">IFERROR(__xludf.DUMMYFUNCTION("""COMPUTED_VALUE"""),"Digital Tech")</f>
        <v>Digital Tech</v>
      </c>
      <c r="D605" s="6" t="str">
        <f ca="1">IFERROR(__xludf.DUMMYFUNCTION("""COMPUTED_VALUE"""),"6, Alivideh Crescent, Badagry, Lagos 
Nigeria")</f>
        <v>6, Alivideh Crescent, Badagry, Lagos 
Nigeria</v>
      </c>
      <c r="E605" s="6" t="str">
        <f ca="1">IFERROR(__xludf.DUMMYFUNCTION("""COMPUTED_VALUE"""),"International - Other")</f>
        <v>International - Other</v>
      </c>
      <c r="F605" s="6" t="str">
        <f ca="1">IFERROR(__xludf.DUMMYFUNCTION("""COMPUTED_VALUE"""),"Man")</f>
        <v>Man</v>
      </c>
      <c r="G605" s="6" t="str">
        <f ca="1">IFERROR(__xludf.DUMMYFUNCTION("""COMPUTED_VALUE"""),"Woman")</f>
        <v>Woman</v>
      </c>
      <c r="H605" s="6"/>
      <c r="I605" s="6"/>
      <c r="J605" s="6"/>
      <c r="K605" s="6"/>
      <c r="L605" s="6" t="str">
        <f ca="1">IFERROR(__xludf.DUMMYFUNCTION("""COMPUTED_VALUE"""),"No")</f>
        <v>No</v>
      </c>
      <c r="M605" s="6"/>
      <c r="N605" s="6"/>
      <c r="O605" s="6" t="str">
        <f ca="1">IFERROR(__xludf.DUMMYFUNCTION("""COMPUTED_VALUE"""),"Email")</f>
        <v>Email</v>
      </c>
      <c r="P605" s="6"/>
      <c r="Q605" s="6" t="str">
        <f ca="1">IFERROR(__xludf.DUMMYFUNCTION("""COMPUTED_VALUE"""),"No")</f>
        <v>No</v>
      </c>
      <c r="R605" s="6">
        <f ca="1">IFERROR(__xludf.DUMMYFUNCTION("""COMPUTED_VALUE"""),2)</f>
        <v>2</v>
      </c>
      <c r="S605" s="6" t="str">
        <f ca="1">IFERROR(__xludf.DUMMYFUNCTION("""COMPUTED_VALUE"""),"Pre-seed")</f>
        <v>Pre-seed</v>
      </c>
      <c r="T605" s="6" t="str">
        <f ca="1">IFERROR(__xludf.DUMMYFUNCTION("""COMPUTED_VALUE"""),"Pre-seed")</f>
        <v>Pre-seed</v>
      </c>
      <c r="U605" s="6" t="str">
        <f ca="1">IFERROR(__xludf.DUMMYFUNCTION("""COMPUTED_VALUE"""),"Pre-seed")</f>
        <v>Pre-seed</v>
      </c>
      <c r="V605" s="6"/>
      <c r="W605" s="6" t="str">
        <f ca="1">IFERROR(__xludf.DUMMYFUNCTION("""COMPUTED_VALUE"""),"Invite Next Year")</f>
        <v>Invite Next Year</v>
      </c>
    </row>
    <row r="606" spans="1:23">
      <c r="A606" s="6" t="str">
        <f ca="1">IFERROR(__xludf.DUMMYFUNCTION("""COMPUTED_VALUE"""),"Man, Man, Woman")</f>
        <v>Man, Man, Woman</v>
      </c>
      <c r="B606" s="6" t="str">
        <f ca="1">IFERROR(__xludf.DUMMYFUNCTION("""COMPUTED_VALUE"""),"Vyro Pty Ltd _2022")</f>
        <v>Vyro Pty Ltd _2022</v>
      </c>
      <c r="C606" s="6" t="str">
        <f ca="1">IFERROR(__xludf.DUMMYFUNCTION("""COMPUTED_VALUE"""),"Digital Tech")</f>
        <v>Digital Tech</v>
      </c>
      <c r="D606" s="6" t="str">
        <f ca="1">IFERROR(__xludf.DUMMYFUNCTION("""COMPUTED_VALUE"""),"L 8 11-17 York St, Sydney NSW 2000, New South Wales 
Australia")</f>
        <v>L 8 11-17 York St, Sydney NSW 2000, New South Wales 
Australia</v>
      </c>
      <c r="E606" s="6" t="str">
        <f ca="1">IFERROR(__xludf.DUMMYFUNCTION("""COMPUTED_VALUE"""),"International - Europe")</f>
        <v>International - Europe</v>
      </c>
      <c r="F606" s="6" t="str">
        <f ca="1">IFERROR(__xludf.DUMMYFUNCTION("""COMPUTED_VALUE"""),"Man")</f>
        <v>Man</v>
      </c>
      <c r="G606" s="6" t="str">
        <f ca="1">IFERROR(__xludf.DUMMYFUNCTION("""COMPUTED_VALUE"""),"Man")</f>
        <v>Man</v>
      </c>
      <c r="H606" s="6" t="str">
        <f ca="1">IFERROR(__xludf.DUMMYFUNCTION("""COMPUTED_VALUE"""),"Woman")</f>
        <v>Woman</v>
      </c>
      <c r="I606" s="6"/>
      <c r="J606" s="6"/>
      <c r="K606" s="6"/>
      <c r="L606" s="6" t="str">
        <f ca="1">IFERROR(__xludf.DUMMYFUNCTION("""COMPUTED_VALUE"""),"--Please select--")</f>
        <v>--Please select--</v>
      </c>
      <c r="M606" s="6"/>
      <c r="N606" s="6"/>
      <c r="O606" s="6" t="str">
        <f ca="1">IFERROR(__xludf.DUMMYFUNCTION("""COMPUTED_VALUE"""),"Email")</f>
        <v>Email</v>
      </c>
      <c r="P606" s="6"/>
      <c r="Q606" s="6" t="str">
        <f ca="1">IFERROR(__xludf.DUMMYFUNCTION("""COMPUTED_VALUE"""),"No")</f>
        <v>No</v>
      </c>
      <c r="R606" s="6">
        <f ca="1">IFERROR(__xludf.DUMMYFUNCTION("""COMPUTED_VALUE"""),3)</f>
        <v>3</v>
      </c>
      <c r="S606" s="6" t="str">
        <f ca="1">IFERROR(__xludf.DUMMYFUNCTION("""COMPUTED_VALUE"""),"Seed
Grants")</f>
        <v>Seed
Grants</v>
      </c>
      <c r="T606" s="6" t="str">
        <f ca="1">IFERROR(__xludf.DUMMYFUNCTION("""COMPUTED_VALUE"""),"Seed, Grants")</f>
        <v>Seed, Grants</v>
      </c>
      <c r="U606" s="6" t="str">
        <f ca="1">IFERROR(__xludf.DUMMYFUNCTION("""COMPUTED_VALUE"""),"Seed, Grants")</f>
        <v>Seed, Grants</v>
      </c>
      <c r="V606" s="6"/>
      <c r="W606" s="6" t="str">
        <f ca="1">IFERROR(__xludf.DUMMYFUNCTION("""COMPUTED_VALUE"""),"Invite Next Year")</f>
        <v>Invite Next Year</v>
      </c>
    </row>
    <row r="607" spans="1:23">
      <c r="A607" s="6" t="str">
        <f ca="1">IFERROR(__xludf.DUMMYFUNCTION("""COMPUTED_VALUE"""),"Man, Woman")</f>
        <v>Man, Woman</v>
      </c>
      <c r="B607" s="6" t="str">
        <f ca="1">IFERROR(__xludf.DUMMYFUNCTION("""COMPUTED_VALUE"""),"Akeso Therapeutics, Inc. _2022")</f>
        <v>Akeso Therapeutics, Inc. _2022</v>
      </c>
      <c r="C607" s="6" t="str">
        <f ca="1">IFERROR(__xludf.DUMMYFUNCTION("""COMPUTED_VALUE"""),"Life Sciences")</f>
        <v>Life Sciences</v>
      </c>
      <c r="D607" s="6" t="str">
        <f ca="1">IFERROR(__xludf.DUMMYFUNCTION("""COMPUTED_VALUE"""),"54 Winchester Court, Yorktown Heights/NY 
United States")</f>
        <v>54 Winchester Court, Yorktown Heights/NY 
United States</v>
      </c>
      <c r="E607" s="6" t="str">
        <f ca="1">IFERROR(__xludf.DUMMYFUNCTION("""COMPUTED_VALUE"""),"New York")</f>
        <v>New York</v>
      </c>
      <c r="F607" s="6" t="str">
        <f ca="1">IFERROR(__xludf.DUMMYFUNCTION("""COMPUTED_VALUE"""),"Man")</f>
        <v>Man</v>
      </c>
      <c r="G607" s="6" t="str">
        <f ca="1">IFERROR(__xludf.DUMMYFUNCTION("""COMPUTED_VALUE"""),"Woman")</f>
        <v>Woman</v>
      </c>
      <c r="H607" s="6"/>
      <c r="I607" s="6"/>
      <c r="J607" s="6"/>
      <c r="K607" s="6"/>
      <c r="L607" s="6" t="str">
        <f ca="1">IFERROR(__xludf.DUMMYFUNCTION("""COMPUTED_VALUE"""),"No")</f>
        <v>No</v>
      </c>
      <c r="M607" s="6"/>
      <c r="N607" s="6"/>
      <c r="O607" s="6" t="str">
        <f ca="1">IFERROR(__xludf.DUMMYFUNCTION("""COMPUTED_VALUE"""),"Email")</f>
        <v>Email</v>
      </c>
      <c r="P607" s="6"/>
      <c r="Q607" s="6" t="str">
        <f ca="1">IFERROR(__xludf.DUMMYFUNCTION("""COMPUTED_VALUE"""),"No")</f>
        <v>No</v>
      </c>
      <c r="R607" s="6">
        <f ca="1">IFERROR(__xludf.DUMMYFUNCTION("""COMPUTED_VALUE"""),2)</f>
        <v>2</v>
      </c>
      <c r="S607" s="6" t="str">
        <f ca="1">IFERROR(__xludf.DUMMYFUNCTION("""COMPUTED_VALUE"""),"Pre-seed")</f>
        <v>Pre-seed</v>
      </c>
      <c r="T607" s="6" t="str">
        <f ca="1">IFERROR(__xludf.DUMMYFUNCTION("""COMPUTED_VALUE"""),"Pre-seed")</f>
        <v>Pre-seed</v>
      </c>
      <c r="U607" s="6" t="str">
        <f ca="1">IFERROR(__xludf.DUMMYFUNCTION("""COMPUTED_VALUE"""),"Pre-seed")</f>
        <v>Pre-seed</v>
      </c>
      <c r="V607" s="6"/>
      <c r="W607" s="6" t="str">
        <f ca="1">IFERROR(__xludf.DUMMYFUNCTION("""COMPUTED_VALUE"""),"Invite Next Year")</f>
        <v>Invite Next Year</v>
      </c>
    </row>
    <row r="608" spans="1:23">
      <c r="A608" s="6" t="str">
        <f ca="1">IFERROR(__xludf.DUMMYFUNCTION("""COMPUTED_VALUE"""),"Man, Man")</f>
        <v>Man, Man</v>
      </c>
      <c r="B608" s="6" t="str">
        <f ca="1">IFERROR(__xludf.DUMMYFUNCTION("""COMPUTED_VALUE"""),"Kumulus _2022")</f>
        <v>Kumulus _2022</v>
      </c>
      <c r="C608" s="6" t="str">
        <f ca="1">IFERROR(__xludf.DUMMYFUNCTION("""COMPUTED_VALUE"""),"Deep Tech")</f>
        <v>Deep Tech</v>
      </c>
      <c r="D608" s="6" t="str">
        <f ca="1">IFERROR(__xludf.DUMMYFUNCTION("""COMPUTED_VALUE"""),"5 avenue Charles de Gaulle, Saint Mandé 94160 
France")</f>
        <v>5 avenue Charles de Gaulle, Saint Mandé 94160 
France</v>
      </c>
      <c r="E608" s="6" t="str">
        <f ca="1">IFERROR(__xludf.DUMMYFUNCTION("""COMPUTED_VALUE"""),"International - Europe")</f>
        <v>International - Europe</v>
      </c>
      <c r="F608" s="6" t="str">
        <f ca="1">IFERROR(__xludf.DUMMYFUNCTION("""COMPUTED_VALUE"""),"Man")</f>
        <v>Man</v>
      </c>
      <c r="G608" s="6" t="str">
        <f ca="1">IFERROR(__xludf.DUMMYFUNCTION("""COMPUTED_VALUE"""),"Man")</f>
        <v>Man</v>
      </c>
      <c r="H608" s="6"/>
      <c r="I608" s="6"/>
      <c r="J608" s="6"/>
      <c r="K608" s="6"/>
      <c r="L608" s="6" t="str">
        <f ca="1">IFERROR(__xludf.DUMMYFUNCTION("""COMPUTED_VALUE"""),"No")</f>
        <v>No</v>
      </c>
      <c r="M608" s="6"/>
      <c r="N608" s="6"/>
      <c r="O608" s="6" t="str">
        <f ca="1">IFERROR(__xludf.DUMMYFUNCTION("""COMPUTED_VALUE"""),"Email")</f>
        <v>Email</v>
      </c>
      <c r="P608" s="6"/>
      <c r="Q608" s="6" t="str">
        <f ca="1">IFERROR(__xludf.DUMMYFUNCTION("""COMPUTED_VALUE"""),"No")</f>
        <v>No</v>
      </c>
      <c r="R608" s="6">
        <f ca="1">IFERROR(__xludf.DUMMYFUNCTION("""COMPUTED_VALUE"""),2)</f>
        <v>2</v>
      </c>
      <c r="S608" s="6" t="str">
        <f ca="1">IFERROR(__xludf.DUMMYFUNCTION("""COMPUTED_VALUE"""),"Pre-seed")</f>
        <v>Pre-seed</v>
      </c>
      <c r="T608" s="6" t="str">
        <f ca="1">IFERROR(__xludf.DUMMYFUNCTION("""COMPUTED_VALUE"""),"Pre-seed")</f>
        <v>Pre-seed</v>
      </c>
      <c r="U608" s="6" t="str">
        <f ca="1">IFERROR(__xludf.DUMMYFUNCTION("""COMPUTED_VALUE"""),"Pre-seed")</f>
        <v>Pre-seed</v>
      </c>
      <c r="V608" s="6"/>
      <c r="W608" s="6" t="str">
        <f ca="1">IFERROR(__xludf.DUMMYFUNCTION("""COMPUTED_VALUE"""),"Invite Next Year")</f>
        <v>Invite Next Year</v>
      </c>
    </row>
    <row r="609" spans="1:23">
      <c r="A609" s="6" t="str">
        <f ca="1">IFERROR(__xludf.DUMMYFUNCTION("""COMPUTED_VALUE"""),"Man, Man, Woman")</f>
        <v>Man, Man, Woman</v>
      </c>
      <c r="B609" s="6" t="str">
        <f ca="1">IFERROR(__xludf.DUMMYFUNCTION("""COMPUTED_VALUE"""),"GlucoActive _2022")</f>
        <v>GlucoActive _2022</v>
      </c>
      <c r="C609" s="6" t="str">
        <f ca="1">IFERROR(__xludf.DUMMYFUNCTION("""COMPUTED_VALUE"""),"Deep Tech")</f>
        <v>Deep Tech</v>
      </c>
      <c r="D609" s="6" t="str">
        <f ca="1">IFERROR(__xludf.DUMMYFUNCTION("""COMPUTED_VALUE"""),"Wroclaw, Dolnyslask 
Poland")</f>
        <v>Wroclaw, Dolnyslask 
Poland</v>
      </c>
      <c r="E609" s="6" t="str">
        <f ca="1">IFERROR(__xludf.DUMMYFUNCTION("""COMPUTED_VALUE"""),"International - Europe")</f>
        <v>International - Europe</v>
      </c>
      <c r="F609" s="6" t="str">
        <f ca="1">IFERROR(__xludf.DUMMYFUNCTION("""COMPUTED_VALUE"""),"Man")</f>
        <v>Man</v>
      </c>
      <c r="G609" s="6" t="str">
        <f ca="1">IFERROR(__xludf.DUMMYFUNCTION("""COMPUTED_VALUE"""),"Man")</f>
        <v>Man</v>
      </c>
      <c r="H609" s="6" t="str">
        <f ca="1">IFERROR(__xludf.DUMMYFUNCTION("""COMPUTED_VALUE"""),"Woman")</f>
        <v>Woman</v>
      </c>
      <c r="I609" s="6"/>
      <c r="J609" s="6"/>
      <c r="K609" s="6"/>
      <c r="L609" s="6" t="str">
        <f ca="1">IFERROR(__xludf.DUMMYFUNCTION("""COMPUTED_VALUE"""),"--Please select--")</f>
        <v>--Please select--</v>
      </c>
      <c r="M609" s="6"/>
      <c r="N609" s="6"/>
      <c r="O609" s="6" t="str">
        <f ca="1">IFERROR(__xludf.DUMMYFUNCTION("""COMPUTED_VALUE"""),"Email")</f>
        <v>Email</v>
      </c>
      <c r="P609" s="6"/>
      <c r="Q609" s="6" t="str">
        <f ca="1">IFERROR(__xludf.DUMMYFUNCTION("""COMPUTED_VALUE"""),"No")</f>
        <v>No</v>
      </c>
      <c r="R609" s="6">
        <f ca="1">IFERROR(__xludf.DUMMYFUNCTION("""COMPUTED_VALUE"""),3)</f>
        <v>3</v>
      </c>
      <c r="S609" s="6" t="str">
        <f ca="1">IFERROR(__xludf.DUMMYFUNCTION("""COMPUTED_VALUE"""),"Pre-seed
Seed
Bridge
Grants")</f>
        <v>Pre-seed
Seed
Bridge
Grants</v>
      </c>
      <c r="T609" s="6" t="str">
        <f ca="1">IFERROR(__xludf.DUMMYFUNCTION("""COMPUTED_VALUE"""),"Pre-seed, Seed, Bridge, Grants")</f>
        <v>Pre-seed, Seed, Bridge, Grants</v>
      </c>
      <c r="U609" s="6" t="str">
        <f ca="1">IFERROR(__xludf.DUMMYFUNCTION("""COMPUTED_VALUE"""),"Pre-seed, Seed, Bridge, Grants")</f>
        <v>Pre-seed, Seed, Bridge, Grants</v>
      </c>
      <c r="V609" s="6"/>
      <c r="W609" s="6" t="str">
        <f ca="1">IFERROR(__xludf.DUMMYFUNCTION("""COMPUTED_VALUE"""),"Invite Next Year")</f>
        <v>Invite Next Year</v>
      </c>
    </row>
    <row r="610" spans="1:23">
      <c r="A610" s="6" t="str">
        <f ca="1">IFERROR(__xludf.DUMMYFUNCTION("""COMPUTED_VALUE"""),"Man, Man, Woman")</f>
        <v>Man, Man, Woman</v>
      </c>
      <c r="B610" s="6" t="str">
        <f ca="1">IFERROR(__xludf.DUMMYFUNCTION("""COMPUTED_VALUE"""),"Aerovoyance Inc _2022")</f>
        <v>Aerovoyance Inc _2022</v>
      </c>
      <c r="C610" s="6" t="str">
        <f ca="1">IFERROR(__xludf.DUMMYFUNCTION("""COMPUTED_VALUE"""),"Deep Tech")</f>
        <v>Deep Tech</v>
      </c>
      <c r="D610" s="6" t="str">
        <f ca="1">IFERROR(__xludf.DUMMYFUNCTION("""COMPUTED_VALUE"""),"Voorheesville, NEW YORK 
United States")</f>
        <v>Voorheesville, NEW YORK 
United States</v>
      </c>
      <c r="E610" s="6" t="str">
        <f ca="1">IFERROR(__xludf.DUMMYFUNCTION("""COMPUTED_VALUE"""),"East Coast")</f>
        <v>East Coast</v>
      </c>
      <c r="F610" s="6" t="str">
        <f ca="1">IFERROR(__xludf.DUMMYFUNCTION("""COMPUTED_VALUE"""),"Man")</f>
        <v>Man</v>
      </c>
      <c r="G610" s="6" t="str">
        <f ca="1">IFERROR(__xludf.DUMMYFUNCTION("""COMPUTED_VALUE"""),"Man")</f>
        <v>Man</v>
      </c>
      <c r="H610" s="6" t="str">
        <f ca="1">IFERROR(__xludf.DUMMYFUNCTION("""COMPUTED_VALUE"""),"Woman")</f>
        <v>Woman</v>
      </c>
      <c r="I610" s="6"/>
      <c r="J610" s="6"/>
      <c r="K610" s="6"/>
      <c r="L610" s="6" t="str">
        <f ca="1">IFERROR(__xludf.DUMMYFUNCTION("""COMPUTED_VALUE"""),"No")</f>
        <v>No</v>
      </c>
      <c r="M610" s="6"/>
      <c r="N610" s="6"/>
      <c r="O610" s="6" t="str">
        <f ca="1">IFERROR(__xludf.DUMMYFUNCTION("""COMPUTED_VALUE"""),"Referral")</f>
        <v>Referral</v>
      </c>
      <c r="P610" s="6"/>
      <c r="Q610" s="6" t="str">
        <f ca="1">IFERROR(__xludf.DUMMYFUNCTION("""COMPUTED_VALUE"""),"No")</f>
        <v>No</v>
      </c>
      <c r="R610" s="6">
        <f ca="1">IFERROR(__xludf.DUMMYFUNCTION("""COMPUTED_VALUE"""),3)</f>
        <v>3</v>
      </c>
      <c r="S610" s="6" t="str">
        <f ca="1">IFERROR(__xludf.DUMMYFUNCTION("""COMPUTED_VALUE"""),"Pre-seed")</f>
        <v>Pre-seed</v>
      </c>
      <c r="T610" s="6" t="str">
        <f ca="1">IFERROR(__xludf.DUMMYFUNCTION("""COMPUTED_VALUE"""),"Pre-seed")</f>
        <v>Pre-seed</v>
      </c>
      <c r="U610" s="6" t="str">
        <f ca="1">IFERROR(__xludf.DUMMYFUNCTION("""COMPUTED_VALUE"""),"Pre-seed")</f>
        <v>Pre-seed</v>
      </c>
      <c r="V610" s="6"/>
      <c r="W610" s="6" t="str">
        <f ca="1">IFERROR(__xludf.DUMMYFUNCTION("""COMPUTED_VALUE"""),"Invite Next Year")</f>
        <v>Invite Next Year</v>
      </c>
    </row>
    <row r="611" spans="1:23">
      <c r="A611" s="6" t="str">
        <f ca="1">IFERROR(__xludf.DUMMYFUNCTION("""COMPUTED_VALUE"""),"Woman, Woman, Man, Woman")</f>
        <v>Woman, Woman, Man, Woman</v>
      </c>
      <c r="B611" s="6" t="str">
        <f ca="1">IFERROR(__xludf.DUMMYFUNCTION("""COMPUTED_VALUE"""),"Kresko RNAtech _2022")</f>
        <v>Kresko RNAtech _2022</v>
      </c>
      <c r="C611" s="6" t="str">
        <f ca="1">IFERROR(__xludf.DUMMYFUNCTION("""COMPUTED_VALUE"""),"Life Sciences")</f>
        <v>Life Sciences</v>
      </c>
      <c r="D611" s="6" t="str">
        <f ca="1">IFERROR(__xludf.DUMMYFUNCTION("""COMPUTED_VALUE"""),"251 Little Falls Dr, Delaware 
United States")</f>
        <v>251 Little Falls Dr, Delaware 
United States</v>
      </c>
      <c r="E611" s="6" t="str">
        <f ca="1">IFERROR(__xludf.DUMMYFUNCTION("""COMPUTED_VALUE"""),"East Coast")</f>
        <v>East Coast</v>
      </c>
      <c r="F611" s="6" t="str">
        <f ca="1">IFERROR(__xludf.DUMMYFUNCTION("""COMPUTED_VALUE"""),"Woman")</f>
        <v>Woman</v>
      </c>
      <c r="G611" s="6" t="str">
        <f ca="1">IFERROR(__xludf.DUMMYFUNCTION("""COMPUTED_VALUE"""),"Woman")</f>
        <v>Woman</v>
      </c>
      <c r="H611" s="6" t="str">
        <f ca="1">IFERROR(__xludf.DUMMYFUNCTION("""COMPUTED_VALUE"""),"Man")</f>
        <v>Man</v>
      </c>
      <c r="I611" s="6" t="str">
        <f ca="1">IFERROR(__xludf.DUMMYFUNCTION("""COMPUTED_VALUE"""),"Woman")</f>
        <v>Woman</v>
      </c>
      <c r="J611" s="6"/>
      <c r="K611" s="6"/>
      <c r="L611" s="6" t="str">
        <f ca="1">IFERROR(__xludf.DUMMYFUNCTION("""COMPUTED_VALUE"""),"No")</f>
        <v>No</v>
      </c>
      <c r="M611" s="6"/>
      <c r="N611" s="6"/>
      <c r="O611" s="6" t="str">
        <f ca="1">IFERROR(__xludf.DUMMYFUNCTION("""COMPUTED_VALUE"""),"Referral")</f>
        <v>Referral</v>
      </c>
      <c r="P611" s="6"/>
      <c r="Q611" s="6" t="str">
        <f ca="1">IFERROR(__xludf.DUMMYFUNCTION("""COMPUTED_VALUE"""),"No")</f>
        <v>No</v>
      </c>
      <c r="R611" s="6">
        <f ca="1">IFERROR(__xludf.DUMMYFUNCTION("""COMPUTED_VALUE"""),4)</f>
        <v>4</v>
      </c>
      <c r="S611" s="6" t="str">
        <f ca="1">IFERROR(__xludf.DUMMYFUNCTION("""COMPUTED_VALUE"""),"Pre-seed")</f>
        <v>Pre-seed</v>
      </c>
      <c r="T611" s="6" t="str">
        <f ca="1">IFERROR(__xludf.DUMMYFUNCTION("""COMPUTED_VALUE"""),"Pre-seed")</f>
        <v>Pre-seed</v>
      </c>
      <c r="U611" s="6" t="str">
        <f ca="1">IFERROR(__xludf.DUMMYFUNCTION("""COMPUTED_VALUE"""),"Pre-seed")</f>
        <v>Pre-seed</v>
      </c>
      <c r="V611" s="6"/>
      <c r="W611" s="6" t="str">
        <f ca="1">IFERROR(__xludf.DUMMYFUNCTION("""COMPUTED_VALUE"""),"Special Reject")</f>
        <v>Special Reject</v>
      </c>
    </row>
    <row r="612" spans="1:23">
      <c r="A612" s="6" t="str">
        <f ca="1">IFERROR(__xludf.DUMMYFUNCTION("""COMPUTED_VALUE"""),"Man, Woman")</f>
        <v>Man, Woman</v>
      </c>
      <c r="B612" s="6" t="str">
        <f ca="1">IFERROR(__xludf.DUMMYFUNCTION("""COMPUTED_VALUE"""),"Rivet _2022")</f>
        <v>Rivet _2022</v>
      </c>
      <c r="C612" s="6" t="str">
        <f ca="1">IFERROR(__xludf.DUMMYFUNCTION("""COMPUTED_VALUE"""),"Digital Tech")</f>
        <v>Digital Tech</v>
      </c>
      <c r="D612" s="6" t="str">
        <f ca="1">IFERROR(__xludf.DUMMYFUNCTION("""COMPUTED_VALUE"""),"42 Whitman Street, Somerville, Massachusetts 
United States")</f>
        <v>42 Whitman Street, Somerville, Massachusetts 
United States</v>
      </c>
      <c r="E612" s="6" t="str">
        <f ca="1">IFERROR(__xludf.DUMMYFUNCTION("""COMPUTED_VALUE"""),"East Coast")</f>
        <v>East Coast</v>
      </c>
      <c r="F612" s="6" t="str">
        <f ca="1">IFERROR(__xludf.DUMMYFUNCTION("""COMPUTED_VALUE"""),"Man")</f>
        <v>Man</v>
      </c>
      <c r="G612" s="6" t="str">
        <f ca="1">IFERROR(__xludf.DUMMYFUNCTION("""COMPUTED_VALUE"""),"Woman")</f>
        <v>Woman</v>
      </c>
      <c r="H612" s="6"/>
      <c r="I612" s="6"/>
      <c r="J612" s="6"/>
      <c r="K612" s="6"/>
      <c r="L612" s="6" t="str">
        <f ca="1">IFERROR(__xludf.DUMMYFUNCTION("""COMPUTED_VALUE"""),"--Please select--")</f>
        <v>--Please select--</v>
      </c>
      <c r="M612" s="6"/>
      <c r="N612" s="6"/>
      <c r="O612" s="6" t="str">
        <f ca="1">IFERROR(__xludf.DUMMYFUNCTION("""COMPUTED_VALUE"""),"Referral")</f>
        <v>Referral</v>
      </c>
      <c r="P612" s="6"/>
      <c r="Q612" s="6" t="str">
        <f ca="1">IFERROR(__xludf.DUMMYFUNCTION("""COMPUTED_VALUE"""),"No")</f>
        <v>No</v>
      </c>
      <c r="R612" s="6">
        <f ca="1">IFERROR(__xludf.DUMMYFUNCTION("""COMPUTED_VALUE"""),2)</f>
        <v>2</v>
      </c>
      <c r="S612" s="6" t="str">
        <f ca="1">IFERROR(__xludf.DUMMYFUNCTION("""COMPUTED_VALUE"""),"Pre-seed")</f>
        <v>Pre-seed</v>
      </c>
      <c r="T612" s="6" t="str">
        <f ca="1">IFERROR(__xludf.DUMMYFUNCTION("""COMPUTED_VALUE"""),"Pre-seed")</f>
        <v>Pre-seed</v>
      </c>
      <c r="U612" s="6" t="str">
        <f ca="1">IFERROR(__xludf.DUMMYFUNCTION("""COMPUTED_VALUE"""),"Pre-seed")</f>
        <v>Pre-seed</v>
      </c>
      <c r="V612" s="6"/>
      <c r="W612" s="6" t="str">
        <f ca="1">IFERROR(__xludf.DUMMYFUNCTION("""COMPUTED_VALUE"""),"Invite Next Year")</f>
        <v>Invite Next Year</v>
      </c>
    </row>
    <row r="613" spans="1:23">
      <c r="A613" s="6" t="str">
        <f ca="1">IFERROR(__xludf.DUMMYFUNCTION("""COMPUTED_VALUE"""),"Man, Woman, Woman, Man")</f>
        <v>Man, Woman, Woman, Man</v>
      </c>
      <c r="B613" s="6" t="str">
        <f ca="1">IFERROR(__xludf.DUMMYFUNCTION("""COMPUTED_VALUE"""),"Kluero _2022")</f>
        <v>Kluero _2022</v>
      </c>
      <c r="C613" s="6" t="str">
        <f ca="1">IFERROR(__xludf.DUMMYFUNCTION("""COMPUTED_VALUE"""),"Digital Tech")</f>
        <v>Digital Tech</v>
      </c>
      <c r="D613" s="6" t="str">
        <f ca="1">IFERROR(__xludf.DUMMYFUNCTION("""COMPUTED_VALUE"""),"Göteborg, Västra Götaland 
Sweden")</f>
        <v>Göteborg, Västra Götaland 
Sweden</v>
      </c>
      <c r="E613" s="6" t="str">
        <f ca="1">IFERROR(__xludf.DUMMYFUNCTION("""COMPUTED_VALUE"""),"International - Europe")</f>
        <v>International - Europe</v>
      </c>
      <c r="F613" s="6" t="str">
        <f ca="1">IFERROR(__xludf.DUMMYFUNCTION("""COMPUTED_VALUE"""),"Man")</f>
        <v>Man</v>
      </c>
      <c r="G613" s="6" t="str">
        <f ca="1">IFERROR(__xludf.DUMMYFUNCTION("""COMPUTED_VALUE"""),"Woman")</f>
        <v>Woman</v>
      </c>
      <c r="H613" s="6" t="str">
        <f ca="1">IFERROR(__xludf.DUMMYFUNCTION("""COMPUTED_VALUE"""),"Woman")</f>
        <v>Woman</v>
      </c>
      <c r="I613" s="6" t="str">
        <f ca="1">IFERROR(__xludf.DUMMYFUNCTION("""COMPUTED_VALUE"""),"Man")</f>
        <v>Man</v>
      </c>
      <c r="J613" s="6"/>
      <c r="K613" s="6"/>
      <c r="L613" s="6" t="str">
        <f ca="1">IFERROR(__xludf.DUMMYFUNCTION("""COMPUTED_VALUE"""),"No")</f>
        <v>No</v>
      </c>
      <c r="M613" s="6"/>
      <c r="N613" s="6"/>
      <c r="O613" s="6" t="str">
        <f ca="1">IFERROR(__xludf.DUMMYFUNCTION("""COMPUTED_VALUE"""),"Email")</f>
        <v>Email</v>
      </c>
      <c r="P613" s="6"/>
      <c r="Q613" s="6" t="str">
        <f ca="1">IFERROR(__xludf.DUMMYFUNCTION("""COMPUTED_VALUE"""),"No")</f>
        <v>No</v>
      </c>
      <c r="R613" s="6">
        <f ca="1">IFERROR(__xludf.DUMMYFUNCTION("""COMPUTED_VALUE"""),4)</f>
        <v>4</v>
      </c>
      <c r="S613" s="6" t="str">
        <f ca="1">IFERROR(__xludf.DUMMYFUNCTION("""COMPUTED_VALUE"""),"Pre-seed
Grants")</f>
        <v>Pre-seed
Grants</v>
      </c>
      <c r="T613" s="6" t="str">
        <f ca="1">IFERROR(__xludf.DUMMYFUNCTION("""COMPUTED_VALUE"""),"Pre-seed, Grants")</f>
        <v>Pre-seed, Grants</v>
      </c>
      <c r="U613" s="6" t="str">
        <f ca="1">IFERROR(__xludf.DUMMYFUNCTION("""COMPUTED_VALUE"""),"Pre-seed, Grants")</f>
        <v>Pre-seed, Grants</v>
      </c>
      <c r="V613" s="6"/>
      <c r="W613" s="6" t="str">
        <f ca="1">IFERROR(__xludf.DUMMYFUNCTION("""COMPUTED_VALUE"""),"Invite Next Year")</f>
        <v>Invite Next Year</v>
      </c>
    </row>
    <row r="614" spans="1:23">
      <c r="A614" s="6" t="str">
        <f ca="1">IFERROR(__xludf.DUMMYFUNCTION("""COMPUTED_VALUE"""),"Man, Woman, Woman, Man, Man")</f>
        <v>Man, Woman, Woman, Man, Man</v>
      </c>
      <c r="B614" s="6" t="str">
        <f ca="1">IFERROR(__xludf.DUMMYFUNCTION("""COMPUTED_VALUE"""),"ChargeNet Holdings _2022")</f>
        <v>ChargeNet Holdings _2022</v>
      </c>
      <c r="C614" s="6" t="str">
        <f ca="1">IFERROR(__xludf.DUMMYFUNCTION("""COMPUTED_VALUE"""),"Deep Tech")</f>
        <v>Deep Tech</v>
      </c>
      <c r="D614" s="6" t="str">
        <f ca="1">IFERROR(__xludf.DUMMYFUNCTION("""COMPUTED_VALUE"""),"San Diego, California 
United States")</f>
        <v>San Diego, California 
United States</v>
      </c>
      <c r="E614" s="6" t="str">
        <f ca="1">IFERROR(__xludf.DUMMYFUNCTION("""COMPUTED_VALUE"""),"West Coast")</f>
        <v>West Coast</v>
      </c>
      <c r="F614" s="6" t="str">
        <f ca="1">IFERROR(__xludf.DUMMYFUNCTION("""COMPUTED_VALUE"""),"Man")</f>
        <v>Man</v>
      </c>
      <c r="G614" s="6" t="str">
        <f ca="1">IFERROR(__xludf.DUMMYFUNCTION("""COMPUTED_VALUE"""),"Woman")</f>
        <v>Woman</v>
      </c>
      <c r="H614" s="6" t="str">
        <f ca="1">IFERROR(__xludf.DUMMYFUNCTION("""COMPUTED_VALUE"""),"Woman")</f>
        <v>Woman</v>
      </c>
      <c r="I614" s="6" t="str">
        <f ca="1">IFERROR(__xludf.DUMMYFUNCTION("""COMPUTED_VALUE"""),"Man")</f>
        <v>Man</v>
      </c>
      <c r="J614" s="6" t="str">
        <f ca="1">IFERROR(__xludf.DUMMYFUNCTION("""COMPUTED_VALUE"""),"Man")</f>
        <v>Man</v>
      </c>
      <c r="K614" s="6"/>
      <c r="L614" s="6" t="str">
        <f ca="1">IFERROR(__xludf.DUMMYFUNCTION("""COMPUTED_VALUE"""),"No")</f>
        <v>No</v>
      </c>
      <c r="M614" s="6"/>
      <c r="N614" s="6"/>
      <c r="O614" s="6" t="str">
        <f ca="1">IFERROR(__xludf.DUMMYFUNCTION("""COMPUTED_VALUE"""),"Email")</f>
        <v>Email</v>
      </c>
      <c r="P614" s="6"/>
      <c r="Q614" s="6" t="str">
        <f ca="1">IFERROR(__xludf.DUMMYFUNCTION("""COMPUTED_VALUE"""),"No")</f>
        <v>No</v>
      </c>
      <c r="R614" s="6">
        <f ca="1">IFERROR(__xludf.DUMMYFUNCTION("""COMPUTED_VALUE"""),5)</f>
        <v>5</v>
      </c>
      <c r="S614" s="6" t="str">
        <f ca="1">IFERROR(__xludf.DUMMYFUNCTION("""COMPUTED_VALUE"""),"Pre-seed
Seed")</f>
        <v>Pre-seed
Seed</v>
      </c>
      <c r="T614" s="6" t="str">
        <f ca="1">IFERROR(__xludf.DUMMYFUNCTION("""COMPUTED_VALUE"""),"Pre-seed, Seed")</f>
        <v>Pre-seed, Seed</v>
      </c>
      <c r="U614" s="6" t="str">
        <f ca="1">IFERROR(__xludf.DUMMYFUNCTION("""COMPUTED_VALUE"""),"Pre-seed, Seed")</f>
        <v>Pre-seed, Seed</v>
      </c>
      <c r="V614" s="6"/>
      <c r="W614" s="6" t="str">
        <f ca="1">IFERROR(__xludf.DUMMYFUNCTION("""COMPUTED_VALUE"""),"Invite")</f>
        <v>Invite</v>
      </c>
    </row>
    <row r="615" spans="1:23">
      <c r="A615" s="6" t="str">
        <f ca="1">IFERROR(__xludf.DUMMYFUNCTION("""COMPUTED_VALUE"""),"Man")</f>
        <v>Man</v>
      </c>
      <c r="B615" s="6" t="str">
        <f ca="1">IFERROR(__xludf.DUMMYFUNCTION("""COMPUTED_VALUE"""),"48 Hour Discovery Inc. _2022")</f>
        <v>48 Hour Discovery Inc. _2022</v>
      </c>
      <c r="C615" s="6" t="str">
        <f ca="1">IFERROR(__xludf.DUMMYFUNCTION("""COMPUTED_VALUE"""),"Life Sciences")</f>
        <v>Life Sciences</v>
      </c>
      <c r="D615" s="6" t="str">
        <f ca="1">IFERROR(__xludf.DUMMYFUNCTION("""COMPUTED_VALUE"""),"11421 Saskatchewan Drive NW, Edmonton, AB T6G 2M9, Alberta 
Canada")</f>
        <v>11421 Saskatchewan Drive NW, Edmonton, AB T6G 2M9, Alberta 
Canada</v>
      </c>
      <c r="E615" s="6" t="str">
        <f ca="1">IFERROR(__xludf.DUMMYFUNCTION("""COMPUTED_VALUE"""),"International - Americas")</f>
        <v>International - Americas</v>
      </c>
      <c r="F615" s="6" t="str">
        <f ca="1">IFERROR(__xludf.DUMMYFUNCTION("""COMPUTED_VALUE"""),"Man")</f>
        <v>Man</v>
      </c>
      <c r="G615" s="6"/>
      <c r="H615" s="6"/>
      <c r="I615" s="6"/>
      <c r="J615" s="6"/>
      <c r="K615" s="6"/>
      <c r="L615" s="6" t="str">
        <f ca="1">IFERROR(__xludf.DUMMYFUNCTION("""COMPUTED_VALUE"""),"No")</f>
        <v>No</v>
      </c>
      <c r="M615" s="6"/>
      <c r="N615" s="6"/>
      <c r="O615" s="6" t="str">
        <f ca="1">IFERROR(__xludf.DUMMYFUNCTION("""COMPUTED_VALUE"""),"Email")</f>
        <v>Email</v>
      </c>
      <c r="P615" s="6"/>
      <c r="Q615" s="6" t="str">
        <f ca="1">IFERROR(__xludf.DUMMYFUNCTION("""COMPUTED_VALUE"""),"No")</f>
        <v>No</v>
      </c>
      <c r="R615" s="6">
        <f ca="1">IFERROR(__xludf.DUMMYFUNCTION("""COMPUTED_VALUE"""),1)</f>
        <v>1</v>
      </c>
      <c r="S615" s="6" t="str">
        <f ca="1">IFERROR(__xludf.DUMMYFUNCTION("""COMPUTED_VALUE"""),"Pre-seed")</f>
        <v>Pre-seed</v>
      </c>
      <c r="T615" s="6" t="str">
        <f ca="1">IFERROR(__xludf.DUMMYFUNCTION("""COMPUTED_VALUE"""),"Pre-seed")</f>
        <v>Pre-seed</v>
      </c>
      <c r="U615" s="6" t="str">
        <f ca="1">IFERROR(__xludf.DUMMYFUNCTION("""COMPUTED_VALUE"""),"Pre-seed")</f>
        <v>Pre-seed</v>
      </c>
      <c r="V615" s="6"/>
      <c r="W615" s="6" t="str">
        <f ca="1">IFERROR(__xludf.DUMMYFUNCTION("""COMPUTED_VALUE"""),"Invite")</f>
        <v>Invite</v>
      </c>
    </row>
    <row r="616" spans="1:23">
      <c r="A616" s="6" t="str">
        <f ca="1">IFERROR(__xludf.DUMMYFUNCTION("""COMPUTED_VALUE"""),"Man, Man")</f>
        <v>Man, Man</v>
      </c>
      <c r="B616" s="6" t="str">
        <f ca="1">IFERROR(__xludf.DUMMYFUNCTION("""COMPUTED_VALUE"""),"UpBeing Inc. _2022")</f>
        <v>UpBeing Inc. _2022</v>
      </c>
      <c r="C616" s="6" t="str">
        <f ca="1">IFERROR(__xludf.DUMMYFUNCTION("""COMPUTED_VALUE"""),"Digital Tech")</f>
        <v>Digital Tech</v>
      </c>
      <c r="D616" s="6" t="str">
        <f ca="1">IFERROR(__xludf.DUMMYFUNCTION("""COMPUTED_VALUE"""),"Toronto, Ontario 
Canada")</f>
        <v>Toronto, Ontario 
Canada</v>
      </c>
      <c r="E616" s="6" t="str">
        <f ca="1">IFERROR(__xludf.DUMMYFUNCTION("""COMPUTED_VALUE"""),"International - Americas")</f>
        <v>International - Americas</v>
      </c>
      <c r="F616" s="6" t="str">
        <f ca="1">IFERROR(__xludf.DUMMYFUNCTION("""COMPUTED_VALUE"""),"Man")</f>
        <v>Man</v>
      </c>
      <c r="G616" s="6" t="str">
        <f ca="1">IFERROR(__xludf.DUMMYFUNCTION("""COMPUTED_VALUE"""),"Man")</f>
        <v>Man</v>
      </c>
      <c r="H616" s="6"/>
      <c r="I616" s="6"/>
      <c r="J616" s="6"/>
      <c r="K616" s="6"/>
      <c r="L616" s="6" t="str">
        <f ca="1">IFERROR(__xludf.DUMMYFUNCTION("""COMPUTED_VALUE"""),"--Please select--")</f>
        <v>--Please select--</v>
      </c>
      <c r="M616" s="6"/>
      <c r="N616" s="6"/>
      <c r="O616" s="6" t="str">
        <f ca="1">IFERROR(__xludf.DUMMYFUNCTION("""COMPUTED_VALUE"""),"Info Session")</f>
        <v>Info Session</v>
      </c>
      <c r="P616" s="6"/>
      <c r="Q616" s="6" t="str">
        <f ca="1">IFERROR(__xludf.DUMMYFUNCTION("""COMPUTED_VALUE"""),"No")</f>
        <v>No</v>
      </c>
      <c r="R616" s="6">
        <f ca="1">IFERROR(__xludf.DUMMYFUNCTION("""COMPUTED_VALUE"""),2)</f>
        <v>2</v>
      </c>
      <c r="S616" s="6" t="str">
        <f ca="1">IFERROR(__xludf.DUMMYFUNCTION("""COMPUTED_VALUE"""),"Pre-seed
Other: Friends and Family ($100k CAD)")</f>
        <v>Pre-seed
Other: Friends and Family ($100k CAD)</v>
      </c>
      <c r="T616" s="6" t="str">
        <f ca="1">IFERROR(__xludf.DUMMYFUNCTION("""COMPUTED_VALUE"""),"Pre-seed, Other: Friends and Family ($100k CAD)")</f>
        <v>Pre-seed, Other: Friends and Family ($100k CAD)</v>
      </c>
      <c r="U616" s="6" t="str">
        <f ca="1">IFERROR(__xludf.DUMMYFUNCTION("""COMPUTED_VALUE"""),"Pre-seed, ")</f>
        <v xml:space="preserve">Pre-seed, </v>
      </c>
      <c r="V616" s="6" t="str">
        <f ca="1">IFERROR(__xludf.DUMMYFUNCTION("""COMPUTED_VALUE"""),"Friends and Family ($100k CAD)")</f>
        <v>Friends and Family ($100k CAD)</v>
      </c>
      <c r="W616" s="6" t="str">
        <f ca="1">IFERROR(__xludf.DUMMYFUNCTION("""COMPUTED_VALUE"""),"Invite")</f>
        <v>Invite</v>
      </c>
    </row>
    <row r="617" spans="1:23">
      <c r="A617" s="6" t="str">
        <f ca="1">IFERROR(__xludf.DUMMYFUNCTION("""COMPUTED_VALUE"""),"Woman, Man, Man")</f>
        <v>Woman, Man, Man</v>
      </c>
      <c r="B617" s="6" t="str">
        <f ca="1">IFERROR(__xludf.DUMMYFUNCTION("""COMPUTED_VALUE"""),"WeVoice, SL _2022")</f>
        <v>WeVoice, SL _2022</v>
      </c>
      <c r="C617" s="6" t="str">
        <f ca="1">IFERROR(__xludf.DUMMYFUNCTION("""COMPUTED_VALUE"""),"Digital Tech")</f>
        <v>Digital Tech</v>
      </c>
      <c r="D617" s="6" t="str">
        <f ca="1">IFERROR(__xludf.DUMMYFUNCTION("""COMPUTED_VALUE"""),"Valencia, Valencia 
Spain")</f>
        <v>Valencia, Valencia 
Spain</v>
      </c>
      <c r="E617" s="6" t="str">
        <f ca="1">IFERROR(__xludf.DUMMYFUNCTION("""COMPUTED_VALUE"""),"International - Europe")</f>
        <v>International - Europe</v>
      </c>
      <c r="F617" s="6" t="str">
        <f ca="1">IFERROR(__xludf.DUMMYFUNCTION("""COMPUTED_VALUE"""),"Woman")</f>
        <v>Woman</v>
      </c>
      <c r="G617" s="6" t="str">
        <f ca="1">IFERROR(__xludf.DUMMYFUNCTION("""COMPUTED_VALUE"""),"Man")</f>
        <v>Man</v>
      </c>
      <c r="H617" s="6" t="str">
        <f ca="1">IFERROR(__xludf.DUMMYFUNCTION("""COMPUTED_VALUE"""),"Man")</f>
        <v>Man</v>
      </c>
      <c r="I617" s="6"/>
      <c r="J617" s="6"/>
      <c r="K617" s="6"/>
      <c r="L617" s="6" t="str">
        <f ca="1">IFERROR(__xludf.DUMMYFUNCTION("""COMPUTED_VALUE"""),"No")</f>
        <v>No</v>
      </c>
      <c r="M617" s="6"/>
      <c r="N617" s="6"/>
      <c r="O617" s="6" t="str">
        <f ca="1">IFERROR(__xludf.DUMMYFUNCTION("""COMPUTED_VALUE"""),"Email")</f>
        <v>Email</v>
      </c>
      <c r="P617" s="6"/>
      <c r="Q617" s="6" t="str">
        <f ca="1">IFERROR(__xludf.DUMMYFUNCTION("""COMPUTED_VALUE"""),"No")</f>
        <v>No</v>
      </c>
      <c r="R617" s="6">
        <f ca="1">IFERROR(__xludf.DUMMYFUNCTION("""COMPUTED_VALUE"""),3)</f>
        <v>3</v>
      </c>
      <c r="S617" s="6" t="str">
        <f ca="1">IFERROR(__xludf.DUMMYFUNCTION("""COMPUTED_VALUE"""),"Pre-seed")</f>
        <v>Pre-seed</v>
      </c>
      <c r="T617" s="6" t="str">
        <f ca="1">IFERROR(__xludf.DUMMYFUNCTION("""COMPUTED_VALUE"""),"Pre-seed")</f>
        <v>Pre-seed</v>
      </c>
      <c r="U617" s="6" t="str">
        <f ca="1">IFERROR(__xludf.DUMMYFUNCTION("""COMPUTED_VALUE"""),"Pre-seed")</f>
        <v>Pre-seed</v>
      </c>
      <c r="V617" s="6"/>
      <c r="W617" s="6" t="str">
        <f ca="1">IFERROR(__xludf.DUMMYFUNCTION("""COMPUTED_VALUE"""),"Invite Next Year")</f>
        <v>Invite Next Year</v>
      </c>
    </row>
    <row r="618" spans="1:23">
      <c r="A618" s="6" t="str">
        <f ca="1">IFERROR(__xludf.DUMMYFUNCTION("""COMPUTED_VALUE"""),"Man, Woman, Man")</f>
        <v>Man, Woman, Man</v>
      </c>
      <c r="B618" s="6" t="str">
        <f ca="1">IFERROR(__xludf.DUMMYFUNCTION("""COMPUTED_VALUE"""),"mPOD, Inc. _2022")</f>
        <v>mPOD, Inc. _2022</v>
      </c>
      <c r="C618" s="6" t="str">
        <f ca="1">IFERROR(__xludf.DUMMYFUNCTION("""COMPUTED_VALUE"""),"Digital Tech")</f>
        <v>Digital Tech</v>
      </c>
      <c r="D618" s="6" t="str">
        <f ca="1">IFERROR(__xludf.DUMMYFUNCTION("""COMPUTED_VALUE"""),"101 Avenue of the Americas, New York 
United States")</f>
        <v>101 Avenue of the Americas, New York 
United States</v>
      </c>
      <c r="E618" s="6" t="str">
        <f ca="1">IFERROR(__xludf.DUMMYFUNCTION("""COMPUTED_VALUE"""),"New York")</f>
        <v>New York</v>
      </c>
      <c r="F618" s="6" t="str">
        <f ca="1">IFERROR(__xludf.DUMMYFUNCTION("""COMPUTED_VALUE"""),"Man")</f>
        <v>Man</v>
      </c>
      <c r="G618" s="6" t="str">
        <f ca="1">IFERROR(__xludf.DUMMYFUNCTION("""COMPUTED_VALUE"""),"Woman")</f>
        <v>Woman</v>
      </c>
      <c r="H618" s="6" t="str">
        <f ca="1">IFERROR(__xludf.DUMMYFUNCTION("""COMPUTED_VALUE"""),"Man")</f>
        <v>Man</v>
      </c>
      <c r="I618" s="6"/>
      <c r="J618" s="6"/>
      <c r="K618" s="6"/>
      <c r="L618" s="6" t="str">
        <f ca="1">IFERROR(__xludf.DUMMYFUNCTION("""COMPUTED_VALUE"""),"No")</f>
        <v>No</v>
      </c>
      <c r="M618" s="6"/>
      <c r="N618" s="6"/>
      <c r="O618" s="6" t="str">
        <f ca="1">IFERROR(__xludf.DUMMYFUNCTION("""COMPUTED_VALUE"""),"Referral")</f>
        <v>Referral</v>
      </c>
      <c r="P618" s="6"/>
      <c r="Q618" s="6" t="str">
        <f ca="1">IFERROR(__xludf.DUMMYFUNCTION("""COMPUTED_VALUE"""),"No")</f>
        <v>No</v>
      </c>
      <c r="R618" s="6">
        <f ca="1">IFERROR(__xludf.DUMMYFUNCTION("""COMPUTED_VALUE"""),3)</f>
        <v>3</v>
      </c>
      <c r="S618" s="6" t="str">
        <f ca="1">IFERROR(__xludf.DUMMYFUNCTION("""COMPUTED_VALUE"""),"Pre-seed")</f>
        <v>Pre-seed</v>
      </c>
      <c r="T618" s="6" t="str">
        <f ca="1">IFERROR(__xludf.DUMMYFUNCTION("""COMPUTED_VALUE"""),"Pre-seed")</f>
        <v>Pre-seed</v>
      </c>
      <c r="U618" s="6" t="str">
        <f ca="1">IFERROR(__xludf.DUMMYFUNCTION("""COMPUTED_VALUE"""),"Pre-seed")</f>
        <v>Pre-seed</v>
      </c>
      <c r="V618" s="6"/>
      <c r="W618" s="6" t="str">
        <f ca="1">IFERROR(__xludf.DUMMYFUNCTION("""COMPUTED_VALUE"""),"Invite")</f>
        <v>Invite</v>
      </c>
    </row>
    <row r="619" spans="1:23">
      <c r="A619" s="6" t="str">
        <f ca="1">IFERROR(__xludf.DUMMYFUNCTION("""COMPUTED_VALUE"""),"Man, Woman")</f>
        <v>Man, Woman</v>
      </c>
      <c r="B619" s="6" t="str">
        <f ca="1">IFERROR(__xludf.DUMMYFUNCTION("""COMPUTED_VALUE"""),"Neurometry _2022")</f>
        <v>Neurometry _2022</v>
      </c>
      <c r="C619" s="6" t="str">
        <f ca="1">IFERROR(__xludf.DUMMYFUNCTION("""COMPUTED_VALUE"""),"Digital Tech")</f>
        <v>Digital Tech</v>
      </c>
      <c r="D619" s="6" t="str">
        <f ca="1">IFERROR(__xludf.DUMMYFUNCTION("""COMPUTED_VALUE"""),"71-75 Shelton Street London, London 
United Kingdom")</f>
        <v>71-75 Shelton Street London, London 
United Kingdom</v>
      </c>
      <c r="E619" s="6" t="str">
        <f ca="1">IFERROR(__xludf.DUMMYFUNCTION("""COMPUTED_VALUE"""),"International - Europe")</f>
        <v>International - Europe</v>
      </c>
      <c r="F619" s="6" t="str">
        <f ca="1">IFERROR(__xludf.DUMMYFUNCTION("""COMPUTED_VALUE"""),"Man")</f>
        <v>Man</v>
      </c>
      <c r="G619" s="6" t="str">
        <f ca="1">IFERROR(__xludf.DUMMYFUNCTION("""COMPUTED_VALUE"""),"Woman")</f>
        <v>Woman</v>
      </c>
      <c r="H619" s="6"/>
      <c r="I619" s="6"/>
      <c r="J619" s="6"/>
      <c r="K619" s="6"/>
      <c r="L619" s="6" t="str">
        <f ca="1">IFERROR(__xludf.DUMMYFUNCTION("""COMPUTED_VALUE"""),"Yes")</f>
        <v>Yes</v>
      </c>
      <c r="M619" s="6" t="str">
        <f ca="1">IFERROR(__xludf.DUMMYFUNCTION("""COMPUTED_VALUE"""),"NYU Alumni")</f>
        <v>NYU Alumni</v>
      </c>
      <c r="N619" s="6"/>
      <c r="O619" s="6" t="str">
        <f ca="1">IFERROR(__xludf.DUMMYFUNCTION("""COMPUTED_VALUE"""),"Referral")</f>
        <v>Referral</v>
      </c>
      <c r="P619" s="6"/>
      <c r="Q619" s="6" t="str">
        <f ca="1">IFERROR(__xludf.DUMMYFUNCTION("""COMPUTED_VALUE"""),"No")</f>
        <v>No</v>
      </c>
      <c r="R619" s="6">
        <f ca="1">IFERROR(__xludf.DUMMYFUNCTION("""COMPUTED_VALUE"""),2)</f>
        <v>2</v>
      </c>
      <c r="S619" s="6" t="str">
        <f ca="1">IFERROR(__xludf.DUMMYFUNCTION("""COMPUTED_VALUE"""),"Pre-seed")</f>
        <v>Pre-seed</v>
      </c>
      <c r="T619" s="6" t="str">
        <f ca="1">IFERROR(__xludf.DUMMYFUNCTION("""COMPUTED_VALUE"""),"Pre-seed")</f>
        <v>Pre-seed</v>
      </c>
      <c r="U619" s="6" t="str">
        <f ca="1">IFERROR(__xludf.DUMMYFUNCTION("""COMPUTED_VALUE"""),"Pre-seed")</f>
        <v>Pre-seed</v>
      </c>
      <c r="V619" s="6"/>
      <c r="W619" s="6" t="str">
        <f ca="1">IFERROR(__xludf.DUMMYFUNCTION("""COMPUTED_VALUE"""),"Invite Next Year")</f>
        <v>Invite Next Year</v>
      </c>
    </row>
    <row r="620" spans="1:23">
      <c r="A620" s="6" t="str">
        <f ca="1">IFERROR(__xludf.DUMMYFUNCTION("""COMPUTED_VALUE"""),"Man, Man")</f>
        <v>Man, Man</v>
      </c>
      <c r="B620" s="6" t="str">
        <f ca="1">IFERROR(__xludf.DUMMYFUNCTION("""COMPUTED_VALUE"""),"Is CLEAN AIR Italia S.r.l. _2022")</f>
        <v>Is CLEAN AIR Italia S.r.l. _2022</v>
      </c>
      <c r="C620" s="6" t="str">
        <f ca="1">IFERROR(__xludf.DUMMYFUNCTION("""COMPUTED_VALUE"""),"Deep Tech")</f>
        <v>Deep Tech</v>
      </c>
      <c r="D620" s="6" t="str">
        <f ca="1">IFERROR(__xludf.DUMMYFUNCTION("""COMPUTED_VALUE"""),"Rome, Rome 
Italy")</f>
        <v>Rome, Rome 
Italy</v>
      </c>
      <c r="E620" s="6" t="str">
        <f ca="1">IFERROR(__xludf.DUMMYFUNCTION("""COMPUTED_VALUE"""),"International - Europe")</f>
        <v>International - Europe</v>
      </c>
      <c r="F620" s="6" t="str">
        <f ca="1">IFERROR(__xludf.DUMMYFUNCTION("""COMPUTED_VALUE"""),"Man")</f>
        <v>Man</v>
      </c>
      <c r="G620" s="6" t="str">
        <f ca="1">IFERROR(__xludf.DUMMYFUNCTION("""COMPUTED_VALUE"""),"Man")</f>
        <v>Man</v>
      </c>
      <c r="H620" s="6"/>
      <c r="I620" s="6"/>
      <c r="J620" s="6"/>
      <c r="K620" s="6"/>
      <c r="L620" s="6" t="str">
        <f ca="1">IFERROR(__xludf.DUMMYFUNCTION("""COMPUTED_VALUE"""),"No")</f>
        <v>No</v>
      </c>
      <c r="M620" s="6"/>
      <c r="N620" s="6"/>
      <c r="O620" s="6" t="str">
        <f ca="1">IFERROR(__xludf.DUMMYFUNCTION("""COMPUTED_VALUE"""),"Email")</f>
        <v>Email</v>
      </c>
      <c r="P620" s="6"/>
      <c r="Q620" s="6" t="str">
        <f ca="1">IFERROR(__xludf.DUMMYFUNCTION("""COMPUTED_VALUE"""),"No")</f>
        <v>No</v>
      </c>
      <c r="R620" s="6">
        <f ca="1">IFERROR(__xludf.DUMMYFUNCTION("""COMPUTED_VALUE"""),2)</f>
        <v>2</v>
      </c>
      <c r="S620" s="6" t="str">
        <f ca="1">IFERROR(__xludf.DUMMYFUNCTION("""COMPUTED_VALUE"""),"Seed
Series A
Bridge
Debt financing
Grants")</f>
        <v>Seed
Series A
Bridge
Debt financing
Grants</v>
      </c>
      <c r="T620" s="6" t="str">
        <f ca="1">IFERROR(__xludf.DUMMYFUNCTION("""COMPUTED_VALUE"""),"Seed, Series A, Bridge, Debt financing, Grants")</f>
        <v>Seed, Series A, Bridge, Debt financing, Grants</v>
      </c>
      <c r="U620" s="6" t="str">
        <f ca="1">IFERROR(__xludf.DUMMYFUNCTION("""COMPUTED_VALUE"""),"Seed, Series A, Bridge, Debt financing, Grants")</f>
        <v>Seed, Series A, Bridge, Debt financing, Grants</v>
      </c>
      <c r="V620" s="6"/>
      <c r="W620" s="6" t="str">
        <f ca="1">IFERROR(__xludf.DUMMYFUNCTION("""COMPUTED_VALUE"""),"Revisit/ Cluster")</f>
        <v>Revisit/ Cluster</v>
      </c>
    </row>
    <row r="621" spans="1:23">
      <c r="A621" s="6" t="str">
        <f ca="1">IFERROR(__xludf.DUMMYFUNCTION("""COMPUTED_VALUE"""),"Woman")</f>
        <v>Woman</v>
      </c>
      <c r="B621" s="6" t="str">
        <f ca="1">IFERROR(__xludf.DUMMYFUNCTION("""COMPUTED_VALUE"""),"Street Farms _2022")</f>
        <v>Street Farms _2022</v>
      </c>
      <c r="C621" s="6" t="str">
        <f ca="1">IFERROR(__xludf.DUMMYFUNCTION("""COMPUTED_VALUE"""),"Deep Tech")</f>
        <v>Deep Tech</v>
      </c>
      <c r="D621" s="6" t="str">
        <f ca="1">IFERROR(__xludf.DUMMYFUNCTION("""COMPUTED_VALUE"""),"151 Kent Ave Unit 215 Brooklyn, NY 
United States")</f>
        <v>151 Kent Ave Unit 215 Brooklyn, NY 
United States</v>
      </c>
      <c r="E621" s="6" t="str">
        <f ca="1">IFERROR(__xludf.DUMMYFUNCTION("""COMPUTED_VALUE"""),"New York")</f>
        <v>New York</v>
      </c>
      <c r="F621" s="6" t="str">
        <f ca="1">IFERROR(__xludf.DUMMYFUNCTION("""COMPUTED_VALUE"""),"Woman")</f>
        <v>Woman</v>
      </c>
      <c r="G621" s="6"/>
      <c r="H621" s="6"/>
      <c r="I621" s="6"/>
      <c r="J621" s="6"/>
      <c r="K621" s="6"/>
      <c r="L621" s="6" t="str">
        <f ca="1">IFERROR(__xludf.DUMMYFUNCTION("""COMPUTED_VALUE"""),"Yes")</f>
        <v>Yes</v>
      </c>
      <c r="M621" s="6" t="str">
        <f ca="1">IFERROR(__xludf.DUMMYFUNCTION("""COMPUTED_VALUE"""),"NYU Alumni")</f>
        <v>NYU Alumni</v>
      </c>
      <c r="N621" s="6"/>
      <c r="O621" s="6" t="str">
        <f ca="1">IFERROR(__xludf.DUMMYFUNCTION("""COMPUTED_VALUE"""),"NYU Newsletter")</f>
        <v>NYU Newsletter</v>
      </c>
      <c r="P621" s="6"/>
      <c r="Q621" s="6" t="str">
        <f ca="1">IFERROR(__xludf.DUMMYFUNCTION("""COMPUTED_VALUE"""),"No")</f>
        <v>No</v>
      </c>
      <c r="R621" s="6">
        <f ca="1">IFERROR(__xludf.DUMMYFUNCTION("""COMPUTED_VALUE"""),1)</f>
        <v>1</v>
      </c>
      <c r="S621" s="6" t="str">
        <f ca="1">IFERROR(__xludf.DUMMYFUNCTION("""COMPUTED_VALUE"""),"None")</f>
        <v>None</v>
      </c>
      <c r="T621" s="6" t="str">
        <f ca="1">IFERROR(__xludf.DUMMYFUNCTION("""COMPUTED_VALUE"""),"None")</f>
        <v>None</v>
      </c>
      <c r="U621" s="6" t="str">
        <f ca="1">IFERROR(__xludf.DUMMYFUNCTION("""COMPUTED_VALUE"""),"None")</f>
        <v>None</v>
      </c>
      <c r="V621" s="6"/>
      <c r="W621" s="6" t="str">
        <f ca="1">IFERROR(__xludf.DUMMYFUNCTION("""COMPUTED_VALUE"""),"Invite Next Year")</f>
        <v>Invite Next Year</v>
      </c>
    </row>
    <row r="622" spans="1:23">
      <c r="A622" s="6" t="str">
        <f ca="1">IFERROR(__xludf.DUMMYFUNCTION("""COMPUTED_VALUE"""),"Man, Man, Man")</f>
        <v>Man, Man, Man</v>
      </c>
      <c r="B622" s="6" t="str">
        <f ca="1">IFERROR(__xludf.DUMMYFUNCTION("""COMPUTED_VALUE"""),"Dista Inc. _2022")</f>
        <v>Dista Inc. _2022</v>
      </c>
      <c r="C622" s="6" t="str">
        <f ca="1">IFERROR(__xludf.DUMMYFUNCTION("""COMPUTED_VALUE"""),"Digital Tech")</f>
        <v>Digital Tech</v>
      </c>
      <c r="D622" s="6" t="str">
        <f ca="1">IFERROR(__xludf.DUMMYFUNCTION("""COMPUTED_VALUE"""),"Pune, Maharashtra 
India")</f>
        <v>Pune, Maharashtra 
India</v>
      </c>
      <c r="E622" s="6" t="str">
        <f ca="1">IFERROR(__xludf.DUMMYFUNCTION("""COMPUTED_VALUE"""),"International - Asia")</f>
        <v>International - Asia</v>
      </c>
      <c r="F622" s="6" t="str">
        <f ca="1">IFERROR(__xludf.DUMMYFUNCTION("""COMPUTED_VALUE"""),"Man")</f>
        <v>Man</v>
      </c>
      <c r="G622" s="6" t="str">
        <f ca="1">IFERROR(__xludf.DUMMYFUNCTION("""COMPUTED_VALUE"""),"Man")</f>
        <v>Man</v>
      </c>
      <c r="H622" s="6" t="str">
        <f ca="1">IFERROR(__xludf.DUMMYFUNCTION("""COMPUTED_VALUE"""),"Man")</f>
        <v>Man</v>
      </c>
      <c r="I622" s="6"/>
      <c r="J622" s="6"/>
      <c r="K622" s="6"/>
      <c r="L622" s="6" t="str">
        <f ca="1">IFERROR(__xludf.DUMMYFUNCTION("""COMPUTED_VALUE"""),"Yes")</f>
        <v>Yes</v>
      </c>
      <c r="M622" s="6" t="str">
        <f ca="1">IFERROR(__xludf.DUMMYFUNCTION("""COMPUTED_VALUE"""),"NYU Alumni")</f>
        <v>NYU Alumni</v>
      </c>
      <c r="N622" s="6"/>
      <c r="O622" s="6" t="str">
        <f ca="1">IFERROR(__xludf.DUMMYFUNCTION("""COMPUTED_VALUE"""),"Email")</f>
        <v>Email</v>
      </c>
      <c r="P622" s="6"/>
      <c r="Q622" s="6" t="str">
        <f ca="1">IFERROR(__xludf.DUMMYFUNCTION("""COMPUTED_VALUE"""),"No")</f>
        <v>No</v>
      </c>
      <c r="R622" s="6">
        <f ca="1">IFERROR(__xludf.DUMMYFUNCTION("""COMPUTED_VALUE"""),3)</f>
        <v>3</v>
      </c>
      <c r="S622" s="6" t="str">
        <f ca="1">IFERROR(__xludf.DUMMYFUNCTION("""COMPUTED_VALUE"""),"Seed")</f>
        <v>Seed</v>
      </c>
      <c r="T622" s="6" t="str">
        <f ca="1">IFERROR(__xludf.DUMMYFUNCTION("""COMPUTED_VALUE"""),"Seed")</f>
        <v>Seed</v>
      </c>
      <c r="U622" s="6" t="str">
        <f ca="1">IFERROR(__xludf.DUMMYFUNCTION("""COMPUTED_VALUE"""),"Seed")</f>
        <v>Seed</v>
      </c>
      <c r="V622" s="6"/>
      <c r="W622" s="6" t="str">
        <f ca="1">IFERROR(__xludf.DUMMYFUNCTION("""COMPUTED_VALUE"""),"Invite Next Year")</f>
        <v>Invite Next Year</v>
      </c>
    </row>
    <row r="623" spans="1:23">
      <c r="A623" s="6" t="str">
        <f ca="1">IFERROR(__xludf.DUMMYFUNCTION("""COMPUTED_VALUE"""),"Man, Woman")</f>
        <v>Man, Woman</v>
      </c>
      <c r="B623" s="6" t="str">
        <f ca="1">IFERROR(__xludf.DUMMYFUNCTION("""COMPUTED_VALUE"""),"Genomines _2022")</f>
        <v>Genomines _2022</v>
      </c>
      <c r="C623" s="6" t="str">
        <f ca="1">IFERROR(__xludf.DUMMYFUNCTION("""COMPUTED_VALUE"""),"Deep Tech")</f>
        <v>Deep Tech</v>
      </c>
      <c r="D623" s="6" t="str">
        <f ca="1">IFERROR(__xludf.DUMMYFUNCTION("""COMPUTED_VALUE"""),"Le Perreux sur Marne, IDF 
France")</f>
        <v>Le Perreux sur Marne, IDF 
France</v>
      </c>
      <c r="E623" s="6" t="str">
        <f ca="1">IFERROR(__xludf.DUMMYFUNCTION("""COMPUTED_VALUE"""),"International - Europe")</f>
        <v>International - Europe</v>
      </c>
      <c r="F623" s="6" t="str">
        <f ca="1">IFERROR(__xludf.DUMMYFUNCTION("""COMPUTED_VALUE"""),"Man")</f>
        <v>Man</v>
      </c>
      <c r="G623" s="6" t="str">
        <f ca="1">IFERROR(__xludf.DUMMYFUNCTION("""COMPUTED_VALUE"""),"Woman")</f>
        <v>Woman</v>
      </c>
      <c r="H623" s="6"/>
      <c r="I623" s="6"/>
      <c r="J623" s="6"/>
      <c r="K623" s="6"/>
      <c r="L623" s="6" t="str">
        <f ca="1">IFERROR(__xludf.DUMMYFUNCTION("""COMPUTED_VALUE"""),"No")</f>
        <v>No</v>
      </c>
      <c r="M623" s="6"/>
      <c r="N623" s="6"/>
      <c r="O623" s="6" t="str">
        <f ca="1">IFERROR(__xludf.DUMMYFUNCTION("""COMPUTED_VALUE"""),"Email")</f>
        <v>Email</v>
      </c>
      <c r="P623" s="6"/>
      <c r="Q623" s="6" t="str">
        <f ca="1">IFERROR(__xludf.DUMMYFUNCTION("""COMPUTED_VALUE"""),"No")</f>
        <v>No</v>
      </c>
      <c r="R623" s="6">
        <f ca="1">IFERROR(__xludf.DUMMYFUNCTION("""COMPUTED_VALUE"""),2)</f>
        <v>2</v>
      </c>
      <c r="S623" s="6" t="str">
        <f ca="1">IFERROR(__xludf.DUMMYFUNCTION("""COMPUTED_VALUE"""),"Pre-seed
Seed")</f>
        <v>Pre-seed
Seed</v>
      </c>
      <c r="T623" s="6" t="str">
        <f ca="1">IFERROR(__xludf.DUMMYFUNCTION("""COMPUTED_VALUE"""),"Pre-seed, Seed")</f>
        <v>Pre-seed, Seed</v>
      </c>
      <c r="U623" s="6" t="str">
        <f ca="1">IFERROR(__xludf.DUMMYFUNCTION("""COMPUTED_VALUE"""),"Pre-seed, Seed")</f>
        <v>Pre-seed, Seed</v>
      </c>
      <c r="V623" s="6"/>
      <c r="W623" s="6" t="str">
        <f ca="1">IFERROR(__xludf.DUMMYFUNCTION("""COMPUTED_VALUE"""),"Invite Next Year")</f>
        <v>Invite Next Year</v>
      </c>
    </row>
    <row r="624" spans="1:23">
      <c r="A624" s="6" t="str">
        <f ca="1">IFERROR(__xludf.DUMMYFUNCTION("""COMPUTED_VALUE"""),"Woman, Woman")</f>
        <v>Woman, Woman</v>
      </c>
      <c r="B624" s="6" t="str">
        <f ca="1">IFERROR(__xludf.DUMMYFUNCTION("""COMPUTED_VALUE"""),"Pointz Mobility, Inc. _2022")</f>
        <v>Pointz Mobility, Inc. _2022</v>
      </c>
      <c r="C624" s="6" t="str">
        <f ca="1">IFERROR(__xludf.DUMMYFUNCTION("""COMPUTED_VALUE"""),"Digital Tech")</f>
        <v>Digital Tech</v>
      </c>
      <c r="D624" s="6" t="str">
        <f ca="1">IFERROR(__xludf.DUMMYFUNCTION("""COMPUTED_VALUE"""),"Providence, RI 
United States")</f>
        <v>Providence, RI 
United States</v>
      </c>
      <c r="E624" s="6" t="str">
        <f ca="1">IFERROR(__xludf.DUMMYFUNCTION("""COMPUTED_VALUE"""),"East Coast")</f>
        <v>East Coast</v>
      </c>
      <c r="F624" s="6" t="str">
        <f ca="1">IFERROR(__xludf.DUMMYFUNCTION("""COMPUTED_VALUE"""),"Woman")</f>
        <v>Woman</v>
      </c>
      <c r="G624" s="6" t="str">
        <f ca="1">IFERROR(__xludf.DUMMYFUNCTION("""COMPUTED_VALUE"""),"Woman")</f>
        <v>Woman</v>
      </c>
      <c r="H624" s="6"/>
      <c r="I624" s="6"/>
      <c r="J624" s="6"/>
      <c r="K624" s="6"/>
      <c r="L624" s="6" t="str">
        <f ca="1">IFERROR(__xludf.DUMMYFUNCTION("""COMPUTED_VALUE"""),"No")</f>
        <v>No</v>
      </c>
      <c r="M624" s="6"/>
      <c r="N624" s="6"/>
      <c r="O624" s="6" t="str">
        <f ca="1">IFERROR(__xludf.DUMMYFUNCTION("""COMPUTED_VALUE"""),"Search Engine")</f>
        <v>Search Engine</v>
      </c>
      <c r="P624" s="6"/>
      <c r="Q624" s="6" t="str">
        <f ca="1">IFERROR(__xludf.DUMMYFUNCTION("""COMPUTED_VALUE"""),"No")</f>
        <v>No</v>
      </c>
      <c r="R624" s="6">
        <f ca="1">IFERROR(__xludf.DUMMYFUNCTION("""COMPUTED_VALUE"""),2)</f>
        <v>2</v>
      </c>
      <c r="S624" s="6" t="str">
        <f ca="1">IFERROR(__xludf.DUMMYFUNCTION("""COMPUTED_VALUE"""),"Pre-seed")</f>
        <v>Pre-seed</v>
      </c>
      <c r="T624" s="6" t="str">
        <f ca="1">IFERROR(__xludf.DUMMYFUNCTION("""COMPUTED_VALUE"""),"Pre-seed")</f>
        <v>Pre-seed</v>
      </c>
      <c r="U624" s="6" t="str">
        <f ca="1">IFERROR(__xludf.DUMMYFUNCTION("""COMPUTED_VALUE"""),"Pre-seed")</f>
        <v>Pre-seed</v>
      </c>
      <c r="V624" s="6"/>
      <c r="W624" s="6" t="str">
        <f ca="1">IFERROR(__xludf.DUMMYFUNCTION("""COMPUTED_VALUE"""),"Invite Next Year")</f>
        <v>Invite Next Year</v>
      </c>
    </row>
    <row r="625" spans="1:23">
      <c r="A625" s="6" t="str">
        <f ca="1">IFERROR(__xludf.DUMMYFUNCTION("""COMPUTED_VALUE"""),"Man, Man")</f>
        <v>Man, Man</v>
      </c>
      <c r="B625" s="6" t="str">
        <f ca="1">IFERROR(__xludf.DUMMYFUNCTION("""COMPUTED_VALUE"""),"TrustPoint, Inc. _2022")</f>
        <v>TrustPoint, Inc. _2022</v>
      </c>
      <c r="C625" s="6" t="str">
        <f ca="1">IFERROR(__xludf.DUMMYFUNCTION("""COMPUTED_VALUE"""),"Deep Tech")</f>
        <v>Deep Tech</v>
      </c>
      <c r="D625" s="6" t="str">
        <f ca="1">IFERROR(__xludf.DUMMYFUNCTION("""COMPUTED_VALUE"""),"880 Harrison Street SE, #042, Leesburg, VA 
United States")</f>
        <v>880 Harrison Street SE, #042, Leesburg, VA 
United States</v>
      </c>
      <c r="E625" s="6" t="str">
        <f ca="1">IFERROR(__xludf.DUMMYFUNCTION("""COMPUTED_VALUE"""),"East Coast")</f>
        <v>East Coast</v>
      </c>
      <c r="F625" s="6" t="str">
        <f ca="1">IFERROR(__xludf.DUMMYFUNCTION("""COMPUTED_VALUE"""),"Man")</f>
        <v>Man</v>
      </c>
      <c r="G625" s="6" t="str">
        <f ca="1">IFERROR(__xludf.DUMMYFUNCTION("""COMPUTED_VALUE"""),"Man")</f>
        <v>Man</v>
      </c>
      <c r="H625" s="6"/>
      <c r="I625" s="6"/>
      <c r="J625" s="6"/>
      <c r="K625" s="6"/>
      <c r="L625" s="6" t="str">
        <f ca="1">IFERROR(__xludf.DUMMYFUNCTION("""COMPUTED_VALUE"""),"No")</f>
        <v>No</v>
      </c>
      <c r="M625" s="6"/>
      <c r="N625" s="6"/>
      <c r="O625" s="6" t="str">
        <f ca="1">IFERROR(__xludf.DUMMYFUNCTION("""COMPUTED_VALUE"""),"Email")</f>
        <v>Email</v>
      </c>
      <c r="P625" s="6"/>
      <c r="Q625" s="6" t="str">
        <f ca="1">IFERROR(__xludf.DUMMYFUNCTION("""COMPUTED_VALUE"""),"No")</f>
        <v>No</v>
      </c>
      <c r="R625" s="6">
        <f ca="1">IFERROR(__xludf.DUMMYFUNCTION("""COMPUTED_VALUE"""),2)</f>
        <v>2</v>
      </c>
      <c r="S625" s="6" t="str">
        <f ca="1">IFERROR(__xludf.DUMMYFUNCTION("""COMPUTED_VALUE"""),"Seed
Debt financing")</f>
        <v>Seed
Debt financing</v>
      </c>
      <c r="T625" s="6" t="str">
        <f ca="1">IFERROR(__xludf.DUMMYFUNCTION("""COMPUTED_VALUE"""),"Seed, Debt financing")</f>
        <v>Seed, Debt financing</v>
      </c>
      <c r="U625" s="6" t="str">
        <f ca="1">IFERROR(__xludf.DUMMYFUNCTION("""COMPUTED_VALUE"""),"Seed, Debt financing")</f>
        <v>Seed, Debt financing</v>
      </c>
      <c r="V625" s="6"/>
      <c r="W625" s="6" t="str">
        <f ca="1">IFERROR(__xludf.DUMMYFUNCTION("""COMPUTED_VALUE"""),"Invite")</f>
        <v>Invite</v>
      </c>
    </row>
    <row r="626" spans="1:23">
      <c r="A626" s="6" t="str">
        <f ca="1">IFERROR(__xludf.DUMMYFUNCTION("""COMPUTED_VALUE"""),"Man, Man")</f>
        <v>Man, Man</v>
      </c>
      <c r="B626" s="6" t="str">
        <f ca="1">IFERROR(__xludf.DUMMYFUNCTION("""COMPUTED_VALUE"""),"Shortcut Robotics, Inc. _2022")</f>
        <v>Shortcut Robotics, Inc. _2022</v>
      </c>
      <c r="C626" s="6" t="str">
        <f ca="1">IFERROR(__xludf.DUMMYFUNCTION("""COMPUTED_VALUE"""),"Deep Tech")</f>
        <v>Deep Tech</v>
      </c>
      <c r="D626" s="6" t="str">
        <f ca="1">IFERROR(__xludf.DUMMYFUNCTION("""COMPUTED_VALUE"""),"501 Loring Ave., CA 
United States")</f>
        <v>501 Loring Ave., CA 
United States</v>
      </c>
      <c r="E626" s="6" t="str">
        <f ca="1">IFERROR(__xludf.DUMMYFUNCTION("""COMPUTED_VALUE"""),"West Coast")</f>
        <v>West Coast</v>
      </c>
      <c r="F626" s="6" t="str">
        <f ca="1">IFERROR(__xludf.DUMMYFUNCTION("""COMPUTED_VALUE"""),"Man")</f>
        <v>Man</v>
      </c>
      <c r="G626" s="6" t="str">
        <f ca="1">IFERROR(__xludf.DUMMYFUNCTION("""COMPUTED_VALUE"""),"Man")</f>
        <v>Man</v>
      </c>
      <c r="H626" s="6"/>
      <c r="I626" s="6"/>
      <c r="J626" s="6"/>
      <c r="K626" s="6"/>
      <c r="L626" s="6" t="str">
        <f ca="1">IFERROR(__xludf.DUMMYFUNCTION("""COMPUTED_VALUE"""),"No")</f>
        <v>No</v>
      </c>
      <c r="M626" s="6"/>
      <c r="N626" s="6"/>
      <c r="O626" s="6" t="str">
        <f ca="1">IFERROR(__xludf.DUMMYFUNCTION("""COMPUTED_VALUE"""),"Email")</f>
        <v>Email</v>
      </c>
      <c r="P626" s="6"/>
      <c r="Q626" s="6" t="str">
        <f ca="1">IFERROR(__xludf.DUMMYFUNCTION("""COMPUTED_VALUE"""),"No")</f>
        <v>No</v>
      </c>
      <c r="R626" s="6">
        <f ca="1">IFERROR(__xludf.DUMMYFUNCTION("""COMPUTED_VALUE"""),2)</f>
        <v>2</v>
      </c>
      <c r="S626" s="6" t="str">
        <f ca="1">IFERROR(__xludf.DUMMYFUNCTION("""COMPUTED_VALUE"""),"Pre-seed")</f>
        <v>Pre-seed</v>
      </c>
      <c r="T626" s="6" t="str">
        <f ca="1">IFERROR(__xludf.DUMMYFUNCTION("""COMPUTED_VALUE"""),"Pre-seed")</f>
        <v>Pre-seed</v>
      </c>
      <c r="U626" s="6" t="str">
        <f ca="1">IFERROR(__xludf.DUMMYFUNCTION("""COMPUTED_VALUE"""),"Pre-seed")</f>
        <v>Pre-seed</v>
      </c>
      <c r="V626" s="6"/>
      <c r="W626" s="6" t="str">
        <f ca="1">IFERROR(__xludf.DUMMYFUNCTION("""COMPUTED_VALUE"""),"Invite Next Year")</f>
        <v>Invite Next Year</v>
      </c>
    </row>
    <row r="627" spans="1:23">
      <c r="A627" s="6" t="str">
        <f ca="1">IFERROR(__xludf.DUMMYFUNCTION("""COMPUTED_VALUE"""),"Man, Man, Man, Man, Man")</f>
        <v>Man, Man, Man, Man, Man</v>
      </c>
      <c r="B627" s="6" t="str">
        <f ca="1">IFERROR(__xludf.DUMMYFUNCTION("""COMPUTED_VALUE"""),"Bima, Inc. _2022")</f>
        <v>Bima, Inc. _2022</v>
      </c>
      <c r="C627" s="6" t="str">
        <f ca="1">IFERROR(__xludf.DUMMYFUNCTION("""COMPUTED_VALUE"""),"Digital Tech")</f>
        <v>Digital Tech</v>
      </c>
      <c r="D627" s="6" t="str">
        <f ca="1">IFERROR(__xludf.DUMMYFUNCTION("""COMPUTED_VALUE"""),"Bengaluru, Karnataka 
India")</f>
        <v>Bengaluru, Karnataka 
India</v>
      </c>
      <c r="E627" s="6" t="str">
        <f ca="1">IFERROR(__xludf.DUMMYFUNCTION("""COMPUTED_VALUE"""),"International - Asia")</f>
        <v>International - Asia</v>
      </c>
      <c r="F627" s="6" t="str">
        <f ca="1">IFERROR(__xludf.DUMMYFUNCTION("""COMPUTED_VALUE"""),"Man")</f>
        <v>Man</v>
      </c>
      <c r="G627" s="6" t="str">
        <f ca="1">IFERROR(__xludf.DUMMYFUNCTION("""COMPUTED_VALUE"""),"Man")</f>
        <v>Man</v>
      </c>
      <c r="H627" s="6" t="str">
        <f ca="1">IFERROR(__xludf.DUMMYFUNCTION("""COMPUTED_VALUE"""),"Man")</f>
        <v>Man</v>
      </c>
      <c r="I627" s="6" t="str">
        <f ca="1">IFERROR(__xludf.DUMMYFUNCTION("""COMPUTED_VALUE"""),"Man")</f>
        <v>Man</v>
      </c>
      <c r="J627" s="6" t="str">
        <f ca="1">IFERROR(__xludf.DUMMYFUNCTION("""COMPUTED_VALUE"""),"Man")</f>
        <v>Man</v>
      </c>
      <c r="K627" s="6"/>
      <c r="L627" s="6" t="str">
        <f ca="1">IFERROR(__xludf.DUMMYFUNCTION("""COMPUTED_VALUE"""),"No")</f>
        <v>No</v>
      </c>
      <c r="M627" s="6"/>
      <c r="N627" s="6"/>
      <c r="O627" s="6" t="str">
        <f ca="1">IFERROR(__xludf.DUMMYFUNCTION("""COMPUTED_VALUE"""),"Email")</f>
        <v>Email</v>
      </c>
      <c r="P627" s="6"/>
      <c r="Q627" s="6" t="str">
        <f ca="1">IFERROR(__xludf.DUMMYFUNCTION("""COMPUTED_VALUE"""),"No")</f>
        <v>No</v>
      </c>
      <c r="R627" s="6">
        <f ca="1">IFERROR(__xludf.DUMMYFUNCTION("""COMPUTED_VALUE"""),5)</f>
        <v>5</v>
      </c>
      <c r="S627" s="6" t="str">
        <f ca="1">IFERROR(__xludf.DUMMYFUNCTION("""COMPUTED_VALUE"""),"Seed")</f>
        <v>Seed</v>
      </c>
      <c r="T627" s="6" t="str">
        <f ca="1">IFERROR(__xludf.DUMMYFUNCTION("""COMPUTED_VALUE"""),"Seed")</f>
        <v>Seed</v>
      </c>
      <c r="U627" s="6" t="str">
        <f ca="1">IFERROR(__xludf.DUMMYFUNCTION("""COMPUTED_VALUE"""),"Seed")</f>
        <v>Seed</v>
      </c>
      <c r="V627" s="6"/>
      <c r="W627" s="6" t="str">
        <f ca="1">IFERROR(__xludf.DUMMYFUNCTION("""COMPUTED_VALUE"""),"Invite Next Year")</f>
        <v>Invite Next Year</v>
      </c>
    </row>
    <row r="628" spans="1:23">
      <c r="A628" s="6" t="str">
        <f ca="1">IFERROR(__xludf.DUMMYFUNCTION("""COMPUTED_VALUE"""),"Man, Man, Man, Man")</f>
        <v>Man, Man, Man, Man</v>
      </c>
      <c r="B628" s="6" t="str">
        <f ca="1">IFERROR(__xludf.DUMMYFUNCTION("""COMPUTED_VALUE"""),"PlantSwitch _2022")</f>
        <v>PlantSwitch _2022</v>
      </c>
      <c r="C628" s="6" t="str">
        <f ca="1">IFERROR(__xludf.DUMMYFUNCTION("""COMPUTED_VALUE"""),"Deep Tech")</f>
        <v>Deep Tech</v>
      </c>
      <c r="D628" s="6" t="str">
        <f ca="1">IFERROR(__xludf.DUMMYFUNCTION("""COMPUTED_VALUE"""),"Dallas, TX 
United States")</f>
        <v>Dallas, TX 
United States</v>
      </c>
      <c r="E628" s="6" t="str">
        <f ca="1">IFERROR(__xludf.DUMMYFUNCTION("""COMPUTED_VALUE"""),"South")</f>
        <v>South</v>
      </c>
      <c r="F628" s="6" t="str">
        <f ca="1">IFERROR(__xludf.DUMMYFUNCTION("""COMPUTED_VALUE"""),"Man")</f>
        <v>Man</v>
      </c>
      <c r="G628" s="6" t="str">
        <f ca="1">IFERROR(__xludf.DUMMYFUNCTION("""COMPUTED_VALUE"""),"Man")</f>
        <v>Man</v>
      </c>
      <c r="H628" s="6" t="str">
        <f ca="1">IFERROR(__xludf.DUMMYFUNCTION("""COMPUTED_VALUE"""),"Man")</f>
        <v>Man</v>
      </c>
      <c r="I628" s="6" t="str">
        <f ca="1">IFERROR(__xludf.DUMMYFUNCTION("""COMPUTED_VALUE"""),"Man")</f>
        <v>Man</v>
      </c>
      <c r="J628" s="6"/>
      <c r="K628" s="6"/>
      <c r="L628" s="6" t="str">
        <f ca="1">IFERROR(__xludf.DUMMYFUNCTION("""COMPUTED_VALUE"""),"No")</f>
        <v>No</v>
      </c>
      <c r="M628" s="6"/>
      <c r="N628" s="6"/>
      <c r="O628" s="6" t="str">
        <f ca="1">IFERROR(__xludf.DUMMYFUNCTION("""COMPUTED_VALUE"""),"Email")</f>
        <v>Email</v>
      </c>
      <c r="P628" s="6"/>
      <c r="Q628" s="6" t="str">
        <f ca="1">IFERROR(__xludf.DUMMYFUNCTION("""COMPUTED_VALUE"""),"No")</f>
        <v>No</v>
      </c>
      <c r="R628" s="6">
        <f ca="1">IFERROR(__xludf.DUMMYFUNCTION("""COMPUTED_VALUE"""),4)</f>
        <v>4</v>
      </c>
      <c r="S628" s="6" t="str">
        <f ca="1">IFERROR(__xludf.DUMMYFUNCTION("""COMPUTED_VALUE"""),"Seed")</f>
        <v>Seed</v>
      </c>
      <c r="T628" s="6" t="str">
        <f ca="1">IFERROR(__xludf.DUMMYFUNCTION("""COMPUTED_VALUE"""),"Seed")</f>
        <v>Seed</v>
      </c>
      <c r="U628" s="6" t="str">
        <f ca="1">IFERROR(__xludf.DUMMYFUNCTION("""COMPUTED_VALUE"""),"Seed")</f>
        <v>Seed</v>
      </c>
      <c r="V628" s="6"/>
      <c r="W628" s="6" t="str">
        <f ca="1">IFERROR(__xludf.DUMMYFUNCTION("""COMPUTED_VALUE"""),"Invite")</f>
        <v>Invite</v>
      </c>
    </row>
    <row r="629" spans="1:23">
      <c r="A629" s="6" t="str">
        <f ca="1">IFERROR(__xludf.DUMMYFUNCTION("""COMPUTED_VALUE"""),"Man, Woman, Man")</f>
        <v>Man, Woman, Man</v>
      </c>
      <c r="B629" s="6" t="str">
        <f ca="1">IFERROR(__xludf.DUMMYFUNCTION("""COMPUTED_VALUE"""),"Pulsenics _2022")</f>
        <v>Pulsenics _2022</v>
      </c>
      <c r="C629" s="6" t="str">
        <f ca="1">IFERROR(__xludf.DUMMYFUNCTION("""COMPUTED_VALUE"""),"Deep Tech")</f>
        <v>Deep Tech</v>
      </c>
      <c r="D629" s="6" t="str">
        <f ca="1">IFERROR(__xludf.DUMMYFUNCTION("""COMPUTED_VALUE"""),"Toronto, Ontario 
Canada")</f>
        <v>Toronto, Ontario 
Canada</v>
      </c>
      <c r="E629" s="6" t="str">
        <f ca="1">IFERROR(__xludf.DUMMYFUNCTION("""COMPUTED_VALUE"""),"International - Americas")</f>
        <v>International - Americas</v>
      </c>
      <c r="F629" s="6" t="str">
        <f ca="1">IFERROR(__xludf.DUMMYFUNCTION("""COMPUTED_VALUE"""),"Man")</f>
        <v>Man</v>
      </c>
      <c r="G629" s="6" t="str">
        <f ca="1">IFERROR(__xludf.DUMMYFUNCTION("""COMPUTED_VALUE"""),"Woman")</f>
        <v>Woman</v>
      </c>
      <c r="H629" s="6" t="str">
        <f ca="1">IFERROR(__xludf.DUMMYFUNCTION("""COMPUTED_VALUE"""),"Man")</f>
        <v>Man</v>
      </c>
      <c r="I629" s="6"/>
      <c r="J629" s="6"/>
      <c r="K629" s="6"/>
      <c r="L629" s="6" t="str">
        <f ca="1">IFERROR(__xludf.DUMMYFUNCTION("""COMPUTED_VALUE"""),"No")</f>
        <v>No</v>
      </c>
      <c r="M629" s="6"/>
      <c r="N629" s="6"/>
      <c r="O629" s="6" t="str">
        <f ca="1">IFERROR(__xludf.DUMMYFUNCTION("""COMPUTED_VALUE"""),"Other")</f>
        <v>Other</v>
      </c>
      <c r="P629" s="6"/>
      <c r="Q629" s="6" t="str">
        <f ca="1">IFERROR(__xludf.DUMMYFUNCTION("""COMPUTED_VALUE"""),"No")</f>
        <v>No</v>
      </c>
      <c r="R629" s="6">
        <f ca="1">IFERROR(__xludf.DUMMYFUNCTION("""COMPUTED_VALUE"""),3)</f>
        <v>3</v>
      </c>
      <c r="S629" s="6" t="str">
        <f ca="1">IFERROR(__xludf.DUMMYFUNCTION("""COMPUTED_VALUE"""),"Pre-seed")</f>
        <v>Pre-seed</v>
      </c>
      <c r="T629" s="6" t="str">
        <f ca="1">IFERROR(__xludf.DUMMYFUNCTION("""COMPUTED_VALUE"""),"Pre-seed")</f>
        <v>Pre-seed</v>
      </c>
      <c r="U629" s="6" t="str">
        <f ca="1">IFERROR(__xludf.DUMMYFUNCTION("""COMPUTED_VALUE"""),"Pre-seed")</f>
        <v>Pre-seed</v>
      </c>
      <c r="V629" s="6"/>
      <c r="W629" s="6" t="str">
        <f ca="1">IFERROR(__xludf.DUMMYFUNCTION("""COMPUTED_VALUE"""),"Invite")</f>
        <v>Invite</v>
      </c>
    </row>
    <row r="630" spans="1:23">
      <c r="A630" s="6" t="str">
        <f ca="1">IFERROR(__xludf.DUMMYFUNCTION("""COMPUTED_VALUE"""),"Man, Man, Man, Man, Man")</f>
        <v>Man, Man, Man, Man, Man</v>
      </c>
      <c r="B630" s="6" t="str">
        <f ca="1">IFERROR(__xludf.DUMMYFUNCTION("""COMPUTED_VALUE"""),"inHEART _2022")</f>
        <v>inHEART _2022</v>
      </c>
      <c r="C630" s="6" t="str">
        <f ca="1">IFERROR(__xludf.DUMMYFUNCTION("""COMPUTED_VALUE"""),"Digital Tech")</f>
        <v>Digital Tech</v>
      </c>
      <c r="D630" s="6" t="str">
        <f ca="1">IFERROR(__xludf.DUMMYFUNCTION("""COMPUTED_VALUE"""),"Pessac, Pessac 
France")</f>
        <v>Pessac, Pessac 
France</v>
      </c>
      <c r="E630" s="6" t="str">
        <f ca="1">IFERROR(__xludf.DUMMYFUNCTION("""COMPUTED_VALUE"""),"International - Europe")</f>
        <v>International - Europe</v>
      </c>
      <c r="F630" s="6" t="str">
        <f ca="1">IFERROR(__xludf.DUMMYFUNCTION("""COMPUTED_VALUE"""),"Man")</f>
        <v>Man</v>
      </c>
      <c r="G630" s="6" t="str">
        <f ca="1">IFERROR(__xludf.DUMMYFUNCTION("""COMPUTED_VALUE"""),"Man")</f>
        <v>Man</v>
      </c>
      <c r="H630" s="6" t="str">
        <f ca="1">IFERROR(__xludf.DUMMYFUNCTION("""COMPUTED_VALUE"""),"Man")</f>
        <v>Man</v>
      </c>
      <c r="I630" s="6" t="str">
        <f ca="1">IFERROR(__xludf.DUMMYFUNCTION("""COMPUTED_VALUE"""),"Man")</f>
        <v>Man</v>
      </c>
      <c r="J630" s="6" t="str">
        <f ca="1">IFERROR(__xludf.DUMMYFUNCTION("""COMPUTED_VALUE"""),"Man")</f>
        <v>Man</v>
      </c>
      <c r="K630" s="6"/>
      <c r="L630" s="6" t="str">
        <f ca="1">IFERROR(__xludf.DUMMYFUNCTION("""COMPUTED_VALUE"""),"No")</f>
        <v>No</v>
      </c>
      <c r="M630" s="6"/>
      <c r="N630" s="6"/>
      <c r="O630" s="6" t="str">
        <f ca="1">IFERROR(__xludf.DUMMYFUNCTION("""COMPUTED_VALUE"""),"Referral")</f>
        <v>Referral</v>
      </c>
      <c r="P630" s="6"/>
      <c r="Q630" s="6" t="str">
        <f ca="1">IFERROR(__xludf.DUMMYFUNCTION("""COMPUTED_VALUE"""),"No")</f>
        <v>No</v>
      </c>
      <c r="R630" s="6">
        <f ca="1">IFERROR(__xludf.DUMMYFUNCTION("""COMPUTED_VALUE"""),5)</f>
        <v>5</v>
      </c>
      <c r="S630" s="6" t="str">
        <f ca="1">IFERROR(__xludf.DUMMYFUNCTION("""COMPUTED_VALUE"""),"Seed")</f>
        <v>Seed</v>
      </c>
      <c r="T630" s="6" t="str">
        <f ca="1">IFERROR(__xludf.DUMMYFUNCTION("""COMPUTED_VALUE"""),"Seed")</f>
        <v>Seed</v>
      </c>
      <c r="U630" s="6" t="str">
        <f ca="1">IFERROR(__xludf.DUMMYFUNCTION("""COMPUTED_VALUE"""),"Seed")</f>
        <v>Seed</v>
      </c>
      <c r="V630" s="6"/>
      <c r="W630" s="6" t="str">
        <f ca="1">IFERROR(__xludf.DUMMYFUNCTION("""COMPUTED_VALUE"""),"Invite")</f>
        <v>Invite</v>
      </c>
    </row>
    <row r="631" spans="1:23">
      <c r="A631" s="6" t="str">
        <f ca="1">IFERROR(__xludf.DUMMYFUNCTION("""COMPUTED_VALUE"""),"Man, Man, Man")</f>
        <v>Man, Man, Man</v>
      </c>
      <c r="B631" s="6" t="str">
        <f ca="1">IFERROR(__xludf.DUMMYFUNCTION("""COMPUTED_VALUE"""),"Blockant.io _2022")</f>
        <v>Blockant.io _2022</v>
      </c>
      <c r="C631" s="6" t="str">
        <f ca="1">IFERROR(__xludf.DUMMYFUNCTION("""COMPUTED_VALUE"""),"Digital Tech")</f>
        <v>Digital Tech</v>
      </c>
      <c r="D631" s="6" t="str">
        <f ca="1">IFERROR(__xludf.DUMMYFUNCTION("""COMPUTED_VALUE"""),"Vicente Lopez, Buenos Aires 
Argentina")</f>
        <v>Vicente Lopez, Buenos Aires 
Argentina</v>
      </c>
      <c r="E631" s="6" t="str">
        <f ca="1">IFERROR(__xludf.DUMMYFUNCTION("""COMPUTED_VALUE"""),"International - Americas")</f>
        <v>International - Americas</v>
      </c>
      <c r="F631" s="6" t="str">
        <f ca="1">IFERROR(__xludf.DUMMYFUNCTION("""COMPUTED_VALUE"""),"Man")</f>
        <v>Man</v>
      </c>
      <c r="G631" s="6" t="str">
        <f ca="1">IFERROR(__xludf.DUMMYFUNCTION("""COMPUTED_VALUE"""),"Man")</f>
        <v>Man</v>
      </c>
      <c r="H631" s="6" t="str">
        <f ca="1">IFERROR(__xludf.DUMMYFUNCTION("""COMPUTED_VALUE"""),"Man")</f>
        <v>Man</v>
      </c>
      <c r="I631" s="6"/>
      <c r="J631" s="6"/>
      <c r="K631" s="6"/>
      <c r="L631" s="6" t="str">
        <f ca="1">IFERROR(__xludf.DUMMYFUNCTION("""COMPUTED_VALUE"""),"No")</f>
        <v>No</v>
      </c>
      <c r="M631" s="6"/>
      <c r="N631" s="6"/>
      <c r="O631" s="6" t="str">
        <f ca="1">IFERROR(__xludf.DUMMYFUNCTION("""COMPUTED_VALUE"""),"Referral")</f>
        <v>Referral</v>
      </c>
      <c r="P631" s="6"/>
      <c r="Q631" s="6" t="str">
        <f ca="1">IFERROR(__xludf.DUMMYFUNCTION("""COMPUTED_VALUE"""),"No")</f>
        <v>No</v>
      </c>
      <c r="R631" s="6">
        <f ca="1">IFERROR(__xludf.DUMMYFUNCTION("""COMPUTED_VALUE"""),3)</f>
        <v>3</v>
      </c>
      <c r="S631" s="6" t="str">
        <f ca="1">IFERROR(__xludf.DUMMYFUNCTION("""COMPUTED_VALUE"""),"Pre-seed")</f>
        <v>Pre-seed</v>
      </c>
      <c r="T631" s="6" t="str">
        <f ca="1">IFERROR(__xludf.DUMMYFUNCTION("""COMPUTED_VALUE"""),"Pre-seed")</f>
        <v>Pre-seed</v>
      </c>
      <c r="U631" s="6" t="str">
        <f ca="1">IFERROR(__xludf.DUMMYFUNCTION("""COMPUTED_VALUE"""),"Pre-seed")</f>
        <v>Pre-seed</v>
      </c>
      <c r="V631" s="6"/>
      <c r="W631" s="6" t="str">
        <f ca="1">IFERROR(__xludf.DUMMYFUNCTION("""COMPUTED_VALUE"""),"Invite Next Year")</f>
        <v>Invite Next Year</v>
      </c>
    </row>
    <row r="632" spans="1:23">
      <c r="A632" s="6" t="str">
        <f ca="1">IFERROR(__xludf.DUMMYFUNCTION("""COMPUTED_VALUE"""),"Man, Woman, Man")</f>
        <v>Man, Woman, Man</v>
      </c>
      <c r="B632" s="6" t="str">
        <f ca="1">IFERROR(__xludf.DUMMYFUNCTION("""COMPUTED_VALUE"""),"Nat4Bio _2022")</f>
        <v>Nat4Bio _2022</v>
      </c>
      <c r="C632" s="6" t="str">
        <f ca="1">IFERROR(__xludf.DUMMYFUNCTION("""COMPUTED_VALUE"""),"Deep Tech")</f>
        <v>Deep Tech</v>
      </c>
      <c r="D632" s="6" t="str">
        <f ca="1">IFERROR(__xludf.DUMMYFUNCTION("""COMPUTED_VALUE"""),"San Miguel de Tucumán, Tucumán 
Argentina")</f>
        <v>San Miguel de Tucumán, Tucumán 
Argentina</v>
      </c>
      <c r="E632" s="6" t="str">
        <f ca="1">IFERROR(__xludf.DUMMYFUNCTION("""COMPUTED_VALUE"""),"International - Americas")</f>
        <v>International - Americas</v>
      </c>
      <c r="F632" s="6" t="str">
        <f ca="1">IFERROR(__xludf.DUMMYFUNCTION("""COMPUTED_VALUE"""),"Man")</f>
        <v>Man</v>
      </c>
      <c r="G632" s="6" t="str">
        <f ca="1">IFERROR(__xludf.DUMMYFUNCTION("""COMPUTED_VALUE"""),"Woman")</f>
        <v>Woman</v>
      </c>
      <c r="H632" s="6" t="str">
        <f ca="1">IFERROR(__xludf.DUMMYFUNCTION("""COMPUTED_VALUE"""),"Man")</f>
        <v>Man</v>
      </c>
      <c r="I632" s="6"/>
      <c r="J632" s="6"/>
      <c r="K632" s="6"/>
      <c r="L632" s="6" t="str">
        <f ca="1">IFERROR(__xludf.DUMMYFUNCTION("""COMPUTED_VALUE"""),"No")</f>
        <v>No</v>
      </c>
      <c r="M632" s="6"/>
      <c r="N632" s="6"/>
      <c r="O632" s="6" t="str">
        <f ca="1">IFERROR(__xludf.DUMMYFUNCTION("""COMPUTED_VALUE"""),"Email")</f>
        <v>Email</v>
      </c>
      <c r="P632" s="6"/>
      <c r="Q632" s="6" t="str">
        <f ca="1">IFERROR(__xludf.DUMMYFUNCTION("""COMPUTED_VALUE"""),"No")</f>
        <v>No</v>
      </c>
      <c r="R632" s="6">
        <f ca="1">IFERROR(__xludf.DUMMYFUNCTION("""COMPUTED_VALUE"""),3)</f>
        <v>3</v>
      </c>
      <c r="S632" s="6" t="str">
        <f ca="1">IFERROR(__xludf.DUMMYFUNCTION("""COMPUTED_VALUE"""),"Pre-seed")</f>
        <v>Pre-seed</v>
      </c>
      <c r="T632" s="6" t="str">
        <f ca="1">IFERROR(__xludf.DUMMYFUNCTION("""COMPUTED_VALUE"""),"Pre-seed")</f>
        <v>Pre-seed</v>
      </c>
      <c r="U632" s="6" t="str">
        <f ca="1">IFERROR(__xludf.DUMMYFUNCTION("""COMPUTED_VALUE"""),"Pre-seed")</f>
        <v>Pre-seed</v>
      </c>
      <c r="V632" s="6"/>
      <c r="W632" s="6" t="str">
        <f ca="1">IFERROR(__xludf.DUMMYFUNCTION("""COMPUTED_VALUE"""),"Invite Next Year")</f>
        <v>Invite Next Year</v>
      </c>
    </row>
    <row r="633" spans="1:23">
      <c r="A633" s="6" t="str">
        <f ca="1">IFERROR(__xludf.DUMMYFUNCTION("""COMPUTED_VALUE"""),"Man, Man, Man")</f>
        <v>Man, Man, Man</v>
      </c>
      <c r="B633" s="6" t="str">
        <f ca="1">IFERROR(__xludf.DUMMYFUNCTION("""COMPUTED_VALUE"""),"Grow Computer _2022")</f>
        <v>Grow Computer _2022</v>
      </c>
      <c r="C633" s="6" t="str">
        <f ca="1">IFERROR(__xludf.DUMMYFUNCTION("""COMPUTED_VALUE"""),"Digital Tech")</f>
        <v>Digital Tech</v>
      </c>
      <c r="D633" s="6" t="str">
        <f ca="1">IFERROR(__xludf.DUMMYFUNCTION("""COMPUTED_VALUE"""),"New York, NY 
United States")</f>
        <v>New York, NY 
United States</v>
      </c>
      <c r="E633" s="6" t="str">
        <f ca="1">IFERROR(__xludf.DUMMYFUNCTION("""COMPUTED_VALUE"""),"New York")</f>
        <v>New York</v>
      </c>
      <c r="F633" s="6" t="str">
        <f ca="1">IFERROR(__xludf.DUMMYFUNCTION("""COMPUTED_VALUE"""),"Man")</f>
        <v>Man</v>
      </c>
      <c r="G633" s="6" t="str">
        <f ca="1">IFERROR(__xludf.DUMMYFUNCTION("""COMPUTED_VALUE"""),"Man")</f>
        <v>Man</v>
      </c>
      <c r="H633" s="6" t="str">
        <f ca="1">IFERROR(__xludf.DUMMYFUNCTION("""COMPUTED_VALUE"""),"Man")</f>
        <v>Man</v>
      </c>
      <c r="I633" s="6"/>
      <c r="J633" s="6"/>
      <c r="K633" s="6"/>
      <c r="L633" s="6" t="str">
        <f ca="1">IFERROR(__xludf.DUMMYFUNCTION("""COMPUTED_VALUE"""),"--Please select--")</f>
        <v>--Please select--</v>
      </c>
      <c r="M633" s="6"/>
      <c r="N633" s="6"/>
      <c r="O633" s="6" t="str">
        <f ca="1">IFERROR(__xludf.DUMMYFUNCTION("""COMPUTED_VALUE"""),"Referral")</f>
        <v>Referral</v>
      </c>
      <c r="P633" s="6"/>
      <c r="Q633" s="6" t="str">
        <f ca="1">IFERROR(__xludf.DUMMYFUNCTION("""COMPUTED_VALUE"""),"No")</f>
        <v>No</v>
      </c>
      <c r="R633" s="6">
        <f ca="1">IFERROR(__xludf.DUMMYFUNCTION("""COMPUTED_VALUE"""),3)</f>
        <v>3</v>
      </c>
      <c r="S633" s="6" t="str">
        <f ca="1">IFERROR(__xludf.DUMMYFUNCTION("""COMPUTED_VALUE"""),"None")</f>
        <v>None</v>
      </c>
      <c r="T633" s="6" t="str">
        <f ca="1">IFERROR(__xludf.DUMMYFUNCTION("""COMPUTED_VALUE"""),"None")</f>
        <v>None</v>
      </c>
      <c r="U633" s="6" t="str">
        <f ca="1">IFERROR(__xludf.DUMMYFUNCTION("""COMPUTED_VALUE"""),"None")</f>
        <v>None</v>
      </c>
      <c r="V633" s="6"/>
      <c r="W633" s="6" t="str">
        <f ca="1">IFERROR(__xludf.DUMMYFUNCTION("""COMPUTED_VALUE"""),"Invite Next Year")</f>
        <v>Invite Next Year</v>
      </c>
    </row>
    <row r="634" spans="1:23">
      <c r="A634" s="6" t="str">
        <f ca="1">IFERROR(__xludf.DUMMYFUNCTION("""COMPUTED_VALUE"""),"Man, Man")</f>
        <v>Man, Man</v>
      </c>
      <c r="B634" s="6" t="str">
        <f ca="1">IFERROR(__xludf.DUMMYFUNCTION("""COMPUTED_VALUE"""),"Expertwired _2022")</f>
        <v>Expertwired _2022</v>
      </c>
      <c r="C634" s="6" t="str">
        <f ca="1">IFERROR(__xludf.DUMMYFUNCTION("""COMPUTED_VALUE"""),"Digital Tech")</f>
        <v>Digital Tech</v>
      </c>
      <c r="D634" s="6" t="str">
        <f ca="1">IFERROR(__xludf.DUMMYFUNCTION("""COMPUTED_VALUE"""),"Amsterdam, Noord Holland 
Netherlands")</f>
        <v>Amsterdam, Noord Holland 
Netherlands</v>
      </c>
      <c r="E634" s="6" t="str">
        <f ca="1">IFERROR(__xludf.DUMMYFUNCTION("""COMPUTED_VALUE"""),"International - Europe")</f>
        <v>International - Europe</v>
      </c>
      <c r="F634" s="6" t="str">
        <f ca="1">IFERROR(__xludf.DUMMYFUNCTION("""COMPUTED_VALUE"""),"Man")</f>
        <v>Man</v>
      </c>
      <c r="G634" s="6" t="str">
        <f ca="1">IFERROR(__xludf.DUMMYFUNCTION("""COMPUTED_VALUE"""),"Man")</f>
        <v>Man</v>
      </c>
      <c r="H634" s="6"/>
      <c r="I634" s="6"/>
      <c r="J634" s="6"/>
      <c r="K634" s="6"/>
      <c r="L634" s="6" t="str">
        <f ca="1">IFERROR(__xludf.DUMMYFUNCTION("""COMPUTED_VALUE"""),"No")</f>
        <v>No</v>
      </c>
      <c r="M634" s="6"/>
      <c r="N634" s="6"/>
      <c r="O634" s="6" t="str">
        <f ca="1">IFERROR(__xludf.DUMMYFUNCTION("""COMPUTED_VALUE"""),"Email")</f>
        <v>Email</v>
      </c>
      <c r="P634" s="6"/>
      <c r="Q634" s="6" t="str">
        <f ca="1">IFERROR(__xludf.DUMMYFUNCTION("""COMPUTED_VALUE"""),"No")</f>
        <v>No</v>
      </c>
      <c r="R634" s="6">
        <f ca="1">IFERROR(__xludf.DUMMYFUNCTION("""COMPUTED_VALUE"""),2)</f>
        <v>2</v>
      </c>
      <c r="S634" s="6" t="str">
        <f ca="1">IFERROR(__xludf.DUMMYFUNCTION("""COMPUTED_VALUE"""),"Pre-seed
Seed
Debt financing")</f>
        <v>Pre-seed
Seed
Debt financing</v>
      </c>
      <c r="T634" s="6" t="str">
        <f ca="1">IFERROR(__xludf.DUMMYFUNCTION("""COMPUTED_VALUE"""),"Pre-seed, Seed, Debt financing")</f>
        <v>Pre-seed, Seed, Debt financing</v>
      </c>
      <c r="U634" s="6" t="str">
        <f ca="1">IFERROR(__xludf.DUMMYFUNCTION("""COMPUTED_VALUE"""),"Pre-seed, Seed, Debt financing")</f>
        <v>Pre-seed, Seed, Debt financing</v>
      </c>
      <c r="V634" s="6"/>
      <c r="W634" s="6" t="str">
        <f ca="1">IFERROR(__xludf.DUMMYFUNCTION("""COMPUTED_VALUE"""),"Invite Next Year")</f>
        <v>Invite Next Year</v>
      </c>
    </row>
    <row r="635" spans="1:23">
      <c r="A635" s="6" t="str">
        <f ca="1">IFERROR(__xludf.DUMMYFUNCTION("""COMPUTED_VALUE"""),"Man, Man, Man")</f>
        <v>Man, Man, Man</v>
      </c>
      <c r="B635" s="6" t="str">
        <f ca="1">IFERROR(__xludf.DUMMYFUNCTION("""COMPUTED_VALUE"""),"CLICK DEAL BUY!  _2022")</f>
        <v>CLICK DEAL BUY!  _2022</v>
      </c>
      <c r="C635" s="6" t="str">
        <f ca="1">IFERROR(__xludf.DUMMYFUNCTION("""COMPUTED_VALUE"""),"Digital Tech")</f>
        <v>Digital Tech</v>
      </c>
      <c r="D635" s="6" t="str">
        <f ca="1">IFERROR(__xludf.DUMMYFUNCTION("""COMPUTED_VALUE"""),"Freeport (TEMPORARY MOVING TO CHICAGO) , IL 
United States")</f>
        <v>Freeport (TEMPORARY MOVING TO CHICAGO) , IL 
United States</v>
      </c>
      <c r="E635" s="6" t="str">
        <f ca="1">IFERROR(__xludf.DUMMYFUNCTION("""COMPUTED_VALUE"""),"Midwest")</f>
        <v>Midwest</v>
      </c>
      <c r="F635" s="6" t="str">
        <f ca="1">IFERROR(__xludf.DUMMYFUNCTION("""COMPUTED_VALUE"""),"Man")</f>
        <v>Man</v>
      </c>
      <c r="G635" s="6" t="str">
        <f ca="1">IFERROR(__xludf.DUMMYFUNCTION("""COMPUTED_VALUE"""),"Man")</f>
        <v>Man</v>
      </c>
      <c r="H635" s="6" t="str">
        <f ca="1">IFERROR(__xludf.DUMMYFUNCTION("""COMPUTED_VALUE"""),"Man")</f>
        <v>Man</v>
      </c>
      <c r="I635" s="6"/>
      <c r="J635" s="6"/>
      <c r="K635" s="6"/>
      <c r="L635" s="6" t="str">
        <f ca="1">IFERROR(__xludf.DUMMYFUNCTION("""COMPUTED_VALUE"""),"No")</f>
        <v>No</v>
      </c>
      <c r="M635" s="6"/>
      <c r="N635" s="6"/>
      <c r="O635" s="6" t="str">
        <f ca="1">IFERROR(__xludf.DUMMYFUNCTION("""COMPUTED_VALUE"""),"Email")</f>
        <v>Email</v>
      </c>
      <c r="P635" s="6"/>
      <c r="Q635" s="6" t="str">
        <f ca="1">IFERROR(__xludf.DUMMYFUNCTION("""COMPUTED_VALUE"""),"No")</f>
        <v>No</v>
      </c>
      <c r="R635" s="6">
        <f ca="1">IFERROR(__xludf.DUMMYFUNCTION("""COMPUTED_VALUE"""),3)</f>
        <v>3</v>
      </c>
      <c r="S635" s="6" t="str">
        <f ca="1">IFERROR(__xludf.DUMMYFUNCTION("""COMPUTED_VALUE"""),"Pre-seed")</f>
        <v>Pre-seed</v>
      </c>
      <c r="T635" s="6" t="str">
        <f ca="1">IFERROR(__xludf.DUMMYFUNCTION("""COMPUTED_VALUE"""),"Pre-seed")</f>
        <v>Pre-seed</v>
      </c>
      <c r="U635" s="6" t="str">
        <f ca="1">IFERROR(__xludf.DUMMYFUNCTION("""COMPUTED_VALUE"""),"Pre-seed")</f>
        <v>Pre-seed</v>
      </c>
      <c r="V635" s="6"/>
      <c r="W635" s="6" t="str">
        <f ca="1">IFERROR(__xludf.DUMMYFUNCTION("""COMPUTED_VALUE"""),"Invite Next Year")</f>
        <v>Invite Next Year</v>
      </c>
    </row>
    <row r="636" spans="1:23">
      <c r="A636" s="6" t="str">
        <f ca="1">IFERROR(__xludf.DUMMYFUNCTION("""COMPUTED_VALUE"""),"Man, Woman")</f>
        <v>Man, Woman</v>
      </c>
      <c r="B636" s="6" t="str">
        <f ca="1">IFERROR(__xludf.DUMMYFUNCTION("""COMPUTED_VALUE"""),"Sipple Care Inc. _2022")</f>
        <v>Sipple Care Inc. _2022</v>
      </c>
      <c r="C636" s="6" t="str">
        <f ca="1">IFERROR(__xludf.DUMMYFUNCTION("""COMPUTED_VALUE"""),"Life Sciences")</f>
        <v>Life Sciences</v>
      </c>
      <c r="D636" s="6" t="str">
        <f ca="1">IFERROR(__xludf.DUMMYFUNCTION("""COMPUTED_VALUE"""),"10 Club Rd, Riverside 
United States")</f>
        <v>10 Club Rd, Riverside 
United States</v>
      </c>
      <c r="E636" s="6" t="str">
        <f ca="1">IFERROR(__xludf.DUMMYFUNCTION("""COMPUTED_VALUE"""),"East Coast")</f>
        <v>East Coast</v>
      </c>
      <c r="F636" s="6" t="str">
        <f ca="1">IFERROR(__xludf.DUMMYFUNCTION("""COMPUTED_VALUE"""),"Man")</f>
        <v>Man</v>
      </c>
      <c r="G636" s="6" t="str">
        <f ca="1">IFERROR(__xludf.DUMMYFUNCTION("""COMPUTED_VALUE"""),"Woman")</f>
        <v>Woman</v>
      </c>
      <c r="H636" s="6"/>
      <c r="I636" s="6"/>
      <c r="J636" s="6"/>
      <c r="K636" s="6"/>
      <c r="L636" s="6" t="str">
        <f ca="1">IFERROR(__xludf.DUMMYFUNCTION("""COMPUTED_VALUE"""),"Yes")</f>
        <v>Yes</v>
      </c>
      <c r="M636" s="6" t="str">
        <f ca="1">IFERROR(__xludf.DUMMYFUNCTION("""COMPUTED_VALUE"""),"NYU Student")</f>
        <v>NYU Student</v>
      </c>
      <c r="N636" s="6"/>
      <c r="O636" s="6" t="str">
        <f ca="1">IFERROR(__xludf.DUMMYFUNCTION("""COMPUTED_VALUE"""),"NYU Newsletter")</f>
        <v>NYU Newsletter</v>
      </c>
      <c r="P636" s="6"/>
      <c r="Q636" s="6" t="str">
        <f ca="1">IFERROR(__xludf.DUMMYFUNCTION("""COMPUTED_VALUE"""),"No")</f>
        <v>No</v>
      </c>
      <c r="R636" s="6">
        <f ca="1">IFERROR(__xludf.DUMMYFUNCTION("""COMPUTED_VALUE"""),2)</f>
        <v>2</v>
      </c>
      <c r="S636" s="6" t="str">
        <f ca="1">IFERROR(__xludf.DUMMYFUNCTION("""COMPUTED_VALUE"""),"None")</f>
        <v>None</v>
      </c>
      <c r="T636" s="6" t="str">
        <f ca="1">IFERROR(__xludf.DUMMYFUNCTION("""COMPUTED_VALUE"""),"None")</f>
        <v>None</v>
      </c>
      <c r="U636" s="6" t="str">
        <f ca="1">IFERROR(__xludf.DUMMYFUNCTION("""COMPUTED_VALUE"""),"None")</f>
        <v>None</v>
      </c>
      <c r="V636" s="6"/>
      <c r="W636" s="6" t="str">
        <f ca="1">IFERROR(__xludf.DUMMYFUNCTION("""COMPUTED_VALUE"""),"Special Reject")</f>
        <v>Special Reject</v>
      </c>
    </row>
    <row r="637" spans="1:23">
      <c r="A637" s="6" t="str">
        <f ca="1">IFERROR(__xludf.DUMMYFUNCTION("""COMPUTED_VALUE"""),"Man")</f>
        <v>Man</v>
      </c>
      <c r="B637" s="6" t="str">
        <f ca="1">IFERROR(__xludf.DUMMYFUNCTION("""COMPUTED_VALUE"""),"StockGro _2022")</f>
        <v>StockGro _2022</v>
      </c>
      <c r="C637" s="6" t="str">
        <f ca="1">IFERROR(__xludf.DUMMYFUNCTION("""COMPUTED_VALUE"""),"Digital Tech")</f>
        <v>Digital Tech</v>
      </c>
      <c r="D637" s="6" t="str">
        <f ca="1">IFERROR(__xludf.DUMMYFUNCTION("""COMPUTED_VALUE"""),"WeWork Galaxy, 43, Residency Rd, Shanthala Nagar, Ashok Nagar, Bengaluru - 560025, Karnataka 
India")</f>
        <v>WeWork Galaxy, 43, Residency Rd, Shanthala Nagar, Ashok Nagar, Bengaluru - 560025, Karnataka 
India</v>
      </c>
      <c r="E637" s="6" t="str">
        <f ca="1">IFERROR(__xludf.DUMMYFUNCTION("""COMPUTED_VALUE"""),"International - Asia")</f>
        <v>International - Asia</v>
      </c>
      <c r="F637" s="6" t="str">
        <f ca="1">IFERROR(__xludf.DUMMYFUNCTION("""COMPUTED_VALUE"""),"Man")</f>
        <v>Man</v>
      </c>
      <c r="G637" s="6"/>
      <c r="H637" s="6"/>
      <c r="I637" s="6"/>
      <c r="J637" s="6"/>
      <c r="K637" s="6"/>
      <c r="L637" s="6" t="str">
        <f ca="1">IFERROR(__xludf.DUMMYFUNCTION("""COMPUTED_VALUE"""),"No")</f>
        <v>No</v>
      </c>
      <c r="M637" s="6"/>
      <c r="N637" s="6"/>
      <c r="O637" s="6" t="str">
        <f ca="1">IFERROR(__xludf.DUMMYFUNCTION("""COMPUTED_VALUE"""),"Email")</f>
        <v>Email</v>
      </c>
      <c r="P637" s="6"/>
      <c r="Q637" s="6" t="str">
        <f ca="1">IFERROR(__xludf.DUMMYFUNCTION("""COMPUTED_VALUE"""),"No")</f>
        <v>No</v>
      </c>
      <c r="R637" s="6">
        <f ca="1">IFERROR(__xludf.DUMMYFUNCTION("""COMPUTED_VALUE"""),1)</f>
        <v>1</v>
      </c>
      <c r="S637" s="6" t="str">
        <f ca="1">IFERROR(__xludf.DUMMYFUNCTION("""COMPUTED_VALUE"""),"Seed
Series A")</f>
        <v>Seed
Series A</v>
      </c>
      <c r="T637" s="6" t="str">
        <f ca="1">IFERROR(__xludf.DUMMYFUNCTION("""COMPUTED_VALUE"""),"Seed, Series A")</f>
        <v>Seed, Series A</v>
      </c>
      <c r="U637" s="6" t="str">
        <f ca="1">IFERROR(__xludf.DUMMYFUNCTION("""COMPUTED_VALUE"""),"Seed, Series A")</f>
        <v>Seed, Series A</v>
      </c>
      <c r="V637" s="6"/>
      <c r="W637" s="6" t="str">
        <f ca="1">IFERROR(__xludf.DUMMYFUNCTION("""COMPUTED_VALUE"""),"Invite Next Year")</f>
        <v>Invite Next Year</v>
      </c>
    </row>
    <row r="638" spans="1:23">
      <c r="A638" s="6" t="str">
        <f ca="1">IFERROR(__xludf.DUMMYFUNCTION("""COMPUTED_VALUE"""),"Woman")</f>
        <v>Woman</v>
      </c>
      <c r="B638" s="6" t="str">
        <f ca="1">IFERROR(__xludf.DUMMYFUNCTION("""COMPUTED_VALUE"""),"Poppy Seed Health _2022")</f>
        <v>Poppy Seed Health _2022</v>
      </c>
      <c r="C638" s="6" t="str">
        <f ca="1">IFERROR(__xludf.DUMMYFUNCTION("""COMPUTED_VALUE"""),"Digital Tech")</f>
        <v>Digital Tech</v>
      </c>
      <c r="D638" s="6" t="str">
        <f ca="1">IFERROR(__xludf.DUMMYFUNCTION("""COMPUTED_VALUE"""),"250 Broadway, New York 
United States")</f>
        <v>250 Broadway, New York 
United States</v>
      </c>
      <c r="E638" s="6" t="str">
        <f ca="1">IFERROR(__xludf.DUMMYFUNCTION("""COMPUTED_VALUE"""),"New York")</f>
        <v>New York</v>
      </c>
      <c r="F638" s="6" t="str">
        <f ca="1">IFERROR(__xludf.DUMMYFUNCTION("""COMPUTED_VALUE"""),"Woman")</f>
        <v>Woman</v>
      </c>
      <c r="G638" s="6"/>
      <c r="H638" s="6"/>
      <c r="I638" s="6"/>
      <c r="J638" s="6"/>
      <c r="K638" s="6"/>
      <c r="L638" s="6" t="str">
        <f ca="1">IFERROR(__xludf.DUMMYFUNCTION("""COMPUTED_VALUE"""),"--Please select--")</f>
        <v>--Please select--</v>
      </c>
      <c r="M638" s="6"/>
      <c r="N638" s="6"/>
      <c r="O638" s="6" t="str">
        <f ca="1">IFERROR(__xludf.DUMMYFUNCTION("""COMPUTED_VALUE"""),"Referral")</f>
        <v>Referral</v>
      </c>
      <c r="P638" s="6"/>
      <c r="Q638" s="6" t="str">
        <f ca="1">IFERROR(__xludf.DUMMYFUNCTION("""COMPUTED_VALUE"""),"No")</f>
        <v>No</v>
      </c>
      <c r="R638" s="6">
        <f ca="1">IFERROR(__xludf.DUMMYFUNCTION("""COMPUTED_VALUE"""),1)</f>
        <v>1</v>
      </c>
      <c r="S638" s="6" t="str">
        <f ca="1">IFERROR(__xludf.DUMMYFUNCTION("""COMPUTED_VALUE"""),"Pre-seed")</f>
        <v>Pre-seed</v>
      </c>
      <c r="T638" s="6" t="str">
        <f ca="1">IFERROR(__xludf.DUMMYFUNCTION("""COMPUTED_VALUE"""),"Pre-seed")</f>
        <v>Pre-seed</v>
      </c>
      <c r="U638" s="6" t="str">
        <f ca="1">IFERROR(__xludf.DUMMYFUNCTION("""COMPUTED_VALUE"""),"Pre-seed")</f>
        <v>Pre-seed</v>
      </c>
      <c r="V638" s="6"/>
      <c r="W638" s="6" t="str">
        <f ca="1">IFERROR(__xludf.DUMMYFUNCTION("""COMPUTED_VALUE"""),"Invite Next Year")</f>
        <v>Invite Next Year</v>
      </c>
    </row>
    <row r="639" spans="1:23">
      <c r="A639" s="6" t="str">
        <f ca="1">IFERROR(__xludf.DUMMYFUNCTION("""COMPUTED_VALUE"""),"Woman, Man, Man")</f>
        <v>Woman, Man, Man</v>
      </c>
      <c r="B639" s="6" t="str">
        <f ca="1">IFERROR(__xludf.DUMMYFUNCTION("""COMPUTED_VALUE"""),"Riverr Pte. Ltd. _2022")</f>
        <v>Riverr Pte. Ltd. _2022</v>
      </c>
      <c r="C639" s="6" t="str">
        <f ca="1">IFERROR(__xludf.DUMMYFUNCTION("""COMPUTED_VALUE"""),"Digital Tech")</f>
        <v>Digital Tech</v>
      </c>
      <c r="D639" s="6" t="str">
        <f ca="1">IFERROR(__xludf.DUMMYFUNCTION("""COMPUTED_VALUE"""),"135 Middle Road #02-24 Bylands Buildings. Singapore 188975, Singapore 
Singapore")</f>
        <v>135 Middle Road #02-24 Bylands Buildings. Singapore 188975, Singapore 
Singapore</v>
      </c>
      <c r="E639" s="6" t="str">
        <f ca="1">IFERROR(__xludf.DUMMYFUNCTION("""COMPUTED_VALUE"""),"International - Asia")</f>
        <v>International - Asia</v>
      </c>
      <c r="F639" s="6" t="str">
        <f ca="1">IFERROR(__xludf.DUMMYFUNCTION("""COMPUTED_VALUE"""),"Woman")</f>
        <v>Woman</v>
      </c>
      <c r="G639" s="6" t="str">
        <f ca="1">IFERROR(__xludf.DUMMYFUNCTION("""COMPUTED_VALUE"""),"Man")</f>
        <v>Man</v>
      </c>
      <c r="H639" s="6" t="str">
        <f ca="1">IFERROR(__xludf.DUMMYFUNCTION("""COMPUTED_VALUE"""),"Man")</f>
        <v>Man</v>
      </c>
      <c r="I639" s="6"/>
      <c r="J639" s="6"/>
      <c r="K639" s="6"/>
      <c r="L639" s="6" t="str">
        <f ca="1">IFERROR(__xludf.DUMMYFUNCTION("""COMPUTED_VALUE"""),"No")</f>
        <v>No</v>
      </c>
      <c r="M639" s="6"/>
      <c r="N639" s="6"/>
      <c r="O639" s="6" t="str">
        <f ca="1">IFERROR(__xludf.DUMMYFUNCTION("""COMPUTED_VALUE"""),"Email")</f>
        <v>Email</v>
      </c>
      <c r="P639" s="6"/>
      <c r="Q639" s="6" t="str">
        <f ca="1">IFERROR(__xludf.DUMMYFUNCTION("""COMPUTED_VALUE"""),"No")</f>
        <v>No</v>
      </c>
      <c r="R639" s="6">
        <f ca="1">IFERROR(__xludf.DUMMYFUNCTION("""COMPUTED_VALUE"""),3)</f>
        <v>3</v>
      </c>
      <c r="S639" s="6" t="str">
        <f ca="1">IFERROR(__xludf.DUMMYFUNCTION("""COMPUTED_VALUE"""),"Seed")</f>
        <v>Seed</v>
      </c>
      <c r="T639" s="6" t="str">
        <f ca="1">IFERROR(__xludf.DUMMYFUNCTION("""COMPUTED_VALUE"""),"Seed")</f>
        <v>Seed</v>
      </c>
      <c r="U639" s="6" t="str">
        <f ca="1">IFERROR(__xludf.DUMMYFUNCTION("""COMPUTED_VALUE"""),"Seed")</f>
        <v>Seed</v>
      </c>
      <c r="V639" s="6"/>
      <c r="W639" s="6" t="str">
        <f ca="1">IFERROR(__xludf.DUMMYFUNCTION("""COMPUTED_VALUE"""),"Invite Next Year")</f>
        <v>Invite Next Year</v>
      </c>
    </row>
    <row r="640" spans="1:23">
      <c r="A640" s="6" t="str">
        <f ca="1">IFERROR(__xludf.DUMMYFUNCTION("""COMPUTED_VALUE"""),"Woman")</f>
        <v>Woman</v>
      </c>
      <c r="B640" s="6" t="str">
        <f ca="1">IFERROR(__xludf.DUMMYFUNCTION("""COMPUTED_VALUE"""),"To be determined (TBD)  _2022")</f>
        <v>To be determined (TBD)  _2022</v>
      </c>
      <c r="C640" s="6" t="str">
        <f ca="1">IFERROR(__xludf.DUMMYFUNCTION("""COMPUTED_VALUE"""),"Digital Tech")</f>
        <v>Digital Tech</v>
      </c>
      <c r="D640" s="6" t="str">
        <f ca="1">IFERROR(__xludf.DUMMYFUNCTION("""COMPUTED_VALUE"""),"Brooklyn, NY 
United States")</f>
        <v>Brooklyn, NY 
United States</v>
      </c>
      <c r="E640" s="6" t="str">
        <f ca="1">IFERROR(__xludf.DUMMYFUNCTION("""COMPUTED_VALUE"""),"New York")</f>
        <v>New York</v>
      </c>
      <c r="F640" s="6" t="str">
        <f ca="1">IFERROR(__xludf.DUMMYFUNCTION("""COMPUTED_VALUE"""),"Woman")</f>
        <v>Woman</v>
      </c>
      <c r="G640" s="6"/>
      <c r="H640" s="6"/>
      <c r="I640" s="6"/>
      <c r="J640" s="6"/>
      <c r="K640" s="6"/>
      <c r="L640" s="6" t="str">
        <f ca="1">IFERROR(__xludf.DUMMYFUNCTION("""COMPUTED_VALUE"""),"Yes")</f>
        <v>Yes</v>
      </c>
      <c r="M640" s="6" t="str">
        <f ca="1">IFERROR(__xludf.DUMMYFUNCTION("""COMPUTED_VALUE"""),"Former NYU Fellow/Faculty/Staff")</f>
        <v>Former NYU Fellow/Faculty/Staff</v>
      </c>
      <c r="N640" s="6"/>
      <c r="O640" s="6" t="str">
        <f ca="1">IFERROR(__xludf.DUMMYFUNCTION("""COMPUTED_VALUE"""),"Email")</f>
        <v>Email</v>
      </c>
      <c r="P640" s="6"/>
      <c r="Q640" s="6" t="str">
        <f ca="1">IFERROR(__xludf.DUMMYFUNCTION("""COMPUTED_VALUE"""),"No")</f>
        <v>No</v>
      </c>
      <c r="R640" s="6">
        <f ca="1">IFERROR(__xludf.DUMMYFUNCTION("""COMPUTED_VALUE"""),1)</f>
        <v>1</v>
      </c>
      <c r="S640" s="6" t="str">
        <f ca="1">IFERROR(__xludf.DUMMYFUNCTION("""COMPUTED_VALUE"""),"None")</f>
        <v>None</v>
      </c>
      <c r="T640" s="6" t="str">
        <f ca="1">IFERROR(__xludf.DUMMYFUNCTION("""COMPUTED_VALUE"""),"None")</f>
        <v>None</v>
      </c>
      <c r="U640" s="6" t="str">
        <f ca="1">IFERROR(__xludf.DUMMYFUNCTION("""COMPUTED_VALUE"""),"None")</f>
        <v>None</v>
      </c>
      <c r="V640" s="6"/>
      <c r="W640" s="6" t="str">
        <f ca="1">IFERROR(__xludf.DUMMYFUNCTION("""COMPUTED_VALUE"""),"Invite Next Year")</f>
        <v>Invite Next Year</v>
      </c>
    </row>
    <row r="641" spans="1:23">
      <c r="A641" s="6" t="str">
        <f ca="1">IFERROR(__xludf.DUMMYFUNCTION("""COMPUTED_VALUE"""),"Woman, Woman")</f>
        <v>Woman, Woman</v>
      </c>
      <c r="B641" s="6" t="str">
        <f ca="1">IFERROR(__xludf.DUMMYFUNCTION("""COMPUTED_VALUE"""),"ShareID _2022")</f>
        <v>ShareID _2022</v>
      </c>
      <c r="C641" s="6" t="str">
        <f ca="1">IFERROR(__xludf.DUMMYFUNCTION("""COMPUTED_VALUE"""),"Digital Tech")</f>
        <v>Digital Tech</v>
      </c>
      <c r="D641" s="6" t="str">
        <f ca="1">IFERROR(__xludf.DUMMYFUNCTION("""COMPUTED_VALUE"""),"NEUILLY-SUR-SEINE, Île-de-France 
France")</f>
        <v>NEUILLY-SUR-SEINE, Île-de-France 
France</v>
      </c>
      <c r="E641" s="6" t="str">
        <f ca="1">IFERROR(__xludf.DUMMYFUNCTION("""COMPUTED_VALUE"""),"International - Europe")</f>
        <v>International - Europe</v>
      </c>
      <c r="F641" s="6" t="str">
        <f ca="1">IFERROR(__xludf.DUMMYFUNCTION("""COMPUTED_VALUE"""),"Woman")</f>
        <v>Woman</v>
      </c>
      <c r="G641" s="6" t="str">
        <f ca="1">IFERROR(__xludf.DUMMYFUNCTION("""COMPUTED_VALUE"""),"Woman")</f>
        <v>Woman</v>
      </c>
      <c r="H641" s="6"/>
      <c r="I641" s="6"/>
      <c r="J641" s="6"/>
      <c r="K641" s="6"/>
      <c r="L641" s="6" t="str">
        <f ca="1">IFERROR(__xludf.DUMMYFUNCTION("""COMPUTED_VALUE"""),"No")</f>
        <v>No</v>
      </c>
      <c r="M641" s="6"/>
      <c r="N641" s="6"/>
      <c r="O641" s="6" t="str">
        <f ca="1">IFERROR(__xludf.DUMMYFUNCTION("""COMPUTED_VALUE"""),"Other")</f>
        <v>Other</v>
      </c>
      <c r="P641" s="6"/>
      <c r="Q641" s="6" t="str">
        <f ca="1">IFERROR(__xludf.DUMMYFUNCTION("""COMPUTED_VALUE"""),"No")</f>
        <v>No</v>
      </c>
      <c r="R641" s="6">
        <f ca="1">IFERROR(__xludf.DUMMYFUNCTION("""COMPUTED_VALUE"""),2)</f>
        <v>2</v>
      </c>
      <c r="S641" s="6" t="str">
        <f ca="1">IFERROR(__xludf.DUMMYFUNCTION("""COMPUTED_VALUE"""),"Pre-seed
Seed")</f>
        <v>Pre-seed
Seed</v>
      </c>
      <c r="T641" s="6" t="str">
        <f ca="1">IFERROR(__xludf.DUMMYFUNCTION("""COMPUTED_VALUE"""),"Pre-seed, Seed")</f>
        <v>Pre-seed, Seed</v>
      </c>
      <c r="U641" s="6" t="str">
        <f ca="1">IFERROR(__xludf.DUMMYFUNCTION("""COMPUTED_VALUE"""),"Pre-seed, Seed")</f>
        <v>Pre-seed, Seed</v>
      </c>
      <c r="V641" s="6"/>
      <c r="W641" s="6" t="str">
        <f ca="1">IFERROR(__xludf.DUMMYFUNCTION("""COMPUTED_VALUE"""),"Invite")</f>
        <v>Invite</v>
      </c>
    </row>
    <row r="642" spans="1:23">
      <c r="A642" s="6" t="str">
        <f ca="1">IFERROR(__xludf.DUMMYFUNCTION("""COMPUTED_VALUE"""),"Man, --Please select--, Man")</f>
        <v>Man, --Please select--, Man</v>
      </c>
      <c r="B642" s="6" t="str">
        <f ca="1">IFERROR(__xludf.DUMMYFUNCTION("""COMPUTED_VALUE"""),"Texelio AB _2022")</f>
        <v>Texelio AB _2022</v>
      </c>
      <c r="C642" s="6" t="str">
        <f ca="1">IFERROR(__xludf.DUMMYFUNCTION("""COMPUTED_VALUE"""),"Deep Tech")</f>
        <v>Deep Tech</v>
      </c>
      <c r="D642" s="6" t="str">
        <f ca="1">IFERROR(__xludf.DUMMYFUNCTION("""COMPUTED_VALUE"""),"Lilla Nygatan 14, Stockholm 
Sweden")</f>
        <v>Lilla Nygatan 14, Stockholm 
Sweden</v>
      </c>
      <c r="E642" s="6" t="str">
        <f ca="1">IFERROR(__xludf.DUMMYFUNCTION("""COMPUTED_VALUE"""),"International - Europe")</f>
        <v>International - Europe</v>
      </c>
      <c r="F642" s="6" t="str">
        <f ca="1">IFERROR(__xludf.DUMMYFUNCTION("""COMPUTED_VALUE"""),"Man")</f>
        <v>Man</v>
      </c>
      <c r="G642" s="6" t="str">
        <f ca="1">IFERROR(__xludf.DUMMYFUNCTION("""COMPUTED_VALUE"""),"--Please select--")</f>
        <v>--Please select--</v>
      </c>
      <c r="H642" s="6" t="str">
        <f ca="1">IFERROR(__xludf.DUMMYFUNCTION("""COMPUTED_VALUE"""),"Man")</f>
        <v>Man</v>
      </c>
      <c r="I642" s="6"/>
      <c r="J642" s="6"/>
      <c r="K642" s="6"/>
      <c r="L642" s="6" t="str">
        <f ca="1">IFERROR(__xludf.DUMMYFUNCTION("""COMPUTED_VALUE"""),"No")</f>
        <v>No</v>
      </c>
      <c r="M642" s="6"/>
      <c r="N642" s="6"/>
      <c r="O642" s="6" t="str">
        <f ca="1">IFERROR(__xludf.DUMMYFUNCTION("""COMPUTED_VALUE"""),"Email")</f>
        <v>Email</v>
      </c>
      <c r="P642" s="6"/>
      <c r="Q642" s="6" t="str">
        <f ca="1">IFERROR(__xludf.DUMMYFUNCTION("""COMPUTED_VALUE"""),"No")</f>
        <v>No</v>
      </c>
      <c r="R642" s="6">
        <f ca="1">IFERROR(__xludf.DUMMYFUNCTION("""COMPUTED_VALUE"""),3)</f>
        <v>3</v>
      </c>
      <c r="S642" s="6" t="str">
        <f ca="1">IFERROR(__xludf.DUMMYFUNCTION("""COMPUTED_VALUE"""),"Pre-seed")</f>
        <v>Pre-seed</v>
      </c>
      <c r="T642" s="6" t="str">
        <f ca="1">IFERROR(__xludf.DUMMYFUNCTION("""COMPUTED_VALUE"""),"Pre-seed")</f>
        <v>Pre-seed</v>
      </c>
      <c r="U642" s="6" t="str">
        <f ca="1">IFERROR(__xludf.DUMMYFUNCTION("""COMPUTED_VALUE"""),"Pre-seed")</f>
        <v>Pre-seed</v>
      </c>
      <c r="V642" s="6"/>
      <c r="W642" s="6" t="str">
        <f ca="1">IFERROR(__xludf.DUMMYFUNCTION("""COMPUTED_VALUE"""),"Invite Next Year")</f>
        <v>Invite Next Year</v>
      </c>
    </row>
    <row r="643" spans="1:23">
      <c r="A643" s="6" t="str">
        <f ca="1">IFERROR(__xludf.DUMMYFUNCTION("""COMPUTED_VALUE"""),"Man, Man, Man")</f>
        <v>Man, Man, Man</v>
      </c>
      <c r="B643" s="6" t="str">
        <f ca="1">IFERROR(__xludf.DUMMYFUNCTION("""COMPUTED_VALUE"""),"Voltela _2022")</f>
        <v>Voltela _2022</v>
      </c>
      <c r="C643" s="6" t="str">
        <f ca="1">IFERROR(__xludf.DUMMYFUNCTION("""COMPUTED_VALUE"""),"Digital Tech")</f>
        <v>Digital Tech</v>
      </c>
      <c r="D643" s="6" t="str">
        <f ca="1">IFERROR(__xludf.DUMMYFUNCTION("""COMPUTED_VALUE"""),"New York, NY 
United States")</f>
        <v>New York, NY 
United States</v>
      </c>
      <c r="E643" s="6" t="str">
        <f ca="1">IFERROR(__xludf.DUMMYFUNCTION("""COMPUTED_VALUE"""),"New York")</f>
        <v>New York</v>
      </c>
      <c r="F643" s="6" t="str">
        <f ca="1">IFERROR(__xludf.DUMMYFUNCTION("""COMPUTED_VALUE"""),"Man")</f>
        <v>Man</v>
      </c>
      <c r="G643" s="6" t="str">
        <f ca="1">IFERROR(__xludf.DUMMYFUNCTION("""COMPUTED_VALUE"""),"Man")</f>
        <v>Man</v>
      </c>
      <c r="H643" s="6" t="str">
        <f ca="1">IFERROR(__xludf.DUMMYFUNCTION("""COMPUTED_VALUE"""),"Man")</f>
        <v>Man</v>
      </c>
      <c r="I643" s="6"/>
      <c r="J643" s="6"/>
      <c r="K643" s="6"/>
      <c r="L643" s="6" t="str">
        <f ca="1">IFERROR(__xludf.DUMMYFUNCTION("""COMPUTED_VALUE"""),"No")</f>
        <v>No</v>
      </c>
      <c r="M643" s="6"/>
      <c r="N643" s="6"/>
      <c r="O643" s="6" t="str">
        <f ca="1">IFERROR(__xludf.DUMMYFUNCTION("""COMPUTED_VALUE"""),"Referral")</f>
        <v>Referral</v>
      </c>
      <c r="P643" s="6"/>
      <c r="Q643" s="6" t="str">
        <f ca="1">IFERROR(__xludf.DUMMYFUNCTION("""COMPUTED_VALUE"""),"Yes")</f>
        <v>Yes</v>
      </c>
      <c r="R643" s="6">
        <f ca="1">IFERROR(__xludf.DUMMYFUNCTION("""COMPUTED_VALUE"""),3)</f>
        <v>3</v>
      </c>
      <c r="S643" s="6" t="str">
        <f ca="1">IFERROR(__xludf.DUMMYFUNCTION("""COMPUTED_VALUE"""),"Pre-seed
Grants")</f>
        <v>Pre-seed
Grants</v>
      </c>
      <c r="T643" s="6" t="str">
        <f ca="1">IFERROR(__xludf.DUMMYFUNCTION("""COMPUTED_VALUE"""),"Pre-seed, Grants")</f>
        <v>Pre-seed, Grants</v>
      </c>
      <c r="U643" s="6" t="str">
        <f ca="1">IFERROR(__xludf.DUMMYFUNCTION("""COMPUTED_VALUE"""),"Pre-seed, Grants")</f>
        <v>Pre-seed, Grants</v>
      </c>
      <c r="V643" s="6"/>
      <c r="W643" s="6" t="str">
        <f ca="1">IFERROR(__xludf.DUMMYFUNCTION("""COMPUTED_VALUE"""),"Invite")</f>
        <v>Invite</v>
      </c>
    </row>
    <row r="644" spans="1:23">
      <c r="A644" s="6" t="str">
        <f ca="1">IFERROR(__xludf.DUMMYFUNCTION("""COMPUTED_VALUE"""),"Woman, Man")</f>
        <v>Woman, Man</v>
      </c>
      <c r="B644" s="6" t="str">
        <f ca="1">IFERROR(__xludf.DUMMYFUNCTION("""COMPUTED_VALUE"""),"Monetized _2022")</f>
        <v>Monetized _2022</v>
      </c>
      <c r="C644" s="6" t="str">
        <f ca="1">IFERROR(__xludf.DUMMYFUNCTION("""COMPUTED_VALUE"""),"Digital Tech")</f>
        <v>Digital Tech</v>
      </c>
      <c r="D644" s="6" t="str">
        <f ca="1">IFERROR(__xludf.DUMMYFUNCTION("""COMPUTED_VALUE"""),"San Antonio, Texas 
United States")</f>
        <v>San Antonio, Texas 
United States</v>
      </c>
      <c r="E644" s="6" t="str">
        <f ca="1">IFERROR(__xludf.DUMMYFUNCTION("""COMPUTED_VALUE"""),"South")</f>
        <v>South</v>
      </c>
      <c r="F644" s="6" t="str">
        <f ca="1">IFERROR(__xludf.DUMMYFUNCTION("""COMPUTED_VALUE"""),"Woman")</f>
        <v>Woman</v>
      </c>
      <c r="G644" s="6" t="str">
        <f ca="1">IFERROR(__xludf.DUMMYFUNCTION("""COMPUTED_VALUE"""),"Man")</f>
        <v>Man</v>
      </c>
      <c r="H644" s="6"/>
      <c r="I644" s="6"/>
      <c r="J644" s="6"/>
      <c r="K644" s="6"/>
      <c r="L644" s="6" t="str">
        <f ca="1">IFERROR(__xludf.DUMMYFUNCTION("""COMPUTED_VALUE"""),"No")</f>
        <v>No</v>
      </c>
      <c r="M644" s="6"/>
      <c r="N644" s="6"/>
      <c r="O644" s="6" t="str">
        <f ca="1">IFERROR(__xludf.DUMMYFUNCTION("""COMPUTED_VALUE"""),"A web posting")</f>
        <v>A web posting</v>
      </c>
      <c r="P644" s="6"/>
      <c r="Q644" s="6" t="str">
        <f ca="1">IFERROR(__xludf.DUMMYFUNCTION("""COMPUTED_VALUE"""),"No")</f>
        <v>No</v>
      </c>
      <c r="R644" s="6">
        <f ca="1">IFERROR(__xludf.DUMMYFUNCTION("""COMPUTED_VALUE"""),2)</f>
        <v>2</v>
      </c>
      <c r="S644" s="6" t="str">
        <f ca="1">IFERROR(__xludf.DUMMYFUNCTION("""COMPUTED_VALUE"""),"None")</f>
        <v>None</v>
      </c>
      <c r="T644" s="6" t="str">
        <f ca="1">IFERROR(__xludf.DUMMYFUNCTION("""COMPUTED_VALUE"""),"None")</f>
        <v>None</v>
      </c>
      <c r="U644" s="6" t="str">
        <f ca="1">IFERROR(__xludf.DUMMYFUNCTION("""COMPUTED_VALUE"""),"None")</f>
        <v>None</v>
      </c>
      <c r="V644" s="6"/>
      <c r="W644" s="6" t="str">
        <f ca="1">IFERROR(__xludf.DUMMYFUNCTION("""COMPUTED_VALUE"""),"Invite Next Year")</f>
        <v>Invite Next Year</v>
      </c>
    </row>
    <row r="645" spans="1:23">
      <c r="A645" s="6" t="str">
        <f ca="1">IFERROR(__xludf.DUMMYFUNCTION("""COMPUTED_VALUE"""),"Man, Woman")</f>
        <v>Man, Woman</v>
      </c>
      <c r="B645" s="6" t="str">
        <f ca="1">IFERROR(__xludf.DUMMYFUNCTION("""COMPUTED_VALUE"""),"Vernocular Inc _2022")</f>
        <v>Vernocular Inc _2022</v>
      </c>
      <c r="C645" s="6" t="str">
        <f ca="1">IFERROR(__xludf.DUMMYFUNCTION("""COMPUTED_VALUE"""),"Digital Tech")</f>
        <v>Digital Tech</v>
      </c>
      <c r="D645" s="6" t="str">
        <f ca="1">IFERROR(__xludf.DUMMYFUNCTION("""COMPUTED_VALUE"""),"New York, New York 
United States")</f>
        <v>New York, New York 
United States</v>
      </c>
      <c r="E645" s="6" t="str">
        <f ca="1">IFERROR(__xludf.DUMMYFUNCTION("""COMPUTED_VALUE"""),"New York")</f>
        <v>New York</v>
      </c>
      <c r="F645" s="6" t="str">
        <f ca="1">IFERROR(__xludf.DUMMYFUNCTION("""COMPUTED_VALUE"""),"Man")</f>
        <v>Man</v>
      </c>
      <c r="G645" s="6" t="str">
        <f ca="1">IFERROR(__xludf.DUMMYFUNCTION("""COMPUTED_VALUE"""),"Woman")</f>
        <v>Woman</v>
      </c>
      <c r="H645" s="6"/>
      <c r="I645" s="6"/>
      <c r="J645" s="6"/>
      <c r="K645" s="6"/>
      <c r="L645" s="6" t="str">
        <f ca="1">IFERROR(__xludf.DUMMYFUNCTION("""COMPUTED_VALUE"""),"No")</f>
        <v>No</v>
      </c>
      <c r="M645" s="6"/>
      <c r="N645" s="6"/>
      <c r="O645" s="6" t="str">
        <f ca="1">IFERROR(__xludf.DUMMYFUNCTION("""COMPUTED_VALUE"""),"Search Engine")</f>
        <v>Search Engine</v>
      </c>
      <c r="P645" s="6"/>
      <c r="Q645" s="6" t="str">
        <f ca="1">IFERROR(__xludf.DUMMYFUNCTION("""COMPUTED_VALUE"""),"No")</f>
        <v>No</v>
      </c>
      <c r="R645" s="6">
        <f ca="1">IFERROR(__xludf.DUMMYFUNCTION("""COMPUTED_VALUE"""),2)</f>
        <v>2</v>
      </c>
      <c r="S645" s="6" t="str">
        <f ca="1">IFERROR(__xludf.DUMMYFUNCTION("""COMPUTED_VALUE"""),"Pre-seed")</f>
        <v>Pre-seed</v>
      </c>
      <c r="T645" s="6" t="str">
        <f ca="1">IFERROR(__xludf.DUMMYFUNCTION("""COMPUTED_VALUE"""),"Pre-seed")</f>
        <v>Pre-seed</v>
      </c>
      <c r="U645" s="6" t="str">
        <f ca="1">IFERROR(__xludf.DUMMYFUNCTION("""COMPUTED_VALUE"""),"Pre-seed")</f>
        <v>Pre-seed</v>
      </c>
      <c r="V645" s="6"/>
      <c r="W645" s="6" t="str">
        <f ca="1">IFERROR(__xludf.DUMMYFUNCTION("""COMPUTED_VALUE"""),"Invite Next Year")</f>
        <v>Invite Next Year</v>
      </c>
    </row>
    <row r="646" spans="1:23">
      <c r="A646" s="6" t="str">
        <f ca="1">IFERROR(__xludf.DUMMYFUNCTION("""COMPUTED_VALUE"""),"Woman, Woman")</f>
        <v>Woman, Woman</v>
      </c>
      <c r="B646" s="6" t="str">
        <f ca="1">IFERROR(__xludf.DUMMYFUNCTION("""COMPUTED_VALUE"""),"MeNow _2022")</f>
        <v>MeNow _2022</v>
      </c>
      <c r="C646" s="6" t="str">
        <f ca="1">IFERROR(__xludf.DUMMYFUNCTION("""COMPUTED_VALUE"""),"Life Sciences")</f>
        <v>Life Sciences</v>
      </c>
      <c r="D646" s="6" t="str">
        <f ca="1">IFERROR(__xludf.DUMMYFUNCTION("""COMPUTED_VALUE"""),"Tel Aviv, Merkaz 
Israel")</f>
        <v>Tel Aviv, Merkaz 
Israel</v>
      </c>
      <c r="E646" s="6" t="str">
        <f ca="1">IFERROR(__xludf.DUMMYFUNCTION("""COMPUTED_VALUE"""),"International - Middle East")</f>
        <v>International - Middle East</v>
      </c>
      <c r="F646" s="6" t="str">
        <f ca="1">IFERROR(__xludf.DUMMYFUNCTION("""COMPUTED_VALUE"""),"Woman")</f>
        <v>Woman</v>
      </c>
      <c r="G646" s="6" t="str">
        <f ca="1">IFERROR(__xludf.DUMMYFUNCTION("""COMPUTED_VALUE"""),"Woman")</f>
        <v>Woman</v>
      </c>
      <c r="H646" s="6"/>
      <c r="I646" s="6"/>
      <c r="J646" s="6"/>
      <c r="K646" s="6"/>
      <c r="L646" s="6" t="str">
        <f ca="1">IFERROR(__xludf.DUMMYFUNCTION("""COMPUTED_VALUE"""),"No")</f>
        <v>No</v>
      </c>
      <c r="M646" s="6"/>
      <c r="N646" s="6"/>
      <c r="O646" s="6" t="str">
        <f ca="1">IFERROR(__xludf.DUMMYFUNCTION("""COMPUTED_VALUE"""),"Referral")</f>
        <v>Referral</v>
      </c>
      <c r="P646" s="6"/>
      <c r="Q646" s="6" t="str">
        <f ca="1">IFERROR(__xludf.DUMMYFUNCTION("""COMPUTED_VALUE"""),"No")</f>
        <v>No</v>
      </c>
      <c r="R646" s="6">
        <f ca="1">IFERROR(__xludf.DUMMYFUNCTION("""COMPUTED_VALUE"""),2)</f>
        <v>2</v>
      </c>
      <c r="S646" s="6" t="str">
        <f ca="1">IFERROR(__xludf.DUMMYFUNCTION("""COMPUTED_VALUE"""),"Pre-seed")</f>
        <v>Pre-seed</v>
      </c>
      <c r="T646" s="6" t="str">
        <f ca="1">IFERROR(__xludf.DUMMYFUNCTION("""COMPUTED_VALUE"""),"Pre-seed")</f>
        <v>Pre-seed</v>
      </c>
      <c r="U646" s="6" t="str">
        <f ca="1">IFERROR(__xludf.DUMMYFUNCTION("""COMPUTED_VALUE"""),"Pre-seed")</f>
        <v>Pre-seed</v>
      </c>
      <c r="V646" s="6"/>
      <c r="W646" s="6" t="str">
        <f ca="1">IFERROR(__xludf.DUMMYFUNCTION("""COMPUTED_VALUE"""),"Invite Next Year")</f>
        <v>Invite Next Year</v>
      </c>
    </row>
    <row r="647" spans="1:23">
      <c r="A647" s="6" t="str">
        <f ca="1">IFERROR(__xludf.DUMMYFUNCTION("""COMPUTED_VALUE"""),"Woman, Woman")</f>
        <v>Woman, Woman</v>
      </c>
      <c r="B647" s="6" t="str">
        <f ca="1">IFERROR(__xludf.DUMMYFUNCTION("""COMPUTED_VALUE"""),"Zena Therapeutics INC. _2022")</f>
        <v>Zena Therapeutics INC. _2022</v>
      </c>
      <c r="C647" s="6" t="str">
        <f ca="1">IFERROR(__xludf.DUMMYFUNCTION("""COMPUTED_VALUE"""),"Life Sciences")</f>
        <v>Life Sciences</v>
      </c>
      <c r="D647" s="6" t="str">
        <f ca="1">IFERROR(__xludf.DUMMYFUNCTION("""COMPUTED_VALUE"""),"Princeton, New Jersey 
United States")</f>
        <v>Princeton, New Jersey 
United States</v>
      </c>
      <c r="E647" s="6" t="str">
        <f ca="1">IFERROR(__xludf.DUMMYFUNCTION("""COMPUTED_VALUE"""),"East Coast")</f>
        <v>East Coast</v>
      </c>
      <c r="F647" s="6" t="str">
        <f ca="1">IFERROR(__xludf.DUMMYFUNCTION("""COMPUTED_VALUE"""),"Woman")</f>
        <v>Woman</v>
      </c>
      <c r="G647" s="6" t="str">
        <f ca="1">IFERROR(__xludf.DUMMYFUNCTION("""COMPUTED_VALUE"""),"Woman")</f>
        <v>Woman</v>
      </c>
      <c r="H647" s="6"/>
      <c r="I647" s="6"/>
      <c r="J647" s="6"/>
      <c r="K647" s="6"/>
      <c r="L647" s="6" t="str">
        <f ca="1">IFERROR(__xludf.DUMMYFUNCTION("""COMPUTED_VALUE"""),"No")</f>
        <v>No</v>
      </c>
      <c r="M647" s="6"/>
      <c r="N647" s="6"/>
      <c r="O647" s="6" t="str">
        <f ca="1">IFERROR(__xludf.DUMMYFUNCTION("""COMPUTED_VALUE"""),"Other")</f>
        <v>Other</v>
      </c>
      <c r="P647" s="6"/>
      <c r="Q647" s="6" t="str">
        <f ca="1">IFERROR(__xludf.DUMMYFUNCTION("""COMPUTED_VALUE"""),"No")</f>
        <v>No</v>
      </c>
      <c r="R647" s="6">
        <f ca="1">IFERROR(__xludf.DUMMYFUNCTION("""COMPUTED_VALUE"""),2)</f>
        <v>2</v>
      </c>
      <c r="S647" s="6" t="str">
        <f ca="1">IFERROR(__xludf.DUMMYFUNCTION("""COMPUTED_VALUE"""),"Grants
Other: R&amp;D voucher")</f>
        <v>Grants
Other: R&amp;D voucher</v>
      </c>
      <c r="T647" s="6" t="str">
        <f ca="1">IFERROR(__xludf.DUMMYFUNCTION("""COMPUTED_VALUE"""),"Grants, Other: R&amp;D voucher")</f>
        <v>Grants, Other: R&amp;D voucher</v>
      </c>
      <c r="U647" s="6" t="str">
        <f ca="1">IFERROR(__xludf.DUMMYFUNCTION("""COMPUTED_VALUE"""),"Grants, ")</f>
        <v xml:space="preserve">Grants, </v>
      </c>
      <c r="V647" s="6" t="str">
        <f ca="1">IFERROR(__xludf.DUMMYFUNCTION("""COMPUTED_VALUE"""),"R&amp;D voucher")</f>
        <v>R&amp;D voucher</v>
      </c>
      <c r="W647" s="6" t="str">
        <f ca="1">IFERROR(__xludf.DUMMYFUNCTION("""COMPUTED_VALUE"""),"Invite Next Year")</f>
        <v>Invite Next Year</v>
      </c>
    </row>
    <row r="648" spans="1:23">
      <c r="A648" s="6" t="str">
        <f ca="1">IFERROR(__xludf.DUMMYFUNCTION("""COMPUTED_VALUE"""),"Woman, Woman")</f>
        <v>Woman, Woman</v>
      </c>
      <c r="B648" s="6" t="str">
        <f ca="1">IFERROR(__xludf.DUMMYFUNCTION("""COMPUTED_VALUE"""),"Aequor Inc. _2022")</f>
        <v>Aequor Inc. _2022</v>
      </c>
      <c r="C648" s="6" t="str">
        <f ca="1">IFERROR(__xludf.DUMMYFUNCTION("""COMPUTED_VALUE"""),"Deep Tech")</f>
        <v>Deep Tech</v>
      </c>
      <c r="D648" s="6" t="str">
        <f ca="1">IFERROR(__xludf.DUMMYFUNCTION("""COMPUTED_VALUE"""),"San Diego, CA 
United States")</f>
        <v>San Diego, CA 
United States</v>
      </c>
      <c r="E648" s="6" t="str">
        <f ca="1">IFERROR(__xludf.DUMMYFUNCTION("""COMPUTED_VALUE"""),"West Coast")</f>
        <v>West Coast</v>
      </c>
      <c r="F648" s="6" t="str">
        <f ca="1">IFERROR(__xludf.DUMMYFUNCTION("""COMPUTED_VALUE"""),"Woman")</f>
        <v>Woman</v>
      </c>
      <c r="G648" s="6" t="str">
        <f ca="1">IFERROR(__xludf.DUMMYFUNCTION("""COMPUTED_VALUE"""),"Woman")</f>
        <v>Woman</v>
      </c>
      <c r="H648" s="6"/>
      <c r="I648" s="6"/>
      <c r="J648" s="6"/>
      <c r="K648" s="6"/>
      <c r="L648" s="6" t="str">
        <f ca="1">IFERROR(__xludf.DUMMYFUNCTION("""COMPUTED_VALUE"""),"--Please select--")</f>
        <v>--Please select--</v>
      </c>
      <c r="M648" s="6"/>
      <c r="N648" s="6"/>
      <c r="O648" s="6" t="str">
        <f ca="1">IFERROR(__xludf.DUMMYFUNCTION("""COMPUTED_VALUE"""),"Referral")</f>
        <v>Referral</v>
      </c>
      <c r="P648" s="6"/>
      <c r="Q648" s="6" t="str">
        <f ca="1">IFERROR(__xludf.DUMMYFUNCTION("""COMPUTED_VALUE"""),"Yes")</f>
        <v>Yes</v>
      </c>
      <c r="R648" s="6">
        <f ca="1">IFERROR(__xludf.DUMMYFUNCTION("""COMPUTED_VALUE"""),2)</f>
        <v>2</v>
      </c>
      <c r="S648" s="6" t="str">
        <f ca="1">IFERROR(__xludf.DUMMYFUNCTION("""COMPUTED_VALUE"""),"Pre-seed
Seed
Other: Validation data")</f>
        <v>Pre-seed
Seed
Other: Validation data</v>
      </c>
      <c r="T648" s="6" t="str">
        <f ca="1">IFERROR(__xludf.DUMMYFUNCTION("""COMPUTED_VALUE"""),"Pre-seed, Seed, Other: Validation data")</f>
        <v>Pre-seed, Seed, Other: Validation data</v>
      </c>
      <c r="U648" s="6" t="str">
        <f ca="1">IFERROR(__xludf.DUMMYFUNCTION("""COMPUTED_VALUE"""),"Pre-seed, Seed, ")</f>
        <v xml:space="preserve">Pre-seed, Seed, </v>
      </c>
      <c r="V648" s="6" t="str">
        <f ca="1">IFERROR(__xludf.DUMMYFUNCTION("""COMPUTED_VALUE"""),"Validation data")</f>
        <v>Validation data</v>
      </c>
      <c r="W648" s="6" t="str">
        <f ca="1">IFERROR(__xludf.DUMMYFUNCTION("""COMPUTED_VALUE"""),"Invite")</f>
        <v>Invite</v>
      </c>
    </row>
    <row r="649" spans="1:23">
      <c r="A649" s="6" t="str">
        <f ca="1">IFERROR(__xludf.DUMMYFUNCTION("""COMPUTED_VALUE"""),"Woman, Man, Man")</f>
        <v>Woman, Man, Man</v>
      </c>
      <c r="B649" s="6" t="str">
        <f ca="1">IFERROR(__xludf.DUMMYFUNCTION("""COMPUTED_VALUE"""),"breathe ilo GmbH _2022")</f>
        <v>breathe ilo GmbH _2022</v>
      </c>
      <c r="C649" s="6" t="str">
        <f ca="1">IFERROR(__xludf.DUMMYFUNCTION("""COMPUTED_VALUE"""),"Digital Tech")</f>
        <v>Digital Tech</v>
      </c>
      <c r="D649" s="6" t="str">
        <f ca="1">IFERROR(__xludf.DUMMYFUNCTION("""COMPUTED_VALUE"""),"Vienna, Vienna 
Austria")</f>
        <v>Vienna, Vienna 
Austria</v>
      </c>
      <c r="E649" s="6" t="str">
        <f ca="1">IFERROR(__xludf.DUMMYFUNCTION("""COMPUTED_VALUE"""),"International - Europe")</f>
        <v>International - Europe</v>
      </c>
      <c r="F649" s="6" t="str">
        <f ca="1">IFERROR(__xludf.DUMMYFUNCTION("""COMPUTED_VALUE"""),"Woman")</f>
        <v>Woman</v>
      </c>
      <c r="G649" s="6" t="str">
        <f ca="1">IFERROR(__xludf.DUMMYFUNCTION("""COMPUTED_VALUE"""),"Man")</f>
        <v>Man</v>
      </c>
      <c r="H649" s="6" t="str">
        <f ca="1">IFERROR(__xludf.DUMMYFUNCTION("""COMPUTED_VALUE"""),"Man")</f>
        <v>Man</v>
      </c>
      <c r="I649" s="6"/>
      <c r="J649" s="6"/>
      <c r="K649" s="6"/>
      <c r="L649" s="6" t="str">
        <f ca="1">IFERROR(__xludf.DUMMYFUNCTION("""COMPUTED_VALUE"""),"No")</f>
        <v>No</v>
      </c>
      <c r="M649" s="6"/>
      <c r="N649" s="6"/>
      <c r="O649" s="6" t="str">
        <f ca="1">IFERROR(__xludf.DUMMYFUNCTION("""COMPUTED_VALUE"""),"Referral")</f>
        <v>Referral</v>
      </c>
      <c r="P649" s="6"/>
      <c r="Q649" s="6" t="str">
        <f ca="1">IFERROR(__xludf.DUMMYFUNCTION("""COMPUTED_VALUE"""),"No")</f>
        <v>No</v>
      </c>
      <c r="R649" s="6">
        <f ca="1">IFERROR(__xludf.DUMMYFUNCTION("""COMPUTED_VALUE"""),3)</f>
        <v>3</v>
      </c>
      <c r="S649" s="6" t="str">
        <f ca="1">IFERROR(__xludf.DUMMYFUNCTION("""COMPUTED_VALUE"""),"Pre-seed
Seed
Bridge
Grants")</f>
        <v>Pre-seed
Seed
Bridge
Grants</v>
      </c>
      <c r="T649" s="6" t="str">
        <f ca="1">IFERROR(__xludf.DUMMYFUNCTION("""COMPUTED_VALUE"""),"Pre-seed, Seed, Bridge, Grants")</f>
        <v>Pre-seed, Seed, Bridge, Grants</v>
      </c>
      <c r="U649" s="6" t="str">
        <f ca="1">IFERROR(__xludf.DUMMYFUNCTION("""COMPUTED_VALUE"""),"Pre-seed, Seed, Bridge, Grants")</f>
        <v>Pre-seed, Seed, Bridge, Grants</v>
      </c>
      <c r="V649" s="6"/>
      <c r="W649" s="6" t="str">
        <f ca="1">IFERROR(__xludf.DUMMYFUNCTION("""COMPUTED_VALUE"""),"Invite")</f>
        <v>Invite</v>
      </c>
    </row>
    <row r="650" spans="1:23">
      <c r="A650" s="6" t="str">
        <f ca="1">IFERROR(__xludf.DUMMYFUNCTION("""COMPUTED_VALUE"""),"Man")</f>
        <v>Man</v>
      </c>
      <c r="B650" s="6" t="str">
        <f ca="1">IFERROR(__xludf.DUMMYFUNCTION("""COMPUTED_VALUE"""),"Marine Kinetic Energy Inc. _2022")</f>
        <v>Marine Kinetic Energy Inc. _2022</v>
      </c>
      <c r="C650" s="6" t="str">
        <f ca="1">IFERROR(__xludf.DUMMYFUNCTION("""COMPUTED_VALUE"""),"Deep Tech")</f>
        <v>Deep Tech</v>
      </c>
      <c r="D650" s="6" t="str">
        <f ca="1">IFERROR(__xludf.DUMMYFUNCTION("""COMPUTED_VALUE"""),"San Marcos, CA 
United States")</f>
        <v>San Marcos, CA 
United States</v>
      </c>
      <c r="E650" s="6" t="str">
        <f ca="1">IFERROR(__xludf.DUMMYFUNCTION("""COMPUTED_VALUE"""),"West Coast")</f>
        <v>West Coast</v>
      </c>
      <c r="F650" s="6" t="str">
        <f ca="1">IFERROR(__xludf.DUMMYFUNCTION("""COMPUTED_VALUE"""),"Man")</f>
        <v>Man</v>
      </c>
      <c r="G650" s="6"/>
      <c r="H650" s="6"/>
      <c r="I650" s="6"/>
      <c r="J650" s="6"/>
      <c r="K650" s="6"/>
      <c r="L650" s="6" t="str">
        <f ca="1">IFERROR(__xludf.DUMMYFUNCTION("""COMPUTED_VALUE"""),"No")</f>
        <v>No</v>
      </c>
      <c r="M650" s="6"/>
      <c r="N650" s="6"/>
      <c r="O650" s="6" t="str">
        <f ca="1">IFERROR(__xludf.DUMMYFUNCTION("""COMPUTED_VALUE"""),"Other")</f>
        <v>Other</v>
      </c>
      <c r="P650" s="6"/>
      <c r="Q650" s="6" t="str">
        <f ca="1">IFERROR(__xludf.DUMMYFUNCTION("""COMPUTED_VALUE"""),"No")</f>
        <v>No</v>
      </c>
      <c r="R650" s="6">
        <f ca="1">IFERROR(__xludf.DUMMYFUNCTION("""COMPUTED_VALUE"""),1)</f>
        <v>1</v>
      </c>
      <c r="S650" s="6" t="str">
        <f ca="1">IFERROR(__xludf.DUMMYFUNCTION("""COMPUTED_VALUE"""),"Pre-seed")</f>
        <v>Pre-seed</v>
      </c>
      <c r="T650" s="6" t="str">
        <f ca="1">IFERROR(__xludf.DUMMYFUNCTION("""COMPUTED_VALUE"""),"Pre-seed")</f>
        <v>Pre-seed</v>
      </c>
      <c r="U650" s="6" t="str">
        <f ca="1">IFERROR(__xludf.DUMMYFUNCTION("""COMPUTED_VALUE"""),"Pre-seed")</f>
        <v>Pre-seed</v>
      </c>
      <c r="V650" s="6"/>
      <c r="W650" s="6" t="str">
        <f ca="1">IFERROR(__xludf.DUMMYFUNCTION("""COMPUTED_VALUE"""),"Invite Next Year")</f>
        <v>Invite Next Year</v>
      </c>
    </row>
    <row r="651" spans="1:23">
      <c r="A651" s="6" t="str">
        <f ca="1">IFERROR(__xludf.DUMMYFUNCTION("""COMPUTED_VALUE"""),"Man, Woman, Man, Man")</f>
        <v>Man, Woman, Man, Man</v>
      </c>
      <c r="B651" s="6" t="str">
        <f ca="1">IFERROR(__xludf.DUMMYFUNCTION("""COMPUTED_VALUE"""),"GoCharlie.ai _2022")</f>
        <v>GoCharlie.ai _2022</v>
      </c>
      <c r="C651" s="6" t="str">
        <f ca="1">IFERROR(__xludf.DUMMYFUNCTION("""COMPUTED_VALUE"""),"Digital Tech")</f>
        <v>Digital Tech</v>
      </c>
      <c r="D651" s="6" t="str">
        <f ca="1">IFERROR(__xludf.DUMMYFUNCTION("""COMPUTED_VALUE"""),"Allentown, Pennsylvania 
United States")</f>
        <v>Allentown, Pennsylvania 
United States</v>
      </c>
      <c r="E651" s="6" t="str">
        <f ca="1">IFERROR(__xludf.DUMMYFUNCTION("""COMPUTED_VALUE"""),"East Coast")</f>
        <v>East Coast</v>
      </c>
      <c r="F651" s="6" t="str">
        <f ca="1">IFERROR(__xludf.DUMMYFUNCTION("""COMPUTED_VALUE"""),"Man")</f>
        <v>Man</v>
      </c>
      <c r="G651" s="6" t="str">
        <f ca="1">IFERROR(__xludf.DUMMYFUNCTION("""COMPUTED_VALUE"""),"Woman")</f>
        <v>Woman</v>
      </c>
      <c r="H651" s="6" t="str">
        <f ca="1">IFERROR(__xludf.DUMMYFUNCTION("""COMPUTED_VALUE"""),"Man")</f>
        <v>Man</v>
      </c>
      <c r="I651" s="6" t="str">
        <f ca="1">IFERROR(__xludf.DUMMYFUNCTION("""COMPUTED_VALUE"""),"Man")</f>
        <v>Man</v>
      </c>
      <c r="J651" s="6"/>
      <c r="K651" s="6"/>
      <c r="L651" s="6" t="str">
        <f ca="1">IFERROR(__xludf.DUMMYFUNCTION("""COMPUTED_VALUE"""),"Yes")</f>
        <v>Yes</v>
      </c>
      <c r="M651" s="6" t="str">
        <f ca="1">IFERROR(__xludf.DUMMYFUNCTION("""COMPUTED_VALUE"""),"NYU Faculty")</f>
        <v>NYU Faculty</v>
      </c>
      <c r="N651" s="6"/>
      <c r="O651" s="6" t="str">
        <f ca="1">IFERROR(__xludf.DUMMYFUNCTION("""COMPUTED_VALUE"""),"Referral")</f>
        <v>Referral</v>
      </c>
      <c r="P651" s="6"/>
      <c r="Q651" s="6" t="str">
        <f ca="1">IFERROR(__xludf.DUMMYFUNCTION("""COMPUTED_VALUE"""),"No")</f>
        <v>No</v>
      </c>
      <c r="R651" s="6">
        <f ca="1">IFERROR(__xludf.DUMMYFUNCTION("""COMPUTED_VALUE"""),4)</f>
        <v>4</v>
      </c>
      <c r="S651" s="6" t="str">
        <f ca="1">IFERROR(__xludf.DUMMYFUNCTION("""COMPUTED_VALUE"""),"Pre-seed")</f>
        <v>Pre-seed</v>
      </c>
      <c r="T651" s="6" t="str">
        <f ca="1">IFERROR(__xludf.DUMMYFUNCTION("""COMPUTED_VALUE"""),"Pre-seed")</f>
        <v>Pre-seed</v>
      </c>
      <c r="U651" s="6" t="str">
        <f ca="1">IFERROR(__xludf.DUMMYFUNCTION("""COMPUTED_VALUE"""),"Pre-seed")</f>
        <v>Pre-seed</v>
      </c>
      <c r="V651" s="6"/>
      <c r="W651" s="6" t="str">
        <f ca="1">IFERROR(__xludf.DUMMYFUNCTION("""COMPUTED_VALUE"""),"Invite Next Year")</f>
        <v>Invite Next Year</v>
      </c>
    </row>
    <row r="652" spans="1:23">
      <c r="A652" s="6" t="str">
        <f ca="1">IFERROR(__xludf.DUMMYFUNCTION("""COMPUTED_VALUE"""),"Man, Man")</f>
        <v>Man, Man</v>
      </c>
      <c r="B652" s="6" t="str">
        <f ca="1">IFERROR(__xludf.DUMMYFUNCTION("""COMPUTED_VALUE"""),"TerMir, Inc. _2022")</f>
        <v>TerMir, Inc. _2022</v>
      </c>
      <c r="C652" s="6" t="str">
        <f ca="1">IFERROR(__xludf.DUMMYFUNCTION("""COMPUTED_VALUE"""),"Deep Tech")</f>
        <v>Deep Tech</v>
      </c>
      <c r="D652" s="6" t="str">
        <f ca="1">IFERROR(__xludf.DUMMYFUNCTION("""COMPUTED_VALUE"""),"Raleigh, NC 
United States")</f>
        <v>Raleigh, NC 
United States</v>
      </c>
      <c r="E652" s="6" t="str">
        <f ca="1">IFERROR(__xludf.DUMMYFUNCTION("""COMPUTED_VALUE"""),"East Coast")</f>
        <v>East Coast</v>
      </c>
      <c r="F652" s="6" t="str">
        <f ca="1">IFERROR(__xludf.DUMMYFUNCTION("""COMPUTED_VALUE"""),"Man")</f>
        <v>Man</v>
      </c>
      <c r="G652" s="6" t="str">
        <f ca="1">IFERROR(__xludf.DUMMYFUNCTION("""COMPUTED_VALUE"""),"Man")</f>
        <v>Man</v>
      </c>
      <c r="H652" s="6"/>
      <c r="I652" s="6"/>
      <c r="J652" s="6"/>
      <c r="K652" s="6"/>
      <c r="L652" s="6" t="str">
        <f ca="1">IFERROR(__xludf.DUMMYFUNCTION("""COMPUTED_VALUE"""),"No")</f>
        <v>No</v>
      </c>
      <c r="M652" s="6"/>
      <c r="N652" s="6"/>
      <c r="O652" s="6" t="str">
        <f ca="1">IFERROR(__xludf.DUMMYFUNCTION("""COMPUTED_VALUE"""),"Referral")</f>
        <v>Referral</v>
      </c>
      <c r="P652" s="6"/>
      <c r="Q652" s="6" t="str">
        <f ca="1">IFERROR(__xludf.DUMMYFUNCTION("""COMPUTED_VALUE"""),"No")</f>
        <v>No</v>
      </c>
      <c r="R652" s="6">
        <f ca="1">IFERROR(__xludf.DUMMYFUNCTION("""COMPUTED_VALUE"""),2)</f>
        <v>2</v>
      </c>
      <c r="S652" s="6" t="str">
        <f ca="1">IFERROR(__xludf.DUMMYFUNCTION("""COMPUTED_VALUE"""),"Pre-seed
Seed
Grants")</f>
        <v>Pre-seed
Seed
Grants</v>
      </c>
      <c r="T652" s="6" t="str">
        <f ca="1">IFERROR(__xludf.DUMMYFUNCTION("""COMPUTED_VALUE"""),"Pre-seed, Seed, Grants")</f>
        <v>Pre-seed, Seed, Grants</v>
      </c>
      <c r="U652" s="6" t="str">
        <f ca="1">IFERROR(__xludf.DUMMYFUNCTION("""COMPUTED_VALUE"""),"Pre-seed, Seed, Grants")</f>
        <v>Pre-seed, Seed, Grants</v>
      </c>
      <c r="V652" s="6"/>
      <c r="W652" s="6" t="str">
        <f ca="1">IFERROR(__xludf.DUMMYFUNCTION("""COMPUTED_VALUE"""),"Invite Next Year")</f>
        <v>Invite Next Year</v>
      </c>
    </row>
    <row r="653" spans="1:23">
      <c r="A653" s="6" t="str">
        <f ca="1">IFERROR(__xludf.DUMMYFUNCTION("""COMPUTED_VALUE"""),"Man, Man")</f>
        <v>Man, Man</v>
      </c>
      <c r="B653" s="6" t="str">
        <f ca="1">IFERROR(__xludf.DUMMYFUNCTION("""COMPUTED_VALUE"""),"Empo Health _2022")</f>
        <v>Empo Health _2022</v>
      </c>
      <c r="C653" s="6" t="str">
        <f ca="1">IFERROR(__xludf.DUMMYFUNCTION("""COMPUTED_VALUE"""),"Deep Tech")</f>
        <v>Deep Tech</v>
      </c>
      <c r="D653" s="6" t="str">
        <f ca="1">IFERROR(__xludf.DUMMYFUNCTION("""COMPUTED_VALUE"""),"South San Francisco, CA 
United States")</f>
        <v>South San Francisco, CA 
United States</v>
      </c>
      <c r="E653" s="6" t="str">
        <f ca="1">IFERROR(__xludf.DUMMYFUNCTION("""COMPUTED_VALUE"""),"West Coast")</f>
        <v>West Coast</v>
      </c>
      <c r="F653" s="6" t="str">
        <f ca="1">IFERROR(__xludf.DUMMYFUNCTION("""COMPUTED_VALUE"""),"Man")</f>
        <v>Man</v>
      </c>
      <c r="G653" s="6" t="str">
        <f ca="1">IFERROR(__xludf.DUMMYFUNCTION("""COMPUTED_VALUE"""),"Man")</f>
        <v>Man</v>
      </c>
      <c r="H653" s="6"/>
      <c r="I653" s="6"/>
      <c r="J653" s="6"/>
      <c r="K653" s="6"/>
      <c r="L653" s="6" t="str">
        <f ca="1">IFERROR(__xludf.DUMMYFUNCTION("""COMPUTED_VALUE"""),"No")</f>
        <v>No</v>
      </c>
      <c r="M653" s="6"/>
      <c r="N653" s="6"/>
      <c r="O653" s="6" t="str">
        <f ca="1">IFERROR(__xludf.DUMMYFUNCTION("""COMPUTED_VALUE"""),"Referral")</f>
        <v>Referral</v>
      </c>
      <c r="P653" s="6"/>
      <c r="Q653" s="6" t="str">
        <f ca="1">IFERROR(__xludf.DUMMYFUNCTION("""COMPUTED_VALUE"""),"No")</f>
        <v>No</v>
      </c>
      <c r="R653" s="6">
        <f ca="1">IFERROR(__xludf.DUMMYFUNCTION("""COMPUTED_VALUE"""),2)</f>
        <v>2</v>
      </c>
      <c r="S653" s="6" t="str">
        <f ca="1">IFERROR(__xludf.DUMMYFUNCTION("""COMPUTED_VALUE"""),"Pre-seed
Grants")</f>
        <v>Pre-seed
Grants</v>
      </c>
      <c r="T653" s="6" t="str">
        <f ca="1">IFERROR(__xludf.DUMMYFUNCTION("""COMPUTED_VALUE"""),"Pre-seed, Grants")</f>
        <v>Pre-seed, Grants</v>
      </c>
      <c r="U653" s="6" t="str">
        <f ca="1">IFERROR(__xludf.DUMMYFUNCTION("""COMPUTED_VALUE"""),"Pre-seed, Grants")</f>
        <v>Pre-seed, Grants</v>
      </c>
      <c r="V653" s="6"/>
      <c r="W653" s="6" t="str">
        <f ca="1">IFERROR(__xludf.DUMMYFUNCTION("""COMPUTED_VALUE"""),"Revisit/ Cluster")</f>
        <v>Revisit/ Cluster</v>
      </c>
    </row>
    <row r="654" spans="1:23">
      <c r="A654" s="6" t="str">
        <f ca="1">IFERROR(__xludf.DUMMYFUNCTION("""COMPUTED_VALUE"""),"Man, Man")</f>
        <v>Man, Man</v>
      </c>
      <c r="B654" s="6" t="str">
        <f ca="1">IFERROR(__xludf.DUMMYFUNCTION("""COMPUTED_VALUE"""),"RockStable _2022")</f>
        <v>RockStable _2022</v>
      </c>
      <c r="C654" s="6" t="str">
        <f ca="1">IFERROR(__xludf.DUMMYFUNCTION("""COMPUTED_VALUE"""),"Digital Tech")</f>
        <v>Digital Tech</v>
      </c>
      <c r="D654" s="6" t="str">
        <f ca="1">IFERROR(__xludf.DUMMYFUNCTION("""COMPUTED_VALUE"""),"Redmond, WA 
United States")</f>
        <v>Redmond, WA 
United States</v>
      </c>
      <c r="E654" s="6" t="str">
        <f ca="1">IFERROR(__xludf.DUMMYFUNCTION("""COMPUTED_VALUE"""),"West Coast")</f>
        <v>West Coast</v>
      </c>
      <c r="F654" s="6" t="str">
        <f ca="1">IFERROR(__xludf.DUMMYFUNCTION("""COMPUTED_VALUE"""),"Man")</f>
        <v>Man</v>
      </c>
      <c r="G654" s="6" t="str">
        <f ca="1">IFERROR(__xludf.DUMMYFUNCTION("""COMPUTED_VALUE"""),"Man")</f>
        <v>Man</v>
      </c>
      <c r="H654" s="6"/>
      <c r="I654" s="6"/>
      <c r="J654" s="6"/>
      <c r="K654" s="6"/>
      <c r="L654" s="6" t="str">
        <f ca="1">IFERROR(__xludf.DUMMYFUNCTION("""COMPUTED_VALUE"""),"No")</f>
        <v>No</v>
      </c>
      <c r="M654" s="6"/>
      <c r="N654" s="6"/>
      <c r="O654" s="6" t="str">
        <f ca="1">IFERROR(__xludf.DUMMYFUNCTION("""COMPUTED_VALUE"""),"Conference")</f>
        <v>Conference</v>
      </c>
      <c r="P654" s="6"/>
      <c r="Q654" s="6" t="str">
        <f ca="1">IFERROR(__xludf.DUMMYFUNCTION("""COMPUTED_VALUE"""),"No")</f>
        <v>No</v>
      </c>
      <c r="R654" s="6">
        <f ca="1">IFERROR(__xludf.DUMMYFUNCTION("""COMPUTED_VALUE"""),2)</f>
        <v>2</v>
      </c>
      <c r="S654" s="6" t="str">
        <f ca="1">IFERROR(__xludf.DUMMYFUNCTION("""COMPUTED_VALUE"""),"Pre-seed")</f>
        <v>Pre-seed</v>
      </c>
      <c r="T654" s="6" t="str">
        <f ca="1">IFERROR(__xludf.DUMMYFUNCTION("""COMPUTED_VALUE"""),"Pre-seed")</f>
        <v>Pre-seed</v>
      </c>
      <c r="U654" s="6" t="str">
        <f ca="1">IFERROR(__xludf.DUMMYFUNCTION("""COMPUTED_VALUE"""),"Pre-seed")</f>
        <v>Pre-seed</v>
      </c>
      <c r="V654" s="6"/>
      <c r="W654" s="6" t="str">
        <f ca="1">IFERROR(__xludf.DUMMYFUNCTION("""COMPUTED_VALUE"""),"Invite Next Year")</f>
        <v>Invite Next Year</v>
      </c>
    </row>
    <row r="655" spans="1:23">
      <c r="A655" s="6" t="str">
        <f ca="1">IFERROR(__xludf.DUMMYFUNCTION("""COMPUTED_VALUE"""),"Man, Man, --Please select--")</f>
        <v>Man, Man, --Please select--</v>
      </c>
      <c r="B655" s="6" t="str">
        <f ca="1">IFERROR(__xludf.DUMMYFUNCTION("""COMPUTED_VALUE"""),"Yepic AI Limited _2022")</f>
        <v>Yepic AI Limited _2022</v>
      </c>
      <c r="C655" s="6" t="str">
        <f ca="1">IFERROR(__xludf.DUMMYFUNCTION("""COMPUTED_VALUE"""),"Digital Tech")</f>
        <v>Digital Tech</v>
      </c>
      <c r="D655" s="6" t="str">
        <f ca="1">IFERROR(__xludf.DUMMYFUNCTION("""COMPUTED_VALUE"""),"London, City of London 
United Kingdom")</f>
        <v>London, City of London 
United Kingdom</v>
      </c>
      <c r="E655" s="6" t="str">
        <f ca="1">IFERROR(__xludf.DUMMYFUNCTION("""COMPUTED_VALUE"""),"International - Europe")</f>
        <v>International - Europe</v>
      </c>
      <c r="F655" s="6" t="str">
        <f ca="1">IFERROR(__xludf.DUMMYFUNCTION("""COMPUTED_VALUE"""),"Man")</f>
        <v>Man</v>
      </c>
      <c r="G655" s="6" t="str">
        <f ca="1">IFERROR(__xludf.DUMMYFUNCTION("""COMPUTED_VALUE"""),"Man")</f>
        <v>Man</v>
      </c>
      <c r="H655" s="6" t="str">
        <f ca="1">IFERROR(__xludf.DUMMYFUNCTION("""COMPUTED_VALUE"""),"--Please select--")</f>
        <v>--Please select--</v>
      </c>
      <c r="I655" s="6"/>
      <c r="J655" s="6"/>
      <c r="K655" s="6"/>
      <c r="L655" s="6" t="str">
        <f ca="1">IFERROR(__xludf.DUMMYFUNCTION("""COMPUTED_VALUE"""),"No")</f>
        <v>No</v>
      </c>
      <c r="M655" s="6"/>
      <c r="N655" s="6"/>
      <c r="O655" s="6" t="str">
        <f ca="1">IFERROR(__xludf.DUMMYFUNCTION("""COMPUTED_VALUE"""),"Email")</f>
        <v>Email</v>
      </c>
      <c r="P655" s="6"/>
      <c r="Q655" s="6" t="str">
        <f ca="1">IFERROR(__xludf.DUMMYFUNCTION("""COMPUTED_VALUE"""),"No")</f>
        <v>No</v>
      </c>
      <c r="R655" s="6">
        <f ca="1">IFERROR(__xludf.DUMMYFUNCTION("""COMPUTED_VALUE"""),3)</f>
        <v>3</v>
      </c>
      <c r="S655" s="6" t="str">
        <f ca="1">IFERROR(__xludf.DUMMYFUNCTION("""COMPUTED_VALUE"""),"Pre-seed
Seed
Grants")</f>
        <v>Pre-seed
Seed
Grants</v>
      </c>
      <c r="T655" s="6" t="str">
        <f ca="1">IFERROR(__xludf.DUMMYFUNCTION("""COMPUTED_VALUE"""),"Pre-seed, Seed, Grants")</f>
        <v>Pre-seed, Seed, Grants</v>
      </c>
      <c r="U655" s="6" t="str">
        <f ca="1">IFERROR(__xludf.DUMMYFUNCTION("""COMPUTED_VALUE"""),"Pre-seed, Seed, Grants")</f>
        <v>Pre-seed, Seed, Grants</v>
      </c>
      <c r="V655" s="6"/>
      <c r="W655" s="6" t="str">
        <f ca="1">IFERROR(__xludf.DUMMYFUNCTION("""COMPUTED_VALUE"""),"Revisit")</f>
        <v>Revisit</v>
      </c>
    </row>
    <row r="656" spans="1:23">
      <c r="A656" s="6" t="str">
        <f ca="1">IFERROR(__xludf.DUMMYFUNCTION("""COMPUTED_VALUE"""),"Man")</f>
        <v>Man</v>
      </c>
      <c r="B656" s="6" t="str">
        <f ca="1">IFERROR(__xludf.DUMMYFUNCTION("""COMPUTED_VALUE"""),"Neuropair, Inc. _2022")</f>
        <v>Neuropair, Inc. _2022</v>
      </c>
      <c r="C656" s="6" t="str">
        <f ca="1">IFERROR(__xludf.DUMMYFUNCTION("""COMPUTED_VALUE"""),"Life Sciences")</f>
        <v>Life Sciences</v>
      </c>
      <c r="D656" s="6" t="str">
        <f ca="1">IFERROR(__xludf.DUMMYFUNCTION("""COMPUTED_VALUE"""),"Princeton, NJ 
United States")</f>
        <v>Princeton, NJ 
United States</v>
      </c>
      <c r="E656" s="6" t="str">
        <f ca="1">IFERROR(__xludf.DUMMYFUNCTION("""COMPUTED_VALUE"""),"East Coast")</f>
        <v>East Coast</v>
      </c>
      <c r="F656" s="6" t="str">
        <f ca="1">IFERROR(__xludf.DUMMYFUNCTION("""COMPUTED_VALUE"""),"Man")</f>
        <v>Man</v>
      </c>
      <c r="G656" s="6"/>
      <c r="H656" s="6"/>
      <c r="I656" s="6"/>
      <c r="J656" s="6"/>
      <c r="K656" s="6"/>
      <c r="L656" s="6" t="str">
        <f ca="1">IFERROR(__xludf.DUMMYFUNCTION("""COMPUTED_VALUE"""),"Yes")</f>
        <v>Yes</v>
      </c>
      <c r="M656" s="6" t="str">
        <f ca="1">IFERROR(__xludf.DUMMYFUNCTION("""COMPUTED_VALUE"""),"NYU Faculty")</f>
        <v>NYU Faculty</v>
      </c>
      <c r="N656" s="6"/>
      <c r="O656" s="6" t="str">
        <f ca="1">IFERROR(__xludf.DUMMYFUNCTION("""COMPUTED_VALUE"""),"Referral")</f>
        <v>Referral</v>
      </c>
      <c r="P656" s="6"/>
      <c r="Q656" s="6" t="str">
        <f ca="1">IFERROR(__xludf.DUMMYFUNCTION("""COMPUTED_VALUE"""),"No")</f>
        <v>No</v>
      </c>
      <c r="R656" s="6">
        <f ca="1">IFERROR(__xludf.DUMMYFUNCTION("""COMPUTED_VALUE"""),1)</f>
        <v>1</v>
      </c>
      <c r="S656" s="6" t="str">
        <f ca="1">IFERROR(__xludf.DUMMYFUNCTION("""COMPUTED_VALUE"""),"Seed")</f>
        <v>Seed</v>
      </c>
      <c r="T656" s="6" t="str">
        <f ca="1">IFERROR(__xludf.DUMMYFUNCTION("""COMPUTED_VALUE"""),"Seed")</f>
        <v>Seed</v>
      </c>
      <c r="U656" s="6" t="str">
        <f ca="1">IFERROR(__xludf.DUMMYFUNCTION("""COMPUTED_VALUE"""),"Seed")</f>
        <v>Seed</v>
      </c>
      <c r="V656" s="6"/>
      <c r="W656" s="6" t="str">
        <f ca="1">IFERROR(__xludf.DUMMYFUNCTION("""COMPUTED_VALUE"""),"Invite Next Year")</f>
        <v>Invite Next Year</v>
      </c>
    </row>
    <row r="657" spans="1:23">
      <c r="A657" s="6" t="str">
        <f ca="1">IFERROR(__xludf.DUMMYFUNCTION("""COMPUTED_VALUE"""),"Man")</f>
        <v>Man</v>
      </c>
      <c r="B657" s="6" t="str">
        <f ca="1">IFERROR(__xludf.DUMMYFUNCTION("""COMPUTED_VALUE"""),"Nebula Accounting _2022")</f>
        <v>Nebula Accounting _2022</v>
      </c>
      <c r="C657" s="6" t="str">
        <f ca="1">IFERROR(__xludf.DUMMYFUNCTION("""COMPUTED_VALUE"""),"Digital Tech")</f>
        <v>Digital Tech</v>
      </c>
      <c r="D657" s="6" t="str">
        <f ca="1">IFERROR(__xludf.DUMMYFUNCTION("""COMPUTED_VALUE"""),"London, Leytonstone 
United Kingdom")</f>
        <v>London, Leytonstone 
United Kingdom</v>
      </c>
      <c r="E657" s="6" t="str">
        <f ca="1">IFERROR(__xludf.DUMMYFUNCTION("""COMPUTED_VALUE"""),"International - Europe")</f>
        <v>International - Europe</v>
      </c>
      <c r="F657" s="6" t="str">
        <f ca="1">IFERROR(__xludf.DUMMYFUNCTION("""COMPUTED_VALUE"""),"Man")</f>
        <v>Man</v>
      </c>
      <c r="G657" s="6"/>
      <c r="H657" s="6"/>
      <c r="I657" s="6"/>
      <c r="J657" s="6"/>
      <c r="K657" s="6"/>
      <c r="L657" s="6" t="str">
        <f ca="1">IFERROR(__xludf.DUMMYFUNCTION("""COMPUTED_VALUE"""),"No")</f>
        <v>No</v>
      </c>
      <c r="M657" s="6"/>
      <c r="N657" s="6"/>
      <c r="O657" s="6" t="str">
        <f ca="1">IFERROR(__xludf.DUMMYFUNCTION("""COMPUTED_VALUE"""),"Email")</f>
        <v>Email</v>
      </c>
      <c r="P657" s="6"/>
      <c r="Q657" s="6" t="str">
        <f ca="1">IFERROR(__xludf.DUMMYFUNCTION("""COMPUTED_VALUE"""),"No")</f>
        <v>No</v>
      </c>
      <c r="R657" s="6">
        <f ca="1">IFERROR(__xludf.DUMMYFUNCTION("""COMPUTED_VALUE"""),1)</f>
        <v>1</v>
      </c>
      <c r="S657" s="6" t="str">
        <f ca="1">IFERROR(__xludf.DUMMYFUNCTION("""COMPUTED_VALUE"""),"None")</f>
        <v>None</v>
      </c>
      <c r="T657" s="6" t="str">
        <f ca="1">IFERROR(__xludf.DUMMYFUNCTION("""COMPUTED_VALUE"""),"None")</f>
        <v>None</v>
      </c>
      <c r="U657" s="6" t="str">
        <f ca="1">IFERROR(__xludf.DUMMYFUNCTION("""COMPUTED_VALUE"""),"None")</f>
        <v>None</v>
      </c>
      <c r="V657" s="6"/>
      <c r="W657" s="6" t="str">
        <f ca="1">IFERROR(__xludf.DUMMYFUNCTION("""COMPUTED_VALUE"""),"Invite Next Year")</f>
        <v>Invite Next Year</v>
      </c>
    </row>
    <row r="658" spans="1:23">
      <c r="A658" s="6" t="str">
        <f ca="1">IFERROR(__xludf.DUMMYFUNCTION("""COMPUTED_VALUE"""),"Woman, Man, Man, Man")</f>
        <v>Woman, Man, Man, Man</v>
      </c>
      <c r="B658" s="6" t="str">
        <f ca="1">IFERROR(__xludf.DUMMYFUNCTION("""COMPUTED_VALUE"""),"Being Vakil _2022")</f>
        <v>Being Vakil _2022</v>
      </c>
      <c r="C658" s="6" t="str">
        <f ca="1">IFERROR(__xludf.DUMMYFUNCTION("""COMPUTED_VALUE"""),"Digital Tech")</f>
        <v>Digital Tech</v>
      </c>
      <c r="D658" s="6" t="str">
        <f ca="1">IFERROR(__xludf.DUMMYFUNCTION("""COMPUTED_VALUE"""),"Kalyan, Maharashtra 
India")</f>
        <v>Kalyan, Maharashtra 
India</v>
      </c>
      <c r="E658" s="6" t="str">
        <f ca="1">IFERROR(__xludf.DUMMYFUNCTION("""COMPUTED_VALUE"""),"International - Asia")</f>
        <v>International - Asia</v>
      </c>
      <c r="F658" s="6" t="str">
        <f ca="1">IFERROR(__xludf.DUMMYFUNCTION("""COMPUTED_VALUE"""),"Woman")</f>
        <v>Woman</v>
      </c>
      <c r="G658" s="6" t="str">
        <f ca="1">IFERROR(__xludf.DUMMYFUNCTION("""COMPUTED_VALUE"""),"Man")</f>
        <v>Man</v>
      </c>
      <c r="H658" s="6" t="str">
        <f ca="1">IFERROR(__xludf.DUMMYFUNCTION("""COMPUTED_VALUE"""),"Man")</f>
        <v>Man</v>
      </c>
      <c r="I658" s="6" t="str">
        <f ca="1">IFERROR(__xludf.DUMMYFUNCTION("""COMPUTED_VALUE"""),"Man")</f>
        <v>Man</v>
      </c>
      <c r="J658" s="6"/>
      <c r="K658" s="6"/>
      <c r="L658" s="6" t="str">
        <f ca="1">IFERROR(__xludf.DUMMYFUNCTION("""COMPUTED_VALUE"""),"No")</f>
        <v>No</v>
      </c>
      <c r="M658" s="6"/>
      <c r="N658" s="6"/>
      <c r="O658" s="6" t="str">
        <f ca="1">IFERROR(__xludf.DUMMYFUNCTION("""COMPUTED_VALUE"""),"Email")</f>
        <v>Email</v>
      </c>
      <c r="P658" s="6"/>
      <c r="Q658" s="6" t="str">
        <f ca="1">IFERROR(__xludf.DUMMYFUNCTION("""COMPUTED_VALUE"""),"No")</f>
        <v>No</v>
      </c>
      <c r="R658" s="6">
        <f ca="1">IFERROR(__xludf.DUMMYFUNCTION("""COMPUTED_VALUE"""),4)</f>
        <v>4</v>
      </c>
      <c r="S658" s="6" t="str">
        <f ca="1">IFERROR(__xludf.DUMMYFUNCTION("""COMPUTED_VALUE"""),"None")</f>
        <v>None</v>
      </c>
      <c r="T658" s="6" t="str">
        <f ca="1">IFERROR(__xludf.DUMMYFUNCTION("""COMPUTED_VALUE"""),"None")</f>
        <v>None</v>
      </c>
      <c r="U658" s="6" t="str">
        <f ca="1">IFERROR(__xludf.DUMMYFUNCTION("""COMPUTED_VALUE"""),"None")</f>
        <v>None</v>
      </c>
      <c r="V658" s="6"/>
      <c r="W658" s="6" t="str">
        <f ca="1">IFERROR(__xludf.DUMMYFUNCTION("""COMPUTED_VALUE"""),"Invite Next Year")</f>
        <v>Invite Next Year</v>
      </c>
    </row>
    <row r="659" spans="1:23">
      <c r="A659" s="6" t="str">
        <f ca="1">IFERROR(__xludf.DUMMYFUNCTION("""COMPUTED_VALUE"""),"Woman, Man")</f>
        <v>Woman, Man</v>
      </c>
      <c r="B659" s="6" t="str">
        <f ca="1">IFERROR(__xludf.DUMMYFUNCTION("""COMPUTED_VALUE"""),"ThinkPods Education Services Pvt Ltd _2022")</f>
        <v>ThinkPods Education Services Pvt Ltd _2022</v>
      </c>
      <c r="C659" s="6" t="str">
        <f ca="1">IFERROR(__xludf.DUMMYFUNCTION("""COMPUTED_VALUE"""),"Digital Tech")</f>
        <v>Digital Tech</v>
      </c>
      <c r="D659" s="6" t="str">
        <f ca="1">IFERROR(__xludf.DUMMYFUNCTION("""COMPUTED_VALUE"""),"Satara, Maharashtra 
India")</f>
        <v>Satara, Maharashtra 
India</v>
      </c>
      <c r="E659" s="6" t="str">
        <f ca="1">IFERROR(__xludf.DUMMYFUNCTION("""COMPUTED_VALUE"""),"International - Asia")</f>
        <v>International - Asia</v>
      </c>
      <c r="F659" s="6" t="str">
        <f ca="1">IFERROR(__xludf.DUMMYFUNCTION("""COMPUTED_VALUE"""),"Woman")</f>
        <v>Woman</v>
      </c>
      <c r="G659" s="6" t="str">
        <f ca="1">IFERROR(__xludf.DUMMYFUNCTION("""COMPUTED_VALUE"""),"Man")</f>
        <v>Man</v>
      </c>
      <c r="H659" s="6"/>
      <c r="I659" s="6"/>
      <c r="J659" s="6"/>
      <c r="K659" s="6"/>
      <c r="L659" s="6" t="str">
        <f ca="1">IFERROR(__xludf.DUMMYFUNCTION("""COMPUTED_VALUE"""),"No")</f>
        <v>No</v>
      </c>
      <c r="M659" s="6"/>
      <c r="N659" s="6"/>
      <c r="O659" s="6" t="str">
        <f ca="1">IFERROR(__xludf.DUMMYFUNCTION("""COMPUTED_VALUE"""),"LinkedIn")</f>
        <v>LinkedIn</v>
      </c>
      <c r="P659" s="6"/>
      <c r="Q659" s="6" t="str">
        <f ca="1">IFERROR(__xludf.DUMMYFUNCTION("""COMPUTED_VALUE"""),"No")</f>
        <v>No</v>
      </c>
      <c r="R659" s="6">
        <f ca="1">IFERROR(__xludf.DUMMYFUNCTION("""COMPUTED_VALUE"""),2)</f>
        <v>2</v>
      </c>
      <c r="S659" s="6" t="str">
        <f ca="1">IFERROR(__xludf.DUMMYFUNCTION("""COMPUTED_VALUE"""),"Series B and above")</f>
        <v>Series B and above</v>
      </c>
      <c r="T659" s="6" t="str">
        <f ca="1">IFERROR(__xludf.DUMMYFUNCTION("""COMPUTED_VALUE"""),"Series B and above")</f>
        <v>Series B and above</v>
      </c>
      <c r="U659" s="6" t="str">
        <f ca="1">IFERROR(__xludf.DUMMYFUNCTION("""COMPUTED_VALUE"""),"Series B and above")</f>
        <v>Series B and above</v>
      </c>
      <c r="V659" s="6"/>
      <c r="W659" s="6" t="str">
        <f ca="1">IFERROR(__xludf.DUMMYFUNCTION("""COMPUTED_VALUE"""),"Invite Next Year")</f>
        <v>Invite Next Year</v>
      </c>
    </row>
    <row r="660" spans="1:23">
      <c r="A660" s="6" t="str">
        <f ca="1">IFERROR(__xludf.DUMMYFUNCTION("""COMPUTED_VALUE"""),"Woman, Man")</f>
        <v>Woman, Man</v>
      </c>
      <c r="B660" s="6" t="str">
        <f ca="1">IFERROR(__xludf.DUMMYFUNCTION("""COMPUTED_VALUE"""),"HealMed Solutions.Inc _2022")</f>
        <v>HealMed Solutions.Inc _2022</v>
      </c>
      <c r="C660" s="6" t="str">
        <f ca="1">IFERROR(__xludf.DUMMYFUNCTION("""COMPUTED_VALUE"""),"Digital Tech")</f>
        <v>Digital Tech</v>
      </c>
      <c r="D660" s="6" t="str">
        <f ca="1">IFERROR(__xludf.DUMMYFUNCTION("""COMPUTED_VALUE"""),"310 West 120 Street,, New York, NY 
United States")</f>
        <v>310 West 120 Street,, New York, NY 
United States</v>
      </c>
      <c r="E660" s="6" t="str">
        <f ca="1">IFERROR(__xludf.DUMMYFUNCTION("""COMPUTED_VALUE"""),"New York")</f>
        <v>New York</v>
      </c>
      <c r="F660" s="6" t="str">
        <f ca="1">IFERROR(__xludf.DUMMYFUNCTION("""COMPUTED_VALUE"""),"Woman")</f>
        <v>Woman</v>
      </c>
      <c r="G660" s="6" t="str">
        <f ca="1">IFERROR(__xludf.DUMMYFUNCTION("""COMPUTED_VALUE"""),"Man")</f>
        <v>Man</v>
      </c>
      <c r="H660" s="6"/>
      <c r="I660" s="6"/>
      <c r="J660" s="6"/>
      <c r="K660" s="6"/>
      <c r="L660" s="6" t="str">
        <f ca="1">IFERROR(__xludf.DUMMYFUNCTION("""COMPUTED_VALUE"""),"No")</f>
        <v>No</v>
      </c>
      <c r="M660" s="6"/>
      <c r="N660" s="6"/>
      <c r="O660" s="6" t="str">
        <f ca="1">IFERROR(__xludf.DUMMYFUNCTION("""COMPUTED_VALUE"""),"Email")</f>
        <v>Email</v>
      </c>
      <c r="P660" s="6"/>
      <c r="Q660" s="6" t="str">
        <f ca="1">IFERROR(__xludf.DUMMYFUNCTION("""COMPUTED_VALUE"""),"No")</f>
        <v>No</v>
      </c>
      <c r="R660" s="6">
        <f ca="1">IFERROR(__xludf.DUMMYFUNCTION("""COMPUTED_VALUE"""),2)</f>
        <v>2</v>
      </c>
      <c r="S660" s="6" t="str">
        <f ca="1">IFERROR(__xludf.DUMMYFUNCTION("""COMPUTED_VALUE"""),"Seed")</f>
        <v>Seed</v>
      </c>
      <c r="T660" s="6" t="str">
        <f ca="1">IFERROR(__xludf.DUMMYFUNCTION("""COMPUTED_VALUE"""),"Seed")</f>
        <v>Seed</v>
      </c>
      <c r="U660" s="6" t="str">
        <f ca="1">IFERROR(__xludf.DUMMYFUNCTION("""COMPUTED_VALUE"""),"Seed")</f>
        <v>Seed</v>
      </c>
      <c r="V660" s="6"/>
      <c r="W660" s="6" t="str">
        <f ca="1">IFERROR(__xludf.DUMMYFUNCTION("""COMPUTED_VALUE"""),"Invite Next Year")</f>
        <v>Invite Next Year</v>
      </c>
    </row>
    <row r="661" spans="1:23">
      <c r="A661" s="6" t="str">
        <f ca="1">IFERROR(__xludf.DUMMYFUNCTION("""COMPUTED_VALUE"""),"Man, Woman")</f>
        <v>Man, Woman</v>
      </c>
      <c r="B661" s="6" t="str">
        <f ca="1">IFERROR(__xludf.DUMMYFUNCTION("""COMPUTED_VALUE"""),"elovee, Inc. _2022")</f>
        <v>elovee, Inc. _2022</v>
      </c>
      <c r="C661" s="6" t="str">
        <f ca="1">IFERROR(__xludf.DUMMYFUNCTION("""COMPUTED_VALUE"""),"Digital Tech")</f>
        <v>Digital Tech</v>
      </c>
      <c r="D661" s="6" t="str">
        <f ca="1">IFERROR(__xludf.DUMMYFUNCTION("""COMPUTED_VALUE"""),"New York, NY 
United States")</f>
        <v>New York, NY 
United States</v>
      </c>
      <c r="E661" s="6" t="str">
        <f ca="1">IFERROR(__xludf.DUMMYFUNCTION("""COMPUTED_VALUE"""),"New York")</f>
        <v>New York</v>
      </c>
      <c r="F661" s="6" t="str">
        <f ca="1">IFERROR(__xludf.DUMMYFUNCTION("""COMPUTED_VALUE"""),"Man")</f>
        <v>Man</v>
      </c>
      <c r="G661" s="6" t="str">
        <f ca="1">IFERROR(__xludf.DUMMYFUNCTION("""COMPUTED_VALUE"""),"Woman")</f>
        <v>Woman</v>
      </c>
      <c r="H661" s="6"/>
      <c r="I661" s="6"/>
      <c r="J661" s="6"/>
      <c r="K661" s="6"/>
      <c r="L661" s="6" t="str">
        <f ca="1">IFERROR(__xludf.DUMMYFUNCTION("""COMPUTED_VALUE"""),"No")</f>
        <v>No</v>
      </c>
      <c r="M661" s="6"/>
      <c r="N661" s="6"/>
      <c r="O661" s="6" t="str">
        <f ca="1">IFERROR(__xludf.DUMMYFUNCTION("""COMPUTED_VALUE"""),"Email")</f>
        <v>Email</v>
      </c>
      <c r="P661" s="6"/>
      <c r="Q661" s="6" t="str">
        <f ca="1">IFERROR(__xludf.DUMMYFUNCTION("""COMPUTED_VALUE"""),"No")</f>
        <v>No</v>
      </c>
      <c r="R661" s="6">
        <f ca="1">IFERROR(__xludf.DUMMYFUNCTION("""COMPUTED_VALUE"""),2)</f>
        <v>2</v>
      </c>
      <c r="S661" s="6" t="str">
        <f ca="1">IFERROR(__xludf.DUMMYFUNCTION("""COMPUTED_VALUE"""),"Seed")</f>
        <v>Seed</v>
      </c>
      <c r="T661" s="6" t="str">
        <f ca="1">IFERROR(__xludf.DUMMYFUNCTION("""COMPUTED_VALUE"""),"Seed")</f>
        <v>Seed</v>
      </c>
      <c r="U661" s="6" t="str">
        <f ca="1">IFERROR(__xludf.DUMMYFUNCTION("""COMPUTED_VALUE"""),"Seed")</f>
        <v>Seed</v>
      </c>
      <c r="V661" s="6"/>
      <c r="W661" s="6" t="str">
        <f ca="1">IFERROR(__xludf.DUMMYFUNCTION("""COMPUTED_VALUE"""),"Invite Next Year")</f>
        <v>Invite Next Year</v>
      </c>
    </row>
    <row r="662" spans="1:23">
      <c r="A662" s="6" t="str">
        <f ca="1">IFERROR(__xludf.DUMMYFUNCTION("""COMPUTED_VALUE"""),"Woman")</f>
        <v>Woman</v>
      </c>
      <c r="B662" s="6" t="str">
        <f ca="1">IFERROR(__xludf.DUMMYFUNCTION("""COMPUTED_VALUE"""),"kyron.bio _2022")</f>
        <v>kyron.bio _2022</v>
      </c>
      <c r="C662" s="6" t="str">
        <f ca="1">IFERROR(__xludf.DUMMYFUNCTION("""COMPUTED_VALUE"""),"Life Sciences")</f>
        <v>Life Sciences</v>
      </c>
      <c r="D662" s="6" t="str">
        <f ca="1">IFERROR(__xludf.DUMMYFUNCTION("""COMPUTED_VALUE"""),"10 RUE DE PENTHIEVRE 75008 PARIS, Paris 
France")</f>
        <v>10 RUE DE PENTHIEVRE 75008 PARIS, Paris 
France</v>
      </c>
      <c r="E662" s="6" t="str">
        <f ca="1">IFERROR(__xludf.DUMMYFUNCTION("""COMPUTED_VALUE"""),"International - Europe")</f>
        <v>International - Europe</v>
      </c>
      <c r="F662" s="6" t="str">
        <f ca="1">IFERROR(__xludf.DUMMYFUNCTION("""COMPUTED_VALUE"""),"Woman")</f>
        <v>Woman</v>
      </c>
      <c r="G662" s="6"/>
      <c r="H662" s="6"/>
      <c r="I662" s="6"/>
      <c r="J662" s="6"/>
      <c r="K662" s="6"/>
      <c r="L662" s="6" t="str">
        <f ca="1">IFERROR(__xludf.DUMMYFUNCTION("""COMPUTED_VALUE"""),"--Please select--")</f>
        <v>--Please select--</v>
      </c>
      <c r="M662" s="6"/>
      <c r="N662" s="6"/>
      <c r="O662" s="6" t="str">
        <f ca="1">IFERROR(__xludf.DUMMYFUNCTION("""COMPUTED_VALUE"""),"Email")</f>
        <v>Email</v>
      </c>
      <c r="P662" s="6"/>
      <c r="Q662" s="6" t="str">
        <f ca="1">IFERROR(__xludf.DUMMYFUNCTION("""COMPUTED_VALUE"""),"No")</f>
        <v>No</v>
      </c>
      <c r="R662" s="6">
        <f ca="1">IFERROR(__xludf.DUMMYFUNCTION("""COMPUTED_VALUE"""),1)</f>
        <v>1</v>
      </c>
      <c r="S662" s="6" t="str">
        <f ca="1">IFERROR(__xludf.DUMMYFUNCTION("""COMPUTED_VALUE"""),"Pre-seed")</f>
        <v>Pre-seed</v>
      </c>
      <c r="T662" s="6" t="str">
        <f ca="1">IFERROR(__xludf.DUMMYFUNCTION("""COMPUTED_VALUE"""),"Pre-seed")</f>
        <v>Pre-seed</v>
      </c>
      <c r="U662" s="6" t="str">
        <f ca="1">IFERROR(__xludf.DUMMYFUNCTION("""COMPUTED_VALUE"""),"Pre-seed")</f>
        <v>Pre-seed</v>
      </c>
      <c r="V662" s="6"/>
      <c r="W662" s="6" t="str">
        <f ca="1">IFERROR(__xludf.DUMMYFUNCTION("""COMPUTED_VALUE"""),"Invite Next Year")</f>
        <v>Invite Next Year</v>
      </c>
    </row>
    <row r="663" spans="1:23">
      <c r="A663" s="6" t="str">
        <f ca="1">IFERROR(__xludf.DUMMYFUNCTION("""COMPUTED_VALUE"""),"Gender-nonconforming")</f>
        <v>Gender-nonconforming</v>
      </c>
      <c r="B663" s="6" t="str">
        <f ca="1">IFERROR(__xludf.DUMMYFUNCTION("""COMPUTED_VALUE"""),"breathing.ai _2022")</f>
        <v>breathing.ai _2022</v>
      </c>
      <c r="C663" s="6" t="str">
        <f ca="1">IFERROR(__xludf.DUMMYFUNCTION("""COMPUTED_VALUE"""),"Digital Tech")</f>
        <v>Digital Tech</v>
      </c>
      <c r="D663" s="6" t="str">
        <f ca="1">IFERROR(__xludf.DUMMYFUNCTION("""COMPUTED_VALUE"""),"99 Wall St, Suite 4411, NY 
United States")</f>
        <v>99 Wall St, Suite 4411, NY 
United States</v>
      </c>
      <c r="E663" s="6" t="str">
        <f ca="1">IFERROR(__xludf.DUMMYFUNCTION("""COMPUTED_VALUE"""),"New York")</f>
        <v>New York</v>
      </c>
      <c r="F663" s="6" t="str">
        <f ca="1">IFERROR(__xludf.DUMMYFUNCTION("""COMPUTED_VALUE"""),"Gender-nonconforming")</f>
        <v>Gender-nonconforming</v>
      </c>
      <c r="G663" s="6"/>
      <c r="H663" s="6"/>
      <c r="I663" s="6"/>
      <c r="J663" s="6"/>
      <c r="K663" s="6"/>
      <c r="L663" s="6" t="str">
        <f ca="1">IFERROR(__xludf.DUMMYFUNCTION("""COMPUTED_VALUE"""),"No")</f>
        <v>No</v>
      </c>
      <c r="M663" s="6"/>
      <c r="N663" s="6"/>
      <c r="O663" s="6" t="str">
        <f ca="1">IFERROR(__xludf.DUMMYFUNCTION("""COMPUTED_VALUE"""),"Other")</f>
        <v>Other</v>
      </c>
      <c r="P663" s="6"/>
      <c r="Q663" s="6" t="str">
        <f ca="1">IFERROR(__xludf.DUMMYFUNCTION("""COMPUTED_VALUE"""),"Yes")</f>
        <v>Yes</v>
      </c>
      <c r="R663" s="6">
        <f ca="1">IFERROR(__xludf.DUMMYFUNCTION("""COMPUTED_VALUE"""),1)</f>
        <v>1</v>
      </c>
      <c r="S663" s="6" t="str">
        <f ca="1">IFERROR(__xludf.DUMMYFUNCTION("""COMPUTED_VALUE"""),"Pre-seed
Seed")</f>
        <v>Pre-seed
Seed</v>
      </c>
      <c r="T663" s="6" t="str">
        <f ca="1">IFERROR(__xludf.DUMMYFUNCTION("""COMPUTED_VALUE"""),"Pre-seed, Seed")</f>
        <v>Pre-seed, Seed</v>
      </c>
      <c r="U663" s="6" t="str">
        <f ca="1">IFERROR(__xludf.DUMMYFUNCTION("""COMPUTED_VALUE"""),"Pre-seed, Seed")</f>
        <v>Pre-seed, Seed</v>
      </c>
      <c r="V663" s="6"/>
      <c r="W663" s="6" t="str">
        <f ca="1">IFERROR(__xludf.DUMMYFUNCTION("""COMPUTED_VALUE"""),"Invite Next Year")</f>
        <v>Invite Next Year</v>
      </c>
    </row>
    <row r="664" spans="1:23">
      <c r="A664" s="6" t="str">
        <f ca="1">IFERROR(__xludf.DUMMYFUNCTION("""COMPUTED_VALUE"""),"Prefer not to respond")</f>
        <v>Prefer not to respond</v>
      </c>
      <c r="B664" s="6" t="str">
        <f ca="1">IFERROR(__xludf.DUMMYFUNCTION("""COMPUTED_VALUE"""),"Port. _2022")</f>
        <v>Port. _2022</v>
      </c>
      <c r="C664" s="6" t="str">
        <f ca="1">IFERROR(__xludf.DUMMYFUNCTION("""COMPUTED_VALUE"""),"Digital Tech")</f>
        <v>Digital Tech</v>
      </c>
      <c r="D664" s="6" t="str">
        <f ca="1">IFERROR(__xludf.DUMMYFUNCTION("""COMPUTED_VALUE"""),"157 East 86th Street, New York 
United States")</f>
        <v>157 East 86th Street, New York 
United States</v>
      </c>
      <c r="E664" s="6" t="str">
        <f ca="1">IFERROR(__xludf.DUMMYFUNCTION("""COMPUTED_VALUE"""),"New York")</f>
        <v>New York</v>
      </c>
      <c r="F664" s="6" t="str">
        <f ca="1">IFERROR(__xludf.DUMMYFUNCTION("""COMPUTED_VALUE"""),"Prefer not to respond")</f>
        <v>Prefer not to respond</v>
      </c>
      <c r="G664" s="6"/>
      <c r="H664" s="6"/>
      <c r="I664" s="6"/>
      <c r="J664" s="6"/>
      <c r="K664" s="6"/>
      <c r="L664" s="6" t="str">
        <f ca="1">IFERROR(__xludf.DUMMYFUNCTION("""COMPUTED_VALUE"""),"Yes")</f>
        <v>Yes</v>
      </c>
      <c r="M664" s="6" t="str">
        <f ca="1">IFERROR(__xludf.DUMMYFUNCTION("""COMPUTED_VALUE"""),"NYU Faculty")</f>
        <v>NYU Faculty</v>
      </c>
      <c r="N664" s="6"/>
      <c r="O664" s="6" t="str">
        <f ca="1">IFERROR(__xludf.DUMMYFUNCTION("""COMPUTED_VALUE"""),"Email")</f>
        <v>Email</v>
      </c>
      <c r="P664" s="6"/>
      <c r="Q664" s="6" t="str">
        <f ca="1">IFERROR(__xludf.DUMMYFUNCTION("""COMPUTED_VALUE"""),"No")</f>
        <v>No</v>
      </c>
      <c r="R664" s="6">
        <f ca="1">IFERROR(__xludf.DUMMYFUNCTION("""COMPUTED_VALUE"""),1)</f>
        <v>1</v>
      </c>
      <c r="S664" s="6" t="str">
        <f ca="1">IFERROR(__xludf.DUMMYFUNCTION("""COMPUTED_VALUE"""),"Pre-seed")</f>
        <v>Pre-seed</v>
      </c>
      <c r="T664" s="6" t="str">
        <f ca="1">IFERROR(__xludf.DUMMYFUNCTION("""COMPUTED_VALUE"""),"Pre-seed")</f>
        <v>Pre-seed</v>
      </c>
      <c r="U664" s="6" t="str">
        <f ca="1">IFERROR(__xludf.DUMMYFUNCTION("""COMPUTED_VALUE"""),"Pre-seed")</f>
        <v>Pre-seed</v>
      </c>
      <c r="V664" s="6"/>
      <c r="W664" s="6" t="str">
        <f ca="1">IFERROR(__xludf.DUMMYFUNCTION("""COMPUTED_VALUE"""),"Invite Next Year")</f>
        <v>Invite Next Year</v>
      </c>
    </row>
    <row r="665" spans="1:23">
      <c r="A665" s="6" t="str">
        <f ca="1">IFERROR(__xludf.DUMMYFUNCTION("""COMPUTED_VALUE"""),"Man, Man, Man")</f>
        <v>Man, Man, Man</v>
      </c>
      <c r="B665" s="6" t="str">
        <f ca="1">IFERROR(__xludf.DUMMYFUNCTION("""COMPUTED_VALUE"""),"Fragmynt _2022")</f>
        <v>Fragmynt _2022</v>
      </c>
      <c r="C665" s="6" t="str">
        <f ca="1">IFERROR(__xludf.DUMMYFUNCTION("""COMPUTED_VALUE"""),"Digital Tech")</f>
        <v>Digital Tech</v>
      </c>
      <c r="D665" s="6" t="str">
        <f ca="1">IFERROR(__xludf.DUMMYFUNCTION("""COMPUTED_VALUE"""),"Wilmington, Delaware 
United States")</f>
        <v>Wilmington, Delaware 
United States</v>
      </c>
      <c r="E665" s="6" t="str">
        <f ca="1">IFERROR(__xludf.DUMMYFUNCTION("""COMPUTED_VALUE"""),"East Coast")</f>
        <v>East Coast</v>
      </c>
      <c r="F665" s="6" t="str">
        <f ca="1">IFERROR(__xludf.DUMMYFUNCTION("""COMPUTED_VALUE"""),"Man")</f>
        <v>Man</v>
      </c>
      <c r="G665" s="6" t="str">
        <f ca="1">IFERROR(__xludf.DUMMYFUNCTION("""COMPUTED_VALUE"""),"Man")</f>
        <v>Man</v>
      </c>
      <c r="H665" s="6" t="str">
        <f ca="1">IFERROR(__xludf.DUMMYFUNCTION("""COMPUTED_VALUE"""),"Man")</f>
        <v>Man</v>
      </c>
      <c r="I665" s="6"/>
      <c r="J665" s="6"/>
      <c r="K665" s="6"/>
      <c r="L665" s="6" t="str">
        <f ca="1">IFERROR(__xludf.DUMMYFUNCTION("""COMPUTED_VALUE"""),"--Please select--")</f>
        <v>--Please select--</v>
      </c>
      <c r="M665" s="6"/>
      <c r="N665" s="6"/>
      <c r="O665" s="6" t="str">
        <f ca="1">IFERROR(__xludf.DUMMYFUNCTION("""COMPUTED_VALUE"""),"Email")</f>
        <v>Email</v>
      </c>
      <c r="P665" s="6"/>
      <c r="Q665" s="6" t="str">
        <f ca="1">IFERROR(__xludf.DUMMYFUNCTION("""COMPUTED_VALUE"""),"No")</f>
        <v>No</v>
      </c>
      <c r="R665" s="6">
        <f ca="1">IFERROR(__xludf.DUMMYFUNCTION("""COMPUTED_VALUE"""),3)</f>
        <v>3</v>
      </c>
      <c r="S665" s="6" t="str">
        <f ca="1">IFERROR(__xludf.DUMMYFUNCTION("""COMPUTED_VALUE"""),"Pre-seed")</f>
        <v>Pre-seed</v>
      </c>
      <c r="T665" s="6" t="str">
        <f ca="1">IFERROR(__xludf.DUMMYFUNCTION("""COMPUTED_VALUE"""),"Pre-seed")</f>
        <v>Pre-seed</v>
      </c>
      <c r="U665" s="6" t="str">
        <f ca="1">IFERROR(__xludf.DUMMYFUNCTION("""COMPUTED_VALUE"""),"Pre-seed")</f>
        <v>Pre-seed</v>
      </c>
      <c r="V665" s="6"/>
      <c r="W665" s="6" t="str">
        <f ca="1">IFERROR(__xludf.DUMMYFUNCTION("""COMPUTED_VALUE"""),"Invite")</f>
        <v>Invite</v>
      </c>
    </row>
    <row r="666" spans="1:23">
      <c r="A666" s="6" t="str">
        <f ca="1">IFERROR(__xludf.DUMMYFUNCTION("""COMPUTED_VALUE"""),"Man, Man")</f>
        <v>Man, Man</v>
      </c>
      <c r="B666" s="6" t="str">
        <f ca="1">IFERROR(__xludf.DUMMYFUNCTION("""COMPUTED_VALUE"""),"Fits _2022")</f>
        <v>Fits _2022</v>
      </c>
      <c r="C666" s="6" t="str">
        <f ca="1">IFERROR(__xludf.DUMMYFUNCTION("""COMPUTED_VALUE"""),"Digital Tech")</f>
        <v>Digital Tech</v>
      </c>
      <c r="D666" s="6" t="str">
        <f ca="1">IFERROR(__xludf.DUMMYFUNCTION("""COMPUTED_VALUE"""),"Miami, Florida 
United States")</f>
        <v>Miami, Florida 
United States</v>
      </c>
      <c r="E666" s="6" t="str">
        <f ca="1">IFERROR(__xludf.DUMMYFUNCTION("""COMPUTED_VALUE"""),"East Coast")</f>
        <v>East Coast</v>
      </c>
      <c r="F666" s="6" t="str">
        <f ca="1">IFERROR(__xludf.DUMMYFUNCTION("""COMPUTED_VALUE"""),"Man")</f>
        <v>Man</v>
      </c>
      <c r="G666" s="6" t="str">
        <f ca="1">IFERROR(__xludf.DUMMYFUNCTION("""COMPUTED_VALUE"""),"Man")</f>
        <v>Man</v>
      </c>
      <c r="H666" s="6"/>
      <c r="I666" s="6"/>
      <c r="J666" s="6"/>
      <c r="K666" s="6"/>
      <c r="L666" s="6" t="str">
        <f ca="1">IFERROR(__xludf.DUMMYFUNCTION("""COMPUTED_VALUE"""),"No")</f>
        <v>No</v>
      </c>
      <c r="M666" s="6"/>
      <c r="N666" s="6"/>
      <c r="O666" s="6" t="str">
        <f ca="1">IFERROR(__xludf.DUMMYFUNCTION("""COMPUTED_VALUE"""),"Search Engine")</f>
        <v>Search Engine</v>
      </c>
      <c r="P666" s="6"/>
      <c r="Q666" s="6" t="str">
        <f ca="1">IFERROR(__xludf.DUMMYFUNCTION("""COMPUTED_VALUE"""),"No")</f>
        <v>No</v>
      </c>
      <c r="R666" s="6">
        <f ca="1">IFERROR(__xludf.DUMMYFUNCTION("""COMPUTED_VALUE"""),2)</f>
        <v>2</v>
      </c>
      <c r="S666" s="6" t="str">
        <f ca="1">IFERROR(__xludf.DUMMYFUNCTION("""COMPUTED_VALUE"""),"None")</f>
        <v>None</v>
      </c>
      <c r="T666" s="6" t="str">
        <f ca="1">IFERROR(__xludf.DUMMYFUNCTION("""COMPUTED_VALUE"""),"None")</f>
        <v>None</v>
      </c>
      <c r="U666" s="6" t="str">
        <f ca="1">IFERROR(__xludf.DUMMYFUNCTION("""COMPUTED_VALUE"""),"None")</f>
        <v>None</v>
      </c>
      <c r="V666" s="6"/>
      <c r="W666" s="6" t="str">
        <f ca="1">IFERROR(__xludf.DUMMYFUNCTION("""COMPUTED_VALUE"""),"Invite Next Year")</f>
        <v>Invite Next Year</v>
      </c>
    </row>
    <row r="667" spans="1:23">
      <c r="A667" s="6" t="str">
        <f ca="1">IFERROR(__xludf.DUMMYFUNCTION("""COMPUTED_VALUE"""),"Woman, Man")</f>
        <v>Woman, Man</v>
      </c>
      <c r="B667" s="6" t="str">
        <f ca="1">IFERROR(__xludf.DUMMYFUNCTION("""COMPUTED_VALUE"""),"RoQR _2022")</f>
        <v>RoQR _2022</v>
      </c>
      <c r="C667" s="6" t="str">
        <f ca="1">IFERROR(__xludf.DUMMYFUNCTION("""COMPUTED_VALUE"""),"Digital Tech")</f>
        <v>Digital Tech</v>
      </c>
      <c r="D667" s="6" t="str">
        <f ca="1">IFERROR(__xludf.DUMMYFUNCTION("""COMPUTED_VALUE"""),"New York, New York 
United States")</f>
        <v>New York, New York 
United States</v>
      </c>
      <c r="E667" s="6" t="str">
        <f ca="1">IFERROR(__xludf.DUMMYFUNCTION("""COMPUTED_VALUE"""),"New York")</f>
        <v>New York</v>
      </c>
      <c r="F667" s="6" t="str">
        <f ca="1">IFERROR(__xludf.DUMMYFUNCTION("""COMPUTED_VALUE"""),"Woman")</f>
        <v>Woman</v>
      </c>
      <c r="G667" s="6" t="str">
        <f ca="1">IFERROR(__xludf.DUMMYFUNCTION("""COMPUTED_VALUE"""),"Man")</f>
        <v>Man</v>
      </c>
      <c r="H667" s="6"/>
      <c r="I667" s="6"/>
      <c r="J667" s="6"/>
      <c r="K667" s="6"/>
      <c r="L667" s="6" t="str">
        <f ca="1">IFERROR(__xludf.DUMMYFUNCTION("""COMPUTED_VALUE"""),"Yes")</f>
        <v>Yes</v>
      </c>
      <c r="M667" s="6" t="str">
        <f ca="1">IFERROR(__xludf.DUMMYFUNCTION("""COMPUTED_VALUE"""),"NYU Student")</f>
        <v>NYU Student</v>
      </c>
      <c r="N667" s="6"/>
      <c r="O667" s="6" t="str">
        <f ca="1">IFERROR(__xludf.DUMMYFUNCTION("""COMPUTED_VALUE"""),"NYU Newsletter")</f>
        <v>NYU Newsletter</v>
      </c>
      <c r="P667" s="6"/>
      <c r="Q667" s="6" t="str">
        <f ca="1">IFERROR(__xludf.DUMMYFUNCTION("""COMPUTED_VALUE"""),"No")</f>
        <v>No</v>
      </c>
      <c r="R667" s="6">
        <f ca="1">IFERROR(__xludf.DUMMYFUNCTION("""COMPUTED_VALUE"""),2)</f>
        <v>2</v>
      </c>
      <c r="S667" s="6" t="str">
        <f ca="1">IFERROR(__xludf.DUMMYFUNCTION("""COMPUTED_VALUE"""),"None")</f>
        <v>None</v>
      </c>
      <c r="T667" s="6" t="str">
        <f ca="1">IFERROR(__xludf.DUMMYFUNCTION("""COMPUTED_VALUE"""),"None")</f>
        <v>None</v>
      </c>
      <c r="U667" s="6" t="str">
        <f ca="1">IFERROR(__xludf.DUMMYFUNCTION("""COMPUTED_VALUE"""),"None")</f>
        <v>None</v>
      </c>
      <c r="V667" s="6"/>
      <c r="W667" s="6" t="str">
        <f ca="1">IFERROR(__xludf.DUMMYFUNCTION("""COMPUTED_VALUE"""),"Invite Next Year")</f>
        <v>Invite Next Year</v>
      </c>
    </row>
    <row r="668" spans="1:23">
      <c r="A668" s="6" t="str">
        <f ca="1">IFERROR(__xludf.DUMMYFUNCTION("""COMPUTED_VALUE"""),"Man, Woman, Woman, Man")</f>
        <v>Man, Woman, Woman, Man</v>
      </c>
      <c r="B668" s="6" t="str">
        <f ca="1">IFERROR(__xludf.DUMMYFUNCTION("""COMPUTED_VALUE"""),"Legible Inc. _2022")</f>
        <v>Legible Inc. _2022</v>
      </c>
      <c r="C668" s="6" t="str">
        <f ca="1">IFERROR(__xludf.DUMMYFUNCTION("""COMPUTED_VALUE"""),"Digital Tech")</f>
        <v>Digital Tech</v>
      </c>
      <c r="D668" s="6" t="str">
        <f ca="1">IFERROR(__xludf.DUMMYFUNCTION("""COMPUTED_VALUE"""),"2230 Ontario St. Vancouver, BC V5T 2X2, BC 
Canada")</f>
        <v>2230 Ontario St. Vancouver, BC V5T 2X2, BC 
Canada</v>
      </c>
      <c r="E668" s="6" t="str">
        <f ca="1">IFERROR(__xludf.DUMMYFUNCTION("""COMPUTED_VALUE"""),"International - Americas")</f>
        <v>International - Americas</v>
      </c>
      <c r="F668" s="6" t="str">
        <f ca="1">IFERROR(__xludf.DUMMYFUNCTION("""COMPUTED_VALUE"""),"Man")</f>
        <v>Man</v>
      </c>
      <c r="G668" s="6" t="str">
        <f ca="1">IFERROR(__xludf.DUMMYFUNCTION("""COMPUTED_VALUE"""),"Woman")</f>
        <v>Woman</v>
      </c>
      <c r="H668" s="6" t="str">
        <f ca="1">IFERROR(__xludf.DUMMYFUNCTION("""COMPUTED_VALUE"""),"Woman")</f>
        <v>Woman</v>
      </c>
      <c r="I668" s="6" t="str">
        <f ca="1">IFERROR(__xludf.DUMMYFUNCTION("""COMPUTED_VALUE"""),"Man")</f>
        <v>Man</v>
      </c>
      <c r="J668" s="6"/>
      <c r="K668" s="6"/>
      <c r="L668" s="6" t="str">
        <f ca="1">IFERROR(__xludf.DUMMYFUNCTION("""COMPUTED_VALUE"""),"No")</f>
        <v>No</v>
      </c>
      <c r="M668" s="6"/>
      <c r="N668" s="6"/>
      <c r="O668" s="6" t="str">
        <f ca="1">IFERROR(__xludf.DUMMYFUNCTION("""COMPUTED_VALUE"""),"Email")</f>
        <v>Email</v>
      </c>
      <c r="P668" s="6"/>
      <c r="Q668" s="6" t="str">
        <f ca="1">IFERROR(__xludf.DUMMYFUNCTION("""COMPUTED_VALUE"""),"No")</f>
        <v>No</v>
      </c>
      <c r="R668" s="6">
        <f ca="1">IFERROR(__xludf.DUMMYFUNCTION("""COMPUTED_VALUE"""),4)</f>
        <v>4</v>
      </c>
      <c r="S668" s="6" t="str">
        <f ca="1">IFERROR(__xludf.DUMMYFUNCTION("""COMPUTED_VALUE"""),"Seed")</f>
        <v>Seed</v>
      </c>
      <c r="T668" s="6" t="str">
        <f ca="1">IFERROR(__xludf.DUMMYFUNCTION("""COMPUTED_VALUE"""),"Seed")</f>
        <v>Seed</v>
      </c>
      <c r="U668" s="6" t="str">
        <f ca="1">IFERROR(__xludf.DUMMYFUNCTION("""COMPUTED_VALUE"""),"Seed")</f>
        <v>Seed</v>
      </c>
      <c r="V668" s="6"/>
      <c r="W668" s="6" t="str">
        <f ca="1">IFERROR(__xludf.DUMMYFUNCTION("""COMPUTED_VALUE"""),"Invite")</f>
        <v>Invite</v>
      </c>
    </row>
    <row r="669" spans="1:23">
      <c r="A669" s="6" t="str">
        <f ca="1">IFERROR(__xludf.DUMMYFUNCTION("""COMPUTED_VALUE"""),"Man, Man")</f>
        <v>Man, Man</v>
      </c>
      <c r="B669" s="6" t="str">
        <f ca="1">IFERROR(__xludf.DUMMYFUNCTION("""COMPUTED_VALUE"""),"Zoios _2022")</f>
        <v>Zoios _2022</v>
      </c>
      <c r="C669" s="6" t="str">
        <f ca="1">IFERROR(__xludf.DUMMYFUNCTION("""COMPUTED_VALUE"""),"Digital Tech")</f>
        <v>Digital Tech</v>
      </c>
      <c r="D669" s="6" t="str">
        <f ca="1">IFERROR(__xludf.DUMMYFUNCTION("""COMPUTED_VALUE"""),"Copenhagen, Capital Region 
Denmark")</f>
        <v>Copenhagen, Capital Region 
Denmark</v>
      </c>
      <c r="E669" s="6" t="str">
        <f ca="1">IFERROR(__xludf.DUMMYFUNCTION("""COMPUTED_VALUE"""),"International - Europe")</f>
        <v>International - Europe</v>
      </c>
      <c r="F669" s="6" t="str">
        <f ca="1">IFERROR(__xludf.DUMMYFUNCTION("""COMPUTED_VALUE"""),"Man")</f>
        <v>Man</v>
      </c>
      <c r="G669" s="6" t="str">
        <f ca="1">IFERROR(__xludf.DUMMYFUNCTION("""COMPUTED_VALUE"""),"Man")</f>
        <v>Man</v>
      </c>
      <c r="H669" s="6"/>
      <c r="I669" s="6"/>
      <c r="J669" s="6"/>
      <c r="K669" s="6"/>
      <c r="L669" s="6" t="str">
        <f ca="1">IFERROR(__xludf.DUMMYFUNCTION("""COMPUTED_VALUE"""),"No")</f>
        <v>No</v>
      </c>
      <c r="M669" s="6"/>
      <c r="N669" s="6"/>
      <c r="O669" s="6" t="str">
        <f ca="1">IFERROR(__xludf.DUMMYFUNCTION("""COMPUTED_VALUE"""),"Email")</f>
        <v>Email</v>
      </c>
      <c r="P669" s="6"/>
      <c r="Q669" s="6" t="str">
        <f ca="1">IFERROR(__xludf.DUMMYFUNCTION("""COMPUTED_VALUE"""),"No")</f>
        <v>No</v>
      </c>
      <c r="R669" s="6">
        <f ca="1">IFERROR(__xludf.DUMMYFUNCTION("""COMPUTED_VALUE"""),2)</f>
        <v>2</v>
      </c>
      <c r="S669" s="6" t="str">
        <f ca="1">IFERROR(__xludf.DUMMYFUNCTION("""COMPUTED_VALUE"""),"Pre-seed")</f>
        <v>Pre-seed</v>
      </c>
      <c r="T669" s="6" t="str">
        <f ca="1">IFERROR(__xludf.DUMMYFUNCTION("""COMPUTED_VALUE"""),"Pre-seed")</f>
        <v>Pre-seed</v>
      </c>
      <c r="U669" s="6" t="str">
        <f ca="1">IFERROR(__xludf.DUMMYFUNCTION("""COMPUTED_VALUE"""),"Pre-seed")</f>
        <v>Pre-seed</v>
      </c>
      <c r="V669" s="6"/>
      <c r="W669" s="6" t="str">
        <f ca="1">IFERROR(__xludf.DUMMYFUNCTION("""COMPUTED_VALUE"""),"Invite Next Year")</f>
        <v>Invite Next Year</v>
      </c>
    </row>
    <row r="670" spans="1:23">
      <c r="A670" s="6" t="str">
        <f ca="1">IFERROR(__xludf.DUMMYFUNCTION("""COMPUTED_VALUE"""),"Man, Man, Man")</f>
        <v>Man, Man, Man</v>
      </c>
      <c r="B670" s="6" t="str">
        <f ca="1">IFERROR(__xludf.DUMMYFUNCTION("""COMPUTED_VALUE"""),"PepperMintClub _2022")</f>
        <v>PepperMintClub _2022</v>
      </c>
      <c r="C670" s="6" t="str">
        <f ca="1">IFERROR(__xludf.DUMMYFUNCTION("""COMPUTED_VALUE"""),"Digital Tech")</f>
        <v>Digital Tech</v>
      </c>
      <c r="D670" s="6" t="str">
        <f ca="1">IFERROR(__xludf.DUMMYFUNCTION("""COMPUTED_VALUE"""),"Hong Kong , Hong Kong 
Hong Kong")</f>
        <v>Hong Kong , Hong Kong 
Hong Kong</v>
      </c>
      <c r="E670" s="6" t="str">
        <f ca="1">IFERROR(__xludf.DUMMYFUNCTION("""COMPUTED_VALUE"""),"International - Asia")</f>
        <v>International - Asia</v>
      </c>
      <c r="F670" s="6" t="str">
        <f ca="1">IFERROR(__xludf.DUMMYFUNCTION("""COMPUTED_VALUE"""),"Man")</f>
        <v>Man</v>
      </c>
      <c r="G670" s="6" t="str">
        <f ca="1">IFERROR(__xludf.DUMMYFUNCTION("""COMPUTED_VALUE"""),"Man")</f>
        <v>Man</v>
      </c>
      <c r="H670" s="6" t="str">
        <f ca="1">IFERROR(__xludf.DUMMYFUNCTION("""COMPUTED_VALUE"""),"Man")</f>
        <v>Man</v>
      </c>
      <c r="I670" s="6"/>
      <c r="J670" s="6"/>
      <c r="K670" s="6"/>
      <c r="L670" s="6" t="str">
        <f ca="1">IFERROR(__xludf.DUMMYFUNCTION("""COMPUTED_VALUE"""),"Yes")</f>
        <v>Yes</v>
      </c>
      <c r="M670" s="6" t="str">
        <f ca="1">IFERROR(__xludf.DUMMYFUNCTION("""COMPUTED_VALUE"""),"NYU Student")</f>
        <v>NYU Student</v>
      </c>
      <c r="N670" s="6"/>
      <c r="O670" s="6" t="str">
        <f ca="1">IFERROR(__xludf.DUMMYFUNCTION("""COMPUTED_VALUE"""),"Email")</f>
        <v>Email</v>
      </c>
      <c r="P670" s="6"/>
      <c r="Q670" s="6" t="str">
        <f ca="1">IFERROR(__xludf.DUMMYFUNCTION("""COMPUTED_VALUE"""),"No")</f>
        <v>No</v>
      </c>
      <c r="R670" s="6">
        <f ca="1">IFERROR(__xludf.DUMMYFUNCTION("""COMPUTED_VALUE"""),3)</f>
        <v>3</v>
      </c>
      <c r="S670" s="6" t="str">
        <f ca="1">IFERROR(__xludf.DUMMYFUNCTION("""COMPUTED_VALUE"""),"Pre-seed")</f>
        <v>Pre-seed</v>
      </c>
      <c r="T670" s="6" t="str">
        <f ca="1">IFERROR(__xludf.DUMMYFUNCTION("""COMPUTED_VALUE"""),"Pre-seed")</f>
        <v>Pre-seed</v>
      </c>
      <c r="U670" s="6" t="str">
        <f ca="1">IFERROR(__xludf.DUMMYFUNCTION("""COMPUTED_VALUE"""),"Pre-seed")</f>
        <v>Pre-seed</v>
      </c>
      <c r="V670" s="6"/>
      <c r="W670" s="6" t="str">
        <f ca="1">IFERROR(__xludf.DUMMYFUNCTION("""COMPUTED_VALUE"""),"Invite Next Year")</f>
        <v>Invite Next Year</v>
      </c>
    </row>
    <row r="671" spans="1:23">
      <c r="A671" s="6" t="str">
        <f ca="1">IFERROR(__xludf.DUMMYFUNCTION("""COMPUTED_VALUE"""),"Man, Man, Man")</f>
        <v>Man, Man, Man</v>
      </c>
      <c r="B671" s="6" t="str">
        <f ca="1">IFERROR(__xludf.DUMMYFUNCTION("""COMPUTED_VALUE"""),"Intelligent AI _2022")</f>
        <v>Intelligent AI _2022</v>
      </c>
      <c r="C671" s="6" t="str">
        <f ca="1">IFERROR(__xludf.DUMMYFUNCTION("""COMPUTED_VALUE"""),"Digital Tech")</f>
        <v>Digital Tech</v>
      </c>
      <c r="D671" s="6" t="str">
        <f ca="1">IFERROR(__xludf.DUMMYFUNCTION("""COMPUTED_VALUE"""),"16 Compass Quay, Haven Road, Exeter, United Kingdom, UK 
United Kingdom")</f>
        <v>16 Compass Quay, Haven Road, Exeter, United Kingdom, UK 
United Kingdom</v>
      </c>
      <c r="E671" s="6" t="str">
        <f ca="1">IFERROR(__xludf.DUMMYFUNCTION("""COMPUTED_VALUE"""),"International - Europe")</f>
        <v>International - Europe</v>
      </c>
      <c r="F671" s="6" t="str">
        <f ca="1">IFERROR(__xludf.DUMMYFUNCTION("""COMPUTED_VALUE"""),"Man")</f>
        <v>Man</v>
      </c>
      <c r="G671" s="6" t="str">
        <f ca="1">IFERROR(__xludf.DUMMYFUNCTION("""COMPUTED_VALUE"""),"Man")</f>
        <v>Man</v>
      </c>
      <c r="H671" s="6" t="str">
        <f ca="1">IFERROR(__xludf.DUMMYFUNCTION("""COMPUTED_VALUE"""),"Man")</f>
        <v>Man</v>
      </c>
      <c r="I671" s="6"/>
      <c r="J671" s="6"/>
      <c r="K671" s="6"/>
      <c r="L671" s="6" t="str">
        <f ca="1">IFERROR(__xludf.DUMMYFUNCTION("""COMPUTED_VALUE"""),"--Please select--")</f>
        <v>--Please select--</v>
      </c>
      <c r="M671" s="6"/>
      <c r="N671" s="6"/>
      <c r="O671" s="6" t="str">
        <f ca="1">IFERROR(__xludf.DUMMYFUNCTION("""COMPUTED_VALUE"""),"Email")</f>
        <v>Email</v>
      </c>
      <c r="P671" s="6"/>
      <c r="Q671" s="6" t="str">
        <f ca="1">IFERROR(__xludf.DUMMYFUNCTION("""COMPUTED_VALUE"""),"No")</f>
        <v>No</v>
      </c>
      <c r="R671" s="6">
        <f ca="1">IFERROR(__xludf.DUMMYFUNCTION("""COMPUTED_VALUE"""),3)</f>
        <v>3</v>
      </c>
      <c r="S671" s="6" t="str">
        <f ca="1">IFERROR(__xludf.DUMMYFUNCTION("""COMPUTED_VALUE"""),"Pre-seed
Seed")</f>
        <v>Pre-seed
Seed</v>
      </c>
      <c r="T671" s="6" t="str">
        <f ca="1">IFERROR(__xludf.DUMMYFUNCTION("""COMPUTED_VALUE"""),"Pre-seed, Seed")</f>
        <v>Pre-seed, Seed</v>
      </c>
      <c r="U671" s="6" t="str">
        <f ca="1">IFERROR(__xludf.DUMMYFUNCTION("""COMPUTED_VALUE"""),"Pre-seed, Seed")</f>
        <v>Pre-seed, Seed</v>
      </c>
      <c r="V671" s="6"/>
      <c r="W671" s="6" t="str">
        <f ca="1">IFERROR(__xludf.DUMMYFUNCTION("""COMPUTED_VALUE"""),"Invite")</f>
        <v>Invite</v>
      </c>
    </row>
    <row r="672" spans="1:23">
      <c r="A672" s="6" t="str">
        <f ca="1">IFERROR(__xludf.DUMMYFUNCTION("""COMPUTED_VALUE"""),"Man, Woman, Man")</f>
        <v>Man, Woman, Man</v>
      </c>
      <c r="B672" s="6" t="str">
        <f ca="1">IFERROR(__xludf.DUMMYFUNCTION("""COMPUTED_VALUE"""),"Educai.io _2022")</f>
        <v>Educai.io _2022</v>
      </c>
      <c r="C672" s="6" t="str">
        <f ca="1">IFERROR(__xludf.DUMMYFUNCTION("""COMPUTED_VALUE"""),"Digital Tech")</f>
        <v>Digital Tech</v>
      </c>
      <c r="D672" s="6" t="str">
        <f ca="1">IFERROR(__xludf.DUMMYFUNCTION("""COMPUTED_VALUE"""),"London, UK 
United Kingdom")</f>
        <v>London, UK 
United Kingdom</v>
      </c>
      <c r="E672" s="6" t="str">
        <f ca="1">IFERROR(__xludf.DUMMYFUNCTION("""COMPUTED_VALUE"""),"International - Europe")</f>
        <v>International - Europe</v>
      </c>
      <c r="F672" s="6" t="str">
        <f ca="1">IFERROR(__xludf.DUMMYFUNCTION("""COMPUTED_VALUE"""),"Man")</f>
        <v>Man</v>
      </c>
      <c r="G672" s="6" t="str">
        <f ca="1">IFERROR(__xludf.DUMMYFUNCTION("""COMPUTED_VALUE"""),"Woman")</f>
        <v>Woman</v>
      </c>
      <c r="H672" s="6" t="str">
        <f ca="1">IFERROR(__xludf.DUMMYFUNCTION("""COMPUTED_VALUE"""),"Man")</f>
        <v>Man</v>
      </c>
      <c r="I672" s="6"/>
      <c r="J672" s="6"/>
      <c r="K672" s="6"/>
      <c r="L672" s="6" t="str">
        <f ca="1">IFERROR(__xludf.DUMMYFUNCTION("""COMPUTED_VALUE"""),"No")</f>
        <v>No</v>
      </c>
      <c r="M672" s="6"/>
      <c r="N672" s="6"/>
      <c r="O672" s="6" t="str">
        <f ca="1">IFERROR(__xludf.DUMMYFUNCTION("""COMPUTED_VALUE"""),"Email")</f>
        <v>Email</v>
      </c>
      <c r="P672" s="6"/>
      <c r="Q672" s="6" t="str">
        <f ca="1">IFERROR(__xludf.DUMMYFUNCTION("""COMPUTED_VALUE"""),"No")</f>
        <v>No</v>
      </c>
      <c r="R672" s="6">
        <f ca="1">IFERROR(__xludf.DUMMYFUNCTION("""COMPUTED_VALUE"""),3)</f>
        <v>3</v>
      </c>
      <c r="S672" s="6" t="str">
        <f ca="1">IFERROR(__xludf.DUMMYFUNCTION("""COMPUTED_VALUE"""),"Pre-seed")</f>
        <v>Pre-seed</v>
      </c>
      <c r="T672" s="6" t="str">
        <f ca="1">IFERROR(__xludf.DUMMYFUNCTION("""COMPUTED_VALUE"""),"Pre-seed")</f>
        <v>Pre-seed</v>
      </c>
      <c r="U672" s="6" t="str">
        <f ca="1">IFERROR(__xludf.DUMMYFUNCTION("""COMPUTED_VALUE"""),"Pre-seed")</f>
        <v>Pre-seed</v>
      </c>
      <c r="V672" s="6"/>
      <c r="W672" s="6" t="str">
        <f ca="1">IFERROR(__xludf.DUMMYFUNCTION("""COMPUTED_VALUE"""),"Invite Next Year")</f>
        <v>Invite Next Year</v>
      </c>
    </row>
    <row r="673" spans="1:23">
      <c r="A673" s="6" t="str">
        <f ca="1">IFERROR(__xludf.DUMMYFUNCTION("""COMPUTED_VALUE"""),"Man, Man, Woman, Man, Man")</f>
        <v>Man, Man, Woman, Man, Man</v>
      </c>
      <c r="B673" s="6" t="str">
        <f ca="1">IFERROR(__xludf.DUMMYFUNCTION("""COMPUTED_VALUE"""),"DLTEO GmbH _2022")</f>
        <v>DLTEO GmbH _2022</v>
      </c>
      <c r="C673" s="6" t="str">
        <f ca="1">IFERROR(__xludf.DUMMYFUNCTION("""COMPUTED_VALUE"""),"Digital Tech")</f>
        <v>Digital Tech</v>
      </c>
      <c r="D673" s="6" t="str">
        <f ca="1">IFERROR(__xludf.DUMMYFUNCTION("""COMPUTED_VALUE"""),"Stremayrgasse 16,4 8010, Graz 
Austria")</f>
        <v>Stremayrgasse 16,4 8010, Graz 
Austria</v>
      </c>
      <c r="E673" s="6" t="str">
        <f ca="1">IFERROR(__xludf.DUMMYFUNCTION("""COMPUTED_VALUE"""),"International - Europe")</f>
        <v>International - Europe</v>
      </c>
      <c r="F673" s="6" t="str">
        <f ca="1">IFERROR(__xludf.DUMMYFUNCTION("""COMPUTED_VALUE"""),"Man")</f>
        <v>Man</v>
      </c>
      <c r="G673" s="6" t="str">
        <f ca="1">IFERROR(__xludf.DUMMYFUNCTION("""COMPUTED_VALUE"""),"Man")</f>
        <v>Man</v>
      </c>
      <c r="H673" s="6" t="str">
        <f ca="1">IFERROR(__xludf.DUMMYFUNCTION("""COMPUTED_VALUE"""),"Woman")</f>
        <v>Woman</v>
      </c>
      <c r="I673" s="6" t="str">
        <f ca="1">IFERROR(__xludf.DUMMYFUNCTION("""COMPUTED_VALUE"""),"Man")</f>
        <v>Man</v>
      </c>
      <c r="J673" s="6" t="str">
        <f ca="1">IFERROR(__xludf.DUMMYFUNCTION("""COMPUTED_VALUE"""),"Man")</f>
        <v>Man</v>
      </c>
      <c r="K673" s="6"/>
      <c r="L673" s="6" t="str">
        <f ca="1">IFERROR(__xludf.DUMMYFUNCTION("""COMPUTED_VALUE"""),"No")</f>
        <v>No</v>
      </c>
      <c r="M673" s="6"/>
      <c r="N673" s="6"/>
      <c r="O673" s="6" t="str">
        <f ca="1">IFERROR(__xludf.DUMMYFUNCTION("""COMPUTED_VALUE"""),"Referral")</f>
        <v>Referral</v>
      </c>
      <c r="P673" s="6"/>
      <c r="Q673" s="6" t="str">
        <f ca="1">IFERROR(__xludf.DUMMYFUNCTION("""COMPUTED_VALUE"""),"No")</f>
        <v>No</v>
      </c>
      <c r="R673" s="6">
        <f ca="1">IFERROR(__xludf.DUMMYFUNCTION("""COMPUTED_VALUE"""),5)</f>
        <v>5</v>
      </c>
      <c r="S673" s="6" t="str">
        <f ca="1">IFERROR(__xludf.DUMMYFUNCTION("""COMPUTED_VALUE"""),"Seed")</f>
        <v>Seed</v>
      </c>
      <c r="T673" s="6" t="str">
        <f ca="1">IFERROR(__xludf.DUMMYFUNCTION("""COMPUTED_VALUE"""),"Seed")</f>
        <v>Seed</v>
      </c>
      <c r="U673" s="6" t="str">
        <f ca="1">IFERROR(__xludf.DUMMYFUNCTION("""COMPUTED_VALUE"""),"Seed")</f>
        <v>Seed</v>
      </c>
      <c r="V673" s="6"/>
      <c r="W673" s="6" t="str">
        <f ca="1">IFERROR(__xludf.DUMMYFUNCTION("""COMPUTED_VALUE"""),"Invite Next Year")</f>
        <v>Invite Next Year</v>
      </c>
    </row>
    <row r="674" spans="1:23">
      <c r="A674" s="6" t="str">
        <f ca="1">IFERROR(__xludf.DUMMYFUNCTION("""COMPUTED_VALUE"""),"Man, Man, Man")</f>
        <v>Man, Man, Man</v>
      </c>
      <c r="B674" s="6" t="str">
        <f ca="1">IFERROR(__xludf.DUMMYFUNCTION("""COMPUTED_VALUE"""),"PulsOps Inc _2022")</f>
        <v>PulsOps Inc _2022</v>
      </c>
      <c r="C674" s="6" t="str">
        <f ca="1">IFERROR(__xludf.DUMMYFUNCTION("""COMPUTED_VALUE"""),"Digital Tech")</f>
        <v>Digital Tech</v>
      </c>
      <c r="D674" s="6" t="str">
        <f ca="1">IFERROR(__xludf.DUMMYFUNCTION("""COMPUTED_VALUE"""),"Bolingbrook, Illinois 
United States")</f>
        <v>Bolingbrook, Illinois 
United States</v>
      </c>
      <c r="E674" s="6" t="str">
        <f ca="1">IFERROR(__xludf.DUMMYFUNCTION("""COMPUTED_VALUE"""),"Midwest")</f>
        <v>Midwest</v>
      </c>
      <c r="F674" s="6" t="str">
        <f ca="1">IFERROR(__xludf.DUMMYFUNCTION("""COMPUTED_VALUE"""),"Man")</f>
        <v>Man</v>
      </c>
      <c r="G674" s="6" t="str">
        <f ca="1">IFERROR(__xludf.DUMMYFUNCTION("""COMPUTED_VALUE"""),"Man")</f>
        <v>Man</v>
      </c>
      <c r="H674" s="6" t="str">
        <f ca="1">IFERROR(__xludf.DUMMYFUNCTION("""COMPUTED_VALUE"""),"Man")</f>
        <v>Man</v>
      </c>
      <c r="I674" s="6"/>
      <c r="J674" s="6"/>
      <c r="K674" s="6"/>
      <c r="L674" s="6" t="str">
        <f ca="1">IFERROR(__xludf.DUMMYFUNCTION("""COMPUTED_VALUE"""),"No")</f>
        <v>No</v>
      </c>
      <c r="M674" s="6"/>
      <c r="N674" s="6"/>
      <c r="O674" s="6" t="str">
        <f ca="1">IFERROR(__xludf.DUMMYFUNCTION("""COMPUTED_VALUE"""),"Email")</f>
        <v>Email</v>
      </c>
      <c r="P674" s="6"/>
      <c r="Q674" s="6" t="str">
        <f ca="1">IFERROR(__xludf.DUMMYFUNCTION("""COMPUTED_VALUE"""),"No")</f>
        <v>No</v>
      </c>
      <c r="R674" s="6">
        <f ca="1">IFERROR(__xludf.DUMMYFUNCTION("""COMPUTED_VALUE"""),3)</f>
        <v>3</v>
      </c>
      <c r="S674" s="6" t="str">
        <f ca="1">IFERROR(__xludf.DUMMYFUNCTION("""COMPUTED_VALUE"""),"Pre-seed")</f>
        <v>Pre-seed</v>
      </c>
      <c r="T674" s="6" t="str">
        <f ca="1">IFERROR(__xludf.DUMMYFUNCTION("""COMPUTED_VALUE"""),"Pre-seed")</f>
        <v>Pre-seed</v>
      </c>
      <c r="U674" s="6" t="str">
        <f ca="1">IFERROR(__xludf.DUMMYFUNCTION("""COMPUTED_VALUE"""),"Pre-seed")</f>
        <v>Pre-seed</v>
      </c>
      <c r="V674" s="6"/>
      <c r="W674" s="6" t="str">
        <f ca="1">IFERROR(__xludf.DUMMYFUNCTION("""COMPUTED_VALUE"""),"Invite Next Year")</f>
        <v>Invite Next Year</v>
      </c>
    </row>
    <row r="675" spans="1:23">
      <c r="A675" s="6" t="str">
        <f ca="1">IFERROR(__xludf.DUMMYFUNCTION("""COMPUTED_VALUE"""),"Man, Man")</f>
        <v>Man, Man</v>
      </c>
      <c r="B675" s="6" t="str">
        <f ca="1">IFERROR(__xludf.DUMMYFUNCTION("""COMPUTED_VALUE"""),"gogoBus _2022")</f>
        <v>gogoBus _2022</v>
      </c>
      <c r="C675" s="6" t="str">
        <f ca="1">IFERROR(__xludf.DUMMYFUNCTION("""COMPUTED_VALUE"""),"Digital Tech")</f>
        <v>Digital Tech</v>
      </c>
      <c r="D675" s="6" t="str">
        <f ca="1">IFERROR(__xludf.DUMMYFUNCTION("""COMPUTED_VALUE"""),"Gurgaon, Haryana 
India")</f>
        <v>Gurgaon, Haryana 
India</v>
      </c>
      <c r="E675" s="6" t="str">
        <f ca="1">IFERROR(__xludf.DUMMYFUNCTION("""COMPUTED_VALUE"""),"International - Asia")</f>
        <v>International - Asia</v>
      </c>
      <c r="F675" s="6" t="str">
        <f ca="1">IFERROR(__xludf.DUMMYFUNCTION("""COMPUTED_VALUE"""),"Man")</f>
        <v>Man</v>
      </c>
      <c r="G675" s="6" t="str">
        <f ca="1">IFERROR(__xludf.DUMMYFUNCTION("""COMPUTED_VALUE"""),"Man")</f>
        <v>Man</v>
      </c>
      <c r="H675" s="6"/>
      <c r="I675" s="6"/>
      <c r="J675" s="6"/>
      <c r="K675" s="6"/>
      <c r="L675" s="6" t="str">
        <f ca="1">IFERROR(__xludf.DUMMYFUNCTION("""COMPUTED_VALUE"""),"No")</f>
        <v>No</v>
      </c>
      <c r="M675" s="6"/>
      <c r="N675" s="6"/>
      <c r="O675" s="6" t="str">
        <f ca="1">IFERROR(__xludf.DUMMYFUNCTION("""COMPUTED_VALUE"""),"Email")</f>
        <v>Email</v>
      </c>
      <c r="P675" s="6"/>
      <c r="Q675" s="6" t="str">
        <f ca="1">IFERROR(__xludf.DUMMYFUNCTION("""COMPUTED_VALUE"""),"No")</f>
        <v>No</v>
      </c>
      <c r="R675" s="6">
        <f ca="1">IFERROR(__xludf.DUMMYFUNCTION("""COMPUTED_VALUE"""),2)</f>
        <v>2</v>
      </c>
      <c r="S675" s="6" t="str">
        <f ca="1">IFERROR(__xludf.DUMMYFUNCTION("""COMPUTED_VALUE"""),"Seed")</f>
        <v>Seed</v>
      </c>
      <c r="T675" s="6" t="str">
        <f ca="1">IFERROR(__xludf.DUMMYFUNCTION("""COMPUTED_VALUE"""),"Seed")</f>
        <v>Seed</v>
      </c>
      <c r="U675" s="6" t="str">
        <f ca="1">IFERROR(__xludf.DUMMYFUNCTION("""COMPUTED_VALUE"""),"Seed")</f>
        <v>Seed</v>
      </c>
      <c r="V675" s="6"/>
      <c r="W675" s="6" t="str">
        <f ca="1">IFERROR(__xludf.DUMMYFUNCTION("""COMPUTED_VALUE"""),"Invite Next Year")</f>
        <v>Invite Next Year</v>
      </c>
    </row>
    <row r="676" spans="1:23">
      <c r="A676" s="6" t="str">
        <f ca="1">IFERROR(__xludf.DUMMYFUNCTION("""COMPUTED_VALUE"""),"Man, Man, Man")</f>
        <v>Man, Man, Man</v>
      </c>
      <c r="B676" s="6" t="str">
        <f ca="1">IFERROR(__xludf.DUMMYFUNCTION("""COMPUTED_VALUE"""),"AstraKode  _2022")</f>
        <v>AstraKode  _2022</v>
      </c>
      <c r="C676" s="6" t="str">
        <f ca="1">IFERROR(__xludf.DUMMYFUNCTION("""COMPUTED_VALUE"""),"Deep Tech")</f>
        <v>Deep Tech</v>
      </c>
      <c r="D676" s="6" t="str">
        <f ca="1">IFERROR(__xludf.DUMMYFUNCTION("""COMPUTED_VALUE"""),"Pescara, Pescara 
Italy")</f>
        <v>Pescara, Pescara 
Italy</v>
      </c>
      <c r="E676" s="6" t="str">
        <f ca="1">IFERROR(__xludf.DUMMYFUNCTION("""COMPUTED_VALUE"""),"International - Europe")</f>
        <v>International - Europe</v>
      </c>
      <c r="F676" s="6" t="str">
        <f ca="1">IFERROR(__xludf.DUMMYFUNCTION("""COMPUTED_VALUE"""),"Man")</f>
        <v>Man</v>
      </c>
      <c r="G676" s="6" t="str">
        <f ca="1">IFERROR(__xludf.DUMMYFUNCTION("""COMPUTED_VALUE"""),"Man")</f>
        <v>Man</v>
      </c>
      <c r="H676" s="6" t="str">
        <f ca="1">IFERROR(__xludf.DUMMYFUNCTION("""COMPUTED_VALUE"""),"Man")</f>
        <v>Man</v>
      </c>
      <c r="I676" s="6"/>
      <c r="J676" s="6"/>
      <c r="K676" s="6"/>
      <c r="L676" s="6" t="str">
        <f ca="1">IFERROR(__xludf.DUMMYFUNCTION("""COMPUTED_VALUE"""),"No")</f>
        <v>No</v>
      </c>
      <c r="M676" s="6"/>
      <c r="N676" s="6"/>
      <c r="O676" s="6" t="str">
        <f ca="1">IFERROR(__xludf.DUMMYFUNCTION("""COMPUTED_VALUE"""),"Email")</f>
        <v>Email</v>
      </c>
      <c r="P676" s="6"/>
      <c r="Q676" s="6" t="str">
        <f ca="1">IFERROR(__xludf.DUMMYFUNCTION("""COMPUTED_VALUE"""),"No")</f>
        <v>No</v>
      </c>
      <c r="R676" s="6">
        <f ca="1">IFERROR(__xludf.DUMMYFUNCTION("""COMPUTED_VALUE"""),3)</f>
        <v>3</v>
      </c>
      <c r="S676" s="6" t="str">
        <f ca="1">IFERROR(__xludf.DUMMYFUNCTION("""COMPUTED_VALUE"""),"Pre-seed")</f>
        <v>Pre-seed</v>
      </c>
      <c r="T676" s="6" t="str">
        <f ca="1">IFERROR(__xludf.DUMMYFUNCTION("""COMPUTED_VALUE"""),"Pre-seed")</f>
        <v>Pre-seed</v>
      </c>
      <c r="U676" s="6" t="str">
        <f ca="1">IFERROR(__xludf.DUMMYFUNCTION("""COMPUTED_VALUE"""),"Pre-seed")</f>
        <v>Pre-seed</v>
      </c>
      <c r="V676" s="6"/>
      <c r="W676" s="6" t="str">
        <f ca="1">IFERROR(__xludf.DUMMYFUNCTION("""COMPUTED_VALUE"""),"Invite Next Year")</f>
        <v>Invite Next Year</v>
      </c>
    </row>
    <row r="677" spans="1:23">
      <c r="A677" s="6" t="str">
        <f ca="1">IFERROR(__xludf.DUMMYFUNCTION("""COMPUTED_VALUE"""),"Woman, Man")</f>
        <v>Woman, Man</v>
      </c>
      <c r="B677" s="6" t="str">
        <f ca="1">IFERROR(__xludf.DUMMYFUNCTION("""COMPUTED_VALUE"""),"Blazar SAS _2022")</f>
        <v>Blazar SAS _2022</v>
      </c>
      <c r="C677" s="6" t="str">
        <f ca="1">IFERROR(__xludf.DUMMYFUNCTION("""COMPUTED_VALUE"""),"Deep Tech")</f>
        <v>Deep Tech</v>
      </c>
      <c r="D677" s="6" t="str">
        <f ca="1">IFERROR(__xludf.DUMMYFUNCTION("""COMPUTED_VALUE"""),"128 rue de la Boétie, 75008 Paris, Paris 
France")</f>
        <v>128 rue de la Boétie, 75008 Paris, Paris 
France</v>
      </c>
      <c r="E677" s="6" t="str">
        <f ca="1">IFERROR(__xludf.DUMMYFUNCTION("""COMPUTED_VALUE"""),"International - Europe")</f>
        <v>International - Europe</v>
      </c>
      <c r="F677" s="6" t="str">
        <f ca="1">IFERROR(__xludf.DUMMYFUNCTION("""COMPUTED_VALUE"""),"Woman")</f>
        <v>Woman</v>
      </c>
      <c r="G677" s="6" t="str">
        <f ca="1">IFERROR(__xludf.DUMMYFUNCTION("""COMPUTED_VALUE"""),"Man")</f>
        <v>Man</v>
      </c>
      <c r="H677" s="6"/>
      <c r="I677" s="6"/>
      <c r="J677" s="6"/>
      <c r="K677" s="6"/>
      <c r="L677" s="6" t="str">
        <f ca="1">IFERROR(__xludf.DUMMYFUNCTION("""COMPUTED_VALUE"""),"No")</f>
        <v>No</v>
      </c>
      <c r="M677" s="6"/>
      <c r="N677" s="6"/>
      <c r="O677" s="6" t="str">
        <f ca="1">IFERROR(__xludf.DUMMYFUNCTION("""COMPUTED_VALUE"""),"Email")</f>
        <v>Email</v>
      </c>
      <c r="P677" s="6"/>
      <c r="Q677" s="6" t="str">
        <f ca="1">IFERROR(__xludf.DUMMYFUNCTION("""COMPUTED_VALUE"""),"No")</f>
        <v>No</v>
      </c>
      <c r="R677" s="6">
        <f ca="1">IFERROR(__xludf.DUMMYFUNCTION("""COMPUTED_VALUE"""),2)</f>
        <v>2</v>
      </c>
      <c r="S677" s="6" t="str">
        <f ca="1">IFERROR(__xludf.DUMMYFUNCTION("""COMPUTED_VALUE"""),"Pre-seed")</f>
        <v>Pre-seed</v>
      </c>
      <c r="T677" s="6" t="str">
        <f ca="1">IFERROR(__xludf.DUMMYFUNCTION("""COMPUTED_VALUE"""),"Pre-seed")</f>
        <v>Pre-seed</v>
      </c>
      <c r="U677" s="6" t="str">
        <f ca="1">IFERROR(__xludf.DUMMYFUNCTION("""COMPUTED_VALUE"""),"Pre-seed")</f>
        <v>Pre-seed</v>
      </c>
      <c r="V677" s="6"/>
      <c r="W677" s="6" t="str">
        <f ca="1">IFERROR(__xludf.DUMMYFUNCTION("""COMPUTED_VALUE"""),"Invite Next Year")</f>
        <v>Invite Next Year</v>
      </c>
    </row>
    <row r="678" spans="1:23">
      <c r="A678" s="6" t="str">
        <f ca="1">IFERROR(__xludf.DUMMYFUNCTION("""COMPUTED_VALUE"""),"Man, Man")</f>
        <v>Man, Man</v>
      </c>
      <c r="B678" s="6" t="str">
        <f ca="1">IFERROR(__xludf.DUMMYFUNCTION("""COMPUTED_VALUE"""),"Clastr _2022")</f>
        <v>Clastr _2022</v>
      </c>
      <c r="C678" s="6" t="str">
        <f ca="1">IFERROR(__xludf.DUMMYFUNCTION("""COMPUTED_VALUE"""),"Digital Tech")</f>
        <v>Digital Tech</v>
      </c>
      <c r="D678" s="6" t="str">
        <f ca="1">IFERROR(__xludf.DUMMYFUNCTION("""COMPUTED_VALUE"""),"Jaksic, 34308 
Croatia")</f>
        <v>Jaksic, 34308 
Croatia</v>
      </c>
      <c r="E678" s="6" t="str">
        <f ca="1">IFERROR(__xludf.DUMMYFUNCTION("""COMPUTED_VALUE"""),"International - Europe")</f>
        <v>International - Europe</v>
      </c>
      <c r="F678" s="6" t="str">
        <f ca="1">IFERROR(__xludf.DUMMYFUNCTION("""COMPUTED_VALUE"""),"Man")</f>
        <v>Man</v>
      </c>
      <c r="G678" s="6" t="str">
        <f ca="1">IFERROR(__xludf.DUMMYFUNCTION("""COMPUTED_VALUE"""),"Man")</f>
        <v>Man</v>
      </c>
      <c r="H678" s="6"/>
      <c r="I678" s="6"/>
      <c r="J678" s="6"/>
      <c r="K678" s="6"/>
      <c r="L678" s="6" t="str">
        <f ca="1">IFERROR(__xludf.DUMMYFUNCTION("""COMPUTED_VALUE"""),"--Please select--")</f>
        <v>--Please select--</v>
      </c>
      <c r="M678" s="6"/>
      <c r="N678" s="6"/>
      <c r="O678" s="6" t="str">
        <f ca="1">IFERROR(__xludf.DUMMYFUNCTION("""COMPUTED_VALUE"""),"NYU Newsletter")</f>
        <v>NYU Newsletter</v>
      </c>
      <c r="P678" s="6"/>
      <c r="Q678" s="6" t="str">
        <f ca="1">IFERROR(__xludf.DUMMYFUNCTION("""COMPUTED_VALUE"""),"No")</f>
        <v>No</v>
      </c>
      <c r="R678" s="6">
        <f ca="1">IFERROR(__xludf.DUMMYFUNCTION("""COMPUTED_VALUE"""),2)</f>
        <v>2</v>
      </c>
      <c r="S678" s="6" t="str">
        <f ca="1">IFERROR(__xludf.DUMMYFUNCTION("""COMPUTED_VALUE"""),"Pre-seed")</f>
        <v>Pre-seed</v>
      </c>
      <c r="T678" s="6" t="str">
        <f ca="1">IFERROR(__xludf.DUMMYFUNCTION("""COMPUTED_VALUE"""),"Pre-seed")</f>
        <v>Pre-seed</v>
      </c>
      <c r="U678" s="6" t="str">
        <f ca="1">IFERROR(__xludf.DUMMYFUNCTION("""COMPUTED_VALUE"""),"Pre-seed")</f>
        <v>Pre-seed</v>
      </c>
      <c r="V678" s="6"/>
      <c r="W678" s="6" t="str">
        <f ca="1">IFERROR(__xludf.DUMMYFUNCTION("""COMPUTED_VALUE"""),"Invite Next Year")</f>
        <v>Invite Next Year</v>
      </c>
    </row>
    <row r="679" spans="1:23">
      <c r="A679" s="6" t="str">
        <f ca="1">IFERROR(__xludf.DUMMYFUNCTION("""COMPUTED_VALUE"""),"Man")</f>
        <v>Man</v>
      </c>
      <c r="B679" s="6" t="str">
        <f ca="1">IFERROR(__xludf.DUMMYFUNCTION("""COMPUTED_VALUE"""),"Outprfrm _2022")</f>
        <v>Outprfrm _2022</v>
      </c>
      <c r="C679" s="6" t="str">
        <f ca="1">IFERROR(__xludf.DUMMYFUNCTION("""COMPUTED_VALUE"""),"Digital Tech")</f>
        <v>Digital Tech</v>
      </c>
      <c r="D679" s="6" t="str">
        <f ca="1">IFERROR(__xludf.DUMMYFUNCTION("""COMPUTED_VALUE"""),"Austin, TX 
United States")</f>
        <v>Austin, TX 
United States</v>
      </c>
      <c r="E679" s="6" t="str">
        <f ca="1">IFERROR(__xludf.DUMMYFUNCTION("""COMPUTED_VALUE"""),"South")</f>
        <v>South</v>
      </c>
      <c r="F679" s="6" t="str">
        <f ca="1">IFERROR(__xludf.DUMMYFUNCTION("""COMPUTED_VALUE"""),"Man")</f>
        <v>Man</v>
      </c>
      <c r="G679" s="6"/>
      <c r="H679" s="6"/>
      <c r="I679" s="6"/>
      <c r="J679" s="6"/>
      <c r="K679" s="6"/>
      <c r="L679" s="6" t="str">
        <f ca="1">IFERROR(__xludf.DUMMYFUNCTION("""COMPUTED_VALUE"""),"No")</f>
        <v>No</v>
      </c>
      <c r="M679" s="6"/>
      <c r="N679" s="6"/>
      <c r="O679" s="6" t="str">
        <f ca="1">IFERROR(__xludf.DUMMYFUNCTION("""COMPUTED_VALUE"""),"Other")</f>
        <v>Other</v>
      </c>
      <c r="P679" s="6"/>
      <c r="Q679" s="6" t="str">
        <f ca="1">IFERROR(__xludf.DUMMYFUNCTION("""COMPUTED_VALUE"""),"No")</f>
        <v>No</v>
      </c>
      <c r="R679" s="6">
        <f ca="1">IFERROR(__xludf.DUMMYFUNCTION("""COMPUTED_VALUE"""),1)</f>
        <v>1</v>
      </c>
      <c r="S679" s="6" t="str">
        <f ca="1">IFERROR(__xludf.DUMMYFUNCTION("""COMPUTED_VALUE"""),"None")</f>
        <v>None</v>
      </c>
      <c r="T679" s="6" t="str">
        <f ca="1">IFERROR(__xludf.DUMMYFUNCTION("""COMPUTED_VALUE"""),"None")</f>
        <v>None</v>
      </c>
      <c r="U679" s="6" t="str">
        <f ca="1">IFERROR(__xludf.DUMMYFUNCTION("""COMPUTED_VALUE"""),"None")</f>
        <v>None</v>
      </c>
      <c r="V679" s="6"/>
      <c r="W679" s="6" t="str">
        <f ca="1">IFERROR(__xludf.DUMMYFUNCTION("""COMPUTED_VALUE"""),"Invite Next Year")</f>
        <v>Invite Next Year</v>
      </c>
    </row>
    <row r="680" spans="1:23">
      <c r="A680" s="6" t="str">
        <f ca="1">IFERROR(__xludf.DUMMYFUNCTION("""COMPUTED_VALUE"""),"Woman, Man")</f>
        <v>Woman, Man</v>
      </c>
      <c r="B680" s="6" t="str">
        <f ca="1">IFERROR(__xludf.DUMMYFUNCTION("""COMPUTED_VALUE"""),"Panakeia Technolgies Ltd _2022")</f>
        <v>Panakeia Technolgies Ltd _2022</v>
      </c>
      <c r="C680" s="6" t="str">
        <f ca="1">IFERROR(__xludf.DUMMYFUNCTION("""COMPUTED_VALUE"""),"Life Sciences")</f>
        <v>Life Sciences</v>
      </c>
      <c r="D680" s="6" t="str">
        <f ca="1">IFERROR(__xludf.DUMMYFUNCTION("""COMPUTED_VALUE"""),"Salisbury House, Station Road Cambridge, England, CB1 2LA, Cambridge 
United Kingdom")</f>
        <v>Salisbury House, Station Road Cambridge, England, CB1 2LA, Cambridge 
United Kingdom</v>
      </c>
      <c r="E680" s="6" t="str">
        <f ca="1">IFERROR(__xludf.DUMMYFUNCTION("""COMPUTED_VALUE"""),"International - Europe")</f>
        <v>International - Europe</v>
      </c>
      <c r="F680" s="6" t="str">
        <f ca="1">IFERROR(__xludf.DUMMYFUNCTION("""COMPUTED_VALUE"""),"Woman")</f>
        <v>Woman</v>
      </c>
      <c r="G680" s="6" t="str">
        <f ca="1">IFERROR(__xludf.DUMMYFUNCTION("""COMPUTED_VALUE"""),"Man")</f>
        <v>Man</v>
      </c>
      <c r="H680" s="6"/>
      <c r="I680" s="6"/>
      <c r="J680" s="6"/>
      <c r="K680" s="6"/>
      <c r="L680" s="6" t="str">
        <f ca="1">IFERROR(__xludf.DUMMYFUNCTION("""COMPUTED_VALUE"""),"No")</f>
        <v>No</v>
      </c>
      <c r="M680" s="6"/>
      <c r="N680" s="6"/>
      <c r="O680" s="6" t="str">
        <f ca="1">IFERROR(__xludf.DUMMYFUNCTION("""COMPUTED_VALUE"""),"Referral")</f>
        <v>Referral</v>
      </c>
      <c r="P680" s="6"/>
      <c r="Q680" s="6" t="str">
        <f ca="1">IFERROR(__xludf.DUMMYFUNCTION("""COMPUTED_VALUE"""),"No")</f>
        <v>No</v>
      </c>
      <c r="R680" s="6">
        <f ca="1">IFERROR(__xludf.DUMMYFUNCTION("""COMPUTED_VALUE"""),2)</f>
        <v>2</v>
      </c>
      <c r="S680" s="6" t="str">
        <f ca="1">IFERROR(__xludf.DUMMYFUNCTION("""COMPUTED_VALUE"""),"Pre-seed
Other: SAFE")</f>
        <v>Pre-seed
Other: SAFE</v>
      </c>
      <c r="T680" s="6" t="str">
        <f ca="1">IFERROR(__xludf.DUMMYFUNCTION("""COMPUTED_VALUE"""),"Pre-seed, Other: SAFE")</f>
        <v>Pre-seed, Other: SAFE</v>
      </c>
      <c r="U680" s="6" t="str">
        <f ca="1">IFERROR(__xludf.DUMMYFUNCTION("""COMPUTED_VALUE"""),"Pre-seed, ")</f>
        <v xml:space="preserve">Pre-seed, </v>
      </c>
      <c r="V680" s="6" t="str">
        <f ca="1">IFERROR(__xludf.DUMMYFUNCTION("""COMPUTED_VALUE"""),"SAFE")</f>
        <v>SAFE</v>
      </c>
      <c r="W680" s="6" t="str">
        <f ca="1">IFERROR(__xludf.DUMMYFUNCTION("""COMPUTED_VALUE"""),"Invite")</f>
        <v>Invite</v>
      </c>
    </row>
    <row r="681" spans="1:23">
      <c r="A681" s="6" t="str">
        <f ca="1">IFERROR(__xludf.DUMMYFUNCTION("""COMPUTED_VALUE"""),"Woman, Man")</f>
        <v>Woman, Man</v>
      </c>
      <c r="B681" s="6" t="str">
        <f ca="1">IFERROR(__xludf.DUMMYFUNCTION("""COMPUTED_VALUE"""),"Sachi Bioworks Inc _2022")</f>
        <v>Sachi Bioworks Inc _2022</v>
      </c>
      <c r="C681" s="6" t="str">
        <f ca="1">IFERROR(__xludf.DUMMYFUNCTION("""COMPUTED_VALUE"""),"Life Sciences")</f>
        <v>Life Sciences</v>
      </c>
      <c r="D681" s="6" t="str">
        <f ca="1">IFERROR(__xludf.DUMMYFUNCTION("""COMPUTED_VALUE"""),"685 S Arthur Avenue, Ste 5, Louisville, Colorado 
United States")</f>
        <v>685 S Arthur Avenue, Ste 5, Louisville, Colorado 
United States</v>
      </c>
      <c r="E681" s="6" t="str">
        <f ca="1">IFERROR(__xludf.DUMMYFUNCTION("""COMPUTED_VALUE"""),"West Coast")</f>
        <v>West Coast</v>
      </c>
      <c r="F681" s="6" t="str">
        <f ca="1">IFERROR(__xludf.DUMMYFUNCTION("""COMPUTED_VALUE"""),"Woman")</f>
        <v>Woman</v>
      </c>
      <c r="G681" s="6" t="str">
        <f ca="1">IFERROR(__xludf.DUMMYFUNCTION("""COMPUTED_VALUE"""),"Man")</f>
        <v>Man</v>
      </c>
      <c r="H681" s="6"/>
      <c r="I681" s="6"/>
      <c r="J681" s="6"/>
      <c r="K681" s="6"/>
      <c r="L681" s="6" t="str">
        <f ca="1">IFERROR(__xludf.DUMMYFUNCTION("""COMPUTED_VALUE"""),"No")</f>
        <v>No</v>
      </c>
      <c r="M681" s="6"/>
      <c r="N681" s="6"/>
      <c r="O681" s="6" t="str">
        <f ca="1">IFERROR(__xludf.DUMMYFUNCTION("""COMPUTED_VALUE"""),"Referral")</f>
        <v>Referral</v>
      </c>
      <c r="P681" s="6"/>
      <c r="Q681" s="6" t="str">
        <f ca="1">IFERROR(__xludf.DUMMYFUNCTION("""COMPUTED_VALUE"""),"No")</f>
        <v>No</v>
      </c>
      <c r="R681" s="6">
        <f ca="1">IFERROR(__xludf.DUMMYFUNCTION("""COMPUTED_VALUE"""),2)</f>
        <v>2</v>
      </c>
      <c r="S681" s="6" t="str">
        <f ca="1">IFERROR(__xludf.DUMMYFUNCTION("""COMPUTED_VALUE"""),"Grants
Other: Partnerships with companies (customers)")</f>
        <v>Grants
Other: Partnerships with companies (customers)</v>
      </c>
      <c r="T681" s="6" t="str">
        <f ca="1">IFERROR(__xludf.DUMMYFUNCTION("""COMPUTED_VALUE"""),"Grants, Other: Partnerships with companies (customers)")</f>
        <v>Grants, Other: Partnerships with companies (customers)</v>
      </c>
      <c r="U681" s="6" t="str">
        <f ca="1">IFERROR(__xludf.DUMMYFUNCTION("""COMPUTED_VALUE"""),"Grants, ")</f>
        <v xml:space="preserve">Grants, </v>
      </c>
      <c r="V681" s="6" t="str">
        <f ca="1">IFERROR(__xludf.DUMMYFUNCTION("""COMPUTED_VALUE"""),"Partnerships with companies (customers)")</f>
        <v>Partnerships with companies (customers)</v>
      </c>
      <c r="W681" s="6" t="str">
        <f ca="1">IFERROR(__xludf.DUMMYFUNCTION("""COMPUTED_VALUE"""),"Invite")</f>
        <v>Invite</v>
      </c>
    </row>
    <row r="682" spans="1:23">
      <c r="A682" s="6" t="str">
        <f ca="1">IFERROR(__xludf.DUMMYFUNCTION("""COMPUTED_VALUE"""),"Man, Man, Woman, Woman")</f>
        <v>Man, Man, Woman, Woman</v>
      </c>
      <c r="B682" s="6" t="str">
        <f ca="1">IFERROR(__xludf.DUMMYFUNCTION("""COMPUTED_VALUE"""),"InTune Inc. _2022")</f>
        <v>InTune Inc. _2022</v>
      </c>
      <c r="C682" s="6" t="str">
        <f ca="1">IFERROR(__xludf.DUMMYFUNCTION("""COMPUTED_VALUE"""),"Digital Tech")</f>
        <v>Digital Tech</v>
      </c>
      <c r="D682" s="6" t="str">
        <f ca="1">IFERROR(__xludf.DUMMYFUNCTION("""COMPUTED_VALUE"""),"346 Plymouth Street Hollbrook, MA 
United States")</f>
        <v>346 Plymouth Street Hollbrook, MA 
United States</v>
      </c>
      <c r="E682" s="6" t="str">
        <f ca="1">IFERROR(__xludf.DUMMYFUNCTION("""COMPUTED_VALUE"""),"East Coast")</f>
        <v>East Coast</v>
      </c>
      <c r="F682" s="6" t="str">
        <f ca="1">IFERROR(__xludf.DUMMYFUNCTION("""COMPUTED_VALUE"""),"Man")</f>
        <v>Man</v>
      </c>
      <c r="G682" s="6" t="str">
        <f ca="1">IFERROR(__xludf.DUMMYFUNCTION("""COMPUTED_VALUE"""),"Man")</f>
        <v>Man</v>
      </c>
      <c r="H682" s="6" t="str">
        <f ca="1">IFERROR(__xludf.DUMMYFUNCTION("""COMPUTED_VALUE"""),"Woman")</f>
        <v>Woman</v>
      </c>
      <c r="I682" s="6" t="str">
        <f ca="1">IFERROR(__xludf.DUMMYFUNCTION("""COMPUTED_VALUE"""),"Woman")</f>
        <v>Woman</v>
      </c>
      <c r="J682" s="6"/>
      <c r="K682" s="6"/>
      <c r="L682" s="6" t="str">
        <f ca="1">IFERROR(__xludf.DUMMYFUNCTION("""COMPUTED_VALUE"""),"Yes")</f>
        <v>Yes</v>
      </c>
      <c r="M682" s="6" t="str">
        <f ca="1">IFERROR(__xludf.DUMMYFUNCTION("""COMPUTED_VALUE"""),"NYU Student")</f>
        <v>NYU Student</v>
      </c>
      <c r="N682" s="6"/>
      <c r="O682" s="6" t="str">
        <f ca="1">IFERROR(__xludf.DUMMYFUNCTION("""COMPUTED_VALUE"""),"Other")</f>
        <v>Other</v>
      </c>
      <c r="P682" s="6"/>
      <c r="Q682" s="6" t="str">
        <f ca="1">IFERROR(__xludf.DUMMYFUNCTION("""COMPUTED_VALUE"""),"No")</f>
        <v>No</v>
      </c>
      <c r="R682" s="6">
        <f ca="1">IFERROR(__xludf.DUMMYFUNCTION("""COMPUTED_VALUE"""),4)</f>
        <v>4</v>
      </c>
      <c r="S682" s="6" t="str">
        <f ca="1">IFERROR(__xludf.DUMMYFUNCTION("""COMPUTED_VALUE"""),"Pre-seed")</f>
        <v>Pre-seed</v>
      </c>
      <c r="T682" s="6" t="str">
        <f ca="1">IFERROR(__xludf.DUMMYFUNCTION("""COMPUTED_VALUE"""),"Pre-seed")</f>
        <v>Pre-seed</v>
      </c>
      <c r="U682" s="6" t="str">
        <f ca="1">IFERROR(__xludf.DUMMYFUNCTION("""COMPUTED_VALUE"""),"Pre-seed")</f>
        <v>Pre-seed</v>
      </c>
      <c r="V682" s="6"/>
      <c r="W682" s="6" t="str">
        <f ca="1">IFERROR(__xludf.DUMMYFUNCTION("""COMPUTED_VALUE"""),"Invite Next Year")</f>
        <v>Invite Next Year</v>
      </c>
    </row>
    <row r="683" spans="1:23">
      <c r="A683" s="6" t="str">
        <f ca="1">IFERROR(__xludf.DUMMYFUNCTION("""COMPUTED_VALUE"""),"Man, Man, Man")</f>
        <v>Man, Man, Man</v>
      </c>
      <c r="B683" s="6" t="str">
        <f ca="1">IFERROR(__xludf.DUMMYFUNCTION("""COMPUTED_VALUE"""),"Slap, Inc. _2022")</f>
        <v>Slap, Inc. _2022</v>
      </c>
      <c r="C683" s="6" t="str">
        <f ca="1">IFERROR(__xludf.DUMMYFUNCTION("""COMPUTED_VALUE"""),"Digital Tech")</f>
        <v>Digital Tech</v>
      </c>
      <c r="D683" s="6" t="str">
        <f ca="1">IFERROR(__xludf.DUMMYFUNCTION("""COMPUTED_VALUE"""),"Wayne, Pennsylvania 
United States")</f>
        <v>Wayne, Pennsylvania 
United States</v>
      </c>
      <c r="E683" s="6" t="str">
        <f ca="1">IFERROR(__xludf.DUMMYFUNCTION("""COMPUTED_VALUE"""),"East Coast")</f>
        <v>East Coast</v>
      </c>
      <c r="F683" s="6" t="str">
        <f ca="1">IFERROR(__xludf.DUMMYFUNCTION("""COMPUTED_VALUE"""),"Man")</f>
        <v>Man</v>
      </c>
      <c r="G683" s="6" t="str">
        <f ca="1">IFERROR(__xludf.DUMMYFUNCTION("""COMPUTED_VALUE"""),"Man")</f>
        <v>Man</v>
      </c>
      <c r="H683" s="6" t="str">
        <f ca="1">IFERROR(__xludf.DUMMYFUNCTION("""COMPUTED_VALUE"""),"Man")</f>
        <v>Man</v>
      </c>
      <c r="I683" s="6"/>
      <c r="J683" s="6"/>
      <c r="K683" s="6"/>
      <c r="L683" s="6" t="str">
        <f ca="1">IFERROR(__xludf.DUMMYFUNCTION("""COMPUTED_VALUE"""),"Yes")</f>
        <v>Yes</v>
      </c>
      <c r="M683" s="6" t="str">
        <f ca="1">IFERROR(__xludf.DUMMYFUNCTION("""COMPUTED_VALUE"""),"NYU Student")</f>
        <v>NYU Student</v>
      </c>
      <c r="N683" s="6"/>
      <c r="O683" s="6" t="str">
        <f ca="1">IFERROR(__xludf.DUMMYFUNCTION("""COMPUTED_VALUE"""),"Referral")</f>
        <v>Referral</v>
      </c>
      <c r="P683" s="6"/>
      <c r="Q683" s="6" t="str">
        <f ca="1">IFERROR(__xludf.DUMMYFUNCTION("""COMPUTED_VALUE"""),"No")</f>
        <v>No</v>
      </c>
      <c r="R683" s="6">
        <f ca="1">IFERROR(__xludf.DUMMYFUNCTION("""COMPUTED_VALUE"""),3)</f>
        <v>3</v>
      </c>
      <c r="S683" s="6" t="str">
        <f ca="1">IFERROR(__xludf.DUMMYFUNCTION("""COMPUTED_VALUE"""),"Other: Bootstrapped by Founders")</f>
        <v>Other: Bootstrapped by Founders</v>
      </c>
      <c r="T683" s="6" t="str">
        <f ca="1">IFERROR(__xludf.DUMMYFUNCTION("""COMPUTED_VALUE"""),"Other: Bootstrapped by Founders")</f>
        <v>Other: Bootstrapped by Founders</v>
      </c>
      <c r="U683" s="6" t="str">
        <f ca="1">IFERROR(__xludf.DUMMYFUNCTION("""COMPUTED_VALUE"""),"Bootstrapped by Founders")</f>
        <v>Bootstrapped by Founders</v>
      </c>
      <c r="V683" s="6"/>
      <c r="W683" s="6" t="str">
        <f ca="1">IFERROR(__xludf.DUMMYFUNCTION("""COMPUTED_VALUE"""),"Invite Next Year")</f>
        <v>Invite Next Year</v>
      </c>
    </row>
    <row r="684" spans="1:23">
      <c r="A684" s="6" t="str">
        <f ca="1">IFERROR(__xludf.DUMMYFUNCTION("""COMPUTED_VALUE"""),"Woman, Woman")</f>
        <v>Woman, Woman</v>
      </c>
      <c r="B684" s="6" t="str">
        <f ca="1">IFERROR(__xludf.DUMMYFUNCTION("""COMPUTED_VALUE"""),"BlueFairy, Inc. _2022")</f>
        <v>BlueFairy, Inc. _2022</v>
      </c>
      <c r="C684" s="6" t="str">
        <f ca="1">IFERROR(__xludf.DUMMYFUNCTION("""COMPUTED_VALUE"""),"Digital Tech")</f>
        <v>Digital Tech</v>
      </c>
      <c r="D684" s="6" t="str">
        <f ca="1">IFERROR(__xludf.DUMMYFUNCTION("""COMPUTED_VALUE"""),"1204 Broadway, New York, New York 
United States")</f>
        <v>1204 Broadway, New York, New York 
United States</v>
      </c>
      <c r="E684" s="6" t="str">
        <f ca="1">IFERROR(__xludf.DUMMYFUNCTION("""COMPUTED_VALUE"""),"New York")</f>
        <v>New York</v>
      </c>
      <c r="F684" s="6" t="str">
        <f ca="1">IFERROR(__xludf.DUMMYFUNCTION("""COMPUTED_VALUE"""),"Woman")</f>
        <v>Woman</v>
      </c>
      <c r="G684" s="6" t="str">
        <f ca="1">IFERROR(__xludf.DUMMYFUNCTION("""COMPUTED_VALUE"""),"Woman")</f>
        <v>Woman</v>
      </c>
      <c r="H684" s="6"/>
      <c r="I684" s="6"/>
      <c r="J684" s="6"/>
      <c r="K684" s="6"/>
      <c r="L684" s="6" t="str">
        <f ca="1">IFERROR(__xludf.DUMMYFUNCTION("""COMPUTED_VALUE"""),"No")</f>
        <v>No</v>
      </c>
      <c r="M684" s="6"/>
      <c r="N684" s="6"/>
      <c r="O684" s="6" t="str">
        <f ca="1">IFERROR(__xludf.DUMMYFUNCTION("""COMPUTED_VALUE"""),"Referral")</f>
        <v>Referral</v>
      </c>
      <c r="P684" s="6"/>
      <c r="Q684" s="6" t="str">
        <f ca="1">IFERROR(__xludf.DUMMYFUNCTION("""COMPUTED_VALUE"""),"No")</f>
        <v>No</v>
      </c>
      <c r="R684" s="6">
        <f ca="1">IFERROR(__xludf.DUMMYFUNCTION("""COMPUTED_VALUE"""),2)</f>
        <v>2</v>
      </c>
      <c r="S684" s="6" t="str">
        <f ca="1">IFERROR(__xludf.DUMMYFUNCTION("""COMPUTED_VALUE"""),"Grants")</f>
        <v>Grants</v>
      </c>
      <c r="T684" s="6" t="str">
        <f ca="1">IFERROR(__xludf.DUMMYFUNCTION("""COMPUTED_VALUE"""),"Grants")</f>
        <v>Grants</v>
      </c>
      <c r="U684" s="6" t="str">
        <f ca="1">IFERROR(__xludf.DUMMYFUNCTION("""COMPUTED_VALUE"""),"Grants")</f>
        <v>Grants</v>
      </c>
      <c r="V684" s="6"/>
      <c r="W684" s="6" t="str">
        <f ca="1">IFERROR(__xludf.DUMMYFUNCTION("""COMPUTED_VALUE"""),"Invite Next Year")</f>
        <v>Invite Next Year</v>
      </c>
    </row>
    <row r="685" spans="1:23">
      <c r="A685" s="6" t="str">
        <f ca="1">IFERROR(__xludf.DUMMYFUNCTION("""COMPUTED_VALUE"""),"Man, Man")</f>
        <v>Man, Man</v>
      </c>
      <c r="B685" s="6" t="str">
        <f ca="1">IFERROR(__xludf.DUMMYFUNCTION("""COMPUTED_VALUE"""),"SingletO2 Therapeutics LLC _2022")</f>
        <v>SingletO2 Therapeutics LLC _2022</v>
      </c>
      <c r="C685" s="6" t="str">
        <f ca="1">IFERROR(__xludf.DUMMYFUNCTION("""COMPUTED_VALUE"""),"Life Sciences")</f>
        <v>Life Sciences</v>
      </c>
      <c r="D685" s="6" t="str">
        <f ca="1">IFERROR(__xludf.DUMMYFUNCTION("""COMPUTED_VALUE"""),"New Providence, New Jersey 
United States")</f>
        <v>New Providence, New Jersey 
United States</v>
      </c>
      <c r="E685" s="6" t="str">
        <f ca="1">IFERROR(__xludf.DUMMYFUNCTION("""COMPUTED_VALUE"""),"East Coast")</f>
        <v>East Coast</v>
      </c>
      <c r="F685" s="6" t="str">
        <f ca="1">IFERROR(__xludf.DUMMYFUNCTION("""COMPUTED_VALUE"""),"Man")</f>
        <v>Man</v>
      </c>
      <c r="G685" s="6" t="str">
        <f ca="1">IFERROR(__xludf.DUMMYFUNCTION("""COMPUTED_VALUE"""),"Man")</f>
        <v>Man</v>
      </c>
      <c r="H685" s="6"/>
      <c r="I685" s="6"/>
      <c r="J685" s="6"/>
      <c r="K685" s="6"/>
      <c r="L685" s="6" t="str">
        <f ca="1">IFERROR(__xludf.DUMMYFUNCTION("""COMPUTED_VALUE"""),"Yes")</f>
        <v>Yes</v>
      </c>
      <c r="M685" s="6" t="str">
        <f ca="1">IFERROR(__xludf.DUMMYFUNCTION("""COMPUTED_VALUE"""),"Other (please specify)")</f>
        <v>Other (please specify)</v>
      </c>
      <c r="N685" s="6" t="str">
        <f ca="1">IFERROR(__xludf.DUMMYFUNCTION("""COMPUTED_VALUE"""),"NYU Tandon alumni (Alan Lyons) and  International Board of Director of the NYU Tandon Polytechnic Alumni Association (Roopram Ramharack)")</f>
        <v>NYU Tandon alumni (Alan Lyons) and  International Board of Director of the NYU Tandon Polytechnic Alumni Association (Roopram Ramharack)</v>
      </c>
      <c r="O685" s="6" t="str">
        <f ca="1">IFERROR(__xludf.DUMMYFUNCTION("""COMPUTED_VALUE"""),"Email")</f>
        <v>Email</v>
      </c>
      <c r="P685" s="6"/>
      <c r="Q685" s="6" t="str">
        <f ca="1">IFERROR(__xludf.DUMMYFUNCTION("""COMPUTED_VALUE"""),"No")</f>
        <v>No</v>
      </c>
      <c r="R685" s="6">
        <f ca="1">IFERROR(__xludf.DUMMYFUNCTION("""COMPUTED_VALUE"""),2)</f>
        <v>2</v>
      </c>
      <c r="S685" s="6" t="str">
        <f ca="1">IFERROR(__xludf.DUMMYFUNCTION("""COMPUTED_VALUE"""),"Grants")</f>
        <v>Grants</v>
      </c>
      <c r="T685" s="6" t="str">
        <f ca="1">IFERROR(__xludf.DUMMYFUNCTION("""COMPUTED_VALUE"""),"Grants")</f>
        <v>Grants</v>
      </c>
      <c r="U685" s="6" t="str">
        <f ca="1">IFERROR(__xludf.DUMMYFUNCTION("""COMPUTED_VALUE"""),"Grants")</f>
        <v>Grants</v>
      </c>
      <c r="V685" s="6"/>
      <c r="W685" s="6" t="str">
        <f ca="1">IFERROR(__xludf.DUMMYFUNCTION("""COMPUTED_VALUE"""),"Invite Next Year")</f>
        <v>Invite Next Year</v>
      </c>
    </row>
    <row r="686" spans="1:23">
      <c r="A686" s="6" t="str">
        <f ca="1">IFERROR(__xludf.DUMMYFUNCTION("""COMPUTED_VALUE"""),"Man, Man")</f>
        <v>Man, Man</v>
      </c>
      <c r="B686" s="6" t="str">
        <f ca="1">IFERROR(__xludf.DUMMYFUNCTION("""COMPUTED_VALUE"""),"Review Piper _2022")</f>
        <v>Review Piper _2022</v>
      </c>
      <c r="C686" s="6" t="str">
        <f ca="1">IFERROR(__xludf.DUMMYFUNCTION("""COMPUTED_VALUE"""),"Digital Tech")</f>
        <v>Digital Tech</v>
      </c>
      <c r="D686" s="6" t="str">
        <f ca="1">IFERROR(__xludf.DUMMYFUNCTION("""COMPUTED_VALUE"""),"Austin, Texas 
United States")</f>
        <v>Austin, Texas 
United States</v>
      </c>
      <c r="E686" s="6" t="str">
        <f ca="1">IFERROR(__xludf.DUMMYFUNCTION("""COMPUTED_VALUE"""),"South")</f>
        <v>South</v>
      </c>
      <c r="F686" s="6" t="str">
        <f ca="1">IFERROR(__xludf.DUMMYFUNCTION("""COMPUTED_VALUE"""),"Man")</f>
        <v>Man</v>
      </c>
      <c r="G686" s="6" t="str">
        <f ca="1">IFERROR(__xludf.DUMMYFUNCTION("""COMPUTED_VALUE"""),"Man")</f>
        <v>Man</v>
      </c>
      <c r="H686" s="6"/>
      <c r="I686" s="6"/>
      <c r="J686" s="6"/>
      <c r="K686" s="6"/>
      <c r="L686" s="6" t="str">
        <f ca="1">IFERROR(__xludf.DUMMYFUNCTION("""COMPUTED_VALUE"""),"No")</f>
        <v>No</v>
      </c>
      <c r="M686" s="6"/>
      <c r="N686" s="6"/>
      <c r="O686" s="6" t="str">
        <f ca="1">IFERROR(__xludf.DUMMYFUNCTION("""COMPUTED_VALUE"""),"Email")</f>
        <v>Email</v>
      </c>
      <c r="P686" s="6"/>
      <c r="Q686" s="6" t="str">
        <f ca="1">IFERROR(__xludf.DUMMYFUNCTION("""COMPUTED_VALUE"""),"No")</f>
        <v>No</v>
      </c>
      <c r="R686" s="6">
        <f ca="1">IFERROR(__xludf.DUMMYFUNCTION("""COMPUTED_VALUE"""),2)</f>
        <v>2</v>
      </c>
      <c r="S686" s="6" t="str">
        <f ca="1">IFERROR(__xludf.DUMMYFUNCTION("""COMPUTED_VALUE"""),"Other: Self funded by founder")</f>
        <v>Other: Self funded by founder</v>
      </c>
      <c r="T686" s="6" t="str">
        <f ca="1">IFERROR(__xludf.DUMMYFUNCTION("""COMPUTED_VALUE"""),"Other: Self funded by founder")</f>
        <v>Other: Self funded by founder</v>
      </c>
      <c r="U686" s="6" t="str">
        <f ca="1">IFERROR(__xludf.DUMMYFUNCTION("""COMPUTED_VALUE"""),"Self funded by founder")</f>
        <v>Self funded by founder</v>
      </c>
      <c r="V686" s="6"/>
      <c r="W686" s="6" t="str">
        <f ca="1">IFERROR(__xludf.DUMMYFUNCTION("""COMPUTED_VALUE"""),"Invite Next Year")</f>
        <v>Invite Next Year</v>
      </c>
    </row>
    <row r="687" spans="1:23">
      <c r="A687" s="6" t="str">
        <f ca="1">IFERROR(__xludf.DUMMYFUNCTION("""COMPUTED_VALUE"""),"Man, Man")</f>
        <v>Man, Man</v>
      </c>
      <c r="B687" s="6" t="str">
        <f ca="1">IFERROR(__xludf.DUMMYFUNCTION("""COMPUTED_VALUE"""),"Arbol _2022")</f>
        <v>Arbol _2022</v>
      </c>
      <c r="C687" s="6" t="str">
        <f ca="1">IFERROR(__xludf.DUMMYFUNCTION("""COMPUTED_VALUE"""),"Digital Tech")</f>
        <v>Digital Tech</v>
      </c>
      <c r="D687" s="6" t="str">
        <f ca="1">IFERROR(__xludf.DUMMYFUNCTION("""COMPUTED_VALUE"""),"Buffalo, New York 
United States")</f>
        <v>Buffalo, New York 
United States</v>
      </c>
      <c r="E687" s="6" t="str">
        <f ca="1">IFERROR(__xludf.DUMMYFUNCTION("""COMPUTED_VALUE"""),"East Coast")</f>
        <v>East Coast</v>
      </c>
      <c r="F687" s="6" t="str">
        <f ca="1">IFERROR(__xludf.DUMMYFUNCTION("""COMPUTED_VALUE"""),"Man")</f>
        <v>Man</v>
      </c>
      <c r="G687" s="6" t="str">
        <f ca="1">IFERROR(__xludf.DUMMYFUNCTION("""COMPUTED_VALUE"""),"Man")</f>
        <v>Man</v>
      </c>
      <c r="H687" s="6"/>
      <c r="I687" s="6"/>
      <c r="J687" s="6"/>
      <c r="K687" s="6"/>
      <c r="L687" s="6" t="str">
        <f ca="1">IFERROR(__xludf.DUMMYFUNCTION("""COMPUTED_VALUE"""),"No")</f>
        <v>No</v>
      </c>
      <c r="M687" s="6"/>
      <c r="N687" s="6"/>
      <c r="O687" s="6" t="str">
        <f ca="1">IFERROR(__xludf.DUMMYFUNCTION("""COMPUTED_VALUE"""),"A web posting")</f>
        <v>A web posting</v>
      </c>
      <c r="P687" s="6"/>
      <c r="Q687" s="6" t="str">
        <f ca="1">IFERROR(__xludf.DUMMYFUNCTION("""COMPUTED_VALUE"""),"No")</f>
        <v>No</v>
      </c>
      <c r="R687" s="6">
        <f ca="1">IFERROR(__xludf.DUMMYFUNCTION("""COMPUTED_VALUE"""),2)</f>
        <v>2</v>
      </c>
      <c r="S687" s="6" t="str">
        <f ca="1">IFERROR(__xludf.DUMMYFUNCTION("""COMPUTED_VALUE"""),"Pre-seed
Grants")</f>
        <v>Pre-seed
Grants</v>
      </c>
      <c r="T687" s="6" t="str">
        <f ca="1">IFERROR(__xludf.DUMMYFUNCTION("""COMPUTED_VALUE"""),"Pre-seed, Grants")</f>
        <v>Pre-seed, Grants</v>
      </c>
      <c r="U687" s="6" t="str">
        <f ca="1">IFERROR(__xludf.DUMMYFUNCTION("""COMPUTED_VALUE"""),"Pre-seed, Grants")</f>
        <v>Pre-seed, Grants</v>
      </c>
      <c r="V687" s="6"/>
      <c r="W687" s="6" t="str">
        <f ca="1">IFERROR(__xludf.DUMMYFUNCTION("""COMPUTED_VALUE"""),"Invite Next Year")</f>
        <v>Invite Next Year</v>
      </c>
    </row>
    <row r="688" spans="1:23">
      <c r="A688" s="6" t="str">
        <f ca="1">IFERROR(__xludf.DUMMYFUNCTION("""COMPUTED_VALUE"""),"Woman, Woman, Man")</f>
        <v>Woman, Woman, Man</v>
      </c>
      <c r="B688" s="6" t="str">
        <f ca="1">IFERROR(__xludf.DUMMYFUNCTION("""COMPUTED_VALUE"""),"Vyv _2022")</f>
        <v>Vyv _2022</v>
      </c>
      <c r="C688" s="6" t="str">
        <f ca="1">IFERROR(__xludf.DUMMYFUNCTION("""COMPUTED_VALUE"""),"Deep Tech")</f>
        <v>Deep Tech</v>
      </c>
      <c r="D688" s="6" t="str">
        <f ca="1">IFERROR(__xludf.DUMMYFUNCTION("""COMPUTED_VALUE"""),"Latham, NY 
United States")</f>
        <v>Latham, NY 
United States</v>
      </c>
      <c r="E688" s="6" t="str">
        <f ca="1">IFERROR(__xludf.DUMMYFUNCTION("""COMPUTED_VALUE"""),"East Coast")</f>
        <v>East Coast</v>
      </c>
      <c r="F688" s="6" t="str">
        <f ca="1">IFERROR(__xludf.DUMMYFUNCTION("""COMPUTED_VALUE"""),"Woman")</f>
        <v>Woman</v>
      </c>
      <c r="G688" s="6" t="str">
        <f ca="1">IFERROR(__xludf.DUMMYFUNCTION("""COMPUTED_VALUE"""),"Woman")</f>
        <v>Woman</v>
      </c>
      <c r="H688" s="6" t="str">
        <f ca="1">IFERROR(__xludf.DUMMYFUNCTION("""COMPUTED_VALUE"""),"Man")</f>
        <v>Man</v>
      </c>
      <c r="I688" s="6"/>
      <c r="J688" s="6"/>
      <c r="K688" s="6"/>
      <c r="L688" s="6" t="str">
        <f ca="1">IFERROR(__xludf.DUMMYFUNCTION("""COMPUTED_VALUE"""),"Yes")</f>
        <v>Yes</v>
      </c>
      <c r="M688" s="6" t="str">
        <f ca="1">IFERROR(__xludf.DUMMYFUNCTION("""COMPUTED_VALUE"""),"NYU Staff")</f>
        <v>NYU Staff</v>
      </c>
      <c r="N688" s="6"/>
      <c r="O688" s="6" t="str">
        <f ca="1">IFERROR(__xludf.DUMMYFUNCTION("""COMPUTED_VALUE"""),"Email")</f>
        <v>Email</v>
      </c>
      <c r="P688" s="6"/>
      <c r="Q688" s="6" t="str">
        <f ca="1">IFERROR(__xludf.DUMMYFUNCTION("""COMPUTED_VALUE"""),"No")</f>
        <v>No</v>
      </c>
      <c r="R688" s="6">
        <f ca="1">IFERROR(__xludf.DUMMYFUNCTION("""COMPUTED_VALUE"""),3)</f>
        <v>3</v>
      </c>
      <c r="S688" s="6" t="str">
        <f ca="1">IFERROR(__xludf.DUMMYFUNCTION("""COMPUTED_VALUE"""),"Pre-seed
Seed
Series A")</f>
        <v>Pre-seed
Seed
Series A</v>
      </c>
      <c r="T688" s="6" t="str">
        <f ca="1">IFERROR(__xludf.DUMMYFUNCTION("""COMPUTED_VALUE"""),"Pre-seed, Seed, Series A")</f>
        <v>Pre-seed, Seed, Series A</v>
      </c>
      <c r="U688" s="6" t="str">
        <f ca="1">IFERROR(__xludf.DUMMYFUNCTION("""COMPUTED_VALUE"""),"Pre-seed, Seed, Series A")</f>
        <v>Pre-seed, Seed, Series A</v>
      </c>
      <c r="V688" s="6"/>
      <c r="W688" s="6" t="str">
        <f ca="1">IFERROR(__xludf.DUMMYFUNCTION("""COMPUTED_VALUE"""),"Revisit")</f>
        <v>Revisit</v>
      </c>
    </row>
    <row r="689" spans="1:23">
      <c r="A689" s="6" t="str">
        <f ca="1">IFERROR(__xludf.DUMMYFUNCTION("""COMPUTED_VALUE"""),"Man, Man")</f>
        <v>Man, Man</v>
      </c>
      <c r="B689" s="6" t="str">
        <f ca="1">IFERROR(__xludf.DUMMYFUNCTION("""COMPUTED_VALUE"""),"Scryper _2022")</f>
        <v>Scryper _2022</v>
      </c>
      <c r="C689" s="6" t="str">
        <f ca="1">IFERROR(__xludf.DUMMYFUNCTION("""COMPUTED_VALUE"""),"Deep Tech")</f>
        <v>Deep Tech</v>
      </c>
      <c r="D689" s="6" t="str">
        <f ca="1">IFERROR(__xludf.DUMMYFUNCTION("""COMPUTED_VALUE"""),"Albuquerque, New Mexico 
United States")</f>
        <v>Albuquerque, New Mexico 
United States</v>
      </c>
      <c r="E689" s="6" t="str">
        <f ca="1">IFERROR(__xludf.DUMMYFUNCTION("""COMPUTED_VALUE"""),"West")</f>
        <v>West</v>
      </c>
      <c r="F689" s="6" t="str">
        <f ca="1">IFERROR(__xludf.DUMMYFUNCTION("""COMPUTED_VALUE"""),"Man")</f>
        <v>Man</v>
      </c>
      <c r="G689" s="6" t="str">
        <f ca="1">IFERROR(__xludf.DUMMYFUNCTION("""COMPUTED_VALUE"""),"Man")</f>
        <v>Man</v>
      </c>
      <c r="H689" s="6"/>
      <c r="I689" s="6"/>
      <c r="J689" s="6"/>
      <c r="K689" s="6"/>
      <c r="L689" s="6" t="str">
        <f ca="1">IFERROR(__xludf.DUMMYFUNCTION("""COMPUTED_VALUE"""),"No")</f>
        <v>No</v>
      </c>
      <c r="M689" s="6"/>
      <c r="N689" s="6"/>
      <c r="O689" s="6" t="str">
        <f ca="1">IFERROR(__xludf.DUMMYFUNCTION("""COMPUTED_VALUE"""),"Email")</f>
        <v>Email</v>
      </c>
      <c r="P689" s="6"/>
      <c r="Q689" s="6" t="str">
        <f ca="1">IFERROR(__xludf.DUMMYFUNCTION("""COMPUTED_VALUE"""),"No")</f>
        <v>No</v>
      </c>
      <c r="R689" s="6">
        <f ca="1">IFERROR(__xludf.DUMMYFUNCTION("""COMPUTED_VALUE"""),2)</f>
        <v>2</v>
      </c>
      <c r="S689" s="6" t="str">
        <f ca="1">IFERROR(__xludf.DUMMYFUNCTION("""COMPUTED_VALUE"""),"None")</f>
        <v>None</v>
      </c>
      <c r="T689" s="6" t="str">
        <f ca="1">IFERROR(__xludf.DUMMYFUNCTION("""COMPUTED_VALUE"""),"None")</f>
        <v>None</v>
      </c>
      <c r="U689" s="6" t="str">
        <f ca="1">IFERROR(__xludf.DUMMYFUNCTION("""COMPUTED_VALUE"""),"None")</f>
        <v>None</v>
      </c>
      <c r="V689" s="6"/>
      <c r="W689" s="6" t="str">
        <f ca="1">IFERROR(__xludf.DUMMYFUNCTION("""COMPUTED_VALUE"""),"Invite Next Year")</f>
        <v>Invite Next Year</v>
      </c>
    </row>
    <row r="690" spans="1:23">
      <c r="A690" s="6" t="str">
        <f ca="1">IFERROR(__xludf.DUMMYFUNCTION("""COMPUTED_VALUE"""),"Man, Man, Man")</f>
        <v>Man, Man, Man</v>
      </c>
      <c r="B690" s="6" t="str">
        <f ca="1">IFERROR(__xludf.DUMMYFUNCTION("""COMPUTED_VALUE"""),"Briya  _2022")</f>
        <v>Briya  _2022</v>
      </c>
      <c r="C690" s="6" t="str">
        <f ca="1">IFERROR(__xludf.DUMMYFUNCTION("""COMPUTED_VALUE"""),"Deep Tech")</f>
        <v>Deep Tech</v>
      </c>
      <c r="D690" s="6" t="str">
        <f ca="1">IFERROR(__xludf.DUMMYFUNCTION("""COMPUTED_VALUE"""),"Tel Aviv, Tel Aviv 
Israel")</f>
        <v>Tel Aviv, Tel Aviv 
Israel</v>
      </c>
      <c r="E690" s="6" t="str">
        <f ca="1">IFERROR(__xludf.DUMMYFUNCTION("""COMPUTED_VALUE"""),"International - Middle East")</f>
        <v>International - Middle East</v>
      </c>
      <c r="F690" s="6" t="str">
        <f ca="1">IFERROR(__xludf.DUMMYFUNCTION("""COMPUTED_VALUE"""),"Man")</f>
        <v>Man</v>
      </c>
      <c r="G690" s="6" t="str">
        <f ca="1">IFERROR(__xludf.DUMMYFUNCTION("""COMPUTED_VALUE"""),"Man")</f>
        <v>Man</v>
      </c>
      <c r="H690" s="6" t="str">
        <f ca="1">IFERROR(__xludf.DUMMYFUNCTION("""COMPUTED_VALUE"""),"Man")</f>
        <v>Man</v>
      </c>
      <c r="I690" s="6"/>
      <c r="J690" s="6"/>
      <c r="K690" s="6"/>
      <c r="L690" s="6" t="str">
        <f ca="1">IFERROR(__xludf.DUMMYFUNCTION("""COMPUTED_VALUE"""),"No")</f>
        <v>No</v>
      </c>
      <c r="M690" s="6"/>
      <c r="N690" s="6"/>
      <c r="O690" s="6" t="str">
        <f ca="1">IFERROR(__xludf.DUMMYFUNCTION("""COMPUTED_VALUE"""),"Email")</f>
        <v>Email</v>
      </c>
      <c r="P690" s="6"/>
      <c r="Q690" s="6" t="str">
        <f ca="1">IFERROR(__xludf.DUMMYFUNCTION("""COMPUTED_VALUE"""),"No")</f>
        <v>No</v>
      </c>
      <c r="R690" s="6">
        <f ca="1">IFERROR(__xludf.DUMMYFUNCTION("""COMPUTED_VALUE"""),3)</f>
        <v>3</v>
      </c>
      <c r="S690" s="6" t="str">
        <f ca="1">IFERROR(__xludf.DUMMYFUNCTION("""COMPUTED_VALUE"""),"Seed
Grants")</f>
        <v>Seed
Grants</v>
      </c>
      <c r="T690" s="6" t="str">
        <f ca="1">IFERROR(__xludf.DUMMYFUNCTION("""COMPUTED_VALUE"""),"Seed, Grants")</f>
        <v>Seed, Grants</v>
      </c>
      <c r="U690" s="6" t="str">
        <f ca="1">IFERROR(__xludf.DUMMYFUNCTION("""COMPUTED_VALUE"""),"Seed, Grants")</f>
        <v>Seed, Grants</v>
      </c>
      <c r="V690" s="6"/>
      <c r="W690" s="6" t="str">
        <f ca="1">IFERROR(__xludf.DUMMYFUNCTION("""COMPUTED_VALUE"""),"Invite Next Year")</f>
        <v>Invite Next Year</v>
      </c>
    </row>
    <row r="691" spans="1:23">
      <c r="A691" s="6" t="str">
        <f ca="1">IFERROR(__xludf.DUMMYFUNCTION("""COMPUTED_VALUE"""),"Man, Man, Man, Man")</f>
        <v>Man, Man, Man, Man</v>
      </c>
      <c r="B691" s="6" t="str">
        <f ca="1">IFERROR(__xludf.DUMMYFUNCTION("""COMPUTED_VALUE"""),"AdaSwap _2022")</f>
        <v>AdaSwap _2022</v>
      </c>
      <c r="C691" s="6" t="str">
        <f ca="1">IFERROR(__xludf.DUMMYFUNCTION("""COMPUTED_VALUE"""),"Deep Tech")</f>
        <v>Deep Tech</v>
      </c>
      <c r="D691" s="6" t="str">
        <f ca="1">IFERROR(__xludf.DUMMYFUNCTION("""COMPUTED_VALUE"""),"Tel Aviv, Israel 
Israel")</f>
        <v>Tel Aviv, Israel 
Israel</v>
      </c>
      <c r="E691" s="6" t="str">
        <f ca="1">IFERROR(__xludf.DUMMYFUNCTION("""COMPUTED_VALUE"""),"International - Middle East")</f>
        <v>International - Middle East</v>
      </c>
      <c r="F691" s="6" t="str">
        <f ca="1">IFERROR(__xludf.DUMMYFUNCTION("""COMPUTED_VALUE"""),"Man")</f>
        <v>Man</v>
      </c>
      <c r="G691" s="6" t="str">
        <f ca="1">IFERROR(__xludf.DUMMYFUNCTION("""COMPUTED_VALUE"""),"Man")</f>
        <v>Man</v>
      </c>
      <c r="H691" s="6" t="str">
        <f ca="1">IFERROR(__xludf.DUMMYFUNCTION("""COMPUTED_VALUE"""),"Man")</f>
        <v>Man</v>
      </c>
      <c r="I691" s="6" t="str">
        <f ca="1">IFERROR(__xludf.DUMMYFUNCTION("""COMPUTED_VALUE"""),"Man")</f>
        <v>Man</v>
      </c>
      <c r="J691" s="6"/>
      <c r="K691" s="6"/>
      <c r="L691" s="6" t="str">
        <f ca="1">IFERROR(__xludf.DUMMYFUNCTION("""COMPUTED_VALUE"""),"No")</f>
        <v>No</v>
      </c>
      <c r="M691" s="6"/>
      <c r="N691" s="6"/>
      <c r="O691" s="6" t="str">
        <f ca="1">IFERROR(__xludf.DUMMYFUNCTION("""COMPUTED_VALUE"""),"Email")</f>
        <v>Email</v>
      </c>
      <c r="P691" s="6"/>
      <c r="Q691" s="6" t="str">
        <f ca="1">IFERROR(__xludf.DUMMYFUNCTION("""COMPUTED_VALUE"""),"No")</f>
        <v>No</v>
      </c>
      <c r="R691" s="6">
        <f ca="1">IFERROR(__xludf.DUMMYFUNCTION("""COMPUTED_VALUE"""),4)</f>
        <v>4</v>
      </c>
      <c r="S691" s="6" t="str">
        <f ca="1">IFERROR(__xludf.DUMMYFUNCTION("""COMPUTED_VALUE"""),"Pre-seed
Seed")</f>
        <v>Pre-seed
Seed</v>
      </c>
      <c r="T691" s="6" t="str">
        <f ca="1">IFERROR(__xludf.DUMMYFUNCTION("""COMPUTED_VALUE"""),"Pre-seed, Seed")</f>
        <v>Pre-seed, Seed</v>
      </c>
      <c r="U691" s="6" t="str">
        <f ca="1">IFERROR(__xludf.DUMMYFUNCTION("""COMPUTED_VALUE"""),"Pre-seed, Seed")</f>
        <v>Pre-seed, Seed</v>
      </c>
      <c r="V691" s="6"/>
      <c r="W691" s="6" t="str">
        <f ca="1">IFERROR(__xludf.DUMMYFUNCTION("""COMPUTED_VALUE"""),"Invite Next Year")</f>
        <v>Invite Next Year</v>
      </c>
    </row>
    <row r="692" spans="1:23">
      <c r="A692" s="6" t="str">
        <f ca="1">IFERROR(__xludf.DUMMYFUNCTION("""COMPUTED_VALUE"""),"Man, Man")</f>
        <v>Man, Man</v>
      </c>
      <c r="B692" s="6" t="str">
        <f ca="1">IFERROR(__xludf.DUMMYFUNCTION("""COMPUTED_VALUE"""),"Rollio _2022")</f>
        <v>Rollio _2022</v>
      </c>
      <c r="C692" s="6" t="str">
        <f ca="1">IFERROR(__xludf.DUMMYFUNCTION("""COMPUTED_VALUE"""),"Digital Tech")</f>
        <v>Digital Tech</v>
      </c>
      <c r="D692" s="6" t="str">
        <f ca="1">IFERROR(__xludf.DUMMYFUNCTION("""COMPUTED_VALUE"""),"41 Flatbush Ave, New York 
United States")</f>
        <v>41 Flatbush Ave, New York 
United States</v>
      </c>
      <c r="E692" s="6" t="str">
        <f ca="1">IFERROR(__xludf.DUMMYFUNCTION("""COMPUTED_VALUE"""),"New York")</f>
        <v>New York</v>
      </c>
      <c r="F692" s="6" t="str">
        <f ca="1">IFERROR(__xludf.DUMMYFUNCTION("""COMPUTED_VALUE"""),"Man")</f>
        <v>Man</v>
      </c>
      <c r="G692" s="6" t="str">
        <f ca="1">IFERROR(__xludf.DUMMYFUNCTION("""COMPUTED_VALUE"""),"Man")</f>
        <v>Man</v>
      </c>
      <c r="H692" s="6"/>
      <c r="I692" s="6"/>
      <c r="J692" s="6"/>
      <c r="K692" s="6"/>
      <c r="L692" s="6" t="str">
        <f ca="1">IFERROR(__xludf.DUMMYFUNCTION("""COMPUTED_VALUE"""),"Yes")</f>
        <v>Yes</v>
      </c>
      <c r="M692" s="6" t="str">
        <f ca="1">IFERROR(__xludf.DUMMYFUNCTION("""COMPUTED_VALUE"""),"NYU Alumni")</f>
        <v>NYU Alumni</v>
      </c>
      <c r="N692" s="6"/>
      <c r="O692" s="6" t="str">
        <f ca="1">IFERROR(__xludf.DUMMYFUNCTION("""COMPUTED_VALUE"""),"Email")</f>
        <v>Email</v>
      </c>
      <c r="P692" s="6"/>
      <c r="Q692" s="6" t="str">
        <f ca="1">IFERROR(__xludf.DUMMYFUNCTION("""COMPUTED_VALUE"""),"No")</f>
        <v>No</v>
      </c>
      <c r="R692" s="6">
        <f ca="1">IFERROR(__xludf.DUMMYFUNCTION("""COMPUTED_VALUE"""),2)</f>
        <v>2</v>
      </c>
      <c r="S692" s="6" t="str">
        <f ca="1">IFERROR(__xludf.DUMMYFUNCTION("""COMPUTED_VALUE"""),"Pre-seed
Seed")</f>
        <v>Pre-seed
Seed</v>
      </c>
      <c r="T692" s="6" t="str">
        <f ca="1">IFERROR(__xludf.DUMMYFUNCTION("""COMPUTED_VALUE"""),"Pre-seed, Seed")</f>
        <v>Pre-seed, Seed</v>
      </c>
      <c r="U692" s="6" t="str">
        <f ca="1">IFERROR(__xludf.DUMMYFUNCTION("""COMPUTED_VALUE"""),"Pre-seed, Seed")</f>
        <v>Pre-seed, Seed</v>
      </c>
      <c r="V692" s="6"/>
      <c r="W692" s="6" t="str">
        <f ca="1">IFERROR(__xludf.DUMMYFUNCTION("""COMPUTED_VALUE"""),"Invite Next Year")</f>
        <v>Invite Next Year</v>
      </c>
    </row>
    <row r="693" spans="1:23">
      <c r="A693" s="6" t="str">
        <f ca="1">IFERROR(__xludf.DUMMYFUNCTION("""COMPUTED_VALUE"""),"Man, Man, Woman")</f>
        <v>Man, Man, Woman</v>
      </c>
      <c r="B693" s="6" t="str">
        <f ca="1">IFERROR(__xludf.DUMMYFUNCTION("""COMPUTED_VALUE"""),"Wenu Work _2022")</f>
        <v>Wenu Work _2022</v>
      </c>
      <c r="C693" s="6" t="str">
        <f ca="1">IFERROR(__xludf.DUMMYFUNCTION("""COMPUTED_VALUE"""),"Deep Tech")</f>
        <v>Deep Tech</v>
      </c>
      <c r="D693" s="6" t="str">
        <f ca="1">IFERROR(__xludf.DUMMYFUNCTION("""COMPUTED_VALUE"""),"Santiago, Metropolitana 
Chile")</f>
        <v>Santiago, Metropolitana 
Chile</v>
      </c>
      <c r="E693" s="6" t="str">
        <f ca="1">IFERROR(__xludf.DUMMYFUNCTION("""COMPUTED_VALUE"""),"International - Americas")</f>
        <v>International - Americas</v>
      </c>
      <c r="F693" s="6" t="str">
        <f ca="1">IFERROR(__xludf.DUMMYFUNCTION("""COMPUTED_VALUE"""),"Man")</f>
        <v>Man</v>
      </c>
      <c r="G693" s="6" t="str">
        <f ca="1">IFERROR(__xludf.DUMMYFUNCTION("""COMPUTED_VALUE"""),"Man")</f>
        <v>Man</v>
      </c>
      <c r="H693" s="6" t="str">
        <f ca="1">IFERROR(__xludf.DUMMYFUNCTION("""COMPUTED_VALUE"""),"Woman")</f>
        <v>Woman</v>
      </c>
      <c r="I693" s="6"/>
      <c r="J693" s="6"/>
      <c r="K693" s="6"/>
      <c r="L693" s="6" t="str">
        <f ca="1">IFERROR(__xludf.DUMMYFUNCTION("""COMPUTED_VALUE"""),"--Please select--")</f>
        <v>--Please select--</v>
      </c>
      <c r="M693" s="6"/>
      <c r="N693" s="6"/>
      <c r="O693" s="6" t="str">
        <f ca="1">IFERROR(__xludf.DUMMYFUNCTION("""COMPUTED_VALUE"""),"Email")</f>
        <v>Email</v>
      </c>
      <c r="P693" s="6"/>
      <c r="Q693" s="6" t="str">
        <f ca="1">IFERROR(__xludf.DUMMYFUNCTION("""COMPUTED_VALUE"""),"No")</f>
        <v>No</v>
      </c>
      <c r="R693" s="6">
        <f ca="1">IFERROR(__xludf.DUMMYFUNCTION("""COMPUTED_VALUE"""),3)</f>
        <v>3</v>
      </c>
      <c r="S693" s="6" t="str">
        <f ca="1">IFERROR(__xludf.DUMMYFUNCTION("""COMPUTED_VALUE"""),"Pre-seed
Seed
Series A
Bridge")</f>
        <v>Pre-seed
Seed
Series A
Bridge</v>
      </c>
      <c r="T693" s="6" t="str">
        <f ca="1">IFERROR(__xludf.DUMMYFUNCTION("""COMPUTED_VALUE"""),"Pre-seed, Seed, Series A, Bridge")</f>
        <v>Pre-seed, Seed, Series A, Bridge</v>
      </c>
      <c r="U693" s="6" t="str">
        <f ca="1">IFERROR(__xludf.DUMMYFUNCTION("""COMPUTED_VALUE"""),"Pre-seed, Seed, Series A, Bridge")</f>
        <v>Pre-seed, Seed, Series A, Bridge</v>
      </c>
      <c r="V693" s="6"/>
      <c r="W693" s="6" t="str">
        <f ca="1">IFERROR(__xludf.DUMMYFUNCTION("""COMPUTED_VALUE"""),"Invite Next Year")</f>
        <v>Invite Next Year</v>
      </c>
    </row>
    <row r="694" spans="1:23">
      <c r="A694" s="6" t="str">
        <f ca="1">IFERROR(__xludf.DUMMYFUNCTION("""COMPUTED_VALUE"""),"Man, Man")</f>
        <v>Man, Man</v>
      </c>
      <c r="B694" s="6" t="str">
        <f ca="1">IFERROR(__xludf.DUMMYFUNCTION("""COMPUTED_VALUE"""),"Haven Now, LLC _2022")</f>
        <v>Haven Now, LLC _2022</v>
      </c>
      <c r="C694" s="6" t="str">
        <f ca="1">IFERROR(__xludf.DUMMYFUNCTION("""COMPUTED_VALUE"""),"Digital Tech")</f>
        <v>Digital Tech</v>
      </c>
      <c r="D694" s="6" t="str">
        <f ca="1">IFERROR(__xludf.DUMMYFUNCTION("""COMPUTED_VALUE"""),"Marietta , Georgia  
United States")</f>
        <v>Marietta , Georgia  
United States</v>
      </c>
      <c r="E694" s="6" t="str">
        <f ca="1">IFERROR(__xludf.DUMMYFUNCTION("""COMPUTED_VALUE"""),"East Coast")</f>
        <v>East Coast</v>
      </c>
      <c r="F694" s="6" t="str">
        <f ca="1">IFERROR(__xludf.DUMMYFUNCTION("""COMPUTED_VALUE"""),"Man")</f>
        <v>Man</v>
      </c>
      <c r="G694" s="6" t="str">
        <f ca="1">IFERROR(__xludf.DUMMYFUNCTION("""COMPUTED_VALUE"""),"Man")</f>
        <v>Man</v>
      </c>
      <c r="H694" s="6"/>
      <c r="I694" s="6"/>
      <c r="J694" s="6"/>
      <c r="K694" s="6"/>
      <c r="L694" s="6" t="str">
        <f ca="1">IFERROR(__xludf.DUMMYFUNCTION("""COMPUTED_VALUE"""),"No")</f>
        <v>No</v>
      </c>
      <c r="M694" s="6"/>
      <c r="N694" s="6"/>
      <c r="O694" s="6" t="str">
        <f ca="1">IFERROR(__xludf.DUMMYFUNCTION("""COMPUTED_VALUE"""),"A web posting")</f>
        <v>A web posting</v>
      </c>
      <c r="P694" s="6"/>
      <c r="Q694" s="6" t="str">
        <f ca="1">IFERROR(__xludf.DUMMYFUNCTION("""COMPUTED_VALUE"""),"No")</f>
        <v>No</v>
      </c>
      <c r="R694" s="6">
        <f ca="1">IFERROR(__xludf.DUMMYFUNCTION("""COMPUTED_VALUE"""),2)</f>
        <v>2</v>
      </c>
      <c r="S694" s="6" t="str">
        <f ca="1">IFERROR(__xludf.DUMMYFUNCTION("""COMPUTED_VALUE"""),"Pre-seed")</f>
        <v>Pre-seed</v>
      </c>
      <c r="T694" s="6" t="str">
        <f ca="1">IFERROR(__xludf.DUMMYFUNCTION("""COMPUTED_VALUE"""),"Pre-seed")</f>
        <v>Pre-seed</v>
      </c>
      <c r="U694" s="6" t="str">
        <f ca="1">IFERROR(__xludf.DUMMYFUNCTION("""COMPUTED_VALUE"""),"Pre-seed")</f>
        <v>Pre-seed</v>
      </c>
      <c r="V694" s="6"/>
      <c r="W694" s="6" t="str">
        <f ca="1">IFERROR(__xludf.DUMMYFUNCTION("""COMPUTED_VALUE"""),"Invite Next Year")</f>
        <v>Invite Next Year</v>
      </c>
    </row>
    <row r="695" spans="1:23">
      <c r="A695" s="6" t="str">
        <f ca="1">IFERROR(__xludf.DUMMYFUNCTION("""COMPUTED_VALUE"""),"Man, Woman, Man")</f>
        <v>Man, Woman, Man</v>
      </c>
      <c r="B695" s="6" t="str">
        <f ca="1">IFERROR(__xludf.DUMMYFUNCTION("""COMPUTED_VALUE"""),"Intended Future _2022")</f>
        <v>Intended Future _2022</v>
      </c>
      <c r="C695" s="6" t="str">
        <f ca="1">IFERROR(__xludf.DUMMYFUNCTION("""COMPUTED_VALUE"""),"Digital Tech")</f>
        <v>Digital Tech</v>
      </c>
      <c r="D695" s="6" t="str">
        <f ca="1">IFERROR(__xludf.DUMMYFUNCTION("""COMPUTED_VALUE"""),"VERA SANDBERGS ALLÉ 8, 411 33 Göteborg, Västra Götaland 
Sweden")</f>
        <v>VERA SANDBERGS ALLÉ 8, 411 33 Göteborg, Västra Götaland 
Sweden</v>
      </c>
      <c r="E695" s="6" t="str">
        <f ca="1">IFERROR(__xludf.DUMMYFUNCTION("""COMPUTED_VALUE"""),"International - Europe")</f>
        <v>International - Europe</v>
      </c>
      <c r="F695" s="6" t="str">
        <f ca="1">IFERROR(__xludf.DUMMYFUNCTION("""COMPUTED_VALUE"""),"Man")</f>
        <v>Man</v>
      </c>
      <c r="G695" s="6" t="str">
        <f ca="1">IFERROR(__xludf.DUMMYFUNCTION("""COMPUTED_VALUE"""),"Woman")</f>
        <v>Woman</v>
      </c>
      <c r="H695" s="6" t="str">
        <f ca="1">IFERROR(__xludf.DUMMYFUNCTION("""COMPUTED_VALUE"""),"Man")</f>
        <v>Man</v>
      </c>
      <c r="I695" s="6"/>
      <c r="J695" s="6"/>
      <c r="K695" s="6"/>
      <c r="L695" s="6" t="str">
        <f ca="1">IFERROR(__xludf.DUMMYFUNCTION("""COMPUTED_VALUE"""),"No")</f>
        <v>No</v>
      </c>
      <c r="M695" s="6"/>
      <c r="N695" s="6"/>
      <c r="O695" s="6" t="str">
        <f ca="1">IFERROR(__xludf.DUMMYFUNCTION("""COMPUTED_VALUE"""),"Email")</f>
        <v>Email</v>
      </c>
      <c r="P695" s="6"/>
      <c r="Q695" s="6" t="str">
        <f ca="1">IFERROR(__xludf.DUMMYFUNCTION("""COMPUTED_VALUE"""),"No")</f>
        <v>No</v>
      </c>
      <c r="R695" s="6">
        <f ca="1">IFERROR(__xludf.DUMMYFUNCTION("""COMPUTED_VALUE"""),3)</f>
        <v>3</v>
      </c>
      <c r="S695" s="6" t="str">
        <f ca="1">IFERROR(__xludf.DUMMYFUNCTION("""COMPUTED_VALUE"""),"Pre-seed")</f>
        <v>Pre-seed</v>
      </c>
      <c r="T695" s="6" t="str">
        <f ca="1">IFERROR(__xludf.DUMMYFUNCTION("""COMPUTED_VALUE"""),"Pre-seed")</f>
        <v>Pre-seed</v>
      </c>
      <c r="U695" s="6" t="str">
        <f ca="1">IFERROR(__xludf.DUMMYFUNCTION("""COMPUTED_VALUE"""),"Pre-seed")</f>
        <v>Pre-seed</v>
      </c>
      <c r="V695" s="6"/>
      <c r="W695" s="6" t="str">
        <f ca="1">IFERROR(__xludf.DUMMYFUNCTION("""COMPUTED_VALUE"""),"Invite Next Year")</f>
        <v>Invite Next Year</v>
      </c>
    </row>
    <row r="696" spans="1:23">
      <c r="A696" s="6" t="str">
        <f ca="1">IFERROR(__xludf.DUMMYFUNCTION("""COMPUTED_VALUE"""),"Man, Man")</f>
        <v>Man, Man</v>
      </c>
      <c r="B696" s="6" t="str">
        <f ca="1">IFERROR(__xludf.DUMMYFUNCTION("""COMPUTED_VALUE"""),"Pajama Cats Media _2022")</f>
        <v>Pajama Cats Media _2022</v>
      </c>
      <c r="C696" s="6" t="str">
        <f ca="1">IFERROR(__xludf.DUMMYFUNCTION("""COMPUTED_VALUE"""),"Digital Tech")</f>
        <v>Digital Tech</v>
      </c>
      <c r="D696" s="6" t="str">
        <f ca="1">IFERROR(__xludf.DUMMYFUNCTION("""COMPUTED_VALUE"""),"6801 Trinity Landing Drive South, TX 
United States")</f>
        <v>6801 Trinity Landing Drive South, TX 
United States</v>
      </c>
      <c r="E696" s="6" t="str">
        <f ca="1">IFERROR(__xludf.DUMMYFUNCTION("""COMPUTED_VALUE"""),"South")</f>
        <v>South</v>
      </c>
      <c r="F696" s="6" t="str">
        <f ca="1">IFERROR(__xludf.DUMMYFUNCTION("""COMPUTED_VALUE"""),"Man")</f>
        <v>Man</v>
      </c>
      <c r="G696" s="6" t="str">
        <f ca="1">IFERROR(__xludf.DUMMYFUNCTION("""COMPUTED_VALUE"""),"Man")</f>
        <v>Man</v>
      </c>
      <c r="H696" s="6"/>
      <c r="I696" s="6"/>
      <c r="J696" s="6"/>
      <c r="K696" s="6"/>
      <c r="L696" s="6" t="str">
        <f ca="1">IFERROR(__xludf.DUMMYFUNCTION("""COMPUTED_VALUE"""),"No")</f>
        <v>No</v>
      </c>
      <c r="M696" s="6"/>
      <c r="N696" s="6"/>
      <c r="O696" s="6" t="str">
        <f ca="1">IFERROR(__xludf.DUMMYFUNCTION("""COMPUTED_VALUE"""),"Email")</f>
        <v>Email</v>
      </c>
      <c r="P696" s="6"/>
      <c r="Q696" s="6" t="str">
        <f ca="1">IFERROR(__xludf.DUMMYFUNCTION("""COMPUTED_VALUE"""),"No")</f>
        <v>No</v>
      </c>
      <c r="R696" s="6">
        <f ca="1">IFERROR(__xludf.DUMMYFUNCTION("""COMPUTED_VALUE"""),2)</f>
        <v>2</v>
      </c>
      <c r="S696" s="6" t="str">
        <f ca="1">IFERROR(__xludf.DUMMYFUNCTION("""COMPUTED_VALUE"""),"None")</f>
        <v>None</v>
      </c>
      <c r="T696" s="6" t="str">
        <f ca="1">IFERROR(__xludf.DUMMYFUNCTION("""COMPUTED_VALUE"""),"None")</f>
        <v>None</v>
      </c>
      <c r="U696" s="6" t="str">
        <f ca="1">IFERROR(__xludf.DUMMYFUNCTION("""COMPUTED_VALUE"""),"None")</f>
        <v>None</v>
      </c>
      <c r="V696" s="6"/>
      <c r="W696" s="6" t="str">
        <f ca="1">IFERROR(__xludf.DUMMYFUNCTION("""COMPUTED_VALUE"""),"Invite Next Year")</f>
        <v>Invite Next Year</v>
      </c>
    </row>
    <row r="697" spans="1:23">
      <c r="A697" s="6" t="str">
        <f ca="1">IFERROR(__xludf.DUMMYFUNCTION("""COMPUTED_VALUE"""),"Man, Man, Man")</f>
        <v>Man, Man, Man</v>
      </c>
      <c r="B697" s="6" t="str">
        <f ca="1">IFERROR(__xludf.DUMMYFUNCTION("""COMPUTED_VALUE"""),"BuildIt _2022")</f>
        <v>BuildIt _2022</v>
      </c>
      <c r="C697" s="6" t="str">
        <f ca="1">IFERROR(__xludf.DUMMYFUNCTION("""COMPUTED_VALUE"""),"Digital Tech")</f>
        <v>Digital Tech</v>
      </c>
      <c r="D697" s="6" t="str">
        <f ca="1">IFERROR(__xludf.DUMMYFUNCTION("""COMPUTED_VALUE"""),"New York, New York 
United States")</f>
        <v>New York, New York 
United States</v>
      </c>
      <c r="E697" s="6" t="str">
        <f ca="1">IFERROR(__xludf.DUMMYFUNCTION("""COMPUTED_VALUE"""),"New York")</f>
        <v>New York</v>
      </c>
      <c r="F697" s="6" t="str">
        <f ca="1">IFERROR(__xludf.DUMMYFUNCTION("""COMPUTED_VALUE"""),"Man")</f>
        <v>Man</v>
      </c>
      <c r="G697" s="6" t="str">
        <f ca="1">IFERROR(__xludf.DUMMYFUNCTION("""COMPUTED_VALUE"""),"Man")</f>
        <v>Man</v>
      </c>
      <c r="H697" s="6" t="str">
        <f ca="1">IFERROR(__xludf.DUMMYFUNCTION("""COMPUTED_VALUE"""),"Man")</f>
        <v>Man</v>
      </c>
      <c r="I697" s="6"/>
      <c r="J697" s="6"/>
      <c r="K697" s="6"/>
      <c r="L697" s="6" t="str">
        <f ca="1">IFERROR(__xludf.DUMMYFUNCTION("""COMPUTED_VALUE"""),"Yes")</f>
        <v>Yes</v>
      </c>
      <c r="M697" s="6" t="str">
        <f ca="1">IFERROR(__xludf.DUMMYFUNCTION("""COMPUTED_VALUE"""),"NYU Student")</f>
        <v>NYU Student</v>
      </c>
      <c r="N697" s="6"/>
      <c r="O697" s="6" t="str">
        <f ca="1">IFERROR(__xludf.DUMMYFUNCTION("""COMPUTED_VALUE"""),"NYU Newsletter")</f>
        <v>NYU Newsletter</v>
      </c>
      <c r="P697" s="6"/>
      <c r="Q697" s="6" t="str">
        <f ca="1">IFERROR(__xludf.DUMMYFUNCTION("""COMPUTED_VALUE"""),"No")</f>
        <v>No</v>
      </c>
      <c r="R697" s="6">
        <f ca="1">IFERROR(__xludf.DUMMYFUNCTION("""COMPUTED_VALUE"""),3)</f>
        <v>3</v>
      </c>
      <c r="S697" s="6" t="str">
        <f ca="1">IFERROR(__xludf.DUMMYFUNCTION("""COMPUTED_VALUE"""),"None")</f>
        <v>None</v>
      </c>
      <c r="T697" s="6" t="str">
        <f ca="1">IFERROR(__xludf.DUMMYFUNCTION("""COMPUTED_VALUE"""),"None")</f>
        <v>None</v>
      </c>
      <c r="U697" s="6" t="str">
        <f ca="1">IFERROR(__xludf.DUMMYFUNCTION("""COMPUTED_VALUE"""),"None")</f>
        <v>None</v>
      </c>
      <c r="V697" s="6"/>
      <c r="W697" s="6" t="str">
        <f ca="1">IFERROR(__xludf.DUMMYFUNCTION("""COMPUTED_VALUE"""),"Invite Next Year")</f>
        <v>Invite Next Year</v>
      </c>
    </row>
    <row r="698" spans="1:23">
      <c r="A698" s="6" t="str">
        <f ca="1">IFERROR(__xludf.DUMMYFUNCTION("""COMPUTED_VALUE"""),"Man, Man, Man")</f>
        <v>Man, Man, Man</v>
      </c>
      <c r="B698" s="6" t="str">
        <f ca="1">IFERROR(__xludf.DUMMYFUNCTION("""COMPUTED_VALUE"""),"MPzero _2022")</f>
        <v>MPzero _2022</v>
      </c>
      <c r="C698" s="6" t="str">
        <f ca="1">IFERROR(__xludf.DUMMYFUNCTION("""COMPUTED_VALUE"""),"Digital Tech")</f>
        <v>Digital Tech</v>
      </c>
      <c r="D698" s="6" t="str">
        <f ca="1">IFERROR(__xludf.DUMMYFUNCTION("""COMPUTED_VALUE"""),"Concepción, Bío-Bío 
Chile")</f>
        <v>Concepción, Bío-Bío 
Chile</v>
      </c>
      <c r="E698" s="6" t="str">
        <f ca="1">IFERROR(__xludf.DUMMYFUNCTION("""COMPUTED_VALUE"""),"International - Americas")</f>
        <v>International - Americas</v>
      </c>
      <c r="F698" s="6" t="str">
        <f ca="1">IFERROR(__xludf.DUMMYFUNCTION("""COMPUTED_VALUE"""),"Man")</f>
        <v>Man</v>
      </c>
      <c r="G698" s="6" t="str">
        <f ca="1">IFERROR(__xludf.DUMMYFUNCTION("""COMPUTED_VALUE"""),"Man")</f>
        <v>Man</v>
      </c>
      <c r="H698" s="6" t="str">
        <f ca="1">IFERROR(__xludf.DUMMYFUNCTION("""COMPUTED_VALUE"""),"Man")</f>
        <v>Man</v>
      </c>
      <c r="I698" s="6"/>
      <c r="J698" s="6"/>
      <c r="K698" s="6"/>
      <c r="L698" s="6" t="str">
        <f ca="1">IFERROR(__xludf.DUMMYFUNCTION("""COMPUTED_VALUE"""),"No")</f>
        <v>No</v>
      </c>
      <c r="M698" s="6"/>
      <c r="N698" s="6"/>
      <c r="O698" s="6" t="str">
        <f ca="1">IFERROR(__xludf.DUMMYFUNCTION("""COMPUTED_VALUE"""),"Email")</f>
        <v>Email</v>
      </c>
      <c r="P698" s="6"/>
      <c r="Q698" s="6" t="str">
        <f ca="1">IFERROR(__xludf.DUMMYFUNCTION("""COMPUTED_VALUE"""),"No")</f>
        <v>No</v>
      </c>
      <c r="R698" s="6">
        <f ca="1">IFERROR(__xludf.DUMMYFUNCTION("""COMPUTED_VALUE"""),3)</f>
        <v>3</v>
      </c>
      <c r="S698" s="6" t="str">
        <f ca="1">IFERROR(__xludf.DUMMYFUNCTION("""COMPUTED_VALUE"""),"Seed")</f>
        <v>Seed</v>
      </c>
      <c r="T698" s="6" t="str">
        <f ca="1">IFERROR(__xludf.DUMMYFUNCTION("""COMPUTED_VALUE"""),"Seed")</f>
        <v>Seed</v>
      </c>
      <c r="U698" s="6" t="str">
        <f ca="1">IFERROR(__xludf.DUMMYFUNCTION("""COMPUTED_VALUE"""),"Seed")</f>
        <v>Seed</v>
      </c>
      <c r="V698" s="6"/>
      <c r="W698" s="6" t="str">
        <f ca="1">IFERROR(__xludf.DUMMYFUNCTION("""COMPUTED_VALUE"""),"Invite Next Year")</f>
        <v>Invite Next Year</v>
      </c>
    </row>
    <row r="699" spans="1:23">
      <c r="A699" s="6" t="str">
        <f ca="1">IFERROR(__xludf.DUMMYFUNCTION("""COMPUTED_VALUE"""),"Man, Man, Man")</f>
        <v>Man, Man, Man</v>
      </c>
      <c r="B699" s="6" t="str">
        <f ca="1">IFERROR(__xludf.DUMMYFUNCTION("""COMPUTED_VALUE"""),"Chara Technologies Private Limited _2022")</f>
        <v>Chara Technologies Private Limited _2022</v>
      </c>
      <c r="C699" s="6" t="str">
        <f ca="1">IFERROR(__xludf.DUMMYFUNCTION("""COMPUTED_VALUE"""),"Deep Tech")</f>
        <v>Deep Tech</v>
      </c>
      <c r="D699" s="6" t="str">
        <f ca="1">IFERROR(__xludf.DUMMYFUNCTION("""COMPUTED_VALUE"""),"Bangalore, Karnataka 
India")</f>
        <v>Bangalore, Karnataka 
India</v>
      </c>
      <c r="E699" s="6" t="str">
        <f ca="1">IFERROR(__xludf.DUMMYFUNCTION("""COMPUTED_VALUE"""),"International - Asia")</f>
        <v>International - Asia</v>
      </c>
      <c r="F699" s="6" t="str">
        <f ca="1">IFERROR(__xludf.DUMMYFUNCTION("""COMPUTED_VALUE"""),"Man")</f>
        <v>Man</v>
      </c>
      <c r="G699" s="6" t="str">
        <f ca="1">IFERROR(__xludf.DUMMYFUNCTION("""COMPUTED_VALUE"""),"Man")</f>
        <v>Man</v>
      </c>
      <c r="H699" s="6" t="str">
        <f ca="1">IFERROR(__xludf.DUMMYFUNCTION("""COMPUTED_VALUE"""),"Man")</f>
        <v>Man</v>
      </c>
      <c r="I699" s="6"/>
      <c r="J699" s="6"/>
      <c r="K699" s="6"/>
      <c r="L699" s="6" t="str">
        <f ca="1">IFERROR(__xludf.DUMMYFUNCTION("""COMPUTED_VALUE"""),"No")</f>
        <v>No</v>
      </c>
      <c r="M699" s="6"/>
      <c r="N699" s="6"/>
      <c r="O699" s="6" t="str">
        <f ca="1">IFERROR(__xludf.DUMMYFUNCTION("""COMPUTED_VALUE"""),"Email")</f>
        <v>Email</v>
      </c>
      <c r="P699" s="6"/>
      <c r="Q699" s="6" t="str">
        <f ca="1">IFERROR(__xludf.DUMMYFUNCTION("""COMPUTED_VALUE"""),"No")</f>
        <v>No</v>
      </c>
      <c r="R699" s="6">
        <f ca="1">IFERROR(__xludf.DUMMYFUNCTION("""COMPUTED_VALUE"""),3)</f>
        <v>3</v>
      </c>
      <c r="S699" s="6" t="str">
        <f ca="1">IFERROR(__xludf.DUMMYFUNCTION("""COMPUTED_VALUE"""),"Seed")</f>
        <v>Seed</v>
      </c>
      <c r="T699" s="6" t="str">
        <f ca="1">IFERROR(__xludf.DUMMYFUNCTION("""COMPUTED_VALUE"""),"Seed")</f>
        <v>Seed</v>
      </c>
      <c r="U699" s="6" t="str">
        <f ca="1">IFERROR(__xludf.DUMMYFUNCTION("""COMPUTED_VALUE"""),"Seed")</f>
        <v>Seed</v>
      </c>
      <c r="V699" s="6"/>
      <c r="W699" s="6" t="str">
        <f ca="1">IFERROR(__xludf.DUMMYFUNCTION("""COMPUTED_VALUE"""),"Invite Next Year")</f>
        <v>Invite Next Year</v>
      </c>
    </row>
    <row r="700" spans="1:23">
      <c r="A700" s="6" t="str">
        <f ca="1">IFERROR(__xludf.DUMMYFUNCTION("""COMPUTED_VALUE"""),"Woman")</f>
        <v>Woman</v>
      </c>
      <c r="B700" s="6" t="str">
        <f ca="1">IFERROR(__xludf.DUMMYFUNCTION("""COMPUTED_VALUE"""),"Ripplenity Inc. _2022")</f>
        <v>Ripplenity Inc. _2022</v>
      </c>
      <c r="C700" s="6" t="str">
        <f ca="1">IFERROR(__xludf.DUMMYFUNCTION("""COMPUTED_VALUE"""),"Digital Tech")</f>
        <v>Digital Tech</v>
      </c>
      <c r="D700" s="6" t="str">
        <f ca="1">IFERROR(__xludf.DUMMYFUNCTION("""COMPUTED_VALUE"""),"4-16-11, Minami Aoyama, Minato-ku, Tokyo 
Japan")</f>
        <v>4-16-11, Minami Aoyama, Minato-ku, Tokyo 
Japan</v>
      </c>
      <c r="E700" s="6" t="str">
        <f ca="1">IFERROR(__xludf.DUMMYFUNCTION("""COMPUTED_VALUE"""),"International - Asia")</f>
        <v>International - Asia</v>
      </c>
      <c r="F700" s="6" t="str">
        <f ca="1">IFERROR(__xludf.DUMMYFUNCTION("""COMPUTED_VALUE"""),"Woman")</f>
        <v>Woman</v>
      </c>
      <c r="G700" s="6"/>
      <c r="H700" s="6"/>
      <c r="I700" s="6"/>
      <c r="J700" s="6"/>
      <c r="K700" s="6"/>
      <c r="L700" s="6" t="str">
        <f ca="1">IFERROR(__xludf.DUMMYFUNCTION("""COMPUTED_VALUE"""),"No")</f>
        <v>No</v>
      </c>
      <c r="M700" s="6"/>
      <c r="N700" s="6"/>
      <c r="O700" s="6" t="str">
        <f ca="1">IFERROR(__xludf.DUMMYFUNCTION("""COMPUTED_VALUE"""),"Email")</f>
        <v>Email</v>
      </c>
      <c r="P700" s="6"/>
      <c r="Q700" s="6" t="str">
        <f ca="1">IFERROR(__xludf.DUMMYFUNCTION("""COMPUTED_VALUE"""),"No")</f>
        <v>No</v>
      </c>
      <c r="R700" s="6">
        <f ca="1">IFERROR(__xludf.DUMMYFUNCTION("""COMPUTED_VALUE"""),1)</f>
        <v>1</v>
      </c>
      <c r="S700" s="6" t="str">
        <f ca="1">IFERROR(__xludf.DUMMYFUNCTION("""COMPUTED_VALUE"""),"Pre-seed")</f>
        <v>Pre-seed</v>
      </c>
      <c r="T700" s="6" t="str">
        <f ca="1">IFERROR(__xludf.DUMMYFUNCTION("""COMPUTED_VALUE"""),"Pre-seed")</f>
        <v>Pre-seed</v>
      </c>
      <c r="U700" s="6" t="str">
        <f ca="1">IFERROR(__xludf.DUMMYFUNCTION("""COMPUTED_VALUE"""),"Pre-seed")</f>
        <v>Pre-seed</v>
      </c>
      <c r="V700" s="6"/>
      <c r="W700" s="6" t="str">
        <f ca="1">IFERROR(__xludf.DUMMYFUNCTION("""COMPUTED_VALUE"""),"Invite Next Year")</f>
        <v>Invite Next Year</v>
      </c>
    </row>
    <row r="701" spans="1:23">
      <c r="A701" s="6" t="str">
        <f ca="1">IFERROR(__xludf.DUMMYFUNCTION("""COMPUTED_VALUE"""),"Man")</f>
        <v>Man</v>
      </c>
      <c r="B701" s="6" t="str">
        <f ca="1">IFERROR(__xludf.DUMMYFUNCTION("""COMPUTED_VALUE"""),"Fila Manila _2022")</f>
        <v>Fila Manila _2022</v>
      </c>
      <c r="C701" s="6" t="str">
        <f ca="1">IFERROR(__xludf.DUMMYFUNCTION("""COMPUTED_VALUE"""),"Deep Tech")</f>
        <v>Deep Tech</v>
      </c>
      <c r="D701" s="6" t="str">
        <f ca="1">IFERROR(__xludf.DUMMYFUNCTION("""COMPUTED_VALUE"""),"Laurel Springs, NJ 
United States")</f>
        <v>Laurel Springs, NJ 
United States</v>
      </c>
      <c r="E701" s="6" t="str">
        <f ca="1">IFERROR(__xludf.DUMMYFUNCTION("""COMPUTED_VALUE"""),"East Coast")</f>
        <v>East Coast</v>
      </c>
      <c r="F701" s="6" t="str">
        <f ca="1">IFERROR(__xludf.DUMMYFUNCTION("""COMPUTED_VALUE"""),"Man")</f>
        <v>Man</v>
      </c>
      <c r="G701" s="6"/>
      <c r="H701" s="6"/>
      <c r="I701" s="6"/>
      <c r="J701" s="6"/>
      <c r="K701" s="6"/>
      <c r="L701" s="6" t="str">
        <f ca="1">IFERROR(__xludf.DUMMYFUNCTION("""COMPUTED_VALUE"""),"No")</f>
        <v>No</v>
      </c>
      <c r="M701" s="6"/>
      <c r="N701" s="6"/>
      <c r="O701" s="6" t="str">
        <f ca="1">IFERROR(__xludf.DUMMYFUNCTION("""COMPUTED_VALUE"""),"Email")</f>
        <v>Email</v>
      </c>
      <c r="P701" s="6"/>
      <c r="Q701" s="6" t="str">
        <f ca="1">IFERROR(__xludf.DUMMYFUNCTION("""COMPUTED_VALUE"""),"No")</f>
        <v>No</v>
      </c>
      <c r="R701" s="6">
        <f ca="1">IFERROR(__xludf.DUMMYFUNCTION("""COMPUTED_VALUE"""),1)</f>
        <v>1</v>
      </c>
      <c r="S701" s="6" t="str">
        <f ca="1">IFERROR(__xludf.DUMMYFUNCTION("""COMPUTED_VALUE"""),"Pre-seed")</f>
        <v>Pre-seed</v>
      </c>
      <c r="T701" s="6" t="str">
        <f ca="1">IFERROR(__xludf.DUMMYFUNCTION("""COMPUTED_VALUE"""),"Pre-seed")</f>
        <v>Pre-seed</v>
      </c>
      <c r="U701" s="6" t="str">
        <f ca="1">IFERROR(__xludf.DUMMYFUNCTION("""COMPUTED_VALUE"""),"Pre-seed")</f>
        <v>Pre-seed</v>
      </c>
      <c r="V701" s="6"/>
      <c r="W701" s="6" t="str">
        <f ca="1">IFERROR(__xludf.DUMMYFUNCTION("""COMPUTED_VALUE"""),"Reject")</f>
        <v>Reject</v>
      </c>
    </row>
    <row r="702" spans="1:23">
      <c r="A702" s="6" t="str">
        <f ca="1">IFERROR(__xludf.DUMMYFUNCTION("""COMPUTED_VALUE"""),"Man, Man")</f>
        <v>Man, Man</v>
      </c>
      <c r="B702" s="6" t="str">
        <f ca="1">IFERROR(__xludf.DUMMYFUNCTION("""COMPUTED_VALUE"""),"Norebase Limited _2022")</f>
        <v>Norebase Limited _2022</v>
      </c>
      <c r="C702" s="6" t="str">
        <f ca="1">IFERROR(__xludf.DUMMYFUNCTION("""COMPUTED_VALUE"""),"Digital Tech")</f>
        <v>Digital Tech</v>
      </c>
      <c r="D702" s="6" t="str">
        <f ca="1">IFERROR(__xludf.DUMMYFUNCTION("""COMPUTED_VALUE"""),"1, Rima Street, Maitama, FCT 
Nigeria")</f>
        <v>1, Rima Street, Maitama, FCT 
Nigeria</v>
      </c>
      <c r="E702" s="6" t="str">
        <f ca="1">IFERROR(__xludf.DUMMYFUNCTION("""COMPUTED_VALUE"""),"International - Other")</f>
        <v>International - Other</v>
      </c>
      <c r="F702" s="6" t="str">
        <f ca="1">IFERROR(__xludf.DUMMYFUNCTION("""COMPUTED_VALUE"""),"Man")</f>
        <v>Man</v>
      </c>
      <c r="G702" s="6" t="str">
        <f ca="1">IFERROR(__xludf.DUMMYFUNCTION("""COMPUTED_VALUE"""),"Man")</f>
        <v>Man</v>
      </c>
      <c r="H702" s="6"/>
      <c r="I702" s="6"/>
      <c r="J702" s="6"/>
      <c r="K702" s="6"/>
      <c r="L702" s="6" t="str">
        <f ca="1">IFERROR(__xludf.DUMMYFUNCTION("""COMPUTED_VALUE"""),"No")</f>
        <v>No</v>
      </c>
      <c r="M702" s="6"/>
      <c r="N702" s="6"/>
      <c r="O702" s="6" t="str">
        <f ca="1">IFERROR(__xludf.DUMMYFUNCTION("""COMPUTED_VALUE"""),"Email")</f>
        <v>Email</v>
      </c>
      <c r="P702" s="6"/>
      <c r="Q702" s="6" t="str">
        <f ca="1">IFERROR(__xludf.DUMMYFUNCTION("""COMPUTED_VALUE"""),"No")</f>
        <v>No</v>
      </c>
      <c r="R702" s="6">
        <f ca="1">IFERROR(__xludf.DUMMYFUNCTION("""COMPUTED_VALUE"""),2)</f>
        <v>2</v>
      </c>
      <c r="S702" s="6" t="str">
        <f ca="1">IFERROR(__xludf.DUMMYFUNCTION("""COMPUTED_VALUE"""),"Pre-seed")</f>
        <v>Pre-seed</v>
      </c>
      <c r="T702" s="6" t="str">
        <f ca="1">IFERROR(__xludf.DUMMYFUNCTION("""COMPUTED_VALUE"""),"Pre-seed")</f>
        <v>Pre-seed</v>
      </c>
      <c r="U702" s="6" t="str">
        <f ca="1">IFERROR(__xludf.DUMMYFUNCTION("""COMPUTED_VALUE"""),"Pre-seed")</f>
        <v>Pre-seed</v>
      </c>
      <c r="V702" s="6"/>
      <c r="W702" s="6" t="str">
        <f ca="1">IFERROR(__xludf.DUMMYFUNCTION("""COMPUTED_VALUE"""),"Invite Next Year")</f>
        <v>Invite Next Year</v>
      </c>
    </row>
    <row r="703" spans="1:23">
      <c r="A703" s="6" t="str">
        <f ca="1">IFERROR(__xludf.DUMMYFUNCTION("""COMPUTED_VALUE"""),"Man, Man, Woman, Man")</f>
        <v>Man, Man, Woman, Man</v>
      </c>
      <c r="B703" s="6" t="str">
        <f ca="1">IFERROR(__xludf.DUMMYFUNCTION("""COMPUTED_VALUE"""),"Nano RED _2022")</f>
        <v>Nano RED _2022</v>
      </c>
      <c r="C703" s="6" t="str">
        <f ca="1">IFERROR(__xludf.DUMMYFUNCTION("""COMPUTED_VALUE"""),"Life Sciences")</f>
        <v>Life Sciences</v>
      </c>
      <c r="D703" s="6" t="str">
        <f ca="1">IFERROR(__xludf.DUMMYFUNCTION("""COMPUTED_VALUE"""),"Madison, WI 
United States")</f>
        <v>Madison, WI 
United States</v>
      </c>
      <c r="E703" s="6" t="str">
        <f ca="1">IFERROR(__xludf.DUMMYFUNCTION("""COMPUTED_VALUE"""),"Midwest")</f>
        <v>Midwest</v>
      </c>
      <c r="F703" s="6" t="str">
        <f ca="1">IFERROR(__xludf.DUMMYFUNCTION("""COMPUTED_VALUE"""),"Man")</f>
        <v>Man</v>
      </c>
      <c r="G703" s="6" t="str">
        <f ca="1">IFERROR(__xludf.DUMMYFUNCTION("""COMPUTED_VALUE"""),"Man")</f>
        <v>Man</v>
      </c>
      <c r="H703" s="6" t="str">
        <f ca="1">IFERROR(__xludf.DUMMYFUNCTION("""COMPUTED_VALUE"""),"Woman")</f>
        <v>Woman</v>
      </c>
      <c r="I703" s="6" t="str">
        <f ca="1">IFERROR(__xludf.DUMMYFUNCTION("""COMPUTED_VALUE"""),"Man")</f>
        <v>Man</v>
      </c>
      <c r="J703" s="6"/>
      <c r="K703" s="6"/>
      <c r="L703" s="6" t="str">
        <f ca="1">IFERROR(__xludf.DUMMYFUNCTION("""COMPUTED_VALUE"""),"No")</f>
        <v>No</v>
      </c>
      <c r="M703" s="6"/>
      <c r="N703" s="6"/>
      <c r="O703" s="6" t="str">
        <f ca="1">IFERROR(__xludf.DUMMYFUNCTION("""COMPUTED_VALUE"""),"Referral")</f>
        <v>Referral</v>
      </c>
      <c r="P703" s="6"/>
      <c r="Q703" s="6" t="str">
        <f ca="1">IFERROR(__xludf.DUMMYFUNCTION("""COMPUTED_VALUE"""),"No")</f>
        <v>No</v>
      </c>
      <c r="R703" s="6">
        <f ca="1">IFERROR(__xludf.DUMMYFUNCTION("""COMPUTED_VALUE"""),4)</f>
        <v>4</v>
      </c>
      <c r="S703" s="6" t="str">
        <f ca="1">IFERROR(__xludf.DUMMYFUNCTION("""COMPUTED_VALUE"""),"Grants")</f>
        <v>Grants</v>
      </c>
      <c r="T703" s="6" t="str">
        <f ca="1">IFERROR(__xludf.DUMMYFUNCTION("""COMPUTED_VALUE"""),"Grants")</f>
        <v>Grants</v>
      </c>
      <c r="U703" s="6" t="str">
        <f ca="1">IFERROR(__xludf.DUMMYFUNCTION("""COMPUTED_VALUE"""),"Grants")</f>
        <v>Grants</v>
      </c>
      <c r="V703" s="6"/>
      <c r="W703" s="6" t="str">
        <f ca="1">IFERROR(__xludf.DUMMYFUNCTION("""COMPUTED_VALUE"""),"Invite")</f>
        <v>Invite</v>
      </c>
    </row>
    <row r="704" spans="1:23">
      <c r="A704" s="6" t="str">
        <f ca="1">IFERROR(__xludf.DUMMYFUNCTION("""COMPUTED_VALUE"""),"Man, Man")</f>
        <v>Man, Man</v>
      </c>
      <c r="B704" s="6" t="str">
        <f ca="1">IFERROR(__xludf.DUMMYFUNCTION("""COMPUTED_VALUE"""),"EnKoat _2022")</f>
        <v>EnKoat _2022</v>
      </c>
      <c r="C704" s="6" t="str">
        <f ca="1">IFERROR(__xludf.DUMMYFUNCTION("""COMPUTED_VALUE"""),"Deep Tech")</f>
        <v>Deep Tech</v>
      </c>
      <c r="D704" s="6" t="str">
        <f ca="1">IFERROR(__xludf.DUMMYFUNCTION("""COMPUTED_VALUE"""),"Phoenix, AZ 
United States")</f>
        <v>Phoenix, AZ 
United States</v>
      </c>
      <c r="E704" s="6" t="str">
        <f ca="1">IFERROR(__xludf.DUMMYFUNCTION("""COMPUTED_VALUE"""),"West")</f>
        <v>West</v>
      </c>
      <c r="F704" s="6" t="str">
        <f ca="1">IFERROR(__xludf.DUMMYFUNCTION("""COMPUTED_VALUE"""),"Man")</f>
        <v>Man</v>
      </c>
      <c r="G704" s="6" t="str">
        <f ca="1">IFERROR(__xludf.DUMMYFUNCTION("""COMPUTED_VALUE"""),"Man")</f>
        <v>Man</v>
      </c>
      <c r="H704" s="6"/>
      <c r="I704" s="6"/>
      <c r="J704" s="6"/>
      <c r="K704" s="6"/>
      <c r="L704" s="6" t="str">
        <f ca="1">IFERROR(__xludf.DUMMYFUNCTION("""COMPUTED_VALUE"""),"No")</f>
        <v>No</v>
      </c>
      <c r="M704" s="6"/>
      <c r="N704" s="6"/>
      <c r="O704" s="6" t="str">
        <f ca="1">IFERROR(__xludf.DUMMYFUNCTION("""COMPUTED_VALUE"""),"Email")</f>
        <v>Email</v>
      </c>
      <c r="P704" s="6"/>
      <c r="Q704" s="6" t="str">
        <f ca="1">IFERROR(__xludf.DUMMYFUNCTION("""COMPUTED_VALUE"""),"No")</f>
        <v>No</v>
      </c>
      <c r="R704" s="6">
        <f ca="1">IFERROR(__xludf.DUMMYFUNCTION("""COMPUTED_VALUE"""),2)</f>
        <v>2</v>
      </c>
      <c r="S704" s="6" t="str">
        <f ca="1">IFERROR(__xludf.DUMMYFUNCTION("""COMPUTED_VALUE"""),"Pre-seed")</f>
        <v>Pre-seed</v>
      </c>
      <c r="T704" s="6" t="str">
        <f ca="1">IFERROR(__xludf.DUMMYFUNCTION("""COMPUTED_VALUE"""),"Pre-seed")</f>
        <v>Pre-seed</v>
      </c>
      <c r="U704" s="6" t="str">
        <f ca="1">IFERROR(__xludf.DUMMYFUNCTION("""COMPUTED_VALUE"""),"Pre-seed")</f>
        <v>Pre-seed</v>
      </c>
      <c r="V704" s="6"/>
      <c r="W704" s="6" t="str">
        <f ca="1">IFERROR(__xludf.DUMMYFUNCTION("""COMPUTED_VALUE"""),"Invite Next Year")</f>
        <v>Invite Next Year</v>
      </c>
    </row>
    <row r="705" spans="1:23">
      <c r="A705" s="6" t="str">
        <f ca="1">IFERROR(__xludf.DUMMYFUNCTION("""COMPUTED_VALUE"""),"Man, Man, Man")</f>
        <v>Man, Man, Man</v>
      </c>
      <c r="B705" s="6" t="str">
        <f ca="1">IFERROR(__xludf.DUMMYFUNCTION("""COMPUTED_VALUE"""),"Vici Robotics _2022")</f>
        <v>Vici Robotics _2022</v>
      </c>
      <c r="C705" s="6" t="str">
        <f ca="1">IFERROR(__xludf.DUMMYFUNCTION("""COMPUTED_VALUE"""),"Deep Tech")</f>
        <v>Deep Tech</v>
      </c>
      <c r="D705" s="6" t="str">
        <f ca="1">IFERROR(__xludf.DUMMYFUNCTION("""COMPUTED_VALUE"""),"San Jose, California 
United States")</f>
        <v>San Jose, California 
United States</v>
      </c>
      <c r="E705" s="6" t="str">
        <f ca="1">IFERROR(__xludf.DUMMYFUNCTION("""COMPUTED_VALUE"""),"West Coast")</f>
        <v>West Coast</v>
      </c>
      <c r="F705" s="6" t="str">
        <f ca="1">IFERROR(__xludf.DUMMYFUNCTION("""COMPUTED_VALUE"""),"Man")</f>
        <v>Man</v>
      </c>
      <c r="G705" s="6" t="str">
        <f ca="1">IFERROR(__xludf.DUMMYFUNCTION("""COMPUTED_VALUE"""),"Man")</f>
        <v>Man</v>
      </c>
      <c r="H705" s="6" t="str">
        <f ca="1">IFERROR(__xludf.DUMMYFUNCTION("""COMPUTED_VALUE"""),"Man")</f>
        <v>Man</v>
      </c>
      <c r="I705" s="6"/>
      <c r="J705" s="6"/>
      <c r="K705" s="6"/>
      <c r="L705" s="6" t="str">
        <f ca="1">IFERROR(__xludf.DUMMYFUNCTION("""COMPUTED_VALUE"""),"No")</f>
        <v>No</v>
      </c>
      <c r="M705" s="6"/>
      <c r="N705" s="6"/>
      <c r="O705" s="6" t="str">
        <f ca="1">IFERROR(__xludf.DUMMYFUNCTION("""COMPUTED_VALUE"""),"Email")</f>
        <v>Email</v>
      </c>
      <c r="P705" s="6"/>
      <c r="Q705" s="6" t="str">
        <f ca="1">IFERROR(__xludf.DUMMYFUNCTION("""COMPUTED_VALUE"""),"No")</f>
        <v>No</v>
      </c>
      <c r="R705" s="6">
        <f ca="1">IFERROR(__xludf.DUMMYFUNCTION("""COMPUTED_VALUE"""),3)</f>
        <v>3</v>
      </c>
      <c r="S705" s="6" t="str">
        <f ca="1">IFERROR(__xludf.DUMMYFUNCTION("""COMPUTED_VALUE"""),"Pre-seed")</f>
        <v>Pre-seed</v>
      </c>
      <c r="T705" s="6" t="str">
        <f ca="1">IFERROR(__xludf.DUMMYFUNCTION("""COMPUTED_VALUE"""),"Pre-seed")</f>
        <v>Pre-seed</v>
      </c>
      <c r="U705" s="6" t="str">
        <f ca="1">IFERROR(__xludf.DUMMYFUNCTION("""COMPUTED_VALUE"""),"Pre-seed")</f>
        <v>Pre-seed</v>
      </c>
      <c r="V705" s="6"/>
      <c r="W705" s="6" t="str">
        <f ca="1">IFERROR(__xludf.DUMMYFUNCTION("""COMPUTED_VALUE"""),"Invite")</f>
        <v>Invite</v>
      </c>
    </row>
    <row r="706" spans="1:23">
      <c r="A706" s="6" t="str">
        <f ca="1">IFERROR(__xludf.DUMMYFUNCTION("""COMPUTED_VALUE"""),"Woman, Man, Woman, Man, Man")</f>
        <v>Woman, Man, Woman, Man, Man</v>
      </c>
      <c r="B706" s="6" t="str">
        <f ca="1">IFERROR(__xludf.DUMMYFUNCTION("""COMPUTED_VALUE"""),"ZipData, INC _2022")</f>
        <v>ZipData, INC _2022</v>
      </c>
      <c r="C706" s="6" t="str">
        <f ca="1">IFERROR(__xludf.DUMMYFUNCTION("""COMPUTED_VALUE"""),"Digital Tech")</f>
        <v>Digital Tech</v>
      </c>
      <c r="D706" s="6" t="str">
        <f ca="1">IFERROR(__xludf.DUMMYFUNCTION("""COMPUTED_VALUE"""),"7705 N Macarthur, Suite 120-365, Irving, TX 
United States")</f>
        <v>7705 N Macarthur, Suite 120-365, Irving, TX 
United States</v>
      </c>
      <c r="E706" s="6" t="str">
        <f ca="1">IFERROR(__xludf.DUMMYFUNCTION("""COMPUTED_VALUE"""),"South")</f>
        <v>South</v>
      </c>
      <c r="F706" s="6" t="str">
        <f ca="1">IFERROR(__xludf.DUMMYFUNCTION("""COMPUTED_VALUE"""),"Woman")</f>
        <v>Woman</v>
      </c>
      <c r="G706" s="6" t="str">
        <f ca="1">IFERROR(__xludf.DUMMYFUNCTION("""COMPUTED_VALUE"""),"Man")</f>
        <v>Man</v>
      </c>
      <c r="H706" s="6" t="str">
        <f ca="1">IFERROR(__xludf.DUMMYFUNCTION("""COMPUTED_VALUE"""),"Woman")</f>
        <v>Woman</v>
      </c>
      <c r="I706" s="6" t="str">
        <f ca="1">IFERROR(__xludf.DUMMYFUNCTION("""COMPUTED_VALUE"""),"Man")</f>
        <v>Man</v>
      </c>
      <c r="J706" s="6" t="str">
        <f ca="1">IFERROR(__xludf.DUMMYFUNCTION("""COMPUTED_VALUE"""),"Man")</f>
        <v>Man</v>
      </c>
      <c r="K706" s="6"/>
      <c r="L706" s="6" t="str">
        <f ca="1">IFERROR(__xludf.DUMMYFUNCTION("""COMPUTED_VALUE"""),"No")</f>
        <v>No</v>
      </c>
      <c r="M706" s="6"/>
      <c r="N706" s="6"/>
      <c r="O706" s="6" t="str">
        <f ca="1">IFERROR(__xludf.DUMMYFUNCTION("""COMPUTED_VALUE"""),"Email")</f>
        <v>Email</v>
      </c>
      <c r="P706" s="6"/>
      <c r="Q706" s="6" t="str">
        <f ca="1">IFERROR(__xludf.DUMMYFUNCTION("""COMPUTED_VALUE"""),"No")</f>
        <v>No</v>
      </c>
      <c r="R706" s="6">
        <f ca="1">IFERROR(__xludf.DUMMYFUNCTION("""COMPUTED_VALUE"""),5)</f>
        <v>5</v>
      </c>
      <c r="S706" s="6" t="str">
        <f ca="1">IFERROR(__xludf.DUMMYFUNCTION("""COMPUTED_VALUE"""),"Pre-seed")</f>
        <v>Pre-seed</v>
      </c>
      <c r="T706" s="6" t="str">
        <f ca="1">IFERROR(__xludf.DUMMYFUNCTION("""COMPUTED_VALUE"""),"Pre-seed")</f>
        <v>Pre-seed</v>
      </c>
      <c r="U706" s="6" t="str">
        <f ca="1">IFERROR(__xludf.DUMMYFUNCTION("""COMPUTED_VALUE"""),"Pre-seed")</f>
        <v>Pre-seed</v>
      </c>
      <c r="V706" s="6"/>
      <c r="W706" s="6" t="str">
        <f ca="1">IFERROR(__xludf.DUMMYFUNCTION("""COMPUTED_VALUE"""),"Invite Next Year")</f>
        <v>Invite Next Year</v>
      </c>
    </row>
    <row r="707" spans="1:23">
      <c r="A707" s="6" t="str">
        <f ca="1">IFERROR(__xludf.DUMMYFUNCTION("""COMPUTED_VALUE"""),"Man, Man")</f>
        <v>Man, Man</v>
      </c>
      <c r="B707" s="6" t="str">
        <f ca="1">IFERROR(__xludf.DUMMYFUNCTION("""COMPUTED_VALUE"""),"HeyPeers _2022")</f>
        <v>HeyPeers _2022</v>
      </c>
      <c r="C707" s="6" t="str">
        <f ca="1">IFERROR(__xludf.DUMMYFUNCTION("""COMPUTED_VALUE"""),"Digital Tech")</f>
        <v>Digital Tech</v>
      </c>
      <c r="D707" s="6" t="str">
        <f ca="1">IFERROR(__xludf.DUMMYFUNCTION("""COMPUTED_VALUE"""),"530 S Lake Ave, #766, Pasadena, CA 
United States")</f>
        <v>530 S Lake Ave, #766, Pasadena, CA 
United States</v>
      </c>
      <c r="E707" s="6" t="str">
        <f ca="1">IFERROR(__xludf.DUMMYFUNCTION("""COMPUTED_VALUE"""),"West Coast")</f>
        <v>West Coast</v>
      </c>
      <c r="F707" s="6" t="str">
        <f ca="1">IFERROR(__xludf.DUMMYFUNCTION("""COMPUTED_VALUE"""),"Man")</f>
        <v>Man</v>
      </c>
      <c r="G707" s="6" t="str">
        <f ca="1">IFERROR(__xludf.DUMMYFUNCTION("""COMPUTED_VALUE"""),"Man")</f>
        <v>Man</v>
      </c>
      <c r="H707" s="6"/>
      <c r="I707" s="6"/>
      <c r="J707" s="6"/>
      <c r="K707" s="6"/>
      <c r="L707" s="6" t="str">
        <f ca="1">IFERROR(__xludf.DUMMYFUNCTION("""COMPUTED_VALUE"""),"No")</f>
        <v>No</v>
      </c>
      <c r="M707" s="6"/>
      <c r="N707" s="6"/>
      <c r="O707" s="6" t="str">
        <f ca="1">IFERROR(__xludf.DUMMYFUNCTION("""COMPUTED_VALUE"""),"Email")</f>
        <v>Email</v>
      </c>
      <c r="P707" s="6"/>
      <c r="Q707" s="6" t="str">
        <f ca="1">IFERROR(__xludf.DUMMYFUNCTION("""COMPUTED_VALUE"""),"No")</f>
        <v>No</v>
      </c>
      <c r="R707" s="6">
        <f ca="1">IFERROR(__xludf.DUMMYFUNCTION("""COMPUTED_VALUE"""),2)</f>
        <v>2</v>
      </c>
      <c r="S707" s="6" t="str">
        <f ca="1">IFERROR(__xludf.DUMMYFUNCTION("""COMPUTED_VALUE"""),"Pre-seed")</f>
        <v>Pre-seed</v>
      </c>
      <c r="T707" s="6" t="str">
        <f ca="1">IFERROR(__xludf.DUMMYFUNCTION("""COMPUTED_VALUE"""),"Pre-seed")</f>
        <v>Pre-seed</v>
      </c>
      <c r="U707" s="6" t="str">
        <f ca="1">IFERROR(__xludf.DUMMYFUNCTION("""COMPUTED_VALUE"""),"Pre-seed")</f>
        <v>Pre-seed</v>
      </c>
      <c r="V707" s="6"/>
      <c r="W707" s="6" t="str">
        <f ca="1">IFERROR(__xludf.DUMMYFUNCTION("""COMPUTED_VALUE"""),"Invite Next Year")</f>
        <v>Invite Next Year</v>
      </c>
    </row>
    <row r="708" spans="1:23">
      <c r="A708" s="6" t="str">
        <f ca="1">IFERROR(__xludf.DUMMYFUNCTION("""COMPUTED_VALUE"""),"Man, Man")</f>
        <v>Man, Man</v>
      </c>
      <c r="B708" s="6" t="str">
        <f ca="1">IFERROR(__xludf.DUMMYFUNCTION("""COMPUTED_VALUE"""),"Pandorum International Inc. _2022")</f>
        <v>Pandorum International Inc. _2022</v>
      </c>
      <c r="C708" s="6" t="str">
        <f ca="1">IFERROR(__xludf.DUMMYFUNCTION("""COMPUTED_VALUE"""),"Life Sciences")</f>
        <v>Life Sciences</v>
      </c>
      <c r="D708" s="6" t="str">
        <f ca="1">IFERROR(__xludf.DUMMYFUNCTION("""COMPUTED_VALUE"""),"MBC BioLabs, 733 INDUSTRIAL RD SAN CARLOS CA, 94070, California 
United States")</f>
        <v>MBC BioLabs, 733 INDUSTRIAL RD SAN CARLOS CA, 94070, California 
United States</v>
      </c>
      <c r="E708" s="6" t="str">
        <f ca="1">IFERROR(__xludf.DUMMYFUNCTION("""COMPUTED_VALUE"""),"West Coast")</f>
        <v>West Coast</v>
      </c>
      <c r="F708" s="6" t="str">
        <f ca="1">IFERROR(__xludf.DUMMYFUNCTION("""COMPUTED_VALUE"""),"Man")</f>
        <v>Man</v>
      </c>
      <c r="G708" s="6" t="str">
        <f ca="1">IFERROR(__xludf.DUMMYFUNCTION("""COMPUTED_VALUE"""),"Man")</f>
        <v>Man</v>
      </c>
      <c r="H708" s="6"/>
      <c r="I708" s="6"/>
      <c r="J708" s="6"/>
      <c r="K708" s="6"/>
      <c r="L708" s="6" t="str">
        <f ca="1">IFERROR(__xludf.DUMMYFUNCTION("""COMPUTED_VALUE"""),"No")</f>
        <v>No</v>
      </c>
      <c r="M708" s="6"/>
      <c r="N708" s="6"/>
      <c r="O708" s="6" t="str">
        <f ca="1">IFERROR(__xludf.DUMMYFUNCTION("""COMPUTED_VALUE"""),"Referral")</f>
        <v>Referral</v>
      </c>
      <c r="P708" s="6"/>
      <c r="Q708" s="6" t="str">
        <f ca="1">IFERROR(__xludf.DUMMYFUNCTION("""COMPUTED_VALUE"""),"No")</f>
        <v>No</v>
      </c>
      <c r="R708" s="6">
        <f ca="1">IFERROR(__xludf.DUMMYFUNCTION("""COMPUTED_VALUE"""),2)</f>
        <v>2</v>
      </c>
      <c r="S708" s="6" t="str">
        <f ca="1">IFERROR(__xludf.DUMMYFUNCTION("""COMPUTED_VALUE"""),"Seed
Series A
Bridge
Grants")</f>
        <v>Seed
Series A
Bridge
Grants</v>
      </c>
      <c r="T708" s="6" t="str">
        <f ca="1">IFERROR(__xludf.DUMMYFUNCTION("""COMPUTED_VALUE"""),"Seed, Series A, Bridge, Grants")</f>
        <v>Seed, Series A, Bridge, Grants</v>
      </c>
      <c r="U708" s="6" t="str">
        <f ca="1">IFERROR(__xludf.DUMMYFUNCTION("""COMPUTED_VALUE"""),"Seed, Series A, Bridge, Grants")</f>
        <v>Seed, Series A, Bridge, Grants</v>
      </c>
      <c r="V708" s="6"/>
      <c r="W708" s="6" t="str">
        <f ca="1">IFERROR(__xludf.DUMMYFUNCTION("""COMPUTED_VALUE"""),"Invite")</f>
        <v>Invite</v>
      </c>
    </row>
    <row r="709" spans="1:23">
      <c r="A709" s="6" t="str">
        <f ca="1">IFERROR(__xludf.DUMMYFUNCTION("""COMPUTED_VALUE"""),"Woman")</f>
        <v>Woman</v>
      </c>
      <c r="B709" s="6" t="str">
        <f ca="1">IFERROR(__xludf.DUMMYFUNCTION("""COMPUTED_VALUE"""),"Agtools Inc _2022")</f>
        <v>Agtools Inc _2022</v>
      </c>
      <c r="C709" s="6" t="str">
        <f ca="1">IFERROR(__xludf.DUMMYFUNCTION("""COMPUTED_VALUE"""),"Deep Tech")</f>
        <v>Deep Tech</v>
      </c>
      <c r="D709" s="6" t="str">
        <f ca="1">IFERROR(__xludf.DUMMYFUNCTION("""COMPUTED_VALUE"""),"Orange, CA 
United States")</f>
        <v>Orange, CA 
United States</v>
      </c>
      <c r="E709" s="6" t="str">
        <f ca="1">IFERROR(__xludf.DUMMYFUNCTION("""COMPUTED_VALUE"""),"West Coast")</f>
        <v>West Coast</v>
      </c>
      <c r="F709" s="6" t="str">
        <f ca="1">IFERROR(__xludf.DUMMYFUNCTION("""COMPUTED_VALUE"""),"Woman")</f>
        <v>Woman</v>
      </c>
      <c r="G709" s="6"/>
      <c r="H709" s="6"/>
      <c r="I709" s="6"/>
      <c r="J709" s="6"/>
      <c r="K709" s="6"/>
      <c r="L709" s="6" t="str">
        <f ca="1">IFERROR(__xludf.DUMMYFUNCTION("""COMPUTED_VALUE"""),"No")</f>
        <v>No</v>
      </c>
      <c r="M709" s="6"/>
      <c r="N709" s="6"/>
      <c r="O709" s="6" t="str">
        <f ca="1">IFERROR(__xludf.DUMMYFUNCTION("""COMPUTED_VALUE"""),"Email")</f>
        <v>Email</v>
      </c>
      <c r="P709" s="6"/>
      <c r="Q709" s="6" t="str">
        <f ca="1">IFERROR(__xludf.DUMMYFUNCTION("""COMPUTED_VALUE"""),"No")</f>
        <v>No</v>
      </c>
      <c r="R709" s="6">
        <f ca="1">IFERROR(__xludf.DUMMYFUNCTION("""COMPUTED_VALUE"""),1)</f>
        <v>1</v>
      </c>
      <c r="S709" s="6" t="str">
        <f ca="1">IFERROR(__xludf.DUMMYFUNCTION("""COMPUTED_VALUE"""),"Seed")</f>
        <v>Seed</v>
      </c>
      <c r="T709" s="6" t="str">
        <f ca="1">IFERROR(__xludf.DUMMYFUNCTION("""COMPUTED_VALUE"""),"Seed")</f>
        <v>Seed</v>
      </c>
      <c r="U709" s="6" t="str">
        <f ca="1">IFERROR(__xludf.DUMMYFUNCTION("""COMPUTED_VALUE"""),"Seed")</f>
        <v>Seed</v>
      </c>
      <c r="V709" s="6"/>
      <c r="W709" s="6" t="str">
        <f ca="1">IFERROR(__xludf.DUMMYFUNCTION("""COMPUTED_VALUE"""),"Invite Next Year")</f>
        <v>Invite Next Year</v>
      </c>
    </row>
    <row r="710" spans="1:23">
      <c r="A710" s="6" t="str">
        <f ca="1">IFERROR(__xludf.DUMMYFUNCTION("""COMPUTED_VALUE"""),"Woman")</f>
        <v>Woman</v>
      </c>
      <c r="B710" s="6" t="str">
        <f ca="1">IFERROR(__xludf.DUMMYFUNCTION("""COMPUTED_VALUE"""),"Mahila Money Pte Ltd _2022")</f>
        <v>Mahila Money Pte Ltd _2022</v>
      </c>
      <c r="C710" s="6" t="str">
        <f ca="1">IFERROR(__xludf.DUMMYFUNCTION("""COMPUTED_VALUE"""),"Digital Tech")</f>
        <v>Digital Tech</v>
      </c>
      <c r="D710" s="6" t="str">
        <f ca="1">IFERROR(__xludf.DUMMYFUNCTION("""COMPUTED_VALUE"""),"4054, Sector - B Pocket 5&amp;6, Vasant Kunj, Delhi, 110070, Delhi 
India")</f>
        <v>4054, Sector - B Pocket 5&amp;6, Vasant Kunj, Delhi, 110070, Delhi 
India</v>
      </c>
      <c r="E710" s="6" t="str">
        <f ca="1">IFERROR(__xludf.DUMMYFUNCTION("""COMPUTED_VALUE"""),"International - Asia")</f>
        <v>International - Asia</v>
      </c>
      <c r="F710" s="6" t="str">
        <f ca="1">IFERROR(__xludf.DUMMYFUNCTION("""COMPUTED_VALUE"""),"Woman")</f>
        <v>Woman</v>
      </c>
      <c r="G710" s="6"/>
      <c r="H710" s="6"/>
      <c r="I710" s="6"/>
      <c r="J710" s="6"/>
      <c r="K710" s="6"/>
      <c r="L710" s="6" t="str">
        <f ca="1">IFERROR(__xludf.DUMMYFUNCTION("""COMPUTED_VALUE"""),"No")</f>
        <v>No</v>
      </c>
      <c r="M710" s="6"/>
      <c r="N710" s="6"/>
      <c r="O710" s="6" t="str">
        <f ca="1">IFERROR(__xludf.DUMMYFUNCTION("""COMPUTED_VALUE"""),"NYU Newsletter")</f>
        <v>NYU Newsletter</v>
      </c>
      <c r="P710" s="6"/>
      <c r="Q710" s="6" t="str">
        <f ca="1">IFERROR(__xludf.DUMMYFUNCTION("""COMPUTED_VALUE"""),"No")</f>
        <v>No</v>
      </c>
      <c r="R710" s="6">
        <f ca="1">IFERROR(__xludf.DUMMYFUNCTION("""COMPUTED_VALUE"""),1)</f>
        <v>1</v>
      </c>
      <c r="S710" s="6" t="str">
        <f ca="1">IFERROR(__xludf.DUMMYFUNCTION("""COMPUTED_VALUE"""),"Pre-seed")</f>
        <v>Pre-seed</v>
      </c>
      <c r="T710" s="6" t="str">
        <f ca="1">IFERROR(__xludf.DUMMYFUNCTION("""COMPUTED_VALUE"""),"Pre-seed")</f>
        <v>Pre-seed</v>
      </c>
      <c r="U710" s="6" t="str">
        <f ca="1">IFERROR(__xludf.DUMMYFUNCTION("""COMPUTED_VALUE"""),"Pre-seed")</f>
        <v>Pre-seed</v>
      </c>
      <c r="V710" s="6"/>
      <c r="W710" s="6" t="str">
        <f ca="1">IFERROR(__xludf.DUMMYFUNCTION("""COMPUTED_VALUE"""),"Invite Next Year")</f>
        <v>Invite Next Year</v>
      </c>
    </row>
    <row r="711" spans="1:23">
      <c r="A711" s="6" t="str">
        <f ca="1">IFERROR(__xludf.DUMMYFUNCTION("""COMPUTED_VALUE"""),"Man, Man, Woman, Man")</f>
        <v>Man, Man, Woman, Man</v>
      </c>
      <c r="B711" s="6" t="str">
        <f ca="1">IFERROR(__xludf.DUMMYFUNCTION("""COMPUTED_VALUE"""),"GridMatrix _2022")</f>
        <v>GridMatrix _2022</v>
      </c>
      <c r="C711" s="6" t="str">
        <f ca="1">IFERROR(__xludf.DUMMYFUNCTION("""COMPUTED_VALUE"""),"Digital Tech")</f>
        <v>Digital Tech</v>
      </c>
      <c r="D711" s="6" t="str">
        <f ca="1">IFERROR(__xludf.DUMMYFUNCTION("""COMPUTED_VALUE"""),"Cupertino, CA 
United States")</f>
        <v>Cupertino, CA 
United States</v>
      </c>
      <c r="E711" s="6" t="str">
        <f ca="1">IFERROR(__xludf.DUMMYFUNCTION("""COMPUTED_VALUE"""),"West Coast")</f>
        <v>West Coast</v>
      </c>
      <c r="F711" s="6" t="str">
        <f ca="1">IFERROR(__xludf.DUMMYFUNCTION("""COMPUTED_VALUE"""),"Man")</f>
        <v>Man</v>
      </c>
      <c r="G711" s="6" t="str">
        <f ca="1">IFERROR(__xludf.DUMMYFUNCTION("""COMPUTED_VALUE"""),"Man")</f>
        <v>Man</v>
      </c>
      <c r="H711" s="6" t="str">
        <f ca="1">IFERROR(__xludf.DUMMYFUNCTION("""COMPUTED_VALUE"""),"Woman")</f>
        <v>Woman</v>
      </c>
      <c r="I711" s="6" t="str">
        <f ca="1">IFERROR(__xludf.DUMMYFUNCTION("""COMPUTED_VALUE"""),"Man")</f>
        <v>Man</v>
      </c>
      <c r="J711" s="6"/>
      <c r="K711" s="6"/>
      <c r="L711" s="6" t="str">
        <f ca="1">IFERROR(__xludf.DUMMYFUNCTION("""COMPUTED_VALUE"""),"No")</f>
        <v>No</v>
      </c>
      <c r="M711" s="6"/>
      <c r="N711" s="6"/>
      <c r="O711" s="6" t="str">
        <f ca="1">IFERROR(__xludf.DUMMYFUNCTION("""COMPUTED_VALUE"""),"Other")</f>
        <v>Other</v>
      </c>
      <c r="P711" s="6"/>
      <c r="Q711" s="6" t="str">
        <f ca="1">IFERROR(__xludf.DUMMYFUNCTION("""COMPUTED_VALUE"""),"Yes")</f>
        <v>Yes</v>
      </c>
      <c r="R711" s="6">
        <f ca="1">IFERROR(__xludf.DUMMYFUNCTION("""COMPUTED_VALUE"""),4)</f>
        <v>4</v>
      </c>
      <c r="S711" s="6" t="str">
        <f ca="1">IFERROR(__xludf.DUMMYFUNCTION("""COMPUTED_VALUE"""),"Seed")</f>
        <v>Seed</v>
      </c>
      <c r="T711" s="6" t="str">
        <f ca="1">IFERROR(__xludf.DUMMYFUNCTION("""COMPUTED_VALUE"""),"Seed")</f>
        <v>Seed</v>
      </c>
      <c r="U711" s="6" t="str">
        <f ca="1">IFERROR(__xludf.DUMMYFUNCTION("""COMPUTED_VALUE"""),"Seed")</f>
        <v>Seed</v>
      </c>
      <c r="V711" s="6"/>
      <c r="W711" s="6" t="str">
        <f ca="1">IFERROR(__xludf.DUMMYFUNCTION("""COMPUTED_VALUE"""),"Invite")</f>
        <v>Invite</v>
      </c>
    </row>
    <row r="712" spans="1:23">
      <c r="A712" s="6" t="str">
        <f ca="1">IFERROR(__xludf.DUMMYFUNCTION("""COMPUTED_VALUE"""),"Man, Man")</f>
        <v>Man, Man</v>
      </c>
      <c r="B712" s="6" t="str">
        <f ca="1">IFERROR(__xludf.DUMMYFUNCTION("""COMPUTED_VALUE"""),"Social-Impact Innovations Pvt. Ltd. _2022")</f>
        <v>Social-Impact Innovations Pvt. Ltd. _2022</v>
      </c>
      <c r="C712" s="6" t="str">
        <f ca="1">IFERROR(__xludf.DUMMYFUNCTION("""COMPUTED_VALUE"""),"Digital Tech")</f>
        <v>Digital Tech</v>
      </c>
      <c r="D712" s="6" t="str">
        <f ca="1">IFERROR(__xludf.DUMMYFUNCTION("""COMPUTED_VALUE"""),"Nagpur, Maharashtra 
India")</f>
        <v>Nagpur, Maharashtra 
India</v>
      </c>
      <c r="E712" s="6" t="str">
        <f ca="1">IFERROR(__xludf.DUMMYFUNCTION("""COMPUTED_VALUE"""),"International - Asia")</f>
        <v>International - Asia</v>
      </c>
      <c r="F712" s="6" t="str">
        <f ca="1">IFERROR(__xludf.DUMMYFUNCTION("""COMPUTED_VALUE"""),"Man")</f>
        <v>Man</v>
      </c>
      <c r="G712" s="6" t="str">
        <f ca="1">IFERROR(__xludf.DUMMYFUNCTION("""COMPUTED_VALUE"""),"Man")</f>
        <v>Man</v>
      </c>
      <c r="H712" s="6"/>
      <c r="I712" s="6"/>
      <c r="J712" s="6"/>
      <c r="K712" s="6"/>
      <c r="L712" s="6" t="str">
        <f ca="1">IFERROR(__xludf.DUMMYFUNCTION("""COMPUTED_VALUE"""),"No")</f>
        <v>No</v>
      </c>
      <c r="M712" s="6"/>
      <c r="N712" s="6"/>
      <c r="O712" s="6" t="str">
        <f ca="1">IFERROR(__xludf.DUMMYFUNCTION("""COMPUTED_VALUE"""),"LinkedIn")</f>
        <v>LinkedIn</v>
      </c>
      <c r="P712" s="6"/>
      <c r="Q712" s="6" t="str">
        <f ca="1">IFERROR(__xludf.DUMMYFUNCTION("""COMPUTED_VALUE"""),"No")</f>
        <v>No</v>
      </c>
      <c r="R712" s="6">
        <f ca="1">IFERROR(__xludf.DUMMYFUNCTION("""COMPUTED_VALUE"""),2)</f>
        <v>2</v>
      </c>
      <c r="S712" s="6" t="str">
        <f ca="1">IFERROR(__xludf.DUMMYFUNCTION("""COMPUTED_VALUE"""),"None")</f>
        <v>None</v>
      </c>
      <c r="T712" s="6" t="str">
        <f ca="1">IFERROR(__xludf.DUMMYFUNCTION("""COMPUTED_VALUE"""),"None")</f>
        <v>None</v>
      </c>
      <c r="U712" s="6" t="str">
        <f ca="1">IFERROR(__xludf.DUMMYFUNCTION("""COMPUTED_VALUE"""),"None")</f>
        <v>None</v>
      </c>
      <c r="V712" s="6"/>
      <c r="W712" s="6" t="str">
        <f ca="1">IFERROR(__xludf.DUMMYFUNCTION("""COMPUTED_VALUE"""),"Invite Next Year")</f>
        <v>Invite Next Year</v>
      </c>
    </row>
    <row r="713" spans="1:23">
      <c r="A713" s="6" t="str">
        <f ca="1">IFERROR(__xludf.DUMMYFUNCTION("""COMPUTED_VALUE"""),"Woman, Man, Man")</f>
        <v>Woman, Man, Man</v>
      </c>
      <c r="B713" s="6" t="str">
        <f ca="1">IFERROR(__xludf.DUMMYFUNCTION("""COMPUTED_VALUE"""),"Bairitone Health Inc _2022")</f>
        <v>Bairitone Health Inc _2022</v>
      </c>
      <c r="C713" s="6" t="str">
        <f ca="1">IFERROR(__xludf.DUMMYFUNCTION("""COMPUTED_VALUE"""),"Deep Tech")</f>
        <v>Deep Tech</v>
      </c>
      <c r="D713" s="6" t="str">
        <f ca="1">IFERROR(__xludf.DUMMYFUNCTION("""COMPUTED_VALUE"""),"2450 Holcombe Blvd Ste X, Houston, TX 77021, Texas 
United States")</f>
        <v>2450 Holcombe Blvd Ste X, Houston, TX 77021, Texas 
United States</v>
      </c>
      <c r="E713" s="6" t="str">
        <f ca="1">IFERROR(__xludf.DUMMYFUNCTION("""COMPUTED_VALUE"""),"South")</f>
        <v>South</v>
      </c>
      <c r="F713" s="6" t="str">
        <f ca="1">IFERROR(__xludf.DUMMYFUNCTION("""COMPUTED_VALUE"""),"Woman")</f>
        <v>Woman</v>
      </c>
      <c r="G713" s="6" t="str">
        <f ca="1">IFERROR(__xludf.DUMMYFUNCTION("""COMPUTED_VALUE"""),"Man")</f>
        <v>Man</v>
      </c>
      <c r="H713" s="6" t="str">
        <f ca="1">IFERROR(__xludf.DUMMYFUNCTION("""COMPUTED_VALUE"""),"Man")</f>
        <v>Man</v>
      </c>
      <c r="I713" s="6"/>
      <c r="J713" s="6"/>
      <c r="K713" s="6"/>
      <c r="L713" s="6" t="str">
        <f ca="1">IFERROR(__xludf.DUMMYFUNCTION("""COMPUTED_VALUE"""),"--Please select--")</f>
        <v>--Please select--</v>
      </c>
      <c r="M713" s="6"/>
      <c r="N713" s="6"/>
      <c r="O713" s="6" t="str">
        <f ca="1">IFERROR(__xludf.DUMMYFUNCTION("""COMPUTED_VALUE"""),"Referral")</f>
        <v>Referral</v>
      </c>
      <c r="P713" s="6"/>
      <c r="Q713" s="6" t="str">
        <f ca="1">IFERROR(__xludf.DUMMYFUNCTION("""COMPUTED_VALUE"""),"No")</f>
        <v>No</v>
      </c>
      <c r="R713" s="6">
        <f ca="1">IFERROR(__xludf.DUMMYFUNCTION("""COMPUTED_VALUE"""),3)</f>
        <v>3</v>
      </c>
      <c r="S713" s="6" t="str">
        <f ca="1">IFERROR(__xludf.DUMMYFUNCTION("""COMPUTED_VALUE"""),"Other: Incubator - prototyping funding")</f>
        <v>Other: Incubator - prototyping funding</v>
      </c>
      <c r="T713" s="6" t="str">
        <f ca="1">IFERROR(__xludf.DUMMYFUNCTION("""COMPUTED_VALUE"""),"Other: Incubator - prototyping funding")</f>
        <v>Other: Incubator - prototyping funding</v>
      </c>
      <c r="U713" s="6" t="str">
        <f ca="1">IFERROR(__xludf.DUMMYFUNCTION("""COMPUTED_VALUE"""),"Incubator - prototyping funding")</f>
        <v>Incubator - prototyping funding</v>
      </c>
      <c r="V713" s="6"/>
      <c r="W713" s="6" t="str">
        <f ca="1">IFERROR(__xludf.DUMMYFUNCTION("""COMPUTED_VALUE"""),"Invite Next Year")</f>
        <v>Invite Next Year</v>
      </c>
    </row>
    <row r="714" spans="1:23">
      <c r="A714" s="6" t="str">
        <f ca="1">IFERROR(__xludf.DUMMYFUNCTION("""COMPUTED_VALUE"""),"Woman, Man, Man, Man")</f>
        <v>Woman, Man, Man, Man</v>
      </c>
      <c r="B714" s="6" t="str">
        <f ca="1">IFERROR(__xludf.DUMMYFUNCTION("""COMPUTED_VALUE"""),"Nutrizle _2022")</f>
        <v>Nutrizle _2022</v>
      </c>
      <c r="C714" s="6" t="str">
        <f ca="1">IFERROR(__xludf.DUMMYFUNCTION("""COMPUTED_VALUE"""),"Life Sciences")</f>
        <v>Life Sciences</v>
      </c>
      <c r="D714" s="6" t="str">
        <f ca="1">IFERROR(__xludf.DUMMYFUNCTION("""COMPUTED_VALUE"""),"Rheingold Strasse 95, Mannheim, Baden Wurttemberg 
Germany")</f>
        <v>Rheingold Strasse 95, Mannheim, Baden Wurttemberg 
Germany</v>
      </c>
      <c r="E714" s="6" t="str">
        <f ca="1">IFERROR(__xludf.DUMMYFUNCTION("""COMPUTED_VALUE"""),"International - Europe")</f>
        <v>International - Europe</v>
      </c>
      <c r="F714" s="6" t="str">
        <f ca="1">IFERROR(__xludf.DUMMYFUNCTION("""COMPUTED_VALUE"""),"Woman")</f>
        <v>Woman</v>
      </c>
      <c r="G714" s="6" t="str">
        <f ca="1">IFERROR(__xludf.DUMMYFUNCTION("""COMPUTED_VALUE"""),"Man")</f>
        <v>Man</v>
      </c>
      <c r="H714" s="6" t="str">
        <f ca="1">IFERROR(__xludf.DUMMYFUNCTION("""COMPUTED_VALUE"""),"Man")</f>
        <v>Man</v>
      </c>
      <c r="I714" s="6" t="str">
        <f ca="1">IFERROR(__xludf.DUMMYFUNCTION("""COMPUTED_VALUE"""),"Man")</f>
        <v>Man</v>
      </c>
      <c r="J714" s="6"/>
      <c r="K714" s="6"/>
      <c r="L714" s="6" t="str">
        <f ca="1">IFERROR(__xludf.DUMMYFUNCTION("""COMPUTED_VALUE"""),"No")</f>
        <v>No</v>
      </c>
      <c r="M714" s="6"/>
      <c r="N714" s="6"/>
      <c r="O714" s="6" t="str">
        <f ca="1">IFERROR(__xludf.DUMMYFUNCTION("""COMPUTED_VALUE"""),"Referral")</f>
        <v>Referral</v>
      </c>
      <c r="P714" s="6"/>
      <c r="Q714" s="6" t="str">
        <f ca="1">IFERROR(__xludf.DUMMYFUNCTION("""COMPUTED_VALUE"""),"No")</f>
        <v>No</v>
      </c>
      <c r="R714" s="6">
        <f ca="1">IFERROR(__xludf.DUMMYFUNCTION("""COMPUTED_VALUE"""),4)</f>
        <v>4</v>
      </c>
      <c r="S714" s="6" t="str">
        <f ca="1">IFERROR(__xludf.DUMMYFUNCTION("""COMPUTED_VALUE"""),"None")</f>
        <v>None</v>
      </c>
      <c r="T714" s="6" t="str">
        <f ca="1">IFERROR(__xludf.DUMMYFUNCTION("""COMPUTED_VALUE"""),"None")</f>
        <v>None</v>
      </c>
      <c r="U714" s="6" t="str">
        <f ca="1">IFERROR(__xludf.DUMMYFUNCTION("""COMPUTED_VALUE"""),"None")</f>
        <v>None</v>
      </c>
      <c r="V714" s="6"/>
      <c r="W714" s="6" t="str">
        <f ca="1">IFERROR(__xludf.DUMMYFUNCTION("""COMPUTED_VALUE"""),"Invite Next Year")</f>
        <v>Invite Next Year</v>
      </c>
    </row>
    <row r="715" spans="1:23">
      <c r="A715" s="6" t="str">
        <f ca="1">IFERROR(__xludf.DUMMYFUNCTION("""COMPUTED_VALUE"""),"Man, Man")</f>
        <v>Man, Man</v>
      </c>
      <c r="B715" s="6" t="str">
        <f ca="1">IFERROR(__xludf.DUMMYFUNCTION("""COMPUTED_VALUE"""),"Stranded Solutions _2022")</f>
        <v>Stranded Solutions _2022</v>
      </c>
      <c r="C715" s="6" t="str">
        <f ca="1">IFERROR(__xludf.DUMMYFUNCTION("""COMPUTED_VALUE"""),"Deep Tech")</f>
        <v>Deep Tech</v>
      </c>
      <c r="D715" s="6" t="str">
        <f ca="1">IFERROR(__xludf.DUMMYFUNCTION("""COMPUTED_VALUE"""),"616 Petoskey St., #402, Petoskey, Michigan 
United States")</f>
        <v>616 Petoskey St., #402, Petoskey, Michigan 
United States</v>
      </c>
      <c r="E715" s="6" t="str">
        <f ca="1">IFERROR(__xludf.DUMMYFUNCTION("""COMPUTED_VALUE"""),"Midwest")</f>
        <v>Midwest</v>
      </c>
      <c r="F715" s="6" t="str">
        <f ca="1">IFERROR(__xludf.DUMMYFUNCTION("""COMPUTED_VALUE"""),"Man")</f>
        <v>Man</v>
      </c>
      <c r="G715" s="6" t="str">
        <f ca="1">IFERROR(__xludf.DUMMYFUNCTION("""COMPUTED_VALUE"""),"Man")</f>
        <v>Man</v>
      </c>
      <c r="H715" s="6"/>
      <c r="I715" s="6"/>
      <c r="J715" s="6"/>
      <c r="K715" s="6"/>
      <c r="L715" s="6" t="str">
        <f ca="1">IFERROR(__xludf.DUMMYFUNCTION("""COMPUTED_VALUE"""),"No")</f>
        <v>No</v>
      </c>
      <c r="M715" s="6"/>
      <c r="N715" s="6"/>
      <c r="O715" s="6" t="str">
        <f ca="1">IFERROR(__xludf.DUMMYFUNCTION("""COMPUTED_VALUE"""),"Referral")</f>
        <v>Referral</v>
      </c>
      <c r="P715" s="6"/>
      <c r="Q715" s="6" t="str">
        <f ca="1">IFERROR(__xludf.DUMMYFUNCTION("""COMPUTED_VALUE"""),"Yes")</f>
        <v>Yes</v>
      </c>
      <c r="R715" s="6">
        <f ca="1">IFERROR(__xludf.DUMMYFUNCTION("""COMPUTED_VALUE"""),2)</f>
        <v>2</v>
      </c>
      <c r="S715" s="6" t="str">
        <f ca="1">IFERROR(__xludf.DUMMYFUNCTION("""COMPUTED_VALUE"""),"Pre-seed")</f>
        <v>Pre-seed</v>
      </c>
      <c r="T715" s="6" t="str">
        <f ca="1">IFERROR(__xludf.DUMMYFUNCTION("""COMPUTED_VALUE"""),"Pre-seed")</f>
        <v>Pre-seed</v>
      </c>
      <c r="U715" s="6" t="str">
        <f ca="1">IFERROR(__xludf.DUMMYFUNCTION("""COMPUTED_VALUE"""),"Pre-seed")</f>
        <v>Pre-seed</v>
      </c>
      <c r="V715" s="6"/>
      <c r="W715" s="6" t="str">
        <f ca="1">IFERROR(__xludf.DUMMYFUNCTION("""COMPUTED_VALUE"""),"Invite Next Year")</f>
        <v>Invite Next Year</v>
      </c>
    </row>
    <row r="716" spans="1:23">
      <c r="A716" s="6" t="str">
        <f ca="1">IFERROR(__xludf.DUMMYFUNCTION("""COMPUTED_VALUE"""),"Man")</f>
        <v>Man</v>
      </c>
      <c r="B716" s="6" t="str">
        <f ca="1">IFERROR(__xludf.DUMMYFUNCTION("""COMPUTED_VALUE"""),"Arceum Inc. _2022")</f>
        <v>Arceum Inc. _2022</v>
      </c>
      <c r="C716" s="6" t="str">
        <f ca="1">IFERROR(__xludf.DUMMYFUNCTION("""COMPUTED_VALUE"""),"Digital Tech")</f>
        <v>Digital Tech</v>
      </c>
      <c r="D716" s="6" t="str">
        <f ca="1">IFERROR(__xludf.DUMMYFUNCTION("""COMPUTED_VALUE"""),"Salem, VA 
United States")</f>
        <v>Salem, VA 
United States</v>
      </c>
      <c r="E716" s="6" t="str">
        <f ca="1">IFERROR(__xludf.DUMMYFUNCTION("""COMPUTED_VALUE"""),"East Coast")</f>
        <v>East Coast</v>
      </c>
      <c r="F716" s="6" t="str">
        <f ca="1">IFERROR(__xludf.DUMMYFUNCTION("""COMPUTED_VALUE"""),"Man")</f>
        <v>Man</v>
      </c>
      <c r="G716" s="6"/>
      <c r="H716" s="6"/>
      <c r="I716" s="6"/>
      <c r="J716" s="6"/>
      <c r="K716" s="6"/>
      <c r="L716" s="6" t="str">
        <f ca="1">IFERROR(__xludf.DUMMYFUNCTION("""COMPUTED_VALUE"""),"No")</f>
        <v>No</v>
      </c>
      <c r="M716" s="6"/>
      <c r="N716" s="6"/>
      <c r="O716" s="6" t="str">
        <f ca="1">IFERROR(__xludf.DUMMYFUNCTION("""COMPUTED_VALUE"""),"Referral")</f>
        <v>Referral</v>
      </c>
      <c r="P716" s="6"/>
      <c r="Q716" s="6" t="str">
        <f ca="1">IFERROR(__xludf.DUMMYFUNCTION("""COMPUTED_VALUE"""),"No")</f>
        <v>No</v>
      </c>
      <c r="R716" s="6">
        <f ca="1">IFERROR(__xludf.DUMMYFUNCTION("""COMPUTED_VALUE"""),1)</f>
        <v>1</v>
      </c>
      <c r="S716" s="6" t="str">
        <f ca="1">IFERROR(__xludf.DUMMYFUNCTION("""COMPUTED_VALUE"""),"Pre-seed")</f>
        <v>Pre-seed</v>
      </c>
      <c r="T716" s="6" t="str">
        <f ca="1">IFERROR(__xludf.DUMMYFUNCTION("""COMPUTED_VALUE"""),"Pre-seed")</f>
        <v>Pre-seed</v>
      </c>
      <c r="U716" s="6" t="str">
        <f ca="1">IFERROR(__xludf.DUMMYFUNCTION("""COMPUTED_VALUE"""),"Pre-seed")</f>
        <v>Pre-seed</v>
      </c>
      <c r="V716" s="6"/>
      <c r="W716" s="6" t="str">
        <f ca="1">IFERROR(__xludf.DUMMYFUNCTION("""COMPUTED_VALUE"""),"Invite Next Year")</f>
        <v>Invite Next Year</v>
      </c>
    </row>
    <row r="717" spans="1:23">
      <c r="A717" s="6" t="str">
        <f ca="1">IFERROR(__xludf.DUMMYFUNCTION("""COMPUTED_VALUE"""),"Woman, Man, Man")</f>
        <v>Woman, Man, Man</v>
      </c>
      <c r="B717" s="6" t="str">
        <f ca="1">IFERROR(__xludf.DUMMYFUNCTION("""COMPUTED_VALUE"""),"ASD.ai LLC _2022")</f>
        <v>ASD.ai LLC _2022</v>
      </c>
      <c r="C717" s="6" t="str">
        <f ca="1">IFERROR(__xludf.DUMMYFUNCTION("""COMPUTED_VALUE"""),"Life Sciences")</f>
        <v>Life Sciences</v>
      </c>
      <c r="D717" s="6" t="str">
        <f ca="1">IFERROR(__xludf.DUMMYFUNCTION("""COMPUTED_VALUE"""),"Red Oak , TX 
United States")</f>
        <v>Red Oak , TX 
United States</v>
      </c>
      <c r="E717" s="6" t="str">
        <f ca="1">IFERROR(__xludf.DUMMYFUNCTION("""COMPUTED_VALUE"""),"South")</f>
        <v>South</v>
      </c>
      <c r="F717" s="6" t="str">
        <f ca="1">IFERROR(__xludf.DUMMYFUNCTION("""COMPUTED_VALUE"""),"Woman")</f>
        <v>Woman</v>
      </c>
      <c r="G717" s="6" t="str">
        <f ca="1">IFERROR(__xludf.DUMMYFUNCTION("""COMPUTED_VALUE"""),"Man")</f>
        <v>Man</v>
      </c>
      <c r="H717" s="6" t="str">
        <f ca="1">IFERROR(__xludf.DUMMYFUNCTION("""COMPUTED_VALUE"""),"Man")</f>
        <v>Man</v>
      </c>
      <c r="I717" s="6"/>
      <c r="J717" s="6"/>
      <c r="K717" s="6"/>
      <c r="L717" s="6" t="str">
        <f ca="1">IFERROR(__xludf.DUMMYFUNCTION("""COMPUTED_VALUE"""),"No")</f>
        <v>No</v>
      </c>
      <c r="M717" s="6"/>
      <c r="N717" s="6"/>
      <c r="O717" s="6" t="str">
        <f ca="1">IFERROR(__xludf.DUMMYFUNCTION("""COMPUTED_VALUE"""),"Email")</f>
        <v>Email</v>
      </c>
      <c r="P717" s="6"/>
      <c r="Q717" s="6" t="str">
        <f ca="1">IFERROR(__xludf.DUMMYFUNCTION("""COMPUTED_VALUE"""),"No")</f>
        <v>No</v>
      </c>
      <c r="R717" s="6">
        <f ca="1">IFERROR(__xludf.DUMMYFUNCTION("""COMPUTED_VALUE"""),3)</f>
        <v>3</v>
      </c>
      <c r="S717" s="6" t="str">
        <f ca="1">IFERROR(__xludf.DUMMYFUNCTION("""COMPUTED_VALUE"""),"Seed")</f>
        <v>Seed</v>
      </c>
      <c r="T717" s="6" t="str">
        <f ca="1">IFERROR(__xludf.DUMMYFUNCTION("""COMPUTED_VALUE"""),"Seed")</f>
        <v>Seed</v>
      </c>
      <c r="U717" s="6" t="str">
        <f ca="1">IFERROR(__xludf.DUMMYFUNCTION("""COMPUTED_VALUE"""),"Seed")</f>
        <v>Seed</v>
      </c>
      <c r="V717" s="6"/>
      <c r="W717" s="6" t="str">
        <f ca="1">IFERROR(__xludf.DUMMYFUNCTION("""COMPUTED_VALUE"""),"Invite Next Year")</f>
        <v>Invite Next Year</v>
      </c>
    </row>
    <row r="718" spans="1:23">
      <c r="A718" s="6" t="str">
        <f ca="1">IFERROR(__xludf.DUMMYFUNCTION("""COMPUTED_VALUE"""),"Man")</f>
        <v>Man</v>
      </c>
      <c r="B718" s="6" t="str">
        <f ca="1">IFERROR(__xludf.DUMMYFUNCTION("""COMPUTED_VALUE"""),"Abram Scientific, Inc. _2022")</f>
        <v>Abram Scientific, Inc. _2022</v>
      </c>
      <c r="C718" s="6" t="str">
        <f ca="1">IFERROR(__xludf.DUMMYFUNCTION("""COMPUTED_VALUE"""),"Life Sciences")</f>
        <v>Life Sciences</v>
      </c>
      <c r="D718" s="6" t="str">
        <f ca="1">IFERROR(__xludf.DUMMYFUNCTION("""COMPUTED_VALUE"""),"South San Francisco, California 
United States")</f>
        <v>South San Francisco, California 
United States</v>
      </c>
      <c r="E718" s="6" t="str">
        <f ca="1">IFERROR(__xludf.DUMMYFUNCTION("""COMPUTED_VALUE"""),"West Coast")</f>
        <v>West Coast</v>
      </c>
      <c r="F718" s="6" t="str">
        <f ca="1">IFERROR(__xludf.DUMMYFUNCTION("""COMPUTED_VALUE"""),"Man")</f>
        <v>Man</v>
      </c>
      <c r="G718" s="6"/>
      <c r="H718" s="6"/>
      <c r="I718" s="6"/>
      <c r="J718" s="6"/>
      <c r="K718" s="6"/>
      <c r="L718" s="6" t="str">
        <f ca="1">IFERROR(__xludf.DUMMYFUNCTION("""COMPUTED_VALUE"""),"No")</f>
        <v>No</v>
      </c>
      <c r="M718" s="6"/>
      <c r="N718" s="6"/>
      <c r="O718" s="6" t="str">
        <f ca="1">IFERROR(__xludf.DUMMYFUNCTION("""COMPUTED_VALUE"""),"Referral")</f>
        <v>Referral</v>
      </c>
      <c r="P718" s="6"/>
      <c r="Q718" s="6" t="str">
        <f ca="1">IFERROR(__xludf.DUMMYFUNCTION("""COMPUTED_VALUE"""),"No")</f>
        <v>No</v>
      </c>
      <c r="R718" s="6">
        <f ca="1">IFERROR(__xludf.DUMMYFUNCTION("""COMPUTED_VALUE"""),1)</f>
        <v>1</v>
      </c>
      <c r="S718" s="6" t="str">
        <f ca="1">IFERROR(__xludf.DUMMYFUNCTION("""COMPUTED_VALUE"""),"Pre-seed
Grants")</f>
        <v>Pre-seed
Grants</v>
      </c>
      <c r="T718" s="6" t="str">
        <f ca="1">IFERROR(__xludf.DUMMYFUNCTION("""COMPUTED_VALUE"""),"Pre-seed, Grants")</f>
        <v>Pre-seed, Grants</v>
      </c>
      <c r="U718" s="6" t="str">
        <f ca="1">IFERROR(__xludf.DUMMYFUNCTION("""COMPUTED_VALUE"""),"Pre-seed, Grants")</f>
        <v>Pre-seed, Grants</v>
      </c>
      <c r="V718" s="6"/>
      <c r="W718" s="6" t="str">
        <f ca="1">IFERROR(__xludf.DUMMYFUNCTION("""COMPUTED_VALUE"""),"Invite")</f>
        <v>Invite</v>
      </c>
    </row>
    <row r="719" spans="1:23">
      <c r="A719" s="6" t="str">
        <f ca="1">IFERROR(__xludf.DUMMYFUNCTION("""COMPUTED_VALUE"""),"Woman, Woman")</f>
        <v>Woman, Woman</v>
      </c>
      <c r="B719" s="6" t="str">
        <f ca="1">IFERROR(__xludf.DUMMYFUNCTION("""COMPUTED_VALUE"""),"giveback _2022")</f>
        <v>giveback _2022</v>
      </c>
      <c r="C719" s="6" t="str">
        <f ca="1">IFERROR(__xludf.DUMMYFUNCTION("""COMPUTED_VALUE"""),"Digital Tech")</f>
        <v>Digital Tech</v>
      </c>
      <c r="D719" s="6" t="str">
        <f ca="1">IFERROR(__xludf.DUMMYFUNCTION("""COMPUTED_VALUE"""),"Los Angeles, CA 
United States")</f>
        <v>Los Angeles, CA 
United States</v>
      </c>
      <c r="E719" s="6" t="str">
        <f ca="1">IFERROR(__xludf.DUMMYFUNCTION("""COMPUTED_VALUE"""),"West Coast")</f>
        <v>West Coast</v>
      </c>
      <c r="F719" s="6" t="str">
        <f ca="1">IFERROR(__xludf.DUMMYFUNCTION("""COMPUTED_VALUE"""),"Woman")</f>
        <v>Woman</v>
      </c>
      <c r="G719" s="6" t="str">
        <f ca="1">IFERROR(__xludf.DUMMYFUNCTION("""COMPUTED_VALUE"""),"Woman")</f>
        <v>Woman</v>
      </c>
      <c r="H719" s="6"/>
      <c r="I719" s="6"/>
      <c r="J719" s="6"/>
      <c r="K719" s="6"/>
      <c r="L719" s="6" t="str">
        <f ca="1">IFERROR(__xludf.DUMMYFUNCTION("""COMPUTED_VALUE"""),"No")</f>
        <v>No</v>
      </c>
      <c r="M719" s="6"/>
      <c r="N719" s="6"/>
      <c r="O719" s="6" t="str">
        <f ca="1">IFERROR(__xludf.DUMMYFUNCTION("""COMPUTED_VALUE"""),"Referral")</f>
        <v>Referral</v>
      </c>
      <c r="P719" s="6"/>
      <c r="Q719" s="6" t="str">
        <f ca="1">IFERROR(__xludf.DUMMYFUNCTION("""COMPUTED_VALUE"""),"No")</f>
        <v>No</v>
      </c>
      <c r="R719" s="6">
        <f ca="1">IFERROR(__xludf.DUMMYFUNCTION("""COMPUTED_VALUE"""),2)</f>
        <v>2</v>
      </c>
      <c r="S719" s="6" t="str">
        <f ca="1">IFERROR(__xludf.DUMMYFUNCTION("""COMPUTED_VALUE"""),"Pre-seed")</f>
        <v>Pre-seed</v>
      </c>
      <c r="T719" s="6" t="str">
        <f ca="1">IFERROR(__xludf.DUMMYFUNCTION("""COMPUTED_VALUE"""),"Pre-seed")</f>
        <v>Pre-seed</v>
      </c>
      <c r="U719" s="6" t="str">
        <f ca="1">IFERROR(__xludf.DUMMYFUNCTION("""COMPUTED_VALUE"""),"Pre-seed")</f>
        <v>Pre-seed</v>
      </c>
      <c r="V719" s="6"/>
      <c r="W719" s="6" t="str">
        <f ca="1">IFERROR(__xludf.DUMMYFUNCTION("""COMPUTED_VALUE"""),"Invite Next Year")</f>
        <v>Invite Next Year</v>
      </c>
    </row>
    <row r="720" spans="1:23">
      <c r="A720" s="6" t="str">
        <f ca="1">IFERROR(__xludf.DUMMYFUNCTION("""COMPUTED_VALUE"""),"Woman, Man, Man")</f>
        <v>Woman, Man, Man</v>
      </c>
      <c r="B720" s="6" t="str">
        <f ca="1">IFERROR(__xludf.DUMMYFUNCTION("""COMPUTED_VALUE"""),"Alva Health, Inc. _2022")</f>
        <v>Alva Health, Inc. _2022</v>
      </c>
      <c r="C720" s="6" t="str">
        <f ca="1">IFERROR(__xludf.DUMMYFUNCTION("""COMPUTED_VALUE"""),"Deep Tech")</f>
        <v>Deep Tech</v>
      </c>
      <c r="D720" s="6" t="str">
        <f ca="1">IFERROR(__xludf.DUMMYFUNCTION("""COMPUTED_VALUE"""),"Dallas, TX 
United States")</f>
        <v>Dallas, TX 
United States</v>
      </c>
      <c r="E720" s="6" t="str">
        <f ca="1">IFERROR(__xludf.DUMMYFUNCTION("""COMPUTED_VALUE"""),"South")</f>
        <v>South</v>
      </c>
      <c r="F720" s="6" t="str">
        <f ca="1">IFERROR(__xludf.DUMMYFUNCTION("""COMPUTED_VALUE"""),"Woman")</f>
        <v>Woman</v>
      </c>
      <c r="G720" s="6" t="str">
        <f ca="1">IFERROR(__xludf.DUMMYFUNCTION("""COMPUTED_VALUE"""),"Man")</f>
        <v>Man</v>
      </c>
      <c r="H720" s="6" t="str">
        <f ca="1">IFERROR(__xludf.DUMMYFUNCTION("""COMPUTED_VALUE"""),"Man")</f>
        <v>Man</v>
      </c>
      <c r="I720" s="6"/>
      <c r="J720" s="6"/>
      <c r="K720" s="6"/>
      <c r="L720" s="6" t="str">
        <f ca="1">IFERROR(__xludf.DUMMYFUNCTION("""COMPUTED_VALUE"""),"No")</f>
        <v>No</v>
      </c>
      <c r="M720" s="6"/>
      <c r="N720" s="6"/>
      <c r="O720" s="6" t="str">
        <f ca="1">IFERROR(__xludf.DUMMYFUNCTION("""COMPUTED_VALUE"""),"Email")</f>
        <v>Email</v>
      </c>
      <c r="P720" s="6"/>
      <c r="Q720" s="6" t="str">
        <f ca="1">IFERROR(__xludf.DUMMYFUNCTION("""COMPUTED_VALUE"""),"No")</f>
        <v>No</v>
      </c>
      <c r="R720" s="6">
        <f ca="1">IFERROR(__xludf.DUMMYFUNCTION("""COMPUTED_VALUE"""),3)</f>
        <v>3</v>
      </c>
      <c r="S720" s="6" t="str">
        <f ca="1">IFERROR(__xludf.DUMMYFUNCTION("""COMPUTED_VALUE"""),"Pre-seed
Grants")</f>
        <v>Pre-seed
Grants</v>
      </c>
      <c r="T720" s="6" t="str">
        <f ca="1">IFERROR(__xludf.DUMMYFUNCTION("""COMPUTED_VALUE"""),"Pre-seed, Grants")</f>
        <v>Pre-seed, Grants</v>
      </c>
      <c r="U720" s="6" t="str">
        <f ca="1">IFERROR(__xludf.DUMMYFUNCTION("""COMPUTED_VALUE"""),"Pre-seed, Grants")</f>
        <v>Pre-seed, Grants</v>
      </c>
      <c r="V720" s="6"/>
      <c r="W720" s="6" t="str">
        <f ca="1">IFERROR(__xludf.DUMMYFUNCTION("""COMPUTED_VALUE"""),"Revisit/ Cluster")</f>
        <v>Revisit/ Cluster</v>
      </c>
    </row>
    <row r="721" spans="1:23">
      <c r="A721" s="6" t="str">
        <f ca="1">IFERROR(__xludf.DUMMYFUNCTION("""COMPUTED_VALUE"""),"Man")</f>
        <v>Man</v>
      </c>
      <c r="B721" s="6" t="str">
        <f ca="1">IFERROR(__xludf.DUMMYFUNCTION("""COMPUTED_VALUE"""),"Cell Harbor _2022")</f>
        <v>Cell Harbor _2022</v>
      </c>
      <c r="C721" s="6" t="str">
        <f ca="1">IFERROR(__xludf.DUMMYFUNCTION("""COMPUTED_VALUE"""),"Life Sciences")</f>
        <v>Life Sciences</v>
      </c>
      <c r="D721" s="6" t="str">
        <f ca="1">IFERROR(__xludf.DUMMYFUNCTION("""COMPUTED_VALUE"""),"San Francisco, CA 
United States")</f>
        <v>San Francisco, CA 
United States</v>
      </c>
      <c r="E721" s="6" t="str">
        <f ca="1">IFERROR(__xludf.DUMMYFUNCTION("""COMPUTED_VALUE"""),"West Coast")</f>
        <v>West Coast</v>
      </c>
      <c r="F721" s="6" t="str">
        <f ca="1">IFERROR(__xludf.DUMMYFUNCTION("""COMPUTED_VALUE"""),"Man")</f>
        <v>Man</v>
      </c>
      <c r="G721" s="6"/>
      <c r="H721" s="6"/>
      <c r="I721" s="6"/>
      <c r="J721" s="6"/>
      <c r="K721" s="6"/>
      <c r="L721" s="6" t="str">
        <f ca="1">IFERROR(__xludf.DUMMYFUNCTION("""COMPUTED_VALUE"""),"--Please select--")</f>
        <v>--Please select--</v>
      </c>
      <c r="M721" s="6"/>
      <c r="N721" s="6"/>
      <c r="O721" s="6" t="str">
        <f ca="1">IFERROR(__xludf.DUMMYFUNCTION("""COMPUTED_VALUE"""),"Email")</f>
        <v>Email</v>
      </c>
      <c r="P721" s="6"/>
      <c r="Q721" s="6" t="str">
        <f ca="1">IFERROR(__xludf.DUMMYFUNCTION("""COMPUTED_VALUE"""),"No")</f>
        <v>No</v>
      </c>
      <c r="R721" s="6">
        <f ca="1">IFERROR(__xludf.DUMMYFUNCTION("""COMPUTED_VALUE"""),1)</f>
        <v>1</v>
      </c>
      <c r="S721" s="6" t="str">
        <f ca="1">IFERROR(__xludf.DUMMYFUNCTION("""COMPUTED_VALUE"""),"Pre-seed")</f>
        <v>Pre-seed</v>
      </c>
      <c r="T721" s="6" t="str">
        <f ca="1">IFERROR(__xludf.DUMMYFUNCTION("""COMPUTED_VALUE"""),"Pre-seed")</f>
        <v>Pre-seed</v>
      </c>
      <c r="U721" s="6" t="str">
        <f ca="1">IFERROR(__xludf.DUMMYFUNCTION("""COMPUTED_VALUE"""),"Pre-seed")</f>
        <v>Pre-seed</v>
      </c>
      <c r="V721" s="6"/>
      <c r="W721" s="6" t="str">
        <f ca="1">IFERROR(__xludf.DUMMYFUNCTION("""COMPUTED_VALUE"""),"Revisit/ Cluster")</f>
        <v>Revisit/ Cluster</v>
      </c>
    </row>
    <row r="722" spans="1:23">
      <c r="A722" s="6" t="str">
        <f ca="1">IFERROR(__xludf.DUMMYFUNCTION("""COMPUTED_VALUE"""),"Man, Woman, Man, Man, Man")</f>
        <v>Man, Woman, Man, Man, Man</v>
      </c>
      <c r="B722" s="6" t="str">
        <f ca="1">IFERROR(__xludf.DUMMYFUNCTION("""COMPUTED_VALUE"""),"Droice Labs _2022")</f>
        <v>Droice Labs _2022</v>
      </c>
      <c r="C722" s="6" t="str">
        <f ca="1">IFERROR(__xludf.DUMMYFUNCTION("""COMPUTED_VALUE"""),"Digital Tech")</f>
        <v>Digital Tech</v>
      </c>
      <c r="D722" s="6" t="str">
        <f ca="1">IFERROR(__xludf.DUMMYFUNCTION("""COMPUTED_VALUE"""),"424 West 33rd Street, 7th Floor, #7892, New York City, NY 
United States")</f>
        <v>424 West 33rd Street, 7th Floor, #7892, New York City, NY 
United States</v>
      </c>
      <c r="E722" s="6" t="str">
        <f ca="1">IFERROR(__xludf.DUMMYFUNCTION("""COMPUTED_VALUE"""),"New York")</f>
        <v>New York</v>
      </c>
      <c r="F722" s="6" t="str">
        <f ca="1">IFERROR(__xludf.DUMMYFUNCTION("""COMPUTED_VALUE"""),"Man")</f>
        <v>Man</v>
      </c>
      <c r="G722" s="6" t="str">
        <f ca="1">IFERROR(__xludf.DUMMYFUNCTION("""COMPUTED_VALUE"""),"Woman")</f>
        <v>Woman</v>
      </c>
      <c r="H722" s="6" t="str">
        <f ca="1">IFERROR(__xludf.DUMMYFUNCTION("""COMPUTED_VALUE"""),"Man")</f>
        <v>Man</v>
      </c>
      <c r="I722" s="6" t="str">
        <f ca="1">IFERROR(__xludf.DUMMYFUNCTION("""COMPUTED_VALUE"""),"Man")</f>
        <v>Man</v>
      </c>
      <c r="J722" s="6" t="str">
        <f ca="1">IFERROR(__xludf.DUMMYFUNCTION("""COMPUTED_VALUE"""),"Man")</f>
        <v>Man</v>
      </c>
      <c r="K722" s="6"/>
      <c r="L722" s="6" t="str">
        <f ca="1">IFERROR(__xludf.DUMMYFUNCTION("""COMPUTED_VALUE"""),"Yes")</f>
        <v>Yes</v>
      </c>
      <c r="M722" s="6" t="str">
        <f ca="1">IFERROR(__xludf.DUMMYFUNCTION("""COMPUTED_VALUE"""),"--Please select--")</f>
        <v>--Please select--</v>
      </c>
      <c r="N722" s="6"/>
      <c r="O722" s="6" t="str">
        <f ca="1">IFERROR(__xludf.DUMMYFUNCTION("""COMPUTED_VALUE"""),"Email")</f>
        <v>Email</v>
      </c>
      <c r="P722" s="6"/>
      <c r="Q722" s="6" t="str">
        <f ca="1">IFERROR(__xludf.DUMMYFUNCTION("""COMPUTED_VALUE"""),"No")</f>
        <v>No</v>
      </c>
      <c r="R722" s="6">
        <f ca="1">IFERROR(__xludf.DUMMYFUNCTION("""COMPUTED_VALUE"""),5)</f>
        <v>5</v>
      </c>
      <c r="S722" s="6" t="str">
        <f ca="1">IFERROR(__xludf.DUMMYFUNCTION("""COMPUTED_VALUE"""),"Seed")</f>
        <v>Seed</v>
      </c>
      <c r="T722" s="6" t="str">
        <f ca="1">IFERROR(__xludf.DUMMYFUNCTION("""COMPUTED_VALUE"""),"Seed")</f>
        <v>Seed</v>
      </c>
      <c r="U722" s="6" t="str">
        <f ca="1">IFERROR(__xludf.DUMMYFUNCTION("""COMPUTED_VALUE"""),"Seed")</f>
        <v>Seed</v>
      </c>
      <c r="V722" s="6"/>
      <c r="W722" s="6" t="str">
        <f ca="1">IFERROR(__xludf.DUMMYFUNCTION("""COMPUTED_VALUE"""),"Invite")</f>
        <v>Invite</v>
      </c>
    </row>
    <row r="723" spans="1:23">
      <c r="A723" s="6" t="str">
        <f ca="1">IFERROR(__xludf.DUMMYFUNCTION("""COMPUTED_VALUE"""),"Man, Man")</f>
        <v>Man, Man</v>
      </c>
      <c r="B723" s="6" t="str">
        <f ca="1">IFERROR(__xludf.DUMMYFUNCTION("""COMPUTED_VALUE"""),"Odqa Renewable Energy Technologies Limited _2022")</f>
        <v>Odqa Renewable Energy Technologies Limited _2022</v>
      </c>
      <c r="C723" s="6" t="str">
        <f ca="1">IFERROR(__xludf.DUMMYFUNCTION("""COMPUTED_VALUE"""),"Deep Tech")</f>
        <v>Deep Tech</v>
      </c>
      <c r="D723" s="6" t="str">
        <f ca="1">IFERROR(__xludf.DUMMYFUNCTION("""COMPUTED_VALUE"""),"London, - 
United Kingdom")</f>
        <v>London, - 
United Kingdom</v>
      </c>
      <c r="E723" s="6" t="str">
        <f ca="1">IFERROR(__xludf.DUMMYFUNCTION("""COMPUTED_VALUE"""),"International - Europe")</f>
        <v>International - Europe</v>
      </c>
      <c r="F723" s="6" t="str">
        <f ca="1">IFERROR(__xludf.DUMMYFUNCTION("""COMPUTED_VALUE"""),"Man")</f>
        <v>Man</v>
      </c>
      <c r="G723" s="6" t="str">
        <f ca="1">IFERROR(__xludf.DUMMYFUNCTION("""COMPUTED_VALUE"""),"Man")</f>
        <v>Man</v>
      </c>
      <c r="H723" s="6"/>
      <c r="I723" s="6"/>
      <c r="J723" s="6"/>
      <c r="K723" s="6"/>
      <c r="L723" s="6" t="str">
        <f ca="1">IFERROR(__xludf.DUMMYFUNCTION("""COMPUTED_VALUE"""),"No")</f>
        <v>No</v>
      </c>
      <c r="M723" s="6"/>
      <c r="N723" s="6"/>
      <c r="O723" s="6" t="str">
        <f ca="1">IFERROR(__xludf.DUMMYFUNCTION("""COMPUTED_VALUE"""),"Other")</f>
        <v>Other</v>
      </c>
      <c r="P723" s="6"/>
      <c r="Q723" s="6" t="str">
        <f ca="1">IFERROR(__xludf.DUMMYFUNCTION("""COMPUTED_VALUE"""),"No")</f>
        <v>No</v>
      </c>
      <c r="R723" s="6">
        <f ca="1">IFERROR(__xludf.DUMMYFUNCTION("""COMPUTED_VALUE"""),2)</f>
        <v>2</v>
      </c>
      <c r="S723" s="6" t="str">
        <f ca="1">IFERROR(__xludf.DUMMYFUNCTION("""COMPUTED_VALUE"""),"Seed")</f>
        <v>Seed</v>
      </c>
      <c r="T723" s="6" t="str">
        <f ca="1">IFERROR(__xludf.DUMMYFUNCTION("""COMPUTED_VALUE"""),"Seed")</f>
        <v>Seed</v>
      </c>
      <c r="U723" s="6" t="str">
        <f ca="1">IFERROR(__xludf.DUMMYFUNCTION("""COMPUTED_VALUE"""),"Seed")</f>
        <v>Seed</v>
      </c>
      <c r="V723" s="6"/>
      <c r="W723" s="6" t="str">
        <f ca="1">IFERROR(__xludf.DUMMYFUNCTION("""COMPUTED_VALUE"""),"Invite")</f>
        <v>Invite</v>
      </c>
    </row>
    <row r="724" spans="1:23">
      <c r="A724" s="6" t="str">
        <f ca="1">IFERROR(__xludf.DUMMYFUNCTION("""COMPUTED_VALUE"""),"Man, Man")</f>
        <v>Man, Man</v>
      </c>
      <c r="B724" s="6" t="str">
        <f ca="1">IFERROR(__xludf.DUMMYFUNCTION("""COMPUTED_VALUE"""),"BetterData _2022")</f>
        <v>BetterData _2022</v>
      </c>
      <c r="C724" s="6" t="str">
        <f ca="1">IFERROR(__xludf.DUMMYFUNCTION("""COMPUTED_VALUE"""),"Digital Tech")</f>
        <v>Digital Tech</v>
      </c>
      <c r="D724" s="6" t="str">
        <f ca="1">IFERROR(__xludf.DUMMYFUNCTION("""COMPUTED_VALUE"""),"Singapore, Singapore 
Singapore")</f>
        <v>Singapore, Singapore 
Singapore</v>
      </c>
      <c r="E724" s="6" t="str">
        <f ca="1">IFERROR(__xludf.DUMMYFUNCTION("""COMPUTED_VALUE"""),"International - Asia")</f>
        <v>International - Asia</v>
      </c>
      <c r="F724" s="6" t="str">
        <f ca="1">IFERROR(__xludf.DUMMYFUNCTION("""COMPUTED_VALUE"""),"Man")</f>
        <v>Man</v>
      </c>
      <c r="G724" s="6" t="str">
        <f ca="1">IFERROR(__xludf.DUMMYFUNCTION("""COMPUTED_VALUE"""),"Man")</f>
        <v>Man</v>
      </c>
      <c r="H724" s="6"/>
      <c r="I724" s="6"/>
      <c r="J724" s="6"/>
      <c r="K724" s="6"/>
      <c r="L724" s="6" t="str">
        <f ca="1">IFERROR(__xludf.DUMMYFUNCTION("""COMPUTED_VALUE"""),"No")</f>
        <v>No</v>
      </c>
      <c r="M724" s="6"/>
      <c r="N724" s="6"/>
      <c r="O724" s="6" t="str">
        <f ca="1">IFERROR(__xludf.DUMMYFUNCTION("""COMPUTED_VALUE"""),"Email")</f>
        <v>Email</v>
      </c>
      <c r="P724" s="6"/>
      <c r="Q724" s="6" t="str">
        <f ca="1">IFERROR(__xludf.DUMMYFUNCTION("""COMPUTED_VALUE"""),"No")</f>
        <v>No</v>
      </c>
      <c r="R724" s="6">
        <f ca="1">IFERROR(__xludf.DUMMYFUNCTION("""COMPUTED_VALUE"""),2)</f>
        <v>2</v>
      </c>
      <c r="S724" s="6" t="str">
        <f ca="1">IFERROR(__xludf.DUMMYFUNCTION("""COMPUTED_VALUE"""),"Pre-seed
Grants")</f>
        <v>Pre-seed
Grants</v>
      </c>
      <c r="T724" s="6" t="str">
        <f ca="1">IFERROR(__xludf.DUMMYFUNCTION("""COMPUTED_VALUE"""),"Pre-seed, Grants")</f>
        <v>Pre-seed, Grants</v>
      </c>
      <c r="U724" s="6" t="str">
        <f ca="1">IFERROR(__xludf.DUMMYFUNCTION("""COMPUTED_VALUE"""),"Pre-seed, Grants")</f>
        <v>Pre-seed, Grants</v>
      </c>
      <c r="V724" s="6"/>
      <c r="W724" s="6" t="str">
        <f ca="1">IFERROR(__xludf.DUMMYFUNCTION("""COMPUTED_VALUE"""),"Invite")</f>
        <v>Invite</v>
      </c>
    </row>
    <row r="725" spans="1:23">
      <c r="A725" s="6" t="str">
        <f ca="1">IFERROR(__xludf.DUMMYFUNCTION("""COMPUTED_VALUE"""),"Man, Man")</f>
        <v>Man, Man</v>
      </c>
      <c r="B725" s="6" t="str">
        <f ca="1">IFERROR(__xludf.DUMMYFUNCTION("""COMPUTED_VALUE"""),"MedGene Therapeutics _2022")</f>
        <v>MedGene Therapeutics _2022</v>
      </c>
      <c r="C725" s="6" t="str">
        <f ca="1">IFERROR(__xludf.DUMMYFUNCTION("""COMPUTED_VALUE"""),"Life Sciences")</f>
        <v>Life Sciences</v>
      </c>
      <c r="D725" s="6" t="str">
        <f ca="1">IFERROR(__xludf.DUMMYFUNCTION("""COMPUTED_VALUE"""),"Gaithersburg, MD 
United States")</f>
        <v>Gaithersburg, MD 
United States</v>
      </c>
      <c r="E725" s="6" t="str">
        <f ca="1">IFERROR(__xludf.DUMMYFUNCTION("""COMPUTED_VALUE"""),"East Coast")</f>
        <v>East Coast</v>
      </c>
      <c r="F725" s="6" t="str">
        <f ca="1">IFERROR(__xludf.DUMMYFUNCTION("""COMPUTED_VALUE"""),"Man")</f>
        <v>Man</v>
      </c>
      <c r="G725" s="6" t="str">
        <f ca="1">IFERROR(__xludf.DUMMYFUNCTION("""COMPUTED_VALUE"""),"Man")</f>
        <v>Man</v>
      </c>
      <c r="H725" s="6"/>
      <c r="I725" s="6"/>
      <c r="J725" s="6"/>
      <c r="K725" s="6"/>
      <c r="L725" s="6" t="str">
        <f ca="1">IFERROR(__xludf.DUMMYFUNCTION("""COMPUTED_VALUE"""),"No")</f>
        <v>No</v>
      </c>
      <c r="M725" s="6"/>
      <c r="N725" s="6"/>
      <c r="O725" s="6" t="str">
        <f ca="1">IFERROR(__xludf.DUMMYFUNCTION("""COMPUTED_VALUE"""),"Email")</f>
        <v>Email</v>
      </c>
      <c r="P725" s="6"/>
      <c r="Q725" s="6" t="str">
        <f ca="1">IFERROR(__xludf.DUMMYFUNCTION("""COMPUTED_VALUE"""),"No")</f>
        <v>No</v>
      </c>
      <c r="R725" s="6">
        <f ca="1">IFERROR(__xludf.DUMMYFUNCTION("""COMPUTED_VALUE"""),2)</f>
        <v>2</v>
      </c>
      <c r="S725" s="6" t="str">
        <f ca="1">IFERROR(__xludf.DUMMYFUNCTION("""COMPUTED_VALUE"""),"Seed")</f>
        <v>Seed</v>
      </c>
      <c r="T725" s="6" t="str">
        <f ca="1">IFERROR(__xludf.DUMMYFUNCTION("""COMPUTED_VALUE"""),"Seed")</f>
        <v>Seed</v>
      </c>
      <c r="U725" s="6" t="str">
        <f ca="1">IFERROR(__xludf.DUMMYFUNCTION("""COMPUTED_VALUE"""),"Seed")</f>
        <v>Seed</v>
      </c>
      <c r="V725" s="6"/>
      <c r="W725" s="6" t="str">
        <f ca="1">IFERROR(__xludf.DUMMYFUNCTION("""COMPUTED_VALUE"""),"Invite Next Year")</f>
        <v>Invite Next Year</v>
      </c>
    </row>
    <row r="726" spans="1:23">
      <c r="A726" s="6" t="str">
        <f ca="1">IFERROR(__xludf.DUMMYFUNCTION("""COMPUTED_VALUE"""),"Man, Woman, Man")</f>
        <v>Man, Woman, Man</v>
      </c>
      <c r="B726" s="6" t="str">
        <f ca="1">IFERROR(__xludf.DUMMYFUNCTION("""COMPUTED_VALUE"""),"Dresma Inc. _2022")</f>
        <v>Dresma Inc. _2022</v>
      </c>
      <c r="C726" s="6" t="str">
        <f ca="1">IFERROR(__xludf.DUMMYFUNCTION("""COMPUTED_VALUE"""),"Digital Tech")</f>
        <v>Digital Tech</v>
      </c>
      <c r="D726" s="6" t="str">
        <f ca="1">IFERROR(__xludf.DUMMYFUNCTION("""COMPUTED_VALUE"""),"Cupertino, CA 
United States")</f>
        <v>Cupertino, CA 
United States</v>
      </c>
      <c r="E726" s="6" t="str">
        <f ca="1">IFERROR(__xludf.DUMMYFUNCTION("""COMPUTED_VALUE"""),"West Coast")</f>
        <v>West Coast</v>
      </c>
      <c r="F726" s="6" t="str">
        <f ca="1">IFERROR(__xludf.DUMMYFUNCTION("""COMPUTED_VALUE"""),"Man")</f>
        <v>Man</v>
      </c>
      <c r="G726" s="6" t="str">
        <f ca="1">IFERROR(__xludf.DUMMYFUNCTION("""COMPUTED_VALUE"""),"Woman")</f>
        <v>Woman</v>
      </c>
      <c r="H726" s="6" t="str">
        <f ca="1">IFERROR(__xludf.DUMMYFUNCTION("""COMPUTED_VALUE"""),"Man")</f>
        <v>Man</v>
      </c>
      <c r="I726" s="6"/>
      <c r="J726" s="6"/>
      <c r="K726" s="6"/>
      <c r="L726" s="6" t="str">
        <f ca="1">IFERROR(__xludf.DUMMYFUNCTION("""COMPUTED_VALUE"""),"No")</f>
        <v>No</v>
      </c>
      <c r="M726" s="6"/>
      <c r="N726" s="6"/>
      <c r="O726" s="6" t="str">
        <f ca="1">IFERROR(__xludf.DUMMYFUNCTION("""COMPUTED_VALUE"""),"Email")</f>
        <v>Email</v>
      </c>
      <c r="P726" s="6"/>
      <c r="Q726" s="6" t="str">
        <f ca="1">IFERROR(__xludf.DUMMYFUNCTION("""COMPUTED_VALUE"""),"No")</f>
        <v>No</v>
      </c>
      <c r="R726" s="6">
        <f ca="1">IFERROR(__xludf.DUMMYFUNCTION("""COMPUTED_VALUE"""),3)</f>
        <v>3</v>
      </c>
      <c r="S726" s="6" t="str">
        <f ca="1">IFERROR(__xludf.DUMMYFUNCTION("""COMPUTED_VALUE"""),"Seed")</f>
        <v>Seed</v>
      </c>
      <c r="T726" s="6" t="str">
        <f ca="1">IFERROR(__xludf.DUMMYFUNCTION("""COMPUTED_VALUE"""),"Seed")</f>
        <v>Seed</v>
      </c>
      <c r="U726" s="6" t="str">
        <f ca="1">IFERROR(__xludf.DUMMYFUNCTION("""COMPUTED_VALUE"""),"Seed")</f>
        <v>Seed</v>
      </c>
      <c r="V726" s="6"/>
      <c r="W726" s="6" t="str">
        <f ca="1">IFERROR(__xludf.DUMMYFUNCTION("""COMPUTED_VALUE"""),"Invite Next Year")</f>
        <v>Invite Next Year</v>
      </c>
    </row>
    <row r="727" spans="1:23">
      <c r="A727" s="6" t="str">
        <f ca="1">IFERROR(__xludf.DUMMYFUNCTION("""COMPUTED_VALUE"""),"Woman")</f>
        <v>Woman</v>
      </c>
      <c r="B727" s="6" t="str">
        <f ca="1">IFERROR(__xludf.DUMMYFUNCTION("""COMPUTED_VALUE"""),"Orange Therapeutics _2022")</f>
        <v>Orange Therapeutics _2022</v>
      </c>
      <c r="C727" s="6" t="str">
        <f ca="1">IFERROR(__xludf.DUMMYFUNCTION("""COMPUTED_VALUE"""),"Digital Tech")</f>
        <v>Digital Tech</v>
      </c>
      <c r="D727" s="6" t="str">
        <f ca="1">IFERROR(__xludf.DUMMYFUNCTION("""COMPUTED_VALUE"""),"37 W 72nd St., Suite 7E, New York, New York 
United States")</f>
        <v>37 W 72nd St., Suite 7E, New York, New York 
United States</v>
      </c>
      <c r="E727" s="6" t="str">
        <f ca="1">IFERROR(__xludf.DUMMYFUNCTION("""COMPUTED_VALUE"""),"New York")</f>
        <v>New York</v>
      </c>
      <c r="F727" s="6" t="str">
        <f ca="1">IFERROR(__xludf.DUMMYFUNCTION("""COMPUTED_VALUE"""),"Woman")</f>
        <v>Woman</v>
      </c>
      <c r="G727" s="6"/>
      <c r="H727" s="6"/>
      <c r="I727" s="6"/>
      <c r="J727" s="6"/>
      <c r="K727" s="6"/>
      <c r="L727" s="6" t="str">
        <f ca="1">IFERROR(__xludf.DUMMYFUNCTION("""COMPUTED_VALUE"""),"Yes")</f>
        <v>Yes</v>
      </c>
      <c r="M727" s="6" t="str">
        <f ca="1">IFERROR(__xludf.DUMMYFUNCTION("""COMPUTED_VALUE"""),"NYU Alumni")</f>
        <v>NYU Alumni</v>
      </c>
      <c r="N727" s="6"/>
      <c r="O727" s="6" t="str">
        <f ca="1">IFERROR(__xludf.DUMMYFUNCTION("""COMPUTED_VALUE"""),"Email")</f>
        <v>Email</v>
      </c>
      <c r="P727" s="6"/>
      <c r="Q727" s="6" t="str">
        <f ca="1">IFERROR(__xludf.DUMMYFUNCTION("""COMPUTED_VALUE"""),"No")</f>
        <v>No</v>
      </c>
      <c r="R727" s="6">
        <f ca="1">IFERROR(__xludf.DUMMYFUNCTION("""COMPUTED_VALUE"""),1)</f>
        <v>1</v>
      </c>
      <c r="S727" s="6" t="str">
        <f ca="1">IFERROR(__xludf.DUMMYFUNCTION("""COMPUTED_VALUE"""),"None")</f>
        <v>None</v>
      </c>
      <c r="T727" s="6" t="str">
        <f ca="1">IFERROR(__xludf.DUMMYFUNCTION("""COMPUTED_VALUE"""),"None")</f>
        <v>None</v>
      </c>
      <c r="U727" s="6" t="str">
        <f ca="1">IFERROR(__xludf.DUMMYFUNCTION("""COMPUTED_VALUE"""),"None")</f>
        <v>None</v>
      </c>
      <c r="V727" s="6"/>
      <c r="W727" s="6" t="str">
        <f ca="1">IFERROR(__xludf.DUMMYFUNCTION("""COMPUTED_VALUE"""),"Invite Next Year")</f>
        <v>Invite Next Year</v>
      </c>
    </row>
    <row r="728" spans="1:23">
      <c r="A728" s="6" t="str">
        <f ca="1">IFERROR(__xludf.DUMMYFUNCTION("""COMPUTED_VALUE"""),"Man, Man")</f>
        <v>Man, Man</v>
      </c>
      <c r="B728" s="6" t="str">
        <f ca="1">IFERROR(__xludf.DUMMYFUNCTION("""COMPUTED_VALUE"""),"GridWorkX _2022")</f>
        <v>GridWorkX _2022</v>
      </c>
      <c r="C728" s="6" t="str">
        <f ca="1">IFERROR(__xludf.DUMMYFUNCTION("""COMPUTED_VALUE"""),"Deep Tech")</f>
        <v>Deep Tech</v>
      </c>
      <c r="D728" s="6" t="str">
        <f ca="1">IFERROR(__xludf.DUMMYFUNCTION("""COMPUTED_VALUE"""),"120, K. V. Ramasamy street,  Gandhinagar, Udumalpet,  Tiruppur - 642154, Tamilnadu 
India")</f>
        <v>120, K. V. Ramasamy street,  Gandhinagar, Udumalpet,  Tiruppur - 642154, Tamilnadu 
India</v>
      </c>
      <c r="E728" s="6" t="str">
        <f ca="1">IFERROR(__xludf.DUMMYFUNCTION("""COMPUTED_VALUE"""),"International - Asia")</f>
        <v>International - Asia</v>
      </c>
      <c r="F728" s="6" t="str">
        <f ca="1">IFERROR(__xludf.DUMMYFUNCTION("""COMPUTED_VALUE"""),"Man")</f>
        <v>Man</v>
      </c>
      <c r="G728" s="6" t="str">
        <f ca="1">IFERROR(__xludf.DUMMYFUNCTION("""COMPUTED_VALUE"""),"Man")</f>
        <v>Man</v>
      </c>
      <c r="H728" s="6"/>
      <c r="I728" s="6"/>
      <c r="J728" s="6"/>
      <c r="K728" s="6"/>
      <c r="L728" s="6" t="str">
        <f ca="1">IFERROR(__xludf.DUMMYFUNCTION("""COMPUTED_VALUE"""),"No")</f>
        <v>No</v>
      </c>
      <c r="M728" s="6"/>
      <c r="N728" s="6"/>
      <c r="O728" s="6" t="str">
        <f ca="1">IFERROR(__xludf.DUMMYFUNCTION("""COMPUTED_VALUE"""),"A web posting")</f>
        <v>A web posting</v>
      </c>
      <c r="P728" s="6"/>
      <c r="Q728" s="6" t="str">
        <f ca="1">IFERROR(__xludf.DUMMYFUNCTION("""COMPUTED_VALUE"""),"No")</f>
        <v>No</v>
      </c>
      <c r="R728" s="6">
        <f ca="1">IFERROR(__xludf.DUMMYFUNCTION("""COMPUTED_VALUE"""),2)</f>
        <v>2</v>
      </c>
      <c r="S728" s="6" t="str">
        <f ca="1">IFERROR(__xludf.DUMMYFUNCTION("""COMPUTED_VALUE"""),"Pre-seed")</f>
        <v>Pre-seed</v>
      </c>
      <c r="T728" s="6" t="str">
        <f ca="1">IFERROR(__xludf.DUMMYFUNCTION("""COMPUTED_VALUE"""),"Pre-seed")</f>
        <v>Pre-seed</v>
      </c>
      <c r="U728" s="6" t="str">
        <f ca="1">IFERROR(__xludf.DUMMYFUNCTION("""COMPUTED_VALUE"""),"Pre-seed")</f>
        <v>Pre-seed</v>
      </c>
      <c r="V728" s="6"/>
      <c r="W728" s="6" t="str">
        <f ca="1">IFERROR(__xludf.DUMMYFUNCTION("""COMPUTED_VALUE"""),"Invite Next Year")</f>
        <v>Invite Next Year</v>
      </c>
    </row>
    <row r="729" spans="1:23">
      <c r="A729" s="6" t="str">
        <f ca="1">IFERROR(__xludf.DUMMYFUNCTION("""COMPUTED_VALUE"""),"Man, Man, Man")</f>
        <v>Man, Man, Man</v>
      </c>
      <c r="B729" s="6" t="str">
        <f ca="1">IFERROR(__xludf.DUMMYFUNCTION("""COMPUTED_VALUE"""),"AssayMe _2022")</f>
        <v>AssayMe _2022</v>
      </c>
      <c r="C729" s="6" t="str">
        <f ca="1">IFERROR(__xludf.DUMMYFUNCTION("""COMPUTED_VALUE"""),"Digital Tech")</f>
        <v>Digital Tech</v>
      </c>
      <c r="D729" s="6" t="str">
        <f ca="1">IFERROR(__xludf.DUMMYFUNCTION("""COMPUTED_VALUE"""),"Morristown, NJ 
United States")</f>
        <v>Morristown, NJ 
United States</v>
      </c>
      <c r="E729" s="6" t="str">
        <f ca="1">IFERROR(__xludf.DUMMYFUNCTION("""COMPUTED_VALUE"""),"East Coast")</f>
        <v>East Coast</v>
      </c>
      <c r="F729" s="6" t="str">
        <f ca="1">IFERROR(__xludf.DUMMYFUNCTION("""COMPUTED_VALUE"""),"Man")</f>
        <v>Man</v>
      </c>
      <c r="G729" s="6" t="str">
        <f ca="1">IFERROR(__xludf.DUMMYFUNCTION("""COMPUTED_VALUE"""),"Man")</f>
        <v>Man</v>
      </c>
      <c r="H729" s="6" t="str">
        <f ca="1">IFERROR(__xludf.DUMMYFUNCTION("""COMPUTED_VALUE"""),"Man")</f>
        <v>Man</v>
      </c>
      <c r="I729" s="6"/>
      <c r="J729" s="6"/>
      <c r="K729" s="6"/>
      <c r="L729" s="6" t="str">
        <f ca="1">IFERROR(__xludf.DUMMYFUNCTION("""COMPUTED_VALUE"""),"No")</f>
        <v>No</v>
      </c>
      <c r="M729" s="6"/>
      <c r="N729" s="6"/>
      <c r="O729" s="6" t="str">
        <f ca="1">IFERROR(__xludf.DUMMYFUNCTION("""COMPUTED_VALUE"""),"Email")</f>
        <v>Email</v>
      </c>
      <c r="P729" s="6"/>
      <c r="Q729" s="6" t="str">
        <f ca="1">IFERROR(__xludf.DUMMYFUNCTION("""COMPUTED_VALUE"""),"No")</f>
        <v>No</v>
      </c>
      <c r="R729" s="6">
        <f ca="1">IFERROR(__xludf.DUMMYFUNCTION("""COMPUTED_VALUE"""),3)</f>
        <v>3</v>
      </c>
      <c r="S729" s="6" t="str">
        <f ca="1">IFERROR(__xludf.DUMMYFUNCTION("""COMPUTED_VALUE"""),"Seed")</f>
        <v>Seed</v>
      </c>
      <c r="T729" s="6" t="str">
        <f ca="1">IFERROR(__xludf.DUMMYFUNCTION("""COMPUTED_VALUE"""),"Seed")</f>
        <v>Seed</v>
      </c>
      <c r="U729" s="6" t="str">
        <f ca="1">IFERROR(__xludf.DUMMYFUNCTION("""COMPUTED_VALUE"""),"Seed")</f>
        <v>Seed</v>
      </c>
      <c r="V729" s="6"/>
      <c r="W729" s="6" t="str">
        <f ca="1">IFERROR(__xludf.DUMMYFUNCTION("""COMPUTED_VALUE"""),"Invite Next Year")</f>
        <v>Invite Next Year</v>
      </c>
    </row>
    <row r="730" spans="1:23">
      <c r="A730" s="6" t="str">
        <f ca="1">IFERROR(__xludf.DUMMYFUNCTION("""COMPUTED_VALUE"""),"Man, Man, Woman, Man")</f>
        <v>Man, Man, Woman, Man</v>
      </c>
      <c r="B730" s="6" t="str">
        <f ca="1">IFERROR(__xludf.DUMMYFUNCTION("""COMPUTED_VALUE"""),"Dealcode GmbH _2022")</f>
        <v>Dealcode GmbH _2022</v>
      </c>
      <c r="C730" s="6" t="str">
        <f ca="1">IFERROR(__xludf.DUMMYFUNCTION("""COMPUTED_VALUE"""),"Digital Tech")</f>
        <v>Digital Tech</v>
      </c>
      <c r="D730" s="6" t="str">
        <f ca="1">IFERROR(__xludf.DUMMYFUNCTION("""COMPUTED_VALUE"""),"Hamburg, Hamburg 
Germany")</f>
        <v>Hamburg, Hamburg 
Germany</v>
      </c>
      <c r="E730" s="6" t="str">
        <f ca="1">IFERROR(__xludf.DUMMYFUNCTION("""COMPUTED_VALUE"""),"International - Europe")</f>
        <v>International - Europe</v>
      </c>
      <c r="F730" s="6" t="str">
        <f ca="1">IFERROR(__xludf.DUMMYFUNCTION("""COMPUTED_VALUE"""),"Man")</f>
        <v>Man</v>
      </c>
      <c r="G730" s="6" t="str">
        <f ca="1">IFERROR(__xludf.DUMMYFUNCTION("""COMPUTED_VALUE"""),"Man")</f>
        <v>Man</v>
      </c>
      <c r="H730" s="6" t="str">
        <f ca="1">IFERROR(__xludf.DUMMYFUNCTION("""COMPUTED_VALUE"""),"Woman")</f>
        <v>Woman</v>
      </c>
      <c r="I730" s="6" t="str">
        <f ca="1">IFERROR(__xludf.DUMMYFUNCTION("""COMPUTED_VALUE"""),"Man")</f>
        <v>Man</v>
      </c>
      <c r="J730" s="6"/>
      <c r="K730" s="6"/>
      <c r="L730" s="6" t="str">
        <f ca="1">IFERROR(__xludf.DUMMYFUNCTION("""COMPUTED_VALUE"""),"No")</f>
        <v>No</v>
      </c>
      <c r="M730" s="6"/>
      <c r="N730" s="6"/>
      <c r="O730" s="6" t="str">
        <f ca="1">IFERROR(__xludf.DUMMYFUNCTION("""COMPUTED_VALUE"""),"Email")</f>
        <v>Email</v>
      </c>
      <c r="P730" s="6"/>
      <c r="Q730" s="6" t="str">
        <f ca="1">IFERROR(__xludf.DUMMYFUNCTION("""COMPUTED_VALUE"""),"No")</f>
        <v>No</v>
      </c>
      <c r="R730" s="6">
        <f ca="1">IFERROR(__xludf.DUMMYFUNCTION("""COMPUTED_VALUE"""),4)</f>
        <v>4</v>
      </c>
      <c r="S730" s="6" t="str">
        <f ca="1">IFERROR(__xludf.DUMMYFUNCTION("""COMPUTED_VALUE"""),"Pre-seed")</f>
        <v>Pre-seed</v>
      </c>
      <c r="T730" s="6" t="str">
        <f ca="1">IFERROR(__xludf.DUMMYFUNCTION("""COMPUTED_VALUE"""),"Pre-seed")</f>
        <v>Pre-seed</v>
      </c>
      <c r="U730" s="6" t="str">
        <f ca="1">IFERROR(__xludf.DUMMYFUNCTION("""COMPUTED_VALUE"""),"Pre-seed")</f>
        <v>Pre-seed</v>
      </c>
      <c r="V730" s="6"/>
      <c r="W730" s="6" t="str">
        <f ca="1">IFERROR(__xludf.DUMMYFUNCTION("""COMPUTED_VALUE"""),"Invite Next Year")</f>
        <v>Invite Next Year</v>
      </c>
    </row>
    <row r="731" spans="1:23">
      <c r="A731" s="6" t="str">
        <f ca="1">IFERROR(__xludf.DUMMYFUNCTION("""COMPUTED_VALUE"""),"Man")</f>
        <v>Man</v>
      </c>
      <c r="B731" s="6" t="str">
        <f ca="1">IFERROR(__xludf.DUMMYFUNCTION("""COMPUTED_VALUE"""),"Apphive _2022")</f>
        <v>Apphive _2022</v>
      </c>
      <c r="C731" s="6" t="str">
        <f ca="1">IFERROR(__xludf.DUMMYFUNCTION("""COMPUTED_VALUE"""),"Digital Tech")</f>
        <v>Digital Tech</v>
      </c>
      <c r="D731" s="6" t="str">
        <f ca="1">IFERROR(__xludf.DUMMYFUNCTION("""COMPUTED_VALUE"""),"Wilmington, DE 
United States")</f>
        <v>Wilmington, DE 
United States</v>
      </c>
      <c r="E731" s="6" t="str">
        <f ca="1">IFERROR(__xludf.DUMMYFUNCTION("""COMPUTED_VALUE"""),"East Coast")</f>
        <v>East Coast</v>
      </c>
      <c r="F731" s="6" t="str">
        <f ca="1">IFERROR(__xludf.DUMMYFUNCTION("""COMPUTED_VALUE"""),"Man")</f>
        <v>Man</v>
      </c>
      <c r="G731" s="6"/>
      <c r="H731" s="6"/>
      <c r="I731" s="6"/>
      <c r="J731" s="6"/>
      <c r="K731" s="6"/>
      <c r="L731" s="6" t="str">
        <f ca="1">IFERROR(__xludf.DUMMYFUNCTION("""COMPUTED_VALUE"""),"No")</f>
        <v>No</v>
      </c>
      <c r="M731" s="6"/>
      <c r="N731" s="6"/>
      <c r="O731" s="6" t="str">
        <f ca="1">IFERROR(__xludf.DUMMYFUNCTION("""COMPUTED_VALUE"""),"Email")</f>
        <v>Email</v>
      </c>
      <c r="P731" s="6"/>
      <c r="Q731" s="6" t="str">
        <f ca="1">IFERROR(__xludf.DUMMYFUNCTION("""COMPUTED_VALUE"""),"No")</f>
        <v>No</v>
      </c>
      <c r="R731" s="6">
        <f ca="1">IFERROR(__xludf.DUMMYFUNCTION("""COMPUTED_VALUE"""),1)</f>
        <v>1</v>
      </c>
      <c r="S731" s="6" t="str">
        <f ca="1">IFERROR(__xludf.DUMMYFUNCTION("""COMPUTED_VALUE"""),"Pre-seed")</f>
        <v>Pre-seed</v>
      </c>
      <c r="T731" s="6" t="str">
        <f ca="1">IFERROR(__xludf.DUMMYFUNCTION("""COMPUTED_VALUE"""),"Pre-seed")</f>
        <v>Pre-seed</v>
      </c>
      <c r="U731" s="6" t="str">
        <f ca="1">IFERROR(__xludf.DUMMYFUNCTION("""COMPUTED_VALUE"""),"Pre-seed")</f>
        <v>Pre-seed</v>
      </c>
      <c r="V731" s="6"/>
      <c r="W731" s="6" t="str">
        <f ca="1">IFERROR(__xludf.DUMMYFUNCTION("""COMPUTED_VALUE"""),"Invite Next Year")</f>
        <v>Invite Next Year</v>
      </c>
    </row>
    <row r="732" spans="1:23">
      <c r="A732" s="6" t="str">
        <f ca="1">IFERROR(__xludf.DUMMYFUNCTION("""COMPUTED_VALUE"""),"Man")</f>
        <v>Man</v>
      </c>
      <c r="B732" s="6" t="str">
        <f ca="1">IFERROR(__xludf.DUMMYFUNCTION("""COMPUTED_VALUE"""),"Beowulf Network Inc. _2022")</f>
        <v>Beowulf Network Inc. _2022</v>
      </c>
      <c r="C732" s="6" t="str">
        <f ca="1">IFERROR(__xludf.DUMMYFUNCTION("""COMPUTED_VALUE"""),"Digital Tech")</f>
        <v>Digital Tech</v>
      </c>
      <c r="D732" s="6" t="str">
        <f ca="1">IFERROR(__xludf.DUMMYFUNCTION("""COMPUTED_VALUE"""),"333 W. San Carlos Street, San Jose, CA 
United States")</f>
        <v>333 W. San Carlos Street, San Jose, CA 
United States</v>
      </c>
      <c r="E732" s="6" t="str">
        <f ca="1">IFERROR(__xludf.DUMMYFUNCTION("""COMPUTED_VALUE"""),"West Coast")</f>
        <v>West Coast</v>
      </c>
      <c r="F732" s="6" t="str">
        <f ca="1">IFERROR(__xludf.DUMMYFUNCTION("""COMPUTED_VALUE"""),"Man")</f>
        <v>Man</v>
      </c>
      <c r="G732" s="6"/>
      <c r="H732" s="6"/>
      <c r="I732" s="6"/>
      <c r="J732" s="6"/>
      <c r="K732" s="6"/>
      <c r="L732" s="6" t="str">
        <f ca="1">IFERROR(__xludf.DUMMYFUNCTION("""COMPUTED_VALUE"""),"No")</f>
        <v>No</v>
      </c>
      <c r="M732" s="6"/>
      <c r="N732" s="6"/>
      <c r="O732" s="6" t="str">
        <f ca="1">IFERROR(__xludf.DUMMYFUNCTION("""COMPUTED_VALUE"""),"Email")</f>
        <v>Email</v>
      </c>
      <c r="P732" s="6"/>
      <c r="Q732" s="6" t="str">
        <f ca="1">IFERROR(__xludf.DUMMYFUNCTION("""COMPUTED_VALUE"""),"No")</f>
        <v>No</v>
      </c>
      <c r="R732" s="6">
        <f ca="1">IFERROR(__xludf.DUMMYFUNCTION("""COMPUTED_VALUE"""),1)</f>
        <v>1</v>
      </c>
      <c r="S732" s="6" t="str">
        <f ca="1">IFERROR(__xludf.DUMMYFUNCTION("""COMPUTED_VALUE"""),"Other: I am self funded.")</f>
        <v>Other: I am self funded.</v>
      </c>
      <c r="T732" s="6" t="str">
        <f ca="1">IFERROR(__xludf.DUMMYFUNCTION("""COMPUTED_VALUE"""),"Other: I am self funded.")</f>
        <v>Other: I am self funded.</v>
      </c>
      <c r="U732" s="6" t="str">
        <f ca="1">IFERROR(__xludf.DUMMYFUNCTION("""COMPUTED_VALUE"""),"I am self funded.")</f>
        <v>I am self funded.</v>
      </c>
      <c r="V732" s="6"/>
      <c r="W732" s="6" t="str">
        <f ca="1">IFERROR(__xludf.DUMMYFUNCTION("""COMPUTED_VALUE"""),"Invite")</f>
        <v>Invite</v>
      </c>
    </row>
    <row r="733" spans="1:23">
      <c r="A733" s="6" t="str">
        <f ca="1">IFERROR(__xludf.DUMMYFUNCTION("""COMPUTED_VALUE"""),"Woman, Man")</f>
        <v>Woman, Man</v>
      </c>
      <c r="B733" s="6" t="str">
        <f ca="1">IFERROR(__xludf.DUMMYFUNCTION("""COMPUTED_VALUE"""),"Smplrspace _2022")</f>
        <v>Smplrspace _2022</v>
      </c>
      <c r="C733" s="6" t="str">
        <f ca="1">IFERROR(__xludf.DUMMYFUNCTION("""COMPUTED_VALUE"""),"Digital Tech")</f>
        <v>Digital Tech</v>
      </c>
      <c r="D733" s="6" t="str">
        <f ca="1">IFERROR(__xludf.DUMMYFUNCTION("""COMPUTED_VALUE"""),"160 Robinson Road 14-04 , Singapore 
Singapore")</f>
        <v>160 Robinson Road 14-04 , Singapore 
Singapore</v>
      </c>
      <c r="E733" s="6" t="str">
        <f ca="1">IFERROR(__xludf.DUMMYFUNCTION("""COMPUTED_VALUE"""),"International - Asia")</f>
        <v>International - Asia</v>
      </c>
      <c r="F733" s="6" t="str">
        <f ca="1">IFERROR(__xludf.DUMMYFUNCTION("""COMPUTED_VALUE"""),"Woman")</f>
        <v>Woman</v>
      </c>
      <c r="G733" s="6" t="str">
        <f ca="1">IFERROR(__xludf.DUMMYFUNCTION("""COMPUTED_VALUE"""),"Man")</f>
        <v>Man</v>
      </c>
      <c r="H733" s="6"/>
      <c r="I733" s="6"/>
      <c r="J733" s="6"/>
      <c r="K733" s="6"/>
      <c r="L733" s="6" t="str">
        <f ca="1">IFERROR(__xludf.DUMMYFUNCTION("""COMPUTED_VALUE"""),"No")</f>
        <v>No</v>
      </c>
      <c r="M733" s="6"/>
      <c r="N733" s="6"/>
      <c r="O733" s="6" t="str">
        <f ca="1">IFERROR(__xludf.DUMMYFUNCTION("""COMPUTED_VALUE"""),"Info Session")</f>
        <v>Info Session</v>
      </c>
      <c r="P733" s="6"/>
      <c r="Q733" s="6" t="str">
        <f ca="1">IFERROR(__xludf.DUMMYFUNCTION("""COMPUTED_VALUE"""),"No")</f>
        <v>No</v>
      </c>
      <c r="R733" s="6">
        <f ca="1">IFERROR(__xludf.DUMMYFUNCTION("""COMPUTED_VALUE"""),2)</f>
        <v>2</v>
      </c>
      <c r="S733" s="6" t="str">
        <f ca="1">IFERROR(__xludf.DUMMYFUNCTION("""COMPUTED_VALUE"""),"Pre-seed")</f>
        <v>Pre-seed</v>
      </c>
      <c r="T733" s="6" t="str">
        <f ca="1">IFERROR(__xludf.DUMMYFUNCTION("""COMPUTED_VALUE"""),"Pre-seed")</f>
        <v>Pre-seed</v>
      </c>
      <c r="U733" s="6" t="str">
        <f ca="1">IFERROR(__xludf.DUMMYFUNCTION("""COMPUTED_VALUE"""),"Pre-seed")</f>
        <v>Pre-seed</v>
      </c>
      <c r="V733" s="6"/>
      <c r="W733" s="6" t="str">
        <f ca="1">IFERROR(__xludf.DUMMYFUNCTION("""COMPUTED_VALUE"""),"Invite Next Year")</f>
        <v>Invite Next Year</v>
      </c>
    </row>
    <row r="734" spans="1:23">
      <c r="A734" s="6" t="str">
        <f ca="1">IFERROR(__xludf.DUMMYFUNCTION("""COMPUTED_VALUE"""),"Woman, Woman, Woman")</f>
        <v>Woman, Woman, Woman</v>
      </c>
      <c r="B734" s="6" t="str">
        <f ca="1">IFERROR(__xludf.DUMMYFUNCTION("""COMPUTED_VALUE"""),"Impactbytes _2022")</f>
        <v>Impactbytes _2022</v>
      </c>
      <c r="C734" s="6" t="str">
        <f ca="1">IFERROR(__xludf.DUMMYFUNCTION("""COMPUTED_VALUE"""),"Digital Tech")</f>
        <v>Digital Tech</v>
      </c>
      <c r="D734" s="6" t="str">
        <f ca="1">IFERROR(__xludf.DUMMYFUNCTION("""COMPUTED_VALUE"""),"Amsterdam, Noord-Holland 
Netherlands")</f>
        <v>Amsterdam, Noord-Holland 
Netherlands</v>
      </c>
      <c r="E734" s="6" t="str">
        <f ca="1">IFERROR(__xludf.DUMMYFUNCTION("""COMPUTED_VALUE"""),"International - Europe")</f>
        <v>International - Europe</v>
      </c>
      <c r="F734" s="6" t="str">
        <f ca="1">IFERROR(__xludf.DUMMYFUNCTION("""COMPUTED_VALUE"""),"Woman")</f>
        <v>Woman</v>
      </c>
      <c r="G734" s="6" t="str">
        <f ca="1">IFERROR(__xludf.DUMMYFUNCTION("""COMPUTED_VALUE"""),"Woman")</f>
        <v>Woman</v>
      </c>
      <c r="H734" s="6" t="str">
        <f ca="1">IFERROR(__xludf.DUMMYFUNCTION("""COMPUTED_VALUE"""),"Woman")</f>
        <v>Woman</v>
      </c>
      <c r="I734" s="6"/>
      <c r="J734" s="6"/>
      <c r="K734" s="6"/>
      <c r="L734" s="6" t="str">
        <f ca="1">IFERROR(__xludf.DUMMYFUNCTION("""COMPUTED_VALUE"""),"No")</f>
        <v>No</v>
      </c>
      <c r="M734" s="6"/>
      <c r="N734" s="6"/>
      <c r="O734" s="6" t="str">
        <f ca="1">IFERROR(__xludf.DUMMYFUNCTION("""COMPUTED_VALUE"""),"Email")</f>
        <v>Email</v>
      </c>
      <c r="P734" s="6"/>
      <c r="Q734" s="6" t="str">
        <f ca="1">IFERROR(__xludf.DUMMYFUNCTION("""COMPUTED_VALUE"""),"No")</f>
        <v>No</v>
      </c>
      <c r="R734" s="6">
        <f ca="1">IFERROR(__xludf.DUMMYFUNCTION("""COMPUTED_VALUE"""),3)</f>
        <v>3</v>
      </c>
      <c r="S734" s="6" t="str">
        <f ca="1">IFERROR(__xludf.DUMMYFUNCTION("""COMPUTED_VALUE"""),"Pre-seed")</f>
        <v>Pre-seed</v>
      </c>
      <c r="T734" s="6" t="str">
        <f ca="1">IFERROR(__xludf.DUMMYFUNCTION("""COMPUTED_VALUE"""),"Pre-seed")</f>
        <v>Pre-seed</v>
      </c>
      <c r="U734" s="6" t="str">
        <f ca="1">IFERROR(__xludf.DUMMYFUNCTION("""COMPUTED_VALUE"""),"Pre-seed")</f>
        <v>Pre-seed</v>
      </c>
      <c r="V734" s="6"/>
      <c r="W734" s="6" t="str">
        <f ca="1">IFERROR(__xludf.DUMMYFUNCTION("""COMPUTED_VALUE"""),"Invite Next Year")</f>
        <v>Invite Next Year</v>
      </c>
    </row>
    <row r="735" spans="1:23">
      <c r="A735" s="6" t="str">
        <f ca="1">IFERROR(__xludf.DUMMYFUNCTION("""COMPUTED_VALUE"""),"Man, Man, Woman")</f>
        <v>Man, Man, Woman</v>
      </c>
      <c r="B735" s="6" t="str">
        <f ca="1">IFERROR(__xludf.DUMMYFUNCTION("""COMPUTED_VALUE"""),"WEARFITS _2022")</f>
        <v>WEARFITS _2022</v>
      </c>
      <c r="C735" s="6" t="str">
        <f ca="1">IFERROR(__xludf.DUMMYFUNCTION("""COMPUTED_VALUE"""),"Digital Tech")</f>
        <v>Digital Tech</v>
      </c>
      <c r="D735" s="6" t="str">
        <f ca="1">IFERROR(__xludf.DUMMYFUNCTION("""COMPUTED_VALUE"""),"Kraków, Ma?opolska 
Poland")</f>
        <v>Kraków, Ma?opolska 
Poland</v>
      </c>
      <c r="E735" s="6" t="str">
        <f ca="1">IFERROR(__xludf.DUMMYFUNCTION("""COMPUTED_VALUE"""),"International - Europe")</f>
        <v>International - Europe</v>
      </c>
      <c r="F735" s="6" t="str">
        <f ca="1">IFERROR(__xludf.DUMMYFUNCTION("""COMPUTED_VALUE"""),"Man")</f>
        <v>Man</v>
      </c>
      <c r="G735" s="6" t="str">
        <f ca="1">IFERROR(__xludf.DUMMYFUNCTION("""COMPUTED_VALUE"""),"Man")</f>
        <v>Man</v>
      </c>
      <c r="H735" s="6" t="str">
        <f ca="1">IFERROR(__xludf.DUMMYFUNCTION("""COMPUTED_VALUE"""),"Woman")</f>
        <v>Woman</v>
      </c>
      <c r="I735" s="6"/>
      <c r="J735" s="6"/>
      <c r="K735" s="6"/>
      <c r="L735" s="6" t="str">
        <f ca="1">IFERROR(__xludf.DUMMYFUNCTION("""COMPUTED_VALUE"""),"No")</f>
        <v>No</v>
      </c>
      <c r="M735" s="6"/>
      <c r="N735" s="6"/>
      <c r="O735" s="6" t="str">
        <f ca="1">IFERROR(__xludf.DUMMYFUNCTION("""COMPUTED_VALUE"""),"Email")</f>
        <v>Email</v>
      </c>
      <c r="P735" s="6"/>
      <c r="Q735" s="6" t="str">
        <f ca="1">IFERROR(__xludf.DUMMYFUNCTION("""COMPUTED_VALUE"""),"No")</f>
        <v>No</v>
      </c>
      <c r="R735" s="6">
        <f ca="1">IFERROR(__xludf.DUMMYFUNCTION("""COMPUTED_VALUE"""),3)</f>
        <v>3</v>
      </c>
      <c r="S735" s="6" t="str">
        <f ca="1">IFERROR(__xludf.DUMMYFUNCTION("""COMPUTED_VALUE"""),"Pre-seed
Grants")</f>
        <v>Pre-seed
Grants</v>
      </c>
      <c r="T735" s="6" t="str">
        <f ca="1">IFERROR(__xludf.DUMMYFUNCTION("""COMPUTED_VALUE"""),"Pre-seed, Grants")</f>
        <v>Pre-seed, Grants</v>
      </c>
      <c r="U735" s="6" t="str">
        <f ca="1">IFERROR(__xludf.DUMMYFUNCTION("""COMPUTED_VALUE"""),"Pre-seed, Grants")</f>
        <v>Pre-seed, Grants</v>
      </c>
      <c r="V735" s="6"/>
      <c r="W735" s="6" t="str">
        <f ca="1">IFERROR(__xludf.DUMMYFUNCTION("""COMPUTED_VALUE"""),"Invite Next Year")</f>
        <v>Invite Next Year</v>
      </c>
    </row>
    <row r="736" spans="1:23">
      <c r="A736" s="6" t="str">
        <f ca="1">IFERROR(__xludf.DUMMYFUNCTION("""COMPUTED_VALUE"""),"Woman, Woman, Man")</f>
        <v>Woman, Woman, Man</v>
      </c>
      <c r="B736" s="6" t="str">
        <f ca="1">IFERROR(__xludf.DUMMYFUNCTION("""COMPUTED_VALUE"""),"Mihuru _2022")</f>
        <v>Mihuru _2022</v>
      </c>
      <c r="C736" s="6" t="str">
        <f ca="1">IFERROR(__xludf.DUMMYFUNCTION("""COMPUTED_VALUE"""),"Digital Tech")</f>
        <v>Digital Tech</v>
      </c>
      <c r="D736" s="6" t="str">
        <f ca="1">IFERROR(__xludf.DUMMYFUNCTION("""COMPUTED_VALUE"""),"Mumbai, Maharashtra 
India")</f>
        <v>Mumbai, Maharashtra 
India</v>
      </c>
      <c r="E736" s="6" t="str">
        <f ca="1">IFERROR(__xludf.DUMMYFUNCTION("""COMPUTED_VALUE"""),"International - Asia")</f>
        <v>International - Asia</v>
      </c>
      <c r="F736" s="6" t="str">
        <f ca="1">IFERROR(__xludf.DUMMYFUNCTION("""COMPUTED_VALUE"""),"Woman")</f>
        <v>Woman</v>
      </c>
      <c r="G736" s="6" t="str">
        <f ca="1">IFERROR(__xludf.DUMMYFUNCTION("""COMPUTED_VALUE"""),"Woman")</f>
        <v>Woman</v>
      </c>
      <c r="H736" s="6" t="str">
        <f ca="1">IFERROR(__xludf.DUMMYFUNCTION("""COMPUTED_VALUE"""),"Man")</f>
        <v>Man</v>
      </c>
      <c r="I736" s="6"/>
      <c r="J736" s="6"/>
      <c r="K736" s="6"/>
      <c r="L736" s="6" t="str">
        <f ca="1">IFERROR(__xludf.DUMMYFUNCTION("""COMPUTED_VALUE"""),"No")</f>
        <v>No</v>
      </c>
      <c r="M736" s="6"/>
      <c r="N736" s="6"/>
      <c r="O736" s="6" t="str">
        <f ca="1">IFERROR(__xludf.DUMMYFUNCTION("""COMPUTED_VALUE"""),"Search Engine")</f>
        <v>Search Engine</v>
      </c>
      <c r="P736" s="6"/>
      <c r="Q736" s="6" t="str">
        <f ca="1">IFERROR(__xludf.DUMMYFUNCTION("""COMPUTED_VALUE"""),"No")</f>
        <v>No</v>
      </c>
      <c r="R736" s="6">
        <f ca="1">IFERROR(__xludf.DUMMYFUNCTION("""COMPUTED_VALUE"""),3)</f>
        <v>3</v>
      </c>
      <c r="S736" s="6" t="str">
        <f ca="1">IFERROR(__xludf.DUMMYFUNCTION("""COMPUTED_VALUE"""),"Seed")</f>
        <v>Seed</v>
      </c>
      <c r="T736" s="6" t="str">
        <f ca="1">IFERROR(__xludf.DUMMYFUNCTION("""COMPUTED_VALUE"""),"Seed")</f>
        <v>Seed</v>
      </c>
      <c r="U736" s="6" t="str">
        <f ca="1">IFERROR(__xludf.DUMMYFUNCTION("""COMPUTED_VALUE"""),"Seed")</f>
        <v>Seed</v>
      </c>
      <c r="V736" s="6"/>
      <c r="W736" s="6" t="str">
        <f ca="1">IFERROR(__xludf.DUMMYFUNCTION("""COMPUTED_VALUE"""),"Invite Next Year")</f>
        <v>Invite Next Year</v>
      </c>
    </row>
    <row r="737" spans="1:23">
      <c r="A737" s="6" t="str">
        <f ca="1">IFERROR(__xludf.DUMMYFUNCTION("""COMPUTED_VALUE"""),"Man, Man, Man, Woman")</f>
        <v>Man, Man, Man, Woman</v>
      </c>
      <c r="B737" s="6" t="str">
        <f ca="1">IFERROR(__xludf.DUMMYFUNCTION("""COMPUTED_VALUE"""),"Stonehouse Innovations, LLC _2022")</f>
        <v>Stonehouse Innovations, LLC _2022</v>
      </c>
      <c r="C737" s="6" t="str">
        <f ca="1">IFERROR(__xludf.DUMMYFUNCTION("""COMPUTED_VALUE"""),"Deep Tech")</f>
        <v>Deep Tech</v>
      </c>
      <c r="D737" s="6" t="str">
        <f ca="1">IFERROR(__xludf.DUMMYFUNCTION("""COMPUTED_VALUE"""),"Jackson, WI 
United States")</f>
        <v>Jackson, WI 
United States</v>
      </c>
      <c r="E737" s="6" t="str">
        <f ca="1">IFERROR(__xludf.DUMMYFUNCTION("""COMPUTED_VALUE"""),"Midwest")</f>
        <v>Midwest</v>
      </c>
      <c r="F737" s="6" t="str">
        <f ca="1">IFERROR(__xludf.DUMMYFUNCTION("""COMPUTED_VALUE"""),"Man")</f>
        <v>Man</v>
      </c>
      <c r="G737" s="6" t="str">
        <f ca="1">IFERROR(__xludf.DUMMYFUNCTION("""COMPUTED_VALUE"""),"Man")</f>
        <v>Man</v>
      </c>
      <c r="H737" s="6" t="str">
        <f ca="1">IFERROR(__xludf.DUMMYFUNCTION("""COMPUTED_VALUE"""),"Man")</f>
        <v>Man</v>
      </c>
      <c r="I737" s="6" t="str">
        <f ca="1">IFERROR(__xludf.DUMMYFUNCTION("""COMPUTED_VALUE"""),"Woman")</f>
        <v>Woman</v>
      </c>
      <c r="J737" s="6"/>
      <c r="K737" s="6"/>
      <c r="L737" s="6" t="str">
        <f ca="1">IFERROR(__xludf.DUMMYFUNCTION("""COMPUTED_VALUE"""),"--Please select--")</f>
        <v>--Please select--</v>
      </c>
      <c r="M737" s="6"/>
      <c r="N737" s="6"/>
      <c r="O737" s="6" t="str">
        <f ca="1">IFERROR(__xludf.DUMMYFUNCTION("""COMPUTED_VALUE"""),"Email")</f>
        <v>Email</v>
      </c>
      <c r="P737" s="6"/>
      <c r="Q737" s="6" t="str">
        <f ca="1">IFERROR(__xludf.DUMMYFUNCTION("""COMPUTED_VALUE"""),"No")</f>
        <v>No</v>
      </c>
      <c r="R737" s="6">
        <f ca="1">IFERROR(__xludf.DUMMYFUNCTION("""COMPUTED_VALUE"""),4)</f>
        <v>4</v>
      </c>
      <c r="S737" s="6" t="str">
        <f ca="1">IFERROR(__xludf.DUMMYFUNCTION("""COMPUTED_VALUE"""),"Seed")</f>
        <v>Seed</v>
      </c>
      <c r="T737" s="6" t="str">
        <f ca="1">IFERROR(__xludf.DUMMYFUNCTION("""COMPUTED_VALUE"""),"Seed")</f>
        <v>Seed</v>
      </c>
      <c r="U737" s="6" t="str">
        <f ca="1">IFERROR(__xludf.DUMMYFUNCTION("""COMPUTED_VALUE"""),"Seed")</f>
        <v>Seed</v>
      </c>
      <c r="V737" s="6"/>
      <c r="W737" s="6" t="str">
        <f ca="1">IFERROR(__xludf.DUMMYFUNCTION("""COMPUTED_VALUE"""),"Invite Next Year")</f>
        <v>Invite Next Year</v>
      </c>
    </row>
    <row r="738" spans="1:23">
      <c r="A738" s="6" t="str">
        <f ca="1">IFERROR(__xludf.DUMMYFUNCTION("""COMPUTED_VALUE"""),"Woman, Man")</f>
        <v>Woman, Man</v>
      </c>
      <c r="B738" s="6" t="str">
        <f ca="1">IFERROR(__xludf.DUMMYFUNCTION("""COMPUTED_VALUE"""),"CFIT _2022")</f>
        <v>CFIT _2022</v>
      </c>
      <c r="C738" s="6" t="str">
        <f ca="1">IFERROR(__xludf.DUMMYFUNCTION("""COMPUTED_VALUE"""),"Life Sciences")</f>
        <v>Life Sciences</v>
      </c>
      <c r="D738" s="6" t="str">
        <f ca="1">IFERROR(__xludf.DUMMYFUNCTION("""COMPUTED_VALUE"""),"105 Beach Road, Hamilton, Ontario 
Canada")</f>
        <v>105 Beach Road, Hamilton, Ontario 
Canada</v>
      </c>
      <c r="E738" s="6" t="str">
        <f ca="1">IFERROR(__xludf.DUMMYFUNCTION("""COMPUTED_VALUE"""),"International - Americas")</f>
        <v>International - Americas</v>
      </c>
      <c r="F738" s="6" t="str">
        <f ca="1">IFERROR(__xludf.DUMMYFUNCTION("""COMPUTED_VALUE"""),"Woman")</f>
        <v>Woman</v>
      </c>
      <c r="G738" s="6" t="str">
        <f ca="1">IFERROR(__xludf.DUMMYFUNCTION("""COMPUTED_VALUE"""),"Man")</f>
        <v>Man</v>
      </c>
      <c r="H738" s="6"/>
      <c r="I738" s="6"/>
      <c r="J738" s="6"/>
      <c r="K738" s="6"/>
      <c r="L738" s="6" t="str">
        <f ca="1">IFERROR(__xludf.DUMMYFUNCTION("""COMPUTED_VALUE"""),"--Please select--")</f>
        <v>--Please select--</v>
      </c>
      <c r="M738" s="6"/>
      <c r="N738" s="6"/>
      <c r="O738" s="6" t="str">
        <f ca="1">IFERROR(__xludf.DUMMYFUNCTION("""COMPUTED_VALUE"""),"NYU Newsletter")</f>
        <v>NYU Newsletter</v>
      </c>
      <c r="P738" s="6"/>
      <c r="Q738" s="6" t="str">
        <f ca="1">IFERROR(__xludf.DUMMYFUNCTION("""COMPUTED_VALUE"""),"No")</f>
        <v>No</v>
      </c>
      <c r="R738" s="6">
        <f ca="1">IFERROR(__xludf.DUMMYFUNCTION("""COMPUTED_VALUE"""),2)</f>
        <v>2</v>
      </c>
      <c r="S738" s="6" t="str">
        <f ca="1">IFERROR(__xludf.DUMMYFUNCTION("""COMPUTED_VALUE"""),"Pre-seed")</f>
        <v>Pre-seed</v>
      </c>
      <c r="T738" s="6" t="str">
        <f ca="1">IFERROR(__xludf.DUMMYFUNCTION("""COMPUTED_VALUE"""),"Pre-seed")</f>
        <v>Pre-seed</v>
      </c>
      <c r="U738" s="6" t="str">
        <f ca="1">IFERROR(__xludf.DUMMYFUNCTION("""COMPUTED_VALUE"""),"Pre-seed")</f>
        <v>Pre-seed</v>
      </c>
      <c r="V738" s="6"/>
      <c r="W738" s="6" t="str">
        <f ca="1">IFERROR(__xludf.DUMMYFUNCTION("""COMPUTED_VALUE"""),"Invite Next Year")</f>
        <v>Invite Next Year</v>
      </c>
    </row>
    <row r="739" spans="1:23">
      <c r="A739" s="6" t="str">
        <f ca="1">IFERROR(__xludf.DUMMYFUNCTION("""COMPUTED_VALUE"""),"Man")</f>
        <v>Man</v>
      </c>
      <c r="B739" s="6" t="str">
        <f ca="1">IFERROR(__xludf.DUMMYFUNCTION("""COMPUTED_VALUE"""),"Proxgy _2022")</f>
        <v>Proxgy _2022</v>
      </c>
      <c r="C739" s="6" t="str">
        <f ca="1">IFERROR(__xludf.DUMMYFUNCTION("""COMPUTED_VALUE"""),"Deep Tech")</f>
        <v>Deep Tech</v>
      </c>
      <c r="D739" s="6" t="str">
        <f ca="1">IFERROR(__xludf.DUMMYFUNCTION("""COMPUTED_VALUE"""),"Plot No. 15, Electronic City, Udyog Vihar Phase IV, Sector 18, Gurugram, Haryana 
India")</f>
        <v>Plot No. 15, Electronic City, Udyog Vihar Phase IV, Sector 18, Gurugram, Haryana 
India</v>
      </c>
      <c r="E739" s="6" t="str">
        <f ca="1">IFERROR(__xludf.DUMMYFUNCTION("""COMPUTED_VALUE"""),"International - Asia")</f>
        <v>International - Asia</v>
      </c>
      <c r="F739" s="6" t="str">
        <f ca="1">IFERROR(__xludf.DUMMYFUNCTION("""COMPUTED_VALUE"""),"Man")</f>
        <v>Man</v>
      </c>
      <c r="G739" s="6"/>
      <c r="H739" s="6"/>
      <c r="I739" s="6"/>
      <c r="J739" s="6"/>
      <c r="K739" s="6"/>
      <c r="L739" s="6" t="str">
        <f ca="1">IFERROR(__xludf.DUMMYFUNCTION("""COMPUTED_VALUE"""),"No")</f>
        <v>No</v>
      </c>
      <c r="M739" s="6"/>
      <c r="N739" s="6"/>
      <c r="O739" s="6" t="str">
        <f ca="1">IFERROR(__xludf.DUMMYFUNCTION("""COMPUTED_VALUE"""),"Email")</f>
        <v>Email</v>
      </c>
      <c r="P739" s="6"/>
      <c r="Q739" s="6" t="str">
        <f ca="1">IFERROR(__xludf.DUMMYFUNCTION("""COMPUTED_VALUE"""),"No")</f>
        <v>No</v>
      </c>
      <c r="R739" s="6">
        <f ca="1">IFERROR(__xludf.DUMMYFUNCTION("""COMPUTED_VALUE"""),1)</f>
        <v>1</v>
      </c>
      <c r="S739" s="6" t="str">
        <f ca="1">IFERROR(__xludf.DUMMYFUNCTION("""COMPUTED_VALUE"""),"Pre-seed
Seed
Other: Angel, Pre Series A")</f>
        <v>Pre-seed
Seed
Other: Angel, Pre Series A</v>
      </c>
      <c r="T739" s="6" t="str">
        <f ca="1">IFERROR(__xludf.DUMMYFUNCTION("""COMPUTED_VALUE"""),"Pre-seed, Seed, Other: Angel, Pre Series A")</f>
        <v>Pre-seed, Seed, Other: Angel, Pre Series A</v>
      </c>
      <c r="U739" s="6" t="str">
        <f ca="1">IFERROR(__xludf.DUMMYFUNCTION("""COMPUTED_VALUE"""),"Pre-seed, Seed, ")</f>
        <v xml:space="preserve">Pre-seed, Seed, </v>
      </c>
      <c r="V739" s="6" t="str">
        <f ca="1">IFERROR(__xludf.DUMMYFUNCTION("""COMPUTED_VALUE"""),"Angel, Pre Series A")</f>
        <v>Angel, Pre Series A</v>
      </c>
      <c r="W739" s="6" t="str">
        <f ca="1">IFERROR(__xludf.DUMMYFUNCTION("""COMPUTED_VALUE"""),"Invite Next Year")</f>
        <v>Invite Next Year</v>
      </c>
    </row>
    <row r="740" spans="1:23">
      <c r="A740" s="6" t="str">
        <f ca="1">IFERROR(__xludf.DUMMYFUNCTION("""COMPUTED_VALUE"""),"Man, Man")</f>
        <v>Man, Man</v>
      </c>
      <c r="B740" s="6" t="str">
        <f ca="1">IFERROR(__xludf.DUMMYFUNCTION("""COMPUTED_VALUE"""),"Haystack Oncology _2022")</f>
        <v>Haystack Oncology _2022</v>
      </c>
      <c r="C740" s="6" t="str">
        <f ca="1">IFERROR(__xludf.DUMMYFUNCTION("""COMPUTED_VALUE"""),"Life Sciences")</f>
        <v>Life Sciences</v>
      </c>
      <c r="D740" s="6" t="str">
        <f ca="1">IFERROR(__xludf.DUMMYFUNCTION("""COMPUTED_VALUE"""),"301 W. 29th St., Suite 2004U, Baltimore, MD 
United States")</f>
        <v>301 W. 29th St., Suite 2004U, Baltimore, MD 
United States</v>
      </c>
      <c r="E740" s="6" t="str">
        <f ca="1">IFERROR(__xludf.DUMMYFUNCTION("""COMPUTED_VALUE"""),"East Coast")</f>
        <v>East Coast</v>
      </c>
      <c r="F740" s="6" t="str">
        <f ca="1">IFERROR(__xludf.DUMMYFUNCTION("""COMPUTED_VALUE"""),"Man")</f>
        <v>Man</v>
      </c>
      <c r="G740" s="6" t="str">
        <f ca="1">IFERROR(__xludf.DUMMYFUNCTION("""COMPUTED_VALUE"""),"Man")</f>
        <v>Man</v>
      </c>
      <c r="H740" s="6"/>
      <c r="I740" s="6"/>
      <c r="J740" s="6"/>
      <c r="K740" s="6"/>
      <c r="L740" s="6" t="str">
        <f ca="1">IFERROR(__xludf.DUMMYFUNCTION("""COMPUTED_VALUE"""),"No")</f>
        <v>No</v>
      </c>
      <c r="M740" s="6"/>
      <c r="N740" s="6"/>
      <c r="O740" s="6" t="str">
        <f ca="1">IFERROR(__xludf.DUMMYFUNCTION("""COMPUTED_VALUE"""),"Email")</f>
        <v>Email</v>
      </c>
      <c r="P740" s="6"/>
      <c r="Q740" s="6" t="str">
        <f ca="1">IFERROR(__xludf.DUMMYFUNCTION("""COMPUTED_VALUE"""),"No")</f>
        <v>No</v>
      </c>
      <c r="R740" s="6">
        <f ca="1">IFERROR(__xludf.DUMMYFUNCTION("""COMPUTED_VALUE"""),2)</f>
        <v>2</v>
      </c>
      <c r="S740" s="6" t="str">
        <f ca="1">IFERROR(__xludf.DUMMYFUNCTION("""COMPUTED_VALUE"""),"Seed")</f>
        <v>Seed</v>
      </c>
      <c r="T740" s="6" t="str">
        <f ca="1">IFERROR(__xludf.DUMMYFUNCTION("""COMPUTED_VALUE"""),"Seed")</f>
        <v>Seed</v>
      </c>
      <c r="U740" s="6" t="str">
        <f ca="1">IFERROR(__xludf.DUMMYFUNCTION("""COMPUTED_VALUE"""),"Seed")</f>
        <v>Seed</v>
      </c>
      <c r="V740" s="6"/>
      <c r="W740" s="6" t="str">
        <f ca="1">IFERROR(__xludf.DUMMYFUNCTION("""COMPUTED_VALUE"""),"Invite")</f>
        <v>Invite</v>
      </c>
    </row>
    <row r="741" spans="1:23">
      <c r="A741" s="6" t="str">
        <f ca="1">IFERROR(__xludf.DUMMYFUNCTION("""COMPUTED_VALUE"""),"Man")</f>
        <v>Man</v>
      </c>
      <c r="B741" s="6" t="str">
        <f ca="1">IFERROR(__xludf.DUMMYFUNCTION("""COMPUTED_VALUE"""),"evAI Intelligence GmbH _2022")</f>
        <v>evAI Intelligence GmbH _2022</v>
      </c>
      <c r="C741" s="6" t="str">
        <f ca="1">IFERROR(__xludf.DUMMYFUNCTION("""COMPUTED_VALUE"""),"Deep Tech")</f>
        <v>Deep Tech</v>
      </c>
      <c r="D741" s="6" t="str">
        <f ca="1">IFERROR(__xludf.DUMMYFUNCTION("""COMPUTED_VALUE"""),"Bad Reichenhall, Bavaria 
Germany")</f>
        <v>Bad Reichenhall, Bavaria 
Germany</v>
      </c>
      <c r="E741" s="6" t="str">
        <f ca="1">IFERROR(__xludf.DUMMYFUNCTION("""COMPUTED_VALUE"""),"International - Europe")</f>
        <v>International - Europe</v>
      </c>
      <c r="F741" s="6" t="str">
        <f ca="1">IFERROR(__xludf.DUMMYFUNCTION("""COMPUTED_VALUE"""),"Man")</f>
        <v>Man</v>
      </c>
      <c r="G741" s="6"/>
      <c r="H741" s="6"/>
      <c r="I741" s="6"/>
      <c r="J741" s="6"/>
      <c r="K741" s="6"/>
      <c r="L741" s="6" t="str">
        <f ca="1">IFERROR(__xludf.DUMMYFUNCTION("""COMPUTED_VALUE"""),"No")</f>
        <v>No</v>
      </c>
      <c r="M741" s="6"/>
      <c r="N741" s="6"/>
      <c r="O741" s="6" t="str">
        <f ca="1">IFERROR(__xludf.DUMMYFUNCTION("""COMPUTED_VALUE"""),"Email")</f>
        <v>Email</v>
      </c>
      <c r="P741" s="6"/>
      <c r="Q741" s="6" t="str">
        <f ca="1">IFERROR(__xludf.DUMMYFUNCTION("""COMPUTED_VALUE"""),"No")</f>
        <v>No</v>
      </c>
      <c r="R741" s="6">
        <f ca="1">IFERROR(__xludf.DUMMYFUNCTION("""COMPUTED_VALUE"""),1)</f>
        <v>1</v>
      </c>
      <c r="S741" s="6" t="str">
        <f ca="1">IFERROR(__xludf.DUMMYFUNCTION("""COMPUTED_VALUE"""),"Other: Business Angel")</f>
        <v>Other: Business Angel</v>
      </c>
      <c r="T741" s="6" t="str">
        <f ca="1">IFERROR(__xludf.DUMMYFUNCTION("""COMPUTED_VALUE"""),"Other: Business Angel")</f>
        <v>Other: Business Angel</v>
      </c>
      <c r="U741" s="6" t="str">
        <f ca="1">IFERROR(__xludf.DUMMYFUNCTION("""COMPUTED_VALUE"""),"Business Angel")</f>
        <v>Business Angel</v>
      </c>
      <c r="V741" s="6"/>
      <c r="W741" s="6" t="str">
        <f ca="1">IFERROR(__xludf.DUMMYFUNCTION("""COMPUTED_VALUE"""),"Invite Next Year")</f>
        <v>Invite Next Year</v>
      </c>
    </row>
    <row r="742" spans="1:23">
      <c r="A742" s="6" t="str">
        <f ca="1">IFERROR(__xludf.DUMMYFUNCTION("""COMPUTED_VALUE"""),"Man, Man")</f>
        <v>Man, Man</v>
      </c>
      <c r="B742" s="6" t="str">
        <f ca="1">IFERROR(__xludf.DUMMYFUNCTION("""COMPUTED_VALUE"""),"HouseStay inc _2022")</f>
        <v>HouseStay inc _2022</v>
      </c>
      <c r="C742" s="6" t="str">
        <f ca="1">IFERROR(__xludf.DUMMYFUNCTION("""COMPUTED_VALUE"""),"Digital Tech")</f>
        <v>Digital Tech</v>
      </c>
      <c r="D742" s="6" t="str">
        <f ca="1">IFERROR(__xludf.DUMMYFUNCTION("""COMPUTED_VALUE"""),"8660 Burton Way, Suite 102, Los Angeles, CA 
United States")</f>
        <v>8660 Burton Way, Suite 102, Los Angeles, CA 
United States</v>
      </c>
      <c r="E742" s="6" t="str">
        <f ca="1">IFERROR(__xludf.DUMMYFUNCTION("""COMPUTED_VALUE"""),"West Coast")</f>
        <v>West Coast</v>
      </c>
      <c r="F742" s="6" t="str">
        <f ca="1">IFERROR(__xludf.DUMMYFUNCTION("""COMPUTED_VALUE"""),"Man")</f>
        <v>Man</v>
      </c>
      <c r="G742" s="6" t="str">
        <f ca="1">IFERROR(__xludf.DUMMYFUNCTION("""COMPUTED_VALUE"""),"Man")</f>
        <v>Man</v>
      </c>
      <c r="H742" s="6"/>
      <c r="I742" s="6"/>
      <c r="J742" s="6"/>
      <c r="K742" s="6"/>
      <c r="L742" s="6" t="str">
        <f ca="1">IFERROR(__xludf.DUMMYFUNCTION("""COMPUTED_VALUE"""),"No")</f>
        <v>No</v>
      </c>
      <c r="M742" s="6"/>
      <c r="N742" s="6"/>
      <c r="O742" s="6" t="str">
        <f ca="1">IFERROR(__xludf.DUMMYFUNCTION("""COMPUTED_VALUE"""),"Referral")</f>
        <v>Referral</v>
      </c>
      <c r="P742" s="6"/>
      <c r="Q742" s="6" t="str">
        <f ca="1">IFERROR(__xludf.DUMMYFUNCTION("""COMPUTED_VALUE"""),"No")</f>
        <v>No</v>
      </c>
      <c r="R742" s="6">
        <f ca="1">IFERROR(__xludf.DUMMYFUNCTION("""COMPUTED_VALUE"""),2)</f>
        <v>2</v>
      </c>
      <c r="S742" s="6" t="str">
        <f ca="1">IFERROR(__xludf.DUMMYFUNCTION("""COMPUTED_VALUE"""),"Pre-seed")</f>
        <v>Pre-seed</v>
      </c>
      <c r="T742" s="6" t="str">
        <f ca="1">IFERROR(__xludf.DUMMYFUNCTION("""COMPUTED_VALUE"""),"Pre-seed")</f>
        <v>Pre-seed</v>
      </c>
      <c r="U742" s="6" t="str">
        <f ca="1">IFERROR(__xludf.DUMMYFUNCTION("""COMPUTED_VALUE"""),"Pre-seed")</f>
        <v>Pre-seed</v>
      </c>
      <c r="V742" s="6"/>
      <c r="W742" s="6" t="str">
        <f ca="1">IFERROR(__xludf.DUMMYFUNCTION("""COMPUTED_VALUE"""),"Invite Next Year")</f>
        <v>Invite Next Year</v>
      </c>
    </row>
    <row r="743" spans="1:23">
      <c r="A743" s="6" t="str">
        <f ca="1">IFERROR(__xludf.DUMMYFUNCTION("""COMPUTED_VALUE"""),"Man, Man, Man")</f>
        <v>Man, Man, Man</v>
      </c>
      <c r="B743" s="6" t="str">
        <f ca="1">IFERROR(__xludf.DUMMYFUNCTION("""COMPUTED_VALUE"""),"Pannex Therapeutics _2022")</f>
        <v>Pannex Therapeutics _2022</v>
      </c>
      <c r="C743" s="6" t="str">
        <f ca="1">IFERROR(__xludf.DUMMYFUNCTION("""COMPUTED_VALUE"""),"Life Sciences")</f>
        <v>Life Sciences</v>
      </c>
      <c r="D743" s="6" t="str">
        <f ca="1">IFERROR(__xludf.DUMMYFUNCTION("""COMPUTED_VALUE"""),"New York, NEW YORK 
United States")</f>
        <v>New York, NEW YORK 
United States</v>
      </c>
      <c r="E743" s="6" t="str">
        <f ca="1">IFERROR(__xludf.DUMMYFUNCTION("""COMPUTED_VALUE"""),"New York")</f>
        <v>New York</v>
      </c>
      <c r="F743" s="6" t="str">
        <f ca="1">IFERROR(__xludf.DUMMYFUNCTION("""COMPUTED_VALUE"""),"Man")</f>
        <v>Man</v>
      </c>
      <c r="G743" s="6" t="str">
        <f ca="1">IFERROR(__xludf.DUMMYFUNCTION("""COMPUTED_VALUE"""),"Man")</f>
        <v>Man</v>
      </c>
      <c r="H743" s="6" t="str">
        <f ca="1">IFERROR(__xludf.DUMMYFUNCTION("""COMPUTED_VALUE"""),"Man")</f>
        <v>Man</v>
      </c>
      <c r="I743" s="6"/>
      <c r="J743" s="6"/>
      <c r="K743" s="6"/>
      <c r="L743" s="6" t="str">
        <f ca="1">IFERROR(__xludf.DUMMYFUNCTION("""COMPUTED_VALUE"""),"--Please select--")</f>
        <v>--Please select--</v>
      </c>
      <c r="M743" s="6"/>
      <c r="N743" s="6"/>
      <c r="O743" s="6" t="str">
        <f ca="1">IFERROR(__xludf.DUMMYFUNCTION("""COMPUTED_VALUE"""),"Other")</f>
        <v>Other</v>
      </c>
      <c r="P743" s="6"/>
      <c r="Q743" s="6" t="str">
        <f ca="1">IFERROR(__xludf.DUMMYFUNCTION("""COMPUTED_VALUE"""),"No")</f>
        <v>No</v>
      </c>
      <c r="R743" s="6">
        <f ca="1">IFERROR(__xludf.DUMMYFUNCTION("""COMPUTED_VALUE"""),3)</f>
        <v>3</v>
      </c>
      <c r="S743" s="6" t="str">
        <f ca="1">IFERROR(__xludf.DUMMYFUNCTION("""COMPUTED_VALUE"""),"Pre-seed
Seed")</f>
        <v>Pre-seed
Seed</v>
      </c>
      <c r="T743" s="6" t="str">
        <f ca="1">IFERROR(__xludf.DUMMYFUNCTION("""COMPUTED_VALUE"""),"Pre-seed, Seed")</f>
        <v>Pre-seed, Seed</v>
      </c>
      <c r="U743" s="6" t="str">
        <f ca="1">IFERROR(__xludf.DUMMYFUNCTION("""COMPUTED_VALUE"""),"Pre-seed, Seed")</f>
        <v>Pre-seed, Seed</v>
      </c>
      <c r="V743" s="6"/>
      <c r="W743" s="6" t="str">
        <f ca="1">IFERROR(__xludf.DUMMYFUNCTION("""COMPUTED_VALUE"""),"Invite")</f>
        <v>Invite</v>
      </c>
    </row>
    <row r="744" spans="1:23">
      <c r="A744" s="6" t="str">
        <f ca="1">IFERROR(__xludf.DUMMYFUNCTION("""COMPUTED_VALUE"""),"Man, Man")</f>
        <v>Man, Man</v>
      </c>
      <c r="B744" s="6" t="str">
        <f ca="1">IFERROR(__xludf.DUMMYFUNCTION("""COMPUTED_VALUE"""),"ConConnect _2022")</f>
        <v>ConConnect _2022</v>
      </c>
      <c r="C744" s="6" t="str">
        <f ca="1">IFERROR(__xludf.DUMMYFUNCTION("""COMPUTED_VALUE"""),"Digital Tech")</f>
        <v>Digital Tech</v>
      </c>
      <c r="D744" s="6" t="str">
        <f ca="1">IFERROR(__xludf.DUMMYFUNCTION("""COMPUTED_VALUE"""),"50 nepperhan street, yonkers new york, new york 
United States")</f>
        <v>50 nepperhan street, yonkers new york, new york 
United States</v>
      </c>
      <c r="E744" s="6" t="str">
        <f ca="1">IFERROR(__xludf.DUMMYFUNCTION("""COMPUTED_VALUE"""),"East Coast")</f>
        <v>East Coast</v>
      </c>
      <c r="F744" s="6" t="str">
        <f ca="1">IFERROR(__xludf.DUMMYFUNCTION("""COMPUTED_VALUE"""),"Man")</f>
        <v>Man</v>
      </c>
      <c r="G744" s="6" t="str">
        <f ca="1">IFERROR(__xludf.DUMMYFUNCTION("""COMPUTED_VALUE"""),"Man")</f>
        <v>Man</v>
      </c>
      <c r="H744" s="6"/>
      <c r="I744" s="6"/>
      <c r="J744" s="6"/>
      <c r="K744" s="6"/>
      <c r="L744" s="6" t="str">
        <f ca="1">IFERROR(__xludf.DUMMYFUNCTION("""COMPUTED_VALUE"""),"No")</f>
        <v>No</v>
      </c>
      <c r="M744" s="6"/>
      <c r="N744" s="6"/>
      <c r="O744" s="6" t="str">
        <f ca="1">IFERROR(__xludf.DUMMYFUNCTION("""COMPUTED_VALUE"""),"Info Session")</f>
        <v>Info Session</v>
      </c>
      <c r="P744" s="6"/>
      <c r="Q744" s="6" t="str">
        <f ca="1">IFERROR(__xludf.DUMMYFUNCTION("""COMPUTED_VALUE"""),"No")</f>
        <v>No</v>
      </c>
      <c r="R744" s="6">
        <f ca="1">IFERROR(__xludf.DUMMYFUNCTION("""COMPUTED_VALUE"""),2)</f>
        <v>2</v>
      </c>
      <c r="S744" s="6" t="str">
        <f ca="1">IFERROR(__xludf.DUMMYFUNCTION("""COMPUTED_VALUE"""),"Pre-seed")</f>
        <v>Pre-seed</v>
      </c>
      <c r="T744" s="6" t="str">
        <f ca="1">IFERROR(__xludf.DUMMYFUNCTION("""COMPUTED_VALUE"""),"Pre-seed")</f>
        <v>Pre-seed</v>
      </c>
      <c r="U744" s="6" t="str">
        <f ca="1">IFERROR(__xludf.DUMMYFUNCTION("""COMPUTED_VALUE"""),"Pre-seed")</f>
        <v>Pre-seed</v>
      </c>
      <c r="V744" s="6"/>
      <c r="W744" s="6" t="str">
        <f ca="1">IFERROR(__xludf.DUMMYFUNCTION("""COMPUTED_VALUE"""),"Invite")</f>
        <v>Invite</v>
      </c>
    </row>
    <row r="745" spans="1:23">
      <c r="A745" s="6" t="str">
        <f ca="1">IFERROR(__xludf.DUMMYFUNCTION("""COMPUTED_VALUE"""),"Man, Man, Man, Man")</f>
        <v>Man, Man, Man, Man</v>
      </c>
      <c r="B745" s="6" t="str">
        <f ca="1">IFERROR(__xludf.DUMMYFUNCTION("""COMPUTED_VALUE"""),"Dandelion Health, Inc. _2022")</f>
        <v>Dandelion Health, Inc. _2022</v>
      </c>
      <c r="C745" s="6" t="str">
        <f ca="1">IFERROR(__xludf.DUMMYFUNCTION("""COMPUTED_VALUE"""),"Digital Tech")</f>
        <v>Digital Tech</v>
      </c>
      <c r="D745" s="6" t="str">
        <f ca="1">IFERROR(__xludf.DUMMYFUNCTION("""COMPUTED_VALUE"""),"1850 Muttontown Road, Syosset, NY 11791, New York 
United States")</f>
        <v>1850 Muttontown Road, Syosset, NY 11791, New York 
United States</v>
      </c>
      <c r="E745" s="6" t="str">
        <f ca="1">IFERROR(__xludf.DUMMYFUNCTION("""COMPUTED_VALUE"""),"East Coast")</f>
        <v>East Coast</v>
      </c>
      <c r="F745" s="6" t="str">
        <f ca="1">IFERROR(__xludf.DUMMYFUNCTION("""COMPUTED_VALUE"""),"Man")</f>
        <v>Man</v>
      </c>
      <c r="G745" s="6" t="str">
        <f ca="1">IFERROR(__xludf.DUMMYFUNCTION("""COMPUTED_VALUE"""),"Man")</f>
        <v>Man</v>
      </c>
      <c r="H745" s="6" t="str">
        <f ca="1">IFERROR(__xludf.DUMMYFUNCTION("""COMPUTED_VALUE"""),"Man")</f>
        <v>Man</v>
      </c>
      <c r="I745" s="6" t="str">
        <f ca="1">IFERROR(__xludf.DUMMYFUNCTION("""COMPUTED_VALUE"""),"Man")</f>
        <v>Man</v>
      </c>
      <c r="J745" s="6"/>
      <c r="K745" s="6"/>
      <c r="L745" s="6" t="str">
        <f ca="1">IFERROR(__xludf.DUMMYFUNCTION("""COMPUTED_VALUE"""),"No")</f>
        <v>No</v>
      </c>
      <c r="M745" s="6"/>
      <c r="N745" s="6"/>
      <c r="O745" s="6" t="str">
        <f ca="1">IFERROR(__xludf.DUMMYFUNCTION("""COMPUTED_VALUE"""),"Email")</f>
        <v>Email</v>
      </c>
      <c r="P745" s="6"/>
      <c r="Q745" s="6" t="str">
        <f ca="1">IFERROR(__xludf.DUMMYFUNCTION("""COMPUTED_VALUE"""),"No")</f>
        <v>No</v>
      </c>
      <c r="R745" s="6">
        <f ca="1">IFERROR(__xludf.DUMMYFUNCTION("""COMPUTED_VALUE"""),4)</f>
        <v>4</v>
      </c>
      <c r="S745" s="6" t="str">
        <f ca="1">IFERROR(__xludf.DUMMYFUNCTION("""COMPUTED_VALUE"""),"Pre-seed")</f>
        <v>Pre-seed</v>
      </c>
      <c r="T745" s="6" t="str">
        <f ca="1">IFERROR(__xludf.DUMMYFUNCTION("""COMPUTED_VALUE"""),"Pre-seed")</f>
        <v>Pre-seed</v>
      </c>
      <c r="U745" s="6" t="str">
        <f ca="1">IFERROR(__xludf.DUMMYFUNCTION("""COMPUTED_VALUE"""),"Pre-seed")</f>
        <v>Pre-seed</v>
      </c>
      <c r="V745" s="6"/>
      <c r="W745" s="6" t="str">
        <f ca="1">IFERROR(__xludf.DUMMYFUNCTION("""COMPUTED_VALUE"""),"Invite Next Year")</f>
        <v>Invite Next Year</v>
      </c>
    </row>
    <row r="746" spans="1:23">
      <c r="A746" s="6" t="str">
        <f ca="1">IFERROR(__xludf.DUMMYFUNCTION("""COMPUTED_VALUE"""),"Woman, Woman")</f>
        <v>Woman, Woman</v>
      </c>
      <c r="B746" s="6" t="str">
        <f ca="1">IFERROR(__xludf.DUMMYFUNCTION("""COMPUTED_VALUE"""),"MissPoppins, Inc _2022")</f>
        <v>MissPoppins, Inc _2022</v>
      </c>
      <c r="C746" s="6" t="str">
        <f ca="1">IFERROR(__xludf.DUMMYFUNCTION("""COMPUTED_VALUE"""),"Digital Tech")</f>
        <v>Digital Tech</v>
      </c>
      <c r="D746" s="6" t="str">
        <f ca="1">IFERROR(__xludf.DUMMYFUNCTION("""COMPUTED_VALUE"""),"palo alto, ca 
United States")</f>
        <v>palo alto, ca 
United States</v>
      </c>
      <c r="E746" s="6" t="str">
        <f ca="1">IFERROR(__xludf.DUMMYFUNCTION("""COMPUTED_VALUE"""),"West Coast")</f>
        <v>West Coast</v>
      </c>
      <c r="F746" s="6" t="str">
        <f ca="1">IFERROR(__xludf.DUMMYFUNCTION("""COMPUTED_VALUE"""),"Woman")</f>
        <v>Woman</v>
      </c>
      <c r="G746" s="6" t="str">
        <f ca="1">IFERROR(__xludf.DUMMYFUNCTION("""COMPUTED_VALUE"""),"Woman")</f>
        <v>Woman</v>
      </c>
      <c r="H746" s="6"/>
      <c r="I746" s="6"/>
      <c r="J746" s="6"/>
      <c r="K746" s="6"/>
      <c r="L746" s="6" t="str">
        <f ca="1">IFERROR(__xludf.DUMMYFUNCTION("""COMPUTED_VALUE"""),"--Please select--")</f>
        <v>--Please select--</v>
      </c>
      <c r="M746" s="6"/>
      <c r="N746" s="6"/>
      <c r="O746" s="6" t="str">
        <f ca="1">IFERROR(__xludf.DUMMYFUNCTION("""COMPUTED_VALUE"""),"Referral")</f>
        <v>Referral</v>
      </c>
      <c r="P746" s="6"/>
      <c r="Q746" s="6" t="str">
        <f ca="1">IFERROR(__xludf.DUMMYFUNCTION("""COMPUTED_VALUE"""),"No")</f>
        <v>No</v>
      </c>
      <c r="R746" s="6">
        <f ca="1">IFERROR(__xludf.DUMMYFUNCTION("""COMPUTED_VALUE"""),2)</f>
        <v>2</v>
      </c>
      <c r="S746" s="6" t="str">
        <f ca="1">IFERROR(__xludf.DUMMYFUNCTION("""COMPUTED_VALUE"""),"None")</f>
        <v>None</v>
      </c>
      <c r="T746" s="6" t="str">
        <f ca="1">IFERROR(__xludf.DUMMYFUNCTION("""COMPUTED_VALUE"""),"None")</f>
        <v>None</v>
      </c>
      <c r="U746" s="6" t="str">
        <f ca="1">IFERROR(__xludf.DUMMYFUNCTION("""COMPUTED_VALUE"""),"None")</f>
        <v>None</v>
      </c>
      <c r="V746" s="6"/>
      <c r="W746" s="6" t="str">
        <f ca="1">IFERROR(__xludf.DUMMYFUNCTION("""COMPUTED_VALUE"""),"Invite Next Year")</f>
        <v>Invite Next Year</v>
      </c>
    </row>
    <row r="747" spans="1:23">
      <c r="A747" s="6" t="str">
        <f ca="1">IFERROR(__xludf.DUMMYFUNCTION("""COMPUTED_VALUE"""),"Woman, Man, Man")</f>
        <v>Woman, Man, Man</v>
      </c>
      <c r="B747" s="6" t="str">
        <f ca="1">IFERROR(__xludf.DUMMYFUNCTION("""COMPUTED_VALUE"""),"NOWHERE (NWR CORP) _2022")</f>
        <v>NOWHERE (NWR CORP) _2022</v>
      </c>
      <c r="C747" s="6" t="str">
        <f ca="1">IFERROR(__xludf.DUMMYFUNCTION("""COMPUTED_VALUE"""),"Digital Tech")</f>
        <v>Digital Tech</v>
      </c>
      <c r="D747" s="6" t="str">
        <f ca="1">IFERROR(__xludf.DUMMYFUNCTION("""COMPUTED_VALUE"""),"155 N 3rd st suite 15, Brooklyn  
United States")</f>
        <v>155 N 3rd st suite 15, Brooklyn  
United States</v>
      </c>
      <c r="E747" s="6" t="str">
        <f ca="1">IFERROR(__xludf.DUMMYFUNCTION("""COMPUTED_VALUE"""),"New York")</f>
        <v>New York</v>
      </c>
      <c r="F747" s="6" t="str">
        <f ca="1">IFERROR(__xludf.DUMMYFUNCTION("""COMPUTED_VALUE"""),"Woman")</f>
        <v>Woman</v>
      </c>
      <c r="G747" s="6" t="str">
        <f ca="1">IFERROR(__xludf.DUMMYFUNCTION("""COMPUTED_VALUE"""),"Man")</f>
        <v>Man</v>
      </c>
      <c r="H747" s="6" t="str">
        <f ca="1">IFERROR(__xludf.DUMMYFUNCTION("""COMPUTED_VALUE"""),"Man")</f>
        <v>Man</v>
      </c>
      <c r="I747" s="6"/>
      <c r="J747" s="6"/>
      <c r="K747" s="6"/>
      <c r="L747" s="6" t="str">
        <f ca="1">IFERROR(__xludf.DUMMYFUNCTION("""COMPUTED_VALUE"""),"Yes")</f>
        <v>Yes</v>
      </c>
      <c r="M747" s="6" t="str">
        <f ca="1">IFERROR(__xludf.DUMMYFUNCTION("""COMPUTED_VALUE"""),"NYU Alumni")</f>
        <v>NYU Alumni</v>
      </c>
      <c r="N747" s="6"/>
      <c r="O747" s="6" t="str">
        <f ca="1">IFERROR(__xludf.DUMMYFUNCTION("""COMPUTED_VALUE"""),"Email")</f>
        <v>Email</v>
      </c>
      <c r="P747" s="6"/>
      <c r="Q747" s="6" t="str">
        <f ca="1">IFERROR(__xludf.DUMMYFUNCTION("""COMPUTED_VALUE"""),"No")</f>
        <v>No</v>
      </c>
      <c r="R747" s="6">
        <f ca="1">IFERROR(__xludf.DUMMYFUNCTION("""COMPUTED_VALUE"""),3)</f>
        <v>3</v>
      </c>
      <c r="S747" s="6" t="str">
        <f ca="1">IFERROR(__xludf.DUMMYFUNCTION("""COMPUTED_VALUE"""),"Pre-seed
Seed")</f>
        <v>Pre-seed
Seed</v>
      </c>
      <c r="T747" s="6" t="str">
        <f ca="1">IFERROR(__xludf.DUMMYFUNCTION("""COMPUTED_VALUE"""),"Pre-seed, Seed")</f>
        <v>Pre-seed, Seed</v>
      </c>
      <c r="U747" s="6" t="str">
        <f ca="1">IFERROR(__xludf.DUMMYFUNCTION("""COMPUTED_VALUE"""),"Pre-seed, Seed")</f>
        <v>Pre-seed, Seed</v>
      </c>
      <c r="V747" s="6"/>
      <c r="W747" s="6" t="str">
        <f ca="1">IFERROR(__xludf.DUMMYFUNCTION("""COMPUTED_VALUE"""),"Invite Next Year")</f>
        <v>Invite Next Year</v>
      </c>
    </row>
    <row r="748" spans="1:23">
      <c r="A748" s="6" t="str">
        <f ca="1">IFERROR(__xludf.DUMMYFUNCTION("""COMPUTED_VALUE"""),"Man, Man, Man, Man")</f>
        <v>Man, Man, Man, Man</v>
      </c>
      <c r="B748" s="6" t="str">
        <f ca="1">IFERROR(__xludf.DUMMYFUNCTION("""COMPUTED_VALUE"""),"Insynctive, Inc. _2022")</f>
        <v>Insynctive, Inc. _2022</v>
      </c>
      <c r="C748" s="6" t="str">
        <f ca="1">IFERROR(__xludf.DUMMYFUNCTION("""COMPUTED_VALUE"""),"Digital Tech")</f>
        <v>Digital Tech</v>
      </c>
      <c r="D748" s="6" t="str">
        <f ca="1">IFERROR(__xludf.DUMMYFUNCTION("""COMPUTED_VALUE"""),"Walnut Creek, California 
United States")</f>
        <v>Walnut Creek, California 
United States</v>
      </c>
      <c r="E748" s="6" t="str">
        <f ca="1">IFERROR(__xludf.DUMMYFUNCTION("""COMPUTED_VALUE"""),"West Coast")</f>
        <v>West Coast</v>
      </c>
      <c r="F748" s="6" t="str">
        <f ca="1">IFERROR(__xludf.DUMMYFUNCTION("""COMPUTED_VALUE"""),"Man")</f>
        <v>Man</v>
      </c>
      <c r="G748" s="6" t="str">
        <f ca="1">IFERROR(__xludf.DUMMYFUNCTION("""COMPUTED_VALUE"""),"Man")</f>
        <v>Man</v>
      </c>
      <c r="H748" s="6" t="str">
        <f ca="1">IFERROR(__xludf.DUMMYFUNCTION("""COMPUTED_VALUE"""),"Man")</f>
        <v>Man</v>
      </c>
      <c r="I748" s="6" t="str">
        <f ca="1">IFERROR(__xludf.DUMMYFUNCTION("""COMPUTED_VALUE"""),"Man")</f>
        <v>Man</v>
      </c>
      <c r="J748" s="6"/>
      <c r="K748" s="6"/>
      <c r="L748" s="6" t="str">
        <f ca="1">IFERROR(__xludf.DUMMYFUNCTION("""COMPUTED_VALUE"""),"No")</f>
        <v>No</v>
      </c>
      <c r="M748" s="6"/>
      <c r="N748" s="6"/>
      <c r="O748" s="6" t="str">
        <f ca="1">IFERROR(__xludf.DUMMYFUNCTION("""COMPUTED_VALUE"""),"Other")</f>
        <v>Other</v>
      </c>
      <c r="P748" s="6"/>
      <c r="Q748" s="6" t="str">
        <f ca="1">IFERROR(__xludf.DUMMYFUNCTION("""COMPUTED_VALUE"""),"No")</f>
        <v>No</v>
      </c>
      <c r="R748" s="6">
        <f ca="1">IFERROR(__xludf.DUMMYFUNCTION("""COMPUTED_VALUE"""),4)</f>
        <v>4</v>
      </c>
      <c r="S748" s="6" t="str">
        <f ca="1">IFERROR(__xludf.DUMMYFUNCTION("""COMPUTED_VALUE"""),"Pre-seed
Other: Mostly funded by Gary Goldstein")</f>
        <v>Pre-seed
Other: Mostly funded by Gary Goldstein</v>
      </c>
      <c r="T748" s="6" t="str">
        <f ca="1">IFERROR(__xludf.DUMMYFUNCTION("""COMPUTED_VALUE"""),"Pre-seed, Other: Mostly funded by Gary Goldstein")</f>
        <v>Pre-seed, Other: Mostly funded by Gary Goldstein</v>
      </c>
      <c r="U748" s="6" t="str">
        <f ca="1">IFERROR(__xludf.DUMMYFUNCTION("""COMPUTED_VALUE"""),"Pre-seed, ")</f>
        <v xml:space="preserve">Pre-seed, </v>
      </c>
      <c r="V748" s="6" t="str">
        <f ca="1">IFERROR(__xludf.DUMMYFUNCTION("""COMPUTED_VALUE"""),"Mostly funded by Gary Goldstein")</f>
        <v>Mostly funded by Gary Goldstein</v>
      </c>
      <c r="W748" s="6" t="str">
        <f ca="1">IFERROR(__xludf.DUMMYFUNCTION("""COMPUTED_VALUE"""),"Invite Next Year")</f>
        <v>Invite Next Year</v>
      </c>
    </row>
    <row r="749" spans="1:23">
      <c r="A749" s="6" t="str">
        <f ca="1">IFERROR(__xludf.DUMMYFUNCTION("""COMPUTED_VALUE"""),"Man, Man")</f>
        <v>Man, Man</v>
      </c>
      <c r="B749" s="6" t="str">
        <f ca="1">IFERROR(__xludf.DUMMYFUNCTION("""COMPUTED_VALUE"""),"Qbrics, Inc _2022")</f>
        <v>Qbrics, Inc _2022</v>
      </c>
      <c r="C749" s="6" t="str">
        <f ca="1">IFERROR(__xludf.DUMMYFUNCTION("""COMPUTED_VALUE"""),"Digital Tech")</f>
        <v>Digital Tech</v>
      </c>
      <c r="D749" s="6" t="str">
        <f ca="1">IFERROR(__xludf.DUMMYFUNCTION("""COMPUTED_VALUE"""),"3121 Broadway St, Suite 106, Paducah, Kentucky 
United States")</f>
        <v>3121 Broadway St, Suite 106, Paducah, Kentucky 
United States</v>
      </c>
      <c r="E749" s="6" t="str">
        <f ca="1">IFERROR(__xludf.DUMMYFUNCTION("""COMPUTED_VALUE"""),"South")</f>
        <v>South</v>
      </c>
      <c r="F749" s="6" t="str">
        <f ca="1">IFERROR(__xludf.DUMMYFUNCTION("""COMPUTED_VALUE"""),"Man")</f>
        <v>Man</v>
      </c>
      <c r="G749" s="6" t="str">
        <f ca="1">IFERROR(__xludf.DUMMYFUNCTION("""COMPUTED_VALUE"""),"Man")</f>
        <v>Man</v>
      </c>
      <c r="H749" s="6"/>
      <c r="I749" s="6"/>
      <c r="J749" s="6"/>
      <c r="K749" s="6"/>
      <c r="L749" s="6" t="str">
        <f ca="1">IFERROR(__xludf.DUMMYFUNCTION("""COMPUTED_VALUE"""),"No")</f>
        <v>No</v>
      </c>
      <c r="M749" s="6"/>
      <c r="N749" s="6"/>
      <c r="O749" s="6" t="str">
        <f ca="1">IFERROR(__xludf.DUMMYFUNCTION("""COMPUTED_VALUE"""),"Email")</f>
        <v>Email</v>
      </c>
      <c r="P749" s="6"/>
      <c r="Q749" s="6" t="str">
        <f ca="1">IFERROR(__xludf.DUMMYFUNCTION("""COMPUTED_VALUE"""),"Yes")</f>
        <v>Yes</v>
      </c>
      <c r="R749" s="6">
        <f ca="1">IFERROR(__xludf.DUMMYFUNCTION("""COMPUTED_VALUE"""),2)</f>
        <v>2</v>
      </c>
      <c r="S749" s="6" t="str">
        <f ca="1">IFERROR(__xludf.DUMMYFUNCTION("""COMPUTED_VALUE"""),"Pre-seed")</f>
        <v>Pre-seed</v>
      </c>
      <c r="T749" s="6" t="str">
        <f ca="1">IFERROR(__xludf.DUMMYFUNCTION("""COMPUTED_VALUE"""),"Pre-seed")</f>
        <v>Pre-seed</v>
      </c>
      <c r="U749" s="6" t="str">
        <f ca="1">IFERROR(__xludf.DUMMYFUNCTION("""COMPUTED_VALUE"""),"Pre-seed")</f>
        <v>Pre-seed</v>
      </c>
      <c r="V749" s="6"/>
      <c r="W749" s="6" t="str">
        <f ca="1">IFERROR(__xludf.DUMMYFUNCTION("""COMPUTED_VALUE"""),"Invite Next Year")</f>
        <v>Invite Next Year</v>
      </c>
    </row>
    <row r="750" spans="1:23">
      <c r="A750" s="6" t="str">
        <f ca="1">IFERROR(__xludf.DUMMYFUNCTION("""COMPUTED_VALUE"""),"Man, Man")</f>
        <v>Man, Man</v>
      </c>
      <c r="B750" s="6" t="str">
        <f ca="1">IFERROR(__xludf.DUMMYFUNCTION("""COMPUTED_VALUE"""),"Findpet _2022")</f>
        <v>Findpet _2022</v>
      </c>
      <c r="C750" s="6" t="str">
        <f ca="1">IFERROR(__xludf.DUMMYFUNCTION("""COMPUTED_VALUE"""),"Digital Tech")</f>
        <v>Digital Tech</v>
      </c>
      <c r="D750" s="6" t="str">
        <f ca="1">IFERROR(__xludf.DUMMYFUNCTION("""COMPUTED_VALUE"""),"Boca Raton, FL 
United States")</f>
        <v>Boca Raton, FL 
United States</v>
      </c>
      <c r="E750" s="6" t="str">
        <f ca="1">IFERROR(__xludf.DUMMYFUNCTION("""COMPUTED_VALUE"""),"East Coast")</f>
        <v>East Coast</v>
      </c>
      <c r="F750" s="6" t="str">
        <f ca="1">IFERROR(__xludf.DUMMYFUNCTION("""COMPUTED_VALUE"""),"Man")</f>
        <v>Man</v>
      </c>
      <c r="G750" s="6" t="str">
        <f ca="1">IFERROR(__xludf.DUMMYFUNCTION("""COMPUTED_VALUE"""),"Man")</f>
        <v>Man</v>
      </c>
      <c r="H750" s="6"/>
      <c r="I750" s="6"/>
      <c r="J750" s="6"/>
      <c r="K750" s="6"/>
      <c r="L750" s="6" t="str">
        <f ca="1">IFERROR(__xludf.DUMMYFUNCTION("""COMPUTED_VALUE"""),"No")</f>
        <v>No</v>
      </c>
      <c r="M750" s="6"/>
      <c r="N750" s="6"/>
      <c r="O750" s="6" t="str">
        <f ca="1">IFERROR(__xludf.DUMMYFUNCTION("""COMPUTED_VALUE"""),"Email")</f>
        <v>Email</v>
      </c>
      <c r="P750" s="6"/>
      <c r="Q750" s="6" t="str">
        <f ca="1">IFERROR(__xludf.DUMMYFUNCTION("""COMPUTED_VALUE"""),"No")</f>
        <v>No</v>
      </c>
      <c r="R750" s="6">
        <f ca="1">IFERROR(__xludf.DUMMYFUNCTION("""COMPUTED_VALUE"""),2)</f>
        <v>2</v>
      </c>
      <c r="S750" s="6" t="str">
        <f ca="1">IFERROR(__xludf.DUMMYFUNCTION("""COMPUTED_VALUE"""),"Pre-seed
Grants")</f>
        <v>Pre-seed
Grants</v>
      </c>
      <c r="T750" s="6" t="str">
        <f ca="1">IFERROR(__xludf.DUMMYFUNCTION("""COMPUTED_VALUE"""),"Pre-seed, Grants")</f>
        <v>Pre-seed, Grants</v>
      </c>
      <c r="U750" s="6" t="str">
        <f ca="1">IFERROR(__xludf.DUMMYFUNCTION("""COMPUTED_VALUE"""),"Pre-seed, Grants")</f>
        <v>Pre-seed, Grants</v>
      </c>
      <c r="V750" s="6"/>
      <c r="W750" s="6" t="str">
        <f ca="1">IFERROR(__xludf.DUMMYFUNCTION("""COMPUTED_VALUE"""),"Invite Next Year")</f>
        <v>Invite Next Year</v>
      </c>
    </row>
    <row r="751" spans="1:23">
      <c r="A751" s="6" t="str">
        <f ca="1">IFERROR(__xludf.DUMMYFUNCTION("""COMPUTED_VALUE"""),"Man")</f>
        <v>Man</v>
      </c>
      <c r="B751" s="6" t="str">
        <f ca="1">IFERROR(__xludf.DUMMYFUNCTION("""COMPUTED_VALUE"""),"Peer Circles by wedstll  _2022")</f>
        <v>Peer Circles by wedstll  _2022</v>
      </c>
      <c r="C751" s="6" t="str">
        <f ca="1">IFERROR(__xludf.DUMMYFUNCTION("""COMPUTED_VALUE"""),"Digital Tech")</f>
        <v>Digital Tech</v>
      </c>
      <c r="D751" s="6" t="str">
        <f ca="1">IFERROR(__xludf.DUMMYFUNCTION("""COMPUTED_VALUE"""),"Toronto , Ontario 
Canada")</f>
        <v>Toronto , Ontario 
Canada</v>
      </c>
      <c r="E751" s="6" t="str">
        <f ca="1">IFERROR(__xludf.DUMMYFUNCTION("""COMPUTED_VALUE"""),"International - Americas")</f>
        <v>International - Americas</v>
      </c>
      <c r="F751" s="6" t="str">
        <f ca="1">IFERROR(__xludf.DUMMYFUNCTION("""COMPUTED_VALUE"""),"Man")</f>
        <v>Man</v>
      </c>
      <c r="G751" s="6"/>
      <c r="H751" s="6"/>
      <c r="I751" s="6"/>
      <c r="J751" s="6"/>
      <c r="K751" s="6"/>
      <c r="L751" s="6" t="str">
        <f ca="1">IFERROR(__xludf.DUMMYFUNCTION("""COMPUTED_VALUE"""),"No")</f>
        <v>No</v>
      </c>
      <c r="M751" s="6"/>
      <c r="N751" s="6"/>
      <c r="O751" s="6" t="str">
        <f ca="1">IFERROR(__xludf.DUMMYFUNCTION("""COMPUTED_VALUE"""),"Referral")</f>
        <v>Referral</v>
      </c>
      <c r="P751" s="6"/>
      <c r="Q751" s="6" t="str">
        <f ca="1">IFERROR(__xludf.DUMMYFUNCTION("""COMPUTED_VALUE"""),"No")</f>
        <v>No</v>
      </c>
      <c r="R751" s="6">
        <f ca="1">IFERROR(__xludf.DUMMYFUNCTION("""COMPUTED_VALUE"""),1)</f>
        <v>1</v>
      </c>
      <c r="S751" s="6" t="str">
        <f ca="1">IFERROR(__xludf.DUMMYFUNCTION("""COMPUTED_VALUE"""),"Other: Friends and Family")</f>
        <v>Other: Friends and Family</v>
      </c>
      <c r="T751" s="6" t="str">
        <f ca="1">IFERROR(__xludf.DUMMYFUNCTION("""COMPUTED_VALUE"""),"Other: Friends and Family")</f>
        <v>Other: Friends and Family</v>
      </c>
      <c r="U751" s="6" t="str">
        <f ca="1">IFERROR(__xludf.DUMMYFUNCTION("""COMPUTED_VALUE"""),"Friends and Family")</f>
        <v>Friends and Family</v>
      </c>
      <c r="V751" s="6"/>
      <c r="W751" s="6" t="str">
        <f ca="1">IFERROR(__xludf.DUMMYFUNCTION("""COMPUTED_VALUE"""),"Invite Next Year")</f>
        <v>Invite Next Year</v>
      </c>
    </row>
    <row r="752" spans="1:23">
      <c r="A752" s="6" t="str">
        <f ca="1">IFERROR(__xludf.DUMMYFUNCTION("""COMPUTED_VALUE"""),"Man")</f>
        <v>Man</v>
      </c>
      <c r="B752" s="6" t="str">
        <f ca="1">IFERROR(__xludf.DUMMYFUNCTION("""COMPUTED_VALUE"""),"My One Medical Source, LLC _2022")</f>
        <v>My One Medical Source, LLC _2022</v>
      </c>
      <c r="C752" s="6" t="str">
        <f ca="1">IFERROR(__xludf.DUMMYFUNCTION("""COMPUTED_VALUE"""),"Deep Tech")</f>
        <v>Deep Tech</v>
      </c>
      <c r="D752" s="6" t="str">
        <f ca="1">IFERROR(__xludf.DUMMYFUNCTION("""COMPUTED_VALUE"""),"Westlake, OH 
United States")</f>
        <v>Westlake, OH 
United States</v>
      </c>
      <c r="E752" s="6" t="str">
        <f ca="1">IFERROR(__xludf.DUMMYFUNCTION("""COMPUTED_VALUE"""),"Midwest")</f>
        <v>Midwest</v>
      </c>
      <c r="F752" s="6" t="str">
        <f ca="1">IFERROR(__xludf.DUMMYFUNCTION("""COMPUTED_VALUE"""),"Man")</f>
        <v>Man</v>
      </c>
      <c r="G752" s="6"/>
      <c r="H752" s="6"/>
      <c r="I752" s="6"/>
      <c r="J752" s="6"/>
      <c r="K752" s="6"/>
      <c r="L752" s="6" t="str">
        <f ca="1">IFERROR(__xludf.DUMMYFUNCTION("""COMPUTED_VALUE"""),"No")</f>
        <v>No</v>
      </c>
      <c r="M752" s="6"/>
      <c r="N752" s="6"/>
      <c r="O752" s="6" t="str">
        <f ca="1">IFERROR(__xludf.DUMMYFUNCTION("""COMPUTED_VALUE"""),"Email")</f>
        <v>Email</v>
      </c>
      <c r="P752" s="6"/>
      <c r="Q752" s="6" t="str">
        <f ca="1">IFERROR(__xludf.DUMMYFUNCTION("""COMPUTED_VALUE"""),"No")</f>
        <v>No</v>
      </c>
      <c r="R752" s="6">
        <f ca="1">IFERROR(__xludf.DUMMYFUNCTION("""COMPUTED_VALUE"""),1)</f>
        <v>1</v>
      </c>
      <c r="S752" s="6" t="str">
        <f ca="1">IFERROR(__xludf.DUMMYFUNCTION("""COMPUTED_VALUE"""),"Seed")</f>
        <v>Seed</v>
      </c>
      <c r="T752" s="6" t="str">
        <f ca="1">IFERROR(__xludf.DUMMYFUNCTION("""COMPUTED_VALUE"""),"Seed")</f>
        <v>Seed</v>
      </c>
      <c r="U752" s="6" t="str">
        <f ca="1">IFERROR(__xludf.DUMMYFUNCTION("""COMPUTED_VALUE"""),"Seed")</f>
        <v>Seed</v>
      </c>
      <c r="V752" s="6"/>
      <c r="W752" s="6" t="str">
        <f ca="1">IFERROR(__xludf.DUMMYFUNCTION("""COMPUTED_VALUE"""),"Invite Next Year")</f>
        <v>Invite Next Year</v>
      </c>
    </row>
    <row r="753" spans="1:23">
      <c r="A753" s="6" t="str">
        <f ca="1">IFERROR(__xludf.DUMMYFUNCTION("""COMPUTED_VALUE"""),"Woman, Man")</f>
        <v>Woman, Man</v>
      </c>
      <c r="B753" s="6" t="str">
        <f ca="1">IFERROR(__xludf.DUMMYFUNCTION("""COMPUTED_VALUE"""),"Biosimo _2022")</f>
        <v>Biosimo _2022</v>
      </c>
      <c r="C753" s="6" t="str">
        <f ca="1">IFERROR(__xludf.DUMMYFUNCTION("""COMPUTED_VALUE"""),"Deep Tech")</f>
        <v>Deep Tech</v>
      </c>
      <c r="D753" s="6" t="str">
        <f ca="1">IFERROR(__xludf.DUMMYFUNCTION("""COMPUTED_VALUE"""),"Zurich, Zurich 
Switzerland")</f>
        <v>Zurich, Zurich 
Switzerland</v>
      </c>
      <c r="E753" s="6" t="str">
        <f ca="1">IFERROR(__xludf.DUMMYFUNCTION("""COMPUTED_VALUE"""),"International - Europe")</f>
        <v>International - Europe</v>
      </c>
      <c r="F753" s="6" t="str">
        <f ca="1">IFERROR(__xludf.DUMMYFUNCTION("""COMPUTED_VALUE"""),"Woman")</f>
        <v>Woman</v>
      </c>
      <c r="G753" s="6" t="str">
        <f ca="1">IFERROR(__xludf.DUMMYFUNCTION("""COMPUTED_VALUE"""),"Man")</f>
        <v>Man</v>
      </c>
      <c r="H753" s="6"/>
      <c r="I753" s="6"/>
      <c r="J753" s="6"/>
      <c r="K753" s="6"/>
      <c r="L753" s="6" t="str">
        <f ca="1">IFERROR(__xludf.DUMMYFUNCTION("""COMPUTED_VALUE"""),"No")</f>
        <v>No</v>
      </c>
      <c r="M753" s="6"/>
      <c r="N753" s="6"/>
      <c r="O753" s="6" t="str">
        <f ca="1">IFERROR(__xludf.DUMMYFUNCTION("""COMPUTED_VALUE"""),"Email")</f>
        <v>Email</v>
      </c>
      <c r="P753" s="6"/>
      <c r="Q753" s="6" t="str">
        <f ca="1">IFERROR(__xludf.DUMMYFUNCTION("""COMPUTED_VALUE"""),"No")</f>
        <v>No</v>
      </c>
      <c r="R753" s="6">
        <f ca="1">IFERROR(__xludf.DUMMYFUNCTION("""COMPUTED_VALUE"""),2)</f>
        <v>2</v>
      </c>
      <c r="S753" s="6" t="str">
        <f ca="1">IFERROR(__xludf.DUMMYFUNCTION("""COMPUTED_VALUE"""),"Pre-seed
Grants")</f>
        <v>Pre-seed
Grants</v>
      </c>
      <c r="T753" s="6" t="str">
        <f ca="1">IFERROR(__xludf.DUMMYFUNCTION("""COMPUTED_VALUE"""),"Pre-seed, Grants")</f>
        <v>Pre-seed, Grants</v>
      </c>
      <c r="U753" s="6" t="str">
        <f ca="1">IFERROR(__xludf.DUMMYFUNCTION("""COMPUTED_VALUE"""),"Pre-seed, Grants")</f>
        <v>Pre-seed, Grants</v>
      </c>
      <c r="V753" s="6"/>
      <c r="W753" s="6" t="str">
        <f ca="1">IFERROR(__xludf.DUMMYFUNCTION("""COMPUTED_VALUE"""),"Invite Next Year")</f>
        <v>Invite Next Year</v>
      </c>
    </row>
    <row r="754" spans="1:23">
      <c r="A754" s="6" t="str">
        <f ca="1">IFERROR(__xludf.DUMMYFUNCTION("""COMPUTED_VALUE"""),"Woman, Woman")</f>
        <v>Woman, Woman</v>
      </c>
      <c r="B754" s="6" t="str">
        <f ca="1">IFERROR(__xludf.DUMMYFUNCTION("""COMPUTED_VALUE"""),"POMdesk _2022")</f>
        <v>POMdesk _2022</v>
      </c>
      <c r="C754" s="6" t="str">
        <f ca="1">IFERROR(__xludf.DUMMYFUNCTION("""COMPUTED_VALUE"""),"Digital Tech")</f>
        <v>Digital Tech</v>
      </c>
      <c r="D754" s="6" t="str">
        <f ca="1">IFERROR(__xludf.DUMMYFUNCTION("""COMPUTED_VALUE"""),"85 GREAT PORTLAND STREET, LONDON 
United Kingdom")</f>
        <v>85 GREAT PORTLAND STREET, LONDON 
United Kingdom</v>
      </c>
      <c r="E754" s="6" t="str">
        <f ca="1">IFERROR(__xludf.DUMMYFUNCTION("""COMPUTED_VALUE"""),"International - Europe")</f>
        <v>International - Europe</v>
      </c>
      <c r="F754" s="6" t="str">
        <f ca="1">IFERROR(__xludf.DUMMYFUNCTION("""COMPUTED_VALUE"""),"Woman")</f>
        <v>Woman</v>
      </c>
      <c r="G754" s="6" t="str">
        <f ca="1">IFERROR(__xludf.DUMMYFUNCTION("""COMPUTED_VALUE"""),"Woman")</f>
        <v>Woman</v>
      </c>
      <c r="H754" s="6"/>
      <c r="I754" s="6"/>
      <c r="J754" s="6"/>
      <c r="K754" s="6"/>
      <c r="L754" s="6" t="str">
        <f ca="1">IFERROR(__xludf.DUMMYFUNCTION("""COMPUTED_VALUE"""),"No")</f>
        <v>No</v>
      </c>
      <c r="M754" s="6"/>
      <c r="N754" s="6"/>
      <c r="O754" s="6" t="str">
        <f ca="1">IFERROR(__xludf.DUMMYFUNCTION("""COMPUTED_VALUE"""),"Email")</f>
        <v>Email</v>
      </c>
      <c r="P754" s="6"/>
      <c r="Q754" s="6" t="str">
        <f ca="1">IFERROR(__xludf.DUMMYFUNCTION("""COMPUTED_VALUE"""),"No")</f>
        <v>No</v>
      </c>
      <c r="R754" s="6">
        <f ca="1">IFERROR(__xludf.DUMMYFUNCTION("""COMPUTED_VALUE"""),2)</f>
        <v>2</v>
      </c>
      <c r="S754" s="6" t="str">
        <f ca="1">IFERROR(__xludf.DUMMYFUNCTION("""COMPUTED_VALUE"""),"Pre-seed")</f>
        <v>Pre-seed</v>
      </c>
      <c r="T754" s="6" t="str">
        <f ca="1">IFERROR(__xludf.DUMMYFUNCTION("""COMPUTED_VALUE"""),"Pre-seed")</f>
        <v>Pre-seed</v>
      </c>
      <c r="U754" s="6" t="str">
        <f ca="1">IFERROR(__xludf.DUMMYFUNCTION("""COMPUTED_VALUE"""),"Pre-seed")</f>
        <v>Pre-seed</v>
      </c>
      <c r="V754" s="6"/>
      <c r="W754" s="6" t="str">
        <f ca="1">IFERROR(__xludf.DUMMYFUNCTION("""COMPUTED_VALUE"""),"Invite Next Year")</f>
        <v>Invite Next Year</v>
      </c>
    </row>
    <row r="755" spans="1:23">
      <c r="A755" s="6" t="str">
        <f ca="1">IFERROR(__xludf.DUMMYFUNCTION("""COMPUTED_VALUE"""),"Man, Man, Man")</f>
        <v>Man, Man, Man</v>
      </c>
      <c r="B755" s="6" t="str">
        <f ca="1">IFERROR(__xludf.DUMMYFUNCTION("""COMPUTED_VALUE"""),"BeneTalk _2022")</f>
        <v>BeneTalk _2022</v>
      </c>
      <c r="C755" s="6" t="str">
        <f ca="1">IFERROR(__xludf.DUMMYFUNCTION("""COMPUTED_VALUE"""),"Digital Tech")</f>
        <v>Digital Tech</v>
      </c>
      <c r="D755" s="6" t="str">
        <f ca="1">IFERROR(__xludf.DUMMYFUNCTION("""COMPUTED_VALUE"""),"Beckenham, Kent 
United Kingdom")</f>
        <v>Beckenham, Kent 
United Kingdom</v>
      </c>
      <c r="E755" s="6" t="str">
        <f ca="1">IFERROR(__xludf.DUMMYFUNCTION("""COMPUTED_VALUE"""),"International - Europe")</f>
        <v>International - Europe</v>
      </c>
      <c r="F755" s="6" t="str">
        <f ca="1">IFERROR(__xludf.DUMMYFUNCTION("""COMPUTED_VALUE"""),"Man")</f>
        <v>Man</v>
      </c>
      <c r="G755" s="6" t="str">
        <f ca="1">IFERROR(__xludf.DUMMYFUNCTION("""COMPUTED_VALUE"""),"Man")</f>
        <v>Man</v>
      </c>
      <c r="H755" s="6" t="str">
        <f ca="1">IFERROR(__xludf.DUMMYFUNCTION("""COMPUTED_VALUE"""),"Man")</f>
        <v>Man</v>
      </c>
      <c r="I755" s="6"/>
      <c r="J755" s="6"/>
      <c r="K755" s="6"/>
      <c r="L755" s="6" t="str">
        <f ca="1">IFERROR(__xludf.DUMMYFUNCTION("""COMPUTED_VALUE"""),"No")</f>
        <v>No</v>
      </c>
      <c r="M755" s="6"/>
      <c r="N755" s="6"/>
      <c r="O755" s="6" t="str">
        <f ca="1">IFERROR(__xludf.DUMMYFUNCTION("""COMPUTED_VALUE"""),"Referral")</f>
        <v>Referral</v>
      </c>
      <c r="P755" s="6"/>
      <c r="Q755" s="6" t="str">
        <f ca="1">IFERROR(__xludf.DUMMYFUNCTION("""COMPUTED_VALUE"""),"No")</f>
        <v>No</v>
      </c>
      <c r="R755" s="6">
        <f ca="1">IFERROR(__xludf.DUMMYFUNCTION("""COMPUTED_VALUE"""),3)</f>
        <v>3</v>
      </c>
      <c r="S755" s="6" t="str">
        <f ca="1">IFERROR(__xludf.DUMMYFUNCTION("""COMPUTED_VALUE"""),"Pre-seed
Grants")</f>
        <v>Pre-seed
Grants</v>
      </c>
      <c r="T755" s="6" t="str">
        <f ca="1">IFERROR(__xludf.DUMMYFUNCTION("""COMPUTED_VALUE"""),"Pre-seed, Grants")</f>
        <v>Pre-seed, Grants</v>
      </c>
      <c r="U755" s="6" t="str">
        <f ca="1">IFERROR(__xludf.DUMMYFUNCTION("""COMPUTED_VALUE"""),"Pre-seed, Grants")</f>
        <v>Pre-seed, Grants</v>
      </c>
      <c r="V755" s="6"/>
      <c r="W755" s="6" t="str">
        <f ca="1">IFERROR(__xludf.DUMMYFUNCTION("""COMPUTED_VALUE"""),"Revisit/ Cluster")</f>
        <v>Revisit/ Cluster</v>
      </c>
    </row>
    <row r="756" spans="1:23">
      <c r="A756" s="6" t="str">
        <f ca="1">IFERROR(__xludf.DUMMYFUNCTION("""COMPUTED_VALUE"""),"Man, Woman")</f>
        <v>Man, Woman</v>
      </c>
      <c r="B756" s="6" t="str">
        <f ca="1">IFERROR(__xludf.DUMMYFUNCTION("""COMPUTED_VALUE"""),"Aliform Inc. _2022")</f>
        <v>Aliform Inc. _2022</v>
      </c>
      <c r="C756" s="6" t="str">
        <f ca="1">IFERROR(__xludf.DUMMYFUNCTION("""COMPUTED_VALUE"""),"Life Sciences")</f>
        <v>Life Sciences</v>
      </c>
      <c r="D756" s="6" t="str">
        <f ca="1">IFERROR(__xludf.DUMMYFUNCTION("""COMPUTED_VALUE"""),"Dallas, Texas 
United States")</f>
        <v>Dallas, Texas 
United States</v>
      </c>
      <c r="E756" s="6" t="str">
        <f ca="1">IFERROR(__xludf.DUMMYFUNCTION("""COMPUTED_VALUE"""),"South")</f>
        <v>South</v>
      </c>
      <c r="F756" s="6" t="str">
        <f ca="1">IFERROR(__xludf.DUMMYFUNCTION("""COMPUTED_VALUE"""),"Man")</f>
        <v>Man</v>
      </c>
      <c r="G756" s="6" t="str">
        <f ca="1">IFERROR(__xludf.DUMMYFUNCTION("""COMPUTED_VALUE"""),"Woman")</f>
        <v>Woman</v>
      </c>
      <c r="H756" s="6"/>
      <c r="I756" s="6"/>
      <c r="J756" s="6"/>
      <c r="K756" s="6"/>
      <c r="L756" s="6" t="str">
        <f ca="1">IFERROR(__xludf.DUMMYFUNCTION("""COMPUTED_VALUE"""),"No")</f>
        <v>No</v>
      </c>
      <c r="M756" s="6"/>
      <c r="N756" s="6"/>
      <c r="O756" s="6" t="str">
        <f ca="1">IFERROR(__xludf.DUMMYFUNCTION("""COMPUTED_VALUE"""),"Email")</f>
        <v>Email</v>
      </c>
      <c r="P756" s="6"/>
      <c r="Q756" s="6" t="str">
        <f ca="1">IFERROR(__xludf.DUMMYFUNCTION("""COMPUTED_VALUE"""),"No")</f>
        <v>No</v>
      </c>
      <c r="R756" s="6">
        <f ca="1">IFERROR(__xludf.DUMMYFUNCTION("""COMPUTED_VALUE"""),2)</f>
        <v>2</v>
      </c>
      <c r="S756" s="6" t="str">
        <f ca="1">IFERROR(__xludf.DUMMYFUNCTION("""COMPUTED_VALUE"""),"Pre-seed")</f>
        <v>Pre-seed</v>
      </c>
      <c r="T756" s="6" t="str">
        <f ca="1">IFERROR(__xludf.DUMMYFUNCTION("""COMPUTED_VALUE"""),"Pre-seed")</f>
        <v>Pre-seed</v>
      </c>
      <c r="U756" s="6" t="str">
        <f ca="1">IFERROR(__xludf.DUMMYFUNCTION("""COMPUTED_VALUE"""),"Pre-seed")</f>
        <v>Pre-seed</v>
      </c>
      <c r="V756" s="6"/>
      <c r="W756" s="6" t="str">
        <f ca="1">IFERROR(__xludf.DUMMYFUNCTION("""COMPUTED_VALUE"""),"Invite Next Year")</f>
        <v>Invite Next Year</v>
      </c>
    </row>
    <row r="757" spans="1:23">
      <c r="A757" s="6" t="str">
        <f ca="1">IFERROR(__xludf.DUMMYFUNCTION("""COMPUTED_VALUE"""),"Man, Man, Man, Man")</f>
        <v>Man, Man, Man, Man</v>
      </c>
      <c r="B757" s="6" t="str">
        <f ca="1">IFERROR(__xludf.DUMMYFUNCTION("""COMPUTED_VALUE"""),"Haylon Technologies _2022")</f>
        <v>Haylon Technologies _2022</v>
      </c>
      <c r="C757" s="6" t="str">
        <f ca="1">IFERROR(__xludf.DUMMYFUNCTION("""COMPUTED_VALUE"""),"Deep Tech")</f>
        <v>Deep Tech</v>
      </c>
      <c r="D757" s="6" t="str">
        <f ca="1">IFERROR(__xludf.DUMMYFUNCTION("""COMPUTED_VALUE"""),"Champaign, IL 
United States")</f>
        <v>Champaign, IL 
United States</v>
      </c>
      <c r="E757" s="6" t="str">
        <f ca="1">IFERROR(__xludf.DUMMYFUNCTION("""COMPUTED_VALUE"""),"Midwest")</f>
        <v>Midwest</v>
      </c>
      <c r="F757" s="6" t="str">
        <f ca="1">IFERROR(__xludf.DUMMYFUNCTION("""COMPUTED_VALUE"""),"Man")</f>
        <v>Man</v>
      </c>
      <c r="G757" s="6" t="str">
        <f ca="1">IFERROR(__xludf.DUMMYFUNCTION("""COMPUTED_VALUE"""),"Man")</f>
        <v>Man</v>
      </c>
      <c r="H757" s="6" t="str">
        <f ca="1">IFERROR(__xludf.DUMMYFUNCTION("""COMPUTED_VALUE"""),"Man")</f>
        <v>Man</v>
      </c>
      <c r="I757" s="6" t="str">
        <f ca="1">IFERROR(__xludf.DUMMYFUNCTION("""COMPUTED_VALUE"""),"Man")</f>
        <v>Man</v>
      </c>
      <c r="J757" s="6"/>
      <c r="K757" s="6"/>
      <c r="L757" s="6" t="str">
        <f ca="1">IFERROR(__xludf.DUMMYFUNCTION("""COMPUTED_VALUE"""),"Yes")</f>
        <v>Yes</v>
      </c>
      <c r="M757" s="6" t="str">
        <f ca="1">IFERROR(__xludf.DUMMYFUNCTION("""COMPUTED_VALUE"""),"Other (please specify)")</f>
        <v>Other (please specify)</v>
      </c>
      <c r="N757" s="6" t="str">
        <f ca="1">IFERROR(__xludf.DUMMYFUNCTION("""COMPUTED_VALUE"""),"Our CEO, Namin Shah, co-authored a paper with NYU Professor Dr. Dariusz Czarkowski")</f>
        <v>Our CEO, Namin Shah, co-authored a paper with NYU Professor Dr. Dariusz Czarkowski</v>
      </c>
      <c r="O757" s="6" t="str">
        <f ca="1">IFERROR(__xludf.DUMMYFUNCTION("""COMPUTED_VALUE"""),"Referral")</f>
        <v>Referral</v>
      </c>
      <c r="P757" s="6"/>
      <c r="Q757" s="6" t="str">
        <f ca="1">IFERROR(__xludf.DUMMYFUNCTION("""COMPUTED_VALUE"""),"No")</f>
        <v>No</v>
      </c>
      <c r="R757" s="6">
        <f ca="1">IFERROR(__xludf.DUMMYFUNCTION("""COMPUTED_VALUE"""),4)</f>
        <v>4</v>
      </c>
      <c r="S757" s="6" t="str">
        <f ca="1">IFERROR(__xludf.DUMMYFUNCTION("""COMPUTED_VALUE"""),"Pre-seed")</f>
        <v>Pre-seed</v>
      </c>
      <c r="T757" s="6" t="str">
        <f ca="1">IFERROR(__xludf.DUMMYFUNCTION("""COMPUTED_VALUE"""),"Pre-seed")</f>
        <v>Pre-seed</v>
      </c>
      <c r="U757" s="6" t="str">
        <f ca="1">IFERROR(__xludf.DUMMYFUNCTION("""COMPUTED_VALUE"""),"Pre-seed")</f>
        <v>Pre-seed</v>
      </c>
      <c r="V757" s="6"/>
      <c r="W757" s="6" t="str">
        <f ca="1">IFERROR(__xludf.DUMMYFUNCTION("""COMPUTED_VALUE"""),"Invite Next Year")</f>
        <v>Invite Next Year</v>
      </c>
    </row>
    <row r="758" spans="1:23">
      <c r="A758" s="6" t="str">
        <f ca="1">IFERROR(__xludf.DUMMYFUNCTION("""COMPUTED_VALUE"""),"Man, Man")</f>
        <v>Man, Man</v>
      </c>
      <c r="B758" s="6" t="str">
        <f ca="1">IFERROR(__xludf.DUMMYFUNCTION("""COMPUTED_VALUE"""),"Badili Africa _2022")</f>
        <v>Badili Africa _2022</v>
      </c>
      <c r="C758" s="6" t="str">
        <f ca="1">IFERROR(__xludf.DUMMYFUNCTION("""COMPUTED_VALUE"""),"Deep Tech")</f>
        <v>Deep Tech</v>
      </c>
      <c r="D758" s="6" t="str">
        <f ca="1">IFERROR(__xludf.DUMMYFUNCTION("""COMPUTED_VALUE"""),"3600 Prairie Heigths Drive Leander, Texas 
Kenya")</f>
        <v>3600 Prairie Heigths Drive Leander, Texas 
Kenya</v>
      </c>
      <c r="E758" s="6" t="str">
        <f ca="1">IFERROR(__xludf.DUMMYFUNCTION("""COMPUTED_VALUE"""),"International - Other")</f>
        <v>International - Other</v>
      </c>
      <c r="F758" s="6" t="str">
        <f ca="1">IFERROR(__xludf.DUMMYFUNCTION("""COMPUTED_VALUE"""),"Man")</f>
        <v>Man</v>
      </c>
      <c r="G758" s="6" t="str">
        <f ca="1">IFERROR(__xludf.DUMMYFUNCTION("""COMPUTED_VALUE"""),"Man")</f>
        <v>Man</v>
      </c>
      <c r="H758" s="6"/>
      <c r="I758" s="6"/>
      <c r="J758" s="6"/>
      <c r="K758" s="6"/>
      <c r="L758" s="6" t="str">
        <f ca="1">IFERROR(__xludf.DUMMYFUNCTION("""COMPUTED_VALUE"""),"No")</f>
        <v>No</v>
      </c>
      <c r="M758" s="6"/>
      <c r="N758" s="6"/>
      <c r="O758" s="6" t="str">
        <f ca="1">IFERROR(__xludf.DUMMYFUNCTION("""COMPUTED_VALUE"""),"Email")</f>
        <v>Email</v>
      </c>
      <c r="P758" s="6"/>
      <c r="Q758" s="6" t="str">
        <f ca="1">IFERROR(__xludf.DUMMYFUNCTION("""COMPUTED_VALUE"""),"No")</f>
        <v>No</v>
      </c>
      <c r="R758" s="6">
        <f ca="1">IFERROR(__xludf.DUMMYFUNCTION("""COMPUTED_VALUE"""),2)</f>
        <v>2</v>
      </c>
      <c r="S758" s="6" t="str">
        <f ca="1">IFERROR(__xludf.DUMMYFUNCTION("""COMPUTED_VALUE"""),"Other: Pre launch/seed round")</f>
        <v>Other: Pre launch/seed round</v>
      </c>
      <c r="T758" s="6" t="str">
        <f ca="1">IFERROR(__xludf.DUMMYFUNCTION("""COMPUTED_VALUE"""),"Other: Pre launch/seed round")</f>
        <v>Other: Pre launch/seed round</v>
      </c>
      <c r="U758" s="6" t="str">
        <f ca="1">IFERROR(__xludf.DUMMYFUNCTION("""COMPUTED_VALUE"""),"Pre launch/seed round")</f>
        <v>Pre launch/seed round</v>
      </c>
      <c r="V758" s="6"/>
      <c r="W758" s="6" t="str">
        <f ca="1">IFERROR(__xludf.DUMMYFUNCTION("""COMPUTED_VALUE"""),"Invite Next Year")</f>
        <v>Invite Next Year</v>
      </c>
    </row>
    <row r="759" spans="1:23">
      <c r="A759" s="6" t="str">
        <f ca="1">IFERROR(__xludf.DUMMYFUNCTION("""COMPUTED_VALUE"""),"Prefer not to respond")</f>
        <v>Prefer not to respond</v>
      </c>
      <c r="B759" s="6" t="str">
        <f ca="1">IFERROR(__xludf.DUMMYFUNCTION("""COMPUTED_VALUE"""),"Parverio Inc,. _2022")</f>
        <v>Parverio Inc,. _2022</v>
      </c>
      <c r="C759" s="6" t="str">
        <f ca="1">IFERROR(__xludf.DUMMYFUNCTION("""COMPUTED_VALUE"""),"Digital Tech")</f>
        <v>Digital Tech</v>
      </c>
      <c r="D759" s="6" t="str">
        <f ca="1">IFERROR(__xludf.DUMMYFUNCTION("""COMPUTED_VALUE"""),"150 Lucius Gordon Dr. Suite 110, NY 
United States")</f>
        <v>150 Lucius Gordon Dr. Suite 110, NY 
United States</v>
      </c>
      <c r="E759" s="6" t="str">
        <f ca="1">IFERROR(__xludf.DUMMYFUNCTION("""COMPUTED_VALUE"""),"East Coast")</f>
        <v>East Coast</v>
      </c>
      <c r="F759" s="6" t="str">
        <f ca="1">IFERROR(__xludf.DUMMYFUNCTION("""COMPUTED_VALUE"""),"Prefer not to respond")</f>
        <v>Prefer not to respond</v>
      </c>
      <c r="G759" s="6"/>
      <c r="H759" s="6"/>
      <c r="I759" s="6"/>
      <c r="J759" s="6"/>
      <c r="K759" s="6"/>
      <c r="L759" s="6" t="str">
        <f ca="1">IFERROR(__xludf.DUMMYFUNCTION("""COMPUTED_VALUE"""),"No")</f>
        <v>No</v>
      </c>
      <c r="M759" s="6"/>
      <c r="N759" s="6"/>
      <c r="O759" s="6" t="str">
        <f ca="1">IFERROR(__xludf.DUMMYFUNCTION("""COMPUTED_VALUE"""),"Search Engine")</f>
        <v>Search Engine</v>
      </c>
      <c r="P759" s="6"/>
      <c r="Q759" s="6" t="str">
        <f ca="1">IFERROR(__xludf.DUMMYFUNCTION("""COMPUTED_VALUE"""),"No")</f>
        <v>No</v>
      </c>
      <c r="R759" s="6">
        <f ca="1">IFERROR(__xludf.DUMMYFUNCTION("""COMPUTED_VALUE"""),1)</f>
        <v>1</v>
      </c>
      <c r="S759" s="6" t="str">
        <f ca="1">IFERROR(__xludf.DUMMYFUNCTION("""COMPUTED_VALUE"""),"Seed")</f>
        <v>Seed</v>
      </c>
      <c r="T759" s="6" t="str">
        <f ca="1">IFERROR(__xludf.DUMMYFUNCTION("""COMPUTED_VALUE"""),"Seed")</f>
        <v>Seed</v>
      </c>
      <c r="U759" s="6" t="str">
        <f ca="1">IFERROR(__xludf.DUMMYFUNCTION("""COMPUTED_VALUE"""),"Seed")</f>
        <v>Seed</v>
      </c>
      <c r="V759" s="6"/>
      <c r="W759" s="6" t="str">
        <f ca="1">IFERROR(__xludf.DUMMYFUNCTION("""COMPUTED_VALUE"""),"Invite Next Year")</f>
        <v>Invite Next Year</v>
      </c>
    </row>
    <row r="760" spans="1:23">
      <c r="A760" s="6" t="str">
        <f ca="1">IFERROR(__xludf.DUMMYFUNCTION("""COMPUTED_VALUE"""),"Man, Woman, Man, Woman")</f>
        <v>Man, Woman, Man, Woman</v>
      </c>
      <c r="B760" s="6" t="str">
        <f ca="1">IFERROR(__xludf.DUMMYFUNCTION("""COMPUTED_VALUE"""),"Purency _2022")</f>
        <v>Purency _2022</v>
      </c>
      <c r="C760" s="6" t="str">
        <f ca="1">IFERROR(__xludf.DUMMYFUNCTION("""COMPUTED_VALUE"""),"Digital Tech")</f>
        <v>Digital Tech</v>
      </c>
      <c r="D760" s="6" t="str">
        <f ca="1">IFERROR(__xludf.DUMMYFUNCTION("""COMPUTED_VALUE"""),"Vienna, Vienna 
Austria")</f>
        <v>Vienna, Vienna 
Austria</v>
      </c>
      <c r="E760" s="6" t="str">
        <f ca="1">IFERROR(__xludf.DUMMYFUNCTION("""COMPUTED_VALUE"""),"International - Europe")</f>
        <v>International - Europe</v>
      </c>
      <c r="F760" s="6" t="str">
        <f ca="1">IFERROR(__xludf.DUMMYFUNCTION("""COMPUTED_VALUE"""),"Man")</f>
        <v>Man</v>
      </c>
      <c r="G760" s="6" t="str">
        <f ca="1">IFERROR(__xludf.DUMMYFUNCTION("""COMPUTED_VALUE"""),"Woman")</f>
        <v>Woman</v>
      </c>
      <c r="H760" s="6" t="str">
        <f ca="1">IFERROR(__xludf.DUMMYFUNCTION("""COMPUTED_VALUE"""),"Man")</f>
        <v>Man</v>
      </c>
      <c r="I760" s="6" t="str">
        <f ca="1">IFERROR(__xludf.DUMMYFUNCTION("""COMPUTED_VALUE"""),"Woman")</f>
        <v>Woman</v>
      </c>
      <c r="J760" s="6"/>
      <c r="K760" s="6"/>
      <c r="L760" s="6" t="str">
        <f ca="1">IFERROR(__xludf.DUMMYFUNCTION("""COMPUTED_VALUE"""),"No")</f>
        <v>No</v>
      </c>
      <c r="M760" s="6"/>
      <c r="N760" s="6"/>
      <c r="O760" s="6" t="str">
        <f ca="1">IFERROR(__xludf.DUMMYFUNCTION("""COMPUTED_VALUE"""),"Email")</f>
        <v>Email</v>
      </c>
      <c r="P760" s="6"/>
      <c r="Q760" s="6" t="str">
        <f ca="1">IFERROR(__xludf.DUMMYFUNCTION("""COMPUTED_VALUE"""),"No")</f>
        <v>No</v>
      </c>
      <c r="R760" s="6">
        <f ca="1">IFERROR(__xludf.DUMMYFUNCTION("""COMPUTED_VALUE"""),4)</f>
        <v>4</v>
      </c>
      <c r="S760" s="6" t="str">
        <f ca="1">IFERROR(__xludf.DUMMYFUNCTION("""COMPUTED_VALUE"""),"Pre-seed
Seed")</f>
        <v>Pre-seed
Seed</v>
      </c>
      <c r="T760" s="6" t="str">
        <f ca="1">IFERROR(__xludf.DUMMYFUNCTION("""COMPUTED_VALUE"""),"Pre-seed, Seed")</f>
        <v>Pre-seed, Seed</v>
      </c>
      <c r="U760" s="6" t="str">
        <f ca="1">IFERROR(__xludf.DUMMYFUNCTION("""COMPUTED_VALUE"""),"Pre-seed, Seed")</f>
        <v>Pre-seed, Seed</v>
      </c>
      <c r="V760" s="6"/>
      <c r="W760" s="6" t="str">
        <f ca="1">IFERROR(__xludf.DUMMYFUNCTION("""COMPUTED_VALUE"""),"Invite Next Year")</f>
        <v>Invite Next Year</v>
      </c>
    </row>
    <row r="761" spans="1:23">
      <c r="A761" s="6" t="str">
        <f ca="1">IFERROR(__xludf.DUMMYFUNCTION("""COMPUTED_VALUE"""),"Man, Man, Man, Man")</f>
        <v>Man, Man, Man, Man</v>
      </c>
      <c r="B761" s="6" t="str">
        <f ca="1">IFERROR(__xludf.DUMMYFUNCTION("""COMPUTED_VALUE"""),"bringy _2022")</f>
        <v>bringy _2022</v>
      </c>
      <c r="C761" s="6" t="str">
        <f ca="1">IFERROR(__xludf.DUMMYFUNCTION("""COMPUTED_VALUE"""),"Digital Tech")</f>
        <v>Digital Tech</v>
      </c>
      <c r="D761" s="6" t="str">
        <f ca="1">IFERROR(__xludf.DUMMYFUNCTION("""COMPUTED_VALUE"""),"12 El-Nahda Street, Maadi El-Sarayat, Cairo 
Egypt")</f>
        <v>12 El-Nahda Street, Maadi El-Sarayat, Cairo 
Egypt</v>
      </c>
      <c r="E761" s="6" t="str">
        <f ca="1">IFERROR(__xludf.DUMMYFUNCTION("""COMPUTED_VALUE"""),"International - Middle East")</f>
        <v>International - Middle East</v>
      </c>
      <c r="F761" s="6" t="str">
        <f ca="1">IFERROR(__xludf.DUMMYFUNCTION("""COMPUTED_VALUE"""),"Man")</f>
        <v>Man</v>
      </c>
      <c r="G761" s="6" t="str">
        <f ca="1">IFERROR(__xludf.DUMMYFUNCTION("""COMPUTED_VALUE"""),"Man")</f>
        <v>Man</v>
      </c>
      <c r="H761" s="6" t="str">
        <f ca="1">IFERROR(__xludf.DUMMYFUNCTION("""COMPUTED_VALUE"""),"Man")</f>
        <v>Man</v>
      </c>
      <c r="I761" s="6" t="str">
        <f ca="1">IFERROR(__xludf.DUMMYFUNCTION("""COMPUTED_VALUE"""),"Man")</f>
        <v>Man</v>
      </c>
      <c r="J761" s="6"/>
      <c r="K761" s="6"/>
      <c r="L761" s="6" t="str">
        <f ca="1">IFERROR(__xludf.DUMMYFUNCTION("""COMPUTED_VALUE"""),"--Please select--")</f>
        <v>--Please select--</v>
      </c>
      <c r="M761" s="6"/>
      <c r="N761" s="6"/>
      <c r="O761" s="6" t="str">
        <f ca="1">IFERROR(__xludf.DUMMYFUNCTION("""COMPUTED_VALUE"""),"Email")</f>
        <v>Email</v>
      </c>
      <c r="P761" s="6"/>
      <c r="Q761" s="6" t="str">
        <f ca="1">IFERROR(__xludf.DUMMYFUNCTION("""COMPUTED_VALUE"""),"No")</f>
        <v>No</v>
      </c>
      <c r="R761" s="6">
        <f ca="1">IFERROR(__xludf.DUMMYFUNCTION("""COMPUTED_VALUE"""),4)</f>
        <v>4</v>
      </c>
      <c r="S761" s="6" t="str">
        <f ca="1">IFERROR(__xludf.DUMMYFUNCTION("""COMPUTED_VALUE"""),"Pre-seed
Seed")</f>
        <v>Pre-seed
Seed</v>
      </c>
      <c r="T761" s="6" t="str">
        <f ca="1">IFERROR(__xludf.DUMMYFUNCTION("""COMPUTED_VALUE"""),"Pre-seed, Seed")</f>
        <v>Pre-seed, Seed</v>
      </c>
      <c r="U761" s="6" t="str">
        <f ca="1">IFERROR(__xludf.DUMMYFUNCTION("""COMPUTED_VALUE"""),"Pre-seed, Seed")</f>
        <v>Pre-seed, Seed</v>
      </c>
      <c r="V761" s="6"/>
      <c r="W761" s="6" t="str">
        <f ca="1">IFERROR(__xludf.DUMMYFUNCTION("""COMPUTED_VALUE"""),"Invite Next Year")</f>
        <v>Invite Next Year</v>
      </c>
    </row>
    <row r="762" spans="1:23">
      <c r="A762" s="6" t="str">
        <f ca="1">IFERROR(__xludf.DUMMYFUNCTION("""COMPUTED_VALUE"""),"Man")</f>
        <v>Man</v>
      </c>
      <c r="B762" s="6" t="str">
        <f ca="1">IFERROR(__xludf.DUMMYFUNCTION("""COMPUTED_VALUE"""),"VentriFlo, Inc. _2022")</f>
        <v>VentriFlo, Inc. _2022</v>
      </c>
      <c r="C762" s="6" t="str">
        <f ca="1">IFERROR(__xludf.DUMMYFUNCTION("""COMPUTED_VALUE"""),"Deep Tech")</f>
        <v>Deep Tech</v>
      </c>
      <c r="D762" s="6" t="str">
        <f ca="1">IFERROR(__xludf.DUMMYFUNCTION("""COMPUTED_VALUE"""),"70 Bridge Street #7, New Hampshire 
United States")</f>
        <v>70 Bridge Street #7, New Hampshire 
United States</v>
      </c>
      <c r="E762" s="6" t="str">
        <f ca="1">IFERROR(__xludf.DUMMYFUNCTION("""COMPUTED_VALUE"""),"East Coast")</f>
        <v>East Coast</v>
      </c>
      <c r="F762" s="6" t="str">
        <f ca="1">IFERROR(__xludf.DUMMYFUNCTION("""COMPUTED_VALUE"""),"Man")</f>
        <v>Man</v>
      </c>
      <c r="G762" s="6"/>
      <c r="H762" s="6"/>
      <c r="I762" s="6"/>
      <c r="J762" s="6"/>
      <c r="K762" s="6"/>
      <c r="L762" s="6" t="str">
        <f ca="1">IFERROR(__xludf.DUMMYFUNCTION("""COMPUTED_VALUE"""),"Yes")</f>
        <v>Yes</v>
      </c>
      <c r="M762" s="6" t="str">
        <f ca="1">IFERROR(__xludf.DUMMYFUNCTION("""COMPUTED_VALUE"""),"NYU Staff")</f>
        <v>NYU Staff</v>
      </c>
      <c r="N762" s="6"/>
      <c r="O762" s="6" t="str">
        <f ca="1">IFERROR(__xludf.DUMMYFUNCTION("""COMPUTED_VALUE"""),"Referral")</f>
        <v>Referral</v>
      </c>
      <c r="P762" s="6"/>
      <c r="Q762" s="6" t="str">
        <f ca="1">IFERROR(__xludf.DUMMYFUNCTION("""COMPUTED_VALUE"""),"No")</f>
        <v>No</v>
      </c>
      <c r="R762" s="6">
        <f ca="1">IFERROR(__xludf.DUMMYFUNCTION("""COMPUTED_VALUE"""),1)</f>
        <v>1</v>
      </c>
      <c r="S762" s="6" t="str">
        <f ca="1">IFERROR(__xludf.DUMMYFUNCTION("""COMPUTED_VALUE"""),"Series A
Bridge")</f>
        <v>Series A
Bridge</v>
      </c>
      <c r="T762" s="6" t="str">
        <f ca="1">IFERROR(__xludf.DUMMYFUNCTION("""COMPUTED_VALUE"""),"Series A, Bridge")</f>
        <v>Series A, Bridge</v>
      </c>
      <c r="U762" s="6" t="str">
        <f ca="1">IFERROR(__xludf.DUMMYFUNCTION("""COMPUTED_VALUE"""),"Series A, Bridge")</f>
        <v>Series A, Bridge</v>
      </c>
      <c r="V762" s="6"/>
      <c r="W762" s="6" t="str">
        <f ca="1">IFERROR(__xludf.DUMMYFUNCTION("""COMPUTED_VALUE"""),"Invite")</f>
        <v>Invite</v>
      </c>
    </row>
    <row r="763" spans="1:23">
      <c r="A763" s="6" t="str">
        <f ca="1">IFERROR(__xludf.DUMMYFUNCTION("""COMPUTED_VALUE"""),"Man, Man, Man")</f>
        <v>Man, Man, Man</v>
      </c>
      <c r="B763" s="6" t="str">
        <f ca="1">IFERROR(__xludf.DUMMYFUNCTION("""COMPUTED_VALUE"""),"PB&amp;B _2022")</f>
        <v>PB&amp;B _2022</v>
      </c>
      <c r="C763" s="6" t="str">
        <f ca="1">IFERROR(__xludf.DUMMYFUNCTION("""COMPUTED_VALUE"""),"Life Sciences")</f>
        <v>Life Sciences</v>
      </c>
      <c r="D763" s="6" t="str">
        <f ca="1">IFERROR(__xludf.DUMMYFUNCTION("""COMPUTED_VALUE"""),"Avenue gratta-paille 2, VD 
Switzerland")</f>
        <v>Avenue gratta-paille 2, VD 
Switzerland</v>
      </c>
      <c r="E763" s="6" t="str">
        <f ca="1">IFERROR(__xludf.DUMMYFUNCTION("""COMPUTED_VALUE"""),"International - Europe")</f>
        <v>International - Europe</v>
      </c>
      <c r="F763" s="6" t="str">
        <f ca="1">IFERROR(__xludf.DUMMYFUNCTION("""COMPUTED_VALUE"""),"Man")</f>
        <v>Man</v>
      </c>
      <c r="G763" s="6" t="str">
        <f ca="1">IFERROR(__xludf.DUMMYFUNCTION("""COMPUTED_VALUE"""),"Man")</f>
        <v>Man</v>
      </c>
      <c r="H763" s="6" t="str">
        <f ca="1">IFERROR(__xludf.DUMMYFUNCTION("""COMPUTED_VALUE"""),"Man")</f>
        <v>Man</v>
      </c>
      <c r="I763" s="6"/>
      <c r="J763" s="6"/>
      <c r="K763" s="6"/>
      <c r="L763" s="6" t="str">
        <f ca="1">IFERROR(__xludf.DUMMYFUNCTION("""COMPUTED_VALUE"""),"No")</f>
        <v>No</v>
      </c>
      <c r="M763" s="6"/>
      <c r="N763" s="6"/>
      <c r="O763" s="6" t="str">
        <f ca="1">IFERROR(__xludf.DUMMYFUNCTION("""COMPUTED_VALUE"""),"Email")</f>
        <v>Email</v>
      </c>
      <c r="P763" s="6"/>
      <c r="Q763" s="6" t="str">
        <f ca="1">IFERROR(__xludf.DUMMYFUNCTION("""COMPUTED_VALUE"""),"No")</f>
        <v>No</v>
      </c>
      <c r="R763" s="6">
        <f ca="1">IFERROR(__xludf.DUMMYFUNCTION("""COMPUTED_VALUE"""),3)</f>
        <v>3</v>
      </c>
      <c r="S763" s="6" t="str">
        <f ca="1">IFERROR(__xludf.DUMMYFUNCTION("""COMPUTED_VALUE"""),"Seed
Series A
Bridge
Grants")</f>
        <v>Seed
Series A
Bridge
Grants</v>
      </c>
      <c r="T763" s="6" t="str">
        <f ca="1">IFERROR(__xludf.DUMMYFUNCTION("""COMPUTED_VALUE"""),"Seed, Series A, Bridge, Grants")</f>
        <v>Seed, Series A, Bridge, Grants</v>
      </c>
      <c r="U763" s="6" t="str">
        <f ca="1">IFERROR(__xludf.DUMMYFUNCTION("""COMPUTED_VALUE"""),"Seed, Series A, Bridge, Grants")</f>
        <v>Seed, Series A, Bridge, Grants</v>
      </c>
      <c r="V763" s="6"/>
      <c r="W763" s="6" t="str">
        <f ca="1">IFERROR(__xludf.DUMMYFUNCTION("""COMPUTED_VALUE"""),"Invite Next Year")</f>
        <v>Invite Next Year</v>
      </c>
    </row>
    <row r="764" spans="1:23">
      <c r="A764" s="6" t="str">
        <f ca="1">IFERROR(__xludf.DUMMYFUNCTION("""COMPUTED_VALUE"""),"Man, Man, Man, Man, Man, Man")</f>
        <v>Man, Man, Man, Man, Man, Man</v>
      </c>
      <c r="B764" s="6" t="str">
        <f ca="1">IFERROR(__xludf.DUMMYFUNCTION("""COMPUTED_VALUE"""),"Wealthspan Financial Partners _2022")</f>
        <v>Wealthspan Financial Partners _2022</v>
      </c>
      <c r="C764" s="6" t="str">
        <f ca="1">IFERROR(__xludf.DUMMYFUNCTION("""COMPUTED_VALUE"""),"Digital Tech")</f>
        <v>Digital Tech</v>
      </c>
      <c r="D764" s="6" t="str">
        <f ca="1">IFERROR(__xludf.DUMMYFUNCTION("""COMPUTED_VALUE"""),"Grand Rapids, MI 
United States")</f>
        <v>Grand Rapids, MI 
United States</v>
      </c>
      <c r="E764" s="6" t="str">
        <f ca="1">IFERROR(__xludf.DUMMYFUNCTION("""COMPUTED_VALUE"""),"Midwest")</f>
        <v>Midwest</v>
      </c>
      <c r="F764" s="6" t="str">
        <f ca="1">IFERROR(__xludf.DUMMYFUNCTION("""COMPUTED_VALUE"""),"Man")</f>
        <v>Man</v>
      </c>
      <c r="G764" s="6" t="str">
        <f ca="1">IFERROR(__xludf.DUMMYFUNCTION("""COMPUTED_VALUE"""),"Man")</f>
        <v>Man</v>
      </c>
      <c r="H764" s="6" t="str">
        <f ca="1">IFERROR(__xludf.DUMMYFUNCTION("""COMPUTED_VALUE"""),"Man")</f>
        <v>Man</v>
      </c>
      <c r="I764" s="6" t="str">
        <f ca="1">IFERROR(__xludf.DUMMYFUNCTION("""COMPUTED_VALUE"""),"Man")</f>
        <v>Man</v>
      </c>
      <c r="J764" s="6" t="str">
        <f ca="1">IFERROR(__xludf.DUMMYFUNCTION("""COMPUTED_VALUE"""),"Man")</f>
        <v>Man</v>
      </c>
      <c r="K764" s="6" t="str">
        <f ca="1">IFERROR(__xludf.DUMMYFUNCTION("""COMPUTED_VALUE"""),"Man")</f>
        <v>Man</v>
      </c>
      <c r="L764" s="6" t="str">
        <f ca="1">IFERROR(__xludf.DUMMYFUNCTION("""COMPUTED_VALUE"""),"No")</f>
        <v>No</v>
      </c>
      <c r="M764" s="6"/>
      <c r="N764" s="6"/>
      <c r="O764" s="6" t="str">
        <f ca="1">IFERROR(__xludf.DUMMYFUNCTION("""COMPUTED_VALUE"""),"Referral")</f>
        <v>Referral</v>
      </c>
      <c r="P764" s="6"/>
      <c r="Q764" s="6" t="str">
        <f ca="1">IFERROR(__xludf.DUMMYFUNCTION("""COMPUTED_VALUE"""),"No")</f>
        <v>No</v>
      </c>
      <c r="R764" s="6">
        <f ca="1">IFERROR(__xludf.DUMMYFUNCTION("""COMPUTED_VALUE"""),6)</f>
        <v>6</v>
      </c>
      <c r="S764" s="6" t="str">
        <f ca="1">IFERROR(__xludf.DUMMYFUNCTION("""COMPUTED_VALUE"""),"None")</f>
        <v>None</v>
      </c>
      <c r="T764" s="6" t="str">
        <f ca="1">IFERROR(__xludf.DUMMYFUNCTION("""COMPUTED_VALUE"""),"None")</f>
        <v>None</v>
      </c>
      <c r="U764" s="6" t="str">
        <f ca="1">IFERROR(__xludf.DUMMYFUNCTION("""COMPUTED_VALUE"""),"None")</f>
        <v>None</v>
      </c>
      <c r="V764" s="6"/>
      <c r="W764" s="6" t="str">
        <f ca="1">IFERROR(__xludf.DUMMYFUNCTION("""COMPUTED_VALUE"""),"Invite Next Year")</f>
        <v>Invite Next Year</v>
      </c>
    </row>
    <row r="765" spans="1:23">
      <c r="A765" s="6" t="str">
        <f ca="1">IFERROR(__xludf.DUMMYFUNCTION("""COMPUTED_VALUE"""),"Man, Man")</f>
        <v>Man, Man</v>
      </c>
      <c r="B765" s="6" t="str">
        <f ca="1">IFERROR(__xludf.DUMMYFUNCTION("""COMPUTED_VALUE"""),"Gigaforce Inc. _2022")</f>
        <v>Gigaforce Inc. _2022</v>
      </c>
      <c r="C765" s="6" t="str">
        <f ca="1">IFERROR(__xludf.DUMMYFUNCTION("""COMPUTED_VALUE"""),"Digital Tech")</f>
        <v>Digital Tech</v>
      </c>
      <c r="D765" s="6" t="str">
        <f ca="1">IFERROR(__xludf.DUMMYFUNCTION("""COMPUTED_VALUE"""),"440 N 440 N Wolfe Road, # 192, M/S 72 Sunnyvale, , CA  
United States")</f>
        <v>440 N 440 N Wolfe Road, # 192, M/S 72 Sunnyvale, , CA  
United States</v>
      </c>
      <c r="E765" s="6" t="str">
        <f ca="1">IFERROR(__xludf.DUMMYFUNCTION("""COMPUTED_VALUE"""),"West Coast")</f>
        <v>West Coast</v>
      </c>
      <c r="F765" s="6" t="str">
        <f ca="1">IFERROR(__xludf.DUMMYFUNCTION("""COMPUTED_VALUE"""),"Man")</f>
        <v>Man</v>
      </c>
      <c r="G765" s="6" t="str">
        <f ca="1">IFERROR(__xludf.DUMMYFUNCTION("""COMPUTED_VALUE"""),"Man")</f>
        <v>Man</v>
      </c>
      <c r="H765" s="6"/>
      <c r="I765" s="6"/>
      <c r="J765" s="6"/>
      <c r="K765" s="6"/>
      <c r="L765" s="6" t="str">
        <f ca="1">IFERROR(__xludf.DUMMYFUNCTION("""COMPUTED_VALUE"""),"--Please select--")</f>
        <v>--Please select--</v>
      </c>
      <c r="M765" s="6"/>
      <c r="N765" s="6"/>
      <c r="O765" s="6" t="str">
        <f ca="1">IFERROR(__xludf.DUMMYFUNCTION("""COMPUTED_VALUE"""),"Email")</f>
        <v>Email</v>
      </c>
      <c r="P765" s="6"/>
      <c r="Q765" s="6" t="str">
        <f ca="1">IFERROR(__xludf.DUMMYFUNCTION("""COMPUTED_VALUE"""),"No")</f>
        <v>No</v>
      </c>
      <c r="R765" s="6">
        <f ca="1">IFERROR(__xludf.DUMMYFUNCTION("""COMPUTED_VALUE"""),2)</f>
        <v>2</v>
      </c>
      <c r="S765" s="6" t="str">
        <f ca="1">IFERROR(__xludf.DUMMYFUNCTION("""COMPUTED_VALUE"""),"Seed")</f>
        <v>Seed</v>
      </c>
      <c r="T765" s="6" t="str">
        <f ca="1">IFERROR(__xludf.DUMMYFUNCTION("""COMPUTED_VALUE"""),"Seed")</f>
        <v>Seed</v>
      </c>
      <c r="U765" s="6" t="str">
        <f ca="1">IFERROR(__xludf.DUMMYFUNCTION("""COMPUTED_VALUE"""),"Seed")</f>
        <v>Seed</v>
      </c>
      <c r="V765" s="6"/>
      <c r="W765" s="6" t="str">
        <f ca="1">IFERROR(__xludf.DUMMYFUNCTION("""COMPUTED_VALUE"""),"Invite Next Year")</f>
        <v>Invite Next Year</v>
      </c>
    </row>
    <row r="766" spans="1:23">
      <c r="A766" s="6" t="str">
        <f ca="1">IFERROR(__xludf.DUMMYFUNCTION("""COMPUTED_VALUE"""),"Man, Man")</f>
        <v>Man, Man</v>
      </c>
      <c r="B766" s="6" t="str">
        <f ca="1">IFERROR(__xludf.DUMMYFUNCTION("""COMPUTED_VALUE"""),"Zario _2022")</f>
        <v>Zario _2022</v>
      </c>
      <c r="C766" s="6" t="str">
        <f ca="1">IFERROR(__xludf.DUMMYFUNCTION("""COMPUTED_VALUE"""),"Digital Tech")</f>
        <v>Digital Tech</v>
      </c>
      <c r="D766" s="6" t="str">
        <f ca="1">IFERROR(__xludf.DUMMYFUNCTION("""COMPUTED_VALUE"""),"Zürich, Zürich 
Switzerland")</f>
        <v>Zürich, Zürich 
Switzerland</v>
      </c>
      <c r="E766" s="6" t="str">
        <f ca="1">IFERROR(__xludf.DUMMYFUNCTION("""COMPUTED_VALUE"""),"International - Europe")</f>
        <v>International - Europe</v>
      </c>
      <c r="F766" s="6" t="str">
        <f ca="1">IFERROR(__xludf.DUMMYFUNCTION("""COMPUTED_VALUE"""),"Man")</f>
        <v>Man</v>
      </c>
      <c r="G766" s="6" t="str">
        <f ca="1">IFERROR(__xludf.DUMMYFUNCTION("""COMPUTED_VALUE"""),"Man")</f>
        <v>Man</v>
      </c>
      <c r="H766" s="6"/>
      <c r="I766" s="6"/>
      <c r="J766" s="6"/>
      <c r="K766" s="6"/>
      <c r="L766" s="6" t="str">
        <f ca="1">IFERROR(__xludf.DUMMYFUNCTION("""COMPUTED_VALUE"""),"No")</f>
        <v>No</v>
      </c>
      <c r="M766" s="6"/>
      <c r="N766" s="6"/>
      <c r="O766" s="6" t="str">
        <f ca="1">IFERROR(__xludf.DUMMYFUNCTION("""COMPUTED_VALUE"""),"Email")</f>
        <v>Email</v>
      </c>
      <c r="P766" s="6"/>
      <c r="Q766" s="6" t="str">
        <f ca="1">IFERROR(__xludf.DUMMYFUNCTION("""COMPUTED_VALUE"""),"No")</f>
        <v>No</v>
      </c>
      <c r="R766" s="6">
        <f ca="1">IFERROR(__xludf.DUMMYFUNCTION("""COMPUTED_VALUE"""),2)</f>
        <v>2</v>
      </c>
      <c r="S766" s="6" t="str">
        <f ca="1">IFERROR(__xludf.DUMMYFUNCTION("""COMPUTED_VALUE"""),"Debt financing")</f>
        <v>Debt financing</v>
      </c>
      <c r="T766" s="6" t="str">
        <f ca="1">IFERROR(__xludf.DUMMYFUNCTION("""COMPUTED_VALUE"""),"Debt financing")</f>
        <v>Debt financing</v>
      </c>
      <c r="U766" s="6" t="str">
        <f ca="1">IFERROR(__xludf.DUMMYFUNCTION("""COMPUTED_VALUE"""),"Debt financing")</f>
        <v>Debt financing</v>
      </c>
      <c r="V766" s="6"/>
      <c r="W766" s="6" t="str">
        <f ca="1">IFERROR(__xludf.DUMMYFUNCTION("""COMPUTED_VALUE"""),"Invite Next Year")</f>
        <v>Invite Next Year</v>
      </c>
    </row>
    <row r="767" spans="1:23">
      <c r="A767" s="6" t="str">
        <f ca="1">IFERROR(__xludf.DUMMYFUNCTION("""COMPUTED_VALUE"""),"Woman")</f>
        <v>Woman</v>
      </c>
      <c r="B767" s="6" t="str">
        <f ca="1">IFERROR(__xludf.DUMMYFUNCTION("""COMPUTED_VALUE"""),"MotivateU _2022")</f>
        <v>MotivateU _2022</v>
      </c>
      <c r="C767" s="6" t="str">
        <f ca="1">IFERROR(__xludf.DUMMYFUNCTION("""COMPUTED_VALUE"""),"Digital Tech")</f>
        <v>Digital Tech</v>
      </c>
      <c r="D767" s="6" t="str">
        <f ca="1">IFERROR(__xludf.DUMMYFUNCTION("""COMPUTED_VALUE"""),"Middletown, Delaware 
United States")</f>
        <v>Middletown, Delaware 
United States</v>
      </c>
      <c r="E767" s="6" t="str">
        <f ca="1">IFERROR(__xludf.DUMMYFUNCTION("""COMPUTED_VALUE"""),"East Coast")</f>
        <v>East Coast</v>
      </c>
      <c r="F767" s="6" t="str">
        <f ca="1">IFERROR(__xludf.DUMMYFUNCTION("""COMPUTED_VALUE"""),"Woman")</f>
        <v>Woman</v>
      </c>
      <c r="G767" s="6"/>
      <c r="H767" s="6"/>
      <c r="I767" s="6"/>
      <c r="J767" s="6"/>
      <c r="K767" s="6"/>
      <c r="L767" s="6" t="str">
        <f ca="1">IFERROR(__xludf.DUMMYFUNCTION("""COMPUTED_VALUE"""),"No")</f>
        <v>No</v>
      </c>
      <c r="M767" s="6"/>
      <c r="N767" s="6"/>
      <c r="O767" s="6" t="str">
        <f ca="1">IFERROR(__xludf.DUMMYFUNCTION("""COMPUTED_VALUE"""),"Email")</f>
        <v>Email</v>
      </c>
      <c r="P767" s="6"/>
      <c r="Q767" s="6" t="str">
        <f ca="1">IFERROR(__xludf.DUMMYFUNCTION("""COMPUTED_VALUE"""),"No")</f>
        <v>No</v>
      </c>
      <c r="R767" s="6">
        <f ca="1">IFERROR(__xludf.DUMMYFUNCTION("""COMPUTED_VALUE"""),1)</f>
        <v>1</v>
      </c>
      <c r="S767" s="6" t="str">
        <f ca="1">IFERROR(__xludf.DUMMYFUNCTION("""COMPUTED_VALUE"""),"Pre-seed")</f>
        <v>Pre-seed</v>
      </c>
      <c r="T767" s="6" t="str">
        <f ca="1">IFERROR(__xludf.DUMMYFUNCTION("""COMPUTED_VALUE"""),"Pre-seed")</f>
        <v>Pre-seed</v>
      </c>
      <c r="U767" s="6" t="str">
        <f ca="1">IFERROR(__xludf.DUMMYFUNCTION("""COMPUTED_VALUE"""),"Pre-seed")</f>
        <v>Pre-seed</v>
      </c>
      <c r="V767" s="6"/>
      <c r="W767" s="6" t="str">
        <f ca="1">IFERROR(__xludf.DUMMYFUNCTION("""COMPUTED_VALUE"""),"Invite Next Year")</f>
        <v>Invite Next Year</v>
      </c>
    </row>
    <row r="768" spans="1:23">
      <c r="A768" s="6" t="str">
        <f ca="1">IFERROR(__xludf.DUMMYFUNCTION("""COMPUTED_VALUE"""),"Woman")</f>
        <v>Woman</v>
      </c>
      <c r="B768" s="6" t="str">
        <f ca="1">IFERROR(__xludf.DUMMYFUNCTION("""COMPUTED_VALUE"""),"Tawazon inc _2022")</f>
        <v>Tawazon inc _2022</v>
      </c>
      <c r="C768" s="6" t="str">
        <f ca="1">IFERROR(__xludf.DUMMYFUNCTION("""COMPUTED_VALUE"""),"Life Sciences")</f>
        <v>Life Sciences</v>
      </c>
      <c r="D768" s="6" t="str">
        <f ca="1">IFERROR(__xludf.DUMMYFUNCTION("""COMPUTED_VALUE"""),"Burj Amar, floor 4, Ramallah 
Palestinian Territory")</f>
        <v>Burj Amar, floor 4, Ramallah 
Palestinian Territory</v>
      </c>
      <c r="E768" s="6" t="str">
        <f ca="1">IFERROR(__xludf.DUMMYFUNCTION("""COMPUTED_VALUE"""),"International - Middle East")</f>
        <v>International - Middle East</v>
      </c>
      <c r="F768" s="6" t="str">
        <f ca="1">IFERROR(__xludf.DUMMYFUNCTION("""COMPUTED_VALUE"""),"Woman")</f>
        <v>Woman</v>
      </c>
      <c r="G768" s="6"/>
      <c r="H768" s="6"/>
      <c r="I768" s="6"/>
      <c r="J768" s="6"/>
      <c r="K768" s="6"/>
      <c r="L768" s="6" t="str">
        <f ca="1">IFERROR(__xludf.DUMMYFUNCTION("""COMPUTED_VALUE"""),"No")</f>
        <v>No</v>
      </c>
      <c r="M768" s="6"/>
      <c r="N768" s="6"/>
      <c r="O768" s="6" t="str">
        <f ca="1">IFERROR(__xludf.DUMMYFUNCTION("""COMPUTED_VALUE"""),"Email")</f>
        <v>Email</v>
      </c>
      <c r="P768" s="6"/>
      <c r="Q768" s="6" t="str">
        <f ca="1">IFERROR(__xludf.DUMMYFUNCTION("""COMPUTED_VALUE"""),"No")</f>
        <v>No</v>
      </c>
      <c r="R768" s="6">
        <f ca="1">IFERROR(__xludf.DUMMYFUNCTION("""COMPUTED_VALUE"""),1)</f>
        <v>1</v>
      </c>
      <c r="S768" s="6" t="str">
        <f ca="1">IFERROR(__xludf.DUMMYFUNCTION("""COMPUTED_VALUE"""),"Seed")</f>
        <v>Seed</v>
      </c>
      <c r="T768" s="6" t="str">
        <f ca="1">IFERROR(__xludf.DUMMYFUNCTION("""COMPUTED_VALUE"""),"Seed")</f>
        <v>Seed</v>
      </c>
      <c r="U768" s="6" t="str">
        <f ca="1">IFERROR(__xludf.DUMMYFUNCTION("""COMPUTED_VALUE"""),"Seed")</f>
        <v>Seed</v>
      </c>
      <c r="V768" s="6"/>
      <c r="W768" s="6" t="str">
        <f ca="1">IFERROR(__xludf.DUMMYFUNCTION("""COMPUTED_VALUE"""),"Invite Next Year")</f>
        <v>Invite Next Year</v>
      </c>
    </row>
    <row r="769" spans="1:23">
      <c r="A769" s="6" t="str">
        <f ca="1">IFERROR(__xludf.DUMMYFUNCTION("""COMPUTED_VALUE"""),"Woman, Woman")</f>
        <v>Woman, Woman</v>
      </c>
      <c r="B769" s="6" t="str">
        <f ca="1">IFERROR(__xludf.DUMMYFUNCTION("""COMPUTED_VALUE"""),"Deriskly Limited _2022")</f>
        <v>Deriskly Limited _2022</v>
      </c>
      <c r="C769" s="6" t="str">
        <f ca="1">IFERROR(__xludf.DUMMYFUNCTION("""COMPUTED_VALUE"""),"Digital Tech")</f>
        <v>Digital Tech</v>
      </c>
      <c r="D769" s="6" t="str">
        <f ca="1">IFERROR(__xludf.DUMMYFUNCTION("""COMPUTED_VALUE"""),"71-75 Shelton Street, London, London 
United Kingdom")</f>
        <v>71-75 Shelton Street, London, London 
United Kingdom</v>
      </c>
      <c r="E769" s="6" t="str">
        <f ca="1">IFERROR(__xludf.DUMMYFUNCTION("""COMPUTED_VALUE"""),"International - Europe")</f>
        <v>International - Europe</v>
      </c>
      <c r="F769" s="6" t="str">
        <f ca="1">IFERROR(__xludf.DUMMYFUNCTION("""COMPUTED_VALUE"""),"Woman")</f>
        <v>Woman</v>
      </c>
      <c r="G769" s="6" t="str">
        <f ca="1">IFERROR(__xludf.DUMMYFUNCTION("""COMPUTED_VALUE"""),"Woman")</f>
        <v>Woman</v>
      </c>
      <c r="H769" s="6"/>
      <c r="I769" s="6"/>
      <c r="J769" s="6"/>
      <c r="K769" s="6"/>
      <c r="L769" s="6" t="str">
        <f ca="1">IFERROR(__xludf.DUMMYFUNCTION("""COMPUTED_VALUE"""),"No")</f>
        <v>No</v>
      </c>
      <c r="M769" s="6"/>
      <c r="N769" s="6"/>
      <c r="O769" s="6" t="str">
        <f ca="1">IFERROR(__xludf.DUMMYFUNCTION("""COMPUTED_VALUE"""),"Email")</f>
        <v>Email</v>
      </c>
      <c r="P769" s="6"/>
      <c r="Q769" s="6" t="str">
        <f ca="1">IFERROR(__xludf.DUMMYFUNCTION("""COMPUTED_VALUE"""),"No")</f>
        <v>No</v>
      </c>
      <c r="R769" s="6">
        <f ca="1">IFERROR(__xludf.DUMMYFUNCTION("""COMPUTED_VALUE"""),2)</f>
        <v>2</v>
      </c>
      <c r="S769" s="6" t="str">
        <f ca="1">IFERROR(__xludf.DUMMYFUNCTION("""COMPUTED_VALUE"""),"Pre-seed")</f>
        <v>Pre-seed</v>
      </c>
      <c r="T769" s="6" t="str">
        <f ca="1">IFERROR(__xludf.DUMMYFUNCTION("""COMPUTED_VALUE"""),"Pre-seed")</f>
        <v>Pre-seed</v>
      </c>
      <c r="U769" s="6" t="str">
        <f ca="1">IFERROR(__xludf.DUMMYFUNCTION("""COMPUTED_VALUE"""),"Pre-seed")</f>
        <v>Pre-seed</v>
      </c>
      <c r="V769" s="6"/>
      <c r="W769" s="6" t="str">
        <f ca="1">IFERROR(__xludf.DUMMYFUNCTION("""COMPUTED_VALUE"""),"Invite")</f>
        <v>Invite</v>
      </c>
    </row>
    <row r="770" spans="1:23">
      <c r="A770" s="6" t="str">
        <f ca="1">IFERROR(__xludf.DUMMYFUNCTION("""COMPUTED_VALUE"""),"Man")</f>
        <v>Man</v>
      </c>
      <c r="B770" s="6" t="str">
        <f ca="1">IFERROR(__xludf.DUMMYFUNCTION("""COMPUTED_VALUE"""),"Cohesive Robotics _2022")</f>
        <v>Cohesive Robotics _2022</v>
      </c>
      <c r="C770" s="6" t="str">
        <f ca="1">IFERROR(__xludf.DUMMYFUNCTION("""COMPUTED_VALUE"""),"Deep Tech")</f>
        <v>Deep Tech</v>
      </c>
      <c r="D770" s="6" t="str">
        <f ca="1">IFERROR(__xludf.DUMMYFUNCTION("""COMPUTED_VALUE"""),"Bronx NY, United States")</f>
        <v>Bronx NY, United States</v>
      </c>
      <c r="E770" s="6" t="str">
        <f ca="1">IFERROR(__xludf.DUMMYFUNCTION("""COMPUTED_VALUE"""),"New York")</f>
        <v>New York</v>
      </c>
      <c r="F770" s="6" t="str">
        <f ca="1">IFERROR(__xludf.DUMMYFUNCTION("""COMPUTED_VALUE"""),"Man")</f>
        <v>Man</v>
      </c>
      <c r="G770" s="6"/>
      <c r="H770" s="6"/>
      <c r="I770" s="6"/>
      <c r="J770" s="6"/>
      <c r="K770" s="6"/>
      <c r="L770" s="6" t="str">
        <f ca="1">IFERROR(__xludf.DUMMYFUNCTION("""COMPUTED_VALUE"""),"No")</f>
        <v>No</v>
      </c>
      <c r="M770" s="6"/>
      <c r="N770" s="6"/>
      <c r="O770" s="6" t="str">
        <f ca="1">IFERROR(__xludf.DUMMYFUNCTION("""COMPUTED_VALUE"""),"LinkedIn")</f>
        <v>LinkedIn</v>
      </c>
      <c r="P770" s="6"/>
      <c r="Q770" s="6" t="str">
        <f ca="1">IFERROR(__xludf.DUMMYFUNCTION("""COMPUTED_VALUE"""),"Yes")</f>
        <v>Yes</v>
      </c>
      <c r="R770" s="6">
        <f ca="1">IFERROR(__xludf.DUMMYFUNCTION("""COMPUTED_VALUE"""),1)</f>
        <v>1</v>
      </c>
      <c r="S770" s="6" t="str">
        <f ca="1">IFERROR(__xludf.DUMMYFUNCTION("""COMPUTED_VALUE"""),"Other: Bootstrap")</f>
        <v>Other: Bootstrap</v>
      </c>
      <c r="T770" s="6" t="str">
        <f ca="1">IFERROR(__xludf.DUMMYFUNCTION("""COMPUTED_VALUE"""),"Other: Bootstrap")</f>
        <v>Other: Bootstrap</v>
      </c>
      <c r="U770" s="6" t="str">
        <f ca="1">IFERROR(__xludf.DUMMYFUNCTION("""COMPUTED_VALUE"""),"Bootstrap")</f>
        <v>Bootstrap</v>
      </c>
      <c r="V770" s="6"/>
      <c r="W770" s="6" t="str">
        <f ca="1">IFERROR(__xludf.DUMMYFUNCTION("""COMPUTED_VALUE"""),"Invite Next Year")</f>
        <v>Invite Next Year</v>
      </c>
    </row>
    <row r="771" spans="1:23">
      <c r="A771" s="6" t="str">
        <f ca="1">IFERROR(__xludf.DUMMYFUNCTION("""COMPUTED_VALUE"""),"Man, Man")</f>
        <v>Man, Man</v>
      </c>
      <c r="B771" s="6" t="str">
        <f ca="1">IFERROR(__xludf.DUMMYFUNCTION("""COMPUTED_VALUE"""),"Rocket VR Health _2022")</f>
        <v>Rocket VR Health _2022</v>
      </c>
      <c r="C771" s="6" t="str">
        <f ca="1">IFERROR(__xludf.DUMMYFUNCTION("""COMPUTED_VALUE"""),"Digital Tech")</f>
        <v>Digital Tech</v>
      </c>
      <c r="D771" s="6" t="str">
        <f ca="1">IFERROR(__xludf.DUMMYFUNCTION("""COMPUTED_VALUE"""),"Wakefield, MA 
United States")</f>
        <v>Wakefield, MA 
United States</v>
      </c>
      <c r="E771" s="6" t="str">
        <f ca="1">IFERROR(__xludf.DUMMYFUNCTION("""COMPUTED_VALUE"""),"East Coast")</f>
        <v>East Coast</v>
      </c>
      <c r="F771" s="6" t="str">
        <f ca="1">IFERROR(__xludf.DUMMYFUNCTION("""COMPUTED_VALUE"""),"Man")</f>
        <v>Man</v>
      </c>
      <c r="G771" s="6" t="str">
        <f ca="1">IFERROR(__xludf.DUMMYFUNCTION("""COMPUTED_VALUE"""),"Man")</f>
        <v>Man</v>
      </c>
      <c r="H771" s="6"/>
      <c r="I771" s="6"/>
      <c r="J771" s="6"/>
      <c r="K771" s="6"/>
      <c r="L771" s="6" t="str">
        <f ca="1">IFERROR(__xludf.DUMMYFUNCTION("""COMPUTED_VALUE"""),"No")</f>
        <v>No</v>
      </c>
      <c r="M771" s="6"/>
      <c r="N771" s="6"/>
      <c r="O771" s="6" t="str">
        <f ca="1">IFERROR(__xludf.DUMMYFUNCTION("""COMPUTED_VALUE"""),"Info Session")</f>
        <v>Info Session</v>
      </c>
      <c r="P771" s="6"/>
      <c r="Q771" s="6" t="str">
        <f ca="1">IFERROR(__xludf.DUMMYFUNCTION("""COMPUTED_VALUE"""),"No")</f>
        <v>No</v>
      </c>
      <c r="R771" s="6">
        <f ca="1">IFERROR(__xludf.DUMMYFUNCTION("""COMPUTED_VALUE"""),2)</f>
        <v>2</v>
      </c>
      <c r="S771" s="6" t="str">
        <f ca="1">IFERROR(__xludf.DUMMYFUNCTION("""COMPUTED_VALUE"""),"Pre-seed")</f>
        <v>Pre-seed</v>
      </c>
      <c r="T771" s="6" t="str">
        <f ca="1">IFERROR(__xludf.DUMMYFUNCTION("""COMPUTED_VALUE"""),"Pre-seed")</f>
        <v>Pre-seed</v>
      </c>
      <c r="U771" s="6" t="str">
        <f ca="1">IFERROR(__xludf.DUMMYFUNCTION("""COMPUTED_VALUE"""),"Pre-seed")</f>
        <v>Pre-seed</v>
      </c>
      <c r="V771" s="6"/>
      <c r="W771" s="6" t="str">
        <f ca="1">IFERROR(__xludf.DUMMYFUNCTION("""COMPUTED_VALUE"""),"Invite")</f>
        <v>Invite</v>
      </c>
    </row>
    <row r="772" spans="1:23">
      <c r="A772" s="6" t="str">
        <f ca="1">IFERROR(__xludf.DUMMYFUNCTION("""COMPUTED_VALUE"""),"Man, Man")</f>
        <v>Man, Man</v>
      </c>
      <c r="B772" s="6" t="str">
        <f ca="1">IFERROR(__xludf.DUMMYFUNCTION("""COMPUTED_VALUE"""),"Gaia AI _2022")</f>
        <v>Gaia AI _2022</v>
      </c>
      <c r="C772" s="6" t="str">
        <f ca="1">IFERROR(__xludf.DUMMYFUNCTION("""COMPUTED_VALUE"""),"Digital Tech")</f>
        <v>Digital Tech</v>
      </c>
      <c r="D772" s="6" t="str">
        <f ca="1">IFERROR(__xludf.DUMMYFUNCTION("""COMPUTED_VALUE"""),"Somerville, Massachusetts 
United States")</f>
        <v>Somerville, Massachusetts 
United States</v>
      </c>
      <c r="E772" s="6" t="str">
        <f ca="1">IFERROR(__xludf.DUMMYFUNCTION("""COMPUTED_VALUE"""),"East Coast")</f>
        <v>East Coast</v>
      </c>
      <c r="F772" s="6" t="str">
        <f ca="1">IFERROR(__xludf.DUMMYFUNCTION("""COMPUTED_VALUE"""),"Man")</f>
        <v>Man</v>
      </c>
      <c r="G772" s="6" t="str">
        <f ca="1">IFERROR(__xludf.DUMMYFUNCTION("""COMPUTED_VALUE"""),"Man")</f>
        <v>Man</v>
      </c>
      <c r="H772" s="6"/>
      <c r="I772" s="6"/>
      <c r="J772" s="6"/>
      <c r="K772" s="6"/>
      <c r="L772" s="6" t="str">
        <f ca="1">IFERROR(__xludf.DUMMYFUNCTION("""COMPUTED_VALUE"""),"No")</f>
        <v>No</v>
      </c>
      <c r="M772" s="6"/>
      <c r="N772" s="6"/>
      <c r="O772" s="6" t="str">
        <f ca="1">IFERROR(__xludf.DUMMYFUNCTION("""COMPUTED_VALUE"""),"Email")</f>
        <v>Email</v>
      </c>
      <c r="P772" s="6"/>
      <c r="Q772" s="6" t="str">
        <f ca="1">IFERROR(__xludf.DUMMYFUNCTION("""COMPUTED_VALUE"""),"No")</f>
        <v>No</v>
      </c>
      <c r="R772" s="6">
        <f ca="1">IFERROR(__xludf.DUMMYFUNCTION("""COMPUTED_VALUE"""),2)</f>
        <v>2</v>
      </c>
      <c r="S772" s="6" t="str">
        <f ca="1">IFERROR(__xludf.DUMMYFUNCTION("""COMPUTED_VALUE"""),"Pre-seed")</f>
        <v>Pre-seed</v>
      </c>
      <c r="T772" s="6" t="str">
        <f ca="1">IFERROR(__xludf.DUMMYFUNCTION("""COMPUTED_VALUE"""),"Pre-seed")</f>
        <v>Pre-seed</v>
      </c>
      <c r="U772" s="6" t="str">
        <f ca="1">IFERROR(__xludf.DUMMYFUNCTION("""COMPUTED_VALUE"""),"Pre-seed")</f>
        <v>Pre-seed</v>
      </c>
      <c r="V772" s="6"/>
      <c r="W772" s="6" t="str">
        <f ca="1">IFERROR(__xludf.DUMMYFUNCTION("""COMPUTED_VALUE"""),"Invite Next Year")</f>
        <v>Invite Next Year</v>
      </c>
    </row>
    <row r="773" spans="1:23">
      <c r="A773" s="6" t="str">
        <f ca="1">IFERROR(__xludf.DUMMYFUNCTION("""COMPUTED_VALUE"""),"Woman, Man")</f>
        <v>Woman, Man</v>
      </c>
      <c r="B773" s="6" t="str">
        <f ca="1">IFERROR(__xludf.DUMMYFUNCTION("""COMPUTED_VALUE"""),"PhagePro _2022")</f>
        <v>PhagePro _2022</v>
      </c>
      <c r="C773" s="6" t="str">
        <f ca="1">IFERROR(__xludf.DUMMYFUNCTION("""COMPUTED_VALUE"""),"Life Sciences")</f>
        <v>Life Sciences</v>
      </c>
      <c r="D773" s="6" t="str">
        <f ca="1">IFERROR(__xludf.DUMMYFUNCTION("""COMPUTED_VALUE"""),"75 Kneeland Street, 14th Floor, Massachusetts 
United States")</f>
        <v>75 Kneeland Street, 14th Floor, Massachusetts 
United States</v>
      </c>
      <c r="E773" s="6" t="str">
        <f ca="1">IFERROR(__xludf.DUMMYFUNCTION("""COMPUTED_VALUE"""),"East Coast")</f>
        <v>East Coast</v>
      </c>
      <c r="F773" s="6" t="str">
        <f ca="1">IFERROR(__xludf.DUMMYFUNCTION("""COMPUTED_VALUE"""),"Woman")</f>
        <v>Woman</v>
      </c>
      <c r="G773" s="6" t="str">
        <f ca="1">IFERROR(__xludf.DUMMYFUNCTION("""COMPUTED_VALUE"""),"Man")</f>
        <v>Man</v>
      </c>
      <c r="H773" s="6"/>
      <c r="I773" s="6"/>
      <c r="J773" s="6"/>
      <c r="K773" s="6"/>
      <c r="L773" s="6" t="str">
        <f ca="1">IFERROR(__xludf.DUMMYFUNCTION("""COMPUTED_VALUE"""),"No")</f>
        <v>No</v>
      </c>
      <c r="M773" s="6"/>
      <c r="N773" s="6"/>
      <c r="O773" s="6" t="str">
        <f ca="1">IFERROR(__xludf.DUMMYFUNCTION("""COMPUTED_VALUE"""),"Email")</f>
        <v>Email</v>
      </c>
      <c r="P773" s="6"/>
      <c r="Q773" s="6" t="str">
        <f ca="1">IFERROR(__xludf.DUMMYFUNCTION("""COMPUTED_VALUE"""),"No")</f>
        <v>No</v>
      </c>
      <c r="R773" s="6">
        <f ca="1">IFERROR(__xludf.DUMMYFUNCTION("""COMPUTED_VALUE"""),2)</f>
        <v>2</v>
      </c>
      <c r="S773" s="6" t="str">
        <f ca="1">IFERROR(__xludf.DUMMYFUNCTION("""COMPUTED_VALUE"""),"Grants")</f>
        <v>Grants</v>
      </c>
      <c r="T773" s="6" t="str">
        <f ca="1">IFERROR(__xludf.DUMMYFUNCTION("""COMPUTED_VALUE"""),"Grants")</f>
        <v>Grants</v>
      </c>
      <c r="U773" s="6" t="str">
        <f ca="1">IFERROR(__xludf.DUMMYFUNCTION("""COMPUTED_VALUE"""),"Grants")</f>
        <v>Grants</v>
      </c>
      <c r="V773" s="6"/>
      <c r="W773" s="6" t="str">
        <f ca="1">IFERROR(__xludf.DUMMYFUNCTION("""COMPUTED_VALUE"""),"Invite Next Year")</f>
        <v>Invite Next Year</v>
      </c>
    </row>
    <row r="774" spans="1:23">
      <c r="A774" s="6" t="str">
        <f ca="1">IFERROR(__xludf.DUMMYFUNCTION("""COMPUTED_VALUE"""),"Man, Woman, Man")</f>
        <v>Man, Woman, Man</v>
      </c>
      <c r="B774" s="6" t="str">
        <f ca="1">IFERROR(__xludf.DUMMYFUNCTION("""COMPUTED_VALUE"""),"Boaz Bikes Inc _2022")</f>
        <v>Boaz Bikes Inc _2022</v>
      </c>
      <c r="C774" s="6" t="str">
        <f ca="1">IFERROR(__xludf.DUMMYFUNCTION("""COMPUTED_VALUE"""),"Digital Tech")</f>
        <v>Digital Tech</v>
      </c>
      <c r="D774" s="6" t="str">
        <f ca="1">IFERROR(__xludf.DUMMYFUNCTION("""COMPUTED_VALUE"""),"7600 Chrysler Dr Ste 101, Michigan 
United States")</f>
        <v>7600 Chrysler Dr Ste 101, Michigan 
United States</v>
      </c>
      <c r="E774" s="6" t="str">
        <f ca="1">IFERROR(__xludf.DUMMYFUNCTION("""COMPUTED_VALUE"""),"Midwest")</f>
        <v>Midwest</v>
      </c>
      <c r="F774" s="6" t="str">
        <f ca="1">IFERROR(__xludf.DUMMYFUNCTION("""COMPUTED_VALUE"""),"Man")</f>
        <v>Man</v>
      </c>
      <c r="G774" s="6" t="str">
        <f ca="1">IFERROR(__xludf.DUMMYFUNCTION("""COMPUTED_VALUE"""),"Woman")</f>
        <v>Woman</v>
      </c>
      <c r="H774" s="6" t="str">
        <f ca="1">IFERROR(__xludf.DUMMYFUNCTION("""COMPUTED_VALUE"""),"Man")</f>
        <v>Man</v>
      </c>
      <c r="I774" s="6"/>
      <c r="J774" s="6"/>
      <c r="K774" s="6"/>
      <c r="L774" s="6" t="str">
        <f ca="1">IFERROR(__xludf.DUMMYFUNCTION("""COMPUTED_VALUE"""),"No")</f>
        <v>No</v>
      </c>
      <c r="M774" s="6"/>
      <c r="N774" s="6"/>
      <c r="O774" s="6" t="str">
        <f ca="1">IFERROR(__xludf.DUMMYFUNCTION("""COMPUTED_VALUE"""),"Email")</f>
        <v>Email</v>
      </c>
      <c r="P774" s="6"/>
      <c r="Q774" s="6" t="str">
        <f ca="1">IFERROR(__xludf.DUMMYFUNCTION("""COMPUTED_VALUE"""),"No")</f>
        <v>No</v>
      </c>
      <c r="R774" s="6">
        <f ca="1">IFERROR(__xludf.DUMMYFUNCTION("""COMPUTED_VALUE"""),3)</f>
        <v>3</v>
      </c>
      <c r="S774" s="6" t="str">
        <f ca="1">IFERROR(__xludf.DUMMYFUNCTION("""COMPUTED_VALUE"""),"Pre-seed
Seed")</f>
        <v>Pre-seed
Seed</v>
      </c>
      <c r="T774" s="6" t="str">
        <f ca="1">IFERROR(__xludf.DUMMYFUNCTION("""COMPUTED_VALUE"""),"Pre-seed, Seed")</f>
        <v>Pre-seed, Seed</v>
      </c>
      <c r="U774" s="6" t="str">
        <f ca="1">IFERROR(__xludf.DUMMYFUNCTION("""COMPUTED_VALUE"""),"Pre-seed, Seed")</f>
        <v>Pre-seed, Seed</v>
      </c>
      <c r="V774" s="6"/>
      <c r="W774" s="6" t="str">
        <f ca="1">IFERROR(__xludf.DUMMYFUNCTION("""COMPUTED_VALUE"""),"Invite Next Year")</f>
        <v>Invite Next Year</v>
      </c>
    </row>
    <row r="775" spans="1:23">
      <c r="A775" s="6" t="str">
        <f ca="1">IFERROR(__xludf.DUMMYFUNCTION("""COMPUTED_VALUE"""),"Man")</f>
        <v>Man</v>
      </c>
      <c r="B775" s="6" t="str">
        <f ca="1">IFERROR(__xludf.DUMMYFUNCTION("""COMPUTED_VALUE"""),"AiRANACULUS _2022")</f>
        <v>AiRANACULUS _2022</v>
      </c>
      <c r="C775" s="6" t="str">
        <f ca="1">IFERROR(__xludf.DUMMYFUNCTION("""COMPUTED_VALUE"""),"Digital Tech")</f>
        <v>Digital Tech</v>
      </c>
      <c r="D775" s="6" t="str">
        <f ca="1">IFERROR(__xludf.DUMMYFUNCTION("""COMPUTED_VALUE"""),"491 Dutton St., Suite 105, MA 
United States")</f>
        <v>491 Dutton St., Suite 105, MA 
United States</v>
      </c>
      <c r="E775" s="6" t="str">
        <f ca="1">IFERROR(__xludf.DUMMYFUNCTION("""COMPUTED_VALUE"""),"East Coast")</f>
        <v>East Coast</v>
      </c>
      <c r="F775" s="6" t="str">
        <f ca="1">IFERROR(__xludf.DUMMYFUNCTION("""COMPUTED_VALUE"""),"Man")</f>
        <v>Man</v>
      </c>
      <c r="G775" s="6"/>
      <c r="H775" s="6"/>
      <c r="I775" s="6"/>
      <c r="J775" s="6"/>
      <c r="K775" s="6"/>
      <c r="L775" s="6" t="str">
        <f ca="1">IFERROR(__xludf.DUMMYFUNCTION("""COMPUTED_VALUE"""),"No")</f>
        <v>No</v>
      </c>
      <c r="M775" s="6"/>
      <c r="N775" s="6"/>
      <c r="O775" s="6" t="str">
        <f ca="1">IFERROR(__xludf.DUMMYFUNCTION("""COMPUTED_VALUE"""),"Email")</f>
        <v>Email</v>
      </c>
      <c r="P775" s="6"/>
      <c r="Q775" s="6" t="str">
        <f ca="1">IFERROR(__xludf.DUMMYFUNCTION("""COMPUTED_VALUE"""),"No")</f>
        <v>No</v>
      </c>
      <c r="R775" s="6">
        <f ca="1">IFERROR(__xludf.DUMMYFUNCTION("""COMPUTED_VALUE"""),1)</f>
        <v>1</v>
      </c>
      <c r="S775" s="6" t="str">
        <f ca="1">IFERROR(__xludf.DUMMYFUNCTION("""COMPUTED_VALUE"""),"Grants")</f>
        <v>Grants</v>
      </c>
      <c r="T775" s="6" t="str">
        <f ca="1">IFERROR(__xludf.DUMMYFUNCTION("""COMPUTED_VALUE"""),"Grants")</f>
        <v>Grants</v>
      </c>
      <c r="U775" s="6" t="str">
        <f ca="1">IFERROR(__xludf.DUMMYFUNCTION("""COMPUTED_VALUE"""),"Grants")</f>
        <v>Grants</v>
      </c>
      <c r="V775" s="6"/>
      <c r="W775" s="6" t="str">
        <f ca="1">IFERROR(__xludf.DUMMYFUNCTION("""COMPUTED_VALUE"""),"Invite")</f>
        <v>Invite</v>
      </c>
    </row>
    <row r="776" spans="1:23">
      <c r="A776" s="6" t="str">
        <f ca="1">IFERROR(__xludf.DUMMYFUNCTION("""COMPUTED_VALUE"""),"Man, Man, Woman")</f>
        <v>Man, Man, Woman</v>
      </c>
      <c r="B776" s="6" t="str">
        <f ca="1">IFERROR(__xludf.DUMMYFUNCTION("""COMPUTED_VALUE"""),"InvivoSciences, Inc. _2022")</f>
        <v>InvivoSciences, Inc. _2022</v>
      </c>
      <c r="C776" s="6" t="str">
        <f ca="1">IFERROR(__xludf.DUMMYFUNCTION("""COMPUTED_VALUE"""),"Life Sciences")</f>
        <v>Life Sciences</v>
      </c>
      <c r="D776" s="6" t="str">
        <f ca="1">IFERROR(__xludf.DUMMYFUNCTION("""COMPUTED_VALUE"""),"510 charmany drive suite 60, wisconsin 
United States")</f>
        <v>510 charmany drive suite 60, wisconsin 
United States</v>
      </c>
      <c r="E776" s="6" t="str">
        <f ca="1">IFERROR(__xludf.DUMMYFUNCTION("""COMPUTED_VALUE"""),"Midwest")</f>
        <v>Midwest</v>
      </c>
      <c r="F776" s="6" t="str">
        <f ca="1">IFERROR(__xludf.DUMMYFUNCTION("""COMPUTED_VALUE"""),"Man")</f>
        <v>Man</v>
      </c>
      <c r="G776" s="6" t="str">
        <f ca="1">IFERROR(__xludf.DUMMYFUNCTION("""COMPUTED_VALUE"""),"Man")</f>
        <v>Man</v>
      </c>
      <c r="H776" s="6" t="str">
        <f ca="1">IFERROR(__xludf.DUMMYFUNCTION("""COMPUTED_VALUE"""),"Woman")</f>
        <v>Woman</v>
      </c>
      <c r="I776" s="6"/>
      <c r="J776" s="6"/>
      <c r="K776" s="6"/>
      <c r="L776" s="6" t="str">
        <f ca="1">IFERROR(__xludf.DUMMYFUNCTION("""COMPUTED_VALUE"""),"No")</f>
        <v>No</v>
      </c>
      <c r="M776" s="6"/>
      <c r="N776" s="6"/>
      <c r="O776" s="6" t="str">
        <f ca="1">IFERROR(__xludf.DUMMYFUNCTION("""COMPUTED_VALUE"""),"Email")</f>
        <v>Email</v>
      </c>
      <c r="P776" s="6"/>
      <c r="Q776" s="6" t="str">
        <f ca="1">IFERROR(__xludf.DUMMYFUNCTION("""COMPUTED_VALUE"""),"No")</f>
        <v>No</v>
      </c>
      <c r="R776" s="6">
        <f ca="1">IFERROR(__xludf.DUMMYFUNCTION("""COMPUTED_VALUE"""),3)</f>
        <v>3</v>
      </c>
      <c r="S776" s="6" t="str">
        <f ca="1">IFERROR(__xludf.DUMMYFUNCTION("""COMPUTED_VALUE"""),"Debt financing
Grants
Other: investment of Founders, board, and reinvested customer revenue and matching funds and in-kind resources from strategic partners")</f>
        <v>Debt financing
Grants
Other: investment of Founders, board, and reinvested customer revenue and matching funds and in-kind resources from strategic partners</v>
      </c>
      <c r="T776" s="6" t="str">
        <f ca="1">IFERROR(__xludf.DUMMYFUNCTION("""COMPUTED_VALUE"""),"Debt financing, Grants, Other: investment of Founders, board, and reinvested customer revenue and matching funds and in-kind resources from strategic partners")</f>
        <v>Debt financing, Grants, Other: investment of Founders, board, and reinvested customer revenue and matching funds and in-kind resources from strategic partners</v>
      </c>
      <c r="U776" s="6" t="str">
        <f ca="1">IFERROR(__xludf.DUMMYFUNCTION("""COMPUTED_VALUE"""),"Debt financing, Grants, ")</f>
        <v xml:space="preserve">Debt financing, Grants, </v>
      </c>
      <c r="V776" s="6" t="str">
        <f ca="1">IFERROR(__xludf.DUMMYFUNCTION("""COMPUTED_VALUE"""),"investment of Founders, board, and reinvested customer revenue and matching funds and in-kind resources from strategic partners")</f>
        <v>investment of Founders, board, and reinvested customer revenue and matching funds and in-kind resources from strategic partners</v>
      </c>
      <c r="W776" s="6" t="str">
        <f ca="1">IFERROR(__xludf.DUMMYFUNCTION("""COMPUTED_VALUE"""),"Invite")</f>
        <v>Invite</v>
      </c>
    </row>
    <row r="777" spans="1:23">
      <c r="A777" s="6" t="str">
        <f ca="1">IFERROR(__xludf.DUMMYFUNCTION("""COMPUTED_VALUE"""),"Man, Man, Woman, Man")</f>
        <v>Man, Man, Woman, Man</v>
      </c>
      <c r="B777" s="6" t="str">
        <f ca="1">IFERROR(__xludf.DUMMYFUNCTION("""COMPUTED_VALUE"""),"Plethy _2022")</f>
        <v>Plethy _2022</v>
      </c>
      <c r="C777" s="6" t="str">
        <f ca="1">IFERROR(__xludf.DUMMYFUNCTION("""COMPUTED_VALUE"""),"Digital Tech")</f>
        <v>Digital Tech</v>
      </c>
      <c r="D777" s="6" t="str">
        <f ca="1">IFERROR(__xludf.DUMMYFUNCTION("""COMPUTED_VALUE"""),"2362 Qume Drive, Suite #D, , San Jose, CA 95131 
United States")</f>
        <v>2362 Qume Drive, Suite #D, , San Jose, CA 95131 
United States</v>
      </c>
      <c r="E777" s="6" t="str">
        <f ca="1">IFERROR(__xludf.DUMMYFUNCTION("""COMPUTED_VALUE"""),"West Coast")</f>
        <v>West Coast</v>
      </c>
      <c r="F777" s="6" t="str">
        <f ca="1">IFERROR(__xludf.DUMMYFUNCTION("""COMPUTED_VALUE"""),"Man")</f>
        <v>Man</v>
      </c>
      <c r="G777" s="6" t="str">
        <f ca="1">IFERROR(__xludf.DUMMYFUNCTION("""COMPUTED_VALUE"""),"Man")</f>
        <v>Man</v>
      </c>
      <c r="H777" s="6" t="str">
        <f ca="1">IFERROR(__xludf.DUMMYFUNCTION("""COMPUTED_VALUE"""),"Woman")</f>
        <v>Woman</v>
      </c>
      <c r="I777" s="6" t="str">
        <f ca="1">IFERROR(__xludf.DUMMYFUNCTION("""COMPUTED_VALUE"""),"Man")</f>
        <v>Man</v>
      </c>
      <c r="J777" s="6"/>
      <c r="K777" s="6"/>
      <c r="L777" s="6" t="str">
        <f ca="1">IFERROR(__xludf.DUMMYFUNCTION("""COMPUTED_VALUE"""),"No")</f>
        <v>No</v>
      </c>
      <c r="M777" s="6"/>
      <c r="N777" s="6"/>
      <c r="O777" s="6" t="str">
        <f ca="1">IFERROR(__xludf.DUMMYFUNCTION("""COMPUTED_VALUE"""),"Email")</f>
        <v>Email</v>
      </c>
      <c r="P777" s="6"/>
      <c r="Q777" s="6" t="str">
        <f ca="1">IFERROR(__xludf.DUMMYFUNCTION("""COMPUTED_VALUE"""),"No")</f>
        <v>No</v>
      </c>
      <c r="R777" s="6">
        <f ca="1">IFERROR(__xludf.DUMMYFUNCTION("""COMPUTED_VALUE"""),4)</f>
        <v>4</v>
      </c>
      <c r="S777" s="6" t="str">
        <f ca="1">IFERROR(__xludf.DUMMYFUNCTION("""COMPUTED_VALUE"""),"Seed")</f>
        <v>Seed</v>
      </c>
      <c r="T777" s="6" t="str">
        <f ca="1">IFERROR(__xludf.DUMMYFUNCTION("""COMPUTED_VALUE"""),"Seed")</f>
        <v>Seed</v>
      </c>
      <c r="U777" s="6" t="str">
        <f ca="1">IFERROR(__xludf.DUMMYFUNCTION("""COMPUTED_VALUE"""),"Seed")</f>
        <v>Seed</v>
      </c>
      <c r="V777" s="6"/>
      <c r="W777" s="6" t="str">
        <f ca="1">IFERROR(__xludf.DUMMYFUNCTION("""COMPUTED_VALUE"""),"Invite Next Year")</f>
        <v>Invite Next Year</v>
      </c>
    </row>
    <row r="778" spans="1:23">
      <c r="A778" s="6" t="str">
        <f ca="1">IFERROR(__xludf.DUMMYFUNCTION("""COMPUTED_VALUE"""),"Woman")</f>
        <v>Woman</v>
      </c>
      <c r="B778" s="6" t="str">
        <f ca="1">IFERROR(__xludf.DUMMYFUNCTION("""COMPUTED_VALUE"""),"Livin Farms AgriFood GmBh _2022")</f>
        <v>Livin Farms AgriFood GmBh _2022</v>
      </c>
      <c r="C778" s="6" t="str">
        <f ca="1">IFERROR(__xludf.DUMMYFUNCTION("""COMPUTED_VALUE"""),"Digital Tech")</f>
        <v>Digital Tech</v>
      </c>
      <c r="D778" s="6" t="str">
        <f ca="1">IFERROR(__xludf.DUMMYFUNCTION("""COMPUTED_VALUE"""),"2.Haidequerstraße 1, halle 43, Wien  
Austria")</f>
        <v>2.Haidequerstraße 1, halle 43, Wien  
Austria</v>
      </c>
      <c r="E778" s="6" t="str">
        <f ca="1">IFERROR(__xludf.DUMMYFUNCTION("""COMPUTED_VALUE"""),"International - Europe")</f>
        <v>International - Europe</v>
      </c>
      <c r="F778" s="6" t="str">
        <f ca="1">IFERROR(__xludf.DUMMYFUNCTION("""COMPUTED_VALUE"""),"Woman")</f>
        <v>Woman</v>
      </c>
      <c r="G778" s="6"/>
      <c r="H778" s="6"/>
      <c r="I778" s="6"/>
      <c r="J778" s="6"/>
      <c r="K778" s="6"/>
      <c r="L778" s="6" t="str">
        <f ca="1">IFERROR(__xludf.DUMMYFUNCTION("""COMPUTED_VALUE"""),"--Please select--")</f>
        <v>--Please select--</v>
      </c>
      <c r="M778" s="6"/>
      <c r="N778" s="6"/>
      <c r="O778" s="6" t="str">
        <f ca="1">IFERROR(__xludf.DUMMYFUNCTION("""COMPUTED_VALUE"""),"Email")</f>
        <v>Email</v>
      </c>
      <c r="P778" s="6"/>
      <c r="Q778" s="6" t="str">
        <f ca="1">IFERROR(__xludf.DUMMYFUNCTION("""COMPUTED_VALUE"""),"No")</f>
        <v>No</v>
      </c>
      <c r="R778" s="6">
        <f ca="1">IFERROR(__xludf.DUMMYFUNCTION("""COMPUTED_VALUE"""),1)</f>
        <v>1</v>
      </c>
      <c r="S778" s="6" t="str">
        <f ca="1">IFERROR(__xludf.DUMMYFUNCTION("""COMPUTED_VALUE"""),"Grants")</f>
        <v>Grants</v>
      </c>
      <c r="T778" s="6" t="str">
        <f ca="1">IFERROR(__xludf.DUMMYFUNCTION("""COMPUTED_VALUE"""),"Grants")</f>
        <v>Grants</v>
      </c>
      <c r="U778" s="6" t="str">
        <f ca="1">IFERROR(__xludf.DUMMYFUNCTION("""COMPUTED_VALUE"""),"Grants")</f>
        <v>Grants</v>
      </c>
      <c r="V778" s="6"/>
      <c r="W778" s="6" t="str">
        <f ca="1">IFERROR(__xludf.DUMMYFUNCTION("""COMPUTED_VALUE"""),"Invite Next Year")</f>
        <v>Invite Next Year</v>
      </c>
    </row>
    <row r="779" spans="1:23">
      <c r="A779" s="6" t="str">
        <f ca="1">IFERROR(__xludf.DUMMYFUNCTION("""COMPUTED_VALUE"""),"Woman, Woman, Woman")</f>
        <v>Woman, Woman, Woman</v>
      </c>
      <c r="B779" s="6" t="str">
        <f ca="1">IFERROR(__xludf.DUMMYFUNCTION("""COMPUTED_VALUE"""),"PLAYBOOK APPLICATION W.L.L _2022")</f>
        <v>PLAYBOOK APPLICATION W.L.L _2022</v>
      </c>
      <c r="C779" s="6" t="str">
        <f ca="1">IFERROR(__xludf.DUMMYFUNCTION("""COMPUTED_VALUE"""),"Digital Tech")</f>
        <v>Digital Tech</v>
      </c>
      <c r="D779" s="6" t="str">
        <f ca="1">IFERROR(__xludf.DUMMYFUNCTION("""COMPUTED_VALUE"""),"Flat 301, Building 114, Road 385, Block 304, Manama 
Bahrain")</f>
        <v>Flat 301, Building 114, Road 385, Block 304, Manama 
Bahrain</v>
      </c>
      <c r="E779" s="6" t="str">
        <f ca="1">IFERROR(__xludf.DUMMYFUNCTION("""COMPUTED_VALUE"""),"International - Middle East")</f>
        <v>International - Middle East</v>
      </c>
      <c r="F779" s="6" t="str">
        <f ca="1">IFERROR(__xludf.DUMMYFUNCTION("""COMPUTED_VALUE"""),"Woman")</f>
        <v>Woman</v>
      </c>
      <c r="G779" s="6" t="str">
        <f ca="1">IFERROR(__xludf.DUMMYFUNCTION("""COMPUTED_VALUE"""),"Woman")</f>
        <v>Woman</v>
      </c>
      <c r="H779" s="6" t="str">
        <f ca="1">IFERROR(__xludf.DUMMYFUNCTION("""COMPUTED_VALUE"""),"Woman")</f>
        <v>Woman</v>
      </c>
      <c r="I779" s="6"/>
      <c r="J779" s="6"/>
      <c r="K779" s="6"/>
      <c r="L779" s="6" t="str">
        <f ca="1">IFERROR(__xludf.DUMMYFUNCTION("""COMPUTED_VALUE"""),"No")</f>
        <v>No</v>
      </c>
      <c r="M779" s="6"/>
      <c r="N779" s="6"/>
      <c r="O779" s="6" t="str">
        <f ca="1">IFERROR(__xludf.DUMMYFUNCTION("""COMPUTED_VALUE"""),"Email")</f>
        <v>Email</v>
      </c>
      <c r="P779" s="6"/>
      <c r="Q779" s="6" t="str">
        <f ca="1">IFERROR(__xludf.DUMMYFUNCTION("""COMPUTED_VALUE"""),"No")</f>
        <v>No</v>
      </c>
      <c r="R779" s="6">
        <f ca="1">IFERROR(__xludf.DUMMYFUNCTION("""COMPUTED_VALUE"""),3)</f>
        <v>3</v>
      </c>
      <c r="S779" s="6" t="str">
        <f ca="1">IFERROR(__xludf.DUMMYFUNCTION("""COMPUTED_VALUE"""),"Pre-seed")</f>
        <v>Pre-seed</v>
      </c>
      <c r="T779" s="6" t="str">
        <f ca="1">IFERROR(__xludf.DUMMYFUNCTION("""COMPUTED_VALUE"""),"Pre-seed")</f>
        <v>Pre-seed</v>
      </c>
      <c r="U779" s="6" t="str">
        <f ca="1">IFERROR(__xludf.DUMMYFUNCTION("""COMPUTED_VALUE"""),"Pre-seed")</f>
        <v>Pre-seed</v>
      </c>
      <c r="V779" s="6"/>
      <c r="W779" s="6" t="str">
        <f ca="1">IFERROR(__xludf.DUMMYFUNCTION("""COMPUTED_VALUE"""),"Invite Next Year")</f>
        <v>Invite Next Year</v>
      </c>
    </row>
    <row r="780" spans="1:23">
      <c r="A780" s="6" t="str">
        <f ca="1">IFERROR(__xludf.DUMMYFUNCTION("""COMPUTED_VALUE"""),"Man, Prefer not to respond, Man")</f>
        <v>Man, Prefer not to respond, Man</v>
      </c>
      <c r="B780" s="6" t="str">
        <f ca="1">IFERROR(__xludf.DUMMYFUNCTION("""COMPUTED_VALUE"""),"Labfront _2022")</f>
        <v>Labfront _2022</v>
      </c>
      <c r="C780" s="6" t="str">
        <f ca="1">IFERROR(__xludf.DUMMYFUNCTION("""COMPUTED_VALUE"""),"Digital Tech")</f>
        <v>Digital Tech</v>
      </c>
      <c r="D780" s="6" t="str">
        <f ca="1">IFERROR(__xludf.DUMMYFUNCTION("""COMPUTED_VALUE"""),"Sharon, MA 
United States")</f>
        <v>Sharon, MA 
United States</v>
      </c>
      <c r="E780" s="6" t="str">
        <f ca="1">IFERROR(__xludf.DUMMYFUNCTION("""COMPUTED_VALUE"""),"East Coast")</f>
        <v>East Coast</v>
      </c>
      <c r="F780" s="6" t="str">
        <f ca="1">IFERROR(__xludf.DUMMYFUNCTION("""COMPUTED_VALUE"""),"Man")</f>
        <v>Man</v>
      </c>
      <c r="G780" s="6" t="str">
        <f ca="1">IFERROR(__xludf.DUMMYFUNCTION("""COMPUTED_VALUE"""),"Prefer not to respond")</f>
        <v>Prefer not to respond</v>
      </c>
      <c r="H780" s="6" t="str">
        <f ca="1">IFERROR(__xludf.DUMMYFUNCTION("""COMPUTED_VALUE"""),"Man")</f>
        <v>Man</v>
      </c>
      <c r="I780" s="6"/>
      <c r="J780" s="6"/>
      <c r="K780" s="6"/>
      <c r="L780" s="6" t="str">
        <f ca="1">IFERROR(__xludf.DUMMYFUNCTION("""COMPUTED_VALUE"""),"Yes")</f>
        <v>Yes</v>
      </c>
      <c r="M780" s="6" t="str">
        <f ca="1">IFERROR(__xludf.DUMMYFUNCTION("""COMPUTED_VALUE"""),"NYU Alumni")</f>
        <v>NYU Alumni</v>
      </c>
      <c r="N780" s="6"/>
      <c r="O780" s="6" t="str">
        <f ca="1">IFERROR(__xludf.DUMMYFUNCTION("""COMPUTED_VALUE"""),"Referral")</f>
        <v>Referral</v>
      </c>
      <c r="P780" s="6"/>
      <c r="Q780" s="6" t="str">
        <f ca="1">IFERROR(__xludf.DUMMYFUNCTION("""COMPUTED_VALUE"""),"No")</f>
        <v>No</v>
      </c>
      <c r="R780" s="6">
        <f ca="1">IFERROR(__xludf.DUMMYFUNCTION("""COMPUTED_VALUE"""),3)</f>
        <v>3</v>
      </c>
      <c r="S780" s="6" t="str">
        <f ca="1">IFERROR(__xludf.DUMMYFUNCTION("""COMPUTED_VALUE"""),"Pre-seed")</f>
        <v>Pre-seed</v>
      </c>
      <c r="T780" s="6" t="str">
        <f ca="1">IFERROR(__xludf.DUMMYFUNCTION("""COMPUTED_VALUE"""),"Pre-seed")</f>
        <v>Pre-seed</v>
      </c>
      <c r="U780" s="6" t="str">
        <f ca="1">IFERROR(__xludf.DUMMYFUNCTION("""COMPUTED_VALUE"""),"Pre-seed")</f>
        <v>Pre-seed</v>
      </c>
      <c r="V780" s="6"/>
      <c r="W780" s="6" t="str">
        <f ca="1">IFERROR(__xludf.DUMMYFUNCTION("""COMPUTED_VALUE"""),"Invite")</f>
        <v>Invite</v>
      </c>
    </row>
    <row r="781" spans="1:23">
      <c r="A781" s="6" t="str">
        <f ca="1">IFERROR(__xludf.DUMMYFUNCTION("""COMPUTED_VALUE"""),"Man, Man, Man")</f>
        <v>Man, Man, Man</v>
      </c>
      <c r="B781" s="6" t="str">
        <f ca="1">IFERROR(__xludf.DUMMYFUNCTION("""COMPUTED_VALUE"""),"Silicon Assurance  _2022")</f>
        <v>Silicon Assurance  _2022</v>
      </c>
      <c r="C781" s="6" t="str">
        <f ca="1">IFERROR(__xludf.DUMMYFUNCTION("""COMPUTED_VALUE"""),"Digital Tech")</f>
        <v>Digital Tech</v>
      </c>
      <c r="D781" s="6" t="str">
        <f ca="1">IFERROR(__xludf.DUMMYFUNCTION("""COMPUTED_VALUE"""),"Gainesville, FL 
United States")</f>
        <v>Gainesville, FL 
United States</v>
      </c>
      <c r="E781" s="6" t="str">
        <f ca="1">IFERROR(__xludf.DUMMYFUNCTION("""COMPUTED_VALUE"""),"East Coast")</f>
        <v>East Coast</v>
      </c>
      <c r="F781" s="6" t="str">
        <f ca="1">IFERROR(__xludf.DUMMYFUNCTION("""COMPUTED_VALUE"""),"Man")</f>
        <v>Man</v>
      </c>
      <c r="G781" s="6" t="str">
        <f ca="1">IFERROR(__xludf.DUMMYFUNCTION("""COMPUTED_VALUE"""),"Man")</f>
        <v>Man</v>
      </c>
      <c r="H781" s="6" t="str">
        <f ca="1">IFERROR(__xludf.DUMMYFUNCTION("""COMPUTED_VALUE"""),"Man")</f>
        <v>Man</v>
      </c>
      <c r="I781" s="6"/>
      <c r="J781" s="6"/>
      <c r="K781" s="6"/>
      <c r="L781" s="6" t="str">
        <f ca="1">IFERROR(__xludf.DUMMYFUNCTION("""COMPUTED_VALUE"""),"No")</f>
        <v>No</v>
      </c>
      <c r="M781" s="6"/>
      <c r="N781" s="6"/>
      <c r="O781" s="6" t="str">
        <f ca="1">IFERROR(__xludf.DUMMYFUNCTION("""COMPUTED_VALUE"""),"Email")</f>
        <v>Email</v>
      </c>
      <c r="P781" s="6"/>
      <c r="Q781" s="6" t="str">
        <f ca="1">IFERROR(__xludf.DUMMYFUNCTION("""COMPUTED_VALUE"""),"No")</f>
        <v>No</v>
      </c>
      <c r="R781" s="6">
        <f ca="1">IFERROR(__xludf.DUMMYFUNCTION("""COMPUTED_VALUE"""),3)</f>
        <v>3</v>
      </c>
      <c r="S781" s="6" t="str">
        <f ca="1">IFERROR(__xludf.DUMMYFUNCTION("""COMPUTED_VALUE"""),"Seed")</f>
        <v>Seed</v>
      </c>
      <c r="T781" s="6" t="str">
        <f ca="1">IFERROR(__xludf.DUMMYFUNCTION("""COMPUTED_VALUE"""),"Seed")</f>
        <v>Seed</v>
      </c>
      <c r="U781" s="6" t="str">
        <f ca="1">IFERROR(__xludf.DUMMYFUNCTION("""COMPUTED_VALUE"""),"Seed")</f>
        <v>Seed</v>
      </c>
      <c r="V781" s="6"/>
      <c r="W781" s="6" t="str">
        <f ca="1">IFERROR(__xludf.DUMMYFUNCTION("""COMPUTED_VALUE"""),"Invite Next Year")</f>
        <v>Invite Next Year</v>
      </c>
    </row>
    <row r="782" spans="1:23">
      <c r="A782" s="6" t="str">
        <f ca="1">IFERROR(__xludf.DUMMYFUNCTION("""COMPUTED_VALUE"""),"Man")</f>
        <v>Man</v>
      </c>
      <c r="B782" s="6" t="str">
        <f ca="1">IFERROR(__xludf.DUMMYFUNCTION("""COMPUTED_VALUE"""),"Hundred Technology MENA DMCC _2022")</f>
        <v>Hundred Technology MENA DMCC _2022</v>
      </c>
      <c r="C782" s="6" t="str">
        <f ca="1">IFERROR(__xludf.DUMMYFUNCTION("""COMPUTED_VALUE"""),"Digital Tech")</f>
        <v>Digital Tech</v>
      </c>
      <c r="D782" s="6" t="str">
        <f ca="1">IFERROR(__xludf.DUMMYFUNCTION("""COMPUTED_VALUE"""),"Dubai, Dubai 
United Arab Emirates")</f>
        <v>Dubai, Dubai 
United Arab Emirates</v>
      </c>
      <c r="E782" s="6" t="str">
        <f ca="1">IFERROR(__xludf.DUMMYFUNCTION("""COMPUTED_VALUE"""),"International - Middle East")</f>
        <v>International - Middle East</v>
      </c>
      <c r="F782" s="6" t="str">
        <f ca="1">IFERROR(__xludf.DUMMYFUNCTION("""COMPUTED_VALUE"""),"Man")</f>
        <v>Man</v>
      </c>
      <c r="G782" s="6"/>
      <c r="H782" s="6"/>
      <c r="I782" s="6"/>
      <c r="J782" s="6"/>
      <c r="K782" s="6"/>
      <c r="L782" s="6" t="str">
        <f ca="1">IFERROR(__xludf.DUMMYFUNCTION("""COMPUTED_VALUE"""),"No")</f>
        <v>No</v>
      </c>
      <c r="M782" s="6"/>
      <c r="N782" s="6"/>
      <c r="O782" s="6" t="str">
        <f ca="1">IFERROR(__xludf.DUMMYFUNCTION("""COMPUTED_VALUE"""),"Email")</f>
        <v>Email</v>
      </c>
      <c r="P782" s="6"/>
      <c r="Q782" s="6" t="str">
        <f ca="1">IFERROR(__xludf.DUMMYFUNCTION("""COMPUTED_VALUE"""),"No")</f>
        <v>No</v>
      </c>
      <c r="R782" s="6">
        <f ca="1">IFERROR(__xludf.DUMMYFUNCTION("""COMPUTED_VALUE"""),1)</f>
        <v>1</v>
      </c>
      <c r="S782" s="6" t="str">
        <f ca="1">IFERROR(__xludf.DUMMYFUNCTION("""COMPUTED_VALUE"""),"None")</f>
        <v>None</v>
      </c>
      <c r="T782" s="6" t="str">
        <f ca="1">IFERROR(__xludf.DUMMYFUNCTION("""COMPUTED_VALUE"""),"None")</f>
        <v>None</v>
      </c>
      <c r="U782" s="6" t="str">
        <f ca="1">IFERROR(__xludf.DUMMYFUNCTION("""COMPUTED_VALUE"""),"None")</f>
        <v>None</v>
      </c>
      <c r="V782" s="6"/>
      <c r="W782" s="6" t="str">
        <f ca="1">IFERROR(__xludf.DUMMYFUNCTION("""COMPUTED_VALUE"""),"Invite Next Year")</f>
        <v>Invite Next Year</v>
      </c>
    </row>
    <row r="783" spans="1:23">
      <c r="A783" s="6" t="str">
        <f ca="1">IFERROR(__xludf.DUMMYFUNCTION("""COMPUTED_VALUE"""),"Man, Man, --Please select--")</f>
        <v>Man, Man, --Please select--</v>
      </c>
      <c r="B783" s="6" t="str">
        <f ca="1">IFERROR(__xludf.DUMMYFUNCTION("""COMPUTED_VALUE"""),"Cfromatik Parallel, LDA _2022")</f>
        <v>Cfromatik Parallel, LDA _2022</v>
      </c>
      <c r="C783" s="6" t="str">
        <f ca="1">IFERROR(__xludf.DUMMYFUNCTION("""COMPUTED_VALUE"""),"Deep Tech")</f>
        <v>Deep Tech</v>
      </c>
      <c r="D783" s="6" t="str">
        <f ca="1">IFERROR(__xludf.DUMMYFUNCTION("""COMPUTED_VALUE"""),"Rua Margarida Abreu , Numero 11, 1C, Lisboa, Lisboa 
France")</f>
        <v>Rua Margarida Abreu , Numero 11, 1C, Lisboa, Lisboa 
France</v>
      </c>
      <c r="E783" s="6" t="str">
        <f ca="1">IFERROR(__xludf.DUMMYFUNCTION("""COMPUTED_VALUE"""),"International - Europe")</f>
        <v>International - Europe</v>
      </c>
      <c r="F783" s="6" t="str">
        <f ca="1">IFERROR(__xludf.DUMMYFUNCTION("""COMPUTED_VALUE"""),"Man")</f>
        <v>Man</v>
      </c>
      <c r="G783" s="6" t="str">
        <f ca="1">IFERROR(__xludf.DUMMYFUNCTION("""COMPUTED_VALUE"""),"Man")</f>
        <v>Man</v>
      </c>
      <c r="H783" s="6" t="str">
        <f ca="1">IFERROR(__xludf.DUMMYFUNCTION("""COMPUTED_VALUE"""),"--Please select--")</f>
        <v>--Please select--</v>
      </c>
      <c r="I783" s="6"/>
      <c r="J783" s="6"/>
      <c r="K783" s="6"/>
      <c r="L783" s="6" t="str">
        <f ca="1">IFERROR(__xludf.DUMMYFUNCTION("""COMPUTED_VALUE"""),"No")</f>
        <v>No</v>
      </c>
      <c r="M783" s="6"/>
      <c r="N783" s="6"/>
      <c r="O783" s="6" t="str">
        <f ca="1">IFERROR(__xludf.DUMMYFUNCTION("""COMPUTED_VALUE"""),"Other")</f>
        <v>Other</v>
      </c>
      <c r="P783" s="6"/>
      <c r="Q783" s="6" t="str">
        <f ca="1">IFERROR(__xludf.DUMMYFUNCTION("""COMPUTED_VALUE"""),"No")</f>
        <v>No</v>
      </c>
      <c r="R783" s="6">
        <f ca="1">IFERROR(__xludf.DUMMYFUNCTION("""COMPUTED_VALUE"""),3)</f>
        <v>3</v>
      </c>
      <c r="S783" s="6" t="str">
        <f ca="1">IFERROR(__xludf.DUMMYFUNCTION("""COMPUTED_VALUE"""),"Pre-seed")</f>
        <v>Pre-seed</v>
      </c>
      <c r="T783" s="6" t="str">
        <f ca="1">IFERROR(__xludf.DUMMYFUNCTION("""COMPUTED_VALUE"""),"Pre-seed")</f>
        <v>Pre-seed</v>
      </c>
      <c r="U783" s="6" t="str">
        <f ca="1">IFERROR(__xludf.DUMMYFUNCTION("""COMPUTED_VALUE"""),"Pre-seed")</f>
        <v>Pre-seed</v>
      </c>
      <c r="V783" s="6"/>
      <c r="W783" s="6" t="str">
        <f ca="1">IFERROR(__xludf.DUMMYFUNCTION("""COMPUTED_VALUE"""),"Invite Next Year")</f>
        <v>Invite Next Year</v>
      </c>
    </row>
    <row r="784" spans="1:23">
      <c r="A784" s="6" t="str">
        <f ca="1">IFERROR(__xludf.DUMMYFUNCTION("""COMPUTED_VALUE"""),"Man, Woman, Woman, Man, Man, Woman")</f>
        <v>Man, Woman, Woman, Man, Man, Woman</v>
      </c>
      <c r="B784" s="6" t="str">
        <f ca="1">IFERROR(__xludf.DUMMYFUNCTION("""COMPUTED_VALUE"""),"Narrativa _2022")</f>
        <v>Narrativa _2022</v>
      </c>
      <c r="C784" s="6" t="str">
        <f ca="1">IFERROR(__xludf.DUMMYFUNCTION("""COMPUTED_VALUE"""),"Digital Tech")</f>
        <v>Digital Tech</v>
      </c>
      <c r="D784" s="6" t="str">
        <f ca="1">IFERROR(__xludf.DUMMYFUNCTION("""COMPUTED_VALUE"""),"Santa Monica, CA 
United States")</f>
        <v>Santa Monica, CA 
United States</v>
      </c>
      <c r="E784" s="6" t="str">
        <f ca="1">IFERROR(__xludf.DUMMYFUNCTION("""COMPUTED_VALUE"""),"West Coast")</f>
        <v>West Coast</v>
      </c>
      <c r="F784" s="6" t="str">
        <f ca="1">IFERROR(__xludf.DUMMYFUNCTION("""COMPUTED_VALUE"""),"Man")</f>
        <v>Man</v>
      </c>
      <c r="G784" s="6" t="str">
        <f ca="1">IFERROR(__xludf.DUMMYFUNCTION("""COMPUTED_VALUE"""),"Woman")</f>
        <v>Woman</v>
      </c>
      <c r="H784" s="6" t="str">
        <f ca="1">IFERROR(__xludf.DUMMYFUNCTION("""COMPUTED_VALUE"""),"Woman")</f>
        <v>Woman</v>
      </c>
      <c r="I784" s="6" t="str">
        <f ca="1">IFERROR(__xludf.DUMMYFUNCTION("""COMPUTED_VALUE"""),"Man")</f>
        <v>Man</v>
      </c>
      <c r="J784" s="6" t="str">
        <f ca="1">IFERROR(__xludf.DUMMYFUNCTION("""COMPUTED_VALUE"""),"Man")</f>
        <v>Man</v>
      </c>
      <c r="K784" s="6" t="str">
        <f ca="1">IFERROR(__xludf.DUMMYFUNCTION("""COMPUTED_VALUE"""),"Woman")</f>
        <v>Woman</v>
      </c>
      <c r="L784" s="6" t="str">
        <f ca="1">IFERROR(__xludf.DUMMYFUNCTION("""COMPUTED_VALUE"""),"No")</f>
        <v>No</v>
      </c>
      <c r="M784" s="6"/>
      <c r="N784" s="6"/>
      <c r="O784" s="6" t="str">
        <f ca="1">IFERROR(__xludf.DUMMYFUNCTION("""COMPUTED_VALUE"""),"Email")</f>
        <v>Email</v>
      </c>
      <c r="P784" s="6"/>
      <c r="Q784" s="6" t="str">
        <f ca="1">IFERROR(__xludf.DUMMYFUNCTION("""COMPUTED_VALUE"""),"No")</f>
        <v>No</v>
      </c>
      <c r="R784" s="6">
        <f ca="1">IFERROR(__xludf.DUMMYFUNCTION("""COMPUTED_VALUE"""),6)</f>
        <v>6</v>
      </c>
      <c r="S784" s="6" t="str">
        <f ca="1">IFERROR(__xludf.DUMMYFUNCTION("""COMPUTED_VALUE"""),"Pre-seed
Seed
Bridge
Other: Early Round")</f>
        <v>Pre-seed
Seed
Bridge
Other: Early Round</v>
      </c>
      <c r="T784" s="6" t="str">
        <f ca="1">IFERROR(__xludf.DUMMYFUNCTION("""COMPUTED_VALUE"""),"Pre-seed, Seed, Bridge, Other: Early Round")</f>
        <v>Pre-seed, Seed, Bridge, Other: Early Round</v>
      </c>
      <c r="U784" s="6" t="str">
        <f ca="1">IFERROR(__xludf.DUMMYFUNCTION("""COMPUTED_VALUE"""),"Pre-seed, Seed, Bridge, ")</f>
        <v xml:space="preserve">Pre-seed, Seed, Bridge, </v>
      </c>
      <c r="V784" s="6" t="str">
        <f ca="1">IFERROR(__xludf.DUMMYFUNCTION("""COMPUTED_VALUE"""),"Early Round")</f>
        <v>Early Round</v>
      </c>
      <c r="W784" s="6" t="str">
        <f ca="1">IFERROR(__xludf.DUMMYFUNCTION("""COMPUTED_VALUE"""),"Invite")</f>
        <v>Invite</v>
      </c>
    </row>
    <row r="785" spans="1:23">
      <c r="A785" s="6" t="str">
        <f ca="1">IFERROR(__xludf.DUMMYFUNCTION("""COMPUTED_VALUE"""),"Man, Woman")</f>
        <v>Man, Woman</v>
      </c>
      <c r="B785" s="6" t="str">
        <f ca="1">IFERROR(__xludf.DUMMYFUNCTION("""COMPUTED_VALUE"""),"Entoprotech Ltd _2022")</f>
        <v>Entoprotech Ltd _2022</v>
      </c>
      <c r="C785" s="6" t="str">
        <f ca="1">IFERROR(__xludf.DUMMYFUNCTION("""COMPUTED_VALUE"""),"Deep Tech")</f>
        <v>Deep Tech</v>
      </c>
      <c r="D785" s="6" t="str">
        <f ca="1">IFERROR(__xludf.DUMMYFUNCTION("""COMPUTED_VALUE"""),"Ner HaLayla 2, POB 3221, Caesarea 3079527 , Haifa District 
Israel")</f>
        <v>Ner HaLayla 2, POB 3221, Caesarea 3079527 , Haifa District 
Israel</v>
      </c>
      <c r="E785" s="6" t="str">
        <f ca="1">IFERROR(__xludf.DUMMYFUNCTION("""COMPUTED_VALUE"""),"International - Middle East")</f>
        <v>International - Middle East</v>
      </c>
      <c r="F785" s="6" t="str">
        <f ca="1">IFERROR(__xludf.DUMMYFUNCTION("""COMPUTED_VALUE"""),"Man")</f>
        <v>Man</v>
      </c>
      <c r="G785" s="6" t="str">
        <f ca="1">IFERROR(__xludf.DUMMYFUNCTION("""COMPUTED_VALUE"""),"Woman")</f>
        <v>Woman</v>
      </c>
      <c r="H785" s="6"/>
      <c r="I785" s="6"/>
      <c r="J785" s="6"/>
      <c r="K785" s="6"/>
      <c r="L785" s="6" t="str">
        <f ca="1">IFERROR(__xludf.DUMMYFUNCTION("""COMPUTED_VALUE"""),"No")</f>
        <v>No</v>
      </c>
      <c r="M785" s="6"/>
      <c r="N785" s="6"/>
      <c r="O785" s="6" t="str">
        <f ca="1">IFERROR(__xludf.DUMMYFUNCTION("""COMPUTED_VALUE"""),"NYU Newsletter")</f>
        <v>NYU Newsletter</v>
      </c>
      <c r="P785" s="6"/>
      <c r="Q785" s="6" t="str">
        <f ca="1">IFERROR(__xludf.DUMMYFUNCTION("""COMPUTED_VALUE"""),"No")</f>
        <v>No</v>
      </c>
      <c r="R785" s="6">
        <f ca="1">IFERROR(__xludf.DUMMYFUNCTION("""COMPUTED_VALUE"""),2)</f>
        <v>2</v>
      </c>
      <c r="S785" s="6" t="str">
        <f ca="1">IFERROR(__xludf.DUMMYFUNCTION("""COMPUTED_VALUE"""),"Seed
Bridge")</f>
        <v>Seed
Bridge</v>
      </c>
      <c r="T785" s="6" t="str">
        <f ca="1">IFERROR(__xludf.DUMMYFUNCTION("""COMPUTED_VALUE"""),"Seed, Bridge")</f>
        <v>Seed, Bridge</v>
      </c>
      <c r="U785" s="6" t="str">
        <f ca="1">IFERROR(__xludf.DUMMYFUNCTION("""COMPUTED_VALUE"""),"Seed, Bridge")</f>
        <v>Seed, Bridge</v>
      </c>
      <c r="V785" s="6"/>
      <c r="W785" s="6" t="str">
        <f ca="1">IFERROR(__xludf.DUMMYFUNCTION("""COMPUTED_VALUE"""),"Revisit/ Cluster")</f>
        <v>Revisit/ Cluster</v>
      </c>
    </row>
    <row r="786" spans="1:23">
      <c r="A786" s="6" t="str">
        <f ca="1">IFERROR(__xludf.DUMMYFUNCTION("""COMPUTED_VALUE"""),"Man, Man, Man, Woman")</f>
        <v>Man, Man, Man, Woman</v>
      </c>
      <c r="B786" s="6" t="str">
        <f ca="1">IFERROR(__xludf.DUMMYFUNCTION("""COMPUTED_VALUE"""),"SkySquirrel Technologies (dba VineView) _2022")</f>
        <v>SkySquirrel Technologies (dba VineView) _2022</v>
      </c>
      <c r="C786" s="6" t="str">
        <f ca="1">IFERROR(__xludf.DUMMYFUNCTION("""COMPUTED_VALUE"""),"Digital Tech")</f>
        <v>Digital Tech</v>
      </c>
      <c r="D786" s="6" t="str">
        <f ca="1">IFERROR(__xludf.DUMMYFUNCTION("""COMPUTED_VALUE"""),"1595 Bedford Highway, Suite 603, Nova Scotia B4A 3Y4 
Canada")</f>
        <v>1595 Bedford Highway, Suite 603, Nova Scotia B4A 3Y4 
Canada</v>
      </c>
      <c r="E786" s="6" t="str">
        <f ca="1">IFERROR(__xludf.DUMMYFUNCTION("""COMPUTED_VALUE"""),"International - Americas")</f>
        <v>International - Americas</v>
      </c>
      <c r="F786" s="6" t="str">
        <f ca="1">IFERROR(__xludf.DUMMYFUNCTION("""COMPUTED_VALUE"""),"Man")</f>
        <v>Man</v>
      </c>
      <c r="G786" s="6" t="str">
        <f ca="1">IFERROR(__xludf.DUMMYFUNCTION("""COMPUTED_VALUE"""),"Man")</f>
        <v>Man</v>
      </c>
      <c r="H786" s="6" t="str">
        <f ca="1">IFERROR(__xludf.DUMMYFUNCTION("""COMPUTED_VALUE"""),"Man")</f>
        <v>Man</v>
      </c>
      <c r="I786" s="6" t="str">
        <f ca="1">IFERROR(__xludf.DUMMYFUNCTION("""COMPUTED_VALUE"""),"Woman")</f>
        <v>Woman</v>
      </c>
      <c r="J786" s="6"/>
      <c r="K786" s="6"/>
      <c r="L786" s="6" t="str">
        <f ca="1">IFERROR(__xludf.DUMMYFUNCTION("""COMPUTED_VALUE"""),"No")</f>
        <v>No</v>
      </c>
      <c r="M786" s="6"/>
      <c r="N786" s="6"/>
      <c r="O786" s="6" t="str">
        <f ca="1">IFERROR(__xludf.DUMMYFUNCTION("""COMPUTED_VALUE"""),"Email")</f>
        <v>Email</v>
      </c>
      <c r="P786" s="6"/>
      <c r="Q786" s="6" t="str">
        <f ca="1">IFERROR(__xludf.DUMMYFUNCTION("""COMPUTED_VALUE"""),"No")</f>
        <v>No</v>
      </c>
      <c r="R786" s="6">
        <f ca="1">IFERROR(__xludf.DUMMYFUNCTION("""COMPUTED_VALUE"""),4)</f>
        <v>4</v>
      </c>
      <c r="S786" s="6" t="str">
        <f ca="1">IFERROR(__xludf.DUMMYFUNCTION("""COMPUTED_VALUE"""),"Pre-seed
Seed")</f>
        <v>Pre-seed
Seed</v>
      </c>
      <c r="T786" s="6" t="str">
        <f ca="1">IFERROR(__xludf.DUMMYFUNCTION("""COMPUTED_VALUE"""),"Pre-seed, Seed")</f>
        <v>Pre-seed, Seed</v>
      </c>
      <c r="U786" s="6" t="str">
        <f ca="1">IFERROR(__xludf.DUMMYFUNCTION("""COMPUTED_VALUE"""),"Pre-seed, Seed")</f>
        <v>Pre-seed, Seed</v>
      </c>
      <c r="V786" s="6"/>
      <c r="W786" s="6" t="str">
        <f ca="1">IFERROR(__xludf.DUMMYFUNCTION("""COMPUTED_VALUE"""),"Invite Next Year")</f>
        <v>Invite Next Year</v>
      </c>
    </row>
    <row r="787" spans="1:23">
      <c r="A787" s="6" t="str">
        <f ca="1">IFERROR(__xludf.DUMMYFUNCTION("""COMPUTED_VALUE"""),"Woman, Man")</f>
        <v>Woman, Man</v>
      </c>
      <c r="B787" s="6" t="str">
        <f ca="1">IFERROR(__xludf.DUMMYFUNCTION("""COMPUTED_VALUE"""),"Blue Studios.io _2022")</f>
        <v>Blue Studios.io _2022</v>
      </c>
      <c r="C787" s="6" t="str">
        <f ca="1">IFERROR(__xludf.DUMMYFUNCTION("""COMPUTED_VALUE"""),"Digital Tech")</f>
        <v>Digital Tech</v>
      </c>
      <c r="D787" s="6" t="str">
        <f ca="1">IFERROR(__xludf.DUMMYFUNCTION("""COMPUTED_VALUE"""),"41 Flatbush Avenue Floors 1 And 2, Brooklyn, NY 
United States")</f>
        <v>41 Flatbush Avenue Floors 1 And 2, Brooklyn, NY 
United States</v>
      </c>
      <c r="E787" s="6" t="str">
        <f ca="1">IFERROR(__xludf.DUMMYFUNCTION("""COMPUTED_VALUE"""),"New York")</f>
        <v>New York</v>
      </c>
      <c r="F787" s="6" t="str">
        <f ca="1">IFERROR(__xludf.DUMMYFUNCTION("""COMPUTED_VALUE"""),"Woman")</f>
        <v>Woman</v>
      </c>
      <c r="G787" s="6" t="str">
        <f ca="1">IFERROR(__xludf.DUMMYFUNCTION("""COMPUTED_VALUE"""),"Man")</f>
        <v>Man</v>
      </c>
      <c r="H787" s="6"/>
      <c r="I787" s="6"/>
      <c r="J787" s="6"/>
      <c r="K787" s="6"/>
      <c r="L787" s="6" t="str">
        <f ca="1">IFERROR(__xludf.DUMMYFUNCTION("""COMPUTED_VALUE"""),"No")</f>
        <v>No</v>
      </c>
      <c r="M787" s="6"/>
      <c r="N787" s="6"/>
      <c r="O787" s="6" t="str">
        <f ca="1">IFERROR(__xludf.DUMMYFUNCTION("""COMPUTED_VALUE"""),"Email")</f>
        <v>Email</v>
      </c>
      <c r="P787" s="6"/>
      <c r="Q787" s="6" t="str">
        <f ca="1">IFERROR(__xludf.DUMMYFUNCTION("""COMPUTED_VALUE"""),"No")</f>
        <v>No</v>
      </c>
      <c r="R787" s="6">
        <f ca="1">IFERROR(__xludf.DUMMYFUNCTION("""COMPUTED_VALUE"""),2)</f>
        <v>2</v>
      </c>
      <c r="S787" s="6" t="str">
        <f ca="1">IFERROR(__xludf.DUMMYFUNCTION("""COMPUTED_VALUE"""),"Pre-seed")</f>
        <v>Pre-seed</v>
      </c>
      <c r="T787" s="6" t="str">
        <f ca="1">IFERROR(__xludf.DUMMYFUNCTION("""COMPUTED_VALUE"""),"Pre-seed")</f>
        <v>Pre-seed</v>
      </c>
      <c r="U787" s="6" t="str">
        <f ca="1">IFERROR(__xludf.DUMMYFUNCTION("""COMPUTED_VALUE"""),"Pre-seed")</f>
        <v>Pre-seed</v>
      </c>
      <c r="V787" s="6"/>
      <c r="W787" s="6" t="str">
        <f ca="1">IFERROR(__xludf.DUMMYFUNCTION("""COMPUTED_VALUE"""),"Invite Next Year")</f>
        <v>Invite Next Year</v>
      </c>
    </row>
    <row r="788" spans="1:23">
      <c r="A788" s="6" t="str">
        <f ca="1">IFERROR(__xludf.DUMMYFUNCTION("""COMPUTED_VALUE"""),"Man")</f>
        <v>Man</v>
      </c>
      <c r="B788" s="6" t="str">
        <f ca="1">IFERROR(__xludf.DUMMYFUNCTION("""COMPUTED_VALUE"""),"Lineage Medical, Inc. _2022")</f>
        <v>Lineage Medical, Inc. _2022</v>
      </c>
      <c r="C788" s="6" t="str">
        <f ca="1">IFERROR(__xludf.DUMMYFUNCTION("""COMPUTED_VALUE"""),"Digital Tech")</f>
        <v>Digital Tech</v>
      </c>
      <c r="D788" s="6" t="str">
        <f ca="1">IFERROR(__xludf.DUMMYFUNCTION("""COMPUTED_VALUE"""),"Santa Barbara, CA 
United States")</f>
        <v>Santa Barbara, CA 
United States</v>
      </c>
      <c r="E788" s="6" t="str">
        <f ca="1">IFERROR(__xludf.DUMMYFUNCTION("""COMPUTED_VALUE"""),"West Coast")</f>
        <v>West Coast</v>
      </c>
      <c r="F788" s="6" t="str">
        <f ca="1">IFERROR(__xludf.DUMMYFUNCTION("""COMPUTED_VALUE"""),"Man")</f>
        <v>Man</v>
      </c>
      <c r="G788" s="6"/>
      <c r="H788" s="6"/>
      <c r="I788" s="6"/>
      <c r="J788" s="6"/>
      <c r="K788" s="6"/>
      <c r="L788" s="6" t="str">
        <f ca="1">IFERROR(__xludf.DUMMYFUNCTION("""COMPUTED_VALUE"""),"Yes")</f>
        <v>Yes</v>
      </c>
      <c r="M788" s="6" t="str">
        <f ca="1">IFERROR(__xludf.DUMMYFUNCTION("""COMPUTED_VALUE"""),"NYU Alumni")</f>
        <v>NYU Alumni</v>
      </c>
      <c r="N788" s="6"/>
      <c r="O788" s="6" t="str">
        <f ca="1">IFERROR(__xludf.DUMMYFUNCTION("""COMPUTED_VALUE"""),"NYU Newsletter")</f>
        <v>NYU Newsletter</v>
      </c>
      <c r="P788" s="6"/>
      <c r="Q788" s="6" t="str">
        <f ca="1">IFERROR(__xludf.DUMMYFUNCTION("""COMPUTED_VALUE"""),"Yes")</f>
        <v>Yes</v>
      </c>
      <c r="R788" s="6">
        <f ca="1">IFERROR(__xludf.DUMMYFUNCTION("""COMPUTED_VALUE"""),1)</f>
        <v>1</v>
      </c>
      <c r="S788" s="6" t="str">
        <f ca="1">IFERROR(__xludf.DUMMYFUNCTION("""COMPUTED_VALUE"""),"Seed
Series B and above")</f>
        <v>Seed
Series B and above</v>
      </c>
      <c r="T788" s="6" t="str">
        <f ca="1">IFERROR(__xludf.DUMMYFUNCTION("""COMPUTED_VALUE"""),"Seed, Series B and above")</f>
        <v>Seed, Series B and above</v>
      </c>
      <c r="U788" s="6" t="str">
        <f ca="1">IFERROR(__xludf.DUMMYFUNCTION("""COMPUTED_VALUE"""),"Seed, Series B and above")</f>
        <v>Seed, Series B and above</v>
      </c>
      <c r="V788" s="6"/>
      <c r="W788" s="6" t="str">
        <f ca="1">IFERROR(__xludf.DUMMYFUNCTION("""COMPUTED_VALUE"""),"Invite Next Year")</f>
        <v>Invite Next Year</v>
      </c>
    </row>
    <row r="789" spans="1:23">
      <c r="A789" s="6" t="str">
        <f ca="1">IFERROR(__xludf.DUMMYFUNCTION("""COMPUTED_VALUE"""),"Man, Man, Man, Woman")</f>
        <v>Man, Man, Man, Woman</v>
      </c>
      <c r="B789" s="6" t="str">
        <f ca="1">IFERROR(__xludf.DUMMYFUNCTION("""COMPUTED_VALUE"""),"Precision Periodic _2022")</f>
        <v>Precision Periodic _2022</v>
      </c>
      <c r="C789" s="6" t="str">
        <f ca="1">IFERROR(__xludf.DUMMYFUNCTION("""COMPUTED_VALUE"""),"Deep Tech")</f>
        <v>Deep Tech</v>
      </c>
      <c r="D789" s="6" t="str">
        <f ca="1">IFERROR(__xludf.DUMMYFUNCTION("""COMPUTED_VALUE"""),"Orlando, Florida 
United States")</f>
        <v>Orlando, Florida 
United States</v>
      </c>
      <c r="E789" s="6" t="str">
        <f ca="1">IFERROR(__xludf.DUMMYFUNCTION("""COMPUTED_VALUE"""),"East Coast")</f>
        <v>East Coast</v>
      </c>
      <c r="F789" s="6" t="str">
        <f ca="1">IFERROR(__xludf.DUMMYFUNCTION("""COMPUTED_VALUE"""),"Man")</f>
        <v>Man</v>
      </c>
      <c r="G789" s="6" t="str">
        <f ca="1">IFERROR(__xludf.DUMMYFUNCTION("""COMPUTED_VALUE"""),"Man")</f>
        <v>Man</v>
      </c>
      <c r="H789" s="6" t="str">
        <f ca="1">IFERROR(__xludf.DUMMYFUNCTION("""COMPUTED_VALUE"""),"Man")</f>
        <v>Man</v>
      </c>
      <c r="I789" s="6" t="str">
        <f ca="1">IFERROR(__xludf.DUMMYFUNCTION("""COMPUTED_VALUE"""),"Woman")</f>
        <v>Woman</v>
      </c>
      <c r="J789" s="6"/>
      <c r="K789" s="6"/>
      <c r="L789" s="6" t="str">
        <f ca="1">IFERROR(__xludf.DUMMYFUNCTION("""COMPUTED_VALUE"""),"--Please select--")</f>
        <v>--Please select--</v>
      </c>
      <c r="M789" s="6"/>
      <c r="N789" s="6"/>
      <c r="O789" s="6" t="str">
        <f ca="1">IFERROR(__xludf.DUMMYFUNCTION("""COMPUTED_VALUE"""),"Referral")</f>
        <v>Referral</v>
      </c>
      <c r="P789" s="6"/>
      <c r="Q789" s="6" t="str">
        <f ca="1">IFERROR(__xludf.DUMMYFUNCTION("""COMPUTED_VALUE"""),"No")</f>
        <v>No</v>
      </c>
      <c r="R789" s="6">
        <f ca="1">IFERROR(__xludf.DUMMYFUNCTION("""COMPUTED_VALUE"""),4)</f>
        <v>4</v>
      </c>
      <c r="S789" s="6" t="str">
        <f ca="1">IFERROR(__xludf.DUMMYFUNCTION("""COMPUTED_VALUE"""),"Other: SBA loan $133,300")</f>
        <v>Other: SBA loan $133,300</v>
      </c>
      <c r="T789" s="6" t="str">
        <f ca="1">IFERROR(__xludf.DUMMYFUNCTION("""COMPUTED_VALUE"""),"Other: SBA loan $133,300")</f>
        <v>Other: SBA loan $133,300</v>
      </c>
      <c r="U789" s="6" t="str">
        <f ca="1">IFERROR(__xludf.DUMMYFUNCTION("""COMPUTED_VALUE"""),"SBA loan $133,300")</f>
        <v>SBA loan $133,300</v>
      </c>
      <c r="V789" s="6"/>
      <c r="W789" s="6" t="str">
        <f ca="1">IFERROR(__xludf.DUMMYFUNCTION("""COMPUTED_VALUE"""),"Invite Next Year")</f>
        <v>Invite Next Year</v>
      </c>
    </row>
    <row r="790" spans="1:23">
      <c r="A790" s="6" t="str">
        <f ca="1">IFERROR(__xludf.DUMMYFUNCTION("""COMPUTED_VALUE"""),"Man, Man")</f>
        <v>Man, Man</v>
      </c>
      <c r="B790" s="6" t="str">
        <f ca="1">IFERROR(__xludf.DUMMYFUNCTION("""COMPUTED_VALUE"""),"Zeer, dba _2022")</f>
        <v>Zeer, dba _2022</v>
      </c>
      <c r="C790" s="6" t="str">
        <f ca="1">IFERROR(__xludf.DUMMYFUNCTION("""COMPUTED_VALUE"""),"Digital Tech")</f>
        <v>Digital Tech</v>
      </c>
      <c r="D790" s="6" t="str">
        <f ca="1">IFERROR(__xludf.DUMMYFUNCTION("""COMPUTED_VALUE"""),"Hanover, PA 
United States")</f>
        <v>Hanover, PA 
United States</v>
      </c>
      <c r="E790" s="6" t="str">
        <f ca="1">IFERROR(__xludf.DUMMYFUNCTION("""COMPUTED_VALUE"""),"East Coast")</f>
        <v>East Coast</v>
      </c>
      <c r="F790" s="6" t="str">
        <f ca="1">IFERROR(__xludf.DUMMYFUNCTION("""COMPUTED_VALUE"""),"Man")</f>
        <v>Man</v>
      </c>
      <c r="G790" s="6" t="str">
        <f ca="1">IFERROR(__xludf.DUMMYFUNCTION("""COMPUTED_VALUE"""),"Man")</f>
        <v>Man</v>
      </c>
      <c r="H790" s="6"/>
      <c r="I790" s="6"/>
      <c r="J790" s="6"/>
      <c r="K790" s="6"/>
      <c r="L790" s="6" t="str">
        <f ca="1">IFERROR(__xludf.DUMMYFUNCTION("""COMPUTED_VALUE"""),"Yes")</f>
        <v>Yes</v>
      </c>
      <c r="M790" s="6" t="str">
        <f ca="1">IFERROR(__xludf.DUMMYFUNCTION("""COMPUTED_VALUE"""),"NYU Alumni")</f>
        <v>NYU Alumni</v>
      </c>
      <c r="N790" s="6"/>
      <c r="O790" s="6" t="str">
        <f ca="1">IFERROR(__xludf.DUMMYFUNCTION("""COMPUTED_VALUE"""),"Referral")</f>
        <v>Referral</v>
      </c>
      <c r="P790" s="6"/>
      <c r="Q790" s="6" t="str">
        <f ca="1">IFERROR(__xludf.DUMMYFUNCTION("""COMPUTED_VALUE"""),"No")</f>
        <v>No</v>
      </c>
      <c r="R790" s="6">
        <f ca="1">IFERROR(__xludf.DUMMYFUNCTION("""COMPUTED_VALUE"""),2)</f>
        <v>2</v>
      </c>
      <c r="S790" s="6" t="str">
        <f ca="1">IFERROR(__xludf.DUMMYFUNCTION("""COMPUTED_VALUE"""),"Pre-seed
None")</f>
        <v>Pre-seed
None</v>
      </c>
      <c r="T790" s="6" t="str">
        <f ca="1">IFERROR(__xludf.DUMMYFUNCTION("""COMPUTED_VALUE"""),"Pre-seed, None")</f>
        <v>Pre-seed, None</v>
      </c>
      <c r="U790" s="6" t="str">
        <f ca="1">IFERROR(__xludf.DUMMYFUNCTION("""COMPUTED_VALUE"""),"Pre-seed, None")</f>
        <v>Pre-seed, None</v>
      </c>
      <c r="V790" s="6"/>
      <c r="W790" s="6" t="str">
        <f ca="1">IFERROR(__xludf.DUMMYFUNCTION("""COMPUTED_VALUE"""),"Invite Next Year")</f>
        <v>Invite Next Year</v>
      </c>
    </row>
    <row r="791" spans="1:23">
      <c r="A791" s="6" t="str">
        <f ca="1">IFERROR(__xludf.DUMMYFUNCTION("""COMPUTED_VALUE"""),"Man, Man, Man")</f>
        <v>Man, Man, Man</v>
      </c>
      <c r="B791" s="6" t="str">
        <f ca="1">IFERROR(__xludf.DUMMYFUNCTION("""COMPUTED_VALUE"""),"ImmunoMind _2022")</f>
        <v>ImmunoMind _2022</v>
      </c>
      <c r="C791" s="6" t="str">
        <f ca="1">IFERROR(__xludf.DUMMYFUNCTION("""COMPUTED_VALUE"""),"Life Sciences")</f>
        <v>Life Sciences</v>
      </c>
      <c r="D791" s="6" t="str">
        <f ca="1">IFERROR(__xludf.DUMMYFUNCTION("""COMPUTED_VALUE"""),"Berkeley, CA 
United States")</f>
        <v>Berkeley, CA 
United States</v>
      </c>
      <c r="E791" s="6" t="str">
        <f ca="1">IFERROR(__xludf.DUMMYFUNCTION("""COMPUTED_VALUE"""),"West Coast")</f>
        <v>West Coast</v>
      </c>
      <c r="F791" s="6" t="str">
        <f ca="1">IFERROR(__xludf.DUMMYFUNCTION("""COMPUTED_VALUE"""),"Man")</f>
        <v>Man</v>
      </c>
      <c r="G791" s="6" t="str">
        <f ca="1">IFERROR(__xludf.DUMMYFUNCTION("""COMPUTED_VALUE"""),"Man")</f>
        <v>Man</v>
      </c>
      <c r="H791" s="6" t="str">
        <f ca="1">IFERROR(__xludf.DUMMYFUNCTION("""COMPUTED_VALUE"""),"Man")</f>
        <v>Man</v>
      </c>
      <c r="I791" s="6"/>
      <c r="J791" s="6"/>
      <c r="K791" s="6"/>
      <c r="L791" s="6" t="str">
        <f ca="1">IFERROR(__xludf.DUMMYFUNCTION("""COMPUTED_VALUE"""),"No")</f>
        <v>No</v>
      </c>
      <c r="M791" s="6"/>
      <c r="N791" s="6"/>
      <c r="O791" s="6" t="str">
        <f ca="1">IFERROR(__xludf.DUMMYFUNCTION("""COMPUTED_VALUE"""),"Twitter")</f>
        <v>Twitter</v>
      </c>
      <c r="P791" s="6"/>
      <c r="Q791" s="6" t="str">
        <f ca="1">IFERROR(__xludf.DUMMYFUNCTION("""COMPUTED_VALUE"""),"No")</f>
        <v>No</v>
      </c>
      <c r="R791" s="6">
        <f ca="1">IFERROR(__xludf.DUMMYFUNCTION("""COMPUTED_VALUE"""),3)</f>
        <v>3</v>
      </c>
      <c r="S791" s="6" t="str">
        <f ca="1">IFERROR(__xludf.DUMMYFUNCTION("""COMPUTED_VALUE"""),"Pre-seed")</f>
        <v>Pre-seed</v>
      </c>
      <c r="T791" s="6" t="str">
        <f ca="1">IFERROR(__xludf.DUMMYFUNCTION("""COMPUTED_VALUE"""),"Pre-seed")</f>
        <v>Pre-seed</v>
      </c>
      <c r="U791" s="6" t="str">
        <f ca="1">IFERROR(__xludf.DUMMYFUNCTION("""COMPUTED_VALUE"""),"Pre-seed")</f>
        <v>Pre-seed</v>
      </c>
      <c r="V791" s="6"/>
      <c r="W791" s="6" t="str">
        <f ca="1">IFERROR(__xludf.DUMMYFUNCTION("""COMPUTED_VALUE"""),"Revisit/ Cluster")</f>
        <v>Revisit/ Cluster</v>
      </c>
    </row>
    <row r="792" spans="1:23">
      <c r="A792" s="6" t="str">
        <f ca="1">IFERROR(__xludf.DUMMYFUNCTION("""COMPUTED_VALUE"""),"Man, Man, Man, Woman")</f>
        <v>Man, Man, Man, Woman</v>
      </c>
      <c r="B792" s="6" t="str">
        <f ca="1">IFERROR(__xludf.DUMMYFUNCTION("""COMPUTED_VALUE"""),"skillcert.io _2022")</f>
        <v>skillcert.io _2022</v>
      </c>
      <c r="C792" s="6" t="str">
        <f ca="1">IFERROR(__xludf.DUMMYFUNCTION("""COMPUTED_VALUE"""),"Digital Tech")</f>
        <v>Digital Tech</v>
      </c>
      <c r="D792" s="6" t="str">
        <f ca="1">IFERROR(__xludf.DUMMYFUNCTION("""COMPUTED_VALUE"""),"Barueri, São Paulo 
Brazil")</f>
        <v>Barueri, São Paulo 
Brazil</v>
      </c>
      <c r="E792" s="6" t="str">
        <f ca="1">IFERROR(__xludf.DUMMYFUNCTION("""COMPUTED_VALUE"""),"International - Americas")</f>
        <v>International - Americas</v>
      </c>
      <c r="F792" s="6" t="str">
        <f ca="1">IFERROR(__xludf.DUMMYFUNCTION("""COMPUTED_VALUE"""),"Man")</f>
        <v>Man</v>
      </c>
      <c r="G792" s="6" t="str">
        <f ca="1">IFERROR(__xludf.DUMMYFUNCTION("""COMPUTED_VALUE"""),"Man")</f>
        <v>Man</v>
      </c>
      <c r="H792" s="6" t="str">
        <f ca="1">IFERROR(__xludf.DUMMYFUNCTION("""COMPUTED_VALUE"""),"Man")</f>
        <v>Man</v>
      </c>
      <c r="I792" s="6" t="str">
        <f ca="1">IFERROR(__xludf.DUMMYFUNCTION("""COMPUTED_VALUE"""),"Woman")</f>
        <v>Woman</v>
      </c>
      <c r="J792" s="6"/>
      <c r="K792" s="6"/>
      <c r="L792" s="6" t="str">
        <f ca="1">IFERROR(__xludf.DUMMYFUNCTION("""COMPUTED_VALUE"""),"No")</f>
        <v>No</v>
      </c>
      <c r="M792" s="6"/>
      <c r="N792" s="6"/>
      <c r="O792" s="6" t="str">
        <f ca="1">IFERROR(__xludf.DUMMYFUNCTION("""COMPUTED_VALUE"""),"Email")</f>
        <v>Email</v>
      </c>
      <c r="P792" s="6"/>
      <c r="Q792" s="6" t="str">
        <f ca="1">IFERROR(__xludf.DUMMYFUNCTION("""COMPUTED_VALUE"""),"No")</f>
        <v>No</v>
      </c>
      <c r="R792" s="6">
        <f ca="1">IFERROR(__xludf.DUMMYFUNCTION("""COMPUTED_VALUE"""),4)</f>
        <v>4</v>
      </c>
      <c r="S792" s="6" t="str">
        <f ca="1">IFERROR(__xludf.DUMMYFUNCTION("""COMPUTED_VALUE"""),"Other: Angel rounds (3)")</f>
        <v>Other: Angel rounds (3)</v>
      </c>
      <c r="T792" s="6" t="str">
        <f ca="1">IFERROR(__xludf.DUMMYFUNCTION("""COMPUTED_VALUE"""),"Other: Angel rounds (3)")</f>
        <v>Other: Angel rounds (3)</v>
      </c>
      <c r="U792" s="6" t="str">
        <f ca="1">IFERROR(__xludf.DUMMYFUNCTION("""COMPUTED_VALUE"""),"Angel rounds (3)")</f>
        <v>Angel rounds (3)</v>
      </c>
      <c r="V792" s="6"/>
      <c r="W792" s="6" t="str">
        <f ca="1">IFERROR(__xludf.DUMMYFUNCTION("""COMPUTED_VALUE"""),"Invite Next Year")</f>
        <v>Invite Next Year</v>
      </c>
    </row>
    <row r="793" spans="1:23">
      <c r="A793" s="6" t="str">
        <f ca="1">IFERROR(__xludf.DUMMYFUNCTION("""COMPUTED_VALUE"""),"Man, Man")</f>
        <v>Man, Man</v>
      </c>
      <c r="B793" s="6" t="str">
        <f ca="1">IFERROR(__xludf.DUMMYFUNCTION("""COMPUTED_VALUE"""),"Digikraft.Io, Inc. _2022")</f>
        <v>Digikraft.Io, Inc. _2022</v>
      </c>
      <c r="C793" s="6" t="str">
        <f ca="1">IFERROR(__xludf.DUMMYFUNCTION("""COMPUTED_VALUE"""),"Digital Tech")</f>
        <v>Digital Tech</v>
      </c>
      <c r="D793" s="6" t="str">
        <f ca="1">IFERROR(__xludf.DUMMYFUNCTION("""COMPUTED_VALUE"""),"New York City, New York 
United States")</f>
        <v>New York City, New York 
United States</v>
      </c>
      <c r="E793" s="6" t="str">
        <f ca="1">IFERROR(__xludf.DUMMYFUNCTION("""COMPUTED_VALUE"""),"New York")</f>
        <v>New York</v>
      </c>
      <c r="F793" s="6" t="str">
        <f ca="1">IFERROR(__xludf.DUMMYFUNCTION("""COMPUTED_VALUE"""),"Man")</f>
        <v>Man</v>
      </c>
      <c r="G793" s="6" t="str">
        <f ca="1">IFERROR(__xludf.DUMMYFUNCTION("""COMPUTED_VALUE"""),"Man")</f>
        <v>Man</v>
      </c>
      <c r="H793" s="6"/>
      <c r="I793" s="6"/>
      <c r="J793" s="6"/>
      <c r="K793" s="6"/>
      <c r="L793" s="6" t="str">
        <f ca="1">IFERROR(__xludf.DUMMYFUNCTION("""COMPUTED_VALUE"""),"No")</f>
        <v>No</v>
      </c>
      <c r="M793" s="6"/>
      <c r="N793" s="6"/>
      <c r="O793" s="6" t="str">
        <f ca="1">IFERROR(__xludf.DUMMYFUNCTION("""COMPUTED_VALUE"""),"Email")</f>
        <v>Email</v>
      </c>
      <c r="P793" s="6"/>
      <c r="Q793" s="6" t="str">
        <f ca="1">IFERROR(__xludf.DUMMYFUNCTION("""COMPUTED_VALUE"""),"No")</f>
        <v>No</v>
      </c>
      <c r="R793" s="6">
        <f ca="1">IFERROR(__xludf.DUMMYFUNCTION("""COMPUTED_VALUE"""),2)</f>
        <v>2</v>
      </c>
      <c r="S793" s="6" t="str">
        <f ca="1">IFERROR(__xludf.DUMMYFUNCTION("""COMPUTED_VALUE"""),"Seed")</f>
        <v>Seed</v>
      </c>
      <c r="T793" s="6" t="str">
        <f ca="1">IFERROR(__xludf.DUMMYFUNCTION("""COMPUTED_VALUE"""),"Seed")</f>
        <v>Seed</v>
      </c>
      <c r="U793" s="6" t="str">
        <f ca="1">IFERROR(__xludf.DUMMYFUNCTION("""COMPUTED_VALUE"""),"Seed")</f>
        <v>Seed</v>
      </c>
      <c r="V793" s="6"/>
      <c r="W793" s="6" t="str">
        <f ca="1">IFERROR(__xludf.DUMMYFUNCTION("""COMPUTED_VALUE"""),"Invite Next Year")</f>
        <v>Invite Next Year</v>
      </c>
    </row>
    <row r="794" spans="1:23">
      <c r="A794" s="6" t="str">
        <f ca="1">IFERROR(__xludf.DUMMYFUNCTION("""COMPUTED_VALUE"""),"Man, Man")</f>
        <v>Man, Man</v>
      </c>
      <c r="B794" s="6" t="str">
        <f ca="1">IFERROR(__xludf.DUMMYFUNCTION("""COMPUTED_VALUE"""),"Ultrasonic Medical Mapping, Inc. _2022")</f>
        <v>Ultrasonic Medical Mapping, Inc. _2022</v>
      </c>
      <c r="C794" s="6" t="str">
        <f ca="1">IFERROR(__xludf.DUMMYFUNCTION("""COMPUTED_VALUE"""),"Life Sciences")</f>
        <v>Life Sciences</v>
      </c>
      <c r="D794" s="6" t="str">
        <f ca="1">IFERROR(__xludf.DUMMYFUNCTION("""COMPUTED_VALUE"""),"Bethesda, MD 
United States")</f>
        <v>Bethesda, MD 
United States</v>
      </c>
      <c r="E794" s="6" t="str">
        <f ca="1">IFERROR(__xludf.DUMMYFUNCTION("""COMPUTED_VALUE"""),"East Coast")</f>
        <v>East Coast</v>
      </c>
      <c r="F794" s="6" t="str">
        <f ca="1">IFERROR(__xludf.DUMMYFUNCTION("""COMPUTED_VALUE"""),"Man")</f>
        <v>Man</v>
      </c>
      <c r="G794" s="6" t="str">
        <f ca="1">IFERROR(__xludf.DUMMYFUNCTION("""COMPUTED_VALUE"""),"Man")</f>
        <v>Man</v>
      </c>
      <c r="H794" s="6"/>
      <c r="I794" s="6"/>
      <c r="J794" s="6"/>
      <c r="K794" s="6"/>
      <c r="L794" s="6" t="str">
        <f ca="1">IFERROR(__xludf.DUMMYFUNCTION("""COMPUTED_VALUE"""),"No")</f>
        <v>No</v>
      </c>
      <c r="M794" s="6"/>
      <c r="N794" s="6"/>
      <c r="O794" s="6" t="str">
        <f ca="1">IFERROR(__xludf.DUMMYFUNCTION("""COMPUTED_VALUE"""),"Referral")</f>
        <v>Referral</v>
      </c>
      <c r="P794" s="6"/>
      <c r="Q794" s="6" t="str">
        <f ca="1">IFERROR(__xludf.DUMMYFUNCTION("""COMPUTED_VALUE"""),"No")</f>
        <v>No</v>
      </c>
      <c r="R794" s="6">
        <f ca="1">IFERROR(__xludf.DUMMYFUNCTION("""COMPUTED_VALUE"""),2)</f>
        <v>2</v>
      </c>
      <c r="S794" s="6" t="str">
        <f ca="1">IFERROR(__xludf.DUMMYFUNCTION("""COMPUTED_VALUE"""),"Seed")</f>
        <v>Seed</v>
      </c>
      <c r="T794" s="6" t="str">
        <f ca="1">IFERROR(__xludf.DUMMYFUNCTION("""COMPUTED_VALUE"""),"Seed")</f>
        <v>Seed</v>
      </c>
      <c r="U794" s="6" t="str">
        <f ca="1">IFERROR(__xludf.DUMMYFUNCTION("""COMPUTED_VALUE"""),"Seed")</f>
        <v>Seed</v>
      </c>
      <c r="V794" s="6"/>
      <c r="W794" s="6" t="str">
        <f ca="1">IFERROR(__xludf.DUMMYFUNCTION("""COMPUTED_VALUE"""),"Invite Next Year")</f>
        <v>Invite Next Year</v>
      </c>
    </row>
    <row r="795" spans="1:23">
      <c r="A795" s="6" t="str">
        <f ca="1">IFERROR(__xludf.DUMMYFUNCTION("""COMPUTED_VALUE"""),"Man, Man")</f>
        <v>Man, Man</v>
      </c>
      <c r="B795" s="6" t="str">
        <f ca="1">IFERROR(__xludf.DUMMYFUNCTION("""COMPUTED_VALUE"""),"EASEEbot _2022")</f>
        <v>EASEEbot _2022</v>
      </c>
      <c r="C795" s="6" t="str">
        <f ca="1">IFERROR(__xludf.DUMMYFUNCTION("""COMPUTED_VALUE"""),"Deep Tech")</f>
        <v>Deep Tech</v>
      </c>
      <c r="D795" s="6" t="str">
        <f ca="1">IFERROR(__xludf.DUMMYFUNCTION("""COMPUTED_VALUE"""),"Brooklyn, NY 
United States")</f>
        <v>Brooklyn, NY 
United States</v>
      </c>
      <c r="E795" s="6" t="str">
        <f ca="1">IFERROR(__xludf.DUMMYFUNCTION("""COMPUTED_VALUE"""),"New York")</f>
        <v>New York</v>
      </c>
      <c r="F795" s="6" t="str">
        <f ca="1">IFERROR(__xludf.DUMMYFUNCTION("""COMPUTED_VALUE"""),"Man")</f>
        <v>Man</v>
      </c>
      <c r="G795" s="6" t="str">
        <f ca="1">IFERROR(__xludf.DUMMYFUNCTION("""COMPUTED_VALUE"""),"Man")</f>
        <v>Man</v>
      </c>
      <c r="H795" s="6"/>
      <c r="I795" s="6"/>
      <c r="J795" s="6"/>
      <c r="K795" s="6"/>
      <c r="L795" s="6" t="str">
        <f ca="1">IFERROR(__xludf.DUMMYFUNCTION("""COMPUTED_VALUE"""),"Yes")</f>
        <v>Yes</v>
      </c>
      <c r="M795" s="6" t="str">
        <f ca="1">IFERROR(__xludf.DUMMYFUNCTION("""COMPUTED_VALUE"""),"Other (please specify)")</f>
        <v>Other (please specify)</v>
      </c>
      <c r="N795" s="6" t="str">
        <f ca="1">IFERROR(__xludf.DUMMYFUNCTION("""COMPUTED_VALUE"""),"NYU Faculty, NYU Alumni, NYU Student")</f>
        <v>NYU Faculty, NYU Alumni, NYU Student</v>
      </c>
      <c r="O795" s="6" t="str">
        <f ca="1">IFERROR(__xludf.DUMMYFUNCTION("""COMPUTED_VALUE"""),"Email")</f>
        <v>Email</v>
      </c>
      <c r="P795" s="6"/>
      <c r="Q795" s="6" t="str">
        <f ca="1">IFERROR(__xludf.DUMMYFUNCTION("""COMPUTED_VALUE"""),"No")</f>
        <v>No</v>
      </c>
      <c r="R795" s="6">
        <f ca="1">IFERROR(__xludf.DUMMYFUNCTION("""COMPUTED_VALUE"""),2)</f>
        <v>2</v>
      </c>
      <c r="S795" s="6" t="str">
        <f ca="1">IFERROR(__xludf.DUMMYFUNCTION("""COMPUTED_VALUE"""),"Grants
Other: Student Pitch Competitions")</f>
        <v>Grants
Other: Student Pitch Competitions</v>
      </c>
      <c r="T795" s="6" t="str">
        <f ca="1">IFERROR(__xludf.DUMMYFUNCTION("""COMPUTED_VALUE"""),"Grants, Other: Student Pitch Competitions")</f>
        <v>Grants, Other: Student Pitch Competitions</v>
      </c>
      <c r="U795" s="6" t="str">
        <f ca="1">IFERROR(__xludf.DUMMYFUNCTION("""COMPUTED_VALUE"""),"Grants, ")</f>
        <v xml:space="preserve">Grants, </v>
      </c>
      <c r="V795" s="6" t="str">
        <f ca="1">IFERROR(__xludf.DUMMYFUNCTION("""COMPUTED_VALUE"""),"Student Pitch Competitions")</f>
        <v>Student Pitch Competitions</v>
      </c>
      <c r="W795" s="6" t="str">
        <f ca="1">IFERROR(__xludf.DUMMYFUNCTION("""COMPUTED_VALUE"""),"Invite Next Year")</f>
        <v>Invite Next Year</v>
      </c>
    </row>
    <row r="796" spans="1:23">
      <c r="A796" s="6" t="str">
        <f ca="1">IFERROR(__xludf.DUMMYFUNCTION("""COMPUTED_VALUE"""),"Man, Man")</f>
        <v>Man, Man</v>
      </c>
      <c r="B796" s="6" t="str">
        <f ca="1">IFERROR(__xludf.DUMMYFUNCTION("""COMPUTED_VALUE"""),"Sentinel Occupational Safety (Sentinel) _2022")</f>
        <v>Sentinel Occupational Safety (Sentinel) _2022</v>
      </c>
      <c r="C796" s="6" t="str">
        <f ca="1">IFERROR(__xludf.DUMMYFUNCTION("""COMPUTED_VALUE"""),"Digital Tech")</f>
        <v>Digital Tech</v>
      </c>
      <c r="D796" s="6" t="str">
        <f ca="1">IFERROR(__xludf.DUMMYFUNCTION("""COMPUTED_VALUE"""),"Fairborn, OH 
United States")</f>
        <v>Fairborn, OH 
United States</v>
      </c>
      <c r="E796" s="6" t="str">
        <f ca="1">IFERROR(__xludf.DUMMYFUNCTION("""COMPUTED_VALUE"""),"Midwest")</f>
        <v>Midwest</v>
      </c>
      <c r="F796" s="6" t="str">
        <f ca="1">IFERROR(__xludf.DUMMYFUNCTION("""COMPUTED_VALUE"""),"Man")</f>
        <v>Man</v>
      </c>
      <c r="G796" s="6" t="str">
        <f ca="1">IFERROR(__xludf.DUMMYFUNCTION("""COMPUTED_VALUE"""),"Man")</f>
        <v>Man</v>
      </c>
      <c r="H796" s="6"/>
      <c r="I796" s="6"/>
      <c r="J796" s="6"/>
      <c r="K796" s="6"/>
      <c r="L796" s="6" t="str">
        <f ca="1">IFERROR(__xludf.DUMMYFUNCTION("""COMPUTED_VALUE"""),"No")</f>
        <v>No</v>
      </c>
      <c r="M796" s="6"/>
      <c r="N796" s="6"/>
      <c r="O796" s="6" t="str">
        <f ca="1">IFERROR(__xludf.DUMMYFUNCTION("""COMPUTED_VALUE"""),"Email")</f>
        <v>Email</v>
      </c>
      <c r="P796" s="6"/>
      <c r="Q796" s="6" t="str">
        <f ca="1">IFERROR(__xludf.DUMMYFUNCTION("""COMPUTED_VALUE"""),"No")</f>
        <v>No</v>
      </c>
      <c r="R796" s="6">
        <f ca="1">IFERROR(__xludf.DUMMYFUNCTION("""COMPUTED_VALUE"""),2)</f>
        <v>2</v>
      </c>
      <c r="S796" s="6" t="str">
        <f ca="1">IFERROR(__xludf.DUMMYFUNCTION("""COMPUTED_VALUE"""),"Seed")</f>
        <v>Seed</v>
      </c>
      <c r="T796" s="6" t="str">
        <f ca="1">IFERROR(__xludf.DUMMYFUNCTION("""COMPUTED_VALUE"""),"Seed")</f>
        <v>Seed</v>
      </c>
      <c r="U796" s="6" t="str">
        <f ca="1">IFERROR(__xludf.DUMMYFUNCTION("""COMPUTED_VALUE"""),"Seed")</f>
        <v>Seed</v>
      </c>
      <c r="V796" s="6"/>
      <c r="W796" s="6" t="str">
        <f ca="1">IFERROR(__xludf.DUMMYFUNCTION("""COMPUTED_VALUE"""),"Invite")</f>
        <v>Invite</v>
      </c>
    </row>
    <row r="797" spans="1:23">
      <c r="A797" s="6" t="str">
        <f ca="1">IFERROR(__xludf.DUMMYFUNCTION("""COMPUTED_VALUE"""),"Woman")</f>
        <v>Woman</v>
      </c>
      <c r="B797" s="6" t="str">
        <f ca="1">IFERROR(__xludf.DUMMYFUNCTION("""COMPUTED_VALUE"""),"Wild Coast Biologics Inc _2022")</f>
        <v>Wild Coast Biologics Inc _2022</v>
      </c>
      <c r="C797" s="6" t="str">
        <f ca="1">IFERROR(__xludf.DUMMYFUNCTION("""COMPUTED_VALUE"""),"Life Sciences")</f>
        <v>Life Sciences</v>
      </c>
      <c r="D797" s="6" t="str">
        <f ca="1">IFERROR(__xludf.DUMMYFUNCTION("""COMPUTED_VALUE"""),"1000 - 1285 West Pender Street, Vancouver, British Columbia 
Canada")</f>
        <v>1000 - 1285 West Pender Street, Vancouver, British Columbia 
Canada</v>
      </c>
      <c r="E797" s="6" t="str">
        <f ca="1">IFERROR(__xludf.DUMMYFUNCTION("""COMPUTED_VALUE"""),"International - Americas")</f>
        <v>International - Americas</v>
      </c>
      <c r="F797" s="6" t="str">
        <f ca="1">IFERROR(__xludf.DUMMYFUNCTION("""COMPUTED_VALUE"""),"Woman")</f>
        <v>Woman</v>
      </c>
      <c r="G797" s="6"/>
      <c r="H797" s="6"/>
      <c r="I797" s="6"/>
      <c r="J797" s="6"/>
      <c r="K797" s="6"/>
      <c r="L797" s="6" t="str">
        <f ca="1">IFERROR(__xludf.DUMMYFUNCTION("""COMPUTED_VALUE"""),"--Please select--")</f>
        <v>--Please select--</v>
      </c>
      <c r="M797" s="6"/>
      <c r="N797" s="6"/>
      <c r="O797" s="6" t="str">
        <f ca="1">IFERROR(__xludf.DUMMYFUNCTION("""COMPUTED_VALUE"""),"Other")</f>
        <v>Other</v>
      </c>
      <c r="P797" s="6"/>
      <c r="Q797" s="6" t="str">
        <f ca="1">IFERROR(__xludf.DUMMYFUNCTION("""COMPUTED_VALUE"""),"No")</f>
        <v>No</v>
      </c>
      <c r="R797" s="6">
        <f ca="1">IFERROR(__xludf.DUMMYFUNCTION("""COMPUTED_VALUE"""),1)</f>
        <v>1</v>
      </c>
      <c r="S797" s="6" t="str">
        <f ca="1">IFERROR(__xludf.DUMMYFUNCTION("""COMPUTED_VALUE"""),"Pre-seed
Seed")</f>
        <v>Pre-seed
Seed</v>
      </c>
      <c r="T797" s="6" t="str">
        <f ca="1">IFERROR(__xludf.DUMMYFUNCTION("""COMPUTED_VALUE"""),"Pre-seed, Seed")</f>
        <v>Pre-seed, Seed</v>
      </c>
      <c r="U797" s="6" t="str">
        <f ca="1">IFERROR(__xludf.DUMMYFUNCTION("""COMPUTED_VALUE"""),"Pre-seed, Seed")</f>
        <v>Pre-seed, Seed</v>
      </c>
      <c r="V797" s="6"/>
      <c r="W797" s="6" t="str">
        <f ca="1">IFERROR(__xludf.DUMMYFUNCTION("""COMPUTED_VALUE"""),"Invite Next Year")</f>
        <v>Invite Next Year</v>
      </c>
    </row>
    <row r="798" spans="1:23">
      <c r="A798" s="6" t="str">
        <f ca="1">IFERROR(__xludf.DUMMYFUNCTION("""COMPUTED_VALUE"""),"Man, Man, Man")</f>
        <v>Man, Man, Man</v>
      </c>
      <c r="B798" s="6" t="str">
        <f ca="1">IFERROR(__xludf.DUMMYFUNCTION("""COMPUTED_VALUE"""),"Hiveclass _2022")</f>
        <v>Hiveclass _2022</v>
      </c>
      <c r="C798" s="6" t="str">
        <f ca="1">IFERROR(__xludf.DUMMYFUNCTION("""COMPUTED_VALUE"""),"Digital Tech")</f>
        <v>Digital Tech</v>
      </c>
      <c r="D798" s="6" t="str">
        <f ca="1">IFERROR(__xludf.DUMMYFUNCTION("""COMPUTED_VALUE"""),"Massapequa, New York 
United States")</f>
        <v>Massapequa, New York 
United States</v>
      </c>
      <c r="E798" s="6" t="str">
        <f ca="1">IFERROR(__xludf.DUMMYFUNCTION("""COMPUTED_VALUE"""),"East Coast")</f>
        <v>East Coast</v>
      </c>
      <c r="F798" s="6" t="str">
        <f ca="1">IFERROR(__xludf.DUMMYFUNCTION("""COMPUTED_VALUE"""),"Man")</f>
        <v>Man</v>
      </c>
      <c r="G798" s="6" t="str">
        <f ca="1">IFERROR(__xludf.DUMMYFUNCTION("""COMPUTED_VALUE"""),"Man")</f>
        <v>Man</v>
      </c>
      <c r="H798" s="6" t="str">
        <f ca="1">IFERROR(__xludf.DUMMYFUNCTION("""COMPUTED_VALUE"""),"Man")</f>
        <v>Man</v>
      </c>
      <c r="I798" s="6"/>
      <c r="J798" s="6"/>
      <c r="K798" s="6"/>
      <c r="L798" s="6" t="str">
        <f ca="1">IFERROR(__xludf.DUMMYFUNCTION("""COMPUTED_VALUE"""),"No")</f>
        <v>No</v>
      </c>
      <c r="M798" s="6"/>
      <c r="N798" s="6"/>
      <c r="O798" s="6" t="str">
        <f ca="1">IFERROR(__xludf.DUMMYFUNCTION("""COMPUTED_VALUE"""),"Email")</f>
        <v>Email</v>
      </c>
      <c r="P798" s="6"/>
      <c r="Q798" s="6" t="str">
        <f ca="1">IFERROR(__xludf.DUMMYFUNCTION("""COMPUTED_VALUE"""),"No")</f>
        <v>No</v>
      </c>
      <c r="R798" s="6">
        <f ca="1">IFERROR(__xludf.DUMMYFUNCTION("""COMPUTED_VALUE"""),3)</f>
        <v>3</v>
      </c>
      <c r="S798" s="6" t="str">
        <f ca="1">IFERROR(__xludf.DUMMYFUNCTION("""COMPUTED_VALUE"""),"Seed")</f>
        <v>Seed</v>
      </c>
      <c r="T798" s="6" t="str">
        <f ca="1">IFERROR(__xludf.DUMMYFUNCTION("""COMPUTED_VALUE"""),"Seed")</f>
        <v>Seed</v>
      </c>
      <c r="U798" s="6" t="str">
        <f ca="1">IFERROR(__xludf.DUMMYFUNCTION("""COMPUTED_VALUE"""),"Seed")</f>
        <v>Seed</v>
      </c>
      <c r="V798" s="6"/>
      <c r="W798" s="6" t="str">
        <f ca="1">IFERROR(__xludf.DUMMYFUNCTION("""COMPUTED_VALUE"""),"Invite Next Year")</f>
        <v>Invite Next Year</v>
      </c>
    </row>
    <row r="799" spans="1:23">
      <c r="A799" s="6" t="str">
        <f ca="1">IFERROR(__xludf.DUMMYFUNCTION("""COMPUTED_VALUE"""),"Prefer not to respond")</f>
        <v>Prefer not to respond</v>
      </c>
      <c r="B799" s="6" t="str">
        <f ca="1">IFERROR(__xludf.DUMMYFUNCTION("""COMPUTED_VALUE"""),"Kara _2022")</f>
        <v>Kara _2022</v>
      </c>
      <c r="C799" s="6" t="str">
        <f ca="1">IFERROR(__xludf.DUMMYFUNCTION("""COMPUTED_VALUE"""),"Life Sciences")</f>
        <v>Life Sciences</v>
      </c>
      <c r="D799" s="6" t="str">
        <f ca="1">IFERROR(__xludf.DUMMYFUNCTION("""COMPUTED_VALUE"""),"New York, NYC 
United States")</f>
        <v>New York, NYC 
United States</v>
      </c>
      <c r="E799" s="6" t="str">
        <f ca="1">IFERROR(__xludf.DUMMYFUNCTION("""COMPUTED_VALUE"""),"New York")</f>
        <v>New York</v>
      </c>
      <c r="F799" s="6" t="str">
        <f ca="1">IFERROR(__xludf.DUMMYFUNCTION("""COMPUTED_VALUE"""),"Prefer not to respond")</f>
        <v>Prefer not to respond</v>
      </c>
      <c r="G799" s="6"/>
      <c r="H799" s="6"/>
      <c r="I799" s="6"/>
      <c r="J799" s="6"/>
      <c r="K799" s="6"/>
      <c r="L799" s="6" t="str">
        <f ca="1">IFERROR(__xludf.DUMMYFUNCTION("""COMPUTED_VALUE"""),"Yes")</f>
        <v>Yes</v>
      </c>
      <c r="M799" s="6" t="str">
        <f ca="1">IFERROR(__xludf.DUMMYFUNCTION("""COMPUTED_VALUE"""),"NYU Student")</f>
        <v>NYU Student</v>
      </c>
      <c r="N799" s="6"/>
      <c r="O799" s="6" t="str">
        <f ca="1">IFERROR(__xludf.DUMMYFUNCTION("""COMPUTED_VALUE"""),"Email")</f>
        <v>Email</v>
      </c>
      <c r="P799" s="6"/>
      <c r="Q799" s="6" t="str">
        <f ca="1">IFERROR(__xludf.DUMMYFUNCTION("""COMPUTED_VALUE"""),"No")</f>
        <v>No</v>
      </c>
      <c r="R799" s="6">
        <f ca="1">IFERROR(__xludf.DUMMYFUNCTION("""COMPUTED_VALUE"""),1)</f>
        <v>1</v>
      </c>
      <c r="S799" s="6" t="str">
        <f ca="1">IFERROR(__xludf.DUMMYFUNCTION("""COMPUTED_VALUE"""),"None")</f>
        <v>None</v>
      </c>
      <c r="T799" s="6" t="str">
        <f ca="1">IFERROR(__xludf.DUMMYFUNCTION("""COMPUTED_VALUE"""),"None")</f>
        <v>None</v>
      </c>
      <c r="U799" s="6" t="str">
        <f ca="1">IFERROR(__xludf.DUMMYFUNCTION("""COMPUTED_VALUE"""),"None")</f>
        <v>None</v>
      </c>
      <c r="V799" s="6"/>
      <c r="W799" s="6" t="str">
        <f ca="1">IFERROR(__xludf.DUMMYFUNCTION("""COMPUTED_VALUE"""),"Invite Next Year")</f>
        <v>Invite Next Year</v>
      </c>
    </row>
    <row r="800" spans="1:23">
      <c r="A800" s="6" t="str">
        <f ca="1">IFERROR(__xludf.DUMMYFUNCTION("""COMPUTED_VALUE"""),"Woman, Woman, Man, Man")</f>
        <v>Woman, Woman, Man, Man</v>
      </c>
      <c r="B800" s="6" t="str">
        <f ca="1">IFERROR(__xludf.DUMMYFUNCTION("""COMPUTED_VALUE"""),"The Bridge _2022")</f>
        <v>The Bridge _2022</v>
      </c>
      <c r="C800" s="6" t="str">
        <f ca="1">IFERROR(__xludf.DUMMYFUNCTION("""COMPUTED_VALUE"""),"Digital Tech")</f>
        <v>Digital Tech</v>
      </c>
      <c r="D800" s="6" t="str">
        <f ca="1">IFERROR(__xludf.DUMMYFUNCTION("""COMPUTED_VALUE"""),"JERSEY CITY, New Jersey 
United States")</f>
        <v>JERSEY CITY, New Jersey 
United States</v>
      </c>
      <c r="E800" s="6" t="str">
        <f ca="1">IFERROR(__xludf.DUMMYFUNCTION("""COMPUTED_VALUE"""),"East Coast")</f>
        <v>East Coast</v>
      </c>
      <c r="F800" s="6" t="str">
        <f ca="1">IFERROR(__xludf.DUMMYFUNCTION("""COMPUTED_VALUE"""),"Woman")</f>
        <v>Woman</v>
      </c>
      <c r="G800" s="6" t="str">
        <f ca="1">IFERROR(__xludf.DUMMYFUNCTION("""COMPUTED_VALUE"""),"Woman")</f>
        <v>Woman</v>
      </c>
      <c r="H800" s="6" t="str">
        <f ca="1">IFERROR(__xludf.DUMMYFUNCTION("""COMPUTED_VALUE"""),"Man")</f>
        <v>Man</v>
      </c>
      <c r="I800" s="6" t="str">
        <f ca="1">IFERROR(__xludf.DUMMYFUNCTION("""COMPUTED_VALUE"""),"Man")</f>
        <v>Man</v>
      </c>
      <c r="J800" s="6"/>
      <c r="K800" s="6"/>
      <c r="L800" s="6" t="str">
        <f ca="1">IFERROR(__xludf.DUMMYFUNCTION("""COMPUTED_VALUE"""),"--Please select--")</f>
        <v>--Please select--</v>
      </c>
      <c r="M800" s="6"/>
      <c r="N800" s="6"/>
      <c r="O800" s="6" t="str">
        <f ca="1">IFERROR(__xludf.DUMMYFUNCTION("""COMPUTED_VALUE"""),"Search Engine")</f>
        <v>Search Engine</v>
      </c>
      <c r="P800" s="6"/>
      <c r="Q800" s="6" t="str">
        <f ca="1">IFERROR(__xludf.DUMMYFUNCTION("""COMPUTED_VALUE"""),"No")</f>
        <v>No</v>
      </c>
      <c r="R800" s="6">
        <f ca="1">IFERROR(__xludf.DUMMYFUNCTION("""COMPUTED_VALUE"""),4)</f>
        <v>4</v>
      </c>
      <c r="S800" s="6" t="str">
        <f ca="1">IFERROR(__xludf.DUMMYFUNCTION("""COMPUTED_VALUE"""),"None")</f>
        <v>None</v>
      </c>
      <c r="T800" s="6" t="str">
        <f ca="1">IFERROR(__xludf.DUMMYFUNCTION("""COMPUTED_VALUE"""),"None")</f>
        <v>None</v>
      </c>
      <c r="U800" s="6" t="str">
        <f ca="1">IFERROR(__xludf.DUMMYFUNCTION("""COMPUTED_VALUE"""),"None")</f>
        <v>None</v>
      </c>
      <c r="V800" s="6"/>
      <c r="W800" s="6" t="str">
        <f ca="1">IFERROR(__xludf.DUMMYFUNCTION("""COMPUTED_VALUE"""),"Invite Next Year")</f>
        <v>Invite Next Year</v>
      </c>
    </row>
    <row r="801" spans="1:23">
      <c r="A801" s="6" t="str">
        <f ca="1">IFERROR(__xludf.DUMMYFUNCTION("""COMPUTED_VALUE"""),"Man, Man, Man")</f>
        <v>Man, Man, Man</v>
      </c>
      <c r="B801" s="6" t="str">
        <f ca="1">IFERROR(__xludf.DUMMYFUNCTION("""COMPUTED_VALUE"""),"Zoomrin _2022")</f>
        <v>Zoomrin _2022</v>
      </c>
      <c r="C801" s="6" t="str">
        <f ca="1">IFERROR(__xludf.DUMMYFUNCTION("""COMPUTED_VALUE"""),"Deep Tech")</f>
        <v>Deep Tech</v>
      </c>
      <c r="D801" s="6" t="str">
        <f ca="1">IFERROR(__xludf.DUMMYFUNCTION("""COMPUTED_VALUE"""),"247 Driggs Avenue , NY 
United States")</f>
        <v>247 Driggs Avenue , NY 
United States</v>
      </c>
      <c r="E801" s="6" t="str">
        <f ca="1">IFERROR(__xludf.DUMMYFUNCTION("""COMPUTED_VALUE"""),"East Coast")</f>
        <v>East Coast</v>
      </c>
      <c r="F801" s="6" t="str">
        <f ca="1">IFERROR(__xludf.DUMMYFUNCTION("""COMPUTED_VALUE"""),"Man")</f>
        <v>Man</v>
      </c>
      <c r="G801" s="6" t="str">
        <f ca="1">IFERROR(__xludf.DUMMYFUNCTION("""COMPUTED_VALUE"""),"Man")</f>
        <v>Man</v>
      </c>
      <c r="H801" s="6" t="str">
        <f ca="1">IFERROR(__xludf.DUMMYFUNCTION("""COMPUTED_VALUE"""),"Man")</f>
        <v>Man</v>
      </c>
      <c r="I801" s="6"/>
      <c r="J801" s="6"/>
      <c r="K801" s="6"/>
      <c r="L801" s="6" t="str">
        <f ca="1">IFERROR(__xludf.DUMMYFUNCTION("""COMPUTED_VALUE"""),"No")</f>
        <v>No</v>
      </c>
      <c r="M801" s="6"/>
      <c r="N801" s="6"/>
      <c r="O801" s="6" t="str">
        <f ca="1">IFERROR(__xludf.DUMMYFUNCTION("""COMPUTED_VALUE"""),"Info Session")</f>
        <v>Info Session</v>
      </c>
      <c r="P801" s="6"/>
      <c r="Q801" s="6" t="str">
        <f ca="1">IFERROR(__xludf.DUMMYFUNCTION("""COMPUTED_VALUE"""),"No")</f>
        <v>No</v>
      </c>
      <c r="R801" s="6">
        <f ca="1">IFERROR(__xludf.DUMMYFUNCTION("""COMPUTED_VALUE"""),3)</f>
        <v>3</v>
      </c>
      <c r="S801" s="6" t="str">
        <f ca="1">IFERROR(__xludf.DUMMYFUNCTION("""COMPUTED_VALUE"""),"Other: Bootstrapped")</f>
        <v>Other: Bootstrapped</v>
      </c>
      <c r="T801" s="6" t="str">
        <f ca="1">IFERROR(__xludf.DUMMYFUNCTION("""COMPUTED_VALUE"""),"Other: Bootstrapped")</f>
        <v>Other: Bootstrapped</v>
      </c>
      <c r="U801" s="6" t="str">
        <f ca="1">IFERROR(__xludf.DUMMYFUNCTION("""COMPUTED_VALUE"""),"Bootstrapped")</f>
        <v>Bootstrapped</v>
      </c>
      <c r="V801" s="6"/>
      <c r="W801" s="6" t="str">
        <f ca="1">IFERROR(__xludf.DUMMYFUNCTION("""COMPUTED_VALUE"""),"Revisit/ Cluster")</f>
        <v>Revisit/ Cluster</v>
      </c>
    </row>
    <row r="802" spans="1:23">
      <c r="A802" s="6" t="str">
        <f ca="1">IFERROR(__xludf.DUMMYFUNCTION("""COMPUTED_VALUE"""),"Woman")</f>
        <v>Woman</v>
      </c>
      <c r="B802" s="6" t="str">
        <f ca="1">IFERROR(__xludf.DUMMYFUNCTION("""COMPUTED_VALUE"""),"Map-Collective Inc _2022")</f>
        <v>Map-Collective Inc _2022</v>
      </c>
      <c r="C802" s="6" t="str">
        <f ca="1">IFERROR(__xludf.DUMMYFUNCTION("""COMPUTED_VALUE"""),"Digital Tech")</f>
        <v>Digital Tech</v>
      </c>
      <c r="D802" s="6" t="str">
        <f ca="1">IFERROR(__xludf.DUMMYFUNCTION("""COMPUTED_VALUE"""),"Arlington, Virginia 
United States")</f>
        <v>Arlington, Virginia 
United States</v>
      </c>
      <c r="E802" s="6" t="str">
        <f ca="1">IFERROR(__xludf.DUMMYFUNCTION("""COMPUTED_VALUE"""),"East Coast")</f>
        <v>East Coast</v>
      </c>
      <c r="F802" s="6" t="str">
        <f ca="1">IFERROR(__xludf.DUMMYFUNCTION("""COMPUTED_VALUE"""),"Woman")</f>
        <v>Woman</v>
      </c>
      <c r="G802" s="6"/>
      <c r="H802" s="6"/>
      <c r="I802" s="6"/>
      <c r="J802" s="6"/>
      <c r="K802" s="6"/>
      <c r="L802" s="6" t="str">
        <f ca="1">IFERROR(__xludf.DUMMYFUNCTION("""COMPUTED_VALUE"""),"No")</f>
        <v>No</v>
      </c>
      <c r="M802" s="6"/>
      <c r="N802" s="6"/>
      <c r="O802" s="6" t="str">
        <f ca="1">IFERROR(__xludf.DUMMYFUNCTION("""COMPUTED_VALUE"""),"Email")</f>
        <v>Email</v>
      </c>
      <c r="P802" s="6"/>
      <c r="Q802" s="6" t="str">
        <f ca="1">IFERROR(__xludf.DUMMYFUNCTION("""COMPUTED_VALUE"""),"No")</f>
        <v>No</v>
      </c>
      <c r="R802" s="6">
        <f ca="1">IFERROR(__xludf.DUMMYFUNCTION("""COMPUTED_VALUE"""),1)</f>
        <v>1</v>
      </c>
      <c r="S802" s="6" t="str">
        <f ca="1">IFERROR(__xludf.DUMMYFUNCTION("""COMPUTED_VALUE"""),"Debt financing
Grants")</f>
        <v>Debt financing
Grants</v>
      </c>
      <c r="T802" s="6" t="str">
        <f ca="1">IFERROR(__xludf.DUMMYFUNCTION("""COMPUTED_VALUE"""),"Debt financing, Grants")</f>
        <v>Debt financing, Grants</v>
      </c>
      <c r="U802" s="6" t="str">
        <f ca="1">IFERROR(__xludf.DUMMYFUNCTION("""COMPUTED_VALUE"""),"Debt financing, Grants")</f>
        <v>Debt financing, Grants</v>
      </c>
      <c r="V802" s="6"/>
      <c r="W802" s="6" t="str">
        <f ca="1">IFERROR(__xludf.DUMMYFUNCTION("""COMPUTED_VALUE"""),"Invite Next Year")</f>
        <v>Invite Next Year</v>
      </c>
    </row>
    <row r="803" spans="1:23">
      <c r="A803" s="6" t="str">
        <f ca="1">IFERROR(__xludf.DUMMYFUNCTION("""COMPUTED_VALUE"""),"Man, Man")</f>
        <v>Man, Man</v>
      </c>
      <c r="B803" s="6" t="str">
        <f ca="1">IFERROR(__xludf.DUMMYFUNCTION("""COMPUTED_VALUE"""),"Staxe _2022")</f>
        <v>Staxe _2022</v>
      </c>
      <c r="C803" s="6" t="str">
        <f ca="1">IFERROR(__xludf.DUMMYFUNCTION("""COMPUTED_VALUE"""),"Digital Tech")</f>
        <v>Digital Tech</v>
      </c>
      <c r="D803" s="6" t="str">
        <f ca="1">IFERROR(__xludf.DUMMYFUNCTION("""COMPUTED_VALUE"""),"Dublin, Dublin 4 
Ireland")</f>
        <v>Dublin, Dublin 4 
Ireland</v>
      </c>
      <c r="E803" s="6" t="str">
        <f ca="1">IFERROR(__xludf.DUMMYFUNCTION("""COMPUTED_VALUE"""),"International - Europe")</f>
        <v>International - Europe</v>
      </c>
      <c r="F803" s="6" t="str">
        <f ca="1">IFERROR(__xludf.DUMMYFUNCTION("""COMPUTED_VALUE"""),"Man")</f>
        <v>Man</v>
      </c>
      <c r="G803" s="6" t="str">
        <f ca="1">IFERROR(__xludf.DUMMYFUNCTION("""COMPUTED_VALUE"""),"Man")</f>
        <v>Man</v>
      </c>
      <c r="H803" s="6"/>
      <c r="I803" s="6"/>
      <c r="J803" s="6"/>
      <c r="K803" s="6"/>
      <c r="L803" s="6" t="str">
        <f ca="1">IFERROR(__xludf.DUMMYFUNCTION("""COMPUTED_VALUE"""),"No")</f>
        <v>No</v>
      </c>
      <c r="M803" s="6"/>
      <c r="N803" s="6"/>
      <c r="O803" s="6" t="str">
        <f ca="1">IFERROR(__xludf.DUMMYFUNCTION("""COMPUTED_VALUE"""),"Referral")</f>
        <v>Referral</v>
      </c>
      <c r="P803" s="6"/>
      <c r="Q803" s="6" t="str">
        <f ca="1">IFERROR(__xludf.DUMMYFUNCTION("""COMPUTED_VALUE"""),"No")</f>
        <v>No</v>
      </c>
      <c r="R803" s="6">
        <f ca="1">IFERROR(__xludf.DUMMYFUNCTION("""COMPUTED_VALUE"""),2)</f>
        <v>2</v>
      </c>
      <c r="S803" s="6" t="str">
        <f ca="1">IFERROR(__xludf.DUMMYFUNCTION("""COMPUTED_VALUE"""),"Pre-seed")</f>
        <v>Pre-seed</v>
      </c>
      <c r="T803" s="6" t="str">
        <f ca="1">IFERROR(__xludf.DUMMYFUNCTION("""COMPUTED_VALUE"""),"Pre-seed")</f>
        <v>Pre-seed</v>
      </c>
      <c r="U803" s="6" t="str">
        <f ca="1">IFERROR(__xludf.DUMMYFUNCTION("""COMPUTED_VALUE"""),"Pre-seed")</f>
        <v>Pre-seed</v>
      </c>
      <c r="V803" s="6"/>
      <c r="W803" s="6" t="str">
        <f ca="1">IFERROR(__xludf.DUMMYFUNCTION("""COMPUTED_VALUE"""),"Invite Next Year")</f>
        <v>Invite Next Year</v>
      </c>
    </row>
    <row r="804" spans="1:23">
      <c r="A804" s="6" t="str">
        <f ca="1">IFERROR(__xludf.DUMMYFUNCTION("""COMPUTED_VALUE"""),"Man, Woman")</f>
        <v>Man, Woman</v>
      </c>
      <c r="B804" s="6" t="str">
        <f ca="1">IFERROR(__xludf.DUMMYFUNCTION("""COMPUTED_VALUE"""),"CShell Health _2022")</f>
        <v>CShell Health _2022</v>
      </c>
      <c r="C804" s="6" t="str">
        <f ca="1">IFERROR(__xludf.DUMMYFUNCTION("""COMPUTED_VALUE"""),"Digital Tech")</f>
        <v>Digital Tech</v>
      </c>
      <c r="D804" s="6" t="str">
        <f ca="1">IFERROR(__xludf.DUMMYFUNCTION("""COMPUTED_VALUE"""),"175 Varick Street, New York 
United States")</f>
        <v>175 Varick Street, New York 
United States</v>
      </c>
      <c r="E804" s="6" t="str">
        <f ca="1">IFERROR(__xludf.DUMMYFUNCTION("""COMPUTED_VALUE"""),"New York")</f>
        <v>New York</v>
      </c>
      <c r="F804" s="6" t="str">
        <f ca="1">IFERROR(__xludf.DUMMYFUNCTION("""COMPUTED_VALUE"""),"Man")</f>
        <v>Man</v>
      </c>
      <c r="G804" s="6" t="str">
        <f ca="1">IFERROR(__xludf.DUMMYFUNCTION("""COMPUTED_VALUE"""),"Woman")</f>
        <v>Woman</v>
      </c>
      <c r="H804" s="6"/>
      <c r="I804" s="6"/>
      <c r="J804" s="6"/>
      <c r="K804" s="6"/>
      <c r="L804" s="6" t="str">
        <f ca="1">IFERROR(__xludf.DUMMYFUNCTION("""COMPUTED_VALUE"""),"Yes")</f>
        <v>Yes</v>
      </c>
      <c r="M804" s="6" t="str">
        <f ca="1">IFERROR(__xludf.DUMMYFUNCTION("""COMPUTED_VALUE"""),"NYU Alumni")</f>
        <v>NYU Alumni</v>
      </c>
      <c r="N804" s="6"/>
      <c r="O804" s="6" t="str">
        <f ca="1">IFERROR(__xludf.DUMMYFUNCTION("""COMPUTED_VALUE"""),"NYU Newsletter")</f>
        <v>NYU Newsletter</v>
      </c>
      <c r="P804" s="6"/>
      <c r="Q804" s="6" t="str">
        <f ca="1">IFERROR(__xludf.DUMMYFUNCTION("""COMPUTED_VALUE"""),"No")</f>
        <v>No</v>
      </c>
      <c r="R804" s="6">
        <f ca="1">IFERROR(__xludf.DUMMYFUNCTION("""COMPUTED_VALUE"""),2)</f>
        <v>2</v>
      </c>
      <c r="S804" s="6" t="str">
        <f ca="1">IFERROR(__xludf.DUMMYFUNCTION("""COMPUTED_VALUE"""),"None")</f>
        <v>None</v>
      </c>
      <c r="T804" s="6" t="str">
        <f ca="1">IFERROR(__xludf.DUMMYFUNCTION("""COMPUTED_VALUE"""),"None")</f>
        <v>None</v>
      </c>
      <c r="U804" s="6" t="str">
        <f ca="1">IFERROR(__xludf.DUMMYFUNCTION("""COMPUTED_VALUE"""),"None")</f>
        <v>None</v>
      </c>
      <c r="V804" s="6"/>
      <c r="W804" s="6" t="str">
        <f ca="1">IFERROR(__xludf.DUMMYFUNCTION("""COMPUTED_VALUE"""),"Invite Next Year")</f>
        <v>Invite Next Year</v>
      </c>
    </row>
    <row r="805" spans="1:23">
      <c r="A805" s="6" t="str">
        <f ca="1">IFERROR(__xludf.DUMMYFUNCTION("""COMPUTED_VALUE"""),"Man, Man")</f>
        <v>Man, Man</v>
      </c>
      <c r="B805" s="6" t="str">
        <f ca="1">IFERROR(__xludf.DUMMYFUNCTION("""COMPUTED_VALUE"""),"Hyfi _2022")</f>
        <v>Hyfi _2022</v>
      </c>
      <c r="C805" s="6" t="str">
        <f ca="1">IFERROR(__xludf.DUMMYFUNCTION("""COMPUTED_VALUE"""),"Digital Tech")</f>
        <v>Digital Tech</v>
      </c>
      <c r="D805" s="6" t="str">
        <f ca="1">IFERROR(__xludf.DUMMYFUNCTION("""COMPUTED_VALUE"""),"Ann Arbor, Michigan 
United States")</f>
        <v>Ann Arbor, Michigan 
United States</v>
      </c>
      <c r="E805" s="6" t="str">
        <f ca="1">IFERROR(__xludf.DUMMYFUNCTION("""COMPUTED_VALUE"""),"Midwest")</f>
        <v>Midwest</v>
      </c>
      <c r="F805" s="6" t="str">
        <f ca="1">IFERROR(__xludf.DUMMYFUNCTION("""COMPUTED_VALUE"""),"Man")</f>
        <v>Man</v>
      </c>
      <c r="G805" s="6" t="str">
        <f ca="1">IFERROR(__xludf.DUMMYFUNCTION("""COMPUTED_VALUE"""),"Man")</f>
        <v>Man</v>
      </c>
      <c r="H805" s="6"/>
      <c r="I805" s="6"/>
      <c r="J805" s="6"/>
      <c r="K805" s="6"/>
      <c r="L805" s="6" t="str">
        <f ca="1">IFERROR(__xludf.DUMMYFUNCTION("""COMPUTED_VALUE"""),"No")</f>
        <v>No</v>
      </c>
      <c r="M805" s="6"/>
      <c r="N805" s="6"/>
      <c r="O805" s="6" t="str">
        <f ca="1">IFERROR(__xludf.DUMMYFUNCTION("""COMPUTED_VALUE"""),"Email")</f>
        <v>Email</v>
      </c>
      <c r="P805" s="6"/>
      <c r="Q805" s="6" t="str">
        <f ca="1">IFERROR(__xludf.DUMMYFUNCTION("""COMPUTED_VALUE"""),"No")</f>
        <v>No</v>
      </c>
      <c r="R805" s="6">
        <f ca="1">IFERROR(__xludf.DUMMYFUNCTION("""COMPUTED_VALUE"""),2)</f>
        <v>2</v>
      </c>
      <c r="S805" s="6" t="str">
        <f ca="1">IFERROR(__xludf.DUMMYFUNCTION("""COMPUTED_VALUE"""),"Grants")</f>
        <v>Grants</v>
      </c>
      <c r="T805" s="6" t="str">
        <f ca="1">IFERROR(__xludf.DUMMYFUNCTION("""COMPUTED_VALUE"""),"Grants")</f>
        <v>Grants</v>
      </c>
      <c r="U805" s="6" t="str">
        <f ca="1">IFERROR(__xludf.DUMMYFUNCTION("""COMPUTED_VALUE"""),"Grants")</f>
        <v>Grants</v>
      </c>
      <c r="V805" s="6"/>
      <c r="W805" s="6" t="str">
        <f ca="1">IFERROR(__xludf.DUMMYFUNCTION("""COMPUTED_VALUE"""),"Invite Next Year")</f>
        <v>Invite Next Year</v>
      </c>
    </row>
    <row r="806" spans="1:23">
      <c r="A806" s="6" t="str">
        <f ca="1">IFERROR(__xludf.DUMMYFUNCTION("""COMPUTED_VALUE"""),"Man, Man, Woman")</f>
        <v>Man, Man, Woman</v>
      </c>
      <c r="B806" s="6" t="str">
        <f ca="1">IFERROR(__xludf.DUMMYFUNCTION("""COMPUTED_VALUE"""),"NEATCap Medical LLC _2022")</f>
        <v>NEATCap Medical LLC _2022</v>
      </c>
      <c r="C806" s="6" t="str">
        <f ca="1">IFERROR(__xludf.DUMMYFUNCTION("""COMPUTED_VALUE"""),"Digital Tech")</f>
        <v>Digital Tech</v>
      </c>
      <c r="D806" s="6" t="str">
        <f ca="1">IFERROR(__xludf.DUMMYFUNCTION("""COMPUTED_VALUE"""),"Bethlehem, Pennsylvania 
United States")</f>
        <v>Bethlehem, Pennsylvania 
United States</v>
      </c>
      <c r="E806" s="6" t="str">
        <f ca="1">IFERROR(__xludf.DUMMYFUNCTION("""COMPUTED_VALUE"""),"East Coast")</f>
        <v>East Coast</v>
      </c>
      <c r="F806" s="6" t="str">
        <f ca="1">IFERROR(__xludf.DUMMYFUNCTION("""COMPUTED_VALUE"""),"Man")</f>
        <v>Man</v>
      </c>
      <c r="G806" s="6" t="str">
        <f ca="1">IFERROR(__xludf.DUMMYFUNCTION("""COMPUTED_VALUE"""),"Man")</f>
        <v>Man</v>
      </c>
      <c r="H806" s="6" t="str">
        <f ca="1">IFERROR(__xludf.DUMMYFUNCTION("""COMPUTED_VALUE"""),"Woman")</f>
        <v>Woman</v>
      </c>
      <c r="I806" s="6"/>
      <c r="J806" s="6"/>
      <c r="K806" s="6"/>
      <c r="L806" s="6" t="str">
        <f ca="1">IFERROR(__xludf.DUMMYFUNCTION("""COMPUTED_VALUE"""),"No")</f>
        <v>No</v>
      </c>
      <c r="M806" s="6"/>
      <c r="N806" s="6"/>
      <c r="O806" s="6" t="str">
        <f ca="1">IFERROR(__xludf.DUMMYFUNCTION("""COMPUTED_VALUE"""),"Other")</f>
        <v>Other</v>
      </c>
      <c r="P806" s="6"/>
      <c r="Q806" s="6" t="str">
        <f ca="1">IFERROR(__xludf.DUMMYFUNCTION("""COMPUTED_VALUE"""),"No")</f>
        <v>No</v>
      </c>
      <c r="R806" s="6">
        <f ca="1">IFERROR(__xludf.DUMMYFUNCTION("""COMPUTED_VALUE"""),3)</f>
        <v>3</v>
      </c>
      <c r="S806" s="6" t="str">
        <f ca="1">IFERROR(__xludf.DUMMYFUNCTION("""COMPUTED_VALUE"""),"Pre-seed
Seed
Grants")</f>
        <v>Pre-seed
Seed
Grants</v>
      </c>
      <c r="T806" s="6" t="str">
        <f ca="1">IFERROR(__xludf.DUMMYFUNCTION("""COMPUTED_VALUE"""),"Pre-seed, Seed, Grants")</f>
        <v>Pre-seed, Seed, Grants</v>
      </c>
      <c r="U806" s="6" t="str">
        <f ca="1">IFERROR(__xludf.DUMMYFUNCTION("""COMPUTED_VALUE"""),"Pre-seed, Seed, Grants")</f>
        <v>Pre-seed, Seed, Grants</v>
      </c>
      <c r="V806" s="6"/>
      <c r="W806" s="6" t="str">
        <f ca="1">IFERROR(__xludf.DUMMYFUNCTION("""COMPUTED_VALUE"""),"Invite Next Year")</f>
        <v>Invite Next Year</v>
      </c>
    </row>
    <row r="807" spans="1:23">
      <c r="A807" s="6" t="str">
        <f ca="1">IFERROR(__xludf.DUMMYFUNCTION("""COMPUTED_VALUE"""),"Man, Non-binary, Man")</f>
        <v>Man, Non-binary, Man</v>
      </c>
      <c r="B807" s="6" t="str">
        <f ca="1">IFERROR(__xludf.DUMMYFUNCTION("""COMPUTED_VALUE"""),"Alloy Software GmbH _2022")</f>
        <v>Alloy Software GmbH _2022</v>
      </c>
      <c r="C807" s="6" t="str">
        <f ca="1">IFERROR(__xludf.DUMMYFUNCTION("""COMPUTED_VALUE"""),"Digital Tech")</f>
        <v>Digital Tech</v>
      </c>
      <c r="D807" s="6" t="str">
        <f ca="1">IFERROR(__xludf.DUMMYFUNCTION("""COMPUTED_VALUE"""),"Frankfurter Allee 12-15, Berlin 
Germany")</f>
        <v>Frankfurter Allee 12-15, Berlin 
Germany</v>
      </c>
      <c r="E807" s="6" t="str">
        <f ca="1">IFERROR(__xludf.DUMMYFUNCTION("""COMPUTED_VALUE"""),"International - Europe")</f>
        <v>International - Europe</v>
      </c>
      <c r="F807" s="6" t="str">
        <f ca="1">IFERROR(__xludf.DUMMYFUNCTION("""COMPUTED_VALUE"""),"Man")</f>
        <v>Man</v>
      </c>
      <c r="G807" s="6" t="str">
        <f ca="1">IFERROR(__xludf.DUMMYFUNCTION("""COMPUTED_VALUE"""),"Non-binary")</f>
        <v>Non-binary</v>
      </c>
      <c r="H807" s="6" t="str">
        <f ca="1">IFERROR(__xludf.DUMMYFUNCTION("""COMPUTED_VALUE"""),"Man")</f>
        <v>Man</v>
      </c>
      <c r="I807" s="6"/>
      <c r="J807" s="6"/>
      <c r="K807" s="6"/>
      <c r="L807" s="6" t="str">
        <f ca="1">IFERROR(__xludf.DUMMYFUNCTION("""COMPUTED_VALUE"""),"No")</f>
        <v>No</v>
      </c>
      <c r="M807" s="6"/>
      <c r="N807" s="6"/>
      <c r="O807" s="6" t="str">
        <f ca="1">IFERROR(__xludf.DUMMYFUNCTION("""COMPUTED_VALUE"""),"A web posting")</f>
        <v>A web posting</v>
      </c>
      <c r="P807" s="6"/>
      <c r="Q807" s="6" t="str">
        <f ca="1">IFERROR(__xludf.DUMMYFUNCTION("""COMPUTED_VALUE"""),"No")</f>
        <v>No</v>
      </c>
      <c r="R807" s="6">
        <f ca="1">IFERROR(__xludf.DUMMYFUNCTION("""COMPUTED_VALUE"""),3)</f>
        <v>3</v>
      </c>
      <c r="S807" s="6" t="str">
        <f ca="1">IFERROR(__xludf.DUMMYFUNCTION("""COMPUTED_VALUE"""),"Pre-seed")</f>
        <v>Pre-seed</v>
      </c>
      <c r="T807" s="6" t="str">
        <f ca="1">IFERROR(__xludf.DUMMYFUNCTION("""COMPUTED_VALUE"""),"Pre-seed")</f>
        <v>Pre-seed</v>
      </c>
      <c r="U807" s="6" t="str">
        <f ca="1">IFERROR(__xludf.DUMMYFUNCTION("""COMPUTED_VALUE"""),"Pre-seed")</f>
        <v>Pre-seed</v>
      </c>
      <c r="V807" s="6"/>
      <c r="W807" s="6" t="str">
        <f ca="1">IFERROR(__xludf.DUMMYFUNCTION("""COMPUTED_VALUE"""),"Invite Next Year")</f>
        <v>Invite Next Year</v>
      </c>
    </row>
    <row r="808" spans="1:23">
      <c r="A808" s="6" t="str">
        <f ca="1">IFERROR(__xludf.DUMMYFUNCTION("""COMPUTED_VALUE"""),"Man")</f>
        <v>Man</v>
      </c>
      <c r="B808" s="6" t="str">
        <f ca="1">IFERROR(__xludf.DUMMYFUNCTION("""COMPUTED_VALUE"""),"FynCom _2022")</f>
        <v>FynCom _2022</v>
      </c>
      <c r="C808" s="6" t="str">
        <f ca="1">IFERROR(__xludf.DUMMYFUNCTION("""COMPUTED_VALUE"""),"Digital Tech")</f>
        <v>Digital Tech</v>
      </c>
      <c r="D808" s="6" t="str">
        <f ca="1">IFERROR(__xludf.DUMMYFUNCTION("""COMPUTED_VALUE"""),"Irvine, CA 
United States")</f>
        <v>Irvine, CA 
United States</v>
      </c>
      <c r="E808" s="6" t="str">
        <f ca="1">IFERROR(__xludf.DUMMYFUNCTION("""COMPUTED_VALUE"""),"West Coast")</f>
        <v>West Coast</v>
      </c>
      <c r="F808" s="6" t="str">
        <f ca="1">IFERROR(__xludf.DUMMYFUNCTION("""COMPUTED_VALUE"""),"Man")</f>
        <v>Man</v>
      </c>
      <c r="G808" s="6"/>
      <c r="H808" s="6"/>
      <c r="I808" s="6"/>
      <c r="J808" s="6"/>
      <c r="K808" s="6"/>
      <c r="L808" s="6" t="str">
        <f ca="1">IFERROR(__xludf.DUMMYFUNCTION("""COMPUTED_VALUE"""),"No")</f>
        <v>No</v>
      </c>
      <c r="M808" s="6"/>
      <c r="N808" s="6"/>
      <c r="O808" s="6" t="str">
        <f ca="1">IFERROR(__xludf.DUMMYFUNCTION("""COMPUTED_VALUE"""),"Email")</f>
        <v>Email</v>
      </c>
      <c r="P808" s="6"/>
      <c r="Q808" s="6" t="str">
        <f ca="1">IFERROR(__xludf.DUMMYFUNCTION("""COMPUTED_VALUE"""),"No")</f>
        <v>No</v>
      </c>
      <c r="R808" s="6">
        <f ca="1">IFERROR(__xludf.DUMMYFUNCTION("""COMPUTED_VALUE"""),1)</f>
        <v>1</v>
      </c>
      <c r="S808" s="6" t="str">
        <f ca="1">IFERROR(__xludf.DUMMYFUNCTION("""COMPUTED_VALUE"""),"Pre-seed")</f>
        <v>Pre-seed</v>
      </c>
      <c r="T808" s="6" t="str">
        <f ca="1">IFERROR(__xludf.DUMMYFUNCTION("""COMPUTED_VALUE"""),"Pre-seed")</f>
        <v>Pre-seed</v>
      </c>
      <c r="U808" s="6" t="str">
        <f ca="1">IFERROR(__xludf.DUMMYFUNCTION("""COMPUTED_VALUE"""),"Pre-seed")</f>
        <v>Pre-seed</v>
      </c>
      <c r="V808" s="6"/>
      <c r="W808" s="6" t="str">
        <f ca="1">IFERROR(__xludf.DUMMYFUNCTION("""COMPUTED_VALUE"""),"Invite Next Year")</f>
        <v>Invite Next Year</v>
      </c>
    </row>
    <row r="809" spans="1:23">
      <c r="A809" s="6" t="str">
        <f ca="1">IFERROR(__xludf.DUMMYFUNCTION("""COMPUTED_VALUE"""),"Man, Man")</f>
        <v>Man, Man</v>
      </c>
      <c r="B809" s="6" t="str">
        <f ca="1">IFERROR(__xludf.DUMMYFUNCTION("""COMPUTED_VALUE"""),"Axaitech _2022")</f>
        <v>Axaitech _2022</v>
      </c>
      <c r="C809" s="6" t="str">
        <f ca="1">IFERROR(__xludf.DUMMYFUNCTION("""COMPUTED_VALUE"""),"Life Sciences")</f>
        <v>Life Sciences</v>
      </c>
      <c r="D809" s="6" t="str">
        <f ca="1">IFERROR(__xludf.DUMMYFUNCTION("""COMPUTED_VALUE"""),"23 Clifton Ave, Gauteng 
South Africa")</f>
        <v>23 Clifton Ave, Gauteng 
South Africa</v>
      </c>
      <c r="E809" s="6" t="str">
        <f ca="1">IFERROR(__xludf.DUMMYFUNCTION("""COMPUTED_VALUE"""),"International - Other")</f>
        <v>International - Other</v>
      </c>
      <c r="F809" s="6" t="str">
        <f ca="1">IFERROR(__xludf.DUMMYFUNCTION("""COMPUTED_VALUE"""),"Man")</f>
        <v>Man</v>
      </c>
      <c r="G809" s="6" t="str">
        <f ca="1">IFERROR(__xludf.DUMMYFUNCTION("""COMPUTED_VALUE"""),"Man")</f>
        <v>Man</v>
      </c>
      <c r="H809" s="6"/>
      <c r="I809" s="6"/>
      <c r="J809" s="6"/>
      <c r="K809" s="6"/>
      <c r="L809" s="6" t="str">
        <f ca="1">IFERROR(__xludf.DUMMYFUNCTION("""COMPUTED_VALUE"""),"No")</f>
        <v>No</v>
      </c>
      <c r="M809" s="6"/>
      <c r="N809" s="6"/>
      <c r="O809" s="6" t="str">
        <f ca="1">IFERROR(__xludf.DUMMYFUNCTION("""COMPUTED_VALUE"""),"Email")</f>
        <v>Email</v>
      </c>
      <c r="P809" s="6"/>
      <c r="Q809" s="6" t="str">
        <f ca="1">IFERROR(__xludf.DUMMYFUNCTION("""COMPUTED_VALUE"""),"No")</f>
        <v>No</v>
      </c>
      <c r="R809" s="6">
        <f ca="1">IFERROR(__xludf.DUMMYFUNCTION("""COMPUTED_VALUE"""),2)</f>
        <v>2</v>
      </c>
      <c r="S809" s="6" t="str">
        <f ca="1">IFERROR(__xludf.DUMMYFUNCTION("""COMPUTED_VALUE"""),"Pre-seed")</f>
        <v>Pre-seed</v>
      </c>
      <c r="T809" s="6" t="str">
        <f ca="1">IFERROR(__xludf.DUMMYFUNCTION("""COMPUTED_VALUE"""),"Pre-seed")</f>
        <v>Pre-seed</v>
      </c>
      <c r="U809" s="6" t="str">
        <f ca="1">IFERROR(__xludf.DUMMYFUNCTION("""COMPUTED_VALUE"""),"Pre-seed")</f>
        <v>Pre-seed</v>
      </c>
      <c r="V809" s="6"/>
      <c r="W809" s="6" t="str">
        <f ca="1">IFERROR(__xludf.DUMMYFUNCTION("""COMPUTED_VALUE"""),"Invite Next Year")</f>
        <v>Invite Next Year</v>
      </c>
    </row>
    <row r="810" spans="1:23">
      <c r="A810" s="6" t="str">
        <f ca="1">IFERROR(__xludf.DUMMYFUNCTION("""COMPUTED_VALUE"""),"Man, Woman, Man")</f>
        <v>Man, Woman, Man</v>
      </c>
      <c r="B810" s="6" t="str">
        <f ca="1">IFERROR(__xludf.DUMMYFUNCTION("""COMPUTED_VALUE"""),"Navierre _2022")</f>
        <v>Navierre _2022</v>
      </c>
      <c r="C810" s="6" t="str">
        <f ca="1">IFERROR(__xludf.DUMMYFUNCTION("""COMPUTED_VALUE"""),"Digital Tech")</f>
        <v>Digital Tech</v>
      </c>
      <c r="D810" s="6" t="str">
        <f ca="1">IFERROR(__xludf.DUMMYFUNCTION("""COMPUTED_VALUE"""),"305 W Grand Avenue, Montvale, NJ 
United States")</f>
        <v>305 W Grand Avenue, Montvale, NJ 
United States</v>
      </c>
      <c r="E810" s="6" t="str">
        <f ca="1">IFERROR(__xludf.DUMMYFUNCTION("""COMPUTED_VALUE"""),"East Coast")</f>
        <v>East Coast</v>
      </c>
      <c r="F810" s="6" t="str">
        <f ca="1">IFERROR(__xludf.DUMMYFUNCTION("""COMPUTED_VALUE"""),"Man")</f>
        <v>Man</v>
      </c>
      <c r="G810" s="6" t="str">
        <f ca="1">IFERROR(__xludf.DUMMYFUNCTION("""COMPUTED_VALUE"""),"Woman")</f>
        <v>Woman</v>
      </c>
      <c r="H810" s="6" t="str">
        <f ca="1">IFERROR(__xludf.DUMMYFUNCTION("""COMPUTED_VALUE"""),"Man")</f>
        <v>Man</v>
      </c>
      <c r="I810" s="6"/>
      <c r="J810" s="6"/>
      <c r="K810" s="6"/>
      <c r="L810" s="6" t="str">
        <f ca="1">IFERROR(__xludf.DUMMYFUNCTION("""COMPUTED_VALUE"""),"No")</f>
        <v>No</v>
      </c>
      <c r="M810" s="6"/>
      <c r="N810" s="6"/>
      <c r="O810" s="6" t="str">
        <f ca="1">IFERROR(__xludf.DUMMYFUNCTION("""COMPUTED_VALUE"""),"Email")</f>
        <v>Email</v>
      </c>
      <c r="P810" s="6"/>
      <c r="Q810" s="6" t="str">
        <f ca="1">IFERROR(__xludf.DUMMYFUNCTION("""COMPUTED_VALUE"""),"No")</f>
        <v>No</v>
      </c>
      <c r="R810" s="6">
        <f ca="1">IFERROR(__xludf.DUMMYFUNCTION("""COMPUTED_VALUE"""),3)</f>
        <v>3</v>
      </c>
      <c r="S810" s="6" t="str">
        <f ca="1">IFERROR(__xludf.DUMMYFUNCTION("""COMPUTED_VALUE"""),"Seed")</f>
        <v>Seed</v>
      </c>
      <c r="T810" s="6" t="str">
        <f ca="1">IFERROR(__xludf.DUMMYFUNCTION("""COMPUTED_VALUE"""),"Seed")</f>
        <v>Seed</v>
      </c>
      <c r="U810" s="6" t="str">
        <f ca="1">IFERROR(__xludf.DUMMYFUNCTION("""COMPUTED_VALUE"""),"Seed")</f>
        <v>Seed</v>
      </c>
      <c r="V810" s="6"/>
      <c r="W810" s="6" t="str">
        <f ca="1">IFERROR(__xludf.DUMMYFUNCTION("""COMPUTED_VALUE"""),"Invite Next Year")</f>
        <v>Invite Next Year</v>
      </c>
    </row>
    <row r="811" spans="1:23">
      <c r="A811" s="6" t="str">
        <f ca="1">IFERROR(__xludf.DUMMYFUNCTION("""COMPUTED_VALUE"""),"Man")</f>
        <v>Man</v>
      </c>
      <c r="B811" s="6" t="str">
        <f ca="1">IFERROR(__xludf.DUMMYFUNCTION("""COMPUTED_VALUE"""),"alpha.one _2022")</f>
        <v>alpha.one _2022</v>
      </c>
      <c r="C811" s="6" t="str">
        <f ca="1">IFERROR(__xludf.DUMMYFUNCTION("""COMPUTED_VALUE"""),"Digital Tech")</f>
        <v>Digital Tech</v>
      </c>
      <c r="D811" s="6" t="str">
        <f ca="1">IFERROR(__xludf.DUMMYFUNCTION("""COMPUTED_VALUE"""),"Rotterdam, ZH 
Netherlands")</f>
        <v>Rotterdam, ZH 
Netherlands</v>
      </c>
      <c r="E811" s="6" t="str">
        <f ca="1">IFERROR(__xludf.DUMMYFUNCTION("""COMPUTED_VALUE"""),"International - Europe")</f>
        <v>International - Europe</v>
      </c>
      <c r="F811" s="6" t="str">
        <f ca="1">IFERROR(__xludf.DUMMYFUNCTION("""COMPUTED_VALUE"""),"Man")</f>
        <v>Man</v>
      </c>
      <c r="G811" s="6"/>
      <c r="H811" s="6"/>
      <c r="I811" s="6"/>
      <c r="J811" s="6"/>
      <c r="K811" s="6"/>
      <c r="L811" s="6" t="str">
        <f ca="1">IFERROR(__xludf.DUMMYFUNCTION("""COMPUTED_VALUE"""),"--Please select--")</f>
        <v>--Please select--</v>
      </c>
      <c r="M811" s="6"/>
      <c r="N811" s="6"/>
      <c r="O811" s="6" t="str">
        <f ca="1">IFERROR(__xludf.DUMMYFUNCTION("""COMPUTED_VALUE"""),"Conference")</f>
        <v>Conference</v>
      </c>
      <c r="P811" s="6"/>
      <c r="Q811" s="6" t="str">
        <f ca="1">IFERROR(__xludf.DUMMYFUNCTION("""COMPUTED_VALUE"""),"No")</f>
        <v>No</v>
      </c>
      <c r="R811" s="6">
        <f ca="1">IFERROR(__xludf.DUMMYFUNCTION("""COMPUTED_VALUE"""),1)</f>
        <v>1</v>
      </c>
      <c r="S811" s="6" t="str">
        <f ca="1">IFERROR(__xludf.DUMMYFUNCTION("""COMPUTED_VALUE"""),"Pre-seed
Seed")</f>
        <v>Pre-seed
Seed</v>
      </c>
      <c r="T811" s="6" t="str">
        <f ca="1">IFERROR(__xludf.DUMMYFUNCTION("""COMPUTED_VALUE"""),"Pre-seed, Seed")</f>
        <v>Pre-seed, Seed</v>
      </c>
      <c r="U811" s="6" t="str">
        <f ca="1">IFERROR(__xludf.DUMMYFUNCTION("""COMPUTED_VALUE"""),"Pre-seed, Seed")</f>
        <v>Pre-seed, Seed</v>
      </c>
      <c r="V811" s="6"/>
      <c r="W811" s="6" t="str">
        <f ca="1">IFERROR(__xludf.DUMMYFUNCTION("""COMPUTED_VALUE"""),"Invite Next Year")</f>
        <v>Invite Next Year</v>
      </c>
    </row>
    <row r="812" spans="1:23">
      <c r="A812" s="6" t="str">
        <f ca="1">IFERROR(__xludf.DUMMYFUNCTION("""COMPUTED_VALUE"""),"Man, Woman")</f>
        <v>Man, Woman</v>
      </c>
      <c r="B812" s="6" t="str">
        <f ca="1">IFERROR(__xludf.DUMMYFUNCTION("""COMPUTED_VALUE"""),"Auriga Interactive Studios LLC _2022")</f>
        <v>Auriga Interactive Studios LLC _2022</v>
      </c>
      <c r="C812" s="6" t="str">
        <f ca="1">IFERROR(__xludf.DUMMYFUNCTION("""COMPUTED_VALUE"""),"Digital Tech")</f>
        <v>Digital Tech</v>
      </c>
      <c r="D812" s="6" t="str">
        <f ca="1">IFERROR(__xludf.DUMMYFUNCTION("""COMPUTED_VALUE"""),"Putnam Valley, NY 
United States")</f>
        <v>Putnam Valley, NY 
United States</v>
      </c>
      <c r="E812" s="6" t="str">
        <f ca="1">IFERROR(__xludf.DUMMYFUNCTION("""COMPUTED_VALUE"""),"East Coast")</f>
        <v>East Coast</v>
      </c>
      <c r="F812" s="6" t="str">
        <f ca="1">IFERROR(__xludf.DUMMYFUNCTION("""COMPUTED_VALUE"""),"Man")</f>
        <v>Man</v>
      </c>
      <c r="G812" s="6" t="str">
        <f ca="1">IFERROR(__xludf.DUMMYFUNCTION("""COMPUTED_VALUE"""),"Woman")</f>
        <v>Woman</v>
      </c>
      <c r="H812" s="6"/>
      <c r="I812" s="6"/>
      <c r="J812" s="6"/>
      <c r="K812" s="6"/>
      <c r="L812" s="6" t="str">
        <f ca="1">IFERROR(__xludf.DUMMYFUNCTION("""COMPUTED_VALUE"""),"Yes")</f>
        <v>Yes</v>
      </c>
      <c r="M812" s="6" t="str">
        <f ca="1">IFERROR(__xludf.DUMMYFUNCTION("""COMPUTED_VALUE"""),"NYU Student")</f>
        <v>NYU Student</v>
      </c>
      <c r="N812" s="6"/>
      <c r="O812" s="6" t="str">
        <f ca="1">IFERROR(__xludf.DUMMYFUNCTION("""COMPUTED_VALUE"""),"NYU Newsletter")</f>
        <v>NYU Newsletter</v>
      </c>
      <c r="P812" s="6"/>
      <c r="Q812" s="6" t="str">
        <f ca="1">IFERROR(__xludf.DUMMYFUNCTION("""COMPUTED_VALUE"""),"No")</f>
        <v>No</v>
      </c>
      <c r="R812" s="6">
        <f ca="1">IFERROR(__xludf.DUMMYFUNCTION("""COMPUTED_VALUE"""),2)</f>
        <v>2</v>
      </c>
      <c r="S812" s="6" t="str">
        <f ca="1">IFERROR(__xludf.DUMMYFUNCTION("""COMPUTED_VALUE"""),"Pre-seed")</f>
        <v>Pre-seed</v>
      </c>
      <c r="T812" s="6" t="str">
        <f ca="1">IFERROR(__xludf.DUMMYFUNCTION("""COMPUTED_VALUE"""),"Pre-seed")</f>
        <v>Pre-seed</v>
      </c>
      <c r="U812" s="6" t="str">
        <f ca="1">IFERROR(__xludf.DUMMYFUNCTION("""COMPUTED_VALUE"""),"Pre-seed")</f>
        <v>Pre-seed</v>
      </c>
      <c r="V812" s="6"/>
      <c r="W812" s="6" t="str">
        <f ca="1">IFERROR(__xludf.DUMMYFUNCTION("""COMPUTED_VALUE"""),"Invite Next Year")</f>
        <v>Invite Next Year</v>
      </c>
    </row>
    <row r="813" spans="1:23">
      <c r="A813" s="6" t="str">
        <f ca="1">IFERROR(__xludf.DUMMYFUNCTION("""COMPUTED_VALUE"""),"Woman, Man, Woman")</f>
        <v>Woman, Man, Woman</v>
      </c>
      <c r="B813" s="6" t="str">
        <f ca="1">IFERROR(__xludf.DUMMYFUNCTION("""COMPUTED_VALUE"""),"Cromatic _2022")</f>
        <v>Cromatic _2022</v>
      </c>
      <c r="C813" s="6" t="str">
        <f ca="1">IFERROR(__xludf.DUMMYFUNCTION("""COMPUTED_VALUE"""),"Digital Tech")</f>
        <v>Digital Tech</v>
      </c>
      <c r="D813" s="6" t="str">
        <f ca="1">IFERROR(__xludf.DUMMYFUNCTION("""COMPUTED_VALUE"""),"San Francisco, California 
United States")</f>
        <v>San Francisco, California 
United States</v>
      </c>
      <c r="E813" s="6" t="str">
        <f ca="1">IFERROR(__xludf.DUMMYFUNCTION("""COMPUTED_VALUE"""),"West Coast")</f>
        <v>West Coast</v>
      </c>
      <c r="F813" s="6" t="str">
        <f ca="1">IFERROR(__xludf.DUMMYFUNCTION("""COMPUTED_VALUE"""),"Woman")</f>
        <v>Woman</v>
      </c>
      <c r="G813" s="6" t="str">
        <f ca="1">IFERROR(__xludf.DUMMYFUNCTION("""COMPUTED_VALUE"""),"Man")</f>
        <v>Man</v>
      </c>
      <c r="H813" s="6" t="str">
        <f ca="1">IFERROR(__xludf.DUMMYFUNCTION("""COMPUTED_VALUE"""),"Woman")</f>
        <v>Woman</v>
      </c>
      <c r="I813" s="6"/>
      <c r="J813" s="6"/>
      <c r="K813" s="6"/>
      <c r="L813" s="6" t="str">
        <f ca="1">IFERROR(__xludf.DUMMYFUNCTION("""COMPUTED_VALUE"""),"No")</f>
        <v>No</v>
      </c>
      <c r="M813" s="6"/>
      <c r="N813" s="6"/>
      <c r="O813" s="6" t="str">
        <f ca="1">IFERROR(__xludf.DUMMYFUNCTION("""COMPUTED_VALUE"""),"Referral")</f>
        <v>Referral</v>
      </c>
      <c r="P813" s="6"/>
      <c r="Q813" s="6" t="str">
        <f ca="1">IFERROR(__xludf.DUMMYFUNCTION("""COMPUTED_VALUE"""),"No")</f>
        <v>No</v>
      </c>
      <c r="R813" s="6">
        <f ca="1">IFERROR(__xludf.DUMMYFUNCTION("""COMPUTED_VALUE"""),3)</f>
        <v>3</v>
      </c>
      <c r="S813" s="6" t="str">
        <f ca="1">IFERROR(__xludf.DUMMYFUNCTION("""COMPUTED_VALUE"""),"Pre-seed")</f>
        <v>Pre-seed</v>
      </c>
      <c r="T813" s="6" t="str">
        <f ca="1">IFERROR(__xludf.DUMMYFUNCTION("""COMPUTED_VALUE"""),"Pre-seed")</f>
        <v>Pre-seed</v>
      </c>
      <c r="U813" s="6" t="str">
        <f ca="1">IFERROR(__xludf.DUMMYFUNCTION("""COMPUTED_VALUE"""),"Pre-seed")</f>
        <v>Pre-seed</v>
      </c>
      <c r="V813" s="6"/>
      <c r="W813" s="6" t="str">
        <f ca="1">IFERROR(__xludf.DUMMYFUNCTION("""COMPUTED_VALUE"""),"Invite Next Year")</f>
        <v>Invite Next Year</v>
      </c>
    </row>
    <row r="814" spans="1:23">
      <c r="A814" s="6" t="str">
        <f ca="1">IFERROR(__xludf.DUMMYFUNCTION("""COMPUTED_VALUE"""),"Woman, Man, Man")</f>
        <v>Woman, Man, Man</v>
      </c>
      <c r="B814" s="6" t="str">
        <f ca="1">IFERROR(__xludf.DUMMYFUNCTION("""COMPUTED_VALUE"""),"Amplified Sciences, Inc. _2022")</f>
        <v>Amplified Sciences, Inc. _2022</v>
      </c>
      <c r="C814" s="6" t="str">
        <f ca="1">IFERROR(__xludf.DUMMYFUNCTION("""COMPUTED_VALUE"""),"Life Sciences")</f>
        <v>Life Sciences</v>
      </c>
      <c r="D814" s="6" t="str">
        <f ca="1">IFERROR(__xludf.DUMMYFUNCTION("""COMPUTED_VALUE"""),"West Lafayette, IN 
United States")</f>
        <v>West Lafayette, IN 
United States</v>
      </c>
      <c r="E814" s="6" t="str">
        <f ca="1">IFERROR(__xludf.DUMMYFUNCTION("""COMPUTED_VALUE"""),"Midwest")</f>
        <v>Midwest</v>
      </c>
      <c r="F814" s="6" t="str">
        <f ca="1">IFERROR(__xludf.DUMMYFUNCTION("""COMPUTED_VALUE"""),"Woman")</f>
        <v>Woman</v>
      </c>
      <c r="G814" s="6" t="str">
        <f ca="1">IFERROR(__xludf.DUMMYFUNCTION("""COMPUTED_VALUE"""),"Man")</f>
        <v>Man</v>
      </c>
      <c r="H814" s="6" t="str">
        <f ca="1">IFERROR(__xludf.DUMMYFUNCTION("""COMPUTED_VALUE"""),"Man")</f>
        <v>Man</v>
      </c>
      <c r="I814" s="6"/>
      <c r="J814" s="6"/>
      <c r="K814" s="6"/>
      <c r="L814" s="6" t="str">
        <f ca="1">IFERROR(__xludf.DUMMYFUNCTION("""COMPUTED_VALUE"""),"No")</f>
        <v>No</v>
      </c>
      <c r="M814" s="6"/>
      <c r="N814" s="6"/>
      <c r="O814" s="6" t="str">
        <f ca="1">IFERROR(__xludf.DUMMYFUNCTION("""COMPUTED_VALUE"""),"Email")</f>
        <v>Email</v>
      </c>
      <c r="P814" s="6"/>
      <c r="Q814" s="6" t="str">
        <f ca="1">IFERROR(__xludf.DUMMYFUNCTION("""COMPUTED_VALUE"""),"No")</f>
        <v>No</v>
      </c>
      <c r="R814" s="6">
        <f ca="1">IFERROR(__xludf.DUMMYFUNCTION("""COMPUTED_VALUE"""),3)</f>
        <v>3</v>
      </c>
      <c r="S814" s="6" t="str">
        <f ca="1">IFERROR(__xludf.DUMMYFUNCTION("""COMPUTED_VALUE"""),"Pre-seed
Seed")</f>
        <v>Pre-seed
Seed</v>
      </c>
      <c r="T814" s="6" t="str">
        <f ca="1">IFERROR(__xludf.DUMMYFUNCTION("""COMPUTED_VALUE"""),"Pre-seed, Seed")</f>
        <v>Pre-seed, Seed</v>
      </c>
      <c r="U814" s="6" t="str">
        <f ca="1">IFERROR(__xludf.DUMMYFUNCTION("""COMPUTED_VALUE"""),"Pre-seed, Seed")</f>
        <v>Pre-seed, Seed</v>
      </c>
      <c r="V814" s="6"/>
      <c r="W814" s="6" t="str">
        <f ca="1">IFERROR(__xludf.DUMMYFUNCTION("""COMPUTED_VALUE"""),"Invite")</f>
        <v>Invite</v>
      </c>
    </row>
    <row r="815" spans="1:23">
      <c r="A815" s="6" t="str">
        <f ca="1">IFERROR(__xludf.DUMMYFUNCTION("""COMPUTED_VALUE"""),"Man, Man, Woman")</f>
        <v>Man, Man, Woman</v>
      </c>
      <c r="B815" s="6" t="str">
        <f ca="1">IFERROR(__xludf.DUMMYFUNCTION("""COMPUTED_VALUE"""),"MegaMinds _2022")</f>
        <v>MegaMinds _2022</v>
      </c>
      <c r="C815" s="6" t="str">
        <f ca="1">IFERROR(__xludf.DUMMYFUNCTION("""COMPUTED_VALUE"""),"Digital Tech")</f>
        <v>Digital Tech</v>
      </c>
      <c r="D815" s="6" t="str">
        <f ca="1">IFERROR(__xludf.DUMMYFUNCTION("""COMPUTED_VALUE"""),"19 Ryder Road, Fair Lawn, NJ 
United States")</f>
        <v>19 Ryder Road, Fair Lawn, NJ 
United States</v>
      </c>
      <c r="E815" s="6" t="str">
        <f ca="1">IFERROR(__xludf.DUMMYFUNCTION("""COMPUTED_VALUE"""),"East Coast")</f>
        <v>East Coast</v>
      </c>
      <c r="F815" s="6" t="str">
        <f ca="1">IFERROR(__xludf.DUMMYFUNCTION("""COMPUTED_VALUE"""),"Man")</f>
        <v>Man</v>
      </c>
      <c r="G815" s="6" t="str">
        <f ca="1">IFERROR(__xludf.DUMMYFUNCTION("""COMPUTED_VALUE"""),"Man")</f>
        <v>Man</v>
      </c>
      <c r="H815" s="6" t="str">
        <f ca="1">IFERROR(__xludf.DUMMYFUNCTION("""COMPUTED_VALUE"""),"Woman")</f>
        <v>Woman</v>
      </c>
      <c r="I815" s="6"/>
      <c r="J815" s="6"/>
      <c r="K815" s="6"/>
      <c r="L815" s="6" t="str">
        <f ca="1">IFERROR(__xludf.DUMMYFUNCTION("""COMPUTED_VALUE"""),"No")</f>
        <v>No</v>
      </c>
      <c r="M815" s="6"/>
      <c r="N815" s="6"/>
      <c r="O815" s="6" t="str">
        <f ca="1">IFERROR(__xludf.DUMMYFUNCTION("""COMPUTED_VALUE"""),"Info Session")</f>
        <v>Info Session</v>
      </c>
      <c r="P815" s="6"/>
      <c r="Q815" s="6" t="str">
        <f ca="1">IFERROR(__xludf.DUMMYFUNCTION("""COMPUTED_VALUE"""),"No")</f>
        <v>No</v>
      </c>
      <c r="R815" s="6">
        <f ca="1">IFERROR(__xludf.DUMMYFUNCTION("""COMPUTED_VALUE"""),3)</f>
        <v>3</v>
      </c>
      <c r="S815" s="6" t="str">
        <f ca="1">IFERROR(__xludf.DUMMYFUNCTION("""COMPUTED_VALUE"""),"None")</f>
        <v>None</v>
      </c>
      <c r="T815" s="6" t="str">
        <f ca="1">IFERROR(__xludf.DUMMYFUNCTION("""COMPUTED_VALUE"""),"None")</f>
        <v>None</v>
      </c>
      <c r="U815" s="6" t="str">
        <f ca="1">IFERROR(__xludf.DUMMYFUNCTION("""COMPUTED_VALUE"""),"None")</f>
        <v>None</v>
      </c>
      <c r="V815" s="6"/>
      <c r="W815" s="6" t="str">
        <f ca="1">IFERROR(__xludf.DUMMYFUNCTION("""COMPUTED_VALUE"""),"Invite Next Year")</f>
        <v>Invite Next Year</v>
      </c>
    </row>
    <row r="816" spans="1:23">
      <c r="A816" s="6" t="str">
        <f ca="1">IFERROR(__xludf.DUMMYFUNCTION("""COMPUTED_VALUE"""),"Man, Man, Man, Man")</f>
        <v>Man, Man, Man, Man</v>
      </c>
      <c r="B816" s="6" t="str">
        <f ca="1">IFERROR(__xludf.DUMMYFUNCTION("""COMPUTED_VALUE"""),"QCoefficient, Inc. _2022")</f>
        <v>QCoefficient, Inc. _2022</v>
      </c>
      <c r="C816" s="6" t="str">
        <f ca="1">IFERROR(__xludf.DUMMYFUNCTION("""COMPUTED_VALUE"""),"Deep Tech")</f>
        <v>Deep Tech</v>
      </c>
      <c r="D816" s="6" t="str">
        <f ca="1">IFERROR(__xludf.DUMMYFUNCTION("""COMPUTED_VALUE"""),"Chicago, Illinois 
United States")</f>
        <v>Chicago, Illinois 
United States</v>
      </c>
      <c r="E816" s="6" t="str">
        <f ca="1">IFERROR(__xludf.DUMMYFUNCTION("""COMPUTED_VALUE"""),"Midwest")</f>
        <v>Midwest</v>
      </c>
      <c r="F816" s="6" t="str">
        <f ca="1">IFERROR(__xludf.DUMMYFUNCTION("""COMPUTED_VALUE"""),"Man")</f>
        <v>Man</v>
      </c>
      <c r="G816" s="6" t="str">
        <f ca="1">IFERROR(__xludf.DUMMYFUNCTION("""COMPUTED_VALUE"""),"Man")</f>
        <v>Man</v>
      </c>
      <c r="H816" s="6" t="str">
        <f ca="1">IFERROR(__xludf.DUMMYFUNCTION("""COMPUTED_VALUE"""),"Man")</f>
        <v>Man</v>
      </c>
      <c r="I816" s="6" t="str">
        <f ca="1">IFERROR(__xludf.DUMMYFUNCTION("""COMPUTED_VALUE"""),"Man")</f>
        <v>Man</v>
      </c>
      <c r="J816" s="6"/>
      <c r="K816" s="6"/>
      <c r="L816" s="6" t="str">
        <f ca="1">IFERROR(__xludf.DUMMYFUNCTION("""COMPUTED_VALUE"""),"No")</f>
        <v>No</v>
      </c>
      <c r="M816" s="6"/>
      <c r="N816" s="6"/>
      <c r="O816" s="6" t="str">
        <f ca="1">IFERROR(__xludf.DUMMYFUNCTION("""COMPUTED_VALUE"""),"Email")</f>
        <v>Email</v>
      </c>
      <c r="P816" s="6"/>
      <c r="Q816" s="6" t="str">
        <f ca="1">IFERROR(__xludf.DUMMYFUNCTION("""COMPUTED_VALUE"""),"No")</f>
        <v>No</v>
      </c>
      <c r="R816" s="6">
        <f ca="1">IFERROR(__xludf.DUMMYFUNCTION("""COMPUTED_VALUE"""),4)</f>
        <v>4</v>
      </c>
      <c r="S816" s="6" t="str">
        <f ca="1">IFERROR(__xludf.DUMMYFUNCTION("""COMPUTED_VALUE"""),"Grants
Other: Founder and friends &amp; family")</f>
        <v>Grants
Other: Founder and friends &amp; family</v>
      </c>
      <c r="T816" s="6" t="str">
        <f ca="1">IFERROR(__xludf.DUMMYFUNCTION("""COMPUTED_VALUE"""),"Grants, Other: Founder and friends &amp; family")</f>
        <v>Grants, Other: Founder and friends &amp; family</v>
      </c>
      <c r="U816" s="6" t="str">
        <f ca="1">IFERROR(__xludf.DUMMYFUNCTION("""COMPUTED_VALUE"""),"Grants, ")</f>
        <v xml:space="preserve">Grants, </v>
      </c>
      <c r="V816" s="6" t="str">
        <f ca="1">IFERROR(__xludf.DUMMYFUNCTION("""COMPUTED_VALUE"""),"Founder and friends &amp; family")</f>
        <v>Founder and friends &amp; family</v>
      </c>
      <c r="W816" s="6" t="str">
        <f ca="1">IFERROR(__xludf.DUMMYFUNCTION("""COMPUTED_VALUE"""),"Invite Next Year")</f>
        <v>Invite Next Year</v>
      </c>
    </row>
    <row r="817" spans="1:23">
      <c r="A817" s="6" t="str">
        <f ca="1">IFERROR(__xludf.DUMMYFUNCTION("""COMPUTED_VALUE"""),"Woman, Man")</f>
        <v>Woman, Man</v>
      </c>
      <c r="B817" s="6" t="str">
        <f ca="1">IFERROR(__xludf.DUMMYFUNCTION("""COMPUTED_VALUE"""),"Patientory, Inc. _2022")</f>
        <v>Patientory, Inc. _2022</v>
      </c>
      <c r="C817" s="6" t="str">
        <f ca="1">IFERROR(__xludf.DUMMYFUNCTION("""COMPUTED_VALUE"""),"Digital Tech")</f>
        <v>Digital Tech</v>
      </c>
      <c r="D817" s="6" t="str">
        <f ca="1">IFERROR(__xludf.DUMMYFUNCTION("""COMPUTED_VALUE"""),"Atlanta, Georgia  
United States")</f>
        <v>Atlanta, Georgia  
United States</v>
      </c>
      <c r="E817" s="6" t="str">
        <f ca="1">IFERROR(__xludf.DUMMYFUNCTION("""COMPUTED_VALUE"""),"East Coast")</f>
        <v>East Coast</v>
      </c>
      <c r="F817" s="6" t="str">
        <f ca="1">IFERROR(__xludf.DUMMYFUNCTION("""COMPUTED_VALUE"""),"Woman")</f>
        <v>Woman</v>
      </c>
      <c r="G817" s="6" t="str">
        <f ca="1">IFERROR(__xludf.DUMMYFUNCTION("""COMPUTED_VALUE"""),"Man")</f>
        <v>Man</v>
      </c>
      <c r="H817" s="6"/>
      <c r="I817" s="6"/>
      <c r="J817" s="6"/>
      <c r="K817" s="6"/>
      <c r="L817" s="6" t="str">
        <f ca="1">IFERROR(__xludf.DUMMYFUNCTION("""COMPUTED_VALUE"""),"--Please select--")</f>
        <v>--Please select--</v>
      </c>
      <c r="M817" s="6"/>
      <c r="N817" s="6"/>
      <c r="O817" s="6" t="str">
        <f ca="1">IFERROR(__xludf.DUMMYFUNCTION("""COMPUTED_VALUE"""),"Email")</f>
        <v>Email</v>
      </c>
      <c r="P817" s="6"/>
      <c r="Q817" s="6" t="str">
        <f ca="1">IFERROR(__xludf.DUMMYFUNCTION("""COMPUTED_VALUE"""),"No")</f>
        <v>No</v>
      </c>
      <c r="R817" s="6">
        <f ca="1">IFERROR(__xludf.DUMMYFUNCTION("""COMPUTED_VALUE"""),2)</f>
        <v>2</v>
      </c>
      <c r="S817" s="6" t="str">
        <f ca="1">IFERROR(__xludf.DUMMYFUNCTION("""COMPUTED_VALUE"""),"Pre-seed")</f>
        <v>Pre-seed</v>
      </c>
      <c r="T817" s="6" t="str">
        <f ca="1">IFERROR(__xludf.DUMMYFUNCTION("""COMPUTED_VALUE"""),"Pre-seed")</f>
        <v>Pre-seed</v>
      </c>
      <c r="U817" s="6" t="str">
        <f ca="1">IFERROR(__xludf.DUMMYFUNCTION("""COMPUTED_VALUE"""),"Pre-seed")</f>
        <v>Pre-seed</v>
      </c>
      <c r="V817" s="6"/>
      <c r="W817" s="6" t="str">
        <f ca="1">IFERROR(__xludf.DUMMYFUNCTION("""COMPUTED_VALUE"""),"Invite Next Year")</f>
        <v>Invite Next Year</v>
      </c>
    </row>
    <row r="818" spans="1:23">
      <c r="A818" s="6" t="str">
        <f ca="1">IFERROR(__xludf.DUMMYFUNCTION("""COMPUTED_VALUE"""),"Man, Man")</f>
        <v>Man, Man</v>
      </c>
      <c r="B818" s="6" t="str">
        <f ca="1">IFERROR(__xludf.DUMMYFUNCTION("""COMPUTED_VALUE"""),"Omnic Data, Inc. _2022")</f>
        <v>Omnic Data, Inc. _2022</v>
      </c>
      <c r="C818" s="6" t="str">
        <f ca="1">IFERROR(__xludf.DUMMYFUNCTION("""COMPUTED_VALUE"""),"Digital Tech")</f>
        <v>Digital Tech</v>
      </c>
      <c r="D818" s="6" t="str">
        <f ca="1">IFERROR(__xludf.DUMMYFUNCTION("""COMPUTED_VALUE"""),"Brunswick, Maine 
United States")</f>
        <v>Brunswick, Maine 
United States</v>
      </c>
      <c r="E818" s="6" t="str">
        <f ca="1">IFERROR(__xludf.DUMMYFUNCTION("""COMPUTED_VALUE"""),"East Coast")</f>
        <v>East Coast</v>
      </c>
      <c r="F818" s="6" t="str">
        <f ca="1">IFERROR(__xludf.DUMMYFUNCTION("""COMPUTED_VALUE"""),"Man")</f>
        <v>Man</v>
      </c>
      <c r="G818" s="6" t="str">
        <f ca="1">IFERROR(__xludf.DUMMYFUNCTION("""COMPUTED_VALUE"""),"Man")</f>
        <v>Man</v>
      </c>
      <c r="H818" s="6"/>
      <c r="I818" s="6"/>
      <c r="J818" s="6"/>
      <c r="K818" s="6"/>
      <c r="L818" s="6" t="str">
        <f ca="1">IFERROR(__xludf.DUMMYFUNCTION("""COMPUTED_VALUE"""),"No")</f>
        <v>No</v>
      </c>
      <c r="M818" s="6"/>
      <c r="N818" s="6"/>
      <c r="O818" s="6" t="str">
        <f ca="1">IFERROR(__xludf.DUMMYFUNCTION("""COMPUTED_VALUE"""),"Email")</f>
        <v>Email</v>
      </c>
      <c r="P818" s="6"/>
      <c r="Q818" s="6" t="str">
        <f ca="1">IFERROR(__xludf.DUMMYFUNCTION("""COMPUTED_VALUE"""),"No")</f>
        <v>No</v>
      </c>
      <c r="R818" s="6">
        <f ca="1">IFERROR(__xludf.DUMMYFUNCTION("""COMPUTED_VALUE"""),2)</f>
        <v>2</v>
      </c>
      <c r="S818" s="6" t="str">
        <f ca="1">IFERROR(__xludf.DUMMYFUNCTION("""COMPUTED_VALUE"""),"Pre-seed
Grants")</f>
        <v>Pre-seed
Grants</v>
      </c>
      <c r="T818" s="6" t="str">
        <f ca="1">IFERROR(__xludf.DUMMYFUNCTION("""COMPUTED_VALUE"""),"Pre-seed, Grants")</f>
        <v>Pre-seed, Grants</v>
      </c>
      <c r="U818" s="6" t="str">
        <f ca="1">IFERROR(__xludf.DUMMYFUNCTION("""COMPUTED_VALUE"""),"Pre-seed, Grants")</f>
        <v>Pre-seed, Grants</v>
      </c>
      <c r="V818" s="6"/>
      <c r="W818" s="6" t="str">
        <f ca="1">IFERROR(__xludf.DUMMYFUNCTION("""COMPUTED_VALUE"""),"Invite Next Year")</f>
        <v>Invite Next Year</v>
      </c>
    </row>
    <row r="819" spans="1:23">
      <c r="A819" s="6" t="str">
        <f ca="1">IFERROR(__xludf.DUMMYFUNCTION("""COMPUTED_VALUE"""),"Man, Man")</f>
        <v>Man, Man</v>
      </c>
      <c r="B819" s="6" t="str">
        <f ca="1">IFERROR(__xludf.DUMMYFUNCTION("""COMPUTED_VALUE"""),"echoscope _2022")</f>
        <v>echoscope _2022</v>
      </c>
      <c r="C819" s="6" t="str">
        <f ca="1">IFERROR(__xludf.DUMMYFUNCTION("""COMPUTED_VALUE"""),"Life Sciences")</f>
        <v>Life Sciences</v>
      </c>
      <c r="D819" s="6" t="str">
        <f ca="1">IFERROR(__xludf.DUMMYFUNCTION("""COMPUTED_VALUE"""),"Vancouver, British Columbia 
Canada")</f>
        <v>Vancouver, British Columbia 
Canada</v>
      </c>
      <c r="E819" s="6" t="str">
        <f ca="1">IFERROR(__xludf.DUMMYFUNCTION("""COMPUTED_VALUE"""),"International - Americas")</f>
        <v>International - Americas</v>
      </c>
      <c r="F819" s="6" t="str">
        <f ca="1">IFERROR(__xludf.DUMMYFUNCTION("""COMPUTED_VALUE"""),"Man")</f>
        <v>Man</v>
      </c>
      <c r="G819" s="6" t="str">
        <f ca="1">IFERROR(__xludf.DUMMYFUNCTION("""COMPUTED_VALUE"""),"Man")</f>
        <v>Man</v>
      </c>
      <c r="H819" s="6"/>
      <c r="I819" s="6"/>
      <c r="J819" s="6"/>
      <c r="K819" s="6"/>
      <c r="L819" s="6" t="str">
        <f ca="1">IFERROR(__xludf.DUMMYFUNCTION("""COMPUTED_VALUE"""),"No")</f>
        <v>No</v>
      </c>
      <c r="M819" s="6"/>
      <c r="N819" s="6"/>
      <c r="O819" s="6" t="str">
        <f ca="1">IFERROR(__xludf.DUMMYFUNCTION("""COMPUTED_VALUE"""),"Search Engine")</f>
        <v>Search Engine</v>
      </c>
      <c r="P819" s="6"/>
      <c r="Q819" s="6" t="str">
        <f ca="1">IFERROR(__xludf.DUMMYFUNCTION("""COMPUTED_VALUE"""),"No")</f>
        <v>No</v>
      </c>
      <c r="R819" s="6">
        <f ca="1">IFERROR(__xludf.DUMMYFUNCTION("""COMPUTED_VALUE"""),2)</f>
        <v>2</v>
      </c>
      <c r="S819" s="6" t="str">
        <f ca="1">IFERROR(__xludf.DUMMYFUNCTION("""COMPUTED_VALUE"""),"Pre-seed")</f>
        <v>Pre-seed</v>
      </c>
      <c r="T819" s="6" t="str">
        <f ca="1">IFERROR(__xludf.DUMMYFUNCTION("""COMPUTED_VALUE"""),"Pre-seed")</f>
        <v>Pre-seed</v>
      </c>
      <c r="U819" s="6" t="str">
        <f ca="1">IFERROR(__xludf.DUMMYFUNCTION("""COMPUTED_VALUE"""),"Pre-seed")</f>
        <v>Pre-seed</v>
      </c>
      <c r="V819" s="6"/>
      <c r="W819" s="6" t="str">
        <f ca="1">IFERROR(__xludf.DUMMYFUNCTION("""COMPUTED_VALUE"""),"Invite Next Year")</f>
        <v>Invite Next Year</v>
      </c>
    </row>
    <row r="820" spans="1:23">
      <c r="A820" s="6" t="str">
        <f ca="1">IFERROR(__xludf.DUMMYFUNCTION("""COMPUTED_VALUE"""),"Man, Woman, Man")</f>
        <v>Man, Woman, Man</v>
      </c>
      <c r="B820" s="6" t="str">
        <f ca="1">IFERROR(__xludf.DUMMYFUNCTION("""COMPUTED_VALUE"""),"VendRx Inc. _2022")</f>
        <v>VendRx Inc. _2022</v>
      </c>
      <c r="C820" s="6" t="str">
        <f ca="1">IFERROR(__xludf.DUMMYFUNCTION("""COMPUTED_VALUE"""),"Digital Tech")</f>
        <v>Digital Tech</v>
      </c>
      <c r="D820" s="6" t="str">
        <f ca="1">IFERROR(__xludf.DUMMYFUNCTION("""COMPUTED_VALUE"""),"South Jordan, UT 
United States")</f>
        <v>South Jordan, UT 
United States</v>
      </c>
      <c r="E820" s="6" t="str">
        <f ca="1">IFERROR(__xludf.DUMMYFUNCTION("""COMPUTED_VALUE"""),"West")</f>
        <v>West</v>
      </c>
      <c r="F820" s="6" t="str">
        <f ca="1">IFERROR(__xludf.DUMMYFUNCTION("""COMPUTED_VALUE"""),"Man")</f>
        <v>Man</v>
      </c>
      <c r="G820" s="6" t="str">
        <f ca="1">IFERROR(__xludf.DUMMYFUNCTION("""COMPUTED_VALUE"""),"Woman")</f>
        <v>Woman</v>
      </c>
      <c r="H820" s="6" t="str">
        <f ca="1">IFERROR(__xludf.DUMMYFUNCTION("""COMPUTED_VALUE"""),"Man")</f>
        <v>Man</v>
      </c>
      <c r="I820" s="6"/>
      <c r="J820" s="6"/>
      <c r="K820" s="6"/>
      <c r="L820" s="6" t="str">
        <f ca="1">IFERROR(__xludf.DUMMYFUNCTION("""COMPUTED_VALUE"""),"No")</f>
        <v>No</v>
      </c>
      <c r="M820" s="6"/>
      <c r="N820" s="6"/>
      <c r="O820" s="6" t="str">
        <f ca="1">IFERROR(__xludf.DUMMYFUNCTION("""COMPUTED_VALUE"""),"Referral")</f>
        <v>Referral</v>
      </c>
      <c r="P820" s="6"/>
      <c r="Q820" s="6" t="str">
        <f ca="1">IFERROR(__xludf.DUMMYFUNCTION("""COMPUTED_VALUE"""),"No")</f>
        <v>No</v>
      </c>
      <c r="R820" s="6">
        <f ca="1">IFERROR(__xludf.DUMMYFUNCTION("""COMPUTED_VALUE"""),3)</f>
        <v>3</v>
      </c>
      <c r="S820" s="6" t="str">
        <f ca="1">IFERROR(__xludf.DUMMYFUNCTION("""COMPUTED_VALUE"""),"Seed
Debt financing")</f>
        <v>Seed
Debt financing</v>
      </c>
      <c r="T820" s="6" t="str">
        <f ca="1">IFERROR(__xludf.DUMMYFUNCTION("""COMPUTED_VALUE"""),"Seed, Debt financing")</f>
        <v>Seed, Debt financing</v>
      </c>
      <c r="U820" s="6" t="str">
        <f ca="1">IFERROR(__xludf.DUMMYFUNCTION("""COMPUTED_VALUE"""),"Seed, Debt financing")</f>
        <v>Seed, Debt financing</v>
      </c>
      <c r="V820" s="6"/>
      <c r="W820" s="6" t="str">
        <f ca="1">IFERROR(__xludf.DUMMYFUNCTION("""COMPUTED_VALUE"""),"Invite")</f>
        <v>Invite</v>
      </c>
    </row>
    <row r="821" spans="1:23">
      <c r="A821" s="6" t="str">
        <f ca="1">IFERROR(__xludf.DUMMYFUNCTION("""COMPUTED_VALUE"""),"Man, Man, Man")</f>
        <v>Man, Man, Man</v>
      </c>
      <c r="B821" s="6" t="str">
        <f ca="1">IFERROR(__xludf.DUMMYFUNCTION("""COMPUTED_VALUE"""),"Clean Bite, LLC _2022")</f>
        <v>Clean Bite, LLC _2022</v>
      </c>
      <c r="C821" s="6" t="str">
        <f ca="1">IFERROR(__xludf.DUMMYFUNCTION("""COMPUTED_VALUE"""),"Life Sciences")</f>
        <v>Life Sciences</v>
      </c>
      <c r="D821" s="6" t="str">
        <f ca="1">IFERROR(__xludf.DUMMYFUNCTION("""COMPUTED_VALUE"""),"Haverford, PA 
United States")</f>
        <v>Haverford, PA 
United States</v>
      </c>
      <c r="E821" s="6" t="str">
        <f ca="1">IFERROR(__xludf.DUMMYFUNCTION("""COMPUTED_VALUE"""),"East Coast")</f>
        <v>East Coast</v>
      </c>
      <c r="F821" s="6" t="str">
        <f ca="1">IFERROR(__xludf.DUMMYFUNCTION("""COMPUTED_VALUE"""),"Man")</f>
        <v>Man</v>
      </c>
      <c r="G821" s="6" t="str">
        <f ca="1">IFERROR(__xludf.DUMMYFUNCTION("""COMPUTED_VALUE"""),"Man")</f>
        <v>Man</v>
      </c>
      <c r="H821" s="6" t="str">
        <f ca="1">IFERROR(__xludf.DUMMYFUNCTION("""COMPUTED_VALUE"""),"Man")</f>
        <v>Man</v>
      </c>
      <c r="I821" s="6"/>
      <c r="J821" s="6"/>
      <c r="K821" s="6"/>
      <c r="L821" s="6" t="str">
        <f ca="1">IFERROR(__xludf.DUMMYFUNCTION("""COMPUTED_VALUE"""),"--Please select--")</f>
        <v>--Please select--</v>
      </c>
      <c r="M821" s="6"/>
      <c r="N821" s="6"/>
      <c r="O821" s="6" t="str">
        <f ca="1">IFERROR(__xludf.DUMMYFUNCTION("""COMPUTED_VALUE"""),"Email")</f>
        <v>Email</v>
      </c>
      <c r="P821" s="6"/>
      <c r="Q821" s="6" t="str">
        <f ca="1">IFERROR(__xludf.DUMMYFUNCTION("""COMPUTED_VALUE"""),"No")</f>
        <v>No</v>
      </c>
      <c r="R821" s="6">
        <f ca="1">IFERROR(__xludf.DUMMYFUNCTION("""COMPUTED_VALUE"""),3)</f>
        <v>3</v>
      </c>
      <c r="S821" s="6" t="str">
        <f ca="1">IFERROR(__xludf.DUMMYFUNCTION("""COMPUTED_VALUE"""),"Seed")</f>
        <v>Seed</v>
      </c>
      <c r="T821" s="6" t="str">
        <f ca="1">IFERROR(__xludf.DUMMYFUNCTION("""COMPUTED_VALUE"""),"Seed")</f>
        <v>Seed</v>
      </c>
      <c r="U821" s="6" t="str">
        <f ca="1">IFERROR(__xludf.DUMMYFUNCTION("""COMPUTED_VALUE"""),"Seed")</f>
        <v>Seed</v>
      </c>
      <c r="V821" s="6"/>
      <c r="W821" s="6" t="str">
        <f ca="1">IFERROR(__xludf.DUMMYFUNCTION("""COMPUTED_VALUE"""),"Invite Next Year")</f>
        <v>Invite Next Year</v>
      </c>
    </row>
    <row r="822" spans="1:23">
      <c r="A822" s="6" t="str">
        <f ca="1">IFERROR(__xludf.DUMMYFUNCTION("""COMPUTED_VALUE"""),"Man")</f>
        <v>Man</v>
      </c>
      <c r="B822" s="6" t="str">
        <f ca="1">IFERROR(__xludf.DUMMYFUNCTION("""COMPUTED_VALUE"""),"VoteOurVoice, Inc.  _2022")</f>
        <v>VoteOurVoice, Inc.  _2022</v>
      </c>
      <c r="C822" s="6" t="str">
        <f ca="1">IFERROR(__xludf.DUMMYFUNCTION("""COMPUTED_VALUE"""),"Deep Tech")</f>
        <v>Deep Tech</v>
      </c>
      <c r="D822" s="6" t="str">
        <f ca="1">IFERROR(__xludf.DUMMYFUNCTION("""COMPUTED_VALUE"""),"2412 Saddlewood Ct, Cedar Hill 
United States")</f>
        <v>2412 Saddlewood Ct, Cedar Hill 
United States</v>
      </c>
      <c r="E822" s="6" t="str">
        <f ca="1">IFERROR(__xludf.DUMMYFUNCTION("""COMPUTED_VALUE"""),"South")</f>
        <v>South</v>
      </c>
      <c r="F822" s="6" t="str">
        <f ca="1">IFERROR(__xludf.DUMMYFUNCTION("""COMPUTED_VALUE"""),"Man")</f>
        <v>Man</v>
      </c>
      <c r="G822" s="6"/>
      <c r="H822" s="6"/>
      <c r="I822" s="6"/>
      <c r="J822" s="6"/>
      <c r="K822" s="6"/>
      <c r="L822" s="6" t="str">
        <f ca="1">IFERROR(__xludf.DUMMYFUNCTION("""COMPUTED_VALUE"""),"Yes")</f>
        <v>Yes</v>
      </c>
      <c r="M822" s="6" t="str">
        <f ca="1">IFERROR(__xludf.DUMMYFUNCTION("""COMPUTED_VALUE"""),"NYU Alumni")</f>
        <v>NYU Alumni</v>
      </c>
      <c r="N822" s="6"/>
      <c r="O822" s="6" t="str">
        <f ca="1">IFERROR(__xludf.DUMMYFUNCTION("""COMPUTED_VALUE"""),"Referral")</f>
        <v>Referral</v>
      </c>
      <c r="P822" s="6"/>
      <c r="Q822" s="6" t="str">
        <f ca="1">IFERROR(__xludf.DUMMYFUNCTION("""COMPUTED_VALUE"""),"No")</f>
        <v>No</v>
      </c>
      <c r="R822" s="6">
        <f ca="1">IFERROR(__xludf.DUMMYFUNCTION("""COMPUTED_VALUE"""),1)</f>
        <v>1</v>
      </c>
      <c r="S822" s="6" t="str">
        <f ca="1">IFERROR(__xludf.DUMMYFUNCTION("""COMPUTED_VALUE"""),"Other: Self-financed")</f>
        <v>Other: Self-financed</v>
      </c>
      <c r="T822" s="6" t="str">
        <f ca="1">IFERROR(__xludf.DUMMYFUNCTION("""COMPUTED_VALUE"""),"Other: Self-financed")</f>
        <v>Other: Self-financed</v>
      </c>
      <c r="U822" s="6" t="str">
        <f ca="1">IFERROR(__xludf.DUMMYFUNCTION("""COMPUTED_VALUE"""),"Self-financed")</f>
        <v>Self-financed</v>
      </c>
      <c r="V822" s="6"/>
      <c r="W822" s="6" t="str">
        <f ca="1">IFERROR(__xludf.DUMMYFUNCTION("""COMPUTED_VALUE"""),"Invite Next Year")</f>
        <v>Invite Next Year</v>
      </c>
    </row>
    <row r="823" spans="1:23">
      <c r="A823" s="6" t="str">
        <f ca="1">IFERROR(__xludf.DUMMYFUNCTION("""COMPUTED_VALUE"""),"Man, Woman, Man")</f>
        <v>Man, Woman, Man</v>
      </c>
      <c r="B823" s="6" t="str">
        <f ca="1">IFERROR(__xludf.DUMMYFUNCTION("""COMPUTED_VALUE"""),"AKALA _2022")</f>
        <v>AKALA _2022</v>
      </c>
      <c r="C823" s="6" t="str">
        <f ca="1">IFERROR(__xludf.DUMMYFUNCTION("""COMPUTED_VALUE"""),"Digital Tech")</f>
        <v>Digital Tech</v>
      </c>
      <c r="D823" s="6" t="str">
        <f ca="1">IFERROR(__xludf.DUMMYFUNCTION("""COMPUTED_VALUE"""),"Los Angeles, CA 
United States")</f>
        <v>Los Angeles, CA 
United States</v>
      </c>
      <c r="E823" s="6" t="str">
        <f ca="1">IFERROR(__xludf.DUMMYFUNCTION("""COMPUTED_VALUE"""),"West Coast")</f>
        <v>West Coast</v>
      </c>
      <c r="F823" s="6" t="str">
        <f ca="1">IFERROR(__xludf.DUMMYFUNCTION("""COMPUTED_VALUE"""),"Man")</f>
        <v>Man</v>
      </c>
      <c r="G823" s="6" t="str">
        <f ca="1">IFERROR(__xludf.DUMMYFUNCTION("""COMPUTED_VALUE"""),"Woman")</f>
        <v>Woman</v>
      </c>
      <c r="H823" s="6" t="str">
        <f ca="1">IFERROR(__xludf.DUMMYFUNCTION("""COMPUTED_VALUE"""),"Man")</f>
        <v>Man</v>
      </c>
      <c r="I823" s="6"/>
      <c r="J823" s="6"/>
      <c r="K823" s="6"/>
      <c r="L823" s="6" t="str">
        <f ca="1">IFERROR(__xludf.DUMMYFUNCTION("""COMPUTED_VALUE"""),"No")</f>
        <v>No</v>
      </c>
      <c r="M823" s="6"/>
      <c r="N823" s="6"/>
      <c r="O823" s="6" t="str">
        <f ca="1">IFERROR(__xludf.DUMMYFUNCTION("""COMPUTED_VALUE"""),"Email")</f>
        <v>Email</v>
      </c>
      <c r="P823" s="6"/>
      <c r="Q823" s="6" t="str">
        <f ca="1">IFERROR(__xludf.DUMMYFUNCTION("""COMPUTED_VALUE"""),"No")</f>
        <v>No</v>
      </c>
      <c r="R823" s="6">
        <f ca="1">IFERROR(__xludf.DUMMYFUNCTION("""COMPUTED_VALUE"""),3)</f>
        <v>3</v>
      </c>
      <c r="S823" s="6" t="str">
        <f ca="1">IFERROR(__xludf.DUMMYFUNCTION("""COMPUTED_VALUE"""),"Pre-seed")</f>
        <v>Pre-seed</v>
      </c>
      <c r="T823" s="6" t="str">
        <f ca="1">IFERROR(__xludf.DUMMYFUNCTION("""COMPUTED_VALUE"""),"Pre-seed")</f>
        <v>Pre-seed</v>
      </c>
      <c r="U823" s="6" t="str">
        <f ca="1">IFERROR(__xludf.DUMMYFUNCTION("""COMPUTED_VALUE"""),"Pre-seed")</f>
        <v>Pre-seed</v>
      </c>
      <c r="V823" s="6"/>
      <c r="W823" s="6" t="str">
        <f ca="1">IFERROR(__xludf.DUMMYFUNCTION("""COMPUTED_VALUE"""),"Invite Next Year")</f>
        <v>Invite Next Year</v>
      </c>
    </row>
    <row r="824" spans="1:23">
      <c r="A824" s="6" t="str">
        <f ca="1">IFERROR(__xludf.DUMMYFUNCTION("""COMPUTED_VALUE"""),"Man, Man")</f>
        <v>Man, Man</v>
      </c>
      <c r="B824" s="6" t="str">
        <f ca="1">IFERROR(__xludf.DUMMYFUNCTION("""COMPUTED_VALUE"""),"StoryBrain _2022")</f>
        <v>StoryBrain _2022</v>
      </c>
      <c r="C824" s="6" t="str">
        <f ca="1">IFERROR(__xludf.DUMMYFUNCTION("""COMPUTED_VALUE"""),"Digital Tech")</f>
        <v>Digital Tech</v>
      </c>
      <c r="D824" s="6" t="str">
        <f ca="1">IFERROR(__xludf.DUMMYFUNCTION("""COMPUTED_VALUE"""),"160 Robinson Road, #24-09, Singapore 
Singapore")</f>
        <v>160 Robinson Road, #24-09, Singapore 
Singapore</v>
      </c>
      <c r="E824" s="6" t="str">
        <f ca="1">IFERROR(__xludf.DUMMYFUNCTION("""COMPUTED_VALUE"""),"International - Asia")</f>
        <v>International - Asia</v>
      </c>
      <c r="F824" s="6" t="str">
        <f ca="1">IFERROR(__xludf.DUMMYFUNCTION("""COMPUTED_VALUE"""),"Man")</f>
        <v>Man</v>
      </c>
      <c r="G824" s="6" t="str">
        <f ca="1">IFERROR(__xludf.DUMMYFUNCTION("""COMPUTED_VALUE"""),"Man")</f>
        <v>Man</v>
      </c>
      <c r="H824" s="6"/>
      <c r="I824" s="6"/>
      <c r="J824" s="6"/>
      <c r="K824" s="6"/>
      <c r="L824" s="6" t="str">
        <f ca="1">IFERROR(__xludf.DUMMYFUNCTION("""COMPUTED_VALUE"""),"No")</f>
        <v>No</v>
      </c>
      <c r="M824" s="6"/>
      <c r="N824" s="6"/>
      <c r="O824" s="6" t="str">
        <f ca="1">IFERROR(__xludf.DUMMYFUNCTION("""COMPUTED_VALUE"""),"Email")</f>
        <v>Email</v>
      </c>
      <c r="P824" s="6"/>
      <c r="Q824" s="6" t="str">
        <f ca="1">IFERROR(__xludf.DUMMYFUNCTION("""COMPUTED_VALUE"""),"No")</f>
        <v>No</v>
      </c>
      <c r="R824" s="6">
        <f ca="1">IFERROR(__xludf.DUMMYFUNCTION("""COMPUTED_VALUE"""),2)</f>
        <v>2</v>
      </c>
      <c r="S824" s="6" t="str">
        <f ca="1">IFERROR(__xludf.DUMMYFUNCTION("""COMPUTED_VALUE"""),"Pre-seed
Seed
Other: Pre-series A")</f>
        <v>Pre-seed
Seed
Other: Pre-series A</v>
      </c>
      <c r="T824" s="6" t="str">
        <f ca="1">IFERROR(__xludf.DUMMYFUNCTION("""COMPUTED_VALUE"""),"Pre-seed, Seed, Other: Pre-series A")</f>
        <v>Pre-seed, Seed, Other: Pre-series A</v>
      </c>
      <c r="U824" s="6" t="str">
        <f ca="1">IFERROR(__xludf.DUMMYFUNCTION("""COMPUTED_VALUE"""),"Pre-seed, Seed, ")</f>
        <v xml:space="preserve">Pre-seed, Seed, </v>
      </c>
      <c r="V824" s="6" t="str">
        <f ca="1">IFERROR(__xludf.DUMMYFUNCTION("""COMPUTED_VALUE"""),"Pre-series A")</f>
        <v>Pre-series A</v>
      </c>
      <c r="W824" s="6" t="str">
        <f ca="1">IFERROR(__xludf.DUMMYFUNCTION("""COMPUTED_VALUE"""),"Invite Next Year")</f>
        <v>Invite Next Year</v>
      </c>
    </row>
    <row r="825" spans="1:23">
      <c r="A825" s="6" t="str">
        <f ca="1">IFERROR(__xludf.DUMMYFUNCTION("""COMPUTED_VALUE"""),"Prefer not to respond, Prefer not to respond, Prefer not to respond, Prefer not to respond")</f>
        <v>Prefer not to respond, Prefer not to respond, Prefer not to respond, Prefer not to respond</v>
      </c>
      <c r="B825" s="6" t="str">
        <f ca="1">IFERROR(__xludf.DUMMYFUNCTION("""COMPUTED_VALUE"""),"iAssay.net _2022")</f>
        <v>iAssay.net _2022</v>
      </c>
      <c r="C825" s="6" t="str">
        <f ca="1">IFERROR(__xludf.DUMMYFUNCTION("""COMPUTED_VALUE"""),"Life Sciences")</f>
        <v>Life Sciences</v>
      </c>
      <c r="D825" s="6" t="str">
        <f ca="1">IFERROR(__xludf.DUMMYFUNCTION("""COMPUTED_VALUE"""),"san diego, California 
United States")</f>
        <v>san diego, California 
United States</v>
      </c>
      <c r="E825" s="6" t="str">
        <f ca="1">IFERROR(__xludf.DUMMYFUNCTION("""COMPUTED_VALUE"""),"West Coast")</f>
        <v>West Coast</v>
      </c>
      <c r="F825" s="6" t="str">
        <f ca="1">IFERROR(__xludf.DUMMYFUNCTION("""COMPUTED_VALUE"""),"Prefer not to respond")</f>
        <v>Prefer not to respond</v>
      </c>
      <c r="G825" s="6" t="str">
        <f ca="1">IFERROR(__xludf.DUMMYFUNCTION("""COMPUTED_VALUE"""),"Prefer not to respond")</f>
        <v>Prefer not to respond</v>
      </c>
      <c r="H825" s="6" t="str">
        <f ca="1">IFERROR(__xludf.DUMMYFUNCTION("""COMPUTED_VALUE"""),"Prefer not to respond")</f>
        <v>Prefer not to respond</v>
      </c>
      <c r="I825" s="6" t="str">
        <f ca="1">IFERROR(__xludf.DUMMYFUNCTION("""COMPUTED_VALUE"""),"Prefer not to respond")</f>
        <v>Prefer not to respond</v>
      </c>
      <c r="J825" s="6"/>
      <c r="K825" s="6"/>
      <c r="L825" s="6" t="str">
        <f ca="1">IFERROR(__xludf.DUMMYFUNCTION("""COMPUTED_VALUE"""),"--Please select--")</f>
        <v>--Please select--</v>
      </c>
      <c r="M825" s="6"/>
      <c r="N825" s="6"/>
      <c r="O825" s="6" t="str">
        <f ca="1">IFERROR(__xludf.DUMMYFUNCTION("""COMPUTED_VALUE"""),"Email")</f>
        <v>Email</v>
      </c>
      <c r="P825" s="6"/>
      <c r="Q825" s="6" t="str">
        <f ca="1">IFERROR(__xludf.DUMMYFUNCTION("""COMPUTED_VALUE"""),"No")</f>
        <v>No</v>
      </c>
      <c r="R825" s="6">
        <f ca="1">IFERROR(__xludf.DUMMYFUNCTION("""COMPUTED_VALUE"""),4)</f>
        <v>4</v>
      </c>
      <c r="S825" s="6" t="str">
        <f ca="1">IFERROR(__xludf.DUMMYFUNCTION("""COMPUTED_VALUE"""),"Seed")</f>
        <v>Seed</v>
      </c>
      <c r="T825" s="6" t="str">
        <f ca="1">IFERROR(__xludf.DUMMYFUNCTION("""COMPUTED_VALUE"""),"Seed")</f>
        <v>Seed</v>
      </c>
      <c r="U825" s="6" t="str">
        <f ca="1">IFERROR(__xludf.DUMMYFUNCTION("""COMPUTED_VALUE"""),"Seed")</f>
        <v>Seed</v>
      </c>
      <c r="V825" s="6"/>
      <c r="W825" s="6" t="str">
        <f ca="1">IFERROR(__xludf.DUMMYFUNCTION("""COMPUTED_VALUE"""),"Invite Next Year")</f>
        <v>Invite Next Year</v>
      </c>
    </row>
    <row r="826" spans="1:23">
      <c r="A826" s="6" t="str">
        <f ca="1">IFERROR(__xludf.DUMMYFUNCTION("""COMPUTED_VALUE"""),"Woman, Woman, Woman, Man, Man")</f>
        <v>Woman, Woman, Woman, Man, Man</v>
      </c>
      <c r="B826" s="6" t="str">
        <f ca="1">IFERROR(__xludf.DUMMYFUNCTION("""COMPUTED_VALUE"""),"CIRT (Can I Recycle This, Inc.) _2022")</f>
        <v>CIRT (Can I Recycle This, Inc.) _2022</v>
      </c>
      <c r="C826" s="6" t="str">
        <f ca="1">IFERROR(__xludf.DUMMYFUNCTION("""COMPUTED_VALUE"""),"Digital Tech")</f>
        <v>Digital Tech</v>
      </c>
      <c r="D826" s="6" t="str">
        <f ca="1">IFERROR(__xludf.DUMMYFUNCTION("""COMPUTED_VALUE"""),"Athens, Georgia 
United States")</f>
        <v>Athens, Georgia 
United States</v>
      </c>
      <c r="E826" s="6" t="str">
        <f ca="1">IFERROR(__xludf.DUMMYFUNCTION("""COMPUTED_VALUE"""),"East Coast")</f>
        <v>East Coast</v>
      </c>
      <c r="F826" s="6" t="str">
        <f ca="1">IFERROR(__xludf.DUMMYFUNCTION("""COMPUTED_VALUE"""),"Woman")</f>
        <v>Woman</v>
      </c>
      <c r="G826" s="6" t="str">
        <f ca="1">IFERROR(__xludf.DUMMYFUNCTION("""COMPUTED_VALUE"""),"Woman")</f>
        <v>Woman</v>
      </c>
      <c r="H826" s="6" t="str">
        <f ca="1">IFERROR(__xludf.DUMMYFUNCTION("""COMPUTED_VALUE"""),"Woman")</f>
        <v>Woman</v>
      </c>
      <c r="I826" s="6" t="str">
        <f ca="1">IFERROR(__xludf.DUMMYFUNCTION("""COMPUTED_VALUE"""),"Man")</f>
        <v>Man</v>
      </c>
      <c r="J826" s="6" t="str">
        <f ca="1">IFERROR(__xludf.DUMMYFUNCTION("""COMPUTED_VALUE"""),"Man")</f>
        <v>Man</v>
      </c>
      <c r="K826" s="6"/>
      <c r="L826" s="6" t="str">
        <f ca="1">IFERROR(__xludf.DUMMYFUNCTION("""COMPUTED_VALUE"""),"No")</f>
        <v>No</v>
      </c>
      <c r="M826" s="6"/>
      <c r="N826" s="6"/>
      <c r="O826" s="6" t="str">
        <f ca="1">IFERROR(__xludf.DUMMYFUNCTION("""COMPUTED_VALUE"""),"Email")</f>
        <v>Email</v>
      </c>
      <c r="P826" s="6"/>
      <c r="Q826" s="6" t="str">
        <f ca="1">IFERROR(__xludf.DUMMYFUNCTION("""COMPUTED_VALUE"""),"No")</f>
        <v>No</v>
      </c>
      <c r="R826" s="6">
        <f ca="1">IFERROR(__xludf.DUMMYFUNCTION("""COMPUTED_VALUE"""),5)</f>
        <v>5</v>
      </c>
      <c r="S826" s="6" t="str">
        <f ca="1">IFERROR(__xludf.DUMMYFUNCTION("""COMPUTED_VALUE"""),"Seed
Debt financing
Grants")</f>
        <v>Seed
Debt financing
Grants</v>
      </c>
      <c r="T826" s="6" t="str">
        <f ca="1">IFERROR(__xludf.DUMMYFUNCTION("""COMPUTED_VALUE"""),"Seed, Debt financing, Grants")</f>
        <v>Seed, Debt financing, Grants</v>
      </c>
      <c r="U826" s="6" t="str">
        <f ca="1">IFERROR(__xludf.DUMMYFUNCTION("""COMPUTED_VALUE"""),"Seed, Debt financing, Grants")</f>
        <v>Seed, Debt financing, Grants</v>
      </c>
      <c r="V826" s="6"/>
      <c r="W826" s="6" t="str">
        <f ca="1">IFERROR(__xludf.DUMMYFUNCTION("""COMPUTED_VALUE"""),"Invite")</f>
        <v>Invite</v>
      </c>
    </row>
    <row r="827" spans="1:23">
      <c r="A827" s="6" t="str">
        <f ca="1">IFERROR(__xludf.DUMMYFUNCTION("""COMPUTED_VALUE"""),"Transgender")</f>
        <v>Transgender</v>
      </c>
      <c r="B827" s="6" t="str">
        <f ca="1">IFERROR(__xludf.DUMMYFUNCTION("""COMPUTED_VALUE"""),"Syntience Inc _2022")</f>
        <v>Syntience Inc _2022</v>
      </c>
      <c r="C827" s="6" t="str">
        <f ca="1">IFERROR(__xludf.DUMMYFUNCTION("""COMPUTED_VALUE"""),"Digital Tech")</f>
        <v>Digital Tech</v>
      </c>
      <c r="D827" s="6" t="str">
        <f ca="1">IFERROR(__xludf.DUMMYFUNCTION("""COMPUTED_VALUE"""),"Los Altos, CA 
United States")</f>
        <v>Los Altos, CA 
United States</v>
      </c>
      <c r="E827" s="6" t="str">
        <f ca="1">IFERROR(__xludf.DUMMYFUNCTION("""COMPUTED_VALUE"""),"West Coast")</f>
        <v>West Coast</v>
      </c>
      <c r="F827" s="6" t="str">
        <f ca="1">IFERROR(__xludf.DUMMYFUNCTION("""COMPUTED_VALUE"""),"Transgender")</f>
        <v>Transgender</v>
      </c>
      <c r="G827" s="6"/>
      <c r="H827" s="6"/>
      <c r="I827" s="6"/>
      <c r="J827" s="6"/>
      <c r="K827" s="6"/>
      <c r="L827" s="6" t="str">
        <f ca="1">IFERROR(__xludf.DUMMYFUNCTION("""COMPUTED_VALUE"""),"No")</f>
        <v>No</v>
      </c>
      <c r="M827" s="6"/>
      <c r="N827" s="6"/>
      <c r="O827" s="6" t="str">
        <f ca="1">IFERROR(__xludf.DUMMYFUNCTION("""COMPUTED_VALUE"""),"Email")</f>
        <v>Email</v>
      </c>
      <c r="P827" s="6"/>
      <c r="Q827" s="6" t="str">
        <f ca="1">IFERROR(__xludf.DUMMYFUNCTION("""COMPUTED_VALUE"""),"No")</f>
        <v>No</v>
      </c>
      <c r="R827" s="6">
        <f ca="1">IFERROR(__xludf.DUMMYFUNCTION("""COMPUTED_VALUE"""),1)</f>
        <v>1</v>
      </c>
      <c r="S827" s="6" t="str">
        <f ca="1">IFERROR(__xludf.DUMMYFUNCTION("""COMPUTED_VALUE"""),"None")</f>
        <v>None</v>
      </c>
      <c r="T827" s="6" t="str">
        <f ca="1">IFERROR(__xludf.DUMMYFUNCTION("""COMPUTED_VALUE"""),"None")</f>
        <v>None</v>
      </c>
      <c r="U827" s="6" t="str">
        <f ca="1">IFERROR(__xludf.DUMMYFUNCTION("""COMPUTED_VALUE"""),"None")</f>
        <v>None</v>
      </c>
      <c r="V827" s="6"/>
      <c r="W827" s="6" t="str">
        <f ca="1">IFERROR(__xludf.DUMMYFUNCTION("""COMPUTED_VALUE"""),"Invite Next Year")</f>
        <v>Invite Next Year</v>
      </c>
    </row>
    <row r="828" spans="1:23">
      <c r="A828" s="6" t="str">
        <f ca="1">IFERROR(__xludf.DUMMYFUNCTION("""COMPUTED_VALUE"""),"Man, Man, Man, Man")</f>
        <v>Man, Man, Man, Man</v>
      </c>
      <c r="B828" s="6" t="str">
        <f ca="1">IFERROR(__xludf.DUMMYFUNCTION("""COMPUTED_VALUE"""),"Enteligent Inc. _2022")</f>
        <v>Enteligent Inc. _2022</v>
      </c>
      <c r="C828" s="6" t="str">
        <f ca="1">IFERROR(__xludf.DUMMYFUNCTION("""COMPUTED_VALUE"""),"Deep Tech")</f>
        <v>Deep Tech</v>
      </c>
      <c r="D828" s="6" t="str">
        <f ca="1">IFERROR(__xludf.DUMMYFUNCTION("""COMPUTED_VALUE"""),"Morgan Hill, CA 
United States")</f>
        <v>Morgan Hill, CA 
United States</v>
      </c>
      <c r="E828" s="6" t="str">
        <f ca="1">IFERROR(__xludf.DUMMYFUNCTION("""COMPUTED_VALUE"""),"West Coast")</f>
        <v>West Coast</v>
      </c>
      <c r="F828" s="6" t="str">
        <f ca="1">IFERROR(__xludf.DUMMYFUNCTION("""COMPUTED_VALUE"""),"Man")</f>
        <v>Man</v>
      </c>
      <c r="G828" s="6" t="str">
        <f ca="1">IFERROR(__xludf.DUMMYFUNCTION("""COMPUTED_VALUE"""),"Man")</f>
        <v>Man</v>
      </c>
      <c r="H828" s="6" t="str">
        <f ca="1">IFERROR(__xludf.DUMMYFUNCTION("""COMPUTED_VALUE"""),"Man")</f>
        <v>Man</v>
      </c>
      <c r="I828" s="6" t="str">
        <f ca="1">IFERROR(__xludf.DUMMYFUNCTION("""COMPUTED_VALUE"""),"Man")</f>
        <v>Man</v>
      </c>
      <c r="J828" s="6"/>
      <c r="K828" s="6"/>
      <c r="L828" s="6" t="str">
        <f ca="1">IFERROR(__xludf.DUMMYFUNCTION("""COMPUTED_VALUE"""),"--Please select--")</f>
        <v>--Please select--</v>
      </c>
      <c r="M828" s="6"/>
      <c r="N828" s="6"/>
      <c r="O828" s="6" t="str">
        <f ca="1">IFERROR(__xludf.DUMMYFUNCTION("""COMPUTED_VALUE"""),"Email")</f>
        <v>Email</v>
      </c>
      <c r="P828" s="6"/>
      <c r="Q828" s="6" t="str">
        <f ca="1">IFERROR(__xludf.DUMMYFUNCTION("""COMPUTED_VALUE"""),"No")</f>
        <v>No</v>
      </c>
      <c r="R828" s="6">
        <f ca="1">IFERROR(__xludf.DUMMYFUNCTION("""COMPUTED_VALUE"""),4)</f>
        <v>4</v>
      </c>
      <c r="S828" s="6" t="str">
        <f ca="1">IFERROR(__xludf.DUMMYFUNCTION("""COMPUTED_VALUE"""),"Seed")</f>
        <v>Seed</v>
      </c>
      <c r="T828" s="6" t="str">
        <f ca="1">IFERROR(__xludf.DUMMYFUNCTION("""COMPUTED_VALUE"""),"Seed")</f>
        <v>Seed</v>
      </c>
      <c r="U828" s="6" t="str">
        <f ca="1">IFERROR(__xludf.DUMMYFUNCTION("""COMPUTED_VALUE"""),"Seed")</f>
        <v>Seed</v>
      </c>
      <c r="V828" s="6"/>
      <c r="W828" s="6" t="str">
        <f ca="1">IFERROR(__xludf.DUMMYFUNCTION("""COMPUTED_VALUE"""),"Invite")</f>
        <v>Invite</v>
      </c>
    </row>
    <row r="829" spans="1:23">
      <c r="A829" s="6" t="str">
        <f ca="1">IFERROR(__xludf.DUMMYFUNCTION("""COMPUTED_VALUE"""),"Man, Man")</f>
        <v>Man, Man</v>
      </c>
      <c r="B829" s="6" t="str">
        <f ca="1">IFERROR(__xludf.DUMMYFUNCTION("""COMPUTED_VALUE"""),"Inso Biosciences Inc. _2022")</f>
        <v>Inso Biosciences Inc. _2022</v>
      </c>
      <c r="C829" s="6" t="str">
        <f ca="1">IFERROR(__xludf.DUMMYFUNCTION("""COMPUTED_VALUE"""),"Life Sciences")</f>
        <v>Life Sciences</v>
      </c>
      <c r="D829" s="6" t="str">
        <f ca="1">IFERROR(__xludf.DUMMYFUNCTION("""COMPUTED_VALUE"""),"Ithaca, NY 
United States")</f>
        <v>Ithaca, NY 
United States</v>
      </c>
      <c r="E829" s="6" t="str">
        <f ca="1">IFERROR(__xludf.DUMMYFUNCTION("""COMPUTED_VALUE"""),"East Coast")</f>
        <v>East Coast</v>
      </c>
      <c r="F829" s="6" t="str">
        <f ca="1">IFERROR(__xludf.DUMMYFUNCTION("""COMPUTED_VALUE"""),"Man")</f>
        <v>Man</v>
      </c>
      <c r="G829" s="6" t="str">
        <f ca="1">IFERROR(__xludf.DUMMYFUNCTION("""COMPUTED_VALUE"""),"Man")</f>
        <v>Man</v>
      </c>
      <c r="H829" s="6"/>
      <c r="I829" s="6"/>
      <c r="J829" s="6"/>
      <c r="K829" s="6"/>
      <c r="L829" s="6" t="str">
        <f ca="1">IFERROR(__xludf.DUMMYFUNCTION("""COMPUTED_VALUE"""),"No")</f>
        <v>No</v>
      </c>
      <c r="M829" s="6"/>
      <c r="N829" s="6"/>
      <c r="O829" s="6" t="str">
        <f ca="1">IFERROR(__xludf.DUMMYFUNCTION("""COMPUTED_VALUE"""),"Referral")</f>
        <v>Referral</v>
      </c>
      <c r="P829" s="6"/>
      <c r="Q829" s="6" t="str">
        <f ca="1">IFERROR(__xludf.DUMMYFUNCTION("""COMPUTED_VALUE"""),"No")</f>
        <v>No</v>
      </c>
      <c r="R829" s="6">
        <f ca="1">IFERROR(__xludf.DUMMYFUNCTION("""COMPUTED_VALUE"""),2)</f>
        <v>2</v>
      </c>
      <c r="S829" s="6" t="str">
        <f ca="1">IFERROR(__xludf.DUMMYFUNCTION("""COMPUTED_VALUE"""),"Pre-seed")</f>
        <v>Pre-seed</v>
      </c>
      <c r="T829" s="6" t="str">
        <f ca="1">IFERROR(__xludf.DUMMYFUNCTION("""COMPUTED_VALUE"""),"Pre-seed")</f>
        <v>Pre-seed</v>
      </c>
      <c r="U829" s="6" t="str">
        <f ca="1">IFERROR(__xludf.DUMMYFUNCTION("""COMPUTED_VALUE"""),"Pre-seed")</f>
        <v>Pre-seed</v>
      </c>
      <c r="V829" s="6"/>
      <c r="W829" s="6" t="str">
        <f ca="1">IFERROR(__xludf.DUMMYFUNCTION("""COMPUTED_VALUE"""),"Invite")</f>
        <v>Invite</v>
      </c>
    </row>
    <row r="830" spans="1:23">
      <c r="A830" s="6" t="str">
        <f ca="1">IFERROR(__xludf.DUMMYFUNCTION("""COMPUTED_VALUE"""),"Man, Man, Woman")</f>
        <v>Man, Man, Woman</v>
      </c>
      <c r="B830" s="6" t="str">
        <f ca="1">IFERROR(__xludf.DUMMYFUNCTION("""COMPUTED_VALUE"""),"WERI _2022")</f>
        <v>WERI _2022</v>
      </c>
      <c r="C830" s="6" t="str">
        <f ca="1">IFERROR(__xludf.DUMMYFUNCTION("""COMPUTED_VALUE"""),"Digital Tech")</f>
        <v>Digital Tech</v>
      </c>
      <c r="D830" s="6" t="str">
        <f ca="1">IFERROR(__xludf.DUMMYFUNCTION("""COMPUTED_VALUE"""),"Amsterdam, Amsterdam 
Netherlands")</f>
        <v>Amsterdam, Amsterdam 
Netherlands</v>
      </c>
      <c r="E830" s="6" t="str">
        <f ca="1">IFERROR(__xludf.DUMMYFUNCTION("""COMPUTED_VALUE"""),"International - Europe")</f>
        <v>International - Europe</v>
      </c>
      <c r="F830" s="6" t="str">
        <f ca="1">IFERROR(__xludf.DUMMYFUNCTION("""COMPUTED_VALUE"""),"Man")</f>
        <v>Man</v>
      </c>
      <c r="G830" s="6" t="str">
        <f ca="1">IFERROR(__xludf.DUMMYFUNCTION("""COMPUTED_VALUE"""),"Man")</f>
        <v>Man</v>
      </c>
      <c r="H830" s="6" t="str">
        <f ca="1">IFERROR(__xludf.DUMMYFUNCTION("""COMPUTED_VALUE"""),"Woman")</f>
        <v>Woman</v>
      </c>
      <c r="I830" s="6"/>
      <c r="J830" s="6"/>
      <c r="K830" s="6"/>
      <c r="L830" s="6" t="str">
        <f ca="1">IFERROR(__xludf.DUMMYFUNCTION("""COMPUTED_VALUE"""),"No")</f>
        <v>No</v>
      </c>
      <c r="M830" s="6"/>
      <c r="N830" s="6"/>
      <c r="O830" s="6" t="str">
        <f ca="1">IFERROR(__xludf.DUMMYFUNCTION("""COMPUTED_VALUE"""),"LinkedIn")</f>
        <v>LinkedIn</v>
      </c>
      <c r="P830" s="6"/>
      <c r="Q830" s="6" t="str">
        <f ca="1">IFERROR(__xludf.DUMMYFUNCTION("""COMPUTED_VALUE"""),"No")</f>
        <v>No</v>
      </c>
      <c r="R830" s="6">
        <f ca="1">IFERROR(__xludf.DUMMYFUNCTION("""COMPUTED_VALUE"""),3)</f>
        <v>3</v>
      </c>
      <c r="S830" s="6" t="str">
        <f ca="1">IFERROR(__xludf.DUMMYFUNCTION("""COMPUTED_VALUE"""),"None")</f>
        <v>None</v>
      </c>
      <c r="T830" s="6" t="str">
        <f ca="1">IFERROR(__xludf.DUMMYFUNCTION("""COMPUTED_VALUE"""),"None")</f>
        <v>None</v>
      </c>
      <c r="U830" s="6" t="str">
        <f ca="1">IFERROR(__xludf.DUMMYFUNCTION("""COMPUTED_VALUE"""),"None")</f>
        <v>None</v>
      </c>
      <c r="V830" s="6"/>
      <c r="W830" s="6" t="str">
        <f ca="1">IFERROR(__xludf.DUMMYFUNCTION("""COMPUTED_VALUE"""),"Invite Next Year")</f>
        <v>Invite Next Year</v>
      </c>
    </row>
    <row r="831" spans="1:23">
      <c r="A831" s="6" t="str">
        <f ca="1">IFERROR(__xludf.DUMMYFUNCTION("""COMPUTED_VALUE"""),"Man, Man, Man")</f>
        <v>Man, Man, Man</v>
      </c>
      <c r="B831" s="6" t="str">
        <f ca="1">IFERROR(__xludf.DUMMYFUNCTION("""COMPUTED_VALUE"""),"NXTSENS Microsystems Inc. _2022")</f>
        <v>NXTSENS Microsystems Inc. _2022</v>
      </c>
      <c r="C831" s="6" t="str">
        <f ca="1">IFERROR(__xludf.DUMMYFUNCTION("""COMPUTED_VALUE"""),"Deep Tech")</f>
        <v>Deep Tech</v>
      </c>
      <c r="D831" s="6" t="str">
        <f ca="1">IFERROR(__xludf.DUMMYFUNCTION("""COMPUTED_VALUE"""),"400 Boul de Maisonneuve Ouest, Suite 700, H3A 1L4, Quebec 
Canada")</f>
        <v>400 Boul de Maisonneuve Ouest, Suite 700, H3A 1L4, Quebec 
Canada</v>
      </c>
      <c r="E831" s="6" t="str">
        <f ca="1">IFERROR(__xludf.DUMMYFUNCTION("""COMPUTED_VALUE"""),"International - Americas")</f>
        <v>International - Americas</v>
      </c>
      <c r="F831" s="6" t="str">
        <f ca="1">IFERROR(__xludf.DUMMYFUNCTION("""COMPUTED_VALUE"""),"Man")</f>
        <v>Man</v>
      </c>
      <c r="G831" s="6" t="str">
        <f ca="1">IFERROR(__xludf.DUMMYFUNCTION("""COMPUTED_VALUE"""),"Man")</f>
        <v>Man</v>
      </c>
      <c r="H831" s="6" t="str">
        <f ca="1">IFERROR(__xludf.DUMMYFUNCTION("""COMPUTED_VALUE"""),"Man")</f>
        <v>Man</v>
      </c>
      <c r="I831" s="6"/>
      <c r="J831" s="6"/>
      <c r="K831" s="6"/>
      <c r="L831" s="6" t="str">
        <f ca="1">IFERROR(__xludf.DUMMYFUNCTION("""COMPUTED_VALUE"""),"No")</f>
        <v>No</v>
      </c>
      <c r="M831" s="6"/>
      <c r="N831" s="6"/>
      <c r="O831" s="6" t="str">
        <f ca="1">IFERROR(__xludf.DUMMYFUNCTION("""COMPUTED_VALUE"""),"Email")</f>
        <v>Email</v>
      </c>
      <c r="P831" s="6"/>
      <c r="Q831" s="6" t="str">
        <f ca="1">IFERROR(__xludf.DUMMYFUNCTION("""COMPUTED_VALUE"""),"No")</f>
        <v>No</v>
      </c>
      <c r="R831" s="6">
        <f ca="1">IFERROR(__xludf.DUMMYFUNCTION("""COMPUTED_VALUE"""),3)</f>
        <v>3</v>
      </c>
      <c r="S831" s="6" t="str">
        <f ca="1">IFERROR(__xludf.DUMMYFUNCTION("""COMPUTED_VALUE"""),"Grants")</f>
        <v>Grants</v>
      </c>
      <c r="T831" s="6" t="str">
        <f ca="1">IFERROR(__xludf.DUMMYFUNCTION("""COMPUTED_VALUE"""),"Grants")</f>
        <v>Grants</v>
      </c>
      <c r="U831" s="6" t="str">
        <f ca="1">IFERROR(__xludf.DUMMYFUNCTION("""COMPUTED_VALUE"""),"Grants")</f>
        <v>Grants</v>
      </c>
      <c r="V831" s="6"/>
      <c r="W831" s="6" t="str">
        <f ca="1">IFERROR(__xludf.DUMMYFUNCTION("""COMPUTED_VALUE"""),"Invite Next Year")</f>
        <v>Invite Next Year</v>
      </c>
    </row>
    <row r="832" spans="1:23">
      <c r="A832" s="6" t="str">
        <f ca="1">IFERROR(__xludf.DUMMYFUNCTION("""COMPUTED_VALUE"""),"Woman")</f>
        <v>Woman</v>
      </c>
      <c r="B832" s="6" t="str">
        <f ca="1">IFERROR(__xludf.DUMMYFUNCTION("""COMPUTED_VALUE"""),"EcoEdge Data _2022")</f>
        <v>EcoEdge Data _2022</v>
      </c>
      <c r="C832" s="6" t="str">
        <f ca="1">IFERROR(__xludf.DUMMYFUNCTION("""COMPUTED_VALUE"""),"Deep Tech")</f>
        <v>Deep Tech</v>
      </c>
      <c r="D832" s="6" t="str">
        <f ca="1">IFERROR(__xludf.DUMMYFUNCTION("""COMPUTED_VALUE"""),"48 Wall Street, NY/ NYC 
United States")</f>
        <v>48 Wall Street, NY/ NYC 
United States</v>
      </c>
      <c r="E832" s="6" t="str">
        <f ca="1">IFERROR(__xludf.DUMMYFUNCTION("""COMPUTED_VALUE"""),"New York")</f>
        <v>New York</v>
      </c>
      <c r="F832" s="6" t="str">
        <f ca="1">IFERROR(__xludf.DUMMYFUNCTION("""COMPUTED_VALUE"""),"Woman")</f>
        <v>Woman</v>
      </c>
      <c r="G832" s="6"/>
      <c r="H832" s="6"/>
      <c r="I832" s="6"/>
      <c r="J832" s="6"/>
      <c r="K832" s="6"/>
      <c r="L832" s="6" t="str">
        <f ca="1">IFERROR(__xludf.DUMMYFUNCTION("""COMPUTED_VALUE"""),"Yes")</f>
        <v>Yes</v>
      </c>
      <c r="M832" s="6" t="str">
        <f ca="1">IFERROR(__xludf.DUMMYFUNCTION("""COMPUTED_VALUE"""),"NYU Faculty")</f>
        <v>NYU Faculty</v>
      </c>
      <c r="N832" s="6"/>
      <c r="O832" s="6" t="str">
        <f ca="1">IFERROR(__xludf.DUMMYFUNCTION("""COMPUTED_VALUE"""),"Referral")</f>
        <v>Referral</v>
      </c>
      <c r="P832" s="6"/>
      <c r="Q832" s="6" t="str">
        <f ca="1">IFERROR(__xludf.DUMMYFUNCTION("""COMPUTED_VALUE"""),"No")</f>
        <v>No</v>
      </c>
      <c r="R832" s="6">
        <f ca="1">IFERROR(__xludf.DUMMYFUNCTION("""COMPUTED_VALUE"""),1)</f>
        <v>1</v>
      </c>
      <c r="S832" s="6" t="str">
        <f ca="1">IFERROR(__xludf.DUMMYFUNCTION("""COMPUTED_VALUE"""),"Pre-seed")</f>
        <v>Pre-seed</v>
      </c>
      <c r="T832" s="6" t="str">
        <f ca="1">IFERROR(__xludf.DUMMYFUNCTION("""COMPUTED_VALUE"""),"Pre-seed")</f>
        <v>Pre-seed</v>
      </c>
      <c r="U832" s="6" t="str">
        <f ca="1">IFERROR(__xludf.DUMMYFUNCTION("""COMPUTED_VALUE"""),"Pre-seed")</f>
        <v>Pre-seed</v>
      </c>
      <c r="V832" s="6"/>
      <c r="W832" s="6" t="str">
        <f ca="1">IFERROR(__xludf.DUMMYFUNCTION("""COMPUTED_VALUE"""),"Invite Next Year")</f>
        <v>Invite Next Year</v>
      </c>
    </row>
    <row r="833" spans="1:23">
      <c r="A833" s="6" t="str">
        <f ca="1">IFERROR(__xludf.DUMMYFUNCTION("""COMPUTED_VALUE"""),"Man, Man")</f>
        <v>Man, Man</v>
      </c>
      <c r="B833" s="6" t="str">
        <f ca="1">IFERROR(__xludf.DUMMYFUNCTION("""COMPUTED_VALUE"""),"Aerobiosys Innovations Private Limited _2022")</f>
        <v>Aerobiosys Innovations Private Limited _2022</v>
      </c>
      <c r="C833" s="6" t="str">
        <f ca="1">IFERROR(__xludf.DUMMYFUNCTION("""COMPUTED_VALUE"""),"Digital Tech")</f>
        <v>Digital Tech</v>
      </c>
      <c r="D833" s="6" t="str">
        <f ca="1">IFERROR(__xludf.DUMMYFUNCTION("""COMPUTED_VALUE"""),"Hyderabad, Telangana 
India")</f>
        <v>Hyderabad, Telangana 
India</v>
      </c>
      <c r="E833" s="6" t="str">
        <f ca="1">IFERROR(__xludf.DUMMYFUNCTION("""COMPUTED_VALUE"""),"International - Asia")</f>
        <v>International - Asia</v>
      </c>
      <c r="F833" s="6" t="str">
        <f ca="1">IFERROR(__xludf.DUMMYFUNCTION("""COMPUTED_VALUE"""),"Man")</f>
        <v>Man</v>
      </c>
      <c r="G833" s="6" t="str">
        <f ca="1">IFERROR(__xludf.DUMMYFUNCTION("""COMPUTED_VALUE"""),"Man")</f>
        <v>Man</v>
      </c>
      <c r="H833" s="6"/>
      <c r="I833" s="6"/>
      <c r="J833" s="6"/>
      <c r="K833" s="6"/>
      <c r="L833" s="6" t="str">
        <f ca="1">IFERROR(__xludf.DUMMYFUNCTION("""COMPUTED_VALUE"""),"No")</f>
        <v>No</v>
      </c>
      <c r="M833" s="6"/>
      <c r="N833" s="6"/>
      <c r="O833" s="6" t="str">
        <f ca="1">IFERROR(__xludf.DUMMYFUNCTION("""COMPUTED_VALUE"""),"Search Engine")</f>
        <v>Search Engine</v>
      </c>
      <c r="P833" s="6"/>
      <c r="Q833" s="6" t="str">
        <f ca="1">IFERROR(__xludf.DUMMYFUNCTION("""COMPUTED_VALUE"""),"No")</f>
        <v>No</v>
      </c>
      <c r="R833" s="6">
        <f ca="1">IFERROR(__xludf.DUMMYFUNCTION("""COMPUTED_VALUE"""),2)</f>
        <v>2</v>
      </c>
      <c r="S833" s="6" t="str">
        <f ca="1">IFERROR(__xludf.DUMMYFUNCTION("""COMPUTED_VALUE"""),"Pre-seed")</f>
        <v>Pre-seed</v>
      </c>
      <c r="T833" s="6" t="str">
        <f ca="1">IFERROR(__xludf.DUMMYFUNCTION("""COMPUTED_VALUE"""),"Pre-seed")</f>
        <v>Pre-seed</v>
      </c>
      <c r="U833" s="6" t="str">
        <f ca="1">IFERROR(__xludf.DUMMYFUNCTION("""COMPUTED_VALUE"""),"Pre-seed")</f>
        <v>Pre-seed</v>
      </c>
      <c r="V833" s="6"/>
      <c r="W833" s="6" t="str">
        <f ca="1">IFERROR(__xludf.DUMMYFUNCTION("""COMPUTED_VALUE"""),"Invite Next Year")</f>
        <v>Invite Next Year</v>
      </c>
    </row>
    <row r="834" spans="1:23">
      <c r="A834" s="6" t="str">
        <f ca="1">IFERROR(__xludf.DUMMYFUNCTION("""COMPUTED_VALUE"""),"Woman, Woman")</f>
        <v>Woman, Woman</v>
      </c>
      <c r="B834" s="6" t="str">
        <f ca="1">IFERROR(__xludf.DUMMYFUNCTION("""COMPUTED_VALUE"""),"Finuprise _2022")</f>
        <v>Finuprise _2022</v>
      </c>
      <c r="C834" s="6" t="str">
        <f ca="1">IFERROR(__xludf.DUMMYFUNCTION("""COMPUTED_VALUE"""),"Digital Tech")</f>
        <v>Digital Tech</v>
      </c>
      <c r="D834" s="6" t="str">
        <f ca="1">IFERROR(__xludf.DUMMYFUNCTION("""COMPUTED_VALUE"""),"Copenhagen, hovedstaden 
Denmark")</f>
        <v>Copenhagen, hovedstaden 
Denmark</v>
      </c>
      <c r="E834" s="6" t="str">
        <f ca="1">IFERROR(__xludf.DUMMYFUNCTION("""COMPUTED_VALUE"""),"International - Europe")</f>
        <v>International - Europe</v>
      </c>
      <c r="F834" s="6" t="str">
        <f ca="1">IFERROR(__xludf.DUMMYFUNCTION("""COMPUTED_VALUE"""),"Woman")</f>
        <v>Woman</v>
      </c>
      <c r="G834" s="6" t="str">
        <f ca="1">IFERROR(__xludf.DUMMYFUNCTION("""COMPUTED_VALUE"""),"Woman")</f>
        <v>Woman</v>
      </c>
      <c r="H834" s="6"/>
      <c r="I834" s="6"/>
      <c r="J834" s="6"/>
      <c r="K834" s="6"/>
      <c r="L834" s="6" t="str">
        <f ca="1">IFERROR(__xludf.DUMMYFUNCTION("""COMPUTED_VALUE"""),"No")</f>
        <v>No</v>
      </c>
      <c r="M834" s="6"/>
      <c r="N834" s="6"/>
      <c r="O834" s="6" t="str">
        <f ca="1">IFERROR(__xludf.DUMMYFUNCTION("""COMPUTED_VALUE"""),"Email")</f>
        <v>Email</v>
      </c>
      <c r="P834" s="6"/>
      <c r="Q834" s="6" t="str">
        <f ca="1">IFERROR(__xludf.DUMMYFUNCTION("""COMPUTED_VALUE"""),"No")</f>
        <v>No</v>
      </c>
      <c r="R834" s="6">
        <f ca="1">IFERROR(__xludf.DUMMYFUNCTION("""COMPUTED_VALUE"""),2)</f>
        <v>2</v>
      </c>
      <c r="S834" s="6" t="str">
        <f ca="1">IFERROR(__xludf.DUMMYFUNCTION("""COMPUTED_VALUE"""),"Pre-seed")</f>
        <v>Pre-seed</v>
      </c>
      <c r="T834" s="6" t="str">
        <f ca="1">IFERROR(__xludf.DUMMYFUNCTION("""COMPUTED_VALUE"""),"Pre-seed")</f>
        <v>Pre-seed</v>
      </c>
      <c r="U834" s="6" t="str">
        <f ca="1">IFERROR(__xludf.DUMMYFUNCTION("""COMPUTED_VALUE"""),"Pre-seed")</f>
        <v>Pre-seed</v>
      </c>
      <c r="V834" s="6"/>
      <c r="W834" s="6" t="str">
        <f ca="1">IFERROR(__xludf.DUMMYFUNCTION("""COMPUTED_VALUE"""),"Invite Next Year")</f>
        <v>Invite Next Year</v>
      </c>
    </row>
    <row r="835" spans="1:23">
      <c r="A835" s="6" t="str">
        <f ca="1">IFERROR(__xludf.DUMMYFUNCTION("""COMPUTED_VALUE"""),"Man, Man")</f>
        <v>Man, Man</v>
      </c>
      <c r="B835" s="6" t="str">
        <f ca="1">IFERROR(__xludf.DUMMYFUNCTION("""COMPUTED_VALUE"""),"MatMaCorp _2022")</f>
        <v>MatMaCorp _2022</v>
      </c>
      <c r="C835" s="6" t="str">
        <f ca="1">IFERROR(__xludf.DUMMYFUNCTION("""COMPUTED_VALUE"""),"Life Sciences")</f>
        <v>Life Sciences</v>
      </c>
      <c r="D835" s="6" t="str">
        <f ca="1">IFERROR(__xludf.DUMMYFUNCTION("""COMPUTED_VALUE"""),"Lincoln, Nebraska 
United States")</f>
        <v>Lincoln, Nebraska 
United States</v>
      </c>
      <c r="E835" s="6" t="str">
        <f ca="1">IFERROR(__xludf.DUMMYFUNCTION("""COMPUTED_VALUE"""),"West")</f>
        <v>West</v>
      </c>
      <c r="F835" s="6" t="str">
        <f ca="1">IFERROR(__xludf.DUMMYFUNCTION("""COMPUTED_VALUE"""),"Man")</f>
        <v>Man</v>
      </c>
      <c r="G835" s="6" t="str">
        <f ca="1">IFERROR(__xludf.DUMMYFUNCTION("""COMPUTED_VALUE"""),"Man")</f>
        <v>Man</v>
      </c>
      <c r="H835" s="6"/>
      <c r="I835" s="6"/>
      <c r="J835" s="6"/>
      <c r="K835" s="6"/>
      <c r="L835" s="6" t="str">
        <f ca="1">IFERROR(__xludf.DUMMYFUNCTION("""COMPUTED_VALUE"""),"No")</f>
        <v>No</v>
      </c>
      <c r="M835" s="6"/>
      <c r="N835" s="6"/>
      <c r="O835" s="6" t="str">
        <f ca="1">IFERROR(__xludf.DUMMYFUNCTION("""COMPUTED_VALUE"""),"Email")</f>
        <v>Email</v>
      </c>
      <c r="P835" s="6"/>
      <c r="Q835" s="6" t="str">
        <f ca="1">IFERROR(__xludf.DUMMYFUNCTION("""COMPUTED_VALUE"""),"No")</f>
        <v>No</v>
      </c>
      <c r="R835" s="6">
        <f ca="1">IFERROR(__xludf.DUMMYFUNCTION("""COMPUTED_VALUE"""),2)</f>
        <v>2</v>
      </c>
      <c r="S835" s="6" t="str">
        <f ca="1">IFERROR(__xludf.DUMMYFUNCTION("""COMPUTED_VALUE"""),"None")</f>
        <v>None</v>
      </c>
      <c r="T835" s="6" t="str">
        <f ca="1">IFERROR(__xludf.DUMMYFUNCTION("""COMPUTED_VALUE"""),"None")</f>
        <v>None</v>
      </c>
      <c r="U835" s="6" t="str">
        <f ca="1">IFERROR(__xludf.DUMMYFUNCTION("""COMPUTED_VALUE"""),"None")</f>
        <v>None</v>
      </c>
      <c r="V835" s="6"/>
      <c r="W835" s="6" t="str">
        <f ca="1">IFERROR(__xludf.DUMMYFUNCTION("""COMPUTED_VALUE"""),"Invite Next Year")</f>
        <v>Invite Next Year</v>
      </c>
    </row>
    <row r="836" spans="1:23">
      <c r="A836" s="6" t="str">
        <f ca="1">IFERROR(__xludf.DUMMYFUNCTION("""COMPUTED_VALUE"""),"Woman, Woman")</f>
        <v>Woman, Woman</v>
      </c>
      <c r="B836" s="6" t="str">
        <f ca="1">IFERROR(__xludf.DUMMYFUNCTION("""COMPUTED_VALUE"""),"TrueToForm _2022")</f>
        <v>TrueToForm _2022</v>
      </c>
      <c r="C836" s="6" t="str">
        <f ca="1">IFERROR(__xludf.DUMMYFUNCTION("""COMPUTED_VALUE"""),"Digital Tech")</f>
        <v>Digital Tech</v>
      </c>
      <c r="D836" s="6" t="str">
        <f ca="1">IFERROR(__xludf.DUMMYFUNCTION("""COMPUTED_VALUE"""),"New York, New York 
United States")</f>
        <v>New York, New York 
United States</v>
      </c>
      <c r="E836" s="6" t="str">
        <f ca="1">IFERROR(__xludf.DUMMYFUNCTION("""COMPUTED_VALUE"""),"New York")</f>
        <v>New York</v>
      </c>
      <c r="F836" s="6" t="str">
        <f ca="1">IFERROR(__xludf.DUMMYFUNCTION("""COMPUTED_VALUE"""),"Woman")</f>
        <v>Woman</v>
      </c>
      <c r="G836" s="6" t="str">
        <f ca="1">IFERROR(__xludf.DUMMYFUNCTION("""COMPUTED_VALUE"""),"Woman")</f>
        <v>Woman</v>
      </c>
      <c r="H836" s="6"/>
      <c r="I836" s="6"/>
      <c r="J836" s="6"/>
      <c r="K836" s="6"/>
      <c r="L836" s="6" t="str">
        <f ca="1">IFERROR(__xludf.DUMMYFUNCTION("""COMPUTED_VALUE"""),"No")</f>
        <v>No</v>
      </c>
      <c r="M836" s="6"/>
      <c r="N836" s="6"/>
      <c r="O836" s="6" t="str">
        <f ca="1">IFERROR(__xludf.DUMMYFUNCTION("""COMPUTED_VALUE"""),"Email")</f>
        <v>Email</v>
      </c>
      <c r="P836" s="6"/>
      <c r="Q836" s="6" t="str">
        <f ca="1">IFERROR(__xludf.DUMMYFUNCTION("""COMPUTED_VALUE"""),"No")</f>
        <v>No</v>
      </c>
      <c r="R836" s="6">
        <f ca="1">IFERROR(__xludf.DUMMYFUNCTION("""COMPUTED_VALUE"""),2)</f>
        <v>2</v>
      </c>
      <c r="S836" s="6" t="str">
        <f ca="1">IFERROR(__xludf.DUMMYFUNCTION("""COMPUTED_VALUE"""),"Pre-seed")</f>
        <v>Pre-seed</v>
      </c>
      <c r="T836" s="6" t="str">
        <f ca="1">IFERROR(__xludf.DUMMYFUNCTION("""COMPUTED_VALUE"""),"Pre-seed")</f>
        <v>Pre-seed</v>
      </c>
      <c r="U836" s="6" t="str">
        <f ca="1">IFERROR(__xludf.DUMMYFUNCTION("""COMPUTED_VALUE"""),"Pre-seed")</f>
        <v>Pre-seed</v>
      </c>
      <c r="V836" s="6"/>
      <c r="W836" s="6" t="str">
        <f ca="1">IFERROR(__xludf.DUMMYFUNCTION("""COMPUTED_VALUE"""),"Invite Next Year")</f>
        <v>Invite Next Year</v>
      </c>
    </row>
    <row r="837" spans="1:23">
      <c r="A837" s="6" t="str">
        <f ca="1">IFERROR(__xludf.DUMMYFUNCTION("""COMPUTED_VALUE"""),"Woman, Man")</f>
        <v>Woman, Man</v>
      </c>
      <c r="B837" s="6" t="str">
        <f ca="1">IFERROR(__xludf.DUMMYFUNCTION("""COMPUTED_VALUE"""),"QualDev _2022")</f>
        <v>QualDev _2022</v>
      </c>
      <c r="C837" s="6" t="str">
        <f ca="1">IFERROR(__xludf.DUMMYFUNCTION("""COMPUTED_VALUE"""),"Digital Tech")</f>
        <v>Digital Tech</v>
      </c>
      <c r="D837" s="6" t="str">
        <f ca="1">IFERROR(__xludf.DUMMYFUNCTION("""COMPUTED_VALUE"""),"179B Old South Path, Melville, NY 
United States")</f>
        <v>179B Old South Path, Melville, NY 
United States</v>
      </c>
      <c r="E837" s="6" t="str">
        <f ca="1">IFERROR(__xludf.DUMMYFUNCTION("""COMPUTED_VALUE"""),"East Coast")</f>
        <v>East Coast</v>
      </c>
      <c r="F837" s="6" t="str">
        <f ca="1">IFERROR(__xludf.DUMMYFUNCTION("""COMPUTED_VALUE"""),"Woman")</f>
        <v>Woman</v>
      </c>
      <c r="G837" s="6" t="str">
        <f ca="1">IFERROR(__xludf.DUMMYFUNCTION("""COMPUTED_VALUE"""),"Man")</f>
        <v>Man</v>
      </c>
      <c r="H837" s="6"/>
      <c r="I837" s="6"/>
      <c r="J837" s="6"/>
      <c r="K837" s="6"/>
      <c r="L837" s="6" t="str">
        <f ca="1">IFERROR(__xludf.DUMMYFUNCTION("""COMPUTED_VALUE"""),"Yes")</f>
        <v>Yes</v>
      </c>
      <c r="M837" s="6" t="str">
        <f ca="1">IFERROR(__xludf.DUMMYFUNCTION("""COMPUTED_VALUE"""),"NYU Student")</f>
        <v>NYU Student</v>
      </c>
      <c r="N837" s="6"/>
      <c r="O837" s="6" t="str">
        <f ca="1">IFERROR(__xludf.DUMMYFUNCTION("""COMPUTED_VALUE"""),"NYU Newsletter")</f>
        <v>NYU Newsletter</v>
      </c>
      <c r="P837" s="6"/>
      <c r="Q837" s="6" t="str">
        <f ca="1">IFERROR(__xludf.DUMMYFUNCTION("""COMPUTED_VALUE"""),"No")</f>
        <v>No</v>
      </c>
      <c r="R837" s="6">
        <f ca="1">IFERROR(__xludf.DUMMYFUNCTION("""COMPUTED_VALUE"""),2)</f>
        <v>2</v>
      </c>
      <c r="S837" s="6" t="str">
        <f ca="1">IFERROR(__xludf.DUMMYFUNCTION("""COMPUTED_VALUE"""),"None")</f>
        <v>None</v>
      </c>
      <c r="T837" s="6" t="str">
        <f ca="1">IFERROR(__xludf.DUMMYFUNCTION("""COMPUTED_VALUE"""),"None")</f>
        <v>None</v>
      </c>
      <c r="U837" s="6" t="str">
        <f ca="1">IFERROR(__xludf.DUMMYFUNCTION("""COMPUTED_VALUE"""),"None")</f>
        <v>None</v>
      </c>
      <c r="V837" s="6"/>
      <c r="W837" s="6" t="str">
        <f ca="1">IFERROR(__xludf.DUMMYFUNCTION("""COMPUTED_VALUE"""),"Invite Next Year")</f>
        <v>Invite Next Year</v>
      </c>
    </row>
    <row r="838" spans="1:23">
      <c r="A838" s="6" t="str">
        <f ca="1">IFERROR(__xludf.DUMMYFUNCTION("""COMPUTED_VALUE"""),"Man, Man")</f>
        <v>Man, Man</v>
      </c>
      <c r="B838" s="6" t="str">
        <f ca="1">IFERROR(__xludf.DUMMYFUNCTION("""COMPUTED_VALUE"""),"OneDeal _2022")</f>
        <v>OneDeal _2022</v>
      </c>
      <c r="C838" s="6" t="str">
        <f ca="1">IFERROR(__xludf.DUMMYFUNCTION("""COMPUTED_VALUE"""),"Digital Tech")</f>
        <v>Digital Tech</v>
      </c>
      <c r="D838" s="6" t="str">
        <f ca="1">IFERROR(__xludf.DUMMYFUNCTION("""COMPUTED_VALUE"""),"Brooklyn, New York 
United States")</f>
        <v>Brooklyn, New York 
United States</v>
      </c>
      <c r="E838" s="6" t="str">
        <f ca="1">IFERROR(__xludf.DUMMYFUNCTION("""COMPUTED_VALUE"""),"New York")</f>
        <v>New York</v>
      </c>
      <c r="F838" s="6" t="str">
        <f ca="1">IFERROR(__xludf.DUMMYFUNCTION("""COMPUTED_VALUE"""),"Man")</f>
        <v>Man</v>
      </c>
      <c r="G838" s="6" t="str">
        <f ca="1">IFERROR(__xludf.DUMMYFUNCTION("""COMPUTED_VALUE"""),"Man")</f>
        <v>Man</v>
      </c>
      <c r="H838" s="6"/>
      <c r="I838" s="6"/>
      <c r="J838" s="6"/>
      <c r="K838" s="6"/>
      <c r="L838" s="6" t="str">
        <f ca="1">IFERROR(__xludf.DUMMYFUNCTION("""COMPUTED_VALUE"""),"No")</f>
        <v>No</v>
      </c>
      <c r="M838" s="6"/>
      <c r="N838" s="6"/>
      <c r="O838" s="6" t="str">
        <f ca="1">IFERROR(__xludf.DUMMYFUNCTION("""COMPUTED_VALUE"""),"LinkedIn")</f>
        <v>LinkedIn</v>
      </c>
      <c r="P838" s="6"/>
      <c r="Q838" s="6" t="str">
        <f ca="1">IFERROR(__xludf.DUMMYFUNCTION("""COMPUTED_VALUE"""),"No")</f>
        <v>No</v>
      </c>
      <c r="R838" s="6">
        <f ca="1">IFERROR(__xludf.DUMMYFUNCTION("""COMPUTED_VALUE"""),2)</f>
        <v>2</v>
      </c>
      <c r="S838" s="6" t="str">
        <f ca="1">IFERROR(__xludf.DUMMYFUNCTION("""COMPUTED_VALUE"""),"None")</f>
        <v>None</v>
      </c>
      <c r="T838" s="6" t="str">
        <f ca="1">IFERROR(__xludf.DUMMYFUNCTION("""COMPUTED_VALUE"""),"None")</f>
        <v>None</v>
      </c>
      <c r="U838" s="6" t="str">
        <f ca="1">IFERROR(__xludf.DUMMYFUNCTION("""COMPUTED_VALUE"""),"None")</f>
        <v>None</v>
      </c>
      <c r="V838" s="6"/>
      <c r="W838" s="6" t="str">
        <f ca="1">IFERROR(__xludf.DUMMYFUNCTION("""COMPUTED_VALUE"""),"Invite Next Year")</f>
        <v>Invite Next Year</v>
      </c>
    </row>
    <row r="839" spans="1:23">
      <c r="A839" s="6" t="str">
        <f ca="1">IFERROR(__xludf.DUMMYFUNCTION("""COMPUTED_VALUE"""),"Man, Man, Man, Man")</f>
        <v>Man, Man, Man, Man</v>
      </c>
      <c r="B839" s="6" t="str">
        <f ca="1">IFERROR(__xludf.DUMMYFUNCTION("""COMPUTED_VALUE"""),"Sheetgo _2022")</f>
        <v>Sheetgo _2022</v>
      </c>
      <c r="C839" s="6" t="str">
        <f ca="1">IFERROR(__xludf.DUMMYFUNCTION("""COMPUTED_VALUE"""),"Digital Tech")</f>
        <v>Digital Tech</v>
      </c>
      <c r="D839" s="6" t="str">
        <f ca="1">IFERROR(__xludf.DUMMYFUNCTION("""COMPUTED_VALUE"""),"Angels, Marina de Empresas, valencia 
Spain")</f>
        <v>Angels, Marina de Empresas, valencia 
Spain</v>
      </c>
      <c r="E839" s="6" t="str">
        <f ca="1">IFERROR(__xludf.DUMMYFUNCTION("""COMPUTED_VALUE"""),"International - Europe")</f>
        <v>International - Europe</v>
      </c>
      <c r="F839" s="6" t="str">
        <f ca="1">IFERROR(__xludf.DUMMYFUNCTION("""COMPUTED_VALUE"""),"Man")</f>
        <v>Man</v>
      </c>
      <c r="G839" s="6" t="str">
        <f ca="1">IFERROR(__xludf.DUMMYFUNCTION("""COMPUTED_VALUE"""),"Man")</f>
        <v>Man</v>
      </c>
      <c r="H839" s="6" t="str">
        <f ca="1">IFERROR(__xludf.DUMMYFUNCTION("""COMPUTED_VALUE"""),"Man")</f>
        <v>Man</v>
      </c>
      <c r="I839" s="6" t="str">
        <f ca="1">IFERROR(__xludf.DUMMYFUNCTION("""COMPUTED_VALUE"""),"Man")</f>
        <v>Man</v>
      </c>
      <c r="J839" s="6"/>
      <c r="K839" s="6"/>
      <c r="L839" s="6" t="str">
        <f ca="1">IFERROR(__xludf.DUMMYFUNCTION("""COMPUTED_VALUE"""),"--Please select--")</f>
        <v>--Please select--</v>
      </c>
      <c r="M839" s="6"/>
      <c r="N839" s="6"/>
      <c r="O839" s="6" t="str">
        <f ca="1">IFERROR(__xludf.DUMMYFUNCTION("""COMPUTED_VALUE"""),"Email")</f>
        <v>Email</v>
      </c>
      <c r="P839" s="6"/>
      <c r="Q839" s="6" t="str">
        <f ca="1">IFERROR(__xludf.DUMMYFUNCTION("""COMPUTED_VALUE"""),"No")</f>
        <v>No</v>
      </c>
      <c r="R839" s="6">
        <f ca="1">IFERROR(__xludf.DUMMYFUNCTION("""COMPUTED_VALUE"""),4)</f>
        <v>4</v>
      </c>
      <c r="S839" s="6" t="str">
        <f ca="1">IFERROR(__xludf.DUMMYFUNCTION("""COMPUTED_VALUE"""),"Pre-seed
Seed
Debt financing
Grants")</f>
        <v>Pre-seed
Seed
Debt financing
Grants</v>
      </c>
      <c r="T839" s="6" t="str">
        <f ca="1">IFERROR(__xludf.DUMMYFUNCTION("""COMPUTED_VALUE"""),"Pre-seed, Seed, Debt financing, Grants")</f>
        <v>Pre-seed, Seed, Debt financing, Grants</v>
      </c>
      <c r="U839" s="6" t="str">
        <f ca="1">IFERROR(__xludf.DUMMYFUNCTION("""COMPUTED_VALUE"""),"Pre-seed, Seed, Debt financing, Grants")</f>
        <v>Pre-seed, Seed, Debt financing, Grants</v>
      </c>
      <c r="V839" s="6"/>
      <c r="W839" s="6" t="str">
        <f ca="1">IFERROR(__xludf.DUMMYFUNCTION("""COMPUTED_VALUE"""),"Invite Next Year")</f>
        <v>Invite Next Year</v>
      </c>
    </row>
    <row r="840" spans="1:23">
      <c r="A840" s="6" t="str">
        <f ca="1">IFERROR(__xludf.DUMMYFUNCTION("""COMPUTED_VALUE"""),"Man, Woman, Woman")</f>
        <v>Man, Woman, Woman</v>
      </c>
      <c r="B840" s="6" t="str">
        <f ca="1">IFERROR(__xludf.DUMMYFUNCTION("""COMPUTED_VALUE"""),"Qlimate LLC _2022")</f>
        <v>Qlimate LLC _2022</v>
      </c>
      <c r="C840" s="6" t="str">
        <f ca="1">IFERROR(__xludf.DUMMYFUNCTION("""COMPUTED_VALUE"""),"Deep Tech")</f>
        <v>Deep Tech</v>
      </c>
      <c r="D840" s="6" t="str">
        <f ca="1">IFERROR(__xludf.DUMMYFUNCTION("""COMPUTED_VALUE"""),"700 Hansen Way Palo Alto CA 94304, California  
United States")</f>
        <v>700 Hansen Way Palo Alto CA 94304, California  
United States</v>
      </c>
      <c r="E840" s="6" t="str">
        <f ca="1">IFERROR(__xludf.DUMMYFUNCTION("""COMPUTED_VALUE"""),"West Coast")</f>
        <v>West Coast</v>
      </c>
      <c r="F840" s="6" t="str">
        <f ca="1">IFERROR(__xludf.DUMMYFUNCTION("""COMPUTED_VALUE"""),"Man")</f>
        <v>Man</v>
      </c>
      <c r="G840" s="6" t="str">
        <f ca="1">IFERROR(__xludf.DUMMYFUNCTION("""COMPUTED_VALUE"""),"Woman")</f>
        <v>Woman</v>
      </c>
      <c r="H840" s="6" t="str">
        <f ca="1">IFERROR(__xludf.DUMMYFUNCTION("""COMPUTED_VALUE"""),"Woman")</f>
        <v>Woman</v>
      </c>
      <c r="I840" s="6"/>
      <c r="J840" s="6"/>
      <c r="K840" s="6"/>
      <c r="L840" s="6" t="str">
        <f ca="1">IFERROR(__xludf.DUMMYFUNCTION("""COMPUTED_VALUE"""),"No")</f>
        <v>No</v>
      </c>
      <c r="M840" s="6"/>
      <c r="N840" s="6"/>
      <c r="O840" s="6" t="str">
        <f ca="1">IFERROR(__xludf.DUMMYFUNCTION("""COMPUTED_VALUE"""),"Referral")</f>
        <v>Referral</v>
      </c>
      <c r="P840" s="6"/>
      <c r="Q840" s="6" t="str">
        <f ca="1">IFERROR(__xludf.DUMMYFUNCTION("""COMPUTED_VALUE"""),"No")</f>
        <v>No</v>
      </c>
      <c r="R840" s="6">
        <f ca="1">IFERROR(__xludf.DUMMYFUNCTION("""COMPUTED_VALUE"""),3)</f>
        <v>3</v>
      </c>
      <c r="S840" s="6" t="str">
        <f ca="1">IFERROR(__xludf.DUMMYFUNCTION("""COMPUTED_VALUE"""),"Other: Parent company funding")</f>
        <v>Other: Parent company funding</v>
      </c>
      <c r="T840" s="6" t="str">
        <f ca="1">IFERROR(__xludf.DUMMYFUNCTION("""COMPUTED_VALUE"""),"Other: Parent company funding")</f>
        <v>Other: Parent company funding</v>
      </c>
      <c r="U840" s="6" t="str">
        <f ca="1">IFERROR(__xludf.DUMMYFUNCTION("""COMPUTED_VALUE"""),"Parent company funding")</f>
        <v>Parent company funding</v>
      </c>
      <c r="V840" s="6"/>
      <c r="W840" s="6" t="str">
        <f ca="1">IFERROR(__xludf.DUMMYFUNCTION("""COMPUTED_VALUE"""),"Invite Next Year")</f>
        <v>Invite Next Year</v>
      </c>
    </row>
    <row r="841" spans="1:23">
      <c r="A841" s="6" t="str">
        <f ca="1">IFERROR(__xludf.DUMMYFUNCTION("""COMPUTED_VALUE"""),"Man, Man, Woman")</f>
        <v>Man, Man, Woman</v>
      </c>
      <c r="B841" s="6" t="str">
        <f ca="1">IFERROR(__xludf.DUMMYFUNCTION("""COMPUTED_VALUE"""),"Rentastic _2022")</f>
        <v>Rentastic _2022</v>
      </c>
      <c r="C841" s="6" t="str">
        <f ca="1">IFERROR(__xludf.DUMMYFUNCTION("""COMPUTED_VALUE"""),"Digital Tech")</f>
        <v>Digital Tech</v>
      </c>
      <c r="D841" s="6" t="str">
        <f ca="1">IFERROR(__xludf.DUMMYFUNCTION("""COMPUTED_VALUE"""),"Calle Ribera, 1, 2nd floor, Valencia 
Spain")</f>
        <v>Calle Ribera, 1, 2nd floor, Valencia 
Spain</v>
      </c>
      <c r="E841" s="6" t="str">
        <f ca="1">IFERROR(__xludf.DUMMYFUNCTION("""COMPUTED_VALUE"""),"International - Europe")</f>
        <v>International - Europe</v>
      </c>
      <c r="F841" s="6" t="str">
        <f ca="1">IFERROR(__xludf.DUMMYFUNCTION("""COMPUTED_VALUE"""),"Man")</f>
        <v>Man</v>
      </c>
      <c r="G841" s="6" t="str">
        <f ca="1">IFERROR(__xludf.DUMMYFUNCTION("""COMPUTED_VALUE"""),"Man")</f>
        <v>Man</v>
      </c>
      <c r="H841" s="6" t="str">
        <f ca="1">IFERROR(__xludf.DUMMYFUNCTION("""COMPUTED_VALUE"""),"Woman")</f>
        <v>Woman</v>
      </c>
      <c r="I841" s="6"/>
      <c r="J841" s="6"/>
      <c r="K841" s="6"/>
      <c r="L841" s="6" t="str">
        <f ca="1">IFERROR(__xludf.DUMMYFUNCTION("""COMPUTED_VALUE"""),"No")</f>
        <v>No</v>
      </c>
      <c r="M841" s="6"/>
      <c r="N841" s="6"/>
      <c r="O841" s="6" t="str">
        <f ca="1">IFERROR(__xludf.DUMMYFUNCTION("""COMPUTED_VALUE"""),"Email")</f>
        <v>Email</v>
      </c>
      <c r="P841" s="6"/>
      <c r="Q841" s="6" t="str">
        <f ca="1">IFERROR(__xludf.DUMMYFUNCTION("""COMPUTED_VALUE"""),"No")</f>
        <v>No</v>
      </c>
      <c r="R841" s="6">
        <f ca="1">IFERROR(__xludf.DUMMYFUNCTION("""COMPUTED_VALUE"""),3)</f>
        <v>3</v>
      </c>
      <c r="S841" s="6" t="str">
        <f ca="1">IFERROR(__xludf.DUMMYFUNCTION("""COMPUTED_VALUE"""),"Pre-seed")</f>
        <v>Pre-seed</v>
      </c>
      <c r="T841" s="6" t="str">
        <f ca="1">IFERROR(__xludf.DUMMYFUNCTION("""COMPUTED_VALUE"""),"Pre-seed")</f>
        <v>Pre-seed</v>
      </c>
      <c r="U841" s="6" t="str">
        <f ca="1">IFERROR(__xludf.DUMMYFUNCTION("""COMPUTED_VALUE"""),"Pre-seed")</f>
        <v>Pre-seed</v>
      </c>
      <c r="V841" s="6"/>
      <c r="W841" s="6" t="str">
        <f ca="1">IFERROR(__xludf.DUMMYFUNCTION("""COMPUTED_VALUE"""),"Invite Next Year")</f>
        <v>Invite Next Year</v>
      </c>
    </row>
    <row r="842" spans="1:23">
      <c r="A842" s="6" t="str">
        <f ca="1">IFERROR(__xludf.DUMMYFUNCTION("""COMPUTED_VALUE"""),"Prefer not to respond, Woman, Man, Man")</f>
        <v>Prefer not to respond, Woman, Man, Man</v>
      </c>
      <c r="B842" s="6" t="str">
        <f ca="1">IFERROR(__xludf.DUMMYFUNCTION("""COMPUTED_VALUE"""),"Holloid _2022")</f>
        <v>Holloid _2022</v>
      </c>
      <c r="C842" s="6" t="str">
        <f ca="1">IFERROR(__xludf.DUMMYFUNCTION("""COMPUTED_VALUE"""),"Deep Tech")</f>
        <v>Deep Tech</v>
      </c>
      <c r="D842" s="6" t="str">
        <f ca="1">IFERROR(__xludf.DUMMYFUNCTION("""COMPUTED_VALUE"""),"Muthgasse 11/2/1, 1190 Vienna 
Austria")</f>
        <v>Muthgasse 11/2/1, 1190 Vienna 
Austria</v>
      </c>
      <c r="E842" s="6" t="str">
        <f ca="1">IFERROR(__xludf.DUMMYFUNCTION("""COMPUTED_VALUE"""),"International - Europe")</f>
        <v>International - Europe</v>
      </c>
      <c r="F842" s="6" t="str">
        <f ca="1">IFERROR(__xludf.DUMMYFUNCTION("""COMPUTED_VALUE"""),"Prefer not to respond")</f>
        <v>Prefer not to respond</v>
      </c>
      <c r="G842" s="6" t="str">
        <f ca="1">IFERROR(__xludf.DUMMYFUNCTION("""COMPUTED_VALUE"""),"Woman")</f>
        <v>Woman</v>
      </c>
      <c r="H842" s="6" t="str">
        <f ca="1">IFERROR(__xludf.DUMMYFUNCTION("""COMPUTED_VALUE"""),"Man")</f>
        <v>Man</v>
      </c>
      <c r="I842" s="6" t="str">
        <f ca="1">IFERROR(__xludf.DUMMYFUNCTION("""COMPUTED_VALUE"""),"Man")</f>
        <v>Man</v>
      </c>
      <c r="J842" s="6"/>
      <c r="K842" s="6"/>
      <c r="L842" s="6" t="str">
        <f ca="1">IFERROR(__xludf.DUMMYFUNCTION("""COMPUTED_VALUE"""),"No")</f>
        <v>No</v>
      </c>
      <c r="M842" s="6"/>
      <c r="N842" s="6"/>
      <c r="O842" s="6" t="str">
        <f ca="1">IFERROR(__xludf.DUMMYFUNCTION("""COMPUTED_VALUE"""),"Email")</f>
        <v>Email</v>
      </c>
      <c r="P842" s="6"/>
      <c r="Q842" s="6" t="str">
        <f ca="1">IFERROR(__xludf.DUMMYFUNCTION("""COMPUTED_VALUE"""),"No")</f>
        <v>No</v>
      </c>
      <c r="R842" s="6">
        <f ca="1">IFERROR(__xludf.DUMMYFUNCTION("""COMPUTED_VALUE"""),4)</f>
        <v>4</v>
      </c>
      <c r="S842" s="6" t="str">
        <f ca="1">IFERROR(__xludf.DUMMYFUNCTION("""COMPUTED_VALUE"""),"Grants")</f>
        <v>Grants</v>
      </c>
      <c r="T842" s="6" t="str">
        <f ca="1">IFERROR(__xludf.DUMMYFUNCTION("""COMPUTED_VALUE"""),"Grants")</f>
        <v>Grants</v>
      </c>
      <c r="U842" s="6" t="str">
        <f ca="1">IFERROR(__xludf.DUMMYFUNCTION("""COMPUTED_VALUE"""),"Grants")</f>
        <v>Grants</v>
      </c>
      <c r="V842" s="6"/>
      <c r="W842" s="6" t="str">
        <f ca="1">IFERROR(__xludf.DUMMYFUNCTION("""COMPUTED_VALUE"""),"Invite Next Year")</f>
        <v>Invite Next Year</v>
      </c>
    </row>
    <row r="843" spans="1:23">
      <c r="A843" s="6" t="str">
        <f ca="1">IFERROR(__xludf.DUMMYFUNCTION("""COMPUTED_VALUE"""),"Man, Man")</f>
        <v>Man, Man</v>
      </c>
      <c r="B843" s="6" t="str">
        <f ca="1">IFERROR(__xludf.DUMMYFUNCTION("""COMPUTED_VALUE"""),"DataVal Ventures _2022")</f>
        <v>DataVal Ventures _2022</v>
      </c>
      <c r="C843" s="6" t="str">
        <f ca="1">IFERROR(__xludf.DUMMYFUNCTION("""COMPUTED_VALUE"""),"Digital Tech")</f>
        <v>Digital Tech</v>
      </c>
      <c r="D843" s="6" t="str">
        <f ca="1">IFERROR(__xludf.DUMMYFUNCTION("""COMPUTED_VALUE"""),"370 Jay Street, 7th Floor, Brooklyn, New York 
United States")</f>
        <v>370 Jay Street, 7th Floor, Brooklyn, New York 
United States</v>
      </c>
      <c r="E843" s="6" t="str">
        <f ca="1">IFERROR(__xludf.DUMMYFUNCTION("""COMPUTED_VALUE"""),"New York")</f>
        <v>New York</v>
      </c>
      <c r="F843" s="6" t="str">
        <f ca="1">IFERROR(__xludf.DUMMYFUNCTION("""COMPUTED_VALUE"""),"Man")</f>
        <v>Man</v>
      </c>
      <c r="G843" s="6" t="str">
        <f ca="1">IFERROR(__xludf.DUMMYFUNCTION("""COMPUTED_VALUE"""),"Man")</f>
        <v>Man</v>
      </c>
      <c r="H843" s="6"/>
      <c r="I843" s="6"/>
      <c r="J843" s="6"/>
      <c r="K843" s="6"/>
      <c r="L843" s="6" t="str">
        <f ca="1">IFERROR(__xludf.DUMMYFUNCTION("""COMPUTED_VALUE"""),"No")</f>
        <v>No</v>
      </c>
      <c r="M843" s="6"/>
      <c r="N843" s="6"/>
      <c r="O843" s="6" t="str">
        <f ca="1">IFERROR(__xludf.DUMMYFUNCTION("""COMPUTED_VALUE"""),"Referral")</f>
        <v>Referral</v>
      </c>
      <c r="P843" s="6"/>
      <c r="Q843" s="6" t="str">
        <f ca="1">IFERROR(__xludf.DUMMYFUNCTION("""COMPUTED_VALUE"""),"No")</f>
        <v>No</v>
      </c>
      <c r="R843" s="6">
        <f ca="1">IFERROR(__xludf.DUMMYFUNCTION("""COMPUTED_VALUE"""),2)</f>
        <v>2</v>
      </c>
      <c r="S843" s="6" t="str">
        <f ca="1">IFERROR(__xludf.DUMMYFUNCTION("""COMPUTED_VALUE"""),"Other: Zero for this venture.  This is a pivot and a brand new entity.")</f>
        <v>Other: Zero for this venture.  This is a pivot and a brand new entity.</v>
      </c>
      <c r="T843" s="6" t="str">
        <f ca="1">IFERROR(__xludf.DUMMYFUNCTION("""COMPUTED_VALUE"""),"Other: Zero for this venture.  This is a pivot and a brand new entity.")</f>
        <v>Other: Zero for this venture.  This is a pivot and a brand new entity.</v>
      </c>
      <c r="U843" s="6" t="str">
        <f ca="1">IFERROR(__xludf.DUMMYFUNCTION("""COMPUTED_VALUE"""),"Zero for this venture.  This is a pivot and a brand new entity.")</f>
        <v>Zero for this venture.  This is a pivot and a brand new entity.</v>
      </c>
      <c r="V843" s="6"/>
      <c r="W843" s="6" t="str">
        <f ca="1">IFERROR(__xludf.DUMMYFUNCTION("""COMPUTED_VALUE"""),"Invite Next Year")</f>
        <v>Invite Next Year</v>
      </c>
    </row>
    <row r="844" spans="1:23">
      <c r="A844" s="6" t="str">
        <f ca="1">IFERROR(__xludf.DUMMYFUNCTION("""COMPUTED_VALUE"""),"Man")</f>
        <v>Man</v>
      </c>
      <c r="B844" s="6" t="str">
        <f ca="1">IFERROR(__xludf.DUMMYFUNCTION("""COMPUTED_VALUE"""),"YouVue _2022")</f>
        <v>YouVue _2022</v>
      </c>
      <c r="C844" s="6" t="str">
        <f ca="1">IFERROR(__xludf.DUMMYFUNCTION("""COMPUTED_VALUE"""),"Digital Tech")</f>
        <v>Digital Tech</v>
      </c>
      <c r="D844" s="6" t="str">
        <f ca="1">IFERROR(__xludf.DUMMYFUNCTION("""COMPUTED_VALUE"""),"San Francisco, CA 
United States")</f>
        <v>San Francisco, CA 
United States</v>
      </c>
      <c r="E844" s="6" t="str">
        <f ca="1">IFERROR(__xludf.DUMMYFUNCTION("""COMPUTED_VALUE"""),"West Coast")</f>
        <v>West Coast</v>
      </c>
      <c r="F844" s="6" t="str">
        <f ca="1">IFERROR(__xludf.DUMMYFUNCTION("""COMPUTED_VALUE"""),"Man")</f>
        <v>Man</v>
      </c>
      <c r="G844" s="6"/>
      <c r="H844" s="6"/>
      <c r="I844" s="6"/>
      <c r="J844" s="6"/>
      <c r="K844" s="6"/>
      <c r="L844" s="6" t="str">
        <f ca="1">IFERROR(__xludf.DUMMYFUNCTION("""COMPUTED_VALUE"""),"No")</f>
        <v>No</v>
      </c>
      <c r="M844" s="6"/>
      <c r="N844" s="6"/>
      <c r="O844" s="6" t="str">
        <f ca="1">IFERROR(__xludf.DUMMYFUNCTION("""COMPUTED_VALUE"""),"Email")</f>
        <v>Email</v>
      </c>
      <c r="P844" s="6"/>
      <c r="Q844" s="6" t="str">
        <f ca="1">IFERROR(__xludf.DUMMYFUNCTION("""COMPUTED_VALUE"""),"No")</f>
        <v>No</v>
      </c>
      <c r="R844" s="6">
        <f ca="1">IFERROR(__xludf.DUMMYFUNCTION("""COMPUTED_VALUE"""),1)</f>
        <v>1</v>
      </c>
      <c r="S844" s="6" t="str">
        <f ca="1">IFERROR(__xludf.DUMMYFUNCTION("""COMPUTED_VALUE"""),"None")</f>
        <v>None</v>
      </c>
      <c r="T844" s="6" t="str">
        <f ca="1">IFERROR(__xludf.DUMMYFUNCTION("""COMPUTED_VALUE"""),"None")</f>
        <v>None</v>
      </c>
      <c r="U844" s="6" t="str">
        <f ca="1">IFERROR(__xludf.DUMMYFUNCTION("""COMPUTED_VALUE"""),"None")</f>
        <v>None</v>
      </c>
      <c r="V844" s="6"/>
      <c r="W844" s="6" t="str">
        <f ca="1">IFERROR(__xludf.DUMMYFUNCTION("""COMPUTED_VALUE"""),"Invite Next Year")</f>
        <v>Invite Next Year</v>
      </c>
    </row>
    <row r="845" spans="1:23">
      <c r="A845" s="6" t="str">
        <f ca="1">IFERROR(__xludf.DUMMYFUNCTION("""COMPUTED_VALUE"""),"Man")</f>
        <v>Man</v>
      </c>
      <c r="B845" s="6" t="str">
        <f ca="1">IFERROR(__xludf.DUMMYFUNCTION("""COMPUTED_VALUE"""),"Dailyhuman _2022")</f>
        <v>Dailyhuman _2022</v>
      </c>
      <c r="C845" s="6" t="str">
        <f ca="1">IFERROR(__xludf.DUMMYFUNCTION("""COMPUTED_VALUE"""),"Digital Tech")</f>
        <v>Digital Tech</v>
      </c>
      <c r="D845" s="6" t="str">
        <f ca="1">IFERROR(__xludf.DUMMYFUNCTION("""COMPUTED_VALUE"""),"New York, NY 
United States")</f>
        <v>New York, NY 
United States</v>
      </c>
      <c r="E845" s="6" t="str">
        <f ca="1">IFERROR(__xludf.DUMMYFUNCTION("""COMPUTED_VALUE"""),"New York")</f>
        <v>New York</v>
      </c>
      <c r="F845" s="6" t="str">
        <f ca="1">IFERROR(__xludf.DUMMYFUNCTION("""COMPUTED_VALUE"""),"Man")</f>
        <v>Man</v>
      </c>
      <c r="G845" s="6"/>
      <c r="H845" s="6"/>
      <c r="I845" s="6"/>
      <c r="J845" s="6"/>
      <c r="K845" s="6"/>
      <c r="L845" s="6" t="str">
        <f ca="1">IFERROR(__xludf.DUMMYFUNCTION("""COMPUTED_VALUE"""),"--Please select--")</f>
        <v>--Please select--</v>
      </c>
      <c r="M845" s="6"/>
      <c r="N845" s="6"/>
      <c r="O845" s="6" t="str">
        <f ca="1">IFERROR(__xludf.DUMMYFUNCTION("""COMPUTED_VALUE"""),"Info Session")</f>
        <v>Info Session</v>
      </c>
      <c r="P845" s="6"/>
      <c r="Q845" s="6" t="str">
        <f ca="1">IFERROR(__xludf.DUMMYFUNCTION("""COMPUTED_VALUE"""),"No")</f>
        <v>No</v>
      </c>
      <c r="R845" s="6">
        <f ca="1">IFERROR(__xludf.DUMMYFUNCTION("""COMPUTED_VALUE"""),1)</f>
        <v>1</v>
      </c>
      <c r="S845" s="6" t="str">
        <f ca="1">IFERROR(__xludf.DUMMYFUNCTION("""COMPUTED_VALUE"""),"Pre-seed")</f>
        <v>Pre-seed</v>
      </c>
      <c r="T845" s="6" t="str">
        <f ca="1">IFERROR(__xludf.DUMMYFUNCTION("""COMPUTED_VALUE"""),"Pre-seed")</f>
        <v>Pre-seed</v>
      </c>
      <c r="U845" s="6" t="str">
        <f ca="1">IFERROR(__xludf.DUMMYFUNCTION("""COMPUTED_VALUE"""),"Pre-seed")</f>
        <v>Pre-seed</v>
      </c>
      <c r="V845" s="6"/>
      <c r="W845" s="6" t="str">
        <f ca="1">IFERROR(__xludf.DUMMYFUNCTION("""COMPUTED_VALUE"""),"Invite Next Year")</f>
        <v>Invite Next Year</v>
      </c>
    </row>
    <row r="846" spans="1:23">
      <c r="A846" s="6" t="str">
        <f ca="1">IFERROR(__xludf.DUMMYFUNCTION("""COMPUTED_VALUE"""),"Man, Man, Man")</f>
        <v>Man, Man, Man</v>
      </c>
      <c r="B846" s="6" t="str">
        <f ca="1">IFERROR(__xludf.DUMMYFUNCTION("""COMPUTED_VALUE"""),"Bidorium, LLC _2022")</f>
        <v>Bidorium, LLC _2022</v>
      </c>
      <c r="C846" s="6" t="str">
        <f ca="1">IFERROR(__xludf.DUMMYFUNCTION("""COMPUTED_VALUE"""),"Digital Tech")</f>
        <v>Digital Tech</v>
      </c>
      <c r="D846" s="6" t="str">
        <f ca="1">IFERROR(__xludf.DUMMYFUNCTION("""COMPUTED_VALUE"""),"Peachtree City, Georgia 
United States")</f>
        <v>Peachtree City, Georgia 
United States</v>
      </c>
      <c r="E846" s="6" t="str">
        <f ca="1">IFERROR(__xludf.DUMMYFUNCTION("""COMPUTED_VALUE"""),"East Coast")</f>
        <v>East Coast</v>
      </c>
      <c r="F846" s="6" t="str">
        <f ca="1">IFERROR(__xludf.DUMMYFUNCTION("""COMPUTED_VALUE"""),"Man")</f>
        <v>Man</v>
      </c>
      <c r="G846" s="6" t="str">
        <f ca="1">IFERROR(__xludf.DUMMYFUNCTION("""COMPUTED_VALUE"""),"Man")</f>
        <v>Man</v>
      </c>
      <c r="H846" s="6" t="str">
        <f ca="1">IFERROR(__xludf.DUMMYFUNCTION("""COMPUTED_VALUE"""),"Man")</f>
        <v>Man</v>
      </c>
      <c r="I846" s="6"/>
      <c r="J846" s="6"/>
      <c r="K846" s="6"/>
      <c r="L846" s="6" t="str">
        <f ca="1">IFERROR(__xludf.DUMMYFUNCTION("""COMPUTED_VALUE"""),"No")</f>
        <v>No</v>
      </c>
      <c r="M846" s="6"/>
      <c r="N846" s="6"/>
      <c r="O846" s="6" t="str">
        <f ca="1">IFERROR(__xludf.DUMMYFUNCTION("""COMPUTED_VALUE"""),"Email")</f>
        <v>Email</v>
      </c>
      <c r="P846" s="6"/>
      <c r="Q846" s="6" t="str">
        <f ca="1">IFERROR(__xludf.DUMMYFUNCTION("""COMPUTED_VALUE"""),"No")</f>
        <v>No</v>
      </c>
      <c r="R846" s="6">
        <f ca="1">IFERROR(__xludf.DUMMYFUNCTION("""COMPUTED_VALUE"""),3)</f>
        <v>3</v>
      </c>
      <c r="S846" s="6" t="str">
        <f ca="1">IFERROR(__xludf.DUMMYFUNCTION("""COMPUTED_VALUE"""),"Pre-seed")</f>
        <v>Pre-seed</v>
      </c>
      <c r="T846" s="6" t="str">
        <f ca="1">IFERROR(__xludf.DUMMYFUNCTION("""COMPUTED_VALUE"""),"Pre-seed")</f>
        <v>Pre-seed</v>
      </c>
      <c r="U846" s="6" t="str">
        <f ca="1">IFERROR(__xludf.DUMMYFUNCTION("""COMPUTED_VALUE"""),"Pre-seed")</f>
        <v>Pre-seed</v>
      </c>
      <c r="V846" s="6"/>
      <c r="W846" s="6" t="str">
        <f ca="1">IFERROR(__xludf.DUMMYFUNCTION("""COMPUTED_VALUE"""),"Invite Next Year")</f>
        <v>Invite Next Year</v>
      </c>
    </row>
    <row r="847" spans="1:23">
      <c r="A847" s="6" t="str">
        <f ca="1">IFERROR(__xludf.DUMMYFUNCTION("""COMPUTED_VALUE"""),"Man, Man, Man, Man")</f>
        <v>Man, Man, Man, Man</v>
      </c>
      <c r="B847" s="6" t="str">
        <f ca="1">IFERROR(__xludf.DUMMYFUNCTION("""COMPUTED_VALUE"""),"Above &amp; Beyond Studios, Inc. _2022")</f>
        <v>Above &amp; Beyond Studios, Inc. _2022</v>
      </c>
      <c r="C847" s="6" t="str">
        <f ca="1">IFERROR(__xludf.DUMMYFUNCTION("""COMPUTED_VALUE"""),"Digital Tech")</f>
        <v>Digital Tech</v>
      </c>
      <c r="D847" s="6" t="str">
        <f ca="1">IFERROR(__xludf.DUMMYFUNCTION("""COMPUTED_VALUE"""),"20 Glade Ave, Massachusetts 
United States")</f>
        <v>20 Glade Ave, Massachusetts 
United States</v>
      </c>
      <c r="E847" s="6" t="str">
        <f ca="1">IFERROR(__xludf.DUMMYFUNCTION("""COMPUTED_VALUE"""),"East Coast")</f>
        <v>East Coast</v>
      </c>
      <c r="F847" s="6" t="str">
        <f ca="1">IFERROR(__xludf.DUMMYFUNCTION("""COMPUTED_VALUE"""),"Man")</f>
        <v>Man</v>
      </c>
      <c r="G847" s="6" t="str">
        <f ca="1">IFERROR(__xludf.DUMMYFUNCTION("""COMPUTED_VALUE"""),"Man")</f>
        <v>Man</v>
      </c>
      <c r="H847" s="6" t="str">
        <f ca="1">IFERROR(__xludf.DUMMYFUNCTION("""COMPUTED_VALUE"""),"Man")</f>
        <v>Man</v>
      </c>
      <c r="I847" s="6" t="str">
        <f ca="1">IFERROR(__xludf.DUMMYFUNCTION("""COMPUTED_VALUE"""),"Man")</f>
        <v>Man</v>
      </c>
      <c r="J847" s="6"/>
      <c r="K847" s="6"/>
      <c r="L847" s="6" t="str">
        <f ca="1">IFERROR(__xludf.DUMMYFUNCTION("""COMPUTED_VALUE"""),"Yes")</f>
        <v>Yes</v>
      </c>
      <c r="M847" s="6" t="str">
        <f ca="1">IFERROR(__xludf.DUMMYFUNCTION("""COMPUTED_VALUE"""),"NYU Student")</f>
        <v>NYU Student</v>
      </c>
      <c r="N847" s="6"/>
      <c r="O847" s="6" t="str">
        <f ca="1">IFERROR(__xludf.DUMMYFUNCTION("""COMPUTED_VALUE"""),"Other")</f>
        <v>Other</v>
      </c>
      <c r="P847" s="6"/>
      <c r="Q847" s="6" t="str">
        <f ca="1">IFERROR(__xludf.DUMMYFUNCTION("""COMPUTED_VALUE"""),"No")</f>
        <v>No</v>
      </c>
      <c r="R847" s="6">
        <f ca="1">IFERROR(__xludf.DUMMYFUNCTION("""COMPUTED_VALUE"""),4)</f>
        <v>4</v>
      </c>
      <c r="S847" s="6" t="str">
        <f ca="1">IFERROR(__xludf.DUMMYFUNCTION("""COMPUTED_VALUE"""),"Other: Crowdfund")</f>
        <v>Other: Crowdfund</v>
      </c>
      <c r="T847" s="6" t="str">
        <f ca="1">IFERROR(__xludf.DUMMYFUNCTION("""COMPUTED_VALUE"""),"Other: Crowdfund")</f>
        <v>Other: Crowdfund</v>
      </c>
      <c r="U847" s="6" t="str">
        <f ca="1">IFERROR(__xludf.DUMMYFUNCTION("""COMPUTED_VALUE"""),"Crowdfund")</f>
        <v>Crowdfund</v>
      </c>
      <c r="V847" s="6"/>
      <c r="W847" s="6" t="str">
        <f ca="1">IFERROR(__xludf.DUMMYFUNCTION("""COMPUTED_VALUE"""),"Invite Next Year")</f>
        <v>Invite Next Year</v>
      </c>
    </row>
    <row r="848" spans="1:23">
      <c r="A848" s="6" t="str">
        <f ca="1">IFERROR(__xludf.DUMMYFUNCTION("""COMPUTED_VALUE"""),"Man")</f>
        <v>Man</v>
      </c>
      <c r="B848" s="6" t="str">
        <f ca="1">IFERROR(__xludf.DUMMYFUNCTION("""COMPUTED_VALUE"""),"ImmunoGel LLC _2022")</f>
        <v>ImmunoGel LLC _2022</v>
      </c>
      <c r="C848" s="6" t="str">
        <f ca="1">IFERROR(__xludf.DUMMYFUNCTION("""COMPUTED_VALUE"""),"Life Sciences")</f>
        <v>Life Sciences</v>
      </c>
      <c r="D848" s="6" t="str">
        <f ca="1">IFERROR(__xludf.DUMMYFUNCTION("""COMPUTED_VALUE"""),"Cambridge, MA 
United States")</f>
        <v>Cambridge, MA 
United States</v>
      </c>
      <c r="E848" s="6" t="str">
        <f ca="1">IFERROR(__xludf.DUMMYFUNCTION("""COMPUTED_VALUE"""),"East Coast")</f>
        <v>East Coast</v>
      </c>
      <c r="F848" s="6" t="str">
        <f ca="1">IFERROR(__xludf.DUMMYFUNCTION("""COMPUTED_VALUE"""),"Man")</f>
        <v>Man</v>
      </c>
      <c r="G848" s="6"/>
      <c r="H848" s="6"/>
      <c r="I848" s="6"/>
      <c r="J848" s="6"/>
      <c r="K848" s="6"/>
      <c r="L848" s="6" t="str">
        <f ca="1">IFERROR(__xludf.DUMMYFUNCTION("""COMPUTED_VALUE"""),"No")</f>
        <v>No</v>
      </c>
      <c r="M848" s="6"/>
      <c r="N848" s="6"/>
      <c r="O848" s="6" t="str">
        <f ca="1">IFERROR(__xludf.DUMMYFUNCTION("""COMPUTED_VALUE"""),"Referral")</f>
        <v>Referral</v>
      </c>
      <c r="P848" s="6"/>
      <c r="Q848" s="6" t="str">
        <f ca="1">IFERROR(__xludf.DUMMYFUNCTION("""COMPUTED_VALUE"""),"No")</f>
        <v>No</v>
      </c>
      <c r="R848" s="6">
        <f ca="1">IFERROR(__xludf.DUMMYFUNCTION("""COMPUTED_VALUE"""),1)</f>
        <v>1</v>
      </c>
      <c r="S848" s="6" t="str">
        <f ca="1">IFERROR(__xludf.DUMMYFUNCTION("""COMPUTED_VALUE"""),"Pre-seed")</f>
        <v>Pre-seed</v>
      </c>
      <c r="T848" s="6" t="str">
        <f ca="1">IFERROR(__xludf.DUMMYFUNCTION("""COMPUTED_VALUE"""),"Pre-seed")</f>
        <v>Pre-seed</v>
      </c>
      <c r="U848" s="6" t="str">
        <f ca="1">IFERROR(__xludf.DUMMYFUNCTION("""COMPUTED_VALUE"""),"Pre-seed")</f>
        <v>Pre-seed</v>
      </c>
      <c r="V848" s="6"/>
      <c r="W848" s="6" t="str">
        <f ca="1">IFERROR(__xludf.DUMMYFUNCTION("""COMPUTED_VALUE"""),"Invite")</f>
        <v>Invite</v>
      </c>
    </row>
    <row r="849" spans="1:23">
      <c r="A849" s="6" t="str">
        <f ca="1">IFERROR(__xludf.DUMMYFUNCTION("""COMPUTED_VALUE"""),"Non-binary, Man, Man")</f>
        <v>Non-binary, Man, Man</v>
      </c>
      <c r="B849" s="6" t="str">
        <f ca="1">IFERROR(__xludf.DUMMYFUNCTION("""COMPUTED_VALUE"""),"Neo Xenia Biotech _2022")</f>
        <v>Neo Xenia Biotech _2022</v>
      </c>
      <c r="C849" s="6" t="str">
        <f ca="1">IFERROR(__xludf.DUMMYFUNCTION("""COMPUTED_VALUE"""),"Life Sciences")</f>
        <v>Life Sciences</v>
      </c>
      <c r="D849" s="6" t="str">
        <f ca="1">IFERROR(__xludf.DUMMYFUNCTION("""COMPUTED_VALUE"""),"590 Eagle Ave, NY 
United States")</f>
        <v>590 Eagle Ave, NY 
United States</v>
      </c>
      <c r="E849" s="6" t="str">
        <f ca="1">IFERROR(__xludf.DUMMYFUNCTION("""COMPUTED_VALUE"""),"East Coast")</f>
        <v>East Coast</v>
      </c>
      <c r="F849" s="6" t="str">
        <f ca="1">IFERROR(__xludf.DUMMYFUNCTION("""COMPUTED_VALUE"""),"Non-binary")</f>
        <v>Non-binary</v>
      </c>
      <c r="G849" s="6" t="str">
        <f ca="1">IFERROR(__xludf.DUMMYFUNCTION("""COMPUTED_VALUE"""),"Man")</f>
        <v>Man</v>
      </c>
      <c r="H849" s="6" t="str">
        <f ca="1">IFERROR(__xludf.DUMMYFUNCTION("""COMPUTED_VALUE"""),"Man")</f>
        <v>Man</v>
      </c>
      <c r="I849" s="6"/>
      <c r="J849" s="6"/>
      <c r="K849" s="6"/>
      <c r="L849" s="6" t="str">
        <f ca="1">IFERROR(__xludf.DUMMYFUNCTION("""COMPUTED_VALUE"""),"Yes")</f>
        <v>Yes</v>
      </c>
      <c r="M849" s="6" t="str">
        <f ca="1">IFERROR(__xludf.DUMMYFUNCTION("""COMPUTED_VALUE"""),"NYU Fellow")</f>
        <v>NYU Fellow</v>
      </c>
      <c r="N849" s="6"/>
      <c r="O849" s="6" t="str">
        <f ca="1">IFERROR(__xludf.DUMMYFUNCTION("""COMPUTED_VALUE"""),"NYU Newsletter")</f>
        <v>NYU Newsletter</v>
      </c>
      <c r="P849" s="6"/>
      <c r="Q849" s="6" t="str">
        <f ca="1">IFERROR(__xludf.DUMMYFUNCTION("""COMPUTED_VALUE"""),"No")</f>
        <v>No</v>
      </c>
      <c r="R849" s="6">
        <f ca="1">IFERROR(__xludf.DUMMYFUNCTION("""COMPUTED_VALUE"""),3)</f>
        <v>3</v>
      </c>
      <c r="S849" s="6" t="str">
        <f ca="1">IFERROR(__xludf.DUMMYFUNCTION("""COMPUTED_VALUE"""),"None")</f>
        <v>None</v>
      </c>
      <c r="T849" s="6" t="str">
        <f ca="1">IFERROR(__xludf.DUMMYFUNCTION("""COMPUTED_VALUE"""),"None")</f>
        <v>None</v>
      </c>
      <c r="U849" s="6" t="str">
        <f ca="1">IFERROR(__xludf.DUMMYFUNCTION("""COMPUTED_VALUE"""),"None")</f>
        <v>None</v>
      </c>
      <c r="V849" s="6"/>
      <c r="W849" s="6" t="str">
        <f ca="1">IFERROR(__xludf.DUMMYFUNCTION("""COMPUTED_VALUE"""),"Invite Next Year")</f>
        <v>Invite Next Year</v>
      </c>
    </row>
    <row r="850" spans="1:23">
      <c r="A850" s="6" t="str">
        <f ca="1">IFERROR(__xludf.DUMMYFUNCTION("""COMPUTED_VALUE"""),"Man")</f>
        <v>Man</v>
      </c>
      <c r="B850" s="6" t="str">
        <f ca="1">IFERROR(__xludf.DUMMYFUNCTION("""COMPUTED_VALUE"""),"ReRent _2022")</f>
        <v>ReRent _2022</v>
      </c>
      <c r="C850" s="6" t="str">
        <f ca="1">IFERROR(__xludf.DUMMYFUNCTION("""COMPUTED_VALUE"""),"Digital Tech")</f>
        <v>Digital Tech</v>
      </c>
      <c r="D850" s="6" t="str">
        <f ca="1">IFERROR(__xludf.DUMMYFUNCTION("""COMPUTED_VALUE"""),"New Haven, CT 
United States")</f>
        <v>New Haven, CT 
United States</v>
      </c>
      <c r="E850" s="6" t="str">
        <f ca="1">IFERROR(__xludf.DUMMYFUNCTION("""COMPUTED_VALUE"""),"East Coast")</f>
        <v>East Coast</v>
      </c>
      <c r="F850" s="6" t="str">
        <f ca="1">IFERROR(__xludf.DUMMYFUNCTION("""COMPUTED_VALUE"""),"Man")</f>
        <v>Man</v>
      </c>
      <c r="G850" s="6"/>
      <c r="H850" s="6"/>
      <c r="I850" s="6"/>
      <c r="J850" s="6"/>
      <c r="K850" s="6"/>
      <c r="L850" s="6" t="str">
        <f ca="1">IFERROR(__xludf.DUMMYFUNCTION("""COMPUTED_VALUE"""),"--Please select--")</f>
        <v>--Please select--</v>
      </c>
      <c r="M850" s="6"/>
      <c r="N850" s="6"/>
      <c r="O850" s="6" t="str">
        <f ca="1">IFERROR(__xludf.DUMMYFUNCTION("""COMPUTED_VALUE"""),"Email")</f>
        <v>Email</v>
      </c>
      <c r="P850" s="6"/>
      <c r="Q850" s="6" t="str">
        <f ca="1">IFERROR(__xludf.DUMMYFUNCTION("""COMPUTED_VALUE"""),"No")</f>
        <v>No</v>
      </c>
      <c r="R850" s="6">
        <f ca="1">IFERROR(__xludf.DUMMYFUNCTION("""COMPUTED_VALUE"""),1)</f>
        <v>1</v>
      </c>
      <c r="S850" s="6" t="str">
        <f ca="1">IFERROR(__xludf.DUMMYFUNCTION("""COMPUTED_VALUE"""),"Pre-seed")</f>
        <v>Pre-seed</v>
      </c>
      <c r="T850" s="6" t="str">
        <f ca="1">IFERROR(__xludf.DUMMYFUNCTION("""COMPUTED_VALUE"""),"Pre-seed")</f>
        <v>Pre-seed</v>
      </c>
      <c r="U850" s="6" t="str">
        <f ca="1">IFERROR(__xludf.DUMMYFUNCTION("""COMPUTED_VALUE"""),"Pre-seed")</f>
        <v>Pre-seed</v>
      </c>
      <c r="V850" s="6"/>
      <c r="W850" s="6" t="str">
        <f ca="1">IFERROR(__xludf.DUMMYFUNCTION("""COMPUTED_VALUE"""),"Invite Next Year")</f>
        <v>Invite Next Year</v>
      </c>
    </row>
    <row r="851" spans="1:23">
      <c r="A851" s="6" t="str">
        <f ca="1">IFERROR(__xludf.DUMMYFUNCTION("""COMPUTED_VALUE"""),"Woman, Man, Man")</f>
        <v>Woman, Man, Man</v>
      </c>
      <c r="B851" s="6" t="str">
        <f ca="1">IFERROR(__xludf.DUMMYFUNCTION("""COMPUTED_VALUE"""),"Summations _2022")</f>
        <v>Summations _2022</v>
      </c>
      <c r="C851" s="6" t="str">
        <f ca="1">IFERROR(__xludf.DUMMYFUNCTION("""COMPUTED_VALUE"""),"Digital Tech")</f>
        <v>Digital Tech</v>
      </c>
      <c r="D851" s="6" t="str">
        <f ca="1">IFERROR(__xludf.DUMMYFUNCTION("""COMPUTED_VALUE"""),"615 - 111 Elizabeth Street, Toronto, ON, M5G 1P7, Ontario 
Canada")</f>
        <v>615 - 111 Elizabeth Street, Toronto, ON, M5G 1P7, Ontario 
Canada</v>
      </c>
      <c r="E851" s="6" t="str">
        <f ca="1">IFERROR(__xludf.DUMMYFUNCTION("""COMPUTED_VALUE"""),"International - Americas")</f>
        <v>International - Americas</v>
      </c>
      <c r="F851" s="6" t="str">
        <f ca="1">IFERROR(__xludf.DUMMYFUNCTION("""COMPUTED_VALUE"""),"Woman")</f>
        <v>Woman</v>
      </c>
      <c r="G851" s="6" t="str">
        <f ca="1">IFERROR(__xludf.DUMMYFUNCTION("""COMPUTED_VALUE"""),"Man")</f>
        <v>Man</v>
      </c>
      <c r="H851" s="6" t="str">
        <f ca="1">IFERROR(__xludf.DUMMYFUNCTION("""COMPUTED_VALUE"""),"Man")</f>
        <v>Man</v>
      </c>
      <c r="I851" s="6"/>
      <c r="J851" s="6"/>
      <c r="K851" s="6"/>
      <c r="L851" s="6" t="str">
        <f ca="1">IFERROR(__xludf.DUMMYFUNCTION("""COMPUTED_VALUE"""),"No")</f>
        <v>No</v>
      </c>
      <c r="M851" s="6"/>
      <c r="N851" s="6"/>
      <c r="O851" s="6" t="str">
        <f ca="1">IFERROR(__xludf.DUMMYFUNCTION("""COMPUTED_VALUE"""),"Email")</f>
        <v>Email</v>
      </c>
      <c r="P851" s="6"/>
      <c r="Q851" s="6" t="str">
        <f ca="1">IFERROR(__xludf.DUMMYFUNCTION("""COMPUTED_VALUE"""),"No")</f>
        <v>No</v>
      </c>
      <c r="R851" s="6">
        <f ca="1">IFERROR(__xludf.DUMMYFUNCTION("""COMPUTED_VALUE"""),3)</f>
        <v>3</v>
      </c>
      <c r="S851" s="6" t="str">
        <f ca="1">IFERROR(__xludf.DUMMYFUNCTION("""COMPUTED_VALUE"""),"Pre-seed")</f>
        <v>Pre-seed</v>
      </c>
      <c r="T851" s="6" t="str">
        <f ca="1">IFERROR(__xludf.DUMMYFUNCTION("""COMPUTED_VALUE"""),"Pre-seed")</f>
        <v>Pre-seed</v>
      </c>
      <c r="U851" s="6" t="str">
        <f ca="1">IFERROR(__xludf.DUMMYFUNCTION("""COMPUTED_VALUE"""),"Pre-seed")</f>
        <v>Pre-seed</v>
      </c>
      <c r="V851" s="6"/>
      <c r="W851" s="6" t="str">
        <f ca="1">IFERROR(__xludf.DUMMYFUNCTION("""COMPUTED_VALUE"""),"Invite Next Year")</f>
        <v>Invite Next Year</v>
      </c>
    </row>
    <row r="852" spans="1:23">
      <c r="A852" s="6" t="str">
        <f ca="1">IFERROR(__xludf.DUMMYFUNCTION("""COMPUTED_VALUE"""),"Woman, Man")</f>
        <v>Woman, Man</v>
      </c>
      <c r="B852" s="6" t="str">
        <f ca="1">IFERROR(__xludf.DUMMYFUNCTION("""COMPUTED_VALUE"""),"Oval NFT _2022")</f>
        <v>Oval NFT _2022</v>
      </c>
      <c r="C852" s="6" t="str">
        <f ca="1">IFERROR(__xludf.DUMMYFUNCTION("""COMPUTED_VALUE"""),"Digital Tech")</f>
        <v>Digital Tech</v>
      </c>
      <c r="D852" s="6" t="str">
        <f ca="1">IFERROR(__xludf.DUMMYFUNCTION("""COMPUTED_VALUE"""),"Karachi, Sindh 
Pakistan")</f>
        <v>Karachi, Sindh 
Pakistan</v>
      </c>
      <c r="E852" s="6" t="str">
        <f ca="1">IFERROR(__xludf.DUMMYFUNCTION("""COMPUTED_VALUE"""),"International - Asia")</f>
        <v>International - Asia</v>
      </c>
      <c r="F852" s="6" t="str">
        <f ca="1">IFERROR(__xludf.DUMMYFUNCTION("""COMPUTED_VALUE"""),"Woman")</f>
        <v>Woman</v>
      </c>
      <c r="G852" s="6" t="str">
        <f ca="1">IFERROR(__xludf.DUMMYFUNCTION("""COMPUTED_VALUE"""),"Man")</f>
        <v>Man</v>
      </c>
      <c r="H852" s="6"/>
      <c r="I852" s="6"/>
      <c r="J852" s="6"/>
      <c r="K852" s="6"/>
      <c r="L852" s="6" t="str">
        <f ca="1">IFERROR(__xludf.DUMMYFUNCTION("""COMPUTED_VALUE"""),"--Please select--")</f>
        <v>--Please select--</v>
      </c>
      <c r="M852" s="6"/>
      <c r="N852" s="6"/>
      <c r="O852" s="6" t="str">
        <f ca="1">IFERROR(__xludf.DUMMYFUNCTION("""COMPUTED_VALUE"""),"Email")</f>
        <v>Email</v>
      </c>
      <c r="P852" s="6"/>
      <c r="Q852" s="6" t="str">
        <f ca="1">IFERROR(__xludf.DUMMYFUNCTION("""COMPUTED_VALUE"""),"No")</f>
        <v>No</v>
      </c>
      <c r="R852" s="6">
        <f ca="1">IFERROR(__xludf.DUMMYFUNCTION("""COMPUTED_VALUE"""),2)</f>
        <v>2</v>
      </c>
      <c r="S852" s="6" t="str">
        <f ca="1">IFERROR(__xludf.DUMMYFUNCTION("""COMPUTED_VALUE"""),"None")</f>
        <v>None</v>
      </c>
      <c r="T852" s="6" t="str">
        <f ca="1">IFERROR(__xludf.DUMMYFUNCTION("""COMPUTED_VALUE"""),"None")</f>
        <v>None</v>
      </c>
      <c r="U852" s="6" t="str">
        <f ca="1">IFERROR(__xludf.DUMMYFUNCTION("""COMPUTED_VALUE"""),"None")</f>
        <v>None</v>
      </c>
      <c r="V852" s="6"/>
      <c r="W852" s="6" t="str">
        <f ca="1">IFERROR(__xludf.DUMMYFUNCTION("""COMPUTED_VALUE"""),"Invite Next Year")</f>
        <v>Invite Next Year</v>
      </c>
    </row>
    <row r="853" spans="1:23">
      <c r="A853" s="6" t="str">
        <f ca="1">IFERROR(__xludf.DUMMYFUNCTION("""COMPUTED_VALUE"""),"Man")</f>
        <v>Man</v>
      </c>
      <c r="B853" s="6" t="str">
        <f ca="1">IFERROR(__xludf.DUMMYFUNCTION("""COMPUTED_VALUE"""),"Ampli _2022")</f>
        <v>Ampli _2022</v>
      </c>
      <c r="C853" s="6" t="str">
        <f ca="1">IFERROR(__xludf.DUMMYFUNCTION("""COMPUTED_VALUE"""),"Life Sciences")</f>
        <v>Life Sciences</v>
      </c>
      <c r="D853" s="6" t="str">
        <f ca="1">IFERROR(__xludf.DUMMYFUNCTION("""COMPUTED_VALUE"""),"23 Drydock Ave,  Boston, MA 02210 
United States")</f>
        <v>23 Drydock Ave,  Boston, MA 02210 
United States</v>
      </c>
      <c r="E853" s="6" t="str">
        <f ca="1">IFERROR(__xludf.DUMMYFUNCTION("""COMPUTED_VALUE"""),"East Coast")</f>
        <v>East Coast</v>
      </c>
      <c r="F853" s="6" t="str">
        <f ca="1">IFERROR(__xludf.DUMMYFUNCTION("""COMPUTED_VALUE"""),"Man")</f>
        <v>Man</v>
      </c>
      <c r="G853" s="6"/>
      <c r="H853" s="6"/>
      <c r="I853" s="6"/>
      <c r="J853" s="6"/>
      <c r="K853" s="6"/>
      <c r="L853" s="6" t="str">
        <f ca="1">IFERROR(__xludf.DUMMYFUNCTION("""COMPUTED_VALUE"""),"No")</f>
        <v>No</v>
      </c>
      <c r="M853" s="6"/>
      <c r="N853" s="6"/>
      <c r="O853" s="6" t="str">
        <f ca="1">IFERROR(__xludf.DUMMYFUNCTION("""COMPUTED_VALUE"""),"Referral")</f>
        <v>Referral</v>
      </c>
      <c r="P853" s="6"/>
      <c r="Q853" s="6" t="str">
        <f ca="1">IFERROR(__xludf.DUMMYFUNCTION("""COMPUTED_VALUE"""),"No")</f>
        <v>No</v>
      </c>
      <c r="R853" s="6">
        <f ca="1">IFERROR(__xludf.DUMMYFUNCTION("""COMPUTED_VALUE"""),1)</f>
        <v>1</v>
      </c>
      <c r="S853" s="6" t="str">
        <f ca="1">IFERROR(__xludf.DUMMYFUNCTION("""COMPUTED_VALUE"""),"Grants
Other: Contracts")</f>
        <v>Grants
Other: Contracts</v>
      </c>
      <c r="T853" s="6" t="str">
        <f ca="1">IFERROR(__xludf.DUMMYFUNCTION("""COMPUTED_VALUE"""),"Grants, Other: Contracts")</f>
        <v>Grants, Other: Contracts</v>
      </c>
      <c r="U853" s="6" t="str">
        <f ca="1">IFERROR(__xludf.DUMMYFUNCTION("""COMPUTED_VALUE"""),"Grants, ")</f>
        <v xml:space="preserve">Grants, </v>
      </c>
      <c r="V853" s="6" t="str">
        <f ca="1">IFERROR(__xludf.DUMMYFUNCTION("""COMPUTED_VALUE"""),"Contracts")</f>
        <v>Contracts</v>
      </c>
      <c r="W853" s="6" t="str">
        <f ca="1">IFERROR(__xludf.DUMMYFUNCTION("""COMPUTED_VALUE"""),"Special Reject")</f>
        <v>Special Reject</v>
      </c>
    </row>
    <row r="854" spans="1:23">
      <c r="A854" s="6" t="str">
        <f ca="1">IFERROR(__xludf.DUMMYFUNCTION("""COMPUTED_VALUE"""),"Man, Man")</f>
        <v>Man, Man</v>
      </c>
      <c r="B854" s="6" t="str">
        <f ca="1">IFERROR(__xludf.DUMMYFUNCTION("""COMPUTED_VALUE"""),"Fairmint _2022")</f>
        <v>Fairmint _2022</v>
      </c>
      <c r="C854" s="6" t="str">
        <f ca="1">IFERROR(__xludf.DUMMYFUNCTION("""COMPUTED_VALUE"""),"Digital Tech")</f>
        <v>Digital Tech</v>
      </c>
      <c r="D854" s="6" t="str">
        <f ca="1">IFERROR(__xludf.DUMMYFUNCTION("""COMPUTED_VALUE"""),"22 East Maxwell Dr, Connecticut 
United States")</f>
        <v>22 East Maxwell Dr, Connecticut 
United States</v>
      </c>
      <c r="E854" s="6" t="str">
        <f ca="1">IFERROR(__xludf.DUMMYFUNCTION("""COMPUTED_VALUE"""),"East Coast")</f>
        <v>East Coast</v>
      </c>
      <c r="F854" s="6" t="str">
        <f ca="1">IFERROR(__xludf.DUMMYFUNCTION("""COMPUTED_VALUE"""),"Man")</f>
        <v>Man</v>
      </c>
      <c r="G854" s="6" t="str">
        <f ca="1">IFERROR(__xludf.DUMMYFUNCTION("""COMPUTED_VALUE"""),"Man")</f>
        <v>Man</v>
      </c>
      <c r="H854" s="6"/>
      <c r="I854" s="6"/>
      <c r="J854" s="6"/>
      <c r="K854" s="6"/>
      <c r="L854" s="6" t="str">
        <f ca="1">IFERROR(__xludf.DUMMYFUNCTION("""COMPUTED_VALUE"""),"No")</f>
        <v>No</v>
      </c>
      <c r="M854" s="6"/>
      <c r="N854" s="6"/>
      <c r="O854" s="6" t="str">
        <f ca="1">IFERROR(__xludf.DUMMYFUNCTION("""COMPUTED_VALUE"""),"Email")</f>
        <v>Email</v>
      </c>
      <c r="P854" s="6"/>
      <c r="Q854" s="6" t="str">
        <f ca="1">IFERROR(__xludf.DUMMYFUNCTION("""COMPUTED_VALUE"""),"No")</f>
        <v>No</v>
      </c>
      <c r="R854" s="6">
        <f ca="1">IFERROR(__xludf.DUMMYFUNCTION("""COMPUTED_VALUE"""),2)</f>
        <v>2</v>
      </c>
      <c r="S854" s="6" t="str">
        <f ca="1">IFERROR(__xludf.DUMMYFUNCTION("""COMPUTED_VALUE"""),"Pre-seed
Seed")</f>
        <v>Pre-seed
Seed</v>
      </c>
      <c r="T854" s="6" t="str">
        <f ca="1">IFERROR(__xludf.DUMMYFUNCTION("""COMPUTED_VALUE"""),"Pre-seed, Seed")</f>
        <v>Pre-seed, Seed</v>
      </c>
      <c r="U854" s="6" t="str">
        <f ca="1">IFERROR(__xludf.DUMMYFUNCTION("""COMPUTED_VALUE"""),"Pre-seed, Seed")</f>
        <v>Pre-seed, Seed</v>
      </c>
      <c r="V854" s="6"/>
      <c r="W854" s="6" t="str">
        <f ca="1">IFERROR(__xludf.DUMMYFUNCTION("""COMPUTED_VALUE"""),"Invite")</f>
        <v>Invite</v>
      </c>
    </row>
    <row r="855" spans="1:23">
      <c r="A855" s="6" t="str">
        <f ca="1">IFERROR(__xludf.DUMMYFUNCTION("""COMPUTED_VALUE"""),"Man, Man, Woman")</f>
        <v>Man, Man, Woman</v>
      </c>
      <c r="B855" s="6" t="str">
        <f ca="1">IFERROR(__xludf.DUMMYFUNCTION("""COMPUTED_VALUE"""),"bluShift Aerospace _2022")</f>
        <v>bluShift Aerospace _2022</v>
      </c>
      <c r="C855" s="6" t="str">
        <f ca="1">IFERROR(__xludf.DUMMYFUNCTION("""COMPUTED_VALUE"""),"Deep Tech")</f>
        <v>Deep Tech</v>
      </c>
      <c r="D855" s="6" t="str">
        <f ca="1">IFERROR(__xludf.DUMMYFUNCTION("""COMPUTED_VALUE"""),"Brunswick, Maine 
United States")</f>
        <v>Brunswick, Maine 
United States</v>
      </c>
      <c r="E855" s="6" t="str">
        <f ca="1">IFERROR(__xludf.DUMMYFUNCTION("""COMPUTED_VALUE"""),"East Coast")</f>
        <v>East Coast</v>
      </c>
      <c r="F855" s="6" t="str">
        <f ca="1">IFERROR(__xludf.DUMMYFUNCTION("""COMPUTED_VALUE"""),"Man")</f>
        <v>Man</v>
      </c>
      <c r="G855" s="6" t="str">
        <f ca="1">IFERROR(__xludf.DUMMYFUNCTION("""COMPUTED_VALUE"""),"Man")</f>
        <v>Man</v>
      </c>
      <c r="H855" s="6" t="str">
        <f ca="1">IFERROR(__xludf.DUMMYFUNCTION("""COMPUTED_VALUE"""),"Woman")</f>
        <v>Woman</v>
      </c>
      <c r="I855" s="6"/>
      <c r="J855" s="6"/>
      <c r="K855" s="6"/>
      <c r="L855" s="6" t="str">
        <f ca="1">IFERROR(__xludf.DUMMYFUNCTION("""COMPUTED_VALUE"""),"No")</f>
        <v>No</v>
      </c>
      <c r="M855" s="6"/>
      <c r="N855" s="6"/>
      <c r="O855" s="6" t="str">
        <f ca="1">IFERROR(__xludf.DUMMYFUNCTION("""COMPUTED_VALUE"""),"Conference")</f>
        <v>Conference</v>
      </c>
      <c r="P855" s="6"/>
      <c r="Q855" s="6" t="str">
        <f ca="1">IFERROR(__xludf.DUMMYFUNCTION("""COMPUTED_VALUE"""),"No")</f>
        <v>No</v>
      </c>
      <c r="R855" s="6">
        <f ca="1">IFERROR(__xludf.DUMMYFUNCTION("""COMPUTED_VALUE"""),3)</f>
        <v>3</v>
      </c>
      <c r="S855" s="6" t="str">
        <f ca="1">IFERROR(__xludf.DUMMYFUNCTION("""COMPUTED_VALUE"""),"Pre-seed")</f>
        <v>Pre-seed</v>
      </c>
      <c r="T855" s="6" t="str">
        <f ca="1">IFERROR(__xludf.DUMMYFUNCTION("""COMPUTED_VALUE"""),"Pre-seed")</f>
        <v>Pre-seed</v>
      </c>
      <c r="U855" s="6" t="str">
        <f ca="1">IFERROR(__xludf.DUMMYFUNCTION("""COMPUTED_VALUE"""),"Pre-seed")</f>
        <v>Pre-seed</v>
      </c>
      <c r="V855" s="6"/>
      <c r="W855" s="6" t="str">
        <f ca="1">IFERROR(__xludf.DUMMYFUNCTION("""COMPUTED_VALUE"""),"Invite Next Year")</f>
        <v>Invite Next Year</v>
      </c>
    </row>
    <row r="856" spans="1:23">
      <c r="A856" s="6" t="str">
        <f ca="1">IFERROR(__xludf.DUMMYFUNCTION("""COMPUTED_VALUE"""),"Woman")</f>
        <v>Woman</v>
      </c>
      <c r="B856" s="6" t="str">
        <f ca="1">IFERROR(__xludf.DUMMYFUNCTION("""COMPUTED_VALUE"""),"Fun Guy Project _2022")</f>
        <v>Fun Guy Project _2022</v>
      </c>
      <c r="C856" s="6" t="str">
        <f ca="1">IFERROR(__xludf.DUMMYFUNCTION("""COMPUTED_VALUE"""),"Life Sciences")</f>
        <v>Life Sciences</v>
      </c>
      <c r="D856" s="6" t="str">
        <f ca="1">IFERROR(__xludf.DUMMYFUNCTION("""COMPUTED_VALUE"""),"New York City, New York 
United States")</f>
        <v>New York City, New York 
United States</v>
      </c>
      <c r="E856" s="6" t="str">
        <f ca="1">IFERROR(__xludf.DUMMYFUNCTION("""COMPUTED_VALUE"""),"New York")</f>
        <v>New York</v>
      </c>
      <c r="F856" s="6" t="str">
        <f ca="1">IFERROR(__xludf.DUMMYFUNCTION("""COMPUTED_VALUE"""),"Woman")</f>
        <v>Woman</v>
      </c>
      <c r="G856" s="6"/>
      <c r="H856" s="6"/>
      <c r="I856" s="6"/>
      <c r="J856" s="6"/>
      <c r="K856" s="6"/>
      <c r="L856" s="6" t="str">
        <f ca="1">IFERROR(__xludf.DUMMYFUNCTION("""COMPUTED_VALUE"""),"Yes")</f>
        <v>Yes</v>
      </c>
      <c r="M856" s="6" t="str">
        <f ca="1">IFERROR(__xludf.DUMMYFUNCTION("""COMPUTED_VALUE"""),"NYU Student")</f>
        <v>NYU Student</v>
      </c>
      <c r="N856" s="6"/>
      <c r="O856" s="6" t="str">
        <f ca="1">IFERROR(__xludf.DUMMYFUNCTION("""COMPUTED_VALUE"""),"NYU Newsletter")</f>
        <v>NYU Newsletter</v>
      </c>
      <c r="P856" s="6"/>
      <c r="Q856" s="6" t="str">
        <f ca="1">IFERROR(__xludf.DUMMYFUNCTION("""COMPUTED_VALUE"""),"No")</f>
        <v>No</v>
      </c>
      <c r="R856" s="6">
        <f ca="1">IFERROR(__xludf.DUMMYFUNCTION("""COMPUTED_VALUE"""),1)</f>
        <v>1</v>
      </c>
      <c r="S856" s="6" t="str">
        <f ca="1">IFERROR(__xludf.DUMMYFUNCTION("""COMPUTED_VALUE"""),"Other: NYU Prototyping Fund")</f>
        <v>Other: NYU Prototyping Fund</v>
      </c>
      <c r="T856" s="6" t="str">
        <f ca="1">IFERROR(__xludf.DUMMYFUNCTION("""COMPUTED_VALUE"""),"Other: NYU Prototyping Fund")</f>
        <v>Other: NYU Prototyping Fund</v>
      </c>
      <c r="U856" s="6" t="str">
        <f ca="1">IFERROR(__xludf.DUMMYFUNCTION("""COMPUTED_VALUE"""),"NYU Prototyping Fund")</f>
        <v>NYU Prototyping Fund</v>
      </c>
      <c r="V856" s="6"/>
      <c r="W856" s="6" t="str">
        <f ca="1">IFERROR(__xludf.DUMMYFUNCTION("""COMPUTED_VALUE"""),"Invite Next Year")</f>
        <v>Invite Next Year</v>
      </c>
    </row>
    <row r="857" spans="1:23">
      <c r="A857" s="6" t="str">
        <f ca="1">IFERROR(__xludf.DUMMYFUNCTION("""COMPUTED_VALUE"""),"Man, Man")</f>
        <v>Man, Man</v>
      </c>
      <c r="B857" s="6" t="str">
        <f ca="1">IFERROR(__xludf.DUMMYFUNCTION("""COMPUTED_VALUE"""),"Sayenza Biosciences _2022")</f>
        <v>Sayenza Biosciences _2022</v>
      </c>
      <c r="C857" s="6" t="str">
        <f ca="1">IFERROR(__xludf.DUMMYFUNCTION("""COMPUTED_VALUE"""),"Life Sciences")</f>
        <v>Life Sciences</v>
      </c>
      <c r="D857" s="6" t="str">
        <f ca="1">IFERROR(__xludf.DUMMYFUNCTION("""COMPUTED_VALUE"""),"Orange, CA 
United States")</f>
        <v>Orange, CA 
United States</v>
      </c>
      <c r="E857" s="6" t="str">
        <f ca="1">IFERROR(__xludf.DUMMYFUNCTION("""COMPUTED_VALUE"""),"West Coast")</f>
        <v>West Coast</v>
      </c>
      <c r="F857" s="6" t="str">
        <f ca="1">IFERROR(__xludf.DUMMYFUNCTION("""COMPUTED_VALUE"""),"Man")</f>
        <v>Man</v>
      </c>
      <c r="G857" s="6" t="str">
        <f ca="1">IFERROR(__xludf.DUMMYFUNCTION("""COMPUTED_VALUE"""),"Man")</f>
        <v>Man</v>
      </c>
      <c r="H857" s="6"/>
      <c r="I857" s="6"/>
      <c r="J857" s="6"/>
      <c r="K857" s="6"/>
      <c r="L857" s="6" t="str">
        <f ca="1">IFERROR(__xludf.DUMMYFUNCTION("""COMPUTED_VALUE"""),"--Please select--")</f>
        <v>--Please select--</v>
      </c>
      <c r="M857" s="6"/>
      <c r="N857" s="6"/>
      <c r="O857" s="6" t="str">
        <f ca="1">IFERROR(__xludf.DUMMYFUNCTION("""COMPUTED_VALUE"""),"Email")</f>
        <v>Email</v>
      </c>
      <c r="P857" s="6"/>
      <c r="Q857" s="6" t="str">
        <f ca="1">IFERROR(__xludf.DUMMYFUNCTION("""COMPUTED_VALUE"""),"No")</f>
        <v>No</v>
      </c>
      <c r="R857" s="6">
        <f ca="1">IFERROR(__xludf.DUMMYFUNCTION("""COMPUTED_VALUE"""),2)</f>
        <v>2</v>
      </c>
      <c r="S857" s="6" t="str">
        <f ca="1">IFERROR(__xludf.DUMMYFUNCTION("""COMPUTED_VALUE"""),"Grants
Other: startup competitions")</f>
        <v>Grants
Other: startup competitions</v>
      </c>
      <c r="T857" s="6" t="str">
        <f ca="1">IFERROR(__xludf.DUMMYFUNCTION("""COMPUTED_VALUE"""),"Grants, Other: startup competitions")</f>
        <v>Grants, Other: startup competitions</v>
      </c>
      <c r="U857" s="6" t="str">
        <f ca="1">IFERROR(__xludf.DUMMYFUNCTION("""COMPUTED_VALUE"""),"Grants, ")</f>
        <v xml:space="preserve">Grants, </v>
      </c>
      <c r="V857" s="6" t="str">
        <f ca="1">IFERROR(__xludf.DUMMYFUNCTION("""COMPUTED_VALUE"""),"startup competitions")</f>
        <v>startup competitions</v>
      </c>
      <c r="W857" s="6" t="str">
        <f ca="1">IFERROR(__xludf.DUMMYFUNCTION("""COMPUTED_VALUE"""),"Revisit")</f>
        <v>Revisit</v>
      </c>
    </row>
    <row r="858" spans="1:23">
      <c r="A858" s="6" t="str">
        <f ca="1">IFERROR(__xludf.DUMMYFUNCTION("""COMPUTED_VALUE"""),"Man")</f>
        <v>Man</v>
      </c>
      <c r="B858" s="6" t="str">
        <f ca="1">IFERROR(__xludf.DUMMYFUNCTION("""COMPUTED_VALUE"""),"XGenomes Corp. _2022")</f>
        <v>XGenomes Corp. _2022</v>
      </c>
      <c r="C858" s="6" t="str">
        <f ca="1">IFERROR(__xludf.DUMMYFUNCTION("""COMPUTED_VALUE"""),"Life Sciences")</f>
        <v>Life Sciences</v>
      </c>
      <c r="D858" s="6" t="str">
        <f ca="1">IFERROR(__xludf.DUMMYFUNCTION("""COMPUTED_VALUE"""),"The Engine, 501 Massachusetts Ave, Cambridge, MA 02139, MA 
United States")</f>
        <v>The Engine, 501 Massachusetts Ave, Cambridge, MA 02139, MA 
United States</v>
      </c>
      <c r="E858" s="6" t="str">
        <f ca="1">IFERROR(__xludf.DUMMYFUNCTION("""COMPUTED_VALUE"""),"East Coast")</f>
        <v>East Coast</v>
      </c>
      <c r="F858" s="6" t="str">
        <f ca="1">IFERROR(__xludf.DUMMYFUNCTION("""COMPUTED_VALUE"""),"Man")</f>
        <v>Man</v>
      </c>
      <c r="G858" s="6"/>
      <c r="H858" s="6"/>
      <c r="I858" s="6"/>
      <c r="J858" s="6"/>
      <c r="K858" s="6"/>
      <c r="L858" s="6" t="str">
        <f ca="1">IFERROR(__xludf.DUMMYFUNCTION("""COMPUTED_VALUE"""),"No")</f>
        <v>No</v>
      </c>
      <c r="M858" s="6"/>
      <c r="N858" s="6"/>
      <c r="O858" s="6" t="str">
        <f ca="1">IFERROR(__xludf.DUMMYFUNCTION("""COMPUTED_VALUE"""),"Other")</f>
        <v>Other</v>
      </c>
      <c r="P858" s="6"/>
      <c r="Q858" s="6" t="str">
        <f ca="1">IFERROR(__xludf.DUMMYFUNCTION("""COMPUTED_VALUE"""),"No")</f>
        <v>No</v>
      </c>
      <c r="R858" s="6">
        <f ca="1">IFERROR(__xludf.DUMMYFUNCTION("""COMPUTED_VALUE"""),1)</f>
        <v>1</v>
      </c>
      <c r="S858" s="6" t="str">
        <f ca="1">IFERROR(__xludf.DUMMYFUNCTION("""COMPUTED_VALUE"""),"Seed
Debt financing
Grants")</f>
        <v>Seed
Debt financing
Grants</v>
      </c>
      <c r="T858" s="6" t="str">
        <f ca="1">IFERROR(__xludf.DUMMYFUNCTION("""COMPUTED_VALUE"""),"Seed, Debt financing, Grants")</f>
        <v>Seed, Debt financing, Grants</v>
      </c>
      <c r="U858" s="6" t="str">
        <f ca="1">IFERROR(__xludf.DUMMYFUNCTION("""COMPUTED_VALUE"""),"Seed, Debt financing, Grants")</f>
        <v>Seed, Debt financing, Grants</v>
      </c>
      <c r="V858" s="6"/>
      <c r="W858" s="6" t="str">
        <f ca="1">IFERROR(__xludf.DUMMYFUNCTION("""COMPUTED_VALUE"""),"Invite")</f>
        <v>Invite</v>
      </c>
    </row>
    <row r="859" spans="1:23">
      <c r="A859" s="6" t="str">
        <f ca="1">IFERROR(__xludf.DUMMYFUNCTION("""COMPUTED_VALUE"""),"Woman, Woman, Woman")</f>
        <v>Woman, Woman, Woman</v>
      </c>
      <c r="B859" s="6" t="str">
        <f ca="1">IFERROR(__xludf.DUMMYFUNCTION("""COMPUTED_VALUE"""),"Assistive Descriptive Accessible Platforms products and Technologies Inc. (A.D.A.P.T.) _2022")</f>
        <v>Assistive Descriptive Accessible Platforms products and Technologies Inc. (A.D.A.P.T.) _2022</v>
      </c>
      <c r="C859" s="6" t="str">
        <f ca="1">IFERROR(__xludf.DUMMYFUNCTION("""COMPUTED_VALUE"""),"Digital Tech")</f>
        <v>Digital Tech</v>
      </c>
      <c r="D859" s="6" t="str">
        <f ca="1">IFERROR(__xludf.DUMMYFUNCTION("""COMPUTED_VALUE"""),"Bronx, NY 
United States")</f>
        <v>Bronx, NY 
United States</v>
      </c>
      <c r="E859" s="6" t="str">
        <f ca="1">IFERROR(__xludf.DUMMYFUNCTION("""COMPUTED_VALUE"""),"New York")</f>
        <v>New York</v>
      </c>
      <c r="F859" s="6" t="str">
        <f ca="1">IFERROR(__xludf.DUMMYFUNCTION("""COMPUTED_VALUE"""),"Woman")</f>
        <v>Woman</v>
      </c>
      <c r="G859" s="6" t="str">
        <f ca="1">IFERROR(__xludf.DUMMYFUNCTION("""COMPUTED_VALUE"""),"Woman")</f>
        <v>Woman</v>
      </c>
      <c r="H859" s="6" t="str">
        <f ca="1">IFERROR(__xludf.DUMMYFUNCTION("""COMPUTED_VALUE"""),"Woman")</f>
        <v>Woman</v>
      </c>
      <c r="I859" s="6"/>
      <c r="J859" s="6"/>
      <c r="K859" s="6"/>
      <c r="L859" s="6" t="str">
        <f ca="1">IFERROR(__xludf.DUMMYFUNCTION("""COMPUTED_VALUE"""),"Yes")</f>
        <v>Yes</v>
      </c>
      <c r="M859" s="6" t="str">
        <f ca="1">IFERROR(__xludf.DUMMYFUNCTION("""COMPUTED_VALUE"""),"NYU Staff")</f>
        <v>NYU Staff</v>
      </c>
      <c r="N859" s="6"/>
      <c r="O859" s="6" t="str">
        <f ca="1">IFERROR(__xludf.DUMMYFUNCTION("""COMPUTED_VALUE"""),"NYU Newsletter")</f>
        <v>NYU Newsletter</v>
      </c>
      <c r="P859" s="6"/>
      <c r="Q859" s="6" t="str">
        <f ca="1">IFERROR(__xludf.DUMMYFUNCTION("""COMPUTED_VALUE"""),"No")</f>
        <v>No</v>
      </c>
      <c r="R859" s="6">
        <f ca="1">IFERROR(__xludf.DUMMYFUNCTION("""COMPUTED_VALUE"""),3)</f>
        <v>3</v>
      </c>
      <c r="S859" s="6" t="str">
        <f ca="1">IFERROR(__xludf.DUMMYFUNCTION("""COMPUTED_VALUE"""),"None")</f>
        <v>None</v>
      </c>
      <c r="T859" s="6" t="str">
        <f ca="1">IFERROR(__xludf.DUMMYFUNCTION("""COMPUTED_VALUE"""),"None")</f>
        <v>None</v>
      </c>
      <c r="U859" s="6" t="str">
        <f ca="1">IFERROR(__xludf.DUMMYFUNCTION("""COMPUTED_VALUE"""),"None")</f>
        <v>None</v>
      </c>
      <c r="V859" s="6"/>
      <c r="W859" s="6" t="str">
        <f ca="1">IFERROR(__xludf.DUMMYFUNCTION("""COMPUTED_VALUE"""),"Invite Next Year")</f>
        <v>Invite Next Year</v>
      </c>
    </row>
    <row r="860" spans="1:23">
      <c r="A860" s="6" t="str">
        <f ca="1">IFERROR(__xludf.DUMMYFUNCTION("""COMPUTED_VALUE"""),"Man")</f>
        <v>Man</v>
      </c>
      <c r="B860" s="6" t="str">
        <f ca="1">IFERROR(__xludf.DUMMYFUNCTION("""COMPUTED_VALUE"""),"Xtellix, Inc _2022")</f>
        <v>Xtellix, Inc _2022</v>
      </c>
      <c r="C860" s="6" t="str">
        <f ca="1">IFERROR(__xludf.DUMMYFUNCTION("""COMPUTED_VALUE"""),"Deep Tech")</f>
        <v>Deep Tech</v>
      </c>
      <c r="D860" s="6" t="str">
        <f ca="1">IFERROR(__xludf.DUMMYFUNCTION("""COMPUTED_VALUE"""),"651 N Broad St, Suite 206, Middletown, New Castle, Delaware, 19709, Delaware 
United States")</f>
        <v>651 N Broad St, Suite 206, Middletown, New Castle, Delaware, 19709, Delaware 
United States</v>
      </c>
      <c r="E860" s="6" t="str">
        <f ca="1">IFERROR(__xludf.DUMMYFUNCTION("""COMPUTED_VALUE"""),"East Coast")</f>
        <v>East Coast</v>
      </c>
      <c r="F860" s="6" t="str">
        <f ca="1">IFERROR(__xludf.DUMMYFUNCTION("""COMPUTED_VALUE"""),"Man")</f>
        <v>Man</v>
      </c>
      <c r="G860" s="6"/>
      <c r="H860" s="6"/>
      <c r="I860" s="6"/>
      <c r="J860" s="6"/>
      <c r="K860" s="6"/>
      <c r="L860" s="6" t="str">
        <f ca="1">IFERROR(__xludf.DUMMYFUNCTION("""COMPUTED_VALUE"""),"No")</f>
        <v>No</v>
      </c>
      <c r="M860" s="6"/>
      <c r="N860" s="6"/>
      <c r="O860" s="6" t="str">
        <f ca="1">IFERROR(__xludf.DUMMYFUNCTION("""COMPUTED_VALUE"""),"Email")</f>
        <v>Email</v>
      </c>
      <c r="P860" s="6"/>
      <c r="Q860" s="6" t="str">
        <f ca="1">IFERROR(__xludf.DUMMYFUNCTION("""COMPUTED_VALUE"""),"No")</f>
        <v>No</v>
      </c>
      <c r="R860" s="6">
        <f ca="1">IFERROR(__xludf.DUMMYFUNCTION("""COMPUTED_VALUE"""),1)</f>
        <v>1</v>
      </c>
      <c r="S860" s="6" t="str">
        <f ca="1">IFERROR(__xludf.DUMMYFUNCTION("""COMPUTED_VALUE"""),"Other: Family and Friends")</f>
        <v>Other: Family and Friends</v>
      </c>
      <c r="T860" s="6" t="str">
        <f ca="1">IFERROR(__xludf.DUMMYFUNCTION("""COMPUTED_VALUE"""),"Other: Family and Friends")</f>
        <v>Other: Family and Friends</v>
      </c>
      <c r="U860" s="6" t="str">
        <f ca="1">IFERROR(__xludf.DUMMYFUNCTION("""COMPUTED_VALUE"""),"Family and Friends")</f>
        <v>Family and Friends</v>
      </c>
      <c r="V860" s="6"/>
      <c r="W860" s="6" t="str">
        <f ca="1">IFERROR(__xludf.DUMMYFUNCTION("""COMPUTED_VALUE"""),"Revisit/ Cluster")</f>
        <v>Revisit/ Cluster</v>
      </c>
    </row>
    <row r="861" spans="1:23">
      <c r="A861" s="6" t="str">
        <f ca="1">IFERROR(__xludf.DUMMYFUNCTION("""COMPUTED_VALUE"""),"Man")</f>
        <v>Man</v>
      </c>
      <c r="B861" s="6" t="str">
        <f ca="1">IFERROR(__xludf.DUMMYFUNCTION("""COMPUTED_VALUE"""),"Certa Dose _2022")</f>
        <v>Certa Dose _2022</v>
      </c>
      <c r="C861" s="6" t="str">
        <f ca="1">IFERROR(__xludf.DUMMYFUNCTION("""COMPUTED_VALUE"""),"Life Sciences")</f>
        <v>Life Sciences</v>
      </c>
      <c r="D861" s="6" t="str">
        <f ca="1">IFERROR(__xludf.DUMMYFUNCTION("""COMPUTED_VALUE"""),"2590 Welton Street, Suite 200, Denver, Colorado 
United States")</f>
        <v>2590 Welton Street, Suite 200, Denver, Colorado 
United States</v>
      </c>
      <c r="E861" s="6" t="str">
        <f ca="1">IFERROR(__xludf.DUMMYFUNCTION("""COMPUTED_VALUE"""),"West")</f>
        <v>West</v>
      </c>
      <c r="F861" s="6" t="str">
        <f ca="1">IFERROR(__xludf.DUMMYFUNCTION("""COMPUTED_VALUE"""),"Man")</f>
        <v>Man</v>
      </c>
      <c r="G861" s="6"/>
      <c r="H861" s="6"/>
      <c r="I861" s="6"/>
      <c r="J861" s="6"/>
      <c r="K861" s="6"/>
      <c r="L861" s="6" t="str">
        <f ca="1">IFERROR(__xludf.DUMMYFUNCTION("""COMPUTED_VALUE"""),"No")</f>
        <v>No</v>
      </c>
      <c r="M861" s="6"/>
      <c r="N861" s="6"/>
      <c r="O861" s="6" t="str">
        <f ca="1">IFERROR(__xludf.DUMMYFUNCTION("""COMPUTED_VALUE"""),"Email")</f>
        <v>Email</v>
      </c>
      <c r="P861" s="6"/>
      <c r="Q861" s="6" t="str">
        <f ca="1">IFERROR(__xludf.DUMMYFUNCTION("""COMPUTED_VALUE"""),"No")</f>
        <v>No</v>
      </c>
      <c r="R861" s="6">
        <f ca="1">IFERROR(__xludf.DUMMYFUNCTION("""COMPUTED_VALUE"""),1)</f>
        <v>1</v>
      </c>
      <c r="S861" s="6" t="str">
        <f ca="1">IFERROR(__xludf.DUMMYFUNCTION("""COMPUTED_VALUE"""),"Pre-seed
Seed")</f>
        <v>Pre-seed
Seed</v>
      </c>
      <c r="T861" s="6" t="str">
        <f ca="1">IFERROR(__xludf.DUMMYFUNCTION("""COMPUTED_VALUE"""),"Pre-seed, Seed")</f>
        <v>Pre-seed, Seed</v>
      </c>
      <c r="U861" s="6" t="str">
        <f ca="1">IFERROR(__xludf.DUMMYFUNCTION("""COMPUTED_VALUE"""),"Pre-seed, Seed")</f>
        <v>Pre-seed, Seed</v>
      </c>
      <c r="V861" s="6"/>
      <c r="W861" s="6" t="str">
        <f ca="1">IFERROR(__xludf.DUMMYFUNCTION("""COMPUTED_VALUE"""),"Invite Next Year")</f>
        <v>Invite Next Year</v>
      </c>
    </row>
    <row r="862" spans="1:23">
      <c r="A862" s="6" t="str">
        <f ca="1">IFERROR(__xludf.DUMMYFUNCTION("""COMPUTED_VALUE"""),"Man, Man, Man")</f>
        <v>Man, Man, Man</v>
      </c>
      <c r="B862" s="6" t="str">
        <f ca="1">IFERROR(__xludf.DUMMYFUNCTION("""COMPUTED_VALUE"""),"Cruz Street LLC _2022")</f>
        <v>Cruz Street LLC _2022</v>
      </c>
      <c r="C862" s="6" t="str">
        <f ca="1">IFERROR(__xludf.DUMMYFUNCTION("""COMPUTED_VALUE"""),"Digital Tech")</f>
        <v>Digital Tech</v>
      </c>
      <c r="D862" s="6" t="str">
        <f ca="1">IFERROR(__xludf.DUMMYFUNCTION("""COMPUTED_VALUE"""),"405 Sapphire Way SW, Vero Beach 
United States")</f>
        <v>405 Sapphire Way SW, Vero Beach 
United States</v>
      </c>
      <c r="E862" s="6" t="str">
        <f ca="1">IFERROR(__xludf.DUMMYFUNCTION("""COMPUTED_VALUE"""),"East Coast")</f>
        <v>East Coast</v>
      </c>
      <c r="F862" s="6" t="str">
        <f ca="1">IFERROR(__xludf.DUMMYFUNCTION("""COMPUTED_VALUE"""),"Man")</f>
        <v>Man</v>
      </c>
      <c r="G862" s="6" t="str">
        <f ca="1">IFERROR(__xludf.DUMMYFUNCTION("""COMPUTED_VALUE"""),"Man")</f>
        <v>Man</v>
      </c>
      <c r="H862" s="6" t="str">
        <f ca="1">IFERROR(__xludf.DUMMYFUNCTION("""COMPUTED_VALUE"""),"Man")</f>
        <v>Man</v>
      </c>
      <c r="I862" s="6"/>
      <c r="J862" s="6"/>
      <c r="K862" s="6"/>
      <c r="L862" s="6" t="str">
        <f ca="1">IFERROR(__xludf.DUMMYFUNCTION("""COMPUTED_VALUE"""),"No")</f>
        <v>No</v>
      </c>
      <c r="M862" s="6"/>
      <c r="N862" s="6"/>
      <c r="O862" s="6" t="str">
        <f ca="1">IFERROR(__xludf.DUMMYFUNCTION("""COMPUTED_VALUE"""),"Email")</f>
        <v>Email</v>
      </c>
      <c r="P862" s="6"/>
      <c r="Q862" s="6" t="str">
        <f ca="1">IFERROR(__xludf.DUMMYFUNCTION("""COMPUTED_VALUE"""),"No")</f>
        <v>No</v>
      </c>
      <c r="R862" s="6">
        <f ca="1">IFERROR(__xludf.DUMMYFUNCTION("""COMPUTED_VALUE"""),3)</f>
        <v>3</v>
      </c>
      <c r="S862" s="6" t="str">
        <f ca="1">IFERROR(__xludf.DUMMYFUNCTION("""COMPUTED_VALUE"""),"Pre-seed")</f>
        <v>Pre-seed</v>
      </c>
      <c r="T862" s="6" t="str">
        <f ca="1">IFERROR(__xludf.DUMMYFUNCTION("""COMPUTED_VALUE"""),"Pre-seed")</f>
        <v>Pre-seed</v>
      </c>
      <c r="U862" s="6" t="str">
        <f ca="1">IFERROR(__xludf.DUMMYFUNCTION("""COMPUTED_VALUE"""),"Pre-seed")</f>
        <v>Pre-seed</v>
      </c>
      <c r="V862" s="6"/>
      <c r="W862" s="6" t="str">
        <f ca="1">IFERROR(__xludf.DUMMYFUNCTION("""COMPUTED_VALUE"""),"Invite Next Year")</f>
        <v>Invite Next Year</v>
      </c>
    </row>
    <row r="863" spans="1:23">
      <c r="A863" s="6" t="str">
        <f ca="1">IFERROR(__xludf.DUMMYFUNCTION("""COMPUTED_VALUE"""),"Man, Woman")</f>
        <v>Man, Woman</v>
      </c>
      <c r="B863" s="6" t="str">
        <f ca="1">IFERROR(__xludf.DUMMYFUNCTION("""COMPUTED_VALUE"""),"CytoRecovery, Inc. _2022")</f>
        <v>CytoRecovery, Inc. _2022</v>
      </c>
      <c r="C863" s="6" t="str">
        <f ca="1">IFERROR(__xludf.DUMMYFUNCTION("""COMPUTED_VALUE"""),"Deep Tech")</f>
        <v>Deep Tech</v>
      </c>
      <c r="D863" s="6" t="str">
        <f ca="1">IFERROR(__xludf.DUMMYFUNCTION("""COMPUTED_VALUE"""),"Blacksburg, VA 
United States")</f>
        <v>Blacksburg, VA 
United States</v>
      </c>
      <c r="E863" s="6" t="str">
        <f ca="1">IFERROR(__xludf.DUMMYFUNCTION("""COMPUTED_VALUE"""),"East Coast")</f>
        <v>East Coast</v>
      </c>
      <c r="F863" s="6" t="str">
        <f ca="1">IFERROR(__xludf.DUMMYFUNCTION("""COMPUTED_VALUE"""),"Man")</f>
        <v>Man</v>
      </c>
      <c r="G863" s="6" t="str">
        <f ca="1">IFERROR(__xludf.DUMMYFUNCTION("""COMPUTED_VALUE"""),"Woman")</f>
        <v>Woman</v>
      </c>
      <c r="H863" s="6"/>
      <c r="I863" s="6"/>
      <c r="J863" s="6"/>
      <c r="K863" s="6"/>
      <c r="L863" s="6" t="str">
        <f ca="1">IFERROR(__xludf.DUMMYFUNCTION("""COMPUTED_VALUE"""),"No")</f>
        <v>No</v>
      </c>
      <c r="M863" s="6"/>
      <c r="N863" s="6"/>
      <c r="O863" s="6" t="str">
        <f ca="1">IFERROR(__xludf.DUMMYFUNCTION("""COMPUTED_VALUE"""),"Email")</f>
        <v>Email</v>
      </c>
      <c r="P863" s="6"/>
      <c r="Q863" s="6" t="str">
        <f ca="1">IFERROR(__xludf.DUMMYFUNCTION("""COMPUTED_VALUE"""),"No")</f>
        <v>No</v>
      </c>
      <c r="R863" s="6">
        <f ca="1">IFERROR(__xludf.DUMMYFUNCTION("""COMPUTED_VALUE"""),2)</f>
        <v>2</v>
      </c>
      <c r="S863" s="6" t="str">
        <f ca="1">IFERROR(__xludf.DUMMYFUNCTION("""COMPUTED_VALUE"""),"Series A")</f>
        <v>Series A</v>
      </c>
      <c r="T863" s="6" t="str">
        <f ca="1">IFERROR(__xludf.DUMMYFUNCTION("""COMPUTED_VALUE"""),"Series A")</f>
        <v>Series A</v>
      </c>
      <c r="U863" s="6" t="str">
        <f ca="1">IFERROR(__xludf.DUMMYFUNCTION("""COMPUTED_VALUE"""),"Series A")</f>
        <v>Series A</v>
      </c>
      <c r="V863" s="6"/>
      <c r="W863" s="6" t="str">
        <f ca="1">IFERROR(__xludf.DUMMYFUNCTION("""COMPUTED_VALUE"""),"Invite Next Year")</f>
        <v>Invite Next Year</v>
      </c>
    </row>
    <row r="864" spans="1:23">
      <c r="A864" s="6" t="str">
        <f ca="1">IFERROR(__xludf.DUMMYFUNCTION("""COMPUTED_VALUE"""),"Man, Prefer not to respond, Prefer not to respond, Prefer not to respond")</f>
        <v>Man, Prefer not to respond, Prefer not to respond, Prefer not to respond</v>
      </c>
      <c r="B864" s="6" t="str">
        <f ca="1">IFERROR(__xludf.DUMMYFUNCTION("""COMPUTED_VALUE"""),"LEVEL 42 AI, INC _2022")</f>
        <v>LEVEL 42 AI, INC _2022</v>
      </c>
      <c r="C864" s="6" t="str">
        <f ca="1">IFERROR(__xludf.DUMMYFUNCTION("""COMPUTED_VALUE"""),"Deep Tech")</f>
        <v>Deep Tech</v>
      </c>
      <c r="D864" s="6" t="str">
        <f ca="1">IFERROR(__xludf.DUMMYFUNCTION("""COMPUTED_VALUE"""),"MOUNTAIN VIEW, CALIFORNIA 
United States")</f>
        <v>MOUNTAIN VIEW, CALIFORNIA 
United States</v>
      </c>
      <c r="E864" s="6" t="str">
        <f ca="1">IFERROR(__xludf.DUMMYFUNCTION("""COMPUTED_VALUE"""),"West Coast")</f>
        <v>West Coast</v>
      </c>
      <c r="F864" s="6" t="str">
        <f ca="1">IFERROR(__xludf.DUMMYFUNCTION("""COMPUTED_VALUE"""),"Man")</f>
        <v>Man</v>
      </c>
      <c r="G864" s="6" t="str">
        <f ca="1">IFERROR(__xludf.DUMMYFUNCTION("""COMPUTED_VALUE"""),"Prefer not to respond")</f>
        <v>Prefer not to respond</v>
      </c>
      <c r="H864" s="6" t="str">
        <f ca="1">IFERROR(__xludf.DUMMYFUNCTION("""COMPUTED_VALUE"""),"Prefer not to respond")</f>
        <v>Prefer not to respond</v>
      </c>
      <c r="I864" s="6" t="str">
        <f ca="1">IFERROR(__xludf.DUMMYFUNCTION("""COMPUTED_VALUE"""),"Prefer not to respond")</f>
        <v>Prefer not to respond</v>
      </c>
      <c r="J864" s="6"/>
      <c r="K864" s="6"/>
      <c r="L864" s="6" t="str">
        <f ca="1">IFERROR(__xludf.DUMMYFUNCTION("""COMPUTED_VALUE"""),"No")</f>
        <v>No</v>
      </c>
      <c r="M864" s="6"/>
      <c r="N864" s="6"/>
      <c r="O864" s="6" t="str">
        <f ca="1">IFERROR(__xludf.DUMMYFUNCTION("""COMPUTED_VALUE"""),"Referral")</f>
        <v>Referral</v>
      </c>
      <c r="P864" s="6"/>
      <c r="Q864" s="6" t="str">
        <f ca="1">IFERROR(__xludf.DUMMYFUNCTION("""COMPUTED_VALUE"""),"No")</f>
        <v>No</v>
      </c>
      <c r="R864" s="6">
        <f ca="1">IFERROR(__xludf.DUMMYFUNCTION("""COMPUTED_VALUE"""),4)</f>
        <v>4</v>
      </c>
      <c r="S864" s="6" t="str">
        <f ca="1">IFERROR(__xludf.DUMMYFUNCTION("""COMPUTED_VALUE"""),"Seed
Grants")</f>
        <v>Seed
Grants</v>
      </c>
      <c r="T864" s="6" t="str">
        <f ca="1">IFERROR(__xludf.DUMMYFUNCTION("""COMPUTED_VALUE"""),"Seed, Grants")</f>
        <v>Seed, Grants</v>
      </c>
      <c r="U864" s="6" t="str">
        <f ca="1">IFERROR(__xludf.DUMMYFUNCTION("""COMPUTED_VALUE"""),"Seed, Grants")</f>
        <v>Seed, Grants</v>
      </c>
      <c r="V864" s="6"/>
      <c r="W864" s="6" t="str">
        <f ca="1">IFERROR(__xludf.DUMMYFUNCTION("""COMPUTED_VALUE"""),"Invite")</f>
        <v>Invite</v>
      </c>
    </row>
    <row r="865" spans="1:23">
      <c r="A865" s="6" t="str">
        <f ca="1">IFERROR(__xludf.DUMMYFUNCTION("""COMPUTED_VALUE"""),"Man, Man")</f>
        <v>Man, Man</v>
      </c>
      <c r="B865" s="6" t="str">
        <f ca="1">IFERROR(__xludf.DUMMYFUNCTION("""COMPUTED_VALUE"""),"Kaso _2022")</f>
        <v>Kaso _2022</v>
      </c>
      <c r="C865" s="6" t="str">
        <f ca="1">IFERROR(__xludf.DUMMYFUNCTION("""COMPUTED_VALUE"""),"Digital Tech")</f>
        <v>Digital Tech</v>
      </c>
      <c r="D865" s="6" t="str">
        <f ca="1">IFERROR(__xludf.DUMMYFUNCTION("""COMPUTED_VALUE"""),"Dubai, Dubai 
United Arab Emirates")</f>
        <v>Dubai, Dubai 
United Arab Emirates</v>
      </c>
      <c r="E865" s="6" t="str">
        <f ca="1">IFERROR(__xludf.DUMMYFUNCTION("""COMPUTED_VALUE"""),"International - Middle East")</f>
        <v>International - Middle East</v>
      </c>
      <c r="F865" s="6" t="str">
        <f ca="1">IFERROR(__xludf.DUMMYFUNCTION("""COMPUTED_VALUE"""),"Man")</f>
        <v>Man</v>
      </c>
      <c r="G865" s="6" t="str">
        <f ca="1">IFERROR(__xludf.DUMMYFUNCTION("""COMPUTED_VALUE"""),"Man")</f>
        <v>Man</v>
      </c>
      <c r="H865" s="6"/>
      <c r="I865" s="6"/>
      <c r="J865" s="6"/>
      <c r="K865" s="6"/>
      <c r="L865" s="6" t="str">
        <f ca="1">IFERROR(__xludf.DUMMYFUNCTION("""COMPUTED_VALUE"""),"--Please select--")</f>
        <v>--Please select--</v>
      </c>
      <c r="M865" s="6"/>
      <c r="N865" s="6"/>
      <c r="O865" s="6" t="str">
        <f ca="1">IFERROR(__xludf.DUMMYFUNCTION("""COMPUTED_VALUE"""),"Email")</f>
        <v>Email</v>
      </c>
      <c r="P865" s="6"/>
      <c r="Q865" s="6" t="str">
        <f ca="1">IFERROR(__xludf.DUMMYFUNCTION("""COMPUTED_VALUE"""),"No")</f>
        <v>No</v>
      </c>
      <c r="R865" s="6">
        <f ca="1">IFERROR(__xludf.DUMMYFUNCTION("""COMPUTED_VALUE"""),2)</f>
        <v>2</v>
      </c>
      <c r="S865" s="6" t="str">
        <f ca="1">IFERROR(__xludf.DUMMYFUNCTION("""COMPUTED_VALUE"""),"Pre-seed")</f>
        <v>Pre-seed</v>
      </c>
      <c r="T865" s="6" t="str">
        <f ca="1">IFERROR(__xludf.DUMMYFUNCTION("""COMPUTED_VALUE"""),"Pre-seed")</f>
        <v>Pre-seed</v>
      </c>
      <c r="U865" s="6" t="str">
        <f ca="1">IFERROR(__xludf.DUMMYFUNCTION("""COMPUTED_VALUE"""),"Pre-seed")</f>
        <v>Pre-seed</v>
      </c>
      <c r="V865" s="6"/>
      <c r="W865" s="6" t="str">
        <f ca="1">IFERROR(__xludf.DUMMYFUNCTION("""COMPUTED_VALUE"""),"Invite Next Year")</f>
        <v>Invite Next Year</v>
      </c>
    </row>
    <row r="866" spans="1:23">
      <c r="A866" s="6" t="str">
        <f ca="1">IFERROR(__xludf.DUMMYFUNCTION("""COMPUTED_VALUE"""),"Man, Man")</f>
        <v>Man, Man</v>
      </c>
      <c r="B866" s="6" t="str">
        <f ca="1">IFERROR(__xludf.DUMMYFUNCTION("""COMPUTED_VALUE"""),"Einsted _2022")</f>
        <v>Einsted _2022</v>
      </c>
      <c r="C866" s="6" t="str">
        <f ca="1">IFERROR(__xludf.DUMMYFUNCTION("""COMPUTED_VALUE"""),"Deep Tech")</f>
        <v>Deep Tech</v>
      </c>
      <c r="D866" s="6" t="str">
        <f ca="1">IFERROR(__xludf.DUMMYFUNCTION("""COMPUTED_VALUE"""),"CABA, Buenos Aires 
Argentina")</f>
        <v>CABA, Buenos Aires 
Argentina</v>
      </c>
      <c r="E866" s="6" t="str">
        <f ca="1">IFERROR(__xludf.DUMMYFUNCTION("""COMPUTED_VALUE"""),"International - Americas")</f>
        <v>International - Americas</v>
      </c>
      <c r="F866" s="6" t="str">
        <f ca="1">IFERROR(__xludf.DUMMYFUNCTION("""COMPUTED_VALUE"""),"Man")</f>
        <v>Man</v>
      </c>
      <c r="G866" s="6" t="str">
        <f ca="1">IFERROR(__xludf.DUMMYFUNCTION("""COMPUTED_VALUE"""),"Man")</f>
        <v>Man</v>
      </c>
      <c r="H866" s="6"/>
      <c r="I866" s="6"/>
      <c r="J866" s="6"/>
      <c r="K866" s="6"/>
      <c r="L866" s="6" t="str">
        <f ca="1">IFERROR(__xludf.DUMMYFUNCTION("""COMPUTED_VALUE"""),"No")</f>
        <v>No</v>
      </c>
      <c r="M866" s="6"/>
      <c r="N866" s="6"/>
      <c r="O866" s="6" t="str">
        <f ca="1">IFERROR(__xludf.DUMMYFUNCTION("""COMPUTED_VALUE"""),"Search Engine")</f>
        <v>Search Engine</v>
      </c>
      <c r="P866" s="6"/>
      <c r="Q866" s="6" t="str">
        <f ca="1">IFERROR(__xludf.DUMMYFUNCTION("""COMPUTED_VALUE"""),"No")</f>
        <v>No</v>
      </c>
      <c r="R866" s="6">
        <f ca="1">IFERROR(__xludf.DUMMYFUNCTION("""COMPUTED_VALUE"""),2)</f>
        <v>2</v>
      </c>
      <c r="S866" s="6" t="str">
        <f ca="1">IFERROR(__xludf.DUMMYFUNCTION("""COMPUTED_VALUE"""),"Pre-seed")</f>
        <v>Pre-seed</v>
      </c>
      <c r="T866" s="6" t="str">
        <f ca="1">IFERROR(__xludf.DUMMYFUNCTION("""COMPUTED_VALUE"""),"Pre-seed")</f>
        <v>Pre-seed</v>
      </c>
      <c r="U866" s="6" t="str">
        <f ca="1">IFERROR(__xludf.DUMMYFUNCTION("""COMPUTED_VALUE"""),"Pre-seed")</f>
        <v>Pre-seed</v>
      </c>
      <c r="V866" s="6"/>
      <c r="W866" s="6" t="str">
        <f ca="1">IFERROR(__xludf.DUMMYFUNCTION("""COMPUTED_VALUE"""),"Invite Next Year")</f>
        <v>Invite Next Year</v>
      </c>
    </row>
    <row r="867" spans="1:23">
      <c r="A867" s="6" t="str">
        <f ca="1">IFERROR(__xludf.DUMMYFUNCTION("""COMPUTED_VALUE"""),"Man")</f>
        <v>Man</v>
      </c>
      <c r="B867" s="6" t="str">
        <f ca="1">IFERROR(__xludf.DUMMYFUNCTION("""COMPUTED_VALUE"""),"AiTera inc. _2022")</f>
        <v>AiTera inc. _2022</v>
      </c>
      <c r="C867" s="6" t="str">
        <f ca="1">IFERROR(__xludf.DUMMYFUNCTION("""COMPUTED_VALUE"""),"Digital Tech")</f>
        <v>Digital Tech</v>
      </c>
      <c r="D867" s="6" t="str">
        <f ca="1">IFERROR(__xludf.DUMMYFUNCTION("""COMPUTED_VALUE"""),"Quebec city, Quebec 
Canada")</f>
        <v>Quebec city, Quebec 
Canada</v>
      </c>
      <c r="E867" s="6" t="str">
        <f ca="1">IFERROR(__xludf.DUMMYFUNCTION("""COMPUTED_VALUE"""),"International - Americas")</f>
        <v>International - Americas</v>
      </c>
      <c r="F867" s="6" t="str">
        <f ca="1">IFERROR(__xludf.DUMMYFUNCTION("""COMPUTED_VALUE"""),"Man")</f>
        <v>Man</v>
      </c>
      <c r="G867" s="6"/>
      <c r="H867" s="6"/>
      <c r="I867" s="6"/>
      <c r="J867" s="6"/>
      <c r="K867" s="6"/>
      <c r="L867" s="6" t="str">
        <f ca="1">IFERROR(__xludf.DUMMYFUNCTION("""COMPUTED_VALUE"""),"No")</f>
        <v>No</v>
      </c>
      <c r="M867" s="6"/>
      <c r="N867" s="6"/>
      <c r="O867" s="6" t="str">
        <f ca="1">IFERROR(__xludf.DUMMYFUNCTION("""COMPUTED_VALUE"""),"Referral")</f>
        <v>Referral</v>
      </c>
      <c r="P867" s="6"/>
      <c r="Q867" s="6" t="str">
        <f ca="1">IFERROR(__xludf.DUMMYFUNCTION("""COMPUTED_VALUE"""),"No")</f>
        <v>No</v>
      </c>
      <c r="R867" s="6">
        <f ca="1">IFERROR(__xludf.DUMMYFUNCTION("""COMPUTED_VALUE"""),1)</f>
        <v>1</v>
      </c>
      <c r="S867" s="6" t="str">
        <f ca="1">IFERROR(__xludf.DUMMYFUNCTION("""COMPUTED_VALUE"""),"Other: Boothstrapped")</f>
        <v>Other: Boothstrapped</v>
      </c>
      <c r="T867" s="6" t="str">
        <f ca="1">IFERROR(__xludf.DUMMYFUNCTION("""COMPUTED_VALUE"""),"Other: Boothstrapped")</f>
        <v>Other: Boothstrapped</v>
      </c>
      <c r="U867" s="6" t="str">
        <f ca="1">IFERROR(__xludf.DUMMYFUNCTION("""COMPUTED_VALUE"""),"Boothstrapped")</f>
        <v>Boothstrapped</v>
      </c>
      <c r="V867" s="6"/>
      <c r="W867" s="6" t="str">
        <f ca="1">IFERROR(__xludf.DUMMYFUNCTION("""COMPUTED_VALUE"""),"Invite Next Year")</f>
        <v>Invite Next Year</v>
      </c>
    </row>
    <row r="868" spans="1:23">
      <c r="A868" s="6" t="str">
        <f ca="1">IFERROR(__xludf.DUMMYFUNCTION("""COMPUTED_VALUE"""),"Man, Woman, Man, Man")</f>
        <v>Man, Woman, Man, Man</v>
      </c>
      <c r="B868" s="6" t="str">
        <f ca="1">IFERROR(__xludf.DUMMYFUNCTION("""COMPUTED_VALUE"""),"Flow Recovery Limited _2022")</f>
        <v>Flow Recovery Limited _2022</v>
      </c>
      <c r="C868" s="6" t="str">
        <f ca="1">IFERROR(__xludf.DUMMYFUNCTION("""COMPUTED_VALUE"""),"Deep Tech")</f>
        <v>Deep Tech</v>
      </c>
      <c r="D868" s="6" t="str">
        <f ca="1">IFERROR(__xludf.DUMMYFUNCTION("""COMPUTED_VALUE"""),"Unit 5 Mann Island, Liverpool, L3 1BP, Merseyside 
United Kingdom")</f>
        <v>Unit 5 Mann Island, Liverpool, L3 1BP, Merseyside 
United Kingdom</v>
      </c>
      <c r="E868" s="6" t="str">
        <f ca="1">IFERROR(__xludf.DUMMYFUNCTION("""COMPUTED_VALUE"""),"International - Europe")</f>
        <v>International - Europe</v>
      </c>
      <c r="F868" s="6" t="str">
        <f ca="1">IFERROR(__xludf.DUMMYFUNCTION("""COMPUTED_VALUE"""),"Man")</f>
        <v>Man</v>
      </c>
      <c r="G868" s="6" t="str">
        <f ca="1">IFERROR(__xludf.DUMMYFUNCTION("""COMPUTED_VALUE"""),"Woman")</f>
        <v>Woman</v>
      </c>
      <c r="H868" s="6" t="str">
        <f ca="1">IFERROR(__xludf.DUMMYFUNCTION("""COMPUTED_VALUE"""),"Man")</f>
        <v>Man</v>
      </c>
      <c r="I868" s="6" t="str">
        <f ca="1">IFERROR(__xludf.DUMMYFUNCTION("""COMPUTED_VALUE"""),"Man")</f>
        <v>Man</v>
      </c>
      <c r="J868" s="6"/>
      <c r="K868" s="6"/>
      <c r="L868" s="6" t="str">
        <f ca="1">IFERROR(__xludf.DUMMYFUNCTION("""COMPUTED_VALUE"""),"No")</f>
        <v>No</v>
      </c>
      <c r="M868" s="6"/>
      <c r="N868" s="6"/>
      <c r="O868" s="6" t="str">
        <f ca="1">IFERROR(__xludf.DUMMYFUNCTION("""COMPUTED_VALUE"""),"Email")</f>
        <v>Email</v>
      </c>
      <c r="P868" s="6"/>
      <c r="Q868" s="6" t="str">
        <f ca="1">IFERROR(__xludf.DUMMYFUNCTION("""COMPUTED_VALUE"""),"No")</f>
        <v>No</v>
      </c>
      <c r="R868" s="6">
        <f ca="1">IFERROR(__xludf.DUMMYFUNCTION("""COMPUTED_VALUE"""),4)</f>
        <v>4</v>
      </c>
      <c r="S868" s="6" t="str">
        <f ca="1">IFERROR(__xludf.DUMMYFUNCTION("""COMPUTED_VALUE"""),"Pre-seed")</f>
        <v>Pre-seed</v>
      </c>
      <c r="T868" s="6" t="str">
        <f ca="1">IFERROR(__xludf.DUMMYFUNCTION("""COMPUTED_VALUE"""),"Pre-seed")</f>
        <v>Pre-seed</v>
      </c>
      <c r="U868" s="6" t="str">
        <f ca="1">IFERROR(__xludf.DUMMYFUNCTION("""COMPUTED_VALUE"""),"Pre-seed")</f>
        <v>Pre-seed</v>
      </c>
      <c r="V868" s="6"/>
      <c r="W868" s="6" t="str">
        <f ca="1">IFERROR(__xludf.DUMMYFUNCTION("""COMPUTED_VALUE"""),"Special Reject")</f>
        <v>Special Reject</v>
      </c>
    </row>
    <row r="869" spans="1:23">
      <c r="A869" s="6" t="str">
        <f ca="1">IFERROR(__xludf.DUMMYFUNCTION("""COMPUTED_VALUE"""),"Man")</f>
        <v>Man</v>
      </c>
      <c r="B869" s="6" t="str">
        <f ca="1">IFERROR(__xludf.DUMMYFUNCTION("""COMPUTED_VALUE"""),"Troverlo _2022")</f>
        <v>Troverlo _2022</v>
      </c>
      <c r="C869" s="6" t="str">
        <f ca="1">IFERROR(__xludf.DUMMYFUNCTION("""COMPUTED_VALUE"""),"Digital Tech")</f>
        <v>Digital Tech</v>
      </c>
      <c r="D869" s="6" t="str">
        <f ca="1">IFERROR(__xludf.DUMMYFUNCTION("""COMPUTED_VALUE"""),"College Station, Texas 
United States")</f>
        <v>College Station, Texas 
United States</v>
      </c>
      <c r="E869" s="6" t="str">
        <f ca="1">IFERROR(__xludf.DUMMYFUNCTION("""COMPUTED_VALUE"""),"South")</f>
        <v>South</v>
      </c>
      <c r="F869" s="6" t="str">
        <f ca="1">IFERROR(__xludf.DUMMYFUNCTION("""COMPUTED_VALUE"""),"Man")</f>
        <v>Man</v>
      </c>
      <c r="G869" s="6"/>
      <c r="H869" s="6"/>
      <c r="I869" s="6"/>
      <c r="J869" s="6"/>
      <c r="K869" s="6"/>
      <c r="L869" s="6" t="str">
        <f ca="1">IFERROR(__xludf.DUMMYFUNCTION("""COMPUTED_VALUE"""),"No")</f>
        <v>No</v>
      </c>
      <c r="M869" s="6"/>
      <c r="N869" s="6"/>
      <c r="O869" s="6" t="str">
        <f ca="1">IFERROR(__xludf.DUMMYFUNCTION("""COMPUTED_VALUE"""),"Email")</f>
        <v>Email</v>
      </c>
      <c r="P869" s="6"/>
      <c r="Q869" s="6" t="str">
        <f ca="1">IFERROR(__xludf.DUMMYFUNCTION("""COMPUTED_VALUE"""),"No")</f>
        <v>No</v>
      </c>
      <c r="R869" s="6">
        <f ca="1">IFERROR(__xludf.DUMMYFUNCTION("""COMPUTED_VALUE"""),1)</f>
        <v>1</v>
      </c>
      <c r="S869" s="6" t="str">
        <f ca="1">IFERROR(__xludf.DUMMYFUNCTION("""COMPUTED_VALUE"""),"Seed")</f>
        <v>Seed</v>
      </c>
      <c r="T869" s="6" t="str">
        <f ca="1">IFERROR(__xludf.DUMMYFUNCTION("""COMPUTED_VALUE"""),"Seed")</f>
        <v>Seed</v>
      </c>
      <c r="U869" s="6" t="str">
        <f ca="1">IFERROR(__xludf.DUMMYFUNCTION("""COMPUTED_VALUE"""),"Seed")</f>
        <v>Seed</v>
      </c>
      <c r="V869" s="6"/>
      <c r="W869" s="6" t="str">
        <f ca="1">IFERROR(__xludf.DUMMYFUNCTION("""COMPUTED_VALUE"""),"Invite")</f>
        <v>Invite</v>
      </c>
    </row>
    <row r="870" spans="1:23">
      <c r="A870" s="6" t="str">
        <f ca="1">IFERROR(__xludf.DUMMYFUNCTION("""COMPUTED_VALUE"""),"Man, Man")</f>
        <v>Man, Man</v>
      </c>
      <c r="B870" s="6" t="str">
        <f ca="1">IFERROR(__xludf.DUMMYFUNCTION("""COMPUTED_VALUE"""),"PeroLED _2022")</f>
        <v>PeroLED _2022</v>
      </c>
      <c r="C870" s="6" t="str">
        <f ca="1">IFERROR(__xludf.DUMMYFUNCTION("""COMPUTED_VALUE"""),"Deep Tech")</f>
        <v>Deep Tech</v>
      </c>
      <c r="D870" s="6" t="str">
        <f ca="1">IFERROR(__xludf.DUMMYFUNCTION("""COMPUTED_VALUE"""),"Orbit Research Institute, NETPark, Thomas Wright Way, Sedgefield, TS21 3FD, County Durham 
United Kingdom")</f>
        <v>Orbit Research Institute, NETPark, Thomas Wright Way, Sedgefield, TS21 3FD, County Durham 
United Kingdom</v>
      </c>
      <c r="E870" s="6" t="str">
        <f ca="1">IFERROR(__xludf.DUMMYFUNCTION("""COMPUTED_VALUE"""),"International - Europe")</f>
        <v>International - Europe</v>
      </c>
      <c r="F870" s="6" t="str">
        <f ca="1">IFERROR(__xludf.DUMMYFUNCTION("""COMPUTED_VALUE"""),"Man")</f>
        <v>Man</v>
      </c>
      <c r="G870" s="6" t="str">
        <f ca="1">IFERROR(__xludf.DUMMYFUNCTION("""COMPUTED_VALUE"""),"Man")</f>
        <v>Man</v>
      </c>
      <c r="H870" s="6"/>
      <c r="I870" s="6"/>
      <c r="J870" s="6"/>
      <c r="K870" s="6"/>
      <c r="L870" s="6" t="str">
        <f ca="1">IFERROR(__xludf.DUMMYFUNCTION("""COMPUTED_VALUE"""),"No")</f>
        <v>No</v>
      </c>
      <c r="M870" s="6"/>
      <c r="N870" s="6"/>
      <c r="O870" s="6" t="str">
        <f ca="1">IFERROR(__xludf.DUMMYFUNCTION("""COMPUTED_VALUE"""),"Email")</f>
        <v>Email</v>
      </c>
      <c r="P870" s="6"/>
      <c r="Q870" s="6" t="str">
        <f ca="1">IFERROR(__xludf.DUMMYFUNCTION("""COMPUTED_VALUE"""),"No")</f>
        <v>No</v>
      </c>
      <c r="R870" s="6">
        <f ca="1">IFERROR(__xludf.DUMMYFUNCTION("""COMPUTED_VALUE"""),2)</f>
        <v>2</v>
      </c>
      <c r="S870" s="6" t="str">
        <f ca="1">IFERROR(__xludf.DUMMYFUNCTION("""COMPUTED_VALUE"""),"Seed")</f>
        <v>Seed</v>
      </c>
      <c r="T870" s="6" t="str">
        <f ca="1">IFERROR(__xludf.DUMMYFUNCTION("""COMPUTED_VALUE"""),"Seed")</f>
        <v>Seed</v>
      </c>
      <c r="U870" s="6" t="str">
        <f ca="1">IFERROR(__xludf.DUMMYFUNCTION("""COMPUTED_VALUE"""),"Seed")</f>
        <v>Seed</v>
      </c>
      <c r="V870" s="6"/>
      <c r="W870" s="6" t="str">
        <f ca="1">IFERROR(__xludf.DUMMYFUNCTION("""COMPUTED_VALUE"""),"Invite")</f>
        <v>Invite</v>
      </c>
    </row>
    <row r="871" spans="1:23">
      <c r="A871" s="6" t="str">
        <f ca="1">IFERROR(__xludf.DUMMYFUNCTION("""COMPUTED_VALUE"""),"Woman")</f>
        <v>Woman</v>
      </c>
      <c r="B871" s="6" t="str">
        <f ca="1">IFERROR(__xludf.DUMMYFUNCTION("""COMPUTED_VALUE"""),"Dropshop _2022")</f>
        <v>Dropshop _2022</v>
      </c>
      <c r="C871" s="6" t="str">
        <f ca="1">IFERROR(__xludf.DUMMYFUNCTION("""COMPUTED_VALUE"""),"Digital Tech")</f>
        <v>Digital Tech</v>
      </c>
      <c r="D871" s="6" t="str">
        <f ca="1">IFERROR(__xludf.DUMMYFUNCTION("""COMPUTED_VALUE"""),"248 W. 17th St apt 104, New York 
United States")</f>
        <v>248 W. 17th St apt 104, New York 
United States</v>
      </c>
      <c r="E871" s="6" t="str">
        <f ca="1">IFERROR(__xludf.DUMMYFUNCTION("""COMPUTED_VALUE"""),"New York")</f>
        <v>New York</v>
      </c>
      <c r="F871" s="6" t="str">
        <f ca="1">IFERROR(__xludf.DUMMYFUNCTION("""COMPUTED_VALUE"""),"Woman")</f>
        <v>Woman</v>
      </c>
      <c r="G871" s="6"/>
      <c r="H871" s="6"/>
      <c r="I871" s="6"/>
      <c r="J871" s="6"/>
      <c r="K871" s="6"/>
      <c r="L871" s="6" t="str">
        <f ca="1">IFERROR(__xludf.DUMMYFUNCTION("""COMPUTED_VALUE"""),"Yes")</f>
        <v>Yes</v>
      </c>
      <c r="M871" s="6" t="str">
        <f ca="1">IFERROR(__xludf.DUMMYFUNCTION("""COMPUTED_VALUE"""),"NYU Alumni")</f>
        <v>NYU Alumni</v>
      </c>
      <c r="N871" s="6"/>
      <c r="O871" s="6" t="str">
        <f ca="1">IFERROR(__xludf.DUMMYFUNCTION("""COMPUTED_VALUE"""),"NYU Newsletter")</f>
        <v>NYU Newsletter</v>
      </c>
      <c r="P871" s="6"/>
      <c r="Q871" s="6" t="str">
        <f ca="1">IFERROR(__xludf.DUMMYFUNCTION("""COMPUTED_VALUE"""),"No")</f>
        <v>No</v>
      </c>
      <c r="R871" s="6">
        <f ca="1">IFERROR(__xludf.DUMMYFUNCTION("""COMPUTED_VALUE"""),1)</f>
        <v>1</v>
      </c>
      <c r="S871" s="6" t="str">
        <f ca="1">IFERROR(__xludf.DUMMYFUNCTION("""COMPUTED_VALUE"""),"Pre-seed")</f>
        <v>Pre-seed</v>
      </c>
      <c r="T871" s="6" t="str">
        <f ca="1">IFERROR(__xludf.DUMMYFUNCTION("""COMPUTED_VALUE"""),"Pre-seed")</f>
        <v>Pre-seed</v>
      </c>
      <c r="U871" s="6" t="str">
        <f ca="1">IFERROR(__xludf.DUMMYFUNCTION("""COMPUTED_VALUE"""),"Pre-seed")</f>
        <v>Pre-seed</v>
      </c>
      <c r="V871" s="6"/>
      <c r="W871" s="6" t="str">
        <f ca="1">IFERROR(__xludf.DUMMYFUNCTION("""COMPUTED_VALUE"""),"Invite Next Year")</f>
        <v>Invite Next Year</v>
      </c>
    </row>
    <row r="872" spans="1:23">
      <c r="A872" s="6" t="str">
        <f ca="1">IFERROR(__xludf.DUMMYFUNCTION("""COMPUTED_VALUE"""),"Prefer not to respond, Man, Other, Woman")</f>
        <v>Prefer not to respond, Man, Other, Woman</v>
      </c>
      <c r="B872" s="6" t="str">
        <f ca="1">IFERROR(__xludf.DUMMYFUNCTION("""COMPUTED_VALUE"""),"Whyzers  _2022")</f>
        <v>Whyzers  _2022</v>
      </c>
      <c r="C872" s="6" t="str">
        <f ca="1">IFERROR(__xludf.DUMMYFUNCTION("""COMPUTED_VALUE"""),"Digital Tech")</f>
        <v>Digital Tech</v>
      </c>
      <c r="D872" s="6" t="str">
        <f ca="1">IFERROR(__xludf.DUMMYFUNCTION("""COMPUTED_VALUE"""),"Pine Bush, New York 
United States")</f>
        <v>Pine Bush, New York 
United States</v>
      </c>
      <c r="E872" s="6" t="str">
        <f ca="1">IFERROR(__xludf.DUMMYFUNCTION("""COMPUTED_VALUE"""),"East Coast")</f>
        <v>East Coast</v>
      </c>
      <c r="F872" s="6" t="str">
        <f ca="1">IFERROR(__xludf.DUMMYFUNCTION("""COMPUTED_VALUE"""),"Prefer not to respond")</f>
        <v>Prefer not to respond</v>
      </c>
      <c r="G872" s="6" t="str">
        <f ca="1">IFERROR(__xludf.DUMMYFUNCTION("""COMPUTED_VALUE"""),"Man")</f>
        <v>Man</v>
      </c>
      <c r="H872" s="6" t="str">
        <f ca="1">IFERROR(__xludf.DUMMYFUNCTION("""COMPUTED_VALUE"""),"Other")</f>
        <v>Other</v>
      </c>
      <c r="I872" s="6" t="str">
        <f ca="1">IFERROR(__xludf.DUMMYFUNCTION("""COMPUTED_VALUE"""),"Woman")</f>
        <v>Woman</v>
      </c>
      <c r="J872" s="6"/>
      <c r="K872" s="6"/>
      <c r="L872" s="6" t="str">
        <f ca="1">IFERROR(__xludf.DUMMYFUNCTION("""COMPUTED_VALUE"""),"Yes")</f>
        <v>Yes</v>
      </c>
      <c r="M872" s="6" t="str">
        <f ca="1">IFERROR(__xludf.DUMMYFUNCTION("""COMPUTED_VALUE"""),"NYU Student")</f>
        <v>NYU Student</v>
      </c>
      <c r="N872" s="6"/>
      <c r="O872" s="6" t="str">
        <f ca="1">IFERROR(__xludf.DUMMYFUNCTION("""COMPUTED_VALUE"""),"NYU Newsletter")</f>
        <v>NYU Newsletter</v>
      </c>
      <c r="P872" s="6"/>
      <c r="Q872" s="6" t="str">
        <f ca="1">IFERROR(__xludf.DUMMYFUNCTION("""COMPUTED_VALUE"""),"No")</f>
        <v>No</v>
      </c>
      <c r="R872" s="6">
        <f ca="1">IFERROR(__xludf.DUMMYFUNCTION("""COMPUTED_VALUE"""),4)</f>
        <v>4</v>
      </c>
      <c r="S872" s="6" t="str">
        <f ca="1">IFERROR(__xludf.DUMMYFUNCTION("""COMPUTED_VALUE"""),"Other: Personal Investment")</f>
        <v>Other: Personal Investment</v>
      </c>
      <c r="T872" s="6" t="str">
        <f ca="1">IFERROR(__xludf.DUMMYFUNCTION("""COMPUTED_VALUE"""),"Other: Personal Investment")</f>
        <v>Other: Personal Investment</v>
      </c>
      <c r="U872" s="6" t="str">
        <f ca="1">IFERROR(__xludf.DUMMYFUNCTION("""COMPUTED_VALUE"""),"Personal Investment")</f>
        <v>Personal Investment</v>
      </c>
      <c r="V872" s="6"/>
      <c r="W872" s="6" t="str">
        <f ca="1">IFERROR(__xludf.DUMMYFUNCTION("""COMPUTED_VALUE"""),"Invite Next Year")</f>
        <v>Invite Next Year</v>
      </c>
    </row>
    <row r="873" spans="1:23">
      <c r="A873" s="6" t="str">
        <f ca="1">IFERROR(__xludf.DUMMYFUNCTION("""COMPUTED_VALUE"""),"Man, Man")</f>
        <v>Man, Man</v>
      </c>
      <c r="B873" s="6" t="str">
        <f ca="1">IFERROR(__xludf.DUMMYFUNCTION("""COMPUTED_VALUE"""),"Passage Health Inc. _2022")</f>
        <v>Passage Health Inc. _2022</v>
      </c>
      <c r="C873" s="6" t="str">
        <f ca="1">IFERROR(__xludf.DUMMYFUNCTION("""COMPUTED_VALUE"""),"Digital Tech")</f>
        <v>Digital Tech</v>
      </c>
      <c r="D873" s="6" t="str">
        <f ca="1">IFERROR(__xludf.DUMMYFUNCTION("""COMPUTED_VALUE"""),"New York, NY 
United States")</f>
        <v>New York, NY 
United States</v>
      </c>
      <c r="E873" s="6" t="str">
        <f ca="1">IFERROR(__xludf.DUMMYFUNCTION("""COMPUTED_VALUE"""),"New York")</f>
        <v>New York</v>
      </c>
      <c r="F873" s="6" t="str">
        <f ca="1">IFERROR(__xludf.DUMMYFUNCTION("""COMPUTED_VALUE"""),"Man")</f>
        <v>Man</v>
      </c>
      <c r="G873" s="6" t="str">
        <f ca="1">IFERROR(__xludf.DUMMYFUNCTION("""COMPUTED_VALUE"""),"Man")</f>
        <v>Man</v>
      </c>
      <c r="H873" s="6"/>
      <c r="I873" s="6"/>
      <c r="J873" s="6"/>
      <c r="K873" s="6"/>
      <c r="L873" s="6" t="str">
        <f ca="1">IFERROR(__xludf.DUMMYFUNCTION("""COMPUTED_VALUE"""),"No")</f>
        <v>No</v>
      </c>
      <c r="M873" s="6"/>
      <c r="N873" s="6"/>
      <c r="O873" s="6" t="str">
        <f ca="1">IFERROR(__xludf.DUMMYFUNCTION("""COMPUTED_VALUE"""),"Referral")</f>
        <v>Referral</v>
      </c>
      <c r="P873" s="6"/>
      <c r="Q873" s="6" t="str">
        <f ca="1">IFERROR(__xludf.DUMMYFUNCTION("""COMPUTED_VALUE"""),"No")</f>
        <v>No</v>
      </c>
      <c r="R873" s="6">
        <f ca="1">IFERROR(__xludf.DUMMYFUNCTION("""COMPUTED_VALUE"""),2)</f>
        <v>2</v>
      </c>
      <c r="S873" s="6" t="str">
        <f ca="1">IFERROR(__xludf.DUMMYFUNCTION("""COMPUTED_VALUE"""),"Pre-seed")</f>
        <v>Pre-seed</v>
      </c>
      <c r="T873" s="6" t="str">
        <f ca="1">IFERROR(__xludf.DUMMYFUNCTION("""COMPUTED_VALUE"""),"Pre-seed")</f>
        <v>Pre-seed</v>
      </c>
      <c r="U873" s="6" t="str">
        <f ca="1">IFERROR(__xludf.DUMMYFUNCTION("""COMPUTED_VALUE"""),"Pre-seed")</f>
        <v>Pre-seed</v>
      </c>
      <c r="V873" s="6"/>
      <c r="W873" s="6" t="str">
        <f ca="1">IFERROR(__xludf.DUMMYFUNCTION("""COMPUTED_VALUE"""),"Invite Next Year")</f>
        <v>Invite Next Year</v>
      </c>
    </row>
    <row r="874" spans="1:23">
      <c r="A874" s="6" t="str">
        <f ca="1">IFERROR(__xludf.DUMMYFUNCTION("""COMPUTED_VALUE"""),"Man, Man")</f>
        <v>Man, Man</v>
      </c>
      <c r="B874" s="6" t="str">
        <f ca="1">IFERROR(__xludf.DUMMYFUNCTION("""COMPUTED_VALUE"""),"Puro Bioplastics, Inc.  _2022")</f>
        <v>Puro Bioplastics, Inc.  _2022</v>
      </c>
      <c r="C874" s="6" t="str">
        <f ca="1">IFERROR(__xludf.DUMMYFUNCTION("""COMPUTED_VALUE"""),"Deep Tech")</f>
        <v>Deep Tech</v>
      </c>
      <c r="D874" s="6" t="str">
        <f ca="1">IFERROR(__xludf.DUMMYFUNCTION("""COMPUTED_VALUE"""),"1300 Monad Terrace, PHF, Miami Beach, FL 
United States")</f>
        <v>1300 Monad Terrace, PHF, Miami Beach, FL 
United States</v>
      </c>
      <c r="E874" s="6" t="str">
        <f ca="1">IFERROR(__xludf.DUMMYFUNCTION("""COMPUTED_VALUE"""),"East Coast")</f>
        <v>East Coast</v>
      </c>
      <c r="F874" s="6" t="str">
        <f ca="1">IFERROR(__xludf.DUMMYFUNCTION("""COMPUTED_VALUE"""),"Man")</f>
        <v>Man</v>
      </c>
      <c r="G874" s="6" t="str">
        <f ca="1">IFERROR(__xludf.DUMMYFUNCTION("""COMPUTED_VALUE"""),"Man")</f>
        <v>Man</v>
      </c>
      <c r="H874" s="6"/>
      <c r="I874" s="6"/>
      <c r="J874" s="6"/>
      <c r="K874" s="6"/>
      <c r="L874" s="6" t="str">
        <f ca="1">IFERROR(__xludf.DUMMYFUNCTION("""COMPUTED_VALUE"""),"No")</f>
        <v>No</v>
      </c>
      <c r="M874" s="6"/>
      <c r="N874" s="6"/>
      <c r="O874" s="6" t="str">
        <f ca="1">IFERROR(__xludf.DUMMYFUNCTION("""COMPUTED_VALUE"""),"Referral")</f>
        <v>Referral</v>
      </c>
      <c r="P874" s="6"/>
      <c r="Q874" s="6" t="str">
        <f ca="1">IFERROR(__xludf.DUMMYFUNCTION("""COMPUTED_VALUE"""),"No")</f>
        <v>No</v>
      </c>
      <c r="R874" s="6">
        <f ca="1">IFERROR(__xludf.DUMMYFUNCTION("""COMPUTED_VALUE"""),2)</f>
        <v>2</v>
      </c>
      <c r="S874" s="6" t="str">
        <f ca="1">IFERROR(__xludf.DUMMYFUNCTION("""COMPUTED_VALUE"""),"Seed")</f>
        <v>Seed</v>
      </c>
      <c r="T874" s="6" t="str">
        <f ca="1">IFERROR(__xludf.DUMMYFUNCTION("""COMPUTED_VALUE"""),"Seed")</f>
        <v>Seed</v>
      </c>
      <c r="U874" s="6" t="str">
        <f ca="1">IFERROR(__xludf.DUMMYFUNCTION("""COMPUTED_VALUE"""),"Seed")</f>
        <v>Seed</v>
      </c>
      <c r="V874" s="6"/>
      <c r="W874" s="6" t="str">
        <f ca="1">IFERROR(__xludf.DUMMYFUNCTION("""COMPUTED_VALUE"""),"Invite Next Year")</f>
        <v>Invite Next Year</v>
      </c>
    </row>
    <row r="875" spans="1:23">
      <c r="A875" s="6" t="str">
        <f ca="1">IFERROR(__xludf.DUMMYFUNCTION("""COMPUTED_VALUE"""),"Man, Man, Man")</f>
        <v>Man, Man, Man</v>
      </c>
      <c r="B875" s="6" t="str">
        <f ca="1">IFERROR(__xludf.DUMMYFUNCTION("""COMPUTED_VALUE"""),"HeartHealth Technologies  _2022")</f>
        <v>HeartHealth Technologies  _2022</v>
      </c>
      <c r="C875" s="6" t="str">
        <f ca="1">IFERROR(__xludf.DUMMYFUNCTION("""COMPUTED_VALUE"""),"Deep Tech")</f>
        <v>Deep Tech</v>
      </c>
      <c r="D875" s="6" t="str">
        <f ca="1">IFERROR(__xludf.DUMMYFUNCTION("""COMPUTED_VALUE"""),"Bangalore, Karnataka  
India")</f>
        <v>Bangalore, Karnataka  
India</v>
      </c>
      <c r="E875" s="6" t="str">
        <f ca="1">IFERROR(__xludf.DUMMYFUNCTION("""COMPUTED_VALUE"""),"International - Asia")</f>
        <v>International - Asia</v>
      </c>
      <c r="F875" s="6" t="str">
        <f ca="1">IFERROR(__xludf.DUMMYFUNCTION("""COMPUTED_VALUE"""),"Man")</f>
        <v>Man</v>
      </c>
      <c r="G875" s="6" t="str">
        <f ca="1">IFERROR(__xludf.DUMMYFUNCTION("""COMPUTED_VALUE"""),"Man")</f>
        <v>Man</v>
      </c>
      <c r="H875" s="6" t="str">
        <f ca="1">IFERROR(__xludf.DUMMYFUNCTION("""COMPUTED_VALUE"""),"Man")</f>
        <v>Man</v>
      </c>
      <c r="I875" s="6"/>
      <c r="J875" s="6"/>
      <c r="K875" s="6"/>
      <c r="L875" s="6" t="str">
        <f ca="1">IFERROR(__xludf.DUMMYFUNCTION("""COMPUTED_VALUE"""),"No")</f>
        <v>No</v>
      </c>
      <c r="M875" s="6"/>
      <c r="N875" s="6"/>
      <c r="O875" s="6" t="str">
        <f ca="1">IFERROR(__xludf.DUMMYFUNCTION("""COMPUTED_VALUE"""),"Email")</f>
        <v>Email</v>
      </c>
      <c r="P875" s="6"/>
      <c r="Q875" s="6" t="str">
        <f ca="1">IFERROR(__xludf.DUMMYFUNCTION("""COMPUTED_VALUE"""),"No")</f>
        <v>No</v>
      </c>
      <c r="R875" s="6">
        <f ca="1">IFERROR(__xludf.DUMMYFUNCTION("""COMPUTED_VALUE"""),3)</f>
        <v>3</v>
      </c>
      <c r="S875" s="6" t="str">
        <f ca="1">IFERROR(__xludf.DUMMYFUNCTION("""COMPUTED_VALUE"""),"Pre-seed
Other: Friends, Family and Fools as Convertible Preference Shares")</f>
        <v>Pre-seed
Other: Friends, Family and Fools as Convertible Preference Shares</v>
      </c>
      <c r="T875" s="6" t="str">
        <f ca="1">IFERROR(__xludf.DUMMYFUNCTION("""COMPUTED_VALUE"""),"Pre-seed, Other: Friends, Family and Fools as Convertible Preference Shares")</f>
        <v>Pre-seed, Other: Friends, Family and Fools as Convertible Preference Shares</v>
      </c>
      <c r="U875" s="6" t="str">
        <f ca="1">IFERROR(__xludf.DUMMYFUNCTION("""COMPUTED_VALUE"""),"Pre-seed, ")</f>
        <v xml:space="preserve">Pre-seed, </v>
      </c>
      <c r="V875" s="6" t="str">
        <f ca="1">IFERROR(__xludf.DUMMYFUNCTION("""COMPUTED_VALUE"""),"Friends, Family and Fools as Convertible Preference Shares")</f>
        <v>Friends, Family and Fools as Convertible Preference Shares</v>
      </c>
      <c r="W875" s="6" t="str">
        <f ca="1">IFERROR(__xludf.DUMMYFUNCTION("""COMPUTED_VALUE"""),"Invite Next Year")</f>
        <v>Invite Next Year</v>
      </c>
    </row>
    <row r="876" spans="1:23">
      <c r="A876" s="6" t="str">
        <f ca="1">IFERROR(__xludf.DUMMYFUNCTION("""COMPUTED_VALUE"""),"Man, Man, Man, Man")</f>
        <v>Man, Man, Man, Man</v>
      </c>
      <c r="B876" s="6" t="str">
        <f ca="1">IFERROR(__xludf.DUMMYFUNCTION("""COMPUTED_VALUE"""),"Oxus.AI _2022")</f>
        <v>Oxus.AI _2022</v>
      </c>
      <c r="C876" s="6" t="str">
        <f ca="1">IFERROR(__xludf.DUMMYFUNCTION("""COMPUTED_VALUE"""),"Digital Tech")</f>
        <v>Digital Tech</v>
      </c>
      <c r="D876" s="6" t="str">
        <f ca="1">IFERROR(__xludf.DUMMYFUNCTION("""COMPUTED_VALUE"""),"Vilnius, Vilnius 
Lithuania")</f>
        <v>Vilnius, Vilnius 
Lithuania</v>
      </c>
      <c r="E876" s="6" t="str">
        <f ca="1">IFERROR(__xludf.DUMMYFUNCTION("""COMPUTED_VALUE"""),"International - Europe")</f>
        <v>International - Europe</v>
      </c>
      <c r="F876" s="6" t="str">
        <f ca="1">IFERROR(__xludf.DUMMYFUNCTION("""COMPUTED_VALUE"""),"Man")</f>
        <v>Man</v>
      </c>
      <c r="G876" s="6" t="str">
        <f ca="1">IFERROR(__xludf.DUMMYFUNCTION("""COMPUTED_VALUE"""),"Man")</f>
        <v>Man</v>
      </c>
      <c r="H876" s="6" t="str">
        <f ca="1">IFERROR(__xludf.DUMMYFUNCTION("""COMPUTED_VALUE"""),"Man")</f>
        <v>Man</v>
      </c>
      <c r="I876" s="6" t="str">
        <f ca="1">IFERROR(__xludf.DUMMYFUNCTION("""COMPUTED_VALUE"""),"Man")</f>
        <v>Man</v>
      </c>
      <c r="J876" s="6"/>
      <c r="K876" s="6"/>
      <c r="L876" s="6" t="str">
        <f ca="1">IFERROR(__xludf.DUMMYFUNCTION("""COMPUTED_VALUE"""),"No")</f>
        <v>No</v>
      </c>
      <c r="M876" s="6"/>
      <c r="N876" s="6"/>
      <c r="O876" s="6" t="str">
        <f ca="1">IFERROR(__xludf.DUMMYFUNCTION("""COMPUTED_VALUE"""),"Email")</f>
        <v>Email</v>
      </c>
      <c r="P876" s="6"/>
      <c r="Q876" s="6" t="str">
        <f ca="1">IFERROR(__xludf.DUMMYFUNCTION("""COMPUTED_VALUE"""),"No")</f>
        <v>No</v>
      </c>
      <c r="R876" s="6">
        <f ca="1">IFERROR(__xludf.DUMMYFUNCTION("""COMPUTED_VALUE"""),4)</f>
        <v>4</v>
      </c>
      <c r="S876" s="6" t="str">
        <f ca="1">IFERROR(__xludf.DUMMYFUNCTION("""COMPUTED_VALUE"""),"Pre-seed")</f>
        <v>Pre-seed</v>
      </c>
      <c r="T876" s="6" t="str">
        <f ca="1">IFERROR(__xludf.DUMMYFUNCTION("""COMPUTED_VALUE"""),"Pre-seed")</f>
        <v>Pre-seed</v>
      </c>
      <c r="U876" s="6" t="str">
        <f ca="1">IFERROR(__xludf.DUMMYFUNCTION("""COMPUTED_VALUE"""),"Pre-seed")</f>
        <v>Pre-seed</v>
      </c>
      <c r="V876" s="6"/>
      <c r="W876" s="6" t="str">
        <f ca="1">IFERROR(__xludf.DUMMYFUNCTION("""COMPUTED_VALUE"""),"Invite Next Year")</f>
        <v>Invite Next Year</v>
      </c>
    </row>
    <row r="877" spans="1:23">
      <c r="A877" s="6" t="str">
        <f ca="1">IFERROR(__xludf.DUMMYFUNCTION("""COMPUTED_VALUE"""),"Woman, Woman")</f>
        <v>Woman, Woman</v>
      </c>
      <c r="B877" s="6" t="str">
        <f ca="1">IFERROR(__xludf.DUMMYFUNCTION("""COMPUTED_VALUE"""),"Etiq AI _2022")</f>
        <v>Etiq AI _2022</v>
      </c>
      <c r="C877" s="6" t="str">
        <f ca="1">IFERROR(__xludf.DUMMYFUNCTION("""COMPUTED_VALUE"""),"Digital Tech")</f>
        <v>Digital Tech</v>
      </c>
      <c r="D877" s="6" t="str">
        <f ca="1">IFERROR(__xludf.DUMMYFUNCTION("""COMPUTED_VALUE"""),"London, London 
United Kingdom")</f>
        <v>London, London 
United Kingdom</v>
      </c>
      <c r="E877" s="6" t="str">
        <f ca="1">IFERROR(__xludf.DUMMYFUNCTION("""COMPUTED_VALUE"""),"International - Europe")</f>
        <v>International - Europe</v>
      </c>
      <c r="F877" s="6" t="str">
        <f ca="1">IFERROR(__xludf.DUMMYFUNCTION("""COMPUTED_VALUE"""),"Woman")</f>
        <v>Woman</v>
      </c>
      <c r="G877" s="6" t="str">
        <f ca="1">IFERROR(__xludf.DUMMYFUNCTION("""COMPUTED_VALUE"""),"Woman")</f>
        <v>Woman</v>
      </c>
      <c r="H877" s="6"/>
      <c r="I877" s="6"/>
      <c r="J877" s="6"/>
      <c r="K877" s="6"/>
      <c r="L877" s="6" t="str">
        <f ca="1">IFERROR(__xludf.DUMMYFUNCTION("""COMPUTED_VALUE"""),"--Please select--")</f>
        <v>--Please select--</v>
      </c>
      <c r="M877" s="6"/>
      <c r="N877" s="6"/>
      <c r="O877" s="6" t="str">
        <f ca="1">IFERROR(__xludf.DUMMYFUNCTION("""COMPUTED_VALUE"""),"Email")</f>
        <v>Email</v>
      </c>
      <c r="P877" s="6"/>
      <c r="Q877" s="6" t="str">
        <f ca="1">IFERROR(__xludf.DUMMYFUNCTION("""COMPUTED_VALUE"""),"No")</f>
        <v>No</v>
      </c>
      <c r="R877" s="6">
        <f ca="1">IFERROR(__xludf.DUMMYFUNCTION("""COMPUTED_VALUE"""),2)</f>
        <v>2</v>
      </c>
      <c r="S877" s="6" t="str">
        <f ca="1">IFERROR(__xludf.DUMMYFUNCTION("""COMPUTED_VALUE"""),"Pre-seed")</f>
        <v>Pre-seed</v>
      </c>
      <c r="T877" s="6" t="str">
        <f ca="1">IFERROR(__xludf.DUMMYFUNCTION("""COMPUTED_VALUE"""),"Pre-seed")</f>
        <v>Pre-seed</v>
      </c>
      <c r="U877" s="6" t="str">
        <f ca="1">IFERROR(__xludf.DUMMYFUNCTION("""COMPUTED_VALUE"""),"Pre-seed")</f>
        <v>Pre-seed</v>
      </c>
      <c r="V877" s="6"/>
      <c r="W877" s="6" t="str">
        <f ca="1">IFERROR(__xludf.DUMMYFUNCTION("""COMPUTED_VALUE"""),"Invite Next Year")</f>
        <v>Invite Next Year</v>
      </c>
    </row>
    <row r="878" spans="1:23">
      <c r="A878" s="6" t="str">
        <f ca="1">IFERROR(__xludf.DUMMYFUNCTION("""COMPUTED_VALUE"""),"Man")</f>
        <v>Man</v>
      </c>
      <c r="B878" s="6" t="str">
        <f ca="1">IFERROR(__xludf.DUMMYFUNCTION("""COMPUTED_VALUE"""),"Engine Systems Innovation, Inc. _2022")</f>
        <v>Engine Systems Innovation, Inc. _2022</v>
      </c>
      <c r="C878" s="6" t="str">
        <f ca="1">IFERROR(__xludf.DUMMYFUNCTION("""COMPUTED_VALUE"""),"Deep Tech")</f>
        <v>Deep Tech</v>
      </c>
      <c r="D878" s="6" t="str">
        <f ca="1">IFERROR(__xludf.DUMMYFUNCTION("""COMPUTED_VALUE"""),"Washington, UT 
United States")</f>
        <v>Washington, UT 
United States</v>
      </c>
      <c r="E878" s="6" t="str">
        <f ca="1">IFERROR(__xludf.DUMMYFUNCTION("""COMPUTED_VALUE"""),"West")</f>
        <v>West</v>
      </c>
      <c r="F878" s="6" t="str">
        <f ca="1">IFERROR(__xludf.DUMMYFUNCTION("""COMPUTED_VALUE"""),"Man")</f>
        <v>Man</v>
      </c>
      <c r="G878" s="6"/>
      <c r="H878" s="6"/>
      <c r="I878" s="6"/>
      <c r="J878" s="6"/>
      <c r="K878" s="6"/>
      <c r="L878" s="6" t="str">
        <f ca="1">IFERROR(__xludf.DUMMYFUNCTION("""COMPUTED_VALUE"""),"No")</f>
        <v>No</v>
      </c>
      <c r="M878" s="6"/>
      <c r="N878" s="6"/>
      <c r="O878" s="6" t="str">
        <f ca="1">IFERROR(__xludf.DUMMYFUNCTION("""COMPUTED_VALUE"""),"Email")</f>
        <v>Email</v>
      </c>
      <c r="P878" s="6"/>
      <c r="Q878" s="6" t="str">
        <f ca="1">IFERROR(__xludf.DUMMYFUNCTION("""COMPUTED_VALUE"""),"No")</f>
        <v>No</v>
      </c>
      <c r="R878" s="6">
        <f ca="1">IFERROR(__xludf.DUMMYFUNCTION("""COMPUTED_VALUE"""),1)</f>
        <v>1</v>
      </c>
      <c r="S878" s="6" t="str">
        <f ca="1">IFERROR(__xludf.DUMMYFUNCTION("""COMPUTED_VALUE"""),"Grants
Other: ESI internal funding")</f>
        <v>Grants
Other: ESI internal funding</v>
      </c>
      <c r="T878" s="6" t="str">
        <f ca="1">IFERROR(__xludf.DUMMYFUNCTION("""COMPUTED_VALUE"""),"Grants, Other: ESI internal funding")</f>
        <v>Grants, Other: ESI internal funding</v>
      </c>
      <c r="U878" s="6" t="str">
        <f ca="1">IFERROR(__xludf.DUMMYFUNCTION("""COMPUTED_VALUE"""),"Grants, ")</f>
        <v xml:space="preserve">Grants, </v>
      </c>
      <c r="V878" s="6" t="str">
        <f ca="1">IFERROR(__xludf.DUMMYFUNCTION("""COMPUTED_VALUE"""),"ESI internal funding")</f>
        <v>ESI internal funding</v>
      </c>
      <c r="W878" s="6" t="str">
        <f ca="1">IFERROR(__xludf.DUMMYFUNCTION("""COMPUTED_VALUE"""),"Invite Next Year")</f>
        <v>Invite Next Year</v>
      </c>
    </row>
    <row r="879" spans="1:23">
      <c r="A879" s="6" t="str">
        <f ca="1">IFERROR(__xludf.DUMMYFUNCTION("""COMPUTED_VALUE"""),"Man, Woman")</f>
        <v>Man, Woman</v>
      </c>
      <c r="B879" s="6" t="str">
        <f ca="1">IFERROR(__xludf.DUMMYFUNCTION("""COMPUTED_VALUE"""),"EMPIRI _2022")</f>
        <v>EMPIRI _2022</v>
      </c>
      <c r="C879" s="6" t="str">
        <f ca="1">IFERROR(__xludf.DUMMYFUNCTION("""COMPUTED_VALUE"""),"Life Sciences")</f>
        <v>Life Sciences</v>
      </c>
      <c r="D879" s="6" t="str">
        <f ca="1">IFERROR(__xludf.DUMMYFUNCTION("""COMPUTED_VALUE"""),"Houston, Texas 
United States")</f>
        <v>Houston, Texas 
United States</v>
      </c>
      <c r="E879" s="6" t="str">
        <f ca="1">IFERROR(__xludf.DUMMYFUNCTION("""COMPUTED_VALUE"""),"South")</f>
        <v>South</v>
      </c>
      <c r="F879" s="6" t="str">
        <f ca="1">IFERROR(__xludf.DUMMYFUNCTION("""COMPUTED_VALUE"""),"Man")</f>
        <v>Man</v>
      </c>
      <c r="G879" s="6" t="str">
        <f ca="1">IFERROR(__xludf.DUMMYFUNCTION("""COMPUTED_VALUE"""),"Woman")</f>
        <v>Woman</v>
      </c>
      <c r="H879" s="6"/>
      <c r="I879" s="6"/>
      <c r="J879" s="6"/>
      <c r="K879" s="6"/>
      <c r="L879" s="6" t="str">
        <f ca="1">IFERROR(__xludf.DUMMYFUNCTION("""COMPUTED_VALUE"""),"No")</f>
        <v>No</v>
      </c>
      <c r="M879" s="6"/>
      <c r="N879" s="6"/>
      <c r="O879" s="6" t="str">
        <f ca="1">IFERROR(__xludf.DUMMYFUNCTION("""COMPUTED_VALUE"""),"Email")</f>
        <v>Email</v>
      </c>
      <c r="P879" s="6"/>
      <c r="Q879" s="6" t="str">
        <f ca="1">IFERROR(__xludf.DUMMYFUNCTION("""COMPUTED_VALUE"""),"No")</f>
        <v>No</v>
      </c>
      <c r="R879" s="6">
        <f ca="1">IFERROR(__xludf.DUMMYFUNCTION("""COMPUTED_VALUE"""),2)</f>
        <v>2</v>
      </c>
      <c r="S879" s="6" t="str">
        <f ca="1">IFERROR(__xludf.DUMMYFUNCTION("""COMPUTED_VALUE"""),"Pre-seed")</f>
        <v>Pre-seed</v>
      </c>
      <c r="T879" s="6" t="str">
        <f ca="1">IFERROR(__xludf.DUMMYFUNCTION("""COMPUTED_VALUE"""),"Pre-seed")</f>
        <v>Pre-seed</v>
      </c>
      <c r="U879" s="6" t="str">
        <f ca="1">IFERROR(__xludf.DUMMYFUNCTION("""COMPUTED_VALUE"""),"Pre-seed")</f>
        <v>Pre-seed</v>
      </c>
      <c r="V879" s="6"/>
      <c r="W879" s="6" t="str">
        <f ca="1">IFERROR(__xludf.DUMMYFUNCTION("""COMPUTED_VALUE"""),"Invite")</f>
        <v>Invite</v>
      </c>
    </row>
    <row r="880" spans="1:23">
      <c r="A880" s="6" t="str">
        <f ca="1">IFERROR(__xludf.DUMMYFUNCTION("""COMPUTED_VALUE"""),"Man, Man")</f>
        <v>Man, Man</v>
      </c>
      <c r="B880" s="6" t="str">
        <f ca="1">IFERROR(__xludf.DUMMYFUNCTION("""COMPUTED_VALUE"""),"JS Group _2022")</f>
        <v>JS Group _2022</v>
      </c>
      <c r="C880" s="6" t="str">
        <f ca="1">IFERROR(__xludf.DUMMYFUNCTION("""COMPUTED_VALUE"""),"Digital Tech")</f>
        <v>Digital Tech</v>
      </c>
      <c r="D880" s="6" t="str">
        <f ca="1">IFERROR(__xludf.DUMMYFUNCTION("""COMPUTED_VALUE"""),"New York City, New York 
United States")</f>
        <v>New York City, New York 
United States</v>
      </c>
      <c r="E880" s="6" t="str">
        <f ca="1">IFERROR(__xludf.DUMMYFUNCTION("""COMPUTED_VALUE"""),"New York")</f>
        <v>New York</v>
      </c>
      <c r="F880" s="6" t="str">
        <f ca="1">IFERROR(__xludf.DUMMYFUNCTION("""COMPUTED_VALUE"""),"Man")</f>
        <v>Man</v>
      </c>
      <c r="G880" s="6" t="str">
        <f ca="1">IFERROR(__xludf.DUMMYFUNCTION("""COMPUTED_VALUE"""),"Man")</f>
        <v>Man</v>
      </c>
      <c r="H880" s="6"/>
      <c r="I880" s="6"/>
      <c r="J880" s="6"/>
      <c r="K880" s="6"/>
      <c r="L880" s="6" t="str">
        <f ca="1">IFERROR(__xludf.DUMMYFUNCTION("""COMPUTED_VALUE"""),"Yes")</f>
        <v>Yes</v>
      </c>
      <c r="M880" s="6" t="str">
        <f ca="1">IFERROR(__xludf.DUMMYFUNCTION("""COMPUTED_VALUE"""),"NYU Student")</f>
        <v>NYU Student</v>
      </c>
      <c r="N880" s="6"/>
      <c r="O880" s="6" t="str">
        <f ca="1">IFERROR(__xludf.DUMMYFUNCTION("""COMPUTED_VALUE"""),"NYU Newsletter")</f>
        <v>NYU Newsletter</v>
      </c>
      <c r="P880" s="6"/>
      <c r="Q880" s="6" t="str">
        <f ca="1">IFERROR(__xludf.DUMMYFUNCTION("""COMPUTED_VALUE"""),"No")</f>
        <v>No</v>
      </c>
      <c r="R880" s="6">
        <f ca="1">IFERROR(__xludf.DUMMYFUNCTION("""COMPUTED_VALUE"""),2)</f>
        <v>2</v>
      </c>
      <c r="S880" s="6" t="str">
        <f ca="1">IFERROR(__xludf.DUMMYFUNCTION("""COMPUTED_VALUE"""),"None")</f>
        <v>None</v>
      </c>
      <c r="T880" s="6" t="str">
        <f ca="1">IFERROR(__xludf.DUMMYFUNCTION("""COMPUTED_VALUE"""),"None")</f>
        <v>None</v>
      </c>
      <c r="U880" s="6" t="str">
        <f ca="1">IFERROR(__xludf.DUMMYFUNCTION("""COMPUTED_VALUE"""),"None")</f>
        <v>None</v>
      </c>
      <c r="V880" s="6"/>
      <c r="W880" s="6" t="str">
        <f ca="1">IFERROR(__xludf.DUMMYFUNCTION("""COMPUTED_VALUE"""),"Invite Next Year")</f>
        <v>Invite Next Year</v>
      </c>
    </row>
    <row r="881" spans="1:23">
      <c r="A881" s="6" t="str">
        <f ca="1">IFERROR(__xludf.DUMMYFUNCTION("""COMPUTED_VALUE"""),"Man, Woman, Man")</f>
        <v>Man, Woman, Man</v>
      </c>
      <c r="B881" s="6" t="str">
        <f ca="1">IFERROR(__xludf.DUMMYFUNCTION("""COMPUTED_VALUE"""),"White Rock Therapeutics _2022")</f>
        <v>White Rock Therapeutics _2022</v>
      </c>
      <c r="C881" s="6" t="str">
        <f ca="1">IFERROR(__xludf.DUMMYFUNCTION("""COMPUTED_VALUE"""),"Life Sciences")</f>
        <v>Life Sciences</v>
      </c>
      <c r="D881" s="6" t="str">
        <f ca="1">IFERROR(__xludf.DUMMYFUNCTION("""COMPUTED_VALUE"""),"New York, NY 
United States")</f>
        <v>New York, NY 
United States</v>
      </c>
      <c r="E881" s="6" t="str">
        <f ca="1">IFERROR(__xludf.DUMMYFUNCTION("""COMPUTED_VALUE"""),"New York")</f>
        <v>New York</v>
      </c>
      <c r="F881" s="6" t="str">
        <f ca="1">IFERROR(__xludf.DUMMYFUNCTION("""COMPUTED_VALUE"""),"Man")</f>
        <v>Man</v>
      </c>
      <c r="G881" s="6" t="str">
        <f ca="1">IFERROR(__xludf.DUMMYFUNCTION("""COMPUTED_VALUE"""),"Woman")</f>
        <v>Woman</v>
      </c>
      <c r="H881" s="6" t="str">
        <f ca="1">IFERROR(__xludf.DUMMYFUNCTION("""COMPUTED_VALUE"""),"Man")</f>
        <v>Man</v>
      </c>
      <c r="I881" s="6"/>
      <c r="J881" s="6"/>
      <c r="K881" s="6"/>
      <c r="L881" s="6" t="str">
        <f ca="1">IFERROR(__xludf.DUMMYFUNCTION("""COMPUTED_VALUE"""),"No")</f>
        <v>No</v>
      </c>
      <c r="M881" s="6"/>
      <c r="N881" s="6"/>
      <c r="O881" s="6" t="str">
        <f ca="1">IFERROR(__xludf.DUMMYFUNCTION("""COMPUTED_VALUE"""),"Referral")</f>
        <v>Referral</v>
      </c>
      <c r="P881" s="6"/>
      <c r="Q881" s="6" t="str">
        <f ca="1">IFERROR(__xludf.DUMMYFUNCTION("""COMPUTED_VALUE"""),"No")</f>
        <v>No</v>
      </c>
      <c r="R881" s="6">
        <f ca="1">IFERROR(__xludf.DUMMYFUNCTION("""COMPUTED_VALUE"""),3)</f>
        <v>3</v>
      </c>
      <c r="S881" s="6" t="str">
        <f ca="1">IFERROR(__xludf.DUMMYFUNCTION("""COMPUTED_VALUE"""),"Pre-seed")</f>
        <v>Pre-seed</v>
      </c>
      <c r="T881" s="6" t="str">
        <f ca="1">IFERROR(__xludf.DUMMYFUNCTION("""COMPUTED_VALUE"""),"Pre-seed")</f>
        <v>Pre-seed</v>
      </c>
      <c r="U881" s="6" t="str">
        <f ca="1">IFERROR(__xludf.DUMMYFUNCTION("""COMPUTED_VALUE"""),"Pre-seed")</f>
        <v>Pre-seed</v>
      </c>
      <c r="V881" s="6"/>
      <c r="W881" s="6" t="str">
        <f ca="1">IFERROR(__xludf.DUMMYFUNCTION("""COMPUTED_VALUE"""),"Revisit/ Cluster")</f>
        <v>Revisit/ Cluster</v>
      </c>
    </row>
    <row r="882" spans="1:23">
      <c r="A882" s="6" t="str">
        <f ca="1">IFERROR(__xludf.DUMMYFUNCTION("""COMPUTED_VALUE"""),"Woman, Man, Man")</f>
        <v>Woman, Man, Man</v>
      </c>
      <c r="B882" s="6" t="str">
        <f ca="1">IFERROR(__xludf.DUMMYFUNCTION("""COMPUTED_VALUE"""),"Nomi Materials _2022")</f>
        <v>Nomi Materials _2022</v>
      </c>
      <c r="C882" s="6" t="str">
        <f ca="1">IFERROR(__xludf.DUMMYFUNCTION("""COMPUTED_VALUE"""),"Deep Tech")</f>
        <v>Deep Tech</v>
      </c>
      <c r="D882" s="6" t="str">
        <f ca="1">IFERROR(__xludf.DUMMYFUNCTION("""COMPUTED_VALUE"""),"New York, NY 
United States")</f>
        <v>New York, NY 
United States</v>
      </c>
      <c r="E882" s="6" t="str">
        <f ca="1">IFERROR(__xludf.DUMMYFUNCTION("""COMPUTED_VALUE"""),"New York")</f>
        <v>New York</v>
      </c>
      <c r="F882" s="6" t="str">
        <f ca="1">IFERROR(__xludf.DUMMYFUNCTION("""COMPUTED_VALUE"""),"Woman")</f>
        <v>Woman</v>
      </c>
      <c r="G882" s="6" t="str">
        <f ca="1">IFERROR(__xludf.DUMMYFUNCTION("""COMPUTED_VALUE"""),"Man")</f>
        <v>Man</v>
      </c>
      <c r="H882" s="6" t="str">
        <f ca="1">IFERROR(__xludf.DUMMYFUNCTION("""COMPUTED_VALUE"""),"Man")</f>
        <v>Man</v>
      </c>
      <c r="I882" s="6"/>
      <c r="J882" s="6"/>
      <c r="K882" s="6"/>
      <c r="L882" s="6" t="str">
        <f ca="1">IFERROR(__xludf.DUMMYFUNCTION("""COMPUTED_VALUE"""),"No")</f>
        <v>No</v>
      </c>
      <c r="M882" s="6"/>
      <c r="N882" s="6"/>
      <c r="O882" s="6" t="str">
        <f ca="1">IFERROR(__xludf.DUMMYFUNCTION("""COMPUTED_VALUE"""),"Referral")</f>
        <v>Referral</v>
      </c>
      <c r="P882" s="6"/>
      <c r="Q882" s="6" t="str">
        <f ca="1">IFERROR(__xludf.DUMMYFUNCTION("""COMPUTED_VALUE"""),"No")</f>
        <v>No</v>
      </c>
      <c r="R882" s="6">
        <f ca="1">IFERROR(__xludf.DUMMYFUNCTION("""COMPUTED_VALUE"""),3)</f>
        <v>3</v>
      </c>
      <c r="S882" s="6" t="str">
        <f ca="1">IFERROR(__xludf.DUMMYFUNCTION("""COMPUTED_VALUE"""),"Pre-seed")</f>
        <v>Pre-seed</v>
      </c>
      <c r="T882" s="6" t="str">
        <f ca="1">IFERROR(__xludf.DUMMYFUNCTION("""COMPUTED_VALUE"""),"Pre-seed")</f>
        <v>Pre-seed</v>
      </c>
      <c r="U882" s="6" t="str">
        <f ca="1">IFERROR(__xludf.DUMMYFUNCTION("""COMPUTED_VALUE"""),"Pre-seed")</f>
        <v>Pre-seed</v>
      </c>
      <c r="V882" s="6"/>
      <c r="W882" s="6" t="str">
        <f ca="1">IFERROR(__xludf.DUMMYFUNCTION("""COMPUTED_VALUE"""),"Invite Next Year")</f>
        <v>Invite Next Year</v>
      </c>
    </row>
    <row r="883" spans="1:23">
      <c r="A883" s="6" t="str">
        <f ca="1">IFERROR(__xludf.DUMMYFUNCTION("""COMPUTED_VALUE"""),"Man")</f>
        <v>Man</v>
      </c>
      <c r="B883" s="6" t="str">
        <f ca="1">IFERROR(__xludf.DUMMYFUNCTION("""COMPUTED_VALUE"""),"Millibeam _2022")</f>
        <v>Millibeam _2022</v>
      </c>
      <c r="C883" s="6" t="str">
        <f ca="1">IFERROR(__xludf.DUMMYFUNCTION("""COMPUTED_VALUE"""),"Deep Tech")</f>
        <v>Deep Tech</v>
      </c>
      <c r="D883" s="6" t="str">
        <f ca="1">IFERROR(__xludf.DUMMYFUNCTION("""COMPUTED_VALUE"""),"28 Walter Crocker Cres, Casey, ACT 
Australia")</f>
        <v>28 Walter Crocker Cres, Casey, ACT 
Australia</v>
      </c>
      <c r="E883" s="6" t="str">
        <f ca="1">IFERROR(__xludf.DUMMYFUNCTION("""COMPUTED_VALUE"""),"International - Other")</f>
        <v>International - Other</v>
      </c>
      <c r="F883" s="6" t="str">
        <f ca="1">IFERROR(__xludf.DUMMYFUNCTION("""COMPUTED_VALUE"""),"Man")</f>
        <v>Man</v>
      </c>
      <c r="G883" s="6"/>
      <c r="H883" s="6"/>
      <c r="I883" s="6"/>
      <c r="J883" s="6"/>
      <c r="K883" s="6"/>
      <c r="L883" s="6" t="str">
        <f ca="1">IFERROR(__xludf.DUMMYFUNCTION("""COMPUTED_VALUE"""),"No")</f>
        <v>No</v>
      </c>
      <c r="M883" s="6"/>
      <c r="N883" s="6"/>
      <c r="O883" s="6" t="str">
        <f ca="1">IFERROR(__xludf.DUMMYFUNCTION("""COMPUTED_VALUE"""),"Email")</f>
        <v>Email</v>
      </c>
      <c r="P883" s="6"/>
      <c r="Q883" s="6" t="str">
        <f ca="1">IFERROR(__xludf.DUMMYFUNCTION("""COMPUTED_VALUE"""),"No")</f>
        <v>No</v>
      </c>
      <c r="R883" s="6">
        <f ca="1">IFERROR(__xludf.DUMMYFUNCTION("""COMPUTED_VALUE"""),1)</f>
        <v>1</v>
      </c>
      <c r="S883" s="6" t="str">
        <f ca="1">IFERROR(__xludf.DUMMYFUNCTION("""COMPUTED_VALUE"""),"Pre-seed")</f>
        <v>Pre-seed</v>
      </c>
      <c r="T883" s="6" t="str">
        <f ca="1">IFERROR(__xludf.DUMMYFUNCTION("""COMPUTED_VALUE"""),"Pre-seed")</f>
        <v>Pre-seed</v>
      </c>
      <c r="U883" s="6" t="str">
        <f ca="1">IFERROR(__xludf.DUMMYFUNCTION("""COMPUTED_VALUE"""),"Pre-seed")</f>
        <v>Pre-seed</v>
      </c>
      <c r="V883" s="6"/>
      <c r="W883" s="6" t="str">
        <f ca="1">IFERROR(__xludf.DUMMYFUNCTION("""COMPUTED_VALUE"""),"Invite Next Year")</f>
        <v>Invite Next Year</v>
      </c>
    </row>
    <row r="884" spans="1:23">
      <c r="A884" s="6" t="str">
        <f ca="1">IFERROR(__xludf.DUMMYFUNCTION("""COMPUTED_VALUE"""),"Woman, Woman")</f>
        <v>Woman, Woman</v>
      </c>
      <c r="B884" s="6" t="str">
        <f ca="1">IFERROR(__xludf.DUMMYFUNCTION("""COMPUTED_VALUE"""),"ELANZA Wellness _2022")</f>
        <v>ELANZA Wellness _2022</v>
      </c>
      <c r="C884" s="6" t="str">
        <f ca="1">IFERROR(__xludf.DUMMYFUNCTION("""COMPUTED_VALUE"""),"Digital Tech")</f>
        <v>Digital Tech</v>
      </c>
      <c r="D884" s="6" t="str">
        <f ca="1">IFERROR(__xludf.DUMMYFUNCTION("""COMPUTED_VALUE"""),"1201 N Orange St Ste 600, Wilmington, 19801, Delaware 
United States")</f>
        <v>1201 N Orange St Ste 600, Wilmington, 19801, Delaware 
United States</v>
      </c>
      <c r="E884" s="6" t="str">
        <f ca="1">IFERROR(__xludf.DUMMYFUNCTION("""COMPUTED_VALUE"""),"East Coast")</f>
        <v>East Coast</v>
      </c>
      <c r="F884" s="6" t="str">
        <f ca="1">IFERROR(__xludf.DUMMYFUNCTION("""COMPUTED_VALUE"""),"Woman")</f>
        <v>Woman</v>
      </c>
      <c r="G884" s="6" t="str">
        <f ca="1">IFERROR(__xludf.DUMMYFUNCTION("""COMPUTED_VALUE"""),"Woman")</f>
        <v>Woman</v>
      </c>
      <c r="H884" s="6"/>
      <c r="I884" s="6"/>
      <c r="J884" s="6"/>
      <c r="K884" s="6"/>
      <c r="L884" s="6" t="str">
        <f ca="1">IFERROR(__xludf.DUMMYFUNCTION("""COMPUTED_VALUE"""),"No")</f>
        <v>No</v>
      </c>
      <c r="M884" s="6"/>
      <c r="N884" s="6"/>
      <c r="O884" s="6" t="str">
        <f ca="1">IFERROR(__xludf.DUMMYFUNCTION("""COMPUTED_VALUE"""),"Search Engine")</f>
        <v>Search Engine</v>
      </c>
      <c r="P884" s="6"/>
      <c r="Q884" s="6" t="str">
        <f ca="1">IFERROR(__xludf.DUMMYFUNCTION("""COMPUTED_VALUE"""),"No")</f>
        <v>No</v>
      </c>
      <c r="R884" s="6">
        <f ca="1">IFERROR(__xludf.DUMMYFUNCTION("""COMPUTED_VALUE"""),2)</f>
        <v>2</v>
      </c>
      <c r="S884" s="6" t="str">
        <f ca="1">IFERROR(__xludf.DUMMYFUNCTION("""COMPUTED_VALUE"""),"Pre-seed")</f>
        <v>Pre-seed</v>
      </c>
      <c r="T884" s="6" t="str">
        <f ca="1">IFERROR(__xludf.DUMMYFUNCTION("""COMPUTED_VALUE"""),"Pre-seed")</f>
        <v>Pre-seed</v>
      </c>
      <c r="U884" s="6" t="str">
        <f ca="1">IFERROR(__xludf.DUMMYFUNCTION("""COMPUTED_VALUE"""),"Pre-seed")</f>
        <v>Pre-seed</v>
      </c>
      <c r="V884" s="6"/>
      <c r="W884" s="6" t="str">
        <f ca="1">IFERROR(__xludf.DUMMYFUNCTION("""COMPUTED_VALUE"""),"Invite Next Year")</f>
        <v>Invite Next Year</v>
      </c>
    </row>
    <row r="885" spans="1:23">
      <c r="A885" s="6" t="str">
        <f ca="1">IFERROR(__xludf.DUMMYFUNCTION("""COMPUTED_VALUE"""),"Man, Man")</f>
        <v>Man, Man</v>
      </c>
      <c r="B885" s="6" t="str">
        <f ca="1">IFERROR(__xludf.DUMMYFUNCTION("""COMPUTED_VALUE"""),"ARCHITEChTURES _2022")</f>
        <v>ARCHITEChTURES _2022</v>
      </c>
      <c r="C885" s="6" t="str">
        <f ca="1">IFERROR(__xludf.DUMMYFUNCTION("""COMPUTED_VALUE"""),"Digital Tech")</f>
        <v>Digital Tech</v>
      </c>
      <c r="D885" s="6" t="str">
        <f ca="1">IFERROR(__xludf.DUMMYFUNCTION("""COMPUTED_VALUE"""),"MALAGA, MALAGA 
Spain")</f>
        <v>MALAGA, MALAGA 
Spain</v>
      </c>
      <c r="E885" s="6" t="str">
        <f ca="1">IFERROR(__xludf.DUMMYFUNCTION("""COMPUTED_VALUE"""),"International - Europe")</f>
        <v>International - Europe</v>
      </c>
      <c r="F885" s="6" t="str">
        <f ca="1">IFERROR(__xludf.DUMMYFUNCTION("""COMPUTED_VALUE"""),"Man")</f>
        <v>Man</v>
      </c>
      <c r="G885" s="6" t="str">
        <f ca="1">IFERROR(__xludf.DUMMYFUNCTION("""COMPUTED_VALUE"""),"Man")</f>
        <v>Man</v>
      </c>
      <c r="H885" s="6"/>
      <c r="I885" s="6"/>
      <c r="J885" s="6"/>
      <c r="K885" s="6"/>
      <c r="L885" s="6" t="str">
        <f ca="1">IFERROR(__xludf.DUMMYFUNCTION("""COMPUTED_VALUE"""),"No")</f>
        <v>No</v>
      </c>
      <c r="M885" s="6"/>
      <c r="N885" s="6"/>
      <c r="O885" s="6" t="str">
        <f ca="1">IFERROR(__xludf.DUMMYFUNCTION("""COMPUTED_VALUE"""),"Email")</f>
        <v>Email</v>
      </c>
      <c r="P885" s="6"/>
      <c r="Q885" s="6" t="str">
        <f ca="1">IFERROR(__xludf.DUMMYFUNCTION("""COMPUTED_VALUE"""),"No")</f>
        <v>No</v>
      </c>
      <c r="R885" s="6">
        <f ca="1">IFERROR(__xludf.DUMMYFUNCTION("""COMPUTED_VALUE"""),2)</f>
        <v>2</v>
      </c>
      <c r="S885" s="6" t="str">
        <f ca="1">IFERROR(__xludf.DUMMYFUNCTION("""COMPUTED_VALUE"""),"Seed")</f>
        <v>Seed</v>
      </c>
      <c r="T885" s="6" t="str">
        <f ca="1">IFERROR(__xludf.DUMMYFUNCTION("""COMPUTED_VALUE"""),"Seed")</f>
        <v>Seed</v>
      </c>
      <c r="U885" s="6" t="str">
        <f ca="1">IFERROR(__xludf.DUMMYFUNCTION("""COMPUTED_VALUE"""),"Seed")</f>
        <v>Seed</v>
      </c>
      <c r="V885" s="6"/>
      <c r="W885" s="6" t="str">
        <f ca="1">IFERROR(__xludf.DUMMYFUNCTION("""COMPUTED_VALUE"""),"Invite Next Year")</f>
        <v>Invite Next Year</v>
      </c>
    </row>
    <row r="886" spans="1:23">
      <c r="A886" s="6" t="str">
        <f ca="1">IFERROR(__xludf.DUMMYFUNCTION("""COMPUTED_VALUE"""),"Woman, Man")</f>
        <v>Woman, Man</v>
      </c>
      <c r="B886" s="6" t="str">
        <f ca="1">IFERROR(__xludf.DUMMYFUNCTION("""COMPUTED_VALUE"""),"Anima Interactive _2022")</f>
        <v>Anima Interactive _2022</v>
      </c>
      <c r="C886" s="6" t="str">
        <f ca="1">IFERROR(__xludf.DUMMYFUNCTION("""COMPUTED_VALUE"""),"Digital Tech")</f>
        <v>Digital Tech</v>
      </c>
      <c r="D886" s="6" t="str">
        <f ca="1">IFERROR(__xludf.DUMMYFUNCTION("""COMPUTED_VALUE"""),"Toronto, ON 
Canada")</f>
        <v>Toronto, ON 
Canada</v>
      </c>
      <c r="E886" s="6" t="str">
        <f ca="1">IFERROR(__xludf.DUMMYFUNCTION("""COMPUTED_VALUE"""),"International - Americas")</f>
        <v>International - Americas</v>
      </c>
      <c r="F886" s="6" t="str">
        <f ca="1">IFERROR(__xludf.DUMMYFUNCTION("""COMPUTED_VALUE"""),"Woman")</f>
        <v>Woman</v>
      </c>
      <c r="G886" s="6" t="str">
        <f ca="1">IFERROR(__xludf.DUMMYFUNCTION("""COMPUTED_VALUE"""),"Man")</f>
        <v>Man</v>
      </c>
      <c r="H886" s="6"/>
      <c r="I886" s="6"/>
      <c r="J886" s="6"/>
      <c r="K886" s="6"/>
      <c r="L886" s="6" t="str">
        <f ca="1">IFERROR(__xludf.DUMMYFUNCTION("""COMPUTED_VALUE"""),"No")</f>
        <v>No</v>
      </c>
      <c r="M886" s="6"/>
      <c r="N886" s="6"/>
      <c r="O886" s="6" t="str">
        <f ca="1">IFERROR(__xludf.DUMMYFUNCTION("""COMPUTED_VALUE"""),"Info Session")</f>
        <v>Info Session</v>
      </c>
      <c r="P886" s="6"/>
      <c r="Q886" s="6" t="str">
        <f ca="1">IFERROR(__xludf.DUMMYFUNCTION("""COMPUTED_VALUE"""),"No")</f>
        <v>No</v>
      </c>
      <c r="R886" s="6">
        <f ca="1">IFERROR(__xludf.DUMMYFUNCTION("""COMPUTED_VALUE"""),2)</f>
        <v>2</v>
      </c>
      <c r="S886" s="6" t="str">
        <f ca="1">IFERROR(__xludf.DUMMYFUNCTION("""COMPUTED_VALUE"""),"None")</f>
        <v>None</v>
      </c>
      <c r="T886" s="6" t="str">
        <f ca="1">IFERROR(__xludf.DUMMYFUNCTION("""COMPUTED_VALUE"""),"None")</f>
        <v>None</v>
      </c>
      <c r="U886" s="6" t="str">
        <f ca="1">IFERROR(__xludf.DUMMYFUNCTION("""COMPUTED_VALUE"""),"None")</f>
        <v>None</v>
      </c>
      <c r="V886" s="6"/>
      <c r="W886" s="6" t="str">
        <f ca="1">IFERROR(__xludf.DUMMYFUNCTION("""COMPUTED_VALUE"""),"Invite Next Year")</f>
        <v>Invite Next Year</v>
      </c>
    </row>
    <row r="887" spans="1:23">
      <c r="A887" s="6" t="str">
        <f ca="1">IFERROR(__xludf.DUMMYFUNCTION("""COMPUTED_VALUE"""),"Man")</f>
        <v>Man</v>
      </c>
      <c r="B887" s="6" t="str">
        <f ca="1">IFERROR(__xludf.DUMMYFUNCTION("""COMPUTED_VALUE"""),"Sleep Easy Technology Inc. _2022")</f>
        <v>Sleep Easy Technology Inc. _2022</v>
      </c>
      <c r="C887" s="6" t="str">
        <f ca="1">IFERROR(__xludf.DUMMYFUNCTION("""COMPUTED_VALUE"""),"Deep Tech")</f>
        <v>Deep Tech</v>
      </c>
      <c r="D887" s="6" t="str">
        <f ca="1">IFERROR(__xludf.DUMMYFUNCTION("""COMPUTED_VALUE"""),"South Bend , Indiana 
United States")</f>
        <v>South Bend , Indiana 
United States</v>
      </c>
      <c r="E887" s="6" t="str">
        <f ca="1">IFERROR(__xludf.DUMMYFUNCTION("""COMPUTED_VALUE"""),"Midwest")</f>
        <v>Midwest</v>
      </c>
      <c r="F887" s="6" t="str">
        <f ca="1">IFERROR(__xludf.DUMMYFUNCTION("""COMPUTED_VALUE"""),"Man")</f>
        <v>Man</v>
      </c>
      <c r="G887" s="6"/>
      <c r="H887" s="6"/>
      <c r="I887" s="6"/>
      <c r="J887" s="6"/>
      <c r="K887" s="6"/>
      <c r="L887" s="6" t="str">
        <f ca="1">IFERROR(__xludf.DUMMYFUNCTION("""COMPUTED_VALUE"""),"No")</f>
        <v>No</v>
      </c>
      <c r="M887" s="6"/>
      <c r="N887" s="6"/>
      <c r="O887" s="6" t="str">
        <f ca="1">IFERROR(__xludf.DUMMYFUNCTION("""COMPUTED_VALUE"""),"Info Session")</f>
        <v>Info Session</v>
      </c>
      <c r="P887" s="6"/>
      <c r="Q887" s="6" t="str">
        <f ca="1">IFERROR(__xludf.DUMMYFUNCTION("""COMPUTED_VALUE"""),"No")</f>
        <v>No</v>
      </c>
      <c r="R887" s="6">
        <f ca="1">IFERROR(__xludf.DUMMYFUNCTION("""COMPUTED_VALUE"""),1)</f>
        <v>1</v>
      </c>
      <c r="S887" s="6" t="str">
        <f ca="1">IFERROR(__xludf.DUMMYFUNCTION("""COMPUTED_VALUE"""),"Pre-seed")</f>
        <v>Pre-seed</v>
      </c>
      <c r="T887" s="6" t="str">
        <f ca="1">IFERROR(__xludf.DUMMYFUNCTION("""COMPUTED_VALUE"""),"Pre-seed")</f>
        <v>Pre-seed</v>
      </c>
      <c r="U887" s="6" t="str">
        <f ca="1">IFERROR(__xludf.DUMMYFUNCTION("""COMPUTED_VALUE"""),"Pre-seed")</f>
        <v>Pre-seed</v>
      </c>
      <c r="V887" s="6"/>
      <c r="W887" s="6" t="str">
        <f ca="1">IFERROR(__xludf.DUMMYFUNCTION("""COMPUTED_VALUE"""),"Invite Next Year")</f>
        <v>Invite Next Year</v>
      </c>
    </row>
    <row r="888" spans="1:23">
      <c r="A888" s="6" t="str">
        <f ca="1">IFERROR(__xludf.DUMMYFUNCTION("""COMPUTED_VALUE"""),"Man, Man, Woman")</f>
        <v>Man, Man, Woman</v>
      </c>
      <c r="B888" s="6" t="str">
        <f ca="1">IFERROR(__xludf.DUMMYFUNCTION("""COMPUTED_VALUE"""),"Clearword _2022")</f>
        <v>Clearword _2022</v>
      </c>
      <c r="C888" s="6" t="str">
        <f ca="1">IFERROR(__xludf.DUMMYFUNCTION("""COMPUTED_VALUE"""),"Deep Tech")</f>
        <v>Deep Tech</v>
      </c>
      <c r="D888" s="6" t="str">
        <f ca="1">IFERROR(__xludf.DUMMYFUNCTION("""COMPUTED_VALUE"""),"Unit 3D North point House Unit, Cork 
Ireland")</f>
        <v>Unit 3D North point House Unit, Cork 
Ireland</v>
      </c>
      <c r="E888" s="6" t="str">
        <f ca="1">IFERROR(__xludf.DUMMYFUNCTION("""COMPUTED_VALUE"""),"International - Europe")</f>
        <v>International - Europe</v>
      </c>
      <c r="F888" s="6" t="str">
        <f ca="1">IFERROR(__xludf.DUMMYFUNCTION("""COMPUTED_VALUE"""),"Man")</f>
        <v>Man</v>
      </c>
      <c r="G888" s="6" t="str">
        <f ca="1">IFERROR(__xludf.DUMMYFUNCTION("""COMPUTED_VALUE"""),"Man")</f>
        <v>Man</v>
      </c>
      <c r="H888" s="6" t="str">
        <f ca="1">IFERROR(__xludf.DUMMYFUNCTION("""COMPUTED_VALUE"""),"Woman")</f>
        <v>Woman</v>
      </c>
      <c r="I888" s="6"/>
      <c r="J888" s="6"/>
      <c r="K888" s="6"/>
      <c r="L888" s="6" t="str">
        <f ca="1">IFERROR(__xludf.DUMMYFUNCTION("""COMPUTED_VALUE"""),"--Please select--")</f>
        <v>--Please select--</v>
      </c>
      <c r="M888" s="6"/>
      <c r="N888" s="6"/>
      <c r="O888" s="6" t="str">
        <f ca="1">IFERROR(__xludf.DUMMYFUNCTION("""COMPUTED_VALUE"""),"Email")</f>
        <v>Email</v>
      </c>
      <c r="P888" s="6"/>
      <c r="Q888" s="6" t="str">
        <f ca="1">IFERROR(__xludf.DUMMYFUNCTION("""COMPUTED_VALUE"""),"No")</f>
        <v>No</v>
      </c>
      <c r="R888" s="6">
        <f ca="1">IFERROR(__xludf.DUMMYFUNCTION("""COMPUTED_VALUE"""),3)</f>
        <v>3</v>
      </c>
      <c r="S888" s="6" t="str">
        <f ca="1">IFERROR(__xludf.DUMMYFUNCTION("""COMPUTED_VALUE"""),"Seed")</f>
        <v>Seed</v>
      </c>
      <c r="T888" s="6" t="str">
        <f ca="1">IFERROR(__xludf.DUMMYFUNCTION("""COMPUTED_VALUE"""),"Seed")</f>
        <v>Seed</v>
      </c>
      <c r="U888" s="6" t="str">
        <f ca="1">IFERROR(__xludf.DUMMYFUNCTION("""COMPUTED_VALUE"""),"Seed")</f>
        <v>Seed</v>
      </c>
      <c r="V888" s="6"/>
      <c r="W888" s="6" t="str">
        <f ca="1">IFERROR(__xludf.DUMMYFUNCTION("""COMPUTED_VALUE"""),"Invite Next Year")</f>
        <v>Invite Next Year</v>
      </c>
    </row>
    <row r="889" spans="1:23">
      <c r="A889" s="6" t="str">
        <f ca="1">IFERROR(__xludf.DUMMYFUNCTION("""COMPUTED_VALUE"""),"Man, Man")</f>
        <v>Man, Man</v>
      </c>
      <c r="B889" s="6" t="str">
        <f ca="1">IFERROR(__xludf.DUMMYFUNCTION("""COMPUTED_VALUE"""),"Lynxai _2022")</f>
        <v>Lynxai _2022</v>
      </c>
      <c r="C889" s="6" t="str">
        <f ca="1">IFERROR(__xludf.DUMMYFUNCTION("""COMPUTED_VALUE"""),"Digital Tech")</f>
        <v>Digital Tech</v>
      </c>
      <c r="D889" s="6" t="str">
        <f ca="1">IFERROR(__xludf.DUMMYFUNCTION("""COMPUTED_VALUE"""),"149 New Montgomery St 4th Floor, San Francisco, CA 94105, California 
United States")</f>
        <v>149 New Montgomery St 4th Floor, San Francisco, CA 94105, California 
United States</v>
      </c>
      <c r="E889" s="6" t="str">
        <f ca="1">IFERROR(__xludf.DUMMYFUNCTION("""COMPUTED_VALUE"""),"West Coast")</f>
        <v>West Coast</v>
      </c>
      <c r="F889" s="6" t="str">
        <f ca="1">IFERROR(__xludf.DUMMYFUNCTION("""COMPUTED_VALUE"""),"Man")</f>
        <v>Man</v>
      </c>
      <c r="G889" s="6" t="str">
        <f ca="1">IFERROR(__xludf.DUMMYFUNCTION("""COMPUTED_VALUE"""),"Man")</f>
        <v>Man</v>
      </c>
      <c r="H889" s="6"/>
      <c r="I889" s="6"/>
      <c r="J889" s="6"/>
      <c r="K889" s="6"/>
      <c r="L889" s="6" t="str">
        <f ca="1">IFERROR(__xludf.DUMMYFUNCTION("""COMPUTED_VALUE"""),"No")</f>
        <v>No</v>
      </c>
      <c r="M889" s="6"/>
      <c r="N889" s="6"/>
      <c r="O889" s="6" t="str">
        <f ca="1">IFERROR(__xludf.DUMMYFUNCTION("""COMPUTED_VALUE"""),"LinkedIn")</f>
        <v>LinkedIn</v>
      </c>
      <c r="P889" s="6"/>
      <c r="Q889" s="6" t="str">
        <f ca="1">IFERROR(__xludf.DUMMYFUNCTION("""COMPUTED_VALUE"""),"No")</f>
        <v>No</v>
      </c>
      <c r="R889" s="6">
        <f ca="1">IFERROR(__xludf.DUMMYFUNCTION("""COMPUTED_VALUE"""),2)</f>
        <v>2</v>
      </c>
      <c r="S889" s="6" t="str">
        <f ca="1">IFERROR(__xludf.DUMMYFUNCTION("""COMPUTED_VALUE"""),"Pre-seed")</f>
        <v>Pre-seed</v>
      </c>
      <c r="T889" s="6" t="str">
        <f ca="1">IFERROR(__xludf.DUMMYFUNCTION("""COMPUTED_VALUE"""),"Pre-seed")</f>
        <v>Pre-seed</v>
      </c>
      <c r="U889" s="6" t="str">
        <f ca="1">IFERROR(__xludf.DUMMYFUNCTION("""COMPUTED_VALUE"""),"Pre-seed")</f>
        <v>Pre-seed</v>
      </c>
      <c r="V889" s="6"/>
      <c r="W889" s="6" t="str">
        <f ca="1">IFERROR(__xludf.DUMMYFUNCTION("""COMPUTED_VALUE"""),"Invite Next Year")</f>
        <v>Invite Next Year</v>
      </c>
    </row>
    <row r="890" spans="1:23">
      <c r="A890" s="6" t="str">
        <f ca="1">IFERROR(__xludf.DUMMYFUNCTION("""COMPUTED_VALUE"""),"Woman")</f>
        <v>Woman</v>
      </c>
      <c r="B890" s="6" t="str">
        <f ca="1">IFERROR(__xludf.DUMMYFUNCTION("""COMPUTED_VALUE"""),"Everewear, LLC _2022")</f>
        <v>Everewear, LLC _2022</v>
      </c>
      <c r="C890" s="6" t="str">
        <f ca="1">IFERROR(__xludf.DUMMYFUNCTION("""COMPUTED_VALUE"""),"Digital Tech")</f>
        <v>Digital Tech</v>
      </c>
      <c r="D890" s="6" t="str">
        <f ca="1">IFERROR(__xludf.DUMMYFUNCTION("""COMPUTED_VALUE"""),"Noblesville, IN 
United States")</f>
        <v>Noblesville, IN 
United States</v>
      </c>
      <c r="E890" s="6" t="str">
        <f ca="1">IFERROR(__xludf.DUMMYFUNCTION("""COMPUTED_VALUE"""),"Midwest")</f>
        <v>Midwest</v>
      </c>
      <c r="F890" s="6" t="str">
        <f ca="1">IFERROR(__xludf.DUMMYFUNCTION("""COMPUTED_VALUE"""),"Woman")</f>
        <v>Woman</v>
      </c>
      <c r="G890" s="6"/>
      <c r="H890" s="6"/>
      <c r="I890" s="6"/>
      <c r="J890" s="6"/>
      <c r="K890" s="6"/>
      <c r="L890" s="6" t="str">
        <f ca="1">IFERROR(__xludf.DUMMYFUNCTION("""COMPUTED_VALUE"""),"No")</f>
        <v>No</v>
      </c>
      <c r="M890" s="6"/>
      <c r="N890" s="6"/>
      <c r="O890" s="6" t="str">
        <f ca="1">IFERROR(__xludf.DUMMYFUNCTION("""COMPUTED_VALUE"""),"Email")</f>
        <v>Email</v>
      </c>
      <c r="P890" s="6"/>
      <c r="Q890" s="6" t="str">
        <f ca="1">IFERROR(__xludf.DUMMYFUNCTION("""COMPUTED_VALUE"""),"No")</f>
        <v>No</v>
      </c>
      <c r="R890" s="6">
        <f ca="1">IFERROR(__xludf.DUMMYFUNCTION("""COMPUTED_VALUE"""),1)</f>
        <v>1</v>
      </c>
      <c r="S890" s="6" t="str">
        <f ca="1">IFERROR(__xludf.DUMMYFUNCTION("""COMPUTED_VALUE"""),"Pre-seed
Seed")</f>
        <v>Pre-seed
Seed</v>
      </c>
      <c r="T890" s="6" t="str">
        <f ca="1">IFERROR(__xludf.DUMMYFUNCTION("""COMPUTED_VALUE"""),"Pre-seed, Seed")</f>
        <v>Pre-seed, Seed</v>
      </c>
      <c r="U890" s="6" t="str">
        <f ca="1">IFERROR(__xludf.DUMMYFUNCTION("""COMPUTED_VALUE"""),"Pre-seed, Seed")</f>
        <v>Pre-seed, Seed</v>
      </c>
      <c r="V890" s="6"/>
      <c r="W890" s="6" t="str">
        <f ca="1">IFERROR(__xludf.DUMMYFUNCTION("""COMPUTED_VALUE"""),"Invite Next Year")</f>
        <v>Invite Next Year</v>
      </c>
    </row>
    <row r="891" spans="1:23">
      <c r="A891" s="6" t="str">
        <f ca="1">IFERROR(__xludf.DUMMYFUNCTION("""COMPUTED_VALUE"""),"Man")</f>
        <v>Man</v>
      </c>
      <c r="B891" s="6" t="str">
        <f ca="1">IFERROR(__xludf.DUMMYFUNCTION("""COMPUTED_VALUE"""),"Avior Bio Inc. _2022")</f>
        <v>Avior Bio Inc. _2022</v>
      </c>
      <c r="C891" s="6" t="str">
        <f ca="1">IFERROR(__xludf.DUMMYFUNCTION("""COMPUTED_VALUE"""),"Life Sciences")</f>
        <v>Life Sciences</v>
      </c>
      <c r="D891" s="6" t="str">
        <f ca="1">IFERROR(__xludf.DUMMYFUNCTION("""COMPUTED_VALUE"""),"CARY, NC 
United States")</f>
        <v>CARY, NC 
United States</v>
      </c>
      <c r="E891" s="6" t="str">
        <f ca="1">IFERROR(__xludf.DUMMYFUNCTION("""COMPUTED_VALUE"""),"East Coast")</f>
        <v>East Coast</v>
      </c>
      <c r="F891" s="6" t="str">
        <f ca="1">IFERROR(__xludf.DUMMYFUNCTION("""COMPUTED_VALUE"""),"Man")</f>
        <v>Man</v>
      </c>
      <c r="G891" s="6"/>
      <c r="H891" s="6"/>
      <c r="I891" s="6"/>
      <c r="J891" s="6"/>
      <c r="K891" s="6"/>
      <c r="L891" s="6" t="str">
        <f ca="1">IFERROR(__xludf.DUMMYFUNCTION("""COMPUTED_VALUE"""),"No")</f>
        <v>No</v>
      </c>
      <c r="M891" s="6"/>
      <c r="N891" s="6"/>
      <c r="O891" s="6" t="str">
        <f ca="1">IFERROR(__xludf.DUMMYFUNCTION("""COMPUTED_VALUE"""),"Email")</f>
        <v>Email</v>
      </c>
      <c r="P891" s="6"/>
      <c r="Q891" s="6" t="str">
        <f ca="1">IFERROR(__xludf.DUMMYFUNCTION("""COMPUTED_VALUE"""),"No")</f>
        <v>No</v>
      </c>
      <c r="R891" s="6">
        <f ca="1">IFERROR(__xludf.DUMMYFUNCTION("""COMPUTED_VALUE"""),1)</f>
        <v>1</v>
      </c>
      <c r="S891" s="6" t="str">
        <f ca="1">IFERROR(__xludf.DUMMYFUNCTION("""COMPUTED_VALUE"""),"Pre-seed
Seed
Bridge
Debt financing
Grants")</f>
        <v>Pre-seed
Seed
Bridge
Debt financing
Grants</v>
      </c>
      <c r="T891" s="6" t="str">
        <f ca="1">IFERROR(__xludf.DUMMYFUNCTION("""COMPUTED_VALUE"""),"Pre-seed, Seed, Bridge, Debt financing, Grants")</f>
        <v>Pre-seed, Seed, Bridge, Debt financing, Grants</v>
      </c>
      <c r="U891" s="6" t="str">
        <f ca="1">IFERROR(__xludf.DUMMYFUNCTION("""COMPUTED_VALUE"""),"Pre-seed, Seed, Bridge, Debt financing, Grants")</f>
        <v>Pre-seed, Seed, Bridge, Debt financing, Grants</v>
      </c>
      <c r="V891" s="6"/>
      <c r="W891" s="6" t="str">
        <f ca="1">IFERROR(__xludf.DUMMYFUNCTION("""COMPUTED_VALUE"""),"Invite")</f>
        <v>Invite</v>
      </c>
    </row>
    <row r="892" spans="1:23">
      <c r="A892" s="6" t="str">
        <f ca="1">IFERROR(__xludf.DUMMYFUNCTION("""COMPUTED_VALUE"""),"Man, Woman, Man")</f>
        <v>Man, Woman, Man</v>
      </c>
      <c r="B892" s="6" t="str">
        <f ca="1">IFERROR(__xludf.DUMMYFUNCTION("""COMPUTED_VALUE"""),"Insu Health Design, Inc _2022")</f>
        <v>Insu Health Design, Inc _2022</v>
      </c>
      <c r="C892" s="6" t="str">
        <f ca="1">IFERROR(__xludf.DUMMYFUNCTION("""COMPUTED_VALUE"""),"Deep Tech")</f>
        <v>Deep Tech</v>
      </c>
      <c r="D892" s="6" t="str">
        <f ca="1">IFERROR(__xludf.DUMMYFUNCTION("""COMPUTED_VALUE"""),"San Juan, Puerto Rico 
United States")</f>
        <v>San Juan, Puerto Rico 
United States</v>
      </c>
      <c r="E892" s="6" t="str">
        <f ca="1">IFERROR(__xludf.DUMMYFUNCTION("""COMPUTED_VALUE"""),"East Coast")</f>
        <v>East Coast</v>
      </c>
      <c r="F892" s="6" t="str">
        <f ca="1">IFERROR(__xludf.DUMMYFUNCTION("""COMPUTED_VALUE"""),"Man")</f>
        <v>Man</v>
      </c>
      <c r="G892" s="6" t="str">
        <f ca="1">IFERROR(__xludf.DUMMYFUNCTION("""COMPUTED_VALUE"""),"Woman")</f>
        <v>Woman</v>
      </c>
      <c r="H892" s="6" t="str">
        <f ca="1">IFERROR(__xludf.DUMMYFUNCTION("""COMPUTED_VALUE"""),"Man")</f>
        <v>Man</v>
      </c>
      <c r="I892" s="6"/>
      <c r="J892" s="6"/>
      <c r="K892" s="6"/>
      <c r="L892" s="6" t="str">
        <f ca="1">IFERROR(__xludf.DUMMYFUNCTION("""COMPUTED_VALUE"""),"No")</f>
        <v>No</v>
      </c>
      <c r="M892" s="6"/>
      <c r="N892" s="6"/>
      <c r="O892" s="6" t="str">
        <f ca="1">IFERROR(__xludf.DUMMYFUNCTION("""COMPUTED_VALUE"""),"Other")</f>
        <v>Other</v>
      </c>
      <c r="P892" s="6"/>
      <c r="Q892" s="6" t="str">
        <f ca="1">IFERROR(__xludf.DUMMYFUNCTION("""COMPUTED_VALUE"""),"No")</f>
        <v>No</v>
      </c>
      <c r="R892" s="6">
        <f ca="1">IFERROR(__xludf.DUMMYFUNCTION("""COMPUTED_VALUE"""),3)</f>
        <v>3</v>
      </c>
      <c r="S892" s="6" t="str">
        <f ca="1">IFERROR(__xludf.DUMMYFUNCTION("""COMPUTED_VALUE"""),"Grants")</f>
        <v>Grants</v>
      </c>
      <c r="T892" s="6" t="str">
        <f ca="1">IFERROR(__xludf.DUMMYFUNCTION("""COMPUTED_VALUE"""),"Grants")</f>
        <v>Grants</v>
      </c>
      <c r="U892" s="6" t="str">
        <f ca="1">IFERROR(__xludf.DUMMYFUNCTION("""COMPUTED_VALUE"""),"Grants")</f>
        <v>Grants</v>
      </c>
      <c r="V892" s="6"/>
      <c r="W892" s="6" t="str">
        <f ca="1">IFERROR(__xludf.DUMMYFUNCTION("""COMPUTED_VALUE"""),"Invite Next Year")</f>
        <v>Invite Next Year</v>
      </c>
    </row>
    <row r="893" spans="1:23">
      <c r="A893" s="6" t="str">
        <f ca="1">IFERROR(__xludf.DUMMYFUNCTION("""COMPUTED_VALUE"""),"Woman, Woman")</f>
        <v>Woman, Woman</v>
      </c>
      <c r="B893" s="6" t="str">
        <f ca="1">IFERROR(__xludf.DUMMYFUNCTION("""COMPUTED_VALUE"""),"SEED - Sustainable Entrepreneurial Ecosystem Development _2022")</f>
        <v>SEED - Sustainable Entrepreneurial Ecosystem Development _2022</v>
      </c>
      <c r="C893" s="6" t="str">
        <f ca="1">IFERROR(__xludf.DUMMYFUNCTION("""COMPUTED_VALUE"""),"Digital Tech")</f>
        <v>Digital Tech</v>
      </c>
      <c r="D893" s="6" t="str">
        <f ca="1">IFERROR(__xludf.DUMMYFUNCTION("""COMPUTED_VALUE"""),"Los Angeles, CA 
United States")</f>
        <v>Los Angeles, CA 
United States</v>
      </c>
      <c r="E893" s="6" t="str">
        <f ca="1">IFERROR(__xludf.DUMMYFUNCTION("""COMPUTED_VALUE"""),"West Coast")</f>
        <v>West Coast</v>
      </c>
      <c r="F893" s="6" t="str">
        <f ca="1">IFERROR(__xludf.DUMMYFUNCTION("""COMPUTED_VALUE"""),"Woman")</f>
        <v>Woman</v>
      </c>
      <c r="G893" s="6" t="str">
        <f ca="1">IFERROR(__xludf.DUMMYFUNCTION("""COMPUTED_VALUE"""),"Woman")</f>
        <v>Woman</v>
      </c>
      <c r="H893" s="6"/>
      <c r="I893" s="6"/>
      <c r="J893" s="6"/>
      <c r="K893" s="6"/>
      <c r="L893" s="6" t="str">
        <f ca="1">IFERROR(__xludf.DUMMYFUNCTION("""COMPUTED_VALUE"""),"No")</f>
        <v>No</v>
      </c>
      <c r="M893" s="6"/>
      <c r="N893" s="6"/>
      <c r="O893" s="6" t="str">
        <f ca="1">IFERROR(__xludf.DUMMYFUNCTION("""COMPUTED_VALUE"""),"Email")</f>
        <v>Email</v>
      </c>
      <c r="P893" s="6"/>
      <c r="Q893" s="6" t="str">
        <f ca="1">IFERROR(__xludf.DUMMYFUNCTION("""COMPUTED_VALUE"""),"No")</f>
        <v>No</v>
      </c>
      <c r="R893" s="6">
        <f ca="1">IFERROR(__xludf.DUMMYFUNCTION("""COMPUTED_VALUE"""),2)</f>
        <v>2</v>
      </c>
      <c r="S893" s="6" t="str">
        <f ca="1">IFERROR(__xludf.DUMMYFUNCTION("""COMPUTED_VALUE"""),"Pre-seed
Seed")</f>
        <v>Pre-seed
Seed</v>
      </c>
      <c r="T893" s="6" t="str">
        <f ca="1">IFERROR(__xludf.DUMMYFUNCTION("""COMPUTED_VALUE"""),"Pre-seed, Seed")</f>
        <v>Pre-seed, Seed</v>
      </c>
      <c r="U893" s="6" t="str">
        <f ca="1">IFERROR(__xludf.DUMMYFUNCTION("""COMPUTED_VALUE"""),"Pre-seed, Seed")</f>
        <v>Pre-seed, Seed</v>
      </c>
      <c r="V893" s="6"/>
      <c r="W893" s="6" t="str">
        <f ca="1">IFERROR(__xludf.DUMMYFUNCTION("""COMPUTED_VALUE"""),"Invite Next Year")</f>
        <v>Invite Next Year</v>
      </c>
    </row>
    <row r="894" spans="1:23">
      <c r="A894" s="6" t="str">
        <f ca="1">IFERROR(__xludf.DUMMYFUNCTION("""COMPUTED_VALUE"""),"Man")</f>
        <v>Man</v>
      </c>
      <c r="B894" s="6" t="str">
        <f ca="1">IFERROR(__xludf.DUMMYFUNCTION("""COMPUTED_VALUE"""),"AnyFans Inc _2022")</f>
        <v>AnyFans Inc _2022</v>
      </c>
      <c r="C894" s="6" t="str">
        <f ca="1">IFERROR(__xludf.DUMMYFUNCTION("""COMPUTED_VALUE"""),"Digital Tech")</f>
        <v>Digital Tech</v>
      </c>
      <c r="D894" s="6" t="str">
        <f ca="1">IFERROR(__xludf.DUMMYFUNCTION("""COMPUTED_VALUE"""),"Lake Havasu City, AZ 
United States")</f>
        <v>Lake Havasu City, AZ 
United States</v>
      </c>
      <c r="E894" s="6" t="str">
        <f ca="1">IFERROR(__xludf.DUMMYFUNCTION("""COMPUTED_VALUE"""),"West Coast")</f>
        <v>West Coast</v>
      </c>
      <c r="F894" s="6" t="str">
        <f ca="1">IFERROR(__xludf.DUMMYFUNCTION("""COMPUTED_VALUE"""),"Man")</f>
        <v>Man</v>
      </c>
      <c r="G894" s="6"/>
      <c r="H894" s="6"/>
      <c r="I894" s="6"/>
      <c r="J894" s="6"/>
      <c r="K894" s="6"/>
      <c r="L894" s="6" t="str">
        <f ca="1">IFERROR(__xludf.DUMMYFUNCTION("""COMPUTED_VALUE"""),"No")</f>
        <v>No</v>
      </c>
      <c r="M894" s="6"/>
      <c r="N894" s="6"/>
      <c r="O894" s="6" t="str">
        <f ca="1">IFERROR(__xludf.DUMMYFUNCTION("""COMPUTED_VALUE"""),"Email")</f>
        <v>Email</v>
      </c>
      <c r="P894" s="6"/>
      <c r="Q894" s="6" t="str">
        <f ca="1">IFERROR(__xludf.DUMMYFUNCTION("""COMPUTED_VALUE"""),"No")</f>
        <v>No</v>
      </c>
      <c r="R894" s="6">
        <f ca="1">IFERROR(__xludf.DUMMYFUNCTION("""COMPUTED_VALUE"""),1)</f>
        <v>1</v>
      </c>
      <c r="S894" s="6" t="str">
        <f ca="1">IFERROR(__xludf.DUMMYFUNCTION("""COMPUTED_VALUE"""),"Pre-seed
Other: Wefunder Community Round")</f>
        <v>Pre-seed
Other: Wefunder Community Round</v>
      </c>
      <c r="T894" s="6" t="str">
        <f ca="1">IFERROR(__xludf.DUMMYFUNCTION("""COMPUTED_VALUE"""),"Pre-seed, Other: Wefunder Community Round")</f>
        <v>Pre-seed, Other: Wefunder Community Round</v>
      </c>
      <c r="U894" s="6" t="str">
        <f ca="1">IFERROR(__xludf.DUMMYFUNCTION("""COMPUTED_VALUE"""),"Pre-seed, ")</f>
        <v xml:space="preserve">Pre-seed, </v>
      </c>
      <c r="V894" s="6" t="str">
        <f ca="1">IFERROR(__xludf.DUMMYFUNCTION("""COMPUTED_VALUE"""),"Wefunder Community Round")</f>
        <v>Wefunder Community Round</v>
      </c>
      <c r="W894" s="6" t="str">
        <f ca="1">IFERROR(__xludf.DUMMYFUNCTION("""COMPUTED_VALUE"""),"Invite Next Year")</f>
        <v>Invite Next Year</v>
      </c>
    </row>
    <row r="895" spans="1:23">
      <c r="A895" s="6" t="str">
        <f ca="1">IFERROR(__xludf.DUMMYFUNCTION("""COMPUTED_VALUE"""),"Woman")</f>
        <v>Woman</v>
      </c>
      <c r="B895" s="6" t="str">
        <f ca="1">IFERROR(__xludf.DUMMYFUNCTION("""COMPUTED_VALUE"""),"Alpha Drive _2022")</f>
        <v>Alpha Drive _2022</v>
      </c>
      <c r="C895" s="6" t="str">
        <f ca="1">IFERROR(__xludf.DUMMYFUNCTION("""COMPUTED_VALUE"""),"Digital Tech")</f>
        <v>Digital Tech</v>
      </c>
      <c r="D895" s="6" t="str">
        <f ca="1">IFERROR(__xludf.DUMMYFUNCTION("""COMPUTED_VALUE"""),"133 water st 9d, Brooklyn, NY 
United States")</f>
        <v>133 water st 9d, Brooklyn, NY 
United States</v>
      </c>
      <c r="E895" s="6" t="str">
        <f ca="1">IFERROR(__xludf.DUMMYFUNCTION("""COMPUTED_VALUE"""),"New York")</f>
        <v>New York</v>
      </c>
      <c r="F895" s="6" t="str">
        <f ca="1">IFERROR(__xludf.DUMMYFUNCTION("""COMPUTED_VALUE"""),"Woman")</f>
        <v>Woman</v>
      </c>
      <c r="G895" s="6"/>
      <c r="H895" s="6"/>
      <c r="I895" s="6"/>
      <c r="J895" s="6"/>
      <c r="K895" s="6"/>
      <c r="L895" s="6" t="str">
        <f ca="1">IFERROR(__xludf.DUMMYFUNCTION("""COMPUTED_VALUE"""),"No")</f>
        <v>No</v>
      </c>
      <c r="M895" s="6"/>
      <c r="N895" s="6"/>
      <c r="O895" s="6" t="str">
        <f ca="1">IFERROR(__xludf.DUMMYFUNCTION("""COMPUTED_VALUE"""),"Email")</f>
        <v>Email</v>
      </c>
      <c r="P895" s="6"/>
      <c r="Q895" s="6" t="str">
        <f ca="1">IFERROR(__xludf.DUMMYFUNCTION("""COMPUTED_VALUE"""),"No")</f>
        <v>No</v>
      </c>
      <c r="R895" s="6">
        <f ca="1">IFERROR(__xludf.DUMMYFUNCTION("""COMPUTED_VALUE"""),1)</f>
        <v>1</v>
      </c>
      <c r="S895" s="6" t="str">
        <f ca="1">IFERROR(__xludf.DUMMYFUNCTION("""COMPUTED_VALUE"""),"Pre-seed")</f>
        <v>Pre-seed</v>
      </c>
      <c r="T895" s="6" t="str">
        <f ca="1">IFERROR(__xludf.DUMMYFUNCTION("""COMPUTED_VALUE"""),"Pre-seed")</f>
        <v>Pre-seed</v>
      </c>
      <c r="U895" s="6" t="str">
        <f ca="1">IFERROR(__xludf.DUMMYFUNCTION("""COMPUTED_VALUE"""),"Pre-seed")</f>
        <v>Pre-seed</v>
      </c>
      <c r="V895" s="6"/>
      <c r="W895" s="6" t="str">
        <f ca="1">IFERROR(__xludf.DUMMYFUNCTION("""COMPUTED_VALUE"""),"Invite Next Year")</f>
        <v>Invite Next Year</v>
      </c>
    </row>
    <row r="896" spans="1:23">
      <c r="A896" s="6" t="str">
        <f ca="1">IFERROR(__xludf.DUMMYFUNCTION("""COMPUTED_VALUE"""),"Man, Man")</f>
        <v>Man, Man</v>
      </c>
      <c r="B896" s="6" t="str">
        <f ca="1">IFERROR(__xludf.DUMMYFUNCTION("""COMPUTED_VALUE"""),"The JaraNetwork _2022")</f>
        <v>The JaraNetwork _2022</v>
      </c>
      <c r="C896" s="6" t="str">
        <f ca="1">IFERROR(__xludf.DUMMYFUNCTION("""COMPUTED_VALUE"""),"Digital Tech")</f>
        <v>Digital Tech</v>
      </c>
      <c r="D896" s="6" t="str">
        <f ca="1">IFERROR(__xludf.DUMMYFUNCTION("""COMPUTED_VALUE"""),"537 BENTLEY PL TUCKER, GA 30084 - 2182, Delaware 
United States")</f>
        <v>537 BENTLEY PL TUCKER, GA 30084 - 2182, Delaware 
United States</v>
      </c>
      <c r="E896" s="6" t="str">
        <f ca="1">IFERROR(__xludf.DUMMYFUNCTION("""COMPUTED_VALUE"""),"East Coast")</f>
        <v>East Coast</v>
      </c>
      <c r="F896" s="6" t="str">
        <f ca="1">IFERROR(__xludf.DUMMYFUNCTION("""COMPUTED_VALUE"""),"Man")</f>
        <v>Man</v>
      </c>
      <c r="G896" s="6" t="str">
        <f ca="1">IFERROR(__xludf.DUMMYFUNCTION("""COMPUTED_VALUE"""),"Man")</f>
        <v>Man</v>
      </c>
      <c r="H896" s="6"/>
      <c r="I896" s="6"/>
      <c r="J896" s="6"/>
      <c r="K896" s="6"/>
      <c r="L896" s="6" t="str">
        <f ca="1">IFERROR(__xludf.DUMMYFUNCTION("""COMPUTED_VALUE"""),"No")</f>
        <v>No</v>
      </c>
      <c r="M896" s="6"/>
      <c r="N896" s="6"/>
      <c r="O896" s="6" t="str">
        <f ca="1">IFERROR(__xludf.DUMMYFUNCTION("""COMPUTED_VALUE"""),"Referral")</f>
        <v>Referral</v>
      </c>
      <c r="P896" s="6"/>
      <c r="Q896" s="6" t="str">
        <f ca="1">IFERROR(__xludf.DUMMYFUNCTION("""COMPUTED_VALUE"""),"No")</f>
        <v>No</v>
      </c>
      <c r="R896" s="6">
        <f ca="1">IFERROR(__xludf.DUMMYFUNCTION("""COMPUTED_VALUE"""),2)</f>
        <v>2</v>
      </c>
      <c r="S896" s="6" t="str">
        <f ca="1">IFERROR(__xludf.DUMMYFUNCTION("""COMPUTED_VALUE"""),"Seed")</f>
        <v>Seed</v>
      </c>
      <c r="T896" s="6" t="str">
        <f ca="1">IFERROR(__xludf.DUMMYFUNCTION("""COMPUTED_VALUE"""),"Seed")</f>
        <v>Seed</v>
      </c>
      <c r="U896" s="6" t="str">
        <f ca="1">IFERROR(__xludf.DUMMYFUNCTION("""COMPUTED_VALUE"""),"Seed")</f>
        <v>Seed</v>
      </c>
      <c r="V896" s="6"/>
      <c r="W896" s="6" t="str">
        <f ca="1">IFERROR(__xludf.DUMMYFUNCTION("""COMPUTED_VALUE"""),"Invite Next Year")</f>
        <v>Invite Next Year</v>
      </c>
    </row>
    <row r="897" spans="1:23">
      <c r="A897" s="6" t="str">
        <f ca="1">IFERROR(__xludf.DUMMYFUNCTION("""COMPUTED_VALUE"""),"Man, Woman, Woman, Man")</f>
        <v>Man, Woman, Woman, Man</v>
      </c>
      <c r="B897" s="6" t="str">
        <f ca="1">IFERROR(__xludf.DUMMYFUNCTION("""COMPUTED_VALUE"""),"Roleshare _2022")</f>
        <v>Roleshare _2022</v>
      </c>
      <c r="C897" s="6" t="str">
        <f ca="1">IFERROR(__xludf.DUMMYFUNCTION("""COMPUTED_VALUE"""),"Digital Tech")</f>
        <v>Digital Tech</v>
      </c>
      <c r="D897" s="6" t="str">
        <f ca="1">IFERROR(__xludf.DUMMYFUNCTION("""COMPUTED_VALUE"""),"20-22 Wenlock Road, London  
United Kingdom")</f>
        <v>20-22 Wenlock Road, London  
United Kingdom</v>
      </c>
      <c r="E897" s="6" t="str">
        <f ca="1">IFERROR(__xludf.DUMMYFUNCTION("""COMPUTED_VALUE"""),"International - Europe")</f>
        <v>International - Europe</v>
      </c>
      <c r="F897" s="6" t="str">
        <f ca="1">IFERROR(__xludf.DUMMYFUNCTION("""COMPUTED_VALUE"""),"Man")</f>
        <v>Man</v>
      </c>
      <c r="G897" s="6" t="str">
        <f ca="1">IFERROR(__xludf.DUMMYFUNCTION("""COMPUTED_VALUE"""),"Woman")</f>
        <v>Woman</v>
      </c>
      <c r="H897" s="6" t="str">
        <f ca="1">IFERROR(__xludf.DUMMYFUNCTION("""COMPUTED_VALUE"""),"Woman")</f>
        <v>Woman</v>
      </c>
      <c r="I897" s="6" t="str">
        <f ca="1">IFERROR(__xludf.DUMMYFUNCTION("""COMPUTED_VALUE"""),"Man")</f>
        <v>Man</v>
      </c>
      <c r="J897" s="6"/>
      <c r="K897" s="6"/>
      <c r="L897" s="6" t="str">
        <f ca="1">IFERROR(__xludf.DUMMYFUNCTION("""COMPUTED_VALUE"""),"No")</f>
        <v>No</v>
      </c>
      <c r="M897" s="6"/>
      <c r="N897" s="6"/>
      <c r="O897" s="6" t="str">
        <f ca="1">IFERROR(__xludf.DUMMYFUNCTION("""COMPUTED_VALUE"""),"Email")</f>
        <v>Email</v>
      </c>
      <c r="P897" s="6"/>
      <c r="Q897" s="6" t="str">
        <f ca="1">IFERROR(__xludf.DUMMYFUNCTION("""COMPUTED_VALUE"""),"No")</f>
        <v>No</v>
      </c>
      <c r="R897" s="6">
        <f ca="1">IFERROR(__xludf.DUMMYFUNCTION("""COMPUTED_VALUE"""),4)</f>
        <v>4</v>
      </c>
      <c r="S897" s="6" t="str">
        <f ca="1">IFERROR(__xludf.DUMMYFUNCTION("""COMPUTED_VALUE"""),"Pre-seed
Seed")</f>
        <v>Pre-seed
Seed</v>
      </c>
      <c r="T897" s="6" t="str">
        <f ca="1">IFERROR(__xludf.DUMMYFUNCTION("""COMPUTED_VALUE"""),"Pre-seed, Seed")</f>
        <v>Pre-seed, Seed</v>
      </c>
      <c r="U897" s="6" t="str">
        <f ca="1">IFERROR(__xludf.DUMMYFUNCTION("""COMPUTED_VALUE"""),"Pre-seed, Seed")</f>
        <v>Pre-seed, Seed</v>
      </c>
      <c r="V897" s="6"/>
      <c r="W897" s="6" t="str">
        <f ca="1">IFERROR(__xludf.DUMMYFUNCTION("""COMPUTED_VALUE"""),"Invite Next Year")</f>
        <v>Invite Next Year</v>
      </c>
    </row>
    <row r="898" spans="1:23">
      <c r="A898" s="6" t="str">
        <f ca="1">IFERROR(__xludf.DUMMYFUNCTION("""COMPUTED_VALUE"""),"Man")</f>
        <v>Man</v>
      </c>
      <c r="B898" s="6" t="str">
        <f ca="1">IFERROR(__xludf.DUMMYFUNCTION("""COMPUTED_VALUE"""),"TriAltus Bioscience _2022")</f>
        <v>TriAltus Bioscience _2022</v>
      </c>
      <c r="C898" s="6" t="str">
        <f ca="1">IFERROR(__xludf.DUMMYFUNCTION("""COMPUTED_VALUE"""),"Life Sciences")</f>
        <v>Life Sciences</v>
      </c>
      <c r="D898" s="6" t="str">
        <f ca="1">IFERROR(__xludf.DUMMYFUNCTION("""COMPUTED_VALUE"""),"Birmingham, Alabama 
United States")</f>
        <v>Birmingham, Alabama 
United States</v>
      </c>
      <c r="E898" s="6" t="str">
        <f ca="1">IFERROR(__xludf.DUMMYFUNCTION("""COMPUTED_VALUE"""),"South")</f>
        <v>South</v>
      </c>
      <c r="F898" s="6" t="str">
        <f ca="1">IFERROR(__xludf.DUMMYFUNCTION("""COMPUTED_VALUE"""),"Man")</f>
        <v>Man</v>
      </c>
      <c r="G898" s="6"/>
      <c r="H898" s="6"/>
      <c r="I898" s="6"/>
      <c r="J898" s="6"/>
      <c r="K898" s="6"/>
      <c r="L898" s="6" t="str">
        <f ca="1">IFERROR(__xludf.DUMMYFUNCTION("""COMPUTED_VALUE"""),"No")</f>
        <v>No</v>
      </c>
      <c r="M898" s="6"/>
      <c r="N898" s="6"/>
      <c r="O898" s="6" t="str">
        <f ca="1">IFERROR(__xludf.DUMMYFUNCTION("""COMPUTED_VALUE"""),"Email")</f>
        <v>Email</v>
      </c>
      <c r="P898" s="6"/>
      <c r="Q898" s="6" t="str">
        <f ca="1">IFERROR(__xludf.DUMMYFUNCTION("""COMPUTED_VALUE"""),"No")</f>
        <v>No</v>
      </c>
      <c r="R898" s="6">
        <f ca="1">IFERROR(__xludf.DUMMYFUNCTION("""COMPUTED_VALUE"""),1)</f>
        <v>1</v>
      </c>
      <c r="S898" s="6" t="str">
        <f ca="1">IFERROR(__xludf.DUMMYFUNCTION("""COMPUTED_VALUE"""),"Pre-seed
Bridge")</f>
        <v>Pre-seed
Bridge</v>
      </c>
      <c r="T898" s="6" t="str">
        <f ca="1">IFERROR(__xludf.DUMMYFUNCTION("""COMPUTED_VALUE"""),"Pre-seed, Bridge")</f>
        <v>Pre-seed, Bridge</v>
      </c>
      <c r="U898" s="6" t="str">
        <f ca="1">IFERROR(__xludf.DUMMYFUNCTION("""COMPUTED_VALUE"""),"Pre-seed, Bridge")</f>
        <v>Pre-seed, Bridge</v>
      </c>
      <c r="V898" s="6"/>
      <c r="W898" s="6" t="str">
        <f ca="1">IFERROR(__xludf.DUMMYFUNCTION("""COMPUTED_VALUE"""),"Invite Next Year")</f>
        <v>Invite Next Year</v>
      </c>
    </row>
    <row r="899" spans="1:23">
      <c r="A899" s="6" t="str">
        <f ca="1">IFERROR(__xludf.DUMMYFUNCTION("""COMPUTED_VALUE"""),"Woman, Woman")</f>
        <v>Woman, Woman</v>
      </c>
      <c r="B899" s="6" t="str">
        <f ca="1">IFERROR(__xludf.DUMMYFUNCTION("""COMPUTED_VALUE"""),"Providentia Technologies _2022")</f>
        <v>Providentia Technologies _2022</v>
      </c>
      <c r="C899" s="6" t="str">
        <f ca="1">IFERROR(__xludf.DUMMYFUNCTION("""COMPUTED_VALUE"""),"Life Sciences")</f>
        <v>Life Sciences</v>
      </c>
      <c r="D899" s="6" t="str">
        <f ca="1">IFERROR(__xludf.DUMMYFUNCTION("""COMPUTED_VALUE"""),"2 West Loop Road, New York 
United States")</f>
        <v>2 West Loop Road, New York 
United States</v>
      </c>
      <c r="E899" s="6" t="str">
        <f ca="1">IFERROR(__xludf.DUMMYFUNCTION("""COMPUTED_VALUE"""),"East Coast")</f>
        <v>East Coast</v>
      </c>
      <c r="F899" s="6" t="str">
        <f ca="1">IFERROR(__xludf.DUMMYFUNCTION("""COMPUTED_VALUE"""),"Woman")</f>
        <v>Woman</v>
      </c>
      <c r="G899" s="6" t="str">
        <f ca="1">IFERROR(__xludf.DUMMYFUNCTION("""COMPUTED_VALUE"""),"Woman")</f>
        <v>Woman</v>
      </c>
      <c r="H899" s="6"/>
      <c r="I899" s="6"/>
      <c r="J899" s="6"/>
      <c r="K899" s="6"/>
      <c r="L899" s="6" t="str">
        <f ca="1">IFERROR(__xludf.DUMMYFUNCTION("""COMPUTED_VALUE"""),"No")</f>
        <v>No</v>
      </c>
      <c r="M899" s="6"/>
      <c r="N899" s="6"/>
      <c r="O899" s="6" t="str">
        <f ca="1">IFERROR(__xludf.DUMMYFUNCTION("""COMPUTED_VALUE"""),"Info Session")</f>
        <v>Info Session</v>
      </c>
      <c r="P899" s="6"/>
      <c r="Q899" s="6" t="str">
        <f ca="1">IFERROR(__xludf.DUMMYFUNCTION("""COMPUTED_VALUE"""),"No")</f>
        <v>No</v>
      </c>
      <c r="R899" s="6">
        <f ca="1">IFERROR(__xludf.DUMMYFUNCTION("""COMPUTED_VALUE"""),2)</f>
        <v>2</v>
      </c>
      <c r="S899" s="6" t="str">
        <f ca="1">IFERROR(__xludf.DUMMYFUNCTION("""COMPUTED_VALUE"""),"Other: SAFE agreement with Jacobs Technion-Cornell Institute")</f>
        <v>Other: SAFE agreement with Jacobs Technion-Cornell Institute</v>
      </c>
      <c r="T899" s="6" t="str">
        <f ca="1">IFERROR(__xludf.DUMMYFUNCTION("""COMPUTED_VALUE"""),"Other: SAFE agreement with Jacobs Technion-Cornell Institute")</f>
        <v>Other: SAFE agreement with Jacobs Technion-Cornell Institute</v>
      </c>
      <c r="U899" s="6" t="str">
        <f ca="1">IFERROR(__xludf.DUMMYFUNCTION("""COMPUTED_VALUE"""),"SAFE agreement with Jacobs Technion-Cornell Institute")</f>
        <v>SAFE agreement with Jacobs Technion-Cornell Institute</v>
      </c>
      <c r="V899" s="6"/>
      <c r="W899" s="6" t="str">
        <f ca="1">IFERROR(__xludf.DUMMYFUNCTION("""COMPUTED_VALUE"""),"Special Reject")</f>
        <v>Special Reject</v>
      </c>
    </row>
    <row r="900" spans="1:23">
      <c r="A900" s="6" t="str">
        <f ca="1">IFERROR(__xludf.DUMMYFUNCTION("""COMPUTED_VALUE"""),"Man, Man")</f>
        <v>Man, Man</v>
      </c>
      <c r="B900" s="6" t="str">
        <f ca="1">IFERROR(__xludf.DUMMYFUNCTION("""COMPUTED_VALUE"""),"Laxis, Inc. _2022")</f>
        <v>Laxis, Inc. _2022</v>
      </c>
      <c r="C900" s="6" t="str">
        <f ca="1">IFERROR(__xludf.DUMMYFUNCTION("""COMPUTED_VALUE"""),"Digital Tech")</f>
        <v>Digital Tech</v>
      </c>
      <c r="D900" s="6" t="str">
        <f ca="1">IFERROR(__xludf.DUMMYFUNCTION("""COMPUTED_VALUE"""),"2872 Jace Ln, Newburgh, IN 
United States")</f>
        <v>2872 Jace Ln, Newburgh, IN 
United States</v>
      </c>
      <c r="E900" s="6" t="str">
        <f ca="1">IFERROR(__xludf.DUMMYFUNCTION("""COMPUTED_VALUE"""),"Midwest")</f>
        <v>Midwest</v>
      </c>
      <c r="F900" s="6" t="str">
        <f ca="1">IFERROR(__xludf.DUMMYFUNCTION("""COMPUTED_VALUE"""),"Man")</f>
        <v>Man</v>
      </c>
      <c r="G900" s="6" t="str">
        <f ca="1">IFERROR(__xludf.DUMMYFUNCTION("""COMPUTED_VALUE"""),"Man")</f>
        <v>Man</v>
      </c>
      <c r="H900" s="6"/>
      <c r="I900" s="6"/>
      <c r="J900" s="6"/>
      <c r="K900" s="6"/>
      <c r="L900" s="6" t="str">
        <f ca="1">IFERROR(__xludf.DUMMYFUNCTION("""COMPUTED_VALUE"""),"No")</f>
        <v>No</v>
      </c>
      <c r="M900" s="6"/>
      <c r="N900" s="6"/>
      <c r="O900" s="6" t="str">
        <f ca="1">IFERROR(__xludf.DUMMYFUNCTION("""COMPUTED_VALUE"""),"Email")</f>
        <v>Email</v>
      </c>
      <c r="P900" s="6"/>
      <c r="Q900" s="6" t="str">
        <f ca="1">IFERROR(__xludf.DUMMYFUNCTION("""COMPUTED_VALUE"""),"No")</f>
        <v>No</v>
      </c>
      <c r="R900" s="6">
        <f ca="1">IFERROR(__xludf.DUMMYFUNCTION("""COMPUTED_VALUE"""),2)</f>
        <v>2</v>
      </c>
      <c r="S900" s="6" t="str">
        <f ca="1">IFERROR(__xludf.DUMMYFUNCTION("""COMPUTED_VALUE"""),"Pre-seed
Seed")</f>
        <v>Pre-seed
Seed</v>
      </c>
      <c r="T900" s="6" t="str">
        <f ca="1">IFERROR(__xludf.DUMMYFUNCTION("""COMPUTED_VALUE"""),"Pre-seed, Seed")</f>
        <v>Pre-seed, Seed</v>
      </c>
      <c r="U900" s="6" t="str">
        <f ca="1">IFERROR(__xludf.DUMMYFUNCTION("""COMPUTED_VALUE"""),"Pre-seed, Seed")</f>
        <v>Pre-seed, Seed</v>
      </c>
      <c r="V900" s="6"/>
      <c r="W900" s="6" t="str">
        <f ca="1">IFERROR(__xludf.DUMMYFUNCTION("""COMPUTED_VALUE"""),"Invite")</f>
        <v>Invite</v>
      </c>
    </row>
    <row r="901" spans="1:23">
      <c r="A901" s="6" t="str">
        <f ca="1">IFERROR(__xludf.DUMMYFUNCTION("""COMPUTED_VALUE"""),"Man, Man")</f>
        <v>Man, Man</v>
      </c>
      <c r="B901" s="6" t="str">
        <f ca="1">IFERROR(__xludf.DUMMYFUNCTION("""COMPUTED_VALUE"""),"FlyX Technologies Inc _2022")</f>
        <v>FlyX Technologies Inc _2022</v>
      </c>
      <c r="C901" s="6" t="str">
        <f ca="1">IFERROR(__xludf.DUMMYFUNCTION("""COMPUTED_VALUE"""),"Deep Tech")</f>
        <v>Deep Tech</v>
      </c>
      <c r="D901" s="6" t="str">
        <f ca="1">IFERROR(__xludf.DUMMYFUNCTION("""COMPUTED_VALUE"""),"1930 154th Ave NE Apt B216 Bellevue , WA  
United States")</f>
        <v>1930 154th Ave NE Apt B216 Bellevue , WA  
United States</v>
      </c>
      <c r="E901" s="6" t="str">
        <f ca="1">IFERROR(__xludf.DUMMYFUNCTION("""COMPUTED_VALUE"""),"West Coast")</f>
        <v>West Coast</v>
      </c>
      <c r="F901" s="6" t="str">
        <f ca="1">IFERROR(__xludf.DUMMYFUNCTION("""COMPUTED_VALUE"""),"Man")</f>
        <v>Man</v>
      </c>
      <c r="G901" s="6" t="str">
        <f ca="1">IFERROR(__xludf.DUMMYFUNCTION("""COMPUTED_VALUE"""),"Man")</f>
        <v>Man</v>
      </c>
      <c r="H901" s="6"/>
      <c r="I901" s="6"/>
      <c r="J901" s="6"/>
      <c r="K901" s="6"/>
      <c r="L901" s="6" t="str">
        <f ca="1">IFERROR(__xludf.DUMMYFUNCTION("""COMPUTED_VALUE"""),"No")</f>
        <v>No</v>
      </c>
      <c r="M901" s="6"/>
      <c r="N901" s="6"/>
      <c r="O901" s="6" t="str">
        <f ca="1">IFERROR(__xludf.DUMMYFUNCTION("""COMPUTED_VALUE"""),"Referral")</f>
        <v>Referral</v>
      </c>
      <c r="P901" s="6"/>
      <c r="Q901" s="6" t="str">
        <f ca="1">IFERROR(__xludf.DUMMYFUNCTION("""COMPUTED_VALUE"""),"No")</f>
        <v>No</v>
      </c>
      <c r="R901" s="6">
        <f ca="1">IFERROR(__xludf.DUMMYFUNCTION("""COMPUTED_VALUE"""),2)</f>
        <v>2</v>
      </c>
      <c r="S901" s="6" t="str">
        <f ca="1">IFERROR(__xludf.DUMMYFUNCTION("""COMPUTED_VALUE"""),"Other: Founders funded")</f>
        <v>Other: Founders funded</v>
      </c>
      <c r="T901" s="6" t="str">
        <f ca="1">IFERROR(__xludf.DUMMYFUNCTION("""COMPUTED_VALUE"""),"Other: Founders funded")</f>
        <v>Other: Founders funded</v>
      </c>
      <c r="U901" s="6" t="str">
        <f ca="1">IFERROR(__xludf.DUMMYFUNCTION("""COMPUTED_VALUE"""),"Founders funded")</f>
        <v>Founders funded</v>
      </c>
      <c r="V901" s="6"/>
      <c r="W901" s="6" t="str">
        <f ca="1">IFERROR(__xludf.DUMMYFUNCTION("""COMPUTED_VALUE"""),"Invite")</f>
        <v>Invite</v>
      </c>
    </row>
    <row r="902" spans="1:23">
      <c r="A902" s="6" t="str">
        <f ca="1">IFERROR(__xludf.DUMMYFUNCTION("""COMPUTED_VALUE"""),"Man")</f>
        <v>Man</v>
      </c>
      <c r="B902" s="6" t="str">
        <f ca="1">IFERROR(__xludf.DUMMYFUNCTION("""COMPUTED_VALUE"""),"PACE Inc. _2022")</f>
        <v>PACE Inc. _2022</v>
      </c>
      <c r="C902" s="6" t="str">
        <f ca="1">IFERROR(__xludf.DUMMYFUNCTION("""COMPUTED_VALUE"""),"Deep Tech")</f>
        <v>Deep Tech</v>
      </c>
      <c r="D902" s="6" t="str">
        <f ca="1">IFERROR(__xludf.DUMMYFUNCTION("""COMPUTED_VALUE"""),"Pohang-si, Gyeongsangbuk-do 
Korea, Republic of")</f>
        <v>Pohang-si, Gyeongsangbuk-do 
Korea, Republic of</v>
      </c>
      <c r="E902" s="6" t="str">
        <f ca="1">IFERROR(__xludf.DUMMYFUNCTION("""COMPUTED_VALUE"""),"International - Asia")</f>
        <v>International - Asia</v>
      </c>
      <c r="F902" s="6" t="str">
        <f ca="1">IFERROR(__xludf.DUMMYFUNCTION("""COMPUTED_VALUE"""),"Man")</f>
        <v>Man</v>
      </c>
      <c r="G902" s="6"/>
      <c r="H902" s="6"/>
      <c r="I902" s="6"/>
      <c r="J902" s="6"/>
      <c r="K902" s="6"/>
      <c r="L902" s="6" t="str">
        <f ca="1">IFERROR(__xludf.DUMMYFUNCTION("""COMPUTED_VALUE"""),"No")</f>
        <v>No</v>
      </c>
      <c r="M902" s="6"/>
      <c r="N902" s="6"/>
      <c r="O902" s="6" t="str">
        <f ca="1">IFERROR(__xludf.DUMMYFUNCTION("""COMPUTED_VALUE"""),"Info Session")</f>
        <v>Info Session</v>
      </c>
      <c r="P902" s="6"/>
      <c r="Q902" s="6" t="str">
        <f ca="1">IFERROR(__xludf.DUMMYFUNCTION("""COMPUTED_VALUE"""),"No")</f>
        <v>No</v>
      </c>
      <c r="R902" s="6">
        <f ca="1">IFERROR(__xludf.DUMMYFUNCTION("""COMPUTED_VALUE"""),1)</f>
        <v>1</v>
      </c>
      <c r="S902" s="6" t="str">
        <f ca="1">IFERROR(__xludf.DUMMYFUNCTION("""COMPUTED_VALUE"""),"Seed")</f>
        <v>Seed</v>
      </c>
      <c r="T902" s="6" t="str">
        <f ca="1">IFERROR(__xludf.DUMMYFUNCTION("""COMPUTED_VALUE"""),"Seed")</f>
        <v>Seed</v>
      </c>
      <c r="U902" s="6" t="str">
        <f ca="1">IFERROR(__xludf.DUMMYFUNCTION("""COMPUTED_VALUE"""),"Seed")</f>
        <v>Seed</v>
      </c>
      <c r="V902" s="6"/>
      <c r="W902" s="6" t="str">
        <f ca="1">IFERROR(__xludf.DUMMYFUNCTION("""COMPUTED_VALUE"""),"Invite Next Year")</f>
        <v>Invite Next Year</v>
      </c>
    </row>
    <row r="903" spans="1:23">
      <c r="A903" s="6" t="str">
        <f ca="1">IFERROR(__xludf.DUMMYFUNCTION("""COMPUTED_VALUE"""),"Prefer not to respond, Prefer not to respond")</f>
        <v>Prefer not to respond, Prefer not to respond</v>
      </c>
      <c r="B903" s="6" t="str">
        <f ca="1">IFERROR(__xludf.DUMMYFUNCTION("""COMPUTED_VALUE"""),"Immersive Reality Group _2022")</f>
        <v>Immersive Reality Group _2022</v>
      </c>
      <c r="C903" s="6" t="str">
        <f ca="1">IFERROR(__xludf.DUMMYFUNCTION("""COMPUTED_VALUE"""),"Digital Tech")</f>
        <v>Digital Tech</v>
      </c>
      <c r="D903" s="6" t="str">
        <f ca="1">IFERROR(__xludf.DUMMYFUNCTION("""COMPUTED_VALUE"""),"Bozeman, Montana 
United States")</f>
        <v>Bozeman, Montana 
United States</v>
      </c>
      <c r="E903" s="6" t="str">
        <f ca="1">IFERROR(__xludf.DUMMYFUNCTION("""COMPUTED_VALUE"""),"West")</f>
        <v>West</v>
      </c>
      <c r="F903" s="6" t="str">
        <f ca="1">IFERROR(__xludf.DUMMYFUNCTION("""COMPUTED_VALUE"""),"Prefer not to respond")</f>
        <v>Prefer not to respond</v>
      </c>
      <c r="G903" s="6" t="str">
        <f ca="1">IFERROR(__xludf.DUMMYFUNCTION("""COMPUTED_VALUE"""),"Prefer not to respond")</f>
        <v>Prefer not to respond</v>
      </c>
      <c r="H903" s="6"/>
      <c r="I903" s="6"/>
      <c r="J903" s="6"/>
      <c r="K903" s="6"/>
      <c r="L903" s="6" t="str">
        <f ca="1">IFERROR(__xludf.DUMMYFUNCTION("""COMPUTED_VALUE"""),"No")</f>
        <v>No</v>
      </c>
      <c r="M903" s="6"/>
      <c r="N903" s="6"/>
      <c r="O903" s="6" t="str">
        <f ca="1">IFERROR(__xludf.DUMMYFUNCTION("""COMPUTED_VALUE"""),"Email")</f>
        <v>Email</v>
      </c>
      <c r="P903" s="6"/>
      <c r="Q903" s="6" t="str">
        <f ca="1">IFERROR(__xludf.DUMMYFUNCTION("""COMPUTED_VALUE"""),"No")</f>
        <v>No</v>
      </c>
      <c r="R903" s="6">
        <f ca="1">IFERROR(__xludf.DUMMYFUNCTION("""COMPUTED_VALUE"""),2)</f>
        <v>2</v>
      </c>
      <c r="S903" s="6" t="str">
        <f ca="1">IFERROR(__xludf.DUMMYFUNCTION("""COMPUTED_VALUE"""),"Pre-seed")</f>
        <v>Pre-seed</v>
      </c>
      <c r="T903" s="6" t="str">
        <f ca="1">IFERROR(__xludf.DUMMYFUNCTION("""COMPUTED_VALUE"""),"Pre-seed")</f>
        <v>Pre-seed</v>
      </c>
      <c r="U903" s="6" t="str">
        <f ca="1">IFERROR(__xludf.DUMMYFUNCTION("""COMPUTED_VALUE"""),"Pre-seed")</f>
        <v>Pre-seed</v>
      </c>
      <c r="V903" s="6"/>
      <c r="W903" s="6" t="str">
        <f ca="1">IFERROR(__xludf.DUMMYFUNCTION("""COMPUTED_VALUE"""),"Invite Next Year")</f>
        <v>Invite Next Year</v>
      </c>
    </row>
    <row r="904" spans="1:23">
      <c r="A904" s="6" t="str">
        <f ca="1">IFERROR(__xludf.DUMMYFUNCTION("""COMPUTED_VALUE"""),"Man")</f>
        <v>Man</v>
      </c>
      <c r="B904" s="6" t="str">
        <f ca="1">IFERROR(__xludf.DUMMYFUNCTION("""COMPUTED_VALUE"""),"Strayos _2022")</f>
        <v>Strayos _2022</v>
      </c>
      <c r="C904" s="6" t="str">
        <f ca="1">IFERROR(__xludf.DUMMYFUNCTION("""COMPUTED_VALUE"""),"Deep Tech")</f>
        <v>Deep Tech</v>
      </c>
      <c r="D904" s="6" t="str">
        <f ca="1">IFERROR(__xludf.DUMMYFUNCTION("""COMPUTED_VALUE"""),"1 West Seneca Street 24t floor Buffalo, NY 
United States")</f>
        <v>1 West Seneca Street 24t floor Buffalo, NY 
United States</v>
      </c>
      <c r="E904" s="6" t="str">
        <f ca="1">IFERROR(__xludf.DUMMYFUNCTION("""COMPUTED_VALUE"""),"East Coast")</f>
        <v>East Coast</v>
      </c>
      <c r="F904" s="6" t="str">
        <f ca="1">IFERROR(__xludf.DUMMYFUNCTION("""COMPUTED_VALUE"""),"Man")</f>
        <v>Man</v>
      </c>
      <c r="G904" s="6"/>
      <c r="H904" s="6"/>
      <c r="I904" s="6"/>
      <c r="J904" s="6"/>
      <c r="K904" s="6"/>
      <c r="L904" s="6" t="str">
        <f ca="1">IFERROR(__xludf.DUMMYFUNCTION("""COMPUTED_VALUE"""),"--Please select--")</f>
        <v>--Please select--</v>
      </c>
      <c r="M904" s="6"/>
      <c r="N904" s="6"/>
      <c r="O904" s="6" t="str">
        <f ca="1">IFERROR(__xludf.DUMMYFUNCTION("""COMPUTED_VALUE"""),"Email")</f>
        <v>Email</v>
      </c>
      <c r="P904" s="6"/>
      <c r="Q904" s="6" t="str">
        <f ca="1">IFERROR(__xludf.DUMMYFUNCTION("""COMPUTED_VALUE"""),"No")</f>
        <v>No</v>
      </c>
      <c r="R904" s="6">
        <f ca="1">IFERROR(__xludf.DUMMYFUNCTION("""COMPUTED_VALUE"""),1)</f>
        <v>1</v>
      </c>
      <c r="S904" s="6" t="str">
        <f ca="1">IFERROR(__xludf.DUMMYFUNCTION("""COMPUTED_VALUE"""),"Seed")</f>
        <v>Seed</v>
      </c>
      <c r="T904" s="6" t="str">
        <f ca="1">IFERROR(__xludf.DUMMYFUNCTION("""COMPUTED_VALUE"""),"Seed")</f>
        <v>Seed</v>
      </c>
      <c r="U904" s="6" t="str">
        <f ca="1">IFERROR(__xludf.DUMMYFUNCTION("""COMPUTED_VALUE"""),"Seed")</f>
        <v>Seed</v>
      </c>
      <c r="V904" s="6"/>
      <c r="W904" s="6" t="str">
        <f ca="1">IFERROR(__xludf.DUMMYFUNCTION("""COMPUTED_VALUE"""),"Revisit")</f>
        <v>Revisit</v>
      </c>
    </row>
    <row r="905" spans="1:23">
      <c r="A905" s="6" t="str">
        <f ca="1">IFERROR(__xludf.DUMMYFUNCTION("""COMPUTED_VALUE"""),"Man, Man")</f>
        <v>Man, Man</v>
      </c>
      <c r="B905" s="6" t="str">
        <f ca="1">IFERROR(__xludf.DUMMYFUNCTION("""COMPUTED_VALUE"""),"QuantumCat Co., Ltd. _2022")</f>
        <v>QuantumCat Co., Ltd. _2022</v>
      </c>
      <c r="C905" s="6" t="str">
        <f ca="1">IFERROR(__xludf.DUMMYFUNCTION("""COMPUTED_VALUE"""),"Deep Tech")</f>
        <v>Deep Tech</v>
      </c>
      <c r="D905" s="6" t="str">
        <f ca="1">IFERROR(__xludf.DUMMYFUNCTION("""COMPUTED_VALUE"""),"49, Techno-8ro, Yuseong-gu, Daejeon 
Korea, Republic of")</f>
        <v>49, Techno-8ro, Yuseong-gu, Daejeon 
Korea, Republic of</v>
      </c>
      <c r="E905" s="6" t="str">
        <f ca="1">IFERROR(__xludf.DUMMYFUNCTION("""COMPUTED_VALUE"""),"International - Asia")</f>
        <v>International - Asia</v>
      </c>
      <c r="F905" s="6" t="str">
        <f ca="1">IFERROR(__xludf.DUMMYFUNCTION("""COMPUTED_VALUE"""),"Man")</f>
        <v>Man</v>
      </c>
      <c r="G905" s="6" t="str">
        <f ca="1">IFERROR(__xludf.DUMMYFUNCTION("""COMPUTED_VALUE"""),"Man")</f>
        <v>Man</v>
      </c>
      <c r="H905" s="6"/>
      <c r="I905" s="6"/>
      <c r="J905" s="6"/>
      <c r="K905" s="6"/>
      <c r="L905" s="6" t="str">
        <f ca="1">IFERROR(__xludf.DUMMYFUNCTION("""COMPUTED_VALUE"""),"No")</f>
        <v>No</v>
      </c>
      <c r="M905" s="6"/>
      <c r="N905" s="6"/>
      <c r="O905" s="6" t="str">
        <f ca="1">IFERROR(__xludf.DUMMYFUNCTION("""COMPUTED_VALUE"""),"Info Session")</f>
        <v>Info Session</v>
      </c>
      <c r="P905" s="6"/>
      <c r="Q905" s="6" t="str">
        <f ca="1">IFERROR(__xludf.DUMMYFUNCTION("""COMPUTED_VALUE"""),"No")</f>
        <v>No</v>
      </c>
      <c r="R905" s="6">
        <f ca="1">IFERROR(__xludf.DUMMYFUNCTION("""COMPUTED_VALUE"""),2)</f>
        <v>2</v>
      </c>
      <c r="S905" s="6" t="str">
        <f ca="1">IFERROR(__xludf.DUMMYFUNCTION("""COMPUTED_VALUE"""),"Series A")</f>
        <v>Series A</v>
      </c>
      <c r="T905" s="6" t="str">
        <f ca="1">IFERROR(__xludf.DUMMYFUNCTION("""COMPUTED_VALUE"""),"Series A")</f>
        <v>Series A</v>
      </c>
      <c r="U905" s="6" t="str">
        <f ca="1">IFERROR(__xludf.DUMMYFUNCTION("""COMPUTED_VALUE"""),"Series A")</f>
        <v>Series A</v>
      </c>
      <c r="V905" s="6"/>
      <c r="W905" s="6" t="str">
        <f ca="1">IFERROR(__xludf.DUMMYFUNCTION("""COMPUTED_VALUE"""),"Invite Next Year")</f>
        <v>Invite Next Year</v>
      </c>
    </row>
    <row r="906" spans="1:23">
      <c r="A906" s="6" t="str">
        <f ca="1">IFERROR(__xludf.DUMMYFUNCTION("""COMPUTED_VALUE"""),"Woman")</f>
        <v>Woman</v>
      </c>
      <c r="B906" s="6" t="str">
        <f ca="1">IFERROR(__xludf.DUMMYFUNCTION("""COMPUTED_VALUE"""),"Sumitt _2022")</f>
        <v>Sumitt _2022</v>
      </c>
      <c r="C906" s="6" t="str">
        <f ca="1">IFERROR(__xludf.DUMMYFUNCTION("""COMPUTED_VALUE"""),"Digital Tech")</f>
        <v>Digital Tech</v>
      </c>
      <c r="D906" s="6" t="str">
        <f ca="1">IFERROR(__xludf.DUMMYFUNCTION("""COMPUTED_VALUE"""),"Maclaren St, Ottawa, ON 
Canada")</f>
        <v>Maclaren St, Ottawa, ON 
Canada</v>
      </c>
      <c r="E906" s="6" t="str">
        <f ca="1">IFERROR(__xludf.DUMMYFUNCTION("""COMPUTED_VALUE"""),"International - Americas")</f>
        <v>International - Americas</v>
      </c>
      <c r="F906" s="6" t="str">
        <f ca="1">IFERROR(__xludf.DUMMYFUNCTION("""COMPUTED_VALUE"""),"Woman")</f>
        <v>Woman</v>
      </c>
      <c r="G906" s="6"/>
      <c r="H906" s="6"/>
      <c r="I906" s="6"/>
      <c r="J906" s="6"/>
      <c r="K906" s="6"/>
      <c r="L906" s="6" t="str">
        <f ca="1">IFERROR(__xludf.DUMMYFUNCTION("""COMPUTED_VALUE"""),"No")</f>
        <v>No</v>
      </c>
      <c r="M906" s="6"/>
      <c r="N906" s="6"/>
      <c r="O906" s="6" t="str">
        <f ca="1">IFERROR(__xludf.DUMMYFUNCTION("""COMPUTED_VALUE"""),"LinkedIn")</f>
        <v>LinkedIn</v>
      </c>
      <c r="P906" s="6"/>
      <c r="Q906" s="6" t="str">
        <f ca="1">IFERROR(__xludf.DUMMYFUNCTION("""COMPUTED_VALUE"""),"No")</f>
        <v>No</v>
      </c>
      <c r="R906" s="6">
        <f ca="1">IFERROR(__xludf.DUMMYFUNCTION("""COMPUTED_VALUE"""),1)</f>
        <v>1</v>
      </c>
      <c r="S906" s="6" t="str">
        <f ca="1">IFERROR(__xludf.DUMMYFUNCTION("""COMPUTED_VALUE"""),"Other: Dragons Den Venture Capital (deal pending)")</f>
        <v>Other: Dragons Den Venture Capital (deal pending)</v>
      </c>
      <c r="T906" s="6" t="str">
        <f ca="1">IFERROR(__xludf.DUMMYFUNCTION("""COMPUTED_VALUE"""),"Other: Dragons Den Venture Capital (deal pending)")</f>
        <v>Other: Dragons Den Venture Capital (deal pending)</v>
      </c>
      <c r="U906" s="6" t="str">
        <f ca="1">IFERROR(__xludf.DUMMYFUNCTION("""COMPUTED_VALUE"""),"Dragons Den Venture Capital (deal pending)")</f>
        <v>Dragons Den Venture Capital (deal pending)</v>
      </c>
      <c r="V906" s="6"/>
      <c r="W906" s="6" t="str">
        <f ca="1">IFERROR(__xludf.DUMMYFUNCTION("""COMPUTED_VALUE"""),"Invite Next Year")</f>
        <v>Invite Next Year</v>
      </c>
    </row>
    <row r="907" spans="1:23">
      <c r="A907" s="6" t="str">
        <f ca="1">IFERROR(__xludf.DUMMYFUNCTION("""COMPUTED_VALUE"""),"Man, Man, Man")</f>
        <v>Man, Man, Man</v>
      </c>
      <c r="B907" s="6" t="str">
        <f ca="1">IFERROR(__xludf.DUMMYFUNCTION("""COMPUTED_VALUE"""),"Sumer _2022")</f>
        <v>Sumer _2022</v>
      </c>
      <c r="C907" s="6" t="str">
        <f ca="1">IFERROR(__xludf.DUMMYFUNCTION("""COMPUTED_VALUE"""),"Digital Tech")</f>
        <v>Digital Tech</v>
      </c>
      <c r="D907" s="6" t="str">
        <f ca="1">IFERROR(__xludf.DUMMYFUNCTION("""COMPUTED_VALUE"""),"Bogota, Bogota 
Colombia")</f>
        <v>Bogota, Bogota 
Colombia</v>
      </c>
      <c r="E907" s="6" t="str">
        <f ca="1">IFERROR(__xludf.DUMMYFUNCTION("""COMPUTED_VALUE"""),"International - Americas")</f>
        <v>International - Americas</v>
      </c>
      <c r="F907" s="6" t="str">
        <f ca="1">IFERROR(__xludf.DUMMYFUNCTION("""COMPUTED_VALUE"""),"Man")</f>
        <v>Man</v>
      </c>
      <c r="G907" s="6" t="str">
        <f ca="1">IFERROR(__xludf.DUMMYFUNCTION("""COMPUTED_VALUE"""),"Man")</f>
        <v>Man</v>
      </c>
      <c r="H907" s="6" t="str">
        <f ca="1">IFERROR(__xludf.DUMMYFUNCTION("""COMPUTED_VALUE"""),"Man")</f>
        <v>Man</v>
      </c>
      <c r="I907" s="6"/>
      <c r="J907" s="6"/>
      <c r="K907" s="6"/>
      <c r="L907" s="6" t="str">
        <f ca="1">IFERROR(__xludf.DUMMYFUNCTION("""COMPUTED_VALUE"""),"--Please select--")</f>
        <v>--Please select--</v>
      </c>
      <c r="M907" s="6"/>
      <c r="N907" s="6"/>
      <c r="O907" s="6" t="str">
        <f ca="1">IFERROR(__xludf.DUMMYFUNCTION("""COMPUTED_VALUE"""),"Email")</f>
        <v>Email</v>
      </c>
      <c r="P907" s="6"/>
      <c r="Q907" s="6" t="str">
        <f ca="1">IFERROR(__xludf.DUMMYFUNCTION("""COMPUTED_VALUE"""),"No")</f>
        <v>No</v>
      </c>
      <c r="R907" s="6">
        <f ca="1">IFERROR(__xludf.DUMMYFUNCTION("""COMPUTED_VALUE"""),3)</f>
        <v>3</v>
      </c>
      <c r="S907" s="6" t="str">
        <f ca="1">IFERROR(__xludf.DUMMYFUNCTION("""COMPUTED_VALUE"""),"Pre-seed
Seed")</f>
        <v>Pre-seed
Seed</v>
      </c>
      <c r="T907" s="6" t="str">
        <f ca="1">IFERROR(__xludf.DUMMYFUNCTION("""COMPUTED_VALUE"""),"Pre-seed, Seed")</f>
        <v>Pre-seed, Seed</v>
      </c>
      <c r="U907" s="6" t="str">
        <f ca="1">IFERROR(__xludf.DUMMYFUNCTION("""COMPUTED_VALUE"""),"Pre-seed, Seed")</f>
        <v>Pre-seed, Seed</v>
      </c>
      <c r="V907" s="6"/>
      <c r="W907" s="6" t="str">
        <f ca="1">IFERROR(__xludf.DUMMYFUNCTION("""COMPUTED_VALUE"""),"Invite")</f>
        <v>Invite</v>
      </c>
    </row>
    <row r="908" spans="1:23">
      <c r="A908" s="6" t="str">
        <f ca="1">IFERROR(__xludf.DUMMYFUNCTION("""COMPUTED_VALUE"""),"Man, Man")</f>
        <v>Man, Man</v>
      </c>
      <c r="B908" s="6" t="str">
        <f ca="1">IFERROR(__xludf.DUMMYFUNCTION("""COMPUTED_VALUE"""),"nucleusRx _2022")</f>
        <v>nucleusRx _2022</v>
      </c>
      <c r="C908" s="6" t="str">
        <f ca="1">IFERROR(__xludf.DUMMYFUNCTION("""COMPUTED_VALUE"""),"Deep Tech")</f>
        <v>Deep Tech</v>
      </c>
      <c r="D908" s="6" t="str">
        <f ca="1">IFERROR(__xludf.DUMMYFUNCTION("""COMPUTED_VALUE"""),"Warren, NJ 
United States")</f>
        <v>Warren, NJ 
United States</v>
      </c>
      <c r="E908" s="6" t="str">
        <f ca="1">IFERROR(__xludf.DUMMYFUNCTION("""COMPUTED_VALUE"""),"East Coast")</f>
        <v>East Coast</v>
      </c>
      <c r="F908" s="6" t="str">
        <f ca="1">IFERROR(__xludf.DUMMYFUNCTION("""COMPUTED_VALUE"""),"Man")</f>
        <v>Man</v>
      </c>
      <c r="G908" s="6" t="str">
        <f ca="1">IFERROR(__xludf.DUMMYFUNCTION("""COMPUTED_VALUE"""),"Man")</f>
        <v>Man</v>
      </c>
      <c r="H908" s="6"/>
      <c r="I908" s="6"/>
      <c r="J908" s="6"/>
      <c r="K908" s="6"/>
      <c r="L908" s="6" t="str">
        <f ca="1">IFERROR(__xludf.DUMMYFUNCTION("""COMPUTED_VALUE"""),"No")</f>
        <v>No</v>
      </c>
      <c r="M908" s="6"/>
      <c r="N908" s="6"/>
      <c r="O908" s="6" t="str">
        <f ca="1">IFERROR(__xludf.DUMMYFUNCTION("""COMPUTED_VALUE"""),"Referral")</f>
        <v>Referral</v>
      </c>
      <c r="P908" s="6"/>
      <c r="Q908" s="6" t="str">
        <f ca="1">IFERROR(__xludf.DUMMYFUNCTION("""COMPUTED_VALUE"""),"No")</f>
        <v>No</v>
      </c>
      <c r="R908" s="6">
        <f ca="1">IFERROR(__xludf.DUMMYFUNCTION("""COMPUTED_VALUE"""),2)</f>
        <v>2</v>
      </c>
      <c r="S908" s="6" t="str">
        <f ca="1">IFERROR(__xludf.DUMMYFUNCTION("""COMPUTED_VALUE"""),"Other: Self-funded")</f>
        <v>Other: Self-funded</v>
      </c>
      <c r="T908" s="6" t="str">
        <f ca="1">IFERROR(__xludf.DUMMYFUNCTION("""COMPUTED_VALUE"""),"Other: Self-funded")</f>
        <v>Other: Self-funded</v>
      </c>
      <c r="U908" s="6" t="str">
        <f ca="1">IFERROR(__xludf.DUMMYFUNCTION("""COMPUTED_VALUE"""),"Self-funded")</f>
        <v>Self-funded</v>
      </c>
      <c r="V908" s="6"/>
      <c r="W908" s="6" t="str">
        <f ca="1">IFERROR(__xludf.DUMMYFUNCTION("""COMPUTED_VALUE"""),"Invite Next Year")</f>
        <v>Invite Next Year</v>
      </c>
    </row>
    <row r="909" spans="1:23">
      <c r="A909" s="6" t="str">
        <f ca="1">IFERROR(__xludf.DUMMYFUNCTION("""COMPUTED_VALUE"""),"Man")</f>
        <v>Man</v>
      </c>
      <c r="B909" s="6" t="str">
        <f ca="1">IFERROR(__xludf.DUMMYFUNCTION("""COMPUTED_VALUE"""),"Rocket Propulsion Systems LLC _2022")</f>
        <v>Rocket Propulsion Systems LLC _2022</v>
      </c>
      <c r="C909" s="6" t="str">
        <f ca="1">IFERROR(__xludf.DUMMYFUNCTION("""COMPUTED_VALUE"""),"Deep Tech")</f>
        <v>Deep Tech</v>
      </c>
      <c r="D909" s="6" t="str">
        <f ca="1">IFERROR(__xludf.DUMMYFUNCTION("""COMPUTED_VALUE"""),"Kent, WA 
United States")</f>
        <v>Kent, WA 
United States</v>
      </c>
      <c r="E909" s="6" t="str">
        <f ca="1">IFERROR(__xludf.DUMMYFUNCTION("""COMPUTED_VALUE"""),"West Coast")</f>
        <v>West Coast</v>
      </c>
      <c r="F909" s="6" t="str">
        <f ca="1">IFERROR(__xludf.DUMMYFUNCTION("""COMPUTED_VALUE"""),"Man")</f>
        <v>Man</v>
      </c>
      <c r="G909" s="6"/>
      <c r="H909" s="6"/>
      <c r="I909" s="6"/>
      <c r="J909" s="6"/>
      <c r="K909" s="6"/>
      <c r="L909" s="6" t="str">
        <f ca="1">IFERROR(__xludf.DUMMYFUNCTION("""COMPUTED_VALUE"""),"--Please select--")</f>
        <v>--Please select--</v>
      </c>
      <c r="M909" s="6"/>
      <c r="N909" s="6"/>
      <c r="O909" s="6" t="str">
        <f ca="1">IFERROR(__xludf.DUMMYFUNCTION("""COMPUTED_VALUE"""),"Email")</f>
        <v>Email</v>
      </c>
      <c r="P909" s="6"/>
      <c r="Q909" s="6" t="str">
        <f ca="1">IFERROR(__xludf.DUMMYFUNCTION("""COMPUTED_VALUE"""),"No")</f>
        <v>No</v>
      </c>
      <c r="R909" s="6">
        <f ca="1">IFERROR(__xludf.DUMMYFUNCTION("""COMPUTED_VALUE"""),1)</f>
        <v>1</v>
      </c>
      <c r="S909" s="6" t="str">
        <f ca="1">IFERROR(__xludf.DUMMYFUNCTION("""COMPUTED_VALUE"""),"Pre-seed
Seed")</f>
        <v>Pre-seed
Seed</v>
      </c>
      <c r="T909" s="6" t="str">
        <f ca="1">IFERROR(__xludf.DUMMYFUNCTION("""COMPUTED_VALUE"""),"Pre-seed, Seed")</f>
        <v>Pre-seed, Seed</v>
      </c>
      <c r="U909" s="6" t="str">
        <f ca="1">IFERROR(__xludf.DUMMYFUNCTION("""COMPUTED_VALUE"""),"Pre-seed, Seed")</f>
        <v>Pre-seed, Seed</v>
      </c>
      <c r="V909" s="6"/>
      <c r="W909" s="6" t="str">
        <f ca="1">IFERROR(__xludf.DUMMYFUNCTION("""COMPUTED_VALUE"""),"Revisit")</f>
        <v>Revisit</v>
      </c>
    </row>
    <row r="910" spans="1:23">
      <c r="A910" s="6" t="str">
        <f ca="1">IFERROR(__xludf.DUMMYFUNCTION("""COMPUTED_VALUE"""),"Man, Woman, Man, Man, Woman")</f>
        <v>Man, Woman, Man, Man, Woman</v>
      </c>
      <c r="B910" s="6" t="str">
        <f ca="1">IFERROR(__xludf.DUMMYFUNCTION("""COMPUTED_VALUE"""),"Eureka FinTech Limited _2022")</f>
        <v>Eureka FinTech Limited _2022</v>
      </c>
      <c r="C910" s="6" t="str">
        <f ca="1">IFERROR(__xludf.DUMMYFUNCTION("""COMPUTED_VALUE"""),"Digital Tech")</f>
        <v>Digital Tech</v>
      </c>
      <c r="D910" s="6" t="str">
        <f ca="1">IFERROR(__xludf.DUMMYFUNCTION("""COMPUTED_VALUE"""),"Lion Rock 72, 1F, InnoCentre, 72 Tat Chee Avenue, Kowloon 
Hong Kong")</f>
        <v>Lion Rock 72, 1F, InnoCentre, 72 Tat Chee Avenue, Kowloon 
Hong Kong</v>
      </c>
      <c r="E910" s="6" t="str">
        <f ca="1">IFERROR(__xludf.DUMMYFUNCTION("""COMPUTED_VALUE"""),"International - Asia")</f>
        <v>International - Asia</v>
      </c>
      <c r="F910" s="6" t="str">
        <f ca="1">IFERROR(__xludf.DUMMYFUNCTION("""COMPUTED_VALUE"""),"Man")</f>
        <v>Man</v>
      </c>
      <c r="G910" s="6" t="str">
        <f ca="1">IFERROR(__xludf.DUMMYFUNCTION("""COMPUTED_VALUE"""),"Woman")</f>
        <v>Woman</v>
      </c>
      <c r="H910" s="6" t="str">
        <f ca="1">IFERROR(__xludf.DUMMYFUNCTION("""COMPUTED_VALUE"""),"Man")</f>
        <v>Man</v>
      </c>
      <c r="I910" s="6" t="str">
        <f ca="1">IFERROR(__xludf.DUMMYFUNCTION("""COMPUTED_VALUE"""),"Man")</f>
        <v>Man</v>
      </c>
      <c r="J910" s="6" t="str">
        <f ca="1">IFERROR(__xludf.DUMMYFUNCTION("""COMPUTED_VALUE"""),"Woman")</f>
        <v>Woman</v>
      </c>
      <c r="K910" s="6"/>
      <c r="L910" s="6" t="str">
        <f ca="1">IFERROR(__xludf.DUMMYFUNCTION("""COMPUTED_VALUE"""),"No")</f>
        <v>No</v>
      </c>
      <c r="M910" s="6"/>
      <c r="N910" s="6"/>
      <c r="O910" s="6" t="str">
        <f ca="1">IFERROR(__xludf.DUMMYFUNCTION("""COMPUTED_VALUE"""),"Email")</f>
        <v>Email</v>
      </c>
      <c r="P910" s="6"/>
      <c r="Q910" s="6" t="str">
        <f ca="1">IFERROR(__xludf.DUMMYFUNCTION("""COMPUTED_VALUE"""),"No")</f>
        <v>No</v>
      </c>
      <c r="R910" s="6">
        <f ca="1">IFERROR(__xludf.DUMMYFUNCTION("""COMPUTED_VALUE"""),5)</f>
        <v>5</v>
      </c>
      <c r="S910" s="6" t="str">
        <f ca="1">IFERROR(__xludf.DUMMYFUNCTION("""COMPUTED_VALUE"""),"Pre-seed")</f>
        <v>Pre-seed</v>
      </c>
      <c r="T910" s="6" t="str">
        <f ca="1">IFERROR(__xludf.DUMMYFUNCTION("""COMPUTED_VALUE"""),"Pre-seed")</f>
        <v>Pre-seed</v>
      </c>
      <c r="U910" s="6" t="str">
        <f ca="1">IFERROR(__xludf.DUMMYFUNCTION("""COMPUTED_VALUE"""),"Pre-seed")</f>
        <v>Pre-seed</v>
      </c>
      <c r="V910" s="6"/>
      <c r="W910" s="6" t="str">
        <f ca="1">IFERROR(__xludf.DUMMYFUNCTION("""COMPUTED_VALUE"""),"Invite")</f>
        <v>Invite</v>
      </c>
    </row>
    <row r="911" spans="1:23">
      <c r="A911" s="6" t="str">
        <f ca="1">IFERROR(__xludf.DUMMYFUNCTION("""COMPUTED_VALUE"""),"Man, Man, Woman")</f>
        <v>Man, Man, Woman</v>
      </c>
      <c r="B911" s="6" t="str">
        <f ca="1">IFERROR(__xludf.DUMMYFUNCTION("""COMPUTED_VALUE"""),"Parrots Inc. _2022")</f>
        <v>Parrots Inc. _2022</v>
      </c>
      <c r="C911" s="6" t="str">
        <f ca="1">IFERROR(__xludf.DUMMYFUNCTION("""COMPUTED_VALUE"""),"Life Sciences")</f>
        <v>Life Sciences</v>
      </c>
      <c r="D911" s="6" t="str">
        <f ca="1">IFERROR(__xludf.DUMMYFUNCTION("""COMPUTED_VALUE"""),"Fremont Ave N, WA 
United States")</f>
        <v>Fremont Ave N, WA 
United States</v>
      </c>
      <c r="E911" s="6" t="str">
        <f ca="1">IFERROR(__xludf.DUMMYFUNCTION("""COMPUTED_VALUE"""),"West Coast")</f>
        <v>West Coast</v>
      </c>
      <c r="F911" s="6" t="str">
        <f ca="1">IFERROR(__xludf.DUMMYFUNCTION("""COMPUTED_VALUE"""),"Man")</f>
        <v>Man</v>
      </c>
      <c r="G911" s="6" t="str">
        <f ca="1">IFERROR(__xludf.DUMMYFUNCTION("""COMPUTED_VALUE"""),"Man")</f>
        <v>Man</v>
      </c>
      <c r="H911" s="6" t="str">
        <f ca="1">IFERROR(__xludf.DUMMYFUNCTION("""COMPUTED_VALUE"""),"Woman")</f>
        <v>Woman</v>
      </c>
      <c r="I911" s="6"/>
      <c r="J911" s="6"/>
      <c r="K911" s="6"/>
      <c r="L911" s="6" t="str">
        <f ca="1">IFERROR(__xludf.DUMMYFUNCTION("""COMPUTED_VALUE"""),"No")</f>
        <v>No</v>
      </c>
      <c r="M911" s="6"/>
      <c r="N911" s="6"/>
      <c r="O911" s="6" t="str">
        <f ca="1">IFERROR(__xludf.DUMMYFUNCTION("""COMPUTED_VALUE"""),"Referral")</f>
        <v>Referral</v>
      </c>
      <c r="P911" s="6"/>
      <c r="Q911" s="6" t="str">
        <f ca="1">IFERROR(__xludf.DUMMYFUNCTION("""COMPUTED_VALUE"""),"No")</f>
        <v>No</v>
      </c>
      <c r="R911" s="6">
        <f ca="1">IFERROR(__xludf.DUMMYFUNCTION("""COMPUTED_VALUE"""),3)</f>
        <v>3</v>
      </c>
      <c r="S911" s="6" t="str">
        <f ca="1">IFERROR(__xludf.DUMMYFUNCTION("""COMPUTED_VALUE"""),"Pre-seed")</f>
        <v>Pre-seed</v>
      </c>
      <c r="T911" s="6" t="str">
        <f ca="1">IFERROR(__xludf.DUMMYFUNCTION("""COMPUTED_VALUE"""),"Pre-seed")</f>
        <v>Pre-seed</v>
      </c>
      <c r="U911" s="6" t="str">
        <f ca="1">IFERROR(__xludf.DUMMYFUNCTION("""COMPUTED_VALUE"""),"Pre-seed")</f>
        <v>Pre-seed</v>
      </c>
      <c r="V911" s="6"/>
      <c r="W911" s="6" t="str">
        <f ca="1">IFERROR(__xludf.DUMMYFUNCTION("""COMPUTED_VALUE"""),"Invite Next Year")</f>
        <v>Invite Next Year</v>
      </c>
    </row>
    <row r="912" spans="1:23">
      <c r="A912" s="6" t="str">
        <f ca="1">IFERROR(__xludf.DUMMYFUNCTION("""COMPUTED_VALUE"""),"Man")</f>
        <v>Man</v>
      </c>
      <c r="B912" s="6" t="str">
        <f ca="1">IFERROR(__xludf.DUMMYFUNCTION("""COMPUTED_VALUE"""),"Metfora _2022")</f>
        <v>Metfora _2022</v>
      </c>
      <c r="C912" s="6" t="str">
        <f ca="1">IFERROR(__xludf.DUMMYFUNCTION("""COMPUTED_VALUE"""),"Life Sciences")</f>
        <v>Life Sciences</v>
      </c>
      <c r="D912" s="6" t="str">
        <f ca="1">IFERROR(__xludf.DUMMYFUNCTION("""COMPUTED_VALUE"""),"Tucson, Arizona 
United States")</f>
        <v>Tucson, Arizona 
United States</v>
      </c>
      <c r="E912" s="6" t="str">
        <f ca="1">IFERROR(__xludf.DUMMYFUNCTION("""COMPUTED_VALUE"""),"West")</f>
        <v>West</v>
      </c>
      <c r="F912" s="6" t="str">
        <f ca="1">IFERROR(__xludf.DUMMYFUNCTION("""COMPUTED_VALUE"""),"Man")</f>
        <v>Man</v>
      </c>
      <c r="G912" s="6"/>
      <c r="H912" s="6"/>
      <c r="I912" s="6"/>
      <c r="J912" s="6"/>
      <c r="K912" s="6"/>
      <c r="L912" s="6" t="str">
        <f ca="1">IFERROR(__xludf.DUMMYFUNCTION("""COMPUTED_VALUE"""),"Yes")</f>
        <v>Yes</v>
      </c>
      <c r="M912" s="6" t="str">
        <f ca="1">IFERROR(__xludf.DUMMYFUNCTION("""COMPUTED_VALUE"""),"NYU Alumni")</f>
        <v>NYU Alumni</v>
      </c>
      <c r="N912" s="6"/>
      <c r="O912" s="6" t="str">
        <f ca="1">IFERROR(__xludf.DUMMYFUNCTION("""COMPUTED_VALUE"""),"Other")</f>
        <v>Other</v>
      </c>
      <c r="P912" s="6"/>
      <c r="Q912" s="6" t="str">
        <f ca="1">IFERROR(__xludf.DUMMYFUNCTION("""COMPUTED_VALUE"""),"No")</f>
        <v>No</v>
      </c>
      <c r="R912" s="6">
        <f ca="1">IFERROR(__xludf.DUMMYFUNCTION("""COMPUTED_VALUE"""),1)</f>
        <v>1</v>
      </c>
      <c r="S912" s="6" t="str">
        <f ca="1">IFERROR(__xludf.DUMMYFUNCTION("""COMPUTED_VALUE"""),"Grants")</f>
        <v>Grants</v>
      </c>
      <c r="T912" s="6" t="str">
        <f ca="1">IFERROR(__xludf.DUMMYFUNCTION("""COMPUTED_VALUE"""),"Grants")</f>
        <v>Grants</v>
      </c>
      <c r="U912" s="6" t="str">
        <f ca="1">IFERROR(__xludf.DUMMYFUNCTION("""COMPUTED_VALUE"""),"Grants")</f>
        <v>Grants</v>
      </c>
      <c r="V912" s="6"/>
      <c r="W912" s="6" t="str">
        <f ca="1">IFERROR(__xludf.DUMMYFUNCTION("""COMPUTED_VALUE"""),"Invite Next Year")</f>
        <v>Invite Next Year</v>
      </c>
    </row>
    <row r="913" spans="1:23">
      <c r="A913" s="6" t="str">
        <f ca="1">IFERROR(__xludf.DUMMYFUNCTION("""COMPUTED_VALUE"""),"Man, Man")</f>
        <v>Man, Man</v>
      </c>
      <c r="B913" s="6" t="str">
        <f ca="1">IFERROR(__xludf.DUMMYFUNCTION("""COMPUTED_VALUE"""),"Xinterra _2022")</f>
        <v>Xinterra _2022</v>
      </c>
      <c r="C913" s="6" t="str">
        <f ca="1">IFERROR(__xludf.DUMMYFUNCTION("""COMPUTED_VALUE"""),"Deep Tech")</f>
        <v>Deep Tech</v>
      </c>
      <c r="D913" s="6" t="str">
        <f ca="1">IFERROR(__xludf.DUMMYFUNCTION("""COMPUTED_VALUE"""),"77 Robinson Road, #16-0, Singapore 068896, Singapore 
Singapore")</f>
        <v>77 Robinson Road, #16-0, Singapore 068896, Singapore 
Singapore</v>
      </c>
      <c r="E913" s="6" t="str">
        <f ca="1">IFERROR(__xludf.DUMMYFUNCTION("""COMPUTED_VALUE"""),"International - Asia")</f>
        <v>International - Asia</v>
      </c>
      <c r="F913" s="6" t="str">
        <f ca="1">IFERROR(__xludf.DUMMYFUNCTION("""COMPUTED_VALUE"""),"Man")</f>
        <v>Man</v>
      </c>
      <c r="G913" s="6" t="str">
        <f ca="1">IFERROR(__xludf.DUMMYFUNCTION("""COMPUTED_VALUE"""),"Man")</f>
        <v>Man</v>
      </c>
      <c r="H913" s="6"/>
      <c r="I913" s="6"/>
      <c r="J913" s="6"/>
      <c r="K913" s="6"/>
      <c r="L913" s="6" t="str">
        <f ca="1">IFERROR(__xludf.DUMMYFUNCTION("""COMPUTED_VALUE"""),"No")</f>
        <v>No</v>
      </c>
      <c r="M913" s="6"/>
      <c r="N913" s="6"/>
      <c r="O913" s="6" t="str">
        <f ca="1">IFERROR(__xludf.DUMMYFUNCTION("""COMPUTED_VALUE"""),"Email")</f>
        <v>Email</v>
      </c>
      <c r="P913" s="6"/>
      <c r="Q913" s="6" t="str">
        <f ca="1">IFERROR(__xludf.DUMMYFUNCTION("""COMPUTED_VALUE"""),"No")</f>
        <v>No</v>
      </c>
      <c r="R913" s="6">
        <f ca="1">IFERROR(__xludf.DUMMYFUNCTION("""COMPUTED_VALUE"""),2)</f>
        <v>2</v>
      </c>
      <c r="S913" s="6" t="str">
        <f ca="1">IFERROR(__xludf.DUMMYFUNCTION("""COMPUTED_VALUE"""),"Seed")</f>
        <v>Seed</v>
      </c>
      <c r="T913" s="6" t="str">
        <f ca="1">IFERROR(__xludf.DUMMYFUNCTION("""COMPUTED_VALUE"""),"Seed")</f>
        <v>Seed</v>
      </c>
      <c r="U913" s="6" t="str">
        <f ca="1">IFERROR(__xludf.DUMMYFUNCTION("""COMPUTED_VALUE"""),"Seed")</f>
        <v>Seed</v>
      </c>
      <c r="V913" s="6"/>
      <c r="W913" s="6" t="str">
        <f ca="1">IFERROR(__xludf.DUMMYFUNCTION("""COMPUTED_VALUE"""),"Invite")</f>
        <v>Invite</v>
      </c>
    </row>
    <row r="914" spans="1:23">
      <c r="A914" s="6" t="str">
        <f ca="1">IFERROR(__xludf.DUMMYFUNCTION("""COMPUTED_VALUE"""),"Man, Woman, Woman, Man")</f>
        <v>Man, Woman, Woman, Man</v>
      </c>
      <c r="B914" s="6" t="str">
        <f ca="1">IFERROR(__xludf.DUMMYFUNCTION("""COMPUTED_VALUE"""),"Syos _2022")</f>
        <v>Syos _2022</v>
      </c>
      <c r="C914" s="6" t="str">
        <f ca="1">IFERROR(__xludf.DUMMYFUNCTION("""COMPUTED_VALUE"""),"Digital Tech")</f>
        <v>Digital Tech</v>
      </c>
      <c r="D914" s="6" t="str">
        <f ca="1">IFERROR(__xludf.DUMMYFUNCTION("""COMPUTED_VALUE"""),"Rio de Janeiro, Rio de Janeiro 
Brazil")</f>
        <v>Rio de Janeiro, Rio de Janeiro 
Brazil</v>
      </c>
      <c r="E914" s="6" t="str">
        <f ca="1">IFERROR(__xludf.DUMMYFUNCTION("""COMPUTED_VALUE"""),"International - Americas")</f>
        <v>International - Americas</v>
      </c>
      <c r="F914" s="6" t="str">
        <f ca="1">IFERROR(__xludf.DUMMYFUNCTION("""COMPUTED_VALUE"""),"Man")</f>
        <v>Man</v>
      </c>
      <c r="G914" s="6" t="str">
        <f ca="1">IFERROR(__xludf.DUMMYFUNCTION("""COMPUTED_VALUE"""),"Woman")</f>
        <v>Woman</v>
      </c>
      <c r="H914" s="6" t="str">
        <f ca="1">IFERROR(__xludf.DUMMYFUNCTION("""COMPUTED_VALUE"""),"Woman")</f>
        <v>Woman</v>
      </c>
      <c r="I914" s="6" t="str">
        <f ca="1">IFERROR(__xludf.DUMMYFUNCTION("""COMPUTED_VALUE"""),"Man")</f>
        <v>Man</v>
      </c>
      <c r="J914" s="6"/>
      <c r="K914" s="6"/>
      <c r="L914" s="6" t="str">
        <f ca="1">IFERROR(__xludf.DUMMYFUNCTION("""COMPUTED_VALUE"""),"No")</f>
        <v>No</v>
      </c>
      <c r="M914" s="6"/>
      <c r="N914" s="6"/>
      <c r="O914" s="6" t="str">
        <f ca="1">IFERROR(__xludf.DUMMYFUNCTION("""COMPUTED_VALUE"""),"Email")</f>
        <v>Email</v>
      </c>
      <c r="P914" s="6"/>
      <c r="Q914" s="6" t="str">
        <f ca="1">IFERROR(__xludf.DUMMYFUNCTION("""COMPUTED_VALUE"""),"No")</f>
        <v>No</v>
      </c>
      <c r="R914" s="6">
        <f ca="1">IFERROR(__xludf.DUMMYFUNCTION("""COMPUTED_VALUE"""),4)</f>
        <v>4</v>
      </c>
      <c r="S914" s="6" t="str">
        <f ca="1">IFERROR(__xludf.DUMMYFUNCTION("""COMPUTED_VALUE"""),"Pre-seed
Seed
Series A")</f>
        <v>Pre-seed
Seed
Series A</v>
      </c>
      <c r="T914" s="6" t="str">
        <f ca="1">IFERROR(__xludf.DUMMYFUNCTION("""COMPUTED_VALUE"""),"Pre-seed, Seed, Series A")</f>
        <v>Pre-seed, Seed, Series A</v>
      </c>
      <c r="U914" s="6" t="str">
        <f ca="1">IFERROR(__xludf.DUMMYFUNCTION("""COMPUTED_VALUE"""),"Pre-seed, Seed, Series A")</f>
        <v>Pre-seed, Seed, Series A</v>
      </c>
      <c r="V914" s="6"/>
      <c r="W914" s="6" t="str">
        <f ca="1">IFERROR(__xludf.DUMMYFUNCTION("""COMPUTED_VALUE"""),"Invite Next Year")</f>
        <v>Invite Next Year</v>
      </c>
    </row>
    <row r="915" spans="1:23">
      <c r="A915" s="6" t="str">
        <f ca="1">IFERROR(__xludf.DUMMYFUNCTION("""COMPUTED_VALUE"""),"Woman, Woman")</f>
        <v>Woman, Woman</v>
      </c>
      <c r="B915" s="6" t="str">
        <f ca="1">IFERROR(__xludf.DUMMYFUNCTION("""COMPUTED_VALUE"""),"Cosmosii _2022")</f>
        <v>Cosmosii _2022</v>
      </c>
      <c r="C915" s="6" t="str">
        <f ca="1">IFERROR(__xludf.DUMMYFUNCTION("""COMPUTED_VALUE"""),"Digital Tech")</f>
        <v>Digital Tech</v>
      </c>
      <c r="D915" s="6" t="str">
        <f ca="1">IFERROR(__xludf.DUMMYFUNCTION("""COMPUTED_VALUE"""),"355 Harvard St, MA 
United States")</f>
        <v>355 Harvard St, MA 
United States</v>
      </c>
      <c r="E915" s="6" t="str">
        <f ca="1">IFERROR(__xludf.DUMMYFUNCTION("""COMPUTED_VALUE"""),"East Coast")</f>
        <v>East Coast</v>
      </c>
      <c r="F915" s="6" t="str">
        <f ca="1">IFERROR(__xludf.DUMMYFUNCTION("""COMPUTED_VALUE"""),"Woman")</f>
        <v>Woman</v>
      </c>
      <c r="G915" s="6" t="str">
        <f ca="1">IFERROR(__xludf.DUMMYFUNCTION("""COMPUTED_VALUE"""),"Woman")</f>
        <v>Woman</v>
      </c>
      <c r="H915" s="6"/>
      <c r="I915" s="6"/>
      <c r="J915" s="6"/>
      <c r="K915" s="6"/>
      <c r="L915" s="6" t="str">
        <f ca="1">IFERROR(__xludf.DUMMYFUNCTION("""COMPUTED_VALUE"""),"No")</f>
        <v>No</v>
      </c>
      <c r="M915" s="6"/>
      <c r="N915" s="6"/>
      <c r="O915" s="6" t="str">
        <f ca="1">IFERROR(__xludf.DUMMYFUNCTION("""COMPUTED_VALUE"""),"A web posting")</f>
        <v>A web posting</v>
      </c>
      <c r="P915" s="6"/>
      <c r="Q915" s="6" t="str">
        <f ca="1">IFERROR(__xludf.DUMMYFUNCTION("""COMPUTED_VALUE"""),"No")</f>
        <v>No</v>
      </c>
      <c r="R915" s="6">
        <f ca="1">IFERROR(__xludf.DUMMYFUNCTION("""COMPUTED_VALUE"""),2)</f>
        <v>2</v>
      </c>
      <c r="S915" s="6" t="str">
        <f ca="1">IFERROR(__xludf.DUMMYFUNCTION("""COMPUTED_VALUE"""),"Other: Small non-dilutive competitions and accelerators")</f>
        <v>Other: Small non-dilutive competitions and accelerators</v>
      </c>
      <c r="T915" s="6" t="str">
        <f ca="1">IFERROR(__xludf.DUMMYFUNCTION("""COMPUTED_VALUE"""),"Other: Small non-dilutive competitions and accelerators")</f>
        <v>Other: Small non-dilutive competitions and accelerators</v>
      </c>
      <c r="U915" s="6" t="str">
        <f ca="1">IFERROR(__xludf.DUMMYFUNCTION("""COMPUTED_VALUE"""),"Small non-dilutive competitions and accelerators")</f>
        <v>Small non-dilutive competitions and accelerators</v>
      </c>
      <c r="V915" s="6"/>
      <c r="W915" s="6" t="str">
        <f ca="1">IFERROR(__xludf.DUMMYFUNCTION("""COMPUTED_VALUE"""),"Invite Next Year")</f>
        <v>Invite Next Year</v>
      </c>
    </row>
    <row r="916" spans="1:23">
      <c r="A916" s="6" t="str">
        <f ca="1">IFERROR(__xludf.DUMMYFUNCTION("""COMPUTED_VALUE"""),"Man")</f>
        <v>Man</v>
      </c>
      <c r="B916" s="6" t="str">
        <f ca="1">IFERROR(__xludf.DUMMYFUNCTION("""COMPUTED_VALUE"""),"Matdun _2022")</f>
        <v>Matdun _2022</v>
      </c>
      <c r="C916" s="6" t="str">
        <f ca="1">IFERROR(__xludf.DUMMYFUNCTION("""COMPUTED_VALUE"""),"Digital Tech")</f>
        <v>Digital Tech</v>
      </c>
      <c r="D916" s="6" t="str">
        <f ca="1">IFERROR(__xludf.DUMMYFUNCTION("""COMPUTED_VALUE"""),"Milton, Ontario 
Canada")</f>
        <v>Milton, Ontario 
Canada</v>
      </c>
      <c r="E916" s="6" t="str">
        <f ca="1">IFERROR(__xludf.DUMMYFUNCTION("""COMPUTED_VALUE"""),"International - Americas")</f>
        <v>International - Americas</v>
      </c>
      <c r="F916" s="6" t="str">
        <f ca="1">IFERROR(__xludf.DUMMYFUNCTION("""COMPUTED_VALUE"""),"Man")</f>
        <v>Man</v>
      </c>
      <c r="G916" s="6"/>
      <c r="H916" s="6"/>
      <c r="I916" s="6"/>
      <c r="J916" s="6"/>
      <c r="K916" s="6"/>
      <c r="L916" s="6" t="str">
        <f ca="1">IFERROR(__xludf.DUMMYFUNCTION("""COMPUTED_VALUE"""),"No")</f>
        <v>No</v>
      </c>
      <c r="M916" s="6"/>
      <c r="N916" s="6"/>
      <c r="O916" s="6" t="str">
        <f ca="1">IFERROR(__xludf.DUMMYFUNCTION("""COMPUTED_VALUE"""),"Email")</f>
        <v>Email</v>
      </c>
      <c r="P916" s="6"/>
      <c r="Q916" s="6" t="str">
        <f ca="1">IFERROR(__xludf.DUMMYFUNCTION("""COMPUTED_VALUE"""),"No")</f>
        <v>No</v>
      </c>
      <c r="R916" s="6">
        <f ca="1">IFERROR(__xludf.DUMMYFUNCTION("""COMPUTED_VALUE"""),1)</f>
        <v>1</v>
      </c>
      <c r="S916" s="6" t="str">
        <f ca="1">IFERROR(__xludf.DUMMYFUNCTION("""COMPUTED_VALUE"""),"Pre-seed")</f>
        <v>Pre-seed</v>
      </c>
      <c r="T916" s="6" t="str">
        <f ca="1">IFERROR(__xludf.DUMMYFUNCTION("""COMPUTED_VALUE"""),"Pre-seed")</f>
        <v>Pre-seed</v>
      </c>
      <c r="U916" s="6" t="str">
        <f ca="1">IFERROR(__xludf.DUMMYFUNCTION("""COMPUTED_VALUE"""),"Pre-seed")</f>
        <v>Pre-seed</v>
      </c>
      <c r="V916" s="6"/>
      <c r="W916" s="6" t="str">
        <f ca="1">IFERROR(__xludf.DUMMYFUNCTION("""COMPUTED_VALUE"""),"Invite Next Year")</f>
        <v>Invite Next Year</v>
      </c>
    </row>
    <row r="917" spans="1:23">
      <c r="A917" s="6" t="str">
        <f ca="1">IFERROR(__xludf.DUMMYFUNCTION("""COMPUTED_VALUE"""),"Woman, Man")</f>
        <v>Woman, Man</v>
      </c>
      <c r="B917" s="6" t="str">
        <f ca="1">IFERROR(__xludf.DUMMYFUNCTION("""COMPUTED_VALUE"""),"Ankler Media _2022")</f>
        <v>Ankler Media _2022</v>
      </c>
      <c r="C917" s="6" t="str">
        <f ca="1">IFERROR(__xludf.DUMMYFUNCTION("""COMPUTED_VALUE"""),"Digital Tech")</f>
        <v>Digital Tech</v>
      </c>
      <c r="D917" s="6" t="str">
        <f ca="1">IFERROR(__xludf.DUMMYFUNCTION("""COMPUTED_VALUE"""),"907 Westwood Blvd #409, Los Angeles, California 
United States")</f>
        <v>907 Westwood Blvd #409, Los Angeles, California 
United States</v>
      </c>
      <c r="E917" s="6" t="str">
        <f ca="1">IFERROR(__xludf.DUMMYFUNCTION("""COMPUTED_VALUE"""),"West Coast")</f>
        <v>West Coast</v>
      </c>
      <c r="F917" s="6" t="str">
        <f ca="1">IFERROR(__xludf.DUMMYFUNCTION("""COMPUTED_VALUE"""),"Woman")</f>
        <v>Woman</v>
      </c>
      <c r="G917" s="6" t="str">
        <f ca="1">IFERROR(__xludf.DUMMYFUNCTION("""COMPUTED_VALUE"""),"Man")</f>
        <v>Man</v>
      </c>
      <c r="H917" s="6"/>
      <c r="I917" s="6"/>
      <c r="J917" s="6"/>
      <c r="K917" s="6"/>
      <c r="L917" s="6" t="str">
        <f ca="1">IFERROR(__xludf.DUMMYFUNCTION("""COMPUTED_VALUE"""),"No")</f>
        <v>No</v>
      </c>
      <c r="M917" s="6"/>
      <c r="N917" s="6"/>
      <c r="O917" s="6" t="str">
        <f ca="1">IFERROR(__xludf.DUMMYFUNCTION("""COMPUTED_VALUE"""),"Email")</f>
        <v>Email</v>
      </c>
      <c r="P917" s="6"/>
      <c r="Q917" s="6" t="str">
        <f ca="1">IFERROR(__xludf.DUMMYFUNCTION("""COMPUTED_VALUE"""),"No")</f>
        <v>No</v>
      </c>
      <c r="R917" s="6">
        <f ca="1">IFERROR(__xludf.DUMMYFUNCTION("""COMPUTED_VALUE"""),2)</f>
        <v>2</v>
      </c>
      <c r="S917" s="6" t="str">
        <f ca="1">IFERROR(__xludf.DUMMYFUNCTION("""COMPUTED_VALUE"""),"Seed")</f>
        <v>Seed</v>
      </c>
      <c r="T917" s="6" t="str">
        <f ca="1">IFERROR(__xludf.DUMMYFUNCTION("""COMPUTED_VALUE"""),"Seed")</f>
        <v>Seed</v>
      </c>
      <c r="U917" s="6" t="str">
        <f ca="1">IFERROR(__xludf.DUMMYFUNCTION("""COMPUTED_VALUE"""),"Seed")</f>
        <v>Seed</v>
      </c>
      <c r="V917" s="6"/>
      <c r="W917" s="6" t="str">
        <f ca="1">IFERROR(__xludf.DUMMYFUNCTION("""COMPUTED_VALUE"""),"Invite Next Year")</f>
        <v>Invite Next Year</v>
      </c>
    </row>
    <row r="918" spans="1:23">
      <c r="A918" s="6" t="str">
        <f ca="1">IFERROR(__xludf.DUMMYFUNCTION("""COMPUTED_VALUE"""),"Man, Man")</f>
        <v>Man, Man</v>
      </c>
      <c r="B918" s="6" t="str">
        <f ca="1">IFERROR(__xludf.DUMMYFUNCTION("""COMPUTED_VALUE"""),"GaleSun Technologies _2022")</f>
        <v>GaleSun Technologies _2022</v>
      </c>
      <c r="C918" s="6" t="str">
        <f ca="1">IFERROR(__xludf.DUMMYFUNCTION("""COMPUTED_VALUE"""),"Life Sciences")</f>
        <v>Life Sciences</v>
      </c>
      <c r="D918" s="6" t="str">
        <f ca="1">IFERROR(__xludf.DUMMYFUNCTION("""COMPUTED_VALUE"""),"7037 71st Street, New York 
United States")</f>
        <v>7037 71st Street, New York 
United States</v>
      </c>
      <c r="E918" s="6" t="str">
        <f ca="1">IFERROR(__xludf.DUMMYFUNCTION("""COMPUTED_VALUE"""),"New York")</f>
        <v>New York</v>
      </c>
      <c r="F918" s="6" t="str">
        <f ca="1">IFERROR(__xludf.DUMMYFUNCTION("""COMPUTED_VALUE"""),"Man")</f>
        <v>Man</v>
      </c>
      <c r="G918" s="6" t="str">
        <f ca="1">IFERROR(__xludf.DUMMYFUNCTION("""COMPUTED_VALUE"""),"Man")</f>
        <v>Man</v>
      </c>
      <c r="H918" s="6"/>
      <c r="I918" s="6"/>
      <c r="J918" s="6"/>
      <c r="K918" s="6"/>
      <c r="L918" s="6" t="str">
        <f ca="1">IFERROR(__xludf.DUMMYFUNCTION("""COMPUTED_VALUE"""),"Yes")</f>
        <v>Yes</v>
      </c>
      <c r="M918" s="6" t="str">
        <f ca="1">IFERROR(__xludf.DUMMYFUNCTION("""COMPUTED_VALUE"""),"NYU Staff")</f>
        <v>NYU Staff</v>
      </c>
      <c r="N918" s="6"/>
      <c r="O918" s="6" t="str">
        <f ca="1">IFERROR(__xludf.DUMMYFUNCTION("""COMPUTED_VALUE"""),"Email")</f>
        <v>Email</v>
      </c>
      <c r="P918" s="6"/>
      <c r="Q918" s="6" t="str">
        <f ca="1">IFERROR(__xludf.DUMMYFUNCTION("""COMPUTED_VALUE"""),"No")</f>
        <v>No</v>
      </c>
      <c r="R918" s="6">
        <f ca="1">IFERROR(__xludf.DUMMYFUNCTION("""COMPUTED_VALUE"""),2)</f>
        <v>2</v>
      </c>
      <c r="S918" s="6" t="str">
        <f ca="1">IFERROR(__xludf.DUMMYFUNCTION("""COMPUTED_VALUE"""),"None")</f>
        <v>None</v>
      </c>
      <c r="T918" s="6" t="str">
        <f ca="1">IFERROR(__xludf.DUMMYFUNCTION("""COMPUTED_VALUE"""),"None")</f>
        <v>None</v>
      </c>
      <c r="U918" s="6" t="str">
        <f ca="1">IFERROR(__xludf.DUMMYFUNCTION("""COMPUTED_VALUE"""),"None")</f>
        <v>None</v>
      </c>
      <c r="V918" s="6"/>
      <c r="W918" s="6" t="str">
        <f ca="1">IFERROR(__xludf.DUMMYFUNCTION("""COMPUTED_VALUE"""),"Invite Next Year")</f>
        <v>Invite Next Year</v>
      </c>
    </row>
    <row r="919" spans="1:23">
      <c r="A919" s="6" t="str">
        <f ca="1">IFERROR(__xludf.DUMMYFUNCTION("""COMPUTED_VALUE"""),"Man, Man")</f>
        <v>Man, Man</v>
      </c>
      <c r="B919" s="6" t="str">
        <f ca="1">IFERROR(__xludf.DUMMYFUNCTION("""COMPUTED_VALUE"""),"Rubato _2022")</f>
        <v>Rubato _2022</v>
      </c>
      <c r="C919" s="6" t="str">
        <f ca="1">IFERROR(__xludf.DUMMYFUNCTION("""COMPUTED_VALUE"""),"Digital Tech")</f>
        <v>Digital Tech</v>
      </c>
      <c r="D919" s="6" t="str">
        <f ca="1">IFERROR(__xludf.DUMMYFUNCTION("""COMPUTED_VALUE"""),"823 Enchanted way, California 
United States")</f>
        <v>823 Enchanted way, California 
United States</v>
      </c>
      <c r="E919" s="6" t="str">
        <f ca="1">IFERROR(__xludf.DUMMYFUNCTION("""COMPUTED_VALUE"""),"West Coast")</f>
        <v>West Coast</v>
      </c>
      <c r="F919" s="6" t="str">
        <f ca="1">IFERROR(__xludf.DUMMYFUNCTION("""COMPUTED_VALUE"""),"Man")</f>
        <v>Man</v>
      </c>
      <c r="G919" s="6" t="str">
        <f ca="1">IFERROR(__xludf.DUMMYFUNCTION("""COMPUTED_VALUE"""),"Man")</f>
        <v>Man</v>
      </c>
      <c r="H919" s="6"/>
      <c r="I919" s="6"/>
      <c r="J919" s="6"/>
      <c r="K919" s="6"/>
      <c r="L919" s="6" t="str">
        <f ca="1">IFERROR(__xludf.DUMMYFUNCTION("""COMPUTED_VALUE"""),"No")</f>
        <v>No</v>
      </c>
      <c r="M919" s="6"/>
      <c r="N919" s="6"/>
      <c r="O919" s="6" t="str">
        <f ca="1">IFERROR(__xludf.DUMMYFUNCTION("""COMPUTED_VALUE"""),"Other")</f>
        <v>Other</v>
      </c>
      <c r="P919" s="6"/>
      <c r="Q919" s="6" t="str">
        <f ca="1">IFERROR(__xludf.DUMMYFUNCTION("""COMPUTED_VALUE"""),"No")</f>
        <v>No</v>
      </c>
      <c r="R919" s="6">
        <f ca="1">IFERROR(__xludf.DUMMYFUNCTION("""COMPUTED_VALUE"""),2)</f>
        <v>2</v>
      </c>
      <c r="S919" s="6" t="str">
        <f ca="1">IFERROR(__xludf.DUMMYFUNCTION("""COMPUTED_VALUE"""),"Pre-seed")</f>
        <v>Pre-seed</v>
      </c>
      <c r="T919" s="6" t="str">
        <f ca="1">IFERROR(__xludf.DUMMYFUNCTION("""COMPUTED_VALUE"""),"Pre-seed")</f>
        <v>Pre-seed</v>
      </c>
      <c r="U919" s="6" t="str">
        <f ca="1">IFERROR(__xludf.DUMMYFUNCTION("""COMPUTED_VALUE"""),"Pre-seed")</f>
        <v>Pre-seed</v>
      </c>
      <c r="V919" s="6"/>
      <c r="W919" s="6" t="str">
        <f ca="1">IFERROR(__xludf.DUMMYFUNCTION("""COMPUTED_VALUE"""),"Invite Next Year")</f>
        <v>Invite Next Year</v>
      </c>
    </row>
    <row r="920" spans="1:23">
      <c r="A920" s="6" t="str">
        <f ca="1">IFERROR(__xludf.DUMMYFUNCTION("""COMPUTED_VALUE"""),"Man, Woman, Man")</f>
        <v>Man, Woman, Man</v>
      </c>
      <c r="B920" s="6" t="str">
        <f ca="1">IFERROR(__xludf.DUMMYFUNCTION("""COMPUTED_VALUE"""),"Fathom _2022")</f>
        <v>Fathom _2022</v>
      </c>
      <c r="C920" s="6" t="str">
        <f ca="1">IFERROR(__xludf.DUMMYFUNCTION("""COMPUTED_VALUE"""),"Digital Tech")</f>
        <v>Digital Tech</v>
      </c>
      <c r="D920" s="6" t="str">
        <f ca="1">IFERROR(__xludf.DUMMYFUNCTION("""COMPUTED_VALUE"""),"Nashville, TN 
United States")</f>
        <v>Nashville, TN 
United States</v>
      </c>
      <c r="E920" s="6" t="str">
        <f ca="1">IFERROR(__xludf.DUMMYFUNCTION("""COMPUTED_VALUE"""),"South")</f>
        <v>South</v>
      </c>
      <c r="F920" s="6" t="str">
        <f ca="1">IFERROR(__xludf.DUMMYFUNCTION("""COMPUTED_VALUE"""),"Man")</f>
        <v>Man</v>
      </c>
      <c r="G920" s="6" t="str">
        <f ca="1">IFERROR(__xludf.DUMMYFUNCTION("""COMPUTED_VALUE"""),"Woman")</f>
        <v>Woman</v>
      </c>
      <c r="H920" s="6" t="str">
        <f ca="1">IFERROR(__xludf.DUMMYFUNCTION("""COMPUTED_VALUE"""),"Man")</f>
        <v>Man</v>
      </c>
      <c r="I920" s="6"/>
      <c r="J920" s="6"/>
      <c r="K920" s="6"/>
      <c r="L920" s="6" t="str">
        <f ca="1">IFERROR(__xludf.DUMMYFUNCTION("""COMPUTED_VALUE"""),"No")</f>
        <v>No</v>
      </c>
      <c r="M920" s="6"/>
      <c r="N920" s="6"/>
      <c r="O920" s="6" t="str">
        <f ca="1">IFERROR(__xludf.DUMMYFUNCTION("""COMPUTED_VALUE"""),"Email")</f>
        <v>Email</v>
      </c>
      <c r="P920" s="6"/>
      <c r="Q920" s="6" t="str">
        <f ca="1">IFERROR(__xludf.DUMMYFUNCTION("""COMPUTED_VALUE"""),"No")</f>
        <v>No</v>
      </c>
      <c r="R920" s="6">
        <f ca="1">IFERROR(__xludf.DUMMYFUNCTION("""COMPUTED_VALUE"""),3)</f>
        <v>3</v>
      </c>
      <c r="S920" s="6" t="str">
        <f ca="1">IFERROR(__xludf.DUMMYFUNCTION("""COMPUTED_VALUE"""),"Debt financing
Grants")</f>
        <v>Debt financing
Grants</v>
      </c>
      <c r="T920" s="6" t="str">
        <f ca="1">IFERROR(__xludf.DUMMYFUNCTION("""COMPUTED_VALUE"""),"Debt financing, Grants")</f>
        <v>Debt financing, Grants</v>
      </c>
      <c r="U920" s="6" t="str">
        <f ca="1">IFERROR(__xludf.DUMMYFUNCTION("""COMPUTED_VALUE"""),"Debt financing, Grants")</f>
        <v>Debt financing, Grants</v>
      </c>
      <c r="V920" s="6"/>
      <c r="W920" s="6" t="str">
        <f ca="1">IFERROR(__xludf.DUMMYFUNCTION("""COMPUTED_VALUE"""),"Invite")</f>
        <v>Invite</v>
      </c>
    </row>
    <row r="921" spans="1:23">
      <c r="A921" s="6" t="str">
        <f ca="1">IFERROR(__xludf.DUMMYFUNCTION("""COMPUTED_VALUE"""),"Man")</f>
        <v>Man</v>
      </c>
      <c r="B921" s="6" t="str">
        <f ca="1">IFERROR(__xludf.DUMMYFUNCTION("""COMPUTED_VALUE"""),"Ecotone Renewables _2022")</f>
        <v>Ecotone Renewables _2022</v>
      </c>
      <c r="C921" s="6" t="str">
        <f ca="1">IFERROR(__xludf.DUMMYFUNCTION("""COMPUTED_VALUE"""),"Deep Tech")</f>
        <v>Deep Tech</v>
      </c>
      <c r="D921" s="6" t="str">
        <f ca="1">IFERROR(__xludf.DUMMYFUNCTION("""COMPUTED_VALUE"""),"PO Box 82534, Pittsburgh, PA 
United States")</f>
        <v>PO Box 82534, Pittsburgh, PA 
United States</v>
      </c>
      <c r="E921" s="6" t="str">
        <f ca="1">IFERROR(__xludf.DUMMYFUNCTION("""COMPUTED_VALUE"""),"East Coast")</f>
        <v>East Coast</v>
      </c>
      <c r="F921" s="6" t="str">
        <f ca="1">IFERROR(__xludf.DUMMYFUNCTION("""COMPUTED_VALUE"""),"Man")</f>
        <v>Man</v>
      </c>
      <c r="G921" s="6"/>
      <c r="H921" s="6"/>
      <c r="I921" s="6"/>
      <c r="J921" s="6"/>
      <c r="K921" s="6"/>
      <c r="L921" s="6" t="str">
        <f ca="1">IFERROR(__xludf.DUMMYFUNCTION("""COMPUTED_VALUE"""),"--Please select--")</f>
        <v>--Please select--</v>
      </c>
      <c r="M921" s="6"/>
      <c r="N921" s="6"/>
      <c r="O921" s="6" t="str">
        <f ca="1">IFERROR(__xludf.DUMMYFUNCTION("""COMPUTED_VALUE"""),"A web posting")</f>
        <v>A web posting</v>
      </c>
      <c r="P921" s="6"/>
      <c r="Q921" s="6" t="str">
        <f ca="1">IFERROR(__xludf.DUMMYFUNCTION("""COMPUTED_VALUE"""),"No")</f>
        <v>No</v>
      </c>
      <c r="R921" s="6">
        <f ca="1">IFERROR(__xludf.DUMMYFUNCTION("""COMPUTED_VALUE"""),1)</f>
        <v>1</v>
      </c>
      <c r="S921" s="6" t="str">
        <f ca="1">IFERROR(__xludf.DUMMYFUNCTION("""COMPUTED_VALUE"""),"Seed")</f>
        <v>Seed</v>
      </c>
      <c r="T921" s="6" t="str">
        <f ca="1">IFERROR(__xludf.DUMMYFUNCTION("""COMPUTED_VALUE"""),"Seed")</f>
        <v>Seed</v>
      </c>
      <c r="U921" s="6" t="str">
        <f ca="1">IFERROR(__xludf.DUMMYFUNCTION("""COMPUTED_VALUE"""),"Seed")</f>
        <v>Seed</v>
      </c>
      <c r="V921" s="6"/>
      <c r="W921" s="6" t="str">
        <f ca="1">IFERROR(__xludf.DUMMYFUNCTION("""COMPUTED_VALUE"""),"Invite Next Year")</f>
        <v>Invite Next Year</v>
      </c>
    </row>
    <row r="922" spans="1:23">
      <c r="A922" s="6" t="str">
        <f ca="1">IFERROR(__xludf.DUMMYFUNCTION("""COMPUTED_VALUE"""),"Woman, Man")</f>
        <v>Woman, Man</v>
      </c>
      <c r="B922" s="6" t="str">
        <f ca="1">IFERROR(__xludf.DUMMYFUNCTION("""COMPUTED_VALUE"""),"Artificial Intelligence Imaging Sensors (AiimSense Inc.) _2022")</f>
        <v>Artificial Intelligence Imaging Sensors (AiimSense Inc.) _2022</v>
      </c>
      <c r="C922" s="6" t="str">
        <f ca="1">IFERROR(__xludf.DUMMYFUNCTION("""COMPUTED_VALUE"""),"Deep Tech")</f>
        <v>Deep Tech</v>
      </c>
      <c r="D922" s="6" t="str">
        <f ca="1">IFERROR(__xludf.DUMMYFUNCTION("""COMPUTED_VALUE"""),"151 Charles St. W. Suite 199  Kitchener, Ontario 
Canada")</f>
        <v>151 Charles St. W. Suite 199  Kitchener, Ontario 
Canada</v>
      </c>
      <c r="E922" s="6" t="str">
        <f ca="1">IFERROR(__xludf.DUMMYFUNCTION("""COMPUTED_VALUE"""),"International - Americas")</f>
        <v>International - Americas</v>
      </c>
      <c r="F922" s="6" t="str">
        <f ca="1">IFERROR(__xludf.DUMMYFUNCTION("""COMPUTED_VALUE"""),"Woman")</f>
        <v>Woman</v>
      </c>
      <c r="G922" s="6" t="str">
        <f ca="1">IFERROR(__xludf.DUMMYFUNCTION("""COMPUTED_VALUE"""),"Man")</f>
        <v>Man</v>
      </c>
      <c r="H922" s="6"/>
      <c r="I922" s="6"/>
      <c r="J922" s="6"/>
      <c r="K922" s="6"/>
      <c r="L922" s="6" t="str">
        <f ca="1">IFERROR(__xludf.DUMMYFUNCTION("""COMPUTED_VALUE"""),"No")</f>
        <v>No</v>
      </c>
      <c r="M922" s="6"/>
      <c r="N922" s="6"/>
      <c r="O922" s="6" t="str">
        <f ca="1">IFERROR(__xludf.DUMMYFUNCTION("""COMPUTED_VALUE"""),"Referral")</f>
        <v>Referral</v>
      </c>
      <c r="P922" s="6"/>
      <c r="Q922" s="6" t="str">
        <f ca="1">IFERROR(__xludf.DUMMYFUNCTION("""COMPUTED_VALUE"""),"No")</f>
        <v>No</v>
      </c>
      <c r="R922" s="6">
        <f ca="1">IFERROR(__xludf.DUMMYFUNCTION("""COMPUTED_VALUE"""),2)</f>
        <v>2</v>
      </c>
      <c r="S922" s="6" t="str">
        <f ca="1">IFERROR(__xludf.DUMMYFUNCTION("""COMPUTED_VALUE"""),"Pre-seed")</f>
        <v>Pre-seed</v>
      </c>
      <c r="T922" s="6" t="str">
        <f ca="1">IFERROR(__xludf.DUMMYFUNCTION("""COMPUTED_VALUE"""),"Pre-seed")</f>
        <v>Pre-seed</v>
      </c>
      <c r="U922" s="6" t="str">
        <f ca="1">IFERROR(__xludf.DUMMYFUNCTION("""COMPUTED_VALUE"""),"Pre-seed")</f>
        <v>Pre-seed</v>
      </c>
      <c r="V922" s="6"/>
      <c r="W922" s="6" t="str">
        <f ca="1">IFERROR(__xludf.DUMMYFUNCTION("""COMPUTED_VALUE"""),"Invite")</f>
        <v>Invite</v>
      </c>
    </row>
    <row r="923" spans="1:23">
      <c r="A923" s="6" t="str">
        <f ca="1">IFERROR(__xludf.DUMMYFUNCTION("""COMPUTED_VALUE"""),"Man")</f>
        <v>Man</v>
      </c>
      <c r="B923" s="6" t="str">
        <f ca="1">IFERROR(__xludf.DUMMYFUNCTION("""COMPUTED_VALUE"""),"Corral Technologies _2022")</f>
        <v>Corral Technologies _2022</v>
      </c>
      <c r="C923" s="6" t="str">
        <f ca="1">IFERROR(__xludf.DUMMYFUNCTION("""COMPUTED_VALUE"""),"Deep Tech")</f>
        <v>Deep Tech</v>
      </c>
      <c r="D923" s="6" t="str">
        <f ca="1">IFERROR(__xludf.DUMMYFUNCTION("""COMPUTED_VALUE"""),"Lincoln, Nebraska 
United States")</f>
        <v>Lincoln, Nebraska 
United States</v>
      </c>
      <c r="E923" s="6" t="str">
        <f ca="1">IFERROR(__xludf.DUMMYFUNCTION("""COMPUTED_VALUE"""),"West")</f>
        <v>West</v>
      </c>
      <c r="F923" s="6" t="str">
        <f ca="1">IFERROR(__xludf.DUMMYFUNCTION("""COMPUTED_VALUE"""),"Man")</f>
        <v>Man</v>
      </c>
      <c r="G923" s="6"/>
      <c r="H923" s="6"/>
      <c r="I923" s="6"/>
      <c r="J923" s="6"/>
      <c r="K923" s="6"/>
      <c r="L923" s="6" t="str">
        <f ca="1">IFERROR(__xludf.DUMMYFUNCTION("""COMPUTED_VALUE"""),"No")</f>
        <v>No</v>
      </c>
      <c r="M923" s="6"/>
      <c r="N923" s="6"/>
      <c r="O923" s="6" t="str">
        <f ca="1">IFERROR(__xludf.DUMMYFUNCTION("""COMPUTED_VALUE"""),"Email")</f>
        <v>Email</v>
      </c>
      <c r="P923" s="6"/>
      <c r="Q923" s="6" t="str">
        <f ca="1">IFERROR(__xludf.DUMMYFUNCTION("""COMPUTED_VALUE"""),"No")</f>
        <v>No</v>
      </c>
      <c r="R923" s="6">
        <f ca="1">IFERROR(__xludf.DUMMYFUNCTION("""COMPUTED_VALUE"""),1)</f>
        <v>1</v>
      </c>
      <c r="S923" s="6" t="str">
        <f ca="1">IFERROR(__xludf.DUMMYFUNCTION("""COMPUTED_VALUE"""),"Seed")</f>
        <v>Seed</v>
      </c>
      <c r="T923" s="6" t="str">
        <f ca="1">IFERROR(__xludf.DUMMYFUNCTION("""COMPUTED_VALUE"""),"Seed")</f>
        <v>Seed</v>
      </c>
      <c r="U923" s="6" t="str">
        <f ca="1">IFERROR(__xludf.DUMMYFUNCTION("""COMPUTED_VALUE"""),"Seed")</f>
        <v>Seed</v>
      </c>
      <c r="V923" s="6"/>
      <c r="W923" s="6" t="str">
        <f ca="1">IFERROR(__xludf.DUMMYFUNCTION("""COMPUTED_VALUE"""),"Invite Next Year")</f>
        <v>Invite Next Year</v>
      </c>
    </row>
    <row r="924" spans="1:23">
      <c r="A924" s="6" t="str">
        <f ca="1">IFERROR(__xludf.DUMMYFUNCTION("""COMPUTED_VALUE"""),"Woman, Non-binary")</f>
        <v>Woman, Non-binary</v>
      </c>
      <c r="B924" s="6" t="str">
        <f ca="1">IFERROR(__xludf.DUMMYFUNCTION("""COMPUTED_VALUE"""),"WellnessWins _2022")</f>
        <v>WellnessWins _2022</v>
      </c>
      <c r="C924" s="6" t="str">
        <f ca="1">IFERROR(__xludf.DUMMYFUNCTION("""COMPUTED_VALUE"""),"Digital Tech")</f>
        <v>Digital Tech</v>
      </c>
      <c r="D924" s="6" t="str">
        <f ca="1">IFERROR(__xludf.DUMMYFUNCTION("""COMPUTED_VALUE"""),"401 Pine St, St Louis , MO 
United States")</f>
        <v>401 Pine St, St Louis , MO 
United States</v>
      </c>
      <c r="E924" s="6" t="str">
        <f ca="1">IFERROR(__xludf.DUMMYFUNCTION("""COMPUTED_VALUE"""),"Midwest")</f>
        <v>Midwest</v>
      </c>
      <c r="F924" s="6" t="str">
        <f ca="1">IFERROR(__xludf.DUMMYFUNCTION("""COMPUTED_VALUE"""),"Woman")</f>
        <v>Woman</v>
      </c>
      <c r="G924" s="6" t="str">
        <f ca="1">IFERROR(__xludf.DUMMYFUNCTION("""COMPUTED_VALUE"""),"Non-binary")</f>
        <v>Non-binary</v>
      </c>
      <c r="H924" s="6"/>
      <c r="I924" s="6"/>
      <c r="J924" s="6"/>
      <c r="K924" s="6"/>
      <c r="L924" s="6" t="str">
        <f ca="1">IFERROR(__xludf.DUMMYFUNCTION("""COMPUTED_VALUE"""),"Yes")</f>
        <v>Yes</v>
      </c>
      <c r="M924" s="6" t="str">
        <f ca="1">IFERROR(__xludf.DUMMYFUNCTION("""COMPUTED_VALUE"""),"NYU Alumni")</f>
        <v>NYU Alumni</v>
      </c>
      <c r="N924" s="6"/>
      <c r="O924" s="6" t="str">
        <f ca="1">IFERROR(__xludf.DUMMYFUNCTION("""COMPUTED_VALUE"""),"Referral")</f>
        <v>Referral</v>
      </c>
      <c r="P924" s="6"/>
      <c r="Q924" s="6" t="str">
        <f ca="1">IFERROR(__xludf.DUMMYFUNCTION("""COMPUTED_VALUE"""),"No")</f>
        <v>No</v>
      </c>
      <c r="R924" s="6">
        <f ca="1">IFERROR(__xludf.DUMMYFUNCTION("""COMPUTED_VALUE"""),2)</f>
        <v>2</v>
      </c>
      <c r="S924" s="6" t="str">
        <f ca="1">IFERROR(__xludf.DUMMYFUNCTION("""COMPUTED_VALUE"""),"Seed")</f>
        <v>Seed</v>
      </c>
      <c r="T924" s="6" t="str">
        <f ca="1">IFERROR(__xludf.DUMMYFUNCTION("""COMPUTED_VALUE"""),"Seed")</f>
        <v>Seed</v>
      </c>
      <c r="U924" s="6" t="str">
        <f ca="1">IFERROR(__xludf.DUMMYFUNCTION("""COMPUTED_VALUE"""),"Seed")</f>
        <v>Seed</v>
      </c>
      <c r="V924" s="6"/>
      <c r="W924" s="6" t="str">
        <f ca="1">IFERROR(__xludf.DUMMYFUNCTION("""COMPUTED_VALUE"""),"Invite Next Year")</f>
        <v>Invite Next Year</v>
      </c>
    </row>
    <row r="925" spans="1:23">
      <c r="A925" s="6" t="str">
        <f ca="1">IFERROR(__xludf.DUMMYFUNCTION("""COMPUTED_VALUE"""),"Man, Woman, Woman")</f>
        <v>Man, Woman, Woman</v>
      </c>
      <c r="B925" s="6" t="str">
        <f ca="1">IFERROR(__xludf.DUMMYFUNCTION("""COMPUTED_VALUE"""),"Base5 Genomics, Inc. _2022")</f>
        <v>Base5 Genomics, Inc. _2022</v>
      </c>
      <c r="C925" s="6" t="str">
        <f ca="1">IFERROR(__xludf.DUMMYFUNCTION("""COMPUTED_VALUE"""),"Life Sciences")</f>
        <v>Life Sciences</v>
      </c>
      <c r="D925" s="6" t="str">
        <f ca="1">IFERROR(__xludf.DUMMYFUNCTION("""COMPUTED_VALUE"""),"Mountain View, CA 
United States")</f>
        <v>Mountain View, CA 
United States</v>
      </c>
      <c r="E925" s="6" t="str">
        <f ca="1">IFERROR(__xludf.DUMMYFUNCTION("""COMPUTED_VALUE"""),"West Coast")</f>
        <v>West Coast</v>
      </c>
      <c r="F925" s="6" t="str">
        <f ca="1">IFERROR(__xludf.DUMMYFUNCTION("""COMPUTED_VALUE"""),"Man")</f>
        <v>Man</v>
      </c>
      <c r="G925" s="6" t="str">
        <f ca="1">IFERROR(__xludf.DUMMYFUNCTION("""COMPUTED_VALUE"""),"Woman")</f>
        <v>Woman</v>
      </c>
      <c r="H925" s="6" t="str">
        <f ca="1">IFERROR(__xludf.DUMMYFUNCTION("""COMPUTED_VALUE"""),"Woman")</f>
        <v>Woman</v>
      </c>
      <c r="I925" s="6"/>
      <c r="J925" s="6"/>
      <c r="K925" s="6"/>
      <c r="L925" s="6" t="str">
        <f ca="1">IFERROR(__xludf.DUMMYFUNCTION("""COMPUTED_VALUE"""),"No")</f>
        <v>No</v>
      </c>
      <c r="M925" s="6"/>
      <c r="N925" s="6"/>
      <c r="O925" s="6" t="str">
        <f ca="1">IFERROR(__xludf.DUMMYFUNCTION("""COMPUTED_VALUE"""),"Referral")</f>
        <v>Referral</v>
      </c>
      <c r="P925" s="6"/>
      <c r="Q925" s="6" t="str">
        <f ca="1">IFERROR(__xludf.DUMMYFUNCTION("""COMPUTED_VALUE"""),"Yes")</f>
        <v>Yes</v>
      </c>
      <c r="R925" s="6">
        <f ca="1">IFERROR(__xludf.DUMMYFUNCTION("""COMPUTED_VALUE"""),3)</f>
        <v>3</v>
      </c>
      <c r="S925" s="6" t="str">
        <f ca="1">IFERROR(__xludf.DUMMYFUNCTION("""COMPUTED_VALUE"""),"Seed")</f>
        <v>Seed</v>
      </c>
      <c r="T925" s="6" t="str">
        <f ca="1">IFERROR(__xludf.DUMMYFUNCTION("""COMPUTED_VALUE"""),"Seed")</f>
        <v>Seed</v>
      </c>
      <c r="U925" s="6" t="str">
        <f ca="1">IFERROR(__xludf.DUMMYFUNCTION("""COMPUTED_VALUE"""),"Seed")</f>
        <v>Seed</v>
      </c>
      <c r="V925" s="6"/>
      <c r="W925" s="6" t="str">
        <f ca="1">IFERROR(__xludf.DUMMYFUNCTION("""COMPUTED_VALUE"""),"Revisit/ Cluster")</f>
        <v>Revisit/ Cluster</v>
      </c>
    </row>
    <row r="926" spans="1:23">
      <c r="A926" s="6" t="str">
        <f ca="1">IFERROR(__xludf.DUMMYFUNCTION("""COMPUTED_VALUE"""),"Man")</f>
        <v>Man</v>
      </c>
      <c r="B926" s="6" t="str">
        <f ca="1">IFERROR(__xludf.DUMMYFUNCTION("""COMPUTED_VALUE"""),"Boundless Robotics _2022")</f>
        <v>Boundless Robotics _2022</v>
      </c>
      <c r="C926" s="6" t="str">
        <f ca="1">IFERROR(__xludf.DUMMYFUNCTION("""COMPUTED_VALUE"""),"Deep Tech")</f>
        <v>Deep Tech</v>
      </c>
      <c r="D926" s="6" t="str">
        <f ca="1">IFERROR(__xludf.DUMMYFUNCTION("""COMPUTED_VALUE"""),"Boston, MA 
United States")</f>
        <v>Boston, MA 
United States</v>
      </c>
      <c r="E926" s="6" t="str">
        <f ca="1">IFERROR(__xludf.DUMMYFUNCTION("""COMPUTED_VALUE"""),"East Coast")</f>
        <v>East Coast</v>
      </c>
      <c r="F926" s="6" t="str">
        <f ca="1">IFERROR(__xludf.DUMMYFUNCTION("""COMPUTED_VALUE"""),"Man")</f>
        <v>Man</v>
      </c>
      <c r="G926" s="6"/>
      <c r="H926" s="6"/>
      <c r="I926" s="6"/>
      <c r="J926" s="6"/>
      <c r="K926" s="6"/>
      <c r="L926" s="6" t="str">
        <f ca="1">IFERROR(__xludf.DUMMYFUNCTION("""COMPUTED_VALUE"""),"No")</f>
        <v>No</v>
      </c>
      <c r="M926" s="6"/>
      <c r="N926" s="6"/>
      <c r="O926" s="6" t="str">
        <f ca="1">IFERROR(__xludf.DUMMYFUNCTION("""COMPUTED_VALUE"""),"Email")</f>
        <v>Email</v>
      </c>
      <c r="P926" s="6"/>
      <c r="Q926" s="6" t="str">
        <f ca="1">IFERROR(__xludf.DUMMYFUNCTION("""COMPUTED_VALUE"""),"Yes")</f>
        <v>Yes</v>
      </c>
      <c r="R926" s="6">
        <f ca="1">IFERROR(__xludf.DUMMYFUNCTION("""COMPUTED_VALUE"""),1)</f>
        <v>1</v>
      </c>
      <c r="S926" s="6" t="str">
        <f ca="1">IFERROR(__xludf.DUMMYFUNCTION("""COMPUTED_VALUE"""),"Pre-seed")</f>
        <v>Pre-seed</v>
      </c>
      <c r="T926" s="6" t="str">
        <f ca="1">IFERROR(__xludf.DUMMYFUNCTION("""COMPUTED_VALUE"""),"Pre-seed")</f>
        <v>Pre-seed</v>
      </c>
      <c r="U926" s="6" t="str">
        <f ca="1">IFERROR(__xludf.DUMMYFUNCTION("""COMPUTED_VALUE"""),"Pre-seed")</f>
        <v>Pre-seed</v>
      </c>
      <c r="V926" s="6"/>
      <c r="W926" s="6" t="str">
        <f ca="1">IFERROR(__xludf.DUMMYFUNCTION("""COMPUTED_VALUE"""),"Invite Next Year")</f>
        <v>Invite Next Year</v>
      </c>
    </row>
    <row r="927" spans="1:23">
      <c r="A927" s="6" t="str">
        <f ca="1">IFERROR(__xludf.DUMMYFUNCTION("""COMPUTED_VALUE"""),"Man, Man, Woman, Man")</f>
        <v>Man, Man, Woman, Man</v>
      </c>
      <c r="B927" s="6" t="str">
        <f ca="1">IFERROR(__xludf.DUMMYFUNCTION("""COMPUTED_VALUE"""),"Candi Holdings, Inc. (d/b/a ONUU) _2022")</f>
        <v>Candi Holdings, Inc. (d/b/a ONUU) _2022</v>
      </c>
      <c r="C927" s="6" t="str">
        <f ca="1">IFERROR(__xludf.DUMMYFUNCTION("""COMPUTED_VALUE"""),"Digital Tech")</f>
        <v>Digital Tech</v>
      </c>
      <c r="D927" s="6" t="str">
        <f ca="1">IFERROR(__xludf.DUMMYFUNCTION("""COMPUTED_VALUE"""),"9901 Brodie Lane, Suite 160 PMB991, Texas 
United States")</f>
        <v>9901 Brodie Lane, Suite 160 PMB991, Texas 
United States</v>
      </c>
      <c r="E927" s="6" t="str">
        <f ca="1">IFERROR(__xludf.DUMMYFUNCTION("""COMPUTED_VALUE"""),"South")</f>
        <v>South</v>
      </c>
      <c r="F927" s="6" t="str">
        <f ca="1">IFERROR(__xludf.DUMMYFUNCTION("""COMPUTED_VALUE"""),"Man")</f>
        <v>Man</v>
      </c>
      <c r="G927" s="6" t="str">
        <f ca="1">IFERROR(__xludf.DUMMYFUNCTION("""COMPUTED_VALUE"""),"Man")</f>
        <v>Man</v>
      </c>
      <c r="H927" s="6" t="str">
        <f ca="1">IFERROR(__xludf.DUMMYFUNCTION("""COMPUTED_VALUE"""),"Woman")</f>
        <v>Woman</v>
      </c>
      <c r="I927" s="6" t="str">
        <f ca="1">IFERROR(__xludf.DUMMYFUNCTION("""COMPUTED_VALUE"""),"Man")</f>
        <v>Man</v>
      </c>
      <c r="J927" s="6"/>
      <c r="K927" s="6"/>
      <c r="L927" s="6" t="str">
        <f ca="1">IFERROR(__xludf.DUMMYFUNCTION("""COMPUTED_VALUE"""),"No")</f>
        <v>No</v>
      </c>
      <c r="M927" s="6"/>
      <c r="N927" s="6"/>
      <c r="O927" s="6" t="str">
        <f ca="1">IFERROR(__xludf.DUMMYFUNCTION("""COMPUTED_VALUE"""),"Email")</f>
        <v>Email</v>
      </c>
      <c r="P927" s="6"/>
      <c r="Q927" s="6" t="str">
        <f ca="1">IFERROR(__xludf.DUMMYFUNCTION("""COMPUTED_VALUE"""),"No")</f>
        <v>No</v>
      </c>
      <c r="R927" s="6">
        <f ca="1">IFERROR(__xludf.DUMMYFUNCTION("""COMPUTED_VALUE"""),4)</f>
        <v>4</v>
      </c>
      <c r="S927" s="6" t="str">
        <f ca="1">IFERROR(__xludf.DUMMYFUNCTION("""COMPUTED_VALUE"""),"Seed")</f>
        <v>Seed</v>
      </c>
      <c r="T927" s="6" t="str">
        <f ca="1">IFERROR(__xludf.DUMMYFUNCTION("""COMPUTED_VALUE"""),"Seed")</f>
        <v>Seed</v>
      </c>
      <c r="U927" s="6" t="str">
        <f ca="1">IFERROR(__xludf.DUMMYFUNCTION("""COMPUTED_VALUE"""),"Seed")</f>
        <v>Seed</v>
      </c>
      <c r="V927" s="6"/>
      <c r="W927" s="6" t="str">
        <f ca="1">IFERROR(__xludf.DUMMYFUNCTION("""COMPUTED_VALUE"""),"Invite")</f>
        <v>Invite</v>
      </c>
    </row>
    <row r="928" spans="1:23">
      <c r="A928" s="6" t="str">
        <f ca="1">IFERROR(__xludf.DUMMYFUNCTION("""COMPUTED_VALUE"""),"Man, Man")</f>
        <v>Man, Man</v>
      </c>
      <c r="B928" s="6" t="str">
        <f ca="1">IFERROR(__xludf.DUMMYFUNCTION("""COMPUTED_VALUE"""),"Walela Inc. _2022")</f>
        <v>Walela Inc. _2022</v>
      </c>
      <c r="C928" s="6" t="str">
        <f ca="1">IFERROR(__xludf.DUMMYFUNCTION("""COMPUTED_VALUE"""),"Deep Tech")</f>
        <v>Deep Tech</v>
      </c>
      <c r="D928" s="6" t="str">
        <f ca="1">IFERROR(__xludf.DUMMYFUNCTION("""COMPUTED_VALUE"""),"965 W. Chicago Ave., IL 
United States")</f>
        <v>965 W. Chicago Ave., IL 
United States</v>
      </c>
      <c r="E928" s="6" t="str">
        <f ca="1">IFERROR(__xludf.DUMMYFUNCTION("""COMPUTED_VALUE"""),"Midwest")</f>
        <v>Midwest</v>
      </c>
      <c r="F928" s="6" t="str">
        <f ca="1">IFERROR(__xludf.DUMMYFUNCTION("""COMPUTED_VALUE"""),"Man")</f>
        <v>Man</v>
      </c>
      <c r="G928" s="6" t="str">
        <f ca="1">IFERROR(__xludf.DUMMYFUNCTION("""COMPUTED_VALUE"""),"Man")</f>
        <v>Man</v>
      </c>
      <c r="H928" s="6"/>
      <c r="I928" s="6"/>
      <c r="J928" s="6"/>
      <c r="K928" s="6"/>
      <c r="L928" s="6" t="str">
        <f ca="1">IFERROR(__xludf.DUMMYFUNCTION("""COMPUTED_VALUE"""),"No")</f>
        <v>No</v>
      </c>
      <c r="M928" s="6"/>
      <c r="N928" s="6"/>
      <c r="O928" s="6" t="str">
        <f ca="1">IFERROR(__xludf.DUMMYFUNCTION("""COMPUTED_VALUE"""),"Email")</f>
        <v>Email</v>
      </c>
      <c r="P928" s="6"/>
      <c r="Q928" s="6" t="str">
        <f ca="1">IFERROR(__xludf.DUMMYFUNCTION("""COMPUTED_VALUE"""),"No")</f>
        <v>No</v>
      </c>
      <c r="R928" s="6">
        <f ca="1">IFERROR(__xludf.DUMMYFUNCTION("""COMPUTED_VALUE"""),2)</f>
        <v>2</v>
      </c>
      <c r="S928" s="6" t="str">
        <f ca="1">IFERROR(__xludf.DUMMYFUNCTION("""COMPUTED_VALUE"""),"Pre-seed
Seed")</f>
        <v>Pre-seed
Seed</v>
      </c>
      <c r="T928" s="6" t="str">
        <f ca="1">IFERROR(__xludf.DUMMYFUNCTION("""COMPUTED_VALUE"""),"Pre-seed, Seed")</f>
        <v>Pre-seed, Seed</v>
      </c>
      <c r="U928" s="6" t="str">
        <f ca="1">IFERROR(__xludf.DUMMYFUNCTION("""COMPUTED_VALUE"""),"Pre-seed, Seed")</f>
        <v>Pre-seed, Seed</v>
      </c>
      <c r="V928" s="6"/>
      <c r="W928" s="6" t="str">
        <f ca="1">IFERROR(__xludf.DUMMYFUNCTION("""COMPUTED_VALUE"""),"Invite Next Year")</f>
        <v>Invite Next Year</v>
      </c>
    </row>
    <row r="929" spans="1:23">
      <c r="A929" s="6" t="str">
        <f ca="1">IFERROR(__xludf.DUMMYFUNCTION("""COMPUTED_VALUE"""),"Man")</f>
        <v>Man</v>
      </c>
      <c r="B929" s="6" t="str">
        <f ca="1">IFERROR(__xludf.DUMMYFUNCTION("""COMPUTED_VALUE"""),"Solvuu _2022")</f>
        <v>Solvuu _2022</v>
      </c>
      <c r="C929" s="6" t="str">
        <f ca="1">IFERROR(__xludf.DUMMYFUNCTION("""COMPUTED_VALUE"""),"Digital Tech")</f>
        <v>Digital Tech</v>
      </c>
      <c r="D929" s="6" t="str">
        <f ca="1">IFERROR(__xludf.DUMMYFUNCTION("""COMPUTED_VALUE"""),"New York, NY 
United States")</f>
        <v>New York, NY 
United States</v>
      </c>
      <c r="E929" s="6" t="str">
        <f ca="1">IFERROR(__xludf.DUMMYFUNCTION("""COMPUTED_VALUE"""),"New York")</f>
        <v>New York</v>
      </c>
      <c r="F929" s="6" t="str">
        <f ca="1">IFERROR(__xludf.DUMMYFUNCTION("""COMPUTED_VALUE"""),"Man")</f>
        <v>Man</v>
      </c>
      <c r="G929" s="6"/>
      <c r="H929" s="6"/>
      <c r="I929" s="6"/>
      <c r="J929" s="6"/>
      <c r="K929" s="6"/>
      <c r="L929" s="6" t="str">
        <f ca="1">IFERROR(__xludf.DUMMYFUNCTION("""COMPUTED_VALUE"""),"No")</f>
        <v>No</v>
      </c>
      <c r="M929" s="6"/>
      <c r="N929" s="6"/>
      <c r="O929" s="6" t="str">
        <f ca="1">IFERROR(__xludf.DUMMYFUNCTION("""COMPUTED_VALUE"""),"Referral")</f>
        <v>Referral</v>
      </c>
      <c r="P929" s="6"/>
      <c r="Q929" s="6" t="str">
        <f ca="1">IFERROR(__xludf.DUMMYFUNCTION("""COMPUTED_VALUE"""),"Yes")</f>
        <v>Yes</v>
      </c>
      <c r="R929" s="6">
        <f ca="1">IFERROR(__xludf.DUMMYFUNCTION("""COMPUTED_VALUE"""),1)</f>
        <v>1</v>
      </c>
      <c r="S929" s="6" t="str">
        <f ca="1">IFERROR(__xludf.DUMMYFUNCTION("""COMPUTED_VALUE"""),"Pre-seed")</f>
        <v>Pre-seed</v>
      </c>
      <c r="T929" s="6" t="str">
        <f ca="1">IFERROR(__xludf.DUMMYFUNCTION("""COMPUTED_VALUE"""),"Pre-seed")</f>
        <v>Pre-seed</v>
      </c>
      <c r="U929" s="6" t="str">
        <f ca="1">IFERROR(__xludf.DUMMYFUNCTION("""COMPUTED_VALUE"""),"Pre-seed")</f>
        <v>Pre-seed</v>
      </c>
      <c r="V929" s="6"/>
      <c r="W929" s="6" t="str">
        <f ca="1">IFERROR(__xludf.DUMMYFUNCTION("""COMPUTED_VALUE"""),"Revisit")</f>
        <v>Revisit</v>
      </c>
    </row>
    <row r="930" spans="1:23">
      <c r="A930" s="6" t="str">
        <f ca="1">IFERROR(__xludf.DUMMYFUNCTION("""COMPUTED_VALUE"""),"Man, Woman, Woman")</f>
        <v>Man, Woman, Woman</v>
      </c>
      <c r="B930" s="6" t="str">
        <f ca="1">IFERROR(__xludf.DUMMYFUNCTION("""COMPUTED_VALUE"""),"SOLO Secure _2022")</f>
        <v>SOLO Secure _2022</v>
      </c>
      <c r="C930" s="6" t="str">
        <f ca="1">IFERROR(__xludf.DUMMYFUNCTION("""COMPUTED_VALUE"""),"Digital Tech")</f>
        <v>Digital Tech</v>
      </c>
      <c r="D930" s="6" t="str">
        <f ca="1">IFERROR(__xludf.DUMMYFUNCTION("""COMPUTED_VALUE"""),"5043 Woodthrush Road, California 
United States")</f>
        <v>5043 Woodthrush Road, California 
United States</v>
      </c>
      <c r="E930" s="6" t="str">
        <f ca="1">IFERROR(__xludf.DUMMYFUNCTION("""COMPUTED_VALUE"""),"West Coast")</f>
        <v>West Coast</v>
      </c>
      <c r="F930" s="6" t="str">
        <f ca="1">IFERROR(__xludf.DUMMYFUNCTION("""COMPUTED_VALUE"""),"Man")</f>
        <v>Man</v>
      </c>
      <c r="G930" s="6" t="str">
        <f ca="1">IFERROR(__xludf.DUMMYFUNCTION("""COMPUTED_VALUE"""),"Woman")</f>
        <v>Woman</v>
      </c>
      <c r="H930" s="6" t="str">
        <f ca="1">IFERROR(__xludf.DUMMYFUNCTION("""COMPUTED_VALUE"""),"Woman")</f>
        <v>Woman</v>
      </c>
      <c r="I930" s="6"/>
      <c r="J930" s="6"/>
      <c r="K930" s="6"/>
      <c r="L930" s="6" t="str">
        <f ca="1">IFERROR(__xludf.DUMMYFUNCTION("""COMPUTED_VALUE"""),"Yes")</f>
        <v>Yes</v>
      </c>
      <c r="M930" s="6" t="str">
        <f ca="1">IFERROR(__xludf.DUMMYFUNCTION("""COMPUTED_VALUE"""),"NYU Staff")</f>
        <v>NYU Staff</v>
      </c>
      <c r="N930" s="6"/>
      <c r="O930" s="6" t="str">
        <f ca="1">IFERROR(__xludf.DUMMYFUNCTION("""COMPUTED_VALUE"""),"Email")</f>
        <v>Email</v>
      </c>
      <c r="P930" s="6"/>
      <c r="Q930" s="6" t="str">
        <f ca="1">IFERROR(__xludf.DUMMYFUNCTION("""COMPUTED_VALUE"""),"No")</f>
        <v>No</v>
      </c>
      <c r="R930" s="6">
        <f ca="1">IFERROR(__xludf.DUMMYFUNCTION("""COMPUTED_VALUE"""),3)</f>
        <v>3</v>
      </c>
      <c r="S930" s="6" t="str">
        <f ca="1">IFERROR(__xludf.DUMMYFUNCTION("""COMPUTED_VALUE"""),"Pre-seed")</f>
        <v>Pre-seed</v>
      </c>
      <c r="T930" s="6" t="str">
        <f ca="1">IFERROR(__xludf.DUMMYFUNCTION("""COMPUTED_VALUE"""),"Pre-seed")</f>
        <v>Pre-seed</v>
      </c>
      <c r="U930" s="6" t="str">
        <f ca="1">IFERROR(__xludf.DUMMYFUNCTION("""COMPUTED_VALUE"""),"Pre-seed")</f>
        <v>Pre-seed</v>
      </c>
      <c r="V930" s="6"/>
      <c r="W930" s="6" t="str">
        <f ca="1">IFERROR(__xludf.DUMMYFUNCTION("""COMPUTED_VALUE"""),"Invite")</f>
        <v>Invite</v>
      </c>
    </row>
    <row r="931" spans="1:23">
      <c r="A931" s="6" t="str">
        <f ca="1">IFERROR(__xludf.DUMMYFUNCTION("""COMPUTED_VALUE"""),"Woman")</f>
        <v>Woman</v>
      </c>
      <c r="B931" s="6" t="str">
        <f ca="1">IFERROR(__xludf.DUMMYFUNCTION("""COMPUTED_VALUE"""),"AltCal _2022")</f>
        <v>AltCal _2022</v>
      </c>
      <c r="C931" s="6" t="str">
        <f ca="1">IFERROR(__xludf.DUMMYFUNCTION("""COMPUTED_VALUE"""),"Digital Tech")</f>
        <v>Digital Tech</v>
      </c>
      <c r="D931" s="6" t="str">
        <f ca="1">IFERROR(__xludf.DUMMYFUNCTION("""COMPUTED_VALUE"""),"444 e 75th st 16D, New york 
United States")</f>
        <v>444 e 75th st 16D, New york 
United States</v>
      </c>
      <c r="E931" s="6" t="str">
        <f ca="1">IFERROR(__xludf.DUMMYFUNCTION("""COMPUTED_VALUE"""),"New York")</f>
        <v>New York</v>
      </c>
      <c r="F931" s="6" t="str">
        <f ca="1">IFERROR(__xludf.DUMMYFUNCTION("""COMPUTED_VALUE"""),"Woman")</f>
        <v>Woman</v>
      </c>
      <c r="G931" s="6"/>
      <c r="H931" s="6"/>
      <c r="I931" s="6"/>
      <c r="J931" s="6"/>
      <c r="K931" s="6"/>
      <c r="L931" s="6" t="str">
        <f ca="1">IFERROR(__xludf.DUMMYFUNCTION("""COMPUTED_VALUE"""),"No")</f>
        <v>No</v>
      </c>
      <c r="M931" s="6"/>
      <c r="N931" s="6"/>
      <c r="O931" s="6" t="str">
        <f ca="1">IFERROR(__xludf.DUMMYFUNCTION("""COMPUTED_VALUE"""),"Info Session")</f>
        <v>Info Session</v>
      </c>
      <c r="P931" s="6"/>
      <c r="Q931" s="6" t="str">
        <f ca="1">IFERROR(__xludf.DUMMYFUNCTION("""COMPUTED_VALUE"""),"No")</f>
        <v>No</v>
      </c>
      <c r="R931" s="6">
        <f ca="1">IFERROR(__xludf.DUMMYFUNCTION("""COMPUTED_VALUE"""),1)</f>
        <v>1</v>
      </c>
      <c r="S931" s="6" t="str">
        <f ca="1">IFERROR(__xludf.DUMMYFUNCTION("""COMPUTED_VALUE"""),"Pre-seed")</f>
        <v>Pre-seed</v>
      </c>
      <c r="T931" s="6" t="str">
        <f ca="1">IFERROR(__xludf.DUMMYFUNCTION("""COMPUTED_VALUE"""),"Pre-seed")</f>
        <v>Pre-seed</v>
      </c>
      <c r="U931" s="6" t="str">
        <f ca="1">IFERROR(__xludf.DUMMYFUNCTION("""COMPUTED_VALUE"""),"Pre-seed")</f>
        <v>Pre-seed</v>
      </c>
      <c r="V931" s="6"/>
      <c r="W931" s="6" t="str">
        <f ca="1">IFERROR(__xludf.DUMMYFUNCTION("""COMPUTED_VALUE"""),"Invite Next Year")</f>
        <v>Invite Next Year</v>
      </c>
    </row>
    <row r="932" spans="1:23">
      <c r="A932" s="6" t="str">
        <f ca="1">IFERROR(__xludf.DUMMYFUNCTION("""COMPUTED_VALUE"""),"Man, Man, Man")</f>
        <v>Man, Man, Man</v>
      </c>
      <c r="B932" s="6" t="str">
        <f ca="1">IFERROR(__xludf.DUMMYFUNCTION("""COMPUTED_VALUE"""),"Tau Drones _2022")</f>
        <v>Tau Drones _2022</v>
      </c>
      <c r="C932" s="6" t="str">
        <f ca="1">IFERROR(__xludf.DUMMYFUNCTION("""COMPUTED_VALUE"""),"Deep Tech")</f>
        <v>Deep Tech</v>
      </c>
      <c r="D932" s="6" t="str">
        <f ca="1">IFERROR(__xludf.DUMMYFUNCTION("""COMPUTED_VALUE"""),"Grand Forks, North Dakota 
United States")</f>
        <v>Grand Forks, North Dakota 
United States</v>
      </c>
      <c r="E932" s="6" t="str">
        <f ca="1">IFERROR(__xludf.DUMMYFUNCTION("""COMPUTED_VALUE"""),"West")</f>
        <v>West</v>
      </c>
      <c r="F932" s="6" t="str">
        <f ca="1">IFERROR(__xludf.DUMMYFUNCTION("""COMPUTED_VALUE"""),"Man")</f>
        <v>Man</v>
      </c>
      <c r="G932" s="6" t="str">
        <f ca="1">IFERROR(__xludf.DUMMYFUNCTION("""COMPUTED_VALUE"""),"Man")</f>
        <v>Man</v>
      </c>
      <c r="H932" s="6" t="str">
        <f ca="1">IFERROR(__xludf.DUMMYFUNCTION("""COMPUTED_VALUE"""),"Man")</f>
        <v>Man</v>
      </c>
      <c r="I932" s="6"/>
      <c r="J932" s="6"/>
      <c r="K932" s="6"/>
      <c r="L932" s="6" t="str">
        <f ca="1">IFERROR(__xludf.DUMMYFUNCTION("""COMPUTED_VALUE"""),"No")</f>
        <v>No</v>
      </c>
      <c r="M932" s="6"/>
      <c r="N932" s="6"/>
      <c r="O932" s="6" t="str">
        <f ca="1">IFERROR(__xludf.DUMMYFUNCTION("""COMPUTED_VALUE"""),"Email")</f>
        <v>Email</v>
      </c>
      <c r="P932" s="6"/>
      <c r="Q932" s="6" t="str">
        <f ca="1">IFERROR(__xludf.DUMMYFUNCTION("""COMPUTED_VALUE"""),"No")</f>
        <v>No</v>
      </c>
      <c r="R932" s="6">
        <f ca="1">IFERROR(__xludf.DUMMYFUNCTION("""COMPUTED_VALUE"""),3)</f>
        <v>3</v>
      </c>
      <c r="S932" s="6" t="str">
        <f ca="1">IFERROR(__xludf.DUMMYFUNCTION("""COMPUTED_VALUE"""),"None")</f>
        <v>None</v>
      </c>
      <c r="T932" s="6" t="str">
        <f ca="1">IFERROR(__xludf.DUMMYFUNCTION("""COMPUTED_VALUE"""),"None")</f>
        <v>None</v>
      </c>
      <c r="U932" s="6" t="str">
        <f ca="1">IFERROR(__xludf.DUMMYFUNCTION("""COMPUTED_VALUE"""),"None")</f>
        <v>None</v>
      </c>
      <c r="V932" s="6"/>
      <c r="W932" s="6" t="str">
        <f ca="1">IFERROR(__xludf.DUMMYFUNCTION("""COMPUTED_VALUE"""),"Invite Next Year")</f>
        <v>Invite Next Year</v>
      </c>
    </row>
    <row r="933" spans="1:23">
      <c r="A933" s="6" t="str">
        <f ca="1">IFERROR(__xludf.DUMMYFUNCTION("""COMPUTED_VALUE"""),"Man, Woman, Man, Man")</f>
        <v>Man, Woman, Man, Man</v>
      </c>
      <c r="B933" s="6" t="str">
        <f ca="1">IFERROR(__xludf.DUMMYFUNCTION("""COMPUTED_VALUE"""),"Prazer Therapeutics _2022")</f>
        <v>Prazer Therapeutics _2022</v>
      </c>
      <c r="C933" s="6" t="str">
        <f ca="1">IFERROR(__xludf.DUMMYFUNCTION("""COMPUTED_VALUE"""),"Life Sciences")</f>
        <v>Life Sciences</v>
      </c>
      <c r="D933" s="6" t="str">
        <f ca="1">IFERROR(__xludf.DUMMYFUNCTION("""COMPUTED_VALUE"""),"26, Beobwon-ro 9-gil, Songpa-gu, , seoul 
Korea, Republic of")</f>
        <v>26, Beobwon-ro 9-gil, Songpa-gu, , seoul 
Korea, Republic of</v>
      </c>
      <c r="E933" s="6" t="str">
        <f ca="1">IFERROR(__xludf.DUMMYFUNCTION("""COMPUTED_VALUE"""),"International - Asia")</f>
        <v>International - Asia</v>
      </c>
      <c r="F933" s="6" t="str">
        <f ca="1">IFERROR(__xludf.DUMMYFUNCTION("""COMPUTED_VALUE"""),"Man")</f>
        <v>Man</v>
      </c>
      <c r="G933" s="6" t="str">
        <f ca="1">IFERROR(__xludf.DUMMYFUNCTION("""COMPUTED_VALUE"""),"Woman")</f>
        <v>Woman</v>
      </c>
      <c r="H933" s="6" t="str">
        <f ca="1">IFERROR(__xludf.DUMMYFUNCTION("""COMPUTED_VALUE"""),"Man")</f>
        <v>Man</v>
      </c>
      <c r="I933" s="6" t="str">
        <f ca="1">IFERROR(__xludf.DUMMYFUNCTION("""COMPUTED_VALUE"""),"Man")</f>
        <v>Man</v>
      </c>
      <c r="J933" s="6"/>
      <c r="K933" s="6"/>
      <c r="L933" s="6" t="str">
        <f ca="1">IFERROR(__xludf.DUMMYFUNCTION("""COMPUTED_VALUE"""),"No")</f>
        <v>No</v>
      </c>
      <c r="M933" s="6"/>
      <c r="N933" s="6"/>
      <c r="O933" s="6" t="str">
        <f ca="1">IFERROR(__xludf.DUMMYFUNCTION("""COMPUTED_VALUE"""),"Referral")</f>
        <v>Referral</v>
      </c>
      <c r="P933" s="6"/>
      <c r="Q933" s="6" t="str">
        <f ca="1">IFERROR(__xludf.DUMMYFUNCTION("""COMPUTED_VALUE"""),"No")</f>
        <v>No</v>
      </c>
      <c r="R933" s="6">
        <f ca="1">IFERROR(__xludf.DUMMYFUNCTION("""COMPUTED_VALUE"""),4)</f>
        <v>4</v>
      </c>
      <c r="S933" s="6" t="str">
        <f ca="1">IFERROR(__xludf.DUMMYFUNCTION("""COMPUTED_VALUE"""),"Series A")</f>
        <v>Series A</v>
      </c>
      <c r="T933" s="6" t="str">
        <f ca="1">IFERROR(__xludf.DUMMYFUNCTION("""COMPUTED_VALUE"""),"Series A")</f>
        <v>Series A</v>
      </c>
      <c r="U933" s="6" t="str">
        <f ca="1">IFERROR(__xludf.DUMMYFUNCTION("""COMPUTED_VALUE"""),"Series A")</f>
        <v>Series A</v>
      </c>
      <c r="V933" s="6"/>
      <c r="W933" s="6" t="str">
        <f ca="1">IFERROR(__xludf.DUMMYFUNCTION("""COMPUTED_VALUE"""),"Invite")</f>
        <v>Invite</v>
      </c>
    </row>
    <row r="934" spans="1:23">
      <c r="A934" s="6" t="str">
        <f ca="1">IFERROR(__xludf.DUMMYFUNCTION("""COMPUTED_VALUE"""),"Man")</f>
        <v>Man</v>
      </c>
      <c r="B934" s="6" t="str">
        <f ca="1">IFERROR(__xludf.DUMMYFUNCTION("""COMPUTED_VALUE"""),"Bleximo Corp. _2022")</f>
        <v>Bleximo Corp. _2022</v>
      </c>
      <c r="C934" s="6" t="str">
        <f ca="1">IFERROR(__xludf.DUMMYFUNCTION("""COMPUTED_VALUE"""),"Deep Tech")</f>
        <v>Deep Tech</v>
      </c>
      <c r="D934" s="6" t="str">
        <f ca="1">IFERROR(__xludf.DUMMYFUNCTION("""COMPUTED_VALUE"""),"701 Heinz Avenue, Berkeley, California 
United States")</f>
        <v>701 Heinz Avenue, Berkeley, California 
United States</v>
      </c>
      <c r="E934" s="6" t="str">
        <f ca="1">IFERROR(__xludf.DUMMYFUNCTION("""COMPUTED_VALUE"""),"West Coast")</f>
        <v>West Coast</v>
      </c>
      <c r="F934" s="6" t="str">
        <f ca="1">IFERROR(__xludf.DUMMYFUNCTION("""COMPUTED_VALUE"""),"Man")</f>
        <v>Man</v>
      </c>
      <c r="G934" s="6"/>
      <c r="H934" s="6"/>
      <c r="I934" s="6"/>
      <c r="J934" s="6"/>
      <c r="K934" s="6"/>
      <c r="L934" s="6" t="str">
        <f ca="1">IFERROR(__xludf.DUMMYFUNCTION("""COMPUTED_VALUE"""),"No")</f>
        <v>No</v>
      </c>
      <c r="M934" s="6"/>
      <c r="N934" s="6"/>
      <c r="O934" s="6" t="str">
        <f ca="1">IFERROR(__xludf.DUMMYFUNCTION("""COMPUTED_VALUE"""),"Referral")</f>
        <v>Referral</v>
      </c>
      <c r="P934" s="6"/>
      <c r="Q934" s="6" t="str">
        <f ca="1">IFERROR(__xludf.DUMMYFUNCTION("""COMPUTED_VALUE"""),"No")</f>
        <v>No</v>
      </c>
      <c r="R934" s="6">
        <f ca="1">IFERROR(__xludf.DUMMYFUNCTION("""COMPUTED_VALUE"""),1)</f>
        <v>1</v>
      </c>
      <c r="S934" s="6" t="str">
        <f ca="1">IFERROR(__xludf.DUMMYFUNCTION("""COMPUTED_VALUE"""),"Pre-seed
Seed
Bridge")</f>
        <v>Pre-seed
Seed
Bridge</v>
      </c>
      <c r="T934" s="6" t="str">
        <f ca="1">IFERROR(__xludf.DUMMYFUNCTION("""COMPUTED_VALUE"""),"Pre-seed, Seed, Bridge")</f>
        <v>Pre-seed, Seed, Bridge</v>
      </c>
      <c r="U934" s="6" t="str">
        <f ca="1">IFERROR(__xludf.DUMMYFUNCTION("""COMPUTED_VALUE"""),"Pre-seed, Seed, Bridge")</f>
        <v>Pre-seed, Seed, Bridge</v>
      </c>
      <c r="V934" s="6"/>
      <c r="W934" s="6" t="str">
        <f ca="1">IFERROR(__xludf.DUMMYFUNCTION("""COMPUTED_VALUE"""),"Invite")</f>
        <v>Invite</v>
      </c>
    </row>
    <row r="935" spans="1:23">
      <c r="A935" s="6" t="str">
        <f ca="1">IFERROR(__xludf.DUMMYFUNCTION("""COMPUTED_VALUE"""),"Man, Man")</f>
        <v>Man, Man</v>
      </c>
      <c r="B935" s="6" t="str">
        <f ca="1">IFERROR(__xludf.DUMMYFUNCTION("""COMPUTED_VALUE"""),"KYTE DYNAMICS, INC. d/b/a KYTE _2022")</f>
        <v>KYTE DYNAMICS, INC. d/b/a KYTE _2022</v>
      </c>
      <c r="C935" s="6" t="str">
        <f ca="1">IFERROR(__xludf.DUMMYFUNCTION("""COMPUTED_VALUE"""),"Deep Tech")</f>
        <v>Deep Tech</v>
      </c>
      <c r="D935" s="6" t="str">
        <f ca="1">IFERROR(__xludf.DUMMYFUNCTION("""COMPUTED_VALUE"""),"382 N. Lemon Avenue, #1033, Walnut 
United States")</f>
        <v>382 N. Lemon Avenue, #1033, Walnut 
United States</v>
      </c>
      <c r="E935" s="6" t="str">
        <f ca="1">IFERROR(__xludf.DUMMYFUNCTION("""COMPUTED_VALUE"""),"West Coast")</f>
        <v>West Coast</v>
      </c>
      <c r="F935" s="6" t="str">
        <f ca="1">IFERROR(__xludf.DUMMYFUNCTION("""COMPUTED_VALUE"""),"Man")</f>
        <v>Man</v>
      </c>
      <c r="G935" s="6" t="str">
        <f ca="1">IFERROR(__xludf.DUMMYFUNCTION("""COMPUTED_VALUE"""),"Man")</f>
        <v>Man</v>
      </c>
      <c r="H935" s="6"/>
      <c r="I935" s="6"/>
      <c r="J935" s="6"/>
      <c r="K935" s="6"/>
      <c r="L935" s="6" t="str">
        <f ca="1">IFERROR(__xludf.DUMMYFUNCTION("""COMPUTED_VALUE"""),"No")</f>
        <v>No</v>
      </c>
      <c r="M935" s="6"/>
      <c r="N935" s="6"/>
      <c r="O935" s="6" t="str">
        <f ca="1">IFERROR(__xludf.DUMMYFUNCTION("""COMPUTED_VALUE"""),"Email")</f>
        <v>Email</v>
      </c>
      <c r="P935" s="6"/>
      <c r="Q935" s="6" t="str">
        <f ca="1">IFERROR(__xludf.DUMMYFUNCTION("""COMPUTED_VALUE"""),"No")</f>
        <v>No</v>
      </c>
      <c r="R935" s="6">
        <f ca="1">IFERROR(__xludf.DUMMYFUNCTION("""COMPUTED_VALUE"""),2)</f>
        <v>2</v>
      </c>
      <c r="S935" s="6" t="str">
        <f ca="1">IFERROR(__xludf.DUMMYFUNCTION("""COMPUTED_VALUE"""),"Other: Friends and Family Round")</f>
        <v>Other: Friends and Family Round</v>
      </c>
      <c r="T935" s="6" t="str">
        <f ca="1">IFERROR(__xludf.DUMMYFUNCTION("""COMPUTED_VALUE"""),"Other: Friends and Family Round")</f>
        <v>Other: Friends and Family Round</v>
      </c>
      <c r="U935" s="6" t="str">
        <f ca="1">IFERROR(__xludf.DUMMYFUNCTION("""COMPUTED_VALUE"""),"Friends and Family Round")</f>
        <v>Friends and Family Round</v>
      </c>
      <c r="V935" s="6"/>
      <c r="W935" s="6" t="str">
        <f ca="1">IFERROR(__xludf.DUMMYFUNCTION("""COMPUTED_VALUE"""),"Invite Next Year")</f>
        <v>Invite Next Year</v>
      </c>
    </row>
    <row r="936" spans="1:23">
      <c r="A936" s="6" t="str">
        <f ca="1">IFERROR(__xludf.DUMMYFUNCTION("""COMPUTED_VALUE"""),"Man, Woman")</f>
        <v>Man, Woman</v>
      </c>
      <c r="B936" s="6" t="str">
        <f ca="1">IFERROR(__xludf.DUMMYFUNCTION("""COMPUTED_VALUE"""),"SAGEMEDIC CORP. _2022")</f>
        <v>SAGEMEDIC CORP. _2022</v>
      </c>
      <c r="C936" s="6" t="str">
        <f ca="1">IFERROR(__xludf.DUMMYFUNCTION("""COMPUTED_VALUE"""),"Life Sciences")</f>
        <v>Life Sciences</v>
      </c>
      <c r="D936" s="6" t="str">
        <f ca="1">IFERROR(__xludf.DUMMYFUNCTION("""COMPUTED_VALUE"""),"555 Twin Dolphin Drive, Suite 110, California 
United States")</f>
        <v>555 Twin Dolphin Drive, Suite 110, California 
United States</v>
      </c>
      <c r="E936" s="6" t="str">
        <f ca="1">IFERROR(__xludf.DUMMYFUNCTION("""COMPUTED_VALUE"""),"West Coast")</f>
        <v>West Coast</v>
      </c>
      <c r="F936" s="6" t="str">
        <f ca="1">IFERROR(__xludf.DUMMYFUNCTION("""COMPUTED_VALUE"""),"Man")</f>
        <v>Man</v>
      </c>
      <c r="G936" s="6" t="str">
        <f ca="1">IFERROR(__xludf.DUMMYFUNCTION("""COMPUTED_VALUE"""),"Woman")</f>
        <v>Woman</v>
      </c>
      <c r="H936" s="6"/>
      <c r="I936" s="6"/>
      <c r="J936" s="6"/>
      <c r="K936" s="6"/>
      <c r="L936" s="6" t="str">
        <f ca="1">IFERROR(__xludf.DUMMYFUNCTION("""COMPUTED_VALUE"""),"Yes")</f>
        <v>Yes</v>
      </c>
      <c r="M936" s="6" t="str">
        <f ca="1">IFERROR(__xludf.DUMMYFUNCTION("""COMPUTED_VALUE"""),"NYU Faculty")</f>
        <v>NYU Faculty</v>
      </c>
      <c r="N936" s="6"/>
      <c r="O936" s="6" t="str">
        <f ca="1">IFERROR(__xludf.DUMMYFUNCTION("""COMPUTED_VALUE"""),"Info Session")</f>
        <v>Info Session</v>
      </c>
      <c r="P936" s="6"/>
      <c r="Q936" s="6" t="str">
        <f ca="1">IFERROR(__xludf.DUMMYFUNCTION("""COMPUTED_VALUE"""),"No")</f>
        <v>No</v>
      </c>
      <c r="R936" s="6">
        <f ca="1">IFERROR(__xludf.DUMMYFUNCTION("""COMPUTED_VALUE"""),2)</f>
        <v>2</v>
      </c>
      <c r="S936" s="6" t="str">
        <f ca="1">IFERROR(__xludf.DUMMYFUNCTION("""COMPUTED_VALUE"""),"Seed
Series A")</f>
        <v>Seed
Series A</v>
      </c>
      <c r="T936" s="6" t="str">
        <f ca="1">IFERROR(__xludf.DUMMYFUNCTION("""COMPUTED_VALUE"""),"Seed, Series A")</f>
        <v>Seed, Series A</v>
      </c>
      <c r="U936" s="6" t="str">
        <f ca="1">IFERROR(__xludf.DUMMYFUNCTION("""COMPUTED_VALUE"""),"Seed, Series A")</f>
        <v>Seed, Series A</v>
      </c>
      <c r="V936" s="6"/>
      <c r="W936" s="6" t="str">
        <f ca="1">IFERROR(__xludf.DUMMYFUNCTION("""COMPUTED_VALUE"""),"Invite")</f>
        <v>Invite</v>
      </c>
    </row>
    <row r="937" spans="1:23">
      <c r="A937" s="6" t="str">
        <f ca="1">IFERROR(__xludf.DUMMYFUNCTION("""COMPUTED_VALUE"""),"Man, Man, Man")</f>
        <v>Man, Man, Man</v>
      </c>
      <c r="B937" s="6" t="str">
        <f ca="1">IFERROR(__xludf.DUMMYFUNCTION("""COMPUTED_VALUE"""),"FR0NTIER X _2022")</f>
        <v>FR0NTIER X _2022</v>
      </c>
      <c r="C937" s="6" t="str">
        <f ca="1">IFERROR(__xludf.DUMMYFUNCTION("""COMPUTED_VALUE"""),"Digital Tech")</f>
        <v>Digital Tech</v>
      </c>
      <c r="D937" s="6" t="str">
        <f ca="1">IFERROR(__xludf.DUMMYFUNCTION("""COMPUTED_VALUE"""),"Lisbon, Lisbon 
Portugal")</f>
        <v>Lisbon, Lisbon 
Portugal</v>
      </c>
      <c r="E937" s="6" t="str">
        <f ca="1">IFERROR(__xludf.DUMMYFUNCTION("""COMPUTED_VALUE"""),"International - Europe")</f>
        <v>International - Europe</v>
      </c>
      <c r="F937" s="6" t="str">
        <f ca="1">IFERROR(__xludf.DUMMYFUNCTION("""COMPUTED_VALUE"""),"Man")</f>
        <v>Man</v>
      </c>
      <c r="G937" s="6" t="str">
        <f ca="1">IFERROR(__xludf.DUMMYFUNCTION("""COMPUTED_VALUE"""),"Man")</f>
        <v>Man</v>
      </c>
      <c r="H937" s="6" t="str">
        <f ca="1">IFERROR(__xludf.DUMMYFUNCTION("""COMPUTED_VALUE"""),"Man")</f>
        <v>Man</v>
      </c>
      <c r="I937" s="6"/>
      <c r="J937" s="6"/>
      <c r="K937" s="6"/>
      <c r="L937" s="6" t="str">
        <f ca="1">IFERROR(__xludf.DUMMYFUNCTION("""COMPUTED_VALUE"""),"No")</f>
        <v>No</v>
      </c>
      <c r="M937" s="6"/>
      <c r="N937" s="6"/>
      <c r="O937" s="6" t="str">
        <f ca="1">IFERROR(__xludf.DUMMYFUNCTION("""COMPUTED_VALUE"""),"Referral")</f>
        <v>Referral</v>
      </c>
      <c r="P937" s="6"/>
      <c r="Q937" s="6" t="str">
        <f ca="1">IFERROR(__xludf.DUMMYFUNCTION("""COMPUTED_VALUE"""),"No")</f>
        <v>No</v>
      </c>
      <c r="R937" s="6">
        <f ca="1">IFERROR(__xludf.DUMMYFUNCTION("""COMPUTED_VALUE"""),3)</f>
        <v>3</v>
      </c>
      <c r="S937" s="6" t="str">
        <f ca="1">IFERROR(__xludf.DUMMYFUNCTION("""COMPUTED_VALUE"""),"Pre-seed")</f>
        <v>Pre-seed</v>
      </c>
      <c r="T937" s="6" t="str">
        <f ca="1">IFERROR(__xludf.DUMMYFUNCTION("""COMPUTED_VALUE"""),"Pre-seed")</f>
        <v>Pre-seed</v>
      </c>
      <c r="U937" s="6" t="str">
        <f ca="1">IFERROR(__xludf.DUMMYFUNCTION("""COMPUTED_VALUE"""),"Pre-seed")</f>
        <v>Pre-seed</v>
      </c>
      <c r="V937" s="6"/>
      <c r="W937" s="6" t="str">
        <f ca="1">IFERROR(__xludf.DUMMYFUNCTION("""COMPUTED_VALUE"""),"Invite")</f>
        <v>Invite</v>
      </c>
    </row>
    <row r="938" spans="1:23">
      <c r="A938" s="6" t="str">
        <f ca="1">IFERROR(__xludf.DUMMYFUNCTION("""COMPUTED_VALUE"""),"Man")</f>
        <v>Man</v>
      </c>
      <c r="B938" s="6" t="str">
        <f ca="1">IFERROR(__xludf.DUMMYFUNCTION("""COMPUTED_VALUE"""),"AssetVault Limited _2022")</f>
        <v>AssetVault Limited _2022</v>
      </c>
      <c r="C938" s="6" t="str">
        <f ca="1">IFERROR(__xludf.DUMMYFUNCTION("""COMPUTED_VALUE"""),"Digital Tech")</f>
        <v>Digital Tech</v>
      </c>
      <c r="D938" s="6" t="str">
        <f ca="1">IFERROR(__xludf.DUMMYFUNCTION("""COMPUTED_VALUE"""),"London, NA 
United Kingdom")</f>
        <v>London, NA 
United Kingdom</v>
      </c>
      <c r="E938" s="6" t="str">
        <f ca="1">IFERROR(__xludf.DUMMYFUNCTION("""COMPUTED_VALUE"""),"International - Europe")</f>
        <v>International - Europe</v>
      </c>
      <c r="F938" s="6" t="str">
        <f ca="1">IFERROR(__xludf.DUMMYFUNCTION("""COMPUTED_VALUE"""),"Man")</f>
        <v>Man</v>
      </c>
      <c r="G938" s="6"/>
      <c r="H938" s="6"/>
      <c r="I938" s="6"/>
      <c r="J938" s="6"/>
      <c r="K938" s="6"/>
      <c r="L938" s="6" t="str">
        <f ca="1">IFERROR(__xludf.DUMMYFUNCTION("""COMPUTED_VALUE"""),"No")</f>
        <v>No</v>
      </c>
      <c r="M938" s="6"/>
      <c r="N938" s="6"/>
      <c r="O938" s="6" t="str">
        <f ca="1">IFERROR(__xludf.DUMMYFUNCTION("""COMPUTED_VALUE"""),"Email")</f>
        <v>Email</v>
      </c>
      <c r="P938" s="6"/>
      <c r="Q938" s="6" t="str">
        <f ca="1">IFERROR(__xludf.DUMMYFUNCTION("""COMPUTED_VALUE"""),"No")</f>
        <v>No</v>
      </c>
      <c r="R938" s="6">
        <f ca="1">IFERROR(__xludf.DUMMYFUNCTION("""COMPUTED_VALUE"""),1)</f>
        <v>1</v>
      </c>
      <c r="S938" s="6" t="str">
        <f ca="1">IFERROR(__xludf.DUMMYFUNCTION("""COMPUTED_VALUE"""),"Seed")</f>
        <v>Seed</v>
      </c>
      <c r="T938" s="6" t="str">
        <f ca="1">IFERROR(__xludf.DUMMYFUNCTION("""COMPUTED_VALUE"""),"Seed")</f>
        <v>Seed</v>
      </c>
      <c r="U938" s="6" t="str">
        <f ca="1">IFERROR(__xludf.DUMMYFUNCTION("""COMPUTED_VALUE"""),"Seed")</f>
        <v>Seed</v>
      </c>
      <c r="V938" s="6"/>
      <c r="W938" s="6" t="str">
        <f ca="1">IFERROR(__xludf.DUMMYFUNCTION("""COMPUTED_VALUE"""),"Revisit/ Cluster")</f>
        <v>Revisit/ Cluster</v>
      </c>
    </row>
    <row r="939" spans="1:23">
      <c r="A939" s="6" t="str">
        <f ca="1">IFERROR(__xludf.DUMMYFUNCTION("""COMPUTED_VALUE"""),"Man")</f>
        <v>Man</v>
      </c>
      <c r="B939" s="6" t="str">
        <f ca="1">IFERROR(__xludf.DUMMYFUNCTION("""COMPUTED_VALUE"""),"TRAFFpass _2022")</f>
        <v>TRAFFpass _2022</v>
      </c>
      <c r="C939" s="6" t="str">
        <f ca="1">IFERROR(__xludf.DUMMYFUNCTION("""COMPUTED_VALUE"""),"Deep Tech")</f>
        <v>Deep Tech</v>
      </c>
      <c r="D939" s="6" t="str">
        <f ca="1">IFERROR(__xludf.DUMMYFUNCTION("""COMPUTED_VALUE"""),"6100 Maple Rock Way, Maryland 
United States")</f>
        <v>6100 Maple Rock Way, Maryland 
United States</v>
      </c>
      <c r="E939" s="6" t="str">
        <f ca="1">IFERROR(__xludf.DUMMYFUNCTION("""COMPUTED_VALUE"""),"East Coast")</f>
        <v>East Coast</v>
      </c>
      <c r="F939" s="6" t="str">
        <f ca="1">IFERROR(__xludf.DUMMYFUNCTION("""COMPUTED_VALUE"""),"Man")</f>
        <v>Man</v>
      </c>
      <c r="G939" s="6"/>
      <c r="H939" s="6"/>
      <c r="I939" s="6"/>
      <c r="J939" s="6"/>
      <c r="K939" s="6"/>
      <c r="L939" s="6" t="str">
        <f ca="1">IFERROR(__xludf.DUMMYFUNCTION("""COMPUTED_VALUE"""),"Yes")</f>
        <v>Yes</v>
      </c>
      <c r="M939" s="6" t="str">
        <f ca="1">IFERROR(__xludf.DUMMYFUNCTION("""COMPUTED_VALUE"""),"NYU Student")</f>
        <v>NYU Student</v>
      </c>
      <c r="N939" s="6"/>
      <c r="O939" s="6" t="str">
        <f ca="1">IFERROR(__xludf.DUMMYFUNCTION("""COMPUTED_VALUE"""),"NYU Newsletter")</f>
        <v>NYU Newsletter</v>
      </c>
      <c r="P939" s="6"/>
      <c r="Q939" s="6" t="str">
        <f ca="1">IFERROR(__xludf.DUMMYFUNCTION("""COMPUTED_VALUE"""),"No")</f>
        <v>No</v>
      </c>
      <c r="R939" s="6">
        <f ca="1">IFERROR(__xludf.DUMMYFUNCTION("""COMPUTED_VALUE"""),1)</f>
        <v>1</v>
      </c>
      <c r="S939" s="6" t="str">
        <f ca="1">IFERROR(__xludf.DUMMYFUNCTION("""COMPUTED_VALUE"""),"None")</f>
        <v>None</v>
      </c>
      <c r="T939" s="6" t="str">
        <f ca="1">IFERROR(__xludf.DUMMYFUNCTION("""COMPUTED_VALUE"""),"None")</f>
        <v>None</v>
      </c>
      <c r="U939" s="6" t="str">
        <f ca="1">IFERROR(__xludf.DUMMYFUNCTION("""COMPUTED_VALUE"""),"None")</f>
        <v>None</v>
      </c>
      <c r="V939" s="6"/>
      <c r="W939" s="6" t="str">
        <f ca="1">IFERROR(__xludf.DUMMYFUNCTION("""COMPUTED_VALUE"""),"Invite Next Year")</f>
        <v>Invite Next Year</v>
      </c>
    </row>
    <row r="940" spans="1:23">
      <c r="A940" s="6" t="str">
        <f ca="1">IFERROR(__xludf.DUMMYFUNCTION("""COMPUTED_VALUE"""),"Woman, --Please select--")</f>
        <v>Woman, --Please select--</v>
      </c>
      <c r="B940" s="6" t="str">
        <f ca="1">IFERROR(__xludf.DUMMYFUNCTION("""COMPUTED_VALUE"""),"BLOOP _2022")</f>
        <v>BLOOP _2022</v>
      </c>
      <c r="C940" s="6" t="str">
        <f ca="1">IFERROR(__xludf.DUMMYFUNCTION("""COMPUTED_VALUE"""),"Digital Tech")</f>
        <v>Digital Tech</v>
      </c>
      <c r="D940" s="6" t="str">
        <f ca="1">IFERROR(__xludf.DUMMYFUNCTION("""COMPUTED_VALUE"""),"Wilmington, Delaware 
United States")</f>
        <v>Wilmington, Delaware 
United States</v>
      </c>
      <c r="E940" s="6" t="str">
        <f ca="1">IFERROR(__xludf.DUMMYFUNCTION("""COMPUTED_VALUE"""),"East Coast")</f>
        <v>East Coast</v>
      </c>
      <c r="F940" s="6" t="str">
        <f ca="1">IFERROR(__xludf.DUMMYFUNCTION("""COMPUTED_VALUE"""),"Woman")</f>
        <v>Woman</v>
      </c>
      <c r="G940" s="6" t="str">
        <f ca="1">IFERROR(__xludf.DUMMYFUNCTION("""COMPUTED_VALUE"""),"--Please select--")</f>
        <v>--Please select--</v>
      </c>
      <c r="H940" s="6"/>
      <c r="I940" s="6"/>
      <c r="J940" s="6"/>
      <c r="K940" s="6"/>
      <c r="L940" s="6" t="str">
        <f ca="1">IFERROR(__xludf.DUMMYFUNCTION("""COMPUTED_VALUE"""),"No")</f>
        <v>No</v>
      </c>
      <c r="M940" s="6"/>
      <c r="N940" s="6"/>
      <c r="O940" s="6" t="str">
        <f ca="1">IFERROR(__xludf.DUMMYFUNCTION("""COMPUTED_VALUE"""),"Email")</f>
        <v>Email</v>
      </c>
      <c r="P940" s="6"/>
      <c r="Q940" s="6" t="str">
        <f ca="1">IFERROR(__xludf.DUMMYFUNCTION("""COMPUTED_VALUE"""),"No")</f>
        <v>No</v>
      </c>
      <c r="R940" s="6">
        <f ca="1">IFERROR(__xludf.DUMMYFUNCTION("""COMPUTED_VALUE"""),2)</f>
        <v>2</v>
      </c>
      <c r="S940" s="6" t="str">
        <f ca="1">IFERROR(__xludf.DUMMYFUNCTION("""COMPUTED_VALUE"""),"Other: Accelerator")</f>
        <v>Other: Accelerator</v>
      </c>
      <c r="T940" s="6" t="str">
        <f ca="1">IFERROR(__xludf.DUMMYFUNCTION("""COMPUTED_VALUE"""),"Other: Accelerator")</f>
        <v>Other: Accelerator</v>
      </c>
      <c r="U940" s="6" t="str">
        <f ca="1">IFERROR(__xludf.DUMMYFUNCTION("""COMPUTED_VALUE"""),"Accelerator")</f>
        <v>Accelerator</v>
      </c>
      <c r="V940" s="6"/>
      <c r="W940" s="6" t="str">
        <f ca="1">IFERROR(__xludf.DUMMYFUNCTION("""COMPUTED_VALUE"""),"Invite Next Year")</f>
        <v>Invite Next Year</v>
      </c>
    </row>
    <row r="941" spans="1:23">
      <c r="A941" s="6" t="str">
        <f ca="1">IFERROR(__xludf.DUMMYFUNCTION("""COMPUTED_VALUE"""),"Transgender, Man, Man")</f>
        <v>Transgender, Man, Man</v>
      </c>
      <c r="B941" s="6" t="str">
        <f ca="1">IFERROR(__xludf.DUMMYFUNCTION("""COMPUTED_VALUE"""),"SSP Software, LLC _2022")</f>
        <v>SSP Software, LLC _2022</v>
      </c>
      <c r="C941" s="6" t="str">
        <f ca="1">IFERROR(__xludf.DUMMYFUNCTION("""COMPUTED_VALUE"""),"Digital Tech")</f>
        <v>Digital Tech</v>
      </c>
      <c r="D941" s="6" t="str">
        <f ca="1">IFERROR(__xludf.DUMMYFUNCTION("""COMPUTED_VALUE"""),"200 2nd Ave. S. #203 St. Petersburg, FL 
United States")</f>
        <v>200 2nd Ave. S. #203 St. Petersburg, FL 
United States</v>
      </c>
      <c r="E941" s="6" t="str">
        <f ca="1">IFERROR(__xludf.DUMMYFUNCTION("""COMPUTED_VALUE"""),"East Coast")</f>
        <v>East Coast</v>
      </c>
      <c r="F941" s="6" t="str">
        <f ca="1">IFERROR(__xludf.DUMMYFUNCTION("""COMPUTED_VALUE"""),"Transgender")</f>
        <v>Transgender</v>
      </c>
      <c r="G941" s="6" t="str">
        <f ca="1">IFERROR(__xludf.DUMMYFUNCTION("""COMPUTED_VALUE"""),"Man")</f>
        <v>Man</v>
      </c>
      <c r="H941" s="6" t="str">
        <f ca="1">IFERROR(__xludf.DUMMYFUNCTION("""COMPUTED_VALUE"""),"Man")</f>
        <v>Man</v>
      </c>
      <c r="I941" s="6"/>
      <c r="J941" s="6"/>
      <c r="K941" s="6"/>
      <c r="L941" s="6" t="str">
        <f ca="1">IFERROR(__xludf.DUMMYFUNCTION("""COMPUTED_VALUE"""),"No")</f>
        <v>No</v>
      </c>
      <c r="M941" s="6"/>
      <c r="N941" s="6"/>
      <c r="O941" s="6" t="str">
        <f ca="1">IFERROR(__xludf.DUMMYFUNCTION("""COMPUTED_VALUE"""),"Other")</f>
        <v>Other</v>
      </c>
      <c r="P941" s="6"/>
      <c r="Q941" s="6" t="str">
        <f ca="1">IFERROR(__xludf.DUMMYFUNCTION("""COMPUTED_VALUE"""),"No")</f>
        <v>No</v>
      </c>
      <c r="R941" s="6">
        <f ca="1">IFERROR(__xludf.DUMMYFUNCTION("""COMPUTED_VALUE"""),3)</f>
        <v>3</v>
      </c>
      <c r="S941" s="6" t="str">
        <f ca="1">IFERROR(__xludf.DUMMYFUNCTION("""COMPUTED_VALUE"""),"Series A")</f>
        <v>Series A</v>
      </c>
      <c r="T941" s="6" t="str">
        <f ca="1">IFERROR(__xludf.DUMMYFUNCTION("""COMPUTED_VALUE"""),"Series A")</f>
        <v>Series A</v>
      </c>
      <c r="U941" s="6" t="str">
        <f ca="1">IFERROR(__xludf.DUMMYFUNCTION("""COMPUTED_VALUE"""),"Series A")</f>
        <v>Series A</v>
      </c>
      <c r="V941" s="6"/>
      <c r="W941" s="6" t="str">
        <f ca="1">IFERROR(__xludf.DUMMYFUNCTION("""COMPUTED_VALUE"""),"Invite Next Year")</f>
        <v>Invite Next Year</v>
      </c>
    </row>
    <row r="942" spans="1:23">
      <c r="A942" s="6" t="str">
        <f ca="1">IFERROR(__xludf.DUMMYFUNCTION("""COMPUTED_VALUE"""),"Woman")</f>
        <v>Woman</v>
      </c>
      <c r="B942" s="6" t="str">
        <f ca="1">IFERROR(__xludf.DUMMYFUNCTION("""COMPUTED_VALUE"""),"Nutrarte LLC, Nutrarte SAS _2022")</f>
        <v>Nutrarte LLC, Nutrarte SAS _2022</v>
      </c>
      <c r="C942" s="6" t="str">
        <f ca="1">IFERROR(__xludf.DUMMYFUNCTION("""COMPUTED_VALUE"""),"Life Sciences")</f>
        <v>Life Sciences</v>
      </c>
      <c r="D942" s="6" t="str">
        <f ca="1">IFERROR(__xludf.DUMMYFUNCTION("""COMPUTED_VALUE"""),"bogota, CUNDNAMARCA 
Colombia")</f>
        <v>bogota, CUNDNAMARCA 
Colombia</v>
      </c>
      <c r="E942" s="6" t="str">
        <f ca="1">IFERROR(__xludf.DUMMYFUNCTION("""COMPUTED_VALUE"""),"International - Americas")</f>
        <v>International - Americas</v>
      </c>
      <c r="F942" s="6" t="str">
        <f ca="1">IFERROR(__xludf.DUMMYFUNCTION("""COMPUTED_VALUE"""),"Woman")</f>
        <v>Woman</v>
      </c>
      <c r="G942" s="6"/>
      <c r="H942" s="6"/>
      <c r="I942" s="6"/>
      <c r="J942" s="6"/>
      <c r="K942" s="6"/>
      <c r="L942" s="6" t="str">
        <f ca="1">IFERROR(__xludf.DUMMYFUNCTION("""COMPUTED_VALUE"""),"No")</f>
        <v>No</v>
      </c>
      <c r="M942" s="6"/>
      <c r="N942" s="6"/>
      <c r="O942" s="6" t="str">
        <f ca="1">IFERROR(__xludf.DUMMYFUNCTION("""COMPUTED_VALUE"""),"NYU Newsletter")</f>
        <v>NYU Newsletter</v>
      </c>
      <c r="P942" s="6"/>
      <c r="Q942" s="6" t="str">
        <f ca="1">IFERROR(__xludf.DUMMYFUNCTION("""COMPUTED_VALUE"""),"No")</f>
        <v>No</v>
      </c>
      <c r="R942" s="6">
        <f ca="1">IFERROR(__xludf.DUMMYFUNCTION("""COMPUTED_VALUE"""),1)</f>
        <v>1</v>
      </c>
      <c r="S942" s="6" t="str">
        <f ca="1">IFERROR(__xludf.DUMMYFUNCTION("""COMPUTED_VALUE"""),"None
Other: All resources have been, own resources of the founder")</f>
        <v>None
Other: All resources have been, own resources of the founder</v>
      </c>
      <c r="T942" s="6" t="str">
        <f ca="1">IFERROR(__xludf.DUMMYFUNCTION("""COMPUTED_VALUE"""),"None, Other: All resources have been, own resources of the founder")</f>
        <v>None, Other: All resources have been, own resources of the founder</v>
      </c>
      <c r="U942" s="6" t="str">
        <f ca="1">IFERROR(__xludf.DUMMYFUNCTION("""COMPUTED_VALUE"""),"None, ")</f>
        <v xml:space="preserve">None, </v>
      </c>
      <c r="V942" s="6" t="str">
        <f ca="1">IFERROR(__xludf.DUMMYFUNCTION("""COMPUTED_VALUE"""),"All resources have been, own resources of the founder")</f>
        <v>All resources have been, own resources of the founder</v>
      </c>
      <c r="W942" s="6" t="str">
        <f ca="1">IFERROR(__xludf.DUMMYFUNCTION("""COMPUTED_VALUE"""),"Invite Next Year")</f>
        <v>Invite Next Year</v>
      </c>
    </row>
    <row r="943" spans="1:23">
      <c r="A943" s="6" t="str">
        <f ca="1">IFERROR(__xludf.DUMMYFUNCTION("""COMPUTED_VALUE"""),"Woman, Man, Man, Man")</f>
        <v>Woman, Man, Man, Man</v>
      </c>
      <c r="B943" s="6" t="str">
        <f ca="1">IFERROR(__xludf.DUMMYFUNCTION("""COMPUTED_VALUE"""),"Asklaser _2022")</f>
        <v>Asklaser _2022</v>
      </c>
      <c r="C943" s="6" t="str">
        <f ca="1">IFERROR(__xludf.DUMMYFUNCTION("""COMPUTED_VALUE"""),"Digital Tech")</f>
        <v>Digital Tech</v>
      </c>
      <c r="D943" s="6" t="str">
        <f ca="1">IFERROR(__xludf.DUMMYFUNCTION("""COMPUTED_VALUE"""),"Nashik, Maharashtra 
India")</f>
        <v>Nashik, Maharashtra 
India</v>
      </c>
      <c r="E943" s="6" t="str">
        <f ca="1">IFERROR(__xludf.DUMMYFUNCTION("""COMPUTED_VALUE"""),"International - Asia")</f>
        <v>International - Asia</v>
      </c>
      <c r="F943" s="6" t="str">
        <f ca="1">IFERROR(__xludf.DUMMYFUNCTION("""COMPUTED_VALUE"""),"Woman")</f>
        <v>Woman</v>
      </c>
      <c r="G943" s="6" t="str">
        <f ca="1">IFERROR(__xludf.DUMMYFUNCTION("""COMPUTED_VALUE"""),"Man")</f>
        <v>Man</v>
      </c>
      <c r="H943" s="6" t="str">
        <f ca="1">IFERROR(__xludf.DUMMYFUNCTION("""COMPUTED_VALUE"""),"Man")</f>
        <v>Man</v>
      </c>
      <c r="I943" s="6" t="str">
        <f ca="1">IFERROR(__xludf.DUMMYFUNCTION("""COMPUTED_VALUE"""),"Man")</f>
        <v>Man</v>
      </c>
      <c r="J943" s="6"/>
      <c r="K943" s="6"/>
      <c r="L943" s="6" t="str">
        <f ca="1">IFERROR(__xludf.DUMMYFUNCTION("""COMPUTED_VALUE"""),"No")</f>
        <v>No</v>
      </c>
      <c r="M943" s="6"/>
      <c r="N943" s="6"/>
      <c r="O943" s="6" t="str">
        <f ca="1">IFERROR(__xludf.DUMMYFUNCTION("""COMPUTED_VALUE"""),"Search Engine")</f>
        <v>Search Engine</v>
      </c>
      <c r="P943" s="6"/>
      <c r="Q943" s="6" t="str">
        <f ca="1">IFERROR(__xludf.DUMMYFUNCTION("""COMPUTED_VALUE"""),"No")</f>
        <v>No</v>
      </c>
      <c r="R943" s="6">
        <f ca="1">IFERROR(__xludf.DUMMYFUNCTION("""COMPUTED_VALUE"""),4)</f>
        <v>4</v>
      </c>
      <c r="S943" s="6" t="str">
        <f ca="1">IFERROR(__xludf.DUMMYFUNCTION("""COMPUTED_VALUE"""),"Pre-seed")</f>
        <v>Pre-seed</v>
      </c>
      <c r="T943" s="6" t="str">
        <f ca="1">IFERROR(__xludf.DUMMYFUNCTION("""COMPUTED_VALUE"""),"Pre-seed")</f>
        <v>Pre-seed</v>
      </c>
      <c r="U943" s="6" t="str">
        <f ca="1">IFERROR(__xludf.DUMMYFUNCTION("""COMPUTED_VALUE"""),"Pre-seed")</f>
        <v>Pre-seed</v>
      </c>
      <c r="V943" s="6"/>
      <c r="W943" s="6" t="str">
        <f ca="1">IFERROR(__xludf.DUMMYFUNCTION("""COMPUTED_VALUE"""),"Invite Next Year")</f>
        <v>Invite Next Year</v>
      </c>
    </row>
    <row r="944" spans="1:23">
      <c r="A944" s="6" t="str">
        <f ca="1">IFERROR(__xludf.DUMMYFUNCTION("""COMPUTED_VALUE"""),"Man, Man")</f>
        <v>Man, Man</v>
      </c>
      <c r="B944" s="6" t="str">
        <f ca="1">IFERROR(__xludf.DUMMYFUNCTION("""COMPUTED_VALUE"""),"KAWA ANALYTICS CORP _2022")</f>
        <v>KAWA ANALYTICS CORP _2022</v>
      </c>
      <c r="C944" s="6" t="str">
        <f ca="1">IFERROR(__xludf.DUMMYFUNCTION("""COMPUTED_VALUE"""),"Digital Tech")</f>
        <v>Digital Tech</v>
      </c>
      <c r="D944" s="6" t="str">
        <f ca="1">IFERROR(__xludf.DUMMYFUNCTION("""COMPUTED_VALUE"""),"MIAMI, Florida 
United States")</f>
        <v>MIAMI, Florida 
United States</v>
      </c>
      <c r="E944" s="6" t="str">
        <f ca="1">IFERROR(__xludf.DUMMYFUNCTION("""COMPUTED_VALUE"""),"East Coast")</f>
        <v>East Coast</v>
      </c>
      <c r="F944" s="6" t="str">
        <f ca="1">IFERROR(__xludf.DUMMYFUNCTION("""COMPUTED_VALUE"""),"Man")</f>
        <v>Man</v>
      </c>
      <c r="G944" s="6" t="str">
        <f ca="1">IFERROR(__xludf.DUMMYFUNCTION("""COMPUTED_VALUE"""),"Man")</f>
        <v>Man</v>
      </c>
      <c r="H944" s="6"/>
      <c r="I944" s="6"/>
      <c r="J944" s="6"/>
      <c r="K944" s="6"/>
      <c r="L944" s="6" t="str">
        <f ca="1">IFERROR(__xludf.DUMMYFUNCTION("""COMPUTED_VALUE"""),"No")</f>
        <v>No</v>
      </c>
      <c r="M944" s="6"/>
      <c r="N944" s="6"/>
      <c r="O944" s="6" t="str">
        <f ca="1">IFERROR(__xludf.DUMMYFUNCTION("""COMPUTED_VALUE"""),"Email")</f>
        <v>Email</v>
      </c>
      <c r="P944" s="6"/>
      <c r="Q944" s="6" t="str">
        <f ca="1">IFERROR(__xludf.DUMMYFUNCTION("""COMPUTED_VALUE"""),"No")</f>
        <v>No</v>
      </c>
      <c r="R944" s="6">
        <f ca="1">IFERROR(__xludf.DUMMYFUNCTION("""COMPUTED_VALUE"""),2)</f>
        <v>2</v>
      </c>
      <c r="S944" s="6" t="str">
        <f ca="1">IFERROR(__xludf.DUMMYFUNCTION("""COMPUTED_VALUE"""),"Pre-seed")</f>
        <v>Pre-seed</v>
      </c>
      <c r="T944" s="6" t="str">
        <f ca="1">IFERROR(__xludf.DUMMYFUNCTION("""COMPUTED_VALUE"""),"Pre-seed")</f>
        <v>Pre-seed</v>
      </c>
      <c r="U944" s="6" t="str">
        <f ca="1">IFERROR(__xludf.DUMMYFUNCTION("""COMPUTED_VALUE"""),"Pre-seed")</f>
        <v>Pre-seed</v>
      </c>
      <c r="V944" s="6"/>
      <c r="W944" s="6" t="str">
        <f ca="1">IFERROR(__xludf.DUMMYFUNCTION("""COMPUTED_VALUE"""),"Revisit")</f>
        <v>Revisit</v>
      </c>
    </row>
    <row r="945" spans="1:23">
      <c r="A945" s="6" t="str">
        <f ca="1">IFERROR(__xludf.DUMMYFUNCTION("""COMPUTED_VALUE"""),"Man, Man")</f>
        <v>Man, Man</v>
      </c>
      <c r="B945" s="6" t="str">
        <f ca="1">IFERROR(__xludf.DUMMYFUNCTION("""COMPUTED_VALUE"""),"Scale Biosciences, Inc _2022")</f>
        <v>Scale Biosciences, Inc _2022</v>
      </c>
      <c r="C945" s="6" t="str">
        <f ca="1">IFERROR(__xludf.DUMMYFUNCTION("""COMPUTED_VALUE"""),"Life Sciences")</f>
        <v>Life Sciences</v>
      </c>
      <c r="D945" s="6" t="str">
        <f ca="1">IFERROR(__xludf.DUMMYFUNCTION("""COMPUTED_VALUE"""),"1440 O'Brien Drive, CA 
United States")</f>
        <v>1440 O'Brien Drive, CA 
United States</v>
      </c>
      <c r="E945" s="6" t="str">
        <f ca="1">IFERROR(__xludf.DUMMYFUNCTION("""COMPUTED_VALUE"""),"West Coast")</f>
        <v>West Coast</v>
      </c>
      <c r="F945" s="6" t="str">
        <f ca="1">IFERROR(__xludf.DUMMYFUNCTION("""COMPUTED_VALUE"""),"Man")</f>
        <v>Man</v>
      </c>
      <c r="G945" s="6" t="str">
        <f ca="1">IFERROR(__xludf.DUMMYFUNCTION("""COMPUTED_VALUE"""),"Man")</f>
        <v>Man</v>
      </c>
      <c r="H945" s="6"/>
      <c r="I945" s="6"/>
      <c r="J945" s="6"/>
      <c r="K945" s="6"/>
      <c r="L945" s="6" t="str">
        <f ca="1">IFERROR(__xludf.DUMMYFUNCTION("""COMPUTED_VALUE"""),"No")</f>
        <v>No</v>
      </c>
      <c r="M945" s="6"/>
      <c r="N945" s="6"/>
      <c r="O945" s="6" t="str">
        <f ca="1">IFERROR(__xludf.DUMMYFUNCTION("""COMPUTED_VALUE"""),"Referral")</f>
        <v>Referral</v>
      </c>
      <c r="P945" s="6"/>
      <c r="Q945" s="6" t="str">
        <f ca="1">IFERROR(__xludf.DUMMYFUNCTION("""COMPUTED_VALUE"""),"No")</f>
        <v>No</v>
      </c>
      <c r="R945" s="6">
        <f ca="1">IFERROR(__xludf.DUMMYFUNCTION("""COMPUTED_VALUE"""),2)</f>
        <v>2</v>
      </c>
      <c r="S945" s="6" t="str">
        <f ca="1">IFERROR(__xludf.DUMMYFUNCTION("""COMPUTED_VALUE"""),"Series A")</f>
        <v>Series A</v>
      </c>
      <c r="T945" s="6" t="str">
        <f ca="1">IFERROR(__xludf.DUMMYFUNCTION("""COMPUTED_VALUE"""),"Series A")</f>
        <v>Series A</v>
      </c>
      <c r="U945" s="6" t="str">
        <f ca="1">IFERROR(__xludf.DUMMYFUNCTION("""COMPUTED_VALUE"""),"Series A")</f>
        <v>Series A</v>
      </c>
      <c r="V945" s="6"/>
      <c r="W945" s="6" t="str">
        <f ca="1">IFERROR(__xludf.DUMMYFUNCTION("""COMPUTED_VALUE"""),"Invite")</f>
        <v>Invite</v>
      </c>
    </row>
    <row r="946" spans="1:23">
      <c r="A946" s="6" t="str">
        <f ca="1">IFERROR(__xludf.DUMMYFUNCTION("""COMPUTED_VALUE"""),"Woman, Man, Man, Man")</f>
        <v>Woman, Man, Man, Man</v>
      </c>
      <c r="B946" s="6" t="str">
        <f ca="1">IFERROR(__xludf.DUMMYFUNCTION("""COMPUTED_VALUE"""),"VC Cell Therapy _2022")</f>
        <v>VC Cell Therapy _2022</v>
      </c>
      <c r="C946" s="6" t="str">
        <f ca="1">IFERROR(__xludf.DUMMYFUNCTION("""COMPUTED_VALUE"""),"Life Sciences")</f>
        <v>Life Sciences</v>
      </c>
      <c r="D946" s="6" t="str">
        <f ca="1">IFERROR(__xludf.DUMMYFUNCTION("""COMPUTED_VALUE"""),"Minatojima Minamicho 2-1-8, Chuo, Kobe city, Hyogo 
Japan")</f>
        <v>Minatojima Minamicho 2-1-8, Chuo, Kobe city, Hyogo 
Japan</v>
      </c>
      <c r="E946" s="6" t="str">
        <f ca="1">IFERROR(__xludf.DUMMYFUNCTION("""COMPUTED_VALUE"""),"International - Asia")</f>
        <v>International - Asia</v>
      </c>
      <c r="F946" s="6" t="str">
        <f ca="1">IFERROR(__xludf.DUMMYFUNCTION("""COMPUTED_VALUE"""),"Woman")</f>
        <v>Woman</v>
      </c>
      <c r="G946" s="6" t="str">
        <f ca="1">IFERROR(__xludf.DUMMYFUNCTION("""COMPUTED_VALUE"""),"Man")</f>
        <v>Man</v>
      </c>
      <c r="H946" s="6" t="str">
        <f ca="1">IFERROR(__xludf.DUMMYFUNCTION("""COMPUTED_VALUE"""),"Man")</f>
        <v>Man</v>
      </c>
      <c r="I946" s="6" t="str">
        <f ca="1">IFERROR(__xludf.DUMMYFUNCTION("""COMPUTED_VALUE"""),"Man")</f>
        <v>Man</v>
      </c>
      <c r="J946" s="6"/>
      <c r="K946" s="6"/>
      <c r="L946" s="6" t="str">
        <f ca="1">IFERROR(__xludf.DUMMYFUNCTION("""COMPUTED_VALUE"""),"No")</f>
        <v>No</v>
      </c>
      <c r="M946" s="6"/>
      <c r="N946" s="6"/>
      <c r="O946" s="6" t="str">
        <f ca="1">IFERROR(__xludf.DUMMYFUNCTION("""COMPUTED_VALUE"""),"Email")</f>
        <v>Email</v>
      </c>
      <c r="P946" s="6"/>
      <c r="Q946" s="6" t="str">
        <f ca="1">IFERROR(__xludf.DUMMYFUNCTION("""COMPUTED_VALUE"""),"No")</f>
        <v>No</v>
      </c>
      <c r="R946" s="6">
        <f ca="1">IFERROR(__xludf.DUMMYFUNCTION("""COMPUTED_VALUE"""),4)</f>
        <v>4</v>
      </c>
      <c r="S946" s="6" t="str">
        <f ca="1">IFERROR(__xludf.DUMMYFUNCTION("""COMPUTED_VALUE"""),"Seed")</f>
        <v>Seed</v>
      </c>
      <c r="T946" s="6" t="str">
        <f ca="1">IFERROR(__xludf.DUMMYFUNCTION("""COMPUTED_VALUE"""),"Seed")</f>
        <v>Seed</v>
      </c>
      <c r="U946" s="6" t="str">
        <f ca="1">IFERROR(__xludf.DUMMYFUNCTION("""COMPUTED_VALUE"""),"Seed")</f>
        <v>Seed</v>
      </c>
      <c r="V946" s="6"/>
      <c r="W946" s="6" t="str">
        <f ca="1">IFERROR(__xludf.DUMMYFUNCTION("""COMPUTED_VALUE"""),"Invite")</f>
        <v>Invite</v>
      </c>
    </row>
    <row r="947" spans="1:23">
      <c r="A947" s="6" t="str">
        <f ca="1">IFERROR(__xludf.DUMMYFUNCTION("""COMPUTED_VALUE"""),"Man, Man, Woman, Woman, Man, Man")</f>
        <v>Man, Man, Woman, Woman, Man, Man</v>
      </c>
      <c r="B947" s="6" t="str">
        <f ca="1">IFERROR(__xludf.DUMMYFUNCTION("""COMPUTED_VALUE"""),"CARDISYSTEMS _2022")</f>
        <v>CARDISYSTEMS _2022</v>
      </c>
      <c r="C947" s="6" t="str">
        <f ca="1">IFERROR(__xludf.DUMMYFUNCTION("""COMPUTED_VALUE"""),"Digital Tech")</f>
        <v>Digital Tech</v>
      </c>
      <c r="D947" s="6" t="str">
        <f ca="1">IFERROR(__xludf.DUMMYFUNCTION("""COMPUTED_VALUE"""),"Toronto, Ontario 
Canada")</f>
        <v>Toronto, Ontario 
Canada</v>
      </c>
      <c r="E947" s="6" t="str">
        <f ca="1">IFERROR(__xludf.DUMMYFUNCTION("""COMPUTED_VALUE"""),"International - Americas")</f>
        <v>International - Americas</v>
      </c>
      <c r="F947" s="6" t="str">
        <f ca="1">IFERROR(__xludf.DUMMYFUNCTION("""COMPUTED_VALUE"""),"Man")</f>
        <v>Man</v>
      </c>
      <c r="G947" s="6" t="str">
        <f ca="1">IFERROR(__xludf.DUMMYFUNCTION("""COMPUTED_VALUE"""),"Man")</f>
        <v>Man</v>
      </c>
      <c r="H947" s="6" t="str">
        <f ca="1">IFERROR(__xludf.DUMMYFUNCTION("""COMPUTED_VALUE"""),"Woman")</f>
        <v>Woman</v>
      </c>
      <c r="I947" s="6" t="str">
        <f ca="1">IFERROR(__xludf.DUMMYFUNCTION("""COMPUTED_VALUE"""),"Woman")</f>
        <v>Woman</v>
      </c>
      <c r="J947" s="6" t="str">
        <f ca="1">IFERROR(__xludf.DUMMYFUNCTION("""COMPUTED_VALUE"""),"Man")</f>
        <v>Man</v>
      </c>
      <c r="K947" s="6" t="str">
        <f ca="1">IFERROR(__xludf.DUMMYFUNCTION("""COMPUTED_VALUE"""),"Man")</f>
        <v>Man</v>
      </c>
      <c r="L947" s="6" t="str">
        <f ca="1">IFERROR(__xludf.DUMMYFUNCTION("""COMPUTED_VALUE"""),"No")</f>
        <v>No</v>
      </c>
      <c r="M947" s="6"/>
      <c r="N947" s="6"/>
      <c r="O947" s="6" t="str">
        <f ca="1">IFERROR(__xludf.DUMMYFUNCTION("""COMPUTED_VALUE"""),"Referral")</f>
        <v>Referral</v>
      </c>
      <c r="P947" s="6"/>
      <c r="Q947" s="6" t="str">
        <f ca="1">IFERROR(__xludf.DUMMYFUNCTION("""COMPUTED_VALUE"""),"No")</f>
        <v>No</v>
      </c>
      <c r="R947" s="6">
        <f ca="1">IFERROR(__xludf.DUMMYFUNCTION("""COMPUTED_VALUE"""),6)</f>
        <v>6</v>
      </c>
      <c r="S947" s="6" t="str">
        <f ca="1">IFERROR(__xludf.DUMMYFUNCTION("""COMPUTED_VALUE"""),"None")</f>
        <v>None</v>
      </c>
      <c r="T947" s="6" t="str">
        <f ca="1">IFERROR(__xludf.DUMMYFUNCTION("""COMPUTED_VALUE"""),"None")</f>
        <v>None</v>
      </c>
      <c r="U947" s="6" t="str">
        <f ca="1">IFERROR(__xludf.DUMMYFUNCTION("""COMPUTED_VALUE"""),"None")</f>
        <v>None</v>
      </c>
      <c r="V947" s="6"/>
      <c r="W947" s="6" t="str">
        <f ca="1">IFERROR(__xludf.DUMMYFUNCTION("""COMPUTED_VALUE"""),"Invite Next Year")</f>
        <v>Invite Next Year</v>
      </c>
    </row>
    <row r="948" spans="1:23">
      <c r="A948" s="6" t="str">
        <f ca="1">IFERROR(__xludf.DUMMYFUNCTION("""COMPUTED_VALUE"""),"Woman, Man")</f>
        <v>Woman, Man</v>
      </c>
      <c r="B948" s="6" t="str">
        <f ca="1">IFERROR(__xludf.DUMMYFUNCTION("""COMPUTED_VALUE"""),"Kola Project _2022")</f>
        <v>Kola Project _2022</v>
      </c>
      <c r="C948" s="6" t="str">
        <f ca="1">IFERROR(__xludf.DUMMYFUNCTION("""COMPUTED_VALUE"""),"Digital Tech")</f>
        <v>Digital Tech</v>
      </c>
      <c r="D948" s="6" t="str">
        <f ca="1">IFERROR(__xludf.DUMMYFUNCTION("""COMPUTED_VALUE"""),"Flat 1 Knot House 3 Brewery Sq, London 
United Kingdom")</f>
        <v>Flat 1 Knot House 3 Brewery Sq, London 
United Kingdom</v>
      </c>
      <c r="E948" s="6" t="str">
        <f ca="1">IFERROR(__xludf.DUMMYFUNCTION("""COMPUTED_VALUE"""),"International - Europe")</f>
        <v>International - Europe</v>
      </c>
      <c r="F948" s="6" t="str">
        <f ca="1">IFERROR(__xludf.DUMMYFUNCTION("""COMPUTED_VALUE"""),"Woman")</f>
        <v>Woman</v>
      </c>
      <c r="G948" s="6" t="str">
        <f ca="1">IFERROR(__xludf.DUMMYFUNCTION("""COMPUTED_VALUE"""),"Man")</f>
        <v>Man</v>
      </c>
      <c r="H948" s="6"/>
      <c r="I948" s="6"/>
      <c r="J948" s="6"/>
      <c r="K948" s="6"/>
      <c r="L948" s="6" t="str">
        <f ca="1">IFERROR(__xludf.DUMMYFUNCTION("""COMPUTED_VALUE"""),"No")</f>
        <v>No</v>
      </c>
      <c r="M948" s="6"/>
      <c r="N948" s="6"/>
      <c r="O948" s="6" t="str">
        <f ca="1">IFERROR(__xludf.DUMMYFUNCTION("""COMPUTED_VALUE"""),"Referral")</f>
        <v>Referral</v>
      </c>
      <c r="P948" s="6"/>
      <c r="Q948" s="6" t="str">
        <f ca="1">IFERROR(__xludf.DUMMYFUNCTION("""COMPUTED_VALUE"""),"No")</f>
        <v>No</v>
      </c>
      <c r="R948" s="6">
        <f ca="1">IFERROR(__xludf.DUMMYFUNCTION("""COMPUTED_VALUE"""),2)</f>
        <v>2</v>
      </c>
      <c r="S948" s="6" t="str">
        <f ca="1">IFERROR(__xludf.DUMMYFUNCTION("""COMPUTED_VALUE"""),"None")</f>
        <v>None</v>
      </c>
      <c r="T948" s="6" t="str">
        <f ca="1">IFERROR(__xludf.DUMMYFUNCTION("""COMPUTED_VALUE"""),"None")</f>
        <v>None</v>
      </c>
      <c r="U948" s="6" t="str">
        <f ca="1">IFERROR(__xludf.DUMMYFUNCTION("""COMPUTED_VALUE"""),"None")</f>
        <v>None</v>
      </c>
      <c r="V948" s="6"/>
      <c r="W948" s="6" t="str">
        <f ca="1">IFERROR(__xludf.DUMMYFUNCTION("""COMPUTED_VALUE"""),"Invite Next Year")</f>
        <v>Invite Next Year</v>
      </c>
    </row>
    <row r="949" spans="1:23">
      <c r="A949" s="6" t="str">
        <f ca="1">IFERROR(__xludf.DUMMYFUNCTION("""COMPUTED_VALUE"""),"Man, Man")</f>
        <v>Man, Man</v>
      </c>
      <c r="B949" s="6" t="str">
        <f ca="1">IFERROR(__xludf.DUMMYFUNCTION("""COMPUTED_VALUE"""),"Quota _2022")</f>
        <v>Quota _2022</v>
      </c>
      <c r="C949" s="6" t="str">
        <f ca="1">IFERROR(__xludf.DUMMYFUNCTION("""COMPUTED_VALUE"""),"Digital Tech")</f>
        <v>Digital Tech</v>
      </c>
      <c r="D949" s="6" t="str">
        <f ca="1">IFERROR(__xludf.DUMMYFUNCTION("""COMPUTED_VALUE"""),"Madrid, Non U.S. 
Spain")</f>
        <v>Madrid, Non U.S. 
Spain</v>
      </c>
      <c r="E949" s="6" t="str">
        <f ca="1">IFERROR(__xludf.DUMMYFUNCTION("""COMPUTED_VALUE"""),"International - Europe")</f>
        <v>International - Europe</v>
      </c>
      <c r="F949" s="6" t="str">
        <f ca="1">IFERROR(__xludf.DUMMYFUNCTION("""COMPUTED_VALUE"""),"Man")</f>
        <v>Man</v>
      </c>
      <c r="G949" s="6" t="str">
        <f ca="1">IFERROR(__xludf.DUMMYFUNCTION("""COMPUTED_VALUE"""),"Man")</f>
        <v>Man</v>
      </c>
      <c r="H949" s="6"/>
      <c r="I949" s="6"/>
      <c r="J949" s="6"/>
      <c r="K949" s="6"/>
      <c r="L949" s="6" t="str">
        <f ca="1">IFERROR(__xludf.DUMMYFUNCTION("""COMPUTED_VALUE"""),"No")</f>
        <v>No</v>
      </c>
      <c r="M949" s="6"/>
      <c r="N949" s="6"/>
      <c r="O949" s="6" t="str">
        <f ca="1">IFERROR(__xludf.DUMMYFUNCTION("""COMPUTED_VALUE"""),"Email")</f>
        <v>Email</v>
      </c>
      <c r="P949" s="6"/>
      <c r="Q949" s="6" t="str">
        <f ca="1">IFERROR(__xludf.DUMMYFUNCTION("""COMPUTED_VALUE"""),"No")</f>
        <v>No</v>
      </c>
      <c r="R949" s="6">
        <f ca="1">IFERROR(__xludf.DUMMYFUNCTION("""COMPUTED_VALUE"""),2)</f>
        <v>2</v>
      </c>
      <c r="S949" s="6" t="str">
        <f ca="1">IFERROR(__xludf.DUMMYFUNCTION("""COMPUTED_VALUE"""),"Pre-seed
Debt financing
Grants")</f>
        <v>Pre-seed
Debt financing
Grants</v>
      </c>
      <c r="T949" s="6" t="str">
        <f ca="1">IFERROR(__xludf.DUMMYFUNCTION("""COMPUTED_VALUE"""),"Pre-seed, Debt financing, Grants")</f>
        <v>Pre-seed, Debt financing, Grants</v>
      </c>
      <c r="U949" s="6" t="str">
        <f ca="1">IFERROR(__xludf.DUMMYFUNCTION("""COMPUTED_VALUE"""),"Pre-seed, Debt financing, Grants")</f>
        <v>Pre-seed, Debt financing, Grants</v>
      </c>
      <c r="V949" s="6"/>
      <c r="W949" s="6" t="str">
        <f ca="1">IFERROR(__xludf.DUMMYFUNCTION("""COMPUTED_VALUE"""),"Invite Next Year")</f>
        <v>Invite Next Year</v>
      </c>
    </row>
    <row r="950" spans="1:23">
      <c r="A950" s="6" t="str">
        <f ca="1">IFERROR(__xludf.DUMMYFUNCTION("""COMPUTED_VALUE"""),"Woman")</f>
        <v>Woman</v>
      </c>
      <c r="B950" s="6" t="str">
        <f ca="1">IFERROR(__xludf.DUMMYFUNCTION("""COMPUTED_VALUE"""),"Techfunic _2022")</f>
        <v>Techfunic _2022</v>
      </c>
      <c r="C950" s="6" t="str">
        <f ca="1">IFERROR(__xludf.DUMMYFUNCTION("""COMPUTED_VALUE"""),"Digital Tech")</f>
        <v>Digital Tech</v>
      </c>
      <c r="D950" s="6" t="str">
        <f ca="1">IFERROR(__xludf.DUMMYFUNCTION("""COMPUTED_VALUE"""),"280 Marin Blvd, 16A, Jersey City, NJ 
United States")</f>
        <v>280 Marin Blvd, 16A, Jersey City, NJ 
United States</v>
      </c>
      <c r="E950" s="6" t="str">
        <f ca="1">IFERROR(__xludf.DUMMYFUNCTION("""COMPUTED_VALUE"""),"East Coast")</f>
        <v>East Coast</v>
      </c>
      <c r="F950" s="6" t="str">
        <f ca="1">IFERROR(__xludf.DUMMYFUNCTION("""COMPUTED_VALUE"""),"Woman")</f>
        <v>Woman</v>
      </c>
      <c r="G950" s="6"/>
      <c r="H950" s="6"/>
      <c r="I950" s="6"/>
      <c r="J950" s="6"/>
      <c r="K950" s="6"/>
      <c r="L950" s="6" t="str">
        <f ca="1">IFERROR(__xludf.DUMMYFUNCTION("""COMPUTED_VALUE"""),"--Please select--")</f>
        <v>--Please select--</v>
      </c>
      <c r="M950" s="6"/>
      <c r="N950" s="6"/>
      <c r="O950" s="6" t="str">
        <f ca="1">IFERROR(__xludf.DUMMYFUNCTION("""COMPUTED_VALUE"""),"Info Session")</f>
        <v>Info Session</v>
      </c>
      <c r="P950" s="6"/>
      <c r="Q950" s="6" t="str">
        <f ca="1">IFERROR(__xludf.DUMMYFUNCTION("""COMPUTED_VALUE"""),"No")</f>
        <v>No</v>
      </c>
      <c r="R950" s="6">
        <f ca="1">IFERROR(__xludf.DUMMYFUNCTION("""COMPUTED_VALUE"""),1)</f>
        <v>1</v>
      </c>
      <c r="S950" s="6" t="str">
        <f ca="1">IFERROR(__xludf.DUMMYFUNCTION("""COMPUTED_VALUE"""),"Grants")</f>
        <v>Grants</v>
      </c>
      <c r="T950" s="6" t="str">
        <f ca="1">IFERROR(__xludf.DUMMYFUNCTION("""COMPUTED_VALUE"""),"Grants")</f>
        <v>Grants</v>
      </c>
      <c r="U950" s="6" t="str">
        <f ca="1">IFERROR(__xludf.DUMMYFUNCTION("""COMPUTED_VALUE"""),"Grants")</f>
        <v>Grants</v>
      </c>
      <c r="V950" s="6"/>
      <c r="W950" s="6" t="str">
        <f ca="1">IFERROR(__xludf.DUMMYFUNCTION("""COMPUTED_VALUE"""),"Invite Next Year")</f>
        <v>Invite Next Year</v>
      </c>
    </row>
    <row r="951" spans="1:23">
      <c r="A951" s="6" t="str">
        <f ca="1">IFERROR(__xludf.DUMMYFUNCTION("""COMPUTED_VALUE"""),"Man")</f>
        <v>Man</v>
      </c>
      <c r="B951" s="6" t="str">
        <f ca="1">IFERROR(__xludf.DUMMYFUNCTION("""COMPUTED_VALUE"""),"Intelligent Technology Co., Ltd _2022")</f>
        <v>Intelligent Technology Co., Ltd _2022</v>
      </c>
      <c r="C951" s="6" t="str">
        <f ca="1">IFERROR(__xludf.DUMMYFUNCTION("""COMPUTED_VALUE"""),"Digital Tech")</f>
        <v>Digital Tech</v>
      </c>
      <c r="D951" s="6" t="str">
        <f ca="1">IFERROR(__xludf.DUMMYFUNCTION("""COMPUTED_VALUE"""),"Suzhou, Jiangsu 
China")</f>
        <v>Suzhou, Jiangsu 
China</v>
      </c>
      <c r="E951" s="6" t="str">
        <f ca="1">IFERROR(__xludf.DUMMYFUNCTION("""COMPUTED_VALUE"""),"International - Asia")</f>
        <v>International - Asia</v>
      </c>
      <c r="F951" s="6" t="str">
        <f ca="1">IFERROR(__xludf.DUMMYFUNCTION("""COMPUTED_VALUE"""),"Man")</f>
        <v>Man</v>
      </c>
      <c r="G951" s="6"/>
      <c r="H951" s="6"/>
      <c r="I951" s="6"/>
      <c r="J951" s="6"/>
      <c r="K951" s="6"/>
      <c r="L951" s="6" t="str">
        <f ca="1">IFERROR(__xludf.DUMMYFUNCTION("""COMPUTED_VALUE"""),"No")</f>
        <v>No</v>
      </c>
      <c r="M951" s="6"/>
      <c r="N951" s="6"/>
      <c r="O951" s="6" t="str">
        <f ca="1">IFERROR(__xludf.DUMMYFUNCTION("""COMPUTED_VALUE"""),"Email")</f>
        <v>Email</v>
      </c>
      <c r="P951" s="6"/>
      <c r="Q951" s="6" t="str">
        <f ca="1">IFERROR(__xludf.DUMMYFUNCTION("""COMPUTED_VALUE"""),"No")</f>
        <v>No</v>
      </c>
      <c r="R951" s="6">
        <f ca="1">IFERROR(__xludf.DUMMYFUNCTION("""COMPUTED_VALUE"""),1)</f>
        <v>1</v>
      </c>
      <c r="S951" s="6" t="str">
        <f ca="1">IFERROR(__xludf.DUMMYFUNCTION("""COMPUTED_VALUE"""),"Pre-seed
Seed
Series A
Bridge")</f>
        <v>Pre-seed
Seed
Series A
Bridge</v>
      </c>
      <c r="T951" s="6" t="str">
        <f ca="1">IFERROR(__xludf.DUMMYFUNCTION("""COMPUTED_VALUE"""),"Pre-seed, Seed, Series A, Bridge")</f>
        <v>Pre-seed, Seed, Series A, Bridge</v>
      </c>
      <c r="U951" s="6" t="str">
        <f ca="1">IFERROR(__xludf.DUMMYFUNCTION("""COMPUTED_VALUE"""),"Pre-seed, Seed, Series A, Bridge")</f>
        <v>Pre-seed, Seed, Series A, Bridge</v>
      </c>
      <c r="V951" s="6"/>
      <c r="W951" s="6" t="str">
        <f ca="1">IFERROR(__xludf.DUMMYFUNCTION("""COMPUTED_VALUE"""),"Revisit")</f>
        <v>Revisit</v>
      </c>
    </row>
    <row r="952" spans="1:23">
      <c r="A952" s="6" t="str">
        <f ca="1">IFERROR(__xludf.DUMMYFUNCTION("""COMPUTED_VALUE"""),"Woman, Man")</f>
        <v>Woman, Man</v>
      </c>
      <c r="B952" s="6" t="str">
        <f ca="1">IFERROR(__xludf.DUMMYFUNCTION("""COMPUTED_VALUE"""),"Tripoverse _2022")</f>
        <v>Tripoverse _2022</v>
      </c>
      <c r="C952" s="6" t="str">
        <f ca="1">IFERROR(__xludf.DUMMYFUNCTION("""COMPUTED_VALUE"""),"Digital Tech")</f>
        <v>Digital Tech</v>
      </c>
      <c r="D952" s="6" t="str">
        <f ca="1">IFERROR(__xludf.DUMMYFUNCTION("""COMPUTED_VALUE"""),"New York, New York 
United States")</f>
        <v>New York, New York 
United States</v>
      </c>
      <c r="E952" s="6" t="str">
        <f ca="1">IFERROR(__xludf.DUMMYFUNCTION("""COMPUTED_VALUE"""),"New York")</f>
        <v>New York</v>
      </c>
      <c r="F952" s="6" t="str">
        <f ca="1">IFERROR(__xludf.DUMMYFUNCTION("""COMPUTED_VALUE"""),"Woman")</f>
        <v>Woman</v>
      </c>
      <c r="G952" s="6" t="str">
        <f ca="1">IFERROR(__xludf.DUMMYFUNCTION("""COMPUTED_VALUE"""),"Man")</f>
        <v>Man</v>
      </c>
      <c r="H952" s="6"/>
      <c r="I952" s="6"/>
      <c r="J952" s="6"/>
      <c r="K952" s="6"/>
      <c r="L952" s="6" t="str">
        <f ca="1">IFERROR(__xludf.DUMMYFUNCTION("""COMPUTED_VALUE"""),"No")</f>
        <v>No</v>
      </c>
      <c r="M952" s="6"/>
      <c r="N952" s="6"/>
      <c r="O952" s="6" t="str">
        <f ca="1">IFERROR(__xludf.DUMMYFUNCTION("""COMPUTED_VALUE"""),"Email")</f>
        <v>Email</v>
      </c>
      <c r="P952" s="6"/>
      <c r="Q952" s="6" t="str">
        <f ca="1">IFERROR(__xludf.DUMMYFUNCTION("""COMPUTED_VALUE"""),"No")</f>
        <v>No</v>
      </c>
      <c r="R952" s="6">
        <f ca="1">IFERROR(__xludf.DUMMYFUNCTION("""COMPUTED_VALUE"""),2)</f>
        <v>2</v>
      </c>
      <c r="S952" s="6" t="str">
        <f ca="1">IFERROR(__xludf.DUMMYFUNCTION("""COMPUTED_VALUE"""),"Pre-seed")</f>
        <v>Pre-seed</v>
      </c>
      <c r="T952" s="6" t="str">
        <f ca="1">IFERROR(__xludf.DUMMYFUNCTION("""COMPUTED_VALUE"""),"Pre-seed")</f>
        <v>Pre-seed</v>
      </c>
      <c r="U952" s="6" t="str">
        <f ca="1">IFERROR(__xludf.DUMMYFUNCTION("""COMPUTED_VALUE"""),"Pre-seed")</f>
        <v>Pre-seed</v>
      </c>
      <c r="V952" s="6"/>
      <c r="W952" s="6" t="str">
        <f ca="1">IFERROR(__xludf.DUMMYFUNCTION("""COMPUTED_VALUE"""),"Invite")</f>
        <v>Invite</v>
      </c>
    </row>
    <row r="953" spans="1:23">
      <c r="A953" s="6" t="str">
        <f ca="1">IFERROR(__xludf.DUMMYFUNCTION("""COMPUTED_VALUE"""),"Man, Man")</f>
        <v>Man, Man</v>
      </c>
      <c r="B953" s="6" t="str">
        <f ca="1">IFERROR(__xludf.DUMMYFUNCTION("""COMPUTED_VALUE"""),"refive _2022")</f>
        <v>refive _2022</v>
      </c>
      <c r="C953" s="6" t="str">
        <f ca="1">IFERROR(__xludf.DUMMYFUNCTION("""COMPUTED_VALUE"""),"Digital Tech")</f>
        <v>Digital Tech</v>
      </c>
      <c r="D953" s="6" t="str">
        <f ca="1">IFERROR(__xludf.DUMMYFUNCTION("""COMPUTED_VALUE"""),"Berlin, Berlin 
Germany")</f>
        <v>Berlin, Berlin 
Germany</v>
      </c>
      <c r="E953" s="6" t="str">
        <f ca="1">IFERROR(__xludf.DUMMYFUNCTION("""COMPUTED_VALUE"""),"International - Europe")</f>
        <v>International - Europe</v>
      </c>
      <c r="F953" s="6" t="str">
        <f ca="1">IFERROR(__xludf.DUMMYFUNCTION("""COMPUTED_VALUE"""),"Man")</f>
        <v>Man</v>
      </c>
      <c r="G953" s="6" t="str">
        <f ca="1">IFERROR(__xludf.DUMMYFUNCTION("""COMPUTED_VALUE"""),"Man")</f>
        <v>Man</v>
      </c>
      <c r="H953" s="6"/>
      <c r="I953" s="6"/>
      <c r="J953" s="6"/>
      <c r="K953" s="6"/>
      <c r="L953" s="6" t="str">
        <f ca="1">IFERROR(__xludf.DUMMYFUNCTION("""COMPUTED_VALUE"""),"No")</f>
        <v>No</v>
      </c>
      <c r="M953" s="6"/>
      <c r="N953" s="6"/>
      <c r="O953" s="6" t="str">
        <f ca="1">IFERROR(__xludf.DUMMYFUNCTION("""COMPUTED_VALUE"""),"Email")</f>
        <v>Email</v>
      </c>
      <c r="P953" s="6"/>
      <c r="Q953" s="6" t="str">
        <f ca="1">IFERROR(__xludf.DUMMYFUNCTION("""COMPUTED_VALUE"""),"No")</f>
        <v>No</v>
      </c>
      <c r="R953" s="6">
        <f ca="1">IFERROR(__xludf.DUMMYFUNCTION("""COMPUTED_VALUE"""),2)</f>
        <v>2</v>
      </c>
      <c r="S953" s="6" t="str">
        <f ca="1">IFERROR(__xludf.DUMMYFUNCTION("""COMPUTED_VALUE"""),"Pre-seed")</f>
        <v>Pre-seed</v>
      </c>
      <c r="T953" s="6" t="str">
        <f ca="1">IFERROR(__xludf.DUMMYFUNCTION("""COMPUTED_VALUE"""),"Pre-seed")</f>
        <v>Pre-seed</v>
      </c>
      <c r="U953" s="6" t="str">
        <f ca="1">IFERROR(__xludf.DUMMYFUNCTION("""COMPUTED_VALUE"""),"Pre-seed")</f>
        <v>Pre-seed</v>
      </c>
      <c r="V953" s="6"/>
      <c r="W953" s="6" t="str">
        <f ca="1">IFERROR(__xludf.DUMMYFUNCTION("""COMPUTED_VALUE"""),"Invite")</f>
        <v>Invite</v>
      </c>
    </row>
    <row r="954" spans="1:23">
      <c r="A954" s="6" t="str">
        <f ca="1">IFERROR(__xludf.DUMMYFUNCTION("""COMPUTED_VALUE"""),"Man")</f>
        <v>Man</v>
      </c>
      <c r="B954" s="6" t="str">
        <f ca="1">IFERROR(__xludf.DUMMYFUNCTION("""COMPUTED_VALUE"""),"Healthy Hip Hop _2022")</f>
        <v>Healthy Hip Hop _2022</v>
      </c>
      <c r="C954" s="6" t="str">
        <f ca="1">IFERROR(__xludf.DUMMYFUNCTION("""COMPUTED_VALUE"""),"Digital Tech")</f>
        <v>Digital Tech</v>
      </c>
      <c r="D954" s="6" t="str">
        <f ca="1">IFERROR(__xludf.DUMMYFUNCTION("""COMPUTED_VALUE"""),"Kansas City, MO 
United States")</f>
        <v>Kansas City, MO 
United States</v>
      </c>
      <c r="E954" s="6" t="str">
        <f ca="1">IFERROR(__xludf.DUMMYFUNCTION("""COMPUTED_VALUE"""),"Midwest")</f>
        <v>Midwest</v>
      </c>
      <c r="F954" s="6" t="str">
        <f ca="1">IFERROR(__xludf.DUMMYFUNCTION("""COMPUTED_VALUE"""),"Man")</f>
        <v>Man</v>
      </c>
      <c r="G954" s="6"/>
      <c r="H954" s="6"/>
      <c r="I954" s="6"/>
      <c r="J954" s="6"/>
      <c r="K954" s="6"/>
      <c r="L954" s="6" t="str">
        <f ca="1">IFERROR(__xludf.DUMMYFUNCTION("""COMPUTED_VALUE"""),"No")</f>
        <v>No</v>
      </c>
      <c r="M954" s="6"/>
      <c r="N954" s="6"/>
      <c r="O954" s="6" t="str">
        <f ca="1">IFERROR(__xludf.DUMMYFUNCTION("""COMPUTED_VALUE"""),"Email")</f>
        <v>Email</v>
      </c>
      <c r="P954" s="6"/>
      <c r="Q954" s="6" t="str">
        <f ca="1">IFERROR(__xludf.DUMMYFUNCTION("""COMPUTED_VALUE"""),"No")</f>
        <v>No</v>
      </c>
      <c r="R954" s="6">
        <f ca="1">IFERROR(__xludf.DUMMYFUNCTION("""COMPUTED_VALUE"""),1)</f>
        <v>1</v>
      </c>
      <c r="S954" s="6" t="str">
        <f ca="1">IFERROR(__xludf.DUMMYFUNCTION("""COMPUTED_VALUE"""),"Pre-seed")</f>
        <v>Pre-seed</v>
      </c>
      <c r="T954" s="6" t="str">
        <f ca="1">IFERROR(__xludf.DUMMYFUNCTION("""COMPUTED_VALUE"""),"Pre-seed")</f>
        <v>Pre-seed</v>
      </c>
      <c r="U954" s="6" t="str">
        <f ca="1">IFERROR(__xludf.DUMMYFUNCTION("""COMPUTED_VALUE"""),"Pre-seed")</f>
        <v>Pre-seed</v>
      </c>
      <c r="V954" s="6"/>
      <c r="W954" s="6" t="str">
        <f ca="1">IFERROR(__xludf.DUMMYFUNCTION("""COMPUTED_VALUE"""),"Invite Next Year")</f>
        <v>Invite Next Year</v>
      </c>
    </row>
    <row r="955" spans="1:23">
      <c r="A955" s="6" t="str">
        <f ca="1">IFERROR(__xludf.DUMMYFUNCTION("""COMPUTED_VALUE"""),"Man")</f>
        <v>Man</v>
      </c>
      <c r="B955" s="6" t="str">
        <f ca="1">IFERROR(__xludf.DUMMYFUNCTION("""COMPUTED_VALUE"""),"ReynKo _2022")</f>
        <v>ReynKo _2022</v>
      </c>
      <c r="C955" s="6" t="str">
        <f ca="1">IFERROR(__xludf.DUMMYFUNCTION("""COMPUTED_VALUE"""),"Deep Tech")</f>
        <v>Deep Tech</v>
      </c>
      <c r="D955" s="6" t="str">
        <f ca="1">IFERROR(__xludf.DUMMYFUNCTION("""COMPUTED_VALUE"""),"Brooklyn, NY 
United States")</f>
        <v>Brooklyn, NY 
United States</v>
      </c>
      <c r="E955" s="6" t="str">
        <f ca="1">IFERROR(__xludf.DUMMYFUNCTION("""COMPUTED_VALUE"""),"New York")</f>
        <v>New York</v>
      </c>
      <c r="F955" s="6" t="str">
        <f ca="1">IFERROR(__xludf.DUMMYFUNCTION("""COMPUTED_VALUE"""),"Man")</f>
        <v>Man</v>
      </c>
      <c r="G955" s="6"/>
      <c r="H955" s="6"/>
      <c r="I955" s="6"/>
      <c r="J955" s="6"/>
      <c r="K955" s="6"/>
      <c r="L955" s="6" t="str">
        <f ca="1">IFERROR(__xludf.DUMMYFUNCTION("""COMPUTED_VALUE"""),"No")</f>
        <v>No</v>
      </c>
      <c r="M955" s="6"/>
      <c r="N955" s="6"/>
      <c r="O955" s="6" t="str">
        <f ca="1">IFERROR(__xludf.DUMMYFUNCTION("""COMPUTED_VALUE"""),"Referral")</f>
        <v>Referral</v>
      </c>
      <c r="P955" s="6"/>
      <c r="Q955" s="6" t="str">
        <f ca="1">IFERROR(__xludf.DUMMYFUNCTION("""COMPUTED_VALUE"""),"No")</f>
        <v>No</v>
      </c>
      <c r="R955" s="6">
        <f ca="1">IFERROR(__xludf.DUMMYFUNCTION("""COMPUTED_VALUE"""),1)</f>
        <v>1</v>
      </c>
      <c r="S955" s="6" t="str">
        <f ca="1">IFERROR(__xludf.DUMMYFUNCTION("""COMPUTED_VALUE"""),"None")</f>
        <v>None</v>
      </c>
      <c r="T955" s="6" t="str">
        <f ca="1">IFERROR(__xludf.DUMMYFUNCTION("""COMPUTED_VALUE"""),"None")</f>
        <v>None</v>
      </c>
      <c r="U955" s="6" t="str">
        <f ca="1">IFERROR(__xludf.DUMMYFUNCTION("""COMPUTED_VALUE"""),"None")</f>
        <v>None</v>
      </c>
      <c r="V955" s="6"/>
      <c r="W955" s="6" t="str">
        <f ca="1">IFERROR(__xludf.DUMMYFUNCTION("""COMPUTED_VALUE"""),"Invite Next Year")</f>
        <v>Invite Next Year</v>
      </c>
    </row>
    <row r="956" spans="1:23">
      <c r="A956" s="6" t="str">
        <f ca="1">IFERROR(__xludf.DUMMYFUNCTION("""COMPUTED_VALUE"""),"Man, Man")</f>
        <v>Man, Man</v>
      </c>
      <c r="B956" s="6" t="str">
        <f ca="1">IFERROR(__xludf.DUMMYFUNCTION("""COMPUTED_VALUE"""),"Cinference _2022")</f>
        <v>Cinference _2022</v>
      </c>
      <c r="C956" s="6" t="str">
        <f ca="1">IFERROR(__xludf.DUMMYFUNCTION("""COMPUTED_VALUE"""),"Life Sciences")</f>
        <v>Life Sciences</v>
      </c>
      <c r="D956" s="6" t="str">
        <f ca="1">IFERROR(__xludf.DUMMYFUNCTION("""COMPUTED_VALUE"""),"Berlin, Berlin 
Germany")</f>
        <v>Berlin, Berlin 
Germany</v>
      </c>
      <c r="E956" s="6" t="str">
        <f ca="1">IFERROR(__xludf.DUMMYFUNCTION("""COMPUTED_VALUE"""),"International - Europe")</f>
        <v>International - Europe</v>
      </c>
      <c r="F956" s="6" t="str">
        <f ca="1">IFERROR(__xludf.DUMMYFUNCTION("""COMPUTED_VALUE"""),"Man")</f>
        <v>Man</v>
      </c>
      <c r="G956" s="6" t="str">
        <f ca="1">IFERROR(__xludf.DUMMYFUNCTION("""COMPUTED_VALUE"""),"Man")</f>
        <v>Man</v>
      </c>
      <c r="H956" s="6"/>
      <c r="I956" s="6"/>
      <c r="J956" s="6"/>
      <c r="K956" s="6"/>
      <c r="L956" s="6" t="str">
        <f ca="1">IFERROR(__xludf.DUMMYFUNCTION("""COMPUTED_VALUE"""),"No")</f>
        <v>No</v>
      </c>
      <c r="M956" s="6"/>
      <c r="N956" s="6"/>
      <c r="O956" s="6" t="str">
        <f ca="1">IFERROR(__xludf.DUMMYFUNCTION("""COMPUTED_VALUE"""),"Email")</f>
        <v>Email</v>
      </c>
      <c r="P956" s="6"/>
      <c r="Q956" s="6" t="str">
        <f ca="1">IFERROR(__xludf.DUMMYFUNCTION("""COMPUTED_VALUE"""),"No")</f>
        <v>No</v>
      </c>
      <c r="R956" s="6">
        <f ca="1">IFERROR(__xludf.DUMMYFUNCTION("""COMPUTED_VALUE"""),2)</f>
        <v>2</v>
      </c>
      <c r="S956" s="6" t="str">
        <f ca="1">IFERROR(__xludf.DUMMYFUNCTION("""COMPUTED_VALUE"""),"Pre-seed
Debt financing
Grants")</f>
        <v>Pre-seed
Debt financing
Grants</v>
      </c>
      <c r="T956" s="6" t="str">
        <f ca="1">IFERROR(__xludf.DUMMYFUNCTION("""COMPUTED_VALUE"""),"Pre-seed, Debt financing, Grants")</f>
        <v>Pre-seed, Debt financing, Grants</v>
      </c>
      <c r="U956" s="6" t="str">
        <f ca="1">IFERROR(__xludf.DUMMYFUNCTION("""COMPUTED_VALUE"""),"Pre-seed, Debt financing, Grants")</f>
        <v>Pre-seed, Debt financing, Grants</v>
      </c>
      <c r="V956" s="6"/>
      <c r="W956" s="6" t="str">
        <f ca="1">IFERROR(__xludf.DUMMYFUNCTION("""COMPUTED_VALUE"""),"Invite Next Year")</f>
        <v>Invite Next Year</v>
      </c>
    </row>
    <row r="957" spans="1:23">
      <c r="A957" s="6" t="str">
        <f ca="1">IFERROR(__xludf.DUMMYFUNCTION("""COMPUTED_VALUE"""),"Man, Man, Man, Man")</f>
        <v>Man, Man, Man, Man</v>
      </c>
      <c r="B957" s="6" t="str">
        <f ca="1">IFERROR(__xludf.DUMMYFUNCTION("""COMPUTED_VALUE"""),"INCLODE LLC _2022")</f>
        <v>INCLODE LLC _2022</v>
      </c>
      <c r="C957" s="6" t="str">
        <f ca="1">IFERROR(__xludf.DUMMYFUNCTION("""COMPUTED_VALUE"""),"Life Sciences")</f>
        <v>Life Sciences</v>
      </c>
      <c r="D957" s="6" t="str">
        <f ca="1">IFERROR(__xludf.DUMMYFUNCTION("""COMPUTED_VALUE"""),"MIAMI, FL 
United States")</f>
        <v>MIAMI, FL 
United States</v>
      </c>
      <c r="E957" s="6" t="str">
        <f ca="1">IFERROR(__xludf.DUMMYFUNCTION("""COMPUTED_VALUE"""),"East Coast")</f>
        <v>East Coast</v>
      </c>
      <c r="F957" s="6" t="str">
        <f ca="1">IFERROR(__xludf.DUMMYFUNCTION("""COMPUTED_VALUE"""),"Man")</f>
        <v>Man</v>
      </c>
      <c r="G957" s="6" t="str">
        <f ca="1">IFERROR(__xludf.DUMMYFUNCTION("""COMPUTED_VALUE"""),"Man")</f>
        <v>Man</v>
      </c>
      <c r="H957" s="6" t="str">
        <f ca="1">IFERROR(__xludf.DUMMYFUNCTION("""COMPUTED_VALUE"""),"Man")</f>
        <v>Man</v>
      </c>
      <c r="I957" s="6" t="str">
        <f ca="1">IFERROR(__xludf.DUMMYFUNCTION("""COMPUTED_VALUE"""),"Man")</f>
        <v>Man</v>
      </c>
      <c r="J957" s="6"/>
      <c r="K957" s="6"/>
      <c r="L957" s="6" t="str">
        <f ca="1">IFERROR(__xludf.DUMMYFUNCTION("""COMPUTED_VALUE"""),"No")</f>
        <v>No</v>
      </c>
      <c r="M957" s="6"/>
      <c r="N957" s="6"/>
      <c r="O957" s="6" t="str">
        <f ca="1">IFERROR(__xludf.DUMMYFUNCTION("""COMPUTED_VALUE"""),"Email")</f>
        <v>Email</v>
      </c>
      <c r="P957" s="6"/>
      <c r="Q957" s="6" t="str">
        <f ca="1">IFERROR(__xludf.DUMMYFUNCTION("""COMPUTED_VALUE"""),"No")</f>
        <v>No</v>
      </c>
      <c r="R957" s="6">
        <f ca="1">IFERROR(__xludf.DUMMYFUNCTION("""COMPUTED_VALUE"""),4)</f>
        <v>4</v>
      </c>
      <c r="S957" s="6" t="str">
        <f ca="1">IFERROR(__xludf.DUMMYFUNCTION("""COMPUTED_VALUE"""),"Seed")</f>
        <v>Seed</v>
      </c>
      <c r="T957" s="6" t="str">
        <f ca="1">IFERROR(__xludf.DUMMYFUNCTION("""COMPUTED_VALUE"""),"Seed")</f>
        <v>Seed</v>
      </c>
      <c r="U957" s="6" t="str">
        <f ca="1">IFERROR(__xludf.DUMMYFUNCTION("""COMPUTED_VALUE"""),"Seed")</f>
        <v>Seed</v>
      </c>
      <c r="V957" s="6"/>
      <c r="W957" s="6" t="str">
        <f ca="1">IFERROR(__xludf.DUMMYFUNCTION("""COMPUTED_VALUE"""),"Invite Next Year")</f>
        <v>Invite Next Year</v>
      </c>
    </row>
    <row r="958" spans="1:23">
      <c r="A958" s="6" t="str">
        <f ca="1">IFERROR(__xludf.DUMMYFUNCTION("""COMPUTED_VALUE"""),"Woman")</f>
        <v>Woman</v>
      </c>
      <c r="B958" s="6" t="str">
        <f ca="1">IFERROR(__xludf.DUMMYFUNCTION("""COMPUTED_VALUE"""),"Igugu Global _2022")</f>
        <v>Igugu Global _2022</v>
      </c>
      <c r="C958" s="6" t="str">
        <f ca="1">IFERROR(__xludf.DUMMYFUNCTION("""COMPUTED_VALUE"""),"Digital Tech")</f>
        <v>Digital Tech</v>
      </c>
      <c r="D958" s="6" t="str">
        <f ca="1">IFERROR(__xludf.DUMMYFUNCTION("""COMPUTED_VALUE"""),"34a Windsor Road, London, N13 5PR 
United Kingdom")</f>
        <v>34a Windsor Road, London, N13 5PR 
United Kingdom</v>
      </c>
      <c r="E958" s="6" t="str">
        <f ca="1">IFERROR(__xludf.DUMMYFUNCTION("""COMPUTED_VALUE"""),"International - Europe")</f>
        <v>International - Europe</v>
      </c>
      <c r="F958" s="6" t="str">
        <f ca="1">IFERROR(__xludf.DUMMYFUNCTION("""COMPUTED_VALUE"""),"Woman")</f>
        <v>Woman</v>
      </c>
      <c r="G958" s="6"/>
      <c r="H958" s="6"/>
      <c r="I958" s="6"/>
      <c r="J958" s="6"/>
      <c r="K958" s="6"/>
      <c r="L958" s="6" t="str">
        <f ca="1">IFERROR(__xludf.DUMMYFUNCTION("""COMPUTED_VALUE"""),"Yes")</f>
        <v>Yes</v>
      </c>
      <c r="M958" s="6" t="str">
        <f ca="1">IFERROR(__xludf.DUMMYFUNCTION("""COMPUTED_VALUE"""),"NYU Alumni")</f>
        <v>NYU Alumni</v>
      </c>
      <c r="N958" s="6"/>
      <c r="O958" s="6" t="str">
        <f ca="1">IFERROR(__xludf.DUMMYFUNCTION("""COMPUTED_VALUE"""),"Email")</f>
        <v>Email</v>
      </c>
      <c r="P958" s="6"/>
      <c r="Q958" s="6" t="str">
        <f ca="1">IFERROR(__xludf.DUMMYFUNCTION("""COMPUTED_VALUE"""),"No")</f>
        <v>No</v>
      </c>
      <c r="R958" s="6">
        <f ca="1">IFERROR(__xludf.DUMMYFUNCTION("""COMPUTED_VALUE"""),1)</f>
        <v>1</v>
      </c>
      <c r="S958" s="6" t="str">
        <f ca="1">IFERROR(__xludf.DUMMYFUNCTION("""COMPUTED_VALUE"""),"Pre-seed")</f>
        <v>Pre-seed</v>
      </c>
      <c r="T958" s="6" t="str">
        <f ca="1">IFERROR(__xludf.DUMMYFUNCTION("""COMPUTED_VALUE"""),"Pre-seed")</f>
        <v>Pre-seed</v>
      </c>
      <c r="U958" s="6" t="str">
        <f ca="1">IFERROR(__xludf.DUMMYFUNCTION("""COMPUTED_VALUE"""),"Pre-seed")</f>
        <v>Pre-seed</v>
      </c>
      <c r="V958" s="6"/>
      <c r="W958" s="6" t="str">
        <f ca="1">IFERROR(__xludf.DUMMYFUNCTION("""COMPUTED_VALUE"""),"Invite Next Year")</f>
        <v>Invite Next Year</v>
      </c>
    </row>
    <row r="959" spans="1:23">
      <c r="A959" s="6" t="str">
        <f ca="1">IFERROR(__xludf.DUMMYFUNCTION("""COMPUTED_VALUE"""),"Man, Man")</f>
        <v>Man, Man</v>
      </c>
      <c r="B959" s="6" t="str">
        <f ca="1">IFERROR(__xludf.DUMMYFUNCTION("""COMPUTED_VALUE"""),"Forward Protocol _2022")</f>
        <v>Forward Protocol _2022</v>
      </c>
      <c r="C959" s="6" t="str">
        <f ca="1">IFERROR(__xludf.DUMMYFUNCTION("""COMPUTED_VALUE"""),"Digital Tech")</f>
        <v>Digital Tech</v>
      </c>
      <c r="D959" s="6" t="str">
        <f ca="1">IFERROR(__xludf.DUMMYFUNCTION("""COMPUTED_VALUE"""),"Panama, Panama 
Panama")</f>
        <v>Panama, Panama 
Panama</v>
      </c>
      <c r="E959" s="6" t="str">
        <f ca="1">IFERROR(__xludf.DUMMYFUNCTION("""COMPUTED_VALUE"""),"International - Americas")</f>
        <v>International - Americas</v>
      </c>
      <c r="F959" s="6" t="str">
        <f ca="1">IFERROR(__xludf.DUMMYFUNCTION("""COMPUTED_VALUE"""),"Man")</f>
        <v>Man</v>
      </c>
      <c r="G959" s="6" t="str">
        <f ca="1">IFERROR(__xludf.DUMMYFUNCTION("""COMPUTED_VALUE"""),"Man")</f>
        <v>Man</v>
      </c>
      <c r="H959" s="6"/>
      <c r="I959" s="6"/>
      <c r="J959" s="6"/>
      <c r="K959" s="6"/>
      <c r="L959" s="6" t="str">
        <f ca="1">IFERROR(__xludf.DUMMYFUNCTION("""COMPUTED_VALUE"""),"No")</f>
        <v>No</v>
      </c>
      <c r="M959" s="6"/>
      <c r="N959" s="6"/>
      <c r="O959" s="6" t="str">
        <f ca="1">IFERROR(__xludf.DUMMYFUNCTION("""COMPUTED_VALUE"""),"Search Engine")</f>
        <v>Search Engine</v>
      </c>
      <c r="P959" s="6"/>
      <c r="Q959" s="6" t="str">
        <f ca="1">IFERROR(__xludf.DUMMYFUNCTION("""COMPUTED_VALUE"""),"No")</f>
        <v>No</v>
      </c>
      <c r="R959" s="6">
        <f ca="1">IFERROR(__xludf.DUMMYFUNCTION("""COMPUTED_VALUE"""),2)</f>
        <v>2</v>
      </c>
      <c r="S959" s="6" t="str">
        <f ca="1">IFERROR(__xludf.DUMMYFUNCTION("""COMPUTED_VALUE"""),"Pre-seed")</f>
        <v>Pre-seed</v>
      </c>
      <c r="T959" s="6" t="str">
        <f ca="1">IFERROR(__xludf.DUMMYFUNCTION("""COMPUTED_VALUE"""),"Pre-seed")</f>
        <v>Pre-seed</v>
      </c>
      <c r="U959" s="6" t="str">
        <f ca="1">IFERROR(__xludf.DUMMYFUNCTION("""COMPUTED_VALUE"""),"Pre-seed")</f>
        <v>Pre-seed</v>
      </c>
      <c r="V959" s="6"/>
      <c r="W959" s="6" t="str">
        <f ca="1">IFERROR(__xludf.DUMMYFUNCTION("""COMPUTED_VALUE"""),"Invite")</f>
        <v>Invite</v>
      </c>
    </row>
    <row r="960" spans="1:23">
      <c r="A960" s="6" t="str">
        <f ca="1">IFERROR(__xludf.DUMMYFUNCTION("""COMPUTED_VALUE"""),"Man, Man")</f>
        <v>Man, Man</v>
      </c>
      <c r="B960" s="6" t="str">
        <f ca="1">IFERROR(__xludf.DUMMYFUNCTION("""COMPUTED_VALUE"""),"OnEx Medical _2022")</f>
        <v>OnEx Medical _2022</v>
      </c>
      <c r="C960" s="6" t="str">
        <f ca="1">IFERROR(__xludf.DUMMYFUNCTION("""COMPUTED_VALUE"""),"Digital Tech")</f>
        <v>Digital Tech</v>
      </c>
      <c r="D960" s="6" t="str">
        <f ca="1">IFERROR(__xludf.DUMMYFUNCTION("""COMPUTED_VALUE"""),"Abu Dhabi, Abu Dhabi 
United Arab Emirates")</f>
        <v>Abu Dhabi, Abu Dhabi 
United Arab Emirates</v>
      </c>
      <c r="E960" s="6" t="str">
        <f ca="1">IFERROR(__xludf.DUMMYFUNCTION("""COMPUTED_VALUE"""),"International - Middle East")</f>
        <v>International - Middle East</v>
      </c>
      <c r="F960" s="6" t="str">
        <f ca="1">IFERROR(__xludf.DUMMYFUNCTION("""COMPUTED_VALUE"""),"Man")</f>
        <v>Man</v>
      </c>
      <c r="G960" s="6" t="str">
        <f ca="1">IFERROR(__xludf.DUMMYFUNCTION("""COMPUTED_VALUE"""),"Man")</f>
        <v>Man</v>
      </c>
      <c r="H960" s="6"/>
      <c r="I960" s="6"/>
      <c r="J960" s="6"/>
      <c r="K960" s="6"/>
      <c r="L960" s="6" t="str">
        <f ca="1">IFERROR(__xludf.DUMMYFUNCTION("""COMPUTED_VALUE"""),"No")</f>
        <v>No</v>
      </c>
      <c r="M960" s="6"/>
      <c r="N960" s="6"/>
      <c r="O960" s="6" t="str">
        <f ca="1">IFERROR(__xludf.DUMMYFUNCTION("""COMPUTED_VALUE"""),"Email")</f>
        <v>Email</v>
      </c>
      <c r="P960" s="6"/>
      <c r="Q960" s="6" t="str">
        <f ca="1">IFERROR(__xludf.DUMMYFUNCTION("""COMPUTED_VALUE"""),"No")</f>
        <v>No</v>
      </c>
      <c r="R960" s="6">
        <f ca="1">IFERROR(__xludf.DUMMYFUNCTION("""COMPUTED_VALUE"""),2)</f>
        <v>2</v>
      </c>
      <c r="S960" s="6" t="str">
        <f ca="1">IFERROR(__xludf.DUMMYFUNCTION("""COMPUTED_VALUE"""),"Seed")</f>
        <v>Seed</v>
      </c>
      <c r="T960" s="6" t="str">
        <f ca="1">IFERROR(__xludf.DUMMYFUNCTION("""COMPUTED_VALUE"""),"Seed")</f>
        <v>Seed</v>
      </c>
      <c r="U960" s="6" t="str">
        <f ca="1">IFERROR(__xludf.DUMMYFUNCTION("""COMPUTED_VALUE"""),"Seed")</f>
        <v>Seed</v>
      </c>
      <c r="V960" s="6"/>
      <c r="W960" s="6" t="str">
        <f ca="1">IFERROR(__xludf.DUMMYFUNCTION("""COMPUTED_VALUE"""),"Invite Next Year")</f>
        <v>Invite Next Year</v>
      </c>
    </row>
    <row r="961" spans="1:23">
      <c r="A961" s="6" t="str">
        <f ca="1">IFERROR(__xludf.DUMMYFUNCTION("""COMPUTED_VALUE"""),"Woman")</f>
        <v>Woman</v>
      </c>
      <c r="B961" s="6" t="str">
        <f ca="1">IFERROR(__xludf.DUMMYFUNCTION("""COMPUTED_VALUE"""),"Khepra _2022")</f>
        <v>Khepra _2022</v>
      </c>
      <c r="C961" s="6" t="str">
        <f ca="1">IFERROR(__xludf.DUMMYFUNCTION("""COMPUTED_VALUE"""),"Deep Tech")</f>
        <v>Deep Tech</v>
      </c>
      <c r="D961" s="6" t="str">
        <f ca="1">IFERROR(__xludf.DUMMYFUNCTION("""COMPUTED_VALUE"""),"Birmingham, AL 
United States")</f>
        <v>Birmingham, AL 
United States</v>
      </c>
      <c r="E961" s="6" t="str">
        <f ca="1">IFERROR(__xludf.DUMMYFUNCTION("""COMPUTED_VALUE"""),"South")</f>
        <v>South</v>
      </c>
      <c r="F961" s="6" t="str">
        <f ca="1">IFERROR(__xludf.DUMMYFUNCTION("""COMPUTED_VALUE"""),"Woman")</f>
        <v>Woman</v>
      </c>
      <c r="G961" s="6"/>
      <c r="H961" s="6"/>
      <c r="I961" s="6"/>
      <c r="J961" s="6"/>
      <c r="K961" s="6"/>
      <c r="L961" s="6" t="str">
        <f ca="1">IFERROR(__xludf.DUMMYFUNCTION("""COMPUTED_VALUE"""),"No")</f>
        <v>No</v>
      </c>
      <c r="M961" s="6"/>
      <c r="N961" s="6"/>
      <c r="O961" s="6" t="str">
        <f ca="1">IFERROR(__xludf.DUMMYFUNCTION("""COMPUTED_VALUE"""),"Referral")</f>
        <v>Referral</v>
      </c>
      <c r="P961" s="6"/>
      <c r="Q961" s="6" t="str">
        <f ca="1">IFERROR(__xludf.DUMMYFUNCTION("""COMPUTED_VALUE"""),"Yes")</f>
        <v>Yes</v>
      </c>
      <c r="R961" s="6">
        <f ca="1">IFERROR(__xludf.DUMMYFUNCTION("""COMPUTED_VALUE"""),1)</f>
        <v>1</v>
      </c>
      <c r="S961" s="6" t="str">
        <f ca="1">IFERROR(__xludf.DUMMYFUNCTION("""COMPUTED_VALUE"""),"Pre-seed")</f>
        <v>Pre-seed</v>
      </c>
      <c r="T961" s="6" t="str">
        <f ca="1">IFERROR(__xludf.DUMMYFUNCTION("""COMPUTED_VALUE"""),"Pre-seed")</f>
        <v>Pre-seed</v>
      </c>
      <c r="U961" s="6" t="str">
        <f ca="1">IFERROR(__xludf.DUMMYFUNCTION("""COMPUTED_VALUE"""),"Pre-seed")</f>
        <v>Pre-seed</v>
      </c>
      <c r="V961" s="6"/>
      <c r="W961" s="6" t="str">
        <f ca="1">IFERROR(__xludf.DUMMYFUNCTION("""COMPUTED_VALUE"""),"Invite Next Year")</f>
        <v>Invite Next Year</v>
      </c>
    </row>
    <row r="962" spans="1:23">
      <c r="A962" s="6" t="str">
        <f ca="1">IFERROR(__xludf.DUMMYFUNCTION("""COMPUTED_VALUE"""),"Woman, Man, Man")</f>
        <v>Woman, Man, Man</v>
      </c>
      <c r="B962" s="6" t="str">
        <f ca="1">IFERROR(__xludf.DUMMYFUNCTION("""COMPUTED_VALUE"""),"Holoxica Limited _2022")</f>
        <v>Holoxica Limited _2022</v>
      </c>
      <c r="C962" s="6" t="str">
        <f ca="1">IFERROR(__xludf.DUMMYFUNCTION("""COMPUTED_VALUE"""),"Digital Tech")</f>
        <v>Digital Tech</v>
      </c>
      <c r="D962" s="6" t="str">
        <f ca="1">IFERROR(__xludf.DUMMYFUNCTION("""COMPUTED_VALUE"""),"10 Max Born Crescent, Murchison House, Edinburgh EH9 3BF, Midlothian 
United Kingdom")</f>
        <v>10 Max Born Crescent, Murchison House, Edinburgh EH9 3BF, Midlothian 
United Kingdom</v>
      </c>
      <c r="E962" s="6" t="str">
        <f ca="1">IFERROR(__xludf.DUMMYFUNCTION("""COMPUTED_VALUE"""),"International - Europe")</f>
        <v>International - Europe</v>
      </c>
      <c r="F962" s="6" t="str">
        <f ca="1">IFERROR(__xludf.DUMMYFUNCTION("""COMPUTED_VALUE"""),"Woman")</f>
        <v>Woman</v>
      </c>
      <c r="G962" s="6" t="str">
        <f ca="1">IFERROR(__xludf.DUMMYFUNCTION("""COMPUTED_VALUE"""),"Man")</f>
        <v>Man</v>
      </c>
      <c r="H962" s="6" t="str">
        <f ca="1">IFERROR(__xludf.DUMMYFUNCTION("""COMPUTED_VALUE"""),"Man")</f>
        <v>Man</v>
      </c>
      <c r="I962" s="6"/>
      <c r="J962" s="6"/>
      <c r="K962" s="6"/>
      <c r="L962" s="6" t="str">
        <f ca="1">IFERROR(__xludf.DUMMYFUNCTION("""COMPUTED_VALUE"""),"No")</f>
        <v>No</v>
      </c>
      <c r="M962" s="6"/>
      <c r="N962" s="6"/>
      <c r="O962" s="6" t="str">
        <f ca="1">IFERROR(__xludf.DUMMYFUNCTION("""COMPUTED_VALUE"""),"Referral")</f>
        <v>Referral</v>
      </c>
      <c r="P962" s="6"/>
      <c r="Q962" s="6" t="str">
        <f ca="1">IFERROR(__xludf.DUMMYFUNCTION("""COMPUTED_VALUE"""),"No")</f>
        <v>No</v>
      </c>
      <c r="R962" s="6">
        <f ca="1">IFERROR(__xludf.DUMMYFUNCTION("""COMPUTED_VALUE"""),3)</f>
        <v>3</v>
      </c>
      <c r="S962" s="6" t="str">
        <f ca="1">IFERROR(__xludf.DUMMYFUNCTION("""COMPUTED_VALUE"""),"Pre-seed
Debt financing
Grants")</f>
        <v>Pre-seed
Debt financing
Grants</v>
      </c>
      <c r="T962" s="6" t="str">
        <f ca="1">IFERROR(__xludf.DUMMYFUNCTION("""COMPUTED_VALUE"""),"Pre-seed, Debt financing, Grants")</f>
        <v>Pre-seed, Debt financing, Grants</v>
      </c>
      <c r="U962" s="6" t="str">
        <f ca="1">IFERROR(__xludf.DUMMYFUNCTION("""COMPUTED_VALUE"""),"Pre-seed, Debt financing, Grants")</f>
        <v>Pre-seed, Debt financing, Grants</v>
      </c>
      <c r="V962" s="6"/>
      <c r="W962" s="6" t="str">
        <f ca="1">IFERROR(__xludf.DUMMYFUNCTION("""COMPUTED_VALUE"""),"Invite Next Year")</f>
        <v>Invite Next Year</v>
      </c>
    </row>
    <row r="963" spans="1:23">
      <c r="A963" s="6" t="str">
        <f ca="1">IFERROR(__xludf.DUMMYFUNCTION("""COMPUTED_VALUE"""),"Man, Man, Man, Man")</f>
        <v>Man, Man, Man, Man</v>
      </c>
      <c r="B963" s="6" t="str">
        <f ca="1">IFERROR(__xludf.DUMMYFUNCTION("""COMPUTED_VALUE"""),"MotionsCloud _2022")</f>
        <v>MotionsCloud _2022</v>
      </c>
      <c r="C963" s="6" t="str">
        <f ca="1">IFERROR(__xludf.DUMMYFUNCTION("""COMPUTED_VALUE"""),"Digital Tech")</f>
        <v>Digital Tech</v>
      </c>
      <c r="D963" s="6" t="str">
        <f ca="1">IFERROR(__xludf.DUMMYFUNCTION("""COMPUTED_VALUE"""),"Atelierstr. 29 · 81671, Munich, Bavaria 
Germany")</f>
        <v>Atelierstr. 29 · 81671, Munich, Bavaria 
Germany</v>
      </c>
      <c r="E963" s="6" t="str">
        <f ca="1">IFERROR(__xludf.DUMMYFUNCTION("""COMPUTED_VALUE"""),"International - Europe")</f>
        <v>International - Europe</v>
      </c>
      <c r="F963" s="6" t="str">
        <f ca="1">IFERROR(__xludf.DUMMYFUNCTION("""COMPUTED_VALUE"""),"Man")</f>
        <v>Man</v>
      </c>
      <c r="G963" s="6" t="str">
        <f ca="1">IFERROR(__xludf.DUMMYFUNCTION("""COMPUTED_VALUE"""),"Man")</f>
        <v>Man</v>
      </c>
      <c r="H963" s="6" t="str">
        <f ca="1">IFERROR(__xludf.DUMMYFUNCTION("""COMPUTED_VALUE"""),"Man")</f>
        <v>Man</v>
      </c>
      <c r="I963" s="6" t="str">
        <f ca="1">IFERROR(__xludf.DUMMYFUNCTION("""COMPUTED_VALUE"""),"Man")</f>
        <v>Man</v>
      </c>
      <c r="J963" s="6"/>
      <c r="K963" s="6"/>
      <c r="L963" s="6" t="str">
        <f ca="1">IFERROR(__xludf.DUMMYFUNCTION("""COMPUTED_VALUE"""),"No")</f>
        <v>No</v>
      </c>
      <c r="M963" s="6"/>
      <c r="N963" s="6"/>
      <c r="O963" s="6" t="str">
        <f ca="1">IFERROR(__xludf.DUMMYFUNCTION("""COMPUTED_VALUE"""),"NYU Newsletter")</f>
        <v>NYU Newsletter</v>
      </c>
      <c r="P963" s="6"/>
      <c r="Q963" s="6" t="str">
        <f ca="1">IFERROR(__xludf.DUMMYFUNCTION("""COMPUTED_VALUE"""),"No")</f>
        <v>No</v>
      </c>
      <c r="R963" s="6">
        <f ca="1">IFERROR(__xludf.DUMMYFUNCTION("""COMPUTED_VALUE"""),4)</f>
        <v>4</v>
      </c>
      <c r="S963" s="6" t="str">
        <f ca="1">IFERROR(__xludf.DUMMYFUNCTION("""COMPUTED_VALUE"""),"Series A")</f>
        <v>Series A</v>
      </c>
      <c r="T963" s="6" t="str">
        <f ca="1">IFERROR(__xludf.DUMMYFUNCTION("""COMPUTED_VALUE"""),"Series A")</f>
        <v>Series A</v>
      </c>
      <c r="U963" s="6" t="str">
        <f ca="1">IFERROR(__xludf.DUMMYFUNCTION("""COMPUTED_VALUE"""),"Series A")</f>
        <v>Series A</v>
      </c>
      <c r="V963" s="6"/>
      <c r="W963" s="6" t="str">
        <f ca="1">IFERROR(__xludf.DUMMYFUNCTION("""COMPUTED_VALUE"""),"Invite Next Year")</f>
        <v>Invite Next Year</v>
      </c>
    </row>
    <row r="964" spans="1:23">
      <c r="A964" s="6" t="str">
        <f ca="1">IFERROR(__xludf.DUMMYFUNCTION("""COMPUTED_VALUE"""),"Man, Man")</f>
        <v>Man, Man</v>
      </c>
      <c r="B964" s="6" t="str">
        <f ca="1">IFERROR(__xludf.DUMMYFUNCTION("""COMPUTED_VALUE"""),"AsisVisa Immigration Corp  _2022")</f>
        <v>AsisVisa Immigration Corp  _2022</v>
      </c>
      <c r="C964" s="6" t="str">
        <f ca="1">IFERROR(__xludf.DUMMYFUNCTION("""COMPUTED_VALUE"""),"Digital Tech")</f>
        <v>Digital Tech</v>
      </c>
      <c r="D964" s="6" t="str">
        <f ca="1">IFERROR(__xludf.DUMMYFUNCTION("""COMPUTED_VALUE"""),"301 Congress Avenue Suite 2200, Austin, TX, 78701. , Texas  
United States")</f>
        <v>301 Congress Avenue Suite 2200, Austin, TX, 78701. , Texas  
United States</v>
      </c>
      <c r="E964" s="6" t="str">
        <f ca="1">IFERROR(__xludf.DUMMYFUNCTION("""COMPUTED_VALUE"""),"South")</f>
        <v>South</v>
      </c>
      <c r="F964" s="6" t="str">
        <f ca="1">IFERROR(__xludf.DUMMYFUNCTION("""COMPUTED_VALUE"""),"Man")</f>
        <v>Man</v>
      </c>
      <c r="G964" s="6" t="str">
        <f ca="1">IFERROR(__xludf.DUMMYFUNCTION("""COMPUTED_VALUE"""),"Man")</f>
        <v>Man</v>
      </c>
      <c r="H964" s="6"/>
      <c r="I964" s="6"/>
      <c r="J964" s="6"/>
      <c r="K964" s="6"/>
      <c r="L964" s="6" t="str">
        <f ca="1">IFERROR(__xludf.DUMMYFUNCTION("""COMPUTED_VALUE"""),"No")</f>
        <v>No</v>
      </c>
      <c r="M964" s="6"/>
      <c r="N964" s="6"/>
      <c r="O964" s="6" t="str">
        <f ca="1">IFERROR(__xludf.DUMMYFUNCTION("""COMPUTED_VALUE"""),"Info Session")</f>
        <v>Info Session</v>
      </c>
      <c r="P964" s="6"/>
      <c r="Q964" s="6" t="str">
        <f ca="1">IFERROR(__xludf.DUMMYFUNCTION("""COMPUTED_VALUE"""),"No")</f>
        <v>No</v>
      </c>
      <c r="R964" s="6">
        <f ca="1">IFERROR(__xludf.DUMMYFUNCTION("""COMPUTED_VALUE"""),2)</f>
        <v>2</v>
      </c>
      <c r="S964" s="6" t="str">
        <f ca="1">IFERROR(__xludf.DUMMYFUNCTION("""COMPUTED_VALUE"""),"Pre-seed")</f>
        <v>Pre-seed</v>
      </c>
      <c r="T964" s="6" t="str">
        <f ca="1">IFERROR(__xludf.DUMMYFUNCTION("""COMPUTED_VALUE"""),"Pre-seed")</f>
        <v>Pre-seed</v>
      </c>
      <c r="U964" s="6" t="str">
        <f ca="1">IFERROR(__xludf.DUMMYFUNCTION("""COMPUTED_VALUE"""),"Pre-seed")</f>
        <v>Pre-seed</v>
      </c>
      <c r="V964" s="6"/>
      <c r="W964" s="6" t="str">
        <f ca="1">IFERROR(__xludf.DUMMYFUNCTION("""COMPUTED_VALUE"""),"Invite Next Year")</f>
        <v>Invite Next Year</v>
      </c>
    </row>
    <row r="965" spans="1:23">
      <c r="A965" s="6" t="str">
        <f ca="1">IFERROR(__xludf.DUMMYFUNCTION("""COMPUTED_VALUE"""),"Woman, Woman")</f>
        <v>Woman, Woman</v>
      </c>
      <c r="B965" s="6" t="str">
        <f ca="1">IFERROR(__xludf.DUMMYFUNCTION("""COMPUTED_VALUE"""),"Greenfields Digital Susu and Bank _2022")</f>
        <v>Greenfields Digital Susu and Bank _2022</v>
      </c>
      <c r="C965" s="6" t="str">
        <f ca="1">IFERROR(__xludf.DUMMYFUNCTION("""COMPUTED_VALUE"""),"Digital Tech")</f>
        <v>Digital Tech</v>
      </c>
      <c r="D965" s="6" t="str">
        <f ca="1">IFERROR(__xludf.DUMMYFUNCTION("""COMPUTED_VALUE"""),"New York, New York 
United States")</f>
        <v>New York, New York 
United States</v>
      </c>
      <c r="E965" s="6" t="str">
        <f ca="1">IFERROR(__xludf.DUMMYFUNCTION("""COMPUTED_VALUE"""),"New York")</f>
        <v>New York</v>
      </c>
      <c r="F965" s="6" t="str">
        <f ca="1">IFERROR(__xludf.DUMMYFUNCTION("""COMPUTED_VALUE"""),"Woman")</f>
        <v>Woman</v>
      </c>
      <c r="G965" s="6" t="str">
        <f ca="1">IFERROR(__xludf.DUMMYFUNCTION("""COMPUTED_VALUE"""),"Woman")</f>
        <v>Woman</v>
      </c>
      <c r="H965" s="6"/>
      <c r="I965" s="6"/>
      <c r="J965" s="6"/>
      <c r="K965" s="6"/>
      <c r="L965" s="6" t="str">
        <f ca="1">IFERROR(__xludf.DUMMYFUNCTION("""COMPUTED_VALUE"""),"No")</f>
        <v>No</v>
      </c>
      <c r="M965" s="6"/>
      <c r="N965" s="6"/>
      <c r="O965" s="6" t="str">
        <f ca="1">IFERROR(__xludf.DUMMYFUNCTION("""COMPUTED_VALUE"""),"Info Session")</f>
        <v>Info Session</v>
      </c>
      <c r="P965" s="6"/>
      <c r="Q965" s="6" t="str">
        <f ca="1">IFERROR(__xludf.DUMMYFUNCTION("""COMPUTED_VALUE"""),"No")</f>
        <v>No</v>
      </c>
      <c r="R965" s="6">
        <f ca="1">IFERROR(__xludf.DUMMYFUNCTION("""COMPUTED_VALUE"""),2)</f>
        <v>2</v>
      </c>
      <c r="S965" s="6" t="str">
        <f ca="1">IFERROR(__xludf.DUMMYFUNCTION("""COMPUTED_VALUE"""),"Other: none")</f>
        <v>Other: none</v>
      </c>
      <c r="T965" s="6" t="str">
        <f ca="1">IFERROR(__xludf.DUMMYFUNCTION("""COMPUTED_VALUE"""),"Other: none")</f>
        <v>Other: none</v>
      </c>
      <c r="U965" s="6" t="str">
        <f ca="1">IFERROR(__xludf.DUMMYFUNCTION("""COMPUTED_VALUE"""),"none")</f>
        <v>none</v>
      </c>
      <c r="V965" s="6"/>
      <c r="W965" s="6" t="str">
        <f ca="1">IFERROR(__xludf.DUMMYFUNCTION("""COMPUTED_VALUE"""),"Invite Next Year")</f>
        <v>Invite Next Year</v>
      </c>
    </row>
    <row r="966" spans="1:23">
      <c r="A966" s="6" t="str">
        <f ca="1">IFERROR(__xludf.DUMMYFUNCTION("""COMPUTED_VALUE"""),"Man")</f>
        <v>Man</v>
      </c>
      <c r="B966" s="6" t="str">
        <f ca="1">IFERROR(__xludf.DUMMYFUNCTION("""COMPUTED_VALUE"""),"VitriVac.com _2022")</f>
        <v>VitriVac.com _2022</v>
      </c>
      <c r="C966" s="6" t="str">
        <f ca="1">IFERROR(__xludf.DUMMYFUNCTION("""COMPUTED_VALUE"""),"Life Sciences")</f>
        <v>Life Sciences</v>
      </c>
      <c r="D966" s="6" t="str">
        <f ca="1">IFERROR(__xludf.DUMMYFUNCTION("""COMPUTED_VALUE"""),"4050 Sorrento Valley Blvd. Suite L, San Diego, California 
United States")</f>
        <v>4050 Sorrento Valley Blvd. Suite L, San Diego, California 
United States</v>
      </c>
      <c r="E966" s="6" t="str">
        <f ca="1">IFERROR(__xludf.DUMMYFUNCTION("""COMPUTED_VALUE"""),"West Coast")</f>
        <v>West Coast</v>
      </c>
      <c r="F966" s="6" t="str">
        <f ca="1">IFERROR(__xludf.DUMMYFUNCTION("""COMPUTED_VALUE"""),"Man")</f>
        <v>Man</v>
      </c>
      <c r="G966" s="6"/>
      <c r="H966" s="6"/>
      <c r="I966" s="6"/>
      <c r="J966" s="6"/>
      <c r="K966" s="6"/>
      <c r="L966" s="6" t="str">
        <f ca="1">IFERROR(__xludf.DUMMYFUNCTION("""COMPUTED_VALUE"""),"--Please select--")</f>
        <v>--Please select--</v>
      </c>
      <c r="M966" s="6"/>
      <c r="N966" s="6"/>
      <c r="O966" s="6" t="str">
        <f ca="1">IFERROR(__xludf.DUMMYFUNCTION("""COMPUTED_VALUE"""),"Email")</f>
        <v>Email</v>
      </c>
      <c r="P966" s="6"/>
      <c r="Q966" s="6" t="str">
        <f ca="1">IFERROR(__xludf.DUMMYFUNCTION("""COMPUTED_VALUE"""),"No")</f>
        <v>No</v>
      </c>
      <c r="R966" s="6">
        <f ca="1">IFERROR(__xludf.DUMMYFUNCTION("""COMPUTED_VALUE"""),1)</f>
        <v>1</v>
      </c>
      <c r="S966" s="6" t="str">
        <f ca="1">IFERROR(__xludf.DUMMYFUNCTION("""COMPUTED_VALUE"""),"Seed")</f>
        <v>Seed</v>
      </c>
      <c r="T966" s="6" t="str">
        <f ca="1">IFERROR(__xludf.DUMMYFUNCTION("""COMPUTED_VALUE"""),"Seed")</f>
        <v>Seed</v>
      </c>
      <c r="U966" s="6" t="str">
        <f ca="1">IFERROR(__xludf.DUMMYFUNCTION("""COMPUTED_VALUE"""),"Seed")</f>
        <v>Seed</v>
      </c>
      <c r="V966" s="6"/>
      <c r="W966" s="6" t="str">
        <f ca="1">IFERROR(__xludf.DUMMYFUNCTION("""COMPUTED_VALUE"""),"Invite")</f>
        <v>Invite</v>
      </c>
    </row>
    <row r="967" spans="1:23">
      <c r="A967" s="6" t="str">
        <f ca="1">IFERROR(__xludf.DUMMYFUNCTION("""COMPUTED_VALUE"""),"Man, Man")</f>
        <v>Man, Man</v>
      </c>
      <c r="B967" s="6" t="str">
        <f ca="1">IFERROR(__xludf.DUMMYFUNCTION("""COMPUTED_VALUE"""),"MechanicMe _2022")</f>
        <v>MechanicMe _2022</v>
      </c>
      <c r="C967" s="6" t="str">
        <f ca="1">IFERROR(__xludf.DUMMYFUNCTION("""COMPUTED_VALUE"""),"Digital Tech")</f>
        <v>Digital Tech</v>
      </c>
      <c r="D967" s="6" t="str">
        <f ca="1">IFERROR(__xludf.DUMMYFUNCTION("""COMPUTED_VALUE"""),"Seattle, Washington  
United States")</f>
        <v>Seattle, Washington  
United States</v>
      </c>
      <c r="E967" s="6" t="str">
        <f ca="1">IFERROR(__xludf.DUMMYFUNCTION("""COMPUTED_VALUE"""),"West Coast")</f>
        <v>West Coast</v>
      </c>
      <c r="F967" s="6" t="str">
        <f ca="1">IFERROR(__xludf.DUMMYFUNCTION("""COMPUTED_VALUE"""),"Man")</f>
        <v>Man</v>
      </c>
      <c r="G967" s="6" t="str">
        <f ca="1">IFERROR(__xludf.DUMMYFUNCTION("""COMPUTED_VALUE"""),"Man")</f>
        <v>Man</v>
      </c>
      <c r="H967" s="6"/>
      <c r="I967" s="6"/>
      <c r="J967" s="6"/>
      <c r="K967" s="6"/>
      <c r="L967" s="6" t="str">
        <f ca="1">IFERROR(__xludf.DUMMYFUNCTION("""COMPUTED_VALUE"""),"No")</f>
        <v>No</v>
      </c>
      <c r="M967" s="6"/>
      <c r="N967" s="6"/>
      <c r="O967" s="6" t="str">
        <f ca="1">IFERROR(__xludf.DUMMYFUNCTION("""COMPUTED_VALUE"""),"Referral")</f>
        <v>Referral</v>
      </c>
      <c r="P967" s="6"/>
      <c r="Q967" s="6" t="str">
        <f ca="1">IFERROR(__xludf.DUMMYFUNCTION("""COMPUTED_VALUE"""),"No")</f>
        <v>No</v>
      </c>
      <c r="R967" s="6">
        <f ca="1">IFERROR(__xludf.DUMMYFUNCTION("""COMPUTED_VALUE"""),2)</f>
        <v>2</v>
      </c>
      <c r="S967" s="6" t="str">
        <f ca="1">IFERROR(__xludf.DUMMYFUNCTION("""COMPUTED_VALUE"""),"Grants")</f>
        <v>Grants</v>
      </c>
      <c r="T967" s="6" t="str">
        <f ca="1">IFERROR(__xludf.DUMMYFUNCTION("""COMPUTED_VALUE"""),"Grants")</f>
        <v>Grants</v>
      </c>
      <c r="U967" s="6" t="str">
        <f ca="1">IFERROR(__xludf.DUMMYFUNCTION("""COMPUTED_VALUE"""),"Grants")</f>
        <v>Grants</v>
      </c>
      <c r="V967" s="6"/>
      <c r="W967" s="6" t="str">
        <f ca="1">IFERROR(__xludf.DUMMYFUNCTION("""COMPUTED_VALUE"""),"Invite Next Year")</f>
        <v>Invite Next Year</v>
      </c>
    </row>
    <row r="968" spans="1:23">
      <c r="A968" s="6" t="str">
        <f ca="1">IFERROR(__xludf.DUMMYFUNCTION("""COMPUTED_VALUE"""),"Man, Woman, Man")</f>
        <v>Man, Woman, Man</v>
      </c>
      <c r="B968" s="6" t="str">
        <f ca="1">IFERROR(__xludf.DUMMYFUNCTION("""COMPUTED_VALUE"""),"Drona Pay Private Ltd _2022")</f>
        <v>Drona Pay Private Ltd _2022</v>
      </c>
      <c r="C968" s="6" t="str">
        <f ca="1">IFERROR(__xludf.DUMMYFUNCTION("""COMPUTED_VALUE"""),"Digital Tech")</f>
        <v>Digital Tech</v>
      </c>
      <c r="D968" s="6" t="str">
        <f ca="1">IFERROR(__xludf.DUMMYFUNCTION("""COMPUTED_VALUE"""),"E502, Oberoi Splendor, JVLR, Andheri E, Mumbai 400060 , Maharashtra 
India")</f>
        <v>E502, Oberoi Splendor, JVLR, Andheri E, Mumbai 400060 , Maharashtra 
India</v>
      </c>
      <c r="E968" s="6" t="str">
        <f ca="1">IFERROR(__xludf.DUMMYFUNCTION("""COMPUTED_VALUE"""),"International - Asia")</f>
        <v>International - Asia</v>
      </c>
      <c r="F968" s="6" t="str">
        <f ca="1">IFERROR(__xludf.DUMMYFUNCTION("""COMPUTED_VALUE"""),"Man")</f>
        <v>Man</v>
      </c>
      <c r="G968" s="6" t="str">
        <f ca="1">IFERROR(__xludf.DUMMYFUNCTION("""COMPUTED_VALUE"""),"Woman")</f>
        <v>Woman</v>
      </c>
      <c r="H968" s="6" t="str">
        <f ca="1">IFERROR(__xludf.DUMMYFUNCTION("""COMPUTED_VALUE"""),"Man")</f>
        <v>Man</v>
      </c>
      <c r="I968" s="6"/>
      <c r="J968" s="6"/>
      <c r="K968" s="6"/>
      <c r="L968" s="6" t="str">
        <f ca="1">IFERROR(__xludf.DUMMYFUNCTION("""COMPUTED_VALUE"""),"--Please select--")</f>
        <v>--Please select--</v>
      </c>
      <c r="M968" s="6"/>
      <c r="N968" s="6"/>
      <c r="O968" s="6" t="str">
        <f ca="1">IFERROR(__xludf.DUMMYFUNCTION("""COMPUTED_VALUE"""),"Email")</f>
        <v>Email</v>
      </c>
      <c r="P968" s="6"/>
      <c r="Q968" s="6" t="str">
        <f ca="1">IFERROR(__xludf.DUMMYFUNCTION("""COMPUTED_VALUE"""),"No")</f>
        <v>No</v>
      </c>
      <c r="R968" s="6">
        <f ca="1">IFERROR(__xludf.DUMMYFUNCTION("""COMPUTED_VALUE"""),3)</f>
        <v>3</v>
      </c>
      <c r="S968" s="6" t="str">
        <f ca="1">IFERROR(__xludf.DUMMYFUNCTION("""COMPUTED_VALUE"""),"Seed")</f>
        <v>Seed</v>
      </c>
      <c r="T968" s="6" t="str">
        <f ca="1">IFERROR(__xludf.DUMMYFUNCTION("""COMPUTED_VALUE"""),"Seed")</f>
        <v>Seed</v>
      </c>
      <c r="U968" s="6" t="str">
        <f ca="1">IFERROR(__xludf.DUMMYFUNCTION("""COMPUTED_VALUE"""),"Seed")</f>
        <v>Seed</v>
      </c>
      <c r="V968" s="6"/>
      <c r="W968" s="6" t="str">
        <f ca="1">IFERROR(__xludf.DUMMYFUNCTION("""COMPUTED_VALUE"""),"Revisit")</f>
        <v>Revisit</v>
      </c>
    </row>
    <row r="969" spans="1:23">
      <c r="A969" s="6" t="str">
        <f ca="1">IFERROR(__xludf.DUMMYFUNCTION("""COMPUTED_VALUE"""),"Woman")</f>
        <v>Woman</v>
      </c>
      <c r="B969" s="6" t="str">
        <f ca="1">IFERROR(__xludf.DUMMYFUNCTION("""COMPUTED_VALUE"""),"siRNAgen Therapeutics _2022")</f>
        <v>siRNAgen Therapeutics _2022</v>
      </c>
      <c r="C969" s="6" t="str">
        <f ca="1">IFERROR(__xludf.DUMMYFUNCTION("""COMPUTED_VALUE"""),"Life Sciences")</f>
        <v>Life Sciences</v>
      </c>
      <c r="D969" s="6" t="str">
        <f ca="1">IFERROR(__xludf.DUMMYFUNCTION("""COMPUTED_VALUE"""),"Daejeon, ????? 
Korea, Republic of")</f>
        <v>Daejeon, ????? 
Korea, Republic of</v>
      </c>
      <c r="E969" s="6" t="str">
        <f ca="1">IFERROR(__xludf.DUMMYFUNCTION("""COMPUTED_VALUE"""),"International - Asia")</f>
        <v>International - Asia</v>
      </c>
      <c r="F969" s="6" t="str">
        <f ca="1">IFERROR(__xludf.DUMMYFUNCTION("""COMPUTED_VALUE"""),"Woman")</f>
        <v>Woman</v>
      </c>
      <c r="G969" s="6"/>
      <c r="H969" s="6"/>
      <c r="I969" s="6"/>
      <c r="J969" s="6"/>
      <c r="K969" s="6"/>
      <c r="L969" s="6" t="str">
        <f ca="1">IFERROR(__xludf.DUMMYFUNCTION("""COMPUTED_VALUE"""),"No")</f>
        <v>No</v>
      </c>
      <c r="M969" s="6"/>
      <c r="N969" s="6"/>
      <c r="O969" s="6" t="str">
        <f ca="1">IFERROR(__xludf.DUMMYFUNCTION("""COMPUTED_VALUE"""),"Referral")</f>
        <v>Referral</v>
      </c>
      <c r="P969" s="6"/>
      <c r="Q969" s="6" t="str">
        <f ca="1">IFERROR(__xludf.DUMMYFUNCTION("""COMPUTED_VALUE"""),"No")</f>
        <v>No</v>
      </c>
      <c r="R969" s="6">
        <f ca="1">IFERROR(__xludf.DUMMYFUNCTION("""COMPUTED_VALUE"""),1)</f>
        <v>1</v>
      </c>
      <c r="S969" s="6" t="str">
        <f ca="1">IFERROR(__xludf.DUMMYFUNCTION("""COMPUTED_VALUE"""),"Pre-seed")</f>
        <v>Pre-seed</v>
      </c>
      <c r="T969" s="6" t="str">
        <f ca="1">IFERROR(__xludf.DUMMYFUNCTION("""COMPUTED_VALUE"""),"Pre-seed")</f>
        <v>Pre-seed</v>
      </c>
      <c r="U969" s="6" t="str">
        <f ca="1">IFERROR(__xludf.DUMMYFUNCTION("""COMPUTED_VALUE"""),"Pre-seed")</f>
        <v>Pre-seed</v>
      </c>
      <c r="V969" s="6"/>
      <c r="W969" s="6" t="str">
        <f ca="1">IFERROR(__xludf.DUMMYFUNCTION("""COMPUTED_VALUE"""),"Invite")</f>
        <v>Invite</v>
      </c>
    </row>
    <row r="970" spans="1:23">
      <c r="A970" s="6" t="str">
        <f ca="1">IFERROR(__xludf.DUMMYFUNCTION("""COMPUTED_VALUE"""),"Woman")</f>
        <v>Woman</v>
      </c>
      <c r="B970" s="6" t="str">
        <f ca="1">IFERROR(__xludf.DUMMYFUNCTION("""COMPUTED_VALUE"""),"Alpha 1 Biologics _2022")</f>
        <v>Alpha 1 Biologics _2022</v>
      </c>
      <c r="C970" s="6" t="str">
        <f ca="1">IFERROR(__xludf.DUMMYFUNCTION("""COMPUTED_VALUE"""),"Life Sciences")</f>
        <v>Life Sciences</v>
      </c>
      <c r="D970" s="6" t="str">
        <f ca="1">IFERROR(__xludf.DUMMYFUNCTION("""COMPUTED_VALUE"""),"Stony Brook, NY 
United States")</f>
        <v>Stony Brook, NY 
United States</v>
      </c>
      <c r="E970" s="6" t="str">
        <f ca="1">IFERROR(__xludf.DUMMYFUNCTION("""COMPUTED_VALUE"""),"East Coast")</f>
        <v>East Coast</v>
      </c>
      <c r="F970" s="6" t="str">
        <f ca="1">IFERROR(__xludf.DUMMYFUNCTION("""COMPUTED_VALUE"""),"Woman")</f>
        <v>Woman</v>
      </c>
      <c r="G970" s="6"/>
      <c r="H970" s="6"/>
      <c r="I970" s="6"/>
      <c r="J970" s="6"/>
      <c r="K970" s="6"/>
      <c r="L970" s="6" t="str">
        <f ca="1">IFERROR(__xludf.DUMMYFUNCTION("""COMPUTED_VALUE"""),"No")</f>
        <v>No</v>
      </c>
      <c r="M970" s="6"/>
      <c r="N970" s="6"/>
      <c r="O970" s="6" t="str">
        <f ca="1">IFERROR(__xludf.DUMMYFUNCTION("""COMPUTED_VALUE"""),"Email")</f>
        <v>Email</v>
      </c>
      <c r="P970" s="6"/>
      <c r="Q970" s="6" t="str">
        <f ca="1">IFERROR(__xludf.DUMMYFUNCTION("""COMPUTED_VALUE"""),"No")</f>
        <v>No</v>
      </c>
      <c r="R970" s="6">
        <f ca="1">IFERROR(__xludf.DUMMYFUNCTION("""COMPUTED_VALUE"""),1)</f>
        <v>1</v>
      </c>
      <c r="S970" s="6" t="str">
        <f ca="1">IFERROR(__xludf.DUMMYFUNCTION("""COMPUTED_VALUE"""),"Grants")</f>
        <v>Grants</v>
      </c>
      <c r="T970" s="6" t="str">
        <f ca="1">IFERROR(__xludf.DUMMYFUNCTION("""COMPUTED_VALUE"""),"Grants")</f>
        <v>Grants</v>
      </c>
      <c r="U970" s="6" t="str">
        <f ca="1">IFERROR(__xludf.DUMMYFUNCTION("""COMPUTED_VALUE"""),"Grants")</f>
        <v>Grants</v>
      </c>
      <c r="V970" s="6"/>
      <c r="W970" s="6" t="str">
        <f ca="1">IFERROR(__xludf.DUMMYFUNCTION("""COMPUTED_VALUE"""),"Invite Next Year")</f>
        <v>Invite Next Year</v>
      </c>
    </row>
    <row r="971" spans="1:23">
      <c r="A971" s="6" t="str">
        <f ca="1">IFERROR(__xludf.DUMMYFUNCTION("""COMPUTED_VALUE"""),"Man, Man")</f>
        <v>Man, Man</v>
      </c>
      <c r="B971" s="6" t="str">
        <f ca="1">IFERROR(__xludf.DUMMYFUNCTION("""COMPUTED_VALUE"""),"BoostDraft Inc. _2022")</f>
        <v>BoostDraft Inc. _2022</v>
      </c>
      <c r="C971" s="6" t="str">
        <f ca="1">IFERROR(__xludf.DUMMYFUNCTION("""COMPUTED_VALUE"""),"Digital Tech")</f>
        <v>Digital Tech</v>
      </c>
      <c r="D971" s="6" t="str">
        <f ca="1">IFERROR(__xludf.DUMMYFUNCTION("""COMPUTED_VALUE"""),"Tokyo, Kanto 
Japan")</f>
        <v>Tokyo, Kanto 
Japan</v>
      </c>
      <c r="E971" s="6" t="str">
        <f ca="1">IFERROR(__xludf.DUMMYFUNCTION("""COMPUTED_VALUE"""),"International - Asia")</f>
        <v>International - Asia</v>
      </c>
      <c r="F971" s="6" t="str">
        <f ca="1">IFERROR(__xludf.DUMMYFUNCTION("""COMPUTED_VALUE"""),"Man")</f>
        <v>Man</v>
      </c>
      <c r="G971" s="6" t="str">
        <f ca="1">IFERROR(__xludf.DUMMYFUNCTION("""COMPUTED_VALUE"""),"Man")</f>
        <v>Man</v>
      </c>
      <c r="H971" s="6"/>
      <c r="I971" s="6"/>
      <c r="J971" s="6"/>
      <c r="K971" s="6"/>
      <c r="L971" s="6" t="str">
        <f ca="1">IFERROR(__xludf.DUMMYFUNCTION("""COMPUTED_VALUE"""),"Yes")</f>
        <v>Yes</v>
      </c>
      <c r="M971" s="6" t="str">
        <f ca="1">IFERROR(__xludf.DUMMYFUNCTION("""COMPUTED_VALUE"""),"NYU Student")</f>
        <v>NYU Student</v>
      </c>
      <c r="N971" s="6"/>
      <c r="O971" s="6" t="str">
        <f ca="1">IFERROR(__xludf.DUMMYFUNCTION("""COMPUTED_VALUE"""),"Referral")</f>
        <v>Referral</v>
      </c>
      <c r="P971" s="6"/>
      <c r="Q971" s="6" t="str">
        <f ca="1">IFERROR(__xludf.DUMMYFUNCTION("""COMPUTED_VALUE"""),"No")</f>
        <v>No</v>
      </c>
      <c r="R971" s="6">
        <f ca="1">IFERROR(__xludf.DUMMYFUNCTION("""COMPUTED_VALUE"""),2)</f>
        <v>2</v>
      </c>
      <c r="S971" s="6" t="str">
        <f ca="1">IFERROR(__xludf.DUMMYFUNCTION("""COMPUTED_VALUE"""),"None")</f>
        <v>None</v>
      </c>
      <c r="T971" s="6" t="str">
        <f ca="1">IFERROR(__xludf.DUMMYFUNCTION("""COMPUTED_VALUE"""),"None")</f>
        <v>None</v>
      </c>
      <c r="U971" s="6" t="str">
        <f ca="1">IFERROR(__xludf.DUMMYFUNCTION("""COMPUTED_VALUE"""),"None")</f>
        <v>None</v>
      </c>
      <c r="V971" s="6"/>
      <c r="W971" s="6" t="str">
        <f ca="1">IFERROR(__xludf.DUMMYFUNCTION("""COMPUTED_VALUE"""),"Revisit/ Cluster")</f>
        <v>Revisit/ Cluster</v>
      </c>
    </row>
    <row r="972" spans="1:23">
      <c r="A972" s="6" t="str">
        <f ca="1">IFERROR(__xludf.DUMMYFUNCTION("""COMPUTED_VALUE"""),"Man, Man, Man, Man")</f>
        <v>Man, Man, Man, Man</v>
      </c>
      <c r="B972" s="6" t="str">
        <f ca="1">IFERROR(__xludf.DUMMYFUNCTION("""COMPUTED_VALUE"""),"QSINGULA DEVELOPMENT FZ-LLC (QSD) _2022")</f>
        <v>QSINGULA DEVELOPMENT FZ-LLC (QSD) _2022</v>
      </c>
      <c r="C972" s="6" t="str">
        <f ca="1">IFERROR(__xludf.DUMMYFUNCTION("""COMPUTED_VALUE"""),"Life Sciences")</f>
        <v>Life Sciences</v>
      </c>
      <c r="D972" s="6" t="str">
        <f ca="1">IFERROR(__xludf.DUMMYFUNCTION("""COMPUTED_VALUE"""),"Shared Desk Unit No SD2-320, DUBAI SCIENCE PARK, DUBAI 
United Arab Emirates")</f>
        <v>Shared Desk Unit No SD2-320, DUBAI SCIENCE PARK, DUBAI 
United Arab Emirates</v>
      </c>
      <c r="E972" s="6" t="str">
        <f ca="1">IFERROR(__xludf.DUMMYFUNCTION("""COMPUTED_VALUE"""),"International - Middle East")</f>
        <v>International - Middle East</v>
      </c>
      <c r="F972" s="6" t="str">
        <f ca="1">IFERROR(__xludf.DUMMYFUNCTION("""COMPUTED_VALUE"""),"Man")</f>
        <v>Man</v>
      </c>
      <c r="G972" s="6" t="str">
        <f ca="1">IFERROR(__xludf.DUMMYFUNCTION("""COMPUTED_VALUE"""),"Man")</f>
        <v>Man</v>
      </c>
      <c r="H972" s="6" t="str">
        <f ca="1">IFERROR(__xludf.DUMMYFUNCTION("""COMPUTED_VALUE"""),"Man")</f>
        <v>Man</v>
      </c>
      <c r="I972" s="6" t="str">
        <f ca="1">IFERROR(__xludf.DUMMYFUNCTION("""COMPUTED_VALUE"""),"Man")</f>
        <v>Man</v>
      </c>
      <c r="J972" s="6"/>
      <c r="K972" s="6"/>
      <c r="L972" s="6" t="str">
        <f ca="1">IFERROR(__xludf.DUMMYFUNCTION("""COMPUTED_VALUE"""),"No")</f>
        <v>No</v>
      </c>
      <c r="M972" s="6"/>
      <c r="N972" s="6"/>
      <c r="O972" s="6" t="str">
        <f ca="1">IFERROR(__xludf.DUMMYFUNCTION("""COMPUTED_VALUE"""),"Referral")</f>
        <v>Referral</v>
      </c>
      <c r="P972" s="6"/>
      <c r="Q972" s="6" t="str">
        <f ca="1">IFERROR(__xludf.DUMMYFUNCTION("""COMPUTED_VALUE"""),"No")</f>
        <v>No</v>
      </c>
      <c r="R972" s="6">
        <f ca="1">IFERROR(__xludf.DUMMYFUNCTION("""COMPUTED_VALUE"""),4)</f>
        <v>4</v>
      </c>
      <c r="S972" s="6" t="str">
        <f ca="1">IFERROR(__xludf.DUMMYFUNCTION("""COMPUTED_VALUE"""),"Pre-seed")</f>
        <v>Pre-seed</v>
      </c>
      <c r="T972" s="6" t="str">
        <f ca="1">IFERROR(__xludf.DUMMYFUNCTION("""COMPUTED_VALUE"""),"Pre-seed")</f>
        <v>Pre-seed</v>
      </c>
      <c r="U972" s="6" t="str">
        <f ca="1">IFERROR(__xludf.DUMMYFUNCTION("""COMPUTED_VALUE"""),"Pre-seed")</f>
        <v>Pre-seed</v>
      </c>
      <c r="V972" s="6"/>
      <c r="W972" s="6" t="str">
        <f ca="1">IFERROR(__xludf.DUMMYFUNCTION("""COMPUTED_VALUE"""),"Revisit/ Cluster")</f>
        <v>Revisit/ Cluster</v>
      </c>
    </row>
    <row r="973" spans="1:23">
      <c r="A973" s="6" t="str">
        <f ca="1">IFERROR(__xludf.DUMMYFUNCTION("""COMPUTED_VALUE"""),"Woman, Man")</f>
        <v>Woman, Man</v>
      </c>
      <c r="B973" s="6" t="str">
        <f ca="1">IFERROR(__xludf.DUMMYFUNCTION("""COMPUTED_VALUE"""),"Res Bid _2022")</f>
        <v>Res Bid _2022</v>
      </c>
      <c r="C973" s="6" t="str">
        <f ca="1">IFERROR(__xludf.DUMMYFUNCTION("""COMPUTED_VALUE"""),"Digital Tech")</f>
        <v>Digital Tech</v>
      </c>
      <c r="D973" s="6" t="str">
        <f ca="1">IFERROR(__xludf.DUMMYFUNCTION("""COMPUTED_VALUE"""),"94 E. 4th St. #608, NY 
United States")</f>
        <v>94 E. 4th St. #608, NY 
United States</v>
      </c>
      <c r="E973" s="6" t="str">
        <f ca="1">IFERROR(__xludf.DUMMYFUNCTION("""COMPUTED_VALUE"""),"New York")</f>
        <v>New York</v>
      </c>
      <c r="F973" s="6" t="str">
        <f ca="1">IFERROR(__xludf.DUMMYFUNCTION("""COMPUTED_VALUE"""),"Woman")</f>
        <v>Woman</v>
      </c>
      <c r="G973" s="6" t="str">
        <f ca="1">IFERROR(__xludf.DUMMYFUNCTION("""COMPUTED_VALUE"""),"Man")</f>
        <v>Man</v>
      </c>
      <c r="H973" s="6"/>
      <c r="I973" s="6"/>
      <c r="J973" s="6"/>
      <c r="K973" s="6"/>
      <c r="L973" s="6" t="str">
        <f ca="1">IFERROR(__xludf.DUMMYFUNCTION("""COMPUTED_VALUE"""),"Yes")</f>
        <v>Yes</v>
      </c>
      <c r="M973" s="6" t="str">
        <f ca="1">IFERROR(__xludf.DUMMYFUNCTION("""COMPUTED_VALUE"""),"NYU Student")</f>
        <v>NYU Student</v>
      </c>
      <c r="N973" s="6"/>
      <c r="O973" s="6" t="str">
        <f ca="1">IFERROR(__xludf.DUMMYFUNCTION("""COMPUTED_VALUE"""),"Referral")</f>
        <v>Referral</v>
      </c>
      <c r="P973" s="6"/>
      <c r="Q973" s="6" t="str">
        <f ca="1">IFERROR(__xludf.DUMMYFUNCTION("""COMPUTED_VALUE"""),"No")</f>
        <v>No</v>
      </c>
      <c r="R973" s="6">
        <f ca="1">IFERROR(__xludf.DUMMYFUNCTION("""COMPUTED_VALUE"""),2)</f>
        <v>2</v>
      </c>
      <c r="S973" s="6" t="str">
        <f ca="1">IFERROR(__xludf.DUMMYFUNCTION("""COMPUTED_VALUE"""),"None")</f>
        <v>None</v>
      </c>
      <c r="T973" s="6" t="str">
        <f ca="1">IFERROR(__xludf.DUMMYFUNCTION("""COMPUTED_VALUE"""),"None")</f>
        <v>None</v>
      </c>
      <c r="U973" s="6" t="str">
        <f ca="1">IFERROR(__xludf.DUMMYFUNCTION("""COMPUTED_VALUE"""),"None")</f>
        <v>None</v>
      </c>
      <c r="V973" s="6"/>
      <c r="W973" s="6" t="str">
        <f ca="1">IFERROR(__xludf.DUMMYFUNCTION("""COMPUTED_VALUE"""),"Invite Next Year")</f>
        <v>Invite Next Year</v>
      </c>
    </row>
    <row r="974" spans="1:23">
      <c r="A974" s="6" t="str">
        <f ca="1">IFERROR(__xludf.DUMMYFUNCTION("""COMPUTED_VALUE"""),"Man, Man, Man")</f>
        <v>Man, Man, Man</v>
      </c>
      <c r="B974" s="6" t="str">
        <f ca="1">IFERROR(__xludf.DUMMYFUNCTION("""COMPUTED_VALUE"""),"IndyGeneUS AI _2022")</f>
        <v>IndyGeneUS AI _2022</v>
      </c>
      <c r="C974" s="6" t="str">
        <f ca="1">IFERROR(__xludf.DUMMYFUNCTION("""COMPUTED_VALUE"""),"Digital Tech")</f>
        <v>Digital Tech</v>
      </c>
      <c r="D974" s="6" t="str">
        <f ca="1">IFERROR(__xludf.DUMMYFUNCTION("""COMPUTED_VALUE"""),"1720 I Street NW, Washingon , DC 
United States")</f>
        <v>1720 I Street NW, Washingon , DC 
United States</v>
      </c>
      <c r="E974" s="6" t="str">
        <f ca="1">IFERROR(__xludf.DUMMYFUNCTION("""COMPUTED_VALUE"""),"East Coast")</f>
        <v>East Coast</v>
      </c>
      <c r="F974" s="6" t="str">
        <f ca="1">IFERROR(__xludf.DUMMYFUNCTION("""COMPUTED_VALUE"""),"Man")</f>
        <v>Man</v>
      </c>
      <c r="G974" s="6" t="str">
        <f ca="1">IFERROR(__xludf.DUMMYFUNCTION("""COMPUTED_VALUE"""),"Man")</f>
        <v>Man</v>
      </c>
      <c r="H974" s="6" t="str">
        <f ca="1">IFERROR(__xludf.DUMMYFUNCTION("""COMPUTED_VALUE"""),"Man")</f>
        <v>Man</v>
      </c>
      <c r="I974" s="6"/>
      <c r="J974" s="6"/>
      <c r="K974" s="6"/>
      <c r="L974" s="6" t="str">
        <f ca="1">IFERROR(__xludf.DUMMYFUNCTION("""COMPUTED_VALUE"""),"--Please select--")</f>
        <v>--Please select--</v>
      </c>
      <c r="M974" s="6"/>
      <c r="N974" s="6"/>
      <c r="O974" s="6" t="str">
        <f ca="1">IFERROR(__xludf.DUMMYFUNCTION("""COMPUTED_VALUE"""),"Referral")</f>
        <v>Referral</v>
      </c>
      <c r="P974" s="6"/>
      <c r="Q974" s="6" t="str">
        <f ca="1">IFERROR(__xludf.DUMMYFUNCTION("""COMPUTED_VALUE"""),"No")</f>
        <v>No</v>
      </c>
      <c r="R974" s="6">
        <f ca="1">IFERROR(__xludf.DUMMYFUNCTION("""COMPUTED_VALUE"""),3)</f>
        <v>3</v>
      </c>
      <c r="S974" s="6" t="str">
        <f ca="1">IFERROR(__xludf.DUMMYFUNCTION("""COMPUTED_VALUE"""),"Pre-seed")</f>
        <v>Pre-seed</v>
      </c>
      <c r="T974" s="6" t="str">
        <f ca="1">IFERROR(__xludf.DUMMYFUNCTION("""COMPUTED_VALUE"""),"Pre-seed")</f>
        <v>Pre-seed</v>
      </c>
      <c r="U974" s="6" t="str">
        <f ca="1">IFERROR(__xludf.DUMMYFUNCTION("""COMPUTED_VALUE"""),"Pre-seed")</f>
        <v>Pre-seed</v>
      </c>
      <c r="V974" s="6"/>
      <c r="W974" s="6" t="str">
        <f ca="1">IFERROR(__xludf.DUMMYFUNCTION("""COMPUTED_VALUE"""),"Invite")</f>
        <v>Invite</v>
      </c>
    </row>
    <row r="975" spans="1:23">
      <c r="A975" s="6" t="str">
        <f ca="1">IFERROR(__xludf.DUMMYFUNCTION("""COMPUTED_VALUE"""),"Woman, Woman")</f>
        <v>Woman, Woman</v>
      </c>
      <c r="B975" s="6" t="str">
        <f ca="1">IFERROR(__xludf.DUMMYFUNCTION("""COMPUTED_VALUE"""),"Friendlier _2022")</f>
        <v>Friendlier _2022</v>
      </c>
      <c r="C975" s="6" t="str">
        <f ca="1">IFERROR(__xludf.DUMMYFUNCTION("""COMPUTED_VALUE"""),"Digital Tech")</f>
        <v>Digital Tech</v>
      </c>
      <c r="D975" s="6" t="str">
        <f ca="1">IFERROR(__xludf.DUMMYFUNCTION("""COMPUTED_VALUE"""),"Guelph, Ontario 
Canada")</f>
        <v>Guelph, Ontario 
Canada</v>
      </c>
      <c r="E975" s="6" t="str">
        <f ca="1">IFERROR(__xludf.DUMMYFUNCTION("""COMPUTED_VALUE"""),"International - Americas")</f>
        <v>International - Americas</v>
      </c>
      <c r="F975" s="6" t="str">
        <f ca="1">IFERROR(__xludf.DUMMYFUNCTION("""COMPUTED_VALUE"""),"Woman")</f>
        <v>Woman</v>
      </c>
      <c r="G975" s="6" t="str">
        <f ca="1">IFERROR(__xludf.DUMMYFUNCTION("""COMPUTED_VALUE"""),"Woman")</f>
        <v>Woman</v>
      </c>
      <c r="H975" s="6"/>
      <c r="I975" s="6"/>
      <c r="J975" s="6"/>
      <c r="K975" s="6"/>
      <c r="L975" s="6" t="str">
        <f ca="1">IFERROR(__xludf.DUMMYFUNCTION("""COMPUTED_VALUE"""),"No")</f>
        <v>No</v>
      </c>
      <c r="M975" s="6"/>
      <c r="N975" s="6"/>
      <c r="O975" s="6" t="str">
        <f ca="1">IFERROR(__xludf.DUMMYFUNCTION("""COMPUTED_VALUE"""),"Email")</f>
        <v>Email</v>
      </c>
      <c r="P975" s="6"/>
      <c r="Q975" s="6" t="str">
        <f ca="1">IFERROR(__xludf.DUMMYFUNCTION("""COMPUTED_VALUE"""),"No")</f>
        <v>No</v>
      </c>
      <c r="R975" s="6">
        <f ca="1">IFERROR(__xludf.DUMMYFUNCTION("""COMPUTED_VALUE"""),2)</f>
        <v>2</v>
      </c>
      <c r="S975" s="6" t="str">
        <f ca="1">IFERROR(__xludf.DUMMYFUNCTION("""COMPUTED_VALUE"""),"Pre-seed
Debt financing
Grants")</f>
        <v>Pre-seed
Debt financing
Grants</v>
      </c>
      <c r="T975" s="6" t="str">
        <f ca="1">IFERROR(__xludf.DUMMYFUNCTION("""COMPUTED_VALUE"""),"Pre-seed, Debt financing, Grants")</f>
        <v>Pre-seed, Debt financing, Grants</v>
      </c>
      <c r="U975" s="6" t="str">
        <f ca="1">IFERROR(__xludf.DUMMYFUNCTION("""COMPUTED_VALUE"""),"Pre-seed, Debt financing, Grants")</f>
        <v>Pre-seed, Debt financing, Grants</v>
      </c>
      <c r="V975" s="6"/>
      <c r="W975" s="6" t="str">
        <f ca="1">IFERROR(__xludf.DUMMYFUNCTION("""COMPUTED_VALUE"""),"Invite")</f>
        <v>Invite</v>
      </c>
    </row>
    <row r="976" spans="1:23">
      <c r="A976" s="6" t="str">
        <f ca="1">IFERROR(__xludf.DUMMYFUNCTION("""COMPUTED_VALUE"""),"Woman, Woman")</f>
        <v>Woman, Woman</v>
      </c>
      <c r="B976" s="6" t="str">
        <f ca="1">IFERROR(__xludf.DUMMYFUNCTION("""COMPUTED_VALUE"""),"Anatomech Private Limited _2022")</f>
        <v>Anatomech Private Limited _2022</v>
      </c>
      <c r="C976" s="6" t="str">
        <f ca="1">IFERROR(__xludf.DUMMYFUNCTION("""COMPUTED_VALUE"""),"Deep Tech")</f>
        <v>Deep Tech</v>
      </c>
      <c r="D976" s="6" t="str">
        <f ca="1">IFERROR(__xludf.DUMMYFUNCTION("""COMPUTED_VALUE"""),"Pune, Maharashtra 
India")</f>
        <v>Pune, Maharashtra 
India</v>
      </c>
      <c r="E976" s="6" t="str">
        <f ca="1">IFERROR(__xludf.DUMMYFUNCTION("""COMPUTED_VALUE"""),"International - Asia")</f>
        <v>International - Asia</v>
      </c>
      <c r="F976" s="6" t="str">
        <f ca="1">IFERROR(__xludf.DUMMYFUNCTION("""COMPUTED_VALUE"""),"Woman")</f>
        <v>Woman</v>
      </c>
      <c r="G976" s="6" t="str">
        <f ca="1">IFERROR(__xludf.DUMMYFUNCTION("""COMPUTED_VALUE"""),"Woman")</f>
        <v>Woman</v>
      </c>
      <c r="H976" s="6"/>
      <c r="I976" s="6"/>
      <c r="J976" s="6"/>
      <c r="K976" s="6"/>
      <c r="L976" s="6" t="str">
        <f ca="1">IFERROR(__xludf.DUMMYFUNCTION("""COMPUTED_VALUE"""),"No")</f>
        <v>No</v>
      </c>
      <c r="M976" s="6"/>
      <c r="N976" s="6"/>
      <c r="O976" s="6" t="str">
        <f ca="1">IFERROR(__xludf.DUMMYFUNCTION("""COMPUTED_VALUE"""),"LinkedIn")</f>
        <v>LinkedIn</v>
      </c>
      <c r="P976" s="6"/>
      <c r="Q976" s="6" t="str">
        <f ca="1">IFERROR(__xludf.DUMMYFUNCTION("""COMPUTED_VALUE"""),"No")</f>
        <v>No</v>
      </c>
      <c r="R976" s="6">
        <f ca="1">IFERROR(__xludf.DUMMYFUNCTION("""COMPUTED_VALUE"""),2)</f>
        <v>2</v>
      </c>
      <c r="S976" s="6" t="str">
        <f ca="1">IFERROR(__xludf.DUMMYFUNCTION("""COMPUTED_VALUE"""),"Pre-seed")</f>
        <v>Pre-seed</v>
      </c>
      <c r="T976" s="6" t="str">
        <f ca="1">IFERROR(__xludf.DUMMYFUNCTION("""COMPUTED_VALUE"""),"Pre-seed")</f>
        <v>Pre-seed</v>
      </c>
      <c r="U976" s="6" t="str">
        <f ca="1">IFERROR(__xludf.DUMMYFUNCTION("""COMPUTED_VALUE"""),"Pre-seed")</f>
        <v>Pre-seed</v>
      </c>
      <c r="V976" s="6"/>
      <c r="W976" s="6" t="str">
        <f ca="1">IFERROR(__xludf.DUMMYFUNCTION("""COMPUTED_VALUE"""),"Invite Next Year")</f>
        <v>Invite Next Year</v>
      </c>
    </row>
    <row r="977" spans="1:23">
      <c r="A977" s="6" t="str">
        <f ca="1">IFERROR(__xludf.DUMMYFUNCTION("""COMPUTED_VALUE"""),"Woman")</f>
        <v>Woman</v>
      </c>
      <c r="B977" s="6" t="str">
        <f ca="1">IFERROR(__xludf.DUMMYFUNCTION("""COMPUTED_VALUE"""),"Dentia, Inc _2022")</f>
        <v>Dentia, Inc _2022</v>
      </c>
      <c r="C977" s="6" t="str">
        <f ca="1">IFERROR(__xludf.DUMMYFUNCTION("""COMPUTED_VALUE"""),"Life Sciences")</f>
        <v>Life Sciences</v>
      </c>
      <c r="D977" s="6" t="str">
        <f ca="1">IFERROR(__xludf.DUMMYFUNCTION("""COMPUTED_VALUE"""),"San Francisco bay area , CA 
United States")</f>
        <v>San Francisco bay area , CA 
United States</v>
      </c>
      <c r="E977" s="6" t="str">
        <f ca="1">IFERROR(__xludf.DUMMYFUNCTION("""COMPUTED_VALUE"""),"West Coast")</f>
        <v>West Coast</v>
      </c>
      <c r="F977" s="6" t="str">
        <f ca="1">IFERROR(__xludf.DUMMYFUNCTION("""COMPUTED_VALUE"""),"Woman")</f>
        <v>Woman</v>
      </c>
      <c r="G977" s="6"/>
      <c r="H977" s="6"/>
      <c r="I977" s="6"/>
      <c r="J977" s="6"/>
      <c r="K977" s="6"/>
      <c r="L977" s="6" t="str">
        <f ca="1">IFERROR(__xludf.DUMMYFUNCTION("""COMPUTED_VALUE"""),"No")</f>
        <v>No</v>
      </c>
      <c r="M977" s="6"/>
      <c r="N977" s="6"/>
      <c r="O977" s="6" t="str">
        <f ca="1">IFERROR(__xludf.DUMMYFUNCTION("""COMPUTED_VALUE"""),"Referral")</f>
        <v>Referral</v>
      </c>
      <c r="P977" s="6"/>
      <c r="Q977" s="6" t="str">
        <f ca="1">IFERROR(__xludf.DUMMYFUNCTION("""COMPUTED_VALUE"""),"No")</f>
        <v>No</v>
      </c>
      <c r="R977" s="6">
        <f ca="1">IFERROR(__xludf.DUMMYFUNCTION("""COMPUTED_VALUE"""),1)</f>
        <v>1</v>
      </c>
      <c r="S977" s="6" t="str">
        <f ca="1">IFERROR(__xludf.DUMMYFUNCTION("""COMPUTED_VALUE"""),"None")</f>
        <v>None</v>
      </c>
      <c r="T977" s="6" t="str">
        <f ca="1">IFERROR(__xludf.DUMMYFUNCTION("""COMPUTED_VALUE"""),"None")</f>
        <v>None</v>
      </c>
      <c r="U977" s="6" t="str">
        <f ca="1">IFERROR(__xludf.DUMMYFUNCTION("""COMPUTED_VALUE"""),"None")</f>
        <v>None</v>
      </c>
      <c r="V977" s="6"/>
      <c r="W977" s="6" t="str">
        <f ca="1">IFERROR(__xludf.DUMMYFUNCTION("""COMPUTED_VALUE"""),"Invite Next Year")</f>
        <v>Invite Next Year</v>
      </c>
    </row>
    <row r="978" spans="1:23">
      <c r="A978" s="6" t="str">
        <f ca="1">IFERROR(__xludf.DUMMYFUNCTION("""COMPUTED_VALUE"""),"Woman")</f>
        <v>Woman</v>
      </c>
      <c r="B978" s="6" t="str">
        <f ca="1">IFERROR(__xludf.DUMMYFUNCTION("""COMPUTED_VALUE"""),"Sherrell Dorsey _2022")</f>
        <v>Sherrell Dorsey _2022</v>
      </c>
      <c r="C978" s="6" t="str">
        <f ca="1">IFERROR(__xludf.DUMMYFUNCTION("""COMPUTED_VALUE"""),"Digital Tech")</f>
        <v>Digital Tech</v>
      </c>
      <c r="D978" s="6" t="str">
        <f ca="1">IFERROR(__xludf.DUMMYFUNCTION("""COMPUTED_VALUE"""),"Atlanta, GA 
United States")</f>
        <v>Atlanta, GA 
United States</v>
      </c>
      <c r="E978" s="6" t="str">
        <f ca="1">IFERROR(__xludf.DUMMYFUNCTION("""COMPUTED_VALUE"""),"East Coast")</f>
        <v>East Coast</v>
      </c>
      <c r="F978" s="6" t="str">
        <f ca="1">IFERROR(__xludf.DUMMYFUNCTION("""COMPUTED_VALUE"""),"Woman")</f>
        <v>Woman</v>
      </c>
      <c r="G978" s="6"/>
      <c r="H978" s="6"/>
      <c r="I978" s="6"/>
      <c r="J978" s="6"/>
      <c r="K978" s="6"/>
      <c r="L978" s="6" t="str">
        <f ca="1">IFERROR(__xludf.DUMMYFUNCTION("""COMPUTED_VALUE"""),"No")</f>
        <v>No</v>
      </c>
      <c r="M978" s="6"/>
      <c r="N978" s="6"/>
      <c r="O978" s="6" t="str">
        <f ca="1">IFERROR(__xludf.DUMMYFUNCTION("""COMPUTED_VALUE"""),"Other")</f>
        <v>Other</v>
      </c>
      <c r="P978" s="6"/>
      <c r="Q978" s="6" t="str">
        <f ca="1">IFERROR(__xludf.DUMMYFUNCTION("""COMPUTED_VALUE"""),"No")</f>
        <v>No</v>
      </c>
      <c r="R978" s="6">
        <f ca="1">IFERROR(__xludf.DUMMYFUNCTION("""COMPUTED_VALUE"""),1)</f>
        <v>1</v>
      </c>
      <c r="S978" s="6" t="str">
        <f ca="1">IFERROR(__xludf.DUMMYFUNCTION("""COMPUTED_VALUE"""),"Pre-seed")</f>
        <v>Pre-seed</v>
      </c>
      <c r="T978" s="6" t="str">
        <f ca="1">IFERROR(__xludf.DUMMYFUNCTION("""COMPUTED_VALUE"""),"Pre-seed")</f>
        <v>Pre-seed</v>
      </c>
      <c r="U978" s="6" t="str">
        <f ca="1">IFERROR(__xludf.DUMMYFUNCTION("""COMPUTED_VALUE"""),"Pre-seed")</f>
        <v>Pre-seed</v>
      </c>
      <c r="V978" s="6"/>
      <c r="W978" s="6" t="str">
        <f ca="1">IFERROR(__xludf.DUMMYFUNCTION("""COMPUTED_VALUE"""),"Invite Next Year")</f>
        <v>Invite Next Year</v>
      </c>
    </row>
    <row r="979" spans="1:23">
      <c r="A979" s="6" t="str">
        <f ca="1">IFERROR(__xludf.DUMMYFUNCTION("""COMPUTED_VALUE"""),"Man, Woman")</f>
        <v>Man, Woman</v>
      </c>
      <c r="B979" s="6" t="str">
        <f ca="1">IFERROR(__xludf.DUMMYFUNCTION("""COMPUTED_VALUE"""),"Pharmor _2022")</f>
        <v>Pharmor _2022</v>
      </c>
      <c r="C979" s="6" t="str">
        <f ca="1">IFERROR(__xludf.DUMMYFUNCTION("""COMPUTED_VALUE"""),"Deep Tech")</f>
        <v>Deep Tech</v>
      </c>
      <c r="D979" s="6" t="str">
        <f ca="1">IFERROR(__xludf.DUMMYFUNCTION("""COMPUTED_VALUE"""),"Cambridge, MA 
United States")</f>
        <v>Cambridge, MA 
United States</v>
      </c>
      <c r="E979" s="6" t="str">
        <f ca="1">IFERROR(__xludf.DUMMYFUNCTION("""COMPUTED_VALUE"""),"East Coast")</f>
        <v>East Coast</v>
      </c>
      <c r="F979" s="6" t="str">
        <f ca="1">IFERROR(__xludf.DUMMYFUNCTION("""COMPUTED_VALUE"""),"Man")</f>
        <v>Man</v>
      </c>
      <c r="G979" s="6" t="str">
        <f ca="1">IFERROR(__xludf.DUMMYFUNCTION("""COMPUTED_VALUE"""),"Woman")</f>
        <v>Woman</v>
      </c>
      <c r="H979" s="6"/>
      <c r="I979" s="6"/>
      <c r="J979" s="6"/>
      <c r="K979" s="6"/>
      <c r="L979" s="6" t="str">
        <f ca="1">IFERROR(__xludf.DUMMYFUNCTION("""COMPUTED_VALUE"""),"No")</f>
        <v>No</v>
      </c>
      <c r="M979" s="6"/>
      <c r="N979" s="6"/>
      <c r="O979" s="6" t="str">
        <f ca="1">IFERROR(__xludf.DUMMYFUNCTION("""COMPUTED_VALUE"""),"Referral")</f>
        <v>Referral</v>
      </c>
      <c r="P979" s="6"/>
      <c r="Q979" s="6" t="str">
        <f ca="1">IFERROR(__xludf.DUMMYFUNCTION("""COMPUTED_VALUE"""),"No")</f>
        <v>No</v>
      </c>
      <c r="R979" s="6">
        <f ca="1">IFERROR(__xludf.DUMMYFUNCTION("""COMPUTED_VALUE"""),2)</f>
        <v>2</v>
      </c>
      <c r="S979" s="6" t="str">
        <f ca="1">IFERROR(__xludf.DUMMYFUNCTION("""COMPUTED_VALUE"""),"None")</f>
        <v>None</v>
      </c>
      <c r="T979" s="6" t="str">
        <f ca="1">IFERROR(__xludf.DUMMYFUNCTION("""COMPUTED_VALUE"""),"None")</f>
        <v>None</v>
      </c>
      <c r="U979" s="6" t="str">
        <f ca="1">IFERROR(__xludf.DUMMYFUNCTION("""COMPUTED_VALUE"""),"None")</f>
        <v>None</v>
      </c>
      <c r="V979" s="6"/>
      <c r="W979" s="6" t="str">
        <f ca="1">IFERROR(__xludf.DUMMYFUNCTION("""COMPUTED_VALUE"""),"Revisit")</f>
        <v>Revisit</v>
      </c>
    </row>
    <row r="980" spans="1:23">
      <c r="A980" s="6" t="str">
        <f ca="1">IFERROR(__xludf.DUMMYFUNCTION("""COMPUTED_VALUE"""),"Man, Man")</f>
        <v>Man, Man</v>
      </c>
      <c r="B980" s="6" t="str">
        <f ca="1">IFERROR(__xludf.DUMMYFUNCTION("""COMPUTED_VALUE"""),"Rimble _2022")</f>
        <v>Rimble _2022</v>
      </c>
      <c r="C980" s="6" t="str">
        <f ca="1">IFERROR(__xludf.DUMMYFUNCTION("""COMPUTED_VALUE"""),"Digital Tech")</f>
        <v>Digital Tech</v>
      </c>
      <c r="D980" s="6" t="str">
        <f ca="1">IFERROR(__xludf.DUMMYFUNCTION("""COMPUTED_VALUE"""),"Berkeley, California 
United States")</f>
        <v>Berkeley, California 
United States</v>
      </c>
      <c r="E980" s="6" t="str">
        <f ca="1">IFERROR(__xludf.DUMMYFUNCTION("""COMPUTED_VALUE"""),"West Coast")</f>
        <v>West Coast</v>
      </c>
      <c r="F980" s="6" t="str">
        <f ca="1">IFERROR(__xludf.DUMMYFUNCTION("""COMPUTED_VALUE"""),"Man")</f>
        <v>Man</v>
      </c>
      <c r="G980" s="6" t="str">
        <f ca="1">IFERROR(__xludf.DUMMYFUNCTION("""COMPUTED_VALUE"""),"Man")</f>
        <v>Man</v>
      </c>
      <c r="H980" s="6"/>
      <c r="I980" s="6"/>
      <c r="J980" s="6"/>
      <c r="K980" s="6"/>
      <c r="L980" s="6" t="str">
        <f ca="1">IFERROR(__xludf.DUMMYFUNCTION("""COMPUTED_VALUE"""),"--Please select--")</f>
        <v>--Please select--</v>
      </c>
      <c r="M980" s="6"/>
      <c r="N980" s="6"/>
      <c r="O980" s="6" t="str">
        <f ca="1">IFERROR(__xludf.DUMMYFUNCTION("""COMPUTED_VALUE"""),"Email")</f>
        <v>Email</v>
      </c>
      <c r="P980" s="6"/>
      <c r="Q980" s="6" t="str">
        <f ca="1">IFERROR(__xludf.DUMMYFUNCTION("""COMPUTED_VALUE"""),"No")</f>
        <v>No</v>
      </c>
      <c r="R980" s="6">
        <f ca="1">IFERROR(__xludf.DUMMYFUNCTION("""COMPUTED_VALUE"""),2)</f>
        <v>2</v>
      </c>
      <c r="S980" s="6" t="str">
        <f ca="1">IFERROR(__xludf.DUMMYFUNCTION("""COMPUTED_VALUE"""),"Grants")</f>
        <v>Grants</v>
      </c>
      <c r="T980" s="6" t="str">
        <f ca="1">IFERROR(__xludf.DUMMYFUNCTION("""COMPUTED_VALUE"""),"Grants")</f>
        <v>Grants</v>
      </c>
      <c r="U980" s="6" t="str">
        <f ca="1">IFERROR(__xludf.DUMMYFUNCTION("""COMPUTED_VALUE"""),"Grants")</f>
        <v>Grants</v>
      </c>
      <c r="V980" s="6"/>
      <c r="W980" s="6" t="str">
        <f ca="1">IFERROR(__xludf.DUMMYFUNCTION("""COMPUTED_VALUE"""),"Revisit")</f>
        <v>Revisit</v>
      </c>
    </row>
    <row r="981" spans="1:23">
      <c r="A981" s="6" t="str">
        <f ca="1">IFERROR(__xludf.DUMMYFUNCTION("""COMPUTED_VALUE"""),"Woman, Prefer not to respond, Woman")</f>
        <v>Woman, Prefer not to respond, Woman</v>
      </c>
      <c r="B981" s="6" t="str">
        <f ca="1">IFERROR(__xludf.DUMMYFUNCTION("""COMPUTED_VALUE"""),"Walkspan _2022")</f>
        <v>Walkspan _2022</v>
      </c>
      <c r="C981" s="6" t="str">
        <f ca="1">IFERROR(__xludf.DUMMYFUNCTION("""COMPUTED_VALUE"""),"Deep Tech")</f>
        <v>Deep Tech</v>
      </c>
      <c r="D981" s="6" t="str">
        <f ca="1">IFERROR(__xludf.DUMMYFUNCTION("""COMPUTED_VALUE"""),"189 West 89th Street PH1L, New York, NY 
United States")</f>
        <v>189 West 89th Street PH1L, New York, NY 
United States</v>
      </c>
      <c r="E981" s="6" t="str">
        <f ca="1">IFERROR(__xludf.DUMMYFUNCTION("""COMPUTED_VALUE"""),"New York")</f>
        <v>New York</v>
      </c>
      <c r="F981" s="6" t="str">
        <f ca="1">IFERROR(__xludf.DUMMYFUNCTION("""COMPUTED_VALUE"""),"Woman")</f>
        <v>Woman</v>
      </c>
      <c r="G981" s="6" t="str">
        <f ca="1">IFERROR(__xludf.DUMMYFUNCTION("""COMPUTED_VALUE"""),"Prefer not to respond")</f>
        <v>Prefer not to respond</v>
      </c>
      <c r="H981" s="6" t="str">
        <f ca="1">IFERROR(__xludf.DUMMYFUNCTION("""COMPUTED_VALUE"""),"Woman")</f>
        <v>Woman</v>
      </c>
      <c r="I981" s="6"/>
      <c r="J981" s="6"/>
      <c r="K981" s="6"/>
      <c r="L981" s="6" t="str">
        <f ca="1">IFERROR(__xludf.DUMMYFUNCTION("""COMPUTED_VALUE"""),"--Please select--")</f>
        <v>--Please select--</v>
      </c>
      <c r="M981" s="6"/>
      <c r="N981" s="6"/>
      <c r="O981" s="6" t="str">
        <f ca="1">IFERROR(__xludf.DUMMYFUNCTION("""COMPUTED_VALUE"""),"Email")</f>
        <v>Email</v>
      </c>
      <c r="P981" s="6"/>
      <c r="Q981" s="6" t="str">
        <f ca="1">IFERROR(__xludf.DUMMYFUNCTION("""COMPUTED_VALUE"""),"No")</f>
        <v>No</v>
      </c>
      <c r="R981" s="6">
        <f ca="1">IFERROR(__xludf.DUMMYFUNCTION("""COMPUTED_VALUE"""),3)</f>
        <v>3</v>
      </c>
      <c r="S981" s="6" t="str">
        <f ca="1">IFERROR(__xludf.DUMMYFUNCTION("""COMPUTED_VALUE"""),"Pre-seed")</f>
        <v>Pre-seed</v>
      </c>
      <c r="T981" s="6" t="str">
        <f ca="1">IFERROR(__xludf.DUMMYFUNCTION("""COMPUTED_VALUE"""),"Pre-seed")</f>
        <v>Pre-seed</v>
      </c>
      <c r="U981" s="6" t="str">
        <f ca="1">IFERROR(__xludf.DUMMYFUNCTION("""COMPUTED_VALUE"""),"Pre-seed")</f>
        <v>Pre-seed</v>
      </c>
      <c r="V981" s="6"/>
      <c r="W981" s="6" t="str">
        <f ca="1">IFERROR(__xludf.DUMMYFUNCTION("""COMPUTED_VALUE"""),"Invite Next Year")</f>
        <v>Invite Next Year</v>
      </c>
    </row>
    <row r="982" spans="1:23">
      <c r="A982" s="6" t="str">
        <f ca="1">IFERROR(__xludf.DUMMYFUNCTION("""COMPUTED_VALUE"""),"Man, Man")</f>
        <v>Man, Man</v>
      </c>
      <c r="B982" s="6" t="str">
        <f ca="1">IFERROR(__xludf.DUMMYFUNCTION("""COMPUTED_VALUE"""),"Protai _2022")</f>
        <v>Protai _2022</v>
      </c>
      <c r="C982" s="6" t="str">
        <f ca="1">IFERROR(__xludf.DUMMYFUNCTION("""COMPUTED_VALUE"""),"Life Sciences")</f>
        <v>Life Sciences</v>
      </c>
      <c r="D982" s="6" t="str">
        <f ca="1">IFERROR(__xludf.DUMMYFUNCTION("""COMPUTED_VALUE"""),"Arial sharon 4, Tel Aviv 
Israel")</f>
        <v>Arial sharon 4, Tel Aviv 
Israel</v>
      </c>
      <c r="E982" s="6" t="str">
        <f ca="1">IFERROR(__xludf.DUMMYFUNCTION("""COMPUTED_VALUE"""),"International - Middle East")</f>
        <v>International - Middle East</v>
      </c>
      <c r="F982" s="6" t="str">
        <f ca="1">IFERROR(__xludf.DUMMYFUNCTION("""COMPUTED_VALUE"""),"Man")</f>
        <v>Man</v>
      </c>
      <c r="G982" s="6" t="str">
        <f ca="1">IFERROR(__xludf.DUMMYFUNCTION("""COMPUTED_VALUE"""),"Man")</f>
        <v>Man</v>
      </c>
      <c r="H982" s="6"/>
      <c r="I982" s="6"/>
      <c r="J982" s="6"/>
      <c r="K982" s="6"/>
      <c r="L982" s="6" t="str">
        <f ca="1">IFERROR(__xludf.DUMMYFUNCTION("""COMPUTED_VALUE"""),"No")</f>
        <v>No</v>
      </c>
      <c r="M982" s="6"/>
      <c r="N982" s="6"/>
      <c r="O982" s="6" t="str">
        <f ca="1">IFERROR(__xludf.DUMMYFUNCTION("""COMPUTED_VALUE"""),"Referral")</f>
        <v>Referral</v>
      </c>
      <c r="P982" s="6"/>
      <c r="Q982" s="6" t="str">
        <f ca="1">IFERROR(__xludf.DUMMYFUNCTION("""COMPUTED_VALUE"""),"No")</f>
        <v>No</v>
      </c>
      <c r="R982" s="6">
        <f ca="1">IFERROR(__xludf.DUMMYFUNCTION("""COMPUTED_VALUE"""),2)</f>
        <v>2</v>
      </c>
      <c r="S982" s="6" t="str">
        <f ca="1">IFERROR(__xludf.DUMMYFUNCTION("""COMPUTED_VALUE"""),"Seed")</f>
        <v>Seed</v>
      </c>
      <c r="T982" s="6" t="str">
        <f ca="1">IFERROR(__xludf.DUMMYFUNCTION("""COMPUTED_VALUE"""),"Seed")</f>
        <v>Seed</v>
      </c>
      <c r="U982" s="6" t="str">
        <f ca="1">IFERROR(__xludf.DUMMYFUNCTION("""COMPUTED_VALUE"""),"Seed")</f>
        <v>Seed</v>
      </c>
      <c r="V982" s="6"/>
      <c r="W982" s="6" t="str">
        <f ca="1">IFERROR(__xludf.DUMMYFUNCTION("""COMPUTED_VALUE"""),"Invite")</f>
        <v>Invite</v>
      </c>
    </row>
    <row r="983" spans="1:23">
      <c r="A983" s="6" t="str">
        <f ca="1">IFERROR(__xludf.DUMMYFUNCTION("""COMPUTED_VALUE"""),"Woman, Woman, Man, Man")</f>
        <v>Woman, Woman, Man, Man</v>
      </c>
      <c r="B983" s="6" t="str">
        <f ca="1">IFERROR(__xludf.DUMMYFUNCTION("""COMPUTED_VALUE"""),"Branddu _2022")</f>
        <v>Branddu _2022</v>
      </c>
      <c r="C983" s="6" t="str">
        <f ca="1">IFERROR(__xludf.DUMMYFUNCTION("""COMPUTED_VALUE"""),"Digital Tech")</f>
        <v>Digital Tech</v>
      </c>
      <c r="D983" s="6" t="str">
        <f ca="1">IFERROR(__xludf.DUMMYFUNCTION("""COMPUTED_VALUE"""),"Bogota, Cundinamarca 
Colombia")</f>
        <v>Bogota, Cundinamarca 
Colombia</v>
      </c>
      <c r="E983" s="6" t="str">
        <f ca="1">IFERROR(__xludf.DUMMYFUNCTION("""COMPUTED_VALUE"""),"International - Americas")</f>
        <v>International - Americas</v>
      </c>
      <c r="F983" s="6" t="str">
        <f ca="1">IFERROR(__xludf.DUMMYFUNCTION("""COMPUTED_VALUE"""),"Woman")</f>
        <v>Woman</v>
      </c>
      <c r="G983" s="6" t="str">
        <f ca="1">IFERROR(__xludf.DUMMYFUNCTION("""COMPUTED_VALUE"""),"Woman")</f>
        <v>Woman</v>
      </c>
      <c r="H983" s="6" t="str">
        <f ca="1">IFERROR(__xludf.DUMMYFUNCTION("""COMPUTED_VALUE"""),"Man")</f>
        <v>Man</v>
      </c>
      <c r="I983" s="6" t="str">
        <f ca="1">IFERROR(__xludf.DUMMYFUNCTION("""COMPUTED_VALUE"""),"Man")</f>
        <v>Man</v>
      </c>
      <c r="J983" s="6"/>
      <c r="K983" s="6"/>
      <c r="L983" s="6" t="str">
        <f ca="1">IFERROR(__xludf.DUMMYFUNCTION("""COMPUTED_VALUE"""),"No")</f>
        <v>No</v>
      </c>
      <c r="M983" s="6"/>
      <c r="N983" s="6"/>
      <c r="O983" s="6" t="str">
        <f ca="1">IFERROR(__xludf.DUMMYFUNCTION("""COMPUTED_VALUE"""),"Email")</f>
        <v>Email</v>
      </c>
      <c r="P983" s="6"/>
      <c r="Q983" s="6" t="str">
        <f ca="1">IFERROR(__xludf.DUMMYFUNCTION("""COMPUTED_VALUE"""),"No")</f>
        <v>No</v>
      </c>
      <c r="R983" s="6">
        <f ca="1">IFERROR(__xludf.DUMMYFUNCTION("""COMPUTED_VALUE"""),4)</f>
        <v>4</v>
      </c>
      <c r="S983" s="6" t="str">
        <f ca="1">IFERROR(__xludf.DUMMYFUNCTION("""COMPUTED_VALUE"""),"Pre-seed")</f>
        <v>Pre-seed</v>
      </c>
      <c r="T983" s="6" t="str">
        <f ca="1">IFERROR(__xludf.DUMMYFUNCTION("""COMPUTED_VALUE"""),"Pre-seed")</f>
        <v>Pre-seed</v>
      </c>
      <c r="U983" s="6" t="str">
        <f ca="1">IFERROR(__xludf.DUMMYFUNCTION("""COMPUTED_VALUE"""),"Pre-seed")</f>
        <v>Pre-seed</v>
      </c>
      <c r="V983" s="6"/>
      <c r="W983" s="6" t="str">
        <f ca="1">IFERROR(__xludf.DUMMYFUNCTION("""COMPUTED_VALUE"""),"Invite Next Year")</f>
        <v>Invite Next Year</v>
      </c>
    </row>
    <row r="984" spans="1:23">
      <c r="A984" s="6" t="str">
        <f ca="1">IFERROR(__xludf.DUMMYFUNCTION("""COMPUTED_VALUE"""),"Man, Man")</f>
        <v>Man, Man</v>
      </c>
      <c r="B984" s="6" t="str">
        <f ca="1">IFERROR(__xludf.DUMMYFUNCTION("""COMPUTED_VALUE"""),"Inference Analytics, Inc.  _2022")</f>
        <v>Inference Analytics, Inc.  _2022</v>
      </c>
      <c r="C984" s="6" t="str">
        <f ca="1">IFERROR(__xludf.DUMMYFUNCTION("""COMPUTED_VALUE"""),"Digital Tech")</f>
        <v>Digital Tech</v>
      </c>
      <c r="D984" s="6" t="str">
        <f ca="1">IFERROR(__xludf.DUMMYFUNCTION("""COMPUTED_VALUE"""),"222 West Merchandise Mart Plaza, #1230, Chicago, IL 60654 
United States")</f>
        <v>222 West Merchandise Mart Plaza, #1230, Chicago, IL 60654 
United States</v>
      </c>
      <c r="E984" s="6" t="str">
        <f ca="1">IFERROR(__xludf.DUMMYFUNCTION("""COMPUTED_VALUE"""),"Midwest")</f>
        <v>Midwest</v>
      </c>
      <c r="F984" s="6" t="str">
        <f ca="1">IFERROR(__xludf.DUMMYFUNCTION("""COMPUTED_VALUE"""),"Man")</f>
        <v>Man</v>
      </c>
      <c r="G984" s="6" t="str">
        <f ca="1">IFERROR(__xludf.DUMMYFUNCTION("""COMPUTED_VALUE"""),"Man")</f>
        <v>Man</v>
      </c>
      <c r="H984" s="6"/>
      <c r="I984" s="6"/>
      <c r="J984" s="6"/>
      <c r="K984" s="6"/>
      <c r="L984" s="6" t="str">
        <f ca="1">IFERROR(__xludf.DUMMYFUNCTION("""COMPUTED_VALUE"""),"No")</f>
        <v>No</v>
      </c>
      <c r="M984" s="6"/>
      <c r="N984" s="6"/>
      <c r="O984" s="6" t="str">
        <f ca="1">IFERROR(__xludf.DUMMYFUNCTION("""COMPUTED_VALUE"""),"Email")</f>
        <v>Email</v>
      </c>
      <c r="P984" s="6"/>
      <c r="Q984" s="6" t="str">
        <f ca="1">IFERROR(__xludf.DUMMYFUNCTION("""COMPUTED_VALUE"""),"No")</f>
        <v>No</v>
      </c>
      <c r="R984" s="6">
        <f ca="1">IFERROR(__xludf.DUMMYFUNCTION("""COMPUTED_VALUE"""),2)</f>
        <v>2</v>
      </c>
      <c r="S984" s="6" t="str">
        <f ca="1">IFERROR(__xludf.DUMMYFUNCTION("""COMPUTED_VALUE"""),"Pre-seed
Seed")</f>
        <v>Pre-seed
Seed</v>
      </c>
      <c r="T984" s="6" t="str">
        <f ca="1">IFERROR(__xludf.DUMMYFUNCTION("""COMPUTED_VALUE"""),"Pre-seed, Seed")</f>
        <v>Pre-seed, Seed</v>
      </c>
      <c r="U984" s="6" t="str">
        <f ca="1">IFERROR(__xludf.DUMMYFUNCTION("""COMPUTED_VALUE"""),"Pre-seed, Seed")</f>
        <v>Pre-seed, Seed</v>
      </c>
      <c r="V984" s="6"/>
      <c r="W984" s="6" t="str">
        <f ca="1">IFERROR(__xludf.DUMMYFUNCTION("""COMPUTED_VALUE"""),"Invite")</f>
        <v>Invite</v>
      </c>
    </row>
    <row r="985" spans="1:23">
      <c r="A985" s="6" t="str">
        <f ca="1">IFERROR(__xludf.DUMMYFUNCTION("""COMPUTED_VALUE"""),"Man, Man")</f>
        <v>Man, Man</v>
      </c>
      <c r="B985" s="6" t="str">
        <f ca="1">IFERROR(__xludf.DUMMYFUNCTION("""COMPUTED_VALUE"""),"Femtera Laboratories LLC _2022")</f>
        <v>Femtera Laboratories LLC _2022</v>
      </c>
      <c r="C985" s="6" t="str">
        <f ca="1">IFERROR(__xludf.DUMMYFUNCTION("""COMPUTED_VALUE"""),"Life Sciences")</f>
        <v>Life Sciences</v>
      </c>
      <c r="D985" s="6" t="str">
        <f ca="1">IFERROR(__xludf.DUMMYFUNCTION("""COMPUTED_VALUE"""),"Indianapolis, Indiana 
United States")</f>
        <v>Indianapolis, Indiana 
United States</v>
      </c>
      <c r="E985" s="6" t="str">
        <f ca="1">IFERROR(__xludf.DUMMYFUNCTION("""COMPUTED_VALUE"""),"Midwest")</f>
        <v>Midwest</v>
      </c>
      <c r="F985" s="6" t="str">
        <f ca="1">IFERROR(__xludf.DUMMYFUNCTION("""COMPUTED_VALUE"""),"Man")</f>
        <v>Man</v>
      </c>
      <c r="G985" s="6" t="str">
        <f ca="1">IFERROR(__xludf.DUMMYFUNCTION("""COMPUTED_VALUE"""),"Man")</f>
        <v>Man</v>
      </c>
      <c r="H985" s="6"/>
      <c r="I985" s="6"/>
      <c r="J985" s="6"/>
      <c r="K985" s="6"/>
      <c r="L985" s="6" t="str">
        <f ca="1">IFERROR(__xludf.DUMMYFUNCTION("""COMPUTED_VALUE"""),"No")</f>
        <v>No</v>
      </c>
      <c r="M985" s="6"/>
      <c r="N985" s="6"/>
      <c r="O985" s="6" t="str">
        <f ca="1">IFERROR(__xludf.DUMMYFUNCTION("""COMPUTED_VALUE"""),"Other")</f>
        <v>Other</v>
      </c>
      <c r="P985" s="6"/>
      <c r="Q985" s="6" t="str">
        <f ca="1">IFERROR(__xludf.DUMMYFUNCTION("""COMPUTED_VALUE"""),"Yes")</f>
        <v>Yes</v>
      </c>
      <c r="R985" s="6">
        <f ca="1">IFERROR(__xludf.DUMMYFUNCTION("""COMPUTED_VALUE"""),2)</f>
        <v>2</v>
      </c>
      <c r="S985" s="6" t="str">
        <f ca="1">IFERROR(__xludf.DUMMYFUNCTION("""COMPUTED_VALUE"""),"Seed")</f>
        <v>Seed</v>
      </c>
      <c r="T985" s="6" t="str">
        <f ca="1">IFERROR(__xludf.DUMMYFUNCTION("""COMPUTED_VALUE"""),"Seed")</f>
        <v>Seed</v>
      </c>
      <c r="U985" s="6" t="str">
        <f ca="1">IFERROR(__xludf.DUMMYFUNCTION("""COMPUTED_VALUE"""),"Seed")</f>
        <v>Seed</v>
      </c>
      <c r="V985" s="6"/>
      <c r="W985" s="6" t="str">
        <f ca="1">IFERROR(__xludf.DUMMYFUNCTION("""COMPUTED_VALUE"""),"Invite Next Year")</f>
        <v>Invite Next Year</v>
      </c>
    </row>
    <row r="986" spans="1:23">
      <c r="A986" s="6" t="str">
        <f ca="1">IFERROR(__xludf.DUMMYFUNCTION("""COMPUTED_VALUE"""),"Man")</f>
        <v>Man</v>
      </c>
      <c r="B986" s="6" t="str">
        <f ca="1">IFERROR(__xludf.DUMMYFUNCTION("""COMPUTED_VALUE"""),"WiPowerOne _2022")</f>
        <v>WiPowerOne _2022</v>
      </c>
      <c r="C986" s="6" t="str">
        <f ca="1">IFERROR(__xludf.DUMMYFUNCTION("""COMPUTED_VALUE"""),"Deep Tech")</f>
        <v>Deep Tech</v>
      </c>
      <c r="D986" s="6" t="str">
        <f ca="1">IFERROR(__xludf.DUMMYFUNCTION("""COMPUTED_VALUE"""),"Mujiro 193 Truth Hall T106, Yuseong gu, Daejeon, Daejeon 
Korea, Republic of")</f>
        <v>Mujiro 193 Truth Hall T106, Yuseong gu, Daejeon, Daejeon 
Korea, Republic of</v>
      </c>
      <c r="E986" s="6" t="str">
        <f ca="1">IFERROR(__xludf.DUMMYFUNCTION("""COMPUTED_VALUE"""),"International - Asia")</f>
        <v>International - Asia</v>
      </c>
      <c r="F986" s="6" t="str">
        <f ca="1">IFERROR(__xludf.DUMMYFUNCTION("""COMPUTED_VALUE"""),"Man")</f>
        <v>Man</v>
      </c>
      <c r="G986" s="6"/>
      <c r="H986" s="6"/>
      <c r="I986" s="6"/>
      <c r="J986" s="6"/>
      <c r="K986" s="6"/>
      <c r="L986" s="6" t="str">
        <f ca="1">IFERROR(__xludf.DUMMYFUNCTION("""COMPUTED_VALUE"""),"No")</f>
        <v>No</v>
      </c>
      <c r="M986" s="6"/>
      <c r="N986" s="6"/>
      <c r="O986" s="6" t="str">
        <f ca="1">IFERROR(__xludf.DUMMYFUNCTION("""COMPUTED_VALUE"""),"Info Session")</f>
        <v>Info Session</v>
      </c>
      <c r="P986" s="6"/>
      <c r="Q986" s="6" t="str">
        <f ca="1">IFERROR(__xludf.DUMMYFUNCTION("""COMPUTED_VALUE"""),"No")</f>
        <v>No</v>
      </c>
      <c r="R986" s="6">
        <f ca="1">IFERROR(__xludf.DUMMYFUNCTION("""COMPUTED_VALUE"""),1)</f>
        <v>1</v>
      </c>
      <c r="S986" s="6" t="str">
        <f ca="1">IFERROR(__xludf.DUMMYFUNCTION("""COMPUTED_VALUE"""),"Series A")</f>
        <v>Series A</v>
      </c>
      <c r="T986" s="6" t="str">
        <f ca="1">IFERROR(__xludf.DUMMYFUNCTION("""COMPUTED_VALUE"""),"Series A")</f>
        <v>Series A</v>
      </c>
      <c r="U986" s="6" t="str">
        <f ca="1">IFERROR(__xludf.DUMMYFUNCTION("""COMPUTED_VALUE"""),"Series A")</f>
        <v>Series A</v>
      </c>
      <c r="V986" s="6"/>
      <c r="W986" s="6" t="str">
        <f ca="1">IFERROR(__xludf.DUMMYFUNCTION("""COMPUTED_VALUE"""),"Invite")</f>
        <v>Invite</v>
      </c>
    </row>
    <row r="987" spans="1:23">
      <c r="A987" s="6" t="str">
        <f ca="1">IFERROR(__xludf.DUMMYFUNCTION("""COMPUTED_VALUE"""),"Man, Man, Man, Man")</f>
        <v>Man, Man, Man, Man</v>
      </c>
      <c r="B987" s="6" t="str">
        <f ca="1">IFERROR(__xludf.DUMMYFUNCTION("""COMPUTED_VALUE"""),"Udeesa Systemics &amp; Technology _2022")</f>
        <v>Udeesa Systemics &amp; Technology _2022</v>
      </c>
      <c r="C987" s="6" t="str">
        <f ca="1">IFERROR(__xludf.DUMMYFUNCTION("""COMPUTED_VALUE"""),"Digital Tech")</f>
        <v>Digital Tech</v>
      </c>
      <c r="D987" s="6" t="str">
        <f ca="1">IFERROR(__xludf.DUMMYFUNCTION("""COMPUTED_VALUE"""),"Ellington, CT 
United States")</f>
        <v>Ellington, CT 
United States</v>
      </c>
      <c r="E987" s="6" t="str">
        <f ca="1">IFERROR(__xludf.DUMMYFUNCTION("""COMPUTED_VALUE"""),"East Coast")</f>
        <v>East Coast</v>
      </c>
      <c r="F987" s="6" t="str">
        <f ca="1">IFERROR(__xludf.DUMMYFUNCTION("""COMPUTED_VALUE"""),"Man")</f>
        <v>Man</v>
      </c>
      <c r="G987" s="6" t="str">
        <f ca="1">IFERROR(__xludf.DUMMYFUNCTION("""COMPUTED_VALUE"""),"Man")</f>
        <v>Man</v>
      </c>
      <c r="H987" s="6" t="str">
        <f ca="1">IFERROR(__xludf.DUMMYFUNCTION("""COMPUTED_VALUE"""),"Man")</f>
        <v>Man</v>
      </c>
      <c r="I987" s="6" t="str">
        <f ca="1">IFERROR(__xludf.DUMMYFUNCTION("""COMPUTED_VALUE"""),"Man")</f>
        <v>Man</v>
      </c>
      <c r="J987" s="6"/>
      <c r="K987" s="6"/>
      <c r="L987" s="6" t="str">
        <f ca="1">IFERROR(__xludf.DUMMYFUNCTION("""COMPUTED_VALUE"""),"No")</f>
        <v>No</v>
      </c>
      <c r="M987" s="6"/>
      <c r="N987" s="6"/>
      <c r="O987" s="6" t="str">
        <f ca="1">IFERROR(__xludf.DUMMYFUNCTION("""COMPUTED_VALUE"""),"A web posting")</f>
        <v>A web posting</v>
      </c>
      <c r="P987" s="6"/>
      <c r="Q987" s="6" t="str">
        <f ca="1">IFERROR(__xludf.DUMMYFUNCTION("""COMPUTED_VALUE"""),"No")</f>
        <v>No</v>
      </c>
      <c r="R987" s="6">
        <f ca="1">IFERROR(__xludf.DUMMYFUNCTION("""COMPUTED_VALUE"""),4)</f>
        <v>4</v>
      </c>
      <c r="S987" s="6" t="str">
        <f ca="1">IFERROR(__xludf.DUMMYFUNCTION("""COMPUTED_VALUE"""),"None")</f>
        <v>None</v>
      </c>
      <c r="T987" s="6" t="str">
        <f ca="1">IFERROR(__xludf.DUMMYFUNCTION("""COMPUTED_VALUE"""),"None")</f>
        <v>None</v>
      </c>
      <c r="U987" s="6" t="str">
        <f ca="1">IFERROR(__xludf.DUMMYFUNCTION("""COMPUTED_VALUE"""),"None")</f>
        <v>None</v>
      </c>
      <c r="V987" s="6"/>
      <c r="W987" s="6" t="str">
        <f ca="1">IFERROR(__xludf.DUMMYFUNCTION("""COMPUTED_VALUE"""),"Invite Next Year")</f>
        <v>Invite Next Year</v>
      </c>
    </row>
    <row r="988" spans="1:23">
      <c r="A988" s="6" t="str">
        <f ca="1">IFERROR(__xludf.DUMMYFUNCTION("""COMPUTED_VALUE"""),"Man")</f>
        <v>Man</v>
      </c>
      <c r="B988" s="6" t="str">
        <f ca="1">IFERROR(__xludf.DUMMYFUNCTION("""COMPUTED_VALUE"""),"Blueberry Technology Inc. _2022")</f>
        <v>Blueberry Technology Inc. _2022</v>
      </c>
      <c r="C988" s="6" t="str">
        <f ca="1">IFERROR(__xludf.DUMMYFUNCTION("""COMPUTED_VALUE"""),"Digital Tech")</f>
        <v>Digital Tech</v>
      </c>
      <c r="D988" s="6" t="str">
        <f ca="1">IFERROR(__xludf.DUMMYFUNCTION("""COMPUTED_VALUE"""),"San Jose, CA 
United States")</f>
        <v>San Jose, CA 
United States</v>
      </c>
      <c r="E988" s="6" t="str">
        <f ca="1">IFERROR(__xludf.DUMMYFUNCTION("""COMPUTED_VALUE"""),"West Coast")</f>
        <v>West Coast</v>
      </c>
      <c r="F988" s="6" t="str">
        <f ca="1">IFERROR(__xludf.DUMMYFUNCTION("""COMPUTED_VALUE"""),"Man")</f>
        <v>Man</v>
      </c>
      <c r="G988" s="6"/>
      <c r="H988" s="6"/>
      <c r="I988" s="6"/>
      <c r="J988" s="6"/>
      <c r="K988" s="6"/>
      <c r="L988" s="6" t="str">
        <f ca="1">IFERROR(__xludf.DUMMYFUNCTION("""COMPUTED_VALUE"""),"--Please select--")</f>
        <v>--Please select--</v>
      </c>
      <c r="M988" s="6"/>
      <c r="N988" s="6"/>
      <c r="O988" s="6" t="str">
        <f ca="1">IFERROR(__xludf.DUMMYFUNCTION("""COMPUTED_VALUE"""),"Referral")</f>
        <v>Referral</v>
      </c>
      <c r="P988" s="6"/>
      <c r="Q988" s="6" t="str">
        <f ca="1">IFERROR(__xludf.DUMMYFUNCTION("""COMPUTED_VALUE"""),"Yes")</f>
        <v>Yes</v>
      </c>
      <c r="R988" s="6">
        <f ca="1">IFERROR(__xludf.DUMMYFUNCTION("""COMPUTED_VALUE"""),1)</f>
        <v>1</v>
      </c>
      <c r="S988" s="6" t="str">
        <f ca="1">IFERROR(__xludf.DUMMYFUNCTION("""COMPUTED_VALUE"""),"Pre-seed")</f>
        <v>Pre-seed</v>
      </c>
      <c r="T988" s="6" t="str">
        <f ca="1">IFERROR(__xludf.DUMMYFUNCTION("""COMPUTED_VALUE"""),"Pre-seed")</f>
        <v>Pre-seed</v>
      </c>
      <c r="U988" s="6" t="str">
        <f ca="1">IFERROR(__xludf.DUMMYFUNCTION("""COMPUTED_VALUE"""),"Pre-seed")</f>
        <v>Pre-seed</v>
      </c>
      <c r="V988" s="6"/>
      <c r="W988" s="6" t="str">
        <f ca="1">IFERROR(__xludf.DUMMYFUNCTION("""COMPUTED_VALUE"""),"Invite Next Year")</f>
        <v>Invite Next Year</v>
      </c>
    </row>
    <row r="989" spans="1:23">
      <c r="A989" s="6" t="str">
        <f ca="1">IFERROR(__xludf.DUMMYFUNCTION("""COMPUTED_VALUE"""),"Woman")</f>
        <v>Woman</v>
      </c>
      <c r="B989" s="6" t="str">
        <f ca="1">IFERROR(__xludf.DUMMYFUNCTION("""COMPUTED_VALUE"""),"CodeGem _2022")</f>
        <v>CodeGem _2022</v>
      </c>
      <c r="C989" s="6" t="str">
        <f ca="1">IFERROR(__xludf.DUMMYFUNCTION("""COMPUTED_VALUE"""),"Digital Tech")</f>
        <v>Digital Tech</v>
      </c>
      <c r="D989" s="6" t="str">
        <f ca="1">IFERROR(__xludf.DUMMYFUNCTION("""COMPUTED_VALUE"""),"Kitchener, Ontario 
Canada")</f>
        <v>Kitchener, Ontario 
Canada</v>
      </c>
      <c r="E989" s="6" t="str">
        <f ca="1">IFERROR(__xludf.DUMMYFUNCTION("""COMPUTED_VALUE"""),"International - Americas")</f>
        <v>International - Americas</v>
      </c>
      <c r="F989" s="6" t="str">
        <f ca="1">IFERROR(__xludf.DUMMYFUNCTION("""COMPUTED_VALUE"""),"Woman")</f>
        <v>Woman</v>
      </c>
      <c r="G989" s="6"/>
      <c r="H989" s="6"/>
      <c r="I989" s="6"/>
      <c r="J989" s="6"/>
      <c r="K989" s="6"/>
      <c r="L989" s="6" t="str">
        <f ca="1">IFERROR(__xludf.DUMMYFUNCTION("""COMPUTED_VALUE"""),"No")</f>
        <v>No</v>
      </c>
      <c r="M989" s="6"/>
      <c r="N989" s="6"/>
      <c r="O989" s="6" t="str">
        <f ca="1">IFERROR(__xludf.DUMMYFUNCTION("""COMPUTED_VALUE"""),"Referral")</f>
        <v>Referral</v>
      </c>
      <c r="P989" s="6"/>
      <c r="Q989" s="6" t="str">
        <f ca="1">IFERROR(__xludf.DUMMYFUNCTION("""COMPUTED_VALUE"""),"No")</f>
        <v>No</v>
      </c>
      <c r="R989" s="6">
        <f ca="1">IFERROR(__xludf.DUMMYFUNCTION("""COMPUTED_VALUE"""),1)</f>
        <v>1</v>
      </c>
      <c r="S989" s="6" t="str">
        <f ca="1">IFERROR(__xludf.DUMMYFUNCTION("""COMPUTED_VALUE"""),"Pre-seed")</f>
        <v>Pre-seed</v>
      </c>
      <c r="T989" s="6" t="str">
        <f ca="1">IFERROR(__xludf.DUMMYFUNCTION("""COMPUTED_VALUE"""),"Pre-seed")</f>
        <v>Pre-seed</v>
      </c>
      <c r="U989" s="6" t="str">
        <f ca="1">IFERROR(__xludf.DUMMYFUNCTION("""COMPUTED_VALUE"""),"Pre-seed")</f>
        <v>Pre-seed</v>
      </c>
      <c r="V989" s="6"/>
      <c r="W989" s="6" t="str">
        <f ca="1">IFERROR(__xludf.DUMMYFUNCTION("""COMPUTED_VALUE"""),"Invite Next Year")</f>
        <v>Invite Next Year</v>
      </c>
    </row>
    <row r="990" spans="1:23">
      <c r="A990" s="6" t="str">
        <f ca="1">IFERROR(__xludf.DUMMYFUNCTION("""COMPUTED_VALUE"""),"Man")</f>
        <v>Man</v>
      </c>
      <c r="B990" s="6" t="str">
        <f ca="1">IFERROR(__xludf.DUMMYFUNCTION("""COMPUTED_VALUE"""),"KARMEQ, LLC _2022")</f>
        <v>KARMEQ, LLC _2022</v>
      </c>
      <c r="C990" s="6" t="str">
        <f ca="1">IFERROR(__xludf.DUMMYFUNCTION("""COMPUTED_VALUE"""),"Digital Tech")</f>
        <v>Digital Tech</v>
      </c>
      <c r="D990" s="6" t="str">
        <f ca="1">IFERROR(__xludf.DUMMYFUNCTION("""COMPUTED_VALUE"""),"San Francisco, CA 
United States")</f>
        <v>San Francisco, CA 
United States</v>
      </c>
      <c r="E990" s="6" t="str">
        <f ca="1">IFERROR(__xludf.DUMMYFUNCTION("""COMPUTED_VALUE"""),"West Coast")</f>
        <v>West Coast</v>
      </c>
      <c r="F990" s="6" t="str">
        <f ca="1">IFERROR(__xludf.DUMMYFUNCTION("""COMPUTED_VALUE"""),"Man")</f>
        <v>Man</v>
      </c>
      <c r="G990" s="6"/>
      <c r="H990" s="6"/>
      <c r="I990" s="6"/>
      <c r="J990" s="6"/>
      <c r="K990" s="6"/>
      <c r="L990" s="6" t="str">
        <f ca="1">IFERROR(__xludf.DUMMYFUNCTION("""COMPUTED_VALUE"""),"--Please select--")</f>
        <v>--Please select--</v>
      </c>
      <c r="M990" s="6"/>
      <c r="N990" s="6"/>
      <c r="O990" s="6" t="str">
        <f ca="1">IFERROR(__xludf.DUMMYFUNCTION("""COMPUTED_VALUE"""),"Referral")</f>
        <v>Referral</v>
      </c>
      <c r="P990" s="6"/>
      <c r="Q990" s="6" t="str">
        <f ca="1">IFERROR(__xludf.DUMMYFUNCTION("""COMPUTED_VALUE"""),"No")</f>
        <v>No</v>
      </c>
      <c r="R990" s="6">
        <f ca="1">IFERROR(__xludf.DUMMYFUNCTION("""COMPUTED_VALUE"""),1)</f>
        <v>1</v>
      </c>
      <c r="S990" s="6" t="str">
        <f ca="1">IFERROR(__xludf.DUMMYFUNCTION("""COMPUTED_VALUE"""),"Other: Bootstrapped by the Founder")</f>
        <v>Other: Bootstrapped by the Founder</v>
      </c>
      <c r="T990" s="6" t="str">
        <f ca="1">IFERROR(__xludf.DUMMYFUNCTION("""COMPUTED_VALUE"""),"Other: Bootstrapped by the Founder")</f>
        <v>Other: Bootstrapped by the Founder</v>
      </c>
      <c r="U990" s="6" t="str">
        <f ca="1">IFERROR(__xludf.DUMMYFUNCTION("""COMPUTED_VALUE"""),"Bootstrapped by the Founder")</f>
        <v>Bootstrapped by the Founder</v>
      </c>
      <c r="V990" s="6"/>
      <c r="W990" s="6" t="str">
        <f ca="1">IFERROR(__xludf.DUMMYFUNCTION("""COMPUTED_VALUE"""),"Invite Next Year")</f>
        <v>Invite Next Year</v>
      </c>
    </row>
    <row r="991" spans="1:23">
      <c r="A991" s="6" t="str">
        <f ca="1">IFERROR(__xludf.DUMMYFUNCTION("""COMPUTED_VALUE"""),"Woman")</f>
        <v>Woman</v>
      </c>
      <c r="B991" s="6" t="str">
        <f ca="1">IFERROR(__xludf.DUMMYFUNCTION("""COMPUTED_VALUE"""),"Yuty  _2022")</f>
        <v>Yuty  _2022</v>
      </c>
      <c r="C991" s="6" t="str">
        <f ca="1">IFERROR(__xludf.DUMMYFUNCTION("""COMPUTED_VALUE"""),"Digital Tech")</f>
        <v>Digital Tech</v>
      </c>
      <c r="D991" s="6" t="str">
        <f ca="1">IFERROR(__xludf.DUMMYFUNCTION("""COMPUTED_VALUE"""),"71-75 Shelton Street, London 
United Kingdom")</f>
        <v>71-75 Shelton Street, London 
United Kingdom</v>
      </c>
      <c r="E991" s="6" t="str">
        <f ca="1">IFERROR(__xludf.DUMMYFUNCTION("""COMPUTED_VALUE"""),"International - Europe")</f>
        <v>International - Europe</v>
      </c>
      <c r="F991" s="6" t="str">
        <f ca="1">IFERROR(__xludf.DUMMYFUNCTION("""COMPUTED_VALUE"""),"Woman")</f>
        <v>Woman</v>
      </c>
      <c r="G991" s="6"/>
      <c r="H991" s="6"/>
      <c r="I991" s="6"/>
      <c r="J991" s="6"/>
      <c r="K991" s="6"/>
      <c r="L991" s="6" t="str">
        <f ca="1">IFERROR(__xludf.DUMMYFUNCTION("""COMPUTED_VALUE"""),"No")</f>
        <v>No</v>
      </c>
      <c r="M991" s="6"/>
      <c r="N991" s="6"/>
      <c r="O991" s="6" t="str">
        <f ca="1">IFERROR(__xludf.DUMMYFUNCTION("""COMPUTED_VALUE"""),"Email")</f>
        <v>Email</v>
      </c>
      <c r="P991" s="6"/>
      <c r="Q991" s="6" t="str">
        <f ca="1">IFERROR(__xludf.DUMMYFUNCTION("""COMPUTED_VALUE"""),"No")</f>
        <v>No</v>
      </c>
      <c r="R991" s="6">
        <f ca="1">IFERROR(__xludf.DUMMYFUNCTION("""COMPUTED_VALUE"""),1)</f>
        <v>1</v>
      </c>
      <c r="S991" s="6" t="str">
        <f ca="1">IFERROR(__xludf.DUMMYFUNCTION("""COMPUTED_VALUE"""),"Pre-seed
Grants")</f>
        <v>Pre-seed
Grants</v>
      </c>
      <c r="T991" s="6" t="str">
        <f ca="1">IFERROR(__xludf.DUMMYFUNCTION("""COMPUTED_VALUE"""),"Pre-seed, Grants")</f>
        <v>Pre-seed, Grants</v>
      </c>
      <c r="U991" s="6" t="str">
        <f ca="1">IFERROR(__xludf.DUMMYFUNCTION("""COMPUTED_VALUE"""),"Pre-seed, Grants")</f>
        <v>Pre-seed, Grants</v>
      </c>
      <c r="V991" s="6"/>
      <c r="W991" s="6" t="str">
        <f ca="1">IFERROR(__xludf.DUMMYFUNCTION("""COMPUTED_VALUE"""),"Invite Next Year")</f>
        <v>Invite Next Year</v>
      </c>
    </row>
    <row r="992" spans="1:23">
      <c r="A992" s="6" t="str">
        <f ca="1">IFERROR(__xludf.DUMMYFUNCTION("""COMPUTED_VALUE"""),"Woman, Woman")</f>
        <v>Woman, Woman</v>
      </c>
      <c r="B992" s="6" t="str">
        <f ca="1">IFERROR(__xludf.DUMMYFUNCTION("""COMPUTED_VALUE"""),"Rapid Nexus Nanotech Wound Solutions, Inc. _2022")</f>
        <v>Rapid Nexus Nanotech Wound Solutions, Inc. _2022</v>
      </c>
      <c r="C992" s="6" t="str">
        <f ca="1">IFERROR(__xludf.DUMMYFUNCTION("""COMPUTED_VALUE"""),"Life Sciences")</f>
        <v>Life Sciences</v>
      </c>
      <c r="D992" s="6" t="str">
        <f ca="1">IFERROR(__xludf.DUMMYFUNCTION("""COMPUTED_VALUE"""),"4435 Spectrum, Irvine, California 
United States")</f>
        <v>4435 Spectrum, Irvine, California 
United States</v>
      </c>
      <c r="E992" s="6" t="str">
        <f ca="1">IFERROR(__xludf.DUMMYFUNCTION("""COMPUTED_VALUE"""),"West Coast")</f>
        <v>West Coast</v>
      </c>
      <c r="F992" s="6" t="str">
        <f ca="1">IFERROR(__xludf.DUMMYFUNCTION("""COMPUTED_VALUE"""),"Woman")</f>
        <v>Woman</v>
      </c>
      <c r="G992" s="6" t="str">
        <f ca="1">IFERROR(__xludf.DUMMYFUNCTION("""COMPUTED_VALUE"""),"Woman")</f>
        <v>Woman</v>
      </c>
      <c r="H992" s="6"/>
      <c r="I992" s="6"/>
      <c r="J992" s="6"/>
      <c r="K992" s="6"/>
      <c r="L992" s="6" t="str">
        <f ca="1">IFERROR(__xludf.DUMMYFUNCTION("""COMPUTED_VALUE"""),"No")</f>
        <v>No</v>
      </c>
      <c r="M992" s="6"/>
      <c r="N992" s="6"/>
      <c r="O992" s="6" t="str">
        <f ca="1">IFERROR(__xludf.DUMMYFUNCTION("""COMPUTED_VALUE"""),"LinkedIn")</f>
        <v>LinkedIn</v>
      </c>
      <c r="P992" s="6"/>
      <c r="Q992" s="6" t="str">
        <f ca="1">IFERROR(__xludf.DUMMYFUNCTION("""COMPUTED_VALUE"""),"No")</f>
        <v>No</v>
      </c>
      <c r="R992" s="6">
        <f ca="1">IFERROR(__xludf.DUMMYFUNCTION("""COMPUTED_VALUE"""),2)</f>
        <v>2</v>
      </c>
      <c r="S992" s="6" t="str">
        <f ca="1">IFERROR(__xludf.DUMMYFUNCTION("""COMPUTED_VALUE"""),"Seed")</f>
        <v>Seed</v>
      </c>
      <c r="T992" s="6" t="str">
        <f ca="1">IFERROR(__xludf.DUMMYFUNCTION("""COMPUTED_VALUE"""),"Seed")</f>
        <v>Seed</v>
      </c>
      <c r="U992" s="6" t="str">
        <f ca="1">IFERROR(__xludf.DUMMYFUNCTION("""COMPUTED_VALUE"""),"Seed")</f>
        <v>Seed</v>
      </c>
      <c r="V992" s="6"/>
      <c r="W992" s="6" t="str">
        <f ca="1">IFERROR(__xludf.DUMMYFUNCTION("""COMPUTED_VALUE"""),"Invite Next Year")</f>
        <v>Invite Next Year</v>
      </c>
    </row>
    <row r="993" spans="1:23">
      <c r="A993" s="6" t="str">
        <f ca="1">IFERROR(__xludf.DUMMYFUNCTION("""COMPUTED_VALUE"""),"Man")</f>
        <v>Man</v>
      </c>
      <c r="B993" s="6" t="str">
        <f ca="1">IFERROR(__xludf.DUMMYFUNCTION("""COMPUTED_VALUE"""),"Sona Labs _2022")</f>
        <v>Sona Labs _2022</v>
      </c>
      <c r="C993" s="6" t="str">
        <f ca="1">IFERROR(__xludf.DUMMYFUNCTION("""COMPUTED_VALUE"""),"Life Sciences")</f>
        <v>Life Sciences</v>
      </c>
      <c r="D993" s="6" t="str">
        <f ca="1">IFERROR(__xludf.DUMMYFUNCTION("""COMPUTED_VALUE"""),"Pacific Palisades, CA 
United States")</f>
        <v>Pacific Palisades, CA 
United States</v>
      </c>
      <c r="E993" s="6" t="str">
        <f ca="1">IFERROR(__xludf.DUMMYFUNCTION("""COMPUTED_VALUE"""),"West Coast")</f>
        <v>West Coast</v>
      </c>
      <c r="F993" s="6" t="str">
        <f ca="1">IFERROR(__xludf.DUMMYFUNCTION("""COMPUTED_VALUE"""),"Man")</f>
        <v>Man</v>
      </c>
      <c r="G993" s="6"/>
      <c r="H993" s="6"/>
      <c r="I993" s="6"/>
      <c r="J993" s="6"/>
      <c r="K993" s="6"/>
      <c r="L993" s="6" t="str">
        <f ca="1">IFERROR(__xludf.DUMMYFUNCTION("""COMPUTED_VALUE"""),"No")</f>
        <v>No</v>
      </c>
      <c r="M993" s="6"/>
      <c r="N993" s="6"/>
      <c r="O993" s="6" t="str">
        <f ca="1">IFERROR(__xludf.DUMMYFUNCTION("""COMPUTED_VALUE"""),"Referral")</f>
        <v>Referral</v>
      </c>
      <c r="P993" s="6"/>
      <c r="Q993" s="6" t="str">
        <f ca="1">IFERROR(__xludf.DUMMYFUNCTION("""COMPUTED_VALUE"""),"Yes")</f>
        <v>Yes</v>
      </c>
      <c r="R993" s="6">
        <f ca="1">IFERROR(__xludf.DUMMYFUNCTION("""COMPUTED_VALUE"""),1)</f>
        <v>1</v>
      </c>
      <c r="S993" s="6" t="str">
        <f ca="1">IFERROR(__xludf.DUMMYFUNCTION("""COMPUTED_VALUE"""),"Pre-seed")</f>
        <v>Pre-seed</v>
      </c>
      <c r="T993" s="6" t="str">
        <f ca="1">IFERROR(__xludf.DUMMYFUNCTION("""COMPUTED_VALUE"""),"Pre-seed")</f>
        <v>Pre-seed</v>
      </c>
      <c r="U993" s="6" t="str">
        <f ca="1">IFERROR(__xludf.DUMMYFUNCTION("""COMPUTED_VALUE"""),"Pre-seed")</f>
        <v>Pre-seed</v>
      </c>
      <c r="V993" s="6"/>
      <c r="W993" s="6" t="str">
        <f ca="1">IFERROR(__xludf.DUMMYFUNCTION("""COMPUTED_VALUE"""),"Invite Next Year")</f>
        <v>Invite Next Year</v>
      </c>
    </row>
    <row r="994" spans="1:23">
      <c r="A994" s="6" t="str">
        <f ca="1">IFERROR(__xludf.DUMMYFUNCTION("""COMPUTED_VALUE"""),"Man, Woman")</f>
        <v>Man, Woman</v>
      </c>
      <c r="B994" s="6" t="str">
        <f ca="1">IFERROR(__xludf.DUMMYFUNCTION("""COMPUTED_VALUE"""),"AUMHUM _2022")</f>
        <v>AUMHUM _2022</v>
      </c>
      <c r="C994" s="6" t="str">
        <f ca="1">IFERROR(__xludf.DUMMYFUNCTION("""COMPUTED_VALUE"""),"Digital Tech")</f>
        <v>Digital Tech</v>
      </c>
      <c r="D994" s="6" t="str">
        <f ca="1">IFERROR(__xludf.DUMMYFUNCTION("""COMPUTED_VALUE"""),"Bangalore, Karnataka 
India")</f>
        <v>Bangalore, Karnataka 
India</v>
      </c>
      <c r="E994" s="6" t="str">
        <f ca="1">IFERROR(__xludf.DUMMYFUNCTION("""COMPUTED_VALUE"""),"International - Asia")</f>
        <v>International - Asia</v>
      </c>
      <c r="F994" s="6" t="str">
        <f ca="1">IFERROR(__xludf.DUMMYFUNCTION("""COMPUTED_VALUE"""),"Man")</f>
        <v>Man</v>
      </c>
      <c r="G994" s="6" t="str">
        <f ca="1">IFERROR(__xludf.DUMMYFUNCTION("""COMPUTED_VALUE"""),"Woman")</f>
        <v>Woman</v>
      </c>
      <c r="H994" s="6"/>
      <c r="I994" s="6"/>
      <c r="J994" s="6"/>
      <c r="K994" s="6"/>
      <c r="L994" s="6" t="str">
        <f ca="1">IFERROR(__xludf.DUMMYFUNCTION("""COMPUTED_VALUE"""),"No")</f>
        <v>No</v>
      </c>
      <c r="M994" s="6"/>
      <c r="N994" s="6"/>
      <c r="O994" s="6" t="str">
        <f ca="1">IFERROR(__xludf.DUMMYFUNCTION("""COMPUTED_VALUE"""),"Email")</f>
        <v>Email</v>
      </c>
      <c r="P994" s="6"/>
      <c r="Q994" s="6" t="str">
        <f ca="1">IFERROR(__xludf.DUMMYFUNCTION("""COMPUTED_VALUE"""),"No")</f>
        <v>No</v>
      </c>
      <c r="R994" s="6">
        <f ca="1">IFERROR(__xludf.DUMMYFUNCTION("""COMPUTED_VALUE"""),2)</f>
        <v>2</v>
      </c>
      <c r="S994" s="6" t="str">
        <f ca="1">IFERROR(__xludf.DUMMYFUNCTION("""COMPUTED_VALUE"""),"Pre-seed")</f>
        <v>Pre-seed</v>
      </c>
      <c r="T994" s="6" t="str">
        <f ca="1">IFERROR(__xludf.DUMMYFUNCTION("""COMPUTED_VALUE"""),"Pre-seed")</f>
        <v>Pre-seed</v>
      </c>
      <c r="U994" s="6" t="str">
        <f ca="1">IFERROR(__xludf.DUMMYFUNCTION("""COMPUTED_VALUE"""),"Pre-seed")</f>
        <v>Pre-seed</v>
      </c>
      <c r="V994" s="6"/>
      <c r="W994" s="6" t="str">
        <f ca="1">IFERROR(__xludf.DUMMYFUNCTION("""COMPUTED_VALUE"""),"Invite Next Year")</f>
        <v>Invite Next Year</v>
      </c>
    </row>
    <row r="995" spans="1:23">
      <c r="A995" s="6" t="str">
        <f ca="1">IFERROR(__xludf.DUMMYFUNCTION("""COMPUTED_VALUE"""),"Woman, Man")</f>
        <v>Woman, Man</v>
      </c>
      <c r="B995" s="6" t="str">
        <f ca="1">IFERROR(__xludf.DUMMYFUNCTION("""COMPUTED_VALUE"""),"Clocr (Crypto Legacy) _2022")</f>
        <v>Clocr (Crypto Legacy) _2022</v>
      </c>
      <c r="C995" s="6" t="str">
        <f ca="1">IFERROR(__xludf.DUMMYFUNCTION("""COMPUTED_VALUE"""),"Digital Tech")</f>
        <v>Digital Tech</v>
      </c>
      <c r="D995" s="6" t="str">
        <f ca="1">IFERROR(__xludf.DUMMYFUNCTION("""COMPUTED_VALUE"""),"Austin, Texas 
United States")</f>
        <v>Austin, Texas 
United States</v>
      </c>
      <c r="E995" s="6" t="str">
        <f ca="1">IFERROR(__xludf.DUMMYFUNCTION("""COMPUTED_VALUE"""),"South")</f>
        <v>South</v>
      </c>
      <c r="F995" s="6" t="str">
        <f ca="1">IFERROR(__xludf.DUMMYFUNCTION("""COMPUTED_VALUE"""),"Woman")</f>
        <v>Woman</v>
      </c>
      <c r="G995" s="6" t="str">
        <f ca="1">IFERROR(__xludf.DUMMYFUNCTION("""COMPUTED_VALUE"""),"Man")</f>
        <v>Man</v>
      </c>
      <c r="H995" s="6"/>
      <c r="I995" s="6"/>
      <c r="J995" s="6"/>
      <c r="K995" s="6"/>
      <c r="L995" s="6" t="str">
        <f ca="1">IFERROR(__xludf.DUMMYFUNCTION("""COMPUTED_VALUE"""),"No")</f>
        <v>No</v>
      </c>
      <c r="M995" s="6"/>
      <c r="N995" s="6"/>
      <c r="O995" s="6" t="str">
        <f ca="1">IFERROR(__xludf.DUMMYFUNCTION("""COMPUTED_VALUE"""),"Email")</f>
        <v>Email</v>
      </c>
      <c r="P995" s="6"/>
      <c r="Q995" s="6" t="str">
        <f ca="1">IFERROR(__xludf.DUMMYFUNCTION("""COMPUTED_VALUE"""),"No")</f>
        <v>No</v>
      </c>
      <c r="R995" s="6">
        <f ca="1">IFERROR(__xludf.DUMMYFUNCTION("""COMPUTED_VALUE"""),2)</f>
        <v>2</v>
      </c>
      <c r="S995" s="6" t="str">
        <f ca="1">IFERROR(__xludf.DUMMYFUNCTION("""COMPUTED_VALUE"""),"Pre-seed")</f>
        <v>Pre-seed</v>
      </c>
      <c r="T995" s="6" t="str">
        <f ca="1">IFERROR(__xludf.DUMMYFUNCTION("""COMPUTED_VALUE"""),"Pre-seed")</f>
        <v>Pre-seed</v>
      </c>
      <c r="U995" s="6" t="str">
        <f ca="1">IFERROR(__xludf.DUMMYFUNCTION("""COMPUTED_VALUE"""),"Pre-seed")</f>
        <v>Pre-seed</v>
      </c>
      <c r="V995" s="6"/>
      <c r="W995" s="6" t="str">
        <f ca="1">IFERROR(__xludf.DUMMYFUNCTION("""COMPUTED_VALUE"""),"Invite Next Year")</f>
        <v>Invite Next Year</v>
      </c>
    </row>
    <row r="996" spans="1:23">
      <c r="A996" s="6" t="str">
        <f ca="1">IFERROR(__xludf.DUMMYFUNCTION("""COMPUTED_VALUE"""),"Man, Man, Man")</f>
        <v>Man, Man, Man</v>
      </c>
      <c r="B996" s="6" t="str">
        <f ca="1">IFERROR(__xludf.DUMMYFUNCTION("""COMPUTED_VALUE"""),"WATZ _2022")</f>
        <v>WATZ _2022</v>
      </c>
      <c r="C996" s="6" t="str">
        <f ca="1">IFERROR(__xludf.DUMMYFUNCTION("""COMPUTED_VALUE"""),"Deep Tech")</f>
        <v>Deep Tech</v>
      </c>
      <c r="D996" s="6" t="str">
        <f ca="1">IFERROR(__xludf.DUMMYFUNCTION("""COMPUTED_VALUE"""),"Parkland, FL 
United States")</f>
        <v>Parkland, FL 
United States</v>
      </c>
      <c r="E996" s="6" t="str">
        <f ca="1">IFERROR(__xludf.DUMMYFUNCTION("""COMPUTED_VALUE"""),"East Coast")</f>
        <v>East Coast</v>
      </c>
      <c r="F996" s="6" t="str">
        <f ca="1">IFERROR(__xludf.DUMMYFUNCTION("""COMPUTED_VALUE"""),"Man")</f>
        <v>Man</v>
      </c>
      <c r="G996" s="6" t="str">
        <f ca="1">IFERROR(__xludf.DUMMYFUNCTION("""COMPUTED_VALUE"""),"Man")</f>
        <v>Man</v>
      </c>
      <c r="H996" s="6" t="str">
        <f ca="1">IFERROR(__xludf.DUMMYFUNCTION("""COMPUTED_VALUE"""),"Man")</f>
        <v>Man</v>
      </c>
      <c r="I996" s="6"/>
      <c r="J996" s="6"/>
      <c r="K996" s="6"/>
      <c r="L996" s="6" t="str">
        <f ca="1">IFERROR(__xludf.DUMMYFUNCTION("""COMPUTED_VALUE"""),"Yes")</f>
        <v>Yes</v>
      </c>
      <c r="M996" s="6" t="str">
        <f ca="1">IFERROR(__xludf.DUMMYFUNCTION("""COMPUTED_VALUE"""),"Other (please specify)")</f>
        <v>Other (please specify)</v>
      </c>
      <c r="N996" s="6" t="str">
        <f ca="1">IFERROR(__xludf.DUMMYFUNCTION("""COMPUTED_VALUE"""),"CEO's partner is a recent graduate in Cognitive Neuroscience")</f>
        <v>CEO's partner is a recent graduate in Cognitive Neuroscience</v>
      </c>
      <c r="O996" s="6" t="str">
        <f ca="1">IFERROR(__xludf.DUMMYFUNCTION("""COMPUTED_VALUE"""),"Referral")</f>
        <v>Referral</v>
      </c>
      <c r="P996" s="6"/>
      <c r="Q996" s="6" t="str">
        <f ca="1">IFERROR(__xludf.DUMMYFUNCTION("""COMPUTED_VALUE"""),"No")</f>
        <v>No</v>
      </c>
      <c r="R996" s="6">
        <f ca="1">IFERROR(__xludf.DUMMYFUNCTION("""COMPUTED_VALUE"""),3)</f>
        <v>3</v>
      </c>
      <c r="S996" s="6" t="str">
        <f ca="1">IFERROR(__xludf.DUMMYFUNCTION("""COMPUTED_VALUE"""),"None")</f>
        <v>None</v>
      </c>
      <c r="T996" s="6" t="str">
        <f ca="1">IFERROR(__xludf.DUMMYFUNCTION("""COMPUTED_VALUE"""),"None")</f>
        <v>None</v>
      </c>
      <c r="U996" s="6" t="str">
        <f ca="1">IFERROR(__xludf.DUMMYFUNCTION("""COMPUTED_VALUE"""),"None")</f>
        <v>None</v>
      </c>
      <c r="V996" s="6"/>
      <c r="W996" s="6" t="str">
        <f ca="1">IFERROR(__xludf.DUMMYFUNCTION("""COMPUTED_VALUE"""),"Invite Next Year")</f>
        <v>Invite Next Year</v>
      </c>
    </row>
    <row r="997" spans="1:23">
      <c r="A997" s="6" t="str">
        <f ca="1">IFERROR(__xludf.DUMMYFUNCTION("""COMPUTED_VALUE"""),"Man, Man")</f>
        <v>Man, Man</v>
      </c>
      <c r="B997" s="6" t="str">
        <f ca="1">IFERROR(__xludf.DUMMYFUNCTION("""COMPUTED_VALUE"""),"Plantae Bioscience _2022")</f>
        <v>Plantae Bioscience _2022</v>
      </c>
      <c r="C997" s="6" t="str">
        <f ca="1">IFERROR(__xludf.DUMMYFUNCTION("""COMPUTED_VALUE"""),"Deep Tech")</f>
        <v>Deep Tech</v>
      </c>
      <c r="D997" s="6" t="str">
        <f ca="1">IFERROR(__xludf.DUMMYFUNCTION("""COMPUTED_VALUE"""),"94 Yigal Alon St Tel Aviv, IL 
Israel")</f>
        <v>94 Yigal Alon St Tel Aviv, IL 
Israel</v>
      </c>
      <c r="E997" s="6" t="str">
        <f ca="1">IFERROR(__xludf.DUMMYFUNCTION("""COMPUTED_VALUE"""),"International - Middle East")</f>
        <v>International - Middle East</v>
      </c>
      <c r="F997" s="6" t="str">
        <f ca="1">IFERROR(__xludf.DUMMYFUNCTION("""COMPUTED_VALUE"""),"Man")</f>
        <v>Man</v>
      </c>
      <c r="G997" s="6" t="str">
        <f ca="1">IFERROR(__xludf.DUMMYFUNCTION("""COMPUTED_VALUE"""),"Man")</f>
        <v>Man</v>
      </c>
      <c r="H997" s="6"/>
      <c r="I997" s="6"/>
      <c r="J997" s="6"/>
      <c r="K997" s="6"/>
      <c r="L997" s="6" t="str">
        <f ca="1">IFERROR(__xludf.DUMMYFUNCTION("""COMPUTED_VALUE"""),"No")</f>
        <v>No</v>
      </c>
      <c r="M997" s="6"/>
      <c r="N997" s="6"/>
      <c r="O997" s="6" t="str">
        <f ca="1">IFERROR(__xludf.DUMMYFUNCTION("""COMPUTED_VALUE"""),"Search Engine")</f>
        <v>Search Engine</v>
      </c>
      <c r="P997" s="6"/>
      <c r="Q997" s="6" t="str">
        <f ca="1">IFERROR(__xludf.DUMMYFUNCTION("""COMPUTED_VALUE"""),"No")</f>
        <v>No</v>
      </c>
      <c r="R997" s="6">
        <f ca="1">IFERROR(__xludf.DUMMYFUNCTION("""COMPUTED_VALUE"""),2)</f>
        <v>2</v>
      </c>
      <c r="S997" s="6" t="str">
        <f ca="1">IFERROR(__xludf.DUMMYFUNCTION("""COMPUTED_VALUE"""),"Seed")</f>
        <v>Seed</v>
      </c>
      <c r="T997" s="6" t="str">
        <f ca="1">IFERROR(__xludf.DUMMYFUNCTION("""COMPUTED_VALUE"""),"Seed")</f>
        <v>Seed</v>
      </c>
      <c r="U997" s="6" t="str">
        <f ca="1">IFERROR(__xludf.DUMMYFUNCTION("""COMPUTED_VALUE"""),"Seed")</f>
        <v>Seed</v>
      </c>
      <c r="V997" s="6"/>
      <c r="W997" s="6" t="str">
        <f ca="1">IFERROR(__xludf.DUMMYFUNCTION("""COMPUTED_VALUE"""),"Revisit/ Cluster")</f>
        <v>Revisit/ Cluster</v>
      </c>
    </row>
    <row r="998" spans="1:23">
      <c r="A998" s="6" t="str">
        <f ca="1">IFERROR(__xludf.DUMMYFUNCTION("""COMPUTED_VALUE"""),"Man")</f>
        <v>Man</v>
      </c>
      <c r="B998" s="6" t="str">
        <f ca="1">IFERROR(__xludf.DUMMYFUNCTION("""COMPUTED_VALUE"""),"Vyir Inc _2022")</f>
        <v>Vyir Inc _2022</v>
      </c>
      <c r="C998" s="6" t="str">
        <f ca="1">IFERROR(__xludf.DUMMYFUNCTION("""COMPUTED_VALUE"""),"Deep Tech")</f>
        <v>Deep Tech</v>
      </c>
      <c r="D998" s="6" t="str">
        <f ca="1">IFERROR(__xludf.DUMMYFUNCTION("""COMPUTED_VALUE"""),"New York, New York 
United States")</f>
        <v>New York, New York 
United States</v>
      </c>
      <c r="E998" s="6" t="str">
        <f ca="1">IFERROR(__xludf.DUMMYFUNCTION("""COMPUTED_VALUE"""),"New York")</f>
        <v>New York</v>
      </c>
      <c r="F998" s="6" t="str">
        <f ca="1">IFERROR(__xludf.DUMMYFUNCTION("""COMPUTED_VALUE"""),"Man")</f>
        <v>Man</v>
      </c>
      <c r="G998" s="6"/>
      <c r="H998" s="6"/>
      <c r="I998" s="6"/>
      <c r="J998" s="6"/>
      <c r="K998" s="6"/>
      <c r="L998" s="6" t="str">
        <f ca="1">IFERROR(__xludf.DUMMYFUNCTION("""COMPUTED_VALUE"""),"Yes")</f>
        <v>Yes</v>
      </c>
      <c r="M998" s="6" t="str">
        <f ca="1">IFERROR(__xludf.DUMMYFUNCTION("""COMPUTED_VALUE"""),"Other (please specify)")</f>
        <v>Other (please specify)</v>
      </c>
      <c r="N998" s="6" t="str">
        <f ca="1">IFERROR(__xludf.DUMMYFUNCTION("""COMPUTED_VALUE"""),"Member of the board of advisors for NYU GSTEM, Courant Institute")</f>
        <v>Member of the board of advisors for NYU GSTEM, Courant Institute</v>
      </c>
      <c r="O998" s="6" t="str">
        <f ca="1">IFERROR(__xludf.DUMMYFUNCTION("""COMPUTED_VALUE"""),"Other")</f>
        <v>Other</v>
      </c>
      <c r="P998" s="6"/>
      <c r="Q998" s="6" t="str">
        <f ca="1">IFERROR(__xludf.DUMMYFUNCTION("""COMPUTED_VALUE"""),"No")</f>
        <v>No</v>
      </c>
      <c r="R998" s="6">
        <f ca="1">IFERROR(__xludf.DUMMYFUNCTION("""COMPUTED_VALUE"""),1)</f>
        <v>1</v>
      </c>
      <c r="S998" s="6" t="str">
        <f ca="1">IFERROR(__xludf.DUMMYFUNCTION("""COMPUTED_VALUE"""),"Grants
Other: bootstrapping")</f>
        <v>Grants
Other: bootstrapping</v>
      </c>
      <c r="T998" s="6" t="str">
        <f ca="1">IFERROR(__xludf.DUMMYFUNCTION("""COMPUTED_VALUE"""),"Grants, Other: bootstrapping")</f>
        <v>Grants, Other: bootstrapping</v>
      </c>
      <c r="U998" s="6" t="str">
        <f ca="1">IFERROR(__xludf.DUMMYFUNCTION("""COMPUTED_VALUE"""),"Grants, ")</f>
        <v xml:space="preserve">Grants, </v>
      </c>
      <c r="V998" s="6" t="str">
        <f ca="1">IFERROR(__xludf.DUMMYFUNCTION("""COMPUTED_VALUE"""),"bootstrapping")</f>
        <v>bootstrapping</v>
      </c>
      <c r="W998" s="6" t="str">
        <f ca="1">IFERROR(__xludf.DUMMYFUNCTION("""COMPUTED_VALUE"""),"Invite Next Year")</f>
        <v>Invite Next Year</v>
      </c>
    </row>
    <row r="999" spans="1:23">
      <c r="A999" s="6" t="str">
        <f ca="1">IFERROR(__xludf.DUMMYFUNCTION("""COMPUTED_VALUE"""),"Man, Man")</f>
        <v>Man, Man</v>
      </c>
      <c r="B999" s="6" t="str">
        <f ca="1">IFERROR(__xludf.DUMMYFUNCTION("""COMPUTED_VALUE"""),"SparkAI _2022")</f>
        <v>SparkAI _2022</v>
      </c>
      <c r="C999" s="6" t="str">
        <f ca="1">IFERROR(__xludf.DUMMYFUNCTION("""COMPUTED_VALUE"""),"Digital Tech")</f>
        <v>Digital Tech</v>
      </c>
      <c r="D999" s="6" t="str">
        <f ca="1">IFERROR(__xludf.DUMMYFUNCTION("""COMPUTED_VALUE"""),"White Plains, NY 
United States")</f>
        <v>White Plains, NY 
United States</v>
      </c>
      <c r="E999" s="6" t="str">
        <f ca="1">IFERROR(__xludf.DUMMYFUNCTION("""COMPUTED_VALUE"""),"East Coast")</f>
        <v>East Coast</v>
      </c>
      <c r="F999" s="6" t="str">
        <f ca="1">IFERROR(__xludf.DUMMYFUNCTION("""COMPUTED_VALUE"""),"Man")</f>
        <v>Man</v>
      </c>
      <c r="G999" s="6" t="str">
        <f ca="1">IFERROR(__xludf.DUMMYFUNCTION("""COMPUTED_VALUE"""),"Man")</f>
        <v>Man</v>
      </c>
      <c r="H999" s="6"/>
      <c r="I999" s="6"/>
      <c r="J999" s="6"/>
      <c r="K999" s="6"/>
      <c r="L999" s="6" t="str">
        <f ca="1">IFERROR(__xludf.DUMMYFUNCTION("""COMPUTED_VALUE"""),"Yes")</f>
        <v>Yes</v>
      </c>
      <c r="M999" s="6" t="str">
        <f ca="1">IFERROR(__xludf.DUMMYFUNCTION("""COMPUTED_VALUE"""),"NYU Student")</f>
        <v>NYU Student</v>
      </c>
      <c r="N999" s="6"/>
      <c r="O999" s="6" t="str">
        <f ca="1">IFERROR(__xludf.DUMMYFUNCTION("""COMPUTED_VALUE"""),"Email")</f>
        <v>Email</v>
      </c>
      <c r="P999" s="6"/>
      <c r="Q999" s="6" t="str">
        <f ca="1">IFERROR(__xludf.DUMMYFUNCTION("""COMPUTED_VALUE"""),"No")</f>
        <v>No</v>
      </c>
      <c r="R999" s="6">
        <f ca="1">IFERROR(__xludf.DUMMYFUNCTION("""COMPUTED_VALUE"""),2)</f>
        <v>2</v>
      </c>
      <c r="S999" s="6" t="str">
        <f ca="1">IFERROR(__xludf.DUMMYFUNCTION("""COMPUTED_VALUE"""),"Seed")</f>
        <v>Seed</v>
      </c>
      <c r="T999" s="6" t="str">
        <f ca="1">IFERROR(__xludf.DUMMYFUNCTION("""COMPUTED_VALUE"""),"Seed")</f>
        <v>Seed</v>
      </c>
      <c r="U999" s="6" t="str">
        <f ca="1">IFERROR(__xludf.DUMMYFUNCTION("""COMPUTED_VALUE"""),"Seed")</f>
        <v>Seed</v>
      </c>
      <c r="V999" s="6"/>
      <c r="W999" s="6" t="str">
        <f ca="1">IFERROR(__xludf.DUMMYFUNCTION("""COMPUTED_VALUE"""),"Invite")</f>
        <v>Invite</v>
      </c>
    </row>
    <row r="1000" spans="1:23">
      <c r="A1000" s="6" t="str">
        <f ca="1">IFERROR(__xludf.DUMMYFUNCTION("""COMPUTED_VALUE"""),"Man, Man")</f>
        <v>Man, Man</v>
      </c>
      <c r="B1000" s="6" t="str">
        <f ca="1">IFERROR(__xludf.DUMMYFUNCTION("""COMPUTED_VALUE"""),"MiFood Tech _2022")</f>
        <v>MiFood Tech _2022</v>
      </c>
      <c r="C1000" s="6" t="str">
        <f ca="1">IFERROR(__xludf.DUMMYFUNCTION("""COMPUTED_VALUE"""),"Deep Tech")</f>
        <v>Deep Tech</v>
      </c>
      <c r="D1000" s="6" t="str">
        <f ca="1">IFERROR(__xludf.DUMMYFUNCTION("""COMPUTED_VALUE"""),"Stevens Point, WI 
United States")</f>
        <v>Stevens Point, WI 
United States</v>
      </c>
      <c r="E1000" s="6" t="str">
        <f ca="1">IFERROR(__xludf.DUMMYFUNCTION("""COMPUTED_VALUE"""),"Midwest")</f>
        <v>Midwest</v>
      </c>
      <c r="F1000" s="6" t="str">
        <f ca="1">IFERROR(__xludf.DUMMYFUNCTION("""COMPUTED_VALUE"""),"Man")</f>
        <v>Man</v>
      </c>
      <c r="G1000" s="6" t="str">
        <f ca="1">IFERROR(__xludf.DUMMYFUNCTION("""COMPUTED_VALUE"""),"Man")</f>
        <v>Man</v>
      </c>
      <c r="H1000" s="6"/>
      <c r="I1000" s="6"/>
      <c r="J1000" s="6"/>
      <c r="K1000" s="6"/>
      <c r="L1000" s="6" t="str">
        <f ca="1">IFERROR(__xludf.DUMMYFUNCTION("""COMPUTED_VALUE"""),"No")</f>
        <v>No</v>
      </c>
      <c r="M1000" s="6"/>
      <c r="N1000" s="6"/>
      <c r="O1000" s="6" t="str">
        <f ca="1">IFERROR(__xludf.DUMMYFUNCTION("""COMPUTED_VALUE"""),"Email")</f>
        <v>Email</v>
      </c>
      <c r="P1000" s="6"/>
      <c r="Q1000" s="6" t="str">
        <f ca="1">IFERROR(__xludf.DUMMYFUNCTION("""COMPUTED_VALUE"""),"No")</f>
        <v>No</v>
      </c>
      <c r="R1000" s="6">
        <f ca="1">IFERROR(__xludf.DUMMYFUNCTION("""COMPUTED_VALUE"""),2)</f>
        <v>2</v>
      </c>
      <c r="S1000" s="6" t="str">
        <f ca="1">IFERROR(__xludf.DUMMYFUNCTION("""COMPUTED_VALUE"""),"Pre-seed
Grants")</f>
        <v>Pre-seed
Grants</v>
      </c>
      <c r="T1000" s="6" t="str">
        <f ca="1">IFERROR(__xludf.DUMMYFUNCTION("""COMPUTED_VALUE"""),"Pre-seed, Grants")</f>
        <v>Pre-seed, Grants</v>
      </c>
      <c r="U1000" s="6" t="str">
        <f ca="1">IFERROR(__xludf.DUMMYFUNCTION("""COMPUTED_VALUE"""),"Pre-seed, Grants")</f>
        <v>Pre-seed, Grants</v>
      </c>
      <c r="V1000" s="6"/>
      <c r="W1000" s="6" t="str">
        <f ca="1">IFERROR(__xludf.DUMMYFUNCTION("""COMPUTED_VALUE"""),"Invite Next Year")</f>
        <v>Invite Next Year</v>
      </c>
    </row>
    <row r="1001" spans="1:23">
      <c r="A1001" s="6" t="str">
        <f ca="1">IFERROR(__xludf.DUMMYFUNCTION("""COMPUTED_VALUE"""),"Man")</f>
        <v>Man</v>
      </c>
      <c r="B1001" s="6" t="str">
        <f ca="1">IFERROR(__xludf.DUMMYFUNCTION("""COMPUTED_VALUE"""),"Fundamento _2022")</f>
        <v>Fundamento _2022</v>
      </c>
      <c r="C1001" s="6" t="str">
        <f ca="1">IFERROR(__xludf.DUMMYFUNCTION("""COMPUTED_VALUE"""),"Digital Tech")</f>
        <v>Digital Tech</v>
      </c>
      <c r="D1001" s="6" t="str">
        <f ca="1">IFERROR(__xludf.DUMMYFUNCTION("""COMPUTED_VALUE"""),"DELHI, Delhi 
India")</f>
        <v>DELHI, Delhi 
India</v>
      </c>
      <c r="E1001" s="6" t="str">
        <f ca="1">IFERROR(__xludf.DUMMYFUNCTION("""COMPUTED_VALUE"""),"International - Asia")</f>
        <v>International - Asia</v>
      </c>
      <c r="F1001" s="6" t="str">
        <f ca="1">IFERROR(__xludf.DUMMYFUNCTION("""COMPUTED_VALUE"""),"Man")</f>
        <v>Man</v>
      </c>
      <c r="G1001" s="6"/>
      <c r="H1001" s="6"/>
      <c r="I1001" s="6"/>
      <c r="J1001" s="6"/>
      <c r="K1001" s="6"/>
      <c r="L1001" s="6" t="str">
        <f ca="1">IFERROR(__xludf.DUMMYFUNCTION("""COMPUTED_VALUE"""),"No")</f>
        <v>No</v>
      </c>
      <c r="M1001" s="6"/>
      <c r="N1001" s="6"/>
      <c r="O1001" s="6" t="str">
        <f ca="1">IFERROR(__xludf.DUMMYFUNCTION("""COMPUTED_VALUE"""),"Email")</f>
        <v>Email</v>
      </c>
      <c r="P1001" s="6"/>
      <c r="Q1001" s="6" t="str">
        <f ca="1">IFERROR(__xludf.DUMMYFUNCTION("""COMPUTED_VALUE"""),"No")</f>
        <v>No</v>
      </c>
      <c r="R1001" s="6">
        <f ca="1">IFERROR(__xludf.DUMMYFUNCTION("""COMPUTED_VALUE"""),1)</f>
        <v>1</v>
      </c>
      <c r="S1001" s="6" t="str">
        <f ca="1">IFERROR(__xludf.DUMMYFUNCTION("""COMPUTED_VALUE"""),"Pre-seed")</f>
        <v>Pre-seed</v>
      </c>
      <c r="T1001" s="6" t="str">
        <f ca="1">IFERROR(__xludf.DUMMYFUNCTION("""COMPUTED_VALUE"""),"Pre-seed")</f>
        <v>Pre-seed</v>
      </c>
      <c r="U1001" s="6" t="str">
        <f ca="1">IFERROR(__xludf.DUMMYFUNCTION("""COMPUTED_VALUE"""),"Pre-seed")</f>
        <v>Pre-seed</v>
      </c>
      <c r="V1001" s="6"/>
      <c r="W1001" s="6" t="str">
        <f ca="1">IFERROR(__xludf.DUMMYFUNCTION("""COMPUTED_VALUE"""),"Invite Next Year")</f>
        <v>Invite Next Year</v>
      </c>
    </row>
    <row r="1002" spans="1:23">
      <c r="A1002" s="6" t="str">
        <f ca="1">IFERROR(__xludf.DUMMYFUNCTION("""COMPUTED_VALUE"""),"Man, Man")</f>
        <v>Man, Man</v>
      </c>
      <c r="B1002" s="6" t="str">
        <f ca="1">IFERROR(__xludf.DUMMYFUNCTION("""COMPUTED_VALUE"""),"MindRank _2022")</f>
        <v>MindRank _2022</v>
      </c>
      <c r="C1002" s="6" t="str">
        <f ca="1">IFERROR(__xludf.DUMMYFUNCTION("""COMPUTED_VALUE"""),"Deep Tech")</f>
        <v>Deep Tech</v>
      </c>
      <c r="D1002" s="6" t="str">
        <f ca="1">IFERROR(__xludf.DUMMYFUNCTION("""COMPUTED_VALUE"""),"Hangzhou, Zhejiang 
China")</f>
        <v>Hangzhou, Zhejiang 
China</v>
      </c>
      <c r="E1002" s="6" t="str">
        <f ca="1">IFERROR(__xludf.DUMMYFUNCTION("""COMPUTED_VALUE"""),"International - Asia")</f>
        <v>International - Asia</v>
      </c>
      <c r="F1002" s="6" t="str">
        <f ca="1">IFERROR(__xludf.DUMMYFUNCTION("""COMPUTED_VALUE"""),"Man")</f>
        <v>Man</v>
      </c>
      <c r="G1002" s="6" t="str">
        <f ca="1">IFERROR(__xludf.DUMMYFUNCTION("""COMPUTED_VALUE"""),"Man")</f>
        <v>Man</v>
      </c>
      <c r="H1002" s="6"/>
      <c r="I1002" s="6"/>
      <c r="J1002" s="6"/>
      <c r="K1002" s="6"/>
      <c r="L1002" s="6" t="str">
        <f ca="1">IFERROR(__xludf.DUMMYFUNCTION("""COMPUTED_VALUE"""),"No")</f>
        <v>No</v>
      </c>
      <c r="M1002" s="6"/>
      <c r="N1002" s="6"/>
      <c r="O1002" s="6" t="str">
        <f ca="1">IFERROR(__xludf.DUMMYFUNCTION("""COMPUTED_VALUE"""),"Email")</f>
        <v>Email</v>
      </c>
      <c r="P1002" s="6"/>
      <c r="Q1002" s="6" t="str">
        <f ca="1">IFERROR(__xludf.DUMMYFUNCTION("""COMPUTED_VALUE"""),"No")</f>
        <v>No</v>
      </c>
      <c r="R1002" s="6">
        <f ca="1">IFERROR(__xludf.DUMMYFUNCTION("""COMPUTED_VALUE"""),2)</f>
        <v>2</v>
      </c>
      <c r="S1002" s="6" t="str">
        <f ca="1">IFERROR(__xludf.DUMMYFUNCTION("""COMPUTED_VALUE"""),"Seed
Series A")</f>
        <v>Seed
Series A</v>
      </c>
      <c r="T1002" s="6" t="str">
        <f ca="1">IFERROR(__xludf.DUMMYFUNCTION("""COMPUTED_VALUE"""),"Seed, Series A")</f>
        <v>Seed, Series A</v>
      </c>
      <c r="U1002" s="6" t="str">
        <f ca="1">IFERROR(__xludf.DUMMYFUNCTION("""COMPUTED_VALUE"""),"Seed, Series A")</f>
        <v>Seed, Series A</v>
      </c>
      <c r="V1002" s="6"/>
      <c r="W1002" s="6" t="str">
        <f ca="1">IFERROR(__xludf.DUMMYFUNCTION("""COMPUTED_VALUE"""),"Invite")</f>
        <v>Invite</v>
      </c>
    </row>
    <row r="1003" spans="1:23">
      <c r="A1003" s="6" t="str">
        <f ca="1">IFERROR(__xludf.DUMMYFUNCTION("""COMPUTED_VALUE"""),"Man, Man, Man")</f>
        <v>Man, Man, Man</v>
      </c>
      <c r="B1003" s="6" t="str">
        <f ca="1">IFERROR(__xludf.DUMMYFUNCTION("""COMPUTED_VALUE"""),"Yumwoof Natural Pet Food _2022")</f>
        <v>Yumwoof Natural Pet Food _2022</v>
      </c>
      <c r="C1003" s="6" t="str">
        <f ca="1">IFERROR(__xludf.DUMMYFUNCTION("""COMPUTED_VALUE"""),"Life Sciences")</f>
        <v>Life Sciences</v>
      </c>
      <c r="D1003" s="6" t="str">
        <f ca="1">IFERROR(__xludf.DUMMYFUNCTION("""COMPUTED_VALUE"""),"Las Vegas, NV 
United States")</f>
        <v>Las Vegas, NV 
United States</v>
      </c>
      <c r="E1003" s="6" t="str">
        <f ca="1">IFERROR(__xludf.DUMMYFUNCTION("""COMPUTED_VALUE"""),"West")</f>
        <v>West</v>
      </c>
      <c r="F1003" s="6" t="str">
        <f ca="1">IFERROR(__xludf.DUMMYFUNCTION("""COMPUTED_VALUE"""),"Man")</f>
        <v>Man</v>
      </c>
      <c r="G1003" s="6" t="str">
        <f ca="1">IFERROR(__xludf.DUMMYFUNCTION("""COMPUTED_VALUE"""),"Man")</f>
        <v>Man</v>
      </c>
      <c r="H1003" s="6" t="str">
        <f ca="1">IFERROR(__xludf.DUMMYFUNCTION("""COMPUTED_VALUE"""),"Man")</f>
        <v>Man</v>
      </c>
      <c r="I1003" s="6"/>
      <c r="J1003" s="6"/>
      <c r="K1003" s="6"/>
      <c r="L1003" s="6" t="str">
        <f ca="1">IFERROR(__xludf.DUMMYFUNCTION("""COMPUTED_VALUE"""),"No")</f>
        <v>No</v>
      </c>
      <c r="M1003" s="6"/>
      <c r="N1003" s="6"/>
      <c r="O1003" s="6" t="str">
        <f ca="1">IFERROR(__xludf.DUMMYFUNCTION("""COMPUTED_VALUE"""),"Referral")</f>
        <v>Referral</v>
      </c>
      <c r="P1003" s="6"/>
      <c r="Q1003" s="6" t="str">
        <f ca="1">IFERROR(__xludf.DUMMYFUNCTION("""COMPUTED_VALUE"""),"No")</f>
        <v>No</v>
      </c>
      <c r="R1003" s="6">
        <f ca="1">IFERROR(__xludf.DUMMYFUNCTION("""COMPUTED_VALUE"""),3)</f>
        <v>3</v>
      </c>
      <c r="S1003" s="6" t="str">
        <f ca="1">IFERROR(__xludf.DUMMYFUNCTION("""COMPUTED_VALUE"""),"Pre-seed")</f>
        <v>Pre-seed</v>
      </c>
      <c r="T1003" s="6" t="str">
        <f ca="1">IFERROR(__xludf.DUMMYFUNCTION("""COMPUTED_VALUE"""),"Pre-seed")</f>
        <v>Pre-seed</v>
      </c>
      <c r="U1003" s="6" t="str">
        <f ca="1">IFERROR(__xludf.DUMMYFUNCTION("""COMPUTED_VALUE"""),"Pre-seed")</f>
        <v>Pre-seed</v>
      </c>
      <c r="V1003" s="6"/>
      <c r="W1003" s="6" t="str">
        <f ca="1">IFERROR(__xludf.DUMMYFUNCTION("""COMPUTED_VALUE"""),"Invite Next Year")</f>
        <v>Invite Next Year</v>
      </c>
    </row>
    <row r="1004" spans="1:23">
      <c r="A1004" s="6" t="str">
        <f ca="1">IFERROR(__xludf.DUMMYFUNCTION("""COMPUTED_VALUE"""),"Man")</f>
        <v>Man</v>
      </c>
      <c r="B1004" s="6" t="str">
        <f ca="1">IFERROR(__xludf.DUMMYFUNCTION("""COMPUTED_VALUE"""),"Dextall _2022")</f>
        <v>Dextall _2022</v>
      </c>
      <c r="C1004" s="6" t="str">
        <f ca="1">IFERROR(__xludf.DUMMYFUNCTION("""COMPUTED_VALUE"""),"Deep Tech")</f>
        <v>Deep Tech</v>
      </c>
      <c r="D1004" s="6" t="str">
        <f ca="1">IFERROR(__xludf.DUMMYFUNCTION("""COMPUTED_VALUE"""),"2720 Prosperity Ave #400-1, virginia 
United States")</f>
        <v>2720 Prosperity Ave #400-1, virginia 
United States</v>
      </c>
      <c r="E1004" s="6" t="str">
        <f ca="1">IFERROR(__xludf.DUMMYFUNCTION("""COMPUTED_VALUE"""),"East Coast")</f>
        <v>East Coast</v>
      </c>
      <c r="F1004" s="6" t="str">
        <f ca="1">IFERROR(__xludf.DUMMYFUNCTION("""COMPUTED_VALUE"""),"Man")</f>
        <v>Man</v>
      </c>
      <c r="G1004" s="6"/>
      <c r="H1004" s="6"/>
      <c r="I1004" s="6"/>
      <c r="J1004" s="6"/>
      <c r="K1004" s="6"/>
      <c r="L1004" s="6" t="str">
        <f ca="1">IFERROR(__xludf.DUMMYFUNCTION("""COMPUTED_VALUE"""),"--Please select--")</f>
        <v>--Please select--</v>
      </c>
      <c r="M1004" s="6"/>
      <c r="N1004" s="6"/>
      <c r="O1004" s="6" t="str">
        <f ca="1">IFERROR(__xludf.DUMMYFUNCTION("""COMPUTED_VALUE"""),"Referral")</f>
        <v>Referral</v>
      </c>
      <c r="P1004" s="6"/>
      <c r="Q1004" s="6" t="str">
        <f ca="1">IFERROR(__xludf.DUMMYFUNCTION("""COMPUTED_VALUE"""),"No")</f>
        <v>No</v>
      </c>
      <c r="R1004" s="6">
        <f ca="1">IFERROR(__xludf.DUMMYFUNCTION("""COMPUTED_VALUE"""),1)</f>
        <v>1</v>
      </c>
      <c r="S1004" s="6" t="str">
        <f ca="1">IFERROR(__xludf.DUMMYFUNCTION("""COMPUTED_VALUE"""),"Seed")</f>
        <v>Seed</v>
      </c>
      <c r="T1004" s="6" t="str">
        <f ca="1">IFERROR(__xludf.DUMMYFUNCTION("""COMPUTED_VALUE"""),"Seed")</f>
        <v>Seed</v>
      </c>
      <c r="U1004" s="6" t="str">
        <f ca="1">IFERROR(__xludf.DUMMYFUNCTION("""COMPUTED_VALUE"""),"Seed")</f>
        <v>Seed</v>
      </c>
      <c r="V1004" s="6"/>
      <c r="W1004" s="6" t="str">
        <f ca="1">IFERROR(__xludf.DUMMYFUNCTION("""COMPUTED_VALUE"""),"Invite Next Year")</f>
        <v>Invite Next Year</v>
      </c>
    </row>
    <row r="1005" spans="1:23">
      <c r="A1005" s="6" t="str">
        <f ca="1">IFERROR(__xludf.DUMMYFUNCTION("""COMPUTED_VALUE"""),"Woman, Man")</f>
        <v>Woman, Man</v>
      </c>
      <c r="B1005" s="6" t="str">
        <f ca="1">IFERROR(__xludf.DUMMYFUNCTION("""COMPUTED_VALUE"""),"Tekuma _2022")</f>
        <v>Tekuma _2022</v>
      </c>
      <c r="C1005" s="6" t="str">
        <f ca="1">IFERROR(__xludf.DUMMYFUNCTION("""COMPUTED_VALUE"""),"Deep Tech")</f>
        <v>Deep Tech</v>
      </c>
      <c r="D1005" s="6" t="str">
        <f ca="1">IFERROR(__xludf.DUMMYFUNCTION("""COMPUTED_VALUE"""),"Adelaide, South Australia 
Australia")</f>
        <v>Adelaide, South Australia 
Australia</v>
      </c>
      <c r="E1005" s="6" t="str">
        <f ca="1">IFERROR(__xludf.DUMMYFUNCTION("""COMPUTED_VALUE"""),"International - Other")</f>
        <v>International - Other</v>
      </c>
      <c r="F1005" s="6" t="str">
        <f ca="1">IFERROR(__xludf.DUMMYFUNCTION("""COMPUTED_VALUE"""),"Woman")</f>
        <v>Woman</v>
      </c>
      <c r="G1005" s="6" t="str">
        <f ca="1">IFERROR(__xludf.DUMMYFUNCTION("""COMPUTED_VALUE"""),"Man")</f>
        <v>Man</v>
      </c>
      <c r="H1005" s="6"/>
      <c r="I1005" s="6"/>
      <c r="J1005" s="6"/>
      <c r="K1005" s="6"/>
      <c r="L1005" s="6" t="str">
        <f ca="1">IFERROR(__xludf.DUMMYFUNCTION("""COMPUTED_VALUE"""),"No")</f>
        <v>No</v>
      </c>
      <c r="M1005" s="6"/>
      <c r="N1005" s="6"/>
      <c r="O1005" s="6" t="str">
        <f ca="1">IFERROR(__xludf.DUMMYFUNCTION("""COMPUTED_VALUE"""),"Email")</f>
        <v>Email</v>
      </c>
      <c r="P1005" s="6"/>
      <c r="Q1005" s="6" t="str">
        <f ca="1">IFERROR(__xludf.DUMMYFUNCTION("""COMPUTED_VALUE"""),"No")</f>
        <v>No</v>
      </c>
      <c r="R1005" s="6">
        <f ca="1">IFERROR(__xludf.DUMMYFUNCTION("""COMPUTED_VALUE"""),2)</f>
        <v>2</v>
      </c>
      <c r="S1005" s="6" t="str">
        <f ca="1">IFERROR(__xludf.DUMMYFUNCTION("""COMPUTED_VALUE"""),"Grants
Other: Prize money and founder input")</f>
        <v>Grants
Other: Prize money and founder input</v>
      </c>
      <c r="T1005" s="6" t="str">
        <f ca="1">IFERROR(__xludf.DUMMYFUNCTION("""COMPUTED_VALUE"""),"Grants, Other: Prize money and founder input")</f>
        <v>Grants, Other: Prize money and founder input</v>
      </c>
      <c r="U1005" s="6" t="str">
        <f ca="1">IFERROR(__xludf.DUMMYFUNCTION("""COMPUTED_VALUE"""),"Grants, ")</f>
        <v xml:space="preserve">Grants, </v>
      </c>
      <c r="V1005" s="6" t="str">
        <f ca="1">IFERROR(__xludf.DUMMYFUNCTION("""COMPUTED_VALUE"""),"Prize money and founder input")</f>
        <v>Prize money and founder input</v>
      </c>
      <c r="W1005" s="6" t="str">
        <f ca="1">IFERROR(__xludf.DUMMYFUNCTION("""COMPUTED_VALUE"""),"Invite Next Year")</f>
        <v>Invite Next Year</v>
      </c>
    </row>
    <row r="1006" spans="1:23">
      <c r="A1006" s="6" t="str">
        <f ca="1">IFERROR(__xludf.DUMMYFUNCTION("""COMPUTED_VALUE"""),"Woman, Man, Man, Man")</f>
        <v>Woman, Man, Man, Man</v>
      </c>
      <c r="B1006" s="6" t="str">
        <f ca="1">IFERROR(__xludf.DUMMYFUNCTION("""COMPUTED_VALUE"""),"APIE Therapeutics  _2022")</f>
        <v>APIE Therapeutics  _2022</v>
      </c>
      <c r="C1006" s="6" t="str">
        <f ca="1">IFERROR(__xludf.DUMMYFUNCTION("""COMPUTED_VALUE"""),"Life Sciences")</f>
        <v>Life Sciences</v>
      </c>
      <c r="D1006" s="6" t="str">
        <f ca="1">IFERROR(__xludf.DUMMYFUNCTION("""COMPUTED_VALUE"""),"Durham, NC 
United States")</f>
        <v>Durham, NC 
United States</v>
      </c>
      <c r="E1006" s="6" t="str">
        <f ca="1">IFERROR(__xludf.DUMMYFUNCTION("""COMPUTED_VALUE"""),"East Coast")</f>
        <v>East Coast</v>
      </c>
      <c r="F1006" s="6" t="str">
        <f ca="1">IFERROR(__xludf.DUMMYFUNCTION("""COMPUTED_VALUE"""),"Woman")</f>
        <v>Woman</v>
      </c>
      <c r="G1006" s="6" t="str">
        <f ca="1">IFERROR(__xludf.DUMMYFUNCTION("""COMPUTED_VALUE"""),"Man")</f>
        <v>Man</v>
      </c>
      <c r="H1006" s="6" t="str">
        <f ca="1">IFERROR(__xludf.DUMMYFUNCTION("""COMPUTED_VALUE"""),"Man")</f>
        <v>Man</v>
      </c>
      <c r="I1006" s="6" t="str">
        <f ca="1">IFERROR(__xludf.DUMMYFUNCTION("""COMPUTED_VALUE"""),"Man")</f>
        <v>Man</v>
      </c>
      <c r="J1006" s="6"/>
      <c r="K1006" s="6"/>
      <c r="L1006" s="6" t="str">
        <f ca="1">IFERROR(__xludf.DUMMYFUNCTION("""COMPUTED_VALUE"""),"No")</f>
        <v>No</v>
      </c>
      <c r="M1006" s="6"/>
      <c r="N1006" s="6"/>
      <c r="O1006" s="6" t="str">
        <f ca="1">IFERROR(__xludf.DUMMYFUNCTION("""COMPUTED_VALUE"""),"Email")</f>
        <v>Email</v>
      </c>
      <c r="P1006" s="6"/>
      <c r="Q1006" s="6" t="str">
        <f ca="1">IFERROR(__xludf.DUMMYFUNCTION("""COMPUTED_VALUE"""),"No")</f>
        <v>No</v>
      </c>
      <c r="R1006" s="6">
        <f ca="1">IFERROR(__xludf.DUMMYFUNCTION("""COMPUTED_VALUE"""),4)</f>
        <v>4</v>
      </c>
      <c r="S1006" s="6" t="str">
        <f ca="1">IFERROR(__xludf.DUMMYFUNCTION("""COMPUTED_VALUE"""),"Pre-seed")</f>
        <v>Pre-seed</v>
      </c>
      <c r="T1006" s="6" t="str">
        <f ca="1">IFERROR(__xludf.DUMMYFUNCTION("""COMPUTED_VALUE"""),"Pre-seed")</f>
        <v>Pre-seed</v>
      </c>
      <c r="U1006" s="6" t="str">
        <f ca="1">IFERROR(__xludf.DUMMYFUNCTION("""COMPUTED_VALUE"""),"Pre-seed")</f>
        <v>Pre-seed</v>
      </c>
      <c r="V1006" s="6"/>
      <c r="W1006" s="6" t="str">
        <f ca="1">IFERROR(__xludf.DUMMYFUNCTION("""COMPUTED_VALUE"""),"Invite")</f>
        <v>Invite</v>
      </c>
    </row>
    <row r="1007" spans="1:23">
      <c r="A1007" s="6" t="str">
        <f ca="1">IFERROR(__xludf.DUMMYFUNCTION("""COMPUTED_VALUE"""),"Man, Man, Man")</f>
        <v>Man, Man, Man</v>
      </c>
      <c r="B1007" s="6" t="str">
        <f ca="1">IFERROR(__xludf.DUMMYFUNCTION("""COMPUTED_VALUE"""),"Scrapays Inc _2022")</f>
        <v>Scrapays Inc _2022</v>
      </c>
      <c r="C1007" s="6" t="str">
        <f ca="1">IFERROR(__xludf.DUMMYFUNCTION("""COMPUTED_VALUE"""),"Digital Tech")</f>
        <v>Digital Tech</v>
      </c>
      <c r="D1007" s="6" t="str">
        <f ca="1">IFERROR(__xludf.DUMMYFUNCTION("""COMPUTED_VALUE"""),"2, Omoniyi Street, Shangisha Magodo., Lagos 
Nigeria")</f>
        <v>2, Omoniyi Street, Shangisha Magodo., Lagos 
Nigeria</v>
      </c>
      <c r="E1007" s="6" t="str">
        <f ca="1">IFERROR(__xludf.DUMMYFUNCTION("""COMPUTED_VALUE"""),"International - Other")</f>
        <v>International - Other</v>
      </c>
      <c r="F1007" s="6" t="str">
        <f ca="1">IFERROR(__xludf.DUMMYFUNCTION("""COMPUTED_VALUE"""),"Man")</f>
        <v>Man</v>
      </c>
      <c r="G1007" s="6" t="str">
        <f ca="1">IFERROR(__xludf.DUMMYFUNCTION("""COMPUTED_VALUE"""),"Man")</f>
        <v>Man</v>
      </c>
      <c r="H1007" s="6" t="str">
        <f ca="1">IFERROR(__xludf.DUMMYFUNCTION("""COMPUTED_VALUE"""),"Man")</f>
        <v>Man</v>
      </c>
      <c r="I1007" s="6"/>
      <c r="J1007" s="6"/>
      <c r="K1007" s="6"/>
      <c r="L1007" s="6" t="str">
        <f ca="1">IFERROR(__xludf.DUMMYFUNCTION("""COMPUTED_VALUE"""),"No")</f>
        <v>No</v>
      </c>
      <c r="M1007" s="6"/>
      <c r="N1007" s="6"/>
      <c r="O1007" s="6" t="str">
        <f ca="1">IFERROR(__xludf.DUMMYFUNCTION("""COMPUTED_VALUE"""),"LinkedIn")</f>
        <v>LinkedIn</v>
      </c>
      <c r="P1007" s="6"/>
      <c r="Q1007" s="6" t="str">
        <f ca="1">IFERROR(__xludf.DUMMYFUNCTION("""COMPUTED_VALUE"""),"No")</f>
        <v>No</v>
      </c>
      <c r="R1007" s="6">
        <f ca="1">IFERROR(__xludf.DUMMYFUNCTION("""COMPUTED_VALUE"""),3)</f>
        <v>3</v>
      </c>
      <c r="S1007" s="6" t="str">
        <f ca="1">IFERROR(__xludf.DUMMYFUNCTION("""COMPUTED_VALUE"""),"Pre-seed
Grants")</f>
        <v>Pre-seed
Grants</v>
      </c>
      <c r="T1007" s="6" t="str">
        <f ca="1">IFERROR(__xludf.DUMMYFUNCTION("""COMPUTED_VALUE"""),"Pre-seed, Grants")</f>
        <v>Pre-seed, Grants</v>
      </c>
      <c r="U1007" s="6" t="str">
        <f ca="1">IFERROR(__xludf.DUMMYFUNCTION("""COMPUTED_VALUE"""),"Pre-seed, Grants")</f>
        <v>Pre-seed, Grants</v>
      </c>
      <c r="V1007" s="6"/>
      <c r="W1007" s="6" t="str">
        <f ca="1">IFERROR(__xludf.DUMMYFUNCTION("""COMPUTED_VALUE"""),"Invite")</f>
        <v>Invite</v>
      </c>
    </row>
    <row r="1008" spans="1:23">
      <c r="A1008" s="6" t="str">
        <f ca="1">IFERROR(__xludf.DUMMYFUNCTION("""COMPUTED_VALUE"""),"Man, Man, Man, Woman, Man")</f>
        <v>Man, Man, Man, Woman, Man</v>
      </c>
      <c r="B1008" s="6" t="str">
        <f ca="1">IFERROR(__xludf.DUMMYFUNCTION("""COMPUTED_VALUE"""),"Conatix _2022")</f>
        <v>Conatix _2022</v>
      </c>
      <c r="C1008" s="6" t="str">
        <f ca="1">IFERROR(__xludf.DUMMYFUNCTION("""COMPUTED_VALUE"""),"Digital Tech")</f>
        <v>Digital Tech</v>
      </c>
      <c r="D1008" s="6" t="str">
        <f ca="1">IFERROR(__xludf.DUMMYFUNCTION("""COMPUTED_VALUE"""),"Newlab, Brooklyn Navy Yard, Building 128, 19 Morris Avenue, Brooklyn 11205, New York 
United States")</f>
        <v>Newlab, Brooklyn Navy Yard, Building 128, 19 Morris Avenue, Brooklyn 11205, New York 
United States</v>
      </c>
      <c r="E1008" s="6" t="str">
        <f ca="1">IFERROR(__xludf.DUMMYFUNCTION("""COMPUTED_VALUE"""),"New York")</f>
        <v>New York</v>
      </c>
      <c r="F1008" s="6" t="str">
        <f ca="1">IFERROR(__xludf.DUMMYFUNCTION("""COMPUTED_VALUE"""),"Man")</f>
        <v>Man</v>
      </c>
      <c r="G1008" s="6" t="str">
        <f ca="1">IFERROR(__xludf.DUMMYFUNCTION("""COMPUTED_VALUE"""),"Man")</f>
        <v>Man</v>
      </c>
      <c r="H1008" s="6" t="str">
        <f ca="1">IFERROR(__xludf.DUMMYFUNCTION("""COMPUTED_VALUE"""),"Man")</f>
        <v>Man</v>
      </c>
      <c r="I1008" s="6" t="str">
        <f ca="1">IFERROR(__xludf.DUMMYFUNCTION("""COMPUTED_VALUE"""),"Woman")</f>
        <v>Woman</v>
      </c>
      <c r="J1008" s="6" t="str">
        <f ca="1">IFERROR(__xludf.DUMMYFUNCTION("""COMPUTED_VALUE"""),"Man")</f>
        <v>Man</v>
      </c>
      <c r="K1008" s="6"/>
      <c r="L1008" s="6" t="str">
        <f ca="1">IFERROR(__xludf.DUMMYFUNCTION("""COMPUTED_VALUE"""),"No")</f>
        <v>No</v>
      </c>
      <c r="M1008" s="6"/>
      <c r="N1008" s="6"/>
      <c r="O1008" s="6" t="str">
        <f ca="1">IFERROR(__xludf.DUMMYFUNCTION("""COMPUTED_VALUE"""),"Email")</f>
        <v>Email</v>
      </c>
      <c r="P1008" s="6"/>
      <c r="Q1008" s="6" t="str">
        <f ca="1">IFERROR(__xludf.DUMMYFUNCTION("""COMPUTED_VALUE"""),"Yes")</f>
        <v>Yes</v>
      </c>
      <c r="R1008" s="6">
        <f ca="1">IFERROR(__xludf.DUMMYFUNCTION("""COMPUTED_VALUE"""),5)</f>
        <v>5</v>
      </c>
      <c r="S1008" s="6" t="str">
        <f ca="1">IFERROR(__xludf.DUMMYFUNCTION("""COMPUTED_VALUE"""),"Pre-seed
Grants")</f>
        <v>Pre-seed
Grants</v>
      </c>
      <c r="T1008" s="6" t="str">
        <f ca="1">IFERROR(__xludf.DUMMYFUNCTION("""COMPUTED_VALUE"""),"Pre-seed, Grants")</f>
        <v>Pre-seed, Grants</v>
      </c>
      <c r="U1008" s="6" t="str">
        <f ca="1">IFERROR(__xludf.DUMMYFUNCTION("""COMPUTED_VALUE"""),"Pre-seed, Grants")</f>
        <v>Pre-seed, Grants</v>
      </c>
      <c r="V1008" s="6"/>
      <c r="W1008" s="6" t="str">
        <f ca="1">IFERROR(__xludf.DUMMYFUNCTION("""COMPUTED_VALUE"""),"Invite")</f>
        <v>Invite</v>
      </c>
    </row>
    <row r="1009" spans="1:23">
      <c r="A1009" s="6" t="str">
        <f ca="1">IFERROR(__xludf.DUMMYFUNCTION("""COMPUTED_VALUE"""),"Man, Man, Man")</f>
        <v>Man, Man, Man</v>
      </c>
      <c r="B1009" s="6" t="str">
        <f ca="1">IFERROR(__xludf.DUMMYFUNCTION("""COMPUTED_VALUE"""),"iCardio.ai _2022")</f>
        <v>iCardio.ai _2022</v>
      </c>
      <c r="C1009" s="6" t="str">
        <f ca="1">IFERROR(__xludf.DUMMYFUNCTION("""COMPUTED_VALUE"""),"Deep Tech")</f>
        <v>Deep Tech</v>
      </c>
      <c r="D1009" s="6" t="str">
        <f ca="1">IFERROR(__xludf.DUMMYFUNCTION("""COMPUTED_VALUE"""),"Los Angeles, CA 
United States")</f>
        <v>Los Angeles, CA 
United States</v>
      </c>
      <c r="E1009" s="6" t="str">
        <f ca="1">IFERROR(__xludf.DUMMYFUNCTION("""COMPUTED_VALUE"""),"West Coast")</f>
        <v>West Coast</v>
      </c>
      <c r="F1009" s="6" t="str">
        <f ca="1">IFERROR(__xludf.DUMMYFUNCTION("""COMPUTED_VALUE"""),"Man")</f>
        <v>Man</v>
      </c>
      <c r="G1009" s="6" t="str">
        <f ca="1">IFERROR(__xludf.DUMMYFUNCTION("""COMPUTED_VALUE"""),"Man")</f>
        <v>Man</v>
      </c>
      <c r="H1009" s="6" t="str">
        <f ca="1">IFERROR(__xludf.DUMMYFUNCTION("""COMPUTED_VALUE"""),"Man")</f>
        <v>Man</v>
      </c>
      <c r="I1009" s="6"/>
      <c r="J1009" s="6"/>
      <c r="K1009" s="6"/>
      <c r="L1009" s="6" t="str">
        <f ca="1">IFERROR(__xludf.DUMMYFUNCTION("""COMPUTED_VALUE"""),"No")</f>
        <v>No</v>
      </c>
      <c r="M1009" s="6"/>
      <c r="N1009" s="6"/>
      <c r="O1009" s="6" t="str">
        <f ca="1">IFERROR(__xludf.DUMMYFUNCTION("""COMPUTED_VALUE"""),"Email")</f>
        <v>Email</v>
      </c>
      <c r="P1009" s="6"/>
      <c r="Q1009" s="6" t="str">
        <f ca="1">IFERROR(__xludf.DUMMYFUNCTION("""COMPUTED_VALUE"""),"No")</f>
        <v>No</v>
      </c>
      <c r="R1009" s="6">
        <f ca="1">IFERROR(__xludf.DUMMYFUNCTION("""COMPUTED_VALUE"""),3)</f>
        <v>3</v>
      </c>
      <c r="S1009" s="6" t="str">
        <f ca="1">IFERROR(__xludf.DUMMYFUNCTION("""COMPUTED_VALUE"""),"Pre-seed")</f>
        <v>Pre-seed</v>
      </c>
      <c r="T1009" s="6" t="str">
        <f ca="1">IFERROR(__xludf.DUMMYFUNCTION("""COMPUTED_VALUE"""),"Pre-seed")</f>
        <v>Pre-seed</v>
      </c>
      <c r="U1009" s="6" t="str">
        <f ca="1">IFERROR(__xludf.DUMMYFUNCTION("""COMPUTED_VALUE"""),"Pre-seed")</f>
        <v>Pre-seed</v>
      </c>
      <c r="V1009" s="6"/>
      <c r="W1009" s="6" t="str">
        <f ca="1">IFERROR(__xludf.DUMMYFUNCTION("""COMPUTED_VALUE"""),"Revisit/ Cluster")</f>
        <v>Revisit/ Cluster</v>
      </c>
    </row>
    <row r="1010" spans="1:23">
      <c r="A1010" s="6" t="str">
        <f ca="1">IFERROR(__xludf.DUMMYFUNCTION("""COMPUTED_VALUE"""),"Man, Man")</f>
        <v>Man, Man</v>
      </c>
      <c r="B1010" s="6" t="str">
        <f ca="1">IFERROR(__xludf.DUMMYFUNCTION("""COMPUTED_VALUE"""),"Zr3i _2022")</f>
        <v>Zr3i _2022</v>
      </c>
      <c r="C1010" s="6" t="str">
        <f ca="1">IFERROR(__xludf.DUMMYFUNCTION("""COMPUTED_VALUE"""),"Digital Tech")</f>
        <v>Digital Tech</v>
      </c>
      <c r="D1010" s="6" t="str">
        <f ca="1">IFERROR(__xludf.DUMMYFUNCTION("""COMPUTED_VALUE"""),"Cairo, Cairo 
Egypt")</f>
        <v>Cairo, Cairo 
Egypt</v>
      </c>
      <c r="E1010" s="6" t="str">
        <f ca="1">IFERROR(__xludf.DUMMYFUNCTION("""COMPUTED_VALUE"""),"International - Middle East")</f>
        <v>International - Middle East</v>
      </c>
      <c r="F1010" s="6" t="str">
        <f ca="1">IFERROR(__xludf.DUMMYFUNCTION("""COMPUTED_VALUE"""),"Man")</f>
        <v>Man</v>
      </c>
      <c r="G1010" s="6" t="str">
        <f ca="1">IFERROR(__xludf.DUMMYFUNCTION("""COMPUTED_VALUE"""),"Man")</f>
        <v>Man</v>
      </c>
      <c r="H1010" s="6"/>
      <c r="I1010" s="6"/>
      <c r="J1010" s="6"/>
      <c r="K1010" s="6"/>
      <c r="L1010" s="6" t="str">
        <f ca="1">IFERROR(__xludf.DUMMYFUNCTION("""COMPUTED_VALUE"""),"No")</f>
        <v>No</v>
      </c>
      <c r="M1010" s="6"/>
      <c r="N1010" s="6"/>
      <c r="O1010" s="6" t="str">
        <f ca="1">IFERROR(__xludf.DUMMYFUNCTION("""COMPUTED_VALUE"""),"Email")</f>
        <v>Email</v>
      </c>
      <c r="P1010" s="6"/>
      <c r="Q1010" s="6" t="str">
        <f ca="1">IFERROR(__xludf.DUMMYFUNCTION("""COMPUTED_VALUE"""),"No")</f>
        <v>No</v>
      </c>
      <c r="R1010" s="6">
        <f ca="1">IFERROR(__xludf.DUMMYFUNCTION("""COMPUTED_VALUE"""),2)</f>
        <v>2</v>
      </c>
      <c r="S1010" s="6" t="str">
        <f ca="1">IFERROR(__xludf.DUMMYFUNCTION("""COMPUTED_VALUE"""),"Pre-seed")</f>
        <v>Pre-seed</v>
      </c>
      <c r="T1010" s="6" t="str">
        <f ca="1">IFERROR(__xludf.DUMMYFUNCTION("""COMPUTED_VALUE"""),"Pre-seed")</f>
        <v>Pre-seed</v>
      </c>
      <c r="U1010" s="6" t="str">
        <f ca="1">IFERROR(__xludf.DUMMYFUNCTION("""COMPUTED_VALUE"""),"Pre-seed")</f>
        <v>Pre-seed</v>
      </c>
      <c r="V1010" s="6"/>
      <c r="W1010" s="6" t="str">
        <f ca="1">IFERROR(__xludf.DUMMYFUNCTION("""COMPUTED_VALUE"""),"Invite Next Year")</f>
        <v>Invite Next Year</v>
      </c>
    </row>
    <row r="1011" spans="1:23">
      <c r="A1011" s="6" t="str">
        <f ca="1">IFERROR(__xludf.DUMMYFUNCTION("""COMPUTED_VALUE"""),"Woman, Man")</f>
        <v>Woman, Man</v>
      </c>
      <c r="B1011" s="6" t="str">
        <f ca="1">IFERROR(__xludf.DUMMYFUNCTION("""COMPUTED_VALUE"""),"Bloom Impact Investing _2022")</f>
        <v>Bloom Impact Investing _2022</v>
      </c>
      <c r="C1011" s="6" t="str">
        <f ca="1">IFERROR(__xludf.DUMMYFUNCTION("""COMPUTED_VALUE"""),"Digital Tech")</f>
        <v>Digital Tech</v>
      </c>
      <c r="D1011" s="6" t="str">
        <f ca="1">IFERROR(__xludf.DUMMYFUNCTION("""COMPUTED_VALUE"""),"23 Halford Street, Brisbane 4006 Australia, Queensland  
Australia")</f>
        <v>23 Halford Street, Brisbane 4006 Australia, Queensland  
Australia</v>
      </c>
      <c r="E1011" s="6" t="str">
        <f ca="1">IFERROR(__xludf.DUMMYFUNCTION("""COMPUTED_VALUE"""),"International - Other")</f>
        <v>International - Other</v>
      </c>
      <c r="F1011" s="6" t="str">
        <f ca="1">IFERROR(__xludf.DUMMYFUNCTION("""COMPUTED_VALUE"""),"Woman")</f>
        <v>Woman</v>
      </c>
      <c r="G1011" s="6" t="str">
        <f ca="1">IFERROR(__xludf.DUMMYFUNCTION("""COMPUTED_VALUE"""),"Man")</f>
        <v>Man</v>
      </c>
      <c r="H1011" s="6"/>
      <c r="I1011" s="6"/>
      <c r="J1011" s="6"/>
      <c r="K1011" s="6"/>
      <c r="L1011" s="6" t="str">
        <f ca="1">IFERROR(__xludf.DUMMYFUNCTION("""COMPUTED_VALUE"""),"No")</f>
        <v>No</v>
      </c>
      <c r="M1011" s="6"/>
      <c r="N1011" s="6"/>
      <c r="O1011" s="6" t="str">
        <f ca="1">IFERROR(__xludf.DUMMYFUNCTION("""COMPUTED_VALUE"""),"Email")</f>
        <v>Email</v>
      </c>
      <c r="P1011" s="6"/>
      <c r="Q1011" s="6" t="str">
        <f ca="1">IFERROR(__xludf.DUMMYFUNCTION("""COMPUTED_VALUE"""),"No")</f>
        <v>No</v>
      </c>
      <c r="R1011" s="6">
        <f ca="1">IFERROR(__xludf.DUMMYFUNCTION("""COMPUTED_VALUE"""),2)</f>
        <v>2</v>
      </c>
      <c r="S1011" s="6" t="str">
        <f ca="1">IFERROR(__xludf.DUMMYFUNCTION("""COMPUTED_VALUE"""),"Seed")</f>
        <v>Seed</v>
      </c>
      <c r="T1011" s="6" t="str">
        <f ca="1">IFERROR(__xludf.DUMMYFUNCTION("""COMPUTED_VALUE"""),"Seed")</f>
        <v>Seed</v>
      </c>
      <c r="U1011" s="6" t="str">
        <f ca="1">IFERROR(__xludf.DUMMYFUNCTION("""COMPUTED_VALUE"""),"Seed")</f>
        <v>Seed</v>
      </c>
      <c r="V1011" s="6"/>
      <c r="W1011" s="6" t="str">
        <f ca="1">IFERROR(__xludf.DUMMYFUNCTION("""COMPUTED_VALUE"""),"Invite Next Year")</f>
        <v>Invite Next Year</v>
      </c>
    </row>
    <row r="1012" spans="1:23">
      <c r="A1012" s="6" t="str">
        <f ca="1">IFERROR(__xludf.DUMMYFUNCTION("""COMPUTED_VALUE"""),"Man, Man")</f>
        <v>Man, Man</v>
      </c>
      <c r="B1012" s="6" t="str">
        <f ca="1">IFERROR(__xludf.DUMMYFUNCTION("""COMPUTED_VALUE"""),"SymbEx  _2022")</f>
        <v>SymbEx  _2022</v>
      </c>
      <c r="C1012" s="6" t="str">
        <f ca="1">IFERROR(__xludf.DUMMYFUNCTION("""COMPUTED_VALUE"""),"Digital Tech")</f>
        <v>Digital Tech</v>
      </c>
      <c r="D1012" s="6" t="str">
        <f ca="1">IFERROR(__xludf.DUMMYFUNCTION("""COMPUTED_VALUE"""),"Herrengasse 14 6430, Zurich 
Switzerland")</f>
        <v>Herrengasse 14 6430, Zurich 
Switzerland</v>
      </c>
      <c r="E1012" s="6" t="str">
        <f ca="1">IFERROR(__xludf.DUMMYFUNCTION("""COMPUTED_VALUE"""),"International - Europe")</f>
        <v>International - Europe</v>
      </c>
      <c r="F1012" s="6" t="str">
        <f ca="1">IFERROR(__xludf.DUMMYFUNCTION("""COMPUTED_VALUE"""),"Man")</f>
        <v>Man</v>
      </c>
      <c r="G1012" s="6" t="str">
        <f ca="1">IFERROR(__xludf.DUMMYFUNCTION("""COMPUTED_VALUE"""),"Man")</f>
        <v>Man</v>
      </c>
      <c r="H1012" s="6"/>
      <c r="I1012" s="6"/>
      <c r="J1012" s="6"/>
      <c r="K1012" s="6"/>
      <c r="L1012" s="6" t="str">
        <f ca="1">IFERROR(__xludf.DUMMYFUNCTION("""COMPUTED_VALUE"""),"No")</f>
        <v>No</v>
      </c>
      <c r="M1012" s="6"/>
      <c r="N1012" s="6"/>
      <c r="O1012" s="6" t="str">
        <f ca="1">IFERROR(__xludf.DUMMYFUNCTION("""COMPUTED_VALUE"""),"LinkedIn")</f>
        <v>LinkedIn</v>
      </c>
      <c r="P1012" s="6"/>
      <c r="Q1012" s="6" t="str">
        <f ca="1">IFERROR(__xludf.DUMMYFUNCTION("""COMPUTED_VALUE"""),"No")</f>
        <v>No</v>
      </c>
      <c r="R1012" s="6">
        <f ca="1">IFERROR(__xludf.DUMMYFUNCTION("""COMPUTED_VALUE"""),2)</f>
        <v>2</v>
      </c>
      <c r="S1012" s="6" t="str">
        <f ca="1">IFERROR(__xludf.DUMMYFUNCTION("""COMPUTED_VALUE"""),"Seed")</f>
        <v>Seed</v>
      </c>
      <c r="T1012" s="6" t="str">
        <f ca="1">IFERROR(__xludf.DUMMYFUNCTION("""COMPUTED_VALUE"""),"Seed")</f>
        <v>Seed</v>
      </c>
      <c r="U1012" s="6" t="str">
        <f ca="1">IFERROR(__xludf.DUMMYFUNCTION("""COMPUTED_VALUE"""),"Seed")</f>
        <v>Seed</v>
      </c>
      <c r="V1012" s="6"/>
      <c r="W1012" s="6" t="str">
        <f ca="1">IFERROR(__xludf.DUMMYFUNCTION("""COMPUTED_VALUE"""),"Invite Next Year")</f>
        <v>Invite Next Year</v>
      </c>
    </row>
    <row r="1013" spans="1:23">
      <c r="A1013" s="6" t="str">
        <f ca="1">IFERROR(__xludf.DUMMYFUNCTION("""COMPUTED_VALUE"""),"Woman")</f>
        <v>Woman</v>
      </c>
      <c r="B1013" s="6" t="str">
        <f ca="1">IFERROR(__xludf.DUMMYFUNCTION("""COMPUTED_VALUE"""),"CF Foods Group _2022")</f>
        <v>CF Foods Group _2022</v>
      </c>
      <c r="C1013" s="6" t="str">
        <f ca="1">IFERROR(__xludf.DUMMYFUNCTION("""COMPUTED_VALUE"""),"Life Sciences")</f>
        <v>Life Sciences</v>
      </c>
      <c r="D1013" s="6" t="str">
        <f ca="1">IFERROR(__xludf.DUMMYFUNCTION("""COMPUTED_VALUE"""),"1 Leonie Hill 26-03, Singapore 
Singapore")</f>
        <v>1 Leonie Hill 26-03, Singapore 
Singapore</v>
      </c>
      <c r="E1013" s="6" t="str">
        <f ca="1">IFERROR(__xludf.DUMMYFUNCTION("""COMPUTED_VALUE"""),"International - Asia")</f>
        <v>International - Asia</v>
      </c>
      <c r="F1013" s="6" t="str">
        <f ca="1">IFERROR(__xludf.DUMMYFUNCTION("""COMPUTED_VALUE"""),"Woman")</f>
        <v>Woman</v>
      </c>
      <c r="G1013" s="6"/>
      <c r="H1013" s="6"/>
      <c r="I1013" s="6"/>
      <c r="J1013" s="6"/>
      <c r="K1013" s="6"/>
      <c r="L1013" s="6" t="str">
        <f ca="1">IFERROR(__xludf.DUMMYFUNCTION("""COMPUTED_VALUE"""),"No")</f>
        <v>No</v>
      </c>
      <c r="M1013" s="6"/>
      <c r="N1013" s="6"/>
      <c r="O1013" s="6" t="str">
        <f ca="1">IFERROR(__xludf.DUMMYFUNCTION("""COMPUTED_VALUE"""),"Email")</f>
        <v>Email</v>
      </c>
      <c r="P1013" s="6"/>
      <c r="Q1013" s="6" t="str">
        <f ca="1">IFERROR(__xludf.DUMMYFUNCTION("""COMPUTED_VALUE"""),"No")</f>
        <v>No</v>
      </c>
      <c r="R1013" s="6">
        <f ca="1">IFERROR(__xludf.DUMMYFUNCTION("""COMPUTED_VALUE"""),1)</f>
        <v>1</v>
      </c>
      <c r="S1013" s="6" t="str">
        <f ca="1">IFERROR(__xludf.DUMMYFUNCTION("""COMPUTED_VALUE"""),"Pre-seed")</f>
        <v>Pre-seed</v>
      </c>
      <c r="T1013" s="6" t="str">
        <f ca="1">IFERROR(__xludf.DUMMYFUNCTION("""COMPUTED_VALUE"""),"Pre-seed")</f>
        <v>Pre-seed</v>
      </c>
      <c r="U1013" s="6" t="str">
        <f ca="1">IFERROR(__xludf.DUMMYFUNCTION("""COMPUTED_VALUE"""),"Pre-seed")</f>
        <v>Pre-seed</v>
      </c>
      <c r="V1013" s="6"/>
      <c r="W1013" s="6" t="str">
        <f ca="1">IFERROR(__xludf.DUMMYFUNCTION("""COMPUTED_VALUE"""),"Invite Next Year")</f>
        <v>Invite Next Year</v>
      </c>
    </row>
    <row r="1014" spans="1:23">
      <c r="A1014" s="6" t="str">
        <f ca="1">IFERROR(__xludf.DUMMYFUNCTION("""COMPUTED_VALUE"""),"Man, Man")</f>
        <v>Man, Man</v>
      </c>
      <c r="B1014" s="6" t="str">
        <f ca="1">IFERROR(__xludf.DUMMYFUNCTION("""COMPUTED_VALUE"""),"Ambulero, Inc.  _2022")</f>
        <v>Ambulero, Inc.  _2022</v>
      </c>
      <c r="C1014" s="6" t="str">
        <f ca="1">IFERROR(__xludf.DUMMYFUNCTION("""COMPUTED_VALUE"""),"Life Sciences")</f>
        <v>Life Sciences</v>
      </c>
      <c r="D1014" s="6" t="str">
        <f ca="1">IFERROR(__xludf.DUMMYFUNCTION("""COMPUTED_VALUE"""),"1951 NW 7th Ave, STE 600 , Miami, FL 
United States")</f>
        <v>1951 NW 7th Ave, STE 600 , Miami, FL 
United States</v>
      </c>
      <c r="E1014" s="6" t="str">
        <f ca="1">IFERROR(__xludf.DUMMYFUNCTION("""COMPUTED_VALUE"""),"East Coast")</f>
        <v>East Coast</v>
      </c>
      <c r="F1014" s="6" t="str">
        <f ca="1">IFERROR(__xludf.DUMMYFUNCTION("""COMPUTED_VALUE"""),"Man")</f>
        <v>Man</v>
      </c>
      <c r="G1014" s="6" t="str">
        <f ca="1">IFERROR(__xludf.DUMMYFUNCTION("""COMPUTED_VALUE"""),"Man")</f>
        <v>Man</v>
      </c>
      <c r="H1014" s="6"/>
      <c r="I1014" s="6"/>
      <c r="J1014" s="6"/>
      <c r="K1014" s="6"/>
      <c r="L1014" s="6" t="str">
        <f ca="1">IFERROR(__xludf.DUMMYFUNCTION("""COMPUTED_VALUE"""),"No")</f>
        <v>No</v>
      </c>
      <c r="M1014" s="6"/>
      <c r="N1014" s="6"/>
      <c r="O1014" s="6" t="str">
        <f ca="1">IFERROR(__xludf.DUMMYFUNCTION("""COMPUTED_VALUE"""),"Email")</f>
        <v>Email</v>
      </c>
      <c r="P1014" s="6"/>
      <c r="Q1014" s="6" t="str">
        <f ca="1">IFERROR(__xludf.DUMMYFUNCTION("""COMPUTED_VALUE"""),"No")</f>
        <v>No</v>
      </c>
      <c r="R1014" s="6">
        <f ca="1">IFERROR(__xludf.DUMMYFUNCTION("""COMPUTED_VALUE"""),2)</f>
        <v>2</v>
      </c>
      <c r="S1014" s="6" t="str">
        <f ca="1">IFERROR(__xludf.DUMMYFUNCTION("""COMPUTED_VALUE"""),"Seed")</f>
        <v>Seed</v>
      </c>
      <c r="T1014" s="6" t="str">
        <f ca="1">IFERROR(__xludf.DUMMYFUNCTION("""COMPUTED_VALUE"""),"Seed")</f>
        <v>Seed</v>
      </c>
      <c r="U1014" s="6" t="str">
        <f ca="1">IFERROR(__xludf.DUMMYFUNCTION("""COMPUTED_VALUE"""),"Seed")</f>
        <v>Seed</v>
      </c>
      <c r="V1014" s="6"/>
      <c r="W1014" s="6" t="str">
        <f ca="1">IFERROR(__xludf.DUMMYFUNCTION("""COMPUTED_VALUE"""),"Revisit")</f>
        <v>Revisit</v>
      </c>
    </row>
    <row r="1015" spans="1:23">
      <c r="A1015" s="6" t="str">
        <f ca="1">IFERROR(__xludf.DUMMYFUNCTION("""COMPUTED_VALUE"""),"Woman")</f>
        <v>Woman</v>
      </c>
      <c r="B1015" s="6" t="str">
        <f ca="1">IFERROR(__xludf.DUMMYFUNCTION("""COMPUTED_VALUE"""),"RAADYSAN BIOTECH, INC. _2022")</f>
        <v>RAADYSAN BIOTECH, INC. _2022</v>
      </c>
      <c r="C1015" s="6" t="str">
        <f ca="1">IFERROR(__xludf.DUMMYFUNCTION("""COMPUTED_VALUE"""),"Life Sciences")</f>
        <v>Life Sciences</v>
      </c>
      <c r="D1015" s="6" t="str">
        <f ca="1">IFERROR(__xludf.DUMMYFUNCTION("""COMPUTED_VALUE"""),"Fishkill, NY 
United States")</f>
        <v>Fishkill, NY 
United States</v>
      </c>
      <c r="E1015" s="6" t="str">
        <f ca="1">IFERROR(__xludf.DUMMYFUNCTION("""COMPUTED_VALUE"""),"East Coast")</f>
        <v>East Coast</v>
      </c>
      <c r="F1015" s="6" t="str">
        <f ca="1">IFERROR(__xludf.DUMMYFUNCTION("""COMPUTED_VALUE"""),"Woman")</f>
        <v>Woman</v>
      </c>
      <c r="G1015" s="6"/>
      <c r="H1015" s="6"/>
      <c r="I1015" s="6"/>
      <c r="J1015" s="6"/>
      <c r="K1015" s="6"/>
      <c r="L1015" s="6" t="str">
        <f ca="1">IFERROR(__xludf.DUMMYFUNCTION("""COMPUTED_VALUE"""),"No")</f>
        <v>No</v>
      </c>
      <c r="M1015" s="6"/>
      <c r="N1015" s="6"/>
      <c r="O1015" s="6" t="str">
        <f ca="1">IFERROR(__xludf.DUMMYFUNCTION("""COMPUTED_VALUE"""),"Referral")</f>
        <v>Referral</v>
      </c>
      <c r="P1015" s="6"/>
      <c r="Q1015" s="6" t="str">
        <f ca="1">IFERROR(__xludf.DUMMYFUNCTION("""COMPUTED_VALUE"""),"Yes")</f>
        <v>Yes</v>
      </c>
      <c r="R1015" s="6">
        <f ca="1">IFERROR(__xludf.DUMMYFUNCTION("""COMPUTED_VALUE"""),1)</f>
        <v>1</v>
      </c>
      <c r="S1015" s="6" t="str">
        <f ca="1">IFERROR(__xludf.DUMMYFUNCTION("""COMPUTED_VALUE"""),"Grants
Other: Bank Loans")</f>
        <v>Grants
Other: Bank Loans</v>
      </c>
      <c r="T1015" s="6" t="str">
        <f ca="1">IFERROR(__xludf.DUMMYFUNCTION("""COMPUTED_VALUE"""),"Grants, Other: Bank Loans")</f>
        <v>Grants, Other: Bank Loans</v>
      </c>
      <c r="U1015" s="6" t="str">
        <f ca="1">IFERROR(__xludf.DUMMYFUNCTION("""COMPUTED_VALUE"""),"Grants, ")</f>
        <v xml:space="preserve">Grants, </v>
      </c>
      <c r="V1015" s="6" t="str">
        <f ca="1">IFERROR(__xludf.DUMMYFUNCTION("""COMPUTED_VALUE"""),"Bank Loans")</f>
        <v>Bank Loans</v>
      </c>
      <c r="W1015" s="6" t="str">
        <f ca="1">IFERROR(__xludf.DUMMYFUNCTION("""COMPUTED_VALUE"""),"Special Reject")</f>
        <v>Special Reject</v>
      </c>
    </row>
    <row r="1016" spans="1:23">
      <c r="A1016" s="6" t="str">
        <f ca="1">IFERROR(__xludf.DUMMYFUNCTION("""COMPUTED_VALUE"""),"Man, Man")</f>
        <v>Man, Man</v>
      </c>
      <c r="B1016" s="6" t="str">
        <f ca="1">IFERROR(__xludf.DUMMYFUNCTION("""COMPUTED_VALUE"""),"Roseon World _2022")</f>
        <v>Roseon World _2022</v>
      </c>
      <c r="C1016" s="6" t="str">
        <f ca="1">IFERROR(__xludf.DUMMYFUNCTION("""COMPUTED_VALUE"""),"Digital Tech")</f>
        <v>Digital Tech</v>
      </c>
      <c r="D1016" s="6" t="str">
        <f ca="1">IFERROR(__xludf.DUMMYFUNCTION("""COMPUTED_VALUE"""),"c/o Hill &amp; Hill, Chambers, Long Street, P.O. Box 909, St. John's, Antigua, Antigua 
Antigua and Barbuda")</f>
        <v>c/o Hill &amp; Hill, Chambers, Long Street, P.O. Box 909, St. John's, Antigua, Antigua 
Antigua and Barbuda</v>
      </c>
      <c r="E1016" s="6" t="str">
        <f ca="1">IFERROR(__xludf.DUMMYFUNCTION("""COMPUTED_VALUE"""),"International - Americas")</f>
        <v>International - Americas</v>
      </c>
      <c r="F1016" s="6" t="str">
        <f ca="1">IFERROR(__xludf.DUMMYFUNCTION("""COMPUTED_VALUE"""),"Man")</f>
        <v>Man</v>
      </c>
      <c r="G1016" s="6" t="str">
        <f ca="1">IFERROR(__xludf.DUMMYFUNCTION("""COMPUTED_VALUE"""),"Man")</f>
        <v>Man</v>
      </c>
      <c r="H1016" s="6"/>
      <c r="I1016" s="6"/>
      <c r="J1016" s="6"/>
      <c r="K1016" s="6"/>
      <c r="L1016" s="6" t="str">
        <f ca="1">IFERROR(__xludf.DUMMYFUNCTION("""COMPUTED_VALUE"""),"No")</f>
        <v>No</v>
      </c>
      <c r="M1016" s="6"/>
      <c r="N1016" s="6"/>
      <c r="O1016" s="6" t="str">
        <f ca="1">IFERROR(__xludf.DUMMYFUNCTION("""COMPUTED_VALUE"""),"Search Engine")</f>
        <v>Search Engine</v>
      </c>
      <c r="P1016" s="6"/>
      <c r="Q1016" s="6" t="str">
        <f ca="1">IFERROR(__xludf.DUMMYFUNCTION("""COMPUTED_VALUE"""),"No")</f>
        <v>No</v>
      </c>
      <c r="R1016" s="6">
        <f ca="1">IFERROR(__xludf.DUMMYFUNCTION("""COMPUTED_VALUE"""),2)</f>
        <v>2</v>
      </c>
      <c r="S1016" s="6" t="str">
        <f ca="1">IFERROR(__xludf.DUMMYFUNCTION("""COMPUTED_VALUE"""),"Seed")</f>
        <v>Seed</v>
      </c>
      <c r="T1016" s="6" t="str">
        <f ca="1">IFERROR(__xludf.DUMMYFUNCTION("""COMPUTED_VALUE"""),"Seed")</f>
        <v>Seed</v>
      </c>
      <c r="U1016" s="6" t="str">
        <f ca="1">IFERROR(__xludf.DUMMYFUNCTION("""COMPUTED_VALUE"""),"Seed")</f>
        <v>Seed</v>
      </c>
      <c r="V1016" s="6"/>
      <c r="W1016" s="6" t="str">
        <f ca="1">IFERROR(__xludf.DUMMYFUNCTION("""COMPUTED_VALUE"""),"Invite Next Year")</f>
        <v>Invite Next Year</v>
      </c>
    </row>
    <row r="1017" spans="1:23">
      <c r="A1017" s="6" t="str">
        <f ca="1">IFERROR(__xludf.DUMMYFUNCTION("""COMPUTED_VALUE"""),"Man, Man")</f>
        <v>Man, Man</v>
      </c>
      <c r="B1017" s="6" t="str">
        <f ca="1">IFERROR(__xludf.DUMMYFUNCTION("""COMPUTED_VALUE"""),"Oiler Equation _2022")</f>
        <v>Oiler Equation _2022</v>
      </c>
      <c r="C1017" s="6" t="str">
        <f ca="1">IFERROR(__xludf.DUMMYFUNCTION("""COMPUTED_VALUE"""),"Digital Tech")</f>
        <v>Digital Tech</v>
      </c>
      <c r="D1017" s="6" t="str">
        <f ca="1">IFERROR(__xludf.DUMMYFUNCTION("""COMPUTED_VALUE"""),"Houston, Texas 
United States")</f>
        <v>Houston, Texas 
United States</v>
      </c>
      <c r="E1017" s="6" t="str">
        <f ca="1">IFERROR(__xludf.DUMMYFUNCTION("""COMPUTED_VALUE"""),"South")</f>
        <v>South</v>
      </c>
      <c r="F1017" s="6" t="str">
        <f ca="1">IFERROR(__xludf.DUMMYFUNCTION("""COMPUTED_VALUE"""),"Man")</f>
        <v>Man</v>
      </c>
      <c r="G1017" s="6" t="str">
        <f ca="1">IFERROR(__xludf.DUMMYFUNCTION("""COMPUTED_VALUE"""),"Man")</f>
        <v>Man</v>
      </c>
      <c r="H1017" s="6"/>
      <c r="I1017" s="6"/>
      <c r="J1017" s="6"/>
      <c r="K1017" s="6"/>
      <c r="L1017" s="6" t="str">
        <f ca="1">IFERROR(__xludf.DUMMYFUNCTION("""COMPUTED_VALUE"""),"No")</f>
        <v>No</v>
      </c>
      <c r="M1017" s="6"/>
      <c r="N1017" s="6"/>
      <c r="O1017" s="6" t="str">
        <f ca="1">IFERROR(__xludf.DUMMYFUNCTION("""COMPUTED_VALUE"""),"Email")</f>
        <v>Email</v>
      </c>
      <c r="P1017" s="6"/>
      <c r="Q1017" s="6" t="str">
        <f ca="1">IFERROR(__xludf.DUMMYFUNCTION("""COMPUTED_VALUE"""),"No")</f>
        <v>No</v>
      </c>
      <c r="R1017" s="6">
        <f ca="1">IFERROR(__xludf.DUMMYFUNCTION("""COMPUTED_VALUE"""),2)</f>
        <v>2</v>
      </c>
      <c r="S1017" s="6" t="str">
        <f ca="1">IFERROR(__xludf.DUMMYFUNCTION("""COMPUTED_VALUE"""),"Pre-seed")</f>
        <v>Pre-seed</v>
      </c>
      <c r="T1017" s="6" t="str">
        <f ca="1">IFERROR(__xludf.DUMMYFUNCTION("""COMPUTED_VALUE"""),"Pre-seed")</f>
        <v>Pre-seed</v>
      </c>
      <c r="U1017" s="6" t="str">
        <f ca="1">IFERROR(__xludf.DUMMYFUNCTION("""COMPUTED_VALUE"""),"Pre-seed")</f>
        <v>Pre-seed</v>
      </c>
      <c r="V1017" s="6"/>
      <c r="W1017" s="6" t="str">
        <f ca="1">IFERROR(__xludf.DUMMYFUNCTION("""COMPUTED_VALUE"""),"Invite Next Year")</f>
        <v>Invite Next Year</v>
      </c>
    </row>
    <row r="1018" spans="1:23">
      <c r="A1018" s="6" t="str">
        <f ca="1">IFERROR(__xludf.DUMMYFUNCTION("""COMPUTED_VALUE"""),"Man")</f>
        <v>Man</v>
      </c>
      <c r="B1018" s="6" t="str">
        <f ca="1">IFERROR(__xludf.DUMMYFUNCTION("""COMPUTED_VALUE"""),"BreachQuest _2022")</f>
        <v>BreachQuest _2022</v>
      </c>
      <c r="C1018" s="6" t="str">
        <f ca="1">IFERROR(__xludf.DUMMYFUNCTION("""COMPUTED_VALUE"""),"Digital Tech")</f>
        <v>Digital Tech</v>
      </c>
      <c r="D1018" s="6" t="str">
        <f ca="1">IFERROR(__xludf.DUMMYFUNCTION("""COMPUTED_VALUE"""),"5931 Greenville Ave Suite 5525, Texas 
United States")</f>
        <v>5931 Greenville Ave Suite 5525, Texas 
United States</v>
      </c>
      <c r="E1018" s="6" t="str">
        <f ca="1">IFERROR(__xludf.DUMMYFUNCTION("""COMPUTED_VALUE"""),"South")</f>
        <v>South</v>
      </c>
      <c r="F1018" s="6" t="str">
        <f ca="1">IFERROR(__xludf.DUMMYFUNCTION("""COMPUTED_VALUE"""),"Man")</f>
        <v>Man</v>
      </c>
      <c r="G1018" s="6"/>
      <c r="H1018" s="6"/>
      <c r="I1018" s="6"/>
      <c r="J1018" s="6"/>
      <c r="K1018" s="6"/>
      <c r="L1018" s="6" t="str">
        <f ca="1">IFERROR(__xludf.DUMMYFUNCTION("""COMPUTED_VALUE"""),"--Please select--")</f>
        <v>--Please select--</v>
      </c>
      <c r="M1018" s="6"/>
      <c r="N1018" s="6"/>
      <c r="O1018" s="6" t="str">
        <f ca="1">IFERROR(__xludf.DUMMYFUNCTION("""COMPUTED_VALUE"""),"Email")</f>
        <v>Email</v>
      </c>
      <c r="P1018" s="6"/>
      <c r="Q1018" s="6" t="str">
        <f ca="1">IFERROR(__xludf.DUMMYFUNCTION("""COMPUTED_VALUE"""),"No")</f>
        <v>No</v>
      </c>
      <c r="R1018" s="6">
        <f ca="1">IFERROR(__xludf.DUMMYFUNCTION("""COMPUTED_VALUE"""),1)</f>
        <v>1</v>
      </c>
      <c r="S1018" s="6" t="str">
        <f ca="1">IFERROR(__xludf.DUMMYFUNCTION("""COMPUTED_VALUE"""),"Seed")</f>
        <v>Seed</v>
      </c>
      <c r="T1018" s="6" t="str">
        <f ca="1">IFERROR(__xludf.DUMMYFUNCTION("""COMPUTED_VALUE"""),"Seed")</f>
        <v>Seed</v>
      </c>
      <c r="U1018" s="6" t="str">
        <f ca="1">IFERROR(__xludf.DUMMYFUNCTION("""COMPUTED_VALUE"""),"Seed")</f>
        <v>Seed</v>
      </c>
      <c r="V1018" s="6"/>
      <c r="W1018" s="6" t="str">
        <f ca="1">IFERROR(__xludf.DUMMYFUNCTION("""COMPUTED_VALUE"""),"Invite")</f>
        <v>Invite</v>
      </c>
    </row>
    <row r="1019" spans="1:23">
      <c r="A1019" s="6" t="str">
        <f ca="1">IFERROR(__xludf.DUMMYFUNCTION("""COMPUTED_VALUE"""),"Man, Man")</f>
        <v>Man, Man</v>
      </c>
      <c r="B1019" s="6" t="str">
        <f ca="1">IFERROR(__xludf.DUMMYFUNCTION("""COMPUTED_VALUE"""),"Datanchor Inc. _2022")</f>
        <v>Datanchor Inc. _2022</v>
      </c>
      <c r="C1019" s="6" t="str">
        <f ca="1">IFERROR(__xludf.DUMMYFUNCTION("""COMPUTED_VALUE"""),"Deep Tech")</f>
        <v>Deep Tech</v>
      </c>
      <c r="D1019" s="6" t="str">
        <f ca="1">IFERROR(__xludf.DUMMYFUNCTION("""COMPUTED_VALUE"""),"Columbus, Ohio 
United States")</f>
        <v>Columbus, Ohio 
United States</v>
      </c>
      <c r="E1019" s="6" t="str">
        <f ca="1">IFERROR(__xludf.DUMMYFUNCTION("""COMPUTED_VALUE"""),"Midwest")</f>
        <v>Midwest</v>
      </c>
      <c r="F1019" s="6" t="str">
        <f ca="1">IFERROR(__xludf.DUMMYFUNCTION("""COMPUTED_VALUE"""),"Man")</f>
        <v>Man</v>
      </c>
      <c r="G1019" s="6" t="str">
        <f ca="1">IFERROR(__xludf.DUMMYFUNCTION("""COMPUTED_VALUE"""),"Man")</f>
        <v>Man</v>
      </c>
      <c r="H1019" s="6"/>
      <c r="I1019" s="6"/>
      <c r="J1019" s="6"/>
      <c r="K1019" s="6"/>
      <c r="L1019" s="6" t="str">
        <f ca="1">IFERROR(__xludf.DUMMYFUNCTION("""COMPUTED_VALUE"""),"No")</f>
        <v>No</v>
      </c>
      <c r="M1019" s="6"/>
      <c r="N1019" s="6"/>
      <c r="O1019" s="6" t="str">
        <f ca="1">IFERROR(__xludf.DUMMYFUNCTION("""COMPUTED_VALUE"""),"Referral")</f>
        <v>Referral</v>
      </c>
      <c r="P1019" s="6"/>
      <c r="Q1019" s="6" t="str">
        <f ca="1">IFERROR(__xludf.DUMMYFUNCTION("""COMPUTED_VALUE"""),"No")</f>
        <v>No</v>
      </c>
      <c r="R1019" s="6">
        <f ca="1">IFERROR(__xludf.DUMMYFUNCTION("""COMPUTED_VALUE"""),2)</f>
        <v>2</v>
      </c>
      <c r="S1019" s="6" t="str">
        <f ca="1">IFERROR(__xludf.DUMMYFUNCTION("""COMPUTED_VALUE"""),"Pre-seed
Seed")</f>
        <v>Pre-seed
Seed</v>
      </c>
      <c r="T1019" s="6" t="str">
        <f ca="1">IFERROR(__xludf.DUMMYFUNCTION("""COMPUTED_VALUE"""),"Pre-seed, Seed")</f>
        <v>Pre-seed, Seed</v>
      </c>
      <c r="U1019" s="6" t="str">
        <f ca="1">IFERROR(__xludf.DUMMYFUNCTION("""COMPUTED_VALUE"""),"Pre-seed, Seed")</f>
        <v>Pre-seed, Seed</v>
      </c>
      <c r="V1019" s="6"/>
      <c r="W1019" s="6" t="str">
        <f ca="1">IFERROR(__xludf.DUMMYFUNCTION("""COMPUTED_VALUE"""),"Invite")</f>
        <v>Invite</v>
      </c>
    </row>
    <row r="1020" spans="1:23">
      <c r="A1020" s="6" t="str">
        <f ca="1">IFERROR(__xludf.DUMMYFUNCTION("""COMPUTED_VALUE"""),"Woman, Man, Woman, Man, Man, Man")</f>
        <v>Woman, Man, Woman, Man, Man, Man</v>
      </c>
      <c r="B1020" s="6" t="str">
        <f ca="1">IFERROR(__xludf.DUMMYFUNCTION("""COMPUTED_VALUE"""),"Hubly Surgical _2022")</f>
        <v>Hubly Surgical _2022</v>
      </c>
      <c r="C1020" s="6" t="str">
        <f ca="1">IFERROR(__xludf.DUMMYFUNCTION("""COMPUTED_VALUE"""),"Life Sciences")</f>
        <v>Life Sciences</v>
      </c>
      <c r="D1020" s="6" t="str">
        <f ca="1">IFERROR(__xludf.DUMMYFUNCTION("""COMPUTED_VALUE"""),"Lisle, IL 
United States")</f>
        <v>Lisle, IL 
United States</v>
      </c>
      <c r="E1020" s="6" t="str">
        <f ca="1">IFERROR(__xludf.DUMMYFUNCTION("""COMPUTED_VALUE"""),"Midwest")</f>
        <v>Midwest</v>
      </c>
      <c r="F1020" s="6" t="str">
        <f ca="1">IFERROR(__xludf.DUMMYFUNCTION("""COMPUTED_VALUE"""),"Woman")</f>
        <v>Woman</v>
      </c>
      <c r="G1020" s="6" t="str">
        <f ca="1">IFERROR(__xludf.DUMMYFUNCTION("""COMPUTED_VALUE"""),"Man")</f>
        <v>Man</v>
      </c>
      <c r="H1020" s="6" t="str">
        <f ca="1">IFERROR(__xludf.DUMMYFUNCTION("""COMPUTED_VALUE"""),"Woman")</f>
        <v>Woman</v>
      </c>
      <c r="I1020" s="6" t="str">
        <f ca="1">IFERROR(__xludf.DUMMYFUNCTION("""COMPUTED_VALUE"""),"Man")</f>
        <v>Man</v>
      </c>
      <c r="J1020" s="6" t="str">
        <f ca="1">IFERROR(__xludf.DUMMYFUNCTION("""COMPUTED_VALUE"""),"Man")</f>
        <v>Man</v>
      </c>
      <c r="K1020" s="6" t="str">
        <f ca="1">IFERROR(__xludf.DUMMYFUNCTION("""COMPUTED_VALUE"""),"Man")</f>
        <v>Man</v>
      </c>
      <c r="L1020" s="6" t="str">
        <f ca="1">IFERROR(__xludf.DUMMYFUNCTION("""COMPUTED_VALUE"""),"No")</f>
        <v>No</v>
      </c>
      <c r="M1020" s="6"/>
      <c r="N1020" s="6"/>
      <c r="O1020" s="6" t="str">
        <f ca="1">IFERROR(__xludf.DUMMYFUNCTION("""COMPUTED_VALUE"""),"Referral")</f>
        <v>Referral</v>
      </c>
      <c r="P1020" s="6"/>
      <c r="Q1020" s="6" t="str">
        <f ca="1">IFERROR(__xludf.DUMMYFUNCTION("""COMPUTED_VALUE"""),"No")</f>
        <v>No</v>
      </c>
      <c r="R1020" s="6">
        <f ca="1">IFERROR(__xludf.DUMMYFUNCTION("""COMPUTED_VALUE"""),6)</f>
        <v>6</v>
      </c>
      <c r="S1020" s="6" t="str">
        <f ca="1">IFERROR(__xludf.DUMMYFUNCTION("""COMPUTED_VALUE"""),"Pre-seed
Grants")</f>
        <v>Pre-seed
Grants</v>
      </c>
      <c r="T1020" s="6" t="str">
        <f ca="1">IFERROR(__xludf.DUMMYFUNCTION("""COMPUTED_VALUE"""),"Pre-seed, Grants")</f>
        <v>Pre-seed, Grants</v>
      </c>
      <c r="U1020" s="6" t="str">
        <f ca="1">IFERROR(__xludf.DUMMYFUNCTION("""COMPUTED_VALUE"""),"Pre-seed, Grants")</f>
        <v>Pre-seed, Grants</v>
      </c>
      <c r="V1020" s="6"/>
      <c r="W1020" s="6" t="str">
        <f ca="1">IFERROR(__xludf.DUMMYFUNCTION("""COMPUTED_VALUE"""),"Invite")</f>
        <v>Invite</v>
      </c>
    </row>
    <row r="1021" spans="1:23">
      <c r="A1021" s="6" t="str">
        <f ca="1">IFERROR(__xludf.DUMMYFUNCTION("""COMPUTED_VALUE"""),"Man, Man, Man, Man, Man")</f>
        <v>Man, Man, Man, Man, Man</v>
      </c>
      <c r="B1021" s="6" t="str">
        <f ca="1">IFERROR(__xludf.DUMMYFUNCTION("""COMPUTED_VALUE"""),"LizarBio Therapeutics _2022")</f>
        <v>LizarBio Therapeutics _2022</v>
      </c>
      <c r="C1021" s="6" t="str">
        <f ca="1">IFERROR(__xludf.DUMMYFUNCTION("""COMPUTED_VALUE"""),"Life Sciences")</f>
        <v>Life Sciences</v>
      </c>
      <c r="D1021" s="6" t="str">
        <f ca="1">IFERROR(__xludf.DUMMYFUNCTION("""COMPUTED_VALUE"""),"Jersey City, New Jersey 
United States")</f>
        <v>Jersey City, New Jersey 
United States</v>
      </c>
      <c r="E1021" s="6" t="str">
        <f ca="1">IFERROR(__xludf.DUMMYFUNCTION("""COMPUTED_VALUE"""),"East Coast")</f>
        <v>East Coast</v>
      </c>
      <c r="F1021" s="6" t="str">
        <f ca="1">IFERROR(__xludf.DUMMYFUNCTION("""COMPUTED_VALUE"""),"Man")</f>
        <v>Man</v>
      </c>
      <c r="G1021" s="6" t="str">
        <f ca="1">IFERROR(__xludf.DUMMYFUNCTION("""COMPUTED_VALUE"""),"Man")</f>
        <v>Man</v>
      </c>
      <c r="H1021" s="6" t="str">
        <f ca="1">IFERROR(__xludf.DUMMYFUNCTION("""COMPUTED_VALUE"""),"Man")</f>
        <v>Man</v>
      </c>
      <c r="I1021" s="6" t="str">
        <f ca="1">IFERROR(__xludf.DUMMYFUNCTION("""COMPUTED_VALUE"""),"Man")</f>
        <v>Man</v>
      </c>
      <c r="J1021" s="6" t="str">
        <f ca="1">IFERROR(__xludf.DUMMYFUNCTION("""COMPUTED_VALUE"""),"Man")</f>
        <v>Man</v>
      </c>
      <c r="K1021" s="6"/>
      <c r="L1021" s="6" t="str">
        <f ca="1">IFERROR(__xludf.DUMMYFUNCTION("""COMPUTED_VALUE"""),"No")</f>
        <v>No</v>
      </c>
      <c r="M1021" s="6"/>
      <c r="N1021" s="6"/>
      <c r="O1021" s="6" t="str">
        <f ca="1">IFERROR(__xludf.DUMMYFUNCTION("""COMPUTED_VALUE"""),"Referral")</f>
        <v>Referral</v>
      </c>
      <c r="P1021" s="6"/>
      <c r="Q1021" s="6" t="str">
        <f ca="1">IFERROR(__xludf.DUMMYFUNCTION("""COMPUTED_VALUE"""),"No")</f>
        <v>No</v>
      </c>
      <c r="R1021" s="6">
        <f ca="1">IFERROR(__xludf.DUMMYFUNCTION("""COMPUTED_VALUE"""),5)</f>
        <v>5</v>
      </c>
      <c r="S1021" s="6" t="str">
        <f ca="1">IFERROR(__xludf.DUMMYFUNCTION("""COMPUTED_VALUE"""),"Pre-seed")</f>
        <v>Pre-seed</v>
      </c>
      <c r="T1021" s="6" t="str">
        <f ca="1">IFERROR(__xludf.DUMMYFUNCTION("""COMPUTED_VALUE"""),"Pre-seed")</f>
        <v>Pre-seed</v>
      </c>
      <c r="U1021" s="6" t="str">
        <f ca="1">IFERROR(__xludf.DUMMYFUNCTION("""COMPUTED_VALUE"""),"Pre-seed")</f>
        <v>Pre-seed</v>
      </c>
      <c r="V1021" s="6"/>
      <c r="W1021" s="6" t="str">
        <f ca="1">IFERROR(__xludf.DUMMYFUNCTION("""COMPUTED_VALUE"""),"Invite")</f>
        <v>Invite</v>
      </c>
    </row>
    <row r="1022" spans="1:23">
      <c r="A1022" s="6" t="str">
        <f ca="1">IFERROR(__xludf.DUMMYFUNCTION("""COMPUTED_VALUE"""),"Man, Man")</f>
        <v>Man, Man</v>
      </c>
      <c r="B1022" s="6" t="str">
        <f ca="1">IFERROR(__xludf.DUMMYFUNCTION("""COMPUTED_VALUE"""),"Viridian Space Corporation _2022")</f>
        <v>Viridian Space Corporation _2022</v>
      </c>
      <c r="C1022" s="6" t="str">
        <f ca="1">IFERROR(__xludf.DUMMYFUNCTION("""COMPUTED_VALUE"""),"Deep Tech")</f>
        <v>Deep Tech</v>
      </c>
      <c r="D1022" s="6" t="str">
        <f ca="1">IFERROR(__xludf.DUMMYFUNCTION("""COMPUTED_VALUE"""),"120 Eucalyptus Dr, El Segundo, Ca 
United States")</f>
        <v>120 Eucalyptus Dr, El Segundo, Ca 
United States</v>
      </c>
      <c r="E1022" s="6" t="str">
        <f ca="1">IFERROR(__xludf.DUMMYFUNCTION("""COMPUTED_VALUE"""),"West Coast")</f>
        <v>West Coast</v>
      </c>
      <c r="F1022" s="6" t="str">
        <f ca="1">IFERROR(__xludf.DUMMYFUNCTION("""COMPUTED_VALUE"""),"Man")</f>
        <v>Man</v>
      </c>
      <c r="G1022" s="6" t="str">
        <f ca="1">IFERROR(__xludf.DUMMYFUNCTION("""COMPUTED_VALUE"""),"Man")</f>
        <v>Man</v>
      </c>
      <c r="H1022" s="6"/>
      <c r="I1022" s="6"/>
      <c r="J1022" s="6"/>
      <c r="K1022" s="6"/>
      <c r="L1022" s="6" t="str">
        <f ca="1">IFERROR(__xludf.DUMMYFUNCTION("""COMPUTED_VALUE"""),"No")</f>
        <v>No</v>
      </c>
      <c r="M1022" s="6"/>
      <c r="N1022" s="6"/>
      <c r="O1022" s="6" t="str">
        <f ca="1">IFERROR(__xludf.DUMMYFUNCTION("""COMPUTED_VALUE"""),"Email")</f>
        <v>Email</v>
      </c>
      <c r="P1022" s="6"/>
      <c r="Q1022" s="6" t="str">
        <f ca="1">IFERROR(__xludf.DUMMYFUNCTION("""COMPUTED_VALUE"""),"No")</f>
        <v>No</v>
      </c>
      <c r="R1022" s="6">
        <f ca="1">IFERROR(__xludf.DUMMYFUNCTION("""COMPUTED_VALUE"""),2)</f>
        <v>2</v>
      </c>
      <c r="S1022" s="6" t="str">
        <f ca="1">IFERROR(__xludf.DUMMYFUNCTION("""COMPUTED_VALUE"""),"Pre-seed")</f>
        <v>Pre-seed</v>
      </c>
      <c r="T1022" s="6" t="str">
        <f ca="1">IFERROR(__xludf.DUMMYFUNCTION("""COMPUTED_VALUE"""),"Pre-seed")</f>
        <v>Pre-seed</v>
      </c>
      <c r="U1022" s="6" t="str">
        <f ca="1">IFERROR(__xludf.DUMMYFUNCTION("""COMPUTED_VALUE"""),"Pre-seed")</f>
        <v>Pre-seed</v>
      </c>
      <c r="V1022" s="6"/>
      <c r="W1022" s="6" t="str">
        <f ca="1">IFERROR(__xludf.DUMMYFUNCTION("""COMPUTED_VALUE"""),"Revisit/ Cluster")</f>
        <v>Revisit/ Cluster</v>
      </c>
    </row>
    <row r="1023" spans="1:23">
      <c r="A1023" s="6" t="str">
        <f ca="1">IFERROR(__xludf.DUMMYFUNCTION("""COMPUTED_VALUE"""),"Man, Man, Man")</f>
        <v>Man, Man, Man</v>
      </c>
      <c r="B1023" s="6" t="str">
        <f ca="1">IFERROR(__xludf.DUMMYFUNCTION("""COMPUTED_VALUE"""),"Wiingy _2022")</f>
        <v>Wiingy _2022</v>
      </c>
      <c r="C1023" s="6" t="str">
        <f ca="1">IFERROR(__xludf.DUMMYFUNCTION("""COMPUTED_VALUE"""),"Digital Tech")</f>
        <v>Digital Tech</v>
      </c>
      <c r="D1023" s="6" t="str">
        <f ca="1">IFERROR(__xludf.DUMMYFUNCTION("""COMPUTED_VALUE"""),"C301, Startuphut unit 3, 27th Main Road, HSR Layout, Bengaluru, Karnataka 560102, India, Karnataka 
India")</f>
        <v>C301, Startuphut unit 3, 27th Main Road, HSR Layout, Bengaluru, Karnataka 560102, India, Karnataka 
India</v>
      </c>
      <c r="E1023" s="6" t="str">
        <f ca="1">IFERROR(__xludf.DUMMYFUNCTION("""COMPUTED_VALUE"""),"International - Asia")</f>
        <v>International - Asia</v>
      </c>
      <c r="F1023" s="6" t="str">
        <f ca="1">IFERROR(__xludf.DUMMYFUNCTION("""COMPUTED_VALUE"""),"Man")</f>
        <v>Man</v>
      </c>
      <c r="G1023" s="6" t="str">
        <f ca="1">IFERROR(__xludf.DUMMYFUNCTION("""COMPUTED_VALUE"""),"Man")</f>
        <v>Man</v>
      </c>
      <c r="H1023" s="6" t="str">
        <f ca="1">IFERROR(__xludf.DUMMYFUNCTION("""COMPUTED_VALUE"""),"Man")</f>
        <v>Man</v>
      </c>
      <c r="I1023" s="6"/>
      <c r="J1023" s="6"/>
      <c r="K1023" s="6"/>
      <c r="L1023" s="6" t="str">
        <f ca="1">IFERROR(__xludf.DUMMYFUNCTION("""COMPUTED_VALUE"""),"--Please select--")</f>
        <v>--Please select--</v>
      </c>
      <c r="M1023" s="6"/>
      <c r="N1023" s="6"/>
      <c r="O1023" s="6" t="str">
        <f ca="1">IFERROR(__xludf.DUMMYFUNCTION("""COMPUTED_VALUE"""),"LinkedIn")</f>
        <v>LinkedIn</v>
      </c>
      <c r="P1023" s="6"/>
      <c r="Q1023" s="6" t="str">
        <f ca="1">IFERROR(__xludf.DUMMYFUNCTION("""COMPUTED_VALUE"""),"No")</f>
        <v>No</v>
      </c>
      <c r="R1023" s="6">
        <f ca="1">IFERROR(__xludf.DUMMYFUNCTION("""COMPUTED_VALUE"""),3)</f>
        <v>3</v>
      </c>
      <c r="S1023" s="6" t="str">
        <f ca="1">IFERROR(__xludf.DUMMYFUNCTION("""COMPUTED_VALUE"""),"Pre-seed")</f>
        <v>Pre-seed</v>
      </c>
      <c r="T1023" s="6" t="str">
        <f ca="1">IFERROR(__xludf.DUMMYFUNCTION("""COMPUTED_VALUE"""),"Pre-seed")</f>
        <v>Pre-seed</v>
      </c>
      <c r="U1023" s="6" t="str">
        <f ca="1">IFERROR(__xludf.DUMMYFUNCTION("""COMPUTED_VALUE"""),"Pre-seed")</f>
        <v>Pre-seed</v>
      </c>
      <c r="V1023" s="6"/>
      <c r="W1023" s="6" t="str">
        <f ca="1">IFERROR(__xludf.DUMMYFUNCTION("""COMPUTED_VALUE"""),"Invite Next Year")</f>
        <v>Invite Next Year</v>
      </c>
    </row>
    <row r="1024" spans="1:23">
      <c r="A1024" s="6" t="str">
        <f ca="1">IFERROR(__xludf.DUMMYFUNCTION("""COMPUTED_VALUE"""),"Man, Man, Man")</f>
        <v>Man, Man, Man</v>
      </c>
      <c r="B1024" s="6" t="str">
        <f ca="1">IFERROR(__xludf.DUMMYFUNCTION("""COMPUTED_VALUE"""),"INION LT _2022")</f>
        <v>INION LT _2022</v>
      </c>
      <c r="C1024" s="6" t="str">
        <f ca="1">IFERROR(__xludf.DUMMYFUNCTION("""COMPUTED_VALUE"""),"Digital Tech")</f>
        <v>Digital Tech</v>
      </c>
      <c r="D1024" s="6" t="str">
        <f ca="1">IFERROR(__xludf.DUMMYFUNCTION("""COMPUTED_VALUE"""),"Vilnius, Lithuania 
Lithuania")</f>
        <v>Vilnius, Lithuania 
Lithuania</v>
      </c>
      <c r="E1024" s="6" t="str">
        <f ca="1">IFERROR(__xludf.DUMMYFUNCTION("""COMPUTED_VALUE"""),"International - Europe")</f>
        <v>International - Europe</v>
      </c>
      <c r="F1024" s="6" t="str">
        <f ca="1">IFERROR(__xludf.DUMMYFUNCTION("""COMPUTED_VALUE"""),"Man")</f>
        <v>Man</v>
      </c>
      <c r="G1024" s="6" t="str">
        <f ca="1">IFERROR(__xludf.DUMMYFUNCTION("""COMPUTED_VALUE"""),"Man")</f>
        <v>Man</v>
      </c>
      <c r="H1024" s="6" t="str">
        <f ca="1">IFERROR(__xludf.DUMMYFUNCTION("""COMPUTED_VALUE"""),"Man")</f>
        <v>Man</v>
      </c>
      <c r="I1024" s="6"/>
      <c r="J1024" s="6"/>
      <c r="K1024" s="6"/>
      <c r="L1024" s="6" t="str">
        <f ca="1">IFERROR(__xludf.DUMMYFUNCTION("""COMPUTED_VALUE"""),"No")</f>
        <v>No</v>
      </c>
      <c r="M1024" s="6"/>
      <c r="N1024" s="6"/>
      <c r="O1024" s="6" t="str">
        <f ca="1">IFERROR(__xludf.DUMMYFUNCTION("""COMPUTED_VALUE"""),"Email")</f>
        <v>Email</v>
      </c>
      <c r="P1024" s="6"/>
      <c r="Q1024" s="6" t="str">
        <f ca="1">IFERROR(__xludf.DUMMYFUNCTION("""COMPUTED_VALUE"""),"No")</f>
        <v>No</v>
      </c>
      <c r="R1024" s="6">
        <f ca="1">IFERROR(__xludf.DUMMYFUNCTION("""COMPUTED_VALUE"""),3)</f>
        <v>3</v>
      </c>
      <c r="S1024" s="6" t="str">
        <f ca="1">IFERROR(__xludf.DUMMYFUNCTION("""COMPUTED_VALUE"""),"Pre-seed
Seed
Grants")</f>
        <v>Pre-seed
Seed
Grants</v>
      </c>
      <c r="T1024" s="6" t="str">
        <f ca="1">IFERROR(__xludf.DUMMYFUNCTION("""COMPUTED_VALUE"""),"Pre-seed, Seed, Grants")</f>
        <v>Pre-seed, Seed, Grants</v>
      </c>
      <c r="U1024" s="6" t="str">
        <f ca="1">IFERROR(__xludf.DUMMYFUNCTION("""COMPUTED_VALUE"""),"Pre-seed, Seed, Grants")</f>
        <v>Pre-seed, Seed, Grants</v>
      </c>
      <c r="V1024" s="6"/>
      <c r="W1024" s="6" t="str">
        <f ca="1">IFERROR(__xludf.DUMMYFUNCTION("""COMPUTED_VALUE"""),"Invite")</f>
        <v>Invite</v>
      </c>
    </row>
    <row r="1025" spans="1:23">
      <c r="A1025" s="6" t="str">
        <f ca="1">IFERROR(__xludf.DUMMYFUNCTION("""COMPUTED_VALUE"""),"Man")</f>
        <v>Man</v>
      </c>
      <c r="B1025" s="6" t="str">
        <f ca="1">IFERROR(__xludf.DUMMYFUNCTION("""COMPUTED_VALUE"""),"Connecthedocks _2022")</f>
        <v>Connecthedocks _2022</v>
      </c>
      <c r="C1025" s="6" t="str">
        <f ca="1">IFERROR(__xludf.DUMMYFUNCTION("""COMPUTED_VALUE"""),"Digital Tech")</f>
        <v>Digital Tech</v>
      </c>
      <c r="D1025" s="6" t="str">
        <f ca="1">IFERROR(__xludf.DUMMYFUNCTION("""COMPUTED_VALUE"""),"Winter Park, FL 
United States")</f>
        <v>Winter Park, FL 
United States</v>
      </c>
      <c r="E1025" s="6" t="str">
        <f ca="1">IFERROR(__xludf.DUMMYFUNCTION("""COMPUTED_VALUE"""),"East Coast")</f>
        <v>East Coast</v>
      </c>
      <c r="F1025" s="6" t="str">
        <f ca="1">IFERROR(__xludf.DUMMYFUNCTION("""COMPUTED_VALUE"""),"Man")</f>
        <v>Man</v>
      </c>
      <c r="G1025" s="6"/>
      <c r="H1025" s="6"/>
      <c r="I1025" s="6"/>
      <c r="J1025" s="6"/>
      <c r="K1025" s="6"/>
      <c r="L1025" s="6" t="str">
        <f ca="1">IFERROR(__xludf.DUMMYFUNCTION("""COMPUTED_VALUE"""),"--Please select--")</f>
        <v>--Please select--</v>
      </c>
      <c r="M1025" s="6"/>
      <c r="N1025" s="6"/>
      <c r="O1025" s="6" t="str">
        <f ca="1">IFERROR(__xludf.DUMMYFUNCTION("""COMPUTED_VALUE"""),"Email")</f>
        <v>Email</v>
      </c>
      <c r="P1025" s="6"/>
      <c r="Q1025" s="6" t="str">
        <f ca="1">IFERROR(__xludf.DUMMYFUNCTION("""COMPUTED_VALUE"""),"No")</f>
        <v>No</v>
      </c>
      <c r="R1025" s="6">
        <f ca="1">IFERROR(__xludf.DUMMYFUNCTION("""COMPUTED_VALUE"""),1)</f>
        <v>1</v>
      </c>
      <c r="S1025" s="6" t="str">
        <f ca="1">IFERROR(__xludf.DUMMYFUNCTION("""COMPUTED_VALUE"""),"Pre-seed")</f>
        <v>Pre-seed</v>
      </c>
      <c r="T1025" s="6" t="str">
        <f ca="1">IFERROR(__xludf.DUMMYFUNCTION("""COMPUTED_VALUE"""),"Pre-seed")</f>
        <v>Pre-seed</v>
      </c>
      <c r="U1025" s="6" t="str">
        <f ca="1">IFERROR(__xludf.DUMMYFUNCTION("""COMPUTED_VALUE"""),"Pre-seed")</f>
        <v>Pre-seed</v>
      </c>
      <c r="V1025" s="6"/>
      <c r="W1025" s="6" t="str">
        <f ca="1">IFERROR(__xludf.DUMMYFUNCTION("""COMPUTED_VALUE"""),"Invite Next Year")</f>
        <v>Invite Next Year</v>
      </c>
    </row>
    <row r="1026" spans="1:23">
      <c r="A1026" s="6" t="str">
        <f ca="1">IFERROR(__xludf.DUMMYFUNCTION("""COMPUTED_VALUE"""),"Woman, Man")</f>
        <v>Woman, Man</v>
      </c>
      <c r="B1026" s="6" t="str">
        <f ca="1">IFERROR(__xludf.DUMMYFUNCTION("""COMPUTED_VALUE"""),"Panhwar Jet _2022")</f>
        <v>Panhwar Jet _2022</v>
      </c>
      <c r="C1026" s="6" t="str">
        <f ca="1">IFERROR(__xludf.DUMMYFUNCTION("""COMPUTED_VALUE"""),"Deep Tech")</f>
        <v>Deep Tech</v>
      </c>
      <c r="D1026" s="6" t="str">
        <f ca="1">IFERROR(__xludf.DUMMYFUNCTION("""COMPUTED_VALUE"""),"Kamas, Utah 
United States")</f>
        <v>Kamas, Utah 
United States</v>
      </c>
      <c r="E1026" s="6" t="str">
        <f ca="1">IFERROR(__xludf.DUMMYFUNCTION("""COMPUTED_VALUE"""),"Midwest")</f>
        <v>Midwest</v>
      </c>
      <c r="F1026" s="6" t="str">
        <f ca="1">IFERROR(__xludf.DUMMYFUNCTION("""COMPUTED_VALUE"""),"Woman")</f>
        <v>Woman</v>
      </c>
      <c r="G1026" s="6" t="str">
        <f ca="1">IFERROR(__xludf.DUMMYFUNCTION("""COMPUTED_VALUE"""),"Man")</f>
        <v>Man</v>
      </c>
      <c r="H1026" s="6"/>
      <c r="I1026" s="6"/>
      <c r="J1026" s="6"/>
      <c r="K1026" s="6"/>
      <c r="L1026" s="6" t="str">
        <f ca="1">IFERROR(__xludf.DUMMYFUNCTION("""COMPUTED_VALUE"""),"No")</f>
        <v>No</v>
      </c>
      <c r="M1026" s="6"/>
      <c r="N1026" s="6"/>
      <c r="O1026" s="6" t="str">
        <f ca="1">IFERROR(__xludf.DUMMYFUNCTION("""COMPUTED_VALUE"""),"Email")</f>
        <v>Email</v>
      </c>
      <c r="P1026" s="6"/>
      <c r="Q1026" s="6" t="str">
        <f ca="1">IFERROR(__xludf.DUMMYFUNCTION("""COMPUTED_VALUE"""),"No")</f>
        <v>No</v>
      </c>
      <c r="R1026" s="6">
        <f ca="1">IFERROR(__xludf.DUMMYFUNCTION("""COMPUTED_VALUE"""),2)</f>
        <v>2</v>
      </c>
      <c r="S1026" s="6" t="str">
        <f ca="1">IFERROR(__xludf.DUMMYFUNCTION("""COMPUTED_VALUE"""),"Seed")</f>
        <v>Seed</v>
      </c>
      <c r="T1026" s="6" t="str">
        <f ca="1">IFERROR(__xludf.DUMMYFUNCTION("""COMPUTED_VALUE"""),"Seed")</f>
        <v>Seed</v>
      </c>
      <c r="U1026" s="6" t="str">
        <f ca="1">IFERROR(__xludf.DUMMYFUNCTION("""COMPUTED_VALUE"""),"Seed")</f>
        <v>Seed</v>
      </c>
      <c r="V1026" s="6"/>
      <c r="W1026" s="6" t="str">
        <f ca="1">IFERROR(__xludf.DUMMYFUNCTION("""COMPUTED_VALUE"""),"Invite")</f>
        <v>Invite</v>
      </c>
    </row>
    <row r="1027" spans="1:23">
      <c r="A1027" s="6" t="str">
        <f ca="1">IFERROR(__xludf.DUMMYFUNCTION("""COMPUTED_VALUE"""),"Man, Man")</f>
        <v>Man, Man</v>
      </c>
      <c r="B1027" s="6" t="str">
        <f ca="1">IFERROR(__xludf.DUMMYFUNCTION("""COMPUTED_VALUE"""),"Wordcab _2022")</f>
        <v>Wordcab _2022</v>
      </c>
      <c r="C1027" s="6" t="str">
        <f ca="1">IFERROR(__xludf.DUMMYFUNCTION("""COMPUTED_VALUE"""),"Deep Tech")</f>
        <v>Deep Tech</v>
      </c>
      <c r="D1027" s="6" t="str">
        <f ca="1">IFERROR(__xludf.DUMMYFUNCTION("""COMPUTED_VALUE"""),"600 Baychester Ave , NY 
United States")</f>
        <v>600 Baychester Ave , NY 
United States</v>
      </c>
      <c r="E1027" s="6" t="str">
        <f ca="1">IFERROR(__xludf.DUMMYFUNCTION("""COMPUTED_VALUE"""),"New York")</f>
        <v>New York</v>
      </c>
      <c r="F1027" s="6" t="str">
        <f ca="1">IFERROR(__xludf.DUMMYFUNCTION("""COMPUTED_VALUE"""),"Man")</f>
        <v>Man</v>
      </c>
      <c r="G1027" s="6" t="str">
        <f ca="1">IFERROR(__xludf.DUMMYFUNCTION("""COMPUTED_VALUE"""),"Man")</f>
        <v>Man</v>
      </c>
      <c r="H1027" s="6"/>
      <c r="I1027" s="6"/>
      <c r="J1027" s="6"/>
      <c r="K1027" s="6"/>
      <c r="L1027" s="6" t="str">
        <f ca="1">IFERROR(__xludf.DUMMYFUNCTION("""COMPUTED_VALUE"""),"No")</f>
        <v>No</v>
      </c>
      <c r="M1027" s="6"/>
      <c r="N1027" s="6"/>
      <c r="O1027" s="6" t="str">
        <f ca="1">IFERROR(__xludf.DUMMYFUNCTION("""COMPUTED_VALUE"""),"Email")</f>
        <v>Email</v>
      </c>
      <c r="P1027" s="6"/>
      <c r="Q1027" s="6" t="str">
        <f ca="1">IFERROR(__xludf.DUMMYFUNCTION("""COMPUTED_VALUE"""),"No")</f>
        <v>No</v>
      </c>
      <c r="R1027" s="6">
        <f ca="1">IFERROR(__xludf.DUMMYFUNCTION("""COMPUTED_VALUE"""),2)</f>
        <v>2</v>
      </c>
      <c r="S1027" s="6" t="str">
        <f ca="1">IFERROR(__xludf.DUMMYFUNCTION("""COMPUTED_VALUE"""),"Pre-seed")</f>
        <v>Pre-seed</v>
      </c>
      <c r="T1027" s="6" t="str">
        <f ca="1">IFERROR(__xludf.DUMMYFUNCTION("""COMPUTED_VALUE"""),"Pre-seed")</f>
        <v>Pre-seed</v>
      </c>
      <c r="U1027" s="6" t="str">
        <f ca="1">IFERROR(__xludf.DUMMYFUNCTION("""COMPUTED_VALUE"""),"Pre-seed")</f>
        <v>Pre-seed</v>
      </c>
      <c r="V1027" s="6"/>
      <c r="W1027" s="6" t="str">
        <f ca="1">IFERROR(__xludf.DUMMYFUNCTION("""COMPUTED_VALUE"""),"Invite Next Year")</f>
        <v>Invite Next Year</v>
      </c>
    </row>
    <row r="1028" spans="1:23">
      <c r="A1028" s="6" t="str">
        <f ca="1">IFERROR(__xludf.DUMMYFUNCTION("""COMPUTED_VALUE"""),"Man, Man, Man, Man")</f>
        <v>Man, Man, Man, Man</v>
      </c>
      <c r="B1028" s="6" t="str">
        <f ca="1">IFERROR(__xludf.DUMMYFUNCTION("""COMPUTED_VALUE"""),"Venn Paltform _2022")</f>
        <v>Venn Paltform _2022</v>
      </c>
      <c r="C1028" s="6" t="str">
        <f ca="1">IFERROR(__xludf.DUMMYFUNCTION("""COMPUTED_VALUE"""),"Digital Tech")</f>
        <v>Digital Tech</v>
      </c>
      <c r="D1028" s="6" t="str">
        <f ca="1">IFERROR(__xludf.DUMMYFUNCTION("""COMPUTED_VALUE"""),"Mexico City, CDMX 
Mexico")</f>
        <v>Mexico City, CDMX 
Mexico</v>
      </c>
      <c r="E1028" s="6" t="str">
        <f ca="1">IFERROR(__xludf.DUMMYFUNCTION("""COMPUTED_VALUE"""),"International - Americas")</f>
        <v>International - Americas</v>
      </c>
      <c r="F1028" s="6" t="str">
        <f ca="1">IFERROR(__xludf.DUMMYFUNCTION("""COMPUTED_VALUE"""),"Man")</f>
        <v>Man</v>
      </c>
      <c r="G1028" s="6" t="str">
        <f ca="1">IFERROR(__xludf.DUMMYFUNCTION("""COMPUTED_VALUE"""),"Man")</f>
        <v>Man</v>
      </c>
      <c r="H1028" s="6" t="str">
        <f ca="1">IFERROR(__xludf.DUMMYFUNCTION("""COMPUTED_VALUE"""),"Man")</f>
        <v>Man</v>
      </c>
      <c r="I1028" s="6" t="str">
        <f ca="1">IFERROR(__xludf.DUMMYFUNCTION("""COMPUTED_VALUE"""),"Man")</f>
        <v>Man</v>
      </c>
      <c r="J1028" s="6"/>
      <c r="K1028" s="6"/>
      <c r="L1028" s="6" t="str">
        <f ca="1">IFERROR(__xludf.DUMMYFUNCTION("""COMPUTED_VALUE"""),"No")</f>
        <v>No</v>
      </c>
      <c r="M1028" s="6"/>
      <c r="N1028" s="6"/>
      <c r="O1028" s="6" t="str">
        <f ca="1">IFERROR(__xludf.DUMMYFUNCTION("""COMPUTED_VALUE"""),"Email")</f>
        <v>Email</v>
      </c>
      <c r="P1028" s="6"/>
      <c r="Q1028" s="6" t="str">
        <f ca="1">IFERROR(__xludf.DUMMYFUNCTION("""COMPUTED_VALUE"""),"No")</f>
        <v>No</v>
      </c>
      <c r="R1028" s="6">
        <f ca="1">IFERROR(__xludf.DUMMYFUNCTION("""COMPUTED_VALUE"""),4)</f>
        <v>4</v>
      </c>
      <c r="S1028" s="6" t="str">
        <f ca="1">IFERROR(__xludf.DUMMYFUNCTION("""COMPUTED_VALUE"""),"Pre-seed")</f>
        <v>Pre-seed</v>
      </c>
      <c r="T1028" s="6" t="str">
        <f ca="1">IFERROR(__xludf.DUMMYFUNCTION("""COMPUTED_VALUE"""),"Pre-seed")</f>
        <v>Pre-seed</v>
      </c>
      <c r="U1028" s="6" t="str">
        <f ca="1">IFERROR(__xludf.DUMMYFUNCTION("""COMPUTED_VALUE"""),"Pre-seed")</f>
        <v>Pre-seed</v>
      </c>
      <c r="V1028" s="6"/>
      <c r="W1028" s="6" t="str">
        <f ca="1">IFERROR(__xludf.DUMMYFUNCTION("""COMPUTED_VALUE"""),"Invite Next Year")</f>
        <v>Invite Next Year</v>
      </c>
    </row>
    <row r="1029" spans="1:23">
      <c r="A1029" s="6" t="str">
        <f ca="1">IFERROR(__xludf.DUMMYFUNCTION("""COMPUTED_VALUE"""),"Man, Man, Man")</f>
        <v>Man, Man, Man</v>
      </c>
      <c r="B1029" s="6" t="str">
        <f ca="1">IFERROR(__xludf.DUMMYFUNCTION("""COMPUTED_VALUE"""),"Kambio _2022")</f>
        <v>Kambio _2022</v>
      </c>
      <c r="C1029" s="6" t="str">
        <f ca="1">IFERROR(__xludf.DUMMYFUNCTION("""COMPUTED_VALUE"""),"Digital Tech")</f>
        <v>Digital Tech</v>
      </c>
      <c r="D1029" s="6" t="str">
        <f ca="1">IFERROR(__xludf.DUMMYFUNCTION("""COMPUTED_VALUE"""),"Miami, FL 
United States")</f>
        <v>Miami, FL 
United States</v>
      </c>
      <c r="E1029" s="6" t="str">
        <f ca="1">IFERROR(__xludf.DUMMYFUNCTION("""COMPUTED_VALUE"""),"East Coast")</f>
        <v>East Coast</v>
      </c>
      <c r="F1029" s="6" t="str">
        <f ca="1">IFERROR(__xludf.DUMMYFUNCTION("""COMPUTED_VALUE"""),"Man")</f>
        <v>Man</v>
      </c>
      <c r="G1029" s="6" t="str">
        <f ca="1">IFERROR(__xludf.DUMMYFUNCTION("""COMPUTED_VALUE"""),"Man")</f>
        <v>Man</v>
      </c>
      <c r="H1029" s="6" t="str">
        <f ca="1">IFERROR(__xludf.DUMMYFUNCTION("""COMPUTED_VALUE"""),"Man")</f>
        <v>Man</v>
      </c>
      <c r="I1029" s="6"/>
      <c r="J1029" s="6"/>
      <c r="K1029" s="6"/>
      <c r="L1029" s="6" t="str">
        <f ca="1">IFERROR(__xludf.DUMMYFUNCTION("""COMPUTED_VALUE"""),"Yes")</f>
        <v>Yes</v>
      </c>
      <c r="M1029" s="6" t="str">
        <f ca="1">IFERROR(__xludf.DUMMYFUNCTION("""COMPUTED_VALUE"""),"NYU Alumni")</f>
        <v>NYU Alumni</v>
      </c>
      <c r="N1029" s="6"/>
      <c r="O1029" s="6" t="str">
        <f ca="1">IFERROR(__xludf.DUMMYFUNCTION("""COMPUTED_VALUE"""),"Email")</f>
        <v>Email</v>
      </c>
      <c r="P1029" s="6"/>
      <c r="Q1029" s="6" t="str">
        <f ca="1">IFERROR(__xludf.DUMMYFUNCTION("""COMPUTED_VALUE"""),"No")</f>
        <v>No</v>
      </c>
      <c r="R1029" s="6">
        <f ca="1">IFERROR(__xludf.DUMMYFUNCTION("""COMPUTED_VALUE"""),3)</f>
        <v>3</v>
      </c>
      <c r="S1029" s="6" t="str">
        <f ca="1">IFERROR(__xludf.DUMMYFUNCTION("""COMPUTED_VALUE"""),"Pre-seed")</f>
        <v>Pre-seed</v>
      </c>
      <c r="T1029" s="6" t="str">
        <f ca="1">IFERROR(__xludf.DUMMYFUNCTION("""COMPUTED_VALUE"""),"Pre-seed")</f>
        <v>Pre-seed</v>
      </c>
      <c r="U1029" s="6" t="str">
        <f ca="1">IFERROR(__xludf.DUMMYFUNCTION("""COMPUTED_VALUE"""),"Pre-seed")</f>
        <v>Pre-seed</v>
      </c>
      <c r="V1029" s="6"/>
      <c r="W1029" s="6" t="str">
        <f ca="1">IFERROR(__xludf.DUMMYFUNCTION("""COMPUTED_VALUE"""),"Invite Next Year")</f>
        <v>Invite Next Year</v>
      </c>
    </row>
    <row r="1030" spans="1:23">
      <c r="A1030" s="6" t="str">
        <f ca="1">IFERROR(__xludf.DUMMYFUNCTION("""COMPUTED_VALUE"""),"Man, Man")</f>
        <v>Man, Man</v>
      </c>
      <c r="B1030" s="6" t="str">
        <f ca="1">IFERROR(__xludf.DUMMYFUNCTION("""COMPUTED_VALUE"""),"Anant Financial Corp. _2022")</f>
        <v>Anant Financial Corp. _2022</v>
      </c>
      <c r="C1030" s="6" t="str">
        <f ca="1">IFERROR(__xludf.DUMMYFUNCTION("""COMPUTED_VALUE"""),"Digital Tech")</f>
        <v>Digital Tech</v>
      </c>
      <c r="D1030" s="6" t="str">
        <f ca="1">IFERROR(__xludf.DUMMYFUNCTION("""COMPUTED_VALUE"""),"Schaumburg, IL 
United States")</f>
        <v>Schaumburg, IL 
United States</v>
      </c>
      <c r="E1030" s="6" t="str">
        <f ca="1">IFERROR(__xludf.DUMMYFUNCTION("""COMPUTED_VALUE"""),"Midwest")</f>
        <v>Midwest</v>
      </c>
      <c r="F1030" s="6" t="str">
        <f ca="1">IFERROR(__xludf.DUMMYFUNCTION("""COMPUTED_VALUE"""),"Man")</f>
        <v>Man</v>
      </c>
      <c r="G1030" s="6" t="str">
        <f ca="1">IFERROR(__xludf.DUMMYFUNCTION("""COMPUTED_VALUE"""),"Man")</f>
        <v>Man</v>
      </c>
      <c r="H1030" s="6"/>
      <c r="I1030" s="6"/>
      <c r="J1030" s="6"/>
      <c r="K1030" s="6"/>
      <c r="L1030" s="6" t="str">
        <f ca="1">IFERROR(__xludf.DUMMYFUNCTION("""COMPUTED_VALUE"""),"No")</f>
        <v>No</v>
      </c>
      <c r="M1030" s="6"/>
      <c r="N1030" s="6"/>
      <c r="O1030" s="6" t="str">
        <f ca="1">IFERROR(__xludf.DUMMYFUNCTION("""COMPUTED_VALUE"""),"Email")</f>
        <v>Email</v>
      </c>
      <c r="P1030" s="6"/>
      <c r="Q1030" s="6" t="str">
        <f ca="1">IFERROR(__xludf.DUMMYFUNCTION("""COMPUTED_VALUE"""),"No")</f>
        <v>No</v>
      </c>
      <c r="R1030" s="6">
        <f ca="1">IFERROR(__xludf.DUMMYFUNCTION("""COMPUTED_VALUE"""),2)</f>
        <v>2</v>
      </c>
      <c r="S1030" s="6" t="str">
        <f ca="1">IFERROR(__xludf.DUMMYFUNCTION("""COMPUTED_VALUE"""),"Pre-seed")</f>
        <v>Pre-seed</v>
      </c>
      <c r="T1030" s="6" t="str">
        <f ca="1">IFERROR(__xludf.DUMMYFUNCTION("""COMPUTED_VALUE"""),"Pre-seed")</f>
        <v>Pre-seed</v>
      </c>
      <c r="U1030" s="6" t="str">
        <f ca="1">IFERROR(__xludf.DUMMYFUNCTION("""COMPUTED_VALUE"""),"Pre-seed")</f>
        <v>Pre-seed</v>
      </c>
      <c r="V1030" s="6"/>
      <c r="W1030" s="6" t="str">
        <f ca="1">IFERROR(__xludf.DUMMYFUNCTION("""COMPUTED_VALUE"""),"Invite Next Year")</f>
        <v>Invite Next Year</v>
      </c>
    </row>
    <row r="1031" spans="1:23">
      <c r="A1031" s="6" t="str">
        <f ca="1">IFERROR(__xludf.DUMMYFUNCTION("""COMPUTED_VALUE"""),"Man, Man")</f>
        <v>Man, Man</v>
      </c>
      <c r="B1031" s="6" t="str">
        <f ca="1">IFERROR(__xludf.DUMMYFUNCTION("""COMPUTED_VALUE"""),"YouthBio Therapeutics Inc. _2022")</f>
        <v>YouthBio Therapeutics Inc. _2022</v>
      </c>
      <c r="C1031" s="6" t="str">
        <f ca="1">IFERROR(__xludf.DUMMYFUNCTION("""COMPUTED_VALUE"""),"Life Sciences")</f>
        <v>Life Sciences</v>
      </c>
      <c r="D1031" s="6" t="str">
        <f ca="1">IFERROR(__xludf.DUMMYFUNCTION("""COMPUTED_VALUE"""),"Kirkland, Washington 
United States")</f>
        <v>Kirkland, Washington 
United States</v>
      </c>
      <c r="E1031" s="6" t="str">
        <f ca="1">IFERROR(__xludf.DUMMYFUNCTION("""COMPUTED_VALUE"""),"West Coast")</f>
        <v>West Coast</v>
      </c>
      <c r="F1031" s="6" t="str">
        <f ca="1">IFERROR(__xludf.DUMMYFUNCTION("""COMPUTED_VALUE"""),"Man")</f>
        <v>Man</v>
      </c>
      <c r="G1031" s="6" t="str">
        <f ca="1">IFERROR(__xludf.DUMMYFUNCTION("""COMPUTED_VALUE"""),"Man")</f>
        <v>Man</v>
      </c>
      <c r="H1031" s="6"/>
      <c r="I1031" s="6"/>
      <c r="J1031" s="6"/>
      <c r="K1031" s="6"/>
      <c r="L1031" s="6" t="str">
        <f ca="1">IFERROR(__xludf.DUMMYFUNCTION("""COMPUTED_VALUE"""),"--Please select--")</f>
        <v>--Please select--</v>
      </c>
      <c r="M1031" s="6"/>
      <c r="N1031" s="6"/>
      <c r="O1031" s="6" t="str">
        <f ca="1">IFERROR(__xludf.DUMMYFUNCTION("""COMPUTED_VALUE"""),"LinkedIn")</f>
        <v>LinkedIn</v>
      </c>
      <c r="P1031" s="6"/>
      <c r="Q1031" s="6" t="str">
        <f ca="1">IFERROR(__xludf.DUMMYFUNCTION("""COMPUTED_VALUE"""),"No")</f>
        <v>No</v>
      </c>
      <c r="R1031" s="6">
        <f ca="1">IFERROR(__xludf.DUMMYFUNCTION("""COMPUTED_VALUE"""),2)</f>
        <v>2</v>
      </c>
      <c r="S1031" s="6" t="str">
        <f ca="1">IFERROR(__xludf.DUMMYFUNCTION("""COMPUTED_VALUE"""),"Pre-seed")</f>
        <v>Pre-seed</v>
      </c>
      <c r="T1031" s="6" t="str">
        <f ca="1">IFERROR(__xludf.DUMMYFUNCTION("""COMPUTED_VALUE"""),"Pre-seed")</f>
        <v>Pre-seed</v>
      </c>
      <c r="U1031" s="6" t="str">
        <f ca="1">IFERROR(__xludf.DUMMYFUNCTION("""COMPUTED_VALUE"""),"Pre-seed")</f>
        <v>Pre-seed</v>
      </c>
      <c r="V1031" s="6"/>
      <c r="W1031" s="6" t="str">
        <f ca="1">IFERROR(__xludf.DUMMYFUNCTION("""COMPUTED_VALUE"""),"Revisit/ Cluster")</f>
        <v>Revisit/ Cluster</v>
      </c>
    </row>
    <row r="1032" spans="1:23">
      <c r="A1032" s="6" t="str">
        <f ca="1">IFERROR(__xludf.DUMMYFUNCTION("""COMPUTED_VALUE"""),"Man")</f>
        <v>Man</v>
      </c>
      <c r="B1032" s="6" t="str">
        <f ca="1">IFERROR(__xludf.DUMMYFUNCTION("""COMPUTED_VALUE"""),"Proactive Life Inc (SleepSpace) _2022")</f>
        <v>Proactive Life Inc (SleepSpace) _2022</v>
      </c>
      <c r="C1032" s="6" t="str">
        <f ca="1">IFERROR(__xludf.DUMMYFUNCTION("""COMPUTED_VALUE"""),"Deep Tech")</f>
        <v>Deep Tech</v>
      </c>
      <c r="D1032" s="6" t="str">
        <f ca="1">IFERROR(__xludf.DUMMYFUNCTION("""COMPUTED_VALUE"""),"New York City, NY 
United States")</f>
        <v>New York City, NY 
United States</v>
      </c>
      <c r="E1032" s="6" t="str">
        <f ca="1">IFERROR(__xludf.DUMMYFUNCTION("""COMPUTED_VALUE"""),"New York")</f>
        <v>New York</v>
      </c>
      <c r="F1032" s="6" t="str">
        <f ca="1">IFERROR(__xludf.DUMMYFUNCTION("""COMPUTED_VALUE"""),"Man")</f>
        <v>Man</v>
      </c>
      <c r="G1032" s="6"/>
      <c r="H1032" s="6"/>
      <c r="I1032" s="6"/>
      <c r="J1032" s="6"/>
      <c r="K1032" s="6"/>
      <c r="L1032" s="6" t="str">
        <f ca="1">IFERROR(__xludf.DUMMYFUNCTION("""COMPUTED_VALUE"""),"No")</f>
        <v>No</v>
      </c>
      <c r="M1032" s="6"/>
      <c r="N1032" s="6"/>
      <c r="O1032" s="6" t="str">
        <f ca="1">IFERROR(__xludf.DUMMYFUNCTION("""COMPUTED_VALUE"""),"Email")</f>
        <v>Email</v>
      </c>
      <c r="P1032" s="6"/>
      <c r="Q1032" s="6" t="str">
        <f ca="1">IFERROR(__xludf.DUMMYFUNCTION("""COMPUTED_VALUE"""),"No")</f>
        <v>No</v>
      </c>
      <c r="R1032" s="6">
        <f ca="1">IFERROR(__xludf.DUMMYFUNCTION("""COMPUTED_VALUE"""),1)</f>
        <v>1</v>
      </c>
      <c r="S1032" s="6" t="str">
        <f ca="1">IFERROR(__xludf.DUMMYFUNCTION("""COMPUTED_VALUE"""),"Pre-seed")</f>
        <v>Pre-seed</v>
      </c>
      <c r="T1032" s="6" t="str">
        <f ca="1">IFERROR(__xludf.DUMMYFUNCTION("""COMPUTED_VALUE"""),"Pre-seed")</f>
        <v>Pre-seed</v>
      </c>
      <c r="U1032" s="6" t="str">
        <f ca="1">IFERROR(__xludf.DUMMYFUNCTION("""COMPUTED_VALUE"""),"Pre-seed")</f>
        <v>Pre-seed</v>
      </c>
      <c r="V1032" s="6"/>
      <c r="W1032" s="6" t="str">
        <f ca="1">IFERROR(__xludf.DUMMYFUNCTION("""COMPUTED_VALUE"""),"Invite Next Year")</f>
        <v>Invite Next Year</v>
      </c>
    </row>
    <row r="1033" spans="1:23">
      <c r="A1033" s="6" t="str">
        <f ca="1">IFERROR(__xludf.DUMMYFUNCTION("""COMPUTED_VALUE"""),"Man, Man")</f>
        <v>Man, Man</v>
      </c>
      <c r="B1033" s="6" t="str">
        <f ca="1">IFERROR(__xludf.DUMMYFUNCTION("""COMPUTED_VALUE"""),"3 Ridge Technologies _2022")</f>
        <v>3 Ridge Technologies _2022</v>
      </c>
      <c r="C1033" s="6" t="str">
        <f ca="1">IFERROR(__xludf.DUMMYFUNCTION("""COMPUTED_VALUE"""),"Life Sciences")</f>
        <v>Life Sciences</v>
      </c>
      <c r="D1033" s="6" t="str">
        <f ca="1">IFERROR(__xludf.DUMMYFUNCTION("""COMPUTED_VALUE"""),"Lynchburg, VA 
United States")</f>
        <v>Lynchburg, VA 
United States</v>
      </c>
      <c r="E1033" s="6" t="str">
        <f ca="1">IFERROR(__xludf.DUMMYFUNCTION("""COMPUTED_VALUE"""),"East Coast")</f>
        <v>East Coast</v>
      </c>
      <c r="F1033" s="6" t="str">
        <f ca="1">IFERROR(__xludf.DUMMYFUNCTION("""COMPUTED_VALUE"""),"Man")</f>
        <v>Man</v>
      </c>
      <c r="G1033" s="6" t="str">
        <f ca="1">IFERROR(__xludf.DUMMYFUNCTION("""COMPUTED_VALUE"""),"Man")</f>
        <v>Man</v>
      </c>
      <c r="H1033" s="6"/>
      <c r="I1033" s="6"/>
      <c r="J1033" s="6"/>
      <c r="K1033" s="6"/>
      <c r="L1033" s="6" t="str">
        <f ca="1">IFERROR(__xludf.DUMMYFUNCTION("""COMPUTED_VALUE"""),"No")</f>
        <v>No</v>
      </c>
      <c r="M1033" s="6"/>
      <c r="N1033" s="6"/>
      <c r="O1033" s="6" t="str">
        <f ca="1">IFERROR(__xludf.DUMMYFUNCTION("""COMPUTED_VALUE"""),"Referral")</f>
        <v>Referral</v>
      </c>
      <c r="P1033" s="6"/>
      <c r="Q1033" s="6" t="str">
        <f ca="1">IFERROR(__xludf.DUMMYFUNCTION("""COMPUTED_VALUE"""),"No")</f>
        <v>No</v>
      </c>
      <c r="R1033" s="6">
        <f ca="1">IFERROR(__xludf.DUMMYFUNCTION("""COMPUTED_VALUE"""),2)</f>
        <v>2</v>
      </c>
      <c r="S1033" s="6" t="str">
        <f ca="1">IFERROR(__xludf.DUMMYFUNCTION("""COMPUTED_VALUE"""),"Pre-seed
Grants")</f>
        <v>Pre-seed
Grants</v>
      </c>
      <c r="T1033" s="6" t="str">
        <f ca="1">IFERROR(__xludf.DUMMYFUNCTION("""COMPUTED_VALUE"""),"Pre-seed, Grants")</f>
        <v>Pre-seed, Grants</v>
      </c>
      <c r="U1033" s="6" t="str">
        <f ca="1">IFERROR(__xludf.DUMMYFUNCTION("""COMPUTED_VALUE"""),"Pre-seed, Grants")</f>
        <v>Pre-seed, Grants</v>
      </c>
      <c r="V1033" s="6"/>
      <c r="W1033" s="6" t="str">
        <f ca="1">IFERROR(__xludf.DUMMYFUNCTION("""COMPUTED_VALUE"""),"Revisit/ Cluster")</f>
        <v>Revisit/ Cluster</v>
      </c>
    </row>
    <row r="1034" spans="1:23">
      <c r="A1034" s="6" t="str">
        <f ca="1">IFERROR(__xludf.DUMMYFUNCTION("""COMPUTED_VALUE"""),"Man, Man")</f>
        <v>Man, Man</v>
      </c>
      <c r="B1034" s="6" t="str">
        <f ca="1">IFERROR(__xludf.DUMMYFUNCTION("""COMPUTED_VALUE"""),"Iryss, Inc _2022")</f>
        <v>Iryss, Inc _2022</v>
      </c>
      <c r="C1034" s="6" t="str">
        <f ca="1">IFERROR(__xludf.DUMMYFUNCTION("""COMPUTED_VALUE"""),"Digital Tech")</f>
        <v>Digital Tech</v>
      </c>
      <c r="D1034" s="6" t="str">
        <f ca="1">IFERROR(__xludf.DUMMYFUNCTION("""COMPUTED_VALUE"""),"Rochester, NEW YORK 
United States")</f>
        <v>Rochester, NEW YORK 
United States</v>
      </c>
      <c r="E1034" s="6" t="str">
        <f ca="1">IFERROR(__xludf.DUMMYFUNCTION("""COMPUTED_VALUE"""),"East Coast")</f>
        <v>East Coast</v>
      </c>
      <c r="F1034" s="6" t="str">
        <f ca="1">IFERROR(__xludf.DUMMYFUNCTION("""COMPUTED_VALUE"""),"Man")</f>
        <v>Man</v>
      </c>
      <c r="G1034" s="6" t="str">
        <f ca="1">IFERROR(__xludf.DUMMYFUNCTION("""COMPUTED_VALUE"""),"Man")</f>
        <v>Man</v>
      </c>
      <c r="H1034" s="6"/>
      <c r="I1034" s="6"/>
      <c r="J1034" s="6"/>
      <c r="K1034" s="6"/>
      <c r="L1034" s="6" t="str">
        <f ca="1">IFERROR(__xludf.DUMMYFUNCTION("""COMPUTED_VALUE"""),"Yes")</f>
        <v>Yes</v>
      </c>
      <c r="M1034" s="6" t="str">
        <f ca="1">IFERROR(__xludf.DUMMYFUNCTION("""COMPUTED_VALUE"""),"NYU Alumni")</f>
        <v>NYU Alumni</v>
      </c>
      <c r="N1034" s="6"/>
      <c r="O1034" s="6" t="str">
        <f ca="1">IFERROR(__xludf.DUMMYFUNCTION("""COMPUTED_VALUE"""),"Referral")</f>
        <v>Referral</v>
      </c>
      <c r="P1034" s="6"/>
      <c r="Q1034" s="6" t="str">
        <f ca="1">IFERROR(__xludf.DUMMYFUNCTION("""COMPUTED_VALUE"""),"No")</f>
        <v>No</v>
      </c>
      <c r="R1034" s="6">
        <f ca="1">IFERROR(__xludf.DUMMYFUNCTION("""COMPUTED_VALUE"""),2)</f>
        <v>2</v>
      </c>
      <c r="S1034" s="6" t="str">
        <f ca="1">IFERROR(__xludf.DUMMYFUNCTION("""COMPUTED_VALUE"""),"Pre-seed")</f>
        <v>Pre-seed</v>
      </c>
      <c r="T1034" s="6" t="str">
        <f ca="1">IFERROR(__xludf.DUMMYFUNCTION("""COMPUTED_VALUE"""),"Pre-seed")</f>
        <v>Pre-seed</v>
      </c>
      <c r="U1034" s="6" t="str">
        <f ca="1">IFERROR(__xludf.DUMMYFUNCTION("""COMPUTED_VALUE"""),"Pre-seed")</f>
        <v>Pre-seed</v>
      </c>
      <c r="V1034" s="6"/>
      <c r="W1034" s="6" t="str">
        <f ca="1">IFERROR(__xludf.DUMMYFUNCTION("""COMPUTED_VALUE"""),"Revisit/ Cluster")</f>
        <v>Revisit/ Cluster</v>
      </c>
    </row>
    <row r="1035" spans="1:23">
      <c r="A1035" s="6" t="str">
        <f ca="1">IFERROR(__xludf.DUMMYFUNCTION("""COMPUTED_VALUE"""),"Man")</f>
        <v>Man</v>
      </c>
      <c r="B1035" s="6" t="str">
        <f ca="1">IFERROR(__xludf.DUMMYFUNCTION("""COMPUTED_VALUE"""),"Brigade Automation Corporation LLC _2022")</f>
        <v>Brigade Automation Corporation LLC _2022</v>
      </c>
      <c r="C1035" s="6" t="str">
        <f ca="1">IFERROR(__xludf.DUMMYFUNCTION("""COMPUTED_VALUE"""),"Life Sciences")</f>
        <v>Life Sciences</v>
      </c>
      <c r="D1035" s="6" t="str">
        <f ca="1">IFERROR(__xludf.DUMMYFUNCTION("""COMPUTED_VALUE"""),"1525 Gold St. Unit # 3327, ca 
United States")</f>
        <v>1525 Gold St. Unit # 3327, ca 
United States</v>
      </c>
      <c r="E1035" s="6" t="str">
        <f ca="1">IFERROR(__xludf.DUMMYFUNCTION("""COMPUTED_VALUE"""),"West Coast")</f>
        <v>West Coast</v>
      </c>
      <c r="F1035" s="6" t="str">
        <f ca="1">IFERROR(__xludf.DUMMYFUNCTION("""COMPUTED_VALUE"""),"Man")</f>
        <v>Man</v>
      </c>
      <c r="G1035" s="6"/>
      <c r="H1035" s="6"/>
      <c r="I1035" s="6"/>
      <c r="J1035" s="6"/>
      <c r="K1035" s="6"/>
      <c r="L1035" s="6" t="str">
        <f ca="1">IFERROR(__xludf.DUMMYFUNCTION("""COMPUTED_VALUE"""),"--Please select--")</f>
        <v>--Please select--</v>
      </c>
      <c r="M1035" s="6"/>
      <c r="N1035" s="6"/>
      <c r="O1035" s="6" t="str">
        <f ca="1">IFERROR(__xludf.DUMMYFUNCTION("""COMPUTED_VALUE"""),"Email")</f>
        <v>Email</v>
      </c>
      <c r="P1035" s="6"/>
      <c r="Q1035" s="6" t="str">
        <f ca="1">IFERROR(__xludf.DUMMYFUNCTION("""COMPUTED_VALUE"""),"No")</f>
        <v>No</v>
      </c>
      <c r="R1035" s="6">
        <f ca="1">IFERROR(__xludf.DUMMYFUNCTION("""COMPUTED_VALUE"""),1)</f>
        <v>1</v>
      </c>
      <c r="S1035" s="6" t="str">
        <f ca="1">IFERROR(__xludf.DUMMYFUNCTION("""COMPUTED_VALUE"""),"Seed
Other: Start engine CF")</f>
        <v>Seed
Other: Start engine CF</v>
      </c>
      <c r="T1035" s="6" t="str">
        <f ca="1">IFERROR(__xludf.DUMMYFUNCTION("""COMPUTED_VALUE"""),"Seed, Other: Start engine CF")</f>
        <v>Seed, Other: Start engine CF</v>
      </c>
      <c r="U1035" s="6" t="str">
        <f ca="1">IFERROR(__xludf.DUMMYFUNCTION("""COMPUTED_VALUE"""),"Seed, ")</f>
        <v xml:space="preserve">Seed, </v>
      </c>
      <c r="V1035" s="6" t="str">
        <f ca="1">IFERROR(__xludf.DUMMYFUNCTION("""COMPUTED_VALUE"""),"Start engine CF")</f>
        <v>Start engine CF</v>
      </c>
      <c r="W1035" s="6" t="str">
        <f ca="1">IFERROR(__xludf.DUMMYFUNCTION("""COMPUTED_VALUE"""),"Invite Next Year")</f>
        <v>Invite Next Year</v>
      </c>
    </row>
    <row r="1036" spans="1:23">
      <c r="A1036" s="6" t="str">
        <f ca="1">IFERROR(__xludf.DUMMYFUNCTION("""COMPUTED_VALUE"""),"Man, Woman")</f>
        <v>Man, Woman</v>
      </c>
      <c r="B1036" s="6" t="str">
        <f ca="1">IFERROR(__xludf.DUMMYFUNCTION("""COMPUTED_VALUE"""),"Be A Maker Club _2022")</f>
        <v>Be A Maker Club _2022</v>
      </c>
      <c r="C1036" s="6" t="str">
        <f ca="1">IFERROR(__xludf.DUMMYFUNCTION("""COMPUTED_VALUE"""),"Digital Tech")</f>
        <v>Digital Tech</v>
      </c>
      <c r="D1036" s="6" t="str">
        <f ca="1">IFERROR(__xludf.DUMMYFUNCTION("""COMPUTED_VALUE"""),"1252 Monte Vista Ave, CA 
United States")</f>
        <v>1252 Monte Vista Ave, CA 
United States</v>
      </c>
      <c r="E1036" s="6" t="str">
        <f ca="1">IFERROR(__xludf.DUMMYFUNCTION("""COMPUTED_VALUE"""),"West Coast")</f>
        <v>West Coast</v>
      </c>
      <c r="F1036" s="6" t="str">
        <f ca="1">IFERROR(__xludf.DUMMYFUNCTION("""COMPUTED_VALUE"""),"Man")</f>
        <v>Man</v>
      </c>
      <c r="G1036" s="6" t="str">
        <f ca="1">IFERROR(__xludf.DUMMYFUNCTION("""COMPUTED_VALUE"""),"Woman")</f>
        <v>Woman</v>
      </c>
      <c r="H1036" s="6"/>
      <c r="I1036" s="6"/>
      <c r="J1036" s="6"/>
      <c r="K1036" s="6"/>
      <c r="L1036" s="6" t="str">
        <f ca="1">IFERROR(__xludf.DUMMYFUNCTION("""COMPUTED_VALUE"""),"No")</f>
        <v>No</v>
      </c>
      <c r="M1036" s="6"/>
      <c r="N1036" s="6"/>
      <c r="O1036" s="6" t="str">
        <f ca="1">IFERROR(__xludf.DUMMYFUNCTION("""COMPUTED_VALUE"""),"A web posting")</f>
        <v>A web posting</v>
      </c>
      <c r="P1036" s="6"/>
      <c r="Q1036" s="6" t="str">
        <f ca="1">IFERROR(__xludf.DUMMYFUNCTION("""COMPUTED_VALUE"""),"No")</f>
        <v>No</v>
      </c>
      <c r="R1036" s="6">
        <f ca="1">IFERROR(__xludf.DUMMYFUNCTION("""COMPUTED_VALUE"""),2)</f>
        <v>2</v>
      </c>
      <c r="S1036" s="6" t="str">
        <f ca="1">IFERROR(__xludf.DUMMYFUNCTION("""COMPUTED_VALUE"""),"None")</f>
        <v>None</v>
      </c>
      <c r="T1036" s="6" t="str">
        <f ca="1">IFERROR(__xludf.DUMMYFUNCTION("""COMPUTED_VALUE"""),"None")</f>
        <v>None</v>
      </c>
      <c r="U1036" s="6" t="str">
        <f ca="1">IFERROR(__xludf.DUMMYFUNCTION("""COMPUTED_VALUE"""),"None")</f>
        <v>None</v>
      </c>
      <c r="V1036" s="6"/>
      <c r="W1036" s="6" t="str">
        <f ca="1">IFERROR(__xludf.DUMMYFUNCTION("""COMPUTED_VALUE"""),"Invite Next Year")</f>
        <v>Invite Next Year</v>
      </c>
    </row>
    <row r="1037" spans="1:23">
      <c r="A1037" s="6" t="str">
        <f ca="1">IFERROR(__xludf.DUMMYFUNCTION("""COMPUTED_VALUE"""),"Man")</f>
        <v>Man</v>
      </c>
      <c r="B1037" s="6" t="str">
        <f ca="1">IFERROR(__xludf.DUMMYFUNCTION("""COMPUTED_VALUE"""),"FANLUV _2022")</f>
        <v>FANLUV _2022</v>
      </c>
      <c r="C1037" s="6" t="str">
        <f ca="1">IFERROR(__xludf.DUMMYFUNCTION("""COMPUTED_VALUE"""),"Digital Tech")</f>
        <v>Digital Tech</v>
      </c>
      <c r="D1037" s="6" t="str">
        <f ca="1">IFERROR(__xludf.DUMMYFUNCTION("""COMPUTED_VALUE"""),"1420 5th street , santa monica 
United States")</f>
        <v>1420 5th street , santa monica 
United States</v>
      </c>
      <c r="E1037" s="6" t="str">
        <f ca="1">IFERROR(__xludf.DUMMYFUNCTION("""COMPUTED_VALUE"""),"West Coast")</f>
        <v>West Coast</v>
      </c>
      <c r="F1037" s="6" t="str">
        <f ca="1">IFERROR(__xludf.DUMMYFUNCTION("""COMPUTED_VALUE"""),"Man")</f>
        <v>Man</v>
      </c>
      <c r="G1037" s="6"/>
      <c r="H1037" s="6"/>
      <c r="I1037" s="6"/>
      <c r="J1037" s="6"/>
      <c r="K1037" s="6"/>
      <c r="L1037" s="6" t="str">
        <f ca="1">IFERROR(__xludf.DUMMYFUNCTION("""COMPUTED_VALUE"""),"No")</f>
        <v>No</v>
      </c>
      <c r="M1037" s="6"/>
      <c r="N1037" s="6"/>
      <c r="O1037" s="6" t="str">
        <f ca="1">IFERROR(__xludf.DUMMYFUNCTION("""COMPUTED_VALUE"""),"Referral")</f>
        <v>Referral</v>
      </c>
      <c r="P1037" s="6"/>
      <c r="Q1037" s="6" t="str">
        <f ca="1">IFERROR(__xludf.DUMMYFUNCTION("""COMPUTED_VALUE"""),"No")</f>
        <v>No</v>
      </c>
      <c r="R1037" s="6">
        <f ca="1">IFERROR(__xludf.DUMMYFUNCTION("""COMPUTED_VALUE"""),1)</f>
        <v>1</v>
      </c>
      <c r="S1037" s="6" t="str">
        <f ca="1">IFERROR(__xludf.DUMMYFUNCTION("""COMPUTED_VALUE"""),"Seed")</f>
        <v>Seed</v>
      </c>
      <c r="T1037" s="6" t="str">
        <f ca="1">IFERROR(__xludf.DUMMYFUNCTION("""COMPUTED_VALUE"""),"Seed")</f>
        <v>Seed</v>
      </c>
      <c r="U1037" s="6" t="str">
        <f ca="1">IFERROR(__xludf.DUMMYFUNCTION("""COMPUTED_VALUE"""),"Seed")</f>
        <v>Seed</v>
      </c>
      <c r="V1037" s="6"/>
      <c r="W1037" s="6" t="str">
        <f ca="1">IFERROR(__xludf.DUMMYFUNCTION("""COMPUTED_VALUE"""),"Invite")</f>
        <v>Invite</v>
      </c>
    </row>
    <row r="1038" spans="1:23">
      <c r="A1038" s="6" t="str">
        <f ca="1">IFERROR(__xludf.DUMMYFUNCTION("""COMPUTED_VALUE"""),"Woman, Woman")</f>
        <v>Woman, Woman</v>
      </c>
      <c r="B1038" s="6" t="str">
        <f ca="1">IFERROR(__xludf.DUMMYFUNCTION("""COMPUTED_VALUE"""),"Portèlo _2022")</f>
        <v>Portèlo _2022</v>
      </c>
      <c r="C1038" s="6" t="str">
        <f ca="1">IFERROR(__xludf.DUMMYFUNCTION("""COMPUTED_VALUE"""),"Digital Tech")</f>
        <v>Digital Tech</v>
      </c>
      <c r="D1038" s="6" t="str">
        <f ca="1">IFERROR(__xludf.DUMMYFUNCTION("""COMPUTED_VALUE"""),"San Pedro Garza Garcia, Nuevo Leon 
Mexico")</f>
        <v>San Pedro Garza Garcia, Nuevo Leon 
Mexico</v>
      </c>
      <c r="E1038" s="6" t="str">
        <f ca="1">IFERROR(__xludf.DUMMYFUNCTION("""COMPUTED_VALUE"""),"International - Americas")</f>
        <v>International - Americas</v>
      </c>
      <c r="F1038" s="6" t="str">
        <f ca="1">IFERROR(__xludf.DUMMYFUNCTION("""COMPUTED_VALUE"""),"Woman")</f>
        <v>Woman</v>
      </c>
      <c r="G1038" s="6" t="str">
        <f ca="1">IFERROR(__xludf.DUMMYFUNCTION("""COMPUTED_VALUE"""),"Woman")</f>
        <v>Woman</v>
      </c>
      <c r="H1038" s="6"/>
      <c r="I1038" s="6"/>
      <c r="J1038" s="6"/>
      <c r="K1038" s="6"/>
      <c r="L1038" s="6" t="str">
        <f ca="1">IFERROR(__xludf.DUMMYFUNCTION("""COMPUTED_VALUE"""),"No")</f>
        <v>No</v>
      </c>
      <c r="M1038" s="6"/>
      <c r="N1038" s="6"/>
      <c r="O1038" s="6" t="str">
        <f ca="1">IFERROR(__xludf.DUMMYFUNCTION("""COMPUTED_VALUE"""),"Email")</f>
        <v>Email</v>
      </c>
      <c r="P1038" s="6"/>
      <c r="Q1038" s="6" t="str">
        <f ca="1">IFERROR(__xludf.DUMMYFUNCTION("""COMPUTED_VALUE"""),"No")</f>
        <v>No</v>
      </c>
      <c r="R1038" s="6">
        <f ca="1">IFERROR(__xludf.DUMMYFUNCTION("""COMPUTED_VALUE"""),2)</f>
        <v>2</v>
      </c>
      <c r="S1038" s="6" t="str">
        <f ca="1">IFERROR(__xludf.DUMMYFUNCTION("""COMPUTED_VALUE"""),"Other: Bootstrapped and Friends and Family Round")</f>
        <v>Other: Bootstrapped and Friends and Family Round</v>
      </c>
      <c r="T1038" s="6" t="str">
        <f ca="1">IFERROR(__xludf.DUMMYFUNCTION("""COMPUTED_VALUE"""),"Other: Bootstrapped and Friends and Family Round")</f>
        <v>Other: Bootstrapped and Friends and Family Round</v>
      </c>
      <c r="U1038" s="6" t="str">
        <f ca="1">IFERROR(__xludf.DUMMYFUNCTION("""COMPUTED_VALUE"""),"Bootstrapped and Friends and Family Round")</f>
        <v>Bootstrapped and Friends and Family Round</v>
      </c>
      <c r="V1038" s="6"/>
      <c r="W1038" s="6" t="str">
        <f ca="1">IFERROR(__xludf.DUMMYFUNCTION("""COMPUTED_VALUE"""),"#N/A")</f>
        <v>#N/A</v>
      </c>
    </row>
    <row r="1039" spans="1:23">
      <c r="A1039" s="6" t="str">
        <f ca="1">IFERROR(__xludf.DUMMYFUNCTION("""COMPUTED_VALUE"""),"Man, Woman, Man, Man")</f>
        <v>Man, Woman, Man, Man</v>
      </c>
      <c r="B1039" s="6" t="str">
        <f ca="1">IFERROR(__xludf.DUMMYFUNCTION("""COMPUTED_VALUE"""),"Neon Wild, Inc. _2022")</f>
        <v>Neon Wild, Inc. _2022</v>
      </c>
      <c r="C1039" s="6" t="str">
        <f ca="1">IFERROR(__xludf.DUMMYFUNCTION("""COMPUTED_VALUE"""),"Digital Tech")</f>
        <v>Digital Tech</v>
      </c>
      <c r="D1039" s="6" t="str">
        <f ca="1">IFERROR(__xludf.DUMMYFUNCTION("""COMPUTED_VALUE"""),"New York, NY 
United States")</f>
        <v>New York, NY 
United States</v>
      </c>
      <c r="E1039" s="6" t="str">
        <f ca="1">IFERROR(__xludf.DUMMYFUNCTION("""COMPUTED_VALUE"""),"New York")</f>
        <v>New York</v>
      </c>
      <c r="F1039" s="6" t="str">
        <f ca="1">IFERROR(__xludf.DUMMYFUNCTION("""COMPUTED_VALUE"""),"Man")</f>
        <v>Man</v>
      </c>
      <c r="G1039" s="6" t="str">
        <f ca="1">IFERROR(__xludf.DUMMYFUNCTION("""COMPUTED_VALUE"""),"Woman")</f>
        <v>Woman</v>
      </c>
      <c r="H1039" s="6" t="str">
        <f ca="1">IFERROR(__xludf.DUMMYFUNCTION("""COMPUTED_VALUE"""),"Man")</f>
        <v>Man</v>
      </c>
      <c r="I1039" s="6" t="str">
        <f ca="1">IFERROR(__xludf.DUMMYFUNCTION("""COMPUTED_VALUE"""),"Man")</f>
        <v>Man</v>
      </c>
      <c r="J1039" s="6"/>
      <c r="K1039" s="6"/>
      <c r="L1039" s="6" t="str">
        <f ca="1">IFERROR(__xludf.DUMMYFUNCTION("""COMPUTED_VALUE"""),"--Please select--")</f>
        <v>--Please select--</v>
      </c>
      <c r="M1039" s="6"/>
      <c r="N1039" s="6"/>
      <c r="O1039" s="6" t="str">
        <f ca="1">IFERROR(__xludf.DUMMYFUNCTION("""COMPUTED_VALUE"""),"Email")</f>
        <v>Email</v>
      </c>
      <c r="P1039" s="6"/>
      <c r="Q1039" s="6" t="str">
        <f ca="1">IFERROR(__xludf.DUMMYFUNCTION("""COMPUTED_VALUE"""),"No")</f>
        <v>No</v>
      </c>
      <c r="R1039" s="6">
        <f ca="1">IFERROR(__xludf.DUMMYFUNCTION("""COMPUTED_VALUE"""),4)</f>
        <v>4</v>
      </c>
      <c r="S1039" s="6" t="str">
        <f ca="1">IFERROR(__xludf.DUMMYFUNCTION("""COMPUTED_VALUE"""),"Pre-seed")</f>
        <v>Pre-seed</v>
      </c>
      <c r="T1039" s="6" t="str">
        <f ca="1">IFERROR(__xludf.DUMMYFUNCTION("""COMPUTED_VALUE"""),"Pre-seed")</f>
        <v>Pre-seed</v>
      </c>
      <c r="U1039" s="6" t="str">
        <f ca="1">IFERROR(__xludf.DUMMYFUNCTION("""COMPUTED_VALUE"""),"Pre-seed")</f>
        <v>Pre-seed</v>
      </c>
      <c r="V1039" s="6"/>
      <c r="W1039" s="6" t="str">
        <f ca="1">IFERROR(__xludf.DUMMYFUNCTION("""COMPUTED_VALUE"""),"Invite Next Year")</f>
        <v>Invite Next Year</v>
      </c>
    </row>
    <row r="1040" spans="1:23">
      <c r="A1040" s="6" t="str">
        <f ca="1">IFERROR(__xludf.DUMMYFUNCTION("""COMPUTED_VALUE"""),"Woman, Man, Man")</f>
        <v>Woman, Man, Man</v>
      </c>
      <c r="B1040" s="6" t="str">
        <f ca="1">IFERROR(__xludf.DUMMYFUNCTION("""COMPUTED_VALUE"""),"Chiefy _2022")</f>
        <v>Chiefy _2022</v>
      </c>
      <c r="C1040" s="6" t="str">
        <f ca="1">IFERROR(__xludf.DUMMYFUNCTION("""COMPUTED_VALUE"""),"Digital Tech")</f>
        <v>Digital Tech</v>
      </c>
      <c r="D1040" s="6" t="str">
        <f ca="1">IFERROR(__xludf.DUMMYFUNCTION("""COMPUTED_VALUE"""),"New York, NY 
United States")</f>
        <v>New York, NY 
United States</v>
      </c>
      <c r="E1040" s="6" t="str">
        <f ca="1">IFERROR(__xludf.DUMMYFUNCTION("""COMPUTED_VALUE"""),"New York")</f>
        <v>New York</v>
      </c>
      <c r="F1040" s="6" t="str">
        <f ca="1">IFERROR(__xludf.DUMMYFUNCTION("""COMPUTED_VALUE"""),"Woman")</f>
        <v>Woman</v>
      </c>
      <c r="G1040" s="6" t="str">
        <f ca="1">IFERROR(__xludf.DUMMYFUNCTION("""COMPUTED_VALUE"""),"Man")</f>
        <v>Man</v>
      </c>
      <c r="H1040" s="6" t="str">
        <f ca="1">IFERROR(__xludf.DUMMYFUNCTION("""COMPUTED_VALUE"""),"Man")</f>
        <v>Man</v>
      </c>
      <c r="I1040" s="6"/>
      <c r="J1040" s="6"/>
      <c r="K1040" s="6"/>
      <c r="L1040" s="6" t="str">
        <f ca="1">IFERROR(__xludf.DUMMYFUNCTION("""COMPUTED_VALUE"""),"Yes")</f>
        <v>Yes</v>
      </c>
      <c r="M1040" s="6" t="str">
        <f ca="1">IFERROR(__xludf.DUMMYFUNCTION("""COMPUTED_VALUE"""),"NYU Faculty")</f>
        <v>NYU Faculty</v>
      </c>
      <c r="N1040" s="6"/>
      <c r="O1040" s="6" t="str">
        <f ca="1">IFERROR(__xludf.DUMMYFUNCTION("""COMPUTED_VALUE"""),"Referral")</f>
        <v>Referral</v>
      </c>
      <c r="P1040" s="6"/>
      <c r="Q1040" s="6" t="str">
        <f ca="1">IFERROR(__xludf.DUMMYFUNCTION("""COMPUTED_VALUE"""),"No")</f>
        <v>No</v>
      </c>
      <c r="R1040" s="6">
        <f ca="1">IFERROR(__xludf.DUMMYFUNCTION("""COMPUTED_VALUE"""),3)</f>
        <v>3</v>
      </c>
      <c r="S1040" s="6" t="str">
        <f ca="1">IFERROR(__xludf.DUMMYFUNCTION("""COMPUTED_VALUE"""),"Pre-seed")</f>
        <v>Pre-seed</v>
      </c>
      <c r="T1040" s="6" t="str">
        <f ca="1">IFERROR(__xludf.DUMMYFUNCTION("""COMPUTED_VALUE"""),"Pre-seed")</f>
        <v>Pre-seed</v>
      </c>
      <c r="U1040" s="6" t="str">
        <f ca="1">IFERROR(__xludf.DUMMYFUNCTION("""COMPUTED_VALUE"""),"Pre-seed")</f>
        <v>Pre-seed</v>
      </c>
      <c r="V1040" s="6"/>
      <c r="W1040" s="6" t="str">
        <f ca="1">IFERROR(__xludf.DUMMYFUNCTION("""COMPUTED_VALUE"""),"Revisit/ Cluster")</f>
        <v>Revisit/ Cluster</v>
      </c>
    </row>
    <row r="1041" spans="1:23">
      <c r="A1041" s="6" t="str">
        <f ca="1">IFERROR(__xludf.DUMMYFUNCTION("""COMPUTED_VALUE"""),"Man, Man")</f>
        <v>Man, Man</v>
      </c>
      <c r="B1041" s="6" t="str">
        <f ca="1">IFERROR(__xludf.DUMMYFUNCTION("""COMPUTED_VALUE"""),"Ndal Mfg Inc, Dba Ndal Biofilm Medical Group,  _2022")</f>
        <v>Ndal Mfg Inc, Dba Ndal Biofilm Medical Group,  _2022</v>
      </c>
      <c r="C1041" s="6" t="str">
        <f ca="1">IFERROR(__xludf.DUMMYFUNCTION("""COMPUTED_VALUE"""),"Life Sciences")</f>
        <v>Life Sciences</v>
      </c>
      <c r="D1041" s="6" t="str">
        <f ca="1">IFERROR(__xludf.DUMMYFUNCTION("""COMPUTED_VALUE"""),"80 Garden Court, Suite 100, California 
United States")</f>
        <v>80 Garden Court, Suite 100, California 
United States</v>
      </c>
      <c r="E1041" s="6" t="str">
        <f ca="1">IFERROR(__xludf.DUMMYFUNCTION("""COMPUTED_VALUE"""),"West Coast")</f>
        <v>West Coast</v>
      </c>
      <c r="F1041" s="6" t="str">
        <f ca="1">IFERROR(__xludf.DUMMYFUNCTION("""COMPUTED_VALUE"""),"Man")</f>
        <v>Man</v>
      </c>
      <c r="G1041" s="6" t="str">
        <f ca="1">IFERROR(__xludf.DUMMYFUNCTION("""COMPUTED_VALUE"""),"Man")</f>
        <v>Man</v>
      </c>
      <c r="H1041" s="6"/>
      <c r="I1041" s="6"/>
      <c r="J1041" s="6"/>
      <c r="K1041" s="6"/>
      <c r="L1041" s="6" t="str">
        <f ca="1">IFERROR(__xludf.DUMMYFUNCTION("""COMPUTED_VALUE"""),"--Please select--")</f>
        <v>--Please select--</v>
      </c>
      <c r="M1041" s="6"/>
      <c r="N1041" s="6"/>
      <c r="O1041" s="6" t="str">
        <f ca="1">IFERROR(__xludf.DUMMYFUNCTION("""COMPUTED_VALUE"""),"Email")</f>
        <v>Email</v>
      </c>
      <c r="P1041" s="6"/>
      <c r="Q1041" s="6" t="str">
        <f ca="1">IFERROR(__xludf.DUMMYFUNCTION("""COMPUTED_VALUE"""),"No")</f>
        <v>No</v>
      </c>
      <c r="R1041" s="6">
        <f ca="1">IFERROR(__xludf.DUMMYFUNCTION("""COMPUTED_VALUE"""),2)</f>
        <v>2</v>
      </c>
      <c r="S1041" s="6" t="str">
        <f ca="1">IFERROR(__xludf.DUMMYFUNCTION("""COMPUTED_VALUE"""),"Seed
Series A
Grants")</f>
        <v>Seed
Series A
Grants</v>
      </c>
      <c r="T1041" s="6" t="str">
        <f ca="1">IFERROR(__xludf.DUMMYFUNCTION("""COMPUTED_VALUE"""),"Seed, Series A, Grants")</f>
        <v>Seed, Series A, Grants</v>
      </c>
      <c r="U1041" s="6" t="str">
        <f ca="1">IFERROR(__xludf.DUMMYFUNCTION("""COMPUTED_VALUE"""),"Seed, Series A, Grants")</f>
        <v>Seed, Series A, Grants</v>
      </c>
      <c r="V1041" s="6"/>
      <c r="W1041" s="6" t="str">
        <f ca="1">IFERROR(__xludf.DUMMYFUNCTION("""COMPUTED_VALUE"""),"Invite Next Year")</f>
        <v>Invite Next Year</v>
      </c>
    </row>
    <row r="1042" spans="1:23">
      <c r="A1042" s="6" t="str">
        <f ca="1">IFERROR(__xludf.DUMMYFUNCTION("""COMPUTED_VALUE"""),"Man, Man")</f>
        <v>Man, Man</v>
      </c>
      <c r="B1042" s="6" t="str">
        <f ca="1">IFERROR(__xludf.DUMMYFUNCTION("""COMPUTED_VALUE"""),"Arvetas Biosciences, Inc. _2022")</f>
        <v>Arvetas Biosciences, Inc. _2022</v>
      </c>
      <c r="C1042" s="6" t="str">
        <f ca="1">IFERROR(__xludf.DUMMYFUNCTION("""COMPUTED_VALUE"""),"Life Sciences")</f>
        <v>Life Sciences</v>
      </c>
      <c r="D1042" s="6" t="str">
        <f ca="1">IFERROR(__xludf.DUMMYFUNCTION("""COMPUTED_VALUE"""),"Irvine, CA 
United States")</f>
        <v>Irvine, CA 
United States</v>
      </c>
      <c r="E1042" s="6" t="str">
        <f ca="1">IFERROR(__xludf.DUMMYFUNCTION("""COMPUTED_VALUE"""),"West Coast")</f>
        <v>West Coast</v>
      </c>
      <c r="F1042" s="6" t="str">
        <f ca="1">IFERROR(__xludf.DUMMYFUNCTION("""COMPUTED_VALUE"""),"Man")</f>
        <v>Man</v>
      </c>
      <c r="G1042" s="6" t="str">
        <f ca="1">IFERROR(__xludf.DUMMYFUNCTION("""COMPUTED_VALUE"""),"Man")</f>
        <v>Man</v>
      </c>
      <c r="H1042" s="6"/>
      <c r="I1042" s="6"/>
      <c r="J1042" s="6"/>
      <c r="K1042" s="6"/>
      <c r="L1042" s="6" t="str">
        <f ca="1">IFERROR(__xludf.DUMMYFUNCTION("""COMPUTED_VALUE"""),"No")</f>
        <v>No</v>
      </c>
      <c r="M1042" s="6"/>
      <c r="N1042" s="6"/>
      <c r="O1042" s="6" t="str">
        <f ca="1">IFERROR(__xludf.DUMMYFUNCTION("""COMPUTED_VALUE"""),"Referral")</f>
        <v>Referral</v>
      </c>
      <c r="P1042" s="6"/>
      <c r="Q1042" s="6" t="str">
        <f ca="1">IFERROR(__xludf.DUMMYFUNCTION("""COMPUTED_VALUE"""),"No")</f>
        <v>No</v>
      </c>
      <c r="R1042" s="6">
        <f ca="1">IFERROR(__xludf.DUMMYFUNCTION("""COMPUTED_VALUE"""),2)</f>
        <v>2</v>
      </c>
      <c r="S1042" s="6" t="str">
        <f ca="1">IFERROR(__xludf.DUMMYFUNCTION("""COMPUTED_VALUE"""),"Pre-seed
Other: SBIR contract with National Cancer Institute")</f>
        <v>Pre-seed
Other: SBIR contract with National Cancer Institute</v>
      </c>
      <c r="T1042" s="6" t="str">
        <f ca="1">IFERROR(__xludf.DUMMYFUNCTION("""COMPUTED_VALUE"""),"Pre-seed, Other: SBIR contract with National Cancer Institute")</f>
        <v>Pre-seed, Other: SBIR contract with National Cancer Institute</v>
      </c>
      <c r="U1042" s="6" t="str">
        <f ca="1">IFERROR(__xludf.DUMMYFUNCTION("""COMPUTED_VALUE"""),"Pre-seed, ")</f>
        <v xml:space="preserve">Pre-seed, </v>
      </c>
      <c r="V1042" s="6" t="str">
        <f ca="1">IFERROR(__xludf.DUMMYFUNCTION("""COMPUTED_VALUE"""),"SBIR contract with National Cancer Institute")</f>
        <v>SBIR contract with National Cancer Institute</v>
      </c>
      <c r="W1042" s="6" t="str">
        <f ca="1">IFERROR(__xludf.DUMMYFUNCTION("""COMPUTED_VALUE"""),"Invite")</f>
        <v>Invite</v>
      </c>
    </row>
    <row r="1043" spans="1:23">
      <c r="A1043" s="6" t="str">
        <f ca="1">IFERROR(__xludf.DUMMYFUNCTION("""COMPUTED_VALUE"""),"Woman")</f>
        <v>Woman</v>
      </c>
      <c r="B1043" s="6" t="str">
        <f ca="1">IFERROR(__xludf.DUMMYFUNCTION("""COMPUTED_VALUE"""),"KnoNap _2022")</f>
        <v>KnoNap _2022</v>
      </c>
      <c r="C1043" s="6" t="str">
        <f ca="1">IFERROR(__xludf.DUMMYFUNCTION("""COMPUTED_VALUE"""),"Deep Tech")</f>
        <v>Deep Tech</v>
      </c>
      <c r="D1043" s="6" t="str">
        <f ca="1">IFERROR(__xludf.DUMMYFUNCTION("""COMPUTED_VALUE"""),"Arlington, VA 
United States")</f>
        <v>Arlington, VA 
United States</v>
      </c>
      <c r="E1043" s="6" t="str">
        <f ca="1">IFERROR(__xludf.DUMMYFUNCTION("""COMPUTED_VALUE"""),"East Coast")</f>
        <v>East Coast</v>
      </c>
      <c r="F1043" s="6" t="str">
        <f ca="1">IFERROR(__xludf.DUMMYFUNCTION("""COMPUTED_VALUE"""),"Woman")</f>
        <v>Woman</v>
      </c>
      <c r="G1043" s="6"/>
      <c r="H1043" s="6"/>
      <c r="I1043" s="6"/>
      <c r="J1043" s="6"/>
      <c r="K1043" s="6"/>
      <c r="L1043" s="6" t="str">
        <f ca="1">IFERROR(__xludf.DUMMYFUNCTION("""COMPUTED_VALUE"""),"No")</f>
        <v>No</v>
      </c>
      <c r="M1043" s="6"/>
      <c r="N1043" s="6"/>
      <c r="O1043" s="6" t="str">
        <f ca="1">IFERROR(__xludf.DUMMYFUNCTION("""COMPUTED_VALUE"""),"Email")</f>
        <v>Email</v>
      </c>
      <c r="P1043" s="6"/>
      <c r="Q1043" s="6" t="str">
        <f ca="1">IFERROR(__xludf.DUMMYFUNCTION("""COMPUTED_VALUE"""),"No")</f>
        <v>No</v>
      </c>
      <c r="R1043" s="6">
        <f ca="1">IFERROR(__xludf.DUMMYFUNCTION("""COMPUTED_VALUE"""),1)</f>
        <v>1</v>
      </c>
      <c r="S1043" s="6" t="str">
        <f ca="1">IFERROR(__xludf.DUMMYFUNCTION("""COMPUTED_VALUE"""),"Grants")</f>
        <v>Grants</v>
      </c>
      <c r="T1043" s="6" t="str">
        <f ca="1">IFERROR(__xludf.DUMMYFUNCTION("""COMPUTED_VALUE"""),"Grants")</f>
        <v>Grants</v>
      </c>
      <c r="U1043" s="6" t="str">
        <f ca="1">IFERROR(__xludf.DUMMYFUNCTION("""COMPUTED_VALUE"""),"Grants")</f>
        <v>Grants</v>
      </c>
      <c r="V1043" s="6"/>
      <c r="W1043" s="6" t="str">
        <f ca="1">IFERROR(__xludf.DUMMYFUNCTION("""COMPUTED_VALUE"""),"Invite Next Year")</f>
        <v>Invite Next Year</v>
      </c>
    </row>
    <row r="1044" spans="1:23">
      <c r="A1044" s="6" t="str">
        <f ca="1">IFERROR(__xludf.DUMMYFUNCTION("""COMPUTED_VALUE"""),"Man")</f>
        <v>Man</v>
      </c>
      <c r="B1044" s="6" t="str">
        <f ca="1">IFERROR(__xludf.DUMMYFUNCTION("""COMPUTED_VALUE"""),"Exavir Therapeutics _2022")</f>
        <v>Exavir Therapeutics _2022</v>
      </c>
      <c r="C1044" s="6" t="str">
        <f ca="1">IFERROR(__xludf.DUMMYFUNCTION("""COMPUTED_VALUE"""),"Life Sciences")</f>
        <v>Life Sciences</v>
      </c>
      <c r="D1044" s="6" t="str">
        <f ca="1">IFERROR(__xludf.DUMMYFUNCTION("""COMPUTED_VALUE"""),"San Francisco, CA 
United States")</f>
        <v>San Francisco, CA 
United States</v>
      </c>
      <c r="E1044" s="6" t="str">
        <f ca="1">IFERROR(__xludf.DUMMYFUNCTION("""COMPUTED_VALUE"""),"West Coast")</f>
        <v>West Coast</v>
      </c>
      <c r="F1044" s="6" t="str">
        <f ca="1">IFERROR(__xludf.DUMMYFUNCTION("""COMPUTED_VALUE"""),"Man")</f>
        <v>Man</v>
      </c>
      <c r="G1044" s="6"/>
      <c r="H1044" s="6"/>
      <c r="I1044" s="6"/>
      <c r="J1044" s="6"/>
      <c r="K1044" s="6"/>
      <c r="L1044" s="6" t="str">
        <f ca="1">IFERROR(__xludf.DUMMYFUNCTION("""COMPUTED_VALUE"""),"--Please select--")</f>
        <v>--Please select--</v>
      </c>
      <c r="M1044" s="6"/>
      <c r="N1044" s="6"/>
      <c r="O1044" s="6" t="str">
        <f ca="1">IFERROR(__xludf.DUMMYFUNCTION("""COMPUTED_VALUE"""),"Referral")</f>
        <v>Referral</v>
      </c>
      <c r="P1044" s="6"/>
      <c r="Q1044" s="6" t="str">
        <f ca="1">IFERROR(__xludf.DUMMYFUNCTION("""COMPUTED_VALUE"""),"No")</f>
        <v>No</v>
      </c>
      <c r="R1044" s="6">
        <f ca="1">IFERROR(__xludf.DUMMYFUNCTION("""COMPUTED_VALUE"""),1)</f>
        <v>1</v>
      </c>
      <c r="S1044" s="6" t="str">
        <f ca="1">IFERROR(__xludf.DUMMYFUNCTION("""COMPUTED_VALUE"""),"Seed")</f>
        <v>Seed</v>
      </c>
      <c r="T1044" s="6" t="str">
        <f ca="1">IFERROR(__xludf.DUMMYFUNCTION("""COMPUTED_VALUE"""),"Seed")</f>
        <v>Seed</v>
      </c>
      <c r="U1044" s="6" t="str">
        <f ca="1">IFERROR(__xludf.DUMMYFUNCTION("""COMPUTED_VALUE"""),"Seed")</f>
        <v>Seed</v>
      </c>
      <c r="V1044" s="6"/>
      <c r="W1044" s="6" t="str">
        <f ca="1">IFERROR(__xludf.DUMMYFUNCTION("""COMPUTED_VALUE"""),"Invite")</f>
        <v>Invite</v>
      </c>
    </row>
    <row r="1045" spans="1:23">
      <c r="A1045" s="6" t="str">
        <f ca="1">IFERROR(__xludf.DUMMYFUNCTION("""COMPUTED_VALUE"""),"Man, Man, Man")</f>
        <v>Man, Man, Man</v>
      </c>
      <c r="B1045" s="6" t="str">
        <f ca="1">IFERROR(__xludf.DUMMYFUNCTION("""COMPUTED_VALUE"""),"ViBo Health _2022")</f>
        <v>ViBo Health _2022</v>
      </c>
      <c r="C1045" s="6" t="str">
        <f ca="1">IFERROR(__xludf.DUMMYFUNCTION("""COMPUTED_VALUE"""),"Life Sciences")</f>
        <v>Life Sciences</v>
      </c>
      <c r="D1045" s="6" t="str">
        <f ca="1">IFERROR(__xludf.DUMMYFUNCTION("""COMPUTED_VALUE"""),"Los Angeles, CA 
United States")</f>
        <v>Los Angeles, CA 
United States</v>
      </c>
      <c r="E1045" s="6" t="str">
        <f ca="1">IFERROR(__xludf.DUMMYFUNCTION("""COMPUTED_VALUE"""),"West Coast")</f>
        <v>West Coast</v>
      </c>
      <c r="F1045" s="6" t="str">
        <f ca="1">IFERROR(__xludf.DUMMYFUNCTION("""COMPUTED_VALUE"""),"Man")</f>
        <v>Man</v>
      </c>
      <c r="G1045" s="6" t="str">
        <f ca="1">IFERROR(__xludf.DUMMYFUNCTION("""COMPUTED_VALUE"""),"Man")</f>
        <v>Man</v>
      </c>
      <c r="H1045" s="6" t="str">
        <f ca="1">IFERROR(__xludf.DUMMYFUNCTION("""COMPUTED_VALUE"""),"Man")</f>
        <v>Man</v>
      </c>
      <c r="I1045" s="6"/>
      <c r="J1045" s="6"/>
      <c r="K1045" s="6"/>
      <c r="L1045" s="6" t="str">
        <f ca="1">IFERROR(__xludf.DUMMYFUNCTION("""COMPUTED_VALUE"""),"No")</f>
        <v>No</v>
      </c>
      <c r="M1045" s="6"/>
      <c r="N1045" s="6"/>
      <c r="O1045" s="6" t="str">
        <f ca="1">IFERROR(__xludf.DUMMYFUNCTION("""COMPUTED_VALUE"""),"Referral")</f>
        <v>Referral</v>
      </c>
      <c r="P1045" s="6"/>
      <c r="Q1045" s="6" t="str">
        <f ca="1">IFERROR(__xludf.DUMMYFUNCTION("""COMPUTED_VALUE"""),"No")</f>
        <v>No</v>
      </c>
      <c r="R1045" s="6">
        <f ca="1">IFERROR(__xludf.DUMMYFUNCTION("""COMPUTED_VALUE"""),3)</f>
        <v>3</v>
      </c>
      <c r="S1045" s="6" t="str">
        <f ca="1">IFERROR(__xludf.DUMMYFUNCTION("""COMPUTED_VALUE"""),"Grants
Other: Founder")</f>
        <v>Grants
Other: Founder</v>
      </c>
      <c r="T1045" s="6" t="str">
        <f ca="1">IFERROR(__xludf.DUMMYFUNCTION("""COMPUTED_VALUE"""),"Grants, Other: Founder")</f>
        <v>Grants, Other: Founder</v>
      </c>
      <c r="U1045" s="6" t="str">
        <f ca="1">IFERROR(__xludf.DUMMYFUNCTION("""COMPUTED_VALUE"""),"Grants, ")</f>
        <v xml:space="preserve">Grants, </v>
      </c>
      <c r="V1045" s="6" t="str">
        <f ca="1">IFERROR(__xludf.DUMMYFUNCTION("""COMPUTED_VALUE"""),"Founder")</f>
        <v>Founder</v>
      </c>
      <c r="W1045" s="6" t="str">
        <f ca="1">IFERROR(__xludf.DUMMYFUNCTION("""COMPUTED_VALUE"""),"Invite Next Year")</f>
        <v>Invite Next Year</v>
      </c>
    </row>
    <row r="1046" spans="1:23">
      <c r="A1046" s="6" t="str">
        <f ca="1">IFERROR(__xludf.DUMMYFUNCTION("""COMPUTED_VALUE"""),"Man, Man, Man")</f>
        <v>Man, Man, Man</v>
      </c>
      <c r="B1046" s="6" t="str">
        <f ca="1">IFERROR(__xludf.DUMMYFUNCTION("""COMPUTED_VALUE"""),"Sisu Pharma, Inc. _2022")</f>
        <v>Sisu Pharma, Inc. _2022</v>
      </c>
      <c r="C1046" s="6" t="str">
        <f ca="1">IFERROR(__xludf.DUMMYFUNCTION("""COMPUTED_VALUE"""),"Life Sciences")</f>
        <v>Life Sciences</v>
      </c>
      <c r="D1046" s="6" t="str">
        <f ca="1">IFERROR(__xludf.DUMMYFUNCTION("""COMPUTED_VALUE"""),"Chapel Hill, NC 
United States")</f>
        <v>Chapel Hill, NC 
United States</v>
      </c>
      <c r="E1046" s="6" t="str">
        <f ca="1">IFERROR(__xludf.DUMMYFUNCTION("""COMPUTED_VALUE"""),"East Coast")</f>
        <v>East Coast</v>
      </c>
      <c r="F1046" s="6" t="str">
        <f ca="1">IFERROR(__xludf.DUMMYFUNCTION("""COMPUTED_VALUE"""),"Man")</f>
        <v>Man</v>
      </c>
      <c r="G1046" s="6" t="str">
        <f ca="1">IFERROR(__xludf.DUMMYFUNCTION("""COMPUTED_VALUE"""),"Man")</f>
        <v>Man</v>
      </c>
      <c r="H1046" s="6" t="str">
        <f ca="1">IFERROR(__xludf.DUMMYFUNCTION("""COMPUTED_VALUE"""),"Man")</f>
        <v>Man</v>
      </c>
      <c r="I1046" s="6"/>
      <c r="J1046" s="6"/>
      <c r="K1046" s="6"/>
      <c r="L1046" s="6" t="str">
        <f ca="1">IFERROR(__xludf.DUMMYFUNCTION("""COMPUTED_VALUE"""),"No")</f>
        <v>No</v>
      </c>
      <c r="M1046" s="6"/>
      <c r="N1046" s="6"/>
      <c r="O1046" s="6" t="str">
        <f ca="1">IFERROR(__xludf.DUMMYFUNCTION("""COMPUTED_VALUE"""),"Email")</f>
        <v>Email</v>
      </c>
      <c r="P1046" s="6"/>
      <c r="Q1046" s="6" t="str">
        <f ca="1">IFERROR(__xludf.DUMMYFUNCTION("""COMPUTED_VALUE"""),"No")</f>
        <v>No</v>
      </c>
      <c r="R1046" s="6">
        <f ca="1">IFERROR(__xludf.DUMMYFUNCTION("""COMPUTED_VALUE"""),3)</f>
        <v>3</v>
      </c>
      <c r="S1046" s="6" t="str">
        <f ca="1">IFERROR(__xludf.DUMMYFUNCTION("""COMPUTED_VALUE"""),"Seed")</f>
        <v>Seed</v>
      </c>
      <c r="T1046" s="6" t="str">
        <f ca="1">IFERROR(__xludf.DUMMYFUNCTION("""COMPUTED_VALUE"""),"Seed")</f>
        <v>Seed</v>
      </c>
      <c r="U1046" s="6" t="str">
        <f ca="1">IFERROR(__xludf.DUMMYFUNCTION("""COMPUTED_VALUE"""),"Seed")</f>
        <v>Seed</v>
      </c>
      <c r="V1046" s="6"/>
      <c r="W1046" s="6" t="str">
        <f ca="1">IFERROR(__xludf.DUMMYFUNCTION("""COMPUTED_VALUE"""),"Invite")</f>
        <v>Invite</v>
      </c>
    </row>
    <row r="1047" spans="1:23">
      <c r="A1047" s="6" t="str">
        <f ca="1">IFERROR(__xludf.DUMMYFUNCTION("""COMPUTED_VALUE"""),"Man, Man, Man")</f>
        <v>Man, Man, Man</v>
      </c>
      <c r="B1047" s="6" t="str">
        <f ca="1">IFERROR(__xludf.DUMMYFUNCTION("""COMPUTED_VALUE"""),"CYTRIO, Inc. _2022")</f>
        <v>CYTRIO, Inc. _2022</v>
      </c>
      <c r="C1047" s="6" t="str">
        <f ca="1">IFERROR(__xludf.DUMMYFUNCTION("""COMPUTED_VALUE"""),"Digital Tech")</f>
        <v>Digital Tech</v>
      </c>
      <c r="D1047" s="6" t="str">
        <f ca="1">IFERROR(__xludf.DUMMYFUNCTION("""COMPUTED_VALUE"""),"867 Boylston Street 5th Floor #1005, Boston, MA 02116 
United States")</f>
        <v>867 Boylston Street 5th Floor #1005, Boston, MA 02116 
United States</v>
      </c>
      <c r="E1047" s="6" t="str">
        <f ca="1">IFERROR(__xludf.DUMMYFUNCTION("""COMPUTED_VALUE"""),"East Coast")</f>
        <v>East Coast</v>
      </c>
      <c r="F1047" s="6" t="str">
        <f ca="1">IFERROR(__xludf.DUMMYFUNCTION("""COMPUTED_VALUE"""),"Man")</f>
        <v>Man</v>
      </c>
      <c r="G1047" s="6" t="str">
        <f ca="1">IFERROR(__xludf.DUMMYFUNCTION("""COMPUTED_VALUE"""),"Man")</f>
        <v>Man</v>
      </c>
      <c r="H1047" s="6" t="str">
        <f ca="1">IFERROR(__xludf.DUMMYFUNCTION("""COMPUTED_VALUE"""),"Man")</f>
        <v>Man</v>
      </c>
      <c r="I1047" s="6"/>
      <c r="J1047" s="6"/>
      <c r="K1047" s="6"/>
      <c r="L1047" s="6" t="str">
        <f ca="1">IFERROR(__xludf.DUMMYFUNCTION("""COMPUTED_VALUE"""),"Yes")</f>
        <v>Yes</v>
      </c>
      <c r="M1047" s="6" t="str">
        <f ca="1">IFERROR(__xludf.DUMMYFUNCTION("""COMPUTED_VALUE"""),"Other (please specify)")</f>
        <v>Other (please specify)</v>
      </c>
      <c r="N1047" s="6" t="str">
        <f ca="1">IFERROR(__xludf.DUMMYFUNCTION("""COMPUTED_VALUE"""),"Our CPO, Pankaj Parekh's daughter is a current NYU undergrad Student")</f>
        <v>Our CPO, Pankaj Parekh's daughter is a current NYU undergrad Student</v>
      </c>
      <c r="O1047" s="6" t="str">
        <f ca="1">IFERROR(__xludf.DUMMYFUNCTION("""COMPUTED_VALUE"""),"--Please select--")</f>
        <v>--Please select--</v>
      </c>
      <c r="P1047" s="6"/>
      <c r="Q1047" s="6" t="str">
        <f ca="1">IFERROR(__xludf.DUMMYFUNCTION("""COMPUTED_VALUE"""),"No")</f>
        <v>No</v>
      </c>
      <c r="R1047" s="6">
        <f ca="1">IFERROR(__xludf.DUMMYFUNCTION("""COMPUTED_VALUE"""),3)</f>
        <v>3</v>
      </c>
      <c r="S1047" s="6" t="str">
        <f ca="1">IFERROR(__xludf.DUMMYFUNCTION("""COMPUTED_VALUE"""),"Seed")</f>
        <v>Seed</v>
      </c>
      <c r="T1047" s="6" t="str">
        <f ca="1">IFERROR(__xludf.DUMMYFUNCTION("""COMPUTED_VALUE"""),"Seed")</f>
        <v>Seed</v>
      </c>
      <c r="U1047" s="6" t="str">
        <f ca="1">IFERROR(__xludf.DUMMYFUNCTION("""COMPUTED_VALUE"""),"Seed")</f>
        <v>Seed</v>
      </c>
      <c r="V1047" s="6"/>
      <c r="W1047" s="6" t="str">
        <f ca="1">IFERROR(__xludf.DUMMYFUNCTION("""COMPUTED_VALUE"""),"Invite")</f>
        <v>Invite</v>
      </c>
    </row>
    <row r="1048" spans="1:23">
      <c r="A1048" s="6" t="str">
        <f ca="1">IFERROR(__xludf.DUMMYFUNCTION("""COMPUTED_VALUE"""),"Man, Woman, Man, Man")</f>
        <v>Man, Woman, Man, Man</v>
      </c>
      <c r="B1048" s="6" t="str">
        <f ca="1">IFERROR(__xludf.DUMMYFUNCTION("""COMPUTED_VALUE"""),"Steg.AI _2022")</f>
        <v>Steg.AI _2022</v>
      </c>
      <c r="C1048" s="6" t="str">
        <f ca="1">IFERROR(__xludf.DUMMYFUNCTION("""COMPUTED_VALUE"""),"Digital Tech")</f>
        <v>Digital Tech</v>
      </c>
      <c r="D1048" s="6" t="str">
        <f ca="1">IFERROR(__xludf.DUMMYFUNCTION("""COMPUTED_VALUE"""),"Irvine, CA 
United States")</f>
        <v>Irvine, CA 
United States</v>
      </c>
      <c r="E1048" s="6" t="str">
        <f ca="1">IFERROR(__xludf.DUMMYFUNCTION("""COMPUTED_VALUE"""),"West Coast")</f>
        <v>West Coast</v>
      </c>
      <c r="F1048" s="6" t="str">
        <f ca="1">IFERROR(__xludf.DUMMYFUNCTION("""COMPUTED_VALUE"""),"Man")</f>
        <v>Man</v>
      </c>
      <c r="G1048" s="6" t="str">
        <f ca="1">IFERROR(__xludf.DUMMYFUNCTION("""COMPUTED_VALUE"""),"Woman")</f>
        <v>Woman</v>
      </c>
      <c r="H1048" s="6" t="str">
        <f ca="1">IFERROR(__xludf.DUMMYFUNCTION("""COMPUTED_VALUE"""),"Man")</f>
        <v>Man</v>
      </c>
      <c r="I1048" s="6" t="str">
        <f ca="1">IFERROR(__xludf.DUMMYFUNCTION("""COMPUTED_VALUE"""),"Man")</f>
        <v>Man</v>
      </c>
      <c r="J1048" s="6"/>
      <c r="K1048" s="6"/>
      <c r="L1048" s="6" t="str">
        <f ca="1">IFERROR(__xludf.DUMMYFUNCTION("""COMPUTED_VALUE"""),"Yes")</f>
        <v>Yes</v>
      </c>
      <c r="M1048" s="6" t="str">
        <f ca="1">IFERROR(__xludf.DUMMYFUNCTION("""COMPUTED_VALUE"""),"Former NYU Fellow/Faculty/Staff")</f>
        <v>Former NYU Fellow/Faculty/Staff</v>
      </c>
      <c r="N1048" s="6"/>
      <c r="O1048" s="6" t="str">
        <f ca="1">IFERROR(__xludf.DUMMYFUNCTION("""COMPUTED_VALUE"""),"Referral")</f>
        <v>Referral</v>
      </c>
      <c r="P1048" s="6"/>
      <c r="Q1048" s="6" t="str">
        <f ca="1">IFERROR(__xludf.DUMMYFUNCTION("""COMPUTED_VALUE"""),"Yes")</f>
        <v>Yes</v>
      </c>
      <c r="R1048" s="6">
        <f ca="1">IFERROR(__xludf.DUMMYFUNCTION("""COMPUTED_VALUE"""),4)</f>
        <v>4</v>
      </c>
      <c r="S1048" s="6" t="str">
        <f ca="1">IFERROR(__xludf.DUMMYFUNCTION("""COMPUTED_VALUE"""),"Pre-seed
Grants")</f>
        <v>Pre-seed
Grants</v>
      </c>
      <c r="T1048" s="6" t="str">
        <f ca="1">IFERROR(__xludf.DUMMYFUNCTION("""COMPUTED_VALUE"""),"Pre-seed, Grants")</f>
        <v>Pre-seed, Grants</v>
      </c>
      <c r="U1048" s="6" t="str">
        <f ca="1">IFERROR(__xludf.DUMMYFUNCTION("""COMPUTED_VALUE"""),"Pre-seed, Grants")</f>
        <v>Pre-seed, Grants</v>
      </c>
      <c r="V1048" s="6"/>
      <c r="W1048" s="6" t="str">
        <f ca="1">IFERROR(__xludf.DUMMYFUNCTION("""COMPUTED_VALUE"""),"Invite")</f>
        <v>Invite</v>
      </c>
    </row>
    <row r="1049" spans="1:23">
      <c r="A1049" s="6" t="str">
        <f ca="1">IFERROR(__xludf.DUMMYFUNCTION("""COMPUTED_VALUE"""),"Man, Man, Man")</f>
        <v>Man, Man, Man</v>
      </c>
      <c r="B1049" s="6" t="str">
        <f ca="1">IFERROR(__xludf.DUMMYFUNCTION("""COMPUTED_VALUE"""),"Propelle Therapeutics, Inc. _2022")</f>
        <v>Propelle Therapeutics, Inc. _2022</v>
      </c>
      <c r="C1049" s="6" t="str">
        <f ca="1">IFERROR(__xludf.DUMMYFUNCTION("""COMPUTED_VALUE"""),"Life Sciences")</f>
        <v>Life Sciences</v>
      </c>
      <c r="D1049" s="6" t="str">
        <f ca="1">IFERROR(__xludf.DUMMYFUNCTION("""COMPUTED_VALUE"""),"San Diego, CA 
United States")</f>
        <v>San Diego, CA 
United States</v>
      </c>
      <c r="E1049" s="6" t="str">
        <f ca="1">IFERROR(__xludf.DUMMYFUNCTION("""COMPUTED_VALUE"""),"West Coast")</f>
        <v>West Coast</v>
      </c>
      <c r="F1049" s="6" t="str">
        <f ca="1">IFERROR(__xludf.DUMMYFUNCTION("""COMPUTED_VALUE"""),"Man")</f>
        <v>Man</v>
      </c>
      <c r="G1049" s="6" t="str">
        <f ca="1">IFERROR(__xludf.DUMMYFUNCTION("""COMPUTED_VALUE"""),"Man")</f>
        <v>Man</v>
      </c>
      <c r="H1049" s="6" t="str">
        <f ca="1">IFERROR(__xludf.DUMMYFUNCTION("""COMPUTED_VALUE"""),"Man")</f>
        <v>Man</v>
      </c>
      <c r="I1049" s="6"/>
      <c r="J1049" s="6"/>
      <c r="K1049" s="6"/>
      <c r="L1049" s="6" t="str">
        <f ca="1">IFERROR(__xludf.DUMMYFUNCTION("""COMPUTED_VALUE"""),"No")</f>
        <v>No</v>
      </c>
      <c r="M1049" s="6"/>
      <c r="N1049" s="6"/>
      <c r="O1049" s="6" t="str">
        <f ca="1">IFERROR(__xludf.DUMMYFUNCTION("""COMPUTED_VALUE"""),"Email")</f>
        <v>Email</v>
      </c>
      <c r="P1049" s="6"/>
      <c r="Q1049" s="6" t="str">
        <f ca="1">IFERROR(__xludf.DUMMYFUNCTION("""COMPUTED_VALUE"""),"Yes")</f>
        <v>Yes</v>
      </c>
      <c r="R1049" s="6">
        <f ca="1">IFERROR(__xludf.DUMMYFUNCTION("""COMPUTED_VALUE"""),3)</f>
        <v>3</v>
      </c>
      <c r="S1049" s="6" t="str">
        <f ca="1">IFERROR(__xludf.DUMMYFUNCTION("""COMPUTED_VALUE"""),"Other: Co-Founders")</f>
        <v>Other: Co-Founders</v>
      </c>
      <c r="T1049" s="6" t="str">
        <f ca="1">IFERROR(__xludf.DUMMYFUNCTION("""COMPUTED_VALUE"""),"Other: Co-Founders")</f>
        <v>Other: Co-Founders</v>
      </c>
      <c r="U1049" s="6" t="str">
        <f ca="1">IFERROR(__xludf.DUMMYFUNCTION("""COMPUTED_VALUE"""),"Co-Founders")</f>
        <v>Co-Founders</v>
      </c>
      <c r="V1049" s="6"/>
      <c r="W1049" s="6" t="str">
        <f ca="1">IFERROR(__xludf.DUMMYFUNCTION("""COMPUTED_VALUE"""),"Revisit")</f>
        <v>Revisit</v>
      </c>
    </row>
    <row r="1050" spans="1:23">
      <c r="A1050" s="6" t="str">
        <f ca="1">IFERROR(__xludf.DUMMYFUNCTION("""COMPUTED_VALUE"""),"Man, Woman, Man, Man")</f>
        <v>Man, Woman, Man, Man</v>
      </c>
      <c r="B1050" s="6" t="str">
        <f ca="1">IFERROR(__xludf.DUMMYFUNCTION("""COMPUTED_VALUE"""),"OPTT Health _2022")</f>
        <v>OPTT Health _2022</v>
      </c>
      <c r="C1050" s="6" t="str">
        <f ca="1">IFERROR(__xludf.DUMMYFUNCTION("""COMPUTED_VALUE"""),"Digital Tech")</f>
        <v>Digital Tech</v>
      </c>
      <c r="D1050" s="6" t="str">
        <f ca="1">IFERROR(__xludf.DUMMYFUNCTION("""COMPUTED_VALUE"""),"525 5th AveNew York, NY 
United States")</f>
        <v>525 5th AveNew York, NY 
United States</v>
      </c>
      <c r="E1050" s="6" t="str">
        <f ca="1">IFERROR(__xludf.DUMMYFUNCTION("""COMPUTED_VALUE"""),"New York")</f>
        <v>New York</v>
      </c>
      <c r="F1050" s="6" t="str">
        <f ca="1">IFERROR(__xludf.DUMMYFUNCTION("""COMPUTED_VALUE"""),"Man")</f>
        <v>Man</v>
      </c>
      <c r="G1050" s="6" t="str">
        <f ca="1">IFERROR(__xludf.DUMMYFUNCTION("""COMPUTED_VALUE"""),"Woman")</f>
        <v>Woman</v>
      </c>
      <c r="H1050" s="6" t="str">
        <f ca="1">IFERROR(__xludf.DUMMYFUNCTION("""COMPUTED_VALUE"""),"Man")</f>
        <v>Man</v>
      </c>
      <c r="I1050" s="6" t="str">
        <f ca="1">IFERROR(__xludf.DUMMYFUNCTION("""COMPUTED_VALUE"""),"Man")</f>
        <v>Man</v>
      </c>
      <c r="J1050" s="6"/>
      <c r="K1050" s="6"/>
      <c r="L1050" s="6" t="str">
        <f ca="1">IFERROR(__xludf.DUMMYFUNCTION("""COMPUTED_VALUE"""),"No")</f>
        <v>No</v>
      </c>
      <c r="M1050" s="6"/>
      <c r="N1050" s="6"/>
      <c r="O1050" s="6" t="str">
        <f ca="1">IFERROR(__xludf.DUMMYFUNCTION("""COMPUTED_VALUE"""),"Referral")</f>
        <v>Referral</v>
      </c>
      <c r="P1050" s="6"/>
      <c r="Q1050" s="6" t="str">
        <f ca="1">IFERROR(__xludf.DUMMYFUNCTION("""COMPUTED_VALUE"""),"Yes")</f>
        <v>Yes</v>
      </c>
      <c r="R1050" s="6">
        <f ca="1">IFERROR(__xludf.DUMMYFUNCTION("""COMPUTED_VALUE"""),4)</f>
        <v>4</v>
      </c>
      <c r="S1050" s="6" t="str">
        <f ca="1">IFERROR(__xludf.DUMMYFUNCTION("""COMPUTED_VALUE"""),"Pre-seed")</f>
        <v>Pre-seed</v>
      </c>
      <c r="T1050" s="6" t="str">
        <f ca="1">IFERROR(__xludf.DUMMYFUNCTION("""COMPUTED_VALUE"""),"Pre-seed")</f>
        <v>Pre-seed</v>
      </c>
      <c r="U1050" s="6" t="str">
        <f ca="1">IFERROR(__xludf.DUMMYFUNCTION("""COMPUTED_VALUE"""),"Pre-seed")</f>
        <v>Pre-seed</v>
      </c>
      <c r="V1050" s="6"/>
      <c r="W1050" s="6" t="str">
        <f ca="1">IFERROR(__xludf.DUMMYFUNCTION("""COMPUTED_VALUE"""),"Invite")</f>
        <v>Invite</v>
      </c>
    </row>
    <row r="1051" spans="1:23">
      <c r="A1051" s="6" t="str">
        <f ca="1">IFERROR(__xludf.DUMMYFUNCTION("""COMPUTED_VALUE"""),"Man, Man, Woman, Man, Man, Woman")</f>
        <v>Man, Man, Woman, Man, Man, Woman</v>
      </c>
      <c r="B1051" s="6" t="str">
        <f ca="1">IFERROR(__xludf.DUMMYFUNCTION("""COMPUTED_VALUE"""),"OVIBIO _2022")</f>
        <v>OVIBIO _2022</v>
      </c>
      <c r="C1051" s="6" t="str">
        <f ca="1">IFERROR(__xludf.DUMMYFUNCTION("""COMPUTED_VALUE"""),"Life Sciences")</f>
        <v>Life Sciences</v>
      </c>
      <c r="D1051" s="6" t="str">
        <f ca="1">IFERROR(__xludf.DUMMYFUNCTION("""COMPUTED_VALUE"""),"Cambridge , Massachusetts  
United States")</f>
        <v>Cambridge , Massachusetts  
United States</v>
      </c>
      <c r="E1051" s="6" t="str">
        <f ca="1">IFERROR(__xludf.DUMMYFUNCTION("""COMPUTED_VALUE"""),"East Coast")</f>
        <v>East Coast</v>
      </c>
      <c r="F1051" s="6" t="str">
        <f ca="1">IFERROR(__xludf.DUMMYFUNCTION("""COMPUTED_VALUE"""),"Man")</f>
        <v>Man</v>
      </c>
      <c r="G1051" s="6" t="str">
        <f ca="1">IFERROR(__xludf.DUMMYFUNCTION("""COMPUTED_VALUE"""),"Man")</f>
        <v>Man</v>
      </c>
      <c r="H1051" s="6" t="str">
        <f ca="1">IFERROR(__xludf.DUMMYFUNCTION("""COMPUTED_VALUE"""),"Woman")</f>
        <v>Woman</v>
      </c>
      <c r="I1051" s="6" t="str">
        <f ca="1">IFERROR(__xludf.DUMMYFUNCTION("""COMPUTED_VALUE"""),"Man")</f>
        <v>Man</v>
      </c>
      <c r="J1051" s="6" t="str">
        <f ca="1">IFERROR(__xludf.DUMMYFUNCTION("""COMPUTED_VALUE"""),"Man")</f>
        <v>Man</v>
      </c>
      <c r="K1051" s="6" t="str">
        <f ca="1">IFERROR(__xludf.DUMMYFUNCTION("""COMPUTED_VALUE"""),"Woman")</f>
        <v>Woman</v>
      </c>
      <c r="L1051" s="6" t="str">
        <f ca="1">IFERROR(__xludf.DUMMYFUNCTION("""COMPUTED_VALUE"""),"No")</f>
        <v>No</v>
      </c>
      <c r="M1051" s="6"/>
      <c r="N1051" s="6"/>
      <c r="O1051" s="6" t="str">
        <f ca="1">IFERROR(__xludf.DUMMYFUNCTION("""COMPUTED_VALUE"""),"Email")</f>
        <v>Email</v>
      </c>
      <c r="P1051" s="6"/>
      <c r="Q1051" s="6" t="str">
        <f ca="1">IFERROR(__xludf.DUMMYFUNCTION("""COMPUTED_VALUE"""),"No")</f>
        <v>No</v>
      </c>
      <c r="R1051" s="6">
        <f ca="1">IFERROR(__xludf.DUMMYFUNCTION("""COMPUTED_VALUE"""),6)</f>
        <v>6</v>
      </c>
      <c r="S1051" s="6" t="str">
        <f ca="1">IFERROR(__xludf.DUMMYFUNCTION("""COMPUTED_VALUE"""),"Pre-seed
Seed")</f>
        <v>Pre-seed
Seed</v>
      </c>
      <c r="T1051" s="6" t="str">
        <f ca="1">IFERROR(__xludf.DUMMYFUNCTION("""COMPUTED_VALUE"""),"Pre-seed, Seed")</f>
        <v>Pre-seed, Seed</v>
      </c>
      <c r="U1051" s="6" t="str">
        <f ca="1">IFERROR(__xludf.DUMMYFUNCTION("""COMPUTED_VALUE"""),"Pre-seed, Seed")</f>
        <v>Pre-seed, Seed</v>
      </c>
      <c r="V1051" s="6"/>
      <c r="W1051" s="6" t="str">
        <f ca="1">IFERROR(__xludf.DUMMYFUNCTION("""COMPUTED_VALUE"""),"Invite")</f>
        <v>Invite</v>
      </c>
    </row>
    <row r="1052" spans="1:23">
      <c r="A1052" s="6" t="str">
        <f ca="1">IFERROR(__xludf.DUMMYFUNCTION("""COMPUTED_VALUE"""),"Man, Man, Woman, Man")</f>
        <v>Man, Man, Woman, Man</v>
      </c>
      <c r="B1052" s="6" t="str">
        <f ca="1">IFERROR(__xludf.DUMMYFUNCTION("""COMPUTED_VALUE"""),"Mana.bio _2022")</f>
        <v>Mana.bio _2022</v>
      </c>
      <c r="C1052" s="6" t="str">
        <f ca="1">IFERROR(__xludf.DUMMYFUNCTION("""COMPUTED_VALUE"""),"Life Sciences")</f>
        <v>Life Sciences</v>
      </c>
      <c r="D1052" s="6" t="str">
        <f ca="1">IFERROR(__xludf.DUMMYFUNCTION("""COMPUTED_VALUE"""),"Tel Aviv, Israel 
Israel")</f>
        <v>Tel Aviv, Israel 
Israel</v>
      </c>
      <c r="E1052" s="6" t="str">
        <f ca="1">IFERROR(__xludf.DUMMYFUNCTION("""COMPUTED_VALUE"""),"International - Middle East")</f>
        <v>International - Middle East</v>
      </c>
      <c r="F1052" s="6" t="str">
        <f ca="1">IFERROR(__xludf.DUMMYFUNCTION("""COMPUTED_VALUE"""),"Man")</f>
        <v>Man</v>
      </c>
      <c r="G1052" s="6" t="str">
        <f ca="1">IFERROR(__xludf.DUMMYFUNCTION("""COMPUTED_VALUE"""),"Man")</f>
        <v>Man</v>
      </c>
      <c r="H1052" s="6" t="str">
        <f ca="1">IFERROR(__xludf.DUMMYFUNCTION("""COMPUTED_VALUE"""),"Woman")</f>
        <v>Woman</v>
      </c>
      <c r="I1052" s="6" t="str">
        <f ca="1">IFERROR(__xludf.DUMMYFUNCTION("""COMPUTED_VALUE"""),"Man")</f>
        <v>Man</v>
      </c>
      <c r="J1052" s="6"/>
      <c r="K1052" s="6"/>
      <c r="L1052" s="6" t="str">
        <f ca="1">IFERROR(__xludf.DUMMYFUNCTION("""COMPUTED_VALUE"""),"No")</f>
        <v>No</v>
      </c>
      <c r="M1052" s="6"/>
      <c r="N1052" s="6"/>
      <c r="O1052" s="6" t="str">
        <f ca="1">IFERROR(__xludf.DUMMYFUNCTION("""COMPUTED_VALUE"""),"Referral")</f>
        <v>Referral</v>
      </c>
      <c r="P1052" s="6"/>
      <c r="Q1052" s="6" t="str">
        <f ca="1">IFERROR(__xludf.DUMMYFUNCTION("""COMPUTED_VALUE"""),"No")</f>
        <v>No</v>
      </c>
      <c r="R1052" s="6">
        <f ca="1">IFERROR(__xludf.DUMMYFUNCTION("""COMPUTED_VALUE"""),4)</f>
        <v>4</v>
      </c>
      <c r="S1052" s="6" t="str">
        <f ca="1">IFERROR(__xludf.DUMMYFUNCTION("""COMPUTED_VALUE"""),"Pre-seed")</f>
        <v>Pre-seed</v>
      </c>
      <c r="T1052" s="6" t="str">
        <f ca="1">IFERROR(__xludf.DUMMYFUNCTION("""COMPUTED_VALUE"""),"Pre-seed")</f>
        <v>Pre-seed</v>
      </c>
      <c r="U1052" s="6" t="str">
        <f ca="1">IFERROR(__xludf.DUMMYFUNCTION("""COMPUTED_VALUE"""),"Pre-seed")</f>
        <v>Pre-seed</v>
      </c>
      <c r="V1052" s="6"/>
      <c r="W1052" s="6" t="str">
        <f ca="1">IFERROR(__xludf.DUMMYFUNCTION("""COMPUTED_VALUE"""),"Special Reject")</f>
        <v>Special Reject</v>
      </c>
    </row>
    <row r="1053" spans="1:23">
      <c r="A1053" s="6" t="str">
        <f ca="1">IFERROR(__xludf.DUMMYFUNCTION("""COMPUTED_VALUE"""),"Man, Man")</f>
        <v>Man, Man</v>
      </c>
      <c r="B1053" s="6" t="str">
        <f ca="1">IFERROR(__xludf.DUMMYFUNCTION("""COMPUTED_VALUE"""),"Sensifree _2022")</f>
        <v>Sensifree _2022</v>
      </c>
      <c r="C1053" s="6" t="str">
        <f ca="1">IFERROR(__xludf.DUMMYFUNCTION("""COMPUTED_VALUE"""),"Life Sciences")</f>
        <v>Life Sciences</v>
      </c>
      <c r="D1053" s="6" t="str">
        <f ca="1">IFERROR(__xludf.DUMMYFUNCTION("""COMPUTED_VALUE"""),"Kfar Saba, Israel 
Israel")</f>
        <v>Kfar Saba, Israel 
Israel</v>
      </c>
      <c r="E1053" s="6" t="str">
        <f ca="1">IFERROR(__xludf.DUMMYFUNCTION("""COMPUTED_VALUE"""),"International - Middle East")</f>
        <v>International - Middle East</v>
      </c>
      <c r="F1053" s="6" t="str">
        <f ca="1">IFERROR(__xludf.DUMMYFUNCTION("""COMPUTED_VALUE"""),"Man")</f>
        <v>Man</v>
      </c>
      <c r="G1053" s="6" t="str">
        <f ca="1">IFERROR(__xludf.DUMMYFUNCTION("""COMPUTED_VALUE"""),"Man")</f>
        <v>Man</v>
      </c>
      <c r="H1053" s="6"/>
      <c r="I1053" s="6"/>
      <c r="J1053" s="6"/>
      <c r="K1053" s="6"/>
      <c r="L1053" s="6" t="str">
        <f ca="1">IFERROR(__xludf.DUMMYFUNCTION("""COMPUTED_VALUE"""),"No")</f>
        <v>No</v>
      </c>
      <c r="M1053" s="6"/>
      <c r="N1053" s="6"/>
      <c r="O1053" s="6" t="str">
        <f ca="1">IFERROR(__xludf.DUMMYFUNCTION("""COMPUTED_VALUE"""),"Email")</f>
        <v>Email</v>
      </c>
      <c r="P1053" s="6"/>
      <c r="Q1053" s="6" t="str">
        <f ca="1">IFERROR(__xludf.DUMMYFUNCTION("""COMPUTED_VALUE"""),"No")</f>
        <v>No</v>
      </c>
      <c r="R1053" s="6">
        <f ca="1">IFERROR(__xludf.DUMMYFUNCTION("""COMPUTED_VALUE"""),2)</f>
        <v>2</v>
      </c>
      <c r="S1053" s="6" t="str">
        <f ca="1">IFERROR(__xludf.DUMMYFUNCTION("""COMPUTED_VALUE"""),"Seed
Series A
Bridge")</f>
        <v>Seed
Series A
Bridge</v>
      </c>
      <c r="T1053" s="6" t="str">
        <f ca="1">IFERROR(__xludf.DUMMYFUNCTION("""COMPUTED_VALUE"""),"Seed, Series A, Bridge")</f>
        <v>Seed, Series A, Bridge</v>
      </c>
      <c r="U1053" s="6" t="str">
        <f ca="1">IFERROR(__xludf.DUMMYFUNCTION("""COMPUTED_VALUE"""),"Seed, Series A, Bridge")</f>
        <v>Seed, Series A, Bridge</v>
      </c>
      <c r="V1053" s="6"/>
      <c r="W1053" s="6" t="str">
        <f ca="1">IFERROR(__xludf.DUMMYFUNCTION("""COMPUTED_VALUE"""),"Invite Next Year")</f>
        <v>Invite Next Year</v>
      </c>
    </row>
    <row r="1054" spans="1:23">
      <c r="A1054" s="6" t="str">
        <f ca="1">IFERROR(__xludf.DUMMYFUNCTION("""COMPUTED_VALUE"""),"Man, Man")</f>
        <v>Man, Man</v>
      </c>
      <c r="B1054" s="6" t="str">
        <f ca="1">IFERROR(__xludf.DUMMYFUNCTION("""COMPUTED_VALUE"""),"Visuo _2022")</f>
        <v>Visuo _2022</v>
      </c>
      <c r="C1054" s="6" t="str">
        <f ca="1">IFERROR(__xludf.DUMMYFUNCTION("""COMPUTED_VALUE"""),"Digital Tech")</f>
        <v>Digital Tech</v>
      </c>
      <c r="D1054" s="6" t="str">
        <f ca="1">IFERROR(__xludf.DUMMYFUNCTION("""COMPUTED_VALUE"""),"Sydney, New South Wales 
Australia")</f>
        <v>Sydney, New South Wales 
Australia</v>
      </c>
      <c r="E1054" s="6" t="str">
        <f ca="1">IFERROR(__xludf.DUMMYFUNCTION("""COMPUTED_VALUE"""),"International - Other")</f>
        <v>International - Other</v>
      </c>
      <c r="F1054" s="6" t="str">
        <f ca="1">IFERROR(__xludf.DUMMYFUNCTION("""COMPUTED_VALUE"""),"Man")</f>
        <v>Man</v>
      </c>
      <c r="G1054" s="6" t="str">
        <f ca="1">IFERROR(__xludf.DUMMYFUNCTION("""COMPUTED_VALUE"""),"Man")</f>
        <v>Man</v>
      </c>
      <c r="H1054" s="6"/>
      <c r="I1054" s="6"/>
      <c r="J1054" s="6"/>
      <c r="K1054" s="6"/>
      <c r="L1054" s="6" t="str">
        <f ca="1">IFERROR(__xludf.DUMMYFUNCTION("""COMPUTED_VALUE"""),"No")</f>
        <v>No</v>
      </c>
      <c r="M1054" s="6"/>
      <c r="N1054" s="6"/>
      <c r="O1054" s="6" t="str">
        <f ca="1">IFERROR(__xludf.DUMMYFUNCTION("""COMPUTED_VALUE"""),"Email")</f>
        <v>Email</v>
      </c>
      <c r="P1054" s="6"/>
      <c r="Q1054" s="6" t="str">
        <f ca="1">IFERROR(__xludf.DUMMYFUNCTION("""COMPUTED_VALUE"""),"No")</f>
        <v>No</v>
      </c>
      <c r="R1054" s="6">
        <f ca="1">IFERROR(__xludf.DUMMYFUNCTION("""COMPUTED_VALUE"""),2)</f>
        <v>2</v>
      </c>
      <c r="S1054" s="6" t="str">
        <f ca="1">IFERROR(__xludf.DUMMYFUNCTION("""COMPUTED_VALUE"""),"Pre-seed")</f>
        <v>Pre-seed</v>
      </c>
      <c r="T1054" s="6" t="str">
        <f ca="1">IFERROR(__xludf.DUMMYFUNCTION("""COMPUTED_VALUE"""),"Pre-seed")</f>
        <v>Pre-seed</v>
      </c>
      <c r="U1054" s="6" t="str">
        <f ca="1">IFERROR(__xludf.DUMMYFUNCTION("""COMPUTED_VALUE"""),"Pre-seed")</f>
        <v>Pre-seed</v>
      </c>
      <c r="V1054" s="6"/>
      <c r="W1054" s="6" t="str">
        <f ca="1">IFERROR(__xludf.DUMMYFUNCTION("""COMPUTED_VALUE"""),"Invite Next Year")</f>
        <v>Invite Next Year</v>
      </c>
    </row>
    <row r="1055" spans="1:23">
      <c r="A1055" s="6" t="str">
        <f ca="1">IFERROR(__xludf.DUMMYFUNCTION("""COMPUTED_VALUE"""),"Woman, Woman, Man")</f>
        <v>Woman, Woman, Man</v>
      </c>
      <c r="B1055" s="6" t="str">
        <f ca="1">IFERROR(__xludf.DUMMYFUNCTION("""COMPUTED_VALUE"""),"Bosque Foods _2022")</f>
        <v>Bosque Foods _2022</v>
      </c>
      <c r="C1055" s="6" t="str">
        <f ca="1">IFERROR(__xludf.DUMMYFUNCTION("""COMPUTED_VALUE"""),"Deep Tech")</f>
        <v>Deep Tech</v>
      </c>
      <c r="D1055" s="6" t="str">
        <f ca="1">IFERROR(__xludf.DUMMYFUNCTION("""COMPUTED_VALUE"""),"Kismet Labs, Inc. 2409 BENTWATER DR W, JACKSONVILLE, FL, 32246 - 5131 (incorporated in Delaware, US) / and Bosque Foods GmbH, Husemannstr. 5, 10435 Berlin GERMANY (EU Lab), FL 
United States")</f>
        <v>Kismet Labs, Inc. 2409 BENTWATER DR W, JACKSONVILLE, FL, 32246 - 5131 (incorporated in Delaware, US) / and Bosque Foods GmbH, Husemannstr. 5, 10435 Berlin GERMANY (EU Lab), FL 
United States</v>
      </c>
      <c r="E1055" s="6" t="str">
        <f ca="1">IFERROR(__xludf.DUMMYFUNCTION("""COMPUTED_VALUE"""),"East Coast")</f>
        <v>East Coast</v>
      </c>
      <c r="F1055" s="6" t="str">
        <f ca="1">IFERROR(__xludf.DUMMYFUNCTION("""COMPUTED_VALUE"""),"Woman")</f>
        <v>Woman</v>
      </c>
      <c r="G1055" s="6" t="str">
        <f ca="1">IFERROR(__xludf.DUMMYFUNCTION("""COMPUTED_VALUE"""),"Woman")</f>
        <v>Woman</v>
      </c>
      <c r="H1055" s="6" t="str">
        <f ca="1">IFERROR(__xludf.DUMMYFUNCTION("""COMPUTED_VALUE"""),"Man")</f>
        <v>Man</v>
      </c>
      <c r="I1055" s="6"/>
      <c r="J1055" s="6"/>
      <c r="K1055" s="6"/>
      <c r="L1055" s="6" t="str">
        <f ca="1">IFERROR(__xludf.DUMMYFUNCTION("""COMPUTED_VALUE"""),"No")</f>
        <v>No</v>
      </c>
      <c r="M1055" s="6"/>
      <c r="N1055" s="6"/>
      <c r="O1055" s="6" t="str">
        <f ca="1">IFERROR(__xludf.DUMMYFUNCTION("""COMPUTED_VALUE"""),"Email")</f>
        <v>Email</v>
      </c>
      <c r="P1055" s="6"/>
      <c r="Q1055" s="6" t="str">
        <f ca="1">IFERROR(__xludf.DUMMYFUNCTION("""COMPUTED_VALUE"""),"No")</f>
        <v>No</v>
      </c>
      <c r="R1055" s="6">
        <f ca="1">IFERROR(__xludf.DUMMYFUNCTION("""COMPUTED_VALUE"""),3)</f>
        <v>3</v>
      </c>
      <c r="S1055" s="6" t="str">
        <f ca="1">IFERROR(__xludf.DUMMYFUNCTION("""COMPUTED_VALUE"""),"Pre-seed
Seed
Debt financing")</f>
        <v>Pre-seed
Seed
Debt financing</v>
      </c>
      <c r="T1055" s="6" t="str">
        <f ca="1">IFERROR(__xludf.DUMMYFUNCTION("""COMPUTED_VALUE"""),"Pre-seed, Seed, Debt financing")</f>
        <v>Pre-seed, Seed, Debt financing</v>
      </c>
      <c r="U1055" s="6" t="str">
        <f ca="1">IFERROR(__xludf.DUMMYFUNCTION("""COMPUTED_VALUE"""),"Pre-seed, Seed, Debt financing")</f>
        <v>Pre-seed, Seed, Debt financing</v>
      </c>
      <c r="V1055" s="6"/>
      <c r="W1055" s="6" t="str">
        <f ca="1">IFERROR(__xludf.DUMMYFUNCTION("""COMPUTED_VALUE"""),"Invite")</f>
        <v>Invite</v>
      </c>
    </row>
    <row r="1056" spans="1:23">
      <c r="A1056" s="6" t="str">
        <f ca="1">IFERROR(__xludf.DUMMYFUNCTION("""COMPUTED_VALUE"""),"Man, Man, Man")</f>
        <v>Man, Man, Man</v>
      </c>
      <c r="B1056" s="6" t="str">
        <f ca="1">IFERROR(__xludf.DUMMYFUNCTION("""COMPUTED_VALUE"""),"Immergo Labs, Inc. _2022")</f>
        <v>Immergo Labs, Inc. _2022</v>
      </c>
      <c r="C1056" s="6" t="str">
        <f ca="1">IFERROR(__xludf.DUMMYFUNCTION("""COMPUTED_VALUE"""),"Digital Tech")</f>
        <v>Digital Tech</v>
      </c>
      <c r="D1056" s="6" t="str">
        <f ca="1">IFERROR(__xludf.DUMMYFUNCTION("""COMPUTED_VALUE"""),"Santa Cruz, CA 
United States")</f>
        <v>Santa Cruz, CA 
United States</v>
      </c>
      <c r="E1056" s="6" t="str">
        <f ca="1">IFERROR(__xludf.DUMMYFUNCTION("""COMPUTED_VALUE"""),"West Coast")</f>
        <v>West Coast</v>
      </c>
      <c r="F1056" s="6" t="str">
        <f ca="1">IFERROR(__xludf.DUMMYFUNCTION("""COMPUTED_VALUE"""),"Man")</f>
        <v>Man</v>
      </c>
      <c r="G1056" s="6" t="str">
        <f ca="1">IFERROR(__xludf.DUMMYFUNCTION("""COMPUTED_VALUE"""),"Man")</f>
        <v>Man</v>
      </c>
      <c r="H1056" s="6" t="str">
        <f ca="1">IFERROR(__xludf.DUMMYFUNCTION("""COMPUTED_VALUE"""),"Man")</f>
        <v>Man</v>
      </c>
      <c r="I1056" s="6"/>
      <c r="J1056" s="6"/>
      <c r="K1056" s="6"/>
      <c r="L1056" s="6" t="str">
        <f ca="1">IFERROR(__xludf.DUMMYFUNCTION("""COMPUTED_VALUE"""),"--Please select--")</f>
        <v>--Please select--</v>
      </c>
      <c r="M1056" s="6"/>
      <c r="N1056" s="6"/>
      <c r="O1056" s="6" t="str">
        <f ca="1">IFERROR(__xludf.DUMMYFUNCTION("""COMPUTED_VALUE"""),"Email")</f>
        <v>Email</v>
      </c>
      <c r="P1056" s="6"/>
      <c r="Q1056" s="6" t="str">
        <f ca="1">IFERROR(__xludf.DUMMYFUNCTION("""COMPUTED_VALUE"""),"No")</f>
        <v>No</v>
      </c>
      <c r="R1056" s="6">
        <f ca="1">IFERROR(__xludf.DUMMYFUNCTION("""COMPUTED_VALUE"""),3)</f>
        <v>3</v>
      </c>
      <c r="S1056" s="6" t="str">
        <f ca="1">IFERROR(__xludf.DUMMYFUNCTION("""COMPUTED_VALUE"""),"Pre-seed")</f>
        <v>Pre-seed</v>
      </c>
      <c r="T1056" s="6" t="str">
        <f ca="1">IFERROR(__xludf.DUMMYFUNCTION("""COMPUTED_VALUE"""),"Pre-seed")</f>
        <v>Pre-seed</v>
      </c>
      <c r="U1056" s="6" t="str">
        <f ca="1">IFERROR(__xludf.DUMMYFUNCTION("""COMPUTED_VALUE"""),"Pre-seed")</f>
        <v>Pre-seed</v>
      </c>
      <c r="V1056" s="6"/>
      <c r="W1056" s="6" t="str">
        <f ca="1">IFERROR(__xludf.DUMMYFUNCTION("""COMPUTED_VALUE"""),"Invite Next Year")</f>
        <v>Invite Next Year</v>
      </c>
    </row>
    <row r="1057" spans="1:23">
      <c r="A1057" s="6" t="str">
        <f ca="1">IFERROR(__xludf.DUMMYFUNCTION("""COMPUTED_VALUE"""),"Woman, Man, Man, Woman")</f>
        <v>Woman, Man, Man, Woman</v>
      </c>
      <c r="B1057" s="6" t="str">
        <f ca="1">IFERROR(__xludf.DUMMYFUNCTION("""COMPUTED_VALUE"""),"Nano PharmaSolutions, Inc. _2022")</f>
        <v>Nano PharmaSolutions, Inc. _2022</v>
      </c>
      <c r="C1057" s="6" t="str">
        <f ca="1">IFERROR(__xludf.DUMMYFUNCTION("""COMPUTED_VALUE"""),"Life Sciences")</f>
        <v>Life Sciences</v>
      </c>
      <c r="D1057" s="6" t="str">
        <f ca="1">IFERROR(__xludf.DUMMYFUNCTION("""COMPUTED_VALUE"""),"9853 Pacific Heights Blvd., Suite O, San Diego, California 
United States")</f>
        <v>9853 Pacific Heights Blvd., Suite O, San Diego, California 
United States</v>
      </c>
      <c r="E1057" s="6" t="str">
        <f ca="1">IFERROR(__xludf.DUMMYFUNCTION("""COMPUTED_VALUE"""),"West Coast")</f>
        <v>West Coast</v>
      </c>
      <c r="F1057" s="6" t="str">
        <f ca="1">IFERROR(__xludf.DUMMYFUNCTION("""COMPUTED_VALUE"""),"Woman")</f>
        <v>Woman</v>
      </c>
      <c r="G1057" s="6" t="str">
        <f ca="1">IFERROR(__xludf.DUMMYFUNCTION("""COMPUTED_VALUE"""),"Man")</f>
        <v>Man</v>
      </c>
      <c r="H1057" s="6" t="str">
        <f ca="1">IFERROR(__xludf.DUMMYFUNCTION("""COMPUTED_VALUE"""),"Man")</f>
        <v>Man</v>
      </c>
      <c r="I1057" s="6" t="str">
        <f ca="1">IFERROR(__xludf.DUMMYFUNCTION("""COMPUTED_VALUE"""),"Woman")</f>
        <v>Woman</v>
      </c>
      <c r="J1057" s="6"/>
      <c r="K1057" s="6"/>
      <c r="L1057" s="6" t="str">
        <f ca="1">IFERROR(__xludf.DUMMYFUNCTION("""COMPUTED_VALUE"""),"No")</f>
        <v>No</v>
      </c>
      <c r="M1057" s="6"/>
      <c r="N1057" s="6"/>
      <c r="O1057" s="6" t="str">
        <f ca="1">IFERROR(__xludf.DUMMYFUNCTION("""COMPUTED_VALUE"""),"Email")</f>
        <v>Email</v>
      </c>
      <c r="P1057" s="6"/>
      <c r="Q1057" s="6" t="str">
        <f ca="1">IFERROR(__xludf.DUMMYFUNCTION("""COMPUTED_VALUE"""),"No")</f>
        <v>No</v>
      </c>
      <c r="R1057" s="6">
        <f ca="1">IFERROR(__xludf.DUMMYFUNCTION("""COMPUTED_VALUE"""),4)</f>
        <v>4</v>
      </c>
      <c r="S1057" s="6" t="str">
        <f ca="1">IFERROR(__xludf.DUMMYFUNCTION("""COMPUTED_VALUE"""),"Pre-seed
Grants")</f>
        <v>Pre-seed
Grants</v>
      </c>
      <c r="T1057" s="6" t="str">
        <f ca="1">IFERROR(__xludf.DUMMYFUNCTION("""COMPUTED_VALUE"""),"Pre-seed, Grants")</f>
        <v>Pre-seed, Grants</v>
      </c>
      <c r="U1057" s="6" t="str">
        <f ca="1">IFERROR(__xludf.DUMMYFUNCTION("""COMPUTED_VALUE"""),"Pre-seed, Grants")</f>
        <v>Pre-seed, Grants</v>
      </c>
      <c r="V1057" s="6"/>
      <c r="W1057" s="6" t="str">
        <f ca="1">IFERROR(__xludf.DUMMYFUNCTION("""COMPUTED_VALUE"""),"Invite")</f>
        <v>Invite</v>
      </c>
    </row>
    <row r="1058" spans="1:23">
      <c r="A1058" s="6" t="str">
        <f ca="1">IFERROR(__xludf.DUMMYFUNCTION("""COMPUTED_VALUE"""),"Man")</f>
        <v>Man</v>
      </c>
      <c r="B1058" s="6" t="str">
        <f ca="1">IFERROR(__xludf.DUMMYFUNCTION("""COMPUTED_VALUE"""),"equitest _2022")</f>
        <v>equitest _2022</v>
      </c>
      <c r="C1058" s="6" t="str">
        <f ca="1">IFERROR(__xludf.DUMMYFUNCTION("""COMPUTED_VALUE"""),"Digital Tech")</f>
        <v>Digital Tech</v>
      </c>
      <c r="D1058" s="6" t="str">
        <f ca="1">IFERROR(__xludf.DUMMYFUNCTION("""COMPUTED_VALUE"""),"Hod Hasharon, Hamerkaz 
Israel")</f>
        <v>Hod Hasharon, Hamerkaz 
Israel</v>
      </c>
      <c r="E1058" s="6" t="str">
        <f ca="1">IFERROR(__xludf.DUMMYFUNCTION("""COMPUTED_VALUE"""),"International - Middle East")</f>
        <v>International - Middle East</v>
      </c>
      <c r="F1058" s="6" t="str">
        <f ca="1">IFERROR(__xludf.DUMMYFUNCTION("""COMPUTED_VALUE"""),"Man")</f>
        <v>Man</v>
      </c>
      <c r="G1058" s="6"/>
      <c r="H1058" s="6"/>
      <c r="I1058" s="6"/>
      <c r="J1058" s="6"/>
      <c r="K1058" s="6"/>
      <c r="L1058" s="6" t="str">
        <f ca="1">IFERROR(__xludf.DUMMYFUNCTION("""COMPUTED_VALUE"""),"No")</f>
        <v>No</v>
      </c>
      <c r="M1058" s="6"/>
      <c r="N1058" s="6"/>
      <c r="O1058" s="6" t="str">
        <f ca="1">IFERROR(__xludf.DUMMYFUNCTION("""COMPUTED_VALUE"""),"Other")</f>
        <v>Other</v>
      </c>
      <c r="P1058" s="6"/>
      <c r="Q1058" s="6" t="str">
        <f ca="1">IFERROR(__xludf.DUMMYFUNCTION("""COMPUTED_VALUE"""),"No")</f>
        <v>No</v>
      </c>
      <c r="R1058" s="6">
        <f ca="1">IFERROR(__xludf.DUMMYFUNCTION("""COMPUTED_VALUE"""),1)</f>
        <v>1</v>
      </c>
      <c r="S1058" s="6" t="str">
        <f ca="1">IFERROR(__xludf.DUMMYFUNCTION("""COMPUTED_VALUE"""),"None")</f>
        <v>None</v>
      </c>
      <c r="T1058" s="6" t="str">
        <f ca="1">IFERROR(__xludf.DUMMYFUNCTION("""COMPUTED_VALUE"""),"None")</f>
        <v>None</v>
      </c>
      <c r="U1058" s="6" t="str">
        <f ca="1">IFERROR(__xludf.DUMMYFUNCTION("""COMPUTED_VALUE"""),"None")</f>
        <v>None</v>
      </c>
      <c r="V1058" s="6"/>
      <c r="W1058" s="6" t="str">
        <f ca="1">IFERROR(__xludf.DUMMYFUNCTION("""COMPUTED_VALUE"""),"Invite Next Year")</f>
        <v>Invite Next Year</v>
      </c>
    </row>
    <row r="1059" spans="1:23">
      <c r="A1059" s="6" t="str">
        <f ca="1">IFERROR(__xludf.DUMMYFUNCTION("""COMPUTED_VALUE"""),"Man")</f>
        <v>Man</v>
      </c>
      <c r="B1059" s="6" t="str">
        <f ca="1">IFERROR(__xludf.DUMMYFUNCTION("""COMPUTED_VALUE"""),"Mirror World _2022")</f>
        <v>Mirror World _2022</v>
      </c>
      <c r="C1059" s="6" t="str">
        <f ca="1">IFERROR(__xludf.DUMMYFUNCTION("""COMPUTED_VALUE"""),"Digital Tech")</f>
        <v>Digital Tech</v>
      </c>
      <c r="D1059" s="6" t="str">
        <f ca="1">IFERROR(__xludf.DUMMYFUNCTION("""COMPUTED_VALUE"""),"Panama City, Panama 
Panama")</f>
        <v>Panama City, Panama 
Panama</v>
      </c>
      <c r="E1059" s="6" t="str">
        <f ca="1">IFERROR(__xludf.DUMMYFUNCTION("""COMPUTED_VALUE"""),"International - Americas")</f>
        <v>International - Americas</v>
      </c>
      <c r="F1059" s="6" t="str">
        <f ca="1">IFERROR(__xludf.DUMMYFUNCTION("""COMPUTED_VALUE"""),"Man")</f>
        <v>Man</v>
      </c>
      <c r="G1059" s="6"/>
      <c r="H1059" s="6"/>
      <c r="I1059" s="6"/>
      <c r="J1059" s="6"/>
      <c r="K1059" s="6"/>
      <c r="L1059" s="6" t="str">
        <f ca="1">IFERROR(__xludf.DUMMYFUNCTION("""COMPUTED_VALUE"""),"Yes")</f>
        <v>Yes</v>
      </c>
      <c r="M1059" s="6" t="str">
        <f ca="1">IFERROR(__xludf.DUMMYFUNCTION("""COMPUTED_VALUE"""),"--Please select--")</f>
        <v>--Please select--</v>
      </c>
      <c r="N1059" s="6"/>
      <c r="O1059" s="6" t="str">
        <f ca="1">IFERROR(__xludf.DUMMYFUNCTION("""COMPUTED_VALUE"""),"Other")</f>
        <v>Other</v>
      </c>
      <c r="P1059" s="6"/>
      <c r="Q1059" s="6" t="str">
        <f ca="1">IFERROR(__xludf.DUMMYFUNCTION("""COMPUTED_VALUE"""),"No")</f>
        <v>No</v>
      </c>
      <c r="R1059" s="6">
        <f ca="1">IFERROR(__xludf.DUMMYFUNCTION("""COMPUTED_VALUE"""),1)</f>
        <v>1</v>
      </c>
      <c r="S1059" s="6" t="str">
        <f ca="1">IFERROR(__xludf.DUMMYFUNCTION("""COMPUTED_VALUE"""),"Seed")</f>
        <v>Seed</v>
      </c>
      <c r="T1059" s="6" t="str">
        <f ca="1">IFERROR(__xludf.DUMMYFUNCTION("""COMPUTED_VALUE"""),"Seed")</f>
        <v>Seed</v>
      </c>
      <c r="U1059" s="6" t="str">
        <f ca="1">IFERROR(__xludf.DUMMYFUNCTION("""COMPUTED_VALUE"""),"Seed")</f>
        <v>Seed</v>
      </c>
      <c r="V1059" s="6"/>
      <c r="W1059" s="6" t="str">
        <f ca="1">IFERROR(__xludf.DUMMYFUNCTION("""COMPUTED_VALUE"""),"Invite Next Year")</f>
        <v>Invite Next Year</v>
      </c>
    </row>
    <row r="1060" spans="1:23">
      <c r="A1060" s="6" t="str">
        <f ca="1">IFERROR(__xludf.DUMMYFUNCTION("""COMPUTED_VALUE"""),"Woman, Man")</f>
        <v>Woman, Man</v>
      </c>
      <c r="B1060" s="6" t="str">
        <f ca="1">IFERROR(__xludf.DUMMYFUNCTION("""COMPUTED_VALUE"""),"Electra Beverages &amp; Nutritionals, LLC _2022")</f>
        <v>Electra Beverages &amp; Nutritionals, LLC _2022</v>
      </c>
      <c r="C1060" s="6" t="str">
        <f ca="1">IFERROR(__xludf.DUMMYFUNCTION("""COMPUTED_VALUE"""),"Life Sciences")</f>
        <v>Life Sciences</v>
      </c>
      <c r="D1060" s="6" t="str">
        <f ca="1">IFERROR(__xludf.DUMMYFUNCTION("""COMPUTED_VALUE"""),"Austin, TX 
United States")</f>
        <v>Austin, TX 
United States</v>
      </c>
      <c r="E1060" s="6" t="str">
        <f ca="1">IFERROR(__xludf.DUMMYFUNCTION("""COMPUTED_VALUE"""),"South")</f>
        <v>South</v>
      </c>
      <c r="F1060" s="6" t="str">
        <f ca="1">IFERROR(__xludf.DUMMYFUNCTION("""COMPUTED_VALUE"""),"Woman")</f>
        <v>Woman</v>
      </c>
      <c r="G1060" s="6" t="str">
        <f ca="1">IFERROR(__xludf.DUMMYFUNCTION("""COMPUTED_VALUE"""),"Man")</f>
        <v>Man</v>
      </c>
      <c r="H1060" s="6"/>
      <c r="I1060" s="6"/>
      <c r="J1060" s="6"/>
      <c r="K1060" s="6"/>
      <c r="L1060" s="6" t="str">
        <f ca="1">IFERROR(__xludf.DUMMYFUNCTION("""COMPUTED_VALUE"""),"No")</f>
        <v>No</v>
      </c>
      <c r="M1060" s="6"/>
      <c r="N1060" s="6"/>
      <c r="O1060" s="6" t="str">
        <f ca="1">IFERROR(__xludf.DUMMYFUNCTION("""COMPUTED_VALUE"""),"Email")</f>
        <v>Email</v>
      </c>
      <c r="P1060" s="6"/>
      <c r="Q1060" s="6" t="str">
        <f ca="1">IFERROR(__xludf.DUMMYFUNCTION("""COMPUTED_VALUE"""),"No")</f>
        <v>No</v>
      </c>
      <c r="R1060" s="6">
        <f ca="1">IFERROR(__xludf.DUMMYFUNCTION("""COMPUTED_VALUE"""),2)</f>
        <v>2</v>
      </c>
      <c r="S1060" s="6" t="str">
        <f ca="1">IFERROR(__xludf.DUMMYFUNCTION("""COMPUTED_VALUE"""),"Pre-seed
Seed")</f>
        <v>Pre-seed
Seed</v>
      </c>
      <c r="T1060" s="6" t="str">
        <f ca="1">IFERROR(__xludf.DUMMYFUNCTION("""COMPUTED_VALUE"""),"Pre-seed, Seed")</f>
        <v>Pre-seed, Seed</v>
      </c>
      <c r="U1060" s="6" t="str">
        <f ca="1">IFERROR(__xludf.DUMMYFUNCTION("""COMPUTED_VALUE"""),"Pre-seed, Seed")</f>
        <v>Pre-seed, Seed</v>
      </c>
      <c r="V1060" s="6"/>
      <c r="W1060" s="6" t="str">
        <f ca="1">IFERROR(__xludf.DUMMYFUNCTION("""COMPUTED_VALUE"""),"Invite Next Year")</f>
        <v>Invite Next Year</v>
      </c>
    </row>
    <row r="1061" spans="1:23">
      <c r="A1061" s="6" t="str">
        <f ca="1">IFERROR(__xludf.DUMMYFUNCTION("""COMPUTED_VALUE"""),"Man, Woman, Man, Man")</f>
        <v>Man, Woman, Man, Man</v>
      </c>
      <c r="B1061" s="6" t="str">
        <f ca="1">IFERROR(__xludf.DUMMYFUNCTION("""COMPUTED_VALUE"""),"AiroSolve _2022")</f>
        <v>AiroSolve _2022</v>
      </c>
      <c r="C1061" s="6" t="str">
        <f ca="1">IFERROR(__xludf.DUMMYFUNCTION("""COMPUTED_VALUE"""),"Life Sciences")</f>
        <v>Life Sciences</v>
      </c>
      <c r="D1061" s="6" t="str">
        <f ca="1">IFERROR(__xludf.DUMMYFUNCTION("""COMPUTED_VALUE"""),"1001 Gayley Avenue, Los Angeles, California 
United States")</f>
        <v>1001 Gayley Avenue, Los Angeles, California 
United States</v>
      </c>
      <c r="E1061" s="6" t="str">
        <f ca="1">IFERROR(__xludf.DUMMYFUNCTION("""COMPUTED_VALUE"""),"West Coast")</f>
        <v>West Coast</v>
      </c>
      <c r="F1061" s="6" t="str">
        <f ca="1">IFERROR(__xludf.DUMMYFUNCTION("""COMPUTED_VALUE"""),"Man")</f>
        <v>Man</v>
      </c>
      <c r="G1061" s="6" t="str">
        <f ca="1">IFERROR(__xludf.DUMMYFUNCTION("""COMPUTED_VALUE"""),"Woman")</f>
        <v>Woman</v>
      </c>
      <c r="H1061" s="6" t="str">
        <f ca="1">IFERROR(__xludf.DUMMYFUNCTION("""COMPUTED_VALUE"""),"Man")</f>
        <v>Man</v>
      </c>
      <c r="I1061" s="6" t="str">
        <f ca="1">IFERROR(__xludf.DUMMYFUNCTION("""COMPUTED_VALUE"""),"Man")</f>
        <v>Man</v>
      </c>
      <c r="J1061" s="6"/>
      <c r="K1061" s="6"/>
      <c r="L1061" s="6" t="str">
        <f ca="1">IFERROR(__xludf.DUMMYFUNCTION("""COMPUTED_VALUE"""),"No")</f>
        <v>No</v>
      </c>
      <c r="M1061" s="6"/>
      <c r="N1061" s="6"/>
      <c r="O1061" s="6" t="str">
        <f ca="1">IFERROR(__xludf.DUMMYFUNCTION("""COMPUTED_VALUE"""),"Other")</f>
        <v>Other</v>
      </c>
      <c r="P1061" s="6"/>
      <c r="Q1061" s="6" t="str">
        <f ca="1">IFERROR(__xludf.DUMMYFUNCTION("""COMPUTED_VALUE"""),"No")</f>
        <v>No</v>
      </c>
      <c r="R1061" s="6">
        <f ca="1">IFERROR(__xludf.DUMMYFUNCTION("""COMPUTED_VALUE"""),4)</f>
        <v>4</v>
      </c>
      <c r="S1061" s="6" t="str">
        <f ca="1">IFERROR(__xludf.DUMMYFUNCTION("""COMPUTED_VALUE"""),"Pre-seed")</f>
        <v>Pre-seed</v>
      </c>
      <c r="T1061" s="6" t="str">
        <f ca="1">IFERROR(__xludf.DUMMYFUNCTION("""COMPUTED_VALUE"""),"Pre-seed")</f>
        <v>Pre-seed</v>
      </c>
      <c r="U1061" s="6" t="str">
        <f ca="1">IFERROR(__xludf.DUMMYFUNCTION("""COMPUTED_VALUE"""),"Pre-seed")</f>
        <v>Pre-seed</v>
      </c>
      <c r="V1061" s="6"/>
      <c r="W1061" s="6" t="str">
        <f ca="1">IFERROR(__xludf.DUMMYFUNCTION("""COMPUTED_VALUE"""),"Invite Next Year")</f>
        <v>Invite Next Year</v>
      </c>
    </row>
    <row r="1062" spans="1:23">
      <c r="A1062" s="6" t="str">
        <f ca="1">IFERROR(__xludf.DUMMYFUNCTION("""COMPUTED_VALUE"""),"Man")</f>
        <v>Man</v>
      </c>
      <c r="B1062" s="6" t="str">
        <f ca="1">IFERROR(__xludf.DUMMYFUNCTION("""COMPUTED_VALUE"""),"Primary Assembly _2022")</f>
        <v>Primary Assembly _2022</v>
      </c>
      <c r="C1062" s="6" t="str">
        <f ca="1">IFERROR(__xludf.DUMMYFUNCTION("""COMPUTED_VALUE"""),"Digital Tech")</f>
        <v>Digital Tech</v>
      </c>
      <c r="D1062" s="6" t="str">
        <f ca="1">IFERROR(__xludf.DUMMYFUNCTION("""COMPUTED_VALUE"""),"New York, NY 
United States")</f>
        <v>New York, NY 
United States</v>
      </c>
      <c r="E1062" s="6" t="str">
        <f ca="1">IFERROR(__xludf.DUMMYFUNCTION("""COMPUTED_VALUE"""),"New York")</f>
        <v>New York</v>
      </c>
      <c r="F1062" s="6" t="str">
        <f ca="1">IFERROR(__xludf.DUMMYFUNCTION("""COMPUTED_VALUE"""),"Man")</f>
        <v>Man</v>
      </c>
      <c r="G1062" s="6"/>
      <c r="H1062" s="6"/>
      <c r="I1062" s="6"/>
      <c r="J1062" s="6"/>
      <c r="K1062" s="6"/>
      <c r="L1062" s="6" t="str">
        <f ca="1">IFERROR(__xludf.DUMMYFUNCTION("""COMPUTED_VALUE"""),"Yes")</f>
        <v>Yes</v>
      </c>
      <c r="M1062" s="6" t="str">
        <f ca="1">IFERROR(__xludf.DUMMYFUNCTION("""COMPUTED_VALUE"""),"NYU Student")</f>
        <v>NYU Student</v>
      </c>
      <c r="N1062" s="6"/>
      <c r="O1062" s="6" t="str">
        <f ca="1">IFERROR(__xludf.DUMMYFUNCTION("""COMPUTED_VALUE"""),"Email")</f>
        <v>Email</v>
      </c>
      <c r="P1062" s="6"/>
      <c r="Q1062" s="6" t="str">
        <f ca="1">IFERROR(__xludf.DUMMYFUNCTION("""COMPUTED_VALUE"""),"No")</f>
        <v>No</v>
      </c>
      <c r="R1062" s="6">
        <f ca="1">IFERROR(__xludf.DUMMYFUNCTION("""COMPUTED_VALUE"""),1)</f>
        <v>1</v>
      </c>
      <c r="S1062" s="6" t="str">
        <f ca="1">IFERROR(__xludf.DUMMYFUNCTION("""COMPUTED_VALUE"""),"Grants")</f>
        <v>Grants</v>
      </c>
      <c r="T1062" s="6" t="str">
        <f ca="1">IFERROR(__xludf.DUMMYFUNCTION("""COMPUTED_VALUE"""),"Grants")</f>
        <v>Grants</v>
      </c>
      <c r="U1062" s="6" t="str">
        <f ca="1">IFERROR(__xludf.DUMMYFUNCTION("""COMPUTED_VALUE"""),"Grants")</f>
        <v>Grants</v>
      </c>
      <c r="V1062" s="6"/>
      <c r="W1062" s="6" t="str">
        <f ca="1">IFERROR(__xludf.DUMMYFUNCTION("""COMPUTED_VALUE"""),"Invite Next Year")</f>
        <v>Invite Next Year</v>
      </c>
    </row>
    <row r="1063" spans="1:23">
      <c r="A1063" s="6" t="str">
        <f ca="1">IFERROR(__xludf.DUMMYFUNCTION("""COMPUTED_VALUE"""),"Woman")</f>
        <v>Woman</v>
      </c>
      <c r="B1063" s="6" t="str">
        <f ca="1">IFERROR(__xludf.DUMMYFUNCTION("""COMPUTED_VALUE"""),"Al-Hadi International Trading (SMC-Private) Limited _2022")</f>
        <v>Al-Hadi International Trading (SMC-Private) Limited _2022</v>
      </c>
      <c r="C1063" s="6" t="str">
        <f ca="1">IFERROR(__xludf.DUMMYFUNCTION("""COMPUTED_VALUE"""),"Digital Tech")</f>
        <v>Digital Tech</v>
      </c>
      <c r="D1063" s="6" t="str">
        <f ca="1">IFERROR(__xludf.DUMMYFUNCTION("""COMPUTED_VALUE"""),"Islamabad, Punjab 
Pakistan")</f>
        <v>Islamabad, Punjab 
Pakistan</v>
      </c>
      <c r="E1063" s="6" t="str">
        <f ca="1">IFERROR(__xludf.DUMMYFUNCTION("""COMPUTED_VALUE"""),"International - Asia")</f>
        <v>International - Asia</v>
      </c>
      <c r="F1063" s="6" t="str">
        <f ca="1">IFERROR(__xludf.DUMMYFUNCTION("""COMPUTED_VALUE"""),"Woman")</f>
        <v>Woman</v>
      </c>
      <c r="G1063" s="6"/>
      <c r="H1063" s="6"/>
      <c r="I1063" s="6"/>
      <c r="J1063" s="6"/>
      <c r="K1063" s="6"/>
      <c r="L1063" s="6" t="str">
        <f ca="1">IFERROR(__xludf.DUMMYFUNCTION("""COMPUTED_VALUE"""),"Yes")</f>
        <v>Yes</v>
      </c>
      <c r="M1063" s="6" t="str">
        <f ca="1">IFERROR(__xludf.DUMMYFUNCTION("""COMPUTED_VALUE"""),"Other (please specify)")</f>
        <v>Other (please specify)</v>
      </c>
      <c r="N1063" s="6" t="str">
        <f ca="1">IFERROR(__xludf.DUMMYFUNCTION("""COMPUTED_VALUE"""),"Contract staff")</f>
        <v>Contract staff</v>
      </c>
      <c r="O1063" s="6" t="str">
        <f ca="1">IFERROR(__xludf.DUMMYFUNCTION("""COMPUTED_VALUE"""),"Email")</f>
        <v>Email</v>
      </c>
      <c r="P1063" s="6"/>
      <c r="Q1063" s="6" t="str">
        <f ca="1">IFERROR(__xludf.DUMMYFUNCTION("""COMPUTED_VALUE"""),"No")</f>
        <v>No</v>
      </c>
      <c r="R1063" s="6">
        <f ca="1">IFERROR(__xludf.DUMMYFUNCTION("""COMPUTED_VALUE"""),1)</f>
        <v>1</v>
      </c>
      <c r="S1063" s="6" t="str">
        <f ca="1">IFERROR(__xludf.DUMMYFUNCTION("""COMPUTED_VALUE"""),"Debt financing
Grants")</f>
        <v>Debt financing
Grants</v>
      </c>
      <c r="T1063" s="6" t="str">
        <f ca="1">IFERROR(__xludf.DUMMYFUNCTION("""COMPUTED_VALUE"""),"Debt financing, Grants")</f>
        <v>Debt financing, Grants</v>
      </c>
      <c r="U1063" s="6" t="str">
        <f ca="1">IFERROR(__xludf.DUMMYFUNCTION("""COMPUTED_VALUE"""),"Debt financing, Grants")</f>
        <v>Debt financing, Grants</v>
      </c>
      <c r="V1063" s="6"/>
      <c r="W1063" s="6" t="str">
        <f ca="1">IFERROR(__xludf.DUMMYFUNCTION("""COMPUTED_VALUE"""),"Invite Next Year")</f>
        <v>Invite Next Year</v>
      </c>
    </row>
    <row r="1064" spans="1:23">
      <c r="A1064" s="6" t="str">
        <f ca="1">IFERROR(__xludf.DUMMYFUNCTION("""COMPUTED_VALUE"""),"Man")</f>
        <v>Man</v>
      </c>
      <c r="B1064" s="6" t="str">
        <f ca="1">IFERROR(__xludf.DUMMYFUNCTION("""COMPUTED_VALUE"""),"OpenPie.com _2022")</f>
        <v>OpenPie.com _2022</v>
      </c>
      <c r="C1064" s="6" t="str">
        <f ca="1">IFERROR(__xludf.DUMMYFUNCTION("""COMPUTED_VALUE"""),"Deep Tech")</f>
        <v>Deep Tech</v>
      </c>
      <c r="D1064" s="6" t="str">
        <f ca="1">IFERROR(__xludf.DUMMYFUNCTION("""COMPUTED_VALUE"""),"3081 Hongmei Rd, Shanghai, Shanghai 
China")</f>
        <v>3081 Hongmei Rd, Shanghai, Shanghai 
China</v>
      </c>
      <c r="E1064" s="6" t="str">
        <f ca="1">IFERROR(__xludf.DUMMYFUNCTION("""COMPUTED_VALUE"""),"International - Asia")</f>
        <v>International - Asia</v>
      </c>
      <c r="F1064" s="6" t="str">
        <f ca="1">IFERROR(__xludf.DUMMYFUNCTION("""COMPUTED_VALUE"""),"Man")</f>
        <v>Man</v>
      </c>
      <c r="G1064" s="6"/>
      <c r="H1064" s="6"/>
      <c r="I1064" s="6"/>
      <c r="J1064" s="6"/>
      <c r="K1064" s="6"/>
      <c r="L1064" s="6" t="str">
        <f ca="1">IFERROR(__xludf.DUMMYFUNCTION("""COMPUTED_VALUE"""),"No")</f>
        <v>No</v>
      </c>
      <c r="M1064" s="6"/>
      <c r="N1064" s="6"/>
      <c r="O1064" s="6" t="str">
        <f ca="1">IFERROR(__xludf.DUMMYFUNCTION("""COMPUTED_VALUE"""),"Email")</f>
        <v>Email</v>
      </c>
      <c r="P1064" s="6"/>
      <c r="Q1064" s="6" t="str">
        <f ca="1">IFERROR(__xludf.DUMMYFUNCTION("""COMPUTED_VALUE"""),"No")</f>
        <v>No</v>
      </c>
      <c r="R1064" s="6">
        <f ca="1">IFERROR(__xludf.DUMMYFUNCTION("""COMPUTED_VALUE"""),1)</f>
        <v>1</v>
      </c>
      <c r="S1064" s="6" t="str">
        <f ca="1">IFERROR(__xludf.DUMMYFUNCTION("""COMPUTED_VALUE"""),"Series A")</f>
        <v>Series A</v>
      </c>
      <c r="T1064" s="6" t="str">
        <f ca="1">IFERROR(__xludf.DUMMYFUNCTION("""COMPUTED_VALUE"""),"Series A")</f>
        <v>Series A</v>
      </c>
      <c r="U1064" s="6" t="str">
        <f ca="1">IFERROR(__xludf.DUMMYFUNCTION("""COMPUTED_VALUE"""),"Series A")</f>
        <v>Series A</v>
      </c>
      <c r="V1064" s="6"/>
      <c r="W1064" s="6" t="str">
        <f ca="1">IFERROR(__xludf.DUMMYFUNCTION("""COMPUTED_VALUE"""),"Invite Next Year")</f>
        <v>Invite Next Year</v>
      </c>
    </row>
    <row r="1065" spans="1:23">
      <c r="A1065" s="6" t="str">
        <f ca="1">IFERROR(__xludf.DUMMYFUNCTION("""COMPUTED_VALUE"""),"Man, Woman")</f>
        <v>Man, Woman</v>
      </c>
      <c r="B1065" s="6" t="str">
        <f ca="1">IFERROR(__xludf.DUMMYFUNCTION("""COMPUTED_VALUE"""),"Better World _2022")</f>
        <v>Better World _2022</v>
      </c>
      <c r="C1065" s="6" t="str">
        <f ca="1">IFERROR(__xludf.DUMMYFUNCTION("""COMPUTED_VALUE"""),"Digital Tech")</f>
        <v>Digital Tech</v>
      </c>
      <c r="D1065" s="6" t="str">
        <f ca="1">IFERROR(__xludf.DUMMYFUNCTION("""COMPUTED_VALUE"""),"New York, NY 
United States")</f>
        <v>New York, NY 
United States</v>
      </c>
      <c r="E1065" s="6" t="str">
        <f ca="1">IFERROR(__xludf.DUMMYFUNCTION("""COMPUTED_VALUE"""),"New York")</f>
        <v>New York</v>
      </c>
      <c r="F1065" s="6" t="str">
        <f ca="1">IFERROR(__xludf.DUMMYFUNCTION("""COMPUTED_VALUE"""),"Man")</f>
        <v>Man</v>
      </c>
      <c r="G1065" s="6" t="str">
        <f ca="1">IFERROR(__xludf.DUMMYFUNCTION("""COMPUTED_VALUE"""),"Woman")</f>
        <v>Woman</v>
      </c>
      <c r="H1065" s="6"/>
      <c r="I1065" s="6"/>
      <c r="J1065" s="6"/>
      <c r="K1065" s="6"/>
      <c r="L1065" s="6" t="str">
        <f ca="1">IFERROR(__xludf.DUMMYFUNCTION("""COMPUTED_VALUE"""),"No")</f>
        <v>No</v>
      </c>
      <c r="M1065" s="6"/>
      <c r="N1065" s="6"/>
      <c r="O1065" s="6" t="str">
        <f ca="1">IFERROR(__xludf.DUMMYFUNCTION("""COMPUTED_VALUE"""),"Referral")</f>
        <v>Referral</v>
      </c>
      <c r="P1065" s="6"/>
      <c r="Q1065" s="6" t="str">
        <f ca="1">IFERROR(__xludf.DUMMYFUNCTION("""COMPUTED_VALUE"""),"No")</f>
        <v>No</v>
      </c>
      <c r="R1065" s="6">
        <f ca="1">IFERROR(__xludf.DUMMYFUNCTION("""COMPUTED_VALUE"""),2)</f>
        <v>2</v>
      </c>
      <c r="S1065" s="6" t="str">
        <f ca="1">IFERROR(__xludf.DUMMYFUNCTION("""COMPUTED_VALUE"""),"Pre-seed")</f>
        <v>Pre-seed</v>
      </c>
      <c r="T1065" s="6" t="str">
        <f ca="1">IFERROR(__xludf.DUMMYFUNCTION("""COMPUTED_VALUE"""),"Pre-seed")</f>
        <v>Pre-seed</v>
      </c>
      <c r="U1065" s="6" t="str">
        <f ca="1">IFERROR(__xludf.DUMMYFUNCTION("""COMPUTED_VALUE"""),"Pre-seed")</f>
        <v>Pre-seed</v>
      </c>
      <c r="V1065" s="6"/>
      <c r="W1065" s="6" t="str">
        <f ca="1">IFERROR(__xludf.DUMMYFUNCTION("""COMPUTED_VALUE"""),"Invite Next Year")</f>
        <v>Invite Next Year</v>
      </c>
    </row>
    <row r="1066" spans="1:23">
      <c r="A1066" s="6" t="str">
        <f ca="1">IFERROR(__xludf.DUMMYFUNCTION("""COMPUTED_VALUE"""),"Man")</f>
        <v>Man</v>
      </c>
      <c r="B1066" s="6" t="str">
        <f ca="1">IFERROR(__xludf.DUMMYFUNCTION("""COMPUTED_VALUE"""),"Labocine _2022")</f>
        <v>Labocine _2022</v>
      </c>
      <c r="C1066" s="6" t="str">
        <f ca="1">IFERROR(__xludf.DUMMYFUNCTION("""COMPUTED_VALUE"""),"Digital Tech")</f>
        <v>Digital Tech</v>
      </c>
      <c r="D1066" s="6" t="str">
        <f ca="1">IFERROR(__xludf.DUMMYFUNCTION("""COMPUTED_VALUE"""),"Brooklyn, New York 
United States")</f>
        <v>Brooklyn, New York 
United States</v>
      </c>
      <c r="E1066" s="6" t="str">
        <f ca="1">IFERROR(__xludf.DUMMYFUNCTION("""COMPUTED_VALUE"""),"New York")</f>
        <v>New York</v>
      </c>
      <c r="F1066" s="6" t="str">
        <f ca="1">IFERROR(__xludf.DUMMYFUNCTION("""COMPUTED_VALUE"""),"Man")</f>
        <v>Man</v>
      </c>
      <c r="G1066" s="6"/>
      <c r="H1066" s="6"/>
      <c r="I1066" s="6"/>
      <c r="J1066" s="6"/>
      <c r="K1066" s="6"/>
      <c r="L1066" s="6" t="str">
        <f ca="1">IFERROR(__xludf.DUMMYFUNCTION("""COMPUTED_VALUE"""),"No")</f>
        <v>No</v>
      </c>
      <c r="M1066" s="6"/>
      <c r="N1066" s="6"/>
      <c r="O1066" s="6" t="str">
        <f ca="1">IFERROR(__xludf.DUMMYFUNCTION("""COMPUTED_VALUE"""),"Email")</f>
        <v>Email</v>
      </c>
      <c r="P1066" s="6"/>
      <c r="Q1066" s="6" t="str">
        <f ca="1">IFERROR(__xludf.DUMMYFUNCTION("""COMPUTED_VALUE"""),"No")</f>
        <v>No</v>
      </c>
      <c r="R1066" s="6">
        <f ca="1">IFERROR(__xludf.DUMMYFUNCTION("""COMPUTED_VALUE"""),1)</f>
        <v>1</v>
      </c>
      <c r="S1066" s="6" t="str">
        <f ca="1">IFERROR(__xludf.DUMMYFUNCTION("""COMPUTED_VALUE"""),"Pre-seed")</f>
        <v>Pre-seed</v>
      </c>
      <c r="T1066" s="6" t="str">
        <f ca="1">IFERROR(__xludf.DUMMYFUNCTION("""COMPUTED_VALUE"""),"Pre-seed")</f>
        <v>Pre-seed</v>
      </c>
      <c r="U1066" s="6" t="str">
        <f ca="1">IFERROR(__xludf.DUMMYFUNCTION("""COMPUTED_VALUE"""),"Pre-seed")</f>
        <v>Pre-seed</v>
      </c>
      <c r="V1066" s="6"/>
      <c r="W1066" s="6" t="str">
        <f ca="1">IFERROR(__xludf.DUMMYFUNCTION("""COMPUTED_VALUE"""),"Invite Next Year")</f>
        <v>Invite Next Year</v>
      </c>
    </row>
    <row r="1067" spans="1:23">
      <c r="A1067" s="6" t="str">
        <f ca="1">IFERROR(__xludf.DUMMYFUNCTION("""COMPUTED_VALUE"""),"Man")</f>
        <v>Man</v>
      </c>
      <c r="B1067" s="6" t="str">
        <f ca="1">IFERROR(__xludf.DUMMYFUNCTION("""COMPUTED_VALUE"""),"Pearl Interactives _2022")</f>
        <v>Pearl Interactives _2022</v>
      </c>
      <c r="C1067" s="6" t="str">
        <f ca="1">IFERROR(__xludf.DUMMYFUNCTION("""COMPUTED_VALUE"""),"Digital Tech")</f>
        <v>Digital Tech</v>
      </c>
      <c r="D1067" s="6" t="str">
        <f ca="1">IFERROR(__xludf.DUMMYFUNCTION("""COMPUTED_VALUE"""),"Toronto, Ontario 
Canada")</f>
        <v>Toronto, Ontario 
Canada</v>
      </c>
      <c r="E1067" s="6" t="str">
        <f ca="1">IFERROR(__xludf.DUMMYFUNCTION("""COMPUTED_VALUE"""),"International - Americas")</f>
        <v>International - Americas</v>
      </c>
      <c r="F1067" s="6" t="str">
        <f ca="1">IFERROR(__xludf.DUMMYFUNCTION("""COMPUTED_VALUE"""),"Man")</f>
        <v>Man</v>
      </c>
      <c r="G1067" s="6"/>
      <c r="H1067" s="6"/>
      <c r="I1067" s="6"/>
      <c r="J1067" s="6"/>
      <c r="K1067" s="6"/>
      <c r="L1067" s="6" t="str">
        <f ca="1">IFERROR(__xludf.DUMMYFUNCTION("""COMPUTED_VALUE"""),"Yes")</f>
        <v>Yes</v>
      </c>
      <c r="M1067" s="6" t="str">
        <f ca="1">IFERROR(__xludf.DUMMYFUNCTION("""COMPUTED_VALUE"""),"NYU Faculty")</f>
        <v>NYU Faculty</v>
      </c>
      <c r="N1067" s="6"/>
      <c r="O1067" s="6" t="str">
        <f ca="1">IFERROR(__xludf.DUMMYFUNCTION("""COMPUTED_VALUE"""),"Email")</f>
        <v>Email</v>
      </c>
      <c r="P1067" s="6"/>
      <c r="Q1067" s="6" t="str">
        <f ca="1">IFERROR(__xludf.DUMMYFUNCTION("""COMPUTED_VALUE"""),"No")</f>
        <v>No</v>
      </c>
      <c r="R1067" s="6">
        <f ca="1">IFERROR(__xludf.DUMMYFUNCTION("""COMPUTED_VALUE"""),1)</f>
        <v>1</v>
      </c>
      <c r="S1067" s="6" t="str">
        <f ca="1">IFERROR(__xludf.DUMMYFUNCTION("""COMPUTED_VALUE"""),"Pre-seed
Grants")</f>
        <v>Pre-seed
Grants</v>
      </c>
      <c r="T1067" s="6" t="str">
        <f ca="1">IFERROR(__xludf.DUMMYFUNCTION("""COMPUTED_VALUE"""),"Pre-seed, Grants")</f>
        <v>Pre-seed, Grants</v>
      </c>
      <c r="U1067" s="6" t="str">
        <f ca="1">IFERROR(__xludf.DUMMYFUNCTION("""COMPUTED_VALUE"""),"Pre-seed, Grants")</f>
        <v>Pre-seed, Grants</v>
      </c>
      <c r="V1067" s="6"/>
      <c r="W1067" s="6" t="str">
        <f ca="1">IFERROR(__xludf.DUMMYFUNCTION("""COMPUTED_VALUE"""),"Invite Next Year")</f>
        <v>Invite Next Year</v>
      </c>
    </row>
    <row r="1068" spans="1:23">
      <c r="A1068" s="6" t="str">
        <f ca="1">IFERROR(__xludf.DUMMYFUNCTION("""COMPUTED_VALUE"""),"Man")</f>
        <v>Man</v>
      </c>
      <c r="B1068" s="6" t="str">
        <f ca="1">IFERROR(__xludf.DUMMYFUNCTION("""COMPUTED_VALUE"""),"Methic Engineering Ltd _2022")</f>
        <v>Methic Engineering Ltd _2022</v>
      </c>
      <c r="C1068" s="6" t="str">
        <f ca="1">IFERROR(__xludf.DUMMYFUNCTION("""COMPUTED_VALUE"""),"Deep Tech")</f>
        <v>Deep Tech</v>
      </c>
      <c r="D1068" s="6" t="str">
        <f ca="1">IFERROR(__xludf.DUMMYFUNCTION("""COMPUTED_VALUE"""),"Plot 860, 17th Road 6th Avenue FESTAC Town Lagos, Nigeria , Lagos 
Nigeria")</f>
        <v>Plot 860, 17th Road 6th Avenue FESTAC Town Lagos, Nigeria , Lagos 
Nigeria</v>
      </c>
      <c r="E1068" s="6" t="str">
        <f ca="1">IFERROR(__xludf.DUMMYFUNCTION("""COMPUTED_VALUE"""),"International - Other")</f>
        <v>International - Other</v>
      </c>
      <c r="F1068" s="6" t="str">
        <f ca="1">IFERROR(__xludf.DUMMYFUNCTION("""COMPUTED_VALUE"""),"Man")</f>
        <v>Man</v>
      </c>
      <c r="G1068" s="6"/>
      <c r="H1068" s="6"/>
      <c r="I1068" s="6"/>
      <c r="J1068" s="6"/>
      <c r="K1068" s="6"/>
      <c r="L1068" s="6" t="str">
        <f ca="1">IFERROR(__xludf.DUMMYFUNCTION("""COMPUTED_VALUE"""),"No")</f>
        <v>No</v>
      </c>
      <c r="M1068" s="6"/>
      <c r="N1068" s="6"/>
      <c r="O1068" s="6" t="str">
        <f ca="1">IFERROR(__xludf.DUMMYFUNCTION("""COMPUTED_VALUE"""),"NYU Newsletter")</f>
        <v>NYU Newsletter</v>
      </c>
      <c r="P1068" s="6"/>
      <c r="Q1068" s="6" t="str">
        <f ca="1">IFERROR(__xludf.DUMMYFUNCTION("""COMPUTED_VALUE"""),"No")</f>
        <v>No</v>
      </c>
      <c r="R1068" s="6">
        <f ca="1">IFERROR(__xludf.DUMMYFUNCTION("""COMPUTED_VALUE"""),1)</f>
        <v>1</v>
      </c>
      <c r="S1068" s="6" t="str">
        <f ca="1">IFERROR(__xludf.DUMMYFUNCTION("""COMPUTED_VALUE"""),"None")</f>
        <v>None</v>
      </c>
      <c r="T1068" s="6" t="str">
        <f ca="1">IFERROR(__xludf.DUMMYFUNCTION("""COMPUTED_VALUE"""),"None")</f>
        <v>None</v>
      </c>
      <c r="U1068" s="6" t="str">
        <f ca="1">IFERROR(__xludf.DUMMYFUNCTION("""COMPUTED_VALUE"""),"None")</f>
        <v>None</v>
      </c>
      <c r="V1068" s="6"/>
      <c r="W1068" s="6" t="str">
        <f ca="1">IFERROR(__xludf.DUMMYFUNCTION("""COMPUTED_VALUE"""),"Invite Next Year")</f>
        <v>Invite Next Year</v>
      </c>
    </row>
    <row r="1069" spans="1:23">
      <c r="A1069" s="6" t="str">
        <f ca="1">IFERROR(__xludf.DUMMYFUNCTION("""COMPUTED_VALUE"""),"Woman")</f>
        <v>Woman</v>
      </c>
      <c r="B1069" s="6" t="str">
        <f ca="1">IFERROR(__xludf.DUMMYFUNCTION("""COMPUTED_VALUE"""),"Dream Tea NYC _2022")</f>
        <v>Dream Tea NYC _2022</v>
      </c>
      <c r="C1069" s="6" t="str">
        <f ca="1">IFERROR(__xludf.DUMMYFUNCTION("""COMPUTED_VALUE"""),"Life Sciences")</f>
        <v>Life Sciences</v>
      </c>
      <c r="D1069" s="6" t="str">
        <f ca="1">IFERROR(__xludf.DUMMYFUNCTION("""COMPUTED_VALUE"""),"New York City, New York 
United States")</f>
        <v>New York City, New York 
United States</v>
      </c>
      <c r="E1069" s="6" t="str">
        <f ca="1">IFERROR(__xludf.DUMMYFUNCTION("""COMPUTED_VALUE"""),"New York")</f>
        <v>New York</v>
      </c>
      <c r="F1069" s="6" t="str">
        <f ca="1">IFERROR(__xludf.DUMMYFUNCTION("""COMPUTED_VALUE"""),"Woman")</f>
        <v>Woman</v>
      </c>
      <c r="G1069" s="6"/>
      <c r="H1069" s="6"/>
      <c r="I1069" s="6"/>
      <c r="J1069" s="6"/>
      <c r="K1069" s="6"/>
      <c r="L1069" s="6" t="str">
        <f ca="1">IFERROR(__xludf.DUMMYFUNCTION("""COMPUTED_VALUE"""),"Yes")</f>
        <v>Yes</v>
      </c>
      <c r="M1069" s="6" t="str">
        <f ca="1">IFERROR(__xludf.DUMMYFUNCTION("""COMPUTED_VALUE"""),"NYU Alumni")</f>
        <v>NYU Alumni</v>
      </c>
      <c r="N1069" s="6"/>
      <c r="O1069" s="6" t="str">
        <f ca="1">IFERROR(__xludf.DUMMYFUNCTION("""COMPUTED_VALUE"""),"Email")</f>
        <v>Email</v>
      </c>
      <c r="P1069" s="6"/>
      <c r="Q1069" s="6" t="str">
        <f ca="1">IFERROR(__xludf.DUMMYFUNCTION("""COMPUTED_VALUE"""),"No")</f>
        <v>No</v>
      </c>
      <c r="R1069" s="6">
        <f ca="1">IFERROR(__xludf.DUMMYFUNCTION("""COMPUTED_VALUE"""),1)</f>
        <v>1</v>
      </c>
      <c r="S1069" s="6" t="str">
        <f ca="1">IFERROR(__xludf.DUMMYFUNCTION("""COMPUTED_VALUE"""),"None")</f>
        <v>None</v>
      </c>
      <c r="T1069" s="6" t="str">
        <f ca="1">IFERROR(__xludf.DUMMYFUNCTION("""COMPUTED_VALUE"""),"None")</f>
        <v>None</v>
      </c>
      <c r="U1069" s="6" t="str">
        <f ca="1">IFERROR(__xludf.DUMMYFUNCTION("""COMPUTED_VALUE"""),"None")</f>
        <v>None</v>
      </c>
      <c r="V1069" s="6"/>
      <c r="W1069" s="6" t="str">
        <f ca="1">IFERROR(__xludf.DUMMYFUNCTION("""COMPUTED_VALUE"""),"Invite Next Year")</f>
        <v>Invite Next Year</v>
      </c>
    </row>
    <row r="1070" spans="1:23">
      <c r="A1070" s="6" t="str">
        <f ca="1">IFERROR(__xludf.DUMMYFUNCTION("""COMPUTED_VALUE"""),"Man, Woman")</f>
        <v>Man, Woman</v>
      </c>
      <c r="B1070" s="6" t="str">
        <f ca="1">IFERROR(__xludf.DUMMYFUNCTION("""COMPUTED_VALUE"""),"myLaminin _2022")</f>
        <v>myLaminin _2022</v>
      </c>
      <c r="C1070" s="6" t="str">
        <f ca="1">IFERROR(__xludf.DUMMYFUNCTION("""COMPUTED_VALUE"""),"Digital Tech")</f>
        <v>Digital Tech</v>
      </c>
      <c r="D1070" s="6" t="str">
        <f ca="1">IFERROR(__xludf.DUMMYFUNCTION("""COMPUTED_VALUE"""),"Kingston, Ontario 
United States")</f>
        <v>Kingston, Ontario 
United States</v>
      </c>
      <c r="E1070" s="6" t="str">
        <f ca="1">IFERROR(__xludf.DUMMYFUNCTION("""COMPUTED_VALUE"""),"International - Americas")</f>
        <v>International - Americas</v>
      </c>
      <c r="F1070" s="6" t="str">
        <f ca="1">IFERROR(__xludf.DUMMYFUNCTION("""COMPUTED_VALUE"""),"Man")</f>
        <v>Man</v>
      </c>
      <c r="G1070" s="6" t="str">
        <f ca="1">IFERROR(__xludf.DUMMYFUNCTION("""COMPUTED_VALUE"""),"Woman")</f>
        <v>Woman</v>
      </c>
      <c r="H1070" s="6"/>
      <c r="I1070" s="6"/>
      <c r="J1070" s="6"/>
      <c r="K1070" s="6"/>
      <c r="L1070" s="6" t="str">
        <f ca="1">IFERROR(__xludf.DUMMYFUNCTION("""COMPUTED_VALUE"""),"No")</f>
        <v>No</v>
      </c>
      <c r="M1070" s="6"/>
      <c r="N1070" s="6"/>
      <c r="O1070" s="6" t="str">
        <f ca="1">IFERROR(__xludf.DUMMYFUNCTION("""COMPUTED_VALUE"""),"Email")</f>
        <v>Email</v>
      </c>
      <c r="P1070" s="6"/>
      <c r="Q1070" s="6" t="str">
        <f ca="1">IFERROR(__xludf.DUMMYFUNCTION("""COMPUTED_VALUE"""),"No")</f>
        <v>No</v>
      </c>
      <c r="R1070" s="6">
        <f ca="1">IFERROR(__xludf.DUMMYFUNCTION("""COMPUTED_VALUE"""),2)</f>
        <v>2</v>
      </c>
      <c r="S1070" s="6" t="str">
        <f ca="1">IFERROR(__xludf.DUMMYFUNCTION("""COMPUTED_VALUE"""),"Pre-seed
Grants")</f>
        <v>Pre-seed
Grants</v>
      </c>
      <c r="T1070" s="6" t="str">
        <f ca="1">IFERROR(__xludf.DUMMYFUNCTION("""COMPUTED_VALUE"""),"Pre-seed, Grants")</f>
        <v>Pre-seed, Grants</v>
      </c>
      <c r="U1070" s="6" t="str">
        <f ca="1">IFERROR(__xludf.DUMMYFUNCTION("""COMPUTED_VALUE"""),"Pre-seed, Grants")</f>
        <v>Pre-seed, Grants</v>
      </c>
      <c r="V1070" s="6"/>
      <c r="W1070" s="6" t="str">
        <f ca="1">IFERROR(__xludf.DUMMYFUNCTION("""COMPUTED_VALUE"""),"Invite Next Year")</f>
        <v>Invite Next Year</v>
      </c>
    </row>
    <row r="1071" spans="1:23">
      <c r="A1071" s="6" t="str">
        <f ca="1">IFERROR(__xludf.DUMMYFUNCTION("""COMPUTED_VALUE"""),"Man")</f>
        <v>Man</v>
      </c>
      <c r="B1071" s="6" t="str">
        <f ca="1">IFERROR(__xludf.DUMMYFUNCTION("""COMPUTED_VALUE"""),"Dentco _2022")</f>
        <v>Dentco _2022</v>
      </c>
      <c r="C1071" s="6" t="str">
        <f ca="1">IFERROR(__xludf.DUMMYFUNCTION("""COMPUTED_VALUE"""),"Life Sciences")</f>
        <v>Life Sciences</v>
      </c>
      <c r="D1071" s="6" t="str">
        <f ca="1">IFERROR(__xludf.DUMMYFUNCTION("""COMPUTED_VALUE"""),"326 East 25th street Apt 4D , New York 
United States")</f>
        <v>326 East 25th street Apt 4D , New York 
United States</v>
      </c>
      <c r="E1071" s="6" t="str">
        <f ca="1">IFERROR(__xludf.DUMMYFUNCTION("""COMPUTED_VALUE"""),"New York")</f>
        <v>New York</v>
      </c>
      <c r="F1071" s="6" t="str">
        <f ca="1">IFERROR(__xludf.DUMMYFUNCTION("""COMPUTED_VALUE"""),"Man")</f>
        <v>Man</v>
      </c>
      <c r="G1071" s="6"/>
      <c r="H1071" s="6"/>
      <c r="I1071" s="6"/>
      <c r="J1071" s="6"/>
      <c r="K1071" s="6"/>
      <c r="L1071" s="6" t="str">
        <f ca="1">IFERROR(__xludf.DUMMYFUNCTION("""COMPUTED_VALUE"""),"No")</f>
        <v>No</v>
      </c>
      <c r="M1071" s="6"/>
      <c r="N1071" s="6"/>
      <c r="O1071" s="6" t="str">
        <f ca="1">IFERROR(__xludf.DUMMYFUNCTION("""COMPUTED_VALUE"""),"Referral")</f>
        <v>Referral</v>
      </c>
      <c r="P1071" s="6"/>
      <c r="Q1071" s="6" t="str">
        <f ca="1">IFERROR(__xludf.DUMMYFUNCTION("""COMPUTED_VALUE"""),"No")</f>
        <v>No</v>
      </c>
      <c r="R1071" s="6">
        <f ca="1">IFERROR(__xludf.DUMMYFUNCTION("""COMPUTED_VALUE"""),1)</f>
        <v>1</v>
      </c>
      <c r="S1071" s="6" t="str">
        <f ca="1">IFERROR(__xludf.DUMMYFUNCTION("""COMPUTED_VALUE"""),"None")</f>
        <v>None</v>
      </c>
      <c r="T1071" s="6" t="str">
        <f ca="1">IFERROR(__xludf.DUMMYFUNCTION("""COMPUTED_VALUE"""),"None")</f>
        <v>None</v>
      </c>
      <c r="U1071" s="6" t="str">
        <f ca="1">IFERROR(__xludf.DUMMYFUNCTION("""COMPUTED_VALUE"""),"None")</f>
        <v>None</v>
      </c>
      <c r="V1071" s="6"/>
      <c r="W1071" s="6" t="str">
        <f ca="1">IFERROR(__xludf.DUMMYFUNCTION("""COMPUTED_VALUE"""),"Invite Next Year")</f>
        <v>Invite Next Year</v>
      </c>
    </row>
    <row r="1072" spans="1:23">
      <c r="A1072" s="6" t="str">
        <f ca="1">IFERROR(__xludf.DUMMYFUNCTION("""COMPUTED_VALUE"""),"Man, Woman, Man, Man, Man")</f>
        <v>Man, Woman, Man, Man, Man</v>
      </c>
      <c r="B1072" s="6" t="str">
        <f ca="1">IFERROR(__xludf.DUMMYFUNCTION("""COMPUTED_VALUE"""),"Neu Bio, Inc. _2022")</f>
        <v>Neu Bio, Inc. _2022</v>
      </c>
      <c r="C1072" s="6" t="str">
        <f ca="1">IFERROR(__xludf.DUMMYFUNCTION("""COMPUTED_VALUE"""),"Digital Tech")</f>
        <v>Digital Tech</v>
      </c>
      <c r="D1072" s="6" t="str">
        <f ca="1">IFERROR(__xludf.DUMMYFUNCTION("""COMPUTED_VALUE"""),"Dover, DE 
United States")</f>
        <v>Dover, DE 
United States</v>
      </c>
      <c r="E1072" s="6" t="str">
        <f ca="1">IFERROR(__xludf.DUMMYFUNCTION("""COMPUTED_VALUE"""),"East Coast")</f>
        <v>East Coast</v>
      </c>
      <c r="F1072" s="6" t="str">
        <f ca="1">IFERROR(__xludf.DUMMYFUNCTION("""COMPUTED_VALUE"""),"Man")</f>
        <v>Man</v>
      </c>
      <c r="G1072" s="6" t="str">
        <f ca="1">IFERROR(__xludf.DUMMYFUNCTION("""COMPUTED_VALUE"""),"Woman")</f>
        <v>Woman</v>
      </c>
      <c r="H1072" s="6" t="str">
        <f ca="1">IFERROR(__xludf.DUMMYFUNCTION("""COMPUTED_VALUE"""),"Man")</f>
        <v>Man</v>
      </c>
      <c r="I1072" s="6" t="str">
        <f ca="1">IFERROR(__xludf.DUMMYFUNCTION("""COMPUTED_VALUE"""),"Man")</f>
        <v>Man</v>
      </c>
      <c r="J1072" s="6" t="str">
        <f ca="1">IFERROR(__xludf.DUMMYFUNCTION("""COMPUTED_VALUE"""),"Man")</f>
        <v>Man</v>
      </c>
      <c r="K1072" s="6"/>
      <c r="L1072" s="6" t="str">
        <f ca="1">IFERROR(__xludf.DUMMYFUNCTION("""COMPUTED_VALUE"""),"Yes")</f>
        <v>Yes</v>
      </c>
      <c r="M1072" s="6" t="str">
        <f ca="1">IFERROR(__xludf.DUMMYFUNCTION("""COMPUTED_VALUE"""),"NYU Alumni")</f>
        <v>NYU Alumni</v>
      </c>
      <c r="N1072" s="6"/>
      <c r="O1072" s="6" t="str">
        <f ca="1">IFERROR(__xludf.DUMMYFUNCTION("""COMPUTED_VALUE"""),"Referral")</f>
        <v>Referral</v>
      </c>
      <c r="P1072" s="6"/>
      <c r="Q1072" s="6" t="str">
        <f ca="1">IFERROR(__xludf.DUMMYFUNCTION("""COMPUTED_VALUE"""),"No")</f>
        <v>No</v>
      </c>
      <c r="R1072" s="6">
        <f ca="1">IFERROR(__xludf.DUMMYFUNCTION("""COMPUTED_VALUE"""),5)</f>
        <v>5</v>
      </c>
      <c r="S1072" s="6" t="str">
        <f ca="1">IFERROR(__xludf.DUMMYFUNCTION("""COMPUTED_VALUE"""),"Seed")</f>
        <v>Seed</v>
      </c>
      <c r="T1072" s="6" t="str">
        <f ca="1">IFERROR(__xludf.DUMMYFUNCTION("""COMPUTED_VALUE"""),"Seed")</f>
        <v>Seed</v>
      </c>
      <c r="U1072" s="6" t="str">
        <f ca="1">IFERROR(__xludf.DUMMYFUNCTION("""COMPUTED_VALUE"""),"Seed")</f>
        <v>Seed</v>
      </c>
      <c r="V1072" s="6"/>
      <c r="W1072" s="6" t="str">
        <f ca="1">IFERROR(__xludf.DUMMYFUNCTION("""COMPUTED_VALUE"""),"Invite")</f>
        <v>Invite</v>
      </c>
    </row>
    <row r="1073" spans="1:23">
      <c r="A1073" s="6" t="str">
        <f ca="1">IFERROR(__xludf.DUMMYFUNCTION("""COMPUTED_VALUE"""),"Man")</f>
        <v>Man</v>
      </c>
      <c r="B1073" s="6" t="str">
        <f ca="1">IFERROR(__xludf.DUMMYFUNCTION("""COMPUTED_VALUE"""),"Earth To Go  _2022")</f>
        <v>Earth To Go  _2022</v>
      </c>
      <c r="C1073" s="6" t="str">
        <f ca="1">IFERROR(__xludf.DUMMYFUNCTION("""COMPUTED_VALUE"""),"Life Sciences")</f>
        <v>Life Sciences</v>
      </c>
      <c r="D1073" s="6" t="str">
        <f ca="1">IFERROR(__xludf.DUMMYFUNCTION("""COMPUTED_VALUE"""),"1000 West Main street Richland , Missouri 
United States")</f>
        <v>1000 West Main street Richland , Missouri 
United States</v>
      </c>
      <c r="E1073" s="6" t="str">
        <f ca="1">IFERROR(__xludf.DUMMYFUNCTION("""COMPUTED_VALUE"""),"Midwest")</f>
        <v>Midwest</v>
      </c>
      <c r="F1073" s="6" t="str">
        <f ca="1">IFERROR(__xludf.DUMMYFUNCTION("""COMPUTED_VALUE"""),"Man")</f>
        <v>Man</v>
      </c>
      <c r="G1073" s="6"/>
      <c r="H1073" s="6"/>
      <c r="I1073" s="6"/>
      <c r="J1073" s="6"/>
      <c r="K1073" s="6"/>
      <c r="L1073" s="6" t="str">
        <f ca="1">IFERROR(__xludf.DUMMYFUNCTION("""COMPUTED_VALUE"""),"No")</f>
        <v>No</v>
      </c>
      <c r="M1073" s="6"/>
      <c r="N1073" s="6"/>
      <c r="O1073" s="6" t="str">
        <f ca="1">IFERROR(__xludf.DUMMYFUNCTION("""COMPUTED_VALUE"""),"LinkedIn")</f>
        <v>LinkedIn</v>
      </c>
      <c r="P1073" s="6"/>
      <c r="Q1073" s="6" t="str">
        <f ca="1">IFERROR(__xludf.DUMMYFUNCTION("""COMPUTED_VALUE"""),"No")</f>
        <v>No</v>
      </c>
      <c r="R1073" s="6">
        <f ca="1">IFERROR(__xludf.DUMMYFUNCTION("""COMPUTED_VALUE"""),1)</f>
        <v>1</v>
      </c>
      <c r="S1073" s="6" t="str">
        <f ca="1">IFERROR(__xludf.DUMMYFUNCTION("""COMPUTED_VALUE"""),"Debt financing")</f>
        <v>Debt financing</v>
      </c>
      <c r="T1073" s="6" t="str">
        <f ca="1">IFERROR(__xludf.DUMMYFUNCTION("""COMPUTED_VALUE"""),"Debt financing")</f>
        <v>Debt financing</v>
      </c>
      <c r="U1073" s="6" t="str">
        <f ca="1">IFERROR(__xludf.DUMMYFUNCTION("""COMPUTED_VALUE"""),"Debt financing")</f>
        <v>Debt financing</v>
      </c>
      <c r="V1073" s="6"/>
      <c r="W1073" s="6" t="str">
        <f ca="1">IFERROR(__xludf.DUMMYFUNCTION("""COMPUTED_VALUE"""),"Invite Next Year")</f>
        <v>Invite Next Year</v>
      </c>
    </row>
    <row r="1074" spans="1:23">
      <c r="A1074" s="6" t="str">
        <f ca="1">IFERROR(__xludf.DUMMYFUNCTION("""COMPUTED_VALUE"""),"Man, Man, Man")</f>
        <v>Man, Man, Man</v>
      </c>
      <c r="B1074" s="6" t="str">
        <f ca="1">IFERROR(__xludf.DUMMYFUNCTION("""COMPUTED_VALUE"""),"GoWit Technology _2022")</f>
        <v>GoWit Technology _2022</v>
      </c>
      <c r="C1074" s="6" t="str">
        <f ca="1">IFERROR(__xludf.DUMMYFUNCTION("""COMPUTED_VALUE"""),"Digital Tech")</f>
        <v>Digital Tech</v>
      </c>
      <c r="D1074" s="6" t="str">
        <f ca="1">IFERROR(__xludf.DUMMYFUNCTION("""COMPUTED_VALUE"""),"Newark, Delaware 
United States")</f>
        <v>Newark, Delaware 
United States</v>
      </c>
      <c r="E1074" s="6" t="str">
        <f ca="1">IFERROR(__xludf.DUMMYFUNCTION("""COMPUTED_VALUE"""),"East Coast")</f>
        <v>East Coast</v>
      </c>
      <c r="F1074" s="6" t="str">
        <f ca="1">IFERROR(__xludf.DUMMYFUNCTION("""COMPUTED_VALUE"""),"Man")</f>
        <v>Man</v>
      </c>
      <c r="G1074" s="6" t="str">
        <f ca="1">IFERROR(__xludf.DUMMYFUNCTION("""COMPUTED_VALUE"""),"Man")</f>
        <v>Man</v>
      </c>
      <c r="H1074" s="6" t="str">
        <f ca="1">IFERROR(__xludf.DUMMYFUNCTION("""COMPUTED_VALUE"""),"Man")</f>
        <v>Man</v>
      </c>
      <c r="I1074" s="6"/>
      <c r="J1074" s="6"/>
      <c r="K1074" s="6"/>
      <c r="L1074" s="6" t="str">
        <f ca="1">IFERROR(__xludf.DUMMYFUNCTION("""COMPUTED_VALUE"""),"No")</f>
        <v>No</v>
      </c>
      <c r="M1074" s="6"/>
      <c r="N1074" s="6"/>
      <c r="O1074" s="6" t="str">
        <f ca="1">IFERROR(__xludf.DUMMYFUNCTION("""COMPUTED_VALUE"""),"Search Engine")</f>
        <v>Search Engine</v>
      </c>
      <c r="P1074" s="6"/>
      <c r="Q1074" s="6" t="str">
        <f ca="1">IFERROR(__xludf.DUMMYFUNCTION("""COMPUTED_VALUE"""),"No")</f>
        <v>No</v>
      </c>
      <c r="R1074" s="6">
        <f ca="1">IFERROR(__xludf.DUMMYFUNCTION("""COMPUTED_VALUE"""),3)</f>
        <v>3</v>
      </c>
      <c r="S1074" s="6" t="str">
        <f ca="1">IFERROR(__xludf.DUMMYFUNCTION("""COMPUTED_VALUE"""),"None")</f>
        <v>None</v>
      </c>
      <c r="T1074" s="6" t="str">
        <f ca="1">IFERROR(__xludf.DUMMYFUNCTION("""COMPUTED_VALUE"""),"None")</f>
        <v>None</v>
      </c>
      <c r="U1074" s="6" t="str">
        <f ca="1">IFERROR(__xludf.DUMMYFUNCTION("""COMPUTED_VALUE"""),"None")</f>
        <v>None</v>
      </c>
      <c r="V1074" s="6"/>
      <c r="W1074" s="6" t="str">
        <f ca="1">IFERROR(__xludf.DUMMYFUNCTION("""COMPUTED_VALUE"""),"Invite Next Year")</f>
        <v>Invite Next Year</v>
      </c>
    </row>
    <row r="1075" spans="1:23">
      <c r="A1075" s="6" t="str">
        <f ca="1">IFERROR(__xludf.DUMMYFUNCTION("""COMPUTED_VALUE"""),"Man, Woman")</f>
        <v>Man, Woman</v>
      </c>
      <c r="B1075" s="6" t="str">
        <f ca="1">IFERROR(__xludf.DUMMYFUNCTION("""COMPUTED_VALUE"""),"RABOT Charge _2022")</f>
        <v>RABOT Charge _2022</v>
      </c>
      <c r="C1075" s="6" t="str">
        <f ca="1">IFERROR(__xludf.DUMMYFUNCTION("""COMPUTED_VALUE"""),"Digital Tech")</f>
        <v>Digital Tech</v>
      </c>
      <c r="D1075" s="6" t="str">
        <f ca="1">IFERROR(__xludf.DUMMYFUNCTION("""COMPUTED_VALUE"""),"Hamburg, 80796 
Germany")</f>
        <v>Hamburg, 80796 
Germany</v>
      </c>
      <c r="E1075" s="6" t="str">
        <f ca="1">IFERROR(__xludf.DUMMYFUNCTION("""COMPUTED_VALUE"""),"International - Europe")</f>
        <v>International - Europe</v>
      </c>
      <c r="F1075" s="6" t="str">
        <f ca="1">IFERROR(__xludf.DUMMYFUNCTION("""COMPUTED_VALUE"""),"Man")</f>
        <v>Man</v>
      </c>
      <c r="G1075" s="6" t="str">
        <f ca="1">IFERROR(__xludf.DUMMYFUNCTION("""COMPUTED_VALUE"""),"Woman")</f>
        <v>Woman</v>
      </c>
      <c r="H1075" s="6"/>
      <c r="I1075" s="6"/>
      <c r="J1075" s="6"/>
      <c r="K1075" s="6"/>
      <c r="L1075" s="6" t="str">
        <f ca="1">IFERROR(__xludf.DUMMYFUNCTION("""COMPUTED_VALUE"""),"--Please select--")</f>
        <v>--Please select--</v>
      </c>
      <c r="M1075" s="6"/>
      <c r="N1075" s="6"/>
      <c r="O1075" s="6" t="str">
        <f ca="1">IFERROR(__xludf.DUMMYFUNCTION("""COMPUTED_VALUE"""),"Email")</f>
        <v>Email</v>
      </c>
      <c r="P1075" s="6"/>
      <c r="Q1075" s="6" t="str">
        <f ca="1">IFERROR(__xludf.DUMMYFUNCTION("""COMPUTED_VALUE"""),"No")</f>
        <v>No</v>
      </c>
      <c r="R1075" s="6">
        <f ca="1">IFERROR(__xludf.DUMMYFUNCTION("""COMPUTED_VALUE"""),2)</f>
        <v>2</v>
      </c>
      <c r="S1075" s="6" t="str">
        <f ca="1">IFERROR(__xludf.DUMMYFUNCTION("""COMPUTED_VALUE"""),"Pre-seed")</f>
        <v>Pre-seed</v>
      </c>
      <c r="T1075" s="6" t="str">
        <f ca="1">IFERROR(__xludf.DUMMYFUNCTION("""COMPUTED_VALUE"""),"Pre-seed")</f>
        <v>Pre-seed</v>
      </c>
      <c r="U1075" s="6" t="str">
        <f ca="1">IFERROR(__xludf.DUMMYFUNCTION("""COMPUTED_VALUE"""),"Pre-seed")</f>
        <v>Pre-seed</v>
      </c>
      <c r="V1075" s="6"/>
      <c r="W1075" s="6" t="str">
        <f ca="1">IFERROR(__xludf.DUMMYFUNCTION("""COMPUTED_VALUE"""),"Invite Next Year")</f>
        <v>Invite Next Year</v>
      </c>
    </row>
    <row r="1076" spans="1:23">
      <c r="A1076" s="6" t="str">
        <f ca="1">IFERROR(__xludf.DUMMYFUNCTION("""COMPUTED_VALUE"""),"Man, Man, Woman, Man, Man")</f>
        <v>Man, Man, Woman, Man, Man</v>
      </c>
      <c r="B1076" s="6" t="str">
        <f ca="1">IFERROR(__xludf.DUMMYFUNCTION("""COMPUTED_VALUE"""),"BLD Funds _2022")</f>
        <v>BLD Funds _2022</v>
      </c>
      <c r="C1076" s="6" t="str">
        <f ca="1">IFERROR(__xludf.DUMMYFUNCTION("""COMPUTED_VALUE"""),"Digital Tech")</f>
        <v>Digital Tech</v>
      </c>
      <c r="D1076" s="6" t="str">
        <f ca="1">IFERROR(__xludf.DUMMYFUNCTION("""COMPUTED_VALUE"""),"New York, NY 
United States")</f>
        <v>New York, NY 
United States</v>
      </c>
      <c r="E1076" s="6" t="str">
        <f ca="1">IFERROR(__xludf.DUMMYFUNCTION("""COMPUTED_VALUE"""),"New York")</f>
        <v>New York</v>
      </c>
      <c r="F1076" s="6" t="str">
        <f ca="1">IFERROR(__xludf.DUMMYFUNCTION("""COMPUTED_VALUE"""),"Man")</f>
        <v>Man</v>
      </c>
      <c r="G1076" s="6" t="str">
        <f ca="1">IFERROR(__xludf.DUMMYFUNCTION("""COMPUTED_VALUE"""),"Man")</f>
        <v>Man</v>
      </c>
      <c r="H1076" s="6" t="str">
        <f ca="1">IFERROR(__xludf.DUMMYFUNCTION("""COMPUTED_VALUE"""),"Woman")</f>
        <v>Woman</v>
      </c>
      <c r="I1076" s="6" t="str">
        <f ca="1">IFERROR(__xludf.DUMMYFUNCTION("""COMPUTED_VALUE"""),"Man")</f>
        <v>Man</v>
      </c>
      <c r="J1076" s="6" t="str">
        <f ca="1">IFERROR(__xludf.DUMMYFUNCTION("""COMPUTED_VALUE"""),"Man")</f>
        <v>Man</v>
      </c>
      <c r="K1076" s="6"/>
      <c r="L1076" s="6" t="str">
        <f ca="1">IFERROR(__xludf.DUMMYFUNCTION("""COMPUTED_VALUE"""),"Yes")</f>
        <v>Yes</v>
      </c>
      <c r="M1076" s="6" t="str">
        <f ca="1">IFERROR(__xludf.DUMMYFUNCTION("""COMPUTED_VALUE"""),"NYU Student")</f>
        <v>NYU Student</v>
      </c>
      <c r="N1076" s="6"/>
      <c r="O1076" s="6" t="str">
        <f ca="1">IFERROR(__xludf.DUMMYFUNCTION("""COMPUTED_VALUE"""),"Referral")</f>
        <v>Referral</v>
      </c>
      <c r="P1076" s="6"/>
      <c r="Q1076" s="6" t="str">
        <f ca="1">IFERROR(__xludf.DUMMYFUNCTION("""COMPUTED_VALUE"""),"No")</f>
        <v>No</v>
      </c>
      <c r="R1076" s="6">
        <f ca="1">IFERROR(__xludf.DUMMYFUNCTION("""COMPUTED_VALUE"""),5)</f>
        <v>5</v>
      </c>
      <c r="S1076" s="6" t="str">
        <f ca="1">IFERROR(__xludf.DUMMYFUNCTION("""COMPUTED_VALUE"""),"None")</f>
        <v>None</v>
      </c>
      <c r="T1076" s="6" t="str">
        <f ca="1">IFERROR(__xludf.DUMMYFUNCTION("""COMPUTED_VALUE"""),"None")</f>
        <v>None</v>
      </c>
      <c r="U1076" s="6" t="str">
        <f ca="1">IFERROR(__xludf.DUMMYFUNCTION("""COMPUTED_VALUE"""),"None")</f>
        <v>None</v>
      </c>
      <c r="V1076" s="6"/>
      <c r="W1076" s="6" t="str">
        <f ca="1">IFERROR(__xludf.DUMMYFUNCTION("""COMPUTED_VALUE"""),"Invite Next Year")</f>
        <v>Invite Next Year</v>
      </c>
    </row>
    <row r="1077" spans="1:23">
      <c r="A1077" s="6" t="str">
        <f ca="1">IFERROR(__xludf.DUMMYFUNCTION("""COMPUTED_VALUE"""),"Man")</f>
        <v>Man</v>
      </c>
      <c r="B1077" s="6" t="str">
        <f ca="1">IFERROR(__xludf.DUMMYFUNCTION("""COMPUTED_VALUE"""),"Basquevolt SA _2022")</f>
        <v>Basquevolt SA _2022</v>
      </c>
      <c r="C1077" s="6" t="str">
        <f ca="1">IFERROR(__xludf.DUMMYFUNCTION("""COMPUTED_VALUE"""),"Deep Tech")</f>
        <v>Deep Tech</v>
      </c>
      <c r="D1077" s="6" t="str">
        <f ca="1">IFERROR(__xludf.DUMMYFUNCTION("""COMPUTED_VALUE"""),"48 calle Albert Einstein, Vitoria-Gasteiz, ÁLAVA 
Spain")</f>
        <v>48 calle Albert Einstein, Vitoria-Gasteiz, ÁLAVA 
Spain</v>
      </c>
      <c r="E1077" s="6" t="str">
        <f ca="1">IFERROR(__xludf.DUMMYFUNCTION("""COMPUTED_VALUE"""),"International - Europe")</f>
        <v>International - Europe</v>
      </c>
      <c r="F1077" s="6" t="str">
        <f ca="1">IFERROR(__xludf.DUMMYFUNCTION("""COMPUTED_VALUE"""),"Man")</f>
        <v>Man</v>
      </c>
      <c r="G1077" s="6"/>
      <c r="H1077" s="6"/>
      <c r="I1077" s="6"/>
      <c r="J1077" s="6"/>
      <c r="K1077" s="6"/>
      <c r="L1077" s="6" t="str">
        <f ca="1">IFERROR(__xludf.DUMMYFUNCTION("""COMPUTED_VALUE"""),"No")</f>
        <v>No</v>
      </c>
      <c r="M1077" s="6"/>
      <c r="N1077" s="6"/>
      <c r="O1077" s="6" t="str">
        <f ca="1">IFERROR(__xludf.DUMMYFUNCTION("""COMPUTED_VALUE"""),"Email")</f>
        <v>Email</v>
      </c>
      <c r="P1077" s="6"/>
      <c r="Q1077" s="6" t="str">
        <f ca="1">IFERROR(__xludf.DUMMYFUNCTION("""COMPUTED_VALUE"""),"No")</f>
        <v>No</v>
      </c>
      <c r="R1077" s="6">
        <f ca="1">IFERROR(__xludf.DUMMYFUNCTION("""COMPUTED_VALUE"""),1)</f>
        <v>1</v>
      </c>
      <c r="S1077" s="6" t="str">
        <f ca="1">IFERROR(__xludf.DUMMYFUNCTION("""COMPUTED_VALUE"""),"Seed")</f>
        <v>Seed</v>
      </c>
      <c r="T1077" s="6" t="str">
        <f ca="1">IFERROR(__xludf.DUMMYFUNCTION("""COMPUTED_VALUE"""),"Seed")</f>
        <v>Seed</v>
      </c>
      <c r="U1077" s="6" t="str">
        <f ca="1">IFERROR(__xludf.DUMMYFUNCTION("""COMPUTED_VALUE"""),"Seed")</f>
        <v>Seed</v>
      </c>
      <c r="V1077" s="6"/>
      <c r="W1077" s="6" t="str">
        <f ca="1">IFERROR(__xludf.DUMMYFUNCTION("""COMPUTED_VALUE"""),"Invite")</f>
        <v>Invite</v>
      </c>
    </row>
    <row r="1078" spans="1:23">
      <c r="A1078" s="6" t="str">
        <f ca="1">IFERROR(__xludf.DUMMYFUNCTION("""COMPUTED_VALUE"""),"Man")</f>
        <v>Man</v>
      </c>
      <c r="B1078" s="6" t="str">
        <f ca="1">IFERROR(__xludf.DUMMYFUNCTION("""COMPUTED_VALUE"""),"Folks Finance _2022")</f>
        <v>Folks Finance _2022</v>
      </c>
      <c r="C1078" s="6" t="str">
        <f ca="1">IFERROR(__xludf.DUMMYFUNCTION("""COMPUTED_VALUE"""),"Digital Tech")</f>
        <v>Digital Tech</v>
      </c>
      <c r="D1078" s="6" t="str">
        <f ca="1">IFERROR(__xludf.DUMMYFUNCTION("""COMPUTED_VALUE"""),"Road Town, Tortola 
Virgin Islands, British")</f>
        <v>Road Town, Tortola 
Virgin Islands, British</v>
      </c>
      <c r="E1078" s="6" t="str">
        <f ca="1">IFERROR(__xludf.DUMMYFUNCTION("""COMPUTED_VALUE"""),"International - Americas")</f>
        <v>International - Americas</v>
      </c>
      <c r="F1078" s="6" t="str">
        <f ca="1">IFERROR(__xludf.DUMMYFUNCTION("""COMPUTED_VALUE"""),"Man")</f>
        <v>Man</v>
      </c>
      <c r="G1078" s="6"/>
      <c r="H1078" s="6"/>
      <c r="I1078" s="6"/>
      <c r="J1078" s="6"/>
      <c r="K1078" s="6"/>
      <c r="L1078" s="6" t="str">
        <f ca="1">IFERROR(__xludf.DUMMYFUNCTION("""COMPUTED_VALUE"""),"No")</f>
        <v>No</v>
      </c>
      <c r="M1078" s="6"/>
      <c r="N1078" s="6"/>
      <c r="O1078" s="6" t="str">
        <f ca="1">IFERROR(__xludf.DUMMYFUNCTION("""COMPUTED_VALUE"""),"Email")</f>
        <v>Email</v>
      </c>
      <c r="P1078" s="6"/>
      <c r="Q1078" s="6" t="str">
        <f ca="1">IFERROR(__xludf.DUMMYFUNCTION("""COMPUTED_VALUE"""),"No")</f>
        <v>No</v>
      </c>
      <c r="R1078" s="6">
        <f ca="1">IFERROR(__xludf.DUMMYFUNCTION("""COMPUTED_VALUE"""),1)</f>
        <v>1</v>
      </c>
      <c r="S1078" s="6" t="str">
        <f ca="1">IFERROR(__xludf.DUMMYFUNCTION("""COMPUTED_VALUE"""),"Seed")</f>
        <v>Seed</v>
      </c>
      <c r="T1078" s="6" t="str">
        <f ca="1">IFERROR(__xludf.DUMMYFUNCTION("""COMPUTED_VALUE"""),"Seed")</f>
        <v>Seed</v>
      </c>
      <c r="U1078" s="6" t="str">
        <f ca="1">IFERROR(__xludf.DUMMYFUNCTION("""COMPUTED_VALUE"""),"Seed")</f>
        <v>Seed</v>
      </c>
      <c r="V1078" s="6"/>
      <c r="W1078" s="6" t="str">
        <f ca="1">IFERROR(__xludf.DUMMYFUNCTION("""COMPUTED_VALUE"""),"Invite Next Year")</f>
        <v>Invite Next Year</v>
      </c>
    </row>
    <row r="1079" spans="1:23">
      <c r="A1079" s="6" t="str">
        <f ca="1">IFERROR(__xludf.DUMMYFUNCTION("""COMPUTED_VALUE"""),"Man")</f>
        <v>Man</v>
      </c>
      <c r="B1079" s="6" t="str">
        <f ca="1">IFERROR(__xludf.DUMMYFUNCTION("""COMPUTED_VALUE"""),"Proxygen _2022")</f>
        <v>Proxygen _2022</v>
      </c>
      <c r="C1079" s="6" t="str">
        <f ca="1">IFERROR(__xludf.DUMMYFUNCTION("""COMPUTED_VALUE"""),"Life Sciences")</f>
        <v>Life Sciences</v>
      </c>
      <c r="D1079" s="6" t="str">
        <f ca="1">IFERROR(__xludf.DUMMYFUNCTION("""COMPUTED_VALUE"""),"Vienna, Vienna 
Austria")</f>
        <v>Vienna, Vienna 
Austria</v>
      </c>
      <c r="E1079" s="6" t="str">
        <f ca="1">IFERROR(__xludf.DUMMYFUNCTION("""COMPUTED_VALUE"""),"International - Europe")</f>
        <v>International - Europe</v>
      </c>
      <c r="F1079" s="6" t="str">
        <f ca="1">IFERROR(__xludf.DUMMYFUNCTION("""COMPUTED_VALUE"""),"Man")</f>
        <v>Man</v>
      </c>
      <c r="G1079" s="6"/>
      <c r="H1079" s="6"/>
      <c r="I1079" s="6"/>
      <c r="J1079" s="6"/>
      <c r="K1079" s="6"/>
      <c r="L1079" s="6" t="str">
        <f ca="1">IFERROR(__xludf.DUMMYFUNCTION("""COMPUTED_VALUE"""),"No")</f>
        <v>No</v>
      </c>
      <c r="M1079" s="6"/>
      <c r="N1079" s="6"/>
      <c r="O1079" s="6" t="str">
        <f ca="1">IFERROR(__xludf.DUMMYFUNCTION("""COMPUTED_VALUE"""),"Email")</f>
        <v>Email</v>
      </c>
      <c r="P1079" s="6"/>
      <c r="Q1079" s="6" t="str">
        <f ca="1">IFERROR(__xludf.DUMMYFUNCTION("""COMPUTED_VALUE"""),"No")</f>
        <v>No</v>
      </c>
      <c r="R1079" s="6">
        <f ca="1">IFERROR(__xludf.DUMMYFUNCTION("""COMPUTED_VALUE"""),1)</f>
        <v>1</v>
      </c>
      <c r="S1079" s="6" t="str">
        <f ca="1">IFERROR(__xludf.DUMMYFUNCTION("""COMPUTED_VALUE"""),"None")</f>
        <v>None</v>
      </c>
      <c r="T1079" s="6" t="str">
        <f ca="1">IFERROR(__xludf.DUMMYFUNCTION("""COMPUTED_VALUE"""),"None")</f>
        <v>None</v>
      </c>
      <c r="U1079" s="6" t="str">
        <f ca="1">IFERROR(__xludf.DUMMYFUNCTION("""COMPUTED_VALUE"""),"None")</f>
        <v>None</v>
      </c>
      <c r="V1079" s="6"/>
      <c r="W1079" s="6" t="str">
        <f ca="1">IFERROR(__xludf.DUMMYFUNCTION("""COMPUTED_VALUE"""),"Invite Next Year")</f>
        <v>Invite Next Year</v>
      </c>
    </row>
    <row r="1080" spans="1:23">
      <c r="A1080" s="6" t="str">
        <f ca="1">IFERROR(__xludf.DUMMYFUNCTION("""COMPUTED_VALUE"""),"Man, Man")</f>
        <v>Man, Man</v>
      </c>
      <c r="B1080" s="6" t="str">
        <f ca="1">IFERROR(__xludf.DUMMYFUNCTION("""COMPUTED_VALUE"""),"TRAKID _2022")</f>
        <v>TRAKID _2022</v>
      </c>
      <c r="C1080" s="6" t="str">
        <f ca="1">IFERROR(__xludf.DUMMYFUNCTION("""COMPUTED_VALUE"""),"Digital Tech")</f>
        <v>Digital Tech</v>
      </c>
      <c r="D1080" s="6" t="str">
        <f ca="1">IFERROR(__xludf.DUMMYFUNCTION("""COMPUTED_VALUE"""),"Raleigh, NC 
United States")</f>
        <v>Raleigh, NC 
United States</v>
      </c>
      <c r="E1080" s="6" t="str">
        <f ca="1">IFERROR(__xludf.DUMMYFUNCTION("""COMPUTED_VALUE"""),"East Coast")</f>
        <v>East Coast</v>
      </c>
      <c r="F1080" s="6" t="str">
        <f ca="1">IFERROR(__xludf.DUMMYFUNCTION("""COMPUTED_VALUE"""),"Man")</f>
        <v>Man</v>
      </c>
      <c r="G1080" s="6" t="str">
        <f ca="1">IFERROR(__xludf.DUMMYFUNCTION("""COMPUTED_VALUE"""),"Man")</f>
        <v>Man</v>
      </c>
      <c r="H1080" s="6"/>
      <c r="I1080" s="6"/>
      <c r="J1080" s="6"/>
      <c r="K1080" s="6"/>
      <c r="L1080" s="6" t="str">
        <f ca="1">IFERROR(__xludf.DUMMYFUNCTION("""COMPUTED_VALUE"""),"Yes")</f>
        <v>Yes</v>
      </c>
      <c r="M1080" s="6" t="str">
        <f ca="1">IFERROR(__xludf.DUMMYFUNCTION("""COMPUTED_VALUE"""),"Other (please specify)")</f>
        <v>Other (please specify)</v>
      </c>
      <c r="N1080" s="6" t="str">
        <f ca="1">IFERROR(__xludf.DUMMYFUNCTION("""COMPUTED_VALUE"""),"No! But my sister just got into NYU starting till Fall. So I'll be in NYC a lot!")</f>
        <v>No! But my sister just got into NYU starting till Fall. So I'll be in NYC a lot!</v>
      </c>
      <c r="O1080" s="6" t="str">
        <f ca="1">IFERROR(__xludf.DUMMYFUNCTION("""COMPUTED_VALUE"""),"Email")</f>
        <v>Email</v>
      </c>
      <c r="P1080" s="6"/>
      <c r="Q1080" s="6" t="str">
        <f ca="1">IFERROR(__xludf.DUMMYFUNCTION("""COMPUTED_VALUE"""),"No")</f>
        <v>No</v>
      </c>
      <c r="R1080" s="6">
        <f ca="1">IFERROR(__xludf.DUMMYFUNCTION("""COMPUTED_VALUE"""),2)</f>
        <v>2</v>
      </c>
      <c r="S1080" s="6" t="str">
        <f ca="1">IFERROR(__xludf.DUMMYFUNCTION("""COMPUTED_VALUE"""),"Pre-seed
Debt financing")</f>
        <v>Pre-seed
Debt financing</v>
      </c>
      <c r="T1080" s="6" t="str">
        <f ca="1">IFERROR(__xludf.DUMMYFUNCTION("""COMPUTED_VALUE"""),"Pre-seed, Debt financing")</f>
        <v>Pre-seed, Debt financing</v>
      </c>
      <c r="U1080" s="6" t="str">
        <f ca="1">IFERROR(__xludf.DUMMYFUNCTION("""COMPUTED_VALUE"""),"Pre-seed, Debt financing")</f>
        <v>Pre-seed, Debt financing</v>
      </c>
      <c r="V1080" s="6"/>
      <c r="W1080" s="6" t="str">
        <f ca="1">IFERROR(__xludf.DUMMYFUNCTION("""COMPUTED_VALUE"""),"Invite Next Year")</f>
        <v>Invite Next Year</v>
      </c>
    </row>
    <row r="1081" spans="1:23">
      <c r="A1081" s="6" t="str">
        <f ca="1">IFERROR(__xludf.DUMMYFUNCTION("""COMPUTED_VALUE"""),"Woman, Man, Woman")</f>
        <v>Woman, Man, Woman</v>
      </c>
      <c r="B1081" s="6" t="str">
        <f ca="1">IFERROR(__xludf.DUMMYFUNCTION("""COMPUTED_VALUE"""),"Automated Architecture Ltd _2022")</f>
        <v>Automated Architecture Ltd _2022</v>
      </c>
      <c r="C1081" s="6" t="str">
        <f ca="1">IFERROR(__xludf.DUMMYFUNCTION("""COMPUTED_VALUE"""),"Deep Tech")</f>
        <v>Deep Tech</v>
      </c>
      <c r="D1081" s="6" t="str">
        <f ca="1">IFERROR(__xludf.DUMMYFUNCTION("""COMPUTED_VALUE"""),"Bristol, Bristol 
United Kingdom")</f>
        <v>Bristol, Bristol 
United Kingdom</v>
      </c>
      <c r="E1081" s="6" t="str">
        <f ca="1">IFERROR(__xludf.DUMMYFUNCTION("""COMPUTED_VALUE"""),"International - Europe")</f>
        <v>International - Europe</v>
      </c>
      <c r="F1081" s="6" t="str">
        <f ca="1">IFERROR(__xludf.DUMMYFUNCTION("""COMPUTED_VALUE"""),"Woman")</f>
        <v>Woman</v>
      </c>
      <c r="G1081" s="6" t="str">
        <f ca="1">IFERROR(__xludf.DUMMYFUNCTION("""COMPUTED_VALUE"""),"Man")</f>
        <v>Man</v>
      </c>
      <c r="H1081" s="6" t="str">
        <f ca="1">IFERROR(__xludf.DUMMYFUNCTION("""COMPUTED_VALUE"""),"Woman")</f>
        <v>Woman</v>
      </c>
      <c r="I1081" s="6"/>
      <c r="J1081" s="6"/>
      <c r="K1081" s="6"/>
      <c r="L1081" s="6" t="str">
        <f ca="1">IFERROR(__xludf.DUMMYFUNCTION("""COMPUTED_VALUE"""),"No")</f>
        <v>No</v>
      </c>
      <c r="M1081" s="6"/>
      <c r="N1081" s="6"/>
      <c r="O1081" s="6" t="str">
        <f ca="1">IFERROR(__xludf.DUMMYFUNCTION("""COMPUTED_VALUE"""),"Email")</f>
        <v>Email</v>
      </c>
      <c r="P1081" s="6"/>
      <c r="Q1081" s="6" t="str">
        <f ca="1">IFERROR(__xludf.DUMMYFUNCTION("""COMPUTED_VALUE"""),"No")</f>
        <v>No</v>
      </c>
      <c r="R1081" s="6">
        <f ca="1">IFERROR(__xludf.DUMMYFUNCTION("""COMPUTED_VALUE"""),3)</f>
        <v>3</v>
      </c>
      <c r="S1081" s="6" t="str">
        <f ca="1">IFERROR(__xludf.DUMMYFUNCTION("""COMPUTED_VALUE"""),"Grants")</f>
        <v>Grants</v>
      </c>
      <c r="T1081" s="6" t="str">
        <f ca="1">IFERROR(__xludf.DUMMYFUNCTION("""COMPUTED_VALUE"""),"Grants")</f>
        <v>Grants</v>
      </c>
      <c r="U1081" s="6" t="str">
        <f ca="1">IFERROR(__xludf.DUMMYFUNCTION("""COMPUTED_VALUE"""),"Grants")</f>
        <v>Grants</v>
      </c>
      <c r="V1081" s="6"/>
      <c r="W1081" s="6" t="str">
        <f ca="1">IFERROR(__xludf.DUMMYFUNCTION("""COMPUTED_VALUE"""),"Invite")</f>
        <v>Invite</v>
      </c>
    </row>
    <row r="1082" spans="1:23">
      <c r="A1082" s="6" t="str">
        <f ca="1">IFERROR(__xludf.DUMMYFUNCTION("""COMPUTED_VALUE"""),"Woman, Woman")</f>
        <v>Woman, Woman</v>
      </c>
      <c r="B1082" s="6" t="str">
        <f ca="1">IFERROR(__xludf.DUMMYFUNCTION("""COMPUTED_VALUE"""),"The Cloud World _2022")</f>
        <v>The Cloud World _2022</v>
      </c>
      <c r="C1082" s="6" t="str">
        <f ca="1">IFERROR(__xludf.DUMMYFUNCTION("""COMPUTED_VALUE"""),"Digital Tech")</f>
        <v>Digital Tech</v>
      </c>
      <c r="D1082" s="6" t="str">
        <f ca="1">IFERROR(__xludf.DUMMYFUNCTION("""COMPUTED_VALUE"""),"Xi'an, Shaanxi 
China")</f>
        <v>Xi'an, Shaanxi 
China</v>
      </c>
      <c r="E1082" s="6" t="str">
        <f ca="1">IFERROR(__xludf.DUMMYFUNCTION("""COMPUTED_VALUE"""),"International - Asia")</f>
        <v>International - Asia</v>
      </c>
      <c r="F1082" s="6" t="str">
        <f ca="1">IFERROR(__xludf.DUMMYFUNCTION("""COMPUTED_VALUE"""),"Woman")</f>
        <v>Woman</v>
      </c>
      <c r="G1082" s="6" t="str">
        <f ca="1">IFERROR(__xludf.DUMMYFUNCTION("""COMPUTED_VALUE"""),"Woman")</f>
        <v>Woman</v>
      </c>
      <c r="H1082" s="6"/>
      <c r="I1082" s="6"/>
      <c r="J1082" s="6"/>
      <c r="K1082" s="6"/>
      <c r="L1082" s="6" t="str">
        <f ca="1">IFERROR(__xludf.DUMMYFUNCTION("""COMPUTED_VALUE"""),"No")</f>
        <v>No</v>
      </c>
      <c r="M1082" s="6"/>
      <c r="N1082" s="6"/>
      <c r="O1082" s="6" t="str">
        <f ca="1">IFERROR(__xludf.DUMMYFUNCTION("""COMPUTED_VALUE"""),"Email")</f>
        <v>Email</v>
      </c>
      <c r="P1082" s="6"/>
      <c r="Q1082" s="6" t="str">
        <f ca="1">IFERROR(__xludf.DUMMYFUNCTION("""COMPUTED_VALUE"""),"No")</f>
        <v>No</v>
      </c>
      <c r="R1082" s="6">
        <f ca="1">IFERROR(__xludf.DUMMYFUNCTION("""COMPUTED_VALUE"""),2)</f>
        <v>2</v>
      </c>
      <c r="S1082" s="6" t="str">
        <f ca="1">IFERROR(__xludf.DUMMYFUNCTION("""COMPUTED_VALUE"""),"Pre-seed
Seed")</f>
        <v>Pre-seed
Seed</v>
      </c>
      <c r="T1082" s="6" t="str">
        <f ca="1">IFERROR(__xludf.DUMMYFUNCTION("""COMPUTED_VALUE"""),"Pre-seed, Seed")</f>
        <v>Pre-seed, Seed</v>
      </c>
      <c r="U1082" s="6" t="str">
        <f ca="1">IFERROR(__xludf.DUMMYFUNCTION("""COMPUTED_VALUE"""),"Pre-seed, Seed")</f>
        <v>Pre-seed, Seed</v>
      </c>
      <c r="V1082" s="6"/>
      <c r="W1082" s="6" t="str">
        <f ca="1">IFERROR(__xludf.DUMMYFUNCTION("""COMPUTED_VALUE"""),"Invite Next Year")</f>
        <v>Invite Next Year</v>
      </c>
    </row>
    <row r="1083" spans="1:23">
      <c r="A1083" s="6" t="str">
        <f ca="1">IFERROR(__xludf.DUMMYFUNCTION("""COMPUTED_VALUE"""),"Man, Man")</f>
        <v>Man, Man</v>
      </c>
      <c r="B1083" s="6" t="str">
        <f ca="1">IFERROR(__xludf.DUMMYFUNCTION("""COMPUTED_VALUE"""),"Ricovr Healthcare Inc _2022")</f>
        <v>Ricovr Healthcare Inc _2022</v>
      </c>
      <c r="C1083" s="6" t="str">
        <f ca="1">IFERROR(__xludf.DUMMYFUNCTION("""COMPUTED_VALUE"""),"Life Sciences")</f>
        <v>Life Sciences</v>
      </c>
      <c r="D1083" s="6" t="str">
        <f ca="1">IFERROR(__xludf.DUMMYFUNCTION("""COMPUTED_VALUE"""),"Princeton, NJ 
United States")</f>
        <v>Princeton, NJ 
United States</v>
      </c>
      <c r="E1083" s="6" t="str">
        <f ca="1">IFERROR(__xludf.DUMMYFUNCTION("""COMPUTED_VALUE"""),"East Coast")</f>
        <v>East Coast</v>
      </c>
      <c r="F1083" s="6" t="str">
        <f ca="1">IFERROR(__xludf.DUMMYFUNCTION("""COMPUTED_VALUE"""),"Man")</f>
        <v>Man</v>
      </c>
      <c r="G1083" s="6" t="str">
        <f ca="1">IFERROR(__xludf.DUMMYFUNCTION("""COMPUTED_VALUE"""),"Man")</f>
        <v>Man</v>
      </c>
      <c r="H1083" s="6"/>
      <c r="I1083" s="6"/>
      <c r="J1083" s="6"/>
      <c r="K1083" s="6"/>
      <c r="L1083" s="6" t="str">
        <f ca="1">IFERROR(__xludf.DUMMYFUNCTION("""COMPUTED_VALUE"""),"--Please select--")</f>
        <v>--Please select--</v>
      </c>
      <c r="M1083" s="6"/>
      <c r="N1083" s="6"/>
      <c r="O1083" s="6" t="str">
        <f ca="1">IFERROR(__xludf.DUMMYFUNCTION("""COMPUTED_VALUE"""),"Referral")</f>
        <v>Referral</v>
      </c>
      <c r="P1083" s="6"/>
      <c r="Q1083" s="6" t="str">
        <f ca="1">IFERROR(__xludf.DUMMYFUNCTION("""COMPUTED_VALUE"""),"No")</f>
        <v>No</v>
      </c>
      <c r="R1083" s="6">
        <f ca="1">IFERROR(__xludf.DUMMYFUNCTION("""COMPUTED_VALUE"""),2)</f>
        <v>2</v>
      </c>
      <c r="S1083" s="6" t="str">
        <f ca="1">IFERROR(__xludf.DUMMYFUNCTION("""COMPUTED_VALUE"""),"Pre-seed
Seed
Grants")</f>
        <v>Pre-seed
Seed
Grants</v>
      </c>
      <c r="T1083" s="6" t="str">
        <f ca="1">IFERROR(__xludf.DUMMYFUNCTION("""COMPUTED_VALUE"""),"Pre-seed, Seed, Grants")</f>
        <v>Pre-seed, Seed, Grants</v>
      </c>
      <c r="U1083" s="6" t="str">
        <f ca="1">IFERROR(__xludf.DUMMYFUNCTION("""COMPUTED_VALUE"""),"Pre-seed, Seed, Grants")</f>
        <v>Pre-seed, Seed, Grants</v>
      </c>
      <c r="V1083" s="6"/>
      <c r="W1083" s="6" t="str">
        <f ca="1">IFERROR(__xludf.DUMMYFUNCTION("""COMPUTED_VALUE"""),"Special Reject")</f>
        <v>Special Reject</v>
      </c>
    </row>
    <row r="1084" spans="1:23">
      <c r="A1084" s="6" t="str">
        <f ca="1">IFERROR(__xludf.DUMMYFUNCTION("""COMPUTED_VALUE"""),"Man, Woman, Man")</f>
        <v>Man, Woman, Man</v>
      </c>
      <c r="B1084" s="6" t="str">
        <f ca="1">IFERROR(__xludf.DUMMYFUNCTION("""COMPUTED_VALUE"""),"RIFFIT  _2022")</f>
        <v>RIFFIT  _2022</v>
      </c>
      <c r="C1084" s="6" t="str">
        <f ca="1">IFERROR(__xludf.DUMMYFUNCTION("""COMPUTED_VALUE"""),"Digital Tech")</f>
        <v>Digital Tech</v>
      </c>
      <c r="D1084" s="6" t="str">
        <f ca="1">IFERROR(__xludf.DUMMYFUNCTION("""COMPUTED_VALUE"""),"195 Black Cat Rd, Plymouth, MA 02360, Massachusetts 
United States")</f>
        <v>195 Black Cat Rd, Plymouth, MA 02360, Massachusetts 
United States</v>
      </c>
      <c r="E1084" s="6" t="str">
        <f ca="1">IFERROR(__xludf.DUMMYFUNCTION("""COMPUTED_VALUE"""),"East Coast")</f>
        <v>East Coast</v>
      </c>
      <c r="F1084" s="6" t="str">
        <f ca="1">IFERROR(__xludf.DUMMYFUNCTION("""COMPUTED_VALUE"""),"Man")</f>
        <v>Man</v>
      </c>
      <c r="G1084" s="6" t="str">
        <f ca="1">IFERROR(__xludf.DUMMYFUNCTION("""COMPUTED_VALUE"""),"Woman")</f>
        <v>Woman</v>
      </c>
      <c r="H1084" s="6" t="str">
        <f ca="1">IFERROR(__xludf.DUMMYFUNCTION("""COMPUTED_VALUE"""),"Man")</f>
        <v>Man</v>
      </c>
      <c r="I1084" s="6"/>
      <c r="J1084" s="6"/>
      <c r="K1084" s="6"/>
      <c r="L1084" s="6" t="str">
        <f ca="1">IFERROR(__xludf.DUMMYFUNCTION("""COMPUTED_VALUE"""),"Yes")</f>
        <v>Yes</v>
      </c>
      <c r="M1084" s="6" t="str">
        <f ca="1">IFERROR(__xludf.DUMMYFUNCTION("""COMPUTED_VALUE"""),"NYU Faculty")</f>
        <v>NYU Faculty</v>
      </c>
      <c r="N1084" s="6"/>
      <c r="O1084" s="6" t="str">
        <f ca="1">IFERROR(__xludf.DUMMYFUNCTION("""COMPUTED_VALUE"""),"Referral")</f>
        <v>Referral</v>
      </c>
      <c r="P1084" s="6"/>
      <c r="Q1084" s="6" t="str">
        <f ca="1">IFERROR(__xludf.DUMMYFUNCTION("""COMPUTED_VALUE"""),"No")</f>
        <v>No</v>
      </c>
      <c r="R1084" s="6">
        <f ca="1">IFERROR(__xludf.DUMMYFUNCTION("""COMPUTED_VALUE"""),3)</f>
        <v>3</v>
      </c>
      <c r="S1084" s="6" t="str">
        <f ca="1">IFERROR(__xludf.DUMMYFUNCTION("""COMPUTED_VALUE"""),"Seed")</f>
        <v>Seed</v>
      </c>
      <c r="T1084" s="6" t="str">
        <f ca="1">IFERROR(__xludf.DUMMYFUNCTION("""COMPUTED_VALUE"""),"Seed")</f>
        <v>Seed</v>
      </c>
      <c r="U1084" s="6" t="str">
        <f ca="1">IFERROR(__xludf.DUMMYFUNCTION("""COMPUTED_VALUE"""),"Seed")</f>
        <v>Seed</v>
      </c>
      <c r="V1084" s="6"/>
      <c r="W1084" s="6" t="str">
        <f ca="1">IFERROR(__xludf.DUMMYFUNCTION("""COMPUTED_VALUE"""),"Invite")</f>
        <v>Invite</v>
      </c>
    </row>
    <row r="1085" spans="1:23">
      <c r="A1085" s="6" t="str">
        <f ca="1">IFERROR(__xludf.DUMMYFUNCTION("""COMPUTED_VALUE"""),"Man")</f>
        <v>Man</v>
      </c>
      <c r="B1085" s="6" t="str">
        <f ca="1">IFERROR(__xludf.DUMMYFUNCTION("""COMPUTED_VALUE"""),"Dekar Edge/Society _2022")</f>
        <v>Dekar Edge/Society _2022</v>
      </c>
      <c r="C1085" s="6" t="str">
        <f ca="1">IFERROR(__xludf.DUMMYFUNCTION("""COMPUTED_VALUE"""),"Digital Tech")</f>
        <v>Digital Tech</v>
      </c>
      <c r="D1085" s="6" t="str">
        <f ca="1">IFERROR(__xludf.DUMMYFUNCTION("""COMPUTED_VALUE"""),"Ikoyi, Lagos 
Nigeria")</f>
        <v>Ikoyi, Lagos 
Nigeria</v>
      </c>
      <c r="E1085" s="6" t="str">
        <f ca="1">IFERROR(__xludf.DUMMYFUNCTION("""COMPUTED_VALUE"""),"International - Other")</f>
        <v>International - Other</v>
      </c>
      <c r="F1085" s="6" t="str">
        <f ca="1">IFERROR(__xludf.DUMMYFUNCTION("""COMPUTED_VALUE"""),"Man")</f>
        <v>Man</v>
      </c>
      <c r="G1085" s="6"/>
      <c r="H1085" s="6"/>
      <c r="I1085" s="6"/>
      <c r="J1085" s="6"/>
      <c r="K1085" s="6"/>
      <c r="L1085" s="6" t="str">
        <f ca="1">IFERROR(__xludf.DUMMYFUNCTION("""COMPUTED_VALUE"""),"No")</f>
        <v>No</v>
      </c>
      <c r="M1085" s="6"/>
      <c r="N1085" s="6"/>
      <c r="O1085" s="6" t="str">
        <f ca="1">IFERROR(__xludf.DUMMYFUNCTION("""COMPUTED_VALUE"""),"Email")</f>
        <v>Email</v>
      </c>
      <c r="P1085" s="6"/>
      <c r="Q1085" s="6" t="str">
        <f ca="1">IFERROR(__xludf.DUMMYFUNCTION("""COMPUTED_VALUE"""),"No")</f>
        <v>No</v>
      </c>
      <c r="R1085" s="6">
        <f ca="1">IFERROR(__xludf.DUMMYFUNCTION("""COMPUTED_VALUE"""),1)</f>
        <v>1</v>
      </c>
      <c r="S1085" s="6" t="str">
        <f ca="1">IFERROR(__xludf.DUMMYFUNCTION("""COMPUTED_VALUE"""),"Pre-seed")</f>
        <v>Pre-seed</v>
      </c>
      <c r="T1085" s="6" t="str">
        <f ca="1">IFERROR(__xludf.DUMMYFUNCTION("""COMPUTED_VALUE"""),"Pre-seed")</f>
        <v>Pre-seed</v>
      </c>
      <c r="U1085" s="6" t="str">
        <f ca="1">IFERROR(__xludf.DUMMYFUNCTION("""COMPUTED_VALUE"""),"Pre-seed")</f>
        <v>Pre-seed</v>
      </c>
      <c r="V1085" s="6"/>
      <c r="W1085" s="6" t="str">
        <f ca="1">IFERROR(__xludf.DUMMYFUNCTION("""COMPUTED_VALUE"""),"Invite Next Year")</f>
        <v>Invite Next Year</v>
      </c>
    </row>
    <row r="1086" spans="1:23">
      <c r="A1086" s="6" t="str">
        <f ca="1">IFERROR(__xludf.DUMMYFUNCTION("""COMPUTED_VALUE"""),"Man, Man, Man, Man")</f>
        <v>Man, Man, Man, Man</v>
      </c>
      <c r="B1086" s="6" t="str">
        <f ca="1">IFERROR(__xludf.DUMMYFUNCTION("""COMPUTED_VALUE"""),"Taiyo.AI _2022")</f>
        <v>Taiyo.AI _2022</v>
      </c>
      <c r="C1086" s="6" t="str">
        <f ca="1">IFERROR(__xludf.DUMMYFUNCTION("""COMPUTED_VALUE"""),"Digital Tech")</f>
        <v>Digital Tech</v>
      </c>
      <c r="D1086" s="6" t="str">
        <f ca="1">IFERROR(__xludf.DUMMYFUNCTION("""COMPUTED_VALUE"""),"3217 King Street , Berkeley, CA 
United States")</f>
        <v>3217 King Street , Berkeley, CA 
United States</v>
      </c>
      <c r="E1086" s="6" t="str">
        <f ca="1">IFERROR(__xludf.DUMMYFUNCTION("""COMPUTED_VALUE"""),"West Coast")</f>
        <v>West Coast</v>
      </c>
      <c r="F1086" s="6" t="str">
        <f ca="1">IFERROR(__xludf.DUMMYFUNCTION("""COMPUTED_VALUE"""),"Man")</f>
        <v>Man</v>
      </c>
      <c r="G1086" s="6" t="str">
        <f ca="1">IFERROR(__xludf.DUMMYFUNCTION("""COMPUTED_VALUE"""),"Man")</f>
        <v>Man</v>
      </c>
      <c r="H1086" s="6" t="str">
        <f ca="1">IFERROR(__xludf.DUMMYFUNCTION("""COMPUTED_VALUE"""),"Man")</f>
        <v>Man</v>
      </c>
      <c r="I1086" s="6" t="str">
        <f ca="1">IFERROR(__xludf.DUMMYFUNCTION("""COMPUTED_VALUE"""),"Man")</f>
        <v>Man</v>
      </c>
      <c r="J1086" s="6"/>
      <c r="K1086" s="6"/>
      <c r="L1086" s="6" t="str">
        <f ca="1">IFERROR(__xludf.DUMMYFUNCTION("""COMPUTED_VALUE"""),"--Please select--")</f>
        <v>--Please select--</v>
      </c>
      <c r="M1086" s="6"/>
      <c r="N1086" s="6"/>
      <c r="O1086" s="6" t="str">
        <f ca="1">IFERROR(__xludf.DUMMYFUNCTION("""COMPUTED_VALUE"""),"Other")</f>
        <v>Other</v>
      </c>
      <c r="P1086" s="6"/>
      <c r="Q1086" s="6" t="str">
        <f ca="1">IFERROR(__xludf.DUMMYFUNCTION("""COMPUTED_VALUE"""),"No")</f>
        <v>No</v>
      </c>
      <c r="R1086" s="6">
        <f ca="1">IFERROR(__xludf.DUMMYFUNCTION("""COMPUTED_VALUE"""),4)</f>
        <v>4</v>
      </c>
      <c r="S1086" s="6" t="str">
        <f ca="1">IFERROR(__xludf.DUMMYFUNCTION("""COMPUTED_VALUE"""),"Pre-seed")</f>
        <v>Pre-seed</v>
      </c>
      <c r="T1086" s="6" t="str">
        <f ca="1">IFERROR(__xludf.DUMMYFUNCTION("""COMPUTED_VALUE"""),"Pre-seed")</f>
        <v>Pre-seed</v>
      </c>
      <c r="U1086" s="6" t="str">
        <f ca="1">IFERROR(__xludf.DUMMYFUNCTION("""COMPUTED_VALUE"""),"Pre-seed")</f>
        <v>Pre-seed</v>
      </c>
      <c r="V1086" s="6"/>
      <c r="W1086" s="6" t="str">
        <f ca="1">IFERROR(__xludf.DUMMYFUNCTION("""COMPUTED_VALUE"""),"Revisit/ Cluster")</f>
        <v>Revisit/ Cluster</v>
      </c>
    </row>
    <row r="1087" spans="1:23">
      <c r="A1087" s="6" t="str">
        <f ca="1">IFERROR(__xludf.DUMMYFUNCTION("""COMPUTED_VALUE"""),"Man, Man, Man, Man")</f>
        <v>Man, Man, Man, Man</v>
      </c>
      <c r="B1087" s="6" t="str">
        <f ca="1">IFERROR(__xludf.DUMMYFUNCTION("""COMPUTED_VALUE"""),"Apollo iGDS, Inc. _2022")</f>
        <v>Apollo iGDS, Inc. _2022</v>
      </c>
      <c r="C1087" s="6" t="str">
        <f ca="1">IFERROR(__xludf.DUMMYFUNCTION("""COMPUTED_VALUE"""),"Digital Tech")</f>
        <v>Digital Tech</v>
      </c>
      <c r="D1087" s="6" t="str">
        <f ca="1">IFERROR(__xludf.DUMMYFUNCTION("""COMPUTED_VALUE"""),"New York, NY 
United States")</f>
        <v>New York, NY 
United States</v>
      </c>
      <c r="E1087" s="6" t="str">
        <f ca="1">IFERROR(__xludf.DUMMYFUNCTION("""COMPUTED_VALUE"""),"New York")</f>
        <v>New York</v>
      </c>
      <c r="F1087" s="6" t="str">
        <f ca="1">IFERROR(__xludf.DUMMYFUNCTION("""COMPUTED_VALUE"""),"Man")</f>
        <v>Man</v>
      </c>
      <c r="G1087" s="6" t="str">
        <f ca="1">IFERROR(__xludf.DUMMYFUNCTION("""COMPUTED_VALUE"""),"Man")</f>
        <v>Man</v>
      </c>
      <c r="H1087" s="6" t="str">
        <f ca="1">IFERROR(__xludf.DUMMYFUNCTION("""COMPUTED_VALUE"""),"Man")</f>
        <v>Man</v>
      </c>
      <c r="I1087" s="6" t="str">
        <f ca="1">IFERROR(__xludf.DUMMYFUNCTION("""COMPUTED_VALUE"""),"Man")</f>
        <v>Man</v>
      </c>
      <c r="J1087" s="6"/>
      <c r="K1087" s="6"/>
      <c r="L1087" s="6" t="str">
        <f ca="1">IFERROR(__xludf.DUMMYFUNCTION("""COMPUTED_VALUE"""),"No")</f>
        <v>No</v>
      </c>
      <c r="M1087" s="6"/>
      <c r="N1087" s="6"/>
      <c r="O1087" s="6" t="str">
        <f ca="1">IFERROR(__xludf.DUMMYFUNCTION("""COMPUTED_VALUE"""),"Search Engine")</f>
        <v>Search Engine</v>
      </c>
      <c r="P1087" s="6"/>
      <c r="Q1087" s="6" t="str">
        <f ca="1">IFERROR(__xludf.DUMMYFUNCTION("""COMPUTED_VALUE"""),"No")</f>
        <v>No</v>
      </c>
      <c r="R1087" s="6">
        <f ca="1">IFERROR(__xludf.DUMMYFUNCTION("""COMPUTED_VALUE"""),4)</f>
        <v>4</v>
      </c>
      <c r="S1087" s="6" t="str">
        <f ca="1">IFERROR(__xludf.DUMMYFUNCTION("""COMPUTED_VALUE"""),"Pre-seed
Seed")</f>
        <v>Pre-seed
Seed</v>
      </c>
      <c r="T1087" s="6" t="str">
        <f ca="1">IFERROR(__xludf.DUMMYFUNCTION("""COMPUTED_VALUE"""),"Pre-seed, Seed")</f>
        <v>Pre-seed, Seed</v>
      </c>
      <c r="U1087" s="6" t="str">
        <f ca="1">IFERROR(__xludf.DUMMYFUNCTION("""COMPUTED_VALUE"""),"Pre-seed, Seed")</f>
        <v>Pre-seed, Seed</v>
      </c>
      <c r="V1087" s="6"/>
      <c r="W1087" s="6" t="str">
        <f ca="1">IFERROR(__xludf.DUMMYFUNCTION("""COMPUTED_VALUE"""),"Invite Next Year")</f>
        <v>Invite Next Year</v>
      </c>
    </row>
    <row r="1088" spans="1:23">
      <c r="A1088" s="6" t="str">
        <f ca="1">IFERROR(__xludf.DUMMYFUNCTION("""COMPUTED_VALUE"""),"Man, Woman, Man, Man")</f>
        <v>Man, Woman, Man, Man</v>
      </c>
      <c r="B1088" s="6" t="str">
        <f ca="1">IFERROR(__xludf.DUMMYFUNCTION("""COMPUTED_VALUE"""),"Zoundream _2022")</f>
        <v>Zoundream _2022</v>
      </c>
      <c r="C1088" s="6" t="str">
        <f ca="1">IFERROR(__xludf.DUMMYFUNCTION("""COMPUTED_VALUE"""),"Digital Tech")</f>
        <v>Digital Tech</v>
      </c>
      <c r="D1088" s="6" t="str">
        <f ca="1">IFERROR(__xludf.DUMMYFUNCTION("""COMPUTED_VALUE"""),"Basel, Basel-Stadt 
Switzerland")</f>
        <v>Basel, Basel-Stadt 
Switzerland</v>
      </c>
      <c r="E1088" s="6" t="str">
        <f ca="1">IFERROR(__xludf.DUMMYFUNCTION("""COMPUTED_VALUE"""),"International - Europe")</f>
        <v>International - Europe</v>
      </c>
      <c r="F1088" s="6" t="str">
        <f ca="1">IFERROR(__xludf.DUMMYFUNCTION("""COMPUTED_VALUE"""),"Man")</f>
        <v>Man</v>
      </c>
      <c r="G1088" s="6" t="str">
        <f ca="1">IFERROR(__xludf.DUMMYFUNCTION("""COMPUTED_VALUE"""),"Woman")</f>
        <v>Woman</v>
      </c>
      <c r="H1088" s="6" t="str">
        <f ca="1">IFERROR(__xludf.DUMMYFUNCTION("""COMPUTED_VALUE"""),"Man")</f>
        <v>Man</v>
      </c>
      <c r="I1088" s="6" t="str">
        <f ca="1">IFERROR(__xludf.DUMMYFUNCTION("""COMPUTED_VALUE"""),"Man")</f>
        <v>Man</v>
      </c>
      <c r="J1088" s="6"/>
      <c r="K1088" s="6"/>
      <c r="L1088" s="6" t="str">
        <f ca="1">IFERROR(__xludf.DUMMYFUNCTION("""COMPUTED_VALUE"""),"No")</f>
        <v>No</v>
      </c>
      <c r="M1088" s="6"/>
      <c r="N1088" s="6"/>
      <c r="O1088" s="6" t="str">
        <f ca="1">IFERROR(__xludf.DUMMYFUNCTION("""COMPUTED_VALUE"""),"Email")</f>
        <v>Email</v>
      </c>
      <c r="P1088" s="6"/>
      <c r="Q1088" s="6" t="str">
        <f ca="1">IFERROR(__xludf.DUMMYFUNCTION("""COMPUTED_VALUE"""),"No")</f>
        <v>No</v>
      </c>
      <c r="R1088" s="6">
        <f ca="1">IFERROR(__xludf.DUMMYFUNCTION("""COMPUTED_VALUE"""),4)</f>
        <v>4</v>
      </c>
      <c r="S1088" s="6" t="str">
        <f ca="1">IFERROR(__xludf.DUMMYFUNCTION("""COMPUTED_VALUE"""),"Pre-seed")</f>
        <v>Pre-seed</v>
      </c>
      <c r="T1088" s="6" t="str">
        <f ca="1">IFERROR(__xludf.DUMMYFUNCTION("""COMPUTED_VALUE"""),"Pre-seed")</f>
        <v>Pre-seed</v>
      </c>
      <c r="U1088" s="6" t="str">
        <f ca="1">IFERROR(__xludf.DUMMYFUNCTION("""COMPUTED_VALUE"""),"Pre-seed")</f>
        <v>Pre-seed</v>
      </c>
      <c r="V1088" s="6"/>
      <c r="W1088" s="6" t="str">
        <f ca="1">IFERROR(__xludf.DUMMYFUNCTION("""COMPUTED_VALUE"""),"Invite")</f>
        <v>Invite</v>
      </c>
    </row>
    <row r="1089" spans="1:23">
      <c r="A1089" s="6" t="str">
        <f ca="1">IFERROR(__xludf.DUMMYFUNCTION("""COMPUTED_VALUE"""),"Man, Gender-nonconforming, Man")</f>
        <v>Man, Gender-nonconforming, Man</v>
      </c>
      <c r="B1089" s="6" t="str">
        <f ca="1">IFERROR(__xludf.DUMMYFUNCTION("""COMPUTED_VALUE"""),"Lindus Health _2022")</f>
        <v>Lindus Health _2022</v>
      </c>
      <c r="C1089" s="6" t="str">
        <f ca="1">IFERROR(__xludf.DUMMYFUNCTION("""COMPUTED_VALUE"""),"Digital Tech")</f>
        <v>Digital Tech</v>
      </c>
      <c r="D1089" s="6" t="str">
        <f ca="1">IFERROR(__xludf.DUMMYFUNCTION("""COMPUTED_VALUE"""),"London, London 
United Kingdom")</f>
        <v>London, London 
United Kingdom</v>
      </c>
      <c r="E1089" s="6" t="str">
        <f ca="1">IFERROR(__xludf.DUMMYFUNCTION("""COMPUTED_VALUE"""),"International - Europe")</f>
        <v>International - Europe</v>
      </c>
      <c r="F1089" s="6" t="str">
        <f ca="1">IFERROR(__xludf.DUMMYFUNCTION("""COMPUTED_VALUE"""),"Man")</f>
        <v>Man</v>
      </c>
      <c r="G1089" s="6" t="str">
        <f ca="1">IFERROR(__xludf.DUMMYFUNCTION("""COMPUTED_VALUE"""),"Gender-nonconforming")</f>
        <v>Gender-nonconforming</v>
      </c>
      <c r="H1089" s="6" t="str">
        <f ca="1">IFERROR(__xludf.DUMMYFUNCTION("""COMPUTED_VALUE"""),"Man")</f>
        <v>Man</v>
      </c>
      <c r="I1089" s="6"/>
      <c r="J1089" s="6"/>
      <c r="K1089" s="6"/>
      <c r="L1089" s="6" t="str">
        <f ca="1">IFERROR(__xludf.DUMMYFUNCTION("""COMPUTED_VALUE"""),"No")</f>
        <v>No</v>
      </c>
      <c r="M1089" s="6"/>
      <c r="N1089" s="6"/>
      <c r="O1089" s="6" t="str">
        <f ca="1">IFERROR(__xludf.DUMMYFUNCTION("""COMPUTED_VALUE"""),"Email")</f>
        <v>Email</v>
      </c>
      <c r="P1089" s="6"/>
      <c r="Q1089" s="6" t="str">
        <f ca="1">IFERROR(__xludf.DUMMYFUNCTION("""COMPUTED_VALUE"""),"No")</f>
        <v>No</v>
      </c>
      <c r="R1089" s="6">
        <f ca="1">IFERROR(__xludf.DUMMYFUNCTION("""COMPUTED_VALUE"""),3)</f>
        <v>3</v>
      </c>
      <c r="S1089" s="6" t="str">
        <f ca="1">IFERROR(__xludf.DUMMYFUNCTION("""COMPUTED_VALUE"""),"Pre-seed
Seed")</f>
        <v>Pre-seed
Seed</v>
      </c>
      <c r="T1089" s="6" t="str">
        <f ca="1">IFERROR(__xludf.DUMMYFUNCTION("""COMPUTED_VALUE"""),"Pre-seed, Seed")</f>
        <v>Pre-seed, Seed</v>
      </c>
      <c r="U1089" s="6" t="str">
        <f ca="1">IFERROR(__xludf.DUMMYFUNCTION("""COMPUTED_VALUE"""),"Pre-seed, Seed")</f>
        <v>Pre-seed, Seed</v>
      </c>
      <c r="V1089" s="6"/>
      <c r="W1089" s="6" t="str">
        <f ca="1">IFERROR(__xludf.DUMMYFUNCTION("""COMPUTED_VALUE"""),"Revisit/ Cluster")</f>
        <v>Revisit/ Cluster</v>
      </c>
    </row>
    <row r="1090" spans="1:23">
      <c r="A1090" s="6" t="str">
        <f ca="1">IFERROR(__xludf.DUMMYFUNCTION("""COMPUTED_VALUE"""),"Man")</f>
        <v>Man</v>
      </c>
      <c r="B1090" s="6" t="str">
        <f ca="1">IFERROR(__xludf.DUMMYFUNCTION("""COMPUTED_VALUE"""),"Deskfirst, Inc. _2022")</f>
        <v>Deskfirst, Inc. _2022</v>
      </c>
      <c r="C1090" s="6" t="str">
        <f ca="1">IFERROR(__xludf.DUMMYFUNCTION("""COMPUTED_VALUE"""),"Digital Tech")</f>
        <v>Digital Tech</v>
      </c>
      <c r="D1090" s="6" t="str">
        <f ca="1">IFERROR(__xludf.DUMMYFUNCTION("""COMPUTED_VALUE"""),"Dover, Delaware 
United States")</f>
        <v>Dover, Delaware 
United States</v>
      </c>
      <c r="E1090" s="6" t="str">
        <f ca="1">IFERROR(__xludf.DUMMYFUNCTION("""COMPUTED_VALUE"""),"East Coast")</f>
        <v>East Coast</v>
      </c>
      <c r="F1090" s="6" t="str">
        <f ca="1">IFERROR(__xludf.DUMMYFUNCTION("""COMPUTED_VALUE"""),"Man")</f>
        <v>Man</v>
      </c>
      <c r="G1090" s="6"/>
      <c r="H1090" s="6"/>
      <c r="I1090" s="6"/>
      <c r="J1090" s="6"/>
      <c r="K1090" s="6"/>
      <c r="L1090" s="6" t="str">
        <f ca="1">IFERROR(__xludf.DUMMYFUNCTION("""COMPUTED_VALUE"""),"No")</f>
        <v>No</v>
      </c>
      <c r="M1090" s="6"/>
      <c r="N1090" s="6"/>
      <c r="O1090" s="6" t="str">
        <f ca="1">IFERROR(__xludf.DUMMYFUNCTION("""COMPUTED_VALUE"""),"Referral")</f>
        <v>Referral</v>
      </c>
      <c r="P1090" s="6"/>
      <c r="Q1090" s="6" t="str">
        <f ca="1">IFERROR(__xludf.DUMMYFUNCTION("""COMPUTED_VALUE"""),"No")</f>
        <v>No</v>
      </c>
      <c r="R1090" s="6">
        <f ca="1">IFERROR(__xludf.DUMMYFUNCTION("""COMPUTED_VALUE"""),1)</f>
        <v>1</v>
      </c>
      <c r="S1090" s="6" t="str">
        <f ca="1">IFERROR(__xludf.DUMMYFUNCTION("""COMPUTED_VALUE"""),"Pre-seed")</f>
        <v>Pre-seed</v>
      </c>
      <c r="T1090" s="6" t="str">
        <f ca="1">IFERROR(__xludf.DUMMYFUNCTION("""COMPUTED_VALUE"""),"Pre-seed")</f>
        <v>Pre-seed</v>
      </c>
      <c r="U1090" s="6" t="str">
        <f ca="1">IFERROR(__xludf.DUMMYFUNCTION("""COMPUTED_VALUE"""),"Pre-seed")</f>
        <v>Pre-seed</v>
      </c>
      <c r="V1090" s="6"/>
      <c r="W1090" s="6" t="str">
        <f ca="1">IFERROR(__xludf.DUMMYFUNCTION("""COMPUTED_VALUE"""),"Invite Next Year")</f>
        <v>Invite Next Year</v>
      </c>
    </row>
    <row r="1091" spans="1:23">
      <c r="A1091" s="6" t="str">
        <f ca="1">IFERROR(__xludf.DUMMYFUNCTION("""COMPUTED_VALUE"""),"Man, Man, Man, Man")</f>
        <v>Man, Man, Man, Man</v>
      </c>
      <c r="B1091" s="6" t="str">
        <f ca="1">IFERROR(__xludf.DUMMYFUNCTION("""COMPUTED_VALUE"""),"ecolytiq GmbH _2022")</f>
        <v>ecolytiq GmbH _2022</v>
      </c>
      <c r="C1091" s="6" t="str">
        <f ca="1">IFERROR(__xludf.DUMMYFUNCTION("""COMPUTED_VALUE"""),"Digital Tech")</f>
        <v>Digital Tech</v>
      </c>
      <c r="D1091" s="6" t="str">
        <f ca="1">IFERROR(__xludf.DUMMYFUNCTION("""COMPUTED_VALUE"""),"Berlin, Berlin 
Germany")</f>
        <v>Berlin, Berlin 
Germany</v>
      </c>
      <c r="E1091" s="6" t="str">
        <f ca="1">IFERROR(__xludf.DUMMYFUNCTION("""COMPUTED_VALUE"""),"International - Europe")</f>
        <v>International - Europe</v>
      </c>
      <c r="F1091" s="6" t="str">
        <f ca="1">IFERROR(__xludf.DUMMYFUNCTION("""COMPUTED_VALUE"""),"Man")</f>
        <v>Man</v>
      </c>
      <c r="G1091" s="6" t="str">
        <f ca="1">IFERROR(__xludf.DUMMYFUNCTION("""COMPUTED_VALUE"""),"Man")</f>
        <v>Man</v>
      </c>
      <c r="H1091" s="6" t="str">
        <f ca="1">IFERROR(__xludf.DUMMYFUNCTION("""COMPUTED_VALUE"""),"Man")</f>
        <v>Man</v>
      </c>
      <c r="I1091" s="6" t="str">
        <f ca="1">IFERROR(__xludf.DUMMYFUNCTION("""COMPUTED_VALUE"""),"Man")</f>
        <v>Man</v>
      </c>
      <c r="J1091" s="6"/>
      <c r="K1091" s="6"/>
      <c r="L1091" s="6"/>
      <c r="M1091" s="6"/>
      <c r="N1091" s="6"/>
      <c r="O1091" s="6" t="str">
        <f ca="1">IFERROR(__xludf.DUMMYFUNCTION("""COMPUTED_VALUE"""),"Email")</f>
        <v>Email</v>
      </c>
      <c r="P1091" s="6"/>
      <c r="Q1091" s="6" t="str">
        <f ca="1">IFERROR(__xludf.DUMMYFUNCTION("""COMPUTED_VALUE"""),"No")</f>
        <v>No</v>
      </c>
      <c r="R1091" s="6">
        <f ca="1">IFERROR(__xludf.DUMMYFUNCTION("""COMPUTED_VALUE"""),4)</f>
        <v>4</v>
      </c>
      <c r="S1091" s="6" t="str">
        <f ca="1">IFERROR(__xludf.DUMMYFUNCTION("""COMPUTED_VALUE"""),"Seed")</f>
        <v>Seed</v>
      </c>
      <c r="T1091" s="6" t="str">
        <f ca="1">IFERROR(__xludf.DUMMYFUNCTION("""COMPUTED_VALUE"""),"Seed")</f>
        <v>Seed</v>
      </c>
      <c r="U1091" s="6" t="str">
        <f ca="1">IFERROR(__xludf.DUMMYFUNCTION("""COMPUTED_VALUE"""),"Seed")</f>
        <v>Seed</v>
      </c>
      <c r="V1091" s="6"/>
      <c r="W1091" s="6" t="str">
        <f ca="1">IFERROR(__xludf.DUMMYFUNCTION("""COMPUTED_VALUE"""),"Invite")</f>
        <v>Invite</v>
      </c>
    </row>
    <row r="1092" spans="1:23">
      <c r="A1092" s="6" t="str">
        <f ca="1">IFERROR(__xludf.DUMMYFUNCTION("""COMPUTED_VALUE"""),"Man, Woman")</f>
        <v>Man, Woman</v>
      </c>
      <c r="B1092" s="6" t="str">
        <f ca="1">IFERROR(__xludf.DUMMYFUNCTION("""COMPUTED_VALUE"""),"LYK INC _2022")</f>
        <v>LYK INC _2022</v>
      </c>
      <c r="C1092" s="6" t="str">
        <f ca="1">IFERROR(__xludf.DUMMYFUNCTION("""COMPUTED_VALUE"""),"Digital Tech")</f>
        <v>Digital Tech</v>
      </c>
      <c r="D1092" s="6" t="str">
        <f ca="1">IFERROR(__xludf.DUMMYFUNCTION("""COMPUTED_VALUE"""),"35-37, 36th Street, Astoria 
United States")</f>
        <v>35-37, 36th Street, Astoria 
United States</v>
      </c>
      <c r="E1092" s="6" t="str">
        <f ca="1">IFERROR(__xludf.DUMMYFUNCTION("""COMPUTED_VALUE"""),"New York")</f>
        <v>New York</v>
      </c>
      <c r="F1092" s="6" t="str">
        <f ca="1">IFERROR(__xludf.DUMMYFUNCTION("""COMPUTED_VALUE"""),"Man")</f>
        <v>Man</v>
      </c>
      <c r="G1092" s="6" t="str">
        <f ca="1">IFERROR(__xludf.DUMMYFUNCTION("""COMPUTED_VALUE"""),"Woman")</f>
        <v>Woman</v>
      </c>
      <c r="H1092" s="6"/>
      <c r="I1092" s="6"/>
      <c r="J1092" s="6"/>
      <c r="K1092" s="6"/>
      <c r="L1092" s="6" t="str">
        <f ca="1">IFERROR(__xludf.DUMMYFUNCTION("""COMPUTED_VALUE"""),"No")</f>
        <v>No</v>
      </c>
      <c r="M1092" s="6"/>
      <c r="N1092" s="6"/>
      <c r="O1092" s="6" t="str">
        <f ca="1">IFERROR(__xludf.DUMMYFUNCTION("""COMPUTED_VALUE"""),"Email")</f>
        <v>Email</v>
      </c>
      <c r="P1092" s="6"/>
      <c r="Q1092" s="6" t="str">
        <f ca="1">IFERROR(__xludf.DUMMYFUNCTION("""COMPUTED_VALUE"""),"No")</f>
        <v>No</v>
      </c>
      <c r="R1092" s="6">
        <f ca="1">IFERROR(__xludf.DUMMYFUNCTION("""COMPUTED_VALUE"""),2)</f>
        <v>2</v>
      </c>
      <c r="S1092" s="6" t="str">
        <f ca="1">IFERROR(__xludf.DUMMYFUNCTION("""COMPUTED_VALUE"""),"Pre-seed")</f>
        <v>Pre-seed</v>
      </c>
      <c r="T1092" s="6" t="str">
        <f ca="1">IFERROR(__xludf.DUMMYFUNCTION("""COMPUTED_VALUE"""),"Pre-seed")</f>
        <v>Pre-seed</v>
      </c>
      <c r="U1092" s="6" t="str">
        <f ca="1">IFERROR(__xludf.DUMMYFUNCTION("""COMPUTED_VALUE"""),"Pre-seed")</f>
        <v>Pre-seed</v>
      </c>
      <c r="V1092" s="6"/>
      <c r="W1092" s="6" t="str">
        <f ca="1">IFERROR(__xludf.DUMMYFUNCTION("""COMPUTED_VALUE"""),"Invite Next Year")</f>
        <v>Invite Next Year</v>
      </c>
    </row>
    <row r="1093" spans="1:23">
      <c r="A1093" s="6" t="str">
        <f ca="1">IFERROR(__xludf.DUMMYFUNCTION("""COMPUTED_VALUE"""),"Man, Man, Man, Man")</f>
        <v>Man, Man, Man, Man</v>
      </c>
      <c r="B1093" s="6" t="str">
        <f ca="1">IFERROR(__xludf.DUMMYFUNCTION("""COMPUTED_VALUE"""),"GenoTwin, Inc. _2022")</f>
        <v>GenoTwin, Inc. _2022</v>
      </c>
      <c r="C1093" s="6" t="str">
        <f ca="1">IFERROR(__xludf.DUMMYFUNCTION("""COMPUTED_VALUE"""),"Life Sciences")</f>
        <v>Life Sciences</v>
      </c>
      <c r="D1093" s="6" t="str">
        <f ca="1">IFERROR(__xludf.DUMMYFUNCTION("""COMPUTED_VALUE"""),"New York, NY 
United States")</f>
        <v>New York, NY 
United States</v>
      </c>
      <c r="E1093" s="6" t="str">
        <f ca="1">IFERROR(__xludf.DUMMYFUNCTION("""COMPUTED_VALUE"""),"New York")</f>
        <v>New York</v>
      </c>
      <c r="F1093" s="6" t="str">
        <f ca="1">IFERROR(__xludf.DUMMYFUNCTION("""COMPUTED_VALUE"""),"Man")</f>
        <v>Man</v>
      </c>
      <c r="G1093" s="6" t="str">
        <f ca="1">IFERROR(__xludf.DUMMYFUNCTION("""COMPUTED_VALUE"""),"Man")</f>
        <v>Man</v>
      </c>
      <c r="H1093" s="6" t="str">
        <f ca="1">IFERROR(__xludf.DUMMYFUNCTION("""COMPUTED_VALUE"""),"Man")</f>
        <v>Man</v>
      </c>
      <c r="I1093" s="6" t="str">
        <f ca="1">IFERROR(__xludf.DUMMYFUNCTION("""COMPUTED_VALUE"""),"Man")</f>
        <v>Man</v>
      </c>
      <c r="J1093" s="6"/>
      <c r="K1093" s="6"/>
      <c r="L1093" s="6" t="str">
        <f ca="1">IFERROR(__xludf.DUMMYFUNCTION("""COMPUTED_VALUE"""),"No")</f>
        <v>No</v>
      </c>
      <c r="M1093" s="6"/>
      <c r="N1093" s="6"/>
      <c r="O1093" s="6" t="str">
        <f ca="1">IFERROR(__xludf.DUMMYFUNCTION("""COMPUTED_VALUE"""),"Referral")</f>
        <v>Referral</v>
      </c>
      <c r="P1093" s="6"/>
      <c r="Q1093" s="6" t="str">
        <f ca="1">IFERROR(__xludf.DUMMYFUNCTION("""COMPUTED_VALUE"""),"No")</f>
        <v>No</v>
      </c>
      <c r="R1093" s="6">
        <f ca="1">IFERROR(__xludf.DUMMYFUNCTION("""COMPUTED_VALUE"""),4)</f>
        <v>4</v>
      </c>
      <c r="S1093" s="6" t="str">
        <f ca="1">IFERROR(__xludf.DUMMYFUNCTION("""COMPUTED_VALUE"""),"Pre-seed")</f>
        <v>Pre-seed</v>
      </c>
      <c r="T1093" s="6" t="str">
        <f ca="1">IFERROR(__xludf.DUMMYFUNCTION("""COMPUTED_VALUE"""),"Pre-seed")</f>
        <v>Pre-seed</v>
      </c>
      <c r="U1093" s="6" t="str">
        <f ca="1">IFERROR(__xludf.DUMMYFUNCTION("""COMPUTED_VALUE"""),"Pre-seed")</f>
        <v>Pre-seed</v>
      </c>
      <c r="V1093" s="6"/>
      <c r="W1093" s="6" t="str">
        <f ca="1">IFERROR(__xludf.DUMMYFUNCTION("""COMPUTED_VALUE"""),"Invite")</f>
        <v>Invite</v>
      </c>
    </row>
    <row r="1094" spans="1:23">
      <c r="A1094" s="6" t="str">
        <f ca="1">IFERROR(__xludf.DUMMYFUNCTION("""COMPUTED_VALUE"""),"Man")</f>
        <v>Man</v>
      </c>
      <c r="B1094" s="6" t="str">
        <f ca="1">IFERROR(__xludf.DUMMYFUNCTION("""COMPUTED_VALUE"""),"LiveCare _2022")</f>
        <v>LiveCare _2022</v>
      </c>
      <c r="C1094" s="6" t="str">
        <f ca="1">IFERROR(__xludf.DUMMYFUNCTION("""COMPUTED_VALUE"""),"Digital Tech")</f>
        <v>Digital Tech</v>
      </c>
      <c r="D1094" s="6" t="str">
        <f ca="1">IFERROR(__xludf.DUMMYFUNCTION("""COMPUTED_VALUE"""),"New York, NY 
United States")</f>
        <v>New York, NY 
United States</v>
      </c>
      <c r="E1094" s="6" t="str">
        <f ca="1">IFERROR(__xludf.DUMMYFUNCTION("""COMPUTED_VALUE"""),"New York")</f>
        <v>New York</v>
      </c>
      <c r="F1094" s="6" t="str">
        <f ca="1">IFERROR(__xludf.DUMMYFUNCTION("""COMPUTED_VALUE"""),"Man")</f>
        <v>Man</v>
      </c>
      <c r="G1094" s="6"/>
      <c r="H1094" s="6"/>
      <c r="I1094" s="6"/>
      <c r="J1094" s="6"/>
      <c r="K1094" s="6"/>
      <c r="L1094" s="6" t="str">
        <f ca="1">IFERROR(__xludf.DUMMYFUNCTION("""COMPUTED_VALUE"""),"--Please select--")</f>
        <v>--Please select--</v>
      </c>
      <c r="M1094" s="6"/>
      <c r="N1094" s="6"/>
      <c r="O1094" s="6" t="str">
        <f ca="1">IFERROR(__xludf.DUMMYFUNCTION("""COMPUTED_VALUE"""),"Email")</f>
        <v>Email</v>
      </c>
      <c r="P1094" s="6"/>
      <c r="Q1094" s="6" t="str">
        <f ca="1">IFERROR(__xludf.DUMMYFUNCTION("""COMPUTED_VALUE"""),"No")</f>
        <v>No</v>
      </c>
      <c r="R1094" s="6">
        <f ca="1">IFERROR(__xludf.DUMMYFUNCTION("""COMPUTED_VALUE"""),1)</f>
        <v>1</v>
      </c>
      <c r="S1094" s="6" t="str">
        <f ca="1">IFERROR(__xludf.DUMMYFUNCTION("""COMPUTED_VALUE"""),"Seed
Series A
Bridge")</f>
        <v>Seed
Series A
Bridge</v>
      </c>
      <c r="T1094" s="6" t="str">
        <f ca="1">IFERROR(__xludf.DUMMYFUNCTION("""COMPUTED_VALUE"""),"Seed, Series A, Bridge")</f>
        <v>Seed, Series A, Bridge</v>
      </c>
      <c r="U1094" s="6" t="str">
        <f ca="1">IFERROR(__xludf.DUMMYFUNCTION("""COMPUTED_VALUE"""),"Seed, Series A, Bridge")</f>
        <v>Seed, Series A, Bridge</v>
      </c>
      <c r="V1094" s="6"/>
      <c r="W1094" s="6" t="str">
        <f ca="1">IFERROR(__xludf.DUMMYFUNCTION("""COMPUTED_VALUE"""),"Invite")</f>
        <v>Invite</v>
      </c>
    </row>
    <row r="1095" spans="1:23">
      <c r="A1095" s="6" t="str">
        <f ca="1">IFERROR(__xludf.DUMMYFUNCTION("""COMPUTED_VALUE"""),"Man, Woman")</f>
        <v>Man, Woman</v>
      </c>
      <c r="B1095" s="6" t="str">
        <f ca="1">IFERROR(__xludf.DUMMYFUNCTION("""COMPUTED_VALUE"""),"Saathealth _2022")</f>
        <v>Saathealth _2022</v>
      </c>
      <c r="C1095" s="6" t="str">
        <f ca="1">IFERROR(__xludf.DUMMYFUNCTION("""COMPUTED_VALUE"""),"Digital Tech")</f>
        <v>Digital Tech</v>
      </c>
      <c r="D1095" s="6" t="str">
        <f ca="1">IFERROR(__xludf.DUMMYFUNCTION("""COMPUTED_VALUE"""),"Mumbai, Maharashtra 
India")</f>
        <v>Mumbai, Maharashtra 
India</v>
      </c>
      <c r="E1095" s="6" t="str">
        <f ca="1">IFERROR(__xludf.DUMMYFUNCTION("""COMPUTED_VALUE"""),"International - Asia")</f>
        <v>International - Asia</v>
      </c>
      <c r="F1095" s="6" t="str">
        <f ca="1">IFERROR(__xludf.DUMMYFUNCTION("""COMPUTED_VALUE"""),"Man")</f>
        <v>Man</v>
      </c>
      <c r="G1095" s="6" t="str">
        <f ca="1">IFERROR(__xludf.DUMMYFUNCTION("""COMPUTED_VALUE"""),"Woman")</f>
        <v>Woman</v>
      </c>
      <c r="H1095" s="6"/>
      <c r="I1095" s="6"/>
      <c r="J1095" s="6"/>
      <c r="K1095" s="6"/>
      <c r="L1095" s="6" t="str">
        <f ca="1">IFERROR(__xludf.DUMMYFUNCTION("""COMPUTED_VALUE"""),"No")</f>
        <v>No</v>
      </c>
      <c r="M1095" s="6"/>
      <c r="N1095" s="6"/>
      <c r="O1095" s="6" t="str">
        <f ca="1">IFERROR(__xludf.DUMMYFUNCTION("""COMPUTED_VALUE"""),"Referral")</f>
        <v>Referral</v>
      </c>
      <c r="P1095" s="6"/>
      <c r="Q1095" s="6" t="str">
        <f ca="1">IFERROR(__xludf.DUMMYFUNCTION("""COMPUTED_VALUE"""),"No")</f>
        <v>No</v>
      </c>
      <c r="R1095" s="6">
        <f ca="1">IFERROR(__xludf.DUMMYFUNCTION("""COMPUTED_VALUE"""),2)</f>
        <v>2</v>
      </c>
      <c r="S1095" s="6" t="str">
        <f ca="1">IFERROR(__xludf.DUMMYFUNCTION("""COMPUTED_VALUE"""),"Pre-seed")</f>
        <v>Pre-seed</v>
      </c>
      <c r="T1095" s="6" t="str">
        <f ca="1">IFERROR(__xludf.DUMMYFUNCTION("""COMPUTED_VALUE"""),"Pre-seed")</f>
        <v>Pre-seed</v>
      </c>
      <c r="U1095" s="6" t="str">
        <f ca="1">IFERROR(__xludf.DUMMYFUNCTION("""COMPUTED_VALUE"""),"Pre-seed")</f>
        <v>Pre-seed</v>
      </c>
      <c r="V1095" s="6"/>
      <c r="W1095" s="6" t="str">
        <f ca="1">IFERROR(__xludf.DUMMYFUNCTION("""COMPUTED_VALUE"""),"Invite Next Year")</f>
        <v>Invite Next Year</v>
      </c>
    </row>
    <row r="1096" spans="1:23">
      <c r="A1096" s="6" t="str">
        <f ca="1">IFERROR(__xludf.DUMMYFUNCTION("""COMPUTED_VALUE"""),"Man")</f>
        <v>Man</v>
      </c>
      <c r="B1096" s="6" t="str">
        <f ca="1">IFERROR(__xludf.DUMMYFUNCTION("""COMPUTED_VALUE"""),"Singh Biotechnology, LLC _2022")</f>
        <v>Singh Biotechnology, LLC _2022</v>
      </c>
      <c r="C1096" s="6" t="str">
        <f ca="1">IFERROR(__xludf.DUMMYFUNCTION("""COMPUTED_VALUE"""),"Life Sciences")</f>
        <v>Life Sciences</v>
      </c>
      <c r="D1096" s="6" t="str">
        <f ca="1">IFERROR(__xludf.DUMMYFUNCTION("""COMPUTED_VALUE"""),"1547 Fox Grape Loop, Lutz (Tampa Bay), Florida 
United States")</f>
        <v>1547 Fox Grape Loop, Lutz (Tampa Bay), Florida 
United States</v>
      </c>
      <c r="E1096" s="6" t="str">
        <f ca="1">IFERROR(__xludf.DUMMYFUNCTION("""COMPUTED_VALUE"""),"East Coast")</f>
        <v>East Coast</v>
      </c>
      <c r="F1096" s="6" t="str">
        <f ca="1">IFERROR(__xludf.DUMMYFUNCTION("""COMPUTED_VALUE"""),"Man")</f>
        <v>Man</v>
      </c>
      <c r="G1096" s="6"/>
      <c r="H1096" s="6"/>
      <c r="I1096" s="6"/>
      <c r="J1096" s="6"/>
      <c r="K1096" s="6"/>
      <c r="L1096" s="6" t="str">
        <f ca="1">IFERROR(__xludf.DUMMYFUNCTION("""COMPUTED_VALUE"""),"No")</f>
        <v>No</v>
      </c>
      <c r="M1096" s="6"/>
      <c r="N1096" s="6"/>
      <c r="O1096" s="6" t="str">
        <f ca="1">IFERROR(__xludf.DUMMYFUNCTION("""COMPUTED_VALUE"""),"Referral")</f>
        <v>Referral</v>
      </c>
      <c r="P1096" s="6"/>
      <c r="Q1096" s="6" t="str">
        <f ca="1">IFERROR(__xludf.DUMMYFUNCTION("""COMPUTED_VALUE"""),"No")</f>
        <v>No</v>
      </c>
      <c r="R1096" s="6">
        <f ca="1">IFERROR(__xludf.DUMMYFUNCTION("""COMPUTED_VALUE"""),1)</f>
        <v>1</v>
      </c>
      <c r="S1096" s="6" t="str">
        <f ca="1">IFERROR(__xludf.DUMMYFUNCTION("""COMPUTED_VALUE"""),"Seed")</f>
        <v>Seed</v>
      </c>
      <c r="T1096" s="6" t="str">
        <f ca="1">IFERROR(__xludf.DUMMYFUNCTION("""COMPUTED_VALUE"""),"Seed")</f>
        <v>Seed</v>
      </c>
      <c r="U1096" s="6" t="str">
        <f ca="1">IFERROR(__xludf.DUMMYFUNCTION("""COMPUTED_VALUE"""),"Seed")</f>
        <v>Seed</v>
      </c>
      <c r="V1096" s="6"/>
      <c r="W1096" s="6" t="str">
        <f ca="1">IFERROR(__xludf.DUMMYFUNCTION("""COMPUTED_VALUE"""),"Revisit/ Cluster")</f>
        <v>Revisit/ Cluster</v>
      </c>
    </row>
    <row r="1097" spans="1:23">
      <c r="A1097" s="6" t="str">
        <f ca="1">IFERROR(__xludf.DUMMYFUNCTION("""COMPUTED_VALUE"""),"Man, Woman, --Please select--")</f>
        <v>Man, Woman, --Please select--</v>
      </c>
      <c r="B1097" s="6" t="str">
        <f ca="1">IFERROR(__xludf.DUMMYFUNCTION("""COMPUTED_VALUE"""),"VioScore . My Life Kit _2022")</f>
        <v>VioScore . My Life Kit _2022</v>
      </c>
      <c r="C1097" s="6" t="str">
        <f ca="1">IFERROR(__xludf.DUMMYFUNCTION("""COMPUTED_VALUE"""),"Digital Tech")</f>
        <v>Digital Tech</v>
      </c>
      <c r="D1097" s="6" t="str">
        <f ca="1">IFERROR(__xludf.DUMMYFUNCTION("""COMPUTED_VALUE"""),"22 Bischopsgate, EC2N 4BQ 
United Kingdom")</f>
        <v>22 Bischopsgate, EC2N 4BQ 
United Kingdom</v>
      </c>
      <c r="E1097" s="6" t="str">
        <f ca="1">IFERROR(__xludf.DUMMYFUNCTION("""COMPUTED_VALUE"""),"International - Europe")</f>
        <v>International - Europe</v>
      </c>
      <c r="F1097" s="6" t="str">
        <f ca="1">IFERROR(__xludf.DUMMYFUNCTION("""COMPUTED_VALUE"""),"Man")</f>
        <v>Man</v>
      </c>
      <c r="G1097" s="6" t="str">
        <f ca="1">IFERROR(__xludf.DUMMYFUNCTION("""COMPUTED_VALUE"""),"Woman")</f>
        <v>Woman</v>
      </c>
      <c r="H1097" s="6" t="str">
        <f ca="1">IFERROR(__xludf.DUMMYFUNCTION("""COMPUTED_VALUE"""),"--Please select--")</f>
        <v>--Please select--</v>
      </c>
      <c r="I1097" s="6"/>
      <c r="J1097" s="6"/>
      <c r="K1097" s="6"/>
      <c r="L1097" s="6" t="str">
        <f ca="1">IFERROR(__xludf.DUMMYFUNCTION("""COMPUTED_VALUE"""),"Yes")</f>
        <v>Yes</v>
      </c>
      <c r="M1097" s="6" t="str">
        <f ca="1">IFERROR(__xludf.DUMMYFUNCTION("""COMPUTED_VALUE"""),"NYU Staff")</f>
        <v>NYU Staff</v>
      </c>
      <c r="N1097" s="6"/>
      <c r="O1097" s="6" t="str">
        <f ca="1">IFERROR(__xludf.DUMMYFUNCTION("""COMPUTED_VALUE"""),"Email")</f>
        <v>Email</v>
      </c>
      <c r="P1097" s="6"/>
      <c r="Q1097" s="6" t="str">
        <f ca="1">IFERROR(__xludf.DUMMYFUNCTION("""COMPUTED_VALUE"""),"No")</f>
        <v>No</v>
      </c>
      <c r="R1097" s="6">
        <f ca="1">IFERROR(__xludf.DUMMYFUNCTION("""COMPUTED_VALUE"""),3)</f>
        <v>3</v>
      </c>
      <c r="S1097" s="6" t="str">
        <f ca="1">IFERROR(__xludf.DUMMYFUNCTION("""COMPUTED_VALUE"""),"Pre-seed
Seed")</f>
        <v>Pre-seed
Seed</v>
      </c>
      <c r="T1097" s="6" t="str">
        <f ca="1">IFERROR(__xludf.DUMMYFUNCTION("""COMPUTED_VALUE"""),"Pre-seed, Seed")</f>
        <v>Pre-seed, Seed</v>
      </c>
      <c r="U1097" s="6" t="str">
        <f ca="1">IFERROR(__xludf.DUMMYFUNCTION("""COMPUTED_VALUE"""),"Pre-seed, Seed")</f>
        <v>Pre-seed, Seed</v>
      </c>
      <c r="V1097" s="6"/>
      <c r="W1097" s="6" t="str">
        <f ca="1">IFERROR(__xludf.DUMMYFUNCTION("""COMPUTED_VALUE"""),"Invite Next Year")</f>
        <v>Invite Next Year</v>
      </c>
    </row>
    <row r="1098" spans="1:23">
      <c r="A1098" s="6" t="str">
        <f ca="1">IFERROR(__xludf.DUMMYFUNCTION("""COMPUTED_VALUE"""),"Man, Prefer not to respond, Woman")</f>
        <v>Man, Prefer not to respond, Woman</v>
      </c>
      <c r="B1098" s="6" t="str">
        <f ca="1">IFERROR(__xludf.DUMMYFUNCTION("""COMPUTED_VALUE"""),"Namida Lab Inc. _2022")</f>
        <v>Namida Lab Inc. _2022</v>
      </c>
      <c r="C1098" s="6" t="str">
        <f ca="1">IFERROR(__xludf.DUMMYFUNCTION("""COMPUTED_VALUE"""),"Life Sciences")</f>
        <v>Life Sciences</v>
      </c>
      <c r="D1098" s="6" t="str">
        <f ca="1">IFERROR(__xludf.DUMMYFUNCTION("""COMPUTED_VALUE"""),"1905 E. Mission Blvd, Fayetteville, arkansas 
United States")</f>
        <v>1905 E. Mission Blvd, Fayetteville, arkansas 
United States</v>
      </c>
      <c r="E1098" s="6" t="str">
        <f ca="1">IFERROR(__xludf.DUMMYFUNCTION("""COMPUTED_VALUE"""),"Midwest")</f>
        <v>Midwest</v>
      </c>
      <c r="F1098" s="6" t="str">
        <f ca="1">IFERROR(__xludf.DUMMYFUNCTION("""COMPUTED_VALUE"""),"Man")</f>
        <v>Man</v>
      </c>
      <c r="G1098" s="6" t="str">
        <f ca="1">IFERROR(__xludf.DUMMYFUNCTION("""COMPUTED_VALUE"""),"Prefer not to respond")</f>
        <v>Prefer not to respond</v>
      </c>
      <c r="H1098" s="6" t="str">
        <f ca="1">IFERROR(__xludf.DUMMYFUNCTION("""COMPUTED_VALUE"""),"Woman")</f>
        <v>Woman</v>
      </c>
      <c r="I1098" s="6"/>
      <c r="J1098" s="6"/>
      <c r="K1098" s="6"/>
      <c r="L1098" s="6" t="str">
        <f ca="1">IFERROR(__xludf.DUMMYFUNCTION("""COMPUTED_VALUE"""),"No")</f>
        <v>No</v>
      </c>
      <c r="M1098" s="6"/>
      <c r="N1098" s="6"/>
      <c r="O1098" s="6" t="str">
        <f ca="1">IFERROR(__xludf.DUMMYFUNCTION("""COMPUTED_VALUE"""),"Info Session")</f>
        <v>Info Session</v>
      </c>
      <c r="P1098" s="6"/>
      <c r="Q1098" s="6" t="str">
        <f ca="1">IFERROR(__xludf.DUMMYFUNCTION("""COMPUTED_VALUE"""),"No")</f>
        <v>No</v>
      </c>
      <c r="R1098" s="6">
        <f ca="1">IFERROR(__xludf.DUMMYFUNCTION("""COMPUTED_VALUE"""),3)</f>
        <v>3</v>
      </c>
      <c r="S1098" s="6" t="str">
        <f ca="1">IFERROR(__xludf.DUMMYFUNCTION("""COMPUTED_VALUE"""),"Series A")</f>
        <v>Series A</v>
      </c>
      <c r="T1098" s="6" t="str">
        <f ca="1">IFERROR(__xludf.DUMMYFUNCTION("""COMPUTED_VALUE"""),"Series A")</f>
        <v>Series A</v>
      </c>
      <c r="U1098" s="6" t="str">
        <f ca="1">IFERROR(__xludf.DUMMYFUNCTION("""COMPUTED_VALUE"""),"Series A")</f>
        <v>Series A</v>
      </c>
      <c r="V1098" s="6"/>
      <c r="W1098" s="6" t="str">
        <f ca="1">IFERROR(__xludf.DUMMYFUNCTION("""COMPUTED_VALUE"""),"Invite")</f>
        <v>Invite</v>
      </c>
    </row>
    <row r="1099" spans="1:23">
      <c r="A1099" s="6" t="str">
        <f ca="1">IFERROR(__xludf.DUMMYFUNCTION("""COMPUTED_VALUE"""),"Man, Man")</f>
        <v>Man, Man</v>
      </c>
      <c r="B1099" s="6" t="str">
        <f ca="1">IFERROR(__xludf.DUMMYFUNCTION("""COMPUTED_VALUE"""),"ARDA Biomaterials _2022")</f>
        <v>ARDA Biomaterials _2022</v>
      </c>
      <c r="C1099" s="6" t="str">
        <f ca="1">IFERROR(__xludf.DUMMYFUNCTION("""COMPUTED_VALUE"""),"Deep Tech")</f>
        <v>Deep Tech</v>
      </c>
      <c r="D1099" s="6" t="str">
        <f ca="1">IFERROR(__xludf.DUMMYFUNCTION("""COMPUTED_VALUE"""),"10 Pedworth Gardens, London, London 
United Kingdom")</f>
        <v>10 Pedworth Gardens, London, London 
United Kingdom</v>
      </c>
      <c r="E1099" s="6" t="str">
        <f ca="1">IFERROR(__xludf.DUMMYFUNCTION("""COMPUTED_VALUE"""),"International - Europe")</f>
        <v>International - Europe</v>
      </c>
      <c r="F1099" s="6" t="str">
        <f ca="1">IFERROR(__xludf.DUMMYFUNCTION("""COMPUTED_VALUE"""),"Man")</f>
        <v>Man</v>
      </c>
      <c r="G1099" s="6" t="str">
        <f ca="1">IFERROR(__xludf.DUMMYFUNCTION("""COMPUTED_VALUE"""),"Man")</f>
        <v>Man</v>
      </c>
      <c r="H1099" s="6"/>
      <c r="I1099" s="6"/>
      <c r="J1099" s="6"/>
      <c r="K1099" s="6"/>
      <c r="L1099" s="6" t="str">
        <f ca="1">IFERROR(__xludf.DUMMYFUNCTION("""COMPUTED_VALUE"""),"--Please select--")</f>
        <v>--Please select--</v>
      </c>
      <c r="M1099" s="6"/>
      <c r="N1099" s="6"/>
      <c r="O1099" s="6" t="str">
        <f ca="1">IFERROR(__xludf.DUMMYFUNCTION("""COMPUTED_VALUE"""),"Referral")</f>
        <v>Referral</v>
      </c>
      <c r="P1099" s="6"/>
      <c r="Q1099" s="6" t="str">
        <f ca="1">IFERROR(__xludf.DUMMYFUNCTION("""COMPUTED_VALUE"""),"No")</f>
        <v>No</v>
      </c>
      <c r="R1099" s="6">
        <f ca="1">IFERROR(__xludf.DUMMYFUNCTION("""COMPUTED_VALUE"""),2)</f>
        <v>2</v>
      </c>
      <c r="S1099" s="6" t="str">
        <f ca="1">IFERROR(__xludf.DUMMYFUNCTION("""COMPUTED_VALUE"""),"Pre-seed")</f>
        <v>Pre-seed</v>
      </c>
      <c r="T1099" s="6" t="str">
        <f ca="1">IFERROR(__xludf.DUMMYFUNCTION("""COMPUTED_VALUE"""),"Pre-seed")</f>
        <v>Pre-seed</v>
      </c>
      <c r="U1099" s="6" t="str">
        <f ca="1">IFERROR(__xludf.DUMMYFUNCTION("""COMPUTED_VALUE"""),"Pre-seed")</f>
        <v>Pre-seed</v>
      </c>
      <c r="V1099" s="6"/>
      <c r="W1099" s="6" t="str">
        <f ca="1">IFERROR(__xludf.DUMMYFUNCTION("""COMPUTED_VALUE"""),"Invite Next Year")</f>
        <v>Invite Next Year</v>
      </c>
    </row>
    <row r="1100" spans="1:23">
      <c r="A1100" s="6" t="str">
        <f ca="1">IFERROR(__xludf.DUMMYFUNCTION("""COMPUTED_VALUE"""),"Man, Man, Woman")</f>
        <v>Man, Man, Woman</v>
      </c>
      <c r="B1100" s="6" t="str">
        <f ca="1">IFERROR(__xludf.DUMMYFUNCTION("""COMPUTED_VALUE"""),"SynerAI Inc _2022")</f>
        <v>SynerAI Inc _2022</v>
      </c>
      <c r="C1100" s="6" t="str">
        <f ca="1">IFERROR(__xludf.DUMMYFUNCTION("""COMPUTED_VALUE"""),"Digital Tech")</f>
        <v>Digital Tech</v>
      </c>
      <c r="D1100" s="6" t="str">
        <f ca="1">IFERROR(__xludf.DUMMYFUNCTION("""COMPUTED_VALUE"""),"465 North Street, NY 
United States")</f>
        <v>465 North Street, NY 
United States</v>
      </c>
      <c r="E1100" s="6" t="str">
        <f ca="1">IFERROR(__xludf.DUMMYFUNCTION("""COMPUTED_VALUE"""),"New York")</f>
        <v>New York</v>
      </c>
      <c r="F1100" s="6" t="str">
        <f ca="1">IFERROR(__xludf.DUMMYFUNCTION("""COMPUTED_VALUE"""),"Man")</f>
        <v>Man</v>
      </c>
      <c r="G1100" s="6" t="str">
        <f ca="1">IFERROR(__xludf.DUMMYFUNCTION("""COMPUTED_VALUE"""),"Man")</f>
        <v>Man</v>
      </c>
      <c r="H1100" s="6" t="str">
        <f ca="1">IFERROR(__xludf.DUMMYFUNCTION("""COMPUTED_VALUE"""),"Woman")</f>
        <v>Woman</v>
      </c>
      <c r="I1100" s="6"/>
      <c r="J1100" s="6"/>
      <c r="K1100" s="6"/>
      <c r="L1100" s="6" t="str">
        <f ca="1">IFERROR(__xludf.DUMMYFUNCTION("""COMPUTED_VALUE"""),"No")</f>
        <v>No</v>
      </c>
      <c r="M1100" s="6"/>
      <c r="N1100" s="6"/>
      <c r="O1100" s="6" t="str">
        <f ca="1">IFERROR(__xludf.DUMMYFUNCTION("""COMPUTED_VALUE"""),"Email")</f>
        <v>Email</v>
      </c>
      <c r="P1100" s="6"/>
      <c r="Q1100" s="6" t="str">
        <f ca="1">IFERROR(__xludf.DUMMYFUNCTION("""COMPUTED_VALUE"""),"No")</f>
        <v>No</v>
      </c>
      <c r="R1100" s="6">
        <f ca="1">IFERROR(__xludf.DUMMYFUNCTION("""COMPUTED_VALUE"""),3)</f>
        <v>3</v>
      </c>
      <c r="S1100" s="6" t="str">
        <f ca="1">IFERROR(__xludf.DUMMYFUNCTION("""COMPUTED_VALUE"""),"Seed")</f>
        <v>Seed</v>
      </c>
      <c r="T1100" s="6" t="str">
        <f ca="1">IFERROR(__xludf.DUMMYFUNCTION("""COMPUTED_VALUE"""),"Seed")</f>
        <v>Seed</v>
      </c>
      <c r="U1100" s="6" t="str">
        <f ca="1">IFERROR(__xludf.DUMMYFUNCTION("""COMPUTED_VALUE"""),"Seed")</f>
        <v>Seed</v>
      </c>
      <c r="V1100" s="6"/>
      <c r="W1100" s="6" t="str">
        <f ca="1">IFERROR(__xludf.DUMMYFUNCTION("""COMPUTED_VALUE"""),"Invite Next Year")</f>
        <v>Invite Next Year</v>
      </c>
    </row>
    <row r="1101" spans="1:23">
      <c r="A1101" s="6" t="str">
        <f ca="1">IFERROR(__xludf.DUMMYFUNCTION("""COMPUTED_VALUE"""),"Man, Man")</f>
        <v>Man, Man</v>
      </c>
      <c r="B1101" s="6" t="str">
        <f ca="1">IFERROR(__xludf.DUMMYFUNCTION("""COMPUTED_VALUE"""),"eBombo _2022")</f>
        <v>eBombo _2022</v>
      </c>
      <c r="C1101" s="6" t="str">
        <f ca="1">IFERROR(__xludf.DUMMYFUNCTION("""COMPUTED_VALUE"""),"Digital Tech")</f>
        <v>Digital Tech</v>
      </c>
      <c r="D1101" s="6" t="str">
        <f ca="1">IFERROR(__xludf.DUMMYFUNCTION("""COMPUTED_VALUE"""),"Guanajuato 229, Roma Norte, Ciudad de Mexico, Ciudad de Mexico (Mexico City) 
Mexico")</f>
        <v>Guanajuato 229, Roma Norte, Ciudad de Mexico, Ciudad de Mexico (Mexico City) 
Mexico</v>
      </c>
      <c r="E1101" s="6" t="str">
        <f ca="1">IFERROR(__xludf.DUMMYFUNCTION("""COMPUTED_VALUE"""),"International - Americas")</f>
        <v>International - Americas</v>
      </c>
      <c r="F1101" s="6" t="str">
        <f ca="1">IFERROR(__xludf.DUMMYFUNCTION("""COMPUTED_VALUE"""),"Man")</f>
        <v>Man</v>
      </c>
      <c r="G1101" s="6" t="str">
        <f ca="1">IFERROR(__xludf.DUMMYFUNCTION("""COMPUTED_VALUE"""),"Man")</f>
        <v>Man</v>
      </c>
      <c r="H1101" s="6"/>
      <c r="I1101" s="6"/>
      <c r="J1101" s="6"/>
      <c r="K1101" s="6"/>
      <c r="L1101" s="6" t="str">
        <f ca="1">IFERROR(__xludf.DUMMYFUNCTION("""COMPUTED_VALUE"""),"No")</f>
        <v>No</v>
      </c>
      <c r="M1101" s="6"/>
      <c r="N1101" s="6"/>
      <c r="O1101" s="6" t="str">
        <f ca="1">IFERROR(__xludf.DUMMYFUNCTION("""COMPUTED_VALUE"""),"Email")</f>
        <v>Email</v>
      </c>
      <c r="P1101" s="6"/>
      <c r="Q1101" s="6" t="str">
        <f ca="1">IFERROR(__xludf.DUMMYFUNCTION("""COMPUTED_VALUE"""),"No")</f>
        <v>No</v>
      </c>
      <c r="R1101" s="6">
        <f ca="1">IFERROR(__xludf.DUMMYFUNCTION("""COMPUTED_VALUE"""),2)</f>
        <v>2</v>
      </c>
      <c r="S1101" s="6" t="str">
        <f ca="1">IFERROR(__xludf.DUMMYFUNCTION("""COMPUTED_VALUE"""),"Pre-seed")</f>
        <v>Pre-seed</v>
      </c>
      <c r="T1101" s="6" t="str">
        <f ca="1">IFERROR(__xludf.DUMMYFUNCTION("""COMPUTED_VALUE"""),"Pre-seed")</f>
        <v>Pre-seed</v>
      </c>
      <c r="U1101" s="6" t="str">
        <f ca="1">IFERROR(__xludf.DUMMYFUNCTION("""COMPUTED_VALUE"""),"Pre-seed")</f>
        <v>Pre-seed</v>
      </c>
      <c r="V1101" s="6"/>
      <c r="W1101" s="6" t="str">
        <f ca="1">IFERROR(__xludf.DUMMYFUNCTION("""COMPUTED_VALUE"""),"Invite")</f>
        <v>Invite</v>
      </c>
    </row>
    <row r="1102" spans="1:23">
      <c r="A1102" s="6" t="str">
        <f ca="1">IFERROR(__xludf.DUMMYFUNCTION("""COMPUTED_VALUE"""),"Man, Woman, Man, Man")</f>
        <v>Man, Woman, Man, Man</v>
      </c>
      <c r="B1102" s="6" t="str">
        <f ca="1">IFERROR(__xludf.DUMMYFUNCTION("""COMPUTED_VALUE"""),"3F Waste Recovery _2022")</f>
        <v>3F Waste Recovery _2022</v>
      </c>
      <c r="C1102" s="6" t="str">
        <f ca="1">IFERROR(__xludf.DUMMYFUNCTION("""COMPUTED_VALUE"""),"Life Sciences")</f>
        <v>Life Sciences</v>
      </c>
      <c r="D1102" s="6" t="str">
        <f ca="1">IFERROR(__xludf.DUMMYFUNCTION("""COMPUTED_VALUE"""),"St. John's, NL 
Canada")</f>
        <v>St. John's, NL 
Canada</v>
      </c>
      <c r="E1102" s="6" t="str">
        <f ca="1">IFERROR(__xludf.DUMMYFUNCTION("""COMPUTED_VALUE"""),"International - Americas")</f>
        <v>International - Americas</v>
      </c>
      <c r="F1102" s="6" t="str">
        <f ca="1">IFERROR(__xludf.DUMMYFUNCTION("""COMPUTED_VALUE"""),"Man")</f>
        <v>Man</v>
      </c>
      <c r="G1102" s="6" t="str">
        <f ca="1">IFERROR(__xludf.DUMMYFUNCTION("""COMPUTED_VALUE"""),"Woman")</f>
        <v>Woman</v>
      </c>
      <c r="H1102" s="6" t="str">
        <f ca="1">IFERROR(__xludf.DUMMYFUNCTION("""COMPUTED_VALUE"""),"Man")</f>
        <v>Man</v>
      </c>
      <c r="I1102" s="6" t="str">
        <f ca="1">IFERROR(__xludf.DUMMYFUNCTION("""COMPUTED_VALUE"""),"Man")</f>
        <v>Man</v>
      </c>
      <c r="J1102" s="6"/>
      <c r="K1102" s="6"/>
      <c r="L1102" s="6" t="str">
        <f ca="1">IFERROR(__xludf.DUMMYFUNCTION("""COMPUTED_VALUE"""),"No")</f>
        <v>No</v>
      </c>
      <c r="M1102" s="6"/>
      <c r="N1102" s="6"/>
      <c r="O1102" s="6" t="str">
        <f ca="1">IFERROR(__xludf.DUMMYFUNCTION("""COMPUTED_VALUE"""),"Referral")</f>
        <v>Referral</v>
      </c>
      <c r="P1102" s="6"/>
      <c r="Q1102" s="6" t="str">
        <f ca="1">IFERROR(__xludf.DUMMYFUNCTION("""COMPUTED_VALUE"""),"No")</f>
        <v>No</v>
      </c>
      <c r="R1102" s="6">
        <f ca="1">IFERROR(__xludf.DUMMYFUNCTION("""COMPUTED_VALUE"""),4)</f>
        <v>4</v>
      </c>
      <c r="S1102" s="6" t="str">
        <f ca="1">IFERROR(__xludf.DUMMYFUNCTION("""COMPUTED_VALUE"""),"Debt financing
Grants")</f>
        <v>Debt financing
Grants</v>
      </c>
      <c r="T1102" s="6" t="str">
        <f ca="1">IFERROR(__xludf.DUMMYFUNCTION("""COMPUTED_VALUE"""),"Debt financing, Grants")</f>
        <v>Debt financing, Grants</v>
      </c>
      <c r="U1102" s="6" t="str">
        <f ca="1">IFERROR(__xludf.DUMMYFUNCTION("""COMPUTED_VALUE"""),"Debt financing, Grants")</f>
        <v>Debt financing, Grants</v>
      </c>
      <c r="V1102" s="6"/>
      <c r="W1102" s="6" t="str">
        <f ca="1">IFERROR(__xludf.DUMMYFUNCTION("""COMPUTED_VALUE"""),"Invite Next Year")</f>
        <v>Invite Next Year</v>
      </c>
    </row>
    <row r="1103" spans="1:23">
      <c r="A1103" s="6" t="str">
        <f ca="1">IFERROR(__xludf.DUMMYFUNCTION("""COMPUTED_VALUE"""),"Man, Man")</f>
        <v>Man, Man</v>
      </c>
      <c r="B1103" s="6" t="str">
        <f ca="1">IFERROR(__xludf.DUMMYFUNCTION("""COMPUTED_VALUE"""),"AGICortex _2022")</f>
        <v>AGICortex _2022</v>
      </c>
      <c r="C1103" s="6" t="str">
        <f ca="1">IFERROR(__xludf.DUMMYFUNCTION("""COMPUTED_VALUE"""),"Digital Tech")</f>
        <v>Digital Tech</v>
      </c>
      <c r="D1103" s="6" t="str">
        <f ca="1">IFERROR(__xludf.DUMMYFUNCTION("""COMPUTED_VALUE"""),"Poznan, Wielkopolskie 
Poland")</f>
        <v>Poznan, Wielkopolskie 
Poland</v>
      </c>
      <c r="E1103" s="6" t="str">
        <f ca="1">IFERROR(__xludf.DUMMYFUNCTION("""COMPUTED_VALUE"""),"International - Europe")</f>
        <v>International - Europe</v>
      </c>
      <c r="F1103" s="6" t="str">
        <f ca="1">IFERROR(__xludf.DUMMYFUNCTION("""COMPUTED_VALUE"""),"Man")</f>
        <v>Man</v>
      </c>
      <c r="G1103" s="6" t="str">
        <f ca="1">IFERROR(__xludf.DUMMYFUNCTION("""COMPUTED_VALUE"""),"Man")</f>
        <v>Man</v>
      </c>
      <c r="H1103" s="6"/>
      <c r="I1103" s="6"/>
      <c r="J1103" s="6"/>
      <c r="K1103" s="6"/>
      <c r="L1103" s="6" t="str">
        <f ca="1">IFERROR(__xludf.DUMMYFUNCTION("""COMPUTED_VALUE"""),"--Please select--")</f>
        <v>--Please select--</v>
      </c>
      <c r="M1103" s="6"/>
      <c r="N1103" s="6"/>
      <c r="O1103" s="6" t="str">
        <f ca="1">IFERROR(__xludf.DUMMYFUNCTION("""COMPUTED_VALUE"""),"Email")</f>
        <v>Email</v>
      </c>
      <c r="P1103" s="6"/>
      <c r="Q1103" s="6" t="str">
        <f ca="1">IFERROR(__xludf.DUMMYFUNCTION("""COMPUTED_VALUE"""),"No")</f>
        <v>No</v>
      </c>
      <c r="R1103" s="6">
        <f ca="1">IFERROR(__xludf.DUMMYFUNCTION("""COMPUTED_VALUE"""),2)</f>
        <v>2</v>
      </c>
      <c r="S1103" s="6" t="str">
        <f ca="1">IFERROR(__xludf.DUMMYFUNCTION("""COMPUTED_VALUE"""),"Pre-seed")</f>
        <v>Pre-seed</v>
      </c>
      <c r="T1103" s="6" t="str">
        <f ca="1">IFERROR(__xludf.DUMMYFUNCTION("""COMPUTED_VALUE"""),"Pre-seed")</f>
        <v>Pre-seed</v>
      </c>
      <c r="U1103" s="6" t="str">
        <f ca="1">IFERROR(__xludf.DUMMYFUNCTION("""COMPUTED_VALUE"""),"Pre-seed")</f>
        <v>Pre-seed</v>
      </c>
      <c r="V1103" s="6"/>
      <c r="W1103" s="6" t="str">
        <f ca="1">IFERROR(__xludf.DUMMYFUNCTION("""COMPUTED_VALUE"""),"Invite Next Year")</f>
        <v>Invite Next Year</v>
      </c>
    </row>
    <row r="1104" spans="1:23">
      <c r="A1104" s="6" t="str">
        <f ca="1">IFERROR(__xludf.DUMMYFUNCTION("""COMPUTED_VALUE"""),"Woman, Man")</f>
        <v>Woman, Man</v>
      </c>
      <c r="B1104" s="6" t="str">
        <f ca="1">IFERROR(__xludf.DUMMYFUNCTION("""COMPUTED_VALUE"""),"staex GmbH _2022")</f>
        <v>staex GmbH _2022</v>
      </c>
      <c r="C1104" s="6" t="str">
        <f ca="1">IFERROR(__xludf.DUMMYFUNCTION("""COMPUTED_VALUE"""),"Digital Tech")</f>
        <v>Digital Tech</v>
      </c>
      <c r="D1104" s="6" t="str">
        <f ca="1">IFERROR(__xludf.DUMMYFUNCTION("""COMPUTED_VALUE"""),"Berlin, Berlin 
Germany")</f>
        <v>Berlin, Berlin 
Germany</v>
      </c>
      <c r="E1104" s="6" t="str">
        <f ca="1">IFERROR(__xludf.DUMMYFUNCTION("""COMPUTED_VALUE"""),"International - Europe")</f>
        <v>International - Europe</v>
      </c>
      <c r="F1104" s="6" t="str">
        <f ca="1">IFERROR(__xludf.DUMMYFUNCTION("""COMPUTED_VALUE"""),"Woman")</f>
        <v>Woman</v>
      </c>
      <c r="G1104" s="6" t="str">
        <f ca="1">IFERROR(__xludf.DUMMYFUNCTION("""COMPUTED_VALUE"""),"Man")</f>
        <v>Man</v>
      </c>
      <c r="H1104" s="6"/>
      <c r="I1104" s="6"/>
      <c r="J1104" s="6"/>
      <c r="K1104" s="6"/>
      <c r="L1104" s="6" t="str">
        <f ca="1">IFERROR(__xludf.DUMMYFUNCTION("""COMPUTED_VALUE"""),"No")</f>
        <v>No</v>
      </c>
      <c r="M1104" s="6"/>
      <c r="N1104" s="6"/>
      <c r="O1104" s="6" t="str">
        <f ca="1">IFERROR(__xludf.DUMMYFUNCTION("""COMPUTED_VALUE"""),"Referral")</f>
        <v>Referral</v>
      </c>
      <c r="P1104" s="6"/>
      <c r="Q1104" s="6" t="str">
        <f ca="1">IFERROR(__xludf.DUMMYFUNCTION("""COMPUTED_VALUE"""),"No")</f>
        <v>No</v>
      </c>
      <c r="R1104" s="6">
        <f ca="1">IFERROR(__xludf.DUMMYFUNCTION("""COMPUTED_VALUE"""),2)</f>
        <v>2</v>
      </c>
      <c r="S1104" s="6" t="str">
        <f ca="1">IFERROR(__xludf.DUMMYFUNCTION("""COMPUTED_VALUE"""),"Pre-seed")</f>
        <v>Pre-seed</v>
      </c>
      <c r="T1104" s="6" t="str">
        <f ca="1">IFERROR(__xludf.DUMMYFUNCTION("""COMPUTED_VALUE"""),"Pre-seed")</f>
        <v>Pre-seed</v>
      </c>
      <c r="U1104" s="6" t="str">
        <f ca="1">IFERROR(__xludf.DUMMYFUNCTION("""COMPUTED_VALUE"""),"Pre-seed")</f>
        <v>Pre-seed</v>
      </c>
      <c r="V1104" s="6"/>
      <c r="W1104" s="6" t="str">
        <f ca="1">IFERROR(__xludf.DUMMYFUNCTION("""COMPUTED_VALUE"""),"Revisit")</f>
        <v>Revisit</v>
      </c>
    </row>
    <row r="1105" spans="1:23">
      <c r="A1105" s="6" t="str">
        <f ca="1">IFERROR(__xludf.DUMMYFUNCTION("""COMPUTED_VALUE"""),"Man, Man")</f>
        <v>Man, Man</v>
      </c>
      <c r="B1105" s="6" t="str">
        <f ca="1">IFERROR(__xludf.DUMMYFUNCTION("""COMPUTED_VALUE"""),"Heyhack _2022")</f>
        <v>Heyhack _2022</v>
      </c>
      <c r="C1105" s="6" t="str">
        <f ca="1">IFERROR(__xludf.DUMMYFUNCTION("""COMPUTED_VALUE"""),"Digital Tech")</f>
        <v>Digital Tech</v>
      </c>
      <c r="D1105" s="6" t="str">
        <f ca="1">IFERROR(__xludf.DUMMYFUNCTION("""COMPUTED_VALUE"""),"Fiskerivej 2K, 1., 8000 Aarhus C, Denmark 
Denmark")</f>
        <v>Fiskerivej 2K, 1., 8000 Aarhus C, Denmark 
Denmark</v>
      </c>
      <c r="E1105" s="6" t="str">
        <f ca="1">IFERROR(__xludf.DUMMYFUNCTION("""COMPUTED_VALUE"""),"International - Europe")</f>
        <v>International - Europe</v>
      </c>
      <c r="F1105" s="6" t="str">
        <f ca="1">IFERROR(__xludf.DUMMYFUNCTION("""COMPUTED_VALUE"""),"Man")</f>
        <v>Man</v>
      </c>
      <c r="G1105" s="6" t="str">
        <f ca="1">IFERROR(__xludf.DUMMYFUNCTION("""COMPUTED_VALUE"""),"Man")</f>
        <v>Man</v>
      </c>
      <c r="H1105" s="6"/>
      <c r="I1105" s="6"/>
      <c r="J1105" s="6"/>
      <c r="K1105" s="6"/>
      <c r="L1105" s="6" t="str">
        <f ca="1">IFERROR(__xludf.DUMMYFUNCTION("""COMPUTED_VALUE"""),"No")</f>
        <v>No</v>
      </c>
      <c r="M1105" s="6"/>
      <c r="N1105" s="6"/>
      <c r="O1105" s="6" t="str">
        <f ca="1">IFERROR(__xludf.DUMMYFUNCTION("""COMPUTED_VALUE"""),"Email")</f>
        <v>Email</v>
      </c>
      <c r="P1105" s="6"/>
      <c r="Q1105" s="6" t="str">
        <f ca="1">IFERROR(__xludf.DUMMYFUNCTION("""COMPUTED_VALUE"""),"No")</f>
        <v>No</v>
      </c>
      <c r="R1105" s="6">
        <f ca="1">IFERROR(__xludf.DUMMYFUNCTION("""COMPUTED_VALUE"""),2)</f>
        <v>2</v>
      </c>
      <c r="S1105" s="6" t="str">
        <f ca="1">IFERROR(__xludf.DUMMYFUNCTION("""COMPUTED_VALUE"""),"Pre-seed")</f>
        <v>Pre-seed</v>
      </c>
      <c r="T1105" s="6" t="str">
        <f ca="1">IFERROR(__xludf.DUMMYFUNCTION("""COMPUTED_VALUE"""),"Pre-seed")</f>
        <v>Pre-seed</v>
      </c>
      <c r="U1105" s="6" t="str">
        <f ca="1">IFERROR(__xludf.DUMMYFUNCTION("""COMPUTED_VALUE"""),"Pre-seed")</f>
        <v>Pre-seed</v>
      </c>
      <c r="V1105" s="6"/>
      <c r="W1105" s="6" t="str">
        <f ca="1">IFERROR(__xludf.DUMMYFUNCTION("""COMPUTED_VALUE"""),"Invite Next Year")</f>
        <v>Invite Next Year</v>
      </c>
    </row>
    <row r="1106" spans="1:23">
      <c r="A1106" s="6" t="str">
        <f ca="1">IFERROR(__xludf.DUMMYFUNCTION("""COMPUTED_VALUE"""),"Man, Man, Man, Non-binary")</f>
        <v>Man, Man, Man, Non-binary</v>
      </c>
      <c r="B1106" s="6" t="str">
        <f ca="1">IFERROR(__xludf.DUMMYFUNCTION("""COMPUTED_VALUE"""),"Abacube AB _2022")</f>
        <v>Abacube AB _2022</v>
      </c>
      <c r="C1106" s="6" t="str">
        <f ca="1">IFERROR(__xludf.DUMMYFUNCTION("""COMPUTED_VALUE"""),"Digital Tech")</f>
        <v>Digital Tech</v>
      </c>
      <c r="D1106" s="6" t="str">
        <f ca="1">IFERROR(__xludf.DUMMYFUNCTION("""COMPUTED_VALUE"""),"Stockholm, Stockholm 
Sweden")</f>
        <v>Stockholm, Stockholm 
Sweden</v>
      </c>
      <c r="E1106" s="6" t="str">
        <f ca="1">IFERROR(__xludf.DUMMYFUNCTION("""COMPUTED_VALUE"""),"International - Europe")</f>
        <v>International - Europe</v>
      </c>
      <c r="F1106" s="6" t="str">
        <f ca="1">IFERROR(__xludf.DUMMYFUNCTION("""COMPUTED_VALUE"""),"Man")</f>
        <v>Man</v>
      </c>
      <c r="G1106" s="6" t="str">
        <f ca="1">IFERROR(__xludf.DUMMYFUNCTION("""COMPUTED_VALUE"""),"Man")</f>
        <v>Man</v>
      </c>
      <c r="H1106" s="6" t="str">
        <f ca="1">IFERROR(__xludf.DUMMYFUNCTION("""COMPUTED_VALUE"""),"Man")</f>
        <v>Man</v>
      </c>
      <c r="I1106" s="6" t="str">
        <f ca="1">IFERROR(__xludf.DUMMYFUNCTION("""COMPUTED_VALUE"""),"Non-binary")</f>
        <v>Non-binary</v>
      </c>
      <c r="J1106" s="6"/>
      <c r="K1106" s="6"/>
      <c r="L1106" s="6" t="str">
        <f ca="1">IFERROR(__xludf.DUMMYFUNCTION("""COMPUTED_VALUE"""),"No")</f>
        <v>No</v>
      </c>
      <c r="M1106" s="6"/>
      <c r="N1106" s="6"/>
      <c r="O1106" s="6" t="str">
        <f ca="1">IFERROR(__xludf.DUMMYFUNCTION("""COMPUTED_VALUE"""),"Email")</f>
        <v>Email</v>
      </c>
      <c r="P1106" s="6"/>
      <c r="Q1106" s="6" t="str">
        <f ca="1">IFERROR(__xludf.DUMMYFUNCTION("""COMPUTED_VALUE"""),"No")</f>
        <v>No</v>
      </c>
      <c r="R1106" s="6">
        <f ca="1">IFERROR(__xludf.DUMMYFUNCTION("""COMPUTED_VALUE"""),4)</f>
        <v>4</v>
      </c>
      <c r="S1106" s="6" t="str">
        <f ca="1">IFERROR(__xludf.DUMMYFUNCTION("""COMPUTED_VALUE"""),"Pre-seed")</f>
        <v>Pre-seed</v>
      </c>
      <c r="T1106" s="6" t="str">
        <f ca="1">IFERROR(__xludf.DUMMYFUNCTION("""COMPUTED_VALUE"""),"Pre-seed")</f>
        <v>Pre-seed</v>
      </c>
      <c r="U1106" s="6" t="str">
        <f ca="1">IFERROR(__xludf.DUMMYFUNCTION("""COMPUTED_VALUE"""),"Pre-seed")</f>
        <v>Pre-seed</v>
      </c>
      <c r="V1106" s="6"/>
      <c r="W1106" s="6" t="str">
        <f ca="1">IFERROR(__xludf.DUMMYFUNCTION("""COMPUTED_VALUE"""),"Invite Next Year")</f>
        <v>Invite Next Year</v>
      </c>
    </row>
    <row r="1107" spans="1:23">
      <c r="A1107" s="6" t="str">
        <f ca="1">IFERROR(__xludf.DUMMYFUNCTION("""COMPUTED_VALUE"""),"Man, Woman, Man")</f>
        <v>Man, Woman, Man</v>
      </c>
      <c r="B1107" s="6" t="str">
        <f ca="1">IFERROR(__xludf.DUMMYFUNCTION("""COMPUTED_VALUE"""),"Clanq _2022")</f>
        <v>Clanq _2022</v>
      </c>
      <c r="C1107" s="6" t="str">
        <f ca="1">IFERROR(__xludf.DUMMYFUNCTION("""COMPUTED_VALUE"""),"Digital Tech")</f>
        <v>Digital Tech</v>
      </c>
      <c r="D1107" s="6" t="str">
        <f ca="1">IFERROR(__xludf.DUMMYFUNCTION("""COMPUTED_VALUE"""),"Zurich, Zurich 
Switzerland")</f>
        <v>Zurich, Zurich 
Switzerland</v>
      </c>
      <c r="E1107" s="6" t="str">
        <f ca="1">IFERROR(__xludf.DUMMYFUNCTION("""COMPUTED_VALUE"""),"International - Europe")</f>
        <v>International - Europe</v>
      </c>
      <c r="F1107" s="6" t="str">
        <f ca="1">IFERROR(__xludf.DUMMYFUNCTION("""COMPUTED_VALUE"""),"Man")</f>
        <v>Man</v>
      </c>
      <c r="G1107" s="6" t="str">
        <f ca="1">IFERROR(__xludf.DUMMYFUNCTION("""COMPUTED_VALUE"""),"Woman")</f>
        <v>Woman</v>
      </c>
      <c r="H1107" s="6" t="str">
        <f ca="1">IFERROR(__xludf.DUMMYFUNCTION("""COMPUTED_VALUE"""),"Man")</f>
        <v>Man</v>
      </c>
      <c r="I1107" s="6"/>
      <c r="J1107" s="6"/>
      <c r="K1107" s="6"/>
      <c r="L1107" s="6" t="str">
        <f ca="1">IFERROR(__xludf.DUMMYFUNCTION("""COMPUTED_VALUE"""),"No")</f>
        <v>No</v>
      </c>
      <c r="M1107" s="6"/>
      <c r="N1107" s="6"/>
      <c r="O1107" s="6" t="str">
        <f ca="1">IFERROR(__xludf.DUMMYFUNCTION("""COMPUTED_VALUE"""),"Other")</f>
        <v>Other</v>
      </c>
      <c r="P1107" s="6"/>
      <c r="Q1107" s="6" t="str">
        <f ca="1">IFERROR(__xludf.DUMMYFUNCTION("""COMPUTED_VALUE"""),"No")</f>
        <v>No</v>
      </c>
      <c r="R1107" s="6">
        <f ca="1">IFERROR(__xludf.DUMMYFUNCTION("""COMPUTED_VALUE"""),3)</f>
        <v>3</v>
      </c>
      <c r="S1107" s="6" t="str">
        <f ca="1">IFERROR(__xludf.DUMMYFUNCTION("""COMPUTED_VALUE"""),"Pre-seed")</f>
        <v>Pre-seed</v>
      </c>
      <c r="T1107" s="6" t="str">
        <f ca="1">IFERROR(__xludf.DUMMYFUNCTION("""COMPUTED_VALUE"""),"Pre-seed")</f>
        <v>Pre-seed</v>
      </c>
      <c r="U1107" s="6" t="str">
        <f ca="1">IFERROR(__xludf.DUMMYFUNCTION("""COMPUTED_VALUE"""),"Pre-seed")</f>
        <v>Pre-seed</v>
      </c>
      <c r="V1107" s="6"/>
      <c r="W1107" s="6" t="str">
        <f ca="1">IFERROR(__xludf.DUMMYFUNCTION("""COMPUTED_VALUE"""),"Invite Next Year")</f>
        <v>Invite Next Year</v>
      </c>
    </row>
    <row r="1108" spans="1:23">
      <c r="A1108" s="6" t="str">
        <f ca="1">IFERROR(__xludf.DUMMYFUNCTION("""COMPUTED_VALUE"""),"Man, Man")</f>
        <v>Man, Man</v>
      </c>
      <c r="B1108" s="6" t="str">
        <f ca="1">IFERROR(__xludf.DUMMYFUNCTION("""COMPUTED_VALUE"""),"Innatrix Inc. _2022")</f>
        <v>Innatrix Inc. _2022</v>
      </c>
      <c r="C1108" s="6" t="str">
        <f ca="1">IFERROR(__xludf.DUMMYFUNCTION("""COMPUTED_VALUE"""),"Deep Tech")</f>
        <v>Deep Tech</v>
      </c>
      <c r="D1108" s="6" t="str">
        <f ca="1">IFERROR(__xludf.DUMMYFUNCTION("""COMPUTED_VALUE"""),"104 TW Alexander Drive, Durham, NORTH CAROLINA 
United States")</f>
        <v>104 TW Alexander Drive, Durham, NORTH CAROLINA 
United States</v>
      </c>
      <c r="E1108" s="6" t="str">
        <f ca="1">IFERROR(__xludf.DUMMYFUNCTION("""COMPUTED_VALUE"""),"East Coast")</f>
        <v>East Coast</v>
      </c>
      <c r="F1108" s="6" t="str">
        <f ca="1">IFERROR(__xludf.DUMMYFUNCTION("""COMPUTED_VALUE"""),"Man")</f>
        <v>Man</v>
      </c>
      <c r="G1108" s="6" t="str">
        <f ca="1">IFERROR(__xludf.DUMMYFUNCTION("""COMPUTED_VALUE"""),"Man")</f>
        <v>Man</v>
      </c>
      <c r="H1108" s="6"/>
      <c r="I1108" s="6"/>
      <c r="J1108" s="6"/>
      <c r="K1108" s="6"/>
      <c r="L1108" s="6" t="str">
        <f ca="1">IFERROR(__xludf.DUMMYFUNCTION("""COMPUTED_VALUE"""),"--Please select--")</f>
        <v>--Please select--</v>
      </c>
      <c r="M1108" s="6"/>
      <c r="N1108" s="6"/>
      <c r="O1108" s="6" t="str">
        <f ca="1">IFERROR(__xludf.DUMMYFUNCTION("""COMPUTED_VALUE"""),"Referral")</f>
        <v>Referral</v>
      </c>
      <c r="P1108" s="6"/>
      <c r="Q1108" s="6" t="str">
        <f ca="1">IFERROR(__xludf.DUMMYFUNCTION("""COMPUTED_VALUE"""),"No")</f>
        <v>No</v>
      </c>
      <c r="R1108" s="6">
        <f ca="1">IFERROR(__xludf.DUMMYFUNCTION("""COMPUTED_VALUE"""),2)</f>
        <v>2</v>
      </c>
      <c r="S1108" s="6" t="str">
        <f ca="1">IFERROR(__xludf.DUMMYFUNCTION("""COMPUTED_VALUE"""),"Pre-seed")</f>
        <v>Pre-seed</v>
      </c>
      <c r="T1108" s="6" t="str">
        <f ca="1">IFERROR(__xludf.DUMMYFUNCTION("""COMPUTED_VALUE"""),"Pre-seed")</f>
        <v>Pre-seed</v>
      </c>
      <c r="U1108" s="6" t="str">
        <f ca="1">IFERROR(__xludf.DUMMYFUNCTION("""COMPUTED_VALUE"""),"Pre-seed")</f>
        <v>Pre-seed</v>
      </c>
      <c r="V1108" s="6"/>
      <c r="W1108" s="6" t="str">
        <f ca="1">IFERROR(__xludf.DUMMYFUNCTION("""COMPUTED_VALUE"""),"Invite")</f>
        <v>Invite</v>
      </c>
    </row>
    <row r="1109" spans="1:23">
      <c r="A1109" s="6" t="str">
        <f ca="1">IFERROR(__xludf.DUMMYFUNCTION("""COMPUTED_VALUE"""),"Man, --Please select--")</f>
        <v>Man, --Please select--</v>
      </c>
      <c r="B1109" s="6" t="str">
        <f ca="1">IFERROR(__xludf.DUMMYFUNCTION("""COMPUTED_VALUE"""),"Rightbot Technologies, Inc. _2022")</f>
        <v>Rightbot Technologies, Inc. _2022</v>
      </c>
      <c r="C1109" s="6" t="str">
        <f ca="1">IFERROR(__xludf.DUMMYFUNCTION("""COMPUTED_VALUE"""),"Deep Tech")</f>
        <v>Deep Tech</v>
      </c>
      <c r="D1109" s="6" t="str">
        <f ca="1">IFERROR(__xludf.DUMMYFUNCTION("""COMPUTED_VALUE"""),"251 Little Falls Drive, Wilmington, New Castle County, Delaware 19808 
United States")</f>
        <v>251 Little Falls Drive, Wilmington, New Castle County, Delaware 19808 
United States</v>
      </c>
      <c r="E1109" s="6" t="str">
        <f ca="1">IFERROR(__xludf.DUMMYFUNCTION("""COMPUTED_VALUE"""),"East Coast")</f>
        <v>East Coast</v>
      </c>
      <c r="F1109" s="6" t="str">
        <f ca="1">IFERROR(__xludf.DUMMYFUNCTION("""COMPUTED_VALUE"""),"Man")</f>
        <v>Man</v>
      </c>
      <c r="G1109" s="6" t="str">
        <f ca="1">IFERROR(__xludf.DUMMYFUNCTION("""COMPUTED_VALUE"""),"--Please select--")</f>
        <v>--Please select--</v>
      </c>
      <c r="H1109" s="6"/>
      <c r="I1109" s="6"/>
      <c r="J1109" s="6"/>
      <c r="K1109" s="6"/>
      <c r="L1109" s="6" t="str">
        <f ca="1">IFERROR(__xludf.DUMMYFUNCTION("""COMPUTED_VALUE"""),"No")</f>
        <v>No</v>
      </c>
      <c r="M1109" s="6"/>
      <c r="N1109" s="6"/>
      <c r="O1109" s="6" t="str">
        <f ca="1">IFERROR(__xludf.DUMMYFUNCTION("""COMPUTED_VALUE"""),"Email")</f>
        <v>Email</v>
      </c>
      <c r="P1109" s="6"/>
      <c r="Q1109" s="6" t="str">
        <f ca="1">IFERROR(__xludf.DUMMYFUNCTION("""COMPUTED_VALUE"""),"Yes")</f>
        <v>Yes</v>
      </c>
      <c r="R1109" s="6">
        <f ca="1">IFERROR(__xludf.DUMMYFUNCTION("""COMPUTED_VALUE"""),2)</f>
        <v>2</v>
      </c>
      <c r="S1109" s="6" t="str">
        <f ca="1">IFERROR(__xludf.DUMMYFUNCTION("""COMPUTED_VALUE"""),"Pre-seed
Seed")</f>
        <v>Pre-seed
Seed</v>
      </c>
      <c r="T1109" s="6" t="str">
        <f ca="1">IFERROR(__xludf.DUMMYFUNCTION("""COMPUTED_VALUE"""),"Pre-seed, Seed")</f>
        <v>Pre-seed, Seed</v>
      </c>
      <c r="U1109" s="6" t="str">
        <f ca="1">IFERROR(__xludf.DUMMYFUNCTION("""COMPUTED_VALUE"""),"Pre-seed, Seed")</f>
        <v>Pre-seed, Seed</v>
      </c>
      <c r="V1109" s="6"/>
      <c r="W1109" s="6" t="str">
        <f ca="1">IFERROR(__xludf.DUMMYFUNCTION("""COMPUTED_VALUE"""),"Revisit")</f>
        <v>Revisit</v>
      </c>
    </row>
    <row r="1110" spans="1:23">
      <c r="A1110" s="6" t="str">
        <f ca="1">IFERROR(__xludf.DUMMYFUNCTION("""COMPUTED_VALUE"""),"Woman, Woman")</f>
        <v>Woman, Woman</v>
      </c>
      <c r="B1110" s="6" t="str">
        <f ca="1">IFERROR(__xludf.DUMMYFUNCTION("""COMPUTED_VALUE"""),"Aequaland Studio SA _2022")</f>
        <v>Aequaland Studio SA _2022</v>
      </c>
      <c r="C1110" s="6" t="str">
        <f ca="1">IFERROR(__xludf.DUMMYFUNCTION("""COMPUTED_VALUE"""),"Digital Tech")</f>
        <v>Digital Tech</v>
      </c>
      <c r="D1110" s="6" t="str">
        <f ca="1">IFERROR(__xludf.DUMMYFUNCTION("""COMPUTED_VALUE"""),"Rue du maupas 36b, 1004 Lausanne, Vaud 
Switzerland")</f>
        <v>Rue du maupas 36b, 1004 Lausanne, Vaud 
Switzerland</v>
      </c>
      <c r="E1110" s="6" t="str">
        <f ca="1">IFERROR(__xludf.DUMMYFUNCTION("""COMPUTED_VALUE"""),"International - Europe")</f>
        <v>International - Europe</v>
      </c>
      <c r="F1110" s="6" t="str">
        <f ca="1">IFERROR(__xludf.DUMMYFUNCTION("""COMPUTED_VALUE"""),"Woman")</f>
        <v>Woman</v>
      </c>
      <c r="G1110" s="6" t="str">
        <f ca="1">IFERROR(__xludf.DUMMYFUNCTION("""COMPUTED_VALUE"""),"Woman")</f>
        <v>Woman</v>
      </c>
      <c r="H1110" s="6"/>
      <c r="I1110" s="6"/>
      <c r="J1110" s="6"/>
      <c r="K1110" s="6"/>
      <c r="L1110" s="6" t="str">
        <f ca="1">IFERROR(__xludf.DUMMYFUNCTION("""COMPUTED_VALUE"""),"--Please select--")</f>
        <v>--Please select--</v>
      </c>
      <c r="M1110" s="6"/>
      <c r="N1110" s="6"/>
      <c r="O1110" s="6" t="str">
        <f ca="1">IFERROR(__xludf.DUMMYFUNCTION("""COMPUTED_VALUE"""),"Email")</f>
        <v>Email</v>
      </c>
      <c r="P1110" s="6"/>
      <c r="Q1110" s="6" t="str">
        <f ca="1">IFERROR(__xludf.DUMMYFUNCTION("""COMPUTED_VALUE"""),"No")</f>
        <v>No</v>
      </c>
      <c r="R1110" s="6">
        <f ca="1">IFERROR(__xludf.DUMMYFUNCTION("""COMPUTED_VALUE"""),2)</f>
        <v>2</v>
      </c>
      <c r="S1110" s="6" t="str">
        <f ca="1">IFERROR(__xludf.DUMMYFUNCTION("""COMPUTED_VALUE"""),"Seed")</f>
        <v>Seed</v>
      </c>
      <c r="T1110" s="6" t="str">
        <f ca="1">IFERROR(__xludf.DUMMYFUNCTION("""COMPUTED_VALUE"""),"Seed")</f>
        <v>Seed</v>
      </c>
      <c r="U1110" s="6" t="str">
        <f ca="1">IFERROR(__xludf.DUMMYFUNCTION("""COMPUTED_VALUE"""),"Seed")</f>
        <v>Seed</v>
      </c>
      <c r="V1110" s="6"/>
      <c r="W1110" s="6" t="str">
        <f ca="1">IFERROR(__xludf.DUMMYFUNCTION("""COMPUTED_VALUE"""),"Invite Next Year")</f>
        <v>Invite Next Year</v>
      </c>
    </row>
    <row r="1111" spans="1:23">
      <c r="A1111" s="6" t="str">
        <f ca="1">IFERROR(__xludf.DUMMYFUNCTION("""COMPUTED_VALUE"""),"Man, Man, Man, Man, Man, Man")</f>
        <v>Man, Man, Man, Man, Man, Man</v>
      </c>
      <c r="B1111" s="6" t="str">
        <f ca="1">IFERROR(__xludf.DUMMYFUNCTION("""COMPUTED_VALUE"""),"Kleiner Device Labs _2022")</f>
        <v>Kleiner Device Labs _2022</v>
      </c>
      <c r="C1111" s="6" t="str">
        <f ca="1">IFERROR(__xludf.DUMMYFUNCTION("""COMPUTED_VALUE"""),"Life Sciences")</f>
        <v>Life Sciences</v>
      </c>
      <c r="D1111" s="6" t="str">
        <f ca="1">IFERROR(__xludf.DUMMYFUNCTION("""COMPUTED_VALUE"""),"Incline Village, Nevada 
United States")</f>
        <v>Incline Village, Nevada 
United States</v>
      </c>
      <c r="E1111" s="6" t="str">
        <f ca="1">IFERROR(__xludf.DUMMYFUNCTION("""COMPUTED_VALUE"""),"West")</f>
        <v>West</v>
      </c>
      <c r="F1111" s="6" t="str">
        <f ca="1">IFERROR(__xludf.DUMMYFUNCTION("""COMPUTED_VALUE"""),"Man")</f>
        <v>Man</v>
      </c>
      <c r="G1111" s="6" t="str">
        <f ca="1">IFERROR(__xludf.DUMMYFUNCTION("""COMPUTED_VALUE"""),"Man")</f>
        <v>Man</v>
      </c>
      <c r="H1111" s="6" t="str">
        <f ca="1">IFERROR(__xludf.DUMMYFUNCTION("""COMPUTED_VALUE"""),"Man")</f>
        <v>Man</v>
      </c>
      <c r="I1111" s="6" t="str">
        <f ca="1">IFERROR(__xludf.DUMMYFUNCTION("""COMPUTED_VALUE"""),"Man")</f>
        <v>Man</v>
      </c>
      <c r="J1111" s="6" t="str">
        <f ca="1">IFERROR(__xludf.DUMMYFUNCTION("""COMPUTED_VALUE"""),"Man")</f>
        <v>Man</v>
      </c>
      <c r="K1111" s="6" t="str">
        <f ca="1">IFERROR(__xludf.DUMMYFUNCTION("""COMPUTED_VALUE"""),"Man")</f>
        <v>Man</v>
      </c>
      <c r="L1111" s="6" t="str">
        <f ca="1">IFERROR(__xludf.DUMMYFUNCTION("""COMPUTED_VALUE"""),"--Please select--")</f>
        <v>--Please select--</v>
      </c>
      <c r="M1111" s="6"/>
      <c r="N1111" s="6"/>
      <c r="O1111" s="6" t="str">
        <f ca="1">IFERROR(__xludf.DUMMYFUNCTION("""COMPUTED_VALUE"""),"Email")</f>
        <v>Email</v>
      </c>
      <c r="P1111" s="6"/>
      <c r="Q1111" s="6" t="str">
        <f ca="1">IFERROR(__xludf.DUMMYFUNCTION("""COMPUTED_VALUE"""),"No")</f>
        <v>No</v>
      </c>
      <c r="R1111" s="6">
        <f ca="1">IFERROR(__xludf.DUMMYFUNCTION("""COMPUTED_VALUE"""),6)</f>
        <v>6</v>
      </c>
      <c r="S1111" s="6" t="str">
        <f ca="1">IFERROR(__xludf.DUMMYFUNCTION("""COMPUTED_VALUE"""),"Pre-seed
Seed")</f>
        <v>Pre-seed
Seed</v>
      </c>
      <c r="T1111" s="6" t="str">
        <f ca="1">IFERROR(__xludf.DUMMYFUNCTION("""COMPUTED_VALUE"""),"Pre-seed, Seed")</f>
        <v>Pre-seed, Seed</v>
      </c>
      <c r="U1111" s="6" t="str">
        <f ca="1">IFERROR(__xludf.DUMMYFUNCTION("""COMPUTED_VALUE"""),"Pre-seed, Seed")</f>
        <v>Pre-seed, Seed</v>
      </c>
      <c r="V1111" s="6"/>
      <c r="W1111" s="6" t="str">
        <f ca="1">IFERROR(__xludf.DUMMYFUNCTION("""COMPUTED_VALUE"""),"Revisit/ Cluster")</f>
        <v>Revisit/ Cluster</v>
      </c>
    </row>
    <row r="1112" spans="1:23">
      <c r="A1112" s="6" t="str">
        <f ca="1">IFERROR(__xludf.DUMMYFUNCTION("""COMPUTED_VALUE"""),"Man")</f>
        <v>Man</v>
      </c>
      <c r="B1112" s="6" t="str">
        <f ca="1">IFERROR(__xludf.DUMMYFUNCTION("""COMPUTED_VALUE"""),"Mirror World Inc. _2022")</f>
        <v>Mirror World Inc. _2022</v>
      </c>
      <c r="C1112" s="6" t="str">
        <f ca="1">IFERROR(__xludf.DUMMYFUNCTION("""COMPUTED_VALUE"""),"Digital Tech")</f>
        <v>Digital Tech</v>
      </c>
      <c r="D1112" s="6" t="str">
        <f ca="1">IFERROR(__xludf.DUMMYFUNCTION("""COMPUTED_VALUE"""),"Panama, Republic Of Panama 
Panama")</f>
        <v>Panama, Republic Of Panama 
Panama</v>
      </c>
      <c r="E1112" s="6" t="str">
        <f ca="1">IFERROR(__xludf.DUMMYFUNCTION("""COMPUTED_VALUE"""),"International - Americas")</f>
        <v>International - Americas</v>
      </c>
      <c r="F1112" s="6" t="str">
        <f ca="1">IFERROR(__xludf.DUMMYFUNCTION("""COMPUTED_VALUE"""),"Man")</f>
        <v>Man</v>
      </c>
      <c r="G1112" s="6"/>
      <c r="H1112" s="6"/>
      <c r="I1112" s="6"/>
      <c r="J1112" s="6"/>
      <c r="K1112" s="6"/>
      <c r="L1112" s="6" t="str">
        <f ca="1">IFERROR(__xludf.DUMMYFUNCTION("""COMPUTED_VALUE"""),"Yes")</f>
        <v>Yes</v>
      </c>
      <c r="M1112" s="6" t="str">
        <f ca="1">IFERROR(__xludf.DUMMYFUNCTION("""COMPUTED_VALUE"""),"--Please select--")</f>
        <v>--Please select--</v>
      </c>
      <c r="N1112" s="6"/>
      <c r="O1112" s="6" t="str">
        <f ca="1">IFERROR(__xludf.DUMMYFUNCTION("""COMPUTED_VALUE"""),"NYU Newsletter")</f>
        <v>NYU Newsletter</v>
      </c>
      <c r="P1112" s="6"/>
      <c r="Q1112" s="6" t="str">
        <f ca="1">IFERROR(__xludf.DUMMYFUNCTION("""COMPUTED_VALUE"""),"Yes")</f>
        <v>Yes</v>
      </c>
      <c r="R1112" s="6">
        <f ca="1">IFERROR(__xludf.DUMMYFUNCTION("""COMPUTED_VALUE"""),1)</f>
        <v>1</v>
      </c>
      <c r="S1112" s="6" t="str">
        <f ca="1">IFERROR(__xludf.DUMMYFUNCTION("""COMPUTED_VALUE"""),"Seed")</f>
        <v>Seed</v>
      </c>
      <c r="T1112" s="6" t="str">
        <f ca="1">IFERROR(__xludf.DUMMYFUNCTION("""COMPUTED_VALUE"""),"Seed")</f>
        <v>Seed</v>
      </c>
      <c r="U1112" s="6" t="str">
        <f ca="1">IFERROR(__xludf.DUMMYFUNCTION("""COMPUTED_VALUE"""),"Seed")</f>
        <v>Seed</v>
      </c>
      <c r="V1112" s="6"/>
      <c r="W1112" s="6" t="str">
        <f ca="1">IFERROR(__xludf.DUMMYFUNCTION("""COMPUTED_VALUE"""),"Invite Next Year")</f>
        <v>Invite Next Year</v>
      </c>
    </row>
    <row r="1113" spans="1:23">
      <c r="A1113" s="6" t="str">
        <f ca="1">IFERROR(__xludf.DUMMYFUNCTION("""COMPUTED_VALUE"""),"Man")</f>
        <v>Man</v>
      </c>
      <c r="B1113" s="6" t="str">
        <f ca="1">IFERROR(__xludf.DUMMYFUNCTION("""COMPUTED_VALUE"""),"Diversican Corporation _2022")</f>
        <v>Diversican Corporation _2022</v>
      </c>
      <c r="C1113" s="6" t="str">
        <f ca="1">IFERROR(__xludf.DUMMYFUNCTION("""COMPUTED_VALUE"""),"Deep Tech")</f>
        <v>Deep Tech</v>
      </c>
      <c r="D1113" s="6" t="str">
        <f ca="1">IFERROR(__xludf.DUMMYFUNCTION("""COMPUTED_VALUE"""),"3979 Riverstone Dr, Suwanee, GA 
United States")</f>
        <v>3979 Riverstone Dr, Suwanee, GA 
United States</v>
      </c>
      <c r="E1113" s="6" t="str">
        <f ca="1">IFERROR(__xludf.DUMMYFUNCTION("""COMPUTED_VALUE"""),"East Coast")</f>
        <v>East Coast</v>
      </c>
      <c r="F1113" s="6" t="str">
        <f ca="1">IFERROR(__xludf.DUMMYFUNCTION("""COMPUTED_VALUE"""),"Man")</f>
        <v>Man</v>
      </c>
      <c r="G1113" s="6"/>
      <c r="H1113" s="6"/>
      <c r="I1113" s="6"/>
      <c r="J1113" s="6"/>
      <c r="K1113" s="6"/>
      <c r="L1113" s="6" t="str">
        <f ca="1">IFERROR(__xludf.DUMMYFUNCTION("""COMPUTED_VALUE"""),"No")</f>
        <v>No</v>
      </c>
      <c r="M1113" s="6"/>
      <c r="N1113" s="6"/>
      <c r="O1113" s="6" t="str">
        <f ca="1">IFERROR(__xludf.DUMMYFUNCTION("""COMPUTED_VALUE"""),"A web posting")</f>
        <v>A web posting</v>
      </c>
      <c r="P1113" s="6"/>
      <c r="Q1113" s="6" t="str">
        <f ca="1">IFERROR(__xludf.DUMMYFUNCTION("""COMPUTED_VALUE"""),"No")</f>
        <v>No</v>
      </c>
      <c r="R1113" s="6">
        <f ca="1">IFERROR(__xludf.DUMMYFUNCTION("""COMPUTED_VALUE"""),1)</f>
        <v>1</v>
      </c>
      <c r="S1113" s="6" t="str">
        <f ca="1">IFERROR(__xludf.DUMMYFUNCTION("""COMPUTED_VALUE"""),"Pre-seed")</f>
        <v>Pre-seed</v>
      </c>
      <c r="T1113" s="6" t="str">
        <f ca="1">IFERROR(__xludf.DUMMYFUNCTION("""COMPUTED_VALUE"""),"Pre-seed")</f>
        <v>Pre-seed</v>
      </c>
      <c r="U1113" s="6" t="str">
        <f ca="1">IFERROR(__xludf.DUMMYFUNCTION("""COMPUTED_VALUE"""),"Pre-seed")</f>
        <v>Pre-seed</v>
      </c>
      <c r="V1113" s="6"/>
      <c r="W1113" s="6" t="str">
        <f ca="1">IFERROR(__xludf.DUMMYFUNCTION("""COMPUTED_VALUE"""),"Invite Next Year")</f>
        <v>Invite Next Year</v>
      </c>
    </row>
    <row r="1114" spans="1:23">
      <c r="A1114" s="6" t="str">
        <f ca="1">IFERROR(__xludf.DUMMYFUNCTION("""COMPUTED_VALUE"""),"--Please select--")</f>
        <v>--Please select--</v>
      </c>
      <c r="B1114" s="6" t="str">
        <f ca="1">IFERROR(__xludf.DUMMYFUNCTION("""COMPUTED_VALUE"""),"Verity Fitech _2022")</f>
        <v>Verity Fitech _2022</v>
      </c>
      <c r="C1114" s="6" t="str">
        <f ca="1">IFERROR(__xludf.DUMMYFUNCTION("""COMPUTED_VALUE"""),"Digital Tech")</f>
        <v>Digital Tech</v>
      </c>
      <c r="D1114" s="6" t="str">
        <f ca="1">IFERROR(__xludf.DUMMYFUNCTION("""COMPUTED_VALUE"""),"Seattle, Washington 
United States")</f>
        <v>Seattle, Washington 
United States</v>
      </c>
      <c r="E1114" s="6" t="str">
        <f ca="1">IFERROR(__xludf.DUMMYFUNCTION("""COMPUTED_VALUE"""),"West Coast")</f>
        <v>West Coast</v>
      </c>
      <c r="F1114" s="6" t="str">
        <f ca="1">IFERROR(__xludf.DUMMYFUNCTION("""COMPUTED_VALUE"""),"--Please select--")</f>
        <v>--Please select--</v>
      </c>
      <c r="G1114" s="6"/>
      <c r="H1114" s="6"/>
      <c r="I1114" s="6"/>
      <c r="J1114" s="6"/>
      <c r="K1114" s="6"/>
      <c r="L1114" s="6" t="str">
        <f ca="1">IFERROR(__xludf.DUMMYFUNCTION("""COMPUTED_VALUE"""),"No")</f>
        <v>No</v>
      </c>
      <c r="M1114" s="6"/>
      <c r="N1114" s="6"/>
      <c r="O1114" s="6" t="str">
        <f ca="1">IFERROR(__xludf.DUMMYFUNCTION("""COMPUTED_VALUE"""),"Email")</f>
        <v>Email</v>
      </c>
      <c r="P1114" s="6"/>
      <c r="Q1114" s="6" t="str">
        <f ca="1">IFERROR(__xludf.DUMMYFUNCTION("""COMPUTED_VALUE"""),"No")</f>
        <v>No</v>
      </c>
      <c r="R1114" s="6">
        <f ca="1">IFERROR(__xludf.DUMMYFUNCTION("""COMPUTED_VALUE"""),1)</f>
        <v>1</v>
      </c>
      <c r="S1114" s="6" t="str">
        <f ca="1">IFERROR(__xludf.DUMMYFUNCTION("""COMPUTED_VALUE"""),"Pre-seed")</f>
        <v>Pre-seed</v>
      </c>
      <c r="T1114" s="6" t="str">
        <f ca="1">IFERROR(__xludf.DUMMYFUNCTION("""COMPUTED_VALUE"""),"Pre-seed")</f>
        <v>Pre-seed</v>
      </c>
      <c r="U1114" s="6" t="str">
        <f ca="1">IFERROR(__xludf.DUMMYFUNCTION("""COMPUTED_VALUE"""),"Pre-seed")</f>
        <v>Pre-seed</v>
      </c>
      <c r="V1114" s="6"/>
      <c r="W1114" s="6" t="str">
        <f ca="1">IFERROR(__xludf.DUMMYFUNCTION("""COMPUTED_VALUE"""),"Invite Next Year")</f>
        <v>Invite Next Year</v>
      </c>
    </row>
    <row r="1115" spans="1:23">
      <c r="A1115" s="6" t="str">
        <f ca="1">IFERROR(__xludf.DUMMYFUNCTION("""COMPUTED_VALUE"""),"Man")</f>
        <v>Man</v>
      </c>
      <c r="B1115" s="6" t="str">
        <f ca="1">IFERROR(__xludf.DUMMYFUNCTION("""COMPUTED_VALUE"""),"Eco-Panels LLC _2022")</f>
        <v>Eco-Panels LLC _2022</v>
      </c>
      <c r="C1115" s="6" t="str">
        <f ca="1">IFERROR(__xludf.DUMMYFUNCTION("""COMPUTED_VALUE"""),"Deep Tech")</f>
        <v>Deep Tech</v>
      </c>
      <c r="D1115" s="6" t="str">
        <f ca="1">IFERROR(__xludf.DUMMYFUNCTION("""COMPUTED_VALUE"""),"263 Industrial Blvd., Mocksville, NC 
United States")</f>
        <v>263 Industrial Blvd., Mocksville, NC 
United States</v>
      </c>
      <c r="E1115" s="6" t="str">
        <f ca="1">IFERROR(__xludf.DUMMYFUNCTION("""COMPUTED_VALUE"""),"East Coast")</f>
        <v>East Coast</v>
      </c>
      <c r="F1115" s="6" t="str">
        <f ca="1">IFERROR(__xludf.DUMMYFUNCTION("""COMPUTED_VALUE"""),"Man")</f>
        <v>Man</v>
      </c>
      <c r="G1115" s="6"/>
      <c r="H1115" s="6"/>
      <c r="I1115" s="6"/>
      <c r="J1115" s="6"/>
      <c r="K1115" s="6"/>
      <c r="L1115" s="6" t="str">
        <f ca="1">IFERROR(__xludf.DUMMYFUNCTION("""COMPUTED_VALUE"""),"No")</f>
        <v>No</v>
      </c>
      <c r="M1115" s="6"/>
      <c r="N1115" s="6"/>
      <c r="O1115" s="6" t="str">
        <f ca="1">IFERROR(__xludf.DUMMYFUNCTION("""COMPUTED_VALUE"""),"Other")</f>
        <v>Other</v>
      </c>
      <c r="P1115" s="6"/>
      <c r="Q1115" s="6" t="str">
        <f ca="1">IFERROR(__xludf.DUMMYFUNCTION("""COMPUTED_VALUE"""),"No")</f>
        <v>No</v>
      </c>
      <c r="R1115" s="6">
        <f ca="1">IFERROR(__xludf.DUMMYFUNCTION("""COMPUTED_VALUE"""),1)</f>
        <v>1</v>
      </c>
      <c r="S1115" s="6" t="str">
        <f ca="1">IFERROR(__xludf.DUMMYFUNCTION("""COMPUTED_VALUE"""),"Pre-seed
Seed")</f>
        <v>Pre-seed
Seed</v>
      </c>
      <c r="T1115" s="6" t="str">
        <f ca="1">IFERROR(__xludf.DUMMYFUNCTION("""COMPUTED_VALUE"""),"Pre-seed, Seed")</f>
        <v>Pre-seed, Seed</v>
      </c>
      <c r="U1115" s="6" t="str">
        <f ca="1">IFERROR(__xludf.DUMMYFUNCTION("""COMPUTED_VALUE"""),"Pre-seed, Seed")</f>
        <v>Pre-seed, Seed</v>
      </c>
      <c r="V1115" s="6"/>
      <c r="W1115" s="6" t="str">
        <f ca="1">IFERROR(__xludf.DUMMYFUNCTION("""COMPUTED_VALUE"""),"Invite Next Year")</f>
        <v>Invite Next Year</v>
      </c>
    </row>
    <row r="1116" spans="1:23">
      <c r="A1116" s="6" t="str">
        <f ca="1">IFERROR(__xludf.DUMMYFUNCTION("""COMPUTED_VALUE"""),"Man")</f>
        <v>Man</v>
      </c>
      <c r="B1116" s="6" t="str">
        <f ca="1">IFERROR(__xludf.DUMMYFUNCTION("""COMPUTED_VALUE"""),"ChoroPharma, LLC _2022")</f>
        <v>ChoroPharma, LLC _2022</v>
      </c>
      <c r="C1116" s="6" t="str">
        <f ca="1">IFERROR(__xludf.DUMMYFUNCTION("""COMPUTED_VALUE"""),"Life Sciences")</f>
        <v>Life Sciences</v>
      </c>
      <c r="D1116" s="6" t="str">
        <f ca="1">IFERROR(__xludf.DUMMYFUNCTION("""COMPUTED_VALUE"""),"1630 Medlin Creek Loop, Unit 301, North Carolina 
United States")</f>
        <v>1630 Medlin Creek Loop, Unit 301, North Carolina 
United States</v>
      </c>
      <c r="E1116" s="6" t="str">
        <f ca="1">IFERROR(__xludf.DUMMYFUNCTION("""COMPUTED_VALUE"""),"East Coast")</f>
        <v>East Coast</v>
      </c>
      <c r="F1116" s="6" t="str">
        <f ca="1">IFERROR(__xludf.DUMMYFUNCTION("""COMPUTED_VALUE"""),"Man")</f>
        <v>Man</v>
      </c>
      <c r="G1116" s="6"/>
      <c r="H1116" s="6"/>
      <c r="I1116" s="6"/>
      <c r="J1116" s="6"/>
      <c r="K1116" s="6"/>
      <c r="L1116" s="6" t="str">
        <f ca="1">IFERROR(__xludf.DUMMYFUNCTION("""COMPUTED_VALUE"""),"No")</f>
        <v>No</v>
      </c>
      <c r="M1116" s="6"/>
      <c r="N1116" s="6"/>
      <c r="O1116" s="6" t="str">
        <f ca="1">IFERROR(__xludf.DUMMYFUNCTION("""COMPUTED_VALUE"""),"Email")</f>
        <v>Email</v>
      </c>
      <c r="P1116" s="6"/>
      <c r="Q1116" s="6" t="str">
        <f ca="1">IFERROR(__xludf.DUMMYFUNCTION("""COMPUTED_VALUE"""),"No")</f>
        <v>No</v>
      </c>
      <c r="R1116" s="6">
        <f ca="1">IFERROR(__xludf.DUMMYFUNCTION("""COMPUTED_VALUE"""),1)</f>
        <v>1</v>
      </c>
      <c r="S1116" s="6" t="str">
        <f ca="1">IFERROR(__xludf.DUMMYFUNCTION("""COMPUTED_VALUE"""),"Seed")</f>
        <v>Seed</v>
      </c>
      <c r="T1116" s="6" t="str">
        <f ca="1">IFERROR(__xludf.DUMMYFUNCTION("""COMPUTED_VALUE"""),"Seed")</f>
        <v>Seed</v>
      </c>
      <c r="U1116" s="6" t="str">
        <f ca="1">IFERROR(__xludf.DUMMYFUNCTION("""COMPUTED_VALUE"""),"Seed")</f>
        <v>Seed</v>
      </c>
      <c r="V1116" s="6"/>
      <c r="W1116" s="6" t="str">
        <f ca="1">IFERROR(__xludf.DUMMYFUNCTION("""COMPUTED_VALUE"""),"Invite Next Year")</f>
        <v>Invite Next Year</v>
      </c>
    </row>
    <row r="1117" spans="1:23">
      <c r="A1117" s="6" t="str">
        <f ca="1">IFERROR(__xludf.DUMMYFUNCTION("""COMPUTED_VALUE"""),"Man, Man")</f>
        <v>Man, Man</v>
      </c>
      <c r="B1117" s="6" t="str">
        <f ca="1">IFERROR(__xludf.DUMMYFUNCTION("""COMPUTED_VALUE"""),"VLP Plus LLC _2022")</f>
        <v>VLP Plus LLC _2022</v>
      </c>
      <c r="C1117" s="6" t="str">
        <f ca="1">IFERROR(__xludf.DUMMYFUNCTION("""COMPUTED_VALUE"""),"Life Sciences")</f>
        <v>Life Sciences</v>
      </c>
      <c r="D1117" s="6" t="str">
        <f ca="1">IFERROR(__xludf.DUMMYFUNCTION("""COMPUTED_VALUE"""),"Baltimore, MD 
United States")</f>
        <v>Baltimore, MD 
United States</v>
      </c>
      <c r="E1117" s="6" t="str">
        <f ca="1">IFERROR(__xludf.DUMMYFUNCTION("""COMPUTED_VALUE"""),"East Coast")</f>
        <v>East Coast</v>
      </c>
      <c r="F1117" s="6" t="str">
        <f ca="1">IFERROR(__xludf.DUMMYFUNCTION("""COMPUTED_VALUE"""),"Man")</f>
        <v>Man</v>
      </c>
      <c r="G1117" s="6" t="str">
        <f ca="1">IFERROR(__xludf.DUMMYFUNCTION("""COMPUTED_VALUE"""),"Man")</f>
        <v>Man</v>
      </c>
      <c r="H1117" s="6"/>
      <c r="I1117" s="6"/>
      <c r="J1117" s="6"/>
      <c r="K1117" s="6"/>
      <c r="L1117" s="6" t="str">
        <f ca="1">IFERROR(__xludf.DUMMYFUNCTION("""COMPUTED_VALUE"""),"No")</f>
        <v>No</v>
      </c>
      <c r="M1117" s="6"/>
      <c r="N1117" s="6"/>
      <c r="O1117" s="6" t="str">
        <f ca="1">IFERROR(__xludf.DUMMYFUNCTION("""COMPUTED_VALUE"""),"Referral")</f>
        <v>Referral</v>
      </c>
      <c r="P1117" s="6"/>
      <c r="Q1117" s="6" t="str">
        <f ca="1">IFERROR(__xludf.DUMMYFUNCTION("""COMPUTED_VALUE"""),"Yes")</f>
        <v>Yes</v>
      </c>
      <c r="R1117" s="6">
        <f ca="1">IFERROR(__xludf.DUMMYFUNCTION("""COMPUTED_VALUE"""),2)</f>
        <v>2</v>
      </c>
      <c r="S1117" s="6" t="str">
        <f ca="1">IFERROR(__xludf.DUMMYFUNCTION("""COMPUTED_VALUE"""),"None
Other: N/A")</f>
        <v>None
Other: N/A</v>
      </c>
      <c r="T1117" s="6" t="str">
        <f ca="1">IFERROR(__xludf.DUMMYFUNCTION("""COMPUTED_VALUE"""),"None, Other: N/A")</f>
        <v>None, Other: N/A</v>
      </c>
      <c r="U1117" s="6" t="str">
        <f ca="1">IFERROR(__xludf.DUMMYFUNCTION("""COMPUTED_VALUE"""),"None, ")</f>
        <v xml:space="preserve">None, </v>
      </c>
      <c r="V1117" s="6" t="str">
        <f ca="1">IFERROR(__xludf.DUMMYFUNCTION("""COMPUTED_VALUE"""),"N/A")</f>
        <v>N/A</v>
      </c>
      <c r="W1117" s="6" t="str">
        <f ca="1">IFERROR(__xludf.DUMMYFUNCTION("""COMPUTED_VALUE"""),"Invite")</f>
        <v>Invite</v>
      </c>
    </row>
    <row r="1118" spans="1:23">
      <c r="A1118" s="6" t="str">
        <f ca="1">IFERROR(__xludf.DUMMYFUNCTION("""COMPUTED_VALUE"""),"Man, Man")</f>
        <v>Man, Man</v>
      </c>
      <c r="B1118" s="6" t="str">
        <f ca="1">IFERROR(__xludf.DUMMYFUNCTION("""COMPUTED_VALUE"""),"TOMi.digital _2022")</f>
        <v>TOMi.digital _2022</v>
      </c>
      <c r="C1118" s="6" t="str">
        <f ca="1">IFERROR(__xludf.DUMMYFUNCTION("""COMPUTED_VALUE"""),"Digital Tech")</f>
        <v>Digital Tech</v>
      </c>
      <c r="D1118" s="6" t="str">
        <f ca="1">IFERROR(__xludf.DUMMYFUNCTION("""COMPUTED_VALUE"""),"Medellin, Antioquia 
Colombia")</f>
        <v>Medellin, Antioquia 
Colombia</v>
      </c>
      <c r="E1118" s="6" t="str">
        <f ca="1">IFERROR(__xludf.DUMMYFUNCTION("""COMPUTED_VALUE"""),"International - Americas")</f>
        <v>International - Americas</v>
      </c>
      <c r="F1118" s="6" t="str">
        <f ca="1">IFERROR(__xludf.DUMMYFUNCTION("""COMPUTED_VALUE"""),"Man")</f>
        <v>Man</v>
      </c>
      <c r="G1118" s="6" t="str">
        <f ca="1">IFERROR(__xludf.DUMMYFUNCTION("""COMPUTED_VALUE"""),"Man")</f>
        <v>Man</v>
      </c>
      <c r="H1118" s="6"/>
      <c r="I1118" s="6"/>
      <c r="J1118" s="6"/>
      <c r="K1118" s="6"/>
      <c r="L1118" s="6" t="str">
        <f ca="1">IFERROR(__xludf.DUMMYFUNCTION("""COMPUTED_VALUE"""),"No")</f>
        <v>No</v>
      </c>
      <c r="M1118" s="6"/>
      <c r="N1118" s="6"/>
      <c r="O1118" s="6" t="str">
        <f ca="1">IFERROR(__xludf.DUMMYFUNCTION("""COMPUTED_VALUE"""),"Email")</f>
        <v>Email</v>
      </c>
      <c r="P1118" s="6"/>
      <c r="Q1118" s="6" t="str">
        <f ca="1">IFERROR(__xludf.DUMMYFUNCTION("""COMPUTED_VALUE"""),"No")</f>
        <v>No</v>
      </c>
      <c r="R1118" s="6">
        <f ca="1">IFERROR(__xludf.DUMMYFUNCTION("""COMPUTED_VALUE"""),2)</f>
        <v>2</v>
      </c>
      <c r="S1118" s="6" t="str">
        <f ca="1">IFERROR(__xludf.DUMMYFUNCTION("""COMPUTED_VALUE"""),"Seed")</f>
        <v>Seed</v>
      </c>
      <c r="T1118" s="6" t="str">
        <f ca="1">IFERROR(__xludf.DUMMYFUNCTION("""COMPUTED_VALUE"""),"Seed")</f>
        <v>Seed</v>
      </c>
      <c r="U1118" s="6" t="str">
        <f ca="1">IFERROR(__xludf.DUMMYFUNCTION("""COMPUTED_VALUE"""),"Seed")</f>
        <v>Seed</v>
      </c>
      <c r="V1118" s="6"/>
      <c r="W1118" s="6" t="str">
        <f ca="1">IFERROR(__xludf.DUMMYFUNCTION("""COMPUTED_VALUE"""),"Invite")</f>
        <v>Invite</v>
      </c>
    </row>
    <row r="1119" spans="1:23">
      <c r="A1119" s="6" t="str">
        <f ca="1">IFERROR(__xludf.DUMMYFUNCTION("""COMPUTED_VALUE"""),"Man, Man, Woman")</f>
        <v>Man, Man, Woman</v>
      </c>
      <c r="B1119" s="6" t="str">
        <f ca="1">IFERROR(__xludf.DUMMYFUNCTION("""COMPUTED_VALUE"""),"PhoneOptika Ltd. _2022")</f>
        <v>PhoneOptika Ltd. _2022</v>
      </c>
      <c r="C1119" s="6" t="str">
        <f ca="1">IFERROR(__xludf.DUMMYFUNCTION("""COMPUTED_VALUE"""),"Deep Tech")</f>
        <v>Deep Tech</v>
      </c>
      <c r="D1119" s="6" t="str">
        <f ca="1">IFERROR(__xludf.DUMMYFUNCTION("""COMPUTED_VALUE"""),"Sde Warburg, Israel 
Israel")</f>
        <v>Sde Warburg, Israel 
Israel</v>
      </c>
      <c r="E1119" s="6" t="str">
        <f ca="1">IFERROR(__xludf.DUMMYFUNCTION("""COMPUTED_VALUE"""),"International - Middle East")</f>
        <v>International - Middle East</v>
      </c>
      <c r="F1119" s="6" t="str">
        <f ca="1">IFERROR(__xludf.DUMMYFUNCTION("""COMPUTED_VALUE"""),"Man")</f>
        <v>Man</v>
      </c>
      <c r="G1119" s="6" t="str">
        <f ca="1">IFERROR(__xludf.DUMMYFUNCTION("""COMPUTED_VALUE"""),"Man")</f>
        <v>Man</v>
      </c>
      <c r="H1119" s="6" t="str">
        <f ca="1">IFERROR(__xludf.DUMMYFUNCTION("""COMPUTED_VALUE"""),"Woman")</f>
        <v>Woman</v>
      </c>
      <c r="I1119" s="6"/>
      <c r="J1119" s="6"/>
      <c r="K1119" s="6"/>
      <c r="L1119" s="6" t="str">
        <f ca="1">IFERROR(__xludf.DUMMYFUNCTION("""COMPUTED_VALUE"""),"No")</f>
        <v>No</v>
      </c>
      <c r="M1119" s="6"/>
      <c r="N1119" s="6"/>
      <c r="O1119" s="6" t="str">
        <f ca="1">IFERROR(__xludf.DUMMYFUNCTION("""COMPUTED_VALUE"""),"Facebook")</f>
        <v>Facebook</v>
      </c>
      <c r="P1119" s="6"/>
      <c r="Q1119" s="6" t="str">
        <f ca="1">IFERROR(__xludf.DUMMYFUNCTION("""COMPUTED_VALUE"""),"No")</f>
        <v>No</v>
      </c>
      <c r="R1119" s="6">
        <f ca="1">IFERROR(__xludf.DUMMYFUNCTION("""COMPUTED_VALUE"""),3)</f>
        <v>3</v>
      </c>
      <c r="S1119" s="6" t="str">
        <f ca="1">IFERROR(__xludf.DUMMYFUNCTION("""COMPUTED_VALUE"""),"Seed
Series A")</f>
        <v>Seed
Series A</v>
      </c>
      <c r="T1119" s="6" t="str">
        <f ca="1">IFERROR(__xludf.DUMMYFUNCTION("""COMPUTED_VALUE"""),"Seed, Series A")</f>
        <v>Seed, Series A</v>
      </c>
      <c r="U1119" s="6" t="str">
        <f ca="1">IFERROR(__xludf.DUMMYFUNCTION("""COMPUTED_VALUE"""),"Seed, Series A")</f>
        <v>Seed, Series A</v>
      </c>
      <c r="V1119" s="6"/>
      <c r="W1119" s="6" t="str">
        <f ca="1">IFERROR(__xludf.DUMMYFUNCTION("""COMPUTED_VALUE"""),"Revisit")</f>
        <v>Revisit</v>
      </c>
    </row>
    <row r="1120" spans="1:23">
      <c r="A1120" s="6" t="str">
        <f ca="1">IFERROR(__xludf.DUMMYFUNCTION("""COMPUTED_VALUE"""),"Man, Woman")</f>
        <v>Man, Woman</v>
      </c>
      <c r="B1120" s="6" t="str">
        <f ca="1">IFERROR(__xludf.DUMMYFUNCTION("""COMPUTED_VALUE"""),"Violett _2022")</f>
        <v>Violett _2022</v>
      </c>
      <c r="C1120" s="6" t="str">
        <f ca="1">IFERROR(__xludf.DUMMYFUNCTION("""COMPUTED_VALUE"""),"Deep Tech")</f>
        <v>Deep Tech</v>
      </c>
      <c r="D1120" s="6" t="str">
        <f ca="1">IFERROR(__xludf.DUMMYFUNCTION("""COMPUTED_VALUE"""),"5727 Baker Way Ste 102 Gig Harbor, WA 
United States")</f>
        <v>5727 Baker Way Ste 102 Gig Harbor, WA 
United States</v>
      </c>
      <c r="E1120" s="6" t="str">
        <f ca="1">IFERROR(__xludf.DUMMYFUNCTION("""COMPUTED_VALUE"""),"West Coast")</f>
        <v>West Coast</v>
      </c>
      <c r="F1120" s="6" t="str">
        <f ca="1">IFERROR(__xludf.DUMMYFUNCTION("""COMPUTED_VALUE"""),"Man")</f>
        <v>Man</v>
      </c>
      <c r="G1120" s="6" t="str">
        <f ca="1">IFERROR(__xludf.DUMMYFUNCTION("""COMPUTED_VALUE"""),"Woman")</f>
        <v>Woman</v>
      </c>
      <c r="H1120" s="6"/>
      <c r="I1120" s="6"/>
      <c r="J1120" s="6"/>
      <c r="K1120" s="6"/>
      <c r="L1120" s="6" t="str">
        <f ca="1">IFERROR(__xludf.DUMMYFUNCTION("""COMPUTED_VALUE"""),"No")</f>
        <v>No</v>
      </c>
      <c r="M1120" s="6"/>
      <c r="N1120" s="6"/>
      <c r="O1120" s="6" t="str">
        <f ca="1">IFERROR(__xludf.DUMMYFUNCTION("""COMPUTED_VALUE"""),"Email")</f>
        <v>Email</v>
      </c>
      <c r="P1120" s="6"/>
      <c r="Q1120" s="6" t="str">
        <f ca="1">IFERROR(__xludf.DUMMYFUNCTION("""COMPUTED_VALUE"""),"No")</f>
        <v>No</v>
      </c>
      <c r="R1120" s="6">
        <f ca="1">IFERROR(__xludf.DUMMYFUNCTION("""COMPUTED_VALUE"""),2)</f>
        <v>2</v>
      </c>
      <c r="S1120" s="6" t="str">
        <f ca="1">IFERROR(__xludf.DUMMYFUNCTION("""COMPUTED_VALUE"""),"Pre-seed
Seed")</f>
        <v>Pre-seed
Seed</v>
      </c>
      <c r="T1120" s="6" t="str">
        <f ca="1">IFERROR(__xludf.DUMMYFUNCTION("""COMPUTED_VALUE"""),"Pre-seed, Seed")</f>
        <v>Pre-seed, Seed</v>
      </c>
      <c r="U1120" s="6" t="str">
        <f ca="1">IFERROR(__xludf.DUMMYFUNCTION("""COMPUTED_VALUE"""),"Pre-seed, Seed")</f>
        <v>Pre-seed, Seed</v>
      </c>
      <c r="V1120" s="6"/>
      <c r="W1120" s="6" t="str">
        <f ca="1">IFERROR(__xludf.DUMMYFUNCTION("""COMPUTED_VALUE"""),"Invite")</f>
        <v>Invite</v>
      </c>
    </row>
    <row r="1121" spans="1:23">
      <c r="A1121" s="6" t="str">
        <f ca="1">IFERROR(__xludf.DUMMYFUNCTION("""COMPUTED_VALUE"""),"Man")</f>
        <v>Man</v>
      </c>
      <c r="B1121" s="6" t="str">
        <f ca="1">IFERROR(__xludf.DUMMYFUNCTION("""COMPUTED_VALUE"""),"Pedestal _2022")</f>
        <v>Pedestal _2022</v>
      </c>
      <c r="C1121" s="6" t="str">
        <f ca="1">IFERROR(__xludf.DUMMYFUNCTION("""COMPUTED_VALUE"""),"Digital Tech")</f>
        <v>Digital Tech</v>
      </c>
      <c r="D1121" s="6" t="str">
        <f ca="1">IFERROR(__xludf.DUMMYFUNCTION("""COMPUTED_VALUE"""),"6304 Islington Street  Middle River , Maryland  
United States")</f>
        <v>6304 Islington Street  Middle River , Maryland  
United States</v>
      </c>
      <c r="E1121" s="6" t="str">
        <f ca="1">IFERROR(__xludf.DUMMYFUNCTION("""COMPUTED_VALUE"""),"East Coast")</f>
        <v>East Coast</v>
      </c>
      <c r="F1121" s="6" t="str">
        <f ca="1">IFERROR(__xludf.DUMMYFUNCTION("""COMPUTED_VALUE"""),"Man")</f>
        <v>Man</v>
      </c>
      <c r="G1121" s="6"/>
      <c r="H1121" s="6"/>
      <c r="I1121" s="6"/>
      <c r="J1121" s="6"/>
      <c r="K1121" s="6"/>
      <c r="L1121" s="6" t="str">
        <f ca="1">IFERROR(__xludf.DUMMYFUNCTION("""COMPUTED_VALUE"""),"--Please select--")</f>
        <v>--Please select--</v>
      </c>
      <c r="M1121" s="6"/>
      <c r="N1121" s="6"/>
      <c r="O1121" s="6" t="str">
        <f ca="1">IFERROR(__xludf.DUMMYFUNCTION("""COMPUTED_VALUE"""),"LinkedIn")</f>
        <v>LinkedIn</v>
      </c>
      <c r="P1121" s="6"/>
      <c r="Q1121" s="6" t="str">
        <f ca="1">IFERROR(__xludf.DUMMYFUNCTION("""COMPUTED_VALUE"""),"No")</f>
        <v>No</v>
      </c>
      <c r="R1121" s="6">
        <f ca="1">IFERROR(__xludf.DUMMYFUNCTION("""COMPUTED_VALUE"""),1)</f>
        <v>1</v>
      </c>
      <c r="S1121" s="6" t="str">
        <f ca="1">IFERROR(__xludf.DUMMYFUNCTION("""COMPUTED_VALUE"""),"Pre-seed")</f>
        <v>Pre-seed</v>
      </c>
      <c r="T1121" s="6" t="str">
        <f ca="1">IFERROR(__xludf.DUMMYFUNCTION("""COMPUTED_VALUE"""),"Pre-seed")</f>
        <v>Pre-seed</v>
      </c>
      <c r="U1121" s="6" t="str">
        <f ca="1">IFERROR(__xludf.DUMMYFUNCTION("""COMPUTED_VALUE"""),"Pre-seed")</f>
        <v>Pre-seed</v>
      </c>
      <c r="V1121" s="6"/>
      <c r="W1121" s="6" t="str">
        <f ca="1">IFERROR(__xludf.DUMMYFUNCTION("""COMPUTED_VALUE"""),"Invite Next Year")</f>
        <v>Invite Next Year</v>
      </c>
    </row>
    <row r="1122" spans="1:23">
      <c r="A1122" s="6" t="str">
        <f ca="1">IFERROR(__xludf.DUMMYFUNCTION("""COMPUTED_VALUE"""),"Man")</f>
        <v>Man</v>
      </c>
      <c r="B1122" s="6" t="str">
        <f ca="1">IFERROR(__xludf.DUMMYFUNCTION("""COMPUTED_VALUE"""),"SiliconScapes _2022")</f>
        <v>SiliconScapes _2022</v>
      </c>
      <c r="C1122" s="6" t="str">
        <f ca="1">IFERROR(__xludf.DUMMYFUNCTION("""COMPUTED_VALUE"""),"Digital Tech")</f>
        <v>Digital Tech</v>
      </c>
      <c r="D1122" s="6" t="str">
        <f ca="1">IFERROR(__xludf.DUMMYFUNCTION("""COMPUTED_VALUE"""),"19 Colonnade Way Ste 117,  #218, State College, Pennsylvania 
United States")</f>
        <v>19 Colonnade Way Ste 117,  #218, State College, Pennsylvania 
United States</v>
      </c>
      <c r="E1122" s="6" t="str">
        <f ca="1">IFERROR(__xludf.DUMMYFUNCTION("""COMPUTED_VALUE"""),"East Coast")</f>
        <v>East Coast</v>
      </c>
      <c r="F1122" s="6" t="str">
        <f ca="1">IFERROR(__xludf.DUMMYFUNCTION("""COMPUTED_VALUE"""),"Man")</f>
        <v>Man</v>
      </c>
      <c r="G1122" s="6"/>
      <c r="H1122" s="6"/>
      <c r="I1122" s="6"/>
      <c r="J1122" s="6"/>
      <c r="K1122" s="6"/>
      <c r="L1122" s="6" t="str">
        <f ca="1">IFERROR(__xludf.DUMMYFUNCTION("""COMPUTED_VALUE"""),"No")</f>
        <v>No</v>
      </c>
      <c r="M1122" s="6"/>
      <c r="N1122" s="6"/>
      <c r="O1122" s="6" t="str">
        <f ca="1">IFERROR(__xludf.DUMMYFUNCTION("""COMPUTED_VALUE"""),"Referral")</f>
        <v>Referral</v>
      </c>
      <c r="P1122" s="6"/>
      <c r="Q1122" s="6" t="str">
        <f ca="1">IFERROR(__xludf.DUMMYFUNCTION("""COMPUTED_VALUE"""),"No")</f>
        <v>No</v>
      </c>
      <c r="R1122" s="6">
        <f ca="1">IFERROR(__xludf.DUMMYFUNCTION("""COMPUTED_VALUE"""),1)</f>
        <v>1</v>
      </c>
      <c r="S1122" s="6" t="str">
        <f ca="1">IFERROR(__xludf.DUMMYFUNCTION("""COMPUTED_VALUE"""),"None")</f>
        <v>None</v>
      </c>
      <c r="T1122" s="6" t="str">
        <f ca="1">IFERROR(__xludf.DUMMYFUNCTION("""COMPUTED_VALUE"""),"None")</f>
        <v>None</v>
      </c>
      <c r="U1122" s="6" t="str">
        <f ca="1">IFERROR(__xludf.DUMMYFUNCTION("""COMPUTED_VALUE"""),"None")</f>
        <v>None</v>
      </c>
      <c r="V1122" s="6"/>
      <c r="W1122" s="6" t="str">
        <f ca="1">IFERROR(__xludf.DUMMYFUNCTION("""COMPUTED_VALUE"""),"Invite Next Year")</f>
        <v>Invite Next Year</v>
      </c>
    </row>
    <row r="1123" spans="1:23">
      <c r="A1123" s="6" t="str">
        <f ca="1">IFERROR(__xludf.DUMMYFUNCTION("""COMPUTED_VALUE"""),"Prefer not to respond")</f>
        <v>Prefer not to respond</v>
      </c>
      <c r="B1123" s="6" t="str">
        <f ca="1">IFERROR(__xludf.DUMMYFUNCTION("""COMPUTED_VALUE"""),"Data Creative, LLC _2022")</f>
        <v>Data Creative, LLC _2022</v>
      </c>
      <c r="C1123" s="6" t="str">
        <f ca="1">IFERROR(__xludf.DUMMYFUNCTION("""COMPUTED_VALUE"""),"Digital Tech")</f>
        <v>Digital Tech</v>
      </c>
      <c r="D1123" s="6" t="str">
        <f ca="1">IFERROR(__xludf.DUMMYFUNCTION("""COMPUTED_VALUE"""),"Branford, Connecticut  
United States")</f>
        <v>Branford, Connecticut  
United States</v>
      </c>
      <c r="E1123" s="6" t="str">
        <f ca="1">IFERROR(__xludf.DUMMYFUNCTION("""COMPUTED_VALUE"""),"East Coast")</f>
        <v>East Coast</v>
      </c>
      <c r="F1123" s="6" t="str">
        <f ca="1">IFERROR(__xludf.DUMMYFUNCTION("""COMPUTED_VALUE"""),"Prefer not to respond")</f>
        <v>Prefer not to respond</v>
      </c>
      <c r="G1123" s="6"/>
      <c r="H1123" s="6"/>
      <c r="I1123" s="6"/>
      <c r="J1123" s="6"/>
      <c r="K1123" s="6"/>
      <c r="L1123" s="6" t="str">
        <f ca="1">IFERROR(__xludf.DUMMYFUNCTION("""COMPUTED_VALUE"""),"Yes")</f>
        <v>Yes</v>
      </c>
      <c r="M1123" s="6" t="str">
        <f ca="1">IFERROR(__xludf.DUMMYFUNCTION("""COMPUTED_VALUE"""),"NYU Faculty")</f>
        <v>NYU Faculty</v>
      </c>
      <c r="N1123" s="6"/>
      <c r="O1123" s="6" t="str">
        <f ca="1">IFERROR(__xludf.DUMMYFUNCTION("""COMPUTED_VALUE"""),"Email")</f>
        <v>Email</v>
      </c>
      <c r="P1123" s="6"/>
      <c r="Q1123" s="6" t="str">
        <f ca="1">IFERROR(__xludf.DUMMYFUNCTION("""COMPUTED_VALUE"""),"No")</f>
        <v>No</v>
      </c>
      <c r="R1123" s="6">
        <f ca="1">IFERROR(__xludf.DUMMYFUNCTION("""COMPUTED_VALUE"""),1)</f>
        <v>1</v>
      </c>
      <c r="S1123" s="6" t="str">
        <f ca="1">IFERROR(__xludf.DUMMYFUNCTION("""COMPUTED_VALUE"""),"None
Other: We haven't needed any funding. I work on the app for fun in my spare time and my intern works for free. Our overhead/ server costs are covered by sales")</f>
        <v>None
Other: We haven't needed any funding. I work on the app for fun in my spare time and my intern works for free. Our overhead/ server costs are covered by sales</v>
      </c>
      <c r="T1123" s="6" t="str">
        <f ca="1">IFERROR(__xludf.DUMMYFUNCTION("""COMPUTED_VALUE"""),"None, Other: We haven't needed any funding. I work on the app for fun in my spare time and my intern works for free. Our overhead/ server costs are covered by sales")</f>
        <v>None, Other: We haven't needed any funding. I work on the app for fun in my spare time and my intern works for free. Our overhead/ server costs are covered by sales</v>
      </c>
      <c r="U1123" s="6" t="str">
        <f ca="1">IFERROR(__xludf.DUMMYFUNCTION("""COMPUTED_VALUE"""),"None, ")</f>
        <v xml:space="preserve">None, </v>
      </c>
      <c r="V1123" s="6" t="str">
        <f ca="1">IFERROR(__xludf.DUMMYFUNCTION("""COMPUTED_VALUE"""),"We haven't needed any funding. I work on the app for fun in my spare time and my intern works for free. Our overhead/ server costs are covered by sales")</f>
        <v>We haven't needed any funding. I work on the app for fun in my spare time and my intern works for free. Our overhead/ server costs are covered by sales</v>
      </c>
      <c r="W1123" s="6" t="str">
        <f ca="1">IFERROR(__xludf.DUMMYFUNCTION("""COMPUTED_VALUE"""),"Invite Next Year")</f>
        <v>Invite Next Year</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D75"/>
  <sheetViews>
    <sheetView workbookViewId="0"/>
  </sheetViews>
  <sheetFormatPr baseColWidth="10" defaultColWidth="14.5" defaultRowHeight="15" customHeight="1"/>
  <cols>
    <col min="1" max="1" width="56.5" customWidth="1"/>
    <col min="2" max="2" width="18.5" customWidth="1"/>
    <col min="3" max="4" width="67.5" customWidth="1"/>
  </cols>
  <sheetData>
    <row r="1" spans="1:4" ht="16">
      <c r="A1" s="550" t="s">
        <v>13283</v>
      </c>
      <c r="B1" s="551" t="s">
        <v>13284</v>
      </c>
      <c r="C1" s="552" t="s">
        <v>13285</v>
      </c>
      <c r="D1" s="64"/>
    </row>
    <row r="2" spans="1:4" ht="33" customHeight="1">
      <c r="A2" s="553" t="s">
        <v>287</v>
      </c>
      <c r="B2" s="554" t="s">
        <v>18</v>
      </c>
      <c r="C2" s="555" t="s">
        <v>13286</v>
      </c>
      <c r="D2" s="556" t="str">
        <f t="array" ref="D2">INDEX('2022-2023 Applications Review'!R:R,MATCH(A2,'2022-2023 Applications Review'!B:B,0))</f>
        <v>One full-time founder - ask about part-time in the interview</v>
      </c>
    </row>
    <row r="3" spans="1:4" ht="33" customHeight="1">
      <c r="A3" s="557" t="s">
        <v>108</v>
      </c>
      <c r="B3" s="558" t="s">
        <v>18</v>
      </c>
      <c r="C3" s="559"/>
      <c r="D3" s="556">
        <f t="array" ref="D3">INDEX('2022-2023 Applications Review'!R:R,MATCH(A3,'2022-2023 Applications Review'!B:B,0))</f>
        <v>0</v>
      </c>
    </row>
    <row r="4" spans="1:4" ht="33" customHeight="1">
      <c r="A4" s="557" t="s">
        <v>334</v>
      </c>
      <c r="B4" s="558" t="s">
        <v>18</v>
      </c>
      <c r="C4" s="559"/>
      <c r="D4" s="556">
        <f t="array" ref="D4">INDEX('2022-2023 Applications Review'!R:R,MATCH(A4,'2022-2023 Applications Review'!B:B,0))</f>
        <v>0</v>
      </c>
    </row>
    <row r="5" spans="1:4" ht="33" customHeight="1">
      <c r="A5" s="557" t="s">
        <v>69</v>
      </c>
      <c r="B5" s="558" t="s">
        <v>18</v>
      </c>
      <c r="C5" s="559" t="s">
        <v>509</v>
      </c>
      <c r="D5" s="556" t="str">
        <f t="array" ref="D5">INDEX('2022-2023 Applications Review'!R:R,MATCH(A5,'2022-2023 Applications Review'!B:B,0))</f>
        <v>Missed similar company previously; good mission and partnerships in UK with affordable housing; strong room to grow</v>
      </c>
    </row>
    <row r="6" spans="1:4" ht="33" customHeight="1">
      <c r="A6" s="557" t="s">
        <v>172</v>
      </c>
      <c r="B6" s="558" t="s">
        <v>18</v>
      </c>
      <c r="C6" s="559" t="s">
        <v>13287</v>
      </c>
      <c r="D6" s="556" t="str">
        <f t="array" ref="D6">INDEX('2022-2023 Applications Review'!R:R,MATCH(A6,'2022-2023 Applications Review'!B:B,0))</f>
        <v>Need to better understand how they tapped into the insurance market</v>
      </c>
    </row>
    <row r="7" spans="1:4" ht="33" customHeight="1">
      <c r="A7" s="557" t="s">
        <v>363</v>
      </c>
      <c r="B7" s="558" t="s">
        <v>18</v>
      </c>
      <c r="C7" s="559"/>
      <c r="D7" s="556">
        <f t="array" ref="D7">INDEX('2022-2023 Applications Review'!R:R,MATCH(A7,'2022-2023 Applications Review'!B:B,0))</f>
        <v>0</v>
      </c>
    </row>
    <row r="8" spans="1:4" ht="33" customHeight="1">
      <c r="A8" s="557" t="s">
        <v>260</v>
      </c>
      <c r="B8" s="558" t="s">
        <v>18</v>
      </c>
      <c r="C8" s="559"/>
      <c r="D8" s="556">
        <f t="array" ref="D8">INDEX('2022-2023 Applications Review'!R:R,MATCH(A8,'2022-2023 Applications Review'!B:B,0))</f>
        <v>0</v>
      </c>
    </row>
    <row r="9" spans="1:4" ht="33" customHeight="1">
      <c r="A9" s="557" t="s">
        <v>156</v>
      </c>
      <c r="B9" s="558" t="s">
        <v>18</v>
      </c>
      <c r="C9" s="559"/>
      <c r="D9" s="556">
        <f t="array" ref="D9">INDEX('2022-2023 Applications Review'!R:R,MATCH(A9,'2022-2023 Applications Review'!B:B,0))</f>
        <v>0</v>
      </c>
    </row>
    <row r="10" spans="1:4" ht="33" customHeight="1">
      <c r="A10" s="557" t="s">
        <v>83</v>
      </c>
      <c r="B10" s="558" t="s">
        <v>18</v>
      </c>
      <c r="C10" s="559" t="s">
        <v>13288</v>
      </c>
      <c r="D10" s="556" t="str">
        <f t="array" ref="D10">INDEX('2022-2023 Applications Review'!R:R,MATCH(A10,'2022-2023 Applications Review'!B:B,0))</f>
        <v xml:space="preserve">Potential change to Digital tech; </v>
      </c>
    </row>
    <row r="11" spans="1:4" ht="33" customHeight="1">
      <c r="A11" s="557" t="s">
        <v>372</v>
      </c>
      <c r="B11" s="558"/>
      <c r="C11" s="559" t="s">
        <v>9999</v>
      </c>
      <c r="D11" s="556" t="str">
        <f t="array" ref="D11">INDEX('2022-2023 Applications Review'!R:R,MATCH(A11,'2022-2023 Applications Review'!B:B,0))</f>
        <v>Potentially remove from interview list; very comparable to other companies</v>
      </c>
    </row>
    <row r="12" spans="1:4" ht="33" customHeight="1">
      <c r="A12" s="557" t="s">
        <v>385</v>
      </c>
      <c r="B12" s="558"/>
      <c r="C12" s="559" t="s">
        <v>9923</v>
      </c>
      <c r="D12" s="556" t="str">
        <f t="array" ref="D12">INDEX('2022-2023 Applications Review'!R:R,MATCH(A12,'2022-2023 Applications Review'!B:B,0))</f>
        <v>Fully integrated lab data system; nyu and Columbia have similar systems that dominate market, but this company is still pulling in 15k/month despite this. Track change to digital tech</v>
      </c>
    </row>
    <row r="13" spans="1:4" ht="33" customHeight="1">
      <c r="A13" s="557" t="s">
        <v>394</v>
      </c>
      <c r="B13" s="558"/>
      <c r="C13" s="559"/>
      <c r="D13" s="556">
        <f t="array" ref="D13">INDEX('2022-2023 Applications Review'!R:R,MATCH(A13,'2022-2023 Applications Review'!B:B,0))</f>
        <v>0</v>
      </c>
    </row>
    <row r="14" spans="1:4" ht="33" customHeight="1">
      <c r="A14" s="557" t="s">
        <v>389</v>
      </c>
      <c r="B14" s="558"/>
      <c r="C14" s="559" t="s">
        <v>13289</v>
      </c>
      <c r="D14" s="556" t="str">
        <f t="array" ref="D14">INDEX('2022-2023 Applications Review'!R:R,MATCH(A14,'2022-2023 Applications Review'!B:B,0))</f>
        <v>ask in interview what type of product; potential DT</v>
      </c>
    </row>
    <row r="15" spans="1:4" ht="33" customHeight="1">
      <c r="A15" s="557" t="s">
        <v>284</v>
      </c>
      <c r="B15" s="558"/>
      <c r="C15" s="559"/>
      <c r="D15" s="556">
        <f t="array" ref="D15">INDEX('2022-2023 Applications Review'!R:R,MATCH(A15,'2022-2023 Applications Review'!B:B,0))</f>
        <v>0</v>
      </c>
    </row>
    <row r="16" spans="1:4" ht="33" customHeight="1">
      <c r="A16" s="557" t="s">
        <v>262</v>
      </c>
      <c r="B16" s="558" t="s">
        <v>18</v>
      </c>
      <c r="C16" s="559" t="s">
        <v>13290</v>
      </c>
      <c r="D16" s="556" t="str">
        <f t="array" ref="D16">INDEX('2022-2023 Applications Review'!R:R,MATCH(A16,'2022-2023 Applications Review'!B:B,0))</f>
        <v>ask in interview about openness to sharing company information</v>
      </c>
    </row>
    <row r="17" spans="1:4" ht="33" customHeight="1">
      <c r="A17" s="557" t="s">
        <v>73</v>
      </c>
      <c r="B17" s="558" t="s">
        <v>20</v>
      </c>
      <c r="C17" s="559" t="s">
        <v>13291</v>
      </c>
      <c r="D17" s="556" t="str">
        <f t="array" ref="D17">INDEX('2022-2023 Applications Review'!R:R,MATCH(A17,'2022-2023 Applications Review'!B:B,0))</f>
        <v>potential DiT</v>
      </c>
    </row>
    <row r="18" spans="1:4" ht="33" customHeight="1">
      <c r="A18" s="557" t="s">
        <v>376</v>
      </c>
      <c r="B18" s="558"/>
      <c r="C18" s="559" t="s">
        <v>10023</v>
      </c>
      <c r="D18" s="556" t="str">
        <f t="array" ref="D18">INDEX('2022-2023 Applications Review'!R:R,MATCH(A18,'2022-2023 Applications Review'!B:B,0))</f>
        <v>Move to dit khoa will f/u with ads</v>
      </c>
    </row>
    <row r="19" spans="1:4" ht="33" customHeight="1">
      <c r="A19" s="557" t="s">
        <v>143</v>
      </c>
      <c r="B19" s="558"/>
      <c r="C19" s="559"/>
      <c r="D19" s="556">
        <f t="array" ref="D19">INDEX('2022-2023 Applications Review'!R:R,MATCH(A19,'2022-2023 Applications Review'!B:B,0))</f>
        <v>0</v>
      </c>
    </row>
    <row r="20" spans="1:4" ht="33" customHeight="1">
      <c r="A20" s="557" t="s">
        <v>341</v>
      </c>
      <c r="B20" s="558"/>
      <c r="C20" s="559"/>
      <c r="D20" s="556">
        <f t="array" ref="D20">INDEX('2022-2023 Applications Review'!R:R,MATCH(A20,'2022-2023 Applications Review'!B:B,0))</f>
        <v>0</v>
      </c>
    </row>
    <row r="21" spans="1:4" ht="33" customHeight="1">
      <c r="A21" s="557" t="s">
        <v>190</v>
      </c>
      <c r="B21" s="558" t="s">
        <v>20</v>
      </c>
      <c r="C21" s="559" t="s">
        <v>13292</v>
      </c>
      <c r="D21" s="556" t="str">
        <f t="array" ref="D21">INDEX('2022-2023 Applications Review'!R:R,MATCH(A21,'2022-2023 Applications Review'!B:B,0))</f>
        <v>NYU affiliation; concerns with performance in relation to competition</v>
      </c>
    </row>
    <row r="22" spans="1:4" ht="33" customHeight="1">
      <c r="A22" s="557" t="s">
        <v>75</v>
      </c>
      <c r="B22" s="558"/>
      <c r="C22" s="559"/>
      <c r="D22" s="556">
        <f t="array" ref="D22">INDEX('2022-2023 Applications Review'!R:R,MATCH(A22,'2022-2023 Applications Review'!B:B,0))</f>
        <v>0</v>
      </c>
    </row>
    <row r="23" spans="1:4" ht="33" customHeight="1">
      <c r="A23" s="557" t="s">
        <v>71</v>
      </c>
      <c r="B23" s="558"/>
      <c r="C23" s="559"/>
      <c r="D23" s="556">
        <f t="array" ref="D23">INDEX('2022-2023 Applications Review'!R:R,MATCH(A23,'2022-2023 Applications Review'!B:B,0))</f>
        <v>0</v>
      </c>
    </row>
    <row r="24" spans="1:4" ht="33" customHeight="1">
      <c r="A24" s="557" t="s">
        <v>355</v>
      </c>
      <c r="B24" s="558" t="s">
        <v>18</v>
      </c>
      <c r="C24" s="559" t="s">
        <v>13293</v>
      </c>
      <c r="D24" s="556" t="str">
        <f t="array" ref="D24">INDEX('2022-2023 Applications Review'!R:R,MATCH(A24,'2022-2023 Applications Review'!B:B,0))</f>
        <v>Mentor referral; IndieBio graduate; concerns with competitive landscape; in interview, ask about ability to scale; flag with demo in application
Potential DH connection</v>
      </c>
    </row>
    <row r="25" spans="1:4" ht="33" customHeight="1">
      <c r="A25" s="557" t="s">
        <v>395</v>
      </c>
      <c r="B25" s="558" t="s">
        <v>18</v>
      </c>
      <c r="C25" s="559"/>
      <c r="D25" s="556">
        <f t="array" ref="D25">INDEX('2022-2023 Applications Review'!R:R,MATCH(A25,'2022-2023 Applications Review'!B:B,0))</f>
        <v>0</v>
      </c>
    </row>
    <row r="26" spans="1:4" ht="33" customHeight="1">
      <c r="A26" s="557" t="s">
        <v>288</v>
      </c>
      <c r="B26" s="558" t="s">
        <v>20</v>
      </c>
      <c r="C26" s="559" t="s">
        <v>13294</v>
      </c>
      <c r="D26" s="556" t="str">
        <f t="array" ref="D26">INDEX('2022-2023 Applications Review'!R:R,MATCH(A26,'2022-2023 Applications Review'!B:B,0))</f>
        <v>Likely DiT</v>
      </c>
    </row>
    <row r="27" spans="1:4" ht="33" customHeight="1">
      <c r="A27" s="557" t="s">
        <v>259</v>
      </c>
      <c r="B27" s="558" t="s">
        <v>19</v>
      </c>
      <c r="C27" s="559" t="s">
        <v>13295</v>
      </c>
      <c r="D27" s="556" t="str">
        <f t="array" ref="D27">INDEX('2022-2023 Applications Review'!R:R,MATCH(A27,'2022-2023 Applications Review'!B:B,0))</f>
        <v>Definitely DiT</v>
      </c>
    </row>
    <row r="28" spans="1:4" ht="33" customHeight="1">
      <c r="A28" s="557" t="s">
        <v>4281</v>
      </c>
      <c r="B28" s="558" t="s">
        <v>24</v>
      </c>
      <c r="C28" s="559"/>
      <c r="D28" s="556">
        <f t="array" ref="D28">INDEX('2022-2023 Applications Review'!R:R,MATCH(A28,'2022-2023 Applications Review'!B:B,0))</f>
        <v>0</v>
      </c>
    </row>
    <row r="29" spans="1:4" ht="33" customHeight="1">
      <c r="A29" s="557" t="s">
        <v>297</v>
      </c>
      <c r="B29" s="558" t="s">
        <v>19</v>
      </c>
      <c r="C29" s="559" t="s">
        <v>13296</v>
      </c>
      <c r="D29" s="556" t="str">
        <f t="array" ref="D29">INDEX('2022-2023 Applications Review'!R:R,MATCH(A29,'2022-2023 Applications Review'!B:B,0))</f>
        <v>Less exciting tech; thoughtful founder &amp; good growth potential</v>
      </c>
    </row>
    <row r="30" spans="1:4" ht="33" customHeight="1">
      <c r="A30" s="557" t="s">
        <v>137</v>
      </c>
      <c r="B30" s="558" t="s">
        <v>19</v>
      </c>
      <c r="C30" s="559" t="s">
        <v>2747</v>
      </c>
      <c r="D30" s="556" t="str">
        <f t="array" ref="D30">INDEX('2022-2023 Applications Review'!R:R,MATCH(A30,'2022-2023 Applications Review'!B:B,0))</f>
        <v>Khoa will revisit</v>
      </c>
    </row>
    <row r="31" spans="1:4" ht="33" customHeight="1">
      <c r="A31" s="557" t="s">
        <v>95</v>
      </c>
      <c r="B31" s="558" t="s">
        <v>19</v>
      </c>
      <c r="C31" s="559" t="s">
        <v>13297</v>
      </c>
      <c r="D31" s="556" t="str">
        <f t="array" ref="D31">INDEX('2022-2023 Applications Review'!R:R,MATCH(A31,'2022-2023 Applications Review'!B:B,0))</f>
        <v>Khoa will revisit</v>
      </c>
    </row>
    <row r="32" spans="1:4" ht="33" customHeight="1">
      <c r="A32" s="557" t="s">
        <v>13298</v>
      </c>
      <c r="B32" s="558" t="s">
        <v>20</v>
      </c>
      <c r="C32" s="559" t="s">
        <v>13299</v>
      </c>
      <c r="D32" s="556" t="str">
        <f t="array" ref="D32">INDEX('2022-2023 Applications Review'!R:R,MATCH(A32,'2022-2023 Applications Review'!B:B,0))</f>
        <v>Potential DiT; Stern alum; NYU affiliations; Mark to revisit</v>
      </c>
    </row>
    <row r="33" spans="1:4" ht="33" customHeight="1">
      <c r="A33" s="557" t="s">
        <v>91</v>
      </c>
      <c r="B33" s="558" t="s">
        <v>18</v>
      </c>
      <c r="C33" s="559" t="s">
        <v>13300</v>
      </c>
      <c r="D33" s="556" t="str">
        <f t="array" ref="D33">INDEX('2022-2023 Applications Review'!R:R,MATCH(A33,'2022-2023 Applications Review'!B:B,0))</f>
        <v>Highly technical team; unique to sector; ask about prototyping in interview</v>
      </c>
    </row>
    <row r="34" spans="1:4" ht="33" customHeight="1">
      <c r="A34" s="557" t="s">
        <v>136</v>
      </c>
      <c r="B34" s="558" t="s">
        <v>19</v>
      </c>
      <c r="C34" s="559" t="s">
        <v>13301</v>
      </c>
      <c r="D34" s="556" t="str">
        <f t="array" ref="D34">INDEX('2022-2023 Applications Review'!R:R,MATCH(A34,'2022-2023 Applications Review'!B:B,0))</f>
        <v>Khoa will revisit if room; need addt'l info to assess how tech works</v>
      </c>
    </row>
    <row r="35" spans="1:4" ht="33" customHeight="1">
      <c r="A35" s="557" t="s">
        <v>5140</v>
      </c>
      <c r="B35" s="558"/>
      <c r="C35" s="559"/>
      <c r="D35" s="556">
        <f t="array" ref="D35">INDEX('2022-2023 Applications Review'!R:R,MATCH(A35,'2022-2023 Applications Review'!B:B,0))</f>
        <v>0</v>
      </c>
    </row>
    <row r="36" spans="1:4" ht="33" customHeight="1">
      <c r="A36" s="557" t="s">
        <v>306</v>
      </c>
      <c r="B36" s="558" t="s">
        <v>20</v>
      </c>
      <c r="C36" s="559" t="s">
        <v>13302</v>
      </c>
      <c r="D36" s="556" t="str">
        <f t="array" ref="D36">INDEX('2022-2023 Applications Review'!R:R,MATCH(A36,'2022-2023 Applications Review'!B:B,0))</f>
        <v>DiT; strong tech; revisit if no representation in this space; further along</v>
      </c>
    </row>
    <row r="37" spans="1:4" ht="33" customHeight="1">
      <c r="A37" s="557" t="s">
        <v>2842</v>
      </c>
      <c r="B37" s="558" t="s">
        <v>24</v>
      </c>
      <c r="C37" s="559" t="s">
        <v>13303</v>
      </c>
      <c r="D37" s="556" t="str">
        <f t="array" ref="D37">INDEX('2022-2023 Applications Review'!R:R,MATCH(A37,'2022-2023 Applications Review'!B:B,0))</f>
        <v>Potential DT; supply chain issues during pandemic; tech not exciting but could be compelling if need a company in the tech monitoring space</v>
      </c>
    </row>
    <row r="38" spans="1:4" ht="33" customHeight="1">
      <c r="A38" s="557" t="s">
        <v>126</v>
      </c>
      <c r="B38" s="558"/>
      <c r="C38" s="559"/>
      <c r="D38" s="556" t="str">
        <f t="array" ref="D38">INDEX('2022-2023 Applications Review'!R:R,MATCH(A38,'2022-2023 Applications Review'!B:B,0))</f>
        <v>DiT</v>
      </c>
    </row>
    <row r="39" spans="1:4" ht="33" customHeight="1">
      <c r="A39" s="557" t="s">
        <v>5661</v>
      </c>
      <c r="B39" s="558"/>
      <c r="C39" s="559"/>
      <c r="D39" s="556">
        <f t="array" ref="D39">INDEX('2022-2023 Applications Review'!R:R,MATCH(A39,'2022-2023 Applications Review'!B:B,0))</f>
        <v>0</v>
      </c>
    </row>
    <row r="40" spans="1:4" ht="33" customHeight="1">
      <c r="A40" s="557" t="s">
        <v>5565</v>
      </c>
      <c r="B40" s="558"/>
      <c r="C40" s="559"/>
      <c r="D40" s="556">
        <f t="array" ref="D40">INDEX('2022-2023 Applications Review'!R:R,MATCH(A40,'2022-2023 Applications Review'!B:B,0))</f>
        <v>0</v>
      </c>
    </row>
    <row r="41" spans="1:4" ht="33" customHeight="1">
      <c r="A41" s="557" t="s">
        <v>158</v>
      </c>
      <c r="B41" s="558"/>
      <c r="C41" s="559"/>
      <c r="D41" s="556" t="str">
        <f t="array" ref="D41">INDEX('2022-2023 Applications Review'!R:R,MATCH(A41,'2022-2023 Applications Review'!B:B,0))</f>
        <v>Khoa + DT TAs to revisit</v>
      </c>
    </row>
    <row r="42" spans="1:4" ht="33" customHeight="1">
      <c r="A42" s="557" t="s">
        <v>5607</v>
      </c>
      <c r="B42" s="558"/>
      <c r="C42" s="559"/>
      <c r="D42" s="556">
        <f t="array" ref="D42">INDEX('2022-2023 Applications Review'!R:R,MATCH(A42,'2022-2023 Applications Review'!B:B,0))</f>
        <v>0</v>
      </c>
    </row>
    <row r="43" spans="1:4" ht="33" customHeight="1">
      <c r="A43" s="557" t="s">
        <v>3124</v>
      </c>
      <c r="B43" s="558"/>
      <c r="C43" s="559"/>
      <c r="D43" s="556" t="str">
        <f t="array" ref="D43">INDEX('2022-2023 Applications Review'!R:R,MATCH(A43,'2022-2023 Applications Review'!B:B,0))</f>
        <v>No for DT</v>
      </c>
    </row>
    <row r="44" spans="1:4" ht="33" customHeight="1">
      <c r="A44" s="557" t="s">
        <v>2214</v>
      </c>
      <c r="B44" s="558"/>
      <c r="C44" s="559"/>
      <c r="D44" s="556">
        <f t="array" ref="D44">INDEX('2022-2023 Applications Review'!R:R,MATCH(A44,'2022-2023 Applications Review'!B:B,0))</f>
        <v>0</v>
      </c>
    </row>
    <row r="45" spans="1:4" ht="33" customHeight="1">
      <c r="A45" s="557" t="s">
        <v>13210</v>
      </c>
      <c r="B45" s="558"/>
      <c r="C45" s="559"/>
      <c r="D45" s="556" t="e">
        <f t="array" ref="D45">INDEX('2022-2023 Applications Review'!R:R,MATCH(A45,'2022-2023 Applications Review'!B:B,0))</f>
        <v>#N/A</v>
      </c>
    </row>
    <row r="46" spans="1:4" ht="33" customHeight="1">
      <c r="A46" s="557" t="s">
        <v>2635</v>
      </c>
      <c r="B46" s="558"/>
      <c r="C46" s="559"/>
      <c r="D46" s="556">
        <f t="array" ref="D46">INDEX('2022-2023 Applications Review'!R:R,MATCH(A46,'2022-2023 Applications Review'!B:B,0))</f>
        <v>0</v>
      </c>
    </row>
    <row r="47" spans="1:4" ht="33" customHeight="1">
      <c r="A47" s="557" t="s">
        <v>2696</v>
      </c>
      <c r="B47" s="558"/>
      <c r="C47" s="559"/>
      <c r="D47" s="556" t="str">
        <f t="array" ref="D47">INDEX('2022-2023 Applications Review'!R:R,MATCH(A47,'2022-2023 Applications Review'!B:B,0))</f>
        <v>Only doing single-piece of cycle</v>
      </c>
    </row>
    <row r="48" spans="1:4" ht="33" customHeight="1">
      <c r="A48" s="557" t="s">
        <v>5857</v>
      </c>
      <c r="B48" s="558"/>
      <c r="C48" s="559"/>
      <c r="D48" s="556" t="str">
        <f t="array" ref="D48">INDEX('2022-2023 Applications Review'!R:R,MATCH(A48,'2022-2023 Applications Review'!B:B,0))</f>
        <v>Not clear advantage of tech at this time</v>
      </c>
    </row>
    <row r="49" spans="1:4" ht="33" customHeight="1">
      <c r="A49" s="557" t="s">
        <v>9334</v>
      </c>
      <c r="B49" s="558"/>
      <c r="C49" s="559"/>
      <c r="D49" s="556" t="str">
        <f t="array" ref="D49">INDEX('2022-2023 Applications Review'!R:R,MATCH(A49,'2022-2023 Applications Review'!B:B,0))</f>
        <v>Potential DT; concerns if enough tech-based; high revenue growth thus far</v>
      </c>
    </row>
    <row r="50" spans="1:4" ht="33" customHeight="1">
      <c r="A50" s="557" t="s">
        <v>6459</v>
      </c>
      <c r="B50" s="558"/>
      <c r="C50" s="559"/>
      <c r="D50" s="556">
        <f t="array" ref="D50">INDEX('2022-2023 Applications Review'!R:R,MATCH(A50,'2022-2023 Applications Review'!B:B,0))</f>
        <v>0</v>
      </c>
    </row>
    <row r="51" spans="1:4" ht="33" customHeight="1">
      <c r="A51" s="557" t="s">
        <v>3424</v>
      </c>
      <c r="B51" s="558"/>
      <c r="C51" s="559"/>
      <c r="D51" s="556">
        <f t="array" ref="D51">INDEX('2022-2023 Applications Review'!R:R,MATCH(A51,'2022-2023 Applications Review'!B:B,0))</f>
        <v>0</v>
      </c>
    </row>
    <row r="52" spans="1:4" ht="33" customHeight="1">
      <c r="A52" s="557" t="s">
        <v>2118</v>
      </c>
      <c r="B52" s="558"/>
      <c r="C52" s="559"/>
      <c r="D52" s="556">
        <f t="array" ref="D52">INDEX('2022-2023 Applications Review'!R:R,MATCH(A52,'2022-2023 Applications Review'!B:B,0))</f>
        <v>0</v>
      </c>
    </row>
    <row r="53" spans="1:4" ht="33" customHeight="1">
      <c r="A53" s="557" t="s">
        <v>3250</v>
      </c>
      <c r="B53" s="558"/>
      <c r="C53" s="559"/>
      <c r="D53" s="556">
        <f t="array" ref="D53">INDEX('2022-2023 Applications Review'!R:R,MATCH(A53,'2022-2023 Applications Review'!B:B,0))</f>
        <v>0</v>
      </c>
    </row>
    <row r="54" spans="1:4" ht="33" customHeight="1">
      <c r="A54" s="557" t="s">
        <v>2814</v>
      </c>
      <c r="B54" s="558"/>
      <c r="C54" s="559"/>
      <c r="D54" s="556" t="str">
        <f t="array" ref="D54">INDEX('2022-2023 Applications Review'!R:R,MATCH(A54,'2022-2023 Applications Review'!B:B,0))</f>
        <v>DT; tech less advanced/exciting; social impact focus</v>
      </c>
    </row>
    <row r="55" spans="1:4" ht="33" customHeight="1">
      <c r="A55" s="557" t="s">
        <v>6365</v>
      </c>
      <c r="B55" s="558"/>
      <c r="C55" s="559"/>
      <c r="D55" s="556">
        <f t="array" ref="D55">INDEX('2022-2023 Applications Review'!R:R,MATCH(A55,'2022-2023 Applications Review'!B:B,0))</f>
        <v>0</v>
      </c>
    </row>
    <row r="56" spans="1:4" ht="33" customHeight="1">
      <c r="A56" s="557" t="s">
        <v>3035</v>
      </c>
      <c r="B56" s="558"/>
      <c r="C56" s="559"/>
      <c r="D56" s="556">
        <f t="array" ref="D56">INDEX('2022-2023 Applications Review'!R:R,MATCH(A56,'2022-2023 Applications Review'!B:B,0))</f>
        <v>0</v>
      </c>
    </row>
    <row r="57" spans="1:4" ht="33" customHeight="1">
      <c r="A57" s="557" t="s">
        <v>6737</v>
      </c>
      <c r="B57" s="558"/>
      <c r="C57" s="559" t="s">
        <v>6743</v>
      </c>
      <c r="D57" s="556" t="str">
        <f t="array" ref="D57">INDEX('2022-2023 Applications Review'!R:R,MATCH(A57,'2022-2023 Applications Review'!B:B,0))</f>
        <v>Lenny Saizan</v>
      </c>
    </row>
    <row r="58" spans="1:4" ht="33" customHeight="1">
      <c r="A58" s="557" t="s">
        <v>2418</v>
      </c>
      <c r="B58" s="558"/>
      <c r="C58" s="559"/>
      <c r="D58" s="556">
        <f t="array" ref="D58">INDEX('2022-2023 Applications Review'!R:R,MATCH(A58,'2022-2023 Applications Review'!B:B,0))</f>
        <v>0</v>
      </c>
    </row>
    <row r="59" spans="1:4" ht="33" customHeight="1">
      <c r="A59" s="557" t="s">
        <v>8887</v>
      </c>
      <c r="B59" s="558"/>
      <c r="C59" s="559" t="s">
        <v>8893</v>
      </c>
      <c r="D59" s="556" t="str">
        <f t="array" ref="D59">INDEX('2022-2023 Applications Review'!R:R,MATCH(A59,'2022-2023 Applications Review'!B:B,0))</f>
        <v>Tarek Ali</v>
      </c>
    </row>
    <row r="60" spans="1:4" ht="33" customHeight="1">
      <c r="A60" s="557" t="s">
        <v>7110</v>
      </c>
      <c r="B60" s="558"/>
      <c r="C60" s="559"/>
      <c r="D60" s="556">
        <f t="array" ref="D60">INDEX('2022-2023 Applications Review'!R:R,MATCH(A60,'2022-2023 Applications Review'!B:B,0))</f>
        <v>0</v>
      </c>
    </row>
    <row r="61" spans="1:4" ht="33" customHeight="1">
      <c r="A61" s="557" t="s">
        <v>3596</v>
      </c>
      <c r="B61" s="558"/>
      <c r="C61" s="559"/>
      <c r="D61" s="556">
        <f t="array" ref="D61">INDEX('2022-2023 Applications Review'!R:R,MATCH(A61,'2022-2023 Applications Review'!B:B,0))</f>
        <v>0</v>
      </c>
    </row>
    <row r="62" spans="1:4" ht="33" customHeight="1">
      <c r="A62" s="557" t="s">
        <v>7566</v>
      </c>
      <c r="B62" s="558"/>
      <c r="C62" s="559"/>
      <c r="D62" s="556">
        <f t="array" ref="D62">INDEX('2022-2023 Applications Review'!R:R,MATCH(A62,'2022-2023 Applications Review'!B:B,0))</f>
        <v>0</v>
      </c>
    </row>
    <row r="63" spans="1:4" ht="33" customHeight="1">
      <c r="A63" s="557" t="s">
        <v>7001</v>
      </c>
      <c r="B63" s="558"/>
      <c r="C63" s="559"/>
      <c r="D63" s="556">
        <f t="array" ref="D63">INDEX('2022-2023 Applications Review'!R:R,MATCH(A63,'2022-2023 Applications Review'!B:B,0))</f>
        <v>0</v>
      </c>
    </row>
    <row r="64" spans="1:4" ht="33" customHeight="1">
      <c r="A64" s="557" t="s">
        <v>8766</v>
      </c>
      <c r="B64" s="558"/>
      <c r="C64" s="559"/>
      <c r="D64" s="556">
        <f t="array" ref="D64">INDEX('2022-2023 Applications Review'!R:R,MATCH(A64,'2022-2023 Applications Review'!B:B,0))</f>
        <v>0</v>
      </c>
    </row>
    <row r="65" spans="1:4" ht="33" customHeight="1">
      <c r="A65" s="557" t="s">
        <v>3413</v>
      </c>
      <c r="B65" s="558"/>
      <c r="C65" s="559"/>
      <c r="D65" s="556" t="str">
        <f t="array" ref="D65">INDEX('2022-2023 Applications Review'!R:R,MATCH(A65,'2022-2023 Applications Review'!B:B,0))</f>
        <v>Potential DiT</v>
      </c>
    </row>
    <row r="66" spans="1:4" ht="33" customHeight="1">
      <c r="A66" s="557" t="s">
        <v>8014</v>
      </c>
      <c r="B66" s="558"/>
      <c r="C66" s="559"/>
      <c r="D66" s="556">
        <f t="array" ref="D66">INDEX('2022-2023 Applications Review'!R:R,MATCH(A66,'2022-2023 Applications Review'!B:B,0))</f>
        <v>0</v>
      </c>
    </row>
    <row r="67" spans="1:4" ht="33" customHeight="1">
      <c r="A67" s="557" t="s">
        <v>7826</v>
      </c>
      <c r="B67" s="558"/>
      <c r="C67" s="559"/>
      <c r="D67" s="556">
        <f t="array" ref="D67">INDEX('2022-2023 Applications Review'!R:R,MATCH(A67,'2022-2023 Applications Review'!B:B,0))</f>
        <v>0</v>
      </c>
    </row>
    <row r="68" spans="1:4" ht="33" customHeight="1">
      <c r="A68" s="557" t="s">
        <v>8646</v>
      </c>
      <c r="B68" s="558"/>
      <c r="C68" s="559"/>
      <c r="D68" s="556">
        <f t="array" ref="D68">INDEX('2022-2023 Applications Review'!R:R,MATCH(A68,'2022-2023 Applications Review'!B:B,0))</f>
        <v>0</v>
      </c>
    </row>
    <row r="69" spans="1:4" ht="33" customHeight="1">
      <c r="A69" s="557" t="s">
        <v>8350</v>
      </c>
      <c r="B69" s="558"/>
      <c r="C69" s="559"/>
      <c r="D69" s="556">
        <f t="array" ref="D69">INDEX('2022-2023 Applications Review'!R:R,MATCH(A69,'2022-2023 Applications Review'!B:B,0))</f>
        <v>0</v>
      </c>
    </row>
    <row r="70" spans="1:4" ht="33" customHeight="1">
      <c r="A70" s="557" t="s">
        <v>2913</v>
      </c>
      <c r="B70" s="558"/>
      <c r="C70" s="559"/>
      <c r="D70" s="556">
        <f t="array" ref="D70">INDEX('2022-2023 Applications Review'!R:R,MATCH(A70,'2022-2023 Applications Review'!B:B,0))</f>
        <v>0</v>
      </c>
    </row>
    <row r="71" spans="1:4" ht="33" customHeight="1">
      <c r="A71" s="557" t="s">
        <v>2982</v>
      </c>
      <c r="B71" s="558"/>
      <c r="C71" s="559"/>
      <c r="D71" s="556">
        <f t="array" ref="D71">INDEX('2022-2023 Applications Review'!R:R,MATCH(A71,'2022-2023 Applications Review'!B:B,0))</f>
        <v>0</v>
      </c>
    </row>
    <row r="72" spans="1:4" ht="33" customHeight="1">
      <c r="A72" s="557" t="s">
        <v>9195</v>
      </c>
      <c r="B72" s="558"/>
      <c r="C72" s="559"/>
      <c r="D72" s="556">
        <f t="array" ref="D72">INDEX('2022-2023 Applications Review'!R:R,MATCH(A72,'2022-2023 Applications Review'!B:B,0))</f>
        <v>0</v>
      </c>
    </row>
    <row r="73" spans="1:4" ht="33" customHeight="1">
      <c r="A73" s="557" t="s">
        <v>3631</v>
      </c>
      <c r="B73" s="558"/>
      <c r="C73" s="559"/>
      <c r="D73" s="556">
        <f t="array" ref="D73">INDEX('2022-2023 Applications Review'!R:R,MATCH(A73,'2022-2023 Applications Review'!B:B,0))</f>
        <v>0</v>
      </c>
    </row>
    <row r="74" spans="1:4" ht="33" customHeight="1">
      <c r="A74" s="557" t="s">
        <v>8756</v>
      </c>
      <c r="B74" s="558"/>
      <c r="C74" s="559"/>
      <c r="D74" s="556">
        <f t="array" ref="D74">INDEX('2022-2023 Applications Review'!R:R,MATCH(A74,'2022-2023 Applications Review'!B:B,0))</f>
        <v>0</v>
      </c>
    </row>
    <row r="75" spans="1:4" ht="33" customHeight="1">
      <c r="A75" s="560" t="s">
        <v>11409</v>
      </c>
      <c r="B75" s="561"/>
      <c r="C75" s="562"/>
      <c r="D75" s="556">
        <f t="array" ref="D75">INDEX('2022-2023 Applications Review'!R:R,MATCH(A75,'2022-2023 Applications Review'!B:B,0))</f>
        <v>0</v>
      </c>
    </row>
  </sheetData>
  <dataValidations count="1">
    <dataValidation type="list" allowBlank="1" sqref="B2:B75" xr:uid="{00000000-0002-0000-1800-000000000000}">
      <formula1>"Invite,Reject,Revisit,Special Reject,Invite Next Year,Revisit/ Cluster,"</formula1>
    </dataValidation>
  </dataValidations>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25</vt:i4>
      </vt:variant>
      <vt:variant>
        <vt:lpstr>Named Ranges</vt:lpstr>
      </vt:variant>
      <vt:variant>
        <vt:i4>17</vt:i4>
      </vt:variant>
    </vt:vector>
  </HeadingPairs>
  <TitlesOfParts>
    <vt:vector size="42" baseType="lpstr">
      <vt:lpstr>Totals</vt:lpstr>
      <vt:lpstr>Final Review</vt:lpstr>
      <vt:lpstr>MASTER - Applications Review</vt:lpstr>
      <vt:lpstr>For Lookup</vt:lpstr>
      <vt:lpstr>Sheet24</vt:lpstr>
      <vt:lpstr>Import</vt:lpstr>
      <vt:lpstr>query</vt:lpstr>
      <vt:lpstr>Final LS-DT-DiT</vt:lpstr>
      <vt:lpstr>2022-2023 Applications Review</vt:lpstr>
      <vt:lpstr>NOTES ONLY</vt:lpstr>
      <vt:lpstr>DT Short List</vt:lpstr>
      <vt:lpstr>LS Shortlist</vt:lpstr>
      <vt:lpstr>For DeepNote Upload- Dev Team U</vt:lpstr>
      <vt:lpstr>Copy of For DeepNote Upload- De</vt:lpstr>
      <vt:lpstr>DiT - Shortlist</vt:lpstr>
      <vt:lpstr>2022-2023 Third Reviews</vt:lpstr>
      <vt:lpstr>SF INVITES</vt:lpstr>
      <vt:lpstr>Form Import</vt:lpstr>
      <vt:lpstr>8.9</vt:lpstr>
      <vt:lpstr>Remaining Apps</vt:lpstr>
      <vt:lpstr>DT- KM 2022-2023 Applications</vt:lpstr>
      <vt:lpstr>DiT - 2022-2023 Applications Re</vt:lpstr>
      <vt:lpstr>Asking for transfer to DiT</vt:lpstr>
      <vt:lpstr>Key Metrics</vt:lpstr>
      <vt:lpstr>Notes</vt:lpstr>
      <vt:lpstr>Affiliations</vt:lpstr>
      <vt:lpstr>AppNotes</vt:lpstr>
      <vt:lpstr>CurrentFundAmount</vt:lpstr>
      <vt:lpstr>CurrentFundLabel</vt:lpstr>
      <vt:lpstr>Date</vt:lpstr>
      <vt:lpstr>Founder1</vt:lpstr>
      <vt:lpstr>Interview</vt:lpstr>
      <vt:lpstr>Name</vt:lpstr>
      <vt:lpstr>NYUAffilliation</vt:lpstr>
      <vt:lpstr>NYUAfillType</vt:lpstr>
      <vt:lpstr>Referral</vt:lpstr>
      <vt:lpstr>Reviewer1</vt:lpstr>
      <vt:lpstr>Reviewer2</vt:lpstr>
      <vt:lpstr>Score</vt:lpstr>
      <vt:lpstr>Team</vt:lpstr>
      <vt:lpstr>TeamSize</vt:lpstr>
      <vt:lpstr>Track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Calvin He</cp:lastModifiedBy>
  <dcterms:created xsi:type="dcterms:W3CDTF">2024-09-20T19:28:15Z</dcterms:created>
  <dcterms:modified xsi:type="dcterms:W3CDTF">2024-09-20T19:28:16Z</dcterms:modified>
</cp:coreProperties>
</file>